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20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DHI" sheetId="1" r:id="rId4"/>
    <sheet state="visible" name="AGRO" sheetId="2" r:id="rId5"/>
    <sheet state="visible" name="ANTM" sheetId="3" r:id="rId6"/>
    <sheet state="visible" name="BBNI" sheetId="4" r:id="rId7"/>
    <sheet state="visible" name="BBRI" sheetId="5" r:id="rId8"/>
    <sheet state="visible" name="BBTN" sheetId="6" r:id="rId9"/>
    <sheet state="visible" name="BJBR" sheetId="7" r:id="rId10"/>
    <sheet state="visible" name="BJTM" sheetId="8" r:id="rId11"/>
    <sheet state="visible" name="BMRI" sheetId="9" r:id="rId12"/>
    <sheet state="visible" name="BRIS" sheetId="10" r:id="rId13"/>
    <sheet state="visible" name="ELSA" sheetId="11" r:id="rId14"/>
    <sheet state="visible" name="JSMR" sheetId="12" r:id="rId15"/>
    <sheet state="visible" name="MTEL" sheetId="13" r:id="rId16"/>
    <sheet state="visible" name="PGAS" sheetId="14" r:id="rId17"/>
    <sheet state="visible" name="PGEO" sheetId="15" r:id="rId18"/>
    <sheet state="visible" name="PTBA" sheetId="16" r:id="rId19"/>
    <sheet state="visible" name="PTPP" sheetId="17" r:id="rId20"/>
    <sheet state="visible" name="SMGR" sheetId="18" r:id="rId21"/>
    <sheet state="visible" name="TINS" sheetId="19" r:id="rId22"/>
    <sheet state="visible" name="TLKM" sheetId="20" r:id="rId23"/>
  </sheets>
  <definedNames/>
  <calcPr/>
  <extLst>
    <ext uri="GoogleSheetsCustomDataVersion2">
      <go:sheetsCustomData xmlns:go="http://customooxmlschemas.google.com/" r:id="rId24" roundtripDataChecksum="iMdDS+W9u+hIHwmL7eW+Bkg5AH5BQzZGPpINAmdEx1Q="/>
    </ext>
  </extLst>
</workbook>
</file>

<file path=xl/sharedStrings.xml><?xml version="1.0" encoding="utf-8"?>
<sst xmlns="http://schemas.openxmlformats.org/spreadsheetml/2006/main" count="20" uniqueCount="1">
  <si>
    <t>Volatilitas Pasar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</si>
</sst>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d/MM/yyyy"/>
  </numFmts>
  <fonts count="3">
    <font>
      <sz val="10.0"/>
      <color rgb="FF000000"/>
      <name val="Arial"/>
      <scheme val="minor"/>
    </font>
    <font>
      <color theme="1"/>
      <name val="Arial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0" fontId="1" numFmtId="164" xfId="0" applyFont="1" applyNumberFormat="1"/>
    <xf borderId="0" fillId="0" fontId="1" numFmtId="0" xfId="0" applyFont="1"/>
    <xf borderId="0" fillId="0" fontId="1" numFmtId="0" xfId="0" applyAlignment="1" applyFont="1">
      <alignment readingOrder="0"/>
    </xf>
    <xf borderId="0" fillId="0" fontId="2" numFmtId="164" xfId="0" applyFont="1" applyNumberFormat="1"/>
    <xf borderId="0" fillId="0" fontId="2" numFmtId="0" xfId="0" applyFont="1"/>
    <xf borderId="0" fillId="0" fontId="2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11" Type="http://schemas.openxmlformats.org/officeDocument/2006/relationships/worksheet" Target="worksheets/sheet8.xml"/><Relationship Id="rId22" Type="http://schemas.openxmlformats.org/officeDocument/2006/relationships/worksheet" Target="worksheets/sheet19.xml"/><Relationship Id="rId10" Type="http://schemas.openxmlformats.org/officeDocument/2006/relationships/worksheet" Target="worksheets/sheet7.xml"/><Relationship Id="rId21" Type="http://schemas.openxmlformats.org/officeDocument/2006/relationships/worksheet" Target="worksheets/sheet18.xml"/><Relationship Id="rId13" Type="http://schemas.openxmlformats.org/officeDocument/2006/relationships/worksheet" Target="worksheets/sheet10.xml"/><Relationship Id="rId24" Type="http://customschemas.google.com/relationships/workbookmetadata" Target="metadata"/><Relationship Id="rId12" Type="http://schemas.openxmlformats.org/officeDocument/2006/relationships/worksheet" Target="worksheets/sheet9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22.5"/>
    <col customWidth="1" min="2" max="7" width="12.63"/>
  </cols>
  <sheetData>
    <row r="1" ht="15.75" customHeight="1">
      <c r="A1" s="1" t="str">
        <f>IFERROR(__xludf.DUMMYFUNCTION("GOOGLEFINANCE(""IDX:ADHI"", ""all"", DATE(2020,1,1), DATE(2025,1,1), ""DAILY"")
"),"Date")</f>
        <v>Date</v>
      </c>
      <c r="B1" s="2" t="str">
        <f>IFERROR(__xludf.DUMMYFUNCTION("""COMPUTED_VALUE"""),"Open")</f>
        <v>Open</v>
      </c>
      <c r="C1" s="2" t="str">
        <f>IFERROR(__xludf.DUMMYFUNCTION("""COMPUTED_VALUE"""),"High")</f>
        <v>High</v>
      </c>
      <c r="D1" s="2" t="str">
        <f>IFERROR(__xludf.DUMMYFUNCTION("""COMPUTED_VALUE"""),"Low")</f>
        <v>Low</v>
      </c>
      <c r="E1" s="2" t="str">
        <f>IFERROR(__xludf.DUMMYFUNCTION("""COMPUTED_VALUE"""),"Close")</f>
        <v>Close</v>
      </c>
      <c r="F1" s="2" t="str">
        <f>IFERROR(__xludf.DUMMYFUNCTION("""COMPUTED_VALUE"""),"Volume")</f>
        <v>Volume</v>
      </c>
      <c r="G1" s="3" t="s">
        <v>0</v>
      </c>
    </row>
    <row r="2" ht="15.75" customHeight="1">
      <c r="A2" s="1">
        <f>IFERROR(__xludf.DUMMYFUNCTION("""COMPUTED_VALUE"""),43832.66666666667)</f>
        <v>43832.66667</v>
      </c>
      <c r="B2" s="2">
        <f>IFERROR(__xludf.DUMMYFUNCTION("""COMPUTED_VALUE"""),1091.51)</f>
        <v>1091.51</v>
      </c>
      <c r="C2" s="2">
        <f>IFERROR(__xludf.DUMMYFUNCTION("""COMPUTED_VALUE"""),1100.76)</f>
        <v>1100.76</v>
      </c>
      <c r="D2" s="2">
        <f>IFERROR(__xludf.DUMMYFUNCTION("""COMPUTED_VALUE"""),1068.38)</f>
        <v>1068.38</v>
      </c>
      <c r="E2" s="2">
        <f>IFERROR(__xludf.DUMMYFUNCTION("""COMPUTED_VALUE"""),1082.26)</f>
        <v>1082.26</v>
      </c>
      <c r="F2" s="2">
        <f>IFERROR(__xludf.DUMMYFUNCTION("""COMPUTED_VALUE"""),5113900.0)</f>
        <v>5113900</v>
      </c>
      <c r="G2" s="2"/>
    </row>
    <row r="3" ht="15.75" customHeight="1">
      <c r="A3" s="1">
        <f>IFERROR(__xludf.DUMMYFUNCTION("""COMPUTED_VALUE"""),43833.66666666667)</f>
        <v>43833.66667</v>
      </c>
      <c r="B3" s="2">
        <f>IFERROR(__xludf.DUMMYFUNCTION("""COMPUTED_VALUE"""),1086.88)</f>
        <v>1086.88</v>
      </c>
      <c r="C3" s="2">
        <f>IFERROR(__xludf.DUMMYFUNCTION("""COMPUTED_VALUE"""),1123.88)</f>
        <v>1123.88</v>
      </c>
      <c r="D3" s="2">
        <f>IFERROR(__xludf.DUMMYFUNCTION("""COMPUTED_VALUE"""),1086.88)</f>
        <v>1086.88</v>
      </c>
      <c r="E3" s="2">
        <f>IFERROR(__xludf.DUMMYFUNCTION("""COMPUTED_VALUE"""),1119.26)</f>
        <v>1119.26</v>
      </c>
      <c r="F3" s="2">
        <f>IFERROR(__xludf.DUMMYFUNCTION("""COMPUTED_VALUE"""),1.35145E7)</f>
        <v>13514500</v>
      </c>
      <c r="G3" s="2">
        <f t="shared" ref="G3:G1208" si="1">MAX(C3-D3, ABS(C3-E2), ABS(D3-E2))</f>
        <v>41.62</v>
      </c>
    </row>
    <row r="4" ht="15.75" customHeight="1">
      <c r="A4" s="1">
        <f>IFERROR(__xludf.DUMMYFUNCTION("""COMPUTED_VALUE"""),43836.66666666667)</f>
        <v>43836.66667</v>
      </c>
      <c r="B4" s="2">
        <f>IFERROR(__xludf.DUMMYFUNCTION("""COMPUTED_VALUE"""),1119.26)</f>
        <v>1119.26</v>
      </c>
      <c r="C4" s="2">
        <f>IFERROR(__xludf.DUMMYFUNCTION("""COMPUTED_VALUE"""),1119.26)</f>
        <v>1119.26</v>
      </c>
      <c r="D4" s="2">
        <f>IFERROR(__xludf.DUMMYFUNCTION("""COMPUTED_VALUE"""),1096.13)</f>
        <v>1096.13</v>
      </c>
      <c r="E4" s="2">
        <f>IFERROR(__xludf.DUMMYFUNCTION("""COMPUTED_VALUE"""),1096.13)</f>
        <v>1096.13</v>
      </c>
      <c r="F4" s="2">
        <f>IFERROR(__xludf.DUMMYFUNCTION("""COMPUTED_VALUE"""),1.30049E7)</f>
        <v>13004900</v>
      </c>
      <c r="G4" s="2">
        <f t="shared" si="1"/>
        <v>23.13</v>
      </c>
    </row>
    <row r="5" ht="15.75" customHeight="1">
      <c r="A5" s="1">
        <f>IFERROR(__xludf.DUMMYFUNCTION("""COMPUTED_VALUE"""),43837.66666666667)</f>
        <v>43837.66667</v>
      </c>
      <c r="B5" s="2">
        <f>IFERROR(__xludf.DUMMYFUNCTION("""COMPUTED_VALUE"""),1100.76)</f>
        <v>1100.76</v>
      </c>
      <c r="C5" s="2">
        <f>IFERROR(__xludf.DUMMYFUNCTION("""COMPUTED_VALUE"""),1110.01)</f>
        <v>1110.01</v>
      </c>
      <c r="D5" s="2">
        <f>IFERROR(__xludf.DUMMYFUNCTION("""COMPUTED_VALUE"""),1091.51)</f>
        <v>1091.51</v>
      </c>
      <c r="E5" s="2">
        <f>IFERROR(__xludf.DUMMYFUNCTION("""COMPUTED_VALUE"""),1096.13)</f>
        <v>1096.13</v>
      </c>
      <c r="F5" s="2">
        <f>IFERROR(__xludf.DUMMYFUNCTION("""COMPUTED_VALUE"""),5072100.0)</f>
        <v>5072100</v>
      </c>
      <c r="G5" s="2">
        <f t="shared" si="1"/>
        <v>18.5</v>
      </c>
    </row>
    <row r="6" ht="15.75" customHeight="1">
      <c r="A6" s="1">
        <f>IFERROR(__xludf.DUMMYFUNCTION("""COMPUTED_VALUE"""),43838.66666666667)</f>
        <v>43838.66667</v>
      </c>
      <c r="B6" s="2">
        <f>IFERROR(__xludf.DUMMYFUNCTION("""COMPUTED_VALUE"""),1082.26)</f>
        <v>1082.26</v>
      </c>
      <c r="C6" s="2">
        <f>IFERROR(__xludf.DUMMYFUNCTION("""COMPUTED_VALUE"""),1096.13)</f>
        <v>1096.13</v>
      </c>
      <c r="D6" s="2">
        <f>IFERROR(__xludf.DUMMYFUNCTION("""COMPUTED_VALUE"""),1073.01)</f>
        <v>1073.01</v>
      </c>
      <c r="E6" s="2">
        <f>IFERROR(__xludf.DUMMYFUNCTION("""COMPUTED_VALUE"""),1073.01)</f>
        <v>1073.01</v>
      </c>
      <c r="F6" s="2">
        <f>IFERROR(__xludf.DUMMYFUNCTION("""COMPUTED_VALUE"""),4249300.0)</f>
        <v>4249300</v>
      </c>
      <c r="G6" s="2">
        <f t="shared" si="1"/>
        <v>23.12</v>
      </c>
    </row>
    <row r="7" ht="15.75" customHeight="1">
      <c r="A7" s="1">
        <f>IFERROR(__xludf.DUMMYFUNCTION("""COMPUTED_VALUE"""),43839.66666666667)</f>
        <v>43839.66667</v>
      </c>
      <c r="B7" s="2">
        <f>IFERROR(__xludf.DUMMYFUNCTION("""COMPUTED_VALUE"""),1082.26)</f>
        <v>1082.26</v>
      </c>
      <c r="C7" s="2">
        <f>IFERROR(__xludf.DUMMYFUNCTION("""COMPUTED_VALUE"""),1096.13)</f>
        <v>1096.13</v>
      </c>
      <c r="D7" s="2">
        <f>IFERROR(__xludf.DUMMYFUNCTION("""COMPUTED_VALUE"""),1082.26)</f>
        <v>1082.26</v>
      </c>
      <c r="E7" s="2">
        <f>IFERROR(__xludf.DUMMYFUNCTION("""COMPUTED_VALUE"""),1086.88)</f>
        <v>1086.88</v>
      </c>
      <c r="F7" s="2">
        <f>IFERROR(__xludf.DUMMYFUNCTION("""COMPUTED_VALUE"""),3519200.0)</f>
        <v>3519200</v>
      </c>
      <c r="G7" s="2">
        <f t="shared" si="1"/>
        <v>23.12</v>
      </c>
    </row>
    <row r="8" ht="15.75" customHeight="1">
      <c r="A8" s="1">
        <f>IFERROR(__xludf.DUMMYFUNCTION("""COMPUTED_VALUE"""),43840.66666666667)</f>
        <v>43840.66667</v>
      </c>
      <c r="B8" s="2">
        <f>IFERROR(__xludf.DUMMYFUNCTION("""COMPUTED_VALUE"""),1091.51)</f>
        <v>1091.51</v>
      </c>
      <c r="C8" s="2">
        <f>IFERROR(__xludf.DUMMYFUNCTION("""COMPUTED_VALUE"""),1110.01)</f>
        <v>1110.01</v>
      </c>
      <c r="D8" s="2">
        <f>IFERROR(__xludf.DUMMYFUNCTION("""COMPUTED_VALUE"""),1091.51)</f>
        <v>1091.51</v>
      </c>
      <c r="E8" s="2">
        <f>IFERROR(__xludf.DUMMYFUNCTION("""COMPUTED_VALUE"""),1091.51)</f>
        <v>1091.51</v>
      </c>
      <c r="F8" s="2">
        <f>IFERROR(__xludf.DUMMYFUNCTION("""COMPUTED_VALUE"""),4117000.0)</f>
        <v>4117000</v>
      </c>
      <c r="G8" s="2">
        <f t="shared" si="1"/>
        <v>23.13</v>
      </c>
    </row>
    <row r="9" ht="15.75" customHeight="1">
      <c r="A9" s="1">
        <f>IFERROR(__xludf.DUMMYFUNCTION("""COMPUTED_VALUE"""),43843.66666666667)</f>
        <v>43843.66667</v>
      </c>
      <c r="B9" s="2">
        <f>IFERROR(__xludf.DUMMYFUNCTION("""COMPUTED_VALUE"""),1100.76)</f>
        <v>1100.76</v>
      </c>
      <c r="C9" s="2">
        <f>IFERROR(__xludf.DUMMYFUNCTION("""COMPUTED_VALUE"""),1128.51)</f>
        <v>1128.51</v>
      </c>
      <c r="D9" s="2">
        <f>IFERROR(__xludf.DUMMYFUNCTION("""COMPUTED_VALUE"""),1091.51)</f>
        <v>1091.51</v>
      </c>
      <c r="E9" s="2">
        <f>IFERROR(__xludf.DUMMYFUNCTION("""COMPUTED_VALUE"""),1123.88)</f>
        <v>1123.88</v>
      </c>
      <c r="F9" s="2">
        <f>IFERROR(__xludf.DUMMYFUNCTION("""COMPUTED_VALUE"""),1.30624E7)</f>
        <v>13062400</v>
      </c>
      <c r="G9" s="2">
        <f t="shared" si="1"/>
        <v>37</v>
      </c>
    </row>
    <row r="10" ht="15.75" customHeight="1">
      <c r="A10" s="1">
        <f>IFERROR(__xludf.DUMMYFUNCTION("""COMPUTED_VALUE"""),43844.66666666667)</f>
        <v>43844.66667</v>
      </c>
      <c r="B10" s="2">
        <f>IFERROR(__xludf.DUMMYFUNCTION("""COMPUTED_VALUE"""),1123.88)</f>
        <v>1123.88</v>
      </c>
      <c r="C10" s="2">
        <f>IFERROR(__xludf.DUMMYFUNCTION("""COMPUTED_VALUE"""),1137.76)</f>
        <v>1137.76</v>
      </c>
      <c r="D10" s="2">
        <f>IFERROR(__xludf.DUMMYFUNCTION("""COMPUTED_VALUE"""),1114.63)</f>
        <v>1114.63</v>
      </c>
      <c r="E10" s="2">
        <f>IFERROR(__xludf.DUMMYFUNCTION("""COMPUTED_VALUE"""),1114.63)</f>
        <v>1114.63</v>
      </c>
      <c r="F10" s="2">
        <f>IFERROR(__xludf.DUMMYFUNCTION("""COMPUTED_VALUE"""),6358800.0)</f>
        <v>6358800</v>
      </c>
      <c r="G10" s="2">
        <f t="shared" si="1"/>
        <v>23.13</v>
      </c>
    </row>
    <row r="11" ht="15.75" customHeight="1">
      <c r="A11" s="1">
        <f>IFERROR(__xludf.DUMMYFUNCTION("""COMPUTED_VALUE"""),43845.66666666667)</f>
        <v>43845.66667</v>
      </c>
      <c r="B11" s="2">
        <f>IFERROR(__xludf.DUMMYFUNCTION("""COMPUTED_VALUE"""),1119.26)</f>
        <v>1119.26</v>
      </c>
      <c r="C11" s="2">
        <f>IFERROR(__xludf.DUMMYFUNCTION("""COMPUTED_VALUE"""),1123.88)</f>
        <v>1123.88</v>
      </c>
      <c r="D11" s="2">
        <f>IFERROR(__xludf.DUMMYFUNCTION("""COMPUTED_VALUE"""),1077.63)</f>
        <v>1077.63</v>
      </c>
      <c r="E11" s="2">
        <f>IFERROR(__xludf.DUMMYFUNCTION("""COMPUTED_VALUE"""),1086.88)</f>
        <v>1086.88</v>
      </c>
      <c r="F11" s="2">
        <f>IFERROR(__xludf.DUMMYFUNCTION("""COMPUTED_VALUE"""),8980800.0)</f>
        <v>8980800</v>
      </c>
      <c r="G11" s="2">
        <f t="shared" si="1"/>
        <v>46.25</v>
      </c>
    </row>
    <row r="12" ht="15.75" customHeight="1">
      <c r="A12" s="1">
        <f>IFERROR(__xludf.DUMMYFUNCTION("""COMPUTED_VALUE"""),43846.66666666667)</f>
        <v>43846.66667</v>
      </c>
      <c r="B12" s="2">
        <f>IFERROR(__xludf.DUMMYFUNCTION("""COMPUTED_VALUE"""),1091.51)</f>
        <v>1091.51</v>
      </c>
      <c r="C12" s="2">
        <f>IFERROR(__xludf.DUMMYFUNCTION("""COMPUTED_VALUE"""),1100.76)</f>
        <v>1100.76</v>
      </c>
      <c r="D12" s="2">
        <f>IFERROR(__xludf.DUMMYFUNCTION("""COMPUTED_VALUE"""),1082.26)</f>
        <v>1082.26</v>
      </c>
      <c r="E12" s="2">
        <f>IFERROR(__xludf.DUMMYFUNCTION("""COMPUTED_VALUE"""),1082.26)</f>
        <v>1082.26</v>
      </c>
      <c r="F12" s="2">
        <f>IFERROR(__xludf.DUMMYFUNCTION("""COMPUTED_VALUE"""),1818200.0)</f>
        <v>1818200</v>
      </c>
      <c r="G12" s="2">
        <f t="shared" si="1"/>
        <v>18.5</v>
      </c>
    </row>
    <row r="13" ht="15.75" customHeight="1">
      <c r="A13" s="1">
        <f>IFERROR(__xludf.DUMMYFUNCTION("""COMPUTED_VALUE"""),43847.66666666667)</f>
        <v>43847.66667</v>
      </c>
      <c r="B13" s="2">
        <f>IFERROR(__xludf.DUMMYFUNCTION("""COMPUTED_VALUE"""),1082.26)</f>
        <v>1082.26</v>
      </c>
      <c r="C13" s="2">
        <f>IFERROR(__xludf.DUMMYFUNCTION("""COMPUTED_VALUE"""),1096.13)</f>
        <v>1096.13</v>
      </c>
      <c r="D13" s="2">
        <f>IFERROR(__xludf.DUMMYFUNCTION("""COMPUTED_VALUE"""),1077.63)</f>
        <v>1077.63</v>
      </c>
      <c r="E13" s="2">
        <f>IFERROR(__xludf.DUMMYFUNCTION("""COMPUTED_VALUE"""),1077.63)</f>
        <v>1077.63</v>
      </c>
      <c r="F13" s="2">
        <f>IFERROR(__xludf.DUMMYFUNCTION("""COMPUTED_VALUE"""),3477400.0)</f>
        <v>3477400</v>
      </c>
      <c r="G13" s="2">
        <f t="shared" si="1"/>
        <v>18.5</v>
      </c>
    </row>
    <row r="14" ht="15.75" customHeight="1">
      <c r="A14" s="1">
        <f>IFERROR(__xludf.DUMMYFUNCTION("""COMPUTED_VALUE"""),43850.66666666667)</f>
        <v>43850.66667</v>
      </c>
      <c r="B14" s="2">
        <f>IFERROR(__xludf.DUMMYFUNCTION("""COMPUTED_VALUE"""),1077.63)</f>
        <v>1077.63</v>
      </c>
      <c r="C14" s="2">
        <f>IFERROR(__xludf.DUMMYFUNCTION("""COMPUTED_VALUE"""),1086.88)</f>
        <v>1086.88</v>
      </c>
      <c r="D14" s="2">
        <f>IFERROR(__xludf.DUMMYFUNCTION("""COMPUTED_VALUE"""),1040.63)</f>
        <v>1040.63</v>
      </c>
      <c r="E14" s="2">
        <f>IFERROR(__xludf.DUMMYFUNCTION("""COMPUTED_VALUE"""),1040.63)</f>
        <v>1040.63</v>
      </c>
      <c r="F14" s="2">
        <f>IFERROR(__xludf.DUMMYFUNCTION("""COMPUTED_VALUE"""),5347300.0)</f>
        <v>5347300</v>
      </c>
      <c r="G14" s="2">
        <f t="shared" si="1"/>
        <v>46.25</v>
      </c>
    </row>
    <row r="15" ht="15.75" customHeight="1">
      <c r="A15" s="1">
        <f>IFERROR(__xludf.DUMMYFUNCTION("""COMPUTED_VALUE"""),43851.66666666667)</f>
        <v>43851.66667</v>
      </c>
      <c r="B15" s="2">
        <f>IFERROR(__xludf.DUMMYFUNCTION("""COMPUTED_VALUE"""),1045.26)</f>
        <v>1045.26</v>
      </c>
      <c r="C15" s="2">
        <f>IFERROR(__xludf.DUMMYFUNCTION("""COMPUTED_VALUE"""),1049.88)</f>
        <v>1049.88</v>
      </c>
      <c r="D15" s="2">
        <f>IFERROR(__xludf.DUMMYFUNCTION("""COMPUTED_VALUE"""),1017.51)</f>
        <v>1017.51</v>
      </c>
      <c r="E15" s="2">
        <f>IFERROR(__xludf.DUMMYFUNCTION("""COMPUTED_VALUE"""),1017.51)</f>
        <v>1017.51</v>
      </c>
      <c r="F15" s="2">
        <f>IFERROR(__xludf.DUMMYFUNCTION("""COMPUTED_VALUE"""),6708300.0)</f>
        <v>6708300</v>
      </c>
      <c r="G15" s="2">
        <f t="shared" si="1"/>
        <v>32.37</v>
      </c>
    </row>
    <row r="16" ht="15.75" customHeight="1">
      <c r="A16" s="1">
        <f>IFERROR(__xludf.DUMMYFUNCTION("""COMPUTED_VALUE"""),43852.66666666667)</f>
        <v>43852.66667</v>
      </c>
      <c r="B16" s="2">
        <f>IFERROR(__xludf.DUMMYFUNCTION("""COMPUTED_VALUE"""),1022.13)</f>
        <v>1022.13</v>
      </c>
      <c r="C16" s="2">
        <f>IFERROR(__xludf.DUMMYFUNCTION("""COMPUTED_VALUE"""),1045.26)</f>
        <v>1045.26</v>
      </c>
      <c r="D16" s="2">
        <f>IFERROR(__xludf.DUMMYFUNCTION("""COMPUTED_VALUE"""),1017.51)</f>
        <v>1017.51</v>
      </c>
      <c r="E16" s="2">
        <f>IFERROR(__xludf.DUMMYFUNCTION("""COMPUTED_VALUE"""),1017.51)</f>
        <v>1017.51</v>
      </c>
      <c r="F16" s="2">
        <f>IFERROR(__xludf.DUMMYFUNCTION("""COMPUTED_VALUE"""),4966100.0)</f>
        <v>4966100</v>
      </c>
      <c r="G16" s="2">
        <f t="shared" si="1"/>
        <v>27.75</v>
      </c>
    </row>
    <row r="17" ht="15.75" customHeight="1">
      <c r="A17" s="1">
        <f>IFERROR(__xludf.DUMMYFUNCTION("""COMPUTED_VALUE"""),43853.66666666667)</f>
        <v>43853.66667</v>
      </c>
      <c r="B17" s="2">
        <f>IFERROR(__xludf.DUMMYFUNCTION("""COMPUTED_VALUE"""),1017.51)</f>
        <v>1017.51</v>
      </c>
      <c r="C17" s="2">
        <f>IFERROR(__xludf.DUMMYFUNCTION("""COMPUTED_VALUE"""),1031.38)</f>
        <v>1031.38</v>
      </c>
      <c r="D17" s="2">
        <f>IFERROR(__xludf.DUMMYFUNCTION("""COMPUTED_VALUE"""),1008.26)</f>
        <v>1008.26</v>
      </c>
      <c r="E17" s="2">
        <f>IFERROR(__xludf.DUMMYFUNCTION("""COMPUTED_VALUE"""),1008.26)</f>
        <v>1008.26</v>
      </c>
      <c r="F17" s="2">
        <f>IFERROR(__xludf.DUMMYFUNCTION("""COMPUTED_VALUE"""),2692100.0)</f>
        <v>2692100</v>
      </c>
      <c r="G17" s="2">
        <f t="shared" si="1"/>
        <v>23.12</v>
      </c>
    </row>
    <row r="18" ht="15.75" customHeight="1">
      <c r="A18" s="1">
        <f>IFERROR(__xludf.DUMMYFUNCTION("""COMPUTED_VALUE"""),43854.66666666667)</f>
        <v>43854.66667</v>
      </c>
      <c r="B18" s="2">
        <f>IFERROR(__xludf.DUMMYFUNCTION("""COMPUTED_VALUE"""),1017.51)</f>
        <v>1017.51</v>
      </c>
      <c r="C18" s="2">
        <f>IFERROR(__xludf.DUMMYFUNCTION("""COMPUTED_VALUE"""),1017.51)</f>
        <v>1017.51</v>
      </c>
      <c r="D18" s="2">
        <f>IFERROR(__xludf.DUMMYFUNCTION("""COMPUTED_VALUE"""),1003.63)</f>
        <v>1003.63</v>
      </c>
      <c r="E18" s="2">
        <f>IFERROR(__xludf.DUMMYFUNCTION("""COMPUTED_VALUE"""),1003.63)</f>
        <v>1003.63</v>
      </c>
      <c r="F18" s="2">
        <f>IFERROR(__xludf.DUMMYFUNCTION("""COMPUTED_VALUE"""),2544100.0)</f>
        <v>2544100</v>
      </c>
      <c r="G18" s="2">
        <f t="shared" si="1"/>
        <v>13.88</v>
      </c>
    </row>
    <row r="19" ht="15.75" customHeight="1">
      <c r="A19" s="1">
        <f>IFERROR(__xludf.DUMMYFUNCTION("""COMPUTED_VALUE"""),43857.66666666667)</f>
        <v>43857.66667</v>
      </c>
      <c r="B19" s="2">
        <f>IFERROR(__xludf.DUMMYFUNCTION("""COMPUTED_VALUE"""),1003.63)</f>
        <v>1003.63</v>
      </c>
      <c r="C19" s="2">
        <f>IFERROR(__xludf.DUMMYFUNCTION("""COMPUTED_VALUE"""),1008.26)</f>
        <v>1008.26</v>
      </c>
      <c r="D19" s="2">
        <f>IFERROR(__xludf.DUMMYFUNCTION("""COMPUTED_VALUE"""),948.13)</f>
        <v>948.13</v>
      </c>
      <c r="E19" s="2">
        <f>IFERROR(__xludf.DUMMYFUNCTION("""COMPUTED_VALUE"""),948.13)</f>
        <v>948.13</v>
      </c>
      <c r="F19" s="2">
        <f>IFERROR(__xludf.DUMMYFUNCTION("""COMPUTED_VALUE"""),1.15486E7)</f>
        <v>11548600</v>
      </c>
      <c r="G19" s="2">
        <f t="shared" si="1"/>
        <v>60.13</v>
      </c>
    </row>
    <row r="20" ht="15.75" customHeight="1">
      <c r="A20" s="1">
        <f>IFERROR(__xludf.DUMMYFUNCTION("""COMPUTED_VALUE"""),43858.66666666667)</f>
        <v>43858.66667</v>
      </c>
      <c r="B20" s="2">
        <f>IFERROR(__xludf.DUMMYFUNCTION("""COMPUTED_VALUE"""),948.13)</f>
        <v>948.13</v>
      </c>
      <c r="C20" s="2">
        <f>IFERROR(__xludf.DUMMYFUNCTION("""COMPUTED_VALUE"""),971.26)</f>
        <v>971.26</v>
      </c>
      <c r="D20" s="2">
        <f>IFERROR(__xludf.DUMMYFUNCTION("""COMPUTED_VALUE"""),920.38)</f>
        <v>920.38</v>
      </c>
      <c r="E20" s="2">
        <f>IFERROR(__xludf.DUMMYFUNCTION("""COMPUTED_VALUE"""),966.63)</f>
        <v>966.63</v>
      </c>
      <c r="F20" s="2">
        <f>IFERROR(__xludf.DUMMYFUNCTION("""COMPUTED_VALUE"""),5576600.0)</f>
        <v>5576600</v>
      </c>
      <c r="G20" s="2">
        <f t="shared" si="1"/>
        <v>50.88</v>
      </c>
    </row>
    <row r="21" ht="15.75" customHeight="1">
      <c r="A21" s="1">
        <f>IFERROR(__xludf.DUMMYFUNCTION("""COMPUTED_VALUE"""),43859.66666666667)</f>
        <v>43859.66667</v>
      </c>
      <c r="B21" s="2">
        <f>IFERROR(__xludf.DUMMYFUNCTION("""COMPUTED_VALUE"""),966.63)</f>
        <v>966.63</v>
      </c>
      <c r="C21" s="2">
        <f>IFERROR(__xludf.DUMMYFUNCTION("""COMPUTED_VALUE"""),985.13)</f>
        <v>985.13</v>
      </c>
      <c r="D21" s="2">
        <f>IFERROR(__xludf.DUMMYFUNCTION("""COMPUTED_VALUE"""),966.63)</f>
        <v>966.63</v>
      </c>
      <c r="E21" s="2">
        <f>IFERROR(__xludf.DUMMYFUNCTION("""COMPUTED_VALUE"""),971.26)</f>
        <v>971.26</v>
      </c>
      <c r="F21" s="2">
        <f>IFERROR(__xludf.DUMMYFUNCTION("""COMPUTED_VALUE"""),3039800.0)</f>
        <v>3039800</v>
      </c>
      <c r="G21" s="2">
        <f t="shared" si="1"/>
        <v>18.5</v>
      </c>
    </row>
    <row r="22" ht="15.75" customHeight="1">
      <c r="A22" s="1">
        <f>IFERROR(__xludf.DUMMYFUNCTION("""COMPUTED_VALUE"""),43860.66666666667)</f>
        <v>43860.66667</v>
      </c>
      <c r="B22" s="2">
        <f>IFERROR(__xludf.DUMMYFUNCTION("""COMPUTED_VALUE"""),971.26)</f>
        <v>971.26</v>
      </c>
      <c r="C22" s="2">
        <f>IFERROR(__xludf.DUMMYFUNCTION("""COMPUTED_VALUE"""),971.26)</f>
        <v>971.26</v>
      </c>
      <c r="D22" s="2">
        <f>IFERROR(__xludf.DUMMYFUNCTION("""COMPUTED_VALUE"""),943.51)</f>
        <v>943.51</v>
      </c>
      <c r="E22" s="2">
        <f>IFERROR(__xludf.DUMMYFUNCTION("""COMPUTED_VALUE"""),952.76)</f>
        <v>952.76</v>
      </c>
      <c r="F22" s="2">
        <f>IFERROR(__xludf.DUMMYFUNCTION("""COMPUTED_VALUE"""),1763800.0)</f>
        <v>1763800</v>
      </c>
      <c r="G22" s="2">
        <f t="shared" si="1"/>
        <v>27.75</v>
      </c>
    </row>
    <row r="23" ht="15.75" customHeight="1">
      <c r="A23" s="1">
        <f>IFERROR(__xludf.DUMMYFUNCTION("""COMPUTED_VALUE"""),43861.66666666667)</f>
        <v>43861.66667</v>
      </c>
      <c r="B23" s="2">
        <f>IFERROR(__xludf.DUMMYFUNCTION("""COMPUTED_VALUE"""),957.38)</f>
        <v>957.38</v>
      </c>
      <c r="C23" s="2">
        <f>IFERROR(__xludf.DUMMYFUNCTION("""COMPUTED_VALUE"""),989.76)</f>
        <v>989.76</v>
      </c>
      <c r="D23" s="2">
        <f>IFERROR(__xludf.DUMMYFUNCTION("""COMPUTED_VALUE"""),934.26)</f>
        <v>934.26</v>
      </c>
      <c r="E23" s="2">
        <f>IFERROR(__xludf.DUMMYFUNCTION("""COMPUTED_VALUE"""),952.76)</f>
        <v>952.76</v>
      </c>
      <c r="F23" s="2">
        <f>IFERROR(__xludf.DUMMYFUNCTION("""COMPUTED_VALUE"""),4842500.0)</f>
        <v>4842500</v>
      </c>
      <c r="G23" s="2">
        <f t="shared" si="1"/>
        <v>55.5</v>
      </c>
    </row>
    <row r="24" ht="15.75" customHeight="1">
      <c r="A24" s="1">
        <f>IFERROR(__xludf.DUMMYFUNCTION("""COMPUTED_VALUE"""),43864.66666666667)</f>
        <v>43864.66667</v>
      </c>
      <c r="B24" s="2">
        <f>IFERROR(__xludf.DUMMYFUNCTION("""COMPUTED_VALUE"""),943.51)</f>
        <v>943.51</v>
      </c>
      <c r="C24" s="2">
        <f>IFERROR(__xludf.DUMMYFUNCTION("""COMPUTED_VALUE"""),952.76)</f>
        <v>952.76</v>
      </c>
      <c r="D24" s="2">
        <f>IFERROR(__xludf.DUMMYFUNCTION("""COMPUTED_VALUE"""),920.38)</f>
        <v>920.38</v>
      </c>
      <c r="E24" s="2">
        <f>IFERROR(__xludf.DUMMYFUNCTION("""COMPUTED_VALUE"""),938.88)</f>
        <v>938.88</v>
      </c>
      <c r="F24" s="2">
        <f>IFERROR(__xludf.DUMMYFUNCTION("""COMPUTED_VALUE"""),5370400.0)</f>
        <v>5370400</v>
      </c>
      <c r="G24" s="2">
        <f t="shared" si="1"/>
        <v>32.38</v>
      </c>
    </row>
    <row r="25" ht="15.75" customHeight="1">
      <c r="A25" s="1">
        <f>IFERROR(__xludf.DUMMYFUNCTION("""COMPUTED_VALUE"""),43865.66666666667)</f>
        <v>43865.66667</v>
      </c>
      <c r="B25" s="2">
        <f>IFERROR(__xludf.DUMMYFUNCTION("""COMPUTED_VALUE"""),943.51)</f>
        <v>943.51</v>
      </c>
      <c r="C25" s="2">
        <f>IFERROR(__xludf.DUMMYFUNCTION("""COMPUTED_VALUE"""),957.38)</f>
        <v>957.38</v>
      </c>
      <c r="D25" s="2">
        <f>IFERROR(__xludf.DUMMYFUNCTION("""COMPUTED_VALUE"""),929.63)</f>
        <v>929.63</v>
      </c>
      <c r="E25" s="2">
        <f>IFERROR(__xludf.DUMMYFUNCTION("""COMPUTED_VALUE"""),938.88)</f>
        <v>938.88</v>
      </c>
      <c r="F25" s="2">
        <f>IFERROR(__xludf.DUMMYFUNCTION("""COMPUTED_VALUE"""),1942000.0)</f>
        <v>1942000</v>
      </c>
      <c r="G25" s="2">
        <f t="shared" si="1"/>
        <v>27.75</v>
      </c>
    </row>
    <row r="26" ht="15.75" customHeight="1">
      <c r="A26" s="1">
        <f>IFERROR(__xludf.DUMMYFUNCTION("""COMPUTED_VALUE"""),43866.66666666667)</f>
        <v>43866.66667</v>
      </c>
      <c r="B26" s="2">
        <f>IFERROR(__xludf.DUMMYFUNCTION("""COMPUTED_VALUE"""),943.51)</f>
        <v>943.51</v>
      </c>
      <c r="C26" s="2">
        <f>IFERROR(__xludf.DUMMYFUNCTION("""COMPUTED_VALUE"""),952.76)</f>
        <v>952.76</v>
      </c>
      <c r="D26" s="2">
        <f>IFERROR(__xludf.DUMMYFUNCTION("""COMPUTED_VALUE"""),938.88)</f>
        <v>938.88</v>
      </c>
      <c r="E26" s="2">
        <f>IFERROR(__xludf.DUMMYFUNCTION("""COMPUTED_VALUE"""),943.51)</f>
        <v>943.51</v>
      </c>
      <c r="F26" s="2">
        <f>IFERROR(__xludf.DUMMYFUNCTION("""COMPUTED_VALUE"""),3505200.0)</f>
        <v>3505200</v>
      </c>
      <c r="G26" s="2">
        <f t="shared" si="1"/>
        <v>13.88</v>
      </c>
    </row>
    <row r="27" ht="15.75" customHeight="1">
      <c r="A27" s="1">
        <f>IFERROR(__xludf.DUMMYFUNCTION("""COMPUTED_VALUE"""),43867.66666666667)</f>
        <v>43867.66667</v>
      </c>
      <c r="B27" s="2">
        <f>IFERROR(__xludf.DUMMYFUNCTION("""COMPUTED_VALUE"""),952.76)</f>
        <v>952.76</v>
      </c>
      <c r="C27" s="2">
        <f>IFERROR(__xludf.DUMMYFUNCTION("""COMPUTED_VALUE"""),971.26)</f>
        <v>971.26</v>
      </c>
      <c r="D27" s="2">
        <f>IFERROR(__xludf.DUMMYFUNCTION("""COMPUTED_VALUE"""),938.88)</f>
        <v>938.88</v>
      </c>
      <c r="E27" s="2">
        <f>IFERROR(__xludf.DUMMYFUNCTION("""COMPUTED_VALUE"""),966.63)</f>
        <v>966.63</v>
      </c>
      <c r="F27" s="2">
        <f>IFERROR(__xludf.DUMMYFUNCTION("""COMPUTED_VALUE"""),6677900.0)</f>
        <v>6677900</v>
      </c>
      <c r="G27" s="2">
        <f t="shared" si="1"/>
        <v>32.38</v>
      </c>
    </row>
    <row r="28" ht="15.75" customHeight="1">
      <c r="A28" s="1">
        <f>IFERROR(__xludf.DUMMYFUNCTION("""COMPUTED_VALUE"""),43868.66666666667)</f>
        <v>43868.66667</v>
      </c>
      <c r="B28" s="2">
        <f>IFERROR(__xludf.DUMMYFUNCTION("""COMPUTED_VALUE"""),971.26)</f>
        <v>971.26</v>
      </c>
      <c r="C28" s="2">
        <f>IFERROR(__xludf.DUMMYFUNCTION("""COMPUTED_VALUE"""),975.88)</f>
        <v>975.88</v>
      </c>
      <c r="D28" s="2">
        <f>IFERROR(__xludf.DUMMYFUNCTION("""COMPUTED_VALUE"""),952.76)</f>
        <v>952.76</v>
      </c>
      <c r="E28" s="2">
        <f>IFERROR(__xludf.DUMMYFUNCTION("""COMPUTED_VALUE"""),952.76)</f>
        <v>952.76</v>
      </c>
      <c r="F28" s="2">
        <f>IFERROR(__xludf.DUMMYFUNCTION("""COMPUTED_VALUE"""),3352000.0)</f>
        <v>3352000</v>
      </c>
      <c r="G28" s="2">
        <f t="shared" si="1"/>
        <v>23.12</v>
      </c>
    </row>
    <row r="29" ht="15.75" customHeight="1">
      <c r="A29" s="1">
        <f>IFERROR(__xludf.DUMMYFUNCTION("""COMPUTED_VALUE"""),43871.66666666667)</f>
        <v>43871.66667</v>
      </c>
      <c r="B29" s="2">
        <f>IFERROR(__xludf.DUMMYFUNCTION("""COMPUTED_VALUE"""),952.76)</f>
        <v>952.76</v>
      </c>
      <c r="C29" s="2">
        <f>IFERROR(__xludf.DUMMYFUNCTION("""COMPUTED_VALUE"""),952.76)</f>
        <v>952.76</v>
      </c>
      <c r="D29" s="2">
        <f>IFERROR(__xludf.DUMMYFUNCTION("""COMPUTED_VALUE"""),906.5)</f>
        <v>906.5</v>
      </c>
      <c r="E29" s="2">
        <f>IFERROR(__xludf.DUMMYFUNCTION("""COMPUTED_VALUE"""),911.13)</f>
        <v>911.13</v>
      </c>
      <c r="F29" s="2">
        <f>IFERROR(__xludf.DUMMYFUNCTION("""COMPUTED_VALUE"""),8251900.0)</f>
        <v>8251900</v>
      </c>
      <c r="G29" s="2">
        <f t="shared" si="1"/>
        <v>46.26</v>
      </c>
    </row>
    <row r="30" ht="15.75" customHeight="1">
      <c r="A30" s="1">
        <f>IFERROR(__xludf.DUMMYFUNCTION("""COMPUTED_VALUE"""),43872.66666666667)</f>
        <v>43872.66667</v>
      </c>
      <c r="B30" s="2">
        <f>IFERROR(__xludf.DUMMYFUNCTION("""COMPUTED_VALUE"""),915.76)</f>
        <v>915.76</v>
      </c>
      <c r="C30" s="2">
        <f>IFERROR(__xludf.DUMMYFUNCTION("""COMPUTED_VALUE"""),920.38)</f>
        <v>920.38</v>
      </c>
      <c r="D30" s="2">
        <f>IFERROR(__xludf.DUMMYFUNCTION("""COMPUTED_VALUE"""),892.63)</f>
        <v>892.63</v>
      </c>
      <c r="E30" s="2">
        <f>IFERROR(__xludf.DUMMYFUNCTION("""COMPUTED_VALUE"""),911.13)</f>
        <v>911.13</v>
      </c>
      <c r="F30" s="2">
        <f>IFERROR(__xludf.DUMMYFUNCTION("""COMPUTED_VALUE"""),5882900.0)</f>
        <v>5882900</v>
      </c>
      <c r="G30" s="2">
        <f t="shared" si="1"/>
        <v>27.75</v>
      </c>
    </row>
    <row r="31" ht="15.75" customHeight="1">
      <c r="A31" s="1">
        <f>IFERROR(__xludf.DUMMYFUNCTION("""COMPUTED_VALUE"""),43873.66666666667)</f>
        <v>43873.66667</v>
      </c>
      <c r="B31" s="2">
        <f>IFERROR(__xludf.DUMMYFUNCTION("""COMPUTED_VALUE"""),915.76)</f>
        <v>915.76</v>
      </c>
      <c r="C31" s="2">
        <f>IFERROR(__xludf.DUMMYFUNCTION("""COMPUTED_VALUE"""),915.76)</f>
        <v>915.76</v>
      </c>
      <c r="D31" s="2">
        <f>IFERROR(__xludf.DUMMYFUNCTION("""COMPUTED_VALUE"""),897.25)</f>
        <v>897.25</v>
      </c>
      <c r="E31" s="2">
        <f>IFERROR(__xludf.DUMMYFUNCTION("""COMPUTED_VALUE"""),897.25)</f>
        <v>897.25</v>
      </c>
      <c r="F31" s="2">
        <f>IFERROR(__xludf.DUMMYFUNCTION("""COMPUTED_VALUE"""),4816700.0)</f>
        <v>4816700</v>
      </c>
      <c r="G31" s="2">
        <f t="shared" si="1"/>
        <v>18.51</v>
      </c>
    </row>
    <row r="32" ht="15.75" customHeight="1">
      <c r="A32" s="1">
        <f>IFERROR(__xludf.DUMMYFUNCTION("""COMPUTED_VALUE"""),43874.66666666667)</f>
        <v>43874.66667</v>
      </c>
      <c r="B32" s="2">
        <f>IFERROR(__xludf.DUMMYFUNCTION("""COMPUTED_VALUE"""),901.88)</f>
        <v>901.88</v>
      </c>
      <c r="C32" s="2">
        <f>IFERROR(__xludf.DUMMYFUNCTION("""COMPUTED_VALUE"""),901.88)</f>
        <v>901.88</v>
      </c>
      <c r="D32" s="2">
        <f>IFERROR(__xludf.DUMMYFUNCTION("""COMPUTED_VALUE"""),851.0)</f>
        <v>851</v>
      </c>
      <c r="E32" s="2">
        <f>IFERROR(__xludf.DUMMYFUNCTION("""COMPUTED_VALUE"""),855.63)</f>
        <v>855.63</v>
      </c>
      <c r="F32" s="2">
        <f>IFERROR(__xludf.DUMMYFUNCTION("""COMPUTED_VALUE"""),1.06535E7)</f>
        <v>10653500</v>
      </c>
      <c r="G32" s="2">
        <f t="shared" si="1"/>
        <v>50.88</v>
      </c>
    </row>
    <row r="33" ht="15.75" customHeight="1">
      <c r="A33" s="1">
        <f>IFERROR(__xludf.DUMMYFUNCTION("""COMPUTED_VALUE"""),43875.66666666667)</f>
        <v>43875.66667</v>
      </c>
      <c r="B33" s="2">
        <f>IFERROR(__xludf.DUMMYFUNCTION("""COMPUTED_VALUE"""),855.63)</f>
        <v>855.63</v>
      </c>
      <c r="C33" s="2">
        <f>IFERROR(__xludf.DUMMYFUNCTION("""COMPUTED_VALUE"""),864.88)</f>
        <v>864.88</v>
      </c>
      <c r="D33" s="2">
        <f>IFERROR(__xludf.DUMMYFUNCTION("""COMPUTED_VALUE"""),841.75)</f>
        <v>841.75</v>
      </c>
      <c r="E33" s="2">
        <f>IFERROR(__xludf.DUMMYFUNCTION("""COMPUTED_VALUE"""),855.63)</f>
        <v>855.63</v>
      </c>
      <c r="F33" s="2">
        <f>IFERROR(__xludf.DUMMYFUNCTION("""COMPUTED_VALUE"""),4804900.0)</f>
        <v>4804900</v>
      </c>
      <c r="G33" s="2">
        <f t="shared" si="1"/>
        <v>23.13</v>
      </c>
    </row>
    <row r="34" ht="15.75" customHeight="1">
      <c r="A34" s="1">
        <f>IFERROR(__xludf.DUMMYFUNCTION("""COMPUTED_VALUE"""),43878.66666666667)</f>
        <v>43878.66667</v>
      </c>
      <c r="B34" s="2">
        <f>IFERROR(__xludf.DUMMYFUNCTION("""COMPUTED_VALUE"""),855.63)</f>
        <v>855.63</v>
      </c>
      <c r="C34" s="2">
        <f>IFERROR(__xludf.DUMMYFUNCTION("""COMPUTED_VALUE"""),888.0)</f>
        <v>888</v>
      </c>
      <c r="D34" s="2">
        <f>IFERROR(__xludf.DUMMYFUNCTION("""COMPUTED_VALUE"""),846.38)</f>
        <v>846.38</v>
      </c>
      <c r="E34" s="2">
        <f>IFERROR(__xludf.DUMMYFUNCTION("""COMPUTED_VALUE"""),869.5)</f>
        <v>869.5</v>
      </c>
      <c r="F34" s="2">
        <f>IFERROR(__xludf.DUMMYFUNCTION("""COMPUTED_VALUE"""),1.10109E7)</f>
        <v>11010900</v>
      </c>
      <c r="G34" s="2">
        <f t="shared" si="1"/>
        <v>41.62</v>
      </c>
    </row>
    <row r="35" ht="15.75" customHeight="1">
      <c r="A35" s="1">
        <f>IFERROR(__xludf.DUMMYFUNCTION("""COMPUTED_VALUE"""),43879.66666666667)</f>
        <v>43879.66667</v>
      </c>
      <c r="B35" s="2">
        <f>IFERROR(__xludf.DUMMYFUNCTION("""COMPUTED_VALUE"""),864.88)</f>
        <v>864.88</v>
      </c>
      <c r="C35" s="2">
        <f>IFERROR(__xludf.DUMMYFUNCTION("""COMPUTED_VALUE"""),906.5)</f>
        <v>906.5</v>
      </c>
      <c r="D35" s="2">
        <f>IFERROR(__xludf.DUMMYFUNCTION("""COMPUTED_VALUE"""),864.88)</f>
        <v>864.88</v>
      </c>
      <c r="E35" s="2">
        <f>IFERROR(__xludf.DUMMYFUNCTION("""COMPUTED_VALUE"""),897.25)</f>
        <v>897.25</v>
      </c>
      <c r="F35" s="2">
        <f>IFERROR(__xludf.DUMMYFUNCTION("""COMPUTED_VALUE"""),1.24491E7)</f>
        <v>12449100</v>
      </c>
      <c r="G35" s="2">
        <f t="shared" si="1"/>
        <v>41.62</v>
      </c>
    </row>
    <row r="36" ht="15.75" customHeight="1">
      <c r="A36" s="1">
        <f>IFERROR(__xludf.DUMMYFUNCTION("""COMPUTED_VALUE"""),43880.66666666667)</f>
        <v>43880.66667</v>
      </c>
      <c r="B36" s="2">
        <f>IFERROR(__xludf.DUMMYFUNCTION("""COMPUTED_VALUE"""),897.25)</f>
        <v>897.25</v>
      </c>
      <c r="C36" s="2">
        <f>IFERROR(__xludf.DUMMYFUNCTION("""COMPUTED_VALUE"""),943.51)</f>
        <v>943.51</v>
      </c>
      <c r="D36" s="2">
        <f>IFERROR(__xludf.DUMMYFUNCTION("""COMPUTED_VALUE"""),897.25)</f>
        <v>897.25</v>
      </c>
      <c r="E36" s="2">
        <f>IFERROR(__xludf.DUMMYFUNCTION("""COMPUTED_VALUE"""),920.38)</f>
        <v>920.38</v>
      </c>
      <c r="F36" s="2">
        <f>IFERROR(__xludf.DUMMYFUNCTION("""COMPUTED_VALUE"""),1.34769E7)</f>
        <v>13476900</v>
      </c>
      <c r="G36" s="2">
        <f t="shared" si="1"/>
        <v>46.26</v>
      </c>
    </row>
    <row r="37" ht="15.75" customHeight="1">
      <c r="A37" s="1">
        <f>IFERROR(__xludf.DUMMYFUNCTION("""COMPUTED_VALUE"""),43881.66666666667)</f>
        <v>43881.66667</v>
      </c>
      <c r="B37" s="2">
        <f>IFERROR(__xludf.DUMMYFUNCTION("""COMPUTED_VALUE"""),915.76)</f>
        <v>915.76</v>
      </c>
      <c r="C37" s="2">
        <f>IFERROR(__xludf.DUMMYFUNCTION("""COMPUTED_VALUE"""),929.63)</f>
        <v>929.63</v>
      </c>
      <c r="D37" s="2">
        <f>IFERROR(__xludf.DUMMYFUNCTION("""COMPUTED_VALUE"""),897.25)</f>
        <v>897.25</v>
      </c>
      <c r="E37" s="2">
        <f>IFERROR(__xludf.DUMMYFUNCTION("""COMPUTED_VALUE"""),897.25)</f>
        <v>897.25</v>
      </c>
      <c r="F37" s="2">
        <f>IFERROR(__xludf.DUMMYFUNCTION("""COMPUTED_VALUE"""),5876900.0)</f>
        <v>5876900</v>
      </c>
      <c r="G37" s="2">
        <f t="shared" si="1"/>
        <v>32.38</v>
      </c>
    </row>
    <row r="38" ht="15.75" customHeight="1">
      <c r="A38" s="1">
        <f>IFERROR(__xludf.DUMMYFUNCTION("""COMPUTED_VALUE"""),43882.66666666667)</f>
        <v>43882.66667</v>
      </c>
      <c r="B38" s="2">
        <f>IFERROR(__xludf.DUMMYFUNCTION("""COMPUTED_VALUE"""),897.25)</f>
        <v>897.25</v>
      </c>
      <c r="C38" s="2">
        <f>IFERROR(__xludf.DUMMYFUNCTION("""COMPUTED_VALUE"""),901.88)</f>
        <v>901.88</v>
      </c>
      <c r="D38" s="2">
        <f>IFERROR(__xludf.DUMMYFUNCTION("""COMPUTED_VALUE"""),864.88)</f>
        <v>864.88</v>
      </c>
      <c r="E38" s="2">
        <f>IFERROR(__xludf.DUMMYFUNCTION("""COMPUTED_VALUE"""),869.5)</f>
        <v>869.5</v>
      </c>
      <c r="F38" s="2">
        <f>IFERROR(__xludf.DUMMYFUNCTION("""COMPUTED_VALUE"""),8038700.0)</f>
        <v>8038700</v>
      </c>
      <c r="G38" s="2">
        <f t="shared" si="1"/>
        <v>37</v>
      </c>
    </row>
    <row r="39" ht="15.75" customHeight="1">
      <c r="A39" s="1">
        <f>IFERROR(__xludf.DUMMYFUNCTION("""COMPUTED_VALUE"""),43885.66666666667)</f>
        <v>43885.66667</v>
      </c>
      <c r="B39" s="2">
        <f>IFERROR(__xludf.DUMMYFUNCTION("""COMPUTED_VALUE"""),860.25)</f>
        <v>860.25</v>
      </c>
      <c r="C39" s="2">
        <f>IFERROR(__xludf.DUMMYFUNCTION("""COMPUTED_VALUE"""),860.25)</f>
        <v>860.25</v>
      </c>
      <c r="D39" s="2">
        <f>IFERROR(__xludf.DUMMYFUNCTION("""COMPUTED_VALUE"""),814.0)</f>
        <v>814</v>
      </c>
      <c r="E39" s="2">
        <f>IFERROR(__xludf.DUMMYFUNCTION("""COMPUTED_VALUE"""),818.63)</f>
        <v>818.63</v>
      </c>
      <c r="F39" s="2">
        <f>IFERROR(__xludf.DUMMYFUNCTION("""COMPUTED_VALUE"""),1.44286E7)</f>
        <v>14428600</v>
      </c>
      <c r="G39" s="2">
        <f t="shared" si="1"/>
        <v>55.5</v>
      </c>
    </row>
    <row r="40" ht="15.75" customHeight="1">
      <c r="A40" s="1">
        <f>IFERROR(__xludf.DUMMYFUNCTION("""COMPUTED_VALUE"""),43886.66666666667)</f>
        <v>43886.66667</v>
      </c>
      <c r="B40" s="2">
        <f>IFERROR(__xludf.DUMMYFUNCTION("""COMPUTED_VALUE"""),814.0)</f>
        <v>814</v>
      </c>
      <c r="C40" s="2">
        <f>IFERROR(__xludf.DUMMYFUNCTION("""COMPUTED_VALUE"""),823.25)</f>
        <v>823.25</v>
      </c>
      <c r="D40" s="2">
        <f>IFERROR(__xludf.DUMMYFUNCTION("""COMPUTED_VALUE"""),786.25)</f>
        <v>786.25</v>
      </c>
      <c r="E40" s="2">
        <f>IFERROR(__xludf.DUMMYFUNCTION("""COMPUTED_VALUE"""),804.75)</f>
        <v>804.75</v>
      </c>
      <c r="F40" s="2">
        <f>IFERROR(__xludf.DUMMYFUNCTION("""COMPUTED_VALUE"""),8429900.0)</f>
        <v>8429900</v>
      </c>
      <c r="G40" s="2">
        <f t="shared" si="1"/>
        <v>37</v>
      </c>
    </row>
    <row r="41" ht="15.75" customHeight="1">
      <c r="A41" s="1">
        <f>IFERROR(__xludf.DUMMYFUNCTION("""COMPUTED_VALUE"""),43887.66666666667)</f>
        <v>43887.66667</v>
      </c>
      <c r="B41" s="2">
        <f>IFERROR(__xludf.DUMMYFUNCTION("""COMPUTED_VALUE"""),795.5)</f>
        <v>795.5</v>
      </c>
      <c r="C41" s="2">
        <f>IFERROR(__xludf.DUMMYFUNCTION("""COMPUTED_VALUE"""),800.13)</f>
        <v>800.13</v>
      </c>
      <c r="D41" s="2">
        <f>IFERROR(__xludf.DUMMYFUNCTION("""COMPUTED_VALUE"""),767.75)</f>
        <v>767.75</v>
      </c>
      <c r="E41" s="2">
        <f>IFERROR(__xludf.DUMMYFUNCTION("""COMPUTED_VALUE"""),772.38)</f>
        <v>772.38</v>
      </c>
      <c r="F41" s="2">
        <f>IFERROR(__xludf.DUMMYFUNCTION("""COMPUTED_VALUE"""),8219600.0)</f>
        <v>8219600</v>
      </c>
      <c r="G41" s="2">
        <f t="shared" si="1"/>
        <v>37</v>
      </c>
    </row>
    <row r="42" ht="15.75" customHeight="1">
      <c r="A42" s="1">
        <f>IFERROR(__xludf.DUMMYFUNCTION("""COMPUTED_VALUE"""),43888.66666666667)</f>
        <v>43888.66667</v>
      </c>
      <c r="B42" s="2">
        <f>IFERROR(__xludf.DUMMYFUNCTION("""COMPUTED_VALUE"""),767.75)</f>
        <v>767.75</v>
      </c>
      <c r="C42" s="2">
        <f>IFERROR(__xludf.DUMMYFUNCTION("""COMPUTED_VALUE"""),772.38)</f>
        <v>772.38</v>
      </c>
      <c r="D42" s="2">
        <f>IFERROR(__xludf.DUMMYFUNCTION("""COMPUTED_VALUE"""),707.63)</f>
        <v>707.63</v>
      </c>
      <c r="E42" s="2">
        <f>IFERROR(__xludf.DUMMYFUNCTION("""COMPUTED_VALUE"""),721.5)</f>
        <v>721.5</v>
      </c>
      <c r="F42" s="2">
        <f>IFERROR(__xludf.DUMMYFUNCTION("""COMPUTED_VALUE"""),1.71966E7)</f>
        <v>17196600</v>
      </c>
      <c r="G42" s="2">
        <f t="shared" si="1"/>
        <v>64.75</v>
      </c>
    </row>
    <row r="43" ht="15.75" customHeight="1">
      <c r="A43" s="1">
        <f>IFERROR(__xludf.DUMMYFUNCTION("""COMPUTED_VALUE"""),43889.66666666667)</f>
        <v>43889.66667</v>
      </c>
      <c r="B43" s="2">
        <f>IFERROR(__xludf.DUMMYFUNCTION("""COMPUTED_VALUE"""),693.75)</f>
        <v>693.75</v>
      </c>
      <c r="C43" s="2">
        <f>IFERROR(__xludf.DUMMYFUNCTION("""COMPUTED_VALUE"""),698.38)</f>
        <v>698.38</v>
      </c>
      <c r="D43" s="2">
        <f>IFERROR(__xludf.DUMMYFUNCTION("""COMPUTED_VALUE"""),652.13)</f>
        <v>652.13</v>
      </c>
      <c r="E43" s="2">
        <f>IFERROR(__xludf.DUMMYFUNCTION("""COMPUTED_VALUE"""),698.38)</f>
        <v>698.38</v>
      </c>
      <c r="F43" s="2">
        <f>IFERROR(__xludf.DUMMYFUNCTION("""COMPUTED_VALUE"""),1.88207E7)</f>
        <v>18820700</v>
      </c>
      <c r="G43" s="2">
        <f t="shared" si="1"/>
        <v>69.37</v>
      </c>
    </row>
    <row r="44" ht="15.75" customHeight="1">
      <c r="A44" s="1">
        <f>IFERROR(__xludf.DUMMYFUNCTION("""COMPUTED_VALUE"""),43892.66666666667)</f>
        <v>43892.66667</v>
      </c>
      <c r="B44" s="2">
        <f>IFERROR(__xludf.DUMMYFUNCTION("""COMPUTED_VALUE"""),703.0)</f>
        <v>703</v>
      </c>
      <c r="C44" s="2">
        <f>IFERROR(__xludf.DUMMYFUNCTION("""COMPUTED_VALUE"""),721.5)</f>
        <v>721.5</v>
      </c>
      <c r="D44" s="2">
        <f>IFERROR(__xludf.DUMMYFUNCTION("""COMPUTED_VALUE"""),679.88)</f>
        <v>679.88</v>
      </c>
      <c r="E44" s="2">
        <f>IFERROR(__xludf.DUMMYFUNCTION("""COMPUTED_VALUE"""),689.13)</f>
        <v>689.13</v>
      </c>
      <c r="F44" s="2">
        <f>IFERROR(__xludf.DUMMYFUNCTION("""COMPUTED_VALUE"""),1.3466E7)</f>
        <v>13466000</v>
      </c>
      <c r="G44" s="2">
        <f t="shared" si="1"/>
        <v>41.62</v>
      </c>
    </row>
    <row r="45" ht="15.75" customHeight="1">
      <c r="A45" s="1">
        <f>IFERROR(__xludf.DUMMYFUNCTION("""COMPUTED_VALUE"""),43893.66666666667)</f>
        <v>43893.66667</v>
      </c>
      <c r="B45" s="2">
        <f>IFERROR(__xludf.DUMMYFUNCTION("""COMPUTED_VALUE"""),703.0)</f>
        <v>703</v>
      </c>
      <c r="C45" s="2">
        <f>IFERROR(__xludf.DUMMYFUNCTION("""COMPUTED_VALUE"""),726.13)</f>
        <v>726.13</v>
      </c>
      <c r="D45" s="2">
        <f>IFERROR(__xludf.DUMMYFUNCTION("""COMPUTED_VALUE"""),698.38)</f>
        <v>698.38</v>
      </c>
      <c r="E45" s="2">
        <f>IFERROR(__xludf.DUMMYFUNCTION("""COMPUTED_VALUE"""),703.0)</f>
        <v>703</v>
      </c>
      <c r="F45" s="2">
        <f>IFERROR(__xludf.DUMMYFUNCTION("""COMPUTED_VALUE"""),1.07746E7)</f>
        <v>10774600</v>
      </c>
      <c r="G45" s="2">
        <f t="shared" si="1"/>
        <v>37</v>
      </c>
    </row>
    <row r="46" ht="15.75" customHeight="1">
      <c r="A46" s="1">
        <f>IFERROR(__xludf.DUMMYFUNCTION("""COMPUTED_VALUE"""),43894.66666666667)</f>
        <v>43894.66667</v>
      </c>
      <c r="B46" s="2">
        <f>IFERROR(__xludf.DUMMYFUNCTION("""COMPUTED_VALUE"""),703.0)</f>
        <v>703</v>
      </c>
      <c r="C46" s="2">
        <f>IFERROR(__xludf.DUMMYFUNCTION("""COMPUTED_VALUE"""),740.0)</f>
        <v>740</v>
      </c>
      <c r="D46" s="2">
        <f>IFERROR(__xludf.DUMMYFUNCTION("""COMPUTED_VALUE"""),679.88)</f>
        <v>679.88</v>
      </c>
      <c r="E46" s="2">
        <f>IFERROR(__xludf.DUMMYFUNCTION("""COMPUTED_VALUE"""),730.75)</f>
        <v>730.75</v>
      </c>
      <c r="F46" s="2">
        <f>IFERROR(__xludf.DUMMYFUNCTION("""COMPUTED_VALUE"""),1.67167E7)</f>
        <v>16716700</v>
      </c>
      <c r="G46" s="2">
        <f t="shared" si="1"/>
        <v>60.12</v>
      </c>
    </row>
    <row r="47" ht="15.75" customHeight="1">
      <c r="A47" s="1">
        <f>IFERROR(__xludf.DUMMYFUNCTION("""COMPUTED_VALUE"""),43895.66666666667)</f>
        <v>43895.66667</v>
      </c>
      <c r="B47" s="2">
        <f>IFERROR(__xludf.DUMMYFUNCTION("""COMPUTED_VALUE"""),735.38)</f>
        <v>735.38</v>
      </c>
      <c r="C47" s="2">
        <f>IFERROR(__xludf.DUMMYFUNCTION("""COMPUTED_VALUE"""),753.88)</f>
        <v>753.88</v>
      </c>
      <c r="D47" s="2">
        <f>IFERROR(__xludf.DUMMYFUNCTION("""COMPUTED_VALUE"""),726.13)</f>
        <v>726.13</v>
      </c>
      <c r="E47" s="2">
        <f>IFERROR(__xludf.DUMMYFUNCTION("""COMPUTED_VALUE"""),730.75)</f>
        <v>730.75</v>
      </c>
      <c r="F47" s="2">
        <f>IFERROR(__xludf.DUMMYFUNCTION("""COMPUTED_VALUE"""),1.97031E7)</f>
        <v>19703100</v>
      </c>
      <c r="G47" s="2">
        <f t="shared" si="1"/>
        <v>27.75</v>
      </c>
    </row>
    <row r="48" ht="15.75" customHeight="1">
      <c r="A48" s="1">
        <f>IFERROR(__xludf.DUMMYFUNCTION("""COMPUTED_VALUE"""),43896.66666666667)</f>
        <v>43896.66667</v>
      </c>
      <c r="B48" s="2">
        <f>IFERROR(__xludf.DUMMYFUNCTION("""COMPUTED_VALUE"""),730.75)</f>
        <v>730.75</v>
      </c>
      <c r="C48" s="2">
        <f>IFERROR(__xludf.DUMMYFUNCTION("""COMPUTED_VALUE"""),730.75)</f>
        <v>730.75</v>
      </c>
      <c r="D48" s="2">
        <f>IFERROR(__xludf.DUMMYFUNCTION("""COMPUTED_VALUE"""),703.0)</f>
        <v>703</v>
      </c>
      <c r="E48" s="2">
        <f>IFERROR(__xludf.DUMMYFUNCTION("""COMPUTED_VALUE"""),707.63)</f>
        <v>707.63</v>
      </c>
      <c r="F48" s="2">
        <f>IFERROR(__xludf.DUMMYFUNCTION("""COMPUTED_VALUE"""),4834400.0)</f>
        <v>4834400</v>
      </c>
      <c r="G48" s="2">
        <f t="shared" si="1"/>
        <v>27.75</v>
      </c>
    </row>
    <row r="49" ht="15.75" customHeight="1">
      <c r="A49" s="1">
        <f>IFERROR(__xludf.DUMMYFUNCTION("""COMPUTED_VALUE"""),43899.66666666667)</f>
        <v>43899.66667</v>
      </c>
      <c r="B49" s="2">
        <f>IFERROR(__xludf.DUMMYFUNCTION("""COMPUTED_VALUE"""),698.38)</f>
        <v>698.38</v>
      </c>
      <c r="C49" s="2">
        <f>IFERROR(__xludf.DUMMYFUNCTION("""COMPUTED_VALUE"""),698.38)</f>
        <v>698.38</v>
      </c>
      <c r="D49" s="2">
        <f>IFERROR(__xludf.DUMMYFUNCTION("""COMPUTED_VALUE"""),610.5)</f>
        <v>610.5</v>
      </c>
      <c r="E49" s="2">
        <f>IFERROR(__xludf.DUMMYFUNCTION("""COMPUTED_VALUE"""),619.75)</f>
        <v>619.75</v>
      </c>
      <c r="F49" s="2">
        <f>IFERROR(__xludf.DUMMYFUNCTION("""COMPUTED_VALUE"""),1.68027E7)</f>
        <v>16802700</v>
      </c>
      <c r="G49" s="2">
        <f t="shared" si="1"/>
        <v>97.13</v>
      </c>
    </row>
    <row r="50" ht="15.75" customHeight="1">
      <c r="A50" s="1">
        <f>IFERROR(__xludf.DUMMYFUNCTION("""COMPUTED_VALUE"""),43900.66666666667)</f>
        <v>43900.66667</v>
      </c>
      <c r="B50" s="2">
        <f>IFERROR(__xludf.DUMMYFUNCTION("""COMPUTED_VALUE"""),629.0)</f>
        <v>629</v>
      </c>
      <c r="C50" s="2">
        <f>IFERROR(__xludf.DUMMYFUNCTION("""COMPUTED_VALUE"""),661.38)</f>
        <v>661.38</v>
      </c>
      <c r="D50" s="2">
        <f>IFERROR(__xludf.DUMMYFUNCTION("""COMPUTED_VALUE"""),619.75)</f>
        <v>619.75</v>
      </c>
      <c r="E50" s="2">
        <f>IFERROR(__xludf.DUMMYFUNCTION("""COMPUTED_VALUE"""),629.0)</f>
        <v>629</v>
      </c>
      <c r="F50" s="2">
        <f>IFERROR(__xludf.DUMMYFUNCTION("""COMPUTED_VALUE"""),2.46274E7)</f>
        <v>24627400</v>
      </c>
      <c r="G50" s="2">
        <f t="shared" si="1"/>
        <v>41.63</v>
      </c>
    </row>
    <row r="51" ht="15.75" customHeight="1">
      <c r="A51" s="1">
        <f>IFERROR(__xludf.DUMMYFUNCTION("""COMPUTED_VALUE"""),43901.66666666667)</f>
        <v>43901.66667</v>
      </c>
      <c r="B51" s="2">
        <f>IFERROR(__xludf.DUMMYFUNCTION("""COMPUTED_VALUE"""),633.63)</f>
        <v>633.63</v>
      </c>
      <c r="C51" s="2">
        <f>IFERROR(__xludf.DUMMYFUNCTION("""COMPUTED_VALUE"""),638.25)</f>
        <v>638.25</v>
      </c>
      <c r="D51" s="2">
        <f>IFERROR(__xludf.DUMMYFUNCTION("""COMPUTED_VALUE"""),573.5)</f>
        <v>573.5</v>
      </c>
      <c r="E51" s="2">
        <f>IFERROR(__xludf.DUMMYFUNCTION("""COMPUTED_VALUE"""),582.75)</f>
        <v>582.75</v>
      </c>
      <c r="F51" s="2">
        <f>IFERROR(__xludf.DUMMYFUNCTION("""COMPUTED_VALUE"""),1.29263E7)</f>
        <v>12926300</v>
      </c>
      <c r="G51" s="2">
        <f t="shared" si="1"/>
        <v>64.75</v>
      </c>
    </row>
    <row r="52" ht="15.75" customHeight="1">
      <c r="A52" s="1">
        <f>IFERROR(__xludf.DUMMYFUNCTION("""COMPUTED_VALUE"""),43902.66666666667)</f>
        <v>43902.66667</v>
      </c>
      <c r="B52" s="2">
        <f>IFERROR(__xludf.DUMMYFUNCTION("""COMPUTED_VALUE"""),555.0)</f>
        <v>555</v>
      </c>
      <c r="C52" s="2">
        <f>IFERROR(__xludf.DUMMYFUNCTION("""COMPUTED_VALUE"""),564.25)</f>
        <v>564.25</v>
      </c>
      <c r="D52" s="2">
        <f>IFERROR(__xludf.DUMMYFUNCTION("""COMPUTED_VALUE"""),527.25)</f>
        <v>527.25</v>
      </c>
      <c r="E52" s="2">
        <f>IFERROR(__xludf.DUMMYFUNCTION("""COMPUTED_VALUE"""),536.5)</f>
        <v>536.5</v>
      </c>
      <c r="F52" s="2">
        <f>IFERROR(__xludf.DUMMYFUNCTION("""COMPUTED_VALUE"""),1.93453E7)</f>
        <v>19345300</v>
      </c>
      <c r="G52" s="2">
        <f t="shared" si="1"/>
        <v>55.5</v>
      </c>
    </row>
    <row r="53" ht="15.75" customHeight="1">
      <c r="A53" s="1">
        <f>IFERROR(__xludf.DUMMYFUNCTION("""COMPUTED_VALUE"""),43903.66666666667)</f>
        <v>43903.66667</v>
      </c>
      <c r="B53" s="2">
        <f>IFERROR(__xludf.DUMMYFUNCTION("""COMPUTED_VALUE"""),499.5)</f>
        <v>499.5</v>
      </c>
      <c r="C53" s="2">
        <f>IFERROR(__xludf.DUMMYFUNCTION("""COMPUTED_VALUE"""),550.38)</f>
        <v>550.38</v>
      </c>
      <c r="D53" s="2">
        <f>IFERROR(__xludf.DUMMYFUNCTION("""COMPUTED_VALUE"""),499.5)</f>
        <v>499.5</v>
      </c>
      <c r="E53" s="2">
        <f>IFERROR(__xludf.DUMMYFUNCTION("""COMPUTED_VALUE"""),541.13)</f>
        <v>541.13</v>
      </c>
      <c r="F53" s="2">
        <f>IFERROR(__xludf.DUMMYFUNCTION("""COMPUTED_VALUE"""),1.73138E7)</f>
        <v>17313800</v>
      </c>
      <c r="G53" s="2">
        <f t="shared" si="1"/>
        <v>50.88</v>
      </c>
    </row>
    <row r="54" ht="15.75" customHeight="1">
      <c r="A54" s="1">
        <f>IFERROR(__xludf.DUMMYFUNCTION("""COMPUTED_VALUE"""),43906.66666666667)</f>
        <v>43906.66667</v>
      </c>
      <c r="B54" s="2">
        <f>IFERROR(__xludf.DUMMYFUNCTION("""COMPUTED_VALUE"""),536.5)</f>
        <v>536.5</v>
      </c>
      <c r="C54" s="2">
        <f>IFERROR(__xludf.DUMMYFUNCTION("""COMPUTED_VALUE"""),541.13)</f>
        <v>541.13</v>
      </c>
      <c r="D54" s="2">
        <f>IFERROR(__xludf.DUMMYFUNCTION("""COMPUTED_VALUE"""),504.13)</f>
        <v>504.13</v>
      </c>
      <c r="E54" s="2">
        <f>IFERROR(__xludf.DUMMYFUNCTION("""COMPUTED_VALUE"""),504.13)</f>
        <v>504.13</v>
      </c>
      <c r="F54" s="2">
        <f>IFERROR(__xludf.DUMMYFUNCTION("""COMPUTED_VALUE"""),1.04754E7)</f>
        <v>10475400</v>
      </c>
      <c r="G54" s="2">
        <f t="shared" si="1"/>
        <v>37</v>
      </c>
    </row>
    <row r="55" ht="15.75" customHeight="1">
      <c r="A55" s="1">
        <f>IFERROR(__xludf.DUMMYFUNCTION("""COMPUTED_VALUE"""),43907.66666666667)</f>
        <v>43907.66667</v>
      </c>
      <c r="B55" s="2">
        <f>IFERROR(__xludf.DUMMYFUNCTION("""COMPUTED_VALUE"""),481.0)</f>
        <v>481</v>
      </c>
      <c r="C55" s="2">
        <f>IFERROR(__xludf.DUMMYFUNCTION("""COMPUTED_VALUE"""),504.13)</f>
        <v>504.13</v>
      </c>
      <c r="D55" s="2">
        <f>IFERROR(__xludf.DUMMYFUNCTION("""COMPUTED_VALUE"""),471.75)</f>
        <v>471.75</v>
      </c>
      <c r="E55" s="2">
        <f>IFERROR(__xludf.DUMMYFUNCTION("""COMPUTED_VALUE"""),471.75)</f>
        <v>471.75</v>
      </c>
      <c r="F55" s="2">
        <f>IFERROR(__xludf.DUMMYFUNCTION("""COMPUTED_VALUE"""),7467600.0)</f>
        <v>7467600</v>
      </c>
      <c r="G55" s="2">
        <f t="shared" si="1"/>
        <v>32.38</v>
      </c>
    </row>
    <row r="56" ht="15.75" customHeight="1">
      <c r="A56" s="1">
        <f>IFERROR(__xludf.DUMMYFUNCTION("""COMPUTED_VALUE"""),43908.66666666667)</f>
        <v>43908.66667</v>
      </c>
      <c r="B56" s="2">
        <f>IFERROR(__xludf.DUMMYFUNCTION("""COMPUTED_VALUE"""),471.75)</f>
        <v>471.75</v>
      </c>
      <c r="C56" s="2">
        <f>IFERROR(__xludf.DUMMYFUNCTION("""COMPUTED_VALUE"""),471.75)</f>
        <v>471.75</v>
      </c>
      <c r="D56" s="2">
        <f>IFERROR(__xludf.DUMMYFUNCTION("""COMPUTED_VALUE"""),440.3)</f>
        <v>440.3</v>
      </c>
      <c r="E56" s="2">
        <f>IFERROR(__xludf.DUMMYFUNCTION("""COMPUTED_VALUE"""),440.3)</f>
        <v>440.3</v>
      </c>
      <c r="F56" s="2">
        <f>IFERROR(__xludf.DUMMYFUNCTION("""COMPUTED_VALUE"""),1.0571E7)</f>
        <v>10571000</v>
      </c>
      <c r="G56" s="2">
        <f t="shared" si="1"/>
        <v>31.45</v>
      </c>
    </row>
    <row r="57" ht="15.75" customHeight="1">
      <c r="A57" s="1">
        <f>IFERROR(__xludf.DUMMYFUNCTION("""COMPUTED_VALUE"""),43909.66666666667)</f>
        <v>43909.66667</v>
      </c>
      <c r="B57" s="2">
        <f>IFERROR(__xludf.DUMMYFUNCTION("""COMPUTED_VALUE"""),416.25)</f>
        <v>416.25</v>
      </c>
      <c r="C57" s="2">
        <f>IFERROR(__xludf.DUMMYFUNCTION("""COMPUTED_VALUE"""),423.65)</f>
        <v>423.65</v>
      </c>
      <c r="D57" s="2">
        <f>IFERROR(__xludf.DUMMYFUNCTION("""COMPUTED_VALUE"""),410.7)</f>
        <v>410.7</v>
      </c>
      <c r="E57" s="2">
        <f>IFERROR(__xludf.DUMMYFUNCTION("""COMPUTED_VALUE"""),410.7)</f>
        <v>410.7</v>
      </c>
      <c r="F57" s="2">
        <f>IFERROR(__xludf.DUMMYFUNCTION("""COMPUTED_VALUE"""),5352100.0)</f>
        <v>5352100</v>
      </c>
      <c r="G57" s="2">
        <f t="shared" si="1"/>
        <v>29.6</v>
      </c>
    </row>
    <row r="58" ht="15.75" customHeight="1">
      <c r="A58" s="1">
        <f>IFERROR(__xludf.DUMMYFUNCTION("""COMPUTED_VALUE"""),43910.66666666667)</f>
        <v>43910.66667</v>
      </c>
      <c r="B58" s="2">
        <f>IFERROR(__xludf.DUMMYFUNCTION("""COMPUTED_VALUE"""),410.7)</f>
        <v>410.7</v>
      </c>
      <c r="C58" s="2">
        <f>IFERROR(__xludf.DUMMYFUNCTION("""COMPUTED_VALUE"""),410.7)</f>
        <v>410.7</v>
      </c>
      <c r="D58" s="2">
        <f>IFERROR(__xludf.DUMMYFUNCTION("""COMPUTED_VALUE"""),382.95)</f>
        <v>382.95</v>
      </c>
      <c r="E58" s="2">
        <f>IFERROR(__xludf.DUMMYFUNCTION("""COMPUTED_VALUE"""),384.8)</f>
        <v>384.8</v>
      </c>
      <c r="F58" s="2">
        <f>IFERROR(__xludf.DUMMYFUNCTION("""COMPUTED_VALUE"""),2.51467E7)</f>
        <v>25146700</v>
      </c>
      <c r="G58" s="2">
        <f t="shared" si="1"/>
        <v>27.75</v>
      </c>
    </row>
    <row r="59" ht="15.75" customHeight="1">
      <c r="A59" s="1">
        <f>IFERROR(__xludf.DUMMYFUNCTION("""COMPUTED_VALUE"""),43913.66666666667)</f>
        <v>43913.66667</v>
      </c>
      <c r="B59" s="2">
        <f>IFERROR(__xludf.DUMMYFUNCTION("""COMPUTED_VALUE"""),384.8)</f>
        <v>384.8</v>
      </c>
      <c r="C59" s="2">
        <f>IFERROR(__xludf.DUMMYFUNCTION("""COMPUTED_VALUE"""),384.8)</f>
        <v>384.8</v>
      </c>
      <c r="D59" s="2">
        <f>IFERROR(__xludf.DUMMYFUNCTION("""COMPUTED_VALUE"""),358.9)</f>
        <v>358.9</v>
      </c>
      <c r="E59" s="2">
        <f>IFERROR(__xludf.DUMMYFUNCTION("""COMPUTED_VALUE"""),358.9)</f>
        <v>358.9</v>
      </c>
      <c r="F59" s="2">
        <f>IFERROR(__xludf.DUMMYFUNCTION("""COMPUTED_VALUE"""),5890200.0)</f>
        <v>5890200</v>
      </c>
      <c r="G59" s="2">
        <f t="shared" si="1"/>
        <v>25.9</v>
      </c>
    </row>
    <row r="60" ht="15.75" customHeight="1">
      <c r="A60" s="1">
        <f>IFERROR(__xludf.DUMMYFUNCTION("""COMPUTED_VALUE"""),43914.66666666667)</f>
        <v>43914.66667</v>
      </c>
      <c r="B60" s="2">
        <f>IFERROR(__xludf.DUMMYFUNCTION("""COMPUTED_VALUE"""),358.9)</f>
        <v>358.9</v>
      </c>
      <c r="C60" s="2">
        <f>IFERROR(__xludf.DUMMYFUNCTION("""COMPUTED_VALUE"""),375.55)</f>
        <v>375.55</v>
      </c>
      <c r="D60" s="2">
        <f>IFERROR(__xludf.DUMMYFUNCTION("""COMPUTED_VALUE"""),334.85)</f>
        <v>334.85</v>
      </c>
      <c r="E60" s="2">
        <f>IFERROR(__xludf.DUMMYFUNCTION("""COMPUTED_VALUE"""),357.05)</f>
        <v>357.05</v>
      </c>
      <c r="F60" s="2">
        <f>IFERROR(__xludf.DUMMYFUNCTION("""COMPUTED_VALUE"""),2.48877E7)</f>
        <v>24887700</v>
      </c>
      <c r="G60" s="2">
        <f t="shared" si="1"/>
        <v>40.7</v>
      </c>
    </row>
    <row r="61" ht="15.75" customHeight="1">
      <c r="A61" s="1">
        <f>IFERROR(__xludf.DUMMYFUNCTION("""COMPUTED_VALUE"""),43916.66666666667)</f>
        <v>43916.66667</v>
      </c>
      <c r="B61" s="2">
        <f>IFERROR(__xludf.DUMMYFUNCTION("""COMPUTED_VALUE"""),357.05)</f>
        <v>357.05</v>
      </c>
      <c r="C61" s="2">
        <f>IFERROR(__xludf.DUMMYFUNCTION("""COMPUTED_VALUE"""),427.35)</f>
        <v>427.35</v>
      </c>
      <c r="D61" s="2">
        <f>IFERROR(__xludf.DUMMYFUNCTION("""COMPUTED_VALUE"""),357.05)</f>
        <v>357.05</v>
      </c>
      <c r="E61" s="2">
        <f>IFERROR(__xludf.DUMMYFUNCTION("""COMPUTED_VALUE"""),421.8)</f>
        <v>421.8</v>
      </c>
      <c r="F61" s="2">
        <f>IFERROR(__xludf.DUMMYFUNCTION("""COMPUTED_VALUE"""),2.65109E7)</f>
        <v>26510900</v>
      </c>
      <c r="G61" s="2">
        <f t="shared" si="1"/>
        <v>70.3</v>
      </c>
    </row>
    <row r="62" ht="15.75" customHeight="1">
      <c r="A62" s="1">
        <f>IFERROR(__xludf.DUMMYFUNCTION("""COMPUTED_VALUE"""),43917.66666666667)</f>
        <v>43917.66667</v>
      </c>
      <c r="B62" s="2">
        <f>IFERROR(__xludf.DUMMYFUNCTION("""COMPUTED_VALUE"""),431.05)</f>
        <v>431.05</v>
      </c>
      <c r="C62" s="2">
        <f>IFERROR(__xludf.DUMMYFUNCTION("""COMPUTED_VALUE"""),518.0)</f>
        <v>518</v>
      </c>
      <c r="D62" s="2">
        <f>IFERROR(__xludf.DUMMYFUNCTION("""COMPUTED_VALUE"""),431.05)</f>
        <v>431.05</v>
      </c>
      <c r="E62" s="2">
        <f>IFERROR(__xludf.DUMMYFUNCTION("""COMPUTED_VALUE"""),518.0)</f>
        <v>518</v>
      </c>
      <c r="F62" s="2">
        <f>IFERROR(__xludf.DUMMYFUNCTION("""COMPUTED_VALUE"""),3.45511E7)</f>
        <v>34551100</v>
      </c>
      <c r="G62" s="2">
        <f t="shared" si="1"/>
        <v>96.2</v>
      </c>
    </row>
    <row r="63" ht="15.75" customHeight="1">
      <c r="A63" s="1">
        <f>IFERROR(__xludf.DUMMYFUNCTION("""COMPUTED_VALUE"""),43920.66666666667)</f>
        <v>43920.66667</v>
      </c>
      <c r="B63" s="2">
        <f>IFERROR(__xludf.DUMMYFUNCTION("""COMPUTED_VALUE"""),504.13)</f>
        <v>504.13</v>
      </c>
      <c r="C63" s="2">
        <f>IFERROR(__xludf.DUMMYFUNCTION("""COMPUTED_VALUE"""),508.75)</f>
        <v>508.75</v>
      </c>
      <c r="D63" s="2">
        <f>IFERROR(__xludf.DUMMYFUNCTION("""COMPUTED_VALUE"""),485.63)</f>
        <v>485.63</v>
      </c>
      <c r="E63" s="2">
        <f>IFERROR(__xludf.DUMMYFUNCTION("""COMPUTED_VALUE"""),485.63)</f>
        <v>485.63</v>
      </c>
      <c r="F63" s="2">
        <f>IFERROR(__xludf.DUMMYFUNCTION("""COMPUTED_VALUE"""),2.68508E7)</f>
        <v>26850800</v>
      </c>
      <c r="G63" s="2">
        <f t="shared" si="1"/>
        <v>32.37</v>
      </c>
    </row>
    <row r="64" ht="15.75" customHeight="1">
      <c r="A64" s="1">
        <f>IFERROR(__xludf.DUMMYFUNCTION("""COMPUTED_VALUE"""),43921.66666666667)</f>
        <v>43921.66667</v>
      </c>
      <c r="B64" s="2">
        <f>IFERROR(__xludf.DUMMYFUNCTION("""COMPUTED_VALUE"""),499.5)</f>
        <v>499.5</v>
      </c>
      <c r="C64" s="2">
        <f>IFERROR(__xludf.DUMMYFUNCTION("""COMPUTED_VALUE"""),550.38)</f>
        <v>550.38</v>
      </c>
      <c r="D64" s="2">
        <f>IFERROR(__xludf.DUMMYFUNCTION("""COMPUTED_VALUE"""),485.63)</f>
        <v>485.63</v>
      </c>
      <c r="E64" s="2">
        <f>IFERROR(__xludf.DUMMYFUNCTION("""COMPUTED_VALUE"""),494.88)</f>
        <v>494.88</v>
      </c>
      <c r="F64" s="2">
        <f>IFERROR(__xludf.DUMMYFUNCTION("""COMPUTED_VALUE"""),7002200.0)</f>
        <v>7002200</v>
      </c>
      <c r="G64" s="2">
        <f t="shared" si="1"/>
        <v>64.75</v>
      </c>
    </row>
    <row r="65" ht="15.75" customHeight="1">
      <c r="A65" s="1">
        <f>IFERROR(__xludf.DUMMYFUNCTION("""COMPUTED_VALUE"""),43922.66666666667)</f>
        <v>43922.66667</v>
      </c>
      <c r="B65" s="2">
        <f>IFERROR(__xludf.DUMMYFUNCTION("""COMPUTED_VALUE"""),485.63)</f>
        <v>485.63</v>
      </c>
      <c r="C65" s="2">
        <f>IFERROR(__xludf.DUMMYFUNCTION("""COMPUTED_VALUE"""),513.38)</f>
        <v>513.38</v>
      </c>
      <c r="D65" s="2">
        <f>IFERROR(__xludf.DUMMYFUNCTION("""COMPUTED_VALUE"""),462.5)</f>
        <v>462.5</v>
      </c>
      <c r="E65" s="2">
        <f>IFERROR(__xludf.DUMMYFUNCTION("""COMPUTED_VALUE"""),467.13)</f>
        <v>467.13</v>
      </c>
      <c r="F65" s="2">
        <f>IFERROR(__xludf.DUMMYFUNCTION("""COMPUTED_VALUE"""),2.9961E7)</f>
        <v>29961000</v>
      </c>
      <c r="G65" s="2">
        <f t="shared" si="1"/>
        <v>50.88</v>
      </c>
    </row>
    <row r="66" ht="15.75" customHeight="1">
      <c r="A66" s="1">
        <f>IFERROR(__xludf.DUMMYFUNCTION("""COMPUTED_VALUE"""),43923.66666666667)</f>
        <v>43923.66667</v>
      </c>
      <c r="B66" s="2">
        <f>IFERROR(__xludf.DUMMYFUNCTION("""COMPUTED_VALUE"""),471.75)</f>
        <v>471.75</v>
      </c>
      <c r="C66" s="2">
        <f>IFERROR(__xludf.DUMMYFUNCTION("""COMPUTED_VALUE"""),471.75)</f>
        <v>471.75</v>
      </c>
      <c r="D66" s="2">
        <f>IFERROR(__xludf.DUMMYFUNCTION("""COMPUTED_VALUE"""),434.75)</f>
        <v>434.75</v>
      </c>
      <c r="E66" s="2">
        <f>IFERROR(__xludf.DUMMYFUNCTION("""COMPUTED_VALUE"""),467.13)</f>
        <v>467.13</v>
      </c>
      <c r="F66" s="2">
        <f>IFERROR(__xludf.DUMMYFUNCTION("""COMPUTED_VALUE"""),3.27331E7)</f>
        <v>32733100</v>
      </c>
      <c r="G66" s="2">
        <f t="shared" si="1"/>
        <v>37</v>
      </c>
    </row>
    <row r="67" ht="15.75" customHeight="1">
      <c r="A67" s="1">
        <f>IFERROR(__xludf.DUMMYFUNCTION("""COMPUTED_VALUE"""),43924.66666666667)</f>
        <v>43924.66667</v>
      </c>
      <c r="B67" s="2">
        <f>IFERROR(__xludf.DUMMYFUNCTION("""COMPUTED_VALUE"""),467.13)</f>
        <v>467.13</v>
      </c>
      <c r="C67" s="2">
        <f>IFERROR(__xludf.DUMMYFUNCTION("""COMPUTED_VALUE"""),490.25)</f>
        <v>490.25</v>
      </c>
      <c r="D67" s="2">
        <f>IFERROR(__xludf.DUMMYFUNCTION("""COMPUTED_VALUE"""),467.13)</f>
        <v>467.13</v>
      </c>
      <c r="E67" s="2">
        <f>IFERROR(__xludf.DUMMYFUNCTION("""COMPUTED_VALUE"""),481.0)</f>
        <v>481</v>
      </c>
      <c r="F67" s="2">
        <f>IFERROR(__xludf.DUMMYFUNCTION("""COMPUTED_VALUE"""),3.04126E7)</f>
        <v>30412600</v>
      </c>
      <c r="G67" s="2">
        <f t="shared" si="1"/>
        <v>23.12</v>
      </c>
    </row>
    <row r="68" ht="15.75" customHeight="1">
      <c r="A68" s="1">
        <f>IFERROR(__xludf.DUMMYFUNCTION("""COMPUTED_VALUE"""),43927.66666666667)</f>
        <v>43927.66667</v>
      </c>
      <c r="B68" s="2">
        <f>IFERROR(__xludf.DUMMYFUNCTION("""COMPUTED_VALUE"""),485.63)</f>
        <v>485.63</v>
      </c>
      <c r="C68" s="2">
        <f>IFERROR(__xludf.DUMMYFUNCTION("""COMPUTED_VALUE"""),596.63)</f>
        <v>596.63</v>
      </c>
      <c r="D68" s="2">
        <f>IFERROR(__xludf.DUMMYFUNCTION("""COMPUTED_VALUE"""),485.63)</f>
        <v>485.63</v>
      </c>
      <c r="E68" s="2">
        <f>IFERROR(__xludf.DUMMYFUNCTION("""COMPUTED_VALUE"""),592.0)</f>
        <v>592</v>
      </c>
      <c r="F68" s="2">
        <f>IFERROR(__xludf.DUMMYFUNCTION("""COMPUTED_VALUE"""),8.78801E7)</f>
        <v>87880100</v>
      </c>
      <c r="G68" s="2">
        <f t="shared" si="1"/>
        <v>115.63</v>
      </c>
    </row>
    <row r="69" ht="15.75" customHeight="1">
      <c r="A69" s="1">
        <f>IFERROR(__xludf.DUMMYFUNCTION("""COMPUTED_VALUE"""),43928.66666666667)</f>
        <v>43928.66667</v>
      </c>
      <c r="B69" s="2">
        <f>IFERROR(__xludf.DUMMYFUNCTION("""COMPUTED_VALUE"""),610.5)</f>
        <v>610.5</v>
      </c>
      <c r="C69" s="2">
        <f>IFERROR(__xludf.DUMMYFUNCTION("""COMPUTED_VALUE"""),642.88)</f>
        <v>642.88</v>
      </c>
      <c r="D69" s="2">
        <f>IFERROR(__xludf.DUMMYFUNCTION("""COMPUTED_VALUE"""),568.88)</f>
        <v>568.88</v>
      </c>
      <c r="E69" s="2">
        <f>IFERROR(__xludf.DUMMYFUNCTION("""COMPUTED_VALUE"""),582.75)</f>
        <v>582.75</v>
      </c>
      <c r="F69" s="2">
        <f>IFERROR(__xludf.DUMMYFUNCTION("""COMPUTED_VALUE"""),8.24568E7)</f>
        <v>82456800</v>
      </c>
      <c r="G69" s="2">
        <f t="shared" si="1"/>
        <v>74</v>
      </c>
    </row>
    <row r="70" ht="15.75" customHeight="1">
      <c r="A70" s="1">
        <f>IFERROR(__xludf.DUMMYFUNCTION("""COMPUTED_VALUE"""),43929.66666666667)</f>
        <v>43929.66667</v>
      </c>
      <c r="B70" s="2">
        <f>IFERROR(__xludf.DUMMYFUNCTION("""COMPUTED_VALUE"""),582.75)</f>
        <v>582.75</v>
      </c>
      <c r="C70" s="2">
        <f>IFERROR(__xludf.DUMMYFUNCTION("""COMPUTED_VALUE"""),592.0)</f>
        <v>592</v>
      </c>
      <c r="D70" s="2">
        <f>IFERROR(__xludf.DUMMYFUNCTION("""COMPUTED_VALUE"""),545.75)</f>
        <v>545.75</v>
      </c>
      <c r="E70" s="2">
        <f>IFERROR(__xludf.DUMMYFUNCTION("""COMPUTED_VALUE"""),545.75)</f>
        <v>545.75</v>
      </c>
      <c r="F70" s="2">
        <f>IFERROR(__xludf.DUMMYFUNCTION("""COMPUTED_VALUE"""),4.21147E7)</f>
        <v>42114700</v>
      </c>
      <c r="G70" s="2">
        <f t="shared" si="1"/>
        <v>46.25</v>
      </c>
    </row>
    <row r="71" ht="15.75" customHeight="1">
      <c r="A71" s="1">
        <f>IFERROR(__xludf.DUMMYFUNCTION("""COMPUTED_VALUE"""),43930.66666666667)</f>
        <v>43930.66667</v>
      </c>
      <c r="B71" s="2">
        <f>IFERROR(__xludf.DUMMYFUNCTION("""COMPUTED_VALUE"""),545.75)</f>
        <v>545.75</v>
      </c>
      <c r="C71" s="2">
        <f>IFERROR(__xludf.DUMMYFUNCTION("""COMPUTED_VALUE"""),564.25)</f>
        <v>564.25</v>
      </c>
      <c r="D71" s="2">
        <f>IFERROR(__xludf.DUMMYFUNCTION("""COMPUTED_VALUE"""),513.38)</f>
        <v>513.38</v>
      </c>
      <c r="E71" s="2">
        <f>IFERROR(__xludf.DUMMYFUNCTION("""COMPUTED_VALUE"""),545.75)</f>
        <v>545.75</v>
      </c>
      <c r="F71" s="2">
        <f>IFERROR(__xludf.DUMMYFUNCTION("""COMPUTED_VALUE"""),1.19601E7)</f>
        <v>11960100</v>
      </c>
      <c r="G71" s="2">
        <f t="shared" si="1"/>
        <v>50.87</v>
      </c>
    </row>
    <row r="72" ht="15.75" customHeight="1">
      <c r="A72" s="1">
        <f>IFERROR(__xludf.DUMMYFUNCTION("""COMPUTED_VALUE"""),43934.66666666667)</f>
        <v>43934.66667</v>
      </c>
      <c r="B72" s="2">
        <f>IFERROR(__xludf.DUMMYFUNCTION("""COMPUTED_VALUE"""),545.75)</f>
        <v>545.75</v>
      </c>
      <c r="C72" s="2">
        <f>IFERROR(__xludf.DUMMYFUNCTION("""COMPUTED_VALUE"""),601.25)</f>
        <v>601.25</v>
      </c>
      <c r="D72" s="2">
        <f>IFERROR(__xludf.DUMMYFUNCTION("""COMPUTED_VALUE"""),531.88)</f>
        <v>531.88</v>
      </c>
      <c r="E72" s="2">
        <f>IFERROR(__xludf.DUMMYFUNCTION("""COMPUTED_VALUE"""),587.38)</f>
        <v>587.38</v>
      </c>
      <c r="F72" s="2">
        <f>IFERROR(__xludf.DUMMYFUNCTION("""COMPUTED_VALUE"""),2.42943E7)</f>
        <v>24294300</v>
      </c>
      <c r="G72" s="2">
        <f t="shared" si="1"/>
        <v>69.37</v>
      </c>
    </row>
    <row r="73" ht="15.75" customHeight="1">
      <c r="A73" s="1">
        <f>IFERROR(__xludf.DUMMYFUNCTION("""COMPUTED_VALUE"""),43935.66666666667)</f>
        <v>43935.66667</v>
      </c>
      <c r="B73" s="2">
        <f>IFERROR(__xludf.DUMMYFUNCTION("""COMPUTED_VALUE"""),596.63)</f>
        <v>596.63</v>
      </c>
      <c r="C73" s="2">
        <f>IFERROR(__xludf.DUMMYFUNCTION("""COMPUTED_VALUE"""),615.13)</f>
        <v>615.13</v>
      </c>
      <c r="D73" s="2">
        <f>IFERROR(__xludf.DUMMYFUNCTION("""COMPUTED_VALUE"""),587.38)</f>
        <v>587.38</v>
      </c>
      <c r="E73" s="2">
        <f>IFERROR(__xludf.DUMMYFUNCTION("""COMPUTED_VALUE"""),601.25)</f>
        <v>601.25</v>
      </c>
      <c r="F73" s="2">
        <f>IFERROR(__xludf.DUMMYFUNCTION("""COMPUTED_VALUE"""),2.73847E7)</f>
        <v>27384700</v>
      </c>
      <c r="G73" s="2">
        <f t="shared" si="1"/>
        <v>27.75</v>
      </c>
    </row>
    <row r="74" ht="15.75" customHeight="1">
      <c r="A74" s="1">
        <f>IFERROR(__xludf.DUMMYFUNCTION("""COMPUTED_VALUE"""),43936.66666666667)</f>
        <v>43936.66667</v>
      </c>
      <c r="B74" s="2">
        <f>IFERROR(__xludf.DUMMYFUNCTION("""COMPUTED_VALUE"""),619.75)</f>
        <v>619.75</v>
      </c>
      <c r="C74" s="2">
        <f>IFERROR(__xludf.DUMMYFUNCTION("""COMPUTED_VALUE"""),619.75)</f>
        <v>619.75</v>
      </c>
      <c r="D74" s="2">
        <f>IFERROR(__xludf.DUMMYFUNCTION("""COMPUTED_VALUE"""),578.13)</f>
        <v>578.13</v>
      </c>
      <c r="E74" s="2">
        <f>IFERROR(__xludf.DUMMYFUNCTION("""COMPUTED_VALUE"""),582.75)</f>
        <v>582.75</v>
      </c>
      <c r="F74" s="2">
        <f>IFERROR(__xludf.DUMMYFUNCTION("""COMPUTED_VALUE"""),3.68652E7)</f>
        <v>36865200</v>
      </c>
      <c r="G74" s="2">
        <f t="shared" si="1"/>
        <v>41.62</v>
      </c>
    </row>
    <row r="75" ht="15.75" customHeight="1">
      <c r="A75" s="1">
        <f>IFERROR(__xludf.DUMMYFUNCTION("""COMPUTED_VALUE"""),43937.66666666667)</f>
        <v>43937.66667</v>
      </c>
      <c r="B75" s="2">
        <f>IFERROR(__xludf.DUMMYFUNCTION("""COMPUTED_VALUE"""),578.13)</f>
        <v>578.13</v>
      </c>
      <c r="C75" s="2">
        <f>IFERROR(__xludf.DUMMYFUNCTION("""COMPUTED_VALUE"""),587.38)</f>
        <v>587.38</v>
      </c>
      <c r="D75" s="2">
        <f>IFERROR(__xludf.DUMMYFUNCTION("""COMPUTED_VALUE"""),550.38)</f>
        <v>550.38</v>
      </c>
      <c r="E75" s="2">
        <f>IFERROR(__xludf.DUMMYFUNCTION("""COMPUTED_VALUE"""),555.0)</f>
        <v>555</v>
      </c>
      <c r="F75" s="2">
        <f>IFERROR(__xludf.DUMMYFUNCTION("""COMPUTED_VALUE"""),1.87798E7)</f>
        <v>18779800</v>
      </c>
      <c r="G75" s="2">
        <f t="shared" si="1"/>
        <v>37</v>
      </c>
    </row>
    <row r="76" ht="15.75" customHeight="1">
      <c r="A76" s="1">
        <f>IFERROR(__xludf.DUMMYFUNCTION("""COMPUTED_VALUE"""),43938.66666666667)</f>
        <v>43938.66667</v>
      </c>
      <c r="B76" s="2">
        <f>IFERROR(__xludf.DUMMYFUNCTION("""COMPUTED_VALUE"""),568.88)</f>
        <v>568.88</v>
      </c>
      <c r="C76" s="2">
        <f>IFERROR(__xludf.DUMMYFUNCTION("""COMPUTED_VALUE"""),592.0)</f>
        <v>592</v>
      </c>
      <c r="D76" s="2">
        <f>IFERROR(__xludf.DUMMYFUNCTION("""COMPUTED_VALUE"""),550.38)</f>
        <v>550.38</v>
      </c>
      <c r="E76" s="2">
        <f>IFERROR(__xludf.DUMMYFUNCTION("""COMPUTED_VALUE"""),587.38)</f>
        <v>587.38</v>
      </c>
      <c r="F76" s="2">
        <f>IFERROR(__xludf.DUMMYFUNCTION("""COMPUTED_VALUE"""),1.24513E7)</f>
        <v>12451300</v>
      </c>
      <c r="G76" s="2">
        <f t="shared" si="1"/>
        <v>41.62</v>
      </c>
    </row>
    <row r="77" ht="15.75" customHeight="1">
      <c r="A77" s="1">
        <f>IFERROR(__xludf.DUMMYFUNCTION("""COMPUTED_VALUE"""),43941.66666666667)</f>
        <v>43941.66667</v>
      </c>
      <c r="B77" s="2">
        <f>IFERROR(__xludf.DUMMYFUNCTION("""COMPUTED_VALUE"""),587.38)</f>
        <v>587.38</v>
      </c>
      <c r="C77" s="2">
        <f>IFERROR(__xludf.DUMMYFUNCTION("""COMPUTED_VALUE"""),601.25)</f>
        <v>601.25</v>
      </c>
      <c r="D77" s="2">
        <f>IFERROR(__xludf.DUMMYFUNCTION("""COMPUTED_VALUE"""),568.88)</f>
        <v>568.88</v>
      </c>
      <c r="E77" s="2">
        <f>IFERROR(__xludf.DUMMYFUNCTION("""COMPUTED_VALUE"""),568.88)</f>
        <v>568.88</v>
      </c>
      <c r="F77" s="2">
        <f>IFERROR(__xludf.DUMMYFUNCTION("""COMPUTED_VALUE"""),9081800.0)</f>
        <v>9081800</v>
      </c>
      <c r="G77" s="2">
        <f t="shared" si="1"/>
        <v>32.37</v>
      </c>
    </row>
    <row r="78" ht="15.75" customHeight="1">
      <c r="A78" s="1">
        <f>IFERROR(__xludf.DUMMYFUNCTION("""COMPUTED_VALUE"""),43942.66666666667)</f>
        <v>43942.66667</v>
      </c>
      <c r="B78" s="2">
        <f>IFERROR(__xludf.DUMMYFUNCTION("""COMPUTED_VALUE"""),568.88)</f>
        <v>568.88</v>
      </c>
      <c r="C78" s="2">
        <f>IFERROR(__xludf.DUMMYFUNCTION("""COMPUTED_VALUE"""),568.88)</f>
        <v>568.88</v>
      </c>
      <c r="D78" s="2">
        <f>IFERROR(__xludf.DUMMYFUNCTION("""COMPUTED_VALUE"""),536.5)</f>
        <v>536.5</v>
      </c>
      <c r="E78" s="2">
        <f>IFERROR(__xludf.DUMMYFUNCTION("""COMPUTED_VALUE"""),541.13)</f>
        <v>541.13</v>
      </c>
      <c r="F78" s="2">
        <f>IFERROR(__xludf.DUMMYFUNCTION("""COMPUTED_VALUE"""),1.25385E7)</f>
        <v>12538500</v>
      </c>
      <c r="G78" s="2">
        <f t="shared" si="1"/>
        <v>32.38</v>
      </c>
    </row>
    <row r="79" ht="15.75" customHeight="1">
      <c r="A79" s="1">
        <f>IFERROR(__xludf.DUMMYFUNCTION("""COMPUTED_VALUE"""),43943.66666666667)</f>
        <v>43943.66667</v>
      </c>
      <c r="B79" s="2">
        <f>IFERROR(__xludf.DUMMYFUNCTION("""COMPUTED_VALUE"""),536.5)</f>
        <v>536.5</v>
      </c>
      <c r="C79" s="2">
        <f>IFERROR(__xludf.DUMMYFUNCTION("""COMPUTED_VALUE"""),550.38)</f>
        <v>550.38</v>
      </c>
      <c r="D79" s="2">
        <f>IFERROR(__xludf.DUMMYFUNCTION("""COMPUTED_VALUE"""),518.0)</f>
        <v>518</v>
      </c>
      <c r="E79" s="2">
        <f>IFERROR(__xludf.DUMMYFUNCTION("""COMPUTED_VALUE"""),541.13)</f>
        <v>541.13</v>
      </c>
      <c r="F79" s="2">
        <f>IFERROR(__xludf.DUMMYFUNCTION("""COMPUTED_VALUE"""),1.39979E7)</f>
        <v>13997900</v>
      </c>
      <c r="G79" s="2">
        <f t="shared" si="1"/>
        <v>32.38</v>
      </c>
    </row>
    <row r="80" ht="15.75" customHeight="1">
      <c r="A80" s="1">
        <f>IFERROR(__xludf.DUMMYFUNCTION("""COMPUTED_VALUE"""),43944.66666666667)</f>
        <v>43944.66667</v>
      </c>
      <c r="B80" s="2">
        <f>IFERROR(__xludf.DUMMYFUNCTION("""COMPUTED_VALUE"""),550.38)</f>
        <v>550.38</v>
      </c>
      <c r="C80" s="2">
        <f>IFERROR(__xludf.DUMMYFUNCTION("""COMPUTED_VALUE"""),555.0)</f>
        <v>555</v>
      </c>
      <c r="D80" s="2">
        <f>IFERROR(__xludf.DUMMYFUNCTION("""COMPUTED_VALUE"""),527.25)</f>
        <v>527.25</v>
      </c>
      <c r="E80" s="2">
        <f>IFERROR(__xludf.DUMMYFUNCTION("""COMPUTED_VALUE"""),527.25)</f>
        <v>527.25</v>
      </c>
      <c r="F80" s="2">
        <f>IFERROR(__xludf.DUMMYFUNCTION("""COMPUTED_VALUE"""),5648300.0)</f>
        <v>5648300</v>
      </c>
      <c r="G80" s="2">
        <f t="shared" si="1"/>
        <v>27.75</v>
      </c>
    </row>
    <row r="81" ht="15.75" customHeight="1">
      <c r="A81" s="1">
        <f>IFERROR(__xludf.DUMMYFUNCTION("""COMPUTED_VALUE"""),43945.66666666667)</f>
        <v>43945.66667</v>
      </c>
      <c r="B81" s="2">
        <f>IFERROR(__xludf.DUMMYFUNCTION("""COMPUTED_VALUE"""),527.25)</f>
        <v>527.25</v>
      </c>
      <c r="C81" s="2">
        <f>IFERROR(__xludf.DUMMYFUNCTION("""COMPUTED_VALUE"""),527.25)</f>
        <v>527.25</v>
      </c>
      <c r="D81" s="2">
        <f>IFERROR(__xludf.DUMMYFUNCTION("""COMPUTED_VALUE"""),494.88)</f>
        <v>494.88</v>
      </c>
      <c r="E81" s="2">
        <f>IFERROR(__xludf.DUMMYFUNCTION("""COMPUTED_VALUE"""),494.88)</f>
        <v>494.88</v>
      </c>
      <c r="F81" s="2">
        <f>IFERROR(__xludf.DUMMYFUNCTION("""COMPUTED_VALUE"""),1.58038E7)</f>
        <v>15803800</v>
      </c>
      <c r="G81" s="2">
        <f t="shared" si="1"/>
        <v>32.37</v>
      </c>
    </row>
    <row r="82" ht="15.75" customHeight="1">
      <c r="A82" s="1">
        <f>IFERROR(__xludf.DUMMYFUNCTION("""COMPUTED_VALUE"""),43948.66666666667)</f>
        <v>43948.66667</v>
      </c>
      <c r="B82" s="2">
        <f>IFERROR(__xludf.DUMMYFUNCTION("""COMPUTED_VALUE"""),471.75)</f>
        <v>471.75</v>
      </c>
      <c r="C82" s="2">
        <f>IFERROR(__xludf.DUMMYFUNCTION("""COMPUTED_VALUE"""),499.5)</f>
        <v>499.5</v>
      </c>
      <c r="D82" s="2">
        <f>IFERROR(__xludf.DUMMYFUNCTION("""COMPUTED_VALUE"""),460.65)</f>
        <v>460.65</v>
      </c>
      <c r="E82" s="2">
        <f>IFERROR(__xludf.DUMMYFUNCTION("""COMPUTED_VALUE"""),476.38)</f>
        <v>476.38</v>
      </c>
      <c r="F82" s="2">
        <f>IFERROR(__xludf.DUMMYFUNCTION("""COMPUTED_VALUE"""),2.04595E7)</f>
        <v>20459500</v>
      </c>
      <c r="G82" s="2">
        <f t="shared" si="1"/>
        <v>38.85</v>
      </c>
    </row>
    <row r="83" ht="15.75" customHeight="1">
      <c r="A83" s="1">
        <f>IFERROR(__xludf.DUMMYFUNCTION("""COMPUTED_VALUE"""),43949.66666666667)</f>
        <v>43949.66667</v>
      </c>
      <c r="B83" s="2">
        <f>IFERROR(__xludf.DUMMYFUNCTION("""COMPUTED_VALUE"""),471.75)</f>
        <v>471.75</v>
      </c>
      <c r="C83" s="2">
        <f>IFERROR(__xludf.DUMMYFUNCTION("""COMPUTED_VALUE"""),494.88)</f>
        <v>494.88</v>
      </c>
      <c r="D83" s="2">
        <f>IFERROR(__xludf.DUMMYFUNCTION("""COMPUTED_VALUE"""),467.13)</f>
        <v>467.13</v>
      </c>
      <c r="E83" s="2">
        <f>IFERROR(__xludf.DUMMYFUNCTION("""COMPUTED_VALUE"""),481.0)</f>
        <v>481</v>
      </c>
      <c r="F83" s="2">
        <f>IFERROR(__xludf.DUMMYFUNCTION("""COMPUTED_VALUE"""),2.36801E7)</f>
        <v>23680100</v>
      </c>
      <c r="G83" s="2">
        <f t="shared" si="1"/>
        <v>27.75</v>
      </c>
    </row>
    <row r="84" ht="15.75" customHeight="1">
      <c r="A84" s="1">
        <f>IFERROR(__xludf.DUMMYFUNCTION("""COMPUTED_VALUE"""),43950.66666666667)</f>
        <v>43950.66667</v>
      </c>
      <c r="B84" s="2">
        <f>IFERROR(__xludf.DUMMYFUNCTION("""COMPUTED_VALUE"""),485.63)</f>
        <v>485.63</v>
      </c>
      <c r="C84" s="2">
        <f>IFERROR(__xludf.DUMMYFUNCTION("""COMPUTED_VALUE"""),499.5)</f>
        <v>499.5</v>
      </c>
      <c r="D84" s="2">
        <f>IFERROR(__xludf.DUMMYFUNCTION("""COMPUTED_VALUE"""),481.0)</f>
        <v>481</v>
      </c>
      <c r="E84" s="2">
        <f>IFERROR(__xludf.DUMMYFUNCTION("""COMPUTED_VALUE"""),485.63)</f>
        <v>485.63</v>
      </c>
      <c r="F84" s="2">
        <f>IFERROR(__xludf.DUMMYFUNCTION("""COMPUTED_VALUE"""),8704200.0)</f>
        <v>8704200</v>
      </c>
      <c r="G84" s="2">
        <f t="shared" si="1"/>
        <v>18.5</v>
      </c>
    </row>
    <row r="85" ht="15.75" customHeight="1">
      <c r="A85" s="1">
        <f>IFERROR(__xludf.DUMMYFUNCTION("""COMPUTED_VALUE"""),43951.66666666667)</f>
        <v>43951.66667</v>
      </c>
      <c r="B85" s="2">
        <f>IFERROR(__xludf.DUMMYFUNCTION("""COMPUTED_VALUE"""),499.5)</f>
        <v>499.5</v>
      </c>
      <c r="C85" s="2">
        <f>IFERROR(__xludf.DUMMYFUNCTION("""COMPUTED_VALUE"""),522.63)</f>
        <v>522.63</v>
      </c>
      <c r="D85" s="2">
        <f>IFERROR(__xludf.DUMMYFUNCTION("""COMPUTED_VALUE"""),490.25)</f>
        <v>490.25</v>
      </c>
      <c r="E85" s="2">
        <f>IFERROR(__xludf.DUMMYFUNCTION("""COMPUTED_VALUE"""),508.75)</f>
        <v>508.75</v>
      </c>
      <c r="F85" s="2">
        <f>IFERROR(__xludf.DUMMYFUNCTION("""COMPUTED_VALUE"""),2.23362E7)</f>
        <v>22336200</v>
      </c>
      <c r="G85" s="2">
        <f t="shared" si="1"/>
        <v>37</v>
      </c>
    </row>
    <row r="86" ht="15.75" customHeight="1">
      <c r="A86" s="1">
        <f>IFERROR(__xludf.DUMMYFUNCTION("""COMPUTED_VALUE"""),43955.66666666667)</f>
        <v>43955.66667</v>
      </c>
      <c r="B86" s="2">
        <f>IFERROR(__xludf.DUMMYFUNCTION("""COMPUTED_VALUE"""),499.5)</f>
        <v>499.5</v>
      </c>
      <c r="C86" s="2">
        <f>IFERROR(__xludf.DUMMYFUNCTION("""COMPUTED_VALUE"""),508.75)</f>
        <v>508.75</v>
      </c>
      <c r="D86" s="2">
        <f>IFERROR(__xludf.DUMMYFUNCTION("""COMPUTED_VALUE"""),481.0)</f>
        <v>481</v>
      </c>
      <c r="E86" s="2">
        <f>IFERROR(__xludf.DUMMYFUNCTION("""COMPUTED_VALUE"""),485.63)</f>
        <v>485.63</v>
      </c>
      <c r="F86" s="2">
        <f>IFERROR(__xludf.DUMMYFUNCTION("""COMPUTED_VALUE"""),8464900.0)</f>
        <v>8464900</v>
      </c>
      <c r="G86" s="2">
        <f t="shared" si="1"/>
        <v>27.75</v>
      </c>
    </row>
    <row r="87" ht="15.75" customHeight="1">
      <c r="A87" s="1">
        <f>IFERROR(__xludf.DUMMYFUNCTION("""COMPUTED_VALUE"""),43956.66666666667)</f>
        <v>43956.66667</v>
      </c>
      <c r="B87" s="2">
        <f>IFERROR(__xludf.DUMMYFUNCTION("""COMPUTED_VALUE"""),490.25)</f>
        <v>490.25</v>
      </c>
      <c r="C87" s="2">
        <f>IFERROR(__xludf.DUMMYFUNCTION("""COMPUTED_VALUE"""),499.5)</f>
        <v>499.5</v>
      </c>
      <c r="D87" s="2">
        <f>IFERROR(__xludf.DUMMYFUNCTION("""COMPUTED_VALUE"""),481.0)</f>
        <v>481</v>
      </c>
      <c r="E87" s="2">
        <f>IFERROR(__xludf.DUMMYFUNCTION("""COMPUTED_VALUE"""),494.88)</f>
        <v>494.88</v>
      </c>
      <c r="F87" s="2">
        <f>IFERROR(__xludf.DUMMYFUNCTION("""COMPUTED_VALUE"""),1.46066E7)</f>
        <v>14606600</v>
      </c>
      <c r="G87" s="2">
        <f t="shared" si="1"/>
        <v>18.5</v>
      </c>
    </row>
    <row r="88" ht="15.75" customHeight="1">
      <c r="A88" s="1">
        <f>IFERROR(__xludf.DUMMYFUNCTION("""COMPUTED_VALUE"""),43957.66666666667)</f>
        <v>43957.66667</v>
      </c>
      <c r="B88" s="2">
        <f>IFERROR(__xludf.DUMMYFUNCTION("""COMPUTED_VALUE"""),494.88)</f>
        <v>494.88</v>
      </c>
      <c r="C88" s="2">
        <f>IFERROR(__xludf.DUMMYFUNCTION("""COMPUTED_VALUE"""),504.13)</f>
        <v>504.13</v>
      </c>
      <c r="D88" s="2">
        <f>IFERROR(__xludf.DUMMYFUNCTION("""COMPUTED_VALUE"""),485.63)</f>
        <v>485.63</v>
      </c>
      <c r="E88" s="2">
        <f>IFERROR(__xludf.DUMMYFUNCTION("""COMPUTED_VALUE"""),490.25)</f>
        <v>490.25</v>
      </c>
      <c r="F88" s="2">
        <f>IFERROR(__xludf.DUMMYFUNCTION("""COMPUTED_VALUE"""),7991800.0)</f>
        <v>7991800</v>
      </c>
      <c r="G88" s="2">
        <f t="shared" si="1"/>
        <v>18.5</v>
      </c>
    </row>
    <row r="89" ht="15.75" customHeight="1">
      <c r="A89" s="1">
        <f>IFERROR(__xludf.DUMMYFUNCTION("""COMPUTED_VALUE"""),43959.66666666667)</f>
        <v>43959.66667</v>
      </c>
      <c r="B89" s="2">
        <f>IFERROR(__xludf.DUMMYFUNCTION("""COMPUTED_VALUE"""),499.5)</f>
        <v>499.5</v>
      </c>
      <c r="C89" s="2">
        <f>IFERROR(__xludf.DUMMYFUNCTION("""COMPUTED_VALUE"""),504.13)</f>
        <v>504.13</v>
      </c>
      <c r="D89" s="2">
        <f>IFERROR(__xludf.DUMMYFUNCTION("""COMPUTED_VALUE"""),485.63)</f>
        <v>485.63</v>
      </c>
      <c r="E89" s="2">
        <f>IFERROR(__xludf.DUMMYFUNCTION("""COMPUTED_VALUE"""),490.25)</f>
        <v>490.25</v>
      </c>
      <c r="F89" s="2">
        <f>IFERROR(__xludf.DUMMYFUNCTION("""COMPUTED_VALUE"""),8115900.0)</f>
        <v>8115900</v>
      </c>
      <c r="G89" s="2">
        <f t="shared" si="1"/>
        <v>18.5</v>
      </c>
    </row>
    <row r="90" ht="15.75" customHeight="1">
      <c r="A90" s="1">
        <f>IFERROR(__xludf.DUMMYFUNCTION("""COMPUTED_VALUE"""),43962.66666666667)</f>
        <v>43962.66667</v>
      </c>
      <c r="B90" s="2">
        <f>IFERROR(__xludf.DUMMYFUNCTION("""COMPUTED_VALUE"""),494.88)</f>
        <v>494.88</v>
      </c>
      <c r="C90" s="2">
        <f>IFERROR(__xludf.DUMMYFUNCTION("""COMPUTED_VALUE"""),518.0)</f>
        <v>518</v>
      </c>
      <c r="D90" s="2">
        <f>IFERROR(__xludf.DUMMYFUNCTION("""COMPUTED_VALUE"""),494.88)</f>
        <v>494.88</v>
      </c>
      <c r="E90" s="2">
        <f>IFERROR(__xludf.DUMMYFUNCTION("""COMPUTED_VALUE"""),499.5)</f>
        <v>499.5</v>
      </c>
      <c r="F90" s="2">
        <f>IFERROR(__xludf.DUMMYFUNCTION("""COMPUTED_VALUE"""),1.75951E7)</f>
        <v>17595100</v>
      </c>
      <c r="G90" s="2">
        <f t="shared" si="1"/>
        <v>27.75</v>
      </c>
    </row>
    <row r="91" ht="15.75" customHeight="1">
      <c r="A91" s="1">
        <f>IFERROR(__xludf.DUMMYFUNCTION("""COMPUTED_VALUE"""),43963.66666666667)</f>
        <v>43963.66667</v>
      </c>
      <c r="B91" s="2">
        <f>IFERROR(__xludf.DUMMYFUNCTION("""COMPUTED_VALUE"""),499.5)</f>
        <v>499.5</v>
      </c>
      <c r="C91" s="2">
        <f>IFERROR(__xludf.DUMMYFUNCTION("""COMPUTED_VALUE"""),499.5)</f>
        <v>499.5</v>
      </c>
      <c r="D91" s="2">
        <f>IFERROR(__xludf.DUMMYFUNCTION("""COMPUTED_VALUE"""),471.75)</f>
        <v>471.75</v>
      </c>
      <c r="E91" s="2">
        <f>IFERROR(__xludf.DUMMYFUNCTION("""COMPUTED_VALUE"""),476.38)</f>
        <v>476.38</v>
      </c>
      <c r="F91" s="2">
        <f>IFERROR(__xludf.DUMMYFUNCTION("""COMPUTED_VALUE"""),1.02468E7)</f>
        <v>10246800</v>
      </c>
      <c r="G91" s="2">
        <f t="shared" si="1"/>
        <v>27.75</v>
      </c>
    </row>
    <row r="92" ht="15.75" customHeight="1">
      <c r="A92" s="1">
        <f>IFERROR(__xludf.DUMMYFUNCTION("""COMPUTED_VALUE"""),43964.66666666667)</f>
        <v>43964.66667</v>
      </c>
      <c r="B92" s="2">
        <f>IFERROR(__xludf.DUMMYFUNCTION("""COMPUTED_VALUE"""),462.5)</f>
        <v>462.5</v>
      </c>
      <c r="C92" s="2">
        <f>IFERROR(__xludf.DUMMYFUNCTION("""COMPUTED_VALUE"""),476.38)</f>
        <v>476.38</v>
      </c>
      <c r="D92" s="2">
        <f>IFERROR(__xludf.DUMMYFUNCTION("""COMPUTED_VALUE"""),455.1)</f>
        <v>455.1</v>
      </c>
      <c r="E92" s="2">
        <f>IFERROR(__xludf.DUMMYFUNCTION("""COMPUTED_VALUE"""),455.1)</f>
        <v>455.1</v>
      </c>
      <c r="F92" s="2">
        <f>IFERROR(__xludf.DUMMYFUNCTION("""COMPUTED_VALUE"""),2.47175E7)</f>
        <v>24717500</v>
      </c>
      <c r="G92" s="2">
        <f t="shared" si="1"/>
        <v>21.28</v>
      </c>
    </row>
    <row r="93" ht="15.75" customHeight="1">
      <c r="A93" s="1">
        <f>IFERROR(__xludf.DUMMYFUNCTION("""COMPUTED_VALUE"""),43965.66666666667)</f>
        <v>43965.66667</v>
      </c>
      <c r="B93" s="2">
        <f>IFERROR(__xludf.DUMMYFUNCTION("""COMPUTED_VALUE"""),453.25)</f>
        <v>453.25</v>
      </c>
      <c r="C93" s="2">
        <f>IFERROR(__xludf.DUMMYFUNCTION("""COMPUTED_VALUE"""),462.5)</f>
        <v>462.5</v>
      </c>
      <c r="D93" s="2">
        <f>IFERROR(__xludf.DUMMYFUNCTION("""COMPUTED_VALUE"""),451.4)</f>
        <v>451.4</v>
      </c>
      <c r="E93" s="2">
        <f>IFERROR(__xludf.DUMMYFUNCTION("""COMPUTED_VALUE"""),453.25)</f>
        <v>453.25</v>
      </c>
      <c r="F93" s="2">
        <f>IFERROR(__xludf.DUMMYFUNCTION("""COMPUTED_VALUE"""),8454300.0)</f>
        <v>8454300</v>
      </c>
      <c r="G93" s="2">
        <f t="shared" si="1"/>
        <v>11.1</v>
      </c>
    </row>
    <row r="94" ht="15.75" customHeight="1">
      <c r="A94" s="1">
        <f>IFERROR(__xludf.DUMMYFUNCTION("""COMPUTED_VALUE"""),43966.66666666667)</f>
        <v>43966.66667</v>
      </c>
      <c r="B94" s="2">
        <f>IFERROR(__xludf.DUMMYFUNCTION("""COMPUTED_VALUE"""),456.95)</f>
        <v>456.95</v>
      </c>
      <c r="C94" s="2">
        <f>IFERROR(__xludf.DUMMYFUNCTION("""COMPUTED_VALUE"""),460.65)</f>
        <v>460.65</v>
      </c>
      <c r="D94" s="2">
        <f>IFERROR(__xludf.DUMMYFUNCTION("""COMPUTED_VALUE"""),447.7)</f>
        <v>447.7</v>
      </c>
      <c r="E94" s="2">
        <f>IFERROR(__xludf.DUMMYFUNCTION("""COMPUTED_VALUE"""),449.55)</f>
        <v>449.55</v>
      </c>
      <c r="F94" s="2">
        <f>IFERROR(__xludf.DUMMYFUNCTION("""COMPUTED_VALUE"""),8357700.0)</f>
        <v>8357700</v>
      </c>
      <c r="G94" s="2">
        <f t="shared" si="1"/>
        <v>12.95</v>
      </c>
    </row>
    <row r="95" ht="15.75" customHeight="1">
      <c r="A95" s="1">
        <f>IFERROR(__xludf.DUMMYFUNCTION("""COMPUTED_VALUE"""),43969.66666666667)</f>
        <v>43969.66667</v>
      </c>
      <c r="B95" s="2">
        <f>IFERROR(__xludf.DUMMYFUNCTION("""COMPUTED_VALUE"""),453.25)</f>
        <v>453.25</v>
      </c>
      <c r="C95" s="2">
        <f>IFERROR(__xludf.DUMMYFUNCTION("""COMPUTED_VALUE"""),453.25)</f>
        <v>453.25</v>
      </c>
      <c r="D95" s="2">
        <f>IFERROR(__xludf.DUMMYFUNCTION("""COMPUTED_VALUE"""),438.45)</f>
        <v>438.45</v>
      </c>
      <c r="E95" s="2">
        <f>IFERROR(__xludf.DUMMYFUNCTION("""COMPUTED_VALUE"""),440.3)</f>
        <v>440.3</v>
      </c>
      <c r="F95" s="2">
        <f>IFERROR(__xludf.DUMMYFUNCTION("""COMPUTED_VALUE"""),8077800.0)</f>
        <v>8077800</v>
      </c>
      <c r="G95" s="2">
        <f t="shared" si="1"/>
        <v>14.8</v>
      </c>
    </row>
    <row r="96" ht="15.75" customHeight="1">
      <c r="A96" s="1">
        <f>IFERROR(__xludf.DUMMYFUNCTION("""COMPUTED_VALUE"""),43970.66666666667)</f>
        <v>43970.66667</v>
      </c>
      <c r="B96" s="2">
        <f>IFERROR(__xludf.DUMMYFUNCTION("""COMPUTED_VALUE"""),447.7)</f>
        <v>447.7</v>
      </c>
      <c r="C96" s="2">
        <f>IFERROR(__xludf.DUMMYFUNCTION("""COMPUTED_VALUE"""),458.8)</f>
        <v>458.8</v>
      </c>
      <c r="D96" s="2">
        <f>IFERROR(__xludf.DUMMYFUNCTION("""COMPUTED_VALUE"""),445.85)</f>
        <v>445.85</v>
      </c>
      <c r="E96" s="2">
        <f>IFERROR(__xludf.DUMMYFUNCTION("""COMPUTED_VALUE"""),455.1)</f>
        <v>455.1</v>
      </c>
      <c r="F96" s="2">
        <f>IFERROR(__xludf.DUMMYFUNCTION("""COMPUTED_VALUE"""),8475600.0)</f>
        <v>8475600</v>
      </c>
      <c r="G96" s="2">
        <f t="shared" si="1"/>
        <v>18.5</v>
      </c>
    </row>
    <row r="97" ht="15.75" customHeight="1">
      <c r="A97" s="1">
        <f>IFERROR(__xludf.DUMMYFUNCTION("""COMPUTED_VALUE"""),43971.66666666667)</f>
        <v>43971.66667</v>
      </c>
      <c r="B97" s="2">
        <f>IFERROR(__xludf.DUMMYFUNCTION("""COMPUTED_VALUE"""),455.1)</f>
        <v>455.1</v>
      </c>
      <c r="C97" s="2">
        <f>IFERROR(__xludf.DUMMYFUNCTION("""COMPUTED_VALUE"""),460.65)</f>
        <v>460.65</v>
      </c>
      <c r="D97" s="2">
        <f>IFERROR(__xludf.DUMMYFUNCTION("""COMPUTED_VALUE"""),455.1)</f>
        <v>455.1</v>
      </c>
      <c r="E97" s="2">
        <f>IFERROR(__xludf.DUMMYFUNCTION("""COMPUTED_VALUE"""),458.8)</f>
        <v>458.8</v>
      </c>
      <c r="F97" s="2">
        <f>IFERROR(__xludf.DUMMYFUNCTION("""COMPUTED_VALUE"""),5111100.0)</f>
        <v>5111100</v>
      </c>
      <c r="G97" s="2">
        <f t="shared" si="1"/>
        <v>5.55</v>
      </c>
    </row>
    <row r="98" ht="15.75" customHeight="1">
      <c r="A98" s="1">
        <f>IFERROR(__xludf.DUMMYFUNCTION("""COMPUTED_VALUE"""),43977.66666666667)</f>
        <v>43977.66667</v>
      </c>
      <c r="B98" s="2">
        <f>IFERROR(__xludf.DUMMYFUNCTION("""COMPUTED_VALUE"""),460.65)</f>
        <v>460.65</v>
      </c>
      <c r="C98" s="2">
        <f>IFERROR(__xludf.DUMMYFUNCTION("""COMPUTED_VALUE"""),471.75)</f>
        <v>471.75</v>
      </c>
      <c r="D98" s="2">
        <f>IFERROR(__xludf.DUMMYFUNCTION("""COMPUTED_VALUE"""),456.95)</f>
        <v>456.95</v>
      </c>
      <c r="E98" s="2">
        <f>IFERROR(__xludf.DUMMYFUNCTION("""COMPUTED_VALUE"""),471.75)</f>
        <v>471.75</v>
      </c>
      <c r="F98" s="2">
        <f>IFERROR(__xludf.DUMMYFUNCTION("""COMPUTED_VALUE"""),3.05124E7)</f>
        <v>30512400</v>
      </c>
      <c r="G98" s="2">
        <f t="shared" si="1"/>
        <v>14.8</v>
      </c>
    </row>
    <row r="99" ht="15.75" customHeight="1">
      <c r="A99" s="1">
        <f>IFERROR(__xludf.DUMMYFUNCTION("""COMPUTED_VALUE"""),43978.66666666667)</f>
        <v>43978.66667</v>
      </c>
      <c r="B99" s="2">
        <f>IFERROR(__xludf.DUMMYFUNCTION("""COMPUTED_VALUE"""),471.75)</f>
        <v>471.75</v>
      </c>
      <c r="C99" s="2">
        <f>IFERROR(__xludf.DUMMYFUNCTION("""COMPUTED_VALUE"""),481.0)</f>
        <v>481</v>
      </c>
      <c r="D99" s="2">
        <f>IFERROR(__xludf.DUMMYFUNCTION("""COMPUTED_VALUE"""),467.13)</f>
        <v>467.13</v>
      </c>
      <c r="E99" s="2">
        <f>IFERROR(__xludf.DUMMYFUNCTION("""COMPUTED_VALUE"""),476.38)</f>
        <v>476.38</v>
      </c>
      <c r="F99" s="2">
        <f>IFERROR(__xludf.DUMMYFUNCTION("""COMPUTED_VALUE"""),2.07199E7)</f>
        <v>20719900</v>
      </c>
      <c r="G99" s="2">
        <f t="shared" si="1"/>
        <v>13.87</v>
      </c>
    </row>
    <row r="100" ht="15.75" customHeight="1">
      <c r="A100" s="1">
        <f>IFERROR(__xludf.DUMMYFUNCTION("""COMPUTED_VALUE"""),43979.66666666667)</f>
        <v>43979.66667</v>
      </c>
      <c r="B100" s="2">
        <f>IFERROR(__xludf.DUMMYFUNCTION("""COMPUTED_VALUE"""),481.0)</f>
        <v>481</v>
      </c>
      <c r="C100" s="2">
        <f>IFERROR(__xludf.DUMMYFUNCTION("""COMPUTED_VALUE"""),504.13)</f>
        <v>504.13</v>
      </c>
      <c r="D100" s="2">
        <f>IFERROR(__xludf.DUMMYFUNCTION("""COMPUTED_VALUE"""),476.38)</f>
        <v>476.38</v>
      </c>
      <c r="E100" s="2">
        <f>IFERROR(__xludf.DUMMYFUNCTION("""COMPUTED_VALUE"""),490.25)</f>
        <v>490.25</v>
      </c>
      <c r="F100" s="2">
        <f>IFERROR(__xludf.DUMMYFUNCTION("""COMPUTED_VALUE"""),4.04678E7)</f>
        <v>40467800</v>
      </c>
      <c r="G100" s="2">
        <f t="shared" si="1"/>
        <v>27.75</v>
      </c>
    </row>
    <row r="101" ht="15.75" customHeight="1">
      <c r="A101" s="1">
        <f>IFERROR(__xludf.DUMMYFUNCTION("""COMPUTED_VALUE"""),43980.66666666667)</f>
        <v>43980.66667</v>
      </c>
      <c r="B101" s="2">
        <f>IFERROR(__xludf.DUMMYFUNCTION("""COMPUTED_VALUE"""),485.63)</f>
        <v>485.63</v>
      </c>
      <c r="C101" s="2">
        <f>IFERROR(__xludf.DUMMYFUNCTION("""COMPUTED_VALUE"""),490.25)</f>
        <v>490.25</v>
      </c>
      <c r="D101" s="2">
        <f>IFERROR(__xludf.DUMMYFUNCTION("""COMPUTED_VALUE"""),462.5)</f>
        <v>462.5</v>
      </c>
      <c r="E101" s="2">
        <f>IFERROR(__xludf.DUMMYFUNCTION("""COMPUTED_VALUE"""),462.5)</f>
        <v>462.5</v>
      </c>
      <c r="F101" s="2">
        <f>IFERROR(__xludf.DUMMYFUNCTION("""COMPUTED_VALUE"""),3.54266E7)</f>
        <v>35426600</v>
      </c>
      <c r="G101" s="2">
        <f t="shared" si="1"/>
        <v>27.75</v>
      </c>
    </row>
    <row r="102" ht="15.75" customHeight="1">
      <c r="A102" s="1">
        <f>IFERROR(__xludf.DUMMYFUNCTION("""COMPUTED_VALUE"""),43984.66666666667)</f>
        <v>43984.66667</v>
      </c>
      <c r="B102" s="2">
        <f>IFERROR(__xludf.DUMMYFUNCTION("""COMPUTED_VALUE"""),467.13)</f>
        <v>467.13</v>
      </c>
      <c r="C102" s="2">
        <f>IFERROR(__xludf.DUMMYFUNCTION("""COMPUTED_VALUE"""),485.63)</f>
        <v>485.63</v>
      </c>
      <c r="D102" s="2">
        <f>IFERROR(__xludf.DUMMYFUNCTION("""COMPUTED_VALUE"""),462.5)</f>
        <v>462.5</v>
      </c>
      <c r="E102" s="2">
        <f>IFERROR(__xludf.DUMMYFUNCTION("""COMPUTED_VALUE"""),476.38)</f>
        <v>476.38</v>
      </c>
      <c r="F102" s="2">
        <f>IFERROR(__xludf.DUMMYFUNCTION("""COMPUTED_VALUE"""),2.61579E7)</f>
        <v>26157900</v>
      </c>
      <c r="G102" s="2">
        <f t="shared" si="1"/>
        <v>23.13</v>
      </c>
    </row>
    <row r="103" ht="15.75" customHeight="1">
      <c r="A103" s="1">
        <f>IFERROR(__xludf.DUMMYFUNCTION("""COMPUTED_VALUE"""),43985.66666666667)</f>
        <v>43985.66667</v>
      </c>
      <c r="B103" s="2">
        <f>IFERROR(__xludf.DUMMYFUNCTION("""COMPUTED_VALUE"""),476.38)</f>
        <v>476.38</v>
      </c>
      <c r="C103" s="2">
        <f>IFERROR(__xludf.DUMMYFUNCTION("""COMPUTED_VALUE"""),499.5)</f>
        <v>499.5</v>
      </c>
      <c r="D103" s="2">
        <f>IFERROR(__xludf.DUMMYFUNCTION("""COMPUTED_VALUE"""),476.38)</f>
        <v>476.38</v>
      </c>
      <c r="E103" s="2">
        <f>IFERROR(__xludf.DUMMYFUNCTION("""COMPUTED_VALUE"""),494.88)</f>
        <v>494.88</v>
      </c>
      <c r="F103" s="2">
        <f>IFERROR(__xludf.DUMMYFUNCTION("""COMPUTED_VALUE"""),3.47163E7)</f>
        <v>34716300</v>
      </c>
      <c r="G103" s="2">
        <f t="shared" si="1"/>
        <v>23.12</v>
      </c>
    </row>
    <row r="104" ht="15.75" customHeight="1">
      <c r="A104" s="1">
        <f>IFERROR(__xludf.DUMMYFUNCTION("""COMPUTED_VALUE"""),43986.66666666667)</f>
        <v>43986.66667</v>
      </c>
      <c r="B104" s="2">
        <f>IFERROR(__xludf.DUMMYFUNCTION("""COMPUTED_VALUE"""),504.13)</f>
        <v>504.13</v>
      </c>
      <c r="C104" s="2">
        <f>IFERROR(__xludf.DUMMYFUNCTION("""COMPUTED_VALUE"""),592.0)</f>
        <v>592</v>
      </c>
      <c r="D104" s="2">
        <f>IFERROR(__xludf.DUMMYFUNCTION("""COMPUTED_VALUE"""),499.5)</f>
        <v>499.5</v>
      </c>
      <c r="E104" s="2">
        <f>IFERROR(__xludf.DUMMYFUNCTION("""COMPUTED_VALUE"""),545.75)</f>
        <v>545.75</v>
      </c>
      <c r="F104" s="2">
        <f>IFERROR(__xludf.DUMMYFUNCTION("""COMPUTED_VALUE"""),1.447996E8)</f>
        <v>144799600</v>
      </c>
      <c r="G104" s="2">
        <f t="shared" si="1"/>
        <v>97.12</v>
      </c>
    </row>
    <row r="105" ht="15.75" customHeight="1">
      <c r="A105" s="1">
        <f>IFERROR(__xludf.DUMMYFUNCTION("""COMPUTED_VALUE"""),43987.66666666667)</f>
        <v>43987.66667</v>
      </c>
      <c r="B105" s="2">
        <f>IFERROR(__xludf.DUMMYFUNCTION("""COMPUTED_VALUE"""),555.0)</f>
        <v>555</v>
      </c>
      <c r="C105" s="2">
        <f>IFERROR(__xludf.DUMMYFUNCTION("""COMPUTED_VALUE"""),582.75)</f>
        <v>582.75</v>
      </c>
      <c r="D105" s="2">
        <f>IFERROR(__xludf.DUMMYFUNCTION("""COMPUTED_VALUE"""),545.75)</f>
        <v>545.75</v>
      </c>
      <c r="E105" s="2">
        <f>IFERROR(__xludf.DUMMYFUNCTION("""COMPUTED_VALUE"""),578.13)</f>
        <v>578.13</v>
      </c>
      <c r="F105" s="2">
        <f>IFERROR(__xludf.DUMMYFUNCTION("""COMPUTED_VALUE"""),7.55033E7)</f>
        <v>75503300</v>
      </c>
      <c r="G105" s="2">
        <f t="shared" si="1"/>
        <v>37</v>
      </c>
    </row>
    <row r="106" ht="15.75" customHeight="1">
      <c r="A106" s="1">
        <f>IFERROR(__xludf.DUMMYFUNCTION("""COMPUTED_VALUE"""),43990.66666666667)</f>
        <v>43990.66667</v>
      </c>
      <c r="B106" s="2">
        <f>IFERROR(__xludf.DUMMYFUNCTION("""COMPUTED_VALUE"""),592.0)</f>
        <v>592</v>
      </c>
      <c r="C106" s="2">
        <f>IFERROR(__xludf.DUMMYFUNCTION("""COMPUTED_VALUE"""),633.63)</f>
        <v>633.63</v>
      </c>
      <c r="D106" s="2">
        <f>IFERROR(__xludf.DUMMYFUNCTION("""COMPUTED_VALUE"""),587.38)</f>
        <v>587.38</v>
      </c>
      <c r="E106" s="2">
        <f>IFERROR(__xludf.DUMMYFUNCTION("""COMPUTED_VALUE"""),610.5)</f>
        <v>610.5</v>
      </c>
      <c r="F106" s="2">
        <f>IFERROR(__xludf.DUMMYFUNCTION("""COMPUTED_VALUE"""),1.216165E8)</f>
        <v>121616500</v>
      </c>
      <c r="G106" s="2">
        <f t="shared" si="1"/>
        <v>55.5</v>
      </c>
    </row>
    <row r="107" ht="15.75" customHeight="1">
      <c r="A107" s="1">
        <f>IFERROR(__xludf.DUMMYFUNCTION("""COMPUTED_VALUE"""),43991.66666666667)</f>
        <v>43991.66667</v>
      </c>
      <c r="B107" s="2">
        <f>IFERROR(__xludf.DUMMYFUNCTION("""COMPUTED_VALUE"""),629.0)</f>
        <v>629</v>
      </c>
      <c r="C107" s="2">
        <f>IFERROR(__xludf.DUMMYFUNCTION("""COMPUTED_VALUE"""),652.13)</f>
        <v>652.13</v>
      </c>
      <c r="D107" s="2">
        <f>IFERROR(__xludf.DUMMYFUNCTION("""COMPUTED_VALUE"""),601.25)</f>
        <v>601.25</v>
      </c>
      <c r="E107" s="2">
        <f>IFERROR(__xludf.DUMMYFUNCTION("""COMPUTED_VALUE"""),610.5)</f>
        <v>610.5</v>
      </c>
      <c r="F107" s="2">
        <f>IFERROR(__xludf.DUMMYFUNCTION("""COMPUTED_VALUE"""),1.210976E8)</f>
        <v>121097600</v>
      </c>
      <c r="G107" s="2">
        <f t="shared" si="1"/>
        <v>50.88</v>
      </c>
    </row>
    <row r="108" ht="15.75" customHeight="1">
      <c r="A108" s="1">
        <f>IFERROR(__xludf.DUMMYFUNCTION("""COMPUTED_VALUE"""),43992.66666666667)</f>
        <v>43992.66667</v>
      </c>
      <c r="B108" s="2">
        <f>IFERROR(__xludf.DUMMYFUNCTION("""COMPUTED_VALUE"""),610.5)</f>
        <v>610.5</v>
      </c>
      <c r="C108" s="2">
        <f>IFERROR(__xludf.DUMMYFUNCTION("""COMPUTED_VALUE"""),619.75)</f>
        <v>619.75</v>
      </c>
      <c r="D108" s="2">
        <f>IFERROR(__xludf.DUMMYFUNCTION("""COMPUTED_VALUE"""),578.13)</f>
        <v>578.13</v>
      </c>
      <c r="E108" s="2">
        <f>IFERROR(__xludf.DUMMYFUNCTION("""COMPUTED_VALUE"""),592.0)</f>
        <v>592</v>
      </c>
      <c r="F108" s="2">
        <f>IFERROR(__xludf.DUMMYFUNCTION("""COMPUTED_VALUE"""),3.33374E7)</f>
        <v>33337400</v>
      </c>
      <c r="G108" s="2">
        <f t="shared" si="1"/>
        <v>41.62</v>
      </c>
    </row>
    <row r="109" ht="15.75" customHeight="1">
      <c r="A109" s="1">
        <f>IFERROR(__xludf.DUMMYFUNCTION("""COMPUTED_VALUE"""),43993.66666666667)</f>
        <v>43993.66667</v>
      </c>
      <c r="B109" s="2">
        <f>IFERROR(__xludf.DUMMYFUNCTION("""COMPUTED_VALUE"""),592.0)</f>
        <v>592</v>
      </c>
      <c r="C109" s="2">
        <f>IFERROR(__xludf.DUMMYFUNCTION("""COMPUTED_VALUE"""),596.63)</f>
        <v>596.63</v>
      </c>
      <c r="D109" s="2">
        <f>IFERROR(__xludf.DUMMYFUNCTION("""COMPUTED_VALUE"""),555.0)</f>
        <v>555</v>
      </c>
      <c r="E109" s="2">
        <f>IFERROR(__xludf.DUMMYFUNCTION("""COMPUTED_VALUE"""),559.63)</f>
        <v>559.63</v>
      </c>
      <c r="F109" s="2">
        <f>IFERROR(__xludf.DUMMYFUNCTION("""COMPUTED_VALUE"""),3.20133E7)</f>
        <v>32013300</v>
      </c>
      <c r="G109" s="2">
        <f t="shared" si="1"/>
        <v>41.63</v>
      </c>
    </row>
    <row r="110" ht="15.75" customHeight="1">
      <c r="A110" s="1">
        <f>IFERROR(__xludf.DUMMYFUNCTION("""COMPUTED_VALUE"""),43994.66666666667)</f>
        <v>43994.66667</v>
      </c>
      <c r="B110" s="2">
        <f>IFERROR(__xludf.DUMMYFUNCTION("""COMPUTED_VALUE"""),536.5)</f>
        <v>536.5</v>
      </c>
      <c r="C110" s="2">
        <f>IFERROR(__xludf.DUMMYFUNCTION("""COMPUTED_VALUE"""),573.5)</f>
        <v>573.5</v>
      </c>
      <c r="D110" s="2">
        <f>IFERROR(__xludf.DUMMYFUNCTION("""COMPUTED_VALUE"""),527.25)</f>
        <v>527.25</v>
      </c>
      <c r="E110" s="2">
        <f>IFERROR(__xludf.DUMMYFUNCTION("""COMPUTED_VALUE"""),573.5)</f>
        <v>573.5</v>
      </c>
      <c r="F110" s="2">
        <f>IFERROR(__xludf.DUMMYFUNCTION("""COMPUTED_VALUE"""),3.68321E7)</f>
        <v>36832100</v>
      </c>
      <c r="G110" s="2">
        <f t="shared" si="1"/>
        <v>46.25</v>
      </c>
    </row>
    <row r="111" ht="15.75" customHeight="1">
      <c r="A111" s="1">
        <f>IFERROR(__xludf.DUMMYFUNCTION("""COMPUTED_VALUE"""),43997.66666666667)</f>
        <v>43997.66667</v>
      </c>
      <c r="B111" s="2">
        <f>IFERROR(__xludf.DUMMYFUNCTION("""COMPUTED_VALUE"""),573.5)</f>
        <v>573.5</v>
      </c>
      <c r="C111" s="2">
        <f>IFERROR(__xludf.DUMMYFUNCTION("""COMPUTED_VALUE"""),587.38)</f>
        <v>587.38</v>
      </c>
      <c r="D111" s="2">
        <f>IFERROR(__xludf.DUMMYFUNCTION("""COMPUTED_VALUE"""),545.75)</f>
        <v>545.75</v>
      </c>
      <c r="E111" s="2">
        <f>IFERROR(__xludf.DUMMYFUNCTION("""COMPUTED_VALUE"""),555.0)</f>
        <v>555</v>
      </c>
      <c r="F111" s="2">
        <f>IFERROR(__xludf.DUMMYFUNCTION("""COMPUTED_VALUE"""),2.92037E7)</f>
        <v>29203700</v>
      </c>
      <c r="G111" s="2">
        <f t="shared" si="1"/>
        <v>41.63</v>
      </c>
    </row>
    <row r="112" ht="15.75" customHeight="1">
      <c r="A112" s="1">
        <f>IFERROR(__xludf.DUMMYFUNCTION("""COMPUTED_VALUE"""),43998.66666666667)</f>
        <v>43998.66667</v>
      </c>
      <c r="B112" s="2">
        <f>IFERROR(__xludf.DUMMYFUNCTION("""COMPUTED_VALUE"""),559.63)</f>
        <v>559.63</v>
      </c>
      <c r="C112" s="2">
        <f>IFERROR(__xludf.DUMMYFUNCTION("""COMPUTED_VALUE"""),582.75)</f>
        <v>582.75</v>
      </c>
      <c r="D112" s="2">
        <f>IFERROR(__xludf.DUMMYFUNCTION("""COMPUTED_VALUE"""),559.63)</f>
        <v>559.63</v>
      </c>
      <c r="E112" s="2">
        <f>IFERROR(__xludf.DUMMYFUNCTION("""COMPUTED_VALUE"""),582.75)</f>
        <v>582.75</v>
      </c>
      <c r="F112" s="2">
        <f>IFERROR(__xludf.DUMMYFUNCTION("""COMPUTED_VALUE"""),2.57722E7)</f>
        <v>25772200</v>
      </c>
      <c r="G112" s="2">
        <f t="shared" si="1"/>
        <v>27.75</v>
      </c>
    </row>
    <row r="113" ht="15.75" customHeight="1">
      <c r="A113" s="1">
        <f>IFERROR(__xludf.DUMMYFUNCTION("""COMPUTED_VALUE"""),43999.66666666667)</f>
        <v>43999.66667</v>
      </c>
      <c r="B113" s="2">
        <f>IFERROR(__xludf.DUMMYFUNCTION("""COMPUTED_VALUE"""),582.75)</f>
        <v>582.75</v>
      </c>
      <c r="C113" s="2">
        <f>IFERROR(__xludf.DUMMYFUNCTION("""COMPUTED_VALUE"""),592.0)</f>
        <v>592</v>
      </c>
      <c r="D113" s="2">
        <f>IFERROR(__xludf.DUMMYFUNCTION("""COMPUTED_VALUE"""),568.88)</f>
        <v>568.88</v>
      </c>
      <c r="E113" s="2">
        <f>IFERROR(__xludf.DUMMYFUNCTION("""COMPUTED_VALUE"""),582.75)</f>
        <v>582.75</v>
      </c>
      <c r="F113" s="2">
        <f>IFERROR(__xludf.DUMMYFUNCTION("""COMPUTED_VALUE"""),1.79575E7)</f>
        <v>17957500</v>
      </c>
      <c r="G113" s="2">
        <f t="shared" si="1"/>
        <v>23.12</v>
      </c>
    </row>
    <row r="114" ht="15.75" customHeight="1">
      <c r="A114" s="1">
        <f>IFERROR(__xludf.DUMMYFUNCTION("""COMPUTED_VALUE"""),44000.66666666667)</f>
        <v>44000.66667</v>
      </c>
      <c r="B114" s="2">
        <f>IFERROR(__xludf.DUMMYFUNCTION("""COMPUTED_VALUE"""),578.13)</f>
        <v>578.13</v>
      </c>
      <c r="C114" s="2">
        <f>IFERROR(__xludf.DUMMYFUNCTION("""COMPUTED_VALUE"""),596.63)</f>
        <v>596.63</v>
      </c>
      <c r="D114" s="2">
        <f>IFERROR(__xludf.DUMMYFUNCTION("""COMPUTED_VALUE"""),573.5)</f>
        <v>573.5</v>
      </c>
      <c r="E114" s="2">
        <f>IFERROR(__xludf.DUMMYFUNCTION("""COMPUTED_VALUE"""),587.38)</f>
        <v>587.38</v>
      </c>
      <c r="F114" s="2">
        <f>IFERROR(__xludf.DUMMYFUNCTION("""COMPUTED_VALUE"""),2.10285E7)</f>
        <v>21028500</v>
      </c>
      <c r="G114" s="2">
        <f t="shared" si="1"/>
        <v>23.13</v>
      </c>
    </row>
    <row r="115" ht="15.75" customHeight="1">
      <c r="A115" s="1">
        <f>IFERROR(__xludf.DUMMYFUNCTION("""COMPUTED_VALUE"""),44001.66666666667)</f>
        <v>44001.66667</v>
      </c>
      <c r="B115" s="2">
        <f>IFERROR(__xludf.DUMMYFUNCTION("""COMPUTED_VALUE"""),587.38)</f>
        <v>587.38</v>
      </c>
      <c r="C115" s="2">
        <f>IFERROR(__xludf.DUMMYFUNCTION("""COMPUTED_VALUE"""),596.63)</f>
        <v>596.63</v>
      </c>
      <c r="D115" s="2">
        <f>IFERROR(__xludf.DUMMYFUNCTION("""COMPUTED_VALUE"""),573.5)</f>
        <v>573.5</v>
      </c>
      <c r="E115" s="2">
        <f>IFERROR(__xludf.DUMMYFUNCTION("""COMPUTED_VALUE"""),578.13)</f>
        <v>578.13</v>
      </c>
      <c r="F115" s="2">
        <f>IFERROR(__xludf.DUMMYFUNCTION("""COMPUTED_VALUE"""),7720100.0)</f>
        <v>7720100</v>
      </c>
      <c r="G115" s="2">
        <f t="shared" si="1"/>
        <v>23.13</v>
      </c>
    </row>
    <row r="116" ht="15.75" customHeight="1">
      <c r="A116" s="1">
        <f>IFERROR(__xludf.DUMMYFUNCTION("""COMPUTED_VALUE"""),44004.66666666667)</f>
        <v>44004.66667</v>
      </c>
      <c r="B116" s="2">
        <f>IFERROR(__xludf.DUMMYFUNCTION("""COMPUTED_VALUE"""),578.13)</f>
        <v>578.13</v>
      </c>
      <c r="C116" s="2">
        <f>IFERROR(__xludf.DUMMYFUNCTION("""COMPUTED_VALUE"""),582.75)</f>
        <v>582.75</v>
      </c>
      <c r="D116" s="2">
        <f>IFERROR(__xludf.DUMMYFUNCTION("""COMPUTED_VALUE"""),559.63)</f>
        <v>559.63</v>
      </c>
      <c r="E116" s="2">
        <f>IFERROR(__xludf.DUMMYFUNCTION("""COMPUTED_VALUE"""),559.63)</f>
        <v>559.63</v>
      </c>
      <c r="F116" s="2">
        <f>IFERROR(__xludf.DUMMYFUNCTION("""COMPUTED_VALUE"""),1.1291E7)</f>
        <v>11291000</v>
      </c>
      <c r="G116" s="2">
        <f t="shared" si="1"/>
        <v>23.12</v>
      </c>
    </row>
    <row r="117" ht="15.75" customHeight="1">
      <c r="A117" s="1">
        <f>IFERROR(__xludf.DUMMYFUNCTION("""COMPUTED_VALUE"""),44005.66666666667)</f>
        <v>44005.66667</v>
      </c>
      <c r="B117" s="2">
        <f>IFERROR(__xludf.DUMMYFUNCTION("""COMPUTED_VALUE"""),564.25)</f>
        <v>564.25</v>
      </c>
      <c r="C117" s="2">
        <f>IFERROR(__xludf.DUMMYFUNCTION("""COMPUTED_VALUE"""),568.88)</f>
        <v>568.88</v>
      </c>
      <c r="D117" s="2">
        <f>IFERROR(__xludf.DUMMYFUNCTION("""COMPUTED_VALUE"""),555.0)</f>
        <v>555</v>
      </c>
      <c r="E117" s="2">
        <f>IFERROR(__xludf.DUMMYFUNCTION("""COMPUTED_VALUE"""),559.63)</f>
        <v>559.63</v>
      </c>
      <c r="F117" s="2">
        <f>IFERROR(__xludf.DUMMYFUNCTION("""COMPUTED_VALUE"""),9679300.0)</f>
        <v>9679300</v>
      </c>
      <c r="G117" s="2">
        <f t="shared" si="1"/>
        <v>13.88</v>
      </c>
    </row>
    <row r="118" ht="15.75" customHeight="1">
      <c r="A118" s="1">
        <f>IFERROR(__xludf.DUMMYFUNCTION("""COMPUTED_VALUE"""),44006.66666666667)</f>
        <v>44006.66667</v>
      </c>
      <c r="B118" s="2">
        <f>IFERROR(__xludf.DUMMYFUNCTION("""COMPUTED_VALUE"""),564.25)</f>
        <v>564.25</v>
      </c>
      <c r="C118" s="2">
        <f>IFERROR(__xludf.DUMMYFUNCTION("""COMPUTED_VALUE"""),587.38)</f>
        <v>587.38</v>
      </c>
      <c r="D118" s="2">
        <f>IFERROR(__xludf.DUMMYFUNCTION("""COMPUTED_VALUE"""),559.63)</f>
        <v>559.63</v>
      </c>
      <c r="E118" s="2">
        <f>IFERROR(__xludf.DUMMYFUNCTION("""COMPUTED_VALUE"""),568.88)</f>
        <v>568.88</v>
      </c>
      <c r="F118" s="2">
        <f>IFERROR(__xludf.DUMMYFUNCTION("""COMPUTED_VALUE"""),2.17678E7)</f>
        <v>21767800</v>
      </c>
      <c r="G118" s="2">
        <f t="shared" si="1"/>
        <v>27.75</v>
      </c>
    </row>
    <row r="119" ht="15.75" customHeight="1">
      <c r="A119" s="1">
        <f>IFERROR(__xludf.DUMMYFUNCTION("""COMPUTED_VALUE"""),44007.66666666667)</f>
        <v>44007.66667</v>
      </c>
      <c r="B119" s="2">
        <f>IFERROR(__xludf.DUMMYFUNCTION("""COMPUTED_VALUE"""),555.0)</f>
        <v>555</v>
      </c>
      <c r="C119" s="2">
        <f>IFERROR(__xludf.DUMMYFUNCTION("""COMPUTED_VALUE"""),573.5)</f>
        <v>573.5</v>
      </c>
      <c r="D119" s="2">
        <f>IFERROR(__xludf.DUMMYFUNCTION("""COMPUTED_VALUE"""),555.0)</f>
        <v>555</v>
      </c>
      <c r="E119" s="2">
        <f>IFERROR(__xludf.DUMMYFUNCTION("""COMPUTED_VALUE"""),559.63)</f>
        <v>559.63</v>
      </c>
      <c r="F119" s="2">
        <f>IFERROR(__xludf.DUMMYFUNCTION("""COMPUTED_VALUE"""),1.34633E7)</f>
        <v>13463300</v>
      </c>
      <c r="G119" s="2">
        <f t="shared" si="1"/>
        <v>18.5</v>
      </c>
    </row>
    <row r="120" ht="15.75" customHeight="1">
      <c r="A120" s="1">
        <f>IFERROR(__xludf.DUMMYFUNCTION("""COMPUTED_VALUE"""),44008.66666666667)</f>
        <v>44008.66667</v>
      </c>
      <c r="B120" s="2">
        <f>IFERROR(__xludf.DUMMYFUNCTION("""COMPUTED_VALUE"""),568.88)</f>
        <v>568.88</v>
      </c>
      <c r="C120" s="2">
        <f>IFERROR(__xludf.DUMMYFUNCTION("""COMPUTED_VALUE"""),582.75)</f>
        <v>582.75</v>
      </c>
      <c r="D120" s="2">
        <f>IFERROR(__xludf.DUMMYFUNCTION("""COMPUTED_VALUE"""),559.63)</f>
        <v>559.63</v>
      </c>
      <c r="E120" s="2">
        <f>IFERROR(__xludf.DUMMYFUNCTION("""COMPUTED_VALUE"""),564.25)</f>
        <v>564.25</v>
      </c>
      <c r="F120" s="2">
        <f>IFERROR(__xludf.DUMMYFUNCTION("""COMPUTED_VALUE"""),1.65062E7)</f>
        <v>16506200</v>
      </c>
      <c r="G120" s="2">
        <f t="shared" si="1"/>
        <v>23.12</v>
      </c>
    </row>
    <row r="121" ht="15.75" customHeight="1">
      <c r="A121" s="1">
        <f>IFERROR(__xludf.DUMMYFUNCTION("""COMPUTED_VALUE"""),44011.66666666667)</f>
        <v>44011.66667</v>
      </c>
      <c r="B121" s="2">
        <f>IFERROR(__xludf.DUMMYFUNCTION("""COMPUTED_VALUE"""),564.25)</f>
        <v>564.25</v>
      </c>
      <c r="C121" s="2">
        <f>IFERROR(__xludf.DUMMYFUNCTION("""COMPUTED_VALUE"""),573.5)</f>
        <v>573.5</v>
      </c>
      <c r="D121" s="2">
        <f>IFERROR(__xludf.DUMMYFUNCTION("""COMPUTED_VALUE"""),550.38)</f>
        <v>550.38</v>
      </c>
      <c r="E121" s="2">
        <f>IFERROR(__xludf.DUMMYFUNCTION("""COMPUTED_VALUE"""),564.25)</f>
        <v>564.25</v>
      </c>
      <c r="F121" s="2">
        <f>IFERROR(__xludf.DUMMYFUNCTION("""COMPUTED_VALUE"""),5474900.0)</f>
        <v>5474900</v>
      </c>
      <c r="G121" s="2">
        <f t="shared" si="1"/>
        <v>23.12</v>
      </c>
    </row>
    <row r="122" ht="15.75" customHeight="1">
      <c r="A122" s="1">
        <f>IFERROR(__xludf.DUMMYFUNCTION("""COMPUTED_VALUE"""),44012.66666666667)</f>
        <v>44012.66667</v>
      </c>
      <c r="B122" s="2">
        <f>IFERROR(__xludf.DUMMYFUNCTION("""COMPUTED_VALUE"""),573.5)</f>
        <v>573.5</v>
      </c>
      <c r="C122" s="2">
        <f>IFERROR(__xludf.DUMMYFUNCTION("""COMPUTED_VALUE"""),582.75)</f>
        <v>582.75</v>
      </c>
      <c r="D122" s="2">
        <f>IFERROR(__xludf.DUMMYFUNCTION("""COMPUTED_VALUE"""),564.25)</f>
        <v>564.25</v>
      </c>
      <c r="E122" s="2">
        <f>IFERROR(__xludf.DUMMYFUNCTION("""COMPUTED_VALUE"""),564.25)</f>
        <v>564.25</v>
      </c>
      <c r="F122" s="2">
        <f>IFERROR(__xludf.DUMMYFUNCTION("""COMPUTED_VALUE"""),1.06152E7)</f>
        <v>10615200</v>
      </c>
      <c r="G122" s="2">
        <f t="shared" si="1"/>
        <v>18.5</v>
      </c>
    </row>
    <row r="123" ht="15.75" customHeight="1">
      <c r="A123" s="1">
        <f>IFERROR(__xludf.DUMMYFUNCTION("""COMPUTED_VALUE"""),44013.66666666667)</f>
        <v>44013.66667</v>
      </c>
      <c r="B123" s="2">
        <f>IFERROR(__xludf.DUMMYFUNCTION("""COMPUTED_VALUE"""),568.88)</f>
        <v>568.88</v>
      </c>
      <c r="C123" s="2">
        <f>IFERROR(__xludf.DUMMYFUNCTION("""COMPUTED_VALUE"""),573.5)</f>
        <v>573.5</v>
      </c>
      <c r="D123" s="2">
        <f>IFERROR(__xludf.DUMMYFUNCTION("""COMPUTED_VALUE"""),555.0)</f>
        <v>555</v>
      </c>
      <c r="E123" s="2">
        <f>IFERROR(__xludf.DUMMYFUNCTION("""COMPUTED_VALUE"""),559.63)</f>
        <v>559.63</v>
      </c>
      <c r="F123" s="2">
        <f>IFERROR(__xludf.DUMMYFUNCTION("""COMPUTED_VALUE"""),1.34645E7)</f>
        <v>13464500</v>
      </c>
      <c r="G123" s="2">
        <f t="shared" si="1"/>
        <v>18.5</v>
      </c>
    </row>
    <row r="124" ht="15.75" customHeight="1">
      <c r="A124" s="1">
        <f>IFERROR(__xludf.DUMMYFUNCTION("""COMPUTED_VALUE"""),44014.66666666667)</f>
        <v>44014.66667</v>
      </c>
      <c r="B124" s="2">
        <f>IFERROR(__xludf.DUMMYFUNCTION("""COMPUTED_VALUE"""),559.63)</f>
        <v>559.63</v>
      </c>
      <c r="C124" s="2">
        <f>IFERROR(__xludf.DUMMYFUNCTION("""COMPUTED_VALUE"""),615.13)</f>
        <v>615.13</v>
      </c>
      <c r="D124" s="2">
        <f>IFERROR(__xludf.DUMMYFUNCTION("""COMPUTED_VALUE"""),559.63)</f>
        <v>559.63</v>
      </c>
      <c r="E124" s="2">
        <f>IFERROR(__xludf.DUMMYFUNCTION("""COMPUTED_VALUE"""),615.13)</f>
        <v>615.13</v>
      </c>
      <c r="F124" s="2">
        <f>IFERROR(__xludf.DUMMYFUNCTION("""COMPUTED_VALUE"""),6.04905E7)</f>
        <v>60490500</v>
      </c>
      <c r="G124" s="2">
        <f t="shared" si="1"/>
        <v>55.5</v>
      </c>
    </row>
    <row r="125" ht="15.75" customHeight="1">
      <c r="A125" s="1">
        <f>IFERROR(__xludf.DUMMYFUNCTION("""COMPUTED_VALUE"""),44015.66666666667)</f>
        <v>44015.66667</v>
      </c>
      <c r="B125" s="2">
        <f>IFERROR(__xludf.DUMMYFUNCTION("""COMPUTED_VALUE"""),624.38)</f>
        <v>624.38</v>
      </c>
      <c r="C125" s="2">
        <f>IFERROR(__xludf.DUMMYFUNCTION("""COMPUTED_VALUE"""),638.25)</f>
        <v>638.25</v>
      </c>
      <c r="D125" s="2">
        <f>IFERROR(__xludf.DUMMYFUNCTION("""COMPUTED_VALUE"""),587.38)</f>
        <v>587.38</v>
      </c>
      <c r="E125" s="2">
        <f>IFERROR(__xludf.DUMMYFUNCTION("""COMPUTED_VALUE"""),592.0)</f>
        <v>592</v>
      </c>
      <c r="F125" s="2">
        <f>IFERROR(__xludf.DUMMYFUNCTION("""COMPUTED_VALUE"""),8.6652E7)</f>
        <v>86652000</v>
      </c>
      <c r="G125" s="2">
        <f t="shared" si="1"/>
        <v>50.87</v>
      </c>
    </row>
    <row r="126" ht="15.75" customHeight="1">
      <c r="A126" s="1">
        <f>IFERROR(__xludf.DUMMYFUNCTION("""COMPUTED_VALUE"""),44018.66666666667)</f>
        <v>44018.66667</v>
      </c>
      <c r="B126" s="2">
        <f>IFERROR(__xludf.DUMMYFUNCTION("""COMPUTED_VALUE"""),596.63)</f>
        <v>596.63</v>
      </c>
      <c r="C126" s="2">
        <f>IFERROR(__xludf.DUMMYFUNCTION("""COMPUTED_VALUE"""),605.88)</f>
        <v>605.88</v>
      </c>
      <c r="D126" s="2">
        <f>IFERROR(__xludf.DUMMYFUNCTION("""COMPUTED_VALUE"""),578.13)</f>
        <v>578.13</v>
      </c>
      <c r="E126" s="2">
        <f>IFERROR(__xludf.DUMMYFUNCTION("""COMPUTED_VALUE"""),592.0)</f>
        <v>592</v>
      </c>
      <c r="F126" s="2">
        <f>IFERROR(__xludf.DUMMYFUNCTION("""COMPUTED_VALUE"""),3.09471E7)</f>
        <v>30947100</v>
      </c>
      <c r="G126" s="2">
        <f t="shared" si="1"/>
        <v>27.75</v>
      </c>
    </row>
    <row r="127" ht="15.75" customHeight="1">
      <c r="A127" s="1">
        <f>IFERROR(__xludf.DUMMYFUNCTION("""COMPUTED_VALUE"""),44019.66666666667)</f>
        <v>44019.66667</v>
      </c>
      <c r="B127" s="2">
        <f>IFERROR(__xludf.DUMMYFUNCTION("""COMPUTED_VALUE"""),601.25)</f>
        <v>601.25</v>
      </c>
      <c r="C127" s="2">
        <f>IFERROR(__xludf.DUMMYFUNCTION("""COMPUTED_VALUE"""),601.25)</f>
        <v>601.25</v>
      </c>
      <c r="D127" s="2">
        <f>IFERROR(__xludf.DUMMYFUNCTION("""COMPUTED_VALUE"""),578.13)</f>
        <v>578.13</v>
      </c>
      <c r="E127" s="2">
        <f>IFERROR(__xludf.DUMMYFUNCTION("""COMPUTED_VALUE"""),578.13)</f>
        <v>578.13</v>
      </c>
      <c r="F127" s="2">
        <f>IFERROR(__xludf.DUMMYFUNCTION("""COMPUTED_VALUE"""),1.77272E7)</f>
        <v>17727200</v>
      </c>
      <c r="G127" s="2">
        <f t="shared" si="1"/>
        <v>23.12</v>
      </c>
    </row>
    <row r="128" ht="15.75" customHeight="1">
      <c r="A128" s="1">
        <f>IFERROR(__xludf.DUMMYFUNCTION("""COMPUTED_VALUE"""),44020.66666666667)</f>
        <v>44020.66667</v>
      </c>
      <c r="B128" s="2">
        <f>IFERROR(__xludf.DUMMYFUNCTION("""COMPUTED_VALUE"""),582.75)</f>
        <v>582.75</v>
      </c>
      <c r="C128" s="2">
        <f>IFERROR(__xludf.DUMMYFUNCTION("""COMPUTED_VALUE"""),596.63)</f>
        <v>596.63</v>
      </c>
      <c r="D128" s="2">
        <f>IFERROR(__xludf.DUMMYFUNCTION("""COMPUTED_VALUE"""),578.13)</f>
        <v>578.13</v>
      </c>
      <c r="E128" s="2">
        <f>IFERROR(__xludf.DUMMYFUNCTION("""COMPUTED_VALUE"""),587.38)</f>
        <v>587.38</v>
      </c>
      <c r="F128" s="2">
        <f>IFERROR(__xludf.DUMMYFUNCTION("""COMPUTED_VALUE"""),1.94799E7)</f>
        <v>19479900</v>
      </c>
      <c r="G128" s="2">
        <f t="shared" si="1"/>
        <v>18.5</v>
      </c>
    </row>
    <row r="129" ht="15.75" customHeight="1">
      <c r="A129" s="1">
        <f>IFERROR(__xludf.DUMMYFUNCTION("""COMPUTED_VALUE"""),44021.66666666667)</f>
        <v>44021.66667</v>
      </c>
      <c r="B129" s="2">
        <f>IFERROR(__xludf.DUMMYFUNCTION("""COMPUTED_VALUE"""),587.38)</f>
        <v>587.38</v>
      </c>
      <c r="C129" s="2">
        <f>IFERROR(__xludf.DUMMYFUNCTION("""COMPUTED_VALUE"""),605.88)</f>
        <v>605.88</v>
      </c>
      <c r="D129" s="2">
        <f>IFERROR(__xludf.DUMMYFUNCTION("""COMPUTED_VALUE"""),587.38)</f>
        <v>587.38</v>
      </c>
      <c r="E129" s="2">
        <f>IFERROR(__xludf.DUMMYFUNCTION("""COMPUTED_VALUE"""),592.0)</f>
        <v>592</v>
      </c>
      <c r="F129" s="2">
        <f>IFERROR(__xludf.DUMMYFUNCTION("""COMPUTED_VALUE"""),3.86085E7)</f>
        <v>38608500</v>
      </c>
      <c r="G129" s="2">
        <f t="shared" si="1"/>
        <v>18.5</v>
      </c>
    </row>
    <row r="130" ht="15.75" customHeight="1">
      <c r="A130" s="1">
        <f>IFERROR(__xludf.DUMMYFUNCTION("""COMPUTED_VALUE"""),44022.66666666667)</f>
        <v>44022.66667</v>
      </c>
      <c r="B130" s="2">
        <f>IFERROR(__xludf.DUMMYFUNCTION("""COMPUTED_VALUE"""),592.0)</f>
        <v>592</v>
      </c>
      <c r="C130" s="2">
        <f>IFERROR(__xludf.DUMMYFUNCTION("""COMPUTED_VALUE"""),596.63)</f>
        <v>596.63</v>
      </c>
      <c r="D130" s="2">
        <f>IFERROR(__xludf.DUMMYFUNCTION("""COMPUTED_VALUE"""),582.75)</f>
        <v>582.75</v>
      </c>
      <c r="E130" s="2">
        <f>IFERROR(__xludf.DUMMYFUNCTION("""COMPUTED_VALUE"""),587.38)</f>
        <v>587.38</v>
      </c>
      <c r="F130" s="2">
        <f>IFERROR(__xludf.DUMMYFUNCTION("""COMPUTED_VALUE"""),8511500.0)</f>
        <v>8511500</v>
      </c>
      <c r="G130" s="2">
        <f t="shared" si="1"/>
        <v>13.88</v>
      </c>
    </row>
    <row r="131" ht="15.75" customHeight="1">
      <c r="A131" s="1">
        <f>IFERROR(__xludf.DUMMYFUNCTION("""COMPUTED_VALUE"""),44025.66666666667)</f>
        <v>44025.66667</v>
      </c>
      <c r="B131" s="2">
        <f>IFERROR(__xludf.DUMMYFUNCTION("""COMPUTED_VALUE"""),592.0)</f>
        <v>592</v>
      </c>
      <c r="C131" s="2">
        <f>IFERROR(__xludf.DUMMYFUNCTION("""COMPUTED_VALUE"""),596.63)</f>
        <v>596.63</v>
      </c>
      <c r="D131" s="2">
        <f>IFERROR(__xludf.DUMMYFUNCTION("""COMPUTED_VALUE"""),587.38)</f>
        <v>587.38</v>
      </c>
      <c r="E131" s="2">
        <f>IFERROR(__xludf.DUMMYFUNCTION("""COMPUTED_VALUE"""),592.0)</f>
        <v>592</v>
      </c>
      <c r="F131" s="2">
        <f>IFERROR(__xludf.DUMMYFUNCTION("""COMPUTED_VALUE"""),7932800.0)</f>
        <v>7932800</v>
      </c>
      <c r="G131" s="2">
        <f t="shared" si="1"/>
        <v>9.25</v>
      </c>
    </row>
    <row r="132" ht="15.75" customHeight="1">
      <c r="A132" s="1">
        <f>IFERROR(__xludf.DUMMYFUNCTION("""COMPUTED_VALUE"""),44026.66666666667)</f>
        <v>44026.66667</v>
      </c>
      <c r="B132" s="2">
        <f>IFERROR(__xludf.DUMMYFUNCTION("""COMPUTED_VALUE"""),592.0)</f>
        <v>592</v>
      </c>
      <c r="C132" s="2">
        <f>IFERROR(__xludf.DUMMYFUNCTION("""COMPUTED_VALUE"""),596.63)</f>
        <v>596.63</v>
      </c>
      <c r="D132" s="2">
        <f>IFERROR(__xludf.DUMMYFUNCTION("""COMPUTED_VALUE"""),582.75)</f>
        <v>582.75</v>
      </c>
      <c r="E132" s="2">
        <f>IFERROR(__xludf.DUMMYFUNCTION("""COMPUTED_VALUE"""),587.38)</f>
        <v>587.38</v>
      </c>
      <c r="F132" s="2">
        <f>IFERROR(__xludf.DUMMYFUNCTION("""COMPUTED_VALUE"""),1.19479E7)</f>
        <v>11947900</v>
      </c>
      <c r="G132" s="2">
        <f t="shared" si="1"/>
        <v>13.88</v>
      </c>
    </row>
    <row r="133" ht="15.75" customHeight="1">
      <c r="A133" s="1">
        <f>IFERROR(__xludf.DUMMYFUNCTION("""COMPUTED_VALUE"""),44027.66666666667)</f>
        <v>44027.66667</v>
      </c>
      <c r="B133" s="2">
        <f>IFERROR(__xludf.DUMMYFUNCTION("""COMPUTED_VALUE"""),592.0)</f>
        <v>592</v>
      </c>
      <c r="C133" s="2">
        <f>IFERROR(__xludf.DUMMYFUNCTION("""COMPUTED_VALUE"""),601.25)</f>
        <v>601.25</v>
      </c>
      <c r="D133" s="2">
        <f>IFERROR(__xludf.DUMMYFUNCTION("""COMPUTED_VALUE"""),582.75)</f>
        <v>582.75</v>
      </c>
      <c r="E133" s="2">
        <f>IFERROR(__xludf.DUMMYFUNCTION("""COMPUTED_VALUE"""),592.0)</f>
        <v>592</v>
      </c>
      <c r="F133" s="2">
        <f>IFERROR(__xludf.DUMMYFUNCTION("""COMPUTED_VALUE"""),2.43899E7)</f>
        <v>24389900</v>
      </c>
      <c r="G133" s="2">
        <f t="shared" si="1"/>
        <v>18.5</v>
      </c>
    </row>
    <row r="134" ht="15.75" customHeight="1">
      <c r="A134" s="1">
        <f>IFERROR(__xludf.DUMMYFUNCTION("""COMPUTED_VALUE"""),44028.66666666667)</f>
        <v>44028.66667</v>
      </c>
      <c r="B134" s="2">
        <f>IFERROR(__xludf.DUMMYFUNCTION("""COMPUTED_VALUE"""),596.63)</f>
        <v>596.63</v>
      </c>
      <c r="C134" s="2">
        <f>IFERROR(__xludf.DUMMYFUNCTION("""COMPUTED_VALUE"""),605.88)</f>
        <v>605.88</v>
      </c>
      <c r="D134" s="2">
        <f>IFERROR(__xludf.DUMMYFUNCTION("""COMPUTED_VALUE"""),592.0)</f>
        <v>592</v>
      </c>
      <c r="E134" s="2">
        <f>IFERROR(__xludf.DUMMYFUNCTION("""COMPUTED_VALUE"""),596.63)</f>
        <v>596.63</v>
      </c>
      <c r="F134" s="2">
        <f>IFERROR(__xludf.DUMMYFUNCTION("""COMPUTED_VALUE"""),1.58123E7)</f>
        <v>15812300</v>
      </c>
      <c r="G134" s="2">
        <f t="shared" si="1"/>
        <v>13.88</v>
      </c>
    </row>
    <row r="135" ht="15.75" customHeight="1">
      <c r="A135" s="1">
        <f>IFERROR(__xludf.DUMMYFUNCTION("""COMPUTED_VALUE"""),44029.66666666667)</f>
        <v>44029.66667</v>
      </c>
      <c r="B135" s="2">
        <f>IFERROR(__xludf.DUMMYFUNCTION("""COMPUTED_VALUE"""),592.0)</f>
        <v>592</v>
      </c>
      <c r="C135" s="2">
        <f>IFERROR(__xludf.DUMMYFUNCTION("""COMPUTED_VALUE"""),601.25)</f>
        <v>601.25</v>
      </c>
      <c r="D135" s="2">
        <f>IFERROR(__xludf.DUMMYFUNCTION("""COMPUTED_VALUE"""),587.38)</f>
        <v>587.38</v>
      </c>
      <c r="E135" s="2">
        <f>IFERROR(__xludf.DUMMYFUNCTION("""COMPUTED_VALUE"""),587.38)</f>
        <v>587.38</v>
      </c>
      <c r="F135" s="2">
        <f>IFERROR(__xludf.DUMMYFUNCTION("""COMPUTED_VALUE"""),1.0187E7)</f>
        <v>10187000</v>
      </c>
      <c r="G135" s="2">
        <f t="shared" si="1"/>
        <v>13.87</v>
      </c>
    </row>
    <row r="136" ht="15.75" customHeight="1">
      <c r="A136" s="1">
        <f>IFERROR(__xludf.DUMMYFUNCTION("""COMPUTED_VALUE"""),44032.66666666667)</f>
        <v>44032.66667</v>
      </c>
      <c r="B136" s="2">
        <f>IFERROR(__xludf.DUMMYFUNCTION("""COMPUTED_VALUE"""),592.0)</f>
        <v>592</v>
      </c>
      <c r="C136" s="2">
        <f>IFERROR(__xludf.DUMMYFUNCTION("""COMPUTED_VALUE"""),592.0)</f>
        <v>592</v>
      </c>
      <c r="D136" s="2">
        <f>IFERROR(__xludf.DUMMYFUNCTION("""COMPUTED_VALUE"""),568.88)</f>
        <v>568.88</v>
      </c>
      <c r="E136" s="2">
        <f>IFERROR(__xludf.DUMMYFUNCTION("""COMPUTED_VALUE"""),578.13)</f>
        <v>578.13</v>
      </c>
      <c r="F136" s="2">
        <f>IFERROR(__xludf.DUMMYFUNCTION("""COMPUTED_VALUE"""),2.03303E7)</f>
        <v>20330300</v>
      </c>
      <c r="G136" s="2">
        <f t="shared" si="1"/>
        <v>23.12</v>
      </c>
    </row>
    <row r="137" ht="15.75" customHeight="1">
      <c r="A137" s="1">
        <f>IFERROR(__xludf.DUMMYFUNCTION("""COMPUTED_VALUE"""),44033.66666666667)</f>
        <v>44033.66667</v>
      </c>
      <c r="B137" s="2">
        <f>IFERROR(__xludf.DUMMYFUNCTION("""COMPUTED_VALUE"""),578.13)</f>
        <v>578.13</v>
      </c>
      <c r="C137" s="2">
        <f>IFERROR(__xludf.DUMMYFUNCTION("""COMPUTED_VALUE"""),592.0)</f>
        <v>592</v>
      </c>
      <c r="D137" s="2">
        <f>IFERROR(__xludf.DUMMYFUNCTION("""COMPUTED_VALUE"""),568.88)</f>
        <v>568.88</v>
      </c>
      <c r="E137" s="2">
        <f>IFERROR(__xludf.DUMMYFUNCTION("""COMPUTED_VALUE"""),582.75)</f>
        <v>582.75</v>
      </c>
      <c r="F137" s="2">
        <f>IFERROR(__xludf.DUMMYFUNCTION("""COMPUTED_VALUE"""),2.31916E7)</f>
        <v>23191600</v>
      </c>
      <c r="G137" s="2">
        <f t="shared" si="1"/>
        <v>23.12</v>
      </c>
    </row>
    <row r="138" ht="15.75" customHeight="1">
      <c r="A138" s="1">
        <f>IFERROR(__xludf.DUMMYFUNCTION("""COMPUTED_VALUE"""),44034.66666666667)</f>
        <v>44034.66667</v>
      </c>
      <c r="B138" s="2">
        <f>IFERROR(__xludf.DUMMYFUNCTION("""COMPUTED_VALUE"""),582.75)</f>
        <v>582.75</v>
      </c>
      <c r="C138" s="2">
        <f>IFERROR(__xludf.DUMMYFUNCTION("""COMPUTED_VALUE"""),592.0)</f>
        <v>592</v>
      </c>
      <c r="D138" s="2">
        <f>IFERROR(__xludf.DUMMYFUNCTION("""COMPUTED_VALUE"""),578.13)</f>
        <v>578.13</v>
      </c>
      <c r="E138" s="2">
        <f>IFERROR(__xludf.DUMMYFUNCTION("""COMPUTED_VALUE"""),582.75)</f>
        <v>582.75</v>
      </c>
      <c r="F138" s="2">
        <f>IFERROR(__xludf.DUMMYFUNCTION("""COMPUTED_VALUE"""),1.28525E7)</f>
        <v>12852500</v>
      </c>
      <c r="G138" s="2">
        <f t="shared" si="1"/>
        <v>13.87</v>
      </c>
    </row>
    <row r="139" ht="15.75" customHeight="1">
      <c r="A139" s="1">
        <f>IFERROR(__xludf.DUMMYFUNCTION("""COMPUTED_VALUE"""),44035.66666666667)</f>
        <v>44035.66667</v>
      </c>
      <c r="B139" s="2">
        <f>IFERROR(__xludf.DUMMYFUNCTION("""COMPUTED_VALUE"""),555.0)</f>
        <v>555</v>
      </c>
      <c r="C139" s="2">
        <f>IFERROR(__xludf.DUMMYFUNCTION("""COMPUTED_VALUE"""),605.88)</f>
        <v>605.88</v>
      </c>
      <c r="D139" s="2">
        <f>IFERROR(__xludf.DUMMYFUNCTION("""COMPUTED_VALUE"""),555.0)</f>
        <v>555</v>
      </c>
      <c r="E139" s="2">
        <f>IFERROR(__xludf.DUMMYFUNCTION("""COMPUTED_VALUE"""),596.63)</f>
        <v>596.63</v>
      </c>
      <c r="F139" s="2">
        <f>IFERROR(__xludf.DUMMYFUNCTION("""COMPUTED_VALUE"""),4.40047E7)</f>
        <v>44004700</v>
      </c>
      <c r="G139" s="2">
        <f t="shared" si="1"/>
        <v>50.88</v>
      </c>
    </row>
    <row r="140" ht="15.75" customHeight="1">
      <c r="A140" s="1">
        <f>IFERROR(__xludf.DUMMYFUNCTION("""COMPUTED_VALUE"""),44036.66666666667)</f>
        <v>44036.66667</v>
      </c>
      <c r="B140" s="2">
        <f>IFERROR(__xludf.DUMMYFUNCTION("""COMPUTED_VALUE"""),592.0)</f>
        <v>592</v>
      </c>
      <c r="C140" s="2">
        <f>IFERROR(__xludf.DUMMYFUNCTION("""COMPUTED_VALUE"""),596.63)</f>
        <v>596.63</v>
      </c>
      <c r="D140" s="2">
        <f>IFERROR(__xludf.DUMMYFUNCTION("""COMPUTED_VALUE"""),582.75)</f>
        <v>582.75</v>
      </c>
      <c r="E140" s="2">
        <f>IFERROR(__xludf.DUMMYFUNCTION("""COMPUTED_VALUE"""),592.0)</f>
        <v>592</v>
      </c>
      <c r="F140" s="2">
        <f>IFERROR(__xludf.DUMMYFUNCTION("""COMPUTED_VALUE"""),2.52357E7)</f>
        <v>25235700</v>
      </c>
      <c r="G140" s="2">
        <f t="shared" si="1"/>
        <v>13.88</v>
      </c>
    </row>
    <row r="141" ht="15.75" customHeight="1">
      <c r="A141" s="1">
        <f>IFERROR(__xludf.DUMMYFUNCTION("""COMPUTED_VALUE"""),44039.66666666667)</f>
        <v>44039.66667</v>
      </c>
      <c r="B141" s="2">
        <f>IFERROR(__xludf.DUMMYFUNCTION("""COMPUTED_VALUE"""),592.0)</f>
        <v>592</v>
      </c>
      <c r="C141" s="2">
        <f>IFERROR(__xludf.DUMMYFUNCTION("""COMPUTED_VALUE"""),596.63)</f>
        <v>596.63</v>
      </c>
      <c r="D141" s="2">
        <f>IFERROR(__xludf.DUMMYFUNCTION("""COMPUTED_VALUE"""),582.75)</f>
        <v>582.75</v>
      </c>
      <c r="E141" s="2">
        <f>IFERROR(__xludf.DUMMYFUNCTION("""COMPUTED_VALUE"""),587.38)</f>
        <v>587.38</v>
      </c>
      <c r="F141" s="2">
        <f>IFERROR(__xludf.DUMMYFUNCTION("""COMPUTED_VALUE"""),1.00784E7)</f>
        <v>10078400</v>
      </c>
      <c r="G141" s="2">
        <f t="shared" si="1"/>
        <v>13.88</v>
      </c>
    </row>
    <row r="142" ht="15.75" customHeight="1">
      <c r="A142" s="1">
        <f>IFERROR(__xludf.DUMMYFUNCTION("""COMPUTED_VALUE"""),44040.66666666667)</f>
        <v>44040.66667</v>
      </c>
      <c r="B142" s="2">
        <f>IFERROR(__xludf.DUMMYFUNCTION("""COMPUTED_VALUE"""),587.38)</f>
        <v>587.38</v>
      </c>
      <c r="C142" s="2">
        <f>IFERROR(__xludf.DUMMYFUNCTION("""COMPUTED_VALUE"""),592.0)</f>
        <v>592</v>
      </c>
      <c r="D142" s="2">
        <f>IFERROR(__xludf.DUMMYFUNCTION("""COMPUTED_VALUE"""),578.13)</f>
        <v>578.13</v>
      </c>
      <c r="E142" s="2">
        <f>IFERROR(__xludf.DUMMYFUNCTION("""COMPUTED_VALUE"""),582.75)</f>
        <v>582.75</v>
      </c>
      <c r="F142" s="2">
        <f>IFERROR(__xludf.DUMMYFUNCTION("""COMPUTED_VALUE"""),8104400.0)</f>
        <v>8104400</v>
      </c>
      <c r="G142" s="2">
        <f t="shared" si="1"/>
        <v>13.87</v>
      </c>
    </row>
    <row r="143" ht="15.75" customHeight="1">
      <c r="A143" s="1">
        <f>IFERROR(__xludf.DUMMYFUNCTION("""COMPUTED_VALUE"""),44041.66666666667)</f>
        <v>44041.66667</v>
      </c>
      <c r="B143" s="2">
        <f>IFERROR(__xludf.DUMMYFUNCTION("""COMPUTED_VALUE"""),582.75)</f>
        <v>582.75</v>
      </c>
      <c r="C143" s="2">
        <f>IFERROR(__xludf.DUMMYFUNCTION("""COMPUTED_VALUE"""),596.63)</f>
        <v>596.63</v>
      </c>
      <c r="D143" s="2">
        <f>IFERROR(__xludf.DUMMYFUNCTION("""COMPUTED_VALUE"""),573.5)</f>
        <v>573.5</v>
      </c>
      <c r="E143" s="2">
        <f>IFERROR(__xludf.DUMMYFUNCTION("""COMPUTED_VALUE"""),582.75)</f>
        <v>582.75</v>
      </c>
      <c r="F143" s="2">
        <f>IFERROR(__xludf.DUMMYFUNCTION("""COMPUTED_VALUE"""),1.15149E7)</f>
        <v>11514900</v>
      </c>
      <c r="G143" s="2">
        <f t="shared" si="1"/>
        <v>23.13</v>
      </c>
    </row>
    <row r="144" ht="15.75" customHeight="1">
      <c r="A144" s="1">
        <f>IFERROR(__xludf.DUMMYFUNCTION("""COMPUTED_VALUE"""),44042.66666666667)</f>
        <v>44042.66667</v>
      </c>
      <c r="B144" s="2">
        <f>IFERROR(__xludf.DUMMYFUNCTION("""COMPUTED_VALUE"""),587.38)</f>
        <v>587.38</v>
      </c>
      <c r="C144" s="2">
        <f>IFERROR(__xludf.DUMMYFUNCTION("""COMPUTED_VALUE"""),587.38)</f>
        <v>587.38</v>
      </c>
      <c r="D144" s="2">
        <f>IFERROR(__xludf.DUMMYFUNCTION("""COMPUTED_VALUE"""),555.0)</f>
        <v>555</v>
      </c>
      <c r="E144" s="2">
        <f>IFERROR(__xludf.DUMMYFUNCTION("""COMPUTED_VALUE"""),555.0)</f>
        <v>555</v>
      </c>
      <c r="F144" s="2">
        <f>IFERROR(__xludf.DUMMYFUNCTION("""COMPUTED_VALUE"""),3.33015E7)</f>
        <v>33301500</v>
      </c>
      <c r="G144" s="2">
        <f t="shared" si="1"/>
        <v>32.38</v>
      </c>
    </row>
    <row r="145" ht="15.75" customHeight="1">
      <c r="A145" s="1">
        <f>IFERROR(__xludf.DUMMYFUNCTION("""COMPUTED_VALUE"""),44046.66666666667)</f>
        <v>44046.66667</v>
      </c>
      <c r="B145" s="2">
        <f>IFERROR(__xludf.DUMMYFUNCTION("""COMPUTED_VALUE"""),555.0)</f>
        <v>555</v>
      </c>
      <c r="C145" s="2">
        <f>IFERROR(__xludf.DUMMYFUNCTION("""COMPUTED_VALUE"""),559.63)</f>
        <v>559.63</v>
      </c>
      <c r="D145" s="2">
        <f>IFERROR(__xludf.DUMMYFUNCTION("""COMPUTED_VALUE"""),518.0)</f>
        <v>518</v>
      </c>
      <c r="E145" s="2">
        <f>IFERROR(__xludf.DUMMYFUNCTION("""COMPUTED_VALUE"""),522.63)</f>
        <v>522.63</v>
      </c>
      <c r="F145" s="2">
        <f>IFERROR(__xludf.DUMMYFUNCTION("""COMPUTED_VALUE"""),3.39614E7)</f>
        <v>33961400</v>
      </c>
      <c r="G145" s="2">
        <f t="shared" si="1"/>
        <v>41.63</v>
      </c>
    </row>
    <row r="146" ht="15.75" customHeight="1">
      <c r="A146" s="1">
        <f>IFERROR(__xludf.DUMMYFUNCTION("""COMPUTED_VALUE"""),44047.66666666667)</f>
        <v>44047.66667</v>
      </c>
      <c r="B146" s="2">
        <f>IFERROR(__xludf.DUMMYFUNCTION("""COMPUTED_VALUE"""),522.63)</f>
        <v>522.63</v>
      </c>
      <c r="C146" s="2">
        <f>IFERROR(__xludf.DUMMYFUNCTION("""COMPUTED_VALUE"""),531.88)</f>
        <v>531.88</v>
      </c>
      <c r="D146" s="2">
        <f>IFERROR(__xludf.DUMMYFUNCTION("""COMPUTED_VALUE"""),508.75)</f>
        <v>508.75</v>
      </c>
      <c r="E146" s="2">
        <f>IFERROR(__xludf.DUMMYFUNCTION("""COMPUTED_VALUE"""),522.63)</f>
        <v>522.63</v>
      </c>
      <c r="F146" s="2">
        <f>IFERROR(__xludf.DUMMYFUNCTION("""COMPUTED_VALUE"""),1.22918E7)</f>
        <v>12291800</v>
      </c>
      <c r="G146" s="2">
        <f t="shared" si="1"/>
        <v>23.13</v>
      </c>
    </row>
    <row r="147" ht="15.75" customHeight="1">
      <c r="A147" s="1">
        <f>IFERROR(__xludf.DUMMYFUNCTION("""COMPUTED_VALUE"""),44048.66666666667)</f>
        <v>44048.66667</v>
      </c>
      <c r="B147" s="2">
        <f>IFERROR(__xludf.DUMMYFUNCTION("""COMPUTED_VALUE"""),522.63)</f>
        <v>522.63</v>
      </c>
      <c r="C147" s="2">
        <f>IFERROR(__xludf.DUMMYFUNCTION("""COMPUTED_VALUE"""),545.75)</f>
        <v>545.75</v>
      </c>
      <c r="D147" s="2">
        <f>IFERROR(__xludf.DUMMYFUNCTION("""COMPUTED_VALUE"""),518.0)</f>
        <v>518</v>
      </c>
      <c r="E147" s="2">
        <f>IFERROR(__xludf.DUMMYFUNCTION("""COMPUTED_VALUE"""),541.13)</f>
        <v>541.13</v>
      </c>
      <c r="F147" s="2">
        <f>IFERROR(__xludf.DUMMYFUNCTION("""COMPUTED_VALUE"""),2.17594E7)</f>
        <v>21759400</v>
      </c>
      <c r="G147" s="2">
        <f t="shared" si="1"/>
        <v>27.75</v>
      </c>
    </row>
    <row r="148" ht="15.75" customHeight="1">
      <c r="A148" s="1">
        <f>IFERROR(__xludf.DUMMYFUNCTION("""COMPUTED_VALUE"""),44049.66666666667)</f>
        <v>44049.66667</v>
      </c>
      <c r="B148" s="2">
        <f>IFERROR(__xludf.DUMMYFUNCTION("""COMPUTED_VALUE"""),541.13)</f>
        <v>541.13</v>
      </c>
      <c r="C148" s="2">
        <f>IFERROR(__xludf.DUMMYFUNCTION("""COMPUTED_VALUE"""),555.0)</f>
        <v>555</v>
      </c>
      <c r="D148" s="2">
        <f>IFERROR(__xludf.DUMMYFUNCTION("""COMPUTED_VALUE"""),541.13)</f>
        <v>541.13</v>
      </c>
      <c r="E148" s="2">
        <f>IFERROR(__xludf.DUMMYFUNCTION("""COMPUTED_VALUE"""),545.75)</f>
        <v>545.75</v>
      </c>
      <c r="F148" s="2">
        <f>IFERROR(__xludf.DUMMYFUNCTION("""COMPUTED_VALUE"""),1.02448E7)</f>
        <v>10244800</v>
      </c>
      <c r="G148" s="2">
        <f t="shared" si="1"/>
        <v>13.87</v>
      </c>
    </row>
    <row r="149" ht="15.75" customHeight="1">
      <c r="A149" s="1">
        <f>IFERROR(__xludf.DUMMYFUNCTION("""COMPUTED_VALUE"""),44050.66666666667)</f>
        <v>44050.66667</v>
      </c>
      <c r="B149" s="2">
        <f>IFERROR(__xludf.DUMMYFUNCTION("""COMPUTED_VALUE"""),545.75)</f>
        <v>545.75</v>
      </c>
      <c r="C149" s="2">
        <f>IFERROR(__xludf.DUMMYFUNCTION("""COMPUTED_VALUE"""),545.75)</f>
        <v>545.75</v>
      </c>
      <c r="D149" s="2">
        <f>IFERROR(__xludf.DUMMYFUNCTION("""COMPUTED_VALUE"""),536.5)</f>
        <v>536.5</v>
      </c>
      <c r="E149" s="2">
        <f>IFERROR(__xludf.DUMMYFUNCTION("""COMPUTED_VALUE"""),541.13)</f>
        <v>541.13</v>
      </c>
      <c r="F149" s="2">
        <f>IFERROR(__xludf.DUMMYFUNCTION("""COMPUTED_VALUE"""),5864300.0)</f>
        <v>5864300</v>
      </c>
      <c r="G149" s="2">
        <f t="shared" si="1"/>
        <v>9.25</v>
      </c>
    </row>
    <row r="150" ht="15.75" customHeight="1">
      <c r="A150" s="1">
        <f>IFERROR(__xludf.DUMMYFUNCTION("""COMPUTED_VALUE"""),44053.66666666667)</f>
        <v>44053.66667</v>
      </c>
      <c r="B150" s="2">
        <f>IFERROR(__xludf.DUMMYFUNCTION("""COMPUTED_VALUE"""),545.75)</f>
        <v>545.75</v>
      </c>
      <c r="C150" s="2">
        <f>IFERROR(__xludf.DUMMYFUNCTION("""COMPUTED_VALUE"""),545.75)</f>
        <v>545.75</v>
      </c>
      <c r="D150" s="2">
        <f>IFERROR(__xludf.DUMMYFUNCTION("""COMPUTED_VALUE"""),536.5)</f>
        <v>536.5</v>
      </c>
      <c r="E150" s="2">
        <f>IFERROR(__xludf.DUMMYFUNCTION("""COMPUTED_VALUE"""),541.13)</f>
        <v>541.13</v>
      </c>
      <c r="F150" s="2">
        <f>IFERROR(__xludf.DUMMYFUNCTION("""COMPUTED_VALUE"""),5814600.0)</f>
        <v>5814600</v>
      </c>
      <c r="G150" s="2">
        <f t="shared" si="1"/>
        <v>9.25</v>
      </c>
    </row>
    <row r="151" ht="15.75" customHeight="1">
      <c r="A151" s="1">
        <f>IFERROR(__xludf.DUMMYFUNCTION("""COMPUTED_VALUE"""),44054.66666666667)</f>
        <v>44054.66667</v>
      </c>
      <c r="B151" s="2">
        <f>IFERROR(__xludf.DUMMYFUNCTION("""COMPUTED_VALUE"""),545.75)</f>
        <v>545.75</v>
      </c>
      <c r="C151" s="2">
        <f>IFERROR(__xludf.DUMMYFUNCTION("""COMPUTED_VALUE"""),564.25)</f>
        <v>564.25</v>
      </c>
      <c r="D151" s="2">
        <f>IFERROR(__xludf.DUMMYFUNCTION("""COMPUTED_VALUE"""),536.5)</f>
        <v>536.5</v>
      </c>
      <c r="E151" s="2">
        <f>IFERROR(__xludf.DUMMYFUNCTION("""COMPUTED_VALUE"""),559.63)</f>
        <v>559.63</v>
      </c>
      <c r="F151" s="2">
        <f>IFERROR(__xludf.DUMMYFUNCTION("""COMPUTED_VALUE"""),2.53565E7)</f>
        <v>25356500</v>
      </c>
      <c r="G151" s="2">
        <f t="shared" si="1"/>
        <v>27.75</v>
      </c>
    </row>
    <row r="152" ht="15.75" customHeight="1">
      <c r="A152" s="1">
        <f>IFERROR(__xludf.DUMMYFUNCTION("""COMPUTED_VALUE"""),44055.66666666667)</f>
        <v>44055.66667</v>
      </c>
      <c r="B152" s="2">
        <f>IFERROR(__xludf.DUMMYFUNCTION("""COMPUTED_VALUE"""),559.63)</f>
        <v>559.63</v>
      </c>
      <c r="C152" s="2">
        <f>IFERROR(__xludf.DUMMYFUNCTION("""COMPUTED_VALUE"""),573.5)</f>
        <v>573.5</v>
      </c>
      <c r="D152" s="2">
        <f>IFERROR(__xludf.DUMMYFUNCTION("""COMPUTED_VALUE"""),550.38)</f>
        <v>550.38</v>
      </c>
      <c r="E152" s="2">
        <f>IFERROR(__xludf.DUMMYFUNCTION("""COMPUTED_VALUE"""),564.25)</f>
        <v>564.25</v>
      </c>
      <c r="F152" s="2">
        <f>IFERROR(__xludf.DUMMYFUNCTION("""COMPUTED_VALUE"""),1.6348E7)</f>
        <v>16348000</v>
      </c>
      <c r="G152" s="2">
        <f t="shared" si="1"/>
        <v>23.12</v>
      </c>
    </row>
    <row r="153" ht="15.75" customHeight="1">
      <c r="A153" s="1">
        <f>IFERROR(__xludf.DUMMYFUNCTION("""COMPUTED_VALUE"""),44056.66666666667)</f>
        <v>44056.66667</v>
      </c>
      <c r="B153" s="2">
        <f>IFERROR(__xludf.DUMMYFUNCTION("""COMPUTED_VALUE"""),564.25)</f>
        <v>564.25</v>
      </c>
      <c r="C153" s="2">
        <f>IFERROR(__xludf.DUMMYFUNCTION("""COMPUTED_VALUE"""),568.88)</f>
        <v>568.88</v>
      </c>
      <c r="D153" s="2">
        <f>IFERROR(__xludf.DUMMYFUNCTION("""COMPUTED_VALUE"""),555.0)</f>
        <v>555</v>
      </c>
      <c r="E153" s="2">
        <f>IFERROR(__xludf.DUMMYFUNCTION("""COMPUTED_VALUE"""),555.0)</f>
        <v>555</v>
      </c>
      <c r="F153" s="2">
        <f>IFERROR(__xludf.DUMMYFUNCTION("""COMPUTED_VALUE"""),7059300.0)</f>
        <v>7059300</v>
      </c>
      <c r="G153" s="2">
        <f t="shared" si="1"/>
        <v>13.88</v>
      </c>
    </row>
    <row r="154" ht="15.75" customHeight="1">
      <c r="A154" s="1">
        <f>IFERROR(__xludf.DUMMYFUNCTION("""COMPUTED_VALUE"""),44057.66666666667)</f>
        <v>44057.66667</v>
      </c>
      <c r="B154" s="2">
        <f>IFERROR(__xludf.DUMMYFUNCTION("""COMPUTED_VALUE"""),559.63)</f>
        <v>559.63</v>
      </c>
      <c r="C154" s="2">
        <f>IFERROR(__xludf.DUMMYFUNCTION("""COMPUTED_VALUE"""),559.63)</f>
        <v>559.63</v>
      </c>
      <c r="D154" s="2">
        <f>IFERROR(__xludf.DUMMYFUNCTION("""COMPUTED_VALUE"""),555.0)</f>
        <v>555</v>
      </c>
      <c r="E154" s="2">
        <f>IFERROR(__xludf.DUMMYFUNCTION("""COMPUTED_VALUE"""),555.0)</f>
        <v>555</v>
      </c>
      <c r="F154" s="2">
        <f>IFERROR(__xludf.DUMMYFUNCTION("""COMPUTED_VALUE"""),4495700.0)</f>
        <v>4495700</v>
      </c>
      <c r="G154" s="2">
        <f t="shared" si="1"/>
        <v>4.63</v>
      </c>
    </row>
    <row r="155" ht="15.75" customHeight="1">
      <c r="A155" s="1">
        <f>IFERROR(__xludf.DUMMYFUNCTION("""COMPUTED_VALUE"""),44061.66666666667)</f>
        <v>44061.66667</v>
      </c>
      <c r="B155" s="2">
        <f>IFERROR(__xludf.DUMMYFUNCTION("""COMPUTED_VALUE"""),555.0)</f>
        <v>555</v>
      </c>
      <c r="C155" s="2">
        <f>IFERROR(__xludf.DUMMYFUNCTION("""COMPUTED_VALUE"""),578.13)</f>
        <v>578.13</v>
      </c>
      <c r="D155" s="2">
        <f>IFERROR(__xludf.DUMMYFUNCTION("""COMPUTED_VALUE"""),555.0)</f>
        <v>555</v>
      </c>
      <c r="E155" s="2">
        <f>IFERROR(__xludf.DUMMYFUNCTION("""COMPUTED_VALUE"""),568.88)</f>
        <v>568.88</v>
      </c>
      <c r="F155" s="2">
        <f>IFERROR(__xludf.DUMMYFUNCTION("""COMPUTED_VALUE"""),2.45949E7)</f>
        <v>24594900</v>
      </c>
      <c r="G155" s="2">
        <f t="shared" si="1"/>
        <v>23.13</v>
      </c>
    </row>
    <row r="156" ht="15.75" customHeight="1">
      <c r="A156" s="1">
        <f>IFERROR(__xludf.DUMMYFUNCTION("""COMPUTED_VALUE"""),44062.66666666667)</f>
        <v>44062.66667</v>
      </c>
      <c r="B156" s="2">
        <f>IFERROR(__xludf.DUMMYFUNCTION("""COMPUTED_VALUE"""),568.88)</f>
        <v>568.88</v>
      </c>
      <c r="C156" s="2">
        <f>IFERROR(__xludf.DUMMYFUNCTION("""COMPUTED_VALUE"""),573.5)</f>
        <v>573.5</v>
      </c>
      <c r="D156" s="2">
        <f>IFERROR(__xludf.DUMMYFUNCTION("""COMPUTED_VALUE"""),559.63)</f>
        <v>559.63</v>
      </c>
      <c r="E156" s="2">
        <f>IFERROR(__xludf.DUMMYFUNCTION("""COMPUTED_VALUE"""),564.25)</f>
        <v>564.25</v>
      </c>
      <c r="F156" s="2">
        <f>IFERROR(__xludf.DUMMYFUNCTION("""COMPUTED_VALUE"""),1.00543E7)</f>
        <v>10054300</v>
      </c>
      <c r="G156" s="2">
        <f t="shared" si="1"/>
        <v>13.87</v>
      </c>
    </row>
    <row r="157" ht="15.75" customHeight="1">
      <c r="A157" s="1">
        <f>IFERROR(__xludf.DUMMYFUNCTION("""COMPUTED_VALUE"""),44067.66666666667)</f>
        <v>44067.66667</v>
      </c>
      <c r="B157" s="2">
        <f>IFERROR(__xludf.DUMMYFUNCTION("""COMPUTED_VALUE"""),564.25)</f>
        <v>564.25</v>
      </c>
      <c r="C157" s="2">
        <f>IFERROR(__xludf.DUMMYFUNCTION("""COMPUTED_VALUE"""),578.13)</f>
        <v>578.13</v>
      </c>
      <c r="D157" s="2">
        <f>IFERROR(__xludf.DUMMYFUNCTION("""COMPUTED_VALUE"""),559.63)</f>
        <v>559.63</v>
      </c>
      <c r="E157" s="2">
        <f>IFERROR(__xludf.DUMMYFUNCTION("""COMPUTED_VALUE"""),568.88)</f>
        <v>568.88</v>
      </c>
      <c r="F157" s="2">
        <f>IFERROR(__xludf.DUMMYFUNCTION("""COMPUTED_VALUE"""),1.782E7)</f>
        <v>17820000</v>
      </c>
      <c r="G157" s="2">
        <f t="shared" si="1"/>
        <v>18.5</v>
      </c>
    </row>
    <row r="158" ht="15.75" customHeight="1">
      <c r="A158" s="1">
        <f>IFERROR(__xludf.DUMMYFUNCTION("""COMPUTED_VALUE"""),44068.66666666667)</f>
        <v>44068.66667</v>
      </c>
      <c r="B158" s="2">
        <f>IFERROR(__xludf.DUMMYFUNCTION("""COMPUTED_VALUE"""),568.88)</f>
        <v>568.88</v>
      </c>
      <c r="C158" s="2">
        <f>IFERROR(__xludf.DUMMYFUNCTION("""COMPUTED_VALUE"""),578.13)</f>
        <v>578.13</v>
      </c>
      <c r="D158" s="2">
        <f>IFERROR(__xludf.DUMMYFUNCTION("""COMPUTED_VALUE"""),568.88)</f>
        <v>568.88</v>
      </c>
      <c r="E158" s="2">
        <f>IFERROR(__xludf.DUMMYFUNCTION("""COMPUTED_VALUE"""),573.5)</f>
        <v>573.5</v>
      </c>
      <c r="F158" s="2">
        <f>IFERROR(__xludf.DUMMYFUNCTION("""COMPUTED_VALUE"""),1.05222E7)</f>
        <v>10522200</v>
      </c>
      <c r="G158" s="2">
        <f t="shared" si="1"/>
        <v>9.25</v>
      </c>
    </row>
    <row r="159" ht="15.75" customHeight="1">
      <c r="A159" s="1">
        <f>IFERROR(__xludf.DUMMYFUNCTION("""COMPUTED_VALUE"""),44069.66666666667)</f>
        <v>44069.66667</v>
      </c>
      <c r="B159" s="2">
        <f>IFERROR(__xludf.DUMMYFUNCTION("""COMPUTED_VALUE"""),573.5)</f>
        <v>573.5</v>
      </c>
      <c r="C159" s="2">
        <f>IFERROR(__xludf.DUMMYFUNCTION("""COMPUTED_VALUE"""),573.5)</f>
        <v>573.5</v>
      </c>
      <c r="D159" s="2">
        <f>IFERROR(__xludf.DUMMYFUNCTION("""COMPUTED_VALUE"""),568.88)</f>
        <v>568.88</v>
      </c>
      <c r="E159" s="2">
        <f>IFERROR(__xludf.DUMMYFUNCTION("""COMPUTED_VALUE"""),568.88)</f>
        <v>568.88</v>
      </c>
      <c r="F159" s="2">
        <f>IFERROR(__xludf.DUMMYFUNCTION("""COMPUTED_VALUE"""),6011700.0)</f>
        <v>6011700</v>
      </c>
      <c r="G159" s="2">
        <f t="shared" si="1"/>
        <v>4.62</v>
      </c>
    </row>
    <row r="160" ht="15.75" customHeight="1">
      <c r="A160" s="1">
        <f>IFERROR(__xludf.DUMMYFUNCTION("""COMPUTED_VALUE"""),44070.66666666667)</f>
        <v>44070.66667</v>
      </c>
      <c r="B160" s="2">
        <f>IFERROR(__xludf.DUMMYFUNCTION("""COMPUTED_VALUE"""),568.88)</f>
        <v>568.88</v>
      </c>
      <c r="C160" s="2">
        <f>IFERROR(__xludf.DUMMYFUNCTION("""COMPUTED_VALUE"""),578.13)</f>
        <v>578.13</v>
      </c>
      <c r="D160" s="2">
        <f>IFERROR(__xludf.DUMMYFUNCTION("""COMPUTED_VALUE"""),564.25)</f>
        <v>564.25</v>
      </c>
      <c r="E160" s="2">
        <f>IFERROR(__xludf.DUMMYFUNCTION("""COMPUTED_VALUE"""),564.25)</f>
        <v>564.25</v>
      </c>
      <c r="F160" s="2">
        <f>IFERROR(__xludf.DUMMYFUNCTION("""COMPUTED_VALUE"""),7982000.0)</f>
        <v>7982000</v>
      </c>
      <c r="G160" s="2">
        <f t="shared" si="1"/>
        <v>13.88</v>
      </c>
    </row>
    <row r="161" ht="15.75" customHeight="1">
      <c r="A161" s="1">
        <f>IFERROR(__xludf.DUMMYFUNCTION("""COMPUTED_VALUE"""),44071.66666666667)</f>
        <v>44071.66667</v>
      </c>
      <c r="B161" s="2">
        <f>IFERROR(__xludf.DUMMYFUNCTION("""COMPUTED_VALUE"""),568.88)</f>
        <v>568.88</v>
      </c>
      <c r="C161" s="2">
        <f>IFERROR(__xludf.DUMMYFUNCTION("""COMPUTED_VALUE"""),573.5)</f>
        <v>573.5</v>
      </c>
      <c r="D161" s="2">
        <f>IFERROR(__xludf.DUMMYFUNCTION("""COMPUTED_VALUE"""),564.25)</f>
        <v>564.25</v>
      </c>
      <c r="E161" s="2">
        <f>IFERROR(__xludf.DUMMYFUNCTION("""COMPUTED_VALUE"""),564.25)</f>
        <v>564.25</v>
      </c>
      <c r="F161" s="2">
        <f>IFERROR(__xludf.DUMMYFUNCTION("""COMPUTED_VALUE"""),5955600.0)</f>
        <v>5955600</v>
      </c>
      <c r="G161" s="2">
        <f t="shared" si="1"/>
        <v>9.25</v>
      </c>
    </row>
    <row r="162" ht="15.75" customHeight="1">
      <c r="A162" s="1">
        <f>IFERROR(__xludf.DUMMYFUNCTION("""COMPUTED_VALUE"""),44074.66666666667)</f>
        <v>44074.66667</v>
      </c>
      <c r="B162" s="2">
        <f>IFERROR(__xludf.DUMMYFUNCTION("""COMPUTED_VALUE"""),568.88)</f>
        <v>568.88</v>
      </c>
      <c r="C162" s="2">
        <f>IFERROR(__xludf.DUMMYFUNCTION("""COMPUTED_VALUE"""),568.88)</f>
        <v>568.88</v>
      </c>
      <c r="D162" s="2">
        <f>IFERROR(__xludf.DUMMYFUNCTION("""COMPUTED_VALUE"""),550.38)</f>
        <v>550.38</v>
      </c>
      <c r="E162" s="2">
        <f>IFERROR(__xludf.DUMMYFUNCTION("""COMPUTED_VALUE"""),550.38)</f>
        <v>550.38</v>
      </c>
      <c r="F162" s="2">
        <f>IFERROR(__xludf.DUMMYFUNCTION("""COMPUTED_VALUE"""),1.31841E7)</f>
        <v>13184100</v>
      </c>
      <c r="G162" s="2">
        <f t="shared" si="1"/>
        <v>18.5</v>
      </c>
    </row>
    <row r="163" ht="15.75" customHeight="1">
      <c r="A163" s="1">
        <f>IFERROR(__xludf.DUMMYFUNCTION("""COMPUTED_VALUE"""),44075.66666666667)</f>
        <v>44075.66667</v>
      </c>
      <c r="B163" s="2">
        <f>IFERROR(__xludf.DUMMYFUNCTION("""COMPUTED_VALUE"""),550.38)</f>
        <v>550.38</v>
      </c>
      <c r="C163" s="2">
        <f>IFERROR(__xludf.DUMMYFUNCTION("""COMPUTED_VALUE"""),559.63)</f>
        <v>559.63</v>
      </c>
      <c r="D163" s="2">
        <f>IFERROR(__xludf.DUMMYFUNCTION("""COMPUTED_VALUE"""),545.75)</f>
        <v>545.75</v>
      </c>
      <c r="E163" s="2">
        <f>IFERROR(__xludf.DUMMYFUNCTION("""COMPUTED_VALUE"""),559.63)</f>
        <v>559.63</v>
      </c>
      <c r="F163" s="2">
        <f>IFERROR(__xludf.DUMMYFUNCTION("""COMPUTED_VALUE"""),6385500.0)</f>
        <v>6385500</v>
      </c>
      <c r="G163" s="2">
        <f t="shared" si="1"/>
        <v>13.88</v>
      </c>
    </row>
    <row r="164" ht="15.75" customHeight="1">
      <c r="A164" s="1">
        <f>IFERROR(__xludf.DUMMYFUNCTION("""COMPUTED_VALUE"""),44076.66666666667)</f>
        <v>44076.66667</v>
      </c>
      <c r="B164" s="2">
        <f>IFERROR(__xludf.DUMMYFUNCTION("""COMPUTED_VALUE"""),564.25)</f>
        <v>564.25</v>
      </c>
      <c r="C164" s="2">
        <f>IFERROR(__xludf.DUMMYFUNCTION("""COMPUTED_VALUE"""),568.88)</f>
        <v>568.88</v>
      </c>
      <c r="D164" s="2">
        <f>IFERROR(__xludf.DUMMYFUNCTION("""COMPUTED_VALUE"""),555.0)</f>
        <v>555</v>
      </c>
      <c r="E164" s="2">
        <f>IFERROR(__xludf.DUMMYFUNCTION("""COMPUTED_VALUE"""),564.25)</f>
        <v>564.25</v>
      </c>
      <c r="F164" s="2">
        <f>IFERROR(__xludf.DUMMYFUNCTION("""COMPUTED_VALUE"""),4872800.0)</f>
        <v>4872800</v>
      </c>
      <c r="G164" s="2">
        <f t="shared" si="1"/>
        <v>13.88</v>
      </c>
    </row>
    <row r="165" ht="15.75" customHeight="1">
      <c r="A165" s="1">
        <f>IFERROR(__xludf.DUMMYFUNCTION("""COMPUTED_VALUE"""),44077.66666666667)</f>
        <v>44077.66667</v>
      </c>
      <c r="B165" s="2">
        <f>IFERROR(__xludf.DUMMYFUNCTION("""COMPUTED_VALUE"""),568.88)</f>
        <v>568.88</v>
      </c>
      <c r="C165" s="2">
        <f>IFERROR(__xludf.DUMMYFUNCTION("""COMPUTED_VALUE"""),568.88)</f>
        <v>568.88</v>
      </c>
      <c r="D165" s="2">
        <f>IFERROR(__xludf.DUMMYFUNCTION("""COMPUTED_VALUE"""),555.0)</f>
        <v>555</v>
      </c>
      <c r="E165" s="2">
        <f>IFERROR(__xludf.DUMMYFUNCTION("""COMPUTED_VALUE"""),559.63)</f>
        <v>559.63</v>
      </c>
      <c r="F165" s="2">
        <f>IFERROR(__xludf.DUMMYFUNCTION("""COMPUTED_VALUE"""),3714200.0)</f>
        <v>3714200</v>
      </c>
      <c r="G165" s="2">
        <f t="shared" si="1"/>
        <v>13.88</v>
      </c>
    </row>
    <row r="166" ht="15.75" customHeight="1">
      <c r="A166" s="1">
        <f>IFERROR(__xludf.DUMMYFUNCTION("""COMPUTED_VALUE"""),44078.66666666667)</f>
        <v>44078.66667</v>
      </c>
      <c r="B166" s="2">
        <f>IFERROR(__xludf.DUMMYFUNCTION("""COMPUTED_VALUE"""),555.0)</f>
        <v>555</v>
      </c>
      <c r="C166" s="2">
        <f>IFERROR(__xludf.DUMMYFUNCTION("""COMPUTED_VALUE"""),555.0)</f>
        <v>555</v>
      </c>
      <c r="D166" s="2">
        <f>IFERROR(__xludf.DUMMYFUNCTION("""COMPUTED_VALUE"""),541.13)</f>
        <v>541.13</v>
      </c>
      <c r="E166" s="2">
        <f>IFERROR(__xludf.DUMMYFUNCTION("""COMPUTED_VALUE"""),555.0)</f>
        <v>555</v>
      </c>
      <c r="F166" s="2">
        <f>IFERROR(__xludf.DUMMYFUNCTION("""COMPUTED_VALUE"""),6850300.0)</f>
        <v>6850300</v>
      </c>
      <c r="G166" s="2">
        <f t="shared" si="1"/>
        <v>18.5</v>
      </c>
    </row>
    <row r="167" ht="15.75" customHeight="1">
      <c r="A167" s="1">
        <f>IFERROR(__xludf.DUMMYFUNCTION("""COMPUTED_VALUE"""),44081.66666666667)</f>
        <v>44081.66667</v>
      </c>
      <c r="B167" s="2">
        <f>IFERROR(__xludf.DUMMYFUNCTION("""COMPUTED_VALUE"""),555.0)</f>
        <v>555</v>
      </c>
      <c r="C167" s="2">
        <f>IFERROR(__xludf.DUMMYFUNCTION("""COMPUTED_VALUE"""),564.25)</f>
        <v>564.25</v>
      </c>
      <c r="D167" s="2">
        <f>IFERROR(__xludf.DUMMYFUNCTION("""COMPUTED_VALUE"""),545.75)</f>
        <v>545.75</v>
      </c>
      <c r="E167" s="2">
        <f>IFERROR(__xludf.DUMMYFUNCTION("""COMPUTED_VALUE"""),550.38)</f>
        <v>550.38</v>
      </c>
      <c r="F167" s="2">
        <f>IFERROR(__xludf.DUMMYFUNCTION("""COMPUTED_VALUE"""),3301900.0)</f>
        <v>3301900</v>
      </c>
      <c r="G167" s="2">
        <f t="shared" si="1"/>
        <v>18.5</v>
      </c>
    </row>
    <row r="168" ht="15.75" customHeight="1">
      <c r="A168" s="1">
        <f>IFERROR(__xludf.DUMMYFUNCTION("""COMPUTED_VALUE"""),44082.66666666667)</f>
        <v>44082.66667</v>
      </c>
      <c r="B168" s="2">
        <f>IFERROR(__xludf.DUMMYFUNCTION("""COMPUTED_VALUE"""),550.38)</f>
        <v>550.38</v>
      </c>
      <c r="C168" s="2">
        <f>IFERROR(__xludf.DUMMYFUNCTION("""COMPUTED_VALUE"""),559.63)</f>
        <v>559.63</v>
      </c>
      <c r="D168" s="2">
        <f>IFERROR(__xludf.DUMMYFUNCTION("""COMPUTED_VALUE"""),550.38)</f>
        <v>550.38</v>
      </c>
      <c r="E168" s="2">
        <f>IFERROR(__xludf.DUMMYFUNCTION("""COMPUTED_VALUE"""),550.38)</f>
        <v>550.38</v>
      </c>
      <c r="F168" s="2">
        <f>IFERROR(__xludf.DUMMYFUNCTION("""COMPUTED_VALUE"""),4541700.0)</f>
        <v>4541700</v>
      </c>
      <c r="G168" s="2">
        <f t="shared" si="1"/>
        <v>9.25</v>
      </c>
    </row>
    <row r="169" ht="15.75" customHeight="1">
      <c r="A169" s="1">
        <f>IFERROR(__xludf.DUMMYFUNCTION("""COMPUTED_VALUE"""),44083.66666666667)</f>
        <v>44083.66667</v>
      </c>
      <c r="B169" s="2">
        <f>IFERROR(__xludf.DUMMYFUNCTION("""COMPUTED_VALUE"""),550.38)</f>
        <v>550.38</v>
      </c>
      <c r="C169" s="2">
        <f>IFERROR(__xludf.DUMMYFUNCTION("""COMPUTED_VALUE"""),550.38)</f>
        <v>550.38</v>
      </c>
      <c r="D169" s="2">
        <f>IFERROR(__xludf.DUMMYFUNCTION("""COMPUTED_VALUE"""),527.25)</f>
        <v>527.25</v>
      </c>
      <c r="E169" s="2">
        <f>IFERROR(__xludf.DUMMYFUNCTION("""COMPUTED_VALUE"""),541.13)</f>
        <v>541.13</v>
      </c>
      <c r="F169" s="2">
        <f>IFERROR(__xludf.DUMMYFUNCTION("""COMPUTED_VALUE"""),6695800.0)</f>
        <v>6695800</v>
      </c>
      <c r="G169" s="2">
        <f t="shared" si="1"/>
        <v>23.13</v>
      </c>
    </row>
    <row r="170" ht="15.75" customHeight="1">
      <c r="A170" s="1">
        <f>IFERROR(__xludf.DUMMYFUNCTION("""COMPUTED_VALUE"""),44084.66666666667)</f>
        <v>44084.66667</v>
      </c>
      <c r="B170" s="2">
        <f>IFERROR(__xludf.DUMMYFUNCTION("""COMPUTED_VALUE"""),518.0)</f>
        <v>518</v>
      </c>
      <c r="C170" s="2">
        <f>IFERROR(__xludf.DUMMYFUNCTION("""COMPUTED_VALUE"""),527.25)</f>
        <v>527.25</v>
      </c>
      <c r="D170" s="2">
        <f>IFERROR(__xludf.DUMMYFUNCTION("""COMPUTED_VALUE"""),504.13)</f>
        <v>504.13</v>
      </c>
      <c r="E170" s="2">
        <f>IFERROR(__xludf.DUMMYFUNCTION("""COMPUTED_VALUE"""),504.13)</f>
        <v>504.13</v>
      </c>
      <c r="F170" s="2">
        <f>IFERROR(__xludf.DUMMYFUNCTION("""COMPUTED_VALUE"""),1.56581E7)</f>
        <v>15658100</v>
      </c>
      <c r="G170" s="2">
        <f t="shared" si="1"/>
        <v>37</v>
      </c>
    </row>
    <row r="171" ht="15.75" customHeight="1">
      <c r="A171" s="1">
        <f>IFERROR(__xludf.DUMMYFUNCTION("""COMPUTED_VALUE"""),44085.66666666667)</f>
        <v>44085.66667</v>
      </c>
      <c r="B171" s="2">
        <f>IFERROR(__xludf.DUMMYFUNCTION("""COMPUTED_VALUE"""),490.25)</f>
        <v>490.25</v>
      </c>
      <c r="C171" s="2">
        <f>IFERROR(__xludf.DUMMYFUNCTION("""COMPUTED_VALUE"""),531.88)</f>
        <v>531.88</v>
      </c>
      <c r="D171" s="2">
        <f>IFERROR(__xludf.DUMMYFUNCTION("""COMPUTED_VALUE"""),471.75)</f>
        <v>471.75</v>
      </c>
      <c r="E171" s="2">
        <f>IFERROR(__xludf.DUMMYFUNCTION("""COMPUTED_VALUE"""),513.38)</f>
        <v>513.38</v>
      </c>
      <c r="F171" s="2">
        <f>IFERROR(__xludf.DUMMYFUNCTION("""COMPUTED_VALUE"""),1.27511E7)</f>
        <v>12751100</v>
      </c>
      <c r="G171" s="2">
        <f t="shared" si="1"/>
        <v>60.13</v>
      </c>
    </row>
    <row r="172" ht="15.75" customHeight="1">
      <c r="A172" s="1">
        <f>IFERROR(__xludf.DUMMYFUNCTION("""COMPUTED_VALUE"""),44088.66666666667)</f>
        <v>44088.66667</v>
      </c>
      <c r="B172" s="2">
        <f>IFERROR(__xludf.DUMMYFUNCTION("""COMPUTED_VALUE"""),536.5)</f>
        <v>536.5</v>
      </c>
      <c r="C172" s="2">
        <f>IFERROR(__xludf.DUMMYFUNCTION("""COMPUTED_VALUE"""),545.75)</f>
        <v>545.75</v>
      </c>
      <c r="D172" s="2">
        <f>IFERROR(__xludf.DUMMYFUNCTION("""COMPUTED_VALUE"""),527.25)</f>
        <v>527.25</v>
      </c>
      <c r="E172" s="2">
        <f>IFERROR(__xludf.DUMMYFUNCTION("""COMPUTED_VALUE"""),531.88)</f>
        <v>531.88</v>
      </c>
      <c r="F172" s="2">
        <f>IFERROR(__xludf.DUMMYFUNCTION("""COMPUTED_VALUE"""),7915100.0)</f>
        <v>7915100</v>
      </c>
      <c r="G172" s="2">
        <f t="shared" si="1"/>
        <v>32.37</v>
      </c>
    </row>
    <row r="173" ht="15.75" customHeight="1">
      <c r="A173" s="1">
        <f>IFERROR(__xludf.DUMMYFUNCTION("""COMPUTED_VALUE"""),44089.66666666667)</f>
        <v>44089.66667</v>
      </c>
      <c r="B173" s="2">
        <f>IFERROR(__xludf.DUMMYFUNCTION("""COMPUTED_VALUE"""),536.5)</f>
        <v>536.5</v>
      </c>
      <c r="C173" s="2">
        <f>IFERROR(__xludf.DUMMYFUNCTION("""COMPUTED_VALUE"""),536.5)</f>
        <v>536.5</v>
      </c>
      <c r="D173" s="2">
        <f>IFERROR(__xludf.DUMMYFUNCTION("""COMPUTED_VALUE"""),522.63)</f>
        <v>522.63</v>
      </c>
      <c r="E173" s="2">
        <f>IFERROR(__xludf.DUMMYFUNCTION("""COMPUTED_VALUE"""),522.63)</f>
        <v>522.63</v>
      </c>
      <c r="F173" s="2">
        <f>IFERROR(__xludf.DUMMYFUNCTION("""COMPUTED_VALUE"""),2967600.0)</f>
        <v>2967600</v>
      </c>
      <c r="G173" s="2">
        <f t="shared" si="1"/>
        <v>13.87</v>
      </c>
    </row>
    <row r="174" ht="15.75" customHeight="1">
      <c r="A174" s="1">
        <f>IFERROR(__xludf.DUMMYFUNCTION("""COMPUTED_VALUE"""),44090.66666666667)</f>
        <v>44090.66667</v>
      </c>
      <c r="B174" s="2">
        <f>IFERROR(__xludf.DUMMYFUNCTION("""COMPUTED_VALUE"""),522.63)</f>
        <v>522.63</v>
      </c>
      <c r="C174" s="2">
        <f>IFERROR(__xludf.DUMMYFUNCTION("""COMPUTED_VALUE"""),527.25)</f>
        <v>527.25</v>
      </c>
      <c r="D174" s="2">
        <f>IFERROR(__xludf.DUMMYFUNCTION("""COMPUTED_VALUE"""),508.75)</f>
        <v>508.75</v>
      </c>
      <c r="E174" s="2">
        <f>IFERROR(__xludf.DUMMYFUNCTION("""COMPUTED_VALUE"""),513.38)</f>
        <v>513.38</v>
      </c>
      <c r="F174" s="2">
        <f>IFERROR(__xludf.DUMMYFUNCTION("""COMPUTED_VALUE"""),2959700.0)</f>
        <v>2959700</v>
      </c>
      <c r="G174" s="2">
        <f t="shared" si="1"/>
        <v>18.5</v>
      </c>
    </row>
    <row r="175" ht="15.75" customHeight="1">
      <c r="A175" s="1">
        <f>IFERROR(__xludf.DUMMYFUNCTION("""COMPUTED_VALUE"""),44091.66666666667)</f>
        <v>44091.66667</v>
      </c>
      <c r="B175" s="2">
        <f>IFERROR(__xludf.DUMMYFUNCTION("""COMPUTED_VALUE"""),513.38)</f>
        <v>513.38</v>
      </c>
      <c r="C175" s="2">
        <f>IFERROR(__xludf.DUMMYFUNCTION("""COMPUTED_VALUE"""),522.63)</f>
        <v>522.63</v>
      </c>
      <c r="D175" s="2">
        <f>IFERROR(__xludf.DUMMYFUNCTION("""COMPUTED_VALUE"""),499.5)</f>
        <v>499.5</v>
      </c>
      <c r="E175" s="2">
        <f>IFERROR(__xludf.DUMMYFUNCTION("""COMPUTED_VALUE"""),504.13)</f>
        <v>504.13</v>
      </c>
      <c r="F175" s="2">
        <f>IFERROR(__xludf.DUMMYFUNCTION("""COMPUTED_VALUE"""),5282100.0)</f>
        <v>5282100</v>
      </c>
      <c r="G175" s="2">
        <f t="shared" si="1"/>
        <v>23.13</v>
      </c>
    </row>
    <row r="176" ht="15.75" customHeight="1">
      <c r="A176" s="1">
        <f>IFERROR(__xludf.DUMMYFUNCTION("""COMPUTED_VALUE"""),44092.66666666667)</f>
        <v>44092.66667</v>
      </c>
      <c r="B176" s="2">
        <f>IFERROR(__xludf.DUMMYFUNCTION("""COMPUTED_VALUE"""),504.13)</f>
        <v>504.13</v>
      </c>
      <c r="C176" s="2">
        <f>IFERROR(__xludf.DUMMYFUNCTION("""COMPUTED_VALUE"""),513.38)</f>
        <v>513.38</v>
      </c>
      <c r="D176" s="2">
        <f>IFERROR(__xludf.DUMMYFUNCTION("""COMPUTED_VALUE"""),490.25)</f>
        <v>490.25</v>
      </c>
      <c r="E176" s="2">
        <f>IFERROR(__xludf.DUMMYFUNCTION("""COMPUTED_VALUE"""),490.25)</f>
        <v>490.25</v>
      </c>
      <c r="F176" s="2">
        <f>IFERROR(__xludf.DUMMYFUNCTION("""COMPUTED_VALUE"""),6791700.0)</f>
        <v>6791700</v>
      </c>
      <c r="G176" s="2">
        <f t="shared" si="1"/>
        <v>23.13</v>
      </c>
    </row>
    <row r="177" ht="15.75" customHeight="1">
      <c r="A177" s="1">
        <f>IFERROR(__xludf.DUMMYFUNCTION("""COMPUTED_VALUE"""),44095.66666666667)</f>
        <v>44095.66667</v>
      </c>
      <c r="B177" s="2">
        <f>IFERROR(__xludf.DUMMYFUNCTION("""COMPUTED_VALUE"""),499.5)</f>
        <v>499.5</v>
      </c>
      <c r="C177" s="2">
        <f>IFERROR(__xludf.DUMMYFUNCTION("""COMPUTED_VALUE"""),504.13)</f>
        <v>504.13</v>
      </c>
      <c r="D177" s="2">
        <f>IFERROR(__xludf.DUMMYFUNCTION("""COMPUTED_VALUE"""),476.38)</f>
        <v>476.38</v>
      </c>
      <c r="E177" s="2">
        <f>IFERROR(__xludf.DUMMYFUNCTION("""COMPUTED_VALUE"""),476.38)</f>
        <v>476.38</v>
      </c>
      <c r="F177" s="2">
        <f>IFERROR(__xludf.DUMMYFUNCTION("""COMPUTED_VALUE"""),9408700.0)</f>
        <v>9408700</v>
      </c>
      <c r="G177" s="2">
        <f t="shared" si="1"/>
        <v>27.75</v>
      </c>
    </row>
    <row r="178" ht="15.75" customHeight="1">
      <c r="A178" s="1">
        <f>IFERROR(__xludf.DUMMYFUNCTION("""COMPUTED_VALUE"""),44096.66666666667)</f>
        <v>44096.66667</v>
      </c>
      <c r="B178" s="2">
        <f>IFERROR(__xludf.DUMMYFUNCTION("""COMPUTED_VALUE"""),471.75)</f>
        <v>471.75</v>
      </c>
      <c r="C178" s="2">
        <f>IFERROR(__xludf.DUMMYFUNCTION("""COMPUTED_VALUE"""),481.0)</f>
        <v>481</v>
      </c>
      <c r="D178" s="2">
        <f>IFERROR(__xludf.DUMMYFUNCTION("""COMPUTED_VALUE"""),460.65)</f>
        <v>460.65</v>
      </c>
      <c r="E178" s="2">
        <f>IFERROR(__xludf.DUMMYFUNCTION("""COMPUTED_VALUE"""),471.75)</f>
        <v>471.75</v>
      </c>
      <c r="F178" s="2">
        <f>IFERROR(__xludf.DUMMYFUNCTION("""COMPUTED_VALUE"""),5031500.0)</f>
        <v>5031500</v>
      </c>
      <c r="G178" s="2">
        <f t="shared" si="1"/>
        <v>20.35</v>
      </c>
    </row>
    <row r="179" ht="15.75" customHeight="1">
      <c r="A179" s="1">
        <f>IFERROR(__xludf.DUMMYFUNCTION("""COMPUTED_VALUE"""),44097.66666666667)</f>
        <v>44097.66667</v>
      </c>
      <c r="B179" s="2">
        <f>IFERROR(__xludf.DUMMYFUNCTION("""COMPUTED_VALUE"""),471.75)</f>
        <v>471.75</v>
      </c>
      <c r="C179" s="2">
        <f>IFERROR(__xludf.DUMMYFUNCTION("""COMPUTED_VALUE"""),485.63)</f>
        <v>485.63</v>
      </c>
      <c r="D179" s="2">
        <f>IFERROR(__xludf.DUMMYFUNCTION("""COMPUTED_VALUE"""),462.5)</f>
        <v>462.5</v>
      </c>
      <c r="E179" s="2">
        <f>IFERROR(__xludf.DUMMYFUNCTION("""COMPUTED_VALUE"""),467.13)</f>
        <v>467.13</v>
      </c>
      <c r="F179" s="2">
        <f>IFERROR(__xludf.DUMMYFUNCTION("""COMPUTED_VALUE"""),6193100.0)</f>
        <v>6193100</v>
      </c>
      <c r="G179" s="2">
        <f t="shared" si="1"/>
        <v>23.13</v>
      </c>
    </row>
    <row r="180" ht="15.75" customHeight="1">
      <c r="A180" s="1">
        <f>IFERROR(__xludf.DUMMYFUNCTION("""COMPUTED_VALUE"""),44098.66666666667)</f>
        <v>44098.66667</v>
      </c>
      <c r="B180" s="2">
        <f>IFERROR(__xludf.DUMMYFUNCTION("""COMPUTED_VALUE"""),460.65)</f>
        <v>460.65</v>
      </c>
      <c r="C180" s="2">
        <f>IFERROR(__xludf.DUMMYFUNCTION("""COMPUTED_VALUE"""),460.65)</f>
        <v>460.65</v>
      </c>
      <c r="D180" s="2">
        <f>IFERROR(__xludf.DUMMYFUNCTION("""COMPUTED_VALUE"""),451.4)</f>
        <v>451.4</v>
      </c>
      <c r="E180" s="2">
        <f>IFERROR(__xludf.DUMMYFUNCTION("""COMPUTED_VALUE"""),453.25)</f>
        <v>453.25</v>
      </c>
      <c r="F180" s="2">
        <f>IFERROR(__xludf.DUMMYFUNCTION("""COMPUTED_VALUE"""),8988000.0)</f>
        <v>8988000</v>
      </c>
      <c r="G180" s="2">
        <f t="shared" si="1"/>
        <v>15.73</v>
      </c>
    </row>
    <row r="181" ht="15.75" customHeight="1">
      <c r="A181" s="1">
        <f>IFERROR(__xludf.DUMMYFUNCTION("""COMPUTED_VALUE"""),44099.66666666667)</f>
        <v>44099.66667</v>
      </c>
      <c r="B181" s="2">
        <f>IFERROR(__xludf.DUMMYFUNCTION("""COMPUTED_VALUE"""),453.25)</f>
        <v>453.25</v>
      </c>
      <c r="C181" s="2">
        <f>IFERROR(__xludf.DUMMYFUNCTION("""COMPUTED_VALUE"""),467.13)</f>
        <v>467.13</v>
      </c>
      <c r="D181" s="2">
        <f>IFERROR(__xludf.DUMMYFUNCTION("""COMPUTED_VALUE"""),451.4)</f>
        <v>451.4</v>
      </c>
      <c r="E181" s="2">
        <f>IFERROR(__xludf.DUMMYFUNCTION("""COMPUTED_VALUE"""),462.5)</f>
        <v>462.5</v>
      </c>
      <c r="F181" s="2">
        <f>IFERROR(__xludf.DUMMYFUNCTION("""COMPUTED_VALUE"""),9966000.0)</f>
        <v>9966000</v>
      </c>
      <c r="G181" s="2">
        <f t="shared" si="1"/>
        <v>15.73</v>
      </c>
    </row>
    <row r="182" ht="15.75" customHeight="1">
      <c r="A182" s="1">
        <f>IFERROR(__xludf.DUMMYFUNCTION("""COMPUTED_VALUE"""),44102.66666666667)</f>
        <v>44102.66667</v>
      </c>
      <c r="B182" s="2">
        <f>IFERROR(__xludf.DUMMYFUNCTION("""COMPUTED_VALUE"""),462.5)</f>
        <v>462.5</v>
      </c>
      <c r="C182" s="2">
        <f>IFERROR(__xludf.DUMMYFUNCTION("""COMPUTED_VALUE"""),471.75)</f>
        <v>471.75</v>
      </c>
      <c r="D182" s="2">
        <f>IFERROR(__xludf.DUMMYFUNCTION("""COMPUTED_VALUE"""),458.8)</f>
        <v>458.8</v>
      </c>
      <c r="E182" s="2">
        <f>IFERROR(__xludf.DUMMYFUNCTION("""COMPUTED_VALUE"""),467.13)</f>
        <v>467.13</v>
      </c>
      <c r="F182" s="2">
        <f>IFERROR(__xludf.DUMMYFUNCTION("""COMPUTED_VALUE"""),5151800.0)</f>
        <v>5151800</v>
      </c>
      <c r="G182" s="2">
        <f t="shared" si="1"/>
        <v>12.95</v>
      </c>
    </row>
    <row r="183" ht="15.75" customHeight="1">
      <c r="A183" s="1">
        <f>IFERROR(__xludf.DUMMYFUNCTION("""COMPUTED_VALUE"""),44103.66666666667)</f>
        <v>44103.66667</v>
      </c>
      <c r="B183" s="2">
        <f>IFERROR(__xludf.DUMMYFUNCTION("""COMPUTED_VALUE"""),476.38)</f>
        <v>476.38</v>
      </c>
      <c r="C183" s="2">
        <f>IFERROR(__xludf.DUMMYFUNCTION("""COMPUTED_VALUE"""),476.38)</f>
        <v>476.38</v>
      </c>
      <c r="D183" s="2">
        <f>IFERROR(__xludf.DUMMYFUNCTION("""COMPUTED_VALUE"""),460.65)</f>
        <v>460.65</v>
      </c>
      <c r="E183" s="2">
        <f>IFERROR(__xludf.DUMMYFUNCTION("""COMPUTED_VALUE"""),462.5)</f>
        <v>462.5</v>
      </c>
      <c r="F183" s="2">
        <f>IFERROR(__xludf.DUMMYFUNCTION("""COMPUTED_VALUE"""),5287600.0)</f>
        <v>5287600</v>
      </c>
      <c r="G183" s="2">
        <f t="shared" si="1"/>
        <v>15.73</v>
      </c>
    </row>
    <row r="184" ht="15.75" customHeight="1">
      <c r="A184" s="1">
        <f>IFERROR(__xludf.DUMMYFUNCTION("""COMPUTED_VALUE"""),44104.66666666667)</f>
        <v>44104.66667</v>
      </c>
      <c r="B184" s="2">
        <f>IFERROR(__xludf.DUMMYFUNCTION("""COMPUTED_VALUE"""),462.5)</f>
        <v>462.5</v>
      </c>
      <c r="C184" s="2">
        <f>IFERROR(__xludf.DUMMYFUNCTION("""COMPUTED_VALUE"""),462.5)</f>
        <v>462.5</v>
      </c>
      <c r="D184" s="2">
        <f>IFERROR(__xludf.DUMMYFUNCTION("""COMPUTED_VALUE"""),453.25)</f>
        <v>453.25</v>
      </c>
      <c r="E184" s="2">
        <f>IFERROR(__xludf.DUMMYFUNCTION("""COMPUTED_VALUE"""),462.5)</f>
        <v>462.5</v>
      </c>
      <c r="F184" s="2">
        <f>IFERROR(__xludf.DUMMYFUNCTION("""COMPUTED_VALUE"""),4102300.0)</f>
        <v>4102300</v>
      </c>
      <c r="G184" s="2">
        <f t="shared" si="1"/>
        <v>9.25</v>
      </c>
    </row>
    <row r="185" ht="15.75" customHeight="1">
      <c r="A185" s="1">
        <f>IFERROR(__xludf.DUMMYFUNCTION("""COMPUTED_VALUE"""),44105.66666666667)</f>
        <v>44105.66667</v>
      </c>
      <c r="B185" s="2">
        <f>IFERROR(__xludf.DUMMYFUNCTION("""COMPUTED_VALUE"""),462.5)</f>
        <v>462.5</v>
      </c>
      <c r="C185" s="2">
        <f>IFERROR(__xludf.DUMMYFUNCTION("""COMPUTED_VALUE"""),476.38)</f>
        <v>476.38</v>
      </c>
      <c r="D185" s="2">
        <f>IFERROR(__xludf.DUMMYFUNCTION("""COMPUTED_VALUE"""),462.5)</f>
        <v>462.5</v>
      </c>
      <c r="E185" s="2">
        <f>IFERROR(__xludf.DUMMYFUNCTION("""COMPUTED_VALUE"""),471.75)</f>
        <v>471.75</v>
      </c>
      <c r="F185" s="2">
        <f>IFERROR(__xludf.DUMMYFUNCTION("""COMPUTED_VALUE"""),3711800.0)</f>
        <v>3711800</v>
      </c>
      <c r="G185" s="2">
        <f t="shared" si="1"/>
        <v>13.88</v>
      </c>
    </row>
    <row r="186" ht="15.75" customHeight="1">
      <c r="A186" s="1">
        <f>IFERROR(__xludf.DUMMYFUNCTION("""COMPUTED_VALUE"""),44106.66666666667)</f>
        <v>44106.66667</v>
      </c>
      <c r="B186" s="2">
        <f>IFERROR(__xludf.DUMMYFUNCTION("""COMPUTED_VALUE"""),476.38)</f>
        <v>476.38</v>
      </c>
      <c r="C186" s="2">
        <f>IFERROR(__xludf.DUMMYFUNCTION("""COMPUTED_VALUE"""),476.38)</f>
        <v>476.38</v>
      </c>
      <c r="D186" s="2">
        <f>IFERROR(__xludf.DUMMYFUNCTION("""COMPUTED_VALUE"""),462.5)</f>
        <v>462.5</v>
      </c>
      <c r="E186" s="2">
        <f>IFERROR(__xludf.DUMMYFUNCTION("""COMPUTED_VALUE"""),462.5)</f>
        <v>462.5</v>
      </c>
      <c r="F186" s="2">
        <f>IFERROR(__xludf.DUMMYFUNCTION("""COMPUTED_VALUE"""),4345200.0)</f>
        <v>4345200</v>
      </c>
      <c r="G186" s="2">
        <f t="shared" si="1"/>
        <v>13.88</v>
      </c>
    </row>
    <row r="187" ht="15.75" customHeight="1">
      <c r="A187" s="1">
        <f>IFERROR(__xludf.DUMMYFUNCTION("""COMPUTED_VALUE"""),44109.66666666667)</f>
        <v>44109.66667</v>
      </c>
      <c r="B187" s="2">
        <f>IFERROR(__xludf.DUMMYFUNCTION("""COMPUTED_VALUE"""),462.5)</f>
        <v>462.5</v>
      </c>
      <c r="C187" s="2">
        <f>IFERROR(__xludf.DUMMYFUNCTION("""COMPUTED_VALUE"""),471.75)</f>
        <v>471.75</v>
      </c>
      <c r="D187" s="2">
        <f>IFERROR(__xludf.DUMMYFUNCTION("""COMPUTED_VALUE"""),462.5)</f>
        <v>462.5</v>
      </c>
      <c r="E187" s="2">
        <f>IFERROR(__xludf.DUMMYFUNCTION("""COMPUTED_VALUE"""),467.13)</f>
        <v>467.13</v>
      </c>
      <c r="F187" s="2">
        <f>IFERROR(__xludf.DUMMYFUNCTION("""COMPUTED_VALUE"""),1982200.0)</f>
        <v>1982200</v>
      </c>
      <c r="G187" s="2">
        <f t="shared" si="1"/>
        <v>9.25</v>
      </c>
    </row>
    <row r="188" ht="15.75" customHeight="1">
      <c r="A188" s="1">
        <f>IFERROR(__xludf.DUMMYFUNCTION("""COMPUTED_VALUE"""),44110.66666666667)</f>
        <v>44110.66667</v>
      </c>
      <c r="B188" s="2">
        <f>IFERROR(__xludf.DUMMYFUNCTION("""COMPUTED_VALUE"""),476.38)</f>
        <v>476.38</v>
      </c>
      <c r="C188" s="2">
        <f>IFERROR(__xludf.DUMMYFUNCTION("""COMPUTED_VALUE"""),494.88)</f>
        <v>494.88</v>
      </c>
      <c r="D188" s="2">
        <f>IFERROR(__xludf.DUMMYFUNCTION("""COMPUTED_VALUE"""),471.75)</f>
        <v>471.75</v>
      </c>
      <c r="E188" s="2">
        <f>IFERROR(__xludf.DUMMYFUNCTION("""COMPUTED_VALUE"""),485.63)</f>
        <v>485.63</v>
      </c>
      <c r="F188" s="2">
        <f>IFERROR(__xludf.DUMMYFUNCTION("""COMPUTED_VALUE"""),1.164E7)</f>
        <v>11640000</v>
      </c>
      <c r="G188" s="2">
        <f t="shared" si="1"/>
        <v>27.75</v>
      </c>
    </row>
    <row r="189" ht="15.75" customHeight="1">
      <c r="A189" s="1">
        <f>IFERROR(__xludf.DUMMYFUNCTION("""COMPUTED_VALUE"""),44111.66666666667)</f>
        <v>44111.66667</v>
      </c>
      <c r="B189" s="2">
        <f>IFERROR(__xludf.DUMMYFUNCTION("""COMPUTED_VALUE"""),485.63)</f>
        <v>485.63</v>
      </c>
      <c r="C189" s="2">
        <f>IFERROR(__xludf.DUMMYFUNCTION("""COMPUTED_VALUE"""),490.25)</f>
        <v>490.25</v>
      </c>
      <c r="D189" s="2">
        <f>IFERROR(__xludf.DUMMYFUNCTION("""COMPUTED_VALUE"""),476.38)</f>
        <v>476.38</v>
      </c>
      <c r="E189" s="2">
        <f>IFERROR(__xludf.DUMMYFUNCTION("""COMPUTED_VALUE"""),485.63)</f>
        <v>485.63</v>
      </c>
      <c r="F189" s="2">
        <f>IFERROR(__xludf.DUMMYFUNCTION("""COMPUTED_VALUE"""),5734600.0)</f>
        <v>5734600</v>
      </c>
      <c r="G189" s="2">
        <f t="shared" si="1"/>
        <v>13.87</v>
      </c>
    </row>
    <row r="190" ht="15.75" customHeight="1">
      <c r="A190" s="1">
        <f>IFERROR(__xludf.DUMMYFUNCTION("""COMPUTED_VALUE"""),44112.66666666667)</f>
        <v>44112.66667</v>
      </c>
      <c r="B190" s="2">
        <f>IFERROR(__xludf.DUMMYFUNCTION("""COMPUTED_VALUE"""),485.63)</f>
        <v>485.63</v>
      </c>
      <c r="C190" s="2">
        <f>IFERROR(__xludf.DUMMYFUNCTION("""COMPUTED_VALUE"""),504.13)</f>
        <v>504.13</v>
      </c>
      <c r="D190" s="2">
        <f>IFERROR(__xludf.DUMMYFUNCTION("""COMPUTED_VALUE"""),485.63)</f>
        <v>485.63</v>
      </c>
      <c r="E190" s="2">
        <f>IFERROR(__xludf.DUMMYFUNCTION("""COMPUTED_VALUE"""),499.5)</f>
        <v>499.5</v>
      </c>
      <c r="F190" s="2">
        <f>IFERROR(__xludf.DUMMYFUNCTION("""COMPUTED_VALUE"""),5906500.0)</f>
        <v>5906500</v>
      </c>
      <c r="G190" s="2">
        <f t="shared" si="1"/>
        <v>18.5</v>
      </c>
    </row>
    <row r="191" ht="15.75" customHeight="1">
      <c r="A191" s="1">
        <f>IFERROR(__xludf.DUMMYFUNCTION("""COMPUTED_VALUE"""),44113.66666666667)</f>
        <v>44113.66667</v>
      </c>
      <c r="B191" s="2">
        <f>IFERROR(__xludf.DUMMYFUNCTION("""COMPUTED_VALUE"""),504.13)</f>
        <v>504.13</v>
      </c>
      <c r="C191" s="2">
        <f>IFERROR(__xludf.DUMMYFUNCTION("""COMPUTED_VALUE"""),522.63)</f>
        <v>522.63</v>
      </c>
      <c r="D191" s="2">
        <f>IFERROR(__xludf.DUMMYFUNCTION("""COMPUTED_VALUE"""),494.88)</f>
        <v>494.88</v>
      </c>
      <c r="E191" s="2">
        <f>IFERROR(__xludf.DUMMYFUNCTION("""COMPUTED_VALUE"""),513.38)</f>
        <v>513.38</v>
      </c>
      <c r="F191" s="2">
        <f>IFERROR(__xludf.DUMMYFUNCTION("""COMPUTED_VALUE"""),1.50183E7)</f>
        <v>15018300</v>
      </c>
      <c r="G191" s="2">
        <f t="shared" si="1"/>
        <v>27.75</v>
      </c>
    </row>
    <row r="192" ht="15.75" customHeight="1">
      <c r="A192" s="1">
        <f>IFERROR(__xludf.DUMMYFUNCTION("""COMPUTED_VALUE"""),44116.66666666667)</f>
        <v>44116.66667</v>
      </c>
      <c r="B192" s="2">
        <f>IFERROR(__xludf.DUMMYFUNCTION("""COMPUTED_VALUE"""),508.75)</f>
        <v>508.75</v>
      </c>
      <c r="C192" s="2">
        <f>IFERROR(__xludf.DUMMYFUNCTION("""COMPUTED_VALUE"""),531.88)</f>
        <v>531.88</v>
      </c>
      <c r="D192" s="2">
        <f>IFERROR(__xludf.DUMMYFUNCTION("""COMPUTED_VALUE"""),508.75)</f>
        <v>508.75</v>
      </c>
      <c r="E192" s="2">
        <f>IFERROR(__xludf.DUMMYFUNCTION("""COMPUTED_VALUE"""),522.63)</f>
        <v>522.63</v>
      </c>
      <c r="F192" s="2">
        <f>IFERROR(__xludf.DUMMYFUNCTION("""COMPUTED_VALUE"""),1.22538E7)</f>
        <v>12253800</v>
      </c>
      <c r="G192" s="2">
        <f t="shared" si="1"/>
        <v>23.13</v>
      </c>
    </row>
    <row r="193" ht="15.75" customHeight="1">
      <c r="A193" s="1">
        <f>IFERROR(__xludf.DUMMYFUNCTION("""COMPUTED_VALUE"""),44117.66666666667)</f>
        <v>44117.66667</v>
      </c>
      <c r="B193" s="2">
        <f>IFERROR(__xludf.DUMMYFUNCTION("""COMPUTED_VALUE"""),531.88)</f>
        <v>531.88</v>
      </c>
      <c r="C193" s="2">
        <f>IFERROR(__xludf.DUMMYFUNCTION("""COMPUTED_VALUE"""),555.0)</f>
        <v>555</v>
      </c>
      <c r="D193" s="2">
        <f>IFERROR(__xludf.DUMMYFUNCTION("""COMPUTED_VALUE"""),518.0)</f>
        <v>518</v>
      </c>
      <c r="E193" s="2">
        <f>IFERROR(__xludf.DUMMYFUNCTION("""COMPUTED_VALUE"""),555.0)</f>
        <v>555</v>
      </c>
      <c r="F193" s="2">
        <f>IFERROR(__xludf.DUMMYFUNCTION("""COMPUTED_VALUE"""),2.81025E7)</f>
        <v>28102500</v>
      </c>
      <c r="G193" s="2">
        <f t="shared" si="1"/>
        <v>37</v>
      </c>
    </row>
    <row r="194" ht="15.75" customHeight="1">
      <c r="A194" s="1">
        <f>IFERROR(__xludf.DUMMYFUNCTION("""COMPUTED_VALUE"""),44118.66666666667)</f>
        <v>44118.66667</v>
      </c>
      <c r="B194" s="2">
        <f>IFERROR(__xludf.DUMMYFUNCTION("""COMPUTED_VALUE"""),559.63)</f>
        <v>559.63</v>
      </c>
      <c r="C194" s="2">
        <f>IFERROR(__xludf.DUMMYFUNCTION("""COMPUTED_VALUE"""),573.5)</f>
        <v>573.5</v>
      </c>
      <c r="D194" s="2">
        <f>IFERROR(__xludf.DUMMYFUNCTION("""COMPUTED_VALUE"""),545.75)</f>
        <v>545.75</v>
      </c>
      <c r="E194" s="2">
        <f>IFERROR(__xludf.DUMMYFUNCTION("""COMPUTED_VALUE"""),550.38)</f>
        <v>550.38</v>
      </c>
      <c r="F194" s="2">
        <f>IFERROR(__xludf.DUMMYFUNCTION("""COMPUTED_VALUE"""),3.11222E7)</f>
        <v>31122200</v>
      </c>
      <c r="G194" s="2">
        <f t="shared" si="1"/>
        <v>27.75</v>
      </c>
    </row>
    <row r="195" ht="15.75" customHeight="1">
      <c r="A195" s="1">
        <f>IFERROR(__xludf.DUMMYFUNCTION("""COMPUTED_VALUE"""),44119.66666666667)</f>
        <v>44119.66667</v>
      </c>
      <c r="B195" s="2">
        <f>IFERROR(__xludf.DUMMYFUNCTION("""COMPUTED_VALUE"""),550.38)</f>
        <v>550.38</v>
      </c>
      <c r="C195" s="2">
        <f>IFERROR(__xludf.DUMMYFUNCTION("""COMPUTED_VALUE"""),555.0)</f>
        <v>555</v>
      </c>
      <c r="D195" s="2">
        <f>IFERROR(__xludf.DUMMYFUNCTION("""COMPUTED_VALUE"""),531.88)</f>
        <v>531.88</v>
      </c>
      <c r="E195" s="2">
        <f>IFERROR(__xludf.DUMMYFUNCTION("""COMPUTED_VALUE"""),536.5)</f>
        <v>536.5</v>
      </c>
      <c r="F195" s="2">
        <f>IFERROR(__xludf.DUMMYFUNCTION("""COMPUTED_VALUE"""),1.62054E7)</f>
        <v>16205400</v>
      </c>
      <c r="G195" s="2">
        <f t="shared" si="1"/>
        <v>23.12</v>
      </c>
    </row>
    <row r="196" ht="15.75" customHeight="1">
      <c r="A196" s="1">
        <f>IFERROR(__xludf.DUMMYFUNCTION("""COMPUTED_VALUE"""),44120.66666666667)</f>
        <v>44120.66667</v>
      </c>
      <c r="B196" s="2">
        <f>IFERROR(__xludf.DUMMYFUNCTION("""COMPUTED_VALUE"""),536.5)</f>
        <v>536.5</v>
      </c>
      <c r="C196" s="2">
        <f>IFERROR(__xludf.DUMMYFUNCTION("""COMPUTED_VALUE"""),555.0)</f>
        <v>555</v>
      </c>
      <c r="D196" s="2">
        <f>IFERROR(__xludf.DUMMYFUNCTION("""COMPUTED_VALUE"""),536.5)</f>
        <v>536.5</v>
      </c>
      <c r="E196" s="2">
        <f>IFERROR(__xludf.DUMMYFUNCTION("""COMPUTED_VALUE"""),541.13)</f>
        <v>541.13</v>
      </c>
      <c r="F196" s="2">
        <f>IFERROR(__xludf.DUMMYFUNCTION("""COMPUTED_VALUE"""),1.05017E7)</f>
        <v>10501700</v>
      </c>
      <c r="G196" s="2">
        <f t="shared" si="1"/>
        <v>18.5</v>
      </c>
    </row>
    <row r="197" ht="15.75" customHeight="1">
      <c r="A197" s="1">
        <f>IFERROR(__xludf.DUMMYFUNCTION("""COMPUTED_VALUE"""),44123.66666666667)</f>
        <v>44123.66667</v>
      </c>
      <c r="B197" s="2">
        <f>IFERROR(__xludf.DUMMYFUNCTION("""COMPUTED_VALUE"""),545.75)</f>
        <v>545.75</v>
      </c>
      <c r="C197" s="2">
        <f>IFERROR(__xludf.DUMMYFUNCTION("""COMPUTED_VALUE"""),559.63)</f>
        <v>559.63</v>
      </c>
      <c r="D197" s="2">
        <f>IFERROR(__xludf.DUMMYFUNCTION("""COMPUTED_VALUE"""),545.75)</f>
        <v>545.75</v>
      </c>
      <c r="E197" s="2">
        <f>IFERROR(__xludf.DUMMYFUNCTION("""COMPUTED_VALUE"""),550.38)</f>
        <v>550.38</v>
      </c>
      <c r="F197" s="2">
        <f>IFERROR(__xludf.DUMMYFUNCTION("""COMPUTED_VALUE"""),1.0813E7)</f>
        <v>10813000</v>
      </c>
      <c r="G197" s="2">
        <f t="shared" si="1"/>
        <v>18.5</v>
      </c>
    </row>
    <row r="198" ht="15.75" customHeight="1">
      <c r="A198" s="1">
        <f>IFERROR(__xludf.DUMMYFUNCTION("""COMPUTED_VALUE"""),44124.66666666667)</f>
        <v>44124.66667</v>
      </c>
      <c r="B198" s="2">
        <f>IFERROR(__xludf.DUMMYFUNCTION("""COMPUTED_VALUE"""),550.38)</f>
        <v>550.38</v>
      </c>
      <c r="C198" s="2">
        <f>IFERROR(__xludf.DUMMYFUNCTION("""COMPUTED_VALUE"""),550.38)</f>
        <v>550.38</v>
      </c>
      <c r="D198" s="2">
        <f>IFERROR(__xludf.DUMMYFUNCTION("""COMPUTED_VALUE"""),536.5)</f>
        <v>536.5</v>
      </c>
      <c r="E198" s="2">
        <f>IFERROR(__xludf.DUMMYFUNCTION("""COMPUTED_VALUE"""),541.13)</f>
        <v>541.13</v>
      </c>
      <c r="F198" s="2">
        <f>IFERROR(__xludf.DUMMYFUNCTION("""COMPUTED_VALUE"""),4963300.0)</f>
        <v>4963300</v>
      </c>
      <c r="G198" s="2">
        <f t="shared" si="1"/>
        <v>13.88</v>
      </c>
    </row>
    <row r="199" ht="15.75" customHeight="1">
      <c r="A199" s="1">
        <f>IFERROR(__xludf.DUMMYFUNCTION("""COMPUTED_VALUE"""),44125.66666666667)</f>
        <v>44125.66667</v>
      </c>
      <c r="B199" s="2">
        <f>IFERROR(__xludf.DUMMYFUNCTION("""COMPUTED_VALUE"""),545.75)</f>
        <v>545.75</v>
      </c>
      <c r="C199" s="2">
        <f>IFERROR(__xludf.DUMMYFUNCTION("""COMPUTED_VALUE"""),564.25)</f>
        <v>564.25</v>
      </c>
      <c r="D199" s="2">
        <f>IFERROR(__xludf.DUMMYFUNCTION("""COMPUTED_VALUE"""),536.5)</f>
        <v>536.5</v>
      </c>
      <c r="E199" s="2">
        <f>IFERROR(__xludf.DUMMYFUNCTION("""COMPUTED_VALUE"""),545.75)</f>
        <v>545.75</v>
      </c>
      <c r="F199" s="2">
        <f>IFERROR(__xludf.DUMMYFUNCTION("""COMPUTED_VALUE"""),2.71773E7)</f>
        <v>27177300</v>
      </c>
      <c r="G199" s="2">
        <f t="shared" si="1"/>
        <v>27.75</v>
      </c>
    </row>
    <row r="200" ht="15.75" customHeight="1">
      <c r="A200" s="1">
        <f>IFERROR(__xludf.DUMMYFUNCTION("""COMPUTED_VALUE"""),44126.66666666667)</f>
        <v>44126.66667</v>
      </c>
      <c r="B200" s="2">
        <f>IFERROR(__xludf.DUMMYFUNCTION("""COMPUTED_VALUE"""),541.13)</f>
        <v>541.13</v>
      </c>
      <c r="C200" s="2">
        <f>IFERROR(__xludf.DUMMYFUNCTION("""COMPUTED_VALUE"""),559.63)</f>
        <v>559.63</v>
      </c>
      <c r="D200" s="2">
        <f>IFERROR(__xludf.DUMMYFUNCTION("""COMPUTED_VALUE"""),531.88)</f>
        <v>531.88</v>
      </c>
      <c r="E200" s="2">
        <f>IFERROR(__xludf.DUMMYFUNCTION("""COMPUTED_VALUE"""),531.88)</f>
        <v>531.88</v>
      </c>
      <c r="F200" s="2">
        <f>IFERROR(__xludf.DUMMYFUNCTION("""COMPUTED_VALUE"""),2.57197E7)</f>
        <v>25719700</v>
      </c>
      <c r="G200" s="2">
        <f t="shared" si="1"/>
        <v>27.75</v>
      </c>
    </row>
    <row r="201" ht="15.75" customHeight="1">
      <c r="A201" s="1">
        <f>IFERROR(__xludf.DUMMYFUNCTION("""COMPUTED_VALUE"""),44127.66666666667)</f>
        <v>44127.66667</v>
      </c>
      <c r="B201" s="2">
        <f>IFERROR(__xludf.DUMMYFUNCTION("""COMPUTED_VALUE"""),541.13)</f>
        <v>541.13</v>
      </c>
      <c r="C201" s="2">
        <f>IFERROR(__xludf.DUMMYFUNCTION("""COMPUTED_VALUE"""),550.38)</f>
        <v>550.38</v>
      </c>
      <c r="D201" s="2">
        <f>IFERROR(__xludf.DUMMYFUNCTION("""COMPUTED_VALUE"""),531.88)</f>
        <v>531.88</v>
      </c>
      <c r="E201" s="2">
        <f>IFERROR(__xludf.DUMMYFUNCTION("""COMPUTED_VALUE"""),545.75)</f>
        <v>545.75</v>
      </c>
      <c r="F201" s="2">
        <f>IFERROR(__xludf.DUMMYFUNCTION("""COMPUTED_VALUE"""),1.13334E7)</f>
        <v>11333400</v>
      </c>
      <c r="G201" s="2">
        <f t="shared" si="1"/>
        <v>18.5</v>
      </c>
    </row>
    <row r="202" ht="15.75" customHeight="1">
      <c r="A202" s="1">
        <f>IFERROR(__xludf.DUMMYFUNCTION("""COMPUTED_VALUE"""),44130.66666666667)</f>
        <v>44130.66667</v>
      </c>
      <c r="B202" s="2">
        <f>IFERROR(__xludf.DUMMYFUNCTION("""COMPUTED_VALUE"""),545.75)</f>
        <v>545.75</v>
      </c>
      <c r="C202" s="2">
        <f>IFERROR(__xludf.DUMMYFUNCTION("""COMPUTED_VALUE"""),550.38)</f>
        <v>550.38</v>
      </c>
      <c r="D202" s="2">
        <f>IFERROR(__xludf.DUMMYFUNCTION("""COMPUTED_VALUE"""),541.13)</f>
        <v>541.13</v>
      </c>
      <c r="E202" s="2">
        <f>IFERROR(__xludf.DUMMYFUNCTION("""COMPUTED_VALUE"""),541.13)</f>
        <v>541.13</v>
      </c>
      <c r="F202" s="2">
        <f>IFERROR(__xludf.DUMMYFUNCTION("""COMPUTED_VALUE"""),6667700.0)</f>
        <v>6667700</v>
      </c>
      <c r="G202" s="2">
        <f t="shared" si="1"/>
        <v>9.25</v>
      </c>
    </row>
    <row r="203" ht="15.75" customHeight="1">
      <c r="A203" s="1">
        <f>IFERROR(__xludf.DUMMYFUNCTION("""COMPUTED_VALUE"""),44131.66666666667)</f>
        <v>44131.66667</v>
      </c>
      <c r="B203" s="2">
        <f>IFERROR(__xludf.DUMMYFUNCTION("""COMPUTED_VALUE"""),541.13)</f>
        <v>541.13</v>
      </c>
      <c r="C203" s="2">
        <f>IFERROR(__xludf.DUMMYFUNCTION("""COMPUTED_VALUE"""),541.13)</f>
        <v>541.13</v>
      </c>
      <c r="D203" s="2">
        <f>IFERROR(__xludf.DUMMYFUNCTION("""COMPUTED_VALUE"""),531.88)</f>
        <v>531.88</v>
      </c>
      <c r="E203" s="2">
        <f>IFERROR(__xludf.DUMMYFUNCTION("""COMPUTED_VALUE"""),531.88)</f>
        <v>531.88</v>
      </c>
      <c r="F203" s="2">
        <f>IFERROR(__xludf.DUMMYFUNCTION("""COMPUTED_VALUE"""),6513500.0)</f>
        <v>6513500</v>
      </c>
      <c r="G203" s="2">
        <f t="shared" si="1"/>
        <v>9.25</v>
      </c>
    </row>
    <row r="204" ht="15.75" customHeight="1">
      <c r="A204" s="1">
        <f>IFERROR(__xludf.DUMMYFUNCTION("""COMPUTED_VALUE"""),44137.66666666667)</f>
        <v>44137.66667</v>
      </c>
      <c r="B204" s="2">
        <f>IFERROR(__xludf.DUMMYFUNCTION("""COMPUTED_VALUE"""),531.88)</f>
        <v>531.88</v>
      </c>
      <c r="C204" s="2">
        <f>IFERROR(__xludf.DUMMYFUNCTION("""COMPUTED_VALUE"""),536.5)</f>
        <v>536.5</v>
      </c>
      <c r="D204" s="2">
        <f>IFERROR(__xludf.DUMMYFUNCTION("""COMPUTED_VALUE"""),522.63)</f>
        <v>522.63</v>
      </c>
      <c r="E204" s="2">
        <f>IFERROR(__xludf.DUMMYFUNCTION("""COMPUTED_VALUE"""),531.88)</f>
        <v>531.88</v>
      </c>
      <c r="F204" s="2">
        <f>IFERROR(__xludf.DUMMYFUNCTION("""COMPUTED_VALUE"""),4694200.0)</f>
        <v>4694200</v>
      </c>
      <c r="G204" s="2">
        <f t="shared" si="1"/>
        <v>13.87</v>
      </c>
    </row>
    <row r="205" ht="15.75" customHeight="1">
      <c r="A205" s="1">
        <f>IFERROR(__xludf.DUMMYFUNCTION("""COMPUTED_VALUE"""),44138.66666666667)</f>
        <v>44138.66667</v>
      </c>
      <c r="B205" s="2">
        <f>IFERROR(__xludf.DUMMYFUNCTION("""COMPUTED_VALUE"""),536.5)</f>
        <v>536.5</v>
      </c>
      <c r="C205" s="2">
        <f>IFERROR(__xludf.DUMMYFUNCTION("""COMPUTED_VALUE"""),550.38)</f>
        <v>550.38</v>
      </c>
      <c r="D205" s="2">
        <f>IFERROR(__xludf.DUMMYFUNCTION("""COMPUTED_VALUE"""),536.5)</f>
        <v>536.5</v>
      </c>
      <c r="E205" s="2">
        <f>IFERROR(__xludf.DUMMYFUNCTION("""COMPUTED_VALUE"""),541.13)</f>
        <v>541.13</v>
      </c>
      <c r="F205" s="2">
        <f>IFERROR(__xludf.DUMMYFUNCTION("""COMPUTED_VALUE"""),6538500.0)</f>
        <v>6538500</v>
      </c>
      <c r="G205" s="2">
        <f t="shared" si="1"/>
        <v>18.5</v>
      </c>
    </row>
    <row r="206" ht="15.75" customHeight="1">
      <c r="A206" s="1">
        <f>IFERROR(__xludf.DUMMYFUNCTION("""COMPUTED_VALUE"""),44139.66666666667)</f>
        <v>44139.66667</v>
      </c>
      <c r="B206" s="2">
        <f>IFERROR(__xludf.DUMMYFUNCTION("""COMPUTED_VALUE"""),541.13)</f>
        <v>541.13</v>
      </c>
      <c r="C206" s="2">
        <f>IFERROR(__xludf.DUMMYFUNCTION("""COMPUTED_VALUE"""),550.38)</f>
        <v>550.38</v>
      </c>
      <c r="D206" s="2">
        <f>IFERROR(__xludf.DUMMYFUNCTION("""COMPUTED_VALUE"""),531.88)</f>
        <v>531.88</v>
      </c>
      <c r="E206" s="2">
        <f>IFERROR(__xludf.DUMMYFUNCTION("""COMPUTED_VALUE"""),536.5)</f>
        <v>536.5</v>
      </c>
      <c r="F206" s="2">
        <f>IFERROR(__xludf.DUMMYFUNCTION("""COMPUTED_VALUE"""),8626800.0)</f>
        <v>8626800</v>
      </c>
      <c r="G206" s="2">
        <f t="shared" si="1"/>
        <v>18.5</v>
      </c>
    </row>
    <row r="207" ht="15.75" customHeight="1">
      <c r="A207" s="1">
        <f>IFERROR(__xludf.DUMMYFUNCTION("""COMPUTED_VALUE"""),44140.66666666667)</f>
        <v>44140.66667</v>
      </c>
      <c r="B207" s="2">
        <f>IFERROR(__xludf.DUMMYFUNCTION("""COMPUTED_VALUE"""),536.5)</f>
        <v>536.5</v>
      </c>
      <c r="C207" s="2">
        <f>IFERROR(__xludf.DUMMYFUNCTION("""COMPUTED_VALUE"""),550.38)</f>
        <v>550.38</v>
      </c>
      <c r="D207" s="2">
        <f>IFERROR(__xludf.DUMMYFUNCTION("""COMPUTED_VALUE"""),536.5)</f>
        <v>536.5</v>
      </c>
      <c r="E207" s="2">
        <f>IFERROR(__xludf.DUMMYFUNCTION("""COMPUTED_VALUE"""),545.75)</f>
        <v>545.75</v>
      </c>
      <c r="F207" s="2">
        <f>IFERROR(__xludf.DUMMYFUNCTION("""COMPUTED_VALUE"""),1.45431E7)</f>
        <v>14543100</v>
      </c>
      <c r="G207" s="2">
        <f t="shared" si="1"/>
        <v>13.88</v>
      </c>
    </row>
    <row r="208" ht="15.75" customHeight="1">
      <c r="A208" s="1">
        <f>IFERROR(__xludf.DUMMYFUNCTION("""COMPUTED_VALUE"""),44141.66666666667)</f>
        <v>44141.66667</v>
      </c>
      <c r="B208" s="2">
        <f>IFERROR(__xludf.DUMMYFUNCTION("""COMPUTED_VALUE"""),545.75)</f>
        <v>545.75</v>
      </c>
      <c r="C208" s="2">
        <f>IFERROR(__xludf.DUMMYFUNCTION("""COMPUTED_VALUE"""),555.0)</f>
        <v>555</v>
      </c>
      <c r="D208" s="2">
        <f>IFERROR(__xludf.DUMMYFUNCTION("""COMPUTED_VALUE"""),541.13)</f>
        <v>541.13</v>
      </c>
      <c r="E208" s="2">
        <f>IFERROR(__xludf.DUMMYFUNCTION("""COMPUTED_VALUE"""),555.0)</f>
        <v>555</v>
      </c>
      <c r="F208" s="2">
        <f>IFERROR(__xludf.DUMMYFUNCTION("""COMPUTED_VALUE"""),1.45872E7)</f>
        <v>14587200</v>
      </c>
      <c r="G208" s="2">
        <f t="shared" si="1"/>
        <v>13.87</v>
      </c>
    </row>
    <row r="209" ht="15.75" customHeight="1">
      <c r="A209" s="1">
        <f>IFERROR(__xludf.DUMMYFUNCTION("""COMPUTED_VALUE"""),44144.66666666667)</f>
        <v>44144.66667</v>
      </c>
      <c r="B209" s="2">
        <f>IFERROR(__xludf.DUMMYFUNCTION("""COMPUTED_VALUE"""),564.25)</f>
        <v>564.25</v>
      </c>
      <c r="C209" s="2">
        <f>IFERROR(__xludf.DUMMYFUNCTION("""COMPUTED_VALUE"""),592.0)</f>
        <v>592</v>
      </c>
      <c r="D209" s="2">
        <f>IFERROR(__xludf.DUMMYFUNCTION("""COMPUTED_VALUE"""),555.0)</f>
        <v>555</v>
      </c>
      <c r="E209" s="2">
        <f>IFERROR(__xludf.DUMMYFUNCTION("""COMPUTED_VALUE"""),582.75)</f>
        <v>582.75</v>
      </c>
      <c r="F209" s="2">
        <f>IFERROR(__xludf.DUMMYFUNCTION("""COMPUTED_VALUE"""),5.13674E7)</f>
        <v>51367400</v>
      </c>
      <c r="G209" s="2">
        <f t="shared" si="1"/>
        <v>37</v>
      </c>
    </row>
    <row r="210" ht="15.75" customHeight="1">
      <c r="A210" s="1">
        <f>IFERROR(__xludf.DUMMYFUNCTION("""COMPUTED_VALUE"""),44145.66666666667)</f>
        <v>44145.66667</v>
      </c>
      <c r="B210" s="2">
        <f>IFERROR(__xludf.DUMMYFUNCTION("""COMPUTED_VALUE"""),587.38)</f>
        <v>587.38</v>
      </c>
      <c r="C210" s="2">
        <f>IFERROR(__xludf.DUMMYFUNCTION("""COMPUTED_VALUE"""),629.0)</f>
        <v>629</v>
      </c>
      <c r="D210" s="2">
        <f>IFERROR(__xludf.DUMMYFUNCTION("""COMPUTED_VALUE"""),587.38)</f>
        <v>587.38</v>
      </c>
      <c r="E210" s="2">
        <f>IFERROR(__xludf.DUMMYFUNCTION("""COMPUTED_VALUE"""),619.75)</f>
        <v>619.75</v>
      </c>
      <c r="F210" s="2">
        <f>IFERROR(__xludf.DUMMYFUNCTION("""COMPUTED_VALUE"""),6.26509E7)</f>
        <v>62650900</v>
      </c>
      <c r="G210" s="2">
        <f t="shared" si="1"/>
        <v>46.25</v>
      </c>
    </row>
    <row r="211" ht="15.75" customHeight="1">
      <c r="A211" s="1">
        <f>IFERROR(__xludf.DUMMYFUNCTION("""COMPUTED_VALUE"""),44146.66666666667)</f>
        <v>44146.66667</v>
      </c>
      <c r="B211" s="2">
        <f>IFERROR(__xludf.DUMMYFUNCTION("""COMPUTED_VALUE"""),638.25)</f>
        <v>638.25</v>
      </c>
      <c r="C211" s="2">
        <f>IFERROR(__xludf.DUMMYFUNCTION("""COMPUTED_VALUE"""),647.5)</f>
        <v>647.5</v>
      </c>
      <c r="D211" s="2">
        <f>IFERROR(__xludf.DUMMYFUNCTION("""COMPUTED_VALUE"""),619.75)</f>
        <v>619.75</v>
      </c>
      <c r="E211" s="2">
        <f>IFERROR(__xludf.DUMMYFUNCTION("""COMPUTED_VALUE"""),633.63)</f>
        <v>633.63</v>
      </c>
      <c r="F211" s="2">
        <f>IFERROR(__xludf.DUMMYFUNCTION("""COMPUTED_VALUE"""),8.23195E7)</f>
        <v>82319500</v>
      </c>
      <c r="G211" s="2">
        <f t="shared" si="1"/>
        <v>27.75</v>
      </c>
    </row>
    <row r="212" ht="15.75" customHeight="1">
      <c r="A212" s="1">
        <f>IFERROR(__xludf.DUMMYFUNCTION("""COMPUTED_VALUE"""),44147.66666666667)</f>
        <v>44147.66667</v>
      </c>
      <c r="B212" s="2">
        <f>IFERROR(__xludf.DUMMYFUNCTION("""COMPUTED_VALUE"""),638.25)</f>
        <v>638.25</v>
      </c>
      <c r="C212" s="2">
        <f>IFERROR(__xludf.DUMMYFUNCTION("""COMPUTED_VALUE"""),661.38)</f>
        <v>661.38</v>
      </c>
      <c r="D212" s="2">
        <f>IFERROR(__xludf.DUMMYFUNCTION("""COMPUTED_VALUE"""),624.38)</f>
        <v>624.38</v>
      </c>
      <c r="E212" s="2">
        <f>IFERROR(__xludf.DUMMYFUNCTION("""COMPUTED_VALUE"""),629.0)</f>
        <v>629</v>
      </c>
      <c r="F212" s="2">
        <f>IFERROR(__xludf.DUMMYFUNCTION("""COMPUTED_VALUE"""),5.9863E7)</f>
        <v>59863000</v>
      </c>
      <c r="G212" s="2">
        <f t="shared" si="1"/>
        <v>37</v>
      </c>
    </row>
    <row r="213" ht="15.75" customHeight="1">
      <c r="A213" s="1">
        <f>IFERROR(__xludf.DUMMYFUNCTION("""COMPUTED_VALUE"""),44148.66666666667)</f>
        <v>44148.66667</v>
      </c>
      <c r="B213" s="2">
        <f>IFERROR(__xludf.DUMMYFUNCTION("""COMPUTED_VALUE"""),661.38)</f>
        <v>661.38</v>
      </c>
      <c r="C213" s="2">
        <f>IFERROR(__xludf.DUMMYFUNCTION("""COMPUTED_VALUE"""),661.38)</f>
        <v>661.38</v>
      </c>
      <c r="D213" s="2">
        <f>IFERROR(__xludf.DUMMYFUNCTION("""COMPUTED_VALUE"""),619.75)</f>
        <v>619.75</v>
      </c>
      <c r="E213" s="2">
        <f>IFERROR(__xludf.DUMMYFUNCTION("""COMPUTED_VALUE"""),647.5)</f>
        <v>647.5</v>
      </c>
      <c r="F213" s="2">
        <f>IFERROR(__xludf.DUMMYFUNCTION("""COMPUTED_VALUE"""),3.6301E7)</f>
        <v>36301000</v>
      </c>
      <c r="G213" s="2">
        <f t="shared" si="1"/>
        <v>41.63</v>
      </c>
    </row>
    <row r="214" ht="15.75" customHeight="1">
      <c r="A214" s="1">
        <f>IFERROR(__xludf.DUMMYFUNCTION("""COMPUTED_VALUE"""),44151.66666666667)</f>
        <v>44151.66667</v>
      </c>
      <c r="B214" s="2">
        <f>IFERROR(__xludf.DUMMYFUNCTION("""COMPUTED_VALUE"""),656.75)</f>
        <v>656.75</v>
      </c>
      <c r="C214" s="2">
        <f>IFERROR(__xludf.DUMMYFUNCTION("""COMPUTED_VALUE"""),758.5)</f>
        <v>758.5</v>
      </c>
      <c r="D214" s="2">
        <f>IFERROR(__xludf.DUMMYFUNCTION("""COMPUTED_VALUE"""),656.75)</f>
        <v>656.75</v>
      </c>
      <c r="E214" s="2">
        <f>IFERROR(__xludf.DUMMYFUNCTION("""COMPUTED_VALUE"""),758.5)</f>
        <v>758.5</v>
      </c>
      <c r="F214" s="2">
        <f>IFERROR(__xludf.DUMMYFUNCTION("""COMPUTED_VALUE"""),1.736023E8)</f>
        <v>173602300</v>
      </c>
      <c r="G214" s="2">
        <f t="shared" si="1"/>
        <v>111</v>
      </c>
    </row>
    <row r="215" ht="15.75" customHeight="1">
      <c r="A215" s="1">
        <f>IFERROR(__xludf.DUMMYFUNCTION("""COMPUTED_VALUE"""),44152.66666666667)</f>
        <v>44152.66667</v>
      </c>
      <c r="B215" s="2">
        <f>IFERROR(__xludf.DUMMYFUNCTION("""COMPUTED_VALUE"""),767.75)</f>
        <v>767.75</v>
      </c>
      <c r="C215" s="2">
        <f>IFERROR(__xludf.DUMMYFUNCTION("""COMPUTED_VALUE"""),901.88)</f>
        <v>901.88</v>
      </c>
      <c r="D215" s="2">
        <f>IFERROR(__xludf.DUMMYFUNCTION("""COMPUTED_VALUE"""),767.75)</f>
        <v>767.75</v>
      </c>
      <c r="E215" s="2">
        <f>IFERROR(__xludf.DUMMYFUNCTION("""COMPUTED_VALUE"""),841.75)</f>
        <v>841.75</v>
      </c>
      <c r="F215" s="2">
        <f>IFERROR(__xludf.DUMMYFUNCTION("""COMPUTED_VALUE"""),3.342694E8)</f>
        <v>334269400</v>
      </c>
      <c r="G215" s="2">
        <f t="shared" si="1"/>
        <v>143.38</v>
      </c>
    </row>
    <row r="216" ht="15.75" customHeight="1">
      <c r="A216" s="1">
        <f>IFERROR(__xludf.DUMMYFUNCTION("""COMPUTED_VALUE"""),44153.66666666667)</f>
        <v>44153.66667</v>
      </c>
      <c r="B216" s="2">
        <f>IFERROR(__xludf.DUMMYFUNCTION("""COMPUTED_VALUE"""),841.75)</f>
        <v>841.75</v>
      </c>
      <c r="C216" s="2">
        <f>IFERROR(__xludf.DUMMYFUNCTION("""COMPUTED_VALUE"""),878.75)</f>
        <v>878.75</v>
      </c>
      <c r="D216" s="2">
        <f>IFERROR(__xludf.DUMMYFUNCTION("""COMPUTED_VALUE"""),818.63)</f>
        <v>818.63</v>
      </c>
      <c r="E216" s="2">
        <f>IFERROR(__xludf.DUMMYFUNCTION("""COMPUTED_VALUE"""),851.0)</f>
        <v>851</v>
      </c>
      <c r="F216" s="2">
        <f>IFERROR(__xludf.DUMMYFUNCTION("""COMPUTED_VALUE"""),9.11526E7)</f>
        <v>91152600</v>
      </c>
      <c r="G216" s="2">
        <f t="shared" si="1"/>
        <v>60.12</v>
      </c>
    </row>
    <row r="217" ht="15.75" customHeight="1">
      <c r="A217" s="1">
        <f>IFERROR(__xludf.DUMMYFUNCTION("""COMPUTED_VALUE"""),44154.66666666667)</f>
        <v>44154.66667</v>
      </c>
      <c r="B217" s="2">
        <f>IFERROR(__xludf.DUMMYFUNCTION("""COMPUTED_VALUE"""),855.63)</f>
        <v>855.63</v>
      </c>
      <c r="C217" s="2">
        <f>IFERROR(__xludf.DUMMYFUNCTION("""COMPUTED_VALUE"""),869.5)</f>
        <v>869.5</v>
      </c>
      <c r="D217" s="2">
        <f>IFERROR(__xludf.DUMMYFUNCTION("""COMPUTED_VALUE"""),841.75)</f>
        <v>841.75</v>
      </c>
      <c r="E217" s="2">
        <f>IFERROR(__xludf.DUMMYFUNCTION("""COMPUTED_VALUE"""),855.63)</f>
        <v>855.63</v>
      </c>
      <c r="F217" s="2">
        <f>IFERROR(__xludf.DUMMYFUNCTION("""COMPUTED_VALUE"""),6.75056E7)</f>
        <v>67505600</v>
      </c>
      <c r="G217" s="2">
        <f t="shared" si="1"/>
        <v>27.75</v>
      </c>
    </row>
    <row r="218" ht="15.75" customHeight="1">
      <c r="A218" s="1">
        <f>IFERROR(__xludf.DUMMYFUNCTION("""COMPUTED_VALUE"""),44155.66666666667)</f>
        <v>44155.66667</v>
      </c>
      <c r="B218" s="2">
        <f>IFERROR(__xludf.DUMMYFUNCTION("""COMPUTED_VALUE"""),860.25)</f>
        <v>860.25</v>
      </c>
      <c r="C218" s="2">
        <f>IFERROR(__xludf.DUMMYFUNCTION("""COMPUTED_VALUE"""),864.88)</f>
        <v>864.88</v>
      </c>
      <c r="D218" s="2">
        <f>IFERROR(__xludf.DUMMYFUNCTION("""COMPUTED_VALUE"""),837.13)</f>
        <v>837.13</v>
      </c>
      <c r="E218" s="2">
        <f>IFERROR(__xludf.DUMMYFUNCTION("""COMPUTED_VALUE"""),851.0)</f>
        <v>851</v>
      </c>
      <c r="F218" s="2">
        <f>IFERROR(__xludf.DUMMYFUNCTION("""COMPUTED_VALUE"""),4.47396E7)</f>
        <v>44739600</v>
      </c>
      <c r="G218" s="2">
        <f t="shared" si="1"/>
        <v>27.75</v>
      </c>
    </row>
    <row r="219" ht="15.75" customHeight="1">
      <c r="A219" s="1">
        <f>IFERROR(__xludf.DUMMYFUNCTION("""COMPUTED_VALUE"""),44158.66666666667)</f>
        <v>44158.66667</v>
      </c>
      <c r="B219" s="2">
        <f>IFERROR(__xludf.DUMMYFUNCTION("""COMPUTED_VALUE"""),851.0)</f>
        <v>851</v>
      </c>
      <c r="C219" s="2">
        <f>IFERROR(__xludf.DUMMYFUNCTION("""COMPUTED_VALUE"""),948.13)</f>
        <v>948.13</v>
      </c>
      <c r="D219" s="2">
        <f>IFERROR(__xludf.DUMMYFUNCTION("""COMPUTED_VALUE"""),846.38)</f>
        <v>846.38</v>
      </c>
      <c r="E219" s="2">
        <f>IFERROR(__xludf.DUMMYFUNCTION("""COMPUTED_VALUE"""),948.13)</f>
        <v>948.13</v>
      </c>
      <c r="F219" s="2">
        <f>IFERROR(__xludf.DUMMYFUNCTION("""COMPUTED_VALUE"""),2.072613E8)</f>
        <v>207261300</v>
      </c>
      <c r="G219" s="2">
        <f t="shared" si="1"/>
        <v>101.75</v>
      </c>
    </row>
    <row r="220" ht="15.75" customHeight="1">
      <c r="A220" s="1">
        <f>IFERROR(__xludf.DUMMYFUNCTION("""COMPUTED_VALUE"""),44159.66666666667)</f>
        <v>44159.66667</v>
      </c>
      <c r="B220" s="2">
        <f>IFERROR(__xludf.DUMMYFUNCTION("""COMPUTED_VALUE"""),966.63)</f>
        <v>966.63</v>
      </c>
      <c r="C220" s="2">
        <f>IFERROR(__xludf.DUMMYFUNCTION("""COMPUTED_VALUE"""),1031.38)</f>
        <v>1031.38</v>
      </c>
      <c r="D220" s="2">
        <f>IFERROR(__xludf.DUMMYFUNCTION("""COMPUTED_VALUE"""),929.63)</f>
        <v>929.63</v>
      </c>
      <c r="E220" s="2">
        <f>IFERROR(__xludf.DUMMYFUNCTION("""COMPUTED_VALUE"""),994.38)</f>
        <v>994.38</v>
      </c>
      <c r="F220" s="2">
        <f>IFERROR(__xludf.DUMMYFUNCTION("""COMPUTED_VALUE"""),1.741248E8)</f>
        <v>174124800</v>
      </c>
      <c r="G220" s="2">
        <f t="shared" si="1"/>
        <v>101.75</v>
      </c>
    </row>
    <row r="221" ht="15.75" customHeight="1">
      <c r="A221" s="1">
        <f>IFERROR(__xludf.DUMMYFUNCTION("""COMPUTED_VALUE"""),44160.66666666667)</f>
        <v>44160.66667</v>
      </c>
      <c r="B221" s="2">
        <f>IFERROR(__xludf.DUMMYFUNCTION("""COMPUTED_VALUE"""),1003.63)</f>
        <v>1003.63</v>
      </c>
      <c r="C221" s="2">
        <f>IFERROR(__xludf.DUMMYFUNCTION("""COMPUTED_VALUE"""),1040.63)</f>
        <v>1040.63</v>
      </c>
      <c r="D221" s="2">
        <f>IFERROR(__xludf.DUMMYFUNCTION("""COMPUTED_VALUE"""),971.26)</f>
        <v>971.26</v>
      </c>
      <c r="E221" s="2">
        <f>IFERROR(__xludf.DUMMYFUNCTION("""COMPUTED_VALUE"""),989.76)</f>
        <v>989.76</v>
      </c>
      <c r="F221" s="2">
        <f>IFERROR(__xludf.DUMMYFUNCTION("""COMPUTED_VALUE"""),8.51157E7)</f>
        <v>85115700</v>
      </c>
      <c r="G221" s="2">
        <f t="shared" si="1"/>
        <v>69.37</v>
      </c>
    </row>
    <row r="222" ht="15.75" customHeight="1">
      <c r="A222" s="1">
        <f>IFERROR(__xludf.DUMMYFUNCTION("""COMPUTED_VALUE"""),44161.66666666667)</f>
        <v>44161.66667</v>
      </c>
      <c r="B222" s="2">
        <f>IFERROR(__xludf.DUMMYFUNCTION("""COMPUTED_VALUE"""),989.76)</f>
        <v>989.76</v>
      </c>
      <c r="C222" s="2">
        <f>IFERROR(__xludf.DUMMYFUNCTION("""COMPUTED_VALUE"""),1036.01)</f>
        <v>1036.01</v>
      </c>
      <c r="D222" s="2">
        <f>IFERROR(__xludf.DUMMYFUNCTION("""COMPUTED_VALUE"""),989.76)</f>
        <v>989.76</v>
      </c>
      <c r="E222" s="2">
        <f>IFERROR(__xludf.DUMMYFUNCTION("""COMPUTED_VALUE"""),1036.01)</f>
        <v>1036.01</v>
      </c>
      <c r="F222" s="2">
        <f>IFERROR(__xludf.DUMMYFUNCTION("""COMPUTED_VALUE"""),6.74231E7)</f>
        <v>67423100</v>
      </c>
      <c r="G222" s="2">
        <f t="shared" si="1"/>
        <v>46.25</v>
      </c>
    </row>
    <row r="223" ht="15.75" customHeight="1">
      <c r="A223" s="1">
        <f>IFERROR(__xludf.DUMMYFUNCTION("""COMPUTED_VALUE"""),44162.66666666667)</f>
        <v>44162.66667</v>
      </c>
      <c r="B223" s="2">
        <f>IFERROR(__xludf.DUMMYFUNCTION("""COMPUTED_VALUE"""),1036.01)</f>
        <v>1036.01</v>
      </c>
      <c r="C223" s="2">
        <f>IFERROR(__xludf.DUMMYFUNCTION("""COMPUTED_VALUE"""),1091.51)</f>
        <v>1091.51</v>
      </c>
      <c r="D223" s="2">
        <f>IFERROR(__xludf.DUMMYFUNCTION("""COMPUTED_VALUE"""),1022.13)</f>
        <v>1022.13</v>
      </c>
      <c r="E223" s="2">
        <f>IFERROR(__xludf.DUMMYFUNCTION("""COMPUTED_VALUE"""),1082.26)</f>
        <v>1082.26</v>
      </c>
      <c r="F223" s="2">
        <f>IFERROR(__xludf.DUMMYFUNCTION("""COMPUTED_VALUE"""),9.83769E7)</f>
        <v>98376900</v>
      </c>
      <c r="G223" s="2">
        <f t="shared" si="1"/>
        <v>69.38</v>
      </c>
    </row>
    <row r="224" ht="15.75" customHeight="1">
      <c r="A224" s="1">
        <f>IFERROR(__xludf.DUMMYFUNCTION("""COMPUTED_VALUE"""),44165.66666666667)</f>
        <v>44165.66667</v>
      </c>
      <c r="B224" s="2">
        <f>IFERROR(__xludf.DUMMYFUNCTION("""COMPUTED_VALUE"""),1091.51)</f>
        <v>1091.51</v>
      </c>
      <c r="C224" s="2">
        <f>IFERROR(__xludf.DUMMYFUNCTION("""COMPUTED_VALUE"""),1105.38)</f>
        <v>1105.38</v>
      </c>
      <c r="D224" s="2">
        <f>IFERROR(__xludf.DUMMYFUNCTION("""COMPUTED_VALUE"""),1008.26)</f>
        <v>1008.26</v>
      </c>
      <c r="E224" s="2">
        <f>IFERROR(__xludf.DUMMYFUNCTION("""COMPUTED_VALUE"""),1008.26)</f>
        <v>1008.26</v>
      </c>
      <c r="F224" s="2">
        <f>IFERROR(__xludf.DUMMYFUNCTION("""COMPUTED_VALUE"""),9.85683E7)</f>
        <v>98568300</v>
      </c>
      <c r="G224" s="2">
        <f t="shared" si="1"/>
        <v>97.12</v>
      </c>
    </row>
    <row r="225" ht="15.75" customHeight="1">
      <c r="A225" s="1">
        <f>IFERROR(__xludf.DUMMYFUNCTION("""COMPUTED_VALUE"""),44166.66666666667)</f>
        <v>44166.66667</v>
      </c>
      <c r="B225" s="2">
        <f>IFERROR(__xludf.DUMMYFUNCTION("""COMPUTED_VALUE"""),1022.13)</f>
        <v>1022.13</v>
      </c>
      <c r="C225" s="2">
        <f>IFERROR(__xludf.DUMMYFUNCTION("""COMPUTED_VALUE"""),1059.13)</f>
        <v>1059.13</v>
      </c>
      <c r="D225" s="2">
        <f>IFERROR(__xludf.DUMMYFUNCTION("""COMPUTED_VALUE"""),975.88)</f>
        <v>975.88</v>
      </c>
      <c r="E225" s="2">
        <f>IFERROR(__xludf.DUMMYFUNCTION("""COMPUTED_VALUE"""),1049.88)</f>
        <v>1049.88</v>
      </c>
      <c r="F225" s="2">
        <f>IFERROR(__xludf.DUMMYFUNCTION("""COMPUTED_VALUE"""),6.9868E7)</f>
        <v>69868000</v>
      </c>
      <c r="G225" s="2">
        <f t="shared" si="1"/>
        <v>83.25</v>
      </c>
    </row>
    <row r="226" ht="15.75" customHeight="1">
      <c r="A226" s="1">
        <f>IFERROR(__xludf.DUMMYFUNCTION("""COMPUTED_VALUE"""),44167.66666666667)</f>
        <v>44167.66667</v>
      </c>
      <c r="B226" s="2">
        <f>IFERROR(__xludf.DUMMYFUNCTION("""COMPUTED_VALUE"""),1059.13)</f>
        <v>1059.13</v>
      </c>
      <c r="C226" s="2">
        <f>IFERROR(__xludf.DUMMYFUNCTION("""COMPUTED_VALUE"""),1110.01)</f>
        <v>1110.01</v>
      </c>
      <c r="D226" s="2">
        <f>IFERROR(__xludf.DUMMYFUNCTION("""COMPUTED_VALUE"""),1040.63)</f>
        <v>1040.63</v>
      </c>
      <c r="E226" s="2">
        <f>IFERROR(__xludf.DUMMYFUNCTION("""COMPUTED_VALUE"""),1110.01)</f>
        <v>1110.01</v>
      </c>
      <c r="F226" s="2">
        <f>IFERROR(__xludf.DUMMYFUNCTION("""COMPUTED_VALUE"""),9.53119E7)</f>
        <v>95311900</v>
      </c>
      <c r="G226" s="2">
        <f t="shared" si="1"/>
        <v>69.38</v>
      </c>
    </row>
    <row r="227" ht="15.75" customHeight="1">
      <c r="A227" s="1">
        <f>IFERROR(__xludf.DUMMYFUNCTION("""COMPUTED_VALUE"""),44168.66666666667)</f>
        <v>44168.66667</v>
      </c>
      <c r="B227" s="2">
        <f>IFERROR(__xludf.DUMMYFUNCTION("""COMPUTED_VALUE"""),1119.26)</f>
        <v>1119.26</v>
      </c>
      <c r="C227" s="2">
        <f>IFERROR(__xludf.DUMMYFUNCTION("""COMPUTED_VALUE"""),1211.76)</f>
        <v>1211.76</v>
      </c>
      <c r="D227" s="2">
        <f>IFERROR(__xludf.DUMMYFUNCTION("""COMPUTED_VALUE"""),1119.26)</f>
        <v>1119.26</v>
      </c>
      <c r="E227" s="2">
        <f>IFERROR(__xludf.DUMMYFUNCTION("""COMPUTED_VALUE"""),1184.01)</f>
        <v>1184.01</v>
      </c>
      <c r="F227" s="2">
        <f>IFERROR(__xludf.DUMMYFUNCTION("""COMPUTED_VALUE"""),1.23069E8)</f>
        <v>123069000</v>
      </c>
      <c r="G227" s="2">
        <f t="shared" si="1"/>
        <v>101.75</v>
      </c>
    </row>
    <row r="228" ht="15.75" customHeight="1">
      <c r="A228" s="1">
        <f>IFERROR(__xludf.DUMMYFUNCTION("""COMPUTED_VALUE"""),44169.66666666667)</f>
        <v>44169.66667</v>
      </c>
      <c r="B228" s="2">
        <f>IFERROR(__xludf.DUMMYFUNCTION("""COMPUTED_VALUE"""),1188.63)</f>
        <v>1188.63</v>
      </c>
      <c r="C228" s="2">
        <f>IFERROR(__xludf.DUMMYFUNCTION("""COMPUTED_VALUE"""),1248.76)</f>
        <v>1248.76</v>
      </c>
      <c r="D228" s="2">
        <f>IFERROR(__xludf.DUMMYFUNCTION("""COMPUTED_VALUE"""),1156.26)</f>
        <v>1156.26</v>
      </c>
      <c r="E228" s="2">
        <f>IFERROR(__xludf.DUMMYFUNCTION("""COMPUTED_VALUE"""),1179.38)</f>
        <v>1179.38</v>
      </c>
      <c r="F228" s="2">
        <f>IFERROR(__xludf.DUMMYFUNCTION("""COMPUTED_VALUE"""),5.18505E7)</f>
        <v>51850500</v>
      </c>
      <c r="G228" s="2">
        <f t="shared" si="1"/>
        <v>92.5</v>
      </c>
    </row>
    <row r="229" ht="15.75" customHeight="1">
      <c r="A229" s="1">
        <f>IFERROR(__xludf.DUMMYFUNCTION("""COMPUTED_VALUE"""),44172.66666666667)</f>
        <v>44172.66667</v>
      </c>
      <c r="B229" s="2">
        <f>IFERROR(__xludf.DUMMYFUNCTION("""COMPUTED_VALUE"""),1202.51)</f>
        <v>1202.51</v>
      </c>
      <c r="C229" s="2">
        <f>IFERROR(__xludf.DUMMYFUNCTION("""COMPUTED_VALUE"""),1230.26)</f>
        <v>1230.26</v>
      </c>
      <c r="D229" s="2">
        <f>IFERROR(__xludf.DUMMYFUNCTION("""COMPUTED_VALUE"""),1188.63)</f>
        <v>1188.63</v>
      </c>
      <c r="E229" s="2">
        <f>IFERROR(__xludf.DUMMYFUNCTION("""COMPUTED_VALUE"""),1207.13)</f>
        <v>1207.13</v>
      </c>
      <c r="F229" s="2">
        <f>IFERROR(__xludf.DUMMYFUNCTION("""COMPUTED_VALUE"""),4.52649E7)</f>
        <v>45264900</v>
      </c>
      <c r="G229" s="2">
        <f t="shared" si="1"/>
        <v>50.88</v>
      </c>
    </row>
    <row r="230" ht="15.75" customHeight="1">
      <c r="A230" s="1">
        <f>IFERROR(__xludf.DUMMYFUNCTION("""COMPUTED_VALUE"""),44173.66666666667)</f>
        <v>44173.66667</v>
      </c>
      <c r="B230" s="2">
        <f>IFERROR(__xludf.DUMMYFUNCTION("""COMPUTED_VALUE"""),1207.13)</f>
        <v>1207.13</v>
      </c>
      <c r="C230" s="2">
        <f>IFERROR(__xludf.DUMMYFUNCTION("""COMPUTED_VALUE"""),1216.38)</f>
        <v>1216.38</v>
      </c>
      <c r="D230" s="2">
        <f>IFERROR(__xludf.DUMMYFUNCTION("""COMPUTED_VALUE"""),1160.88)</f>
        <v>1160.88</v>
      </c>
      <c r="E230" s="2">
        <f>IFERROR(__xludf.DUMMYFUNCTION("""COMPUTED_VALUE"""),1179.38)</f>
        <v>1179.38</v>
      </c>
      <c r="F230" s="2">
        <f>IFERROR(__xludf.DUMMYFUNCTION("""COMPUTED_VALUE"""),3.11766E7)</f>
        <v>31176600</v>
      </c>
      <c r="G230" s="2">
        <f t="shared" si="1"/>
        <v>55.5</v>
      </c>
    </row>
    <row r="231" ht="15.75" customHeight="1">
      <c r="A231" s="1">
        <f>IFERROR(__xludf.DUMMYFUNCTION("""COMPUTED_VALUE"""),44175.66666666667)</f>
        <v>44175.66667</v>
      </c>
      <c r="B231" s="2">
        <f>IFERROR(__xludf.DUMMYFUNCTION("""COMPUTED_VALUE"""),1188.63)</f>
        <v>1188.63</v>
      </c>
      <c r="C231" s="2">
        <f>IFERROR(__xludf.DUMMYFUNCTION("""COMPUTED_VALUE"""),1202.51)</f>
        <v>1202.51</v>
      </c>
      <c r="D231" s="2">
        <f>IFERROR(__xludf.DUMMYFUNCTION("""COMPUTED_VALUE"""),1123.88)</f>
        <v>1123.88</v>
      </c>
      <c r="E231" s="2">
        <f>IFERROR(__xludf.DUMMYFUNCTION("""COMPUTED_VALUE"""),1165.51)</f>
        <v>1165.51</v>
      </c>
      <c r="F231" s="2">
        <f>IFERROR(__xludf.DUMMYFUNCTION("""COMPUTED_VALUE"""),3.82354E7)</f>
        <v>38235400</v>
      </c>
      <c r="G231" s="2">
        <f t="shared" si="1"/>
        <v>78.63</v>
      </c>
    </row>
    <row r="232" ht="15.75" customHeight="1">
      <c r="A232" s="1">
        <f>IFERROR(__xludf.DUMMYFUNCTION("""COMPUTED_VALUE"""),44176.66666666667)</f>
        <v>44176.66667</v>
      </c>
      <c r="B232" s="2">
        <f>IFERROR(__xludf.DUMMYFUNCTION("""COMPUTED_VALUE"""),1165.51)</f>
        <v>1165.51</v>
      </c>
      <c r="C232" s="2">
        <f>IFERROR(__xludf.DUMMYFUNCTION("""COMPUTED_VALUE"""),1179.38)</f>
        <v>1179.38</v>
      </c>
      <c r="D232" s="2">
        <f>IFERROR(__xludf.DUMMYFUNCTION("""COMPUTED_VALUE"""),1133.13)</f>
        <v>1133.13</v>
      </c>
      <c r="E232" s="2">
        <f>IFERROR(__xludf.DUMMYFUNCTION("""COMPUTED_VALUE"""),1142.38)</f>
        <v>1142.38</v>
      </c>
      <c r="F232" s="2">
        <f>IFERROR(__xludf.DUMMYFUNCTION("""COMPUTED_VALUE"""),2.67609E7)</f>
        <v>26760900</v>
      </c>
      <c r="G232" s="2">
        <f t="shared" si="1"/>
        <v>46.25</v>
      </c>
    </row>
    <row r="233" ht="15.75" customHeight="1">
      <c r="A233" s="1">
        <f>IFERROR(__xludf.DUMMYFUNCTION("""COMPUTED_VALUE"""),44179.66666666667)</f>
        <v>44179.66667</v>
      </c>
      <c r="B233" s="2">
        <f>IFERROR(__xludf.DUMMYFUNCTION("""COMPUTED_VALUE"""),1151.63)</f>
        <v>1151.63</v>
      </c>
      <c r="C233" s="2">
        <f>IFERROR(__xludf.DUMMYFUNCTION("""COMPUTED_VALUE"""),1197.88)</f>
        <v>1197.88</v>
      </c>
      <c r="D233" s="2">
        <f>IFERROR(__xludf.DUMMYFUNCTION("""COMPUTED_VALUE"""),1142.38)</f>
        <v>1142.38</v>
      </c>
      <c r="E233" s="2">
        <f>IFERROR(__xludf.DUMMYFUNCTION("""COMPUTED_VALUE"""),1197.88)</f>
        <v>1197.88</v>
      </c>
      <c r="F233" s="2">
        <f>IFERROR(__xludf.DUMMYFUNCTION("""COMPUTED_VALUE"""),4.43795E7)</f>
        <v>44379500</v>
      </c>
      <c r="G233" s="2">
        <f t="shared" si="1"/>
        <v>55.5</v>
      </c>
    </row>
    <row r="234" ht="15.75" customHeight="1">
      <c r="A234" s="1">
        <f>IFERROR(__xludf.DUMMYFUNCTION("""COMPUTED_VALUE"""),44180.66666666667)</f>
        <v>44180.66667</v>
      </c>
      <c r="B234" s="2">
        <f>IFERROR(__xludf.DUMMYFUNCTION("""COMPUTED_VALUE"""),1197.88)</f>
        <v>1197.88</v>
      </c>
      <c r="C234" s="2">
        <f>IFERROR(__xludf.DUMMYFUNCTION("""COMPUTED_VALUE"""),1207.13)</f>
        <v>1207.13</v>
      </c>
      <c r="D234" s="2">
        <f>IFERROR(__xludf.DUMMYFUNCTION("""COMPUTED_VALUE"""),1165.51)</f>
        <v>1165.51</v>
      </c>
      <c r="E234" s="2">
        <f>IFERROR(__xludf.DUMMYFUNCTION("""COMPUTED_VALUE"""),1184.01)</f>
        <v>1184.01</v>
      </c>
      <c r="F234" s="2">
        <f>IFERROR(__xludf.DUMMYFUNCTION("""COMPUTED_VALUE"""),2.9427E7)</f>
        <v>29427000</v>
      </c>
      <c r="G234" s="2">
        <f t="shared" si="1"/>
        <v>41.62</v>
      </c>
    </row>
    <row r="235" ht="15.75" customHeight="1">
      <c r="A235" s="1">
        <f>IFERROR(__xludf.DUMMYFUNCTION("""COMPUTED_VALUE"""),44181.66666666667)</f>
        <v>44181.66667</v>
      </c>
      <c r="B235" s="2">
        <f>IFERROR(__xludf.DUMMYFUNCTION("""COMPUTED_VALUE"""),1197.88)</f>
        <v>1197.88</v>
      </c>
      <c r="C235" s="2">
        <f>IFERROR(__xludf.DUMMYFUNCTION("""COMPUTED_VALUE"""),1221.01)</f>
        <v>1221.01</v>
      </c>
      <c r="D235" s="2">
        <f>IFERROR(__xludf.DUMMYFUNCTION("""COMPUTED_VALUE"""),1184.01)</f>
        <v>1184.01</v>
      </c>
      <c r="E235" s="2">
        <f>IFERROR(__xludf.DUMMYFUNCTION("""COMPUTED_VALUE"""),1193.26)</f>
        <v>1193.26</v>
      </c>
      <c r="F235" s="2">
        <f>IFERROR(__xludf.DUMMYFUNCTION("""COMPUTED_VALUE"""),5.6724E7)</f>
        <v>56724000</v>
      </c>
      <c r="G235" s="2">
        <f t="shared" si="1"/>
        <v>37</v>
      </c>
    </row>
    <row r="236" ht="15.75" customHeight="1">
      <c r="A236" s="1">
        <f>IFERROR(__xludf.DUMMYFUNCTION("""COMPUTED_VALUE"""),44182.66666666667)</f>
        <v>44182.66667</v>
      </c>
      <c r="B236" s="2">
        <f>IFERROR(__xludf.DUMMYFUNCTION("""COMPUTED_VALUE"""),1211.76)</f>
        <v>1211.76</v>
      </c>
      <c r="C236" s="2">
        <f>IFERROR(__xludf.DUMMYFUNCTION("""COMPUTED_VALUE"""),1401.38)</f>
        <v>1401.38</v>
      </c>
      <c r="D236" s="2">
        <f>IFERROR(__xludf.DUMMYFUNCTION("""COMPUTED_VALUE"""),1207.13)</f>
        <v>1207.13</v>
      </c>
      <c r="E236" s="2">
        <f>IFERROR(__xludf.DUMMYFUNCTION("""COMPUTED_VALUE"""),1369.01)</f>
        <v>1369.01</v>
      </c>
      <c r="F236" s="2">
        <f>IFERROR(__xludf.DUMMYFUNCTION("""COMPUTED_VALUE"""),2.127061E8)</f>
        <v>212706100</v>
      </c>
      <c r="G236" s="2">
        <f t="shared" si="1"/>
        <v>208.12</v>
      </c>
    </row>
    <row r="237" ht="15.75" customHeight="1">
      <c r="A237" s="1">
        <f>IFERROR(__xludf.DUMMYFUNCTION("""COMPUTED_VALUE"""),44183.66666666667)</f>
        <v>44183.66667</v>
      </c>
      <c r="B237" s="2">
        <f>IFERROR(__xludf.DUMMYFUNCTION("""COMPUTED_VALUE"""),1373.63)</f>
        <v>1373.63</v>
      </c>
      <c r="C237" s="2">
        <f>IFERROR(__xludf.DUMMYFUNCTION("""COMPUTED_VALUE"""),1540.13)</f>
        <v>1540.13</v>
      </c>
      <c r="D237" s="2">
        <f>IFERROR(__xludf.DUMMYFUNCTION("""COMPUTED_VALUE"""),1369.01)</f>
        <v>1369.01</v>
      </c>
      <c r="E237" s="2">
        <f>IFERROR(__xludf.DUMMYFUNCTION("""COMPUTED_VALUE"""),1526.26)</f>
        <v>1526.26</v>
      </c>
      <c r="F237" s="2">
        <f>IFERROR(__xludf.DUMMYFUNCTION("""COMPUTED_VALUE"""),1.847857E8)</f>
        <v>184785700</v>
      </c>
      <c r="G237" s="2">
        <f t="shared" si="1"/>
        <v>171.12</v>
      </c>
    </row>
    <row r="238" ht="15.75" customHeight="1">
      <c r="A238" s="1">
        <f>IFERROR(__xludf.DUMMYFUNCTION("""COMPUTED_VALUE"""),44187.66666666667)</f>
        <v>44187.66667</v>
      </c>
      <c r="B238" s="2">
        <f>IFERROR(__xludf.DUMMYFUNCTION("""COMPUTED_VALUE"""),1535.51)</f>
        <v>1535.51</v>
      </c>
      <c r="C238" s="2">
        <f>IFERROR(__xludf.DUMMYFUNCTION("""COMPUTED_VALUE"""),1544.76)</f>
        <v>1544.76</v>
      </c>
      <c r="D238" s="2">
        <f>IFERROR(__xludf.DUMMYFUNCTION("""COMPUTED_VALUE"""),1419.88)</f>
        <v>1419.88</v>
      </c>
      <c r="E238" s="2">
        <f>IFERROR(__xludf.DUMMYFUNCTION("""COMPUTED_VALUE"""),1447.63)</f>
        <v>1447.63</v>
      </c>
      <c r="F238" s="2">
        <f>IFERROR(__xludf.DUMMYFUNCTION("""COMPUTED_VALUE"""),9.9142E7)</f>
        <v>99142000</v>
      </c>
      <c r="G238" s="2">
        <f t="shared" si="1"/>
        <v>124.88</v>
      </c>
    </row>
    <row r="239" ht="15.75" customHeight="1">
      <c r="A239" s="1">
        <f>IFERROR(__xludf.DUMMYFUNCTION("""COMPUTED_VALUE"""),44188.66666666667)</f>
        <v>44188.66667</v>
      </c>
      <c r="B239" s="2">
        <f>IFERROR(__xludf.DUMMYFUNCTION("""COMPUTED_VALUE"""),1452.26)</f>
        <v>1452.26</v>
      </c>
      <c r="C239" s="2">
        <f>IFERROR(__xludf.DUMMYFUNCTION("""COMPUTED_VALUE"""),1493.88)</f>
        <v>1493.88</v>
      </c>
      <c r="D239" s="2">
        <f>IFERROR(__xludf.DUMMYFUNCTION("""COMPUTED_VALUE"""),1355.13)</f>
        <v>1355.13</v>
      </c>
      <c r="E239" s="2">
        <f>IFERROR(__xludf.DUMMYFUNCTION("""COMPUTED_VALUE"""),1438.38)</f>
        <v>1438.38</v>
      </c>
      <c r="F239" s="2">
        <f>IFERROR(__xludf.DUMMYFUNCTION("""COMPUTED_VALUE"""),7.74567E7)</f>
        <v>77456700</v>
      </c>
      <c r="G239" s="2">
        <f t="shared" si="1"/>
        <v>138.75</v>
      </c>
    </row>
    <row r="240" ht="15.75" customHeight="1">
      <c r="A240" s="1">
        <f>IFERROR(__xludf.DUMMYFUNCTION("""COMPUTED_VALUE"""),44193.66666666667)</f>
        <v>44193.66667</v>
      </c>
      <c r="B240" s="2">
        <f>IFERROR(__xludf.DUMMYFUNCTION("""COMPUTED_VALUE"""),1456.88)</f>
        <v>1456.88</v>
      </c>
      <c r="C240" s="2">
        <f>IFERROR(__xludf.DUMMYFUNCTION("""COMPUTED_VALUE"""),1498.51)</f>
        <v>1498.51</v>
      </c>
      <c r="D240" s="2">
        <f>IFERROR(__xludf.DUMMYFUNCTION("""COMPUTED_VALUE"""),1392.13)</f>
        <v>1392.13</v>
      </c>
      <c r="E240" s="2">
        <f>IFERROR(__xludf.DUMMYFUNCTION("""COMPUTED_VALUE"""),1433.76)</f>
        <v>1433.76</v>
      </c>
      <c r="F240" s="2">
        <f>IFERROR(__xludf.DUMMYFUNCTION("""COMPUTED_VALUE"""),4.38536E7)</f>
        <v>43853600</v>
      </c>
      <c r="G240" s="2">
        <f t="shared" si="1"/>
        <v>106.38</v>
      </c>
    </row>
    <row r="241" ht="15.75" customHeight="1">
      <c r="A241" s="1">
        <f>IFERROR(__xludf.DUMMYFUNCTION("""COMPUTED_VALUE"""),44194.66666666667)</f>
        <v>44194.66667</v>
      </c>
      <c r="B241" s="2">
        <f>IFERROR(__xludf.DUMMYFUNCTION("""COMPUTED_VALUE"""),1438.38)</f>
        <v>1438.38</v>
      </c>
      <c r="C241" s="2">
        <f>IFERROR(__xludf.DUMMYFUNCTION("""COMPUTED_VALUE"""),1512.38)</f>
        <v>1512.38</v>
      </c>
      <c r="D241" s="2">
        <f>IFERROR(__xludf.DUMMYFUNCTION("""COMPUTED_VALUE"""),1415.26)</f>
        <v>1415.26</v>
      </c>
      <c r="E241" s="2">
        <f>IFERROR(__xludf.DUMMYFUNCTION("""COMPUTED_VALUE"""),1470.76)</f>
        <v>1470.76</v>
      </c>
      <c r="F241" s="2">
        <f>IFERROR(__xludf.DUMMYFUNCTION("""COMPUTED_VALUE"""),1.465132E8)</f>
        <v>146513200</v>
      </c>
      <c r="G241" s="2">
        <f t="shared" si="1"/>
        <v>97.12</v>
      </c>
    </row>
    <row r="242" ht="15.75" customHeight="1">
      <c r="A242" s="1">
        <f>IFERROR(__xludf.DUMMYFUNCTION("""COMPUTED_VALUE"""),44195.66666666667)</f>
        <v>44195.66667</v>
      </c>
      <c r="B242" s="2">
        <f>IFERROR(__xludf.DUMMYFUNCTION("""COMPUTED_VALUE"""),1470.76)</f>
        <v>1470.76</v>
      </c>
      <c r="C242" s="2">
        <f>IFERROR(__xludf.DUMMYFUNCTION("""COMPUTED_VALUE"""),1507.76)</f>
        <v>1507.76</v>
      </c>
      <c r="D242" s="2">
        <f>IFERROR(__xludf.DUMMYFUNCTION("""COMPUTED_VALUE"""),1410.63)</f>
        <v>1410.63</v>
      </c>
      <c r="E242" s="2">
        <f>IFERROR(__xludf.DUMMYFUNCTION("""COMPUTED_VALUE"""),1419.88)</f>
        <v>1419.88</v>
      </c>
      <c r="F242" s="2">
        <f>IFERROR(__xludf.DUMMYFUNCTION("""COMPUTED_VALUE"""),8.75687E7)</f>
        <v>87568700</v>
      </c>
      <c r="G242" s="2">
        <f t="shared" si="1"/>
        <v>97.13</v>
      </c>
    </row>
    <row r="243" ht="15.75" customHeight="1">
      <c r="A243" s="1">
        <f>IFERROR(__xludf.DUMMYFUNCTION("""COMPUTED_VALUE"""),44200.625)</f>
        <v>44200.625</v>
      </c>
      <c r="B243" s="2">
        <f>IFERROR(__xludf.DUMMYFUNCTION("""COMPUTED_VALUE"""),1419.88)</f>
        <v>1419.88</v>
      </c>
      <c r="C243" s="2">
        <f>IFERROR(__xludf.DUMMYFUNCTION("""COMPUTED_VALUE"""),1489.26)</f>
        <v>1489.26</v>
      </c>
      <c r="D243" s="2">
        <f>IFERROR(__xludf.DUMMYFUNCTION("""COMPUTED_VALUE"""),1392.13)</f>
        <v>1392.13</v>
      </c>
      <c r="E243" s="2">
        <f>IFERROR(__xludf.DUMMYFUNCTION("""COMPUTED_VALUE"""),1489.26)</f>
        <v>1489.26</v>
      </c>
      <c r="F243" s="2">
        <f>IFERROR(__xludf.DUMMYFUNCTION("""COMPUTED_VALUE"""),4.62085E7)</f>
        <v>46208500</v>
      </c>
      <c r="G243" s="2">
        <f t="shared" si="1"/>
        <v>97.13</v>
      </c>
    </row>
    <row r="244" ht="15.75" customHeight="1">
      <c r="A244" s="1">
        <f>IFERROR(__xludf.DUMMYFUNCTION("""COMPUTED_VALUE"""),44201.625)</f>
        <v>44201.625</v>
      </c>
      <c r="B244" s="2">
        <f>IFERROR(__xludf.DUMMYFUNCTION("""COMPUTED_VALUE"""),1493.88)</f>
        <v>1493.88</v>
      </c>
      <c r="C244" s="2">
        <f>IFERROR(__xludf.DUMMYFUNCTION("""COMPUTED_VALUE"""),1549.38)</f>
        <v>1549.38</v>
      </c>
      <c r="D244" s="2">
        <f>IFERROR(__xludf.DUMMYFUNCTION("""COMPUTED_VALUE"""),1489.26)</f>
        <v>1489.26</v>
      </c>
      <c r="E244" s="2">
        <f>IFERROR(__xludf.DUMMYFUNCTION("""COMPUTED_VALUE"""),1549.38)</f>
        <v>1549.38</v>
      </c>
      <c r="F244" s="2">
        <f>IFERROR(__xludf.DUMMYFUNCTION("""COMPUTED_VALUE"""),8.28202E7)</f>
        <v>82820200</v>
      </c>
      <c r="G244" s="2">
        <f t="shared" si="1"/>
        <v>60.12</v>
      </c>
    </row>
    <row r="245" ht="15.75" customHeight="1">
      <c r="A245" s="1">
        <f>IFERROR(__xludf.DUMMYFUNCTION("""COMPUTED_VALUE"""),44202.625)</f>
        <v>44202.625</v>
      </c>
      <c r="B245" s="2">
        <f>IFERROR(__xludf.DUMMYFUNCTION("""COMPUTED_VALUE"""),1558.63)</f>
        <v>1558.63</v>
      </c>
      <c r="C245" s="2">
        <f>IFERROR(__xludf.DUMMYFUNCTION("""COMPUTED_VALUE"""),1674.26)</f>
        <v>1674.26</v>
      </c>
      <c r="D245" s="2">
        <f>IFERROR(__xludf.DUMMYFUNCTION("""COMPUTED_VALUE"""),1461.51)</f>
        <v>1461.51</v>
      </c>
      <c r="E245" s="2">
        <f>IFERROR(__xludf.DUMMYFUNCTION("""COMPUTED_VALUE"""),1660.38)</f>
        <v>1660.38</v>
      </c>
      <c r="F245" s="2">
        <f>IFERROR(__xludf.DUMMYFUNCTION("""COMPUTED_VALUE"""),1.353756E8)</f>
        <v>135375600</v>
      </c>
      <c r="G245" s="2">
        <f t="shared" si="1"/>
        <v>212.75</v>
      </c>
    </row>
    <row r="246" ht="15.75" customHeight="1">
      <c r="A246" s="1">
        <f>IFERROR(__xludf.DUMMYFUNCTION("""COMPUTED_VALUE"""),44208.625)</f>
        <v>44208.625</v>
      </c>
      <c r="B246" s="2">
        <f>IFERROR(__xludf.DUMMYFUNCTION("""COMPUTED_VALUE"""),1702.01)</f>
        <v>1702.01</v>
      </c>
      <c r="C246" s="2">
        <f>IFERROR(__xludf.DUMMYFUNCTION("""COMPUTED_VALUE"""),1771.38)</f>
        <v>1771.38</v>
      </c>
      <c r="D246" s="2">
        <f>IFERROR(__xludf.DUMMYFUNCTION("""COMPUTED_VALUE"""),1628.01)</f>
        <v>1628.01</v>
      </c>
      <c r="E246" s="2">
        <f>IFERROR(__xludf.DUMMYFUNCTION("""COMPUTED_VALUE"""),1637.26)</f>
        <v>1637.26</v>
      </c>
      <c r="F246" s="2">
        <f>IFERROR(__xludf.DUMMYFUNCTION("""COMPUTED_VALUE"""),1.158121E8)</f>
        <v>115812100</v>
      </c>
      <c r="G246" s="2">
        <f t="shared" si="1"/>
        <v>143.37</v>
      </c>
    </row>
    <row r="247" ht="15.75" customHeight="1">
      <c r="A247" s="1">
        <f>IFERROR(__xludf.DUMMYFUNCTION("""COMPUTED_VALUE"""),44209.625)</f>
        <v>44209.625</v>
      </c>
      <c r="B247" s="2">
        <f>IFERROR(__xludf.DUMMYFUNCTION("""COMPUTED_VALUE"""),1646.51)</f>
        <v>1646.51</v>
      </c>
      <c r="C247" s="2">
        <f>IFERROR(__xludf.DUMMYFUNCTION("""COMPUTED_VALUE"""),1729.76)</f>
        <v>1729.76</v>
      </c>
      <c r="D247" s="2">
        <f>IFERROR(__xludf.DUMMYFUNCTION("""COMPUTED_VALUE"""),1646.51)</f>
        <v>1646.51</v>
      </c>
      <c r="E247" s="2">
        <f>IFERROR(__xludf.DUMMYFUNCTION("""COMPUTED_VALUE"""),1669.63)</f>
        <v>1669.63</v>
      </c>
      <c r="F247" s="2">
        <f>IFERROR(__xludf.DUMMYFUNCTION("""COMPUTED_VALUE"""),6.04679E7)</f>
        <v>60467900</v>
      </c>
      <c r="G247" s="2">
        <f t="shared" si="1"/>
        <v>92.5</v>
      </c>
    </row>
    <row r="248" ht="15.75" customHeight="1">
      <c r="A248" s="1">
        <f>IFERROR(__xludf.DUMMYFUNCTION("""COMPUTED_VALUE"""),44210.625)</f>
        <v>44210.625</v>
      </c>
      <c r="B248" s="2">
        <f>IFERROR(__xludf.DUMMYFUNCTION("""COMPUTED_VALUE"""),1692.76)</f>
        <v>1692.76</v>
      </c>
      <c r="C248" s="2">
        <f>IFERROR(__xludf.DUMMYFUNCTION("""COMPUTED_VALUE"""),1697.38)</f>
        <v>1697.38</v>
      </c>
      <c r="D248" s="2">
        <f>IFERROR(__xludf.DUMMYFUNCTION("""COMPUTED_VALUE"""),1623.38)</f>
        <v>1623.38</v>
      </c>
      <c r="E248" s="2">
        <f>IFERROR(__xludf.DUMMYFUNCTION("""COMPUTED_VALUE"""),1637.26)</f>
        <v>1637.26</v>
      </c>
      <c r="F248" s="2">
        <f>IFERROR(__xludf.DUMMYFUNCTION("""COMPUTED_VALUE"""),3.421E7)</f>
        <v>34210000</v>
      </c>
      <c r="G248" s="2">
        <f t="shared" si="1"/>
        <v>74</v>
      </c>
    </row>
    <row r="249" ht="15.75" customHeight="1">
      <c r="A249" s="1">
        <f>IFERROR(__xludf.DUMMYFUNCTION("""COMPUTED_VALUE"""),44211.625)</f>
        <v>44211.625</v>
      </c>
      <c r="B249" s="2">
        <f>IFERROR(__xludf.DUMMYFUNCTION("""COMPUTED_VALUE"""),1651.13)</f>
        <v>1651.13</v>
      </c>
      <c r="C249" s="2">
        <f>IFERROR(__xludf.DUMMYFUNCTION("""COMPUTED_VALUE"""),1743.63)</f>
        <v>1743.63</v>
      </c>
      <c r="D249" s="2">
        <f>IFERROR(__xludf.DUMMYFUNCTION("""COMPUTED_VALUE"""),1614.13)</f>
        <v>1614.13</v>
      </c>
      <c r="E249" s="2">
        <f>IFERROR(__xludf.DUMMYFUNCTION("""COMPUTED_VALUE"""),1729.76)</f>
        <v>1729.76</v>
      </c>
      <c r="F249" s="2">
        <f>IFERROR(__xludf.DUMMYFUNCTION("""COMPUTED_VALUE"""),1.217508E8)</f>
        <v>121750800</v>
      </c>
      <c r="G249" s="2">
        <f t="shared" si="1"/>
        <v>129.5</v>
      </c>
    </row>
    <row r="250" ht="15.75" customHeight="1">
      <c r="A250" s="1">
        <f>IFERROR(__xludf.DUMMYFUNCTION("""COMPUTED_VALUE"""),44214.625)</f>
        <v>44214.625</v>
      </c>
      <c r="B250" s="2">
        <f>IFERROR(__xludf.DUMMYFUNCTION("""COMPUTED_VALUE"""),1757.51)</f>
        <v>1757.51</v>
      </c>
      <c r="C250" s="2">
        <f>IFERROR(__xludf.DUMMYFUNCTION("""COMPUTED_VALUE"""),1887.01)</f>
        <v>1887.01</v>
      </c>
      <c r="D250" s="2">
        <f>IFERROR(__xludf.DUMMYFUNCTION("""COMPUTED_VALUE"""),1715.88)</f>
        <v>1715.88</v>
      </c>
      <c r="E250" s="2">
        <f>IFERROR(__xludf.DUMMYFUNCTION("""COMPUTED_VALUE"""),1720.51)</f>
        <v>1720.51</v>
      </c>
      <c r="F250" s="2">
        <f>IFERROR(__xludf.DUMMYFUNCTION("""COMPUTED_VALUE"""),1.437085E8)</f>
        <v>143708500</v>
      </c>
      <c r="G250" s="2">
        <f t="shared" si="1"/>
        <v>171.13</v>
      </c>
    </row>
    <row r="251" ht="15.75" customHeight="1">
      <c r="A251" s="1">
        <f>IFERROR(__xludf.DUMMYFUNCTION("""COMPUTED_VALUE"""),44215.625)</f>
        <v>44215.625</v>
      </c>
      <c r="B251" s="2">
        <f>IFERROR(__xludf.DUMMYFUNCTION("""COMPUTED_VALUE"""),1725.13)</f>
        <v>1725.13</v>
      </c>
      <c r="C251" s="2">
        <f>IFERROR(__xludf.DUMMYFUNCTION("""COMPUTED_VALUE"""),1748.26)</f>
        <v>1748.26</v>
      </c>
      <c r="D251" s="2">
        <f>IFERROR(__xludf.DUMMYFUNCTION("""COMPUTED_VALUE"""),1600.26)</f>
        <v>1600.26</v>
      </c>
      <c r="E251" s="2">
        <f>IFERROR(__xludf.DUMMYFUNCTION("""COMPUTED_VALUE"""),1604.88)</f>
        <v>1604.88</v>
      </c>
      <c r="F251" s="2">
        <f>IFERROR(__xludf.DUMMYFUNCTION("""COMPUTED_VALUE"""),1.41099E8)</f>
        <v>141099000</v>
      </c>
      <c r="G251" s="2">
        <f t="shared" si="1"/>
        <v>148</v>
      </c>
    </row>
    <row r="252" ht="15.75" customHeight="1">
      <c r="A252" s="1">
        <f>IFERROR(__xludf.DUMMYFUNCTION("""COMPUTED_VALUE"""),44216.625)</f>
        <v>44216.625</v>
      </c>
      <c r="B252" s="2">
        <f>IFERROR(__xludf.DUMMYFUNCTION("""COMPUTED_VALUE"""),1618.76)</f>
        <v>1618.76</v>
      </c>
      <c r="C252" s="2">
        <f>IFERROR(__xludf.DUMMYFUNCTION("""COMPUTED_VALUE"""),1660.38)</f>
        <v>1660.38</v>
      </c>
      <c r="D252" s="2">
        <f>IFERROR(__xludf.DUMMYFUNCTION("""COMPUTED_VALUE"""),1493.88)</f>
        <v>1493.88</v>
      </c>
      <c r="E252" s="2">
        <f>IFERROR(__xludf.DUMMYFUNCTION("""COMPUTED_VALUE"""),1660.38)</f>
        <v>1660.38</v>
      </c>
      <c r="F252" s="2">
        <f>IFERROR(__xludf.DUMMYFUNCTION("""COMPUTED_VALUE"""),8.1756E7)</f>
        <v>81756000</v>
      </c>
      <c r="G252" s="2">
        <f t="shared" si="1"/>
        <v>166.5</v>
      </c>
    </row>
    <row r="253" ht="15.75" customHeight="1">
      <c r="A253" s="1">
        <f>IFERROR(__xludf.DUMMYFUNCTION("""COMPUTED_VALUE"""),44217.625)</f>
        <v>44217.625</v>
      </c>
      <c r="B253" s="2">
        <f>IFERROR(__xludf.DUMMYFUNCTION("""COMPUTED_VALUE"""),1669.63)</f>
        <v>1669.63</v>
      </c>
      <c r="C253" s="2">
        <f>IFERROR(__xludf.DUMMYFUNCTION("""COMPUTED_VALUE"""),1771.38)</f>
        <v>1771.38</v>
      </c>
      <c r="D253" s="2">
        <f>IFERROR(__xludf.DUMMYFUNCTION("""COMPUTED_VALUE"""),1669.63)</f>
        <v>1669.63</v>
      </c>
      <c r="E253" s="2">
        <f>IFERROR(__xludf.DUMMYFUNCTION("""COMPUTED_VALUE"""),1678.88)</f>
        <v>1678.88</v>
      </c>
      <c r="F253" s="2">
        <f>IFERROR(__xludf.DUMMYFUNCTION("""COMPUTED_VALUE"""),5.89629E7)</f>
        <v>58962900</v>
      </c>
      <c r="G253" s="2">
        <f t="shared" si="1"/>
        <v>111</v>
      </c>
    </row>
    <row r="254" ht="15.75" customHeight="1">
      <c r="A254" s="1">
        <f>IFERROR(__xludf.DUMMYFUNCTION("""COMPUTED_VALUE"""),44218.625)</f>
        <v>44218.625</v>
      </c>
      <c r="B254" s="2">
        <f>IFERROR(__xludf.DUMMYFUNCTION("""COMPUTED_VALUE"""),1678.88)</f>
        <v>1678.88</v>
      </c>
      <c r="C254" s="2">
        <f>IFERROR(__xludf.DUMMYFUNCTION("""COMPUTED_VALUE"""),1678.88)</f>
        <v>1678.88</v>
      </c>
      <c r="D254" s="2">
        <f>IFERROR(__xludf.DUMMYFUNCTION("""COMPUTED_VALUE"""),1563.26)</f>
        <v>1563.26</v>
      </c>
      <c r="E254" s="2">
        <f>IFERROR(__xludf.DUMMYFUNCTION("""COMPUTED_VALUE"""),1563.26)</f>
        <v>1563.26</v>
      </c>
      <c r="F254" s="2">
        <f>IFERROR(__xludf.DUMMYFUNCTION("""COMPUTED_VALUE"""),7.25757E7)</f>
        <v>72575700</v>
      </c>
      <c r="G254" s="2">
        <f t="shared" si="1"/>
        <v>115.62</v>
      </c>
    </row>
    <row r="255" ht="15.75" customHeight="1">
      <c r="A255" s="1">
        <f>IFERROR(__xludf.DUMMYFUNCTION("""COMPUTED_VALUE"""),44221.625)</f>
        <v>44221.625</v>
      </c>
      <c r="B255" s="2">
        <f>IFERROR(__xludf.DUMMYFUNCTION("""COMPUTED_VALUE"""),1554.01)</f>
        <v>1554.01</v>
      </c>
      <c r="C255" s="2">
        <f>IFERROR(__xludf.DUMMYFUNCTION("""COMPUTED_VALUE"""),1554.01)</f>
        <v>1554.01</v>
      </c>
      <c r="D255" s="2">
        <f>IFERROR(__xludf.DUMMYFUNCTION("""COMPUTED_VALUE"""),1456.88)</f>
        <v>1456.88</v>
      </c>
      <c r="E255" s="2">
        <f>IFERROR(__xludf.DUMMYFUNCTION("""COMPUTED_VALUE"""),1456.88)</f>
        <v>1456.88</v>
      </c>
      <c r="F255" s="2">
        <f>IFERROR(__xludf.DUMMYFUNCTION("""COMPUTED_VALUE"""),6.38596E7)</f>
        <v>63859600</v>
      </c>
      <c r="G255" s="2">
        <f t="shared" si="1"/>
        <v>106.38</v>
      </c>
    </row>
    <row r="256" ht="15.75" customHeight="1">
      <c r="A256" s="1">
        <f>IFERROR(__xludf.DUMMYFUNCTION("""COMPUTED_VALUE"""),44222.625)</f>
        <v>44222.625</v>
      </c>
      <c r="B256" s="2">
        <f>IFERROR(__xludf.DUMMYFUNCTION("""COMPUTED_VALUE"""),1456.88)</f>
        <v>1456.88</v>
      </c>
      <c r="C256" s="2">
        <f>IFERROR(__xludf.DUMMYFUNCTION("""COMPUTED_VALUE"""),1489.26)</f>
        <v>1489.26</v>
      </c>
      <c r="D256" s="2">
        <f>IFERROR(__xludf.DUMMYFUNCTION("""COMPUTED_VALUE"""),1355.13)</f>
        <v>1355.13</v>
      </c>
      <c r="E256" s="2">
        <f>IFERROR(__xludf.DUMMYFUNCTION("""COMPUTED_VALUE"""),1355.13)</f>
        <v>1355.13</v>
      </c>
      <c r="F256" s="2">
        <f>IFERROR(__xludf.DUMMYFUNCTION("""COMPUTED_VALUE"""),6.51297E7)</f>
        <v>65129700</v>
      </c>
      <c r="G256" s="2">
        <f t="shared" si="1"/>
        <v>134.13</v>
      </c>
    </row>
    <row r="257" ht="15.75" customHeight="1">
      <c r="A257" s="1">
        <f>IFERROR(__xludf.DUMMYFUNCTION("""COMPUTED_VALUE"""),44223.625)</f>
        <v>44223.625</v>
      </c>
      <c r="B257" s="2">
        <f>IFERROR(__xludf.DUMMYFUNCTION("""COMPUTED_VALUE"""),1276.51)</f>
        <v>1276.51</v>
      </c>
      <c r="C257" s="2">
        <f>IFERROR(__xludf.DUMMYFUNCTION("""COMPUTED_VALUE"""),1452.26)</f>
        <v>1452.26</v>
      </c>
      <c r="D257" s="2">
        <f>IFERROR(__xludf.DUMMYFUNCTION("""COMPUTED_VALUE"""),1262.63)</f>
        <v>1262.63</v>
      </c>
      <c r="E257" s="2">
        <f>IFERROR(__xludf.DUMMYFUNCTION("""COMPUTED_VALUE"""),1452.26)</f>
        <v>1452.26</v>
      </c>
      <c r="F257" s="2">
        <f>IFERROR(__xludf.DUMMYFUNCTION("""COMPUTED_VALUE"""),1.955828E8)</f>
        <v>195582800</v>
      </c>
      <c r="G257" s="2">
        <f t="shared" si="1"/>
        <v>189.63</v>
      </c>
    </row>
    <row r="258" ht="15.75" customHeight="1">
      <c r="A258" s="1">
        <f>IFERROR(__xludf.DUMMYFUNCTION("""COMPUTED_VALUE"""),44224.625)</f>
        <v>44224.625</v>
      </c>
      <c r="B258" s="2">
        <f>IFERROR(__xludf.DUMMYFUNCTION("""COMPUTED_VALUE"""),1452.26)</f>
        <v>1452.26</v>
      </c>
      <c r="C258" s="2">
        <f>IFERROR(__xludf.DUMMYFUNCTION("""COMPUTED_VALUE"""),1452.26)</f>
        <v>1452.26</v>
      </c>
      <c r="D258" s="2">
        <f>IFERROR(__xludf.DUMMYFUNCTION("""COMPUTED_VALUE"""),1355.13)</f>
        <v>1355.13</v>
      </c>
      <c r="E258" s="2">
        <f>IFERROR(__xludf.DUMMYFUNCTION("""COMPUTED_VALUE"""),1355.13)</f>
        <v>1355.13</v>
      </c>
      <c r="F258" s="2">
        <f>IFERROR(__xludf.DUMMYFUNCTION("""COMPUTED_VALUE"""),5.23909E7)</f>
        <v>52390900</v>
      </c>
      <c r="G258" s="2">
        <f t="shared" si="1"/>
        <v>97.13</v>
      </c>
    </row>
    <row r="259" ht="15.75" customHeight="1">
      <c r="A259" s="1">
        <f>IFERROR(__xludf.DUMMYFUNCTION("""COMPUTED_VALUE"""),44225.625)</f>
        <v>44225.625</v>
      </c>
      <c r="B259" s="2">
        <f>IFERROR(__xludf.DUMMYFUNCTION("""COMPUTED_VALUE"""),1355.13)</f>
        <v>1355.13</v>
      </c>
      <c r="C259" s="2">
        <f>IFERROR(__xludf.DUMMYFUNCTION("""COMPUTED_VALUE"""),1387.51)</f>
        <v>1387.51</v>
      </c>
      <c r="D259" s="2">
        <f>IFERROR(__xludf.DUMMYFUNCTION("""COMPUTED_VALUE"""),1262.63)</f>
        <v>1262.63</v>
      </c>
      <c r="E259" s="2">
        <f>IFERROR(__xludf.DUMMYFUNCTION("""COMPUTED_VALUE"""),1262.63)</f>
        <v>1262.63</v>
      </c>
      <c r="F259" s="2">
        <f>IFERROR(__xludf.DUMMYFUNCTION("""COMPUTED_VALUE"""),6.01592E7)</f>
        <v>60159200</v>
      </c>
      <c r="G259" s="2">
        <f t="shared" si="1"/>
        <v>124.88</v>
      </c>
    </row>
    <row r="260" ht="15.75" customHeight="1">
      <c r="A260" s="1">
        <f>IFERROR(__xludf.DUMMYFUNCTION("""COMPUTED_VALUE"""),44228.625)</f>
        <v>44228.625</v>
      </c>
      <c r="B260" s="2">
        <f>IFERROR(__xludf.DUMMYFUNCTION("""COMPUTED_VALUE"""),1248.76)</f>
        <v>1248.76</v>
      </c>
      <c r="C260" s="2">
        <f>IFERROR(__xludf.DUMMYFUNCTION("""COMPUTED_VALUE"""),1373.63)</f>
        <v>1373.63</v>
      </c>
      <c r="D260" s="2">
        <f>IFERROR(__xludf.DUMMYFUNCTION("""COMPUTED_VALUE"""),1174.76)</f>
        <v>1174.76</v>
      </c>
      <c r="E260" s="2">
        <f>IFERROR(__xludf.DUMMYFUNCTION("""COMPUTED_VALUE"""),1373.63)</f>
        <v>1373.63</v>
      </c>
      <c r="F260" s="2">
        <f>IFERROR(__xludf.DUMMYFUNCTION("""COMPUTED_VALUE"""),6.65199E7)</f>
        <v>66519900</v>
      </c>
      <c r="G260" s="2">
        <f t="shared" si="1"/>
        <v>198.87</v>
      </c>
    </row>
    <row r="261" ht="15.75" customHeight="1">
      <c r="A261" s="1">
        <f>IFERROR(__xludf.DUMMYFUNCTION("""COMPUTED_VALUE"""),44229.625)</f>
        <v>44229.625</v>
      </c>
      <c r="B261" s="2">
        <f>IFERROR(__xludf.DUMMYFUNCTION("""COMPUTED_VALUE"""),1373.63)</f>
        <v>1373.63</v>
      </c>
      <c r="C261" s="2">
        <f>IFERROR(__xludf.DUMMYFUNCTION("""COMPUTED_VALUE"""),1406.01)</f>
        <v>1406.01</v>
      </c>
      <c r="D261" s="2">
        <f>IFERROR(__xludf.DUMMYFUNCTION("""COMPUTED_VALUE"""),1281.13)</f>
        <v>1281.13</v>
      </c>
      <c r="E261" s="2">
        <f>IFERROR(__xludf.DUMMYFUNCTION("""COMPUTED_VALUE"""),1281.13)</f>
        <v>1281.13</v>
      </c>
      <c r="F261" s="2">
        <f>IFERROR(__xludf.DUMMYFUNCTION("""COMPUTED_VALUE"""),4.71918E7)</f>
        <v>47191800</v>
      </c>
      <c r="G261" s="2">
        <f t="shared" si="1"/>
        <v>124.88</v>
      </c>
    </row>
    <row r="262" ht="15.75" customHeight="1">
      <c r="A262" s="1">
        <f>IFERROR(__xludf.DUMMYFUNCTION("""COMPUTED_VALUE"""),44230.625)</f>
        <v>44230.625</v>
      </c>
      <c r="B262" s="2">
        <f>IFERROR(__xludf.DUMMYFUNCTION("""COMPUTED_VALUE"""),1295.01)</f>
        <v>1295.01</v>
      </c>
      <c r="C262" s="2">
        <f>IFERROR(__xludf.DUMMYFUNCTION("""COMPUTED_VALUE"""),1359.76)</f>
        <v>1359.76</v>
      </c>
      <c r="D262" s="2">
        <f>IFERROR(__xludf.DUMMYFUNCTION("""COMPUTED_VALUE"""),1253.38)</f>
        <v>1253.38</v>
      </c>
      <c r="E262" s="2">
        <f>IFERROR(__xludf.DUMMYFUNCTION("""COMPUTED_VALUE"""),1299.63)</f>
        <v>1299.63</v>
      </c>
      <c r="F262" s="2">
        <f>IFERROR(__xludf.DUMMYFUNCTION("""COMPUTED_VALUE"""),2.48224E7)</f>
        <v>24822400</v>
      </c>
      <c r="G262" s="2">
        <f t="shared" si="1"/>
        <v>106.38</v>
      </c>
    </row>
    <row r="263" ht="15.75" customHeight="1">
      <c r="A263" s="1">
        <f>IFERROR(__xludf.DUMMYFUNCTION("""COMPUTED_VALUE"""),44231.625)</f>
        <v>44231.625</v>
      </c>
      <c r="B263" s="2">
        <f>IFERROR(__xludf.DUMMYFUNCTION("""COMPUTED_VALUE"""),1304.26)</f>
        <v>1304.26</v>
      </c>
      <c r="C263" s="2">
        <f>IFERROR(__xludf.DUMMYFUNCTION("""COMPUTED_VALUE"""),1327.38)</f>
        <v>1327.38</v>
      </c>
      <c r="D263" s="2">
        <f>IFERROR(__xludf.DUMMYFUNCTION("""COMPUTED_VALUE"""),1248.76)</f>
        <v>1248.76</v>
      </c>
      <c r="E263" s="2">
        <f>IFERROR(__xludf.DUMMYFUNCTION("""COMPUTED_VALUE"""),1267.26)</f>
        <v>1267.26</v>
      </c>
      <c r="F263" s="2">
        <f>IFERROR(__xludf.DUMMYFUNCTION("""COMPUTED_VALUE"""),2.52903E7)</f>
        <v>25290300</v>
      </c>
      <c r="G263" s="2">
        <f t="shared" si="1"/>
        <v>78.62</v>
      </c>
    </row>
    <row r="264" ht="15.75" customHeight="1">
      <c r="A264" s="1">
        <f>IFERROR(__xludf.DUMMYFUNCTION("""COMPUTED_VALUE"""),44232.625)</f>
        <v>44232.625</v>
      </c>
      <c r="B264" s="2">
        <f>IFERROR(__xludf.DUMMYFUNCTION("""COMPUTED_VALUE"""),1285.76)</f>
        <v>1285.76</v>
      </c>
      <c r="C264" s="2">
        <f>IFERROR(__xludf.DUMMYFUNCTION("""COMPUTED_VALUE"""),1308.88)</f>
        <v>1308.88</v>
      </c>
      <c r="D264" s="2">
        <f>IFERROR(__xludf.DUMMYFUNCTION("""COMPUTED_VALUE"""),1258.01)</f>
        <v>1258.01</v>
      </c>
      <c r="E264" s="2">
        <f>IFERROR(__xludf.DUMMYFUNCTION("""COMPUTED_VALUE"""),1295.01)</f>
        <v>1295.01</v>
      </c>
      <c r="F264" s="2">
        <f>IFERROR(__xludf.DUMMYFUNCTION("""COMPUTED_VALUE"""),1.67957E7)</f>
        <v>16795700</v>
      </c>
      <c r="G264" s="2">
        <f t="shared" si="1"/>
        <v>50.87</v>
      </c>
    </row>
    <row r="265" ht="15.75" customHeight="1">
      <c r="A265" s="1">
        <f>IFERROR(__xludf.DUMMYFUNCTION("""COMPUTED_VALUE"""),44235.625)</f>
        <v>44235.625</v>
      </c>
      <c r="B265" s="2">
        <f>IFERROR(__xludf.DUMMYFUNCTION("""COMPUTED_VALUE"""),1304.26)</f>
        <v>1304.26</v>
      </c>
      <c r="C265" s="2">
        <f>IFERROR(__xludf.DUMMYFUNCTION("""COMPUTED_VALUE"""),1415.26)</f>
        <v>1415.26</v>
      </c>
      <c r="D265" s="2">
        <f>IFERROR(__xludf.DUMMYFUNCTION("""COMPUTED_VALUE"""),1295.01)</f>
        <v>1295.01</v>
      </c>
      <c r="E265" s="2">
        <f>IFERROR(__xludf.DUMMYFUNCTION("""COMPUTED_VALUE"""),1415.26)</f>
        <v>1415.26</v>
      </c>
      <c r="F265" s="2">
        <f>IFERROR(__xludf.DUMMYFUNCTION("""COMPUTED_VALUE"""),6.12697E7)</f>
        <v>61269700</v>
      </c>
      <c r="G265" s="2">
        <f t="shared" si="1"/>
        <v>120.25</v>
      </c>
    </row>
    <row r="266" ht="15.75" customHeight="1">
      <c r="A266" s="1">
        <f>IFERROR(__xludf.DUMMYFUNCTION("""COMPUTED_VALUE"""),44236.625)</f>
        <v>44236.625</v>
      </c>
      <c r="B266" s="2">
        <f>IFERROR(__xludf.DUMMYFUNCTION("""COMPUTED_VALUE"""),1419.88)</f>
        <v>1419.88</v>
      </c>
      <c r="C266" s="2">
        <f>IFERROR(__xludf.DUMMYFUNCTION("""COMPUTED_VALUE"""),1443.01)</f>
        <v>1443.01</v>
      </c>
      <c r="D266" s="2">
        <f>IFERROR(__xludf.DUMMYFUNCTION("""COMPUTED_VALUE"""),1341.26)</f>
        <v>1341.26</v>
      </c>
      <c r="E266" s="2">
        <f>IFERROR(__xludf.DUMMYFUNCTION("""COMPUTED_VALUE"""),1350.51)</f>
        <v>1350.51</v>
      </c>
      <c r="F266" s="2">
        <f>IFERROR(__xludf.DUMMYFUNCTION("""COMPUTED_VALUE"""),4.98543E7)</f>
        <v>49854300</v>
      </c>
      <c r="G266" s="2">
        <f t="shared" si="1"/>
        <v>101.75</v>
      </c>
    </row>
    <row r="267" ht="15.75" customHeight="1">
      <c r="A267" s="1">
        <f>IFERROR(__xludf.DUMMYFUNCTION("""COMPUTED_VALUE"""),44237.625)</f>
        <v>44237.625</v>
      </c>
      <c r="B267" s="2">
        <f>IFERROR(__xludf.DUMMYFUNCTION("""COMPUTED_VALUE"""),1369.01)</f>
        <v>1369.01</v>
      </c>
      <c r="C267" s="2">
        <f>IFERROR(__xludf.DUMMYFUNCTION("""COMPUTED_VALUE"""),1401.38)</f>
        <v>1401.38</v>
      </c>
      <c r="D267" s="2">
        <f>IFERROR(__xludf.DUMMYFUNCTION("""COMPUTED_VALUE"""),1313.51)</f>
        <v>1313.51</v>
      </c>
      <c r="E267" s="2">
        <f>IFERROR(__xludf.DUMMYFUNCTION("""COMPUTED_VALUE"""),1387.51)</f>
        <v>1387.51</v>
      </c>
      <c r="F267" s="2">
        <f>IFERROR(__xludf.DUMMYFUNCTION("""COMPUTED_VALUE"""),2.73623E7)</f>
        <v>27362300</v>
      </c>
      <c r="G267" s="2">
        <f t="shared" si="1"/>
        <v>87.87</v>
      </c>
    </row>
    <row r="268" ht="15.75" customHeight="1">
      <c r="A268" s="1">
        <f>IFERROR(__xludf.DUMMYFUNCTION("""COMPUTED_VALUE"""),44238.625)</f>
        <v>44238.625</v>
      </c>
      <c r="B268" s="2">
        <f>IFERROR(__xludf.DUMMYFUNCTION("""COMPUTED_VALUE"""),1387.51)</f>
        <v>1387.51</v>
      </c>
      <c r="C268" s="2">
        <f>IFERROR(__xludf.DUMMYFUNCTION("""COMPUTED_VALUE"""),1396.76)</f>
        <v>1396.76</v>
      </c>
      <c r="D268" s="2">
        <f>IFERROR(__xludf.DUMMYFUNCTION("""COMPUTED_VALUE"""),1359.76)</f>
        <v>1359.76</v>
      </c>
      <c r="E268" s="2">
        <f>IFERROR(__xludf.DUMMYFUNCTION("""COMPUTED_VALUE"""),1382.88)</f>
        <v>1382.88</v>
      </c>
      <c r="F268" s="2">
        <f>IFERROR(__xludf.DUMMYFUNCTION("""COMPUTED_VALUE"""),1.60281E7)</f>
        <v>16028100</v>
      </c>
      <c r="G268" s="2">
        <f t="shared" si="1"/>
        <v>37</v>
      </c>
    </row>
    <row r="269" ht="15.75" customHeight="1">
      <c r="A269" s="1">
        <f>IFERROR(__xludf.DUMMYFUNCTION("""COMPUTED_VALUE"""),44242.625)</f>
        <v>44242.625</v>
      </c>
      <c r="B269" s="2">
        <f>IFERROR(__xludf.DUMMYFUNCTION("""COMPUTED_VALUE"""),1378.26)</f>
        <v>1378.26</v>
      </c>
      <c r="C269" s="2">
        <f>IFERROR(__xludf.DUMMYFUNCTION("""COMPUTED_VALUE"""),1493.88)</f>
        <v>1493.88</v>
      </c>
      <c r="D269" s="2">
        <f>IFERROR(__xludf.DUMMYFUNCTION("""COMPUTED_VALUE"""),1369.01)</f>
        <v>1369.01</v>
      </c>
      <c r="E269" s="2">
        <f>IFERROR(__xludf.DUMMYFUNCTION("""COMPUTED_VALUE"""),1429.13)</f>
        <v>1429.13</v>
      </c>
      <c r="F269" s="2">
        <f>IFERROR(__xludf.DUMMYFUNCTION("""COMPUTED_VALUE"""),5.74262E7)</f>
        <v>57426200</v>
      </c>
      <c r="G269" s="2">
        <f t="shared" si="1"/>
        <v>124.87</v>
      </c>
    </row>
    <row r="270" ht="15.75" customHeight="1">
      <c r="A270" s="1">
        <f>IFERROR(__xludf.DUMMYFUNCTION("""COMPUTED_VALUE"""),44243.625)</f>
        <v>44243.625</v>
      </c>
      <c r="B270" s="2">
        <f>IFERROR(__xludf.DUMMYFUNCTION("""COMPUTED_VALUE"""),1433.76)</f>
        <v>1433.76</v>
      </c>
      <c r="C270" s="2">
        <f>IFERROR(__xludf.DUMMYFUNCTION("""COMPUTED_VALUE"""),1480.01)</f>
        <v>1480.01</v>
      </c>
      <c r="D270" s="2">
        <f>IFERROR(__xludf.DUMMYFUNCTION("""COMPUTED_VALUE"""),1406.01)</f>
        <v>1406.01</v>
      </c>
      <c r="E270" s="2">
        <f>IFERROR(__xludf.DUMMYFUNCTION("""COMPUTED_VALUE"""),1410.63)</f>
        <v>1410.63</v>
      </c>
      <c r="F270" s="2">
        <f>IFERROR(__xludf.DUMMYFUNCTION("""COMPUTED_VALUE"""),5.04867E7)</f>
        <v>50486700</v>
      </c>
      <c r="G270" s="2">
        <f t="shared" si="1"/>
        <v>74</v>
      </c>
    </row>
    <row r="271" ht="15.75" customHeight="1">
      <c r="A271" s="1">
        <f>IFERROR(__xludf.DUMMYFUNCTION("""COMPUTED_VALUE"""),44244.625)</f>
        <v>44244.625</v>
      </c>
      <c r="B271" s="2">
        <f>IFERROR(__xludf.DUMMYFUNCTION("""COMPUTED_VALUE"""),1415.26)</f>
        <v>1415.26</v>
      </c>
      <c r="C271" s="2">
        <f>IFERROR(__xludf.DUMMYFUNCTION("""COMPUTED_VALUE"""),1433.76)</f>
        <v>1433.76</v>
      </c>
      <c r="D271" s="2">
        <f>IFERROR(__xludf.DUMMYFUNCTION("""COMPUTED_VALUE"""),1345.88)</f>
        <v>1345.88</v>
      </c>
      <c r="E271" s="2">
        <f>IFERROR(__xludf.DUMMYFUNCTION("""COMPUTED_VALUE"""),1355.13)</f>
        <v>1355.13</v>
      </c>
      <c r="F271" s="2">
        <f>IFERROR(__xludf.DUMMYFUNCTION("""COMPUTED_VALUE"""),2.84598E7)</f>
        <v>28459800</v>
      </c>
      <c r="G271" s="2">
        <f t="shared" si="1"/>
        <v>87.88</v>
      </c>
    </row>
    <row r="272" ht="15.75" customHeight="1">
      <c r="A272" s="1">
        <f>IFERROR(__xludf.DUMMYFUNCTION("""COMPUTED_VALUE"""),44245.625)</f>
        <v>44245.625</v>
      </c>
      <c r="B272" s="2">
        <f>IFERROR(__xludf.DUMMYFUNCTION("""COMPUTED_VALUE"""),1345.88)</f>
        <v>1345.88</v>
      </c>
      <c r="C272" s="2">
        <f>IFERROR(__xludf.DUMMYFUNCTION("""COMPUTED_VALUE"""),1382.88)</f>
        <v>1382.88</v>
      </c>
      <c r="D272" s="2">
        <f>IFERROR(__xludf.DUMMYFUNCTION("""COMPUTED_VALUE"""),1322.76)</f>
        <v>1322.76</v>
      </c>
      <c r="E272" s="2">
        <f>IFERROR(__xludf.DUMMYFUNCTION("""COMPUTED_VALUE"""),1322.76)</f>
        <v>1322.76</v>
      </c>
      <c r="F272" s="2">
        <f>IFERROR(__xludf.DUMMYFUNCTION("""COMPUTED_VALUE"""),1.80536E7)</f>
        <v>18053600</v>
      </c>
      <c r="G272" s="2">
        <f t="shared" si="1"/>
        <v>60.12</v>
      </c>
    </row>
    <row r="273" ht="15.75" customHeight="1">
      <c r="A273" s="1">
        <f>IFERROR(__xludf.DUMMYFUNCTION("""COMPUTED_VALUE"""),44246.625)</f>
        <v>44246.625</v>
      </c>
      <c r="B273" s="2">
        <f>IFERROR(__xludf.DUMMYFUNCTION("""COMPUTED_VALUE"""),1322.76)</f>
        <v>1322.76</v>
      </c>
      <c r="C273" s="2">
        <f>IFERROR(__xludf.DUMMYFUNCTION("""COMPUTED_VALUE"""),1327.38)</f>
        <v>1327.38</v>
      </c>
      <c r="D273" s="2">
        <f>IFERROR(__xludf.DUMMYFUNCTION("""COMPUTED_VALUE"""),1258.01)</f>
        <v>1258.01</v>
      </c>
      <c r="E273" s="2">
        <f>IFERROR(__xludf.DUMMYFUNCTION("""COMPUTED_VALUE"""),1313.51)</f>
        <v>1313.51</v>
      </c>
      <c r="F273" s="2">
        <f>IFERROR(__xludf.DUMMYFUNCTION("""COMPUTED_VALUE"""),1.5991E7)</f>
        <v>15991000</v>
      </c>
      <c r="G273" s="2">
        <f t="shared" si="1"/>
        <v>69.37</v>
      </c>
    </row>
    <row r="274" ht="15.75" customHeight="1">
      <c r="A274" s="1">
        <f>IFERROR(__xludf.DUMMYFUNCTION("""COMPUTED_VALUE"""),44249.625)</f>
        <v>44249.625</v>
      </c>
      <c r="B274" s="2">
        <f>IFERROR(__xludf.DUMMYFUNCTION("""COMPUTED_VALUE"""),1322.76)</f>
        <v>1322.76</v>
      </c>
      <c r="C274" s="2">
        <f>IFERROR(__xludf.DUMMYFUNCTION("""COMPUTED_VALUE"""),1355.13)</f>
        <v>1355.13</v>
      </c>
      <c r="D274" s="2">
        <f>IFERROR(__xludf.DUMMYFUNCTION("""COMPUTED_VALUE"""),1322.76)</f>
        <v>1322.76</v>
      </c>
      <c r="E274" s="2">
        <f>IFERROR(__xludf.DUMMYFUNCTION("""COMPUTED_VALUE"""),1332.01)</f>
        <v>1332.01</v>
      </c>
      <c r="F274" s="2">
        <f>IFERROR(__xludf.DUMMYFUNCTION("""COMPUTED_VALUE"""),1.9725E7)</f>
        <v>19725000</v>
      </c>
      <c r="G274" s="2">
        <f t="shared" si="1"/>
        <v>41.62</v>
      </c>
    </row>
    <row r="275" ht="15.75" customHeight="1">
      <c r="A275" s="1">
        <f>IFERROR(__xludf.DUMMYFUNCTION("""COMPUTED_VALUE"""),44250.66666666667)</f>
        <v>44250.66667</v>
      </c>
      <c r="B275" s="2">
        <f>IFERROR(__xludf.DUMMYFUNCTION("""COMPUTED_VALUE"""),1336.63)</f>
        <v>1336.63</v>
      </c>
      <c r="C275" s="2">
        <f>IFERROR(__xludf.DUMMYFUNCTION("""COMPUTED_VALUE"""),1355.13)</f>
        <v>1355.13</v>
      </c>
      <c r="D275" s="2">
        <f>IFERROR(__xludf.DUMMYFUNCTION("""COMPUTED_VALUE"""),1304.26)</f>
        <v>1304.26</v>
      </c>
      <c r="E275" s="2">
        <f>IFERROR(__xludf.DUMMYFUNCTION("""COMPUTED_VALUE"""),1322.76)</f>
        <v>1322.76</v>
      </c>
      <c r="F275" s="2">
        <f>IFERROR(__xludf.DUMMYFUNCTION("""COMPUTED_VALUE"""),1.23756E7)</f>
        <v>12375600</v>
      </c>
      <c r="G275" s="2">
        <f t="shared" si="1"/>
        <v>50.87</v>
      </c>
    </row>
    <row r="276" ht="15.75" customHeight="1">
      <c r="A276" s="1">
        <f>IFERROR(__xludf.DUMMYFUNCTION("""COMPUTED_VALUE"""),44251.625)</f>
        <v>44251.625</v>
      </c>
      <c r="B276" s="2">
        <f>IFERROR(__xludf.DUMMYFUNCTION("""COMPUTED_VALUE"""),1322.76)</f>
        <v>1322.76</v>
      </c>
      <c r="C276" s="2">
        <f>IFERROR(__xludf.DUMMYFUNCTION("""COMPUTED_VALUE"""),1341.26)</f>
        <v>1341.26</v>
      </c>
      <c r="D276" s="2">
        <f>IFERROR(__xludf.DUMMYFUNCTION("""COMPUTED_VALUE"""),1295.01)</f>
        <v>1295.01</v>
      </c>
      <c r="E276" s="2">
        <f>IFERROR(__xludf.DUMMYFUNCTION("""COMPUTED_VALUE"""),1308.88)</f>
        <v>1308.88</v>
      </c>
      <c r="F276" s="2">
        <f>IFERROR(__xludf.DUMMYFUNCTION("""COMPUTED_VALUE"""),9780600.0)</f>
        <v>9780600</v>
      </c>
      <c r="G276" s="2">
        <f t="shared" si="1"/>
        <v>46.25</v>
      </c>
    </row>
    <row r="277" ht="15.75" customHeight="1">
      <c r="A277" s="1">
        <f>IFERROR(__xludf.DUMMYFUNCTION("""COMPUTED_VALUE"""),44252.625)</f>
        <v>44252.625</v>
      </c>
      <c r="B277" s="2">
        <f>IFERROR(__xludf.DUMMYFUNCTION("""COMPUTED_VALUE"""),1318.13)</f>
        <v>1318.13</v>
      </c>
      <c r="C277" s="2">
        <f>IFERROR(__xludf.DUMMYFUNCTION("""COMPUTED_VALUE"""),1341.26)</f>
        <v>1341.26</v>
      </c>
      <c r="D277" s="2">
        <f>IFERROR(__xludf.DUMMYFUNCTION("""COMPUTED_VALUE"""),1299.63)</f>
        <v>1299.63</v>
      </c>
      <c r="E277" s="2">
        <f>IFERROR(__xludf.DUMMYFUNCTION("""COMPUTED_VALUE"""),1308.88)</f>
        <v>1308.88</v>
      </c>
      <c r="F277" s="2">
        <f>IFERROR(__xludf.DUMMYFUNCTION("""COMPUTED_VALUE"""),1.61176E7)</f>
        <v>16117600</v>
      </c>
      <c r="G277" s="2">
        <f t="shared" si="1"/>
        <v>41.63</v>
      </c>
    </row>
    <row r="278" ht="15.75" customHeight="1">
      <c r="A278" s="1">
        <f>IFERROR(__xludf.DUMMYFUNCTION("""COMPUTED_VALUE"""),44253.625)</f>
        <v>44253.625</v>
      </c>
      <c r="B278" s="2">
        <f>IFERROR(__xludf.DUMMYFUNCTION("""COMPUTED_VALUE"""),1295.01)</f>
        <v>1295.01</v>
      </c>
      <c r="C278" s="2">
        <f>IFERROR(__xludf.DUMMYFUNCTION("""COMPUTED_VALUE"""),1308.88)</f>
        <v>1308.88</v>
      </c>
      <c r="D278" s="2">
        <f>IFERROR(__xludf.DUMMYFUNCTION("""COMPUTED_VALUE"""),1253.38)</f>
        <v>1253.38</v>
      </c>
      <c r="E278" s="2">
        <f>IFERROR(__xludf.DUMMYFUNCTION("""COMPUTED_VALUE"""),1281.13)</f>
        <v>1281.13</v>
      </c>
      <c r="F278" s="2">
        <f>IFERROR(__xludf.DUMMYFUNCTION("""COMPUTED_VALUE"""),1.58117E7)</f>
        <v>15811700</v>
      </c>
      <c r="G278" s="2">
        <f t="shared" si="1"/>
        <v>55.5</v>
      </c>
    </row>
    <row r="279" ht="15.75" customHeight="1">
      <c r="A279" s="1">
        <f>IFERROR(__xludf.DUMMYFUNCTION("""COMPUTED_VALUE"""),44256.625)</f>
        <v>44256.625</v>
      </c>
      <c r="B279" s="2">
        <f>IFERROR(__xludf.DUMMYFUNCTION("""COMPUTED_VALUE"""),1285.76)</f>
        <v>1285.76</v>
      </c>
      <c r="C279" s="2">
        <f>IFERROR(__xludf.DUMMYFUNCTION("""COMPUTED_VALUE"""),1359.76)</f>
        <v>1359.76</v>
      </c>
      <c r="D279" s="2">
        <f>IFERROR(__xludf.DUMMYFUNCTION("""COMPUTED_VALUE"""),1271.88)</f>
        <v>1271.88</v>
      </c>
      <c r="E279" s="2">
        <f>IFERROR(__xludf.DUMMYFUNCTION("""COMPUTED_VALUE"""),1359.76)</f>
        <v>1359.76</v>
      </c>
      <c r="F279" s="2">
        <f>IFERROR(__xludf.DUMMYFUNCTION("""COMPUTED_VALUE"""),3.41463E7)</f>
        <v>34146300</v>
      </c>
      <c r="G279" s="2">
        <f t="shared" si="1"/>
        <v>87.88</v>
      </c>
    </row>
    <row r="280" ht="15.75" customHeight="1">
      <c r="A280" s="1">
        <f>IFERROR(__xludf.DUMMYFUNCTION("""COMPUTED_VALUE"""),44257.625)</f>
        <v>44257.625</v>
      </c>
      <c r="B280" s="2">
        <f>IFERROR(__xludf.DUMMYFUNCTION("""COMPUTED_VALUE"""),1359.76)</f>
        <v>1359.76</v>
      </c>
      <c r="C280" s="2">
        <f>IFERROR(__xludf.DUMMYFUNCTION("""COMPUTED_VALUE"""),1392.13)</f>
        <v>1392.13</v>
      </c>
      <c r="D280" s="2">
        <f>IFERROR(__xludf.DUMMYFUNCTION("""COMPUTED_VALUE"""),1327.38)</f>
        <v>1327.38</v>
      </c>
      <c r="E280" s="2">
        <f>IFERROR(__xludf.DUMMYFUNCTION("""COMPUTED_VALUE"""),1341.26)</f>
        <v>1341.26</v>
      </c>
      <c r="F280" s="2">
        <f>IFERROR(__xludf.DUMMYFUNCTION("""COMPUTED_VALUE"""),1.80212E7)</f>
        <v>18021200</v>
      </c>
      <c r="G280" s="2">
        <f t="shared" si="1"/>
        <v>64.75</v>
      </c>
    </row>
    <row r="281" ht="15.75" customHeight="1">
      <c r="A281" s="1">
        <f>IFERROR(__xludf.DUMMYFUNCTION("""COMPUTED_VALUE"""),44258.625)</f>
        <v>44258.625</v>
      </c>
      <c r="B281" s="2">
        <f>IFERROR(__xludf.DUMMYFUNCTION("""COMPUTED_VALUE"""),1336.63)</f>
        <v>1336.63</v>
      </c>
      <c r="C281" s="2">
        <f>IFERROR(__xludf.DUMMYFUNCTION("""COMPUTED_VALUE"""),1350.51)</f>
        <v>1350.51</v>
      </c>
      <c r="D281" s="2">
        <f>IFERROR(__xludf.DUMMYFUNCTION("""COMPUTED_VALUE"""),1295.01)</f>
        <v>1295.01</v>
      </c>
      <c r="E281" s="2">
        <f>IFERROR(__xludf.DUMMYFUNCTION("""COMPUTED_VALUE"""),1308.88)</f>
        <v>1308.88</v>
      </c>
      <c r="F281" s="2">
        <f>IFERROR(__xludf.DUMMYFUNCTION("""COMPUTED_VALUE"""),1.12404E7)</f>
        <v>11240400</v>
      </c>
      <c r="G281" s="2">
        <f t="shared" si="1"/>
        <v>55.5</v>
      </c>
    </row>
    <row r="282" ht="15.75" customHeight="1">
      <c r="A282" s="1">
        <f>IFERROR(__xludf.DUMMYFUNCTION("""COMPUTED_VALUE"""),44259.625)</f>
        <v>44259.625</v>
      </c>
      <c r="B282" s="2">
        <f>IFERROR(__xludf.DUMMYFUNCTION("""COMPUTED_VALUE"""),1295.01)</f>
        <v>1295.01</v>
      </c>
      <c r="C282" s="2">
        <f>IFERROR(__xludf.DUMMYFUNCTION("""COMPUTED_VALUE"""),1308.88)</f>
        <v>1308.88</v>
      </c>
      <c r="D282" s="2">
        <f>IFERROR(__xludf.DUMMYFUNCTION("""COMPUTED_VALUE"""),1267.26)</f>
        <v>1267.26</v>
      </c>
      <c r="E282" s="2">
        <f>IFERROR(__xludf.DUMMYFUNCTION("""COMPUTED_VALUE"""),1276.51)</f>
        <v>1276.51</v>
      </c>
      <c r="F282" s="2">
        <f>IFERROR(__xludf.DUMMYFUNCTION("""COMPUTED_VALUE"""),1.33076E7)</f>
        <v>13307600</v>
      </c>
      <c r="G282" s="2">
        <f t="shared" si="1"/>
        <v>41.62</v>
      </c>
    </row>
    <row r="283" ht="15.75" customHeight="1">
      <c r="A283" s="1">
        <f>IFERROR(__xludf.DUMMYFUNCTION("""COMPUTED_VALUE"""),44260.625)</f>
        <v>44260.625</v>
      </c>
      <c r="B283" s="2">
        <f>IFERROR(__xludf.DUMMYFUNCTION("""COMPUTED_VALUE"""),1258.01)</f>
        <v>1258.01</v>
      </c>
      <c r="C283" s="2">
        <f>IFERROR(__xludf.DUMMYFUNCTION("""COMPUTED_VALUE"""),1271.88)</f>
        <v>1271.88</v>
      </c>
      <c r="D283" s="2">
        <f>IFERROR(__xludf.DUMMYFUNCTION("""COMPUTED_VALUE"""),1207.13)</f>
        <v>1207.13</v>
      </c>
      <c r="E283" s="2">
        <f>IFERROR(__xludf.DUMMYFUNCTION("""COMPUTED_VALUE"""),1221.01)</f>
        <v>1221.01</v>
      </c>
      <c r="F283" s="2">
        <f>IFERROR(__xludf.DUMMYFUNCTION("""COMPUTED_VALUE"""),3.1736E7)</f>
        <v>31736000</v>
      </c>
      <c r="G283" s="2">
        <f t="shared" si="1"/>
        <v>69.38</v>
      </c>
    </row>
    <row r="284" ht="15.75" customHeight="1">
      <c r="A284" s="1">
        <f>IFERROR(__xludf.DUMMYFUNCTION("""COMPUTED_VALUE"""),44263.66666666667)</f>
        <v>44263.66667</v>
      </c>
      <c r="B284" s="2">
        <f>IFERROR(__xludf.DUMMYFUNCTION("""COMPUTED_VALUE"""),1234.88)</f>
        <v>1234.88</v>
      </c>
      <c r="C284" s="2">
        <f>IFERROR(__xludf.DUMMYFUNCTION("""COMPUTED_VALUE"""),1253.38)</f>
        <v>1253.38</v>
      </c>
      <c r="D284" s="2">
        <f>IFERROR(__xludf.DUMMYFUNCTION("""COMPUTED_VALUE"""),1202.51)</f>
        <v>1202.51</v>
      </c>
      <c r="E284" s="2">
        <f>IFERROR(__xludf.DUMMYFUNCTION("""COMPUTED_VALUE"""),1216.38)</f>
        <v>1216.38</v>
      </c>
      <c r="F284" s="2">
        <f>IFERROR(__xludf.DUMMYFUNCTION("""COMPUTED_VALUE"""),1.131E7)</f>
        <v>11310000</v>
      </c>
      <c r="G284" s="2">
        <f t="shared" si="1"/>
        <v>50.87</v>
      </c>
    </row>
    <row r="285" ht="15.75" customHeight="1">
      <c r="A285" s="1">
        <f>IFERROR(__xludf.DUMMYFUNCTION("""COMPUTED_VALUE"""),44264.625)</f>
        <v>44264.625</v>
      </c>
      <c r="B285" s="2">
        <f>IFERROR(__xludf.DUMMYFUNCTION("""COMPUTED_VALUE"""),1216.38)</f>
        <v>1216.38</v>
      </c>
      <c r="C285" s="2">
        <f>IFERROR(__xludf.DUMMYFUNCTION("""COMPUTED_VALUE"""),1258.01)</f>
        <v>1258.01</v>
      </c>
      <c r="D285" s="2">
        <f>IFERROR(__xludf.DUMMYFUNCTION("""COMPUTED_VALUE"""),1193.26)</f>
        <v>1193.26</v>
      </c>
      <c r="E285" s="2">
        <f>IFERROR(__xludf.DUMMYFUNCTION("""COMPUTED_VALUE"""),1207.13)</f>
        <v>1207.13</v>
      </c>
      <c r="F285" s="2">
        <f>IFERROR(__xludf.DUMMYFUNCTION("""COMPUTED_VALUE"""),1.45076E7)</f>
        <v>14507600</v>
      </c>
      <c r="G285" s="2">
        <f t="shared" si="1"/>
        <v>64.75</v>
      </c>
    </row>
    <row r="286" ht="15.75" customHeight="1">
      <c r="A286" s="1">
        <f>IFERROR(__xludf.DUMMYFUNCTION("""COMPUTED_VALUE"""),44265.625)</f>
        <v>44265.625</v>
      </c>
      <c r="B286" s="2">
        <f>IFERROR(__xludf.DUMMYFUNCTION("""COMPUTED_VALUE"""),1207.13)</f>
        <v>1207.13</v>
      </c>
      <c r="C286" s="2">
        <f>IFERROR(__xludf.DUMMYFUNCTION("""COMPUTED_VALUE"""),1230.26)</f>
        <v>1230.26</v>
      </c>
      <c r="D286" s="2">
        <f>IFERROR(__xludf.DUMMYFUNCTION("""COMPUTED_VALUE"""),1160.88)</f>
        <v>1160.88</v>
      </c>
      <c r="E286" s="2">
        <f>IFERROR(__xludf.DUMMYFUNCTION("""COMPUTED_VALUE"""),1174.76)</f>
        <v>1174.76</v>
      </c>
      <c r="F286" s="2">
        <f>IFERROR(__xludf.DUMMYFUNCTION("""COMPUTED_VALUE"""),1.26243E7)</f>
        <v>12624300</v>
      </c>
      <c r="G286" s="2">
        <f t="shared" si="1"/>
        <v>69.38</v>
      </c>
    </row>
    <row r="287" ht="15.75" customHeight="1">
      <c r="A287" s="1">
        <f>IFERROR(__xludf.DUMMYFUNCTION("""COMPUTED_VALUE"""),44267.625)</f>
        <v>44267.625</v>
      </c>
      <c r="B287" s="2">
        <f>IFERROR(__xludf.DUMMYFUNCTION("""COMPUTED_VALUE"""),1179.38)</f>
        <v>1179.38</v>
      </c>
      <c r="C287" s="2">
        <f>IFERROR(__xludf.DUMMYFUNCTION("""COMPUTED_VALUE"""),1225.63)</f>
        <v>1225.63</v>
      </c>
      <c r="D287" s="2">
        <f>IFERROR(__xludf.DUMMYFUNCTION("""COMPUTED_VALUE"""),1179.38)</f>
        <v>1179.38</v>
      </c>
      <c r="E287" s="2">
        <f>IFERROR(__xludf.DUMMYFUNCTION("""COMPUTED_VALUE"""),1202.51)</f>
        <v>1202.51</v>
      </c>
      <c r="F287" s="2">
        <f>IFERROR(__xludf.DUMMYFUNCTION("""COMPUTED_VALUE"""),1.86083E7)</f>
        <v>18608300</v>
      </c>
      <c r="G287" s="2">
        <f t="shared" si="1"/>
        <v>50.87</v>
      </c>
    </row>
    <row r="288" ht="15.75" customHeight="1">
      <c r="A288" s="1">
        <f>IFERROR(__xludf.DUMMYFUNCTION("""COMPUTED_VALUE"""),44270.625)</f>
        <v>44270.625</v>
      </c>
      <c r="B288" s="2">
        <f>IFERROR(__xludf.DUMMYFUNCTION("""COMPUTED_VALUE"""),1211.76)</f>
        <v>1211.76</v>
      </c>
      <c r="C288" s="2">
        <f>IFERROR(__xludf.DUMMYFUNCTION("""COMPUTED_VALUE"""),1248.76)</f>
        <v>1248.76</v>
      </c>
      <c r="D288" s="2">
        <f>IFERROR(__xludf.DUMMYFUNCTION("""COMPUTED_VALUE"""),1207.13)</f>
        <v>1207.13</v>
      </c>
      <c r="E288" s="2">
        <f>IFERROR(__xludf.DUMMYFUNCTION("""COMPUTED_VALUE"""),1216.38)</f>
        <v>1216.38</v>
      </c>
      <c r="F288" s="2">
        <f>IFERROR(__xludf.DUMMYFUNCTION("""COMPUTED_VALUE"""),1.73156E7)</f>
        <v>17315600</v>
      </c>
      <c r="G288" s="2">
        <f t="shared" si="1"/>
        <v>46.25</v>
      </c>
    </row>
    <row r="289" ht="15.75" customHeight="1">
      <c r="A289" s="1">
        <f>IFERROR(__xludf.DUMMYFUNCTION("""COMPUTED_VALUE"""),44271.625)</f>
        <v>44271.625</v>
      </c>
      <c r="B289" s="2">
        <f>IFERROR(__xludf.DUMMYFUNCTION("""COMPUTED_VALUE"""),1221.01)</f>
        <v>1221.01</v>
      </c>
      <c r="C289" s="2">
        <f>IFERROR(__xludf.DUMMYFUNCTION("""COMPUTED_VALUE"""),1234.88)</f>
        <v>1234.88</v>
      </c>
      <c r="D289" s="2">
        <f>IFERROR(__xludf.DUMMYFUNCTION("""COMPUTED_VALUE"""),1184.01)</f>
        <v>1184.01</v>
      </c>
      <c r="E289" s="2">
        <f>IFERROR(__xludf.DUMMYFUNCTION("""COMPUTED_VALUE"""),1188.63)</f>
        <v>1188.63</v>
      </c>
      <c r="F289" s="2">
        <f>IFERROR(__xludf.DUMMYFUNCTION("""COMPUTED_VALUE"""),1.47775E7)</f>
        <v>14777500</v>
      </c>
      <c r="G289" s="2">
        <f t="shared" si="1"/>
        <v>50.87</v>
      </c>
    </row>
    <row r="290" ht="15.75" customHeight="1">
      <c r="A290" s="1">
        <f>IFERROR(__xludf.DUMMYFUNCTION("""COMPUTED_VALUE"""),44272.625)</f>
        <v>44272.625</v>
      </c>
      <c r="B290" s="2">
        <f>IFERROR(__xludf.DUMMYFUNCTION("""COMPUTED_VALUE"""),1193.26)</f>
        <v>1193.26</v>
      </c>
      <c r="C290" s="2">
        <f>IFERROR(__xludf.DUMMYFUNCTION("""COMPUTED_VALUE"""),1244.13)</f>
        <v>1244.13</v>
      </c>
      <c r="D290" s="2">
        <f>IFERROR(__xludf.DUMMYFUNCTION("""COMPUTED_VALUE"""),1193.26)</f>
        <v>1193.26</v>
      </c>
      <c r="E290" s="2">
        <f>IFERROR(__xludf.DUMMYFUNCTION("""COMPUTED_VALUE"""),1230.26)</f>
        <v>1230.26</v>
      </c>
      <c r="F290" s="2">
        <f>IFERROR(__xludf.DUMMYFUNCTION("""COMPUTED_VALUE"""),2.86901E7)</f>
        <v>28690100</v>
      </c>
      <c r="G290" s="2">
        <f t="shared" si="1"/>
        <v>55.5</v>
      </c>
    </row>
    <row r="291" ht="15.75" customHeight="1">
      <c r="A291" s="1">
        <f>IFERROR(__xludf.DUMMYFUNCTION("""COMPUTED_VALUE"""),44273.625)</f>
        <v>44273.625</v>
      </c>
      <c r="B291" s="2">
        <f>IFERROR(__xludf.DUMMYFUNCTION("""COMPUTED_VALUE"""),1239.51)</f>
        <v>1239.51</v>
      </c>
      <c r="C291" s="2">
        <f>IFERROR(__xludf.DUMMYFUNCTION("""COMPUTED_VALUE"""),1248.76)</f>
        <v>1248.76</v>
      </c>
      <c r="D291" s="2">
        <f>IFERROR(__xludf.DUMMYFUNCTION("""COMPUTED_VALUE"""),1216.38)</f>
        <v>1216.38</v>
      </c>
      <c r="E291" s="2">
        <f>IFERROR(__xludf.DUMMYFUNCTION("""COMPUTED_VALUE"""),1216.38)</f>
        <v>1216.38</v>
      </c>
      <c r="F291" s="2">
        <f>IFERROR(__xludf.DUMMYFUNCTION("""COMPUTED_VALUE"""),9873500.0)</f>
        <v>9873500</v>
      </c>
      <c r="G291" s="2">
        <f t="shared" si="1"/>
        <v>32.38</v>
      </c>
    </row>
    <row r="292" ht="15.75" customHeight="1">
      <c r="A292" s="1">
        <f>IFERROR(__xludf.DUMMYFUNCTION("""COMPUTED_VALUE"""),44274.625)</f>
        <v>44274.625</v>
      </c>
      <c r="B292" s="2">
        <f>IFERROR(__xludf.DUMMYFUNCTION("""COMPUTED_VALUE"""),1211.76)</f>
        <v>1211.76</v>
      </c>
      <c r="C292" s="2">
        <f>IFERROR(__xludf.DUMMYFUNCTION("""COMPUTED_VALUE"""),1225.63)</f>
        <v>1225.63</v>
      </c>
      <c r="D292" s="2">
        <f>IFERROR(__xludf.DUMMYFUNCTION("""COMPUTED_VALUE"""),1202.51)</f>
        <v>1202.51</v>
      </c>
      <c r="E292" s="2">
        <f>IFERROR(__xludf.DUMMYFUNCTION("""COMPUTED_VALUE"""),1221.01)</f>
        <v>1221.01</v>
      </c>
      <c r="F292" s="2">
        <f>IFERROR(__xludf.DUMMYFUNCTION("""COMPUTED_VALUE"""),5751700.0)</f>
        <v>5751700</v>
      </c>
      <c r="G292" s="2">
        <f t="shared" si="1"/>
        <v>23.12</v>
      </c>
    </row>
    <row r="293" ht="15.75" customHeight="1">
      <c r="A293" s="1">
        <f>IFERROR(__xludf.DUMMYFUNCTION("""COMPUTED_VALUE"""),44277.625)</f>
        <v>44277.625</v>
      </c>
      <c r="B293" s="2">
        <f>IFERROR(__xludf.DUMMYFUNCTION("""COMPUTED_VALUE"""),1216.38)</f>
        <v>1216.38</v>
      </c>
      <c r="C293" s="2">
        <f>IFERROR(__xludf.DUMMYFUNCTION("""COMPUTED_VALUE"""),1230.26)</f>
        <v>1230.26</v>
      </c>
      <c r="D293" s="2">
        <f>IFERROR(__xludf.DUMMYFUNCTION("""COMPUTED_VALUE"""),1202.51)</f>
        <v>1202.51</v>
      </c>
      <c r="E293" s="2">
        <f>IFERROR(__xludf.DUMMYFUNCTION("""COMPUTED_VALUE"""),1211.76)</f>
        <v>1211.76</v>
      </c>
      <c r="F293" s="2">
        <f>IFERROR(__xludf.DUMMYFUNCTION("""COMPUTED_VALUE"""),6433100.0)</f>
        <v>6433100</v>
      </c>
      <c r="G293" s="2">
        <f t="shared" si="1"/>
        <v>27.75</v>
      </c>
    </row>
    <row r="294" ht="15.75" customHeight="1">
      <c r="A294" s="1">
        <f>IFERROR(__xludf.DUMMYFUNCTION("""COMPUTED_VALUE"""),44278.625)</f>
        <v>44278.625</v>
      </c>
      <c r="B294" s="2">
        <f>IFERROR(__xludf.DUMMYFUNCTION("""COMPUTED_VALUE"""),1216.38)</f>
        <v>1216.38</v>
      </c>
      <c r="C294" s="2">
        <f>IFERROR(__xludf.DUMMYFUNCTION("""COMPUTED_VALUE"""),1221.01)</f>
        <v>1221.01</v>
      </c>
      <c r="D294" s="2">
        <f>IFERROR(__xludf.DUMMYFUNCTION("""COMPUTED_VALUE"""),1151.63)</f>
        <v>1151.63</v>
      </c>
      <c r="E294" s="2">
        <f>IFERROR(__xludf.DUMMYFUNCTION("""COMPUTED_VALUE"""),1151.63)</f>
        <v>1151.63</v>
      </c>
      <c r="F294" s="2">
        <f>IFERROR(__xludf.DUMMYFUNCTION("""COMPUTED_VALUE"""),1.85205E7)</f>
        <v>18520500</v>
      </c>
      <c r="G294" s="2">
        <f t="shared" si="1"/>
        <v>69.38</v>
      </c>
    </row>
    <row r="295" ht="15.75" customHeight="1">
      <c r="A295" s="1">
        <f>IFERROR(__xludf.DUMMYFUNCTION("""COMPUTED_VALUE"""),44279.625)</f>
        <v>44279.625</v>
      </c>
      <c r="B295" s="2">
        <f>IFERROR(__xludf.DUMMYFUNCTION("""COMPUTED_VALUE"""),1165.51)</f>
        <v>1165.51</v>
      </c>
      <c r="C295" s="2">
        <f>IFERROR(__xludf.DUMMYFUNCTION("""COMPUTED_VALUE"""),1179.38)</f>
        <v>1179.38</v>
      </c>
      <c r="D295" s="2">
        <f>IFERROR(__xludf.DUMMYFUNCTION("""COMPUTED_VALUE"""),1133.13)</f>
        <v>1133.13</v>
      </c>
      <c r="E295" s="2">
        <f>IFERROR(__xludf.DUMMYFUNCTION("""COMPUTED_VALUE"""),1142.38)</f>
        <v>1142.38</v>
      </c>
      <c r="F295" s="2">
        <f>IFERROR(__xludf.DUMMYFUNCTION("""COMPUTED_VALUE"""),1.41994E7)</f>
        <v>14199400</v>
      </c>
      <c r="G295" s="2">
        <f t="shared" si="1"/>
        <v>46.25</v>
      </c>
    </row>
    <row r="296" ht="15.75" customHeight="1">
      <c r="A296" s="1">
        <f>IFERROR(__xludf.DUMMYFUNCTION("""COMPUTED_VALUE"""),44280.625)</f>
        <v>44280.625</v>
      </c>
      <c r="B296" s="2">
        <f>IFERROR(__xludf.DUMMYFUNCTION("""COMPUTED_VALUE"""),1142.38)</f>
        <v>1142.38</v>
      </c>
      <c r="C296" s="2">
        <f>IFERROR(__xludf.DUMMYFUNCTION("""COMPUTED_VALUE"""),1156.26)</f>
        <v>1156.26</v>
      </c>
      <c r="D296" s="2">
        <f>IFERROR(__xludf.DUMMYFUNCTION("""COMPUTED_VALUE"""),1096.13)</f>
        <v>1096.13</v>
      </c>
      <c r="E296" s="2">
        <f>IFERROR(__xludf.DUMMYFUNCTION("""COMPUTED_VALUE"""),1110.01)</f>
        <v>1110.01</v>
      </c>
      <c r="F296" s="2">
        <f>IFERROR(__xludf.DUMMYFUNCTION("""COMPUTED_VALUE"""),1.5625E7)</f>
        <v>15625000</v>
      </c>
      <c r="G296" s="2">
        <f t="shared" si="1"/>
        <v>60.13</v>
      </c>
    </row>
    <row r="297" ht="15.75" customHeight="1">
      <c r="A297" s="1">
        <f>IFERROR(__xludf.DUMMYFUNCTION("""COMPUTED_VALUE"""),44281.625)</f>
        <v>44281.625</v>
      </c>
      <c r="B297" s="2">
        <f>IFERROR(__xludf.DUMMYFUNCTION("""COMPUTED_VALUE"""),1119.26)</f>
        <v>1119.26</v>
      </c>
      <c r="C297" s="2">
        <f>IFERROR(__xludf.DUMMYFUNCTION("""COMPUTED_VALUE"""),1142.38)</f>
        <v>1142.38</v>
      </c>
      <c r="D297" s="2">
        <f>IFERROR(__xludf.DUMMYFUNCTION("""COMPUTED_VALUE"""),1105.38)</f>
        <v>1105.38</v>
      </c>
      <c r="E297" s="2">
        <f>IFERROR(__xludf.DUMMYFUNCTION("""COMPUTED_VALUE"""),1128.51)</f>
        <v>1128.51</v>
      </c>
      <c r="F297" s="2">
        <f>IFERROR(__xludf.DUMMYFUNCTION("""COMPUTED_VALUE"""),1.01984E7)</f>
        <v>10198400</v>
      </c>
      <c r="G297" s="2">
        <f t="shared" si="1"/>
        <v>37</v>
      </c>
    </row>
    <row r="298" ht="15.75" customHeight="1">
      <c r="A298" s="1">
        <f>IFERROR(__xludf.DUMMYFUNCTION("""COMPUTED_VALUE"""),44284.625)</f>
        <v>44284.625</v>
      </c>
      <c r="B298" s="2">
        <f>IFERROR(__xludf.DUMMYFUNCTION("""COMPUTED_VALUE"""),1133.13)</f>
        <v>1133.13</v>
      </c>
      <c r="C298" s="2">
        <f>IFERROR(__xludf.DUMMYFUNCTION("""COMPUTED_VALUE"""),1142.38)</f>
        <v>1142.38</v>
      </c>
      <c r="D298" s="2">
        <f>IFERROR(__xludf.DUMMYFUNCTION("""COMPUTED_VALUE"""),1091.51)</f>
        <v>1091.51</v>
      </c>
      <c r="E298" s="2">
        <f>IFERROR(__xludf.DUMMYFUNCTION("""COMPUTED_VALUE"""),1091.51)</f>
        <v>1091.51</v>
      </c>
      <c r="F298" s="2">
        <f>IFERROR(__xludf.DUMMYFUNCTION("""COMPUTED_VALUE"""),1.03122E7)</f>
        <v>10312200</v>
      </c>
      <c r="G298" s="2">
        <f t="shared" si="1"/>
        <v>50.87</v>
      </c>
    </row>
    <row r="299" ht="15.75" customHeight="1">
      <c r="A299" s="1">
        <f>IFERROR(__xludf.DUMMYFUNCTION("""COMPUTED_VALUE"""),44285.625)</f>
        <v>44285.625</v>
      </c>
      <c r="B299" s="2">
        <f>IFERROR(__xludf.DUMMYFUNCTION("""COMPUTED_VALUE"""),1091.51)</f>
        <v>1091.51</v>
      </c>
      <c r="C299" s="2">
        <f>IFERROR(__xludf.DUMMYFUNCTION("""COMPUTED_VALUE"""),1091.51)</f>
        <v>1091.51</v>
      </c>
      <c r="D299" s="2">
        <f>IFERROR(__xludf.DUMMYFUNCTION("""COMPUTED_VALUE"""),1017.51)</f>
        <v>1017.51</v>
      </c>
      <c r="E299" s="2">
        <f>IFERROR(__xludf.DUMMYFUNCTION("""COMPUTED_VALUE"""),1022.13)</f>
        <v>1022.13</v>
      </c>
      <c r="F299" s="2">
        <f>IFERROR(__xludf.DUMMYFUNCTION("""COMPUTED_VALUE"""),2.81579E7)</f>
        <v>28157900</v>
      </c>
      <c r="G299" s="2">
        <f t="shared" si="1"/>
        <v>74</v>
      </c>
    </row>
    <row r="300" ht="15.75" customHeight="1">
      <c r="A300" s="1">
        <f>IFERROR(__xludf.DUMMYFUNCTION("""COMPUTED_VALUE"""),44286.625)</f>
        <v>44286.625</v>
      </c>
      <c r="B300" s="2">
        <f>IFERROR(__xludf.DUMMYFUNCTION("""COMPUTED_VALUE"""),1017.51)</f>
        <v>1017.51</v>
      </c>
      <c r="C300" s="2">
        <f>IFERROR(__xludf.DUMMYFUNCTION("""COMPUTED_VALUE"""),1091.51)</f>
        <v>1091.51</v>
      </c>
      <c r="D300" s="2">
        <f>IFERROR(__xludf.DUMMYFUNCTION("""COMPUTED_VALUE"""),975.88)</f>
        <v>975.88</v>
      </c>
      <c r="E300" s="2">
        <f>IFERROR(__xludf.DUMMYFUNCTION("""COMPUTED_VALUE"""),1012.88)</f>
        <v>1012.88</v>
      </c>
      <c r="F300" s="2">
        <f>IFERROR(__xludf.DUMMYFUNCTION("""COMPUTED_VALUE"""),2.76541E7)</f>
        <v>27654100</v>
      </c>
      <c r="G300" s="2">
        <f t="shared" si="1"/>
        <v>115.63</v>
      </c>
    </row>
    <row r="301" ht="15.75" customHeight="1">
      <c r="A301" s="1">
        <f>IFERROR(__xludf.DUMMYFUNCTION("""COMPUTED_VALUE"""),44287.625)</f>
        <v>44287.625</v>
      </c>
      <c r="B301" s="2">
        <f>IFERROR(__xludf.DUMMYFUNCTION("""COMPUTED_VALUE"""),1012.88)</f>
        <v>1012.88</v>
      </c>
      <c r="C301" s="2">
        <f>IFERROR(__xludf.DUMMYFUNCTION("""COMPUTED_VALUE"""),1040.63)</f>
        <v>1040.63</v>
      </c>
      <c r="D301" s="2">
        <f>IFERROR(__xludf.DUMMYFUNCTION("""COMPUTED_VALUE"""),1003.63)</f>
        <v>1003.63</v>
      </c>
      <c r="E301" s="2">
        <f>IFERROR(__xludf.DUMMYFUNCTION("""COMPUTED_VALUE"""),1036.01)</f>
        <v>1036.01</v>
      </c>
      <c r="F301" s="2">
        <f>IFERROR(__xludf.DUMMYFUNCTION("""COMPUTED_VALUE"""),1.1418E7)</f>
        <v>11418000</v>
      </c>
      <c r="G301" s="2">
        <f t="shared" si="1"/>
        <v>37</v>
      </c>
    </row>
    <row r="302" ht="15.75" customHeight="1">
      <c r="A302" s="1">
        <f>IFERROR(__xludf.DUMMYFUNCTION("""COMPUTED_VALUE"""),44291.625)</f>
        <v>44291.625</v>
      </c>
      <c r="B302" s="2">
        <f>IFERROR(__xludf.DUMMYFUNCTION("""COMPUTED_VALUE"""),1040.63)</f>
        <v>1040.63</v>
      </c>
      <c r="C302" s="2">
        <f>IFERROR(__xludf.DUMMYFUNCTION("""COMPUTED_VALUE"""),1073.01)</f>
        <v>1073.01</v>
      </c>
      <c r="D302" s="2">
        <f>IFERROR(__xludf.DUMMYFUNCTION("""COMPUTED_VALUE"""),966.63)</f>
        <v>966.63</v>
      </c>
      <c r="E302" s="2">
        <f>IFERROR(__xludf.DUMMYFUNCTION("""COMPUTED_VALUE"""),966.63)</f>
        <v>966.63</v>
      </c>
      <c r="F302" s="2">
        <f>IFERROR(__xludf.DUMMYFUNCTION("""COMPUTED_VALUE"""),1.90876E7)</f>
        <v>19087600</v>
      </c>
      <c r="G302" s="2">
        <f t="shared" si="1"/>
        <v>106.38</v>
      </c>
    </row>
    <row r="303" ht="15.75" customHeight="1">
      <c r="A303" s="1">
        <f>IFERROR(__xludf.DUMMYFUNCTION("""COMPUTED_VALUE"""),44292.625)</f>
        <v>44292.625</v>
      </c>
      <c r="B303" s="2">
        <f>IFERROR(__xludf.DUMMYFUNCTION("""COMPUTED_VALUE"""),966.63)</f>
        <v>966.63</v>
      </c>
      <c r="C303" s="2">
        <f>IFERROR(__xludf.DUMMYFUNCTION("""COMPUTED_VALUE"""),1031.38)</f>
        <v>1031.38</v>
      </c>
      <c r="D303" s="2">
        <f>IFERROR(__xludf.DUMMYFUNCTION("""COMPUTED_VALUE"""),911.13)</f>
        <v>911.13</v>
      </c>
      <c r="E303" s="2">
        <f>IFERROR(__xludf.DUMMYFUNCTION("""COMPUTED_VALUE"""),1026.76)</f>
        <v>1026.76</v>
      </c>
      <c r="F303" s="2">
        <f>IFERROR(__xludf.DUMMYFUNCTION("""COMPUTED_VALUE"""),2.5293E7)</f>
        <v>25293000</v>
      </c>
      <c r="G303" s="2">
        <f t="shared" si="1"/>
        <v>120.25</v>
      </c>
    </row>
    <row r="304" ht="15.75" customHeight="1">
      <c r="A304" s="1">
        <f>IFERROR(__xludf.DUMMYFUNCTION("""COMPUTED_VALUE"""),44293.625)</f>
        <v>44293.625</v>
      </c>
      <c r="B304" s="2">
        <f>IFERROR(__xludf.DUMMYFUNCTION("""COMPUTED_VALUE"""),1026.76)</f>
        <v>1026.76</v>
      </c>
      <c r="C304" s="2">
        <f>IFERROR(__xludf.DUMMYFUNCTION("""COMPUTED_VALUE"""),1031.38)</f>
        <v>1031.38</v>
      </c>
      <c r="D304" s="2">
        <f>IFERROR(__xludf.DUMMYFUNCTION("""COMPUTED_VALUE"""),971.26)</f>
        <v>971.26</v>
      </c>
      <c r="E304" s="2">
        <f>IFERROR(__xludf.DUMMYFUNCTION("""COMPUTED_VALUE"""),971.26)</f>
        <v>971.26</v>
      </c>
      <c r="F304" s="2">
        <f>IFERROR(__xludf.DUMMYFUNCTION("""COMPUTED_VALUE"""),1.32097E7)</f>
        <v>13209700</v>
      </c>
      <c r="G304" s="2">
        <f t="shared" si="1"/>
        <v>60.12</v>
      </c>
    </row>
    <row r="305" ht="15.75" customHeight="1">
      <c r="A305" s="1">
        <f>IFERROR(__xludf.DUMMYFUNCTION("""COMPUTED_VALUE"""),44294.625)</f>
        <v>44294.625</v>
      </c>
      <c r="B305" s="2">
        <f>IFERROR(__xludf.DUMMYFUNCTION("""COMPUTED_VALUE"""),971.26)</f>
        <v>971.26</v>
      </c>
      <c r="C305" s="2">
        <f>IFERROR(__xludf.DUMMYFUNCTION("""COMPUTED_VALUE"""),1003.63)</f>
        <v>1003.63</v>
      </c>
      <c r="D305" s="2">
        <f>IFERROR(__xludf.DUMMYFUNCTION("""COMPUTED_VALUE"""),966.63)</f>
        <v>966.63</v>
      </c>
      <c r="E305" s="2">
        <f>IFERROR(__xludf.DUMMYFUNCTION("""COMPUTED_VALUE"""),994.38)</f>
        <v>994.38</v>
      </c>
      <c r="F305" s="2">
        <f>IFERROR(__xludf.DUMMYFUNCTION("""COMPUTED_VALUE"""),9333100.0)</f>
        <v>9333100</v>
      </c>
      <c r="G305" s="2">
        <f t="shared" si="1"/>
        <v>37</v>
      </c>
    </row>
    <row r="306" ht="15.75" customHeight="1">
      <c r="A306" s="1">
        <f>IFERROR(__xludf.DUMMYFUNCTION("""COMPUTED_VALUE"""),44295.625)</f>
        <v>44295.625</v>
      </c>
      <c r="B306" s="2">
        <f>IFERROR(__xludf.DUMMYFUNCTION("""COMPUTED_VALUE"""),989.76)</f>
        <v>989.76</v>
      </c>
      <c r="C306" s="2">
        <f>IFERROR(__xludf.DUMMYFUNCTION("""COMPUTED_VALUE"""),1059.13)</f>
        <v>1059.13</v>
      </c>
      <c r="D306" s="2">
        <f>IFERROR(__xludf.DUMMYFUNCTION("""COMPUTED_VALUE"""),985.13)</f>
        <v>985.13</v>
      </c>
      <c r="E306" s="2">
        <f>IFERROR(__xludf.DUMMYFUNCTION("""COMPUTED_VALUE"""),1031.38)</f>
        <v>1031.38</v>
      </c>
      <c r="F306" s="2">
        <f>IFERROR(__xludf.DUMMYFUNCTION("""COMPUTED_VALUE"""),1.70346E7)</f>
        <v>17034600</v>
      </c>
      <c r="G306" s="2">
        <f t="shared" si="1"/>
        <v>74</v>
      </c>
    </row>
    <row r="307" ht="15.75" customHeight="1">
      <c r="A307" s="1">
        <f>IFERROR(__xludf.DUMMYFUNCTION("""COMPUTED_VALUE"""),44298.625)</f>
        <v>44298.625</v>
      </c>
      <c r="B307" s="2">
        <f>IFERROR(__xludf.DUMMYFUNCTION("""COMPUTED_VALUE"""),1031.38)</f>
        <v>1031.38</v>
      </c>
      <c r="C307" s="2">
        <f>IFERROR(__xludf.DUMMYFUNCTION("""COMPUTED_VALUE"""),1036.01)</f>
        <v>1036.01</v>
      </c>
      <c r="D307" s="2">
        <f>IFERROR(__xludf.DUMMYFUNCTION("""COMPUTED_VALUE"""),980.51)</f>
        <v>980.51</v>
      </c>
      <c r="E307" s="2">
        <f>IFERROR(__xludf.DUMMYFUNCTION("""COMPUTED_VALUE"""),985.13)</f>
        <v>985.13</v>
      </c>
      <c r="F307" s="2">
        <f>IFERROR(__xludf.DUMMYFUNCTION("""COMPUTED_VALUE"""),1.21592E7)</f>
        <v>12159200</v>
      </c>
      <c r="G307" s="2">
        <f t="shared" si="1"/>
        <v>55.5</v>
      </c>
    </row>
    <row r="308" ht="15.75" customHeight="1">
      <c r="A308" s="1">
        <f>IFERROR(__xludf.DUMMYFUNCTION("""COMPUTED_VALUE"""),44299.625)</f>
        <v>44299.625</v>
      </c>
      <c r="B308" s="2">
        <f>IFERROR(__xludf.DUMMYFUNCTION("""COMPUTED_VALUE"""),985.13)</f>
        <v>985.13</v>
      </c>
      <c r="C308" s="2">
        <f>IFERROR(__xludf.DUMMYFUNCTION("""COMPUTED_VALUE"""),1026.76)</f>
        <v>1026.76</v>
      </c>
      <c r="D308" s="2">
        <f>IFERROR(__xludf.DUMMYFUNCTION("""COMPUTED_VALUE"""),929.63)</f>
        <v>929.63</v>
      </c>
      <c r="E308" s="2">
        <f>IFERROR(__xludf.DUMMYFUNCTION("""COMPUTED_VALUE"""),1017.51)</f>
        <v>1017.51</v>
      </c>
      <c r="F308" s="2">
        <f>IFERROR(__xludf.DUMMYFUNCTION("""COMPUTED_VALUE"""),1.75076E7)</f>
        <v>17507600</v>
      </c>
      <c r="G308" s="2">
        <f t="shared" si="1"/>
        <v>97.13</v>
      </c>
    </row>
    <row r="309" ht="15.75" customHeight="1">
      <c r="A309" s="1">
        <f>IFERROR(__xludf.DUMMYFUNCTION("""COMPUTED_VALUE"""),44300.625)</f>
        <v>44300.625</v>
      </c>
      <c r="B309" s="2">
        <f>IFERROR(__xludf.DUMMYFUNCTION("""COMPUTED_VALUE"""),1017.51)</f>
        <v>1017.51</v>
      </c>
      <c r="C309" s="2">
        <f>IFERROR(__xludf.DUMMYFUNCTION("""COMPUTED_VALUE"""),1045.26)</f>
        <v>1045.26</v>
      </c>
      <c r="D309" s="2">
        <f>IFERROR(__xludf.DUMMYFUNCTION("""COMPUTED_VALUE"""),999.01)</f>
        <v>999.01</v>
      </c>
      <c r="E309" s="2">
        <f>IFERROR(__xludf.DUMMYFUNCTION("""COMPUTED_VALUE"""),1026.76)</f>
        <v>1026.76</v>
      </c>
      <c r="F309" s="2">
        <f>IFERROR(__xludf.DUMMYFUNCTION("""COMPUTED_VALUE"""),1.48579E7)</f>
        <v>14857900</v>
      </c>
      <c r="G309" s="2">
        <f t="shared" si="1"/>
        <v>46.25</v>
      </c>
    </row>
    <row r="310" ht="15.75" customHeight="1">
      <c r="A310" s="1">
        <f>IFERROR(__xludf.DUMMYFUNCTION("""COMPUTED_VALUE"""),44301.625)</f>
        <v>44301.625</v>
      </c>
      <c r="B310" s="2">
        <f>IFERROR(__xludf.DUMMYFUNCTION("""COMPUTED_VALUE"""),1026.76)</f>
        <v>1026.76</v>
      </c>
      <c r="C310" s="2">
        <f>IFERROR(__xludf.DUMMYFUNCTION("""COMPUTED_VALUE"""),1045.26)</f>
        <v>1045.26</v>
      </c>
      <c r="D310" s="2">
        <f>IFERROR(__xludf.DUMMYFUNCTION("""COMPUTED_VALUE"""),1003.63)</f>
        <v>1003.63</v>
      </c>
      <c r="E310" s="2">
        <f>IFERROR(__xludf.DUMMYFUNCTION("""COMPUTED_VALUE"""),1003.63)</f>
        <v>1003.63</v>
      </c>
      <c r="F310" s="2">
        <f>IFERROR(__xludf.DUMMYFUNCTION("""COMPUTED_VALUE"""),1.09866E7)</f>
        <v>10986600</v>
      </c>
      <c r="G310" s="2">
        <f t="shared" si="1"/>
        <v>41.63</v>
      </c>
    </row>
    <row r="311" ht="15.75" customHeight="1">
      <c r="A311" s="1">
        <f>IFERROR(__xludf.DUMMYFUNCTION("""COMPUTED_VALUE"""),44302.625)</f>
        <v>44302.625</v>
      </c>
      <c r="B311" s="2">
        <f>IFERROR(__xludf.DUMMYFUNCTION("""COMPUTED_VALUE"""),1017.51)</f>
        <v>1017.51</v>
      </c>
      <c r="C311" s="2">
        <f>IFERROR(__xludf.DUMMYFUNCTION("""COMPUTED_VALUE"""),1022.13)</f>
        <v>1022.13</v>
      </c>
      <c r="D311" s="2">
        <f>IFERROR(__xludf.DUMMYFUNCTION("""COMPUTED_VALUE"""),985.13)</f>
        <v>985.13</v>
      </c>
      <c r="E311" s="2">
        <f>IFERROR(__xludf.DUMMYFUNCTION("""COMPUTED_VALUE"""),985.13)</f>
        <v>985.13</v>
      </c>
      <c r="F311" s="2">
        <f>IFERROR(__xludf.DUMMYFUNCTION("""COMPUTED_VALUE"""),5910900.0)</f>
        <v>5910900</v>
      </c>
      <c r="G311" s="2">
        <f t="shared" si="1"/>
        <v>37</v>
      </c>
    </row>
    <row r="312" ht="15.75" customHeight="1">
      <c r="A312" s="1">
        <f>IFERROR(__xludf.DUMMYFUNCTION("""COMPUTED_VALUE"""),44305.625)</f>
        <v>44305.625</v>
      </c>
      <c r="B312" s="2">
        <f>IFERROR(__xludf.DUMMYFUNCTION("""COMPUTED_VALUE"""),989.76)</f>
        <v>989.76</v>
      </c>
      <c r="C312" s="2">
        <f>IFERROR(__xludf.DUMMYFUNCTION("""COMPUTED_VALUE"""),1031.38)</f>
        <v>1031.38</v>
      </c>
      <c r="D312" s="2">
        <f>IFERROR(__xludf.DUMMYFUNCTION("""COMPUTED_VALUE"""),985.13)</f>
        <v>985.13</v>
      </c>
      <c r="E312" s="2">
        <f>IFERROR(__xludf.DUMMYFUNCTION("""COMPUTED_VALUE"""),1008.26)</f>
        <v>1008.26</v>
      </c>
      <c r="F312" s="2">
        <f>IFERROR(__xludf.DUMMYFUNCTION("""COMPUTED_VALUE"""),9201800.0)</f>
        <v>9201800</v>
      </c>
      <c r="G312" s="2">
        <f t="shared" si="1"/>
        <v>46.25</v>
      </c>
    </row>
    <row r="313" ht="15.75" customHeight="1">
      <c r="A313" s="1">
        <f>IFERROR(__xludf.DUMMYFUNCTION("""COMPUTED_VALUE"""),44306.625)</f>
        <v>44306.625</v>
      </c>
      <c r="B313" s="2">
        <f>IFERROR(__xludf.DUMMYFUNCTION("""COMPUTED_VALUE"""),1008.26)</f>
        <v>1008.26</v>
      </c>
      <c r="C313" s="2">
        <f>IFERROR(__xludf.DUMMYFUNCTION("""COMPUTED_VALUE"""),1017.51)</f>
        <v>1017.51</v>
      </c>
      <c r="D313" s="2">
        <f>IFERROR(__xludf.DUMMYFUNCTION("""COMPUTED_VALUE"""),994.38)</f>
        <v>994.38</v>
      </c>
      <c r="E313" s="2">
        <f>IFERROR(__xludf.DUMMYFUNCTION("""COMPUTED_VALUE"""),1003.63)</f>
        <v>1003.63</v>
      </c>
      <c r="F313" s="2">
        <f>IFERROR(__xludf.DUMMYFUNCTION("""COMPUTED_VALUE"""),2833600.0)</f>
        <v>2833600</v>
      </c>
      <c r="G313" s="2">
        <f t="shared" si="1"/>
        <v>23.13</v>
      </c>
    </row>
    <row r="314" ht="15.75" customHeight="1">
      <c r="A314" s="1">
        <f>IFERROR(__xludf.DUMMYFUNCTION("""COMPUTED_VALUE"""),44307.625)</f>
        <v>44307.625</v>
      </c>
      <c r="B314" s="2">
        <f>IFERROR(__xludf.DUMMYFUNCTION("""COMPUTED_VALUE"""),1003.63)</f>
        <v>1003.63</v>
      </c>
      <c r="C314" s="2">
        <f>IFERROR(__xludf.DUMMYFUNCTION("""COMPUTED_VALUE"""),1026.76)</f>
        <v>1026.76</v>
      </c>
      <c r="D314" s="2">
        <f>IFERROR(__xludf.DUMMYFUNCTION("""COMPUTED_VALUE"""),989.76)</f>
        <v>989.76</v>
      </c>
      <c r="E314" s="2">
        <f>IFERROR(__xludf.DUMMYFUNCTION("""COMPUTED_VALUE"""),1022.13)</f>
        <v>1022.13</v>
      </c>
      <c r="F314" s="2">
        <f>IFERROR(__xludf.DUMMYFUNCTION("""COMPUTED_VALUE"""),5915800.0)</f>
        <v>5915800</v>
      </c>
      <c r="G314" s="2">
        <f t="shared" si="1"/>
        <v>37</v>
      </c>
    </row>
    <row r="315" ht="15.75" customHeight="1">
      <c r="A315" s="1">
        <f>IFERROR(__xludf.DUMMYFUNCTION("""COMPUTED_VALUE"""),44308.625)</f>
        <v>44308.625</v>
      </c>
      <c r="B315" s="2">
        <f>IFERROR(__xludf.DUMMYFUNCTION("""COMPUTED_VALUE"""),1022.13)</f>
        <v>1022.13</v>
      </c>
      <c r="C315" s="2">
        <f>IFERROR(__xludf.DUMMYFUNCTION("""COMPUTED_VALUE"""),1040.63)</f>
        <v>1040.63</v>
      </c>
      <c r="D315" s="2">
        <f>IFERROR(__xludf.DUMMYFUNCTION("""COMPUTED_VALUE"""),1003.63)</f>
        <v>1003.63</v>
      </c>
      <c r="E315" s="2">
        <f>IFERROR(__xludf.DUMMYFUNCTION("""COMPUTED_VALUE"""),1017.51)</f>
        <v>1017.51</v>
      </c>
      <c r="F315" s="2">
        <f>IFERROR(__xludf.DUMMYFUNCTION("""COMPUTED_VALUE"""),4447000.0)</f>
        <v>4447000</v>
      </c>
      <c r="G315" s="2">
        <f t="shared" si="1"/>
        <v>37</v>
      </c>
    </row>
    <row r="316" ht="15.75" customHeight="1">
      <c r="A316" s="1">
        <f>IFERROR(__xludf.DUMMYFUNCTION("""COMPUTED_VALUE"""),44309.625)</f>
        <v>44309.625</v>
      </c>
      <c r="B316" s="2">
        <f>IFERROR(__xludf.DUMMYFUNCTION("""COMPUTED_VALUE"""),1026.76)</f>
        <v>1026.76</v>
      </c>
      <c r="C316" s="2">
        <f>IFERROR(__xludf.DUMMYFUNCTION("""COMPUTED_VALUE"""),1031.38)</f>
        <v>1031.38</v>
      </c>
      <c r="D316" s="2">
        <f>IFERROR(__xludf.DUMMYFUNCTION("""COMPUTED_VALUE"""),1008.26)</f>
        <v>1008.26</v>
      </c>
      <c r="E316" s="2">
        <f>IFERROR(__xludf.DUMMYFUNCTION("""COMPUTED_VALUE"""),1022.13)</f>
        <v>1022.13</v>
      </c>
      <c r="F316" s="2">
        <f>IFERROR(__xludf.DUMMYFUNCTION("""COMPUTED_VALUE"""),3829900.0)</f>
        <v>3829900</v>
      </c>
      <c r="G316" s="2">
        <f t="shared" si="1"/>
        <v>23.12</v>
      </c>
    </row>
    <row r="317" ht="15.75" customHeight="1">
      <c r="A317" s="1">
        <f>IFERROR(__xludf.DUMMYFUNCTION("""COMPUTED_VALUE"""),44312.625)</f>
        <v>44312.625</v>
      </c>
      <c r="B317" s="2">
        <f>IFERROR(__xludf.DUMMYFUNCTION("""COMPUTED_VALUE"""),1026.76)</f>
        <v>1026.76</v>
      </c>
      <c r="C317" s="2">
        <f>IFERROR(__xludf.DUMMYFUNCTION("""COMPUTED_VALUE"""),1063.76)</f>
        <v>1063.76</v>
      </c>
      <c r="D317" s="2">
        <f>IFERROR(__xludf.DUMMYFUNCTION("""COMPUTED_VALUE"""),1026.76)</f>
        <v>1026.76</v>
      </c>
      <c r="E317" s="2">
        <f>IFERROR(__xludf.DUMMYFUNCTION("""COMPUTED_VALUE"""),1059.13)</f>
        <v>1059.13</v>
      </c>
      <c r="F317" s="2">
        <f>IFERROR(__xludf.DUMMYFUNCTION("""COMPUTED_VALUE"""),1.88202E7)</f>
        <v>18820200</v>
      </c>
      <c r="G317" s="2">
        <f t="shared" si="1"/>
        <v>41.63</v>
      </c>
    </row>
    <row r="318" ht="15.75" customHeight="1">
      <c r="A318" s="1">
        <f>IFERROR(__xludf.DUMMYFUNCTION("""COMPUTED_VALUE"""),44313.625)</f>
        <v>44313.625</v>
      </c>
      <c r="B318" s="2">
        <f>IFERROR(__xludf.DUMMYFUNCTION("""COMPUTED_VALUE"""),1073.01)</f>
        <v>1073.01</v>
      </c>
      <c r="C318" s="2">
        <f>IFERROR(__xludf.DUMMYFUNCTION("""COMPUTED_VALUE"""),1073.01)</f>
        <v>1073.01</v>
      </c>
      <c r="D318" s="2">
        <f>IFERROR(__xludf.DUMMYFUNCTION("""COMPUTED_VALUE"""),1045.26)</f>
        <v>1045.26</v>
      </c>
      <c r="E318" s="2">
        <f>IFERROR(__xludf.DUMMYFUNCTION("""COMPUTED_VALUE"""),1063.76)</f>
        <v>1063.76</v>
      </c>
      <c r="F318" s="2">
        <f>IFERROR(__xludf.DUMMYFUNCTION("""COMPUTED_VALUE"""),8439600.0)</f>
        <v>8439600</v>
      </c>
      <c r="G318" s="2">
        <f t="shared" si="1"/>
        <v>27.75</v>
      </c>
    </row>
    <row r="319" ht="15.75" customHeight="1">
      <c r="A319" s="1">
        <f>IFERROR(__xludf.DUMMYFUNCTION("""COMPUTED_VALUE"""),44314.625)</f>
        <v>44314.625</v>
      </c>
      <c r="B319" s="2">
        <f>IFERROR(__xludf.DUMMYFUNCTION("""COMPUTED_VALUE"""),1063.76)</f>
        <v>1063.76</v>
      </c>
      <c r="C319" s="2">
        <f>IFERROR(__xludf.DUMMYFUNCTION("""COMPUTED_VALUE"""),1073.01)</f>
        <v>1073.01</v>
      </c>
      <c r="D319" s="2">
        <f>IFERROR(__xludf.DUMMYFUNCTION("""COMPUTED_VALUE"""),1026.76)</f>
        <v>1026.76</v>
      </c>
      <c r="E319" s="2">
        <f>IFERROR(__xludf.DUMMYFUNCTION("""COMPUTED_VALUE"""),1059.13)</f>
        <v>1059.13</v>
      </c>
      <c r="F319" s="2">
        <f>IFERROR(__xludf.DUMMYFUNCTION("""COMPUTED_VALUE"""),6274600.0)</f>
        <v>6274600</v>
      </c>
      <c r="G319" s="2">
        <f t="shared" si="1"/>
        <v>46.25</v>
      </c>
    </row>
    <row r="320" ht="15.75" customHeight="1">
      <c r="A320" s="1">
        <f>IFERROR(__xludf.DUMMYFUNCTION("""COMPUTED_VALUE"""),44315.625)</f>
        <v>44315.625</v>
      </c>
      <c r="B320" s="2">
        <f>IFERROR(__xludf.DUMMYFUNCTION("""COMPUTED_VALUE"""),1059.13)</f>
        <v>1059.13</v>
      </c>
      <c r="C320" s="2">
        <f>IFERROR(__xludf.DUMMYFUNCTION("""COMPUTED_VALUE"""),1082.26)</f>
        <v>1082.26</v>
      </c>
      <c r="D320" s="2">
        <f>IFERROR(__xludf.DUMMYFUNCTION("""COMPUTED_VALUE"""),1054.51)</f>
        <v>1054.51</v>
      </c>
      <c r="E320" s="2">
        <f>IFERROR(__xludf.DUMMYFUNCTION("""COMPUTED_VALUE"""),1073.01)</f>
        <v>1073.01</v>
      </c>
      <c r="F320" s="2">
        <f>IFERROR(__xludf.DUMMYFUNCTION("""COMPUTED_VALUE"""),7241700.0)</f>
        <v>7241700</v>
      </c>
      <c r="G320" s="2">
        <f t="shared" si="1"/>
        <v>27.75</v>
      </c>
    </row>
    <row r="321" ht="15.75" customHeight="1">
      <c r="A321" s="1">
        <f>IFERROR(__xludf.DUMMYFUNCTION("""COMPUTED_VALUE"""),44316.625)</f>
        <v>44316.625</v>
      </c>
      <c r="B321" s="2">
        <f>IFERROR(__xludf.DUMMYFUNCTION("""COMPUTED_VALUE"""),1073.01)</f>
        <v>1073.01</v>
      </c>
      <c r="C321" s="2">
        <f>IFERROR(__xludf.DUMMYFUNCTION("""COMPUTED_VALUE"""),1082.26)</f>
        <v>1082.26</v>
      </c>
      <c r="D321" s="2">
        <f>IFERROR(__xludf.DUMMYFUNCTION("""COMPUTED_VALUE"""),1054.51)</f>
        <v>1054.51</v>
      </c>
      <c r="E321" s="2">
        <f>IFERROR(__xludf.DUMMYFUNCTION("""COMPUTED_VALUE"""),1068.38)</f>
        <v>1068.38</v>
      </c>
      <c r="F321" s="2">
        <f>IFERROR(__xludf.DUMMYFUNCTION("""COMPUTED_VALUE"""),3839400.0)</f>
        <v>3839400</v>
      </c>
      <c r="G321" s="2">
        <f t="shared" si="1"/>
        <v>27.75</v>
      </c>
    </row>
    <row r="322" ht="15.75" customHeight="1">
      <c r="A322" s="1">
        <f>IFERROR(__xludf.DUMMYFUNCTION("""COMPUTED_VALUE"""),44319.66666666667)</f>
        <v>44319.66667</v>
      </c>
      <c r="B322" s="2">
        <f>IFERROR(__xludf.DUMMYFUNCTION("""COMPUTED_VALUE"""),1073.01)</f>
        <v>1073.01</v>
      </c>
      <c r="C322" s="2">
        <f>IFERROR(__xludf.DUMMYFUNCTION("""COMPUTED_VALUE"""),1086.88)</f>
        <v>1086.88</v>
      </c>
      <c r="D322" s="2">
        <f>IFERROR(__xludf.DUMMYFUNCTION("""COMPUTED_VALUE"""),1045.26)</f>
        <v>1045.26</v>
      </c>
      <c r="E322" s="2">
        <f>IFERROR(__xludf.DUMMYFUNCTION("""COMPUTED_VALUE"""),1063.76)</f>
        <v>1063.76</v>
      </c>
      <c r="F322" s="2">
        <f>IFERROR(__xludf.DUMMYFUNCTION("""COMPUTED_VALUE"""),7678700.0)</f>
        <v>7678700</v>
      </c>
      <c r="G322" s="2">
        <f t="shared" si="1"/>
        <v>41.62</v>
      </c>
    </row>
    <row r="323" ht="15.75" customHeight="1">
      <c r="A323" s="1">
        <f>IFERROR(__xludf.DUMMYFUNCTION("""COMPUTED_VALUE"""),44320.66666666667)</f>
        <v>44320.66667</v>
      </c>
      <c r="B323" s="2">
        <f>IFERROR(__xludf.DUMMYFUNCTION("""COMPUTED_VALUE"""),1063.76)</f>
        <v>1063.76</v>
      </c>
      <c r="C323" s="2">
        <f>IFERROR(__xludf.DUMMYFUNCTION("""COMPUTED_VALUE"""),1086.88)</f>
        <v>1086.88</v>
      </c>
      <c r="D323" s="2">
        <f>IFERROR(__xludf.DUMMYFUNCTION("""COMPUTED_VALUE"""),1040.63)</f>
        <v>1040.63</v>
      </c>
      <c r="E323" s="2">
        <f>IFERROR(__xludf.DUMMYFUNCTION("""COMPUTED_VALUE"""),1082.26)</f>
        <v>1082.26</v>
      </c>
      <c r="F323" s="2">
        <f>IFERROR(__xludf.DUMMYFUNCTION("""COMPUTED_VALUE"""),1.00822E7)</f>
        <v>10082200</v>
      </c>
      <c r="G323" s="2">
        <f t="shared" si="1"/>
        <v>46.25</v>
      </c>
    </row>
    <row r="324" ht="15.75" customHeight="1">
      <c r="A324" s="1">
        <f>IFERROR(__xludf.DUMMYFUNCTION("""COMPUTED_VALUE"""),44321.625)</f>
        <v>44321.625</v>
      </c>
      <c r="B324" s="2">
        <f>IFERROR(__xludf.DUMMYFUNCTION("""COMPUTED_VALUE"""),1073.01)</f>
        <v>1073.01</v>
      </c>
      <c r="C324" s="2">
        <f>IFERROR(__xludf.DUMMYFUNCTION("""COMPUTED_VALUE"""),1082.26)</f>
        <v>1082.26</v>
      </c>
      <c r="D324" s="2">
        <f>IFERROR(__xludf.DUMMYFUNCTION("""COMPUTED_VALUE"""),1068.38)</f>
        <v>1068.38</v>
      </c>
      <c r="E324" s="2">
        <f>IFERROR(__xludf.DUMMYFUNCTION("""COMPUTED_VALUE"""),1077.63)</f>
        <v>1077.63</v>
      </c>
      <c r="F324" s="2">
        <f>IFERROR(__xludf.DUMMYFUNCTION("""COMPUTED_VALUE"""),2516300.0)</f>
        <v>2516300</v>
      </c>
      <c r="G324" s="2">
        <f t="shared" si="1"/>
        <v>13.88</v>
      </c>
    </row>
    <row r="325" ht="15.75" customHeight="1">
      <c r="A325" s="1">
        <f>IFERROR(__xludf.DUMMYFUNCTION("""COMPUTED_VALUE"""),44322.625)</f>
        <v>44322.625</v>
      </c>
      <c r="B325" s="2">
        <f>IFERROR(__xludf.DUMMYFUNCTION("""COMPUTED_VALUE"""),1082.26)</f>
        <v>1082.26</v>
      </c>
      <c r="C325" s="2">
        <f>IFERROR(__xludf.DUMMYFUNCTION("""COMPUTED_VALUE"""),1105.38)</f>
        <v>1105.38</v>
      </c>
      <c r="D325" s="2">
        <f>IFERROR(__xludf.DUMMYFUNCTION("""COMPUTED_VALUE"""),1073.01)</f>
        <v>1073.01</v>
      </c>
      <c r="E325" s="2">
        <f>IFERROR(__xludf.DUMMYFUNCTION("""COMPUTED_VALUE"""),1086.88)</f>
        <v>1086.88</v>
      </c>
      <c r="F325" s="2">
        <f>IFERROR(__xludf.DUMMYFUNCTION("""COMPUTED_VALUE"""),8477400.0)</f>
        <v>8477400</v>
      </c>
      <c r="G325" s="2">
        <f t="shared" si="1"/>
        <v>32.37</v>
      </c>
    </row>
    <row r="326" ht="15.75" customHeight="1">
      <c r="A326" s="1">
        <f>IFERROR(__xludf.DUMMYFUNCTION("""COMPUTED_VALUE"""),44323.625)</f>
        <v>44323.625</v>
      </c>
      <c r="B326" s="2">
        <f>IFERROR(__xludf.DUMMYFUNCTION("""COMPUTED_VALUE"""),1086.88)</f>
        <v>1086.88</v>
      </c>
      <c r="C326" s="2">
        <f>IFERROR(__xludf.DUMMYFUNCTION("""COMPUTED_VALUE"""),1100.76)</f>
        <v>1100.76</v>
      </c>
      <c r="D326" s="2">
        <f>IFERROR(__xludf.DUMMYFUNCTION("""COMPUTED_VALUE"""),1073.01)</f>
        <v>1073.01</v>
      </c>
      <c r="E326" s="2">
        <f>IFERROR(__xludf.DUMMYFUNCTION("""COMPUTED_VALUE"""),1077.63)</f>
        <v>1077.63</v>
      </c>
      <c r="F326" s="2">
        <f>IFERROR(__xludf.DUMMYFUNCTION("""COMPUTED_VALUE"""),4047700.0)</f>
        <v>4047700</v>
      </c>
      <c r="G326" s="2">
        <f t="shared" si="1"/>
        <v>27.75</v>
      </c>
    </row>
    <row r="327" ht="15.75" customHeight="1">
      <c r="A327" s="1">
        <f>IFERROR(__xludf.DUMMYFUNCTION("""COMPUTED_VALUE"""),44326.66666666667)</f>
        <v>44326.66667</v>
      </c>
      <c r="B327" s="2">
        <f>IFERROR(__xludf.DUMMYFUNCTION("""COMPUTED_VALUE"""),1077.63)</f>
        <v>1077.63</v>
      </c>
      <c r="C327" s="2">
        <f>IFERROR(__xludf.DUMMYFUNCTION("""COMPUTED_VALUE"""),1110.01)</f>
        <v>1110.01</v>
      </c>
      <c r="D327" s="2">
        <f>IFERROR(__xludf.DUMMYFUNCTION("""COMPUTED_VALUE"""),1073.01)</f>
        <v>1073.01</v>
      </c>
      <c r="E327" s="2">
        <f>IFERROR(__xludf.DUMMYFUNCTION("""COMPUTED_VALUE"""),1096.13)</f>
        <v>1096.13</v>
      </c>
      <c r="F327" s="2">
        <f>IFERROR(__xludf.DUMMYFUNCTION("""COMPUTED_VALUE"""),1.0447E7)</f>
        <v>10447000</v>
      </c>
      <c r="G327" s="2">
        <f t="shared" si="1"/>
        <v>37</v>
      </c>
    </row>
    <row r="328" ht="15.75" customHeight="1">
      <c r="A328" s="1">
        <f>IFERROR(__xludf.DUMMYFUNCTION("""COMPUTED_VALUE"""),44327.66666666667)</f>
        <v>44327.66667</v>
      </c>
      <c r="B328" s="2">
        <f>IFERROR(__xludf.DUMMYFUNCTION("""COMPUTED_VALUE"""),1091.51)</f>
        <v>1091.51</v>
      </c>
      <c r="C328" s="2">
        <f>IFERROR(__xludf.DUMMYFUNCTION("""COMPUTED_VALUE"""),1091.51)</f>
        <v>1091.51</v>
      </c>
      <c r="D328" s="2">
        <f>IFERROR(__xludf.DUMMYFUNCTION("""COMPUTED_VALUE"""),1040.63)</f>
        <v>1040.63</v>
      </c>
      <c r="E328" s="2">
        <f>IFERROR(__xludf.DUMMYFUNCTION("""COMPUTED_VALUE"""),1040.63)</f>
        <v>1040.63</v>
      </c>
      <c r="F328" s="2">
        <f>IFERROR(__xludf.DUMMYFUNCTION("""COMPUTED_VALUE"""),2.08255E7)</f>
        <v>20825500</v>
      </c>
      <c r="G328" s="2">
        <f t="shared" si="1"/>
        <v>55.5</v>
      </c>
    </row>
    <row r="329" ht="15.75" customHeight="1">
      <c r="A329" s="1">
        <f>IFERROR(__xludf.DUMMYFUNCTION("""COMPUTED_VALUE"""),44333.625)</f>
        <v>44333.625</v>
      </c>
      <c r="B329" s="2">
        <f>IFERROR(__xludf.DUMMYFUNCTION("""COMPUTED_VALUE"""),1040.63)</f>
        <v>1040.63</v>
      </c>
      <c r="C329" s="2">
        <f>IFERROR(__xludf.DUMMYFUNCTION("""COMPUTED_VALUE"""),1054.51)</f>
        <v>1054.51</v>
      </c>
      <c r="D329" s="2">
        <f>IFERROR(__xludf.DUMMYFUNCTION("""COMPUTED_VALUE"""),971.26)</f>
        <v>971.26</v>
      </c>
      <c r="E329" s="2">
        <f>IFERROR(__xludf.DUMMYFUNCTION("""COMPUTED_VALUE"""),971.26)</f>
        <v>971.26</v>
      </c>
      <c r="F329" s="2">
        <f>IFERROR(__xludf.DUMMYFUNCTION("""COMPUTED_VALUE"""),1.42579E7)</f>
        <v>14257900</v>
      </c>
      <c r="G329" s="2">
        <f t="shared" si="1"/>
        <v>83.25</v>
      </c>
    </row>
    <row r="330" ht="15.75" customHeight="1">
      <c r="A330" s="1">
        <f>IFERROR(__xludf.DUMMYFUNCTION("""COMPUTED_VALUE"""),44334.625)</f>
        <v>44334.625</v>
      </c>
      <c r="B330" s="2">
        <f>IFERROR(__xludf.DUMMYFUNCTION("""COMPUTED_VALUE"""),971.26)</f>
        <v>971.26</v>
      </c>
      <c r="C330" s="2">
        <f>IFERROR(__xludf.DUMMYFUNCTION("""COMPUTED_VALUE"""),994.38)</f>
        <v>994.38</v>
      </c>
      <c r="D330" s="2">
        <f>IFERROR(__xludf.DUMMYFUNCTION("""COMPUTED_VALUE"""),943.51)</f>
        <v>943.51</v>
      </c>
      <c r="E330" s="2">
        <f>IFERROR(__xludf.DUMMYFUNCTION("""COMPUTED_VALUE"""),980.51)</f>
        <v>980.51</v>
      </c>
      <c r="F330" s="2">
        <f>IFERROR(__xludf.DUMMYFUNCTION("""COMPUTED_VALUE"""),5712600.0)</f>
        <v>5712600</v>
      </c>
      <c r="G330" s="2">
        <f t="shared" si="1"/>
        <v>50.87</v>
      </c>
    </row>
    <row r="331" ht="15.75" customHeight="1">
      <c r="A331" s="1">
        <f>IFERROR(__xludf.DUMMYFUNCTION("""COMPUTED_VALUE"""),44335.625)</f>
        <v>44335.625</v>
      </c>
      <c r="B331" s="2">
        <f>IFERROR(__xludf.DUMMYFUNCTION("""COMPUTED_VALUE"""),985.13)</f>
        <v>985.13</v>
      </c>
      <c r="C331" s="2">
        <f>IFERROR(__xludf.DUMMYFUNCTION("""COMPUTED_VALUE"""),985.13)</f>
        <v>985.13</v>
      </c>
      <c r="D331" s="2">
        <f>IFERROR(__xludf.DUMMYFUNCTION("""COMPUTED_VALUE"""),929.63)</f>
        <v>929.63</v>
      </c>
      <c r="E331" s="2">
        <f>IFERROR(__xludf.DUMMYFUNCTION("""COMPUTED_VALUE"""),938.88)</f>
        <v>938.88</v>
      </c>
      <c r="F331" s="2">
        <f>IFERROR(__xludf.DUMMYFUNCTION("""COMPUTED_VALUE"""),5331100.0)</f>
        <v>5331100</v>
      </c>
      <c r="G331" s="2">
        <f t="shared" si="1"/>
        <v>55.5</v>
      </c>
    </row>
    <row r="332" ht="15.75" customHeight="1">
      <c r="A332" s="1">
        <f>IFERROR(__xludf.DUMMYFUNCTION("""COMPUTED_VALUE"""),44336.625)</f>
        <v>44336.625</v>
      </c>
      <c r="B332" s="2">
        <f>IFERROR(__xludf.DUMMYFUNCTION("""COMPUTED_VALUE"""),938.88)</f>
        <v>938.88</v>
      </c>
      <c r="C332" s="2">
        <f>IFERROR(__xludf.DUMMYFUNCTION("""COMPUTED_VALUE"""),948.13)</f>
        <v>948.13</v>
      </c>
      <c r="D332" s="2">
        <f>IFERROR(__xludf.DUMMYFUNCTION("""COMPUTED_VALUE"""),925.01)</f>
        <v>925.01</v>
      </c>
      <c r="E332" s="2">
        <f>IFERROR(__xludf.DUMMYFUNCTION("""COMPUTED_VALUE"""),938.88)</f>
        <v>938.88</v>
      </c>
      <c r="F332" s="2">
        <f>IFERROR(__xludf.DUMMYFUNCTION("""COMPUTED_VALUE"""),4406200.0)</f>
        <v>4406200</v>
      </c>
      <c r="G332" s="2">
        <f t="shared" si="1"/>
        <v>23.12</v>
      </c>
    </row>
    <row r="333" ht="15.75" customHeight="1">
      <c r="A333" s="1">
        <f>IFERROR(__xludf.DUMMYFUNCTION("""COMPUTED_VALUE"""),44337.625)</f>
        <v>44337.625</v>
      </c>
      <c r="B333" s="2">
        <f>IFERROR(__xludf.DUMMYFUNCTION("""COMPUTED_VALUE"""),938.88)</f>
        <v>938.88</v>
      </c>
      <c r="C333" s="2">
        <f>IFERROR(__xludf.DUMMYFUNCTION("""COMPUTED_VALUE"""),943.51)</f>
        <v>943.51</v>
      </c>
      <c r="D333" s="2">
        <f>IFERROR(__xludf.DUMMYFUNCTION("""COMPUTED_VALUE"""),874.13)</f>
        <v>874.13</v>
      </c>
      <c r="E333" s="2">
        <f>IFERROR(__xludf.DUMMYFUNCTION("""COMPUTED_VALUE"""),888.0)</f>
        <v>888</v>
      </c>
      <c r="F333" s="2">
        <f>IFERROR(__xludf.DUMMYFUNCTION("""COMPUTED_VALUE"""),1.94419E7)</f>
        <v>19441900</v>
      </c>
      <c r="G333" s="2">
        <f t="shared" si="1"/>
        <v>69.38</v>
      </c>
    </row>
    <row r="334" ht="15.75" customHeight="1">
      <c r="A334" s="1">
        <f>IFERROR(__xludf.DUMMYFUNCTION("""COMPUTED_VALUE"""),44340.625)</f>
        <v>44340.625</v>
      </c>
      <c r="B334" s="2">
        <f>IFERROR(__xludf.DUMMYFUNCTION("""COMPUTED_VALUE"""),888.0)</f>
        <v>888</v>
      </c>
      <c r="C334" s="2">
        <f>IFERROR(__xludf.DUMMYFUNCTION("""COMPUTED_VALUE"""),911.13)</f>
        <v>911.13</v>
      </c>
      <c r="D334" s="2">
        <f>IFERROR(__xludf.DUMMYFUNCTION("""COMPUTED_VALUE"""),874.13)</f>
        <v>874.13</v>
      </c>
      <c r="E334" s="2">
        <f>IFERROR(__xludf.DUMMYFUNCTION("""COMPUTED_VALUE"""),901.88)</f>
        <v>901.88</v>
      </c>
      <c r="F334" s="2">
        <f>IFERROR(__xludf.DUMMYFUNCTION("""COMPUTED_VALUE"""),1.35776E7)</f>
        <v>13577600</v>
      </c>
      <c r="G334" s="2">
        <f t="shared" si="1"/>
        <v>37</v>
      </c>
    </row>
    <row r="335" ht="15.75" customHeight="1">
      <c r="A335" s="1">
        <f>IFERROR(__xludf.DUMMYFUNCTION("""COMPUTED_VALUE"""),44341.625)</f>
        <v>44341.625</v>
      </c>
      <c r="B335" s="2">
        <f>IFERROR(__xludf.DUMMYFUNCTION("""COMPUTED_VALUE"""),901.88)</f>
        <v>901.88</v>
      </c>
      <c r="C335" s="2">
        <f>IFERROR(__xludf.DUMMYFUNCTION("""COMPUTED_VALUE"""),938.88)</f>
        <v>938.88</v>
      </c>
      <c r="D335" s="2">
        <f>IFERROR(__xludf.DUMMYFUNCTION("""COMPUTED_VALUE"""),897.25)</f>
        <v>897.25</v>
      </c>
      <c r="E335" s="2">
        <f>IFERROR(__xludf.DUMMYFUNCTION("""COMPUTED_VALUE"""),925.01)</f>
        <v>925.01</v>
      </c>
      <c r="F335" s="2">
        <f>IFERROR(__xludf.DUMMYFUNCTION("""COMPUTED_VALUE"""),1.74497E7)</f>
        <v>17449700</v>
      </c>
      <c r="G335" s="2">
        <f t="shared" si="1"/>
        <v>41.63</v>
      </c>
    </row>
    <row r="336" ht="15.75" customHeight="1">
      <c r="A336" s="1">
        <f>IFERROR(__xludf.DUMMYFUNCTION("""COMPUTED_VALUE"""),44343.625)</f>
        <v>44343.625</v>
      </c>
      <c r="B336" s="2">
        <f>IFERROR(__xludf.DUMMYFUNCTION("""COMPUTED_VALUE"""),925.01)</f>
        <v>925.01</v>
      </c>
      <c r="C336" s="2">
        <f>IFERROR(__xludf.DUMMYFUNCTION("""COMPUTED_VALUE"""),948.13)</f>
        <v>948.13</v>
      </c>
      <c r="D336" s="2">
        <f>IFERROR(__xludf.DUMMYFUNCTION("""COMPUTED_VALUE"""),911.13)</f>
        <v>911.13</v>
      </c>
      <c r="E336" s="2">
        <f>IFERROR(__xludf.DUMMYFUNCTION("""COMPUTED_VALUE"""),915.76)</f>
        <v>915.76</v>
      </c>
      <c r="F336" s="2">
        <f>IFERROR(__xludf.DUMMYFUNCTION("""COMPUTED_VALUE"""),1.17586E7)</f>
        <v>11758600</v>
      </c>
      <c r="G336" s="2">
        <f t="shared" si="1"/>
        <v>37</v>
      </c>
    </row>
    <row r="337" ht="15.75" customHeight="1">
      <c r="A337" s="1">
        <f>IFERROR(__xludf.DUMMYFUNCTION("""COMPUTED_VALUE"""),44344.625)</f>
        <v>44344.625</v>
      </c>
      <c r="B337" s="2">
        <f>IFERROR(__xludf.DUMMYFUNCTION("""COMPUTED_VALUE"""),915.76)</f>
        <v>915.76</v>
      </c>
      <c r="C337" s="2">
        <f>IFERROR(__xludf.DUMMYFUNCTION("""COMPUTED_VALUE"""),929.63)</f>
        <v>929.63</v>
      </c>
      <c r="D337" s="2">
        <f>IFERROR(__xludf.DUMMYFUNCTION("""COMPUTED_VALUE"""),906.5)</f>
        <v>906.5</v>
      </c>
      <c r="E337" s="2">
        <f>IFERROR(__xludf.DUMMYFUNCTION("""COMPUTED_VALUE"""),906.5)</f>
        <v>906.5</v>
      </c>
      <c r="F337" s="2">
        <f>IFERROR(__xludf.DUMMYFUNCTION("""COMPUTED_VALUE"""),4727700.0)</f>
        <v>4727700</v>
      </c>
      <c r="G337" s="2">
        <f t="shared" si="1"/>
        <v>23.13</v>
      </c>
    </row>
    <row r="338" ht="15.75" customHeight="1">
      <c r="A338" s="1">
        <f>IFERROR(__xludf.DUMMYFUNCTION("""COMPUTED_VALUE"""),44347.625)</f>
        <v>44347.625</v>
      </c>
      <c r="B338" s="2">
        <f>IFERROR(__xludf.DUMMYFUNCTION("""COMPUTED_VALUE"""),915.76)</f>
        <v>915.76</v>
      </c>
      <c r="C338" s="2">
        <f>IFERROR(__xludf.DUMMYFUNCTION("""COMPUTED_VALUE"""),920.38)</f>
        <v>920.38</v>
      </c>
      <c r="D338" s="2">
        <f>IFERROR(__xludf.DUMMYFUNCTION("""COMPUTED_VALUE"""),897.25)</f>
        <v>897.25</v>
      </c>
      <c r="E338" s="2">
        <f>IFERROR(__xludf.DUMMYFUNCTION("""COMPUTED_VALUE"""),901.88)</f>
        <v>901.88</v>
      </c>
      <c r="F338" s="2">
        <f>IFERROR(__xludf.DUMMYFUNCTION("""COMPUTED_VALUE"""),1.28691E7)</f>
        <v>12869100</v>
      </c>
      <c r="G338" s="2">
        <f t="shared" si="1"/>
        <v>23.13</v>
      </c>
    </row>
    <row r="339" ht="15.75" customHeight="1">
      <c r="A339" s="1">
        <f>IFERROR(__xludf.DUMMYFUNCTION("""COMPUTED_VALUE"""),44349.625)</f>
        <v>44349.625</v>
      </c>
      <c r="B339" s="2">
        <f>IFERROR(__xludf.DUMMYFUNCTION("""COMPUTED_VALUE"""),901.88)</f>
        <v>901.88</v>
      </c>
      <c r="C339" s="2">
        <f>IFERROR(__xludf.DUMMYFUNCTION("""COMPUTED_VALUE"""),952.76)</f>
        <v>952.76</v>
      </c>
      <c r="D339" s="2">
        <f>IFERROR(__xludf.DUMMYFUNCTION("""COMPUTED_VALUE"""),901.88)</f>
        <v>901.88</v>
      </c>
      <c r="E339" s="2">
        <f>IFERROR(__xludf.DUMMYFUNCTION("""COMPUTED_VALUE"""),948.13)</f>
        <v>948.13</v>
      </c>
      <c r="F339" s="2">
        <f>IFERROR(__xludf.DUMMYFUNCTION("""COMPUTED_VALUE"""),2.10471E7)</f>
        <v>21047100</v>
      </c>
      <c r="G339" s="2">
        <f t="shared" si="1"/>
        <v>50.88</v>
      </c>
    </row>
    <row r="340" ht="15.75" customHeight="1">
      <c r="A340" s="1">
        <f>IFERROR(__xludf.DUMMYFUNCTION("""COMPUTED_VALUE"""),44350.625)</f>
        <v>44350.625</v>
      </c>
      <c r="B340" s="2">
        <f>IFERROR(__xludf.DUMMYFUNCTION("""COMPUTED_VALUE"""),948.13)</f>
        <v>948.13</v>
      </c>
      <c r="C340" s="2">
        <f>IFERROR(__xludf.DUMMYFUNCTION("""COMPUTED_VALUE"""),957.38)</f>
        <v>957.38</v>
      </c>
      <c r="D340" s="2">
        <f>IFERROR(__xludf.DUMMYFUNCTION("""COMPUTED_VALUE"""),929.63)</f>
        <v>929.63</v>
      </c>
      <c r="E340" s="2">
        <f>IFERROR(__xludf.DUMMYFUNCTION("""COMPUTED_VALUE"""),938.88)</f>
        <v>938.88</v>
      </c>
      <c r="F340" s="2">
        <f>IFERROR(__xludf.DUMMYFUNCTION("""COMPUTED_VALUE"""),1.14168E7)</f>
        <v>11416800</v>
      </c>
      <c r="G340" s="2">
        <f t="shared" si="1"/>
        <v>27.75</v>
      </c>
    </row>
    <row r="341" ht="15.75" customHeight="1">
      <c r="A341" s="1">
        <f>IFERROR(__xludf.DUMMYFUNCTION("""COMPUTED_VALUE"""),44351.625)</f>
        <v>44351.625</v>
      </c>
      <c r="B341" s="2">
        <f>IFERROR(__xludf.DUMMYFUNCTION("""COMPUTED_VALUE"""),938.88)</f>
        <v>938.88</v>
      </c>
      <c r="C341" s="2">
        <f>IFERROR(__xludf.DUMMYFUNCTION("""COMPUTED_VALUE"""),957.38)</f>
        <v>957.38</v>
      </c>
      <c r="D341" s="2">
        <f>IFERROR(__xludf.DUMMYFUNCTION("""COMPUTED_VALUE"""),929.63)</f>
        <v>929.63</v>
      </c>
      <c r="E341" s="2">
        <f>IFERROR(__xludf.DUMMYFUNCTION("""COMPUTED_VALUE"""),948.13)</f>
        <v>948.13</v>
      </c>
      <c r="F341" s="2">
        <f>IFERROR(__xludf.DUMMYFUNCTION("""COMPUTED_VALUE"""),5528400.0)</f>
        <v>5528400</v>
      </c>
      <c r="G341" s="2">
        <f t="shared" si="1"/>
        <v>27.75</v>
      </c>
    </row>
    <row r="342" ht="15.75" customHeight="1">
      <c r="A342" s="1">
        <f>IFERROR(__xludf.DUMMYFUNCTION("""COMPUTED_VALUE"""),44354.625)</f>
        <v>44354.625</v>
      </c>
      <c r="B342" s="2">
        <f>IFERROR(__xludf.DUMMYFUNCTION("""COMPUTED_VALUE"""),934.26)</f>
        <v>934.26</v>
      </c>
      <c r="C342" s="2">
        <f>IFERROR(__xludf.DUMMYFUNCTION("""COMPUTED_VALUE"""),966.63)</f>
        <v>966.63</v>
      </c>
      <c r="D342" s="2">
        <f>IFERROR(__xludf.DUMMYFUNCTION("""COMPUTED_VALUE"""),929.63)</f>
        <v>929.63</v>
      </c>
      <c r="E342" s="2">
        <f>IFERROR(__xludf.DUMMYFUNCTION("""COMPUTED_VALUE"""),938.88)</f>
        <v>938.88</v>
      </c>
      <c r="F342" s="2">
        <f>IFERROR(__xludf.DUMMYFUNCTION("""COMPUTED_VALUE"""),6841000.0)</f>
        <v>6841000</v>
      </c>
      <c r="G342" s="2">
        <f t="shared" si="1"/>
        <v>37</v>
      </c>
    </row>
    <row r="343" ht="15.75" customHeight="1">
      <c r="A343" s="1">
        <f>IFERROR(__xludf.DUMMYFUNCTION("""COMPUTED_VALUE"""),44355.625)</f>
        <v>44355.625</v>
      </c>
      <c r="B343" s="2">
        <f>IFERROR(__xludf.DUMMYFUNCTION("""COMPUTED_VALUE"""),938.88)</f>
        <v>938.88</v>
      </c>
      <c r="C343" s="2">
        <f>IFERROR(__xludf.DUMMYFUNCTION("""COMPUTED_VALUE"""),948.13)</f>
        <v>948.13</v>
      </c>
      <c r="D343" s="2">
        <f>IFERROR(__xludf.DUMMYFUNCTION("""COMPUTED_VALUE"""),906.5)</f>
        <v>906.5</v>
      </c>
      <c r="E343" s="2">
        <f>IFERROR(__xludf.DUMMYFUNCTION("""COMPUTED_VALUE"""),906.5)</f>
        <v>906.5</v>
      </c>
      <c r="F343" s="2">
        <f>IFERROR(__xludf.DUMMYFUNCTION("""COMPUTED_VALUE"""),8576200.0)</f>
        <v>8576200</v>
      </c>
      <c r="G343" s="2">
        <f t="shared" si="1"/>
        <v>41.63</v>
      </c>
    </row>
    <row r="344" ht="15.75" customHeight="1">
      <c r="A344" s="1">
        <f>IFERROR(__xludf.DUMMYFUNCTION("""COMPUTED_VALUE"""),44356.625)</f>
        <v>44356.625</v>
      </c>
      <c r="B344" s="2">
        <f>IFERROR(__xludf.DUMMYFUNCTION("""COMPUTED_VALUE"""),906.5)</f>
        <v>906.5</v>
      </c>
      <c r="C344" s="2">
        <f>IFERROR(__xludf.DUMMYFUNCTION("""COMPUTED_VALUE"""),920.38)</f>
        <v>920.38</v>
      </c>
      <c r="D344" s="2">
        <f>IFERROR(__xludf.DUMMYFUNCTION("""COMPUTED_VALUE"""),901.88)</f>
        <v>901.88</v>
      </c>
      <c r="E344" s="2">
        <f>IFERROR(__xludf.DUMMYFUNCTION("""COMPUTED_VALUE"""),906.5)</f>
        <v>906.5</v>
      </c>
      <c r="F344" s="2">
        <f>IFERROR(__xludf.DUMMYFUNCTION("""COMPUTED_VALUE"""),7837300.0)</f>
        <v>7837300</v>
      </c>
      <c r="G344" s="2">
        <f t="shared" si="1"/>
        <v>18.5</v>
      </c>
    </row>
    <row r="345" ht="15.75" customHeight="1">
      <c r="A345" s="1">
        <f>IFERROR(__xludf.DUMMYFUNCTION("""COMPUTED_VALUE"""),44357.625)</f>
        <v>44357.625</v>
      </c>
      <c r="B345" s="2">
        <f>IFERROR(__xludf.DUMMYFUNCTION("""COMPUTED_VALUE"""),906.5)</f>
        <v>906.5</v>
      </c>
      <c r="C345" s="2">
        <f>IFERROR(__xludf.DUMMYFUNCTION("""COMPUTED_VALUE"""),934.26)</f>
        <v>934.26</v>
      </c>
      <c r="D345" s="2">
        <f>IFERROR(__xludf.DUMMYFUNCTION("""COMPUTED_VALUE"""),901.88)</f>
        <v>901.88</v>
      </c>
      <c r="E345" s="2">
        <f>IFERROR(__xludf.DUMMYFUNCTION("""COMPUTED_VALUE"""),915.76)</f>
        <v>915.76</v>
      </c>
      <c r="F345" s="2">
        <f>IFERROR(__xludf.DUMMYFUNCTION("""COMPUTED_VALUE"""),7795000.0)</f>
        <v>7795000</v>
      </c>
      <c r="G345" s="2">
        <f t="shared" si="1"/>
        <v>32.38</v>
      </c>
    </row>
    <row r="346" ht="15.75" customHeight="1">
      <c r="A346" s="1">
        <f>IFERROR(__xludf.DUMMYFUNCTION("""COMPUTED_VALUE"""),44358.625)</f>
        <v>44358.625</v>
      </c>
      <c r="B346" s="2">
        <f>IFERROR(__xludf.DUMMYFUNCTION("""COMPUTED_VALUE"""),920.38)</f>
        <v>920.38</v>
      </c>
      <c r="C346" s="2">
        <f>IFERROR(__xludf.DUMMYFUNCTION("""COMPUTED_VALUE"""),934.26)</f>
        <v>934.26</v>
      </c>
      <c r="D346" s="2">
        <f>IFERROR(__xludf.DUMMYFUNCTION("""COMPUTED_VALUE"""),911.13)</f>
        <v>911.13</v>
      </c>
      <c r="E346" s="2">
        <f>IFERROR(__xludf.DUMMYFUNCTION("""COMPUTED_VALUE"""),929.63)</f>
        <v>929.63</v>
      </c>
      <c r="F346" s="2">
        <f>IFERROR(__xludf.DUMMYFUNCTION("""COMPUTED_VALUE"""),1.05029E7)</f>
        <v>10502900</v>
      </c>
      <c r="G346" s="2">
        <f t="shared" si="1"/>
        <v>23.13</v>
      </c>
    </row>
    <row r="347" ht="15.75" customHeight="1">
      <c r="A347" s="1">
        <f>IFERROR(__xludf.DUMMYFUNCTION("""COMPUTED_VALUE"""),44361.66666666667)</f>
        <v>44361.66667</v>
      </c>
      <c r="B347" s="2">
        <f>IFERROR(__xludf.DUMMYFUNCTION("""COMPUTED_VALUE"""),934.26)</f>
        <v>934.26</v>
      </c>
      <c r="C347" s="2">
        <f>IFERROR(__xludf.DUMMYFUNCTION("""COMPUTED_VALUE"""),934.26)</f>
        <v>934.26</v>
      </c>
      <c r="D347" s="2">
        <f>IFERROR(__xludf.DUMMYFUNCTION("""COMPUTED_VALUE"""),911.13)</f>
        <v>911.13</v>
      </c>
      <c r="E347" s="2">
        <f>IFERROR(__xludf.DUMMYFUNCTION("""COMPUTED_VALUE"""),911.13)</f>
        <v>911.13</v>
      </c>
      <c r="F347" s="2">
        <f>IFERROR(__xludf.DUMMYFUNCTION("""COMPUTED_VALUE"""),5957000.0)</f>
        <v>5957000</v>
      </c>
      <c r="G347" s="2">
        <f t="shared" si="1"/>
        <v>23.13</v>
      </c>
    </row>
    <row r="348" ht="15.75" customHeight="1">
      <c r="A348" s="1">
        <f>IFERROR(__xludf.DUMMYFUNCTION("""COMPUTED_VALUE"""),44362.625)</f>
        <v>44362.625</v>
      </c>
      <c r="B348" s="2">
        <f>IFERROR(__xludf.DUMMYFUNCTION("""COMPUTED_VALUE"""),915.76)</f>
        <v>915.76</v>
      </c>
      <c r="C348" s="2">
        <f>IFERROR(__xludf.DUMMYFUNCTION("""COMPUTED_VALUE"""),925.01)</f>
        <v>925.01</v>
      </c>
      <c r="D348" s="2">
        <f>IFERROR(__xludf.DUMMYFUNCTION("""COMPUTED_VALUE"""),878.75)</f>
        <v>878.75</v>
      </c>
      <c r="E348" s="2">
        <f>IFERROR(__xludf.DUMMYFUNCTION("""COMPUTED_VALUE"""),897.25)</f>
        <v>897.25</v>
      </c>
      <c r="F348" s="2">
        <f>IFERROR(__xludf.DUMMYFUNCTION("""COMPUTED_VALUE"""),9383200.0)</f>
        <v>9383200</v>
      </c>
      <c r="G348" s="2">
        <f t="shared" si="1"/>
        <v>46.26</v>
      </c>
    </row>
    <row r="349" ht="15.75" customHeight="1">
      <c r="A349" s="1">
        <f>IFERROR(__xludf.DUMMYFUNCTION("""COMPUTED_VALUE"""),44363.625)</f>
        <v>44363.625</v>
      </c>
      <c r="B349" s="2">
        <f>IFERROR(__xludf.DUMMYFUNCTION("""COMPUTED_VALUE"""),897.25)</f>
        <v>897.25</v>
      </c>
      <c r="C349" s="2">
        <f>IFERROR(__xludf.DUMMYFUNCTION("""COMPUTED_VALUE"""),901.88)</f>
        <v>901.88</v>
      </c>
      <c r="D349" s="2">
        <f>IFERROR(__xludf.DUMMYFUNCTION("""COMPUTED_VALUE"""),869.5)</f>
        <v>869.5</v>
      </c>
      <c r="E349" s="2">
        <f>IFERROR(__xludf.DUMMYFUNCTION("""COMPUTED_VALUE"""),874.13)</f>
        <v>874.13</v>
      </c>
      <c r="F349" s="2">
        <f>IFERROR(__xludf.DUMMYFUNCTION("""COMPUTED_VALUE"""),1.21185E7)</f>
        <v>12118500</v>
      </c>
      <c r="G349" s="2">
        <f t="shared" si="1"/>
        <v>32.38</v>
      </c>
    </row>
    <row r="350" ht="15.75" customHeight="1">
      <c r="A350" s="1">
        <f>IFERROR(__xludf.DUMMYFUNCTION("""COMPUTED_VALUE"""),44364.625)</f>
        <v>44364.625</v>
      </c>
      <c r="B350" s="2">
        <f>IFERROR(__xludf.DUMMYFUNCTION("""COMPUTED_VALUE"""),869.5)</f>
        <v>869.5</v>
      </c>
      <c r="C350" s="2">
        <f>IFERROR(__xludf.DUMMYFUNCTION("""COMPUTED_VALUE"""),874.13)</f>
        <v>874.13</v>
      </c>
      <c r="D350" s="2">
        <f>IFERROR(__xludf.DUMMYFUNCTION("""COMPUTED_VALUE"""),832.5)</f>
        <v>832.5</v>
      </c>
      <c r="E350" s="2">
        <f>IFERROR(__xludf.DUMMYFUNCTION("""COMPUTED_VALUE"""),851.0)</f>
        <v>851</v>
      </c>
      <c r="F350" s="2">
        <f>IFERROR(__xludf.DUMMYFUNCTION("""COMPUTED_VALUE"""),2.40064E7)</f>
        <v>24006400</v>
      </c>
      <c r="G350" s="2">
        <f t="shared" si="1"/>
        <v>41.63</v>
      </c>
    </row>
    <row r="351" ht="15.75" customHeight="1">
      <c r="A351" s="1">
        <f>IFERROR(__xludf.DUMMYFUNCTION("""COMPUTED_VALUE"""),44365.625)</f>
        <v>44365.625</v>
      </c>
      <c r="B351" s="2">
        <f>IFERROR(__xludf.DUMMYFUNCTION("""COMPUTED_VALUE"""),851.0)</f>
        <v>851</v>
      </c>
      <c r="C351" s="2">
        <f>IFERROR(__xludf.DUMMYFUNCTION("""COMPUTED_VALUE"""),851.0)</f>
        <v>851</v>
      </c>
      <c r="D351" s="2">
        <f>IFERROR(__xludf.DUMMYFUNCTION("""COMPUTED_VALUE"""),795.5)</f>
        <v>795.5</v>
      </c>
      <c r="E351" s="2">
        <f>IFERROR(__xludf.DUMMYFUNCTION("""COMPUTED_VALUE"""),804.75)</f>
        <v>804.75</v>
      </c>
      <c r="F351" s="2">
        <f>IFERROR(__xludf.DUMMYFUNCTION("""COMPUTED_VALUE"""),1.97094E7)</f>
        <v>19709400</v>
      </c>
      <c r="G351" s="2">
        <f t="shared" si="1"/>
        <v>55.5</v>
      </c>
    </row>
    <row r="352" ht="15.75" customHeight="1">
      <c r="A352" s="1">
        <f>IFERROR(__xludf.DUMMYFUNCTION("""COMPUTED_VALUE"""),44368.66666666667)</f>
        <v>44368.66667</v>
      </c>
      <c r="B352" s="2">
        <f>IFERROR(__xludf.DUMMYFUNCTION("""COMPUTED_VALUE"""),790.88)</f>
        <v>790.88</v>
      </c>
      <c r="C352" s="2">
        <f>IFERROR(__xludf.DUMMYFUNCTION("""COMPUTED_VALUE"""),800.13)</f>
        <v>800.13</v>
      </c>
      <c r="D352" s="2">
        <f>IFERROR(__xludf.DUMMYFUNCTION("""COMPUTED_VALUE"""),763.13)</f>
        <v>763.13</v>
      </c>
      <c r="E352" s="2">
        <f>IFERROR(__xludf.DUMMYFUNCTION("""COMPUTED_VALUE"""),800.13)</f>
        <v>800.13</v>
      </c>
      <c r="F352" s="2">
        <f>IFERROR(__xludf.DUMMYFUNCTION("""COMPUTED_VALUE"""),1.32536E7)</f>
        <v>13253600</v>
      </c>
      <c r="G352" s="2">
        <f t="shared" si="1"/>
        <v>41.62</v>
      </c>
    </row>
    <row r="353" ht="15.75" customHeight="1">
      <c r="A353" s="1">
        <f>IFERROR(__xludf.DUMMYFUNCTION("""COMPUTED_VALUE"""),44369.625)</f>
        <v>44369.625</v>
      </c>
      <c r="B353" s="2">
        <f>IFERROR(__xludf.DUMMYFUNCTION("""COMPUTED_VALUE"""),804.75)</f>
        <v>804.75</v>
      </c>
      <c r="C353" s="2">
        <f>IFERROR(__xludf.DUMMYFUNCTION("""COMPUTED_VALUE"""),832.5)</f>
        <v>832.5</v>
      </c>
      <c r="D353" s="2">
        <f>IFERROR(__xludf.DUMMYFUNCTION("""COMPUTED_VALUE"""),800.13)</f>
        <v>800.13</v>
      </c>
      <c r="E353" s="2">
        <f>IFERROR(__xludf.DUMMYFUNCTION("""COMPUTED_VALUE"""),800.13)</f>
        <v>800.13</v>
      </c>
      <c r="F353" s="2">
        <f>IFERROR(__xludf.DUMMYFUNCTION("""COMPUTED_VALUE"""),1.22573E7)</f>
        <v>12257300</v>
      </c>
      <c r="G353" s="2">
        <f t="shared" si="1"/>
        <v>32.37</v>
      </c>
    </row>
    <row r="354" ht="15.75" customHeight="1">
      <c r="A354" s="1">
        <f>IFERROR(__xludf.DUMMYFUNCTION("""COMPUTED_VALUE"""),44370.625)</f>
        <v>44370.625</v>
      </c>
      <c r="B354" s="2">
        <f>IFERROR(__xludf.DUMMYFUNCTION("""COMPUTED_VALUE"""),804.75)</f>
        <v>804.75</v>
      </c>
      <c r="C354" s="2">
        <f>IFERROR(__xludf.DUMMYFUNCTION("""COMPUTED_VALUE"""),814.0)</f>
        <v>814</v>
      </c>
      <c r="D354" s="2">
        <f>IFERROR(__xludf.DUMMYFUNCTION("""COMPUTED_VALUE"""),781.63)</f>
        <v>781.63</v>
      </c>
      <c r="E354" s="2">
        <f>IFERROR(__xludf.DUMMYFUNCTION("""COMPUTED_VALUE"""),781.63)</f>
        <v>781.63</v>
      </c>
      <c r="F354" s="2">
        <f>IFERROR(__xludf.DUMMYFUNCTION("""COMPUTED_VALUE"""),9175700.0)</f>
        <v>9175700</v>
      </c>
      <c r="G354" s="2">
        <f t="shared" si="1"/>
        <v>32.37</v>
      </c>
    </row>
    <row r="355" ht="15.75" customHeight="1">
      <c r="A355" s="1">
        <f>IFERROR(__xludf.DUMMYFUNCTION("""COMPUTED_VALUE"""),44371.625)</f>
        <v>44371.625</v>
      </c>
      <c r="B355" s="2">
        <f>IFERROR(__xludf.DUMMYFUNCTION("""COMPUTED_VALUE"""),781.63)</f>
        <v>781.63</v>
      </c>
      <c r="C355" s="2">
        <f>IFERROR(__xludf.DUMMYFUNCTION("""COMPUTED_VALUE"""),790.88)</f>
        <v>790.88</v>
      </c>
      <c r="D355" s="2">
        <f>IFERROR(__xludf.DUMMYFUNCTION("""COMPUTED_VALUE"""),749.25)</f>
        <v>749.25</v>
      </c>
      <c r="E355" s="2">
        <f>IFERROR(__xludf.DUMMYFUNCTION("""COMPUTED_VALUE"""),749.25)</f>
        <v>749.25</v>
      </c>
      <c r="F355" s="2">
        <f>IFERROR(__xludf.DUMMYFUNCTION("""COMPUTED_VALUE"""),1.92232E7)</f>
        <v>19223200</v>
      </c>
      <c r="G355" s="2">
        <f t="shared" si="1"/>
        <v>41.63</v>
      </c>
    </row>
    <row r="356" ht="15.75" customHeight="1">
      <c r="A356" s="1">
        <f>IFERROR(__xludf.DUMMYFUNCTION("""COMPUTED_VALUE"""),44372.625)</f>
        <v>44372.625</v>
      </c>
      <c r="B356" s="2">
        <f>IFERROR(__xludf.DUMMYFUNCTION("""COMPUTED_VALUE"""),749.25)</f>
        <v>749.25</v>
      </c>
      <c r="C356" s="2">
        <f>IFERROR(__xludf.DUMMYFUNCTION("""COMPUTED_VALUE"""),749.25)</f>
        <v>749.25</v>
      </c>
      <c r="D356" s="2">
        <f>IFERROR(__xludf.DUMMYFUNCTION("""COMPUTED_VALUE"""),716.88)</f>
        <v>716.88</v>
      </c>
      <c r="E356" s="2">
        <f>IFERROR(__xludf.DUMMYFUNCTION("""COMPUTED_VALUE"""),721.5)</f>
        <v>721.5</v>
      </c>
      <c r="F356" s="2">
        <f>IFERROR(__xludf.DUMMYFUNCTION("""COMPUTED_VALUE"""),2.69121E7)</f>
        <v>26912100</v>
      </c>
      <c r="G356" s="2">
        <f t="shared" si="1"/>
        <v>32.37</v>
      </c>
    </row>
    <row r="357" ht="15.75" customHeight="1">
      <c r="A357" s="1">
        <f>IFERROR(__xludf.DUMMYFUNCTION("""COMPUTED_VALUE"""),44375.66666666667)</f>
        <v>44375.66667</v>
      </c>
      <c r="B357" s="2">
        <f>IFERROR(__xludf.DUMMYFUNCTION("""COMPUTED_VALUE"""),726.13)</f>
        <v>726.13</v>
      </c>
      <c r="C357" s="2">
        <f>IFERROR(__xludf.DUMMYFUNCTION("""COMPUTED_VALUE"""),730.75)</f>
        <v>730.75</v>
      </c>
      <c r="D357" s="2">
        <f>IFERROR(__xludf.DUMMYFUNCTION("""COMPUTED_VALUE"""),684.5)</f>
        <v>684.5</v>
      </c>
      <c r="E357" s="2">
        <f>IFERROR(__xludf.DUMMYFUNCTION("""COMPUTED_VALUE"""),684.5)</f>
        <v>684.5</v>
      </c>
      <c r="F357" s="2">
        <f>IFERROR(__xludf.DUMMYFUNCTION("""COMPUTED_VALUE"""),1.47376E7)</f>
        <v>14737600</v>
      </c>
      <c r="G357" s="2">
        <f t="shared" si="1"/>
        <v>46.25</v>
      </c>
    </row>
    <row r="358" ht="15.75" customHeight="1">
      <c r="A358" s="1">
        <f>IFERROR(__xludf.DUMMYFUNCTION("""COMPUTED_VALUE"""),44376.625)</f>
        <v>44376.625</v>
      </c>
      <c r="B358" s="2">
        <f>IFERROR(__xludf.DUMMYFUNCTION("""COMPUTED_VALUE"""),684.5)</f>
        <v>684.5</v>
      </c>
      <c r="C358" s="2">
        <f>IFERROR(__xludf.DUMMYFUNCTION("""COMPUTED_VALUE"""),730.75)</f>
        <v>730.75</v>
      </c>
      <c r="D358" s="2">
        <f>IFERROR(__xludf.DUMMYFUNCTION("""COMPUTED_VALUE"""),675.25)</f>
        <v>675.25</v>
      </c>
      <c r="E358" s="2">
        <f>IFERROR(__xludf.DUMMYFUNCTION("""COMPUTED_VALUE"""),684.5)</f>
        <v>684.5</v>
      </c>
      <c r="F358" s="2">
        <f>IFERROR(__xludf.DUMMYFUNCTION("""COMPUTED_VALUE"""),3.71599E7)</f>
        <v>37159900</v>
      </c>
      <c r="G358" s="2">
        <f t="shared" si="1"/>
        <v>55.5</v>
      </c>
    </row>
    <row r="359" ht="15.75" customHeight="1">
      <c r="A359" s="1">
        <f>IFERROR(__xludf.DUMMYFUNCTION("""COMPUTED_VALUE"""),44377.625)</f>
        <v>44377.625</v>
      </c>
      <c r="B359" s="2">
        <f>IFERROR(__xludf.DUMMYFUNCTION("""COMPUTED_VALUE"""),689.13)</f>
        <v>689.13</v>
      </c>
      <c r="C359" s="2">
        <f>IFERROR(__xludf.DUMMYFUNCTION("""COMPUTED_VALUE"""),712.25)</f>
        <v>712.25</v>
      </c>
      <c r="D359" s="2">
        <f>IFERROR(__xludf.DUMMYFUNCTION("""COMPUTED_VALUE"""),679.88)</f>
        <v>679.88</v>
      </c>
      <c r="E359" s="2">
        <f>IFERROR(__xludf.DUMMYFUNCTION("""COMPUTED_VALUE"""),698.38)</f>
        <v>698.38</v>
      </c>
      <c r="F359" s="2">
        <f>IFERROR(__xludf.DUMMYFUNCTION("""COMPUTED_VALUE"""),1.84565E7)</f>
        <v>18456500</v>
      </c>
      <c r="G359" s="2">
        <f t="shared" si="1"/>
        <v>32.37</v>
      </c>
    </row>
    <row r="360" ht="15.75" customHeight="1">
      <c r="A360" s="1">
        <f>IFERROR(__xludf.DUMMYFUNCTION("""COMPUTED_VALUE"""),44378.625)</f>
        <v>44378.625</v>
      </c>
      <c r="B360" s="2">
        <f>IFERROR(__xludf.DUMMYFUNCTION("""COMPUTED_VALUE"""),698.38)</f>
        <v>698.38</v>
      </c>
      <c r="C360" s="2">
        <f>IFERROR(__xludf.DUMMYFUNCTION("""COMPUTED_VALUE"""),721.5)</f>
        <v>721.5</v>
      </c>
      <c r="D360" s="2">
        <f>IFERROR(__xludf.DUMMYFUNCTION("""COMPUTED_VALUE"""),693.75)</f>
        <v>693.75</v>
      </c>
      <c r="E360" s="2">
        <f>IFERROR(__xludf.DUMMYFUNCTION("""COMPUTED_VALUE"""),698.38)</f>
        <v>698.38</v>
      </c>
      <c r="F360" s="2">
        <f>IFERROR(__xludf.DUMMYFUNCTION("""COMPUTED_VALUE"""),1.84966E7)</f>
        <v>18496600</v>
      </c>
      <c r="G360" s="2">
        <f t="shared" si="1"/>
        <v>27.75</v>
      </c>
    </row>
    <row r="361" ht="15.75" customHeight="1">
      <c r="A361" s="1">
        <f>IFERROR(__xludf.DUMMYFUNCTION("""COMPUTED_VALUE"""),44379.625)</f>
        <v>44379.625</v>
      </c>
      <c r="B361" s="2">
        <f>IFERROR(__xludf.DUMMYFUNCTION("""COMPUTED_VALUE"""),698.38)</f>
        <v>698.38</v>
      </c>
      <c r="C361" s="2">
        <f>IFERROR(__xludf.DUMMYFUNCTION("""COMPUTED_VALUE"""),726.13)</f>
        <v>726.13</v>
      </c>
      <c r="D361" s="2">
        <f>IFERROR(__xludf.DUMMYFUNCTION("""COMPUTED_VALUE"""),698.38)</f>
        <v>698.38</v>
      </c>
      <c r="E361" s="2">
        <f>IFERROR(__xludf.DUMMYFUNCTION("""COMPUTED_VALUE"""),716.88)</f>
        <v>716.88</v>
      </c>
      <c r="F361" s="2">
        <f>IFERROR(__xludf.DUMMYFUNCTION("""COMPUTED_VALUE"""),1.71574E7)</f>
        <v>17157400</v>
      </c>
      <c r="G361" s="2">
        <f t="shared" si="1"/>
        <v>27.75</v>
      </c>
    </row>
    <row r="362" ht="15.75" customHeight="1">
      <c r="A362" s="1">
        <f>IFERROR(__xludf.DUMMYFUNCTION("""COMPUTED_VALUE"""),44382.625)</f>
        <v>44382.625</v>
      </c>
      <c r="B362" s="2">
        <f>IFERROR(__xludf.DUMMYFUNCTION("""COMPUTED_VALUE"""),716.88)</f>
        <v>716.88</v>
      </c>
      <c r="C362" s="2">
        <f>IFERROR(__xludf.DUMMYFUNCTION("""COMPUTED_VALUE"""),721.5)</f>
        <v>721.5</v>
      </c>
      <c r="D362" s="2">
        <f>IFERROR(__xludf.DUMMYFUNCTION("""COMPUTED_VALUE"""),675.25)</f>
        <v>675.25</v>
      </c>
      <c r="E362" s="2">
        <f>IFERROR(__xludf.DUMMYFUNCTION("""COMPUTED_VALUE"""),675.25)</f>
        <v>675.25</v>
      </c>
      <c r="F362" s="2">
        <f>IFERROR(__xludf.DUMMYFUNCTION("""COMPUTED_VALUE"""),2.53058E7)</f>
        <v>25305800</v>
      </c>
      <c r="G362" s="2">
        <f t="shared" si="1"/>
        <v>46.25</v>
      </c>
    </row>
    <row r="363" ht="15.75" customHeight="1">
      <c r="A363" s="1">
        <f>IFERROR(__xludf.DUMMYFUNCTION("""COMPUTED_VALUE"""),44383.625)</f>
        <v>44383.625</v>
      </c>
      <c r="B363" s="2">
        <f>IFERROR(__xludf.DUMMYFUNCTION("""COMPUTED_VALUE"""),675.25)</f>
        <v>675.25</v>
      </c>
      <c r="C363" s="2">
        <f>IFERROR(__xludf.DUMMYFUNCTION("""COMPUTED_VALUE"""),684.5)</f>
        <v>684.5</v>
      </c>
      <c r="D363" s="2">
        <f>IFERROR(__xludf.DUMMYFUNCTION("""COMPUTED_VALUE"""),656.75)</f>
        <v>656.75</v>
      </c>
      <c r="E363" s="2">
        <f>IFERROR(__xludf.DUMMYFUNCTION("""COMPUTED_VALUE"""),661.38)</f>
        <v>661.38</v>
      </c>
      <c r="F363" s="2">
        <f>IFERROR(__xludf.DUMMYFUNCTION("""COMPUTED_VALUE"""),3.12373E7)</f>
        <v>31237300</v>
      </c>
      <c r="G363" s="2">
        <f t="shared" si="1"/>
        <v>27.75</v>
      </c>
    </row>
    <row r="364" ht="15.75" customHeight="1">
      <c r="A364" s="1">
        <f>IFERROR(__xludf.DUMMYFUNCTION("""COMPUTED_VALUE"""),44384.625)</f>
        <v>44384.625</v>
      </c>
      <c r="B364" s="2">
        <f>IFERROR(__xludf.DUMMYFUNCTION("""COMPUTED_VALUE"""),661.38)</f>
        <v>661.38</v>
      </c>
      <c r="C364" s="2">
        <f>IFERROR(__xludf.DUMMYFUNCTION("""COMPUTED_VALUE"""),675.25)</f>
        <v>675.25</v>
      </c>
      <c r="D364" s="2">
        <f>IFERROR(__xludf.DUMMYFUNCTION("""COMPUTED_VALUE"""),647.5)</f>
        <v>647.5</v>
      </c>
      <c r="E364" s="2">
        <f>IFERROR(__xludf.DUMMYFUNCTION("""COMPUTED_VALUE"""),661.38)</f>
        <v>661.38</v>
      </c>
      <c r="F364" s="2">
        <f>IFERROR(__xludf.DUMMYFUNCTION("""COMPUTED_VALUE"""),2.4442E7)</f>
        <v>24442000</v>
      </c>
      <c r="G364" s="2">
        <f t="shared" si="1"/>
        <v>27.75</v>
      </c>
    </row>
    <row r="365" ht="15.75" customHeight="1">
      <c r="A365" s="1">
        <f>IFERROR(__xludf.DUMMYFUNCTION("""COMPUTED_VALUE"""),44385.625)</f>
        <v>44385.625</v>
      </c>
      <c r="B365" s="2">
        <f>IFERROR(__xludf.DUMMYFUNCTION("""COMPUTED_VALUE"""),661.38)</f>
        <v>661.38</v>
      </c>
      <c r="C365" s="2">
        <f>IFERROR(__xludf.DUMMYFUNCTION("""COMPUTED_VALUE"""),666.0)</f>
        <v>666</v>
      </c>
      <c r="D365" s="2">
        <f>IFERROR(__xludf.DUMMYFUNCTION("""COMPUTED_VALUE"""),647.5)</f>
        <v>647.5</v>
      </c>
      <c r="E365" s="2">
        <f>IFERROR(__xludf.DUMMYFUNCTION("""COMPUTED_VALUE"""),647.5)</f>
        <v>647.5</v>
      </c>
      <c r="F365" s="2">
        <f>IFERROR(__xludf.DUMMYFUNCTION("""COMPUTED_VALUE"""),1.88012E7)</f>
        <v>18801200</v>
      </c>
      <c r="G365" s="2">
        <f t="shared" si="1"/>
        <v>18.5</v>
      </c>
    </row>
    <row r="366" ht="15.75" customHeight="1">
      <c r="A366" s="1">
        <f>IFERROR(__xludf.DUMMYFUNCTION("""COMPUTED_VALUE"""),44386.625)</f>
        <v>44386.625</v>
      </c>
      <c r="B366" s="2">
        <f>IFERROR(__xludf.DUMMYFUNCTION("""COMPUTED_VALUE"""),647.5)</f>
        <v>647.5</v>
      </c>
      <c r="C366" s="2">
        <f>IFERROR(__xludf.DUMMYFUNCTION("""COMPUTED_VALUE"""),666.0)</f>
        <v>666</v>
      </c>
      <c r="D366" s="2">
        <f>IFERROR(__xludf.DUMMYFUNCTION("""COMPUTED_VALUE"""),647.5)</f>
        <v>647.5</v>
      </c>
      <c r="E366" s="2">
        <f>IFERROR(__xludf.DUMMYFUNCTION("""COMPUTED_VALUE"""),661.38)</f>
        <v>661.38</v>
      </c>
      <c r="F366" s="2">
        <f>IFERROR(__xludf.DUMMYFUNCTION("""COMPUTED_VALUE"""),1.8797E7)</f>
        <v>18797000</v>
      </c>
      <c r="G366" s="2">
        <f t="shared" si="1"/>
        <v>18.5</v>
      </c>
    </row>
    <row r="367" ht="15.75" customHeight="1">
      <c r="A367" s="1">
        <f>IFERROR(__xludf.DUMMYFUNCTION("""COMPUTED_VALUE"""),44389.625)</f>
        <v>44389.625</v>
      </c>
      <c r="B367" s="2">
        <f>IFERROR(__xludf.DUMMYFUNCTION("""COMPUTED_VALUE"""),666.0)</f>
        <v>666</v>
      </c>
      <c r="C367" s="2">
        <f>IFERROR(__xludf.DUMMYFUNCTION("""COMPUTED_VALUE"""),675.25)</f>
        <v>675.25</v>
      </c>
      <c r="D367" s="2">
        <f>IFERROR(__xludf.DUMMYFUNCTION("""COMPUTED_VALUE"""),656.75)</f>
        <v>656.75</v>
      </c>
      <c r="E367" s="2">
        <f>IFERROR(__xludf.DUMMYFUNCTION("""COMPUTED_VALUE"""),656.75)</f>
        <v>656.75</v>
      </c>
      <c r="F367" s="2">
        <f>IFERROR(__xludf.DUMMYFUNCTION("""COMPUTED_VALUE"""),1.57103E7)</f>
        <v>15710300</v>
      </c>
      <c r="G367" s="2">
        <f t="shared" si="1"/>
        <v>18.5</v>
      </c>
    </row>
    <row r="368" ht="15.75" customHeight="1">
      <c r="A368" s="1">
        <f>IFERROR(__xludf.DUMMYFUNCTION("""COMPUTED_VALUE"""),44390.625)</f>
        <v>44390.625</v>
      </c>
      <c r="B368" s="2">
        <f>IFERROR(__xludf.DUMMYFUNCTION("""COMPUTED_VALUE"""),656.75)</f>
        <v>656.75</v>
      </c>
      <c r="C368" s="2">
        <f>IFERROR(__xludf.DUMMYFUNCTION("""COMPUTED_VALUE"""),666.0)</f>
        <v>666</v>
      </c>
      <c r="D368" s="2">
        <f>IFERROR(__xludf.DUMMYFUNCTION("""COMPUTED_VALUE"""),633.63)</f>
        <v>633.63</v>
      </c>
      <c r="E368" s="2">
        <f>IFERROR(__xludf.DUMMYFUNCTION("""COMPUTED_VALUE"""),638.25)</f>
        <v>638.25</v>
      </c>
      <c r="F368" s="2">
        <f>IFERROR(__xludf.DUMMYFUNCTION("""COMPUTED_VALUE"""),1.70975E7)</f>
        <v>17097500</v>
      </c>
      <c r="G368" s="2">
        <f t="shared" si="1"/>
        <v>32.37</v>
      </c>
    </row>
    <row r="369" ht="15.75" customHeight="1">
      <c r="A369" s="1">
        <f>IFERROR(__xludf.DUMMYFUNCTION("""COMPUTED_VALUE"""),44391.625)</f>
        <v>44391.625</v>
      </c>
      <c r="B369" s="2">
        <f>IFERROR(__xludf.DUMMYFUNCTION("""COMPUTED_VALUE"""),638.25)</f>
        <v>638.25</v>
      </c>
      <c r="C369" s="2">
        <f>IFERROR(__xludf.DUMMYFUNCTION("""COMPUTED_VALUE"""),647.5)</f>
        <v>647.5</v>
      </c>
      <c r="D369" s="2">
        <f>IFERROR(__xludf.DUMMYFUNCTION("""COMPUTED_VALUE"""),619.75)</f>
        <v>619.75</v>
      </c>
      <c r="E369" s="2">
        <f>IFERROR(__xludf.DUMMYFUNCTION("""COMPUTED_VALUE"""),619.75)</f>
        <v>619.75</v>
      </c>
      <c r="F369" s="2">
        <f>IFERROR(__xludf.DUMMYFUNCTION("""COMPUTED_VALUE"""),2.29145E7)</f>
        <v>22914500</v>
      </c>
      <c r="G369" s="2">
        <f t="shared" si="1"/>
        <v>27.75</v>
      </c>
    </row>
    <row r="370" ht="15.75" customHeight="1">
      <c r="A370" s="1">
        <f>IFERROR(__xludf.DUMMYFUNCTION("""COMPUTED_VALUE"""),44392.625)</f>
        <v>44392.625</v>
      </c>
      <c r="B370" s="2">
        <f>IFERROR(__xludf.DUMMYFUNCTION("""COMPUTED_VALUE"""),624.38)</f>
        <v>624.38</v>
      </c>
      <c r="C370" s="2">
        <f>IFERROR(__xludf.DUMMYFUNCTION("""COMPUTED_VALUE"""),633.63)</f>
        <v>633.63</v>
      </c>
      <c r="D370" s="2">
        <f>IFERROR(__xludf.DUMMYFUNCTION("""COMPUTED_VALUE"""),610.5)</f>
        <v>610.5</v>
      </c>
      <c r="E370" s="2">
        <f>IFERROR(__xludf.DUMMYFUNCTION("""COMPUTED_VALUE"""),610.5)</f>
        <v>610.5</v>
      </c>
      <c r="F370" s="2">
        <f>IFERROR(__xludf.DUMMYFUNCTION("""COMPUTED_VALUE"""),1.9696E7)</f>
        <v>19696000</v>
      </c>
      <c r="G370" s="2">
        <f t="shared" si="1"/>
        <v>23.13</v>
      </c>
    </row>
    <row r="371" ht="15.75" customHeight="1">
      <c r="A371" s="1">
        <f>IFERROR(__xludf.DUMMYFUNCTION("""COMPUTED_VALUE"""),44393.625)</f>
        <v>44393.625</v>
      </c>
      <c r="B371" s="2">
        <f>IFERROR(__xludf.DUMMYFUNCTION("""COMPUTED_VALUE"""),615.13)</f>
        <v>615.13</v>
      </c>
      <c r="C371" s="2">
        <f>IFERROR(__xludf.DUMMYFUNCTION("""COMPUTED_VALUE"""),638.25)</f>
        <v>638.25</v>
      </c>
      <c r="D371" s="2">
        <f>IFERROR(__xludf.DUMMYFUNCTION("""COMPUTED_VALUE"""),615.13)</f>
        <v>615.13</v>
      </c>
      <c r="E371" s="2">
        <f>IFERROR(__xludf.DUMMYFUNCTION("""COMPUTED_VALUE"""),629.0)</f>
        <v>629</v>
      </c>
      <c r="F371" s="2">
        <f>IFERROR(__xludf.DUMMYFUNCTION("""COMPUTED_VALUE"""),2.01986E7)</f>
        <v>20198600</v>
      </c>
      <c r="G371" s="2">
        <f t="shared" si="1"/>
        <v>27.75</v>
      </c>
    </row>
    <row r="372" ht="15.75" customHeight="1">
      <c r="A372" s="1">
        <f>IFERROR(__xludf.DUMMYFUNCTION("""COMPUTED_VALUE"""),44396.625)</f>
        <v>44396.625</v>
      </c>
      <c r="B372" s="2">
        <f>IFERROR(__xludf.DUMMYFUNCTION("""COMPUTED_VALUE"""),629.0)</f>
        <v>629</v>
      </c>
      <c r="C372" s="2">
        <f>IFERROR(__xludf.DUMMYFUNCTION("""COMPUTED_VALUE"""),642.88)</f>
        <v>642.88</v>
      </c>
      <c r="D372" s="2">
        <f>IFERROR(__xludf.DUMMYFUNCTION("""COMPUTED_VALUE"""),619.75)</f>
        <v>619.75</v>
      </c>
      <c r="E372" s="2">
        <f>IFERROR(__xludf.DUMMYFUNCTION("""COMPUTED_VALUE"""),638.25)</f>
        <v>638.25</v>
      </c>
      <c r="F372" s="2">
        <f>IFERROR(__xludf.DUMMYFUNCTION("""COMPUTED_VALUE"""),1.01673E7)</f>
        <v>10167300</v>
      </c>
      <c r="G372" s="2">
        <f t="shared" si="1"/>
        <v>23.13</v>
      </c>
    </row>
    <row r="373" ht="15.75" customHeight="1">
      <c r="A373" s="1">
        <f>IFERROR(__xludf.DUMMYFUNCTION("""COMPUTED_VALUE"""),44398.625)</f>
        <v>44398.625</v>
      </c>
      <c r="B373" s="2">
        <f>IFERROR(__xludf.DUMMYFUNCTION("""COMPUTED_VALUE"""),638.25)</f>
        <v>638.25</v>
      </c>
      <c r="C373" s="2">
        <f>IFERROR(__xludf.DUMMYFUNCTION("""COMPUTED_VALUE"""),716.88)</f>
        <v>716.88</v>
      </c>
      <c r="D373" s="2">
        <f>IFERROR(__xludf.DUMMYFUNCTION("""COMPUTED_VALUE"""),638.25)</f>
        <v>638.25</v>
      </c>
      <c r="E373" s="2">
        <f>IFERROR(__xludf.DUMMYFUNCTION("""COMPUTED_VALUE"""),698.38)</f>
        <v>698.38</v>
      </c>
      <c r="F373" s="2">
        <f>IFERROR(__xludf.DUMMYFUNCTION("""COMPUTED_VALUE"""),7.01751E7)</f>
        <v>70175100</v>
      </c>
      <c r="G373" s="2">
        <f t="shared" si="1"/>
        <v>78.63</v>
      </c>
    </row>
    <row r="374" ht="15.75" customHeight="1">
      <c r="A374" s="1">
        <f>IFERROR(__xludf.DUMMYFUNCTION("""COMPUTED_VALUE"""),44399.625)</f>
        <v>44399.625</v>
      </c>
      <c r="B374" s="2">
        <f>IFERROR(__xludf.DUMMYFUNCTION("""COMPUTED_VALUE"""),707.63)</f>
        <v>707.63</v>
      </c>
      <c r="C374" s="2">
        <f>IFERROR(__xludf.DUMMYFUNCTION("""COMPUTED_VALUE"""),740.0)</f>
        <v>740</v>
      </c>
      <c r="D374" s="2">
        <f>IFERROR(__xludf.DUMMYFUNCTION("""COMPUTED_VALUE"""),693.75)</f>
        <v>693.75</v>
      </c>
      <c r="E374" s="2">
        <f>IFERROR(__xludf.DUMMYFUNCTION("""COMPUTED_VALUE"""),703.0)</f>
        <v>703</v>
      </c>
      <c r="F374" s="2">
        <f>IFERROR(__xludf.DUMMYFUNCTION("""COMPUTED_VALUE"""),4.58048E7)</f>
        <v>45804800</v>
      </c>
      <c r="G374" s="2">
        <f t="shared" si="1"/>
        <v>46.25</v>
      </c>
    </row>
    <row r="375" ht="15.75" customHeight="1">
      <c r="A375" s="1">
        <f>IFERROR(__xludf.DUMMYFUNCTION("""COMPUTED_VALUE"""),44400.625)</f>
        <v>44400.625</v>
      </c>
      <c r="B375" s="2">
        <f>IFERROR(__xludf.DUMMYFUNCTION("""COMPUTED_VALUE"""),703.0)</f>
        <v>703</v>
      </c>
      <c r="C375" s="2">
        <f>IFERROR(__xludf.DUMMYFUNCTION("""COMPUTED_VALUE"""),721.5)</f>
        <v>721.5</v>
      </c>
      <c r="D375" s="2">
        <f>IFERROR(__xludf.DUMMYFUNCTION("""COMPUTED_VALUE"""),679.88)</f>
        <v>679.88</v>
      </c>
      <c r="E375" s="2">
        <f>IFERROR(__xludf.DUMMYFUNCTION("""COMPUTED_VALUE"""),684.5)</f>
        <v>684.5</v>
      </c>
      <c r="F375" s="2">
        <f>IFERROR(__xludf.DUMMYFUNCTION("""COMPUTED_VALUE"""),2.59318E7)</f>
        <v>25931800</v>
      </c>
      <c r="G375" s="2">
        <f t="shared" si="1"/>
        <v>41.62</v>
      </c>
    </row>
    <row r="376" ht="15.75" customHeight="1">
      <c r="A376" s="1">
        <f>IFERROR(__xludf.DUMMYFUNCTION("""COMPUTED_VALUE"""),44403.625)</f>
        <v>44403.625</v>
      </c>
      <c r="B376" s="2">
        <f>IFERROR(__xludf.DUMMYFUNCTION("""COMPUTED_VALUE"""),684.5)</f>
        <v>684.5</v>
      </c>
      <c r="C376" s="2">
        <f>IFERROR(__xludf.DUMMYFUNCTION("""COMPUTED_VALUE"""),693.75)</f>
        <v>693.75</v>
      </c>
      <c r="D376" s="2">
        <f>IFERROR(__xludf.DUMMYFUNCTION("""COMPUTED_VALUE"""),670.63)</f>
        <v>670.63</v>
      </c>
      <c r="E376" s="2">
        <f>IFERROR(__xludf.DUMMYFUNCTION("""COMPUTED_VALUE"""),675.25)</f>
        <v>675.25</v>
      </c>
      <c r="F376" s="2">
        <f>IFERROR(__xludf.DUMMYFUNCTION("""COMPUTED_VALUE"""),1.37015E7)</f>
        <v>13701500</v>
      </c>
      <c r="G376" s="2">
        <f t="shared" si="1"/>
        <v>23.12</v>
      </c>
    </row>
    <row r="377" ht="15.75" customHeight="1">
      <c r="A377" s="1">
        <f>IFERROR(__xludf.DUMMYFUNCTION("""COMPUTED_VALUE"""),44404.625)</f>
        <v>44404.625</v>
      </c>
      <c r="B377" s="2">
        <f>IFERROR(__xludf.DUMMYFUNCTION("""COMPUTED_VALUE"""),675.25)</f>
        <v>675.25</v>
      </c>
      <c r="C377" s="2">
        <f>IFERROR(__xludf.DUMMYFUNCTION("""COMPUTED_VALUE"""),716.88)</f>
        <v>716.88</v>
      </c>
      <c r="D377" s="2">
        <f>IFERROR(__xludf.DUMMYFUNCTION("""COMPUTED_VALUE"""),675.25)</f>
        <v>675.25</v>
      </c>
      <c r="E377" s="2">
        <f>IFERROR(__xludf.DUMMYFUNCTION("""COMPUTED_VALUE"""),684.5)</f>
        <v>684.5</v>
      </c>
      <c r="F377" s="2">
        <f>IFERROR(__xludf.DUMMYFUNCTION("""COMPUTED_VALUE"""),1.48506E7)</f>
        <v>14850600</v>
      </c>
      <c r="G377" s="2">
        <f t="shared" si="1"/>
        <v>41.63</v>
      </c>
    </row>
    <row r="378" ht="15.75" customHeight="1">
      <c r="A378" s="1">
        <f>IFERROR(__xludf.DUMMYFUNCTION("""COMPUTED_VALUE"""),44405.625)</f>
        <v>44405.625</v>
      </c>
      <c r="B378" s="2">
        <f>IFERROR(__xludf.DUMMYFUNCTION("""COMPUTED_VALUE"""),684.5)</f>
        <v>684.5</v>
      </c>
      <c r="C378" s="2">
        <f>IFERROR(__xludf.DUMMYFUNCTION("""COMPUTED_VALUE"""),689.13)</f>
        <v>689.13</v>
      </c>
      <c r="D378" s="2">
        <f>IFERROR(__xludf.DUMMYFUNCTION("""COMPUTED_VALUE"""),647.5)</f>
        <v>647.5</v>
      </c>
      <c r="E378" s="2">
        <f>IFERROR(__xludf.DUMMYFUNCTION("""COMPUTED_VALUE"""),652.13)</f>
        <v>652.13</v>
      </c>
      <c r="F378" s="2">
        <f>IFERROR(__xludf.DUMMYFUNCTION("""COMPUTED_VALUE"""),1.44322E7)</f>
        <v>14432200</v>
      </c>
      <c r="G378" s="2">
        <f t="shared" si="1"/>
        <v>41.63</v>
      </c>
    </row>
    <row r="379" ht="15.75" customHeight="1">
      <c r="A379" s="1">
        <f>IFERROR(__xludf.DUMMYFUNCTION("""COMPUTED_VALUE"""),44406.625)</f>
        <v>44406.625</v>
      </c>
      <c r="B379" s="2">
        <f>IFERROR(__xludf.DUMMYFUNCTION("""COMPUTED_VALUE"""),656.75)</f>
        <v>656.75</v>
      </c>
      <c r="C379" s="2">
        <f>IFERROR(__xludf.DUMMYFUNCTION("""COMPUTED_VALUE"""),661.38)</f>
        <v>661.38</v>
      </c>
      <c r="D379" s="2">
        <f>IFERROR(__xludf.DUMMYFUNCTION("""COMPUTED_VALUE"""),638.25)</f>
        <v>638.25</v>
      </c>
      <c r="E379" s="2">
        <f>IFERROR(__xludf.DUMMYFUNCTION("""COMPUTED_VALUE"""),647.5)</f>
        <v>647.5</v>
      </c>
      <c r="F379" s="2">
        <f>IFERROR(__xludf.DUMMYFUNCTION("""COMPUTED_VALUE"""),1.47553E7)</f>
        <v>14755300</v>
      </c>
      <c r="G379" s="2">
        <f t="shared" si="1"/>
        <v>23.13</v>
      </c>
    </row>
    <row r="380" ht="15.75" customHeight="1">
      <c r="A380" s="1">
        <f>IFERROR(__xludf.DUMMYFUNCTION("""COMPUTED_VALUE"""),44407.625)</f>
        <v>44407.625</v>
      </c>
      <c r="B380" s="2">
        <f>IFERROR(__xludf.DUMMYFUNCTION("""COMPUTED_VALUE"""),647.5)</f>
        <v>647.5</v>
      </c>
      <c r="C380" s="2">
        <f>IFERROR(__xludf.DUMMYFUNCTION("""COMPUTED_VALUE"""),652.13)</f>
        <v>652.13</v>
      </c>
      <c r="D380" s="2">
        <f>IFERROR(__xludf.DUMMYFUNCTION("""COMPUTED_VALUE"""),629.0)</f>
        <v>629</v>
      </c>
      <c r="E380" s="2">
        <f>IFERROR(__xludf.DUMMYFUNCTION("""COMPUTED_VALUE"""),633.63)</f>
        <v>633.63</v>
      </c>
      <c r="F380" s="2">
        <f>IFERROR(__xludf.DUMMYFUNCTION("""COMPUTED_VALUE"""),2.10114E7)</f>
        <v>21011400</v>
      </c>
      <c r="G380" s="2">
        <f t="shared" si="1"/>
        <v>23.13</v>
      </c>
    </row>
    <row r="381" ht="15.75" customHeight="1">
      <c r="A381" s="1">
        <f>IFERROR(__xludf.DUMMYFUNCTION("""COMPUTED_VALUE"""),44410.625)</f>
        <v>44410.625</v>
      </c>
      <c r="B381" s="2">
        <f>IFERROR(__xludf.DUMMYFUNCTION("""COMPUTED_VALUE"""),633.63)</f>
        <v>633.63</v>
      </c>
      <c r="C381" s="2">
        <f>IFERROR(__xludf.DUMMYFUNCTION("""COMPUTED_VALUE"""),661.38)</f>
        <v>661.38</v>
      </c>
      <c r="D381" s="2">
        <f>IFERROR(__xludf.DUMMYFUNCTION("""COMPUTED_VALUE"""),619.75)</f>
        <v>619.75</v>
      </c>
      <c r="E381" s="2">
        <f>IFERROR(__xludf.DUMMYFUNCTION("""COMPUTED_VALUE"""),647.5)</f>
        <v>647.5</v>
      </c>
      <c r="F381" s="2">
        <f>IFERROR(__xludf.DUMMYFUNCTION("""COMPUTED_VALUE"""),2.20033E7)</f>
        <v>22003300</v>
      </c>
      <c r="G381" s="2">
        <f t="shared" si="1"/>
        <v>41.63</v>
      </c>
    </row>
    <row r="382" ht="15.75" customHeight="1">
      <c r="A382" s="1">
        <f>IFERROR(__xludf.DUMMYFUNCTION("""COMPUTED_VALUE"""),44411.625)</f>
        <v>44411.625</v>
      </c>
      <c r="B382" s="2">
        <f>IFERROR(__xludf.DUMMYFUNCTION("""COMPUTED_VALUE"""),656.75)</f>
        <v>656.75</v>
      </c>
      <c r="C382" s="2">
        <f>IFERROR(__xludf.DUMMYFUNCTION("""COMPUTED_VALUE"""),666.0)</f>
        <v>666</v>
      </c>
      <c r="D382" s="2">
        <f>IFERROR(__xludf.DUMMYFUNCTION("""COMPUTED_VALUE"""),647.5)</f>
        <v>647.5</v>
      </c>
      <c r="E382" s="2">
        <f>IFERROR(__xludf.DUMMYFUNCTION("""COMPUTED_VALUE"""),666.0)</f>
        <v>666</v>
      </c>
      <c r="F382" s="2">
        <f>IFERROR(__xludf.DUMMYFUNCTION("""COMPUTED_VALUE"""),1.17972E7)</f>
        <v>11797200</v>
      </c>
      <c r="G382" s="2">
        <f t="shared" si="1"/>
        <v>18.5</v>
      </c>
    </row>
    <row r="383" ht="15.75" customHeight="1">
      <c r="A383" s="1">
        <f>IFERROR(__xludf.DUMMYFUNCTION("""COMPUTED_VALUE"""),44412.625)</f>
        <v>44412.625</v>
      </c>
      <c r="B383" s="2">
        <f>IFERROR(__xludf.DUMMYFUNCTION("""COMPUTED_VALUE"""),666.0)</f>
        <v>666</v>
      </c>
      <c r="C383" s="2">
        <f>IFERROR(__xludf.DUMMYFUNCTION("""COMPUTED_VALUE"""),670.63)</f>
        <v>670.63</v>
      </c>
      <c r="D383" s="2">
        <f>IFERROR(__xludf.DUMMYFUNCTION("""COMPUTED_VALUE"""),638.25)</f>
        <v>638.25</v>
      </c>
      <c r="E383" s="2">
        <f>IFERROR(__xludf.DUMMYFUNCTION("""COMPUTED_VALUE"""),647.5)</f>
        <v>647.5</v>
      </c>
      <c r="F383" s="2">
        <f>IFERROR(__xludf.DUMMYFUNCTION("""COMPUTED_VALUE"""),2.66838E7)</f>
        <v>26683800</v>
      </c>
      <c r="G383" s="2">
        <f t="shared" si="1"/>
        <v>32.38</v>
      </c>
    </row>
    <row r="384" ht="15.75" customHeight="1">
      <c r="A384" s="1">
        <f>IFERROR(__xludf.DUMMYFUNCTION("""COMPUTED_VALUE"""),44413.625)</f>
        <v>44413.625</v>
      </c>
      <c r="B384" s="2">
        <f>IFERROR(__xludf.DUMMYFUNCTION("""COMPUTED_VALUE"""),647.5)</f>
        <v>647.5</v>
      </c>
      <c r="C384" s="2">
        <f>IFERROR(__xludf.DUMMYFUNCTION("""COMPUTED_VALUE"""),661.38)</f>
        <v>661.38</v>
      </c>
      <c r="D384" s="2">
        <f>IFERROR(__xludf.DUMMYFUNCTION("""COMPUTED_VALUE"""),633.63)</f>
        <v>633.63</v>
      </c>
      <c r="E384" s="2">
        <f>IFERROR(__xludf.DUMMYFUNCTION("""COMPUTED_VALUE"""),647.5)</f>
        <v>647.5</v>
      </c>
      <c r="F384" s="2">
        <f>IFERROR(__xludf.DUMMYFUNCTION("""COMPUTED_VALUE"""),2.73917E7)</f>
        <v>27391700</v>
      </c>
      <c r="G384" s="2">
        <f t="shared" si="1"/>
        <v>27.75</v>
      </c>
    </row>
    <row r="385" ht="15.75" customHeight="1">
      <c r="A385" s="1">
        <f>IFERROR(__xludf.DUMMYFUNCTION("""COMPUTED_VALUE"""),44414.625)</f>
        <v>44414.625</v>
      </c>
      <c r="B385" s="2">
        <f>IFERROR(__xludf.DUMMYFUNCTION("""COMPUTED_VALUE"""),652.13)</f>
        <v>652.13</v>
      </c>
      <c r="C385" s="2">
        <f>IFERROR(__xludf.DUMMYFUNCTION("""COMPUTED_VALUE"""),656.75)</f>
        <v>656.75</v>
      </c>
      <c r="D385" s="2">
        <f>IFERROR(__xludf.DUMMYFUNCTION("""COMPUTED_VALUE"""),642.88)</f>
        <v>642.88</v>
      </c>
      <c r="E385" s="2">
        <f>IFERROR(__xludf.DUMMYFUNCTION("""COMPUTED_VALUE"""),647.5)</f>
        <v>647.5</v>
      </c>
      <c r="F385" s="2">
        <f>IFERROR(__xludf.DUMMYFUNCTION("""COMPUTED_VALUE"""),8188600.0)</f>
        <v>8188600</v>
      </c>
      <c r="G385" s="2">
        <f t="shared" si="1"/>
        <v>13.87</v>
      </c>
    </row>
    <row r="386" ht="15.75" customHeight="1">
      <c r="A386" s="1">
        <f>IFERROR(__xludf.DUMMYFUNCTION("""COMPUTED_VALUE"""),44417.625)</f>
        <v>44417.625</v>
      </c>
      <c r="B386" s="2">
        <f>IFERROR(__xludf.DUMMYFUNCTION("""COMPUTED_VALUE"""),652.13)</f>
        <v>652.13</v>
      </c>
      <c r="C386" s="2">
        <f>IFERROR(__xludf.DUMMYFUNCTION("""COMPUTED_VALUE"""),656.75)</f>
        <v>656.75</v>
      </c>
      <c r="D386" s="2">
        <f>IFERROR(__xludf.DUMMYFUNCTION("""COMPUTED_VALUE"""),638.25)</f>
        <v>638.25</v>
      </c>
      <c r="E386" s="2">
        <f>IFERROR(__xludf.DUMMYFUNCTION("""COMPUTED_VALUE"""),642.88)</f>
        <v>642.88</v>
      </c>
      <c r="F386" s="2">
        <f>IFERROR(__xludf.DUMMYFUNCTION("""COMPUTED_VALUE"""),1.12537E7)</f>
        <v>11253700</v>
      </c>
      <c r="G386" s="2">
        <f t="shared" si="1"/>
        <v>18.5</v>
      </c>
    </row>
    <row r="387" ht="15.75" customHeight="1">
      <c r="A387" s="1">
        <f>IFERROR(__xludf.DUMMYFUNCTION("""COMPUTED_VALUE"""),44418.625)</f>
        <v>44418.625</v>
      </c>
      <c r="B387" s="2">
        <f>IFERROR(__xludf.DUMMYFUNCTION("""COMPUTED_VALUE"""),647.5)</f>
        <v>647.5</v>
      </c>
      <c r="C387" s="2">
        <f>IFERROR(__xludf.DUMMYFUNCTION("""COMPUTED_VALUE"""),647.5)</f>
        <v>647.5</v>
      </c>
      <c r="D387" s="2">
        <f>IFERROR(__xludf.DUMMYFUNCTION("""COMPUTED_VALUE"""),633.63)</f>
        <v>633.63</v>
      </c>
      <c r="E387" s="2">
        <f>IFERROR(__xludf.DUMMYFUNCTION("""COMPUTED_VALUE"""),647.5)</f>
        <v>647.5</v>
      </c>
      <c r="F387" s="2">
        <f>IFERROR(__xludf.DUMMYFUNCTION("""COMPUTED_VALUE"""),8033500.0)</f>
        <v>8033500</v>
      </c>
      <c r="G387" s="2">
        <f t="shared" si="1"/>
        <v>13.87</v>
      </c>
    </row>
    <row r="388" ht="15.75" customHeight="1">
      <c r="A388" s="1">
        <f>IFERROR(__xludf.DUMMYFUNCTION("""COMPUTED_VALUE"""),44420.625)</f>
        <v>44420.625</v>
      </c>
      <c r="B388" s="2">
        <f>IFERROR(__xludf.DUMMYFUNCTION("""COMPUTED_VALUE"""),647.5)</f>
        <v>647.5</v>
      </c>
      <c r="C388" s="2">
        <f>IFERROR(__xludf.DUMMYFUNCTION("""COMPUTED_VALUE"""),670.63)</f>
        <v>670.63</v>
      </c>
      <c r="D388" s="2">
        <f>IFERROR(__xludf.DUMMYFUNCTION("""COMPUTED_VALUE"""),642.88)</f>
        <v>642.88</v>
      </c>
      <c r="E388" s="2">
        <f>IFERROR(__xludf.DUMMYFUNCTION("""COMPUTED_VALUE"""),661.38)</f>
        <v>661.38</v>
      </c>
      <c r="F388" s="2">
        <f>IFERROR(__xludf.DUMMYFUNCTION("""COMPUTED_VALUE"""),1.65061E7)</f>
        <v>16506100</v>
      </c>
      <c r="G388" s="2">
        <f t="shared" si="1"/>
        <v>27.75</v>
      </c>
    </row>
    <row r="389" ht="15.75" customHeight="1">
      <c r="A389" s="1">
        <f>IFERROR(__xludf.DUMMYFUNCTION("""COMPUTED_VALUE"""),44421.625)</f>
        <v>44421.625</v>
      </c>
      <c r="B389" s="2">
        <f>IFERROR(__xludf.DUMMYFUNCTION("""COMPUTED_VALUE"""),661.38)</f>
        <v>661.38</v>
      </c>
      <c r="C389" s="2">
        <f>IFERROR(__xludf.DUMMYFUNCTION("""COMPUTED_VALUE"""),670.63)</f>
        <v>670.63</v>
      </c>
      <c r="D389" s="2">
        <f>IFERROR(__xludf.DUMMYFUNCTION("""COMPUTED_VALUE"""),647.5)</f>
        <v>647.5</v>
      </c>
      <c r="E389" s="2">
        <f>IFERROR(__xludf.DUMMYFUNCTION("""COMPUTED_VALUE"""),652.13)</f>
        <v>652.13</v>
      </c>
      <c r="F389" s="2">
        <f>IFERROR(__xludf.DUMMYFUNCTION("""COMPUTED_VALUE"""),7679500.0)</f>
        <v>7679500</v>
      </c>
      <c r="G389" s="2">
        <f t="shared" si="1"/>
        <v>23.13</v>
      </c>
    </row>
    <row r="390" ht="15.75" customHeight="1">
      <c r="A390" s="1">
        <f>IFERROR(__xludf.DUMMYFUNCTION("""COMPUTED_VALUE"""),44424.625)</f>
        <v>44424.625</v>
      </c>
      <c r="B390" s="2">
        <f>IFERROR(__xludf.DUMMYFUNCTION("""COMPUTED_VALUE"""),661.38)</f>
        <v>661.38</v>
      </c>
      <c r="C390" s="2">
        <f>IFERROR(__xludf.DUMMYFUNCTION("""COMPUTED_VALUE"""),661.38)</f>
        <v>661.38</v>
      </c>
      <c r="D390" s="2">
        <f>IFERROR(__xludf.DUMMYFUNCTION("""COMPUTED_VALUE"""),642.88)</f>
        <v>642.88</v>
      </c>
      <c r="E390" s="2">
        <f>IFERROR(__xludf.DUMMYFUNCTION("""COMPUTED_VALUE"""),647.5)</f>
        <v>647.5</v>
      </c>
      <c r="F390" s="2">
        <f>IFERROR(__xludf.DUMMYFUNCTION("""COMPUTED_VALUE"""),9107600.0)</f>
        <v>9107600</v>
      </c>
      <c r="G390" s="2">
        <f t="shared" si="1"/>
        <v>18.5</v>
      </c>
    </row>
    <row r="391" ht="15.75" customHeight="1">
      <c r="A391" s="1">
        <f>IFERROR(__xludf.DUMMYFUNCTION("""COMPUTED_VALUE"""),44426.625)</f>
        <v>44426.625</v>
      </c>
      <c r="B391" s="2">
        <f>IFERROR(__xludf.DUMMYFUNCTION("""COMPUTED_VALUE"""),652.13)</f>
        <v>652.13</v>
      </c>
      <c r="C391" s="2">
        <f>IFERROR(__xludf.DUMMYFUNCTION("""COMPUTED_VALUE"""),656.75)</f>
        <v>656.75</v>
      </c>
      <c r="D391" s="2">
        <f>IFERROR(__xludf.DUMMYFUNCTION("""COMPUTED_VALUE"""),633.63)</f>
        <v>633.63</v>
      </c>
      <c r="E391" s="2">
        <f>IFERROR(__xludf.DUMMYFUNCTION("""COMPUTED_VALUE"""),647.5)</f>
        <v>647.5</v>
      </c>
      <c r="F391" s="2">
        <f>IFERROR(__xludf.DUMMYFUNCTION("""COMPUTED_VALUE"""),1.4852E7)</f>
        <v>14852000</v>
      </c>
      <c r="G391" s="2">
        <f t="shared" si="1"/>
        <v>23.12</v>
      </c>
    </row>
    <row r="392" ht="15.75" customHeight="1">
      <c r="A392" s="1">
        <f>IFERROR(__xludf.DUMMYFUNCTION("""COMPUTED_VALUE"""),44427.625)</f>
        <v>44427.625</v>
      </c>
      <c r="B392" s="2">
        <f>IFERROR(__xludf.DUMMYFUNCTION("""COMPUTED_VALUE"""),647.5)</f>
        <v>647.5</v>
      </c>
      <c r="C392" s="2">
        <f>IFERROR(__xludf.DUMMYFUNCTION("""COMPUTED_VALUE"""),647.5)</f>
        <v>647.5</v>
      </c>
      <c r="D392" s="2">
        <f>IFERROR(__xludf.DUMMYFUNCTION("""COMPUTED_VALUE"""),624.38)</f>
        <v>624.38</v>
      </c>
      <c r="E392" s="2">
        <f>IFERROR(__xludf.DUMMYFUNCTION("""COMPUTED_VALUE"""),629.0)</f>
        <v>629</v>
      </c>
      <c r="F392" s="2">
        <f>IFERROR(__xludf.DUMMYFUNCTION("""COMPUTED_VALUE"""),1.48111E7)</f>
        <v>14811100</v>
      </c>
      <c r="G392" s="2">
        <f t="shared" si="1"/>
        <v>23.12</v>
      </c>
    </row>
    <row r="393" ht="15.75" customHeight="1">
      <c r="A393" s="1">
        <f>IFERROR(__xludf.DUMMYFUNCTION("""COMPUTED_VALUE"""),44428.625)</f>
        <v>44428.625</v>
      </c>
      <c r="B393" s="2">
        <f>IFERROR(__xludf.DUMMYFUNCTION("""COMPUTED_VALUE"""),629.0)</f>
        <v>629</v>
      </c>
      <c r="C393" s="2">
        <f>IFERROR(__xludf.DUMMYFUNCTION("""COMPUTED_VALUE"""),633.63)</f>
        <v>633.63</v>
      </c>
      <c r="D393" s="2">
        <f>IFERROR(__xludf.DUMMYFUNCTION("""COMPUTED_VALUE"""),610.5)</f>
        <v>610.5</v>
      </c>
      <c r="E393" s="2">
        <f>IFERROR(__xludf.DUMMYFUNCTION("""COMPUTED_VALUE"""),619.75)</f>
        <v>619.75</v>
      </c>
      <c r="F393" s="2">
        <f>IFERROR(__xludf.DUMMYFUNCTION("""COMPUTED_VALUE"""),1.75562E7)</f>
        <v>17556200</v>
      </c>
      <c r="G393" s="2">
        <f t="shared" si="1"/>
        <v>23.13</v>
      </c>
    </row>
    <row r="394" ht="15.75" customHeight="1">
      <c r="A394" s="1">
        <f>IFERROR(__xludf.DUMMYFUNCTION("""COMPUTED_VALUE"""),44431.66666666667)</f>
        <v>44431.66667</v>
      </c>
      <c r="B394" s="2">
        <f>IFERROR(__xludf.DUMMYFUNCTION("""COMPUTED_VALUE"""),624.38)</f>
        <v>624.38</v>
      </c>
      <c r="C394" s="2">
        <f>IFERROR(__xludf.DUMMYFUNCTION("""COMPUTED_VALUE"""),652.13)</f>
        <v>652.13</v>
      </c>
      <c r="D394" s="2">
        <f>IFERROR(__xludf.DUMMYFUNCTION("""COMPUTED_VALUE"""),624.38)</f>
        <v>624.38</v>
      </c>
      <c r="E394" s="2">
        <f>IFERROR(__xludf.DUMMYFUNCTION("""COMPUTED_VALUE"""),647.5)</f>
        <v>647.5</v>
      </c>
      <c r="F394" s="2">
        <f>IFERROR(__xludf.DUMMYFUNCTION("""COMPUTED_VALUE"""),1.30062E7)</f>
        <v>13006200</v>
      </c>
      <c r="G394" s="2">
        <f t="shared" si="1"/>
        <v>32.38</v>
      </c>
    </row>
    <row r="395" ht="15.75" customHeight="1">
      <c r="A395" s="1">
        <f>IFERROR(__xludf.DUMMYFUNCTION("""COMPUTED_VALUE"""),44432.66666666667)</f>
        <v>44432.66667</v>
      </c>
      <c r="B395" s="2">
        <f>IFERROR(__xludf.DUMMYFUNCTION("""COMPUTED_VALUE"""),652.13)</f>
        <v>652.13</v>
      </c>
      <c r="C395" s="2">
        <f>IFERROR(__xludf.DUMMYFUNCTION("""COMPUTED_VALUE"""),666.0)</f>
        <v>666</v>
      </c>
      <c r="D395" s="2">
        <f>IFERROR(__xludf.DUMMYFUNCTION("""COMPUTED_VALUE"""),647.5)</f>
        <v>647.5</v>
      </c>
      <c r="E395" s="2">
        <f>IFERROR(__xludf.DUMMYFUNCTION("""COMPUTED_VALUE"""),652.13)</f>
        <v>652.13</v>
      </c>
      <c r="F395" s="2">
        <f>IFERROR(__xludf.DUMMYFUNCTION("""COMPUTED_VALUE"""),1.59105E7)</f>
        <v>15910500</v>
      </c>
      <c r="G395" s="2">
        <f t="shared" si="1"/>
        <v>18.5</v>
      </c>
    </row>
    <row r="396" ht="15.75" customHeight="1">
      <c r="A396" s="1">
        <f>IFERROR(__xludf.DUMMYFUNCTION("""COMPUTED_VALUE"""),44433.625)</f>
        <v>44433.625</v>
      </c>
      <c r="B396" s="2">
        <f>IFERROR(__xludf.DUMMYFUNCTION("""COMPUTED_VALUE"""),652.13)</f>
        <v>652.13</v>
      </c>
      <c r="C396" s="2">
        <f>IFERROR(__xludf.DUMMYFUNCTION("""COMPUTED_VALUE"""),689.13)</f>
        <v>689.13</v>
      </c>
      <c r="D396" s="2">
        <f>IFERROR(__xludf.DUMMYFUNCTION("""COMPUTED_VALUE"""),652.13)</f>
        <v>652.13</v>
      </c>
      <c r="E396" s="2">
        <f>IFERROR(__xludf.DUMMYFUNCTION("""COMPUTED_VALUE"""),666.0)</f>
        <v>666</v>
      </c>
      <c r="F396" s="2">
        <f>IFERROR(__xludf.DUMMYFUNCTION("""COMPUTED_VALUE"""),3.60708E7)</f>
        <v>36070800</v>
      </c>
      <c r="G396" s="2">
        <f t="shared" si="1"/>
        <v>37</v>
      </c>
    </row>
    <row r="397" ht="15.75" customHeight="1">
      <c r="A397" s="1">
        <f>IFERROR(__xludf.DUMMYFUNCTION("""COMPUTED_VALUE"""),44434.625)</f>
        <v>44434.625</v>
      </c>
      <c r="B397" s="2">
        <f>IFERROR(__xludf.DUMMYFUNCTION("""COMPUTED_VALUE"""),666.0)</f>
        <v>666</v>
      </c>
      <c r="C397" s="2">
        <f>IFERROR(__xludf.DUMMYFUNCTION("""COMPUTED_VALUE"""),670.63)</f>
        <v>670.63</v>
      </c>
      <c r="D397" s="2">
        <f>IFERROR(__xludf.DUMMYFUNCTION("""COMPUTED_VALUE"""),647.5)</f>
        <v>647.5</v>
      </c>
      <c r="E397" s="2">
        <f>IFERROR(__xludf.DUMMYFUNCTION("""COMPUTED_VALUE"""),656.75)</f>
        <v>656.75</v>
      </c>
      <c r="F397" s="2">
        <f>IFERROR(__xludf.DUMMYFUNCTION("""COMPUTED_VALUE"""),8242900.0)</f>
        <v>8242900</v>
      </c>
      <c r="G397" s="2">
        <f t="shared" si="1"/>
        <v>23.13</v>
      </c>
    </row>
    <row r="398" ht="15.75" customHeight="1">
      <c r="A398" s="1">
        <f>IFERROR(__xludf.DUMMYFUNCTION("""COMPUTED_VALUE"""),44435.625)</f>
        <v>44435.625</v>
      </c>
      <c r="B398" s="2">
        <f>IFERROR(__xludf.DUMMYFUNCTION("""COMPUTED_VALUE"""),656.75)</f>
        <v>656.75</v>
      </c>
      <c r="C398" s="2">
        <f>IFERROR(__xludf.DUMMYFUNCTION("""COMPUTED_VALUE"""),666.0)</f>
        <v>666</v>
      </c>
      <c r="D398" s="2">
        <f>IFERROR(__xludf.DUMMYFUNCTION("""COMPUTED_VALUE"""),647.5)</f>
        <v>647.5</v>
      </c>
      <c r="E398" s="2">
        <f>IFERROR(__xludf.DUMMYFUNCTION("""COMPUTED_VALUE"""),661.38)</f>
        <v>661.38</v>
      </c>
      <c r="F398" s="2">
        <f>IFERROR(__xludf.DUMMYFUNCTION("""COMPUTED_VALUE"""),5805900.0)</f>
        <v>5805900</v>
      </c>
      <c r="G398" s="2">
        <f t="shared" si="1"/>
        <v>18.5</v>
      </c>
    </row>
    <row r="399" ht="15.75" customHeight="1">
      <c r="A399" s="1">
        <f>IFERROR(__xludf.DUMMYFUNCTION("""COMPUTED_VALUE"""),44438.625)</f>
        <v>44438.625</v>
      </c>
      <c r="B399" s="2">
        <f>IFERROR(__xludf.DUMMYFUNCTION("""COMPUTED_VALUE"""),661.38)</f>
        <v>661.38</v>
      </c>
      <c r="C399" s="2">
        <f>IFERROR(__xludf.DUMMYFUNCTION("""COMPUTED_VALUE"""),684.5)</f>
        <v>684.5</v>
      </c>
      <c r="D399" s="2">
        <f>IFERROR(__xludf.DUMMYFUNCTION("""COMPUTED_VALUE"""),661.38)</f>
        <v>661.38</v>
      </c>
      <c r="E399" s="2">
        <f>IFERROR(__xludf.DUMMYFUNCTION("""COMPUTED_VALUE"""),675.25)</f>
        <v>675.25</v>
      </c>
      <c r="F399" s="2">
        <f>IFERROR(__xludf.DUMMYFUNCTION("""COMPUTED_VALUE"""),1.88156E7)</f>
        <v>18815600</v>
      </c>
      <c r="G399" s="2">
        <f t="shared" si="1"/>
        <v>23.12</v>
      </c>
    </row>
    <row r="400" ht="15.75" customHeight="1">
      <c r="A400" s="1">
        <f>IFERROR(__xludf.DUMMYFUNCTION("""COMPUTED_VALUE"""),44439.625)</f>
        <v>44439.625</v>
      </c>
      <c r="B400" s="2">
        <f>IFERROR(__xludf.DUMMYFUNCTION("""COMPUTED_VALUE"""),675.25)</f>
        <v>675.25</v>
      </c>
      <c r="C400" s="2">
        <f>IFERROR(__xludf.DUMMYFUNCTION("""COMPUTED_VALUE"""),684.5)</f>
        <v>684.5</v>
      </c>
      <c r="D400" s="2">
        <f>IFERROR(__xludf.DUMMYFUNCTION("""COMPUTED_VALUE"""),666.0)</f>
        <v>666</v>
      </c>
      <c r="E400" s="2">
        <f>IFERROR(__xludf.DUMMYFUNCTION("""COMPUTED_VALUE"""),679.88)</f>
        <v>679.88</v>
      </c>
      <c r="F400" s="2">
        <f>IFERROR(__xludf.DUMMYFUNCTION("""COMPUTED_VALUE"""),1.0164E7)</f>
        <v>10164000</v>
      </c>
      <c r="G400" s="2">
        <f t="shared" si="1"/>
        <v>18.5</v>
      </c>
    </row>
    <row r="401" ht="15.75" customHeight="1">
      <c r="A401" s="1">
        <f>IFERROR(__xludf.DUMMYFUNCTION("""COMPUTED_VALUE"""),44440.625)</f>
        <v>44440.625</v>
      </c>
      <c r="B401" s="2">
        <f>IFERROR(__xludf.DUMMYFUNCTION("""COMPUTED_VALUE"""),679.88)</f>
        <v>679.88</v>
      </c>
      <c r="C401" s="2">
        <f>IFERROR(__xludf.DUMMYFUNCTION("""COMPUTED_VALUE"""),689.13)</f>
        <v>689.13</v>
      </c>
      <c r="D401" s="2">
        <f>IFERROR(__xludf.DUMMYFUNCTION("""COMPUTED_VALUE"""),670.63)</f>
        <v>670.63</v>
      </c>
      <c r="E401" s="2">
        <f>IFERROR(__xludf.DUMMYFUNCTION("""COMPUTED_VALUE"""),675.25)</f>
        <v>675.25</v>
      </c>
      <c r="F401" s="2">
        <f>IFERROR(__xludf.DUMMYFUNCTION("""COMPUTED_VALUE"""),8437200.0)</f>
        <v>8437200</v>
      </c>
      <c r="G401" s="2">
        <f t="shared" si="1"/>
        <v>18.5</v>
      </c>
    </row>
    <row r="402" ht="15.75" customHeight="1">
      <c r="A402" s="1">
        <f>IFERROR(__xludf.DUMMYFUNCTION("""COMPUTED_VALUE"""),44441.625)</f>
        <v>44441.625</v>
      </c>
      <c r="B402" s="2">
        <f>IFERROR(__xludf.DUMMYFUNCTION("""COMPUTED_VALUE"""),679.88)</f>
        <v>679.88</v>
      </c>
      <c r="C402" s="2">
        <f>IFERROR(__xludf.DUMMYFUNCTION("""COMPUTED_VALUE"""),684.5)</f>
        <v>684.5</v>
      </c>
      <c r="D402" s="2">
        <f>IFERROR(__xludf.DUMMYFUNCTION("""COMPUTED_VALUE"""),661.38)</f>
        <v>661.38</v>
      </c>
      <c r="E402" s="2">
        <f>IFERROR(__xludf.DUMMYFUNCTION("""COMPUTED_VALUE"""),661.38)</f>
        <v>661.38</v>
      </c>
      <c r="F402" s="2">
        <f>IFERROR(__xludf.DUMMYFUNCTION("""COMPUTED_VALUE"""),9542800.0)</f>
        <v>9542800</v>
      </c>
      <c r="G402" s="2">
        <f t="shared" si="1"/>
        <v>23.12</v>
      </c>
    </row>
    <row r="403" ht="15.75" customHeight="1">
      <c r="A403" s="1">
        <f>IFERROR(__xludf.DUMMYFUNCTION("""COMPUTED_VALUE"""),44442.625)</f>
        <v>44442.625</v>
      </c>
      <c r="B403" s="2">
        <f>IFERROR(__xludf.DUMMYFUNCTION("""COMPUTED_VALUE"""),661.38)</f>
        <v>661.38</v>
      </c>
      <c r="C403" s="2">
        <f>IFERROR(__xludf.DUMMYFUNCTION("""COMPUTED_VALUE"""),689.13)</f>
        <v>689.13</v>
      </c>
      <c r="D403" s="2">
        <f>IFERROR(__xludf.DUMMYFUNCTION("""COMPUTED_VALUE"""),661.38)</f>
        <v>661.38</v>
      </c>
      <c r="E403" s="2">
        <f>IFERROR(__xludf.DUMMYFUNCTION("""COMPUTED_VALUE"""),684.5)</f>
        <v>684.5</v>
      </c>
      <c r="F403" s="2">
        <f>IFERROR(__xludf.DUMMYFUNCTION("""COMPUTED_VALUE"""),1.29095E7)</f>
        <v>12909500</v>
      </c>
      <c r="G403" s="2">
        <f t="shared" si="1"/>
        <v>27.75</v>
      </c>
    </row>
    <row r="404" ht="15.75" customHeight="1">
      <c r="A404" s="1">
        <f>IFERROR(__xludf.DUMMYFUNCTION("""COMPUTED_VALUE"""),44445.625)</f>
        <v>44445.625</v>
      </c>
      <c r="B404" s="2">
        <f>IFERROR(__xludf.DUMMYFUNCTION("""COMPUTED_VALUE"""),689.13)</f>
        <v>689.13</v>
      </c>
      <c r="C404" s="2">
        <f>IFERROR(__xludf.DUMMYFUNCTION("""COMPUTED_VALUE"""),777.0)</f>
        <v>777</v>
      </c>
      <c r="D404" s="2">
        <f>IFERROR(__xludf.DUMMYFUNCTION("""COMPUTED_VALUE"""),684.5)</f>
        <v>684.5</v>
      </c>
      <c r="E404" s="2">
        <f>IFERROR(__xludf.DUMMYFUNCTION("""COMPUTED_VALUE"""),777.0)</f>
        <v>777</v>
      </c>
      <c r="F404" s="2">
        <f>IFERROR(__xludf.DUMMYFUNCTION("""COMPUTED_VALUE"""),8.61558E7)</f>
        <v>86155800</v>
      </c>
      <c r="G404" s="2">
        <f t="shared" si="1"/>
        <v>92.5</v>
      </c>
    </row>
    <row r="405" ht="15.75" customHeight="1">
      <c r="A405" s="1">
        <f>IFERROR(__xludf.DUMMYFUNCTION("""COMPUTED_VALUE"""),44446.625)</f>
        <v>44446.625</v>
      </c>
      <c r="B405" s="2">
        <f>IFERROR(__xludf.DUMMYFUNCTION("""COMPUTED_VALUE"""),781.63)</f>
        <v>781.63</v>
      </c>
      <c r="C405" s="2">
        <f>IFERROR(__xludf.DUMMYFUNCTION("""COMPUTED_VALUE"""),804.75)</f>
        <v>804.75</v>
      </c>
      <c r="D405" s="2">
        <f>IFERROR(__xludf.DUMMYFUNCTION("""COMPUTED_VALUE"""),744.63)</f>
        <v>744.63</v>
      </c>
      <c r="E405" s="2">
        <f>IFERROR(__xludf.DUMMYFUNCTION("""COMPUTED_VALUE"""),763.13)</f>
        <v>763.13</v>
      </c>
      <c r="F405" s="2">
        <f>IFERROR(__xludf.DUMMYFUNCTION("""COMPUTED_VALUE"""),8.34178E7)</f>
        <v>83417800</v>
      </c>
      <c r="G405" s="2">
        <f t="shared" si="1"/>
        <v>60.12</v>
      </c>
    </row>
    <row r="406" ht="15.75" customHeight="1">
      <c r="A406" s="1">
        <f>IFERROR(__xludf.DUMMYFUNCTION("""COMPUTED_VALUE"""),44447.625)</f>
        <v>44447.625</v>
      </c>
      <c r="B406" s="2">
        <f>IFERROR(__xludf.DUMMYFUNCTION("""COMPUTED_VALUE"""),763.13)</f>
        <v>763.13</v>
      </c>
      <c r="C406" s="2">
        <f>IFERROR(__xludf.DUMMYFUNCTION("""COMPUTED_VALUE"""),786.25)</f>
        <v>786.25</v>
      </c>
      <c r="D406" s="2">
        <f>IFERROR(__xludf.DUMMYFUNCTION("""COMPUTED_VALUE"""),753.88)</f>
        <v>753.88</v>
      </c>
      <c r="E406" s="2">
        <f>IFERROR(__xludf.DUMMYFUNCTION("""COMPUTED_VALUE"""),763.13)</f>
        <v>763.13</v>
      </c>
      <c r="F406" s="2">
        <f>IFERROR(__xludf.DUMMYFUNCTION("""COMPUTED_VALUE"""),4.05632E7)</f>
        <v>40563200</v>
      </c>
      <c r="G406" s="2">
        <f t="shared" si="1"/>
        <v>32.37</v>
      </c>
    </row>
    <row r="407" ht="15.75" customHeight="1">
      <c r="A407" s="1">
        <f>IFERROR(__xludf.DUMMYFUNCTION("""COMPUTED_VALUE"""),44448.625)</f>
        <v>44448.625</v>
      </c>
      <c r="B407" s="2">
        <f>IFERROR(__xludf.DUMMYFUNCTION("""COMPUTED_VALUE"""),758.5)</f>
        <v>758.5</v>
      </c>
      <c r="C407" s="2">
        <f>IFERROR(__xludf.DUMMYFUNCTION("""COMPUTED_VALUE"""),786.25)</f>
        <v>786.25</v>
      </c>
      <c r="D407" s="2">
        <f>IFERROR(__xludf.DUMMYFUNCTION("""COMPUTED_VALUE"""),716.88)</f>
        <v>716.88</v>
      </c>
      <c r="E407" s="2">
        <f>IFERROR(__xludf.DUMMYFUNCTION("""COMPUTED_VALUE"""),753.88)</f>
        <v>753.88</v>
      </c>
      <c r="F407" s="2">
        <f>IFERROR(__xludf.DUMMYFUNCTION("""COMPUTED_VALUE"""),4.2375E7)</f>
        <v>42375000</v>
      </c>
      <c r="G407" s="2">
        <f t="shared" si="1"/>
        <v>69.37</v>
      </c>
    </row>
    <row r="408" ht="15.75" customHeight="1">
      <c r="A408" s="1">
        <f>IFERROR(__xludf.DUMMYFUNCTION("""COMPUTED_VALUE"""),44449.625)</f>
        <v>44449.625</v>
      </c>
      <c r="B408" s="2">
        <f>IFERROR(__xludf.DUMMYFUNCTION("""COMPUTED_VALUE"""),753.88)</f>
        <v>753.88</v>
      </c>
      <c r="C408" s="2">
        <f>IFERROR(__xludf.DUMMYFUNCTION("""COMPUTED_VALUE"""),767.75)</f>
        <v>767.75</v>
      </c>
      <c r="D408" s="2">
        <f>IFERROR(__xludf.DUMMYFUNCTION("""COMPUTED_VALUE"""),749.25)</f>
        <v>749.25</v>
      </c>
      <c r="E408" s="2">
        <f>IFERROR(__xludf.DUMMYFUNCTION("""COMPUTED_VALUE"""),758.5)</f>
        <v>758.5</v>
      </c>
      <c r="F408" s="2">
        <f>IFERROR(__xludf.DUMMYFUNCTION("""COMPUTED_VALUE"""),1.58764E7)</f>
        <v>15876400</v>
      </c>
      <c r="G408" s="2">
        <f t="shared" si="1"/>
        <v>18.5</v>
      </c>
    </row>
    <row r="409" ht="15.75" customHeight="1">
      <c r="A409" s="1">
        <f>IFERROR(__xludf.DUMMYFUNCTION("""COMPUTED_VALUE"""),44452.625)</f>
        <v>44452.625</v>
      </c>
      <c r="B409" s="2">
        <f>IFERROR(__xludf.DUMMYFUNCTION("""COMPUTED_VALUE"""),758.5)</f>
        <v>758.5</v>
      </c>
      <c r="C409" s="2">
        <f>IFERROR(__xludf.DUMMYFUNCTION("""COMPUTED_VALUE"""),763.13)</f>
        <v>763.13</v>
      </c>
      <c r="D409" s="2">
        <f>IFERROR(__xludf.DUMMYFUNCTION("""COMPUTED_VALUE"""),730.75)</f>
        <v>730.75</v>
      </c>
      <c r="E409" s="2">
        <f>IFERROR(__xludf.DUMMYFUNCTION("""COMPUTED_VALUE"""),753.88)</f>
        <v>753.88</v>
      </c>
      <c r="F409" s="2">
        <f>IFERROR(__xludf.DUMMYFUNCTION("""COMPUTED_VALUE"""),1.47672E7)</f>
        <v>14767200</v>
      </c>
      <c r="G409" s="2">
        <f t="shared" si="1"/>
        <v>32.38</v>
      </c>
    </row>
    <row r="410" ht="15.75" customHeight="1">
      <c r="A410" s="1">
        <f>IFERROR(__xludf.DUMMYFUNCTION("""COMPUTED_VALUE"""),44453.625)</f>
        <v>44453.625</v>
      </c>
      <c r="B410" s="2">
        <f>IFERROR(__xludf.DUMMYFUNCTION("""COMPUTED_VALUE"""),758.5)</f>
        <v>758.5</v>
      </c>
      <c r="C410" s="2">
        <f>IFERROR(__xludf.DUMMYFUNCTION("""COMPUTED_VALUE"""),795.5)</f>
        <v>795.5</v>
      </c>
      <c r="D410" s="2">
        <f>IFERROR(__xludf.DUMMYFUNCTION("""COMPUTED_VALUE"""),753.88)</f>
        <v>753.88</v>
      </c>
      <c r="E410" s="2">
        <f>IFERROR(__xludf.DUMMYFUNCTION("""COMPUTED_VALUE"""),772.38)</f>
        <v>772.38</v>
      </c>
      <c r="F410" s="2">
        <f>IFERROR(__xludf.DUMMYFUNCTION("""COMPUTED_VALUE"""),4.06742E7)</f>
        <v>40674200</v>
      </c>
      <c r="G410" s="2">
        <f t="shared" si="1"/>
        <v>41.62</v>
      </c>
    </row>
    <row r="411" ht="15.75" customHeight="1">
      <c r="A411" s="1">
        <f>IFERROR(__xludf.DUMMYFUNCTION("""COMPUTED_VALUE"""),44454.625)</f>
        <v>44454.625</v>
      </c>
      <c r="B411" s="2">
        <f>IFERROR(__xludf.DUMMYFUNCTION("""COMPUTED_VALUE"""),772.38)</f>
        <v>772.38</v>
      </c>
      <c r="C411" s="2">
        <f>IFERROR(__xludf.DUMMYFUNCTION("""COMPUTED_VALUE"""),827.88)</f>
        <v>827.88</v>
      </c>
      <c r="D411" s="2">
        <f>IFERROR(__xludf.DUMMYFUNCTION("""COMPUTED_VALUE"""),763.13)</f>
        <v>763.13</v>
      </c>
      <c r="E411" s="2">
        <f>IFERROR(__xludf.DUMMYFUNCTION("""COMPUTED_VALUE"""),827.88)</f>
        <v>827.88</v>
      </c>
      <c r="F411" s="2">
        <f>IFERROR(__xludf.DUMMYFUNCTION("""COMPUTED_VALUE"""),7.08563E7)</f>
        <v>70856300</v>
      </c>
      <c r="G411" s="2">
        <f t="shared" si="1"/>
        <v>64.75</v>
      </c>
    </row>
    <row r="412" ht="15.75" customHeight="1">
      <c r="A412" s="1">
        <f>IFERROR(__xludf.DUMMYFUNCTION("""COMPUTED_VALUE"""),44455.625)</f>
        <v>44455.625</v>
      </c>
      <c r="B412" s="2">
        <f>IFERROR(__xludf.DUMMYFUNCTION("""COMPUTED_VALUE"""),827.88)</f>
        <v>827.88</v>
      </c>
      <c r="C412" s="2">
        <f>IFERROR(__xludf.DUMMYFUNCTION("""COMPUTED_VALUE"""),837.13)</f>
        <v>837.13</v>
      </c>
      <c r="D412" s="2">
        <f>IFERROR(__xludf.DUMMYFUNCTION("""COMPUTED_VALUE"""),795.5)</f>
        <v>795.5</v>
      </c>
      <c r="E412" s="2">
        <f>IFERROR(__xludf.DUMMYFUNCTION("""COMPUTED_VALUE"""),795.5)</f>
        <v>795.5</v>
      </c>
      <c r="F412" s="2">
        <f>IFERROR(__xludf.DUMMYFUNCTION("""COMPUTED_VALUE"""),4.73183E7)</f>
        <v>47318300</v>
      </c>
      <c r="G412" s="2">
        <f t="shared" si="1"/>
        <v>41.63</v>
      </c>
    </row>
    <row r="413" ht="15.75" customHeight="1">
      <c r="A413" s="1">
        <f>IFERROR(__xludf.DUMMYFUNCTION("""COMPUTED_VALUE"""),44456.625)</f>
        <v>44456.625</v>
      </c>
      <c r="B413" s="2">
        <f>IFERROR(__xludf.DUMMYFUNCTION("""COMPUTED_VALUE"""),795.5)</f>
        <v>795.5</v>
      </c>
      <c r="C413" s="2">
        <f>IFERROR(__xludf.DUMMYFUNCTION("""COMPUTED_VALUE"""),837.13)</f>
        <v>837.13</v>
      </c>
      <c r="D413" s="2">
        <f>IFERROR(__xludf.DUMMYFUNCTION("""COMPUTED_VALUE"""),790.88)</f>
        <v>790.88</v>
      </c>
      <c r="E413" s="2">
        <f>IFERROR(__xludf.DUMMYFUNCTION("""COMPUTED_VALUE"""),814.0)</f>
        <v>814</v>
      </c>
      <c r="F413" s="2">
        <f>IFERROR(__xludf.DUMMYFUNCTION("""COMPUTED_VALUE"""),6.14779E7)</f>
        <v>61477900</v>
      </c>
      <c r="G413" s="2">
        <f t="shared" si="1"/>
        <v>46.25</v>
      </c>
    </row>
    <row r="414" ht="15.75" customHeight="1">
      <c r="A414" s="1">
        <f>IFERROR(__xludf.DUMMYFUNCTION("""COMPUTED_VALUE"""),44459.625)</f>
        <v>44459.625</v>
      </c>
      <c r="B414" s="2">
        <f>IFERROR(__xludf.DUMMYFUNCTION("""COMPUTED_VALUE"""),814.0)</f>
        <v>814</v>
      </c>
      <c r="C414" s="2">
        <f>IFERROR(__xludf.DUMMYFUNCTION("""COMPUTED_VALUE"""),832.5)</f>
        <v>832.5</v>
      </c>
      <c r="D414" s="2">
        <f>IFERROR(__xludf.DUMMYFUNCTION("""COMPUTED_VALUE"""),790.88)</f>
        <v>790.88</v>
      </c>
      <c r="E414" s="2">
        <f>IFERROR(__xludf.DUMMYFUNCTION("""COMPUTED_VALUE"""),795.5)</f>
        <v>795.5</v>
      </c>
      <c r="F414" s="2">
        <f>IFERROR(__xludf.DUMMYFUNCTION("""COMPUTED_VALUE"""),3.65358E7)</f>
        <v>36535800</v>
      </c>
      <c r="G414" s="2">
        <f t="shared" si="1"/>
        <v>41.62</v>
      </c>
    </row>
    <row r="415" ht="15.75" customHeight="1">
      <c r="A415" s="1">
        <f>IFERROR(__xludf.DUMMYFUNCTION("""COMPUTED_VALUE"""),44460.625)</f>
        <v>44460.625</v>
      </c>
      <c r="B415" s="2">
        <f>IFERROR(__xludf.DUMMYFUNCTION("""COMPUTED_VALUE"""),795.5)</f>
        <v>795.5</v>
      </c>
      <c r="C415" s="2">
        <f>IFERROR(__xludf.DUMMYFUNCTION("""COMPUTED_VALUE"""),827.88)</f>
        <v>827.88</v>
      </c>
      <c r="D415" s="2">
        <f>IFERROR(__xludf.DUMMYFUNCTION("""COMPUTED_VALUE"""),763.13)</f>
        <v>763.13</v>
      </c>
      <c r="E415" s="2">
        <f>IFERROR(__xludf.DUMMYFUNCTION("""COMPUTED_VALUE"""),827.88)</f>
        <v>827.88</v>
      </c>
      <c r="F415" s="2">
        <f>IFERROR(__xludf.DUMMYFUNCTION("""COMPUTED_VALUE"""),4.02436E7)</f>
        <v>40243600</v>
      </c>
      <c r="G415" s="2">
        <f t="shared" si="1"/>
        <v>64.75</v>
      </c>
    </row>
    <row r="416" ht="15.75" customHeight="1">
      <c r="A416" s="1">
        <f>IFERROR(__xludf.DUMMYFUNCTION("""COMPUTED_VALUE"""),44461.625)</f>
        <v>44461.625</v>
      </c>
      <c r="B416" s="2">
        <f>IFERROR(__xludf.DUMMYFUNCTION("""COMPUTED_VALUE"""),832.5)</f>
        <v>832.5</v>
      </c>
      <c r="C416" s="2">
        <f>IFERROR(__xludf.DUMMYFUNCTION("""COMPUTED_VALUE"""),837.13)</f>
        <v>837.13</v>
      </c>
      <c r="D416" s="2">
        <f>IFERROR(__xludf.DUMMYFUNCTION("""COMPUTED_VALUE"""),818.63)</f>
        <v>818.63</v>
      </c>
      <c r="E416" s="2">
        <f>IFERROR(__xludf.DUMMYFUNCTION("""COMPUTED_VALUE"""),818.63)</f>
        <v>818.63</v>
      </c>
      <c r="F416" s="2">
        <f>IFERROR(__xludf.DUMMYFUNCTION("""COMPUTED_VALUE"""),2.38043E7)</f>
        <v>23804300</v>
      </c>
      <c r="G416" s="2">
        <f t="shared" si="1"/>
        <v>18.5</v>
      </c>
    </row>
    <row r="417" ht="15.75" customHeight="1">
      <c r="A417" s="1">
        <f>IFERROR(__xludf.DUMMYFUNCTION("""COMPUTED_VALUE"""),44462.625)</f>
        <v>44462.625</v>
      </c>
      <c r="B417" s="2">
        <f>IFERROR(__xludf.DUMMYFUNCTION("""COMPUTED_VALUE"""),823.25)</f>
        <v>823.25</v>
      </c>
      <c r="C417" s="2">
        <f>IFERROR(__xludf.DUMMYFUNCTION("""COMPUTED_VALUE"""),864.88)</f>
        <v>864.88</v>
      </c>
      <c r="D417" s="2">
        <f>IFERROR(__xludf.DUMMYFUNCTION("""COMPUTED_VALUE"""),823.25)</f>
        <v>823.25</v>
      </c>
      <c r="E417" s="2">
        <f>IFERROR(__xludf.DUMMYFUNCTION("""COMPUTED_VALUE"""),837.13)</f>
        <v>837.13</v>
      </c>
      <c r="F417" s="2">
        <f>IFERROR(__xludf.DUMMYFUNCTION("""COMPUTED_VALUE"""),6.44537E7)</f>
        <v>64453700</v>
      </c>
      <c r="G417" s="2">
        <f t="shared" si="1"/>
        <v>46.25</v>
      </c>
    </row>
    <row r="418" ht="15.75" customHeight="1">
      <c r="A418" s="1">
        <f>IFERROR(__xludf.DUMMYFUNCTION("""COMPUTED_VALUE"""),44463.625)</f>
        <v>44463.625</v>
      </c>
      <c r="B418" s="2">
        <f>IFERROR(__xludf.DUMMYFUNCTION("""COMPUTED_VALUE"""),841.75)</f>
        <v>841.75</v>
      </c>
      <c r="C418" s="2">
        <f>IFERROR(__xludf.DUMMYFUNCTION("""COMPUTED_VALUE"""),851.0)</f>
        <v>851</v>
      </c>
      <c r="D418" s="2">
        <f>IFERROR(__xludf.DUMMYFUNCTION("""COMPUTED_VALUE"""),827.88)</f>
        <v>827.88</v>
      </c>
      <c r="E418" s="2">
        <f>IFERROR(__xludf.DUMMYFUNCTION("""COMPUTED_VALUE"""),837.13)</f>
        <v>837.13</v>
      </c>
      <c r="F418" s="2">
        <f>IFERROR(__xludf.DUMMYFUNCTION("""COMPUTED_VALUE"""),1.97447E7)</f>
        <v>19744700</v>
      </c>
      <c r="G418" s="2">
        <f t="shared" si="1"/>
        <v>23.12</v>
      </c>
    </row>
    <row r="419" ht="15.75" customHeight="1">
      <c r="A419" s="1">
        <f>IFERROR(__xludf.DUMMYFUNCTION("""COMPUTED_VALUE"""),44466.625)</f>
        <v>44466.625</v>
      </c>
      <c r="B419" s="2">
        <f>IFERROR(__xludf.DUMMYFUNCTION("""COMPUTED_VALUE"""),841.75)</f>
        <v>841.75</v>
      </c>
      <c r="C419" s="2">
        <f>IFERROR(__xludf.DUMMYFUNCTION("""COMPUTED_VALUE"""),869.5)</f>
        <v>869.5</v>
      </c>
      <c r="D419" s="2">
        <f>IFERROR(__xludf.DUMMYFUNCTION("""COMPUTED_VALUE"""),837.13)</f>
        <v>837.13</v>
      </c>
      <c r="E419" s="2">
        <f>IFERROR(__xludf.DUMMYFUNCTION("""COMPUTED_VALUE"""),855.63)</f>
        <v>855.63</v>
      </c>
      <c r="F419" s="2">
        <f>IFERROR(__xludf.DUMMYFUNCTION("""COMPUTED_VALUE"""),2.40699E7)</f>
        <v>24069900</v>
      </c>
      <c r="G419" s="2">
        <f t="shared" si="1"/>
        <v>32.37</v>
      </c>
    </row>
    <row r="420" ht="15.75" customHeight="1">
      <c r="A420" s="1">
        <f>IFERROR(__xludf.DUMMYFUNCTION("""COMPUTED_VALUE"""),44467.625)</f>
        <v>44467.625</v>
      </c>
      <c r="B420" s="2">
        <f>IFERROR(__xludf.DUMMYFUNCTION("""COMPUTED_VALUE"""),855.63)</f>
        <v>855.63</v>
      </c>
      <c r="C420" s="2">
        <f>IFERROR(__xludf.DUMMYFUNCTION("""COMPUTED_VALUE"""),860.25)</f>
        <v>860.25</v>
      </c>
      <c r="D420" s="2">
        <f>IFERROR(__xludf.DUMMYFUNCTION("""COMPUTED_VALUE"""),846.38)</f>
        <v>846.38</v>
      </c>
      <c r="E420" s="2">
        <f>IFERROR(__xludf.DUMMYFUNCTION("""COMPUTED_VALUE"""),851.0)</f>
        <v>851</v>
      </c>
      <c r="F420" s="2">
        <f>IFERROR(__xludf.DUMMYFUNCTION("""COMPUTED_VALUE"""),1.6081E7)</f>
        <v>16081000</v>
      </c>
      <c r="G420" s="2">
        <f t="shared" si="1"/>
        <v>13.87</v>
      </c>
    </row>
    <row r="421" ht="15.75" customHeight="1">
      <c r="A421" s="1">
        <f>IFERROR(__xludf.DUMMYFUNCTION("""COMPUTED_VALUE"""),44468.625)</f>
        <v>44468.625</v>
      </c>
      <c r="B421" s="2">
        <f>IFERROR(__xludf.DUMMYFUNCTION("""COMPUTED_VALUE"""),846.38)</f>
        <v>846.38</v>
      </c>
      <c r="C421" s="2">
        <f>IFERROR(__xludf.DUMMYFUNCTION("""COMPUTED_VALUE"""),892.63)</f>
        <v>892.63</v>
      </c>
      <c r="D421" s="2">
        <f>IFERROR(__xludf.DUMMYFUNCTION("""COMPUTED_VALUE"""),837.13)</f>
        <v>837.13</v>
      </c>
      <c r="E421" s="2">
        <f>IFERROR(__xludf.DUMMYFUNCTION("""COMPUTED_VALUE"""),869.5)</f>
        <v>869.5</v>
      </c>
      <c r="F421" s="2">
        <f>IFERROR(__xludf.DUMMYFUNCTION("""COMPUTED_VALUE"""),5.62094E7)</f>
        <v>56209400</v>
      </c>
      <c r="G421" s="2">
        <f t="shared" si="1"/>
        <v>55.5</v>
      </c>
    </row>
    <row r="422" ht="15.75" customHeight="1">
      <c r="A422" s="1">
        <f>IFERROR(__xludf.DUMMYFUNCTION("""COMPUTED_VALUE"""),44469.625)</f>
        <v>44469.625</v>
      </c>
      <c r="B422" s="2">
        <f>IFERROR(__xludf.DUMMYFUNCTION("""COMPUTED_VALUE"""),878.75)</f>
        <v>878.75</v>
      </c>
      <c r="C422" s="2">
        <f>IFERROR(__xludf.DUMMYFUNCTION("""COMPUTED_VALUE"""),892.63)</f>
        <v>892.63</v>
      </c>
      <c r="D422" s="2">
        <f>IFERROR(__xludf.DUMMYFUNCTION("""COMPUTED_VALUE"""),869.5)</f>
        <v>869.5</v>
      </c>
      <c r="E422" s="2">
        <f>IFERROR(__xludf.DUMMYFUNCTION("""COMPUTED_VALUE"""),892.63)</f>
        <v>892.63</v>
      </c>
      <c r="F422" s="2">
        <f>IFERROR(__xludf.DUMMYFUNCTION("""COMPUTED_VALUE"""),3.27317E7)</f>
        <v>32731700</v>
      </c>
      <c r="G422" s="2">
        <f t="shared" si="1"/>
        <v>23.13</v>
      </c>
    </row>
    <row r="423" ht="15.75" customHeight="1">
      <c r="A423" s="1">
        <f>IFERROR(__xludf.DUMMYFUNCTION("""COMPUTED_VALUE"""),44470.625)</f>
        <v>44470.625</v>
      </c>
      <c r="B423" s="2">
        <f>IFERROR(__xludf.DUMMYFUNCTION("""COMPUTED_VALUE"""),888.0)</f>
        <v>888</v>
      </c>
      <c r="C423" s="2">
        <f>IFERROR(__xludf.DUMMYFUNCTION("""COMPUTED_VALUE"""),1012.88)</f>
        <v>1012.88</v>
      </c>
      <c r="D423" s="2">
        <f>IFERROR(__xludf.DUMMYFUNCTION("""COMPUTED_VALUE"""),883.38)</f>
        <v>883.38</v>
      </c>
      <c r="E423" s="2">
        <f>IFERROR(__xludf.DUMMYFUNCTION("""COMPUTED_VALUE"""),980.51)</f>
        <v>980.51</v>
      </c>
      <c r="F423" s="2">
        <f>IFERROR(__xludf.DUMMYFUNCTION("""COMPUTED_VALUE"""),9.836E7)</f>
        <v>98360000</v>
      </c>
      <c r="G423" s="2">
        <f t="shared" si="1"/>
        <v>129.5</v>
      </c>
    </row>
    <row r="424" ht="15.75" customHeight="1">
      <c r="A424" s="1">
        <f>IFERROR(__xludf.DUMMYFUNCTION("""COMPUTED_VALUE"""),44473.625)</f>
        <v>44473.625</v>
      </c>
      <c r="B424" s="2">
        <f>IFERROR(__xludf.DUMMYFUNCTION("""COMPUTED_VALUE"""),989.76)</f>
        <v>989.76</v>
      </c>
      <c r="C424" s="2">
        <f>IFERROR(__xludf.DUMMYFUNCTION("""COMPUTED_VALUE"""),1031.38)</f>
        <v>1031.38</v>
      </c>
      <c r="D424" s="2">
        <f>IFERROR(__xludf.DUMMYFUNCTION("""COMPUTED_VALUE"""),980.51)</f>
        <v>980.51</v>
      </c>
      <c r="E424" s="2">
        <f>IFERROR(__xludf.DUMMYFUNCTION("""COMPUTED_VALUE"""),1012.88)</f>
        <v>1012.88</v>
      </c>
      <c r="F424" s="2">
        <f>IFERROR(__xludf.DUMMYFUNCTION("""COMPUTED_VALUE"""),4.67027E7)</f>
        <v>46702700</v>
      </c>
      <c r="G424" s="2">
        <f t="shared" si="1"/>
        <v>50.87</v>
      </c>
    </row>
    <row r="425" ht="15.75" customHeight="1">
      <c r="A425" s="1">
        <f>IFERROR(__xludf.DUMMYFUNCTION("""COMPUTED_VALUE"""),44474.625)</f>
        <v>44474.625</v>
      </c>
      <c r="B425" s="2">
        <f>IFERROR(__xludf.DUMMYFUNCTION("""COMPUTED_VALUE"""),1012.88)</f>
        <v>1012.88</v>
      </c>
      <c r="C425" s="2">
        <f>IFERROR(__xludf.DUMMYFUNCTION("""COMPUTED_VALUE"""),1054.51)</f>
        <v>1054.51</v>
      </c>
      <c r="D425" s="2">
        <f>IFERROR(__xludf.DUMMYFUNCTION("""COMPUTED_VALUE"""),985.13)</f>
        <v>985.13</v>
      </c>
      <c r="E425" s="2">
        <f>IFERROR(__xludf.DUMMYFUNCTION("""COMPUTED_VALUE"""),994.38)</f>
        <v>994.38</v>
      </c>
      <c r="F425" s="2">
        <f>IFERROR(__xludf.DUMMYFUNCTION("""COMPUTED_VALUE"""),4.93567E7)</f>
        <v>49356700</v>
      </c>
      <c r="G425" s="2">
        <f t="shared" si="1"/>
        <v>69.38</v>
      </c>
    </row>
    <row r="426" ht="15.75" customHeight="1">
      <c r="A426" s="1">
        <f>IFERROR(__xludf.DUMMYFUNCTION("""COMPUTED_VALUE"""),44475.625)</f>
        <v>44475.625</v>
      </c>
      <c r="B426" s="2">
        <f>IFERROR(__xludf.DUMMYFUNCTION("""COMPUTED_VALUE"""),1008.26)</f>
        <v>1008.26</v>
      </c>
      <c r="C426" s="2">
        <f>IFERROR(__xludf.DUMMYFUNCTION("""COMPUTED_VALUE"""),1054.51)</f>
        <v>1054.51</v>
      </c>
      <c r="D426" s="2">
        <f>IFERROR(__xludf.DUMMYFUNCTION("""COMPUTED_VALUE"""),1003.63)</f>
        <v>1003.63</v>
      </c>
      <c r="E426" s="2">
        <f>IFERROR(__xludf.DUMMYFUNCTION("""COMPUTED_VALUE"""),1022.13)</f>
        <v>1022.13</v>
      </c>
      <c r="F426" s="2">
        <f>IFERROR(__xludf.DUMMYFUNCTION("""COMPUTED_VALUE"""),4.6008E7)</f>
        <v>46008000</v>
      </c>
      <c r="G426" s="2">
        <f t="shared" si="1"/>
        <v>60.13</v>
      </c>
    </row>
    <row r="427" ht="15.75" customHeight="1">
      <c r="A427" s="1">
        <f>IFERROR(__xludf.DUMMYFUNCTION("""COMPUTED_VALUE"""),44476.625)</f>
        <v>44476.625</v>
      </c>
      <c r="B427" s="2">
        <f>IFERROR(__xludf.DUMMYFUNCTION("""COMPUTED_VALUE"""),1022.13)</f>
        <v>1022.13</v>
      </c>
      <c r="C427" s="2">
        <f>IFERROR(__xludf.DUMMYFUNCTION("""COMPUTED_VALUE"""),1049.88)</f>
        <v>1049.88</v>
      </c>
      <c r="D427" s="2">
        <f>IFERROR(__xludf.DUMMYFUNCTION("""COMPUTED_VALUE"""),999.01)</f>
        <v>999.01</v>
      </c>
      <c r="E427" s="2">
        <f>IFERROR(__xludf.DUMMYFUNCTION("""COMPUTED_VALUE"""),1012.88)</f>
        <v>1012.88</v>
      </c>
      <c r="F427" s="2">
        <f>IFERROR(__xludf.DUMMYFUNCTION("""COMPUTED_VALUE"""),3.62521E7)</f>
        <v>36252100</v>
      </c>
      <c r="G427" s="2">
        <f t="shared" si="1"/>
        <v>50.87</v>
      </c>
    </row>
    <row r="428" ht="15.75" customHeight="1">
      <c r="A428" s="1">
        <f>IFERROR(__xludf.DUMMYFUNCTION("""COMPUTED_VALUE"""),44477.625)</f>
        <v>44477.625</v>
      </c>
      <c r="B428" s="2">
        <f>IFERROR(__xludf.DUMMYFUNCTION("""COMPUTED_VALUE"""),1017.51)</f>
        <v>1017.51</v>
      </c>
      <c r="C428" s="2">
        <f>IFERROR(__xludf.DUMMYFUNCTION("""COMPUTED_VALUE"""),1031.38)</f>
        <v>1031.38</v>
      </c>
      <c r="D428" s="2">
        <f>IFERROR(__xludf.DUMMYFUNCTION("""COMPUTED_VALUE"""),999.01)</f>
        <v>999.01</v>
      </c>
      <c r="E428" s="2">
        <f>IFERROR(__xludf.DUMMYFUNCTION("""COMPUTED_VALUE"""),1017.51)</f>
        <v>1017.51</v>
      </c>
      <c r="F428" s="2">
        <f>IFERROR(__xludf.DUMMYFUNCTION("""COMPUTED_VALUE"""),2.6977E7)</f>
        <v>26977000</v>
      </c>
      <c r="G428" s="2">
        <f t="shared" si="1"/>
        <v>32.37</v>
      </c>
    </row>
    <row r="429" ht="15.75" customHeight="1">
      <c r="A429" s="1">
        <f>IFERROR(__xludf.DUMMYFUNCTION("""COMPUTED_VALUE"""),44480.625)</f>
        <v>44480.625</v>
      </c>
      <c r="B429" s="2">
        <f>IFERROR(__xludf.DUMMYFUNCTION("""COMPUTED_VALUE"""),1017.51)</f>
        <v>1017.51</v>
      </c>
      <c r="C429" s="2">
        <f>IFERROR(__xludf.DUMMYFUNCTION("""COMPUTED_VALUE"""),1022.13)</f>
        <v>1022.13</v>
      </c>
      <c r="D429" s="2">
        <f>IFERROR(__xludf.DUMMYFUNCTION("""COMPUTED_VALUE"""),994.38)</f>
        <v>994.38</v>
      </c>
      <c r="E429" s="2">
        <f>IFERROR(__xludf.DUMMYFUNCTION("""COMPUTED_VALUE"""),1008.26)</f>
        <v>1008.26</v>
      </c>
      <c r="F429" s="2">
        <f>IFERROR(__xludf.DUMMYFUNCTION("""COMPUTED_VALUE"""),2.87728E7)</f>
        <v>28772800</v>
      </c>
      <c r="G429" s="2">
        <f t="shared" si="1"/>
        <v>27.75</v>
      </c>
    </row>
    <row r="430" ht="15.75" customHeight="1">
      <c r="A430" s="1">
        <f>IFERROR(__xludf.DUMMYFUNCTION("""COMPUTED_VALUE"""),44481.66666666667)</f>
        <v>44481.66667</v>
      </c>
      <c r="B430" s="2">
        <f>IFERROR(__xludf.DUMMYFUNCTION("""COMPUTED_VALUE"""),1008.26)</f>
        <v>1008.26</v>
      </c>
      <c r="C430" s="2">
        <f>IFERROR(__xludf.DUMMYFUNCTION("""COMPUTED_VALUE"""),1082.26)</f>
        <v>1082.26</v>
      </c>
      <c r="D430" s="2">
        <f>IFERROR(__xludf.DUMMYFUNCTION("""COMPUTED_VALUE"""),994.38)</f>
        <v>994.38</v>
      </c>
      <c r="E430" s="2">
        <f>IFERROR(__xludf.DUMMYFUNCTION("""COMPUTED_VALUE"""),1054.51)</f>
        <v>1054.51</v>
      </c>
      <c r="F430" s="2">
        <f>IFERROR(__xludf.DUMMYFUNCTION("""COMPUTED_VALUE"""),7.65517E7)</f>
        <v>76551700</v>
      </c>
      <c r="G430" s="2">
        <f t="shared" si="1"/>
        <v>87.88</v>
      </c>
    </row>
    <row r="431" ht="15.75" customHeight="1">
      <c r="A431" s="1">
        <f>IFERROR(__xludf.DUMMYFUNCTION("""COMPUTED_VALUE"""),44482.625)</f>
        <v>44482.625</v>
      </c>
      <c r="B431" s="2">
        <f>IFERROR(__xludf.DUMMYFUNCTION("""COMPUTED_VALUE"""),1063.76)</f>
        <v>1063.76</v>
      </c>
      <c r="C431" s="2">
        <f>IFERROR(__xludf.DUMMYFUNCTION("""COMPUTED_VALUE"""),1068.38)</f>
        <v>1068.38</v>
      </c>
      <c r="D431" s="2">
        <f>IFERROR(__xludf.DUMMYFUNCTION("""COMPUTED_VALUE"""),1040.63)</f>
        <v>1040.63</v>
      </c>
      <c r="E431" s="2">
        <f>IFERROR(__xludf.DUMMYFUNCTION("""COMPUTED_VALUE"""),1063.76)</f>
        <v>1063.76</v>
      </c>
      <c r="F431" s="2">
        <f>IFERROR(__xludf.DUMMYFUNCTION("""COMPUTED_VALUE"""),2.80285E7)</f>
        <v>28028500</v>
      </c>
      <c r="G431" s="2">
        <f t="shared" si="1"/>
        <v>27.75</v>
      </c>
    </row>
    <row r="432" ht="15.75" customHeight="1">
      <c r="A432" s="1">
        <f>IFERROR(__xludf.DUMMYFUNCTION("""COMPUTED_VALUE"""),44483.66666666667)</f>
        <v>44483.66667</v>
      </c>
      <c r="B432" s="2">
        <f>IFERROR(__xludf.DUMMYFUNCTION("""COMPUTED_VALUE"""),1063.76)</f>
        <v>1063.76</v>
      </c>
      <c r="C432" s="2">
        <f>IFERROR(__xludf.DUMMYFUNCTION("""COMPUTED_VALUE"""),1110.01)</f>
        <v>1110.01</v>
      </c>
      <c r="D432" s="2">
        <f>IFERROR(__xludf.DUMMYFUNCTION("""COMPUTED_VALUE"""),1063.76)</f>
        <v>1063.76</v>
      </c>
      <c r="E432" s="2">
        <f>IFERROR(__xludf.DUMMYFUNCTION("""COMPUTED_VALUE"""),1091.51)</f>
        <v>1091.51</v>
      </c>
      <c r="F432" s="2">
        <f>IFERROR(__xludf.DUMMYFUNCTION("""COMPUTED_VALUE"""),4.44526E7)</f>
        <v>44452600</v>
      </c>
      <c r="G432" s="2">
        <f t="shared" si="1"/>
        <v>46.25</v>
      </c>
    </row>
    <row r="433" ht="15.75" customHeight="1">
      <c r="A433" s="1">
        <f>IFERROR(__xludf.DUMMYFUNCTION("""COMPUTED_VALUE"""),44484.66666666667)</f>
        <v>44484.66667</v>
      </c>
      <c r="B433" s="2">
        <f>IFERROR(__xludf.DUMMYFUNCTION("""COMPUTED_VALUE"""),1091.51)</f>
        <v>1091.51</v>
      </c>
      <c r="C433" s="2">
        <f>IFERROR(__xludf.DUMMYFUNCTION("""COMPUTED_VALUE"""),1105.38)</f>
        <v>1105.38</v>
      </c>
      <c r="D433" s="2">
        <f>IFERROR(__xludf.DUMMYFUNCTION("""COMPUTED_VALUE"""),1077.63)</f>
        <v>1077.63</v>
      </c>
      <c r="E433" s="2">
        <f>IFERROR(__xludf.DUMMYFUNCTION("""COMPUTED_VALUE"""),1096.13)</f>
        <v>1096.13</v>
      </c>
      <c r="F433" s="2">
        <f>IFERROR(__xludf.DUMMYFUNCTION("""COMPUTED_VALUE"""),3.26171E7)</f>
        <v>32617100</v>
      </c>
      <c r="G433" s="2">
        <f t="shared" si="1"/>
        <v>27.75</v>
      </c>
    </row>
    <row r="434" ht="15.75" customHeight="1">
      <c r="A434" s="1">
        <f>IFERROR(__xludf.DUMMYFUNCTION("""COMPUTED_VALUE"""),44487.625)</f>
        <v>44487.625</v>
      </c>
      <c r="B434" s="2">
        <f>IFERROR(__xludf.DUMMYFUNCTION("""COMPUTED_VALUE"""),1100.76)</f>
        <v>1100.76</v>
      </c>
      <c r="C434" s="2">
        <f>IFERROR(__xludf.DUMMYFUNCTION("""COMPUTED_VALUE"""),1128.51)</f>
        <v>1128.51</v>
      </c>
      <c r="D434" s="2">
        <f>IFERROR(__xludf.DUMMYFUNCTION("""COMPUTED_VALUE"""),1096.13)</f>
        <v>1096.13</v>
      </c>
      <c r="E434" s="2">
        <f>IFERROR(__xludf.DUMMYFUNCTION("""COMPUTED_VALUE"""),1100.76)</f>
        <v>1100.76</v>
      </c>
      <c r="F434" s="2">
        <f>IFERROR(__xludf.DUMMYFUNCTION("""COMPUTED_VALUE"""),3.15816E7)</f>
        <v>31581600</v>
      </c>
      <c r="G434" s="2">
        <f t="shared" si="1"/>
        <v>32.38</v>
      </c>
    </row>
    <row r="435" ht="15.75" customHeight="1">
      <c r="A435" s="1">
        <f>IFERROR(__xludf.DUMMYFUNCTION("""COMPUTED_VALUE"""),44488.625)</f>
        <v>44488.625</v>
      </c>
      <c r="B435" s="2">
        <f>IFERROR(__xludf.DUMMYFUNCTION("""COMPUTED_VALUE"""),1100.76)</f>
        <v>1100.76</v>
      </c>
      <c r="C435" s="2">
        <f>IFERROR(__xludf.DUMMYFUNCTION("""COMPUTED_VALUE"""),1119.26)</f>
        <v>1119.26</v>
      </c>
      <c r="D435" s="2">
        <f>IFERROR(__xludf.DUMMYFUNCTION("""COMPUTED_VALUE"""),1100.76)</f>
        <v>1100.76</v>
      </c>
      <c r="E435" s="2">
        <f>IFERROR(__xludf.DUMMYFUNCTION("""COMPUTED_VALUE"""),1100.76)</f>
        <v>1100.76</v>
      </c>
      <c r="F435" s="2">
        <f>IFERROR(__xludf.DUMMYFUNCTION("""COMPUTED_VALUE"""),1.49104E7)</f>
        <v>14910400</v>
      </c>
      <c r="G435" s="2">
        <f t="shared" si="1"/>
        <v>18.5</v>
      </c>
    </row>
    <row r="436" ht="15.75" customHeight="1">
      <c r="A436" s="1">
        <f>IFERROR(__xludf.DUMMYFUNCTION("""COMPUTED_VALUE"""),44490.625)</f>
        <v>44490.625</v>
      </c>
      <c r="B436" s="2">
        <f>IFERROR(__xludf.DUMMYFUNCTION("""COMPUTED_VALUE"""),1100.76)</f>
        <v>1100.76</v>
      </c>
      <c r="C436" s="2">
        <f>IFERROR(__xludf.DUMMYFUNCTION("""COMPUTED_VALUE"""),1114.63)</f>
        <v>1114.63</v>
      </c>
      <c r="D436" s="2">
        <f>IFERROR(__xludf.DUMMYFUNCTION("""COMPUTED_VALUE"""),1026.76)</f>
        <v>1026.76</v>
      </c>
      <c r="E436" s="2">
        <f>IFERROR(__xludf.DUMMYFUNCTION("""COMPUTED_VALUE"""),1026.76)</f>
        <v>1026.76</v>
      </c>
      <c r="F436" s="2">
        <f>IFERROR(__xludf.DUMMYFUNCTION("""COMPUTED_VALUE"""),6.96761E7)</f>
        <v>69676100</v>
      </c>
      <c r="G436" s="2">
        <f t="shared" si="1"/>
        <v>87.87</v>
      </c>
    </row>
    <row r="437" ht="15.75" customHeight="1">
      <c r="A437" s="1">
        <f>IFERROR(__xludf.DUMMYFUNCTION("""COMPUTED_VALUE"""),44491.625)</f>
        <v>44491.625</v>
      </c>
      <c r="B437" s="2">
        <f>IFERROR(__xludf.DUMMYFUNCTION("""COMPUTED_VALUE"""),1022.13)</f>
        <v>1022.13</v>
      </c>
      <c r="C437" s="2">
        <f>IFERROR(__xludf.DUMMYFUNCTION("""COMPUTED_VALUE"""),1073.01)</f>
        <v>1073.01</v>
      </c>
      <c r="D437" s="2">
        <f>IFERROR(__xludf.DUMMYFUNCTION("""COMPUTED_VALUE"""),962.01)</f>
        <v>962.01</v>
      </c>
      <c r="E437" s="2">
        <f>IFERROR(__xludf.DUMMYFUNCTION("""COMPUTED_VALUE"""),1068.38)</f>
        <v>1068.38</v>
      </c>
      <c r="F437" s="2">
        <f>IFERROR(__xludf.DUMMYFUNCTION("""COMPUTED_VALUE"""),9.65681E7)</f>
        <v>96568100</v>
      </c>
      <c r="G437" s="2">
        <f t="shared" si="1"/>
        <v>111</v>
      </c>
    </row>
    <row r="438" ht="15.75" customHeight="1">
      <c r="A438" s="1">
        <f>IFERROR(__xludf.DUMMYFUNCTION("""COMPUTED_VALUE"""),44494.625)</f>
        <v>44494.625</v>
      </c>
      <c r="B438" s="2">
        <f>IFERROR(__xludf.DUMMYFUNCTION("""COMPUTED_VALUE"""),1073.01)</f>
        <v>1073.01</v>
      </c>
      <c r="C438" s="2">
        <f>IFERROR(__xludf.DUMMYFUNCTION("""COMPUTED_VALUE"""),1086.88)</f>
        <v>1086.88</v>
      </c>
      <c r="D438" s="2">
        <f>IFERROR(__xludf.DUMMYFUNCTION("""COMPUTED_VALUE"""),1036.01)</f>
        <v>1036.01</v>
      </c>
      <c r="E438" s="2">
        <f>IFERROR(__xludf.DUMMYFUNCTION("""COMPUTED_VALUE"""),1040.63)</f>
        <v>1040.63</v>
      </c>
      <c r="F438" s="2">
        <f>IFERROR(__xludf.DUMMYFUNCTION("""COMPUTED_VALUE"""),3.47828E7)</f>
        <v>34782800</v>
      </c>
      <c r="G438" s="2">
        <f t="shared" si="1"/>
        <v>50.87</v>
      </c>
    </row>
    <row r="439" ht="15.75" customHeight="1">
      <c r="A439" s="1">
        <f>IFERROR(__xludf.DUMMYFUNCTION("""COMPUTED_VALUE"""),44495.625)</f>
        <v>44495.625</v>
      </c>
      <c r="B439" s="2">
        <f>IFERROR(__xludf.DUMMYFUNCTION("""COMPUTED_VALUE"""),1036.01)</f>
        <v>1036.01</v>
      </c>
      <c r="C439" s="2">
        <f>IFERROR(__xludf.DUMMYFUNCTION("""COMPUTED_VALUE"""),1049.88)</f>
        <v>1049.88</v>
      </c>
      <c r="D439" s="2">
        <f>IFERROR(__xludf.DUMMYFUNCTION("""COMPUTED_VALUE"""),1008.26)</f>
        <v>1008.26</v>
      </c>
      <c r="E439" s="2">
        <f>IFERROR(__xludf.DUMMYFUNCTION("""COMPUTED_VALUE"""),1012.88)</f>
        <v>1012.88</v>
      </c>
      <c r="F439" s="2">
        <f>IFERROR(__xludf.DUMMYFUNCTION("""COMPUTED_VALUE"""),3.34431E7)</f>
        <v>33443100</v>
      </c>
      <c r="G439" s="2">
        <f t="shared" si="1"/>
        <v>41.62</v>
      </c>
    </row>
    <row r="440" ht="15.75" customHeight="1">
      <c r="A440" s="1">
        <f>IFERROR(__xludf.DUMMYFUNCTION("""COMPUTED_VALUE"""),44496.625)</f>
        <v>44496.625</v>
      </c>
      <c r="B440" s="2">
        <f>IFERROR(__xludf.DUMMYFUNCTION("""COMPUTED_VALUE"""),1012.88)</f>
        <v>1012.88</v>
      </c>
      <c r="C440" s="2">
        <f>IFERROR(__xludf.DUMMYFUNCTION("""COMPUTED_VALUE"""),1022.13)</f>
        <v>1022.13</v>
      </c>
      <c r="D440" s="2">
        <f>IFERROR(__xludf.DUMMYFUNCTION("""COMPUTED_VALUE"""),962.01)</f>
        <v>962.01</v>
      </c>
      <c r="E440" s="2">
        <f>IFERROR(__xludf.DUMMYFUNCTION("""COMPUTED_VALUE"""),962.01)</f>
        <v>962.01</v>
      </c>
      <c r="F440" s="2">
        <f>IFERROR(__xludf.DUMMYFUNCTION("""COMPUTED_VALUE"""),4.85523E7)</f>
        <v>48552300</v>
      </c>
      <c r="G440" s="2">
        <f t="shared" si="1"/>
        <v>60.12</v>
      </c>
    </row>
    <row r="441" ht="15.75" customHeight="1">
      <c r="A441" s="1">
        <f>IFERROR(__xludf.DUMMYFUNCTION("""COMPUTED_VALUE"""),44497.625)</f>
        <v>44497.625</v>
      </c>
      <c r="B441" s="2">
        <f>IFERROR(__xludf.DUMMYFUNCTION("""COMPUTED_VALUE"""),962.01)</f>
        <v>962.01</v>
      </c>
      <c r="C441" s="2">
        <f>IFERROR(__xludf.DUMMYFUNCTION("""COMPUTED_VALUE"""),989.76)</f>
        <v>989.76</v>
      </c>
      <c r="D441" s="2">
        <f>IFERROR(__xludf.DUMMYFUNCTION("""COMPUTED_VALUE"""),925.01)</f>
        <v>925.01</v>
      </c>
      <c r="E441" s="2">
        <f>IFERROR(__xludf.DUMMYFUNCTION("""COMPUTED_VALUE"""),943.51)</f>
        <v>943.51</v>
      </c>
      <c r="F441" s="2">
        <f>IFERROR(__xludf.DUMMYFUNCTION("""COMPUTED_VALUE"""),4.75666E7)</f>
        <v>47566600</v>
      </c>
      <c r="G441" s="2">
        <f t="shared" si="1"/>
        <v>64.75</v>
      </c>
    </row>
    <row r="442" ht="15.75" customHeight="1">
      <c r="A442" s="1">
        <f>IFERROR(__xludf.DUMMYFUNCTION("""COMPUTED_VALUE"""),44498.625)</f>
        <v>44498.625</v>
      </c>
      <c r="B442" s="2">
        <f>IFERROR(__xludf.DUMMYFUNCTION("""COMPUTED_VALUE"""),952.76)</f>
        <v>952.76</v>
      </c>
      <c r="C442" s="2">
        <f>IFERROR(__xludf.DUMMYFUNCTION("""COMPUTED_VALUE"""),985.13)</f>
        <v>985.13</v>
      </c>
      <c r="D442" s="2">
        <f>IFERROR(__xludf.DUMMYFUNCTION("""COMPUTED_VALUE"""),943.51)</f>
        <v>943.51</v>
      </c>
      <c r="E442" s="2">
        <f>IFERROR(__xludf.DUMMYFUNCTION("""COMPUTED_VALUE"""),971.26)</f>
        <v>971.26</v>
      </c>
      <c r="F442" s="2">
        <f>IFERROR(__xludf.DUMMYFUNCTION("""COMPUTED_VALUE"""),2.73259E7)</f>
        <v>27325900</v>
      </c>
      <c r="G442" s="2">
        <f t="shared" si="1"/>
        <v>41.62</v>
      </c>
    </row>
    <row r="443" ht="15.75" customHeight="1">
      <c r="A443" s="1">
        <f>IFERROR(__xludf.DUMMYFUNCTION("""COMPUTED_VALUE"""),44501.625)</f>
        <v>44501.625</v>
      </c>
      <c r="B443" s="2">
        <f>IFERROR(__xludf.DUMMYFUNCTION("""COMPUTED_VALUE"""),980.51)</f>
        <v>980.51</v>
      </c>
      <c r="C443" s="2">
        <f>IFERROR(__xludf.DUMMYFUNCTION("""COMPUTED_VALUE"""),1003.63)</f>
        <v>1003.63</v>
      </c>
      <c r="D443" s="2">
        <f>IFERROR(__xludf.DUMMYFUNCTION("""COMPUTED_VALUE"""),957.38)</f>
        <v>957.38</v>
      </c>
      <c r="E443" s="2">
        <f>IFERROR(__xludf.DUMMYFUNCTION("""COMPUTED_VALUE"""),980.51)</f>
        <v>980.51</v>
      </c>
      <c r="F443" s="2">
        <f>IFERROR(__xludf.DUMMYFUNCTION("""COMPUTED_VALUE"""),2.2411E7)</f>
        <v>22411000</v>
      </c>
      <c r="G443" s="2">
        <f t="shared" si="1"/>
        <v>46.25</v>
      </c>
    </row>
    <row r="444" ht="15.75" customHeight="1">
      <c r="A444" s="1">
        <f>IFERROR(__xludf.DUMMYFUNCTION("""COMPUTED_VALUE"""),44502.625)</f>
        <v>44502.625</v>
      </c>
      <c r="B444" s="2">
        <f>IFERROR(__xludf.DUMMYFUNCTION("""COMPUTED_VALUE"""),989.76)</f>
        <v>989.76</v>
      </c>
      <c r="C444" s="2">
        <f>IFERROR(__xludf.DUMMYFUNCTION("""COMPUTED_VALUE"""),994.38)</f>
        <v>994.38</v>
      </c>
      <c r="D444" s="2">
        <f>IFERROR(__xludf.DUMMYFUNCTION("""COMPUTED_VALUE"""),952.76)</f>
        <v>952.76</v>
      </c>
      <c r="E444" s="2">
        <f>IFERROR(__xludf.DUMMYFUNCTION("""COMPUTED_VALUE"""),962.01)</f>
        <v>962.01</v>
      </c>
      <c r="F444" s="2">
        <f>IFERROR(__xludf.DUMMYFUNCTION("""COMPUTED_VALUE"""),1.14631E7)</f>
        <v>11463100</v>
      </c>
      <c r="G444" s="2">
        <f t="shared" si="1"/>
        <v>41.62</v>
      </c>
    </row>
    <row r="445" ht="15.75" customHeight="1">
      <c r="A445" s="1">
        <f>IFERROR(__xludf.DUMMYFUNCTION("""COMPUTED_VALUE"""),44503.625)</f>
        <v>44503.625</v>
      </c>
      <c r="B445" s="2">
        <f>IFERROR(__xludf.DUMMYFUNCTION("""COMPUTED_VALUE"""),962.01)</f>
        <v>962.01</v>
      </c>
      <c r="C445" s="2">
        <f>IFERROR(__xludf.DUMMYFUNCTION("""COMPUTED_VALUE"""),1022.13)</f>
        <v>1022.13</v>
      </c>
      <c r="D445" s="2">
        <f>IFERROR(__xludf.DUMMYFUNCTION("""COMPUTED_VALUE"""),962.01)</f>
        <v>962.01</v>
      </c>
      <c r="E445" s="2">
        <f>IFERROR(__xludf.DUMMYFUNCTION("""COMPUTED_VALUE"""),1017.51)</f>
        <v>1017.51</v>
      </c>
      <c r="F445" s="2">
        <f>IFERROR(__xludf.DUMMYFUNCTION("""COMPUTED_VALUE"""),3.86176E7)</f>
        <v>38617600</v>
      </c>
      <c r="G445" s="2">
        <f t="shared" si="1"/>
        <v>60.12</v>
      </c>
    </row>
    <row r="446" ht="15.75" customHeight="1">
      <c r="A446" s="1">
        <f>IFERROR(__xludf.DUMMYFUNCTION("""COMPUTED_VALUE"""),44504.66666666667)</f>
        <v>44504.66667</v>
      </c>
      <c r="B446" s="2">
        <f>IFERROR(__xludf.DUMMYFUNCTION("""COMPUTED_VALUE"""),1036.01)</f>
        <v>1036.01</v>
      </c>
      <c r="C446" s="2">
        <f>IFERROR(__xludf.DUMMYFUNCTION("""COMPUTED_VALUE"""),1049.88)</f>
        <v>1049.88</v>
      </c>
      <c r="D446" s="2">
        <f>IFERROR(__xludf.DUMMYFUNCTION("""COMPUTED_VALUE"""),1017.51)</f>
        <v>1017.51</v>
      </c>
      <c r="E446" s="2">
        <f>IFERROR(__xludf.DUMMYFUNCTION("""COMPUTED_VALUE"""),1026.76)</f>
        <v>1026.76</v>
      </c>
      <c r="F446" s="2">
        <f>IFERROR(__xludf.DUMMYFUNCTION("""COMPUTED_VALUE"""),3.92984E7)</f>
        <v>39298400</v>
      </c>
      <c r="G446" s="2">
        <f t="shared" si="1"/>
        <v>32.37</v>
      </c>
    </row>
    <row r="447" ht="15.75" customHeight="1">
      <c r="A447" s="1">
        <f>IFERROR(__xludf.DUMMYFUNCTION("""COMPUTED_VALUE"""),44505.625)</f>
        <v>44505.625</v>
      </c>
      <c r="B447" s="2">
        <f>IFERROR(__xludf.DUMMYFUNCTION("""COMPUTED_VALUE"""),1026.76)</f>
        <v>1026.76</v>
      </c>
      <c r="C447" s="2">
        <f>IFERROR(__xludf.DUMMYFUNCTION("""COMPUTED_VALUE"""),1031.38)</f>
        <v>1031.38</v>
      </c>
      <c r="D447" s="2">
        <f>IFERROR(__xludf.DUMMYFUNCTION("""COMPUTED_VALUE"""),999.01)</f>
        <v>999.01</v>
      </c>
      <c r="E447" s="2">
        <f>IFERROR(__xludf.DUMMYFUNCTION("""COMPUTED_VALUE"""),1003.63)</f>
        <v>1003.63</v>
      </c>
      <c r="F447" s="2">
        <f>IFERROR(__xludf.DUMMYFUNCTION("""COMPUTED_VALUE"""),1.50863E7)</f>
        <v>15086300</v>
      </c>
      <c r="G447" s="2">
        <f t="shared" si="1"/>
        <v>32.37</v>
      </c>
    </row>
    <row r="448" ht="15.75" customHeight="1">
      <c r="A448" s="1">
        <f>IFERROR(__xludf.DUMMYFUNCTION("""COMPUTED_VALUE"""),44508.625)</f>
        <v>44508.625</v>
      </c>
      <c r="B448" s="2">
        <f>IFERROR(__xludf.DUMMYFUNCTION("""COMPUTED_VALUE"""),1017.51)</f>
        <v>1017.51</v>
      </c>
      <c r="C448" s="2">
        <f>IFERROR(__xludf.DUMMYFUNCTION("""COMPUTED_VALUE"""),1022.13)</f>
        <v>1022.13</v>
      </c>
      <c r="D448" s="2">
        <f>IFERROR(__xludf.DUMMYFUNCTION("""COMPUTED_VALUE"""),999.01)</f>
        <v>999.01</v>
      </c>
      <c r="E448" s="2">
        <f>IFERROR(__xludf.DUMMYFUNCTION("""COMPUTED_VALUE"""),999.01)</f>
        <v>999.01</v>
      </c>
      <c r="F448" s="2">
        <f>IFERROR(__xludf.DUMMYFUNCTION("""COMPUTED_VALUE"""),1.3533E7)</f>
        <v>13533000</v>
      </c>
      <c r="G448" s="2">
        <f t="shared" si="1"/>
        <v>23.12</v>
      </c>
    </row>
    <row r="449" ht="15.75" customHeight="1">
      <c r="A449" s="1">
        <f>IFERROR(__xludf.DUMMYFUNCTION("""COMPUTED_VALUE"""),44509.625)</f>
        <v>44509.625</v>
      </c>
      <c r="B449" s="2">
        <f>IFERROR(__xludf.DUMMYFUNCTION("""COMPUTED_VALUE"""),1008.26)</f>
        <v>1008.26</v>
      </c>
      <c r="C449" s="2">
        <f>IFERROR(__xludf.DUMMYFUNCTION("""COMPUTED_VALUE"""),1040.63)</f>
        <v>1040.63</v>
      </c>
      <c r="D449" s="2">
        <f>IFERROR(__xludf.DUMMYFUNCTION("""COMPUTED_VALUE"""),999.01)</f>
        <v>999.01</v>
      </c>
      <c r="E449" s="2">
        <f>IFERROR(__xludf.DUMMYFUNCTION("""COMPUTED_VALUE"""),1036.01)</f>
        <v>1036.01</v>
      </c>
      <c r="F449" s="2">
        <f>IFERROR(__xludf.DUMMYFUNCTION("""COMPUTED_VALUE"""),2.18958E7)</f>
        <v>21895800</v>
      </c>
      <c r="G449" s="2">
        <f t="shared" si="1"/>
        <v>41.62</v>
      </c>
    </row>
    <row r="450" ht="15.75" customHeight="1">
      <c r="A450" s="1">
        <f>IFERROR(__xludf.DUMMYFUNCTION("""COMPUTED_VALUE"""),44510.625)</f>
        <v>44510.625</v>
      </c>
      <c r="B450" s="2">
        <f>IFERROR(__xludf.DUMMYFUNCTION("""COMPUTED_VALUE"""),1036.01)</f>
        <v>1036.01</v>
      </c>
      <c r="C450" s="2">
        <f>IFERROR(__xludf.DUMMYFUNCTION("""COMPUTED_VALUE"""),1073.01)</f>
        <v>1073.01</v>
      </c>
      <c r="D450" s="2">
        <f>IFERROR(__xludf.DUMMYFUNCTION("""COMPUTED_VALUE"""),1026.76)</f>
        <v>1026.76</v>
      </c>
      <c r="E450" s="2">
        <f>IFERROR(__xludf.DUMMYFUNCTION("""COMPUTED_VALUE"""),1054.51)</f>
        <v>1054.51</v>
      </c>
      <c r="F450" s="2">
        <f>IFERROR(__xludf.DUMMYFUNCTION("""COMPUTED_VALUE"""),4.24047E7)</f>
        <v>42404700</v>
      </c>
      <c r="G450" s="2">
        <f t="shared" si="1"/>
        <v>46.25</v>
      </c>
    </row>
    <row r="451" ht="15.75" customHeight="1">
      <c r="A451" s="1">
        <f>IFERROR(__xludf.DUMMYFUNCTION("""COMPUTED_VALUE"""),44511.625)</f>
        <v>44511.625</v>
      </c>
      <c r="B451" s="2">
        <f>IFERROR(__xludf.DUMMYFUNCTION("""COMPUTED_VALUE"""),1054.51)</f>
        <v>1054.51</v>
      </c>
      <c r="C451" s="2">
        <f>IFERROR(__xludf.DUMMYFUNCTION("""COMPUTED_VALUE"""),1063.76)</f>
        <v>1063.76</v>
      </c>
      <c r="D451" s="2">
        <f>IFERROR(__xludf.DUMMYFUNCTION("""COMPUTED_VALUE"""),1036.01)</f>
        <v>1036.01</v>
      </c>
      <c r="E451" s="2">
        <f>IFERROR(__xludf.DUMMYFUNCTION("""COMPUTED_VALUE"""),1045.26)</f>
        <v>1045.26</v>
      </c>
      <c r="F451" s="2">
        <f>IFERROR(__xludf.DUMMYFUNCTION("""COMPUTED_VALUE"""),1.85955E7)</f>
        <v>18595500</v>
      </c>
      <c r="G451" s="2">
        <f t="shared" si="1"/>
        <v>27.75</v>
      </c>
    </row>
    <row r="452" ht="15.75" customHeight="1">
      <c r="A452" s="1">
        <f>IFERROR(__xludf.DUMMYFUNCTION("""COMPUTED_VALUE"""),44512.625)</f>
        <v>44512.625</v>
      </c>
      <c r="B452" s="2">
        <f>IFERROR(__xludf.DUMMYFUNCTION("""COMPUTED_VALUE"""),1049.88)</f>
        <v>1049.88</v>
      </c>
      <c r="C452" s="2">
        <f>IFERROR(__xludf.DUMMYFUNCTION("""COMPUTED_VALUE"""),1054.51)</f>
        <v>1054.51</v>
      </c>
      <c r="D452" s="2">
        <f>IFERROR(__xludf.DUMMYFUNCTION("""COMPUTED_VALUE"""),1008.26)</f>
        <v>1008.26</v>
      </c>
      <c r="E452" s="2">
        <f>IFERROR(__xludf.DUMMYFUNCTION("""COMPUTED_VALUE"""),1026.76)</f>
        <v>1026.76</v>
      </c>
      <c r="F452" s="2">
        <f>IFERROR(__xludf.DUMMYFUNCTION("""COMPUTED_VALUE"""),3.01363E7)</f>
        <v>30136300</v>
      </c>
      <c r="G452" s="2">
        <f t="shared" si="1"/>
        <v>46.25</v>
      </c>
    </row>
    <row r="453" ht="15.75" customHeight="1">
      <c r="A453" s="1">
        <f>IFERROR(__xludf.DUMMYFUNCTION("""COMPUTED_VALUE"""),44515.625)</f>
        <v>44515.625</v>
      </c>
      <c r="B453" s="2">
        <f>IFERROR(__xludf.DUMMYFUNCTION("""COMPUTED_VALUE"""),1026.76)</f>
        <v>1026.76</v>
      </c>
      <c r="C453" s="2">
        <f>IFERROR(__xludf.DUMMYFUNCTION("""COMPUTED_VALUE"""),1031.38)</f>
        <v>1031.38</v>
      </c>
      <c r="D453" s="2">
        <f>IFERROR(__xludf.DUMMYFUNCTION("""COMPUTED_VALUE"""),999.01)</f>
        <v>999.01</v>
      </c>
      <c r="E453" s="2">
        <f>IFERROR(__xludf.DUMMYFUNCTION("""COMPUTED_VALUE"""),1008.26)</f>
        <v>1008.26</v>
      </c>
      <c r="F453" s="2">
        <f>IFERROR(__xludf.DUMMYFUNCTION("""COMPUTED_VALUE"""),1.01593E7)</f>
        <v>10159300</v>
      </c>
      <c r="G453" s="2">
        <f t="shared" si="1"/>
        <v>32.37</v>
      </c>
    </row>
    <row r="454" ht="15.75" customHeight="1">
      <c r="A454" s="1">
        <f>IFERROR(__xludf.DUMMYFUNCTION("""COMPUTED_VALUE"""),44516.625)</f>
        <v>44516.625</v>
      </c>
      <c r="B454" s="2">
        <f>IFERROR(__xludf.DUMMYFUNCTION("""COMPUTED_VALUE"""),1008.26)</f>
        <v>1008.26</v>
      </c>
      <c r="C454" s="2">
        <f>IFERROR(__xludf.DUMMYFUNCTION("""COMPUTED_VALUE"""),1026.76)</f>
        <v>1026.76</v>
      </c>
      <c r="D454" s="2">
        <f>IFERROR(__xludf.DUMMYFUNCTION("""COMPUTED_VALUE"""),999.01)</f>
        <v>999.01</v>
      </c>
      <c r="E454" s="2">
        <f>IFERROR(__xludf.DUMMYFUNCTION("""COMPUTED_VALUE"""),1012.88)</f>
        <v>1012.88</v>
      </c>
      <c r="F454" s="2">
        <f>IFERROR(__xludf.DUMMYFUNCTION("""COMPUTED_VALUE"""),1.16237E7)</f>
        <v>11623700</v>
      </c>
      <c r="G454" s="2">
        <f t="shared" si="1"/>
        <v>27.75</v>
      </c>
    </row>
    <row r="455" ht="15.75" customHeight="1">
      <c r="A455" s="1">
        <f>IFERROR(__xludf.DUMMYFUNCTION("""COMPUTED_VALUE"""),44517.625)</f>
        <v>44517.625</v>
      </c>
      <c r="B455" s="2">
        <f>IFERROR(__xludf.DUMMYFUNCTION("""COMPUTED_VALUE"""),1017.51)</f>
        <v>1017.51</v>
      </c>
      <c r="C455" s="2">
        <f>IFERROR(__xludf.DUMMYFUNCTION("""COMPUTED_VALUE"""),1040.63)</f>
        <v>1040.63</v>
      </c>
      <c r="D455" s="2">
        <f>IFERROR(__xludf.DUMMYFUNCTION("""COMPUTED_VALUE"""),1008.26)</f>
        <v>1008.26</v>
      </c>
      <c r="E455" s="2">
        <f>IFERROR(__xludf.DUMMYFUNCTION("""COMPUTED_VALUE"""),1026.76)</f>
        <v>1026.76</v>
      </c>
      <c r="F455" s="2">
        <f>IFERROR(__xludf.DUMMYFUNCTION("""COMPUTED_VALUE"""),2.13223E7)</f>
        <v>21322300</v>
      </c>
      <c r="G455" s="2">
        <f t="shared" si="1"/>
        <v>32.37</v>
      </c>
    </row>
    <row r="456" ht="15.75" customHeight="1">
      <c r="A456" s="1">
        <f>IFERROR(__xludf.DUMMYFUNCTION("""COMPUTED_VALUE"""),44518.625)</f>
        <v>44518.625</v>
      </c>
      <c r="B456" s="2">
        <f>IFERROR(__xludf.DUMMYFUNCTION("""COMPUTED_VALUE"""),1026.76)</f>
        <v>1026.76</v>
      </c>
      <c r="C456" s="2">
        <f>IFERROR(__xludf.DUMMYFUNCTION("""COMPUTED_VALUE"""),1036.01)</f>
        <v>1036.01</v>
      </c>
      <c r="D456" s="2">
        <f>IFERROR(__xludf.DUMMYFUNCTION("""COMPUTED_VALUE"""),1022.13)</f>
        <v>1022.13</v>
      </c>
      <c r="E456" s="2">
        <f>IFERROR(__xludf.DUMMYFUNCTION("""COMPUTED_VALUE"""),1031.38)</f>
        <v>1031.38</v>
      </c>
      <c r="F456" s="2">
        <f>IFERROR(__xludf.DUMMYFUNCTION("""COMPUTED_VALUE"""),1.6596E7)</f>
        <v>16596000</v>
      </c>
      <c r="G456" s="2">
        <f t="shared" si="1"/>
        <v>13.88</v>
      </c>
    </row>
    <row r="457" ht="15.75" customHeight="1">
      <c r="A457" s="1">
        <f>IFERROR(__xludf.DUMMYFUNCTION("""COMPUTED_VALUE"""),44519.625)</f>
        <v>44519.625</v>
      </c>
      <c r="B457" s="2">
        <f>IFERROR(__xludf.DUMMYFUNCTION("""COMPUTED_VALUE"""),1031.38)</f>
        <v>1031.38</v>
      </c>
      <c r="C457" s="2">
        <f>IFERROR(__xludf.DUMMYFUNCTION("""COMPUTED_VALUE"""),1040.63)</f>
        <v>1040.63</v>
      </c>
      <c r="D457" s="2">
        <f>IFERROR(__xludf.DUMMYFUNCTION("""COMPUTED_VALUE"""),1026.76)</f>
        <v>1026.76</v>
      </c>
      <c r="E457" s="2">
        <f>IFERROR(__xludf.DUMMYFUNCTION("""COMPUTED_VALUE"""),1031.38)</f>
        <v>1031.38</v>
      </c>
      <c r="F457" s="2">
        <f>IFERROR(__xludf.DUMMYFUNCTION("""COMPUTED_VALUE"""),1.03963E7)</f>
        <v>10396300</v>
      </c>
      <c r="G457" s="2">
        <f t="shared" si="1"/>
        <v>13.87</v>
      </c>
    </row>
    <row r="458" ht="15.75" customHeight="1">
      <c r="A458" s="1">
        <f>IFERROR(__xludf.DUMMYFUNCTION("""COMPUTED_VALUE"""),44522.625)</f>
        <v>44522.625</v>
      </c>
      <c r="B458" s="2">
        <f>IFERROR(__xludf.DUMMYFUNCTION("""COMPUTED_VALUE"""),1031.38)</f>
        <v>1031.38</v>
      </c>
      <c r="C458" s="2">
        <f>IFERROR(__xludf.DUMMYFUNCTION("""COMPUTED_VALUE"""),1086.88)</f>
        <v>1086.88</v>
      </c>
      <c r="D458" s="2">
        <f>IFERROR(__xludf.DUMMYFUNCTION("""COMPUTED_VALUE"""),1031.38)</f>
        <v>1031.38</v>
      </c>
      <c r="E458" s="2">
        <f>IFERROR(__xludf.DUMMYFUNCTION("""COMPUTED_VALUE"""),1054.51)</f>
        <v>1054.51</v>
      </c>
      <c r="F458" s="2">
        <f>IFERROR(__xludf.DUMMYFUNCTION("""COMPUTED_VALUE"""),4.19536E7)</f>
        <v>41953600</v>
      </c>
      <c r="G458" s="2">
        <f t="shared" si="1"/>
        <v>55.5</v>
      </c>
    </row>
    <row r="459" ht="15.75" customHeight="1">
      <c r="A459" s="1">
        <f>IFERROR(__xludf.DUMMYFUNCTION("""COMPUTED_VALUE"""),44523.625)</f>
        <v>44523.625</v>
      </c>
      <c r="B459" s="2">
        <f>IFERROR(__xludf.DUMMYFUNCTION("""COMPUTED_VALUE"""),1054.51)</f>
        <v>1054.51</v>
      </c>
      <c r="C459" s="2">
        <f>IFERROR(__xludf.DUMMYFUNCTION("""COMPUTED_VALUE"""),1059.13)</f>
        <v>1059.13</v>
      </c>
      <c r="D459" s="2">
        <f>IFERROR(__xludf.DUMMYFUNCTION("""COMPUTED_VALUE"""),1040.63)</f>
        <v>1040.63</v>
      </c>
      <c r="E459" s="2">
        <f>IFERROR(__xludf.DUMMYFUNCTION("""COMPUTED_VALUE"""),1049.88)</f>
        <v>1049.88</v>
      </c>
      <c r="F459" s="2">
        <f>IFERROR(__xludf.DUMMYFUNCTION("""COMPUTED_VALUE"""),1.43429E7)</f>
        <v>14342900</v>
      </c>
      <c r="G459" s="2">
        <f t="shared" si="1"/>
        <v>18.5</v>
      </c>
    </row>
    <row r="460" ht="15.75" customHeight="1">
      <c r="A460" s="1">
        <f>IFERROR(__xludf.DUMMYFUNCTION("""COMPUTED_VALUE"""),44524.625)</f>
        <v>44524.625</v>
      </c>
      <c r="B460" s="2">
        <f>IFERROR(__xludf.DUMMYFUNCTION("""COMPUTED_VALUE"""),1049.88)</f>
        <v>1049.88</v>
      </c>
      <c r="C460" s="2">
        <f>IFERROR(__xludf.DUMMYFUNCTION("""COMPUTED_VALUE"""),1073.01)</f>
        <v>1073.01</v>
      </c>
      <c r="D460" s="2">
        <f>IFERROR(__xludf.DUMMYFUNCTION("""COMPUTED_VALUE"""),1040.63)</f>
        <v>1040.63</v>
      </c>
      <c r="E460" s="2">
        <f>IFERROR(__xludf.DUMMYFUNCTION("""COMPUTED_VALUE"""),1049.88)</f>
        <v>1049.88</v>
      </c>
      <c r="F460" s="2">
        <f>IFERROR(__xludf.DUMMYFUNCTION("""COMPUTED_VALUE"""),2.20246E7)</f>
        <v>22024600</v>
      </c>
      <c r="G460" s="2">
        <f t="shared" si="1"/>
        <v>32.38</v>
      </c>
    </row>
    <row r="461" ht="15.75" customHeight="1">
      <c r="A461" s="1">
        <f>IFERROR(__xludf.DUMMYFUNCTION("""COMPUTED_VALUE"""),44525.625)</f>
        <v>44525.625</v>
      </c>
      <c r="B461" s="2">
        <f>IFERROR(__xludf.DUMMYFUNCTION("""COMPUTED_VALUE"""),1054.51)</f>
        <v>1054.51</v>
      </c>
      <c r="C461" s="2">
        <f>IFERROR(__xludf.DUMMYFUNCTION("""COMPUTED_VALUE"""),1077.63)</f>
        <v>1077.63</v>
      </c>
      <c r="D461" s="2">
        <f>IFERROR(__xludf.DUMMYFUNCTION("""COMPUTED_VALUE"""),1049.88)</f>
        <v>1049.88</v>
      </c>
      <c r="E461" s="2">
        <f>IFERROR(__xludf.DUMMYFUNCTION("""COMPUTED_VALUE"""),1068.38)</f>
        <v>1068.38</v>
      </c>
      <c r="F461" s="2">
        <f>IFERROR(__xludf.DUMMYFUNCTION("""COMPUTED_VALUE"""),2.12115E7)</f>
        <v>21211500</v>
      </c>
      <c r="G461" s="2">
        <f t="shared" si="1"/>
        <v>27.75</v>
      </c>
    </row>
    <row r="462" ht="15.75" customHeight="1">
      <c r="A462" s="1">
        <f>IFERROR(__xludf.DUMMYFUNCTION("""COMPUTED_VALUE"""),44526.625)</f>
        <v>44526.625</v>
      </c>
      <c r="B462" s="2">
        <f>IFERROR(__xludf.DUMMYFUNCTION("""COMPUTED_VALUE"""),1073.01)</f>
        <v>1073.01</v>
      </c>
      <c r="C462" s="2">
        <f>IFERROR(__xludf.DUMMYFUNCTION("""COMPUTED_VALUE"""),1073.01)</f>
        <v>1073.01</v>
      </c>
      <c r="D462" s="2">
        <f>IFERROR(__xludf.DUMMYFUNCTION("""COMPUTED_VALUE"""),1003.63)</f>
        <v>1003.63</v>
      </c>
      <c r="E462" s="2">
        <f>IFERROR(__xludf.DUMMYFUNCTION("""COMPUTED_VALUE"""),1012.88)</f>
        <v>1012.88</v>
      </c>
      <c r="F462" s="2">
        <f>IFERROR(__xludf.DUMMYFUNCTION("""COMPUTED_VALUE"""),4.07822E7)</f>
        <v>40782200</v>
      </c>
      <c r="G462" s="2">
        <f t="shared" si="1"/>
        <v>69.38</v>
      </c>
    </row>
    <row r="463" ht="15.75" customHeight="1">
      <c r="A463" s="1">
        <f>IFERROR(__xludf.DUMMYFUNCTION("""COMPUTED_VALUE"""),44529.625)</f>
        <v>44529.625</v>
      </c>
      <c r="B463" s="2">
        <f>IFERROR(__xludf.DUMMYFUNCTION("""COMPUTED_VALUE"""),1003.63)</f>
        <v>1003.63</v>
      </c>
      <c r="C463" s="2">
        <f>IFERROR(__xludf.DUMMYFUNCTION("""COMPUTED_VALUE"""),1022.13)</f>
        <v>1022.13</v>
      </c>
      <c r="D463" s="2">
        <f>IFERROR(__xludf.DUMMYFUNCTION("""COMPUTED_VALUE"""),957.38)</f>
        <v>957.38</v>
      </c>
      <c r="E463" s="2">
        <f>IFERROR(__xludf.DUMMYFUNCTION("""COMPUTED_VALUE"""),994.38)</f>
        <v>994.38</v>
      </c>
      <c r="F463" s="2">
        <f>IFERROR(__xludf.DUMMYFUNCTION("""COMPUTED_VALUE"""),3.98071E7)</f>
        <v>39807100</v>
      </c>
      <c r="G463" s="2">
        <f t="shared" si="1"/>
        <v>64.75</v>
      </c>
    </row>
    <row r="464" ht="15.75" customHeight="1">
      <c r="A464" s="1">
        <f>IFERROR(__xludf.DUMMYFUNCTION("""COMPUTED_VALUE"""),44530.625)</f>
        <v>44530.625</v>
      </c>
      <c r="B464" s="2">
        <f>IFERROR(__xludf.DUMMYFUNCTION("""COMPUTED_VALUE"""),1003.63)</f>
        <v>1003.63</v>
      </c>
      <c r="C464" s="2">
        <f>IFERROR(__xludf.DUMMYFUNCTION("""COMPUTED_VALUE"""),1012.88)</f>
        <v>1012.88</v>
      </c>
      <c r="D464" s="2">
        <f>IFERROR(__xludf.DUMMYFUNCTION("""COMPUTED_VALUE"""),938.88)</f>
        <v>938.88</v>
      </c>
      <c r="E464" s="2">
        <f>IFERROR(__xludf.DUMMYFUNCTION("""COMPUTED_VALUE"""),948.13)</f>
        <v>948.13</v>
      </c>
      <c r="F464" s="2">
        <f>IFERROR(__xludf.DUMMYFUNCTION("""COMPUTED_VALUE"""),3.55992E7)</f>
        <v>35599200</v>
      </c>
      <c r="G464" s="2">
        <f t="shared" si="1"/>
        <v>74</v>
      </c>
    </row>
    <row r="465" ht="15.75" customHeight="1">
      <c r="A465" s="1">
        <f>IFERROR(__xludf.DUMMYFUNCTION("""COMPUTED_VALUE"""),44531.66666666667)</f>
        <v>44531.66667</v>
      </c>
      <c r="B465" s="2">
        <f>IFERROR(__xludf.DUMMYFUNCTION("""COMPUTED_VALUE"""),948.13)</f>
        <v>948.13</v>
      </c>
      <c r="C465" s="2">
        <f>IFERROR(__xludf.DUMMYFUNCTION("""COMPUTED_VALUE"""),975.88)</f>
        <v>975.88</v>
      </c>
      <c r="D465" s="2">
        <f>IFERROR(__xludf.DUMMYFUNCTION("""COMPUTED_VALUE"""),938.88)</f>
        <v>938.88</v>
      </c>
      <c r="E465" s="2">
        <f>IFERROR(__xludf.DUMMYFUNCTION("""COMPUTED_VALUE"""),943.51)</f>
        <v>943.51</v>
      </c>
      <c r="F465" s="2">
        <f>IFERROR(__xludf.DUMMYFUNCTION("""COMPUTED_VALUE"""),2.06739E7)</f>
        <v>20673900</v>
      </c>
      <c r="G465" s="2">
        <f t="shared" si="1"/>
        <v>37</v>
      </c>
    </row>
    <row r="466" ht="15.75" customHeight="1">
      <c r="A466" s="1">
        <f>IFERROR(__xludf.DUMMYFUNCTION("""COMPUTED_VALUE"""),44532.66666666667)</f>
        <v>44532.66667</v>
      </c>
      <c r="B466" s="2">
        <f>IFERROR(__xludf.DUMMYFUNCTION("""COMPUTED_VALUE"""),938.88)</f>
        <v>938.88</v>
      </c>
      <c r="C466" s="2">
        <f>IFERROR(__xludf.DUMMYFUNCTION("""COMPUTED_VALUE"""),962.01)</f>
        <v>962.01</v>
      </c>
      <c r="D466" s="2">
        <f>IFERROR(__xludf.DUMMYFUNCTION("""COMPUTED_VALUE"""),901.88)</f>
        <v>901.88</v>
      </c>
      <c r="E466" s="2">
        <f>IFERROR(__xludf.DUMMYFUNCTION("""COMPUTED_VALUE"""),952.76)</f>
        <v>952.76</v>
      </c>
      <c r="F466" s="2">
        <f>IFERROR(__xludf.DUMMYFUNCTION("""COMPUTED_VALUE"""),3.14407E7)</f>
        <v>31440700</v>
      </c>
      <c r="G466" s="2">
        <f t="shared" si="1"/>
        <v>60.13</v>
      </c>
    </row>
    <row r="467" ht="15.75" customHeight="1">
      <c r="A467" s="1">
        <f>IFERROR(__xludf.DUMMYFUNCTION("""COMPUTED_VALUE"""),44533.66666666667)</f>
        <v>44533.66667</v>
      </c>
      <c r="B467" s="2">
        <f>IFERROR(__xludf.DUMMYFUNCTION("""COMPUTED_VALUE"""),957.38)</f>
        <v>957.38</v>
      </c>
      <c r="C467" s="2">
        <f>IFERROR(__xludf.DUMMYFUNCTION("""COMPUTED_VALUE"""),989.76)</f>
        <v>989.76</v>
      </c>
      <c r="D467" s="2">
        <f>IFERROR(__xludf.DUMMYFUNCTION("""COMPUTED_VALUE"""),934.26)</f>
        <v>934.26</v>
      </c>
      <c r="E467" s="2">
        <f>IFERROR(__xludf.DUMMYFUNCTION("""COMPUTED_VALUE"""),948.13)</f>
        <v>948.13</v>
      </c>
      <c r="F467" s="2">
        <f>IFERROR(__xludf.DUMMYFUNCTION("""COMPUTED_VALUE"""),1.38442E7)</f>
        <v>13844200</v>
      </c>
      <c r="G467" s="2">
        <f t="shared" si="1"/>
        <v>55.5</v>
      </c>
    </row>
    <row r="468" ht="15.75" customHeight="1">
      <c r="A468" s="1">
        <f>IFERROR(__xludf.DUMMYFUNCTION("""COMPUTED_VALUE"""),44536.66666666667)</f>
        <v>44536.66667</v>
      </c>
      <c r="B468" s="2">
        <f>IFERROR(__xludf.DUMMYFUNCTION("""COMPUTED_VALUE"""),948.13)</f>
        <v>948.13</v>
      </c>
      <c r="C468" s="2">
        <f>IFERROR(__xludf.DUMMYFUNCTION("""COMPUTED_VALUE"""),966.63)</f>
        <v>966.63</v>
      </c>
      <c r="D468" s="2">
        <f>IFERROR(__xludf.DUMMYFUNCTION("""COMPUTED_VALUE"""),938.88)</f>
        <v>938.88</v>
      </c>
      <c r="E468" s="2">
        <f>IFERROR(__xludf.DUMMYFUNCTION("""COMPUTED_VALUE"""),957.38)</f>
        <v>957.38</v>
      </c>
      <c r="F468" s="2">
        <f>IFERROR(__xludf.DUMMYFUNCTION("""COMPUTED_VALUE"""),1.20028E7)</f>
        <v>12002800</v>
      </c>
      <c r="G468" s="2">
        <f t="shared" si="1"/>
        <v>27.75</v>
      </c>
    </row>
    <row r="469" ht="15.75" customHeight="1">
      <c r="A469" s="1">
        <f>IFERROR(__xludf.DUMMYFUNCTION("""COMPUTED_VALUE"""),44537.66666666667)</f>
        <v>44537.66667</v>
      </c>
      <c r="B469" s="2">
        <f>IFERROR(__xludf.DUMMYFUNCTION("""COMPUTED_VALUE"""),962.01)</f>
        <v>962.01</v>
      </c>
      <c r="C469" s="2">
        <f>IFERROR(__xludf.DUMMYFUNCTION("""COMPUTED_VALUE"""),1012.88)</f>
        <v>1012.88</v>
      </c>
      <c r="D469" s="2">
        <f>IFERROR(__xludf.DUMMYFUNCTION("""COMPUTED_VALUE"""),962.01)</f>
        <v>962.01</v>
      </c>
      <c r="E469" s="2">
        <f>IFERROR(__xludf.DUMMYFUNCTION("""COMPUTED_VALUE"""),1008.26)</f>
        <v>1008.26</v>
      </c>
      <c r="F469" s="2">
        <f>IFERROR(__xludf.DUMMYFUNCTION("""COMPUTED_VALUE"""),2.78449E7)</f>
        <v>27844900</v>
      </c>
      <c r="G469" s="2">
        <f t="shared" si="1"/>
        <v>55.5</v>
      </c>
    </row>
    <row r="470" ht="15.75" customHeight="1">
      <c r="A470" s="1">
        <f>IFERROR(__xludf.DUMMYFUNCTION("""COMPUTED_VALUE"""),44538.66666666667)</f>
        <v>44538.66667</v>
      </c>
      <c r="B470" s="2">
        <f>IFERROR(__xludf.DUMMYFUNCTION("""COMPUTED_VALUE"""),1017.51)</f>
        <v>1017.51</v>
      </c>
      <c r="C470" s="2">
        <f>IFERROR(__xludf.DUMMYFUNCTION("""COMPUTED_VALUE"""),1026.76)</f>
        <v>1026.76</v>
      </c>
      <c r="D470" s="2">
        <f>IFERROR(__xludf.DUMMYFUNCTION("""COMPUTED_VALUE"""),985.13)</f>
        <v>985.13</v>
      </c>
      <c r="E470" s="2">
        <f>IFERROR(__xludf.DUMMYFUNCTION("""COMPUTED_VALUE"""),1003.63)</f>
        <v>1003.63</v>
      </c>
      <c r="F470" s="2">
        <f>IFERROR(__xludf.DUMMYFUNCTION("""COMPUTED_VALUE"""),1.5642E7)</f>
        <v>15642000</v>
      </c>
      <c r="G470" s="2">
        <f t="shared" si="1"/>
        <v>41.63</v>
      </c>
    </row>
    <row r="471" ht="15.75" customHeight="1">
      <c r="A471" s="1">
        <f>IFERROR(__xludf.DUMMYFUNCTION("""COMPUTED_VALUE"""),44539.66666666667)</f>
        <v>44539.66667</v>
      </c>
      <c r="B471" s="2">
        <f>IFERROR(__xludf.DUMMYFUNCTION("""COMPUTED_VALUE"""),1008.26)</f>
        <v>1008.26</v>
      </c>
      <c r="C471" s="2">
        <f>IFERROR(__xludf.DUMMYFUNCTION("""COMPUTED_VALUE"""),1008.26)</f>
        <v>1008.26</v>
      </c>
      <c r="D471" s="2">
        <f>IFERROR(__xludf.DUMMYFUNCTION("""COMPUTED_VALUE"""),980.51)</f>
        <v>980.51</v>
      </c>
      <c r="E471" s="2">
        <f>IFERROR(__xludf.DUMMYFUNCTION("""COMPUTED_VALUE"""),994.38)</f>
        <v>994.38</v>
      </c>
      <c r="F471" s="2">
        <f>IFERROR(__xludf.DUMMYFUNCTION("""COMPUTED_VALUE"""),1.03028E7)</f>
        <v>10302800</v>
      </c>
      <c r="G471" s="2">
        <f t="shared" si="1"/>
        <v>27.75</v>
      </c>
    </row>
    <row r="472" ht="15.75" customHeight="1">
      <c r="A472" s="1">
        <f>IFERROR(__xludf.DUMMYFUNCTION("""COMPUTED_VALUE"""),44540.66666666667)</f>
        <v>44540.66667</v>
      </c>
      <c r="B472" s="2">
        <f>IFERROR(__xludf.DUMMYFUNCTION("""COMPUTED_VALUE"""),994.38)</f>
        <v>994.38</v>
      </c>
      <c r="C472" s="2">
        <f>IFERROR(__xludf.DUMMYFUNCTION("""COMPUTED_VALUE"""),994.38)</f>
        <v>994.38</v>
      </c>
      <c r="D472" s="2">
        <f>IFERROR(__xludf.DUMMYFUNCTION("""COMPUTED_VALUE"""),971.26)</f>
        <v>971.26</v>
      </c>
      <c r="E472" s="2">
        <f>IFERROR(__xludf.DUMMYFUNCTION("""COMPUTED_VALUE"""),980.51)</f>
        <v>980.51</v>
      </c>
      <c r="F472" s="2">
        <f>IFERROR(__xludf.DUMMYFUNCTION("""COMPUTED_VALUE"""),1.03823E7)</f>
        <v>10382300</v>
      </c>
      <c r="G472" s="2">
        <f t="shared" si="1"/>
        <v>23.12</v>
      </c>
    </row>
    <row r="473" ht="15.75" customHeight="1">
      <c r="A473" s="1">
        <f>IFERROR(__xludf.DUMMYFUNCTION("""COMPUTED_VALUE"""),44543.66666666667)</f>
        <v>44543.66667</v>
      </c>
      <c r="B473" s="2">
        <f>IFERROR(__xludf.DUMMYFUNCTION("""COMPUTED_VALUE"""),985.13)</f>
        <v>985.13</v>
      </c>
      <c r="C473" s="2">
        <f>IFERROR(__xludf.DUMMYFUNCTION("""COMPUTED_VALUE"""),989.76)</f>
        <v>989.76</v>
      </c>
      <c r="D473" s="2">
        <f>IFERROR(__xludf.DUMMYFUNCTION("""COMPUTED_VALUE"""),971.26)</f>
        <v>971.26</v>
      </c>
      <c r="E473" s="2">
        <f>IFERROR(__xludf.DUMMYFUNCTION("""COMPUTED_VALUE"""),980.51)</f>
        <v>980.51</v>
      </c>
      <c r="F473" s="2">
        <f>IFERROR(__xludf.DUMMYFUNCTION("""COMPUTED_VALUE"""),4847600.0)</f>
        <v>4847600</v>
      </c>
      <c r="G473" s="2">
        <f t="shared" si="1"/>
        <v>18.5</v>
      </c>
    </row>
    <row r="474" ht="15.75" customHeight="1">
      <c r="A474" s="1">
        <f>IFERROR(__xludf.DUMMYFUNCTION("""COMPUTED_VALUE"""),44544.66666666667)</f>
        <v>44544.66667</v>
      </c>
      <c r="B474" s="2">
        <f>IFERROR(__xludf.DUMMYFUNCTION("""COMPUTED_VALUE"""),975.88)</f>
        <v>975.88</v>
      </c>
      <c r="C474" s="2">
        <f>IFERROR(__xludf.DUMMYFUNCTION("""COMPUTED_VALUE"""),980.51)</f>
        <v>980.51</v>
      </c>
      <c r="D474" s="2">
        <f>IFERROR(__xludf.DUMMYFUNCTION("""COMPUTED_VALUE"""),948.13)</f>
        <v>948.13</v>
      </c>
      <c r="E474" s="2">
        <f>IFERROR(__xludf.DUMMYFUNCTION("""COMPUTED_VALUE"""),962.01)</f>
        <v>962.01</v>
      </c>
      <c r="F474" s="2">
        <f>IFERROR(__xludf.DUMMYFUNCTION("""COMPUTED_VALUE"""),1.2134E7)</f>
        <v>12134000</v>
      </c>
      <c r="G474" s="2">
        <f t="shared" si="1"/>
        <v>32.38</v>
      </c>
    </row>
    <row r="475" ht="15.75" customHeight="1">
      <c r="A475" s="1">
        <f>IFERROR(__xludf.DUMMYFUNCTION("""COMPUTED_VALUE"""),44545.66666666667)</f>
        <v>44545.66667</v>
      </c>
      <c r="B475" s="2">
        <f>IFERROR(__xludf.DUMMYFUNCTION("""COMPUTED_VALUE"""),962.01)</f>
        <v>962.01</v>
      </c>
      <c r="C475" s="2">
        <f>IFERROR(__xludf.DUMMYFUNCTION("""COMPUTED_VALUE"""),975.88)</f>
        <v>975.88</v>
      </c>
      <c r="D475" s="2">
        <f>IFERROR(__xludf.DUMMYFUNCTION("""COMPUTED_VALUE"""),943.51)</f>
        <v>943.51</v>
      </c>
      <c r="E475" s="2">
        <f>IFERROR(__xludf.DUMMYFUNCTION("""COMPUTED_VALUE"""),948.13)</f>
        <v>948.13</v>
      </c>
      <c r="F475" s="2">
        <f>IFERROR(__xludf.DUMMYFUNCTION("""COMPUTED_VALUE"""),1.30044E7)</f>
        <v>13004400</v>
      </c>
      <c r="G475" s="2">
        <f t="shared" si="1"/>
        <v>32.37</v>
      </c>
    </row>
    <row r="476" ht="15.75" customHeight="1">
      <c r="A476" s="1">
        <f>IFERROR(__xludf.DUMMYFUNCTION("""COMPUTED_VALUE"""),44546.66666666667)</f>
        <v>44546.66667</v>
      </c>
      <c r="B476" s="2">
        <f>IFERROR(__xludf.DUMMYFUNCTION("""COMPUTED_VALUE"""),957.38)</f>
        <v>957.38</v>
      </c>
      <c r="C476" s="2">
        <f>IFERROR(__xludf.DUMMYFUNCTION("""COMPUTED_VALUE"""),962.01)</f>
        <v>962.01</v>
      </c>
      <c r="D476" s="2">
        <f>IFERROR(__xludf.DUMMYFUNCTION("""COMPUTED_VALUE"""),925.01)</f>
        <v>925.01</v>
      </c>
      <c r="E476" s="2">
        <f>IFERROR(__xludf.DUMMYFUNCTION("""COMPUTED_VALUE"""),934.26)</f>
        <v>934.26</v>
      </c>
      <c r="F476" s="2">
        <f>IFERROR(__xludf.DUMMYFUNCTION("""COMPUTED_VALUE"""),1.20361E7)</f>
        <v>12036100</v>
      </c>
      <c r="G476" s="2">
        <f t="shared" si="1"/>
        <v>37</v>
      </c>
    </row>
    <row r="477" ht="15.75" customHeight="1">
      <c r="A477" s="1">
        <f>IFERROR(__xludf.DUMMYFUNCTION("""COMPUTED_VALUE"""),44547.66666666667)</f>
        <v>44547.66667</v>
      </c>
      <c r="B477" s="2">
        <f>IFERROR(__xludf.DUMMYFUNCTION("""COMPUTED_VALUE"""),934.26)</f>
        <v>934.26</v>
      </c>
      <c r="C477" s="2">
        <f>IFERROR(__xludf.DUMMYFUNCTION("""COMPUTED_VALUE"""),934.26)</f>
        <v>934.26</v>
      </c>
      <c r="D477" s="2">
        <f>IFERROR(__xludf.DUMMYFUNCTION("""COMPUTED_VALUE"""),883.38)</f>
        <v>883.38</v>
      </c>
      <c r="E477" s="2">
        <f>IFERROR(__xludf.DUMMYFUNCTION("""COMPUTED_VALUE"""),906.5)</f>
        <v>906.5</v>
      </c>
      <c r="F477" s="2">
        <f>IFERROR(__xludf.DUMMYFUNCTION("""COMPUTED_VALUE"""),2.42828E7)</f>
        <v>24282800</v>
      </c>
      <c r="G477" s="2">
        <f t="shared" si="1"/>
        <v>50.88</v>
      </c>
    </row>
    <row r="478" ht="15.75" customHeight="1">
      <c r="A478" s="1">
        <f>IFERROR(__xludf.DUMMYFUNCTION("""COMPUTED_VALUE"""),44550.66666666667)</f>
        <v>44550.66667</v>
      </c>
      <c r="B478" s="2">
        <f>IFERROR(__xludf.DUMMYFUNCTION("""COMPUTED_VALUE"""),906.5)</f>
        <v>906.5</v>
      </c>
      <c r="C478" s="2">
        <f>IFERROR(__xludf.DUMMYFUNCTION("""COMPUTED_VALUE"""),906.5)</f>
        <v>906.5</v>
      </c>
      <c r="D478" s="2">
        <f>IFERROR(__xludf.DUMMYFUNCTION("""COMPUTED_VALUE"""),846.38)</f>
        <v>846.38</v>
      </c>
      <c r="E478" s="2">
        <f>IFERROR(__xludf.DUMMYFUNCTION("""COMPUTED_VALUE"""),855.63)</f>
        <v>855.63</v>
      </c>
      <c r="F478" s="2">
        <f>IFERROR(__xludf.DUMMYFUNCTION("""COMPUTED_VALUE"""),3.6477E7)</f>
        <v>36477000</v>
      </c>
      <c r="G478" s="2">
        <f t="shared" si="1"/>
        <v>60.12</v>
      </c>
    </row>
    <row r="479" ht="15.75" customHeight="1">
      <c r="A479" s="1">
        <f>IFERROR(__xludf.DUMMYFUNCTION("""COMPUTED_VALUE"""),44551.66666666667)</f>
        <v>44551.66667</v>
      </c>
      <c r="B479" s="2">
        <f>IFERROR(__xludf.DUMMYFUNCTION("""COMPUTED_VALUE"""),860.25)</f>
        <v>860.25</v>
      </c>
      <c r="C479" s="2">
        <f>IFERROR(__xludf.DUMMYFUNCTION("""COMPUTED_VALUE"""),883.38)</f>
        <v>883.38</v>
      </c>
      <c r="D479" s="2">
        <f>IFERROR(__xludf.DUMMYFUNCTION("""COMPUTED_VALUE"""),846.38)</f>
        <v>846.38</v>
      </c>
      <c r="E479" s="2">
        <f>IFERROR(__xludf.DUMMYFUNCTION("""COMPUTED_VALUE"""),860.25)</f>
        <v>860.25</v>
      </c>
      <c r="F479" s="2">
        <f>IFERROR(__xludf.DUMMYFUNCTION("""COMPUTED_VALUE"""),3.31345E7)</f>
        <v>33134500</v>
      </c>
      <c r="G479" s="2">
        <f t="shared" si="1"/>
        <v>37</v>
      </c>
    </row>
    <row r="480" ht="15.75" customHeight="1">
      <c r="A480" s="1">
        <f>IFERROR(__xludf.DUMMYFUNCTION("""COMPUTED_VALUE"""),44552.66666666667)</f>
        <v>44552.66667</v>
      </c>
      <c r="B480" s="2">
        <f>IFERROR(__xludf.DUMMYFUNCTION("""COMPUTED_VALUE"""),864.88)</f>
        <v>864.88</v>
      </c>
      <c r="C480" s="2">
        <f>IFERROR(__xludf.DUMMYFUNCTION("""COMPUTED_VALUE"""),869.5)</f>
        <v>869.5</v>
      </c>
      <c r="D480" s="2">
        <f>IFERROR(__xludf.DUMMYFUNCTION("""COMPUTED_VALUE"""),837.13)</f>
        <v>837.13</v>
      </c>
      <c r="E480" s="2">
        <f>IFERROR(__xludf.DUMMYFUNCTION("""COMPUTED_VALUE"""),837.13)</f>
        <v>837.13</v>
      </c>
      <c r="F480" s="2">
        <f>IFERROR(__xludf.DUMMYFUNCTION("""COMPUTED_VALUE"""),1.88901E7)</f>
        <v>18890100</v>
      </c>
      <c r="G480" s="2">
        <f t="shared" si="1"/>
        <v>32.37</v>
      </c>
    </row>
    <row r="481" ht="15.75" customHeight="1">
      <c r="A481" s="1">
        <f>IFERROR(__xludf.DUMMYFUNCTION("""COMPUTED_VALUE"""),44553.66666666667)</f>
        <v>44553.66667</v>
      </c>
      <c r="B481" s="2">
        <f>IFERROR(__xludf.DUMMYFUNCTION("""COMPUTED_VALUE"""),837.13)</f>
        <v>837.13</v>
      </c>
      <c r="C481" s="2">
        <f>IFERROR(__xludf.DUMMYFUNCTION("""COMPUTED_VALUE"""),841.75)</f>
        <v>841.75</v>
      </c>
      <c r="D481" s="2">
        <f>IFERROR(__xludf.DUMMYFUNCTION("""COMPUTED_VALUE"""),814.0)</f>
        <v>814</v>
      </c>
      <c r="E481" s="2">
        <f>IFERROR(__xludf.DUMMYFUNCTION("""COMPUTED_VALUE"""),818.63)</f>
        <v>818.63</v>
      </c>
      <c r="F481" s="2">
        <f>IFERROR(__xludf.DUMMYFUNCTION("""COMPUTED_VALUE"""),1.38618E7)</f>
        <v>13861800</v>
      </c>
      <c r="G481" s="2">
        <f t="shared" si="1"/>
        <v>27.75</v>
      </c>
    </row>
    <row r="482" ht="15.75" customHeight="1">
      <c r="A482" s="1">
        <f>IFERROR(__xludf.DUMMYFUNCTION("""COMPUTED_VALUE"""),44554.66666666667)</f>
        <v>44554.66667</v>
      </c>
      <c r="B482" s="2">
        <f>IFERROR(__xludf.DUMMYFUNCTION("""COMPUTED_VALUE"""),818.63)</f>
        <v>818.63</v>
      </c>
      <c r="C482" s="2">
        <f>IFERROR(__xludf.DUMMYFUNCTION("""COMPUTED_VALUE"""),841.75)</f>
        <v>841.75</v>
      </c>
      <c r="D482" s="2">
        <f>IFERROR(__xludf.DUMMYFUNCTION("""COMPUTED_VALUE"""),814.0)</f>
        <v>814</v>
      </c>
      <c r="E482" s="2">
        <f>IFERROR(__xludf.DUMMYFUNCTION("""COMPUTED_VALUE"""),832.5)</f>
        <v>832.5</v>
      </c>
      <c r="F482" s="2">
        <f>IFERROR(__xludf.DUMMYFUNCTION("""COMPUTED_VALUE"""),1.01911E7)</f>
        <v>10191100</v>
      </c>
      <c r="G482" s="2">
        <f t="shared" si="1"/>
        <v>27.75</v>
      </c>
    </row>
    <row r="483" ht="15.75" customHeight="1">
      <c r="A483" s="1">
        <f>IFERROR(__xludf.DUMMYFUNCTION("""COMPUTED_VALUE"""),44557.66666666667)</f>
        <v>44557.66667</v>
      </c>
      <c r="B483" s="2">
        <f>IFERROR(__xludf.DUMMYFUNCTION("""COMPUTED_VALUE"""),837.13)</f>
        <v>837.13</v>
      </c>
      <c r="C483" s="2">
        <f>IFERROR(__xludf.DUMMYFUNCTION("""COMPUTED_VALUE"""),888.0)</f>
        <v>888</v>
      </c>
      <c r="D483" s="2">
        <f>IFERROR(__xludf.DUMMYFUNCTION("""COMPUTED_VALUE"""),837.13)</f>
        <v>837.13</v>
      </c>
      <c r="E483" s="2">
        <f>IFERROR(__xludf.DUMMYFUNCTION("""COMPUTED_VALUE"""),888.0)</f>
        <v>888</v>
      </c>
      <c r="F483" s="2">
        <f>IFERROR(__xludf.DUMMYFUNCTION("""COMPUTED_VALUE"""),1.83811E7)</f>
        <v>18381100</v>
      </c>
      <c r="G483" s="2">
        <f t="shared" si="1"/>
        <v>55.5</v>
      </c>
    </row>
    <row r="484" ht="15.75" customHeight="1">
      <c r="A484" s="1">
        <f>IFERROR(__xludf.DUMMYFUNCTION("""COMPUTED_VALUE"""),44558.66666666667)</f>
        <v>44558.66667</v>
      </c>
      <c r="B484" s="2">
        <f>IFERROR(__xludf.DUMMYFUNCTION("""COMPUTED_VALUE"""),892.63)</f>
        <v>892.63</v>
      </c>
      <c r="C484" s="2">
        <f>IFERROR(__xludf.DUMMYFUNCTION("""COMPUTED_VALUE"""),901.88)</f>
        <v>901.88</v>
      </c>
      <c r="D484" s="2">
        <f>IFERROR(__xludf.DUMMYFUNCTION("""COMPUTED_VALUE"""),841.75)</f>
        <v>841.75</v>
      </c>
      <c r="E484" s="2">
        <f>IFERROR(__xludf.DUMMYFUNCTION("""COMPUTED_VALUE"""),851.0)</f>
        <v>851</v>
      </c>
      <c r="F484" s="2">
        <f>IFERROR(__xludf.DUMMYFUNCTION("""COMPUTED_VALUE"""),2.75262E7)</f>
        <v>27526200</v>
      </c>
      <c r="G484" s="2">
        <f t="shared" si="1"/>
        <v>60.13</v>
      </c>
    </row>
    <row r="485" ht="15.75" customHeight="1">
      <c r="A485" s="1">
        <f>IFERROR(__xludf.DUMMYFUNCTION("""COMPUTED_VALUE"""),44559.66666666667)</f>
        <v>44559.66667</v>
      </c>
      <c r="B485" s="2">
        <f>IFERROR(__xludf.DUMMYFUNCTION("""COMPUTED_VALUE"""),851.0)</f>
        <v>851</v>
      </c>
      <c r="C485" s="2">
        <f>IFERROR(__xludf.DUMMYFUNCTION("""COMPUTED_VALUE"""),851.0)</f>
        <v>851</v>
      </c>
      <c r="D485" s="2">
        <f>IFERROR(__xludf.DUMMYFUNCTION("""COMPUTED_VALUE"""),823.25)</f>
        <v>823.25</v>
      </c>
      <c r="E485" s="2">
        <f>IFERROR(__xludf.DUMMYFUNCTION("""COMPUTED_VALUE"""),841.75)</f>
        <v>841.75</v>
      </c>
      <c r="F485" s="2">
        <f>IFERROR(__xludf.DUMMYFUNCTION("""COMPUTED_VALUE"""),1.57051E7)</f>
        <v>15705100</v>
      </c>
      <c r="G485" s="2">
        <f t="shared" si="1"/>
        <v>27.75</v>
      </c>
    </row>
    <row r="486" ht="15.75" customHeight="1">
      <c r="A486" s="1">
        <f>IFERROR(__xludf.DUMMYFUNCTION("""COMPUTED_VALUE"""),44560.66666666667)</f>
        <v>44560.66667</v>
      </c>
      <c r="B486" s="2">
        <f>IFERROR(__xludf.DUMMYFUNCTION("""COMPUTED_VALUE"""),841.75)</f>
        <v>841.75</v>
      </c>
      <c r="C486" s="2">
        <f>IFERROR(__xludf.DUMMYFUNCTION("""COMPUTED_VALUE"""),851.0)</f>
        <v>851</v>
      </c>
      <c r="D486" s="2">
        <f>IFERROR(__xludf.DUMMYFUNCTION("""COMPUTED_VALUE"""),827.88)</f>
        <v>827.88</v>
      </c>
      <c r="E486" s="2">
        <f>IFERROR(__xludf.DUMMYFUNCTION("""COMPUTED_VALUE"""),827.88)</f>
        <v>827.88</v>
      </c>
      <c r="F486" s="2">
        <f>IFERROR(__xludf.DUMMYFUNCTION("""COMPUTED_VALUE"""),6074400.0)</f>
        <v>6074400</v>
      </c>
      <c r="G486" s="2">
        <f t="shared" si="1"/>
        <v>23.12</v>
      </c>
    </row>
    <row r="487" ht="15.75" customHeight="1">
      <c r="A487" s="1">
        <f>IFERROR(__xludf.DUMMYFUNCTION("""COMPUTED_VALUE"""),44564.66666666667)</f>
        <v>44564.66667</v>
      </c>
      <c r="B487" s="2">
        <f>IFERROR(__xludf.DUMMYFUNCTION("""COMPUTED_VALUE"""),827.88)</f>
        <v>827.88</v>
      </c>
      <c r="C487" s="2">
        <f>IFERROR(__xludf.DUMMYFUNCTION("""COMPUTED_VALUE"""),855.63)</f>
        <v>855.63</v>
      </c>
      <c r="D487" s="2">
        <f>IFERROR(__xludf.DUMMYFUNCTION("""COMPUTED_VALUE"""),823.25)</f>
        <v>823.25</v>
      </c>
      <c r="E487" s="2">
        <f>IFERROR(__xludf.DUMMYFUNCTION("""COMPUTED_VALUE"""),851.0)</f>
        <v>851</v>
      </c>
      <c r="F487" s="2">
        <f>IFERROR(__xludf.DUMMYFUNCTION("""COMPUTED_VALUE"""),1.85705E7)</f>
        <v>18570500</v>
      </c>
      <c r="G487" s="2">
        <f t="shared" si="1"/>
        <v>32.38</v>
      </c>
    </row>
    <row r="488" ht="15.75" customHeight="1">
      <c r="A488" s="1">
        <f>IFERROR(__xludf.DUMMYFUNCTION("""COMPUTED_VALUE"""),44565.66666666667)</f>
        <v>44565.66667</v>
      </c>
      <c r="B488" s="2">
        <f>IFERROR(__xludf.DUMMYFUNCTION("""COMPUTED_VALUE"""),851.0)</f>
        <v>851</v>
      </c>
      <c r="C488" s="2">
        <f>IFERROR(__xludf.DUMMYFUNCTION("""COMPUTED_VALUE"""),860.25)</f>
        <v>860.25</v>
      </c>
      <c r="D488" s="2">
        <f>IFERROR(__xludf.DUMMYFUNCTION("""COMPUTED_VALUE"""),837.13)</f>
        <v>837.13</v>
      </c>
      <c r="E488" s="2">
        <f>IFERROR(__xludf.DUMMYFUNCTION("""COMPUTED_VALUE"""),855.63)</f>
        <v>855.63</v>
      </c>
      <c r="F488" s="2">
        <f>IFERROR(__xludf.DUMMYFUNCTION("""COMPUTED_VALUE"""),1.06133E7)</f>
        <v>10613300</v>
      </c>
      <c r="G488" s="2">
        <f t="shared" si="1"/>
        <v>23.12</v>
      </c>
    </row>
    <row r="489" ht="15.75" customHeight="1">
      <c r="A489" s="1">
        <f>IFERROR(__xludf.DUMMYFUNCTION("""COMPUTED_VALUE"""),44566.66666666667)</f>
        <v>44566.66667</v>
      </c>
      <c r="B489" s="2">
        <f>IFERROR(__xludf.DUMMYFUNCTION("""COMPUTED_VALUE"""),855.63)</f>
        <v>855.63</v>
      </c>
      <c r="C489" s="2">
        <f>IFERROR(__xludf.DUMMYFUNCTION("""COMPUTED_VALUE"""),860.25)</f>
        <v>860.25</v>
      </c>
      <c r="D489" s="2">
        <f>IFERROR(__xludf.DUMMYFUNCTION("""COMPUTED_VALUE"""),837.13)</f>
        <v>837.13</v>
      </c>
      <c r="E489" s="2">
        <f>IFERROR(__xludf.DUMMYFUNCTION("""COMPUTED_VALUE"""),837.13)</f>
        <v>837.13</v>
      </c>
      <c r="F489" s="2">
        <f>IFERROR(__xludf.DUMMYFUNCTION("""COMPUTED_VALUE"""),5589700.0)</f>
        <v>5589700</v>
      </c>
      <c r="G489" s="2">
        <f t="shared" si="1"/>
        <v>23.12</v>
      </c>
    </row>
    <row r="490" ht="15.75" customHeight="1">
      <c r="A490" s="1">
        <f>IFERROR(__xludf.DUMMYFUNCTION("""COMPUTED_VALUE"""),44567.66666666667)</f>
        <v>44567.66667</v>
      </c>
      <c r="B490" s="2">
        <f>IFERROR(__xludf.DUMMYFUNCTION("""COMPUTED_VALUE"""),841.75)</f>
        <v>841.75</v>
      </c>
      <c r="C490" s="2">
        <f>IFERROR(__xludf.DUMMYFUNCTION("""COMPUTED_VALUE"""),851.0)</f>
        <v>851</v>
      </c>
      <c r="D490" s="2">
        <f>IFERROR(__xludf.DUMMYFUNCTION("""COMPUTED_VALUE"""),823.25)</f>
        <v>823.25</v>
      </c>
      <c r="E490" s="2">
        <f>IFERROR(__xludf.DUMMYFUNCTION("""COMPUTED_VALUE"""),851.0)</f>
        <v>851</v>
      </c>
      <c r="F490" s="2">
        <f>IFERROR(__xludf.DUMMYFUNCTION("""COMPUTED_VALUE"""),1.12742E7)</f>
        <v>11274200</v>
      </c>
      <c r="G490" s="2">
        <f t="shared" si="1"/>
        <v>27.75</v>
      </c>
    </row>
    <row r="491" ht="15.75" customHeight="1">
      <c r="A491" s="1">
        <f>IFERROR(__xludf.DUMMYFUNCTION("""COMPUTED_VALUE"""),44568.66666666667)</f>
        <v>44568.66667</v>
      </c>
      <c r="B491" s="2">
        <f>IFERROR(__xludf.DUMMYFUNCTION("""COMPUTED_VALUE"""),851.0)</f>
        <v>851</v>
      </c>
      <c r="C491" s="2">
        <f>IFERROR(__xludf.DUMMYFUNCTION("""COMPUTED_VALUE"""),878.75)</f>
        <v>878.75</v>
      </c>
      <c r="D491" s="2">
        <f>IFERROR(__xludf.DUMMYFUNCTION("""COMPUTED_VALUE"""),841.75)</f>
        <v>841.75</v>
      </c>
      <c r="E491" s="2">
        <f>IFERROR(__xludf.DUMMYFUNCTION("""COMPUTED_VALUE"""),864.88)</f>
        <v>864.88</v>
      </c>
      <c r="F491" s="2">
        <f>IFERROR(__xludf.DUMMYFUNCTION("""COMPUTED_VALUE"""),1.36679E7)</f>
        <v>13667900</v>
      </c>
      <c r="G491" s="2">
        <f t="shared" si="1"/>
        <v>37</v>
      </c>
    </row>
    <row r="492" ht="15.75" customHeight="1">
      <c r="A492" s="1">
        <f>IFERROR(__xludf.DUMMYFUNCTION("""COMPUTED_VALUE"""),44571.66666666667)</f>
        <v>44571.66667</v>
      </c>
      <c r="B492" s="2">
        <f>IFERROR(__xludf.DUMMYFUNCTION("""COMPUTED_VALUE"""),864.88)</f>
        <v>864.88</v>
      </c>
      <c r="C492" s="2">
        <f>IFERROR(__xludf.DUMMYFUNCTION("""COMPUTED_VALUE"""),869.5)</f>
        <v>869.5</v>
      </c>
      <c r="D492" s="2">
        <f>IFERROR(__xludf.DUMMYFUNCTION("""COMPUTED_VALUE"""),851.0)</f>
        <v>851</v>
      </c>
      <c r="E492" s="2">
        <f>IFERROR(__xludf.DUMMYFUNCTION("""COMPUTED_VALUE"""),855.63)</f>
        <v>855.63</v>
      </c>
      <c r="F492" s="2">
        <f>IFERROR(__xludf.DUMMYFUNCTION("""COMPUTED_VALUE"""),6853800.0)</f>
        <v>6853800</v>
      </c>
      <c r="G492" s="2">
        <f t="shared" si="1"/>
        <v>18.5</v>
      </c>
    </row>
    <row r="493" ht="15.75" customHeight="1">
      <c r="A493" s="1">
        <f>IFERROR(__xludf.DUMMYFUNCTION("""COMPUTED_VALUE"""),44572.66666666667)</f>
        <v>44572.66667</v>
      </c>
      <c r="B493" s="2">
        <f>IFERROR(__xludf.DUMMYFUNCTION("""COMPUTED_VALUE"""),855.63)</f>
        <v>855.63</v>
      </c>
      <c r="C493" s="2">
        <f>IFERROR(__xludf.DUMMYFUNCTION("""COMPUTED_VALUE"""),855.63)</f>
        <v>855.63</v>
      </c>
      <c r="D493" s="2">
        <f>IFERROR(__xludf.DUMMYFUNCTION("""COMPUTED_VALUE"""),818.63)</f>
        <v>818.63</v>
      </c>
      <c r="E493" s="2">
        <f>IFERROR(__xludf.DUMMYFUNCTION("""COMPUTED_VALUE"""),832.5)</f>
        <v>832.5</v>
      </c>
      <c r="F493" s="2">
        <f>IFERROR(__xludf.DUMMYFUNCTION("""COMPUTED_VALUE"""),1.42008E7)</f>
        <v>14200800</v>
      </c>
      <c r="G493" s="2">
        <f t="shared" si="1"/>
        <v>37</v>
      </c>
    </row>
    <row r="494" ht="15.75" customHeight="1">
      <c r="A494" s="1">
        <f>IFERROR(__xludf.DUMMYFUNCTION("""COMPUTED_VALUE"""),44573.66666666667)</f>
        <v>44573.66667</v>
      </c>
      <c r="B494" s="2">
        <f>IFERROR(__xludf.DUMMYFUNCTION("""COMPUTED_VALUE"""),832.5)</f>
        <v>832.5</v>
      </c>
      <c r="C494" s="2">
        <f>IFERROR(__xludf.DUMMYFUNCTION("""COMPUTED_VALUE"""),841.75)</f>
        <v>841.75</v>
      </c>
      <c r="D494" s="2">
        <f>IFERROR(__xludf.DUMMYFUNCTION("""COMPUTED_VALUE"""),786.25)</f>
        <v>786.25</v>
      </c>
      <c r="E494" s="2">
        <f>IFERROR(__xludf.DUMMYFUNCTION("""COMPUTED_VALUE"""),823.25)</f>
        <v>823.25</v>
      </c>
      <c r="F494" s="2">
        <f>IFERROR(__xludf.DUMMYFUNCTION("""COMPUTED_VALUE"""),1.61727E7)</f>
        <v>16172700</v>
      </c>
      <c r="G494" s="2">
        <f t="shared" si="1"/>
        <v>55.5</v>
      </c>
    </row>
    <row r="495" ht="15.75" customHeight="1">
      <c r="A495" s="1">
        <f>IFERROR(__xludf.DUMMYFUNCTION("""COMPUTED_VALUE"""),44574.66666666667)</f>
        <v>44574.66667</v>
      </c>
      <c r="B495" s="2">
        <f>IFERROR(__xludf.DUMMYFUNCTION("""COMPUTED_VALUE"""),823.25)</f>
        <v>823.25</v>
      </c>
      <c r="C495" s="2">
        <f>IFERROR(__xludf.DUMMYFUNCTION("""COMPUTED_VALUE"""),846.38)</f>
        <v>846.38</v>
      </c>
      <c r="D495" s="2">
        <f>IFERROR(__xludf.DUMMYFUNCTION("""COMPUTED_VALUE"""),814.0)</f>
        <v>814</v>
      </c>
      <c r="E495" s="2">
        <f>IFERROR(__xludf.DUMMYFUNCTION("""COMPUTED_VALUE"""),832.5)</f>
        <v>832.5</v>
      </c>
      <c r="F495" s="2">
        <f>IFERROR(__xludf.DUMMYFUNCTION("""COMPUTED_VALUE"""),1.14616E7)</f>
        <v>11461600</v>
      </c>
      <c r="G495" s="2">
        <f t="shared" si="1"/>
        <v>32.38</v>
      </c>
    </row>
    <row r="496" ht="15.75" customHeight="1">
      <c r="A496" s="1">
        <f>IFERROR(__xludf.DUMMYFUNCTION("""COMPUTED_VALUE"""),44575.66666666667)</f>
        <v>44575.66667</v>
      </c>
      <c r="B496" s="2">
        <f>IFERROR(__xludf.DUMMYFUNCTION("""COMPUTED_VALUE"""),832.5)</f>
        <v>832.5</v>
      </c>
      <c r="C496" s="2">
        <f>IFERROR(__xludf.DUMMYFUNCTION("""COMPUTED_VALUE"""),832.5)</f>
        <v>832.5</v>
      </c>
      <c r="D496" s="2">
        <f>IFERROR(__xludf.DUMMYFUNCTION("""COMPUTED_VALUE"""),814.0)</f>
        <v>814</v>
      </c>
      <c r="E496" s="2">
        <f>IFERROR(__xludf.DUMMYFUNCTION("""COMPUTED_VALUE"""),823.25)</f>
        <v>823.25</v>
      </c>
      <c r="F496" s="2">
        <f>IFERROR(__xludf.DUMMYFUNCTION("""COMPUTED_VALUE"""),7039100.0)</f>
        <v>7039100</v>
      </c>
      <c r="G496" s="2">
        <f t="shared" si="1"/>
        <v>18.5</v>
      </c>
    </row>
    <row r="497" ht="15.75" customHeight="1">
      <c r="A497" s="1">
        <f>IFERROR(__xludf.DUMMYFUNCTION("""COMPUTED_VALUE"""),44578.66666666667)</f>
        <v>44578.66667</v>
      </c>
      <c r="B497" s="2">
        <f>IFERROR(__xludf.DUMMYFUNCTION("""COMPUTED_VALUE"""),827.88)</f>
        <v>827.88</v>
      </c>
      <c r="C497" s="2">
        <f>IFERROR(__xludf.DUMMYFUNCTION("""COMPUTED_VALUE"""),832.5)</f>
        <v>832.5</v>
      </c>
      <c r="D497" s="2">
        <f>IFERROR(__xludf.DUMMYFUNCTION("""COMPUTED_VALUE"""),767.75)</f>
        <v>767.75</v>
      </c>
      <c r="E497" s="2">
        <f>IFERROR(__xludf.DUMMYFUNCTION("""COMPUTED_VALUE"""),767.75)</f>
        <v>767.75</v>
      </c>
      <c r="F497" s="2">
        <f>IFERROR(__xludf.DUMMYFUNCTION("""COMPUTED_VALUE"""),3.07439E7)</f>
        <v>30743900</v>
      </c>
      <c r="G497" s="2">
        <f t="shared" si="1"/>
        <v>64.75</v>
      </c>
    </row>
    <row r="498" ht="15.75" customHeight="1">
      <c r="A498" s="1">
        <f>IFERROR(__xludf.DUMMYFUNCTION("""COMPUTED_VALUE"""),44579.66666666667)</f>
        <v>44579.66667</v>
      </c>
      <c r="B498" s="2">
        <f>IFERROR(__xludf.DUMMYFUNCTION("""COMPUTED_VALUE"""),777.0)</f>
        <v>777</v>
      </c>
      <c r="C498" s="2">
        <f>IFERROR(__xludf.DUMMYFUNCTION("""COMPUTED_VALUE"""),777.0)</f>
        <v>777</v>
      </c>
      <c r="D498" s="2">
        <f>IFERROR(__xludf.DUMMYFUNCTION("""COMPUTED_VALUE"""),726.13)</f>
        <v>726.13</v>
      </c>
      <c r="E498" s="2">
        <f>IFERROR(__xludf.DUMMYFUNCTION("""COMPUTED_VALUE"""),763.13)</f>
        <v>763.13</v>
      </c>
      <c r="F498" s="2">
        <f>IFERROR(__xludf.DUMMYFUNCTION("""COMPUTED_VALUE"""),2.36277E7)</f>
        <v>23627700</v>
      </c>
      <c r="G498" s="2">
        <f t="shared" si="1"/>
        <v>50.87</v>
      </c>
    </row>
    <row r="499" ht="15.75" customHeight="1">
      <c r="A499" s="1">
        <f>IFERROR(__xludf.DUMMYFUNCTION("""COMPUTED_VALUE"""),44580.66666666667)</f>
        <v>44580.66667</v>
      </c>
      <c r="B499" s="2">
        <f>IFERROR(__xludf.DUMMYFUNCTION("""COMPUTED_VALUE"""),753.88)</f>
        <v>753.88</v>
      </c>
      <c r="C499" s="2">
        <f>IFERROR(__xludf.DUMMYFUNCTION("""COMPUTED_VALUE"""),772.38)</f>
        <v>772.38</v>
      </c>
      <c r="D499" s="2">
        <f>IFERROR(__xludf.DUMMYFUNCTION("""COMPUTED_VALUE"""),735.38)</f>
        <v>735.38</v>
      </c>
      <c r="E499" s="2">
        <f>IFERROR(__xludf.DUMMYFUNCTION("""COMPUTED_VALUE"""),763.13)</f>
        <v>763.13</v>
      </c>
      <c r="F499" s="2">
        <f>IFERROR(__xludf.DUMMYFUNCTION("""COMPUTED_VALUE"""),1.09914E7)</f>
        <v>10991400</v>
      </c>
      <c r="G499" s="2">
        <f t="shared" si="1"/>
        <v>37</v>
      </c>
    </row>
    <row r="500" ht="15.75" customHeight="1">
      <c r="A500" s="1">
        <f>IFERROR(__xludf.DUMMYFUNCTION("""COMPUTED_VALUE"""),44581.66666666667)</f>
        <v>44581.66667</v>
      </c>
      <c r="B500" s="2">
        <f>IFERROR(__xludf.DUMMYFUNCTION("""COMPUTED_VALUE"""),763.13)</f>
        <v>763.13</v>
      </c>
      <c r="C500" s="2">
        <f>IFERROR(__xludf.DUMMYFUNCTION("""COMPUTED_VALUE"""),781.63)</f>
        <v>781.63</v>
      </c>
      <c r="D500" s="2">
        <f>IFERROR(__xludf.DUMMYFUNCTION("""COMPUTED_VALUE"""),758.5)</f>
        <v>758.5</v>
      </c>
      <c r="E500" s="2">
        <f>IFERROR(__xludf.DUMMYFUNCTION("""COMPUTED_VALUE"""),772.38)</f>
        <v>772.38</v>
      </c>
      <c r="F500" s="2">
        <f>IFERROR(__xludf.DUMMYFUNCTION("""COMPUTED_VALUE"""),9453000.0)</f>
        <v>9453000</v>
      </c>
      <c r="G500" s="2">
        <f t="shared" si="1"/>
        <v>23.13</v>
      </c>
    </row>
    <row r="501" ht="15.75" customHeight="1">
      <c r="A501" s="1">
        <f>IFERROR(__xludf.DUMMYFUNCTION("""COMPUTED_VALUE"""),44582.66666666667)</f>
        <v>44582.66667</v>
      </c>
      <c r="B501" s="2">
        <f>IFERROR(__xludf.DUMMYFUNCTION("""COMPUTED_VALUE"""),772.38)</f>
        <v>772.38</v>
      </c>
      <c r="C501" s="2">
        <f>IFERROR(__xludf.DUMMYFUNCTION("""COMPUTED_VALUE"""),786.25)</f>
        <v>786.25</v>
      </c>
      <c r="D501" s="2">
        <f>IFERROR(__xludf.DUMMYFUNCTION("""COMPUTED_VALUE"""),753.88)</f>
        <v>753.88</v>
      </c>
      <c r="E501" s="2">
        <f>IFERROR(__xludf.DUMMYFUNCTION("""COMPUTED_VALUE"""),777.0)</f>
        <v>777</v>
      </c>
      <c r="F501" s="2">
        <f>IFERROR(__xludf.DUMMYFUNCTION("""COMPUTED_VALUE"""),1.03702E7)</f>
        <v>10370200</v>
      </c>
      <c r="G501" s="2">
        <f t="shared" si="1"/>
        <v>32.37</v>
      </c>
    </row>
    <row r="502" ht="15.75" customHeight="1">
      <c r="A502" s="1">
        <f>IFERROR(__xludf.DUMMYFUNCTION("""COMPUTED_VALUE"""),44585.66666666667)</f>
        <v>44585.66667</v>
      </c>
      <c r="B502" s="2">
        <f>IFERROR(__xludf.DUMMYFUNCTION("""COMPUTED_VALUE"""),777.0)</f>
        <v>777</v>
      </c>
      <c r="C502" s="2">
        <f>IFERROR(__xludf.DUMMYFUNCTION("""COMPUTED_VALUE"""),786.25)</f>
        <v>786.25</v>
      </c>
      <c r="D502" s="2">
        <f>IFERROR(__xludf.DUMMYFUNCTION("""COMPUTED_VALUE"""),763.13)</f>
        <v>763.13</v>
      </c>
      <c r="E502" s="2">
        <f>IFERROR(__xludf.DUMMYFUNCTION("""COMPUTED_VALUE"""),772.38)</f>
        <v>772.38</v>
      </c>
      <c r="F502" s="2">
        <f>IFERROR(__xludf.DUMMYFUNCTION("""COMPUTED_VALUE"""),5844400.0)</f>
        <v>5844400</v>
      </c>
      <c r="G502" s="2">
        <f t="shared" si="1"/>
        <v>23.12</v>
      </c>
    </row>
    <row r="503" ht="15.75" customHeight="1">
      <c r="A503" s="1">
        <f>IFERROR(__xludf.DUMMYFUNCTION("""COMPUTED_VALUE"""),44586.66666666667)</f>
        <v>44586.66667</v>
      </c>
      <c r="B503" s="2">
        <f>IFERROR(__xludf.DUMMYFUNCTION("""COMPUTED_VALUE"""),767.75)</f>
        <v>767.75</v>
      </c>
      <c r="C503" s="2">
        <f>IFERROR(__xludf.DUMMYFUNCTION("""COMPUTED_VALUE"""),772.38)</f>
        <v>772.38</v>
      </c>
      <c r="D503" s="2">
        <f>IFERROR(__xludf.DUMMYFUNCTION("""COMPUTED_VALUE"""),740.0)</f>
        <v>740</v>
      </c>
      <c r="E503" s="2">
        <f>IFERROR(__xludf.DUMMYFUNCTION("""COMPUTED_VALUE"""),744.63)</f>
        <v>744.63</v>
      </c>
      <c r="F503" s="2">
        <f>IFERROR(__xludf.DUMMYFUNCTION("""COMPUTED_VALUE"""),4925000.0)</f>
        <v>4925000</v>
      </c>
      <c r="G503" s="2">
        <f t="shared" si="1"/>
        <v>32.38</v>
      </c>
    </row>
    <row r="504" ht="15.75" customHeight="1">
      <c r="A504" s="1">
        <f>IFERROR(__xludf.DUMMYFUNCTION("""COMPUTED_VALUE"""),44587.66666666667)</f>
        <v>44587.66667</v>
      </c>
      <c r="B504" s="2">
        <f>IFERROR(__xludf.DUMMYFUNCTION("""COMPUTED_VALUE"""),744.63)</f>
        <v>744.63</v>
      </c>
      <c r="C504" s="2">
        <f>IFERROR(__xludf.DUMMYFUNCTION("""COMPUTED_VALUE"""),767.75)</f>
        <v>767.75</v>
      </c>
      <c r="D504" s="2">
        <f>IFERROR(__xludf.DUMMYFUNCTION("""COMPUTED_VALUE"""),735.38)</f>
        <v>735.38</v>
      </c>
      <c r="E504" s="2">
        <f>IFERROR(__xludf.DUMMYFUNCTION("""COMPUTED_VALUE"""),749.25)</f>
        <v>749.25</v>
      </c>
      <c r="F504" s="2">
        <f>IFERROR(__xludf.DUMMYFUNCTION("""COMPUTED_VALUE"""),6897200.0)</f>
        <v>6897200</v>
      </c>
      <c r="G504" s="2">
        <f t="shared" si="1"/>
        <v>32.37</v>
      </c>
    </row>
    <row r="505" ht="15.75" customHeight="1">
      <c r="A505" s="1">
        <f>IFERROR(__xludf.DUMMYFUNCTION("""COMPUTED_VALUE"""),44588.66666666667)</f>
        <v>44588.66667</v>
      </c>
      <c r="B505" s="2">
        <f>IFERROR(__xludf.DUMMYFUNCTION("""COMPUTED_VALUE"""),744.63)</f>
        <v>744.63</v>
      </c>
      <c r="C505" s="2">
        <f>IFERROR(__xludf.DUMMYFUNCTION("""COMPUTED_VALUE"""),763.13)</f>
        <v>763.13</v>
      </c>
      <c r="D505" s="2">
        <f>IFERROR(__xludf.DUMMYFUNCTION("""COMPUTED_VALUE"""),744.63)</f>
        <v>744.63</v>
      </c>
      <c r="E505" s="2">
        <f>IFERROR(__xludf.DUMMYFUNCTION("""COMPUTED_VALUE"""),749.25)</f>
        <v>749.25</v>
      </c>
      <c r="F505" s="2">
        <f>IFERROR(__xludf.DUMMYFUNCTION("""COMPUTED_VALUE"""),5335900.0)</f>
        <v>5335900</v>
      </c>
      <c r="G505" s="2">
        <f t="shared" si="1"/>
        <v>18.5</v>
      </c>
    </row>
    <row r="506" ht="15.75" customHeight="1">
      <c r="A506" s="1">
        <f>IFERROR(__xludf.DUMMYFUNCTION("""COMPUTED_VALUE"""),44589.66666666667)</f>
        <v>44589.66667</v>
      </c>
      <c r="B506" s="2">
        <f>IFERROR(__xludf.DUMMYFUNCTION("""COMPUTED_VALUE"""),749.25)</f>
        <v>749.25</v>
      </c>
      <c r="C506" s="2">
        <f>IFERROR(__xludf.DUMMYFUNCTION("""COMPUTED_VALUE"""),758.5)</f>
        <v>758.5</v>
      </c>
      <c r="D506" s="2">
        <f>IFERROR(__xludf.DUMMYFUNCTION("""COMPUTED_VALUE"""),744.63)</f>
        <v>744.63</v>
      </c>
      <c r="E506" s="2">
        <f>IFERROR(__xludf.DUMMYFUNCTION("""COMPUTED_VALUE"""),749.25)</f>
        <v>749.25</v>
      </c>
      <c r="F506" s="2">
        <f>IFERROR(__xludf.DUMMYFUNCTION("""COMPUTED_VALUE"""),3378300.0)</f>
        <v>3378300</v>
      </c>
      <c r="G506" s="2">
        <f t="shared" si="1"/>
        <v>13.87</v>
      </c>
    </row>
    <row r="507" ht="15.75" customHeight="1">
      <c r="A507" s="1">
        <f>IFERROR(__xludf.DUMMYFUNCTION("""COMPUTED_VALUE"""),44592.66666666667)</f>
        <v>44592.66667</v>
      </c>
      <c r="B507" s="2">
        <f>IFERROR(__xludf.DUMMYFUNCTION("""COMPUTED_VALUE"""),753.88)</f>
        <v>753.88</v>
      </c>
      <c r="C507" s="2">
        <f>IFERROR(__xludf.DUMMYFUNCTION("""COMPUTED_VALUE"""),777.0)</f>
        <v>777</v>
      </c>
      <c r="D507" s="2">
        <f>IFERROR(__xludf.DUMMYFUNCTION("""COMPUTED_VALUE"""),753.88)</f>
        <v>753.88</v>
      </c>
      <c r="E507" s="2">
        <f>IFERROR(__xludf.DUMMYFUNCTION("""COMPUTED_VALUE"""),767.75)</f>
        <v>767.75</v>
      </c>
      <c r="F507" s="2">
        <f>IFERROR(__xludf.DUMMYFUNCTION("""COMPUTED_VALUE"""),1.01144E7)</f>
        <v>10114400</v>
      </c>
      <c r="G507" s="2">
        <f t="shared" si="1"/>
        <v>27.75</v>
      </c>
    </row>
    <row r="508" ht="15.75" customHeight="1">
      <c r="A508" s="1">
        <f>IFERROR(__xludf.DUMMYFUNCTION("""COMPUTED_VALUE"""),44594.66666666667)</f>
        <v>44594.66667</v>
      </c>
      <c r="B508" s="2">
        <f>IFERROR(__xludf.DUMMYFUNCTION("""COMPUTED_VALUE"""),767.75)</f>
        <v>767.75</v>
      </c>
      <c r="C508" s="2">
        <f>IFERROR(__xludf.DUMMYFUNCTION("""COMPUTED_VALUE"""),814.0)</f>
        <v>814</v>
      </c>
      <c r="D508" s="2">
        <f>IFERROR(__xludf.DUMMYFUNCTION("""COMPUTED_VALUE"""),767.75)</f>
        <v>767.75</v>
      </c>
      <c r="E508" s="2">
        <f>IFERROR(__xludf.DUMMYFUNCTION("""COMPUTED_VALUE"""),790.88)</f>
        <v>790.88</v>
      </c>
      <c r="F508" s="2">
        <f>IFERROR(__xludf.DUMMYFUNCTION("""COMPUTED_VALUE"""),8280900.0)</f>
        <v>8280900</v>
      </c>
      <c r="G508" s="2">
        <f t="shared" si="1"/>
        <v>46.25</v>
      </c>
    </row>
    <row r="509" ht="15.75" customHeight="1">
      <c r="A509" s="1">
        <f>IFERROR(__xludf.DUMMYFUNCTION("""COMPUTED_VALUE"""),44595.66666666667)</f>
        <v>44595.66667</v>
      </c>
      <c r="B509" s="2">
        <f>IFERROR(__xludf.DUMMYFUNCTION("""COMPUTED_VALUE"""),790.88)</f>
        <v>790.88</v>
      </c>
      <c r="C509" s="2">
        <f>IFERROR(__xludf.DUMMYFUNCTION("""COMPUTED_VALUE"""),823.25)</f>
        <v>823.25</v>
      </c>
      <c r="D509" s="2">
        <f>IFERROR(__xludf.DUMMYFUNCTION("""COMPUTED_VALUE"""),777.0)</f>
        <v>777</v>
      </c>
      <c r="E509" s="2">
        <f>IFERROR(__xludf.DUMMYFUNCTION("""COMPUTED_VALUE"""),809.38)</f>
        <v>809.38</v>
      </c>
      <c r="F509" s="2">
        <f>IFERROR(__xludf.DUMMYFUNCTION("""COMPUTED_VALUE"""),2.09506E7)</f>
        <v>20950600</v>
      </c>
      <c r="G509" s="2">
        <f t="shared" si="1"/>
        <v>46.25</v>
      </c>
    </row>
    <row r="510" ht="15.75" customHeight="1">
      <c r="A510" s="1">
        <f>IFERROR(__xludf.DUMMYFUNCTION("""COMPUTED_VALUE"""),44596.66666666667)</f>
        <v>44596.66667</v>
      </c>
      <c r="B510" s="2">
        <f>IFERROR(__xludf.DUMMYFUNCTION("""COMPUTED_VALUE"""),814.0)</f>
        <v>814</v>
      </c>
      <c r="C510" s="2">
        <f>IFERROR(__xludf.DUMMYFUNCTION("""COMPUTED_VALUE"""),832.5)</f>
        <v>832.5</v>
      </c>
      <c r="D510" s="2">
        <f>IFERROR(__xludf.DUMMYFUNCTION("""COMPUTED_VALUE"""),795.5)</f>
        <v>795.5</v>
      </c>
      <c r="E510" s="2">
        <f>IFERROR(__xludf.DUMMYFUNCTION("""COMPUTED_VALUE"""),800.13)</f>
        <v>800.13</v>
      </c>
      <c r="F510" s="2">
        <f>IFERROR(__xludf.DUMMYFUNCTION("""COMPUTED_VALUE"""),2.36012E7)</f>
        <v>23601200</v>
      </c>
      <c r="G510" s="2">
        <f t="shared" si="1"/>
        <v>37</v>
      </c>
    </row>
    <row r="511" ht="15.75" customHeight="1">
      <c r="A511" s="1">
        <f>IFERROR(__xludf.DUMMYFUNCTION("""COMPUTED_VALUE"""),44599.66666666667)</f>
        <v>44599.66667</v>
      </c>
      <c r="B511" s="2">
        <f>IFERROR(__xludf.DUMMYFUNCTION("""COMPUTED_VALUE"""),800.13)</f>
        <v>800.13</v>
      </c>
      <c r="C511" s="2">
        <f>IFERROR(__xludf.DUMMYFUNCTION("""COMPUTED_VALUE"""),818.63)</f>
        <v>818.63</v>
      </c>
      <c r="D511" s="2">
        <f>IFERROR(__xludf.DUMMYFUNCTION("""COMPUTED_VALUE"""),800.13)</f>
        <v>800.13</v>
      </c>
      <c r="E511" s="2">
        <f>IFERROR(__xludf.DUMMYFUNCTION("""COMPUTED_VALUE"""),818.63)</f>
        <v>818.63</v>
      </c>
      <c r="F511" s="2">
        <f>IFERROR(__xludf.DUMMYFUNCTION("""COMPUTED_VALUE"""),1.3974E7)</f>
        <v>13974000</v>
      </c>
      <c r="G511" s="2">
        <f t="shared" si="1"/>
        <v>18.5</v>
      </c>
    </row>
    <row r="512" ht="15.75" customHeight="1">
      <c r="A512" s="1">
        <f>IFERROR(__xludf.DUMMYFUNCTION("""COMPUTED_VALUE"""),44600.66666666667)</f>
        <v>44600.66667</v>
      </c>
      <c r="B512" s="2">
        <f>IFERROR(__xludf.DUMMYFUNCTION("""COMPUTED_VALUE"""),818.63)</f>
        <v>818.63</v>
      </c>
      <c r="C512" s="2">
        <f>IFERROR(__xludf.DUMMYFUNCTION("""COMPUTED_VALUE"""),846.38)</f>
        <v>846.38</v>
      </c>
      <c r="D512" s="2">
        <f>IFERROR(__xludf.DUMMYFUNCTION("""COMPUTED_VALUE"""),814.0)</f>
        <v>814</v>
      </c>
      <c r="E512" s="2">
        <f>IFERROR(__xludf.DUMMYFUNCTION("""COMPUTED_VALUE"""),841.75)</f>
        <v>841.75</v>
      </c>
      <c r="F512" s="2">
        <f>IFERROR(__xludf.DUMMYFUNCTION("""COMPUTED_VALUE"""),1.92291E7)</f>
        <v>19229100</v>
      </c>
      <c r="G512" s="2">
        <f t="shared" si="1"/>
        <v>32.38</v>
      </c>
    </row>
    <row r="513" ht="15.75" customHeight="1">
      <c r="A513" s="1">
        <f>IFERROR(__xludf.DUMMYFUNCTION("""COMPUTED_VALUE"""),44601.66666666667)</f>
        <v>44601.66667</v>
      </c>
      <c r="B513" s="2">
        <f>IFERROR(__xludf.DUMMYFUNCTION("""COMPUTED_VALUE"""),841.75)</f>
        <v>841.75</v>
      </c>
      <c r="C513" s="2">
        <f>IFERROR(__xludf.DUMMYFUNCTION("""COMPUTED_VALUE"""),864.88)</f>
        <v>864.88</v>
      </c>
      <c r="D513" s="2">
        <f>IFERROR(__xludf.DUMMYFUNCTION("""COMPUTED_VALUE"""),841.75)</f>
        <v>841.75</v>
      </c>
      <c r="E513" s="2">
        <f>IFERROR(__xludf.DUMMYFUNCTION("""COMPUTED_VALUE"""),860.25)</f>
        <v>860.25</v>
      </c>
      <c r="F513" s="2">
        <f>IFERROR(__xludf.DUMMYFUNCTION("""COMPUTED_VALUE"""),1.08396E7)</f>
        <v>10839600</v>
      </c>
      <c r="G513" s="2">
        <f t="shared" si="1"/>
        <v>23.13</v>
      </c>
    </row>
    <row r="514" ht="15.75" customHeight="1">
      <c r="A514" s="1">
        <f>IFERROR(__xludf.DUMMYFUNCTION("""COMPUTED_VALUE"""),44602.66666666667)</f>
        <v>44602.66667</v>
      </c>
      <c r="B514" s="2">
        <f>IFERROR(__xludf.DUMMYFUNCTION("""COMPUTED_VALUE"""),860.25)</f>
        <v>860.25</v>
      </c>
      <c r="C514" s="2">
        <f>IFERROR(__xludf.DUMMYFUNCTION("""COMPUTED_VALUE"""),864.88)</f>
        <v>864.88</v>
      </c>
      <c r="D514" s="2">
        <f>IFERROR(__xludf.DUMMYFUNCTION("""COMPUTED_VALUE"""),837.13)</f>
        <v>837.13</v>
      </c>
      <c r="E514" s="2">
        <f>IFERROR(__xludf.DUMMYFUNCTION("""COMPUTED_VALUE"""),851.0)</f>
        <v>851</v>
      </c>
      <c r="F514" s="2">
        <f>IFERROR(__xludf.DUMMYFUNCTION("""COMPUTED_VALUE"""),7583700.0)</f>
        <v>7583700</v>
      </c>
      <c r="G514" s="2">
        <f t="shared" si="1"/>
        <v>27.75</v>
      </c>
    </row>
    <row r="515" ht="15.75" customHeight="1">
      <c r="A515" s="1">
        <f>IFERROR(__xludf.DUMMYFUNCTION("""COMPUTED_VALUE"""),44603.66666666667)</f>
        <v>44603.66667</v>
      </c>
      <c r="B515" s="2">
        <f>IFERROR(__xludf.DUMMYFUNCTION("""COMPUTED_VALUE"""),851.0)</f>
        <v>851</v>
      </c>
      <c r="C515" s="2">
        <f>IFERROR(__xludf.DUMMYFUNCTION("""COMPUTED_VALUE"""),851.0)</f>
        <v>851</v>
      </c>
      <c r="D515" s="2">
        <f>IFERROR(__xludf.DUMMYFUNCTION("""COMPUTED_VALUE"""),827.88)</f>
        <v>827.88</v>
      </c>
      <c r="E515" s="2">
        <f>IFERROR(__xludf.DUMMYFUNCTION("""COMPUTED_VALUE"""),851.0)</f>
        <v>851</v>
      </c>
      <c r="F515" s="2">
        <f>IFERROR(__xludf.DUMMYFUNCTION("""COMPUTED_VALUE"""),5284000.0)</f>
        <v>5284000</v>
      </c>
      <c r="G515" s="2">
        <f t="shared" si="1"/>
        <v>23.12</v>
      </c>
    </row>
    <row r="516" ht="15.75" customHeight="1">
      <c r="A516" s="1">
        <f>IFERROR(__xludf.DUMMYFUNCTION("""COMPUTED_VALUE"""),44606.66666666667)</f>
        <v>44606.66667</v>
      </c>
      <c r="B516" s="2">
        <f>IFERROR(__xludf.DUMMYFUNCTION("""COMPUTED_VALUE"""),846.38)</f>
        <v>846.38</v>
      </c>
      <c r="C516" s="2">
        <f>IFERROR(__xludf.DUMMYFUNCTION("""COMPUTED_VALUE"""),846.38)</f>
        <v>846.38</v>
      </c>
      <c r="D516" s="2">
        <f>IFERROR(__xludf.DUMMYFUNCTION("""COMPUTED_VALUE"""),818.63)</f>
        <v>818.63</v>
      </c>
      <c r="E516" s="2">
        <f>IFERROR(__xludf.DUMMYFUNCTION("""COMPUTED_VALUE"""),827.88)</f>
        <v>827.88</v>
      </c>
      <c r="F516" s="2">
        <f>IFERROR(__xludf.DUMMYFUNCTION("""COMPUTED_VALUE"""),7682400.0)</f>
        <v>7682400</v>
      </c>
      <c r="G516" s="2">
        <f t="shared" si="1"/>
        <v>32.37</v>
      </c>
    </row>
    <row r="517" ht="15.75" customHeight="1">
      <c r="A517" s="1">
        <f>IFERROR(__xludf.DUMMYFUNCTION("""COMPUTED_VALUE"""),44607.66666666667)</f>
        <v>44607.66667</v>
      </c>
      <c r="B517" s="2">
        <f>IFERROR(__xludf.DUMMYFUNCTION("""COMPUTED_VALUE"""),827.88)</f>
        <v>827.88</v>
      </c>
      <c r="C517" s="2">
        <f>IFERROR(__xludf.DUMMYFUNCTION("""COMPUTED_VALUE"""),837.13)</f>
        <v>837.13</v>
      </c>
      <c r="D517" s="2">
        <f>IFERROR(__xludf.DUMMYFUNCTION("""COMPUTED_VALUE"""),823.25)</f>
        <v>823.25</v>
      </c>
      <c r="E517" s="2">
        <f>IFERROR(__xludf.DUMMYFUNCTION("""COMPUTED_VALUE"""),832.5)</f>
        <v>832.5</v>
      </c>
      <c r="F517" s="2">
        <f>IFERROR(__xludf.DUMMYFUNCTION("""COMPUTED_VALUE"""),4653000.0)</f>
        <v>4653000</v>
      </c>
      <c r="G517" s="2">
        <f t="shared" si="1"/>
        <v>13.88</v>
      </c>
    </row>
    <row r="518" ht="15.75" customHeight="1">
      <c r="A518" s="1">
        <f>IFERROR(__xludf.DUMMYFUNCTION("""COMPUTED_VALUE"""),44608.66666666667)</f>
        <v>44608.66667</v>
      </c>
      <c r="B518" s="2">
        <f>IFERROR(__xludf.DUMMYFUNCTION("""COMPUTED_VALUE"""),832.5)</f>
        <v>832.5</v>
      </c>
      <c r="C518" s="2">
        <f>IFERROR(__xludf.DUMMYFUNCTION("""COMPUTED_VALUE"""),874.13)</f>
        <v>874.13</v>
      </c>
      <c r="D518" s="2">
        <f>IFERROR(__xludf.DUMMYFUNCTION("""COMPUTED_VALUE"""),832.5)</f>
        <v>832.5</v>
      </c>
      <c r="E518" s="2">
        <f>IFERROR(__xludf.DUMMYFUNCTION("""COMPUTED_VALUE"""),864.88)</f>
        <v>864.88</v>
      </c>
      <c r="F518" s="2">
        <f>IFERROR(__xludf.DUMMYFUNCTION("""COMPUTED_VALUE"""),3.58377E7)</f>
        <v>35837700</v>
      </c>
      <c r="G518" s="2">
        <f t="shared" si="1"/>
        <v>41.63</v>
      </c>
    </row>
    <row r="519" ht="15.75" customHeight="1">
      <c r="A519" s="1">
        <f>IFERROR(__xludf.DUMMYFUNCTION("""COMPUTED_VALUE"""),44609.66666666667)</f>
        <v>44609.66667</v>
      </c>
      <c r="B519" s="2">
        <f>IFERROR(__xludf.DUMMYFUNCTION("""COMPUTED_VALUE"""),864.88)</f>
        <v>864.88</v>
      </c>
      <c r="C519" s="2">
        <f>IFERROR(__xludf.DUMMYFUNCTION("""COMPUTED_VALUE"""),883.38)</f>
        <v>883.38</v>
      </c>
      <c r="D519" s="2">
        <f>IFERROR(__xludf.DUMMYFUNCTION("""COMPUTED_VALUE"""),855.63)</f>
        <v>855.63</v>
      </c>
      <c r="E519" s="2">
        <f>IFERROR(__xludf.DUMMYFUNCTION("""COMPUTED_VALUE"""),860.25)</f>
        <v>860.25</v>
      </c>
      <c r="F519" s="2">
        <f>IFERROR(__xludf.DUMMYFUNCTION("""COMPUTED_VALUE"""),1.98504E7)</f>
        <v>19850400</v>
      </c>
      <c r="G519" s="2">
        <f t="shared" si="1"/>
        <v>27.75</v>
      </c>
    </row>
    <row r="520" ht="15.75" customHeight="1">
      <c r="A520" s="1">
        <f>IFERROR(__xludf.DUMMYFUNCTION("""COMPUTED_VALUE"""),44610.66666666667)</f>
        <v>44610.66667</v>
      </c>
      <c r="B520" s="2">
        <f>IFERROR(__xludf.DUMMYFUNCTION("""COMPUTED_VALUE"""),855.63)</f>
        <v>855.63</v>
      </c>
      <c r="C520" s="2">
        <f>IFERROR(__xludf.DUMMYFUNCTION("""COMPUTED_VALUE"""),869.5)</f>
        <v>869.5</v>
      </c>
      <c r="D520" s="2">
        <f>IFERROR(__xludf.DUMMYFUNCTION("""COMPUTED_VALUE"""),855.63)</f>
        <v>855.63</v>
      </c>
      <c r="E520" s="2">
        <f>IFERROR(__xludf.DUMMYFUNCTION("""COMPUTED_VALUE"""),864.88)</f>
        <v>864.88</v>
      </c>
      <c r="F520" s="2">
        <f>IFERROR(__xludf.DUMMYFUNCTION("""COMPUTED_VALUE"""),1.56451E7)</f>
        <v>15645100</v>
      </c>
      <c r="G520" s="2">
        <f t="shared" si="1"/>
        <v>13.87</v>
      </c>
    </row>
    <row r="521" ht="15.75" customHeight="1">
      <c r="A521" s="1">
        <f>IFERROR(__xludf.DUMMYFUNCTION("""COMPUTED_VALUE"""),44613.66666666667)</f>
        <v>44613.66667</v>
      </c>
      <c r="B521" s="2">
        <f>IFERROR(__xludf.DUMMYFUNCTION("""COMPUTED_VALUE"""),869.5)</f>
        <v>869.5</v>
      </c>
      <c r="C521" s="2">
        <f>IFERROR(__xludf.DUMMYFUNCTION("""COMPUTED_VALUE"""),878.75)</f>
        <v>878.75</v>
      </c>
      <c r="D521" s="2">
        <f>IFERROR(__xludf.DUMMYFUNCTION("""COMPUTED_VALUE"""),855.63)</f>
        <v>855.63</v>
      </c>
      <c r="E521" s="2">
        <f>IFERROR(__xludf.DUMMYFUNCTION("""COMPUTED_VALUE"""),860.25)</f>
        <v>860.25</v>
      </c>
      <c r="F521" s="2">
        <f>IFERROR(__xludf.DUMMYFUNCTION("""COMPUTED_VALUE"""),2.26085E7)</f>
        <v>22608500</v>
      </c>
      <c r="G521" s="2">
        <f t="shared" si="1"/>
        <v>23.12</v>
      </c>
    </row>
    <row r="522" ht="15.75" customHeight="1">
      <c r="A522" s="1">
        <f>IFERROR(__xludf.DUMMYFUNCTION("""COMPUTED_VALUE"""),44614.66666666667)</f>
        <v>44614.66667</v>
      </c>
      <c r="B522" s="2">
        <f>IFERROR(__xludf.DUMMYFUNCTION("""COMPUTED_VALUE"""),860.25)</f>
        <v>860.25</v>
      </c>
      <c r="C522" s="2">
        <f>IFERROR(__xludf.DUMMYFUNCTION("""COMPUTED_VALUE"""),860.25)</f>
        <v>860.25</v>
      </c>
      <c r="D522" s="2">
        <f>IFERROR(__xludf.DUMMYFUNCTION("""COMPUTED_VALUE"""),823.25)</f>
        <v>823.25</v>
      </c>
      <c r="E522" s="2">
        <f>IFERROR(__xludf.DUMMYFUNCTION("""COMPUTED_VALUE"""),827.88)</f>
        <v>827.88</v>
      </c>
      <c r="F522" s="2">
        <f>IFERROR(__xludf.DUMMYFUNCTION("""COMPUTED_VALUE"""),2.63176E7)</f>
        <v>26317600</v>
      </c>
      <c r="G522" s="2">
        <f t="shared" si="1"/>
        <v>37</v>
      </c>
    </row>
    <row r="523" ht="15.75" customHeight="1">
      <c r="A523" s="1">
        <f>IFERROR(__xludf.DUMMYFUNCTION("""COMPUTED_VALUE"""),44615.66666666667)</f>
        <v>44615.66667</v>
      </c>
      <c r="B523" s="2">
        <f>IFERROR(__xludf.DUMMYFUNCTION("""COMPUTED_VALUE"""),827.88)</f>
        <v>827.88</v>
      </c>
      <c r="C523" s="2">
        <f>IFERROR(__xludf.DUMMYFUNCTION("""COMPUTED_VALUE"""),832.5)</f>
        <v>832.5</v>
      </c>
      <c r="D523" s="2">
        <f>IFERROR(__xludf.DUMMYFUNCTION("""COMPUTED_VALUE"""),772.38)</f>
        <v>772.38</v>
      </c>
      <c r="E523" s="2">
        <f>IFERROR(__xludf.DUMMYFUNCTION("""COMPUTED_VALUE"""),772.38)</f>
        <v>772.38</v>
      </c>
      <c r="F523" s="2">
        <f>IFERROR(__xludf.DUMMYFUNCTION("""COMPUTED_VALUE"""),6.23804E7)</f>
        <v>62380400</v>
      </c>
      <c r="G523" s="2">
        <f t="shared" si="1"/>
        <v>60.12</v>
      </c>
    </row>
    <row r="524" ht="15.75" customHeight="1">
      <c r="A524" s="1">
        <f>IFERROR(__xludf.DUMMYFUNCTION("""COMPUTED_VALUE"""),44616.66666666667)</f>
        <v>44616.66667</v>
      </c>
      <c r="B524" s="2">
        <f>IFERROR(__xludf.DUMMYFUNCTION("""COMPUTED_VALUE"""),772.38)</f>
        <v>772.38</v>
      </c>
      <c r="C524" s="2">
        <f>IFERROR(__xludf.DUMMYFUNCTION("""COMPUTED_VALUE"""),772.38)</f>
        <v>772.38</v>
      </c>
      <c r="D524" s="2">
        <f>IFERROR(__xludf.DUMMYFUNCTION("""COMPUTED_VALUE"""),721.5)</f>
        <v>721.5</v>
      </c>
      <c r="E524" s="2">
        <f>IFERROR(__xludf.DUMMYFUNCTION("""COMPUTED_VALUE"""),721.5)</f>
        <v>721.5</v>
      </c>
      <c r="F524" s="2">
        <f>IFERROR(__xludf.DUMMYFUNCTION("""COMPUTED_VALUE"""),5.35894E7)</f>
        <v>53589400</v>
      </c>
      <c r="G524" s="2">
        <f t="shared" si="1"/>
        <v>50.88</v>
      </c>
    </row>
    <row r="525" ht="15.75" customHeight="1">
      <c r="A525" s="1">
        <f>IFERROR(__xludf.DUMMYFUNCTION("""COMPUTED_VALUE"""),44617.66666666667)</f>
        <v>44617.66667</v>
      </c>
      <c r="B525" s="2">
        <f>IFERROR(__xludf.DUMMYFUNCTION("""COMPUTED_VALUE"""),703.0)</f>
        <v>703</v>
      </c>
      <c r="C525" s="2">
        <f>IFERROR(__xludf.DUMMYFUNCTION("""COMPUTED_VALUE"""),730.75)</f>
        <v>730.75</v>
      </c>
      <c r="D525" s="2">
        <f>IFERROR(__xludf.DUMMYFUNCTION("""COMPUTED_VALUE"""),693.75)</f>
        <v>693.75</v>
      </c>
      <c r="E525" s="2">
        <f>IFERROR(__xludf.DUMMYFUNCTION("""COMPUTED_VALUE"""),703.0)</f>
        <v>703</v>
      </c>
      <c r="F525" s="2">
        <f>IFERROR(__xludf.DUMMYFUNCTION("""COMPUTED_VALUE"""),4.85819E7)</f>
        <v>48581900</v>
      </c>
      <c r="G525" s="2">
        <f t="shared" si="1"/>
        <v>37</v>
      </c>
    </row>
    <row r="526" ht="15.75" customHeight="1">
      <c r="A526" s="1">
        <f>IFERROR(__xludf.DUMMYFUNCTION("""COMPUTED_VALUE"""),44621.66666666667)</f>
        <v>44621.66667</v>
      </c>
      <c r="B526" s="2">
        <f>IFERROR(__xludf.DUMMYFUNCTION("""COMPUTED_VALUE"""),703.0)</f>
        <v>703</v>
      </c>
      <c r="C526" s="2">
        <f>IFERROR(__xludf.DUMMYFUNCTION("""COMPUTED_VALUE"""),726.13)</f>
        <v>726.13</v>
      </c>
      <c r="D526" s="2">
        <f>IFERROR(__xludf.DUMMYFUNCTION("""COMPUTED_VALUE"""),703.0)</f>
        <v>703</v>
      </c>
      <c r="E526" s="2">
        <f>IFERROR(__xludf.DUMMYFUNCTION("""COMPUTED_VALUE"""),707.63)</f>
        <v>707.63</v>
      </c>
      <c r="F526" s="2">
        <f>IFERROR(__xludf.DUMMYFUNCTION("""COMPUTED_VALUE"""),1.55401E7)</f>
        <v>15540100</v>
      </c>
      <c r="G526" s="2">
        <f t="shared" si="1"/>
        <v>23.13</v>
      </c>
    </row>
    <row r="527" ht="15.75" customHeight="1">
      <c r="A527" s="1">
        <f>IFERROR(__xludf.DUMMYFUNCTION("""COMPUTED_VALUE"""),44622.66666666667)</f>
        <v>44622.66667</v>
      </c>
      <c r="B527" s="2">
        <f>IFERROR(__xludf.DUMMYFUNCTION("""COMPUTED_VALUE"""),707.63)</f>
        <v>707.63</v>
      </c>
      <c r="C527" s="2">
        <f>IFERROR(__xludf.DUMMYFUNCTION("""COMPUTED_VALUE"""),712.25)</f>
        <v>712.25</v>
      </c>
      <c r="D527" s="2">
        <f>IFERROR(__xludf.DUMMYFUNCTION("""COMPUTED_VALUE"""),679.88)</f>
        <v>679.88</v>
      </c>
      <c r="E527" s="2">
        <f>IFERROR(__xludf.DUMMYFUNCTION("""COMPUTED_VALUE"""),679.88)</f>
        <v>679.88</v>
      </c>
      <c r="F527" s="2">
        <f>IFERROR(__xludf.DUMMYFUNCTION("""COMPUTED_VALUE"""),1.67242E7)</f>
        <v>16724200</v>
      </c>
      <c r="G527" s="2">
        <f t="shared" si="1"/>
        <v>32.37</v>
      </c>
    </row>
    <row r="528" ht="15.75" customHeight="1">
      <c r="A528" s="1">
        <f>IFERROR(__xludf.DUMMYFUNCTION("""COMPUTED_VALUE"""),44624.66666666667)</f>
        <v>44624.66667</v>
      </c>
      <c r="B528" s="2">
        <f>IFERROR(__xludf.DUMMYFUNCTION("""COMPUTED_VALUE"""),679.88)</f>
        <v>679.88</v>
      </c>
      <c r="C528" s="2">
        <f>IFERROR(__xludf.DUMMYFUNCTION("""COMPUTED_VALUE"""),689.13)</f>
        <v>689.13</v>
      </c>
      <c r="D528" s="2">
        <f>IFERROR(__xludf.DUMMYFUNCTION("""COMPUTED_VALUE"""),647.5)</f>
        <v>647.5</v>
      </c>
      <c r="E528" s="2">
        <f>IFERROR(__xludf.DUMMYFUNCTION("""COMPUTED_VALUE"""),666.0)</f>
        <v>666</v>
      </c>
      <c r="F528" s="2">
        <f>IFERROR(__xludf.DUMMYFUNCTION("""COMPUTED_VALUE"""),2.22307E7)</f>
        <v>22230700</v>
      </c>
      <c r="G528" s="2">
        <f t="shared" si="1"/>
        <v>41.63</v>
      </c>
    </row>
    <row r="529" ht="15.75" customHeight="1">
      <c r="A529" s="1">
        <f>IFERROR(__xludf.DUMMYFUNCTION("""COMPUTED_VALUE"""),44627.66666666667)</f>
        <v>44627.66667</v>
      </c>
      <c r="B529" s="2">
        <f>IFERROR(__xludf.DUMMYFUNCTION("""COMPUTED_VALUE"""),666.0)</f>
        <v>666</v>
      </c>
      <c r="C529" s="2">
        <f>IFERROR(__xludf.DUMMYFUNCTION("""COMPUTED_VALUE"""),666.0)</f>
        <v>666</v>
      </c>
      <c r="D529" s="2">
        <f>IFERROR(__xludf.DUMMYFUNCTION("""COMPUTED_VALUE"""),633.63)</f>
        <v>633.63</v>
      </c>
      <c r="E529" s="2">
        <f>IFERROR(__xludf.DUMMYFUNCTION("""COMPUTED_VALUE"""),642.88)</f>
        <v>642.88</v>
      </c>
      <c r="F529" s="2">
        <f>IFERROR(__xludf.DUMMYFUNCTION("""COMPUTED_VALUE"""),1.64152E7)</f>
        <v>16415200</v>
      </c>
      <c r="G529" s="2">
        <f t="shared" si="1"/>
        <v>32.37</v>
      </c>
    </row>
    <row r="530" ht="15.75" customHeight="1">
      <c r="A530" s="1">
        <f>IFERROR(__xludf.DUMMYFUNCTION("""COMPUTED_VALUE"""),44628.66666666667)</f>
        <v>44628.66667</v>
      </c>
      <c r="B530" s="2">
        <f>IFERROR(__xludf.DUMMYFUNCTION("""COMPUTED_VALUE"""),642.88)</f>
        <v>642.88</v>
      </c>
      <c r="C530" s="2">
        <f>IFERROR(__xludf.DUMMYFUNCTION("""COMPUTED_VALUE"""),698.38)</f>
        <v>698.38</v>
      </c>
      <c r="D530" s="2">
        <f>IFERROR(__xludf.DUMMYFUNCTION("""COMPUTED_VALUE"""),629.0)</f>
        <v>629</v>
      </c>
      <c r="E530" s="2">
        <f>IFERROR(__xludf.DUMMYFUNCTION("""COMPUTED_VALUE"""),661.38)</f>
        <v>661.38</v>
      </c>
      <c r="F530" s="2">
        <f>IFERROR(__xludf.DUMMYFUNCTION("""COMPUTED_VALUE"""),2.57705E7)</f>
        <v>25770500</v>
      </c>
      <c r="G530" s="2">
        <f t="shared" si="1"/>
        <v>69.38</v>
      </c>
    </row>
    <row r="531" ht="15.75" customHeight="1">
      <c r="A531" s="1">
        <f>IFERROR(__xludf.DUMMYFUNCTION("""COMPUTED_VALUE"""),44629.66666666667)</f>
        <v>44629.66667</v>
      </c>
      <c r="B531" s="2">
        <f>IFERROR(__xludf.DUMMYFUNCTION("""COMPUTED_VALUE"""),666.0)</f>
        <v>666</v>
      </c>
      <c r="C531" s="2">
        <f>IFERROR(__xludf.DUMMYFUNCTION("""COMPUTED_VALUE"""),730.75)</f>
        <v>730.75</v>
      </c>
      <c r="D531" s="2">
        <f>IFERROR(__xludf.DUMMYFUNCTION("""COMPUTED_VALUE"""),666.0)</f>
        <v>666</v>
      </c>
      <c r="E531" s="2">
        <f>IFERROR(__xludf.DUMMYFUNCTION("""COMPUTED_VALUE"""),730.75)</f>
        <v>730.75</v>
      </c>
      <c r="F531" s="2">
        <f>IFERROR(__xludf.DUMMYFUNCTION("""COMPUTED_VALUE"""),3.2904E7)</f>
        <v>32904000</v>
      </c>
      <c r="G531" s="2">
        <f t="shared" si="1"/>
        <v>69.37</v>
      </c>
    </row>
    <row r="532" ht="15.75" customHeight="1">
      <c r="A532" s="1">
        <f>IFERROR(__xludf.DUMMYFUNCTION("""COMPUTED_VALUE"""),44630.66666666667)</f>
        <v>44630.66667</v>
      </c>
      <c r="B532" s="2">
        <f>IFERROR(__xludf.DUMMYFUNCTION("""COMPUTED_VALUE"""),735.38)</f>
        <v>735.38</v>
      </c>
      <c r="C532" s="2">
        <f>IFERROR(__xludf.DUMMYFUNCTION("""COMPUTED_VALUE"""),758.5)</f>
        <v>758.5</v>
      </c>
      <c r="D532" s="2">
        <f>IFERROR(__xludf.DUMMYFUNCTION("""COMPUTED_VALUE"""),716.88)</f>
        <v>716.88</v>
      </c>
      <c r="E532" s="2">
        <f>IFERROR(__xludf.DUMMYFUNCTION("""COMPUTED_VALUE"""),730.75)</f>
        <v>730.75</v>
      </c>
      <c r="F532" s="2">
        <f>IFERROR(__xludf.DUMMYFUNCTION("""COMPUTED_VALUE"""),2.41095E7)</f>
        <v>24109500</v>
      </c>
      <c r="G532" s="2">
        <f t="shared" si="1"/>
        <v>41.62</v>
      </c>
    </row>
    <row r="533" ht="15.75" customHeight="1">
      <c r="A533" s="1">
        <f>IFERROR(__xludf.DUMMYFUNCTION("""COMPUTED_VALUE"""),44631.66666666667)</f>
        <v>44631.66667</v>
      </c>
      <c r="B533" s="2">
        <f>IFERROR(__xludf.DUMMYFUNCTION("""COMPUTED_VALUE"""),721.5)</f>
        <v>721.5</v>
      </c>
      <c r="C533" s="2">
        <f>IFERROR(__xludf.DUMMYFUNCTION("""COMPUTED_VALUE"""),772.38)</f>
        <v>772.38</v>
      </c>
      <c r="D533" s="2">
        <f>IFERROR(__xludf.DUMMYFUNCTION("""COMPUTED_VALUE"""),703.0)</f>
        <v>703</v>
      </c>
      <c r="E533" s="2">
        <f>IFERROR(__xludf.DUMMYFUNCTION("""COMPUTED_VALUE"""),763.13)</f>
        <v>763.13</v>
      </c>
      <c r="F533" s="2">
        <f>IFERROR(__xludf.DUMMYFUNCTION("""COMPUTED_VALUE"""),4.06951E7)</f>
        <v>40695100</v>
      </c>
      <c r="G533" s="2">
        <f t="shared" si="1"/>
        <v>69.38</v>
      </c>
    </row>
    <row r="534" ht="15.75" customHeight="1">
      <c r="A534" s="1">
        <f>IFERROR(__xludf.DUMMYFUNCTION("""COMPUTED_VALUE"""),44634.66666666667)</f>
        <v>44634.66667</v>
      </c>
      <c r="B534" s="2">
        <f>IFERROR(__xludf.DUMMYFUNCTION("""COMPUTED_VALUE"""),767.75)</f>
        <v>767.75</v>
      </c>
      <c r="C534" s="2">
        <f>IFERROR(__xludf.DUMMYFUNCTION("""COMPUTED_VALUE"""),767.75)</f>
        <v>767.75</v>
      </c>
      <c r="D534" s="2">
        <f>IFERROR(__xludf.DUMMYFUNCTION("""COMPUTED_VALUE"""),740.0)</f>
        <v>740</v>
      </c>
      <c r="E534" s="2">
        <f>IFERROR(__xludf.DUMMYFUNCTION("""COMPUTED_VALUE"""),744.63)</f>
        <v>744.63</v>
      </c>
      <c r="F534" s="2">
        <f>IFERROR(__xludf.DUMMYFUNCTION("""COMPUTED_VALUE"""),1.99203E7)</f>
        <v>19920300</v>
      </c>
      <c r="G534" s="2">
        <f t="shared" si="1"/>
        <v>27.75</v>
      </c>
    </row>
    <row r="535" ht="15.75" customHeight="1">
      <c r="A535" s="1">
        <f>IFERROR(__xludf.DUMMYFUNCTION("""COMPUTED_VALUE"""),44635.66666666667)</f>
        <v>44635.66667</v>
      </c>
      <c r="B535" s="2">
        <f>IFERROR(__xludf.DUMMYFUNCTION("""COMPUTED_VALUE"""),749.25)</f>
        <v>749.25</v>
      </c>
      <c r="C535" s="2">
        <f>IFERROR(__xludf.DUMMYFUNCTION("""COMPUTED_VALUE"""),753.88)</f>
        <v>753.88</v>
      </c>
      <c r="D535" s="2">
        <f>IFERROR(__xludf.DUMMYFUNCTION("""COMPUTED_VALUE"""),703.0)</f>
        <v>703</v>
      </c>
      <c r="E535" s="2">
        <f>IFERROR(__xludf.DUMMYFUNCTION("""COMPUTED_VALUE"""),712.25)</f>
        <v>712.25</v>
      </c>
      <c r="F535" s="2">
        <f>IFERROR(__xludf.DUMMYFUNCTION("""COMPUTED_VALUE"""),1.67194E7)</f>
        <v>16719400</v>
      </c>
      <c r="G535" s="2">
        <f t="shared" si="1"/>
        <v>50.88</v>
      </c>
    </row>
    <row r="536" ht="15.75" customHeight="1">
      <c r="A536" s="1">
        <f>IFERROR(__xludf.DUMMYFUNCTION("""COMPUTED_VALUE"""),44636.66666666667)</f>
        <v>44636.66667</v>
      </c>
      <c r="B536" s="2">
        <f>IFERROR(__xludf.DUMMYFUNCTION("""COMPUTED_VALUE"""),716.88)</f>
        <v>716.88</v>
      </c>
      <c r="C536" s="2">
        <f>IFERROR(__xludf.DUMMYFUNCTION("""COMPUTED_VALUE"""),730.75)</f>
        <v>730.75</v>
      </c>
      <c r="D536" s="2">
        <f>IFERROR(__xludf.DUMMYFUNCTION("""COMPUTED_VALUE"""),703.0)</f>
        <v>703</v>
      </c>
      <c r="E536" s="2">
        <f>IFERROR(__xludf.DUMMYFUNCTION("""COMPUTED_VALUE"""),721.5)</f>
        <v>721.5</v>
      </c>
      <c r="F536" s="2">
        <f>IFERROR(__xludf.DUMMYFUNCTION("""COMPUTED_VALUE"""),7508800.0)</f>
        <v>7508800</v>
      </c>
      <c r="G536" s="2">
        <f t="shared" si="1"/>
        <v>27.75</v>
      </c>
    </row>
    <row r="537" ht="15.75" customHeight="1">
      <c r="A537" s="1">
        <f>IFERROR(__xludf.DUMMYFUNCTION("""COMPUTED_VALUE"""),44637.66666666667)</f>
        <v>44637.66667</v>
      </c>
      <c r="B537" s="2">
        <f>IFERROR(__xludf.DUMMYFUNCTION("""COMPUTED_VALUE"""),726.13)</f>
        <v>726.13</v>
      </c>
      <c r="C537" s="2">
        <f>IFERROR(__xludf.DUMMYFUNCTION("""COMPUTED_VALUE"""),740.0)</f>
        <v>740</v>
      </c>
      <c r="D537" s="2">
        <f>IFERROR(__xludf.DUMMYFUNCTION("""COMPUTED_VALUE"""),726.13)</f>
        <v>726.13</v>
      </c>
      <c r="E537" s="2">
        <f>IFERROR(__xludf.DUMMYFUNCTION("""COMPUTED_VALUE"""),730.75)</f>
        <v>730.75</v>
      </c>
      <c r="F537" s="2">
        <f>IFERROR(__xludf.DUMMYFUNCTION("""COMPUTED_VALUE"""),1.17647E7)</f>
        <v>11764700</v>
      </c>
      <c r="G537" s="2">
        <f t="shared" si="1"/>
        <v>18.5</v>
      </c>
    </row>
    <row r="538" ht="15.75" customHeight="1">
      <c r="A538" s="1">
        <f>IFERROR(__xludf.DUMMYFUNCTION("""COMPUTED_VALUE"""),44638.66666666667)</f>
        <v>44638.66667</v>
      </c>
      <c r="B538" s="2">
        <f>IFERROR(__xludf.DUMMYFUNCTION("""COMPUTED_VALUE"""),740.0)</f>
        <v>740</v>
      </c>
      <c r="C538" s="2">
        <f>IFERROR(__xludf.DUMMYFUNCTION("""COMPUTED_VALUE"""),744.63)</f>
        <v>744.63</v>
      </c>
      <c r="D538" s="2">
        <f>IFERROR(__xludf.DUMMYFUNCTION("""COMPUTED_VALUE"""),693.75)</f>
        <v>693.75</v>
      </c>
      <c r="E538" s="2">
        <f>IFERROR(__xludf.DUMMYFUNCTION("""COMPUTED_VALUE"""),703.0)</f>
        <v>703</v>
      </c>
      <c r="F538" s="2">
        <f>IFERROR(__xludf.DUMMYFUNCTION("""COMPUTED_VALUE"""),2.40245E7)</f>
        <v>24024500</v>
      </c>
      <c r="G538" s="2">
        <f t="shared" si="1"/>
        <v>50.88</v>
      </c>
    </row>
    <row r="539" ht="15.75" customHeight="1">
      <c r="A539" s="1">
        <f>IFERROR(__xludf.DUMMYFUNCTION("""COMPUTED_VALUE"""),44641.66666666667)</f>
        <v>44641.66667</v>
      </c>
      <c r="B539" s="2">
        <f>IFERROR(__xludf.DUMMYFUNCTION("""COMPUTED_VALUE"""),707.63)</f>
        <v>707.63</v>
      </c>
      <c r="C539" s="2">
        <f>IFERROR(__xludf.DUMMYFUNCTION("""COMPUTED_VALUE"""),707.63)</f>
        <v>707.63</v>
      </c>
      <c r="D539" s="2">
        <f>IFERROR(__xludf.DUMMYFUNCTION("""COMPUTED_VALUE"""),679.88)</f>
        <v>679.88</v>
      </c>
      <c r="E539" s="2">
        <f>IFERROR(__xludf.DUMMYFUNCTION("""COMPUTED_VALUE"""),679.88)</f>
        <v>679.88</v>
      </c>
      <c r="F539" s="2">
        <f>IFERROR(__xludf.DUMMYFUNCTION("""COMPUTED_VALUE"""),1.23656E7)</f>
        <v>12365600</v>
      </c>
      <c r="G539" s="2">
        <f t="shared" si="1"/>
        <v>27.75</v>
      </c>
    </row>
    <row r="540" ht="15.75" customHeight="1">
      <c r="A540" s="1">
        <f>IFERROR(__xludf.DUMMYFUNCTION("""COMPUTED_VALUE"""),44642.66666666667)</f>
        <v>44642.66667</v>
      </c>
      <c r="B540" s="2">
        <f>IFERROR(__xludf.DUMMYFUNCTION("""COMPUTED_VALUE"""),693.75)</f>
        <v>693.75</v>
      </c>
      <c r="C540" s="2">
        <f>IFERROR(__xludf.DUMMYFUNCTION("""COMPUTED_VALUE"""),698.38)</f>
        <v>698.38</v>
      </c>
      <c r="D540" s="2">
        <f>IFERROR(__xludf.DUMMYFUNCTION("""COMPUTED_VALUE"""),670.63)</f>
        <v>670.63</v>
      </c>
      <c r="E540" s="2">
        <f>IFERROR(__xludf.DUMMYFUNCTION("""COMPUTED_VALUE"""),679.88)</f>
        <v>679.88</v>
      </c>
      <c r="F540" s="2">
        <f>IFERROR(__xludf.DUMMYFUNCTION("""COMPUTED_VALUE"""),1.67586E7)</f>
        <v>16758600</v>
      </c>
      <c r="G540" s="2">
        <f t="shared" si="1"/>
        <v>27.75</v>
      </c>
    </row>
    <row r="541" ht="15.75" customHeight="1">
      <c r="A541" s="1">
        <f>IFERROR(__xludf.DUMMYFUNCTION("""COMPUTED_VALUE"""),44643.66666666667)</f>
        <v>44643.66667</v>
      </c>
      <c r="B541" s="2">
        <f>IFERROR(__xludf.DUMMYFUNCTION("""COMPUTED_VALUE"""),679.88)</f>
        <v>679.88</v>
      </c>
      <c r="C541" s="2">
        <f>IFERROR(__xludf.DUMMYFUNCTION("""COMPUTED_VALUE"""),689.13)</f>
        <v>689.13</v>
      </c>
      <c r="D541" s="2">
        <f>IFERROR(__xludf.DUMMYFUNCTION("""COMPUTED_VALUE"""),661.38)</f>
        <v>661.38</v>
      </c>
      <c r="E541" s="2">
        <f>IFERROR(__xludf.DUMMYFUNCTION("""COMPUTED_VALUE"""),661.38)</f>
        <v>661.38</v>
      </c>
      <c r="F541" s="2">
        <f>IFERROR(__xludf.DUMMYFUNCTION("""COMPUTED_VALUE"""),1.59382E7)</f>
        <v>15938200</v>
      </c>
      <c r="G541" s="2">
        <f t="shared" si="1"/>
        <v>27.75</v>
      </c>
    </row>
    <row r="542" ht="15.75" customHeight="1">
      <c r="A542" s="1">
        <f>IFERROR(__xludf.DUMMYFUNCTION("""COMPUTED_VALUE"""),44644.66666666667)</f>
        <v>44644.66667</v>
      </c>
      <c r="B542" s="2">
        <f>IFERROR(__xludf.DUMMYFUNCTION("""COMPUTED_VALUE"""),675.25)</f>
        <v>675.25</v>
      </c>
      <c r="C542" s="2">
        <f>IFERROR(__xludf.DUMMYFUNCTION("""COMPUTED_VALUE"""),689.13)</f>
        <v>689.13</v>
      </c>
      <c r="D542" s="2">
        <f>IFERROR(__xludf.DUMMYFUNCTION("""COMPUTED_VALUE"""),661.38)</f>
        <v>661.38</v>
      </c>
      <c r="E542" s="2">
        <f>IFERROR(__xludf.DUMMYFUNCTION("""COMPUTED_VALUE"""),684.5)</f>
        <v>684.5</v>
      </c>
      <c r="F542" s="2">
        <f>IFERROR(__xludf.DUMMYFUNCTION("""COMPUTED_VALUE"""),1.4495E7)</f>
        <v>14495000</v>
      </c>
      <c r="G542" s="2">
        <f t="shared" si="1"/>
        <v>27.75</v>
      </c>
    </row>
    <row r="543" ht="15.75" customHeight="1">
      <c r="A543" s="1">
        <f>IFERROR(__xludf.DUMMYFUNCTION("""COMPUTED_VALUE"""),44645.66666666667)</f>
        <v>44645.66667</v>
      </c>
      <c r="B543" s="2">
        <f>IFERROR(__xludf.DUMMYFUNCTION("""COMPUTED_VALUE"""),684.5)</f>
        <v>684.5</v>
      </c>
      <c r="C543" s="2">
        <f>IFERROR(__xludf.DUMMYFUNCTION("""COMPUTED_VALUE"""),689.13)</f>
        <v>689.13</v>
      </c>
      <c r="D543" s="2">
        <f>IFERROR(__xludf.DUMMYFUNCTION("""COMPUTED_VALUE"""),670.63)</f>
        <v>670.63</v>
      </c>
      <c r="E543" s="2">
        <f>IFERROR(__xludf.DUMMYFUNCTION("""COMPUTED_VALUE"""),679.88)</f>
        <v>679.88</v>
      </c>
      <c r="F543" s="2">
        <f>IFERROR(__xludf.DUMMYFUNCTION("""COMPUTED_VALUE"""),6607500.0)</f>
        <v>6607500</v>
      </c>
      <c r="G543" s="2">
        <f t="shared" si="1"/>
        <v>18.5</v>
      </c>
    </row>
    <row r="544" ht="15.75" customHeight="1">
      <c r="A544" s="1">
        <f>IFERROR(__xludf.DUMMYFUNCTION("""COMPUTED_VALUE"""),44648.66666666667)</f>
        <v>44648.66667</v>
      </c>
      <c r="B544" s="2">
        <f>IFERROR(__xludf.DUMMYFUNCTION("""COMPUTED_VALUE"""),679.88)</f>
        <v>679.88</v>
      </c>
      <c r="C544" s="2">
        <f>IFERROR(__xludf.DUMMYFUNCTION("""COMPUTED_VALUE"""),689.13)</f>
        <v>689.13</v>
      </c>
      <c r="D544" s="2">
        <f>IFERROR(__xludf.DUMMYFUNCTION("""COMPUTED_VALUE"""),679.88)</f>
        <v>679.88</v>
      </c>
      <c r="E544" s="2">
        <f>IFERROR(__xludf.DUMMYFUNCTION("""COMPUTED_VALUE"""),684.5)</f>
        <v>684.5</v>
      </c>
      <c r="F544" s="2">
        <f>IFERROR(__xludf.DUMMYFUNCTION("""COMPUTED_VALUE"""),4457600.0)</f>
        <v>4457600</v>
      </c>
      <c r="G544" s="2">
        <f t="shared" si="1"/>
        <v>9.25</v>
      </c>
    </row>
    <row r="545" ht="15.75" customHeight="1">
      <c r="A545" s="1">
        <f>IFERROR(__xludf.DUMMYFUNCTION("""COMPUTED_VALUE"""),44649.66666666667)</f>
        <v>44649.66667</v>
      </c>
      <c r="B545" s="2">
        <f>IFERROR(__xludf.DUMMYFUNCTION("""COMPUTED_VALUE"""),684.5)</f>
        <v>684.5</v>
      </c>
      <c r="C545" s="2">
        <f>IFERROR(__xludf.DUMMYFUNCTION("""COMPUTED_VALUE"""),698.38)</f>
        <v>698.38</v>
      </c>
      <c r="D545" s="2">
        <f>IFERROR(__xludf.DUMMYFUNCTION("""COMPUTED_VALUE"""),679.88)</f>
        <v>679.88</v>
      </c>
      <c r="E545" s="2">
        <f>IFERROR(__xludf.DUMMYFUNCTION("""COMPUTED_VALUE"""),684.5)</f>
        <v>684.5</v>
      </c>
      <c r="F545" s="2">
        <f>IFERROR(__xludf.DUMMYFUNCTION("""COMPUTED_VALUE"""),8658700.0)</f>
        <v>8658700</v>
      </c>
      <c r="G545" s="2">
        <f t="shared" si="1"/>
        <v>18.5</v>
      </c>
    </row>
    <row r="546" ht="15.75" customHeight="1">
      <c r="A546" s="1">
        <f>IFERROR(__xludf.DUMMYFUNCTION("""COMPUTED_VALUE"""),44650.66666666667)</f>
        <v>44650.66667</v>
      </c>
      <c r="B546" s="2">
        <f>IFERROR(__xludf.DUMMYFUNCTION("""COMPUTED_VALUE"""),689.13)</f>
        <v>689.13</v>
      </c>
      <c r="C546" s="2">
        <f>IFERROR(__xludf.DUMMYFUNCTION("""COMPUTED_VALUE"""),712.25)</f>
        <v>712.25</v>
      </c>
      <c r="D546" s="2">
        <f>IFERROR(__xludf.DUMMYFUNCTION("""COMPUTED_VALUE"""),684.5)</f>
        <v>684.5</v>
      </c>
      <c r="E546" s="2">
        <f>IFERROR(__xludf.DUMMYFUNCTION("""COMPUTED_VALUE"""),693.75)</f>
        <v>693.75</v>
      </c>
      <c r="F546" s="2">
        <f>IFERROR(__xludf.DUMMYFUNCTION("""COMPUTED_VALUE"""),1.43726E7)</f>
        <v>14372600</v>
      </c>
      <c r="G546" s="2">
        <f t="shared" si="1"/>
        <v>27.75</v>
      </c>
    </row>
    <row r="547" ht="15.75" customHeight="1">
      <c r="A547" s="1">
        <f>IFERROR(__xludf.DUMMYFUNCTION("""COMPUTED_VALUE"""),44651.66666666667)</f>
        <v>44651.66667</v>
      </c>
      <c r="B547" s="2">
        <f>IFERROR(__xludf.DUMMYFUNCTION("""COMPUTED_VALUE"""),698.38)</f>
        <v>698.38</v>
      </c>
      <c r="C547" s="2">
        <f>IFERROR(__xludf.DUMMYFUNCTION("""COMPUTED_VALUE"""),703.0)</f>
        <v>703</v>
      </c>
      <c r="D547" s="2">
        <f>IFERROR(__xludf.DUMMYFUNCTION("""COMPUTED_VALUE"""),684.5)</f>
        <v>684.5</v>
      </c>
      <c r="E547" s="2">
        <f>IFERROR(__xludf.DUMMYFUNCTION("""COMPUTED_VALUE"""),684.5)</f>
        <v>684.5</v>
      </c>
      <c r="F547" s="2">
        <f>IFERROR(__xludf.DUMMYFUNCTION("""COMPUTED_VALUE"""),4046500.0)</f>
        <v>4046500</v>
      </c>
      <c r="G547" s="2">
        <f t="shared" si="1"/>
        <v>18.5</v>
      </c>
    </row>
    <row r="548" ht="15.75" customHeight="1">
      <c r="A548" s="1">
        <f>IFERROR(__xludf.DUMMYFUNCTION("""COMPUTED_VALUE"""),44652.66666666667)</f>
        <v>44652.66667</v>
      </c>
      <c r="B548" s="2">
        <f>IFERROR(__xludf.DUMMYFUNCTION("""COMPUTED_VALUE"""),689.13)</f>
        <v>689.13</v>
      </c>
      <c r="C548" s="2">
        <f>IFERROR(__xludf.DUMMYFUNCTION("""COMPUTED_VALUE"""),689.13)</f>
        <v>689.13</v>
      </c>
      <c r="D548" s="2">
        <f>IFERROR(__xludf.DUMMYFUNCTION("""COMPUTED_VALUE"""),670.63)</f>
        <v>670.63</v>
      </c>
      <c r="E548" s="2">
        <f>IFERROR(__xludf.DUMMYFUNCTION("""COMPUTED_VALUE"""),670.63)</f>
        <v>670.63</v>
      </c>
      <c r="F548" s="2">
        <f>IFERROR(__xludf.DUMMYFUNCTION("""COMPUTED_VALUE"""),7995300.0)</f>
        <v>7995300</v>
      </c>
      <c r="G548" s="2">
        <f t="shared" si="1"/>
        <v>18.5</v>
      </c>
    </row>
    <row r="549" ht="15.75" customHeight="1">
      <c r="A549" s="1">
        <f>IFERROR(__xludf.DUMMYFUNCTION("""COMPUTED_VALUE"""),44655.66666666667)</f>
        <v>44655.66667</v>
      </c>
      <c r="B549" s="2">
        <f>IFERROR(__xludf.DUMMYFUNCTION("""COMPUTED_VALUE"""),670.63)</f>
        <v>670.63</v>
      </c>
      <c r="C549" s="2">
        <f>IFERROR(__xludf.DUMMYFUNCTION("""COMPUTED_VALUE"""),675.25)</f>
        <v>675.25</v>
      </c>
      <c r="D549" s="2">
        <f>IFERROR(__xludf.DUMMYFUNCTION("""COMPUTED_VALUE"""),661.38)</f>
        <v>661.38</v>
      </c>
      <c r="E549" s="2">
        <f>IFERROR(__xludf.DUMMYFUNCTION("""COMPUTED_VALUE"""),670.63)</f>
        <v>670.63</v>
      </c>
      <c r="F549" s="2">
        <f>IFERROR(__xludf.DUMMYFUNCTION("""COMPUTED_VALUE"""),4886300.0)</f>
        <v>4886300</v>
      </c>
      <c r="G549" s="2">
        <f t="shared" si="1"/>
        <v>13.87</v>
      </c>
    </row>
    <row r="550" ht="15.75" customHeight="1">
      <c r="A550" s="1">
        <f>IFERROR(__xludf.DUMMYFUNCTION("""COMPUTED_VALUE"""),44656.66666666667)</f>
        <v>44656.66667</v>
      </c>
      <c r="B550" s="2">
        <f>IFERROR(__xludf.DUMMYFUNCTION("""COMPUTED_VALUE"""),670.63)</f>
        <v>670.63</v>
      </c>
      <c r="C550" s="2">
        <f>IFERROR(__xludf.DUMMYFUNCTION("""COMPUTED_VALUE"""),684.5)</f>
        <v>684.5</v>
      </c>
      <c r="D550" s="2">
        <f>IFERROR(__xludf.DUMMYFUNCTION("""COMPUTED_VALUE"""),670.63)</f>
        <v>670.63</v>
      </c>
      <c r="E550" s="2">
        <f>IFERROR(__xludf.DUMMYFUNCTION("""COMPUTED_VALUE"""),675.25)</f>
        <v>675.25</v>
      </c>
      <c r="F550" s="2">
        <f>IFERROR(__xludf.DUMMYFUNCTION("""COMPUTED_VALUE"""),4604400.0)</f>
        <v>4604400</v>
      </c>
      <c r="G550" s="2">
        <f t="shared" si="1"/>
        <v>13.87</v>
      </c>
    </row>
    <row r="551" ht="15.75" customHeight="1">
      <c r="A551" s="1">
        <f>IFERROR(__xludf.DUMMYFUNCTION("""COMPUTED_VALUE"""),44657.66666666667)</f>
        <v>44657.66667</v>
      </c>
      <c r="B551" s="2">
        <f>IFERROR(__xludf.DUMMYFUNCTION("""COMPUTED_VALUE"""),675.25)</f>
        <v>675.25</v>
      </c>
      <c r="C551" s="2">
        <f>IFERROR(__xludf.DUMMYFUNCTION("""COMPUTED_VALUE"""),684.5)</f>
        <v>684.5</v>
      </c>
      <c r="D551" s="2">
        <f>IFERROR(__xludf.DUMMYFUNCTION("""COMPUTED_VALUE"""),666.0)</f>
        <v>666</v>
      </c>
      <c r="E551" s="2">
        <f>IFERROR(__xludf.DUMMYFUNCTION("""COMPUTED_VALUE"""),675.25)</f>
        <v>675.25</v>
      </c>
      <c r="F551" s="2">
        <f>IFERROR(__xludf.DUMMYFUNCTION("""COMPUTED_VALUE"""),4173100.0)</f>
        <v>4173100</v>
      </c>
      <c r="G551" s="2">
        <f t="shared" si="1"/>
        <v>18.5</v>
      </c>
    </row>
    <row r="552" ht="15.75" customHeight="1">
      <c r="A552" s="1">
        <f>IFERROR(__xludf.DUMMYFUNCTION("""COMPUTED_VALUE"""),44658.66666666667)</f>
        <v>44658.66667</v>
      </c>
      <c r="B552" s="2">
        <f>IFERROR(__xludf.DUMMYFUNCTION("""COMPUTED_VALUE"""),675.25)</f>
        <v>675.25</v>
      </c>
      <c r="C552" s="2">
        <f>IFERROR(__xludf.DUMMYFUNCTION("""COMPUTED_VALUE"""),675.25)</f>
        <v>675.25</v>
      </c>
      <c r="D552" s="2">
        <f>IFERROR(__xludf.DUMMYFUNCTION("""COMPUTED_VALUE"""),661.38)</f>
        <v>661.38</v>
      </c>
      <c r="E552" s="2">
        <f>IFERROR(__xludf.DUMMYFUNCTION("""COMPUTED_VALUE"""),661.38)</f>
        <v>661.38</v>
      </c>
      <c r="F552" s="2">
        <f>IFERROR(__xludf.DUMMYFUNCTION("""COMPUTED_VALUE"""),9920300.0)</f>
        <v>9920300</v>
      </c>
      <c r="G552" s="2">
        <f t="shared" si="1"/>
        <v>13.87</v>
      </c>
    </row>
    <row r="553" ht="15.75" customHeight="1">
      <c r="A553" s="1">
        <f>IFERROR(__xludf.DUMMYFUNCTION("""COMPUTED_VALUE"""),44659.66666666667)</f>
        <v>44659.66667</v>
      </c>
      <c r="B553" s="2">
        <f>IFERROR(__xludf.DUMMYFUNCTION("""COMPUTED_VALUE"""),666.0)</f>
        <v>666</v>
      </c>
      <c r="C553" s="2">
        <f>IFERROR(__xludf.DUMMYFUNCTION("""COMPUTED_VALUE"""),670.63)</f>
        <v>670.63</v>
      </c>
      <c r="D553" s="2">
        <f>IFERROR(__xludf.DUMMYFUNCTION("""COMPUTED_VALUE"""),652.13)</f>
        <v>652.13</v>
      </c>
      <c r="E553" s="2">
        <f>IFERROR(__xludf.DUMMYFUNCTION("""COMPUTED_VALUE"""),656.75)</f>
        <v>656.75</v>
      </c>
      <c r="F553" s="2">
        <f>IFERROR(__xludf.DUMMYFUNCTION("""COMPUTED_VALUE"""),1.36361E7)</f>
        <v>13636100</v>
      </c>
      <c r="G553" s="2">
        <f t="shared" si="1"/>
        <v>18.5</v>
      </c>
    </row>
    <row r="554" ht="15.75" customHeight="1">
      <c r="A554" s="1">
        <f>IFERROR(__xludf.DUMMYFUNCTION("""COMPUTED_VALUE"""),44662.66666666667)</f>
        <v>44662.66667</v>
      </c>
      <c r="B554" s="2">
        <f>IFERROR(__xludf.DUMMYFUNCTION("""COMPUTED_VALUE"""),661.38)</f>
        <v>661.38</v>
      </c>
      <c r="C554" s="2">
        <f>IFERROR(__xludf.DUMMYFUNCTION("""COMPUTED_VALUE"""),661.38)</f>
        <v>661.38</v>
      </c>
      <c r="D554" s="2">
        <f>IFERROR(__xludf.DUMMYFUNCTION("""COMPUTED_VALUE"""),638.25)</f>
        <v>638.25</v>
      </c>
      <c r="E554" s="2">
        <f>IFERROR(__xludf.DUMMYFUNCTION("""COMPUTED_VALUE"""),647.5)</f>
        <v>647.5</v>
      </c>
      <c r="F554" s="2">
        <f>IFERROR(__xludf.DUMMYFUNCTION("""COMPUTED_VALUE"""),7540300.0)</f>
        <v>7540300</v>
      </c>
      <c r="G554" s="2">
        <f t="shared" si="1"/>
        <v>23.13</v>
      </c>
    </row>
    <row r="555" ht="15.75" customHeight="1">
      <c r="A555" s="1">
        <f>IFERROR(__xludf.DUMMYFUNCTION("""COMPUTED_VALUE"""),44663.66666666667)</f>
        <v>44663.66667</v>
      </c>
      <c r="B555" s="2">
        <f>IFERROR(__xludf.DUMMYFUNCTION("""COMPUTED_VALUE"""),656.75)</f>
        <v>656.75</v>
      </c>
      <c r="C555" s="2">
        <f>IFERROR(__xludf.DUMMYFUNCTION("""COMPUTED_VALUE"""),666.0)</f>
        <v>666</v>
      </c>
      <c r="D555" s="2">
        <f>IFERROR(__xludf.DUMMYFUNCTION("""COMPUTED_VALUE"""),642.88)</f>
        <v>642.88</v>
      </c>
      <c r="E555" s="2">
        <f>IFERROR(__xludf.DUMMYFUNCTION("""COMPUTED_VALUE"""),642.88)</f>
        <v>642.88</v>
      </c>
      <c r="F555" s="2">
        <f>IFERROR(__xludf.DUMMYFUNCTION("""COMPUTED_VALUE"""),7741900.0)</f>
        <v>7741900</v>
      </c>
      <c r="G555" s="2">
        <f t="shared" si="1"/>
        <v>23.12</v>
      </c>
    </row>
    <row r="556" ht="15.75" customHeight="1">
      <c r="A556" s="1">
        <f>IFERROR(__xludf.DUMMYFUNCTION("""COMPUTED_VALUE"""),44664.66666666667)</f>
        <v>44664.66667</v>
      </c>
      <c r="B556" s="2">
        <f>IFERROR(__xludf.DUMMYFUNCTION("""COMPUTED_VALUE"""),652.13)</f>
        <v>652.13</v>
      </c>
      <c r="C556" s="2">
        <f>IFERROR(__xludf.DUMMYFUNCTION("""COMPUTED_VALUE"""),656.75)</f>
        <v>656.75</v>
      </c>
      <c r="D556" s="2">
        <f>IFERROR(__xludf.DUMMYFUNCTION("""COMPUTED_VALUE"""),642.88)</f>
        <v>642.88</v>
      </c>
      <c r="E556" s="2">
        <f>IFERROR(__xludf.DUMMYFUNCTION("""COMPUTED_VALUE"""),647.5)</f>
        <v>647.5</v>
      </c>
      <c r="F556" s="2">
        <f>IFERROR(__xludf.DUMMYFUNCTION("""COMPUTED_VALUE"""),4965200.0)</f>
        <v>4965200</v>
      </c>
      <c r="G556" s="2">
        <f t="shared" si="1"/>
        <v>13.87</v>
      </c>
    </row>
    <row r="557" ht="15.75" customHeight="1">
      <c r="A557" s="1">
        <f>IFERROR(__xludf.DUMMYFUNCTION("""COMPUTED_VALUE"""),44665.66666666667)</f>
        <v>44665.66667</v>
      </c>
      <c r="B557" s="2">
        <f>IFERROR(__xludf.DUMMYFUNCTION("""COMPUTED_VALUE"""),647.5)</f>
        <v>647.5</v>
      </c>
      <c r="C557" s="2">
        <f>IFERROR(__xludf.DUMMYFUNCTION("""COMPUTED_VALUE"""),652.13)</f>
        <v>652.13</v>
      </c>
      <c r="D557" s="2">
        <f>IFERROR(__xludf.DUMMYFUNCTION("""COMPUTED_VALUE"""),638.25)</f>
        <v>638.25</v>
      </c>
      <c r="E557" s="2">
        <f>IFERROR(__xludf.DUMMYFUNCTION("""COMPUTED_VALUE"""),647.5)</f>
        <v>647.5</v>
      </c>
      <c r="F557" s="2">
        <f>IFERROR(__xludf.DUMMYFUNCTION("""COMPUTED_VALUE"""),5125700.0)</f>
        <v>5125700</v>
      </c>
      <c r="G557" s="2">
        <f t="shared" si="1"/>
        <v>13.88</v>
      </c>
    </row>
    <row r="558" ht="15.75" customHeight="1">
      <c r="A558" s="1">
        <f>IFERROR(__xludf.DUMMYFUNCTION("""COMPUTED_VALUE"""),44669.66666666667)</f>
        <v>44669.66667</v>
      </c>
      <c r="B558" s="2">
        <f>IFERROR(__xludf.DUMMYFUNCTION("""COMPUTED_VALUE"""),647.5)</f>
        <v>647.5</v>
      </c>
      <c r="C558" s="2">
        <f>IFERROR(__xludf.DUMMYFUNCTION("""COMPUTED_VALUE"""),656.75)</f>
        <v>656.75</v>
      </c>
      <c r="D558" s="2">
        <f>IFERROR(__xludf.DUMMYFUNCTION("""COMPUTED_VALUE"""),642.88)</f>
        <v>642.88</v>
      </c>
      <c r="E558" s="2">
        <f>IFERROR(__xludf.DUMMYFUNCTION("""COMPUTED_VALUE"""),652.13)</f>
        <v>652.13</v>
      </c>
      <c r="F558" s="2">
        <f>IFERROR(__xludf.DUMMYFUNCTION("""COMPUTED_VALUE"""),4491400.0)</f>
        <v>4491400</v>
      </c>
      <c r="G558" s="2">
        <f t="shared" si="1"/>
        <v>13.87</v>
      </c>
    </row>
    <row r="559" ht="15.75" customHeight="1">
      <c r="A559" s="1">
        <f>IFERROR(__xludf.DUMMYFUNCTION("""COMPUTED_VALUE"""),44670.66666666667)</f>
        <v>44670.66667</v>
      </c>
      <c r="B559" s="2">
        <f>IFERROR(__xludf.DUMMYFUNCTION("""COMPUTED_VALUE"""),652.13)</f>
        <v>652.13</v>
      </c>
      <c r="C559" s="2">
        <f>IFERROR(__xludf.DUMMYFUNCTION("""COMPUTED_VALUE"""),656.75)</f>
        <v>656.75</v>
      </c>
      <c r="D559" s="2">
        <f>IFERROR(__xludf.DUMMYFUNCTION("""COMPUTED_VALUE"""),647.5)</f>
        <v>647.5</v>
      </c>
      <c r="E559" s="2">
        <f>IFERROR(__xludf.DUMMYFUNCTION("""COMPUTED_VALUE"""),652.13)</f>
        <v>652.13</v>
      </c>
      <c r="F559" s="2">
        <f>IFERROR(__xludf.DUMMYFUNCTION("""COMPUTED_VALUE"""),4576100.0)</f>
        <v>4576100</v>
      </c>
      <c r="G559" s="2">
        <f t="shared" si="1"/>
        <v>9.25</v>
      </c>
    </row>
    <row r="560" ht="15.75" customHeight="1">
      <c r="A560" s="1">
        <f>IFERROR(__xludf.DUMMYFUNCTION("""COMPUTED_VALUE"""),44671.66666666667)</f>
        <v>44671.66667</v>
      </c>
      <c r="B560" s="2">
        <f>IFERROR(__xludf.DUMMYFUNCTION("""COMPUTED_VALUE"""),656.75)</f>
        <v>656.75</v>
      </c>
      <c r="C560" s="2">
        <f>IFERROR(__xludf.DUMMYFUNCTION("""COMPUTED_VALUE"""),661.38)</f>
        <v>661.38</v>
      </c>
      <c r="D560" s="2">
        <f>IFERROR(__xludf.DUMMYFUNCTION("""COMPUTED_VALUE"""),647.5)</f>
        <v>647.5</v>
      </c>
      <c r="E560" s="2">
        <f>IFERROR(__xludf.DUMMYFUNCTION("""COMPUTED_VALUE"""),647.5)</f>
        <v>647.5</v>
      </c>
      <c r="F560" s="2">
        <f>IFERROR(__xludf.DUMMYFUNCTION("""COMPUTED_VALUE"""),4132600.0)</f>
        <v>4132600</v>
      </c>
      <c r="G560" s="2">
        <f t="shared" si="1"/>
        <v>13.88</v>
      </c>
    </row>
    <row r="561" ht="15.75" customHeight="1">
      <c r="A561" s="1">
        <f>IFERROR(__xludf.DUMMYFUNCTION("""COMPUTED_VALUE"""),44672.66666666667)</f>
        <v>44672.66667</v>
      </c>
      <c r="B561" s="2">
        <f>IFERROR(__xludf.DUMMYFUNCTION("""COMPUTED_VALUE"""),652.13)</f>
        <v>652.13</v>
      </c>
      <c r="C561" s="2">
        <f>IFERROR(__xludf.DUMMYFUNCTION("""COMPUTED_VALUE"""),684.5)</f>
        <v>684.5</v>
      </c>
      <c r="D561" s="2">
        <f>IFERROR(__xludf.DUMMYFUNCTION("""COMPUTED_VALUE"""),647.5)</f>
        <v>647.5</v>
      </c>
      <c r="E561" s="2">
        <f>IFERROR(__xludf.DUMMYFUNCTION("""COMPUTED_VALUE"""),670.63)</f>
        <v>670.63</v>
      </c>
      <c r="F561" s="2">
        <f>IFERROR(__xludf.DUMMYFUNCTION("""COMPUTED_VALUE"""),2.11842E7)</f>
        <v>21184200</v>
      </c>
      <c r="G561" s="2">
        <f t="shared" si="1"/>
        <v>37</v>
      </c>
    </row>
    <row r="562" ht="15.75" customHeight="1">
      <c r="A562" s="1">
        <f>IFERROR(__xludf.DUMMYFUNCTION("""COMPUTED_VALUE"""),44673.66666666667)</f>
        <v>44673.66667</v>
      </c>
      <c r="B562" s="2">
        <f>IFERROR(__xludf.DUMMYFUNCTION("""COMPUTED_VALUE"""),670.63)</f>
        <v>670.63</v>
      </c>
      <c r="C562" s="2">
        <f>IFERROR(__xludf.DUMMYFUNCTION("""COMPUTED_VALUE"""),684.5)</f>
        <v>684.5</v>
      </c>
      <c r="D562" s="2">
        <f>IFERROR(__xludf.DUMMYFUNCTION("""COMPUTED_VALUE"""),656.75)</f>
        <v>656.75</v>
      </c>
      <c r="E562" s="2">
        <f>IFERROR(__xludf.DUMMYFUNCTION("""COMPUTED_VALUE"""),666.0)</f>
        <v>666</v>
      </c>
      <c r="F562" s="2">
        <f>IFERROR(__xludf.DUMMYFUNCTION("""COMPUTED_VALUE"""),6992300.0)</f>
        <v>6992300</v>
      </c>
      <c r="G562" s="2">
        <f t="shared" si="1"/>
        <v>27.75</v>
      </c>
    </row>
    <row r="563" ht="15.75" customHeight="1">
      <c r="A563" s="1">
        <f>IFERROR(__xludf.DUMMYFUNCTION("""COMPUTED_VALUE"""),44676.66666666667)</f>
        <v>44676.66667</v>
      </c>
      <c r="B563" s="2">
        <f>IFERROR(__xludf.DUMMYFUNCTION("""COMPUTED_VALUE"""),670.63)</f>
        <v>670.63</v>
      </c>
      <c r="C563" s="2">
        <f>IFERROR(__xludf.DUMMYFUNCTION("""COMPUTED_VALUE"""),670.63)</f>
        <v>670.63</v>
      </c>
      <c r="D563" s="2">
        <f>IFERROR(__xludf.DUMMYFUNCTION("""COMPUTED_VALUE"""),647.5)</f>
        <v>647.5</v>
      </c>
      <c r="E563" s="2">
        <f>IFERROR(__xludf.DUMMYFUNCTION("""COMPUTED_VALUE"""),652.13)</f>
        <v>652.13</v>
      </c>
      <c r="F563" s="2">
        <f>IFERROR(__xludf.DUMMYFUNCTION("""COMPUTED_VALUE"""),5837100.0)</f>
        <v>5837100</v>
      </c>
      <c r="G563" s="2">
        <f t="shared" si="1"/>
        <v>23.13</v>
      </c>
    </row>
    <row r="564" ht="15.75" customHeight="1">
      <c r="A564" s="1">
        <f>IFERROR(__xludf.DUMMYFUNCTION("""COMPUTED_VALUE"""),44677.66666666667)</f>
        <v>44677.66667</v>
      </c>
      <c r="B564" s="2">
        <f>IFERROR(__xludf.DUMMYFUNCTION("""COMPUTED_VALUE"""),652.13)</f>
        <v>652.13</v>
      </c>
      <c r="C564" s="2">
        <f>IFERROR(__xludf.DUMMYFUNCTION("""COMPUTED_VALUE"""),666.0)</f>
        <v>666</v>
      </c>
      <c r="D564" s="2">
        <f>IFERROR(__xludf.DUMMYFUNCTION("""COMPUTED_VALUE"""),647.5)</f>
        <v>647.5</v>
      </c>
      <c r="E564" s="2">
        <f>IFERROR(__xludf.DUMMYFUNCTION("""COMPUTED_VALUE"""),661.38)</f>
        <v>661.38</v>
      </c>
      <c r="F564" s="2">
        <f>IFERROR(__xludf.DUMMYFUNCTION("""COMPUTED_VALUE"""),7743700.0)</f>
        <v>7743700</v>
      </c>
      <c r="G564" s="2">
        <f t="shared" si="1"/>
        <v>18.5</v>
      </c>
    </row>
    <row r="565" ht="15.75" customHeight="1">
      <c r="A565" s="1">
        <f>IFERROR(__xludf.DUMMYFUNCTION("""COMPUTED_VALUE"""),44678.66666666667)</f>
        <v>44678.66667</v>
      </c>
      <c r="B565" s="2">
        <f>IFERROR(__xludf.DUMMYFUNCTION("""COMPUTED_VALUE"""),661.38)</f>
        <v>661.38</v>
      </c>
      <c r="C565" s="2">
        <f>IFERROR(__xludf.DUMMYFUNCTION("""COMPUTED_VALUE"""),670.63)</f>
        <v>670.63</v>
      </c>
      <c r="D565" s="2">
        <f>IFERROR(__xludf.DUMMYFUNCTION("""COMPUTED_VALUE"""),652.13)</f>
        <v>652.13</v>
      </c>
      <c r="E565" s="2">
        <f>IFERROR(__xludf.DUMMYFUNCTION("""COMPUTED_VALUE"""),661.38)</f>
        <v>661.38</v>
      </c>
      <c r="F565" s="2">
        <f>IFERROR(__xludf.DUMMYFUNCTION("""COMPUTED_VALUE"""),5446900.0)</f>
        <v>5446900</v>
      </c>
      <c r="G565" s="2">
        <f t="shared" si="1"/>
        <v>18.5</v>
      </c>
    </row>
    <row r="566" ht="15.75" customHeight="1">
      <c r="A566" s="1">
        <f>IFERROR(__xludf.DUMMYFUNCTION("""COMPUTED_VALUE"""),44679.66666666667)</f>
        <v>44679.66667</v>
      </c>
      <c r="B566" s="2">
        <f>IFERROR(__xludf.DUMMYFUNCTION("""COMPUTED_VALUE"""),670.63)</f>
        <v>670.63</v>
      </c>
      <c r="C566" s="2">
        <f>IFERROR(__xludf.DUMMYFUNCTION("""COMPUTED_VALUE"""),675.25)</f>
        <v>675.25</v>
      </c>
      <c r="D566" s="2">
        <f>IFERROR(__xludf.DUMMYFUNCTION("""COMPUTED_VALUE"""),656.75)</f>
        <v>656.75</v>
      </c>
      <c r="E566" s="2">
        <f>IFERROR(__xludf.DUMMYFUNCTION("""COMPUTED_VALUE"""),666.0)</f>
        <v>666</v>
      </c>
      <c r="F566" s="2">
        <f>IFERROR(__xludf.DUMMYFUNCTION("""COMPUTED_VALUE"""),5910100.0)</f>
        <v>5910100</v>
      </c>
      <c r="G566" s="2">
        <f t="shared" si="1"/>
        <v>18.5</v>
      </c>
    </row>
    <row r="567" ht="15.75" customHeight="1">
      <c r="A567" s="1">
        <f>IFERROR(__xludf.DUMMYFUNCTION("""COMPUTED_VALUE"""),44690.66666666667)</f>
        <v>44690.66667</v>
      </c>
      <c r="B567" s="2">
        <f>IFERROR(__xludf.DUMMYFUNCTION("""COMPUTED_VALUE"""),666.0)</f>
        <v>666</v>
      </c>
      <c r="C567" s="2">
        <f>IFERROR(__xludf.DUMMYFUNCTION("""COMPUTED_VALUE"""),666.0)</f>
        <v>666</v>
      </c>
      <c r="D567" s="2">
        <f>IFERROR(__xludf.DUMMYFUNCTION("""COMPUTED_VALUE"""),638.25)</f>
        <v>638.25</v>
      </c>
      <c r="E567" s="2">
        <f>IFERROR(__xludf.DUMMYFUNCTION("""COMPUTED_VALUE"""),642.88)</f>
        <v>642.88</v>
      </c>
      <c r="F567" s="2">
        <f>IFERROR(__xludf.DUMMYFUNCTION("""COMPUTED_VALUE"""),8240900.0)</f>
        <v>8240900</v>
      </c>
      <c r="G567" s="2">
        <f t="shared" si="1"/>
        <v>27.75</v>
      </c>
    </row>
    <row r="568" ht="15.75" customHeight="1">
      <c r="A568" s="1">
        <f>IFERROR(__xludf.DUMMYFUNCTION("""COMPUTED_VALUE"""),44691.66666666667)</f>
        <v>44691.66667</v>
      </c>
      <c r="B568" s="2">
        <f>IFERROR(__xludf.DUMMYFUNCTION("""COMPUTED_VALUE"""),642.88)</f>
        <v>642.88</v>
      </c>
      <c r="C568" s="2">
        <f>IFERROR(__xludf.DUMMYFUNCTION("""COMPUTED_VALUE"""),642.88)</f>
        <v>642.88</v>
      </c>
      <c r="D568" s="2">
        <f>IFERROR(__xludf.DUMMYFUNCTION("""COMPUTED_VALUE"""),615.13)</f>
        <v>615.13</v>
      </c>
      <c r="E568" s="2">
        <f>IFERROR(__xludf.DUMMYFUNCTION("""COMPUTED_VALUE"""),638.25)</f>
        <v>638.25</v>
      </c>
      <c r="F568" s="2">
        <f>IFERROR(__xludf.DUMMYFUNCTION("""COMPUTED_VALUE"""),1.42232E7)</f>
        <v>14223200</v>
      </c>
      <c r="G568" s="2">
        <f t="shared" si="1"/>
        <v>27.75</v>
      </c>
    </row>
    <row r="569" ht="15.75" customHeight="1">
      <c r="A569" s="1">
        <f>IFERROR(__xludf.DUMMYFUNCTION("""COMPUTED_VALUE"""),44692.66666666667)</f>
        <v>44692.66667</v>
      </c>
      <c r="B569" s="2">
        <f>IFERROR(__xludf.DUMMYFUNCTION("""COMPUTED_VALUE"""),638.25)</f>
        <v>638.25</v>
      </c>
      <c r="C569" s="2">
        <f>IFERROR(__xludf.DUMMYFUNCTION("""COMPUTED_VALUE"""),647.5)</f>
        <v>647.5</v>
      </c>
      <c r="D569" s="2">
        <f>IFERROR(__xludf.DUMMYFUNCTION("""COMPUTED_VALUE"""),629.0)</f>
        <v>629</v>
      </c>
      <c r="E569" s="2">
        <f>IFERROR(__xludf.DUMMYFUNCTION("""COMPUTED_VALUE"""),642.88)</f>
        <v>642.88</v>
      </c>
      <c r="F569" s="2">
        <f>IFERROR(__xludf.DUMMYFUNCTION("""COMPUTED_VALUE"""),4696100.0)</f>
        <v>4696100</v>
      </c>
      <c r="G569" s="2">
        <f t="shared" si="1"/>
        <v>18.5</v>
      </c>
    </row>
    <row r="570" ht="15.75" customHeight="1">
      <c r="A570" s="1">
        <f>IFERROR(__xludf.DUMMYFUNCTION("""COMPUTED_VALUE"""),44693.66666666667)</f>
        <v>44693.66667</v>
      </c>
      <c r="B570" s="2">
        <f>IFERROR(__xludf.DUMMYFUNCTION("""COMPUTED_VALUE"""),642.88)</f>
        <v>642.88</v>
      </c>
      <c r="C570" s="2">
        <f>IFERROR(__xludf.DUMMYFUNCTION("""COMPUTED_VALUE"""),647.5)</f>
        <v>647.5</v>
      </c>
      <c r="D570" s="2">
        <f>IFERROR(__xludf.DUMMYFUNCTION("""COMPUTED_VALUE"""),624.38)</f>
        <v>624.38</v>
      </c>
      <c r="E570" s="2">
        <f>IFERROR(__xludf.DUMMYFUNCTION("""COMPUTED_VALUE"""),629.0)</f>
        <v>629</v>
      </c>
      <c r="F570" s="2">
        <f>IFERROR(__xludf.DUMMYFUNCTION("""COMPUTED_VALUE"""),5490700.0)</f>
        <v>5490700</v>
      </c>
      <c r="G570" s="2">
        <f t="shared" si="1"/>
        <v>23.12</v>
      </c>
    </row>
    <row r="571" ht="15.75" customHeight="1">
      <c r="A571" s="1">
        <f>IFERROR(__xludf.DUMMYFUNCTION("""COMPUTED_VALUE"""),44694.66666666667)</f>
        <v>44694.66667</v>
      </c>
      <c r="B571" s="2">
        <f>IFERROR(__xludf.DUMMYFUNCTION("""COMPUTED_VALUE"""),629.0)</f>
        <v>629</v>
      </c>
      <c r="C571" s="2">
        <f>IFERROR(__xludf.DUMMYFUNCTION("""COMPUTED_VALUE"""),633.63)</f>
        <v>633.63</v>
      </c>
      <c r="D571" s="2">
        <f>IFERROR(__xludf.DUMMYFUNCTION("""COMPUTED_VALUE"""),619.75)</f>
        <v>619.75</v>
      </c>
      <c r="E571" s="2">
        <f>IFERROR(__xludf.DUMMYFUNCTION("""COMPUTED_VALUE"""),633.63)</f>
        <v>633.63</v>
      </c>
      <c r="F571" s="2">
        <f>IFERROR(__xludf.DUMMYFUNCTION("""COMPUTED_VALUE"""),4573700.0)</f>
        <v>4573700</v>
      </c>
      <c r="G571" s="2">
        <f t="shared" si="1"/>
        <v>13.88</v>
      </c>
    </row>
    <row r="572" ht="15.75" customHeight="1">
      <c r="A572" s="1">
        <f>IFERROR(__xludf.DUMMYFUNCTION("""COMPUTED_VALUE"""),44698.66666666667)</f>
        <v>44698.66667</v>
      </c>
      <c r="B572" s="2">
        <f>IFERROR(__xludf.DUMMYFUNCTION("""COMPUTED_VALUE"""),633.63)</f>
        <v>633.63</v>
      </c>
      <c r="C572" s="2">
        <f>IFERROR(__xludf.DUMMYFUNCTION("""COMPUTED_VALUE"""),642.88)</f>
        <v>642.88</v>
      </c>
      <c r="D572" s="2">
        <f>IFERROR(__xludf.DUMMYFUNCTION("""COMPUTED_VALUE"""),629.0)</f>
        <v>629</v>
      </c>
      <c r="E572" s="2">
        <f>IFERROR(__xludf.DUMMYFUNCTION("""COMPUTED_VALUE"""),633.63)</f>
        <v>633.63</v>
      </c>
      <c r="F572" s="2">
        <f>IFERROR(__xludf.DUMMYFUNCTION("""COMPUTED_VALUE"""),3699200.0)</f>
        <v>3699200</v>
      </c>
      <c r="G572" s="2">
        <f t="shared" si="1"/>
        <v>13.88</v>
      </c>
    </row>
    <row r="573" ht="15.75" customHeight="1">
      <c r="A573" s="1">
        <f>IFERROR(__xludf.DUMMYFUNCTION("""COMPUTED_VALUE"""),44699.66666666667)</f>
        <v>44699.66667</v>
      </c>
      <c r="B573" s="2">
        <f>IFERROR(__xludf.DUMMYFUNCTION("""COMPUTED_VALUE"""),633.63)</f>
        <v>633.63</v>
      </c>
      <c r="C573" s="2">
        <f>IFERROR(__xludf.DUMMYFUNCTION("""COMPUTED_VALUE"""),642.88)</f>
        <v>642.88</v>
      </c>
      <c r="D573" s="2">
        <f>IFERROR(__xludf.DUMMYFUNCTION("""COMPUTED_VALUE"""),629.0)</f>
        <v>629</v>
      </c>
      <c r="E573" s="2">
        <f>IFERROR(__xludf.DUMMYFUNCTION("""COMPUTED_VALUE"""),629.0)</f>
        <v>629</v>
      </c>
      <c r="F573" s="2">
        <f>IFERROR(__xludf.DUMMYFUNCTION("""COMPUTED_VALUE"""),3783800.0)</f>
        <v>3783800</v>
      </c>
      <c r="G573" s="2">
        <f t="shared" si="1"/>
        <v>13.88</v>
      </c>
    </row>
    <row r="574" ht="15.75" customHeight="1">
      <c r="A574" s="1">
        <f>IFERROR(__xludf.DUMMYFUNCTION("""COMPUTED_VALUE"""),44700.66666666667)</f>
        <v>44700.66667</v>
      </c>
      <c r="B574" s="2">
        <f>IFERROR(__xludf.DUMMYFUNCTION("""COMPUTED_VALUE"""),629.0)</f>
        <v>629</v>
      </c>
      <c r="C574" s="2">
        <f>IFERROR(__xludf.DUMMYFUNCTION("""COMPUTED_VALUE"""),629.0)</f>
        <v>629</v>
      </c>
      <c r="D574" s="2">
        <f>IFERROR(__xludf.DUMMYFUNCTION("""COMPUTED_VALUE"""),619.75)</f>
        <v>619.75</v>
      </c>
      <c r="E574" s="2">
        <f>IFERROR(__xludf.DUMMYFUNCTION("""COMPUTED_VALUE"""),624.38)</f>
        <v>624.38</v>
      </c>
      <c r="F574" s="2">
        <f>IFERROR(__xludf.DUMMYFUNCTION("""COMPUTED_VALUE"""),3468200.0)</f>
        <v>3468200</v>
      </c>
      <c r="G574" s="2">
        <f t="shared" si="1"/>
        <v>9.25</v>
      </c>
    </row>
    <row r="575" ht="15.75" customHeight="1">
      <c r="A575" s="1">
        <f>IFERROR(__xludf.DUMMYFUNCTION("""COMPUTED_VALUE"""),44701.66666666667)</f>
        <v>44701.66667</v>
      </c>
      <c r="B575" s="2">
        <f>IFERROR(__xludf.DUMMYFUNCTION("""COMPUTED_VALUE"""),629.0)</f>
        <v>629</v>
      </c>
      <c r="C575" s="2">
        <f>IFERROR(__xludf.DUMMYFUNCTION("""COMPUTED_VALUE"""),629.0)</f>
        <v>629</v>
      </c>
      <c r="D575" s="2">
        <f>IFERROR(__xludf.DUMMYFUNCTION("""COMPUTED_VALUE"""),601.25)</f>
        <v>601.25</v>
      </c>
      <c r="E575" s="2">
        <f>IFERROR(__xludf.DUMMYFUNCTION("""COMPUTED_VALUE"""),619.75)</f>
        <v>619.75</v>
      </c>
      <c r="F575" s="2">
        <f>IFERROR(__xludf.DUMMYFUNCTION("""COMPUTED_VALUE"""),1.1276E7)</f>
        <v>11276000</v>
      </c>
      <c r="G575" s="2">
        <f t="shared" si="1"/>
        <v>27.75</v>
      </c>
    </row>
    <row r="576" ht="15.75" customHeight="1">
      <c r="A576" s="1">
        <f>IFERROR(__xludf.DUMMYFUNCTION("""COMPUTED_VALUE"""),44704.66666666667)</f>
        <v>44704.66667</v>
      </c>
      <c r="B576" s="2">
        <f>IFERROR(__xludf.DUMMYFUNCTION("""COMPUTED_VALUE"""),624.38)</f>
        <v>624.38</v>
      </c>
      <c r="C576" s="2">
        <f>IFERROR(__xludf.DUMMYFUNCTION("""COMPUTED_VALUE"""),624.38)</f>
        <v>624.38</v>
      </c>
      <c r="D576" s="2">
        <f>IFERROR(__xludf.DUMMYFUNCTION("""COMPUTED_VALUE"""),605.88)</f>
        <v>605.88</v>
      </c>
      <c r="E576" s="2">
        <f>IFERROR(__xludf.DUMMYFUNCTION("""COMPUTED_VALUE"""),605.88)</f>
        <v>605.88</v>
      </c>
      <c r="F576" s="2">
        <f>IFERROR(__xludf.DUMMYFUNCTION("""COMPUTED_VALUE"""),7778300.0)</f>
        <v>7778300</v>
      </c>
      <c r="G576" s="2">
        <f t="shared" si="1"/>
        <v>18.5</v>
      </c>
    </row>
    <row r="577" ht="15.75" customHeight="1">
      <c r="A577" s="1">
        <f>IFERROR(__xludf.DUMMYFUNCTION("""COMPUTED_VALUE"""),44705.66666666667)</f>
        <v>44705.66667</v>
      </c>
      <c r="B577" s="2">
        <f>IFERROR(__xludf.DUMMYFUNCTION("""COMPUTED_VALUE"""),610.5)</f>
        <v>610.5</v>
      </c>
      <c r="C577" s="2">
        <f>IFERROR(__xludf.DUMMYFUNCTION("""COMPUTED_VALUE"""),642.88)</f>
        <v>642.88</v>
      </c>
      <c r="D577" s="2">
        <f>IFERROR(__xludf.DUMMYFUNCTION("""COMPUTED_VALUE"""),610.5)</f>
        <v>610.5</v>
      </c>
      <c r="E577" s="2">
        <f>IFERROR(__xludf.DUMMYFUNCTION("""COMPUTED_VALUE"""),633.63)</f>
        <v>633.63</v>
      </c>
      <c r="F577" s="2">
        <f>IFERROR(__xludf.DUMMYFUNCTION("""COMPUTED_VALUE"""),1.45868E7)</f>
        <v>14586800</v>
      </c>
      <c r="G577" s="2">
        <f t="shared" si="1"/>
        <v>37</v>
      </c>
    </row>
    <row r="578" ht="15.75" customHeight="1">
      <c r="A578" s="1">
        <f>IFERROR(__xludf.DUMMYFUNCTION("""COMPUTED_VALUE"""),44706.66666666667)</f>
        <v>44706.66667</v>
      </c>
      <c r="B578" s="2">
        <f>IFERROR(__xludf.DUMMYFUNCTION("""COMPUTED_VALUE"""),642.88)</f>
        <v>642.88</v>
      </c>
      <c r="C578" s="2">
        <f>IFERROR(__xludf.DUMMYFUNCTION("""COMPUTED_VALUE"""),647.5)</f>
        <v>647.5</v>
      </c>
      <c r="D578" s="2">
        <f>IFERROR(__xludf.DUMMYFUNCTION("""COMPUTED_VALUE"""),629.0)</f>
        <v>629</v>
      </c>
      <c r="E578" s="2">
        <f>IFERROR(__xludf.DUMMYFUNCTION("""COMPUTED_VALUE"""),633.63)</f>
        <v>633.63</v>
      </c>
      <c r="F578" s="2">
        <f>IFERROR(__xludf.DUMMYFUNCTION("""COMPUTED_VALUE"""),9533100.0)</f>
        <v>9533100</v>
      </c>
      <c r="G578" s="2">
        <f t="shared" si="1"/>
        <v>18.5</v>
      </c>
    </row>
    <row r="579" ht="15.75" customHeight="1">
      <c r="A579" s="1">
        <f>IFERROR(__xludf.DUMMYFUNCTION("""COMPUTED_VALUE"""),44708.66666666667)</f>
        <v>44708.66667</v>
      </c>
      <c r="B579" s="2">
        <f>IFERROR(__xludf.DUMMYFUNCTION("""COMPUTED_VALUE"""),638.25)</f>
        <v>638.25</v>
      </c>
      <c r="C579" s="2">
        <f>IFERROR(__xludf.DUMMYFUNCTION("""COMPUTED_VALUE"""),661.38)</f>
        <v>661.38</v>
      </c>
      <c r="D579" s="2">
        <f>IFERROR(__xludf.DUMMYFUNCTION("""COMPUTED_VALUE"""),638.25)</f>
        <v>638.25</v>
      </c>
      <c r="E579" s="2">
        <f>IFERROR(__xludf.DUMMYFUNCTION("""COMPUTED_VALUE"""),661.38)</f>
        <v>661.38</v>
      </c>
      <c r="F579" s="2">
        <f>IFERROR(__xludf.DUMMYFUNCTION("""COMPUTED_VALUE"""),1.15023E7)</f>
        <v>11502300</v>
      </c>
      <c r="G579" s="2">
        <f t="shared" si="1"/>
        <v>27.75</v>
      </c>
    </row>
    <row r="580" ht="15.75" customHeight="1">
      <c r="A580" s="1">
        <f>IFERROR(__xludf.DUMMYFUNCTION("""COMPUTED_VALUE"""),44711.66666666667)</f>
        <v>44711.66667</v>
      </c>
      <c r="B580" s="2">
        <f>IFERROR(__xludf.DUMMYFUNCTION("""COMPUTED_VALUE"""),661.38)</f>
        <v>661.38</v>
      </c>
      <c r="C580" s="2">
        <f>IFERROR(__xludf.DUMMYFUNCTION("""COMPUTED_VALUE"""),679.88)</f>
        <v>679.88</v>
      </c>
      <c r="D580" s="2">
        <f>IFERROR(__xludf.DUMMYFUNCTION("""COMPUTED_VALUE"""),647.5)</f>
        <v>647.5</v>
      </c>
      <c r="E580" s="2">
        <f>IFERROR(__xludf.DUMMYFUNCTION("""COMPUTED_VALUE"""),675.25)</f>
        <v>675.25</v>
      </c>
      <c r="F580" s="2">
        <f>IFERROR(__xludf.DUMMYFUNCTION("""COMPUTED_VALUE"""),1.2505E7)</f>
        <v>12505000</v>
      </c>
      <c r="G580" s="2">
        <f t="shared" si="1"/>
        <v>32.38</v>
      </c>
    </row>
    <row r="581" ht="15.75" customHeight="1">
      <c r="A581" s="1">
        <f>IFERROR(__xludf.DUMMYFUNCTION("""COMPUTED_VALUE"""),44712.66666666667)</f>
        <v>44712.66667</v>
      </c>
      <c r="B581" s="2">
        <f>IFERROR(__xludf.DUMMYFUNCTION("""COMPUTED_VALUE"""),679.88)</f>
        <v>679.88</v>
      </c>
      <c r="C581" s="2">
        <f>IFERROR(__xludf.DUMMYFUNCTION("""COMPUTED_VALUE"""),684.5)</f>
        <v>684.5</v>
      </c>
      <c r="D581" s="2">
        <f>IFERROR(__xludf.DUMMYFUNCTION("""COMPUTED_VALUE"""),661.38)</f>
        <v>661.38</v>
      </c>
      <c r="E581" s="2">
        <f>IFERROR(__xludf.DUMMYFUNCTION("""COMPUTED_VALUE"""),670.63)</f>
        <v>670.63</v>
      </c>
      <c r="F581" s="2">
        <f>IFERROR(__xludf.DUMMYFUNCTION("""COMPUTED_VALUE"""),7041400.0)</f>
        <v>7041400</v>
      </c>
      <c r="G581" s="2">
        <f t="shared" si="1"/>
        <v>23.12</v>
      </c>
    </row>
    <row r="582" ht="15.75" customHeight="1">
      <c r="A582" s="1">
        <f>IFERROR(__xludf.DUMMYFUNCTION("""COMPUTED_VALUE"""),44714.66666666667)</f>
        <v>44714.66667</v>
      </c>
      <c r="B582" s="2">
        <f>IFERROR(__xludf.DUMMYFUNCTION("""COMPUTED_VALUE"""),670.63)</f>
        <v>670.63</v>
      </c>
      <c r="C582" s="2">
        <f>IFERROR(__xludf.DUMMYFUNCTION("""COMPUTED_VALUE"""),684.5)</f>
        <v>684.5</v>
      </c>
      <c r="D582" s="2">
        <f>IFERROR(__xludf.DUMMYFUNCTION("""COMPUTED_VALUE"""),661.38)</f>
        <v>661.38</v>
      </c>
      <c r="E582" s="2">
        <f>IFERROR(__xludf.DUMMYFUNCTION("""COMPUTED_VALUE"""),670.63)</f>
        <v>670.63</v>
      </c>
      <c r="F582" s="2">
        <f>IFERROR(__xludf.DUMMYFUNCTION("""COMPUTED_VALUE"""),9346300.0)</f>
        <v>9346300</v>
      </c>
      <c r="G582" s="2">
        <f t="shared" si="1"/>
        <v>23.12</v>
      </c>
    </row>
    <row r="583" ht="15.75" customHeight="1">
      <c r="A583" s="1">
        <f>IFERROR(__xludf.DUMMYFUNCTION("""COMPUTED_VALUE"""),44715.66666666667)</f>
        <v>44715.66667</v>
      </c>
      <c r="B583" s="2">
        <f>IFERROR(__xludf.DUMMYFUNCTION("""COMPUTED_VALUE"""),670.63)</f>
        <v>670.63</v>
      </c>
      <c r="C583" s="2">
        <f>IFERROR(__xludf.DUMMYFUNCTION("""COMPUTED_VALUE"""),684.5)</f>
        <v>684.5</v>
      </c>
      <c r="D583" s="2">
        <f>IFERROR(__xludf.DUMMYFUNCTION("""COMPUTED_VALUE"""),666.0)</f>
        <v>666</v>
      </c>
      <c r="E583" s="2">
        <f>IFERROR(__xludf.DUMMYFUNCTION("""COMPUTED_VALUE"""),675.25)</f>
        <v>675.25</v>
      </c>
      <c r="F583" s="2">
        <f>IFERROR(__xludf.DUMMYFUNCTION("""COMPUTED_VALUE"""),9879100.0)</f>
        <v>9879100</v>
      </c>
      <c r="G583" s="2">
        <f t="shared" si="1"/>
        <v>18.5</v>
      </c>
    </row>
    <row r="584" ht="15.75" customHeight="1">
      <c r="A584" s="1">
        <f>IFERROR(__xludf.DUMMYFUNCTION("""COMPUTED_VALUE"""),44718.66666666667)</f>
        <v>44718.66667</v>
      </c>
      <c r="B584" s="2">
        <f>IFERROR(__xludf.DUMMYFUNCTION("""COMPUTED_VALUE"""),675.25)</f>
        <v>675.25</v>
      </c>
      <c r="C584" s="2">
        <f>IFERROR(__xludf.DUMMYFUNCTION("""COMPUTED_VALUE"""),675.25)</f>
        <v>675.25</v>
      </c>
      <c r="D584" s="2">
        <f>IFERROR(__xludf.DUMMYFUNCTION("""COMPUTED_VALUE"""),661.38)</f>
        <v>661.38</v>
      </c>
      <c r="E584" s="2">
        <f>IFERROR(__xludf.DUMMYFUNCTION("""COMPUTED_VALUE"""),670.63)</f>
        <v>670.63</v>
      </c>
      <c r="F584" s="2">
        <f>IFERROR(__xludf.DUMMYFUNCTION("""COMPUTED_VALUE"""),7230900.0)</f>
        <v>7230900</v>
      </c>
      <c r="G584" s="2">
        <f t="shared" si="1"/>
        <v>13.87</v>
      </c>
    </row>
    <row r="585" ht="15.75" customHeight="1">
      <c r="A585" s="1">
        <f>IFERROR(__xludf.DUMMYFUNCTION("""COMPUTED_VALUE"""),44719.66666666667)</f>
        <v>44719.66667</v>
      </c>
      <c r="B585" s="2">
        <f>IFERROR(__xludf.DUMMYFUNCTION("""COMPUTED_VALUE"""),675.25)</f>
        <v>675.25</v>
      </c>
      <c r="C585" s="2">
        <f>IFERROR(__xludf.DUMMYFUNCTION("""COMPUTED_VALUE"""),675.25)</f>
        <v>675.25</v>
      </c>
      <c r="D585" s="2">
        <f>IFERROR(__xludf.DUMMYFUNCTION("""COMPUTED_VALUE"""),666.0)</f>
        <v>666</v>
      </c>
      <c r="E585" s="2">
        <f>IFERROR(__xludf.DUMMYFUNCTION("""COMPUTED_VALUE"""),666.0)</f>
        <v>666</v>
      </c>
      <c r="F585" s="2">
        <f>IFERROR(__xludf.DUMMYFUNCTION("""COMPUTED_VALUE"""),4464000.0)</f>
        <v>4464000</v>
      </c>
      <c r="G585" s="2">
        <f t="shared" si="1"/>
        <v>9.25</v>
      </c>
    </row>
    <row r="586" ht="15.75" customHeight="1">
      <c r="A586" s="1">
        <f>IFERROR(__xludf.DUMMYFUNCTION("""COMPUTED_VALUE"""),44720.66666666667)</f>
        <v>44720.66667</v>
      </c>
      <c r="B586" s="2">
        <f>IFERROR(__xludf.DUMMYFUNCTION("""COMPUTED_VALUE"""),666.0)</f>
        <v>666</v>
      </c>
      <c r="C586" s="2">
        <f>IFERROR(__xludf.DUMMYFUNCTION("""COMPUTED_VALUE"""),716.88)</f>
        <v>716.88</v>
      </c>
      <c r="D586" s="2">
        <f>IFERROR(__xludf.DUMMYFUNCTION("""COMPUTED_VALUE"""),666.0)</f>
        <v>666</v>
      </c>
      <c r="E586" s="2">
        <f>IFERROR(__xludf.DUMMYFUNCTION("""COMPUTED_VALUE"""),716.88)</f>
        <v>716.88</v>
      </c>
      <c r="F586" s="2">
        <f>IFERROR(__xludf.DUMMYFUNCTION("""COMPUTED_VALUE"""),4.49607E7)</f>
        <v>44960700</v>
      </c>
      <c r="G586" s="2">
        <f t="shared" si="1"/>
        <v>50.88</v>
      </c>
    </row>
    <row r="587" ht="15.75" customHeight="1">
      <c r="A587" s="1">
        <f>IFERROR(__xludf.DUMMYFUNCTION("""COMPUTED_VALUE"""),44721.66666666667)</f>
        <v>44721.66667</v>
      </c>
      <c r="B587" s="2">
        <f>IFERROR(__xludf.DUMMYFUNCTION("""COMPUTED_VALUE"""),716.88)</f>
        <v>716.88</v>
      </c>
      <c r="C587" s="2">
        <f>IFERROR(__xludf.DUMMYFUNCTION("""COMPUTED_VALUE"""),730.75)</f>
        <v>730.75</v>
      </c>
      <c r="D587" s="2">
        <f>IFERROR(__xludf.DUMMYFUNCTION("""COMPUTED_VALUE"""),707.63)</f>
        <v>707.63</v>
      </c>
      <c r="E587" s="2">
        <f>IFERROR(__xludf.DUMMYFUNCTION("""COMPUTED_VALUE"""),712.25)</f>
        <v>712.25</v>
      </c>
      <c r="F587" s="2">
        <f>IFERROR(__xludf.DUMMYFUNCTION("""COMPUTED_VALUE"""),2.15951E7)</f>
        <v>21595100</v>
      </c>
      <c r="G587" s="2">
        <f t="shared" si="1"/>
        <v>23.12</v>
      </c>
    </row>
    <row r="588" ht="15.75" customHeight="1">
      <c r="A588" s="1">
        <f>IFERROR(__xludf.DUMMYFUNCTION("""COMPUTED_VALUE"""),44722.66666666667)</f>
        <v>44722.66667</v>
      </c>
      <c r="B588" s="2">
        <f>IFERROR(__xludf.DUMMYFUNCTION("""COMPUTED_VALUE"""),712.25)</f>
        <v>712.25</v>
      </c>
      <c r="C588" s="2">
        <f>IFERROR(__xludf.DUMMYFUNCTION("""COMPUTED_VALUE"""),716.88)</f>
        <v>716.88</v>
      </c>
      <c r="D588" s="2">
        <f>IFERROR(__xludf.DUMMYFUNCTION("""COMPUTED_VALUE"""),693.75)</f>
        <v>693.75</v>
      </c>
      <c r="E588" s="2">
        <f>IFERROR(__xludf.DUMMYFUNCTION("""COMPUTED_VALUE"""),698.38)</f>
        <v>698.38</v>
      </c>
      <c r="F588" s="2">
        <f>IFERROR(__xludf.DUMMYFUNCTION("""COMPUTED_VALUE"""),7959900.0)</f>
        <v>7959900</v>
      </c>
      <c r="G588" s="2">
        <f t="shared" si="1"/>
        <v>23.13</v>
      </c>
    </row>
    <row r="589" ht="15.75" customHeight="1">
      <c r="A589" s="1">
        <f>IFERROR(__xludf.DUMMYFUNCTION("""COMPUTED_VALUE"""),44725.66666666667)</f>
        <v>44725.66667</v>
      </c>
      <c r="B589" s="2">
        <f>IFERROR(__xludf.DUMMYFUNCTION("""COMPUTED_VALUE"""),693.75)</f>
        <v>693.75</v>
      </c>
      <c r="C589" s="2">
        <f>IFERROR(__xludf.DUMMYFUNCTION("""COMPUTED_VALUE"""),698.38)</f>
        <v>698.38</v>
      </c>
      <c r="D589" s="2">
        <f>IFERROR(__xludf.DUMMYFUNCTION("""COMPUTED_VALUE"""),652.13)</f>
        <v>652.13</v>
      </c>
      <c r="E589" s="2">
        <f>IFERROR(__xludf.DUMMYFUNCTION("""COMPUTED_VALUE"""),656.75)</f>
        <v>656.75</v>
      </c>
      <c r="F589" s="2">
        <f>IFERROR(__xludf.DUMMYFUNCTION("""COMPUTED_VALUE"""),1.86268E7)</f>
        <v>18626800</v>
      </c>
      <c r="G589" s="2">
        <f t="shared" si="1"/>
        <v>46.25</v>
      </c>
    </row>
    <row r="590" ht="15.75" customHeight="1">
      <c r="A590" s="1">
        <f>IFERROR(__xludf.DUMMYFUNCTION("""COMPUTED_VALUE"""),44726.66666666667)</f>
        <v>44726.66667</v>
      </c>
      <c r="B590" s="2">
        <f>IFERROR(__xludf.DUMMYFUNCTION("""COMPUTED_VALUE"""),656.75)</f>
        <v>656.75</v>
      </c>
      <c r="C590" s="2">
        <f>IFERROR(__xludf.DUMMYFUNCTION("""COMPUTED_VALUE"""),661.38)</f>
        <v>661.38</v>
      </c>
      <c r="D590" s="2">
        <f>IFERROR(__xludf.DUMMYFUNCTION("""COMPUTED_VALUE"""),638.25)</f>
        <v>638.25</v>
      </c>
      <c r="E590" s="2">
        <f>IFERROR(__xludf.DUMMYFUNCTION("""COMPUTED_VALUE"""),656.75)</f>
        <v>656.75</v>
      </c>
      <c r="F590" s="2">
        <f>IFERROR(__xludf.DUMMYFUNCTION("""COMPUTED_VALUE"""),9886300.0)</f>
        <v>9886300</v>
      </c>
      <c r="G590" s="2">
        <f t="shared" si="1"/>
        <v>23.13</v>
      </c>
    </row>
    <row r="591" ht="15.75" customHeight="1">
      <c r="A591" s="1">
        <f>IFERROR(__xludf.DUMMYFUNCTION("""COMPUTED_VALUE"""),44727.66666666667)</f>
        <v>44727.66667</v>
      </c>
      <c r="B591" s="2">
        <f>IFERROR(__xludf.DUMMYFUNCTION("""COMPUTED_VALUE"""),656.75)</f>
        <v>656.75</v>
      </c>
      <c r="C591" s="2">
        <f>IFERROR(__xludf.DUMMYFUNCTION("""COMPUTED_VALUE"""),666.0)</f>
        <v>666</v>
      </c>
      <c r="D591" s="2">
        <f>IFERROR(__xludf.DUMMYFUNCTION("""COMPUTED_VALUE"""),642.88)</f>
        <v>642.88</v>
      </c>
      <c r="E591" s="2">
        <f>IFERROR(__xludf.DUMMYFUNCTION("""COMPUTED_VALUE"""),656.75)</f>
        <v>656.75</v>
      </c>
      <c r="F591" s="2">
        <f>IFERROR(__xludf.DUMMYFUNCTION("""COMPUTED_VALUE"""),1.17292E7)</f>
        <v>11729200</v>
      </c>
      <c r="G591" s="2">
        <f t="shared" si="1"/>
        <v>23.12</v>
      </c>
    </row>
    <row r="592" ht="15.75" customHeight="1">
      <c r="A592" s="1">
        <f>IFERROR(__xludf.DUMMYFUNCTION("""COMPUTED_VALUE"""),44728.66666666667)</f>
        <v>44728.66667</v>
      </c>
      <c r="B592" s="2">
        <f>IFERROR(__xludf.DUMMYFUNCTION("""COMPUTED_VALUE"""),656.75)</f>
        <v>656.75</v>
      </c>
      <c r="C592" s="2">
        <f>IFERROR(__xludf.DUMMYFUNCTION("""COMPUTED_VALUE"""),693.75)</f>
        <v>693.75</v>
      </c>
      <c r="D592" s="2">
        <f>IFERROR(__xludf.DUMMYFUNCTION("""COMPUTED_VALUE"""),656.75)</f>
        <v>656.75</v>
      </c>
      <c r="E592" s="2">
        <f>IFERROR(__xludf.DUMMYFUNCTION("""COMPUTED_VALUE"""),679.88)</f>
        <v>679.88</v>
      </c>
      <c r="F592" s="2">
        <f>IFERROR(__xludf.DUMMYFUNCTION("""COMPUTED_VALUE"""),1.20163E7)</f>
        <v>12016300</v>
      </c>
      <c r="G592" s="2">
        <f t="shared" si="1"/>
        <v>37</v>
      </c>
    </row>
    <row r="593" ht="15.75" customHeight="1">
      <c r="A593" s="1">
        <f>IFERROR(__xludf.DUMMYFUNCTION("""COMPUTED_VALUE"""),44729.66666666667)</f>
        <v>44729.66667</v>
      </c>
      <c r="B593" s="2">
        <f>IFERROR(__xludf.DUMMYFUNCTION("""COMPUTED_VALUE"""),679.88)</f>
        <v>679.88</v>
      </c>
      <c r="C593" s="2">
        <f>IFERROR(__xludf.DUMMYFUNCTION("""COMPUTED_VALUE"""),679.88)</f>
        <v>679.88</v>
      </c>
      <c r="D593" s="2">
        <f>IFERROR(__xludf.DUMMYFUNCTION("""COMPUTED_VALUE"""),661.38)</f>
        <v>661.38</v>
      </c>
      <c r="E593" s="2">
        <f>IFERROR(__xludf.DUMMYFUNCTION("""COMPUTED_VALUE"""),670.63)</f>
        <v>670.63</v>
      </c>
      <c r="F593" s="2">
        <f>IFERROR(__xludf.DUMMYFUNCTION("""COMPUTED_VALUE"""),4537900.0)</f>
        <v>4537900</v>
      </c>
      <c r="G593" s="2">
        <f t="shared" si="1"/>
        <v>18.5</v>
      </c>
    </row>
    <row r="594" ht="15.75" customHeight="1">
      <c r="A594" s="1">
        <f>IFERROR(__xludf.DUMMYFUNCTION("""COMPUTED_VALUE"""),44732.66666666667)</f>
        <v>44732.66667</v>
      </c>
      <c r="B594" s="2">
        <f>IFERROR(__xludf.DUMMYFUNCTION("""COMPUTED_VALUE"""),670.63)</f>
        <v>670.63</v>
      </c>
      <c r="C594" s="2">
        <f>IFERROR(__xludf.DUMMYFUNCTION("""COMPUTED_VALUE"""),684.5)</f>
        <v>684.5</v>
      </c>
      <c r="D594" s="2">
        <f>IFERROR(__xludf.DUMMYFUNCTION("""COMPUTED_VALUE"""),666.0)</f>
        <v>666</v>
      </c>
      <c r="E594" s="2">
        <f>IFERROR(__xludf.DUMMYFUNCTION("""COMPUTED_VALUE"""),679.88)</f>
        <v>679.88</v>
      </c>
      <c r="F594" s="2">
        <f>IFERROR(__xludf.DUMMYFUNCTION("""COMPUTED_VALUE"""),6506700.0)</f>
        <v>6506700</v>
      </c>
      <c r="G594" s="2">
        <f t="shared" si="1"/>
        <v>18.5</v>
      </c>
    </row>
    <row r="595" ht="15.75" customHeight="1">
      <c r="A595" s="1">
        <f>IFERROR(__xludf.DUMMYFUNCTION("""COMPUTED_VALUE"""),44733.66666666667)</f>
        <v>44733.66667</v>
      </c>
      <c r="B595" s="2">
        <f>IFERROR(__xludf.DUMMYFUNCTION("""COMPUTED_VALUE"""),684.5)</f>
        <v>684.5</v>
      </c>
      <c r="C595" s="2">
        <f>IFERROR(__xludf.DUMMYFUNCTION("""COMPUTED_VALUE"""),703.0)</f>
        <v>703</v>
      </c>
      <c r="D595" s="2">
        <f>IFERROR(__xludf.DUMMYFUNCTION("""COMPUTED_VALUE"""),679.88)</f>
        <v>679.88</v>
      </c>
      <c r="E595" s="2">
        <f>IFERROR(__xludf.DUMMYFUNCTION("""COMPUTED_VALUE"""),679.88)</f>
        <v>679.88</v>
      </c>
      <c r="F595" s="2">
        <f>IFERROR(__xludf.DUMMYFUNCTION("""COMPUTED_VALUE"""),5034200.0)</f>
        <v>5034200</v>
      </c>
      <c r="G595" s="2">
        <f t="shared" si="1"/>
        <v>23.12</v>
      </c>
    </row>
    <row r="596" ht="15.75" customHeight="1">
      <c r="A596" s="1">
        <f>IFERROR(__xludf.DUMMYFUNCTION("""COMPUTED_VALUE"""),44734.66666666667)</f>
        <v>44734.66667</v>
      </c>
      <c r="B596" s="2">
        <f>IFERROR(__xludf.DUMMYFUNCTION("""COMPUTED_VALUE"""),684.5)</f>
        <v>684.5</v>
      </c>
      <c r="C596" s="2">
        <f>IFERROR(__xludf.DUMMYFUNCTION("""COMPUTED_VALUE"""),684.5)</f>
        <v>684.5</v>
      </c>
      <c r="D596" s="2">
        <f>IFERROR(__xludf.DUMMYFUNCTION("""COMPUTED_VALUE"""),666.0)</f>
        <v>666</v>
      </c>
      <c r="E596" s="2">
        <f>IFERROR(__xludf.DUMMYFUNCTION("""COMPUTED_VALUE"""),675.25)</f>
        <v>675.25</v>
      </c>
      <c r="F596" s="2">
        <f>IFERROR(__xludf.DUMMYFUNCTION("""COMPUTED_VALUE"""),5505900.0)</f>
        <v>5505900</v>
      </c>
      <c r="G596" s="2">
        <f t="shared" si="1"/>
        <v>18.5</v>
      </c>
    </row>
    <row r="597" ht="15.75" customHeight="1">
      <c r="A597" s="1">
        <f>IFERROR(__xludf.DUMMYFUNCTION("""COMPUTED_VALUE"""),44735.66666666667)</f>
        <v>44735.66667</v>
      </c>
      <c r="B597" s="2">
        <f>IFERROR(__xludf.DUMMYFUNCTION("""COMPUTED_VALUE"""),675.25)</f>
        <v>675.25</v>
      </c>
      <c r="C597" s="2">
        <f>IFERROR(__xludf.DUMMYFUNCTION("""COMPUTED_VALUE"""),740.0)</f>
        <v>740</v>
      </c>
      <c r="D597" s="2">
        <f>IFERROR(__xludf.DUMMYFUNCTION("""COMPUTED_VALUE"""),670.63)</f>
        <v>670.63</v>
      </c>
      <c r="E597" s="2">
        <f>IFERROR(__xludf.DUMMYFUNCTION("""COMPUTED_VALUE"""),730.75)</f>
        <v>730.75</v>
      </c>
      <c r="F597" s="2">
        <f>IFERROR(__xludf.DUMMYFUNCTION("""COMPUTED_VALUE"""),3.60247E7)</f>
        <v>36024700</v>
      </c>
      <c r="G597" s="2">
        <f t="shared" si="1"/>
        <v>69.37</v>
      </c>
    </row>
    <row r="598" ht="15.75" customHeight="1">
      <c r="A598" s="1">
        <f>IFERROR(__xludf.DUMMYFUNCTION("""COMPUTED_VALUE"""),44736.66666666667)</f>
        <v>44736.66667</v>
      </c>
      <c r="B598" s="2">
        <f>IFERROR(__xludf.DUMMYFUNCTION("""COMPUTED_VALUE"""),735.38)</f>
        <v>735.38</v>
      </c>
      <c r="C598" s="2">
        <f>IFERROR(__xludf.DUMMYFUNCTION("""COMPUTED_VALUE"""),772.38)</f>
        <v>772.38</v>
      </c>
      <c r="D598" s="2">
        <f>IFERROR(__xludf.DUMMYFUNCTION("""COMPUTED_VALUE"""),730.75)</f>
        <v>730.75</v>
      </c>
      <c r="E598" s="2">
        <f>IFERROR(__xludf.DUMMYFUNCTION("""COMPUTED_VALUE"""),753.88)</f>
        <v>753.88</v>
      </c>
      <c r="F598" s="2">
        <f>IFERROR(__xludf.DUMMYFUNCTION("""COMPUTED_VALUE"""),5.15366E7)</f>
        <v>51536600</v>
      </c>
      <c r="G598" s="2">
        <f t="shared" si="1"/>
        <v>41.63</v>
      </c>
    </row>
    <row r="599" ht="15.75" customHeight="1">
      <c r="A599" s="1">
        <f>IFERROR(__xludf.DUMMYFUNCTION("""COMPUTED_VALUE"""),44739.66666666667)</f>
        <v>44739.66667</v>
      </c>
      <c r="B599" s="2">
        <f>IFERROR(__xludf.DUMMYFUNCTION("""COMPUTED_VALUE"""),758.5)</f>
        <v>758.5</v>
      </c>
      <c r="C599" s="2">
        <f>IFERROR(__xludf.DUMMYFUNCTION("""COMPUTED_VALUE"""),767.75)</f>
        <v>767.75</v>
      </c>
      <c r="D599" s="2">
        <f>IFERROR(__xludf.DUMMYFUNCTION("""COMPUTED_VALUE"""),730.75)</f>
        <v>730.75</v>
      </c>
      <c r="E599" s="2">
        <f>IFERROR(__xludf.DUMMYFUNCTION("""COMPUTED_VALUE"""),744.63)</f>
        <v>744.63</v>
      </c>
      <c r="F599" s="2">
        <f>IFERROR(__xludf.DUMMYFUNCTION("""COMPUTED_VALUE"""),2.15248E7)</f>
        <v>21524800</v>
      </c>
      <c r="G599" s="2">
        <f t="shared" si="1"/>
        <v>37</v>
      </c>
    </row>
    <row r="600" ht="15.75" customHeight="1">
      <c r="A600" s="1">
        <f>IFERROR(__xludf.DUMMYFUNCTION("""COMPUTED_VALUE"""),44740.66666666667)</f>
        <v>44740.66667</v>
      </c>
      <c r="B600" s="2">
        <f>IFERROR(__xludf.DUMMYFUNCTION("""COMPUTED_VALUE"""),744.63)</f>
        <v>744.63</v>
      </c>
      <c r="C600" s="2">
        <f>IFERROR(__xludf.DUMMYFUNCTION("""COMPUTED_VALUE"""),777.0)</f>
        <v>777</v>
      </c>
      <c r="D600" s="2">
        <f>IFERROR(__xludf.DUMMYFUNCTION("""COMPUTED_VALUE"""),735.38)</f>
        <v>735.38</v>
      </c>
      <c r="E600" s="2">
        <f>IFERROR(__xludf.DUMMYFUNCTION("""COMPUTED_VALUE"""),758.5)</f>
        <v>758.5</v>
      </c>
      <c r="F600" s="2">
        <f>IFERROR(__xludf.DUMMYFUNCTION("""COMPUTED_VALUE"""),3.36175E7)</f>
        <v>33617500</v>
      </c>
      <c r="G600" s="2">
        <f t="shared" si="1"/>
        <v>41.62</v>
      </c>
    </row>
    <row r="601" ht="15.75" customHeight="1">
      <c r="A601" s="1">
        <f>IFERROR(__xludf.DUMMYFUNCTION("""COMPUTED_VALUE"""),44741.66666666667)</f>
        <v>44741.66667</v>
      </c>
      <c r="B601" s="2">
        <f>IFERROR(__xludf.DUMMYFUNCTION("""COMPUTED_VALUE"""),758.5)</f>
        <v>758.5</v>
      </c>
      <c r="C601" s="2">
        <f>IFERROR(__xludf.DUMMYFUNCTION("""COMPUTED_VALUE"""),767.75)</f>
        <v>767.75</v>
      </c>
      <c r="D601" s="2">
        <f>IFERROR(__xludf.DUMMYFUNCTION("""COMPUTED_VALUE"""),740.0)</f>
        <v>740</v>
      </c>
      <c r="E601" s="2">
        <f>IFERROR(__xludf.DUMMYFUNCTION("""COMPUTED_VALUE"""),740.0)</f>
        <v>740</v>
      </c>
      <c r="F601" s="2">
        <f>IFERROR(__xludf.DUMMYFUNCTION("""COMPUTED_VALUE"""),2.21858E7)</f>
        <v>22185800</v>
      </c>
      <c r="G601" s="2">
        <f t="shared" si="1"/>
        <v>27.75</v>
      </c>
    </row>
    <row r="602" ht="15.75" customHeight="1">
      <c r="A602" s="1">
        <f>IFERROR(__xludf.DUMMYFUNCTION("""COMPUTED_VALUE"""),44742.66666666667)</f>
        <v>44742.66667</v>
      </c>
      <c r="B602" s="2">
        <f>IFERROR(__xludf.DUMMYFUNCTION("""COMPUTED_VALUE"""),740.0)</f>
        <v>740</v>
      </c>
      <c r="C602" s="2">
        <f>IFERROR(__xludf.DUMMYFUNCTION("""COMPUTED_VALUE"""),753.88)</f>
        <v>753.88</v>
      </c>
      <c r="D602" s="2">
        <f>IFERROR(__xludf.DUMMYFUNCTION("""COMPUTED_VALUE"""),712.25)</f>
        <v>712.25</v>
      </c>
      <c r="E602" s="2">
        <f>IFERROR(__xludf.DUMMYFUNCTION("""COMPUTED_VALUE"""),712.25)</f>
        <v>712.25</v>
      </c>
      <c r="F602" s="2">
        <f>IFERROR(__xludf.DUMMYFUNCTION("""COMPUTED_VALUE"""),1.61911E7)</f>
        <v>16191100</v>
      </c>
      <c r="G602" s="2">
        <f t="shared" si="1"/>
        <v>41.63</v>
      </c>
    </row>
    <row r="603" ht="15.75" customHeight="1">
      <c r="A603" s="1">
        <f>IFERROR(__xludf.DUMMYFUNCTION("""COMPUTED_VALUE"""),44743.66666666667)</f>
        <v>44743.66667</v>
      </c>
      <c r="B603" s="2">
        <f>IFERROR(__xludf.DUMMYFUNCTION("""COMPUTED_VALUE"""),712.25)</f>
        <v>712.25</v>
      </c>
      <c r="C603" s="2">
        <f>IFERROR(__xludf.DUMMYFUNCTION("""COMPUTED_VALUE"""),716.88)</f>
        <v>716.88</v>
      </c>
      <c r="D603" s="2">
        <f>IFERROR(__xludf.DUMMYFUNCTION("""COMPUTED_VALUE"""),675.25)</f>
        <v>675.25</v>
      </c>
      <c r="E603" s="2">
        <f>IFERROR(__xludf.DUMMYFUNCTION("""COMPUTED_VALUE"""),698.38)</f>
        <v>698.38</v>
      </c>
      <c r="F603" s="2">
        <f>IFERROR(__xludf.DUMMYFUNCTION("""COMPUTED_VALUE"""),2.35207E7)</f>
        <v>23520700</v>
      </c>
      <c r="G603" s="2">
        <f t="shared" si="1"/>
        <v>41.63</v>
      </c>
    </row>
    <row r="604" ht="15.75" customHeight="1">
      <c r="A604" s="1">
        <f>IFERROR(__xludf.DUMMYFUNCTION("""COMPUTED_VALUE"""),44746.66666666667)</f>
        <v>44746.66667</v>
      </c>
      <c r="B604" s="2">
        <f>IFERROR(__xludf.DUMMYFUNCTION("""COMPUTED_VALUE"""),707.63)</f>
        <v>707.63</v>
      </c>
      <c r="C604" s="2">
        <f>IFERROR(__xludf.DUMMYFUNCTION("""COMPUTED_VALUE"""),707.63)</f>
        <v>707.63</v>
      </c>
      <c r="D604" s="2">
        <f>IFERROR(__xludf.DUMMYFUNCTION("""COMPUTED_VALUE"""),652.13)</f>
        <v>652.13</v>
      </c>
      <c r="E604" s="2">
        <f>IFERROR(__xludf.DUMMYFUNCTION("""COMPUTED_VALUE"""),656.75)</f>
        <v>656.75</v>
      </c>
      <c r="F604" s="2">
        <f>IFERROR(__xludf.DUMMYFUNCTION("""COMPUTED_VALUE"""),2.63545E7)</f>
        <v>26354500</v>
      </c>
      <c r="G604" s="2">
        <f t="shared" si="1"/>
        <v>55.5</v>
      </c>
    </row>
    <row r="605" ht="15.75" customHeight="1">
      <c r="A605" s="1">
        <f>IFERROR(__xludf.DUMMYFUNCTION("""COMPUTED_VALUE"""),44747.66666666667)</f>
        <v>44747.66667</v>
      </c>
      <c r="B605" s="2">
        <f>IFERROR(__xludf.DUMMYFUNCTION("""COMPUTED_VALUE"""),656.75)</f>
        <v>656.75</v>
      </c>
      <c r="C605" s="2">
        <f>IFERROR(__xludf.DUMMYFUNCTION("""COMPUTED_VALUE"""),675.25)</f>
        <v>675.25</v>
      </c>
      <c r="D605" s="2">
        <f>IFERROR(__xludf.DUMMYFUNCTION("""COMPUTED_VALUE"""),652.13)</f>
        <v>652.13</v>
      </c>
      <c r="E605" s="2">
        <f>IFERROR(__xludf.DUMMYFUNCTION("""COMPUTED_VALUE"""),661.38)</f>
        <v>661.38</v>
      </c>
      <c r="F605" s="2">
        <f>IFERROR(__xludf.DUMMYFUNCTION("""COMPUTED_VALUE"""),1.05164E7)</f>
        <v>10516400</v>
      </c>
      <c r="G605" s="2">
        <f t="shared" si="1"/>
        <v>23.12</v>
      </c>
    </row>
    <row r="606" ht="15.75" customHeight="1">
      <c r="A606" s="1">
        <f>IFERROR(__xludf.DUMMYFUNCTION("""COMPUTED_VALUE"""),44748.66666666667)</f>
        <v>44748.66667</v>
      </c>
      <c r="B606" s="2">
        <f>IFERROR(__xludf.DUMMYFUNCTION("""COMPUTED_VALUE"""),661.38)</f>
        <v>661.38</v>
      </c>
      <c r="C606" s="2">
        <f>IFERROR(__xludf.DUMMYFUNCTION("""COMPUTED_VALUE"""),666.0)</f>
        <v>666</v>
      </c>
      <c r="D606" s="2">
        <f>IFERROR(__xludf.DUMMYFUNCTION("""COMPUTED_VALUE"""),642.88)</f>
        <v>642.88</v>
      </c>
      <c r="E606" s="2">
        <f>IFERROR(__xludf.DUMMYFUNCTION("""COMPUTED_VALUE"""),652.13)</f>
        <v>652.13</v>
      </c>
      <c r="F606" s="2">
        <f>IFERROR(__xludf.DUMMYFUNCTION("""COMPUTED_VALUE"""),9543000.0)</f>
        <v>9543000</v>
      </c>
      <c r="G606" s="2">
        <f t="shared" si="1"/>
        <v>23.12</v>
      </c>
    </row>
    <row r="607" ht="15.75" customHeight="1">
      <c r="A607" s="1">
        <f>IFERROR(__xludf.DUMMYFUNCTION("""COMPUTED_VALUE"""),44749.66666666667)</f>
        <v>44749.66667</v>
      </c>
      <c r="B607" s="2">
        <f>IFERROR(__xludf.DUMMYFUNCTION("""COMPUTED_VALUE"""),652.13)</f>
        <v>652.13</v>
      </c>
      <c r="C607" s="2">
        <f>IFERROR(__xludf.DUMMYFUNCTION("""COMPUTED_VALUE"""),670.63)</f>
        <v>670.63</v>
      </c>
      <c r="D607" s="2">
        <f>IFERROR(__xludf.DUMMYFUNCTION("""COMPUTED_VALUE"""),652.13)</f>
        <v>652.13</v>
      </c>
      <c r="E607" s="2">
        <f>IFERROR(__xludf.DUMMYFUNCTION("""COMPUTED_VALUE"""),666.0)</f>
        <v>666</v>
      </c>
      <c r="F607" s="2">
        <f>IFERROR(__xludf.DUMMYFUNCTION("""COMPUTED_VALUE"""),3861300.0)</f>
        <v>3861300</v>
      </c>
      <c r="G607" s="2">
        <f t="shared" si="1"/>
        <v>18.5</v>
      </c>
    </row>
    <row r="608" ht="15.75" customHeight="1">
      <c r="A608" s="1">
        <f>IFERROR(__xludf.DUMMYFUNCTION("""COMPUTED_VALUE"""),44750.66666666667)</f>
        <v>44750.66667</v>
      </c>
      <c r="B608" s="2">
        <f>IFERROR(__xludf.DUMMYFUNCTION("""COMPUTED_VALUE"""),666.0)</f>
        <v>666</v>
      </c>
      <c r="C608" s="2">
        <f>IFERROR(__xludf.DUMMYFUNCTION("""COMPUTED_VALUE"""),670.63)</f>
        <v>670.63</v>
      </c>
      <c r="D608" s="2">
        <f>IFERROR(__xludf.DUMMYFUNCTION("""COMPUTED_VALUE"""),656.75)</f>
        <v>656.75</v>
      </c>
      <c r="E608" s="2">
        <f>IFERROR(__xludf.DUMMYFUNCTION("""COMPUTED_VALUE"""),661.38)</f>
        <v>661.38</v>
      </c>
      <c r="F608" s="2">
        <f>IFERROR(__xludf.DUMMYFUNCTION("""COMPUTED_VALUE"""),3635500.0)</f>
        <v>3635500</v>
      </c>
      <c r="G608" s="2">
        <f t="shared" si="1"/>
        <v>13.88</v>
      </c>
    </row>
    <row r="609" ht="15.75" customHeight="1">
      <c r="A609" s="1">
        <f>IFERROR(__xludf.DUMMYFUNCTION("""COMPUTED_VALUE"""),44753.66666666667)</f>
        <v>44753.66667</v>
      </c>
      <c r="B609" s="2">
        <f>IFERROR(__xludf.DUMMYFUNCTION("""COMPUTED_VALUE"""),661.38)</f>
        <v>661.38</v>
      </c>
      <c r="C609" s="2">
        <f>IFERROR(__xludf.DUMMYFUNCTION("""COMPUTED_VALUE"""),670.63)</f>
        <v>670.63</v>
      </c>
      <c r="D609" s="2">
        <f>IFERROR(__xludf.DUMMYFUNCTION("""COMPUTED_VALUE"""),652.13)</f>
        <v>652.13</v>
      </c>
      <c r="E609" s="2">
        <f>IFERROR(__xludf.DUMMYFUNCTION("""COMPUTED_VALUE"""),656.75)</f>
        <v>656.75</v>
      </c>
      <c r="F609" s="2">
        <f>IFERROR(__xludf.DUMMYFUNCTION("""COMPUTED_VALUE"""),2606800.0)</f>
        <v>2606800</v>
      </c>
      <c r="G609" s="2">
        <f t="shared" si="1"/>
        <v>18.5</v>
      </c>
    </row>
    <row r="610" ht="15.75" customHeight="1">
      <c r="A610" s="1">
        <f>IFERROR(__xludf.DUMMYFUNCTION("""COMPUTED_VALUE"""),44754.66666666667)</f>
        <v>44754.66667</v>
      </c>
      <c r="B610" s="2">
        <f>IFERROR(__xludf.DUMMYFUNCTION("""COMPUTED_VALUE"""),656.75)</f>
        <v>656.75</v>
      </c>
      <c r="C610" s="2">
        <f>IFERROR(__xludf.DUMMYFUNCTION("""COMPUTED_VALUE"""),666.0)</f>
        <v>666</v>
      </c>
      <c r="D610" s="2">
        <f>IFERROR(__xludf.DUMMYFUNCTION("""COMPUTED_VALUE"""),656.75)</f>
        <v>656.75</v>
      </c>
      <c r="E610" s="2">
        <f>IFERROR(__xludf.DUMMYFUNCTION("""COMPUTED_VALUE"""),666.0)</f>
        <v>666</v>
      </c>
      <c r="F610" s="2">
        <f>IFERROR(__xludf.DUMMYFUNCTION("""COMPUTED_VALUE"""),4047700.0)</f>
        <v>4047700</v>
      </c>
      <c r="G610" s="2">
        <f t="shared" si="1"/>
        <v>9.25</v>
      </c>
    </row>
    <row r="611" ht="15.75" customHeight="1">
      <c r="A611" s="1">
        <f>IFERROR(__xludf.DUMMYFUNCTION("""COMPUTED_VALUE"""),44755.66666666667)</f>
        <v>44755.66667</v>
      </c>
      <c r="B611" s="2">
        <f>IFERROR(__xludf.DUMMYFUNCTION("""COMPUTED_VALUE"""),666.0)</f>
        <v>666</v>
      </c>
      <c r="C611" s="2">
        <f>IFERROR(__xludf.DUMMYFUNCTION("""COMPUTED_VALUE"""),675.25)</f>
        <v>675.25</v>
      </c>
      <c r="D611" s="2">
        <f>IFERROR(__xludf.DUMMYFUNCTION("""COMPUTED_VALUE"""),661.38)</f>
        <v>661.38</v>
      </c>
      <c r="E611" s="2">
        <f>IFERROR(__xludf.DUMMYFUNCTION("""COMPUTED_VALUE"""),666.0)</f>
        <v>666</v>
      </c>
      <c r="F611" s="2">
        <f>IFERROR(__xludf.DUMMYFUNCTION("""COMPUTED_VALUE"""),5188900.0)</f>
        <v>5188900</v>
      </c>
      <c r="G611" s="2">
        <f t="shared" si="1"/>
        <v>13.87</v>
      </c>
    </row>
    <row r="612" ht="15.75" customHeight="1">
      <c r="A612" s="1">
        <f>IFERROR(__xludf.DUMMYFUNCTION("""COMPUTED_VALUE"""),44756.66666666667)</f>
        <v>44756.66667</v>
      </c>
      <c r="B612" s="2">
        <f>IFERROR(__xludf.DUMMYFUNCTION("""COMPUTED_VALUE"""),666.0)</f>
        <v>666</v>
      </c>
      <c r="C612" s="2">
        <f>IFERROR(__xludf.DUMMYFUNCTION("""COMPUTED_VALUE"""),670.63)</f>
        <v>670.63</v>
      </c>
      <c r="D612" s="2">
        <f>IFERROR(__xludf.DUMMYFUNCTION("""COMPUTED_VALUE"""),661.38)</f>
        <v>661.38</v>
      </c>
      <c r="E612" s="2">
        <f>IFERROR(__xludf.DUMMYFUNCTION("""COMPUTED_VALUE"""),666.0)</f>
        <v>666</v>
      </c>
      <c r="F612" s="2">
        <f>IFERROR(__xludf.DUMMYFUNCTION("""COMPUTED_VALUE"""),3154100.0)</f>
        <v>3154100</v>
      </c>
      <c r="G612" s="2">
        <f t="shared" si="1"/>
        <v>9.25</v>
      </c>
    </row>
    <row r="613" ht="15.75" customHeight="1">
      <c r="A613" s="1">
        <f>IFERROR(__xludf.DUMMYFUNCTION("""COMPUTED_VALUE"""),44757.66666666667)</f>
        <v>44757.66667</v>
      </c>
      <c r="B613" s="2">
        <f>IFERROR(__xludf.DUMMYFUNCTION("""COMPUTED_VALUE"""),666.0)</f>
        <v>666</v>
      </c>
      <c r="C613" s="2">
        <f>IFERROR(__xludf.DUMMYFUNCTION("""COMPUTED_VALUE"""),670.63)</f>
        <v>670.63</v>
      </c>
      <c r="D613" s="2">
        <f>IFERROR(__xludf.DUMMYFUNCTION("""COMPUTED_VALUE"""),652.13)</f>
        <v>652.13</v>
      </c>
      <c r="E613" s="2">
        <f>IFERROR(__xludf.DUMMYFUNCTION("""COMPUTED_VALUE"""),666.0)</f>
        <v>666</v>
      </c>
      <c r="F613" s="2">
        <f>IFERROR(__xludf.DUMMYFUNCTION("""COMPUTED_VALUE"""),4246300.0)</f>
        <v>4246300</v>
      </c>
      <c r="G613" s="2">
        <f t="shared" si="1"/>
        <v>18.5</v>
      </c>
    </row>
    <row r="614" ht="15.75" customHeight="1">
      <c r="A614" s="1">
        <f>IFERROR(__xludf.DUMMYFUNCTION("""COMPUTED_VALUE"""),44760.66666666667)</f>
        <v>44760.66667</v>
      </c>
      <c r="B614" s="2">
        <f>IFERROR(__xludf.DUMMYFUNCTION("""COMPUTED_VALUE"""),670.63)</f>
        <v>670.63</v>
      </c>
      <c r="C614" s="2">
        <f>IFERROR(__xludf.DUMMYFUNCTION("""COMPUTED_VALUE"""),684.5)</f>
        <v>684.5</v>
      </c>
      <c r="D614" s="2">
        <f>IFERROR(__xludf.DUMMYFUNCTION("""COMPUTED_VALUE"""),642.88)</f>
        <v>642.88</v>
      </c>
      <c r="E614" s="2">
        <f>IFERROR(__xludf.DUMMYFUNCTION("""COMPUTED_VALUE"""),652.13)</f>
        <v>652.13</v>
      </c>
      <c r="F614" s="2">
        <f>IFERROR(__xludf.DUMMYFUNCTION("""COMPUTED_VALUE"""),7833200.0)</f>
        <v>7833200</v>
      </c>
      <c r="G614" s="2">
        <f t="shared" si="1"/>
        <v>41.62</v>
      </c>
    </row>
    <row r="615" ht="15.75" customHeight="1">
      <c r="A615" s="1">
        <f>IFERROR(__xludf.DUMMYFUNCTION("""COMPUTED_VALUE"""),44761.66666666667)</f>
        <v>44761.66667</v>
      </c>
      <c r="B615" s="2">
        <f>IFERROR(__xludf.DUMMYFUNCTION("""COMPUTED_VALUE"""),652.13)</f>
        <v>652.13</v>
      </c>
      <c r="C615" s="2">
        <f>IFERROR(__xludf.DUMMYFUNCTION("""COMPUTED_VALUE"""),661.38)</f>
        <v>661.38</v>
      </c>
      <c r="D615" s="2">
        <f>IFERROR(__xludf.DUMMYFUNCTION("""COMPUTED_VALUE"""),647.5)</f>
        <v>647.5</v>
      </c>
      <c r="E615" s="2">
        <f>IFERROR(__xludf.DUMMYFUNCTION("""COMPUTED_VALUE"""),656.75)</f>
        <v>656.75</v>
      </c>
      <c r="F615" s="2">
        <f>IFERROR(__xludf.DUMMYFUNCTION("""COMPUTED_VALUE"""),5255100.0)</f>
        <v>5255100</v>
      </c>
      <c r="G615" s="2">
        <f t="shared" si="1"/>
        <v>13.88</v>
      </c>
    </row>
    <row r="616" ht="15.75" customHeight="1">
      <c r="A616" s="1">
        <f>IFERROR(__xludf.DUMMYFUNCTION("""COMPUTED_VALUE"""),44762.66666666667)</f>
        <v>44762.66667</v>
      </c>
      <c r="B616" s="2">
        <f>IFERROR(__xludf.DUMMYFUNCTION("""COMPUTED_VALUE"""),666.0)</f>
        <v>666</v>
      </c>
      <c r="C616" s="2">
        <f>IFERROR(__xludf.DUMMYFUNCTION("""COMPUTED_VALUE"""),693.75)</f>
        <v>693.75</v>
      </c>
      <c r="D616" s="2">
        <f>IFERROR(__xludf.DUMMYFUNCTION("""COMPUTED_VALUE"""),661.38)</f>
        <v>661.38</v>
      </c>
      <c r="E616" s="2">
        <f>IFERROR(__xludf.DUMMYFUNCTION("""COMPUTED_VALUE"""),693.75)</f>
        <v>693.75</v>
      </c>
      <c r="F616" s="2">
        <f>IFERROR(__xludf.DUMMYFUNCTION("""COMPUTED_VALUE"""),1.61083E7)</f>
        <v>16108300</v>
      </c>
      <c r="G616" s="2">
        <f t="shared" si="1"/>
        <v>37</v>
      </c>
    </row>
    <row r="617" ht="15.75" customHeight="1">
      <c r="A617" s="1">
        <f>IFERROR(__xludf.DUMMYFUNCTION("""COMPUTED_VALUE"""),44763.66666666667)</f>
        <v>44763.66667</v>
      </c>
      <c r="B617" s="2">
        <f>IFERROR(__xludf.DUMMYFUNCTION("""COMPUTED_VALUE"""),693.75)</f>
        <v>693.75</v>
      </c>
      <c r="C617" s="2">
        <f>IFERROR(__xludf.DUMMYFUNCTION("""COMPUTED_VALUE"""),698.38)</f>
        <v>698.38</v>
      </c>
      <c r="D617" s="2">
        <f>IFERROR(__xludf.DUMMYFUNCTION("""COMPUTED_VALUE"""),675.25)</f>
        <v>675.25</v>
      </c>
      <c r="E617" s="2">
        <f>IFERROR(__xludf.DUMMYFUNCTION("""COMPUTED_VALUE"""),698.38)</f>
        <v>698.38</v>
      </c>
      <c r="F617" s="2">
        <f>IFERROR(__xludf.DUMMYFUNCTION("""COMPUTED_VALUE"""),1.03214E7)</f>
        <v>10321400</v>
      </c>
      <c r="G617" s="2">
        <f t="shared" si="1"/>
        <v>23.13</v>
      </c>
    </row>
    <row r="618" ht="15.75" customHeight="1">
      <c r="A618" s="1">
        <f>IFERROR(__xludf.DUMMYFUNCTION("""COMPUTED_VALUE"""),44764.66666666667)</f>
        <v>44764.66667</v>
      </c>
      <c r="B618" s="2">
        <f>IFERROR(__xludf.DUMMYFUNCTION("""COMPUTED_VALUE"""),693.75)</f>
        <v>693.75</v>
      </c>
      <c r="C618" s="2">
        <f>IFERROR(__xludf.DUMMYFUNCTION("""COMPUTED_VALUE"""),703.0)</f>
        <v>703</v>
      </c>
      <c r="D618" s="2">
        <f>IFERROR(__xludf.DUMMYFUNCTION("""COMPUTED_VALUE"""),675.25)</f>
        <v>675.25</v>
      </c>
      <c r="E618" s="2">
        <f>IFERROR(__xludf.DUMMYFUNCTION("""COMPUTED_VALUE"""),675.25)</f>
        <v>675.25</v>
      </c>
      <c r="F618" s="2">
        <f>IFERROR(__xludf.DUMMYFUNCTION("""COMPUTED_VALUE"""),8221400.0)</f>
        <v>8221400</v>
      </c>
      <c r="G618" s="2">
        <f t="shared" si="1"/>
        <v>27.75</v>
      </c>
    </row>
    <row r="619" ht="15.75" customHeight="1">
      <c r="A619" s="1">
        <f>IFERROR(__xludf.DUMMYFUNCTION("""COMPUTED_VALUE"""),44767.66666666667)</f>
        <v>44767.66667</v>
      </c>
      <c r="B619" s="2">
        <f>IFERROR(__xludf.DUMMYFUNCTION("""COMPUTED_VALUE"""),675.25)</f>
        <v>675.25</v>
      </c>
      <c r="C619" s="2">
        <f>IFERROR(__xludf.DUMMYFUNCTION("""COMPUTED_VALUE"""),712.25)</f>
        <v>712.25</v>
      </c>
      <c r="D619" s="2">
        <f>IFERROR(__xludf.DUMMYFUNCTION("""COMPUTED_VALUE"""),666.0)</f>
        <v>666</v>
      </c>
      <c r="E619" s="2">
        <f>IFERROR(__xludf.DUMMYFUNCTION("""COMPUTED_VALUE"""),707.63)</f>
        <v>707.63</v>
      </c>
      <c r="F619" s="2">
        <f>IFERROR(__xludf.DUMMYFUNCTION("""COMPUTED_VALUE"""),1.62479E7)</f>
        <v>16247900</v>
      </c>
      <c r="G619" s="2">
        <f t="shared" si="1"/>
        <v>46.25</v>
      </c>
    </row>
    <row r="620" ht="15.75" customHeight="1">
      <c r="A620" s="1">
        <f>IFERROR(__xludf.DUMMYFUNCTION("""COMPUTED_VALUE"""),44768.66666666667)</f>
        <v>44768.66667</v>
      </c>
      <c r="B620" s="2">
        <f>IFERROR(__xludf.DUMMYFUNCTION("""COMPUTED_VALUE"""),712.25)</f>
        <v>712.25</v>
      </c>
      <c r="C620" s="2">
        <f>IFERROR(__xludf.DUMMYFUNCTION("""COMPUTED_VALUE"""),716.88)</f>
        <v>716.88</v>
      </c>
      <c r="D620" s="2">
        <f>IFERROR(__xludf.DUMMYFUNCTION("""COMPUTED_VALUE"""),689.13)</f>
        <v>689.13</v>
      </c>
      <c r="E620" s="2">
        <f>IFERROR(__xludf.DUMMYFUNCTION("""COMPUTED_VALUE"""),689.13)</f>
        <v>689.13</v>
      </c>
      <c r="F620" s="2">
        <f>IFERROR(__xludf.DUMMYFUNCTION("""COMPUTED_VALUE"""),9638600.0)</f>
        <v>9638600</v>
      </c>
      <c r="G620" s="2">
        <f t="shared" si="1"/>
        <v>27.75</v>
      </c>
    </row>
    <row r="621" ht="15.75" customHeight="1">
      <c r="A621" s="1">
        <f>IFERROR(__xludf.DUMMYFUNCTION("""COMPUTED_VALUE"""),44769.66666666667)</f>
        <v>44769.66667</v>
      </c>
      <c r="B621" s="2">
        <f>IFERROR(__xludf.DUMMYFUNCTION("""COMPUTED_VALUE"""),689.13)</f>
        <v>689.13</v>
      </c>
      <c r="C621" s="2">
        <f>IFERROR(__xludf.DUMMYFUNCTION("""COMPUTED_VALUE"""),698.38)</f>
        <v>698.38</v>
      </c>
      <c r="D621" s="2">
        <f>IFERROR(__xludf.DUMMYFUNCTION("""COMPUTED_VALUE"""),675.25)</f>
        <v>675.25</v>
      </c>
      <c r="E621" s="2">
        <f>IFERROR(__xludf.DUMMYFUNCTION("""COMPUTED_VALUE"""),684.5)</f>
        <v>684.5</v>
      </c>
      <c r="F621" s="2">
        <f>IFERROR(__xludf.DUMMYFUNCTION("""COMPUTED_VALUE"""),5188100.0)</f>
        <v>5188100</v>
      </c>
      <c r="G621" s="2">
        <f t="shared" si="1"/>
        <v>23.13</v>
      </c>
    </row>
    <row r="622" ht="15.75" customHeight="1">
      <c r="A622" s="1">
        <f>IFERROR(__xludf.DUMMYFUNCTION("""COMPUTED_VALUE"""),44770.66666666667)</f>
        <v>44770.66667</v>
      </c>
      <c r="B622" s="2">
        <f>IFERROR(__xludf.DUMMYFUNCTION("""COMPUTED_VALUE"""),693.75)</f>
        <v>693.75</v>
      </c>
      <c r="C622" s="2">
        <f>IFERROR(__xludf.DUMMYFUNCTION("""COMPUTED_VALUE"""),707.63)</f>
        <v>707.63</v>
      </c>
      <c r="D622" s="2">
        <f>IFERROR(__xludf.DUMMYFUNCTION("""COMPUTED_VALUE"""),684.5)</f>
        <v>684.5</v>
      </c>
      <c r="E622" s="2">
        <f>IFERROR(__xludf.DUMMYFUNCTION("""COMPUTED_VALUE"""),698.38)</f>
        <v>698.38</v>
      </c>
      <c r="F622" s="2">
        <f>IFERROR(__xludf.DUMMYFUNCTION("""COMPUTED_VALUE"""),6151600.0)</f>
        <v>6151600</v>
      </c>
      <c r="G622" s="2">
        <f t="shared" si="1"/>
        <v>23.13</v>
      </c>
    </row>
    <row r="623" ht="15.75" customHeight="1">
      <c r="A623" s="1">
        <f>IFERROR(__xludf.DUMMYFUNCTION("""COMPUTED_VALUE"""),44771.66666666667)</f>
        <v>44771.66667</v>
      </c>
      <c r="B623" s="2">
        <f>IFERROR(__xludf.DUMMYFUNCTION("""COMPUTED_VALUE"""),693.75)</f>
        <v>693.75</v>
      </c>
      <c r="C623" s="2">
        <f>IFERROR(__xludf.DUMMYFUNCTION("""COMPUTED_VALUE"""),707.63)</f>
        <v>707.63</v>
      </c>
      <c r="D623" s="2">
        <f>IFERROR(__xludf.DUMMYFUNCTION("""COMPUTED_VALUE"""),679.88)</f>
        <v>679.88</v>
      </c>
      <c r="E623" s="2">
        <f>IFERROR(__xludf.DUMMYFUNCTION("""COMPUTED_VALUE"""),684.5)</f>
        <v>684.5</v>
      </c>
      <c r="F623" s="2">
        <f>IFERROR(__xludf.DUMMYFUNCTION("""COMPUTED_VALUE"""),8488100.0)</f>
        <v>8488100</v>
      </c>
      <c r="G623" s="2">
        <f t="shared" si="1"/>
        <v>27.75</v>
      </c>
    </row>
    <row r="624" ht="15.75" customHeight="1">
      <c r="A624" s="1">
        <f>IFERROR(__xludf.DUMMYFUNCTION("""COMPUTED_VALUE"""),44774.66666666667)</f>
        <v>44774.66667</v>
      </c>
      <c r="B624" s="2">
        <f>IFERROR(__xludf.DUMMYFUNCTION("""COMPUTED_VALUE"""),684.5)</f>
        <v>684.5</v>
      </c>
      <c r="C624" s="2">
        <f>IFERROR(__xludf.DUMMYFUNCTION("""COMPUTED_VALUE"""),703.0)</f>
        <v>703</v>
      </c>
      <c r="D624" s="2">
        <f>IFERROR(__xludf.DUMMYFUNCTION("""COMPUTED_VALUE"""),679.88)</f>
        <v>679.88</v>
      </c>
      <c r="E624" s="2">
        <f>IFERROR(__xludf.DUMMYFUNCTION("""COMPUTED_VALUE"""),684.5)</f>
        <v>684.5</v>
      </c>
      <c r="F624" s="2">
        <f>IFERROR(__xludf.DUMMYFUNCTION("""COMPUTED_VALUE"""),6891400.0)</f>
        <v>6891400</v>
      </c>
      <c r="G624" s="2">
        <f t="shared" si="1"/>
        <v>23.12</v>
      </c>
    </row>
    <row r="625" ht="15.75" customHeight="1">
      <c r="A625" s="1">
        <f>IFERROR(__xludf.DUMMYFUNCTION("""COMPUTED_VALUE"""),44775.66666666667)</f>
        <v>44775.66667</v>
      </c>
      <c r="B625" s="2">
        <f>IFERROR(__xludf.DUMMYFUNCTION("""COMPUTED_VALUE"""),684.5)</f>
        <v>684.5</v>
      </c>
      <c r="C625" s="2">
        <f>IFERROR(__xludf.DUMMYFUNCTION("""COMPUTED_VALUE"""),689.13)</f>
        <v>689.13</v>
      </c>
      <c r="D625" s="2">
        <f>IFERROR(__xludf.DUMMYFUNCTION("""COMPUTED_VALUE"""),666.0)</f>
        <v>666</v>
      </c>
      <c r="E625" s="2">
        <f>IFERROR(__xludf.DUMMYFUNCTION("""COMPUTED_VALUE"""),679.88)</f>
        <v>679.88</v>
      </c>
      <c r="F625" s="2">
        <f>IFERROR(__xludf.DUMMYFUNCTION("""COMPUTED_VALUE"""),5162700.0)</f>
        <v>5162700</v>
      </c>
      <c r="G625" s="2">
        <f t="shared" si="1"/>
        <v>23.13</v>
      </c>
    </row>
    <row r="626" ht="15.75" customHeight="1">
      <c r="A626" s="1">
        <f>IFERROR(__xludf.DUMMYFUNCTION("""COMPUTED_VALUE"""),44776.66666666667)</f>
        <v>44776.66667</v>
      </c>
      <c r="B626" s="2">
        <f>IFERROR(__xludf.DUMMYFUNCTION("""COMPUTED_VALUE"""),679.88)</f>
        <v>679.88</v>
      </c>
      <c r="C626" s="2">
        <f>IFERROR(__xludf.DUMMYFUNCTION("""COMPUTED_VALUE"""),684.5)</f>
        <v>684.5</v>
      </c>
      <c r="D626" s="2">
        <f>IFERROR(__xludf.DUMMYFUNCTION("""COMPUTED_VALUE"""),666.0)</f>
        <v>666</v>
      </c>
      <c r="E626" s="2">
        <f>IFERROR(__xludf.DUMMYFUNCTION("""COMPUTED_VALUE"""),675.25)</f>
        <v>675.25</v>
      </c>
      <c r="F626" s="2">
        <f>IFERROR(__xludf.DUMMYFUNCTION("""COMPUTED_VALUE"""),4609500.0)</f>
        <v>4609500</v>
      </c>
      <c r="G626" s="2">
        <f t="shared" si="1"/>
        <v>18.5</v>
      </c>
    </row>
    <row r="627" ht="15.75" customHeight="1">
      <c r="A627" s="1">
        <f>IFERROR(__xludf.DUMMYFUNCTION("""COMPUTED_VALUE"""),44777.66666666667)</f>
        <v>44777.66667</v>
      </c>
      <c r="B627" s="2">
        <f>IFERROR(__xludf.DUMMYFUNCTION("""COMPUTED_VALUE"""),679.88)</f>
        <v>679.88</v>
      </c>
      <c r="C627" s="2">
        <f>IFERROR(__xludf.DUMMYFUNCTION("""COMPUTED_VALUE"""),693.75)</f>
        <v>693.75</v>
      </c>
      <c r="D627" s="2">
        <f>IFERROR(__xludf.DUMMYFUNCTION("""COMPUTED_VALUE"""),675.25)</f>
        <v>675.25</v>
      </c>
      <c r="E627" s="2">
        <f>IFERROR(__xludf.DUMMYFUNCTION("""COMPUTED_VALUE"""),689.13)</f>
        <v>689.13</v>
      </c>
      <c r="F627" s="2">
        <f>IFERROR(__xludf.DUMMYFUNCTION("""COMPUTED_VALUE"""),6637800.0)</f>
        <v>6637800</v>
      </c>
      <c r="G627" s="2">
        <f t="shared" si="1"/>
        <v>18.5</v>
      </c>
    </row>
    <row r="628" ht="15.75" customHeight="1">
      <c r="A628" s="1">
        <f>IFERROR(__xludf.DUMMYFUNCTION("""COMPUTED_VALUE"""),44778.66666666667)</f>
        <v>44778.66667</v>
      </c>
      <c r="B628" s="2">
        <f>IFERROR(__xludf.DUMMYFUNCTION("""COMPUTED_VALUE"""),707.63)</f>
        <v>707.63</v>
      </c>
      <c r="C628" s="2">
        <f>IFERROR(__xludf.DUMMYFUNCTION("""COMPUTED_VALUE"""),726.13)</f>
        <v>726.13</v>
      </c>
      <c r="D628" s="2">
        <f>IFERROR(__xludf.DUMMYFUNCTION("""COMPUTED_VALUE"""),684.5)</f>
        <v>684.5</v>
      </c>
      <c r="E628" s="2">
        <f>IFERROR(__xludf.DUMMYFUNCTION("""COMPUTED_VALUE"""),716.88)</f>
        <v>716.88</v>
      </c>
      <c r="F628" s="2">
        <f>IFERROR(__xludf.DUMMYFUNCTION("""COMPUTED_VALUE"""),3.30463E7)</f>
        <v>33046300</v>
      </c>
      <c r="G628" s="2">
        <f t="shared" si="1"/>
        <v>41.63</v>
      </c>
    </row>
    <row r="629" ht="15.75" customHeight="1">
      <c r="A629" s="1">
        <f>IFERROR(__xludf.DUMMYFUNCTION("""COMPUTED_VALUE"""),44781.66666666667)</f>
        <v>44781.66667</v>
      </c>
      <c r="B629" s="2">
        <f>IFERROR(__xludf.DUMMYFUNCTION("""COMPUTED_VALUE"""),712.25)</f>
        <v>712.25</v>
      </c>
      <c r="C629" s="2">
        <f>IFERROR(__xludf.DUMMYFUNCTION("""COMPUTED_VALUE"""),735.38)</f>
        <v>735.38</v>
      </c>
      <c r="D629" s="2">
        <f>IFERROR(__xludf.DUMMYFUNCTION("""COMPUTED_VALUE"""),707.63)</f>
        <v>707.63</v>
      </c>
      <c r="E629" s="2">
        <f>IFERROR(__xludf.DUMMYFUNCTION("""COMPUTED_VALUE"""),707.63)</f>
        <v>707.63</v>
      </c>
      <c r="F629" s="2">
        <f>IFERROR(__xludf.DUMMYFUNCTION("""COMPUTED_VALUE"""),2.40973E7)</f>
        <v>24097300</v>
      </c>
      <c r="G629" s="2">
        <f t="shared" si="1"/>
        <v>27.75</v>
      </c>
    </row>
    <row r="630" ht="15.75" customHeight="1">
      <c r="A630" s="1">
        <f>IFERROR(__xludf.DUMMYFUNCTION("""COMPUTED_VALUE"""),44782.66666666667)</f>
        <v>44782.66667</v>
      </c>
      <c r="B630" s="2">
        <f>IFERROR(__xludf.DUMMYFUNCTION("""COMPUTED_VALUE"""),707.63)</f>
        <v>707.63</v>
      </c>
      <c r="C630" s="2">
        <f>IFERROR(__xludf.DUMMYFUNCTION("""COMPUTED_VALUE"""),716.88)</f>
        <v>716.88</v>
      </c>
      <c r="D630" s="2">
        <f>IFERROR(__xludf.DUMMYFUNCTION("""COMPUTED_VALUE"""),693.75)</f>
        <v>693.75</v>
      </c>
      <c r="E630" s="2">
        <f>IFERROR(__xludf.DUMMYFUNCTION("""COMPUTED_VALUE"""),698.38)</f>
        <v>698.38</v>
      </c>
      <c r="F630" s="2">
        <f>IFERROR(__xludf.DUMMYFUNCTION("""COMPUTED_VALUE"""),8751200.0)</f>
        <v>8751200</v>
      </c>
      <c r="G630" s="2">
        <f t="shared" si="1"/>
        <v>23.13</v>
      </c>
    </row>
    <row r="631" ht="15.75" customHeight="1">
      <c r="A631" s="1">
        <f>IFERROR(__xludf.DUMMYFUNCTION("""COMPUTED_VALUE"""),44783.66666666667)</f>
        <v>44783.66667</v>
      </c>
      <c r="B631" s="2">
        <f>IFERROR(__xludf.DUMMYFUNCTION("""COMPUTED_VALUE"""),693.75)</f>
        <v>693.75</v>
      </c>
      <c r="C631" s="2">
        <f>IFERROR(__xludf.DUMMYFUNCTION("""COMPUTED_VALUE"""),703.0)</f>
        <v>703</v>
      </c>
      <c r="D631" s="2">
        <f>IFERROR(__xludf.DUMMYFUNCTION("""COMPUTED_VALUE"""),684.5)</f>
        <v>684.5</v>
      </c>
      <c r="E631" s="2">
        <f>IFERROR(__xludf.DUMMYFUNCTION("""COMPUTED_VALUE"""),689.13)</f>
        <v>689.13</v>
      </c>
      <c r="F631" s="2">
        <f>IFERROR(__xludf.DUMMYFUNCTION("""COMPUTED_VALUE"""),5965100.0)</f>
        <v>5965100</v>
      </c>
      <c r="G631" s="2">
        <f t="shared" si="1"/>
        <v>18.5</v>
      </c>
    </row>
    <row r="632" ht="15.75" customHeight="1">
      <c r="A632" s="1">
        <f>IFERROR(__xludf.DUMMYFUNCTION("""COMPUTED_VALUE"""),44784.66666666667)</f>
        <v>44784.66667</v>
      </c>
      <c r="B632" s="2">
        <f>IFERROR(__xludf.DUMMYFUNCTION("""COMPUTED_VALUE"""),693.75)</f>
        <v>693.75</v>
      </c>
      <c r="C632" s="2">
        <f>IFERROR(__xludf.DUMMYFUNCTION("""COMPUTED_VALUE"""),712.25)</f>
        <v>712.25</v>
      </c>
      <c r="D632" s="2">
        <f>IFERROR(__xludf.DUMMYFUNCTION("""COMPUTED_VALUE"""),689.13)</f>
        <v>689.13</v>
      </c>
      <c r="E632" s="2">
        <f>IFERROR(__xludf.DUMMYFUNCTION("""COMPUTED_VALUE"""),698.38)</f>
        <v>698.38</v>
      </c>
      <c r="F632" s="2">
        <f>IFERROR(__xludf.DUMMYFUNCTION("""COMPUTED_VALUE"""),8232300.0)</f>
        <v>8232300</v>
      </c>
      <c r="G632" s="2">
        <f t="shared" si="1"/>
        <v>23.12</v>
      </c>
    </row>
    <row r="633" ht="15.75" customHeight="1">
      <c r="A633" s="1">
        <f>IFERROR(__xludf.DUMMYFUNCTION("""COMPUTED_VALUE"""),44785.66666666667)</f>
        <v>44785.66667</v>
      </c>
      <c r="B633" s="2">
        <f>IFERROR(__xludf.DUMMYFUNCTION("""COMPUTED_VALUE"""),703.0)</f>
        <v>703</v>
      </c>
      <c r="C633" s="2">
        <f>IFERROR(__xludf.DUMMYFUNCTION("""COMPUTED_VALUE"""),740.0)</f>
        <v>740</v>
      </c>
      <c r="D633" s="2">
        <f>IFERROR(__xludf.DUMMYFUNCTION("""COMPUTED_VALUE"""),698.38)</f>
        <v>698.38</v>
      </c>
      <c r="E633" s="2">
        <f>IFERROR(__xludf.DUMMYFUNCTION("""COMPUTED_VALUE"""),730.75)</f>
        <v>730.75</v>
      </c>
      <c r="F633" s="2">
        <f>IFERROR(__xludf.DUMMYFUNCTION("""COMPUTED_VALUE"""),3.69695E7)</f>
        <v>36969500</v>
      </c>
      <c r="G633" s="2">
        <f t="shared" si="1"/>
        <v>41.62</v>
      </c>
    </row>
    <row r="634" ht="15.75" customHeight="1">
      <c r="A634" s="1">
        <f>IFERROR(__xludf.DUMMYFUNCTION("""COMPUTED_VALUE"""),44788.66666666667)</f>
        <v>44788.66667</v>
      </c>
      <c r="B634" s="2">
        <f>IFERROR(__xludf.DUMMYFUNCTION("""COMPUTED_VALUE"""),730.75)</f>
        <v>730.75</v>
      </c>
      <c r="C634" s="2">
        <f>IFERROR(__xludf.DUMMYFUNCTION("""COMPUTED_VALUE"""),763.13)</f>
        <v>763.13</v>
      </c>
      <c r="D634" s="2">
        <f>IFERROR(__xludf.DUMMYFUNCTION("""COMPUTED_VALUE"""),730.75)</f>
        <v>730.75</v>
      </c>
      <c r="E634" s="2">
        <f>IFERROR(__xludf.DUMMYFUNCTION("""COMPUTED_VALUE"""),744.63)</f>
        <v>744.63</v>
      </c>
      <c r="F634" s="2">
        <f>IFERROR(__xludf.DUMMYFUNCTION("""COMPUTED_VALUE"""),4.7501E7)</f>
        <v>47501000</v>
      </c>
      <c r="G634" s="2">
        <f t="shared" si="1"/>
        <v>32.38</v>
      </c>
    </row>
    <row r="635" ht="15.75" customHeight="1">
      <c r="A635" s="1">
        <f>IFERROR(__xludf.DUMMYFUNCTION("""COMPUTED_VALUE"""),44789.66666666667)</f>
        <v>44789.66667</v>
      </c>
      <c r="B635" s="2">
        <f>IFERROR(__xludf.DUMMYFUNCTION("""COMPUTED_VALUE"""),749.25)</f>
        <v>749.25</v>
      </c>
      <c r="C635" s="2">
        <f>IFERROR(__xludf.DUMMYFUNCTION("""COMPUTED_VALUE"""),753.88)</f>
        <v>753.88</v>
      </c>
      <c r="D635" s="2">
        <f>IFERROR(__xludf.DUMMYFUNCTION("""COMPUTED_VALUE"""),730.75)</f>
        <v>730.75</v>
      </c>
      <c r="E635" s="2">
        <f>IFERROR(__xludf.DUMMYFUNCTION("""COMPUTED_VALUE"""),740.0)</f>
        <v>740</v>
      </c>
      <c r="F635" s="2">
        <f>IFERROR(__xludf.DUMMYFUNCTION("""COMPUTED_VALUE"""),1.72974E7)</f>
        <v>17297400</v>
      </c>
      <c r="G635" s="2">
        <f t="shared" si="1"/>
        <v>23.13</v>
      </c>
    </row>
    <row r="636" ht="15.75" customHeight="1">
      <c r="A636" s="1">
        <f>IFERROR(__xludf.DUMMYFUNCTION("""COMPUTED_VALUE"""),44791.66666666667)</f>
        <v>44791.66667</v>
      </c>
      <c r="B636" s="2">
        <f>IFERROR(__xludf.DUMMYFUNCTION("""COMPUTED_VALUE"""),740.0)</f>
        <v>740</v>
      </c>
      <c r="C636" s="2">
        <f>IFERROR(__xludf.DUMMYFUNCTION("""COMPUTED_VALUE"""),763.13)</f>
        <v>763.13</v>
      </c>
      <c r="D636" s="2">
        <f>IFERROR(__xludf.DUMMYFUNCTION("""COMPUTED_VALUE"""),735.38)</f>
        <v>735.38</v>
      </c>
      <c r="E636" s="2">
        <f>IFERROR(__xludf.DUMMYFUNCTION("""COMPUTED_VALUE"""),753.88)</f>
        <v>753.88</v>
      </c>
      <c r="F636" s="2">
        <f>IFERROR(__xludf.DUMMYFUNCTION("""COMPUTED_VALUE"""),2.31512E7)</f>
        <v>23151200</v>
      </c>
      <c r="G636" s="2">
        <f t="shared" si="1"/>
        <v>27.75</v>
      </c>
    </row>
    <row r="637" ht="15.75" customHeight="1">
      <c r="A637" s="1">
        <f>IFERROR(__xludf.DUMMYFUNCTION("""COMPUTED_VALUE"""),44792.66666666667)</f>
        <v>44792.66667</v>
      </c>
      <c r="B637" s="2">
        <f>IFERROR(__xludf.DUMMYFUNCTION("""COMPUTED_VALUE"""),753.88)</f>
        <v>753.88</v>
      </c>
      <c r="C637" s="2">
        <f>IFERROR(__xludf.DUMMYFUNCTION("""COMPUTED_VALUE"""),758.5)</f>
        <v>758.5</v>
      </c>
      <c r="D637" s="2">
        <f>IFERROR(__xludf.DUMMYFUNCTION("""COMPUTED_VALUE"""),740.0)</f>
        <v>740</v>
      </c>
      <c r="E637" s="2">
        <f>IFERROR(__xludf.DUMMYFUNCTION("""COMPUTED_VALUE"""),740.0)</f>
        <v>740</v>
      </c>
      <c r="F637" s="2">
        <f>IFERROR(__xludf.DUMMYFUNCTION("""COMPUTED_VALUE"""),9527700.0)</f>
        <v>9527700</v>
      </c>
      <c r="G637" s="2">
        <f t="shared" si="1"/>
        <v>18.5</v>
      </c>
    </row>
    <row r="638" ht="15.75" customHeight="1">
      <c r="A638" s="1">
        <f>IFERROR(__xludf.DUMMYFUNCTION("""COMPUTED_VALUE"""),44795.66666666667)</f>
        <v>44795.66667</v>
      </c>
      <c r="B638" s="2">
        <f>IFERROR(__xludf.DUMMYFUNCTION("""COMPUTED_VALUE"""),740.0)</f>
        <v>740</v>
      </c>
      <c r="C638" s="2">
        <f>IFERROR(__xludf.DUMMYFUNCTION("""COMPUTED_VALUE"""),744.63)</f>
        <v>744.63</v>
      </c>
      <c r="D638" s="2">
        <f>IFERROR(__xludf.DUMMYFUNCTION("""COMPUTED_VALUE"""),712.25)</f>
        <v>712.25</v>
      </c>
      <c r="E638" s="2">
        <f>IFERROR(__xludf.DUMMYFUNCTION("""COMPUTED_VALUE"""),712.25)</f>
        <v>712.25</v>
      </c>
      <c r="F638" s="2">
        <f>IFERROR(__xludf.DUMMYFUNCTION("""COMPUTED_VALUE"""),1.53351E7)</f>
        <v>15335100</v>
      </c>
      <c r="G638" s="2">
        <f t="shared" si="1"/>
        <v>32.38</v>
      </c>
    </row>
    <row r="639" ht="15.75" customHeight="1">
      <c r="A639" s="1">
        <f>IFERROR(__xludf.DUMMYFUNCTION("""COMPUTED_VALUE"""),44796.66666666667)</f>
        <v>44796.66667</v>
      </c>
      <c r="B639" s="2">
        <f>IFERROR(__xludf.DUMMYFUNCTION("""COMPUTED_VALUE"""),716.88)</f>
        <v>716.88</v>
      </c>
      <c r="C639" s="2">
        <f>IFERROR(__xludf.DUMMYFUNCTION("""COMPUTED_VALUE"""),735.38)</f>
        <v>735.38</v>
      </c>
      <c r="D639" s="2">
        <f>IFERROR(__xludf.DUMMYFUNCTION("""COMPUTED_VALUE"""),693.75)</f>
        <v>693.75</v>
      </c>
      <c r="E639" s="2">
        <f>IFERROR(__xludf.DUMMYFUNCTION("""COMPUTED_VALUE"""),726.13)</f>
        <v>726.13</v>
      </c>
      <c r="F639" s="2">
        <f>IFERROR(__xludf.DUMMYFUNCTION("""COMPUTED_VALUE"""),1.08808E7)</f>
        <v>10880800</v>
      </c>
      <c r="G639" s="2">
        <f t="shared" si="1"/>
        <v>41.63</v>
      </c>
    </row>
    <row r="640" ht="15.75" customHeight="1">
      <c r="A640" s="1">
        <f>IFERROR(__xludf.DUMMYFUNCTION("""COMPUTED_VALUE"""),44797.66666666667)</f>
        <v>44797.66667</v>
      </c>
      <c r="B640" s="2">
        <f>IFERROR(__xludf.DUMMYFUNCTION("""COMPUTED_VALUE"""),730.75)</f>
        <v>730.75</v>
      </c>
      <c r="C640" s="2">
        <f>IFERROR(__xludf.DUMMYFUNCTION("""COMPUTED_VALUE"""),758.5)</f>
        <v>758.5</v>
      </c>
      <c r="D640" s="2">
        <f>IFERROR(__xludf.DUMMYFUNCTION("""COMPUTED_VALUE"""),726.13)</f>
        <v>726.13</v>
      </c>
      <c r="E640" s="2">
        <f>IFERROR(__xludf.DUMMYFUNCTION("""COMPUTED_VALUE"""),735.38)</f>
        <v>735.38</v>
      </c>
      <c r="F640" s="2">
        <f>IFERROR(__xludf.DUMMYFUNCTION("""COMPUTED_VALUE"""),1.79773E7)</f>
        <v>17977300</v>
      </c>
      <c r="G640" s="2">
        <f t="shared" si="1"/>
        <v>32.37</v>
      </c>
    </row>
    <row r="641" ht="15.75" customHeight="1">
      <c r="A641" s="1">
        <f>IFERROR(__xludf.DUMMYFUNCTION("""COMPUTED_VALUE"""),44798.66666666667)</f>
        <v>44798.66667</v>
      </c>
      <c r="B641" s="2">
        <f>IFERROR(__xludf.DUMMYFUNCTION("""COMPUTED_VALUE"""),735.38)</f>
        <v>735.38</v>
      </c>
      <c r="C641" s="2">
        <f>IFERROR(__xludf.DUMMYFUNCTION("""COMPUTED_VALUE"""),744.63)</f>
        <v>744.63</v>
      </c>
      <c r="D641" s="2">
        <f>IFERROR(__xludf.DUMMYFUNCTION("""COMPUTED_VALUE"""),721.5)</f>
        <v>721.5</v>
      </c>
      <c r="E641" s="2">
        <f>IFERROR(__xludf.DUMMYFUNCTION("""COMPUTED_VALUE"""),726.13)</f>
        <v>726.13</v>
      </c>
      <c r="F641" s="2">
        <f>IFERROR(__xludf.DUMMYFUNCTION("""COMPUTED_VALUE"""),9370200.0)</f>
        <v>9370200</v>
      </c>
      <c r="G641" s="2">
        <f t="shared" si="1"/>
        <v>23.13</v>
      </c>
    </row>
    <row r="642" ht="15.75" customHeight="1">
      <c r="A642" s="1">
        <f>IFERROR(__xludf.DUMMYFUNCTION("""COMPUTED_VALUE"""),44799.66666666667)</f>
        <v>44799.66667</v>
      </c>
      <c r="B642" s="2">
        <f>IFERROR(__xludf.DUMMYFUNCTION("""COMPUTED_VALUE"""),730.75)</f>
        <v>730.75</v>
      </c>
      <c r="C642" s="2">
        <f>IFERROR(__xludf.DUMMYFUNCTION("""COMPUTED_VALUE"""),730.75)</f>
        <v>730.75</v>
      </c>
      <c r="D642" s="2">
        <f>IFERROR(__xludf.DUMMYFUNCTION("""COMPUTED_VALUE"""),712.25)</f>
        <v>712.25</v>
      </c>
      <c r="E642" s="2">
        <f>IFERROR(__xludf.DUMMYFUNCTION("""COMPUTED_VALUE"""),716.88)</f>
        <v>716.88</v>
      </c>
      <c r="F642" s="2">
        <f>IFERROR(__xludf.DUMMYFUNCTION("""COMPUTED_VALUE"""),7312000.0)</f>
        <v>7312000</v>
      </c>
      <c r="G642" s="2">
        <f t="shared" si="1"/>
        <v>18.5</v>
      </c>
    </row>
    <row r="643" ht="15.75" customHeight="1">
      <c r="A643" s="1">
        <f>IFERROR(__xludf.DUMMYFUNCTION("""COMPUTED_VALUE"""),44802.66666666667)</f>
        <v>44802.66667</v>
      </c>
      <c r="B643" s="2">
        <f>IFERROR(__xludf.DUMMYFUNCTION("""COMPUTED_VALUE"""),703.0)</f>
        <v>703</v>
      </c>
      <c r="C643" s="2">
        <f>IFERROR(__xludf.DUMMYFUNCTION("""COMPUTED_VALUE"""),712.25)</f>
        <v>712.25</v>
      </c>
      <c r="D643" s="2">
        <f>IFERROR(__xludf.DUMMYFUNCTION("""COMPUTED_VALUE"""),679.88)</f>
        <v>679.88</v>
      </c>
      <c r="E643" s="2">
        <f>IFERROR(__xludf.DUMMYFUNCTION("""COMPUTED_VALUE"""),703.0)</f>
        <v>703</v>
      </c>
      <c r="F643" s="2">
        <f>IFERROR(__xludf.DUMMYFUNCTION("""COMPUTED_VALUE"""),9847800.0)</f>
        <v>9847800</v>
      </c>
      <c r="G643" s="2">
        <f t="shared" si="1"/>
        <v>37</v>
      </c>
    </row>
    <row r="644" ht="15.75" customHeight="1">
      <c r="A644" s="1">
        <f>IFERROR(__xludf.DUMMYFUNCTION("""COMPUTED_VALUE"""),44803.66666666667)</f>
        <v>44803.66667</v>
      </c>
      <c r="B644" s="2">
        <f>IFERROR(__xludf.DUMMYFUNCTION("""COMPUTED_VALUE"""),703.0)</f>
        <v>703</v>
      </c>
      <c r="C644" s="2">
        <f>IFERROR(__xludf.DUMMYFUNCTION("""COMPUTED_VALUE"""),740.0)</f>
        <v>740</v>
      </c>
      <c r="D644" s="2">
        <f>IFERROR(__xludf.DUMMYFUNCTION("""COMPUTED_VALUE"""),703.0)</f>
        <v>703</v>
      </c>
      <c r="E644" s="2">
        <f>IFERROR(__xludf.DUMMYFUNCTION("""COMPUTED_VALUE"""),730.75)</f>
        <v>730.75</v>
      </c>
      <c r="F644" s="2">
        <f>IFERROR(__xludf.DUMMYFUNCTION("""COMPUTED_VALUE"""),1.01789E7)</f>
        <v>10178900</v>
      </c>
      <c r="G644" s="2">
        <f t="shared" si="1"/>
        <v>37</v>
      </c>
    </row>
    <row r="645" ht="15.75" customHeight="1">
      <c r="A645" s="1">
        <f>IFERROR(__xludf.DUMMYFUNCTION("""COMPUTED_VALUE"""),44804.66666666667)</f>
        <v>44804.66667</v>
      </c>
      <c r="B645" s="2">
        <f>IFERROR(__xludf.DUMMYFUNCTION("""COMPUTED_VALUE"""),740.0)</f>
        <v>740</v>
      </c>
      <c r="C645" s="2">
        <f>IFERROR(__xludf.DUMMYFUNCTION("""COMPUTED_VALUE"""),763.13)</f>
        <v>763.13</v>
      </c>
      <c r="D645" s="2">
        <f>IFERROR(__xludf.DUMMYFUNCTION("""COMPUTED_VALUE"""),730.75)</f>
        <v>730.75</v>
      </c>
      <c r="E645" s="2">
        <f>IFERROR(__xludf.DUMMYFUNCTION("""COMPUTED_VALUE"""),749.25)</f>
        <v>749.25</v>
      </c>
      <c r="F645" s="2">
        <f>IFERROR(__xludf.DUMMYFUNCTION("""COMPUTED_VALUE"""),3.29038E7)</f>
        <v>32903800</v>
      </c>
      <c r="G645" s="2">
        <f t="shared" si="1"/>
        <v>32.38</v>
      </c>
    </row>
    <row r="646" ht="15.75" customHeight="1">
      <c r="A646" s="1">
        <f>IFERROR(__xludf.DUMMYFUNCTION("""COMPUTED_VALUE"""),44805.625)</f>
        <v>44805.625</v>
      </c>
      <c r="B646" s="2">
        <f>IFERROR(__xludf.DUMMYFUNCTION("""COMPUTED_VALUE"""),749.25)</f>
        <v>749.25</v>
      </c>
      <c r="C646" s="2">
        <f>IFERROR(__xludf.DUMMYFUNCTION("""COMPUTED_VALUE"""),758.5)</f>
        <v>758.5</v>
      </c>
      <c r="D646" s="2">
        <f>IFERROR(__xludf.DUMMYFUNCTION("""COMPUTED_VALUE"""),740.0)</f>
        <v>740</v>
      </c>
      <c r="E646" s="2">
        <f>IFERROR(__xludf.DUMMYFUNCTION("""COMPUTED_VALUE"""),744.63)</f>
        <v>744.63</v>
      </c>
      <c r="F646" s="2">
        <f>IFERROR(__xludf.DUMMYFUNCTION("""COMPUTED_VALUE"""),9843900.0)</f>
        <v>9843900</v>
      </c>
      <c r="G646" s="2">
        <f t="shared" si="1"/>
        <v>18.5</v>
      </c>
    </row>
    <row r="647" ht="15.75" customHeight="1">
      <c r="A647" s="1">
        <f>IFERROR(__xludf.DUMMYFUNCTION("""COMPUTED_VALUE"""),44806.625)</f>
        <v>44806.625</v>
      </c>
      <c r="B647" s="2">
        <f>IFERROR(__xludf.DUMMYFUNCTION("""COMPUTED_VALUE"""),749.25)</f>
        <v>749.25</v>
      </c>
      <c r="C647" s="2">
        <f>IFERROR(__xludf.DUMMYFUNCTION("""COMPUTED_VALUE"""),758.5)</f>
        <v>758.5</v>
      </c>
      <c r="D647" s="2">
        <f>IFERROR(__xludf.DUMMYFUNCTION("""COMPUTED_VALUE"""),744.63)</f>
        <v>744.63</v>
      </c>
      <c r="E647" s="2">
        <f>IFERROR(__xludf.DUMMYFUNCTION("""COMPUTED_VALUE"""),753.88)</f>
        <v>753.88</v>
      </c>
      <c r="F647" s="2">
        <f>IFERROR(__xludf.DUMMYFUNCTION("""COMPUTED_VALUE"""),8894700.0)</f>
        <v>8894700</v>
      </c>
      <c r="G647" s="2">
        <f t="shared" si="1"/>
        <v>13.87</v>
      </c>
    </row>
    <row r="648" ht="15.75" customHeight="1">
      <c r="A648" s="1">
        <f>IFERROR(__xludf.DUMMYFUNCTION("""COMPUTED_VALUE"""),44809.66666666667)</f>
        <v>44809.66667</v>
      </c>
      <c r="B648" s="2">
        <f>IFERROR(__xludf.DUMMYFUNCTION("""COMPUTED_VALUE"""),749.25)</f>
        <v>749.25</v>
      </c>
      <c r="C648" s="2">
        <f>IFERROR(__xludf.DUMMYFUNCTION("""COMPUTED_VALUE"""),763.13)</f>
        <v>763.13</v>
      </c>
      <c r="D648" s="2">
        <f>IFERROR(__xludf.DUMMYFUNCTION("""COMPUTED_VALUE"""),744.63)</f>
        <v>744.63</v>
      </c>
      <c r="E648" s="2">
        <f>IFERROR(__xludf.DUMMYFUNCTION("""COMPUTED_VALUE"""),758.5)</f>
        <v>758.5</v>
      </c>
      <c r="F648" s="2">
        <f>IFERROR(__xludf.DUMMYFUNCTION("""COMPUTED_VALUE"""),1.58291E7)</f>
        <v>15829100</v>
      </c>
      <c r="G648" s="2">
        <f t="shared" si="1"/>
        <v>18.5</v>
      </c>
    </row>
    <row r="649" ht="15.75" customHeight="1">
      <c r="A649" s="1">
        <f>IFERROR(__xludf.DUMMYFUNCTION("""COMPUTED_VALUE"""),44810.66666666667)</f>
        <v>44810.66667</v>
      </c>
      <c r="B649" s="2">
        <f>IFERROR(__xludf.DUMMYFUNCTION("""COMPUTED_VALUE"""),763.13)</f>
        <v>763.13</v>
      </c>
      <c r="C649" s="2">
        <f>IFERROR(__xludf.DUMMYFUNCTION("""COMPUTED_VALUE"""),772.38)</f>
        <v>772.38</v>
      </c>
      <c r="D649" s="2">
        <f>IFERROR(__xludf.DUMMYFUNCTION("""COMPUTED_VALUE"""),749.25)</f>
        <v>749.25</v>
      </c>
      <c r="E649" s="2">
        <f>IFERROR(__xludf.DUMMYFUNCTION("""COMPUTED_VALUE"""),753.88)</f>
        <v>753.88</v>
      </c>
      <c r="F649" s="2">
        <f>IFERROR(__xludf.DUMMYFUNCTION("""COMPUTED_VALUE"""),1.4071E7)</f>
        <v>14071000</v>
      </c>
      <c r="G649" s="2">
        <f t="shared" si="1"/>
        <v>23.13</v>
      </c>
    </row>
    <row r="650" ht="15.75" customHeight="1">
      <c r="A650" s="1">
        <f>IFERROR(__xludf.DUMMYFUNCTION("""COMPUTED_VALUE"""),44811.66666666667)</f>
        <v>44811.66667</v>
      </c>
      <c r="B650" s="2">
        <f>IFERROR(__xludf.DUMMYFUNCTION("""COMPUTED_VALUE"""),753.88)</f>
        <v>753.88</v>
      </c>
      <c r="C650" s="2">
        <f>IFERROR(__xludf.DUMMYFUNCTION("""COMPUTED_VALUE"""),758.5)</f>
        <v>758.5</v>
      </c>
      <c r="D650" s="2">
        <f>IFERROR(__xludf.DUMMYFUNCTION("""COMPUTED_VALUE"""),735.38)</f>
        <v>735.38</v>
      </c>
      <c r="E650" s="2">
        <f>IFERROR(__xludf.DUMMYFUNCTION("""COMPUTED_VALUE"""),740.0)</f>
        <v>740</v>
      </c>
      <c r="F650" s="2">
        <f>IFERROR(__xludf.DUMMYFUNCTION("""COMPUTED_VALUE"""),9870000.0)</f>
        <v>9870000</v>
      </c>
      <c r="G650" s="2">
        <f t="shared" si="1"/>
        <v>23.12</v>
      </c>
    </row>
    <row r="651" ht="15.75" customHeight="1">
      <c r="A651" s="1">
        <f>IFERROR(__xludf.DUMMYFUNCTION("""COMPUTED_VALUE"""),44812.66666666667)</f>
        <v>44812.66667</v>
      </c>
      <c r="B651" s="2">
        <f>IFERROR(__xludf.DUMMYFUNCTION("""COMPUTED_VALUE"""),740.0)</f>
        <v>740</v>
      </c>
      <c r="C651" s="2">
        <f>IFERROR(__xludf.DUMMYFUNCTION("""COMPUTED_VALUE"""),758.5)</f>
        <v>758.5</v>
      </c>
      <c r="D651" s="2">
        <f>IFERROR(__xludf.DUMMYFUNCTION("""COMPUTED_VALUE"""),735.38)</f>
        <v>735.38</v>
      </c>
      <c r="E651" s="2">
        <f>IFERROR(__xludf.DUMMYFUNCTION("""COMPUTED_VALUE"""),749.25)</f>
        <v>749.25</v>
      </c>
      <c r="F651" s="2">
        <f>IFERROR(__xludf.DUMMYFUNCTION("""COMPUTED_VALUE"""),1.0618E7)</f>
        <v>10618000</v>
      </c>
      <c r="G651" s="2">
        <f t="shared" si="1"/>
        <v>23.12</v>
      </c>
    </row>
    <row r="652" ht="15.75" customHeight="1">
      <c r="A652" s="1">
        <f>IFERROR(__xludf.DUMMYFUNCTION("""COMPUTED_VALUE"""),44813.66666666667)</f>
        <v>44813.66667</v>
      </c>
      <c r="B652" s="2">
        <f>IFERROR(__xludf.DUMMYFUNCTION("""COMPUTED_VALUE"""),753.88)</f>
        <v>753.88</v>
      </c>
      <c r="C652" s="2">
        <f>IFERROR(__xludf.DUMMYFUNCTION("""COMPUTED_VALUE"""),758.5)</f>
        <v>758.5</v>
      </c>
      <c r="D652" s="2">
        <f>IFERROR(__xludf.DUMMYFUNCTION("""COMPUTED_VALUE"""),744.63)</f>
        <v>744.63</v>
      </c>
      <c r="E652" s="2">
        <f>IFERROR(__xludf.DUMMYFUNCTION("""COMPUTED_VALUE"""),749.25)</f>
        <v>749.25</v>
      </c>
      <c r="F652" s="2">
        <f>IFERROR(__xludf.DUMMYFUNCTION("""COMPUTED_VALUE"""),9275000.0)</f>
        <v>9275000</v>
      </c>
      <c r="G652" s="2">
        <f t="shared" si="1"/>
        <v>13.87</v>
      </c>
    </row>
    <row r="653" ht="15.75" customHeight="1">
      <c r="A653" s="1">
        <f>IFERROR(__xludf.DUMMYFUNCTION("""COMPUTED_VALUE"""),44816.66666666667)</f>
        <v>44816.66667</v>
      </c>
      <c r="B653" s="2">
        <f>IFERROR(__xludf.DUMMYFUNCTION("""COMPUTED_VALUE"""),749.25)</f>
        <v>749.25</v>
      </c>
      <c r="C653" s="2">
        <f>IFERROR(__xludf.DUMMYFUNCTION("""COMPUTED_VALUE"""),753.88)</f>
        <v>753.88</v>
      </c>
      <c r="D653" s="2">
        <f>IFERROR(__xludf.DUMMYFUNCTION("""COMPUTED_VALUE"""),740.0)</f>
        <v>740</v>
      </c>
      <c r="E653" s="2">
        <f>IFERROR(__xludf.DUMMYFUNCTION("""COMPUTED_VALUE"""),753.88)</f>
        <v>753.88</v>
      </c>
      <c r="F653" s="2">
        <f>IFERROR(__xludf.DUMMYFUNCTION("""COMPUTED_VALUE"""),6546700.0)</f>
        <v>6546700</v>
      </c>
      <c r="G653" s="2">
        <f t="shared" si="1"/>
        <v>13.88</v>
      </c>
    </row>
    <row r="654" ht="15.75" customHeight="1">
      <c r="A654" s="1">
        <f>IFERROR(__xludf.DUMMYFUNCTION("""COMPUTED_VALUE"""),44817.66666666667)</f>
        <v>44817.66667</v>
      </c>
      <c r="B654" s="2">
        <f>IFERROR(__xludf.DUMMYFUNCTION("""COMPUTED_VALUE"""),753.88)</f>
        <v>753.88</v>
      </c>
      <c r="C654" s="2">
        <f>IFERROR(__xludf.DUMMYFUNCTION("""COMPUTED_VALUE"""),790.88)</f>
        <v>790.88</v>
      </c>
      <c r="D654" s="2">
        <f>IFERROR(__xludf.DUMMYFUNCTION("""COMPUTED_VALUE"""),749.25)</f>
        <v>749.25</v>
      </c>
      <c r="E654" s="2">
        <f>IFERROR(__xludf.DUMMYFUNCTION("""COMPUTED_VALUE"""),790.88)</f>
        <v>790.88</v>
      </c>
      <c r="F654" s="2">
        <f>IFERROR(__xludf.DUMMYFUNCTION("""COMPUTED_VALUE"""),3.97758E7)</f>
        <v>39775800</v>
      </c>
      <c r="G654" s="2">
        <f t="shared" si="1"/>
        <v>41.63</v>
      </c>
    </row>
    <row r="655" ht="15.75" customHeight="1">
      <c r="A655" s="1">
        <f>IFERROR(__xludf.DUMMYFUNCTION("""COMPUTED_VALUE"""),44818.66666666667)</f>
        <v>44818.66667</v>
      </c>
      <c r="B655" s="2">
        <f>IFERROR(__xludf.DUMMYFUNCTION("""COMPUTED_VALUE"""),781.63)</f>
        <v>781.63</v>
      </c>
      <c r="C655" s="2">
        <f>IFERROR(__xludf.DUMMYFUNCTION("""COMPUTED_VALUE"""),804.75)</f>
        <v>804.75</v>
      </c>
      <c r="D655" s="2">
        <f>IFERROR(__xludf.DUMMYFUNCTION("""COMPUTED_VALUE"""),772.38)</f>
        <v>772.38</v>
      </c>
      <c r="E655" s="2">
        <f>IFERROR(__xludf.DUMMYFUNCTION("""COMPUTED_VALUE"""),790.88)</f>
        <v>790.88</v>
      </c>
      <c r="F655" s="2">
        <f>IFERROR(__xludf.DUMMYFUNCTION("""COMPUTED_VALUE"""),3.13634E7)</f>
        <v>31363400</v>
      </c>
      <c r="G655" s="2">
        <f t="shared" si="1"/>
        <v>32.37</v>
      </c>
    </row>
    <row r="656" ht="15.75" customHeight="1">
      <c r="A656" s="1">
        <f>IFERROR(__xludf.DUMMYFUNCTION("""COMPUTED_VALUE"""),44819.66666666667)</f>
        <v>44819.66667</v>
      </c>
      <c r="B656" s="2">
        <f>IFERROR(__xludf.DUMMYFUNCTION("""COMPUTED_VALUE"""),790.88)</f>
        <v>790.88</v>
      </c>
      <c r="C656" s="2">
        <f>IFERROR(__xludf.DUMMYFUNCTION("""COMPUTED_VALUE"""),814.0)</f>
        <v>814</v>
      </c>
      <c r="D656" s="2">
        <f>IFERROR(__xludf.DUMMYFUNCTION("""COMPUTED_VALUE"""),786.25)</f>
        <v>786.25</v>
      </c>
      <c r="E656" s="2">
        <f>IFERROR(__xludf.DUMMYFUNCTION("""COMPUTED_VALUE"""),786.25)</f>
        <v>786.25</v>
      </c>
      <c r="F656" s="2">
        <f>IFERROR(__xludf.DUMMYFUNCTION("""COMPUTED_VALUE"""),3.33877E7)</f>
        <v>33387700</v>
      </c>
      <c r="G656" s="2">
        <f t="shared" si="1"/>
        <v>27.75</v>
      </c>
    </row>
    <row r="657" ht="15.75" customHeight="1">
      <c r="A657" s="1">
        <f>IFERROR(__xludf.DUMMYFUNCTION("""COMPUTED_VALUE"""),44820.66666666667)</f>
        <v>44820.66667</v>
      </c>
      <c r="B657" s="2">
        <f>IFERROR(__xludf.DUMMYFUNCTION("""COMPUTED_VALUE"""),786.25)</f>
        <v>786.25</v>
      </c>
      <c r="C657" s="2">
        <f>IFERROR(__xludf.DUMMYFUNCTION("""COMPUTED_VALUE"""),809.38)</f>
        <v>809.38</v>
      </c>
      <c r="D657" s="2">
        <f>IFERROR(__xludf.DUMMYFUNCTION("""COMPUTED_VALUE"""),772.38)</f>
        <v>772.38</v>
      </c>
      <c r="E657" s="2">
        <f>IFERROR(__xludf.DUMMYFUNCTION("""COMPUTED_VALUE"""),786.25)</f>
        <v>786.25</v>
      </c>
      <c r="F657" s="2">
        <f>IFERROR(__xludf.DUMMYFUNCTION("""COMPUTED_VALUE"""),2.6299E7)</f>
        <v>26299000</v>
      </c>
      <c r="G657" s="2">
        <f t="shared" si="1"/>
        <v>37</v>
      </c>
    </row>
    <row r="658" ht="15.75" customHeight="1">
      <c r="A658" s="1">
        <f>IFERROR(__xludf.DUMMYFUNCTION("""COMPUTED_VALUE"""),44823.66666666667)</f>
        <v>44823.66667</v>
      </c>
      <c r="B658" s="2">
        <f>IFERROR(__xludf.DUMMYFUNCTION("""COMPUTED_VALUE"""),790.88)</f>
        <v>790.88</v>
      </c>
      <c r="C658" s="2">
        <f>IFERROR(__xludf.DUMMYFUNCTION("""COMPUTED_VALUE"""),804.75)</f>
        <v>804.75</v>
      </c>
      <c r="D658" s="2">
        <f>IFERROR(__xludf.DUMMYFUNCTION("""COMPUTED_VALUE"""),777.0)</f>
        <v>777</v>
      </c>
      <c r="E658" s="2">
        <f>IFERROR(__xludf.DUMMYFUNCTION("""COMPUTED_VALUE"""),786.25)</f>
        <v>786.25</v>
      </c>
      <c r="F658" s="2">
        <f>IFERROR(__xludf.DUMMYFUNCTION("""COMPUTED_VALUE"""),1.63315E7)</f>
        <v>16331500</v>
      </c>
      <c r="G658" s="2">
        <f t="shared" si="1"/>
        <v>27.75</v>
      </c>
    </row>
    <row r="659" ht="15.75" customHeight="1">
      <c r="A659" s="1">
        <f>IFERROR(__xludf.DUMMYFUNCTION("""COMPUTED_VALUE"""),44824.66666666667)</f>
        <v>44824.66667</v>
      </c>
      <c r="B659" s="2">
        <f>IFERROR(__xludf.DUMMYFUNCTION("""COMPUTED_VALUE"""),786.25)</f>
        <v>786.25</v>
      </c>
      <c r="C659" s="2">
        <f>IFERROR(__xludf.DUMMYFUNCTION("""COMPUTED_VALUE"""),795.5)</f>
        <v>795.5</v>
      </c>
      <c r="D659" s="2">
        <f>IFERROR(__xludf.DUMMYFUNCTION("""COMPUTED_VALUE"""),772.38)</f>
        <v>772.38</v>
      </c>
      <c r="E659" s="2">
        <f>IFERROR(__xludf.DUMMYFUNCTION("""COMPUTED_VALUE"""),786.25)</f>
        <v>786.25</v>
      </c>
      <c r="F659" s="2">
        <f>IFERROR(__xludf.DUMMYFUNCTION("""COMPUTED_VALUE"""),1.22811E7)</f>
        <v>12281100</v>
      </c>
      <c r="G659" s="2">
        <f t="shared" si="1"/>
        <v>23.12</v>
      </c>
    </row>
    <row r="660" ht="15.75" customHeight="1">
      <c r="A660" s="1">
        <f>IFERROR(__xludf.DUMMYFUNCTION("""COMPUTED_VALUE"""),44825.66666666667)</f>
        <v>44825.66667</v>
      </c>
      <c r="B660" s="2">
        <f>IFERROR(__xludf.DUMMYFUNCTION("""COMPUTED_VALUE"""),777.0)</f>
        <v>777</v>
      </c>
      <c r="C660" s="2">
        <f>IFERROR(__xludf.DUMMYFUNCTION("""COMPUTED_VALUE"""),786.25)</f>
        <v>786.25</v>
      </c>
      <c r="D660" s="2">
        <f>IFERROR(__xludf.DUMMYFUNCTION("""COMPUTED_VALUE"""),740.0)</f>
        <v>740</v>
      </c>
      <c r="E660" s="2">
        <f>IFERROR(__xludf.DUMMYFUNCTION("""COMPUTED_VALUE"""),744.63)</f>
        <v>744.63</v>
      </c>
      <c r="F660" s="2">
        <f>IFERROR(__xludf.DUMMYFUNCTION("""COMPUTED_VALUE"""),2.06265E7)</f>
        <v>20626500</v>
      </c>
      <c r="G660" s="2">
        <f t="shared" si="1"/>
        <v>46.25</v>
      </c>
    </row>
    <row r="661" ht="15.75" customHeight="1">
      <c r="A661" s="1">
        <f>IFERROR(__xludf.DUMMYFUNCTION("""COMPUTED_VALUE"""),44826.66666666667)</f>
        <v>44826.66667</v>
      </c>
      <c r="B661" s="2">
        <f>IFERROR(__xludf.DUMMYFUNCTION("""COMPUTED_VALUE"""),740.0)</f>
        <v>740</v>
      </c>
      <c r="C661" s="2">
        <f>IFERROR(__xludf.DUMMYFUNCTION("""COMPUTED_VALUE"""),740.0)</f>
        <v>740</v>
      </c>
      <c r="D661" s="2">
        <f>IFERROR(__xludf.DUMMYFUNCTION("""COMPUTED_VALUE"""),712.25)</f>
        <v>712.25</v>
      </c>
      <c r="E661" s="2">
        <f>IFERROR(__xludf.DUMMYFUNCTION("""COMPUTED_VALUE"""),740.0)</f>
        <v>740</v>
      </c>
      <c r="F661" s="2">
        <f>IFERROR(__xludf.DUMMYFUNCTION("""COMPUTED_VALUE"""),1.50676E7)</f>
        <v>15067600</v>
      </c>
      <c r="G661" s="2">
        <f t="shared" si="1"/>
        <v>32.38</v>
      </c>
    </row>
    <row r="662" ht="15.75" customHeight="1">
      <c r="A662" s="1">
        <f>IFERROR(__xludf.DUMMYFUNCTION("""COMPUTED_VALUE"""),44827.66666666667)</f>
        <v>44827.66667</v>
      </c>
      <c r="B662" s="2">
        <f>IFERROR(__xludf.DUMMYFUNCTION("""COMPUTED_VALUE"""),740.0)</f>
        <v>740</v>
      </c>
      <c r="C662" s="2">
        <f>IFERROR(__xludf.DUMMYFUNCTION("""COMPUTED_VALUE"""),758.5)</f>
        <v>758.5</v>
      </c>
      <c r="D662" s="2">
        <f>IFERROR(__xludf.DUMMYFUNCTION("""COMPUTED_VALUE"""),740.0)</f>
        <v>740</v>
      </c>
      <c r="E662" s="2">
        <f>IFERROR(__xludf.DUMMYFUNCTION("""COMPUTED_VALUE"""),740.0)</f>
        <v>740</v>
      </c>
      <c r="F662" s="2">
        <f>IFERROR(__xludf.DUMMYFUNCTION("""COMPUTED_VALUE"""),7521400.0)</f>
        <v>7521400</v>
      </c>
      <c r="G662" s="2">
        <f t="shared" si="1"/>
        <v>18.5</v>
      </c>
    </row>
    <row r="663" ht="15.75" customHeight="1">
      <c r="A663" s="1">
        <f>IFERROR(__xludf.DUMMYFUNCTION("""COMPUTED_VALUE"""),44830.66666666667)</f>
        <v>44830.66667</v>
      </c>
      <c r="B663" s="2">
        <f>IFERROR(__xludf.DUMMYFUNCTION("""COMPUTED_VALUE"""),740.0)</f>
        <v>740</v>
      </c>
      <c r="C663" s="2">
        <f>IFERROR(__xludf.DUMMYFUNCTION("""COMPUTED_VALUE"""),740.0)</f>
        <v>740</v>
      </c>
      <c r="D663" s="2">
        <f>IFERROR(__xludf.DUMMYFUNCTION("""COMPUTED_VALUE"""),693.75)</f>
        <v>693.75</v>
      </c>
      <c r="E663" s="2">
        <f>IFERROR(__xludf.DUMMYFUNCTION("""COMPUTED_VALUE"""),707.63)</f>
        <v>707.63</v>
      </c>
      <c r="F663" s="2">
        <f>IFERROR(__xludf.DUMMYFUNCTION("""COMPUTED_VALUE"""),2.77792E7)</f>
        <v>27779200</v>
      </c>
      <c r="G663" s="2">
        <f t="shared" si="1"/>
        <v>46.25</v>
      </c>
    </row>
    <row r="664" ht="15.75" customHeight="1">
      <c r="A664" s="1">
        <f>IFERROR(__xludf.DUMMYFUNCTION("""COMPUTED_VALUE"""),44831.66666666667)</f>
        <v>44831.66667</v>
      </c>
      <c r="B664" s="2">
        <f>IFERROR(__xludf.DUMMYFUNCTION("""COMPUTED_VALUE"""),693.75)</f>
        <v>693.75</v>
      </c>
      <c r="C664" s="2">
        <f>IFERROR(__xludf.DUMMYFUNCTION("""COMPUTED_VALUE"""),712.25)</f>
        <v>712.25</v>
      </c>
      <c r="D664" s="2">
        <f>IFERROR(__xludf.DUMMYFUNCTION("""COMPUTED_VALUE"""),693.75)</f>
        <v>693.75</v>
      </c>
      <c r="E664" s="2">
        <f>IFERROR(__xludf.DUMMYFUNCTION("""COMPUTED_VALUE"""),703.0)</f>
        <v>703</v>
      </c>
      <c r="F664" s="2">
        <f>IFERROR(__xludf.DUMMYFUNCTION("""COMPUTED_VALUE"""),1.25832E7)</f>
        <v>12583200</v>
      </c>
      <c r="G664" s="2">
        <f t="shared" si="1"/>
        <v>18.5</v>
      </c>
    </row>
    <row r="665" ht="15.75" customHeight="1">
      <c r="A665" s="1">
        <f>IFERROR(__xludf.DUMMYFUNCTION("""COMPUTED_VALUE"""),44832.66666666667)</f>
        <v>44832.66667</v>
      </c>
      <c r="B665" s="2">
        <f>IFERROR(__xludf.DUMMYFUNCTION("""COMPUTED_VALUE"""),703.0)</f>
        <v>703</v>
      </c>
      <c r="C665" s="2">
        <f>IFERROR(__xludf.DUMMYFUNCTION("""COMPUTED_VALUE"""),703.0)</f>
        <v>703</v>
      </c>
      <c r="D665" s="2">
        <f>IFERROR(__xludf.DUMMYFUNCTION("""COMPUTED_VALUE"""),684.5)</f>
        <v>684.5</v>
      </c>
      <c r="E665" s="2">
        <f>IFERROR(__xludf.DUMMYFUNCTION("""COMPUTED_VALUE"""),684.5)</f>
        <v>684.5</v>
      </c>
      <c r="F665" s="2">
        <f>IFERROR(__xludf.DUMMYFUNCTION("""COMPUTED_VALUE"""),1.08596E7)</f>
        <v>10859600</v>
      </c>
      <c r="G665" s="2">
        <f t="shared" si="1"/>
        <v>18.5</v>
      </c>
    </row>
    <row r="666" ht="15.75" customHeight="1">
      <c r="A666" s="1">
        <f>IFERROR(__xludf.DUMMYFUNCTION("""COMPUTED_VALUE"""),44833.66666666667)</f>
        <v>44833.66667</v>
      </c>
      <c r="B666" s="2">
        <f>IFERROR(__xludf.DUMMYFUNCTION("""COMPUTED_VALUE"""),684.5)</f>
        <v>684.5</v>
      </c>
      <c r="C666" s="2">
        <f>IFERROR(__xludf.DUMMYFUNCTION("""COMPUTED_VALUE"""),698.38)</f>
        <v>698.38</v>
      </c>
      <c r="D666" s="2">
        <f>IFERROR(__xludf.DUMMYFUNCTION("""COMPUTED_VALUE"""),675.25)</f>
        <v>675.25</v>
      </c>
      <c r="E666" s="2">
        <f>IFERROR(__xludf.DUMMYFUNCTION("""COMPUTED_VALUE"""),675.25)</f>
        <v>675.25</v>
      </c>
      <c r="F666" s="2">
        <f>IFERROR(__xludf.DUMMYFUNCTION("""COMPUTED_VALUE"""),6842800.0)</f>
        <v>6842800</v>
      </c>
      <c r="G666" s="2">
        <f t="shared" si="1"/>
        <v>23.13</v>
      </c>
    </row>
    <row r="667" ht="15.75" customHeight="1">
      <c r="A667" s="1">
        <f>IFERROR(__xludf.DUMMYFUNCTION("""COMPUTED_VALUE"""),44834.66666666667)</f>
        <v>44834.66667</v>
      </c>
      <c r="B667" s="2">
        <f>IFERROR(__xludf.DUMMYFUNCTION("""COMPUTED_VALUE"""),675.25)</f>
        <v>675.25</v>
      </c>
      <c r="C667" s="2">
        <f>IFERROR(__xludf.DUMMYFUNCTION("""COMPUTED_VALUE"""),675.25)</f>
        <v>675.25</v>
      </c>
      <c r="D667" s="2">
        <f>IFERROR(__xludf.DUMMYFUNCTION("""COMPUTED_VALUE"""),642.88)</f>
        <v>642.88</v>
      </c>
      <c r="E667" s="2">
        <f>IFERROR(__xludf.DUMMYFUNCTION("""COMPUTED_VALUE"""),661.38)</f>
        <v>661.38</v>
      </c>
      <c r="F667" s="2">
        <f>IFERROR(__xludf.DUMMYFUNCTION("""COMPUTED_VALUE"""),1.24879E7)</f>
        <v>12487900</v>
      </c>
      <c r="G667" s="2">
        <f t="shared" si="1"/>
        <v>32.37</v>
      </c>
    </row>
    <row r="668" ht="15.75" customHeight="1">
      <c r="A668" s="1">
        <f>IFERROR(__xludf.DUMMYFUNCTION("""COMPUTED_VALUE"""),44837.66666666667)</f>
        <v>44837.66667</v>
      </c>
      <c r="B668" s="2">
        <f>IFERROR(__xludf.DUMMYFUNCTION("""COMPUTED_VALUE"""),661.38)</f>
        <v>661.38</v>
      </c>
      <c r="C668" s="2">
        <f>IFERROR(__xludf.DUMMYFUNCTION("""COMPUTED_VALUE"""),684.5)</f>
        <v>684.5</v>
      </c>
      <c r="D668" s="2">
        <f>IFERROR(__xludf.DUMMYFUNCTION("""COMPUTED_VALUE"""),661.38)</f>
        <v>661.38</v>
      </c>
      <c r="E668" s="2">
        <f>IFERROR(__xludf.DUMMYFUNCTION("""COMPUTED_VALUE"""),679.88)</f>
        <v>679.88</v>
      </c>
      <c r="F668" s="2">
        <f>IFERROR(__xludf.DUMMYFUNCTION("""COMPUTED_VALUE"""),5575700.0)</f>
        <v>5575700</v>
      </c>
      <c r="G668" s="2">
        <f t="shared" si="1"/>
        <v>23.12</v>
      </c>
    </row>
    <row r="669" ht="15.75" customHeight="1">
      <c r="A669" s="1">
        <f>IFERROR(__xludf.DUMMYFUNCTION("""COMPUTED_VALUE"""),44838.66666666667)</f>
        <v>44838.66667</v>
      </c>
      <c r="B669" s="2">
        <f>IFERROR(__xludf.DUMMYFUNCTION("""COMPUTED_VALUE"""),679.88)</f>
        <v>679.88</v>
      </c>
      <c r="C669" s="2">
        <f>IFERROR(__xludf.DUMMYFUNCTION("""COMPUTED_VALUE"""),693.75)</f>
        <v>693.75</v>
      </c>
      <c r="D669" s="2">
        <f>IFERROR(__xludf.DUMMYFUNCTION("""COMPUTED_VALUE"""),679.88)</f>
        <v>679.88</v>
      </c>
      <c r="E669" s="2">
        <f>IFERROR(__xludf.DUMMYFUNCTION("""COMPUTED_VALUE"""),689.13)</f>
        <v>689.13</v>
      </c>
      <c r="F669" s="2">
        <f>IFERROR(__xludf.DUMMYFUNCTION("""COMPUTED_VALUE"""),2327900.0)</f>
        <v>2327900</v>
      </c>
      <c r="G669" s="2">
        <f t="shared" si="1"/>
        <v>13.87</v>
      </c>
    </row>
    <row r="670" ht="15.75" customHeight="1">
      <c r="A670" s="1">
        <f>IFERROR(__xludf.DUMMYFUNCTION("""COMPUTED_VALUE"""),44839.66666666667)</f>
        <v>44839.66667</v>
      </c>
      <c r="B670" s="2">
        <f>IFERROR(__xludf.DUMMYFUNCTION("""COMPUTED_VALUE"""),689.13)</f>
        <v>689.13</v>
      </c>
      <c r="C670" s="2">
        <f>IFERROR(__xludf.DUMMYFUNCTION("""COMPUTED_VALUE"""),698.38)</f>
        <v>698.38</v>
      </c>
      <c r="D670" s="2">
        <f>IFERROR(__xludf.DUMMYFUNCTION("""COMPUTED_VALUE"""),679.88)</f>
        <v>679.88</v>
      </c>
      <c r="E670" s="2">
        <f>IFERROR(__xludf.DUMMYFUNCTION("""COMPUTED_VALUE"""),689.13)</f>
        <v>689.13</v>
      </c>
      <c r="F670" s="2">
        <f>IFERROR(__xludf.DUMMYFUNCTION("""COMPUTED_VALUE"""),7568200.0)</f>
        <v>7568200</v>
      </c>
      <c r="G670" s="2">
        <f t="shared" si="1"/>
        <v>18.5</v>
      </c>
    </row>
    <row r="671" ht="15.75" customHeight="1">
      <c r="A671" s="1">
        <f>IFERROR(__xludf.DUMMYFUNCTION("""COMPUTED_VALUE"""),44840.66666666667)</f>
        <v>44840.66667</v>
      </c>
      <c r="B671" s="2">
        <f>IFERROR(__xludf.DUMMYFUNCTION("""COMPUTED_VALUE"""),689.13)</f>
        <v>689.13</v>
      </c>
      <c r="C671" s="2">
        <f>IFERROR(__xludf.DUMMYFUNCTION("""COMPUTED_VALUE"""),698.38)</f>
        <v>698.38</v>
      </c>
      <c r="D671" s="2">
        <f>IFERROR(__xludf.DUMMYFUNCTION("""COMPUTED_VALUE"""),675.25)</f>
        <v>675.25</v>
      </c>
      <c r="E671" s="2">
        <f>IFERROR(__xludf.DUMMYFUNCTION("""COMPUTED_VALUE"""),684.5)</f>
        <v>684.5</v>
      </c>
      <c r="F671" s="2">
        <f>IFERROR(__xludf.DUMMYFUNCTION("""COMPUTED_VALUE"""),1.04861E7)</f>
        <v>10486100</v>
      </c>
      <c r="G671" s="2">
        <f t="shared" si="1"/>
        <v>23.13</v>
      </c>
    </row>
    <row r="672" ht="15.75" customHeight="1">
      <c r="A672" s="1">
        <f>IFERROR(__xludf.DUMMYFUNCTION("""COMPUTED_VALUE"""),44841.66666666667)</f>
        <v>44841.66667</v>
      </c>
      <c r="B672" s="2">
        <f>IFERROR(__xludf.DUMMYFUNCTION("""COMPUTED_VALUE"""),684.5)</f>
        <v>684.5</v>
      </c>
      <c r="C672" s="2">
        <f>IFERROR(__xludf.DUMMYFUNCTION("""COMPUTED_VALUE"""),689.13)</f>
        <v>689.13</v>
      </c>
      <c r="D672" s="2">
        <f>IFERROR(__xludf.DUMMYFUNCTION("""COMPUTED_VALUE"""),670.63)</f>
        <v>670.63</v>
      </c>
      <c r="E672" s="2">
        <f>IFERROR(__xludf.DUMMYFUNCTION("""COMPUTED_VALUE"""),679.88)</f>
        <v>679.88</v>
      </c>
      <c r="F672" s="2">
        <f>IFERROR(__xludf.DUMMYFUNCTION("""COMPUTED_VALUE"""),3018700.0)</f>
        <v>3018700</v>
      </c>
      <c r="G672" s="2">
        <f t="shared" si="1"/>
        <v>18.5</v>
      </c>
    </row>
    <row r="673" ht="15.75" customHeight="1">
      <c r="A673" s="1">
        <f>IFERROR(__xludf.DUMMYFUNCTION("""COMPUTED_VALUE"""),44844.66666666667)</f>
        <v>44844.66667</v>
      </c>
      <c r="B673" s="2">
        <f>IFERROR(__xludf.DUMMYFUNCTION("""COMPUTED_VALUE"""),679.88)</f>
        <v>679.88</v>
      </c>
      <c r="C673" s="2">
        <f>IFERROR(__xludf.DUMMYFUNCTION("""COMPUTED_VALUE"""),679.88)</f>
        <v>679.88</v>
      </c>
      <c r="D673" s="2">
        <f>IFERROR(__xludf.DUMMYFUNCTION("""COMPUTED_VALUE"""),661.38)</f>
        <v>661.38</v>
      </c>
      <c r="E673" s="2">
        <f>IFERROR(__xludf.DUMMYFUNCTION("""COMPUTED_VALUE"""),670.63)</f>
        <v>670.63</v>
      </c>
      <c r="F673" s="2">
        <f>IFERROR(__xludf.DUMMYFUNCTION("""COMPUTED_VALUE"""),4509300.0)</f>
        <v>4509300</v>
      </c>
      <c r="G673" s="2">
        <f t="shared" si="1"/>
        <v>18.5</v>
      </c>
    </row>
    <row r="674" ht="15.75" customHeight="1">
      <c r="A674" s="1">
        <f>IFERROR(__xludf.DUMMYFUNCTION("""COMPUTED_VALUE"""),44845.66666666667)</f>
        <v>44845.66667</v>
      </c>
      <c r="B674" s="2">
        <f>IFERROR(__xludf.DUMMYFUNCTION("""COMPUTED_VALUE"""),670.63)</f>
        <v>670.63</v>
      </c>
      <c r="C674" s="2">
        <f>IFERROR(__xludf.DUMMYFUNCTION("""COMPUTED_VALUE"""),684.5)</f>
        <v>684.5</v>
      </c>
      <c r="D674" s="2">
        <f>IFERROR(__xludf.DUMMYFUNCTION("""COMPUTED_VALUE"""),661.38)</f>
        <v>661.38</v>
      </c>
      <c r="E674" s="2">
        <f>IFERROR(__xludf.DUMMYFUNCTION("""COMPUTED_VALUE"""),679.88)</f>
        <v>679.88</v>
      </c>
      <c r="F674" s="2">
        <f>IFERROR(__xludf.DUMMYFUNCTION("""COMPUTED_VALUE"""),4097700.0)</f>
        <v>4097700</v>
      </c>
      <c r="G674" s="2">
        <f t="shared" si="1"/>
        <v>23.12</v>
      </c>
    </row>
    <row r="675" ht="15.75" customHeight="1">
      <c r="A675" s="1">
        <f>IFERROR(__xludf.DUMMYFUNCTION("""COMPUTED_VALUE"""),44846.66666666667)</f>
        <v>44846.66667</v>
      </c>
      <c r="B675" s="2">
        <f>IFERROR(__xludf.DUMMYFUNCTION("""COMPUTED_VALUE"""),679.88)</f>
        <v>679.88</v>
      </c>
      <c r="C675" s="2">
        <f>IFERROR(__xludf.DUMMYFUNCTION("""COMPUTED_VALUE"""),689.13)</f>
        <v>689.13</v>
      </c>
      <c r="D675" s="2">
        <f>IFERROR(__xludf.DUMMYFUNCTION("""COMPUTED_VALUE"""),661.38)</f>
        <v>661.38</v>
      </c>
      <c r="E675" s="2">
        <f>IFERROR(__xludf.DUMMYFUNCTION("""COMPUTED_VALUE"""),661.38)</f>
        <v>661.38</v>
      </c>
      <c r="F675" s="2">
        <f>IFERROR(__xludf.DUMMYFUNCTION("""COMPUTED_VALUE"""),5648100.0)</f>
        <v>5648100</v>
      </c>
      <c r="G675" s="2">
        <f t="shared" si="1"/>
        <v>27.75</v>
      </c>
    </row>
    <row r="676" ht="15.75" customHeight="1">
      <c r="A676" s="1">
        <f>IFERROR(__xludf.DUMMYFUNCTION("""COMPUTED_VALUE"""),44847.66666666667)</f>
        <v>44847.66667</v>
      </c>
      <c r="B676" s="2">
        <f>IFERROR(__xludf.DUMMYFUNCTION("""COMPUTED_VALUE"""),661.38)</f>
        <v>661.38</v>
      </c>
      <c r="C676" s="2">
        <f>IFERROR(__xludf.DUMMYFUNCTION("""COMPUTED_VALUE"""),670.63)</f>
        <v>670.63</v>
      </c>
      <c r="D676" s="2">
        <f>IFERROR(__xludf.DUMMYFUNCTION("""COMPUTED_VALUE"""),661.38)</f>
        <v>661.38</v>
      </c>
      <c r="E676" s="2">
        <f>IFERROR(__xludf.DUMMYFUNCTION("""COMPUTED_VALUE"""),666.0)</f>
        <v>666</v>
      </c>
      <c r="F676" s="2">
        <f>IFERROR(__xludf.DUMMYFUNCTION("""COMPUTED_VALUE"""),2333800.0)</f>
        <v>2333800</v>
      </c>
      <c r="G676" s="2">
        <f t="shared" si="1"/>
        <v>9.25</v>
      </c>
    </row>
    <row r="677" ht="15.75" customHeight="1">
      <c r="A677" s="1">
        <f>IFERROR(__xludf.DUMMYFUNCTION("""COMPUTED_VALUE"""),44848.66666666667)</f>
        <v>44848.66667</v>
      </c>
      <c r="B677" s="2">
        <f>IFERROR(__xludf.DUMMYFUNCTION("""COMPUTED_VALUE"""),670.63)</f>
        <v>670.63</v>
      </c>
      <c r="C677" s="2">
        <f>IFERROR(__xludf.DUMMYFUNCTION("""COMPUTED_VALUE"""),679.88)</f>
        <v>679.88</v>
      </c>
      <c r="D677" s="2">
        <f>IFERROR(__xludf.DUMMYFUNCTION("""COMPUTED_VALUE"""),661.38)</f>
        <v>661.38</v>
      </c>
      <c r="E677" s="2">
        <f>IFERROR(__xludf.DUMMYFUNCTION("""COMPUTED_VALUE"""),666.0)</f>
        <v>666</v>
      </c>
      <c r="F677" s="2">
        <f>IFERROR(__xludf.DUMMYFUNCTION("""COMPUTED_VALUE"""),7814300.0)</f>
        <v>7814300</v>
      </c>
      <c r="G677" s="2">
        <f t="shared" si="1"/>
        <v>18.5</v>
      </c>
    </row>
    <row r="678" ht="15.75" customHeight="1">
      <c r="A678" s="1">
        <f>IFERROR(__xludf.DUMMYFUNCTION("""COMPUTED_VALUE"""),44851.66666666667)</f>
        <v>44851.66667</v>
      </c>
      <c r="B678" s="2">
        <f>IFERROR(__xludf.DUMMYFUNCTION("""COMPUTED_VALUE"""),666.0)</f>
        <v>666</v>
      </c>
      <c r="C678" s="2">
        <f>IFERROR(__xludf.DUMMYFUNCTION("""COMPUTED_VALUE"""),666.0)</f>
        <v>666</v>
      </c>
      <c r="D678" s="2">
        <f>IFERROR(__xludf.DUMMYFUNCTION("""COMPUTED_VALUE"""),642.88)</f>
        <v>642.88</v>
      </c>
      <c r="E678" s="2">
        <f>IFERROR(__xludf.DUMMYFUNCTION("""COMPUTED_VALUE"""),647.5)</f>
        <v>647.5</v>
      </c>
      <c r="F678" s="2">
        <f>IFERROR(__xludf.DUMMYFUNCTION("""COMPUTED_VALUE"""),8824300.0)</f>
        <v>8824300</v>
      </c>
      <c r="G678" s="2">
        <f t="shared" si="1"/>
        <v>23.12</v>
      </c>
    </row>
    <row r="679" ht="15.75" customHeight="1">
      <c r="A679" s="1">
        <f>IFERROR(__xludf.DUMMYFUNCTION("""COMPUTED_VALUE"""),44852.66666666667)</f>
        <v>44852.66667</v>
      </c>
      <c r="B679" s="2">
        <f>IFERROR(__xludf.DUMMYFUNCTION("""COMPUTED_VALUE"""),642.88)</f>
        <v>642.88</v>
      </c>
      <c r="C679" s="2">
        <f>IFERROR(__xludf.DUMMYFUNCTION("""COMPUTED_VALUE"""),656.75)</f>
        <v>656.75</v>
      </c>
      <c r="D679" s="2">
        <f>IFERROR(__xludf.DUMMYFUNCTION("""COMPUTED_VALUE"""),605.88)</f>
        <v>605.88</v>
      </c>
      <c r="E679" s="2">
        <f>IFERROR(__xludf.DUMMYFUNCTION("""COMPUTED_VALUE"""),605.88)</f>
        <v>605.88</v>
      </c>
      <c r="F679" s="2">
        <f>IFERROR(__xludf.DUMMYFUNCTION("""COMPUTED_VALUE"""),3.31687E7)</f>
        <v>33168700</v>
      </c>
      <c r="G679" s="2">
        <f t="shared" si="1"/>
        <v>50.87</v>
      </c>
    </row>
    <row r="680" ht="15.75" customHeight="1">
      <c r="A680" s="1">
        <f>IFERROR(__xludf.DUMMYFUNCTION("""COMPUTED_VALUE"""),44853.66666666667)</f>
        <v>44853.66667</v>
      </c>
      <c r="B680" s="2">
        <f>IFERROR(__xludf.DUMMYFUNCTION("""COMPUTED_VALUE"""),564.25)</f>
        <v>564.25</v>
      </c>
      <c r="C680" s="2">
        <f>IFERROR(__xludf.DUMMYFUNCTION("""COMPUTED_VALUE"""),605.88)</f>
        <v>605.88</v>
      </c>
      <c r="D680" s="2">
        <f>IFERROR(__xludf.DUMMYFUNCTION("""COMPUTED_VALUE"""),564.25)</f>
        <v>564.25</v>
      </c>
      <c r="E680" s="2">
        <f>IFERROR(__xludf.DUMMYFUNCTION("""COMPUTED_VALUE"""),573.5)</f>
        <v>573.5</v>
      </c>
      <c r="F680" s="2">
        <f>IFERROR(__xludf.DUMMYFUNCTION("""COMPUTED_VALUE"""),3.78413E7)</f>
        <v>37841300</v>
      </c>
      <c r="G680" s="2">
        <f t="shared" si="1"/>
        <v>41.63</v>
      </c>
    </row>
    <row r="681" ht="15.75" customHeight="1">
      <c r="A681" s="1">
        <f>IFERROR(__xludf.DUMMYFUNCTION("""COMPUTED_VALUE"""),44854.66666666667)</f>
        <v>44854.66667</v>
      </c>
      <c r="B681" s="2">
        <f>IFERROR(__xludf.DUMMYFUNCTION("""COMPUTED_VALUE"""),578.13)</f>
        <v>578.13</v>
      </c>
      <c r="C681" s="2">
        <f>IFERROR(__xludf.DUMMYFUNCTION("""COMPUTED_VALUE"""),587.38)</f>
        <v>587.38</v>
      </c>
      <c r="D681" s="2">
        <f>IFERROR(__xludf.DUMMYFUNCTION("""COMPUTED_VALUE"""),564.25)</f>
        <v>564.25</v>
      </c>
      <c r="E681" s="2">
        <f>IFERROR(__xludf.DUMMYFUNCTION("""COMPUTED_VALUE"""),568.88)</f>
        <v>568.88</v>
      </c>
      <c r="F681" s="2">
        <f>IFERROR(__xludf.DUMMYFUNCTION("""COMPUTED_VALUE"""),1.85696E7)</f>
        <v>18569600</v>
      </c>
      <c r="G681" s="2">
        <f t="shared" si="1"/>
        <v>23.13</v>
      </c>
    </row>
    <row r="682" ht="15.75" customHeight="1">
      <c r="A682" s="1">
        <f>IFERROR(__xludf.DUMMYFUNCTION("""COMPUTED_VALUE"""),44855.66666666667)</f>
        <v>44855.66667</v>
      </c>
      <c r="B682" s="2">
        <f>IFERROR(__xludf.DUMMYFUNCTION("""COMPUTED_VALUE"""),573.5)</f>
        <v>573.5</v>
      </c>
      <c r="C682" s="2">
        <f>IFERROR(__xludf.DUMMYFUNCTION("""COMPUTED_VALUE"""),578.13)</f>
        <v>578.13</v>
      </c>
      <c r="D682" s="2">
        <f>IFERROR(__xludf.DUMMYFUNCTION("""COMPUTED_VALUE"""),559.63)</f>
        <v>559.63</v>
      </c>
      <c r="E682" s="2">
        <f>IFERROR(__xludf.DUMMYFUNCTION("""COMPUTED_VALUE"""),573.5)</f>
        <v>573.5</v>
      </c>
      <c r="F682" s="2">
        <f>IFERROR(__xludf.DUMMYFUNCTION("""COMPUTED_VALUE"""),2.40959E7)</f>
        <v>24095900</v>
      </c>
      <c r="G682" s="2">
        <f t="shared" si="1"/>
        <v>18.5</v>
      </c>
    </row>
    <row r="683" ht="15.75" customHeight="1">
      <c r="A683" s="1">
        <f>IFERROR(__xludf.DUMMYFUNCTION("""COMPUTED_VALUE"""),44858.66666666667)</f>
        <v>44858.66667</v>
      </c>
      <c r="B683" s="2">
        <f>IFERROR(__xludf.DUMMYFUNCTION("""COMPUTED_VALUE"""),578.13)</f>
        <v>578.13</v>
      </c>
      <c r="C683" s="2">
        <f>IFERROR(__xludf.DUMMYFUNCTION("""COMPUTED_VALUE"""),587.38)</f>
        <v>587.38</v>
      </c>
      <c r="D683" s="2">
        <f>IFERROR(__xludf.DUMMYFUNCTION("""COMPUTED_VALUE"""),573.5)</f>
        <v>573.5</v>
      </c>
      <c r="E683" s="2">
        <f>IFERROR(__xludf.DUMMYFUNCTION("""COMPUTED_VALUE"""),582.75)</f>
        <v>582.75</v>
      </c>
      <c r="F683" s="2">
        <f>IFERROR(__xludf.DUMMYFUNCTION("""COMPUTED_VALUE"""),1.46669E7)</f>
        <v>14666900</v>
      </c>
      <c r="G683" s="2">
        <f t="shared" si="1"/>
        <v>13.88</v>
      </c>
    </row>
    <row r="684" ht="15.75" customHeight="1">
      <c r="A684" s="1">
        <f>IFERROR(__xludf.DUMMYFUNCTION("""COMPUTED_VALUE"""),44859.66666666667)</f>
        <v>44859.66667</v>
      </c>
      <c r="B684" s="2">
        <f>IFERROR(__xludf.DUMMYFUNCTION("""COMPUTED_VALUE"""),620.0)</f>
        <v>620</v>
      </c>
      <c r="C684" s="2">
        <f>IFERROR(__xludf.DUMMYFUNCTION("""COMPUTED_VALUE"""),620.0)</f>
        <v>620</v>
      </c>
      <c r="D684" s="2">
        <f>IFERROR(__xludf.DUMMYFUNCTION("""COMPUTED_VALUE"""),575.0)</f>
        <v>575</v>
      </c>
      <c r="E684" s="2">
        <f>IFERROR(__xludf.DUMMYFUNCTION("""COMPUTED_VALUE"""),605.0)</f>
        <v>605</v>
      </c>
      <c r="F684" s="2">
        <f>IFERROR(__xludf.DUMMYFUNCTION("""COMPUTED_VALUE"""),2.79221E7)</f>
        <v>27922100</v>
      </c>
      <c r="G684" s="2">
        <f t="shared" si="1"/>
        <v>45</v>
      </c>
    </row>
    <row r="685" ht="15.75" customHeight="1">
      <c r="A685" s="1">
        <f>IFERROR(__xludf.DUMMYFUNCTION("""COMPUTED_VALUE"""),44860.66666666667)</f>
        <v>44860.66667</v>
      </c>
      <c r="B685" s="2">
        <f>IFERROR(__xludf.DUMMYFUNCTION("""COMPUTED_VALUE"""),605.0)</f>
        <v>605</v>
      </c>
      <c r="C685" s="2">
        <f>IFERROR(__xludf.DUMMYFUNCTION("""COMPUTED_VALUE"""),645.0)</f>
        <v>645</v>
      </c>
      <c r="D685" s="2">
        <f>IFERROR(__xludf.DUMMYFUNCTION("""COMPUTED_VALUE"""),605.0)</f>
        <v>605</v>
      </c>
      <c r="E685" s="2">
        <f>IFERROR(__xludf.DUMMYFUNCTION("""COMPUTED_VALUE"""),625.0)</f>
        <v>625</v>
      </c>
      <c r="F685" s="2">
        <f>IFERROR(__xludf.DUMMYFUNCTION("""COMPUTED_VALUE"""),2.42148E7)</f>
        <v>24214800</v>
      </c>
      <c r="G685" s="2">
        <f t="shared" si="1"/>
        <v>40</v>
      </c>
    </row>
    <row r="686" ht="15.75" customHeight="1">
      <c r="A686" s="1">
        <f>IFERROR(__xludf.DUMMYFUNCTION("""COMPUTED_VALUE"""),44861.66666666667)</f>
        <v>44861.66667</v>
      </c>
      <c r="B686" s="2">
        <f>IFERROR(__xludf.DUMMYFUNCTION("""COMPUTED_VALUE"""),625.0)</f>
        <v>625</v>
      </c>
      <c r="C686" s="2">
        <f>IFERROR(__xludf.DUMMYFUNCTION("""COMPUTED_VALUE"""),635.0)</f>
        <v>635</v>
      </c>
      <c r="D686" s="2">
        <f>IFERROR(__xludf.DUMMYFUNCTION("""COMPUTED_VALUE"""),585.0)</f>
        <v>585</v>
      </c>
      <c r="E686" s="2">
        <f>IFERROR(__xludf.DUMMYFUNCTION("""COMPUTED_VALUE"""),590.0)</f>
        <v>590</v>
      </c>
      <c r="F686" s="2">
        <f>IFERROR(__xludf.DUMMYFUNCTION("""COMPUTED_VALUE"""),4.76658E7)</f>
        <v>47665800</v>
      </c>
      <c r="G686" s="2">
        <f t="shared" si="1"/>
        <v>50</v>
      </c>
    </row>
    <row r="687" ht="15.75" customHeight="1">
      <c r="A687" s="1">
        <f>IFERROR(__xludf.DUMMYFUNCTION("""COMPUTED_VALUE"""),44862.66666666667)</f>
        <v>44862.66667</v>
      </c>
      <c r="B687" s="2">
        <f>IFERROR(__xludf.DUMMYFUNCTION("""COMPUTED_VALUE"""),585.0)</f>
        <v>585</v>
      </c>
      <c r="C687" s="2">
        <f>IFERROR(__xludf.DUMMYFUNCTION("""COMPUTED_VALUE"""),595.0)</f>
        <v>595</v>
      </c>
      <c r="D687" s="2">
        <f>IFERROR(__xludf.DUMMYFUNCTION("""COMPUTED_VALUE"""),555.0)</f>
        <v>555</v>
      </c>
      <c r="E687" s="2">
        <f>IFERROR(__xludf.DUMMYFUNCTION("""COMPUTED_VALUE"""),555.0)</f>
        <v>555</v>
      </c>
      <c r="F687" s="2">
        <f>IFERROR(__xludf.DUMMYFUNCTION("""COMPUTED_VALUE"""),6.63679E7)</f>
        <v>66367900</v>
      </c>
      <c r="G687" s="2">
        <f t="shared" si="1"/>
        <v>40</v>
      </c>
    </row>
    <row r="688" ht="15.75" customHeight="1">
      <c r="A688" s="1">
        <f>IFERROR(__xludf.DUMMYFUNCTION("""COMPUTED_VALUE"""),44865.66666666667)</f>
        <v>44865.66667</v>
      </c>
      <c r="B688" s="2">
        <f>IFERROR(__xludf.DUMMYFUNCTION("""COMPUTED_VALUE"""),555.0)</f>
        <v>555</v>
      </c>
      <c r="C688" s="2">
        <f>IFERROR(__xludf.DUMMYFUNCTION("""COMPUTED_VALUE"""),560.0)</f>
        <v>560</v>
      </c>
      <c r="D688" s="2">
        <f>IFERROR(__xludf.DUMMYFUNCTION("""COMPUTED_VALUE"""),550.0)</f>
        <v>550</v>
      </c>
      <c r="E688" s="2">
        <f>IFERROR(__xludf.DUMMYFUNCTION("""COMPUTED_VALUE"""),555.0)</f>
        <v>555</v>
      </c>
      <c r="F688" s="2">
        <f>IFERROR(__xludf.DUMMYFUNCTION("""COMPUTED_VALUE"""),3.62589E7)</f>
        <v>36258900</v>
      </c>
      <c r="G688" s="2">
        <f t="shared" si="1"/>
        <v>10</v>
      </c>
    </row>
    <row r="689" ht="15.75" customHeight="1">
      <c r="A689" s="1">
        <f>IFERROR(__xludf.DUMMYFUNCTION("""COMPUTED_VALUE"""),44866.625)</f>
        <v>44866.625</v>
      </c>
      <c r="B689" s="2">
        <f>IFERROR(__xludf.DUMMYFUNCTION("""COMPUTED_VALUE"""),535.0)</f>
        <v>535</v>
      </c>
      <c r="C689" s="2">
        <f>IFERROR(__xludf.DUMMYFUNCTION("""COMPUTED_VALUE"""),555.0)</f>
        <v>555</v>
      </c>
      <c r="D689" s="2">
        <f>IFERROR(__xludf.DUMMYFUNCTION("""COMPUTED_VALUE"""),535.0)</f>
        <v>535</v>
      </c>
      <c r="E689" s="2">
        <f>IFERROR(__xludf.DUMMYFUNCTION("""COMPUTED_VALUE"""),550.0)</f>
        <v>550</v>
      </c>
      <c r="F689" s="2">
        <f>IFERROR(__xludf.DUMMYFUNCTION("""COMPUTED_VALUE"""),4.93244E7)</f>
        <v>49324400</v>
      </c>
      <c r="G689" s="2">
        <f t="shared" si="1"/>
        <v>20</v>
      </c>
    </row>
    <row r="690" ht="15.75" customHeight="1">
      <c r="A690" s="1">
        <f>IFERROR(__xludf.DUMMYFUNCTION("""COMPUTED_VALUE"""),44867.625)</f>
        <v>44867.625</v>
      </c>
      <c r="B690" s="2">
        <f>IFERROR(__xludf.DUMMYFUNCTION("""COMPUTED_VALUE"""),590.0)</f>
        <v>590</v>
      </c>
      <c r="C690" s="2">
        <f>IFERROR(__xludf.DUMMYFUNCTION("""COMPUTED_VALUE"""),590.0)</f>
        <v>590</v>
      </c>
      <c r="D690" s="2">
        <f>IFERROR(__xludf.DUMMYFUNCTION("""COMPUTED_VALUE"""),545.0)</f>
        <v>545</v>
      </c>
      <c r="E690" s="2">
        <f>IFERROR(__xludf.DUMMYFUNCTION("""COMPUTED_VALUE"""),560.0)</f>
        <v>560</v>
      </c>
      <c r="F690" s="2">
        <f>IFERROR(__xludf.DUMMYFUNCTION("""COMPUTED_VALUE"""),6.88506E7)</f>
        <v>68850600</v>
      </c>
      <c r="G690" s="2">
        <f t="shared" si="1"/>
        <v>45</v>
      </c>
    </row>
    <row r="691" ht="15.75" customHeight="1">
      <c r="A691" s="1">
        <f>IFERROR(__xludf.DUMMYFUNCTION("""COMPUTED_VALUE"""),44868.66666666667)</f>
        <v>44868.66667</v>
      </c>
      <c r="B691" s="2">
        <f>IFERROR(__xludf.DUMMYFUNCTION("""COMPUTED_VALUE"""),560.0)</f>
        <v>560</v>
      </c>
      <c r="C691" s="2">
        <f>IFERROR(__xludf.DUMMYFUNCTION("""COMPUTED_VALUE"""),560.0)</f>
        <v>560</v>
      </c>
      <c r="D691" s="2">
        <f>IFERROR(__xludf.DUMMYFUNCTION("""COMPUTED_VALUE"""),550.0)</f>
        <v>550</v>
      </c>
      <c r="E691" s="2">
        <f>IFERROR(__xludf.DUMMYFUNCTION("""COMPUTED_VALUE"""),555.0)</f>
        <v>555</v>
      </c>
      <c r="F691" s="2">
        <f>IFERROR(__xludf.DUMMYFUNCTION("""COMPUTED_VALUE"""),3.87703E7)</f>
        <v>38770300</v>
      </c>
      <c r="G691" s="2">
        <f t="shared" si="1"/>
        <v>10</v>
      </c>
    </row>
    <row r="692" ht="15.75" customHeight="1">
      <c r="A692" s="1">
        <f>IFERROR(__xludf.DUMMYFUNCTION("""COMPUTED_VALUE"""),44869.66666666667)</f>
        <v>44869.66667</v>
      </c>
      <c r="B692" s="2">
        <f>IFERROR(__xludf.DUMMYFUNCTION("""COMPUTED_VALUE"""),555.0)</f>
        <v>555</v>
      </c>
      <c r="C692" s="2">
        <f>IFERROR(__xludf.DUMMYFUNCTION("""COMPUTED_VALUE"""),555.0)</f>
        <v>555</v>
      </c>
      <c r="D692" s="2">
        <f>IFERROR(__xludf.DUMMYFUNCTION("""COMPUTED_VALUE"""),550.0)</f>
        <v>550</v>
      </c>
      <c r="E692" s="2">
        <f>IFERROR(__xludf.DUMMYFUNCTION("""COMPUTED_VALUE"""),550.0)</f>
        <v>550</v>
      </c>
      <c r="F692" s="2">
        <f>IFERROR(__xludf.DUMMYFUNCTION("""COMPUTED_VALUE"""),2.38006E7)</f>
        <v>23800600</v>
      </c>
      <c r="G692" s="2">
        <f t="shared" si="1"/>
        <v>5</v>
      </c>
    </row>
    <row r="693" ht="15.75" customHeight="1">
      <c r="A693" s="1">
        <f>IFERROR(__xludf.DUMMYFUNCTION("""COMPUTED_VALUE"""),44872.66666666667)</f>
        <v>44872.66667</v>
      </c>
      <c r="B693" s="2">
        <f>IFERROR(__xludf.DUMMYFUNCTION("""COMPUTED_VALUE"""),555.0)</f>
        <v>555</v>
      </c>
      <c r="C693" s="2">
        <f>IFERROR(__xludf.DUMMYFUNCTION("""COMPUTED_VALUE"""),560.0)</f>
        <v>560</v>
      </c>
      <c r="D693" s="2">
        <f>IFERROR(__xludf.DUMMYFUNCTION("""COMPUTED_VALUE"""),550.0)</f>
        <v>550</v>
      </c>
      <c r="E693" s="2">
        <f>IFERROR(__xludf.DUMMYFUNCTION("""COMPUTED_VALUE"""),560.0)</f>
        <v>560</v>
      </c>
      <c r="F693" s="2">
        <f>IFERROR(__xludf.DUMMYFUNCTION("""COMPUTED_VALUE"""),1.367786E8)</f>
        <v>136778600</v>
      </c>
      <c r="G693" s="2">
        <f t="shared" si="1"/>
        <v>10</v>
      </c>
    </row>
    <row r="694" ht="15.75" customHeight="1">
      <c r="A694" s="1">
        <f>IFERROR(__xludf.DUMMYFUNCTION("""COMPUTED_VALUE"""),44873.66666666667)</f>
        <v>44873.66667</v>
      </c>
      <c r="B694" s="2">
        <f>IFERROR(__xludf.DUMMYFUNCTION("""COMPUTED_VALUE"""),565.0)</f>
        <v>565</v>
      </c>
      <c r="C694" s="2">
        <f>IFERROR(__xludf.DUMMYFUNCTION("""COMPUTED_VALUE"""),565.0)</f>
        <v>565</v>
      </c>
      <c r="D694" s="2">
        <f>IFERROR(__xludf.DUMMYFUNCTION("""COMPUTED_VALUE"""),550.0)</f>
        <v>550</v>
      </c>
      <c r="E694" s="2">
        <f>IFERROR(__xludf.DUMMYFUNCTION("""COMPUTED_VALUE"""),555.0)</f>
        <v>555</v>
      </c>
      <c r="F694" s="2">
        <f>IFERROR(__xludf.DUMMYFUNCTION("""COMPUTED_VALUE"""),1.312974E8)</f>
        <v>131297400</v>
      </c>
      <c r="G694" s="2">
        <f t="shared" si="1"/>
        <v>15</v>
      </c>
    </row>
    <row r="695" ht="15.75" customHeight="1">
      <c r="A695" s="1">
        <f>IFERROR(__xludf.DUMMYFUNCTION("""COMPUTED_VALUE"""),44874.66666666667)</f>
        <v>44874.66667</v>
      </c>
      <c r="B695" s="2">
        <f>IFERROR(__xludf.DUMMYFUNCTION("""COMPUTED_VALUE"""),555.0)</f>
        <v>555</v>
      </c>
      <c r="C695" s="2">
        <f>IFERROR(__xludf.DUMMYFUNCTION("""COMPUTED_VALUE"""),555.0)</f>
        <v>555</v>
      </c>
      <c r="D695" s="2">
        <f>IFERROR(__xludf.DUMMYFUNCTION("""COMPUTED_VALUE"""),540.0)</f>
        <v>540</v>
      </c>
      <c r="E695" s="2">
        <f>IFERROR(__xludf.DUMMYFUNCTION("""COMPUTED_VALUE"""),540.0)</f>
        <v>540</v>
      </c>
      <c r="F695" s="2">
        <f>IFERROR(__xludf.DUMMYFUNCTION("""COMPUTED_VALUE"""),1.174543E8)</f>
        <v>117454300</v>
      </c>
      <c r="G695" s="2">
        <f t="shared" si="1"/>
        <v>15</v>
      </c>
    </row>
    <row r="696" ht="15.75" customHeight="1">
      <c r="A696" s="1">
        <f>IFERROR(__xludf.DUMMYFUNCTION("""COMPUTED_VALUE"""),44875.66666666667)</f>
        <v>44875.66667</v>
      </c>
      <c r="B696" s="2">
        <f>IFERROR(__xludf.DUMMYFUNCTION("""COMPUTED_VALUE"""),540.0)</f>
        <v>540</v>
      </c>
      <c r="C696" s="2">
        <f>IFERROR(__xludf.DUMMYFUNCTION("""COMPUTED_VALUE"""),545.0)</f>
        <v>545</v>
      </c>
      <c r="D696" s="2">
        <f>IFERROR(__xludf.DUMMYFUNCTION("""COMPUTED_VALUE"""),515.0)</f>
        <v>515</v>
      </c>
      <c r="E696" s="2">
        <f>IFERROR(__xludf.DUMMYFUNCTION("""COMPUTED_VALUE"""),520.0)</f>
        <v>520</v>
      </c>
      <c r="F696" s="2">
        <f>IFERROR(__xludf.DUMMYFUNCTION("""COMPUTED_VALUE"""),1.319812E8)</f>
        <v>131981200</v>
      </c>
      <c r="G696" s="2">
        <f t="shared" si="1"/>
        <v>30</v>
      </c>
    </row>
    <row r="697" ht="15.75" customHeight="1">
      <c r="A697" s="1">
        <f>IFERROR(__xludf.DUMMYFUNCTION("""COMPUTED_VALUE"""),44876.66666666667)</f>
        <v>44876.66667</v>
      </c>
      <c r="B697" s="2">
        <f>IFERROR(__xludf.DUMMYFUNCTION("""COMPUTED_VALUE"""),525.0)</f>
        <v>525</v>
      </c>
      <c r="C697" s="2">
        <f>IFERROR(__xludf.DUMMYFUNCTION("""COMPUTED_VALUE"""),545.0)</f>
        <v>545</v>
      </c>
      <c r="D697" s="2">
        <f>IFERROR(__xludf.DUMMYFUNCTION("""COMPUTED_VALUE"""),520.0)</f>
        <v>520</v>
      </c>
      <c r="E697" s="2">
        <f>IFERROR(__xludf.DUMMYFUNCTION("""COMPUTED_VALUE"""),535.0)</f>
        <v>535</v>
      </c>
      <c r="F697" s="2">
        <f>IFERROR(__xludf.DUMMYFUNCTION("""COMPUTED_VALUE"""),6.62749E7)</f>
        <v>66274900</v>
      </c>
      <c r="G697" s="2">
        <f t="shared" si="1"/>
        <v>25</v>
      </c>
    </row>
    <row r="698" ht="15.75" customHeight="1">
      <c r="A698" s="1">
        <f>IFERROR(__xludf.DUMMYFUNCTION("""COMPUTED_VALUE"""),44879.66666666667)</f>
        <v>44879.66667</v>
      </c>
      <c r="B698" s="2">
        <f>IFERROR(__xludf.DUMMYFUNCTION("""COMPUTED_VALUE"""),540.0)</f>
        <v>540</v>
      </c>
      <c r="C698" s="2">
        <f>IFERROR(__xludf.DUMMYFUNCTION("""COMPUTED_VALUE"""),545.0)</f>
        <v>545</v>
      </c>
      <c r="D698" s="2">
        <f>IFERROR(__xludf.DUMMYFUNCTION("""COMPUTED_VALUE"""),530.0)</f>
        <v>530</v>
      </c>
      <c r="E698" s="2">
        <f>IFERROR(__xludf.DUMMYFUNCTION("""COMPUTED_VALUE"""),535.0)</f>
        <v>535</v>
      </c>
      <c r="F698" s="2">
        <f>IFERROR(__xludf.DUMMYFUNCTION("""COMPUTED_VALUE"""),1.76099E7)</f>
        <v>17609900</v>
      </c>
      <c r="G698" s="2">
        <f t="shared" si="1"/>
        <v>15</v>
      </c>
    </row>
    <row r="699" ht="15.75" customHeight="1">
      <c r="A699" s="1">
        <f>IFERROR(__xludf.DUMMYFUNCTION("""COMPUTED_VALUE"""),44880.66666666667)</f>
        <v>44880.66667</v>
      </c>
      <c r="B699" s="2">
        <f>IFERROR(__xludf.DUMMYFUNCTION("""COMPUTED_VALUE"""),535.0)</f>
        <v>535</v>
      </c>
      <c r="C699" s="2">
        <f>IFERROR(__xludf.DUMMYFUNCTION("""COMPUTED_VALUE"""),540.0)</f>
        <v>540</v>
      </c>
      <c r="D699" s="2">
        <f>IFERROR(__xludf.DUMMYFUNCTION("""COMPUTED_VALUE"""),520.0)</f>
        <v>520</v>
      </c>
      <c r="E699" s="2">
        <f>IFERROR(__xludf.DUMMYFUNCTION("""COMPUTED_VALUE"""),525.0)</f>
        <v>525</v>
      </c>
      <c r="F699" s="2">
        <f>IFERROR(__xludf.DUMMYFUNCTION("""COMPUTED_VALUE"""),3.24201E7)</f>
        <v>32420100</v>
      </c>
      <c r="G699" s="2">
        <f t="shared" si="1"/>
        <v>20</v>
      </c>
    </row>
    <row r="700" ht="15.75" customHeight="1">
      <c r="A700" s="1">
        <f>IFERROR(__xludf.DUMMYFUNCTION("""COMPUTED_VALUE"""),44881.66666666667)</f>
        <v>44881.66667</v>
      </c>
      <c r="B700" s="2">
        <f>IFERROR(__xludf.DUMMYFUNCTION("""COMPUTED_VALUE"""),530.0)</f>
        <v>530</v>
      </c>
      <c r="C700" s="2">
        <f>IFERROR(__xludf.DUMMYFUNCTION("""COMPUTED_VALUE"""),530.0)</f>
        <v>530</v>
      </c>
      <c r="D700" s="2">
        <f>IFERROR(__xludf.DUMMYFUNCTION("""COMPUTED_VALUE"""),520.0)</f>
        <v>520</v>
      </c>
      <c r="E700" s="2">
        <f>IFERROR(__xludf.DUMMYFUNCTION("""COMPUTED_VALUE"""),520.0)</f>
        <v>520</v>
      </c>
      <c r="F700" s="2">
        <f>IFERROR(__xludf.DUMMYFUNCTION("""COMPUTED_VALUE"""),2.09388E7)</f>
        <v>20938800</v>
      </c>
      <c r="G700" s="2">
        <f t="shared" si="1"/>
        <v>10</v>
      </c>
    </row>
    <row r="701" ht="15.75" customHeight="1">
      <c r="A701" s="1">
        <f>IFERROR(__xludf.DUMMYFUNCTION("""COMPUTED_VALUE"""),44882.66666666667)</f>
        <v>44882.66667</v>
      </c>
      <c r="B701" s="2">
        <f>IFERROR(__xludf.DUMMYFUNCTION("""COMPUTED_VALUE"""),525.0)</f>
        <v>525</v>
      </c>
      <c r="C701" s="2">
        <f>IFERROR(__xludf.DUMMYFUNCTION("""COMPUTED_VALUE"""),545.0)</f>
        <v>545</v>
      </c>
      <c r="D701" s="2">
        <f>IFERROR(__xludf.DUMMYFUNCTION("""COMPUTED_VALUE"""),520.0)</f>
        <v>520</v>
      </c>
      <c r="E701" s="2">
        <f>IFERROR(__xludf.DUMMYFUNCTION("""COMPUTED_VALUE"""),540.0)</f>
        <v>540</v>
      </c>
      <c r="F701" s="2">
        <f>IFERROR(__xludf.DUMMYFUNCTION("""COMPUTED_VALUE"""),2.84996E7)</f>
        <v>28499600</v>
      </c>
      <c r="G701" s="2">
        <f t="shared" si="1"/>
        <v>25</v>
      </c>
    </row>
    <row r="702" ht="15.75" customHeight="1">
      <c r="A702" s="1">
        <f>IFERROR(__xludf.DUMMYFUNCTION("""COMPUTED_VALUE"""),44883.66666666667)</f>
        <v>44883.66667</v>
      </c>
      <c r="B702" s="2">
        <f>IFERROR(__xludf.DUMMYFUNCTION("""COMPUTED_VALUE"""),540.0)</f>
        <v>540</v>
      </c>
      <c r="C702" s="2">
        <f>IFERROR(__xludf.DUMMYFUNCTION("""COMPUTED_VALUE"""),545.0)</f>
        <v>545</v>
      </c>
      <c r="D702" s="2">
        <f>IFERROR(__xludf.DUMMYFUNCTION("""COMPUTED_VALUE"""),530.0)</f>
        <v>530</v>
      </c>
      <c r="E702" s="2">
        <f>IFERROR(__xludf.DUMMYFUNCTION("""COMPUTED_VALUE"""),535.0)</f>
        <v>535</v>
      </c>
      <c r="F702" s="2">
        <f>IFERROR(__xludf.DUMMYFUNCTION("""COMPUTED_VALUE"""),1.1782E7)</f>
        <v>11782000</v>
      </c>
      <c r="G702" s="2">
        <f t="shared" si="1"/>
        <v>15</v>
      </c>
    </row>
    <row r="703" ht="15.75" customHeight="1">
      <c r="A703" s="1">
        <f>IFERROR(__xludf.DUMMYFUNCTION("""COMPUTED_VALUE"""),44886.66666666667)</f>
        <v>44886.66667</v>
      </c>
      <c r="B703" s="2">
        <f>IFERROR(__xludf.DUMMYFUNCTION("""COMPUTED_VALUE"""),540.0)</f>
        <v>540</v>
      </c>
      <c r="C703" s="2">
        <f>IFERROR(__xludf.DUMMYFUNCTION("""COMPUTED_VALUE"""),540.0)</f>
        <v>540</v>
      </c>
      <c r="D703" s="2">
        <f>IFERROR(__xludf.DUMMYFUNCTION("""COMPUTED_VALUE"""),535.0)</f>
        <v>535</v>
      </c>
      <c r="E703" s="2">
        <f>IFERROR(__xludf.DUMMYFUNCTION("""COMPUTED_VALUE"""),535.0)</f>
        <v>535</v>
      </c>
      <c r="F703" s="2">
        <f>IFERROR(__xludf.DUMMYFUNCTION("""COMPUTED_VALUE"""),7328900.0)</f>
        <v>7328900</v>
      </c>
      <c r="G703" s="2">
        <f t="shared" si="1"/>
        <v>5</v>
      </c>
    </row>
    <row r="704" ht="15.75" customHeight="1">
      <c r="A704" s="1">
        <f>IFERROR(__xludf.DUMMYFUNCTION("""COMPUTED_VALUE"""),44887.66666666667)</f>
        <v>44887.66667</v>
      </c>
      <c r="B704" s="2">
        <f>IFERROR(__xludf.DUMMYFUNCTION("""COMPUTED_VALUE"""),540.0)</f>
        <v>540</v>
      </c>
      <c r="C704" s="2">
        <f>IFERROR(__xludf.DUMMYFUNCTION("""COMPUTED_VALUE"""),545.0)</f>
        <v>545</v>
      </c>
      <c r="D704" s="2">
        <f>IFERROR(__xludf.DUMMYFUNCTION("""COMPUTED_VALUE"""),530.0)</f>
        <v>530</v>
      </c>
      <c r="E704" s="2">
        <f>IFERROR(__xludf.DUMMYFUNCTION("""COMPUTED_VALUE"""),535.0)</f>
        <v>535</v>
      </c>
      <c r="F704" s="2">
        <f>IFERROR(__xludf.DUMMYFUNCTION("""COMPUTED_VALUE"""),1.48338E7)</f>
        <v>14833800</v>
      </c>
      <c r="G704" s="2">
        <f t="shared" si="1"/>
        <v>15</v>
      </c>
    </row>
    <row r="705" ht="15.75" customHeight="1">
      <c r="A705" s="1">
        <f>IFERROR(__xludf.DUMMYFUNCTION("""COMPUTED_VALUE"""),44888.66666666667)</f>
        <v>44888.66667</v>
      </c>
      <c r="B705" s="2">
        <f>IFERROR(__xludf.DUMMYFUNCTION("""COMPUTED_VALUE"""),535.0)</f>
        <v>535</v>
      </c>
      <c r="C705" s="2">
        <f>IFERROR(__xludf.DUMMYFUNCTION("""COMPUTED_VALUE"""),540.0)</f>
        <v>540</v>
      </c>
      <c r="D705" s="2">
        <f>IFERROR(__xludf.DUMMYFUNCTION("""COMPUTED_VALUE"""),530.0)</f>
        <v>530</v>
      </c>
      <c r="E705" s="2">
        <f>IFERROR(__xludf.DUMMYFUNCTION("""COMPUTED_VALUE"""),535.0)</f>
        <v>535</v>
      </c>
      <c r="F705" s="2">
        <f>IFERROR(__xludf.DUMMYFUNCTION("""COMPUTED_VALUE"""),1.10053E7)</f>
        <v>11005300</v>
      </c>
      <c r="G705" s="2">
        <f t="shared" si="1"/>
        <v>10</v>
      </c>
    </row>
    <row r="706" ht="15.75" customHeight="1">
      <c r="A706" s="1">
        <f>IFERROR(__xludf.DUMMYFUNCTION("""COMPUTED_VALUE"""),44889.66666666667)</f>
        <v>44889.66667</v>
      </c>
      <c r="B706" s="2">
        <f>IFERROR(__xludf.DUMMYFUNCTION("""COMPUTED_VALUE"""),535.0)</f>
        <v>535</v>
      </c>
      <c r="C706" s="2">
        <f>IFERROR(__xludf.DUMMYFUNCTION("""COMPUTED_VALUE"""),550.0)</f>
        <v>550</v>
      </c>
      <c r="D706" s="2">
        <f>IFERROR(__xludf.DUMMYFUNCTION("""COMPUTED_VALUE"""),535.0)</f>
        <v>535</v>
      </c>
      <c r="E706" s="2">
        <f>IFERROR(__xludf.DUMMYFUNCTION("""COMPUTED_VALUE"""),545.0)</f>
        <v>545</v>
      </c>
      <c r="F706" s="2">
        <f>IFERROR(__xludf.DUMMYFUNCTION("""COMPUTED_VALUE"""),3.6053E7)</f>
        <v>36053000</v>
      </c>
      <c r="G706" s="2">
        <f t="shared" si="1"/>
        <v>15</v>
      </c>
    </row>
    <row r="707" ht="15.75" customHeight="1">
      <c r="A707" s="1">
        <f>IFERROR(__xludf.DUMMYFUNCTION("""COMPUTED_VALUE"""),44890.66666666667)</f>
        <v>44890.66667</v>
      </c>
      <c r="B707" s="2">
        <f>IFERROR(__xludf.DUMMYFUNCTION("""COMPUTED_VALUE"""),545.0)</f>
        <v>545</v>
      </c>
      <c r="C707" s="2">
        <f>IFERROR(__xludf.DUMMYFUNCTION("""COMPUTED_VALUE"""),555.0)</f>
        <v>555</v>
      </c>
      <c r="D707" s="2">
        <f>IFERROR(__xludf.DUMMYFUNCTION("""COMPUTED_VALUE"""),540.0)</f>
        <v>540</v>
      </c>
      <c r="E707" s="2">
        <f>IFERROR(__xludf.DUMMYFUNCTION("""COMPUTED_VALUE"""),540.0)</f>
        <v>540</v>
      </c>
      <c r="F707" s="2">
        <f>IFERROR(__xludf.DUMMYFUNCTION("""COMPUTED_VALUE"""),2.47274E7)</f>
        <v>24727400</v>
      </c>
      <c r="G707" s="2">
        <f t="shared" si="1"/>
        <v>15</v>
      </c>
    </row>
    <row r="708" ht="15.75" customHeight="1">
      <c r="A708" s="1">
        <f>IFERROR(__xludf.DUMMYFUNCTION("""COMPUTED_VALUE"""),44893.66666666667)</f>
        <v>44893.66667</v>
      </c>
      <c r="B708" s="2">
        <f>IFERROR(__xludf.DUMMYFUNCTION("""COMPUTED_VALUE"""),540.0)</f>
        <v>540</v>
      </c>
      <c r="C708" s="2">
        <f>IFERROR(__xludf.DUMMYFUNCTION("""COMPUTED_VALUE"""),550.0)</f>
        <v>550</v>
      </c>
      <c r="D708" s="2">
        <f>IFERROR(__xludf.DUMMYFUNCTION("""COMPUTED_VALUE"""),530.0)</f>
        <v>530</v>
      </c>
      <c r="E708" s="2">
        <f>IFERROR(__xludf.DUMMYFUNCTION("""COMPUTED_VALUE"""),530.0)</f>
        <v>530</v>
      </c>
      <c r="F708" s="2">
        <f>IFERROR(__xludf.DUMMYFUNCTION("""COMPUTED_VALUE"""),3.13035E7)</f>
        <v>31303500</v>
      </c>
      <c r="G708" s="2">
        <f t="shared" si="1"/>
        <v>20</v>
      </c>
    </row>
    <row r="709" ht="15.75" customHeight="1">
      <c r="A709" s="1">
        <f>IFERROR(__xludf.DUMMYFUNCTION("""COMPUTED_VALUE"""),44894.66666666667)</f>
        <v>44894.66667</v>
      </c>
      <c r="B709" s="2">
        <f>IFERROR(__xludf.DUMMYFUNCTION("""COMPUTED_VALUE"""),530.0)</f>
        <v>530</v>
      </c>
      <c r="C709" s="2">
        <f>IFERROR(__xludf.DUMMYFUNCTION("""COMPUTED_VALUE"""),535.0)</f>
        <v>535</v>
      </c>
      <c r="D709" s="2">
        <f>IFERROR(__xludf.DUMMYFUNCTION("""COMPUTED_VALUE"""),520.0)</f>
        <v>520</v>
      </c>
      <c r="E709" s="2">
        <f>IFERROR(__xludf.DUMMYFUNCTION("""COMPUTED_VALUE"""),525.0)</f>
        <v>525</v>
      </c>
      <c r="F709" s="2">
        <f>IFERROR(__xludf.DUMMYFUNCTION("""COMPUTED_VALUE"""),1.53483E7)</f>
        <v>15348300</v>
      </c>
      <c r="G709" s="2">
        <f t="shared" si="1"/>
        <v>15</v>
      </c>
    </row>
    <row r="710" ht="15.75" customHeight="1">
      <c r="A710" s="1">
        <f>IFERROR(__xludf.DUMMYFUNCTION("""COMPUTED_VALUE"""),44895.66666666667)</f>
        <v>44895.66667</v>
      </c>
      <c r="B710" s="2">
        <f>IFERROR(__xludf.DUMMYFUNCTION("""COMPUTED_VALUE"""),525.0)</f>
        <v>525</v>
      </c>
      <c r="C710" s="2">
        <f>IFERROR(__xludf.DUMMYFUNCTION("""COMPUTED_VALUE"""),530.0)</f>
        <v>530</v>
      </c>
      <c r="D710" s="2">
        <f>IFERROR(__xludf.DUMMYFUNCTION("""COMPUTED_VALUE"""),515.0)</f>
        <v>515</v>
      </c>
      <c r="E710" s="2">
        <f>IFERROR(__xludf.DUMMYFUNCTION("""COMPUTED_VALUE"""),520.0)</f>
        <v>520</v>
      </c>
      <c r="F710" s="2">
        <f>IFERROR(__xludf.DUMMYFUNCTION("""COMPUTED_VALUE"""),2.65758E7)</f>
        <v>26575800</v>
      </c>
      <c r="G710" s="2">
        <f t="shared" si="1"/>
        <v>15</v>
      </c>
    </row>
    <row r="711" ht="15.75" customHeight="1">
      <c r="A711" s="1">
        <f>IFERROR(__xludf.DUMMYFUNCTION("""COMPUTED_VALUE"""),44896.66666666667)</f>
        <v>44896.66667</v>
      </c>
      <c r="B711" s="2">
        <f>IFERROR(__xludf.DUMMYFUNCTION("""COMPUTED_VALUE"""),520.0)</f>
        <v>520</v>
      </c>
      <c r="C711" s="2">
        <f>IFERROR(__xludf.DUMMYFUNCTION("""COMPUTED_VALUE"""),525.0)</f>
        <v>525</v>
      </c>
      <c r="D711" s="2">
        <f>IFERROR(__xludf.DUMMYFUNCTION("""COMPUTED_VALUE"""),520.0)</f>
        <v>520</v>
      </c>
      <c r="E711" s="2">
        <f>IFERROR(__xludf.DUMMYFUNCTION("""COMPUTED_VALUE"""),525.0)</f>
        <v>525</v>
      </c>
      <c r="F711" s="2">
        <f>IFERROR(__xludf.DUMMYFUNCTION("""COMPUTED_VALUE"""),6122900.0)</f>
        <v>6122900</v>
      </c>
      <c r="G711" s="2">
        <f t="shared" si="1"/>
        <v>5</v>
      </c>
    </row>
    <row r="712" ht="15.75" customHeight="1">
      <c r="A712" s="1">
        <f>IFERROR(__xludf.DUMMYFUNCTION("""COMPUTED_VALUE"""),44897.66666666667)</f>
        <v>44897.66667</v>
      </c>
      <c r="B712" s="2">
        <f>IFERROR(__xludf.DUMMYFUNCTION("""COMPUTED_VALUE"""),525.0)</f>
        <v>525</v>
      </c>
      <c r="C712" s="2">
        <f>IFERROR(__xludf.DUMMYFUNCTION("""COMPUTED_VALUE"""),525.0)</f>
        <v>525</v>
      </c>
      <c r="D712" s="2">
        <f>IFERROR(__xludf.DUMMYFUNCTION("""COMPUTED_VALUE"""),515.0)</f>
        <v>515</v>
      </c>
      <c r="E712" s="2">
        <f>IFERROR(__xludf.DUMMYFUNCTION("""COMPUTED_VALUE"""),520.0)</f>
        <v>520</v>
      </c>
      <c r="F712" s="2">
        <f>IFERROR(__xludf.DUMMYFUNCTION("""COMPUTED_VALUE"""),1.63715E7)</f>
        <v>16371500</v>
      </c>
      <c r="G712" s="2">
        <f t="shared" si="1"/>
        <v>10</v>
      </c>
    </row>
    <row r="713" ht="15.75" customHeight="1">
      <c r="A713" s="1">
        <f>IFERROR(__xludf.DUMMYFUNCTION("""COMPUTED_VALUE"""),44900.66666666667)</f>
        <v>44900.66667</v>
      </c>
      <c r="B713" s="2">
        <f>IFERROR(__xludf.DUMMYFUNCTION("""COMPUTED_VALUE"""),520.0)</f>
        <v>520</v>
      </c>
      <c r="C713" s="2">
        <f>IFERROR(__xludf.DUMMYFUNCTION("""COMPUTED_VALUE"""),525.0)</f>
        <v>525</v>
      </c>
      <c r="D713" s="2">
        <f>IFERROR(__xludf.DUMMYFUNCTION("""COMPUTED_VALUE"""),515.0)</f>
        <v>515</v>
      </c>
      <c r="E713" s="2">
        <f>IFERROR(__xludf.DUMMYFUNCTION("""COMPUTED_VALUE"""),515.0)</f>
        <v>515</v>
      </c>
      <c r="F713" s="2">
        <f>IFERROR(__xludf.DUMMYFUNCTION("""COMPUTED_VALUE"""),1.14565E7)</f>
        <v>11456500</v>
      </c>
      <c r="G713" s="2">
        <f t="shared" si="1"/>
        <v>10</v>
      </c>
    </row>
    <row r="714" ht="15.75" customHeight="1">
      <c r="A714" s="1">
        <f>IFERROR(__xludf.DUMMYFUNCTION("""COMPUTED_VALUE"""),44901.66666666667)</f>
        <v>44901.66667</v>
      </c>
      <c r="B714" s="2">
        <f>IFERROR(__xludf.DUMMYFUNCTION("""COMPUTED_VALUE"""),515.0)</f>
        <v>515</v>
      </c>
      <c r="C714" s="2">
        <f>IFERROR(__xludf.DUMMYFUNCTION("""COMPUTED_VALUE"""),515.0)</f>
        <v>515</v>
      </c>
      <c r="D714" s="2">
        <f>IFERROR(__xludf.DUMMYFUNCTION("""COMPUTED_VALUE"""),480.0)</f>
        <v>480</v>
      </c>
      <c r="E714" s="2">
        <f>IFERROR(__xludf.DUMMYFUNCTION("""COMPUTED_VALUE"""),482.0)</f>
        <v>482</v>
      </c>
      <c r="F714" s="2">
        <f>IFERROR(__xludf.DUMMYFUNCTION("""COMPUTED_VALUE"""),6.23351E7)</f>
        <v>62335100</v>
      </c>
      <c r="G714" s="2">
        <f t="shared" si="1"/>
        <v>35</v>
      </c>
    </row>
    <row r="715" ht="15.75" customHeight="1">
      <c r="A715" s="1">
        <f>IFERROR(__xludf.DUMMYFUNCTION("""COMPUTED_VALUE"""),44902.66666666667)</f>
        <v>44902.66667</v>
      </c>
      <c r="B715" s="2">
        <f>IFERROR(__xludf.DUMMYFUNCTION("""COMPUTED_VALUE"""),480.0)</f>
        <v>480</v>
      </c>
      <c r="C715" s="2">
        <f>IFERROR(__xludf.DUMMYFUNCTION("""COMPUTED_VALUE"""),490.0)</f>
        <v>490</v>
      </c>
      <c r="D715" s="2">
        <f>IFERROR(__xludf.DUMMYFUNCTION("""COMPUTED_VALUE"""),474.0)</f>
        <v>474</v>
      </c>
      <c r="E715" s="2">
        <f>IFERROR(__xludf.DUMMYFUNCTION("""COMPUTED_VALUE"""),486.0)</f>
        <v>486</v>
      </c>
      <c r="F715" s="2">
        <f>IFERROR(__xludf.DUMMYFUNCTION("""COMPUTED_VALUE"""),2.56536E7)</f>
        <v>25653600</v>
      </c>
      <c r="G715" s="2">
        <f t="shared" si="1"/>
        <v>16</v>
      </c>
    </row>
    <row r="716" ht="15.75" customHeight="1">
      <c r="A716" s="1">
        <f>IFERROR(__xludf.DUMMYFUNCTION("""COMPUTED_VALUE"""),44903.66666666667)</f>
        <v>44903.66667</v>
      </c>
      <c r="B716" s="2">
        <f>IFERROR(__xludf.DUMMYFUNCTION("""COMPUTED_VALUE"""),486.0)</f>
        <v>486</v>
      </c>
      <c r="C716" s="2">
        <f>IFERROR(__xludf.DUMMYFUNCTION("""COMPUTED_VALUE"""),505.0)</f>
        <v>505</v>
      </c>
      <c r="D716" s="2">
        <f>IFERROR(__xludf.DUMMYFUNCTION("""COMPUTED_VALUE"""),480.0)</f>
        <v>480</v>
      </c>
      <c r="E716" s="2">
        <f>IFERROR(__xludf.DUMMYFUNCTION("""COMPUTED_VALUE"""),505.0)</f>
        <v>505</v>
      </c>
      <c r="F716" s="2">
        <f>IFERROR(__xludf.DUMMYFUNCTION("""COMPUTED_VALUE"""),2.05303E7)</f>
        <v>20530300</v>
      </c>
      <c r="G716" s="2">
        <f t="shared" si="1"/>
        <v>25</v>
      </c>
    </row>
    <row r="717" ht="15.75" customHeight="1">
      <c r="A717" s="1">
        <f>IFERROR(__xludf.DUMMYFUNCTION("""COMPUTED_VALUE"""),44904.66666666667)</f>
        <v>44904.66667</v>
      </c>
      <c r="B717" s="2">
        <f>IFERROR(__xludf.DUMMYFUNCTION("""COMPUTED_VALUE"""),505.0)</f>
        <v>505</v>
      </c>
      <c r="C717" s="2">
        <f>IFERROR(__xludf.DUMMYFUNCTION("""COMPUTED_VALUE"""),510.0)</f>
        <v>510</v>
      </c>
      <c r="D717" s="2">
        <f>IFERROR(__xludf.DUMMYFUNCTION("""COMPUTED_VALUE"""),496.0)</f>
        <v>496</v>
      </c>
      <c r="E717" s="2">
        <f>IFERROR(__xludf.DUMMYFUNCTION("""COMPUTED_VALUE"""),505.0)</f>
        <v>505</v>
      </c>
      <c r="F717" s="2">
        <f>IFERROR(__xludf.DUMMYFUNCTION("""COMPUTED_VALUE"""),1.04628E7)</f>
        <v>10462800</v>
      </c>
      <c r="G717" s="2">
        <f t="shared" si="1"/>
        <v>14</v>
      </c>
    </row>
    <row r="718" ht="15.75" customHeight="1">
      <c r="A718" s="1">
        <f>IFERROR(__xludf.DUMMYFUNCTION("""COMPUTED_VALUE"""),44907.66666666667)</f>
        <v>44907.66667</v>
      </c>
      <c r="B718" s="2">
        <f>IFERROR(__xludf.DUMMYFUNCTION("""COMPUTED_VALUE"""),505.0)</f>
        <v>505</v>
      </c>
      <c r="C718" s="2">
        <f>IFERROR(__xludf.DUMMYFUNCTION("""COMPUTED_VALUE"""),505.0)</f>
        <v>505</v>
      </c>
      <c r="D718" s="2">
        <f>IFERROR(__xludf.DUMMYFUNCTION("""COMPUTED_VALUE"""),498.0)</f>
        <v>498</v>
      </c>
      <c r="E718" s="2">
        <f>IFERROR(__xludf.DUMMYFUNCTION("""COMPUTED_VALUE"""),500.0)</f>
        <v>500</v>
      </c>
      <c r="F718" s="2">
        <f>IFERROR(__xludf.DUMMYFUNCTION("""COMPUTED_VALUE"""),7448500.0)</f>
        <v>7448500</v>
      </c>
      <c r="G718" s="2">
        <f t="shared" si="1"/>
        <v>7</v>
      </c>
    </row>
    <row r="719" ht="15.75" customHeight="1">
      <c r="A719" s="1">
        <f>IFERROR(__xludf.DUMMYFUNCTION("""COMPUTED_VALUE"""),44908.66666666667)</f>
        <v>44908.66667</v>
      </c>
      <c r="B719" s="2">
        <f>IFERROR(__xludf.DUMMYFUNCTION("""COMPUTED_VALUE"""),505.0)</f>
        <v>505</v>
      </c>
      <c r="C719" s="2">
        <f>IFERROR(__xludf.DUMMYFUNCTION("""COMPUTED_VALUE"""),505.0)</f>
        <v>505</v>
      </c>
      <c r="D719" s="2">
        <f>IFERROR(__xludf.DUMMYFUNCTION("""COMPUTED_VALUE"""),500.0)</f>
        <v>500</v>
      </c>
      <c r="E719" s="2">
        <f>IFERROR(__xludf.DUMMYFUNCTION("""COMPUTED_VALUE"""),500.0)</f>
        <v>500</v>
      </c>
      <c r="F719" s="2">
        <f>IFERROR(__xludf.DUMMYFUNCTION("""COMPUTED_VALUE"""),5616100.0)</f>
        <v>5616100</v>
      </c>
      <c r="G719" s="2">
        <f t="shared" si="1"/>
        <v>5</v>
      </c>
    </row>
    <row r="720" ht="15.75" customHeight="1">
      <c r="A720" s="1">
        <f>IFERROR(__xludf.DUMMYFUNCTION("""COMPUTED_VALUE"""),44909.66666666667)</f>
        <v>44909.66667</v>
      </c>
      <c r="B720" s="2">
        <f>IFERROR(__xludf.DUMMYFUNCTION("""COMPUTED_VALUE"""),500.0)</f>
        <v>500</v>
      </c>
      <c r="C720" s="2">
        <f>IFERROR(__xludf.DUMMYFUNCTION("""COMPUTED_VALUE"""),505.0)</f>
        <v>505</v>
      </c>
      <c r="D720" s="2">
        <f>IFERROR(__xludf.DUMMYFUNCTION("""COMPUTED_VALUE"""),490.0)</f>
        <v>490</v>
      </c>
      <c r="E720" s="2">
        <f>IFERROR(__xludf.DUMMYFUNCTION("""COMPUTED_VALUE"""),496.0)</f>
        <v>496</v>
      </c>
      <c r="F720" s="2">
        <f>IFERROR(__xludf.DUMMYFUNCTION("""COMPUTED_VALUE"""),1.44217E7)</f>
        <v>14421700</v>
      </c>
      <c r="G720" s="2">
        <f t="shared" si="1"/>
        <v>15</v>
      </c>
    </row>
    <row r="721" ht="15.75" customHeight="1">
      <c r="A721" s="1">
        <f>IFERROR(__xludf.DUMMYFUNCTION("""COMPUTED_VALUE"""),44910.66666666667)</f>
        <v>44910.66667</v>
      </c>
      <c r="B721" s="2">
        <f>IFERROR(__xludf.DUMMYFUNCTION("""COMPUTED_VALUE"""),498.0)</f>
        <v>498</v>
      </c>
      <c r="C721" s="2">
        <f>IFERROR(__xludf.DUMMYFUNCTION("""COMPUTED_VALUE"""),510.0)</f>
        <v>510</v>
      </c>
      <c r="D721" s="2">
        <f>IFERROR(__xludf.DUMMYFUNCTION("""COMPUTED_VALUE"""),498.0)</f>
        <v>498</v>
      </c>
      <c r="E721" s="2">
        <f>IFERROR(__xludf.DUMMYFUNCTION("""COMPUTED_VALUE"""),500.0)</f>
        <v>500</v>
      </c>
      <c r="F721" s="2">
        <f>IFERROR(__xludf.DUMMYFUNCTION("""COMPUTED_VALUE"""),1.60254E7)</f>
        <v>16025400</v>
      </c>
      <c r="G721" s="2">
        <f t="shared" si="1"/>
        <v>14</v>
      </c>
    </row>
    <row r="722" ht="15.75" customHeight="1">
      <c r="A722" s="1">
        <f>IFERROR(__xludf.DUMMYFUNCTION("""COMPUTED_VALUE"""),44911.66666666667)</f>
        <v>44911.66667</v>
      </c>
      <c r="B722" s="2">
        <f>IFERROR(__xludf.DUMMYFUNCTION("""COMPUTED_VALUE"""),500.0)</f>
        <v>500</v>
      </c>
      <c r="C722" s="2">
        <f>IFERROR(__xludf.DUMMYFUNCTION("""COMPUTED_VALUE"""),500.0)</f>
        <v>500</v>
      </c>
      <c r="D722" s="2">
        <f>IFERROR(__xludf.DUMMYFUNCTION("""COMPUTED_VALUE"""),494.0)</f>
        <v>494</v>
      </c>
      <c r="E722" s="2">
        <f>IFERROR(__xludf.DUMMYFUNCTION("""COMPUTED_VALUE"""),500.0)</f>
        <v>500</v>
      </c>
      <c r="F722" s="2">
        <f>IFERROR(__xludf.DUMMYFUNCTION("""COMPUTED_VALUE"""),7464500.0)</f>
        <v>7464500</v>
      </c>
      <c r="G722" s="2">
        <f t="shared" si="1"/>
        <v>6</v>
      </c>
    </row>
    <row r="723" ht="15.75" customHeight="1">
      <c r="A723" s="1">
        <f>IFERROR(__xludf.DUMMYFUNCTION("""COMPUTED_VALUE"""),44914.66666666667)</f>
        <v>44914.66667</v>
      </c>
      <c r="B723" s="2">
        <f>IFERROR(__xludf.DUMMYFUNCTION("""COMPUTED_VALUE"""),500.0)</f>
        <v>500</v>
      </c>
      <c r="C723" s="2">
        <f>IFERROR(__xludf.DUMMYFUNCTION("""COMPUTED_VALUE"""),505.0)</f>
        <v>505</v>
      </c>
      <c r="D723" s="2">
        <f>IFERROR(__xludf.DUMMYFUNCTION("""COMPUTED_VALUE"""),494.0)</f>
        <v>494</v>
      </c>
      <c r="E723" s="2">
        <f>IFERROR(__xludf.DUMMYFUNCTION("""COMPUTED_VALUE"""),498.0)</f>
        <v>498</v>
      </c>
      <c r="F723" s="2">
        <f>IFERROR(__xludf.DUMMYFUNCTION("""COMPUTED_VALUE"""),3943500.0)</f>
        <v>3943500</v>
      </c>
      <c r="G723" s="2">
        <f t="shared" si="1"/>
        <v>11</v>
      </c>
    </row>
    <row r="724" ht="15.75" customHeight="1">
      <c r="A724" s="1">
        <f>IFERROR(__xludf.DUMMYFUNCTION("""COMPUTED_VALUE"""),44915.66666666667)</f>
        <v>44915.66667</v>
      </c>
      <c r="B724" s="2">
        <f>IFERROR(__xludf.DUMMYFUNCTION("""COMPUTED_VALUE"""),498.0)</f>
        <v>498</v>
      </c>
      <c r="C724" s="2">
        <f>IFERROR(__xludf.DUMMYFUNCTION("""COMPUTED_VALUE"""),498.0)</f>
        <v>498</v>
      </c>
      <c r="D724" s="2">
        <f>IFERROR(__xludf.DUMMYFUNCTION("""COMPUTED_VALUE"""),492.0)</f>
        <v>492</v>
      </c>
      <c r="E724" s="2">
        <f>IFERROR(__xludf.DUMMYFUNCTION("""COMPUTED_VALUE"""),492.0)</f>
        <v>492</v>
      </c>
      <c r="F724" s="2">
        <f>IFERROR(__xludf.DUMMYFUNCTION("""COMPUTED_VALUE"""),4574400.0)</f>
        <v>4574400</v>
      </c>
      <c r="G724" s="2">
        <f t="shared" si="1"/>
        <v>6</v>
      </c>
    </row>
    <row r="725" ht="15.75" customHeight="1">
      <c r="A725" s="1">
        <f>IFERROR(__xludf.DUMMYFUNCTION("""COMPUTED_VALUE"""),44916.66666666667)</f>
        <v>44916.66667</v>
      </c>
      <c r="B725" s="2">
        <f>IFERROR(__xludf.DUMMYFUNCTION("""COMPUTED_VALUE"""),492.0)</f>
        <v>492</v>
      </c>
      <c r="C725" s="2">
        <f>IFERROR(__xludf.DUMMYFUNCTION("""COMPUTED_VALUE"""),505.0)</f>
        <v>505</v>
      </c>
      <c r="D725" s="2">
        <f>IFERROR(__xludf.DUMMYFUNCTION("""COMPUTED_VALUE"""),492.0)</f>
        <v>492</v>
      </c>
      <c r="E725" s="2">
        <f>IFERROR(__xludf.DUMMYFUNCTION("""COMPUTED_VALUE"""),500.0)</f>
        <v>500</v>
      </c>
      <c r="F725" s="2">
        <f>IFERROR(__xludf.DUMMYFUNCTION("""COMPUTED_VALUE"""),9186300.0)</f>
        <v>9186300</v>
      </c>
      <c r="G725" s="2">
        <f t="shared" si="1"/>
        <v>13</v>
      </c>
    </row>
    <row r="726" ht="15.75" customHeight="1">
      <c r="A726" s="1">
        <f>IFERROR(__xludf.DUMMYFUNCTION("""COMPUTED_VALUE"""),44917.66666666667)</f>
        <v>44917.66667</v>
      </c>
      <c r="B726" s="2">
        <f>IFERROR(__xludf.DUMMYFUNCTION("""COMPUTED_VALUE"""),500.0)</f>
        <v>500</v>
      </c>
      <c r="C726" s="2">
        <f>IFERROR(__xludf.DUMMYFUNCTION("""COMPUTED_VALUE"""),520.0)</f>
        <v>520</v>
      </c>
      <c r="D726" s="2">
        <f>IFERROR(__xludf.DUMMYFUNCTION("""COMPUTED_VALUE"""),500.0)</f>
        <v>500</v>
      </c>
      <c r="E726" s="2">
        <f>IFERROR(__xludf.DUMMYFUNCTION("""COMPUTED_VALUE"""),520.0)</f>
        <v>520</v>
      </c>
      <c r="F726" s="2">
        <f>IFERROR(__xludf.DUMMYFUNCTION("""COMPUTED_VALUE"""),2.51197E7)</f>
        <v>25119700</v>
      </c>
      <c r="G726" s="2">
        <f t="shared" si="1"/>
        <v>20</v>
      </c>
    </row>
    <row r="727" ht="15.75" customHeight="1">
      <c r="A727" s="1">
        <f>IFERROR(__xludf.DUMMYFUNCTION("""COMPUTED_VALUE"""),44918.66666666667)</f>
        <v>44918.66667</v>
      </c>
      <c r="B727" s="2">
        <f>IFERROR(__xludf.DUMMYFUNCTION("""COMPUTED_VALUE"""),520.0)</f>
        <v>520</v>
      </c>
      <c r="C727" s="2">
        <f>IFERROR(__xludf.DUMMYFUNCTION("""COMPUTED_VALUE"""),520.0)</f>
        <v>520</v>
      </c>
      <c r="D727" s="2">
        <f>IFERROR(__xludf.DUMMYFUNCTION("""COMPUTED_VALUE"""),510.0)</f>
        <v>510</v>
      </c>
      <c r="E727" s="2">
        <f>IFERROR(__xludf.DUMMYFUNCTION("""COMPUTED_VALUE"""),520.0)</f>
        <v>520</v>
      </c>
      <c r="F727" s="2">
        <f>IFERROR(__xludf.DUMMYFUNCTION("""COMPUTED_VALUE"""),5480000.0)</f>
        <v>5480000</v>
      </c>
      <c r="G727" s="2">
        <f t="shared" si="1"/>
        <v>10</v>
      </c>
    </row>
    <row r="728" ht="15.75" customHeight="1">
      <c r="A728" s="1">
        <f>IFERROR(__xludf.DUMMYFUNCTION("""COMPUTED_VALUE"""),44921.66666666667)</f>
        <v>44921.66667</v>
      </c>
      <c r="B728" s="2">
        <f>IFERROR(__xludf.DUMMYFUNCTION("""COMPUTED_VALUE"""),520.0)</f>
        <v>520</v>
      </c>
      <c r="C728" s="2">
        <f>IFERROR(__xludf.DUMMYFUNCTION("""COMPUTED_VALUE"""),520.0)</f>
        <v>520</v>
      </c>
      <c r="D728" s="2">
        <f>IFERROR(__xludf.DUMMYFUNCTION("""COMPUTED_VALUE"""),500.0)</f>
        <v>500</v>
      </c>
      <c r="E728" s="2">
        <f>IFERROR(__xludf.DUMMYFUNCTION("""COMPUTED_VALUE"""),510.0)</f>
        <v>510</v>
      </c>
      <c r="F728" s="2">
        <f>IFERROR(__xludf.DUMMYFUNCTION("""COMPUTED_VALUE"""),1.11735E7)</f>
        <v>11173500</v>
      </c>
      <c r="G728" s="2">
        <f t="shared" si="1"/>
        <v>20</v>
      </c>
    </row>
    <row r="729" ht="15.75" customHeight="1">
      <c r="A729" s="1">
        <f>IFERROR(__xludf.DUMMYFUNCTION("""COMPUTED_VALUE"""),44922.66666666667)</f>
        <v>44922.66667</v>
      </c>
      <c r="B729" s="2">
        <f>IFERROR(__xludf.DUMMYFUNCTION("""COMPUTED_VALUE"""),510.0)</f>
        <v>510</v>
      </c>
      <c r="C729" s="2">
        <f>IFERROR(__xludf.DUMMYFUNCTION("""COMPUTED_VALUE"""),515.0)</f>
        <v>515</v>
      </c>
      <c r="D729" s="2">
        <f>IFERROR(__xludf.DUMMYFUNCTION("""COMPUTED_VALUE"""),494.0)</f>
        <v>494</v>
      </c>
      <c r="E729" s="2">
        <f>IFERROR(__xludf.DUMMYFUNCTION("""COMPUTED_VALUE"""),494.0)</f>
        <v>494</v>
      </c>
      <c r="F729" s="2">
        <f>IFERROR(__xludf.DUMMYFUNCTION("""COMPUTED_VALUE"""),1.56213E7)</f>
        <v>15621300</v>
      </c>
      <c r="G729" s="2">
        <f t="shared" si="1"/>
        <v>21</v>
      </c>
    </row>
    <row r="730" ht="15.75" customHeight="1">
      <c r="A730" s="1">
        <f>IFERROR(__xludf.DUMMYFUNCTION("""COMPUTED_VALUE"""),44923.66666666667)</f>
        <v>44923.66667</v>
      </c>
      <c r="B730" s="2">
        <f>IFERROR(__xludf.DUMMYFUNCTION("""COMPUTED_VALUE"""),498.0)</f>
        <v>498</v>
      </c>
      <c r="C730" s="2">
        <f>IFERROR(__xludf.DUMMYFUNCTION("""COMPUTED_VALUE"""),498.0)</f>
        <v>498</v>
      </c>
      <c r="D730" s="2">
        <f>IFERROR(__xludf.DUMMYFUNCTION("""COMPUTED_VALUE"""),480.0)</f>
        <v>480</v>
      </c>
      <c r="E730" s="2">
        <f>IFERROR(__xludf.DUMMYFUNCTION("""COMPUTED_VALUE"""),484.0)</f>
        <v>484</v>
      </c>
      <c r="F730" s="2">
        <f>IFERROR(__xludf.DUMMYFUNCTION("""COMPUTED_VALUE"""),2.61745E7)</f>
        <v>26174500</v>
      </c>
      <c r="G730" s="2">
        <f t="shared" si="1"/>
        <v>18</v>
      </c>
    </row>
    <row r="731" ht="15.75" customHeight="1">
      <c r="A731" s="1">
        <f>IFERROR(__xludf.DUMMYFUNCTION("""COMPUTED_VALUE"""),44924.66666666667)</f>
        <v>44924.66667</v>
      </c>
      <c r="B731" s="2">
        <f>IFERROR(__xludf.DUMMYFUNCTION("""COMPUTED_VALUE"""),486.0)</f>
        <v>486</v>
      </c>
      <c r="C731" s="2">
        <f>IFERROR(__xludf.DUMMYFUNCTION("""COMPUTED_VALUE"""),490.0)</f>
        <v>490</v>
      </c>
      <c r="D731" s="2">
        <f>IFERROR(__xludf.DUMMYFUNCTION("""COMPUTED_VALUE"""),484.0)</f>
        <v>484</v>
      </c>
      <c r="E731" s="2">
        <f>IFERROR(__xludf.DUMMYFUNCTION("""COMPUTED_VALUE"""),486.0)</f>
        <v>486</v>
      </c>
      <c r="F731" s="2">
        <f>IFERROR(__xludf.DUMMYFUNCTION("""COMPUTED_VALUE"""),5729100.0)</f>
        <v>5729100</v>
      </c>
      <c r="G731" s="2">
        <f t="shared" si="1"/>
        <v>6</v>
      </c>
    </row>
    <row r="732" ht="15.75" customHeight="1">
      <c r="A732" s="1">
        <f>IFERROR(__xludf.DUMMYFUNCTION("""COMPUTED_VALUE"""),44925.66666666667)</f>
        <v>44925.66667</v>
      </c>
      <c r="B732" s="2">
        <f>IFERROR(__xludf.DUMMYFUNCTION("""COMPUTED_VALUE"""),486.0)</f>
        <v>486</v>
      </c>
      <c r="C732" s="2">
        <f>IFERROR(__xludf.DUMMYFUNCTION("""COMPUTED_VALUE"""),490.0)</f>
        <v>490</v>
      </c>
      <c r="D732" s="2">
        <f>IFERROR(__xludf.DUMMYFUNCTION("""COMPUTED_VALUE"""),484.0)</f>
        <v>484</v>
      </c>
      <c r="E732" s="2">
        <f>IFERROR(__xludf.DUMMYFUNCTION("""COMPUTED_VALUE"""),484.0)</f>
        <v>484</v>
      </c>
      <c r="F732" s="2">
        <f>IFERROR(__xludf.DUMMYFUNCTION("""COMPUTED_VALUE"""),4512100.0)</f>
        <v>4512100</v>
      </c>
      <c r="G732" s="2">
        <f t="shared" si="1"/>
        <v>6</v>
      </c>
    </row>
    <row r="733" ht="15.75" customHeight="1">
      <c r="A733" s="1">
        <f>IFERROR(__xludf.DUMMYFUNCTION("""COMPUTED_VALUE"""),44928.66666666667)</f>
        <v>44928.66667</v>
      </c>
      <c r="B733" s="2">
        <f>IFERROR(__xludf.DUMMYFUNCTION("""COMPUTED_VALUE"""),484.0)</f>
        <v>484</v>
      </c>
      <c r="C733" s="2">
        <f>IFERROR(__xludf.DUMMYFUNCTION("""COMPUTED_VALUE"""),492.0)</f>
        <v>492</v>
      </c>
      <c r="D733" s="2">
        <f>IFERROR(__xludf.DUMMYFUNCTION("""COMPUTED_VALUE"""),484.0)</f>
        <v>484</v>
      </c>
      <c r="E733" s="2">
        <f>IFERROR(__xludf.DUMMYFUNCTION("""COMPUTED_VALUE"""),484.0)</f>
        <v>484</v>
      </c>
      <c r="F733" s="2">
        <f>IFERROR(__xludf.DUMMYFUNCTION("""COMPUTED_VALUE"""),5854500.0)</f>
        <v>5854500</v>
      </c>
      <c r="G733" s="2">
        <f t="shared" si="1"/>
        <v>8</v>
      </c>
    </row>
    <row r="734" ht="15.75" customHeight="1">
      <c r="A734" s="1">
        <f>IFERROR(__xludf.DUMMYFUNCTION("""COMPUTED_VALUE"""),44929.66666666667)</f>
        <v>44929.66667</v>
      </c>
      <c r="B734" s="2">
        <f>IFERROR(__xludf.DUMMYFUNCTION("""COMPUTED_VALUE"""),484.0)</f>
        <v>484</v>
      </c>
      <c r="C734" s="2">
        <f>IFERROR(__xludf.DUMMYFUNCTION("""COMPUTED_VALUE"""),490.0)</f>
        <v>490</v>
      </c>
      <c r="D734" s="2">
        <f>IFERROR(__xludf.DUMMYFUNCTION("""COMPUTED_VALUE"""),482.0)</f>
        <v>482</v>
      </c>
      <c r="E734" s="2">
        <f>IFERROR(__xludf.DUMMYFUNCTION("""COMPUTED_VALUE"""),488.0)</f>
        <v>488</v>
      </c>
      <c r="F734" s="2">
        <f>IFERROR(__xludf.DUMMYFUNCTION("""COMPUTED_VALUE"""),1.49179E7)</f>
        <v>14917900</v>
      </c>
      <c r="G734" s="2">
        <f t="shared" si="1"/>
        <v>8</v>
      </c>
    </row>
    <row r="735" ht="15.75" customHeight="1">
      <c r="A735" s="1">
        <f>IFERROR(__xludf.DUMMYFUNCTION("""COMPUTED_VALUE"""),44930.66666666667)</f>
        <v>44930.66667</v>
      </c>
      <c r="B735" s="2">
        <f>IFERROR(__xludf.DUMMYFUNCTION("""COMPUTED_VALUE"""),490.0)</f>
        <v>490</v>
      </c>
      <c r="C735" s="2">
        <f>IFERROR(__xludf.DUMMYFUNCTION("""COMPUTED_VALUE"""),496.0)</f>
        <v>496</v>
      </c>
      <c r="D735" s="2">
        <f>IFERROR(__xludf.DUMMYFUNCTION("""COMPUTED_VALUE"""),482.0)</f>
        <v>482</v>
      </c>
      <c r="E735" s="2">
        <f>IFERROR(__xludf.DUMMYFUNCTION("""COMPUTED_VALUE"""),484.0)</f>
        <v>484</v>
      </c>
      <c r="F735" s="2">
        <f>IFERROR(__xludf.DUMMYFUNCTION("""COMPUTED_VALUE"""),1.85903E7)</f>
        <v>18590300</v>
      </c>
      <c r="G735" s="2">
        <f t="shared" si="1"/>
        <v>14</v>
      </c>
    </row>
    <row r="736" ht="15.75" customHeight="1">
      <c r="A736" s="1">
        <f>IFERROR(__xludf.DUMMYFUNCTION("""COMPUTED_VALUE"""),44931.66666666667)</f>
        <v>44931.66667</v>
      </c>
      <c r="B736" s="2">
        <f>IFERROR(__xludf.DUMMYFUNCTION("""COMPUTED_VALUE"""),484.0)</f>
        <v>484</v>
      </c>
      <c r="C736" s="2">
        <f>IFERROR(__xludf.DUMMYFUNCTION("""COMPUTED_VALUE"""),486.0)</f>
        <v>486</v>
      </c>
      <c r="D736" s="2">
        <f>IFERROR(__xludf.DUMMYFUNCTION("""COMPUTED_VALUE"""),452.0)</f>
        <v>452</v>
      </c>
      <c r="E736" s="2">
        <f>IFERROR(__xludf.DUMMYFUNCTION("""COMPUTED_VALUE"""),454.0)</f>
        <v>454</v>
      </c>
      <c r="F736" s="2">
        <f>IFERROR(__xludf.DUMMYFUNCTION("""COMPUTED_VALUE"""),3.65047E7)</f>
        <v>36504700</v>
      </c>
      <c r="G736" s="2">
        <f t="shared" si="1"/>
        <v>34</v>
      </c>
    </row>
    <row r="737" ht="15.75" customHeight="1">
      <c r="A737" s="1">
        <f>IFERROR(__xludf.DUMMYFUNCTION("""COMPUTED_VALUE"""),44932.66666666667)</f>
        <v>44932.66667</v>
      </c>
      <c r="B737" s="2">
        <f>IFERROR(__xludf.DUMMYFUNCTION("""COMPUTED_VALUE"""),458.0)</f>
        <v>458</v>
      </c>
      <c r="C737" s="2">
        <f>IFERROR(__xludf.DUMMYFUNCTION("""COMPUTED_VALUE"""),458.0)</f>
        <v>458</v>
      </c>
      <c r="D737" s="2">
        <f>IFERROR(__xludf.DUMMYFUNCTION("""COMPUTED_VALUE"""),442.0)</f>
        <v>442</v>
      </c>
      <c r="E737" s="2">
        <f>IFERROR(__xludf.DUMMYFUNCTION("""COMPUTED_VALUE"""),452.0)</f>
        <v>452</v>
      </c>
      <c r="F737" s="2">
        <f>IFERROR(__xludf.DUMMYFUNCTION("""COMPUTED_VALUE"""),1.15305E7)</f>
        <v>11530500</v>
      </c>
      <c r="G737" s="2">
        <f t="shared" si="1"/>
        <v>16</v>
      </c>
    </row>
    <row r="738" ht="15.75" customHeight="1">
      <c r="A738" s="1">
        <f>IFERROR(__xludf.DUMMYFUNCTION("""COMPUTED_VALUE"""),44935.66666666667)</f>
        <v>44935.66667</v>
      </c>
      <c r="B738" s="2">
        <f>IFERROR(__xludf.DUMMYFUNCTION("""COMPUTED_VALUE"""),458.0)</f>
        <v>458</v>
      </c>
      <c r="C738" s="2">
        <f>IFERROR(__xludf.DUMMYFUNCTION("""COMPUTED_VALUE"""),458.0)</f>
        <v>458</v>
      </c>
      <c r="D738" s="2">
        <f>IFERROR(__xludf.DUMMYFUNCTION("""COMPUTED_VALUE"""),432.0)</f>
        <v>432</v>
      </c>
      <c r="E738" s="2">
        <f>IFERROR(__xludf.DUMMYFUNCTION("""COMPUTED_VALUE"""),438.0)</f>
        <v>438</v>
      </c>
      <c r="F738" s="2">
        <f>IFERROR(__xludf.DUMMYFUNCTION("""COMPUTED_VALUE"""),2.00151E7)</f>
        <v>20015100</v>
      </c>
      <c r="G738" s="2">
        <f t="shared" si="1"/>
        <v>26</v>
      </c>
    </row>
    <row r="739" ht="15.75" customHeight="1">
      <c r="A739" s="1">
        <f>IFERROR(__xludf.DUMMYFUNCTION("""COMPUTED_VALUE"""),44936.66666666667)</f>
        <v>44936.66667</v>
      </c>
      <c r="B739" s="2">
        <f>IFERROR(__xludf.DUMMYFUNCTION("""COMPUTED_VALUE"""),438.0)</f>
        <v>438</v>
      </c>
      <c r="C739" s="2">
        <f>IFERROR(__xludf.DUMMYFUNCTION("""COMPUTED_VALUE"""),440.0)</f>
        <v>440</v>
      </c>
      <c r="D739" s="2">
        <f>IFERROR(__xludf.DUMMYFUNCTION("""COMPUTED_VALUE"""),408.0)</f>
        <v>408</v>
      </c>
      <c r="E739" s="2">
        <f>IFERROR(__xludf.DUMMYFUNCTION("""COMPUTED_VALUE"""),416.0)</f>
        <v>416</v>
      </c>
      <c r="F739" s="2">
        <f>IFERROR(__xludf.DUMMYFUNCTION("""COMPUTED_VALUE"""),2.8291E7)</f>
        <v>28291000</v>
      </c>
      <c r="G739" s="2">
        <f t="shared" si="1"/>
        <v>32</v>
      </c>
    </row>
    <row r="740" ht="15.75" customHeight="1">
      <c r="A740" s="1">
        <f>IFERROR(__xludf.DUMMYFUNCTION("""COMPUTED_VALUE"""),44937.66666666667)</f>
        <v>44937.66667</v>
      </c>
      <c r="B740" s="2">
        <f>IFERROR(__xludf.DUMMYFUNCTION("""COMPUTED_VALUE"""),416.0)</f>
        <v>416</v>
      </c>
      <c r="C740" s="2">
        <f>IFERROR(__xludf.DUMMYFUNCTION("""COMPUTED_VALUE"""),424.0)</f>
        <v>424</v>
      </c>
      <c r="D740" s="2">
        <f>IFERROR(__xludf.DUMMYFUNCTION("""COMPUTED_VALUE"""),408.0)</f>
        <v>408</v>
      </c>
      <c r="E740" s="2">
        <f>IFERROR(__xludf.DUMMYFUNCTION("""COMPUTED_VALUE"""),418.0)</f>
        <v>418</v>
      </c>
      <c r="F740" s="2">
        <f>IFERROR(__xludf.DUMMYFUNCTION("""COMPUTED_VALUE"""),1.22802E7)</f>
        <v>12280200</v>
      </c>
      <c r="G740" s="2">
        <f t="shared" si="1"/>
        <v>16</v>
      </c>
    </row>
    <row r="741" ht="15.75" customHeight="1">
      <c r="A741" s="1">
        <f>IFERROR(__xludf.DUMMYFUNCTION("""COMPUTED_VALUE"""),44938.66666666667)</f>
        <v>44938.66667</v>
      </c>
      <c r="B741" s="2">
        <f>IFERROR(__xludf.DUMMYFUNCTION("""COMPUTED_VALUE"""),418.0)</f>
        <v>418</v>
      </c>
      <c r="C741" s="2">
        <f>IFERROR(__xludf.DUMMYFUNCTION("""COMPUTED_VALUE"""),428.0)</f>
        <v>428</v>
      </c>
      <c r="D741" s="2">
        <f>IFERROR(__xludf.DUMMYFUNCTION("""COMPUTED_VALUE"""),416.0)</f>
        <v>416</v>
      </c>
      <c r="E741" s="2">
        <f>IFERROR(__xludf.DUMMYFUNCTION("""COMPUTED_VALUE"""),424.0)</f>
        <v>424</v>
      </c>
      <c r="F741" s="2">
        <f>IFERROR(__xludf.DUMMYFUNCTION("""COMPUTED_VALUE"""),1.1328E7)</f>
        <v>11328000</v>
      </c>
      <c r="G741" s="2">
        <f t="shared" si="1"/>
        <v>12</v>
      </c>
    </row>
    <row r="742" ht="15.75" customHeight="1">
      <c r="A742" s="1">
        <f>IFERROR(__xludf.DUMMYFUNCTION("""COMPUTED_VALUE"""),44939.66666666667)</f>
        <v>44939.66667</v>
      </c>
      <c r="B742" s="2">
        <f>IFERROR(__xludf.DUMMYFUNCTION("""COMPUTED_VALUE"""),424.0)</f>
        <v>424</v>
      </c>
      <c r="C742" s="2">
        <f>IFERROR(__xludf.DUMMYFUNCTION("""COMPUTED_VALUE"""),428.0)</f>
        <v>428</v>
      </c>
      <c r="D742" s="2">
        <f>IFERROR(__xludf.DUMMYFUNCTION("""COMPUTED_VALUE"""),420.0)</f>
        <v>420</v>
      </c>
      <c r="E742" s="2">
        <f>IFERROR(__xludf.DUMMYFUNCTION("""COMPUTED_VALUE"""),428.0)</f>
        <v>428</v>
      </c>
      <c r="F742" s="2">
        <f>IFERROR(__xludf.DUMMYFUNCTION("""COMPUTED_VALUE"""),6380400.0)</f>
        <v>6380400</v>
      </c>
      <c r="G742" s="2">
        <f t="shared" si="1"/>
        <v>8</v>
      </c>
    </row>
    <row r="743" ht="15.75" customHeight="1">
      <c r="A743" s="1">
        <f>IFERROR(__xludf.DUMMYFUNCTION("""COMPUTED_VALUE"""),44942.66666666667)</f>
        <v>44942.66667</v>
      </c>
      <c r="B743" s="2">
        <f>IFERROR(__xludf.DUMMYFUNCTION("""COMPUTED_VALUE"""),426.0)</f>
        <v>426</v>
      </c>
      <c r="C743" s="2">
        <f>IFERROR(__xludf.DUMMYFUNCTION("""COMPUTED_VALUE"""),436.0)</f>
        <v>436</v>
      </c>
      <c r="D743" s="2">
        <f>IFERROR(__xludf.DUMMYFUNCTION("""COMPUTED_VALUE"""),424.0)</f>
        <v>424</v>
      </c>
      <c r="E743" s="2">
        <f>IFERROR(__xludf.DUMMYFUNCTION("""COMPUTED_VALUE"""),430.0)</f>
        <v>430</v>
      </c>
      <c r="F743" s="2">
        <f>IFERROR(__xludf.DUMMYFUNCTION("""COMPUTED_VALUE"""),6820500.0)</f>
        <v>6820500</v>
      </c>
      <c r="G743" s="2">
        <f t="shared" si="1"/>
        <v>12</v>
      </c>
    </row>
    <row r="744" ht="15.75" customHeight="1">
      <c r="A744" s="1">
        <f>IFERROR(__xludf.DUMMYFUNCTION("""COMPUTED_VALUE"""),44943.66666666667)</f>
        <v>44943.66667</v>
      </c>
      <c r="B744" s="2">
        <f>IFERROR(__xludf.DUMMYFUNCTION("""COMPUTED_VALUE"""),432.0)</f>
        <v>432</v>
      </c>
      <c r="C744" s="2">
        <f>IFERROR(__xludf.DUMMYFUNCTION("""COMPUTED_VALUE"""),436.0)</f>
        <v>436</v>
      </c>
      <c r="D744" s="2">
        <f>IFERROR(__xludf.DUMMYFUNCTION("""COMPUTED_VALUE"""),428.0)</f>
        <v>428</v>
      </c>
      <c r="E744" s="2">
        <f>IFERROR(__xludf.DUMMYFUNCTION("""COMPUTED_VALUE"""),432.0)</f>
        <v>432</v>
      </c>
      <c r="F744" s="2">
        <f>IFERROR(__xludf.DUMMYFUNCTION("""COMPUTED_VALUE"""),6215200.0)</f>
        <v>6215200</v>
      </c>
      <c r="G744" s="2">
        <f t="shared" si="1"/>
        <v>8</v>
      </c>
    </row>
    <row r="745" ht="15.75" customHeight="1">
      <c r="A745" s="1">
        <f>IFERROR(__xludf.DUMMYFUNCTION("""COMPUTED_VALUE"""),44944.66666666667)</f>
        <v>44944.66667</v>
      </c>
      <c r="B745" s="2">
        <f>IFERROR(__xludf.DUMMYFUNCTION("""COMPUTED_VALUE"""),432.0)</f>
        <v>432</v>
      </c>
      <c r="C745" s="2">
        <f>IFERROR(__xludf.DUMMYFUNCTION("""COMPUTED_VALUE"""),434.0)</f>
        <v>434</v>
      </c>
      <c r="D745" s="2">
        <f>IFERROR(__xludf.DUMMYFUNCTION("""COMPUTED_VALUE"""),420.0)</f>
        <v>420</v>
      </c>
      <c r="E745" s="2">
        <f>IFERROR(__xludf.DUMMYFUNCTION("""COMPUTED_VALUE"""),422.0)</f>
        <v>422</v>
      </c>
      <c r="F745" s="2">
        <f>IFERROR(__xludf.DUMMYFUNCTION("""COMPUTED_VALUE"""),1.43099E7)</f>
        <v>14309900</v>
      </c>
      <c r="G745" s="2">
        <f t="shared" si="1"/>
        <v>14</v>
      </c>
    </row>
    <row r="746" ht="15.75" customHeight="1">
      <c r="A746" s="1">
        <f>IFERROR(__xludf.DUMMYFUNCTION("""COMPUTED_VALUE"""),44945.66666666667)</f>
        <v>44945.66667</v>
      </c>
      <c r="B746" s="2">
        <f>IFERROR(__xludf.DUMMYFUNCTION("""COMPUTED_VALUE"""),422.0)</f>
        <v>422</v>
      </c>
      <c r="C746" s="2">
        <f>IFERROR(__xludf.DUMMYFUNCTION("""COMPUTED_VALUE"""),442.0)</f>
        <v>442</v>
      </c>
      <c r="D746" s="2">
        <f>IFERROR(__xludf.DUMMYFUNCTION("""COMPUTED_VALUE"""),422.0)</f>
        <v>422</v>
      </c>
      <c r="E746" s="2">
        <f>IFERROR(__xludf.DUMMYFUNCTION("""COMPUTED_VALUE"""),438.0)</f>
        <v>438</v>
      </c>
      <c r="F746" s="2">
        <f>IFERROR(__xludf.DUMMYFUNCTION("""COMPUTED_VALUE"""),1.59844E7)</f>
        <v>15984400</v>
      </c>
      <c r="G746" s="2">
        <f t="shared" si="1"/>
        <v>20</v>
      </c>
    </row>
    <row r="747" ht="15.75" customHeight="1">
      <c r="A747" s="1">
        <f>IFERROR(__xludf.DUMMYFUNCTION("""COMPUTED_VALUE"""),44946.66666666667)</f>
        <v>44946.66667</v>
      </c>
      <c r="B747" s="2">
        <f>IFERROR(__xludf.DUMMYFUNCTION("""COMPUTED_VALUE"""),438.0)</f>
        <v>438</v>
      </c>
      <c r="C747" s="2">
        <f>IFERROR(__xludf.DUMMYFUNCTION("""COMPUTED_VALUE"""),454.0)</f>
        <v>454</v>
      </c>
      <c r="D747" s="2">
        <f>IFERROR(__xludf.DUMMYFUNCTION("""COMPUTED_VALUE"""),438.0)</f>
        <v>438</v>
      </c>
      <c r="E747" s="2">
        <f>IFERROR(__xludf.DUMMYFUNCTION("""COMPUTED_VALUE"""),452.0)</f>
        <v>452</v>
      </c>
      <c r="F747" s="2">
        <f>IFERROR(__xludf.DUMMYFUNCTION("""COMPUTED_VALUE"""),9884500.0)</f>
        <v>9884500</v>
      </c>
      <c r="G747" s="2">
        <f t="shared" si="1"/>
        <v>16</v>
      </c>
    </row>
    <row r="748" ht="15.75" customHeight="1">
      <c r="A748" s="1">
        <f>IFERROR(__xludf.DUMMYFUNCTION("""COMPUTED_VALUE"""),44950.66666666667)</f>
        <v>44950.66667</v>
      </c>
      <c r="B748" s="2">
        <f>IFERROR(__xludf.DUMMYFUNCTION("""COMPUTED_VALUE"""),452.0)</f>
        <v>452</v>
      </c>
      <c r="C748" s="2">
        <f>IFERROR(__xludf.DUMMYFUNCTION("""COMPUTED_VALUE"""),458.0)</f>
        <v>458</v>
      </c>
      <c r="D748" s="2">
        <f>IFERROR(__xludf.DUMMYFUNCTION("""COMPUTED_VALUE"""),450.0)</f>
        <v>450</v>
      </c>
      <c r="E748" s="2">
        <f>IFERROR(__xludf.DUMMYFUNCTION("""COMPUTED_VALUE"""),452.0)</f>
        <v>452</v>
      </c>
      <c r="F748" s="2">
        <f>IFERROR(__xludf.DUMMYFUNCTION("""COMPUTED_VALUE"""),8212900.0)</f>
        <v>8212900</v>
      </c>
      <c r="G748" s="2">
        <f t="shared" si="1"/>
        <v>8</v>
      </c>
    </row>
    <row r="749" ht="15.75" customHeight="1">
      <c r="A749" s="1">
        <f>IFERROR(__xludf.DUMMYFUNCTION("""COMPUTED_VALUE"""),44951.66666666667)</f>
        <v>44951.66667</v>
      </c>
      <c r="B749" s="2">
        <f>IFERROR(__xludf.DUMMYFUNCTION("""COMPUTED_VALUE"""),452.0)</f>
        <v>452</v>
      </c>
      <c r="C749" s="2">
        <f>IFERROR(__xludf.DUMMYFUNCTION("""COMPUTED_VALUE"""),478.0)</f>
        <v>478</v>
      </c>
      <c r="D749" s="2">
        <f>IFERROR(__xludf.DUMMYFUNCTION("""COMPUTED_VALUE"""),446.0)</f>
        <v>446</v>
      </c>
      <c r="E749" s="2">
        <f>IFERROR(__xludf.DUMMYFUNCTION("""COMPUTED_VALUE"""),466.0)</f>
        <v>466</v>
      </c>
      <c r="F749" s="2">
        <f>IFERROR(__xludf.DUMMYFUNCTION("""COMPUTED_VALUE"""),1.91259E7)</f>
        <v>19125900</v>
      </c>
      <c r="G749" s="2">
        <f t="shared" si="1"/>
        <v>32</v>
      </c>
    </row>
    <row r="750" ht="15.75" customHeight="1">
      <c r="A750" s="1">
        <f>IFERROR(__xludf.DUMMYFUNCTION("""COMPUTED_VALUE"""),44952.66666666667)</f>
        <v>44952.66667</v>
      </c>
      <c r="B750" s="2">
        <f>IFERROR(__xludf.DUMMYFUNCTION("""COMPUTED_VALUE"""),468.0)</f>
        <v>468</v>
      </c>
      <c r="C750" s="2">
        <f>IFERROR(__xludf.DUMMYFUNCTION("""COMPUTED_VALUE"""),476.0)</f>
        <v>476</v>
      </c>
      <c r="D750" s="2">
        <f>IFERROR(__xludf.DUMMYFUNCTION("""COMPUTED_VALUE"""),458.0)</f>
        <v>458</v>
      </c>
      <c r="E750" s="2">
        <f>IFERROR(__xludf.DUMMYFUNCTION("""COMPUTED_VALUE"""),462.0)</f>
        <v>462</v>
      </c>
      <c r="F750" s="2">
        <f>IFERROR(__xludf.DUMMYFUNCTION("""COMPUTED_VALUE"""),1.14016E7)</f>
        <v>11401600</v>
      </c>
      <c r="G750" s="2">
        <f t="shared" si="1"/>
        <v>18</v>
      </c>
    </row>
    <row r="751" ht="15.75" customHeight="1">
      <c r="A751" s="1">
        <f>IFERROR(__xludf.DUMMYFUNCTION("""COMPUTED_VALUE"""),44953.66666666667)</f>
        <v>44953.66667</v>
      </c>
      <c r="B751" s="2">
        <f>IFERROR(__xludf.DUMMYFUNCTION("""COMPUTED_VALUE"""),462.0)</f>
        <v>462</v>
      </c>
      <c r="C751" s="2">
        <f>IFERROR(__xludf.DUMMYFUNCTION("""COMPUTED_VALUE"""),490.0)</f>
        <v>490</v>
      </c>
      <c r="D751" s="2">
        <f>IFERROR(__xludf.DUMMYFUNCTION("""COMPUTED_VALUE"""),460.0)</f>
        <v>460</v>
      </c>
      <c r="E751" s="2">
        <f>IFERROR(__xludf.DUMMYFUNCTION("""COMPUTED_VALUE"""),486.0)</f>
        <v>486</v>
      </c>
      <c r="F751" s="2">
        <f>IFERROR(__xludf.DUMMYFUNCTION("""COMPUTED_VALUE"""),2.85728E7)</f>
        <v>28572800</v>
      </c>
      <c r="G751" s="2">
        <f t="shared" si="1"/>
        <v>30</v>
      </c>
    </row>
    <row r="752" ht="15.75" customHeight="1">
      <c r="A752" s="1">
        <f>IFERROR(__xludf.DUMMYFUNCTION("""COMPUTED_VALUE"""),44956.66666666667)</f>
        <v>44956.66667</v>
      </c>
      <c r="B752" s="2">
        <f>IFERROR(__xludf.DUMMYFUNCTION("""COMPUTED_VALUE"""),488.0)</f>
        <v>488</v>
      </c>
      <c r="C752" s="2">
        <f>IFERROR(__xludf.DUMMYFUNCTION("""COMPUTED_VALUE"""),496.0)</f>
        <v>496</v>
      </c>
      <c r="D752" s="2">
        <f>IFERROR(__xludf.DUMMYFUNCTION("""COMPUTED_VALUE"""),476.0)</f>
        <v>476</v>
      </c>
      <c r="E752" s="2">
        <f>IFERROR(__xludf.DUMMYFUNCTION("""COMPUTED_VALUE"""),480.0)</f>
        <v>480</v>
      </c>
      <c r="F752" s="2">
        <f>IFERROR(__xludf.DUMMYFUNCTION("""COMPUTED_VALUE"""),1.53057E7)</f>
        <v>15305700</v>
      </c>
      <c r="G752" s="2">
        <f t="shared" si="1"/>
        <v>20</v>
      </c>
    </row>
    <row r="753" ht="15.75" customHeight="1">
      <c r="A753" s="1">
        <f>IFERROR(__xludf.DUMMYFUNCTION("""COMPUTED_VALUE"""),44957.66666666667)</f>
        <v>44957.66667</v>
      </c>
      <c r="B753" s="2">
        <f>IFERROR(__xludf.DUMMYFUNCTION("""COMPUTED_VALUE"""),480.0)</f>
        <v>480</v>
      </c>
      <c r="C753" s="2">
        <f>IFERROR(__xludf.DUMMYFUNCTION("""COMPUTED_VALUE"""),492.0)</f>
        <v>492</v>
      </c>
      <c r="D753" s="2">
        <f>IFERROR(__xludf.DUMMYFUNCTION("""COMPUTED_VALUE"""),476.0)</f>
        <v>476</v>
      </c>
      <c r="E753" s="2">
        <f>IFERROR(__xludf.DUMMYFUNCTION("""COMPUTED_VALUE"""),480.0)</f>
        <v>480</v>
      </c>
      <c r="F753" s="2">
        <f>IFERROR(__xludf.DUMMYFUNCTION("""COMPUTED_VALUE"""),1.19819E7)</f>
        <v>11981900</v>
      </c>
      <c r="G753" s="2">
        <f t="shared" si="1"/>
        <v>16</v>
      </c>
    </row>
    <row r="754" ht="15.75" customHeight="1">
      <c r="A754" s="1">
        <f>IFERROR(__xludf.DUMMYFUNCTION("""COMPUTED_VALUE"""),44958.66666666667)</f>
        <v>44958.66667</v>
      </c>
      <c r="B754" s="2">
        <f>IFERROR(__xludf.DUMMYFUNCTION("""COMPUTED_VALUE"""),480.0)</f>
        <v>480</v>
      </c>
      <c r="C754" s="2">
        <f>IFERROR(__xludf.DUMMYFUNCTION("""COMPUTED_VALUE"""),484.0)</f>
        <v>484</v>
      </c>
      <c r="D754" s="2">
        <f>IFERROR(__xludf.DUMMYFUNCTION("""COMPUTED_VALUE"""),472.0)</f>
        <v>472</v>
      </c>
      <c r="E754" s="2">
        <f>IFERROR(__xludf.DUMMYFUNCTION("""COMPUTED_VALUE"""),472.0)</f>
        <v>472</v>
      </c>
      <c r="F754" s="2">
        <f>IFERROR(__xludf.DUMMYFUNCTION("""COMPUTED_VALUE"""),9156300.0)</f>
        <v>9156300</v>
      </c>
      <c r="G754" s="2">
        <f t="shared" si="1"/>
        <v>12</v>
      </c>
    </row>
    <row r="755" ht="15.75" customHeight="1">
      <c r="A755" s="1">
        <f>IFERROR(__xludf.DUMMYFUNCTION("""COMPUTED_VALUE"""),44959.66666666667)</f>
        <v>44959.66667</v>
      </c>
      <c r="B755" s="2">
        <f>IFERROR(__xludf.DUMMYFUNCTION("""COMPUTED_VALUE"""),472.0)</f>
        <v>472</v>
      </c>
      <c r="C755" s="2">
        <f>IFERROR(__xludf.DUMMYFUNCTION("""COMPUTED_VALUE"""),484.0)</f>
        <v>484</v>
      </c>
      <c r="D755" s="2">
        <f>IFERROR(__xludf.DUMMYFUNCTION("""COMPUTED_VALUE"""),472.0)</f>
        <v>472</v>
      </c>
      <c r="E755" s="2">
        <f>IFERROR(__xludf.DUMMYFUNCTION("""COMPUTED_VALUE"""),482.0)</f>
        <v>482</v>
      </c>
      <c r="F755" s="2">
        <f>IFERROR(__xludf.DUMMYFUNCTION("""COMPUTED_VALUE"""),1.11916E7)</f>
        <v>11191600</v>
      </c>
      <c r="G755" s="2">
        <f t="shared" si="1"/>
        <v>12</v>
      </c>
    </row>
    <row r="756" ht="15.75" customHeight="1">
      <c r="A756" s="1">
        <f>IFERROR(__xludf.DUMMYFUNCTION("""COMPUTED_VALUE"""),44960.66666666667)</f>
        <v>44960.66667</v>
      </c>
      <c r="B756" s="2">
        <f>IFERROR(__xludf.DUMMYFUNCTION("""COMPUTED_VALUE"""),482.0)</f>
        <v>482</v>
      </c>
      <c r="C756" s="2">
        <f>IFERROR(__xludf.DUMMYFUNCTION("""COMPUTED_VALUE"""),505.0)</f>
        <v>505</v>
      </c>
      <c r="D756" s="2">
        <f>IFERROR(__xludf.DUMMYFUNCTION("""COMPUTED_VALUE"""),482.0)</f>
        <v>482</v>
      </c>
      <c r="E756" s="2">
        <f>IFERROR(__xludf.DUMMYFUNCTION("""COMPUTED_VALUE"""),498.0)</f>
        <v>498</v>
      </c>
      <c r="F756" s="2">
        <f>IFERROR(__xludf.DUMMYFUNCTION("""COMPUTED_VALUE"""),2.66437E7)</f>
        <v>26643700</v>
      </c>
      <c r="G756" s="2">
        <f t="shared" si="1"/>
        <v>23</v>
      </c>
    </row>
    <row r="757" ht="15.75" customHeight="1">
      <c r="A757" s="1">
        <f>IFERROR(__xludf.DUMMYFUNCTION("""COMPUTED_VALUE"""),44963.66666666667)</f>
        <v>44963.66667</v>
      </c>
      <c r="B757" s="2">
        <f>IFERROR(__xludf.DUMMYFUNCTION("""COMPUTED_VALUE"""),500.0)</f>
        <v>500</v>
      </c>
      <c r="C757" s="2">
        <f>IFERROR(__xludf.DUMMYFUNCTION("""COMPUTED_VALUE"""),515.0)</f>
        <v>515</v>
      </c>
      <c r="D757" s="2">
        <f>IFERROR(__xludf.DUMMYFUNCTION("""COMPUTED_VALUE"""),494.0)</f>
        <v>494</v>
      </c>
      <c r="E757" s="2">
        <f>IFERROR(__xludf.DUMMYFUNCTION("""COMPUTED_VALUE"""),500.0)</f>
        <v>500</v>
      </c>
      <c r="F757" s="2">
        <f>IFERROR(__xludf.DUMMYFUNCTION("""COMPUTED_VALUE"""),2.647E7)</f>
        <v>26470000</v>
      </c>
      <c r="G757" s="2">
        <f t="shared" si="1"/>
        <v>21</v>
      </c>
    </row>
    <row r="758" ht="15.75" customHeight="1">
      <c r="A758" s="1">
        <f>IFERROR(__xludf.DUMMYFUNCTION("""COMPUTED_VALUE"""),44964.66666666667)</f>
        <v>44964.66667</v>
      </c>
      <c r="B758" s="2">
        <f>IFERROR(__xludf.DUMMYFUNCTION("""COMPUTED_VALUE"""),500.0)</f>
        <v>500</v>
      </c>
      <c r="C758" s="2">
        <f>IFERROR(__xludf.DUMMYFUNCTION("""COMPUTED_VALUE"""),505.0)</f>
        <v>505</v>
      </c>
      <c r="D758" s="2">
        <f>IFERROR(__xludf.DUMMYFUNCTION("""COMPUTED_VALUE"""),486.0)</f>
        <v>486</v>
      </c>
      <c r="E758" s="2">
        <f>IFERROR(__xludf.DUMMYFUNCTION("""COMPUTED_VALUE"""),492.0)</f>
        <v>492</v>
      </c>
      <c r="F758" s="2">
        <f>IFERROR(__xludf.DUMMYFUNCTION("""COMPUTED_VALUE"""),1.66853E7)</f>
        <v>16685300</v>
      </c>
      <c r="G758" s="2">
        <f t="shared" si="1"/>
        <v>19</v>
      </c>
    </row>
    <row r="759" ht="15.75" customHeight="1">
      <c r="A759" s="1">
        <f>IFERROR(__xludf.DUMMYFUNCTION("""COMPUTED_VALUE"""),44965.66666666667)</f>
        <v>44965.66667</v>
      </c>
      <c r="B759" s="2">
        <f>IFERROR(__xludf.DUMMYFUNCTION("""COMPUTED_VALUE"""),492.0)</f>
        <v>492</v>
      </c>
      <c r="C759" s="2">
        <f>IFERROR(__xludf.DUMMYFUNCTION("""COMPUTED_VALUE"""),496.0)</f>
        <v>496</v>
      </c>
      <c r="D759" s="2">
        <f>IFERROR(__xludf.DUMMYFUNCTION("""COMPUTED_VALUE"""),490.0)</f>
        <v>490</v>
      </c>
      <c r="E759" s="2">
        <f>IFERROR(__xludf.DUMMYFUNCTION("""COMPUTED_VALUE"""),492.0)</f>
        <v>492</v>
      </c>
      <c r="F759" s="2">
        <f>IFERROR(__xludf.DUMMYFUNCTION("""COMPUTED_VALUE"""),5113000.0)</f>
        <v>5113000</v>
      </c>
      <c r="G759" s="2">
        <f t="shared" si="1"/>
        <v>6</v>
      </c>
    </row>
    <row r="760" ht="15.75" customHeight="1">
      <c r="A760" s="1">
        <f>IFERROR(__xludf.DUMMYFUNCTION("""COMPUTED_VALUE"""),44966.66666666667)</f>
        <v>44966.66667</v>
      </c>
      <c r="B760" s="2">
        <f>IFERROR(__xludf.DUMMYFUNCTION("""COMPUTED_VALUE"""),492.0)</f>
        <v>492</v>
      </c>
      <c r="C760" s="2">
        <f>IFERROR(__xludf.DUMMYFUNCTION("""COMPUTED_VALUE"""),505.0)</f>
        <v>505</v>
      </c>
      <c r="D760" s="2">
        <f>IFERROR(__xludf.DUMMYFUNCTION("""COMPUTED_VALUE"""),490.0)</f>
        <v>490</v>
      </c>
      <c r="E760" s="2">
        <f>IFERROR(__xludf.DUMMYFUNCTION("""COMPUTED_VALUE"""),490.0)</f>
        <v>490</v>
      </c>
      <c r="F760" s="2">
        <f>IFERROR(__xludf.DUMMYFUNCTION("""COMPUTED_VALUE"""),1.59001E7)</f>
        <v>15900100</v>
      </c>
      <c r="G760" s="2">
        <f t="shared" si="1"/>
        <v>15</v>
      </c>
    </row>
    <row r="761" ht="15.75" customHeight="1">
      <c r="A761" s="1">
        <f>IFERROR(__xludf.DUMMYFUNCTION("""COMPUTED_VALUE"""),44967.66666666667)</f>
        <v>44967.66667</v>
      </c>
      <c r="B761" s="2">
        <f>IFERROR(__xludf.DUMMYFUNCTION("""COMPUTED_VALUE"""),490.0)</f>
        <v>490</v>
      </c>
      <c r="C761" s="2">
        <f>IFERROR(__xludf.DUMMYFUNCTION("""COMPUTED_VALUE"""),492.0)</f>
        <v>492</v>
      </c>
      <c r="D761" s="2">
        <f>IFERROR(__xludf.DUMMYFUNCTION("""COMPUTED_VALUE"""),472.0)</f>
        <v>472</v>
      </c>
      <c r="E761" s="2">
        <f>IFERROR(__xludf.DUMMYFUNCTION("""COMPUTED_VALUE"""),478.0)</f>
        <v>478</v>
      </c>
      <c r="F761" s="2">
        <f>IFERROR(__xludf.DUMMYFUNCTION("""COMPUTED_VALUE"""),2.27267E7)</f>
        <v>22726700</v>
      </c>
      <c r="G761" s="2">
        <f t="shared" si="1"/>
        <v>20</v>
      </c>
    </row>
    <row r="762" ht="15.75" customHeight="1">
      <c r="A762" s="1">
        <f>IFERROR(__xludf.DUMMYFUNCTION("""COMPUTED_VALUE"""),44970.66666666667)</f>
        <v>44970.66667</v>
      </c>
      <c r="B762" s="2">
        <f>IFERROR(__xludf.DUMMYFUNCTION("""COMPUTED_VALUE"""),478.0)</f>
        <v>478</v>
      </c>
      <c r="C762" s="2">
        <f>IFERROR(__xludf.DUMMYFUNCTION("""COMPUTED_VALUE"""),486.0)</f>
        <v>486</v>
      </c>
      <c r="D762" s="2">
        <f>IFERROR(__xludf.DUMMYFUNCTION("""COMPUTED_VALUE"""),478.0)</f>
        <v>478</v>
      </c>
      <c r="E762" s="2">
        <f>IFERROR(__xludf.DUMMYFUNCTION("""COMPUTED_VALUE"""),482.0)</f>
        <v>482</v>
      </c>
      <c r="F762" s="2">
        <f>IFERROR(__xludf.DUMMYFUNCTION("""COMPUTED_VALUE"""),6283200.0)</f>
        <v>6283200</v>
      </c>
      <c r="G762" s="2">
        <f t="shared" si="1"/>
        <v>8</v>
      </c>
    </row>
    <row r="763" ht="15.75" customHeight="1">
      <c r="A763" s="1">
        <f>IFERROR(__xludf.DUMMYFUNCTION("""COMPUTED_VALUE"""),44971.66666666667)</f>
        <v>44971.66667</v>
      </c>
      <c r="B763" s="2">
        <f>IFERROR(__xludf.DUMMYFUNCTION("""COMPUTED_VALUE"""),482.0)</f>
        <v>482</v>
      </c>
      <c r="C763" s="2">
        <f>IFERROR(__xludf.DUMMYFUNCTION("""COMPUTED_VALUE"""),492.0)</f>
        <v>492</v>
      </c>
      <c r="D763" s="2">
        <f>IFERROR(__xludf.DUMMYFUNCTION("""COMPUTED_VALUE"""),482.0)</f>
        <v>482</v>
      </c>
      <c r="E763" s="2">
        <f>IFERROR(__xludf.DUMMYFUNCTION("""COMPUTED_VALUE"""),482.0)</f>
        <v>482</v>
      </c>
      <c r="F763" s="2">
        <f>IFERROR(__xludf.DUMMYFUNCTION("""COMPUTED_VALUE"""),7563500.0)</f>
        <v>7563500</v>
      </c>
      <c r="G763" s="2">
        <f t="shared" si="1"/>
        <v>10</v>
      </c>
    </row>
    <row r="764" ht="15.75" customHeight="1">
      <c r="A764" s="1">
        <f>IFERROR(__xludf.DUMMYFUNCTION("""COMPUTED_VALUE"""),44972.66666666667)</f>
        <v>44972.66667</v>
      </c>
      <c r="B764" s="2">
        <f>IFERROR(__xludf.DUMMYFUNCTION("""COMPUTED_VALUE"""),482.0)</f>
        <v>482</v>
      </c>
      <c r="C764" s="2">
        <f>IFERROR(__xludf.DUMMYFUNCTION("""COMPUTED_VALUE"""),486.0)</f>
        <v>486</v>
      </c>
      <c r="D764" s="2">
        <f>IFERROR(__xludf.DUMMYFUNCTION("""COMPUTED_VALUE"""),474.0)</f>
        <v>474</v>
      </c>
      <c r="E764" s="2">
        <f>IFERROR(__xludf.DUMMYFUNCTION("""COMPUTED_VALUE"""),476.0)</f>
        <v>476</v>
      </c>
      <c r="F764" s="2">
        <f>IFERROR(__xludf.DUMMYFUNCTION("""COMPUTED_VALUE"""),8753900.0)</f>
        <v>8753900</v>
      </c>
      <c r="G764" s="2">
        <f t="shared" si="1"/>
        <v>12</v>
      </c>
    </row>
    <row r="765" ht="15.75" customHeight="1">
      <c r="A765" s="1">
        <f>IFERROR(__xludf.DUMMYFUNCTION("""COMPUTED_VALUE"""),44973.66666666667)</f>
        <v>44973.66667</v>
      </c>
      <c r="B765" s="2">
        <f>IFERROR(__xludf.DUMMYFUNCTION("""COMPUTED_VALUE"""),476.0)</f>
        <v>476</v>
      </c>
      <c r="C765" s="2">
        <f>IFERROR(__xludf.DUMMYFUNCTION("""COMPUTED_VALUE"""),480.0)</f>
        <v>480</v>
      </c>
      <c r="D765" s="2">
        <f>IFERROR(__xludf.DUMMYFUNCTION("""COMPUTED_VALUE"""),454.0)</f>
        <v>454</v>
      </c>
      <c r="E765" s="2">
        <f>IFERROR(__xludf.DUMMYFUNCTION("""COMPUTED_VALUE"""),460.0)</f>
        <v>460</v>
      </c>
      <c r="F765" s="2">
        <f>IFERROR(__xludf.DUMMYFUNCTION("""COMPUTED_VALUE"""),2.03985E7)</f>
        <v>20398500</v>
      </c>
      <c r="G765" s="2">
        <f t="shared" si="1"/>
        <v>26</v>
      </c>
    </row>
    <row r="766" ht="15.75" customHeight="1">
      <c r="A766" s="1">
        <f>IFERROR(__xludf.DUMMYFUNCTION("""COMPUTED_VALUE"""),44974.66666666667)</f>
        <v>44974.66667</v>
      </c>
      <c r="B766" s="2">
        <f>IFERROR(__xludf.DUMMYFUNCTION("""COMPUTED_VALUE"""),460.0)</f>
        <v>460</v>
      </c>
      <c r="C766" s="2">
        <f>IFERROR(__xludf.DUMMYFUNCTION("""COMPUTED_VALUE"""),472.0)</f>
        <v>472</v>
      </c>
      <c r="D766" s="2">
        <f>IFERROR(__xludf.DUMMYFUNCTION("""COMPUTED_VALUE"""),450.0)</f>
        <v>450</v>
      </c>
      <c r="E766" s="2">
        <f>IFERROR(__xludf.DUMMYFUNCTION("""COMPUTED_VALUE"""),468.0)</f>
        <v>468</v>
      </c>
      <c r="F766" s="2">
        <f>IFERROR(__xludf.DUMMYFUNCTION("""COMPUTED_VALUE"""),9116700.0)</f>
        <v>9116700</v>
      </c>
      <c r="G766" s="2">
        <f t="shared" si="1"/>
        <v>22</v>
      </c>
    </row>
    <row r="767" ht="15.75" customHeight="1">
      <c r="A767" s="1">
        <f>IFERROR(__xludf.DUMMYFUNCTION("""COMPUTED_VALUE"""),44977.66666666667)</f>
        <v>44977.66667</v>
      </c>
      <c r="B767" s="2">
        <f>IFERROR(__xludf.DUMMYFUNCTION("""COMPUTED_VALUE"""),468.0)</f>
        <v>468</v>
      </c>
      <c r="C767" s="2">
        <f>IFERROR(__xludf.DUMMYFUNCTION("""COMPUTED_VALUE"""),478.0)</f>
        <v>478</v>
      </c>
      <c r="D767" s="2">
        <f>IFERROR(__xludf.DUMMYFUNCTION("""COMPUTED_VALUE"""),466.0)</f>
        <v>466</v>
      </c>
      <c r="E767" s="2">
        <f>IFERROR(__xludf.DUMMYFUNCTION("""COMPUTED_VALUE"""),474.0)</f>
        <v>474</v>
      </c>
      <c r="F767" s="2">
        <f>IFERROR(__xludf.DUMMYFUNCTION("""COMPUTED_VALUE"""),9107300.0)</f>
        <v>9107300</v>
      </c>
      <c r="G767" s="2">
        <f t="shared" si="1"/>
        <v>12</v>
      </c>
    </row>
    <row r="768" ht="15.75" customHeight="1">
      <c r="A768" s="1">
        <f>IFERROR(__xludf.DUMMYFUNCTION("""COMPUTED_VALUE"""),44978.66666666667)</f>
        <v>44978.66667</v>
      </c>
      <c r="B768" s="2">
        <f>IFERROR(__xludf.DUMMYFUNCTION("""COMPUTED_VALUE"""),474.0)</f>
        <v>474</v>
      </c>
      <c r="C768" s="2">
        <f>IFERROR(__xludf.DUMMYFUNCTION("""COMPUTED_VALUE"""),476.0)</f>
        <v>476</v>
      </c>
      <c r="D768" s="2">
        <f>IFERROR(__xludf.DUMMYFUNCTION("""COMPUTED_VALUE"""),466.0)</f>
        <v>466</v>
      </c>
      <c r="E768" s="2">
        <f>IFERROR(__xludf.DUMMYFUNCTION("""COMPUTED_VALUE"""),468.0)</f>
        <v>468</v>
      </c>
      <c r="F768" s="2">
        <f>IFERROR(__xludf.DUMMYFUNCTION("""COMPUTED_VALUE"""),5464400.0)</f>
        <v>5464400</v>
      </c>
      <c r="G768" s="2">
        <f t="shared" si="1"/>
        <v>10</v>
      </c>
    </row>
    <row r="769" ht="15.75" customHeight="1">
      <c r="A769" s="1">
        <f>IFERROR(__xludf.DUMMYFUNCTION("""COMPUTED_VALUE"""),44979.66666666667)</f>
        <v>44979.66667</v>
      </c>
      <c r="B769" s="2">
        <f>IFERROR(__xludf.DUMMYFUNCTION("""COMPUTED_VALUE"""),466.0)</f>
        <v>466</v>
      </c>
      <c r="C769" s="2">
        <f>IFERROR(__xludf.DUMMYFUNCTION("""COMPUTED_VALUE"""),468.0)</f>
        <v>468</v>
      </c>
      <c r="D769" s="2">
        <f>IFERROR(__xludf.DUMMYFUNCTION("""COMPUTED_VALUE"""),456.0)</f>
        <v>456</v>
      </c>
      <c r="E769" s="2">
        <f>IFERROR(__xludf.DUMMYFUNCTION("""COMPUTED_VALUE"""),458.0)</f>
        <v>458</v>
      </c>
      <c r="F769" s="2">
        <f>IFERROR(__xludf.DUMMYFUNCTION("""COMPUTED_VALUE"""),1.12177E7)</f>
        <v>11217700</v>
      </c>
      <c r="G769" s="2">
        <f t="shared" si="1"/>
        <v>12</v>
      </c>
    </row>
    <row r="770" ht="15.75" customHeight="1">
      <c r="A770" s="1">
        <f>IFERROR(__xludf.DUMMYFUNCTION("""COMPUTED_VALUE"""),44980.66666666667)</f>
        <v>44980.66667</v>
      </c>
      <c r="B770" s="2">
        <f>IFERROR(__xludf.DUMMYFUNCTION("""COMPUTED_VALUE"""),458.0)</f>
        <v>458</v>
      </c>
      <c r="C770" s="2">
        <f>IFERROR(__xludf.DUMMYFUNCTION("""COMPUTED_VALUE"""),460.0)</f>
        <v>460</v>
      </c>
      <c r="D770" s="2">
        <f>IFERROR(__xludf.DUMMYFUNCTION("""COMPUTED_VALUE"""),446.0)</f>
        <v>446</v>
      </c>
      <c r="E770" s="2">
        <f>IFERROR(__xludf.DUMMYFUNCTION("""COMPUTED_VALUE"""),448.0)</f>
        <v>448</v>
      </c>
      <c r="F770" s="2">
        <f>IFERROR(__xludf.DUMMYFUNCTION("""COMPUTED_VALUE"""),9392700.0)</f>
        <v>9392700</v>
      </c>
      <c r="G770" s="2">
        <f t="shared" si="1"/>
        <v>14</v>
      </c>
    </row>
    <row r="771" ht="15.75" customHeight="1">
      <c r="A771" s="1">
        <f>IFERROR(__xludf.DUMMYFUNCTION("""COMPUTED_VALUE"""),44981.66666666667)</f>
        <v>44981.66667</v>
      </c>
      <c r="B771" s="2">
        <f>IFERROR(__xludf.DUMMYFUNCTION("""COMPUTED_VALUE"""),448.0)</f>
        <v>448</v>
      </c>
      <c r="C771" s="2">
        <f>IFERROR(__xludf.DUMMYFUNCTION("""COMPUTED_VALUE"""),456.0)</f>
        <v>456</v>
      </c>
      <c r="D771" s="2">
        <f>IFERROR(__xludf.DUMMYFUNCTION("""COMPUTED_VALUE"""),448.0)</f>
        <v>448</v>
      </c>
      <c r="E771" s="2">
        <f>IFERROR(__xludf.DUMMYFUNCTION("""COMPUTED_VALUE"""),452.0)</f>
        <v>452</v>
      </c>
      <c r="F771" s="2">
        <f>IFERROR(__xludf.DUMMYFUNCTION("""COMPUTED_VALUE"""),2856000.0)</f>
        <v>2856000</v>
      </c>
      <c r="G771" s="2">
        <f t="shared" si="1"/>
        <v>8</v>
      </c>
    </row>
    <row r="772" ht="15.75" customHeight="1">
      <c r="A772" s="1">
        <f>IFERROR(__xludf.DUMMYFUNCTION("""COMPUTED_VALUE"""),44984.66666666667)</f>
        <v>44984.66667</v>
      </c>
      <c r="B772" s="2">
        <f>IFERROR(__xludf.DUMMYFUNCTION("""COMPUTED_VALUE"""),454.0)</f>
        <v>454</v>
      </c>
      <c r="C772" s="2">
        <f>IFERROR(__xludf.DUMMYFUNCTION("""COMPUTED_VALUE"""),458.0)</f>
        <v>458</v>
      </c>
      <c r="D772" s="2">
        <f>IFERROR(__xludf.DUMMYFUNCTION("""COMPUTED_VALUE"""),450.0)</f>
        <v>450</v>
      </c>
      <c r="E772" s="2">
        <f>IFERROR(__xludf.DUMMYFUNCTION("""COMPUTED_VALUE"""),450.0)</f>
        <v>450</v>
      </c>
      <c r="F772" s="2">
        <f>IFERROR(__xludf.DUMMYFUNCTION("""COMPUTED_VALUE"""),4145300.0)</f>
        <v>4145300</v>
      </c>
      <c r="G772" s="2">
        <f t="shared" si="1"/>
        <v>8</v>
      </c>
    </row>
    <row r="773" ht="15.75" customHeight="1">
      <c r="A773" s="1">
        <f>IFERROR(__xludf.DUMMYFUNCTION("""COMPUTED_VALUE"""),44985.66666666667)</f>
        <v>44985.66667</v>
      </c>
      <c r="B773" s="2">
        <f>IFERROR(__xludf.DUMMYFUNCTION("""COMPUTED_VALUE"""),450.0)</f>
        <v>450</v>
      </c>
      <c r="C773" s="2">
        <f>IFERROR(__xludf.DUMMYFUNCTION("""COMPUTED_VALUE"""),454.0)</f>
        <v>454</v>
      </c>
      <c r="D773" s="2">
        <f>IFERROR(__xludf.DUMMYFUNCTION("""COMPUTED_VALUE"""),440.0)</f>
        <v>440</v>
      </c>
      <c r="E773" s="2">
        <f>IFERROR(__xludf.DUMMYFUNCTION("""COMPUTED_VALUE"""),442.0)</f>
        <v>442</v>
      </c>
      <c r="F773" s="2">
        <f>IFERROR(__xludf.DUMMYFUNCTION("""COMPUTED_VALUE"""),7897600.0)</f>
        <v>7897600</v>
      </c>
      <c r="G773" s="2">
        <f t="shared" si="1"/>
        <v>14</v>
      </c>
    </row>
    <row r="774" ht="15.75" customHeight="1">
      <c r="A774" s="1">
        <f>IFERROR(__xludf.DUMMYFUNCTION("""COMPUTED_VALUE"""),44986.66666666667)</f>
        <v>44986.66667</v>
      </c>
      <c r="B774" s="2">
        <f>IFERROR(__xludf.DUMMYFUNCTION("""COMPUTED_VALUE"""),446.0)</f>
        <v>446</v>
      </c>
      <c r="C774" s="2">
        <f>IFERROR(__xludf.DUMMYFUNCTION("""COMPUTED_VALUE"""),448.0)</f>
        <v>448</v>
      </c>
      <c r="D774" s="2">
        <f>IFERROR(__xludf.DUMMYFUNCTION("""COMPUTED_VALUE"""),440.0)</f>
        <v>440</v>
      </c>
      <c r="E774" s="2">
        <f>IFERROR(__xludf.DUMMYFUNCTION("""COMPUTED_VALUE"""),442.0)</f>
        <v>442</v>
      </c>
      <c r="F774" s="2">
        <f>IFERROR(__xludf.DUMMYFUNCTION("""COMPUTED_VALUE"""),4197300.0)</f>
        <v>4197300</v>
      </c>
      <c r="G774" s="2">
        <f t="shared" si="1"/>
        <v>8</v>
      </c>
    </row>
    <row r="775" ht="15.75" customHeight="1">
      <c r="A775" s="1">
        <f>IFERROR(__xludf.DUMMYFUNCTION("""COMPUTED_VALUE"""),44987.66666666667)</f>
        <v>44987.66667</v>
      </c>
      <c r="B775" s="2">
        <f>IFERROR(__xludf.DUMMYFUNCTION("""COMPUTED_VALUE"""),444.0)</f>
        <v>444</v>
      </c>
      <c r="C775" s="2">
        <f>IFERROR(__xludf.DUMMYFUNCTION("""COMPUTED_VALUE"""),454.0)</f>
        <v>454</v>
      </c>
      <c r="D775" s="2">
        <f>IFERROR(__xludf.DUMMYFUNCTION("""COMPUTED_VALUE"""),442.0)</f>
        <v>442</v>
      </c>
      <c r="E775" s="2">
        <f>IFERROR(__xludf.DUMMYFUNCTION("""COMPUTED_VALUE"""),450.0)</f>
        <v>450</v>
      </c>
      <c r="F775" s="2">
        <f>IFERROR(__xludf.DUMMYFUNCTION("""COMPUTED_VALUE"""),7406300.0)</f>
        <v>7406300</v>
      </c>
      <c r="G775" s="2">
        <f t="shared" si="1"/>
        <v>12</v>
      </c>
    </row>
    <row r="776" ht="15.75" customHeight="1">
      <c r="A776" s="1">
        <f>IFERROR(__xludf.DUMMYFUNCTION("""COMPUTED_VALUE"""),44988.66666666667)</f>
        <v>44988.66667</v>
      </c>
      <c r="B776" s="2">
        <f>IFERROR(__xludf.DUMMYFUNCTION("""COMPUTED_VALUE"""),452.0)</f>
        <v>452</v>
      </c>
      <c r="C776" s="2">
        <f>IFERROR(__xludf.DUMMYFUNCTION("""COMPUTED_VALUE"""),462.0)</f>
        <v>462</v>
      </c>
      <c r="D776" s="2">
        <f>IFERROR(__xludf.DUMMYFUNCTION("""COMPUTED_VALUE"""),450.0)</f>
        <v>450</v>
      </c>
      <c r="E776" s="2">
        <f>IFERROR(__xludf.DUMMYFUNCTION("""COMPUTED_VALUE"""),454.0)</f>
        <v>454</v>
      </c>
      <c r="F776" s="2">
        <f>IFERROR(__xludf.DUMMYFUNCTION("""COMPUTED_VALUE"""),6455800.0)</f>
        <v>6455800</v>
      </c>
      <c r="G776" s="2">
        <f t="shared" si="1"/>
        <v>12</v>
      </c>
    </row>
    <row r="777" ht="15.75" customHeight="1">
      <c r="A777" s="1">
        <f>IFERROR(__xludf.DUMMYFUNCTION("""COMPUTED_VALUE"""),44991.66666666667)</f>
        <v>44991.66667</v>
      </c>
      <c r="B777" s="2">
        <f>IFERROR(__xludf.DUMMYFUNCTION("""COMPUTED_VALUE"""),454.0)</f>
        <v>454</v>
      </c>
      <c r="C777" s="2">
        <f>IFERROR(__xludf.DUMMYFUNCTION("""COMPUTED_VALUE"""),458.0)</f>
        <v>458</v>
      </c>
      <c r="D777" s="2">
        <f>IFERROR(__xludf.DUMMYFUNCTION("""COMPUTED_VALUE"""),436.0)</f>
        <v>436</v>
      </c>
      <c r="E777" s="2">
        <f>IFERROR(__xludf.DUMMYFUNCTION("""COMPUTED_VALUE"""),438.0)</f>
        <v>438</v>
      </c>
      <c r="F777" s="2">
        <f>IFERROR(__xludf.DUMMYFUNCTION("""COMPUTED_VALUE"""),1.33035E7)</f>
        <v>13303500</v>
      </c>
      <c r="G777" s="2">
        <f t="shared" si="1"/>
        <v>22</v>
      </c>
    </row>
    <row r="778" ht="15.75" customHeight="1">
      <c r="A778" s="1">
        <f>IFERROR(__xludf.DUMMYFUNCTION("""COMPUTED_VALUE"""),44992.66666666667)</f>
        <v>44992.66667</v>
      </c>
      <c r="B778" s="2">
        <f>IFERROR(__xludf.DUMMYFUNCTION("""COMPUTED_VALUE"""),438.0)</f>
        <v>438</v>
      </c>
      <c r="C778" s="2">
        <f>IFERROR(__xludf.DUMMYFUNCTION("""COMPUTED_VALUE"""),444.0)</f>
        <v>444</v>
      </c>
      <c r="D778" s="2">
        <f>IFERROR(__xludf.DUMMYFUNCTION("""COMPUTED_VALUE"""),432.0)</f>
        <v>432</v>
      </c>
      <c r="E778" s="2">
        <f>IFERROR(__xludf.DUMMYFUNCTION("""COMPUTED_VALUE"""),432.0)</f>
        <v>432</v>
      </c>
      <c r="F778" s="2">
        <f>IFERROR(__xludf.DUMMYFUNCTION("""COMPUTED_VALUE"""),7664500.0)</f>
        <v>7664500</v>
      </c>
      <c r="G778" s="2">
        <f t="shared" si="1"/>
        <v>12</v>
      </c>
    </row>
    <row r="779" ht="15.75" customHeight="1">
      <c r="A779" s="1">
        <f>IFERROR(__xludf.DUMMYFUNCTION("""COMPUTED_VALUE"""),44993.66666666667)</f>
        <v>44993.66667</v>
      </c>
      <c r="B779" s="2">
        <f>IFERROR(__xludf.DUMMYFUNCTION("""COMPUTED_VALUE"""),432.0)</f>
        <v>432</v>
      </c>
      <c r="C779" s="2">
        <f>IFERROR(__xludf.DUMMYFUNCTION("""COMPUTED_VALUE"""),436.0)</f>
        <v>436</v>
      </c>
      <c r="D779" s="2">
        <f>IFERROR(__xludf.DUMMYFUNCTION("""COMPUTED_VALUE"""),424.0)</f>
        <v>424</v>
      </c>
      <c r="E779" s="2">
        <f>IFERROR(__xludf.DUMMYFUNCTION("""COMPUTED_VALUE"""),424.0)</f>
        <v>424</v>
      </c>
      <c r="F779" s="2">
        <f>IFERROR(__xludf.DUMMYFUNCTION("""COMPUTED_VALUE"""),1.03416E7)</f>
        <v>10341600</v>
      </c>
      <c r="G779" s="2">
        <f t="shared" si="1"/>
        <v>12</v>
      </c>
    </row>
    <row r="780" ht="15.75" customHeight="1">
      <c r="A780" s="1">
        <f>IFERROR(__xludf.DUMMYFUNCTION("""COMPUTED_VALUE"""),44994.66666666667)</f>
        <v>44994.66667</v>
      </c>
      <c r="B780" s="2">
        <f>IFERROR(__xludf.DUMMYFUNCTION("""COMPUTED_VALUE"""),424.0)</f>
        <v>424</v>
      </c>
      <c r="C780" s="2">
        <f>IFERROR(__xludf.DUMMYFUNCTION("""COMPUTED_VALUE"""),434.0)</f>
        <v>434</v>
      </c>
      <c r="D780" s="2">
        <f>IFERROR(__xludf.DUMMYFUNCTION("""COMPUTED_VALUE"""),424.0)</f>
        <v>424</v>
      </c>
      <c r="E780" s="2">
        <f>IFERROR(__xludf.DUMMYFUNCTION("""COMPUTED_VALUE"""),432.0)</f>
        <v>432</v>
      </c>
      <c r="F780" s="2">
        <f>IFERROR(__xludf.DUMMYFUNCTION("""COMPUTED_VALUE"""),6614200.0)</f>
        <v>6614200</v>
      </c>
      <c r="G780" s="2">
        <f t="shared" si="1"/>
        <v>10</v>
      </c>
    </row>
    <row r="781" ht="15.75" customHeight="1">
      <c r="A781" s="1">
        <f>IFERROR(__xludf.DUMMYFUNCTION("""COMPUTED_VALUE"""),44995.66666666667)</f>
        <v>44995.66667</v>
      </c>
      <c r="B781" s="2">
        <f>IFERROR(__xludf.DUMMYFUNCTION("""COMPUTED_VALUE"""),432.0)</f>
        <v>432</v>
      </c>
      <c r="C781" s="2">
        <f>IFERROR(__xludf.DUMMYFUNCTION("""COMPUTED_VALUE"""),434.0)</f>
        <v>434</v>
      </c>
      <c r="D781" s="2">
        <f>IFERROR(__xludf.DUMMYFUNCTION("""COMPUTED_VALUE"""),424.0)</f>
        <v>424</v>
      </c>
      <c r="E781" s="2">
        <f>IFERROR(__xludf.DUMMYFUNCTION("""COMPUTED_VALUE"""),424.0)</f>
        <v>424</v>
      </c>
      <c r="F781" s="2">
        <f>IFERROR(__xludf.DUMMYFUNCTION("""COMPUTED_VALUE"""),3582700.0)</f>
        <v>3582700</v>
      </c>
      <c r="G781" s="2">
        <f t="shared" si="1"/>
        <v>10</v>
      </c>
    </row>
    <row r="782" ht="15.75" customHeight="1">
      <c r="A782" s="1">
        <f>IFERROR(__xludf.DUMMYFUNCTION("""COMPUTED_VALUE"""),44998.66666666667)</f>
        <v>44998.66667</v>
      </c>
      <c r="B782" s="2">
        <f>IFERROR(__xludf.DUMMYFUNCTION("""COMPUTED_VALUE"""),424.0)</f>
        <v>424</v>
      </c>
      <c r="C782" s="2">
        <f>IFERROR(__xludf.DUMMYFUNCTION("""COMPUTED_VALUE"""),444.0)</f>
        <v>444</v>
      </c>
      <c r="D782" s="2">
        <f>IFERROR(__xludf.DUMMYFUNCTION("""COMPUTED_VALUE"""),424.0)</f>
        <v>424</v>
      </c>
      <c r="E782" s="2">
        <f>IFERROR(__xludf.DUMMYFUNCTION("""COMPUTED_VALUE"""),428.0)</f>
        <v>428</v>
      </c>
      <c r="F782" s="2">
        <f>IFERROR(__xludf.DUMMYFUNCTION("""COMPUTED_VALUE"""),2.20506E7)</f>
        <v>22050600</v>
      </c>
      <c r="G782" s="2">
        <f t="shared" si="1"/>
        <v>20</v>
      </c>
    </row>
    <row r="783" ht="15.75" customHeight="1">
      <c r="A783" s="1">
        <f>IFERROR(__xludf.DUMMYFUNCTION("""COMPUTED_VALUE"""),44999.66666666667)</f>
        <v>44999.66667</v>
      </c>
      <c r="B783" s="2">
        <f>IFERROR(__xludf.DUMMYFUNCTION("""COMPUTED_VALUE"""),430.0)</f>
        <v>430</v>
      </c>
      <c r="C783" s="2">
        <f>IFERROR(__xludf.DUMMYFUNCTION("""COMPUTED_VALUE"""),432.0)</f>
        <v>432</v>
      </c>
      <c r="D783" s="2">
        <f>IFERROR(__xludf.DUMMYFUNCTION("""COMPUTED_VALUE"""),410.0)</f>
        <v>410</v>
      </c>
      <c r="E783" s="2">
        <f>IFERROR(__xludf.DUMMYFUNCTION("""COMPUTED_VALUE"""),412.0)</f>
        <v>412</v>
      </c>
      <c r="F783" s="2">
        <f>IFERROR(__xludf.DUMMYFUNCTION("""COMPUTED_VALUE"""),1.54081E7)</f>
        <v>15408100</v>
      </c>
      <c r="G783" s="2">
        <f t="shared" si="1"/>
        <v>22</v>
      </c>
    </row>
    <row r="784" ht="15.75" customHeight="1">
      <c r="A784" s="1">
        <f>IFERROR(__xludf.DUMMYFUNCTION("""COMPUTED_VALUE"""),45000.66666666667)</f>
        <v>45000.66667</v>
      </c>
      <c r="B784" s="2">
        <f>IFERROR(__xludf.DUMMYFUNCTION("""COMPUTED_VALUE"""),414.0)</f>
        <v>414</v>
      </c>
      <c r="C784" s="2">
        <f>IFERROR(__xludf.DUMMYFUNCTION("""COMPUTED_VALUE"""),422.0)</f>
        <v>422</v>
      </c>
      <c r="D784" s="2">
        <f>IFERROR(__xludf.DUMMYFUNCTION("""COMPUTED_VALUE"""),410.0)</f>
        <v>410</v>
      </c>
      <c r="E784" s="2">
        <f>IFERROR(__xludf.DUMMYFUNCTION("""COMPUTED_VALUE"""),414.0)</f>
        <v>414</v>
      </c>
      <c r="F784" s="2">
        <f>IFERROR(__xludf.DUMMYFUNCTION("""COMPUTED_VALUE"""),7669800.0)</f>
        <v>7669800</v>
      </c>
      <c r="G784" s="2">
        <f t="shared" si="1"/>
        <v>12</v>
      </c>
    </row>
    <row r="785" ht="15.75" customHeight="1">
      <c r="A785" s="1">
        <f>IFERROR(__xludf.DUMMYFUNCTION("""COMPUTED_VALUE"""),45001.66666666667)</f>
        <v>45001.66667</v>
      </c>
      <c r="B785" s="2">
        <f>IFERROR(__xludf.DUMMYFUNCTION("""COMPUTED_VALUE"""),414.0)</f>
        <v>414</v>
      </c>
      <c r="C785" s="2">
        <f>IFERROR(__xludf.DUMMYFUNCTION("""COMPUTED_VALUE"""),416.0)</f>
        <v>416</v>
      </c>
      <c r="D785" s="2">
        <f>IFERROR(__xludf.DUMMYFUNCTION("""COMPUTED_VALUE"""),400.0)</f>
        <v>400</v>
      </c>
      <c r="E785" s="2">
        <f>IFERROR(__xludf.DUMMYFUNCTION("""COMPUTED_VALUE"""),402.0)</f>
        <v>402</v>
      </c>
      <c r="F785" s="2">
        <f>IFERROR(__xludf.DUMMYFUNCTION("""COMPUTED_VALUE"""),1.13659E7)</f>
        <v>11365900</v>
      </c>
      <c r="G785" s="2">
        <f t="shared" si="1"/>
        <v>16</v>
      </c>
    </row>
    <row r="786" ht="15.75" customHeight="1">
      <c r="A786" s="1">
        <f>IFERROR(__xludf.DUMMYFUNCTION("""COMPUTED_VALUE"""),45002.66666666667)</f>
        <v>45002.66667</v>
      </c>
      <c r="B786" s="2">
        <f>IFERROR(__xludf.DUMMYFUNCTION("""COMPUTED_VALUE"""),404.0)</f>
        <v>404</v>
      </c>
      <c r="C786" s="2">
        <f>IFERROR(__xludf.DUMMYFUNCTION("""COMPUTED_VALUE"""),410.0)</f>
        <v>410</v>
      </c>
      <c r="D786" s="2">
        <f>IFERROR(__xludf.DUMMYFUNCTION("""COMPUTED_VALUE"""),402.0)</f>
        <v>402</v>
      </c>
      <c r="E786" s="2">
        <f>IFERROR(__xludf.DUMMYFUNCTION("""COMPUTED_VALUE"""),404.0)</f>
        <v>404</v>
      </c>
      <c r="F786" s="2">
        <f>IFERROR(__xludf.DUMMYFUNCTION("""COMPUTED_VALUE"""),6971500.0)</f>
        <v>6971500</v>
      </c>
      <c r="G786" s="2">
        <f t="shared" si="1"/>
        <v>8</v>
      </c>
    </row>
    <row r="787" ht="15.75" customHeight="1">
      <c r="A787" s="1">
        <f>IFERROR(__xludf.DUMMYFUNCTION("""COMPUTED_VALUE"""),45005.66666666667)</f>
        <v>45005.66667</v>
      </c>
      <c r="B787" s="2">
        <f>IFERROR(__xludf.DUMMYFUNCTION("""COMPUTED_VALUE"""),408.0)</f>
        <v>408</v>
      </c>
      <c r="C787" s="2">
        <f>IFERROR(__xludf.DUMMYFUNCTION("""COMPUTED_VALUE"""),408.0)</f>
        <v>408</v>
      </c>
      <c r="D787" s="2">
        <f>IFERROR(__xludf.DUMMYFUNCTION("""COMPUTED_VALUE"""),400.0)</f>
        <v>400</v>
      </c>
      <c r="E787" s="2">
        <f>IFERROR(__xludf.DUMMYFUNCTION("""COMPUTED_VALUE"""),402.0)</f>
        <v>402</v>
      </c>
      <c r="F787" s="2">
        <f>IFERROR(__xludf.DUMMYFUNCTION("""COMPUTED_VALUE"""),5894900.0)</f>
        <v>5894900</v>
      </c>
      <c r="G787" s="2">
        <f t="shared" si="1"/>
        <v>8</v>
      </c>
    </row>
    <row r="788" ht="15.75" customHeight="1">
      <c r="A788" s="1">
        <f>IFERROR(__xludf.DUMMYFUNCTION("""COMPUTED_VALUE"""),45006.66666666667)</f>
        <v>45006.66667</v>
      </c>
      <c r="B788" s="2">
        <f>IFERROR(__xludf.DUMMYFUNCTION("""COMPUTED_VALUE"""),402.0)</f>
        <v>402</v>
      </c>
      <c r="C788" s="2">
        <f>IFERROR(__xludf.DUMMYFUNCTION("""COMPUTED_VALUE"""),408.0)</f>
        <v>408</v>
      </c>
      <c r="D788" s="2">
        <f>IFERROR(__xludf.DUMMYFUNCTION("""COMPUTED_VALUE"""),400.0)</f>
        <v>400</v>
      </c>
      <c r="E788" s="2">
        <f>IFERROR(__xludf.DUMMYFUNCTION("""COMPUTED_VALUE"""),408.0)</f>
        <v>408</v>
      </c>
      <c r="F788" s="2">
        <f>IFERROR(__xludf.DUMMYFUNCTION("""COMPUTED_VALUE"""),6934400.0)</f>
        <v>6934400</v>
      </c>
      <c r="G788" s="2">
        <f t="shared" si="1"/>
        <v>8</v>
      </c>
    </row>
    <row r="789" ht="15.75" customHeight="1">
      <c r="A789" s="1">
        <f>IFERROR(__xludf.DUMMYFUNCTION("""COMPUTED_VALUE"""),45009.66666666667)</f>
        <v>45009.66667</v>
      </c>
      <c r="B789" s="2">
        <f>IFERROR(__xludf.DUMMYFUNCTION("""COMPUTED_VALUE"""),410.0)</f>
        <v>410</v>
      </c>
      <c r="C789" s="2">
        <f>IFERROR(__xludf.DUMMYFUNCTION("""COMPUTED_VALUE"""),412.0)</f>
        <v>412</v>
      </c>
      <c r="D789" s="2">
        <f>IFERROR(__xludf.DUMMYFUNCTION("""COMPUTED_VALUE"""),406.0)</f>
        <v>406</v>
      </c>
      <c r="E789" s="2">
        <f>IFERROR(__xludf.DUMMYFUNCTION("""COMPUTED_VALUE"""),406.0)</f>
        <v>406</v>
      </c>
      <c r="F789" s="2">
        <f>IFERROR(__xludf.DUMMYFUNCTION("""COMPUTED_VALUE"""),4306200.0)</f>
        <v>4306200</v>
      </c>
      <c r="G789" s="2">
        <f t="shared" si="1"/>
        <v>6</v>
      </c>
    </row>
    <row r="790" ht="15.75" customHeight="1">
      <c r="A790" s="1">
        <f>IFERROR(__xludf.DUMMYFUNCTION("""COMPUTED_VALUE"""),45012.66666666667)</f>
        <v>45012.66667</v>
      </c>
      <c r="B790" s="2">
        <f>IFERROR(__xludf.DUMMYFUNCTION("""COMPUTED_VALUE"""),406.0)</f>
        <v>406</v>
      </c>
      <c r="C790" s="2">
        <f>IFERROR(__xludf.DUMMYFUNCTION("""COMPUTED_VALUE"""),410.0)</f>
        <v>410</v>
      </c>
      <c r="D790" s="2">
        <f>IFERROR(__xludf.DUMMYFUNCTION("""COMPUTED_VALUE"""),404.0)</f>
        <v>404</v>
      </c>
      <c r="E790" s="2">
        <f>IFERROR(__xludf.DUMMYFUNCTION("""COMPUTED_VALUE"""),406.0)</f>
        <v>406</v>
      </c>
      <c r="F790" s="2">
        <f>IFERROR(__xludf.DUMMYFUNCTION("""COMPUTED_VALUE"""),2876400.0)</f>
        <v>2876400</v>
      </c>
      <c r="G790" s="2">
        <f t="shared" si="1"/>
        <v>6</v>
      </c>
    </row>
    <row r="791" ht="15.75" customHeight="1">
      <c r="A791" s="1">
        <f>IFERROR(__xludf.DUMMYFUNCTION("""COMPUTED_VALUE"""),45013.66666666667)</f>
        <v>45013.66667</v>
      </c>
      <c r="B791" s="2">
        <f>IFERROR(__xludf.DUMMYFUNCTION("""COMPUTED_VALUE"""),408.0)</f>
        <v>408</v>
      </c>
      <c r="C791" s="2">
        <f>IFERROR(__xludf.DUMMYFUNCTION("""COMPUTED_VALUE"""),418.0)</f>
        <v>418</v>
      </c>
      <c r="D791" s="2">
        <f>IFERROR(__xludf.DUMMYFUNCTION("""COMPUTED_VALUE"""),406.0)</f>
        <v>406</v>
      </c>
      <c r="E791" s="2">
        <f>IFERROR(__xludf.DUMMYFUNCTION("""COMPUTED_VALUE"""),414.0)</f>
        <v>414</v>
      </c>
      <c r="F791" s="2">
        <f>IFERROR(__xludf.DUMMYFUNCTION("""COMPUTED_VALUE"""),5284800.0)</f>
        <v>5284800</v>
      </c>
      <c r="G791" s="2">
        <f t="shared" si="1"/>
        <v>12</v>
      </c>
    </row>
    <row r="792" ht="15.75" customHeight="1">
      <c r="A792" s="1">
        <f>IFERROR(__xludf.DUMMYFUNCTION("""COMPUTED_VALUE"""),45014.66666666667)</f>
        <v>45014.66667</v>
      </c>
      <c r="B792" s="2">
        <f>IFERROR(__xludf.DUMMYFUNCTION("""COMPUTED_VALUE"""),414.0)</f>
        <v>414</v>
      </c>
      <c r="C792" s="2">
        <f>IFERROR(__xludf.DUMMYFUNCTION("""COMPUTED_VALUE"""),426.0)</f>
        <v>426</v>
      </c>
      <c r="D792" s="2">
        <f>IFERROR(__xludf.DUMMYFUNCTION("""COMPUTED_VALUE"""),414.0)</f>
        <v>414</v>
      </c>
      <c r="E792" s="2">
        <f>IFERROR(__xludf.DUMMYFUNCTION("""COMPUTED_VALUE"""),422.0)</f>
        <v>422</v>
      </c>
      <c r="F792" s="2">
        <f>IFERROR(__xludf.DUMMYFUNCTION("""COMPUTED_VALUE"""),8415900.0)</f>
        <v>8415900</v>
      </c>
      <c r="G792" s="2">
        <f t="shared" si="1"/>
        <v>12</v>
      </c>
    </row>
    <row r="793" ht="15.75" customHeight="1">
      <c r="A793" s="1">
        <f>IFERROR(__xludf.DUMMYFUNCTION("""COMPUTED_VALUE"""),45015.66666666667)</f>
        <v>45015.66667</v>
      </c>
      <c r="B793" s="2">
        <f>IFERROR(__xludf.DUMMYFUNCTION("""COMPUTED_VALUE"""),422.0)</f>
        <v>422</v>
      </c>
      <c r="C793" s="2">
        <f>IFERROR(__xludf.DUMMYFUNCTION("""COMPUTED_VALUE"""),428.0)</f>
        <v>428</v>
      </c>
      <c r="D793" s="2">
        <f>IFERROR(__xludf.DUMMYFUNCTION("""COMPUTED_VALUE"""),422.0)</f>
        <v>422</v>
      </c>
      <c r="E793" s="2">
        <f>IFERROR(__xludf.DUMMYFUNCTION("""COMPUTED_VALUE"""),424.0)</f>
        <v>424</v>
      </c>
      <c r="F793" s="2">
        <f>IFERROR(__xludf.DUMMYFUNCTION("""COMPUTED_VALUE"""),4688700.0)</f>
        <v>4688700</v>
      </c>
      <c r="G793" s="2">
        <f t="shared" si="1"/>
        <v>6</v>
      </c>
    </row>
    <row r="794" ht="15.75" customHeight="1">
      <c r="A794" s="1">
        <f>IFERROR(__xludf.DUMMYFUNCTION("""COMPUTED_VALUE"""),45016.66666666667)</f>
        <v>45016.66667</v>
      </c>
      <c r="B794" s="2">
        <f>IFERROR(__xludf.DUMMYFUNCTION("""COMPUTED_VALUE"""),424.0)</f>
        <v>424</v>
      </c>
      <c r="C794" s="2">
        <f>IFERROR(__xludf.DUMMYFUNCTION("""COMPUTED_VALUE"""),428.0)</f>
        <v>428</v>
      </c>
      <c r="D794" s="2">
        <f>IFERROR(__xludf.DUMMYFUNCTION("""COMPUTED_VALUE"""),416.0)</f>
        <v>416</v>
      </c>
      <c r="E794" s="2">
        <f>IFERROR(__xludf.DUMMYFUNCTION("""COMPUTED_VALUE"""),416.0)</f>
        <v>416</v>
      </c>
      <c r="F794" s="2">
        <f>IFERROR(__xludf.DUMMYFUNCTION("""COMPUTED_VALUE"""),5551300.0)</f>
        <v>5551300</v>
      </c>
      <c r="G794" s="2">
        <f t="shared" si="1"/>
        <v>12</v>
      </c>
    </row>
    <row r="795" ht="15.75" customHeight="1">
      <c r="A795" s="1">
        <f>IFERROR(__xludf.DUMMYFUNCTION("""COMPUTED_VALUE"""),45019.66666666667)</f>
        <v>45019.66667</v>
      </c>
      <c r="B795" s="2">
        <f>IFERROR(__xludf.DUMMYFUNCTION("""COMPUTED_VALUE"""),420.0)</f>
        <v>420</v>
      </c>
      <c r="C795" s="2">
        <f>IFERROR(__xludf.DUMMYFUNCTION("""COMPUTED_VALUE"""),420.0)</f>
        <v>420</v>
      </c>
      <c r="D795" s="2">
        <f>IFERROR(__xludf.DUMMYFUNCTION("""COMPUTED_VALUE"""),414.0)</f>
        <v>414</v>
      </c>
      <c r="E795" s="2">
        <f>IFERROR(__xludf.DUMMYFUNCTION("""COMPUTED_VALUE"""),418.0)</f>
        <v>418</v>
      </c>
      <c r="F795" s="2">
        <f>IFERROR(__xludf.DUMMYFUNCTION("""COMPUTED_VALUE"""),4055200.0)</f>
        <v>4055200</v>
      </c>
      <c r="G795" s="2">
        <f t="shared" si="1"/>
        <v>6</v>
      </c>
    </row>
    <row r="796" ht="15.75" customHeight="1">
      <c r="A796" s="1">
        <f>IFERROR(__xludf.DUMMYFUNCTION("""COMPUTED_VALUE"""),45020.66666666667)</f>
        <v>45020.66667</v>
      </c>
      <c r="B796" s="2">
        <f>IFERROR(__xludf.DUMMYFUNCTION("""COMPUTED_VALUE"""),418.0)</f>
        <v>418</v>
      </c>
      <c r="C796" s="2">
        <f>IFERROR(__xludf.DUMMYFUNCTION("""COMPUTED_VALUE"""),420.0)</f>
        <v>420</v>
      </c>
      <c r="D796" s="2">
        <f>IFERROR(__xludf.DUMMYFUNCTION("""COMPUTED_VALUE"""),412.0)</f>
        <v>412</v>
      </c>
      <c r="E796" s="2">
        <f>IFERROR(__xludf.DUMMYFUNCTION("""COMPUTED_VALUE"""),416.0)</f>
        <v>416</v>
      </c>
      <c r="F796" s="2">
        <f>IFERROR(__xludf.DUMMYFUNCTION("""COMPUTED_VALUE"""),4383300.0)</f>
        <v>4383300</v>
      </c>
      <c r="G796" s="2">
        <f t="shared" si="1"/>
        <v>8</v>
      </c>
    </row>
    <row r="797" ht="15.75" customHeight="1">
      <c r="A797" s="1">
        <f>IFERROR(__xludf.DUMMYFUNCTION("""COMPUTED_VALUE"""),45021.66666666667)</f>
        <v>45021.66667</v>
      </c>
      <c r="B797" s="2">
        <f>IFERROR(__xludf.DUMMYFUNCTION("""COMPUTED_VALUE"""),416.0)</f>
        <v>416</v>
      </c>
      <c r="C797" s="2">
        <f>IFERROR(__xludf.DUMMYFUNCTION("""COMPUTED_VALUE"""),418.0)</f>
        <v>418</v>
      </c>
      <c r="D797" s="2">
        <f>IFERROR(__xludf.DUMMYFUNCTION("""COMPUTED_VALUE"""),408.0)</f>
        <v>408</v>
      </c>
      <c r="E797" s="2">
        <f>IFERROR(__xludf.DUMMYFUNCTION("""COMPUTED_VALUE"""),408.0)</f>
        <v>408</v>
      </c>
      <c r="F797" s="2">
        <f>IFERROR(__xludf.DUMMYFUNCTION("""COMPUTED_VALUE"""),6368300.0)</f>
        <v>6368300</v>
      </c>
      <c r="G797" s="2">
        <f t="shared" si="1"/>
        <v>10</v>
      </c>
    </row>
    <row r="798" ht="15.75" customHeight="1">
      <c r="A798" s="1">
        <f>IFERROR(__xludf.DUMMYFUNCTION("""COMPUTED_VALUE"""),45022.66666666667)</f>
        <v>45022.66667</v>
      </c>
      <c r="B798" s="2">
        <f>IFERROR(__xludf.DUMMYFUNCTION("""COMPUTED_VALUE"""),408.0)</f>
        <v>408</v>
      </c>
      <c r="C798" s="2">
        <f>IFERROR(__xludf.DUMMYFUNCTION("""COMPUTED_VALUE"""),410.0)</f>
        <v>410</v>
      </c>
      <c r="D798" s="2">
        <f>IFERROR(__xludf.DUMMYFUNCTION("""COMPUTED_VALUE"""),404.0)</f>
        <v>404</v>
      </c>
      <c r="E798" s="2">
        <f>IFERROR(__xludf.DUMMYFUNCTION("""COMPUTED_VALUE"""),408.0)</f>
        <v>408</v>
      </c>
      <c r="F798" s="2">
        <f>IFERROR(__xludf.DUMMYFUNCTION("""COMPUTED_VALUE"""),4682800.0)</f>
        <v>4682800</v>
      </c>
      <c r="G798" s="2">
        <f t="shared" si="1"/>
        <v>6</v>
      </c>
    </row>
    <row r="799" ht="15.75" customHeight="1">
      <c r="A799" s="1">
        <f>IFERROR(__xludf.DUMMYFUNCTION("""COMPUTED_VALUE"""),45026.66666666667)</f>
        <v>45026.66667</v>
      </c>
      <c r="B799" s="2">
        <f>IFERROR(__xludf.DUMMYFUNCTION("""COMPUTED_VALUE"""),408.0)</f>
        <v>408</v>
      </c>
      <c r="C799" s="2">
        <f>IFERROR(__xludf.DUMMYFUNCTION("""COMPUTED_VALUE"""),410.0)</f>
        <v>410</v>
      </c>
      <c r="D799" s="2">
        <f>IFERROR(__xludf.DUMMYFUNCTION("""COMPUTED_VALUE"""),396.0)</f>
        <v>396</v>
      </c>
      <c r="E799" s="2">
        <f>IFERROR(__xludf.DUMMYFUNCTION("""COMPUTED_VALUE"""),400.0)</f>
        <v>400</v>
      </c>
      <c r="F799" s="2">
        <f>IFERROR(__xludf.DUMMYFUNCTION("""COMPUTED_VALUE"""),1.25796E7)</f>
        <v>12579600</v>
      </c>
      <c r="G799" s="2">
        <f t="shared" si="1"/>
        <v>14</v>
      </c>
    </row>
    <row r="800" ht="15.75" customHeight="1">
      <c r="A800" s="1">
        <f>IFERROR(__xludf.DUMMYFUNCTION("""COMPUTED_VALUE"""),45027.66666666667)</f>
        <v>45027.66667</v>
      </c>
      <c r="B800" s="2">
        <f>IFERROR(__xludf.DUMMYFUNCTION("""COMPUTED_VALUE"""),400.0)</f>
        <v>400</v>
      </c>
      <c r="C800" s="2">
        <f>IFERROR(__xludf.DUMMYFUNCTION("""COMPUTED_VALUE"""),404.0)</f>
        <v>404</v>
      </c>
      <c r="D800" s="2">
        <f>IFERROR(__xludf.DUMMYFUNCTION("""COMPUTED_VALUE"""),374.0)</f>
        <v>374</v>
      </c>
      <c r="E800" s="2">
        <f>IFERROR(__xludf.DUMMYFUNCTION("""COMPUTED_VALUE"""),388.0)</f>
        <v>388</v>
      </c>
      <c r="F800" s="2">
        <f>IFERROR(__xludf.DUMMYFUNCTION("""COMPUTED_VALUE"""),4.99179E7)</f>
        <v>49917900</v>
      </c>
      <c r="G800" s="2">
        <f t="shared" si="1"/>
        <v>30</v>
      </c>
    </row>
    <row r="801" ht="15.75" customHeight="1">
      <c r="A801" s="1">
        <f>IFERROR(__xludf.DUMMYFUNCTION("""COMPUTED_VALUE"""),45028.66666666667)</f>
        <v>45028.66667</v>
      </c>
      <c r="B801" s="2">
        <f>IFERROR(__xludf.DUMMYFUNCTION("""COMPUTED_VALUE"""),390.0)</f>
        <v>390</v>
      </c>
      <c r="C801" s="2">
        <f>IFERROR(__xludf.DUMMYFUNCTION("""COMPUTED_VALUE"""),406.0)</f>
        <v>406</v>
      </c>
      <c r="D801" s="2">
        <f>IFERROR(__xludf.DUMMYFUNCTION("""COMPUTED_VALUE"""),386.0)</f>
        <v>386</v>
      </c>
      <c r="E801" s="2">
        <f>IFERROR(__xludf.DUMMYFUNCTION("""COMPUTED_VALUE"""),404.0)</f>
        <v>404</v>
      </c>
      <c r="F801" s="2">
        <f>IFERROR(__xludf.DUMMYFUNCTION("""COMPUTED_VALUE"""),2.39224E7)</f>
        <v>23922400</v>
      </c>
      <c r="G801" s="2">
        <f t="shared" si="1"/>
        <v>20</v>
      </c>
    </row>
    <row r="802" ht="15.75" customHeight="1">
      <c r="A802" s="1">
        <f>IFERROR(__xludf.DUMMYFUNCTION("""COMPUTED_VALUE"""),45029.66666666667)</f>
        <v>45029.66667</v>
      </c>
      <c r="B802" s="2">
        <f>IFERROR(__xludf.DUMMYFUNCTION("""COMPUTED_VALUE"""),404.0)</f>
        <v>404</v>
      </c>
      <c r="C802" s="2">
        <f>IFERROR(__xludf.DUMMYFUNCTION("""COMPUTED_VALUE"""),416.0)</f>
        <v>416</v>
      </c>
      <c r="D802" s="2">
        <f>IFERROR(__xludf.DUMMYFUNCTION("""COMPUTED_VALUE"""),402.0)</f>
        <v>402</v>
      </c>
      <c r="E802" s="2">
        <f>IFERROR(__xludf.DUMMYFUNCTION("""COMPUTED_VALUE"""),404.0)</f>
        <v>404</v>
      </c>
      <c r="F802" s="2">
        <f>IFERROR(__xludf.DUMMYFUNCTION("""COMPUTED_VALUE"""),1.24606E7)</f>
        <v>12460600</v>
      </c>
      <c r="G802" s="2">
        <f t="shared" si="1"/>
        <v>14</v>
      </c>
    </row>
    <row r="803" ht="15.75" customHeight="1">
      <c r="A803" s="1">
        <f>IFERROR(__xludf.DUMMYFUNCTION("""COMPUTED_VALUE"""),45030.66666666667)</f>
        <v>45030.66667</v>
      </c>
      <c r="B803" s="2">
        <f>IFERROR(__xludf.DUMMYFUNCTION("""COMPUTED_VALUE"""),404.0)</f>
        <v>404</v>
      </c>
      <c r="C803" s="2">
        <f>IFERROR(__xludf.DUMMYFUNCTION("""COMPUTED_VALUE"""),410.0)</f>
        <v>410</v>
      </c>
      <c r="D803" s="2">
        <f>IFERROR(__xludf.DUMMYFUNCTION("""COMPUTED_VALUE"""),396.0)</f>
        <v>396</v>
      </c>
      <c r="E803" s="2">
        <f>IFERROR(__xludf.DUMMYFUNCTION("""COMPUTED_VALUE"""),398.0)</f>
        <v>398</v>
      </c>
      <c r="F803" s="2">
        <f>IFERROR(__xludf.DUMMYFUNCTION("""COMPUTED_VALUE"""),7183800.0)</f>
        <v>7183800</v>
      </c>
      <c r="G803" s="2">
        <f t="shared" si="1"/>
        <v>14</v>
      </c>
    </row>
    <row r="804" ht="15.75" customHeight="1">
      <c r="A804" s="1">
        <f>IFERROR(__xludf.DUMMYFUNCTION("""COMPUTED_VALUE"""),45033.66666666667)</f>
        <v>45033.66667</v>
      </c>
      <c r="B804" s="2">
        <f>IFERROR(__xludf.DUMMYFUNCTION("""COMPUTED_VALUE"""),398.0)</f>
        <v>398</v>
      </c>
      <c r="C804" s="2">
        <f>IFERROR(__xludf.DUMMYFUNCTION("""COMPUTED_VALUE"""),412.0)</f>
        <v>412</v>
      </c>
      <c r="D804" s="2">
        <f>IFERROR(__xludf.DUMMYFUNCTION("""COMPUTED_VALUE"""),398.0)</f>
        <v>398</v>
      </c>
      <c r="E804" s="2">
        <f>IFERROR(__xludf.DUMMYFUNCTION("""COMPUTED_VALUE"""),404.0)</f>
        <v>404</v>
      </c>
      <c r="F804" s="2">
        <f>IFERROR(__xludf.DUMMYFUNCTION("""COMPUTED_VALUE"""),1.05339E7)</f>
        <v>10533900</v>
      </c>
      <c r="G804" s="2">
        <f t="shared" si="1"/>
        <v>14</v>
      </c>
    </row>
    <row r="805" ht="15.75" customHeight="1">
      <c r="A805" s="1">
        <f>IFERROR(__xludf.DUMMYFUNCTION("""COMPUTED_VALUE"""),45034.66666666667)</f>
        <v>45034.66667</v>
      </c>
      <c r="B805" s="2">
        <f>IFERROR(__xludf.DUMMYFUNCTION("""COMPUTED_VALUE"""),404.0)</f>
        <v>404</v>
      </c>
      <c r="C805" s="2">
        <f>IFERROR(__xludf.DUMMYFUNCTION("""COMPUTED_VALUE"""),408.0)</f>
        <v>408</v>
      </c>
      <c r="D805" s="2">
        <f>IFERROR(__xludf.DUMMYFUNCTION("""COMPUTED_VALUE"""),400.0)</f>
        <v>400</v>
      </c>
      <c r="E805" s="2">
        <f>IFERROR(__xludf.DUMMYFUNCTION("""COMPUTED_VALUE"""),404.0)</f>
        <v>404</v>
      </c>
      <c r="F805" s="2">
        <f>IFERROR(__xludf.DUMMYFUNCTION("""COMPUTED_VALUE"""),6102600.0)</f>
        <v>6102600</v>
      </c>
      <c r="G805" s="2">
        <f t="shared" si="1"/>
        <v>8</v>
      </c>
    </row>
    <row r="806" ht="15.75" customHeight="1">
      <c r="A806" s="1">
        <f>IFERROR(__xludf.DUMMYFUNCTION("""COMPUTED_VALUE"""),45042.66666666667)</f>
        <v>45042.66667</v>
      </c>
      <c r="B806" s="2">
        <f>IFERROR(__xludf.DUMMYFUNCTION("""COMPUTED_VALUE"""),404.0)</f>
        <v>404</v>
      </c>
      <c r="C806" s="2">
        <f>IFERROR(__xludf.DUMMYFUNCTION("""COMPUTED_VALUE"""),426.0)</f>
        <v>426</v>
      </c>
      <c r="D806" s="2">
        <f>IFERROR(__xludf.DUMMYFUNCTION("""COMPUTED_VALUE"""),398.0)</f>
        <v>398</v>
      </c>
      <c r="E806" s="2">
        <f>IFERROR(__xludf.DUMMYFUNCTION("""COMPUTED_VALUE"""),420.0)</f>
        <v>420</v>
      </c>
      <c r="F806" s="2">
        <f>IFERROR(__xludf.DUMMYFUNCTION("""COMPUTED_VALUE"""),2.14545E7)</f>
        <v>21454500</v>
      </c>
      <c r="G806" s="2">
        <f t="shared" si="1"/>
        <v>28</v>
      </c>
    </row>
    <row r="807" ht="15.75" customHeight="1">
      <c r="A807" s="1">
        <f>IFERROR(__xludf.DUMMYFUNCTION("""COMPUTED_VALUE"""),45043.66666666667)</f>
        <v>45043.66667</v>
      </c>
      <c r="B807" s="2">
        <f>IFERROR(__xludf.DUMMYFUNCTION("""COMPUTED_VALUE"""),424.0)</f>
        <v>424</v>
      </c>
      <c r="C807" s="2">
        <f>IFERROR(__xludf.DUMMYFUNCTION("""COMPUTED_VALUE"""),444.0)</f>
        <v>444</v>
      </c>
      <c r="D807" s="2">
        <f>IFERROR(__xludf.DUMMYFUNCTION("""COMPUTED_VALUE"""),420.0)</f>
        <v>420</v>
      </c>
      <c r="E807" s="2">
        <f>IFERROR(__xludf.DUMMYFUNCTION("""COMPUTED_VALUE"""),434.0)</f>
        <v>434</v>
      </c>
      <c r="F807" s="2">
        <f>IFERROR(__xludf.DUMMYFUNCTION("""COMPUTED_VALUE"""),3.03121E7)</f>
        <v>30312100</v>
      </c>
      <c r="G807" s="2">
        <f t="shared" si="1"/>
        <v>24</v>
      </c>
    </row>
    <row r="808" ht="15.75" customHeight="1">
      <c r="A808" s="1">
        <f>IFERROR(__xludf.DUMMYFUNCTION("""COMPUTED_VALUE"""),45044.66666666667)</f>
        <v>45044.66667</v>
      </c>
      <c r="B808" s="2">
        <f>IFERROR(__xludf.DUMMYFUNCTION("""COMPUTED_VALUE"""),434.0)</f>
        <v>434</v>
      </c>
      <c r="C808" s="2">
        <f>IFERROR(__xludf.DUMMYFUNCTION("""COMPUTED_VALUE"""),438.0)</f>
        <v>438</v>
      </c>
      <c r="D808" s="2">
        <f>IFERROR(__xludf.DUMMYFUNCTION("""COMPUTED_VALUE"""),430.0)</f>
        <v>430</v>
      </c>
      <c r="E808" s="2">
        <f>IFERROR(__xludf.DUMMYFUNCTION("""COMPUTED_VALUE"""),436.0)</f>
        <v>436</v>
      </c>
      <c r="F808" s="2">
        <f>IFERROR(__xludf.DUMMYFUNCTION("""COMPUTED_VALUE"""),1.16372E7)</f>
        <v>11637200</v>
      </c>
      <c r="G808" s="2">
        <f t="shared" si="1"/>
        <v>8</v>
      </c>
    </row>
    <row r="809" ht="15.75" customHeight="1">
      <c r="A809" s="1">
        <f>IFERROR(__xludf.DUMMYFUNCTION("""COMPUTED_VALUE"""),45048.66666666667)</f>
        <v>45048.66667</v>
      </c>
      <c r="B809" s="2">
        <f>IFERROR(__xludf.DUMMYFUNCTION("""COMPUTED_VALUE"""),436.0)</f>
        <v>436</v>
      </c>
      <c r="C809" s="2">
        <f>IFERROR(__xludf.DUMMYFUNCTION("""COMPUTED_VALUE"""),438.0)</f>
        <v>438</v>
      </c>
      <c r="D809" s="2">
        <f>IFERROR(__xludf.DUMMYFUNCTION("""COMPUTED_VALUE"""),412.0)</f>
        <v>412</v>
      </c>
      <c r="E809" s="2">
        <f>IFERROR(__xludf.DUMMYFUNCTION("""COMPUTED_VALUE"""),414.0)</f>
        <v>414</v>
      </c>
      <c r="F809" s="2">
        <f>IFERROR(__xludf.DUMMYFUNCTION("""COMPUTED_VALUE"""),1.52411E7)</f>
        <v>15241100</v>
      </c>
      <c r="G809" s="2">
        <f t="shared" si="1"/>
        <v>26</v>
      </c>
    </row>
    <row r="810" ht="15.75" customHeight="1">
      <c r="A810" s="1">
        <f>IFERROR(__xludf.DUMMYFUNCTION("""COMPUTED_VALUE"""),45049.66666666667)</f>
        <v>45049.66667</v>
      </c>
      <c r="B810" s="2">
        <f>IFERROR(__xludf.DUMMYFUNCTION("""COMPUTED_VALUE"""),414.0)</f>
        <v>414</v>
      </c>
      <c r="C810" s="2">
        <f>IFERROR(__xludf.DUMMYFUNCTION("""COMPUTED_VALUE"""),414.0)</f>
        <v>414</v>
      </c>
      <c r="D810" s="2">
        <f>IFERROR(__xludf.DUMMYFUNCTION("""COMPUTED_VALUE"""),400.0)</f>
        <v>400</v>
      </c>
      <c r="E810" s="2">
        <f>IFERROR(__xludf.DUMMYFUNCTION("""COMPUTED_VALUE"""),402.0)</f>
        <v>402</v>
      </c>
      <c r="F810" s="2">
        <f>IFERROR(__xludf.DUMMYFUNCTION("""COMPUTED_VALUE"""),1.62985E7)</f>
        <v>16298500</v>
      </c>
      <c r="G810" s="2">
        <f t="shared" si="1"/>
        <v>14</v>
      </c>
    </row>
    <row r="811" ht="15.75" customHeight="1">
      <c r="A811" s="1">
        <f>IFERROR(__xludf.DUMMYFUNCTION("""COMPUTED_VALUE"""),45050.66666666667)</f>
        <v>45050.66667</v>
      </c>
      <c r="B811" s="2">
        <f>IFERROR(__xludf.DUMMYFUNCTION("""COMPUTED_VALUE"""),402.0)</f>
        <v>402</v>
      </c>
      <c r="C811" s="2">
        <f>IFERROR(__xludf.DUMMYFUNCTION("""COMPUTED_VALUE"""),412.0)</f>
        <v>412</v>
      </c>
      <c r="D811" s="2">
        <f>IFERROR(__xludf.DUMMYFUNCTION("""COMPUTED_VALUE"""),402.0)</f>
        <v>402</v>
      </c>
      <c r="E811" s="2">
        <f>IFERROR(__xludf.DUMMYFUNCTION("""COMPUTED_VALUE"""),408.0)</f>
        <v>408</v>
      </c>
      <c r="F811" s="2">
        <f>IFERROR(__xludf.DUMMYFUNCTION("""COMPUTED_VALUE"""),8429800.0)</f>
        <v>8429800</v>
      </c>
      <c r="G811" s="2">
        <f t="shared" si="1"/>
        <v>10</v>
      </c>
    </row>
    <row r="812" ht="15.75" customHeight="1">
      <c r="A812" s="1">
        <f>IFERROR(__xludf.DUMMYFUNCTION("""COMPUTED_VALUE"""),45051.66666666667)</f>
        <v>45051.66667</v>
      </c>
      <c r="B812" s="2">
        <f>IFERROR(__xludf.DUMMYFUNCTION("""COMPUTED_VALUE"""),408.0)</f>
        <v>408</v>
      </c>
      <c r="C812" s="2">
        <f>IFERROR(__xludf.DUMMYFUNCTION("""COMPUTED_VALUE"""),410.0)</f>
        <v>410</v>
      </c>
      <c r="D812" s="2">
        <f>IFERROR(__xludf.DUMMYFUNCTION("""COMPUTED_VALUE"""),392.0)</f>
        <v>392</v>
      </c>
      <c r="E812" s="2">
        <f>IFERROR(__xludf.DUMMYFUNCTION("""COMPUTED_VALUE"""),392.0)</f>
        <v>392</v>
      </c>
      <c r="F812" s="2">
        <f>IFERROR(__xludf.DUMMYFUNCTION("""COMPUTED_VALUE"""),1.95458E7)</f>
        <v>19545800</v>
      </c>
      <c r="G812" s="2">
        <f t="shared" si="1"/>
        <v>18</v>
      </c>
    </row>
    <row r="813" ht="15.75" customHeight="1">
      <c r="A813" s="1">
        <f>IFERROR(__xludf.DUMMYFUNCTION("""COMPUTED_VALUE"""),45054.66666666667)</f>
        <v>45054.66667</v>
      </c>
      <c r="B813" s="2">
        <f>IFERROR(__xludf.DUMMYFUNCTION("""COMPUTED_VALUE"""),394.0)</f>
        <v>394</v>
      </c>
      <c r="C813" s="2">
        <f>IFERROR(__xludf.DUMMYFUNCTION("""COMPUTED_VALUE"""),398.0)</f>
        <v>398</v>
      </c>
      <c r="D813" s="2">
        <f>IFERROR(__xludf.DUMMYFUNCTION("""COMPUTED_VALUE"""),388.0)</f>
        <v>388</v>
      </c>
      <c r="E813" s="2">
        <f>IFERROR(__xludf.DUMMYFUNCTION("""COMPUTED_VALUE"""),388.0)</f>
        <v>388</v>
      </c>
      <c r="F813" s="2">
        <f>IFERROR(__xludf.DUMMYFUNCTION("""COMPUTED_VALUE"""),1.55187E7)</f>
        <v>15518700</v>
      </c>
      <c r="G813" s="2">
        <f t="shared" si="1"/>
        <v>10</v>
      </c>
    </row>
    <row r="814" ht="15.75" customHeight="1">
      <c r="A814" s="1">
        <f>IFERROR(__xludf.DUMMYFUNCTION("""COMPUTED_VALUE"""),45055.66666666667)</f>
        <v>45055.66667</v>
      </c>
      <c r="B814" s="2">
        <f>IFERROR(__xludf.DUMMYFUNCTION("""COMPUTED_VALUE"""),390.0)</f>
        <v>390</v>
      </c>
      <c r="C814" s="2">
        <f>IFERROR(__xludf.DUMMYFUNCTION("""COMPUTED_VALUE"""),402.0)</f>
        <v>402</v>
      </c>
      <c r="D814" s="2">
        <f>IFERROR(__xludf.DUMMYFUNCTION("""COMPUTED_VALUE"""),388.0)</f>
        <v>388</v>
      </c>
      <c r="E814" s="2">
        <f>IFERROR(__xludf.DUMMYFUNCTION("""COMPUTED_VALUE"""),400.0)</f>
        <v>400</v>
      </c>
      <c r="F814" s="2">
        <f>IFERROR(__xludf.DUMMYFUNCTION("""COMPUTED_VALUE"""),1.02271E7)</f>
        <v>10227100</v>
      </c>
      <c r="G814" s="2">
        <f t="shared" si="1"/>
        <v>14</v>
      </c>
    </row>
    <row r="815" ht="15.75" customHeight="1">
      <c r="A815" s="1">
        <f>IFERROR(__xludf.DUMMYFUNCTION("""COMPUTED_VALUE"""),45056.66666666667)</f>
        <v>45056.66667</v>
      </c>
      <c r="B815" s="2">
        <f>IFERROR(__xludf.DUMMYFUNCTION("""COMPUTED_VALUE"""),402.0)</f>
        <v>402</v>
      </c>
      <c r="C815" s="2">
        <f>IFERROR(__xludf.DUMMYFUNCTION("""COMPUTED_VALUE"""),404.0)</f>
        <v>404</v>
      </c>
      <c r="D815" s="2">
        <f>IFERROR(__xludf.DUMMYFUNCTION("""COMPUTED_VALUE"""),394.0)</f>
        <v>394</v>
      </c>
      <c r="E815" s="2">
        <f>IFERROR(__xludf.DUMMYFUNCTION("""COMPUTED_VALUE"""),396.0)</f>
        <v>396</v>
      </c>
      <c r="F815" s="2">
        <f>IFERROR(__xludf.DUMMYFUNCTION("""COMPUTED_VALUE"""),7112800.0)</f>
        <v>7112800</v>
      </c>
      <c r="G815" s="2">
        <f t="shared" si="1"/>
        <v>10</v>
      </c>
    </row>
    <row r="816" ht="15.75" customHeight="1">
      <c r="A816" s="1">
        <f>IFERROR(__xludf.DUMMYFUNCTION("""COMPUTED_VALUE"""),45057.66666666667)</f>
        <v>45057.66667</v>
      </c>
      <c r="B816" s="2">
        <f>IFERROR(__xludf.DUMMYFUNCTION("""COMPUTED_VALUE"""),396.0)</f>
        <v>396</v>
      </c>
      <c r="C816" s="2">
        <f>IFERROR(__xludf.DUMMYFUNCTION("""COMPUTED_VALUE"""),398.0)</f>
        <v>398</v>
      </c>
      <c r="D816" s="2">
        <f>IFERROR(__xludf.DUMMYFUNCTION("""COMPUTED_VALUE"""),384.0)</f>
        <v>384</v>
      </c>
      <c r="E816" s="2">
        <f>IFERROR(__xludf.DUMMYFUNCTION("""COMPUTED_VALUE"""),384.0)</f>
        <v>384</v>
      </c>
      <c r="F816" s="2">
        <f>IFERROR(__xludf.DUMMYFUNCTION("""COMPUTED_VALUE"""),1.61181E7)</f>
        <v>16118100</v>
      </c>
      <c r="G816" s="2">
        <f t="shared" si="1"/>
        <v>14</v>
      </c>
    </row>
    <row r="817" ht="15.75" customHeight="1">
      <c r="A817" s="1">
        <f>IFERROR(__xludf.DUMMYFUNCTION("""COMPUTED_VALUE"""),45058.66666666667)</f>
        <v>45058.66667</v>
      </c>
      <c r="B817" s="2">
        <f>IFERROR(__xludf.DUMMYFUNCTION("""COMPUTED_VALUE"""),384.0)</f>
        <v>384</v>
      </c>
      <c r="C817" s="2">
        <f>IFERROR(__xludf.DUMMYFUNCTION("""COMPUTED_VALUE"""),388.0)</f>
        <v>388</v>
      </c>
      <c r="D817" s="2">
        <f>IFERROR(__xludf.DUMMYFUNCTION("""COMPUTED_VALUE"""),380.0)</f>
        <v>380</v>
      </c>
      <c r="E817" s="2">
        <f>IFERROR(__xludf.DUMMYFUNCTION("""COMPUTED_VALUE"""),384.0)</f>
        <v>384</v>
      </c>
      <c r="F817" s="2">
        <f>IFERROR(__xludf.DUMMYFUNCTION("""COMPUTED_VALUE"""),9611400.0)</f>
        <v>9611400</v>
      </c>
      <c r="G817" s="2">
        <f t="shared" si="1"/>
        <v>8</v>
      </c>
    </row>
    <row r="818" ht="15.75" customHeight="1">
      <c r="A818" s="1">
        <f>IFERROR(__xludf.DUMMYFUNCTION("""COMPUTED_VALUE"""),45061.66666666667)</f>
        <v>45061.66667</v>
      </c>
      <c r="B818" s="2">
        <f>IFERROR(__xludf.DUMMYFUNCTION("""COMPUTED_VALUE"""),384.0)</f>
        <v>384</v>
      </c>
      <c r="C818" s="2">
        <f>IFERROR(__xludf.DUMMYFUNCTION("""COMPUTED_VALUE"""),388.0)</f>
        <v>388</v>
      </c>
      <c r="D818" s="2">
        <f>IFERROR(__xludf.DUMMYFUNCTION("""COMPUTED_VALUE"""),382.0)</f>
        <v>382</v>
      </c>
      <c r="E818" s="2">
        <f>IFERROR(__xludf.DUMMYFUNCTION("""COMPUTED_VALUE"""),384.0)</f>
        <v>384</v>
      </c>
      <c r="F818" s="2">
        <f>IFERROR(__xludf.DUMMYFUNCTION("""COMPUTED_VALUE"""),7102300.0)</f>
        <v>7102300</v>
      </c>
      <c r="G818" s="2">
        <f t="shared" si="1"/>
        <v>6</v>
      </c>
    </row>
    <row r="819" ht="15.75" customHeight="1">
      <c r="A819" s="1">
        <f>IFERROR(__xludf.DUMMYFUNCTION("""COMPUTED_VALUE"""),45062.66666666667)</f>
        <v>45062.66667</v>
      </c>
      <c r="B819" s="2">
        <f>IFERROR(__xludf.DUMMYFUNCTION("""COMPUTED_VALUE"""),384.0)</f>
        <v>384</v>
      </c>
      <c r="C819" s="2">
        <f>IFERROR(__xludf.DUMMYFUNCTION("""COMPUTED_VALUE"""),388.0)</f>
        <v>388</v>
      </c>
      <c r="D819" s="2">
        <f>IFERROR(__xludf.DUMMYFUNCTION("""COMPUTED_VALUE"""),380.0)</f>
        <v>380</v>
      </c>
      <c r="E819" s="2">
        <f>IFERROR(__xludf.DUMMYFUNCTION("""COMPUTED_VALUE"""),382.0)</f>
        <v>382</v>
      </c>
      <c r="F819" s="2">
        <f>IFERROR(__xludf.DUMMYFUNCTION("""COMPUTED_VALUE"""),9676800.0)</f>
        <v>9676800</v>
      </c>
      <c r="G819" s="2">
        <f t="shared" si="1"/>
        <v>8</v>
      </c>
    </row>
    <row r="820" ht="15.75" customHeight="1">
      <c r="A820" s="1">
        <f>IFERROR(__xludf.DUMMYFUNCTION("""COMPUTED_VALUE"""),45063.66666666667)</f>
        <v>45063.66667</v>
      </c>
      <c r="B820" s="2">
        <f>IFERROR(__xludf.DUMMYFUNCTION("""COMPUTED_VALUE"""),384.0)</f>
        <v>384</v>
      </c>
      <c r="C820" s="2">
        <f>IFERROR(__xludf.DUMMYFUNCTION("""COMPUTED_VALUE"""),384.0)</f>
        <v>384</v>
      </c>
      <c r="D820" s="2">
        <f>IFERROR(__xludf.DUMMYFUNCTION("""COMPUTED_VALUE"""),370.0)</f>
        <v>370</v>
      </c>
      <c r="E820" s="2">
        <f>IFERROR(__xludf.DUMMYFUNCTION("""COMPUTED_VALUE"""),370.0)</f>
        <v>370</v>
      </c>
      <c r="F820" s="2">
        <f>IFERROR(__xludf.DUMMYFUNCTION("""COMPUTED_VALUE"""),1.30335E7)</f>
        <v>13033500</v>
      </c>
      <c r="G820" s="2">
        <f t="shared" si="1"/>
        <v>14</v>
      </c>
    </row>
    <row r="821" ht="15.75" customHeight="1">
      <c r="A821" s="1">
        <f>IFERROR(__xludf.DUMMYFUNCTION("""COMPUTED_VALUE"""),45065.66666666667)</f>
        <v>45065.66667</v>
      </c>
      <c r="B821" s="2">
        <f>IFERROR(__xludf.DUMMYFUNCTION("""COMPUTED_VALUE"""),370.0)</f>
        <v>370</v>
      </c>
      <c r="C821" s="2">
        <f>IFERROR(__xludf.DUMMYFUNCTION("""COMPUTED_VALUE"""),380.0)</f>
        <v>380</v>
      </c>
      <c r="D821" s="2">
        <f>IFERROR(__xludf.DUMMYFUNCTION("""COMPUTED_VALUE"""),346.0)</f>
        <v>346</v>
      </c>
      <c r="E821" s="2">
        <f>IFERROR(__xludf.DUMMYFUNCTION("""COMPUTED_VALUE"""),346.0)</f>
        <v>346</v>
      </c>
      <c r="F821" s="2">
        <f>IFERROR(__xludf.DUMMYFUNCTION("""COMPUTED_VALUE"""),3.71368E7)</f>
        <v>37136800</v>
      </c>
      <c r="G821" s="2">
        <f t="shared" si="1"/>
        <v>34</v>
      </c>
    </row>
    <row r="822" ht="15.75" customHeight="1">
      <c r="A822" s="1">
        <f>IFERROR(__xludf.DUMMYFUNCTION("""COMPUTED_VALUE"""),45068.66666666667)</f>
        <v>45068.66667</v>
      </c>
      <c r="B822" s="2">
        <f>IFERROR(__xludf.DUMMYFUNCTION("""COMPUTED_VALUE"""),346.0)</f>
        <v>346</v>
      </c>
      <c r="C822" s="2">
        <f>IFERROR(__xludf.DUMMYFUNCTION("""COMPUTED_VALUE"""),350.0)</f>
        <v>350</v>
      </c>
      <c r="D822" s="2">
        <f>IFERROR(__xludf.DUMMYFUNCTION("""COMPUTED_VALUE"""),330.0)</f>
        <v>330</v>
      </c>
      <c r="E822" s="2">
        <f>IFERROR(__xludf.DUMMYFUNCTION("""COMPUTED_VALUE"""),346.0)</f>
        <v>346</v>
      </c>
      <c r="F822" s="2">
        <f>IFERROR(__xludf.DUMMYFUNCTION("""COMPUTED_VALUE"""),1.99942E7)</f>
        <v>19994200</v>
      </c>
      <c r="G822" s="2">
        <f t="shared" si="1"/>
        <v>20</v>
      </c>
    </row>
    <row r="823" ht="15.75" customHeight="1">
      <c r="A823" s="1">
        <f>IFERROR(__xludf.DUMMYFUNCTION("""COMPUTED_VALUE"""),45069.66666666667)</f>
        <v>45069.66667</v>
      </c>
      <c r="B823" s="2">
        <f>IFERROR(__xludf.DUMMYFUNCTION("""COMPUTED_VALUE"""),346.0)</f>
        <v>346</v>
      </c>
      <c r="C823" s="2">
        <f>IFERROR(__xludf.DUMMYFUNCTION("""COMPUTED_VALUE"""),356.0)</f>
        <v>356</v>
      </c>
      <c r="D823" s="2">
        <f>IFERROR(__xludf.DUMMYFUNCTION("""COMPUTED_VALUE"""),344.0)</f>
        <v>344</v>
      </c>
      <c r="E823" s="2">
        <f>IFERROR(__xludf.DUMMYFUNCTION("""COMPUTED_VALUE"""),348.0)</f>
        <v>348</v>
      </c>
      <c r="F823" s="2">
        <f>IFERROR(__xludf.DUMMYFUNCTION("""COMPUTED_VALUE"""),1.02883E7)</f>
        <v>10288300</v>
      </c>
      <c r="G823" s="2">
        <f t="shared" si="1"/>
        <v>12</v>
      </c>
    </row>
    <row r="824" ht="15.75" customHeight="1">
      <c r="A824" s="1">
        <f>IFERROR(__xludf.DUMMYFUNCTION("""COMPUTED_VALUE"""),45070.66666666667)</f>
        <v>45070.66667</v>
      </c>
      <c r="B824" s="2">
        <f>IFERROR(__xludf.DUMMYFUNCTION("""COMPUTED_VALUE"""),348.0)</f>
        <v>348</v>
      </c>
      <c r="C824" s="2">
        <f>IFERROR(__xludf.DUMMYFUNCTION("""COMPUTED_VALUE"""),352.0)</f>
        <v>352</v>
      </c>
      <c r="D824" s="2">
        <f>IFERROR(__xludf.DUMMYFUNCTION("""COMPUTED_VALUE"""),344.0)</f>
        <v>344</v>
      </c>
      <c r="E824" s="2">
        <f>IFERROR(__xludf.DUMMYFUNCTION("""COMPUTED_VALUE"""),344.0)</f>
        <v>344</v>
      </c>
      <c r="F824" s="2">
        <f>IFERROR(__xludf.DUMMYFUNCTION("""COMPUTED_VALUE"""),5827100.0)</f>
        <v>5827100</v>
      </c>
      <c r="G824" s="2">
        <f t="shared" si="1"/>
        <v>8</v>
      </c>
    </row>
    <row r="825" ht="15.75" customHeight="1">
      <c r="A825" s="1">
        <f>IFERROR(__xludf.DUMMYFUNCTION("""COMPUTED_VALUE"""),45071.66666666667)</f>
        <v>45071.66667</v>
      </c>
      <c r="B825" s="2">
        <f>IFERROR(__xludf.DUMMYFUNCTION("""COMPUTED_VALUE"""),344.0)</f>
        <v>344</v>
      </c>
      <c r="C825" s="2">
        <f>IFERROR(__xludf.DUMMYFUNCTION("""COMPUTED_VALUE"""),348.0)</f>
        <v>348</v>
      </c>
      <c r="D825" s="2">
        <f>IFERROR(__xludf.DUMMYFUNCTION("""COMPUTED_VALUE"""),340.0)</f>
        <v>340</v>
      </c>
      <c r="E825" s="2">
        <f>IFERROR(__xludf.DUMMYFUNCTION("""COMPUTED_VALUE"""),342.0)</f>
        <v>342</v>
      </c>
      <c r="F825" s="2">
        <f>IFERROR(__xludf.DUMMYFUNCTION("""COMPUTED_VALUE"""),5178300.0)</f>
        <v>5178300</v>
      </c>
      <c r="G825" s="2">
        <f t="shared" si="1"/>
        <v>8</v>
      </c>
    </row>
    <row r="826" ht="15.75" customHeight="1">
      <c r="A826" s="1">
        <f>IFERROR(__xludf.DUMMYFUNCTION("""COMPUTED_VALUE"""),45072.66666666667)</f>
        <v>45072.66667</v>
      </c>
      <c r="B826" s="2">
        <f>IFERROR(__xludf.DUMMYFUNCTION("""COMPUTED_VALUE"""),342.0)</f>
        <v>342</v>
      </c>
      <c r="C826" s="2">
        <f>IFERROR(__xludf.DUMMYFUNCTION("""COMPUTED_VALUE"""),348.0)</f>
        <v>348</v>
      </c>
      <c r="D826" s="2">
        <f>IFERROR(__xludf.DUMMYFUNCTION("""COMPUTED_VALUE"""),342.0)</f>
        <v>342</v>
      </c>
      <c r="E826" s="2">
        <f>IFERROR(__xludf.DUMMYFUNCTION("""COMPUTED_VALUE"""),342.0)</f>
        <v>342</v>
      </c>
      <c r="F826" s="2">
        <f>IFERROR(__xludf.DUMMYFUNCTION("""COMPUTED_VALUE"""),2653800.0)</f>
        <v>2653800</v>
      </c>
      <c r="G826" s="2">
        <f t="shared" si="1"/>
        <v>6</v>
      </c>
    </row>
    <row r="827" ht="15.75" customHeight="1">
      <c r="A827" s="1">
        <f>IFERROR(__xludf.DUMMYFUNCTION("""COMPUTED_VALUE"""),45075.66666666667)</f>
        <v>45075.66667</v>
      </c>
      <c r="B827" s="2">
        <f>IFERROR(__xludf.DUMMYFUNCTION("""COMPUTED_VALUE"""),344.0)</f>
        <v>344</v>
      </c>
      <c r="C827" s="2">
        <f>IFERROR(__xludf.DUMMYFUNCTION("""COMPUTED_VALUE"""),344.0)</f>
        <v>344</v>
      </c>
      <c r="D827" s="2">
        <f>IFERROR(__xludf.DUMMYFUNCTION("""COMPUTED_VALUE"""),330.0)</f>
        <v>330</v>
      </c>
      <c r="E827" s="2">
        <f>IFERROR(__xludf.DUMMYFUNCTION("""COMPUTED_VALUE"""),334.0)</f>
        <v>334</v>
      </c>
      <c r="F827" s="2">
        <f>IFERROR(__xludf.DUMMYFUNCTION("""COMPUTED_VALUE"""),7363100.0)</f>
        <v>7363100</v>
      </c>
      <c r="G827" s="2">
        <f t="shared" si="1"/>
        <v>14</v>
      </c>
    </row>
    <row r="828" ht="15.75" customHeight="1">
      <c r="A828" s="1">
        <f>IFERROR(__xludf.DUMMYFUNCTION("""COMPUTED_VALUE"""),45076.66666666667)</f>
        <v>45076.66667</v>
      </c>
      <c r="B828" s="2">
        <f>IFERROR(__xludf.DUMMYFUNCTION("""COMPUTED_VALUE"""),334.0)</f>
        <v>334</v>
      </c>
      <c r="C828" s="2">
        <f>IFERROR(__xludf.DUMMYFUNCTION("""COMPUTED_VALUE"""),348.0)</f>
        <v>348</v>
      </c>
      <c r="D828" s="2">
        <f>IFERROR(__xludf.DUMMYFUNCTION("""COMPUTED_VALUE"""),332.0)</f>
        <v>332</v>
      </c>
      <c r="E828" s="2">
        <f>IFERROR(__xludf.DUMMYFUNCTION("""COMPUTED_VALUE"""),342.0)</f>
        <v>342</v>
      </c>
      <c r="F828" s="2">
        <f>IFERROR(__xludf.DUMMYFUNCTION("""COMPUTED_VALUE"""),8895600.0)</f>
        <v>8895600</v>
      </c>
      <c r="G828" s="2">
        <f t="shared" si="1"/>
        <v>16</v>
      </c>
    </row>
    <row r="829" ht="15.75" customHeight="1">
      <c r="A829" s="1">
        <f>IFERROR(__xludf.DUMMYFUNCTION("""COMPUTED_VALUE"""),45077.66666666667)</f>
        <v>45077.66667</v>
      </c>
      <c r="B829" s="2">
        <f>IFERROR(__xludf.DUMMYFUNCTION("""COMPUTED_VALUE"""),344.0)</f>
        <v>344</v>
      </c>
      <c r="C829" s="2">
        <f>IFERROR(__xludf.DUMMYFUNCTION("""COMPUTED_VALUE"""),346.0)</f>
        <v>346</v>
      </c>
      <c r="D829" s="2">
        <f>IFERROR(__xludf.DUMMYFUNCTION("""COMPUTED_VALUE"""),336.0)</f>
        <v>336</v>
      </c>
      <c r="E829" s="2">
        <f>IFERROR(__xludf.DUMMYFUNCTION("""COMPUTED_VALUE"""),338.0)</f>
        <v>338</v>
      </c>
      <c r="F829" s="2">
        <f>IFERROR(__xludf.DUMMYFUNCTION("""COMPUTED_VALUE"""),3882400.0)</f>
        <v>3882400</v>
      </c>
      <c r="G829" s="2">
        <f t="shared" si="1"/>
        <v>10</v>
      </c>
    </row>
    <row r="830" ht="15.75" customHeight="1">
      <c r="A830" s="1">
        <f>IFERROR(__xludf.DUMMYFUNCTION("""COMPUTED_VALUE"""),45082.66666666667)</f>
        <v>45082.66667</v>
      </c>
      <c r="B830" s="2">
        <f>IFERROR(__xludf.DUMMYFUNCTION("""COMPUTED_VALUE"""),338.0)</f>
        <v>338</v>
      </c>
      <c r="C830" s="2">
        <f>IFERROR(__xludf.DUMMYFUNCTION("""COMPUTED_VALUE"""),352.0)</f>
        <v>352</v>
      </c>
      <c r="D830" s="2">
        <f>IFERROR(__xludf.DUMMYFUNCTION("""COMPUTED_VALUE"""),336.0)</f>
        <v>336</v>
      </c>
      <c r="E830" s="2">
        <f>IFERROR(__xludf.DUMMYFUNCTION("""COMPUTED_VALUE"""),348.0)</f>
        <v>348</v>
      </c>
      <c r="F830" s="2">
        <f>IFERROR(__xludf.DUMMYFUNCTION("""COMPUTED_VALUE"""),1.03484E7)</f>
        <v>10348400</v>
      </c>
      <c r="G830" s="2">
        <f t="shared" si="1"/>
        <v>16</v>
      </c>
    </row>
    <row r="831" ht="15.75" customHeight="1">
      <c r="A831" s="1">
        <f>IFERROR(__xludf.DUMMYFUNCTION("""COMPUTED_VALUE"""),45083.66666666667)</f>
        <v>45083.66667</v>
      </c>
      <c r="B831" s="2">
        <f>IFERROR(__xludf.DUMMYFUNCTION("""COMPUTED_VALUE"""),348.0)</f>
        <v>348</v>
      </c>
      <c r="C831" s="2">
        <f>IFERROR(__xludf.DUMMYFUNCTION("""COMPUTED_VALUE"""),400.0)</f>
        <v>400</v>
      </c>
      <c r="D831" s="2">
        <f>IFERROR(__xludf.DUMMYFUNCTION("""COMPUTED_VALUE"""),348.0)</f>
        <v>348</v>
      </c>
      <c r="E831" s="2">
        <f>IFERROR(__xludf.DUMMYFUNCTION("""COMPUTED_VALUE"""),378.0)</f>
        <v>378</v>
      </c>
      <c r="F831" s="2">
        <f>IFERROR(__xludf.DUMMYFUNCTION("""COMPUTED_VALUE"""),9.00342E7)</f>
        <v>90034200</v>
      </c>
      <c r="G831" s="2">
        <f t="shared" si="1"/>
        <v>52</v>
      </c>
    </row>
    <row r="832" ht="15.75" customHeight="1">
      <c r="A832" s="1">
        <f>IFERROR(__xludf.DUMMYFUNCTION("""COMPUTED_VALUE"""),45084.66666666667)</f>
        <v>45084.66667</v>
      </c>
      <c r="B832" s="2">
        <f>IFERROR(__xludf.DUMMYFUNCTION("""COMPUTED_VALUE"""),378.0)</f>
        <v>378</v>
      </c>
      <c r="C832" s="2">
        <f>IFERROR(__xludf.DUMMYFUNCTION("""COMPUTED_VALUE"""),388.0)</f>
        <v>388</v>
      </c>
      <c r="D832" s="2">
        <f>IFERROR(__xludf.DUMMYFUNCTION("""COMPUTED_VALUE"""),364.0)</f>
        <v>364</v>
      </c>
      <c r="E832" s="2">
        <f>IFERROR(__xludf.DUMMYFUNCTION("""COMPUTED_VALUE"""),378.0)</f>
        <v>378</v>
      </c>
      <c r="F832" s="2">
        <f>IFERROR(__xludf.DUMMYFUNCTION("""COMPUTED_VALUE"""),4.86064E7)</f>
        <v>48606400</v>
      </c>
      <c r="G832" s="2">
        <f t="shared" si="1"/>
        <v>24</v>
      </c>
    </row>
    <row r="833" ht="15.75" customHeight="1">
      <c r="A833" s="1">
        <f>IFERROR(__xludf.DUMMYFUNCTION("""COMPUTED_VALUE"""),45085.66666666667)</f>
        <v>45085.66667</v>
      </c>
      <c r="B833" s="2">
        <f>IFERROR(__xludf.DUMMYFUNCTION("""COMPUTED_VALUE"""),378.0)</f>
        <v>378</v>
      </c>
      <c r="C833" s="2">
        <f>IFERROR(__xludf.DUMMYFUNCTION("""COMPUTED_VALUE"""),412.0)</f>
        <v>412</v>
      </c>
      <c r="D833" s="2">
        <f>IFERROR(__xludf.DUMMYFUNCTION("""COMPUTED_VALUE"""),376.0)</f>
        <v>376</v>
      </c>
      <c r="E833" s="2">
        <f>IFERROR(__xludf.DUMMYFUNCTION("""COMPUTED_VALUE"""),408.0)</f>
        <v>408</v>
      </c>
      <c r="F833" s="2">
        <f>IFERROR(__xludf.DUMMYFUNCTION("""COMPUTED_VALUE"""),7.39549E7)</f>
        <v>73954900</v>
      </c>
      <c r="G833" s="2">
        <f t="shared" si="1"/>
        <v>36</v>
      </c>
    </row>
    <row r="834" ht="15.75" customHeight="1">
      <c r="A834" s="1">
        <f>IFERROR(__xludf.DUMMYFUNCTION("""COMPUTED_VALUE"""),45086.66666666667)</f>
        <v>45086.66667</v>
      </c>
      <c r="B834" s="2">
        <f>IFERROR(__xludf.DUMMYFUNCTION("""COMPUTED_VALUE"""),410.0)</f>
        <v>410</v>
      </c>
      <c r="C834" s="2">
        <f>IFERROR(__xludf.DUMMYFUNCTION("""COMPUTED_VALUE"""),428.0)</f>
        <v>428</v>
      </c>
      <c r="D834" s="2">
        <f>IFERROR(__xludf.DUMMYFUNCTION("""COMPUTED_VALUE"""),408.0)</f>
        <v>408</v>
      </c>
      <c r="E834" s="2">
        <f>IFERROR(__xludf.DUMMYFUNCTION("""COMPUTED_VALUE"""),422.0)</f>
        <v>422</v>
      </c>
      <c r="F834" s="2">
        <f>IFERROR(__xludf.DUMMYFUNCTION("""COMPUTED_VALUE"""),5.15093E7)</f>
        <v>51509300</v>
      </c>
      <c r="G834" s="2">
        <f t="shared" si="1"/>
        <v>20</v>
      </c>
    </row>
    <row r="835" ht="15.75" customHeight="1">
      <c r="A835" s="1">
        <f>IFERROR(__xludf.DUMMYFUNCTION("""COMPUTED_VALUE"""),45089.66666666667)</f>
        <v>45089.66667</v>
      </c>
      <c r="B835" s="2">
        <f>IFERROR(__xludf.DUMMYFUNCTION("""COMPUTED_VALUE"""),422.0)</f>
        <v>422</v>
      </c>
      <c r="C835" s="2">
        <f>IFERROR(__xludf.DUMMYFUNCTION("""COMPUTED_VALUE"""),432.0)</f>
        <v>432</v>
      </c>
      <c r="D835" s="2">
        <f>IFERROR(__xludf.DUMMYFUNCTION("""COMPUTED_VALUE"""),406.0)</f>
        <v>406</v>
      </c>
      <c r="E835" s="2">
        <f>IFERROR(__xludf.DUMMYFUNCTION("""COMPUTED_VALUE"""),420.0)</f>
        <v>420</v>
      </c>
      <c r="F835" s="2">
        <f>IFERROR(__xludf.DUMMYFUNCTION("""COMPUTED_VALUE"""),3.73813E7)</f>
        <v>37381300</v>
      </c>
      <c r="G835" s="2">
        <f t="shared" si="1"/>
        <v>26</v>
      </c>
    </row>
    <row r="836" ht="15.75" customHeight="1">
      <c r="A836" s="1">
        <f>IFERROR(__xludf.DUMMYFUNCTION("""COMPUTED_VALUE"""),45090.66666666667)</f>
        <v>45090.66667</v>
      </c>
      <c r="B836" s="2">
        <f>IFERROR(__xludf.DUMMYFUNCTION("""COMPUTED_VALUE"""),420.0)</f>
        <v>420</v>
      </c>
      <c r="C836" s="2">
        <f>IFERROR(__xludf.DUMMYFUNCTION("""COMPUTED_VALUE"""),462.0)</f>
        <v>462</v>
      </c>
      <c r="D836" s="2">
        <f>IFERROR(__xludf.DUMMYFUNCTION("""COMPUTED_VALUE"""),414.0)</f>
        <v>414</v>
      </c>
      <c r="E836" s="2">
        <f>IFERROR(__xludf.DUMMYFUNCTION("""COMPUTED_VALUE"""),462.0)</f>
        <v>462</v>
      </c>
      <c r="F836" s="2">
        <f>IFERROR(__xludf.DUMMYFUNCTION("""COMPUTED_VALUE"""),7.67479E7)</f>
        <v>76747900</v>
      </c>
      <c r="G836" s="2">
        <f t="shared" si="1"/>
        <v>48</v>
      </c>
    </row>
    <row r="837" ht="15.75" customHeight="1">
      <c r="A837" s="1">
        <f>IFERROR(__xludf.DUMMYFUNCTION("""COMPUTED_VALUE"""),45091.66666666667)</f>
        <v>45091.66667</v>
      </c>
      <c r="B837" s="2">
        <f>IFERROR(__xludf.DUMMYFUNCTION("""COMPUTED_VALUE"""),462.0)</f>
        <v>462</v>
      </c>
      <c r="C837" s="2">
        <f>IFERROR(__xludf.DUMMYFUNCTION("""COMPUTED_VALUE"""),476.0)</f>
        <v>476</v>
      </c>
      <c r="D837" s="2">
        <f>IFERROR(__xludf.DUMMYFUNCTION("""COMPUTED_VALUE"""),456.0)</f>
        <v>456</v>
      </c>
      <c r="E837" s="2">
        <f>IFERROR(__xludf.DUMMYFUNCTION("""COMPUTED_VALUE"""),472.0)</f>
        <v>472</v>
      </c>
      <c r="F837" s="2">
        <f>IFERROR(__xludf.DUMMYFUNCTION("""COMPUTED_VALUE"""),3.9828E7)</f>
        <v>39828000</v>
      </c>
      <c r="G837" s="2">
        <f t="shared" si="1"/>
        <v>20</v>
      </c>
    </row>
    <row r="838" ht="15.75" customHeight="1">
      <c r="A838" s="1">
        <f>IFERROR(__xludf.DUMMYFUNCTION("""COMPUTED_VALUE"""),45092.66666666667)</f>
        <v>45092.66667</v>
      </c>
      <c r="B838" s="2">
        <f>IFERROR(__xludf.DUMMYFUNCTION("""COMPUTED_VALUE"""),472.0)</f>
        <v>472</v>
      </c>
      <c r="C838" s="2">
        <f>IFERROR(__xludf.DUMMYFUNCTION("""COMPUTED_VALUE"""),474.0)</f>
        <v>474</v>
      </c>
      <c r="D838" s="2">
        <f>IFERROR(__xludf.DUMMYFUNCTION("""COMPUTED_VALUE"""),442.0)</f>
        <v>442</v>
      </c>
      <c r="E838" s="2">
        <f>IFERROR(__xludf.DUMMYFUNCTION("""COMPUTED_VALUE"""),452.0)</f>
        <v>452</v>
      </c>
      <c r="F838" s="2">
        <f>IFERROR(__xludf.DUMMYFUNCTION("""COMPUTED_VALUE"""),3.2416E7)</f>
        <v>32416000</v>
      </c>
      <c r="G838" s="2">
        <f t="shared" si="1"/>
        <v>32</v>
      </c>
    </row>
    <row r="839" ht="15.75" customHeight="1">
      <c r="A839" s="1">
        <f>IFERROR(__xludf.DUMMYFUNCTION("""COMPUTED_VALUE"""),45093.66666666667)</f>
        <v>45093.66667</v>
      </c>
      <c r="B839" s="2">
        <f>IFERROR(__xludf.DUMMYFUNCTION("""COMPUTED_VALUE"""),452.0)</f>
        <v>452</v>
      </c>
      <c r="C839" s="2">
        <f>IFERROR(__xludf.DUMMYFUNCTION("""COMPUTED_VALUE"""),454.0)</f>
        <v>454</v>
      </c>
      <c r="D839" s="2">
        <f>IFERROR(__xludf.DUMMYFUNCTION("""COMPUTED_VALUE"""),438.0)</f>
        <v>438</v>
      </c>
      <c r="E839" s="2">
        <f>IFERROR(__xludf.DUMMYFUNCTION("""COMPUTED_VALUE"""),444.0)</f>
        <v>444</v>
      </c>
      <c r="F839" s="2">
        <f>IFERROR(__xludf.DUMMYFUNCTION("""COMPUTED_VALUE"""),4.02423E7)</f>
        <v>40242300</v>
      </c>
      <c r="G839" s="2">
        <f t="shared" si="1"/>
        <v>16</v>
      </c>
    </row>
    <row r="840" ht="15.75" customHeight="1">
      <c r="A840" s="1">
        <f>IFERROR(__xludf.DUMMYFUNCTION("""COMPUTED_VALUE"""),45096.66666666667)</f>
        <v>45096.66667</v>
      </c>
      <c r="B840" s="2">
        <f>IFERROR(__xludf.DUMMYFUNCTION("""COMPUTED_VALUE"""),444.0)</f>
        <v>444</v>
      </c>
      <c r="C840" s="2">
        <f>IFERROR(__xludf.DUMMYFUNCTION("""COMPUTED_VALUE"""),496.0)</f>
        <v>496</v>
      </c>
      <c r="D840" s="2">
        <f>IFERROR(__xludf.DUMMYFUNCTION("""COMPUTED_VALUE"""),444.0)</f>
        <v>444</v>
      </c>
      <c r="E840" s="2">
        <f>IFERROR(__xludf.DUMMYFUNCTION("""COMPUTED_VALUE"""),492.0)</f>
        <v>492</v>
      </c>
      <c r="F840" s="2">
        <f>IFERROR(__xludf.DUMMYFUNCTION("""COMPUTED_VALUE"""),7.94555E7)</f>
        <v>79455500</v>
      </c>
      <c r="G840" s="2">
        <f t="shared" si="1"/>
        <v>52</v>
      </c>
    </row>
    <row r="841" ht="15.75" customHeight="1">
      <c r="A841" s="1">
        <f>IFERROR(__xludf.DUMMYFUNCTION("""COMPUTED_VALUE"""),45097.66666666667)</f>
        <v>45097.66667</v>
      </c>
      <c r="B841" s="2">
        <f>IFERROR(__xludf.DUMMYFUNCTION("""COMPUTED_VALUE"""),494.0)</f>
        <v>494</v>
      </c>
      <c r="C841" s="2">
        <f>IFERROR(__xludf.DUMMYFUNCTION("""COMPUTED_VALUE"""),505.0)</f>
        <v>505</v>
      </c>
      <c r="D841" s="2">
        <f>IFERROR(__xludf.DUMMYFUNCTION("""COMPUTED_VALUE"""),474.0)</f>
        <v>474</v>
      </c>
      <c r="E841" s="2">
        <f>IFERROR(__xludf.DUMMYFUNCTION("""COMPUTED_VALUE"""),476.0)</f>
        <v>476</v>
      </c>
      <c r="F841" s="2">
        <f>IFERROR(__xludf.DUMMYFUNCTION("""COMPUTED_VALUE"""),6.42969E7)</f>
        <v>64296900</v>
      </c>
      <c r="G841" s="2">
        <f t="shared" si="1"/>
        <v>31</v>
      </c>
    </row>
    <row r="842" ht="15.75" customHeight="1">
      <c r="A842" s="1">
        <f>IFERROR(__xludf.DUMMYFUNCTION("""COMPUTED_VALUE"""),45098.66666666667)</f>
        <v>45098.66667</v>
      </c>
      <c r="B842" s="2">
        <f>IFERROR(__xludf.DUMMYFUNCTION("""COMPUTED_VALUE"""),476.0)</f>
        <v>476</v>
      </c>
      <c r="C842" s="2">
        <f>IFERROR(__xludf.DUMMYFUNCTION("""COMPUTED_VALUE"""),496.0)</f>
        <v>496</v>
      </c>
      <c r="D842" s="2">
        <f>IFERROR(__xludf.DUMMYFUNCTION("""COMPUTED_VALUE"""),474.0)</f>
        <v>474</v>
      </c>
      <c r="E842" s="2">
        <f>IFERROR(__xludf.DUMMYFUNCTION("""COMPUTED_VALUE"""),482.0)</f>
        <v>482</v>
      </c>
      <c r="F842" s="2">
        <f>IFERROR(__xludf.DUMMYFUNCTION("""COMPUTED_VALUE"""),3.27867E7)</f>
        <v>32786700</v>
      </c>
      <c r="G842" s="2">
        <f t="shared" si="1"/>
        <v>22</v>
      </c>
    </row>
    <row r="843" ht="15.75" customHeight="1">
      <c r="A843" s="1">
        <f>IFERROR(__xludf.DUMMYFUNCTION("""COMPUTED_VALUE"""),45099.66666666667)</f>
        <v>45099.66667</v>
      </c>
      <c r="B843" s="2">
        <f>IFERROR(__xludf.DUMMYFUNCTION("""COMPUTED_VALUE"""),482.0)</f>
        <v>482</v>
      </c>
      <c r="C843" s="2">
        <f>IFERROR(__xludf.DUMMYFUNCTION("""COMPUTED_VALUE"""),492.0)</f>
        <v>492</v>
      </c>
      <c r="D843" s="2">
        <f>IFERROR(__xludf.DUMMYFUNCTION("""COMPUTED_VALUE"""),472.0)</f>
        <v>472</v>
      </c>
      <c r="E843" s="2">
        <f>IFERROR(__xludf.DUMMYFUNCTION("""COMPUTED_VALUE"""),472.0)</f>
        <v>472</v>
      </c>
      <c r="F843" s="2">
        <f>IFERROR(__xludf.DUMMYFUNCTION("""COMPUTED_VALUE"""),2.32543E7)</f>
        <v>23254300</v>
      </c>
      <c r="G843" s="2">
        <f t="shared" si="1"/>
        <v>20</v>
      </c>
    </row>
    <row r="844" ht="15.75" customHeight="1">
      <c r="A844" s="1">
        <f>IFERROR(__xludf.DUMMYFUNCTION("""COMPUTED_VALUE"""),45100.66666666667)</f>
        <v>45100.66667</v>
      </c>
      <c r="B844" s="2">
        <f>IFERROR(__xludf.DUMMYFUNCTION("""COMPUTED_VALUE"""),472.0)</f>
        <v>472</v>
      </c>
      <c r="C844" s="2">
        <f>IFERROR(__xludf.DUMMYFUNCTION("""COMPUTED_VALUE"""),476.0)</f>
        <v>476</v>
      </c>
      <c r="D844" s="2">
        <f>IFERROR(__xludf.DUMMYFUNCTION("""COMPUTED_VALUE"""),454.0)</f>
        <v>454</v>
      </c>
      <c r="E844" s="2">
        <f>IFERROR(__xludf.DUMMYFUNCTION("""COMPUTED_VALUE"""),460.0)</f>
        <v>460</v>
      </c>
      <c r="F844" s="2">
        <f>IFERROR(__xludf.DUMMYFUNCTION("""COMPUTED_VALUE"""),2.7159E7)</f>
        <v>27159000</v>
      </c>
      <c r="G844" s="2">
        <f t="shared" si="1"/>
        <v>22</v>
      </c>
    </row>
    <row r="845" ht="15.75" customHeight="1">
      <c r="A845" s="1">
        <f>IFERROR(__xludf.DUMMYFUNCTION("""COMPUTED_VALUE"""),45103.66666666667)</f>
        <v>45103.66667</v>
      </c>
      <c r="B845" s="2">
        <f>IFERROR(__xludf.DUMMYFUNCTION("""COMPUTED_VALUE"""),466.0)</f>
        <v>466</v>
      </c>
      <c r="C845" s="2">
        <f>IFERROR(__xludf.DUMMYFUNCTION("""COMPUTED_VALUE"""),466.0)</f>
        <v>466</v>
      </c>
      <c r="D845" s="2">
        <f>IFERROR(__xludf.DUMMYFUNCTION("""COMPUTED_VALUE"""),450.0)</f>
        <v>450</v>
      </c>
      <c r="E845" s="2">
        <f>IFERROR(__xludf.DUMMYFUNCTION("""COMPUTED_VALUE"""),456.0)</f>
        <v>456</v>
      </c>
      <c r="F845" s="2">
        <f>IFERROR(__xludf.DUMMYFUNCTION("""COMPUTED_VALUE"""),2.26285E7)</f>
        <v>22628500</v>
      </c>
      <c r="G845" s="2">
        <f t="shared" si="1"/>
        <v>16</v>
      </c>
    </row>
    <row r="846" ht="15.75" customHeight="1">
      <c r="A846" s="1">
        <f>IFERROR(__xludf.DUMMYFUNCTION("""COMPUTED_VALUE"""),45104.66666666667)</f>
        <v>45104.66667</v>
      </c>
      <c r="B846" s="2">
        <f>IFERROR(__xludf.DUMMYFUNCTION("""COMPUTED_VALUE"""),454.0)</f>
        <v>454</v>
      </c>
      <c r="C846" s="2">
        <f>IFERROR(__xludf.DUMMYFUNCTION("""COMPUTED_VALUE"""),462.0)</f>
        <v>462</v>
      </c>
      <c r="D846" s="2">
        <f>IFERROR(__xludf.DUMMYFUNCTION("""COMPUTED_VALUE"""),450.0)</f>
        <v>450</v>
      </c>
      <c r="E846" s="2">
        <f>IFERROR(__xludf.DUMMYFUNCTION("""COMPUTED_VALUE"""),450.0)</f>
        <v>450</v>
      </c>
      <c r="F846" s="2">
        <f>IFERROR(__xludf.DUMMYFUNCTION("""COMPUTED_VALUE"""),1.43126E7)</f>
        <v>14312600</v>
      </c>
      <c r="G846" s="2">
        <f t="shared" si="1"/>
        <v>12</v>
      </c>
    </row>
    <row r="847" ht="15.75" customHeight="1">
      <c r="A847" s="1">
        <f>IFERROR(__xludf.DUMMYFUNCTION("""COMPUTED_VALUE"""),45110.66666666667)</f>
        <v>45110.66667</v>
      </c>
      <c r="B847" s="2">
        <f>IFERROR(__xludf.DUMMYFUNCTION("""COMPUTED_VALUE"""),454.0)</f>
        <v>454</v>
      </c>
      <c r="C847" s="2">
        <f>IFERROR(__xludf.DUMMYFUNCTION("""COMPUTED_VALUE"""),460.0)</f>
        <v>460</v>
      </c>
      <c r="D847" s="2">
        <f>IFERROR(__xludf.DUMMYFUNCTION("""COMPUTED_VALUE"""),450.0)</f>
        <v>450</v>
      </c>
      <c r="E847" s="2">
        <f>IFERROR(__xludf.DUMMYFUNCTION("""COMPUTED_VALUE"""),450.0)</f>
        <v>450</v>
      </c>
      <c r="F847" s="2">
        <f>IFERROR(__xludf.DUMMYFUNCTION("""COMPUTED_VALUE"""),9702800.0)</f>
        <v>9702800</v>
      </c>
      <c r="G847" s="2">
        <f t="shared" si="1"/>
        <v>10</v>
      </c>
    </row>
    <row r="848" ht="15.75" customHeight="1">
      <c r="A848" s="1">
        <f>IFERROR(__xludf.DUMMYFUNCTION("""COMPUTED_VALUE"""),45111.66666666667)</f>
        <v>45111.66667</v>
      </c>
      <c r="B848" s="2">
        <f>IFERROR(__xludf.DUMMYFUNCTION("""COMPUTED_VALUE"""),450.0)</f>
        <v>450</v>
      </c>
      <c r="C848" s="2">
        <f>IFERROR(__xludf.DUMMYFUNCTION("""COMPUTED_VALUE"""),458.0)</f>
        <v>458</v>
      </c>
      <c r="D848" s="2">
        <f>IFERROR(__xludf.DUMMYFUNCTION("""COMPUTED_VALUE"""),442.0)</f>
        <v>442</v>
      </c>
      <c r="E848" s="2">
        <f>IFERROR(__xludf.DUMMYFUNCTION("""COMPUTED_VALUE"""),448.0)</f>
        <v>448</v>
      </c>
      <c r="F848" s="2">
        <f>IFERROR(__xludf.DUMMYFUNCTION("""COMPUTED_VALUE"""),1.13687E7)</f>
        <v>11368700</v>
      </c>
      <c r="G848" s="2">
        <f t="shared" si="1"/>
        <v>16</v>
      </c>
    </row>
    <row r="849" ht="15.75" customHeight="1">
      <c r="A849" s="1">
        <f>IFERROR(__xludf.DUMMYFUNCTION("""COMPUTED_VALUE"""),45112.66666666667)</f>
        <v>45112.66667</v>
      </c>
      <c r="B849" s="2">
        <f>IFERROR(__xludf.DUMMYFUNCTION("""COMPUTED_VALUE"""),450.0)</f>
        <v>450</v>
      </c>
      <c r="C849" s="2">
        <f>IFERROR(__xludf.DUMMYFUNCTION("""COMPUTED_VALUE"""),474.0)</f>
        <v>474</v>
      </c>
      <c r="D849" s="2">
        <f>IFERROR(__xludf.DUMMYFUNCTION("""COMPUTED_VALUE"""),442.0)</f>
        <v>442</v>
      </c>
      <c r="E849" s="2">
        <f>IFERROR(__xludf.DUMMYFUNCTION("""COMPUTED_VALUE"""),466.0)</f>
        <v>466</v>
      </c>
      <c r="F849" s="2">
        <f>IFERROR(__xludf.DUMMYFUNCTION("""COMPUTED_VALUE"""),3.51815E7)</f>
        <v>35181500</v>
      </c>
      <c r="G849" s="2">
        <f t="shared" si="1"/>
        <v>32</v>
      </c>
    </row>
    <row r="850" ht="15.75" customHeight="1">
      <c r="A850" s="1">
        <f>IFERROR(__xludf.DUMMYFUNCTION("""COMPUTED_VALUE"""),45113.66666666667)</f>
        <v>45113.66667</v>
      </c>
      <c r="B850" s="2">
        <f>IFERROR(__xludf.DUMMYFUNCTION("""COMPUTED_VALUE"""),466.0)</f>
        <v>466</v>
      </c>
      <c r="C850" s="2">
        <f>IFERROR(__xludf.DUMMYFUNCTION("""COMPUTED_VALUE"""),470.0)</f>
        <v>470</v>
      </c>
      <c r="D850" s="2">
        <f>IFERROR(__xludf.DUMMYFUNCTION("""COMPUTED_VALUE"""),454.0)</f>
        <v>454</v>
      </c>
      <c r="E850" s="2">
        <f>IFERROR(__xludf.DUMMYFUNCTION("""COMPUTED_VALUE"""),454.0)</f>
        <v>454</v>
      </c>
      <c r="F850" s="2">
        <f>IFERROR(__xludf.DUMMYFUNCTION("""COMPUTED_VALUE"""),2.16592E7)</f>
        <v>21659200</v>
      </c>
      <c r="G850" s="2">
        <f t="shared" si="1"/>
        <v>16</v>
      </c>
    </row>
    <row r="851" ht="15.75" customHeight="1">
      <c r="A851" s="1">
        <f>IFERROR(__xludf.DUMMYFUNCTION("""COMPUTED_VALUE"""),45114.66666666667)</f>
        <v>45114.66667</v>
      </c>
      <c r="B851" s="2">
        <f>IFERROR(__xludf.DUMMYFUNCTION("""COMPUTED_VALUE"""),454.0)</f>
        <v>454</v>
      </c>
      <c r="C851" s="2">
        <f>IFERROR(__xludf.DUMMYFUNCTION("""COMPUTED_VALUE"""),460.0)</f>
        <v>460</v>
      </c>
      <c r="D851" s="2">
        <f>IFERROR(__xludf.DUMMYFUNCTION("""COMPUTED_VALUE"""),452.0)</f>
        <v>452</v>
      </c>
      <c r="E851" s="2">
        <f>IFERROR(__xludf.DUMMYFUNCTION("""COMPUTED_VALUE"""),456.0)</f>
        <v>456</v>
      </c>
      <c r="F851" s="2">
        <f>IFERROR(__xludf.DUMMYFUNCTION("""COMPUTED_VALUE"""),6758000.0)</f>
        <v>6758000</v>
      </c>
      <c r="G851" s="2">
        <f t="shared" si="1"/>
        <v>8</v>
      </c>
    </row>
    <row r="852" ht="15.75" customHeight="1">
      <c r="A852" s="1">
        <f>IFERROR(__xludf.DUMMYFUNCTION("""COMPUTED_VALUE"""),45117.66666666667)</f>
        <v>45117.66667</v>
      </c>
      <c r="B852" s="2">
        <f>IFERROR(__xludf.DUMMYFUNCTION("""COMPUTED_VALUE"""),456.0)</f>
        <v>456</v>
      </c>
      <c r="C852" s="2">
        <f>IFERROR(__xludf.DUMMYFUNCTION("""COMPUTED_VALUE"""),466.0)</f>
        <v>466</v>
      </c>
      <c r="D852" s="2">
        <f>IFERROR(__xludf.DUMMYFUNCTION("""COMPUTED_VALUE"""),452.0)</f>
        <v>452</v>
      </c>
      <c r="E852" s="2">
        <f>IFERROR(__xludf.DUMMYFUNCTION("""COMPUTED_VALUE"""),454.0)</f>
        <v>454</v>
      </c>
      <c r="F852" s="2">
        <f>IFERROR(__xludf.DUMMYFUNCTION("""COMPUTED_VALUE"""),1.5185E7)</f>
        <v>15185000</v>
      </c>
      <c r="G852" s="2">
        <f t="shared" si="1"/>
        <v>14</v>
      </c>
    </row>
    <row r="853" ht="15.75" customHeight="1">
      <c r="A853" s="1">
        <f>IFERROR(__xludf.DUMMYFUNCTION("""COMPUTED_VALUE"""),45118.66666666667)</f>
        <v>45118.66667</v>
      </c>
      <c r="B853" s="2">
        <f>IFERROR(__xludf.DUMMYFUNCTION("""COMPUTED_VALUE"""),456.0)</f>
        <v>456</v>
      </c>
      <c r="C853" s="2">
        <f>IFERROR(__xludf.DUMMYFUNCTION("""COMPUTED_VALUE"""),458.0)</f>
        <v>458</v>
      </c>
      <c r="D853" s="2">
        <f>IFERROR(__xludf.DUMMYFUNCTION("""COMPUTED_VALUE"""),448.0)</f>
        <v>448</v>
      </c>
      <c r="E853" s="2">
        <f>IFERROR(__xludf.DUMMYFUNCTION("""COMPUTED_VALUE"""),448.0)</f>
        <v>448</v>
      </c>
      <c r="F853" s="2">
        <f>IFERROR(__xludf.DUMMYFUNCTION("""COMPUTED_VALUE"""),1.17467E7)</f>
        <v>11746700</v>
      </c>
      <c r="G853" s="2">
        <f t="shared" si="1"/>
        <v>10</v>
      </c>
    </row>
    <row r="854" ht="15.75" customHeight="1">
      <c r="A854" s="1">
        <f>IFERROR(__xludf.DUMMYFUNCTION("""COMPUTED_VALUE"""),45119.66666666667)</f>
        <v>45119.66667</v>
      </c>
      <c r="B854" s="2">
        <f>IFERROR(__xludf.DUMMYFUNCTION("""COMPUTED_VALUE"""),446.0)</f>
        <v>446</v>
      </c>
      <c r="C854" s="2">
        <f>IFERROR(__xludf.DUMMYFUNCTION("""COMPUTED_VALUE"""),460.0)</f>
        <v>460</v>
      </c>
      <c r="D854" s="2">
        <f>IFERROR(__xludf.DUMMYFUNCTION("""COMPUTED_VALUE"""),446.0)</f>
        <v>446</v>
      </c>
      <c r="E854" s="2">
        <f>IFERROR(__xludf.DUMMYFUNCTION("""COMPUTED_VALUE"""),452.0)</f>
        <v>452</v>
      </c>
      <c r="F854" s="2">
        <f>IFERROR(__xludf.DUMMYFUNCTION("""COMPUTED_VALUE"""),1.08777E7)</f>
        <v>10877700</v>
      </c>
      <c r="G854" s="2">
        <f t="shared" si="1"/>
        <v>14</v>
      </c>
    </row>
    <row r="855" ht="15.75" customHeight="1">
      <c r="A855" s="1">
        <f>IFERROR(__xludf.DUMMYFUNCTION("""COMPUTED_VALUE"""),45120.66666666667)</f>
        <v>45120.66667</v>
      </c>
      <c r="B855" s="2">
        <f>IFERROR(__xludf.DUMMYFUNCTION("""COMPUTED_VALUE"""),454.0)</f>
        <v>454</v>
      </c>
      <c r="C855" s="2">
        <f>IFERROR(__xludf.DUMMYFUNCTION("""COMPUTED_VALUE"""),476.0)</f>
        <v>476</v>
      </c>
      <c r="D855" s="2">
        <f>IFERROR(__xludf.DUMMYFUNCTION("""COMPUTED_VALUE"""),452.0)</f>
        <v>452</v>
      </c>
      <c r="E855" s="2">
        <f>IFERROR(__xludf.DUMMYFUNCTION("""COMPUTED_VALUE"""),474.0)</f>
        <v>474</v>
      </c>
      <c r="F855" s="2">
        <f>IFERROR(__xludf.DUMMYFUNCTION("""COMPUTED_VALUE"""),4.02548E7)</f>
        <v>40254800</v>
      </c>
      <c r="G855" s="2">
        <f t="shared" si="1"/>
        <v>24</v>
      </c>
    </row>
    <row r="856" ht="15.75" customHeight="1">
      <c r="A856" s="1">
        <f>IFERROR(__xludf.DUMMYFUNCTION("""COMPUTED_VALUE"""),45121.66666666667)</f>
        <v>45121.66667</v>
      </c>
      <c r="B856" s="2">
        <f>IFERROR(__xludf.DUMMYFUNCTION("""COMPUTED_VALUE"""),474.0)</f>
        <v>474</v>
      </c>
      <c r="C856" s="2">
        <f>IFERROR(__xludf.DUMMYFUNCTION("""COMPUTED_VALUE"""),488.0)</f>
        <v>488</v>
      </c>
      <c r="D856" s="2">
        <f>IFERROR(__xludf.DUMMYFUNCTION("""COMPUTED_VALUE"""),472.0)</f>
        <v>472</v>
      </c>
      <c r="E856" s="2">
        <f>IFERROR(__xludf.DUMMYFUNCTION("""COMPUTED_VALUE"""),488.0)</f>
        <v>488</v>
      </c>
      <c r="F856" s="2">
        <f>IFERROR(__xludf.DUMMYFUNCTION("""COMPUTED_VALUE"""),5.36519E7)</f>
        <v>53651900</v>
      </c>
      <c r="G856" s="2">
        <f t="shared" si="1"/>
        <v>16</v>
      </c>
    </row>
    <row r="857" ht="15.75" customHeight="1">
      <c r="A857" s="1">
        <f>IFERROR(__xludf.DUMMYFUNCTION("""COMPUTED_VALUE"""),45124.66666666667)</f>
        <v>45124.66667</v>
      </c>
      <c r="B857" s="2">
        <f>IFERROR(__xludf.DUMMYFUNCTION("""COMPUTED_VALUE"""),490.0)</f>
        <v>490</v>
      </c>
      <c r="C857" s="2">
        <f>IFERROR(__xludf.DUMMYFUNCTION("""COMPUTED_VALUE"""),525.0)</f>
        <v>525</v>
      </c>
      <c r="D857" s="2">
        <f>IFERROR(__xludf.DUMMYFUNCTION("""COMPUTED_VALUE"""),488.0)</f>
        <v>488</v>
      </c>
      <c r="E857" s="2">
        <f>IFERROR(__xludf.DUMMYFUNCTION("""COMPUTED_VALUE"""),525.0)</f>
        <v>525</v>
      </c>
      <c r="F857" s="2">
        <f>IFERROR(__xludf.DUMMYFUNCTION("""COMPUTED_VALUE"""),9.99575E7)</f>
        <v>99957500</v>
      </c>
      <c r="G857" s="2">
        <f t="shared" si="1"/>
        <v>37</v>
      </c>
    </row>
    <row r="858" ht="15.75" customHeight="1">
      <c r="A858" s="1">
        <f>IFERROR(__xludf.DUMMYFUNCTION("""COMPUTED_VALUE"""),45125.66666666667)</f>
        <v>45125.66667</v>
      </c>
      <c r="B858" s="2">
        <f>IFERROR(__xludf.DUMMYFUNCTION("""COMPUTED_VALUE"""),500.0)</f>
        <v>500</v>
      </c>
      <c r="C858" s="2">
        <f>IFERROR(__xludf.DUMMYFUNCTION("""COMPUTED_VALUE"""),535.0)</f>
        <v>535</v>
      </c>
      <c r="D858" s="2">
        <f>IFERROR(__xludf.DUMMYFUNCTION("""COMPUTED_VALUE"""),498.0)</f>
        <v>498</v>
      </c>
      <c r="E858" s="2">
        <f>IFERROR(__xludf.DUMMYFUNCTION("""COMPUTED_VALUE"""),515.0)</f>
        <v>515</v>
      </c>
      <c r="F858" s="2">
        <f>IFERROR(__xludf.DUMMYFUNCTION("""COMPUTED_VALUE"""),6.3081E7)</f>
        <v>63081000</v>
      </c>
      <c r="G858" s="2">
        <f t="shared" si="1"/>
        <v>37</v>
      </c>
    </row>
    <row r="859" ht="15.75" customHeight="1">
      <c r="A859" s="1">
        <f>IFERROR(__xludf.DUMMYFUNCTION("""COMPUTED_VALUE"""),45127.66666666667)</f>
        <v>45127.66667</v>
      </c>
      <c r="B859" s="2">
        <f>IFERROR(__xludf.DUMMYFUNCTION("""COMPUTED_VALUE"""),515.0)</f>
        <v>515</v>
      </c>
      <c r="C859" s="2">
        <f>IFERROR(__xludf.DUMMYFUNCTION("""COMPUTED_VALUE"""),530.0)</f>
        <v>530</v>
      </c>
      <c r="D859" s="2">
        <f>IFERROR(__xludf.DUMMYFUNCTION("""COMPUTED_VALUE"""),500.0)</f>
        <v>500</v>
      </c>
      <c r="E859" s="2">
        <f>IFERROR(__xludf.DUMMYFUNCTION("""COMPUTED_VALUE"""),505.0)</f>
        <v>505</v>
      </c>
      <c r="F859" s="2">
        <f>IFERROR(__xludf.DUMMYFUNCTION("""COMPUTED_VALUE"""),2.02813E7)</f>
        <v>20281300</v>
      </c>
      <c r="G859" s="2">
        <f t="shared" si="1"/>
        <v>30</v>
      </c>
    </row>
    <row r="860" ht="15.75" customHeight="1">
      <c r="A860" s="1">
        <f>IFERROR(__xludf.DUMMYFUNCTION("""COMPUTED_VALUE"""),45128.66666666667)</f>
        <v>45128.66667</v>
      </c>
      <c r="B860" s="2">
        <f>IFERROR(__xludf.DUMMYFUNCTION("""COMPUTED_VALUE"""),505.0)</f>
        <v>505</v>
      </c>
      <c r="C860" s="2">
        <f>IFERROR(__xludf.DUMMYFUNCTION("""COMPUTED_VALUE"""),515.0)</f>
        <v>515</v>
      </c>
      <c r="D860" s="2">
        <f>IFERROR(__xludf.DUMMYFUNCTION("""COMPUTED_VALUE"""),492.0)</f>
        <v>492</v>
      </c>
      <c r="E860" s="2">
        <f>IFERROR(__xludf.DUMMYFUNCTION("""COMPUTED_VALUE"""),496.0)</f>
        <v>496</v>
      </c>
      <c r="F860" s="2">
        <f>IFERROR(__xludf.DUMMYFUNCTION("""COMPUTED_VALUE"""),1.69365E7)</f>
        <v>16936500</v>
      </c>
      <c r="G860" s="2">
        <f t="shared" si="1"/>
        <v>23</v>
      </c>
    </row>
    <row r="861" ht="15.75" customHeight="1">
      <c r="A861" s="1">
        <f>IFERROR(__xludf.DUMMYFUNCTION("""COMPUTED_VALUE"""),45131.66666666667)</f>
        <v>45131.66667</v>
      </c>
      <c r="B861" s="2">
        <f>IFERROR(__xludf.DUMMYFUNCTION("""COMPUTED_VALUE"""),500.0)</f>
        <v>500</v>
      </c>
      <c r="C861" s="2">
        <f>IFERROR(__xludf.DUMMYFUNCTION("""COMPUTED_VALUE"""),515.0)</f>
        <v>515</v>
      </c>
      <c r="D861" s="2">
        <f>IFERROR(__xludf.DUMMYFUNCTION("""COMPUTED_VALUE"""),494.0)</f>
        <v>494</v>
      </c>
      <c r="E861" s="2">
        <f>IFERROR(__xludf.DUMMYFUNCTION("""COMPUTED_VALUE"""),498.0)</f>
        <v>498</v>
      </c>
      <c r="F861" s="2">
        <f>IFERROR(__xludf.DUMMYFUNCTION("""COMPUTED_VALUE"""),3.00126E7)</f>
        <v>30012600</v>
      </c>
      <c r="G861" s="2">
        <f t="shared" si="1"/>
        <v>21</v>
      </c>
    </row>
    <row r="862" ht="15.75" customHeight="1">
      <c r="A862" s="1">
        <f>IFERROR(__xludf.DUMMYFUNCTION("""COMPUTED_VALUE"""),45132.66666666667)</f>
        <v>45132.66667</v>
      </c>
      <c r="B862" s="2">
        <f>IFERROR(__xludf.DUMMYFUNCTION("""COMPUTED_VALUE"""),498.0)</f>
        <v>498</v>
      </c>
      <c r="C862" s="2">
        <f>IFERROR(__xludf.DUMMYFUNCTION("""COMPUTED_VALUE"""),505.0)</f>
        <v>505</v>
      </c>
      <c r="D862" s="2">
        <f>IFERROR(__xludf.DUMMYFUNCTION("""COMPUTED_VALUE"""),482.0)</f>
        <v>482</v>
      </c>
      <c r="E862" s="2">
        <f>IFERROR(__xludf.DUMMYFUNCTION("""COMPUTED_VALUE"""),490.0)</f>
        <v>490</v>
      </c>
      <c r="F862" s="2">
        <f>IFERROR(__xludf.DUMMYFUNCTION("""COMPUTED_VALUE"""),2.93453E7)</f>
        <v>29345300</v>
      </c>
      <c r="G862" s="2">
        <f t="shared" si="1"/>
        <v>23</v>
      </c>
    </row>
    <row r="863" ht="15.75" customHeight="1">
      <c r="A863" s="1">
        <f>IFERROR(__xludf.DUMMYFUNCTION("""COMPUTED_VALUE"""),45133.66666666667)</f>
        <v>45133.66667</v>
      </c>
      <c r="B863" s="2">
        <f>IFERROR(__xludf.DUMMYFUNCTION("""COMPUTED_VALUE"""),490.0)</f>
        <v>490</v>
      </c>
      <c r="C863" s="2">
        <f>IFERROR(__xludf.DUMMYFUNCTION("""COMPUTED_VALUE"""),494.0)</f>
        <v>494</v>
      </c>
      <c r="D863" s="2">
        <f>IFERROR(__xludf.DUMMYFUNCTION("""COMPUTED_VALUE"""),482.0)</f>
        <v>482</v>
      </c>
      <c r="E863" s="2">
        <f>IFERROR(__xludf.DUMMYFUNCTION("""COMPUTED_VALUE"""),484.0)</f>
        <v>484</v>
      </c>
      <c r="F863" s="2">
        <f>IFERROR(__xludf.DUMMYFUNCTION("""COMPUTED_VALUE"""),1.48676E7)</f>
        <v>14867600</v>
      </c>
      <c r="G863" s="2">
        <f t="shared" si="1"/>
        <v>12</v>
      </c>
    </row>
    <row r="864" ht="15.75" customHeight="1">
      <c r="A864" s="1">
        <f>IFERROR(__xludf.DUMMYFUNCTION("""COMPUTED_VALUE"""),45134.66666666667)</f>
        <v>45134.66667</v>
      </c>
      <c r="B864" s="2">
        <f>IFERROR(__xludf.DUMMYFUNCTION("""COMPUTED_VALUE"""),484.0)</f>
        <v>484</v>
      </c>
      <c r="C864" s="2">
        <f>IFERROR(__xludf.DUMMYFUNCTION("""COMPUTED_VALUE"""),494.0)</f>
        <v>494</v>
      </c>
      <c r="D864" s="2">
        <f>IFERROR(__xludf.DUMMYFUNCTION("""COMPUTED_VALUE"""),484.0)</f>
        <v>484</v>
      </c>
      <c r="E864" s="2">
        <f>IFERROR(__xludf.DUMMYFUNCTION("""COMPUTED_VALUE"""),488.0)</f>
        <v>488</v>
      </c>
      <c r="F864" s="2">
        <f>IFERROR(__xludf.DUMMYFUNCTION("""COMPUTED_VALUE"""),9646500.0)</f>
        <v>9646500</v>
      </c>
      <c r="G864" s="2">
        <f t="shared" si="1"/>
        <v>10</v>
      </c>
    </row>
    <row r="865" ht="15.75" customHeight="1">
      <c r="A865" s="1">
        <f>IFERROR(__xludf.DUMMYFUNCTION("""COMPUTED_VALUE"""),45135.66666666667)</f>
        <v>45135.66667</v>
      </c>
      <c r="B865" s="2">
        <f>IFERROR(__xludf.DUMMYFUNCTION("""COMPUTED_VALUE"""),486.0)</f>
        <v>486</v>
      </c>
      <c r="C865" s="2">
        <f>IFERROR(__xludf.DUMMYFUNCTION("""COMPUTED_VALUE"""),490.0)</f>
        <v>490</v>
      </c>
      <c r="D865" s="2">
        <f>IFERROR(__xludf.DUMMYFUNCTION("""COMPUTED_VALUE"""),472.0)</f>
        <v>472</v>
      </c>
      <c r="E865" s="2">
        <f>IFERROR(__xludf.DUMMYFUNCTION("""COMPUTED_VALUE"""),476.0)</f>
        <v>476</v>
      </c>
      <c r="F865" s="2">
        <f>IFERROR(__xludf.DUMMYFUNCTION("""COMPUTED_VALUE"""),1.36487E7)</f>
        <v>13648700</v>
      </c>
      <c r="G865" s="2">
        <f t="shared" si="1"/>
        <v>18</v>
      </c>
    </row>
    <row r="866" ht="15.75" customHeight="1">
      <c r="A866" s="1">
        <f>IFERROR(__xludf.DUMMYFUNCTION("""COMPUTED_VALUE"""),45138.66666666667)</f>
        <v>45138.66667</v>
      </c>
      <c r="B866" s="2">
        <f>IFERROR(__xludf.DUMMYFUNCTION("""COMPUTED_VALUE"""),476.0)</f>
        <v>476</v>
      </c>
      <c r="C866" s="2">
        <f>IFERROR(__xludf.DUMMYFUNCTION("""COMPUTED_VALUE"""),488.0)</f>
        <v>488</v>
      </c>
      <c r="D866" s="2">
        <f>IFERROR(__xludf.DUMMYFUNCTION("""COMPUTED_VALUE"""),474.0)</f>
        <v>474</v>
      </c>
      <c r="E866" s="2">
        <f>IFERROR(__xludf.DUMMYFUNCTION("""COMPUTED_VALUE"""),476.0)</f>
        <v>476</v>
      </c>
      <c r="F866" s="2">
        <f>IFERROR(__xludf.DUMMYFUNCTION("""COMPUTED_VALUE"""),1.26598E7)</f>
        <v>12659800</v>
      </c>
      <c r="G866" s="2">
        <f t="shared" si="1"/>
        <v>14</v>
      </c>
    </row>
    <row r="867" ht="15.75" customHeight="1">
      <c r="A867" s="1">
        <f>IFERROR(__xludf.DUMMYFUNCTION("""COMPUTED_VALUE"""),45139.66666666667)</f>
        <v>45139.66667</v>
      </c>
      <c r="B867" s="2">
        <f>IFERROR(__xludf.DUMMYFUNCTION("""COMPUTED_VALUE"""),480.0)</f>
        <v>480</v>
      </c>
      <c r="C867" s="2">
        <f>IFERROR(__xludf.DUMMYFUNCTION("""COMPUTED_VALUE"""),482.0)</f>
        <v>482</v>
      </c>
      <c r="D867" s="2">
        <f>IFERROR(__xludf.DUMMYFUNCTION("""COMPUTED_VALUE"""),454.0)</f>
        <v>454</v>
      </c>
      <c r="E867" s="2">
        <f>IFERROR(__xludf.DUMMYFUNCTION("""COMPUTED_VALUE"""),470.0)</f>
        <v>470</v>
      </c>
      <c r="F867" s="2">
        <f>IFERROR(__xludf.DUMMYFUNCTION("""COMPUTED_VALUE"""),3.29166E7)</f>
        <v>32916600</v>
      </c>
      <c r="G867" s="2">
        <f t="shared" si="1"/>
        <v>28</v>
      </c>
    </row>
    <row r="868" ht="15.75" customHeight="1">
      <c r="A868" s="1">
        <f>IFERROR(__xludf.DUMMYFUNCTION("""COMPUTED_VALUE"""),45140.66666666667)</f>
        <v>45140.66667</v>
      </c>
      <c r="B868" s="2">
        <f>IFERROR(__xludf.DUMMYFUNCTION("""COMPUTED_VALUE"""),470.0)</f>
        <v>470</v>
      </c>
      <c r="C868" s="2">
        <f>IFERROR(__xludf.DUMMYFUNCTION("""COMPUTED_VALUE"""),472.0)</f>
        <v>472</v>
      </c>
      <c r="D868" s="2">
        <f>IFERROR(__xludf.DUMMYFUNCTION("""COMPUTED_VALUE"""),452.0)</f>
        <v>452</v>
      </c>
      <c r="E868" s="2">
        <f>IFERROR(__xludf.DUMMYFUNCTION("""COMPUTED_VALUE"""),456.0)</f>
        <v>456</v>
      </c>
      <c r="F868" s="2">
        <f>IFERROR(__xludf.DUMMYFUNCTION("""COMPUTED_VALUE"""),1.61274E7)</f>
        <v>16127400</v>
      </c>
      <c r="G868" s="2">
        <f t="shared" si="1"/>
        <v>20</v>
      </c>
    </row>
    <row r="869" ht="15.75" customHeight="1">
      <c r="A869" s="1">
        <f>IFERROR(__xludf.DUMMYFUNCTION("""COMPUTED_VALUE"""),45141.66666666667)</f>
        <v>45141.66667</v>
      </c>
      <c r="B869" s="2">
        <f>IFERROR(__xludf.DUMMYFUNCTION("""COMPUTED_VALUE"""),456.0)</f>
        <v>456</v>
      </c>
      <c r="C869" s="2">
        <f>IFERROR(__xludf.DUMMYFUNCTION("""COMPUTED_VALUE"""),462.0)</f>
        <v>462</v>
      </c>
      <c r="D869" s="2">
        <f>IFERROR(__xludf.DUMMYFUNCTION("""COMPUTED_VALUE"""),450.0)</f>
        <v>450</v>
      </c>
      <c r="E869" s="2">
        <f>IFERROR(__xludf.DUMMYFUNCTION("""COMPUTED_VALUE"""),452.0)</f>
        <v>452</v>
      </c>
      <c r="F869" s="2">
        <f>IFERROR(__xludf.DUMMYFUNCTION("""COMPUTED_VALUE"""),1.52251E7)</f>
        <v>15225100</v>
      </c>
      <c r="G869" s="2">
        <f t="shared" si="1"/>
        <v>12</v>
      </c>
    </row>
    <row r="870" ht="15.75" customHeight="1">
      <c r="A870" s="1">
        <f>IFERROR(__xludf.DUMMYFUNCTION("""COMPUTED_VALUE"""),45142.66666666667)</f>
        <v>45142.66667</v>
      </c>
      <c r="B870" s="2">
        <f>IFERROR(__xludf.DUMMYFUNCTION("""COMPUTED_VALUE"""),454.0)</f>
        <v>454</v>
      </c>
      <c r="C870" s="2">
        <f>IFERROR(__xludf.DUMMYFUNCTION("""COMPUTED_VALUE"""),466.0)</f>
        <v>466</v>
      </c>
      <c r="D870" s="2">
        <f>IFERROR(__xludf.DUMMYFUNCTION("""COMPUTED_VALUE"""),454.0)</f>
        <v>454</v>
      </c>
      <c r="E870" s="2">
        <f>IFERROR(__xludf.DUMMYFUNCTION("""COMPUTED_VALUE"""),458.0)</f>
        <v>458</v>
      </c>
      <c r="F870" s="2">
        <f>IFERROR(__xludf.DUMMYFUNCTION("""COMPUTED_VALUE"""),8699900.0)</f>
        <v>8699900</v>
      </c>
      <c r="G870" s="2">
        <f t="shared" si="1"/>
        <v>14</v>
      </c>
    </row>
    <row r="871" ht="15.75" customHeight="1">
      <c r="A871" s="1">
        <f>IFERROR(__xludf.DUMMYFUNCTION("""COMPUTED_VALUE"""),45145.66666666667)</f>
        <v>45145.66667</v>
      </c>
      <c r="B871" s="2">
        <f>IFERROR(__xludf.DUMMYFUNCTION("""COMPUTED_VALUE"""),458.0)</f>
        <v>458</v>
      </c>
      <c r="C871" s="2">
        <f>IFERROR(__xludf.DUMMYFUNCTION("""COMPUTED_VALUE"""),460.0)</f>
        <v>460</v>
      </c>
      <c r="D871" s="2">
        <f>IFERROR(__xludf.DUMMYFUNCTION("""COMPUTED_VALUE"""),442.0)</f>
        <v>442</v>
      </c>
      <c r="E871" s="2">
        <f>IFERROR(__xludf.DUMMYFUNCTION("""COMPUTED_VALUE"""),442.0)</f>
        <v>442</v>
      </c>
      <c r="F871" s="2">
        <f>IFERROR(__xludf.DUMMYFUNCTION("""COMPUTED_VALUE"""),2.47586E7)</f>
        <v>24758600</v>
      </c>
      <c r="G871" s="2">
        <f t="shared" si="1"/>
        <v>18</v>
      </c>
    </row>
    <row r="872" ht="15.75" customHeight="1">
      <c r="A872" s="1">
        <f>IFERROR(__xludf.DUMMYFUNCTION("""COMPUTED_VALUE"""),45146.66666666667)</f>
        <v>45146.66667</v>
      </c>
      <c r="B872" s="2">
        <f>IFERROR(__xludf.DUMMYFUNCTION("""COMPUTED_VALUE"""),444.0)</f>
        <v>444</v>
      </c>
      <c r="C872" s="2">
        <f>IFERROR(__xludf.DUMMYFUNCTION("""COMPUTED_VALUE"""),446.0)</f>
        <v>446</v>
      </c>
      <c r="D872" s="2">
        <f>IFERROR(__xludf.DUMMYFUNCTION("""COMPUTED_VALUE"""),432.0)</f>
        <v>432</v>
      </c>
      <c r="E872" s="2">
        <f>IFERROR(__xludf.DUMMYFUNCTION("""COMPUTED_VALUE"""),434.0)</f>
        <v>434</v>
      </c>
      <c r="F872" s="2">
        <f>IFERROR(__xludf.DUMMYFUNCTION("""COMPUTED_VALUE"""),1.63236E7)</f>
        <v>16323600</v>
      </c>
      <c r="G872" s="2">
        <f t="shared" si="1"/>
        <v>14</v>
      </c>
    </row>
    <row r="873" ht="15.75" customHeight="1">
      <c r="A873" s="1">
        <f>IFERROR(__xludf.DUMMYFUNCTION("""COMPUTED_VALUE"""),45147.66666666667)</f>
        <v>45147.66667</v>
      </c>
      <c r="B873" s="2">
        <f>IFERROR(__xludf.DUMMYFUNCTION("""COMPUTED_VALUE"""),434.0)</f>
        <v>434</v>
      </c>
      <c r="C873" s="2">
        <f>IFERROR(__xludf.DUMMYFUNCTION("""COMPUTED_VALUE"""),438.0)</f>
        <v>438</v>
      </c>
      <c r="D873" s="2">
        <f>IFERROR(__xludf.DUMMYFUNCTION("""COMPUTED_VALUE"""),428.0)</f>
        <v>428</v>
      </c>
      <c r="E873" s="2">
        <f>IFERROR(__xludf.DUMMYFUNCTION("""COMPUTED_VALUE"""),430.0)</f>
        <v>430</v>
      </c>
      <c r="F873" s="2">
        <f>IFERROR(__xludf.DUMMYFUNCTION("""COMPUTED_VALUE"""),1.27949E7)</f>
        <v>12794900</v>
      </c>
      <c r="G873" s="2">
        <f t="shared" si="1"/>
        <v>10</v>
      </c>
    </row>
    <row r="874" ht="15.75" customHeight="1">
      <c r="A874" s="1">
        <f>IFERROR(__xludf.DUMMYFUNCTION("""COMPUTED_VALUE"""),45148.66666666667)</f>
        <v>45148.66667</v>
      </c>
      <c r="B874" s="2">
        <f>IFERROR(__xludf.DUMMYFUNCTION("""COMPUTED_VALUE"""),430.0)</f>
        <v>430</v>
      </c>
      <c r="C874" s="2">
        <f>IFERROR(__xludf.DUMMYFUNCTION("""COMPUTED_VALUE"""),440.0)</f>
        <v>440</v>
      </c>
      <c r="D874" s="2">
        <f>IFERROR(__xludf.DUMMYFUNCTION("""COMPUTED_VALUE"""),428.0)</f>
        <v>428</v>
      </c>
      <c r="E874" s="2">
        <f>IFERROR(__xludf.DUMMYFUNCTION("""COMPUTED_VALUE"""),434.0)</f>
        <v>434</v>
      </c>
      <c r="F874" s="2">
        <f>IFERROR(__xludf.DUMMYFUNCTION("""COMPUTED_VALUE"""),9118100.0)</f>
        <v>9118100</v>
      </c>
      <c r="G874" s="2">
        <f t="shared" si="1"/>
        <v>12</v>
      </c>
    </row>
    <row r="875" ht="15.75" customHeight="1">
      <c r="A875" s="1">
        <f>IFERROR(__xludf.DUMMYFUNCTION("""COMPUTED_VALUE"""),45149.66666666667)</f>
        <v>45149.66667</v>
      </c>
      <c r="B875" s="2">
        <f>IFERROR(__xludf.DUMMYFUNCTION("""COMPUTED_VALUE"""),434.0)</f>
        <v>434</v>
      </c>
      <c r="C875" s="2">
        <f>IFERROR(__xludf.DUMMYFUNCTION("""COMPUTED_VALUE"""),454.0)</f>
        <v>454</v>
      </c>
      <c r="D875" s="2">
        <f>IFERROR(__xludf.DUMMYFUNCTION("""COMPUTED_VALUE"""),434.0)</f>
        <v>434</v>
      </c>
      <c r="E875" s="2">
        <f>IFERROR(__xludf.DUMMYFUNCTION("""COMPUTED_VALUE"""),446.0)</f>
        <v>446</v>
      </c>
      <c r="F875" s="2">
        <f>IFERROR(__xludf.DUMMYFUNCTION("""COMPUTED_VALUE"""),1.98715E7)</f>
        <v>19871500</v>
      </c>
      <c r="G875" s="2">
        <f t="shared" si="1"/>
        <v>20</v>
      </c>
    </row>
    <row r="876" ht="15.75" customHeight="1">
      <c r="A876" s="1">
        <f>IFERROR(__xludf.DUMMYFUNCTION("""COMPUTED_VALUE"""),45152.66666666667)</f>
        <v>45152.66667</v>
      </c>
      <c r="B876" s="2">
        <f>IFERROR(__xludf.DUMMYFUNCTION("""COMPUTED_VALUE"""),448.0)</f>
        <v>448</v>
      </c>
      <c r="C876" s="2">
        <f>IFERROR(__xludf.DUMMYFUNCTION("""COMPUTED_VALUE"""),450.0)</f>
        <v>450</v>
      </c>
      <c r="D876" s="2">
        <f>IFERROR(__xludf.DUMMYFUNCTION("""COMPUTED_VALUE"""),438.0)</f>
        <v>438</v>
      </c>
      <c r="E876" s="2">
        <f>IFERROR(__xludf.DUMMYFUNCTION("""COMPUTED_VALUE"""),440.0)</f>
        <v>440</v>
      </c>
      <c r="F876" s="2">
        <f>IFERROR(__xludf.DUMMYFUNCTION("""COMPUTED_VALUE"""),7844600.0)</f>
        <v>7844600</v>
      </c>
      <c r="G876" s="2">
        <f t="shared" si="1"/>
        <v>12</v>
      </c>
    </row>
    <row r="877" ht="15.75" customHeight="1">
      <c r="A877" s="1">
        <f>IFERROR(__xludf.DUMMYFUNCTION("""COMPUTED_VALUE"""),45153.66666666667)</f>
        <v>45153.66667</v>
      </c>
      <c r="B877" s="2">
        <f>IFERROR(__xludf.DUMMYFUNCTION("""COMPUTED_VALUE"""),440.0)</f>
        <v>440</v>
      </c>
      <c r="C877" s="2">
        <f>IFERROR(__xludf.DUMMYFUNCTION("""COMPUTED_VALUE"""),452.0)</f>
        <v>452</v>
      </c>
      <c r="D877" s="2">
        <f>IFERROR(__xludf.DUMMYFUNCTION("""COMPUTED_VALUE"""),440.0)</f>
        <v>440</v>
      </c>
      <c r="E877" s="2">
        <f>IFERROR(__xludf.DUMMYFUNCTION("""COMPUTED_VALUE"""),452.0)</f>
        <v>452</v>
      </c>
      <c r="F877" s="2">
        <f>IFERROR(__xludf.DUMMYFUNCTION("""COMPUTED_VALUE"""),1.34411E7)</f>
        <v>13441100</v>
      </c>
      <c r="G877" s="2">
        <f t="shared" si="1"/>
        <v>12</v>
      </c>
    </row>
    <row r="878" ht="15.75" customHeight="1">
      <c r="A878" s="1">
        <f>IFERROR(__xludf.DUMMYFUNCTION("""COMPUTED_VALUE"""),45154.66666666667)</f>
        <v>45154.66667</v>
      </c>
      <c r="B878" s="2">
        <f>IFERROR(__xludf.DUMMYFUNCTION("""COMPUTED_VALUE"""),454.0)</f>
        <v>454</v>
      </c>
      <c r="C878" s="2">
        <f>IFERROR(__xludf.DUMMYFUNCTION("""COMPUTED_VALUE"""),458.0)</f>
        <v>458</v>
      </c>
      <c r="D878" s="2">
        <f>IFERROR(__xludf.DUMMYFUNCTION("""COMPUTED_VALUE"""),446.0)</f>
        <v>446</v>
      </c>
      <c r="E878" s="2">
        <f>IFERROR(__xludf.DUMMYFUNCTION("""COMPUTED_VALUE"""),448.0)</f>
        <v>448</v>
      </c>
      <c r="F878" s="2">
        <f>IFERROR(__xludf.DUMMYFUNCTION("""COMPUTED_VALUE"""),8518900.0)</f>
        <v>8518900</v>
      </c>
      <c r="G878" s="2">
        <f t="shared" si="1"/>
        <v>12</v>
      </c>
    </row>
    <row r="879" ht="15.75" customHeight="1">
      <c r="A879" s="1">
        <f>IFERROR(__xludf.DUMMYFUNCTION("""COMPUTED_VALUE"""),45156.66666666667)</f>
        <v>45156.66667</v>
      </c>
      <c r="B879" s="2">
        <f>IFERROR(__xludf.DUMMYFUNCTION("""COMPUTED_VALUE"""),448.0)</f>
        <v>448</v>
      </c>
      <c r="C879" s="2">
        <f>IFERROR(__xludf.DUMMYFUNCTION("""COMPUTED_VALUE"""),454.0)</f>
        <v>454</v>
      </c>
      <c r="D879" s="2">
        <f>IFERROR(__xludf.DUMMYFUNCTION("""COMPUTED_VALUE"""),440.0)</f>
        <v>440</v>
      </c>
      <c r="E879" s="2">
        <f>IFERROR(__xludf.DUMMYFUNCTION("""COMPUTED_VALUE"""),442.0)</f>
        <v>442</v>
      </c>
      <c r="F879" s="2">
        <f>IFERROR(__xludf.DUMMYFUNCTION("""COMPUTED_VALUE"""),1.07833E7)</f>
        <v>10783300</v>
      </c>
      <c r="G879" s="2">
        <f t="shared" si="1"/>
        <v>14</v>
      </c>
    </row>
    <row r="880" ht="15.75" customHeight="1">
      <c r="A880" s="1">
        <f>IFERROR(__xludf.DUMMYFUNCTION("""COMPUTED_VALUE"""),45159.66666666667)</f>
        <v>45159.66667</v>
      </c>
      <c r="B880" s="2">
        <f>IFERROR(__xludf.DUMMYFUNCTION("""COMPUTED_VALUE"""),444.0)</f>
        <v>444</v>
      </c>
      <c r="C880" s="2">
        <f>IFERROR(__xludf.DUMMYFUNCTION("""COMPUTED_VALUE"""),446.0)</f>
        <v>446</v>
      </c>
      <c r="D880" s="2">
        <f>IFERROR(__xludf.DUMMYFUNCTION("""COMPUTED_VALUE"""),430.0)</f>
        <v>430</v>
      </c>
      <c r="E880" s="2">
        <f>IFERROR(__xludf.DUMMYFUNCTION("""COMPUTED_VALUE"""),430.0)</f>
        <v>430</v>
      </c>
      <c r="F880" s="2">
        <f>IFERROR(__xludf.DUMMYFUNCTION("""COMPUTED_VALUE"""),1.07302E7)</f>
        <v>10730200</v>
      </c>
      <c r="G880" s="2">
        <f t="shared" si="1"/>
        <v>16</v>
      </c>
    </row>
    <row r="881" ht="15.75" customHeight="1">
      <c r="A881" s="1">
        <f>IFERROR(__xludf.DUMMYFUNCTION("""COMPUTED_VALUE"""),45160.66666666667)</f>
        <v>45160.66667</v>
      </c>
      <c r="B881" s="2">
        <f>IFERROR(__xludf.DUMMYFUNCTION("""COMPUTED_VALUE"""),430.0)</f>
        <v>430</v>
      </c>
      <c r="C881" s="2">
        <f>IFERROR(__xludf.DUMMYFUNCTION("""COMPUTED_VALUE"""),432.0)</f>
        <v>432</v>
      </c>
      <c r="D881" s="2">
        <f>IFERROR(__xludf.DUMMYFUNCTION("""COMPUTED_VALUE"""),416.0)</f>
        <v>416</v>
      </c>
      <c r="E881" s="2">
        <f>IFERROR(__xludf.DUMMYFUNCTION("""COMPUTED_VALUE"""),420.0)</f>
        <v>420</v>
      </c>
      <c r="F881" s="2">
        <f>IFERROR(__xludf.DUMMYFUNCTION("""COMPUTED_VALUE"""),2.05294E7)</f>
        <v>20529400</v>
      </c>
      <c r="G881" s="2">
        <f t="shared" si="1"/>
        <v>16</v>
      </c>
    </row>
    <row r="882" ht="15.75" customHeight="1">
      <c r="A882" s="1">
        <f>IFERROR(__xludf.DUMMYFUNCTION("""COMPUTED_VALUE"""),45161.66666666667)</f>
        <v>45161.66667</v>
      </c>
      <c r="B882" s="2">
        <f>IFERROR(__xludf.DUMMYFUNCTION("""COMPUTED_VALUE"""),420.0)</f>
        <v>420</v>
      </c>
      <c r="C882" s="2">
        <f>IFERROR(__xludf.DUMMYFUNCTION("""COMPUTED_VALUE"""),430.0)</f>
        <v>430</v>
      </c>
      <c r="D882" s="2">
        <f>IFERROR(__xludf.DUMMYFUNCTION("""COMPUTED_VALUE"""),418.0)</f>
        <v>418</v>
      </c>
      <c r="E882" s="2">
        <f>IFERROR(__xludf.DUMMYFUNCTION("""COMPUTED_VALUE"""),422.0)</f>
        <v>422</v>
      </c>
      <c r="F882" s="2">
        <f>IFERROR(__xludf.DUMMYFUNCTION("""COMPUTED_VALUE"""),9204500.0)</f>
        <v>9204500</v>
      </c>
      <c r="G882" s="2">
        <f t="shared" si="1"/>
        <v>12</v>
      </c>
    </row>
    <row r="883" ht="15.75" customHeight="1">
      <c r="A883" s="1">
        <f>IFERROR(__xludf.DUMMYFUNCTION("""COMPUTED_VALUE"""),45162.66666666667)</f>
        <v>45162.66667</v>
      </c>
      <c r="B883" s="2">
        <f>IFERROR(__xludf.DUMMYFUNCTION("""COMPUTED_VALUE"""),424.0)</f>
        <v>424</v>
      </c>
      <c r="C883" s="2">
        <f>IFERROR(__xludf.DUMMYFUNCTION("""COMPUTED_VALUE"""),426.0)</f>
        <v>426</v>
      </c>
      <c r="D883" s="2">
        <f>IFERROR(__xludf.DUMMYFUNCTION("""COMPUTED_VALUE"""),416.0)</f>
        <v>416</v>
      </c>
      <c r="E883" s="2">
        <f>IFERROR(__xludf.DUMMYFUNCTION("""COMPUTED_VALUE"""),418.0)</f>
        <v>418</v>
      </c>
      <c r="F883" s="2">
        <f>IFERROR(__xludf.DUMMYFUNCTION("""COMPUTED_VALUE"""),6361100.0)</f>
        <v>6361100</v>
      </c>
      <c r="G883" s="2">
        <f t="shared" si="1"/>
        <v>10</v>
      </c>
    </row>
    <row r="884" ht="15.75" customHeight="1">
      <c r="A884" s="1">
        <f>IFERROR(__xludf.DUMMYFUNCTION("""COMPUTED_VALUE"""),45163.66666666667)</f>
        <v>45163.66667</v>
      </c>
      <c r="B884" s="2">
        <f>IFERROR(__xludf.DUMMYFUNCTION("""COMPUTED_VALUE"""),418.0)</f>
        <v>418</v>
      </c>
      <c r="C884" s="2">
        <f>IFERROR(__xludf.DUMMYFUNCTION("""COMPUTED_VALUE"""),422.0)</f>
        <v>422</v>
      </c>
      <c r="D884" s="2">
        <f>IFERROR(__xludf.DUMMYFUNCTION("""COMPUTED_VALUE"""),416.0)</f>
        <v>416</v>
      </c>
      <c r="E884" s="2">
        <f>IFERROR(__xludf.DUMMYFUNCTION("""COMPUTED_VALUE"""),418.0)</f>
        <v>418</v>
      </c>
      <c r="F884" s="2">
        <f>IFERROR(__xludf.DUMMYFUNCTION("""COMPUTED_VALUE"""),3527400.0)</f>
        <v>3527400</v>
      </c>
      <c r="G884" s="2">
        <f t="shared" si="1"/>
        <v>6</v>
      </c>
    </row>
    <row r="885" ht="15.75" customHeight="1">
      <c r="A885" s="1">
        <f>IFERROR(__xludf.DUMMYFUNCTION("""COMPUTED_VALUE"""),45166.66666666667)</f>
        <v>45166.66667</v>
      </c>
      <c r="B885" s="2">
        <f>IFERROR(__xludf.DUMMYFUNCTION("""COMPUTED_VALUE"""),420.0)</f>
        <v>420</v>
      </c>
      <c r="C885" s="2">
        <f>IFERROR(__xludf.DUMMYFUNCTION("""COMPUTED_VALUE"""),426.0)</f>
        <v>426</v>
      </c>
      <c r="D885" s="2">
        <f>IFERROR(__xludf.DUMMYFUNCTION("""COMPUTED_VALUE"""),420.0)</f>
        <v>420</v>
      </c>
      <c r="E885" s="2">
        <f>IFERROR(__xludf.DUMMYFUNCTION("""COMPUTED_VALUE"""),420.0)</f>
        <v>420</v>
      </c>
      <c r="F885" s="2">
        <f>IFERROR(__xludf.DUMMYFUNCTION("""COMPUTED_VALUE"""),4950700.0)</f>
        <v>4950700</v>
      </c>
      <c r="G885" s="2">
        <f t="shared" si="1"/>
        <v>8</v>
      </c>
    </row>
    <row r="886" ht="15.75" customHeight="1">
      <c r="A886" s="1">
        <f>IFERROR(__xludf.DUMMYFUNCTION("""COMPUTED_VALUE"""),45167.66666666667)</f>
        <v>45167.66667</v>
      </c>
      <c r="B886" s="2">
        <f>IFERROR(__xludf.DUMMYFUNCTION("""COMPUTED_VALUE"""),422.0)</f>
        <v>422</v>
      </c>
      <c r="C886" s="2">
        <f>IFERROR(__xludf.DUMMYFUNCTION("""COMPUTED_VALUE"""),452.0)</f>
        <v>452</v>
      </c>
      <c r="D886" s="2">
        <f>IFERROR(__xludf.DUMMYFUNCTION("""COMPUTED_VALUE"""),422.0)</f>
        <v>422</v>
      </c>
      <c r="E886" s="2">
        <f>IFERROR(__xludf.DUMMYFUNCTION("""COMPUTED_VALUE"""),446.0)</f>
        <v>446</v>
      </c>
      <c r="F886" s="2">
        <f>IFERROR(__xludf.DUMMYFUNCTION("""COMPUTED_VALUE"""),3.73114E7)</f>
        <v>37311400</v>
      </c>
      <c r="G886" s="2">
        <f t="shared" si="1"/>
        <v>32</v>
      </c>
    </row>
    <row r="887" ht="15.75" customHeight="1">
      <c r="A887" s="1">
        <f>IFERROR(__xludf.DUMMYFUNCTION("""COMPUTED_VALUE"""),45168.66666666667)</f>
        <v>45168.66667</v>
      </c>
      <c r="B887" s="2">
        <f>IFERROR(__xludf.DUMMYFUNCTION("""COMPUTED_VALUE"""),448.0)</f>
        <v>448</v>
      </c>
      <c r="C887" s="2">
        <f>IFERROR(__xludf.DUMMYFUNCTION("""COMPUTED_VALUE"""),454.0)</f>
        <v>454</v>
      </c>
      <c r="D887" s="2">
        <f>IFERROR(__xludf.DUMMYFUNCTION("""COMPUTED_VALUE"""),440.0)</f>
        <v>440</v>
      </c>
      <c r="E887" s="2">
        <f>IFERROR(__xludf.DUMMYFUNCTION("""COMPUTED_VALUE"""),442.0)</f>
        <v>442</v>
      </c>
      <c r="F887" s="2">
        <f>IFERROR(__xludf.DUMMYFUNCTION("""COMPUTED_VALUE"""),1.79778E7)</f>
        <v>17977800</v>
      </c>
      <c r="G887" s="2">
        <f t="shared" si="1"/>
        <v>14</v>
      </c>
    </row>
    <row r="888" ht="15.75" customHeight="1">
      <c r="A888" s="1">
        <f>IFERROR(__xludf.DUMMYFUNCTION("""COMPUTED_VALUE"""),45169.66666666667)</f>
        <v>45169.66667</v>
      </c>
      <c r="B888" s="2">
        <f>IFERROR(__xludf.DUMMYFUNCTION("""COMPUTED_VALUE"""),444.0)</f>
        <v>444</v>
      </c>
      <c r="C888" s="2">
        <f>IFERROR(__xludf.DUMMYFUNCTION("""COMPUTED_VALUE"""),446.0)</f>
        <v>446</v>
      </c>
      <c r="D888" s="2">
        <f>IFERROR(__xludf.DUMMYFUNCTION("""COMPUTED_VALUE"""),430.0)</f>
        <v>430</v>
      </c>
      <c r="E888" s="2">
        <f>IFERROR(__xludf.DUMMYFUNCTION("""COMPUTED_VALUE"""),432.0)</f>
        <v>432</v>
      </c>
      <c r="F888" s="2">
        <f>IFERROR(__xludf.DUMMYFUNCTION("""COMPUTED_VALUE"""),9885700.0)</f>
        <v>9885700</v>
      </c>
      <c r="G888" s="2">
        <f t="shared" si="1"/>
        <v>16</v>
      </c>
    </row>
    <row r="889" ht="15.75" customHeight="1">
      <c r="A889" s="1">
        <f>IFERROR(__xludf.DUMMYFUNCTION("""COMPUTED_VALUE"""),45170.66666666667)</f>
        <v>45170.66667</v>
      </c>
      <c r="B889" s="2">
        <f>IFERROR(__xludf.DUMMYFUNCTION("""COMPUTED_VALUE"""),434.0)</f>
        <v>434</v>
      </c>
      <c r="C889" s="2">
        <f>IFERROR(__xludf.DUMMYFUNCTION("""COMPUTED_VALUE"""),440.0)</f>
        <v>440</v>
      </c>
      <c r="D889" s="2">
        <f>IFERROR(__xludf.DUMMYFUNCTION("""COMPUTED_VALUE"""),432.0)</f>
        <v>432</v>
      </c>
      <c r="E889" s="2">
        <f>IFERROR(__xludf.DUMMYFUNCTION("""COMPUTED_VALUE"""),434.0)</f>
        <v>434</v>
      </c>
      <c r="F889" s="2">
        <f>IFERROR(__xludf.DUMMYFUNCTION("""COMPUTED_VALUE"""),7888000.0)</f>
        <v>7888000</v>
      </c>
      <c r="G889" s="2">
        <f t="shared" si="1"/>
        <v>8</v>
      </c>
    </row>
    <row r="890" ht="15.75" customHeight="1">
      <c r="A890" s="1">
        <f>IFERROR(__xludf.DUMMYFUNCTION("""COMPUTED_VALUE"""),45173.66666666667)</f>
        <v>45173.66667</v>
      </c>
      <c r="B890" s="2">
        <f>IFERROR(__xludf.DUMMYFUNCTION("""COMPUTED_VALUE"""),434.0)</f>
        <v>434</v>
      </c>
      <c r="C890" s="2">
        <f>IFERROR(__xludf.DUMMYFUNCTION("""COMPUTED_VALUE"""),438.0)</f>
        <v>438</v>
      </c>
      <c r="D890" s="2">
        <f>IFERROR(__xludf.DUMMYFUNCTION("""COMPUTED_VALUE"""),420.0)</f>
        <v>420</v>
      </c>
      <c r="E890" s="2">
        <f>IFERROR(__xludf.DUMMYFUNCTION("""COMPUTED_VALUE"""),422.0)</f>
        <v>422</v>
      </c>
      <c r="F890" s="2">
        <f>IFERROR(__xludf.DUMMYFUNCTION("""COMPUTED_VALUE"""),1.34123E7)</f>
        <v>13412300</v>
      </c>
      <c r="G890" s="2">
        <f t="shared" si="1"/>
        <v>18</v>
      </c>
    </row>
    <row r="891" ht="15.75" customHeight="1">
      <c r="A891" s="1">
        <f>IFERROR(__xludf.DUMMYFUNCTION("""COMPUTED_VALUE"""),45174.66666666667)</f>
        <v>45174.66667</v>
      </c>
      <c r="B891" s="2">
        <f>IFERROR(__xludf.DUMMYFUNCTION("""COMPUTED_VALUE"""),424.0)</f>
        <v>424</v>
      </c>
      <c r="C891" s="2">
        <f>IFERROR(__xludf.DUMMYFUNCTION("""COMPUTED_VALUE"""),432.0)</f>
        <v>432</v>
      </c>
      <c r="D891" s="2">
        <f>IFERROR(__xludf.DUMMYFUNCTION("""COMPUTED_VALUE"""),420.0)</f>
        <v>420</v>
      </c>
      <c r="E891" s="2">
        <f>IFERROR(__xludf.DUMMYFUNCTION("""COMPUTED_VALUE"""),424.0)</f>
        <v>424</v>
      </c>
      <c r="F891" s="2">
        <f>IFERROR(__xludf.DUMMYFUNCTION("""COMPUTED_VALUE"""),1.25653E7)</f>
        <v>12565300</v>
      </c>
      <c r="G891" s="2">
        <f t="shared" si="1"/>
        <v>12</v>
      </c>
    </row>
    <row r="892" ht="15.75" customHeight="1">
      <c r="A892" s="1">
        <f>IFERROR(__xludf.DUMMYFUNCTION("""COMPUTED_VALUE"""),45175.66666666667)</f>
        <v>45175.66667</v>
      </c>
      <c r="B892" s="2">
        <f>IFERROR(__xludf.DUMMYFUNCTION("""COMPUTED_VALUE"""),426.0)</f>
        <v>426</v>
      </c>
      <c r="C892" s="2">
        <f>IFERROR(__xludf.DUMMYFUNCTION("""COMPUTED_VALUE"""),446.0)</f>
        <v>446</v>
      </c>
      <c r="D892" s="2">
        <f>IFERROR(__xludf.DUMMYFUNCTION("""COMPUTED_VALUE"""),424.0)</f>
        <v>424</v>
      </c>
      <c r="E892" s="2">
        <f>IFERROR(__xludf.DUMMYFUNCTION("""COMPUTED_VALUE"""),440.0)</f>
        <v>440</v>
      </c>
      <c r="F892" s="2">
        <f>IFERROR(__xludf.DUMMYFUNCTION("""COMPUTED_VALUE"""),2.35325E7)</f>
        <v>23532500</v>
      </c>
      <c r="G892" s="2">
        <f t="shared" si="1"/>
        <v>22</v>
      </c>
    </row>
    <row r="893" ht="15.75" customHeight="1">
      <c r="A893" s="1">
        <f>IFERROR(__xludf.DUMMYFUNCTION("""COMPUTED_VALUE"""),45176.66666666667)</f>
        <v>45176.66667</v>
      </c>
      <c r="B893" s="2">
        <f>IFERROR(__xludf.DUMMYFUNCTION("""COMPUTED_VALUE"""),442.0)</f>
        <v>442</v>
      </c>
      <c r="C893" s="2">
        <f>IFERROR(__xludf.DUMMYFUNCTION("""COMPUTED_VALUE"""),446.0)</f>
        <v>446</v>
      </c>
      <c r="D893" s="2">
        <f>IFERROR(__xludf.DUMMYFUNCTION("""COMPUTED_VALUE"""),432.0)</f>
        <v>432</v>
      </c>
      <c r="E893" s="2">
        <f>IFERROR(__xludf.DUMMYFUNCTION("""COMPUTED_VALUE"""),434.0)</f>
        <v>434</v>
      </c>
      <c r="F893" s="2">
        <f>IFERROR(__xludf.DUMMYFUNCTION("""COMPUTED_VALUE"""),1.0217E7)</f>
        <v>10217000</v>
      </c>
      <c r="G893" s="2">
        <f t="shared" si="1"/>
        <v>14</v>
      </c>
    </row>
    <row r="894" ht="15.75" customHeight="1">
      <c r="A894" s="1">
        <f>IFERROR(__xludf.DUMMYFUNCTION("""COMPUTED_VALUE"""),45177.66666666667)</f>
        <v>45177.66667</v>
      </c>
      <c r="B894" s="2">
        <f>IFERROR(__xludf.DUMMYFUNCTION("""COMPUTED_VALUE"""),434.0)</f>
        <v>434</v>
      </c>
      <c r="C894" s="2">
        <f>IFERROR(__xludf.DUMMYFUNCTION("""COMPUTED_VALUE"""),486.0)</f>
        <v>486</v>
      </c>
      <c r="D894" s="2">
        <f>IFERROR(__xludf.DUMMYFUNCTION("""COMPUTED_VALUE"""),434.0)</f>
        <v>434</v>
      </c>
      <c r="E894" s="2">
        <f>IFERROR(__xludf.DUMMYFUNCTION("""COMPUTED_VALUE"""),468.0)</f>
        <v>468</v>
      </c>
      <c r="F894" s="2">
        <f>IFERROR(__xludf.DUMMYFUNCTION("""COMPUTED_VALUE"""),1.082235E8)</f>
        <v>108223500</v>
      </c>
      <c r="G894" s="2">
        <f t="shared" si="1"/>
        <v>52</v>
      </c>
    </row>
    <row r="895" ht="15.75" customHeight="1">
      <c r="A895" s="1">
        <f>IFERROR(__xludf.DUMMYFUNCTION("""COMPUTED_VALUE"""),45180.66666666667)</f>
        <v>45180.66667</v>
      </c>
      <c r="B895" s="2">
        <f>IFERROR(__xludf.DUMMYFUNCTION("""COMPUTED_VALUE"""),472.0)</f>
        <v>472</v>
      </c>
      <c r="C895" s="2">
        <f>IFERROR(__xludf.DUMMYFUNCTION("""COMPUTED_VALUE"""),494.0)</f>
        <v>494</v>
      </c>
      <c r="D895" s="2">
        <f>IFERROR(__xludf.DUMMYFUNCTION("""COMPUTED_VALUE"""),456.0)</f>
        <v>456</v>
      </c>
      <c r="E895" s="2">
        <f>IFERROR(__xludf.DUMMYFUNCTION("""COMPUTED_VALUE"""),460.0)</f>
        <v>460</v>
      </c>
      <c r="F895" s="2">
        <f>IFERROR(__xludf.DUMMYFUNCTION("""COMPUTED_VALUE"""),7.53147E7)</f>
        <v>75314700</v>
      </c>
      <c r="G895" s="2">
        <f t="shared" si="1"/>
        <v>38</v>
      </c>
    </row>
    <row r="896" ht="15.75" customHeight="1">
      <c r="A896" s="1">
        <f>IFERROR(__xludf.DUMMYFUNCTION("""COMPUTED_VALUE"""),45181.66666666667)</f>
        <v>45181.66667</v>
      </c>
      <c r="B896" s="2">
        <f>IFERROR(__xludf.DUMMYFUNCTION("""COMPUTED_VALUE"""),460.0)</f>
        <v>460</v>
      </c>
      <c r="C896" s="2">
        <f>IFERROR(__xludf.DUMMYFUNCTION("""COMPUTED_VALUE"""),468.0)</f>
        <v>468</v>
      </c>
      <c r="D896" s="2">
        <f>IFERROR(__xludf.DUMMYFUNCTION("""COMPUTED_VALUE"""),450.0)</f>
        <v>450</v>
      </c>
      <c r="E896" s="2">
        <f>IFERROR(__xludf.DUMMYFUNCTION("""COMPUTED_VALUE"""),454.0)</f>
        <v>454</v>
      </c>
      <c r="F896" s="2">
        <f>IFERROR(__xludf.DUMMYFUNCTION("""COMPUTED_VALUE"""),3.35733E7)</f>
        <v>33573300</v>
      </c>
      <c r="G896" s="2">
        <f t="shared" si="1"/>
        <v>18</v>
      </c>
    </row>
    <row r="897" ht="15.75" customHeight="1">
      <c r="A897" s="1">
        <f>IFERROR(__xludf.DUMMYFUNCTION("""COMPUTED_VALUE"""),45182.66666666667)</f>
        <v>45182.66667</v>
      </c>
      <c r="B897" s="2">
        <f>IFERROR(__xludf.DUMMYFUNCTION("""COMPUTED_VALUE"""),458.0)</f>
        <v>458</v>
      </c>
      <c r="C897" s="2">
        <f>IFERROR(__xludf.DUMMYFUNCTION("""COMPUTED_VALUE"""),488.0)</f>
        <v>488</v>
      </c>
      <c r="D897" s="2">
        <f>IFERROR(__xludf.DUMMYFUNCTION("""COMPUTED_VALUE"""),458.0)</f>
        <v>458</v>
      </c>
      <c r="E897" s="2">
        <f>IFERROR(__xludf.DUMMYFUNCTION("""COMPUTED_VALUE"""),486.0)</f>
        <v>486</v>
      </c>
      <c r="F897" s="2">
        <f>IFERROR(__xludf.DUMMYFUNCTION("""COMPUTED_VALUE"""),6.92064E7)</f>
        <v>69206400</v>
      </c>
      <c r="G897" s="2">
        <f t="shared" si="1"/>
        <v>34</v>
      </c>
    </row>
    <row r="898" ht="15.75" customHeight="1">
      <c r="A898" s="1">
        <f>IFERROR(__xludf.DUMMYFUNCTION("""COMPUTED_VALUE"""),45183.66666666667)</f>
        <v>45183.66667</v>
      </c>
      <c r="B898" s="2">
        <f>IFERROR(__xludf.DUMMYFUNCTION("""COMPUTED_VALUE"""),486.0)</f>
        <v>486</v>
      </c>
      <c r="C898" s="2">
        <f>IFERROR(__xludf.DUMMYFUNCTION("""COMPUTED_VALUE"""),490.0)</f>
        <v>490</v>
      </c>
      <c r="D898" s="2">
        <f>IFERROR(__xludf.DUMMYFUNCTION("""COMPUTED_VALUE"""),474.0)</f>
        <v>474</v>
      </c>
      <c r="E898" s="2">
        <f>IFERROR(__xludf.DUMMYFUNCTION("""COMPUTED_VALUE"""),476.0)</f>
        <v>476</v>
      </c>
      <c r="F898" s="2">
        <f>IFERROR(__xludf.DUMMYFUNCTION("""COMPUTED_VALUE"""),2.93332E7)</f>
        <v>29333200</v>
      </c>
      <c r="G898" s="2">
        <f t="shared" si="1"/>
        <v>16</v>
      </c>
    </row>
    <row r="899" ht="15.75" customHeight="1">
      <c r="A899" s="1">
        <f>IFERROR(__xludf.DUMMYFUNCTION("""COMPUTED_VALUE"""),45184.66666666667)</f>
        <v>45184.66667</v>
      </c>
      <c r="B899" s="2">
        <f>IFERROR(__xludf.DUMMYFUNCTION("""COMPUTED_VALUE"""),478.0)</f>
        <v>478</v>
      </c>
      <c r="C899" s="2">
        <f>IFERROR(__xludf.DUMMYFUNCTION("""COMPUTED_VALUE"""),482.0)</f>
        <v>482</v>
      </c>
      <c r="D899" s="2">
        <f>IFERROR(__xludf.DUMMYFUNCTION("""COMPUTED_VALUE"""),460.0)</f>
        <v>460</v>
      </c>
      <c r="E899" s="2">
        <f>IFERROR(__xludf.DUMMYFUNCTION("""COMPUTED_VALUE"""),460.0)</f>
        <v>460</v>
      </c>
      <c r="F899" s="2">
        <f>IFERROR(__xludf.DUMMYFUNCTION("""COMPUTED_VALUE"""),2.83968E7)</f>
        <v>28396800</v>
      </c>
      <c r="G899" s="2">
        <f t="shared" si="1"/>
        <v>22</v>
      </c>
    </row>
    <row r="900" ht="15.75" customHeight="1">
      <c r="A900" s="1">
        <f>IFERROR(__xludf.DUMMYFUNCTION("""COMPUTED_VALUE"""),45187.66666666667)</f>
        <v>45187.66667</v>
      </c>
      <c r="B900" s="2">
        <f>IFERROR(__xludf.DUMMYFUNCTION("""COMPUTED_VALUE"""),462.0)</f>
        <v>462</v>
      </c>
      <c r="C900" s="2">
        <f>IFERROR(__xludf.DUMMYFUNCTION("""COMPUTED_VALUE"""),468.0)</f>
        <v>468</v>
      </c>
      <c r="D900" s="2">
        <f>IFERROR(__xludf.DUMMYFUNCTION("""COMPUTED_VALUE"""),456.0)</f>
        <v>456</v>
      </c>
      <c r="E900" s="2">
        <f>IFERROR(__xludf.DUMMYFUNCTION("""COMPUTED_VALUE"""),458.0)</f>
        <v>458</v>
      </c>
      <c r="F900" s="2">
        <f>IFERROR(__xludf.DUMMYFUNCTION("""COMPUTED_VALUE"""),1.44065E7)</f>
        <v>14406500</v>
      </c>
      <c r="G900" s="2">
        <f t="shared" si="1"/>
        <v>12</v>
      </c>
    </row>
    <row r="901" ht="15.75" customHeight="1">
      <c r="A901" s="1">
        <f>IFERROR(__xludf.DUMMYFUNCTION("""COMPUTED_VALUE"""),45188.66666666667)</f>
        <v>45188.66667</v>
      </c>
      <c r="B901" s="2">
        <f>IFERROR(__xludf.DUMMYFUNCTION("""COMPUTED_VALUE"""),460.0)</f>
        <v>460</v>
      </c>
      <c r="C901" s="2">
        <f>IFERROR(__xludf.DUMMYFUNCTION("""COMPUTED_VALUE"""),478.0)</f>
        <v>478</v>
      </c>
      <c r="D901" s="2">
        <f>IFERROR(__xludf.DUMMYFUNCTION("""COMPUTED_VALUE"""),458.0)</f>
        <v>458</v>
      </c>
      <c r="E901" s="2">
        <f>IFERROR(__xludf.DUMMYFUNCTION("""COMPUTED_VALUE"""),474.0)</f>
        <v>474</v>
      </c>
      <c r="F901" s="2">
        <f>IFERROR(__xludf.DUMMYFUNCTION("""COMPUTED_VALUE"""),2.77996E7)</f>
        <v>27799600</v>
      </c>
      <c r="G901" s="2">
        <f t="shared" si="1"/>
        <v>20</v>
      </c>
    </row>
    <row r="902" ht="15.75" customHeight="1">
      <c r="A902" s="1">
        <f>IFERROR(__xludf.DUMMYFUNCTION("""COMPUTED_VALUE"""),45189.66666666667)</f>
        <v>45189.66667</v>
      </c>
      <c r="B902" s="2">
        <f>IFERROR(__xludf.DUMMYFUNCTION("""COMPUTED_VALUE"""),474.0)</f>
        <v>474</v>
      </c>
      <c r="C902" s="2">
        <f>IFERROR(__xludf.DUMMYFUNCTION("""COMPUTED_VALUE"""),494.0)</f>
        <v>494</v>
      </c>
      <c r="D902" s="2">
        <f>IFERROR(__xludf.DUMMYFUNCTION("""COMPUTED_VALUE"""),474.0)</f>
        <v>474</v>
      </c>
      <c r="E902" s="2">
        <f>IFERROR(__xludf.DUMMYFUNCTION("""COMPUTED_VALUE"""),482.0)</f>
        <v>482</v>
      </c>
      <c r="F902" s="2">
        <f>IFERROR(__xludf.DUMMYFUNCTION("""COMPUTED_VALUE"""),4.50733E7)</f>
        <v>45073300</v>
      </c>
      <c r="G902" s="2">
        <f t="shared" si="1"/>
        <v>20</v>
      </c>
    </row>
    <row r="903" ht="15.75" customHeight="1">
      <c r="A903" s="1">
        <f>IFERROR(__xludf.DUMMYFUNCTION("""COMPUTED_VALUE"""),45190.66666666667)</f>
        <v>45190.66667</v>
      </c>
      <c r="B903" s="2">
        <f>IFERROR(__xludf.DUMMYFUNCTION("""COMPUTED_VALUE"""),484.0)</f>
        <v>484</v>
      </c>
      <c r="C903" s="2">
        <f>IFERROR(__xludf.DUMMYFUNCTION("""COMPUTED_VALUE"""),484.0)</f>
        <v>484</v>
      </c>
      <c r="D903" s="2">
        <f>IFERROR(__xludf.DUMMYFUNCTION("""COMPUTED_VALUE"""),464.0)</f>
        <v>464</v>
      </c>
      <c r="E903" s="2">
        <f>IFERROR(__xludf.DUMMYFUNCTION("""COMPUTED_VALUE"""),466.0)</f>
        <v>466</v>
      </c>
      <c r="F903" s="2">
        <f>IFERROR(__xludf.DUMMYFUNCTION("""COMPUTED_VALUE"""),2.20678E7)</f>
        <v>22067800</v>
      </c>
      <c r="G903" s="2">
        <f t="shared" si="1"/>
        <v>20</v>
      </c>
    </row>
    <row r="904" ht="15.75" customHeight="1">
      <c r="A904" s="1">
        <f>IFERROR(__xludf.DUMMYFUNCTION("""COMPUTED_VALUE"""),45191.66666666667)</f>
        <v>45191.66667</v>
      </c>
      <c r="B904" s="2">
        <f>IFERROR(__xludf.DUMMYFUNCTION("""COMPUTED_VALUE"""),466.0)</f>
        <v>466</v>
      </c>
      <c r="C904" s="2">
        <f>IFERROR(__xludf.DUMMYFUNCTION("""COMPUTED_VALUE"""),510.0)</f>
        <v>510</v>
      </c>
      <c r="D904" s="2">
        <f>IFERROR(__xludf.DUMMYFUNCTION("""COMPUTED_VALUE"""),464.0)</f>
        <v>464</v>
      </c>
      <c r="E904" s="2">
        <f>IFERROR(__xludf.DUMMYFUNCTION("""COMPUTED_VALUE"""),505.0)</f>
        <v>505</v>
      </c>
      <c r="F904" s="2">
        <f>IFERROR(__xludf.DUMMYFUNCTION("""COMPUTED_VALUE"""),1.178184E8)</f>
        <v>117818400</v>
      </c>
      <c r="G904" s="2">
        <f t="shared" si="1"/>
        <v>46</v>
      </c>
    </row>
    <row r="905" ht="15.75" customHeight="1">
      <c r="A905" s="1">
        <f>IFERROR(__xludf.DUMMYFUNCTION("""COMPUTED_VALUE"""),45194.66666666667)</f>
        <v>45194.66667</v>
      </c>
      <c r="B905" s="2">
        <f>IFERROR(__xludf.DUMMYFUNCTION("""COMPUTED_VALUE"""),505.0)</f>
        <v>505</v>
      </c>
      <c r="C905" s="2">
        <f>IFERROR(__xludf.DUMMYFUNCTION("""COMPUTED_VALUE"""),515.0)</f>
        <v>515</v>
      </c>
      <c r="D905" s="2">
        <f>IFERROR(__xludf.DUMMYFUNCTION("""COMPUTED_VALUE"""),490.0)</f>
        <v>490</v>
      </c>
      <c r="E905" s="2">
        <f>IFERROR(__xludf.DUMMYFUNCTION("""COMPUTED_VALUE"""),490.0)</f>
        <v>490</v>
      </c>
      <c r="F905" s="2">
        <f>IFERROR(__xludf.DUMMYFUNCTION("""COMPUTED_VALUE"""),3.64445E7)</f>
        <v>36444500</v>
      </c>
      <c r="G905" s="2">
        <f t="shared" si="1"/>
        <v>25</v>
      </c>
    </row>
    <row r="906" ht="15.75" customHeight="1">
      <c r="A906" s="1">
        <f>IFERROR(__xludf.DUMMYFUNCTION("""COMPUTED_VALUE"""),45195.66666666667)</f>
        <v>45195.66667</v>
      </c>
      <c r="B906" s="2">
        <f>IFERROR(__xludf.DUMMYFUNCTION("""COMPUTED_VALUE"""),492.0)</f>
        <v>492</v>
      </c>
      <c r="C906" s="2">
        <f>IFERROR(__xludf.DUMMYFUNCTION("""COMPUTED_VALUE"""),510.0)</f>
        <v>510</v>
      </c>
      <c r="D906" s="2">
        <f>IFERROR(__xludf.DUMMYFUNCTION("""COMPUTED_VALUE"""),472.0)</f>
        <v>472</v>
      </c>
      <c r="E906" s="2">
        <f>IFERROR(__xludf.DUMMYFUNCTION("""COMPUTED_VALUE"""),480.0)</f>
        <v>480</v>
      </c>
      <c r="F906" s="2">
        <f>IFERROR(__xludf.DUMMYFUNCTION("""COMPUTED_VALUE"""),4.96639E7)</f>
        <v>49663900</v>
      </c>
      <c r="G906" s="2">
        <f t="shared" si="1"/>
        <v>38</v>
      </c>
    </row>
    <row r="907" ht="15.75" customHeight="1">
      <c r="A907" s="1">
        <f>IFERROR(__xludf.DUMMYFUNCTION("""COMPUTED_VALUE"""),45196.66666666667)</f>
        <v>45196.66667</v>
      </c>
      <c r="B907" s="2">
        <f>IFERROR(__xludf.DUMMYFUNCTION("""COMPUTED_VALUE"""),478.0)</f>
        <v>478</v>
      </c>
      <c r="C907" s="2">
        <f>IFERROR(__xludf.DUMMYFUNCTION("""COMPUTED_VALUE"""),492.0)</f>
        <v>492</v>
      </c>
      <c r="D907" s="2">
        <f>IFERROR(__xludf.DUMMYFUNCTION("""COMPUTED_VALUE"""),476.0)</f>
        <v>476</v>
      </c>
      <c r="E907" s="2">
        <f>IFERROR(__xludf.DUMMYFUNCTION("""COMPUTED_VALUE"""),480.0)</f>
        <v>480</v>
      </c>
      <c r="F907" s="2">
        <f>IFERROR(__xludf.DUMMYFUNCTION("""COMPUTED_VALUE"""),2.60946E7)</f>
        <v>26094600</v>
      </c>
      <c r="G907" s="2">
        <f t="shared" si="1"/>
        <v>16</v>
      </c>
    </row>
    <row r="908" ht="15.75" customHeight="1">
      <c r="A908" s="1">
        <f>IFERROR(__xludf.DUMMYFUNCTION("""COMPUTED_VALUE"""),45198.66666666667)</f>
        <v>45198.66667</v>
      </c>
      <c r="B908" s="2">
        <f>IFERROR(__xludf.DUMMYFUNCTION("""COMPUTED_VALUE"""),482.0)</f>
        <v>482</v>
      </c>
      <c r="C908" s="2">
        <f>IFERROR(__xludf.DUMMYFUNCTION("""COMPUTED_VALUE"""),492.0)</f>
        <v>492</v>
      </c>
      <c r="D908" s="2">
        <f>IFERROR(__xludf.DUMMYFUNCTION("""COMPUTED_VALUE"""),474.0)</f>
        <v>474</v>
      </c>
      <c r="E908" s="2">
        <f>IFERROR(__xludf.DUMMYFUNCTION("""COMPUTED_VALUE"""),476.0)</f>
        <v>476</v>
      </c>
      <c r="F908" s="2">
        <f>IFERROR(__xludf.DUMMYFUNCTION("""COMPUTED_VALUE"""),2.75635E7)</f>
        <v>27563500</v>
      </c>
      <c r="G908" s="2">
        <f t="shared" si="1"/>
        <v>18</v>
      </c>
    </row>
    <row r="909" ht="15.75" customHeight="1">
      <c r="A909" s="1">
        <f>IFERROR(__xludf.DUMMYFUNCTION("""COMPUTED_VALUE"""),45201.66666666667)</f>
        <v>45201.66667</v>
      </c>
      <c r="B909" s="2">
        <f>IFERROR(__xludf.DUMMYFUNCTION("""COMPUTED_VALUE"""),476.0)</f>
        <v>476</v>
      </c>
      <c r="C909" s="2">
        <f>IFERROR(__xludf.DUMMYFUNCTION("""COMPUTED_VALUE"""),480.0)</f>
        <v>480</v>
      </c>
      <c r="D909" s="2">
        <f>IFERROR(__xludf.DUMMYFUNCTION("""COMPUTED_VALUE"""),460.0)</f>
        <v>460</v>
      </c>
      <c r="E909" s="2">
        <f>IFERROR(__xludf.DUMMYFUNCTION("""COMPUTED_VALUE"""),474.0)</f>
        <v>474</v>
      </c>
      <c r="F909" s="2">
        <f>IFERROR(__xludf.DUMMYFUNCTION("""COMPUTED_VALUE"""),3.93008E7)</f>
        <v>39300800</v>
      </c>
      <c r="G909" s="2">
        <f t="shared" si="1"/>
        <v>20</v>
      </c>
    </row>
    <row r="910" ht="15.75" customHeight="1">
      <c r="A910" s="1">
        <f>IFERROR(__xludf.DUMMYFUNCTION("""COMPUTED_VALUE"""),45202.66666666667)</f>
        <v>45202.66667</v>
      </c>
      <c r="B910" s="2">
        <f>IFERROR(__xludf.DUMMYFUNCTION("""COMPUTED_VALUE"""),472.0)</f>
        <v>472</v>
      </c>
      <c r="C910" s="2">
        <f>IFERROR(__xludf.DUMMYFUNCTION("""COMPUTED_VALUE"""),480.0)</f>
        <v>480</v>
      </c>
      <c r="D910" s="2">
        <f>IFERROR(__xludf.DUMMYFUNCTION("""COMPUTED_VALUE"""),458.0)</f>
        <v>458</v>
      </c>
      <c r="E910" s="2">
        <f>IFERROR(__xludf.DUMMYFUNCTION("""COMPUTED_VALUE"""),458.0)</f>
        <v>458</v>
      </c>
      <c r="F910" s="2">
        <f>IFERROR(__xludf.DUMMYFUNCTION("""COMPUTED_VALUE"""),3.69618E7)</f>
        <v>36961800</v>
      </c>
      <c r="G910" s="2">
        <f t="shared" si="1"/>
        <v>22</v>
      </c>
    </row>
    <row r="911" ht="15.75" customHeight="1">
      <c r="A911" s="1">
        <f>IFERROR(__xludf.DUMMYFUNCTION("""COMPUTED_VALUE"""),45203.66666666667)</f>
        <v>45203.66667</v>
      </c>
      <c r="B911" s="2">
        <f>IFERROR(__xludf.DUMMYFUNCTION("""COMPUTED_VALUE"""),460.0)</f>
        <v>460</v>
      </c>
      <c r="C911" s="2">
        <f>IFERROR(__xludf.DUMMYFUNCTION("""COMPUTED_VALUE"""),462.0)</f>
        <v>462</v>
      </c>
      <c r="D911" s="2">
        <f>IFERROR(__xludf.DUMMYFUNCTION("""COMPUTED_VALUE"""),440.0)</f>
        <v>440</v>
      </c>
      <c r="E911" s="2">
        <f>IFERROR(__xludf.DUMMYFUNCTION("""COMPUTED_VALUE"""),440.0)</f>
        <v>440</v>
      </c>
      <c r="F911" s="2">
        <f>IFERROR(__xludf.DUMMYFUNCTION("""COMPUTED_VALUE"""),3.02783E7)</f>
        <v>30278300</v>
      </c>
      <c r="G911" s="2">
        <f t="shared" si="1"/>
        <v>22</v>
      </c>
    </row>
    <row r="912" ht="15.75" customHeight="1">
      <c r="A912" s="1">
        <f>IFERROR(__xludf.DUMMYFUNCTION("""COMPUTED_VALUE"""),45204.66666666667)</f>
        <v>45204.66667</v>
      </c>
      <c r="B912" s="2">
        <f>IFERROR(__xludf.DUMMYFUNCTION("""COMPUTED_VALUE"""),442.0)</f>
        <v>442</v>
      </c>
      <c r="C912" s="2">
        <f>IFERROR(__xludf.DUMMYFUNCTION("""COMPUTED_VALUE"""),466.0)</f>
        <v>466</v>
      </c>
      <c r="D912" s="2">
        <f>IFERROR(__xludf.DUMMYFUNCTION("""COMPUTED_VALUE"""),440.0)</f>
        <v>440</v>
      </c>
      <c r="E912" s="2">
        <f>IFERROR(__xludf.DUMMYFUNCTION("""COMPUTED_VALUE"""),458.0)</f>
        <v>458</v>
      </c>
      <c r="F912" s="2">
        <f>IFERROR(__xludf.DUMMYFUNCTION("""COMPUTED_VALUE"""),3.05953E7)</f>
        <v>30595300</v>
      </c>
      <c r="G912" s="2">
        <f t="shared" si="1"/>
        <v>26</v>
      </c>
    </row>
    <row r="913" ht="15.75" customHeight="1">
      <c r="A913" s="1">
        <f>IFERROR(__xludf.DUMMYFUNCTION("""COMPUTED_VALUE"""),45205.66666666667)</f>
        <v>45205.66667</v>
      </c>
      <c r="B913" s="2">
        <f>IFERROR(__xludf.DUMMYFUNCTION("""COMPUTED_VALUE"""),462.0)</f>
        <v>462</v>
      </c>
      <c r="C913" s="2">
        <f>IFERROR(__xludf.DUMMYFUNCTION("""COMPUTED_VALUE"""),462.0)</f>
        <v>462</v>
      </c>
      <c r="D913" s="2">
        <f>IFERROR(__xludf.DUMMYFUNCTION("""COMPUTED_VALUE"""),444.0)</f>
        <v>444</v>
      </c>
      <c r="E913" s="2">
        <f>IFERROR(__xludf.DUMMYFUNCTION("""COMPUTED_VALUE"""),444.0)</f>
        <v>444</v>
      </c>
      <c r="F913" s="2">
        <f>IFERROR(__xludf.DUMMYFUNCTION("""COMPUTED_VALUE"""),1.46871E7)</f>
        <v>14687100</v>
      </c>
      <c r="G913" s="2">
        <f t="shared" si="1"/>
        <v>18</v>
      </c>
    </row>
    <row r="914" ht="15.75" customHeight="1">
      <c r="A914" s="1">
        <f>IFERROR(__xludf.DUMMYFUNCTION("""COMPUTED_VALUE"""),45208.66666666667)</f>
        <v>45208.66667</v>
      </c>
      <c r="B914" s="2">
        <f>IFERROR(__xludf.DUMMYFUNCTION("""COMPUTED_VALUE"""),444.0)</f>
        <v>444</v>
      </c>
      <c r="C914" s="2">
        <f>IFERROR(__xludf.DUMMYFUNCTION("""COMPUTED_VALUE"""),456.0)</f>
        <v>456</v>
      </c>
      <c r="D914" s="2">
        <f>IFERROR(__xludf.DUMMYFUNCTION("""COMPUTED_VALUE"""),444.0)</f>
        <v>444</v>
      </c>
      <c r="E914" s="2">
        <f>IFERROR(__xludf.DUMMYFUNCTION("""COMPUTED_VALUE"""),448.0)</f>
        <v>448</v>
      </c>
      <c r="F914" s="2">
        <f>IFERROR(__xludf.DUMMYFUNCTION("""COMPUTED_VALUE"""),1.34443E7)</f>
        <v>13444300</v>
      </c>
      <c r="G914" s="2">
        <f t="shared" si="1"/>
        <v>12</v>
      </c>
    </row>
    <row r="915" ht="15.75" customHeight="1">
      <c r="A915" s="1">
        <f>IFERROR(__xludf.DUMMYFUNCTION("""COMPUTED_VALUE"""),45209.66666666667)</f>
        <v>45209.66667</v>
      </c>
      <c r="B915" s="2">
        <f>IFERROR(__xludf.DUMMYFUNCTION("""COMPUTED_VALUE"""),450.0)</f>
        <v>450</v>
      </c>
      <c r="C915" s="2">
        <f>IFERROR(__xludf.DUMMYFUNCTION("""COMPUTED_VALUE"""),466.0)</f>
        <v>466</v>
      </c>
      <c r="D915" s="2">
        <f>IFERROR(__xludf.DUMMYFUNCTION("""COMPUTED_VALUE"""),448.0)</f>
        <v>448</v>
      </c>
      <c r="E915" s="2">
        <f>IFERROR(__xludf.DUMMYFUNCTION("""COMPUTED_VALUE"""),464.0)</f>
        <v>464</v>
      </c>
      <c r="F915" s="2">
        <f>IFERROR(__xludf.DUMMYFUNCTION("""COMPUTED_VALUE"""),2.38027E7)</f>
        <v>23802700</v>
      </c>
      <c r="G915" s="2">
        <f t="shared" si="1"/>
        <v>18</v>
      </c>
    </row>
    <row r="916" ht="15.75" customHeight="1">
      <c r="A916" s="1">
        <f>IFERROR(__xludf.DUMMYFUNCTION("""COMPUTED_VALUE"""),45210.66666666667)</f>
        <v>45210.66667</v>
      </c>
      <c r="B916" s="2">
        <f>IFERROR(__xludf.DUMMYFUNCTION("""COMPUTED_VALUE"""),464.0)</f>
        <v>464</v>
      </c>
      <c r="C916" s="2">
        <f>IFERROR(__xludf.DUMMYFUNCTION("""COMPUTED_VALUE"""),488.0)</f>
        <v>488</v>
      </c>
      <c r="D916" s="2">
        <f>IFERROR(__xludf.DUMMYFUNCTION("""COMPUTED_VALUE"""),464.0)</f>
        <v>464</v>
      </c>
      <c r="E916" s="2">
        <f>IFERROR(__xludf.DUMMYFUNCTION("""COMPUTED_VALUE"""),478.0)</f>
        <v>478</v>
      </c>
      <c r="F916" s="2">
        <f>IFERROR(__xludf.DUMMYFUNCTION("""COMPUTED_VALUE"""),3.88648E7)</f>
        <v>38864800</v>
      </c>
      <c r="G916" s="2">
        <f t="shared" si="1"/>
        <v>24</v>
      </c>
    </row>
    <row r="917" ht="15.75" customHeight="1">
      <c r="A917" s="1">
        <f>IFERROR(__xludf.DUMMYFUNCTION("""COMPUTED_VALUE"""),45211.66666666667)</f>
        <v>45211.66667</v>
      </c>
      <c r="B917" s="2">
        <f>IFERROR(__xludf.DUMMYFUNCTION("""COMPUTED_VALUE"""),480.0)</f>
        <v>480</v>
      </c>
      <c r="C917" s="2">
        <f>IFERROR(__xludf.DUMMYFUNCTION("""COMPUTED_VALUE"""),484.0)</f>
        <v>484</v>
      </c>
      <c r="D917" s="2">
        <f>IFERROR(__xludf.DUMMYFUNCTION("""COMPUTED_VALUE"""),468.0)</f>
        <v>468</v>
      </c>
      <c r="E917" s="2">
        <f>IFERROR(__xludf.DUMMYFUNCTION("""COMPUTED_VALUE"""),470.0)</f>
        <v>470</v>
      </c>
      <c r="F917" s="2">
        <f>IFERROR(__xludf.DUMMYFUNCTION("""COMPUTED_VALUE"""),1.57502E7)</f>
        <v>15750200</v>
      </c>
      <c r="G917" s="2">
        <f t="shared" si="1"/>
        <v>16</v>
      </c>
    </row>
    <row r="918" ht="15.75" customHeight="1">
      <c r="A918" s="1">
        <f>IFERROR(__xludf.DUMMYFUNCTION("""COMPUTED_VALUE"""),45212.66666666667)</f>
        <v>45212.66667</v>
      </c>
      <c r="B918" s="2">
        <f>IFERROR(__xludf.DUMMYFUNCTION("""COMPUTED_VALUE"""),472.0)</f>
        <v>472</v>
      </c>
      <c r="C918" s="2">
        <f>IFERROR(__xludf.DUMMYFUNCTION("""COMPUTED_VALUE"""),490.0)</f>
        <v>490</v>
      </c>
      <c r="D918" s="2">
        <f>IFERROR(__xludf.DUMMYFUNCTION("""COMPUTED_VALUE"""),464.0)</f>
        <v>464</v>
      </c>
      <c r="E918" s="2">
        <f>IFERROR(__xludf.DUMMYFUNCTION("""COMPUTED_VALUE"""),468.0)</f>
        <v>468</v>
      </c>
      <c r="F918" s="2">
        <f>IFERROR(__xludf.DUMMYFUNCTION("""COMPUTED_VALUE"""),2.97688E7)</f>
        <v>29768800</v>
      </c>
      <c r="G918" s="2">
        <f t="shared" si="1"/>
        <v>26</v>
      </c>
    </row>
    <row r="919" ht="15.75" customHeight="1">
      <c r="A919" s="1">
        <f>IFERROR(__xludf.DUMMYFUNCTION("""COMPUTED_VALUE"""),45215.66666666667)</f>
        <v>45215.66667</v>
      </c>
      <c r="B919" s="2">
        <f>IFERROR(__xludf.DUMMYFUNCTION("""COMPUTED_VALUE"""),468.0)</f>
        <v>468</v>
      </c>
      <c r="C919" s="2">
        <f>IFERROR(__xludf.DUMMYFUNCTION("""COMPUTED_VALUE"""),472.0)</f>
        <v>472</v>
      </c>
      <c r="D919" s="2">
        <f>IFERROR(__xludf.DUMMYFUNCTION("""COMPUTED_VALUE"""),448.0)</f>
        <v>448</v>
      </c>
      <c r="E919" s="2">
        <f>IFERROR(__xludf.DUMMYFUNCTION("""COMPUTED_VALUE"""),452.0)</f>
        <v>452</v>
      </c>
      <c r="F919" s="2">
        <f>IFERROR(__xludf.DUMMYFUNCTION("""COMPUTED_VALUE"""),2.19384E7)</f>
        <v>21938400</v>
      </c>
      <c r="G919" s="2">
        <f t="shared" si="1"/>
        <v>24</v>
      </c>
    </row>
    <row r="920" ht="15.75" customHeight="1">
      <c r="A920" s="1">
        <f>IFERROR(__xludf.DUMMYFUNCTION("""COMPUTED_VALUE"""),45216.66666666667)</f>
        <v>45216.66667</v>
      </c>
      <c r="B920" s="2">
        <f>IFERROR(__xludf.DUMMYFUNCTION("""COMPUTED_VALUE"""),456.0)</f>
        <v>456</v>
      </c>
      <c r="C920" s="2">
        <f>IFERROR(__xludf.DUMMYFUNCTION("""COMPUTED_VALUE"""),482.0)</f>
        <v>482</v>
      </c>
      <c r="D920" s="2">
        <f>IFERROR(__xludf.DUMMYFUNCTION("""COMPUTED_VALUE"""),454.0)</f>
        <v>454</v>
      </c>
      <c r="E920" s="2">
        <f>IFERROR(__xludf.DUMMYFUNCTION("""COMPUTED_VALUE"""),478.0)</f>
        <v>478</v>
      </c>
      <c r="F920" s="2">
        <f>IFERROR(__xludf.DUMMYFUNCTION("""COMPUTED_VALUE"""),3.12541E7)</f>
        <v>31254100</v>
      </c>
      <c r="G920" s="2">
        <f t="shared" si="1"/>
        <v>30</v>
      </c>
    </row>
    <row r="921" ht="15.75" customHeight="1">
      <c r="A921" s="1">
        <f>IFERROR(__xludf.DUMMYFUNCTION("""COMPUTED_VALUE"""),45217.66666666667)</f>
        <v>45217.66667</v>
      </c>
      <c r="B921" s="2">
        <f>IFERROR(__xludf.DUMMYFUNCTION("""COMPUTED_VALUE"""),478.0)</f>
        <v>478</v>
      </c>
      <c r="C921" s="2">
        <f>IFERROR(__xludf.DUMMYFUNCTION("""COMPUTED_VALUE"""),480.0)</f>
        <v>480</v>
      </c>
      <c r="D921" s="2">
        <f>IFERROR(__xludf.DUMMYFUNCTION("""COMPUTED_VALUE"""),464.0)</f>
        <v>464</v>
      </c>
      <c r="E921" s="2">
        <f>IFERROR(__xludf.DUMMYFUNCTION("""COMPUTED_VALUE"""),466.0)</f>
        <v>466</v>
      </c>
      <c r="F921" s="2">
        <f>IFERROR(__xludf.DUMMYFUNCTION("""COMPUTED_VALUE"""),1.11144E7)</f>
        <v>11114400</v>
      </c>
      <c r="G921" s="2">
        <f t="shared" si="1"/>
        <v>16</v>
      </c>
    </row>
    <row r="922" ht="15.75" customHeight="1">
      <c r="A922" s="1">
        <f>IFERROR(__xludf.DUMMYFUNCTION("""COMPUTED_VALUE"""),45218.66666666667)</f>
        <v>45218.66667</v>
      </c>
      <c r="B922" s="2">
        <f>IFERROR(__xludf.DUMMYFUNCTION("""COMPUTED_VALUE"""),468.0)</f>
        <v>468</v>
      </c>
      <c r="C922" s="2">
        <f>IFERROR(__xludf.DUMMYFUNCTION("""COMPUTED_VALUE"""),470.0)</f>
        <v>470</v>
      </c>
      <c r="D922" s="2">
        <f>IFERROR(__xludf.DUMMYFUNCTION("""COMPUTED_VALUE"""),450.0)</f>
        <v>450</v>
      </c>
      <c r="E922" s="2">
        <f>IFERROR(__xludf.DUMMYFUNCTION("""COMPUTED_VALUE"""),452.0)</f>
        <v>452</v>
      </c>
      <c r="F922" s="2">
        <f>IFERROR(__xludf.DUMMYFUNCTION("""COMPUTED_VALUE"""),1.7798E7)</f>
        <v>17798000</v>
      </c>
      <c r="G922" s="2">
        <f t="shared" si="1"/>
        <v>20</v>
      </c>
    </row>
    <row r="923" ht="15.75" customHeight="1">
      <c r="A923" s="1">
        <f>IFERROR(__xludf.DUMMYFUNCTION("""COMPUTED_VALUE"""),45219.66666666667)</f>
        <v>45219.66667</v>
      </c>
      <c r="B923" s="2">
        <f>IFERROR(__xludf.DUMMYFUNCTION("""COMPUTED_VALUE"""),452.0)</f>
        <v>452</v>
      </c>
      <c r="C923" s="2">
        <f>IFERROR(__xludf.DUMMYFUNCTION("""COMPUTED_VALUE"""),460.0)</f>
        <v>460</v>
      </c>
      <c r="D923" s="2">
        <f>IFERROR(__xludf.DUMMYFUNCTION("""COMPUTED_VALUE"""),450.0)</f>
        <v>450</v>
      </c>
      <c r="E923" s="2">
        <f>IFERROR(__xludf.DUMMYFUNCTION("""COMPUTED_VALUE"""),454.0)</f>
        <v>454</v>
      </c>
      <c r="F923" s="2">
        <f>IFERROR(__xludf.DUMMYFUNCTION("""COMPUTED_VALUE"""),8916700.0)</f>
        <v>8916700</v>
      </c>
      <c r="G923" s="2">
        <f t="shared" si="1"/>
        <v>10</v>
      </c>
    </row>
    <row r="924" ht="15.75" customHeight="1">
      <c r="A924" s="1">
        <f>IFERROR(__xludf.DUMMYFUNCTION("""COMPUTED_VALUE"""),45222.66666666667)</f>
        <v>45222.66667</v>
      </c>
      <c r="B924" s="2">
        <f>IFERROR(__xludf.DUMMYFUNCTION("""COMPUTED_VALUE"""),454.0)</f>
        <v>454</v>
      </c>
      <c r="C924" s="2">
        <f>IFERROR(__xludf.DUMMYFUNCTION("""COMPUTED_VALUE"""),458.0)</f>
        <v>458</v>
      </c>
      <c r="D924" s="2">
        <f>IFERROR(__xludf.DUMMYFUNCTION("""COMPUTED_VALUE"""),440.0)</f>
        <v>440</v>
      </c>
      <c r="E924" s="2">
        <f>IFERROR(__xludf.DUMMYFUNCTION("""COMPUTED_VALUE"""),446.0)</f>
        <v>446</v>
      </c>
      <c r="F924" s="2">
        <f>IFERROR(__xludf.DUMMYFUNCTION("""COMPUTED_VALUE"""),1.17753E7)</f>
        <v>11775300</v>
      </c>
      <c r="G924" s="2">
        <f t="shared" si="1"/>
        <v>18</v>
      </c>
    </row>
    <row r="925" ht="15.75" customHeight="1">
      <c r="A925" s="1">
        <f>IFERROR(__xludf.DUMMYFUNCTION("""COMPUTED_VALUE"""),45223.66666666667)</f>
        <v>45223.66667</v>
      </c>
      <c r="B925" s="2">
        <f>IFERROR(__xludf.DUMMYFUNCTION("""COMPUTED_VALUE"""),448.0)</f>
        <v>448</v>
      </c>
      <c r="C925" s="2">
        <f>IFERROR(__xludf.DUMMYFUNCTION("""COMPUTED_VALUE"""),456.0)</f>
        <v>456</v>
      </c>
      <c r="D925" s="2">
        <f>IFERROR(__xludf.DUMMYFUNCTION("""COMPUTED_VALUE"""),444.0)</f>
        <v>444</v>
      </c>
      <c r="E925" s="2">
        <f>IFERROR(__xludf.DUMMYFUNCTION("""COMPUTED_VALUE"""),450.0)</f>
        <v>450</v>
      </c>
      <c r="F925" s="2">
        <f>IFERROR(__xludf.DUMMYFUNCTION("""COMPUTED_VALUE"""),7776800.0)</f>
        <v>7776800</v>
      </c>
      <c r="G925" s="2">
        <f t="shared" si="1"/>
        <v>12</v>
      </c>
    </row>
    <row r="926" ht="15.75" customHeight="1">
      <c r="A926" s="1">
        <f>IFERROR(__xludf.DUMMYFUNCTION("""COMPUTED_VALUE"""),45224.66666666667)</f>
        <v>45224.66667</v>
      </c>
      <c r="B926" s="2">
        <f>IFERROR(__xludf.DUMMYFUNCTION("""COMPUTED_VALUE"""),450.0)</f>
        <v>450</v>
      </c>
      <c r="C926" s="2">
        <f>IFERROR(__xludf.DUMMYFUNCTION("""COMPUTED_VALUE"""),454.0)</f>
        <v>454</v>
      </c>
      <c r="D926" s="2">
        <f>IFERROR(__xludf.DUMMYFUNCTION("""COMPUTED_VALUE"""),444.0)</f>
        <v>444</v>
      </c>
      <c r="E926" s="2">
        <f>IFERROR(__xludf.DUMMYFUNCTION("""COMPUTED_VALUE"""),448.0)</f>
        <v>448</v>
      </c>
      <c r="F926" s="2">
        <f>IFERROR(__xludf.DUMMYFUNCTION("""COMPUTED_VALUE"""),5818300.0)</f>
        <v>5818300</v>
      </c>
      <c r="G926" s="2">
        <f t="shared" si="1"/>
        <v>10</v>
      </c>
    </row>
    <row r="927" ht="15.75" customHeight="1">
      <c r="A927" s="1">
        <f>IFERROR(__xludf.DUMMYFUNCTION("""COMPUTED_VALUE"""),45225.66666666667)</f>
        <v>45225.66667</v>
      </c>
      <c r="B927" s="2">
        <f>IFERROR(__xludf.DUMMYFUNCTION("""COMPUTED_VALUE"""),448.0)</f>
        <v>448</v>
      </c>
      <c r="C927" s="2">
        <f>IFERROR(__xludf.DUMMYFUNCTION("""COMPUTED_VALUE"""),448.0)</f>
        <v>448</v>
      </c>
      <c r="D927" s="2">
        <f>IFERROR(__xludf.DUMMYFUNCTION("""COMPUTED_VALUE"""),414.0)</f>
        <v>414</v>
      </c>
      <c r="E927" s="2">
        <f>IFERROR(__xludf.DUMMYFUNCTION("""COMPUTED_VALUE"""),418.0)</f>
        <v>418</v>
      </c>
      <c r="F927" s="2">
        <f>IFERROR(__xludf.DUMMYFUNCTION("""COMPUTED_VALUE"""),3.42956E7)</f>
        <v>34295600</v>
      </c>
      <c r="G927" s="2">
        <f t="shared" si="1"/>
        <v>34</v>
      </c>
    </row>
    <row r="928" ht="15.75" customHeight="1">
      <c r="A928" s="1">
        <f>IFERROR(__xludf.DUMMYFUNCTION("""COMPUTED_VALUE"""),45226.66666666667)</f>
        <v>45226.66667</v>
      </c>
      <c r="B928" s="2">
        <f>IFERROR(__xludf.DUMMYFUNCTION("""COMPUTED_VALUE"""),418.0)</f>
        <v>418</v>
      </c>
      <c r="C928" s="2">
        <f>IFERROR(__xludf.DUMMYFUNCTION("""COMPUTED_VALUE"""),424.0)</f>
        <v>424</v>
      </c>
      <c r="D928" s="2">
        <f>IFERROR(__xludf.DUMMYFUNCTION("""COMPUTED_VALUE"""),408.0)</f>
        <v>408</v>
      </c>
      <c r="E928" s="2">
        <f>IFERROR(__xludf.DUMMYFUNCTION("""COMPUTED_VALUE"""),412.0)</f>
        <v>412</v>
      </c>
      <c r="F928" s="2">
        <f>IFERROR(__xludf.DUMMYFUNCTION("""COMPUTED_VALUE"""),1.43731E7)</f>
        <v>14373100</v>
      </c>
      <c r="G928" s="2">
        <f t="shared" si="1"/>
        <v>16</v>
      </c>
    </row>
    <row r="929" ht="15.75" customHeight="1">
      <c r="A929" s="1">
        <f>IFERROR(__xludf.DUMMYFUNCTION("""COMPUTED_VALUE"""),45229.66666666667)</f>
        <v>45229.66667</v>
      </c>
      <c r="B929" s="2">
        <f>IFERROR(__xludf.DUMMYFUNCTION("""COMPUTED_VALUE"""),422.0)</f>
        <v>422</v>
      </c>
      <c r="C929" s="2">
        <f>IFERROR(__xludf.DUMMYFUNCTION("""COMPUTED_VALUE"""),424.0)</f>
        <v>424</v>
      </c>
      <c r="D929" s="2">
        <f>IFERROR(__xludf.DUMMYFUNCTION("""COMPUTED_VALUE"""),396.0)</f>
        <v>396</v>
      </c>
      <c r="E929" s="2">
        <f>IFERROR(__xludf.DUMMYFUNCTION("""COMPUTED_VALUE"""),402.0)</f>
        <v>402</v>
      </c>
      <c r="F929" s="2">
        <f>IFERROR(__xludf.DUMMYFUNCTION("""COMPUTED_VALUE"""),1.20541E7)</f>
        <v>12054100</v>
      </c>
      <c r="G929" s="2">
        <f t="shared" si="1"/>
        <v>28</v>
      </c>
    </row>
    <row r="930" ht="15.75" customHeight="1">
      <c r="A930" s="1">
        <f>IFERROR(__xludf.DUMMYFUNCTION("""COMPUTED_VALUE"""),45230.66666666667)</f>
        <v>45230.66667</v>
      </c>
      <c r="B930" s="2">
        <f>IFERROR(__xludf.DUMMYFUNCTION("""COMPUTED_VALUE"""),402.0)</f>
        <v>402</v>
      </c>
      <c r="C930" s="2">
        <f>IFERROR(__xludf.DUMMYFUNCTION("""COMPUTED_VALUE"""),410.0)</f>
        <v>410</v>
      </c>
      <c r="D930" s="2">
        <f>IFERROR(__xludf.DUMMYFUNCTION("""COMPUTED_VALUE"""),398.0)</f>
        <v>398</v>
      </c>
      <c r="E930" s="2">
        <f>IFERROR(__xludf.DUMMYFUNCTION("""COMPUTED_VALUE"""),402.0)</f>
        <v>402</v>
      </c>
      <c r="F930" s="2">
        <f>IFERROR(__xludf.DUMMYFUNCTION("""COMPUTED_VALUE"""),1.02781E7)</f>
        <v>10278100</v>
      </c>
      <c r="G930" s="2">
        <f t="shared" si="1"/>
        <v>12</v>
      </c>
    </row>
    <row r="931" ht="15.75" customHeight="1">
      <c r="A931" s="1">
        <f>IFERROR(__xludf.DUMMYFUNCTION("""COMPUTED_VALUE"""),45231.66666666667)</f>
        <v>45231.66667</v>
      </c>
      <c r="B931" s="2">
        <f>IFERROR(__xludf.DUMMYFUNCTION("""COMPUTED_VALUE"""),404.0)</f>
        <v>404</v>
      </c>
      <c r="C931" s="2">
        <f>IFERROR(__xludf.DUMMYFUNCTION("""COMPUTED_VALUE"""),408.0)</f>
        <v>408</v>
      </c>
      <c r="D931" s="2">
        <f>IFERROR(__xludf.DUMMYFUNCTION("""COMPUTED_VALUE"""),390.0)</f>
        <v>390</v>
      </c>
      <c r="E931" s="2">
        <f>IFERROR(__xludf.DUMMYFUNCTION("""COMPUTED_VALUE"""),392.0)</f>
        <v>392</v>
      </c>
      <c r="F931" s="2">
        <f>IFERROR(__xludf.DUMMYFUNCTION("""COMPUTED_VALUE"""),9856600.0)</f>
        <v>9856600</v>
      </c>
      <c r="G931" s="2">
        <f t="shared" si="1"/>
        <v>18</v>
      </c>
    </row>
    <row r="932" ht="15.75" customHeight="1">
      <c r="A932" s="1">
        <f>IFERROR(__xludf.DUMMYFUNCTION("""COMPUTED_VALUE"""),45232.66666666667)</f>
        <v>45232.66667</v>
      </c>
      <c r="B932" s="2">
        <f>IFERROR(__xludf.DUMMYFUNCTION("""COMPUTED_VALUE"""),392.0)</f>
        <v>392</v>
      </c>
      <c r="C932" s="2">
        <f>IFERROR(__xludf.DUMMYFUNCTION("""COMPUTED_VALUE"""),406.0)</f>
        <v>406</v>
      </c>
      <c r="D932" s="2">
        <f>IFERROR(__xludf.DUMMYFUNCTION("""COMPUTED_VALUE"""),392.0)</f>
        <v>392</v>
      </c>
      <c r="E932" s="2">
        <f>IFERROR(__xludf.DUMMYFUNCTION("""COMPUTED_VALUE"""),402.0)</f>
        <v>402</v>
      </c>
      <c r="F932" s="2">
        <f>IFERROR(__xludf.DUMMYFUNCTION("""COMPUTED_VALUE"""),8287600.0)</f>
        <v>8287600</v>
      </c>
      <c r="G932" s="2">
        <f t="shared" si="1"/>
        <v>14</v>
      </c>
    </row>
    <row r="933" ht="15.75" customHeight="1">
      <c r="A933" s="1">
        <f>IFERROR(__xludf.DUMMYFUNCTION("""COMPUTED_VALUE"""),45233.66666666667)</f>
        <v>45233.66667</v>
      </c>
      <c r="B933" s="2">
        <f>IFERROR(__xludf.DUMMYFUNCTION("""COMPUTED_VALUE"""),402.0)</f>
        <v>402</v>
      </c>
      <c r="C933" s="2">
        <f>IFERROR(__xludf.DUMMYFUNCTION("""COMPUTED_VALUE"""),424.0)</f>
        <v>424</v>
      </c>
      <c r="D933" s="2">
        <f>IFERROR(__xludf.DUMMYFUNCTION("""COMPUTED_VALUE"""),402.0)</f>
        <v>402</v>
      </c>
      <c r="E933" s="2">
        <f>IFERROR(__xludf.DUMMYFUNCTION("""COMPUTED_VALUE"""),416.0)</f>
        <v>416</v>
      </c>
      <c r="F933" s="2">
        <f>IFERROR(__xludf.DUMMYFUNCTION("""COMPUTED_VALUE"""),1.87431E7)</f>
        <v>18743100</v>
      </c>
      <c r="G933" s="2">
        <f t="shared" si="1"/>
        <v>22</v>
      </c>
    </row>
    <row r="934" ht="15.75" customHeight="1">
      <c r="A934" s="1">
        <f>IFERROR(__xludf.DUMMYFUNCTION("""COMPUTED_VALUE"""),45236.66666666667)</f>
        <v>45236.66667</v>
      </c>
      <c r="B934" s="2">
        <f>IFERROR(__xludf.DUMMYFUNCTION("""COMPUTED_VALUE"""),418.0)</f>
        <v>418</v>
      </c>
      <c r="C934" s="2">
        <f>IFERROR(__xludf.DUMMYFUNCTION("""COMPUTED_VALUE"""),424.0)</f>
        <v>424</v>
      </c>
      <c r="D934" s="2">
        <f>IFERROR(__xludf.DUMMYFUNCTION("""COMPUTED_VALUE"""),412.0)</f>
        <v>412</v>
      </c>
      <c r="E934" s="2">
        <f>IFERROR(__xludf.DUMMYFUNCTION("""COMPUTED_VALUE"""),414.0)</f>
        <v>414</v>
      </c>
      <c r="F934" s="2">
        <f>IFERROR(__xludf.DUMMYFUNCTION("""COMPUTED_VALUE"""),7231200.0)</f>
        <v>7231200</v>
      </c>
      <c r="G934" s="2">
        <f t="shared" si="1"/>
        <v>12</v>
      </c>
    </row>
    <row r="935" ht="15.75" customHeight="1">
      <c r="A935" s="1">
        <f>IFERROR(__xludf.DUMMYFUNCTION("""COMPUTED_VALUE"""),45237.66666666667)</f>
        <v>45237.66667</v>
      </c>
      <c r="B935" s="2">
        <f>IFERROR(__xludf.DUMMYFUNCTION("""COMPUTED_VALUE"""),416.0)</f>
        <v>416</v>
      </c>
      <c r="C935" s="2">
        <f>IFERROR(__xludf.DUMMYFUNCTION("""COMPUTED_VALUE"""),418.0)</f>
        <v>418</v>
      </c>
      <c r="D935" s="2">
        <f>IFERROR(__xludf.DUMMYFUNCTION("""COMPUTED_VALUE"""),406.0)</f>
        <v>406</v>
      </c>
      <c r="E935" s="2">
        <f>IFERROR(__xludf.DUMMYFUNCTION("""COMPUTED_VALUE"""),406.0)</f>
        <v>406</v>
      </c>
      <c r="F935" s="2">
        <f>IFERROR(__xludf.DUMMYFUNCTION("""COMPUTED_VALUE"""),4939400.0)</f>
        <v>4939400</v>
      </c>
      <c r="G935" s="2">
        <f t="shared" si="1"/>
        <v>12</v>
      </c>
    </row>
    <row r="936" ht="15.75" customHeight="1">
      <c r="A936" s="1">
        <f>IFERROR(__xludf.DUMMYFUNCTION("""COMPUTED_VALUE"""),45238.66666666667)</f>
        <v>45238.66667</v>
      </c>
      <c r="B936" s="2">
        <f>IFERROR(__xludf.DUMMYFUNCTION("""COMPUTED_VALUE"""),406.0)</f>
        <v>406</v>
      </c>
      <c r="C936" s="2">
        <f>IFERROR(__xludf.DUMMYFUNCTION("""COMPUTED_VALUE"""),418.0)</f>
        <v>418</v>
      </c>
      <c r="D936" s="2">
        <f>IFERROR(__xludf.DUMMYFUNCTION("""COMPUTED_VALUE"""),398.0)</f>
        <v>398</v>
      </c>
      <c r="E936" s="2">
        <f>IFERROR(__xludf.DUMMYFUNCTION("""COMPUTED_VALUE"""),406.0)</f>
        <v>406</v>
      </c>
      <c r="F936" s="2">
        <f>IFERROR(__xludf.DUMMYFUNCTION("""COMPUTED_VALUE"""),1.17357E7)</f>
        <v>11735700</v>
      </c>
      <c r="G936" s="2">
        <f t="shared" si="1"/>
        <v>20</v>
      </c>
    </row>
    <row r="937" ht="15.75" customHeight="1">
      <c r="A937" s="1">
        <f>IFERROR(__xludf.DUMMYFUNCTION("""COMPUTED_VALUE"""),45239.66666666667)</f>
        <v>45239.66667</v>
      </c>
      <c r="B937" s="2">
        <f>IFERROR(__xludf.DUMMYFUNCTION("""COMPUTED_VALUE"""),408.0)</f>
        <v>408</v>
      </c>
      <c r="C937" s="2">
        <f>IFERROR(__xludf.DUMMYFUNCTION("""COMPUTED_VALUE"""),416.0)</f>
        <v>416</v>
      </c>
      <c r="D937" s="2">
        <f>IFERROR(__xludf.DUMMYFUNCTION("""COMPUTED_VALUE"""),404.0)</f>
        <v>404</v>
      </c>
      <c r="E937" s="2">
        <f>IFERROR(__xludf.DUMMYFUNCTION("""COMPUTED_VALUE"""),406.0)</f>
        <v>406</v>
      </c>
      <c r="F937" s="2">
        <f>IFERROR(__xludf.DUMMYFUNCTION("""COMPUTED_VALUE"""),6018800.0)</f>
        <v>6018800</v>
      </c>
      <c r="G937" s="2">
        <f t="shared" si="1"/>
        <v>12</v>
      </c>
    </row>
    <row r="938" ht="15.75" customHeight="1">
      <c r="A938" s="1">
        <f>IFERROR(__xludf.DUMMYFUNCTION("""COMPUTED_VALUE"""),45240.66666666667)</f>
        <v>45240.66667</v>
      </c>
      <c r="B938" s="2">
        <f>IFERROR(__xludf.DUMMYFUNCTION("""COMPUTED_VALUE"""),406.0)</f>
        <v>406</v>
      </c>
      <c r="C938" s="2">
        <f>IFERROR(__xludf.DUMMYFUNCTION("""COMPUTED_VALUE"""),408.0)</f>
        <v>408</v>
      </c>
      <c r="D938" s="2">
        <f>IFERROR(__xludf.DUMMYFUNCTION("""COMPUTED_VALUE"""),398.0)</f>
        <v>398</v>
      </c>
      <c r="E938" s="2">
        <f>IFERROR(__xludf.DUMMYFUNCTION("""COMPUTED_VALUE"""),400.0)</f>
        <v>400</v>
      </c>
      <c r="F938" s="2">
        <f>IFERROR(__xludf.DUMMYFUNCTION("""COMPUTED_VALUE"""),4951700.0)</f>
        <v>4951700</v>
      </c>
      <c r="G938" s="2">
        <f t="shared" si="1"/>
        <v>10</v>
      </c>
    </row>
    <row r="939" ht="15.75" customHeight="1">
      <c r="A939" s="1">
        <f>IFERROR(__xludf.DUMMYFUNCTION("""COMPUTED_VALUE"""),45243.66666666667)</f>
        <v>45243.66667</v>
      </c>
      <c r="B939" s="2">
        <f>IFERROR(__xludf.DUMMYFUNCTION("""COMPUTED_VALUE"""),402.0)</f>
        <v>402</v>
      </c>
      <c r="C939" s="2">
        <f>IFERROR(__xludf.DUMMYFUNCTION("""COMPUTED_VALUE"""),406.0)</f>
        <v>406</v>
      </c>
      <c r="D939" s="2">
        <f>IFERROR(__xludf.DUMMYFUNCTION("""COMPUTED_VALUE"""),394.0)</f>
        <v>394</v>
      </c>
      <c r="E939" s="2">
        <f>IFERROR(__xludf.DUMMYFUNCTION("""COMPUTED_VALUE"""),394.0)</f>
        <v>394</v>
      </c>
      <c r="F939" s="2">
        <f>IFERROR(__xludf.DUMMYFUNCTION("""COMPUTED_VALUE"""),6098000.0)</f>
        <v>6098000</v>
      </c>
      <c r="G939" s="2">
        <f t="shared" si="1"/>
        <v>12</v>
      </c>
    </row>
    <row r="940" ht="15.75" customHeight="1">
      <c r="A940" s="1">
        <f>IFERROR(__xludf.DUMMYFUNCTION("""COMPUTED_VALUE"""),45244.66666666667)</f>
        <v>45244.66667</v>
      </c>
      <c r="B940" s="2">
        <f>IFERROR(__xludf.DUMMYFUNCTION("""COMPUTED_VALUE"""),394.0)</f>
        <v>394</v>
      </c>
      <c r="C940" s="2">
        <f>IFERROR(__xludf.DUMMYFUNCTION("""COMPUTED_VALUE"""),404.0)</f>
        <v>404</v>
      </c>
      <c r="D940" s="2">
        <f>IFERROR(__xludf.DUMMYFUNCTION("""COMPUTED_VALUE"""),390.0)</f>
        <v>390</v>
      </c>
      <c r="E940" s="2">
        <f>IFERROR(__xludf.DUMMYFUNCTION("""COMPUTED_VALUE"""),394.0)</f>
        <v>394</v>
      </c>
      <c r="F940" s="2">
        <f>IFERROR(__xludf.DUMMYFUNCTION("""COMPUTED_VALUE"""),1.70468E7)</f>
        <v>17046800</v>
      </c>
      <c r="G940" s="2">
        <f t="shared" si="1"/>
        <v>14</v>
      </c>
    </row>
    <row r="941" ht="15.75" customHeight="1">
      <c r="A941" s="1">
        <f>IFERROR(__xludf.DUMMYFUNCTION("""COMPUTED_VALUE"""),45245.66666666667)</f>
        <v>45245.66667</v>
      </c>
      <c r="B941" s="2">
        <f>IFERROR(__xludf.DUMMYFUNCTION("""COMPUTED_VALUE"""),396.0)</f>
        <v>396</v>
      </c>
      <c r="C941" s="2">
        <f>IFERROR(__xludf.DUMMYFUNCTION("""COMPUTED_VALUE"""),404.0)</f>
        <v>404</v>
      </c>
      <c r="D941" s="2">
        <f>IFERROR(__xludf.DUMMYFUNCTION("""COMPUTED_VALUE"""),396.0)</f>
        <v>396</v>
      </c>
      <c r="E941" s="2">
        <f>IFERROR(__xludf.DUMMYFUNCTION("""COMPUTED_VALUE"""),404.0)</f>
        <v>404</v>
      </c>
      <c r="F941" s="2">
        <f>IFERROR(__xludf.DUMMYFUNCTION("""COMPUTED_VALUE"""),8574200.0)</f>
        <v>8574200</v>
      </c>
      <c r="G941" s="2">
        <f t="shared" si="1"/>
        <v>10</v>
      </c>
    </row>
    <row r="942" ht="15.75" customHeight="1">
      <c r="A942" s="1">
        <f>IFERROR(__xludf.DUMMYFUNCTION("""COMPUTED_VALUE"""),45246.66666666667)</f>
        <v>45246.66667</v>
      </c>
      <c r="B942" s="2">
        <f>IFERROR(__xludf.DUMMYFUNCTION("""COMPUTED_VALUE"""),404.0)</f>
        <v>404</v>
      </c>
      <c r="C942" s="2">
        <f>IFERROR(__xludf.DUMMYFUNCTION("""COMPUTED_VALUE"""),420.0)</f>
        <v>420</v>
      </c>
      <c r="D942" s="2">
        <f>IFERROR(__xludf.DUMMYFUNCTION("""COMPUTED_VALUE"""),402.0)</f>
        <v>402</v>
      </c>
      <c r="E942" s="2">
        <f>IFERROR(__xludf.DUMMYFUNCTION("""COMPUTED_VALUE"""),414.0)</f>
        <v>414</v>
      </c>
      <c r="F942" s="2">
        <f>IFERROR(__xludf.DUMMYFUNCTION("""COMPUTED_VALUE"""),1.85093E7)</f>
        <v>18509300</v>
      </c>
      <c r="G942" s="2">
        <f t="shared" si="1"/>
        <v>18</v>
      </c>
    </row>
    <row r="943" ht="15.75" customHeight="1">
      <c r="A943" s="1">
        <f>IFERROR(__xludf.DUMMYFUNCTION("""COMPUTED_VALUE"""),45247.66666666667)</f>
        <v>45247.66667</v>
      </c>
      <c r="B943" s="2">
        <f>IFERROR(__xludf.DUMMYFUNCTION("""COMPUTED_VALUE"""),416.0)</f>
        <v>416</v>
      </c>
      <c r="C943" s="2">
        <f>IFERROR(__xludf.DUMMYFUNCTION("""COMPUTED_VALUE"""),426.0)</f>
        <v>426</v>
      </c>
      <c r="D943" s="2">
        <f>IFERROR(__xludf.DUMMYFUNCTION("""COMPUTED_VALUE"""),412.0)</f>
        <v>412</v>
      </c>
      <c r="E943" s="2">
        <f>IFERROR(__xludf.DUMMYFUNCTION("""COMPUTED_VALUE"""),412.0)</f>
        <v>412</v>
      </c>
      <c r="F943" s="2">
        <f>IFERROR(__xludf.DUMMYFUNCTION("""COMPUTED_VALUE"""),2.73406E7)</f>
        <v>27340600</v>
      </c>
      <c r="G943" s="2">
        <f t="shared" si="1"/>
        <v>14</v>
      </c>
    </row>
    <row r="944" ht="15.75" customHeight="1">
      <c r="A944" s="1">
        <f>IFERROR(__xludf.DUMMYFUNCTION("""COMPUTED_VALUE"""),45250.66666666667)</f>
        <v>45250.66667</v>
      </c>
      <c r="B944" s="2">
        <f>IFERROR(__xludf.DUMMYFUNCTION("""COMPUTED_VALUE"""),414.0)</f>
        <v>414</v>
      </c>
      <c r="C944" s="2">
        <f>IFERROR(__xludf.DUMMYFUNCTION("""COMPUTED_VALUE"""),420.0)</f>
        <v>420</v>
      </c>
      <c r="D944" s="2">
        <f>IFERROR(__xludf.DUMMYFUNCTION("""COMPUTED_VALUE"""),406.0)</f>
        <v>406</v>
      </c>
      <c r="E944" s="2">
        <f>IFERROR(__xludf.DUMMYFUNCTION("""COMPUTED_VALUE"""),410.0)</f>
        <v>410</v>
      </c>
      <c r="F944" s="2">
        <f>IFERROR(__xludf.DUMMYFUNCTION("""COMPUTED_VALUE"""),1.4643E7)</f>
        <v>14643000</v>
      </c>
      <c r="G944" s="2">
        <f t="shared" si="1"/>
        <v>14</v>
      </c>
    </row>
    <row r="945" ht="15.75" customHeight="1">
      <c r="A945" s="1">
        <f>IFERROR(__xludf.DUMMYFUNCTION("""COMPUTED_VALUE"""),45251.66666666667)</f>
        <v>45251.66667</v>
      </c>
      <c r="B945" s="2">
        <f>IFERROR(__xludf.DUMMYFUNCTION("""COMPUTED_VALUE"""),412.0)</f>
        <v>412</v>
      </c>
      <c r="C945" s="2">
        <f>IFERROR(__xludf.DUMMYFUNCTION("""COMPUTED_VALUE"""),414.0)</f>
        <v>414</v>
      </c>
      <c r="D945" s="2">
        <f>IFERROR(__xludf.DUMMYFUNCTION("""COMPUTED_VALUE"""),402.0)</f>
        <v>402</v>
      </c>
      <c r="E945" s="2">
        <f>IFERROR(__xludf.DUMMYFUNCTION("""COMPUTED_VALUE"""),404.0)</f>
        <v>404</v>
      </c>
      <c r="F945" s="2">
        <f>IFERROR(__xludf.DUMMYFUNCTION("""COMPUTED_VALUE"""),8577800.0)</f>
        <v>8577800</v>
      </c>
      <c r="G945" s="2">
        <f t="shared" si="1"/>
        <v>12</v>
      </c>
    </row>
    <row r="946" ht="15.75" customHeight="1">
      <c r="A946" s="1">
        <f>IFERROR(__xludf.DUMMYFUNCTION("""COMPUTED_VALUE"""),45252.66666666667)</f>
        <v>45252.66667</v>
      </c>
      <c r="B946" s="2">
        <f>IFERROR(__xludf.DUMMYFUNCTION("""COMPUTED_VALUE"""),404.0)</f>
        <v>404</v>
      </c>
      <c r="C946" s="2">
        <f>IFERROR(__xludf.DUMMYFUNCTION("""COMPUTED_VALUE"""),406.0)</f>
        <v>406</v>
      </c>
      <c r="D946" s="2">
        <f>IFERROR(__xludf.DUMMYFUNCTION("""COMPUTED_VALUE"""),396.0)</f>
        <v>396</v>
      </c>
      <c r="E946" s="2">
        <f>IFERROR(__xludf.DUMMYFUNCTION("""COMPUTED_VALUE"""),398.0)</f>
        <v>398</v>
      </c>
      <c r="F946" s="2">
        <f>IFERROR(__xludf.DUMMYFUNCTION("""COMPUTED_VALUE"""),6210300.0)</f>
        <v>6210300</v>
      </c>
      <c r="G946" s="2">
        <f t="shared" si="1"/>
        <v>10</v>
      </c>
    </row>
    <row r="947" ht="15.75" customHeight="1">
      <c r="A947" s="1">
        <f>IFERROR(__xludf.DUMMYFUNCTION("""COMPUTED_VALUE"""),45253.66666666667)</f>
        <v>45253.66667</v>
      </c>
      <c r="B947" s="2">
        <f>IFERROR(__xludf.DUMMYFUNCTION("""COMPUTED_VALUE"""),400.0)</f>
        <v>400</v>
      </c>
      <c r="C947" s="2">
        <f>IFERROR(__xludf.DUMMYFUNCTION("""COMPUTED_VALUE"""),406.0)</f>
        <v>406</v>
      </c>
      <c r="D947" s="2">
        <f>IFERROR(__xludf.DUMMYFUNCTION("""COMPUTED_VALUE"""),394.0)</f>
        <v>394</v>
      </c>
      <c r="E947" s="2">
        <f>IFERROR(__xludf.DUMMYFUNCTION("""COMPUTED_VALUE"""),400.0)</f>
        <v>400</v>
      </c>
      <c r="F947" s="2">
        <f>IFERROR(__xludf.DUMMYFUNCTION("""COMPUTED_VALUE"""),1.06089E7)</f>
        <v>10608900</v>
      </c>
      <c r="G947" s="2">
        <f t="shared" si="1"/>
        <v>12</v>
      </c>
    </row>
    <row r="948" ht="15.75" customHeight="1">
      <c r="A948" s="1">
        <f>IFERROR(__xludf.DUMMYFUNCTION("""COMPUTED_VALUE"""),45254.66666666667)</f>
        <v>45254.66667</v>
      </c>
      <c r="B948" s="2">
        <f>IFERROR(__xludf.DUMMYFUNCTION("""COMPUTED_VALUE"""),400.0)</f>
        <v>400</v>
      </c>
      <c r="C948" s="2">
        <f>IFERROR(__xludf.DUMMYFUNCTION("""COMPUTED_VALUE"""),402.0)</f>
        <v>402</v>
      </c>
      <c r="D948" s="2">
        <f>IFERROR(__xludf.DUMMYFUNCTION("""COMPUTED_VALUE"""),392.0)</f>
        <v>392</v>
      </c>
      <c r="E948" s="2">
        <f>IFERROR(__xludf.DUMMYFUNCTION("""COMPUTED_VALUE"""),394.0)</f>
        <v>394</v>
      </c>
      <c r="F948" s="2">
        <f>IFERROR(__xludf.DUMMYFUNCTION("""COMPUTED_VALUE"""),1.44951E7)</f>
        <v>14495100</v>
      </c>
      <c r="G948" s="2">
        <f t="shared" si="1"/>
        <v>10</v>
      </c>
    </row>
    <row r="949" ht="15.75" customHeight="1">
      <c r="A949" s="1">
        <f>IFERROR(__xludf.DUMMYFUNCTION("""COMPUTED_VALUE"""),45257.66666666667)</f>
        <v>45257.66667</v>
      </c>
      <c r="B949" s="2">
        <f>IFERROR(__xludf.DUMMYFUNCTION("""COMPUTED_VALUE"""),394.0)</f>
        <v>394</v>
      </c>
      <c r="C949" s="2">
        <f>IFERROR(__xludf.DUMMYFUNCTION("""COMPUTED_VALUE"""),402.0)</f>
        <v>402</v>
      </c>
      <c r="D949" s="2">
        <f>IFERROR(__xludf.DUMMYFUNCTION("""COMPUTED_VALUE"""),392.0)</f>
        <v>392</v>
      </c>
      <c r="E949" s="2">
        <f>IFERROR(__xludf.DUMMYFUNCTION("""COMPUTED_VALUE"""),394.0)</f>
        <v>394</v>
      </c>
      <c r="F949" s="2">
        <f>IFERROR(__xludf.DUMMYFUNCTION("""COMPUTED_VALUE"""),1.37318E7)</f>
        <v>13731800</v>
      </c>
      <c r="G949" s="2">
        <f t="shared" si="1"/>
        <v>10</v>
      </c>
    </row>
    <row r="950" ht="15.75" customHeight="1">
      <c r="A950" s="1">
        <f>IFERROR(__xludf.DUMMYFUNCTION("""COMPUTED_VALUE"""),45258.66666666667)</f>
        <v>45258.66667</v>
      </c>
      <c r="B950" s="2">
        <f>IFERROR(__xludf.DUMMYFUNCTION("""COMPUTED_VALUE"""),394.0)</f>
        <v>394</v>
      </c>
      <c r="C950" s="2">
        <f>IFERROR(__xludf.DUMMYFUNCTION("""COMPUTED_VALUE"""),408.0)</f>
        <v>408</v>
      </c>
      <c r="D950" s="2">
        <f>IFERROR(__xludf.DUMMYFUNCTION("""COMPUTED_VALUE"""),394.0)</f>
        <v>394</v>
      </c>
      <c r="E950" s="2">
        <f>IFERROR(__xludf.DUMMYFUNCTION("""COMPUTED_VALUE"""),404.0)</f>
        <v>404</v>
      </c>
      <c r="F950" s="2">
        <f>IFERROR(__xludf.DUMMYFUNCTION("""COMPUTED_VALUE"""),3.73866E7)</f>
        <v>37386600</v>
      </c>
      <c r="G950" s="2">
        <f t="shared" si="1"/>
        <v>14</v>
      </c>
    </row>
    <row r="951" ht="15.75" customHeight="1">
      <c r="A951" s="1">
        <f>IFERROR(__xludf.DUMMYFUNCTION("""COMPUTED_VALUE"""),45259.66666666667)</f>
        <v>45259.66667</v>
      </c>
      <c r="B951" s="2">
        <f>IFERROR(__xludf.DUMMYFUNCTION("""COMPUTED_VALUE"""),404.0)</f>
        <v>404</v>
      </c>
      <c r="C951" s="2">
        <f>IFERROR(__xludf.DUMMYFUNCTION("""COMPUTED_VALUE"""),406.0)</f>
        <v>406</v>
      </c>
      <c r="D951" s="2">
        <f>IFERROR(__xludf.DUMMYFUNCTION("""COMPUTED_VALUE"""),396.0)</f>
        <v>396</v>
      </c>
      <c r="E951" s="2">
        <f>IFERROR(__xludf.DUMMYFUNCTION("""COMPUTED_VALUE"""),396.0)</f>
        <v>396</v>
      </c>
      <c r="F951" s="2">
        <f>IFERROR(__xludf.DUMMYFUNCTION("""COMPUTED_VALUE"""),1.1718E7)</f>
        <v>11718000</v>
      </c>
      <c r="G951" s="2">
        <f t="shared" si="1"/>
        <v>10</v>
      </c>
    </row>
    <row r="952" ht="15.75" customHeight="1">
      <c r="A952" s="1">
        <f>IFERROR(__xludf.DUMMYFUNCTION("""COMPUTED_VALUE"""),45260.66666666667)</f>
        <v>45260.66667</v>
      </c>
      <c r="B952" s="2">
        <f>IFERROR(__xludf.DUMMYFUNCTION("""COMPUTED_VALUE"""),396.0)</f>
        <v>396</v>
      </c>
      <c r="C952" s="2">
        <f>IFERROR(__xludf.DUMMYFUNCTION("""COMPUTED_VALUE"""),400.0)</f>
        <v>400</v>
      </c>
      <c r="D952" s="2">
        <f>IFERROR(__xludf.DUMMYFUNCTION("""COMPUTED_VALUE"""),390.0)</f>
        <v>390</v>
      </c>
      <c r="E952" s="2">
        <f>IFERROR(__xludf.DUMMYFUNCTION("""COMPUTED_VALUE"""),392.0)</f>
        <v>392</v>
      </c>
      <c r="F952" s="2">
        <f>IFERROR(__xludf.DUMMYFUNCTION("""COMPUTED_VALUE"""),1.73194E7)</f>
        <v>17319400</v>
      </c>
      <c r="G952" s="2">
        <f t="shared" si="1"/>
        <v>10</v>
      </c>
    </row>
    <row r="953" ht="15.75" customHeight="1">
      <c r="A953" s="1">
        <f>IFERROR(__xludf.DUMMYFUNCTION("""COMPUTED_VALUE"""),45261.66666666667)</f>
        <v>45261.66667</v>
      </c>
      <c r="B953" s="2">
        <f>IFERROR(__xludf.DUMMYFUNCTION("""COMPUTED_VALUE"""),392.0)</f>
        <v>392</v>
      </c>
      <c r="C953" s="2">
        <f>IFERROR(__xludf.DUMMYFUNCTION("""COMPUTED_VALUE"""),394.0)</f>
        <v>394</v>
      </c>
      <c r="D953" s="2">
        <f>IFERROR(__xludf.DUMMYFUNCTION("""COMPUTED_VALUE"""),380.0)</f>
        <v>380</v>
      </c>
      <c r="E953" s="2">
        <f>IFERROR(__xludf.DUMMYFUNCTION("""COMPUTED_VALUE"""),382.0)</f>
        <v>382</v>
      </c>
      <c r="F953" s="2">
        <f>IFERROR(__xludf.DUMMYFUNCTION("""COMPUTED_VALUE"""),3.20258E7)</f>
        <v>32025800</v>
      </c>
      <c r="G953" s="2">
        <f t="shared" si="1"/>
        <v>14</v>
      </c>
    </row>
    <row r="954" ht="15.75" customHeight="1">
      <c r="A954" s="1">
        <f>IFERROR(__xludf.DUMMYFUNCTION("""COMPUTED_VALUE"""),45264.66666666667)</f>
        <v>45264.66667</v>
      </c>
      <c r="B954" s="2">
        <f>IFERROR(__xludf.DUMMYFUNCTION("""COMPUTED_VALUE"""),382.0)</f>
        <v>382</v>
      </c>
      <c r="C954" s="2">
        <f>IFERROR(__xludf.DUMMYFUNCTION("""COMPUTED_VALUE"""),388.0)</f>
        <v>388</v>
      </c>
      <c r="D954" s="2">
        <f>IFERROR(__xludf.DUMMYFUNCTION("""COMPUTED_VALUE"""),376.0)</f>
        <v>376</v>
      </c>
      <c r="E954" s="2">
        <f>IFERROR(__xludf.DUMMYFUNCTION("""COMPUTED_VALUE"""),376.0)</f>
        <v>376</v>
      </c>
      <c r="F954" s="2">
        <f>IFERROR(__xludf.DUMMYFUNCTION("""COMPUTED_VALUE"""),2.16099E7)</f>
        <v>21609900</v>
      </c>
      <c r="G954" s="2">
        <f t="shared" si="1"/>
        <v>12</v>
      </c>
    </row>
    <row r="955" ht="15.75" customHeight="1">
      <c r="A955" s="1">
        <f>IFERROR(__xludf.DUMMYFUNCTION("""COMPUTED_VALUE"""),45265.66666666667)</f>
        <v>45265.66667</v>
      </c>
      <c r="B955" s="2">
        <f>IFERROR(__xludf.DUMMYFUNCTION("""COMPUTED_VALUE"""),376.0)</f>
        <v>376</v>
      </c>
      <c r="C955" s="2">
        <f>IFERROR(__xludf.DUMMYFUNCTION("""COMPUTED_VALUE"""),384.0)</f>
        <v>384</v>
      </c>
      <c r="D955" s="2">
        <f>IFERROR(__xludf.DUMMYFUNCTION("""COMPUTED_VALUE"""),372.0)</f>
        <v>372</v>
      </c>
      <c r="E955" s="2">
        <f>IFERROR(__xludf.DUMMYFUNCTION("""COMPUTED_VALUE"""),372.0)</f>
        <v>372</v>
      </c>
      <c r="F955" s="2">
        <f>IFERROR(__xludf.DUMMYFUNCTION("""COMPUTED_VALUE"""),7596900.0)</f>
        <v>7596900</v>
      </c>
      <c r="G955" s="2">
        <f t="shared" si="1"/>
        <v>12</v>
      </c>
    </row>
    <row r="956" ht="15.75" customHeight="1">
      <c r="A956" s="1">
        <f>IFERROR(__xludf.DUMMYFUNCTION("""COMPUTED_VALUE"""),45266.66666666667)</f>
        <v>45266.66667</v>
      </c>
      <c r="B956" s="2">
        <f>IFERROR(__xludf.DUMMYFUNCTION("""COMPUTED_VALUE"""),376.0)</f>
        <v>376</v>
      </c>
      <c r="C956" s="2">
        <f>IFERROR(__xludf.DUMMYFUNCTION("""COMPUTED_VALUE"""),380.0)</f>
        <v>380</v>
      </c>
      <c r="D956" s="2">
        <f>IFERROR(__xludf.DUMMYFUNCTION("""COMPUTED_VALUE"""),366.0)</f>
        <v>366</v>
      </c>
      <c r="E956" s="2">
        <f>IFERROR(__xludf.DUMMYFUNCTION("""COMPUTED_VALUE"""),368.0)</f>
        <v>368</v>
      </c>
      <c r="F956" s="2">
        <f>IFERROR(__xludf.DUMMYFUNCTION("""COMPUTED_VALUE"""),1.49892E7)</f>
        <v>14989200</v>
      </c>
      <c r="G956" s="2">
        <f t="shared" si="1"/>
        <v>14</v>
      </c>
    </row>
    <row r="957" ht="15.75" customHeight="1">
      <c r="A957" s="1">
        <f>IFERROR(__xludf.DUMMYFUNCTION("""COMPUTED_VALUE"""),45267.66666666667)</f>
        <v>45267.66667</v>
      </c>
      <c r="B957" s="2">
        <f>IFERROR(__xludf.DUMMYFUNCTION("""COMPUTED_VALUE"""),368.0)</f>
        <v>368</v>
      </c>
      <c r="C957" s="2">
        <f>IFERROR(__xludf.DUMMYFUNCTION("""COMPUTED_VALUE"""),370.0)</f>
        <v>370</v>
      </c>
      <c r="D957" s="2">
        <f>IFERROR(__xludf.DUMMYFUNCTION("""COMPUTED_VALUE"""),352.0)</f>
        <v>352</v>
      </c>
      <c r="E957" s="2">
        <f>IFERROR(__xludf.DUMMYFUNCTION("""COMPUTED_VALUE"""),354.0)</f>
        <v>354</v>
      </c>
      <c r="F957" s="2">
        <f>IFERROR(__xludf.DUMMYFUNCTION("""COMPUTED_VALUE"""),1.95489E7)</f>
        <v>19548900</v>
      </c>
      <c r="G957" s="2">
        <f t="shared" si="1"/>
        <v>18</v>
      </c>
    </row>
    <row r="958" ht="15.75" customHeight="1">
      <c r="A958" s="1">
        <f>IFERROR(__xludf.DUMMYFUNCTION("""COMPUTED_VALUE"""),45268.66666666667)</f>
        <v>45268.66667</v>
      </c>
      <c r="B958" s="2">
        <f>IFERROR(__xludf.DUMMYFUNCTION("""COMPUTED_VALUE"""),354.0)</f>
        <v>354</v>
      </c>
      <c r="C958" s="2">
        <f>IFERROR(__xludf.DUMMYFUNCTION("""COMPUTED_VALUE"""),356.0)</f>
        <v>356</v>
      </c>
      <c r="D958" s="2">
        <f>IFERROR(__xludf.DUMMYFUNCTION("""COMPUTED_VALUE"""),350.0)</f>
        <v>350</v>
      </c>
      <c r="E958" s="2">
        <f>IFERROR(__xludf.DUMMYFUNCTION("""COMPUTED_VALUE"""),350.0)</f>
        <v>350</v>
      </c>
      <c r="F958" s="2">
        <f>IFERROR(__xludf.DUMMYFUNCTION("""COMPUTED_VALUE"""),1.49192E7)</f>
        <v>14919200</v>
      </c>
      <c r="G958" s="2">
        <f t="shared" si="1"/>
        <v>6</v>
      </c>
    </row>
    <row r="959" ht="15.75" customHeight="1">
      <c r="A959" s="1">
        <f>IFERROR(__xludf.DUMMYFUNCTION("""COMPUTED_VALUE"""),45271.66666666667)</f>
        <v>45271.66667</v>
      </c>
      <c r="B959" s="2">
        <f>IFERROR(__xludf.DUMMYFUNCTION("""COMPUTED_VALUE"""),352.0)</f>
        <v>352</v>
      </c>
      <c r="C959" s="2">
        <f>IFERROR(__xludf.DUMMYFUNCTION("""COMPUTED_VALUE"""),356.0)</f>
        <v>356</v>
      </c>
      <c r="D959" s="2">
        <f>IFERROR(__xludf.DUMMYFUNCTION("""COMPUTED_VALUE"""),336.0)</f>
        <v>336</v>
      </c>
      <c r="E959" s="2">
        <f>IFERROR(__xludf.DUMMYFUNCTION("""COMPUTED_VALUE"""),338.0)</f>
        <v>338</v>
      </c>
      <c r="F959" s="2">
        <f>IFERROR(__xludf.DUMMYFUNCTION("""COMPUTED_VALUE"""),2.45945E7)</f>
        <v>24594500</v>
      </c>
      <c r="G959" s="2">
        <f t="shared" si="1"/>
        <v>20</v>
      </c>
    </row>
    <row r="960" ht="15.75" customHeight="1">
      <c r="A960" s="1">
        <f>IFERROR(__xludf.DUMMYFUNCTION("""COMPUTED_VALUE"""),45272.66666666667)</f>
        <v>45272.66667</v>
      </c>
      <c r="B960" s="2">
        <f>IFERROR(__xludf.DUMMYFUNCTION("""COMPUTED_VALUE"""),338.0)</f>
        <v>338</v>
      </c>
      <c r="C960" s="2">
        <f>IFERROR(__xludf.DUMMYFUNCTION("""COMPUTED_VALUE"""),346.0)</f>
        <v>346</v>
      </c>
      <c r="D960" s="2">
        <f>IFERROR(__xludf.DUMMYFUNCTION("""COMPUTED_VALUE"""),324.0)</f>
        <v>324</v>
      </c>
      <c r="E960" s="2">
        <f>IFERROR(__xludf.DUMMYFUNCTION("""COMPUTED_VALUE"""),330.0)</f>
        <v>330</v>
      </c>
      <c r="F960" s="2">
        <f>IFERROR(__xludf.DUMMYFUNCTION("""COMPUTED_VALUE"""),3.09635E7)</f>
        <v>30963500</v>
      </c>
      <c r="G960" s="2">
        <f t="shared" si="1"/>
        <v>22</v>
      </c>
    </row>
    <row r="961" ht="15.75" customHeight="1">
      <c r="A961" s="1">
        <f>IFERROR(__xludf.DUMMYFUNCTION("""COMPUTED_VALUE"""),45273.66666666667)</f>
        <v>45273.66667</v>
      </c>
      <c r="B961" s="2">
        <f>IFERROR(__xludf.DUMMYFUNCTION("""COMPUTED_VALUE"""),330.0)</f>
        <v>330</v>
      </c>
      <c r="C961" s="2">
        <f>IFERROR(__xludf.DUMMYFUNCTION("""COMPUTED_VALUE"""),340.0)</f>
        <v>340</v>
      </c>
      <c r="D961" s="2">
        <f>IFERROR(__xludf.DUMMYFUNCTION("""COMPUTED_VALUE"""),326.0)</f>
        <v>326</v>
      </c>
      <c r="E961" s="2">
        <f>IFERROR(__xludf.DUMMYFUNCTION("""COMPUTED_VALUE"""),330.0)</f>
        <v>330</v>
      </c>
      <c r="F961" s="2">
        <f>IFERROR(__xludf.DUMMYFUNCTION("""COMPUTED_VALUE"""),2.34323E7)</f>
        <v>23432300</v>
      </c>
      <c r="G961" s="2">
        <f t="shared" si="1"/>
        <v>14</v>
      </c>
    </row>
    <row r="962" ht="15.75" customHeight="1">
      <c r="A962" s="1">
        <f>IFERROR(__xludf.DUMMYFUNCTION("""COMPUTED_VALUE"""),45274.66666666667)</f>
        <v>45274.66667</v>
      </c>
      <c r="B962" s="2">
        <f>IFERROR(__xludf.DUMMYFUNCTION("""COMPUTED_VALUE"""),330.0)</f>
        <v>330</v>
      </c>
      <c r="C962" s="2">
        <f>IFERROR(__xludf.DUMMYFUNCTION("""COMPUTED_VALUE"""),364.0)</f>
        <v>364</v>
      </c>
      <c r="D962" s="2">
        <f>IFERROR(__xludf.DUMMYFUNCTION("""COMPUTED_VALUE"""),330.0)</f>
        <v>330</v>
      </c>
      <c r="E962" s="2">
        <f>IFERROR(__xludf.DUMMYFUNCTION("""COMPUTED_VALUE"""),346.0)</f>
        <v>346</v>
      </c>
      <c r="F962" s="2">
        <f>IFERROR(__xludf.DUMMYFUNCTION("""COMPUTED_VALUE"""),1.838721E8)</f>
        <v>183872100</v>
      </c>
      <c r="G962" s="2">
        <f t="shared" si="1"/>
        <v>34</v>
      </c>
    </row>
    <row r="963" ht="15.75" customHeight="1">
      <c r="A963" s="1">
        <f>IFERROR(__xludf.DUMMYFUNCTION("""COMPUTED_VALUE"""),45275.66666666667)</f>
        <v>45275.66667</v>
      </c>
      <c r="B963" s="2">
        <f>IFERROR(__xludf.DUMMYFUNCTION("""COMPUTED_VALUE"""),348.0)</f>
        <v>348</v>
      </c>
      <c r="C963" s="2">
        <f>IFERROR(__xludf.DUMMYFUNCTION("""COMPUTED_VALUE"""),360.0)</f>
        <v>360</v>
      </c>
      <c r="D963" s="2">
        <f>IFERROR(__xludf.DUMMYFUNCTION("""COMPUTED_VALUE"""),340.0)</f>
        <v>340</v>
      </c>
      <c r="E963" s="2">
        <f>IFERROR(__xludf.DUMMYFUNCTION("""COMPUTED_VALUE"""),340.0)</f>
        <v>340</v>
      </c>
      <c r="F963" s="2">
        <f>IFERROR(__xludf.DUMMYFUNCTION("""COMPUTED_VALUE"""),6.3903E7)</f>
        <v>63903000</v>
      </c>
      <c r="G963" s="2">
        <f t="shared" si="1"/>
        <v>20</v>
      </c>
    </row>
    <row r="964" ht="15.75" customHeight="1">
      <c r="A964" s="1">
        <f>IFERROR(__xludf.DUMMYFUNCTION("""COMPUTED_VALUE"""),45278.66666666667)</f>
        <v>45278.66667</v>
      </c>
      <c r="B964" s="2">
        <f>IFERROR(__xludf.DUMMYFUNCTION("""COMPUTED_VALUE"""),340.0)</f>
        <v>340</v>
      </c>
      <c r="C964" s="2">
        <f>IFERROR(__xludf.DUMMYFUNCTION("""COMPUTED_VALUE"""),346.0)</f>
        <v>346</v>
      </c>
      <c r="D964" s="2">
        <f>IFERROR(__xludf.DUMMYFUNCTION("""COMPUTED_VALUE"""),322.0)</f>
        <v>322</v>
      </c>
      <c r="E964" s="2">
        <f>IFERROR(__xludf.DUMMYFUNCTION("""COMPUTED_VALUE"""),324.0)</f>
        <v>324</v>
      </c>
      <c r="F964" s="2">
        <f>IFERROR(__xludf.DUMMYFUNCTION("""COMPUTED_VALUE"""),3.70128E7)</f>
        <v>37012800</v>
      </c>
      <c r="G964" s="2">
        <f t="shared" si="1"/>
        <v>24</v>
      </c>
    </row>
    <row r="965" ht="15.75" customHeight="1">
      <c r="A965" s="1">
        <f>IFERROR(__xludf.DUMMYFUNCTION("""COMPUTED_VALUE"""),45279.66666666667)</f>
        <v>45279.66667</v>
      </c>
      <c r="B965" s="2">
        <f>IFERROR(__xludf.DUMMYFUNCTION("""COMPUTED_VALUE"""),322.0)</f>
        <v>322</v>
      </c>
      <c r="C965" s="2">
        <f>IFERROR(__xludf.DUMMYFUNCTION("""COMPUTED_VALUE"""),326.0)</f>
        <v>326</v>
      </c>
      <c r="D965" s="2">
        <f>IFERROR(__xludf.DUMMYFUNCTION("""COMPUTED_VALUE"""),312.0)</f>
        <v>312</v>
      </c>
      <c r="E965" s="2">
        <f>IFERROR(__xludf.DUMMYFUNCTION("""COMPUTED_VALUE"""),318.0)</f>
        <v>318</v>
      </c>
      <c r="F965" s="2">
        <f>IFERROR(__xludf.DUMMYFUNCTION("""COMPUTED_VALUE"""),2.4873E7)</f>
        <v>24873000</v>
      </c>
      <c r="G965" s="2">
        <f t="shared" si="1"/>
        <v>14</v>
      </c>
    </row>
    <row r="966" ht="15.75" customHeight="1">
      <c r="A966" s="1">
        <f>IFERROR(__xludf.DUMMYFUNCTION("""COMPUTED_VALUE"""),45280.66666666667)</f>
        <v>45280.66667</v>
      </c>
      <c r="B966" s="2">
        <f>IFERROR(__xludf.DUMMYFUNCTION("""COMPUTED_VALUE"""),320.0)</f>
        <v>320</v>
      </c>
      <c r="C966" s="2">
        <f>IFERROR(__xludf.DUMMYFUNCTION("""COMPUTED_VALUE"""),326.0)</f>
        <v>326</v>
      </c>
      <c r="D966" s="2">
        <f>IFERROR(__xludf.DUMMYFUNCTION("""COMPUTED_VALUE"""),318.0)</f>
        <v>318</v>
      </c>
      <c r="E966" s="2">
        <f>IFERROR(__xludf.DUMMYFUNCTION("""COMPUTED_VALUE"""),322.0)</f>
        <v>322</v>
      </c>
      <c r="F966" s="2">
        <f>IFERROR(__xludf.DUMMYFUNCTION("""COMPUTED_VALUE"""),1.10409E7)</f>
        <v>11040900</v>
      </c>
      <c r="G966" s="2">
        <f t="shared" si="1"/>
        <v>8</v>
      </c>
    </row>
    <row r="967" ht="15.75" customHeight="1">
      <c r="A967" s="1">
        <f>IFERROR(__xludf.DUMMYFUNCTION("""COMPUTED_VALUE"""),45281.66666666667)</f>
        <v>45281.66667</v>
      </c>
      <c r="B967" s="2">
        <f>IFERROR(__xludf.DUMMYFUNCTION("""COMPUTED_VALUE"""),322.0)</f>
        <v>322</v>
      </c>
      <c r="C967" s="2">
        <f>IFERROR(__xludf.DUMMYFUNCTION("""COMPUTED_VALUE"""),322.0)</f>
        <v>322</v>
      </c>
      <c r="D967" s="2">
        <f>IFERROR(__xludf.DUMMYFUNCTION("""COMPUTED_VALUE"""),314.0)</f>
        <v>314</v>
      </c>
      <c r="E967" s="2">
        <f>IFERROR(__xludf.DUMMYFUNCTION("""COMPUTED_VALUE"""),316.0)</f>
        <v>316</v>
      </c>
      <c r="F967" s="2">
        <f>IFERROR(__xludf.DUMMYFUNCTION("""COMPUTED_VALUE"""),1.31245E7)</f>
        <v>13124500</v>
      </c>
      <c r="G967" s="2">
        <f t="shared" si="1"/>
        <v>8</v>
      </c>
    </row>
    <row r="968" ht="15.75" customHeight="1">
      <c r="A968" s="1">
        <f>IFERROR(__xludf.DUMMYFUNCTION("""COMPUTED_VALUE"""),45282.66666666667)</f>
        <v>45282.66667</v>
      </c>
      <c r="B968" s="2">
        <f>IFERROR(__xludf.DUMMYFUNCTION("""COMPUTED_VALUE"""),316.0)</f>
        <v>316</v>
      </c>
      <c r="C968" s="2">
        <f>IFERROR(__xludf.DUMMYFUNCTION("""COMPUTED_VALUE"""),318.0)</f>
        <v>318</v>
      </c>
      <c r="D968" s="2">
        <f>IFERROR(__xludf.DUMMYFUNCTION("""COMPUTED_VALUE"""),306.0)</f>
        <v>306</v>
      </c>
      <c r="E968" s="2">
        <f>IFERROR(__xludf.DUMMYFUNCTION("""COMPUTED_VALUE"""),310.0)</f>
        <v>310</v>
      </c>
      <c r="F968" s="2">
        <f>IFERROR(__xludf.DUMMYFUNCTION("""COMPUTED_VALUE"""),2.57408E7)</f>
        <v>25740800</v>
      </c>
      <c r="G968" s="2">
        <f t="shared" si="1"/>
        <v>12</v>
      </c>
    </row>
    <row r="969" ht="15.75" customHeight="1">
      <c r="A969" s="1">
        <f>IFERROR(__xludf.DUMMYFUNCTION("""COMPUTED_VALUE"""),45287.66666666667)</f>
        <v>45287.66667</v>
      </c>
      <c r="B969" s="2">
        <f>IFERROR(__xludf.DUMMYFUNCTION("""COMPUTED_VALUE"""),306.0)</f>
        <v>306</v>
      </c>
      <c r="C969" s="2">
        <f>IFERROR(__xludf.DUMMYFUNCTION("""COMPUTED_VALUE"""),324.0)</f>
        <v>324</v>
      </c>
      <c r="D969" s="2">
        <f>IFERROR(__xludf.DUMMYFUNCTION("""COMPUTED_VALUE"""),306.0)</f>
        <v>306</v>
      </c>
      <c r="E969" s="2">
        <f>IFERROR(__xludf.DUMMYFUNCTION("""COMPUTED_VALUE"""),312.0)</f>
        <v>312</v>
      </c>
      <c r="F969" s="2">
        <f>IFERROR(__xludf.DUMMYFUNCTION("""COMPUTED_VALUE"""),1.7569E7)</f>
        <v>17569000</v>
      </c>
      <c r="G969" s="2">
        <f t="shared" si="1"/>
        <v>18</v>
      </c>
    </row>
    <row r="970" ht="15.75" customHeight="1">
      <c r="A970" s="1">
        <f>IFERROR(__xludf.DUMMYFUNCTION("""COMPUTED_VALUE"""),45288.66666666667)</f>
        <v>45288.66667</v>
      </c>
      <c r="B970" s="2">
        <f>IFERROR(__xludf.DUMMYFUNCTION("""COMPUTED_VALUE"""),314.0)</f>
        <v>314</v>
      </c>
      <c r="C970" s="2">
        <f>IFERROR(__xludf.DUMMYFUNCTION("""COMPUTED_VALUE"""),318.0)</f>
        <v>318</v>
      </c>
      <c r="D970" s="2">
        <f>IFERROR(__xludf.DUMMYFUNCTION("""COMPUTED_VALUE"""),310.0)</f>
        <v>310</v>
      </c>
      <c r="E970" s="2">
        <f>IFERROR(__xludf.DUMMYFUNCTION("""COMPUTED_VALUE"""),312.0)</f>
        <v>312</v>
      </c>
      <c r="F970" s="2">
        <f>IFERROR(__xludf.DUMMYFUNCTION("""COMPUTED_VALUE"""),9444400.0)</f>
        <v>9444400</v>
      </c>
      <c r="G970" s="2">
        <f t="shared" si="1"/>
        <v>8</v>
      </c>
    </row>
    <row r="971" ht="15.75" customHeight="1">
      <c r="A971" s="1">
        <f>IFERROR(__xludf.DUMMYFUNCTION("""COMPUTED_VALUE"""),45289.66666666667)</f>
        <v>45289.66667</v>
      </c>
      <c r="B971" s="2">
        <f>IFERROR(__xludf.DUMMYFUNCTION("""COMPUTED_VALUE"""),312.0)</f>
        <v>312</v>
      </c>
      <c r="C971" s="2">
        <f>IFERROR(__xludf.DUMMYFUNCTION("""COMPUTED_VALUE"""),314.0)</f>
        <v>314</v>
      </c>
      <c r="D971" s="2">
        <f>IFERROR(__xludf.DUMMYFUNCTION("""COMPUTED_VALUE"""),308.0)</f>
        <v>308</v>
      </c>
      <c r="E971" s="2">
        <f>IFERROR(__xludf.DUMMYFUNCTION("""COMPUTED_VALUE"""),312.0)</f>
        <v>312</v>
      </c>
      <c r="F971" s="2">
        <f>IFERROR(__xludf.DUMMYFUNCTION("""COMPUTED_VALUE"""),9563000.0)</f>
        <v>9563000</v>
      </c>
      <c r="G971" s="2">
        <f t="shared" si="1"/>
        <v>6</v>
      </c>
    </row>
    <row r="972" ht="15.75" customHeight="1">
      <c r="A972" s="1">
        <f>IFERROR(__xludf.DUMMYFUNCTION("""COMPUTED_VALUE"""),45293.66666666667)</f>
        <v>45293.66667</v>
      </c>
      <c r="B972" s="2">
        <f>IFERROR(__xludf.DUMMYFUNCTION("""COMPUTED_VALUE"""),312.0)</f>
        <v>312</v>
      </c>
      <c r="C972" s="2">
        <f>IFERROR(__xludf.DUMMYFUNCTION("""COMPUTED_VALUE"""),324.0)</f>
        <v>324</v>
      </c>
      <c r="D972" s="2">
        <f>IFERROR(__xludf.DUMMYFUNCTION("""COMPUTED_VALUE"""),310.0)</f>
        <v>310</v>
      </c>
      <c r="E972" s="2">
        <f>IFERROR(__xludf.DUMMYFUNCTION("""COMPUTED_VALUE"""),318.0)</f>
        <v>318</v>
      </c>
      <c r="F972" s="2">
        <f>IFERROR(__xludf.DUMMYFUNCTION("""COMPUTED_VALUE"""),2.28531E7)</f>
        <v>22853100</v>
      </c>
      <c r="G972" s="2">
        <f t="shared" si="1"/>
        <v>14</v>
      </c>
    </row>
    <row r="973" ht="15.75" customHeight="1">
      <c r="A973" s="1">
        <f>IFERROR(__xludf.DUMMYFUNCTION("""COMPUTED_VALUE"""),45294.66666666667)</f>
        <v>45294.66667</v>
      </c>
      <c r="B973" s="2">
        <f>IFERROR(__xludf.DUMMYFUNCTION("""COMPUTED_VALUE"""),318.0)</f>
        <v>318</v>
      </c>
      <c r="C973" s="2">
        <f>IFERROR(__xludf.DUMMYFUNCTION("""COMPUTED_VALUE"""),320.0)</f>
        <v>320</v>
      </c>
      <c r="D973" s="2">
        <f>IFERROR(__xludf.DUMMYFUNCTION("""COMPUTED_VALUE"""),312.0)</f>
        <v>312</v>
      </c>
      <c r="E973" s="2">
        <f>IFERROR(__xludf.DUMMYFUNCTION("""COMPUTED_VALUE"""),318.0)</f>
        <v>318</v>
      </c>
      <c r="F973" s="2">
        <f>IFERROR(__xludf.DUMMYFUNCTION("""COMPUTED_VALUE"""),1.10827E7)</f>
        <v>11082700</v>
      </c>
      <c r="G973" s="2">
        <f t="shared" si="1"/>
        <v>8</v>
      </c>
    </row>
    <row r="974" ht="15.75" customHeight="1">
      <c r="A974" s="1">
        <f>IFERROR(__xludf.DUMMYFUNCTION("""COMPUTED_VALUE"""),45295.66666666667)</f>
        <v>45295.66667</v>
      </c>
      <c r="B974" s="2">
        <f>IFERROR(__xludf.DUMMYFUNCTION("""COMPUTED_VALUE"""),316.0)</f>
        <v>316</v>
      </c>
      <c r="C974" s="2">
        <f>IFERROR(__xludf.DUMMYFUNCTION("""COMPUTED_VALUE"""),322.0)</f>
        <v>322</v>
      </c>
      <c r="D974" s="2">
        <f>IFERROR(__xludf.DUMMYFUNCTION("""COMPUTED_VALUE"""),316.0)</f>
        <v>316</v>
      </c>
      <c r="E974" s="2">
        <f>IFERROR(__xludf.DUMMYFUNCTION("""COMPUTED_VALUE"""),318.0)</f>
        <v>318</v>
      </c>
      <c r="F974" s="2">
        <f>IFERROR(__xludf.DUMMYFUNCTION("""COMPUTED_VALUE"""),1.4969E7)</f>
        <v>14969000</v>
      </c>
      <c r="G974" s="2">
        <f t="shared" si="1"/>
        <v>6</v>
      </c>
    </row>
    <row r="975" ht="15.75" customHeight="1">
      <c r="A975" s="1">
        <f>IFERROR(__xludf.DUMMYFUNCTION("""COMPUTED_VALUE"""),45296.66666666667)</f>
        <v>45296.66667</v>
      </c>
      <c r="B975" s="2">
        <f>IFERROR(__xludf.DUMMYFUNCTION("""COMPUTED_VALUE"""),318.0)</f>
        <v>318</v>
      </c>
      <c r="C975" s="2">
        <f>IFERROR(__xludf.DUMMYFUNCTION("""COMPUTED_VALUE"""),322.0)</f>
        <v>322</v>
      </c>
      <c r="D975" s="2">
        <f>IFERROR(__xludf.DUMMYFUNCTION("""COMPUTED_VALUE"""),318.0)</f>
        <v>318</v>
      </c>
      <c r="E975" s="2">
        <f>IFERROR(__xludf.DUMMYFUNCTION("""COMPUTED_VALUE"""),318.0)</f>
        <v>318</v>
      </c>
      <c r="F975" s="2">
        <f>IFERROR(__xludf.DUMMYFUNCTION("""COMPUTED_VALUE"""),4647900.0)</f>
        <v>4647900</v>
      </c>
      <c r="G975" s="2">
        <f t="shared" si="1"/>
        <v>4</v>
      </c>
    </row>
    <row r="976" ht="15.75" customHeight="1">
      <c r="A976" s="1">
        <f>IFERROR(__xludf.DUMMYFUNCTION("""COMPUTED_VALUE"""),45299.66666666667)</f>
        <v>45299.66667</v>
      </c>
      <c r="B976" s="2">
        <f>IFERROR(__xludf.DUMMYFUNCTION("""COMPUTED_VALUE"""),318.0)</f>
        <v>318</v>
      </c>
      <c r="C976" s="2">
        <f>IFERROR(__xludf.DUMMYFUNCTION("""COMPUTED_VALUE"""),326.0)</f>
        <v>326</v>
      </c>
      <c r="D976" s="2">
        <f>IFERROR(__xludf.DUMMYFUNCTION("""COMPUTED_VALUE"""),310.0)</f>
        <v>310</v>
      </c>
      <c r="E976" s="2">
        <f>IFERROR(__xludf.DUMMYFUNCTION("""COMPUTED_VALUE"""),312.0)</f>
        <v>312</v>
      </c>
      <c r="F976" s="2">
        <f>IFERROR(__xludf.DUMMYFUNCTION("""COMPUTED_VALUE"""),3.0303E7)</f>
        <v>30303000</v>
      </c>
      <c r="G976" s="2">
        <f t="shared" si="1"/>
        <v>16</v>
      </c>
    </row>
    <row r="977" ht="15.75" customHeight="1">
      <c r="A977" s="1">
        <f>IFERROR(__xludf.DUMMYFUNCTION("""COMPUTED_VALUE"""),45300.66666666667)</f>
        <v>45300.66667</v>
      </c>
      <c r="B977" s="2">
        <f>IFERROR(__xludf.DUMMYFUNCTION("""COMPUTED_VALUE"""),308.0)</f>
        <v>308</v>
      </c>
      <c r="C977" s="2">
        <f>IFERROR(__xludf.DUMMYFUNCTION("""COMPUTED_VALUE"""),314.0)</f>
        <v>314</v>
      </c>
      <c r="D977" s="2">
        <f>IFERROR(__xludf.DUMMYFUNCTION("""COMPUTED_VALUE"""),308.0)</f>
        <v>308</v>
      </c>
      <c r="E977" s="2">
        <f>IFERROR(__xludf.DUMMYFUNCTION("""COMPUTED_VALUE"""),308.0)</f>
        <v>308</v>
      </c>
      <c r="F977" s="2">
        <f>IFERROR(__xludf.DUMMYFUNCTION("""COMPUTED_VALUE"""),9866200.0)</f>
        <v>9866200</v>
      </c>
      <c r="G977" s="2">
        <f t="shared" si="1"/>
        <v>6</v>
      </c>
    </row>
    <row r="978" ht="15.75" customHeight="1">
      <c r="A978" s="1">
        <f>IFERROR(__xludf.DUMMYFUNCTION("""COMPUTED_VALUE"""),45301.66666666667)</f>
        <v>45301.66667</v>
      </c>
      <c r="B978" s="2">
        <f>IFERROR(__xludf.DUMMYFUNCTION("""COMPUTED_VALUE"""),310.0)</f>
        <v>310</v>
      </c>
      <c r="C978" s="2">
        <f>IFERROR(__xludf.DUMMYFUNCTION("""COMPUTED_VALUE"""),316.0)</f>
        <v>316</v>
      </c>
      <c r="D978" s="2">
        <f>IFERROR(__xludf.DUMMYFUNCTION("""COMPUTED_VALUE"""),308.0)</f>
        <v>308</v>
      </c>
      <c r="E978" s="2">
        <f>IFERROR(__xludf.DUMMYFUNCTION("""COMPUTED_VALUE"""),312.0)</f>
        <v>312</v>
      </c>
      <c r="F978" s="2">
        <f>IFERROR(__xludf.DUMMYFUNCTION("""COMPUTED_VALUE"""),1.23519E7)</f>
        <v>12351900</v>
      </c>
      <c r="G978" s="2">
        <f t="shared" si="1"/>
        <v>8</v>
      </c>
    </row>
    <row r="979" ht="15.75" customHeight="1">
      <c r="A979" s="1">
        <f>IFERROR(__xludf.DUMMYFUNCTION("""COMPUTED_VALUE"""),45302.66666666667)</f>
        <v>45302.66667</v>
      </c>
      <c r="B979" s="2">
        <f>IFERROR(__xludf.DUMMYFUNCTION("""COMPUTED_VALUE"""),312.0)</f>
        <v>312</v>
      </c>
      <c r="C979" s="2">
        <f>IFERROR(__xludf.DUMMYFUNCTION("""COMPUTED_VALUE"""),320.0)</f>
        <v>320</v>
      </c>
      <c r="D979" s="2">
        <f>IFERROR(__xludf.DUMMYFUNCTION("""COMPUTED_VALUE"""),312.0)</f>
        <v>312</v>
      </c>
      <c r="E979" s="2">
        <f>IFERROR(__xludf.DUMMYFUNCTION("""COMPUTED_VALUE"""),318.0)</f>
        <v>318</v>
      </c>
      <c r="F979" s="2">
        <f>IFERROR(__xludf.DUMMYFUNCTION("""COMPUTED_VALUE"""),1.33112E7)</f>
        <v>13311200</v>
      </c>
      <c r="G979" s="2">
        <f t="shared" si="1"/>
        <v>8</v>
      </c>
    </row>
    <row r="980" ht="15.75" customHeight="1">
      <c r="A980" s="1">
        <f>IFERROR(__xludf.DUMMYFUNCTION("""COMPUTED_VALUE"""),45303.66666666667)</f>
        <v>45303.66667</v>
      </c>
      <c r="B980" s="2">
        <f>IFERROR(__xludf.DUMMYFUNCTION("""COMPUTED_VALUE"""),318.0)</f>
        <v>318</v>
      </c>
      <c r="C980" s="2">
        <f>IFERROR(__xludf.DUMMYFUNCTION("""COMPUTED_VALUE"""),320.0)</f>
        <v>320</v>
      </c>
      <c r="D980" s="2">
        <f>IFERROR(__xludf.DUMMYFUNCTION("""COMPUTED_VALUE"""),312.0)</f>
        <v>312</v>
      </c>
      <c r="E980" s="2">
        <f>IFERROR(__xludf.DUMMYFUNCTION("""COMPUTED_VALUE"""),316.0)</f>
        <v>316</v>
      </c>
      <c r="F980" s="2">
        <f>IFERROR(__xludf.DUMMYFUNCTION("""COMPUTED_VALUE"""),8501700.0)</f>
        <v>8501700</v>
      </c>
      <c r="G980" s="2">
        <f t="shared" si="1"/>
        <v>8</v>
      </c>
    </row>
    <row r="981" ht="15.75" customHeight="1">
      <c r="A981" s="1">
        <f>IFERROR(__xludf.DUMMYFUNCTION("""COMPUTED_VALUE"""),45306.66666666667)</f>
        <v>45306.66667</v>
      </c>
      <c r="B981" s="2">
        <f>IFERROR(__xludf.DUMMYFUNCTION("""COMPUTED_VALUE"""),314.0)</f>
        <v>314</v>
      </c>
      <c r="C981" s="2">
        <f>IFERROR(__xludf.DUMMYFUNCTION("""COMPUTED_VALUE"""),320.0)</f>
        <v>320</v>
      </c>
      <c r="D981" s="2">
        <f>IFERROR(__xludf.DUMMYFUNCTION("""COMPUTED_VALUE"""),312.0)</f>
        <v>312</v>
      </c>
      <c r="E981" s="2">
        <f>IFERROR(__xludf.DUMMYFUNCTION("""COMPUTED_VALUE"""),314.0)</f>
        <v>314</v>
      </c>
      <c r="F981" s="2">
        <f>IFERROR(__xludf.DUMMYFUNCTION("""COMPUTED_VALUE"""),1.15747E7)</f>
        <v>11574700</v>
      </c>
      <c r="G981" s="2">
        <f t="shared" si="1"/>
        <v>8</v>
      </c>
    </row>
    <row r="982" ht="15.75" customHeight="1">
      <c r="A982" s="1">
        <f>IFERROR(__xludf.DUMMYFUNCTION("""COMPUTED_VALUE"""),45307.66666666667)</f>
        <v>45307.66667</v>
      </c>
      <c r="B982" s="2">
        <f>IFERROR(__xludf.DUMMYFUNCTION("""COMPUTED_VALUE"""),316.0)</f>
        <v>316</v>
      </c>
      <c r="C982" s="2">
        <f>IFERROR(__xludf.DUMMYFUNCTION("""COMPUTED_VALUE"""),320.0)</f>
        <v>320</v>
      </c>
      <c r="D982" s="2">
        <f>IFERROR(__xludf.DUMMYFUNCTION("""COMPUTED_VALUE"""),314.0)</f>
        <v>314</v>
      </c>
      <c r="E982" s="2">
        <f>IFERROR(__xludf.DUMMYFUNCTION("""COMPUTED_VALUE"""),318.0)</f>
        <v>318</v>
      </c>
      <c r="F982" s="2">
        <f>IFERROR(__xludf.DUMMYFUNCTION("""COMPUTED_VALUE"""),9596400.0)</f>
        <v>9596400</v>
      </c>
      <c r="G982" s="2">
        <f t="shared" si="1"/>
        <v>6</v>
      </c>
    </row>
    <row r="983" ht="15.75" customHeight="1">
      <c r="A983" s="1">
        <f>IFERROR(__xludf.DUMMYFUNCTION("""COMPUTED_VALUE"""),45308.66666666667)</f>
        <v>45308.66667</v>
      </c>
      <c r="B983" s="2">
        <f>IFERROR(__xludf.DUMMYFUNCTION("""COMPUTED_VALUE"""),318.0)</f>
        <v>318</v>
      </c>
      <c r="C983" s="2">
        <f>IFERROR(__xludf.DUMMYFUNCTION("""COMPUTED_VALUE"""),336.0)</f>
        <v>336</v>
      </c>
      <c r="D983" s="2">
        <f>IFERROR(__xludf.DUMMYFUNCTION("""COMPUTED_VALUE"""),318.0)</f>
        <v>318</v>
      </c>
      <c r="E983" s="2">
        <f>IFERROR(__xludf.DUMMYFUNCTION("""COMPUTED_VALUE"""),322.0)</f>
        <v>322</v>
      </c>
      <c r="F983" s="2">
        <f>IFERROR(__xludf.DUMMYFUNCTION("""COMPUTED_VALUE"""),3.59561E7)</f>
        <v>35956100</v>
      </c>
      <c r="G983" s="2">
        <f t="shared" si="1"/>
        <v>18</v>
      </c>
    </row>
    <row r="984" ht="15.75" customHeight="1">
      <c r="A984" s="1">
        <f>IFERROR(__xludf.DUMMYFUNCTION("""COMPUTED_VALUE"""),45309.66666666667)</f>
        <v>45309.66667</v>
      </c>
      <c r="B984" s="2">
        <f>IFERROR(__xludf.DUMMYFUNCTION("""COMPUTED_VALUE"""),324.0)</f>
        <v>324</v>
      </c>
      <c r="C984" s="2">
        <f>IFERROR(__xludf.DUMMYFUNCTION("""COMPUTED_VALUE"""),326.0)</f>
        <v>326</v>
      </c>
      <c r="D984" s="2">
        <f>IFERROR(__xludf.DUMMYFUNCTION("""COMPUTED_VALUE"""),316.0)</f>
        <v>316</v>
      </c>
      <c r="E984" s="2">
        <f>IFERROR(__xludf.DUMMYFUNCTION("""COMPUTED_VALUE"""),322.0)</f>
        <v>322</v>
      </c>
      <c r="F984" s="2">
        <f>IFERROR(__xludf.DUMMYFUNCTION("""COMPUTED_VALUE"""),1.36308E7)</f>
        <v>13630800</v>
      </c>
      <c r="G984" s="2">
        <f t="shared" si="1"/>
        <v>10</v>
      </c>
    </row>
    <row r="985" ht="15.75" customHeight="1">
      <c r="A985" s="1">
        <f>IFERROR(__xludf.DUMMYFUNCTION("""COMPUTED_VALUE"""),45310.66666666667)</f>
        <v>45310.66667</v>
      </c>
      <c r="B985" s="2">
        <f>IFERROR(__xludf.DUMMYFUNCTION("""COMPUTED_VALUE"""),322.0)</f>
        <v>322</v>
      </c>
      <c r="C985" s="2">
        <f>IFERROR(__xludf.DUMMYFUNCTION("""COMPUTED_VALUE"""),324.0)</f>
        <v>324</v>
      </c>
      <c r="D985" s="2">
        <f>IFERROR(__xludf.DUMMYFUNCTION("""COMPUTED_VALUE"""),318.0)</f>
        <v>318</v>
      </c>
      <c r="E985" s="2">
        <f>IFERROR(__xludf.DUMMYFUNCTION("""COMPUTED_VALUE"""),320.0)</f>
        <v>320</v>
      </c>
      <c r="F985" s="2">
        <f>IFERROR(__xludf.DUMMYFUNCTION("""COMPUTED_VALUE"""),6217700.0)</f>
        <v>6217700</v>
      </c>
      <c r="G985" s="2">
        <f t="shared" si="1"/>
        <v>6</v>
      </c>
    </row>
    <row r="986" ht="15.75" customHeight="1">
      <c r="A986" s="1">
        <f>IFERROR(__xludf.DUMMYFUNCTION("""COMPUTED_VALUE"""),45313.66666666667)</f>
        <v>45313.66667</v>
      </c>
      <c r="B986" s="2">
        <f>IFERROR(__xludf.DUMMYFUNCTION("""COMPUTED_VALUE"""),320.0)</f>
        <v>320</v>
      </c>
      <c r="C986" s="2">
        <f>IFERROR(__xludf.DUMMYFUNCTION("""COMPUTED_VALUE"""),322.0)</f>
        <v>322</v>
      </c>
      <c r="D986" s="2">
        <f>IFERROR(__xludf.DUMMYFUNCTION("""COMPUTED_VALUE"""),298.0)</f>
        <v>298</v>
      </c>
      <c r="E986" s="2">
        <f>IFERROR(__xludf.DUMMYFUNCTION("""COMPUTED_VALUE"""),302.0)</f>
        <v>302</v>
      </c>
      <c r="F986" s="2">
        <f>IFERROR(__xludf.DUMMYFUNCTION("""COMPUTED_VALUE"""),4.08524E7)</f>
        <v>40852400</v>
      </c>
      <c r="G986" s="2">
        <f t="shared" si="1"/>
        <v>24</v>
      </c>
    </row>
    <row r="987" ht="15.75" customHeight="1">
      <c r="A987" s="1">
        <f>IFERROR(__xludf.DUMMYFUNCTION("""COMPUTED_VALUE"""),45314.66666666667)</f>
        <v>45314.66667</v>
      </c>
      <c r="B987" s="2">
        <f>IFERROR(__xludf.DUMMYFUNCTION("""COMPUTED_VALUE"""),302.0)</f>
        <v>302</v>
      </c>
      <c r="C987" s="2">
        <f>IFERROR(__xludf.DUMMYFUNCTION("""COMPUTED_VALUE"""),306.0)</f>
        <v>306</v>
      </c>
      <c r="D987" s="2">
        <f>IFERROR(__xludf.DUMMYFUNCTION("""COMPUTED_VALUE"""),298.0)</f>
        <v>298</v>
      </c>
      <c r="E987" s="2">
        <f>IFERROR(__xludf.DUMMYFUNCTION("""COMPUTED_VALUE"""),302.0)</f>
        <v>302</v>
      </c>
      <c r="F987" s="2">
        <f>IFERROR(__xludf.DUMMYFUNCTION("""COMPUTED_VALUE"""),1.1105E7)</f>
        <v>11105000</v>
      </c>
      <c r="G987" s="2">
        <f t="shared" si="1"/>
        <v>8</v>
      </c>
    </row>
    <row r="988" ht="15.75" customHeight="1">
      <c r="A988" s="1">
        <f>IFERROR(__xludf.DUMMYFUNCTION("""COMPUTED_VALUE"""),45315.66666666667)</f>
        <v>45315.66667</v>
      </c>
      <c r="B988" s="2">
        <f>IFERROR(__xludf.DUMMYFUNCTION("""COMPUTED_VALUE"""),302.0)</f>
        <v>302</v>
      </c>
      <c r="C988" s="2">
        <f>IFERROR(__xludf.DUMMYFUNCTION("""COMPUTED_VALUE"""),304.0)</f>
        <v>304</v>
      </c>
      <c r="D988" s="2">
        <f>IFERROR(__xludf.DUMMYFUNCTION("""COMPUTED_VALUE"""),286.0)</f>
        <v>286</v>
      </c>
      <c r="E988" s="2">
        <f>IFERROR(__xludf.DUMMYFUNCTION("""COMPUTED_VALUE"""),290.0)</f>
        <v>290</v>
      </c>
      <c r="F988" s="2">
        <f>IFERROR(__xludf.DUMMYFUNCTION("""COMPUTED_VALUE"""),2.74903E7)</f>
        <v>27490300</v>
      </c>
      <c r="G988" s="2">
        <f t="shared" si="1"/>
        <v>18</v>
      </c>
    </row>
    <row r="989" ht="15.75" customHeight="1">
      <c r="A989" s="1">
        <f>IFERROR(__xludf.DUMMYFUNCTION("""COMPUTED_VALUE"""),45316.66666666667)</f>
        <v>45316.66667</v>
      </c>
      <c r="B989" s="2">
        <f>IFERROR(__xludf.DUMMYFUNCTION("""COMPUTED_VALUE"""),286.0)</f>
        <v>286</v>
      </c>
      <c r="C989" s="2">
        <f>IFERROR(__xludf.DUMMYFUNCTION("""COMPUTED_VALUE"""),298.0)</f>
        <v>298</v>
      </c>
      <c r="D989" s="2">
        <f>IFERROR(__xludf.DUMMYFUNCTION("""COMPUTED_VALUE"""),286.0)</f>
        <v>286</v>
      </c>
      <c r="E989" s="2">
        <f>IFERROR(__xludf.DUMMYFUNCTION("""COMPUTED_VALUE"""),290.0)</f>
        <v>290</v>
      </c>
      <c r="F989" s="2">
        <f>IFERROR(__xludf.DUMMYFUNCTION("""COMPUTED_VALUE"""),6874500.0)</f>
        <v>6874500</v>
      </c>
      <c r="G989" s="2">
        <f t="shared" si="1"/>
        <v>12</v>
      </c>
    </row>
    <row r="990" ht="15.75" customHeight="1">
      <c r="A990" s="1">
        <f>IFERROR(__xludf.DUMMYFUNCTION("""COMPUTED_VALUE"""),45317.66666666667)</f>
        <v>45317.66667</v>
      </c>
      <c r="B990" s="2">
        <f>IFERROR(__xludf.DUMMYFUNCTION("""COMPUTED_VALUE"""),290.0)</f>
        <v>290</v>
      </c>
      <c r="C990" s="2">
        <f>IFERROR(__xludf.DUMMYFUNCTION("""COMPUTED_VALUE"""),292.0)</f>
        <v>292</v>
      </c>
      <c r="D990" s="2">
        <f>IFERROR(__xludf.DUMMYFUNCTION("""COMPUTED_VALUE"""),284.0)</f>
        <v>284</v>
      </c>
      <c r="E990" s="2">
        <f>IFERROR(__xludf.DUMMYFUNCTION("""COMPUTED_VALUE"""),286.0)</f>
        <v>286</v>
      </c>
      <c r="F990" s="2">
        <f>IFERROR(__xludf.DUMMYFUNCTION("""COMPUTED_VALUE"""),7631100.0)</f>
        <v>7631100</v>
      </c>
      <c r="G990" s="2">
        <f t="shared" si="1"/>
        <v>8</v>
      </c>
    </row>
    <row r="991" ht="15.75" customHeight="1">
      <c r="A991" s="1">
        <f>IFERROR(__xludf.DUMMYFUNCTION("""COMPUTED_VALUE"""),45320.66666666667)</f>
        <v>45320.66667</v>
      </c>
      <c r="B991" s="2">
        <f>IFERROR(__xludf.DUMMYFUNCTION("""COMPUTED_VALUE"""),286.0)</f>
        <v>286</v>
      </c>
      <c r="C991" s="2">
        <f>IFERROR(__xludf.DUMMYFUNCTION("""COMPUTED_VALUE"""),294.0)</f>
        <v>294</v>
      </c>
      <c r="D991" s="2">
        <f>IFERROR(__xludf.DUMMYFUNCTION("""COMPUTED_VALUE"""),284.0)</f>
        <v>284</v>
      </c>
      <c r="E991" s="2">
        <f>IFERROR(__xludf.DUMMYFUNCTION("""COMPUTED_VALUE"""),286.0)</f>
        <v>286</v>
      </c>
      <c r="F991" s="2">
        <f>IFERROR(__xludf.DUMMYFUNCTION("""COMPUTED_VALUE"""),1.50339E7)</f>
        <v>15033900</v>
      </c>
      <c r="G991" s="2">
        <f t="shared" si="1"/>
        <v>10</v>
      </c>
    </row>
    <row r="992" ht="15.75" customHeight="1">
      <c r="A992" s="1">
        <f>IFERROR(__xludf.DUMMYFUNCTION("""COMPUTED_VALUE"""),45321.66666666667)</f>
        <v>45321.66667</v>
      </c>
      <c r="B992" s="2">
        <f>IFERROR(__xludf.DUMMYFUNCTION("""COMPUTED_VALUE"""),288.0)</f>
        <v>288</v>
      </c>
      <c r="C992" s="2">
        <f>IFERROR(__xludf.DUMMYFUNCTION("""COMPUTED_VALUE"""),290.0)</f>
        <v>290</v>
      </c>
      <c r="D992" s="2">
        <f>IFERROR(__xludf.DUMMYFUNCTION("""COMPUTED_VALUE"""),280.0)</f>
        <v>280</v>
      </c>
      <c r="E992" s="2">
        <f>IFERROR(__xludf.DUMMYFUNCTION("""COMPUTED_VALUE"""),282.0)</f>
        <v>282</v>
      </c>
      <c r="F992" s="2">
        <f>IFERROR(__xludf.DUMMYFUNCTION("""COMPUTED_VALUE"""),1.07683E7)</f>
        <v>10768300</v>
      </c>
      <c r="G992" s="2">
        <f t="shared" si="1"/>
        <v>10</v>
      </c>
    </row>
    <row r="993" ht="15.75" customHeight="1">
      <c r="A993" s="1">
        <f>IFERROR(__xludf.DUMMYFUNCTION("""COMPUTED_VALUE"""),45322.66666666667)</f>
        <v>45322.66667</v>
      </c>
      <c r="B993" s="2">
        <f>IFERROR(__xludf.DUMMYFUNCTION("""COMPUTED_VALUE"""),282.0)</f>
        <v>282</v>
      </c>
      <c r="C993" s="2">
        <f>IFERROR(__xludf.DUMMYFUNCTION("""COMPUTED_VALUE"""),288.0)</f>
        <v>288</v>
      </c>
      <c r="D993" s="2">
        <f>IFERROR(__xludf.DUMMYFUNCTION("""COMPUTED_VALUE"""),280.0)</f>
        <v>280</v>
      </c>
      <c r="E993" s="2">
        <f>IFERROR(__xludf.DUMMYFUNCTION("""COMPUTED_VALUE"""),282.0)</f>
        <v>282</v>
      </c>
      <c r="F993" s="2">
        <f>IFERROR(__xludf.DUMMYFUNCTION("""COMPUTED_VALUE"""),9308300.0)</f>
        <v>9308300</v>
      </c>
      <c r="G993" s="2">
        <f t="shared" si="1"/>
        <v>8</v>
      </c>
    </row>
    <row r="994" ht="15.75" customHeight="1">
      <c r="A994" s="1">
        <f>IFERROR(__xludf.DUMMYFUNCTION("""COMPUTED_VALUE"""),45323.66666666667)</f>
        <v>45323.66667</v>
      </c>
      <c r="B994" s="2">
        <f>IFERROR(__xludf.DUMMYFUNCTION("""COMPUTED_VALUE"""),282.0)</f>
        <v>282</v>
      </c>
      <c r="C994" s="2">
        <f>IFERROR(__xludf.DUMMYFUNCTION("""COMPUTED_VALUE"""),284.0)</f>
        <v>284</v>
      </c>
      <c r="D994" s="2">
        <f>IFERROR(__xludf.DUMMYFUNCTION("""COMPUTED_VALUE"""),280.0)</f>
        <v>280</v>
      </c>
      <c r="E994" s="2">
        <f>IFERROR(__xludf.DUMMYFUNCTION("""COMPUTED_VALUE"""),282.0)</f>
        <v>282</v>
      </c>
      <c r="F994" s="2">
        <f>IFERROR(__xludf.DUMMYFUNCTION("""COMPUTED_VALUE"""),5128300.0)</f>
        <v>5128300</v>
      </c>
      <c r="G994" s="2">
        <f t="shared" si="1"/>
        <v>4</v>
      </c>
    </row>
    <row r="995" ht="15.75" customHeight="1">
      <c r="A995" s="1">
        <f>IFERROR(__xludf.DUMMYFUNCTION("""COMPUTED_VALUE"""),45324.66666666667)</f>
        <v>45324.66667</v>
      </c>
      <c r="B995" s="2">
        <f>IFERROR(__xludf.DUMMYFUNCTION("""COMPUTED_VALUE"""),282.0)</f>
        <v>282</v>
      </c>
      <c r="C995" s="2">
        <f>IFERROR(__xludf.DUMMYFUNCTION("""COMPUTED_VALUE"""),284.0)</f>
        <v>284</v>
      </c>
      <c r="D995" s="2">
        <f>IFERROR(__xludf.DUMMYFUNCTION("""COMPUTED_VALUE"""),280.0)</f>
        <v>280</v>
      </c>
      <c r="E995" s="2">
        <f>IFERROR(__xludf.DUMMYFUNCTION("""COMPUTED_VALUE"""),282.0)</f>
        <v>282</v>
      </c>
      <c r="F995" s="2">
        <f>IFERROR(__xludf.DUMMYFUNCTION("""COMPUTED_VALUE"""),4191200.0)</f>
        <v>4191200</v>
      </c>
      <c r="G995" s="2">
        <f t="shared" si="1"/>
        <v>4</v>
      </c>
    </row>
    <row r="996" ht="15.75" customHeight="1">
      <c r="A996" s="1">
        <f>IFERROR(__xludf.DUMMYFUNCTION("""COMPUTED_VALUE"""),45327.66666666667)</f>
        <v>45327.66667</v>
      </c>
      <c r="B996" s="2">
        <f>IFERROR(__xludf.DUMMYFUNCTION("""COMPUTED_VALUE"""),282.0)</f>
        <v>282</v>
      </c>
      <c r="C996" s="2">
        <f>IFERROR(__xludf.DUMMYFUNCTION("""COMPUTED_VALUE"""),304.0)</f>
        <v>304</v>
      </c>
      <c r="D996" s="2">
        <f>IFERROR(__xludf.DUMMYFUNCTION("""COMPUTED_VALUE"""),280.0)</f>
        <v>280</v>
      </c>
      <c r="E996" s="2">
        <f>IFERROR(__xludf.DUMMYFUNCTION("""COMPUTED_VALUE"""),286.0)</f>
        <v>286</v>
      </c>
      <c r="F996" s="2">
        <f>IFERROR(__xludf.DUMMYFUNCTION("""COMPUTED_VALUE"""),4.98304E7)</f>
        <v>49830400</v>
      </c>
      <c r="G996" s="2">
        <f t="shared" si="1"/>
        <v>24</v>
      </c>
    </row>
    <row r="997" ht="15.75" customHeight="1">
      <c r="A997" s="1">
        <f>IFERROR(__xludf.DUMMYFUNCTION("""COMPUTED_VALUE"""),45328.66666666667)</f>
        <v>45328.66667</v>
      </c>
      <c r="B997" s="2">
        <f>IFERROR(__xludf.DUMMYFUNCTION("""COMPUTED_VALUE"""),286.0)</f>
        <v>286</v>
      </c>
      <c r="C997" s="2">
        <f>IFERROR(__xludf.DUMMYFUNCTION("""COMPUTED_VALUE"""),292.0)</f>
        <v>292</v>
      </c>
      <c r="D997" s="2">
        <f>IFERROR(__xludf.DUMMYFUNCTION("""COMPUTED_VALUE"""),284.0)</f>
        <v>284</v>
      </c>
      <c r="E997" s="2">
        <f>IFERROR(__xludf.DUMMYFUNCTION("""COMPUTED_VALUE"""),286.0)</f>
        <v>286</v>
      </c>
      <c r="F997" s="2">
        <f>IFERROR(__xludf.DUMMYFUNCTION("""COMPUTED_VALUE"""),2.01825E7)</f>
        <v>20182500</v>
      </c>
      <c r="G997" s="2">
        <f t="shared" si="1"/>
        <v>8</v>
      </c>
    </row>
    <row r="998" ht="15.75" customHeight="1">
      <c r="A998" s="1">
        <f>IFERROR(__xludf.DUMMYFUNCTION("""COMPUTED_VALUE"""),45329.66666666667)</f>
        <v>45329.66667</v>
      </c>
      <c r="B998" s="2">
        <f>IFERROR(__xludf.DUMMYFUNCTION("""COMPUTED_VALUE"""),288.0)</f>
        <v>288</v>
      </c>
      <c r="C998" s="2">
        <f>IFERROR(__xludf.DUMMYFUNCTION("""COMPUTED_VALUE"""),290.0)</f>
        <v>290</v>
      </c>
      <c r="D998" s="2">
        <f>IFERROR(__xludf.DUMMYFUNCTION("""COMPUTED_VALUE"""),282.0)</f>
        <v>282</v>
      </c>
      <c r="E998" s="2">
        <f>IFERROR(__xludf.DUMMYFUNCTION("""COMPUTED_VALUE"""),284.0)</f>
        <v>284</v>
      </c>
      <c r="F998" s="2">
        <f>IFERROR(__xludf.DUMMYFUNCTION("""COMPUTED_VALUE"""),9653100.0)</f>
        <v>9653100</v>
      </c>
      <c r="G998" s="2">
        <f t="shared" si="1"/>
        <v>8</v>
      </c>
    </row>
    <row r="999" ht="15.75" customHeight="1">
      <c r="A999" s="1">
        <f>IFERROR(__xludf.DUMMYFUNCTION("""COMPUTED_VALUE"""),45334.66666666667)</f>
        <v>45334.66667</v>
      </c>
      <c r="B999" s="2">
        <f>IFERROR(__xludf.DUMMYFUNCTION("""COMPUTED_VALUE"""),284.0)</f>
        <v>284</v>
      </c>
      <c r="C999" s="2">
        <f>IFERROR(__xludf.DUMMYFUNCTION("""COMPUTED_VALUE"""),290.0)</f>
        <v>290</v>
      </c>
      <c r="D999" s="2">
        <f>IFERROR(__xludf.DUMMYFUNCTION("""COMPUTED_VALUE"""),282.0)</f>
        <v>282</v>
      </c>
      <c r="E999" s="2">
        <f>IFERROR(__xludf.DUMMYFUNCTION("""COMPUTED_VALUE"""),284.0)</f>
        <v>284</v>
      </c>
      <c r="F999" s="2">
        <f>IFERROR(__xludf.DUMMYFUNCTION("""COMPUTED_VALUE"""),1.65285E7)</f>
        <v>16528500</v>
      </c>
      <c r="G999" s="2">
        <f t="shared" si="1"/>
        <v>8</v>
      </c>
    </row>
    <row r="1000" ht="15.75" customHeight="1">
      <c r="A1000" s="1">
        <f>IFERROR(__xludf.DUMMYFUNCTION("""COMPUTED_VALUE"""),45335.66666666667)</f>
        <v>45335.66667</v>
      </c>
      <c r="B1000" s="2">
        <f>IFERROR(__xludf.DUMMYFUNCTION("""COMPUTED_VALUE"""),288.0)</f>
        <v>288</v>
      </c>
      <c r="C1000" s="2">
        <f>IFERROR(__xludf.DUMMYFUNCTION("""COMPUTED_VALUE"""),294.0)</f>
        <v>294</v>
      </c>
      <c r="D1000" s="2">
        <f>IFERROR(__xludf.DUMMYFUNCTION("""COMPUTED_VALUE"""),282.0)</f>
        <v>282</v>
      </c>
      <c r="E1000" s="2">
        <f>IFERROR(__xludf.DUMMYFUNCTION("""COMPUTED_VALUE"""),292.0)</f>
        <v>292</v>
      </c>
      <c r="F1000" s="2">
        <f>IFERROR(__xludf.DUMMYFUNCTION("""COMPUTED_VALUE"""),3.50573E7)</f>
        <v>35057300</v>
      </c>
      <c r="G1000" s="2">
        <f t="shared" si="1"/>
        <v>12</v>
      </c>
    </row>
    <row r="1001" ht="15.75" customHeight="1">
      <c r="A1001" s="1">
        <f>IFERROR(__xludf.DUMMYFUNCTION("""COMPUTED_VALUE"""),45337.66666666667)</f>
        <v>45337.66667</v>
      </c>
      <c r="B1001" s="2">
        <f>IFERROR(__xludf.DUMMYFUNCTION("""COMPUTED_VALUE"""),294.0)</f>
        <v>294</v>
      </c>
      <c r="C1001" s="2">
        <f>IFERROR(__xludf.DUMMYFUNCTION("""COMPUTED_VALUE"""),362.0)</f>
        <v>362</v>
      </c>
      <c r="D1001" s="2">
        <f>IFERROR(__xludf.DUMMYFUNCTION("""COMPUTED_VALUE"""),294.0)</f>
        <v>294</v>
      </c>
      <c r="E1001" s="2">
        <f>IFERROR(__xludf.DUMMYFUNCTION("""COMPUTED_VALUE"""),352.0)</f>
        <v>352</v>
      </c>
      <c r="F1001" s="2">
        <f>IFERROR(__xludf.DUMMYFUNCTION("""COMPUTED_VALUE"""),5.139556E8)</f>
        <v>513955600</v>
      </c>
      <c r="G1001" s="2">
        <f t="shared" si="1"/>
        <v>70</v>
      </c>
    </row>
    <row r="1002" ht="15.75" customHeight="1">
      <c r="A1002" s="1">
        <f>IFERROR(__xludf.DUMMYFUNCTION("""COMPUTED_VALUE"""),45338.66666666667)</f>
        <v>45338.66667</v>
      </c>
      <c r="B1002" s="2">
        <f>IFERROR(__xludf.DUMMYFUNCTION("""COMPUTED_VALUE"""),352.0)</f>
        <v>352</v>
      </c>
      <c r="C1002" s="2">
        <f>IFERROR(__xludf.DUMMYFUNCTION("""COMPUTED_VALUE"""),364.0)</f>
        <v>364</v>
      </c>
      <c r="D1002" s="2">
        <f>IFERROR(__xludf.DUMMYFUNCTION("""COMPUTED_VALUE"""),320.0)</f>
        <v>320</v>
      </c>
      <c r="E1002" s="2">
        <f>IFERROR(__xludf.DUMMYFUNCTION("""COMPUTED_VALUE"""),322.0)</f>
        <v>322</v>
      </c>
      <c r="F1002" s="2">
        <f>IFERROR(__xludf.DUMMYFUNCTION("""COMPUTED_VALUE"""),2.69187E8)</f>
        <v>269187000</v>
      </c>
      <c r="G1002" s="2">
        <f t="shared" si="1"/>
        <v>44</v>
      </c>
    </row>
    <row r="1003" ht="15.75" customHeight="1">
      <c r="A1003" s="1">
        <f>IFERROR(__xludf.DUMMYFUNCTION("""COMPUTED_VALUE"""),45341.66666666667)</f>
        <v>45341.66667</v>
      </c>
      <c r="B1003" s="2">
        <f>IFERROR(__xludf.DUMMYFUNCTION("""COMPUTED_VALUE"""),322.0)</f>
        <v>322</v>
      </c>
      <c r="C1003" s="2">
        <f>IFERROR(__xludf.DUMMYFUNCTION("""COMPUTED_VALUE"""),326.0)</f>
        <v>326</v>
      </c>
      <c r="D1003" s="2">
        <f>IFERROR(__xludf.DUMMYFUNCTION("""COMPUTED_VALUE"""),294.0)</f>
        <v>294</v>
      </c>
      <c r="E1003" s="2">
        <f>IFERROR(__xludf.DUMMYFUNCTION("""COMPUTED_VALUE"""),298.0)</f>
        <v>298</v>
      </c>
      <c r="F1003" s="2">
        <f>IFERROR(__xludf.DUMMYFUNCTION("""COMPUTED_VALUE"""),9.2089E7)</f>
        <v>92089000</v>
      </c>
      <c r="G1003" s="2">
        <f t="shared" si="1"/>
        <v>32</v>
      </c>
    </row>
    <row r="1004" ht="15.75" customHeight="1">
      <c r="A1004" s="1">
        <f>IFERROR(__xludf.DUMMYFUNCTION("""COMPUTED_VALUE"""),45342.66666666667)</f>
        <v>45342.66667</v>
      </c>
      <c r="B1004" s="2">
        <f>IFERROR(__xludf.DUMMYFUNCTION("""COMPUTED_VALUE"""),298.0)</f>
        <v>298</v>
      </c>
      <c r="C1004" s="2">
        <f>IFERROR(__xludf.DUMMYFUNCTION("""COMPUTED_VALUE"""),310.0)</f>
        <v>310</v>
      </c>
      <c r="D1004" s="2">
        <f>IFERROR(__xludf.DUMMYFUNCTION("""COMPUTED_VALUE"""),290.0)</f>
        <v>290</v>
      </c>
      <c r="E1004" s="2">
        <f>IFERROR(__xludf.DUMMYFUNCTION("""COMPUTED_VALUE"""),304.0)</f>
        <v>304</v>
      </c>
      <c r="F1004" s="2">
        <f>IFERROR(__xludf.DUMMYFUNCTION("""COMPUTED_VALUE"""),4.83355E7)</f>
        <v>48335500</v>
      </c>
      <c r="G1004" s="2">
        <f t="shared" si="1"/>
        <v>20</v>
      </c>
    </row>
    <row r="1005" ht="15.75" customHeight="1">
      <c r="A1005" s="1">
        <f>IFERROR(__xludf.DUMMYFUNCTION("""COMPUTED_VALUE"""),45343.66666666667)</f>
        <v>45343.66667</v>
      </c>
      <c r="B1005" s="2">
        <f>IFERROR(__xludf.DUMMYFUNCTION("""COMPUTED_VALUE"""),304.0)</f>
        <v>304</v>
      </c>
      <c r="C1005" s="2">
        <f>IFERROR(__xludf.DUMMYFUNCTION("""COMPUTED_VALUE"""),308.0)</f>
        <v>308</v>
      </c>
      <c r="D1005" s="2">
        <f>IFERROR(__xludf.DUMMYFUNCTION("""COMPUTED_VALUE"""),294.0)</f>
        <v>294</v>
      </c>
      <c r="E1005" s="2">
        <f>IFERROR(__xludf.DUMMYFUNCTION("""COMPUTED_VALUE"""),296.0)</f>
        <v>296</v>
      </c>
      <c r="F1005" s="2">
        <f>IFERROR(__xludf.DUMMYFUNCTION("""COMPUTED_VALUE"""),3.23217E7)</f>
        <v>32321700</v>
      </c>
      <c r="G1005" s="2">
        <f t="shared" si="1"/>
        <v>14</v>
      </c>
    </row>
    <row r="1006" ht="15.75" customHeight="1">
      <c r="A1006" s="1">
        <f>IFERROR(__xludf.DUMMYFUNCTION("""COMPUTED_VALUE"""),45344.66666666667)</f>
        <v>45344.66667</v>
      </c>
      <c r="B1006" s="2">
        <f>IFERROR(__xludf.DUMMYFUNCTION("""COMPUTED_VALUE"""),296.0)</f>
        <v>296</v>
      </c>
      <c r="C1006" s="2">
        <f>IFERROR(__xludf.DUMMYFUNCTION("""COMPUTED_VALUE"""),304.0)</f>
        <v>304</v>
      </c>
      <c r="D1006" s="2">
        <f>IFERROR(__xludf.DUMMYFUNCTION("""COMPUTED_VALUE"""),296.0)</f>
        <v>296</v>
      </c>
      <c r="E1006" s="2">
        <f>IFERROR(__xludf.DUMMYFUNCTION("""COMPUTED_VALUE"""),298.0)</f>
        <v>298</v>
      </c>
      <c r="F1006" s="2">
        <f>IFERROR(__xludf.DUMMYFUNCTION("""COMPUTED_VALUE"""),2.19124E7)</f>
        <v>21912400</v>
      </c>
      <c r="G1006" s="2">
        <f t="shared" si="1"/>
        <v>8</v>
      </c>
    </row>
    <row r="1007" ht="15.75" customHeight="1">
      <c r="A1007" s="1">
        <f>IFERROR(__xludf.DUMMYFUNCTION("""COMPUTED_VALUE"""),45345.66666666667)</f>
        <v>45345.66667</v>
      </c>
      <c r="B1007" s="2">
        <f>IFERROR(__xludf.DUMMYFUNCTION("""COMPUTED_VALUE"""),298.0)</f>
        <v>298</v>
      </c>
      <c r="C1007" s="2">
        <f>IFERROR(__xludf.DUMMYFUNCTION("""COMPUTED_VALUE"""),304.0)</f>
        <v>304</v>
      </c>
      <c r="D1007" s="2">
        <f>IFERROR(__xludf.DUMMYFUNCTION("""COMPUTED_VALUE"""),294.0)</f>
        <v>294</v>
      </c>
      <c r="E1007" s="2">
        <f>IFERROR(__xludf.DUMMYFUNCTION("""COMPUTED_VALUE"""),300.0)</f>
        <v>300</v>
      </c>
      <c r="F1007" s="2">
        <f>IFERROR(__xludf.DUMMYFUNCTION("""COMPUTED_VALUE"""),1.46378E7)</f>
        <v>14637800</v>
      </c>
      <c r="G1007" s="2">
        <f t="shared" si="1"/>
        <v>10</v>
      </c>
    </row>
    <row r="1008" ht="15.75" customHeight="1">
      <c r="A1008" s="1">
        <f>IFERROR(__xludf.DUMMYFUNCTION("""COMPUTED_VALUE"""),45348.66666666667)</f>
        <v>45348.66667</v>
      </c>
      <c r="B1008" s="2">
        <f>IFERROR(__xludf.DUMMYFUNCTION("""COMPUTED_VALUE"""),300.0)</f>
        <v>300</v>
      </c>
      <c r="C1008" s="2">
        <f>IFERROR(__xludf.DUMMYFUNCTION("""COMPUTED_VALUE"""),306.0)</f>
        <v>306</v>
      </c>
      <c r="D1008" s="2">
        <f>IFERROR(__xludf.DUMMYFUNCTION("""COMPUTED_VALUE"""),296.0)</f>
        <v>296</v>
      </c>
      <c r="E1008" s="2">
        <f>IFERROR(__xludf.DUMMYFUNCTION("""COMPUTED_VALUE"""),298.0)</f>
        <v>298</v>
      </c>
      <c r="F1008" s="2">
        <f>IFERROR(__xludf.DUMMYFUNCTION("""COMPUTED_VALUE"""),1.68141E7)</f>
        <v>16814100</v>
      </c>
      <c r="G1008" s="2">
        <f t="shared" si="1"/>
        <v>10</v>
      </c>
    </row>
    <row r="1009" ht="15.75" customHeight="1">
      <c r="A1009" s="1">
        <f>IFERROR(__xludf.DUMMYFUNCTION("""COMPUTED_VALUE"""),45349.66666666667)</f>
        <v>45349.66667</v>
      </c>
      <c r="B1009" s="2">
        <f>IFERROR(__xludf.DUMMYFUNCTION("""COMPUTED_VALUE"""),298.0)</f>
        <v>298</v>
      </c>
      <c r="C1009" s="2">
        <f>IFERROR(__xludf.DUMMYFUNCTION("""COMPUTED_VALUE"""),300.0)</f>
        <v>300</v>
      </c>
      <c r="D1009" s="2">
        <f>IFERROR(__xludf.DUMMYFUNCTION("""COMPUTED_VALUE"""),292.0)</f>
        <v>292</v>
      </c>
      <c r="E1009" s="2">
        <f>IFERROR(__xludf.DUMMYFUNCTION("""COMPUTED_VALUE"""),292.0)</f>
        <v>292</v>
      </c>
      <c r="F1009" s="2">
        <f>IFERROR(__xludf.DUMMYFUNCTION("""COMPUTED_VALUE"""),1.00381E7)</f>
        <v>10038100</v>
      </c>
      <c r="G1009" s="2">
        <f t="shared" si="1"/>
        <v>8</v>
      </c>
    </row>
    <row r="1010" ht="15.75" customHeight="1">
      <c r="A1010" s="1">
        <f>IFERROR(__xludf.DUMMYFUNCTION("""COMPUTED_VALUE"""),45350.66666666667)</f>
        <v>45350.66667</v>
      </c>
      <c r="B1010" s="2">
        <f>IFERROR(__xludf.DUMMYFUNCTION("""COMPUTED_VALUE"""),298.0)</f>
        <v>298</v>
      </c>
      <c r="C1010" s="2">
        <f>IFERROR(__xludf.DUMMYFUNCTION("""COMPUTED_VALUE"""),298.0)</f>
        <v>298</v>
      </c>
      <c r="D1010" s="2">
        <f>IFERROR(__xludf.DUMMYFUNCTION("""COMPUTED_VALUE"""),292.0)</f>
        <v>292</v>
      </c>
      <c r="E1010" s="2">
        <f>IFERROR(__xludf.DUMMYFUNCTION("""COMPUTED_VALUE"""),292.0)</f>
        <v>292</v>
      </c>
      <c r="F1010" s="2">
        <f>IFERROR(__xludf.DUMMYFUNCTION("""COMPUTED_VALUE"""),1.25223E7)</f>
        <v>12522300</v>
      </c>
      <c r="G1010" s="2">
        <f t="shared" si="1"/>
        <v>6</v>
      </c>
    </row>
    <row r="1011" ht="15.75" customHeight="1">
      <c r="A1011" s="1">
        <f>IFERROR(__xludf.DUMMYFUNCTION("""COMPUTED_VALUE"""),45351.66666666667)</f>
        <v>45351.66667</v>
      </c>
      <c r="B1011" s="2">
        <f>IFERROR(__xludf.DUMMYFUNCTION("""COMPUTED_VALUE"""),296.0)</f>
        <v>296</v>
      </c>
      <c r="C1011" s="2">
        <f>IFERROR(__xludf.DUMMYFUNCTION("""COMPUTED_VALUE"""),306.0)</f>
        <v>306</v>
      </c>
      <c r="D1011" s="2">
        <f>IFERROR(__xludf.DUMMYFUNCTION("""COMPUTED_VALUE"""),290.0)</f>
        <v>290</v>
      </c>
      <c r="E1011" s="2">
        <f>IFERROR(__xludf.DUMMYFUNCTION("""COMPUTED_VALUE"""),296.0)</f>
        <v>296</v>
      </c>
      <c r="F1011" s="2">
        <f>IFERROR(__xludf.DUMMYFUNCTION("""COMPUTED_VALUE"""),4.05118E7)</f>
        <v>40511800</v>
      </c>
      <c r="G1011" s="2">
        <f t="shared" si="1"/>
        <v>16</v>
      </c>
    </row>
    <row r="1012" ht="15.75" customHeight="1">
      <c r="A1012" s="1">
        <f>IFERROR(__xludf.DUMMYFUNCTION("""COMPUTED_VALUE"""),45352.66666666667)</f>
        <v>45352.66667</v>
      </c>
      <c r="B1012" s="2">
        <f>IFERROR(__xludf.DUMMYFUNCTION("""COMPUTED_VALUE"""),296.0)</f>
        <v>296</v>
      </c>
      <c r="C1012" s="2">
        <f>IFERROR(__xludf.DUMMYFUNCTION("""COMPUTED_VALUE"""),298.0)</f>
        <v>298</v>
      </c>
      <c r="D1012" s="2">
        <f>IFERROR(__xludf.DUMMYFUNCTION("""COMPUTED_VALUE"""),290.0)</f>
        <v>290</v>
      </c>
      <c r="E1012" s="2">
        <f>IFERROR(__xludf.DUMMYFUNCTION("""COMPUTED_VALUE"""),292.0)</f>
        <v>292</v>
      </c>
      <c r="F1012" s="2">
        <f>IFERROR(__xludf.DUMMYFUNCTION("""COMPUTED_VALUE"""),1.04388E7)</f>
        <v>10438800</v>
      </c>
      <c r="G1012" s="2">
        <f t="shared" si="1"/>
        <v>8</v>
      </c>
    </row>
    <row r="1013" ht="15.75" customHeight="1">
      <c r="A1013" s="1">
        <f>IFERROR(__xludf.DUMMYFUNCTION("""COMPUTED_VALUE"""),45355.66666666667)</f>
        <v>45355.66667</v>
      </c>
      <c r="B1013" s="2">
        <f>IFERROR(__xludf.DUMMYFUNCTION("""COMPUTED_VALUE"""),294.0)</f>
        <v>294</v>
      </c>
      <c r="C1013" s="2">
        <f>IFERROR(__xludf.DUMMYFUNCTION("""COMPUTED_VALUE"""),296.0)</f>
        <v>296</v>
      </c>
      <c r="D1013" s="2">
        <f>IFERROR(__xludf.DUMMYFUNCTION("""COMPUTED_VALUE"""),282.0)</f>
        <v>282</v>
      </c>
      <c r="E1013" s="2">
        <f>IFERROR(__xludf.DUMMYFUNCTION("""COMPUTED_VALUE"""),284.0)</f>
        <v>284</v>
      </c>
      <c r="F1013" s="2">
        <f>IFERROR(__xludf.DUMMYFUNCTION("""COMPUTED_VALUE"""),2.40649E7)</f>
        <v>24064900</v>
      </c>
      <c r="G1013" s="2">
        <f t="shared" si="1"/>
        <v>14</v>
      </c>
    </row>
    <row r="1014" ht="15.75" customHeight="1">
      <c r="A1014" s="1">
        <f>IFERROR(__xludf.DUMMYFUNCTION("""COMPUTED_VALUE"""),45356.66666666667)</f>
        <v>45356.66667</v>
      </c>
      <c r="B1014" s="2">
        <f>IFERROR(__xludf.DUMMYFUNCTION("""COMPUTED_VALUE"""),284.0)</f>
        <v>284</v>
      </c>
      <c r="C1014" s="2">
        <f>IFERROR(__xludf.DUMMYFUNCTION("""COMPUTED_VALUE"""),308.0)</f>
        <v>308</v>
      </c>
      <c r="D1014" s="2">
        <f>IFERROR(__xludf.DUMMYFUNCTION("""COMPUTED_VALUE"""),284.0)</f>
        <v>284</v>
      </c>
      <c r="E1014" s="2">
        <f>IFERROR(__xludf.DUMMYFUNCTION("""COMPUTED_VALUE"""),290.0)</f>
        <v>290</v>
      </c>
      <c r="F1014" s="2">
        <f>IFERROR(__xludf.DUMMYFUNCTION("""COMPUTED_VALUE"""),1.192705E8)</f>
        <v>119270500</v>
      </c>
      <c r="G1014" s="2">
        <f t="shared" si="1"/>
        <v>24</v>
      </c>
    </row>
    <row r="1015" ht="15.75" customHeight="1">
      <c r="A1015" s="1">
        <f>IFERROR(__xludf.DUMMYFUNCTION("""COMPUTED_VALUE"""),45357.66666666667)</f>
        <v>45357.66667</v>
      </c>
      <c r="B1015" s="2">
        <f>IFERROR(__xludf.DUMMYFUNCTION("""COMPUTED_VALUE"""),290.0)</f>
        <v>290</v>
      </c>
      <c r="C1015" s="2">
        <f>IFERROR(__xludf.DUMMYFUNCTION("""COMPUTED_VALUE"""),294.0)</f>
        <v>294</v>
      </c>
      <c r="D1015" s="2">
        <f>IFERROR(__xludf.DUMMYFUNCTION("""COMPUTED_VALUE"""),288.0)</f>
        <v>288</v>
      </c>
      <c r="E1015" s="2">
        <f>IFERROR(__xludf.DUMMYFUNCTION("""COMPUTED_VALUE"""),292.0)</f>
        <v>292</v>
      </c>
      <c r="F1015" s="2">
        <f>IFERROR(__xludf.DUMMYFUNCTION("""COMPUTED_VALUE"""),1.86967E7)</f>
        <v>18696700</v>
      </c>
      <c r="G1015" s="2">
        <f t="shared" si="1"/>
        <v>6</v>
      </c>
    </row>
    <row r="1016" ht="15.75" customHeight="1">
      <c r="A1016" s="1">
        <f>IFERROR(__xludf.DUMMYFUNCTION("""COMPUTED_VALUE"""),45358.66666666667)</f>
        <v>45358.66667</v>
      </c>
      <c r="B1016" s="2">
        <f>IFERROR(__xludf.DUMMYFUNCTION("""COMPUTED_VALUE"""),292.0)</f>
        <v>292</v>
      </c>
      <c r="C1016" s="2">
        <f>IFERROR(__xludf.DUMMYFUNCTION("""COMPUTED_VALUE"""),294.0)</f>
        <v>294</v>
      </c>
      <c r="D1016" s="2">
        <f>IFERROR(__xludf.DUMMYFUNCTION("""COMPUTED_VALUE"""),288.0)</f>
        <v>288</v>
      </c>
      <c r="E1016" s="2">
        <f>IFERROR(__xludf.DUMMYFUNCTION("""COMPUTED_VALUE"""),292.0)</f>
        <v>292</v>
      </c>
      <c r="F1016" s="2">
        <f>IFERROR(__xludf.DUMMYFUNCTION("""COMPUTED_VALUE"""),9204100.0)</f>
        <v>9204100</v>
      </c>
      <c r="G1016" s="2">
        <f t="shared" si="1"/>
        <v>6</v>
      </c>
    </row>
    <row r="1017" ht="15.75" customHeight="1">
      <c r="A1017" s="1">
        <f>IFERROR(__xludf.DUMMYFUNCTION("""COMPUTED_VALUE"""),45359.66666666667)</f>
        <v>45359.66667</v>
      </c>
      <c r="B1017" s="2">
        <f>IFERROR(__xludf.DUMMYFUNCTION("""COMPUTED_VALUE"""),312.0)</f>
        <v>312</v>
      </c>
      <c r="C1017" s="2">
        <f>IFERROR(__xludf.DUMMYFUNCTION("""COMPUTED_VALUE"""),322.0)</f>
        <v>322</v>
      </c>
      <c r="D1017" s="2">
        <f>IFERROR(__xludf.DUMMYFUNCTION("""COMPUTED_VALUE"""),296.0)</f>
        <v>296</v>
      </c>
      <c r="E1017" s="2">
        <f>IFERROR(__xludf.DUMMYFUNCTION("""COMPUTED_VALUE"""),298.0)</f>
        <v>298</v>
      </c>
      <c r="F1017" s="2">
        <f>IFERROR(__xludf.DUMMYFUNCTION("""COMPUTED_VALUE"""),1.608523E8)</f>
        <v>160852300</v>
      </c>
      <c r="G1017" s="2">
        <f t="shared" si="1"/>
        <v>30</v>
      </c>
    </row>
    <row r="1018" ht="15.75" customHeight="1">
      <c r="A1018" s="1">
        <f>IFERROR(__xludf.DUMMYFUNCTION("""COMPUTED_VALUE"""),45364.66666666667)</f>
        <v>45364.66667</v>
      </c>
      <c r="B1018" s="2">
        <f>IFERROR(__xludf.DUMMYFUNCTION("""COMPUTED_VALUE"""),300.0)</f>
        <v>300</v>
      </c>
      <c r="C1018" s="2">
        <f>IFERROR(__xludf.DUMMYFUNCTION("""COMPUTED_VALUE"""),310.0)</f>
        <v>310</v>
      </c>
      <c r="D1018" s="2">
        <f>IFERROR(__xludf.DUMMYFUNCTION("""COMPUTED_VALUE"""),296.0)</f>
        <v>296</v>
      </c>
      <c r="E1018" s="2">
        <f>IFERROR(__xludf.DUMMYFUNCTION("""COMPUTED_VALUE"""),296.0)</f>
        <v>296</v>
      </c>
      <c r="F1018" s="2">
        <f>IFERROR(__xludf.DUMMYFUNCTION("""COMPUTED_VALUE"""),2.58624E7)</f>
        <v>25862400</v>
      </c>
      <c r="G1018" s="2">
        <f t="shared" si="1"/>
        <v>14</v>
      </c>
    </row>
    <row r="1019" ht="15.75" customHeight="1">
      <c r="A1019" s="1">
        <f>IFERROR(__xludf.DUMMYFUNCTION("""COMPUTED_VALUE"""),45365.66666666667)</f>
        <v>45365.66667</v>
      </c>
      <c r="B1019" s="2">
        <f>IFERROR(__xludf.DUMMYFUNCTION("""COMPUTED_VALUE"""),296.0)</f>
        <v>296</v>
      </c>
      <c r="C1019" s="2">
        <f>IFERROR(__xludf.DUMMYFUNCTION("""COMPUTED_VALUE"""),302.0)</f>
        <v>302</v>
      </c>
      <c r="D1019" s="2">
        <f>IFERROR(__xludf.DUMMYFUNCTION("""COMPUTED_VALUE"""),294.0)</f>
        <v>294</v>
      </c>
      <c r="E1019" s="2">
        <f>IFERROR(__xludf.DUMMYFUNCTION("""COMPUTED_VALUE"""),300.0)</f>
        <v>300</v>
      </c>
      <c r="F1019" s="2">
        <f>IFERROR(__xludf.DUMMYFUNCTION("""COMPUTED_VALUE"""),1.53755E7)</f>
        <v>15375500</v>
      </c>
      <c r="G1019" s="2">
        <f t="shared" si="1"/>
        <v>8</v>
      </c>
    </row>
    <row r="1020" ht="15.75" customHeight="1">
      <c r="A1020" s="1">
        <f>IFERROR(__xludf.DUMMYFUNCTION("""COMPUTED_VALUE"""),45366.66666666667)</f>
        <v>45366.66667</v>
      </c>
      <c r="B1020" s="2">
        <f>IFERROR(__xludf.DUMMYFUNCTION("""COMPUTED_VALUE"""),300.0)</f>
        <v>300</v>
      </c>
      <c r="C1020" s="2">
        <f>IFERROR(__xludf.DUMMYFUNCTION("""COMPUTED_VALUE"""),302.0)</f>
        <v>302</v>
      </c>
      <c r="D1020" s="2">
        <f>IFERROR(__xludf.DUMMYFUNCTION("""COMPUTED_VALUE"""),290.0)</f>
        <v>290</v>
      </c>
      <c r="E1020" s="2">
        <f>IFERROR(__xludf.DUMMYFUNCTION("""COMPUTED_VALUE"""),290.0)</f>
        <v>290</v>
      </c>
      <c r="F1020" s="2">
        <f>IFERROR(__xludf.DUMMYFUNCTION("""COMPUTED_VALUE"""),7.75857E7)</f>
        <v>77585700</v>
      </c>
      <c r="G1020" s="2">
        <f t="shared" si="1"/>
        <v>12</v>
      </c>
    </row>
    <row r="1021" ht="15.75" customHeight="1">
      <c r="A1021" s="1">
        <f>IFERROR(__xludf.DUMMYFUNCTION("""COMPUTED_VALUE"""),45369.66666666667)</f>
        <v>45369.66667</v>
      </c>
      <c r="B1021" s="2">
        <f>IFERROR(__xludf.DUMMYFUNCTION("""COMPUTED_VALUE"""),290.0)</f>
        <v>290</v>
      </c>
      <c r="C1021" s="2">
        <f>IFERROR(__xludf.DUMMYFUNCTION("""COMPUTED_VALUE"""),304.0)</f>
        <v>304</v>
      </c>
      <c r="D1021" s="2">
        <f>IFERROR(__xludf.DUMMYFUNCTION("""COMPUTED_VALUE"""),290.0)</f>
        <v>290</v>
      </c>
      <c r="E1021" s="2">
        <f>IFERROR(__xludf.DUMMYFUNCTION("""COMPUTED_VALUE"""),302.0)</f>
        <v>302</v>
      </c>
      <c r="F1021" s="2">
        <f>IFERROR(__xludf.DUMMYFUNCTION("""COMPUTED_VALUE"""),4.66914E7)</f>
        <v>46691400</v>
      </c>
      <c r="G1021" s="2">
        <f t="shared" si="1"/>
        <v>14</v>
      </c>
    </row>
    <row r="1022" ht="15.75" customHeight="1">
      <c r="A1022" s="1">
        <f>IFERROR(__xludf.DUMMYFUNCTION("""COMPUTED_VALUE"""),45370.66666666667)</f>
        <v>45370.66667</v>
      </c>
      <c r="B1022" s="2">
        <f>IFERROR(__xludf.DUMMYFUNCTION("""COMPUTED_VALUE"""),302.0)</f>
        <v>302</v>
      </c>
      <c r="C1022" s="2">
        <f>IFERROR(__xludf.DUMMYFUNCTION("""COMPUTED_VALUE"""),320.0)</f>
        <v>320</v>
      </c>
      <c r="D1022" s="2">
        <f>IFERROR(__xludf.DUMMYFUNCTION("""COMPUTED_VALUE"""),298.0)</f>
        <v>298</v>
      </c>
      <c r="E1022" s="2">
        <f>IFERROR(__xludf.DUMMYFUNCTION("""COMPUTED_VALUE"""),310.0)</f>
        <v>310</v>
      </c>
      <c r="F1022" s="2">
        <f>IFERROR(__xludf.DUMMYFUNCTION("""COMPUTED_VALUE"""),9.02012E7)</f>
        <v>90201200</v>
      </c>
      <c r="G1022" s="2">
        <f t="shared" si="1"/>
        <v>22</v>
      </c>
    </row>
    <row r="1023" ht="15.75" customHeight="1">
      <c r="A1023" s="1">
        <f>IFERROR(__xludf.DUMMYFUNCTION("""COMPUTED_VALUE"""),45371.66666666667)</f>
        <v>45371.66667</v>
      </c>
      <c r="B1023" s="2">
        <f>IFERROR(__xludf.DUMMYFUNCTION("""COMPUTED_VALUE"""),312.0)</f>
        <v>312</v>
      </c>
      <c r="C1023" s="2">
        <f>IFERROR(__xludf.DUMMYFUNCTION("""COMPUTED_VALUE"""),316.0)</f>
        <v>316</v>
      </c>
      <c r="D1023" s="2">
        <f>IFERROR(__xludf.DUMMYFUNCTION("""COMPUTED_VALUE"""),298.0)</f>
        <v>298</v>
      </c>
      <c r="E1023" s="2">
        <f>IFERROR(__xludf.DUMMYFUNCTION("""COMPUTED_VALUE"""),302.0)</f>
        <v>302</v>
      </c>
      <c r="F1023" s="2">
        <f>IFERROR(__xludf.DUMMYFUNCTION("""COMPUTED_VALUE"""),7.10709E7)</f>
        <v>71070900</v>
      </c>
      <c r="G1023" s="2">
        <f t="shared" si="1"/>
        <v>18</v>
      </c>
    </row>
    <row r="1024" ht="15.75" customHeight="1">
      <c r="A1024" s="1">
        <f>IFERROR(__xludf.DUMMYFUNCTION("""COMPUTED_VALUE"""),45372.66666666667)</f>
        <v>45372.66667</v>
      </c>
      <c r="B1024" s="2">
        <f>IFERROR(__xludf.DUMMYFUNCTION("""COMPUTED_VALUE"""),304.0)</f>
        <v>304</v>
      </c>
      <c r="C1024" s="2">
        <f>IFERROR(__xludf.DUMMYFUNCTION("""COMPUTED_VALUE"""),312.0)</f>
        <v>312</v>
      </c>
      <c r="D1024" s="2">
        <f>IFERROR(__xludf.DUMMYFUNCTION("""COMPUTED_VALUE"""),302.0)</f>
        <v>302</v>
      </c>
      <c r="E1024" s="2">
        <f>IFERROR(__xludf.DUMMYFUNCTION("""COMPUTED_VALUE"""),308.0)</f>
        <v>308</v>
      </c>
      <c r="F1024" s="2">
        <f>IFERROR(__xludf.DUMMYFUNCTION("""COMPUTED_VALUE"""),3.2759E7)</f>
        <v>32759000</v>
      </c>
      <c r="G1024" s="2">
        <f t="shared" si="1"/>
        <v>10</v>
      </c>
    </row>
    <row r="1025" ht="15.75" customHeight="1">
      <c r="A1025" s="1">
        <f>IFERROR(__xludf.DUMMYFUNCTION("""COMPUTED_VALUE"""),45373.66666666667)</f>
        <v>45373.66667</v>
      </c>
      <c r="B1025" s="2">
        <f>IFERROR(__xludf.DUMMYFUNCTION("""COMPUTED_VALUE"""),310.0)</f>
        <v>310</v>
      </c>
      <c r="C1025" s="2">
        <f>IFERROR(__xludf.DUMMYFUNCTION("""COMPUTED_VALUE"""),312.0)</f>
        <v>312</v>
      </c>
      <c r="D1025" s="2">
        <f>IFERROR(__xludf.DUMMYFUNCTION("""COMPUTED_VALUE"""),304.0)</f>
        <v>304</v>
      </c>
      <c r="E1025" s="2">
        <f>IFERROR(__xludf.DUMMYFUNCTION("""COMPUTED_VALUE"""),308.0)</f>
        <v>308</v>
      </c>
      <c r="F1025" s="2">
        <f>IFERROR(__xludf.DUMMYFUNCTION("""COMPUTED_VALUE"""),1.7149E7)</f>
        <v>17149000</v>
      </c>
      <c r="G1025" s="2">
        <f t="shared" si="1"/>
        <v>8</v>
      </c>
    </row>
    <row r="1026" ht="15.75" customHeight="1">
      <c r="A1026" s="1">
        <f>IFERROR(__xludf.DUMMYFUNCTION("""COMPUTED_VALUE"""),45376.66666666667)</f>
        <v>45376.66667</v>
      </c>
      <c r="B1026" s="2">
        <f>IFERROR(__xludf.DUMMYFUNCTION("""COMPUTED_VALUE"""),314.0)</f>
        <v>314</v>
      </c>
      <c r="C1026" s="2">
        <f>IFERROR(__xludf.DUMMYFUNCTION("""COMPUTED_VALUE"""),314.0)</f>
        <v>314</v>
      </c>
      <c r="D1026" s="2">
        <f>IFERROR(__xludf.DUMMYFUNCTION("""COMPUTED_VALUE"""),300.0)</f>
        <v>300</v>
      </c>
      <c r="E1026" s="2">
        <f>IFERROR(__xludf.DUMMYFUNCTION("""COMPUTED_VALUE"""),306.0)</f>
        <v>306</v>
      </c>
      <c r="F1026" s="2">
        <f>IFERROR(__xludf.DUMMYFUNCTION("""COMPUTED_VALUE"""),1.92938E7)</f>
        <v>19293800</v>
      </c>
      <c r="G1026" s="2">
        <f t="shared" si="1"/>
        <v>14</v>
      </c>
    </row>
    <row r="1027" ht="15.75" customHeight="1">
      <c r="A1027" s="1">
        <f>IFERROR(__xludf.DUMMYFUNCTION("""COMPUTED_VALUE"""),45377.66666666667)</f>
        <v>45377.66667</v>
      </c>
      <c r="B1027" s="2">
        <f>IFERROR(__xludf.DUMMYFUNCTION("""COMPUTED_VALUE"""),308.0)</f>
        <v>308</v>
      </c>
      <c r="C1027" s="2">
        <f>IFERROR(__xludf.DUMMYFUNCTION("""COMPUTED_VALUE"""),308.0)</f>
        <v>308</v>
      </c>
      <c r="D1027" s="2">
        <f>IFERROR(__xludf.DUMMYFUNCTION("""COMPUTED_VALUE"""),300.0)</f>
        <v>300</v>
      </c>
      <c r="E1027" s="2">
        <f>IFERROR(__xludf.DUMMYFUNCTION("""COMPUTED_VALUE"""),302.0)</f>
        <v>302</v>
      </c>
      <c r="F1027" s="2">
        <f>IFERROR(__xludf.DUMMYFUNCTION("""COMPUTED_VALUE"""),1.56077E7)</f>
        <v>15607700</v>
      </c>
      <c r="G1027" s="2">
        <f t="shared" si="1"/>
        <v>8</v>
      </c>
    </row>
    <row r="1028" ht="15.75" customHeight="1">
      <c r="A1028" s="1">
        <f>IFERROR(__xludf.DUMMYFUNCTION("""COMPUTED_VALUE"""),45378.66666666667)</f>
        <v>45378.66667</v>
      </c>
      <c r="B1028" s="2">
        <f>IFERROR(__xludf.DUMMYFUNCTION("""COMPUTED_VALUE"""),302.0)</f>
        <v>302</v>
      </c>
      <c r="C1028" s="2">
        <f>IFERROR(__xludf.DUMMYFUNCTION("""COMPUTED_VALUE"""),308.0)</f>
        <v>308</v>
      </c>
      <c r="D1028" s="2">
        <f>IFERROR(__xludf.DUMMYFUNCTION("""COMPUTED_VALUE"""),298.0)</f>
        <v>298</v>
      </c>
      <c r="E1028" s="2">
        <f>IFERROR(__xludf.DUMMYFUNCTION("""COMPUTED_VALUE"""),302.0)</f>
        <v>302</v>
      </c>
      <c r="F1028" s="2">
        <f>IFERROR(__xludf.DUMMYFUNCTION("""COMPUTED_VALUE"""),1.70019E7)</f>
        <v>17001900</v>
      </c>
      <c r="G1028" s="2">
        <f t="shared" si="1"/>
        <v>10</v>
      </c>
    </row>
    <row r="1029" ht="15.75" customHeight="1">
      <c r="A1029" s="1">
        <f>IFERROR(__xludf.DUMMYFUNCTION("""COMPUTED_VALUE"""),45379.66666666667)</f>
        <v>45379.66667</v>
      </c>
      <c r="B1029" s="2">
        <f>IFERROR(__xludf.DUMMYFUNCTION("""COMPUTED_VALUE"""),302.0)</f>
        <v>302</v>
      </c>
      <c r="C1029" s="2">
        <f>IFERROR(__xludf.DUMMYFUNCTION("""COMPUTED_VALUE"""),304.0)</f>
        <v>304</v>
      </c>
      <c r="D1029" s="2">
        <f>IFERROR(__xludf.DUMMYFUNCTION("""COMPUTED_VALUE"""),292.0)</f>
        <v>292</v>
      </c>
      <c r="E1029" s="2">
        <f>IFERROR(__xludf.DUMMYFUNCTION("""COMPUTED_VALUE"""),292.0)</f>
        <v>292</v>
      </c>
      <c r="F1029" s="2">
        <f>IFERROR(__xludf.DUMMYFUNCTION("""COMPUTED_VALUE"""),2.85324E7)</f>
        <v>28532400</v>
      </c>
      <c r="G1029" s="2">
        <f t="shared" si="1"/>
        <v>12</v>
      </c>
    </row>
    <row r="1030" ht="15.75" customHeight="1">
      <c r="A1030" s="1">
        <f>IFERROR(__xludf.DUMMYFUNCTION("""COMPUTED_VALUE"""),45383.66666666667)</f>
        <v>45383.66667</v>
      </c>
      <c r="B1030" s="2">
        <f>IFERROR(__xludf.DUMMYFUNCTION("""COMPUTED_VALUE"""),292.0)</f>
        <v>292</v>
      </c>
      <c r="C1030" s="2">
        <f>IFERROR(__xludf.DUMMYFUNCTION("""COMPUTED_VALUE"""),296.0)</f>
        <v>296</v>
      </c>
      <c r="D1030" s="2">
        <f>IFERROR(__xludf.DUMMYFUNCTION("""COMPUTED_VALUE"""),284.0)</f>
        <v>284</v>
      </c>
      <c r="E1030" s="2">
        <f>IFERROR(__xludf.DUMMYFUNCTION("""COMPUTED_VALUE"""),288.0)</f>
        <v>288</v>
      </c>
      <c r="F1030" s="2">
        <f>IFERROR(__xludf.DUMMYFUNCTION("""COMPUTED_VALUE"""),2.87036E7)</f>
        <v>28703600</v>
      </c>
      <c r="G1030" s="2">
        <f t="shared" si="1"/>
        <v>12</v>
      </c>
    </row>
    <row r="1031" ht="15.75" customHeight="1">
      <c r="A1031" s="1">
        <f>IFERROR(__xludf.DUMMYFUNCTION("""COMPUTED_VALUE"""),45384.66666666667)</f>
        <v>45384.66667</v>
      </c>
      <c r="B1031" s="2">
        <f>IFERROR(__xludf.DUMMYFUNCTION("""COMPUTED_VALUE"""),290.0)</f>
        <v>290</v>
      </c>
      <c r="C1031" s="2">
        <f>IFERROR(__xludf.DUMMYFUNCTION("""COMPUTED_VALUE"""),296.0)</f>
        <v>296</v>
      </c>
      <c r="D1031" s="2">
        <f>IFERROR(__xludf.DUMMYFUNCTION("""COMPUTED_VALUE"""),284.0)</f>
        <v>284</v>
      </c>
      <c r="E1031" s="2">
        <f>IFERROR(__xludf.DUMMYFUNCTION("""COMPUTED_VALUE"""),288.0)</f>
        <v>288</v>
      </c>
      <c r="F1031" s="2">
        <f>IFERROR(__xludf.DUMMYFUNCTION("""COMPUTED_VALUE"""),1.78748E7)</f>
        <v>17874800</v>
      </c>
      <c r="G1031" s="2">
        <f t="shared" si="1"/>
        <v>12</v>
      </c>
    </row>
    <row r="1032" ht="15.75" customHeight="1">
      <c r="A1032" s="1">
        <f>IFERROR(__xludf.DUMMYFUNCTION("""COMPUTED_VALUE"""),45385.66666666667)</f>
        <v>45385.66667</v>
      </c>
      <c r="B1032" s="2">
        <f>IFERROR(__xludf.DUMMYFUNCTION("""COMPUTED_VALUE"""),290.0)</f>
        <v>290</v>
      </c>
      <c r="C1032" s="2">
        <f>IFERROR(__xludf.DUMMYFUNCTION("""COMPUTED_VALUE"""),290.0)</f>
        <v>290</v>
      </c>
      <c r="D1032" s="2">
        <f>IFERROR(__xludf.DUMMYFUNCTION("""COMPUTED_VALUE"""),282.0)</f>
        <v>282</v>
      </c>
      <c r="E1032" s="2">
        <f>IFERROR(__xludf.DUMMYFUNCTION("""COMPUTED_VALUE"""),282.0)</f>
        <v>282</v>
      </c>
      <c r="F1032" s="2">
        <f>IFERROR(__xludf.DUMMYFUNCTION("""COMPUTED_VALUE"""),1.79929E7)</f>
        <v>17992900</v>
      </c>
      <c r="G1032" s="2">
        <f t="shared" si="1"/>
        <v>8</v>
      </c>
    </row>
    <row r="1033" ht="15.75" customHeight="1">
      <c r="A1033" s="1">
        <f>IFERROR(__xludf.DUMMYFUNCTION("""COMPUTED_VALUE"""),45386.66666666667)</f>
        <v>45386.66667</v>
      </c>
      <c r="B1033" s="2">
        <f>IFERROR(__xludf.DUMMYFUNCTION("""COMPUTED_VALUE"""),266.0)</f>
        <v>266</v>
      </c>
      <c r="C1033" s="2">
        <f>IFERROR(__xludf.DUMMYFUNCTION("""COMPUTED_VALUE"""),288.0)</f>
        <v>288</v>
      </c>
      <c r="D1033" s="2">
        <f>IFERROR(__xludf.DUMMYFUNCTION("""COMPUTED_VALUE"""),266.0)</f>
        <v>266</v>
      </c>
      <c r="E1033" s="2">
        <f>IFERROR(__xludf.DUMMYFUNCTION("""COMPUTED_VALUE"""),282.0)</f>
        <v>282</v>
      </c>
      <c r="F1033" s="2">
        <f>IFERROR(__xludf.DUMMYFUNCTION("""COMPUTED_VALUE"""),2.93048E7)</f>
        <v>29304800</v>
      </c>
      <c r="G1033" s="2">
        <f t="shared" si="1"/>
        <v>22</v>
      </c>
    </row>
    <row r="1034" ht="15.75" customHeight="1">
      <c r="A1034" s="1">
        <f>IFERROR(__xludf.DUMMYFUNCTION("""COMPUTED_VALUE"""),45387.66666666667)</f>
        <v>45387.66667</v>
      </c>
      <c r="B1034" s="2">
        <f>IFERROR(__xludf.DUMMYFUNCTION("""COMPUTED_VALUE"""),286.0)</f>
        <v>286</v>
      </c>
      <c r="C1034" s="2">
        <f>IFERROR(__xludf.DUMMYFUNCTION("""COMPUTED_VALUE"""),286.0)</f>
        <v>286</v>
      </c>
      <c r="D1034" s="2">
        <f>IFERROR(__xludf.DUMMYFUNCTION("""COMPUTED_VALUE"""),278.0)</f>
        <v>278</v>
      </c>
      <c r="E1034" s="2">
        <f>IFERROR(__xludf.DUMMYFUNCTION("""COMPUTED_VALUE"""),282.0)</f>
        <v>282</v>
      </c>
      <c r="F1034" s="2">
        <f>IFERROR(__xludf.DUMMYFUNCTION("""COMPUTED_VALUE"""),2.35646E7)</f>
        <v>23564600</v>
      </c>
      <c r="G1034" s="2">
        <f t="shared" si="1"/>
        <v>8</v>
      </c>
    </row>
    <row r="1035" ht="15.75" customHeight="1">
      <c r="A1035" s="1">
        <f>IFERROR(__xludf.DUMMYFUNCTION("""COMPUTED_VALUE"""),45398.66666666667)</f>
        <v>45398.66667</v>
      </c>
      <c r="B1035" s="2">
        <f>IFERROR(__xludf.DUMMYFUNCTION("""COMPUTED_VALUE"""),282.0)</f>
        <v>282</v>
      </c>
      <c r="C1035" s="2">
        <f>IFERROR(__xludf.DUMMYFUNCTION("""COMPUTED_VALUE"""),282.0)</f>
        <v>282</v>
      </c>
      <c r="D1035" s="2">
        <f>IFERROR(__xludf.DUMMYFUNCTION("""COMPUTED_VALUE"""),274.0)</f>
        <v>274</v>
      </c>
      <c r="E1035" s="2">
        <f>IFERROR(__xludf.DUMMYFUNCTION("""COMPUTED_VALUE"""),276.0)</f>
        <v>276</v>
      </c>
      <c r="F1035" s="2">
        <f>IFERROR(__xludf.DUMMYFUNCTION("""COMPUTED_VALUE"""),1.81779E7)</f>
        <v>18177900</v>
      </c>
      <c r="G1035" s="2">
        <f t="shared" si="1"/>
        <v>8</v>
      </c>
    </row>
    <row r="1036" ht="15.75" customHeight="1">
      <c r="A1036" s="1">
        <f>IFERROR(__xludf.DUMMYFUNCTION("""COMPUTED_VALUE"""),45399.66666666667)</f>
        <v>45399.66667</v>
      </c>
      <c r="B1036" s="2">
        <f>IFERROR(__xludf.DUMMYFUNCTION("""COMPUTED_VALUE"""),278.0)</f>
        <v>278</v>
      </c>
      <c r="C1036" s="2">
        <f>IFERROR(__xludf.DUMMYFUNCTION("""COMPUTED_VALUE"""),284.0)</f>
        <v>284</v>
      </c>
      <c r="D1036" s="2">
        <f>IFERROR(__xludf.DUMMYFUNCTION("""COMPUTED_VALUE"""),276.0)</f>
        <v>276</v>
      </c>
      <c r="E1036" s="2">
        <f>IFERROR(__xludf.DUMMYFUNCTION("""COMPUTED_VALUE"""),276.0)</f>
        <v>276</v>
      </c>
      <c r="F1036" s="2">
        <f>IFERROR(__xludf.DUMMYFUNCTION("""COMPUTED_VALUE"""),1.11155E7)</f>
        <v>11115500</v>
      </c>
      <c r="G1036" s="2">
        <f t="shared" si="1"/>
        <v>8</v>
      </c>
    </row>
    <row r="1037" ht="15.75" customHeight="1">
      <c r="A1037" s="1">
        <f>IFERROR(__xludf.DUMMYFUNCTION("""COMPUTED_VALUE"""),45400.66666666667)</f>
        <v>45400.66667</v>
      </c>
      <c r="B1037" s="2">
        <f>IFERROR(__xludf.DUMMYFUNCTION("""COMPUTED_VALUE"""),276.0)</f>
        <v>276</v>
      </c>
      <c r="C1037" s="2">
        <f>IFERROR(__xludf.DUMMYFUNCTION("""COMPUTED_VALUE"""),280.0)</f>
        <v>280</v>
      </c>
      <c r="D1037" s="2">
        <f>IFERROR(__xludf.DUMMYFUNCTION("""COMPUTED_VALUE"""),272.0)</f>
        <v>272</v>
      </c>
      <c r="E1037" s="2">
        <f>IFERROR(__xludf.DUMMYFUNCTION("""COMPUTED_VALUE"""),272.0)</f>
        <v>272</v>
      </c>
      <c r="F1037" s="2">
        <f>IFERROR(__xludf.DUMMYFUNCTION("""COMPUTED_VALUE"""),8075200.0)</f>
        <v>8075200</v>
      </c>
      <c r="G1037" s="2">
        <f t="shared" si="1"/>
        <v>8</v>
      </c>
    </row>
    <row r="1038" ht="15.75" customHeight="1">
      <c r="A1038" s="1">
        <f>IFERROR(__xludf.DUMMYFUNCTION("""COMPUTED_VALUE"""),45401.66666666667)</f>
        <v>45401.66667</v>
      </c>
      <c r="B1038" s="2">
        <f>IFERROR(__xludf.DUMMYFUNCTION("""COMPUTED_VALUE"""),272.0)</f>
        <v>272</v>
      </c>
      <c r="C1038" s="2">
        <f>IFERROR(__xludf.DUMMYFUNCTION("""COMPUTED_VALUE"""),276.0)</f>
        <v>276</v>
      </c>
      <c r="D1038" s="2">
        <f>IFERROR(__xludf.DUMMYFUNCTION("""COMPUTED_VALUE"""),256.0)</f>
        <v>256</v>
      </c>
      <c r="E1038" s="2">
        <f>IFERROR(__xludf.DUMMYFUNCTION("""COMPUTED_VALUE"""),262.0)</f>
        <v>262</v>
      </c>
      <c r="F1038" s="2">
        <f>IFERROR(__xludf.DUMMYFUNCTION("""COMPUTED_VALUE"""),1.93531E7)</f>
        <v>19353100</v>
      </c>
      <c r="G1038" s="2">
        <f t="shared" si="1"/>
        <v>20</v>
      </c>
    </row>
    <row r="1039" ht="15.75" customHeight="1">
      <c r="A1039" s="1">
        <f>IFERROR(__xludf.DUMMYFUNCTION("""COMPUTED_VALUE"""),45404.66666666667)</f>
        <v>45404.66667</v>
      </c>
      <c r="B1039" s="2">
        <f>IFERROR(__xludf.DUMMYFUNCTION("""COMPUTED_VALUE"""),264.0)</f>
        <v>264</v>
      </c>
      <c r="C1039" s="2">
        <f>IFERROR(__xludf.DUMMYFUNCTION("""COMPUTED_VALUE"""),278.0)</f>
        <v>278</v>
      </c>
      <c r="D1039" s="2">
        <f>IFERROR(__xludf.DUMMYFUNCTION("""COMPUTED_VALUE"""),260.0)</f>
        <v>260</v>
      </c>
      <c r="E1039" s="2">
        <f>IFERROR(__xludf.DUMMYFUNCTION("""COMPUTED_VALUE"""),274.0)</f>
        <v>274</v>
      </c>
      <c r="F1039" s="2">
        <f>IFERROR(__xludf.DUMMYFUNCTION("""COMPUTED_VALUE"""),2.69493E7)</f>
        <v>26949300</v>
      </c>
      <c r="G1039" s="2">
        <f t="shared" si="1"/>
        <v>18</v>
      </c>
    </row>
    <row r="1040" ht="15.75" customHeight="1">
      <c r="A1040" s="1">
        <f>IFERROR(__xludf.DUMMYFUNCTION("""COMPUTED_VALUE"""),45405.66666666667)</f>
        <v>45405.66667</v>
      </c>
      <c r="B1040" s="2">
        <f>IFERROR(__xludf.DUMMYFUNCTION("""COMPUTED_VALUE"""),276.0)</f>
        <v>276</v>
      </c>
      <c r="C1040" s="2">
        <f>IFERROR(__xludf.DUMMYFUNCTION("""COMPUTED_VALUE"""),280.0)</f>
        <v>280</v>
      </c>
      <c r="D1040" s="2">
        <f>IFERROR(__xludf.DUMMYFUNCTION("""COMPUTED_VALUE"""),270.0)</f>
        <v>270</v>
      </c>
      <c r="E1040" s="2">
        <f>IFERROR(__xludf.DUMMYFUNCTION("""COMPUTED_VALUE"""),272.0)</f>
        <v>272</v>
      </c>
      <c r="F1040" s="2">
        <f>IFERROR(__xludf.DUMMYFUNCTION("""COMPUTED_VALUE"""),9228400.0)</f>
        <v>9228400</v>
      </c>
      <c r="G1040" s="2">
        <f t="shared" si="1"/>
        <v>10</v>
      </c>
    </row>
    <row r="1041" ht="15.75" customHeight="1">
      <c r="A1041" s="1">
        <f>IFERROR(__xludf.DUMMYFUNCTION("""COMPUTED_VALUE"""),45406.66666666667)</f>
        <v>45406.66667</v>
      </c>
      <c r="B1041" s="2">
        <f>IFERROR(__xludf.DUMMYFUNCTION("""COMPUTED_VALUE"""),274.0)</f>
        <v>274</v>
      </c>
      <c r="C1041" s="2">
        <f>IFERROR(__xludf.DUMMYFUNCTION("""COMPUTED_VALUE"""),276.0)</f>
        <v>276</v>
      </c>
      <c r="D1041" s="2">
        <f>IFERROR(__xludf.DUMMYFUNCTION("""COMPUTED_VALUE"""),266.0)</f>
        <v>266</v>
      </c>
      <c r="E1041" s="2">
        <f>IFERROR(__xludf.DUMMYFUNCTION("""COMPUTED_VALUE"""),268.0)</f>
        <v>268</v>
      </c>
      <c r="F1041" s="2">
        <f>IFERROR(__xludf.DUMMYFUNCTION("""COMPUTED_VALUE"""),8868000.0)</f>
        <v>8868000</v>
      </c>
      <c r="G1041" s="2">
        <f t="shared" si="1"/>
        <v>10</v>
      </c>
    </row>
    <row r="1042" ht="15.75" customHeight="1">
      <c r="A1042" s="1">
        <f>IFERROR(__xludf.DUMMYFUNCTION("""COMPUTED_VALUE"""),45407.66666666667)</f>
        <v>45407.66667</v>
      </c>
      <c r="B1042" s="2">
        <f>IFERROR(__xludf.DUMMYFUNCTION("""COMPUTED_VALUE"""),268.0)</f>
        <v>268</v>
      </c>
      <c r="C1042" s="2">
        <f>IFERROR(__xludf.DUMMYFUNCTION("""COMPUTED_VALUE"""),270.0)</f>
        <v>270</v>
      </c>
      <c r="D1042" s="2">
        <f>IFERROR(__xludf.DUMMYFUNCTION("""COMPUTED_VALUE"""),260.0)</f>
        <v>260</v>
      </c>
      <c r="E1042" s="2">
        <f>IFERROR(__xludf.DUMMYFUNCTION("""COMPUTED_VALUE"""),260.0)</f>
        <v>260</v>
      </c>
      <c r="F1042" s="2">
        <f>IFERROR(__xludf.DUMMYFUNCTION("""COMPUTED_VALUE"""),1.24123E7)</f>
        <v>12412300</v>
      </c>
      <c r="G1042" s="2">
        <f t="shared" si="1"/>
        <v>10</v>
      </c>
    </row>
    <row r="1043" ht="15.75" customHeight="1">
      <c r="A1043" s="1">
        <f>IFERROR(__xludf.DUMMYFUNCTION("""COMPUTED_VALUE"""),45408.66666666667)</f>
        <v>45408.66667</v>
      </c>
      <c r="B1043" s="2">
        <f>IFERROR(__xludf.DUMMYFUNCTION("""COMPUTED_VALUE"""),262.0)</f>
        <v>262</v>
      </c>
      <c r="C1043" s="2">
        <f>IFERROR(__xludf.DUMMYFUNCTION("""COMPUTED_VALUE"""),266.0)</f>
        <v>266</v>
      </c>
      <c r="D1043" s="2">
        <f>IFERROR(__xludf.DUMMYFUNCTION("""COMPUTED_VALUE"""),254.0)</f>
        <v>254</v>
      </c>
      <c r="E1043" s="2">
        <f>IFERROR(__xludf.DUMMYFUNCTION("""COMPUTED_VALUE"""),254.0)</f>
        <v>254</v>
      </c>
      <c r="F1043" s="2">
        <f>IFERROR(__xludf.DUMMYFUNCTION("""COMPUTED_VALUE"""),1.19552E7)</f>
        <v>11955200</v>
      </c>
      <c r="G1043" s="2">
        <f t="shared" si="1"/>
        <v>12</v>
      </c>
    </row>
    <row r="1044" ht="15.75" customHeight="1">
      <c r="A1044" s="1">
        <f>IFERROR(__xludf.DUMMYFUNCTION("""COMPUTED_VALUE"""),45411.66666666667)</f>
        <v>45411.66667</v>
      </c>
      <c r="B1044" s="2">
        <f>IFERROR(__xludf.DUMMYFUNCTION("""COMPUTED_VALUE"""),254.0)</f>
        <v>254</v>
      </c>
      <c r="C1044" s="2">
        <f>IFERROR(__xludf.DUMMYFUNCTION("""COMPUTED_VALUE"""),260.0)</f>
        <v>260</v>
      </c>
      <c r="D1044" s="2">
        <f>IFERROR(__xludf.DUMMYFUNCTION("""COMPUTED_VALUE"""),252.0)</f>
        <v>252</v>
      </c>
      <c r="E1044" s="2">
        <f>IFERROR(__xludf.DUMMYFUNCTION("""COMPUTED_VALUE"""),254.0)</f>
        <v>254</v>
      </c>
      <c r="F1044" s="2">
        <f>IFERROR(__xludf.DUMMYFUNCTION("""COMPUTED_VALUE"""),8946000.0)</f>
        <v>8946000</v>
      </c>
      <c r="G1044" s="2">
        <f t="shared" si="1"/>
        <v>8</v>
      </c>
    </row>
    <row r="1045" ht="15.75" customHeight="1">
      <c r="A1045" s="1">
        <f>IFERROR(__xludf.DUMMYFUNCTION("""COMPUTED_VALUE"""),45412.66666666667)</f>
        <v>45412.66667</v>
      </c>
      <c r="B1045" s="2">
        <f>IFERROR(__xludf.DUMMYFUNCTION("""COMPUTED_VALUE"""),256.0)</f>
        <v>256</v>
      </c>
      <c r="C1045" s="2">
        <f>IFERROR(__xludf.DUMMYFUNCTION("""COMPUTED_VALUE"""),262.0)</f>
        <v>262</v>
      </c>
      <c r="D1045" s="2">
        <f>IFERROR(__xludf.DUMMYFUNCTION("""COMPUTED_VALUE"""),254.0)</f>
        <v>254</v>
      </c>
      <c r="E1045" s="2">
        <f>IFERROR(__xludf.DUMMYFUNCTION("""COMPUTED_VALUE"""),258.0)</f>
        <v>258</v>
      </c>
      <c r="F1045" s="2">
        <f>IFERROR(__xludf.DUMMYFUNCTION("""COMPUTED_VALUE"""),1.91549E7)</f>
        <v>19154900</v>
      </c>
      <c r="G1045" s="2">
        <f t="shared" si="1"/>
        <v>8</v>
      </c>
    </row>
    <row r="1046" ht="15.75" customHeight="1">
      <c r="A1046" s="1">
        <f>IFERROR(__xludf.DUMMYFUNCTION("""COMPUTED_VALUE"""),45414.66666666667)</f>
        <v>45414.66667</v>
      </c>
      <c r="B1046" s="2">
        <f>IFERROR(__xludf.DUMMYFUNCTION("""COMPUTED_VALUE"""),258.0)</f>
        <v>258</v>
      </c>
      <c r="C1046" s="2">
        <f>IFERROR(__xludf.DUMMYFUNCTION("""COMPUTED_VALUE"""),260.0)</f>
        <v>260</v>
      </c>
      <c r="D1046" s="2">
        <f>IFERROR(__xludf.DUMMYFUNCTION("""COMPUTED_VALUE"""),246.0)</f>
        <v>246</v>
      </c>
      <c r="E1046" s="2">
        <f>IFERROR(__xludf.DUMMYFUNCTION("""COMPUTED_VALUE"""),248.0)</f>
        <v>248</v>
      </c>
      <c r="F1046" s="2">
        <f>IFERROR(__xludf.DUMMYFUNCTION("""COMPUTED_VALUE"""),2.33802E7)</f>
        <v>23380200</v>
      </c>
      <c r="G1046" s="2">
        <f t="shared" si="1"/>
        <v>14</v>
      </c>
    </row>
    <row r="1047" ht="15.75" customHeight="1">
      <c r="A1047" s="1">
        <f>IFERROR(__xludf.DUMMYFUNCTION("""COMPUTED_VALUE"""),45415.66666666667)</f>
        <v>45415.66667</v>
      </c>
      <c r="B1047" s="2">
        <f>IFERROR(__xludf.DUMMYFUNCTION("""COMPUTED_VALUE"""),250.0)</f>
        <v>250</v>
      </c>
      <c r="C1047" s="2">
        <f>IFERROR(__xludf.DUMMYFUNCTION("""COMPUTED_VALUE"""),250.0)</f>
        <v>250</v>
      </c>
      <c r="D1047" s="2">
        <f>IFERROR(__xludf.DUMMYFUNCTION("""COMPUTED_VALUE"""),240.0)</f>
        <v>240</v>
      </c>
      <c r="E1047" s="2">
        <f>IFERROR(__xludf.DUMMYFUNCTION("""COMPUTED_VALUE"""),240.0)</f>
        <v>240</v>
      </c>
      <c r="F1047" s="2">
        <f>IFERROR(__xludf.DUMMYFUNCTION("""COMPUTED_VALUE"""),1.54126E7)</f>
        <v>15412600</v>
      </c>
      <c r="G1047" s="2">
        <f t="shared" si="1"/>
        <v>10</v>
      </c>
    </row>
    <row r="1048" ht="15.75" customHeight="1">
      <c r="A1048" s="1">
        <f>IFERROR(__xludf.DUMMYFUNCTION("""COMPUTED_VALUE"""),45418.66666666667)</f>
        <v>45418.66667</v>
      </c>
      <c r="B1048" s="2">
        <f>IFERROR(__xludf.DUMMYFUNCTION("""COMPUTED_VALUE"""),242.0)</f>
        <v>242</v>
      </c>
      <c r="C1048" s="2">
        <f>IFERROR(__xludf.DUMMYFUNCTION("""COMPUTED_VALUE"""),246.0)</f>
        <v>246</v>
      </c>
      <c r="D1048" s="2">
        <f>IFERROR(__xludf.DUMMYFUNCTION("""COMPUTED_VALUE"""),234.0)</f>
        <v>234</v>
      </c>
      <c r="E1048" s="2">
        <f>IFERROR(__xludf.DUMMYFUNCTION("""COMPUTED_VALUE"""),236.0)</f>
        <v>236</v>
      </c>
      <c r="F1048" s="2">
        <f>IFERROR(__xludf.DUMMYFUNCTION("""COMPUTED_VALUE"""),1.79942E7)</f>
        <v>17994200</v>
      </c>
      <c r="G1048" s="2">
        <f t="shared" si="1"/>
        <v>12</v>
      </c>
    </row>
    <row r="1049" ht="15.75" customHeight="1">
      <c r="A1049" s="1">
        <f>IFERROR(__xludf.DUMMYFUNCTION("""COMPUTED_VALUE"""),45419.66666666667)</f>
        <v>45419.66667</v>
      </c>
      <c r="B1049" s="2">
        <f>IFERROR(__xludf.DUMMYFUNCTION("""COMPUTED_VALUE"""),236.0)</f>
        <v>236</v>
      </c>
      <c r="C1049" s="2">
        <f>IFERROR(__xludf.DUMMYFUNCTION("""COMPUTED_VALUE"""),242.0)</f>
        <v>242</v>
      </c>
      <c r="D1049" s="2">
        <f>IFERROR(__xludf.DUMMYFUNCTION("""COMPUTED_VALUE"""),236.0)</f>
        <v>236</v>
      </c>
      <c r="E1049" s="2">
        <f>IFERROR(__xludf.DUMMYFUNCTION("""COMPUTED_VALUE"""),238.0)</f>
        <v>238</v>
      </c>
      <c r="F1049" s="2">
        <f>IFERROR(__xludf.DUMMYFUNCTION("""COMPUTED_VALUE"""),1.20161E7)</f>
        <v>12016100</v>
      </c>
      <c r="G1049" s="2">
        <f t="shared" si="1"/>
        <v>6</v>
      </c>
    </row>
    <row r="1050" ht="15.75" customHeight="1">
      <c r="A1050" s="1">
        <f>IFERROR(__xludf.DUMMYFUNCTION("""COMPUTED_VALUE"""),45420.66666666667)</f>
        <v>45420.66667</v>
      </c>
      <c r="B1050" s="2">
        <f>IFERROR(__xludf.DUMMYFUNCTION("""COMPUTED_VALUE"""),238.0)</f>
        <v>238</v>
      </c>
      <c r="C1050" s="2">
        <f>IFERROR(__xludf.DUMMYFUNCTION("""COMPUTED_VALUE"""),240.0)</f>
        <v>240</v>
      </c>
      <c r="D1050" s="2">
        <f>IFERROR(__xludf.DUMMYFUNCTION("""COMPUTED_VALUE"""),222.0)</f>
        <v>222</v>
      </c>
      <c r="E1050" s="2">
        <f>IFERROR(__xludf.DUMMYFUNCTION("""COMPUTED_VALUE"""),224.0)</f>
        <v>224</v>
      </c>
      <c r="F1050" s="2">
        <f>IFERROR(__xludf.DUMMYFUNCTION("""COMPUTED_VALUE"""),3.36189E7)</f>
        <v>33618900</v>
      </c>
      <c r="G1050" s="2">
        <f t="shared" si="1"/>
        <v>18</v>
      </c>
    </row>
    <row r="1051" ht="15.75" customHeight="1">
      <c r="A1051" s="1">
        <f>IFERROR(__xludf.DUMMYFUNCTION("""COMPUTED_VALUE"""),45425.66666666667)</f>
        <v>45425.66667</v>
      </c>
      <c r="B1051" s="2">
        <f>IFERROR(__xludf.DUMMYFUNCTION("""COMPUTED_VALUE"""),224.0)</f>
        <v>224</v>
      </c>
      <c r="C1051" s="2">
        <f>IFERROR(__xludf.DUMMYFUNCTION("""COMPUTED_VALUE"""),228.0)</f>
        <v>228</v>
      </c>
      <c r="D1051" s="2">
        <f>IFERROR(__xludf.DUMMYFUNCTION("""COMPUTED_VALUE"""),220.0)</f>
        <v>220</v>
      </c>
      <c r="E1051" s="2">
        <f>IFERROR(__xludf.DUMMYFUNCTION("""COMPUTED_VALUE"""),224.0)</f>
        <v>224</v>
      </c>
      <c r="F1051" s="2">
        <f>IFERROR(__xludf.DUMMYFUNCTION("""COMPUTED_VALUE"""),1.86832E7)</f>
        <v>18683200</v>
      </c>
      <c r="G1051" s="2">
        <f t="shared" si="1"/>
        <v>8</v>
      </c>
    </row>
    <row r="1052" ht="15.75" customHeight="1">
      <c r="A1052" s="1">
        <f>IFERROR(__xludf.DUMMYFUNCTION("""COMPUTED_VALUE"""),45426.66666666667)</f>
        <v>45426.66667</v>
      </c>
      <c r="B1052" s="2">
        <f>IFERROR(__xludf.DUMMYFUNCTION("""COMPUTED_VALUE"""),222.0)</f>
        <v>222</v>
      </c>
      <c r="C1052" s="2">
        <f>IFERROR(__xludf.DUMMYFUNCTION("""COMPUTED_VALUE"""),228.0)</f>
        <v>228</v>
      </c>
      <c r="D1052" s="2">
        <f>IFERROR(__xludf.DUMMYFUNCTION("""COMPUTED_VALUE"""),222.0)</f>
        <v>222</v>
      </c>
      <c r="E1052" s="2">
        <f>IFERROR(__xludf.DUMMYFUNCTION("""COMPUTED_VALUE"""),222.0)</f>
        <v>222</v>
      </c>
      <c r="F1052" s="2">
        <f>IFERROR(__xludf.DUMMYFUNCTION("""COMPUTED_VALUE"""),5947400.0)</f>
        <v>5947400</v>
      </c>
      <c r="G1052" s="2">
        <f t="shared" si="1"/>
        <v>6</v>
      </c>
    </row>
    <row r="1053" ht="15.75" customHeight="1">
      <c r="A1053" s="1">
        <f>IFERROR(__xludf.DUMMYFUNCTION("""COMPUTED_VALUE"""),45427.66666666667)</f>
        <v>45427.66667</v>
      </c>
      <c r="B1053" s="2">
        <f>IFERROR(__xludf.DUMMYFUNCTION("""COMPUTED_VALUE"""),224.0)</f>
        <v>224</v>
      </c>
      <c r="C1053" s="2">
        <f>IFERROR(__xludf.DUMMYFUNCTION("""COMPUTED_VALUE"""),228.0)</f>
        <v>228</v>
      </c>
      <c r="D1053" s="2">
        <f>IFERROR(__xludf.DUMMYFUNCTION("""COMPUTED_VALUE"""),218.0)</f>
        <v>218</v>
      </c>
      <c r="E1053" s="2">
        <f>IFERROR(__xludf.DUMMYFUNCTION("""COMPUTED_VALUE"""),222.0)</f>
        <v>222</v>
      </c>
      <c r="F1053" s="2">
        <f>IFERROR(__xludf.DUMMYFUNCTION("""COMPUTED_VALUE"""),1.55532E7)</f>
        <v>15553200</v>
      </c>
      <c r="G1053" s="2">
        <f t="shared" si="1"/>
        <v>10</v>
      </c>
    </row>
    <row r="1054" ht="15.75" customHeight="1">
      <c r="A1054" s="1">
        <f>IFERROR(__xludf.DUMMYFUNCTION("""COMPUTED_VALUE"""),45428.66666666667)</f>
        <v>45428.66667</v>
      </c>
      <c r="B1054" s="2">
        <f>IFERROR(__xludf.DUMMYFUNCTION("""COMPUTED_VALUE"""),222.0)</f>
        <v>222</v>
      </c>
      <c r="C1054" s="2">
        <f>IFERROR(__xludf.DUMMYFUNCTION("""COMPUTED_VALUE"""),232.0)</f>
        <v>232</v>
      </c>
      <c r="D1054" s="2">
        <f>IFERROR(__xludf.DUMMYFUNCTION("""COMPUTED_VALUE"""),222.0)</f>
        <v>222</v>
      </c>
      <c r="E1054" s="2">
        <f>IFERROR(__xludf.DUMMYFUNCTION("""COMPUTED_VALUE"""),228.0)</f>
        <v>228</v>
      </c>
      <c r="F1054" s="2">
        <f>IFERROR(__xludf.DUMMYFUNCTION("""COMPUTED_VALUE"""),1.70547E7)</f>
        <v>17054700</v>
      </c>
      <c r="G1054" s="2">
        <f t="shared" si="1"/>
        <v>10</v>
      </c>
    </row>
    <row r="1055" ht="15.75" customHeight="1">
      <c r="A1055" s="1">
        <f>IFERROR(__xludf.DUMMYFUNCTION("""COMPUTED_VALUE"""),45429.66666666667)</f>
        <v>45429.66667</v>
      </c>
      <c r="B1055" s="2">
        <f>IFERROR(__xludf.DUMMYFUNCTION("""COMPUTED_VALUE"""),228.0)</f>
        <v>228</v>
      </c>
      <c r="C1055" s="2">
        <f>IFERROR(__xludf.DUMMYFUNCTION("""COMPUTED_VALUE"""),232.0)</f>
        <v>232</v>
      </c>
      <c r="D1055" s="2">
        <f>IFERROR(__xludf.DUMMYFUNCTION("""COMPUTED_VALUE"""),226.0)</f>
        <v>226</v>
      </c>
      <c r="E1055" s="2">
        <f>IFERROR(__xludf.DUMMYFUNCTION("""COMPUTED_VALUE"""),228.0)</f>
        <v>228</v>
      </c>
      <c r="F1055" s="2">
        <f>IFERROR(__xludf.DUMMYFUNCTION("""COMPUTED_VALUE"""),1.05672E7)</f>
        <v>10567200</v>
      </c>
      <c r="G1055" s="2">
        <f t="shared" si="1"/>
        <v>6</v>
      </c>
    </row>
    <row r="1056" ht="15.75" customHeight="1">
      <c r="A1056" s="1">
        <f>IFERROR(__xludf.DUMMYFUNCTION("""COMPUTED_VALUE"""),45432.66666666667)</f>
        <v>45432.66667</v>
      </c>
      <c r="B1056" s="2">
        <f>IFERROR(__xludf.DUMMYFUNCTION("""COMPUTED_VALUE"""),230.0)</f>
        <v>230</v>
      </c>
      <c r="C1056" s="2">
        <f>IFERROR(__xludf.DUMMYFUNCTION("""COMPUTED_VALUE"""),240.0)</f>
        <v>240</v>
      </c>
      <c r="D1056" s="2">
        <f>IFERROR(__xludf.DUMMYFUNCTION("""COMPUTED_VALUE"""),228.0)</f>
        <v>228</v>
      </c>
      <c r="E1056" s="2">
        <f>IFERROR(__xludf.DUMMYFUNCTION("""COMPUTED_VALUE"""),232.0)</f>
        <v>232</v>
      </c>
      <c r="F1056" s="2">
        <f>IFERROR(__xludf.DUMMYFUNCTION("""COMPUTED_VALUE"""),3.97296E7)</f>
        <v>39729600</v>
      </c>
      <c r="G1056" s="2">
        <f t="shared" si="1"/>
        <v>12</v>
      </c>
    </row>
    <row r="1057" ht="15.75" customHeight="1">
      <c r="A1057" s="1">
        <f>IFERROR(__xludf.DUMMYFUNCTION("""COMPUTED_VALUE"""),45433.66666666667)</f>
        <v>45433.66667</v>
      </c>
      <c r="B1057" s="2">
        <f>IFERROR(__xludf.DUMMYFUNCTION("""COMPUTED_VALUE"""),232.0)</f>
        <v>232</v>
      </c>
      <c r="C1057" s="2">
        <f>IFERROR(__xludf.DUMMYFUNCTION("""COMPUTED_VALUE"""),232.0)</f>
        <v>232</v>
      </c>
      <c r="D1057" s="2">
        <f>IFERROR(__xludf.DUMMYFUNCTION("""COMPUTED_VALUE"""),224.0)</f>
        <v>224</v>
      </c>
      <c r="E1057" s="2">
        <f>IFERROR(__xludf.DUMMYFUNCTION("""COMPUTED_VALUE"""),226.0)</f>
        <v>226</v>
      </c>
      <c r="F1057" s="2">
        <f>IFERROR(__xludf.DUMMYFUNCTION("""COMPUTED_VALUE"""),1.58354E7)</f>
        <v>15835400</v>
      </c>
      <c r="G1057" s="2">
        <f t="shared" si="1"/>
        <v>8</v>
      </c>
    </row>
    <row r="1058" ht="15.75" customHeight="1">
      <c r="A1058" s="1">
        <f>IFERROR(__xludf.DUMMYFUNCTION("""COMPUTED_VALUE"""),45434.66666666667)</f>
        <v>45434.66667</v>
      </c>
      <c r="B1058" s="2">
        <f>IFERROR(__xludf.DUMMYFUNCTION("""COMPUTED_VALUE"""),226.0)</f>
        <v>226</v>
      </c>
      <c r="C1058" s="2">
        <f>IFERROR(__xludf.DUMMYFUNCTION("""COMPUTED_VALUE"""),228.0)</f>
        <v>228</v>
      </c>
      <c r="D1058" s="2">
        <f>IFERROR(__xludf.DUMMYFUNCTION("""COMPUTED_VALUE"""),222.0)</f>
        <v>222</v>
      </c>
      <c r="E1058" s="2">
        <f>IFERROR(__xludf.DUMMYFUNCTION("""COMPUTED_VALUE"""),224.0)</f>
        <v>224</v>
      </c>
      <c r="F1058" s="2">
        <f>IFERROR(__xludf.DUMMYFUNCTION("""COMPUTED_VALUE"""),7423400.0)</f>
        <v>7423400</v>
      </c>
      <c r="G1058" s="2">
        <f t="shared" si="1"/>
        <v>6</v>
      </c>
    </row>
    <row r="1059" ht="15.75" customHeight="1">
      <c r="A1059" s="1">
        <f>IFERROR(__xludf.DUMMYFUNCTION("""COMPUTED_VALUE"""),45439.66666666667)</f>
        <v>45439.66667</v>
      </c>
      <c r="B1059" s="2">
        <f>IFERROR(__xludf.DUMMYFUNCTION("""COMPUTED_VALUE"""),222.0)</f>
        <v>222</v>
      </c>
      <c r="C1059" s="2">
        <f>IFERROR(__xludf.DUMMYFUNCTION("""COMPUTED_VALUE"""),226.0)</f>
        <v>226</v>
      </c>
      <c r="D1059" s="2">
        <f>IFERROR(__xludf.DUMMYFUNCTION("""COMPUTED_VALUE"""),210.0)</f>
        <v>210</v>
      </c>
      <c r="E1059" s="2">
        <f>IFERROR(__xludf.DUMMYFUNCTION("""COMPUTED_VALUE"""),212.0)</f>
        <v>212</v>
      </c>
      <c r="F1059" s="2">
        <f>IFERROR(__xludf.DUMMYFUNCTION("""COMPUTED_VALUE"""),2.6765E7)</f>
        <v>26765000</v>
      </c>
      <c r="G1059" s="2">
        <f t="shared" si="1"/>
        <v>16</v>
      </c>
    </row>
    <row r="1060" ht="15.75" customHeight="1">
      <c r="A1060" s="1">
        <f>IFERROR(__xludf.DUMMYFUNCTION("""COMPUTED_VALUE"""),45440.66666666667)</f>
        <v>45440.66667</v>
      </c>
      <c r="B1060" s="2">
        <f>IFERROR(__xludf.DUMMYFUNCTION("""COMPUTED_VALUE"""),200.0)</f>
        <v>200</v>
      </c>
      <c r="C1060" s="2">
        <f>IFERROR(__xludf.DUMMYFUNCTION("""COMPUTED_VALUE"""),230.0)</f>
        <v>230</v>
      </c>
      <c r="D1060" s="2">
        <f>IFERROR(__xludf.DUMMYFUNCTION("""COMPUTED_VALUE"""),200.0)</f>
        <v>200</v>
      </c>
      <c r="E1060" s="2">
        <f>IFERROR(__xludf.DUMMYFUNCTION("""COMPUTED_VALUE"""),222.0)</f>
        <v>222</v>
      </c>
      <c r="F1060" s="2">
        <f>IFERROR(__xludf.DUMMYFUNCTION("""COMPUTED_VALUE"""),5.47937E7)</f>
        <v>54793700</v>
      </c>
      <c r="G1060" s="2">
        <f t="shared" si="1"/>
        <v>30</v>
      </c>
    </row>
    <row r="1061" ht="15.75" customHeight="1">
      <c r="A1061" s="1">
        <f>IFERROR(__xludf.DUMMYFUNCTION("""COMPUTED_VALUE"""),45441.66666666667)</f>
        <v>45441.66667</v>
      </c>
      <c r="B1061" s="2">
        <f>IFERROR(__xludf.DUMMYFUNCTION("""COMPUTED_VALUE"""),222.0)</f>
        <v>222</v>
      </c>
      <c r="C1061" s="2">
        <f>IFERROR(__xludf.DUMMYFUNCTION("""COMPUTED_VALUE"""),224.0)</f>
        <v>224</v>
      </c>
      <c r="D1061" s="2">
        <f>IFERROR(__xludf.DUMMYFUNCTION("""COMPUTED_VALUE"""),214.0)</f>
        <v>214</v>
      </c>
      <c r="E1061" s="2">
        <f>IFERROR(__xludf.DUMMYFUNCTION("""COMPUTED_VALUE"""),214.0)</f>
        <v>214</v>
      </c>
      <c r="F1061" s="2">
        <f>IFERROR(__xludf.DUMMYFUNCTION("""COMPUTED_VALUE"""),1.53263E7)</f>
        <v>15326300</v>
      </c>
      <c r="G1061" s="2">
        <f t="shared" si="1"/>
        <v>10</v>
      </c>
    </row>
    <row r="1062" ht="15.75" customHeight="1">
      <c r="A1062" s="1">
        <f>IFERROR(__xludf.DUMMYFUNCTION("""COMPUTED_VALUE"""),45442.66666666667)</f>
        <v>45442.66667</v>
      </c>
      <c r="B1062" s="2">
        <f>IFERROR(__xludf.DUMMYFUNCTION("""COMPUTED_VALUE"""),214.0)</f>
        <v>214</v>
      </c>
      <c r="C1062" s="2">
        <f>IFERROR(__xludf.DUMMYFUNCTION("""COMPUTED_VALUE"""),222.0)</f>
        <v>222</v>
      </c>
      <c r="D1062" s="2">
        <f>IFERROR(__xludf.DUMMYFUNCTION("""COMPUTED_VALUE"""),208.0)</f>
        <v>208</v>
      </c>
      <c r="E1062" s="2">
        <f>IFERROR(__xludf.DUMMYFUNCTION("""COMPUTED_VALUE"""),210.0)</f>
        <v>210</v>
      </c>
      <c r="F1062" s="2">
        <f>IFERROR(__xludf.DUMMYFUNCTION("""COMPUTED_VALUE"""),1.41602E7)</f>
        <v>14160200</v>
      </c>
      <c r="G1062" s="2">
        <f t="shared" si="1"/>
        <v>14</v>
      </c>
    </row>
    <row r="1063" ht="15.75" customHeight="1">
      <c r="A1063" s="1">
        <f>IFERROR(__xludf.DUMMYFUNCTION("""COMPUTED_VALUE"""),45443.66666666667)</f>
        <v>45443.66667</v>
      </c>
      <c r="B1063" s="2">
        <f>IFERROR(__xludf.DUMMYFUNCTION("""COMPUTED_VALUE"""),210.0)</f>
        <v>210</v>
      </c>
      <c r="C1063" s="2">
        <f>IFERROR(__xludf.DUMMYFUNCTION("""COMPUTED_VALUE"""),212.0)</f>
        <v>212</v>
      </c>
      <c r="D1063" s="2">
        <f>IFERROR(__xludf.DUMMYFUNCTION("""COMPUTED_VALUE"""),206.0)</f>
        <v>206</v>
      </c>
      <c r="E1063" s="2">
        <f>IFERROR(__xludf.DUMMYFUNCTION("""COMPUTED_VALUE"""),208.0)</f>
        <v>208</v>
      </c>
      <c r="F1063" s="2">
        <f>IFERROR(__xludf.DUMMYFUNCTION("""COMPUTED_VALUE"""),8740600.0)</f>
        <v>8740600</v>
      </c>
      <c r="G1063" s="2">
        <f t="shared" si="1"/>
        <v>6</v>
      </c>
    </row>
    <row r="1064" ht="15.75" customHeight="1">
      <c r="A1064" s="1">
        <f>IFERROR(__xludf.DUMMYFUNCTION("""COMPUTED_VALUE"""),45446.66666666667)</f>
        <v>45446.66667</v>
      </c>
      <c r="B1064" s="2">
        <f>IFERROR(__xludf.DUMMYFUNCTION("""COMPUTED_VALUE"""),208.0)</f>
        <v>208</v>
      </c>
      <c r="C1064" s="2">
        <f>IFERROR(__xludf.DUMMYFUNCTION("""COMPUTED_VALUE"""),218.0)</f>
        <v>218</v>
      </c>
      <c r="D1064" s="2">
        <f>IFERROR(__xludf.DUMMYFUNCTION("""COMPUTED_VALUE"""),206.0)</f>
        <v>206</v>
      </c>
      <c r="E1064" s="2">
        <f>IFERROR(__xludf.DUMMYFUNCTION("""COMPUTED_VALUE"""),208.0)</f>
        <v>208</v>
      </c>
      <c r="F1064" s="2">
        <f>IFERROR(__xludf.DUMMYFUNCTION("""COMPUTED_VALUE"""),2.20943E7)</f>
        <v>22094300</v>
      </c>
      <c r="G1064" s="2">
        <f t="shared" si="1"/>
        <v>12</v>
      </c>
    </row>
    <row r="1065" ht="15.75" customHeight="1">
      <c r="A1065" s="1">
        <f>IFERROR(__xludf.DUMMYFUNCTION("""COMPUTED_VALUE"""),45447.66666666667)</f>
        <v>45447.66667</v>
      </c>
      <c r="B1065" s="2">
        <f>IFERROR(__xludf.DUMMYFUNCTION("""COMPUTED_VALUE"""),210.0)</f>
        <v>210</v>
      </c>
      <c r="C1065" s="2">
        <f>IFERROR(__xludf.DUMMYFUNCTION("""COMPUTED_VALUE"""),222.0)</f>
        <v>222</v>
      </c>
      <c r="D1065" s="2">
        <f>IFERROR(__xludf.DUMMYFUNCTION("""COMPUTED_VALUE"""),206.0)</f>
        <v>206</v>
      </c>
      <c r="E1065" s="2">
        <f>IFERROR(__xludf.DUMMYFUNCTION("""COMPUTED_VALUE"""),216.0)</f>
        <v>216</v>
      </c>
      <c r="F1065" s="2">
        <f>IFERROR(__xludf.DUMMYFUNCTION("""COMPUTED_VALUE"""),3.19825E7)</f>
        <v>31982500</v>
      </c>
      <c r="G1065" s="2">
        <f t="shared" si="1"/>
        <v>16</v>
      </c>
    </row>
    <row r="1066" ht="15.75" customHeight="1">
      <c r="A1066" s="1">
        <f>IFERROR(__xludf.DUMMYFUNCTION("""COMPUTED_VALUE"""),45448.66666666667)</f>
        <v>45448.66667</v>
      </c>
      <c r="B1066" s="2">
        <f>IFERROR(__xludf.DUMMYFUNCTION("""COMPUTED_VALUE"""),216.0)</f>
        <v>216</v>
      </c>
      <c r="C1066" s="2">
        <f>IFERROR(__xludf.DUMMYFUNCTION("""COMPUTED_VALUE"""),220.0)</f>
        <v>220</v>
      </c>
      <c r="D1066" s="2">
        <f>IFERROR(__xludf.DUMMYFUNCTION("""COMPUTED_VALUE"""),210.0)</f>
        <v>210</v>
      </c>
      <c r="E1066" s="2">
        <f>IFERROR(__xludf.DUMMYFUNCTION("""COMPUTED_VALUE"""),210.0)</f>
        <v>210</v>
      </c>
      <c r="F1066" s="2">
        <f>IFERROR(__xludf.DUMMYFUNCTION("""COMPUTED_VALUE"""),9148900.0)</f>
        <v>9148900</v>
      </c>
      <c r="G1066" s="2">
        <f t="shared" si="1"/>
        <v>10</v>
      </c>
    </row>
    <row r="1067" ht="15.75" customHeight="1">
      <c r="A1067" s="1">
        <f>IFERROR(__xludf.DUMMYFUNCTION("""COMPUTED_VALUE"""),45449.66666666667)</f>
        <v>45449.66667</v>
      </c>
      <c r="B1067" s="2">
        <f>IFERROR(__xludf.DUMMYFUNCTION("""COMPUTED_VALUE"""),210.0)</f>
        <v>210</v>
      </c>
      <c r="C1067" s="2">
        <f>IFERROR(__xludf.DUMMYFUNCTION("""COMPUTED_VALUE"""),216.0)</f>
        <v>216</v>
      </c>
      <c r="D1067" s="2">
        <f>IFERROR(__xludf.DUMMYFUNCTION("""COMPUTED_VALUE"""),210.0)</f>
        <v>210</v>
      </c>
      <c r="E1067" s="2">
        <f>IFERROR(__xludf.DUMMYFUNCTION("""COMPUTED_VALUE"""),214.0)</f>
        <v>214</v>
      </c>
      <c r="F1067" s="2">
        <f>IFERROR(__xludf.DUMMYFUNCTION("""COMPUTED_VALUE"""),1.76146E7)</f>
        <v>17614600</v>
      </c>
      <c r="G1067" s="2">
        <f t="shared" si="1"/>
        <v>6</v>
      </c>
    </row>
    <row r="1068" ht="15.75" customHeight="1">
      <c r="A1068" s="1">
        <f>IFERROR(__xludf.DUMMYFUNCTION("""COMPUTED_VALUE"""),45450.66666666667)</f>
        <v>45450.66667</v>
      </c>
      <c r="B1068" s="2">
        <f>IFERROR(__xludf.DUMMYFUNCTION("""COMPUTED_VALUE"""),214.0)</f>
        <v>214</v>
      </c>
      <c r="C1068" s="2">
        <f>IFERROR(__xludf.DUMMYFUNCTION("""COMPUTED_VALUE"""),226.0)</f>
        <v>226</v>
      </c>
      <c r="D1068" s="2">
        <f>IFERROR(__xludf.DUMMYFUNCTION("""COMPUTED_VALUE"""),214.0)</f>
        <v>214</v>
      </c>
      <c r="E1068" s="2">
        <f>IFERROR(__xludf.DUMMYFUNCTION("""COMPUTED_VALUE"""),218.0)</f>
        <v>218</v>
      </c>
      <c r="F1068" s="2">
        <f>IFERROR(__xludf.DUMMYFUNCTION("""COMPUTED_VALUE"""),1.68111E7)</f>
        <v>16811100</v>
      </c>
      <c r="G1068" s="2">
        <f t="shared" si="1"/>
        <v>12</v>
      </c>
    </row>
    <row r="1069" ht="15.75" customHeight="1">
      <c r="A1069" s="1">
        <f>IFERROR(__xludf.DUMMYFUNCTION("""COMPUTED_VALUE"""),45453.66666666667)</f>
        <v>45453.66667</v>
      </c>
      <c r="B1069" s="2">
        <f>IFERROR(__xludf.DUMMYFUNCTION("""COMPUTED_VALUE"""),218.0)</f>
        <v>218</v>
      </c>
      <c r="C1069" s="2">
        <f>IFERROR(__xludf.DUMMYFUNCTION("""COMPUTED_VALUE"""),222.0)</f>
        <v>222</v>
      </c>
      <c r="D1069" s="2">
        <f>IFERROR(__xludf.DUMMYFUNCTION("""COMPUTED_VALUE"""),210.0)</f>
        <v>210</v>
      </c>
      <c r="E1069" s="2">
        <f>IFERROR(__xludf.DUMMYFUNCTION("""COMPUTED_VALUE"""),210.0)</f>
        <v>210</v>
      </c>
      <c r="F1069" s="2">
        <f>IFERROR(__xludf.DUMMYFUNCTION("""COMPUTED_VALUE"""),1.72454E7)</f>
        <v>17245400</v>
      </c>
      <c r="G1069" s="2">
        <f t="shared" si="1"/>
        <v>12</v>
      </c>
    </row>
    <row r="1070" ht="15.75" customHeight="1">
      <c r="A1070" s="1">
        <f>IFERROR(__xludf.DUMMYFUNCTION("""COMPUTED_VALUE"""),45454.66666666667)</f>
        <v>45454.66667</v>
      </c>
      <c r="B1070" s="2">
        <f>IFERROR(__xludf.DUMMYFUNCTION("""COMPUTED_VALUE"""),212.0)</f>
        <v>212</v>
      </c>
      <c r="C1070" s="2">
        <f>IFERROR(__xludf.DUMMYFUNCTION("""COMPUTED_VALUE"""),214.0)</f>
        <v>214</v>
      </c>
      <c r="D1070" s="2">
        <f>IFERROR(__xludf.DUMMYFUNCTION("""COMPUTED_VALUE"""),206.0)</f>
        <v>206</v>
      </c>
      <c r="E1070" s="2">
        <f>IFERROR(__xludf.DUMMYFUNCTION("""COMPUTED_VALUE"""),206.0)</f>
        <v>206</v>
      </c>
      <c r="F1070" s="2">
        <f>IFERROR(__xludf.DUMMYFUNCTION("""COMPUTED_VALUE"""),1.24963E7)</f>
        <v>12496300</v>
      </c>
      <c r="G1070" s="2">
        <f t="shared" si="1"/>
        <v>8</v>
      </c>
    </row>
    <row r="1071" ht="15.75" customHeight="1">
      <c r="A1071" s="1">
        <f>IFERROR(__xludf.DUMMYFUNCTION("""COMPUTED_VALUE"""),45455.66666666667)</f>
        <v>45455.66667</v>
      </c>
      <c r="B1071" s="2">
        <f>IFERROR(__xludf.DUMMYFUNCTION("""COMPUTED_VALUE"""),206.0)</f>
        <v>206</v>
      </c>
      <c r="C1071" s="2">
        <f>IFERROR(__xludf.DUMMYFUNCTION("""COMPUTED_VALUE"""),210.0)</f>
        <v>210</v>
      </c>
      <c r="D1071" s="2">
        <f>IFERROR(__xludf.DUMMYFUNCTION("""COMPUTED_VALUE"""),199.0)</f>
        <v>199</v>
      </c>
      <c r="E1071" s="2">
        <f>IFERROR(__xludf.DUMMYFUNCTION("""COMPUTED_VALUE"""),199.0)</f>
        <v>199</v>
      </c>
      <c r="F1071" s="2">
        <f>IFERROR(__xludf.DUMMYFUNCTION("""COMPUTED_VALUE"""),2.37061E7)</f>
        <v>23706100</v>
      </c>
      <c r="G1071" s="2">
        <f t="shared" si="1"/>
        <v>11</v>
      </c>
    </row>
    <row r="1072" ht="15.75" customHeight="1">
      <c r="A1072" s="1">
        <f>IFERROR(__xludf.DUMMYFUNCTION("""COMPUTED_VALUE"""),45456.66666666667)</f>
        <v>45456.66667</v>
      </c>
      <c r="B1072" s="2">
        <f>IFERROR(__xludf.DUMMYFUNCTION("""COMPUTED_VALUE"""),200.0)</f>
        <v>200</v>
      </c>
      <c r="C1072" s="2">
        <f>IFERROR(__xludf.DUMMYFUNCTION("""COMPUTED_VALUE"""),204.0)</f>
        <v>204</v>
      </c>
      <c r="D1072" s="2">
        <f>IFERROR(__xludf.DUMMYFUNCTION("""COMPUTED_VALUE"""),197.0)</f>
        <v>197</v>
      </c>
      <c r="E1072" s="2">
        <f>IFERROR(__xludf.DUMMYFUNCTION("""COMPUTED_VALUE"""),198.0)</f>
        <v>198</v>
      </c>
      <c r="F1072" s="2">
        <f>IFERROR(__xludf.DUMMYFUNCTION("""COMPUTED_VALUE"""),1.23001E7)</f>
        <v>12300100</v>
      </c>
      <c r="G1072" s="2">
        <f t="shared" si="1"/>
        <v>7</v>
      </c>
    </row>
    <row r="1073" ht="15.75" customHeight="1">
      <c r="A1073" s="1">
        <f>IFERROR(__xludf.DUMMYFUNCTION("""COMPUTED_VALUE"""),45457.66666666667)</f>
        <v>45457.66667</v>
      </c>
      <c r="B1073" s="2">
        <f>IFERROR(__xludf.DUMMYFUNCTION("""COMPUTED_VALUE"""),197.0)</f>
        <v>197</v>
      </c>
      <c r="C1073" s="2">
        <f>IFERROR(__xludf.DUMMYFUNCTION("""COMPUTED_VALUE"""),204.0)</f>
        <v>204</v>
      </c>
      <c r="D1073" s="2">
        <f>IFERROR(__xludf.DUMMYFUNCTION("""COMPUTED_VALUE"""),191.0)</f>
        <v>191</v>
      </c>
      <c r="E1073" s="2">
        <f>IFERROR(__xludf.DUMMYFUNCTION("""COMPUTED_VALUE"""),192.0)</f>
        <v>192</v>
      </c>
      <c r="F1073" s="2">
        <f>IFERROR(__xludf.DUMMYFUNCTION("""COMPUTED_VALUE"""),1.66038E7)</f>
        <v>16603800</v>
      </c>
      <c r="G1073" s="2">
        <f t="shared" si="1"/>
        <v>13</v>
      </c>
    </row>
    <row r="1074" ht="15.75" customHeight="1">
      <c r="A1074" s="1">
        <f>IFERROR(__xludf.DUMMYFUNCTION("""COMPUTED_VALUE"""),45462.66666666667)</f>
        <v>45462.66667</v>
      </c>
      <c r="B1074" s="2">
        <f>IFERROR(__xludf.DUMMYFUNCTION("""COMPUTED_VALUE"""),192.0)</f>
        <v>192</v>
      </c>
      <c r="C1074" s="2">
        <f>IFERROR(__xludf.DUMMYFUNCTION("""COMPUTED_VALUE"""),194.0)</f>
        <v>194</v>
      </c>
      <c r="D1074" s="2">
        <f>IFERROR(__xludf.DUMMYFUNCTION("""COMPUTED_VALUE"""),176.0)</f>
        <v>176</v>
      </c>
      <c r="E1074" s="2">
        <f>IFERROR(__xludf.DUMMYFUNCTION("""COMPUTED_VALUE"""),177.0)</f>
        <v>177</v>
      </c>
      <c r="F1074" s="2">
        <f>IFERROR(__xludf.DUMMYFUNCTION("""COMPUTED_VALUE"""),3.08751E7)</f>
        <v>30875100</v>
      </c>
      <c r="G1074" s="2">
        <f t="shared" si="1"/>
        <v>18</v>
      </c>
    </row>
    <row r="1075" ht="15.75" customHeight="1">
      <c r="A1075" s="1">
        <f>IFERROR(__xludf.DUMMYFUNCTION("""COMPUTED_VALUE"""),45463.66666666667)</f>
        <v>45463.66667</v>
      </c>
      <c r="B1075" s="2">
        <f>IFERROR(__xludf.DUMMYFUNCTION("""COMPUTED_VALUE"""),169.0)</f>
        <v>169</v>
      </c>
      <c r="C1075" s="2">
        <f>IFERROR(__xludf.DUMMYFUNCTION("""COMPUTED_VALUE"""),189.0)</f>
        <v>189</v>
      </c>
      <c r="D1075" s="2">
        <f>IFERROR(__xludf.DUMMYFUNCTION("""COMPUTED_VALUE"""),168.0)</f>
        <v>168</v>
      </c>
      <c r="E1075" s="2">
        <f>IFERROR(__xludf.DUMMYFUNCTION("""COMPUTED_VALUE"""),183.0)</f>
        <v>183</v>
      </c>
      <c r="F1075" s="2">
        <f>IFERROR(__xludf.DUMMYFUNCTION("""COMPUTED_VALUE"""),2.13871E7)</f>
        <v>21387100</v>
      </c>
      <c r="G1075" s="2">
        <f t="shared" si="1"/>
        <v>21</v>
      </c>
    </row>
    <row r="1076" ht="15.75" customHeight="1">
      <c r="A1076" s="1">
        <f>IFERROR(__xludf.DUMMYFUNCTION("""COMPUTED_VALUE"""),45464.66666666667)</f>
        <v>45464.66667</v>
      </c>
      <c r="B1076" s="2">
        <f>IFERROR(__xludf.DUMMYFUNCTION("""COMPUTED_VALUE"""),184.0)</f>
        <v>184</v>
      </c>
      <c r="C1076" s="2">
        <f>IFERROR(__xludf.DUMMYFUNCTION("""COMPUTED_VALUE"""),197.0)</f>
        <v>197</v>
      </c>
      <c r="D1076" s="2">
        <f>IFERROR(__xludf.DUMMYFUNCTION("""COMPUTED_VALUE"""),184.0)</f>
        <v>184</v>
      </c>
      <c r="E1076" s="2">
        <f>IFERROR(__xludf.DUMMYFUNCTION("""COMPUTED_VALUE"""),196.0)</f>
        <v>196</v>
      </c>
      <c r="F1076" s="2">
        <f>IFERROR(__xludf.DUMMYFUNCTION("""COMPUTED_VALUE"""),2.54849E7)</f>
        <v>25484900</v>
      </c>
      <c r="G1076" s="2">
        <f t="shared" si="1"/>
        <v>14</v>
      </c>
    </row>
    <row r="1077" ht="15.75" customHeight="1">
      <c r="A1077" s="1">
        <f>IFERROR(__xludf.DUMMYFUNCTION("""COMPUTED_VALUE"""),45467.66666666667)</f>
        <v>45467.66667</v>
      </c>
      <c r="B1077" s="2">
        <f>IFERROR(__xludf.DUMMYFUNCTION("""COMPUTED_VALUE"""),196.0)</f>
        <v>196</v>
      </c>
      <c r="C1077" s="2">
        <f>IFERROR(__xludf.DUMMYFUNCTION("""COMPUTED_VALUE"""),204.0)</f>
        <v>204</v>
      </c>
      <c r="D1077" s="2">
        <f>IFERROR(__xludf.DUMMYFUNCTION("""COMPUTED_VALUE"""),195.0)</f>
        <v>195</v>
      </c>
      <c r="E1077" s="2">
        <f>IFERROR(__xludf.DUMMYFUNCTION("""COMPUTED_VALUE"""),200.0)</f>
        <v>200</v>
      </c>
      <c r="F1077" s="2">
        <f>IFERROR(__xludf.DUMMYFUNCTION("""COMPUTED_VALUE"""),1.58254E7)</f>
        <v>15825400</v>
      </c>
      <c r="G1077" s="2">
        <f t="shared" si="1"/>
        <v>9</v>
      </c>
    </row>
    <row r="1078" ht="15.75" customHeight="1">
      <c r="A1078" s="1">
        <f>IFERROR(__xludf.DUMMYFUNCTION("""COMPUTED_VALUE"""),45468.66666666667)</f>
        <v>45468.66667</v>
      </c>
      <c r="B1078" s="2">
        <f>IFERROR(__xludf.DUMMYFUNCTION("""COMPUTED_VALUE"""),200.0)</f>
        <v>200</v>
      </c>
      <c r="C1078" s="2">
        <f>IFERROR(__xludf.DUMMYFUNCTION("""COMPUTED_VALUE"""),202.0)</f>
        <v>202</v>
      </c>
      <c r="D1078" s="2">
        <f>IFERROR(__xludf.DUMMYFUNCTION("""COMPUTED_VALUE"""),193.0)</f>
        <v>193</v>
      </c>
      <c r="E1078" s="2">
        <f>IFERROR(__xludf.DUMMYFUNCTION("""COMPUTED_VALUE"""),194.0)</f>
        <v>194</v>
      </c>
      <c r="F1078" s="2">
        <f>IFERROR(__xludf.DUMMYFUNCTION("""COMPUTED_VALUE"""),7025600.0)</f>
        <v>7025600</v>
      </c>
      <c r="G1078" s="2">
        <f t="shared" si="1"/>
        <v>9</v>
      </c>
    </row>
    <row r="1079" ht="15.75" customHeight="1">
      <c r="A1079" s="1">
        <f>IFERROR(__xludf.DUMMYFUNCTION("""COMPUTED_VALUE"""),45469.66666666667)</f>
        <v>45469.66667</v>
      </c>
      <c r="B1079" s="2">
        <f>IFERROR(__xludf.DUMMYFUNCTION("""COMPUTED_VALUE"""),195.0)</f>
        <v>195</v>
      </c>
      <c r="C1079" s="2">
        <f>IFERROR(__xludf.DUMMYFUNCTION("""COMPUTED_VALUE"""),197.0)</f>
        <v>197</v>
      </c>
      <c r="D1079" s="2">
        <f>IFERROR(__xludf.DUMMYFUNCTION("""COMPUTED_VALUE"""),194.0)</f>
        <v>194</v>
      </c>
      <c r="E1079" s="2">
        <f>IFERROR(__xludf.DUMMYFUNCTION("""COMPUTED_VALUE"""),194.0)</f>
        <v>194</v>
      </c>
      <c r="F1079" s="2">
        <f>IFERROR(__xludf.DUMMYFUNCTION("""COMPUTED_VALUE"""),3782200.0)</f>
        <v>3782200</v>
      </c>
      <c r="G1079" s="2">
        <f t="shared" si="1"/>
        <v>3</v>
      </c>
    </row>
    <row r="1080" ht="15.75" customHeight="1">
      <c r="A1080" s="1">
        <f>IFERROR(__xludf.DUMMYFUNCTION("""COMPUTED_VALUE"""),45470.66666666667)</f>
        <v>45470.66667</v>
      </c>
      <c r="B1080" s="2">
        <f>IFERROR(__xludf.DUMMYFUNCTION("""COMPUTED_VALUE"""),194.0)</f>
        <v>194</v>
      </c>
      <c r="C1080" s="2">
        <f>IFERROR(__xludf.DUMMYFUNCTION("""COMPUTED_VALUE"""),196.0)</f>
        <v>196</v>
      </c>
      <c r="D1080" s="2">
        <f>IFERROR(__xludf.DUMMYFUNCTION("""COMPUTED_VALUE"""),191.0)</f>
        <v>191</v>
      </c>
      <c r="E1080" s="2">
        <f>IFERROR(__xludf.DUMMYFUNCTION("""COMPUTED_VALUE"""),192.0)</f>
        <v>192</v>
      </c>
      <c r="F1080" s="2">
        <f>IFERROR(__xludf.DUMMYFUNCTION("""COMPUTED_VALUE"""),7362600.0)</f>
        <v>7362600</v>
      </c>
      <c r="G1080" s="2">
        <f t="shared" si="1"/>
        <v>5</v>
      </c>
    </row>
    <row r="1081" ht="15.75" customHeight="1">
      <c r="A1081" s="1">
        <f>IFERROR(__xludf.DUMMYFUNCTION("""COMPUTED_VALUE"""),45471.66666666667)</f>
        <v>45471.66667</v>
      </c>
      <c r="B1081" s="2">
        <f>IFERROR(__xludf.DUMMYFUNCTION("""COMPUTED_VALUE"""),193.0)</f>
        <v>193</v>
      </c>
      <c r="C1081" s="2">
        <f>IFERROR(__xludf.DUMMYFUNCTION("""COMPUTED_VALUE"""),202.0)</f>
        <v>202</v>
      </c>
      <c r="D1081" s="2">
        <f>IFERROR(__xludf.DUMMYFUNCTION("""COMPUTED_VALUE"""),192.0)</f>
        <v>192</v>
      </c>
      <c r="E1081" s="2">
        <f>IFERROR(__xludf.DUMMYFUNCTION("""COMPUTED_VALUE"""),197.0)</f>
        <v>197</v>
      </c>
      <c r="F1081" s="2">
        <f>IFERROR(__xludf.DUMMYFUNCTION("""COMPUTED_VALUE"""),1.59218E7)</f>
        <v>15921800</v>
      </c>
      <c r="G1081" s="2">
        <f t="shared" si="1"/>
        <v>10</v>
      </c>
    </row>
    <row r="1082" ht="15.75" customHeight="1">
      <c r="A1082" s="1">
        <f>IFERROR(__xludf.DUMMYFUNCTION("""COMPUTED_VALUE"""),45474.66666666667)</f>
        <v>45474.66667</v>
      </c>
      <c r="B1082" s="2">
        <f>IFERROR(__xludf.DUMMYFUNCTION("""COMPUTED_VALUE"""),197.0)</f>
        <v>197</v>
      </c>
      <c r="C1082" s="2">
        <f>IFERROR(__xludf.DUMMYFUNCTION("""COMPUTED_VALUE"""),220.0)</f>
        <v>220</v>
      </c>
      <c r="D1082" s="2">
        <f>IFERROR(__xludf.DUMMYFUNCTION("""COMPUTED_VALUE"""),196.0)</f>
        <v>196</v>
      </c>
      <c r="E1082" s="2">
        <f>IFERROR(__xludf.DUMMYFUNCTION("""COMPUTED_VALUE"""),212.0)</f>
        <v>212</v>
      </c>
      <c r="F1082" s="2">
        <f>IFERROR(__xludf.DUMMYFUNCTION("""COMPUTED_VALUE"""),9.35923E7)</f>
        <v>93592300</v>
      </c>
      <c r="G1082" s="2">
        <f t="shared" si="1"/>
        <v>24</v>
      </c>
    </row>
    <row r="1083" ht="15.75" customHeight="1">
      <c r="A1083" s="1">
        <f>IFERROR(__xludf.DUMMYFUNCTION("""COMPUTED_VALUE"""),45475.66666666667)</f>
        <v>45475.66667</v>
      </c>
      <c r="B1083" s="2">
        <f>IFERROR(__xludf.DUMMYFUNCTION("""COMPUTED_VALUE"""),212.0)</f>
        <v>212</v>
      </c>
      <c r="C1083" s="2">
        <f>IFERROR(__xludf.DUMMYFUNCTION("""COMPUTED_VALUE"""),228.0)</f>
        <v>228</v>
      </c>
      <c r="D1083" s="2">
        <f>IFERROR(__xludf.DUMMYFUNCTION("""COMPUTED_VALUE"""),212.0)</f>
        <v>212</v>
      </c>
      <c r="E1083" s="2">
        <f>IFERROR(__xludf.DUMMYFUNCTION("""COMPUTED_VALUE"""),220.0)</f>
        <v>220</v>
      </c>
      <c r="F1083" s="2">
        <f>IFERROR(__xludf.DUMMYFUNCTION("""COMPUTED_VALUE"""),8.75302E7)</f>
        <v>87530200</v>
      </c>
      <c r="G1083" s="2">
        <f t="shared" si="1"/>
        <v>16</v>
      </c>
    </row>
    <row r="1084" ht="15.75" customHeight="1">
      <c r="A1084" s="1">
        <f>IFERROR(__xludf.DUMMYFUNCTION("""COMPUTED_VALUE"""),45476.66666666667)</f>
        <v>45476.66667</v>
      </c>
      <c r="B1084" s="2">
        <f>IFERROR(__xludf.DUMMYFUNCTION("""COMPUTED_VALUE"""),220.0)</f>
        <v>220</v>
      </c>
      <c r="C1084" s="2">
        <f>IFERROR(__xludf.DUMMYFUNCTION("""COMPUTED_VALUE"""),244.0)</f>
        <v>244</v>
      </c>
      <c r="D1084" s="2">
        <f>IFERROR(__xludf.DUMMYFUNCTION("""COMPUTED_VALUE"""),218.0)</f>
        <v>218</v>
      </c>
      <c r="E1084" s="2">
        <f>IFERROR(__xludf.DUMMYFUNCTION("""COMPUTED_VALUE"""),232.0)</f>
        <v>232</v>
      </c>
      <c r="F1084" s="2">
        <f>IFERROR(__xludf.DUMMYFUNCTION("""COMPUTED_VALUE"""),1.381203E8)</f>
        <v>138120300</v>
      </c>
      <c r="G1084" s="2">
        <f t="shared" si="1"/>
        <v>26</v>
      </c>
    </row>
    <row r="1085" ht="15.75" customHeight="1">
      <c r="A1085" s="1">
        <f>IFERROR(__xludf.DUMMYFUNCTION("""COMPUTED_VALUE"""),45477.66666666667)</f>
        <v>45477.66667</v>
      </c>
      <c r="B1085" s="2">
        <f>IFERROR(__xludf.DUMMYFUNCTION("""COMPUTED_VALUE"""),232.0)</f>
        <v>232</v>
      </c>
      <c r="C1085" s="2">
        <f>IFERROR(__xludf.DUMMYFUNCTION("""COMPUTED_VALUE"""),238.0)</f>
        <v>238</v>
      </c>
      <c r="D1085" s="2">
        <f>IFERROR(__xludf.DUMMYFUNCTION("""COMPUTED_VALUE"""),222.0)</f>
        <v>222</v>
      </c>
      <c r="E1085" s="2">
        <f>IFERROR(__xludf.DUMMYFUNCTION("""COMPUTED_VALUE"""),224.0)</f>
        <v>224</v>
      </c>
      <c r="F1085" s="2">
        <f>IFERROR(__xludf.DUMMYFUNCTION("""COMPUTED_VALUE"""),4.52381E7)</f>
        <v>45238100</v>
      </c>
      <c r="G1085" s="2">
        <f t="shared" si="1"/>
        <v>16</v>
      </c>
    </row>
    <row r="1086" ht="15.75" customHeight="1">
      <c r="A1086" s="1">
        <f>IFERROR(__xludf.DUMMYFUNCTION("""COMPUTED_VALUE"""),45478.66666666667)</f>
        <v>45478.66667</v>
      </c>
      <c r="B1086" s="2">
        <f>IFERROR(__xludf.DUMMYFUNCTION("""COMPUTED_VALUE"""),224.0)</f>
        <v>224</v>
      </c>
      <c r="C1086" s="2">
        <f>IFERROR(__xludf.DUMMYFUNCTION("""COMPUTED_VALUE"""),232.0)</f>
        <v>232</v>
      </c>
      <c r="D1086" s="2">
        <f>IFERROR(__xludf.DUMMYFUNCTION("""COMPUTED_VALUE"""),222.0)</f>
        <v>222</v>
      </c>
      <c r="E1086" s="2">
        <f>IFERROR(__xludf.DUMMYFUNCTION("""COMPUTED_VALUE"""),222.0)</f>
        <v>222</v>
      </c>
      <c r="F1086" s="2">
        <f>IFERROR(__xludf.DUMMYFUNCTION("""COMPUTED_VALUE"""),3.68498E7)</f>
        <v>36849800</v>
      </c>
      <c r="G1086" s="2">
        <f t="shared" si="1"/>
        <v>10</v>
      </c>
    </row>
    <row r="1087" ht="15.75" customHeight="1">
      <c r="A1087" s="1">
        <f>IFERROR(__xludf.DUMMYFUNCTION("""COMPUTED_VALUE"""),45481.66666666667)</f>
        <v>45481.66667</v>
      </c>
      <c r="B1087" s="2">
        <f>IFERROR(__xludf.DUMMYFUNCTION("""COMPUTED_VALUE"""),222.0)</f>
        <v>222</v>
      </c>
      <c r="C1087" s="2">
        <f>IFERROR(__xludf.DUMMYFUNCTION("""COMPUTED_VALUE"""),270.0)</f>
        <v>270</v>
      </c>
      <c r="D1087" s="2">
        <f>IFERROR(__xludf.DUMMYFUNCTION("""COMPUTED_VALUE"""),222.0)</f>
        <v>222</v>
      </c>
      <c r="E1087" s="2">
        <f>IFERROR(__xludf.DUMMYFUNCTION("""COMPUTED_VALUE"""),264.0)</f>
        <v>264</v>
      </c>
      <c r="F1087" s="2">
        <f>IFERROR(__xludf.DUMMYFUNCTION("""COMPUTED_VALUE"""),2.658363E8)</f>
        <v>265836300</v>
      </c>
      <c r="G1087" s="2">
        <f t="shared" si="1"/>
        <v>48</v>
      </c>
    </row>
    <row r="1088" ht="15.75" customHeight="1">
      <c r="A1088" s="1">
        <f>IFERROR(__xludf.DUMMYFUNCTION("""COMPUTED_VALUE"""),45482.66666666667)</f>
        <v>45482.66667</v>
      </c>
      <c r="B1088" s="2">
        <f>IFERROR(__xludf.DUMMYFUNCTION("""COMPUTED_VALUE"""),264.0)</f>
        <v>264</v>
      </c>
      <c r="C1088" s="2">
        <f>IFERROR(__xludf.DUMMYFUNCTION("""COMPUTED_VALUE"""),282.0)</f>
        <v>282</v>
      </c>
      <c r="D1088" s="2">
        <f>IFERROR(__xludf.DUMMYFUNCTION("""COMPUTED_VALUE"""),256.0)</f>
        <v>256</v>
      </c>
      <c r="E1088" s="2">
        <f>IFERROR(__xludf.DUMMYFUNCTION("""COMPUTED_VALUE"""),260.0)</f>
        <v>260</v>
      </c>
      <c r="F1088" s="2">
        <f>IFERROR(__xludf.DUMMYFUNCTION("""COMPUTED_VALUE"""),2.451611E8)</f>
        <v>245161100</v>
      </c>
      <c r="G1088" s="2">
        <f t="shared" si="1"/>
        <v>26</v>
      </c>
    </row>
    <row r="1089" ht="15.75" customHeight="1">
      <c r="A1089" s="1">
        <f>IFERROR(__xludf.DUMMYFUNCTION("""COMPUTED_VALUE"""),45483.66666666667)</f>
        <v>45483.66667</v>
      </c>
      <c r="B1089" s="2">
        <f>IFERROR(__xludf.DUMMYFUNCTION("""COMPUTED_VALUE"""),262.0)</f>
        <v>262</v>
      </c>
      <c r="C1089" s="2">
        <f>IFERROR(__xludf.DUMMYFUNCTION("""COMPUTED_VALUE"""),272.0)</f>
        <v>272</v>
      </c>
      <c r="D1089" s="2">
        <f>IFERROR(__xludf.DUMMYFUNCTION("""COMPUTED_VALUE"""),246.0)</f>
        <v>246</v>
      </c>
      <c r="E1089" s="2">
        <f>IFERROR(__xludf.DUMMYFUNCTION("""COMPUTED_VALUE"""),250.0)</f>
        <v>250</v>
      </c>
      <c r="F1089" s="2">
        <f>IFERROR(__xludf.DUMMYFUNCTION("""COMPUTED_VALUE"""),8.01458E7)</f>
        <v>80145800</v>
      </c>
      <c r="G1089" s="2">
        <f t="shared" si="1"/>
        <v>26</v>
      </c>
    </row>
    <row r="1090" ht="15.75" customHeight="1">
      <c r="A1090" s="1">
        <f>IFERROR(__xludf.DUMMYFUNCTION("""COMPUTED_VALUE"""),45484.66666666667)</f>
        <v>45484.66667</v>
      </c>
      <c r="B1090" s="2">
        <f>IFERROR(__xludf.DUMMYFUNCTION("""COMPUTED_VALUE"""),252.0)</f>
        <v>252</v>
      </c>
      <c r="C1090" s="2">
        <f>IFERROR(__xludf.DUMMYFUNCTION("""COMPUTED_VALUE"""),258.0)</f>
        <v>258</v>
      </c>
      <c r="D1090" s="2">
        <f>IFERROR(__xludf.DUMMYFUNCTION("""COMPUTED_VALUE"""),244.0)</f>
        <v>244</v>
      </c>
      <c r="E1090" s="2">
        <f>IFERROR(__xludf.DUMMYFUNCTION("""COMPUTED_VALUE"""),248.0)</f>
        <v>248</v>
      </c>
      <c r="F1090" s="2">
        <f>IFERROR(__xludf.DUMMYFUNCTION("""COMPUTED_VALUE"""),3.76561E7)</f>
        <v>37656100</v>
      </c>
      <c r="G1090" s="2">
        <f t="shared" si="1"/>
        <v>14</v>
      </c>
    </row>
    <row r="1091" ht="15.75" customHeight="1">
      <c r="A1091" s="1">
        <f>IFERROR(__xludf.DUMMYFUNCTION("""COMPUTED_VALUE"""),45485.66666666667)</f>
        <v>45485.66667</v>
      </c>
      <c r="B1091" s="2">
        <f>IFERROR(__xludf.DUMMYFUNCTION("""COMPUTED_VALUE"""),230.0)</f>
        <v>230</v>
      </c>
      <c r="C1091" s="2">
        <f>IFERROR(__xludf.DUMMYFUNCTION("""COMPUTED_VALUE"""),268.0)</f>
        <v>268</v>
      </c>
      <c r="D1091" s="2">
        <f>IFERROR(__xludf.DUMMYFUNCTION("""COMPUTED_VALUE"""),230.0)</f>
        <v>230</v>
      </c>
      <c r="E1091" s="2">
        <f>IFERROR(__xludf.DUMMYFUNCTION("""COMPUTED_VALUE"""),262.0)</f>
        <v>262</v>
      </c>
      <c r="F1091" s="2">
        <f>IFERROR(__xludf.DUMMYFUNCTION("""COMPUTED_VALUE"""),1.386579E8)</f>
        <v>138657900</v>
      </c>
      <c r="G1091" s="2">
        <f t="shared" si="1"/>
        <v>38</v>
      </c>
    </row>
    <row r="1092" ht="15.75" customHeight="1">
      <c r="A1092" s="1">
        <f>IFERROR(__xludf.DUMMYFUNCTION("""COMPUTED_VALUE"""),45488.66666666667)</f>
        <v>45488.66667</v>
      </c>
      <c r="B1092" s="2">
        <f>IFERROR(__xludf.DUMMYFUNCTION("""COMPUTED_VALUE"""),262.0)</f>
        <v>262</v>
      </c>
      <c r="C1092" s="2">
        <f>IFERROR(__xludf.DUMMYFUNCTION("""COMPUTED_VALUE"""),268.0)</f>
        <v>268</v>
      </c>
      <c r="D1092" s="2">
        <f>IFERROR(__xludf.DUMMYFUNCTION("""COMPUTED_VALUE"""),252.0)</f>
        <v>252</v>
      </c>
      <c r="E1092" s="2">
        <f>IFERROR(__xludf.DUMMYFUNCTION("""COMPUTED_VALUE"""),256.0)</f>
        <v>256</v>
      </c>
      <c r="F1092" s="2">
        <f>IFERROR(__xludf.DUMMYFUNCTION("""COMPUTED_VALUE"""),4.95777E7)</f>
        <v>49577700</v>
      </c>
      <c r="G1092" s="2">
        <f t="shared" si="1"/>
        <v>16</v>
      </c>
    </row>
    <row r="1093" ht="15.75" customHeight="1">
      <c r="A1093" s="1">
        <f>IFERROR(__xludf.DUMMYFUNCTION("""COMPUTED_VALUE"""),45489.66666666667)</f>
        <v>45489.66667</v>
      </c>
      <c r="B1093" s="2">
        <f>IFERROR(__xludf.DUMMYFUNCTION("""COMPUTED_VALUE"""),258.0)</f>
        <v>258</v>
      </c>
      <c r="C1093" s="2">
        <f>IFERROR(__xludf.DUMMYFUNCTION("""COMPUTED_VALUE"""),258.0)</f>
        <v>258</v>
      </c>
      <c r="D1093" s="2">
        <f>IFERROR(__xludf.DUMMYFUNCTION("""COMPUTED_VALUE"""),248.0)</f>
        <v>248</v>
      </c>
      <c r="E1093" s="2">
        <f>IFERROR(__xludf.DUMMYFUNCTION("""COMPUTED_VALUE"""),248.0)</f>
        <v>248</v>
      </c>
      <c r="F1093" s="2">
        <f>IFERROR(__xludf.DUMMYFUNCTION("""COMPUTED_VALUE"""),2.95216E7)</f>
        <v>29521600</v>
      </c>
      <c r="G1093" s="2">
        <f t="shared" si="1"/>
        <v>10</v>
      </c>
    </row>
    <row r="1094" ht="15.75" customHeight="1">
      <c r="A1094" s="1">
        <f>IFERROR(__xludf.DUMMYFUNCTION("""COMPUTED_VALUE"""),45490.66666666667)</f>
        <v>45490.66667</v>
      </c>
      <c r="B1094" s="2">
        <f>IFERROR(__xludf.DUMMYFUNCTION("""COMPUTED_VALUE"""),250.0)</f>
        <v>250</v>
      </c>
      <c r="C1094" s="2">
        <f>IFERROR(__xludf.DUMMYFUNCTION("""COMPUTED_VALUE"""),260.0)</f>
        <v>260</v>
      </c>
      <c r="D1094" s="2">
        <f>IFERROR(__xludf.DUMMYFUNCTION("""COMPUTED_VALUE"""),248.0)</f>
        <v>248</v>
      </c>
      <c r="E1094" s="2">
        <f>IFERROR(__xludf.DUMMYFUNCTION("""COMPUTED_VALUE"""),260.0)</f>
        <v>260</v>
      </c>
      <c r="F1094" s="2">
        <f>IFERROR(__xludf.DUMMYFUNCTION("""COMPUTED_VALUE"""),5.29845E7)</f>
        <v>52984500</v>
      </c>
      <c r="G1094" s="2">
        <f t="shared" si="1"/>
        <v>12</v>
      </c>
    </row>
    <row r="1095" ht="15.75" customHeight="1">
      <c r="A1095" s="1">
        <f>IFERROR(__xludf.DUMMYFUNCTION("""COMPUTED_VALUE"""),45491.66666666667)</f>
        <v>45491.66667</v>
      </c>
      <c r="B1095" s="2">
        <f>IFERROR(__xludf.DUMMYFUNCTION("""COMPUTED_VALUE"""),260.0)</f>
        <v>260</v>
      </c>
      <c r="C1095" s="2">
        <f>IFERROR(__xludf.DUMMYFUNCTION("""COMPUTED_VALUE"""),266.0)</f>
        <v>266</v>
      </c>
      <c r="D1095" s="2">
        <f>IFERROR(__xludf.DUMMYFUNCTION("""COMPUTED_VALUE"""),254.0)</f>
        <v>254</v>
      </c>
      <c r="E1095" s="2">
        <f>IFERROR(__xludf.DUMMYFUNCTION("""COMPUTED_VALUE"""),256.0)</f>
        <v>256</v>
      </c>
      <c r="F1095" s="2">
        <f>IFERROR(__xludf.DUMMYFUNCTION("""COMPUTED_VALUE"""),3.19992E7)</f>
        <v>31999200</v>
      </c>
      <c r="G1095" s="2">
        <f t="shared" si="1"/>
        <v>12</v>
      </c>
    </row>
    <row r="1096" ht="15.75" customHeight="1">
      <c r="A1096" s="1">
        <f>IFERROR(__xludf.DUMMYFUNCTION("""COMPUTED_VALUE"""),45492.66666666667)</f>
        <v>45492.66667</v>
      </c>
      <c r="B1096" s="2">
        <f>IFERROR(__xludf.DUMMYFUNCTION("""COMPUTED_VALUE"""),258.0)</f>
        <v>258</v>
      </c>
      <c r="C1096" s="2">
        <f>IFERROR(__xludf.DUMMYFUNCTION("""COMPUTED_VALUE"""),258.0)</f>
        <v>258</v>
      </c>
      <c r="D1096" s="2">
        <f>IFERROR(__xludf.DUMMYFUNCTION("""COMPUTED_VALUE"""),248.0)</f>
        <v>248</v>
      </c>
      <c r="E1096" s="2">
        <f>IFERROR(__xludf.DUMMYFUNCTION("""COMPUTED_VALUE"""),252.0)</f>
        <v>252</v>
      </c>
      <c r="F1096" s="2">
        <f>IFERROR(__xludf.DUMMYFUNCTION("""COMPUTED_VALUE"""),2.14617E7)</f>
        <v>21461700</v>
      </c>
      <c r="G1096" s="2">
        <f t="shared" si="1"/>
        <v>10</v>
      </c>
    </row>
    <row r="1097" ht="15.75" customHeight="1">
      <c r="A1097" s="1">
        <f>IFERROR(__xludf.DUMMYFUNCTION("""COMPUTED_VALUE"""),45495.66666666667)</f>
        <v>45495.66667</v>
      </c>
      <c r="B1097" s="2">
        <f>IFERROR(__xludf.DUMMYFUNCTION("""COMPUTED_VALUE"""),252.0)</f>
        <v>252</v>
      </c>
      <c r="C1097" s="2">
        <f>IFERROR(__xludf.DUMMYFUNCTION("""COMPUTED_VALUE"""),260.0)</f>
        <v>260</v>
      </c>
      <c r="D1097" s="2">
        <f>IFERROR(__xludf.DUMMYFUNCTION("""COMPUTED_VALUE"""),248.0)</f>
        <v>248</v>
      </c>
      <c r="E1097" s="2">
        <f>IFERROR(__xludf.DUMMYFUNCTION("""COMPUTED_VALUE"""),254.0)</f>
        <v>254</v>
      </c>
      <c r="F1097" s="2">
        <f>IFERROR(__xludf.DUMMYFUNCTION("""COMPUTED_VALUE"""),3.75837E7)</f>
        <v>37583700</v>
      </c>
      <c r="G1097" s="2">
        <f t="shared" si="1"/>
        <v>12</v>
      </c>
    </row>
    <row r="1098" ht="15.75" customHeight="1">
      <c r="A1098" s="1">
        <f>IFERROR(__xludf.DUMMYFUNCTION("""COMPUTED_VALUE"""),45496.66666666667)</f>
        <v>45496.66667</v>
      </c>
      <c r="B1098" s="2">
        <f>IFERROR(__xludf.DUMMYFUNCTION("""COMPUTED_VALUE"""),256.0)</f>
        <v>256</v>
      </c>
      <c r="C1098" s="2">
        <f>IFERROR(__xludf.DUMMYFUNCTION("""COMPUTED_VALUE"""),258.0)</f>
        <v>258</v>
      </c>
      <c r="D1098" s="2">
        <f>IFERROR(__xludf.DUMMYFUNCTION("""COMPUTED_VALUE"""),250.0)</f>
        <v>250</v>
      </c>
      <c r="E1098" s="2">
        <f>IFERROR(__xludf.DUMMYFUNCTION("""COMPUTED_VALUE"""),252.0)</f>
        <v>252</v>
      </c>
      <c r="F1098" s="2">
        <f>IFERROR(__xludf.DUMMYFUNCTION("""COMPUTED_VALUE"""),1.40734E7)</f>
        <v>14073400</v>
      </c>
      <c r="G1098" s="2">
        <f t="shared" si="1"/>
        <v>8</v>
      </c>
    </row>
    <row r="1099" ht="15.75" customHeight="1">
      <c r="A1099" s="1">
        <f>IFERROR(__xludf.DUMMYFUNCTION("""COMPUTED_VALUE"""),45497.66666666667)</f>
        <v>45497.66667</v>
      </c>
      <c r="B1099" s="2">
        <f>IFERROR(__xludf.DUMMYFUNCTION("""COMPUTED_VALUE"""),254.0)</f>
        <v>254</v>
      </c>
      <c r="C1099" s="2">
        <f>IFERROR(__xludf.DUMMYFUNCTION("""COMPUTED_VALUE"""),256.0)</f>
        <v>256</v>
      </c>
      <c r="D1099" s="2">
        <f>IFERROR(__xludf.DUMMYFUNCTION("""COMPUTED_VALUE"""),238.0)</f>
        <v>238</v>
      </c>
      <c r="E1099" s="2">
        <f>IFERROR(__xludf.DUMMYFUNCTION("""COMPUTED_VALUE"""),240.0)</f>
        <v>240</v>
      </c>
      <c r="F1099" s="2">
        <f>IFERROR(__xludf.DUMMYFUNCTION("""COMPUTED_VALUE"""),3.13029E7)</f>
        <v>31302900</v>
      </c>
      <c r="G1099" s="2">
        <f t="shared" si="1"/>
        <v>18</v>
      </c>
    </row>
    <row r="1100" ht="15.75" customHeight="1">
      <c r="A1100" s="1">
        <f>IFERROR(__xludf.DUMMYFUNCTION("""COMPUTED_VALUE"""),45498.66666666667)</f>
        <v>45498.66667</v>
      </c>
      <c r="B1100" s="2">
        <f>IFERROR(__xludf.DUMMYFUNCTION("""COMPUTED_VALUE"""),240.0)</f>
        <v>240</v>
      </c>
      <c r="C1100" s="2">
        <f>IFERROR(__xludf.DUMMYFUNCTION("""COMPUTED_VALUE"""),250.0)</f>
        <v>250</v>
      </c>
      <c r="D1100" s="2">
        <f>IFERROR(__xludf.DUMMYFUNCTION("""COMPUTED_VALUE"""),236.0)</f>
        <v>236</v>
      </c>
      <c r="E1100" s="2">
        <f>IFERROR(__xludf.DUMMYFUNCTION("""COMPUTED_VALUE"""),242.0)</f>
        <v>242</v>
      </c>
      <c r="F1100" s="2">
        <f>IFERROR(__xludf.DUMMYFUNCTION("""COMPUTED_VALUE"""),1.71361E7)</f>
        <v>17136100</v>
      </c>
      <c r="G1100" s="2">
        <f t="shared" si="1"/>
        <v>14</v>
      </c>
    </row>
    <row r="1101" ht="15.75" customHeight="1">
      <c r="A1101" s="1">
        <f>IFERROR(__xludf.DUMMYFUNCTION("""COMPUTED_VALUE"""),45499.66666666667)</f>
        <v>45499.66667</v>
      </c>
      <c r="B1101" s="2">
        <f>IFERROR(__xludf.DUMMYFUNCTION("""COMPUTED_VALUE"""),244.0)</f>
        <v>244</v>
      </c>
      <c r="C1101" s="2">
        <f>IFERROR(__xludf.DUMMYFUNCTION("""COMPUTED_VALUE"""),250.0)</f>
        <v>250</v>
      </c>
      <c r="D1101" s="2">
        <f>IFERROR(__xludf.DUMMYFUNCTION("""COMPUTED_VALUE"""),240.0)</f>
        <v>240</v>
      </c>
      <c r="E1101" s="2">
        <f>IFERROR(__xludf.DUMMYFUNCTION("""COMPUTED_VALUE"""),244.0)</f>
        <v>244</v>
      </c>
      <c r="F1101" s="2">
        <f>IFERROR(__xludf.DUMMYFUNCTION("""COMPUTED_VALUE"""),1.62462E7)</f>
        <v>16246200</v>
      </c>
      <c r="G1101" s="2">
        <f t="shared" si="1"/>
        <v>10</v>
      </c>
    </row>
    <row r="1102" ht="15.75" customHeight="1">
      <c r="A1102" s="1">
        <f>IFERROR(__xludf.DUMMYFUNCTION("""COMPUTED_VALUE"""),45502.66666666667)</f>
        <v>45502.66667</v>
      </c>
      <c r="B1102" s="2">
        <f>IFERROR(__xludf.DUMMYFUNCTION("""COMPUTED_VALUE"""),244.0)</f>
        <v>244</v>
      </c>
      <c r="C1102" s="2">
        <f>IFERROR(__xludf.DUMMYFUNCTION("""COMPUTED_VALUE"""),250.0)</f>
        <v>250</v>
      </c>
      <c r="D1102" s="2">
        <f>IFERROR(__xludf.DUMMYFUNCTION("""COMPUTED_VALUE"""),242.0)</f>
        <v>242</v>
      </c>
      <c r="E1102" s="2">
        <f>IFERROR(__xludf.DUMMYFUNCTION("""COMPUTED_VALUE"""),248.0)</f>
        <v>248</v>
      </c>
      <c r="F1102" s="2">
        <f>IFERROR(__xludf.DUMMYFUNCTION("""COMPUTED_VALUE"""),1.58315E7)</f>
        <v>15831500</v>
      </c>
      <c r="G1102" s="2">
        <f t="shared" si="1"/>
        <v>8</v>
      </c>
    </row>
    <row r="1103" ht="15.75" customHeight="1">
      <c r="A1103" s="1">
        <f>IFERROR(__xludf.DUMMYFUNCTION("""COMPUTED_VALUE"""),45503.66666666667)</f>
        <v>45503.66667</v>
      </c>
      <c r="B1103" s="2">
        <f>IFERROR(__xludf.DUMMYFUNCTION("""COMPUTED_VALUE"""),246.0)</f>
        <v>246</v>
      </c>
      <c r="C1103" s="2">
        <f>IFERROR(__xludf.DUMMYFUNCTION("""COMPUTED_VALUE"""),248.0)</f>
        <v>248</v>
      </c>
      <c r="D1103" s="2">
        <f>IFERROR(__xludf.DUMMYFUNCTION("""COMPUTED_VALUE"""),240.0)</f>
        <v>240</v>
      </c>
      <c r="E1103" s="2">
        <f>IFERROR(__xludf.DUMMYFUNCTION("""COMPUTED_VALUE"""),240.0)</f>
        <v>240</v>
      </c>
      <c r="F1103" s="2">
        <f>IFERROR(__xludf.DUMMYFUNCTION("""COMPUTED_VALUE"""),8711300.0)</f>
        <v>8711300</v>
      </c>
      <c r="G1103" s="2">
        <f t="shared" si="1"/>
        <v>8</v>
      </c>
    </row>
    <row r="1104" ht="15.75" customHeight="1">
      <c r="A1104" s="1">
        <f>IFERROR(__xludf.DUMMYFUNCTION("""COMPUTED_VALUE"""),45504.66666666667)</f>
        <v>45504.66667</v>
      </c>
      <c r="B1104" s="2">
        <f>IFERROR(__xludf.DUMMYFUNCTION("""COMPUTED_VALUE"""),240.0)</f>
        <v>240</v>
      </c>
      <c r="C1104" s="2">
        <f>IFERROR(__xludf.DUMMYFUNCTION("""COMPUTED_VALUE"""),244.0)</f>
        <v>244</v>
      </c>
      <c r="D1104" s="2">
        <f>IFERROR(__xludf.DUMMYFUNCTION("""COMPUTED_VALUE"""),234.0)</f>
        <v>234</v>
      </c>
      <c r="E1104" s="2">
        <f>IFERROR(__xludf.DUMMYFUNCTION("""COMPUTED_VALUE"""),236.0)</f>
        <v>236</v>
      </c>
      <c r="F1104" s="2">
        <f>IFERROR(__xludf.DUMMYFUNCTION("""COMPUTED_VALUE"""),1.18746E7)</f>
        <v>11874600</v>
      </c>
      <c r="G1104" s="2">
        <f t="shared" si="1"/>
        <v>10</v>
      </c>
    </row>
    <row r="1105" ht="15.75" customHeight="1">
      <c r="A1105" s="1">
        <f>IFERROR(__xludf.DUMMYFUNCTION("""COMPUTED_VALUE"""),45505.66666666667)</f>
        <v>45505.66667</v>
      </c>
      <c r="B1105" s="2">
        <f>IFERROR(__xludf.DUMMYFUNCTION("""COMPUTED_VALUE"""),236.0)</f>
        <v>236</v>
      </c>
      <c r="C1105" s="2">
        <f>IFERROR(__xludf.DUMMYFUNCTION("""COMPUTED_VALUE"""),252.0)</f>
        <v>252</v>
      </c>
      <c r="D1105" s="2">
        <f>IFERROR(__xludf.DUMMYFUNCTION("""COMPUTED_VALUE"""),234.0)</f>
        <v>234</v>
      </c>
      <c r="E1105" s="2">
        <f>IFERROR(__xludf.DUMMYFUNCTION("""COMPUTED_VALUE"""),248.0)</f>
        <v>248</v>
      </c>
      <c r="F1105" s="2">
        <f>IFERROR(__xludf.DUMMYFUNCTION("""COMPUTED_VALUE"""),8.23978E7)</f>
        <v>82397800</v>
      </c>
      <c r="G1105" s="2">
        <f t="shared" si="1"/>
        <v>18</v>
      </c>
    </row>
    <row r="1106" ht="15.75" customHeight="1">
      <c r="A1106" s="1">
        <f>IFERROR(__xludf.DUMMYFUNCTION("""COMPUTED_VALUE"""),45506.66666666667)</f>
        <v>45506.66667</v>
      </c>
      <c r="B1106" s="2">
        <f>IFERROR(__xludf.DUMMYFUNCTION("""COMPUTED_VALUE"""),248.0)</f>
        <v>248</v>
      </c>
      <c r="C1106" s="2">
        <f>IFERROR(__xludf.DUMMYFUNCTION("""COMPUTED_VALUE"""),250.0)</f>
        <v>250</v>
      </c>
      <c r="D1106" s="2">
        <f>IFERROR(__xludf.DUMMYFUNCTION("""COMPUTED_VALUE"""),242.0)</f>
        <v>242</v>
      </c>
      <c r="E1106" s="2">
        <f>IFERROR(__xludf.DUMMYFUNCTION("""COMPUTED_VALUE"""),242.0)</f>
        <v>242</v>
      </c>
      <c r="F1106" s="2">
        <f>IFERROR(__xludf.DUMMYFUNCTION("""COMPUTED_VALUE"""),1.38313E7)</f>
        <v>13831300</v>
      </c>
      <c r="G1106" s="2">
        <f t="shared" si="1"/>
        <v>8</v>
      </c>
    </row>
    <row r="1107" ht="15.75" customHeight="1">
      <c r="A1107" s="1">
        <f>IFERROR(__xludf.DUMMYFUNCTION("""COMPUTED_VALUE"""),45509.66666666667)</f>
        <v>45509.66667</v>
      </c>
      <c r="B1107" s="2">
        <f>IFERROR(__xludf.DUMMYFUNCTION("""COMPUTED_VALUE"""),242.0)</f>
        <v>242</v>
      </c>
      <c r="C1107" s="2">
        <f>IFERROR(__xludf.DUMMYFUNCTION("""COMPUTED_VALUE"""),246.0)</f>
        <v>246</v>
      </c>
      <c r="D1107" s="2">
        <f>IFERROR(__xludf.DUMMYFUNCTION("""COMPUTED_VALUE"""),230.0)</f>
        <v>230</v>
      </c>
      <c r="E1107" s="2">
        <f>IFERROR(__xludf.DUMMYFUNCTION("""COMPUTED_VALUE"""),232.0)</f>
        <v>232</v>
      </c>
      <c r="F1107" s="2">
        <f>IFERROR(__xludf.DUMMYFUNCTION("""COMPUTED_VALUE"""),2.74814E7)</f>
        <v>27481400</v>
      </c>
      <c r="G1107" s="2">
        <f t="shared" si="1"/>
        <v>16</v>
      </c>
    </row>
    <row r="1108" ht="15.75" customHeight="1">
      <c r="A1108" s="1">
        <f>IFERROR(__xludf.DUMMYFUNCTION("""COMPUTED_VALUE"""),45510.66666666667)</f>
        <v>45510.66667</v>
      </c>
      <c r="B1108" s="2">
        <f>IFERROR(__xludf.DUMMYFUNCTION("""COMPUTED_VALUE"""),234.0)</f>
        <v>234</v>
      </c>
      <c r="C1108" s="2">
        <f>IFERROR(__xludf.DUMMYFUNCTION("""COMPUTED_VALUE"""),240.0)</f>
        <v>240</v>
      </c>
      <c r="D1108" s="2">
        <f>IFERROR(__xludf.DUMMYFUNCTION("""COMPUTED_VALUE"""),230.0)</f>
        <v>230</v>
      </c>
      <c r="E1108" s="2">
        <f>IFERROR(__xludf.DUMMYFUNCTION("""COMPUTED_VALUE"""),238.0)</f>
        <v>238</v>
      </c>
      <c r="F1108" s="2">
        <f>IFERROR(__xludf.DUMMYFUNCTION("""COMPUTED_VALUE"""),1.65451E7)</f>
        <v>16545100</v>
      </c>
      <c r="G1108" s="2">
        <f t="shared" si="1"/>
        <v>10</v>
      </c>
    </row>
    <row r="1109" ht="15.75" customHeight="1">
      <c r="A1109" s="1">
        <f>IFERROR(__xludf.DUMMYFUNCTION("""COMPUTED_VALUE"""),45511.66666666667)</f>
        <v>45511.66667</v>
      </c>
      <c r="B1109" s="2">
        <f>IFERROR(__xludf.DUMMYFUNCTION("""COMPUTED_VALUE"""),238.0)</f>
        <v>238</v>
      </c>
      <c r="C1109" s="2">
        <f>IFERROR(__xludf.DUMMYFUNCTION("""COMPUTED_VALUE"""),244.0)</f>
        <v>244</v>
      </c>
      <c r="D1109" s="2">
        <f>IFERROR(__xludf.DUMMYFUNCTION("""COMPUTED_VALUE"""),236.0)</f>
        <v>236</v>
      </c>
      <c r="E1109" s="2">
        <f>IFERROR(__xludf.DUMMYFUNCTION("""COMPUTED_VALUE"""),238.0)</f>
        <v>238</v>
      </c>
      <c r="F1109" s="2">
        <f>IFERROR(__xludf.DUMMYFUNCTION("""COMPUTED_VALUE"""),1.90149E7)</f>
        <v>19014900</v>
      </c>
      <c r="G1109" s="2">
        <f t="shared" si="1"/>
        <v>8</v>
      </c>
    </row>
    <row r="1110" ht="15.75" customHeight="1">
      <c r="A1110" s="1">
        <f>IFERROR(__xludf.DUMMYFUNCTION("""COMPUTED_VALUE"""),45512.66666666667)</f>
        <v>45512.66667</v>
      </c>
      <c r="B1110" s="2">
        <f>IFERROR(__xludf.DUMMYFUNCTION("""COMPUTED_VALUE"""),238.0)</f>
        <v>238</v>
      </c>
      <c r="C1110" s="2">
        <f>IFERROR(__xludf.DUMMYFUNCTION("""COMPUTED_VALUE"""),242.0)</f>
        <v>242</v>
      </c>
      <c r="D1110" s="2">
        <f>IFERROR(__xludf.DUMMYFUNCTION("""COMPUTED_VALUE"""),234.0)</f>
        <v>234</v>
      </c>
      <c r="E1110" s="2">
        <f>IFERROR(__xludf.DUMMYFUNCTION("""COMPUTED_VALUE"""),236.0)</f>
        <v>236</v>
      </c>
      <c r="F1110" s="2">
        <f>IFERROR(__xludf.DUMMYFUNCTION("""COMPUTED_VALUE"""),6718300.0)</f>
        <v>6718300</v>
      </c>
      <c r="G1110" s="2">
        <f t="shared" si="1"/>
        <v>8</v>
      </c>
    </row>
    <row r="1111" ht="15.75" customHeight="1">
      <c r="A1111" s="1">
        <f>IFERROR(__xludf.DUMMYFUNCTION("""COMPUTED_VALUE"""),45513.66666666667)</f>
        <v>45513.66667</v>
      </c>
      <c r="B1111" s="2">
        <f>IFERROR(__xludf.DUMMYFUNCTION("""COMPUTED_VALUE"""),236.0)</f>
        <v>236</v>
      </c>
      <c r="C1111" s="2">
        <f>IFERROR(__xludf.DUMMYFUNCTION("""COMPUTED_VALUE"""),258.0)</f>
        <v>258</v>
      </c>
      <c r="D1111" s="2">
        <f>IFERROR(__xludf.DUMMYFUNCTION("""COMPUTED_VALUE"""),236.0)</f>
        <v>236</v>
      </c>
      <c r="E1111" s="2">
        <f>IFERROR(__xludf.DUMMYFUNCTION("""COMPUTED_VALUE"""),252.0)</f>
        <v>252</v>
      </c>
      <c r="F1111" s="2">
        <f>IFERROR(__xludf.DUMMYFUNCTION("""COMPUTED_VALUE"""),7.12057E7)</f>
        <v>71205700</v>
      </c>
      <c r="G1111" s="2">
        <f t="shared" si="1"/>
        <v>22</v>
      </c>
    </row>
    <row r="1112" ht="15.75" customHeight="1">
      <c r="A1112" s="1">
        <f>IFERROR(__xludf.DUMMYFUNCTION("""COMPUTED_VALUE"""),45516.66666666667)</f>
        <v>45516.66667</v>
      </c>
      <c r="B1112" s="2">
        <f>IFERROR(__xludf.DUMMYFUNCTION("""COMPUTED_VALUE"""),252.0)</f>
        <v>252</v>
      </c>
      <c r="C1112" s="2">
        <f>IFERROR(__xludf.DUMMYFUNCTION("""COMPUTED_VALUE"""),262.0)</f>
        <v>262</v>
      </c>
      <c r="D1112" s="2">
        <f>IFERROR(__xludf.DUMMYFUNCTION("""COMPUTED_VALUE"""),252.0)</f>
        <v>252</v>
      </c>
      <c r="E1112" s="2">
        <f>IFERROR(__xludf.DUMMYFUNCTION("""COMPUTED_VALUE"""),256.0)</f>
        <v>256</v>
      </c>
      <c r="F1112" s="2">
        <f>IFERROR(__xludf.DUMMYFUNCTION("""COMPUTED_VALUE"""),2.61902E7)</f>
        <v>26190200</v>
      </c>
      <c r="G1112" s="2">
        <f t="shared" si="1"/>
        <v>10</v>
      </c>
    </row>
    <row r="1113" ht="15.75" customHeight="1">
      <c r="A1113" s="1">
        <f>IFERROR(__xludf.DUMMYFUNCTION("""COMPUTED_VALUE"""),45517.66666666667)</f>
        <v>45517.66667</v>
      </c>
      <c r="B1113" s="2">
        <f>IFERROR(__xludf.DUMMYFUNCTION("""COMPUTED_VALUE"""),256.0)</f>
        <v>256</v>
      </c>
      <c r="C1113" s="2">
        <f>IFERROR(__xludf.DUMMYFUNCTION("""COMPUTED_VALUE"""),314.0)</f>
        <v>314</v>
      </c>
      <c r="D1113" s="2">
        <f>IFERROR(__xludf.DUMMYFUNCTION("""COMPUTED_VALUE"""),256.0)</f>
        <v>256</v>
      </c>
      <c r="E1113" s="2">
        <f>IFERROR(__xludf.DUMMYFUNCTION("""COMPUTED_VALUE"""),314.0)</f>
        <v>314</v>
      </c>
      <c r="F1113" s="2">
        <f>IFERROR(__xludf.DUMMYFUNCTION("""COMPUTED_VALUE"""),4.180218E8)</f>
        <v>418021800</v>
      </c>
      <c r="G1113" s="2">
        <f t="shared" si="1"/>
        <v>58</v>
      </c>
    </row>
    <row r="1114" ht="15.75" customHeight="1">
      <c r="A1114" s="1">
        <f>IFERROR(__xludf.DUMMYFUNCTION("""COMPUTED_VALUE"""),45518.66666666667)</f>
        <v>45518.66667</v>
      </c>
      <c r="B1114" s="2">
        <f>IFERROR(__xludf.DUMMYFUNCTION("""COMPUTED_VALUE"""),314.0)</f>
        <v>314</v>
      </c>
      <c r="C1114" s="2">
        <f>IFERROR(__xludf.DUMMYFUNCTION("""COMPUTED_VALUE"""),320.0)</f>
        <v>320</v>
      </c>
      <c r="D1114" s="2">
        <f>IFERROR(__xludf.DUMMYFUNCTION("""COMPUTED_VALUE"""),296.0)</f>
        <v>296</v>
      </c>
      <c r="E1114" s="2">
        <f>IFERROR(__xludf.DUMMYFUNCTION("""COMPUTED_VALUE"""),302.0)</f>
        <v>302</v>
      </c>
      <c r="F1114" s="2">
        <f>IFERROR(__xludf.DUMMYFUNCTION("""COMPUTED_VALUE"""),4.298838E8)</f>
        <v>429883800</v>
      </c>
      <c r="G1114" s="2">
        <f t="shared" si="1"/>
        <v>24</v>
      </c>
    </row>
    <row r="1115" ht="15.75" customHeight="1">
      <c r="A1115" s="1">
        <f>IFERROR(__xludf.DUMMYFUNCTION("""COMPUTED_VALUE"""),45519.66666666667)</f>
        <v>45519.66667</v>
      </c>
      <c r="B1115" s="2">
        <f>IFERROR(__xludf.DUMMYFUNCTION("""COMPUTED_VALUE"""),306.0)</f>
        <v>306</v>
      </c>
      <c r="C1115" s="2">
        <f>IFERROR(__xludf.DUMMYFUNCTION("""COMPUTED_VALUE"""),320.0)</f>
        <v>320</v>
      </c>
      <c r="D1115" s="2">
        <f>IFERROR(__xludf.DUMMYFUNCTION("""COMPUTED_VALUE"""),288.0)</f>
        <v>288</v>
      </c>
      <c r="E1115" s="2">
        <f>IFERROR(__xludf.DUMMYFUNCTION("""COMPUTED_VALUE"""),292.0)</f>
        <v>292</v>
      </c>
      <c r="F1115" s="2">
        <f>IFERROR(__xludf.DUMMYFUNCTION("""COMPUTED_VALUE"""),2.723917E8)</f>
        <v>272391700</v>
      </c>
      <c r="G1115" s="2">
        <f t="shared" si="1"/>
        <v>32</v>
      </c>
    </row>
    <row r="1116" ht="15.75" customHeight="1">
      <c r="A1116" s="1">
        <f>IFERROR(__xludf.DUMMYFUNCTION("""COMPUTED_VALUE"""),45520.66666666667)</f>
        <v>45520.66667</v>
      </c>
      <c r="B1116" s="2">
        <f>IFERROR(__xludf.DUMMYFUNCTION("""COMPUTED_VALUE"""),296.0)</f>
        <v>296</v>
      </c>
      <c r="C1116" s="2">
        <f>IFERROR(__xludf.DUMMYFUNCTION("""COMPUTED_VALUE"""),302.0)</f>
        <v>302</v>
      </c>
      <c r="D1116" s="2">
        <f>IFERROR(__xludf.DUMMYFUNCTION("""COMPUTED_VALUE"""),290.0)</f>
        <v>290</v>
      </c>
      <c r="E1116" s="2">
        <f>IFERROR(__xludf.DUMMYFUNCTION("""COMPUTED_VALUE"""),292.0)</f>
        <v>292</v>
      </c>
      <c r="F1116" s="2">
        <f>IFERROR(__xludf.DUMMYFUNCTION("""COMPUTED_VALUE"""),5.65287E7)</f>
        <v>56528700</v>
      </c>
      <c r="G1116" s="2">
        <f t="shared" si="1"/>
        <v>12</v>
      </c>
    </row>
    <row r="1117" ht="15.75" customHeight="1">
      <c r="A1117" s="1">
        <f>IFERROR(__xludf.DUMMYFUNCTION("""COMPUTED_VALUE"""),45523.66666666667)</f>
        <v>45523.66667</v>
      </c>
      <c r="B1117" s="2">
        <f>IFERROR(__xludf.DUMMYFUNCTION("""COMPUTED_VALUE"""),292.0)</f>
        <v>292</v>
      </c>
      <c r="C1117" s="2">
        <f>IFERROR(__xludf.DUMMYFUNCTION("""COMPUTED_VALUE"""),312.0)</f>
        <v>312</v>
      </c>
      <c r="D1117" s="2">
        <f>IFERROR(__xludf.DUMMYFUNCTION("""COMPUTED_VALUE"""),290.0)</f>
        <v>290</v>
      </c>
      <c r="E1117" s="2">
        <f>IFERROR(__xludf.DUMMYFUNCTION("""COMPUTED_VALUE"""),296.0)</f>
        <v>296</v>
      </c>
      <c r="F1117" s="2">
        <f>IFERROR(__xludf.DUMMYFUNCTION("""COMPUTED_VALUE"""),1.052264E8)</f>
        <v>105226400</v>
      </c>
      <c r="G1117" s="2">
        <f t="shared" si="1"/>
        <v>22</v>
      </c>
    </row>
    <row r="1118" ht="15.75" customHeight="1">
      <c r="A1118" s="1">
        <f>IFERROR(__xludf.DUMMYFUNCTION("""COMPUTED_VALUE"""),45524.66666666667)</f>
        <v>45524.66667</v>
      </c>
      <c r="B1118" s="2">
        <f>IFERROR(__xludf.DUMMYFUNCTION("""COMPUTED_VALUE"""),298.0)</f>
        <v>298</v>
      </c>
      <c r="C1118" s="2">
        <f>IFERROR(__xludf.DUMMYFUNCTION("""COMPUTED_VALUE"""),304.0)</f>
        <v>304</v>
      </c>
      <c r="D1118" s="2">
        <f>IFERROR(__xludf.DUMMYFUNCTION("""COMPUTED_VALUE"""),284.0)</f>
        <v>284</v>
      </c>
      <c r="E1118" s="2">
        <f>IFERROR(__xludf.DUMMYFUNCTION("""COMPUTED_VALUE"""),296.0)</f>
        <v>296</v>
      </c>
      <c r="F1118" s="2">
        <f>IFERROR(__xludf.DUMMYFUNCTION("""COMPUTED_VALUE"""),6.61106E7)</f>
        <v>66110600</v>
      </c>
      <c r="G1118" s="2">
        <f t="shared" si="1"/>
        <v>20</v>
      </c>
    </row>
    <row r="1119" ht="15.75" customHeight="1">
      <c r="A1119" s="1">
        <f>IFERROR(__xludf.DUMMYFUNCTION("""COMPUTED_VALUE"""),45525.66666666667)</f>
        <v>45525.66667</v>
      </c>
      <c r="B1119" s="2">
        <f>IFERROR(__xludf.DUMMYFUNCTION("""COMPUTED_VALUE"""),296.0)</f>
        <v>296</v>
      </c>
      <c r="C1119" s="2">
        <f>IFERROR(__xludf.DUMMYFUNCTION("""COMPUTED_VALUE"""),302.0)</f>
        <v>302</v>
      </c>
      <c r="D1119" s="2">
        <f>IFERROR(__xludf.DUMMYFUNCTION("""COMPUTED_VALUE"""),292.0)</f>
        <v>292</v>
      </c>
      <c r="E1119" s="2">
        <f>IFERROR(__xludf.DUMMYFUNCTION("""COMPUTED_VALUE"""),292.0)</f>
        <v>292</v>
      </c>
      <c r="F1119" s="2">
        <f>IFERROR(__xludf.DUMMYFUNCTION("""COMPUTED_VALUE"""),5.2302E7)</f>
        <v>52302000</v>
      </c>
      <c r="G1119" s="2">
        <f t="shared" si="1"/>
        <v>10</v>
      </c>
    </row>
    <row r="1120" ht="15.75" customHeight="1">
      <c r="A1120" s="1">
        <f>IFERROR(__xludf.DUMMYFUNCTION("""COMPUTED_VALUE"""),45526.66666666667)</f>
        <v>45526.66667</v>
      </c>
      <c r="B1120" s="2">
        <f>IFERROR(__xludf.DUMMYFUNCTION("""COMPUTED_VALUE"""),292.0)</f>
        <v>292</v>
      </c>
      <c r="C1120" s="2">
        <f>IFERROR(__xludf.DUMMYFUNCTION("""COMPUTED_VALUE"""),296.0)</f>
        <v>296</v>
      </c>
      <c r="D1120" s="2">
        <f>IFERROR(__xludf.DUMMYFUNCTION("""COMPUTED_VALUE"""),284.0)</f>
        <v>284</v>
      </c>
      <c r="E1120" s="2">
        <f>IFERROR(__xludf.DUMMYFUNCTION("""COMPUTED_VALUE"""),286.0)</f>
        <v>286</v>
      </c>
      <c r="F1120" s="2">
        <f>IFERROR(__xludf.DUMMYFUNCTION("""COMPUTED_VALUE"""),2.83631E7)</f>
        <v>28363100</v>
      </c>
      <c r="G1120" s="2">
        <f t="shared" si="1"/>
        <v>12</v>
      </c>
    </row>
    <row r="1121" ht="15.75" customHeight="1">
      <c r="A1121" s="1">
        <f>IFERROR(__xludf.DUMMYFUNCTION("""COMPUTED_VALUE"""),45527.66666666667)</f>
        <v>45527.66667</v>
      </c>
      <c r="B1121" s="2">
        <f>IFERROR(__xludf.DUMMYFUNCTION("""COMPUTED_VALUE"""),284.0)</f>
        <v>284</v>
      </c>
      <c r="C1121" s="2">
        <f>IFERROR(__xludf.DUMMYFUNCTION("""COMPUTED_VALUE"""),304.0)</f>
        <v>304</v>
      </c>
      <c r="D1121" s="2">
        <f>IFERROR(__xludf.DUMMYFUNCTION("""COMPUTED_VALUE"""),284.0)</f>
        <v>284</v>
      </c>
      <c r="E1121" s="2">
        <f>IFERROR(__xludf.DUMMYFUNCTION("""COMPUTED_VALUE"""),298.0)</f>
        <v>298</v>
      </c>
      <c r="F1121" s="2">
        <f>IFERROR(__xludf.DUMMYFUNCTION("""COMPUTED_VALUE"""),7.71678E7)</f>
        <v>77167800</v>
      </c>
      <c r="G1121" s="2">
        <f t="shared" si="1"/>
        <v>20</v>
      </c>
    </row>
    <row r="1122" ht="15.75" customHeight="1">
      <c r="A1122" s="1">
        <f>IFERROR(__xludf.DUMMYFUNCTION("""COMPUTED_VALUE"""),45530.66666666667)</f>
        <v>45530.66667</v>
      </c>
      <c r="B1122" s="2">
        <f>IFERROR(__xludf.DUMMYFUNCTION("""COMPUTED_VALUE"""),298.0)</f>
        <v>298</v>
      </c>
      <c r="C1122" s="2">
        <f>IFERROR(__xludf.DUMMYFUNCTION("""COMPUTED_VALUE"""),310.0)</f>
        <v>310</v>
      </c>
      <c r="D1122" s="2">
        <f>IFERROR(__xludf.DUMMYFUNCTION("""COMPUTED_VALUE"""),298.0)</f>
        <v>298</v>
      </c>
      <c r="E1122" s="2">
        <f>IFERROR(__xludf.DUMMYFUNCTION("""COMPUTED_VALUE"""),308.0)</f>
        <v>308</v>
      </c>
      <c r="F1122" s="2">
        <f>IFERROR(__xludf.DUMMYFUNCTION("""COMPUTED_VALUE"""),8.6013E7)</f>
        <v>86013000</v>
      </c>
      <c r="G1122" s="2">
        <f t="shared" si="1"/>
        <v>12</v>
      </c>
    </row>
    <row r="1123" ht="15.75" customHeight="1">
      <c r="A1123" s="1">
        <f>IFERROR(__xludf.DUMMYFUNCTION("""COMPUTED_VALUE"""),45531.66666666667)</f>
        <v>45531.66667</v>
      </c>
      <c r="B1123" s="2">
        <f>IFERROR(__xludf.DUMMYFUNCTION("""COMPUTED_VALUE"""),308.0)</f>
        <v>308</v>
      </c>
      <c r="C1123" s="2">
        <f>IFERROR(__xludf.DUMMYFUNCTION("""COMPUTED_VALUE"""),312.0)</f>
        <v>312</v>
      </c>
      <c r="D1123" s="2">
        <f>IFERROR(__xludf.DUMMYFUNCTION("""COMPUTED_VALUE"""),300.0)</f>
        <v>300</v>
      </c>
      <c r="E1123" s="2">
        <f>IFERROR(__xludf.DUMMYFUNCTION("""COMPUTED_VALUE"""),300.0)</f>
        <v>300</v>
      </c>
      <c r="F1123" s="2">
        <f>IFERROR(__xludf.DUMMYFUNCTION("""COMPUTED_VALUE"""),3.84104E7)</f>
        <v>38410400</v>
      </c>
      <c r="G1123" s="2">
        <f t="shared" si="1"/>
        <v>12</v>
      </c>
    </row>
    <row r="1124" ht="15.75" customHeight="1">
      <c r="A1124" s="1">
        <f>IFERROR(__xludf.DUMMYFUNCTION("""COMPUTED_VALUE"""),45532.66666666667)</f>
        <v>45532.66667</v>
      </c>
      <c r="B1124" s="2">
        <f>IFERROR(__xludf.DUMMYFUNCTION("""COMPUTED_VALUE"""),302.0)</f>
        <v>302</v>
      </c>
      <c r="C1124" s="2">
        <f>IFERROR(__xludf.DUMMYFUNCTION("""COMPUTED_VALUE"""),306.0)</f>
        <v>306</v>
      </c>
      <c r="D1124" s="2">
        <f>IFERROR(__xludf.DUMMYFUNCTION("""COMPUTED_VALUE"""),296.0)</f>
        <v>296</v>
      </c>
      <c r="E1124" s="2">
        <f>IFERROR(__xludf.DUMMYFUNCTION("""COMPUTED_VALUE"""),296.0)</f>
        <v>296</v>
      </c>
      <c r="F1124" s="2">
        <f>IFERROR(__xludf.DUMMYFUNCTION("""COMPUTED_VALUE"""),2.88617E7)</f>
        <v>28861700</v>
      </c>
      <c r="G1124" s="2">
        <f t="shared" si="1"/>
        <v>10</v>
      </c>
    </row>
    <row r="1125" ht="15.75" customHeight="1">
      <c r="A1125" s="1">
        <f>IFERROR(__xludf.DUMMYFUNCTION("""COMPUTED_VALUE"""),45533.66666666667)</f>
        <v>45533.66667</v>
      </c>
      <c r="B1125" s="2">
        <f>IFERROR(__xludf.DUMMYFUNCTION("""COMPUTED_VALUE"""),298.0)</f>
        <v>298</v>
      </c>
      <c r="C1125" s="2">
        <f>IFERROR(__xludf.DUMMYFUNCTION("""COMPUTED_VALUE"""),306.0)</f>
        <v>306</v>
      </c>
      <c r="D1125" s="2">
        <f>IFERROR(__xludf.DUMMYFUNCTION("""COMPUTED_VALUE"""),296.0)</f>
        <v>296</v>
      </c>
      <c r="E1125" s="2">
        <f>IFERROR(__xludf.DUMMYFUNCTION("""COMPUTED_VALUE"""),302.0)</f>
        <v>302</v>
      </c>
      <c r="F1125" s="2">
        <f>IFERROR(__xludf.DUMMYFUNCTION("""COMPUTED_VALUE"""),4.24192E7)</f>
        <v>42419200</v>
      </c>
      <c r="G1125" s="2">
        <f t="shared" si="1"/>
        <v>10</v>
      </c>
    </row>
    <row r="1126" ht="15.75" customHeight="1">
      <c r="A1126" s="1">
        <f>IFERROR(__xludf.DUMMYFUNCTION("""COMPUTED_VALUE"""),45534.66666666667)</f>
        <v>45534.66667</v>
      </c>
      <c r="B1126" s="2">
        <f>IFERROR(__xludf.DUMMYFUNCTION("""COMPUTED_VALUE"""),304.0)</f>
        <v>304</v>
      </c>
      <c r="C1126" s="2">
        <f>IFERROR(__xludf.DUMMYFUNCTION("""COMPUTED_VALUE"""),308.0)</f>
        <v>308</v>
      </c>
      <c r="D1126" s="2">
        <f>IFERROR(__xludf.DUMMYFUNCTION("""COMPUTED_VALUE"""),296.0)</f>
        <v>296</v>
      </c>
      <c r="E1126" s="2">
        <f>IFERROR(__xludf.DUMMYFUNCTION("""COMPUTED_VALUE"""),304.0)</f>
        <v>304</v>
      </c>
      <c r="F1126" s="2">
        <f>IFERROR(__xludf.DUMMYFUNCTION("""COMPUTED_VALUE"""),6.46372E7)</f>
        <v>64637200</v>
      </c>
      <c r="G1126" s="2">
        <f t="shared" si="1"/>
        <v>12</v>
      </c>
    </row>
    <row r="1127" ht="15.75" customHeight="1">
      <c r="A1127" s="1">
        <f>IFERROR(__xludf.DUMMYFUNCTION("""COMPUTED_VALUE"""),45537.66666666667)</f>
        <v>45537.66667</v>
      </c>
      <c r="B1127" s="2">
        <f>IFERROR(__xludf.DUMMYFUNCTION("""COMPUTED_VALUE"""),310.0)</f>
        <v>310</v>
      </c>
      <c r="C1127" s="2">
        <f>IFERROR(__xludf.DUMMYFUNCTION("""COMPUTED_VALUE"""),344.0)</f>
        <v>344</v>
      </c>
      <c r="D1127" s="2">
        <f>IFERROR(__xludf.DUMMYFUNCTION("""COMPUTED_VALUE"""),304.0)</f>
        <v>304</v>
      </c>
      <c r="E1127" s="2">
        <f>IFERROR(__xludf.DUMMYFUNCTION("""COMPUTED_VALUE"""),318.0)</f>
        <v>318</v>
      </c>
      <c r="F1127" s="2">
        <f>IFERROR(__xludf.DUMMYFUNCTION("""COMPUTED_VALUE"""),4.172821E8)</f>
        <v>417282100</v>
      </c>
      <c r="G1127" s="2">
        <f t="shared" si="1"/>
        <v>40</v>
      </c>
    </row>
    <row r="1128" ht="15.75" customHeight="1">
      <c r="A1128" s="1">
        <f>IFERROR(__xludf.DUMMYFUNCTION("""COMPUTED_VALUE"""),45538.66666666667)</f>
        <v>45538.66667</v>
      </c>
      <c r="B1128" s="2">
        <f>IFERROR(__xludf.DUMMYFUNCTION("""COMPUTED_VALUE"""),322.0)</f>
        <v>322</v>
      </c>
      <c r="C1128" s="2">
        <f>IFERROR(__xludf.DUMMYFUNCTION("""COMPUTED_VALUE"""),328.0)</f>
        <v>328</v>
      </c>
      <c r="D1128" s="2">
        <f>IFERROR(__xludf.DUMMYFUNCTION("""COMPUTED_VALUE"""),310.0)</f>
        <v>310</v>
      </c>
      <c r="E1128" s="2">
        <f>IFERROR(__xludf.DUMMYFUNCTION("""COMPUTED_VALUE"""),310.0)</f>
        <v>310</v>
      </c>
      <c r="F1128" s="2">
        <f>IFERROR(__xludf.DUMMYFUNCTION("""COMPUTED_VALUE"""),1.001798E8)</f>
        <v>100179800</v>
      </c>
      <c r="G1128" s="2">
        <f t="shared" si="1"/>
        <v>18</v>
      </c>
    </row>
    <row r="1129" ht="15.75" customHeight="1">
      <c r="A1129" s="1">
        <f>IFERROR(__xludf.DUMMYFUNCTION("""COMPUTED_VALUE"""),45539.66666666667)</f>
        <v>45539.66667</v>
      </c>
      <c r="B1129" s="2">
        <f>IFERROR(__xludf.DUMMYFUNCTION("""COMPUTED_VALUE"""),310.0)</f>
        <v>310</v>
      </c>
      <c r="C1129" s="2">
        <f>IFERROR(__xludf.DUMMYFUNCTION("""COMPUTED_VALUE"""),316.0)</f>
        <v>316</v>
      </c>
      <c r="D1129" s="2">
        <f>IFERROR(__xludf.DUMMYFUNCTION("""COMPUTED_VALUE"""),304.0)</f>
        <v>304</v>
      </c>
      <c r="E1129" s="2">
        <f>IFERROR(__xludf.DUMMYFUNCTION("""COMPUTED_VALUE"""),308.0)</f>
        <v>308</v>
      </c>
      <c r="F1129" s="2">
        <f>IFERROR(__xludf.DUMMYFUNCTION("""COMPUTED_VALUE"""),4.6209E7)</f>
        <v>46209000</v>
      </c>
      <c r="G1129" s="2">
        <f t="shared" si="1"/>
        <v>12</v>
      </c>
    </row>
    <row r="1130" ht="15.75" customHeight="1">
      <c r="A1130" s="1">
        <f>IFERROR(__xludf.DUMMYFUNCTION("""COMPUTED_VALUE"""),45540.66666666667)</f>
        <v>45540.66667</v>
      </c>
      <c r="B1130" s="2">
        <f>IFERROR(__xludf.DUMMYFUNCTION("""COMPUTED_VALUE"""),308.0)</f>
        <v>308</v>
      </c>
      <c r="C1130" s="2">
        <f>IFERROR(__xludf.DUMMYFUNCTION("""COMPUTED_VALUE"""),316.0)</f>
        <v>316</v>
      </c>
      <c r="D1130" s="2">
        <f>IFERROR(__xludf.DUMMYFUNCTION("""COMPUTED_VALUE"""),300.0)</f>
        <v>300</v>
      </c>
      <c r="E1130" s="2">
        <f>IFERROR(__xludf.DUMMYFUNCTION("""COMPUTED_VALUE"""),314.0)</f>
        <v>314</v>
      </c>
      <c r="F1130" s="2">
        <f>IFERROR(__xludf.DUMMYFUNCTION("""COMPUTED_VALUE"""),4.00886E7)</f>
        <v>40088600</v>
      </c>
      <c r="G1130" s="2">
        <f t="shared" si="1"/>
        <v>16</v>
      </c>
    </row>
    <row r="1131" ht="15.75" customHeight="1">
      <c r="A1131" s="1">
        <f>IFERROR(__xludf.DUMMYFUNCTION("""COMPUTED_VALUE"""),45541.66666666667)</f>
        <v>45541.66667</v>
      </c>
      <c r="B1131" s="2">
        <f>IFERROR(__xludf.DUMMYFUNCTION("""COMPUTED_VALUE"""),314.0)</f>
        <v>314</v>
      </c>
      <c r="C1131" s="2">
        <f>IFERROR(__xludf.DUMMYFUNCTION("""COMPUTED_VALUE"""),318.0)</f>
        <v>318</v>
      </c>
      <c r="D1131" s="2">
        <f>IFERROR(__xludf.DUMMYFUNCTION("""COMPUTED_VALUE"""),306.0)</f>
        <v>306</v>
      </c>
      <c r="E1131" s="2">
        <f>IFERROR(__xludf.DUMMYFUNCTION("""COMPUTED_VALUE"""),308.0)</f>
        <v>308</v>
      </c>
      <c r="F1131" s="2">
        <f>IFERROR(__xludf.DUMMYFUNCTION("""COMPUTED_VALUE"""),3.0674E7)</f>
        <v>30674000</v>
      </c>
      <c r="G1131" s="2">
        <f t="shared" si="1"/>
        <v>12</v>
      </c>
    </row>
    <row r="1132" ht="15.75" customHeight="1">
      <c r="A1132" s="1">
        <f>IFERROR(__xludf.DUMMYFUNCTION("""COMPUTED_VALUE"""),45544.66666666667)</f>
        <v>45544.66667</v>
      </c>
      <c r="B1132" s="2">
        <f>IFERROR(__xludf.DUMMYFUNCTION("""COMPUTED_VALUE"""),308.0)</f>
        <v>308</v>
      </c>
      <c r="C1132" s="2">
        <f>IFERROR(__xludf.DUMMYFUNCTION("""COMPUTED_VALUE"""),312.0)</f>
        <v>312</v>
      </c>
      <c r="D1132" s="2">
        <f>IFERROR(__xludf.DUMMYFUNCTION("""COMPUTED_VALUE"""),302.0)</f>
        <v>302</v>
      </c>
      <c r="E1132" s="2">
        <f>IFERROR(__xludf.DUMMYFUNCTION("""COMPUTED_VALUE"""),304.0)</f>
        <v>304</v>
      </c>
      <c r="F1132" s="2">
        <f>IFERROR(__xludf.DUMMYFUNCTION("""COMPUTED_VALUE"""),2.08905E7)</f>
        <v>20890500</v>
      </c>
      <c r="G1132" s="2">
        <f t="shared" si="1"/>
        <v>10</v>
      </c>
    </row>
    <row r="1133" ht="15.75" customHeight="1">
      <c r="A1133" s="1">
        <f>IFERROR(__xludf.DUMMYFUNCTION("""COMPUTED_VALUE"""),45545.66666666667)</f>
        <v>45545.66667</v>
      </c>
      <c r="B1133" s="2">
        <f>IFERROR(__xludf.DUMMYFUNCTION("""COMPUTED_VALUE"""),304.0)</f>
        <v>304</v>
      </c>
      <c r="C1133" s="2">
        <f>IFERROR(__xludf.DUMMYFUNCTION("""COMPUTED_VALUE"""),320.0)</f>
        <v>320</v>
      </c>
      <c r="D1133" s="2">
        <f>IFERROR(__xludf.DUMMYFUNCTION("""COMPUTED_VALUE"""),304.0)</f>
        <v>304</v>
      </c>
      <c r="E1133" s="2">
        <f>IFERROR(__xludf.DUMMYFUNCTION("""COMPUTED_VALUE"""),308.0)</f>
        <v>308</v>
      </c>
      <c r="F1133" s="2">
        <f>IFERROR(__xludf.DUMMYFUNCTION("""COMPUTED_VALUE"""),6.00775E7)</f>
        <v>60077500</v>
      </c>
      <c r="G1133" s="2">
        <f t="shared" si="1"/>
        <v>16</v>
      </c>
    </row>
    <row r="1134" ht="15.75" customHeight="1">
      <c r="A1134" s="1">
        <f>IFERROR(__xludf.DUMMYFUNCTION("""COMPUTED_VALUE"""),45546.66666666667)</f>
        <v>45546.66667</v>
      </c>
      <c r="B1134" s="2">
        <f>IFERROR(__xludf.DUMMYFUNCTION("""COMPUTED_VALUE"""),308.0)</f>
        <v>308</v>
      </c>
      <c r="C1134" s="2">
        <f>IFERROR(__xludf.DUMMYFUNCTION("""COMPUTED_VALUE"""),312.0)</f>
        <v>312</v>
      </c>
      <c r="D1134" s="2">
        <f>IFERROR(__xludf.DUMMYFUNCTION("""COMPUTED_VALUE"""),278.0)</f>
        <v>278</v>
      </c>
      <c r="E1134" s="2">
        <f>IFERROR(__xludf.DUMMYFUNCTION("""COMPUTED_VALUE"""),282.0)</f>
        <v>282</v>
      </c>
      <c r="F1134" s="2">
        <f>IFERROR(__xludf.DUMMYFUNCTION("""COMPUTED_VALUE"""),1.46385E8)</f>
        <v>146385000</v>
      </c>
      <c r="G1134" s="2">
        <f t="shared" si="1"/>
        <v>34</v>
      </c>
    </row>
    <row r="1135" ht="15.75" customHeight="1">
      <c r="A1135" s="1">
        <f>IFERROR(__xludf.DUMMYFUNCTION("""COMPUTED_VALUE"""),45547.66666666667)</f>
        <v>45547.66667</v>
      </c>
      <c r="B1135" s="2">
        <f>IFERROR(__xludf.DUMMYFUNCTION("""COMPUTED_VALUE"""),282.0)</f>
        <v>282</v>
      </c>
      <c r="C1135" s="2">
        <f>IFERROR(__xludf.DUMMYFUNCTION("""COMPUTED_VALUE"""),288.0)</f>
        <v>288</v>
      </c>
      <c r="D1135" s="2">
        <f>IFERROR(__xludf.DUMMYFUNCTION("""COMPUTED_VALUE"""),272.0)</f>
        <v>272</v>
      </c>
      <c r="E1135" s="2">
        <f>IFERROR(__xludf.DUMMYFUNCTION("""COMPUTED_VALUE"""),282.0)</f>
        <v>282</v>
      </c>
      <c r="F1135" s="2">
        <f>IFERROR(__xludf.DUMMYFUNCTION("""COMPUTED_VALUE"""),7.32967E7)</f>
        <v>73296700</v>
      </c>
      <c r="G1135" s="2">
        <f t="shared" si="1"/>
        <v>16</v>
      </c>
    </row>
    <row r="1136" ht="15.75" customHeight="1">
      <c r="A1136" s="1">
        <f>IFERROR(__xludf.DUMMYFUNCTION("""COMPUTED_VALUE"""),45548.66666666667)</f>
        <v>45548.66667</v>
      </c>
      <c r="B1136" s="2">
        <f>IFERROR(__xludf.DUMMYFUNCTION("""COMPUTED_VALUE"""),284.0)</f>
        <v>284</v>
      </c>
      <c r="C1136" s="2">
        <f>IFERROR(__xludf.DUMMYFUNCTION("""COMPUTED_VALUE"""),294.0)</f>
        <v>294</v>
      </c>
      <c r="D1136" s="2">
        <f>IFERROR(__xludf.DUMMYFUNCTION("""COMPUTED_VALUE"""),280.0)</f>
        <v>280</v>
      </c>
      <c r="E1136" s="2">
        <f>IFERROR(__xludf.DUMMYFUNCTION("""COMPUTED_VALUE"""),284.0)</f>
        <v>284</v>
      </c>
      <c r="F1136" s="2">
        <f>IFERROR(__xludf.DUMMYFUNCTION("""COMPUTED_VALUE"""),3.76036E7)</f>
        <v>37603600</v>
      </c>
      <c r="G1136" s="2">
        <f t="shared" si="1"/>
        <v>14</v>
      </c>
    </row>
    <row r="1137" ht="15.75" customHeight="1">
      <c r="A1137" s="1">
        <f>IFERROR(__xludf.DUMMYFUNCTION("""COMPUTED_VALUE"""),45552.66666666667)</f>
        <v>45552.66667</v>
      </c>
      <c r="B1137" s="2">
        <f>IFERROR(__xludf.DUMMYFUNCTION("""COMPUTED_VALUE"""),288.0)</f>
        <v>288</v>
      </c>
      <c r="C1137" s="2">
        <f>IFERROR(__xludf.DUMMYFUNCTION("""COMPUTED_VALUE"""),290.0)</f>
        <v>290</v>
      </c>
      <c r="D1137" s="2">
        <f>IFERROR(__xludf.DUMMYFUNCTION("""COMPUTED_VALUE"""),284.0)</f>
        <v>284</v>
      </c>
      <c r="E1137" s="2">
        <f>IFERROR(__xludf.DUMMYFUNCTION("""COMPUTED_VALUE"""),286.0)</f>
        <v>286</v>
      </c>
      <c r="F1137" s="2">
        <f>IFERROR(__xludf.DUMMYFUNCTION("""COMPUTED_VALUE"""),1.78004E7)</f>
        <v>17800400</v>
      </c>
      <c r="G1137" s="2">
        <f t="shared" si="1"/>
        <v>6</v>
      </c>
    </row>
    <row r="1138" ht="15.75" customHeight="1">
      <c r="A1138" s="1">
        <f>IFERROR(__xludf.DUMMYFUNCTION("""COMPUTED_VALUE"""),45553.66666666667)</f>
        <v>45553.66667</v>
      </c>
      <c r="B1138" s="2">
        <f>IFERROR(__xludf.DUMMYFUNCTION("""COMPUTED_VALUE"""),286.0)</f>
        <v>286</v>
      </c>
      <c r="C1138" s="2">
        <f>IFERROR(__xludf.DUMMYFUNCTION("""COMPUTED_VALUE"""),292.0)</f>
        <v>292</v>
      </c>
      <c r="D1138" s="2">
        <f>IFERROR(__xludf.DUMMYFUNCTION("""COMPUTED_VALUE"""),282.0)</f>
        <v>282</v>
      </c>
      <c r="E1138" s="2">
        <f>IFERROR(__xludf.DUMMYFUNCTION("""COMPUTED_VALUE"""),286.0)</f>
        <v>286</v>
      </c>
      <c r="F1138" s="2">
        <f>IFERROR(__xludf.DUMMYFUNCTION("""COMPUTED_VALUE"""),2.07909E7)</f>
        <v>20790900</v>
      </c>
      <c r="G1138" s="2">
        <f t="shared" si="1"/>
        <v>10</v>
      </c>
    </row>
    <row r="1139" ht="15.75" customHeight="1">
      <c r="A1139" s="1">
        <f>IFERROR(__xludf.DUMMYFUNCTION("""COMPUTED_VALUE"""),45554.66666666667)</f>
        <v>45554.66667</v>
      </c>
      <c r="B1139" s="2">
        <f>IFERROR(__xludf.DUMMYFUNCTION("""COMPUTED_VALUE"""),286.0)</f>
        <v>286</v>
      </c>
      <c r="C1139" s="2">
        <f>IFERROR(__xludf.DUMMYFUNCTION("""COMPUTED_VALUE"""),292.0)</f>
        <v>292</v>
      </c>
      <c r="D1139" s="2">
        <f>IFERROR(__xludf.DUMMYFUNCTION("""COMPUTED_VALUE"""),286.0)</f>
        <v>286</v>
      </c>
      <c r="E1139" s="2">
        <f>IFERROR(__xludf.DUMMYFUNCTION("""COMPUTED_VALUE"""),290.0)</f>
        <v>290</v>
      </c>
      <c r="F1139" s="2">
        <f>IFERROR(__xludf.DUMMYFUNCTION("""COMPUTED_VALUE"""),1.76551E7)</f>
        <v>17655100</v>
      </c>
      <c r="G1139" s="2">
        <f t="shared" si="1"/>
        <v>6</v>
      </c>
    </row>
    <row r="1140" ht="15.75" customHeight="1">
      <c r="A1140" s="1">
        <f>IFERROR(__xludf.DUMMYFUNCTION("""COMPUTED_VALUE"""),45555.66666666667)</f>
        <v>45555.66667</v>
      </c>
      <c r="B1140" s="2">
        <f>IFERROR(__xludf.DUMMYFUNCTION("""COMPUTED_VALUE"""),290.0)</f>
        <v>290</v>
      </c>
      <c r="C1140" s="2">
        <f>IFERROR(__xludf.DUMMYFUNCTION("""COMPUTED_VALUE"""),294.0)</f>
        <v>294</v>
      </c>
      <c r="D1140" s="2">
        <f>IFERROR(__xludf.DUMMYFUNCTION("""COMPUTED_VALUE"""),284.0)</f>
        <v>284</v>
      </c>
      <c r="E1140" s="2">
        <f>IFERROR(__xludf.DUMMYFUNCTION("""COMPUTED_VALUE"""),284.0)</f>
        <v>284</v>
      </c>
      <c r="F1140" s="2">
        <f>IFERROR(__xludf.DUMMYFUNCTION("""COMPUTED_VALUE"""),1.61794E7)</f>
        <v>16179400</v>
      </c>
      <c r="G1140" s="2">
        <f t="shared" si="1"/>
        <v>10</v>
      </c>
    </row>
    <row r="1141" ht="15.75" customHeight="1">
      <c r="A1141" s="1">
        <f>IFERROR(__xludf.DUMMYFUNCTION("""COMPUTED_VALUE"""),45558.66666666667)</f>
        <v>45558.66667</v>
      </c>
      <c r="B1141" s="2">
        <f>IFERROR(__xludf.DUMMYFUNCTION("""COMPUTED_VALUE"""),284.0)</f>
        <v>284</v>
      </c>
      <c r="C1141" s="2">
        <f>IFERROR(__xludf.DUMMYFUNCTION("""COMPUTED_VALUE"""),288.0)</f>
        <v>288</v>
      </c>
      <c r="D1141" s="2">
        <f>IFERROR(__xludf.DUMMYFUNCTION("""COMPUTED_VALUE"""),278.0)</f>
        <v>278</v>
      </c>
      <c r="E1141" s="2">
        <f>IFERROR(__xludf.DUMMYFUNCTION("""COMPUTED_VALUE"""),278.0)</f>
        <v>278</v>
      </c>
      <c r="F1141" s="2">
        <f>IFERROR(__xludf.DUMMYFUNCTION("""COMPUTED_VALUE"""),2.59369E7)</f>
        <v>25936900</v>
      </c>
      <c r="G1141" s="2">
        <f t="shared" si="1"/>
        <v>10</v>
      </c>
    </row>
    <row r="1142" ht="15.75" customHeight="1">
      <c r="A1142" s="1">
        <f>IFERROR(__xludf.DUMMYFUNCTION("""COMPUTED_VALUE"""),45559.66666666667)</f>
        <v>45559.66667</v>
      </c>
      <c r="B1142" s="2">
        <f>IFERROR(__xludf.DUMMYFUNCTION("""COMPUTED_VALUE"""),278.0)</f>
        <v>278</v>
      </c>
      <c r="C1142" s="2">
        <f>IFERROR(__xludf.DUMMYFUNCTION("""COMPUTED_VALUE"""),288.0)</f>
        <v>288</v>
      </c>
      <c r="D1142" s="2">
        <f>IFERROR(__xludf.DUMMYFUNCTION("""COMPUTED_VALUE"""),272.0)</f>
        <v>272</v>
      </c>
      <c r="E1142" s="2">
        <f>IFERROR(__xludf.DUMMYFUNCTION("""COMPUTED_VALUE"""),282.0)</f>
        <v>282</v>
      </c>
      <c r="F1142" s="2">
        <f>IFERROR(__xludf.DUMMYFUNCTION("""COMPUTED_VALUE"""),6.48476E7)</f>
        <v>64847600</v>
      </c>
      <c r="G1142" s="2">
        <f t="shared" si="1"/>
        <v>16</v>
      </c>
    </row>
    <row r="1143" ht="15.75" customHeight="1">
      <c r="A1143" s="1">
        <f>IFERROR(__xludf.DUMMYFUNCTION("""COMPUTED_VALUE"""),45560.66666666667)</f>
        <v>45560.66667</v>
      </c>
      <c r="B1143" s="2">
        <f>IFERROR(__xludf.DUMMYFUNCTION("""COMPUTED_VALUE"""),282.0)</f>
        <v>282</v>
      </c>
      <c r="C1143" s="2">
        <f>IFERROR(__xludf.DUMMYFUNCTION("""COMPUTED_VALUE"""),284.0)</f>
        <v>284</v>
      </c>
      <c r="D1143" s="2">
        <f>IFERROR(__xludf.DUMMYFUNCTION("""COMPUTED_VALUE"""),276.0)</f>
        <v>276</v>
      </c>
      <c r="E1143" s="2">
        <f>IFERROR(__xludf.DUMMYFUNCTION("""COMPUTED_VALUE"""),280.0)</f>
        <v>280</v>
      </c>
      <c r="F1143" s="2">
        <f>IFERROR(__xludf.DUMMYFUNCTION("""COMPUTED_VALUE"""),2.98492E7)</f>
        <v>29849200</v>
      </c>
      <c r="G1143" s="2">
        <f t="shared" si="1"/>
        <v>8</v>
      </c>
    </row>
    <row r="1144" ht="15.75" customHeight="1">
      <c r="A1144" s="1">
        <f>IFERROR(__xludf.DUMMYFUNCTION("""COMPUTED_VALUE"""),45561.66666666667)</f>
        <v>45561.66667</v>
      </c>
      <c r="B1144" s="2">
        <f>IFERROR(__xludf.DUMMYFUNCTION("""COMPUTED_VALUE"""),282.0)</f>
        <v>282</v>
      </c>
      <c r="C1144" s="2">
        <f>IFERROR(__xludf.DUMMYFUNCTION("""COMPUTED_VALUE"""),284.0)</f>
        <v>284</v>
      </c>
      <c r="D1144" s="2">
        <f>IFERROR(__xludf.DUMMYFUNCTION("""COMPUTED_VALUE"""),278.0)</f>
        <v>278</v>
      </c>
      <c r="E1144" s="2">
        <f>IFERROR(__xludf.DUMMYFUNCTION("""COMPUTED_VALUE"""),280.0)</f>
        <v>280</v>
      </c>
      <c r="F1144" s="2">
        <f>IFERROR(__xludf.DUMMYFUNCTION("""COMPUTED_VALUE"""),1.35124E7)</f>
        <v>13512400</v>
      </c>
      <c r="G1144" s="2">
        <f t="shared" si="1"/>
        <v>6</v>
      </c>
    </row>
    <row r="1145" ht="15.75" customHeight="1">
      <c r="A1145" s="1">
        <f>IFERROR(__xludf.DUMMYFUNCTION("""COMPUTED_VALUE"""),45562.66666666667)</f>
        <v>45562.66667</v>
      </c>
      <c r="B1145" s="2">
        <f>IFERROR(__xludf.DUMMYFUNCTION("""COMPUTED_VALUE"""),280.0)</f>
        <v>280</v>
      </c>
      <c r="C1145" s="2">
        <f>IFERROR(__xludf.DUMMYFUNCTION("""COMPUTED_VALUE"""),284.0)</f>
        <v>284</v>
      </c>
      <c r="D1145" s="2">
        <f>IFERROR(__xludf.DUMMYFUNCTION("""COMPUTED_VALUE"""),276.0)</f>
        <v>276</v>
      </c>
      <c r="E1145" s="2">
        <f>IFERROR(__xludf.DUMMYFUNCTION("""COMPUTED_VALUE"""),278.0)</f>
        <v>278</v>
      </c>
      <c r="F1145" s="2">
        <f>IFERROR(__xludf.DUMMYFUNCTION("""COMPUTED_VALUE"""),1.50738E7)</f>
        <v>15073800</v>
      </c>
      <c r="G1145" s="2">
        <f t="shared" si="1"/>
        <v>8</v>
      </c>
    </row>
    <row r="1146" ht="15.75" customHeight="1">
      <c r="A1146" s="1">
        <f>IFERROR(__xludf.DUMMYFUNCTION("""COMPUTED_VALUE"""),45565.66666666667)</f>
        <v>45565.66667</v>
      </c>
      <c r="B1146" s="2">
        <f>IFERROR(__xludf.DUMMYFUNCTION("""COMPUTED_VALUE"""),280.0)</f>
        <v>280</v>
      </c>
      <c r="C1146" s="2">
        <f>IFERROR(__xludf.DUMMYFUNCTION("""COMPUTED_VALUE"""),282.0)</f>
        <v>282</v>
      </c>
      <c r="D1146" s="2">
        <f>IFERROR(__xludf.DUMMYFUNCTION("""COMPUTED_VALUE"""),270.0)</f>
        <v>270</v>
      </c>
      <c r="E1146" s="2">
        <f>IFERROR(__xludf.DUMMYFUNCTION("""COMPUTED_VALUE"""),270.0)</f>
        <v>270</v>
      </c>
      <c r="F1146" s="2">
        <f>IFERROR(__xludf.DUMMYFUNCTION("""COMPUTED_VALUE"""),2.06502E7)</f>
        <v>20650200</v>
      </c>
      <c r="G1146" s="2">
        <f t="shared" si="1"/>
        <v>12</v>
      </c>
    </row>
    <row r="1147" ht="15.75" customHeight="1">
      <c r="A1147" s="1">
        <f>IFERROR(__xludf.DUMMYFUNCTION("""COMPUTED_VALUE"""),45566.66666666667)</f>
        <v>45566.66667</v>
      </c>
      <c r="B1147" s="2">
        <f>IFERROR(__xludf.DUMMYFUNCTION("""COMPUTED_VALUE"""),272.0)</f>
        <v>272</v>
      </c>
      <c r="C1147" s="2">
        <f>IFERROR(__xludf.DUMMYFUNCTION("""COMPUTED_VALUE"""),282.0)</f>
        <v>282</v>
      </c>
      <c r="D1147" s="2">
        <f>IFERROR(__xludf.DUMMYFUNCTION("""COMPUTED_VALUE"""),270.0)</f>
        <v>270</v>
      </c>
      <c r="E1147" s="2">
        <f>IFERROR(__xludf.DUMMYFUNCTION("""COMPUTED_VALUE"""),282.0)</f>
        <v>282</v>
      </c>
      <c r="F1147" s="2">
        <f>IFERROR(__xludf.DUMMYFUNCTION("""COMPUTED_VALUE"""),1.95202E7)</f>
        <v>19520200</v>
      </c>
      <c r="G1147" s="2">
        <f t="shared" si="1"/>
        <v>12</v>
      </c>
    </row>
    <row r="1148" ht="15.75" customHeight="1">
      <c r="A1148" s="1">
        <f>IFERROR(__xludf.DUMMYFUNCTION("""COMPUTED_VALUE"""),45567.66666666667)</f>
        <v>45567.66667</v>
      </c>
      <c r="B1148" s="2">
        <f>IFERROR(__xludf.DUMMYFUNCTION("""COMPUTED_VALUE"""),282.0)</f>
        <v>282</v>
      </c>
      <c r="C1148" s="2">
        <f>IFERROR(__xludf.DUMMYFUNCTION("""COMPUTED_VALUE"""),288.0)</f>
        <v>288</v>
      </c>
      <c r="D1148" s="2">
        <f>IFERROR(__xludf.DUMMYFUNCTION("""COMPUTED_VALUE"""),274.0)</f>
        <v>274</v>
      </c>
      <c r="E1148" s="2">
        <f>IFERROR(__xludf.DUMMYFUNCTION("""COMPUTED_VALUE"""),276.0)</f>
        <v>276</v>
      </c>
      <c r="F1148" s="2">
        <f>IFERROR(__xludf.DUMMYFUNCTION("""COMPUTED_VALUE"""),2.34564E7)</f>
        <v>23456400</v>
      </c>
      <c r="G1148" s="2">
        <f t="shared" si="1"/>
        <v>14</v>
      </c>
    </row>
    <row r="1149" ht="15.75" customHeight="1">
      <c r="A1149" s="1">
        <f>IFERROR(__xludf.DUMMYFUNCTION("""COMPUTED_VALUE"""),45568.66666666667)</f>
        <v>45568.66667</v>
      </c>
      <c r="B1149" s="2">
        <f>IFERROR(__xludf.DUMMYFUNCTION("""COMPUTED_VALUE"""),280.0)</f>
        <v>280</v>
      </c>
      <c r="C1149" s="2">
        <f>IFERROR(__xludf.DUMMYFUNCTION("""COMPUTED_VALUE"""),282.0)</f>
        <v>282</v>
      </c>
      <c r="D1149" s="2">
        <f>IFERROR(__xludf.DUMMYFUNCTION("""COMPUTED_VALUE"""),274.0)</f>
        <v>274</v>
      </c>
      <c r="E1149" s="2">
        <f>IFERROR(__xludf.DUMMYFUNCTION("""COMPUTED_VALUE"""),282.0)</f>
        <v>282</v>
      </c>
      <c r="F1149" s="2">
        <f>IFERROR(__xludf.DUMMYFUNCTION("""COMPUTED_VALUE"""),9672200.0)</f>
        <v>9672200</v>
      </c>
      <c r="G1149" s="2">
        <f t="shared" si="1"/>
        <v>8</v>
      </c>
    </row>
    <row r="1150" ht="15.75" customHeight="1">
      <c r="A1150" s="1">
        <f>IFERROR(__xludf.DUMMYFUNCTION("""COMPUTED_VALUE"""),45569.66666666667)</f>
        <v>45569.66667</v>
      </c>
      <c r="B1150" s="2">
        <f>IFERROR(__xludf.DUMMYFUNCTION("""COMPUTED_VALUE"""),282.0)</f>
        <v>282</v>
      </c>
      <c r="C1150" s="2">
        <f>IFERROR(__xludf.DUMMYFUNCTION("""COMPUTED_VALUE"""),284.0)</f>
        <v>284</v>
      </c>
      <c r="D1150" s="2">
        <f>IFERROR(__xludf.DUMMYFUNCTION("""COMPUTED_VALUE"""),276.0)</f>
        <v>276</v>
      </c>
      <c r="E1150" s="2">
        <f>IFERROR(__xludf.DUMMYFUNCTION("""COMPUTED_VALUE"""),278.0)</f>
        <v>278</v>
      </c>
      <c r="F1150" s="2">
        <f>IFERROR(__xludf.DUMMYFUNCTION("""COMPUTED_VALUE"""),1.28624E7)</f>
        <v>12862400</v>
      </c>
      <c r="G1150" s="2">
        <f t="shared" si="1"/>
        <v>8</v>
      </c>
    </row>
    <row r="1151" ht="15.75" customHeight="1">
      <c r="A1151" s="1">
        <f>IFERROR(__xludf.DUMMYFUNCTION("""COMPUTED_VALUE"""),45572.66666666667)</f>
        <v>45572.66667</v>
      </c>
      <c r="B1151" s="2">
        <f>IFERROR(__xludf.DUMMYFUNCTION("""COMPUTED_VALUE"""),278.0)</f>
        <v>278</v>
      </c>
      <c r="C1151" s="2">
        <f>IFERROR(__xludf.DUMMYFUNCTION("""COMPUTED_VALUE"""),282.0)</f>
        <v>282</v>
      </c>
      <c r="D1151" s="2">
        <f>IFERROR(__xludf.DUMMYFUNCTION("""COMPUTED_VALUE"""),272.0)</f>
        <v>272</v>
      </c>
      <c r="E1151" s="2">
        <f>IFERROR(__xludf.DUMMYFUNCTION("""COMPUTED_VALUE"""),276.0)</f>
        <v>276</v>
      </c>
      <c r="F1151" s="2">
        <f>IFERROR(__xludf.DUMMYFUNCTION("""COMPUTED_VALUE"""),1.27E7)</f>
        <v>12700000</v>
      </c>
      <c r="G1151" s="2">
        <f t="shared" si="1"/>
        <v>10</v>
      </c>
    </row>
    <row r="1152" ht="15.75" customHeight="1">
      <c r="A1152" s="1">
        <f>IFERROR(__xludf.DUMMYFUNCTION("""COMPUTED_VALUE"""),45573.66666666667)</f>
        <v>45573.66667</v>
      </c>
      <c r="B1152" s="2">
        <f>IFERROR(__xludf.DUMMYFUNCTION("""COMPUTED_VALUE"""),276.0)</f>
        <v>276</v>
      </c>
      <c r="C1152" s="2">
        <f>IFERROR(__xludf.DUMMYFUNCTION("""COMPUTED_VALUE"""),284.0)</f>
        <v>284</v>
      </c>
      <c r="D1152" s="2">
        <f>IFERROR(__xludf.DUMMYFUNCTION("""COMPUTED_VALUE"""),276.0)</f>
        <v>276</v>
      </c>
      <c r="E1152" s="2">
        <f>IFERROR(__xludf.DUMMYFUNCTION("""COMPUTED_VALUE"""),282.0)</f>
        <v>282</v>
      </c>
      <c r="F1152" s="2">
        <f>IFERROR(__xludf.DUMMYFUNCTION("""COMPUTED_VALUE"""),1.85134E7)</f>
        <v>18513400</v>
      </c>
      <c r="G1152" s="2">
        <f t="shared" si="1"/>
        <v>8</v>
      </c>
    </row>
    <row r="1153" ht="15.75" customHeight="1">
      <c r="A1153" s="1">
        <f>IFERROR(__xludf.DUMMYFUNCTION("""COMPUTED_VALUE"""),45574.66666666667)</f>
        <v>45574.66667</v>
      </c>
      <c r="B1153" s="2">
        <f>IFERROR(__xludf.DUMMYFUNCTION("""COMPUTED_VALUE"""),280.0)</f>
        <v>280</v>
      </c>
      <c r="C1153" s="2">
        <f>IFERROR(__xludf.DUMMYFUNCTION("""COMPUTED_VALUE"""),296.0)</f>
        <v>296</v>
      </c>
      <c r="D1153" s="2">
        <f>IFERROR(__xludf.DUMMYFUNCTION("""COMPUTED_VALUE"""),280.0)</f>
        <v>280</v>
      </c>
      <c r="E1153" s="2">
        <f>IFERROR(__xludf.DUMMYFUNCTION("""COMPUTED_VALUE"""),296.0)</f>
        <v>296</v>
      </c>
      <c r="F1153" s="2">
        <f>IFERROR(__xludf.DUMMYFUNCTION("""COMPUTED_VALUE"""),9.80554E7)</f>
        <v>98055400</v>
      </c>
      <c r="G1153" s="2">
        <f t="shared" si="1"/>
        <v>16</v>
      </c>
    </row>
    <row r="1154" ht="15.75" customHeight="1">
      <c r="A1154" s="1">
        <f>IFERROR(__xludf.DUMMYFUNCTION("""COMPUTED_VALUE"""),45575.66666666667)</f>
        <v>45575.66667</v>
      </c>
      <c r="B1154" s="2">
        <f>IFERROR(__xludf.DUMMYFUNCTION("""COMPUTED_VALUE"""),298.0)</f>
        <v>298</v>
      </c>
      <c r="C1154" s="2">
        <f>IFERROR(__xludf.DUMMYFUNCTION("""COMPUTED_VALUE"""),302.0)</f>
        <v>302</v>
      </c>
      <c r="D1154" s="2">
        <f>IFERROR(__xludf.DUMMYFUNCTION("""COMPUTED_VALUE"""),288.0)</f>
        <v>288</v>
      </c>
      <c r="E1154" s="2">
        <f>IFERROR(__xludf.DUMMYFUNCTION("""COMPUTED_VALUE"""),294.0)</f>
        <v>294</v>
      </c>
      <c r="F1154" s="2">
        <f>IFERROR(__xludf.DUMMYFUNCTION("""COMPUTED_VALUE"""),5.55149E7)</f>
        <v>55514900</v>
      </c>
      <c r="G1154" s="2">
        <f t="shared" si="1"/>
        <v>14</v>
      </c>
    </row>
    <row r="1155" ht="15.75" customHeight="1">
      <c r="A1155" s="1">
        <f>IFERROR(__xludf.DUMMYFUNCTION("""COMPUTED_VALUE"""),45576.66666666667)</f>
        <v>45576.66667</v>
      </c>
      <c r="B1155" s="2">
        <f>IFERROR(__xludf.DUMMYFUNCTION("""COMPUTED_VALUE"""),294.0)</f>
        <v>294</v>
      </c>
      <c r="C1155" s="2">
        <f>IFERROR(__xludf.DUMMYFUNCTION("""COMPUTED_VALUE"""),296.0)</f>
        <v>296</v>
      </c>
      <c r="D1155" s="2">
        <f>IFERROR(__xludf.DUMMYFUNCTION("""COMPUTED_VALUE"""),288.0)</f>
        <v>288</v>
      </c>
      <c r="E1155" s="2">
        <f>IFERROR(__xludf.DUMMYFUNCTION("""COMPUTED_VALUE"""),290.0)</f>
        <v>290</v>
      </c>
      <c r="F1155" s="2">
        <f>IFERROR(__xludf.DUMMYFUNCTION("""COMPUTED_VALUE"""),2.21038E7)</f>
        <v>22103800</v>
      </c>
      <c r="G1155" s="2">
        <f t="shared" si="1"/>
        <v>8</v>
      </c>
    </row>
    <row r="1156" ht="15.75" customHeight="1">
      <c r="A1156" s="1">
        <f>IFERROR(__xludf.DUMMYFUNCTION("""COMPUTED_VALUE"""),45579.66666666667)</f>
        <v>45579.66667</v>
      </c>
      <c r="B1156" s="2">
        <f>IFERROR(__xludf.DUMMYFUNCTION("""COMPUTED_VALUE"""),290.0)</f>
        <v>290</v>
      </c>
      <c r="C1156" s="2">
        <f>IFERROR(__xludf.DUMMYFUNCTION("""COMPUTED_VALUE"""),294.0)</f>
        <v>294</v>
      </c>
      <c r="D1156" s="2">
        <f>IFERROR(__xludf.DUMMYFUNCTION("""COMPUTED_VALUE"""),286.0)</f>
        <v>286</v>
      </c>
      <c r="E1156" s="2">
        <f>IFERROR(__xludf.DUMMYFUNCTION("""COMPUTED_VALUE"""),288.0)</f>
        <v>288</v>
      </c>
      <c r="F1156" s="2">
        <f>IFERROR(__xludf.DUMMYFUNCTION("""COMPUTED_VALUE"""),1.55377E7)</f>
        <v>15537700</v>
      </c>
      <c r="G1156" s="2">
        <f t="shared" si="1"/>
        <v>8</v>
      </c>
    </row>
    <row r="1157" ht="15.75" customHeight="1">
      <c r="A1157" s="1">
        <f>IFERROR(__xludf.DUMMYFUNCTION("""COMPUTED_VALUE"""),45580.66666666667)</f>
        <v>45580.66667</v>
      </c>
      <c r="B1157" s="2">
        <f>IFERROR(__xludf.DUMMYFUNCTION("""COMPUTED_VALUE"""),290.0)</f>
        <v>290</v>
      </c>
      <c r="C1157" s="2">
        <f>IFERROR(__xludf.DUMMYFUNCTION("""COMPUTED_VALUE"""),298.0)</f>
        <v>298</v>
      </c>
      <c r="D1157" s="2">
        <f>IFERROR(__xludf.DUMMYFUNCTION("""COMPUTED_VALUE"""),290.0)</f>
        <v>290</v>
      </c>
      <c r="E1157" s="2">
        <f>IFERROR(__xludf.DUMMYFUNCTION("""COMPUTED_VALUE"""),294.0)</f>
        <v>294</v>
      </c>
      <c r="F1157" s="2">
        <f>IFERROR(__xludf.DUMMYFUNCTION("""COMPUTED_VALUE"""),2.51504E7)</f>
        <v>25150400</v>
      </c>
      <c r="G1157" s="2">
        <f t="shared" si="1"/>
        <v>10</v>
      </c>
    </row>
    <row r="1158" ht="15.75" customHeight="1">
      <c r="A1158" s="1">
        <f>IFERROR(__xludf.DUMMYFUNCTION("""COMPUTED_VALUE"""),45581.66666666667)</f>
        <v>45581.66667</v>
      </c>
      <c r="B1158" s="2">
        <f>IFERROR(__xludf.DUMMYFUNCTION("""COMPUTED_VALUE"""),298.0)</f>
        <v>298</v>
      </c>
      <c r="C1158" s="2">
        <f>IFERROR(__xludf.DUMMYFUNCTION("""COMPUTED_VALUE"""),306.0)</f>
        <v>306</v>
      </c>
      <c r="D1158" s="2">
        <f>IFERROR(__xludf.DUMMYFUNCTION("""COMPUTED_VALUE"""),294.0)</f>
        <v>294</v>
      </c>
      <c r="E1158" s="2">
        <f>IFERROR(__xludf.DUMMYFUNCTION("""COMPUTED_VALUE"""),300.0)</f>
        <v>300</v>
      </c>
      <c r="F1158" s="2">
        <f>IFERROR(__xludf.DUMMYFUNCTION("""COMPUTED_VALUE"""),6.06938E7)</f>
        <v>60693800</v>
      </c>
      <c r="G1158" s="2">
        <f t="shared" si="1"/>
        <v>12</v>
      </c>
    </row>
    <row r="1159" ht="15.75" customHeight="1">
      <c r="A1159" s="1">
        <f>IFERROR(__xludf.DUMMYFUNCTION("""COMPUTED_VALUE"""),45582.66666666667)</f>
        <v>45582.66667</v>
      </c>
      <c r="B1159" s="2">
        <f>IFERROR(__xludf.DUMMYFUNCTION("""COMPUTED_VALUE"""),302.0)</f>
        <v>302</v>
      </c>
      <c r="C1159" s="2">
        <f>IFERROR(__xludf.DUMMYFUNCTION("""COMPUTED_VALUE"""),306.0)</f>
        <v>306</v>
      </c>
      <c r="D1159" s="2">
        <f>IFERROR(__xludf.DUMMYFUNCTION("""COMPUTED_VALUE"""),298.0)</f>
        <v>298</v>
      </c>
      <c r="E1159" s="2">
        <f>IFERROR(__xludf.DUMMYFUNCTION("""COMPUTED_VALUE"""),302.0)</f>
        <v>302</v>
      </c>
      <c r="F1159" s="2">
        <f>IFERROR(__xludf.DUMMYFUNCTION("""COMPUTED_VALUE"""),2.13033E7)</f>
        <v>21303300</v>
      </c>
      <c r="G1159" s="2">
        <f t="shared" si="1"/>
        <v>8</v>
      </c>
    </row>
    <row r="1160" ht="15.75" customHeight="1">
      <c r="A1160" s="1">
        <f>IFERROR(__xludf.DUMMYFUNCTION("""COMPUTED_VALUE"""),45583.66666666667)</f>
        <v>45583.66667</v>
      </c>
      <c r="B1160" s="2">
        <f>IFERROR(__xludf.DUMMYFUNCTION("""COMPUTED_VALUE"""),302.0)</f>
        <v>302</v>
      </c>
      <c r="C1160" s="2">
        <f>IFERROR(__xludf.DUMMYFUNCTION("""COMPUTED_VALUE"""),308.0)</f>
        <v>308</v>
      </c>
      <c r="D1160" s="2">
        <f>IFERROR(__xludf.DUMMYFUNCTION("""COMPUTED_VALUE"""),300.0)</f>
        <v>300</v>
      </c>
      <c r="E1160" s="2">
        <f>IFERROR(__xludf.DUMMYFUNCTION("""COMPUTED_VALUE"""),304.0)</f>
        <v>304</v>
      </c>
      <c r="F1160" s="2">
        <f>IFERROR(__xludf.DUMMYFUNCTION("""COMPUTED_VALUE"""),2.36619E7)</f>
        <v>23661900</v>
      </c>
      <c r="G1160" s="2">
        <f t="shared" si="1"/>
        <v>8</v>
      </c>
    </row>
    <row r="1161" ht="15.75" customHeight="1">
      <c r="A1161" s="1">
        <f>IFERROR(__xludf.DUMMYFUNCTION("""COMPUTED_VALUE"""),45586.66666666667)</f>
        <v>45586.66667</v>
      </c>
      <c r="B1161" s="2">
        <f>IFERROR(__xludf.DUMMYFUNCTION("""COMPUTED_VALUE"""),306.0)</f>
        <v>306</v>
      </c>
      <c r="C1161" s="2">
        <f>IFERROR(__xludf.DUMMYFUNCTION("""COMPUTED_VALUE"""),310.0)</f>
        <v>310</v>
      </c>
      <c r="D1161" s="2">
        <f>IFERROR(__xludf.DUMMYFUNCTION("""COMPUTED_VALUE"""),294.0)</f>
        <v>294</v>
      </c>
      <c r="E1161" s="2">
        <f>IFERROR(__xludf.DUMMYFUNCTION("""COMPUTED_VALUE"""),298.0)</f>
        <v>298</v>
      </c>
      <c r="F1161" s="2">
        <f>IFERROR(__xludf.DUMMYFUNCTION("""COMPUTED_VALUE"""),3.30576E7)</f>
        <v>33057600</v>
      </c>
      <c r="G1161" s="2">
        <f t="shared" si="1"/>
        <v>16</v>
      </c>
    </row>
    <row r="1162" ht="15.75" customHeight="1">
      <c r="A1162" s="1">
        <f>IFERROR(__xludf.DUMMYFUNCTION("""COMPUTED_VALUE"""),45587.66666666667)</f>
        <v>45587.66667</v>
      </c>
      <c r="B1162" s="2">
        <f>IFERROR(__xludf.DUMMYFUNCTION("""COMPUTED_VALUE"""),298.0)</f>
        <v>298</v>
      </c>
      <c r="C1162" s="2">
        <f>IFERROR(__xludf.DUMMYFUNCTION("""COMPUTED_VALUE"""),300.0)</f>
        <v>300</v>
      </c>
      <c r="D1162" s="2">
        <f>IFERROR(__xludf.DUMMYFUNCTION("""COMPUTED_VALUE"""),290.0)</f>
        <v>290</v>
      </c>
      <c r="E1162" s="2">
        <f>IFERROR(__xludf.DUMMYFUNCTION("""COMPUTED_VALUE"""),294.0)</f>
        <v>294</v>
      </c>
      <c r="F1162" s="2">
        <f>IFERROR(__xludf.DUMMYFUNCTION("""COMPUTED_VALUE"""),2.54162E7)</f>
        <v>25416200</v>
      </c>
      <c r="G1162" s="2">
        <f t="shared" si="1"/>
        <v>10</v>
      </c>
    </row>
    <row r="1163" ht="15.75" customHeight="1">
      <c r="A1163" s="1">
        <f>IFERROR(__xludf.DUMMYFUNCTION("""COMPUTED_VALUE"""),45588.66666666667)</f>
        <v>45588.66667</v>
      </c>
      <c r="B1163" s="2">
        <f>IFERROR(__xludf.DUMMYFUNCTION("""COMPUTED_VALUE"""),296.0)</f>
        <v>296</v>
      </c>
      <c r="C1163" s="2">
        <f>IFERROR(__xludf.DUMMYFUNCTION("""COMPUTED_VALUE"""),300.0)</f>
        <v>300</v>
      </c>
      <c r="D1163" s="2">
        <f>IFERROR(__xludf.DUMMYFUNCTION("""COMPUTED_VALUE"""),292.0)</f>
        <v>292</v>
      </c>
      <c r="E1163" s="2">
        <f>IFERROR(__xludf.DUMMYFUNCTION("""COMPUTED_VALUE"""),294.0)</f>
        <v>294</v>
      </c>
      <c r="F1163" s="2">
        <f>IFERROR(__xludf.DUMMYFUNCTION("""COMPUTED_VALUE"""),1.46757E7)</f>
        <v>14675700</v>
      </c>
      <c r="G1163" s="2">
        <f t="shared" si="1"/>
        <v>8</v>
      </c>
    </row>
    <row r="1164" ht="15.75" customHeight="1">
      <c r="A1164" s="1">
        <f>IFERROR(__xludf.DUMMYFUNCTION("""COMPUTED_VALUE"""),45589.66666666667)</f>
        <v>45589.66667</v>
      </c>
      <c r="B1164" s="2">
        <f>IFERROR(__xludf.DUMMYFUNCTION("""COMPUTED_VALUE"""),294.0)</f>
        <v>294</v>
      </c>
      <c r="C1164" s="2">
        <f>IFERROR(__xludf.DUMMYFUNCTION("""COMPUTED_VALUE"""),298.0)</f>
        <v>298</v>
      </c>
      <c r="D1164" s="2">
        <f>IFERROR(__xludf.DUMMYFUNCTION("""COMPUTED_VALUE"""),290.0)</f>
        <v>290</v>
      </c>
      <c r="E1164" s="2">
        <f>IFERROR(__xludf.DUMMYFUNCTION("""COMPUTED_VALUE"""),290.0)</f>
        <v>290</v>
      </c>
      <c r="F1164" s="2">
        <f>IFERROR(__xludf.DUMMYFUNCTION("""COMPUTED_VALUE"""),1.2995E7)</f>
        <v>12995000</v>
      </c>
      <c r="G1164" s="2">
        <f t="shared" si="1"/>
        <v>8</v>
      </c>
    </row>
    <row r="1165" ht="15.75" customHeight="1">
      <c r="A1165" s="1">
        <f>IFERROR(__xludf.DUMMYFUNCTION("""COMPUTED_VALUE"""),45590.66666666667)</f>
        <v>45590.66667</v>
      </c>
      <c r="B1165" s="2">
        <f>IFERROR(__xludf.DUMMYFUNCTION("""COMPUTED_VALUE"""),290.0)</f>
        <v>290</v>
      </c>
      <c r="C1165" s="2">
        <f>IFERROR(__xludf.DUMMYFUNCTION("""COMPUTED_VALUE"""),296.0)</f>
        <v>296</v>
      </c>
      <c r="D1165" s="2">
        <f>IFERROR(__xludf.DUMMYFUNCTION("""COMPUTED_VALUE"""),278.0)</f>
        <v>278</v>
      </c>
      <c r="E1165" s="2">
        <f>IFERROR(__xludf.DUMMYFUNCTION("""COMPUTED_VALUE"""),282.0)</f>
        <v>282</v>
      </c>
      <c r="F1165" s="2">
        <f>IFERROR(__xludf.DUMMYFUNCTION("""COMPUTED_VALUE"""),1.97106E7)</f>
        <v>19710600</v>
      </c>
      <c r="G1165" s="2">
        <f t="shared" si="1"/>
        <v>18</v>
      </c>
    </row>
    <row r="1166" ht="15.75" customHeight="1">
      <c r="A1166" s="1">
        <f>IFERROR(__xludf.DUMMYFUNCTION("""COMPUTED_VALUE"""),45593.66666666667)</f>
        <v>45593.66667</v>
      </c>
      <c r="B1166" s="2">
        <f>IFERROR(__xludf.DUMMYFUNCTION("""COMPUTED_VALUE"""),282.0)</f>
        <v>282</v>
      </c>
      <c r="C1166" s="2">
        <f>IFERROR(__xludf.DUMMYFUNCTION("""COMPUTED_VALUE"""),288.0)</f>
        <v>288</v>
      </c>
      <c r="D1166" s="2">
        <f>IFERROR(__xludf.DUMMYFUNCTION("""COMPUTED_VALUE"""),274.0)</f>
        <v>274</v>
      </c>
      <c r="E1166" s="2">
        <f>IFERROR(__xludf.DUMMYFUNCTION("""COMPUTED_VALUE"""),284.0)</f>
        <v>284</v>
      </c>
      <c r="F1166" s="2">
        <f>IFERROR(__xludf.DUMMYFUNCTION("""COMPUTED_VALUE"""),2.15729E7)</f>
        <v>21572900</v>
      </c>
      <c r="G1166" s="2">
        <f t="shared" si="1"/>
        <v>14</v>
      </c>
    </row>
    <row r="1167" ht="15.75" customHeight="1">
      <c r="A1167" s="1">
        <f>IFERROR(__xludf.DUMMYFUNCTION("""COMPUTED_VALUE"""),45594.66666666667)</f>
        <v>45594.66667</v>
      </c>
      <c r="B1167" s="2">
        <f>IFERROR(__xludf.DUMMYFUNCTION("""COMPUTED_VALUE"""),284.0)</f>
        <v>284</v>
      </c>
      <c r="C1167" s="2">
        <f>IFERROR(__xludf.DUMMYFUNCTION("""COMPUTED_VALUE"""),302.0)</f>
        <v>302</v>
      </c>
      <c r="D1167" s="2">
        <f>IFERROR(__xludf.DUMMYFUNCTION("""COMPUTED_VALUE"""),284.0)</f>
        <v>284</v>
      </c>
      <c r="E1167" s="2">
        <f>IFERROR(__xludf.DUMMYFUNCTION("""COMPUTED_VALUE"""),296.0)</f>
        <v>296</v>
      </c>
      <c r="F1167" s="2">
        <f>IFERROR(__xludf.DUMMYFUNCTION("""COMPUTED_VALUE"""),6.7087E7)</f>
        <v>67087000</v>
      </c>
      <c r="G1167" s="2">
        <f t="shared" si="1"/>
        <v>18</v>
      </c>
    </row>
    <row r="1168" ht="15.75" customHeight="1">
      <c r="A1168" s="1">
        <f>IFERROR(__xludf.DUMMYFUNCTION("""COMPUTED_VALUE"""),45595.66666666667)</f>
        <v>45595.66667</v>
      </c>
      <c r="B1168" s="2">
        <f>IFERROR(__xludf.DUMMYFUNCTION("""COMPUTED_VALUE"""),298.0)</f>
        <v>298</v>
      </c>
      <c r="C1168" s="2">
        <f>IFERROR(__xludf.DUMMYFUNCTION("""COMPUTED_VALUE"""),300.0)</f>
        <v>300</v>
      </c>
      <c r="D1168" s="2">
        <f>IFERROR(__xludf.DUMMYFUNCTION("""COMPUTED_VALUE"""),286.0)</f>
        <v>286</v>
      </c>
      <c r="E1168" s="2">
        <f>IFERROR(__xludf.DUMMYFUNCTION("""COMPUTED_VALUE"""),286.0)</f>
        <v>286</v>
      </c>
      <c r="F1168" s="2">
        <f>IFERROR(__xludf.DUMMYFUNCTION("""COMPUTED_VALUE"""),1.85681E7)</f>
        <v>18568100</v>
      </c>
      <c r="G1168" s="2">
        <f t="shared" si="1"/>
        <v>14</v>
      </c>
    </row>
    <row r="1169" ht="15.75" customHeight="1">
      <c r="A1169" s="1">
        <f>IFERROR(__xludf.DUMMYFUNCTION("""COMPUTED_VALUE"""),45596.66666666667)</f>
        <v>45596.66667</v>
      </c>
      <c r="B1169" s="2">
        <f>IFERROR(__xludf.DUMMYFUNCTION("""COMPUTED_VALUE"""),288.0)</f>
        <v>288</v>
      </c>
      <c r="C1169" s="2">
        <f>IFERROR(__xludf.DUMMYFUNCTION("""COMPUTED_VALUE"""),292.0)</f>
        <v>292</v>
      </c>
      <c r="D1169" s="2">
        <f>IFERROR(__xludf.DUMMYFUNCTION("""COMPUTED_VALUE"""),284.0)</f>
        <v>284</v>
      </c>
      <c r="E1169" s="2">
        <f>IFERROR(__xludf.DUMMYFUNCTION("""COMPUTED_VALUE"""),288.0)</f>
        <v>288</v>
      </c>
      <c r="F1169" s="2">
        <f>IFERROR(__xludf.DUMMYFUNCTION("""COMPUTED_VALUE"""),7484200.0)</f>
        <v>7484200</v>
      </c>
      <c r="G1169" s="2">
        <f t="shared" si="1"/>
        <v>8</v>
      </c>
    </row>
    <row r="1170" ht="15.75" customHeight="1">
      <c r="A1170" s="1">
        <f>IFERROR(__xludf.DUMMYFUNCTION("""COMPUTED_VALUE"""),45597.66666666667)</f>
        <v>45597.66667</v>
      </c>
      <c r="B1170" s="2">
        <f>IFERROR(__xludf.DUMMYFUNCTION("""COMPUTED_VALUE"""),288.0)</f>
        <v>288</v>
      </c>
      <c r="C1170" s="2">
        <f>IFERROR(__xludf.DUMMYFUNCTION("""COMPUTED_VALUE"""),298.0)</f>
        <v>298</v>
      </c>
      <c r="D1170" s="2">
        <f>IFERROR(__xludf.DUMMYFUNCTION("""COMPUTED_VALUE"""),282.0)</f>
        <v>282</v>
      </c>
      <c r="E1170" s="2">
        <f>IFERROR(__xludf.DUMMYFUNCTION("""COMPUTED_VALUE"""),286.0)</f>
        <v>286</v>
      </c>
      <c r="F1170" s="2">
        <f>IFERROR(__xludf.DUMMYFUNCTION("""COMPUTED_VALUE"""),4.02285E7)</f>
        <v>40228500</v>
      </c>
      <c r="G1170" s="2">
        <f t="shared" si="1"/>
        <v>16</v>
      </c>
    </row>
    <row r="1171" ht="15.75" customHeight="1">
      <c r="A1171" s="1">
        <f>IFERROR(__xludf.DUMMYFUNCTION("""COMPUTED_VALUE"""),45600.66666666667)</f>
        <v>45600.66667</v>
      </c>
      <c r="B1171" s="2">
        <f>IFERROR(__xludf.DUMMYFUNCTION("""COMPUTED_VALUE"""),286.0)</f>
        <v>286</v>
      </c>
      <c r="C1171" s="2">
        <f>IFERROR(__xludf.DUMMYFUNCTION("""COMPUTED_VALUE"""),286.0)</f>
        <v>286</v>
      </c>
      <c r="D1171" s="2">
        <f>IFERROR(__xludf.DUMMYFUNCTION("""COMPUTED_VALUE"""),276.0)</f>
        <v>276</v>
      </c>
      <c r="E1171" s="2">
        <f>IFERROR(__xludf.DUMMYFUNCTION("""COMPUTED_VALUE"""),278.0)</f>
        <v>278</v>
      </c>
      <c r="F1171" s="2">
        <f>IFERROR(__xludf.DUMMYFUNCTION("""COMPUTED_VALUE"""),1.73478E7)</f>
        <v>17347800</v>
      </c>
      <c r="G1171" s="2">
        <f t="shared" si="1"/>
        <v>10</v>
      </c>
    </row>
    <row r="1172" ht="15.75" customHeight="1">
      <c r="A1172" s="1">
        <f>IFERROR(__xludf.DUMMYFUNCTION("""COMPUTED_VALUE"""),45601.66666666667)</f>
        <v>45601.66667</v>
      </c>
      <c r="B1172" s="2">
        <f>IFERROR(__xludf.DUMMYFUNCTION("""COMPUTED_VALUE"""),278.0)</f>
        <v>278</v>
      </c>
      <c r="C1172" s="2">
        <f>IFERROR(__xludf.DUMMYFUNCTION("""COMPUTED_VALUE"""),284.0)</f>
        <v>284</v>
      </c>
      <c r="D1172" s="2">
        <f>IFERROR(__xludf.DUMMYFUNCTION("""COMPUTED_VALUE"""),270.0)</f>
        <v>270</v>
      </c>
      <c r="E1172" s="2">
        <f>IFERROR(__xludf.DUMMYFUNCTION("""COMPUTED_VALUE"""),276.0)</f>
        <v>276</v>
      </c>
      <c r="F1172" s="2">
        <f>IFERROR(__xludf.DUMMYFUNCTION("""COMPUTED_VALUE"""),2.62906E7)</f>
        <v>26290600</v>
      </c>
      <c r="G1172" s="2">
        <f t="shared" si="1"/>
        <v>14</v>
      </c>
    </row>
    <row r="1173" ht="15.75" customHeight="1">
      <c r="A1173" s="1">
        <f>IFERROR(__xludf.DUMMYFUNCTION("""COMPUTED_VALUE"""),45602.66666666667)</f>
        <v>45602.66667</v>
      </c>
      <c r="B1173" s="2">
        <f>IFERROR(__xludf.DUMMYFUNCTION("""COMPUTED_VALUE"""),276.0)</f>
        <v>276</v>
      </c>
      <c r="C1173" s="2">
        <f>IFERROR(__xludf.DUMMYFUNCTION("""COMPUTED_VALUE"""),286.0)</f>
        <v>286</v>
      </c>
      <c r="D1173" s="2">
        <f>IFERROR(__xludf.DUMMYFUNCTION("""COMPUTED_VALUE"""),274.0)</f>
        <v>274</v>
      </c>
      <c r="E1173" s="2">
        <f>IFERROR(__xludf.DUMMYFUNCTION("""COMPUTED_VALUE"""),278.0)</f>
        <v>278</v>
      </c>
      <c r="F1173" s="2">
        <f>IFERROR(__xludf.DUMMYFUNCTION("""COMPUTED_VALUE"""),2.00949E7)</f>
        <v>20094900</v>
      </c>
      <c r="G1173" s="2">
        <f t="shared" si="1"/>
        <v>12</v>
      </c>
    </row>
    <row r="1174" ht="15.75" customHeight="1">
      <c r="A1174" s="1">
        <f>IFERROR(__xludf.DUMMYFUNCTION("""COMPUTED_VALUE"""),45603.66666666667)</f>
        <v>45603.66667</v>
      </c>
      <c r="B1174" s="2">
        <f>IFERROR(__xludf.DUMMYFUNCTION("""COMPUTED_VALUE"""),278.0)</f>
        <v>278</v>
      </c>
      <c r="C1174" s="2">
        <f>IFERROR(__xludf.DUMMYFUNCTION("""COMPUTED_VALUE"""),280.0)</f>
        <v>280</v>
      </c>
      <c r="D1174" s="2">
        <f>IFERROR(__xludf.DUMMYFUNCTION("""COMPUTED_VALUE"""),266.0)</f>
        <v>266</v>
      </c>
      <c r="E1174" s="2">
        <f>IFERROR(__xludf.DUMMYFUNCTION("""COMPUTED_VALUE"""),272.0)</f>
        <v>272</v>
      </c>
      <c r="F1174" s="2">
        <f>IFERROR(__xludf.DUMMYFUNCTION("""COMPUTED_VALUE"""),1.60931E7)</f>
        <v>16093100</v>
      </c>
      <c r="G1174" s="2">
        <f t="shared" si="1"/>
        <v>14</v>
      </c>
    </row>
    <row r="1175" ht="15.75" customHeight="1">
      <c r="A1175" s="1">
        <f>IFERROR(__xludf.DUMMYFUNCTION("""COMPUTED_VALUE"""),45604.66666666667)</f>
        <v>45604.66667</v>
      </c>
      <c r="B1175" s="2">
        <f>IFERROR(__xludf.DUMMYFUNCTION("""COMPUTED_VALUE"""),276.0)</f>
        <v>276</v>
      </c>
      <c r="C1175" s="2">
        <f>IFERROR(__xludf.DUMMYFUNCTION("""COMPUTED_VALUE"""),284.0)</f>
        <v>284</v>
      </c>
      <c r="D1175" s="2">
        <f>IFERROR(__xludf.DUMMYFUNCTION("""COMPUTED_VALUE"""),272.0)</f>
        <v>272</v>
      </c>
      <c r="E1175" s="2">
        <f>IFERROR(__xludf.DUMMYFUNCTION("""COMPUTED_VALUE"""),276.0)</f>
        <v>276</v>
      </c>
      <c r="F1175" s="2">
        <f>IFERROR(__xludf.DUMMYFUNCTION("""COMPUTED_VALUE"""),9712900.0)</f>
        <v>9712900</v>
      </c>
      <c r="G1175" s="2">
        <f t="shared" si="1"/>
        <v>12</v>
      </c>
    </row>
    <row r="1176" ht="15.75" customHeight="1">
      <c r="A1176" s="1">
        <f>IFERROR(__xludf.DUMMYFUNCTION("""COMPUTED_VALUE"""),45607.66666666667)</f>
        <v>45607.66667</v>
      </c>
      <c r="B1176" s="2">
        <f>IFERROR(__xludf.DUMMYFUNCTION("""COMPUTED_VALUE"""),276.0)</f>
        <v>276</v>
      </c>
      <c r="C1176" s="2">
        <f>IFERROR(__xludf.DUMMYFUNCTION("""COMPUTED_VALUE"""),278.0)</f>
        <v>278</v>
      </c>
      <c r="D1176" s="2">
        <f>IFERROR(__xludf.DUMMYFUNCTION("""COMPUTED_VALUE"""),270.0)</f>
        <v>270</v>
      </c>
      <c r="E1176" s="2">
        <f>IFERROR(__xludf.DUMMYFUNCTION("""COMPUTED_VALUE"""),272.0)</f>
        <v>272</v>
      </c>
      <c r="F1176" s="2">
        <f>IFERROR(__xludf.DUMMYFUNCTION("""COMPUTED_VALUE"""),1.1727E7)</f>
        <v>11727000</v>
      </c>
      <c r="G1176" s="2">
        <f t="shared" si="1"/>
        <v>8</v>
      </c>
    </row>
    <row r="1177" ht="15.75" customHeight="1">
      <c r="A1177" s="1">
        <f>IFERROR(__xludf.DUMMYFUNCTION("""COMPUTED_VALUE"""),45608.66666666667)</f>
        <v>45608.66667</v>
      </c>
      <c r="B1177" s="2">
        <f>IFERROR(__xludf.DUMMYFUNCTION("""COMPUTED_VALUE"""),272.0)</f>
        <v>272</v>
      </c>
      <c r="C1177" s="2">
        <f>IFERROR(__xludf.DUMMYFUNCTION("""COMPUTED_VALUE"""),280.0)</f>
        <v>280</v>
      </c>
      <c r="D1177" s="2">
        <f>IFERROR(__xludf.DUMMYFUNCTION("""COMPUTED_VALUE"""),270.0)</f>
        <v>270</v>
      </c>
      <c r="E1177" s="2">
        <f>IFERROR(__xludf.DUMMYFUNCTION("""COMPUTED_VALUE"""),274.0)</f>
        <v>274</v>
      </c>
      <c r="F1177" s="2">
        <f>IFERROR(__xludf.DUMMYFUNCTION("""COMPUTED_VALUE"""),2.38737E7)</f>
        <v>23873700</v>
      </c>
      <c r="G1177" s="2">
        <f t="shared" si="1"/>
        <v>10</v>
      </c>
    </row>
    <row r="1178" ht="15.75" customHeight="1">
      <c r="A1178" s="1">
        <f>IFERROR(__xludf.DUMMYFUNCTION("""COMPUTED_VALUE"""),45609.66666666667)</f>
        <v>45609.66667</v>
      </c>
      <c r="B1178" s="2">
        <f>IFERROR(__xludf.DUMMYFUNCTION("""COMPUTED_VALUE"""),274.0)</f>
        <v>274</v>
      </c>
      <c r="C1178" s="2">
        <f>IFERROR(__xludf.DUMMYFUNCTION("""COMPUTED_VALUE"""),278.0)</f>
        <v>278</v>
      </c>
      <c r="D1178" s="2">
        <f>IFERROR(__xludf.DUMMYFUNCTION("""COMPUTED_VALUE"""),272.0)</f>
        <v>272</v>
      </c>
      <c r="E1178" s="2">
        <f>IFERROR(__xludf.DUMMYFUNCTION("""COMPUTED_VALUE"""),272.0)</f>
        <v>272</v>
      </c>
      <c r="F1178" s="2">
        <f>IFERROR(__xludf.DUMMYFUNCTION("""COMPUTED_VALUE"""),9650800.0)</f>
        <v>9650800</v>
      </c>
      <c r="G1178" s="2">
        <f t="shared" si="1"/>
        <v>6</v>
      </c>
    </row>
    <row r="1179" ht="15.75" customHeight="1">
      <c r="A1179" s="1">
        <f>IFERROR(__xludf.DUMMYFUNCTION("""COMPUTED_VALUE"""),45610.66666666667)</f>
        <v>45610.66667</v>
      </c>
      <c r="B1179" s="2">
        <f>IFERROR(__xludf.DUMMYFUNCTION("""COMPUTED_VALUE"""),274.0)</f>
        <v>274</v>
      </c>
      <c r="C1179" s="2">
        <f>IFERROR(__xludf.DUMMYFUNCTION("""COMPUTED_VALUE"""),276.0)</f>
        <v>276</v>
      </c>
      <c r="D1179" s="2">
        <f>IFERROR(__xludf.DUMMYFUNCTION("""COMPUTED_VALUE"""),262.0)</f>
        <v>262</v>
      </c>
      <c r="E1179" s="2">
        <f>IFERROR(__xludf.DUMMYFUNCTION("""COMPUTED_VALUE"""),264.0)</f>
        <v>264</v>
      </c>
      <c r="F1179" s="2">
        <f>IFERROR(__xludf.DUMMYFUNCTION("""COMPUTED_VALUE"""),1.97789E7)</f>
        <v>19778900</v>
      </c>
      <c r="G1179" s="2">
        <f t="shared" si="1"/>
        <v>14</v>
      </c>
    </row>
    <row r="1180" ht="15.75" customHeight="1">
      <c r="A1180" s="1">
        <f>IFERROR(__xludf.DUMMYFUNCTION("""COMPUTED_VALUE"""),45611.66666666667)</f>
        <v>45611.66667</v>
      </c>
      <c r="B1180" s="2">
        <f>IFERROR(__xludf.DUMMYFUNCTION("""COMPUTED_VALUE"""),266.0)</f>
        <v>266</v>
      </c>
      <c r="C1180" s="2">
        <f>IFERROR(__xludf.DUMMYFUNCTION("""COMPUTED_VALUE"""),266.0)</f>
        <v>266</v>
      </c>
      <c r="D1180" s="2">
        <f>IFERROR(__xludf.DUMMYFUNCTION("""COMPUTED_VALUE"""),254.0)</f>
        <v>254</v>
      </c>
      <c r="E1180" s="2">
        <f>IFERROR(__xludf.DUMMYFUNCTION("""COMPUTED_VALUE"""),256.0)</f>
        <v>256</v>
      </c>
      <c r="F1180" s="2">
        <f>IFERROR(__xludf.DUMMYFUNCTION("""COMPUTED_VALUE"""),9944100.0)</f>
        <v>9944100</v>
      </c>
      <c r="G1180" s="2">
        <f t="shared" si="1"/>
        <v>12</v>
      </c>
    </row>
    <row r="1181" ht="15.75" customHeight="1">
      <c r="A1181" s="1">
        <f>IFERROR(__xludf.DUMMYFUNCTION("""COMPUTED_VALUE"""),45614.66666666667)</f>
        <v>45614.66667</v>
      </c>
      <c r="B1181" s="2">
        <f>IFERROR(__xludf.DUMMYFUNCTION("""COMPUTED_VALUE"""),260.0)</f>
        <v>260</v>
      </c>
      <c r="C1181" s="2">
        <f>IFERROR(__xludf.DUMMYFUNCTION("""COMPUTED_VALUE"""),260.0)</f>
        <v>260</v>
      </c>
      <c r="D1181" s="2">
        <f>IFERROR(__xludf.DUMMYFUNCTION("""COMPUTED_VALUE"""),250.0)</f>
        <v>250</v>
      </c>
      <c r="E1181" s="2">
        <f>IFERROR(__xludf.DUMMYFUNCTION("""COMPUTED_VALUE"""),252.0)</f>
        <v>252</v>
      </c>
      <c r="F1181" s="2">
        <f>IFERROR(__xludf.DUMMYFUNCTION("""COMPUTED_VALUE"""),9572800.0)</f>
        <v>9572800</v>
      </c>
      <c r="G1181" s="2">
        <f t="shared" si="1"/>
        <v>10</v>
      </c>
    </row>
    <row r="1182" ht="15.75" customHeight="1">
      <c r="A1182" s="1">
        <f>IFERROR(__xludf.DUMMYFUNCTION("""COMPUTED_VALUE"""),45615.66666666667)</f>
        <v>45615.66667</v>
      </c>
      <c r="B1182" s="2">
        <f>IFERROR(__xludf.DUMMYFUNCTION("""COMPUTED_VALUE"""),252.0)</f>
        <v>252</v>
      </c>
      <c r="C1182" s="2">
        <f>IFERROR(__xludf.DUMMYFUNCTION("""COMPUTED_VALUE"""),262.0)</f>
        <v>262</v>
      </c>
      <c r="D1182" s="2">
        <f>IFERROR(__xludf.DUMMYFUNCTION("""COMPUTED_VALUE"""),252.0)</f>
        <v>252</v>
      </c>
      <c r="E1182" s="2">
        <f>IFERROR(__xludf.DUMMYFUNCTION("""COMPUTED_VALUE"""),260.0)</f>
        <v>260</v>
      </c>
      <c r="F1182" s="2">
        <f>IFERROR(__xludf.DUMMYFUNCTION("""COMPUTED_VALUE"""),8977700.0)</f>
        <v>8977700</v>
      </c>
      <c r="G1182" s="2">
        <f t="shared" si="1"/>
        <v>10</v>
      </c>
    </row>
    <row r="1183" ht="15.75" customHeight="1">
      <c r="A1183" s="1">
        <f>IFERROR(__xludf.DUMMYFUNCTION("""COMPUTED_VALUE"""),45616.66666666667)</f>
        <v>45616.66667</v>
      </c>
      <c r="B1183" s="2">
        <f>IFERROR(__xludf.DUMMYFUNCTION("""COMPUTED_VALUE"""),262.0)</f>
        <v>262</v>
      </c>
      <c r="C1183" s="2">
        <f>IFERROR(__xludf.DUMMYFUNCTION("""COMPUTED_VALUE"""),274.0)</f>
        <v>274</v>
      </c>
      <c r="D1183" s="2">
        <f>IFERROR(__xludf.DUMMYFUNCTION("""COMPUTED_VALUE"""),260.0)</f>
        <v>260</v>
      </c>
      <c r="E1183" s="2">
        <f>IFERROR(__xludf.DUMMYFUNCTION("""COMPUTED_VALUE"""),264.0)</f>
        <v>264</v>
      </c>
      <c r="F1183" s="2">
        <f>IFERROR(__xludf.DUMMYFUNCTION("""COMPUTED_VALUE"""),3.17152E7)</f>
        <v>31715200</v>
      </c>
      <c r="G1183" s="2">
        <f t="shared" si="1"/>
        <v>14</v>
      </c>
    </row>
    <row r="1184" ht="15.75" customHeight="1">
      <c r="A1184" s="1">
        <f>IFERROR(__xludf.DUMMYFUNCTION("""COMPUTED_VALUE"""),45617.66666666667)</f>
        <v>45617.66667</v>
      </c>
      <c r="B1184" s="2">
        <f>IFERROR(__xludf.DUMMYFUNCTION("""COMPUTED_VALUE"""),266.0)</f>
        <v>266</v>
      </c>
      <c r="C1184" s="2">
        <f>IFERROR(__xludf.DUMMYFUNCTION("""COMPUTED_VALUE"""),270.0)</f>
        <v>270</v>
      </c>
      <c r="D1184" s="2">
        <f>IFERROR(__xludf.DUMMYFUNCTION("""COMPUTED_VALUE"""),266.0)</f>
        <v>266</v>
      </c>
      <c r="E1184" s="2">
        <f>IFERROR(__xludf.DUMMYFUNCTION("""COMPUTED_VALUE"""),266.0)</f>
        <v>266</v>
      </c>
      <c r="F1184" s="2">
        <f>IFERROR(__xludf.DUMMYFUNCTION("""COMPUTED_VALUE"""),8865400.0)</f>
        <v>8865400</v>
      </c>
      <c r="G1184" s="2">
        <f t="shared" si="1"/>
        <v>6</v>
      </c>
    </row>
    <row r="1185" ht="15.75" customHeight="1">
      <c r="A1185" s="1">
        <f>IFERROR(__xludf.DUMMYFUNCTION("""COMPUTED_VALUE"""),45618.66666666667)</f>
        <v>45618.66667</v>
      </c>
      <c r="B1185" s="2">
        <f>IFERROR(__xludf.DUMMYFUNCTION("""COMPUTED_VALUE"""),266.0)</f>
        <v>266</v>
      </c>
      <c r="C1185" s="2">
        <f>IFERROR(__xludf.DUMMYFUNCTION("""COMPUTED_VALUE"""),276.0)</f>
        <v>276</v>
      </c>
      <c r="D1185" s="2">
        <f>IFERROR(__xludf.DUMMYFUNCTION("""COMPUTED_VALUE"""),262.0)</f>
        <v>262</v>
      </c>
      <c r="E1185" s="2">
        <f>IFERROR(__xludf.DUMMYFUNCTION("""COMPUTED_VALUE"""),264.0)</f>
        <v>264</v>
      </c>
      <c r="F1185" s="2">
        <f>IFERROR(__xludf.DUMMYFUNCTION("""COMPUTED_VALUE"""),4630400.0)</f>
        <v>4630400</v>
      </c>
      <c r="G1185" s="2">
        <f t="shared" si="1"/>
        <v>14</v>
      </c>
    </row>
    <row r="1186" ht="15.75" customHeight="1">
      <c r="A1186" s="1">
        <f>IFERROR(__xludf.DUMMYFUNCTION("""COMPUTED_VALUE"""),45621.66666666667)</f>
        <v>45621.66667</v>
      </c>
      <c r="B1186" s="2">
        <f>IFERROR(__xludf.DUMMYFUNCTION("""COMPUTED_VALUE"""),264.0)</f>
        <v>264</v>
      </c>
      <c r="C1186" s="2">
        <f>IFERROR(__xludf.DUMMYFUNCTION("""COMPUTED_VALUE"""),268.0)</f>
        <v>268</v>
      </c>
      <c r="D1186" s="2">
        <f>IFERROR(__xludf.DUMMYFUNCTION("""COMPUTED_VALUE"""),256.0)</f>
        <v>256</v>
      </c>
      <c r="E1186" s="2">
        <f>IFERROR(__xludf.DUMMYFUNCTION("""COMPUTED_VALUE"""),266.0)</f>
        <v>266</v>
      </c>
      <c r="F1186" s="2">
        <f>IFERROR(__xludf.DUMMYFUNCTION("""COMPUTED_VALUE"""),7683200.0)</f>
        <v>7683200</v>
      </c>
      <c r="G1186" s="2">
        <f t="shared" si="1"/>
        <v>12</v>
      </c>
    </row>
    <row r="1187" ht="15.75" customHeight="1">
      <c r="A1187" s="1">
        <f>IFERROR(__xludf.DUMMYFUNCTION("""COMPUTED_VALUE"""),45622.66666666667)</f>
        <v>45622.66667</v>
      </c>
      <c r="B1187" s="2">
        <f>IFERROR(__xludf.DUMMYFUNCTION("""COMPUTED_VALUE"""),268.0)</f>
        <v>268</v>
      </c>
      <c r="C1187" s="2">
        <f>IFERROR(__xludf.DUMMYFUNCTION("""COMPUTED_VALUE"""),268.0)</f>
        <v>268</v>
      </c>
      <c r="D1187" s="2">
        <f>IFERROR(__xludf.DUMMYFUNCTION("""COMPUTED_VALUE"""),258.0)</f>
        <v>258</v>
      </c>
      <c r="E1187" s="2">
        <f>IFERROR(__xludf.DUMMYFUNCTION("""COMPUTED_VALUE"""),258.0)</f>
        <v>258</v>
      </c>
      <c r="F1187" s="2">
        <f>IFERROR(__xludf.DUMMYFUNCTION("""COMPUTED_VALUE"""),5876200.0)</f>
        <v>5876200</v>
      </c>
      <c r="G1187" s="2">
        <f t="shared" si="1"/>
        <v>10</v>
      </c>
    </row>
    <row r="1188" ht="15.75" customHeight="1">
      <c r="A1188" s="1">
        <f>IFERROR(__xludf.DUMMYFUNCTION("""COMPUTED_VALUE"""),45624.66666666667)</f>
        <v>45624.66667</v>
      </c>
      <c r="B1188" s="2">
        <f>IFERROR(__xludf.DUMMYFUNCTION("""COMPUTED_VALUE"""),258.0)</f>
        <v>258</v>
      </c>
      <c r="C1188" s="2">
        <f>IFERROR(__xludf.DUMMYFUNCTION("""COMPUTED_VALUE"""),262.0)</f>
        <v>262</v>
      </c>
      <c r="D1188" s="2">
        <f>IFERROR(__xludf.DUMMYFUNCTION("""COMPUTED_VALUE"""),256.0)</f>
        <v>256</v>
      </c>
      <c r="E1188" s="2">
        <f>IFERROR(__xludf.DUMMYFUNCTION("""COMPUTED_VALUE"""),256.0)</f>
        <v>256</v>
      </c>
      <c r="F1188" s="2">
        <f>IFERROR(__xludf.DUMMYFUNCTION("""COMPUTED_VALUE"""),3962700.0)</f>
        <v>3962700</v>
      </c>
      <c r="G1188" s="2">
        <f t="shared" si="1"/>
        <v>6</v>
      </c>
    </row>
    <row r="1189" ht="15.75" customHeight="1">
      <c r="A1189" s="1">
        <f>IFERROR(__xludf.DUMMYFUNCTION("""COMPUTED_VALUE"""),45625.66666666667)</f>
        <v>45625.66667</v>
      </c>
      <c r="B1189" s="2">
        <f>IFERROR(__xludf.DUMMYFUNCTION("""COMPUTED_VALUE"""),256.0)</f>
        <v>256</v>
      </c>
      <c r="C1189" s="2">
        <f>IFERROR(__xludf.DUMMYFUNCTION("""COMPUTED_VALUE"""),260.0)</f>
        <v>260</v>
      </c>
      <c r="D1189" s="2">
        <f>IFERROR(__xludf.DUMMYFUNCTION("""COMPUTED_VALUE"""),250.0)</f>
        <v>250</v>
      </c>
      <c r="E1189" s="2">
        <f>IFERROR(__xludf.DUMMYFUNCTION("""COMPUTED_VALUE"""),254.0)</f>
        <v>254</v>
      </c>
      <c r="F1189" s="2">
        <f>IFERROR(__xludf.DUMMYFUNCTION("""COMPUTED_VALUE"""),8386500.0)</f>
        <v>8386500</v>
      </c>
      <c r="G1189" s="2">
        <f t="shared" si="1"/>
        <v>10</v>
      </c>
    </row>
    <row r="1190" ht="15.75" customHeight="1">
      <c r="A1190" s="1">
        <f>IFERROR(__xludf.DUMMYFUNCTION("""COMPUTED_VALUE"""),45628.66666666667)</f>
        <v>45628.66667</v>
      </c>
      <c r="B1190" s="2">
        <f>IFERROR(__xludf.DUMMYFUNCTION("""COMPUTED_VALUE"""),254.0)</f>
        <v>254</v>
      </c>
      <c r="C1190" s="2">
        <f>IFERROR(__xludf.DUMMYFUNCTION("""COMPUTED_VALUE"""),256.0)</f>
        <v>256</v>
      </c>
      <c r="D1190" s="2">
        <f>IFERROR(__xludf.DUMMYFUNCTION("""COMPUTED_VALUE"""),244.0)</f>
        <v>244</v>
      </c>
      <c r="E1190" s="2">
        <f>IFERROR(__xludf.DUMMYFUNCTION("""COMPUTED_VALUE"""),250.0)</f>
        <v>250</v>
      </c>
      <c r="F1190" s="2">
        <f>IFERROR(__xludf.DUMMYFUNCTION("""COMPUTED_VALUE"""),1.16547E7)</f>
        <v>11654700</v>
      </c>
      <c r="G1190" s="2">
        <f t="shared" si="1"/>
        <v>12</v>
      </c>
    </row>
    <row r="1191" ht="15.75" customHeight="1">
      <c r="A1191" s="1">
        <f>IFERROR(__xludf.DUMMYFUNCTION("""COMPUTED_VALUE"""),45629.66666666667)</f>
        <v>45629.66667</v>
      </c>
      <c r="B1191" s="2">
        <f>IFERROR(__xludf.DUMMYFUNCTION("""COMPUTED_VALUE"""),250.0)</f>
        <v>250</v>
      </c>
      <c r="C1191" s="2">
        <f>IFERROR(__xludf.DUMMYFUNCTION("""COMPUTED_VALUE"""),254.0)</f>
        <v>254</v>
      </c>
      <c r="D1191" s="2">
        <f>IFERROR(__xludf.DUMMYFUNCTION("""COMPUTED_VALUE"""),246.0)</f>
        <v>246</v>
      </c>
      <c r="E1191" s="2">
        <f>IFERROR(__xludf.DUMMYFUNCTION("""COMPUTED_VALUE"""),250.0)</f>
        <v>250</v>
      </c>
      <c r="F1191" s="2">
        <f>IFERROR(__xludf.DUMMYFUNCTION("""COMPUTED_VALUE"""),7461100.0)</f>
        <v>7461100</v>
      </c>
      <c r="G1191" s="2">
        <f t="shared" si="1"/>
        <v>8</v>
      </c>
    </row>
    <row r="1192" ht="15.75" customHeight="1">
      <c r="A1192" s="1">
        <f>IFERROR(__xludf.DUMMYFUNCTION("""COMPUTED_VALUE"""),45630.66666666667)</f>
        <v>45630.66667</v>
      </c>
      <c r="B1192" s="2">
        <f>IFERROR(__xludf.DUMMYFUNCTION("""COMPUTED_VALUE"""),250.0)</f>
        <v>250</v>
      </c>
      <c r="C1192" s="2">
        <f>IFERROR(__xludf.DUMMYFUNCTION("""COMPUTED_VALUE"""),258.0)</f>
        <v>258</v>
      </c>
      <c r="D1192" s="2">
        <f>IFERROR(__xludf.DUMMYFUNCTION("""COMPUTED_VALUE"""),250.0)</f>
        <v>250</v>
      </c>
      <c r="E1192" s="2">
        <f>IFERROR(__xludf.DUMMYFUNCTION("""COMPUTED_VALUE"""),258.0)</f>
        <v>258</v>
      </c>
      <c r="F1192" s="2">
        <f>IFERROR(__xludf.DUMMYFUNCTION("""COMPUTED_VALUE"""),8714800.0)</f>
        <v>8714800</v>
      </c>
      <c r="G1192" s="2">
        <f t="shared" si="1"/>
        <v>8</v>
      </c>
    </row>
    <row r="1193" ht="15.75" customHeight="1">
      <c r="A1193" s="1">
        <f>IFERROR(__xludf.DUMMYFUNCTION("""COMPUTED_VALUE"""),45631.66666666667)</f>
        <v>45631.66667</v>
      </c>
      <c r="B1193" s="2">
        <f>IFERROR(__xludf.DUMMYFUNCTION("""COMPUTED_VALUE"""),258.0)</f>
        <v>258</v>
      </c>
      <c r="C1193" s="2">
        <f>IFERROR(__xludf.DUMMYFUNCTION("""COMPUTED_VALUE"""),258.0)</f>
        <v>258</v>
      </c>
      <c r="D1193" s="2">
        <f>IFERROR(__xludf.DUMMYFUNCTION("""COMPUTED_VALUE"""),250.0)</f>
        <v>250</v>
      </c>
      <c r="E1193" s="2">
        <f>IFERROR(__xludf.DUMMYFUNCTION("""COMPUTED_VALUE"""),254.0)</f>
        <v>254</v>
      </c>
      <c r="F1193" s="2">
        <f>IFERROR(__xludf.DUMMYFUNCTION("""COMPUTED_VALUE"""),4041100.0)</f>
        <v>4041100</v>
      </c>
      <c r="G1193" s="2">
        <f t="shared" si="1"/>
        <v>8</v>
      </c>
    </row>
    <row r="1194" ht="15.75" customHeight="1">
      <c r="A1194" s="1">
        <f>IFERROR(__xludf.DUMMYFUNCTION("""COMPUTED_VALUE"""),45632.66666666667)</f>
        <v>45632.66667</v>
      </c>
      <c r="B1194" s="2">
        <f>IFERROR(__xludf.DUMMYFUNCTION("""COMPUTED_VALUE"""),254.0)</f>
        <v>254</v>
      </c>
      <c r="C1194" s="2">
        <f>IFERROR(__xludf.DUMMYFUNCTION("""COMPUTED_VALUE"""),256.0)</f>
        <v>256</v>
      </c>
      <c r="D1194" s="2">
        <f>IFERROR(__xludf.DUMMYFUNCTION("""COMPUTED_VALUE"""),248.0)</f>
        <v>248</v>
      </c>
      <c r="E1194" s="2">
        <f>IFERROR(__xludf.DUMMYFUNCTION("""COMPUTED_VALUE"""),250.0)</f>
        <v>250</v>
      </c>
      <c r="F1194" s="2">
        <f>IFERROR(__xludf.DUMMYFUNCTION("""COMPUTED_VALUE"""),3642200.0)</f>
        <v>3642200</v>
      </c>
      <c r="G1194" s="2">
        <f t="shared" si="1"/>
        <v>8</v>
      </c>
    </row>
    <row r="1195" ht="15.75" customHeight="1">
      <c r="A1195" s="1">
        <f>IFERROR(__xludf.DUMMYFUNCTION("""COMPUTED_VALUE"""),45635.66666666667)</f>
        <v>45635.66667</v>
      </c>
      <c r="B1195" s="2">
        <f>IFERROR(__xludf.DUMMYFUNCTION("""COMPUTED_VALUE"""),250.0)</f>
        <v>250</v>
      </c>
      <c r="C1195" s="2">
        <f>IFERROR(__xludf.DUMMYFUNCTION("""COMPUTED_VALUE"""),260.0)</f>
        <v>260</v>
      </c>
      <c r="D1195" s="2">
        <f>IFERROR(__xludf.DUMMYFUNCTION("""COMPUTED_VALUE"""),248.0)</f>
        <v>248</v>
      </c>
      <c r="E1195" s="2">
        <f>IFERROR(__xludf.DUMMYFUNCTION("""COMPUTED_VALUE"""),260.0)</f>
        <v>260</v>
      </c>
      <c r="F1195" s="2">
        <f>IFERROR(__xludf.DUMMYFUNCTION("""COMPUTED_VALUE"""),1.08633E7)</f>
        <v>10863300</v>
      </c>
      <c r="G1195" s="2">
        <f t="shared" si="1"/>
        <v>12</v>
      </c>
    </row>
    <row r="1196" ht="15.75" customHeight="1">
      <c r="A1196" s="1">
        <f>IFERROR(__xludf.DUMMYFUNCTION("""COMPUTED_VALUE"""),45636.66666666667)</f>
        <v>45636.66667</v>
      </c>
      <c r="B1196" s="2">
        <f>IFERROR(__xludf.DUMMYFUNCTION("""COMPUTED_VALUE"""),262.0)</f>
        <v>262</v>
      </c>
      <c r="C1196" s="2">
        <f>IFERROR(__xludf.DUMMYFUNCTION("""COMPUTED_VALUE"""),266.0)</f>
        <v>266</v>
      </c>
      <c r="D1196" s="2">
        <f>IFERROR(__xludf.DUMMYFUNCTION("""COMPUTED_VALUE"""),260.0)</f>
        <v>260</v>
      </c>
      <c r="E1196" s="2">
        <f>IFERROR(__xludf.DUMMYFUNCTION("""COMPUTED_VALUE"""),262.0)</f>
        <v>262</v>
      </c>
      <c r="F1196" s="2">
        <f>IFERROR(__xludf.DUMMYFUNCTION("""COMPUTED_VALUE"""),7534100.0)</f>
        <v>7534100</v>
      </c>
      <c r="G1196" s="2">
        <f t="shared" si="1"/>
        <v>6</v>
      </c>
    </row>
    <row r="1197" ht="15.75" customHeight="1">
      <c r="A1197" s="1">
        <f>IFERROR(__xludf.DUMMYFUNCTION("""COMPUTED_VALUE"""),45637.66666666667)</f>
        <v>45637.66667</v>
      </c>
      <c r="B1197" s="2">
        <f>IFERROR(__xludf.DUMMYFUNCTION("""COMPUTED_VALUE"""),262.0)</f>
        <v>262</v>
      </c>
      <c r="C1197" s="2">
        <f>IFERROR(__xludf.DUMMYFUNCTION("""COMPUTED_VALUE"""),268.0)</f>
        <v>268</v>
      </c>
      <c r="D1197" s="2">
        <f>IFERROR(__xludf.DUMMYFUNCTION("""COMPUTED_VALUE"""),260.0)</f>
        <v>260</v>
      </c>
      <c r="E1197" s="2">
        <f>IFERROR(__xludf.DUMMYFUNCTION("""COMPUTED_VALUE"""),262.0)</f>
        <v>262</v>
      </c>
      <c r="F1197" s="2">
        <f>IFERROR(__xludf.DUMMYFUNCTION("""COMPUTED_VALUE"""),1.03903E7)</f>
        <v>10390300</v>
      </c>
      <c r="G1197" s="2">
        <f t="shared" si="1"/>
        <v>8</v>
      </c>
    </row>
    <row r="1198" ht="15.75" customHeight="1">
      <c r="A1198" s="1">
        <f>IFERROR(__xludf.DUMMYFUNCTION("""COMPUTED_VALUE"""),45638.66666666667)</f>
        <v>45638.66667</v>
      </c>
      <c r="B1198" s="2">
        <f>IFERROR(__xludf.DUMMYFUNCTION("""COMPUTED_VALUE"""),262.0)</f>
        <v>262</v>
      </c>
      <c r="C1198" s="2">
        <f>IFERROR(__xludf.DUMMYFUNCTION("""COMPUTED_VALUE"""),266.0)</f>
        <v>266</v>
      </c>
      <c r="D1198" s="2">
        <f>IFERROR(__xludf.DUMMYFUNCTION("""COMPUTED_VALUE"""),256.0)</f>
        <v>256</v>
      </c>
      <c r="E1198" s="2">
        <f>IFERROR(__xludf.DUMMYFUNCTION("""COMPUTED_VALUE"""),258.0)</f>
        <v>258</v>
      </c>
      <c r="F1198" s="2">
        <f>IFERROR(__xludf.DUMMYFUNCTION("""COMPUTED_VALUE"""),4674900.0)</f>
        <v>4674900</v>
      </c>
      <c r="G1198" s="2">
        <f t="shared" si="1"/>
        <v>10</v>
      </c>
    </row>
    <row r="1199" ht="15.75" customHeight="1">
      <c r="A1199" s="1">
        <f>IFERROR(__xludf.DUMMYFUNCTION("""COMPUTED_VALUE"""),45639.66666666667)</f>
        <v>45639.66667</v>
      </c>
      <c r="B1199" s="2">
        <f>IFERROR(__xludf.DUMMYFUNCTION("""COMPUTED_VALUE"""),258.0)</f>
        <v>258</v>
      </c>
      <c r="C1199" s="2">
        <f>IFERROR(__xludf.DUMMYFUNCTION("""COMPUTED_VALUE"""),258.0)</f>
        <v>258</v>
      </c>
      <c r="D1199" s="2">
        <f>IFERROR(__xludf.DUMMYFUNCTION("""COMPUTED_VALUE"""),252.0)</f>
        <v>252</v>
      </c>
      <c r="E1199" s="2">
        <f>IFERROR(__xludf.DUMMYFUNCTION("""COMPUTED_VALUE"""),254.0)</f>
        <v>254</v>
      </c>
      <c r="F1199" s="2">
        <f>IFERROR(__xludf.DUMMYFUNCTION("""COMPUTED_VALUE"""),2776700.0)</f>
        <v>2776700</v>
      </c>
      <c r="G1199" s="2">
        <f t="shared" si="1"/>
        <v>6</v>
      </c>
    </row>
    <row r="1200" ht="15.75" customHeight="1">
      <c r="A1200" s="1">
        <f>IFERROR(__xludf.DUMMYFUNCTION("""COMPUTED_VALUE"""),45642.66666666667)</f>
        <v>45642.66667</v>
      </c>
      <c r="B1200" s="2">
        <f>IFERROR(__xludf.DUMMYFUNCTION("""COMPUTED_VALUE"""),254.0)</f>
        <v>254</v>
      </c>
      <c r="C1200" s="2">
        <f>IFERROR(__xludf.DUMMYFUNCTION("""COMPUTED_VALUE"""),254.0)</f>
        <v>254</v>
      </c>
      <c r="D1200" s="2">
        <f>IFERROR(__xludf.DUMMYFUNCTION("""COMPUTED_VALUE"""),248.0)</f>
        <v>248</v>
      </c>
      <c r="E1200" s="2">
        <f>IFERROR(__xludf.DUMMYFUNCTION("""COMPUTED_VALUE"""),250.0)</f>
        <v>250</v>
      </c>
      <c r="F1200" s="2">
        <f>IFERROR(__xludf.DUMMYFUNCTION("""COMPUTED_VALUE"""),3807000.0)</f>
        <v>3807000</v>
      </c>
      <c r="G1200" s="2">
        <f t="shared" si="1"/>
        <v>6</v>
      </c>
    </row>
    <row r="1201" ht="15.75" customHeight="1">
      <c r="A1201" s="1">
        <f>IFERROR(__xludf.DUMMYFUNCTION("""COMPUTED_VALUE"""),45643.66666666667)</f>
        <v>45643.66667</v>
      </c>
      <c r="B1201" s="2">
        <f>IFERROR(__xludf.DUMMYFUNCTION("""COMPUTED_VALUE"""),250.0)</f>
        <v>250</v>
      </c>
      <c r="C1201" s="2">
        <f>IFERROR(__xludf.DUMMYFUNCTION("""COMPUTED_VALUE"""),250.0)</f>
        <v>250</v>
      </c>
      <c r="D1201" s="2">
        <f>IFERROR(__xludf.DUMMYFUNCTION("""COMPUTED_VALUE"""),242.0)</f>
        <v>242</v>
      </c>
      <c r="E1201" s="2">
        <f>IFERROR(__xludf.DUMMYFUNCTION("""COMPUTED_VALUE"""),242.0)</f>
        <v>242</v>
      </c>
      <c r="F1201" s="2">
        <f>IFERROR(__xludf.DUMMYFUNCTION("""COMPUTED_VALUE"""),1.00274E7)</f>
        <v>10027400</v>
      </c>
      <c r="G1201" s="2">
        <f t="shared" si="1"/>
        <v>8</v>
      </c>
    </row>
    <row r="1202" ht="15.75" customHeight="1">
      <c r="A1202" s="1">
        <f>IFERROR(__xludf.DUMMYFUNCTION("""COMPUTED_VALUE"""),45644.66666666667)</f>
        <v>45644.66667</v>
      </c>
      <c r="B1202" s="2">
        <f>IFERROR(__xludf.DUMMYFUNCTION("""COMPUTED_VALUE"""),244.0)</f>
        <v>244</v>
      </c>
      <c r="C1202" s="2">
        <f>IFERROR(__xludf.DUMMYFUNCTION("""COMPUTED_VALUE"""),246.0)</f>
        <v>246</v>
      </c>
      <c r="D1202" s="2">
        <f>IFERROR(__xludf.DUMMYFUNCTION("""COMPUTED_VALUE"""),234.0)</f>
        <v>234</v>
      </c>
      <c r="E1202" s="2">
        <f>IFERROR(__xludf.DUMMYFUNCTION("""COMPUTED_VALUE"""),236.0)</f>
        <v>236</v>
      </c>
      <c r="F1202" s="2">
        <f>IFERROR(__xludf.DUMMYFUNCTION("""COMPUTED_VALUE"""),6755900.0)</f>
        <v>6755900</v>
      </c>
      <c r="G1202" s="2">
        <f t="shared" si="1"/>
        <v>12</v>
      </c>
    </row>
    <row r="1203" ht="15.75" customHeight="1">
      <c r="A1203" s="1">
        <f>IFERROR(__xludf.DUMMYFUNCTION("""COMPUTED_VALUE"""),45645.66666666667)</f>
        <v>45645.66667</v>
      </c>
      <c r="B1203" s="2">
        <f>IFERROR(__xludf.DUMMYFUNCTION("""COMPUTED_VALUE"""),236.0)</f>
        <v>236</v>
      </c>
      <c r="C1203" s="2">
        <f>IFERROR(__xludf.DUMMYFUNCTION("""COMPUTED_VALUE"""),238.0)</f>
        <v>238</v>
      </c>
      <c r="D1203" s="2">
        <f>IFERROR(__xludf.DUMMYFUNCTION("""COMPUTED_VALUE"""),218.0)</f>
        <v>218</v>
      </c>
      <c r="E1203" s="2">
        <f>IFERROR(__xludf.DUMMYFUNCTION("""COMPUTED_VALUE"""),222.0)</f>
        <v>222</v>
      </c>
      <c r="F1203" s="2">
        <f>IFERROR(__xludf.DUMMYFUNCTION("""COMPUTED_VALUE"""),1.13035E7)</f>
        <v>11303500</v>
      </c>
      <c r="G1203" s="2">
        <f t="shared" si="1"/>
        <v>20</v>
      </c>
    </row>
    <row r="1204" ht="15.75" customHeight="1">
      <c r="A1204" s="1">
        <f>IFERROR(__xludf.DUMMYFUNCTION("""COMPUTED_VALUE"""),45646.66666666667)</f>
        <v>45646.66667</v>
      </c>
      <c r="B1204" s="2">
        <f>IFERROR(__xludf.DUMMYFUNCTION("""COMPUTED_VALUE"""),222.0)</f>
        <v>222</v>
      </c>
      <c r="C1204" s="2">
        <f>IFERROR(__xludf.DUMMYFUNCTION("""COMPUTED_VALUE"""),226.0)</f>
        <v>226</v>
      </c>
      <c r="D1204" s="2">
        <f>IFERROR(__xludf.DUMMYFUNCTION("""COMPUTED_VALUE"""),220.0)</f>
        <v>220</v>
      </c>
      <c r="E1204" s="2">
        <f>IFERROR(__xludf.DUMMYFUNCTION("""COMPUTED_VALUE"""),220.0)</f>
        <v>220</v>
      </c>
      <c r="F1204" s="2">
        <f>IFERROR(__xludf.DUMMYFUNCTION("""COMPUTED_VALUE"""),5391800.0)</f>
        <v>5391800</v>
      </c>
      <c r="G1204" s="2">
        <f t="shared" si="1"/>
        <v>6</v>
      </c>
    </row>
    <row r="1205" ht="15.75" customHeight="1">
      <c r="A1205" s="1">
        <f>IFERROR(__xludf.DUMMYFUNCTION("""COMPUTED_VALUE"""),45649.66666666667)</f>
        <v>45649.66667</v>
      </c>
      <c r="B1205" s="2">
        <f>IFERROR(__xludf.DUMMYFUNCTION("""COMPUTED_VALUE"""),220.0)</f>
        <v>220</v>
      </c>
      <c r="C1205" s="2">
        <f>IFERROR(__xludf.DUMMYFUNCTION("""COMPUTED_VALUE"""),226.0)</f>
        <v>226</v>
      </c>
      <c r="D1205" s="2">
        <f>IFERROR(__xludf.DUMMYFUNCTION("""COMPUTED_VALUE"""),216.0)</f>
        <v>216</v>
      </c>
      <c r="E1205" s="2">
        <f>IFERROR(__xludf.DUMMYFUNCTION("""COMPUTED_VALUE"""),220.0)</f>
        <v>220</v>
      </c>
      <c r="F1205" s="2">
        <f>IFERROR(__xludf.DUMMYFUNCTION("""COMPUTED_VALUE"""),4978000.0)</f>
        <v>4978000</v>
      </c>
      <c r="G1205" s="2">
        <f t="shared" si="1"/>
        <v>10</v>
      </c>
    </row>
    <row r="1206" ht="15.75" customHeight="1">
      <c r="A1206" s="1">
        <f>IFERROR(__xludf.DUMMYFUNCTION("""COMPUTED_VALUE"""),45650.66666666667)</f>
        <v>45650.66667</v>
      </c>
      <c r="B1206" s="2">
        <f>IFERROR(__xludf.DUMMYFUNCTION("""COMPUTED_VALUE"""),220.0)</f>
        <v>220</v>
      </c>
      <c r="C1206" s="2">
        <f>IFERROR(__xludf.DUMMYFUNCTION("""COMPUTED_VALUE"""),222.0)</f>
        <v>222</v>
      </c>
      <c r="D1206" s="2">
        <f>IFERROR(__xludf.DUMMYFUNCTION("""COMPUTED_VALUE"""),216.0)</f>
        <v>216</v>
      </c>
      <c r="E1206" s="2">
        <f>IFERROR(__xludf.DUMMYFUNCTION("""COMPUTED_VALUE"""),216.0)</f>
        <v>216</v>
      </c>
      <c r="F1206" s="2">
        <f>IFERROR(__xludf.DUMMYFUNCTION("""COMPUTED_VALUE"""),4687000.0)</f>
        <v>4687000</v>
      </c>
      <c r="G1206" s="2">
        <f t="shared" si="1"/>
        <v>6</v>
      </c>
    </row>
    <row r="1207" ht="15.75" customHeight="1">
      <c r="A1207" s="1">
        <f>IFERROR(__xludf.DUMMYFUNCTION("""COMPUTED_VALUE"""),45653.66666666667)</f>
        <v>45653.66667</v>
      </c>
      <c r="B1207" s="2">
        <f>IFERROR(__xludf.DUMMYFUNCTION("""COMPUTED_VALUE"""),216.0)</f>
        <v>216</v>
      </c>
      <c r="C1207" s="2">
        <f>IFERROR(__xludf.DUMMYFUNCTION("""COMPUTED_VALUE"""),220.0)</f>
        <v>220</v>
      </c>
      <c r="D1207" s="2">
        <f>IFERROR(__xludf.DUMMYFUNCTION("""COMPUTED_VALUE"""),212.0)</f>
        <v>212</v>
      </c>
      <c r="E1207" s="2">
        <f>IFERROR(__xludf.DUMMYFUNCTION("""COMPUTED_VALUE"""),214.0)</f>
        <v>214</v>
      </c>
      <c r="F1207" s="2">
        <f>IFERROR(__xludf.DUMMYFUNCTION("""COMPUTED_VALUE"""),8887700.0)</f>
        <v>8887700</v>
      </c>
      <c r="G1207" s="2">
        <f t="shared" si="1"/>
        <v>8</v>
      </c>
    </row>
    <row r="1208" ht="15.75" customHeight="1">
      <c r="A1208" s="1">
        <f>IFERROR(__xludf.DUMMYFUNCTION("""COMPUTED_VALUE"""),45656.66666666667)</f>
        <v>45656.66667</v>
      </c>
      <c r="B1208" s="2">
        <f>IFERROR(__xludf.DUMMYFUNCTION("""COMPUTED_VALUE"""),216.0)</f>
        <v>216</v>
      </c>
      <c r="C1208" s="2">
        <f>IFERROR(__xludf.DUMMYFUNCTION("""COMPUTED_VALUE"""),216.0)</f>
        <v>216</v>
      </c>
      <c r="D1208" s="2">
        <f>IFERROR(__xludf.DUMMYFUNCTION("""COMPUTED_VALUE"""),208.0)</f>
        <v>208</v>
      </c>
      <c r="E1208" s="2">
        <f>IFERROR(__xludf.DUMMYFUNCTION("""COMPUTED_VALUE"""),212.0)</f>
        <v>212</v>
      </c>
      <c r="F1208" s="2">
        <f>IFERROR(__xludf.DUMMYFUNCTION("""COMPUTED_VALUE"""),5379500.0)</f>
        <v>5379500</v>
      </c>
      <c r="G1208" s="2">
        <f t="shared" si="1"/>
        <v>8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7" width="12.63"/>
  </cols>
  <sheetData>
    <row r="1" ht="15.75" customHeight="1">
      <c r="A1" s="1" t="str">
        <f>IFERROR(__xludf.DUMMYFUNCTION("GOOGLEFINANCE(""IDX:AGRO"", ""all"", DATE(2020,1,1), DATE(2025,1,1), ""DAILY"")
"),"Date")</f>
        <v>Date</v>
      </c>
      <c r="B1" s="2" t="str">
        <f>IFERROR(__xludf.DUMMYFUNCTION("""COMPUTED_VALUE"""),"Open")</f>
        <v>Open</v>
      </c>
      <c r="C1" s="2" t="str">
        <f>IFERROR(__xludf.DUMMYFUNCTION("""COMPUTED_VALUE"""),"High")</f>
        <v>High</v>
      </c>
      <c r="D1" s="2" t="str">
        <f>IFERROR(__xludf.DUMMYFUNCTION("""COMPUTED_VALUE"""),"Low")</f>
        <v>Low</v>
      </c>
      <c r="E1" s="2" t="str">
        <f>IFERROR(__xludf.DUMMYFUNCTION("""COMPUTED_VALUE"""),"Close")</f>
        <v>Close</v>
      </c>
      <c r="F1" s="2" t="str">
        <f>IFERROR(__xludf.DUMMYFUNCTION("""COMPUTED_VALUE"""),"Volume")</f>
        <v>Volume</v>
      </c>
      <c r="G1" s="3" t="s">
        <v>0</v>
      </c>
    </row>
    <row r="2" ht="15.75" customHeight="1">
      <c r="A2" s="1">
        <f>IFERROR(__xludf.DUMMYFUNCTION("""COMPUTED_VALUE"""),43832.66666666667)</f>
        <v>43832.66667</v>
      </c>
      <c r="B2" s="2">
        <f>IFERROR(__xludf.DUMMYFUNCTION("""COMPUTED_VALUE"""),203.72)</f>
        <v>203.72</v>
      </c>
      <c r="C2" s="2">
        <f>IFERROR(__xludf.DUMMYFUNCTION("""COMPUTED_VALUE"""),208.83)</f>
        <v>208.83</v>
      </c>
      <c r="D2" s="2">
        <f>IFERROR(__xludf.DUMMYFUNCTION("""COMPUTED_VALUE"""),201.67)</f>
        <v>201.67</v>
      </c>
      <c r="E2" s="2">
        <f>IFERROR(__xludf.DUMMYFUNCTION("""COMPUTED_VALUE"""),201.67)</f>
        <v>201.67</v>
      </c>
      <c r="F2" s="2">
        <f>IFERROR(__xludf.DUMMYFUNCTION("""COMPUTED_VALUE"""),2467200.0)</f>
        <v>2467200</v>
      </c>
      <c r="G2" s="2"/>
    </row>
    <row r="3" ht="15.75" customHeight="1">
      <c r="A3" s="1">
        <f>IFERROR(__xludf.DUMMYFUNCTION("""COMPUTED_VALUE"""),43833.66666666667)</f>
        <v>43833.66667</v>
      </c>
      <c r="B3" s="2">
        <f>IFERROR(__xludf.DUMMYFUNCTION("""COMPUTED_VALUE"""),201.67)</f>
        <v>201.67</v>
      </c>
      <c r="C3" s="2">
        <f>IFERROR(__xludf.DUMMYFUNCTION("""COMPUTED_VALUE"""),210.88)</f>
        <v>210.88</v>
      </c>
      <c r="D3" s="2">
        <f>IFERROR(__xludf.DUMMYFUNCTION("""COMPUTED_VALUE"""),198.6)</f>
        <v>198.6</v>
      </c>
      <c r="E3" s="2">
        <f>IFERROR(__xludf.DUMMYFUNCTION("""COMPUTED_VALUE"""),203.72)</f>
        <v>203.72</v>
      </c>
      <c r="F3" s="2">
        <f>IFERROR(__xludf.DUMMYFUNCTION("""COMPUTED_VALUE"""),4323900.0)</f>
        <v>4323900</v>
      </c>
      <c r="G3" s="2">
        <f t="shared" ref="G3:G1205" si="1">MAX(C3-D3, ABS(C3-E2), ABS(D3-E2))</f>
        <v>12.28</v>
      </c>
    </row>
    <row r="4" ht="15.75" customHeight="1">
      <c r="A4" s="1">
        <f>IFERROR(__xludf.DUMMYFUNCTION("""COMPUTED_VALUE"""),43836.66666666667)</f>
        <v>43836.66667</v>
      </c>
      <c r="B4" s="2">
        <f>IFERROR(__xludf.DUMMYFUNCTION("""COMPUTED_VALUE"""),203.72)</f>
        <v>203.72</v>
      </c>
      <c r="C4" s="2">
        <f>IFERROR(__xludf.DUMMYFUNCTION("""COMPUTED_VALUE"""),206.79)</f>
        <v>206.79</v>
      </c>
      <c r="D4" s="2">
        <f>IFERROR(__xludf.DUMMYFUNCTION("""COMPUTED_VALUE"""),200.64)</f>
        <v>200.64</v>
      </c>
      <c r="E4" s="2">
        <f>IFERROR(__xludf.DUMMYFUNCTION("""COMPUTED_VALUE"""),200.64)</f>
        <v>200.64</v>
      </c>
      <c r="F4" s="2">
        <f>IFERROR(__xludf.DUMMYFUNCTION("""COMPUTED_VALUE"""),2285000.0)</f>
        <v>2285000</v>
      </c>
      <c r="G4" s="2">
        <f t="shared" si="1"/>
        <v>6.15</v>
      </c>
    </row>
    <row r="5" ht="15.75" customHeight="1">
      <c r="A5" s="1">
        <f>IFERROR(__xludf.DUMMYFUNCTION("""COMPUTED_VALUE"""),43837.66666666667)</f>
        <v>43837.66667</v>
      </c>
      <c r="B5" s="2">
        <f>IFERROR(__xludf.DUMMYFUNCTION("""COMPUTED_VALUE"""),200.64)</f>
        <v>200.64</v>
      </c>
      <c r="C5" s="2">
        <f>IFERROR(__xludf.DUMMYFUNCTION("""COMPUTED_VALUE"""),203.72)</f>
        <v>203.72</v>
      </c>
      <c r="D5" s="2">
        <f>IFERROR(__xludf.DUMMYFUNCTION("""COMPUTED_VALUE"""),200.64)</f>
        <v>200.64</v>
      </c>
      <c r="E5" s="2">
        <f>IFERROR(__xludf.DUMMYFUNCTION("""COMPUTED_VALUE"""),203.72)</f>
        <v>203.72</v>
      </c>
      <c r="F5" s="2">
        <f>IFERROR(__xludf.DUMMYFUNCTION("""COMPUTED_VALUE"""),1191700.0)</f>
        <v>1191700</v>
      </c>
      <c r="G5" s="2">
        <f t="shared" si="1"/>
        <v>3.08</v>
      </c>
    </row>
    <row r="6" ht="15.75" customHeight="1">
      <c r="A6" s="1">
        <f>IFERROR(__xludf.DUMMYFUNCTION("""COMPUTED_VALUE"""),43838.66666666667)</f>
        <v>43838.66667</v>
      </c>
      <c r="B6" s="2">
        <f>IFERROR(__xludf.DUMMYFUNCTION("""COMPUTED_VALUE"""),201.67)</f>
        <v>201.67</v>
      </c>
      <c r="C6" s="2">
        <f>IFERROR(__xludf.DUMMYFUNCTION("""COMPUTED_VALUE"""),206.79)</f>
        <v>206.79</v>
      </c>
      <c r="D6" s="2">
        <f>IFERROR(__xludf.DUMMYFUNCTION("""COMPUTED_VALUE"""),195.53)</f>
        <v>195.53</v>
      </c>
      <c r="E6" s="2">
        <f>IFERROR(__xludf.DUMMYFUNCTION("""COMPUTED_VALUE"""),196.55)</f>
        <v>196.55</v>
      </c>
      <c r="F6" s="2">
        <f>IFERROR(__xludf.DUMMYFUNCTION("""COMPUTED_VALUE"""),5405200.0)</f>
        <v>5405200</v>
      </c>
      <c r="G6" s="2">
        <f t="shared" si="1"/>
        <v>11.26</v>
      </c>
    </row>
    <row r="7" ht="15.75" customHeight="1">
      <c r="A7" s="1">
        <f>IFERROR(__xludf.DUMMYFUNCTION("""COMPUTED_VALUE"""),43839.66666666667)</f>
        <v>43839.66667</v>
      </c>
      <c r="B7" s="2">
        <f>IFERROR(__xludf.DUMMYFUNCTION("""COMPUTED_VALUE"""),199.62)</f>
        <v>199.62</v>
      </c>
      <c r="C7" s="2">
        <f>IFERROR(__xludf.DUMMYFUNCTION("""COMPUTED_VALUE"""),199.62)</f>
        <v>199.62</v>
      </c>
      <c r="D7" s="2">
        <f>IFERROR(__xludf.DUMMYFUNCTION("""COMPUTED_VALUE"""),192.46)</f>
        <v>192.46</v>
      </c>
      <c r="E7" s="2">
        <f>IFERROR(__xludf.DUMMYFUNCTION("""COMPUTED_VALUE"""),195.53)</f>
        <v>195.53</v>
      </c>
      <c r="F7" s="2">
        <f>IFERROR(__xludf.DUMMYFUNCTION("""COMPUTED_VALUE"""),6721800.0)</f>
        <v>6721800</v>
      </c>
      <c r="G7" s="2">
        <f t="shared" si="1"/>
        <v>7.16</v>
      </c>
    </row>
    <row r="8" ht="15.75" customHeight="1">
      <c r="A8" s="1">
        <f>IFERROR(__xludf.DUMMYFUNCTION("""COMPUTED_VALUE"""),43840.66666666667)</f>
        <v>43840.66667</v>
      </c>
      <c r="B8" s="2">
        <f>IFERROR(__xludf.DUMMYFUNCTION("""COMPUTED_VALUE"""),197.57)</f>
        <v>197.57</v>
      </c>
      <c r="C8" s="2">
        <f>IFERROR(__xludf.DUMMYFUNCTION("""COMPUTED_VALUE"""),199.62)</f>
        <v>199.62</v>
      </c>
      <c r="D8" s="2">
        <f>IFERROR(__xludf.DUMMYFUNCTION("""COMPUTED_VALUE"""),194.5)</f>
        <v>194.5</v>
      </c>
      <c r="E8" s="2">
        <f>IFERROR(__xludf.DUMMYFUNCTION("""COMPUTED_VALUE"""),195.53)</f>
        <v>195.53</v>
      </c>
      <c r="F8" s="2">
        <f>IFERROR(__xludf.DUMMYFUNCTION("""COMPUTED_VALUE"""),3290200.0)</f>
        <v>3290200</v>
      </c>
      <c r="G8" s="2">
        <f t="shared" si="1"/>
        <v>5.12</v>
      </c>
    </row>
    <row r="9" ht="15.75" customHeight="1">
      <c r="A9" s="1">
        <f>IFERROR(__xludf.DUMMYFUNCTION("""COMPUTED_VALUE"""),43843.66666666667)</f>
        <v>43843.66667</v>
      </c>
      <c r="B9" s="2">
        <f>IFERROR(__xludf.DUMMYFUNCTION("""COMPUTED_VALUE"""),195.53)</f>
        <v>195.53</v>
      </c>
      <c r="C9" s="2">
        <f>IFERROR(__xludf.DUMMYFUNCTION("""COMPUTED_VALUE"""),202.69)</f>
        <v>202.69</v>
      </c>
      <c r="D9" s="2">
        <f>IFERROR(__xludf.DUMMYFUNCTION("""COMPUTED_VALUE"""),195.53)</f>
        <v>195.53</v>
      </c>
      <c r="E9" s="2">
        <f>IFERROR(__xludf.DUMMYFUNCTION("""COMPUTED_VALUE"""),199.62)</f>
        <v>199.62</v>
      </c>
      <c r="F9" s="2">
        <f>IFERROR(__xludf.DUMMYFUNCTION("""COMPUTED_VALUE"""),4024900.0)</f>
        <v>4024900</v>
      </c>
      <c r="G9" s="2">
        <f t="shared" si="1"/>
        <v>7.16</v>
      </c>
    </row>
    <row r="10" ht="15.75" customHeight="1">
      <c r="A10" s="1">
        <f>IFERROR(__xludf.DUMMYFUNCTION("""COMPUTED_VALUE"""),43844.66666666667)</f>
        <v>43844.66667</v>
      </c>
      <c r="B10" s="2">
        <f>IFERROR(__xludf.DUMMYFUNCTION("""COMPUTED_VALUE"""),202.69)</f>
        <v>202.69</v>
      </c>
      <c r="C10" s="2">
        <f>IFERROR(__xludf.DUMMYFUNCTION("""COMPUTED_VALUE"""),206.79)</f>
        <v>206.79</v>
      </c>
      <c r="D10" s="2">
        <f>IFERROR(__xludf.DUMMYFUNCTION("""COMPUTED_VALUE"""),197.57)</f>
        <v>197.57</v>
      </c>
      <c r="E10" s="2">
        <f>IFERROR(__xludf.DUMMYFUNCTION("""COMPUTED_VALUE"""),197.57)</f>
        <v>197.57</v>
      </c>
      <c r="F10" s="2">
        <f>IFERROR(__xludf.DUMMYFUNCTION("""COMPUTED_VALUE"""),8618100.0)</f>
        <v>8618100</v>
      </c>
      <c r="G10" s="2">
        <f t="shared" si="1"/>
        <v>9.22</v>
      </c>
    </row>
    <row r="11" ht="15.75" customHeight="1">
      <c r="A11" s="1">
        <f>IFERROR(__xludf.DUMMYFUNCTION("""COMPUTED_VALUE"""),43845.66666666667)</f>
        <v>43845.66667</v>
      </c>
      <c r="B11" s="2">
        <f>IFERROR(__xludf.DUMMYFUNCTION("""COMPUTED_VALUE"""),199.62)</f>
        <v>199.62</v>
      </c>
      <c r="C11" s="2">
        <f>IFERROR(__xludf.DUMMYFUNCTION("""COMPUTED_VALUE"""),199.62)</f>
        <v>199.62</v>
      </c>
      <c r="D11" s="2">
        <f>IFERROR(__xludf.DUMMYFUNCTION("""COMPUTED_VALUE"""),193.48)</f>
        <v>193.48</v>
      </c>
      <c r="E11" s="2">
        <f>IFERROR(__xludf.DUMMYFUNCTION("""COMPUTED_VALUE"""),193.48)</f>
        <v>193.48</v>
      </c>
      <c r="F11" s="2">
        <f>IFERROR(__xludf.DUMMYFUNCTION("""COMPUTED_VALUE"""),3109000.0)</f>
        <v>3109000</v>
      </c>
      <c r="G11" s="2">
        <f t="shared" si="1"/>
        <v>6.14</v>
      </c>
    </row>
    <row r="12" ht="15.75" customHeight="1">
      <c r="A12" s="1">
        <f>IFERROR(__xludf.DUMMYFUNCTION("""COMPUTED_VALUE"""),43846.66666666667)</f>
        <v>43846.66667</v>
      </c>
      <c r="B12" s="2">
        <f>IFERROR(__xludf.DUMMYFUNCTION("""COMPUTED_VALUE"""),193.48)</f>
        <v>193.48</v>
      </c>
      <c r="C12" s="2">
        <f>IFERROR(__xludf.DUMMYFUNCTION("""COMPUTED_VALUE"""),195.53)</f>
        <v>195.53</v>
      </c>
      <c r="D12" s="2">
        <f>IFERROR(__xludf.DUMMYFUNCTION("""COMPUTED_VALUE"""),190.41)</f>
        <v>190.41</v>
      </c>
      <c r="E12" s="2">
        <f>IFERROR(__xludf.DUMMYFUNCTION("""COMPUTED_VALUE"""),190.41)</f>
        <v>190.41</v>
      </c>
      <c r="F12" s="2">
        <f>IFERROR(__xludf.DUMMYFUNCTION("""COMPUTED_VALUE"""),2286100.0)</f>
        <v>2286100</v>
      </c>
      <c r="G12" s="2">
        <f t="shared" si="1"/>
        <v>5.12</v>
      </c>
    </row>
    <row r="13" ht="15.75" customHeight="1">
      <c r="A13" s="1">
        <f>IFERROR(__xludf.DUMMYFUNCTION("""COMPUTED_VALUE"""),43847.66666666667)</f>
        <v>43847.66667</v>
      </c>
      <c r="B13" s="2">
        <f>IFERROR(__xludf.DUMMYFUNCTION("""COMPUTED_VALUE"""),190.41)</f>
        <v>190.41</v>
      </c>
      <c r="C13" s="2">
        <f>IFERROR(__xludf.DUMMYFUNCTION("""COMPUTED_VALUE"""),190.41)</f>
        <v>190.41</v>
      </c>
      <c r="D13" s="2">
        <f>IFERROR(__xludf.DUMMYFUNCTION("""COMPUTED_VALUE"""),186.31)</f>
        <v>186.31</v>
      </c>
      <c r="E13" s="2">
        <f>IFERROR(__xludf.DUMMYFUNCTION("""COMPUTED_VALUE"""),186.31)</f>
        <v>186.31</v>
      </c>
      <c r="F13" s="2">
        <f>IFERROR(__xludf.DUMMYFUNCTION("""COMPUTED_VALUE"""),2692900.0)</f>
        <v>2692900</v>
      </c>
      <c r="G13" s="2">
        <f t="shared" si="1"/>
        <v>4.1</v>
      </c>
    </row>
    <row r="14" ht="15.75" customHeight="1">
      <c r="A14" s="1">
        <f>IFERROR(__xludf.DUMMYFUNCTION("""COMPUTED_VALUE"""),43850.66666666667)</f>
        <v>43850.66667</v>
      </c>
      <c r="B14" s="2">
        <f>IFERROR(__xludf.DUMMYFUNCTION("""COMPUTED_VALUE"""),186.31)</f>
        <v>186.31</v>
      </c>
      <c r="C14" s="2">
        <f>IFERROR(__xludf.DUMMYFUNCTION("""COMPUTED_VALUE"""),188.36)</f>
        <v>188.36</v>
      </c>
      <c r="D14" s="2">
        <f>IFERROR(__xludf.DUMMYFUNCTION("""COMPUTED_VALUE"""),181.19)</f>
        <v>181.19</v>
      </c>
      <c r="E14" s="2">
        <f>IFERROR(__xludf.DUMMYFUNCTION("""COMPUTED_VALUE"""),181.19)</f>
        <v>181.19</v>
      </c>
      <c r="F14" s="2">
        <f>IFERROR(__xludf.DUMMYFUNCTION("""COMPUTED_VALUE"""),2253100.0)</f>
        <v>2253100</v>
      </c>
      <c r="G14" s="2">
        <f t="shared" si="1"/>
        <v>7.17</v>
      </c>
    </row>
    <row r="15" ht="15.75" customHeight="1">
      <c r="A15" s="1">
        <f>IFERROR(__xludf.DUMMYFUNCTION("""COMPUTED_VALUE"""),43851.66666666667)</f>
        <v>43851.66667</v>
      </c>
      <c r="B15" s="2">
        <f>IFERROR(__xludf.DUMMYFUNCTION("""COMPUTED_VALUE"""),181.19)</f>
        <v>181.19</v>
      </c>
      <c r="C15" s="2">
        <f>IFERROR(__xludf.DUMMYFUNCTION("""COMPUTED_VALUE"""),183.24)</f>
        <v>183.24</v>
      </c>
      <c r="D15" s="2">
        <f>IFERROR(__xludf.DUMMYFUNCTION("""COMPUTED_VALUE"""),177.1)</f>
        <v>177.1</v>
      </c>
      <c r="E15" s="2">
        <f>IFERROR(__xludf.DUMMYFUNCTION("""COMPUTED_VALUE"""),180.17)</f>
        <v>180.17</v>
      </c>
      <c r="F15" s="2">
        <f>IFERROR(__xludf.DUMMYFUNCTION("""COMPUTED_VALUE"""),1046800.0)</f>
        <v>1046800</v>
      </c>
      <c r="G15" s="2">
        <f t="shared" si="1"/>
        <v>6.14</v>
      </c>
    </row>
    <row r="16" ht="15.75" customHeight="1">
      <c r="A16" s="1">
        <f>IFERROR(__xludf.DUMMYFUNCTION("""COMPUTED_VALUE"""),43852.66666666667)</f>
        <v>43852.66667</v>
      </c>
      <c r="B16" s="2">
        <f>IFERROR(__xludf.DUMMYFUNCTION("""COMPUTED_VALUE"""),183.24)</f>
        <v>183.24</v>
      </c>
      <c r="C16" s="2">
        <f>IFERROR(__xludf.DUMMYFUNCTION("""COMPUTED_VALUE"""),183.24)</f>
        <v>183.24</v>
      </c>
      <c r="D16" s="2">
        <f>IFERROR(__xludf.DUMMYFUNCTION("""COMPUTED_VALUE"""),174.03)</f>
        <v>174.03</v>
      </c>
      <c r="E16" s="2">
        <f>IFERROR(__xludf.DUMMYFUNCTION("""COMPUTED_VALUE"""),174.03)</f>
        <v>174.03</v>
      </c>
      <c r="F16" s="2">
        <f>IFERROR(__xludf.DUMMYFUNCTION("""COMPUTED_VALUE"""),2738800.0)</f>
        <v>2738800</v>
      </c>
      <c r="G16" s="2">
        <f t="shared" si="1"/>
        <v>9.21</v>
      </c>
    </row>
    <row r="17" ht="15.75" customHeight="1">
      <c r="A17" s="1">
        <f>IFERROR(__xludf.DUMMYFUNCTION("""COMPUTED_VALUE"""),43853.66666666667)</f>
        <v>43853.66667</v>
      </c>
      <c r="B17" s="2">
        <f>IFERROR(__xludf.DUMMYFUNCTION("""COMPUTED_VALUE"""),176.08)</f>
        <v>176.08</v>
      </c>
      <c r="C17" s="2">
        <f>IFERROR(__xludf.DUMMYFUNCTION("""COMPUTED_VALUE"""),181.19)</f>
        <v>181.19</v>
      </c>
      <c r="D17" s="2">
        <f>IFERROR(__xludf.DUMMYFUNCTION("""COMPUTED_VALUE"""),167.89)</f>
        <v>167.89</v>
      </c>
      <c r="E17" s="2">
        <f>IFERROR(__xludf.DUMMYFUNCTION("""COMPUTED_VALUE"""),170.96)</f>
        <v>170.96</v>
      </c>
      <c r="F17" s="2">
        <f>IFERROR(__xludf.DUMMYFUNCTION("""COMPUTED_VALUE"""),1664200.0)</f>
        <v>1664200</v>
      </c>
      <c r="G17" s="2">
        <f t="shared" si="1"/>
        <v>13.3</v>
      </c>
    </row>
    <row r="18" ht="15.75" customHeight="1">
      <c r="A18" s="1">
        <f>IFERROR(__xludf.DUMMYFUNCTION("""COMPUTED_VALUE"""),43854.66666666667)</f>
        <v>43854.66667</v>
      </c>
      <c r="B18" s="2">
        <f>IFERROR(__xludf.DUMMYFUNCTION("""COMPUTED_VALUE"""),170.96)</f>
        <v>170.96</v>
      </c>
      <c r="C18" s="2">
        <f>IFERROR(__xludf.DUMMYFUNCTION("""COMPUTED_VALUE"""),176.08)</f>
        <v>176.08</v>
      </c>
      <c r="D18" s="2">
        <f>IFERROR(__xludf.DUMMYFUNCTION("""COMPUTED_VALUE"""),170.96)</f>
        <v>170.96</v>
      </c>
      <c r="E18" s="2">
        <f>IFERROR(__xludf.DUMMYFUNCTION("""COMPUTED_VALUE"""),171.98)</f>
        <v>171.98</v>
      </c>
      <c r="F18" s="2">
        <f>IFERROR(__xludf.DUMMYFUNCTION("""COMPUTED_VALUE"""),2099500.0)</f>
        <v>2099500</v>
      </c>
      <c r="G18" s="2">
        <f t="shared" si="1"/>
        <v>5.12</v>
      </c>
    </row>
    <row r="19" ht="15.75" customHeight="1">
      <c r="A19" s="1">
        <f>IFERROR(__xludf.DUMMYFUNCTION("""COMPUTED_VALUE"""),43857.66666666667)</f>
        <v>43857.66667</v>
      </c>
      <c r="B19" s="2">
        <f>IFERROR(__xludf.DUMMYFUNCTION("""COMPUTED_VALUE"""),171.98)</f>
        <v>171.98</v>
      </c>
      <c r="C19" s="2">
        <f>IFERROR(__xludf.DUMMYFUNCTION("""COMPUTED_VALUE"""),171.98)</f>
        <v>171.98</v>
      </c>
      <c r="D19" s="2">
        <f>IFERROR(__xludf.DUMMYFUNCTION("""COMPUTED_VALUE"""),160.72)</f>
        <v>160.72</v>
      </c>
      <c r="E19" s="2">
        <f>IFERROR(__xludf.DUMMYFUNCTION("""COMPUTED_VALUE"""),163.79)</f>
        <v>163.79</v>
      </c>
      <c r="F19" s="2">
        <f>IFERROR(__xludf.DUMMYFUNCTION("""COMPUTED_VALUE"""),2827200.0)</f>
        <v>2827200</v>
      </c>
      <c r="G19" s="2">
        <f t="shared" si="1"/>
        <v>11.26</v>
      </c>
    </row>
    <row r="20" ht="15.75" customHeight="1">
      <c r="A20" s="1">
        <f>IFERROR(__xludf.DUMMYFUNCTION("""COMPUTED_VALUE"""),43858.66666666667)</f>
        <v>43858.66667</v>
      </c>
      <c r="B20" s="2">
        <f>IFERROR(__xludf.DUMMYFUNCTION("""COMPUTED_VALUE"""),163.79)</f>
        <v>163.79</v>
      </c>
      <c r="C20" s="2">
        <f>IFERROR(__xludf.DUMMYFUNCTION("""COMPUTED_VALUE"""),165.84)</f>
        <v>165.84</v>
      </c>
      <c r="D20" s="2">
        <f>IFERROR(__xludf.DUMMYFUNCTION("""COMPUTED_VALUE"""),161.74)</f>
        <v>161.74</v>
      </c>
      <c r="E20" s="2">
        <f>IFERROR(__xludf.DUMMYFUNCTION("""COMPUTED_VALUE"""),162.77)</f>
        <v>162.77</v>
      </c>
      <c r="F20" s="2">
        <f>IFERROR(__xludf.DUMMYFUNCTION("""COMPUTED_VALUE"""),1692900.0)</f>
        <v>1692900</v>
      </c>
      <c r="G20" s="2">
        <f t="shared" si="1"/>
        <v>4.1</v>
      </c>
    </row>
    <row r="21" ht="15.75" customHeight="1">
      <c r="A21" s="1">
        <f>IFERROR(__xludf.DUMMYFUNCTION("""COMPUTED_VALUE"""),43859.66666666667)</f>
        <v>43859.66667</v>
      </c>
      <c r="B21" s="2">
        <f>IFERROR(__xludf.DUMMYFUNCTION("""COMPUTED_VALUE"""),162.77)</f>
        <v>162.77</v>
      </c>
      <c r="C21" s="2">
        <f>IFERROR(__xludf.DUMMYFUNCTION("""COMPUTED_VALUE"""),167.89)</f>
        <v>167.89</v>
      </c>
      <c r="D21" s="2">
        <f>IFERROR(__xludf.DUMMYFUNCTION("""COMPUTED_VALUE"""),162.77)</f>
        <v>162.77</v>
      </c>
      <c r="E21" s="2">
        <f>IFERROR(__xludf.DUMMYFUNCTION("""COMPUTED_VALUE"""),162.77)</f>
        <v>162.77</v>
      </c>
      <c r="F21" s="2">
        <f>IFERROR(__xludf.DUMMYFUNCTION("""COMPUTED_VALUE"""),1594200.0)</f>
        <v>1594200</v>
      </c>
      <c r="G21" s="2">
        <f t="shared" si="1"/>
        <v>5.12</v>
      </c>
    </row>
    <row r="22" ht="15.75" customHeight="1">
      <c r="A22" s="1">
        <f>IFERROR(__xludf.DUMMYFUNCTION("""COMPUTED_VALUE"""),43860.66666666667)</f>
        <v>43860.66667</v>
      </c>
      <c r="B22" s="2">
        <f>IFERROR(__xludf.DUMMYFUNCTION("""COMPUTED_VALUE"""),163.79)</f>
        <v>163.79</v>
      </c>
      <c r="C22" s="2">
        <f>IFERROR(__xludf.DUMMYFUNCTION("""COMPUTED_VALUE"""),166.86)</f>
        <v>166.86</v>
      </c>
      <c r="D22" s="2">
        <f>IFERROR(__xludf.DUMMYFUNCTION("""COMPUTED_VALUE"""),161.74)</f>
        <v>161.74</v>
      </c>
      <c r="E22" s="2">
        <f>IFERROR(__xludf.DUMMYFUNCTION("""COMPUTED_VALUE"""),162.77)</f>
        <v>162.77</v>
      </c>
      <c r="F22" s="2">
        <f>IFERROR(__xludf.DUMMYFUNCTION("""COMPUTED_VALUE"""),1138200.0)</f>
        <v>1138200</v>
      </c>
      <c r="G22" s="2">
        <f t="shared" si="1"/>
        <v>5.12</v>
      </c>
    </row>
    <row r="23" ht="15.75" customHeight="1">
      <c r="A23" s="1">
        <f>IFERROR(__xludf.DUMMYFUNCTION("""COMPUTED_VALUE"""),43861.66666666667)</f>
        <v>43861.66667</v>
      </c>
      <c r="B23" s="2">
        <f>IFERROR(__xludf.DUMMYFUNCTION("""COMPUTED_VALUE"""),163.79)</f>
        <v>163.79</v>
      </c>
      <c r="C23" s="2">
        <f>IFERROR(__xludf.DUMMYFUNCTION("""COMPUTED_VALUE"""),163.79)</f>
        <v>163.79</v>
      </c>
      <c r="D23" s="2">
        <f>IFERROR(__xludf.DUMMYFUNCTION("""COMPUTED_VALUE"""),154.58)</f>
        <v>154.58</v>
      </c>
      <c r="E23" s="2">
        <f>IFERROR(__xludf.DUMMYFUNCTION("""COMPUTED_VALUE"""),156.63)</f>
        <v>156.63</v>
      </c>
      <c r="F23" s="2">
        <f>IFERROR(__xludf.DUMMYFUNCTION("""COMPUTED_VALUE"""),2318400.0)</f>
        <v>2318400</v>
      </c>
      <c r="G23" s="2">
        <f t="shared" si="1"/>
        <v>9.21</v>
      </c>
    </row>
    <row r="24" ht="15.75" customHeight="1">
      <c r="A24" s="1">
        <f>IFERROR(__xludf.DUMMYFUNCTION("""COMPUTED_VALUE"""),43864.66666666667)</f>
        <v>43864.66667</v>
      </c>
      <c r="B24" s="2">
        <f>IFERROR(__xludf.DUMMYFUNCTION("""COMPUTED_VALUE"""),154.58)</f>
        <v>154.58</v>
      </c>
      <c r="C24" s="2">
        <f>IFERROR(__xludf.DUMMYFUNCTION("""COMPUTED_VALUE"""),156.63)</f>
        <v>156.63</v>
      </c>
      <c r="D24" s="2">
        <f>IFERROR(__xludf.DUMMYFUNCTION("""COMPUTED_VALUE"""),150.48)</f>
        <v>150.48</v>
      </c>
      <c r="E24" s="2">
        <f>IFERROR(__xludf.DUMMYFUNCTION("""COMPUTED_VALUE"""),151.51)</f>
        <v>151.51</v>
      </c>
      <c r="F24" s="2">
        <f>IFERROR(__xludf.DUMMYFUNCTION("""COMPUTED_VALUE"""),2780300.0)</f>
        <v>2780300</v>
      </c>
      <c r="G24" s="2">
        <f t="shared" si="1"/>
        <v>6.15</v>
      </c>
    </row>
    <row r="25" ht="15.75" customHeight="1">
      <c r="A25" s="1">
        <f>IFERROR(__xludf.DUMMYFUNCTION("""COMPUTED_VALUE"""),43865.66666666667)</f>
        <v>43865.66667</v>
      </c>
      <c r="B25" s="2">
        <f>IFERROR(__xludf.DUMMYFUNCTION("""COMPUTED_VALUE"""),153.55)</f>
        <v>153.55</v>
      </c>
      <c r="C25" s="2">
        <f>IFERROR(__xludf.DUMMYFUNCTION("""COMPUTED_VALUE"""),155.6)</f>
        <v>155.6</v>
      </c>
      <c r="D25" s="2">
        <f>IFERROR(__xludf.DUMMYFUNCTION("""COMPUTED_VALUE"""),149.46)</f>
        <v>149.46</v>
      </c>
      <c r="E25" s="2">
        <f>IFERROR(__xludf.DUMMYFUNCTION("""COMPUTED_VALUE"""),150.48)</f>
        <v>150.48</v>
      </c>
      <c r="F25" s="2">
        <f>IFERROR(__xludf.DUMMYFUNCTION("""COMPUTED_VALUE"""),1598200.0)</f>
        <v>1598200</v>
      </c>
      <c r="G25" s="2">
        <f t="shared" si="1"/>
        <v>6.14</v>
      </c>
    </row>
    <row r="26" ht="15.75" customHeight="1">
      <c r="A26" s="1">
        <f>IFERROR(__xludf.DUMMYFUNCTION("""COMPUTED_VALUE"""),43866.66666666667)</f>
        <v>43866.66667</v>
      </c>
      <c r="B26" s="2">
        <f>IFERROR(__xludf.DUMMYFUNCTION("""COMPUTED_VALUE"""),151.51)</f>
        <v>151.51</v>
      </c>
      <c r="C26" s="2">
        <f>IFERROR(__xludf.DUMMYFUNCTION("""COMPUTED_VALUE"""),155.6)</f>
        <v>155.6</v>
      </c>
      <c r="D26" s="2">
        <f>IFERROR(__xludf.DUMMYFUNCTION("""COMPUTED_VALUE"""),144.34)</f>
        <v>144.34</v>
      </c>
      <c r="E26" s="2">
        <f>IFERROR(__xludf.DUMMYFUNCTION("""COMPUTED_VALUE"""),153.55)</f>
        <v>153.55</v>
      </c>
      <c r="F26" s="2">
        <f>IFERROR(__xludf.DUMMYFUNCTION("""COMPUTED_VALUE"""),3878400.0)</f>
        <v>3878400</v>
      </c>
      <c r="G26" s="2">
        <f t="shared" si="1"/>
        <v>11.26</v>
      </c>
    </row>
    <row r="27" ht="15.75" customHeight="1">
      <c r="A27" s="1">
        <f>IFERROR(__xludf.DUMMYFUNCTION("""COMPUTED_VALUE"""),43867.66666666667)</f>
        <v>43867.66667</v>
      </c>
      <c r="B27" s="2">
        <f>IFERROR(__xludf.DUMMYFUNCTION("""COMPUTED_VALUE"""),154.58)</f>
        <v>154.58</v>
      </c>
      <c r="C27" s="2">
        <f>IFERROR(__xludf.DUMMYFUNCTION("""COMPUTED_VALUE"""),158.67)</f>
        <v>158.67</v>
      </c>
      <c r="D27" s="2">
        <f>IFERROR(__xludf.DUMMYFUNCTION("""COMPUTED_VALUE"""),154.58)</f>
        <v>154.58</v>
      </c>
      <c r="E27" s="2">
        <f>IFERROR(__xludf.DUMMYFUNCTION("""COMPUTED_VALUE"""),156.63)</f>
        <v>156.63</v>
      </c>
      <c r="F27" s="2">
        <f>IFERROR(__xludf.DUMMYFUNCTION("""COMPUTED_VALUE"""),2421300.0)</f>
        <v>2421300</v>
      </c>
      <c r="G27" s="2">
        <f t="shared" si="1"/>
        <v>5.12</v>
      </c>
    </row>
    <row r="28" ht="15.75" customHeight="1">
      <c r="A28" s="1">
        <f>IFERROR(__xludf.DUMMYFUNCTION("""COMPUTED_VALUE"""),43868.66666666667)</f>
        <v>43868.66667</v>
      </c>
      <c r="B28" s="2">
        <f>IFERROR(__xludf.DUMMYFUNCTION("""COMPUTED_VALUE"""),157.65)</f>
        <v>157.65</v>
      </c>
      <c r="C28" s="2">
        <f>IFERROR(__xludf.DUMMYFUNCTION("""COMPUTED_VALUE"""),160.72)</f>
        <v>160.72</v>
      </c>
      <c r="D28" s="2">
        <f>IFERROR(__xludf.DUMMYFUNCTION("""COMPUTED_VALUE"""),155.6)</f>
        <v>155.6</v>
      </c>
      <c r="E28" s="2">
        <f>IFERROR(__xludf.DUMMYFUNCTION("""COMPUTED_VALUE"""),156.63)</f>
        <v>156.63</v>
      </c>
      <c r="F28" s="2">
        <f>IFERROR(__xludf.DUMMYFUNCTION("""COMPUTED_VALUE"""),2128500.0)</f>
        <v>2128500</v>
      </c>
      <c r="G28" s="2">
        <f t="shared" si="1"/>
        <v>5.12</v>
      </c>
    </row>
    <row r="29" ht="15.75" customHeight="1">
      <c r="A29" s="1">
        <f>IFERROR(__xludf.DUMMYFUNCTION("""COMPUTED_VALUE"""),43871.66666666667)</f>
        <v>43871.66667</v>
      </c>
      <c r="B29" s="2">
        <f>IFERROR(__xludf.DUMMYFUNCTION("""COMPUTED_VALUE"""),156.63)</f>
        <v>156.63</v>
      </c>
      <c r="C29" s="2">
        <f>IFERROR(__xludf.DUMMYFUNCTION("""COMPUTED_VALUE"""),156.63)</f>
        <v>156.63</v>
      </c>
      <c r="D29" s="2">
        <f>IFERROR(__xludf.DUMMYFUNCTION("""COMPUTED_VALUE"""),151.51)</f>
        <v>151.51</v>
      </c>
      <c r="E29" s="2">
        <f>IFERROR(__xludf.DUMMYFUNCTION("""COMPUTED_VALUE"""),152.53)</f>
        <v>152.53</v>
      </c>
      <c r="F29" s="2">
        <f>IFERROR(__xludf.DUMMYFUNCTION("""COMPUTED_VALUE"""),1476600.0)</f>
        <v>1476600</v>
      </c>
      <c r="G29" s="2">
        <f t="shared" si="1"/>
        <v>5.12</v>
      </c>
    </row>
    <row r="30" ht="15.75" customHeight="1">
      <c r="A30" s="1">
        <f>IFERROR(__xludf.DUMMYFUNCTION("""COMPUTED_VALUE"""),43872.66666666667)</f>
        <v>43872.66667</v>
      </c>
      <c r="B30" s="2">
        <f>IFERROR(__xludf.DUMMYFUNCTION("""COMPUTED_VALUE"""),153.55)</f>
        <v>153.55</v>
      </c>
      <c r="C30" s="2">
        <f>IFERROR(__xludf.DUMMYFUNCTION("""COMPUTED_VALUE"""),155.6)</f>
        <v>155.6</v>
      </c>
      <c r="D30" s="2">
        <f>IFERROR(__xludf.DUMMYFUNCTION("""COMPUTED_VALUE"""),151.51)</f>
        <v>151.51</v>
      </c>
      <c r="E30" s="2">
        <f>IFERROR(__xludf.DUMMYFUNCTION("""COMPUTED_VALUE"""),152.53)</f>
        <v>152.53</v>
      </c>
      <c r="F30" s="2">
        <f>IFERROR(__xludf.DUMMYFUNCTION("""COMPUTED_VALUE"""),725200.0)</f>
        <v>725200</v>
      </c>
      <c r="G30" s="2">
        <f t="shared" si="1"/>
        <v>4.09</v>
      </c>
    </row>
    <row r="31" ht="15.75" customHeight="1">
      <c r="A31" s="1">
        <f>IFERROR(__xludf.DUMMYFUNCTION("""COMPUTED_VALUE"""),43873.66666666667)</f>
        <v>43873.66667</v>
      </c>
      <c r="B31" s="2">
        <f>IFERROR(__xludf.DUMMYFUNCTION("""COMPUTED_VALUE"""),152.53)</f>
        <v>152.53</v>
      </c>
      <c r="C31" s="2">
        <f>IFERROR(__xludf.DUMMYFUNCTION("""COMPUTED_VALUE"""),153.55)</f>
        <v>153.55</v>
      </c>
      <c r="D31" s="2">
        <f>IFERROR(__xludf.DUMMYFUNCTION("""COMPUTED_VALUE"""),149.46)</f>
        <v>149.46</v>
      </c>
      <c r="E31" s="2">
        <f>IFERROR(__xludf.DUMMYFUNCTION("""COMPUTED_VALUE"""),149.46)</f>
        <v>149.46</v>
      </c>
      <c r="F31" s="2">
        <f>IFERROR(__xludf.DUMMYFUNCTION("""COMPUTED_VALUE"""),796300.0)</f>
        <v>796300</v>
      </c>
      <c r="G31" s="2">
        <f t="shared" si="1"/>
        <v>4.09</v>
      </c>
    </row>
    <row r="32" ht="15.75" customHeight="1">
      <c r="A32" s="1">
        <f>IFERROR(__xludf.DUMMYFUNCTION("""COMPUTED_VALUE"""),43874.66666666667)</f>
        <v>43874.66667</v>
      </c>
      <c r="B32" s="2">
        <f>IFERROR(__xludf.DUMMYFUNCTION("""COMPUTED_VALUE"""),149.46)</f>
        <v>149.46</v>
      </c>
      <c r="C32" s="2">
        <f>IFERROR(__xludf.DUMMYFUNCTION("""COMPUTED_VALUE"""),151.51)</f>
        <v>151.51</v>
      </c>
      <c r="D32" s="2">
        <f>IFERROR(__xludf.DUMMYFUNCTION("""COMPUTED_VALUE"""),145.37)</f>
        <v>145.37</v>
      </c>
      <c r="E32" s="2">
        <f>IFERROR(__xludf.DUMMYFUNCTION("""COMPUTED_VALUE"""),145.37)</f>
        <v>145.37</v>
      </c>
      <c r="F32" s="2">
        <f>IFERROR(__xludf.DUMMYFUNCTION("""COMPUTED_VALUE"""),2042000.0)</f>
        <v>2042000</v>
      </c>
      <c r="G32" s="2">
        <f t="shared" si="1"/>
        <v>6.14</v>
      </c>
    </row>
    <row r="33" ht="15.75" customHeight="1">
      <c r="A33" s="1">
        <f>IFERROR(__xludf.DUMMYFUNCTION("""COMPUTED_VALUE"""),43875.66666666667)</f>
        <v>43875.66667</v>
      </c>
      <c r="B33" s="2">
        <f>IFERROR(__xludf.DUMMYFUNCTION("""COMPUTED_VALUE"""),146.39)</f>
        <v>146.39</v>
      </c>
      <c r="C33" s="2">
        <f>IFERROR(__xludf.DUMMYFUNCTION("""COMPUTED_VALUE"""),147.41)</f>
        <v>147.41</v>
      </c>
      <c r="D33" s="2">
        <f>IFERROR(__xludf.DUMMYFUNCTION("""COMPUTED_VALUE"""),144.34)</f>
        <v>144.34</v>
      </c>
      <c r="E33" s="2">
        <f>IFERROR(__xludf.DUMMYFUNCTION("""COMPUTED_VALUE"""),145.37)</f>
        <v>145.37</v>
      </c>
      <c r="F33" s="2">
        <f>IFERROR(__xludf.DUMMYFUNCTION("""COMPUTED_VALUE"""),1416800.0)</f>
        <v>1416800</v>
      </c>
      <c r="G33" s="2">
        <f t="shared" si="1"/>
        <v>3.07</v>
      </c>
    </row>
    <row r="34" ht="15.75" customHeight="1">
      <c r="A34" s="1">
        <f>IFERROR(__xludf.DUMMYFUNCTION("""COMPUTED_VALUE"""),43878.66666666667)</f>
        <v>43878.66667</v>
      </c>
      <c r="B34" s="2">
        <f>IFERROR(__xludf.DUMMYFUNCTION("""COMPUTED_VALUE"""),145.37)</f>
        <v>145.37</v>
      </c>
      <c r="C34" s="2">
        <f>IFERROR(__xludf.DUMMYFUNCTION("""COMPUTED_VALUE"""),150.48)</f>
        <v>150.48</v>
      </c>
      <c r="D34" s="2">
        <f>IFERROR(__xludf.DUMMYFUNCTION("""COMPUTED_VALUE"""),145.37)</f>
        <v>145.37</v>
      </c>
      <c r="E34" s="2">
        <f>IFERROR(__xludf.DUMMYFUNCTION("""COMPUTED_VALUE"""),147.41)</f>
        <v>147.41</v>
      </c>
      <c r="F34" s="2">
        <f>IFERROR(__xludf.DUMMYFUNCTION("""COMPUTED_VALUE"""),1373200.0)</f>
        <v>1373200</v>
      </c>
      <c r="G34" s="2">
        <f t="shared" si="1"/>
        <v>5.11</v>
      </c>
    </row>
    <row r="35" ht="15.75" customHeight="1">
      <c r="A35" s="1">
        <f>IFERROR(__xludf.DUMMYFUNCTION("""COMPUTED_VALUE"""),43879.66666666667)</f>
        <v>43879.66667</v>
      </c>
      <c r="B35" s="2">
        <f>IFERROR(__xludf.DUMMYFUNCTION("""COMPUTED_VALUE"""),147.41)</f>
        <v>147.41</v>
      </c>
      <c r="C35" s="2">
        <f>IFERROR(__xludf.DUMMYFUNCTION("""COMPUTED_VALUE"""),150.48)</f>
        <v>150.48</v>
      </c>
      <c r="D35" s="2">
        <f>IFERROR(__xludf.DUMMYFUNCTION("""COMPUTED_VALUE"""),145.37)</f>
        <v>145.37</v>
      </c>
      <c r="E35" s="2">
        <f>IFERROR(__xludf.DUMMYFUNCTION("""COMPUTED_VALUE"""),147.41)</f>
        <v>147.41</v>
      </c>
      <c r="F35" s="2">
        <f>IFERROR(__xludf.DUMMYFUNCTION("""COMPUTED_VALUE"""),1651600.0)</f>
        <v>1651600</v>
      </c>
      <c r="G35" s="2">
        <f t="shared" si="1"/>
        <v>5.11</v>
      </c>
    </row>
    <row r="36" ht="15.75" customHeight="1">
      <c r="A36" s="1">
        <f>IFERROR(__xludf.DUMMYFUNCTION("""COMPUTED_VALUE"""),43880.66666666667)</f>
        <v>43880.66667</v>
      </c>
      <c r="B36" s="2">
        <f>IFERROR(__xludf.DUMMYFUNCTION("""COMPUTED_VALUE"""),147.41)</f>
        <v>147.41</v>
      </c>
      <c r="C36" s="2">
        <f>IFERROR(__xludf.DUMMYFUNCTION("""COMPUTED_VALUE"""),150.48)</f>
        <v>150.48</v>
      </c>
      <c r="D36" s="2">
        <f>IFERROR(__xludf.DUMMYFUNCTION("""COMPUTED_VALUE"""),147.41)</f>
        <v>147.41</v>
      </c>
      <c r="E36" s="2">
        <f>IFERROR(__xludf.DUMMYFUNCTION("""COMPUTED_VALUE"""),148.44)</f>
        <v>148.44</v>
      </c>
      <c r="F36" s="2">
        <f>IFERROR(__xludf.DUMMYFUNCTION("""COMPUTED_VALUE"""),1866300.0)</f>
        <v>1866300</v>
      </c>
      <c r="G36" s="2">
        <f t="shared" si="1"/>
        <v>3.07</v>
      </c>
    </row>
    <row r="37" ht="15.75" customHeight="1">
      <c r="A37" s="1">
        <f>IFERROR(__xludf.DUMMYFUNCTION("""COMPUTED_VALUE"""),43881.66666666667)</f>
        <v>43881.66667</v>
      </c>
      <c r="B37" s="2">
        <f>IFERROR(__xludf.DUMMYFUNCTION("""COMPUTED_VALUE"""),149.46)</f>
        <v>149.46</v>
      </c>
      <c r="C37" s="2">
        <f>IFERROR(__xludf.DUMMYFUNCTION("""COMPUTED_VALUE"""),157.65)</f>
        <v>157.65</v>
      </c>
      <c r="D37" s="2">
        <f>IFERROR(__xludf.DUMMYFUNCTION("""COMPUTED_VALUE"""),149.46)</f>
        <v>149.46</v>
      </c>
      <c r="E37" s="2">
        <f>IFERROR(__xludf.DUMMYFUNCTION("""COMPUTED_VALUE"""),154.58)</f>
        <v>154.58</v>
      </c>
      <c r="F37" s="2">
        <f>IFERROR(__xludf.DUMMYFUNCTION("""COMPUTED_VALUE"""),5338500.0)</f>
        <v>5338500</v>
      </c>
      <c r="G37" s="2">
        <f t="shared" si="1"/>
        <v>9.21</v>
      </c>
    </row>
    <row r="38" ht="15.75" customHeight="1">
      <c r="A38" s="1">
        <f>IFERROR(__xludf.DUMMYFUNCTION("""COMPUTED_VALUE"""),43882.66666666667)</f>
        <v>43882.66667</v>
      </c>
      <c r="B38" s="2">
        <f>IFERROR(__xludf.DUMMYFUNCTION("""COMPUTED_VALUE"""),155.6)</f>
        <v>155.6</v>
      </c>
      <c r="C38" s="2">
        <f>IFERROR(__xludf.DUMMYFUNCTION("""COMPUTED_VALUE"""),157.65)</f>
        <v>157.65</v>
      </c>
      <c r="D38" s="2">
        <f>IFERROR(__xludf.DUMMYFUNCTION("""COMPUTED_VALUE"""),151.51)</f>
        <v>151.51</v>
      </c>
      <c r="E38" s="2">
        <f>IFERROR(__xludf.DUMMYFUNCTION("""COMPUTED_VALUE"""),151.51)</f>
        <v>151.51</v>
      </c>
      <c r="F38" s="2">
        <f>IFERROR(__xludf.DUMMYFUNCTION("""COMPUTED_VALUE"""),2008000.0)</f>
        <v>2008000</v>
      </c>
      <c r="G38" s="2">
        <f t="shared" si="1"/>
        <v>6.14</v>
      </c>
    </row>
    <row r="39" ht="15.75" customHeight="1">
      <c r="A39" s="1">
        <f>IFERROR(__xludf.DUMMYFUNCTION("""COMPUTED_VALUE"""),43885.66666666667)</f>
        <v>43885.66667</v>
      </c>
      <c r="B39" s="2">
        <f>IFERROR(__xludf.DUMMYFUNCTION("""COMPUTED_VALUE"""),153.55)</f>
        <v>153.55</v>
      </c>
      <c r="C39" s="2">
        <f>IFERROR(__xludf.DUMMYFUNCTION("""COMPUTED_VALUE"""),153.55)</f>
        <v>153.55</v>
      </c>
      <c r="D39" s="2">
        <f>IFERROR(__xludf.DUMMYFUNCTION("""COMPUTED_VALUE"""),146.39)</f>
        <v>146.39</v>
      </c>
      <c r="E39" s="2">
        <f>IFERROR(__xludf.DUMMYFUNCTION("""COMPUTED_VALUE"""),147.41)</f>
        <v>147.41</v>
      </c>
      <c r="F39" s="2">
        <f>IFERROR(__xludf.DUMMYFUNCTION("""COMPUTED_VALUE"""),2949400.0)</f>
        <v>2949400</v>
      </c>
      <c r="G39" s="2">
        <f t="shared" si="1"/>
        <v>7.16</v>
      </c>
    </row>
    <row r="40" ht="15.75" customHeight="1">
      <c r="A40" s="1">
        <f>IFERROR(__xludf.DUMMYFUNCTION("""COMPUTED_VALUE"""),43886.66666666667)</f>
        <v>43886.66667</v>
      </c>
      <c r="B40" s="2">
        <f>IFERROR(__xludf.DUMMYFUNCTION("""COMPUTED_VALUE"""),147.41)</f>
        <v>147.41</v>
      </c>
      <c r="C40" s="2">
        <f>IFERROR(__xludf.DUMMYFUNCTION("""COMPUTED_VALUE"""),148.44)</f>
        <v>148.44</v>
      </c>
      <c r="D40" s="2">
        <f>IFERROR(__xludf.DUMMYFUNCTION("""COMPUTED_VALUE"""),145.37)</f>
        <v>145.37</v>
      </c>
      <c r="E40" s="2">
        <f>IFERROR(__xludf.DUMMYFUNCTION("""COMPUTED_VALUE"""),146.39)</f>
        <v>146.39</v>
      </c>
      <c r="F40" s="2">
        <f>IFERROR(__xludf.DUMMYFUNCTION("""COMPUTED_VALUE"""),992400.0)</f>
        <v>992400</v>
      </c>
      <c r="G40" s="2">
        <f t="shared" si="1"/>
        <v>3.07</v>
      </c>
    </row>
    <row r="41" ht="15.75" customHeight="1">
      <c r="A41" s="1">
        <f>IFERROR(__xludf.DUMMYFUNCTION("""COMPUTED_VALUE"""),43887.66666666667)</f>
        <v>43887.66667</v>
      </c>
      <c r="B41" s="2">
        <f>IFERROR(__xludf.DUMMYFUNCTION("""COMPUTED_VALUE"""),147.41)</f>
        <v>147.41</v>
      </c>
      <c r="C41" s="2">
        <f>IFERROR(__xludf.DUMMYFUNCTION("""COMPUTED_VALUE"""),147.41)</f>
        <v>147.41</v>
      </c>
      <c r="D41" s="2">
        <f>IFERROR(__xludf.DUMMYFUNCTION("""COMPUTED_VALUE"""),133.08)</f>
        <v>133.08</v>
      </c>
      <c r="E41" s="2">
        <f>IFERROR(__xludf.DUMMYFUNCTION("""COMPUTED_VALUE"""),133.08)</f>
        <v>133.08</v>
      </c>
      <c r="F41" s="2">
        <f>IFERROR(__xludf.DUMMYFUNCTION("""COMPUTED_VALUE"""),3328400.0)</f>
        <v>3328400</v>
      </c>
      <c r="G41" s="2">
        <f t="shared" si="1"/>
        <v>14.33</v>
      </c>
    </row>
    <row r="42" ht="15.75" customHeight="1">
      <c r="A42" s="1">
        <f>IFERROR(__xludf.DUMMYFUNCTION("""COMPUTED_VALUE"""),43888.66666666667)</f>
        <v>43888.66667</v>
      </c>
      <c r="B42" s="2">
        <f>IFERROR(__xludf.DUMMYFUNCTION("""COMPUTED_VALUE"""),133.08)</f>
        <v>133.08</v>
      </c>
      <c r="C42" s="2">
        <f>IFERROR(__xludf.DUMMYFUNCTION("""COMPUTED_VALUE"""),136.15)</f>
        <v>136.15</v>
      </c>
      <c r="D42" s="2">
        <f>IFERROR(__xludf.DUMMYFUNCTION("""COMPUTED_VALUE"""),122.84)</f>
        <v>122.84</v>
      </c>
      <c r="E42" s="2">
        <f>IFERROR(__xludf.DUMMYFUNCTION("""COMPUTED_VALUE"""),125.91)</f>
        <v>125.91</v>
      </c>
      <c r="F42" s="2">
        <f>IFERROR(__xludf.DUMMYFUNCTION("""COMPUTED_VALUE"""),3257800.0)</f>
        <v>3257800</v>
      </c>
      <c r="G42" s="2">
        <f t="shared" si="1"/>
        <v>13.31</v>
      </c>
    </row>
    <row r="43" ht="15.75" customHeight="1">
      <c r="A43" s="1">
        <f>IFERROR(__xludf.DUMMYFUNCTION("""COMPUTED_VALUE"""),43889.66666666667)</f>
        <v>43889.66667</v>
      </c>
      <c r="B43" s="2">
        <f>IFERROR(__xludf.DUMMYFUNCTION("""COMPUTED_VALUE"""),122.84)</f>
        <v>122.84</v>
      </c>
      <c r="C43" s="2">
        <f>IFERROR(__xludf.DUMMYFUNCTION("""COMPUTED_VALUE"""),123.87)</f>
        <v>123.87</v>
      </c>
      <c r="D43" s="2">
        <f>IFERROR(__xludf.DUMMYFUNCTION("""COMPUTED_VALUE"""),110.56)</f>
        <v>110.56</v>
      </c>
      <c r="E43" s="2">
        <f>IFERROR(__xludf.DUMMYFUNCTION("""COMPUTED_VALUE"""),113.63)</f>
        <v>113.63</v>
      </c>
      <c r="F43" s="2">
        <f>IFERROR(__xludf.DUMMYFUNCTION("""COMPUTED_VALUE"""),3326600.0)</f>
        <v>3326600</v>
      </c>
      <c r="G43" s="2">
        <f t="shared" si="1"/>
        <v>15.35</v>
      </c>
    </row>
    <row r="44" ht="15.75" customHeight="1">
      <c r="A44" s="1">
        <f>IFERROR(__xludf.DUMMYFUNCTION("""COMPUTED_VALUE"""),43892.66666666667)</f>
        <v>43892.66667</v>
      </c>
      <c r="B44" s="2">
        <f>IFERROR(__xludf.DUMMYFUNCTION("""COMPUTED_VALUE"""),113.63)</f>
        <v>113.63</v>
      </c>
      <c r="C44" s="2">
        <f>IFERROR(__xludf.DUMMYFUNCTION("""COMPUTED_VALUE"""),118.75)</f>
        <v>118.75</v>
      </c>
      <c r="D44" s="2">
        <f>IFERROR(__xludf.DUMMYFUNCTION("""COMPUTED_VALUE"""),108.51)</f>
        <v>108.51</v>
      </c>
      <c r="E44" s="2">
        <f>IFERROR(__xludf.DUMMYFUNCTION("""COMPUTED_VALUE"""),111.58)</f>
        <v>111.58</v>
      </c>
      <c r="F44" s="2">
        <f>IFERROR(__xludf.DUMMYFUNCTION("""COMPUTED_VALUE"""),2936600.0)</f>
        <v>2936600</v>
      </c>
      <c r="G44" s="2">
        <f t="shared" si="1"/>
        <v>10.24</v>
      </c>
    </row>
    <row r="45" ht="15.75" customHeight="1">
      <c r="A45" s="1">
        <f>IFERROR(__xludf.DUMMYFUNCTION("""COMPUTED_VALUE"""),43893.66666666667)</f>
        <v>43893.66667</v>
      </c>
      <c r="B45" s="2">
        <f>IFERROR(__xludf.DUMMYFUNCTION("""COMPUTED_VALUE"""),112.61)</f>
        <v>112.61</v>
      </c>
      <c r="C45" s="2">
        <f>IFERROR(__xludf.DUMMYFUNCTION("""COMPUTED_VALUE"""),118.75)</f>
        <v>118.75</v>
      </c>
      <c r="D45" s="2">
        <f>IFERROR(__xludf.DUMMYFUNCTION("""COMPUTED_VALUE"""),111.58)</f>
        <v>111.58</v>
      </c>
      <c r="E45" s="2">
        <f>IFERROR(__xludf.DUMMYFUNCTION("""COMPUTED_VALUE"""),118.75)</f>
        <v>118.75</v>
      </c>
      <c r="F45" s="2">
        <f>IFERROR(__xludf.DUMMYFUNCTION("""COMPUTED_VALUE"""),2115100.0)</f>
        <v>2115100</v>
      </c>
      <c r="G45" s="2">
        <f t="shared" si="1"/>
        <v>7.17</v>
      </c>
    </row>
    <row r="46" ht="15.75" customHeight="1">
      <c r="A46" s="1">
        <f>IFERROR(__xludf.DUMMYFUNCTION("""COMPUTED_VALUE"""),43894.66666666667)</f>
        <v>43894.66667</v>
      </c>
      <c r="B46" s="2">
        <f>IFERROR(__xludf.DUMMYFUNCTION("""COMPUTED_VALUE"""),118.75)</f>
        <v>118.75</v>
      </c>
      <c r="C46" s="2">
        <f>IFERROR(__xludf.DUMMYFUNCTION("""COMPUTED_VALUE"""),133.08)</f>
        <v>133.08</v>
      </c>
      <c r="D46" s="2">
        <f>IFERROR(__xludf.DUMMYFUNCTION("""COMPUTED_VALUE"""),117.73)</f>
        <v>117.73</v>
      </c>
      <c r="E46" s="2">
        <f>IFERROR(__xludf.DUMMYFUNCTION("""COMPUTED_VALUE"""),131.03)</f>
        <v>131.03</v>
      </c>
      <c r="F46" s="2">
        <f>IFERROR(__xludf.DUMMYFUNCTION("""COMPUTED_VALUE"""),5028100.0)</f>
        <v>5028100</v>
      </c>
      <c r="G46" s="2">
        <f t="shared" si="1"/>
        <v>15.35</v>
      </c>
    </row>
    <row r="47" ht="15.75" customHeight="1">
      <c r="A47" s="1">
        <f>IFERROR(__xludf.DUMMYFUNCTION("""COMPUTED_VALUE"""),43895.66666666667)</f>
        <v>43895.66667</v>
      </c>
      <c r="B47" s="2">
        <f>IFERROR(__xludf.DUMMYFUNCTION("""COMPUTED_VALUE"""),133.08)</f>
        <v>133.08</v>
      </c>
      <c r="C47" s="2">
        <f>IFERROR(__xludf.DUMMYFUNCTION("""COMPUTED_VALUE"""),175.05)</f>
        <v>175.05</v>
      </c>
      <c r="D47" s="2">
        <f>IFERROR(__xludf.DUMMYFUNCTION("""COMPUTED_VALUE"""),124.89)</f>
        <v>124.89</v>
      </c>
      <c r="E47" s="2">
        <f>IFERROR(__xludf.DUMMYFUNCTION("""COMPUTED_VALUE"""),163.79)</f>
        <v>163.79</v>
      </c>
      <c r="F47" s="2">
        <f>IFERROR(__xludf.DUMMYFUNCTION("""COMPUTED_VALUE"""),6.61857E7)</f>
        <v>66185700</v>
      </c>
      <c r="G47" s="2">
        <f t="shared" si="1"/>
        <v>50.16</v>
      </c>
    </row>
    <row r="48" ht="15.75" customHeight="1">
      <c r="A48" s="1">
        <f>IFERROR(__xludf.DUMMYFUNCTION("""COMPUTED_VALUE"""),43896.66666666667)</f>
        <v>43896.66667</v>
      </c>
      <c r="B48" s="2">
        <f>IFERROR(__xludf.DUMMYFUNCTION("""COMPUTED_VALUE"""),164.82)</f>
        <v>164.82</v>
      </c>
      <c r="C48" s="2">
        <f>IFERROR(__xludf.DUMMYFUNCTION("""COMPUTED_VALUE"""),164.82)</f>
        <v>164.82</v>
      </c>
      <c r="D48" s="2">
        <f>IFERROR(__xludf.DUMMYFUNCTION("""COMPUTED_VALUE"""),147.41)</f>
        <v>147.41</v>
      </c>
      <c r="E48" s="2">
        <f>IFERROR(__xludf.DUMMYFUNCTION("""COMPUTED_VALUE"""),149.46)</f>
        <v>149.46</v>
      </c>
      <c r="F48" s="2">
        <f>IFERROR(__xludf.DUMMYFUNCTION("""COMPUTED_VALUE"""),1.16492E7)</f>
        <v>11649200</v>
      </c>
      <c r="G48" s="2">
        <f t="shared" si="1"/>
        <v>17.41</v>
      </c>
    </row>
    <row r="49" ht="15.75" customHeight="1">
      <c r="A49" s="1">
        <f>IFERROR(__xludf.DUMMYFUNCTION("""COMPUTED_VALUE"""),43899.66666666667)</f>
        <v>43899.66667</v>
      </c>
      <c r="B49" s="2">
        <f>IFERROR(__xludf.DUMMYFUNCTION("""COMPUTED_VALUE"""),143.32)</f>
        <v>143.32</v>
      </c>
      <c r="C49" s="2">
        <f>IFERROR(__xludf.DUMMYFUNCTION("""COMPUTED_VALUE"""),148.44)</f>
        <v>148.44</v>
      </c>
      <c r="D49" s="2">
        <f>IFERROR(__xludf.DUMMYFUNCTION("""COMPUTED_VALUE"""),126.94)</f>
        <v>126.94</v>
      </c>
      <c r="E49" s="2">
        <f>IFERROR(__xludf.DUMMYFUNCTION("""COMPUTED_VALUE"""),127.96)</f>
        <v>127.96</v>
      </c>
      <c r="F49" s="2">
        <f>IFERROR(__xludf.DUMMYFUNCTION("""COMPUTED_VALUE"""),6500900.0)</f>
        <v>6500900</v>
      </c>
      <c r="G49" s="2">
        <f t="shared" si="1"/>
        <v>22.52</v>
      </c>
    </row>
    <row r="50" ht="15.75" customHeight="1">
      <c r="A50" s="1">
        <f>IFERROR(__xludf.DUMMYFUNCTION("""COMPUTED_VALUE"""),43900.66666666667)</f>
        <v>43900.66667</v>
      </c>
      <c r="B50" s="2">
        <f>IFERROR(__xludf.DUMMYFUNCTION("""COMPUTED_VALUE"""),128.99)</f>
        <v>128.99</v>
      </c>
      <c r="C50" s="2">
        <f>IFERROR(__xludf.DUMMYFUNCTION("""COMPUTED_VALUE"""),150.48)</f>
        <v>150.48</v>
      </c>
      <c r="D50" s="2">
        <f>IFERROR(__xludf.DUMMYFUNCTION("""COMPUTED_VALUE"""),125.91)</f>
        <v>125.91</v>
      </c>
      <c r="E50" s="2">
        <f>IFERROR(__xludf.DUMMYFUNCTION("""COMPUTED_VALUE"""),138.2)</f>
        <v>138.2</v>
      </c>
      <c r="F50" s="2">
        <f>IFERROR(__xludf.DUMMYFUNCTION("""COMPUTED_VALUE"""),2.03519E7)</f>
        <v>20351900</v>
      </c>
      <c r="G50" s="2">
        <f t="shared" si="1"/>
        <v>24.57</v>
      </c>
    </row>
    <row r="51" ht="15.75" customHeight="1">
      <c r="A51" s="1">
        <f>IFERROR(__xludf.DUMMYFUNCTION("""COMPUTED_VALUE"""),43901.66666666667)</f>
        <v>43901.66667</v>
      </c>
      <c r="B51" s="2">
        <f>IFERROR(__xludf.DUMMYFUNCTION("""COMPUTED_VALUE"""),127.96)</f>
        <v>127.96</v>
      </c>
      <c r="C51" s="2">
        <f>IFERROR(__xludf.DUMMYFUNCTION("""COMPUTED_VALUE"""),147.41)</f>
        <v>147.41</v>
      </c>
      <c r="D51" s="2">
        <f>IFERROR(__xludf.DUMMYFUNCTION("""COMPUTED_VALUE"""),127.96)</f>
        <v>127.96</v>
      </c>
      <c r="E51" s="2">
        <f>IFERROR(__xludf.DUMMYFUNCTION("""COMPUTED_VALUE"""),131.03)</f>
        <v>131.03</v>
      </c>
      <c r="F51" s="2">
        <f>IFERROR(__xludf.DUMMYFUNCTION("""COMPUTED_VALUE"""),1.08101E7)</f>
        <v>10810100</v>
      </c>
      <c r="G51" s="2">
        <f t="shared" si="1"/>
        <v>19.45</v>
      </c>
    </row>
    <row r="52" ht="15.75" customHeight="1">
      <c r="A52" s="1">
        <f>IFERROR(__xludf.DUMMYFUNCTION("""COMPUTED_VALUE"""),43902.66666666667)</f>
        <v>43902.66667</v>
      </c>
      <c r="B52" s="2">
        <f>IFERROR(__xludf.DUMMYFUNCTION("""COMPUTED_VALUE"""),128.99)</f>
        <v>128.99</v>
      </c>
      <c r="C52" s="2">
        <f>IFERROR(__xludf.DUMMYFUNCTION("""COMPUTED_VALUE"""),128.99)</f>
        <v>128.99</v>
      </c>
      <c r="D52" s="2">
        <f>IFERROR(__xludf.DUMMYFUNCTION("""COMPUTED_VALUE"""),119.77)</f>
        <v>119.77</v>
      </c>
      <c r="E52" s="2">
        <f>IFERROR(__xludf.DUMMYFUNCTION("""COMPUTED_VALUE"""),119.77)</f>
        <v>119.77</v>
      </c>
      <c r="F52" s="2">
        <f>IFERROR(__xludf.DUMMYFUNCTION("""COMPUTED_VALUE"""),5924600.0)</f>
        <v>5924600</v>
      </c>
      <c r="G52" s="2">
        <f t="shared" si="1"/>
        <v>11.26</v>
      </c>
    </row>
    <row r="53" ht="15.75" customHeight="1">
      <c r="A53" s="1">
        <f>IFERROR(__xludf.DUMMYFUNCTION("""COMPUTED_VALUE"""),43903.66666666667)</f>
        <v>43903.66667</v>
      </c>
      <c r="B53" s="2">
        <f>IFERROR(__xludf.DUMMYFUNCTION("""COMPUTED_VALUE"""),115.68)</f>
        <v>115.68</v>
      </c>
      <c r="C53" s="2">
        <f>IFERROR(__xludf.DUMMYFUNCTION("""COMPUTED_VALUE"""),120.8)</f>
        <v>120.8</v>
      </c>
      <c r="D53" s="2">
        <f>IFERROR(__xludf.DUMMYFUNCTION("""COMPUTED_VALUE"""),111.58)</f>
        <v>111.58</v>
      </c>
      <c r="E53" s="2">
        <f>IFERROR(__xludf.DUMMYFUNCTION("""COMPUTED_VALUE"""),115.68)</f>
        <v>115.68</v>
      </c>
      <c r="F53" s="2">
        <f>IFERROR(__xludf.DUMMYFUNCTION("""COMPUTED_VALUE"""),6781800.0)</f>
        <v>6781800</v>
      </c>
      <c r="G53" s="2">
        <f t="shared" si="1"/>
        <v>9.22</v>
      </c>
    </row>
    <row r="54" ht="15.75" customHeight="1">
      <c r="A54" s="1">
        <f>IFERROR(__xludf.DUMMYFUNCTION("""COMPUTED_VALUE"""),43906.66666666667)</f>
        <v>43906.66667</v>
      </c>
      <c r="B54" s="2">
        <f>IFERROR(__xludf.DUMMYFUNCTION("""COMPUTED_VALUE"""),108.51)</f>
        <v>108.51</v>
      </c>
      <c r="C54" s="2">
        <f>IFERROR(__xludf.DUMMYFUNCTION("""COMPUTED_VALUE"""),122.84)</f>
        <v>122.84</v>
      </c>
      <c r="D54" s="2">
        <f>IFERROR(__xludf.DUMMYFUNCTION("""COMPUTED_VALUE"""),108.51)</f>
        <v>108.51</v>
      </c>
      <c r="E54" s="2">
        <f>IFERROR(__xludf.DUMMYFUNCTION("""COMPUTED_VALUE"""),108.51)</f>
        <v>108.51</v>
      </c>
      <c r="F54" s="2">
        <f>IFERROR(__xludf.DUMMYFUNCTION("""COMPUTED_VALUE"""),4191700.0)</f>
        <v>4191700</v>
      </c>
      <c r="G54" s="2">
        <f t="shared" si="1"/>
        <v>14.33</v>
      </c>
    </row>
    <row r="55" ht="15.75" customHeight="1">
      <c r="A55" s="1">
        <f>IFERROR(__xludf.DUMMYFUNCTION("""COMPUTED_VALUE"""),43907.66666666667)</f>
        <v>43907.66667</v>
      </c>
      <c r="B55" s="2">
        <f>IFERROR(__xludf.DUMMYFUNCTION("""COMPUTED_VALUE"""),101.35)</f>
        <v>101.35</v>
      </c>
      <c r="C55" s="2">
        <f>IFERROR(__xludf.DUMMYFUNCTION("""COMPUTED_VALUE"""),109.54)</f>
        <v>109.54</v>
      </c>
      <c r="D55" s="2">
        <f>IFERROR(__xludf.DUMMYFUNCTION("""COMPUTED_VALUE"""),101.35)</f>
        <v>101.35</v>
      </c>
      <c r="E55" s="2">
        <f>IFERROR(__xludf.DUMMYFUNCTION("""COMPUTED_VALUE"""),101.35)</f>
        <v>101.35</v>
      </c>
      <c r="F55" s="2">
        <f>IFERROR(__xludf.DUMMYFUNCTION("""COMPUTED_VALUE"""),4322500.0)</f>
        <v>4322500</v>
      </c>
      <c r="G55" s="2">
        <f t="shared" si="1"/>
        <v>8.19</v>
      </c>
    </row>
    <row r="56" ht="15.75" customHeight="1">
      <c r="A56" s="1">
        <f>IFERROR(__xludf.DUMMYFUNCTION("""COMPUTED_VALUE"""),43908.66666666667)</f>
        <v>43908.66667</v>
      </c>
      <c r="B56" s="2">
        <f>IFERROR(__xludf.DUMMYFUNCTION("""COMPUTED_VALUE"""),95.2)</f>
        <v>95.2</v>
      </c>
      <c r="C56" s="2">
        <f>IFERROR(__xludf.DUMMYFUNCTION("""COMPUTED_VALUE"""),107.49)</f>
        <v>107.49</v>
      </c>
      <c r="D56" s="2">
        <f>IFERROR(__xludf.DUMMYFUNCTION("""COMPUTED_VALUE"""),95.2)</f>
        <v>95.2</v>
      </c>
      <c r="E56" s="2">
        <f>IFERROR(__xludf.DUMMYFUNCTION("""COMPUTED_VALUE"""),95.2)</f>
        <v>95.2</v>
      </c>
      <c r="F56" s="2">
        <f>IFERROR(__xludf.DUMMYFUNCTION("""COMPUTED_VALUE"""),5800100.0)</f>
        <v>5800100</v>
      </c>
      <c r="G56" s="2">
        <f t="shared" si="1"/>
        <v>12.29</v>
      </c>
    </row>
    <row r="57" ht="15.75" customHeight="1">
      <c r="A57" s="1">
        <f>IFERROR(__xludf.DUMMYFUNCTION("""COMPUTED_VALUE"""),43909.66666666667)</f>
        <v>43909.66667</v>
      </c>
      <c r="B57" s="2">
        <f>IFERROR(__xludf.DUMMYFUNCTION("""COMPUTED_VALUE"""),89.06)</f>
        <v>89.06</v>
      </c>
      <c r="C57" s="2">
        <f>IFERROR(__xludf.DUMMYFUNCTION("""COMPUTED_VALUE"""),92.13)</f>
        <v>92.13</v>
      </c>
      <c r="D57" s="2">
        <f>IFERROR(__xludf.DUMMYFUNCTION("""COMPUTED_VALUE"""),89.06)</f>
        <v>89.06</v>
      </c>
      <c r="E57" s="2">
        <f>IFERROR(__xludf.DUMMYFUNCTION("""COMPUTED_VALUE"""),89.06)</f>
        <v>89.06</v>
      </c>
      <c r="F57" s="2">
        <f>IFERROR(__xludf.DUMMYFUNCTION("""COMPUTED_VALUE"""),2198500.0)</f>
        <v>2198500</v>
      </c>
      <c r="G57" s="2">
        <f t="shared" si="1"/>
        <v>6.14</v>
      </c>
    </row>
    <row r="58" ht="15.75" customHeight="1">
      <c r="A58" s="1">
        <f>IFERROR(__xludf.DUMMYFUNCTION("""COMPUTED_VALUE"""),43910.66666666667)</f>
        <v>43910.66667</v>
      </c>
      <c r="B58" s="2">
        <f>IFERROR(__xludf.DUMMYFUNCTION("""COMPUTED_VALUE"""),82.92)</f>
        <v>82.92</v>
      </c>
      <c r="C58" s="2">
        <f>IFERROR(__xludf.DUMMYFUNCTION("""COMPUTED_VALUE"""),95.2)</f>
        <v>95.2</v>
      </c>
      <c r="D58" s="2">
        <f>IFERROR(__xludf.DUMMYFUNCTION("""COMPUTED_VALUE"""),82.92)</f>
        <v>82.92</v>
      </c>
      <c r="E58" s="2">
        <f>IFERROR(__xludf.DUMMYFUNCTION("""COMPUTED_VALUE"""),90.09)</f>
        <v>90.09</v>
      </c>
      <c r="F58" s="2">
        <f>IFERROR(__xludf.DUMMYFUNCTION("""COMPUTED_VALUE"""),6517300.0)</f>
        <v>6517300</v>
      </c>
      <c r="G58" s="2">
        <f t="shared" si="1"/>
        <v>12.28</v>
      </c>
    </row>
    <row r="59" ht="15.75" customHeight="1">
      <c r="A59" s="1">
        <f>IFERROR(__xludf.DUMMYFUNCTION("""COMPUTED_VALUE"""),43913.66666666667)</f>
        <v>43913.66667</v>
      </c>
      <c r="B59" s="2">
        <f>IFERROR(__xludf.DUMMYFUNCTION("""COMPUTED_VALUE"""),90.09)</f>
        <v>90.09</v>
      </c>
      <c r="C59" s="2">
        <f>IFERROR(__xludf.DUMMYFUNCTION("""COMPUTED_VALUE"""),90.09)</f>
        <v>90.09</v>
      </c>
      <c r="D59" s="2">
        <f>IFERROR(__xludf.DUMMYFUNCTION("""COMPUTED_VALUE"""),83.94)</f>
        <v>83.94</v>
      </c>
      <c r="E59" s="2">
        <f>IFERROR(__xludf.DUMMYFUNCTION("""COMPUTED_VALUE"""),84.97)</f>
        <v>84.97</v>
      </c>
      <c r="F59" s="2">
        <f>IFERROR(__xludf.DUMMYFUNCTION("""COMPUTED_VALUE"""),3719900.0)</f>
        <v>3719900</v>
      </c>
      <c r="G59" s="2">
        <f t="shared" si="1"/>
        <v>6.15</v>
      </c>
    </row>
    <row r="60" ht="15.75" customHeight="1">
      <c r="A60" s="1">
        <f>IFERROR(__xludf.DUMMYFUNCTION("""COMPUTED_VALUE"""),43914.66666666667)</f>
        <v>43914.66667</v>
      </c>
      <c r="B60" s="2">
        <f>IFERROR(__xludf.DUMMYFUNCTION("""COMPUTED_VALUE"""),79.85)</f>
        <v>79.85</v>
      </c>
      <c r="C60" s="2">
        <f>IFERROR(__xludf.DUMMYFUNCTION("""COMPUTED_VALUE"""),91.11)</f>
        <v>91.11</v>
      </c>
      <c r="D60" s="2">
        <f>IFERROR(__xludf.DUMMYFUNCTION("""COMPUTED_VALUE"""),79.85)</f>
        <v>79.85</v>
      </c>
      <c r="E60" s="2">
        <f>IFERROR(__xludf.DUMMYFUNCTION("""COMPUTED_VALUE"""),85.99)</f>
        <v>85.99</v>
      </c>
      <c r="F60" s="2">
        <f>IFERROR(__xludf.DUMMYFUNCTION("""COMPUTED_VALUE"""),3957500.0)</f>
        <v>3957500</v>
      </c>
      <c r="G60" s="2">
        <f t="shared" si="1"/>
        <v>11.26</v>
      </c>
    </row>
    <row r="61" ht="15.75" customHeight="1">
      <c r="A61" s="1">
        <f>IFERROR(__xludf.DUMMYFUNCTION("""COMPUTED_VALUE"""),43916.66666666667)</f>
        <v>43916.66667</v>
      </c>
      <c r="B61" s="2">
        <f>IFERROR(__xludf.DUMMYFUNCTION("""COMPUTED_VALUE"""),80.87)</f>
        <v>80.87</v>
      </c>
      <c r="C61" s="2">
        <f>IFERROR(__xludf.DUMMYFUNCTION("""COMPUTED_VALUE"""),102.37)</f>
        <v>102.37</v>
      </c>
      <c r="D61" s="2">
        <f>IFERROR(__xludf.DUMMYFUNCTION("""COMPUTED_VALUE"""),80.87)</f>
        <v>80.87</v>
      </c>
      <c r="E61" s="2">
        <f>IFERROR(__xludf.DUMMYFUNCTION("""COMPUTED_VALUE"""),96.23)</f>
        <v>96.23</v>
      </c>
      <c r="F61" s="2">
        <f>IFERROR(__xludf.DUMMYFUNCTION("""COMPUTED_VALUE"""),1.0168E7)</f>
        <v>10168000</v>
      </c>
      <c r="G61" s="2">
        <f t="shared" si="1"/>
        <v>21.5</v>
      </c>
    </row>
    <row r="62" ht="15.75" customHeight="1">
      <c r="A62" s="1">
        <f>IFERROR(__xludf.DUMMYFUNCTION("""COMPUTED_VALUE"""),43917.66666666667)</f>
        <v>43917.66667</v>
      </c>
      <c r="B62" s="2">
        <f>IFERROR(__xludf.DUMMYFUNCTION("""COMPUTED_VALUE"""),91.11)</f>
        <v>91.11</v>
      </c>
      <c r="C62" s="2">
        <f>IFERROR(__xludf.DUMMYFUNCTION("""COMPUTED_VALUE"""),112.61)</f>
        <v>112.61</v>
      </c>
      <c r="D62" s="2">
        <f>IFERROR(__xludf.DUMMYFUNCTION("""COMPUTED_VALUE"""),91.11)</f>
        <v>91.11</v>
      </c>
      <c r="E62" s="2">
        <f>IFERROR(__xludf.DUMMYFUNCTION("""COMPUTED_VALUE"""),101.35)</f>
        <v>101.35</v>
      </c>
      <c r="F62" s="2">
        <f>IFERROR(__xludf.DUMMYFUNCTION("""COMPUTED_VALUE"""),1.97236E7)</f>
        <v>19723600</v>
      </c>
      <c r="G62" s="2">
        <f t="shared" si="1"/>
        <v>21.5</v>
      </c>
    </row>
    <row r="63" ht="15.75" customHeight="1">
      <c r="A63" s="1">
        <f>IFERROR(__xludf.DUMMYFUNCTION("""COMPUTED_VALUE"""),43920.66666666667)</f>
        <v>43920.66667</v>
      </c>
      <c r="B63" s="2">
        <f>IFERROR(__xludf.DUMMYFUNCTION("""COMPUTED_VALUE"""),97.25)</f>
        <v>97.25</v>
      </c>
      <c r="C63" s="2">
        <f>IFERROR(__xludf.DUMMYFUNCTION("""COMPUTED_VALUE"""),101.35)</f>
        <v>101.35</v>
      </c>
      <c r="D63" s="2">
        <f>IFERROR(__xludf.DUMMYFUNCTION("""COMPUTED_VALUE"""),95.2)</f>
        <v>95.2</v>
      </c>
      <c r="E63" s="2">
        <f>IFERROR(__xludf.DUMMYFUNCTION("""COMPUTED_VALUE"""),97.25)</f>
        <v>97.25</v>
      </c>
      <c r="F63" s="2">
        <f>IFERROR(__xludf.DUMMYFUNCTION("""COMPUTED_VALUE"""),5368100.0)</f>
        <v>5368100</v>
      </c>
      <c r="G63" s="2">
        <f t="shared" si="1"/>
        <v>6.15</v>
      </c>
    </row>
    <row r="64" ht="15.75" customHeight="1">
      <c r="A64" s="1">
        <f>IFERROR(__xludf.DUMMYFUNCTION("""COMPUTED_VALUE"""),43921.66666666667)</f>
        <v>43921.66667</v>
      </c>
      <c r="B64" s="2">
        <f>IFERROR(__xludf.DUMMYFUNCTION("""COMPUTED_VALUE"""),91.11)</f>
        <v>91.11</v>
      </c>
      <c r="C64" s="2">
        <f>IFERROR(__xludf.DUMMYFUNCTION("""COMPUTED_VALUE"""),102.37)</f>
        <v>102.37</v>
      </c>
      <c r="D64" s="2">
        <f>IFERROR(__xludf.DUMMYFUNCTION("""COMPUTED_VALUE"""),91.11)</f>
        <v>91.11</v>
      </c>
      <c r="E64" s="2">
        <f>IFERROR(__xludf.DUMMYFUNCTION("""COMPUTED_VALUE"""),100.32)</f>
        <v>100.32</v>
      </c>
      <c r="F64" s="2">
        <f>IFERROR(__xludf.DUMMYFUNCTION("""COMPUTED_VALUE"""),1749200.0)</f>
        <v>1749200</v>
      </c>
      <c r="G64" s="2">
        <f t="shared" si="1"/>
        <v>11.26</v>
      </c>
    </row>
    <row r="65" ht="15.75" customHeight="1">
      <c r="A65" s="1">
        <f>IFERROR(__xludf.DUMMYFUNCTION("""COMPUTED_VALUE"""),43922.66666666667)</f>
        <v>43922.66667</v>
      </c>
      <c r="B65" s="2">
        <f>IFERROR(__xludf.DUMMYFUNCTION("""COMPUTED_VALUE"""),94.18)</f>
        <v>94.18</v>
      </c>
      <c r="C65" s="2">
        <f>IFERROR(__xludf.DUMMYFUNCTION("""COMPUTED_VALUE"""),104.42)</f>
        <v>104.42</v>
      </c>
      <c r="D65" s="2">
        <f>IFERROR(__xludf.DUMMYFUNCTION("""COMPUTED_VALUE"""),94.18)</f>
        <v>94.18</v>
      </c>
      <c r="E65" s="2">
        <f>IFERROR(__xludf.DUMMYFUNCTION("""COMPUTED_VALUE"""),98.28)</f>
        <v>98.28</v>
      </c>
      <c r="F65" s="2">
        <f>IFERROR(__xludf.DUMMYFUNCTION("""COMPUTED_VALUE"""),1652200.0)</f>
        <v>1652200</v>
      </c>
      <c r="G65" s="2">
        <f t="shared" si="1"/>
        <v>10.24</v>
      </c>
    </row>
    <row r="66" ht="15.75" customHeight="1">
      <c r="A66" s="1">
        <f>IFERROR(__xludf.DUMMYFUNCTION("""COMPUTED_VALUE"""),43923.66666666667)</f>
        <v>43923.66667</v>
      </c>
      <c r="B66" s="2">
        <f>IFERROR(__xludf.DUMMYFUNCTION("""COMPUTED_VALUE"""),94.18)</f>
        <v>94.18</v>
      </c>
      <c r="C66" s="2">
        <f>IFERROR(__xludf.DUMMYFUNCTION("""COMPUTED_VALUE"""),102.37)</f>
        <v>102.37</v>
      </c>
      <c r="D66" s="2">
        <f>IFERROR(__xludf.DUMMYFUNCTION("""COMPUTED_VALUE"""),94.18)</f>
        <v>94.18</v>
      </c>
      <c r="E66" s="2">
        <f>IFERROR(__xludf.DUMMYFUNCTION("""COMPUTED_VALUE"""),100.32)</f>
        <v>100.32</v>
      </c>
      <c r="F66" s="2">
        <f>IFERROR(__xludf.DUMMYFUNCTION("""COMPUTED_VALUE"""),2809500.0)</f>
        <v>2809500</v>
      </c>
      <c r="G66" s="2">
        <f t="shared" si="1"/>
        <v>8.19</v>
      </c>
    </row>
    <row r="67" ht="15.75" customHeight="1">
      <c r="A67" s="1">
        <f>IFERROR(__xludf.DUMMYFUNCTION("""COMPUTED_VALUE"""),43924.66666666667)</f>
        <v>43924.66667</v>
      </c>
      <c r="B67" s="2">
        <f>IFERROR(__xludf.DUMMYFUNCTION("""COMPUTED_VALUE"""),94.18)</f>
        <v>94.18</v>
      </c>
      <c r="C67" s="2">
        <f>IFERROR(__xludf.DUMMYFUNCTION("""COMPUTED_VALUE"""),104.42)</f>
        <v>104.42</v>
      </c>
      <c r="D67" s="2">
        <f>IFERROR(__xludf.DUMMYFUNCTION("""COMPUTED_VALUE"""),94.18)</f>
        <v>94.18</v>
      </c>
      <c r="E67" s="2">
        <f>IFERROR(__xludf.DUMMYFUNCTION("""COMPUTED_VALUE"""),100.32)</f>
        <v>100.32</v>
      </c>
      <c r="F67" s="2">
        <f>IFERROR(__xludf.DUMMYFUNCTION("""COMPUTED_VALUE"""),3961200.0)</f>
        <v>3961200</v>
      </c>
      <c r="G67" s="2">
        <f t="shared" si="1"/>
        <v>10.24</v>
      </c>
    </row>
    <row r="68" ht="15.75" customHeight="1">
      <c r="A68" s="1">
        <f>IFERROR(__xludf.DUMMYFUNCTION("""COMPUTED_VALUE"""),43927.66666666667)</f>
        <v>43927.66667</v>
      </c>
      <c r="B68" s="2">
        <f>IFERROR(__xludf.DUMMYFUNCTION("""COMPUTED_VALUE"""),94.18)</f>
        <v>94.18</v>
      </c>
      <c r="C68" s="2">
        <f>IFERROR(__xludf.DUMMYFUNCTION("""COMPUTED_VALUE"""),111.58)</f>
        <v>111.58</v>
      </c>
      <c r="D68" s="2">
        <f>IFERROR(__xludf.DUMMYFUNCTION("""COMPUTED_VALUE"""),94.18)</f>
        <v>94.18</v>
      </c>
      <c r="E68" s="2">
        <f>IFERROR(__xludf.DUMMYFUNCTION("""COMPUTED_VALUE"""),107.49)</f>
        <v>107.49</v>
      </c>
      <c r="F68" s="2">
        <f>IFERROR(__xludf.DUMMYFUNCTION("""COMPUTED_VALUE"""),1.08839E7)</f>
        <v>10883900</v>
      </c>
      <c r="G68" s="2">
        <f t="shared" si="1"/>
        <v>17.4</v>
      </c>
    </row>
    <row r="69" ht="15.75" customHeight="1">
      <c r="A69" s="1">
        <f>IFERROR(__xludf.DUMMYFUNCTION("""COMPUTED_VALUE"""),43928.66666666667)</f>
        <v>43928.66667</v>
      </c>
      <c r="B69" s="2">
        <f>IFERROR(__xludf.DUMMYFUNCTION("""COMPUTED_VALUE"""),100.32)</f>
        <v>100.32</v>
      </c>
      <c r="C69" s="2">
        <f>IFERROR(__xludf.DUMMYFUNCTION("""COMPUTED_VALUE"""),115.68)</f>
        <v>115.68</v>
      </c>
      <c r="D69" s="2">
        <f>IFERROR(__xludf.DUMMYFUNCTION("""COMPUTED_VALUE"""),100.32)</f>
        <v>100.32</v>
      </c>
      <c r="E69" s="2">
        <f>IFERROR(__xludf.DUMMYFUNCTION("""COMPUTED_VALUE"""),107.49)</f>
        <v>107.49</v>
      </c>
      <c r="F69" s="2">
        <f>IFERROR(__xludf.DUMMYFUNCTION("""COMPUTED_VALUE"""),9103400.0)</f>
        <v>9103400</v>
      </c>
      <c r="G69" s="2">
        <f t="shared" si="1"/>
        <v>15.36</v>
      </c>
    </row>
    <row r="70" ht="15.75" customHeight="1">
      <c r="A70" s="1">
        <f>IFERROR(__xludf.DUMMYFUNCTION("""COMPUTED_VALUE"""),43929.66666666667)</f>
        <v>43929.66667</v>
      </c>
      <c r="B70" s="2">
        <f>IFERROR(__xludf.DUMMYFUNCTION("""COMPUTED_VALUE"""),100.32)</f>
        <v>100.32</v>
      </c>
      <c r="C70" s="2">
        <f>IFERROR(__xludf.DUMMYFUNCTION("""COMPUTED_VALUE"""),110.56)</f>
        <v>110.56</v>
      </c>
      <c r="D70" s="2">
        <f>IFERROR(__xludf.DUMMYFUNCTION("""COMPUTED_VALUE"""),100.32)</f>
        <v>100.32</v>
      </c>
      <c r="E70" s="2">
        <f>IFERROR(__xludf.DUMMYFUNCTION("""COMPUTED_VALUE"""),100.32)</f>
        <v>100.32</v>
      </c>
      <c r="F70" s="2">
        <f>IFERROR(__xludf.DUMMYFUNCTION("""COMPUTED_VALUE"""),6342800.0)</f>
        <v>6342800</v>
      </c>
      <c r="G70" s="2">
        <f t="shared" si="1"/>
        <v>10.24</v>
      </c>
    </row>
    <row r="71" ht="15.75" customHeight="1">
      <c r="A71" s="1">
        <f>IFERROR(__xludf.DUMMYFUNCTION("""COMPUTED_VALUE"""),43930.66666666667)</f>
        <v>43930.66667</v>
      </c>
      <c r="B71" s="2">
        <f>IFERROR(__xludf.DUMMYFUNCTION("""COMPUTED_VALUE"""),94.18)</f>
        <v>94.18</v>
      </c>
      <c r="C71" s="2">
        <f>IFERROR(__xludf.DUMMYFUNCTION("""COMPUTED_VALUE"""),103.39)</f>
        <v>103.39</v>
      </c>
      <c r="D71" s="2">
        <f>IFERROR(__xludf.DUMMYFUNCTION("""COMPUTED_VALUE"""),94.18)</f>
        <v>94.18</v>
      </c>
      <c r="E71" s="2">
        <f>IFERROR(__xludf.DUMMYFUNCTION("""COMPUTED_VALUE"""),101.35)</f>
        <v>101.35</v>
      </c>
      <c r="F71" s="2">
        <f>IFERROR(__xludf.DUMMYFUNCTION("""COMPUTED_VALUE"""),2283100.0)</f>
        <v>2283100</v>
      </c>
      <c r="G71" s="2">
        <f t="shared" si="1"/>
        <v>9.21</v>
      </c>
    </row>
    <row r="72" ht="15.75" customHeight="1">
      <c r="A72" s="1">
        <f>IFERROR(__xludf.DUMMYFUNCTION("""COMPUTED_VALUE"""),43934.66666666667)</f>
        <v>43934.66667</v>
      </c>
      <c r="B72" s="2">
        <f>IFERROR(__xludf.DUMMYFUNCTION("""COMPUTED_VALUE"""),95.2)</f>
        <v>95.2</v>
      </c>
      <c r="C72" s="2">
        <f>IFERROR(__xludf.DUMMYFUNCTION("""COMPUTED_VALUE"""),104.42)</f>
        <v>104.42</v>
      </c>
      <c r="D72" s="2">
        <f>IFERROR(__xludf.DUMMYFUNCTION("""COMPUTED_VALUE"""),95.2)</f>
        <v>95.2</v>
      </c>
      <c r="E72" s="2">
        <f>IFERROR(__xludf.DUMMYFUNCTION("""COMPUTED_VALUE"""),102.37)</f>
        <v>102.37</v>
      </c>
      <c r="F72" s="2">
        <f>IFERROR(__xludf.DUMMYFUNCTION("""COMPUTED_VALUE"""),3095700.0)</f>
        <v>3095700</v>
      </c>
      <c r="G72" s="2">
        <f t="shared" si="1"/>
        <v>9.22</v>
      </c>
    </row>
    <row r="73" ht="15.75" customHeight="1">
      <c r="A73" s="1">
        <f>IFERROR(__xludf.DUMMYFUNCTION("""COMPUTED_VALUE"""),43935.66666666667)</f>
        <v>43935.66667</v>
      </c>
      <c r="B73" s="2">
        <f>IFERROR(__xludf.DUMMYFUNCTION("""COMPUTED_VALUE"""),102.37)</f>
        <v>102.37</v>
      </c>
      <c r="C73" s="2">
        <f>IFERROR(__xludf.DUMMYFUNCTION("""COMPUTED_VALUE"""),105.44)</f>
        <v>105.44</v>
      </c>
      <c r="D73" s="2">
        <f>IFERROR(__xludf.DUMMYFUNCTION("""COMPUTED_VALUE"""),102.37)</f>
        <v>102.37</v>
      </c>
      <c r="E73" s="2">
        <f>IFERROR(__xludf.DUMMYFUNCTION("""COMPUTED_VALUE"""),104.42)</f>
        <v>104.42</v>
      </c>
      <c r="F73" s="2">
        <f>IFERROR(__xludf.DUMMYFUNCTION("""COMPUTED_VALUE"""),4136700.0)</f>
        <v>4136700</v>
      </c>
      <c r="G73" s="2">
        <f t="shared" si="1"/>
        <v>3.07</v>
      </c>
    </row>
    <row r="74" ht="15.75" customHeight="1">
      <c r="A74" s="1">
        <f>IFERROR(__xludf.DUMMYFUNCTION("""COMPUTED_VALUE"""),43936.66666666667)</f>
        <v>43936.66667</v>
      </c>
      <c r="B74" s="2">
        <f>IFERROR(__xludf.DUMMYFUNCTION("""COMPUTED_VALUE"""),102.37)</f>
        <v>102.37</v>
      </c>
      <c r="C74" s="2">
        <f>IFERROR(__xludf.DUMMYFUNCTION("""COMPUTED_VALUE"""),107.49)</f>
        <v>107.49</v>
      </c>
      <c r="D74" s="2">
        <f>IFERROR(__xludf.DUMMYFUNCTION("""COMPUTED_VALUE"""),101.35)</f>
        <v>101.35</v>
      </c>
      <c r="E74" s="2">
        <f>IFERROR(__xludf.DUMMYFUNCTION("""COMPUTED_VALUE"""),101.35)</f>
        <v>101.35</v>
      </c>
      <c r="F74" s="2">
        <f>IFERROR(__xludf.DUMMYFUNCTION("""COMPUTED_VALUE"""),3813400.0)</f>
        <v>3813400</v>
      </c>
      <c r="G74" s="2">
        <f t="shared" si="1"/>
        <v>6.14</v>
      </c>
    </row>
    <row r="75" ht="15.75" customHeight="1">
      <c r="A75" s="1">
        <f>IFERROR(__xludf.DUMMYFUNCTION("""COMPUTED_VALUE"""),43937.66666666667)</f>
        <v>43937.66667</v>
      </c>
      <c r="B75" s="2">
        <f>IFERROR(__xludf.DUMMYFUNCTION("""COMPUTED_VALUE"""),95.2)</f>
        <v>95.2</v>
      </c>
      <c r="C75" s="2">
        <f>IFERROR(__xludf.DUMMYFUNCTION("""COMPUTED_VALUE"""),103.39)</f>
        <v>103.39</v>
      </c>
      <c r="D75" s="2">
        <f>IFERROR(__xludf.DUMMYFUNCTION("""COMPUTED_VALUE"""),95.2)</f>
        <v>95.2</v>
      </c>
      <c r="E75" s="2">
        <f>IFERROR(__xludf.DUMMYFUNCTION("""COMPUTED_VALUE"""),99.3)</f>
        <v>99.3</v>
      </c>
      <c r="F75" s="2">
        <f>IFERROR(__xludf.DUMMYFUNCTION("""COMPUTED_VALUE"""),4461200.0)</f>
        <v>4461200</v>
      </c>
      <c r="G75" s="2">
        <f t="shared" si="1"/>
        <v>8.19</v>
      </c>
    </row>
    <row r="76" ht="15.75" customHeight="1">
      <c r="A76" s="1">
        <f>IFERROR(__xludf.DUMMYFUNCTION("""COMPUTED_VALUE"""),43938.66666666667)</f>
        <v>43938.66667</v>
      </c>
      <c r="B76" s="2">
        <f>IFERROR(__xludf.DUMMYFUNCTION("""COMPUTED_VALUE"""),99.3)</f>
        <v>99.3</v>
      </c>
      <c r="C76" s="2">
        <f>IFERROR(__xludf.DUMMYFUNCTION("""COMPUTED_VALUE"""),112.61)</f>
        <v>112.61</v>
      </c>
      <c r="D76" s="2">
        <f>IFERROR(__xludf.DUMMYFUNCTION("""COMPUTED_VALUE"""),99.3)</f>
        <v>99.3</v>
      </c>
      <c r="E76" s="2">
        <f>IFERROR(__xludf.DUMMYFUNCTION("""COMPUTED_VALUE"""),105.44)</f>
        <v>105.44</v>
      </c>
      <c r="F76" s="2">
        <f>IFERROR(__xludf.DUMMYFUNCTION("""COMPUTED_VALUE"""),1.55209E7)</f>
        <v>15520900</v>
      </c>
      <c r="G76" s="2">
        <f t="shared" si="1"/>
        <v>13.31</v>
      </c>
    </row>
    <row r="77" ht="15.75" customHeight="1">
      <c r="A77" s="1">
        <f>IFERROR(__xludf.DUMMYFUNCTION("""COMPUTED_VALUE"""),43941.66666666667)</f>
        <v>43941.66667</v>
      </c>
      <c r="B77" s="2">
        <f>IFERROR(__xludf.DUMMYFUNCTION("""COMPUTED_VALUE"""),109.54)</f>
        <v>109.54</v>
      </c>
      <c r="C77" s="2">
        <f>IFERROR(__xludf.DUMMYFUNCTION("""COMPUTED_VALUE"""),113.63)</f>
        <v>113.63</v>
      </c>
      <c r="D77" s="2">
        <f>IFERROR(__xludf.DUMMYFUNCTION("""COMPUTED_VALUE"""),104.42)</f>
        <v>104.42</v>
      </c>
      <c r="E77" s="2">
        <f>IFERROR(__xludf.DUMMYFUNCTION("""COMPUTED_VALUE"""),104.42)</f>
        <v>104.42</v>
      </c>
      <c r="F77" s="2">
        <f>IFERROR(__xludf.DUMMYFUNCTION("""COMPUTED_VALUE"""),1.28859E7)</f>
        <v>12885900</v>
      </c>
      <c r="G77" s="2">
        <f t="shared" si="1"/>
        <v>9.21</v>
      </c>
    </row>
    <row r="78" ht="15.75" customHeight="1">
      <c r="A78" s="1">
        <f>IFERROR(__xludf.DUMMYFUNCTION("""COMPUTED_VALUE"""),43942.66666666667)</f>
        <v>43942.66667</v>
      </c>
      <c r="B78" s="2">
        <f>IFERROR(__xludf.DUMMYFUNCTION("""COMPUTED_VALUE"""),97.25)</f>
        <v>97.25</v>
      </c>
      <c r="C78" s="2">
        <f>IFERROR(__xludf.DUMMYFUNCTION("""COMPUTED_VALUE"""),106.46)</f>
        <v>106.46</v>
      </c>
      <c r="D78" s="2">
        <f>IFERROR(__xludf.DUMMYFUNCTION("""COMPUTED_VALUE"""),97.25)</f>
        <v>97.25</v>
      </c>
      <c r="E78" s="2">
        <f>IFERROR(__xludf.DUMMYFUNCTION("""COMPUTED_VALUE"""),101.35)</f>
        <v>101.35</v>
      </c>
      <c r="F78" s="2">
        <f>IFERROR(__xludf.DUMMYFUNCTION("""COMPUTED_VALUE"""),2705500.0)</f>
        <v>2705500</v>
      </c>
      <c r="G78" s="2">
        <f t="shared" si="1"/>
        <v>9.21</v>
      </c>
    </row>
    <row r="79" ht="15.75" customHeight="1">
      <c r="A79" s="1">
        <f>IFERROR(__xludf.DUMMYFUNCTION("""COMPUTED_VALUE"""),43943.66666666667)</f>
        <v>43943.66667</v>
      </c>
      <c r="B79" s="2">
        <f>IFERROR(__xludf.DUMMYFUNCTION("""COMPUTED_VALUE"""),95.2)</f>
        <v>95.2</v>
      </c>
      <c r="C79" s="2">
        <f>IFERROR(__xludf.DUMMYFUNCTION("""COMPUTED_VALUE"""),102.37)</f>
        <v>102.37</v>
      </c>
      <c r="D79" s="2">
        <f>IFERROR(__xludf.DUMMYFUNCTION("""COMPUTED_VALUE"""),95.2)</f>
        <v>95.2</v>
      </c>
      <c r="E79" s="2">
        <f>IFERROR(__xludf.DUMMYFUNCTION("""COMPUTED_VALUE"""),101.35)</f>
        <v>101.35</v>
      </c>
      <c r="F79" s="2">
        <f>IFERROR(__xludf.DUMMYFUNCTION("""COMPUTED_VALUE"""),3700200.0)</f>
        <v>3700200</v>
      </c>
      <c r="G79" s="2">
        <f t="shared" si="1"/>
        <v>7.17</v>
      </c>
    </row>
    <row r="80" ht="15.75" customHeight="1">
      <c r="A80" s="1">
        <f>IFERROR(__xludf.DUMMYFUNCTION("""COMPUTED_VALUE"""),43944.66666666667)</f>
        <v>43944.66667</v>
      </c>
      <c r="B80" s="2">
        <f>IFERROR(__xludf.DUMMYFUNCTION("""COMPUTED_VALUE"""),101.35)</f>
        <v>101.35</v>
      </c>
      <c r="C80" s="2">
        <f>IFERROR(__xludf.DUMMYFUNCTION("""COMPUTED_VALUE"""),103.39)</f>
        <v>103.39</v>
      </c>
      <c r="D80" s="2">
        <f>IFERROR(__xludf.DUMMYFUNCTION("""COMPUTED_VALUE"""),100.32)</f>
        <v>100.32</v>
      </c>
      <c r="E80" s="2">
        <f>IFERROR(__xludf.DUMMYFUNCTION("""COMPUTED_VALUE"""),101.35)</f>
        <v>101.35</v>
      </c>
      <c r="F80" s="2">
        <f>IFERROR(__xludf.DUMMYFUNCTION("""COMPUTED_VALUE"""),2311100.0)</f>
        <v>2311100</v>
      </c>
      <c r="G80" s="2">
        <f t="shared" si="1"/>
        <v>3.07</v>
      </c>
    </row>
    <row r="81" ht="15.75" customHeight="1">
      <c r="A81" s="1">
        <f>IFERROR(__xludf.DUMMYFUNCTION("""COMPUTED_VALUE"""),43945.66666666667)</f>
        <v>43945.66667</v>
      </c>
      <c r="B81" s="2">
        <f>IFERROR(__xludf.DUMMYFUNCTION("""COMPUTED_VALUE"""),102.37)</f>
        <v>102.37</v>
      </c>
      <c r="C81" s="2">
        <f>IFERROR(__xludf.DUMMYFUNCTION("""COMPUTED_VALUE"""),102.37)</f>
        <v>102.37</v>
      </c>
      <c r="D81" s="2">
        <f>IFERROR(__xludf.DUMMYFUNCTION("""COMPUTED_VALUE"""),99.3)</f>
        <v>99.3</v>
      </c>
      <c r="E81" s="2">
        <f>IFERROR(__xludf.DUMMYFUNCTION("""COMPUTED_VALUE"""),99.3)</f>
        <v>99.3</v>
      </c>
      <c r="F81" s="2">
        <f>IFERROR(__xludf.DUMMYFUNCTION("""COMPUTED_VALUE"""),3619000.0)</f>
        <v>3619000</v>
      </c>
      <c r="G81" s="2">
        <f t="shared" si="1"/>
        <v>3.07</v>
      </c>
    </row>
    <row r="82" ht="15.75" customHeight="1">
      <c r="A82" s="1">
        <f>IFERROR(__xludf.DUMMYFUNCTION("""COMPUTED_VALUE"""),43948.66666666667)</f>
        <v>43948.66667</v>
      </c>
      <c r="B82" s="2">
        <f>IFERROR(__xludf.DUMMYFUNCTION("""COMPUTED_VALUE"""),94.18)</f>
        <v>94.18</v>
      </c>
      <c r="C82" s="2">
        <f>IFERROR(__xludf.DUMMYFUNCTION("""COMPUTED_VALUE"""),102.37)</f>
        <v>102.37</v>
      </c>
      <c r="D82" s="2">
        <f>IFERROR(__xludf.DUMMYFUNCTION("""COMPUTED_VALUE"""),94.18)</f>
        <v>94.18</v>
      </c>
      <c r="E82" s="2">
        <f>IFERROR(__xludf.DUMMYFUNCTION("""COMPUTED_VALUE"""),100.32)</f>
        <v>100.32</v>
      </c>
      <c r="F82" s="2">
        <f>IFERROR(__xludf.DUMMYFUNCTION("""COMPUTED_VALUE"""),1779900.0)</f>
        <v>1779900</v>
      </c>
      <c r="G82" s="2">
        <f t="shared" si="1"/>
        <v>8.19</v>
      </c>
    </row>
    <row r="83" ht="15.75" customHeight="1">
      <c r="A83" s="1">
        <f>IFERROR(__xludf.DUMMYFUNCTION("""COMPUTED_VALUE"""),43949.66666666667)</f>
        <v>43949.66667</v>
      </c>
      <c r="B83" s="2">
        <f>IFERROR(__xludf.DUMMYFUNCTION("""COMPUTED_VALUE"""),100.32)</f>
        <v>100.32</v>
      </c>
      <c r="C83" s="2">
        <f>IFERROR(__xludf.DUMMYFUNCTION("""COMPUTED_VALUE"""),102.37)</f>
        <v>102.37</v>
      </c>
      <c r="D83" s="2">
        <f>IFERROR(__xludf.DUMMYFUNCTION("""COMPUTED_VALUE"""),99.3)</f>
        <v>99.3</v>
      </c>
      <c r="E83" s="2">
        <f>IFERROR(__xludf.DUMMYFUNCTION("""COMPUTED_VALUE"""),99.3)</f>
        <v>99.3</v>
      </c>
      <c r="F83" s="2">
        <f>IFERROR(__xludf.DUMMYFUNCTION("""COMPUTED_VALUE"""),1774100.0)</f>
        <v>1774100</v>
      </c>
      <c r="G83" s="2">
        <f t="shared" si="1"/>
        <v>3.07</v>
      </c>
    </row>
    <row r="84" ht="15.75" customHeight="1">
      <c r="A84" s="1">
        <f>IFERROR(__xludf.DUMMYFUNCTION("""COMPUTED_VALUE"""),43950.66666666667)</f>
        <v>43950.66667</v>
      </c>
      <c r="B84" s="2">
        <f>IFERROR(__xludf.DUMMYFUNCTION("""COMPUTED_VALUE"""),98.28)</f>
        <v>98.28</v>
      </c>
      <c r="C84" s="2">
        <f>IFERROR(__xludf.DUMMYFUNCTION("""COMPUTED_VALUE"""),101.35)</f>
        <v>101.35</v>
      </c>
      <c r="D84" s="2">
        <f>IFERROR(__xludf.DUMMYFUNCTION("""COMPUTED_VALUE"""),98.28)</f>
        <v>98.28</v>
      </c>
      <c r="E84" s="2">
        <f>IFERROR(__xludf.DUMMYFUNCTION("""COMPUTED_VALUE"""),99.3)</f>
        <v>99.3</v>
      </c>
      <c r="F84" s="2">
        <f>IFERROR(__xludf.DUMMYFUNCTION("""COMPUTED_VALUE"""),939600.0)</f>
        <v>939600</v>
      </c>
      <c r="G84" s="2">
        <f t="shared" si="1"/>
        <v>3.07</v>
      </c>
    </row>
    <row r="85" ht="15.75" customHeight="1">
      <c r="A85" s="1">
        <f>IFERROR(__xludf.DUMMYFUNCTION("""COMPUTED_VALUE"""),43951.66666666667)</f>
        <v>43951.66667</v>
      </c>
      <c r="B85" s="2">
        <f>IFERROR(__xludf.DUMMYFUNCTION("""COMPUTED_VALUE"""),99.3)</f>
        <v>99.3</v>
      </c>
      <c r="C85" s="2">
        <f>IFERROR(__xludf.DUMMYFUNCTION("""COMPUTED_VALUE"""),102.37)</f>
        <v>102.37</v>
      </c>
      <c r="D85" s="2">
        <f>IFERROR(__xludf.DUMMYFUNCTION("""COMPUTED_VALUE"""),99.3)</f>
        <v>99.3</v>
      </c>
      <c r="E85" s="2">
        <f>IFERROR(__xludf.DUMMYFUNCTION("""COMPUTED_VALUE"""),101.35)</f>
        <v>101.35</v>
      </c>
      <c r="F85" s="2">
        <f>IFERROR(__xludf.DUMMYFUNCTION("""COMPUTED_VALUE"""),2236500.0)</f>
        <v>2236500</v>
      </c>
      <c r="G85" s="2">
        <f t="shared" si="1"/>
        <v>3.07</v>
      </c>
    </row>
    <row r="86" ht="15.75" customHeight="1">
      <c r="A86" s="1">
        <f>IFERROR(__xludf.DUMMYFUNCTION("""COMPUTED_VALUE"""),43955.66666666667)</f>
        <v>43955.66667</v>
      </c>
      <c r="B86" s="2">
        <f>IFERROR(__xludf.DUMMYFUNCTION("""COMPUTED_VALUE"""),99.3)</f>
        <v>99.3</v>
      </c>
      <c r="C86" s="2">
        <f>IFERROR(__xludf.DUMMYFUNCTION("""COMPUTED_VALUE"""),106.46)</f>
        <v>106.46</v>
      </c>
      <c r="D86" s="2">
        <f>IFERROR(__xludf.DUMMYFUNCTION("""COMPUTED_VALUE"""),99.3)</f>
        <v>99.3</v>
      </c>
      <c r="E86" s="2">
        <f>IFERROR(__xludf.DUMMYFUNCTION("""COMPUTED_VALUE"""),102.37)</f>
        <v>102.37</v>
      </c>
      <c r="F86" s="2">
        <f>IFERROR(__xludf.DUMMYFUNCTION("""COMPUTED_VALUE"""),6544900.0)</f>
        <v>6544900</v>
      </c>
      <c r="G86" s="2">
        <f t="shared" si="1"/>
        <v>7.16</v>
      </c>
    </row>
    <row r="87" ht="15.75" customHeight="1">
      <c r="A87" s="1">
        <f>IFERROR(__xludf.DUMMYFUNCTION("""COMPUTED_VALUE"""),43956.66666666667)</f>
        <v>43956.66667</v>
      </c>
      <c r="B87" s="2">
        <f>IFERROR(__xludf.DUMMYFUNCTION("""COMPUTED_VALUE"""),98.28)</f>
        <v>98.28</v>
      </c>
      <c r="C87" s="2">
        <f>IFERROR(__xludf.DUMMYFUNCTION("""COMPUTED_VALUE"""),137.18)</f>
        <v>137.18</v>
      </c>
      <c r="D87" s="2">
        <f>IFERROR(__xludf.DUMMYFUNCTION("""COMPUTED_VALUE"""),98.28)</f>
        <v>98.28</v>
      </c>
      <c r="E87" s="2">
        <f>IFERROR(__xludf.DUMMYFUNCTION("""COMPUTED_VALUE"""),133.08)</f>
        <v>133.08</v>
      </c>
      <c r="F87" s="2">
        <f>IFERROR(__xludf.DUMMYFUNCTION("""COMPUTED_VALUE"""),2.159165E8)</f>
        <v>215916500</v>
      </c>
      <c r="G87" s="2">
        <f t="shared" si="1"/>
        <v>38.9</v>
      </c>
    </row>
    <row r="88" ht="15.75" customHeight="1">
      <c r="A88" s="1">
        <f>IFERROR(__xludf.DUMMYFUNCTION("""COMPUTED_VALUE"""),43957.66666666667)</f>
        <v>43957.66667</v>
      </c>
      <c r="B88" s="2">
        <f>IFERROR(__xludf.DUMMYFUNCTION("""COMPUTED_VALUE"""),135.13)</f>
        <v>135.13</v>
      </c>
      <c r="C88" s="2">
        <f>IFERROR(__xludf.DUMMYFUNCTION("""COMPUTED_VALUE"""),147.41)</f>
        <v>147.41</v>
      </c>
      <c r="D88" s="2">
        <f>IFERROR(__xludf.DUMMYFUNCTION("""COMPUTED_VALUE"""),123.87)</f>
        <v>123.87</v>
      </c>
      <c r="E88" s="2">
        <f>IFERROR(__xludf.DUMMYFUNCTION("""COMPUTED_VALUE"""),123.87)</f>
        <v>123.87</v>
      </c>
      <c r="F88" s="2">
        <f>IFERROR(__xludf.DUMMYFUNCTION("""COMPUTED_VALUE"""),1.242324E8)</f>
        <v>124232400</v>
      </c>
      <c r="G88" s="2">
        <f t="shared" si="1"/>
        <v>23.54</v>
      </c>
    </row>
    <row r="89" ht="15.75" customHeight="1">
      <c r="A89" s="1">
        <f>IFERROR(__xludf.DUMMYFUNCTION("""COMPUTED_VALUE"""),43959.66666666667)</f>
        <v>43959.66667</v>
      </c>
      <c r="B89" s="2">
        <f>IFERROR(__xludf.DUMMYFUNCTION("""COMPUTED_VALUE"""),116.7)</f>
        <v>116.7</v>
      </c>
      <c r="C89" s="2">
        <f>IFERROR(__xludf.DUMMYFUNCTION("""COMPUTED_VALUE"""),127.96)</f>
        <v>127.96</v>
      </c>
      <c r="D89" s="2">
        <f>IFERROR(__xludf.DUMMYFUNCTION("""COMPUTED_VALUE"""),115.68)</f>
        <v>115.68</v>
      </c>
      <c r="E89" s="2">
        <f>IFERROR(__xludf.DUMMYFUNCTION("""COMPUTED_VALUE"""),118.75)</f>
        <v>118.75</v>
      </c>
      <c r="F89" s="2">
        <f>IFERROR(__xludf.DUMMYFUNCTION("""COMPUTED_VALUE"""),1.97343E7)</f>
        <v>19734300</v>
      </c>
      <c r="G89" s="2">
        <f t="shared" si="1"/>
        <v>12.28</v>
      </c>
    </row>
    <row r="90" ht="15.75" customHeight="1">
      <c r="A90" s="1">
        <f>IFERROR(__xludf.DUMMYFUNCTION("""COMPUTED_VALUE"""),43962.66666666667)</f>
        <v>43962.66667</v>
      </c>
      <c r="B90" s="2">
        <f>IFERROR(__xludf.DUMMYFUNCTION("""COMPUTED_VALUE"""),120.8)</f>
        <v>120.8</v>
      </c>
      <c r="C90" s="2">
        <f>IFERROR(__xludf.DUMMYFUNCTION("""COMPUTED_VALUE"""),122.84)</f>
        <v>122.84</v>
      </c>
      <c r="D90" s="2">
        <f>IFERROR(__xludf.DUMMYFUNCTION("""COMPUTED_VALUE"""),115.68)</f>
        <v>115.68</v>
      </c>
      <c r="E90" s="2">
        <f>IFERROR(__xludf.DUMMYFUNCTION("""COMPUTED_VALUE"""),116.7)</f>
        <v>116.7</v>
      </c>
      <c r="F90" s="2">
        <f>IFERROR(__xludf.DUMMYFUNCTION("""COMPUTED_VALUE"""),7841800.0)</f>
        <v>7841800</v>
      </c>
      <c r="G90" s="2">
        <f t="shared" si="1"/>
        <v>7.16</v>
      </c>
    </row>
    <row r="91" ht="15.75" customHeight="1">
      <c r="A91" s="1">
        <f>IFERROR(__xludf.DUMMYFUNCTION("""COMPUTED_VALUE"""),43963.66666666667)</f>
        <v>43963.66667</v>
      </c>
      <c r="B91" s="2">
        <f>IFERROR(__xludf.DUMMYFUNCTION("""COMPUTED_VALUE"""),117.73)</f>
        <v>117.73</v>
      </c>
      <c r="C91" s="2">
        <f>IFERROR(__xludf.DUMMYFUNCTION("""COMPUTED_VALUE"""),118.75)</f>
        <v>118.75</v>
      </c>
      <c r="D91" s="2">
        <f>IFERROR(__xludf.DUMMYFUNCTION("""COMPUTED_VALUE"""),110.56)</f>
        <v>110.56</v>
      </c>
      <c r="E91" s="2">
        <f>IFERROR(__xludf.DUMMYFUNCTION("""COMPUTED_VALUE"""),113.63)</f>
        <v>113.63</v>
      </c>
      <c r="F91" s="2">
        <f>IFERROR(__xludf.DUMMYFUNCTION("""COMPUTED_VALUE"""),5951200.0)</f>
        <v>5951200</v>
      </c>
      <c r="G91" s="2">
        <f t="shared" si="1"/>
        <v>8.19</v>
      </c>
    </row>
    <row r="92" ht="15.75" customHeight="1">
      <c r="A92" s="1">
        <f>IFERROR(__xludf.DUMMYFUNCTION("""COMPUTED_VALUE"""),43964.66666666667)</f>
        <v>43964.66667</v>
      </c>
      <c r="B92" s="2">
        <f>IFERROR(__xludf.DUMMYFUNCTION("""COMPUTED_VALUE"""),112.61)</f>
        <v>112.61</v>
      </c>
      <c r="C92" s="2">
        <f>IFERROR(__xludf.DUMMYFUNCTION("""COMPUTED_VALUE"""),128.99)</f>
        <v>128.99</v>
      </c>
      <c r="D92" s="2">
        <f>IFERROR(__xludf.DUMMYFUNCTION("""COMPUTED_VALUE"""),109.54)</f>
        <v>109.54</v>
      </c>
      <c r="E92" s="2">
        <f>IFERROR(__xludf.DUMMYFUNCTION("""COMPUTED_VALUE"""),125.91)</f>
        <v>125.91</v>
      </c>
      <c r="F92" s="2">
        <f>IFERROR(__xludf.DUMMYFUNCTION("""COMPUTED_VALUE"""),5.31154E7)</f>
        <v>53115400</v>
      </c>
      <c r="G92" s="2">
        <f t="shared" si="1"/>
        <v>19.45</v>
      </c>
    </row>
    <row r="93" ht="15.75" customHeight="1">
      <c r="A93" s="1">
        <f>IFERROR(__xludf.DUMMYFUNCTION("""COMPUTED_VALUE"""),43965.66666666667)</f>
        <v>43965.66667</v>
      </c>
      <c r="B93" s="2">
        <f>IFERROR(__xludf.DUMMYFUNCTION("""COMPUTED_VALUE"""),127.96)</f>
        <v>127.96</v>
      </c>
      <c r="C93" s="2">
        <f>IFERROR(__xludf.DUMMYFUNCTION("""COMPUTED_VALUE"""),127.96)</f>
        <v>127.96</v>
      </c>
      <c r="D93" s="2">
        <f>IFERROR(__xludf.DUMMYFUNCTION("""COMPUTED_VALUE"""),117.73)</f>
        <v>117.73</v>
      </c>
      <c r="E93" s="2">
        <f>IFERROR(__xludf.DUMMYFUNCTION("""COMPUTED_VALUE"""),117.73)</f>
        <v>117.73</v>
      </c>
      <c r="F93" s="2">
        <f>IFERROR(__xludf.DUMMYFUNCTION("""COMPUTED_VALUE"""),2.21769E7)</f>
        <v>22176900</v>
      </c>
      <c r="G93" s="2">
        <f t="shared" si="1"/>
        <v>10.23</v>
      </c>
    </row>
    <row r="94" ht="15.75" customHeight="1">
      <c r="A94" s="1">
        <f>IFERROR(__xludf.DUMMYFUNCTION("""COMPUTED_VALUE"""),43966.66666666667)</f>
        <v>43966.66667</v>
      </c>
      <c r="B94" s="2">
        <f>IFERROR(__xludf.DUMMYFUNCTION("""COMPUTED_VALUE"""),119.77)</f>
        <v>119.77</v>
      </c>
      <c r="C94" s="2">
        <f>IFERROR(__xludf.DUMMYFUNCTION("""COMPUTED_VALUE"""),120.8)</f>
        <v>120.8</v>
      </c>
      <c r="D94" s="2">
        <f>IFERROR(__xludf.DUMMYFUNCTION("""COMPUTED_VALUE"""),113.63)</f>
        <v>113.63</v>
      </c>
      <c r="E94" s="2">
        <f>IFERROR(__xludf.DUMMYFUNCTION("""COMPUTED_VALUE"""),116.7)</f>
        <v>116.7</v>
      </c>
      <c r="F94" s="2">
        <f>IFERROR(__xludf.DUMMYFUNCTION("""COMPUTED_VALUE"""),8494000.0)</f>
        <v>8494000</v>
      </c>
      <c r="G94" s="2">
        <f t="shared" si="1"/>
        <v>7.17</v>
      </c>
    </row>
    <row r="95" ht="15.75" customHeight="1">
      <c r="A95" s="1">
        <f>IFERROR(__xludf.DUMMYFUNCTION("""COMPUTED_VALUE"""),43969.66666666667)</f>
        <v>43969.66667</v>
      </c>
      <c r="B95" s="2">
        <f>IFERROR(__xludf.DUMMYFUNCTION("""COMPUTED_VALUE"""),117.73)</f>
        <v>117.73</v>
      </c>
      <c r="C95" s="2">
        <f>IFERROR(__xludf.DUMMYFUNCTION("""COMPUTED_VALUE"""),125.91)</f>
        <v>125.91</v>
      </c>
      <c r="D95" s="2">
        <f>IFERROR(__xludf.DUMMYFUNCTION("""COMPUTED_VALUE"""),114.65)</f>
        <v>114.65</v>
      </c>
      <c r="E95" s="2">
        <f>IFERROR(__xludf.DUMMYFUNCTION("""COMPUTED_VALUE"""),120.8)</f>
        <v>120.8</v>
      </c>
      <c r="F95" s="2">
        <f>IFERROR(__xludf.DUMMYFUNCTION("""COMPUTED_VALUE"""),2.49646E7)</f>
        <v>24964600</v>
      </c>
      <c r="G95" s="2">
        <f t="shared" si="1"/>
        <v>11.26</v>
      </c>
    </row>
    <row r="96" ht="15.75" customHeight="1">
      <c r="A96" s="1">
        <f>IFERROR(__xludf.DUMMYFUNCTION("""COMPUTED_VALUE"""),43970.66666666667)</f>
        <v>43970.66667</v>
      </c>
      <c r="B96" s="2">
        <f>IFERROR(__xludf.DUMMYFUNCTION("""COMPUTED_VALUE"""),125.91)</f>
        <v>125.91</v>
      </c>
      <c r="C96" s="2">
        <f>IFERROR(__xludf.DUMMYFUNCTION("""COMPUTED_VALUE"""),136.15)</f>
        <v>136.15</v>
      </c>
      <c r="D96" s="2">
        <f>IFERROR(__xludf.DUMMYFUNCTION("""COMPUTED_VALUE"""),121.82)</f>
        <v>121.82</v>
      </c>
      <c r="E96" s="2">
        <f>IFERROR(__xludf.DUMMYFUNCTION("""COMPUTED_VALUE"""),123.87)</f>
        <v>123.87</v>
      </c>
      <c r="F96" s="2">
        <f>IFERROR(__xludf.DUMMYFUNCTION("""COMPUTED_VALUE"""),8.74386E7)</f>
        <v>87438600</v>
      </c>
      <c r="G96" s="2">
        <f t="shared" si="1"/>
        <v>15.35</v>
      </c>
    </row>
    <row r="97" ht="15.75" customHeight="1">
      <c r="A97" s="1">
        <f>IFERROR(__xludf.DUMMYFUNCTION("""COMPUTED_VALUE"""),43971.66666666667)</f>
        <v>43971.66667</v>
      </c>
      <c r="B97" s="2">
        <f>IFERROR(__xludf.DUMMYFUNCTION("""COMPUTED_VALUE"""),121.82)</f>
        <v>121.82</v>
      </c>
      <c r="C97" s="2">
        <f>IFERROR(__xludf.DUMMYFUNCTION("""COMPUTED_VALUE"""),126.94)</f>
        <v>126.94</v>
      </c>
      <c r="D97" s="2">
        <f>IFERROR(__xludf.DUMMYFUNCTION("""COMPUTED_VALUE"""),118.75)</f>
        <v>118.75</v>
      </c>
      <c r="E97" s="2">
        <f>IFERROR(__xludf.DUMMYFUNCTION("""COMPUTED_VALUE"""),120.8)</f>
        <v>120.8</v>
      </c>
      <c r="F97" s="2">
        <f>IFERROR(__xludf.DUMMYFUNCTION("""COMPUTED_VALUE"""),2.90578E7)</f>
        <v>29057800</v>
      </c>
      <c r="G97" s="2">
        <f t="shared" si="1"/>
        <v>8.19</v>
      </c>
    </row>
    <row r="98" ht="15.75" customHeight="1">
      <c r="A98" s="1">
        <f>IFERROR(__xludf.DUMMYFUNCTION("""COMPUTED_VALUE"""),43977.66666666667)</f>
        <v>43977.66667</v>
      </c>
      <c r="B98" s="2">
        <f>IFERROR(__xludf.DUMMYFUNCTION("""COMPUTED_VALUE"""),121.82)</f>
        <v>121.82</v>
      </c>
      <c r="C98" s="2">
        <f>IFERROR(__xludf.DUMMYFUNCTION("""COMPUTED_VALUE"""),122.84)</f>
        <v>122.84</v>
      </c>
      <c r="D98" s="2">
        <f>IFERROR(__xludf.DUMMYFUNCTION("""COMPUTED_VALUE"""),119.77)</f>
        <v>119.77</v>
      </c>
      <c r="E98" s="2">
        <f>IFERROR(__xludf.DUMMYFUNCTION("""COMPUTED_VALUE"""),121.82)</f>
        <v>121.82</v>
      </c>
      <c r="F98" s="2">
        <f>IFERROR(__xludf.DUMMYFUNCTION("""COMPUTED_VALUE"""),5572400.0)</f>
        <v>5572400</v>
      </c>
      <c r="G98" s="2">
        <f t="shared" si="1"/>
        <v>3.07</v>
      </c>
    </row>
    <row r="99" ht="15.75" customHeight="1">
      <c r="A99" s="1">
        <f>IFERROR(__xludf.DUMMYFUNCTION("""COMPUTED_VALUE"""),43978.66666666667)</f>
        <v>43978.66667</v>
      </c>
      <c r="B99" s="2">
        <f>IFERROR(__xludf.DUMMYFUNCTION("""COMPUTED_VALUE"""),121.82)</f>
        <v>121.82</v>
      </c>
      <c r="C99" s="2">
        <f>IFERROR(__xludf.DUMMYFUNCTION("""COMPUTED_VALUE"""),127.96)</f>
        <v>127.96</v>
      </c>
      <c r="D99" s="2">
        <f>IFERROR(__xludf.DUMMYFUNCTION("""COMPUTED_VALUE"""),120.8)</f>
        <v>120.8</v>
      </c>
      <c r="E99" s="2">
        <f>IFERROR(__xludf.DUMMYFUNCTION("""COMPUTED_VALUE"""),124.89)</f>
        <v>124.89</v>
      </c>
      <c r="F99" s="2">
        <f>IFERROR(__xludf.DUMMYFUNCTION("""COMPUTED_VALUE"""),1.03013E7)</f>
        <v>10301300</v>
      </c>
      <c r="G99" s="2">
        <f t="shared" si="1"/>
        <v>7.16</v>
      </c>
    </row>
    <row r="100" ht="15.75" customHeight="1">
      <c r="A100" s="1">
        <f>IFERROR(__xludf.DUMMYFUNCTION("""COMPUTED_VALUE"""),43979.66666666667)</f>
        <v>43979.66667</v>
      </c>
      <c r="B100" s="2">
        <f>IFERROR(__xludf.DUMMYFUNCTION("""COMPUTED_VALUE"""),126.94)</f>
        <v>126.94</v>
      </c>
      <c r="C100" s="2">
        <f>IFERROR(__xludf.DUMMYFUNCTION("""COMPUTED_VALUE"""),127.96)</f>
        <v>127.96</v>
      </c>
      <c r="D100" s="2">
        <f>IFERROR(__xludf.DUMMYFUNCTION("""COMPUTED_VALUE"""),120.8)</f>
        <v>120.8</v>
      </c>
      <c r="E100" s="2">
        <f>IFERROR(__xludf.DUMMYFUNCTION("""COMPUTED_VALUE"""),121.82)</f>
        <v>121.82</v>
      </c>
      <c r="F100" s="2">
        <f>IFERROR(__xludf.DUMMYFUNCTION("""COMPUTED_VALUE"""),7592900.0)</f>
        <v>7592900</v>
      </c>
      <c r="G100" s="2">
        <f t="shared" si="1"/>
        <v>7.16</v>
      </c>
    </row>
    <row r="101" ht="15.75" customHeight="1">
      <c r="A101" s="1">
        <f>IFERROR(__xludf.DUMMYFUNCTION("""COMPUTED_VALUE"""),43980.66666666667)</f>
        <v>43980.66667</v>
      </c>
      <c r="B101" s="2">
        <f>IFERROR(__xludf.DUMMYFUNCTION("""COMPUTED_VALUE"""),122.84)</f>
        <v>122.84</v>
      </c>
      <c r="C101" s="2">
        <f>IFERROR(__xludf.DUMMYFUNCTION("""COMPUTED_VALUE"""),123.87)</f>
        <v>123.87</v>
      </c>
      <c r="D101" s="2">
        <f>IFERROR(__xludf.DUMMYFUNCTION("""COMPUTED_VALUE"""),119.77)</f>
        <v>119.77</v>
      </c>
      <c r="E101" s="2">
        <f>IFERROR(__xludf.DUMMYFUNCTION("""COMPUTED_VALUE"""),122.84)</f>
        <v>122.84</v>
      </c>
      <c r="F101" s="2">
        <f>IFERROR(__xludf.DUMMYFUNCTION("""COMPUTED_VALUE"""),7675300.0)</f>
        <v>7675300</v>
      </c>
      <c r="G101" s="2">
        <f t="shared" si="1"/>
        <v>4.1</v>
      </c>
    </row>
    <row r="102" ht="15.75" customHeight="1">
      <c r="A102" s="1">
        <f>IFERROR(__xludf.DUMMYFUNCTION("""COMPUTED_VALUE"""),43984.66666666667)</f>
        <v>43984.66667</v>
      </c>
      <c r="B102" s="2">
        <f>IFERROR(__xludf.DUMMYFUNCTION("""COMPUTED_VALUE"""),122.84)</f>
        <v>122.84</v>
      </c>
      <c r="C102" s="2">
        <f>IFERROR(__xludf.DUMMYFUNCTION("""COMPUTED_VALUE"""),130.01)</f>
        <v>130.01</v>
      </c>
      <c r="D102" s="2">
        <f>IFERROR(__xludf.DUMMYFUNCTION("""COMPUTED_VALUE"""),122.84)</f>
        <v>122.84</v>
      </c>
      <c r="E102" s="2">
        <f>IFERROR(__xludf.DUMMYFUNCTION("""COMPUTED_VALUE"""),127.96)</f>
        <v>127.96</v>
      </c>
      <c r="F102" s="2">
        <f>IFERROR(__xludf.DUMMYFUNCTION("""COMPUTED_VALUE"""),1.98466E7)</f>
        <v>19846600</v>
      </c>
      <c r="G102" s="2">
        <f t="shared" si="1"/>
        <v>7.17</v>
      </c>
    </row>
    <row r="103" ht="15.75" customHeight="1">
      <c r="A103" s="1">
        <f>IFERROR(__xludf.DUMMYFUNCTION("""COMPUTED_VALUE"""),43985.66666666667)</f>
        <v>43985.66667</v>
      </c>
      <c r="B103" s="2">
        <f>IFERROR(__xludf.DUMMYFUNCTION("""COMPUTED_VALUE"""),127.96)</f>
        <v>127.96</v>
      </c>
      <c r="C103" s="2">
        <f>IFERROR(__xludf.DUMMYFUNCTION("""COMPUTED_VALUE"""),132.06)</f>
        <v>132.06</v>
      </c>
      <c r="D103" s="2">
        <f>IFERROR(__xludf.DUMMYFUNCTION("""COMPUTED_VALUE"""),124.89)</f>
        <v>124.89</v>
      </c>
      <c r="E103" s="2">
        <f>IFERROR(__xludf.DUMMYFUNCTION("""COMPUTED_VALUE"""),126.94)</f>
        <v>126.94</v>
      </c>
      <c r="F103" s="2">
        <f>IFERROR(__xludf.DUMMYFUNCTION("""COMPUTED_VALUE"""),1.17576E7)</f>
        <v>11757600</v>
      </c>
      <c r="G103" s="2">
        <f t="shared" si="1"/>
        <v>7.17</v>
      </c>
    </row>
    <row r="104" ht="15.75" customHeight="1">
      <c r="A104" s="1">
        <f>IFERROR(__xludf.DUMMYFUNCTION("""COMPUTED_VALUE"""),43986.66666666667)</f>
        <v>43986.66667</v>
      </c>
      <c r="B104" s="2">
        <f>IFERROR(__xludf.DUMMYFUNCTION("""COMPUTED_VALUE"""),126.94)</f>
        <v>126.94</v>
      </c>
      <c r="C104" s="2">
        <f>IFERROR(__xludf.DUMMYFUNCTION("""COMPUTED_VALUE"""),134.1)</f>
        <v>134.1</v>
      </c>
      <c r="D104" s="2">
        <f>IFERROR(__xludf.DUMMYFUNCTION("""COMPUTED_VALUE"""),126.94)</f>
        <v>126.94</v>
      </c>
      <c r="E104" s="2">
        <f>IFERROR(__xludf.DUMMYFUNCTION("""COMPUTED_VALUE"""),131.03)</f>
        <v>131.03</v>
      </c>
      <c r="F104" s="2">
        <f>IFERROR(__xludf.DUMMYFUNCTION("""COMPUTED_VALUE"""),1.17848E7)</f>
        <v>11784800</v>
      </c>
      <c r="G104" s="2">
        <f t="shared" si="1"/>
        <v>7.16</v>
      </c>
    </row>
    <row r="105" ht="15.75" customHeight="1">
      <c r="A105" s="1">
        <f>IFERROR(__xludf.DUMMYFUNCTION("""COMPUTED_VALUE"""),43987.66666666667)</f>
        <v>43987.66667</v>
      </c>
      <c r="B105" s="2">
        <f>IFERROR(__xludf.DUMMYFUNCTION("""COMPUTED_VALUE"""),132.06)</f>
        <v>132.06</v>
      </c>
      <c r="C105" s="2">
        <f>IFERROR(__xludf.DUMMYFUNCTION("""COMPUTED_VALUE"""),135.13)</f>
        <v>135.13</v>
      </c>
      <c r="D105" s="2">
        <f>IFERROR(__xludf.DUMMYFUNCTION("""COMPUTED_VALUE"""),128.99)</f>
        <v>128.99</v>
      </c>
      <c r="E105" s="2">
        <f>IFERROR(__xludf.DUMMYFUNCTION("""COMPUTED_VALUE"""),135.13)</f>
        <v>135.13</v>
      </c>
      <c r="F105" s="2">
        <f>IFERROR(__xludf.DUMMYFUNCTION("""COMPUTED_VALUE"""),1.08719E7)</f>
        <v>10871900</v>
      </c>
      <c r="G105" s="2">
        <f t="shared" si="1"/>
        <v>6.14</v>
      </c>
    </row>
    <row r="106" ht="15.75" customHeight="1">
      <c r="A106" s="1">
        <f>IFERROR(__xludf.DUMMYFUNCTION("""COMPUTED_VALUE"""),43990.66666666667)</f>
        <v>43990.66667</v>
      </c>
      <c r="B106" s="2">
        <f>IFERROR(__xludf.DUMMYFUNCTION("""COMPUTED_VALUE"""),135.13)</f>
        <v>135.13</v>
      </c>
      <c r="C106" s="2">
        <f>IFERROR(__xludf.DUMMYFUNCTION("""COMPUTED_VALUE"""),145.37)</f>
        <v>145.37</v>
      </c>
      <c r="D106" s="2">
        <f>IFERROR(__xludf.DUMMYFUNCTION("""COMPUTED_VALUE"""),135.13)</f>
        <v>135.13</v>
      </c>
      <c r="E106" s="2">
        <f>IFERROR(__xludf.DUMMYFUNCTION("""COMPUTED_VALUE"""),139.22)</f>
        <v>139.22</v>
      </c>
      <c r="F106" s="2">
        <f>IFERROR(__xludf.DUMMYFUNCTION("""COMPUTED_VALUE"""),2.25178E7)</f>
        <v>22517800</v>
      </c>
      <c r="G106" s="2">
        <f t="shared" si="1"/>
        <v>10.24</v>
      </c>
    </row>
    <row r="107" ht="15.75" customHeight="1">
      <c r="A107" s="1">
        <f>IFERROR(__xludf.DUMMYFUNCTION("""COMPUTED_VALUE"""),43991.66666666667)</f>
        <v>43991.66667</v>
      </c>
      <c r="B107" s="2">
        <f>IFERROR(__xludf.DUMMYFUNCTION("""COMPUTED_VALUE"""),141.27)</f>
        <v>141.27</v>
      </c>
      <c r="C107" s="2">
        <f>IFERROR(__xludf.DUMMYFUNCTION("""COMPUTED_VALUE"""),146.39)</f>
        <v>146.39</v>
      </c>
      <c r="D107" s="2">
        <f>IFERROR(__xludf.DUMMYFUNCTION("""COMPUTED_VALUE"""),136.15)</f>
        <v>136.15</v>
      </c>
      <c r="E107" s="2">
        <f>IFERROR(__xludf.DUMMYFUNCTION("""COMPUTED_VALUE"""),138.2)</f>
        <v>138.2</v>
      </c>
      <c r="F107" s="2">
        <f>IFERROR(__xludf.DUMMYFUNCTION("""COMPUTED_VALUE"""),1.97955E7)</f>
        <v>19795500</v>
      </c>
      <c r="G107" s="2">
        <f t="shared" si="1"/>
        <v>10.24</v>
      </c>
    </row>
    <row r="108" ht="15.75" customHeight="1">
      <c r="A108" s="1">
        <f>IFERROR(__xludf.DUMMYFUNCTION("""COMPUTED_VALUE"""),43992.66666666667)</f>
        <v>43992.66667</v>
      </c>
      <c r="B108" s="2">
        <f>IFERROR(__xludf.DUMMYFUNCTION("""COMPUTED_VALUE"""),138.2)</f>
        <v>138.2</v>
      </c>
      <c r="C108" s="2">
        <f>IFERROR(__xludf.DUMMYFUNCTION("""COMPUTED_VALUE"""),142.29)</f>
        <v>142.29</v>
      </c>
      <c r="D108" s="2">
        <f>IFERROR(__xludf.DUMMYFUNCTION("""COMPUTED_VALUE"""),128.99)</f>
        <v>128.99</v>
      </c>
      <c r="E108" s="2">
        <f>IFERROR(__xludf.DUMMYFUNCTION("""COMPUTED_VALUE"""),131.03)</f>
        <v>131.03</v>
      </c>
      <c r="F108" s="2">
        <f>IFERROR(__xludf.DUMMYFUNCTION("""COMPUTED_VALUE"""),1.69151E7)</f>
        <v>16915100</v>
      </c>
      <c r="G108" s="2">
        <f t="shared" si="1"/>
        <v>13.3</v>
      </c>
    </row>
    <row r="109" ht="15.75" customHeight="1">
      <c r="A109" s="1">
        <f>IFERROR(__xludf.DUMMYFUNCTION("""COMPUTED_VALUE"""),43993.66666666667)</f>
        <v>43993.66667</v>
      </c>
      <c r="B109" s="2">
        <f>IFERROR(__xludf.DUMMYFUNCTION("""COMPUTED_VALUE"""),131.03)</f>
        <v>131.03</v>
      </c>
      <c r="C109" s="2">
        <f>IFERROR(__xludf.DUMMYFUNCTION("""COMPUTED_VALUE"""),133.08)</f>
        <v>133.08</v>
      </c>
      <c r="D109" s="2">
        <f>IFERROR(__xludf.DUMMYFUNCTION("""COMPUTED_VALUE"""),125.91)</f>
        <v>125.91</v>
      </c>
      <c r="E109" s="2">
        <f>IFERROR(__xludf.DUMMYFUNCTION("""COMPUTED_VALUE"""),127.96)</f>
        <v>127.96</v>
      </c>
      <c r="F109" s="2">
        <f>IFERROR(__xludf.DUMMYFUNCTION("""COMPUTED_VALUE"""),7215700.0)</f>
        <v>7215700</v>
      </c>
      <c r="G109" s="2">
        <f t="shared" si="1"/>
        <v>7.17</v>
      </c>
    </row>
    <row r="110" ht="15.75" customHeight="1">
      <c r="A110" s="1">
        <f>IFERROR(__xludf.DUMMYFUNCTION("""COMPUTED_VALUE"""),43994.66666666667)</f>
        <v>43994.66667</v>
      </c>
      <c r="B110" s="2">
        <f>IFERROR(__xludf.DUMMYFUNCTION("""COMPUTED_VALUE"""),122.84)</f>
        <v>122.84</v>
      </c>
      <c r="C110" s="2">
        <f>IFERROR(__xludf.DUMMYFUNCTION("""COMPUTED_VALUE"""),131.03)</f>
        <v>131.03</v>
      </c>
      <c r="D110" s="2">
        <f>IFERROR(__xludf.DUMMYFUNCTION("""COMPUTED_VALUE"""),119.77)</f>
        <v>119.77</v>
      </c>
      <c r="E110" s="2">
        <f>IFERROR(__xludf.DUMMYFUNCTION("""COMPUTED_VALUE"""),123.87)</f>
        <v>123.87</v>
      </c>
      <c r="F110" s="2">
        <f>IFERROR(__xludf.DUMMYFUNCTION("""COMPUTED_VALUE"""),3.26876E7)</f>
        <v>32687600</v>
      </c>
      <c r="G110" s="2">
        <f t="shared" si="1"/>
        <v>11.26</v>
      </c>
    </row>
    <row r="111" ht="15.75" customHeight="1">
      <c r="A111" s="1">
        <f>IFERROR(__xludf.DUMMYFUNCTION("""COMPUTED_VALUE"""),43997.66666666667)</f>
        <v>43997.66667</v>
      </c>
      <c r="B111" s="2">
        <f>IFERROR(__xludf.DUMMYFUNCTION("""COMPUTED_VALUE"""),124.89)</f>
        <v>124.89</v>
      </c>
      <c r="C111" s="2">
        <f>IFERROR(__xludf.DUMMYFUNCTION("""COMPUTED_VALUE"""),126.94)</f>
        <v>126.94</v>
      </c>
      <c r="D111" s="2">
        <f>IFERROR(__xludf.DUMMYFUNCTION("""COMPUTED_VALUE"""),119.77)</f>
        <v>119.77</v>
      </c>
      <c r="E111" s="2">
        <f>IFERROR(__xludf.DUMMYFUNCTION("""COMPUTED_VALUE"""),119.77)</f>
        <v>119.77</v>
      </c>
      <c r="F111" s="2">
        <f>IFERROR(__xludf.DUMMYFUNCTION("""COMPUTED_VALUE"""),1.17008E7)</f>
        <v>11700800</v>
      </c>
      <c r="G111" s="2">
        <f t="shared" si="1"/>
        <v>7.17</v>
      </c>
    </row>
    <row r="112" ht="15.75" customHeight="1">
      <c r="A112" s="1">
        <f>IFERROR(__xludf.DUMMYFUNCTION("""COMPUTED_VALUE"""),43998.66666666667)</f>
        <v>43998.66667</v>
      </c>
      <c r="B112" s="2">
        <f>IFERROR(__xludf.DUMMYFUNCTION("""COMPUTED_VALUE"""),121.82)</f>
        <v>121.82</v>
      </c>
      <c r="C112" s="2">
        <f>IFERROR(__xludf.DUMMYFUNCTION("""COMPUTED_VALUE"""),135.13)</f>
        <v>135.13</v>
      </c>
      <c r="D112" s="2">
        <f>IFERROR(__xludf.DUMMYFUNCTION("""COMPUTED_VALUE"""),121.82)</f>
        <v>121.82</v>
      </c>
      <c r="E112" s="2">
        <f>IFERROR(__xludf.DUMMYFUNCTION("""COMPUTED_VALUE"""),128.99)</f>
        <v>128.99</v>
      </c>
      <c r="F112" s="2">
        <f>IFERROR(__xludf.DUMMYFUNCTION("""COMPUTED_VALUE"""),5.09452E7)</f>
        <v>50945200</v>
      </c>
      <c r="G112" s="2">
        <f t="shared" si="1"/>
        <v>15.36</v>
      </c>
    </row>
    <row r="113" ht="15.75" customHeight="1">
      <c r="A113" s="1">
        <f>IFERROR(__xludf.DUMMYFUNCTION("""COMPUTED_VALUE"""),43999.66666666667)</f>
        <v>43999.66667</v>
      </c>
      <c r="B113" s="2">
        <f>IFERROR(__xludf.DUMMYFUNCTION("""COMPUTED_VALUE"""),128.99)</f>
        <v>128.99</v>
      </c>
      <c r="C113" s="2">
        <f>IFERROR(__xludf.DUMMYFUNCTION("""COMPUTED_VALUE"""),134.1)</f>
        <v>134.1</v>
      </c>
      <c r="D113" s="2">
        <f>IFERROR(__xludf.DUMMYFUNCTION("""COMPUTED_VALUE"""),126.94)</f>
        <v>126.94</v>
      </c>
      <c r="E113" s="2">
        <f>IFERROR(__xludf.DUMMYFUNCTION("""COMPUTED_VALUE"""),127.96)</f>
        <v>127.96</v>
      </c>
      <c r="F113" s="2">
        <f>IFERROR(__xludf.DUMMYFUNCTION("""COMPUTED_VALUE"""),8997800.0)</f>
        <v>8997800</v>
      </c>
      <c r="G113" s="2">
        <f t="shared" si="1"/>
        <v>7.16</v>
      </c>
    </row>
    <row r="114" ht="15.75" customHeight="1">
      <c r="A114" s="1">
        <f>IFERROR(__xludf.DUMMYFUNCTION("""COMPUTED_VALUE"""),44000.66666666667)</f>
        <v>44000.66667</v>
      </c>
      <c r="B114" s="2">
        <f>IFERROR(__xludf.DUMMYFUNCTION("""COMPUTED_VALUE"""),128.99)</f>
        <v>128.99</v>
      </c>
      <c r="C114" s="2">
        <f>IFERROR(__xludf.DUMMYFUNCTION("""COMPUTED_VALUE"""),140.25)</f>
        <v>140.25</v>
      </c>
      <c r="D114" s="2">
        <f>IFERROR(__xludf.DUMMYFUNCTION("""COMPUTED_VALUE"""),125.91)</f>
        <v>125.91</v>
      </c>
      <c r="E114" s="2">
        <f>IFERROR(__xludf.DUMMYFUNCTION("""COMPUTED_VALUE"""),132.06)</f>
        <v>132.06</v>
      </c>
      <c r="F114" s="2">
        <f>IFERROR(__xludf.DUMMYFUNCTION("""COMPUTED_VALUE"""),4.12713E7)</f>
        <v>41271300</v>
      </c>
      <c r="G114" s="2">
        <f t="shared" si="1"/>
        <v>14.34</v>
      </c>
    </row>
    <row r="115" ht="15.75" customHeight="1">
      <c r="A115" s="1">
        <f>IFERROR(__xludf.DUMMYFUNCTION("""COMPUTED_VALUE"""),44001.66666666667)</f>
        <v>44001.66667</v>
      </c>
      <c r="B115" s="2">
        <f>IFERROR(__xludf.DUMMYFUNCTION("""COMPUTED_VALUE"""),134.1)</f>
        <v>134.1</v>
      </c>
      <c r="C115" s="2">
        <f>IFERROR(__xludf.DUMMYFUNCTION("""COMPUTED_VALUE"""),135.13)</f>
        <v>135.13</v>
      </c>
      <c r="D115" s="2">
        <f>IFERROR(__xludf.DUMMYFUNCTION("""COMPUTED_VALUE"""),127.96)</f>
        <v>127.96</v>
      </c>
      <c r="E115" s="2">
        <f>IFERROR(__xludf.DUMMYFUNCTION("""COMPUTED_VALUE"""),130.01)</f>
        <v>130.01</v>
      </c>
      <c r="F115" s="2">
        <f>IFERROR(__xludf.DUMMYFUNCTION("""COMPUTED_VALUE"""),8994500.0)</f>
        <v>8994500</v>
      </c>
      <c r="G115" s="2">
        <f t="shared" si="1"/>
        <v>7.17</v>
      </c>
    </row>
    <row r="116" ht="15.75" customHeight="1">
      <c r="A116" s="1">
        <f>IFERROR(__xludf.DUMMYFUNCTION("""COMPUTED_VALUE"""),44004.66666666667)</f>
        <v>44004.66667</v>
      </c>
      <c r="B116" s="2">
        <f>IFERROR(__xludf.DUMMYFUNCTION("""COMPUTED_VALUE"""),132.06)</f>
        <v>132.06</v>
      </c>
      <c r="C116" s="2">
        <f>IFERROR(__xludf.DUMMYFUNCTION("""COMPUTED_VALUE"""),132.06)</f>
        <v>132.06</v>
      </c>
      <c r="D116" s="2">
        <f>IFERROR(__xludf.DUMMYFUNCTION("""COMPUTED_VALUE"""),126.94)</f>
        <v>126.94</v>
      </c>
      <c r="E116" s="2">
        <f>IFERROR(__xludf.DUMMYFUNCTION("""COMPUTED_VALUE"""),127.96)</f>
        <v>127.96</v>
      </c>
      <c r="F116" s="2">
        <f>IFERROR(__xludf.DUMMYFUNCTION("""COMPUTED_VALUE"""),9552000.0)</f>
        <v>9552000</v>
      </c>
      <c r="G116" s="2">
        <f t="shared" si="1"/>
        <v>5.12</v>
      </c>
    </row>
    <row r="117" ht="15.75" customHeight="1">
      <c r="A117" s="1">
        <f>IFERROR(__xludf.DUMMYFUNCTION("""COMPUTED_VALUE"""),44005.66666666667)</f>
        <v>44005.66667</v>
      </c>
      <c r="B117" s="2">
        <f>IFERROR(__xludf.DUMMYFUNCTION("""COMPUTED_VALUE"""),126.94)</f>
        <v>126.94</v>
      </c>
      <c r="C117" s="2">
        <f>IFERROR(__xludf.DUMMYFUNCTION("""COMPUTED_VALUE"""),130.01)</f>
        <v>130.01</v>
      </c>
      <c r="D117" s="2">
        <f>IFERROR(__xludf.DUMMYFUNCTION("""COMPUTED_VALUE"""),124.89)</f>
        <v>124.89</v>
      </c>
      <c r="E117" s="2">
        <f>IFERROR(__xludf.DUMMYFUNCTION("""COMPUTED_VALUE"""),125.91)</f>
        <v>125.91</v>
      </c>
      <c r="F117" s="2">
        <f>IFERROR(__xludf.DUMMYFUNCTION("""COMPUTED_VALUE"""),5275900.0)</f>
        <v>5275900</v>
      </c>
      <c r="G117" s="2">
        <f t="shared" si="1"/>
        <v>5.12</v>
      </c>
    </row>
    <row r="118" ht="15.75" customHeight="1">
      <c r="A118" s="1">
        <f>IFERROR(__xludf.DUMMYFUNCTION("""COMPUTED_VALUE"""),44006.66666666667)</f>
        <v>44006.66667</v>
      </c>
      <c r="B118" s="2">
        <f>IFERROR(__xludf.DUMMYFUNCTION("""COMPUTED_VALUE"""),125.91)</f>
        <v>125.91</v>
      </c>
      <c r="C118" s="2">
        <f>IFERROR(__xludf.DUMMYFUNCTION("""COMPUTED_VALUE"""),132.06)</f>
        <v>132.06</v>
      </c>
      <c r="D118" s="2">
        <f>IFERROR(__xludf.DUMMYFUNCTION("""COMPUTED_VALUE"""),122.84)</f>
        <v>122.84</v>
      </c>
      <c r="E118" s="2">
        <f>IFERROR(__xludf.DUMMYFUNCTION("""COMPUTED_VALUE"""),127.96)</f>
        <v>127.96</v>
      </c>
      <c r="F118" s="2">
        <f>IFERROR(__xludf.DUMMYFUNCTION("""COMPUTED_VALUE"""),8807600.0)</f>
        <v>8807600</v>
      </c>
      <c r="G118" s="2">
        <f t="shared" si="1"/>
        <v>9.22</v>
      </c>
    </row>
    <row r="119" ht="15.75" customHeight="1">
      <c r="A119" s="1">
        <f>IFERROR(__xludf.DUMMYFUNCTION("""COMPUTED_VALUE"""),44007.66666666667)</f>
        <v>44007.66667</v>
      </c>
      <c r="B119" s="2">
        <f>IFERROR(__xludf.DUMMYFUNCTION("""COMPUTED_VALUE"""),127.96)</f>
        <v>127.96</v>
      </c>
      <c r="C119" s="2">
        <f>IFERROR(__xludf.DUMMYFUNCTION("""COMPUTED_VALUE"""),127.96)</f>
        <v>127.96</v>
      </c>
      <c r="D119" s="2">
        <f>IFERROR(__xludf.DUMMYFUNCTION("""COMPUTED_VALUE"""),123.87)</f>
        <v>123.87</v>
      </c>
      <c r="E119" s="2">
        <f>IFERROR(__xludf.DUMMYFUNCTION("""COMPUTED_VALUE"""),125.91)</f>
        <v>125.91</v>
      </c>
      <c r="F119" s="2">
        <f>IFERROR(__xludf.DUMMYFUNCTION("""COMPUTED_VALUE"""),5534300.0)</f>
        <v>5534300</v>
      </c>
      <c r="G119" s="2">
        <f t="shared" si="1"/>
        <v>4.09</v>
      </c>
    </row>
    <row r="120" ht="15.75" customHeight="1">
      <c r="A120" s="1">
        <f>IFERROR(__xludf.DUMMYFUNCTION("""COMPUTED_VALUE"""),44008.66666666667)</f>
        <v>44008.66667</v>
      </c>
      <c r="B120" s="2">
        <f>IFERROR(__xludf.DUMMYFUNCTION("""COMPUTED_VALUE"""),127.96)</f>
        <v>127.96</v>
      </c>
      <c r="C120" s="2">
        <f>IFERROR(__xludf.DUMMYFUNCTION("""COMPUTED_VALUE"""),128.99)</f>
        <v>128.99</v>
      </c>
      <c r="D120" s="2">
        <f>IFERROR(__xludf.DUMMYFUNCTION("""COMPUTED_VALUE"""),124.89)</f>
        <v>124.89</v>
      </c>
      <c r="E120" s="2">
        <f>IFERROR(__xludf.DUMMYFUNCTION("""COMPUTED_VALUE"""),125.91)</f>
        <v>125.91</v>
      </c>
      <c r="F120" s="2">
        <f>IFERROR(__xludf.DUMMYFUNCTION("""COMPUTED_VALUE"""),8477500.0)</f>
        <v>8477500</v>
      </c>
      <c r="G120" s="2">
        <f t="shared" si="1"/>
        <v>4.1</v>
      </c>
    </row>
    <row r="121" ht="15.75" customHeight="1">
      <c r="A121" s="1">
        <f>IFERROR(__xludf.DUMMYFUNCTION("""COMPUTED_VALUE"""),44011.66666666667)</f>
        <v>44011.66667</v>
      </c>
      <c r="B121" s="2">
        <f>IFERROR(__xludf.DUMMYFUNCTION("""COMPUTED_VALUE"""),125.91)</f>
        <v>125.91</v>
      </c>
      <c r="C121" s="2">
        <f>IFERROR(__xludf.DUMMYFUNCTION("""COMPUTED_VALUE"""),128.99)</f>
        <v>128.99</v>
      </c>
      <c r="D121" s="2">
        <f>IFERROR(__xludf.DUMMYFUNCTION("""COMPUTED_VALUE"""),125.91)</f>
        <v>125.91</v>
      </c>
      <c r="E121" s="2">
        <f>IFERROR(__xludf.DUMMYFUNCTION("""COMPUTED_VALUE"""),125.91)</f>
        <v>125.91</v>
      </c>
      <c r="F121" s="2">
        <f>IFERROR(__xludf.DUMMYFUNCTION("""COMPUTED_VALUE"""),5337900.0)</f>
        <v>5337900</v>
      </c>
      <c r="G121" s="2">
        <f t="shared" si="1"/>
        <v>3.08</v>
      </c>
    </row>
    <row r="122" ht="15.75" customHeight="1">
      <c r="A122" s="1">
        <f>IFERROR(__xludf.DUMMYFUNCTION("""COMPUTED_VALUE"""),44012.66666666667)</f>
        <v>44012.66667</v>
      </c>
      <c r="B122" s="2">
        <f>IFERROR(__xludf.DUMMYFUNCTION("""COMPUTED_VALUE"""),126.94)</f>
        <v>126.94</v>
      </c>
      <c r="C122" s="2">
        <f>IFERROR(__xludf.DUMMYFUNCTION("""COMPUTED_VALUE"""),127.96)</f>
        <v>127.96</v>
      </c>
      <c r="D122" s="2">
        <f>IFERROR(__xludf.DUMMYFUNCTION("""COMPUTED_VALUE"""),124.89)</f>
        <v>124.89</v>
      </c>
      <c r="E122" s="2">
        <f>IFERROR(__xludf.DUMMYFUNCTION("""COMPUTED_VALUE"""),124.89)</f>
        <v>124.89</v>
      </c>
      <c r="F122" s="2">
        <f>IFERROR(__xludf.DUMMYFUNCTION("""COMPUTED_VALUE"""),3854700.0)</f>
        <v>3854700</v>
      </c>
      <c r="G122" s="2">
        <f t="shared" si="1"/>
        <v>3.07</v>
      </c>
    </row>
    <row r="123" ht="15.75" customHeight="1">
      <c r="A123" s="1">
        <f>IFERROR(__xludf.DUMMYFUNCTION("""COMPUTED_VALUE"""),44013.66666666667)</f>
        <v>44013.66667</v>
      </c>
      <c r="B123" s="2">
        <f>IFERROR(__xludf.DUMMYFUNCTION("""COMPUTED_VALUE"""),125.91)</f>
        <v>125.91</v>
      </c>
      <c r="C123" s="2">
        <f>IFERROR(__xludf.DUMMYFUNCTION("""COMPUTED_VALUE"""),126.94)</f>
        <v>126.94</v>
      </c>
      <c r="D123" s="2">
        <f>IFERROR(__xludf.DUMMYFUNCTION("""COMPUTED_VALUE"""),123.87)</f>
        <v>123.87</v>
      </c>
      <c r="E123" s="2">
        <f>IFERROR(__xludf.DUMMYFUNCTION("""COMPUTED_VALUE"""),125.91)</f>
        <v>125.91</v>
      </c>
      <c r="F123" s="2">
        <f>IFERROR(__xludf.DUMMYFUNCTION("""COMPUTED_VALUE"""),2556000.0)</f>
        <v>2556000</v>
      </c>
      <c r="G123" s="2">
        <f t="shared" si="1"/>
        <v>3.07</v>
      </c>
    </row>
    <row r="124" ht="15.75" customHeight="1">
      <c r="A124" s="1">
        <f>IFERROR(__xludf.DUMMYFUNCTION("""COMPUTED_VALUE"""),44014.66666666667)</f>
        <v>44014.66667</v>
      </c>
      <c r="B124" s="2">
        <f>IFERROR(__xludf.DUMMYFUNCTION("""COMPUTED_VALUE"""),125.91)</f>
        <v>125.91</v>
      </c>
      <c r="C124" s="2">
        <f>IFERROR(__xludf.DUMMYFUNCTION("""COMPUTED_VALUE"""),127.96)</f>
        <v>127.96</v>
      </c>
      <c r="D124" s="2">
        <f>IFERROR(__xludf.DUMMYFUNCTION("""COMPUTED_VALUE"""),125.91)</f>
        <v>125.91</v>
      </c>
      <c r="E124" s="2">
        <f>IFERROR(__xludf.DUMMYFUNCTION("""COMPUTED_VALUE"""),125.91)</f>
        <v>125.91</v>
      </c>
      <c r="F124" s="2">
        <f>IFERROR(__xludf.DUMMYFUNCTION("""COMPUTED_VALUE"""),3779400.0)</f>
        <v>3779400</v>
      </c>
      <c r="G124" s="2">
        <f t="shared" si="1"/>
        <v>2.05</v>
      </c>
    </row>
    <row r="125" ht="15.75" customHeight="1">
      <c r="A125" s="1">
        <f>IFERROR(__xludf.DUMMYFUNCTION("""COMPUTED_VALUE"""),44015.66666666667)</f>
        <v>44015.66667</v>
      </c>
      <c r="B125" s="2">
        <f>IFERROR(__xludf.DUMMYFUNCTION("""COMPUTED_VALUE"""),125.91)</f>
        <v>125.91</v>
      </c>
      <c r="C125" s="2">
        <f>IFERROR(__xludf.DUMMYFUNCTION("""COMPUTED_VALUE"""),132.06)</f>
        <v>132.06</v>
      </c>
      <c r="D125" s="2">
        <f>IFERROR(__xludf.DUMMYFUNCTION("""COMPUTED_VALUE"""),123.87)</f>
        <v>123.87</v>
      </c>
      <c r="E125" s="2">
        <f>IFERROR(__xludf.DUMMYFUNCTION("""COMPUTED_VALUE"""),127.96)</f>
        <v>127.96</v>
      </c>
      <c r="F125" s="2">
        <f>IFERROR(__xludf.DUMMYFUNCTION("""COMPUTED_VALUE"""),2.02395E7)</f>
        <v>20239500</v>
      </c>
      <c r="G125" s="2">
        <f t="shared" si="1"/>
        <v>8.19</v>
      </c>
    </row>
    <row r="126" ht="15.75" customHeight="1">
      <c r="A126" s="1">
        <f>IFERROR(__xludf.DUMMYFUNCTION("""COMPUTED_VALUE"""),44018.66666666667)</f>
        <v>44018.66667</v>
      </c>
      <c r="B126" s="2">
        <f>IFERROR(__xludf.DUMMYFUNCTION("""COMPUTED_VALUE"""),133.08)</f>
        <v>133.08</v>
      </c>
      <c r="C126" s="2">
        <f>IFERROR(__xludf.DUMMYFUNCTION("""COMPUTED_VALUE"""),156.63)</f>
        <v>156.63</v>
      </c>
      <c r="D126" s="2">
        <f>IFERROR(__xludf.DUMMYFUNCTION("""COMPUTED_VALUE"""),127.96)</f>
        <v>127.96</v>
      </c>
      <c r="E126" s="2">
        <f>IFERROR(__xludf.DUMMYFUNCTION("""COMPUTED_VALUE"""),154.58)</f>
        <v>154.58</v>
      </c>
      <c r="F126" s="2">
        <f>IFERROR(__xludf.DUMMYFUNCTION("""COMPUTED_VALUE"""),1.908237E8)</f>
        <v>190823700</v>
      </c>
      <c r="G126" s="2">
        <f t="shared" si="1"/>
        <v>28.67</v>
      </c>
    </row>
    <row r="127" ht="15.75" customHeight="1">
      <c r="A127" s="1">
        <f>IFERROR(__xludf.DUMMYFUNCTION("""COMPUTED_VALUE"""),44019.66666666667)</f>
        <v>44019.66667</v>
      </c>
      <c r="B127" s="2">
        <f>IFERROR(__xludf.DUMMYFUNCTION("""COMPUTED_VALUE"""),158.67)</f>
        <v>158.67</v>
      </c>
      <c r="C127" s="2">
        <f>IFERROR(__xludf.DUMMYFUNCTION("""COMPUTED_VALUE"""),170.96)</f>
        <v>170.96</v>
      </c>
      <c r="D127" s="2">
        <f>IFERROR(__xludf.DUMMYFUNCTION("""COMPUTED_VALUE"""),147.41)</f>
        <v>147.41</v>
      </c>
      <c r="E127" s="2">
        <f>IFERROR(__xludf.DUMMYFUNCTION("""COMPUTED_VALUE"""),154.58)</f>
        <v>154.58</v>
      </c>
      <c r="F127" s="2">
        <f>IFERROR(__xludf.DUMMYFUNCTION("""COMPUTED_VALUE"""),2.478308E8)</f>
        <v>247830800</v>
      </c>
      <c r="G127" s="2">
        <f t="shared" si="1"/>
        <v>23.55</v>
      </c>
    </row>
    <row r="128" ht="15.75" customHeight="1">
      <c r="A128" s="1">
        <f>IFERROR(__xludf.DUMMYFUNCTION("""COMPUTED_VALUE"""),44020.66666666667)</f>
        <v>44020.66667</v>
      </c>
      <c r="B128" s="2">
        <f>IFERROR(__xludf.DUMMYFUNCTION("""COMPUTED_VALUE"""),160.72)</f>
        <v>160.72</v>
      </c>
      <c r="C128" s="2">
        <f>IFERROR(__xludf.DUMMYFUNCTION("""COMPUTED_VALUE"""),161.74)</f>
        <v>161.74</v>
      </c>
      <c r="D128" s="2">
        <f>IFERROR(__xludf.DUMMYFUNCTION("""COMPUTED_VALUE"""),148.44)</f>
        <v>148.44</v>
      </c>
      <c r="E128" s="2">
        <f>IFERROR(__xludf.DUMMYFUNCTION("""COMPUTED_VALUE"""),149.46)</f>
        <v>149.46</v>
      </c>
      <c r="F128" s="2">
        <f>IFERROR(__xludf.DUMMYFUNCTION("""COMPUTED_VALUE"""),4.72637E7)</f>
        <v>47263700</v>
      </c>
      <c r="G128" s="2">
        <f t="shared" si="1"/>
        <v>13.3</v>
      </c>
    </row>
    <row r="129" ht="15.75" customHeight="1">
      <c r="A129" s="1">
        <f>IFERROR(__xludf.DUMMYFUNCTION("""COMPUTED_VALUE"""),44021.66666666667)</f>
        <v>44021.66667</v>
      </c>
      <c r="B129" s="2">
        <f>IFERROR(__xludf.DUMMYFUNCTION("""COMPUTED_VALUE"""),152.53)</f>
        <v>152.53</v>
      </c>
      <c r="C129" s="2">
        <f>IFERROR(__xludf.DUMMYFUNCTION("""COMPUTED_VALUE"""),153.55)</f>
        <v>153.55</v>
      </c>
      <c r="D129" s="2">
        <f>IFERROR(__xludf.DUMMYFUNCTION("""COMPUTED_VALUE"""),144.34)</f>
        <v>144.34</v>
      </c>
      <c r="E129" s="2">
        <f>IFERROR(__xludf.DUMMYFUNCTION("""COMPUTED_VALUE"""),146.39)</f>
        <v>146.39</v>
      </c>
      <c r="F129" s="2">
        <f>IFERROR(__xludf.DUMMYFUNCTION("""COMPUTED_VALUE"""),3.55234E7)</f>
        <v>35523400</v>
      </c>
      <c r="G129" s="2">
        <f t="shared" si="1"/>
        <v>9.21</v>
      </c>
    </row>
    <row r="130" ht="15.75" customHeight="1">
      <c r="A130" s="1">
        <f>IFERROR(__xludf.DUMMYFUNCTION("""COMPUTED_VALUE"""),44022.66666666667)</f>
        <v>44022.66667</v>
      </c>
      <c r="B130" s="2">
        <f>IFERROR(__xludf.DUMMYFUNCTION("""COMPUTED_VALUE"""),146.39)</f>
        <v>146.39</v>
      </c>
      <c r="C130" s="2">
        <f>IFERROR(__xludf.DUMMYFUNCTION("""COMPUTED_VALUE"""),162.77)</f>
        <v>162.77</v>
      </c>
      <c r="D130" s="2">
        <f>IFERROR(__xludf.DUMMYFUNCTION("""COMPUTED_VALUE"""),143.32)</f>
        <v>143.32</v>
      </c>
      <c r="E130" s="2">
        <f>IFERROR(__xludf.DUMMYFUNCTION("""COMPUTED_VALUE"""),153.55)</f>
        <v>153.55</v>
      </c>
      <c r="F130" s="2">
        <f>IFERROR(__xludf.DUMMYFUNCTION("""COMPUTED_VALUE"""),1.541148E8)</f>
        <v>154114800</v>
      </c>
      <c r="G130" s="2">
        <f t="shared" si="1"/>
        <v>19.45</v>
      </c>
    </row>
    <row r="131" ht="15.75" customHeight="1">
      <c r="A131" s="1">
        <f>IFERROR(__xludf.DUMMYFUNCTION("""COMPUTED_VALUE"""),44025.66666666667)</f>
        <v>44025.66667</v>
      </c>
      <c r="B131" s="2">
        <f>IFERROR(__xludf.DUMMYFUNCTION("""COMPUTED_VALUE"""),153.55)</f>
        <v>153.55</v>
      </c>
      <c r="C131" s="2">
        <f>IFERROR(__xludf.DUMMYFUNCTION("""COMPUTED_VALUE"""),159.7)</f>
        <v>159.7</v>
      </c>
      <c r="D131" s="2">
        <f>IFERROR(__xludf.DUMMYFUNCTION("""COMPUTED_VALUE"""),153.55)</f>
        <v>153.55</v>
      </c>
      <c r="E131" s="2">
        <f>IFERROR(__xludf.DUMMYFUNCTION("""COMPUTED_VALUE"""),157.65)</f>
        <v>157.65</v>
      </c>
      <c r="F131" s="2">
        <f>IFERROR(__xludf.DUMMYFUNCTION("""COMPUTED_VALUE"""),3.36988E7)</f>
        <v>33698800</v>
      </c>
      <c r="G131" s="2">
        <f t="shared" si="1"/>
        <v>6.15</v>
      </c>
    </row>
    <row r="132" ht="15.75" customHeight="1">
      <c r="A132" s="1">
        <f>IFERROR(__xludf.DUMMYFUNCTION("""COMPUTED_VALUE"""),44026.66666666667)</f>
        <v>44026.66667</v>
      </c>
      <c r="B132" s="2">
        <f>IFERROR(__xludf.DUMMYFUNCTION("""COMPUTED_VALUE"""),157.65)</f>
        <v>157.65</v>
      </c>
      <c r="C132" s="2">
        <f>IFERROR(__xludf.DUMMYFUNCTION("""COMPUTED_VALUE"""),210.88)</f>
        <v>210.88</v>
      </c>
      <c r="D132" s="2">
        <f>IFERROR(__xludf.DUMMYFUNCTION("""COMPUTED_VALUE"""),155.6)</f>
        <v>155.6</v>
      </c>
      <c r="E132" s="2">
        <f>IFERROR(__xludf.DUMMYFUNCTION("""COMPUTED_VALUE"""),210.88)</f>
        <v>210.88</v>
      </c>
      <c r="F132" s="2">
        <f>IFERROR(__xludf.DUMMYFUNCTION("""COMPUTED_VALUE"""),2.851282E8)</f>
        <v>285128200</v>
      </c>
      <c r="G132" s="2">
        <f t="shared" si="1"/>
        <v>55.28</v>
      </c>
    </row>
    <row r="133" ht="15.75" customHeight="1">
      <c r="A133" s="1">
        <f>IFERROR(__xludf.DUMMYFUNCTION("""COMPUTED_VALUE"""),44027.66666666667)</f>
        <v>44027.66667</v>
      </c>
      <c r="B133" s="2">
        <f>IFERROR(__xludf.DUMMYFUNCTION("""COMPUTED_VALUE"""),223.17)</f>
        <v>223.17</v>
      </c>
      <c r="C133" s="2">
        <f>IFERROR(__xludf.DUMMYFUNCTION("""COMPUTED_VALUE"""),253.88)</f>
        <v>253.88</v>
      </c>
      <c r="D133" s="2">
        <f>IFERROR(__xludf.DUMMYFUNCTION("""COMPUTED_VALUE"""),219.07)</f>
        <v>219.07</v>
      </c>
      <c r="E133" s="2">
        <f>IFERROR(__xludf.DUMMYFUNCTION("""COMPUTED_VALUE"""),229.31)</f>
        <v>229.31</v>
      </c>
      <c r="F133" s="2">
        <f>IFERROR(__xludf.DUMMYFUNCTION("""COMPUTED_VALUE"""),2.929925E8)</f>
        <v>292992500</v>
      </c>
      <c r="G133" s="2">
        <f t="shared" si="1"/>
        <v>43</v>
      </c>
    </row>
    <row r="134" ht="15.75" customHeight="1">
      <c r="A134" s="1">
        <f>IFERROR(__xludf.DUMMYFUNCTION("""COMPUTED_VALUE"""),44028.66666666667)</f>
        <v>44028.66667</v>
      </c>
      <c r="B134" s="2">
        <f>IFERROR(__xludf.DUMMYFUNCTION("""COMPUTED_VALUE"""),225.21)</f>
        <v>225.21</v>
      </c>
      <c r="C134" s="2">
        <f>IFERROR(__xludf.DUMMYFUNCTION("""COMPUTED_VALUE"""),239.55)</f>
        <v>239.55</v>
      </c>
      <c r="D134" s="2">
        <f>IFERROR(__xludf.DUMMYFUNCTION("""COMPUTED_VALUE"""),221.12)</f>
        <v>221.12</v>
      </c>
      <c r="E134" s="2">
        <f>IFERROR(__xludf.DUMMYFUNCTION("""COMPUTED_VALUE"""),227.26)</f>
        <v>227.26</v>
      </c>
      <c r="F134" s="2">
        <f>IFERROR(__xludf.DUMMYFUNCTION("""COMPUTED_VALUE"""),5.79492E7)</f>
        <v>57949200</v>
      </c>
      <c r="G134" s="2">
        <f t="shared" si="1"/>
        <v>18.43</v>
      </c>
    </row>
    <row r="135" ht="15.75" customHeight="1">
      <c r="A135" s="1">
        <f>IFERROR(__xludf.DUMMYFUNCTION("""COMPUTED_VALUE"""),44029.66666666667)</f>
        <v>44029.66667</v>
      </c>
      <c r="B135" s="2">
        <f>IFERROR(__xludf.DUMMYFUNCTION("""COMPUTED_VALUE"""),227.26)</f>
        <v>227.26</v>
      </c>
      <c r="C135" s="2">
        <f>IFERROR(__xludf.DUMMYFUNCTION("""COMPUTED_VALUE"""),243.64)</f>
        <v>243.64</v>
      </c>
      <c r="D135" s="2">
        <f>IFERROR(__xludf.DUMMYFUNCTION("""COMPUTED_VALUE"""),223.17)</f>
        <v>223.17</v>
      </c>
      <c r="E135" s="2">
        <f>IFERROR(__xludf.DUMMYFUNCTION("""COMPUTED_VALUE"""),233.4)</f>
        <v>233.4</v>
      </c>
      <c r="F135" s="2">
        <f>IFERROR(__xludf.DUMMYFUNCTION("""COMPUTED_VALUE"""),1.166341E8)</f>
        <v>116634100</v>
      </c>
      <c r="G135" s="2">
        <f t="shared" si="1"/>
        <v>20.47</v>
      </c>
    </row>
    <row r="136" ht="15.75" customHeight="1">
      <c r="A136" s="1">
        <f>IFERROR(__xludf.DUMMYFUNCTION("""COMPUTED_VALUE"""),44032.66666666667)</f>
        <v>44032.66667</v>
      </c>
      <c r="B136" s="2">
        <f>IFERROR(__xludf.DUMMYFUNCTION("""COMPUTED_VALUE"""),235.45)</f>
        <v>235.45</v>
      </c>
      <c r="C136" s="2">
        <f>IFERROR(__xludf.DUMMYFUNCTION("""COMPUTED_VALUE"""),237.5)</f>
        <v>237.5</v>
      </c>
      <c r="D136" s="2">
        <f>IFERROR(__xludf.DUMMYFUNCTION("""COMPUTED_VALUE"""),223.17)</f>
        <v>223.17</v>
      </c>
      <c r="E136" s="2">
        <f>IFERROR(__xludf.DUMMYFUNCTION("""COMPUTED_VALUE"""),225.21)</f>
        <v>225.21</v>
      </c>
      <c r="F136" s="2">
        <f>IFERROR(__xludf.DUMMYFUNCTION("""COMPUTED_VALUE"""),3.91452E7)</f>
        <v>39145200</v>
      </c>
      <c r="G136" s="2">
        <f t="shared" si="1"/>
        <v>14.33</v>
      </c>
    </row>
    <row r="137" ht="15.75" customHeight="1">
      <c r="A137" s="1">
        <f>IFERROR(__xludf.DUMMYFUNCTION("""COMPUTED_VALUE"""),44033.66666666667)</f>
        <v>44033.66667</v>
      </c>
      <c r="B137" s="2">
        <f>IFERROR(__xludf.DUMMYFUNCTION("""COMPUTED_VALUE"""),231.36)</f>
        <v>231.36</v>
      </c>
      <c r="C137" s="2">
        <f>IFERROR(__xludf.DUMMYFUNCTION("""COMPUTED_VALUE"""),233.4)</f>
        <v>233.4</v>
      </c>
      <c r="D137" s="2">
        <f>IFERROR(__xludf.DUMMYFUNCTION("""COMPUTED_VALUE"""),223.17)</f>
        <v>223.17</v>
      </c>
      <c r="E137" s="2">
        <f>IFERROR(__xludf.DUMMYFUNCTION("""COMPUTED_VALUE"""),227.26)</f>
        <v>227.26</v>
      </c>
      <c r="F137" s="2">
        <f>IFERROR(__xludf.DUMMYFUNCTION("""COMPUTED_VALUE"""),2.14246E7)</f>
        <v>21424600</v>
      </c>
      <c r="G137" s="2">
        <f t="shared" si="1"/>
        <v>10.23</v>
      </c>
    </row>
    <row r="138" ht="15.75" customHeight="1">
      <c r="A138" s="1">
        <f>IFERROR(__xludf.DUMMYFUNCTION("""COMPUTED_VALUE"""),44034.66666666667)</f>
        <v>44034.66667</v>
      </c>
      <c r="B138" s="2">
        <f>IFERROR(__xludf.DUMMYFUNCTION("""COMPUTED_VALUE"""),227.26)</f>
        <v>227.26</v>
      </c>
      <c r="C138" s="2">
        <f>IFERROR(__xludf.DUMMYFUNCTION("""COMPUTED_VALUE"""),231.36)</f>
        <v>231.36</v>
      </c>
      <c r="D138" s="2">
        <f>IFERROR(__xludf.DUMMYFUNCTION("""COMPUTED_VALUE"""),223.17)</f>
        <v>223.17</v>
      </c>
      <c r="E138" s="2">
        <f>IFERROR(__xludf.DUMMYFUNCTION("""COMPUTED_VALUE"""),225.21)</f>
        <v>225.21</v>
      </c>
      <c r="F138" s="2">
        <f>IFERROR(__xludf.DUMMYFUNCTION("""COMPUTED_VALUE"""),2.80254E7)</f>
        <v>28025400</v>
      </c>
      <c r="G138" s="2">
        <f t="shared" si="1"/>
        <v>8.19</v>
      </c>
    </row>
    <row r="139" ht="15.75" customHeight="1">
      <c r="A139" s="1">
        <f>IFERROR(__xludf.DUMMYFUNCTION("""COMPUTED_VALUE"""),44035.66666666667)</f>
        <v>44035.66667</v>
      </c>
      <c r="B139" s="2">
        <f>IFERROR(__xludf.DUMMYFUNCTION("""COMPUTED_VALUE"""),227.26)</f>
        <v>227.26</v>
      </c>
      <c r="C139" s="2">
        <f>IFERROR(__xludf.DUMMYFUNCTION("""COMPUTED_VALUE"""),249.78)</f>
        <v>249.78</v>
      </c>
      <c r="D139" s="2">
        <f>IFERROR(__xludf.DUMMYFUNCTION("""COMPUTED_VALUE"""),227.26)</f>
        <v>227.26</v>
      </c>
      <c r="E139" s="2">
        <f>IFERROR(__xludf.DUMMYFUNCTION("""COMPUTED_VALUE"""),235.45)</f>
        <v>235.45</v>
      </c>
      <c r="F139" s="2">
        <f>IFERROR(__xludf.DUMMYFUNCTION("""COMPUTED_VALUE"""),1.326221E8)</f>
        <v>132622100</v>
      </c>
      <c r="G139" s="2">
        <f t="shared" si="1"/>
        <v>24.57</v>
      </c>
    </row>
    <row r="140" ht="15.75" customHeight="1">
      <c r="A140" s="1">
        <f>IFERROR(__xludf.DUMMYFUNCTION("""COMPUTED_VALUE"""),44036.66666666667)</f>
        <v>44036.66667</v>
      </c>
      <c r="B140" s="2">
        <f>IFERROR(__xludf.DUMMYFUNCTION("""COMPUTED_VALUE"""),235.45)</f>
        <v>235.45</v>
      </c>
      <c r="C140" s="2">
        <f>IFERROR(__xludf.DUMMYFUNCTION("""COMPUTED_VALUE"""),237.5)</f>
        <v>237.5</v>
      </c>
      <c r="D140" s="2">
        <f>IFERROR(__xludf.DUMMYFUNCTION("""COMPUTED_VALUE"""),221.12)</f>
        <v>221.12</v>
      </c>
      <c r="E140" s="2">
        <f>IFERROR(__xludf.DUMMYFUNCTION("""COMPUTED_VALUE"""),225.21)</f>
        <v>225.21</v>
      </c>
      <c r="F140" s="2">
        <f>IFERROR(__xludf.DUMMYFUNCTION("""COMPUTED_VALUE"""),3.81673E7)</f>
        <v>38167300</v>
      </c>
      <c r="G140" s="2">
        <f t="shared" si="1"/>
        <v>16.38</v>
      </c>
    </row>
    <row r="141" ht="15.75" customHeight="1">
      <c r="A141" s="1">
        <f>IFERROR(__xludf.DUMMYFUNCTION("""COMPUTED_VALUE"""),44039.66666666667)</f>
        <v>44039.66667</v>
      </c>
      <c r="B141" s="2">
        <f>IFERROR(__xludf.DUMMYFUNCTION("""COMPUTED_VALUE"""),225.21)</f>
        <v>225.21</v>
      </c>
      <c r="C141" s="2">
        <f>IFERROR(__xludf.DUMMYFUNCTION("""COMPUTED_VALUE"""),231.36)</f>
        <v>231.36</v>
      </c>
      <c r="D141" s="2">
        <f>IFERROR(__xludf.DUMMYFUNCTION("""COMPUTED_VALUE"""),223.17)</f>
        <v>223.17</v>
      </c>
      <c r="E141" s="2">
        <f>IFERROR(__xludf.DUMMYFUNCTION("""COMPUTED_VALUE"""),225.21)</f>
        <v>225.21</v>
      </c>
      <c r="F141" s="2">
        <f>IFERROR(__xludf.DUMMYFUNCTION("""COMPUTED_VALUE"""),1.68761E7)</f>
        <v>16876100</v>
      </c>
      <c r="G141" s="2">
        <f t="shared" si="1"/>
        <v>8.19</v>
      </c>
    </row>
    <row r="142" ht="15.75" customHeight="1">
      <c r="A142" s="1">
        <f>IFERROR(__xludf.DUMMYFUNCTION("""COMPUTED_VALUE"""),44040.66666666667)</f>
        <v>44040.66667</v>
      </c>
      <c r="B142" s="2">
        <f>IFERROR(__xludf.DUMMYFUNCTION("""COMPUTED_VALUE"""),227.26)</f>
        <v>227.26</v>
      </c>
      <c r="C142" s="2">
        <f>IFERROR(__xludf.DUMMYFUNCTION("""COMPUTED_VALUE"""),274.35)</f>
        <v>274.35</v>
      </c>
      <c r="D142" s="2">
        <f>IFERROR(__xludf.DUMMYFUNCTION("""COMPUTED_VALUE"""),223.17)</f>
        <v>223.17</v>
      </c>
      <c r="E142" s="2">
        <f>IFERROR(__xludf.DUMMYFUNCTION("""COMPUTED_VALUE"""),264.11)</f>
        <v>264.11</v>
      </c>
      <c r="F142" s="2">
        <f>IFERROR(__xludf.DUMMYFUNCTION("""COMPUTED_VALUE"""),2.782125E8)</f>
        <v>278212500</v>
      </c>
      <c r="G142" s="2">
        <f t="shared" si="1"/>
        <v>51.18</v>
      </c>
    </row>
    <row r="143" ht="15.75" customHeight="1">
      <c r="A143" s="1">
        <f>IFERROR(__xludf.DUMMYFUNCTION("""COMPUTED_VALUE"""),44041.66666666667)</f>
        <v>44041.66667</v>
      </c>
      <c r="B143" s="2">
        <f>IFERROR(__xludf.DUMMYFUNCTION("""COMPUTED_VALUE"""),268.21)</f>
        <v>268.21</v>
      </c>
      <c r="C143" s="2">
        <f>IFERROR(__xludf.DUMMYFUNCTION("""COMPUTED_VALUE"""),270.26)</f>
        <v>270.26</v>
      </c>
      <c r="D143" s="2">
        <f>IFERROR(__xludf.DUMMYFUNCTION("""COMPUTED_VALUE"""),245.69)</f>
        <v>245.69</v>
      </c>
      <c r="E143" s="2">
        <f>IFERROR(__xludf.DUMMYFUNCTION("""COMPUTED_VALUE"""),245.69)</f>
        <v>245.69</v>
      </c>
      <c r="F143" s="2">
        <f>IFERROR(__xludf.DUMMYFUNCTION("""COMPUTED_VALUE"""),1.129993E8)</f>
        <v>112999300</v>
      </c>
      <c r="G143" s="2">
        <f t="shared" si="1"/>
        <v>24.57</v>
      </c>
    </row>
    <row r="144" ht="15.75" customHeight="1">
      <c r="A144" s="1">
        <f>IFERROR(__xludf.DUMMYFUNCTION("""COMPUTED_VALUE"""),44042.66666666667)</f>
        <v>44042.66667</v>
      </c>
      <c r="B144" s="2">
        <f>IFERROR(__xludf.DUMMYFUNCTION("""COMPUTED_VALUE"""),245.69)</f>
        <v>245.69</v>
      </c>
      <c r="C144" s="2">
        <f>IFERROR(__xludf.DUMMYFUNCTION("""COMPUTED_VALUE"""),253.88)</f>
        <v>253.88</v>
      </c>
      <c r="D144" s="2">
        <f>IFERROR(__xludf.DUMMYFUNCTION("""COMPUTED_VALUE"""),233.4)</f>
        <v>233.4</v>
      </c>
      <c r="E144" s="2">
        <f>IFERROR(__xludf.DUMMYFUNCTION("""COMPUTED_VALUE"""),237.5)</f>
        <v>237.5</v>
      </c>
      <c r="F144" s="2">
        <f>IFERROR(__xludf.DUMMYFUNCTION("""COMPUTED_VALUE"""),7.57888E7)</f>
        <v>75788800</v>
      </c>
      <c r="G144" s="2">
        <f t="shared" si="1"/>
        <v>20.48</v>
      </c>
    </row>
    <row r="145" ht="15.75" customHeight="1">
      <c r="A145" s="1">
        <f>IFERROR(__xludf.DUMMYFUNCTION("""COMPUTED_VALUE"""),44046.66666666667)</f>
        <v>44046.66667</v>
      </c>
      <c r="B145" s="2">
        <f>IFERROR(__xludf.DUMMYFUNCTION("""COMPUTED_VALUE"""),237.5)</f>
        <v>237.5</v>
      </c>
      <c r="C145" s="2">
        <f>IFERROR(__xludf.DUMMYFUNCTION("""COMPUTED_VALUE"""),241.59)</f>
        <v>241.59</v>
      </c>
      <c r="D145" s="2">
        <f>IFERROR(__xludf.DUMMYFUNCTION("""COMPUTED_VALUE"""),221.12)</f>
        <v>221.12</v>
      </c>
      <c r="E145" s="2">
        <f>IFERROR(__xludf.DUMMYFUNCTION("""COMPUTED_VALUE"""),221.12)</f>
        <v>221.12</v>
      </c>
      <c r="F145" s="2">
        <f>IFERROR(__xludf.DUMMYFUNCTION("""COMPUTED_VALUE"""),4.12859E7)</f>
        <v>41285900</v>
      </c>
      <c r="G145" s="2">
        <f t="shared" si="1"/>
        <v>20.47</v>
      </c>
    </row>
    <row r="146" ht="15.75" customHeight="1">
      <c r="A146" s="1">
        <f>IFERROR(__xludf.DUMMYFUNCTION("""COMPUTED_VALUE"""),44047.66666666667)</f>
        <v>44047.66667</v>
      </c>
      <c r="B146" s="2">
        <f>IFERROR(__xludf.DUMMYFUNCTION("""COMPUTED_VALUE"""),217.02)</f>
        <v>217.02</v>
      </c>
      <c r="C146" s="2">
        <f>IFERROR(__xludf.DUMMYFUNCTION("""COMPUTED_VALUE"""),231.36)</f>
        <v>231.36</v>
      </c>
      <c r="D146" s="2">
        <f>IFERROR(__xludf.DUMMYFUNCTION("""COMPUTED_VALUE"""),210.88)</f>
        <v>210.88</v>
      </c>
      <c r="E146" s="2">
        <f>IFERROR(__xludf.DUMMYFUNCTION("""COMPUTED_VALUE"""),225.21)</f>
        <v>225.21</v>
      </c>
      <c r="F146" s="2">
        <f>IFERROR(__xludf.DUMMYFUNCTION("""COMPUTED_VALUE"""),3.30012E7)</f>
        <v>33001200</v>
      </c>
      <c r="G146" s="2">
        <f t="shared" si="1"/>
        <v>20.48</v>
      </c>
    </row>
    <row r="147" ht="15.75" customHeight="1">
      <c r="A147" s="1">
        <f>IFERROR(__xludf.DUMMYFUNCTION("""COMPUTED_VALUE"""),44048.66666666667)</f>
        <v>44048.66667</v>
      </c>
      <c r="B147" s="2">
        <f>IFERROR(__xludf.DUMMYFUNCTION("""COMPUTED_VALUE"""),225.21)</f>
        <v>225.21</v>
      </c>
      <c r="C147" s="2">
        <f>IFERROR(__xludf.DUMMYFUNCTION("""COMPUTED_VALUE"""),243.64)</f>
        <v>243.64</v>
      </c>
      <c r="D147" s="2">
        <f>IFERROR(__xludf.DUMMYFUNCTION("""COMPUTED_VALUE"""),223.17)</f>
        <v>223.17</v>
      </c>
      <c r="E147" s="2">
        <f>IFERROR(__xludf.DUMMYFUNCTION("""COMPUTED_VALUE"""),233.4)</f>
        <v>233.4</v>
      </c>
      <c r="F147" s="2">
        <f>IFERROR(__xludf.DUMMYFUNCTION("""COMPUTED_VALUE"""),5.25378E7)</f>
        <v>52537800</v>
      </c>
      <c r="G147" s="2">
        <f t="shared" si="1"/>
        <v>20.47</v>
      </c>
    </row>
    <row r="148" ht="15.75" customHeight="1">
      <c r="A148" s="1">
        <f>IFERROR(__xludf.DUMMYFUNCTION("""COMPUTED_VALUE"""),44049.66666666667)</f>
        <v>44049.66667</v>
      </c>
      <c r="B148" s="2">
        <f>IFERROR(__xludf.DUMMYFUNCTION("""COMPUTED_VALUE"""),239.55)</f>
        <v>239.55</v>
      </c>
      <c r="C148" s="2">
        <f>IFERROR(__xludf.DUMMYFUNCTION("""COMPUTED_VALUE"""),249.78)</f>
        <v>249.78</v>
      </c>
      <c r="D148" s="2">
        <f>IFERROR(__xludf.DUMMYFUNCTION("""COMPUTED_VALUE"""),235.45)</f>
        <v>235.45</v>
      </c>
      <c r="E148" s="2">
        <f>IFERROR(__xludf.DUMMYFUNCTION("""COMPUTED_VALUE"""),241.59)</f>
        <v>241.59</v>
      </c>
      <c r="F148" s="2">
        <f>IFERROR(__xludf.DUMMYFUNCTION("""COMPUTED_VALUE"""),4.47626E7)</f>
        <v>44762600</v>
      </c>
      <c r="G148" s="2">
        <f t="shared" si="1"/>
        <v>16.38</v>
      </c>
    </row>
    <row r="149" ht="15.75" customHeight="1">
      <c r="A149" s="1">
        <f>IFERROR(__xludf.DUMMYFUNCTION("""COMPUTED_VALUE"""),44050.66666666667)</f>
        <v>44050.66667</v>
      </c>
      <c r="B149" s="2">
        <f>IFERROR(__xludf.DUMMYFUNCTION("""COMPUTED_VALUE"""),245.69)</f>
        <v>245.69</v>
      </c>
      <c r="C149" s="2">
        <f>IFERROR(__xludf.DUMMYFUNCTION("""COMPUTED_VALUE"""),245.69)</f>
        <v>245.69</v>
      </c>
      <c r="D149" s="2">
        <f>IFERROR(__xludf.DUMMYFUNCTION("""COMPUTED_VALUE"""),235.45)</f>
        <v>235.45</v>
      </c>
      <c r="E149" s="2">
        <f>IFERROR(__xludf.DUMMYFUNCTION("""COMPUTED_VALUE"""),239.55)</f>
        <v>239.55</v>
      </c>
      <c r="F149" s="2">
        <f>IFERROR(__xludf.DUMMYFUNCTION("""COMPUTED_VALUE"""),2.06876E7)</f>
        <v>20687600</v>
      </c>
      <c r="G149" s="2">
        <f t="shared" si="1"/>
        <v>10.24</v>
      </c>
    </row>
    <row r="150" ht="15.75" customHeight="1">
      <c r="A150" s="1">
        <f>IFERROR(__xludf.DUMMYFUNCTION("""COMPUTED_VALUE"""),44053.66666666667)</f>
        <v>44053.66667</v>
      </c>
      <c r="B150" s="2">
        <f>IFERROR(__xludf.DUMMYFUNCTION("""COMPUTED_VALUE"""),243.64)</f>
        <v>243.64</v>
      </c>
      <c r="C150" s="2">
        <f>IFERROR(__xludf.DUMMYFUNCTION("""COMPUTED_VALUE"""),249.78)</f>
        <v>249.78</v>
      </c>
      <c r="D150" s="2">
        <f>IFERROR(__xludf.DUMMYFUNCTION("""COMPUTED_VALUE"""),239.55)</f>
        <v>239.55</v>
      </c>
      <c r="E150" s="2">
        <f>IFERROR(__xludf.DUMMYFUNCTION("""COMPUTED_VALUE"""),243.64)</f>
        <v>243.64</v>
      </c>
      <c r="F150" s="2">
        <f>IFERROR(__xludf.DUMMYFUNCTION("""COMPUTED_VALUE"""),6.38394E7)</f>
        <v>63839400</v>
      </c>
      <c r="G150" s="2">
        <f t="shared" si="1"/>
        <v>10.23</v>
      </c>
    </row>
    <row r="151" ht="15.75" customHeight="1">
      <c r="A151" s="1">
        <f>IFERROR(__xludf.DUMMYFUNCTION("""COMPUTED_VALUE"""),44054.66666666667)</f>
        <v>44054.66667</v>
      </c>
      <c r="B151" s="2">
        <f>IFERROR(__xludf.DUMMYFUNCTION("""COMPUTED_VALUE"""),245.69)</f>
        <v>245.69</v>
      </c>
      <c r="C151" s="2">
        <f>IFERROR(__xludf.DUMMYFUNCTION("""COMPUTED_VALUE"""),257.97)</f>
        <v>257.97</v>
      </c>
      <c r="D151" s="2">
        <f>IFERROR(__xludf.DUMMYFUNCTION("""COMPUTED_VALUE"""),243.64)</f>
        <v>243.64</v>
      </c>
      <c r="E151" s="2">
        <f>IFERROR(__xludf.DUMMYFUNCTION("""COMPUTED_VALUE"""),247.73)</f>
        <v>247.73</v>
      </c>
      <c r="F151" s="2">
        <f>IFERROR(__xludf.DUMMYFUNCTION("""COMPUTED_VALUE"""),6.29351E7)</f>
        <v>62935100</v>
      </c>
      <c r="G151" s="2">
        <f t="shared" si="1"/>
        <v>14.33</v>
      </c>
    </row>
    <row r="152" ht="15.75" customHeight="1">
      <c r="A152" s="1">
        <f>IFERROR(__xludf.DUMMYFUNCTION("""COMPUTED_VALUE"""),44055.66666666667)</f>
        <v>44055.66667</v>
      </c>
      <c r="B152" s="2">
        <f>IFERROR(__xludf.DUMMYFUNCTION("""COMPUTED_VALUE"""),247.73)</f>
        <v>247.73</v>
      </c>
      <c r="C152" s="2">
        <f>IFERROR(__xludf.DUMMYFUNCTION("""COMPUTED_VALUE"""),305.06)</f>
        <v>305.06</v>
      </c>
      <c r="D152" s="2">
        <f>IFERROR(__xludf.DUMMYFUNCTION("""COMPUTED_VALUE"""),243.64)</f>
        <v>243.64</v>
      </c>
      <c r="E152" s="2">
        <f>IFERROR(__xludf.DUMMYFUNCTION("""COMPUTED_VALUE"""),280.49)</f>
        <v>280.49</v>
      </c>
      <c r="F152" s="2">
        <f>IFERROR(__xludf.DUMMYFUNCTION("""COMPUTED_VALUE"""),6.090413E8)</f>
        <v>609041300</v>
      </c>
      <c r="G152" s="2">
        <f t="shared" si="1"/>
        <v>61.42</v>
      </c>
    </row>
    <row r="153" ht="15.75" customHeight="1">
      <c r="A153" s="1">
        <f>IFERROR(__xludf.DUMMYFUNCTION("""COMPUTED_VALUE"""),44056.66666666667)</f>
        <v>44056.66667</v>
      </c>
      <c r="B153" s="2">
        <f>IFERROR(__xludf.DUMMYFUNCTION("""COMPUTED_VALUE"""),284.59)</f>
        <v>284.59</v>
      </c>
      <c r="C153" s="2">
        <f>IFERROR(__xludf.DUMMYFUNCTION("""COMPUTED_VALUE"""),288.68)</f>
        <v>288.68</v>
      </c>
      <c r="D153" s="2">
        <f>IFERROR(__xludf.DUMMYFUNCTION("""COMPUTED_VALUE"""),270.26)</f>
        <v>270.26</v>
      </c>
      <c r="E153" s="2">
        <f>IFERROR(__xludf.DUMMYFUNCTION("""COMPUTED_VALUE"""),274.35)</f>
        <v>274.35</v>
      </c>
      <c r="F153" s="2">
        <f>IFERROR(__xludf.DUMMYFUNCTION("""COMPUTED_VALUE"""),1.246514E8)</f>
        <v>124651400</v>
      </c>
      <c r="G153" s="2">
        <f t="shared" si="1"/>
        <v>18.42</v>
      </c>
    </row>
    <row r="154" ht="15.75" customHeight="1">
      <c r="A154" s="1">
        <f>IFERROR(__xludf.DUMMYFUNCTION("""COMPUTED_VALUE"""),44057.66666666667)</f>
        <v>44057.66667</v>
      </c>
      <c r="B154" s="2">
        <f>IFERROR(__xludf.DUMMYFUNCTION("""COMPUTED_VALUE"""),274.35)</f>
        <v>274.35</v>
      </c>
      <c r="C154" s="2">
        <f>IFERROR(__xludf.DUMMYFUNCTION("""COMPUTED_VALUE"""),292.78)</f>
        <v>292.78</v>
      </c>
      <c r="D154" s="2">
        <f>IFERROR(__xludf.DUMMYFUNCTION("""COMPUTED_VALUE"""),274.35)</f>
        <v>274.35</v>
      </c>
      <c r="E154" s="2">
        <f>IFERROR(__xludf.DUMMYFUNCTION("""COMPUTED_VALUE"""),286.64)</f>
        <v>286.64</v>
      </c>
      <c r="F154" s="2">
        <f>IFERROR(__xludf.DUMMYFUNCTION("""COMPUTED_VALUE"""),7.63459E7)</f>
        <v>76345900</v>
      </c>
      <c r="G154" s="2">
        <f t="shared" si="1"/>
        <v>18.43</v>
      </c>
    </row>
    <row r="155" ht="15.75" customHeight="1">
      <c r="A155" s="1">
        <f>IFERROR(__xludf.DUMMYFUNCTION("""COMPUTED_VALUE"""),44061.66666666667)</f>
        <v>44061.66667</v>
      </c>
      <c r="B155" s="2">
        <f>IFERROR(__xludf.DUMMYFUNCTION("""COMPUTED_VALUE"""),286.64)</f>
        <v>286.64</v>
      </c>
      <c r="C155" s="2">
        <f>IFERROR(__xludf.DUMMYFUNCTION("""COMPUTED_VALUE"""),329.63)</f>
        <v>329.63</v>
      </c>
      <c r="D155" s="2">
        <f>IFERROR(__xludf.DUMMYFUNCTION("""COMPUTED_VALUE"""),286.64)</f>
        <v>286.64</v>
      </c>
      <c r="E155" s="2">
        <f>IFERROR(__xludf.DUMMYFUNCTION("""COMPUTED_VALUE"""),307.11)</f>
        <v>307.11</v>
      </c>
      <c r="F155" s="2">
        <f>IFERROR(__xludf.DUMMYFUNCTION("""COMPUTED_VALUE"""),3.555629E8)</f>
        <v>355562900</v>
      </c>
      <c r="G155" s="2">
        <f t="shared" si="1"/>
        <v>42.99</v>
      </c>
    </row>
    <row r="156" ht="15.75" customHeight="1">
      <c r="A156" s="1">
        <f>IFERROR(__xludf.DUMMYFUNCTION("""COMPUTED_VALUE"""),44062.66666666667)</f>
        <v>44062.66667</v>
      </c>
      <c r="B156" s="2">
        <f>IFERROR(__xludf.DUMMYFUNCTION("""COMPUTED_VALUE"""),307.11)</f>
        <v>307.11</v>
      </c>
      <c r="C156" s="2">
        <f>IFERROR(__xludf.DUMMYFUNCTION("""COMPUTED_VALUE"""),321.44)</f>
        <v>321.44</v>
      </c>
      <c r="D156" s="2">
        <f>IFERROR(__xludf.DUMMYFUNCTION("""COMPUTED_VALUE"""),307.11)</f>
        <v>307.11</v>
      </c>
      <c r="E156" s="2">
        <f>IFERROR(__xludf.DUMMYFUNCTION("""COMPUTED_VALUE"""),317.35)</f>
        <v>317.35</v>
      </c>
      <c r="F156" s="2">
        <f>IFERROR(__xludf.DUMMYFUNCTION("""COMPUTED_VALUE"""),1.504371E8)</f>
        <v>150437100</v>
      </c>
      <c r="G156" s="2">
        <f t="shared" si="1"/>
        <v>14.33</v>
      </c>
    </row>
    <row r="157" ht="15.75" customHeight="1">
      <c r="A157" s="1">
        <f>IFERROR(__xludf.DUMMYFUNCTION("""COMPUTED_VALUE"""),44067.66666666667)</f>
        <v>44067.66667</v>
      </c>
      <c r="B157" s="2">
        <f>IFERROR(__xludf.DUMMYFUNCTION("""COMPUTED_VALUE"""),321.44)</f>
        <v>321.44</v>
      </c>
      <c r="C157" s="2">
        <f>IFERROR(__xludf.DUMMYFUNCTION("""COMPUTED_VALUE"""),372.63)</f>
        <v>372.63</v>
      </c>
      <c r="D157" s="2">
        <f>IFERROR(__xludf.DUMMYFUNCTION("""COMPUTED_VALUE"""),311.2)</f>
        <v>311.2</v>
      </c>
      <c r="E157" s="2">
        <f>IFERROR(__xludf.DUMMYFUNCTION("""COMPUTED_VALUE"""),354.2)</f>
        <v>354.2</v>
      </c>
      <c r="F157" s="2">
        <f>IFERROR(__xludf.DUMMYFUNCTION("""COMPUTED_VALUE"""),5.840136E8)</f>
        <v>584013600</v>
      </c>
      <c r="G157" s="2">
        <f t="shared" si="1"/>
        <v>61.43</v>
      </c>
    </row>
    <row r="158" ht="15.75" customHeight="1">
      <c r="A158" s="1">
        <f>IFERROR(__xludf.DUMMYFUNCTION("""COMPUTED_VALUE"""),44068.66666666667)</f>
        <v>44068.66667</v>
      </c>
      <c r="B158" s="2">
        <f>IFERROR(__xludf.DUMMYFUNCTION("""COMPUTED_VALUE"""),358.29)</f>
        <v>358.29</v>
      </c>
      <c r="C158" s="2">
        <f>IFERROR(__xludf.DUMMYFUNCTION("""COMPUTED_VALUE"""),360.34)</f>
        <v>360.34</v>
      </c>
      <c r="D158" s="2">
        <f>IFERROR(__xludf.DUMMYFUNCTION("""COMPUTED_VALUE"""),339.87)</f>
        <v>339.87</v>
      </c>
      <c r="E158" s="2">
        <f>IFERROR(__xludf.DUMMYFUNCTION("""COMPUTED_VALUE"""),346.01)</f>
        <v>346.01</v>
      </c>
      <c r="F158" s="2">
        <f>IFERROR(__xludf.DUMMYFUNCTION("""COMPUTED_VALUE"""),1.345228E8)</f>
        <v>134522800</v>
      </c>
      <c r="G158" s="2">
        <f t="shared" si="1"/>
        <v>20.47</v>
      </c>
    </row>
    <row r="159" ht="15.75" customHeight="1">
      <c r="A159" s="1">
        <f>IFERROR(__xludf.DUMMYFUNCTION("""COMPUTED_VALUE"""),44069.66666666667)</f>
        <v>44069.66667</v>
      </c>
      <c r="B159" s="2">
        <f>IFERROR(__xludf.DUMMYFUNCTION("""COMPUTED_VALUE"""),346.01)</f>
        <v>346.01</v>
      </c>
      <c r="C159" s="2">
        <f>IFERROR(__xludf.DUMMYFUNCTION("""COMPUTED_VALUE"""),405.38)</f>
        <v>405.38</v>
      </c>
      <c r="D159" s="2">
        <f>IFERROR(__xludf.DUMMYFUNCTION("""COMPUTED_VALUE"""),341.92)</f>
        <v>341.92</v>
      </c>
      <c r="E159" s="2">
        <f>IFERROR(__xludf.DUMMYFUNCTION("""COMPUTED_VALUE"""),389.01)</f>
        <v>389.01</v>
      </c>
      <c r="F159" s="2">
        <f>IFERROR(__xludf.DUMMYFUNCTION("""COMPUTED_VALUE"""),6.4501E8)</f>
        <v>645010000</v>
      </c>
      <c r="G159" s="2">
        <f t="shared" si="1"/>
        <v>63.46</v>
      </c>
    </row>
    <row r="160" ht="15.75" customHeight="1">
      <c r="A160" s="1">
        <f>IFERROR(__xludf.DUMMYFUNCTION("""COMPUTED_VALUE"""),44070.66666666667)</f>
        <v>44070.66667</v>
      </c>
      <c r="B160" s="2">
        <f>IFERROR(__xludf.DUMMYFUNCTION("""COMPUTED_VALUE"""),389.01)</f>
        <v>389.01</v>
      </c>
      <c r="C160" s="2">
        <f>IFERROR(__xludf.DUMMYFUNCTION("""COMPUTED_VALUE"""),423.81)</f>
        <v>423.81</v>
      </c>
      <c r="D160" s="2">
        <f>IFERROR(__xludf.DUMMYFUNCTION("""COMPUTED_VALUE"""),389.01)</f>
        <v>389.01</v>
      </c>
      <c r="E160" s="2">
        <f>IFERROR(__xludf.DUMMYFUNCTION("""COMPUTED_VALUE"""),397.19)</f>
        <v>397.19</v>
      </c>
      <c r="F160" s="2">
        <f>IFERROR(__xludf.DUMMYFUNCTION("""COMPUTED_VALUE"""),3.533097E8)</f>
        <v>353309700</v>
      </c>
      <c r="G160" s="2">
        <f t="shared" si="1"/>
        <v>34.8</v>
      </c>
    </row>
    <row r="161" ht="15.75" customHeight="1">
      <c r="A161" s="1">
        <f>IFERROR(__xludf.DUMMYFUNCTION("""COMPUTED_VALUE"""),44071.66666666667)</f>
        <v>44071.66667</v>
      </c>
      <c r="B161" s="2">
        <f>IFERROR(__xludf.DUMMYFUNCTION("""COMPUTED_VALUE"""),397.19)</f>
        <v>397.19</v>
      </c>
      <c r="C161" s="2">
        <f>IFERROR(__xludf.DUMMYFUNCTION("""COMPUTED_VALUE"""),409.48)</f>
        <v>409.48</v>
      </c>
      <c r="D161" s="2">
        <f>IFERROR(__xludf.DUMMYFUNCTION("""COMPUTED_VALUE"""),370.58)</f>
        <v>370.58</v>
      </c>
      <c r="E161" s="2">
        <f>IFERROR(__xludf.DUMMYFUNCTION("""COMPUTED_VALUE"""),389.01)</f>
        <v>389.01</v>
      </c>
      <c r="F161" s="2">
        <f>IFERROR(__xludf.DUMMYFUNCTION("""COMPUTED_VALUE"""),1.263798E8)</f>
        <v>126379800</v>
      </c>
      <c r="G161" s="2">
        <f t="shared" si="1"/>
        <v>38.9</v>
      </c>
    </row>
    <row r="162" ht="15.75" customHeight="1">
      <c r="A162" s="1">
        <f>IFERROR(__xludf.DUMMYFUNCTION("""COMPUTED_VALUE"""),44074.66666666667)</f>
        <v>44074.66667</v>
      </c>
      <c r="B162" s="2">
        <f>IFERROR(__xludf.DUMMYFUNCTION("""COMPUTED_VALUE"""),391.05)</f>
        <v>391.05</v>
      </c>
      <c r="C162" s="2">
        <f>IFERROR(__xludf.DUMMYFUNCTION("""COMPUTED_VALUE"""),401.29)</f>
        <v>401.29</v>
      </c>
      <c r="D162" s="2">
        <f>IFERROR(__xludf.DUMMYFUNCTION("""COMPUTED_VALUE"""),376.72)</f>
        <v>376.72</v>
      </c>
      <c r="E162" s="2">
        <f>IFERROR(__xludf.DUMMYFUNCTION("""COMPUTED_VALUE"""),389.01)</f>
        <v>389.01</v>
      </c>
      <c r="F162" s="2">
        <f>IFERROR(__xludf.DUMMYFUNCTION("""COMPUTED_VALUE"""),9.94055E7)</f>
        <v>99405500</v>
      </c>
      <c r="G162" s="2">
        <f t="shared" si="1"/>
        <v>24.57</v>
      </c>
    </row>
    <row r="163" ht="15.75" customHeight="1">
      <c r="A163" s="1">
        <f>IFERROR(__xludf.DUMMYFUNCTION("""COMPUTED_VALUE"""),44075.66666666667)</f>
        <v>44075.66667</v>
      </c>
      <c r="B163" s="2">
        <f>IFERROR(__xludf.DUMMYFUNCTION("""COMPUTED_VALUE"""),389.01)</f>
        <v>389.01</v>
      </c>
      <c r="C163" s="2">
        <f>IFERROR(__xludf.DUMMYFUNCTION("""COMPUTED_VALUE"""),395.15)</f>
        <v>395.15</v>
      </c>
      <c r="D163" s="2">
        <f>IFERROR(__xludf.DUMMYFUNCTION("""COMPUTED_VALUE"""),376.72)</f>
        <v>376.72</v>
      </c>
      <c r="E163" s="2">
        <f>IFERROR(__xludf.DUMMYFUNCTION("""COMPUTED_VALUE"""),389.01)</f>
        <v>389.01</v>
      </c>
      <c r="F163" s="2">
        <f>IFERROR(__xludf.DUMMYFUNCTION("""COMPUTED_VALUE"""),5.05462E7)</f>
        <v>50546200</v>
      </c>
      <c r="G163" s="2">
        <f t="shared" si="1"/>
        <v>18.43</v>
      </c>
    </row>
    <row r="164" ht="15.75" customHeight="1">
      <c r="A164" s="1">
        <f>IFERROR(__xludf.DUMMYFUNCTION("""COMPUTED_VALUE"""),44076.66666666667)</f>
        <v>44076.66667</v>
      </c>
      <c r="B164" s="2">
        <f>IFERROR(__xludf.DUMMYFUNCTION("""COMPUTED_VALUE"""),391.05)</f>
        <v>391.05</v>
      </c>
      <c r="C164" s="2">
        <f>IFERROR(__xludf.DUMMYFUNCTION("""COMPUTED_VALUE"""),397.19)</f>
        <v>397.19</v>
      </c>
      <c r="D164" s="2">
        <f>IFERROR(__xludf.DUMMYFUNCTION("""COMPUTED_VALUE"""),389.01)</f>
        <v>389.01</v>
      </c>
      <c r="E164" s="2">
        <f>IFERROR(__xludf.DUMMYFUNCTION("""COMPUTED_VALUE"""),393.1)</f>
        <v>393.1</v>
      </c>
      <c r="F164" s="2">
        <f>IFERROR(__xludf.DUMMYFUNCTION("""COMPUTED_VALUE"""),3.63595E7)</f>
        <v>36359500</v>
      </c>
      <c r="G164" s="2">
        <f t="shared" si="1"/>
        <v>8.18</v>
      </c>
    </row>
    <row r="165" ht="15.75" customHeight="1">
      <c r="A165" s="1">
        <f>IFERROR(__xludf.DUMMYFUNCTION("""COMPUTED_VALUE"""),44077.66666666667)</f>
        <v>44077.66667</v>
      </c>
      <c r="B165" s="2">
        <f>IFERROR(__xludf.DUMMYFUNCTION("""COMPUTED_VALUE"""),393.1)</f>
        <v>393.1</v>
      </c>
      <c r="C165" s="2">
        <f>IFERROR(__xludf.DUMMYFUNCTION("""COMPUTED_VALUE"""),399.24)</f>
        <v>399.24</v>
      </c>
      <c r="D165" s="2">
        <f>IFERROR(__xludf.DUMMYFUNCTION("""COMPUTED_VALUE"""),382.86)</f>
        <v>382.86</v>
      </c>
      <c r="E165" s="2">
        <f>IFERROR(__xludf.DUMMYFUNCTION("""COMPUTED_VALUE"""),386.96)</f>
        <v>386.96</v>
      </c>
      <c r="F165" s="2">
        <f>IFERROR(__xludf.DUMMYFUNCTION("""COMPUTED_VALUE"""),2.45273E7)</f>
        <v>24527300</v>
      </c>
      <c r="G165" s="2">
        <f t="shared" si="1"/>
        <v>16.38</v>
      </c>
    </row>
    <row r="166" ht="15.75" customHeight="1">
      <c r="A166" s="1">
        <f>IFERROR(__xludf.DUMMYFUNCTION("""COMPUTED_VALUE"""),44078.66666666667)</f>
        <v>44078.66667</v>
      </c>
      <c r="B166" s="2">
        <f>IFERROR(__xludf.DUMMYFUNCTION("""COMPUTED_VALUE"""),380.82)</f>
        <v>380.82</v>
      </c>
      <c r="C166" s="2">
        <f>IFERROR(__xludf.DUMMYFUNCTION("""COMPUTED_VALUE"""),384.91)</f>
        <v>384.91</v>
      </c>
      <c r="D166" s="2">
        <f>IFERROR(__xludf.DUMMYFUNCTION("""COMPUTED_VALUE"""),370.58)</f>
        <v>370.58</v>
      </c>
      <c r="E166" s="2">
        <f>IFERROR(__xludf.DUMMYFUNCTION("""COMPUTED_VALUE"""),384.91)</f>
        <v>384.91</v>
      </c>
      <c r="F166" s="2">
        <f>IFERROR(__xludf.DUMMYFUNCTION("""COMPUTED_VALUE"""),6.33151E7)</f>
        <v>63315100</v>
      </c>
      <c r="G166" s="2">
        <f t="shared" si="1"/>
        <v>16.38</v>
      </c>
    </row>
    <row r="167" ht="15.75" customHeight="1">
      <c r="A167" s="1">
        <f>IFERROR(__xludf.DUMMYFUNCTION("""COMPUTED_VALUE"""),44081.66666666667)</f>
        <v>44081.66667</v>
      </c>
      <c r="B167" s="2">
        <f>IFERROR(__xludf.DUMMYFUNCTION("""COMPUTED_VALUE"""),384.91)</f>
        <v>384.91</v>
      </c>
      <c r="C167" s="2">
        <f>IFERROR(__xludf.DUMMYFUNCTION("""COMPUTED_VALUE"""),386.96)</f>
        <v>386.96</v>
      </c>
      <c r="D167" s="2">
        <f>IFERROR(__xludf.DUMMYFUNCTION("""COMPUTED_VALUE"""),374.67)</f>
        <v>374.67</v>
      </c>
      <c r="E167" s="2">
        <f>IFERROR(__xludf.DUMMYFUNCTION("""COMPUTED_VALUE"""),376.72)</f>
        <v>376.72</v>
      </c>
      <c r="F167" s="2">
        <f>IFERROR(__xludf.DUMMYFUNCTION("""COMPUTED_VALUE"""),2.92155E7)</f>
        <v>29215500</v>
      </c>
      <c r="G167" s="2">
        <f t="shared" si="1"/>
        <v>12.29</v>
      </c>
    </row>
    <row r="168" ht="15.75" customHeight="1">
      <c r="A168" s="1">
        <f>IFERROR(__xludf.DUMMYFUNCTION("""COMPUTED_VALUE"""),44082.66666666667)</f>
        <v>44082.66667</v>
      </c>
      <c r="B168" s="2">
        <f>IFERROR(__xludf.DUMMYFUNCTION("""COMPUTED_VALUE"""),374.67)</f>
        <v>374.67</v>
      </c>
      <c r="C168" s="2">
        <f>IFERROR(__xludf.DUMMYFUNCTION("""COMPUTED_VALUE"""),382.86)</f>
        <v>382.86</v>
      </c>
      <c r="D168" s="2">
        <f>IFERROR(__xludf.DUMMYFUNCTION("""COMPUTED_VALUE"""),358.29)</f>
        <v>358.29</v>
      </c>
      <c r="E168" s="2">
        <f>IFERROR(__xludf.DUMMYFUNCTION("""COMPUTED_VALUE"""),364.44)</f>
        <v>364.44</v>
      </c>
      <c r="F168" s="2">
        <f>IFERROR(__xludf.DUMMYFUNCTION("""COMPUTED_VALUE"""),3.36764E7)</f>
        <v>33676400</v>
      </c>
      <c r="G168" s="2">
        <f t="shared" si="1"/>
        <v>24.57</v>
      </c>
    </row>
    <row r="169" ht="15.75" customHeight="1">
      <c r="A169" s="1">
        <f>IFERROR(__xludf.DUMMYFUNCTION("""COMPUTED_VALUE"""),44083.66666666667)</f>
        <v>44083.66667</v>
      </c>
      <c r="B169" s="2">
        <f>IFERROR(__xludf.DUMMYFUNCTION("""COMPUTED_VALUE"""),360.34)</f>
        <v>360.34</v>
      </c>
      <c r="C169" s="2">
        <f>IFERROR(__xludf.DUMMYFUNCTION("""COMPUTED_VALUE"""),364.44)</f>
        <v>364.44</v>
      </c>
      <c r="D169" s="2">
        <f>IFERROR(__xludf.DUMMYFUNCTION("""COMPUTED_VALUE"""),339.87)</f>
        <v>339.87</v>
      </c>
      <c r="E169" s="2">
        <f>IFERROR(__xludf.DUMMYFUNCTION("""COMPUTED_VALUE"""),339.87)</f>
        <v>339.87</v>
      </c>
      <c r="F169" s="2">
        <f>IFERROR(__xludf.DUMMYFUNCTION("""COMPUTED_VALUE"""),6.58539E7)</f>
        <v>65853900</v>
      </c>
      <c r="G169" s="2">
        <f t="shared" si="1"/>
        <v>24.57</v>
      </c>
    </row>
    <row r="170" ht="15.75" customHeight="1">
      <c r="A170" s="1">
        <f>IFERROR(__xludf.DUMMYFUNCTION("""COMPUTED_VALUE"""),44084.66666666667)</f>
        <v>44084.66667</v>
      </c>
      <c r="B170" s="2">
        <f>IFERROR(__xludf.DUMMYFUNCTION("""COMPUTED_VALUE"""),337.82)</f>
        <v>337.82</v>
      </c>
      <c r="C170" s="2">
        <f>IFERROR(__xludf.DUMMYFUNCTION("""COMPUTED_VALUE"""),337.82)</f>
        <v>337.82</v>
      </c>
      <c r="D170" s="2">
        <f>IFERROR(__xludf.DUMMYFUNCTION("""COMPUTED_VALUE"""),317.35)</f>
        <v>317.35</v>
      </c>
      <c r="E170" s="2">
        <f>IFERROR(__xludf.DUMMYFUNCTION("""COMPUTED_VALUE"""),317.35)</f>
        <v>317.35</v>
      </c>
      <c r="F170" s="2">
        <f>IFERROR(__xludf.DUMMYFUNCTION("""COMPUTED_VALUE"""),2.45221E7)</f>
        <v>24522100</v>
      </c>
      <c r="G170" s="2">
        <f t="shared" si="1"/>
        <v>22.52</v>
      </c>
    </row>
    <row r="171" ht="15.75" customHeight="1">
      <c r="A171" s="1">
        <f>IFERROR(__xludf.DUMMYFUNCTION("""COMPUTED_VALUE"""),44085.66666666667)</f>
        <v>44085.66667</v>
      </c>
      <c r="B171" s="2">
        <f>IFERROR(__xludf.DUMMYFUNCTION("""COMPUTED_VALUE"""),296.87)</f>
        <v>296.87</v>
      </c>
      <c r="C171" s="2">
        <f>IFERROR(__xludf.DUMMYFUNCTION("""COMPUTED_VALUE"""),327.58)</f>
        <v>327.58</v>
      </c>
      <c r="D171" s="2">
        <f>IFERROR(__xludf.DUMMYFUNCTION("""COMPUTED_VALUE"""),296.87)</f>
        <v>296.87</v>
      </c>
      <c r="E171" s="2">
        <f>IFERROR(__xludf.DUMMYFUNCTION("""COMPUTED_VALUE"""),325.54)</f>
        <v>325.54</v>
      </c>
      <c r="F171" s="2">
        <f>IFERROR(__xludf.DUMMYFUNCTION("""COMPUTED_VALUE"""),1.329151E8)</f>
        <v>132915100</v>
      </c>
      <c r="G171" s="2">
        <f t="shared" si="1"/>
        <v>30.71</v>
      </c>
    </row>
    <row r="172" ht="15.75" customHeight="1">
      <c r="A172" s="1">
        <f>IFERROR(__xludf.DUMMYFUNCTION("""COMPUTED_VALUE"""),44088.66666666667)</f>
        <v>44088.66667</v>
      </c>
      <c r="B172" s="2">
        <f>IFERROR(__xludf.DUMMYFUNCTION("""COMPUTED_VALUE"""),327.58)</f>
        <v>327.58</v>
      </c>
      <c r="C172" s="2">
        <f>IFERROR(__xludf.DUMMYFUNCTION("""COMPUTED_VALUE"""),374.67)</f>
        <v>374.67</v>
      </c>
      <c r="D172" s="2">
        <f>IFERROR(__xludf.DUMMYFUNCTION("""COMPUTED_VALUE"""),327.58)</f>
        <v>327.58</v>
      </c>
      <c r="E172" s="2">
        <f>IFERROR(__xludf.DUMMYFUNCTION("""COMPUTED_VALUE"""),366.48)</f>
        <v>366.48</v>
      </c>
      <c r="F172" s="2">
        <f>IFERROR(__xludf.DUMMYFUNCTION("""COMPUTED_VALUE"""),1.099193E8)</f>
        <v>109919300</v>
      </c>
      <c r="G172" s="2">
        <f t="shared" si="1"/>
        <v>49.13</v>
      </c>
    </row>
    <row r="173" ht="15.75" customHeight="1">
      <c r="A173" s="1">
        <f>IFERROR(__xludf.DUMMYFUNCTION("""COMPUTED_VALUE"""),44089.66666666667)</f>
        <v>44089.66667</v>
      </c>
      <c r="B173" s="2">
        <f>IFERROR(__xludf.DUMMYFUNCTION("""COMPUTED_VALUE"""),372.63)</f>
        <v>372.63</v>
      </c>
      <c r="C173" s="2">
        <f>IFERROR(__xludf.DUMMYFUNCTION("""COMPUTED_VALUE"""),380.82)</f>
        <v>380.82</v>
      </c>
      <c r="D173" s="2">
        <f>IFERROR(__xludf.DUMMYFUNCTION("""COMPUTED_VALUE"""),360.34)</f>
        <v>360.34</v>
      </c>
      <c r="E173" s="2">
        <f>IFERROR(__xludf.DUMMYFUNCTION("""COMPUTED_VALUE"""),364.44)</f>
        <v>364.44</v>
      </c>
      <c r="F173" s="2">
        <f>IFERROR(__xludf.DUMMYFUNCTION("""COMPUTED_VALUE"""),8.34947E7)</f>
        <v>83494700</v>
      </c>
      <c r="G173" s="2">
        <f t="shared" si="1"/>
        <v>20.48</v>
      </c>
    </row>
    <row r="174" ht="15.75" customHeight="1">
      <c r="A174" s="1">
        <f>IFERROR(__xludf.DUMMYFUNCTION("""COMPUTED_VALUE"""),44090.66666666667)</f>
        <v>44090.66667</v>
      </c>
      <c r="B174" s="2">
        <f>IFERROR(__xludf.DUMMYFUNCTION("""COMPUTED_VALUE"""),366.48)</f>
        <v>366.48</v>
      </c>
      <c r="C174" s="2">
        <f>IFERROR(__xludf.DUMMYFUNCTION("""COMPUTED_VALUE"""),368.53)</f>
        <v>368.53</v>
      </c>
      <c r="D174" s="2">
        <f>IFERROR(__xludf.DUMMYFUNCTION("""COMPUTED_VALUE"""),348.06)</f>
        <v>348.06</v>
      </c>
      <c r="E174" s="2">
        <f>IFERROR(__xludf.DUMMYFUNCTION("""COMPUTED_VALUE"""),352.15)</f>
        <v>352.15</v>
      </c>
      <c r="F174" s="2">
        <f>IFERROR(__xludf.DUMMYFUNCTION("""COMPUTED_VALUE"""),3.75231E7)</f>
        <v>37523100</v>
      </c>
      <c r="G174" s="2">
        <f t="shared" si="1"/>
        <v>20.47</v>
      </c>
    </row>
    <row r="175" ht="15.75" customHeight="1">
      <c r="A175" s="1">
        <f>IFERROR(__xludf.DUMMYFUNCTION("""COMPUTED_VALUE"""),44091.66666666667)</f>
        <v>44091.66667</v>
      </c>
      <c r="B175" s="2">
        <f>IFERROR(__xludf.DUMMYFUNCTION("""COMPUTED_VALUE"""),352.15)</f>
        <v>352.15</v>
      </c>
      <c r="C175" s="2">
        <f>IFERROR(__xludf.DUMMYFUNCTION("""COMPUTED_VALUE"""),362.39)</f>
        <v>362.39</v>
      </c>
      <c r="D175" s="2">
        <f>IFERROR(__xludf.DUMMYFUNCTION("""COMPUTED_VALUE"""),335.77)</f>
        <v>335.77</v>
      </c>
      <c r="E175" s="2">
        <f>IFERROR(__xludf.DUMMYFUNCTION("""COMPUTED_VALUE"""),341.92)</f>
        <v>341.92</v>
      </c>
      <c r="F175" s="2">
        <f>IFERROR(__xludf.DUMMYFUNCTION("""COMPUTED_VALUE"""),2.70267E7)</f>
        <v>27026700</v>
      </c>
      <c r="G175" s="2">
        <f t="shared" si="1"/>
        <v>26.62</v>
      </c>
    </row>
    <row r="176" ht="15.75" customHeight="1">
      <c r="A176" s="1">
        <f>IFERROR(__xludf.DUMMYFUNCTION("""COMPUTED_VALUE"""),44092.66666666667)</f>
        <v>44092.66667</v>
      </c>
      <c r="B176" s="2">
        <f>IFERROR(__xludf.DUMMYFUNCTION("""COMPUTED_VALUE"""),329.63)</f>
        <v>329.63</v>
      </c>
      <c r="C176" s="2">
        <f>IFERROR(__xludf.DUMMYFUNCTION("""COMPUTED_VALUE"""),362.39)</f>
        <v>362.39</v>
      </c>
      <c r="D176" s="2">
        <f>IFERROR(__xludf.DUMMYFUNCTION("""COMPUTED_VALUE"""),329.63)</f>
        <v>329.63</v>
      </c>
      <c r="E176" s="2">
        <f>IFERROR(__xludf.DUMMYFUNCTION("""COMPUTED_VALUE"""),348.06)</f>
        <v>348.06</v>
      </c>
      <c r="F176" s="2">
        <f>IFERROR(__xludf.DUMMYFUNCTION("""COMPUTED_VALUE"""),4.33368E7)</f>
        <v>43336800</v>
      </c>
      <c r="G176" s="2">
        <f t="shared" si="1"/>
        <v>32.76</v>
      </c>
    </row>
    <row r="177" ht="15.75" customHeight="1">
      <c r="A177" s="1">
        <f>IFERROR(__xludf.DUMMYFUNCTION("""COMPUTED_VALUE"""),44095.66666666667)</f>
        <v>44095.66667</v>
      </c>
      <c r="B177" s="2">
        <f>IFERROR(__xludf.DUMMYFUNCTION("""COMPUTED_VALUE"""),352.15)</f>
        <v>352.15</v>
      </c>
      <c r="C177" s="2">
        <f>IFERROR(__xludf.DUMMYFUNCTION("""COMPUTED_VALUE"""),356.25)</f>
        <v>356.25</v>
      </c>
      <c r="D177" s="2">
        <f>IFERROR(__xludf.DUMMYFUNCTION("""COMPUTED_VALUE"""),327.58)</f>
        <v>327.58</v>
      </c>
      <c r="E177" s="2">
        <f>IFERROR(__xludf.DUMMYFUNCTION("""COMPUTED_VALUE"""),333.73)</f>
        <v>333.73</v>
      </c>
      <c r="F177" s="2">
        <f>IFERROR(__xludf.DUMMYFUNCTION("""COMPUTED_VALUE"""),3.17154E7)</f>
        <v>31715400</v>
      </c>
      <c r="G177" s="2">
        <f t="shared" si="1"/>
        <v>28.67</v>
      </c>
    </row>
    <row r="178" ht="15.75" customHeight="1">
      <c r="A178" s="1">
        <f>IFERROR(__xludf.DUMMYFUNCTION("""COMPUTED_VALUE"""),44096.66666666667)</f>
        <v>44096.66667</v>
      </c>
      <c r="B178" s="2">
        <f>IFERROR(__xludf.DUMMYFUNCTION("""COMPUTED_VALUE"""),317.35)</f>
        <v>317.35</v>
      </c>
      <c r="C178" s="2">
        <f>IFERROR(__xludf.DUMMYFUNCTION("""COMPUTED_VALUE"""),331.68)</f>
        <v>331.68</v>
      </c>
      <c r="D178" s="2">
        <f>IFERROR(__xludf.DUMMYFUNCTION("""COMPUTED_VALUE"""),311.2)</f>
        <v>311.2</v>
      </c>
      <c r="E178" s="2">
        <f>IFERROR(__xludf.DUMMYFUNCTION("""COMPUTED_VALUE"""),311.2)</f>
        <v>311.2</v>
      </c>
      <c r="F178" s="2">
        <f>IFERROR(__xludf.DUMMYFUNCTION("""COMPUTED_VALUE"""),4.36286E7)</f>
        <v>43628600</v>
      </c>
      <c r="G178" s="2">
        <f t="shared" si="1"/>
        <v>22.53</v>
      </c>
    </row>
    <row r="179" ht="15.75" customHeight="1">
      <c r="A179" s="1">
        <f>IFERROR(__xludf.DUMMYFUNCTION("""COMPUTED_VALUE"""),44097.66666666667)</f>
        <v>44097.66667</v>
      </c>
      <c r="B179" s="2">
        <f>IFERROR(__xludf.DUMMYFUNCTION("""COMPUTED_VALUE"""),317.35)</f>
        <v>317.35</v>
      </c>
      <c r="C179" s="2">
        <f>IFERROR(__xludf.DUMMYFUNCTION("""COMPUTED_VALUE"""),329.63)</f>
        <v>329.63</v>
      </c>
      <c r="D179" s="2">
        <f>IFERROR(__xludf.DUMMYFUNCTION("""COMPUTED_VALUE"""),292.78)</f>
        <v>292.78</v>
      </c>
      <c r="E179" s="2">
        <f>IFERROR(__xludf.DUMMYFUNCTION("""COMPUTED_VALUE"""),309.16)</f>
        <v>309.16</v>
      </c>
      <c r="F179" s="2">
        <f>IFERROR(__xludf.DUMMYFUNCTION("""COMPUTED_VALUE"""),5.23517E7)</f>
        <v>52351700</v>
      </c>
      <c r="G179" s="2">
        <f t="shared" si="1"/>
        <v>36.85</v>
      </c>
    </row>
    <row r="180" ht="15.75" customHeight="1">
      <c r="A180" s="1">
        <f>IFERROR(__xludf.DUMMYFUNCTION("""COMPUTED_VALUE"""),44098.66666666667)</f>
        <v>44098.66667</v>
      </c>
      <c r="B180" s="2">
        <f>IFERROR(__xludf.DUMMYFUNCTION("""COMPUTED_VALUE"""),303.01)</f>
        <v>303.01</v>
      </c>
      <c r="C180" s="2">
        <f>IFERROR(__xludf.DUMMYFUNCTION("""COMPUTED_VALUE"""),309.16)</f>
        <v>309.16</v>
      </c>
      <c r="D180" s="2">
        <f>IFERROR(__xludf.DUMMYFUNCTION("""COMPUTED_VALUE"""),292.78)</f>
        <v>292.78</v>
      </c>
      <c r="E180" s="2">
        <f>IFERROR(__xludf.DUMMYFUNCTION("""COMPUTED_VALUE"""),294.83)</f>
        <v>294.83</v>
      </c>
      <c r="F180" s="2">
        <f>IFERROR(__xludf.DUMMYFUNCTION("""COMPUTED_VALUE"""),2.9216E7)</f>
        <v>29216000</v>
      </c>
      <c r="G180" s="2">
        <f t="shared" si="1"/>
        <v>16.38</v>
      </c>
    </row>
    <row r="181" ht="15.75" customHeight="1">
      <c r="A181" s="1">
        <f>IFERROR(__xludf.DUMMYFUNCTION("""COMPUTED_VALUE"""),44099.66666666667)</f>
        <v>44099.66667</v>
      </c>
      <c r="B181" s="2">
        <f>IFERROR(__xludf.DUMMYFUNCTION("""COMPUTED_VALUE"""),298.92)</f>
        <v>298.92</v>
      </c>
      <c r="C181" s="2">
        <f>IFERROR(__xludf.DUMMYFUNCTION("""COMPUTED_VALUE"""),337.82)</f>
        <v>337.82</v>
      </c>
      <c r="D181" s="2">
        <f>IFERROR(__xludf.DUMMYFUNCTION("""COMPUTED_VALUE"""),294.83)</f>
        <v>294.83</v>
      </c>
      <c r="E181" s="2">
        <f>IFERROR(__xludf.DUMMYFUNCTION("""COMPUTED_VALUE"""),329.63)</f>
        <v>329.63</v>
      </c>
      <c r="F181" s="2">
        <f>IFERROR(__xludf.DUMMYFUNCTION("""COMPUTED_VALUE"""),1.157315E8)</f>
        <v>115731500</v>
      </c>
      <c r="G181" s="2">
        <f t="shared" si="1"/>
        <v>42.99</v>
      </c>
    </row>
    <row r="182" ht="15.75" customHeight="1">
      <c r="A182" s="1">
        <f>IFERROR(__xludf.DUMMYFUNCTION("""COMPUTED_VALUE"""),44102.66666666667)</f>
        <v>44102.66667</v>
      </c>
      <c r="B182" s="2">
        <f>IFERROR(__xludf.DUMMYFUNCTION("""COMPUTED_VALUE"""),331.68)</f>
        <v>331.68</v>
      </c>
      <c r="C182" s="2">
        <f>IFERROR(__xludf.DUMMYFUNCTION("""COMPUTED_VALUE"""),341.92)</f>
        <v>341.92</v>
      </c>
      <c r="D182" s="2">
        <f>IFERROR(__xludf.DUMMYFUNCTION("""COMPUTED_VALUE"""),319.39)</f>
        <v>319.39</v>
      </c>
      <c r="E182" s="2">
        <f>IFERROR(__xludf.DUMMYFUNCTION("""COMPUTED_VALUE"""),321.44)</f>
        <v>321.44</v>
      </c>
      <c r="F182" s="2">
        <f>IFERROR(__xludf.DUMMYFUNCTION("""COMPUTED_VALUE"""),4.31142E7)</f>
        <v>43114200</v>
      </c>
      <c r="G182" s="2">
        <f t="shared" si="1"/>
        <v>22.53</v>
      </c>
    </row>
    <row r="183" ht="15.75" customHeight="1">
      <c r="A183" s="1">
        <f>IFERROR(__xludf.DUMMYFUNCTION("""COMPUTED_VALUE"""),44103.66666666667)</f>
        <v>44103.66667</v>
      </c>
      <c r="B183" s="2">
        <f>IFERROR(__xludf.DUMMYFUNCTION("""COMPUTED_VALUE"""),325.54)</f>
        <v>325.54</v>
      </c>
      <c r="C183" s="2">
        <f>IFERROR(__xludf.DUMMYFUNCTION("""COMPUTED_VALUE"""),337.82)</f>
        <v>337.82</v>
      </c>
      <c r="D183" s="2">
        <f>IFERROR(__xludf.DUMMYFUNCTION("""COMPUTED_VALUE"""),309.16)</f>
        <v>309.16</v>
      </c>
      <c r="E183" s="2">
        <f>IFERROR(__xludf.DUMMYFUNCTION("""COMPUTED_VALUE"""),313.25)</f>
        <v>313.25</v>
      </c>
      <c r="F183" s="2">
        <f>IFERROR(__xludf.DUMMYFUNCTION("""COMPUTED_VALUE"""),5.86053E7)</f>
        <v>58605300</v>
      </c>
      <c r="G183" s="2">
        <f t="shared" si="1"/>
        <v>28.66</v>
      </c>
    </row>
    <row r="184" ht="15.75" customHeight="1">
      <c r="A184" s="1">
        <f>IFERROR(__xludf.DUMMYFUNCTION("""COMPUTED_VALUE"""),44104.66666666667)</f>
        <v>44104.66667</v>
      </c>
      <c r="B184" s="2">
        <f>IFERROR(__xludf.DUMMYFUNCTION("""COMPUTED_VALUE"""),317.35)</f>
        <v>317.35</v>
      </c>
      <c r="C184" s="2">
        <f>IFERROR(__xludf.DUMMYFUNCTION("""COMPUTED_VALUE"""),321.44)</f>
        <v>321.44</v>
      </c>
      <c r="D184" s="2">
        <f>IFERROR(__xludf.DUMMYFUNCTION("""COMPUTED_VALUE"""),305.06)</f>
        <v>305.06</v>
      </c>
      <c r="E184" s="2">
        <f>IFERROR(__xludf.DUMMYFUNCTION("""COMPUTED_VALUE"""),315.3)</f>
        <v>315.3</v>
      </c>
      <c r="F184" s="2">
        <f>IFERROR(__xludf.DUMMYFUNCTION("""COMPUTED_VALUE"""),3.21877E7)</f>
        <v>32187700</v>
      </c>
      <c r="G184" s="2">
        <f t="shared" si="1"/>
        <v>16.38</v>
      </c>
    </row>
    <row r="185" ht="15.75" customHeight="1">
      <c r="A185" s="1">
        <f>IFERROR(__xludf.DUMMYFUNCTION("""COMPUTED_VALUE"""),44105.66666666667)</f>
        <v>44105.66667</v>
      </c>
      <c r="B185" s="2">
        <f>IFERROR(__xludf.DUMMYFUNCTION("""COMPUTED_VALUE"""),321.44)</f>
        <v>321.44</v>
      </c>
      <c r="C185" s="2">
        <f>IFERROR(__xludf.DUMMYFUNCTION("""COMPUTED_VALUE"""),329.63)</f>
        <v>329.63</v>
      </c>
      <c r="D185" s="2">
        <f>IFERROR(__xludf.DUMMYFUNCTION("""COMPUTED_VALUE"""),317.35)</f>
        <v>317.35</v>
      </c>
      <c r="E185" s="2">
        <f>IFERROR(__xludf.DUMMYFUNCTION("""COMPUTED_VALUE"""),329.63)</f>
        <v>329.63</v>
      </c>
      <c r="F185" s="2">
        <f>IFERROR(__xludf.DUMMYFUNCTION("""COMPUTED_VALUE"""),5.82645E7)</f>
        <v>58264500</v>
      </c>
      <c r="G185" s="2">
        <f t="shared" si="1"/>
        <v>14.33</v>
      </c>
    </row>
    <row r="186" ht="15.75" customHeight="1">
      <c r="A186" s="1">
        <f>IFERROR(__xludf.DUMMYFUNCTION("""COMPUTED_VALUE"""),44106.66666666667)</f>
        <v>44106.66667</v>
      </c>
      <c r="B186" s="2">
        <f>IFERROR(__xludf.DUMMYFUNCTION("""COMPUTED_VALUE"""),331.68)</f>
        <v>331.68</v>
      </c>
      <c r="C186" s="2">
        <f>IFERROR(__xludf.DUMMYFUNCTION("""COMPUTED_VALUE"""),333.73)</f>
        <v>333.73</v>
      </c>
      <c r="D186" s="2">
        <f>IFERROR(__xludf.DUMMYFUNCTION("""COMPUTED_VALUE"""),311.2)</f>
        <v>311.2</v>
      </c>
      <c r="E186" s="2">
        <f>IFERROR(__xludf.DUMMYFUNCTION("""COMPUTED_VALUE"""),321.44)</f>
        <v>321.44</v>
      </c>
      <c r="F186" s="2">
        <f>IFERROR(__xludf.DUMMYFUNCTION("""COMPUTED_VALUE"""),5.49716E7)</f>
        <v>54971600</v>
      </c>
      <c r="G186" s="2">
        <f t="shared" si="1"/>
        <v>22.53</v>
      </c>
    </row>
    <row r="187" ht="15.75" customHeight="1">
      <c r="A187" s="1">
        <f>IFERROR(__xludf.DUMMYFUNCTION("""COMPUTED_VALUE"""),44109.66666666667)</f>
        <v>44109.66667</v>
      </c>
      <c r="B187" s="2">
        <f>IFERROR(__xludf.DUMMYFUNCTION("""COMPUTED_VALUE"""),327.58)</f>
        <v>327.58</v>
      </c>
      <c r="C187" s="2">
        <f>IFERROR(__xludf.DUMMYFUNCTION("""COMPUTED_VALUE"""),333.73)</f>
        <v>333.73</v>
      </c>
      <c r="D187" s="2">
        <f>IFERROR(__xludf.DUMMYFUNCTION("""COMPUTED_VALUE"""),321.44)</f>
        <v>321.44</v>
      </c>
      <c r="E187" s="2">
        <f>IFERROR(__xludf.DUMMYFUNCTION("""COMPUTED_VALUE"""),333.73)</f>
        <v>333.73</v>
      </c>
      <c r="F187" s="2">
        <f>IFERROR(__xludf.DUMMYFUNCTION("""COMPUTED_VALUE"""),6.9758E7)</f>
        <v>69758000</v>
      </c>
      <c r="G187" s="2">
        <f t="shared" si="1"/>
        <v>12.29</v>
      </c>
    </row>
    <row r="188" ht="15.75" customHeight="1">
      <c r="A188" s="1">
        <f>IFERROR(__xludf.DUMMYFUNCTION("""COMPUTED_VALUE"""),44110.66666666667)</f>
        <v>44110.66667</v>
      </c>
      <c r="B188" s="2">
        <f>IFERROR(__xludf.DUMMYFUNCTION("""COMPUTED_VALUE"""),337.82)</f>
        <v>337.82</v>
      </c>
      <c r="C188" s="2">
        <f>IFERROR(__xludf.DUMMYFUNCTION("""COMPUTED_VALUE"""),352.15)</f>
        <v>352.15</v>
      </c>
      <c r="D188" s="2">
        <f>IFERROR(__xludf.DUMMYFUNCTION("""COMPUTED_VALUE"""),335.77)</f>
        <v>335.77</v>
      </c>
      <c r="E188" s="2">
        <f>IFERROR(__xludf.DUMMYFUNCTION("""COMPUTED_VALUE"""),339.87)</f>
        <v>339.87</v>
      </c>
      <c r="F188" s="2">
        <f>IFERROR(__xludf.DUMMYFUNCTION("""COMPUTED_VALUE"""),9.4956E7)</f>
        <v>94956000</v>
      </c>
      <c r="G188" s="2">
        <f t="shared" si="1"/>
        <v>18.42</v>
      </c>
    </row>
    <row r="189" ht="15.75" customHeight="1">
      <c r="A189" s="1">
        <f>IFERROR(__xludf.DUMMYFUNCTION("""COMPUTED_VALUE"""),44111.66666666667)</f>
        <v>44111.66667</v>
      </c>
      <c r="B189" s="2">
        <f>IFERROR(__xludf.DUMMYFUNCTION("""COMPUTED_VALUE"""),339.87)</f>
        <v>339.87</v>
      </c>
      <c r="C189" s="2">
        <f>IFERROR(__xludf.DUMMYFUNCTION("""COMPUTED_VALUE"""),346.01)</f>
        <v>346.01</v>
      </c>
      <c r="D189" s="2">
        <f>IFERROR(__xludf.DUMMYFUNCTION("""COMPUTED_VALUE"""),333.73)</f>
        <v>333.73</v>
      </c>
      <c r="E189" s="2">
        <f>IFERROR(__xludf.DUMMYFUNCTION("""COMPUTED_VALUE"""),339.87)</f>
        <v>339.87</v>
      </c>
      <c r="F189" s="2">
        <f>IFERROR(__xludf.DUMMYFUNCTION("""COMPUTED_VALUE"""),3.05734E7)</f>
        <v>30573400</v>
      </c>
      <c r="G189" s="2">
        <f t="shared" si="1"/>
        <v>12.28</v>
      </c>
    </row>
    <row r="190" ht="15.75" customHeight="1">
      <c r="A190" s="1">
        <f>IFERROR(__xludf.DUMMYFUNCTION("""COMPUTED_VALUE"""),44112.66666666667)</f>
        <v>44112.66667</v>
      </c>
      <c r="B190" s="2">
        <f>IFERROR(__xludf.DUMMYFUNCTION("""COMPUTED_VALUE"""),343.96)</f>
        <v>343.96</v>
      </c>
      <c r="C190" s="2">
        <f>IFERROR(__xludf.DUMMYFUNCTION("""COMPUTED_VALUE"""),348.06)</f>
        <v>348.06</v>
      </c>
      <c r="D190" s="2">
        <f>IFERROR(__xludf.DUMMYFUNCTION("""COMPUTED_VALUE"""),337.82)</f>
        <v>337.82</v>
      </c>
      <c r="E190" s="2">
        <f>IFERROR(__xludf.DUMMYFUNCTION("""COMPUTED_VALUE"""),339.87)</f>
        <v>339.87</v>
      </c>
      <c r="F190" s="2">
        <f>IFERROR(__xludf.DUMMYFUNCTION("""COMPUTED_VALUE"""),3.1974E7)</f>
        <v>31974000</v>
      </c>
      <c r="G190" s="2">
        <f t="shared" si="1"/>
        <v>10.24</v>
      </c>
    </row>
    <row r="191" ht="15.75" customHeight="1">
      <c r="A191" s="1">
        <f>IFERROR(__xludf.DUMMYFUNCTION("""COMPUTED_VALUE"""),44113.66666666667)</f>
        <v>44113.66667</v>
      </c>
      <c r="B191" s="2">
        <f>IFERROR(__xludf.DUMMYFUNCTION("""COMPUTED_VALUE"""),341.92)</f>
        <v>341.92</v>
      </c>
      <c r="C191" s="2">
        <f>IFERROR(__xludf.DUMMYFUNCTION("""COMPUTED_VALUE"""),346.01)</f>
        <v>346.01</v>
      </c>
      <c r="D191" s="2">
        <f>IFERROR(__xludf.DUMMYFUNCTION("""COMPUTED_VALUE"""),333.73)</f>
        <v>333.73</v>
      </c>
      <c r="E191" s="2">
        <f>IFERROR(__xludf.DUMMYFUNCTION("""COMPUTED_VALUE"""),335.77)</f>
        <v>335.77</v>
      </c>
      <c r="F191" s="2">
        <f>IFERROR(__xludf.DUMMYFUNCTION("""COMPUTED_VALUE"""),2.60871E7)</f>
        <v>26087100</v>
      </c>
      <c r="G191" s="2">
        <f t="shared" si="1"/>
        <v>12.28</v>
      </c>
    </row>
    <row r="192" ht="15.75" customHeight="1">
      <c r="A192" s="1">
        <f>IFERROR(__xludf.DUMMYFUNCTION("""COMPUTED_VALUE"""),44116.66666666667)</f>
        <v>44116.66667</v>
      </c>
      <c r="B192" s="2">
        <f>IFERROR(__xludf.DUMMYFUNCTION("""COMPUTED_VALUE"""),339.87)</f>
        <v>339.87</v>
      </c>
      <c r="C192" s="2">
        <f>IFERROR(__xludf.DUMMYFUNCTION("""COMPUTED_VALUE"""),356.25)</f>
        <v>356.25</v>
      </c>
      <c r="D192" s="2">
        <f>IFERROR(__xludf.DUMMYFUNCTION("""COMPUTED_VALUE"""),337.82)</f>
        <v>337.82</v>
      </c>
      <c r="E192" s="2">
        <f>IFERROR(__xludf.DUMMYFUNCTION("""COMPUTED_VALUE"""),352.15)</f>
        <v>352.15</v>
      </c>
      <c r="F192" s="2">
        <f>IFERROR(__xludf.DUMMYFUNCTION("""COMPUTED_VALUE"""),1.139105E8)</f>
        <v>113910500</v>
      </c>
      <c r="G192" s="2">
        <f t="shared" si="1"/>
        <v>20.48</v>
      </c>
    </row>
    <row r="193" ht="15.75" customHeight="1">
      <c r="A193" s="1">
        <f>IFERROR(__xludf.DUMMYFUNCTION("""COMPUTED_VALUE"""),44117.66666666667)</f>
        <v>44117.66667</v>
      </c>
      <c r="B193" s="2">
        <f>IFERROR(__xludf.DUMMYFUNCTION("""COMPUTED_VALUE"""),354.2)</f>
        <v>354.2</v>
      </c>
      <c r="C193" s="2">
        <f>IFERROR(__xludf.DUMMYFUNCTION("""COMPUTED_VALUE"""),440.19)</f>
        <v>440.19</v>
      </c>
      <c r="D193" s="2">
        <f>IFERROR(__xludf.DUMMYFUNCTION("""COMPUTED_VALUE"""),354.2)</f>
        <v>354.2</v>
      </c>
      <c r="E193" s="2">
        <f>IFERROR(__xludf.DUMMYFUNCTION("""COMPUTED_VALUE"""),440.19)</f>
        <v>440.19</v>
      </c>
      <c r="F193" s="2">
        <f>IFERROR(__xludf.DUMMYFUNCTION("""COMPUTED_VALUE"""),1.0874925E9)</f>
        <v>1087492500</v>
      </c>
      <c r="G193" s="2">
        <f t="shared" si="1"/>
        <v>88.04</v>
      </c>
    </row>
    <row r="194" ht="15.75" customHeight="1">
      <c r="A194" s="1">
        <f>IFERROR(__xludf.DUMMYFUNCTION("""COMPUTED_VALUE"""),44118.66666666667)</f>
        <v>44118.66667</v>
      </c>
      <c r="B194" s="2">
        <f>IFERROR(__xludf.DUMMYFUNCTION("""COMPUTED_VALUE"""),466.81)</f>
        <v>466.81</v>
      </c>
      <c r="C194" s="2">
        <f>IFERROR(__xludf.DUMMYFUNCTION("""COMPUTED_VALUE"""),547.68)</f>
        <v>547.68</v>
      </c>
      <c r="D194" s="2">
        <f>IFERROR(__xludf.DUMMYFUNCTION("""COMPUTED_VALUE"""),454.52)</f>
        <v>454.52</v>
      </c>
      <c r="E194" s="2">
        <f>IFERROR(__xludf.DUMMYFUNCTION("""COMPUTED_VALUE"""),503.66)</f>
        <v>503.66</v>
      </c>
      <c r="F194" s="2">
        <f>IFERROR(__xludf.DUMMYFUNCTION("""COMPUTED_VALUE"""),1.3441179E9)</f>
        <v>1344117900</v>
      </c>
      <c r="G194" s="2">
        <f t="shared" si="1"/>
        <v>107.49</v>
      </c>
    </row>
    <row r="195" ht="15.75" customHeight="1">
      <c r="A195" s="1">
        <f>IFERROR(__xludf.DUMMYFUNCTION("""COMPUTED_VALUE"""),44119.66666666667)</f>
        <v>44119.66667</v>
      </c>
      <c r="B195" s="2">
        <f>IFERROR(__xludf.DUMMYFUNCTION("""COMPUTED_VALUE"""),511.85)</f>
        <v>511.85</v>
      </c>
      <c r="C195" s="2">
        <f>IFERROR(__xludf.DUMMYFUNCTION("""COMPUTED_VALUE"""),516.97)</f>
        <v>516.97</v>
      </c>
      <c r="D195" s="2">
        <f>IFERROR(__xludf.DUMMYFUNCTION("""COMPUTED_VALUE"""),468.85)</f>
        <v>468.85</v>
      </c>
      <c r="E195" s="2">
        <f>IFERROR(__xludf.DUMMYFUNCTION("""COMPUTED_VALUE"""),468.85)</f>
        <v>468.85</v>
      </c>
      <c r="F195" s="2">
        <f>IFERROR(__xludf.DUMMYFUNCTION("""COMPUTED_VALUE"""),4.6103E7)</f>
        <v>46103000</v>
      </c>
      <c r="G195" s="2">
        <f t="shared" si="1"/>
        <v>48.12</v>
      </c>
    </row>
    <row r="196" ht="15.75" customHeight="1">
      <c r="A196" s="1">
        <f>IFERROR(__xludf.DUMMYFUNCTION("""COMPUTED_VALUE"""),44120.66666666667)</f>
        <v>44120.66667</v>
      </c>
      <c r="B196" s="2">
        <f>IFERROR(__xludf.DUMMYFUNCTION("""COMPUTED_VALUE"""),436.1)</f>
        <v>436.1</v>
      </c>
      <c r="C196" s="2">
        <f>IFERROR(__xludf.DUMMYFUNCTION("""COMPUTED_VALUE"""),458.62)</f>
        <v>458.62</v>
      </c>
      <c r="D196" s="2">
        <f>IFERROR(__xludf.DUMMYFUNCTION("""COMPUTED_VALUE"""),436.1)</f>
        <v>436.1</v>
      </c>
      <c r="E196" s="2">
        <f>IFERROR(__xludf.DUMMYFUNCTION("""COMPUTED_VALUE"""),456.57)</f>
        <v>456.57</v>
      </c>
      <c r="F196" s="2">
        <f>IFERROR(__xludf.DUMMYFUNCTION("""COMPUTED_VALUE"""),3.986729E8)</f>
        <v>398672900</v>
      </c>
      <c r="G196" s="2">
        <f t="shared" si="1"/>
        <v>32.75</v>
      </c>
    </row>
    <row r="197" ht="15.75" customHeight="1">
      <c r="A197" s="1">
        <f>IFERROR(__xludf.DUMMYFUNCTION("""COMPUTED_VALUE"""),44123.66666666667)</f>
        <v>44123.66667</v>
      </c>
      <c r="B197" s="2">
        <f>IFERROR(__xludf.DUMMYFUNCTION("""COMPUTED_VALUE"""),460.66)</f>
        <v>460.66</v>
      </c>
      <c r="C197" s="2">
        <f>IFERROR(__xludf.DUMMYFUNCTION("""COMPUTED_VALUE"""),468.85)</f>
        <v>468.85</v>
      </c>
      <c r="D197" s="2">
        <f>IFERROR(__xludf.DUMMYFUNCTION("""COMPUTED_VALUE"""),425.86)</f>
        <v>425.86</v>
      </c>
      <c r="E197" s="2">
        <f>IFERROR(__xludf.DUMMYFUNCTION("""COMPUTED_VALUE"""),436.1)</f>
        <v>436.1</v>
      </c>
      <c r="F197" s="2">
        <f>IFERROR(__xludf.DUMMYFUNCTION("""COMPUTED_VALUE"""),2.138305E8)</f>
        <v>213830500</v>
      </c>
      <c r="G197" s="2">
        <f t="shared" si="1"/>
        <v>42.99</v>
      </c>
    </row>
    <row r="198" ht="15.75" customHeight="1">
      <c r="A198" s="1">
        <f>IFERROR(__xludf.DUMMYFUNCTION("""COMPUTED_VALUE"""),44124.66666666667)</f>
        <v>44124.66667</v>
      </c>
      <c r="B198" s="2">
        <f>IFERROR(__xludf.DUMMYFUNCTION("""COMPUTED_VALUE"""),434.05)</f>
        <v>434.05</v>
      </c>
      <c r="C198" s="2">
        <f>IFERROR(__xludf.DUMMYFUNCTION("""COMPUTED_VALUE"""),450.43)</f>
        <v>450.43</v>
      </c>
      <c r="D198" s="2">
        <f>IFERROR(__xludf.DUMMYFUNCTION("""COMPUTED_VALUE"""),409.48)</f>
        <v>409.48</v>
      </c>
      <c r="E198" s="2">
        <f>IFERROR(__xludf.DUMMYFUNCTION("""COMPUTED_VALUE"""),434.05)</f>
        <v>434.05</v>
      </c>
      <c r="F198" s="2">
        <f>IFERROR(__xludf.DUMMYFUNCTION("""COMPUTED_VALUE"""),2.327768E8)</f>
        <v>232776800</v>
      </c>
      <c r="G198" s="2">
        <f t="shared" si="1"/>
        <v>40.95</v>
      </c>
    </row>
    <row r="199" ht="15.75" customHeight="1">
      <c r="A199" s="1">
        <f>IFERROR(__xludf.DUMMYFUNCTION("""COMPUTED_VALUE"""),44125.66666666667)</f>
        <v>44125.66667</v>
      </c>
      <c r="B199" s="2">
        <f>IFERROR(__xludf.DUMMYFUNCTION("""COMPUTED_VALUE"""),436.1)</f>
        <v>436.1</v>
      </c>
      <c r="C199" s="2">
        <f>IFERROR(__xludf.DUMMYFUNCTION("""COMPUTED_VALUE"""),440.19)</f>
        <v>440.19</v>
      </c>
      <c r="D199" s="2">
        <f>IFERROR(__xludf.DUMMYFUNCTION("""COMPUTED_VALUE"""),405.38)</f>
        <v>405.38</v>
      </c>
      <c r="E199" s="2">
        <f>IFERROR(__xludf.DUMMYFUNCTION("""COMPUTED_VALUE"""),405.38)</f>
        <v>405.38</v>
      </c>
      <c r="F199" s="2">
        <f>IFERROR(__xludf.DUMMYFUNCTION("""COMPUTED_VALUE"""),1.74441E8)</f>
        <v>174441000</v>
      </c>
      <c r="G199" s="2">
        <f t="shared" si="1"/>
        <v>34.81</v>
      </c>
    </row>
    <row r="200" ht="15.75" customHeight="1">
      <c r="A200" s="1">
        <f>IFERROR(__xludf.DUMMYFUNCTION("""COMPUTED_VALUE"""),44126.66666666667)</f>
        <v>44126.66667</v>
      </c>
      <c r="B200" s="2">
        <f>IFERROR(__xludf.DUMMYFUNCTION("""COMPUTED_VALUE"""),384.91)</f>
        <v>384.91</v>
      </c>
      <c r="C200" s="2">
        <f>IFERROR(__xludf.DUMMYFUNCTION("""COMPUTED_VALUE"""),399.24)</f>
        <v>399.24</v>
      </c>
      <c r="D200" s="2">
        <f>IFERROR(__xludf.DUMMYFUNCTION("""COMPUTED_VALUE"""),378.77)</f>
        <v>378.77</v>
      </c>
      <c r="E200" s="2">
        <f>IFERROR(__xludf.DUMMYFUNCTION("""COMPUTED_VALUE"""),378.77)</f>
        <v>378.77</v>
      </c>
      <c r="F200" s="2">
        <f>IFERROR(__xludf.DUMMYFUNCTION("""COMPUTED_VALUE"""),8.71286E7)</f>
        <v>87128600</v>
      </c>
      <c r="G200" s="2">
        <f t="shared" si="1"/>
        <v>26.61</v>
      </c>
    </row>
    <row r="201" ht="15.75" customHeight="1">
      <c r="A201" s="1">
        <f>IFERROR(__xludf.DUMMYFUNCTION("""COMPUTED_VALUE"""),44127.66666666667)</f>
        <v>44127.66667</v>
      </c>
      <c r="B201" s="2">
        <f>IFERROR(__xludf.DUMMYFUNCTION("""COMPUTED_VALUE"""),358.29)</f>
        <v>358.29</v>
      </c>
      <c r="C201" s="2">
        <f>IFERROR(__xludf.DUMMYFUNCTION("""COMPUTED_VALUE"""),395.15)</f>
        <v>395.15</v>
      </c>
      <c r="D201" s="2">
        <f>IFERROR(__xludf.DUMMYFUNCTION("""COMPUTED_VALUE"""),354.2)</f>
        <v>354.2</v>
      </c>
      <c r="E201" s="2">
        <f>IFERROR(__xludf.DUMMYFUNCTION("""COMPUTED_VALUE"""),358.29)</f>
        <v>358.29</v>
      </c>
      <c r="F201" s="2">
        <f>IFERROR(__xludf.DUMMYFUNCTION("""COMPUTED_VALUE"""),2.785346E8)</f>
        <v>278534600</v>
      </c>
      <c r="G201" s="2">
        <f t="shared" si="1"/>
        <v>40.95</v>
      </c>
    </row>
    <row r="202" ht="15.75" customHeight="1">
      <c r="A202" s="1">
        <f>IFERROR(__xludf.DUMMYFUNCTION("""COMPUTED_VALUE"""),44130.66666666667)</f>
        <v>44130.66667</v>
      </c>
      <c r="B202" s="2">
        <f>IFERROR(__xludf.DUMMYFUNCTION("""COMPUTED_VALUE"""),362.39)</f>
        <v>362.39</v>
      </c>
      <c r="C202" s="2">
        <f>IFERROR(__xludf.DUMMYFUNCTION("""COMPUTED_VALUE"""),378.77)</f>
        <v>378.77</v>
      </c>
      <c r="D202" s="2">
        <f>IFERROR(__xludf.DUMMYFUNCTION("""COMPUTED_VALUE"""),358.29)</f>
        <v>358.29</v>
      </c>
      <c r="E202" s="2">
        <f>IFERROR(__xludf.DUMMYFUNCTION("""COMPUTED_VALUE"""),366.48)</f>
        <v>366.48</v>
      </c>
      <c r="F202" s="2">
        <f>IFERROR(__xludf.DUMMYFUNCTION("""COMPUTED_VALUE"""),6.73313E7)</f>
        <v>67331300</v>
      </c>
      <c r="G202" s="2">
        <f t="shared" si="1"/>
        <v>20.48</v>
      </c>
    </row>
    <row r="203" ht="15.75" customHeight="1">
      <c r="A203" s="1">
        <f>IFERROR(__xludf.DUMMYFUNCTION("""COMPUTED_VALUE"""),44131.66666666667)</f>
        <v>44131.66667</v>
      </c>
      <c r="B203" s="2">
        <f>IFERROR(__xludf.DUMMYFUNCTION("""COMPUTED_VALUE"""),374.67)</f>
        <v>374.67</v>
      </c>
      <c r="C203" s="2">
        <f>IFERROR(__xludf.DUMMYFUNCTION("""COMPUTED_VALUE"""),403.34)</f>
        <v>403.34</v>
      </c>
      <c r="D203" s="2">
        <f>IFERROR(__xludf.DUMMYFUNCTION("""COMPUTED_VALUE"""),366.48)</f>
        <v>366.48</v>
      </c>
      <c r="E203" s="2">
        <f>IFERROR(__xludf.DUMMYFUNCTION("""COMPUTED_VALUE"""),380.82)</f>
        <v>380.82</v>
      </c>
      <c r="F203" s="2">
        <f>IFERROR(__xludf.DUMMYFUNCTION("""COMPUTED_VALUE"""),2.893153E8)</f>
        <v>289315300</v>
      </c>
      <c r="G203" s="2">
        <f t="shared" si="1"/>
        <v>36.86</v>
      </c>
    </row>
    <row r="204" ht="15.75" customHeight="1">
      <c r="A204" s="1">
        <f>IFERROR(__xludf.DUMMYFUNCTION("""COMPUTED_VALUE"""),44137.66666666667)</f>
        <v>44137.66667</v>
      </c>
      <c r="B204" s="2">
        <f>IFERROR(__xludf.DUMMYFUNCTION("""COMPUTED_VALUE"""),386.96)</f>
        <v>386.96</v>
      </c>
      <c r="C204" s="2">
        <f>IFERROR(__xludf.DUMMYFUNCTION("""COMPUTED_VALUE"""),389.01)</f>
        <v>389.01</v>
      </c>
      <c r="D204" s="2">
        <f>IFERROR(__xludf.DUMMYFUNCTION("""COMPUTED_VALUE"""),372.63)</f>
        <v>372.63</v>
      </c>
      <c r="E204" s="2">
        <f>IFERROR(__xludf.DUMMYFUNCTION("""COMPUTED_VALUE"""),376.72)</f>
        <v>376.72</v>
      </c>
      <c r="F204" s="2">
        <f>IFERROR(__xludf.DUMMYFUNCTION("""COMPUTED_VALUE"""),5.34169E7)</f>
        <v>53416900</v>
      </c>
      <c r="G204" s="2">
        <f t="shared" si="1"/>
        <v>16.38</v>
      </c>
    </row>
    <row r="205" ht="15.75" customHeight="1">
      <c r="A205" s="1">
        <f>IFERROR(__xludf.DUMMYFUNCTION("""COMPUTED_VALUE"""),44138.66666666667)</f>
        <v>44138.66667</v>
      </c>
      <c r="B205" s="2">
        <f>IFERROR(__xludf.DUMMYFUNCTION("""COMPUTED_VALUE"""),378.77)</f>
        <v>378.77</v>
      </c>
      <c r="C205" s="2">
        <f>IFERROR(__xludf.DUMMYFUNCTION("""COMPUTED_VALUE"""),384.91)</f>
        <v>384.91</v>
      </c>
      <c r="D205" s="2">
        <f>IFERROR(__xludf.DUMMYFUNCTION("""COMPUTED_VALUE"""),374.67)</f>
        <v>374.67</v>
      </c>
      <c r="E205" s="2">
        <f>IFERROR(__xludf.DUMMYFUNCTION("""COMPUTED_VALUE"""),376.72)</f>
        <v>376.72</v>
      </c>
      <c r="F205" s="2">
        <f>IFERROR(__xludf.DUMMYFUNCTION("""COMPUTED_VALUE"""),2.31408E7)</f>
        <v>23140800</v>
      </c>
      <c r="G205" s="2">
        <f t="shared" si="1"/>
        <v>10.24</v>
      </c>
    </row>
    <row r="206" ht="15.75" customHeight="1">
      <c r="A206" s="1">
        <f>IFERROR(__xludf.DUMMYFUNCTION("""COMPUTED_VALUE"""),44139.66666666667)</f>
        <v>44139.66667</v>
      </c>
      <c r="B206" s="2">
        <f>IFERROR(__xludf.DUMMYFUNCTION("""COMPUTED_VALUE"""),378.77)</f>
        <v>378.77</v>
      </c>
      <c r="C206" s="2">
        <f>IFERROR(__xludf.DUMMYFUNCTION("""COMPUTED_VALUE"""),399.24)</f>
        <v>399.24</v>
      </c>
      <c r="D206" s="2">
        <f>IFERROR(__xludf.DUMMYFUNCTION("""COMPUTED_VALUE"""),364.44)</f>
        <v>364.44</v>
      </c>
      <c r="E206" s="2">
        <f>IFERROR(__xludf.DUMMYFUNCTION("""COMPUTED_VALUE"""),376.72)</f>
        <v>376.72</v>
      </c>
      <c r="F206" s="2">
        <f>IFERROR(__xludf.DUMMYFUNCTION("""COMPUTED_VALUE"""),1.249738E8)</f>
        <v>124973800</v>
      </c>
      <c r="G206" s="2">
        <f t="shared" si="1"/>
        <v>34.8</v>
      </c>
    </row>
    <row r="207" ht="15.75" customHeight="1">
      <c r="A207" s="1">
        <f>IFERROR(__xludf.DUMMYFUNCTION("""COMPUTED_VALUE"""),44140.66666666667)</f>
        <v>44140.66667</v>
      </c>
      <c r="B207" s="2">
        <f>IFERROR(__xludf.DUMMYFUNCTION("""COMPUTED_VALUE"""),382.86)</f>
        <v>382.86</v>
      </c>
      <c r="C207" s="2">
        <f>IFERROR(__xludf.DUMMYFUNCTION("""COMPUTED_VALUE"""),393.1)</f>
        <v>393.1</v>
      </c>
      <c r="D207" s="2">
        <f>IFERROR(__xludf.DUMMYFUNCTION("""COMPUTED_VALUE"""),380.82)</f>
        <v>380.82</v>
      </c>
      <c r="E207" s="2">
        <f>IFERROR(__xludf.DUMMYFUNCTION("""COMPUTED_VALUE"""),384.91)</f>
        <v>384.91</v>
      </c>
      <c r="F207" s="2">
        <f>IFERROR(__xludf.DUMMYFUNCTION("""COMPUTED_VALUE"""),9.47711E7)</f>
        <v>94771100</v>
      </c>
      <c r="G207" s="2">
        <f t="shared" si="1"/>
        <v>16.38</v>
      </c>
    </row>
    <row r="208" ht="15.75" customHeight="1">
      <c r="A208" s="1">
        <f>IFERROR(__xludf.DUMMYFUNCTION("""COMPUTED_VALUE"""),44141.66666666667)</f>
        <v>44141.66667</v>
      </c>
      <c r="B208" s="2">
        <f>IFERROR(__xludf.DUMMYFUNCTION("""COMPUTED_VALUE"""),384.91)</f>
        <v>384.91</v>
      </c>
      <c r="C208" s="2">
        <f>IFERROR(__xludf.DUMMYFUNCTION("""COMPUTED_VALUE"""),393.1)</f>
        <v>393.1</v>
      </c>
      <c r="D208" s="2">
        <f>IFERROR(__xludf.DUMMYFUNCTION("""COMPUTED_VALUE"""),380.82)</f>
        <v>380.82</v>
      </c>
      <c r="E208" s="2">
        <f>IFERROR(__xludf.DUMMYFUNCTION("""COMPUTED_VALUE"""),380.82)</f>
        <v>380.82</v>
      </c>
      <c r="F208" s="2">
        <f>IFERROR(__xludf.DUMMYFUNCTION("""COMPUTED_VALUE"""),4.75821E7)</f>
        <v>47582100</v>
      </c>
      <c r="G208" s="2">
        <f t="shared" si="1"/>
        <v>12.28</v>
      </c>
    </row>
    <row r="209" ht="15.75" customHeight="1">
      <c r="A209" s="1">
        <f>IFERROR(__xludf.DUMMYFUNCTION("""COMPUTED_VALUE"""),44144.66666666667)</f>
        <v>44144.66667</v>
      </c>
      <c r="B209" s="2">
        <f>IFERROR(__xludf.DUMMYFUNCTION("""COMPUTED_VALUE"""),384.91)</f>
        <v>384.91</v>
      </c>
      <c r="C209" s="2">
        <f>IFERROR(__xludf.DUMMYFUNCTION("""COMPUTED_VALUE"""),389.01)</f>
        <v>389.01</v>
      </c>
      <c r="D209" s="2">
        <f>IFERROR(__xludf.DUMMYFUNCTION("""COMPUTED_VALUE"""),380.82)</f>
        <v>380.82</v>
      </c>
      <c r="E209" s="2">
        <f>IFERROR(__xludf.DUMMYFUNCTION("""COMPUTED_VALUE"""),382.86)</f>
        <v>382.86</v>
      </c>
      <c r="F209" s="2">
        <f>IFERROR(__xludf.DUMMYFUNCTION("""COMPUTED_VALUE"""),3.7503E7)</f>
        <v>37503000</v>
      </c>
      <c r="G209" s="2">
        <f t="shared" si="1"/>
        <v>8.19</v>
      </c>
    </row>
    <row r="210" ht="15.75" customHeight="1">
      <c r="A210" s="1">
        <f>IFERROR(__xludf.DUMMYFUNCTION("""COMPUTED_VALUE"""),44145.66666666667)</f>
        <v>44145.66667</v>
      </c>
      <c r="B210" s="2">
        <f>IFERROR(__xludf.DUMMYFUNCTION("""COMPUTED_VALUE"""),384.91)</f>
        <v>384.91</v>
      </c>
      <c r="C210" s="2">
        <f>IFERROR(__xludf.DUMMYFUNCTION("""COMPUTED_VALUE"""),393.1)</f>
        <v>393.1</v>
      </c>
      <c r="D210" s="2">
        <f>IFERROR(__xludf.DUMMYFUNCTION("""COMPUTED_VALUE"""),384.91)</f>
        <v>384.91</v>
      </c>
      <c r="E210" s="2">
        <f>IFERROR(__xludf.DUMMYFUNCTION("""COMPUTED_VALUE"""),389.01)</f>
        <v>389.01</v>
      </c>
      <c r="F210" s="2">
        <f>IFERROR(__xludf.DUMMYFUNCTION("""COMPUTED_VALUE"""),5.32957E7)</f>
        <v>53295700</v>
      </c>
      <c r="G210" s="2">
        <f t="shared" si="1"/>
        <v>10.24</v>
      </c>
    </row>
    <row r="211" ht="15.75" customHeight="1">
      <c r="A211" s="1">
        <f>IFERROR(__xludf.DUMMYFUNCTION("""COMPUTED_VALUE"""),44146.66666666667)</f>
        <v>44146.66667</v>
      </c>
      <c r="B211" s="2">
        <f>IFERROR(__xludf.DUMMYFUNCTION("""COMPUTED_VALUE"""),395.15)</f>
        <v>395.15</v>
      </c>
      <c r="C211" s="2">
        <f>IFERROR(__xludf.DUMMYFUNCTION("""COMPUTED_VALUE"""),415.62)</f>
        <v>415.62</v>
      </c>
      <c r="D211" s="2">
        <f>IFERROR(__xludf.DUMMYFUNCTION("""COMPUTED_VALUE"""),389.01)</f>
        <v>389.01</v>
      </c>
      <c r="E211" s="2">
        <f>IFERROR(__xludf.DUMMYFUNCTION("""COMPUTED_VALUE"""),405.38)</f>
        <v>405.38</v>
      </c>
      <c r="F211" s="2">
        <f>IFERROR(__xludf.DUMMYFUNCTION("""COMPUTED_VALUE"""),1.990476E8)</f>
        <v>199047600</v>
      </c>
      <c r="G211" s="2">
        <f t="shared" si="1"/>
        <v>26.61</v>
      </c>
    </row>
    <row r="212" ht="15.75" customHeight="1">
      <c r="A212" s="1">
        <f>IFERROR(__xludf.DUMMYFUNCTION("""COMPUTED_VALUE"""),44147.66666666667)</f>
        <v>44147.66667</v>
      </c>
      <c r="B212" s="2">
        <f>IFERROR(__xludf.DUMMYFUNCTION("""COMPUTED_VALUE"""),409.48)</f>
        <v>409.48</v>
      </c>
      <c r="C212" s="2">
        <f>IFERROR(__xludf.DUMMYFUNCTION("""COMPUTED_VALUE"""),413.57)</f>
        <v>413.57</v>
      </c>
      <c r="D212" s="2">
        <f>IFERROR(__xludf.DUMMYFUNCTION("""COMPUTED_VALUE"""),397.19)</f>
        <v>397.19</v>
      </c>
      <c r="E212" s="2">
        <f>IFERROR(__xludf.DUMMYFUNCTION("""COMPUTED_VALUE"""),401.29)</f>
        <v>401.29</v>
      </c>
      <c r="F212" s="2">
        <f>IFERROR(__xludf.DUMMYFUNCTION("""COMPUTED_VALUE"""),5.3579E7)</f>
        <v>53579000</v>
      </c>
      <c r="G212" s="2">
        <f t="shared" si="1"/>
        <v>16.38</v>
      </c>
    </row>
    <row r="213" ht="15.75" customHeight="1">
      <c r="A213" s="1">
        <f>IFERROR(__xludf.DUMMYFUNCTION("""COMPUTED_VALUE"""),44148.66666666667)</f>
        <v>44148.66667</v>
      </c>
      <c r="B213" s="2">
        <f>IFERROR(__xludf.DUMMYFUNCTION("""COMPUTED_VALUE"""),401.29)</f>
        <v>401.29</v>
      </c>
      <c r="C213" s="2">
        <f>IFERROR(__xludf.DUMMYFUNCTION("""COMPUTED_VALUE"""),434.05)</f>
        <v>434.05</v>
      </c>
      <c r="D213" s="2">
        <f>IFERROR(__xludf.DUMMYFUNCTION("""COMPUTED_VALUE"""),401.29)</f>
        <v>401.29</v>
      </c>
      <c r="E213" s="2">
        <f>IFERROR(__xludf.DUMMYFUNCTION("""COMPUTED_VALUE"""),417.67)</f>
        <v>417.67</v>
      </c>
      <c r="F213" s="2">
        <f>IFERROR(__xludf.DUMMYFUNCTION("""COMPUTED_VALUE"""),3.83577E8)</f>
        <v>383577000</v>
      </c>
      <c r="G213" s="2">
        <f t="shared" si="1"/>
        <v>32.76</v>
      </c>
    </row>
    <row r="214" ht="15.75" customHeight="1">
      <c r="A214" s="1">
        <f>IFERROR(__xludf.DUMMYFUNCTION("""COMPUTED_VALUE"""),44151.66666666667)</f>
        <v>44151.66667</v>
      </c>
      <c r="B214" s="2">
        <f>IFERROR(__xludf.DUMMYFUNCTION("""COMPUTED_VALUE"""),421.76)</f>
        <v>421.76</v>
      </c>
      <c r="C214" s="2">
        <f>IFERROR(__xludf.DUMMYFUNCTION("""COMPUTED_VALUE"""),442.24)</f>
        <v>442.24</v>
      </c>
      <c r="D214" s="2">
        <f>IFERROR(__xludf.DUMMYFUNCTION("""COMPUTED_VALUE"""),421.76)</f>
        <v>421.76</v>
      </c>
      <c r="E214" s="2">
        <f>IFERROR(__xludf.DUMMYFUNCTION("""COMPUTED_VALUE"""),432.0)</f>
        <v>432</v>
      </c>
      <c r="F214" s="2">
        <f>IFERROR(__xludf.DUMMYFUNCTION("""COMPUTED_VALUE"""),1.997191E8)</f>
        <v>199719100</v>
      </c>
      <c r="G214" s="2">
        <f t="shared" si="1"/>
        <v>24.57</v>
      </c>
    </row>
    <row r="215" ht="15.75" customHeight="1">
      <c r="A215" s="1">
        <f>IFERROR(__xludf.DUMMYFUNCTION("""COMPUTED_VALUE"""),44152.66666666667)</f>
        <v>44152.66667</v>
      </c>
      <c r="B215" s="2">
        <f>IFERROR(__xludf.DUMMYFUNCTION("""COMPUTED_VALUE"""),436.1)</f>
        <v>436.1</v>
      </c>
      <c r="C215" s="2">
        <f>IFERROR(__xludf.DUMMYFUNCTION("""COMPUTED_VALUE"""),442.24)</f>
        <v>442.24</v>
      </c>
      <c r="D215" s="2">
        <f>IFERROR(__xludf.DUMMYFUNCTION("""COMPUTED_VALUE"""),425.86)</f>
        <v>425.86</v>
      </c>
      <c r="E215" s="2">
        <f>IFERROR(__xludf.DUMMYFUNCTION("""COMPUTED_VALUE"""),432.0)</f>
        <v>432</v>
      </c>
      <c r="F215" s="2">
        <f>IFERROR(__xludf.DUMMYFUNCTION("""COMPUTED_VALUE"""),1.014478E8)</f>
        <v>101447800</v>
      </c>
      <c r="G215" s="2">
        <f t="shared" si="1"/>
        <v>16.38</v>
      </c>
    </row>
    <row r="216" ht="15.75" customHeight="1">
      <c r="A216" s="1">
        <f>IFERROR(__xludf.DUMMYFUNCTION("""COMPUTED_VALUE"""),44153.66666666667)</f>
        <v>44153.66667</v>
      </c>
      <c r="B216" s="2">
        <f>IFERROR(__xludf.DUMMYFUNCTION("""COMPUTED_VALUE"""),436.1)</f>
        <v>436.1</v>
      </c>
      <c r="C216" s="2">
        <f>IFERROR(__xludf.DUMMYFUNCTION("""COMPUTED_VALUE"""),440.19)</f>
        <v>440.19</v>
      </c>
      <c r="D216" s="2">
        <f>IFERROR(__xludf.DUMMYFUNCTION("""COMPUTED_VALUE"""),429.95)</f>
        <v>429.95</v>
      </c>
      <c r="E216" s="2">
        <f>IFERROR(__xludf.DUMMYFUNCTION("""COMPUTED_VALUE"""),432.0)</f>
        <v>432</v>
      </c>
      <c r="F216" s="2">
        <f>IFERROR(__xludf.DUMMYFUNCTION("""COMPUTED_VALUE"""),9.28897E7)</f>
        <v>92889700</v>
      </c>
      <c r="G216" s="2">
        <f t="shared" si="1"/>
        <v>10.24</v>
      </c>
    </row>
    <row r="217" ht="15.75" customHeight="1">
      <c r="A217" s="1">
        <f>IFERROR(__xludf.DUMMYFUNCTION("""COMPUTED_VALUE"""),44154.66666666667)</f>
        <v>44154.66667</v>
      </c>
      <c r="B217" s="2">
        <f>IFERROR(__xludf.DUMMYFUNCTION("""COMPUTED_VALUE"""),434.05)</f>
        <v>434.05</v>
      </c>
      <c r="C217" s="2">
        <f>IFERROR(__xludf.DUMMYFUNCTION("""COMPUTED_VALUE"""),456.57)</f>
        <v>456.57</v>
      </c>
      <c r="D217" s="2">
        <f>IFERROR(__xludf.DUMMYFUNCTION("""COMPUTED_VALUE"""),432.0)</f>
        <v>432</v>
      </c>
      <c r="E217" s="2">
        <f>IFERROR(__xludf.DUMMYFUNCTION("""COMPUTED_VALUE"""),444.29)</f>
        <v>444.29</v>
      </c>
      <c r="F217" s="2">
        <f>IFERROR(__xludf.DUMMYFUNCTION("""COMPUTED_VALUE"""),1.998622E8)</f>
        <v>199862200</v>
      </c>
      <c r="G217" s="2">
        <f t="shared" si="1"/>
        <v>24.57</v>
      </c>
    </row>
    <row r="218" ht="15.75" customHeight="1">
      <c r="A218" s="1">
        <f>IFERROR(__xludf.DUMMYFUNCTION("""COMPUTED_VALUE"""),44155.66666666667)</f>
        <v>44155.66667</v>
      </c>
      <c r="B218" s="2">
        <f>IFERROR(__xludf.DUMMYFUNCTION("""COMPUTED_VALUE"""),442.24)</f>
        <v>442.24</v>
      </c>
      <c r="C218" s="2">
        <f>IFERROR(__xludf.DUMMYFUNCTION("""COMPUTED_VALUE"""),448.38)</f>
        <v>448.38</v>
      </c>
      <c r="D218" s="2">
        <f>IFERROR(__xludf.DUMMYFUNCTION("""COMPUTED_VALUE"""),434.05)</f>
        <v>434.05</v>
      </c>
      <c r="E218" s="2">
        <f>IFERROR(__xludf.DUMMYFUNCTION("""COMPUTED_VALUE"""),434.05)</f>
        <v>434.05</v>
      </c>
      <c r="F218" s="2">
        <f>IFERROR(__xludf.DUMMYFUNCTION("""COMPUTED_VALUE"""),5.6562E7)</f>
        <v>56562000</v>
      </c>
      <c r="G218" s="2">
        <f t="shared" si="1"/>
        <v>14.33</v>
      </c>
    </row>
    <row r="219" ht="15.75" customHeight="1">
      <c r="A219" s="1">
        <f>IFERROR(__xludf.DUMMYFUNCTION("""COMPUTED_VALUE"""),44158.66666666667)</f>
        <v>44158.66667</v>
      </c>
      <c r="B219" s="2">
        <f>IFERROR(__xludf.DUMMYFUNCTION("""COMPUTED_VALUE"""),436.1)</f>
        <v>436.1</v>
      </c>
      <c r="C219" s="2">
        <f>IFERROR(__xludf.DUMMYFUNCTION("""COMPUTED_VALUE"""),450.43)</f>
        <v>450.43</v>
      </c>
      <c r="D219" s="2">
        <f>IFERROR(__xludf.DUMMYFUNCTION("""COMPUTED_VALUE"""),434.05)</f>
        <v>434.05</v>
      </c>
      <c r="E219" s="2">
        <f>IFERROR(__xludf.DUMMYFUNCTION("""COMPUTED_VALUE"""),444.29)</f>
        <v>444.29</v>
      </c>
      <c r="F219" s="2">
        <f>IFERROR(__xludf.DUMMYFUNCTION("""COMPUTED_VALUE"""),8.74964E7)</f>
        <v>87496400</v>
      </c>
      <c r="G219" s="2">
        <f t="shared" si="1"/>
        <v>16.38</v>
      </c>
    </row>
    <row r="220" ht="15.75" customHeight="1">
      <c r="A220" s="1">
        <f>IFERROR(__xludf.DUMMYFUNCTION("""COMPUTED_VALUE"""),44159.66666666667)</f>
        <v>44159.66667</v>
      </c>
      <c r="B220" s="2">
        <f>IFERROR(__xludf.DUMMYFUNCTION("""COMPUTED_VALUE"""),446.33)</f>
        <v>446.33</v>
      </c>
      <c r="C220" s="2">
        <f>IFERROR(__xludf.DUMMYFUNCTION("""COMPUTED_VALUE"""),450.43)</f>
        <v>450.43</v>
      </c>
      <c r="D220" s="2">
        <f>IFERROR(__xludf.DUMMYFUNCTION("""COMPUTED_VALUE"""),440.19)</f>
        <v>440.19</v>
      </c>
      <c r="E220" s="2">
        <f>IFERROR(__xludf.DUMMYFUNCTION("""COMPUTED_VALUE"""),444.29)</f>
        <v>444.29</v>
      </c>
      <c r="F220" s="2">
        <f>IFERROR(__xludf.DUMMYFUNCTION("""COMPUTED_VALUE"""),4.68824E7)</f>
        <v>46882400</v>
      </c>
      <c r="G220" s="2">
        <f t="shared" si="1"/>
        <v>10.24</v>
      </c>
    </row>
    <row r="221" ht="15.75" customHeight="1">
      <c r="A221" s="1">
        <f>IFERROR(__xludf.DUMMYFUNCTION("""COMPUTED_VALUE"""),44160.66666666667)</f>
        <v>44160.66667</v>
      </c>
      <c r="B221" s="2">
        <f>IFERROR(__xludf.DUMMYFUNCTION("""COMPUTED_VALUE"""),450.43)</f>
        <v>450.43</v>
      </c>
      <c r="C221" s="2">
        <f>IFERROR(__xludf.DUMMYFUNCTION("""COMPUTED_VALUE"""),466.81)</f>
        <v>466.81</v>
      </c>
      <c r="D221" s="2">
        <f>IFERROR(__xludf.DUMMYFUNCTION("""COMPUTED_VALUE"""),442.24)</f>
        <v>442.24</v>
      </c>
      <c r="E221" s="2">
        <f>IFERROR(__xludf.DUMMYFUNCTION("""COMPUTED_VALUE"""),456.57)</f>
        <v>456.57</v>
      </c>
      <c r="F221" s="2">
        <f>IFERROR(__xludf.DUMMYFUNCTION("""COMPUTED_VALUE"""),2.418323E8)</f>
        <v>241832300</v>
      </c>
      <c r="G221" s="2">
        <f t="shared" si="1"/>
        <v>24.57</v>
      </c>
    </row>
    <row r="222" ht="15.75" customHeight="1">
      <c r="A222" s="1">
        <f>IFERROR(__xludf.DUMMYFUNCTION("""COMPUTED_VALUE"""),44161.66666666667)</f>
        <v>44161.66667</v>
      </c>
      <c r="B222" s="2">
        <f>IFERROR(__xludf.DUMMYFUNCTION("""COMPUTED_VALUE"""),456.57)</f>
        <v>456.57</v>
      </c>
      <c r="C222" s="2">
        <f>IFERROR(__xludf.DUMMYFUNCTION("""COMPUTED_VALUE"""),475.0)</f>
        <v>475</v>
      </c>
      <c r="D222" s="2">
        <f>IFERROR(__xludf.DUMMYFUNCTION("""COMPUTED_VALUE"""),454.52)</f>
        <v>454.52</v>
      </c>
      <c r="E222" s="2">
        <f>IFERROR(__xludf.DUMMYFUNCTION("""COMPUTED_VALUE"""),470.9)</f>
        <v>470.9</v>
      </c>
      <c r="F222" s="2">
        <f>IFERROR(__xludf.DUMMYFUNCTION("""COMPUTED_VALUE"""),1.659087E8)</f>
        <v>165908700</v>
      </c>
      <c r="G222" s="2">
        <f t="shared" si="1"/>
        <v>20.48</v>
      </c>
    </row>
    <row r="223" ht="15.75" customHeight="1">
      <c r="A223" s="1">
        <f>IFERROR(__xludf.DUMMYFUNCTION("""COMPUTED_VALUE"""),44162.66666666667)</f>
        <v>44162.66667</v>
      </c>
      <c r="B223" s="2">
        <f>IFERROR(__xludf.DUMMYFUNCTION("""COMPUTED_VALUE"""),470.9)</f>
        <v>470.9</v>
      </c>
      <c r="C223" s="2">
        <f>IFERROR(__xludf.DUMMYFUNCTION("""COMPUTED_VALUE"""),583.51)</f>
        <v>583.51</v>
      </c>
      <c r="D223" s="2">
        <f>IFERROR(__xludf.DUMMYFUNCTION("""COMPUTED_VALUE"""),464.76)</f>
        <v>464.76</v>
      </c>
      <c r="E223" s="2">
        <f>IFERROR(__xludf.DUMMYFUNCTION("""COMPUTED_VALUE"""),583.51)</f>
        <v>583.51</v>
      </c>
      <c r="F223" s="2">
        <f>IFERROR(__xludf.DUMMYFUNCTION("""COMPUTED_VALUE"""),5.745956E8)</f>
        <v>574595600</v>
      </c>
      <c r="G223" s="2">
        <f t="shared" si="1"/>
        <v>118.75</v>
      </c>
    </row>
    <row r="224" ht="15.75" customHeight="1">
      <c r="A224" s="1">
        <f>IFERROR(__xludf.DUMMYFUNCTION("""COMPUTED_VALUE"""),44165.66666666667)</f>
        <v>44165.66667</v>
      </c>
      <c r="B224" s="2">
        <f>IFERROR(__xludf.DUMMYFUNCTION("""COMPUTED_VALUE"""),614.22)</f>
        <v>614.22</v>
      </c>
      <c r="C224" s="2">
        <f>IFERROR(__xludf.DUMMYFUNCTION("""COMPUTED_VALUE"""),624.46)</f>
        <v>624.46</v>
      </c>
      <c r="D224" s="2">
        <f>IFERROR(__xludf.DUMMYFUNCTION("""COMPUTED_VALUE"""),547.68)</f>
        <v>547.68</v>
      </c>
      <c r="E224" s="2">
        <f>IFERROR(__xludf.DUMMYFUNCTION("""COMPUTED_VALUE"""),552.8)</f>
        <v>552.8</v>
      </c>
      <c r="F224" s="2">
        <f>IFERROR(__xludf.DUMMYFUNCTION("""COMPUTED_VALUE"""),5.937724E8)</f>
        <v>593772400</v>
      </c>
      <c r="G224" s="2">
        <f t="shared" si="1"/>
        <v>76.78</v>
      </c>
    </row>
    <row r="225" ht="15.75" customHeight="1">
      <c r="A225" s="1">
        <f>IFERROR(__xludf.DUMMYFUNCTION("""COMPUTED_VALUE"""),44166.66666666667)</f>
        <v>44166.66667</v>
      </c>
      <c r="B225" s="2">
        <f>IFERROR(__xludf.DUMMYFUNCTION("""COMPUTED_VALUE"""),573.27)</f>
        <v>573.27</v>
      </c>
      <c r="C225" s="2">
        <f>IFERROR(__xludf.DUMMYFUNCTION("""COMPUTED_VALUE"""),624.46)</f>
        <v>624.46</v>
      </c>
      <c r="D225" s="2">
        <f>IFERROR(__xludf.DUMMYFUNCTION("""COMPUTED_VALUE"""),537.44)</f>
        <v>537.44</v>
      </c>
      <c r="E225" s="2">
        <f>IFERROR(__xludf.DUMMYFUNCTION("""COMPUTED_VALUE"""),624.46)</f>
        <v>624.46</v>
      </c>
      <c r="F225" s="2">
        <f>IFERROR(__xludf.DUMMYFUNCTION("""COMPUTED_VALUE"""),5.203031E8)</f>
        <v>520303100</v>
      </c>
      <c r="G225" s="2">
        <f t="shared" si="1"/>
        <v>87.02</v>
      </c>
    </row>
    <row r="226" ht="15.75" customHeight="1">
      <c r="A226" s="1">
        <f>IFERROR(__xludf.DUMMYFUNCTION("""COMPUTED_VALUE"""),44167.66666666667)</f>
        <v>44167.66667</v>
      </c>
      <c r="B226" s="2">
        <f>IFERROR(__xludf.DUMMYFUNCTION("""COMPUTED_VALUE"""),650.05)</f>
        <v>650.05</v>
      </c>
      <c r="C226" s="2">
        <f>IFERROR(__xludf.DUMMYFUNCTION("""COMPUTED_VALUE"""),650.05)</f>
        <v>650.05</v>
      </c>
      <c r="D226" s="2">
        <f>IFERROR(__xludf.DUMMYFUNCTION("""COMPUTED_VALUE"""),614.22)</f>
        <v>614.22</v>
      </c>
      <c r="E226" s="2">
        <f>IFERROR(__xludf.DUMMYFUNCTION("""COMPUTED_VALUE"""),619.34)</f>
        <v>619.34</v>
      </c>
      <c r="F226" s="2">
        <f>IFERROR(__xludf.DUMMYFUNCTION("""COMPUTED_VALUE"""),3.108275E8)</f>
        <v>310827500</v>
      </c>
      <c r="G226" s="2">
        <f t="shared" si="1"/>
        <v>35.83</v>
      </c>
    </row>
    <row r="227" ht="15.75" customHeight="1">
      <c r="A227" s="1">
        <f>IFERROR(__xludf.DUMMYFUNCTION("""COMPUTED_VALUE"""),44168.66666666667)</f>
        <v>44168.66667</v>
      </c>
      <c r="B227" s="2">
        <f>IFERROR(__xludf.DUMMYFUNCTION("""COMPUTED_VALUE"""),624.46)</f>
        <v>624.46</v>
      </c>
      <c r="C227" s="2">
        <f>IFERROR(__xludf.DUMMYFUNCTION("""COMPUTED_VALUE"""),696.11)</f>
        <v>696.11</v>
      </c>
      <c r="D227" s="2">
        <f>IFERROR(__xludf.DUMMYFUNCTION("""COMPUTED_VALUE"""),619.34)</f>
        <v>619.34</v>
      </c>
      <c r="E227" s="2">
        <f>IFERROR(__xludf.DUMMYFUNCTION("""COMPUTED_VALUE"""),675.64)</f>
        <v>675.64</v>
      </c>
      <c r="F227" s="2">
        <f>IFERROR(__xludf.DUMMYFUNCTION("""COMPUTED_VALUE"""),5.672087E8)</f>
        <v>567208700</v>
      </c>
      <c r="G227" s="2">
        <f t="shared" si="1"/>
        <v>76.77</v>
      </c>
    </row>
    <row r="228" ht="15.75" customHeight="1">
      <c r="A228" s="1">
        <f>IFERROR(__xludf.DUMMYFUNCTION("""COMPUTED_VALUE"""),44169.66666666667)</f>
        <v>44169.66667</v>
      </c>
      <c r="B228" s="2">
        <f>IFERROR(__xludf.DUMMYFUNCTION("""COMPUTED_VALUE"""),675.64)</f>
        <v>675.64</v>
      </c>
      <c r="C228" s="2">
        <f>IFERROR(__xludf.DUMMYFUNCTION("""COMPUTED_VALUE"""),685.88)</f>
        <v>685.88</v>
      </c>
      <c r="D228" s="2">
        <f>IFERROR(__xludf.DUMMYFUNCTION("""COMPUTED_VALUE"""),650.05)</f>
        <v>650.05</v>
      </c>
      <c r="E228" s="2">
        <f>IFERROR(__xludf.DUMMYFUNCTION("""COMPUTED_VALUE"""),675.64)</f>
        <v>675.64</v>
      </c>
      <c r="F228" s="2">
        <f>IFERROR(__xludf.DUMMYFUNCTION("""COMPUTED_VALUE"""),2.282872E8)</f>
        <v>228287200</v>
      </c>
      <c r="G228" s="2">
        <f t="shared" si="1"/>
        <v>35.83</v>
      </c>
    </row>
    <row r="229" ht="15.75" customHeight="1">
      <c r="A229" s="1">
        <f>IFERROR(__xludf.DUMMYFUNCTION("""COMPUTED_VALUE"""),44172.66666666667)</f>
        <v>44172.66667</v>
      </c>
      <c r="B229" s="2">
        <f>IFERROR(__xludf.DUMMYFUNCTION("""COMPUTED_VALUE"""),675.64)</f>
        <v>675.64</v>
      </c>
      <c r="C229" s="2">
        <f>IFERROR(__xludf.DUMMYFUNCTION("""COMPUTED_VALUE"""),701.23)</f>
        <v>701.23</v>
      </c>
      <c r="D229" s="2">
        <f>IFERROR(__xludf.DUMMYFUNCTION("""COMPUTED_VALUE"""),670.52)</f>
        <v>670.52</v>
      </c>
      <c r="E229" s="2">
        <f>IFERROR(__xludf.DUMMYFUNCTION("""COMPUTED_VALUE"""),680.76)</f>
        <v>680.76</v>
      </c>
      <c r="F229" s="2">
        <f>IFERROR(__xludf.DUMMYFUNCTION("""COMPUTED_VALUE"""),1.933705E8)</f>
        <v>193370500</v>
      </c>
      <c r="G229" s="2">
        <f t="shared" si="1"/>
        <v>30.71</v>
      </c>
    </row>
    <row r="230" ht="15.75" customHeight="1">
      <c r="A230" s="1">
        <f>IFERROR(__xludf.DUMMYFUNCTION("""COMPUTED_VALUE"""),44173.66666666667)</f>
        <v>44173.66667</v>
      </c>
      <c r="B230" s="2">
        <f>IFERROR(__xludf.DUMMYFUNCTION("""COMPUTED_VALUE"""),706.35)</f>
        <v>706.35</v>
      </c>
      <c r="C230" s="2">
        <f>IFERROR(__xludf.DUMMYFUNCTION("""COMPUTED_VALUE"""),706.35)</f>
        <v>706.35</v>
      </c>
      <c r="D230" s="2">
        <f>IFERROR(__xludf.DUMMYFUNCTION("""COMPUTED_VALUE"""),665.4)</f>
        <v>665.4</v>
      </c>
      <c r="E230" s="2">
        <f>IFERROR(__xludf.DUMMYFUNCTION("""COMPUTED_VALUE"""),665.4)</f>
        <v>665.4</v>
      </c>
      <c r="F230" s="2">
        <f>IFERROR(__xludf.DUMMYFUNCTION("""COMPUTED_VALUE"""),9.36424E7)</f>
        <v>93642400</v>
      </c>
      <c r="G230" s="2">
        <f t="shared" si="1"/>
        <v>40.95</v>
      </c>
    </row>
    <row r="231" ht="15.75" customHeight="1">
      <c r="A231" s="1">
        <f>IFERROR(__xludf.DUMMYFUNCTION("""COMPUTED_VALUE"""),44175.66666666667)</f>
        <v>44175.66667</v>
      </c>
      <c r="B231" s="2">
        <f>IFERROR(__xludf.DUMMYFUNCTION("""COMPUTED_VALUE"""),675.64)</f>
        <v>675.64</v>
      </c>
      <c r="C231" s="2">
        <f>IFERROR(__xludf.DUMMYFUNCTION("""COMPUTED_VALUE"""),767.77)</f>
        <v>767.77</v>
      </c>
      <c r="D231" s="2">
        <f>IFERROR(__xludf.DUMMYFUNCTION("""COMPUTED_VALUE"""),670.52)</f>
        <v>670.52</v>
      </c>
      <c r="E231" s="2">
        <f>IFERROR(__xludf.DUMMYFUNCTION("""COMPUTED_VALUE"""),747.3)</f>
        <v>747.3</v>
      </c>
      <c r="F231" s="2">
        <f>IFERROR(__xludf.DUMMYFUNCTION("""COMPUTED_VALUE"""),5.123673E8)</f>
        <v>512367300</v>
      </c>
      <c r="G231" s="2">
        <f t="shared" si="1"/>
        <v>102.37</v>
      </c>
    </row>
    <row r="232" ht="15.75" customHeight="1">
      <c r="A232" s="1">
        <f>IFERROR(__xludf.DUMMYFUNCTION("""COMPUTED_VALUE"""),44176.66666666667)</f>
        <v>44176.66667</v>
      </c>
      <c r="B232" s="2">
        <f>IFERROR(__xludf.DUMMYFUNCTION("""COMPUTED_VALUE"""),778.01)</f>
        <v>778.01</v>
      </c>
      <c r="C232" s="2">
        <f>IFERROR(__xludf.DUMMYFUNCTION("""COMPUTED_VALUE"""),849.67)</f>
        <v>849.67</v>
      </c>
      <c r="D232" s="2">
        <f>IFERROR(__xludf.DUMMYFUNCTION("""COMPUTED_VALUE"""),721.71)</f>
        <v>721.71</v>
      </c>
      <c r="E232" s="2">
        <f>IFERROR(__xludf.DUMMYFUNCTION("""COMPUTED_VALUE"""),808.72)</f>
        <v>808.72</v>
      </c>
      <c r="F232" s="2">
        <f>IFERROR(__xludf.DUMMYFUNCTION("""COMPUTED_VALUE"""),7.128986E8)</f>
        <v>712898600</v>
      </c>
      <c r="G232" s="2">
        <f t="shared" si="1"/>
        <v>127.96</v>
      </c>
    </row>
    <row r="233" ht="15.75" customHeight="1">
      <c r="A233" s="1">
        <f>IFERROR(__xludf.DUMMYFUNCTION("""COMPUTED_VALUE"""),44179.66666666667)</f>
        <v>44179.66667</v>
      </c>
      <c r="B233" s="2">
        <f>IFERROR(__xludf.DUMMYFUNCTION("""COMPUTED_VALUE"""),813.84)</f>
        <v>813.84</v>
      </c>
      <c r="C233" s="2">
        <f>IFERROR(__xludf.DUMMYFUNCTION("""COMPUTED_VALUE"""),865.03)</f>
        <v>865.03</v>
      </c>
      <c r="D233" s="2">
        <f>IFERROR(__xludf.DUMMYFUNCTION("""COMPUTED_VALUE"""),793.37)</f>
        <v>793.37</v>
      </c>
      <c r="E233" s="2">
        <f>IFERROR(__xludf.DUMMYFUNCTION("""COMPUTED_VALUE"""),839.43)</f>
        <v>839.43</v>
      </c>
      <c r="F233" s="2">
        <f>IFERROR(__xludf.DUMMYFUNCTION("""COMPUTED_VALUE"""),3.584027E8)</f>
        <v>358402700</v>
      </c>
      <c r="G233" s="2">
        <f t="shared" si="1"/>
        <v>71.66</v>
      </c>
    </row>
    <row r="234" ht="15.75" customHeight="1">
      <c r="A234" s="1">
        <f>IFERROR(__xludf.DUMMYFUNCTION("""COMPUTED_VALUE"""),44180.66666666667)</f>
        <v>44180.66667</v>
      </c>
      <c r="B234" s="2">
        <f>IFERROR(__xludf.DUMMYFUNCTION("""COMPUTED_VALUE"""),870.14)</f>
        <v>870.14</v>
      </c>
      <c r="C234" s="2">
        <f>IFERROR(__xludf.DUMMYFUNCTION("""COMPUTED_VALUE"""),870.14)</f>
        <v>870.14</v>
      </c>
      <c r="D234" s="2">
        <f>IFERROR(__xludf.DUMMYFUNCTION("""COMPUTED_VALUE"""),803.6)</f>
        <v>803.6</v>
      </c>
      <c r="E234" s="2">
        <f>IFERROR(__xludf.DUMMYFUNCTION("""COMPUTED_VALUE"""),829.2)</f>
        <v>829.2</v>
      </c>
      <c r="F234" s="2">
        <f>IFERROR(__xludf.DUMMYFUNCTION("""COMPUTED_VALUE"""),1.438294E8)</f>
        <v>143829400</v>
      </c>
      <c r="G234" s="2">
        <f t="shared" si="1"/>
        <v>66.54</v>
      </c>
    </row>
    <row r="235" ht="15.75" customHeight="1">
      <c r="A235" s="1">
        <f>IFERROR(__xludf.DUMMYFUNCTION("""COMPUTED_VALUE"""),44181.66666666667)</f>
        <v>44181.66667</v>
      </c>
      <c r="B235" s="2">
        <f>IFERROR(__xludf.DUMMYFUNCTION("""COMPUTED_VALUE"""),824.08)</f>
        <v>824.08</v>
      </c>
      <c r="C235" s="2">
        <f>IFERROR(__xludf.DUMMYFUNCTION("""COMPUTED_VALUE"""),1003.22)</f>
        <v>1003.22</v>
      </c>
      <c r="D235" s="2">
        <f>IFERROR(__xludf.DUMMYFUNCTION("""COMPUTED_VALUE"""),818.96)</f>
        <v>818.96</v>
      </c>
      <c r="E235" s="2">
        <f>IFERROR(__xludf.DUMMYFUNCTION("""COMPUTED_VALUE"""),987.87)</f>
        <v>987.87</v>
      </c>
      <c r="F235" s="2">
        <f>IFERROR(__xludf.DUMMYFUNCTION("""COMPUTED_VALUE"""),5.576064E8)</f>
        <v>557606400</v>
      </c>
      <c r="G235" s="2">
        <f t="shared" si="1"/>
        <v>184.26</v>
      </c>
    </row>
    <row r="236" ht="15.75" customHeight="1">
      <c r="A236" s="1">
        <f>IFERROR(__xludf.DUMMYFUNCTION("""COMPUTED_VALUE"""),44183.66666666667)</f>
        <v>44183.66667</v>
      </c>
      <c r="B236" s="2">
        <f>IFERROR(__xludf.DUMMYFUNCTION("""COMPUTED_VALUE"""),967.39)</f>
        <v>967.39</v>
      </c>
      <c r="C236" s="2">
        <f>IFERROR(__xludf.DUMMYFUNCTION("""COMPUTED_VALUE"""),1136.31)</f>
        <v>1136.31</v>
      </c>
      <c r="D236" s="2">
        <f>IFERROR(__xludf.DUMMYFUNCTION("""COMPUTED_VALUE"""),962.28)</f>
        <v>962.28</v>
      </c>
      <c r="E236" s="2">
        <f>IFERROR(__xludf.DUMMYFUNCTION("""COMPUTED_VALUE"""),1059.53)</f>
        <v>1059.53</v>
      </c>
      <c r="F236" s="2">
        <f>IFERROR(__xludf.DUMMYFUNCTION("""COMPUTED_VALUE"""),6.978622E8)</f>
        <v>697862200</v>
      </c>
      <c r="G236" s="2">
        <f t="shared" si="1"/>
        <v>174.03</v>
      </c>
    </row>
    <row r="237" ht="15.75" customHeight="1">
      <c r="A237" s="1">
        <f>IFERROR(__xludf.DUMMYFUNCTION("""COMPUTED_VALUE"""),44200.625)</f>
        <v>44200.625</v>
      </c>
      <c r="B237" s="2">
        <f>IFERROR(__xludf.DUMMYFUNCTION("""COMPUTED_VALUE"""),1044.17)</f>
        <v>1044.17</v>
      </c>
      <c r="C237" s="2">
        <f>IFERROR(__xludf.DUMMYFUNCTION("""COMPUTED_VALUE"""),1069.76)</f>
        <v>1069.76</v>
      </c>
      <c r="D237" s="2">
        <f>IFERROR(__xludf.DUMMYFUNCTION("""COMPUTED_VALUE"""),987.87)</f>
        <v>987.87</v>
      </c>
      <c r="E237" s="2">
        <f>IFERROR(__xludf.DUMMYFUNCTION("""COMPUTED_VALUE"""),1044.17)</f>
        <v>1044.17</v>
      </c>
      <c r="F237" s="2">
        <f>IFERROR(__xludf.DUMMYFUNCTION("""COMPUTED_VALUE"""),3.631314E8)</f>
        <v>363131400</v>
      </c>
      <c r="G237" s="2">
        <f t="shared" si="1"/>
        <v>81.89</v>
      </c>
    </row>
    <row r="238" ht="15.75" customHeight="1">
      <c r="A238" s="1">
        <f>IFERROR(__xludf.DUMMYFUNCTION("""COMPUTED_VALUE"""),44201.625)</f>
        <v>44201.625</v>
      </c>
      <c r="B238" s="2">
        <f>IFERROR(__xludf.DUMMYFUNCTION("""COMPUTED_VALUE"""),1049.29)</f>
        <v>1049.29</v>
      </c>
      <c r="C238" s="2">
        <f>IFERROR(__xludf.DUMMYFUNCTION("""COMPUTED_VALUE"""),1105.59)</f>
        <v>1105.59</v>
      </c>
      <c r="D238" s="2">
        <f>IFERROR(__xludf.DUMMYFUNCTION("""COMPUTED_VALUE"""),1008.34)</f>
        <v>1008.34</v>
      </c>
      <c r="E238" s="2">
        <f>IFERROR(__xludf.DUMMYFUNCTION("""COMPUTED_VALUE"""),1064.65)</f>
        <v>1064.65</v>
      </c>
      <c r="F238" s="2">
        <f>IFERROR(__xludf.DUMMYFUNCTION("""COMPUTED_VALUE"""),2.144003E8)</f>
        <v>214400300</v>
      </c>
      <c r="G238" s="2">
        <f t="shared" si="1"/>
        <v>97.25</v>
      </c>
    </row>
    <row r="239" ht="15.75" customHeight="1">
      <c r="A239" s="1">
        <f>IFERROR(__xludf.DUMMYFUNCTION("""COMPUTED_VALUE"""),44202.625)</f>
        <v>44202.625</v>
      </c>
      <c r="B239" s="2">
        <f>IFERROR(__xludf.DUMMYFUNCTION("""COMPUTED_VALUE"""),1074.88)</f>
        <v>1074.88</v>
      </c>
      <c r="C239" s="2">
        <f>IFERROR(__xludf.DUMMYFUNCTION("""COMPUTED_VALUE"""),1228.44)</f>
        <v>1228.44</v>
      </c>
      <c r="D239" s="2">
        <f>IFERROR(__xludf.DUMMYFUNCTION("""COMPUTED_VALUE"""),1064.65)</f>
        <v>1064.65</v>
      </c>
      <c r="E239" s="2">
        <f>IFERROR(__xludf.DUMMYFUNCTION("""COMPUTED_VALUE"""),1161.9)</f>
        <v>1161.9</v>
      </c>
      <c r="F239" s="2">
        <f>IFERROR(__xludf.DUMMYFUNCTION("""COMPUTED_VALUE"""),5.263739E8)</f>
        <v>526373900</v>
      </c>
      <c r="G239" s="2">
        <f t="shared" si="1"/>
        <v>163.79</v>
      </c>
    </row>
    <row r="240" ht="15.75" customHeight="1">
      <c r="A240" s="1">
        <f>IFERROR(__xludf.DUMMYFUNCTION("""COMPUTED_VALUE"""),44203.66666666667)</f>
        <v>44203.66667</v>
      </c>
      <c r="B240" s="2">
        <f>IFERROR(__xludf.DUMMYFUNCTION("""COMPUTED_VALUE"""),1177.25)</f>
        <v>1177.25</v>
      </c>
      <c r="C240" s="2">
        <f>IFERROR(__xludf.DUMMYFUNCTION("""COMPUTED_VALUE"""),1310.33)</f>
        <v>1310.33</v>
      </c>
      <c r="D240" s="2">
        <f>IFERROR(__xludf.DUMMYFUNCTION("""COMPUTED_VALUE"""),1172.13)</f>
        <v>1172.13</v>
      </c>
      <c r="E240" s="2">
        <f>IFERROR(__xludf.DUMMYFUNCTION("""COMPUTED_VALUE"""),1248.91)</f>
        <v>1248.91</v>
      </c>
      <c r="F240" s="2">
        <f>IFERROR(__xludf.DUMMYFUNCTION("""COMPUTED_VALUE"""),3.867341E8)</f>
        <v>386734100</v>
      </c>
      <c r="G240" s="2">
        <f t="shared" si="1"/>
        <v>148.43</v>
      </c>
    </row>
    <row r="241" ht="15.75" customHeight="1">
      <c r="A241" s="1">
        <f>IFERROR(__xludf.DUMMYFUNCTION("""COMPUTED_VALUE"""),44204.66666666667)</f>
        <v>44204.66667</v>
      </c>
      <c r="B241" s="2">
        <f>IFERROR(__xludf.DUMMYFUNCTION("""COMPUTED_VALUE"""),1274.5)</f>
        <v>1274.5</v>
      </c>
      <c r="C241" s="2">
        <f>IFERROR(__xludf.DUMMYFUNCTION("""COMPUTED_VALUE"""),1305.22)</f>
        <v>1305.22</v>
      </c>
      <c r="D241" s="2">
        <f>IFERROR(__xludf.DUMMYFUNCTION("""COMPUTED_VALUE"""),1238.67)</f>
        <v>1238.67</v>
      </c>
      <c r="E241" s="2">
        <f>IFERROR(__xludf.DUMMYFUNCTION("""COMPUTED_VALUE"""),1254.03)</f>
        <v>1254.03</v>
      </c>
      <c r="F241" s="2">
        <f>IFERROR(__xludf.DUMMYFUNCTION("""COMPUTED_VALUE"""),2.287777E8)</f>
        <v>228777700</v>
      </c>
      <c r="G241" s="2">
        <f t="shared" si="1"/>
        <v>66.55</v>
      </c>
    </row>
    <row r="242" ht="15.75" customHeight="1">
      <c r="A242" s="1">
        <f>IFERROR(__xludf.DUMMYFUNCTION("""COMPUTED_VALUE"""),44207.625)</f>
        <v>44207.625</v>
      </c>
      <c r="B242" s="2">
        <f>IFERROR(__xludf.DUMMYFUNCTION("""COMPUTED_VALUE"""),1264.27)</f>
        <v>1264.27</v>
      </c>
      <c r="C242" s="2">
        <f>IFERROR(__xludf.DUMMYFUNCTION("""COMPUTED_VALUE"""),1356.4)</f>
        <v>1356.4</v>
      </c>
      <c r="D242" s="2">
        <f>IFERROR(__xludf.DUMMYFUNCTION("""COMPUTED_VALUE"""),1254.03)</f>
        <v>1254.03</v>
      </c>
      <c r="E242" s="2">
        <f>IFERROR(__xludf.DUMMYFUNCTION("""COMPUTED_VALUE"""),1346.16)</f>
        <v>1346.16</v>
      </c>
      <c r="F242" s="2">
        <f>IFERROR(__xludf.DUMMYFUNCTION("""COMPUTED_VALUE"""),2.185152E8)</f>
        <v>218515200</v>
      </c>
      <c r="G242" s="2">
        <f t="shared" si="1"/>
        <v>102.37</v>
      </c>
    </row>
    <row r="243" ht="15.75" customHeight="1">
      <c r="A243" s="1">
        <f>IFERROR(__xludf.DUMMYFUNCTION("""COMPUTED_VALUE"""),44208.625)</f>
        <v>44208.625</v>
      </c>
      <c r="B243" s="2">
        <f>IFERROR(__xludf.DUMMYFUNCTION("""COMPUTED_VALUE"""),1356.4)</f>
        <v>1356.4</v>
      </c>
      <c r="C243" s="2">
        <f>IFERROR(__xludf.DUMMYFUNCTION("""COMPUTED_VALUE"""),1678.87)</f>
        <v>1678.87</v>
      </c>
      <c r="D243" s="2">
        <f>IFERROR(__xludf.DUMMYFUNCTION("""COMPUTED_VALUE"""),1341.04)</f>
        <v>1341.04</v>
      </c>
      <c r="E243" s="2">
        <f>IFERROR(__xludf.DUMMYFUNCTION("""COMPUTED_VALUE"""),1622.56)</f>
        <v>1622.56</v>
      </c>
      <c r="F243" s="2">
        <f>IFERROR(__xludf.DUMMYFUNCTION("""COMPUTED_VALUE"""),7.469875E8)</f>
        <v>746987500</v>
      </c>
      <c r="G243" s="2">
        <f t="shared" si="1"/>
        <v>337.83</v>
      </c>
    </row>
    <row r="244" ht="15.75" customHeight="1">
      <c r="A244" s="1">
        <f>IFERROR(__xludf.DUMMYFUNCTION("""COMPUTED_VALUE"""),44209.625)</f>
        <v>44209.625</v>
      </c>
      <c r="B244" s="2">
        <f>IFERROR(__xludf.DUMMYFUNCTION("""COMPUTED_VALUE"""),1637.92)</f>
        <v>1637.92</v>
      </c>
      <c r="C244" s="2">
        <f>IFERROR(__xludf.DUMMYFUNCTION("""COMPUTED_VALUE"""),1714.69)</f>
        <v>1714.69</v>
      </c>
      <c r="D244" s="2">
        <f>IFERROR(__xludf.DUMMYFUNCTION("""COMPUTED_VALUE"""),1571.38)</f>
        <v>1571.38</v>
      </c>
      <c r="E244" s="2">
        <f>IFERROR(__xludf.DUMMYFUNCTION("""COMPUTED_VALUE"""),1627.68)</f>
        <v>1627.68</v>
      </c>
      <c r="F244" s="2">
        <f>IFERROR(__xludf.DUMMYFUNCTION("""COMPUTED_VALUE"""),2.647717E8)</f>
        <v>264771700</v>
      </c>
      <c r="G244" s="2">
        <f t="shared" si="1"/>
        <v>143.31</v>
      </c>
    </row>
    <row r="245" ht="15.75" customHeight="1">
      <c r="A245" s="1">
        <f>IFERROR(__xludf.DUMMYFUNCTION("""COMPUTED_VALUE"""),44210.625)</f>
        <v>44210.625</v>
      </c>
      <c r="B245" s="2">
        <f>IFERROR(__xludf.DUMMYFUNCTION("""COMPUTED_VALUE"""),1586.73)</f>
        <v>1586.73</v>
      </c>
      <c r="C245" s="2">
        <f>IFERROR(__xludf.DUMMYFUNCTION("""COMPUTED_VALUE"""),1673.75)</f>
        <v>1673.75</v>
      </c>
      <c r="D245" s="2">
        <f>IFERROR(__xludf.DUMMYFUNCTION("""COMPUTED_VALUE"""),1515.07)</f>
        <v>1515.07</v>
      </c>
      <c r="E245" s="2">
        <f>IFERROR(__xludf.DUMMYFUNCTION("""COMPUTED_VALUE"""),1550.9)</f>
        <v>1550.9</v>
      </c>
      <c r="F245" s="2">
        <f>IFERROR(__xludf.DUMMYFUNCTION("""COMPUTED_VALUE"""),1.952472E8)</f>
        <v>195247200</v>
      </c>
      <c r="G245" s="2">
        <f t="shared" si="1"/>
        <v>158.68</v>
      </c>
    </row>
    <row r="246" ht="15.75" customHeight="1">
      <c r="A246" s="1">
        <f>IFERROR(__xludf.DUMMYFUNCTION("""COMPUTED_VALUE"""),44211.625)</f>
        <v>44211.625</v>
      </c>
      <c r="B246" s="2">
        <f>IFERROR(__xludf.DUMMYFUNCTION("""COMPUTED_VALUE"""),1545.78)</f>
        <v>1545.78</v>
      </c>
      <c r="C246" s="2">
        <f>IFERROR(__xludf.DUMMYFUNCTION("""COMPUTED_VALUE"""),1571.38)</f>
        <v>1571.38</v>
      </c>
      <c r="D246" s="2">
        <f>IFERROR(__xludf.DUMMYFUNCTION("""COMPUTED_VALUE"""),1443.41)</f>
        <v>1443.41</v>
      </c>
      <c r="E246" s="2">
        <f>IFERROR(__xludf.DUMMYFUNCTION("""COMPUTED_VALUE"""),1453.65)</f>
        <v>1453.65</v>
      </c>
      <c r="F246" s="2">
        <f>IFERROR(__xludf.DUMMYFUNCTION("""COMPUTED_VALUE"""),2.714642E8)</f>
        <v>271464200</v>
      </c>
      <c r="G246" s="2">
        <f t="shared" si="1"/>
        <v>127.97</v>
      </c>
    </row>
    <row r="247" ht="15.75" customHeight="1">
      <c r="A247" s="1">
        <f>IFERROR(__xludf.DUMMYFUNCTION("""COMPUTED_VALUE"""),44214.625)</f>
        <v>44214.625</v>
      </c>
      <c r="B247" s="2">
        <f>IFERROR(__xludf.DUMMYFUNCTION("""COMPUTED_VALUE"""),1453.65)</f>
        <v>1453.65</v>
      </c>
      <c r="C247" s="2">
        <f>IFERROR(__xludf.DUMMYFUNCTION("""COMPUTED_VALUE"""),1453.65)</f>
        <v>1453.65</v>
      </c>
      <c r="D247" s="2">
        <f>IFERROR(__xludf.DUMMYFUNCTION("""COMPUTED_VALUE"""),1356.4)</f>
        <v>1356.4</v>
      </c>
      <c r="E247" s="2">
        <f>IFERROR(__xludf.DUMMYFUNCTION("""COMPUTED_VALUE"""),1356.4)</f>
        <v>1356.4</v>
      </c>
      <c r="F247" s="2">
        <f>IFERROR(__xludf.DUMMYFUNCTION("""COMPUTED_VALUE"""),1.748728E8)</f>
        <v>174872800</v>
      </c>
      <c r="G247" s="2">
        <f t="shared" si="1"/>
        <v>97.25</v>
      </c>
    </row>
    <row r="248" ht="15.75" customHeight="1">
      <c r="A248" s="1">
        <f>IFERROR(__xludf.DUMMYFUNCTION("""COMPUTED_VALUE"""),44215.625)</f>
        <v>44215.625</v>
      </c>
      <c r="B248" s="2">
        <f>IFERROR(__xludf.DUMMYFUNCTION("""COMPUTED_VALUE"""),1274.5)</f>
        <v>1274.5</v>
      </c>
      <c r="C248" s="2">
        <f>IFERROR(__xludf.DUMMYFUNCTION("""COMPUTED_VALUE"""),1310.33)</f>
        <v>1310.33</v>
      </c>
      <c r="D248" s="2">
        <f>IFERROR(__xludf.DUMMYFUNCTION("""COMPUTED_VALUE"""),1264.27)</f>
        <v>1264.27</v>
      </c>
      <c r="E248" s="2">
        <f>IFERROR(__xludf.DUMMYFUNCTION("""COMPUTED_VALUE"""),1264.27)</f>
        <v>1264.27</v>
      </c>
      <c r="F248" s="2">
        <f>IFERROR(__xludf.DUMMYFUNCTION("""COMPUTED_VALUE"""),2.12794E7)</f>
        <v>21279400</v>
      </c>
      <c r="G248" s="2">
        <f t="shared" si="1"/>
        <v>92.13</v>
      </c>
    </row>
    <row r="249" ht="15.75" customHeight="1">
      <c r="A249" s="1">
        <f>IFERROR(__xludf.DUMMYFUNCTION("""COMPUTED_VALUE"""),44216.625)</f>
        <v>44216.625</v>
      </c>
      <c r="B249" s="2">
        <f>IFERROR(__xludf.DUMMYFUNCTION("""COMPUTED_VALUE"""),1177.25)</f>
        <v>1177.25</v>
      </c>
      <c r="C249" s="2">
        <f>IFERROR(__xludf.DUMMYFUNCTION("""COMPUTED_VALUE"""),1371.76)</f>
        <v>1371.76</v>
      </c>
      <c r="D249" s="2">
        <f>IFERROR(__xludf.DUMMYFUNCTION("""COMPUTED_VALUE"""),1177.25)</f>
        <v>1177.25</v>
      </c>
      <c r="E249" s="2">
        <f>IFERROR(__xludf.DUMMYFUNCTION("""COMPUTED_VALUE"""),1361.52)</f>
        <v>1361.52</v>
      </c>
      <c r="F249" s="2">
        <f>IFERROR(__xludf.DUMMYFUNCTION("""COMPUTED_VALUE"""),6.401495E8)</f>
        <v>640149500</v>
      </c>
      <c r="G249" s="2">
        <f t="shared" si="1"/>
        <v>194.51</v>
      </c>
    </row>
    <row r="250" ht="15.75" customHeight="1">
      <c r="A250" s="1">
        <f>IFERROR(__xludf.DUMMYFUNCTION("""COMPUTED_VALUE"""),44217.625)</f>
        <v>44217.625</v>
      </c>
      <c r="B250" s="2">
        <f>IFERROR(__xludf.DUMMYFUNCTION("""COMPUTED_VALUE"""),1381.99)</f>
        <v>1381.99</v>
      </c>
      <c r="C250" s="2">
        <f>IFERROR(__xludf.DUMMYFUNCTION("""COMPUTED_VALUE"""),1422.94)</f>
        <v>1422.94</v>
      </c>
      <c r="D250" s="2">
        <f>IFERROR(__xludf.DUMMYFUNCTION("""COMPUTED_VALUE"""),1269.39)</f>
        <v>1269.39</v>
      </c>
      <c r="E250" s="2">
        <f>IFERROR(__xludf.DUMMYFUNCTION("""COMPUTED_VALUE"""),1269.39)</f>
        <v>1269.39</v>
      </c>
      <c r="F250" s="2">
        <f>IFERROR(__xludf.DUMMYFUNCTION("""COMPUTED_VALUE"""),2.147909E8)</f>
        <v>214790900</v>
      </c>
      <c r="G250" s="2">
        <f t="shared" si="1"/>
        <v>153.55</v>
      </c>
    </row>
    <row r="251" ht="15.75" customHeight="1">
      <c r="A251" s="1">
        <f>IFERROR(__xludf.DUMMYFUNCTION("""COMPUTED_VALUE"""),44218.625)</f>
        <v>44218.625</v>
      </c>
      <c r="B251" s="2">
        <f>IFERROR(__xludf.DUMMYFUNCTION("""COMPUTED_VALUE"""),1310.33)</f>
        <v>1310.33</v>
      </c>
      <c r="C251" s="2">
        <f>IFERROR(__xludf.DUMMYFUNCTION("""COMPUTED_VALUE"""),1330.81)</f>
        <v>1330.81</v>
      </c>
      <c r="D251" s="2">
        <f>IFERROR(__xludf.DUMMYFUNCTION("""COMPUTED_VALUE"""),1182.37)</f>
        <v>1182.37</v>
      </c>
      <c r="E251" s="2">
        <f>IFERROR(__xludf.DUMMYFUNCTION("""COMPUTED_VALUE"""),1182.37)</f>
        <v>1182.37</v>
      </c>
      <c r="F251" s="2">
        <f>IFERROR(__xludf.DUMMYFUNCTION("""COMPUTED_VALUE"""),1.690742E8)</f>
        <v>169074200</v>
      </c>
      <c r="G251" s="2">
        <f t="shared" si="1"/>
        <v>148.44</v>
      </c>
    </row>
    <row r="252" ht="15.75" customHeight="1">
      <c r="A252" s="1">
        <f>IFERROR(__xludf.DUMMYFUNCTION("""COMPUTED_VALUE"""),44221.625)</f>
        <v>44221.625</v>
      </c>
      <c r="B252" s="2">
        <f>IFERROR(__xludf.DUMMYFUNCTION("""COMPUTED_VALUE"""),1182.37)</f>
        <v>1182.37</v>
      </c>
      <c r="C252" s="2">
        <f>IFERROR(__xludf.DUMMYFUNCTION("""COMPUTED_VALUE"""),1182.37)</f>
        <v>1182.37</v>
      </c>
      <c r="D252" s="2">
        <f>IFERROR(__xludf.DUMMYFUNCTION("""COMPUTED_VALUE"""),1100.48)</f>
        <v>1100.48</v>
      </c>
      <c r="E252" s="2">
        <f>IFERROR(__xludf.DUMMYFUNCTION("""COMPUTED_VALUE"""),1100.48)</f>
        <v>1100.48</v>
      </c>
      <c r="F252" s="2">
        <f>IFERROR(__xludf.DUMMYFUNCTION("""COMPUTED_VALUE"""),2.189615E8)</f>
        <v>218961500</v>
      </c>
      <c r="G252" s="2">
        <f t="shared" si="1"/>
        <v>81.89</v>
      </c>
    </row>
    <row r="253" ht="15.75" customHeight="1">
      <c r="A253" s="1">
        <f>IFERROR(__xludf.DUMMYFUNCTION("""COMPUTED_VALUE"""),44222.625)</f>
        <v>44222.625</v>
      </c>
      <c r="B253" s="2">
        <f>IFERROR(__xludf.DUMMYFUNCTION("""COMPUTED_VALUE"""),1100.48)</f>
        <v>1100.48</v>
      </c>
      <c r="C253" s="2">
        <f>IFERROR(__xludf.DUMMYFUNCTION("""COMPUTED_VALUE"""),1105.59)</f>
        <v>1105.59</v>
      </c>
      <c r="D253" s="2">
        <f>IFERROR(__xludf.DUMMYFUNCTION("""COMPUTED_VALUE"""),1023.7)</f>
        <v>1023.7</v>
      </c>
      <c r="E253" s="2">
        <f>IFERROR(__xludf.DUMMYFUNCTION("""COMPUTED_VALUE"""),1023.7)</f>
        <v>1023.7</v>
      </c>
      <c r="F253" s="2">
        <f>IFERROR(__xludf.DUMMYFUNCTION("""COMPUTED_VALUE"""),2.948774E8)</f>
        <v>294877400</v>
      </c>
      <c r="G253" s="2">
        <f t="shared" si="1"/>
        <v>81.89</v>
      </c>
    </row>
    <row r="254" ht="15.75" customHeight="1">
      <c r="A254" s="1">
        <f>IFERROR(__xludf.DUMMYFUNCTION("""COMPUTED_VALUE"""),44223.625)</f>
        <v>44223.625</v>
      </c>
      <c r="B254" s="2">
        <f>IFERROR(__xludf.DUMMYFUNCTION("""COMPUTED_VALUE"""),982.75)</f>
        <v>982.75</v>
      </c>
      <c r="C254" s="2">
        <f>IFERROR(__xludf.DUMMYFUNCTION("""COMPUTED_VALUE"""),1023.7)</f>
        <v>1023.7</v>
      </c>
      <c r="D254" s="2">
        <f>IFERROR(__xludf.DUMMYFUNCTION("""COMPUTED_VALUE"""),952.04)</f>
        <v>952.04</v>
      </c>
      <c r="E254" s="2">
        <f>IFERROR(__xludf.DUMMYFUNCTION("""COMPUTED_VALUE"""),952.04)</f>
        <v>952.04</v>
      </c>
      <c r="F254" s="2">
        <f>IFERROR(__xludf.DUMMYFUNCTION("""COMPUTED_VALUE"""),2.595153E8)</f>
        <v>259515300</v>
      </c>
      <c r="G254" s="2">
        <f t="shared" si="1"/>
        <v>71.66</v>
      </c>
    </row>
    <row r="255" ht="15.75" customHeight="1">
      <c r="A255" s="1">
        <f>IFERROR(__xludf.DUMMYFUNCTION("""COMPUTED_VALUE"""),44224.625)</f>
        <v>44224.625</v>
      </c>
      <c r="B255" s="2">
        <f>IFERROR(__xludf.DUMMYFUNCTION("""COMPUTED_VALUE"""),952.04)</f>
        <v>952.04</v>
      </c>
      <c r="C255" s="2">
        <f>IFERROR(__xludf.DUMMYFUNCTION("""COMPUTED_VALUE"""),992.99)</f>
        <v>992.99</v>
      </c>
      <c r="D255" s="2">
        <f>IFERROR(__xludf.DUMMYFUNCTION("""COMPUTED_VALUE"""),885.5)</f>
        <v>885.5</v>
      </c>
      <c r="E255" s="2">
        <f>IFERROR(__xludf.DUMMYFUNCTION("""COMPUTED_VALUE"""),885.5)</f>
        <v>885.5</v>
      </c>
      <c r="F255" s="2">
        <f>IFERROR(__xludf.DUMMYFUNCTION("""COMPUTED_VALUE"""),4.799485E8)</f>
        <v>479948500</v>
      </c>
      <c r="G255" s="2">
        <f t="shared" si="1"/>
        <v>107.49</v>
      </c>
    </row>
    <row r="256" ht="15.75" customHeight="1">
      <c r="A256" s="1">
        <f>IFERROR(__xludf.DUMMYFUNCTION("""COMPUTED_VALUE"""),44225.625)</f>
        <v>44225.625</v>
      </c>
      <c r="B256" s="2">
        <f>IFERROR(__xludf.DUMMYFUNCTION("""COMPUTED_VALUE"""),880.38)</f>
        <v>880.38</v>
      </c>
      <c r="C256" s="2">
        <f>IFERROR(__xludf.DUMMYFUNCTION("""COMPUTED_VALUE"""),911.09)</f>
        <v>911.09</v>
      </c>
      <c r="D256" s="2">
        <f>IFERROR(__xludf.DUMMYFUNCTION("""COMPUTED_VALUE"""),824.08)</f>
        <v>824.08</v>
      </c>
      <c r="E256" s="2">
        <f>IFERROR(__xludf.DUMMYFUNCTION("""COMPUTED_VALUE"""),824.08)</f>
        <v>824.08</v>
      </c>
      <c r="F256" s="2">
        <f>IFERROR(__xludf.DUMMYFUNCTION("""COMPUTED_VALUE"""),1.264642E8)</f>
        <v>126464200</v>
      </c>
      <c r="G256" s="2">
        <f t="shared" si="1"/>
        <v>87.01</v>
      </c>
    </row>
    <row r="257" ht="15.75" customHeight="1">
      <c r="A257" s="1">
        <f>IFERROR(__xludf.DUMMYFUNCTION("""COMPUTED_VALUE"""),44228.625)</f>
        <v>44228.625</v>
      </c>
      <c r="B257" s="2">
        <f>IFERROR(__xludf.DUMMYFUNCTION("""COMPUTED_VALUE"""),778.01)</f>
        <v>778.01</v>
      </c>
      <c r="C257" s="2">
        <f>IFERROR(__xludf.DUMMYFUNCTION("""COMPUTED_VALUE"""),952.04)</f>
        <v>952.04</v>
      </c>
      <c r="D257" s="2">
        <f>IFERROR(__xludf.DUMMYFUNCTION("""COMPUTED_VALUE"""),767.77)</f>
        <v>767.77</v>
      </c>
      <c r="E257" s="2">
        <f>IFERROR(__xludf.DUMMYFUNCTION("""COMPUTED_VALUE"""),885.5)</f>
        <v>885.5</v>
      </c>
      <c r="F257" s="2">
        <f>IFERROR(__xludf.DUMMYFUNCTION("""COMPUTED_VALUE"""),5.588923E8)</f>
        <v>558892300</v>
      </c>
      <c r="G257" s="2">
        <f t="shared" si="1"/>
        <v>184.27</v>
      </c>
    </row>
    <row r="258" ht="15.75" customHeight="1">
      <c r="A258" s="1">
        <f>IFERROR(__xludf.DUMMYFUNCTION("""COMPUTED_VALUE"""),44229.625)</f>
        <v>44229.625</v>
      </c>
      <c r="B258" s="2">
        <f>IFERROR(__xludf.DUMMYFUNCTION("""COMPUTED_VALUE"""),895.74)</f>
        <v>895.74</v>
      </c>
      <c r="C258" s="2">
        <f>IFERROR(__xludf.DUMMYFUNCTION("""COMPUTED_VALUE"""),921.33)</f>
        <v>921.33</v>
      </c>
      <c r="D258" s="2">
        <f>IFERROR(__xludf.DUMMYFUNCTION("""COMPUTED_VALUE"""),824.08)</f>
        <v>824.08</v>
      </c>
      <c r="E258" s="2">
        <f>IFERROR(__xludf.DUMMYFUNCTION("""COMPUTED_VALUE"""),824.08)</f>
        <v>824.08</v>
      </c>
      <c r="F258" s="2">
        <f>IFERROR(__xludf.DUMMYFUNCTION("""COMPUTED_VALUE"""),1.625697E8)</f>
        <v>162569700</v>
      </c>
      <c r="G258" s="2">
        <f t="shared" si="1"/>
        <v>97.25</v>
      </c>
    </row>
    <row r="259" ht="15.75" customHeight="1">
      <c r="A259" s="1">
        <f>IFERROR(__xludf.DUMMYFUNCTION("""COMPUTED_VALUE"""),44230.625)</f>
        <v>44230.625</v>
      </c>
      <c r="B259" s="2">
        <f>IFERROR(__xludf.DUMMYFUNCTION("""COMPUTED_VALUE"""),839.43)</f>
        <v>839.43</v>
      </c>
      <c r="C259" s="2">
        <f>IFERROR(__xludf.DUMMYFUNCTION("""COMPUTED_VALUE"""),880.38)</f>
        <v>880.38</v>
      </c>
      <c r="D259" s="2">
        <f>IFERROR(__xludf.DUMMYFUNCTION("""COMPUTED_VALUE"""),772.89)</f>
        <v>772.89</v>
      </c>
      <c r="E259" s="2">
        <f>IFERROR(__xludf.DUMMYFUNCTION("""COMPUTED_VALUE"""),865.03)</f>
        <v>865.03</v>
      </c>
      <c r="F259" s="2">
        <f>IFERROR(__xludf.DUMMYFUNCTION("""COMPUTED_VALUE"""),2.044677E8)</f>
        <v>204467700</v>
      </c>
      <c r="G259" s="2">
        <f t="shared" si="1"/>
        <v>107.49</v>
      </c>
    </row>
    <row r="260" ht="15.75" customHeight="1">
      <c r="A260" s="1">
        <f>IFERROR(__xludf.DUMMYFUNCTION("""COMPUTED_VALUE"""),44231.625)</f>
        <v>44231.625</v>
      </c>
      <c r="B260" s="2">
        <f>IFERROR(__xludf.DUMMYFUNCTION("""COMPUTED_VALUE"""),890.62)</f>
        <v>890.62</v>
      </c>
      <c r="C260" s="2">
        <f>IFERROR(__xludf.DUMMYFUNCTION("""COMPUTED_VALUE"""),890.62)</f>
        <v>890.62</v>
      </c>
      <c r="D260" s="2">
        <f>IFERROR(__xludf.DUMMYFUNCTION("""COMPUTED_VALUE"""),813.84)</f>
        <v>813.84</v>
      </c>
      <c r="E260" s="2">
        <f>IFERROR(__xludf.DUMMYFUNCTION("""COMPUTED_VALUE"""),824.08)</f>
        <v>824.08</v>
      </c>
      <c r="F260" s="2">
        <f>IFERROR(__xludf.DUMMYFUNCTION("""COMPUTED_VALUE"""),1.254069E8)</f>
        <v>125406900</v>
      </c>
      <c r="G260" s="2">
        <f t="shared" si="1"/>
        <v>76.78</v>
      </c>
    </row>
    <row r="261" ht="15.75" customHeight="1">
      <c r="A261" s="1">
        <f>IFERROR(__xludf.DUMMYFUNCTION("""COMPUTED_VALUE"""),44232.625)</f>
        <v>44232.625</v>
      </c>
      <c r="B261" s="2">
        <f>IFERROR(__xludf.DUMMYFUNCTION("""COMPUTED_VALUE"""),829.2)</f>
        <v>829.2</v>
      </c>
      <c r="C261" s="2">
        <f>IFERROR(__xludf.DUMMYFUNCTION("""COMPUTED_VALUE"""),865.03)</f>
        <v>865.03</v>
      </c>
      <c r="D261" s="2">
        <f>IFERROR(__xludf.DUMMYFUNCTION("""COMPUTED_VALUE"""),808.72)</f>
        <v>808.72</v>
      </c>
      <c r="E261" s="2">
        <f>IFERROR(__xludf.DUMMYFUNCTION("""COMPUTED_VALUE"""),844.55)</f>
        <v>844.55</v>
      </c>
      <c r="F261" s="2">
        <f>IFERROR(__xludf.DUMMYFUNCTION("""COMPUTED_VALUE"""),7.25131E7)</f>
        <v>72513100</v>
      </c>
      <c r="G261" s="2">
        <f t="shared" si="1"/>
        <v>56.31</v>
      </c>
    </row>
    <row r="262" ht="15.75" customHeight="1">
      <c r="A262" s="1">
        <f>IFERROR(__xludf.DUMMYFUNCTION("""COMPUTED_VALUE"""),44235.625)</f>
        <v>44235.625</v>
      </c>
      <c r="B262" s="2">
        <f>IFERROR(__xludf.DUMMYFUNCTION("""COMPUTED_VALUE"""),859.91)</f>
        <v>859.91</v>
      </c>
      <c r="C262" s="2">
        <f>IFERROR(__xludf.DUMMYFUNCTION("""COMPUTED_VALUE"""),998.11)</f>
        <v>998.11</v>
      </c>
      <c r="D262" s="2">
        <f>IFERROR(__xludf.DUMMYFUNCTION("""COMPUTED_VALUE"""),849.67)</f>
        <v>849.67</v>
      </c>
      <c r="E262" s="2">
        <f>IFERROR(__xludf.DUMMYFUNCTION("""COMPUTED_VALUE"""),977.63)</f>
        <v>977.63</v>
      </c>
      <c r="F262" s="2">
        <f>IFERROR(__xludf.DUMMYFUNCTION("""COMPUTED_VALUE"""),4.295602E8)</f>
        <v>429560200</v>
      </c>
      <c r="G262" s="2">
        <f t="shared" si="1"/>
        <v>153.56</v>
      </c>
    </row>
    <row r="263" ht="15.75" customHeight="1">
      <c r="A263" s="1">
        <f>IFERROR(__xludf.DUMMYFUNCTION("""COMPUTED_VALUE"""),44236.625)</f>
        <v>44236.625</v>
      </c>
      <c r="B263" s="2">
        <f>IFERROR(__xludf.DUMMYFUNCTION("""COMPUTED_VALUE"""),992.99)</f>
        <v>992.99</v>
      </c>
      <c r="C263" s="2">
        <f>IFERROR(__xludf.DUMMYFUNCTION("""COMPUTED_VALUE"""),1141.42)</f>
        <v>1141.42</v>
      </c>
      <c r="D263" s="2">
        <f>IFERROR(__xludf.DUMMYFUNCTION("""COMPUTED_VALUE"""),977.63)</f>
        <v>977.63</v>
      </c>
      <c r="E263" s="2">
        <f>IFERROR(__xludf.DUMMYFUNCTION("""COMPUTED_VALUE"""),1080.0)</f>
        <v>1080</v>
      </c>
      <c r="F263" s="2">
        <f>IFERROR(__xludf.DUMMYFUNCTION("""COMPUTED_VALUE"""),8.902137E8)</f>
        <v>890213700</v>
      </c>
      <c r="G263" s="2">
        <f t="shared" si="1"/>
        <v>163.79</v>
      </c>
    </row>
    <row r="264" ht="15.75" customHeight="1">
      <c r="A264" s="1">
        <f>IFERROR(__xludf.DUMMYFUNCTION("""COMPUTED_VALUE"""),44237.625)</f>
        <v>44237.625</v>
      </c>
      <c r="B264" s="2">
        <f>IFERROR(__xludf.DUMMYFUNCTION("""COMPUTED_VALUE"""),1085.12)</f>
        <v>1085.12</v>
      </c>
      <c r="C264" s="2">
        <f>IFERROR(__xludf.DUMMYFUNCTION("""COMPUTED_VALUE"""),1100.48)</f>
        <v>1100.48</v>
      </c>
      <c r="D264" s="2">
        <f>IFERROR(__xludf.DUMMYFUNCTION("""COMPUTED_VALUE"""),1039.05)</f>
        <v>1039.05</v>
      </c>
      <c r="E264" s="2">
        <f>IFERROR(__xludf.DUMMYFUNCTION("""COMPUTED_VALUE"""),1069.76)</f>
        <v>1069.76</v>
      </c>
      <c r="F264" s="2">
        <f>IFERROR(__xludf.DUMMYFUNCTION("""COMPUTED_VALUE"""),2.381166E8)</f>
        <v>238116600</v>
      </c>
      <c r="G264" s="2">
        <f t="shared" si="1"/>
        <v>61.43</v>
      </c>
    </row>
    <row r="265" ht="15.75" customHeight="1">
      <c r="A265" s="1">
        <f>IFERROR(__xludf.DUMMYFUNCTION("""COMPUTED_VALUE"""),44238.625)</f>
        <v>44238.625</v>
      </c>
      <c r="B265" s="2">
        <f>IFERROR(__xludf.DUMMYFUNCTION("""COMPUTED_VALUE"""),1069.76)</f>
        <v>1069.76</v>
      </c>
      <c r="C265" s="2">
        <f>IFERROR(__xludf.DUMMYFUNCTION("""COMPUTED_VALUE"""),1115.83)</f>
        <v>1115.83</v>
      </c>
      <c r="D265" s="2">
        <f>IFERROR(__xludf.DUMMYFUNCTION("""COMPUTED_VALUE"""),1049.29)</f>
        <v>1049.29</v>
      </c>
      <c r="E265" s="2">
        <f>IFERROR(__xludf.DUMMYFUNCTION("""COMPUTED_VALUE"""),1080.0)</f>
        <v>1080</v>
      </c>
      <c r="F265" s="2">
        <f>IFERROR(__xludf.DUMMYFUNCTION("""COMPUTED_VALUE"""),1.808261E8)</f>
        <v>180826100</v>
      </c>
      <c r="G265" s="2">
        <f t="shared" si="1"/>
        <v>66.54</v>
      </c>
    </row>
    <row r="266" ht="15.75" customHeight="1">
      <c r="A266" s="1">
        <f>IFERROR(__xludf.DUMMYFUNCTION("""COMPUTED_VALUE"""),44242.625)</f>
        <v>44242.625</v>
      </c>
      <c r="B266" s="2">
        <f>IFERROR(__xludf.DUMMYFUNCTION("""COMPUTED_VALUE"""),1085.12)</f>
        <v>1085.12</v>
      </c>
      <c r="C266" s="2">
        <f>IFERROR(__xludf.DUMMYFUNCTION("""COMPUTED_VALUE"""),1105.59)</f>
        <v>1105.59</v>
      </c>
      <c r="D266" s="2">
        <f>IFERROR(__xludf.DUMMYFUNCTION("""COMPUTED_VALUE"""),1064.65)</f>
        <v>1064.65</v>
      </c>
      <c r="E266" s="2">
        <f>IFERROR(__xludf.DUMMYFUNCTION("""COMPUTED_VALUE"""),1069.76)</f>
        <v>1069.76</v>
      </c>
      <c r="F266" s="2">
        <f>IFERROR(__xludf.DUMMYFUNCTION("""COMPUTED_VALUE"""),8.03902E7)</f>
        <v>80390200</v>
      </c>
      <c r="G266" s="2">
        <f t="shared" si="1"/>
        <v>40.94</v>
      </c>
    </row>
    <row r="267" ht="15.75" customHeight="1">
      <c r="A267" s="1">
        <f>IFERROR(__xludf.DUMMYFUNCTION("""COMPUTED_VALUE"""),44243.625)</f>
        <v>44243.625</v>
      </c>
      <c r="B267" s="2">
        <f>IFERROR(__xludf.DUMMYFUNCTION("""COMPUTED_VALUE"""),1074.88)</f>
        <v>1074.88</v>
      </c>
      <c r="C267" s="2">
        <f>IFERROR(__xludf.DUMMYFUNCTION("""COMPUTED_VALUE"""),1187.49)</f>
        <v>1187.49</v>
      </c>
      <c r="D267" s="2">
        <f>IFERROR(__xludf.DUMMYFUNCTION("""COMPUTED_VALUE"""),1069.76)</f>
        <v>1069.76</v>
      </c>
      <c r="E267" s="2">
        <f>IFERROR(__xludf.DUMMYFUNCTION("""COMPUTED_VALUE"""),1167.02)</f>
        <v>1167.02</v>
      </c>
      <c r="F267" s="2">
        <f>IFERROR(__xludf.DUMMYFUNCTION("""COMPUTED_VALUE"""),4.276327E8)</f>
        <v>427632700</v>
      </c>
      <c r="G267" s="2">
        <f t="shared" si="1"/>
        <v>117.73</v>
      </c>
    </row>
    <row r="268" ht="15.75" customHeight="1">
      <c r="A268" s="1">
        <f>IFERROR(__xludf.DUMMYFUNCTION("""COMPUTED_VALUE"""),44244.625)</f>
        <v>44244.625</v>
      </c>
      <c r="B268" s="2">
        <f>IFERROR(__xludf.DUMMYFUNCTION("""COMPUTED_VALUE"""),1177.25)</f>
        <v>1177.25</v>
      </c>
      <c r="C268" s="2">
        <f>IFERROR(__xludf.DUMMYFUNCTION("""COMPUTED_VALUE"""),1187.49)</f>
        <v>1187.49</v>
      </c>
      <c r="D268" s="2">
        <f>IFERROR(__xludf.DUMMYFUNCTION("""COMPUTED_VALUE"""),1090.24)</f>
        <v>1090.24</v>
      </c>
      <c r="E268" s="2">
        <f>IFERROR(__xludf.DUMMYFUNCTION("""COMPUTED_VALUE"""),1100.48)</f>
        <v>1100.48</v>
      </c>
      <c r="F268" s="2">
        <f>IFERROR(__xludf.DUMMYFUNCTION("""COMPUTED_VALUE"""),2.022137E8)</f>
        <v>202213700</v>
      </c>
      <c r="G268" s="2">
        <f t="shared" si="1"/>
        <v>97.25</v>
      </c>
    </row>
    <row r="269" ht="15.75" customHeight="1">
      <c r="A269" s="1">
        <f>IFERROR(__xludf.DUMMYFUNCTION("""COMPUTED_VALUE"""),44245.625)</f>
        <v>44245.625</v>
      </c>
      <c r="B269" s="2">
        <f>IFERROR(__xludf.DUMMYFUNCTION("""COMPUTED_VALUE"""),1100.48)</f>
        <v>1100.48</v>
      </c>
      <c r="C269" s="2">
        <f>IFERROR(__xludf.DUMMYFUNCTION("""COMPUTED_VALUE"""),1161.9)</f>
        <v>1161.9</v>
      </c>
      <c r="D269" s="2">
        <f>IFERROR(__xludf.DUMMYFUNCTION("""COMPUTED_VALUE"""),1054.41)</f>
        <v>1054.41</v>
      </c>
      <c r="E269" s="2">
        <f>IFERROR(__xludf.DUMMYFUNCTION("""COMPUTED_VALUE"""),1120.95)</f>
        <v>1120.95</v>
      </c>
      <c r="F269" s="2">
        <f>IFERROR(__xludf.DUMMYFUNCTION("""COMPUTED_VALUE"""),2.270069E8)</f>
        <v>227006900</v>
      </c>
      <c r="G269" s="2">
        <f t="shared" si="1"/>
        <v>107.49</v>
      </c>
    </row>
    <row r="270" ht="15.75" customHeight="1">
      <c r="A270" s="1">
        <f>IFERROR(__xludf.DUMMYFUNCTION("""COMPUTED_VALUE"""),44246.625)</f>
        <v>44246.625</v>
      </c>
      <c r="B270" s="2">
        <f>IFERROR(__xludf.DUMMYFUNCTION("""COMPUTED_VALUE"""),1126.07)</f>
        <v>1126.07</v>
      </c>
      <c r="C270" s="2">
        <f>IFERROR(__xludf.DUMMYFUNCTION("""COMPUTED_VALUE"""),1213.08)</f>
        <v>1213.08</v>
      </c>
      <c r="D270" s="2">
        <f>IFERROR(__xludf.DUMMYFUNCTION("""COMPUTED_VALUE"""),1100.48)</f>
        <v>1100.48</v>
      </c>
      <c r="E270" s="2">
        <f>IFERROR(__xludf.DUMMYFUNCTION("""COMPUTED_VALUE"""),1187.49)</f>
        <v>1187.49</v>
      </c>
      <c r="F270" s="2">
        <f>IFERROR(__xludf.DUMMYFUNCTION("""COMPUTED_VALUE"""),3.729052E8)</f>
        <v>372905200</v>
      </c>
      <c r="G270" s="2">
        <f t="shared" si="1"/>
        <v>112.6</v>
      </c>
    </row>
    <row r="271" ht="15.75" customHeight="1">
      <c r="A271" s="1">
        <f>IFERROR(__xludf.DUMMYFUNCTION("""COMPUTED_VALUE"""),44249.625)</f>
        <v>44249.625</v>
      </c>
      <c r="B271" s="2">
        <f>IFERROR(__xludf.DUMMYFUNCTION("""COMPUTED_VALUE"""),1187.49)</f>
        <v>1187.49</v>
      </c>
      <c r="C271" s="2">
        <f>IFERROR(__xludf.DUMMYFUNCTION("""COMPUTED_VALUE"""),1341.04)</f>
        <v>1341.04</v>
      </c>
      <c r="D271" s="2">
        <f>IFERROR(__xludf.DUMMYFUNCTION("""COMPUTED_VALUE"""),1187.49)</f>
        <v>1187.49</v>
      </c>
      <c r="E271" s="2">
        <f>IFERROR(__xludf.DUMMYFUNCTION("""COMPUTED_VALUE"""),1305.22)</f>
        <v>1305.22</v>
      </c>
      <c r="F271" s="2">
        <f>IFERROR(__xludf.DUMMYFUNCTION("""COMPUTED_VALUE"""),4.949308E8)</f>
        <v>494930800</v>
      </c>
      <c r="G271" s="2">
        <f t="shared" si="1"/>
        <v>153.55</v>
      </c>
    </row>
    <row r="272" ht="15.75" customHeight="1">
      <c r="A272" s="1">
        <f>IFERROR(__xludf.DUMMYFUNCTION("""COMPUTED_VALUE"""),44250.66666666667)</f>
        <v>44250.66667</v>
      </c>
      <c r="B272" s="2">
        <f>IFERROR(__xludf.DUMMYFUNCTION("""COMPUTED_VALUE"""),1305.22)</f>
        <v>1305.22</v>
      </c>
      <c r="C272" s="2">
        <f>IFERROR(__xludf.DUMMYFUNCTION("""COMPUTED_VALUE"""),1320.57)</f>
        <v>1320.57</v>
      </c>
      <c r="D272" s="2">
        <f>IFERROR(__xludf.DUMMYFUNCTION("""COMPUTED_VALUE"""),1269.39)</f>
        <v>1269.39</v>
      </c>
      <c r="E272" s="2">
        <f>IFERROR(__xludf.DUMMYFUNCTION("""COMPUTED_VALUE"""),1289.86)</f>
        <v>1289.86</v>
      </c>
      <c r="F272" s="2">
        <f>IFERROR(__xludf.DUMMYFUNCTION("""COMPUTED_VALUE"""),1.505766E8)</f>
        <v>150576600</v>
      </c>
      <c r="G272" s="2">
        <f t="shared" si="1"/>
        <v>51.18</v>
      </c>
    </row>
    <row r="273" ht="15.75" customHeight="1">
      <c r="A273" s="1">
        <f>IFERROR(__xludf.DUMMYFUNCTION("""COMPUTED_VALUE"""),44251.625)</f>
        <v>44251.625</v>
      </c>
      <c r="B273" s="2">
        <f>IFERROR(__xludf.DUMMYFUNCTION("""COMPUTED_VALUE"""),1289.86)</f>
        <v>1289.86</v>
      </c>
      <c r="C273" s="2">
        <f>IFERROR(__xludf.DUMMYFUNCTION("""COMPUTED_VALUE"""),1479.24)</f>
        <v>1479.24</v>
      </c>
      <c r="D273" s="2">
        <f>IFERROR(__xludf.DUMMYFUNCTION("""COMPUTED_VALUE"""),1289.86)</f>
        <v>1289.86</v>
      </c>
      <c r="E273" s="2">
        <f>IFERROR(__xludf.DUMMYFUNCTION("""COMPUTED_VALUE"""),1448.53)</f>
        <v>1448.53</v>
      </c>
      <c r="F273" s="2">
        <f>IFERROR(__xludf.DUMMYFUNCTION("""COMPUTED_VALUE"""),6.544575E8)</f>
        <v>654457500</v>
      </c>
      <c r="G273" s="2">
        <f t="shared" si="1"/>
        <v>189.38</v>
      </c>
    </row>
    <row r="274" ht="15.75" customHeight="1">
      <c r="A274" s="1">
        <f>IFERROR(__xludf.DUMMYFUNCTION("""COMPUTED_VALUE"""),44252.625)</f>
        <v>44252.625</v>
      </c>
      <c r="B274" s="2">
        <f>IFERROR(__xludf.DUMMYFUNCTION("""COMPUTED_VALUE"""),1448.53)</f>
        <v>1448.53</v>
      </c>
      <c r="C274" s="2">
        <f>IFERROR(__xludf.DUMMYFUNCTION("""COMPUTED_VALUE"""),1530.43)</f>
        <v>1530.43</v>
      </c>
      <c r="D274" s="2">
        <f>IFERROR(__xludf.DUMMYFUNCTION("""COMPUTED_VALUE"""),1433.18)</f>
        <v>1433.18</v>
      </c>
      <c r="E274" s="2">
        <f>IFERROR(__xludf.DUMMYFUNCTION("""COMPUTED_VALUE"""),1443.41)</f>
        <v>1443.41</v>
      </c>
      <c r="F274" s="2">
        <f>IFERROR(__xludf.DUMMYFUNCTION("""COMPUTED_VALUE"""),3.240359E8)</f>
        <v>324035900</v>
      </c>
      <c r="G274" s="2">
        <f t="shared" si="1"/>
        <v>97.25</v>
      </c>
    </row>
    <row r="275" ht="15.75" customHeight="1">
      <c r="A275" s="1">
        <f>IFERROR(__xludf.DUMMYFUNCTION("""COMPUTED_VALUE"""),44253.625)</f>
        <v>44253.625</v>
      </c>
      <c r="B275" s="2">
        <f>IFERROR(__xludf.DUMMYFUNCTION("""COMPUTED_VALUE"""),1402.47)</f>
        <v>1402.47</v>
      </c>
      <c r="C275" s="2">
        <f>IFERROR(__xludf.DUMMYFUNCTION("""COMPUTED_VALUE"""),1479.24)</f>
        <v>1479.24</v>
      </c>
      <c r="D275" s="2">
        <f>IFERROR(__xludf.DUMMYFUNCTION("""COMPUTED_VALUE"""),1351.28)</f>
        <v>1351.28</v>
      </c>
      <c r="E275" s="2">
        <f>IFERROR(__xludf.DUMMYFUNCTION("""COMPUTED_VALUE"""),1387.11)</f>
        <v>1387.11</v>
      </c>
      <c r="F275" s="2">
        <f>IFERROR(__xludf.DUMMYFUNCTION("""COMPUTED_VALUE"""),3.230861E8)</f>
        <v>323086100</v>
      </c>
      <c r="G275" s="2">
        <f t="shared" si="1"/>
        <v>127.96</v>
      </c>
    </row>
    <row r="276" ht="15.75" customHeight="1">
      <c r="A276" s="1">
        <f>IFERROR(__xludf.DUMMYFUNCTION("""COMPUTED_VALUE"""),44256.625)</f>
        <v>44256.625</v>
      </c>
      <c r="B276" s="2">
        <f>IFERROR(__xludf.DUMMYFUNCTION("""COMPUTED_VALUE"""),1397.35)</f>
        <v>1397.35</v>
      </c>
      <c r="C276" s="2">
        <f>IFERROR(__xludf.DUMMYFUNCTION("""COMPUTED_VALUE"""),1443.41)</f>
        <v>1443.41</v>
      </c>
      <c r="D276" s="2">
        <f>IFERROR(__xludf.DUMMYFUNCTION("""COMPUTED_VALUE"""),1305.22)</f>
        <v>1305.22</v>
      </c>
      <c r="E276" s="2">
        <f>IFERROR(__xludf.DUMMYFUNCTION("""COMPUTED_VALUE"""),1407.59)</f>
        <v>1407.59</v>
      </c>
      <c r="F276" s="2">
        <f>IFERROR(__xludf.DUMMYFUNCTION("""COMPUTED_VALUE"""),2.480213E8)</f>
        <v>248021300</v>
      </c>
      <c r="G276" s="2">
        <f t="shared" si="1"/>
        <v>138.19</v>
      </c>
    </row>
    <row r="277" ht="15.75" customHeight="1">
      <c r="A277" s="1">
        <f>IFERROR(__xludf.DUMMYFUNCTION("""COMPUTED_VALUE"""),44257.625)</f>
        <v>44257.625</v>
      </c>
      <c r="B277" s="2">
        <f>IFERROR(__xludf.DUMMYFUNCTION("""COMPUTED_VALUE"""),1407.59)</f>
        <v>1407.59</v>
      </c>
      <c r="C277" s="2">
        <f>IFERROR(__xludf.DUMMYFUNCTION("""COMPUTED_VALUE"""),1448.53)</f>
        <v>1448.53</v>
      </c>
      <c r="D277" s="2">
        <f>IFERROR(__xludf.DUMMYFUNCTION("""COMPUTED_VALUE"""),1381.99)</f>
        <v>1381.99</v>
      </c>
      <c r="E277" s="2">
        <f>IFERROR(__xludf.DUMMYFUNCTION("""COMPUTED_VALUE"""),1387.11)</f>
        <v>1387.11</v>
      </c>
      <c r="F277" s="2">
        <f>IFERROR(__xludf.DUMMYFUNCTION("""COMPUTED_VALUE"""),1.318707E8)</f>
        <v>131870700</v>
      </c>
      <c r="G277" s="2">
        <f t="shared" si="1"/>
        <v>66.54</v>
      </c>
    </row>
    <row r="278" ht="15.75" customHeight="1">
      <c r="A278" s="1">
        <f>IFERROR(__xludf.DUMMYFUNCTION("""COMPUTED_VALUE"""),44258.625)</f>
        <v>44258.625</v>
      </c>
      <c r="B278" s="2">
        <f>IFERROR(__xludf.DUMMYFUNCTION("""COMPUTED_VALUE"""),1387.11)</f>
        <v>1387.11</v>
      </c>
      <c r="C278" s="2">
        <f>IFERROR(__xludf.DUMMYFUNCTION("""COMPUTED_VALUE"""),1453.65)</f>
        <v>1453.65</v>
      </c>
      <c r="D278" s="2">
        <f>IFERROR(__xludf.DUMMYFUNCTION("""COMPUTED_VALUE"""),1356.4)</f>
        <v>1356.4</v>
      </c>
      <c r="E278" s="2">
        <f>IFERROR(__xludf.DUMMYFUNCTION("""COMPUTED_VALUE"""),1376.87)</f>
        <v>1376.87</v>
      </c>
      <c r="F278" s="2">
        <f>IFERROR(__xludf.DUMMYFUNCTION("""COMPUTED_VALUE"""),1.849631E8)</f>
        <v>184963100</v>
      </c>
      <c r="G278" s="2">
        <f t="shared" si="1"/>
        <v>97.25</v>
      </c>
    </row>
    <row r="279" ht="15.75" customHeight="1">
      <c r="A279" s="1">
        <f>IFERROR(__xludf.DUMMYFUNCTION("""COMPUTED_VALUE"""),44259.625)</f>
        <v>44259.625</v>
      </c>
      <c r="B279" s="2">
        <f>IFERROR(__xludf.DUMMYFUNCTION("""COMPUTED_VALUE"""),1371.76)</f>
        <v>1371.76</v>
      </c>
      <c r="C279" s="2">
        <f>IFERROR(__xludf.DUMMYFUNCTION("""COMPUTED_VALUE"""),1392.23)</f>
        <v>1392.23</v>
      </c>
      <c r="D279" s="2">
        <f>IFERROR(__xludf.DUMMYFUNCTION("""COMPUTED_VALUE"""),1284.74)</f>
        <v>1284.74</v>
      </c>
      <c r="E279" s="2">
        <f>IFERROR(__xludf.DUMMYFUNCTION("""COMPUTED_VALUE"""),1289.86)</f>
        <v>1289.86</v>
      </c>
      <c r="F279" s="2">
        <f>IFERROR(__xludf.DUMMYFUNCTION("""COMPUTED_VALUE"""),1.812835E8)</f>
        <v>181283500</v>
      </c>
      <c r="G279" s="2">
        <f t="shared" si="1"/>
        <v>107.49</v>
      </c>
    </row>
    <row r="280" ht="15.75" customHeight="1">
      <c r="A280" s="1">
        <f>IFERROR(__xludf.DUMMYFUNCTION("""COMPUTED_VALUE"""),44260.625)</f>
        <v>44260.625</v>
      </c>
      <c r="B280" s="2">
        <f>IFERROR(__xludf.DUMMYFUNCTION("""COMPUTED_VALUE"""),1289.86)</f>
        <v>1289.86</v>
      </c>
      <c r="C280" s="2">
        <f>IFERROR(__xludf.DUMMYFUNCTION("""COMPUTED_VALUE"""),1320.57)</f>
        <v>1320.57</v>
      </c>
      <c r="D280" s="2">
        <f>IFERROR(__xludf.DUMMYFUNCTION("""COMPUTED_VALUE"""),1228.44)</f>
        <v>1228.44</v>
      </c>
      <c r="E280" s="2">
        <f>IFERROR(__xludf.DUMMYFUNCTION("""COMPUTED_VALUE"""),1243.79)</f>
        <v>1243.79</v>
      </c>
      <c r="F280" s="2">
        <f>IFERROR(__xludf.DUMMYFUNCTION("""COMPUTED_VALUE"""),1.396019E8)</f>
        <v>139601900</v>
      </c>
      <c r="G280" s="2">
        <f t="shared" si="1"/>
        <v>92.13</v>
      </c>
    </row>
    <row r="281" ht="15.75" customHeight="1">
      <c r="A281" s="1">
        <f>IFERROR(__xludf.DUMMYFUNCTION("""COMPUTED_VALUE"""),44263.66666666667)</f>
        <v>44263.66667</v>
      </c>
      <c r="B281" s="2">
        <f>IFERROR(__xludf.DUMMYFUNCTION("""COMPUTED_VALUE"""),1254.03)</f>
        <v>1254.03</v>
      </c>
      <c r="C281" s="2">
        <f>IFERROR(__xludf.DUMMYFUNCTION("""COMPUTED_VALUE"""),1305.22)</f>
        <v>1305.22</v>
      </c>
      <c r="D281" s="2">
        <f>IFERROR(__xludf.DUMMYFUNCTION("""COMPUTED_VALUE"""),1187.49)</f>
        <v>1187.49</v>
      </c>
      <c r="E281" s="2">
        <f>IFERROR(__xludf.DUMMYFUNCTION("""COMPUTED_VALUE"""),1192.61)</f>
        <v>1192.61</v>
      </c>
      <c r="F281" s="2">
        <f>IFERROR(__xludf.DUMMYFUNCTION("""COMPUTED_VALUE"""),1.158666E8)</f>
        <v>115866600</v>
      </c>
      <c r="G281" s="2">
        <f t="shared" si="1"/>
        <v>117.73</v>
      </c>
    </row>
    <row r="282" ht="15.75" customHeight="1">
      <c r="A282" s="1">
        <f>IFERROR(__xludf.DUMMYFUNCTION("""COMPUTED_VALUE"""),44264.625)</f>
        <v>44264.625</v>
      </c>
      <c r="B282" s="2">
        <f>IFERROR(__xludf.DUMMYFUNCTION("""COMPUTED_VALUE"""),1187.49)</f>
        <v>1187.49</v>
      </c>
      <c r="C282" s="2">
        <f>IFERROR(__xludf.DUMMYFUNCTION("""COMPUTED_VALUE"""),1233.56)</f>
        <v>1233.56</v>
      </c>
      <c r="D282" s="2">
        <f>IFERROR(__xludf.DUMMYFUNCTION("""COMPUTED_VALUE"""),1156.78)</f>
        <v>1156.78</v>
      </c>
      <c r="E282" s="2">
        <f>IFERROR(__xludf.DUMMYFUNCTION("""COMPUTED_VALUE"""),1187.49)</f>
        <v>1187.49</v>
      </c>
      <c r="F282" s="2">
        <f>IFERROR(__xludf.DUMMYFUNCTION("""COMPUTED_VALUE"""),1.660408E8)</f>
        <v>166040800</v>
      </c>
      <c r="G282" s="2">
        <f t="shared" si="1"/>
        <v>76.78</v>
      </c>
    </row>
    <row r="283" ht="15.75" customHeight="1">
      <c r="A283" s="1">
        <f>IFERROR(__xludf.DUMMYFUNCTION("""COMPUTED_VALUE"""),44265.625)</f>
        <v>44265.625</v>
      </c>
      <c r="B283" s="2">
        <f>IFERROR(__xludf.DUMMYFUNCTION("""COMPUTED_VALUE"""),1197.73)</f>
        <v>1197.73</v>
      </c>
      <c r="C283" s="2">
        <f>IFERROR(__xludf.DUMMYFUNCTION("""COMPUTED_VALUE"""),1223.32)</f>
        <v>1223.32</v>
      </c>
      <c r="D283" s="2">
        <f>IFERROR(__xludf.DUMMYFUNCTION("""COMPUTED_VALUE"""),1177.25)</f>
        <v>1177.25</v>
      </c>
      <c r="E283" s="2">
        <f>IFERROR(__xludf.DUMMYFUNCTION("""COMPUTED_VALUE"""),1182.37)</f>
        <v>1182.37</v>
      </c>
      <c r="F283" s="2">
        <f>IFERROR(__xludf.DUMMYFUNCTION("""COMPUTED_VALUE"""),8.64886E7)</f>
        <v>86488600</v>
      </c>
      <c r="G283" s="2">
        <f t="shared" si="1"/>
        <v>46.07</v>
      </c>
    </row>
    <row r="284" ht="15.75" customHeight="1">
      <c r="A284" s="1">
        <f>IFERROR(__xludf.DUMMYFUNCTION("""COMPUTED_VALUE"""),44267.625)</f>
        <v>44267.625</v>
      </c>
      <c r="B284" s="2">
        <f>IFERROR(__xludf.DUMMYFUNCTION("""COMPUTED_VALUE"""),1207.96)</f>
        <v>1207.96</v>
      </c>
      <c r="C284" s="2">
        <f>IFERROR(__xludf.DUMMYFUNCTION("""COMPUTED_VALUE"""),1284.74)</f>
        <v>1284.74</v>
      </c>
      <c r="D284" s="2">
        <f>IFERROR(__xludf.DUMMYFUNCTION("""COMPUTED_VALUE"""),1177.25)</f>
        <v>1177.25</v>
      </c>
      <c r="E284" s="2">
        <f>IFERROR(__xludf.DUMMYFUNCTION("""COMPUTED_VALUE"""),1274.5)</f>
        <v>1274.5</v>
      </c>
      <c r="F284" s="2">
        <f>IFERROR(__xludf.DUMMYFUNCTION("""COMPUTED_VALUE"""),1.856071E8)</f>
        <v>185607100</v>
      </c>
      <c r="G284" s="2">
        <f t="shared" si="1"/>
        <v>107.49</v>
      </c>
    </row>
    <row r="285" ht="15.75" customHeight="1">
      <c r="A285" s="1">
        <f>IFERROR(__xludf.DUMMYFUNCTION("""COMPUTED_VALUE"""),44270.625)</f>
        <v>44270.625</v>
      </c>
      <c r="B285" s="2">
        <f>IFERROR(__xludf.DUMMYFUNCTION("""COMPUTED_VALUE"""),1289.86)</f>
        <v>1289.86</v>
      </c>
      <c r="C285" s="2">
        <f>IFERROR(__xludf.DUMMYFUNCTION("""COMPUTED_VALUE"""),1341.04)</f>
        <v>1341.04</v>
      </c>
      <c r="D285" s="2">
        <f>IFERROR(__xludf.DUMMYFUNCTION("""COMPUTED_VALUE"""),1259.15)</f>
        <v>1259.15</v>
      </c>
      <c r="E285" s="2">
        <f>IFERROR(__xludf.DUMMYFUNCTION("""COMPUTED_VALUE"""),1305.22)</f>
        <v>1305.22</v>
      </c>
      <c r="F285" s="2">
        <f>IFERROR(__xludf.DUMMYFUNCTION("""COMPUTED_VALUE"""),1.921214E8)</f>
        <v>192121400</v>
      </c>
      <c r="G285" s="2">
        <f t="shared" si="1"/>
        <v>81.89</v>
      </c>
    </row>
    <row r="286" ht="15.75" customHeight="1">
      <c r="A286" s="1">
        <f>IFERROR(__xludf.DUMMYFUNCTION("""COMPUTED_VALUE"""),44271.625)</f>
        <v>44271.625</v>
      </c>
      <c r="B286" s="2">
        <f>IFERROR(__xludf.DUMMYFUNCTION("""COMPUTED_VALUE"""),1315.45)</f>
        <v>1315.45</v>
      </c>
      <c r="C286" s="2">
        <f>IFERROR(__xludf.DUMMYFUNCTION("""COMPUTED_VALUE"""),1412.7)</f>
        <v>1412.7</v>
      </c>
      <c r="D286" s="2">
        <f>IFERROR(__xludf.DUMMYFUNCTION("""COMPUTED_VALUE"""),1305.22)</f>
        <v>1305.22</v>
      </c>
      <c r="E286" s="2">
        <f>IFERROR(__xludf.DUMMYFUNCTION("""COMPUTED_VALUE"""),1366.64)</f>
        <v>1366.64</v>
      </c>
      <c r="F286" s="2">
        <f>IFERROR(__xludf.DUMMYFUNCTION("""COMPUTED_VALUE"""),3.130016E8)</f>
        <v>313001600</v>
      </c>
      <c r="G286" s="2">
        <f t="shared" si="1"/>
        <v>107.48</v>
      </c>
    </row>
    <row r="287" ht="15.75" customHeight="1">
      <c r="A287" s="1">
        <f>IFERROR(__xludf.DUMMYFUNCTION("""COMPUTED_VALUE"""),44272.625)</f>
        <v>44272.625</v>
      </c>
      <c r="B287" s="2">
        <f>IFERROR(__xludf.DUMMYFUNCTION("""COMPUTED_VALUE"""),1376.87)</f>
        <v>1376.87</v>
      </c>
      <c r="C287" s="2">
        <f>IFERROR(__xludf.DUMMYFUNCTION("""COMPUTED_VALUE"""),1412.7)</f>
        <v>1412.7</v>
      </c>
      <c r="D287" s="2">
        <f>IFERROR(__xludf.DUMMYFUNCTION("""COMPUTED_VALUE"""),1310.33)</f>
        <v>1310.33</v>
      </c>
      <c r="E287" s="2">
        <f>IFERROR(__xludf.DUMMYFUNCTION("""COMPUTED_VALUE"""),1320.57)</f>
        <v>1320.57</v>
      </c>
      <c r="F287" s="2">
        <f>IFERROR(__xludf.DUMMYFUNCTION("""COMPUTED_VALUE"""),1.342539E8)</f>
        <v>134253900</v>
      </c>
      <c r="G287" s="2">
        <f t="shared" si="1"/>
        <v>102.37</v>
      </c>
    </row>
    <row r="288" ht="15.75" customHeight="1">
      <c r="A288" s="1">
        <f>IFERROR(__xludf.DUMMYFUNCTION("""COMPUTED_VALUE"""),44273.625)</f>
        <v>44273.625</v>
      </c>
      <c r="B288" s="2">
        <f>IFERROR(__xludf.DUMMYFUNCTION("""COMPUTED_VALUE"""),1325.69)</f>
        <v>1325.69</v>
      </c>
      <c r="C288" s="2">
        <f>IFERROR(__xludf.DUMMYFUNCTION("""COMPUTED_VALUE"""),1361.52)</f>
        <v>1361.52</v>
      </c>
      <c r="D288" s="2">
        <f>IFERROR(__xludf.DUMMYFUNCTION("""COMPUTED_VALUE"""),1315.45)</f>
        <v>1315.45</v>
      </c>
      <c r="E288" s="2">
        <f>IFERROR(__xludf.DUMMYFUNCTION("""COMPUTED_VALUE"""),1325.69)</f>
        <v>1325.69</v>
      </c>
      <c r="F288" s="2">
        <f>IFERROR(__xludf.DUMMYFUNCTION("""COMPUTED_VALUE"""),1.269434E8)</f>
        <v>126943400</v>
      </c>
      <c r="G288" s="2">
        <f t="shared" si="1"/>
        <v>46.07</v>
      </c>
    </row>
    <row r="289" ht="15.75" customHeight="1">
      <c r="A289" s="1">
        <f>IFERROR(__xludf.DUMMYFUNCTION("""COMPUTED_VALUE"""),44274.625)</f>
        <v>44274.625</v>
      </c>
      <c r="B289" s="2">
        <f>IFERROR(__xludf.DUMMYFUNCTION("""COMPUTED_VALUE"""),1325.69)</f>
        <v>1325.69</v>
      </c>
      <c r="C289" s="2">
        <f>IFERROR(__xludf.DUMMYFUNCTION("""COMPUTED_VALUE"""),1325.69)</f>
        <v>1325.69</v>
      </c>
      <c r="D289" s="2">
        <f>IFERROR(__xludf.DUMMYFUNCTION("""COMPUTED_VALUE"""),1243.79)</f>
        <v>1243.79</v>
      </c>
      <c r="E289" s="2">
        <f>IFERROR(__xludf.DUMMYFUNCTION("""COMPUTED_VALUE"""),1279.62)</f>
        <v>1279.62</v>
      </c>
      <c r="F289" s="2">
        <f>IFERROR(__xludf.DUMMYFUNCTION("""COMPUTED_VALUE"""),1.121278E8)</f>
        <v>112127800</v>
      </c>
      <c r="G289" s="2">
        <f t="shared" si="1"/>
        <v>81.9</v>
      </c>
    </row>
    <row r="290" ht="15.75" customHeight="1">
      <c r="A290" s="1">
        <f>IFERROR(__xludf.DUMMYFUNCTION("""COMPUTED_VALUE"""),44277.625)</f>
        <v>44277.625</v>
      </c>
      <c r="B290" s="2">
        <f>IFERROR(__xludf.DUMMYFUNCTION("""COMPUTED_VALUE"""),1300.1)</f>
        <v>1300.1</v>
      </c>
      <c r="C290" s="2">
        <f>IFERROR(__xludf.DUMMYFUNCTION("""COMPUTED_VALUE"""),1305.22)</f>
        <v>1305.22</v>
      </c>
      <c r="D290" s="2">
        <f>IFERROR(__xludf.DUMMYFUNCTION("""COMPUTED_VALUE"""),1264.27)</f>
        <v>1264.27</v>
      </c>
      <c r="E290" s="2">
        <f>IFERROR(__xludf.DUMMYFUNCTION("""COMPUTED_VALUE"""),1274.5)</f>
        <v>1274.5</v>
      </c>
      <c r="F290" s="2">
        <f>IFERROR(__xludf.DUMMYFUNCTION("""COMPUTED_VALUE"""),6.09282E7)</f>
        <v>60928200</v>
      </c>
      <c r="G290" s="2">
        <f t="shared" si="1"/>
        <v>40.95</v>
      </c>
    </row>
    <row r="291" ht="15.75" customHeight="1">
      <c r="A291" s="1">
        <f>IFERROR(__xludf.DUMMYFUNCTION("""COMPUTED_VALUE"""),44278.625)</f>
        <v>44278.625</v>
      </c>
      <c r="B291" s="2">
        <f>IFERROR(__xludf.DUMMYFUNCTION("""COMPUTED_VALUE"""),1284.74)</f>
        <v>1284.74</v>
      </c>
      <c r="C291" s="2">
        <f>IFERROR(__xludf.DUMMYFUNCTION("""COMPUTED_VALUE"""),1294.98)</f>
        <v>1294.98</v>
      </c>
      <c r="D291" s="2">
        <f>IFERROR(__xludf.DUMMYFUNCTION("""COMPUTED_VALUE"""),1202.85)</f>
        <v>1202.85</v>
      </c>
      <c r="E291" s="2">
        <f>IFERROR(__xludf.DUMMYFUNCTION("""COMPUTED_VALUE"""),1228.44)</f>
        <v>1228.44</v>
      </c>
      <c r="F291" s="2">
        <f>IFERROR(__xludf.DUMMYFUNCTION("""COMPUTED_VALUE"""),9.26608E7)</f>
        <v>92660800</v>
      </c>
      <c r="G291" s="2">
        <f t="shared" si="1"/>
        <v>92.13</v>
      </c>
    </row>
    <row r="292" ht="15.75" customHeight="1">
      <c r="A292" s="1">
        <f>IFERROR(__xludf.DUMMYFUNCTION("""COMPUTED_VALUE"""),44279.625)</f>
        <v>44279.625</v>
      </c>
      <c r="B292" s="2">
        <f>IFERROR(__xludf.DUMMYFUNCTION("""COMPUTED_VALUE"""),1223.32)</f>
        <v>1223.32</v>
      </c>
      <c r="C292" s="2">
        <f>IFERROR(__xludf.DUMMYFUNCTION("""COMPUTED_VALUE"""),1248.91)</f>
        <v>1248.91</v>
      </c>
      <c r="D292" s="2">
        <f>IFERROR(__xludf.DUMMYFUNCTION("""COMPUTED_VALUE"""),1187.49)</f>
        <v>1187.49</v>
      </c>
      <c r="E292" s="2">
        <f>IFERROR(__xludf.DUMMYFUNCTION("""COMPUTED_VALUE"""),1192.61)</f>
        <v>1192.61</v>
      </c>
      <c r="F292" s="2">
        <f>IFERROR(__xludf.DUMMYFUNCTION("""COMPUTED_VALUE"""),8.33257E7)</f>
        <v>83325700</v>
      </c>
      <c r="G292" s="2">
        <f t="shared" si="1"/>
        <v>61.42</v>
      </c>
    </row>
    <row r="293" ht="15.75" customHeight="1">
      <c r="A293" s="1">
        <f>IFERROR(__xludf.DUMMYFUNCTION("""COMPUTED_VALUE"""),44280.625)</f>
        <v>44280.625</v>
      </c>
      <c r="B293" s="2">
        <f>IFERROR(__xludf.DUMMYFUNCTION("""COMPUTED_VALUE"""),1182.37)</f>
        <v>1182.37</v>
      </c>
      <c r="C293" s="2">
        <f>IFERROR(__xludf.DUMMYFUNCTION("""COMPUTED_VALUE"""),1202.85)</f>
        <v>1202.85</v>
      </c>
      <c r="D293" s="2">
        <f>IFERROR(__xludf.DUMMYFUNCTION("""COMPUTED_VALUE"""),1110.71)</f>
        <v>1110.71</v>
      </c>
      <c r="E293" s="2">
        <f>IFERROR(__xludf.DUMMYFUNCTION("""COMPUTED_VALUE"""),1110.71)</f>
        <v>1110.71</v>
      </c>
      <c r="F293" s="2">
        <f>IFERROR(__xludf.DUMMYFUNCTION("""COMPUTED_VALUE"""),1.769435E8)</f>
        <v>176943500</v>
      </c>
      <c r="G293" s="2">
        <f t="shared" si="1"/>
        <v>92.14</v>
      </c>
    </row>
    <row r="294" ht="15.75" customHeight="1">
      <c r="A294" s="1">
        <f>IFERROR(__xludf.DUMMYFUNCTION("""COMPUTED_VALUE"""),44281.625)</f>
        <v>44281.625</v>
      </c>
      <c r="B294" s="2">
        <f>IFERROR(__xludf.DUMMYFUNCTION("""COMPUTED_VALUE"""),1110.71)</f>
        <v>1110.71</v>
      </c>
      <c r="C294" s="2">
        <f>IFERROR(__xludf.DUMMYFUNCTION("""COMPUTED_VALUE"""),1172.13)</f>
        <v>1172.13</v>
      </c>
      <c r="D294" s="2">
        <f>IFERROR(__xludf.DUMMYFUNCTION("""COMPUTED_VALUE"""),1059.53)</f>
        <v>1059.53</v>
      </c>
      <c r="E294" s="2">
        <f>IFERROR(__xludf.DUMMYFUNCTION("""COMPUTED_VALUE"""),1141.42)</f>
        <v>1141.42</v>
      </c>
      <c r="F294" s="2">
        <f>IFERROR(__xludf.DUMMYFUNCTION("""COMPUTED_VALUE"""),1.665664E8)</f>
        <v>166566400</v>
      </c>
      <c r="G294" s="2">
        <f t="shared" si="1"/>
        <v>112.6</v>
      </c>
    </row>
    <row r="295" ht="15.75" customHeight="1">
      <c r="A295" s="1">
        <f>IFERROR(__xludf.DUMMYFUNCTION("""COMPUTED_VALUE"""),44284.625)</f>
        <v>44284.625</v>
      </c>
      <c r="B295" s="2">
        <f>IFERROR(__xludf.DUMMYFUNCTION("""COMPUTED_VALUE"""),1151.66)</f>
        <v>1151.66</v>
      </c>
      <c r="C295" s="2">
        <f>IFERROR(__xludf.DUMMYFUNCTION("""COMPUTED_VALUE"""),1161.9)</f>
        <v>1161.9</v>
      </c>
      <c r="D295" s="2">
        <f>IFERROR(__xludf.DUMMYFUNCTION("""COMPUTED_VALUE"""),1100.48)</f>
        <v>1100.48</v>
      </c>
      <c r="E295" s="2">
        <f>IFERROR(__xludf.DUMMYFUNCTION("""COMPUTED_VALUE"""),1105.59)</f>
        <v>1105.59</v>
      </c>
      <c r="F295" s="2">
        <f>IFERROR(__xludf.DUMMYFUNCTION("""COMPUTED_VALUE"""),6.02413E7)</f>
        <v>60241300</v>
      </c>
      <c r="G295" s="2">
        <f t="shared" si="1"/>
        <v>61.42</v>
      </c>
    </row>
    <row r="296" ht="15.75" customHeight="1">
      <c r="A296" s="1">
        <f>IFERROR(__xludf.DUMMYFUNCTION("""COMPUTED_VALUE"""),44285.625)</f>
        <v>44285.625</v>
      </c>
      <c r="B296" s="2">
        <f>IFERROR(__xludf.DUMMYFUNCTION("""COMPUTED_VALUE"""),1110.71)</f>
        <v>1110.71</v>
      </c>
      <c r="C296" s="2">
        <f>IFERROR(__xludf.DUMMYFUNCTION("""COMPUTED_VALUE"""),1156.78)</f>
        <v>1156.78</v>
      </c>
      <c r="D296" s="2">
        <f>IFERROR(__xludf.DUMMYFUNCTION("""COMPUTED_VALUE"""),1080.0)</f>
        <v>1080</v>
      </c>
      <c r="E296" s="2">
        <f>IFERROR(__xludf.DUMMYFUNCTION("""COMPUTED_VALUE"""),1085.12)</f>
        <v>1085.12</v>
      </c>
      <c r="F296" s="2">
        <f>IFERROR(__xludf.DUMMYFUNCTION("""COMPUTED_VALUE"""),6.83368E7)</f>
        <v>68336800</v>
      </c>
      <c r="G296" s="2">
        <f t="shared" si="1"/>
        <v>76.78</v>
      </c>
    </row>
    <row r="297" ht="15.75" customHeight="1">
      <c r="A297" s="1">
        <f>IFERROR(__xludf.DUMMYFUNCTION("""COMPUTED_VALUE"""),44286.625)</f>
        <v>44286.625</v>
      </c>
      <c r="B297" s="2">
        <f>IFERROR(__xludf.DUMMYFUNCTION("""COMPUTED_VALUE"""),1085.12)</f>
        <v>1085.12</v>
      </c>
      <c r="C297" s="2">
        <f>IFERROR(__xludf.DUMMYFUNCTION("""COMPUTED_VALUE"""),1095.36)</f>
        <v>1095.36</v>
      </c>
      <c r="D297" s="2">
        <f>IFERROR(__xludf.DUMMYFUNCTION("""COMPUTED_VALUE"""),1013.46)</f>
        <v>1013.46</v>
      </c>
      <c r="E297" s="2">
        <f>IFERROR(__xludf.DUMMYFUNCTION("""COMPUTED_VALUE"""),1044.17)</f>
        <v>1044.17</v>
      </c>
      <c r="F297" s="2">
        <f>IFERROR(__xludf.DUMMYFUNCTION("""COMPUTED_VALUE"""),1.273316E8)</f>
        <v>127331600</v>
      </c>
      <c r="G297" s="2">
        <f t="shared" si="1"/>
        <v>81.9</v>
      </c>
    </row>
    <row r="298" ht="15.75" customHeight="1">
      <c r="A298" s="1">
        <f>IFERROR(__xludf.DUMMYFUNCTION("""COMPUTED_VALUE"""),44287.625)</f>
        <v>44287.625</v>
      </c>
      <c r="B298" s="2">
        <f>IFERROR(__xludf.DUMMYFUNCTION("""COMPUTED_VALUE"""),1049.29)</f>
        <v>1049.29</v>
      </c>
      <c r="C298" s="2">
        <f>IFERROR(__xludf.DUMMYFUNCTION("""COMPUTED_VALUE"""),1110.71)</f>
        <v>1110.71</v>
      </c>
      <c r="D298" s="2">
        <f>IFERROR(__xludf.DUMMYFUNCTION("""COMPUTED_VALUE"""),1039.05)</f>
        <v>1039.05</v>
      </c>
      <c r="E298" s="2">
        <f>IFERROR(__xludf.DUMMYFUNCTION("""COMPUTED_VALUE"""),1100.48)</f>
        <v>1100.48</v>
      </c>
      <c r="F298" s="2">
        <f>IFERROR(__xludf.DUMMYFUNCTION("""COMPUTED_VALUE"""),1.102428E8)</f>
        <v>110242800</v>
      </c>
      <c r="G298" s="2">
        <f t="shared" si="1"/>
        <v>71.66</v>
      </c>
    </row>
    <row r="299" ht="15.75" customHeight="1">
      <c r="A299" s="1">
        <f>IFERROR(__xludf.DUMMYFUNCTION("""COMPUTED_VALUE"""),44291.625)</f>
        <v>44291.625</v>
      </c>
      <c r="B299" s="2">
        <f>IFERROR(__xludf.DUMMYFUNCTION("""COMPUTED_VALUE"""),1100.48)</f>
        <v>1100.48</v>
      </c>
      <c r="C299" s="2">
        <f>IFERROR(__xludf.DUMMYFUNCTION("""COMPUTED_VALUE"""),1126.07)</f>
        <v>1126.07</v>
      </c>
      <c r="D299" s="2">
        <f>IFERROR(__xludf.DUMMYFUNCTION("""COMPUTED_VALUE"""),1064.65)</f>
        <v>1064.65</v>
      </c>
      <c r="E299" s="2">
        <f>IFERROR(__xludf.DUMMYFUNCTION("""COMPUTED_VALUE"""),1090.24)</f>
        <v>1090.24</v>
      </c>
      <c r="F299" s="2">
        <f>IFERROR(__xludf.DUMMYFUNCTION("""COMPUTED_VALUE"""),7.61896E7)</f>
        <v>76189600</v>
      </c>
      <c r="G299" s="2">
        <f t="shared" si="1"/>
        <v>61.42</v>
      </c>
    </row>
    <row r="300" ht="15.75" customHeight="1">
      <c r="A300" s="1">
        <f>IFERROR(__xludf.DUMMYFUNCTION("""COMPUTED_VALUE"""),44292.625)</f>
        <v>44292.625</v>
      </c>
      <c r="B300" s="2">
        <f>IFERROR(__xludf.DUMMYFUNCTION("""COMPUTED_VALUE"""),1095.36)</f>
        <v>1095.36</v>
      </c>
      <c r="C300" s="2">
        <f>IFERROR(__xludf.DUMMYFUNCTION("""COMPUTED_VALUE"""),1115.83)</f>
        <v>1115.83</v>
      </c>
      <c r="D300" s="2">
        <f>IFERROR(__xludf.DUMMYFUNCTION("""COMPUTED_VALUE"""),1080.0)</f>
        <v>1080</v>
      </c>
      <c r="E300" s="2">
        <f>IFERROR(__xludf.DUMMYFUNCTION("""COMPUTED_VALUE"""),1095.36)</f>
        <v>1095.36</v>
      </c>
      <c r="F300" s="2">
        <f>IFERROR(__xludf.DUMMYFUNCTION("""COMPUTED_VALUE"""),4.59015E7)</f>
        <v>45901500</v>
      </c>
      <c r="G300" s="2">
        <f t="shared" si="1"/>
        <v>35.83</v>
      </c>
    </row>
    <row r="301" ht="15.75" customHeight="1">
      <c r="A301" s="1">
        <f>IFERROR(__xludf.DUMMYFUNCTION("""COMPUTED_VALUE"""),44293.625)</f>
        <v>44293.625</v>
      </c>
      <c r="B301" s="2">
        <f>IFERROR(__xludf.DUMMYFUNCTION("""COMPUTED_VALUE"""),1100.48)</f>
        <v>1100.48</v>
      </c>
      <c r="C301" s="2">
        <f>IFERROR(__xludf.DUMMYFUNCTION("""COMPUTED_VALUE"""),1105.59)</f>
        <v>1105.59</v>
      </c>
      <c r="D301" s="2">
        <f>IFERROR(__xludf.DUMMYFUNCTION("""COMPUTED_VALUE"""),1054.41)</f>
        <v>1054.41</v>
      </c>
      <c r="E301" s="2">
        <f>IFERROR(__xludf.DUMMYFUNCTION("""COMPUTED_VALUE"""),1064.65)</f>
        <v>1064.65</v>
      </c>
      <c r="F301" s="2">
        <f>IFERROR(__xludf.DUMMYFUNCTION("""COMPUTED_VALUE"""),5.09755E7)</f>
        <v>50975500</v>
      </c>
      <c r="G301" s="2">
        <f t="shared" si="1"/>
        <v>51.18</v>
      </c>
    </row>
    <row r="302" ht="15.75" customHeight="1">
      <c r="A302" s="1">
        <f>IFERROR(__xludf.DUMMYFUNCTION("""COMPUTED_VALUE"""),44294.625)</f>
        <v>44294.625</v>
      </c>
      <c r="B302" s="2">
        <f>IFERROR(__xludf.DUMMYFUNCTION("""COMPUTED_VALUE"""),1069.76)</f>
        <v>1069.76</v>
      </c>
      <c r="C302" s="2">
        <f>IFERROR(__xludf.DUMMYFUNCTION("""COMPUTED_VALUE"""),1110.71)</f>
        <v>1110.71</v>
      </c>
      <c r="D302" s="2">
        <f>IFERROR(__xludf.DUMMYFUNCTION("""COMPUTED_VALUE"""),1023.7)</f>
        <v>1023.7</v>
      </c>
      <c r="E302" s="2">
        <f>IFERROR(__xludf.DUMMYFUNCTION("""COMPUTED_VALUE"""),1090.24)</f>
        <v>1090.24</v>
      </c>
      <c r="F302" s="2">
        <f>IFERROR(__xludf.DUMMYFUNCTION("""COMPUTED_VALUE"""),1.660969E8)</f>
        <v>166096900</v>
      </c>
      <c r="G302" s="2">
        <f t="shared" si="1"/>
        <v>87.01</v>
      </c>
    </row>
    <row r="303" ht="15.75" customHeight="1">
      <c r="A303" s="1">
        <f>IFERROR(__xludf.DUMMYFUNCTION("""COMPUTED_VALUE"""),44295.625)</f>
        <v>44295.625</v>
      </c>
      <c r="B303" s="2">
        <f>IFERROR(__xludf.DUMMYFUNCTION("""COMPUTED_VALUE"""),1090.24)</f>
        <v>1090.24</v>
      </c>
      <c r="C303" s="2">
        <f>IFERROR(__xludf.DUMMYFUNCTION("""COMPUTED_VALUE"""),1141.42)</f>
        <v>1141.42</v>
      </c>
      <c r="D303" s="2">
        <f>IFERROR(__xludf.DUMMYFUNCTION("""COMPUTED_VALUE"""),1069.76)</f>
        <v>1069.76</v>
      </c>
      <c r="E303" s="2">
        <f>IFERROR(__xludf.DUMMYFUNCTION("""COMPUTED_VALUE"""),1080.0)</f>
        <v>1080</v>
      </c>
      <c r="F303" s="2">
        <f>IFERROR(__xludf.DUMMYFUNCTION("""COMPUTED_VALUE"""),1.258271E8)</f>
        <v>125827100</v>
      </c>
      <c r="G303" s="2">
        <f t="shared" si="1"/>
        <v>71.66</v>
      </c>
    </row>
    <row r="304" ht="15.75" customHeight="1">
      <c r="A304" s="1">
        <f>IFERROR(__xludf.DUMMYFUNCTION("""COMPUTED_VALUE"""),44298.625)</f>
        <v>44298.625</v>
      </c>
      <c r="B304" s="2">
        <f>IFERROR(__xludf.DUMMYFUNCTION("""COMPUTED_VALUE"""),1080.0)</f>
        <v>1080</v>
      </c>
      <c r="C304" s="2">
        <f>IFERROR(__xludf.DUMMYFUNCTION("""COMPUTED_VALUE"""),1095.36)</f>
        <v>1095.36</v>
      </c>
      <c r="D304" s="2">
        <f>IFERROR(__xludf.DUMMYFUNCTION("""COMPUTED_VALUE"""),1028.82)</f>
        <v>1028.82</v>
      </c>
      <c r="E304" s="2">
        <f>IFERROR(__xludf.DUMMYFUNCTION("""COMPUTED_VALUE"""),1033.94)</f>
        <v>1033.94</v>
      </c>
      <c r="F304" s="2">
        <f>IFERROR(__xludf.DUMMYFUNCTION("""COMPUTED_VALUE"""),5.94174E7)</f>
        <v>59417400</v>
      </c>
      <c r="G304" s="2">
        <f t="shared" si="1"/>
        <v>66.54</v>
      </c>
    </row>
    <row r="305" ht="15.75" customHeight="1">
      <c r="A305" s="1">
        <f>IFERROR(__xludf.DUMMYFUNCTION("""COMPUTED_VALUE"""),44299.625)</f>
        <v>44299.625</v>
      </c>
      <c r="B305" s="2">
        <f>IFERROR(__xludf.DUMMYFUNCTION("""COMPUTED_VALUE"""),1018.58)</f>
        <v>1018.58</v>
      </c>
      <c r="C305" s="2">
        <f>IFERROR(__xludf.DUMMYFUNCTION("""COMPUTED_VALUE"""),1039.05)</f>
        <v>1039.05</v>
      </c>
      <c r="D305" s="2">
        <f>IFERROR(__xludf.DUMMYFUNCTION("""COMPUTED_VALUE"""),998.11)</f>
        <v>998.11</v>
      </c>
      <c r="E305" s="2">
        <f>IFERROR(__xludf.DUMMYFUNCTION("""COMPUTED_VALUE"""),1018.58)</f>
        <v>1018.58</v>
      </c>
      <c r="F305" s="2">
        <f>IFERROR(__xludf.DUMMYFUNCTION("""COMPUTED_VALUE"""),7.82544E7)</f>
        <v>78254400</v>
      </c>
      <c r="G305" s="2">
        <f t="shared" si="1"/>
        <v>40.94</v>
      </c>
    </row>
    <row r="306" ht="15.75" customHeight="1">
      <c r="A306" s="1">
        <f>IFERROR(__xludf.DUMMYFUNCTION("""COMPUTED_VALUE"""),44300.625)</f>
        <v>44300.625</v>
      </c>
      <c r="B306" s="2">
        <f>IFERROR(__xludf.DUMMYFUNCTION("""COMPUTED_VALUE"""),1018.58)</f>
        <v>1018.58</v>
      </c>
      <c r="C306" s="2">
        <f>IFERROR(__xludf.DUMMYFUNCTION("""COMPUTED_VALUE"""),1054.41)</f>
        <v>1054.41</v>
      </c>
      <c r="D306" s="2">
        <f>IFERROR(__xludf.DUMMYFUNCTION("""COMPUTED_VALUE"""),1018.58)</f>
        <v>1018.58</v>
      </c>
      <c r="E306" s="2">
        <f>IFERROR(__xludf.DUMMYFUNCTION("""COMPUTED_VALUE"""),1044.17)</f>
        <v>1044.17</v>
      </c>
      <c r="F306" s="2">
        <f>IFERROR(__xludf.DUMMYFUNCTION("""COMPUTED_VALUE"""),6.7307E7)</f>
        <v>67307000</v>
      </c>
      <c r="G306" s="2">
        <f t="shared" si="1"/>
        <v>35.83</v>
      </c>
    </row>
    <row r="307" ht="15.75" customHeight="1">
      <c r="A307" s="1">
        <f>IFERROR(__xludf.DUMMYFUNCTION("""COMPUTED_VALUE"""),44301.625)</f>
        <v>44301.625</v>
      </c>
      <c r="B307" s="2">
        <f>IFERROR(__xludf.DUMMYFUNCTION("""COMPUTED_VALUE"""),1049.29)</f>
        <v>1049.29</v>
      </c>
      <c r="C307" s="2">
        <f>IFERROR(__xludf.DUMMYFUNCTION("""COMPUTED_VALUE"""),1054.41)</f>
        <v>1054.41</v>
      </c>
      <c r="D307" s="2">
        <f>IFERROR(__xludf.DUMMYFUNCTION("""COMPUTED_VALUE"""),1013.46)</f>
        <v>1013.46</v>
      </c>
      <c r="E307" s="2">
        <f>IFERROR(__xludf.DUMMYFUNCTION("""COMPUTED_VALUE"""),1018.58)</f>
        <v>1018.58</v>
      </c>
      <c r="F307" s="2">
        <f>IFERROR(__xludf.DUMMYFUNCTION("""COMPUTED_VALUE"""),4.90094E7)</f>
        <v>49009400</v>
      </c>
      <c r="G307" s="2">
        <f t="shared" si="1"/>
        <v>40.95</v>
      </c>
    </row>
    <row r="308" ht="15.75" customHeight="1">
      <c r="A308" s="1">
        <f>IFERROR(__xludf.DUMMYFUNCTION("""COMPUTED_VALUE"""),44302.625)</f>
        <v>44302.625</v>
      </c>
      <c r="B308" s="2">
        <f>IFERROR(__xludf.DUMMYFUNCTION("""COMPUTED_VALUE"""),1023.7)</f>
        <v>1023.7</v>
      </c>
      <c r="C308" s="2">
        <f>IFERROR(__xludf.DUMMYFUNCTION("""COMPUTED_VALUE"""),1054.41)</f>
        <v>1054.41</v>
      </c>
      <c r="D308" s="2">
        <f>IFERROR(__xludf.DUMMYFUNCTION("""COMPUTED_VALUE"""),1018.58)</f>
        <v>1018.58</v>
      </c>
      <c r="E308" s="2">
        <f>IFERROR(__xludf.DUMMYFUNCTION("""COMPUTED_VALUE"""),1028.82)</f>
        <v>1028.82</v>
      </c>
      <c r="F308" s="2">
        <f>IFERROR(__xludf.DUMMYFUNCTION("""COMPUTED_VALUE"""),5.86378E7)</f>
        <v>58637800</v>
      </c>
      <c r="G308" s="2">
        <f t="shared" si="1"/>
        <v>35.83</v>
      </c>
    </row>
    <row r="309" ht="15.75" customHeight="1">
      <c r="A309" s="1">
        <f>IFERROR(__xludf.DUMMYFUNCTION("""COMPUTED_VALUE"""),44305.625)</f>
        <v>44305.625</v>
      </c>
      <c r="B309" s="2">
        <f>IFERROR(__xludf.DUMMYFUNCTION("""COMPUTED_VALUE"""),1033.94)</f>
        <v>1033.94</v>
      </c>
      <c r="C309" s="2">
        <f>IFERROR(__xludf.DUMMYFUNCTION("""COMPUTED_VALUE"""),1064.65)</f>
        <v>1064.65</v>
      </c>
      <c r="D309" s="2">
        <f>IFERROR(__xludf.DUMMYFUNCTION("""COMPUTED_VALUE"""),1023.7)</f>
        <v>1023.7</v>
      </c>
      <c r="E309" s="2">
        <f>IFERROR(__xludf.DUMMYFUNCTION("""COMPUTED_VALUE"""),1028.82)</f>
        <v>1028.82</v>
      </c>
      <c r="F309" s="2">
        <f>IFERROR(__xludf.DUMMYFUNCTION("""COMPUTED_VALUE"""),1.027835E8)</f>
        <v>102783500</v>
      </c>
      <c r="G309" s="2">
        <f t="shared" si="1"/>
        <v>40.95</v>
      </c>
    </row>
    <row r="310" ht="15.75" customHeight="1">
      <c r="A310" s="1">
        <f>IFERROR(__xludf.DUMMYFUNCTION("""COMPUTED_VALUE"""),44306.625)</f>
        <v>44306.625</v>
      </c>
      <c r="B310" s="2">
        <f>IFERROR(__xludf.DUMMYFUNCTION("""COMPUTED_VALUE"""),1028.82)</f>
        <v>1028.82</v>
      </c>
      <c r="C310" s="2">
        <f>IFERROR(__xludf.DUMMYFUNCTION("""COMPUTED_VALUE"""),1039.05)</f>
        <v>1039.05</v>
      </c>
      <c r="D310" s="2">
        <f>IFERROR(__xludf.DUMMYFUNCTION("""COMPUTED_VALUE"""),1018.58)</f>
        <v>1018.58</v>
      </c>
      <c r="E310" s="2">
        <f>IFERROR(__xludf.DUMMYFUNCTION("""COMPUTED_VALUE"""),1023.7)</f>
        <v>1023.7</v>
      </c>
      <c r="F310" s="2">
        <f>IFERROR(__xludf.DUMMYFUNCTION("""COMPUTED_VALUE"""),3.0665E7)</f>
        <v>30665000</v>
      </c>
      <c r="G310" s="2">
        <f t="shared" si="1"/>
        <v>20.47</v>
      </c>
    </row>
    <row r="311" ht="15.75" customHeight="1">
      <c r="A311" s="1">
        <f>IFERROR(__xludf.DUMMYFUNCTION("""COMPUTED_VALUE"""),44307.625)</f>
        <v>44307.625</v>
      </c>
      <c r="B311" s="2">
        <f>IFERROR(__xludf.DUMMYFUNCTION("""COMPUTED_VALUE"""),1023.7)</f>
        <v>1023.7</v>
      </c>
      <c r="C311" s="2">
        <f>IFERROR(__xludf.DUMMYFUNCTION("""COMPUTED_VALUE"""),1028.82)</f>
        <v>1028.82</v>
      </c>
      <c r="D311" s="2">
        <f>IFERROR(__xludf.DUMMYFUNCTION("""COMPUTED_VALUE"""),1013.46)</f>
        <v>1013.46</v>
      </c>
      <c r="E311" s="2">
        <f>IFERROR(__xludf.DUMMYFUNCTION("""COMPUTED_VALUE"""),1018.58)</f>
        <v>1018.58</v>
      </c>
      <c r="F311" s="2">
        <f>IFERROR(__xludf.DUMMYFUNCTION("""COMPUTED_VALUE"""),2.90123E7)</f>
        <v>29012300</v>
      </c>
      <c r="G311" s="2">
        <f t="shared" si="1"/>
        <v>15.36</v>
      </c>
    </row>
    <row r="312" ht="15.75" customHeight="1">
      <c r="A312" s="1">
        <f>IFERROR(__xludf.DUMMYFUNCTION("""COMPUTED_VALUE"""),44308.625)</f>
        <v>44308.625</v>
      </c>
      <c r="B312" s="2">
        <f>IFERROR(__xludf.DUMMYFUNCTION("""COMPUTED_VALUE"""),1028.82)</f>
        <v>1028.82</v>
      </c>
      <c r="C312" s="2">
        <f>IFERROR(__xludf.DUMMYFUNCTION("""COMPUTED_VALUE"""),1033.94)</f>
        <v>1033.94</v>
      </c>
      <c r="D312" s="2">
        <f>IFERROR(__xludf.DUMMYFUNCTION("""COMPUTED_VALUE"""),1018.58)</f>
        <v>1018.58</v>
      </c>
      <c r="E312" s="2">
        <f>IFERROR(__xludf.DUMMYFUNCTION("""COMPUTED_VALUE"""),1023.7)</f>
        <v>1023.7</v>
      </c>
      <c r="F312" s="2">
        <f>IFERROR(__xludf.DUMMYFUNCTION("""COMPUTED_VALUE"""),3.50819E7)</f>
        <v>35081900</v>
      </c>
      <c r="G312" s="2">
        <f t="shared" si="1"/>
        <v>15.36</v>
      </c>
    </row>
    <row r="313" ht="15.75" customHeight="1">
      <c r="A313" s="1">
        <f>IFERROR(__xludf.DUMMYFUNCTION("""COMPUTED_VALUE"""),44309.625)</f>
        <v>44309.625</v>
      </c>
      <c r="B313" s="2">
        <f>IFERROR(__xludf.DUMMYFUNCTION("""COMPUTED_VALUE"""),1023.7)</f>
        <v>1023.7</v>
      </c>
      <c r="C313" s="2">
        <f>IFERROR(__xludf.DUMMYFUNCTION("""COMPUTED_VALUE"""),1033.94)</f>
        <v>1033.94</v>
      </c>
      <c r="D313" s="2">
        <f>IFERROR(__xludf.DUMMYFUNCTION("""COMPUTED_VALUE"""),1023.7)</f>
        <v>1023.7</v>
      </c>
      <c r="E313" s="2">
        <f>IFERROR(__xludf.DUMMYFUNCTION("""COMPUTED_VALUE"""),1028.82)</f>
        <v>1028.82</v>
      </c>
      <c r="F313" s="2">
        <f>IFERROR(__xludf.DUMMYFUNCTION("""COMPUTED_VALUE"""),3.28502E7)</f>
        <v>32850200</v>
      </c>
      <c r="G313" s="2">
        <f t="shared" si="1"/>
        <v>10.24</v>
      </c>
    </row>
    <row r="314" ht="15.75" customHeight="1">
      <c r="A314" s="1">
        <f>IFERROR(__xludf.DUMMYFUNCTION("""COMPUTED_VALUE"""),44312.625)</f>
        <v>44312.625</v>
      </c>
      <c r="B314" s="2">
        <f>IFERROR(__xludf.DUMMYFUNCTION("""COMPUTED_VALUE"""),1033.94)</f>
        <v>1033.94</v>
      </c>
      <c r="C314" s="2">
        <f>IFERROR(__xludf.DUMMYFUNCTION("""COMPUTED_VALUE"""),1039.05)</f>
        <v>1039.05</v>
      </c>
      <c r="D314" s="2">
        <f>IFERROR(__xludf.DUMMYFUNCTION("""COMPUTED_VALUE"""),1013.46)</f>
        <v>1013.46</v>
      </c>
      <c r="E314" s="2">
        <f>IFERROR(__xludf.DUMMYFUNCTION("""COMPUTED_VALUE"""),1018.58)</f>
        <v>1018.58</v>
      </c>
      <c r="F314" s="2">
        <f>IFERROR(__xludf.DUMMYFUNCTION("""COMPUTED_VALUE"""),2.28438E7)</f>
        <v>22843800</v>
      </c>
      <c r="G314" s="2">
        <f t="shared" si="1"/>
        <v>25.59</v>
      </c>
    </row>
    <row r="315" ht="15.75" customHeight="1">
      <c r="A315" s="1">
        <f>IFERROR(__xludf.DUMMYFUNCTION("""COMPUTED_VALUE"""),44313.625)</f>
        <v>44313.625</v>
      </c>
      <c r="B315" s="2">
        <f>IFERROR(__xludf.DUMMYFUNCTION("""COMPUTED_VALUE"""),1018.58)</f>
        <v>1018.58</v>
      </c>
      <c r="C315" s="2">
        <f>IFERROR(__xludf.DUMMYFUNCTION("""COMPUTED_VALUE"""),1023.7)</f>
        <v>1023.7</v>
      </c>
      <c r="D315" s="2">
        <f>IFERROR(__xludf.DUMMYFUNCTION("""COMPUTED_VALUE"""),952.04)</f>
        <v>952.04</v>
      </c>
      <c r="E315" s="2">
        <f>IFERROR(__xludf.DUMMYFUNCTION("""COMPUTED_VALUE"""),957.16)</f>
        <v>957.16</v>
      </c>
      <c r="F315" s="2">
        <f>IFERROR(__xludf.DUMMYFUNCTION("""COMPUTED_VALUE"""),1.137124E8)</f>
        <v>113712400</v>
      </c>
      <c r="G315" s="2">
        <f t="shared" si="1"/>
        <v>71.66</v>
      </c>
    </row>
    <row r="316" ht="15.75" customHeight="1">
      <c r="A316" s="1">
        <f>IFERROR(__xludf.DUMMYFUNCTION("""COMPUTED_VALUE"""),44314.625)</f>
        <v>44314.625</v>
      </c>
      <c r="B316" s="2">
        <f>IFERROR(__xludf.DUMMYFUNCTION("""COMPUTED_VALUE"""),957.16)</f>
        <v>957.16</v>
      </c>
      <c r="C316" s="2">
        <f>IFERROR(__xludf.DUMMYFUNCTION("""COMPUTED_VALUE"""),967.39)</f>
        <v>967.39</v>
      </c>
      <c r="D316" s="2">
        <f>IFERROR(__xludf.DUMMYFUNCTION("""COMPUTED_VALUE"""),921.33)</f>
        <v>921.33</v>
      </c>
      <c r="E316" s="2">
        <f>IFERROR(__xludf.DUMMYFUNCTION("""COMPUTED_VALUE"""),931.57)</f>
        <v>931.57</v>
      </c>
      <c r="F316" s="2">
        <f>IFERROR(__xludf.DUMMYFUNCTION("""COMPUTED_VALUE"""),6.41895E7)</f>
        <v>64189500</v>
      </c>
      <c r="G316" s="2">
        <f t="shared" si="1"/>
        <v>46.06</v>
      </c>
    </row>
    <row r="317" ht="15.75" customHeight="1">
      <c r="A317" s="1">
        <f>IFERROR(__xludf.DUMMYFUNCTION("""COMPUTED_VALUE"""),44315.625)</f>
        <v>44315.625</v>
      </c>
      <c r="B317" s="2">
        <f>IFERROR(__xludf.DUMMYFUNCTION("""COMPUTED_VALUE"""),941.8)</f>
        <v>941.8</v>
      </c>
      <c r="C317" s="2">
        <f>IFERROR(__xludf.DUMMYFUNCTION("""COMPUTED_VALUE"""),967.39)</f>
        <v>967.39</v>
      </c>
      <c r="D317" s="2">
        <f>IFERROR(__xludf.DUMMYFUNCTION("""COMPUTED_VALUE"""),926.45)</f>
        <v>926.45</v>
      </c>
      <c r="E317" s="2">
        <f>IFERROR(__xludf.DUMMYFUNCTION("""COMPUTED_VALUE"""),957.16)</f>
        <v>957.16</v>
      </c>
      <c r="F317" s="2">
        <f>IFERROR(__xludf.DUMMYFUNCTION("""COMPUTED_VALUE"""),7.24795E7)</f>
        <v>72479500</v>
      </c>
      <c r="G317" s="2">
        <f t="shared" si="1"/>
        <v>40.94</v>
      </c>
    </row>
    <row r="318" ht="15.75" customHeight="1">
      <c r="A318" s="1">
        <f>IFERROR(__xludf.DUMMYFUNCTION("""COMPUTED_VALUE"""),44316.625)</f>
        <v>44316.625</v>
      </c>
      <c r="B318" s="2">
        <f>IFERROR(__xludf.DUMMYFUNCTION("""COMPUTED_VALUE"""),962.28)</f>
        <v>962.28</v>
      </c>
      <c r="C318" s="2">
        <f>IFERROR(__xludf.DUMMYFUNCTION("""COMPUTED_VALUE"""),967.39)</f>
        <v>967.39</v>
      </c>
      <c r="D318" s="2">
        <f>IFERROR(__xludf.DUMMYFUNCTION("""COMPUTED_VALUE"""),936.68)</f>
        <v>936.68</v>
      </c>
      <c r="E318" s="2">
        <f>IFERROR(__xludf.DUMMYFUNCTION("""COMPUTED_VALUE"""),941.8)</f>
        <v>941.8</v>
      </c>
      <c r="F318" s="2">
        <f>IFERROR(__xludf.DUMMYFUNCTION("""COMPUTED_VALUE"""),2.99651E7)</f>
        <v>29965100</v>
      </c>
      <c r="G318" s="2">
        <f t="shared" si="1"/>
        <v>30.71</v>
      </c>
    </row>
    <row r="319" ht="15.75" customHeight="1">
      <c r="A319" s="1">
        <f>IFERROR(__xludf.DUMMYFUNCTION("""COMPUTED_VALUE"""),44319.66666666667)</f>
        <v>44319.66667</v>
      </c>
      <c r="B319" s="2">
        <f>IFERROR(__xludf.DUMMYFUNCTION("""COMPUTED_VALUE"""),941.8)</f>
        <v>941.8</v>
      </c>
      <c r="C319" s="2">
        <f>IFERROR(__xludf.DUMMYFUNCTION("""COMPUTED_VALUE"""),946.92)</f>
        <v>946.92</v>
      </c>
      <c r="D319" s="2">
        <f>IFERROR(__xludf.DUMMYFUNCTION("""COMPUTED_VALUE"""),900.85)</f>
        <v>900.85</v>
      </c>
      <c r="E319" s="2">
        <f>IFERROR(__xludf.DUMMYFUNCTION("""COMPUTED_VALUE"""),900.85)</f>
        <v>900.85</v>
      </c>
      <c r="F319" s="2">
        <f>IFERROR(__xludf.DUMMYFUNCTION("""COMPUTED_VALUE"""),5.61928E7)</f>
        <v>56192800</v>
      </c>
      <c r="G319" s="2">
        <f t="shared" si="1"/>
        <v>46.07</v>
      </c>
    </row>
    <row r="320" ht="15.75" customHeight="1">
      <c r="A320" s="1">
        <f>IFERROR(__xludf.DUMMYFUNCTION("""COMPUTED_VALUE"""),44320.66666666667)</f>
        <v>44320.66667</v>
      </c>
      <c r="B320" s="2">
        <f>IFERROR(__xludf.DUMMYFUNCTION("""COMPUTED_VALUE"""),905.97)</f>
        <v>905.97</v>
      </c>
      <c r="C320" s="2">
        <f>IFERROR(__xludf.DUMMYFUNCTION("""COMPUTED_VALUE"""),946.92)</f>
        <v>946.92</v>
      </c>
      <c r="D320" s="2">
        <f>IFERROR(__xludf.DUMMYFUNCTION("""COMPUTED_VALUE"""),900.85)</f>
        <v>900.85</v>
      </c>
      <c r="E320" s="2">
        <f>IFERROR(__xludf.DUMMYFUNCTION("""COMPUTED_VALUE"""),931.57)</f>
        <v>931.57</v>
      </c>
      <c r="F320" s="2">
        <f>IFERROR(__xludf.DUMMYFUNCTION("""COMPUTED_VALUE"""),6.10768E7)</f>
        <v>61076800</v>
      </c>
      <c r="G320" s="2">
        <f t="shared" si="1"/>
        <v>46.07</v>
      </c>
    </row>
    <row r="321" ht="15.75" customHeight="1">
      <c r="A321" s="1">
        <f>IFERROR(__xludf.DUMMYFUNCTION("""COMPUTED_VALUE"""),44321.625)</f>
        <v>44321.625</v>
      </c>
      <c r="B321" s="2">
        <f>IFERROR(__xludf.DUMMYFUNCTION("""COMPUTED_VALUE"""),931.57)</f>
        <v>931.57</v>
      </c>
      <c r="C321" s="2">
        <f>IFERROR(__xludf.DUMMYFUNCTION("""COMPUTED_VALUE"""),977.63)</f>
        <v>977.63</v>
      </c>
      <c r="D321" s="2">
        <f>IFERROR(__xludf.DUMMYFUNCTION("""COMPUTED_VALUE"""),921.33)</f>
        <v>921.33</v>
      </c>
      <c r="E321" s="2">
        <f>IFERROR(__xludf.DUMMYFUNCTION("""COMPUTED_VALUE"""),952.04)</f>
        <v>952.04</v>
      </c>
      <c r="F321" s="2">
        <f>IFERROR(__xludf.DUMMYFUNCTION("""COMPUTED_VALUE"""),5.95435E7)</f>
        <v>59543500</v>
      </c>
      <c r="G321" s="2">
        <f t="shared" si="1"/>
        <v>56.3</v>
      </c>
    </row>
    <row r="322" ht="15.75" customHeight="1">
      <c r="A322" s="1">
        <f>IFERROR(__xludf.DUMMYFUNCTION("""COMPUTED_VALUE"""),44322.625)</f>
        <v>44322.625</v>
      </c>
      <c r="B322" s="2">
        <f>IFERROR(__xludf.DUMMYFUNCTION("""COMPUTED_VALUE"""),957.16)</f>
        <v>957.16</v>
      </c>
      <c r="C322" s="2">
        <f>IFERROR(__xludf.DUMMYFUNCTION("""COMPUTED_VALUE"""),982.75)</f>
        <v>982.75</v>
      </c>
      <c r="D322" s="2">
        <f>IFERROR(__xludf.DUMMYFUNCTION("""COMPUTED_VALUE"""),931.57)</f>
        <v>931.57</v>
      </c>
      <c r="E322" s="2">
        <f>IFERROR(__xludf.DUMMYFUNCTION("""COMPUTED_VALUE"""),962.28)</f>
        <v>962.28</v>
      </c>
      <c r="F322" s="2">
        <f>IFERROR(__xludf.DUMMYFUNCTION("""COMPUTED_VALUE"""),9.68487E7)</f>
        <v>96848700</v>
      </c>
      <c r="G322" s="2">
        <f t="shared" si="1"/>
        <v>51.18</v>
      </c>
    </row>
    <row r="323" ht="15.75" customHeight="1">
      <c r="A323" s="1">
        <f>IFERROR(__xludf.DUMMYFUNCTION("""COMPUTED_VALUE"""),44323.625)</f>
        <v>44323.625</v>
      </c>
      <c r="B323" s="2">
        <f>IFERROR(__xludf.DUMMYFUNCTION("""COMPUTED_VALUE"""),962.28)</f>
        <v>962.28</v>
      </c>
      <c r="C323" s="2">
        <f>IFERROR(__xludf.DUMMYFUNCTION("""COMPUTED_VALUE"""),972.51)</f>
        <v>972.51</v>
      </c>
      <c r="D323" s="2">
        <f>IFERROR(__xludf.DUMMYFUNCTION("""COMPUTED_VALUE"""),931.57)</f>
        <v>931.57</v>
      </c>
      <c r="E323" s="2">
        <f>IFERROR(__xludf.DUMMYFUNCTION("""COMPUTED_VALUE"""),931.57)</f>
        <v>931.57</v>
      </c>
      <c r="F323" s="2">
        <f>IFERROR(__xludf.DUMMYFUNCTION("""COMPUTED_VALUE"""),3.76599E7)</f>
        <v>37659900</v>
      </c>
      <c r="G323" s="2">
        <f t="shared" si="1"/>
        <v>40.94</v>
      </c>
    </row>
    <row r="324" ht="15.75" customHeight="1">
      <c r="A324" s="1">
        <f>IFERROR(__xludf.DUMMYFUNCTION("""COMPUTED_VALUE"""),44326.66666666667)</f>
        <v>44326.66667</v>
      </c>
      <c r="B324" s="2">
        <f>IFERROR(__xludf.DUMMYFUNCTION("""COMPUTED_VALUE"""),931.57)</f>
        <v>931.57</v>
      </c>
      <c r="C324" s="2">
        <f>IFERROR(__xludf.DUMMYFUNCTION("""COMPUTED_VALUE"""),946.92)</f>
        <v>946.92</v>
      </c>
      <c r="D324" s="2">
        <f>IFERROR(__xludf.DUMMYFUNCTION("""COMPUTED_VALUE"""),926.45)</f>
        <v>926.45</v>
      </c>
      <c r="E324" s="2">
        <f>IFERROR(__xludf.DUMMYFUNCTION("""COMPUTED_VALUE"""),936.68)</f>
        <v>936.68</v>
      </c>
      <c r="F324" s="2">
        <f>IFERROR(__xludf.DUMMYFUNCTION("""COMPUTED_VALUE"""),1.90147E7)</f>
        <v>19014700</v>
      </c>
      <c r="G324" s="2">
        <f t="shared" si="1"/>
        <v>20.47</v>
      </c>
    </row>
    <row r="325" ht="15.75" customHeight="1">
      <c r="A325" s="1">
        <f>IFERROR(__xludf.DUMMYFUNCTION("""COMPUTED_VALUE"""),44327.66666666667)</f>
        <v>44327.66667</v>
      </c>
      <c r="B325" s="2">
        <f>IFERROR(__xludf.DUMMYFUNCTION("""COMPUTED_VALUE"""),931.57)</f>
        <v>931.57</v>
      </c>
      <c r="C325" s="2">
        <f>IFERROR(__xludf.DUMMYFUNCTION("""COMPUTED_VALUE"""),946.92)</f>
        <v>946.92</v>
      </c>
      <c r="D325" s="2">
        <f>IFERROR(__xludf.DUMMYFUNCTION("""COMPUTED_VALUE"""),916.21)</f>
        <v>916.21</v>
      </c>
      <c r="E325" s="2">
        <f>IFERROR(__xludf.DUMMYFUNCTION("""COMPUTED_VALUE"""),936.68)</f>
        <v>936.68</v>
      </c>
      <c r="F325" s="2">
        <f>IFERROR(__xludf.DUMMYFUNCTION("""COMPUTED_VALUE"""),2.47468E7)</f>
        <v>24746800</v>
      </c>
      <c r="G325" s="2">
        <f t="shared" si="1"/>
        <v>30.71</v>
      </c>
    </row>
    <row r="326" ht="15.75" customHeight="1">
      <c r="A326" s="1">
        <f>IFERROR(__xludf.DUMMYFUNCTION("""COMPUTED_VALUE"""),44333.625)</f>
        <v>44333.625</v>
      </c>
      <c r="B326" s="2">
        <f>IFERROR(__xludf.DUMMYFUNCTION("""COMPUTED_VALUE"""),941.8)</f>
        <v>941.8</v>
      </c>
      <c r="C326" s="2">
        <f>IFERROR(__xludf.DUMMYFUNCTION("""COMPUTED_VALUE"""),941.8)</f>
        <v>941.8</v>
      </c>
      <c r="D326" s="2">
        <f>IFERROR(__xludf.DUMMYFUNCTION("""COMPUTED_VALUE"""),900.85)</f>
        <v>900.85</v>
      </c>
      <c r="E326" s="2">
        <f>IFERROR(__xludf.DUMMYFUNCTION("""COMPUTED_VALUE"""),900.85)</f>
        <v>900.85</v>
      </c>
      <c r="F326" s="2">
        <f>IFERROR(__xludf.DUMMYFUNCTION("""COMPUTED_VALUE"""),4.01798E7)</f>
        <v>40179800</v>
      </c>
      <c r="G326" s="2">
        <f t="shared" si="1"/>
        <v>40.95</v>
      </c>
    </row>
    <row r="327" ht="15.75" customHeight="1">
      <c r="A327" s="1">
        <f>IFERROR(__xludf.DUMMYFUNCTION("""COMPUTED_VALUE"""),44334.625)</f>
        <v>44334.625</v>
      </c>
      <c r="B327" s="2">
        <f>IFERROR(__xludf.DUMMYFUNCTION("""COMPUTED_VALUE"""),900.85)</f>
        <v>900.85</v>
      </c>
      <c r="C327" s="2">
        <f>IFERROR(__xludf.DUMMYFUNCTION("""COMPUTED_VALUE"""),921.33)</f>
        <v>921.33</v>
      </c>
      <c r="D327" s="2">
        <f>IFERROR(__xludf.DUMMYFUNCTION("""COMPUTED_VALUE"""),854.79)</f>
        <v>854.79</v>
      </c>
      <c r="E327" s="2">
        <f>IFERROR(__xludf.DUMMYFUNCTION("""COMPUTED_VALUE"""),885.5)</f>
        <v>885.5</v>
      </c>
      <c r="F327" s="2">
        <f>IFERROR(__xludf.DUMMYFUNCTION("""COMPUTED_VALUE"""),3.31318E7)</f>
        <v>33131800</v>
      </c>
      <c r="G327" s="2">
        <f t="shared" si="1"/>
        <v>66.54</v>
      </c>
    </row>
    <row r="328" ht="15.75" customHeight="1">
      <c r="A328" s="1">
        <f>IFERROR(__xludf.DUMMYFUNCTION("""COMPUTED_VALUE"""),44335.625)</f>
        <v>44335.625</v>
      </c>
      <c r="B328" s="2">
        <f>IFERROR(__xludf.DUMMYFUNCTION("""COMPUTED_VALUE"""),885.5)</f>
        <v>885.5</v>
      </c>
      <c r="C328" s="2">
        <f>IFERROR(__xludf.DUMMYFUNCTION("""COMPUTED_VALUE"""),895.74)</f>
        <v>895.74</v>
      </c>
      <c r="D328" s="2">
        <f>IFERROR(__xludf.DUMMYFUNCTION("""COMPUTED_VALUE"""),854.79)</f>
        <v>854.79</v>
      </c>
      <c r="E328" s="2">
        <f>IFERROR(__xludf.DUMMYFUNCTION("""COMPUTED_VALUE"""),859.91)</f>
        <v>859.91</v>
      </c>
      <c r="F328" s="2">
        <f>IFERROR(__xludf.DUMMYFUNCTION("""COMPUTED_VALUE"""),3.2014E7)</f>
        <v>32014000</v>
      </c>
      <c r="G328" s="2">
        <f t="shared" si="1"/>
        <v>40.95</v>
      </c>
    </row>
    <row r="329" ht="15.75" customHeight="1">
      <c r="A329" s="1">
        <f>IFERROR(__xludf.DUMMYFUNCTION("""COMPUTED_VALUE"""),44336.625)</f>
        <v>44336.625</v>
      </c>
      <c r="B329" s="2">
        <f>IFERROR(__xludf.DUMMYFUNCTION("""COMPUTED_VALUE"""),859.91)</f>
        <v>859.91</v>
      </c>
      <c r="C329" s="2">
        <f>IFERROR(__xludf.DUMMYFUNCTION("""COMPUTED_VALUE"""),890.62)</f>
        <v>890.62</v>
      </c>
      <c r="D329" s="2">
        <f>IFERROR(__xludf.DUMMYFUNCTION("""COMPUTED_VALUE"""),849.67)</f>
        <v>849.67</v>
      </c>
      <c r="E329" s="2">
        <f>IFERROR(__xludf.DUMMYFUNCTION("""COMPUTED_VALUE"""),865.03)</f>
        <v>865.03</v>
      </c>
      <c r="F329" s="2">
        <f>IFERROR(__xludf.DUMMYFUNCTION("""COMPUTED_VALUE"""),2.77751E7)</f>
        <v>27775100</v>
      </c>
      <c r="G329" s="2">
        <f t="shared" si="1"/>
        <v>40.95</v>
      </c>
    </row>
    <row r="330" ht="15.75" customHeight="1">
      <c r="A330" s="1">
        <f>IFERROR(__xludf.DUMMYFUNCTION("""COMPUTED_VALUE"""),44337.625)</f>
        <v>44337.625</v>
      </c>
      <c r="B330" s="2">
        <f>IFERROR(__xludf.DUMMYFUNCTION("""COMPUTED_VALUE"""),865.03)</f>
        <v>865.03</v>
      </c>
      <c r="C330" s="2">
        <f>IFERROR(__xludf.DUMMYFUNCTION("""COMPUTED_VALUE"""),875.26)</f>
        <v>875.26</v>
      </c>
      <c r="D330" s="2">
        <f>IFERROR(__xludf.DUMMYFUNCTION("""COMPUTED_VALUE"""),834.31)</f>
        <v>834.31</v>
      </c>
      <c r="E330" s="2">
        <f>IFERROR(__xludf.DUMMYFUNCTION("""COMPUTED_VALUE"""),844.55)</f>
        <v>844.55</v>
      </c>
      <c r="F330" s="2">
        <f>IFERROR(__xludf.DUMMYFUNCTION("""COMPUTED_VALUE"""),3.24598E7)</f>
        <v>32459800</v>
      </c>
      <c r="G330" s="2">
        <f t="shared" si="1"/>
        <v>40.95</v>
      </c>
    </row>
    <row r="331" ht="15.75" customHeight="1">
      <c r="A331" s="1">
        <f>IFERROR(__xludf.DUMMYFUNCTION("""COMPUTED_VALUE"""),44340.625)</f>
        <v>44340.625</v>
      </c>
      <c r="B331" s="2">
        <f>IFERROR(__xludf.DUMMYFUNCTION("""COMPUTED_VALUE"""),849.67)</f>
        <v>849.67</v>
      </c>
      <c r="C331" s="2">
        <f>IFERROR(__xludf.DUMMYFUNCTION("""COMPUTED_VALUE"""),859.91)</f>
        <v>859.91</v>
      </c>
      <c r="D331" s="2">
        <f>IFERROR(__xludf.DUMMYFUNCTION("""COMPUTED_VALUE"""),824.08)</f>
        <v>824.08</v>
      </c>
      <c r="E331" s="2">
        <f>IFERROR(__xludf.DUMMYFUNCTION("""COMPUTED_VALUE"""),824.08)</f>
        <v>824.08</v>
      </c>
      <c r="F331" s="2">
        <f>IFERROR(__xludf.DUMMYFUNCTION("""COMPUTED_VALUE"""),3.3371E7)</f>
        <v>33371000</v>
      </c>
      <c r="G331" s="2">
        <f t="shared" si="1"/>
        <v>35.83</v>
      </c>
    </row>
    <row r="332" ht="15.75" customHeight="1">
      <c r="A332" s="1">
        <f>IFERROR(__xludf.DUMMYFUNCTION("""COMPUTED_VALUE"""),44341.625)</f>
        <v>44341.625</v>
      </c>
      <c r="B332" s="2">
        <f>IFERROR(__xludf.DUMMYFUNCTION("""COMPUTED_VALUE"""),824.08)</f>
        <v>824.08</v>
      </c>
      <c r="C332" s="2">
        <f>IFERROR(__xludf.DUMMYFUNCTION("""COMPUTED_VALUE"""),880.38)</f>
        <v>880.38</v>
      </c>
      <c r="D332" s="2">
        <f>IFERROR(__xludf.DUMMYFUNCTION("""COMPUTED_VALUE"""),818.96)</f>
        <v>818.96</v>
      </c>
      <c r="E332" s="2">
        <f>IFERROR(__xludf.DUMMYFUNCTION("""COMPUTED_VALUE"""),859.91)</f>
        <v>859.91</v>
      </c>
      <c r="F332" s="2">
        <f>IFERROR(__xludf.DUMMYFUNCTION("""COMPUTED_VALUE"""),5.10269E7)</f>
        <v>51026900</v>
      </c>
      <c r="G332" s="2">
        <f t="shared" si="1"/>
        <v>61.42</v>
      </c>
    </row>
    <row r="333" ht="15.75" customHeight="1">
      <c r="A333" s="1">
        <f>IFERROR(__xludf.DUMMYFUNCTION("""COMPUTED_VALUE"""),44343.625)</f>
        <v>44343.625</v>
      </c>
      <c r="B333" s="2">
        <f>IFERROR(__xludf.DUMMYFUNCTION("""COMPUTED_VALUE"""),859.91)</f>
        <v>859.91</v>
      </c>
      <c r="C333" s="2">
        <f>IFERROR(__xludf.DUMMYFUNCTION("""COMPUTED_VALUE"""),895.74)</f>
        <v>895.74</v>
      </c>
      <c r="D333" s="2">
        <f>IFERROR(__xludf.DUMMYFUNCTION("""COMPUTED_VALUE"""),859.91)</f>
        <v>859.91</v>
      </c>
      <c r="E333" s="2">
        <f>IFERROR(__xludf.DUMMYFUNCTION("""COMPUTED_VALUE"""),859.91)</f>
        <v>859.91</v>
      </c>
      <c r="F333" s="2">
        <f>IFERROR(__xludf.DUMMYFUNCTION("""COMPUTED_VALUE"""),4.24755E7)</f>
        <v>42475500</v>
      </c>
      <c r="G333" s="2">
        <f t="shared" si="1"/>
        <v>35.83</v>
      </c>
    </row>
    <row r="334" ht="15.75" customHeight="1">
      <c r="A334" s="1">
        <f>IFERROR(__xludf.DUMMYFUNCTION("""COMPUTED_VALUE"""),44344.625)</f>
        <v>44344.625</v>
      </c>
      <c r="B334" s="2">
        <f>IFERROR(__xludf.DUMMYFUNCTION("""COMPUTED_VALUE"""),859.91)</f>
        <v>859.91</v>
      </c>
      <c r="C334" s="2">
        <f>IFERROR(__xludf.DUMMYFUNCTION("""COMPUTED_VALUE"""),911.09)</f>
        <v>911.09</v>
      </c>
      <c r="D334" s="2">
        <f>IFERROR(__xludf.DUMMYFUNCTION("""COMPUTED_VALUE"""),859.91)</f>
        <v>859.91</v>
      </c>
      <c r="E334" s="2">
        <f>IFERROR(__xludf.DUMMYFUNCTION("""COMPUTED_VALUE"""),900.85)</f>
        <v>900.85</v>
      </c>
      <c r="F334" s="2">
        <f>IFERROR(__xludf.DUMMYFUNCTION("""COMPUTED_VALUE"""),4.99616E7)</f>
        <v>49961600</v>
      </c>
      <c r="G334" s="2">
        <f t="shared" si="1"/>
        <v>51.18</v>
      </c>
    </row>
    <row r="335" ht="15.75" customHeight="1">
      <c r="A335" s="1">
        <f>IFERROR(__xludf.DUMMYFUNCTION("""COMPUTED_VALUE"""),44347.625)</f>
        <v>44347.625</v>
      </c>
      <c r="B335" s="2">
        <f>IFERROR(__xludf.DUMMYFUNCTION("""COMPUTED_VALUE"""),911.09)</f>
        <v>911.09</v>
      </c>
      <c r="C335" s="2">
        <f>IFERROR(__xludf.DUMMYFUNCTION("""COMPUTED_VALUE"""),957.16)</f>
        <v>957.16</v>
      </c>
      <c r="D335" s="2">
        <f>IFERROR(__xludf.DUMMYFUNCTION("""COMPUTED_VALUE"""),885.5)</f>
        <v>885.5</v>
      </c>
      <c r="E335" s="2">
        <f>IFERROR(__xludf.DUMMYFUNCTION("""COMPUTED_VALUE"""),941.8)</f>
        <v>941.8</v>
      </c>
      <c r="F335" s="2">
        <f>IFERROR(__xludf.DUMMYFUNCTION("""COMPUTED_VALUE"""),6.10906E7)</f>
        <v>61090600</v>
      </c>
      <c r="G335" s="2">
        <f t="shared" si="1"/>
        <v>71.66</v>
      </c>
    </row>
    <row r="336" ht="15.75" customHeight="1">
      <c r="A336" s="1">
        <f>IFERROR(__xludf.DUMMYFUNCTION("""COMPUTED_VALUE"""),44349.625)</f>
        <v>44349.625</v>
      </c>
      <c r="B336" s="2">
        <f>IFERROR(__xludf.DUMMYFUNCTION("""COMPUTED_VALUE"""),952.04)</f>
        <v>952.04</v>
      </c>
      <c r="C336" s="2">
        <f>IFERROR(__xludf.DUMMYFUNCTION("""COMPUTED_VALUE"""),992.99)</f>
        <v>992.99</v>
      </c>
      <c r="D336" s="2">
        <f>IFERROR(__xludf.DUMMYFUNCTION("""COMPUTED_VALUE"""),941.8)</f>
        <v>941.8</v>
      </c>
      <c r="E336" s="2">
        <f>IFERROR(__xludf.DUMMYFUNCTION("""COMPUTED_VALUE"""),972.51)</f>
        <v>972.51</v>
      </c>
      <c r="F336" s="2">
        <f>IFERROR(__xludf.DUMMYFUNCTION("""COMPUTED_VALUE"""),7.14117E7)</f>
        <v>71411700</v>
      </c>
      <c r="G336" s="2">
        <f t="shared" si="1"/>
        <v>51.19</v>
      </c>
    </row>
    <row r="337" ht="15.75" customHeight="1">
      <c r="A337" s="1">
        <f>IFERROR(__xludf.DUMMYFUNCTION("""COMPUTED_VALUE"""),44350.625)</f>
        <v>44350.625</v>
      </c>
      <c r="B337" s="2">
        <f>IFERROR(__xludf.DUMMYFUNCTION("""COMPUTED_VALUE"""),972.51)</f>
        <v>972.51</v>
      </c>
      <c r="C337" s="2">
        <f>IFERROR(__xludf.DUMMYFUNCTION("""COMPUTED_VALUE"""),987.87)</f>
        <v>987.87</v>
      </c>
      <c r="D337" s="2">
        <f>IFERROR(__xludf.DUMMYFUNCTION("""COMPUTED_VALUE"""),952.04)</f>
        <v>952.04</v>
      </c>
      <c r="E337" s="2">
        <f>IFERROR(__xludf.DUMMYFUNCTION("""COMPUTED_VALUE"""),957.16)</f>
        <v>957.16</v>
      </c>
      <c r="F337" s="2">
        <f>IFERROR(__xludf.DUMMYFUNCTION("""COMPUTED_VALUE"""),2.71035E7)</f>
        <v>27103500</v>
      </c>
      <c r="G337" s="2">
        <f t="shared" si="1"/>
        <v>35.83</v>
      </c>
    </row>
    <row r="338" ht="15.75" customHeight="1">
      <c r="A338" s="1">
        <f>IFERROR(__xludf.DUMMYFUNCTION("""COMPUTED_VALUE"""),44351.625)</f>
        <v>44351.625</v>
      </c>
      <c r="B338" s="2">
        <f>IFERROR(__xludf.DUMMYFUNCTION("""COMPUTED_VALUE"""),962.28)</f>
        <v>962.28</v>
      </c>
      <c r="C338" s="2">
        <f>IFERROR(__xludf.DUMMYFUNCTION("""COMPUTED_VALUE"""),1033.94)</f>
        <v>1033.94</v>
      </c>
      <c r="D338" s="2">
        <f>IFERROR(__xludf.DUMMYFUNCTION("""COMPUTED_VALUE"""),952.04)</f>
        <v>952.04</v>
      </c>
      <c r="E338" s="2">
        <f>IFERROR(__xludf.DUMMYFUNCTION("""COMPUTED_VALUE"""),987.87)</f>
        <v>987.87</v>
      </c>
      <c r="F338" s="2">
        <f>IFERROR(__xludf.DUMMYFUNCTION("""COMPUTED_VALUE"""),1.822831E8)</f>
        <v>182283100</v>
      </c>
      <c r="G338" s="2">
        <f t="shared" si="1"/>
        <v>81.9</v>
      </c>
    </row>
    <row r="339" ht="15.75" customHeight="1">
      <c r="A339" s="1">
        <f>IFERROR(__xludf.DUMMYFUNCTION("""COMPUTED_VALUE"""),44354.625)</f>
        <v>44354.625</v>
      </c>
      <c r="B339" s="2">
        <f>IFERROR(__xludf.DUMMYFUNCTION("""COMPUTED_VALUE"""),1003.22)</f>
        <v>1003.22</v>
      </c>
      <c r="C339" s="2">
        <f>IFERROR(__xludf.DUMMYFUNCTION("""COMPUTED_VALUE"""),1033.94)</f>
        <v>1033.94</v>
      </c>
      <c r="D339" s="2">
        <f>IFERROR(__xludf.DUMMYFUNCTION("""COMPUTED_VALUE"""),982.75)</f>
        <v>982.75</v>
      </c>
      <c r="E339" s="2">
        <f>IFERROR(__xludf.DUMMYFUNCTION("""COMPUTED_VALUE"""),987.87)</f>
        <v>987.87</v>
      </c>
      <c r="F339" s="2">
        <f>IFERROR(__xludf.DUMMYFUNCTION("""COMPUTED_VALUE"""),9.35955E7)</f>
        <v>93595500</v>
      </c>
      <c r="G339" s="2">
        <f t="shared" si="1"/>
        <v>51.19</v>
      </c>
    </row>
    <row r="340" ht="15.75" customHeight="1">
      <c r="A340" s="1">
        <f>IFERROR(__xludf.DUMMYFUNCTION("""COMPUTED_VALUE"""),44355.625)</f>
        <v>44355.625</v>
      </c>
      <c r="B340" s="2">
        <f>IFERROR(__xludf.DUMMYFUNCTION("""COMPUTED_VALUE"""),987.87)</f>
        <v>987.87</v>
      </c>
      <c r="C340" s="2">
        <f>IFERROR(__xludf.DUMMYFUNCTION("""COMPUTED_VALUE"""),1003.22)</f>
        <v>1003.22</v>
      </c>
      <c r="D340" s="2">
        <f>IFERROR(__xludf.DUMMYFUNCTION("""COMPUTED_VALUE"""),936.68)</f>
        <v>936.68</v>
      </c>
      <c r="E340" s="2">
        <f>IFERROR(__xludf.DUMMYFUNCTION("""COMPUTED_VALUE"""),987.87)</f>
        <v>987.87</v>
      </c>
      <c r="F340" s="2">
        <f>IFERROR(__xludf.DUMMYFUNCTION("""COMPUTED_VALUE"""),6.45778E7)</f>
        <v>64577800</v>
      </c>
      <c r="G340" s="2">
        <f t="shared" si="1"/>
        <v>66.54</v>
      </c>
    </row>
    <row r="341" ht="15.75" customHeight="1">
      <c r="A341" s="1">
        <f>IFERROR(__xludf.DUMMYFUNCTION("""COMPUTED_VALUE"""),44356.625)</f>
        <v>44356.625</v>
      </c>
      <c r="B341" s="2">
        <f>IFERROR(__xludf.DUMMYFUNCTION("""COMPUTED_VALUE"""),992.99)</f>
        <v>992.99</v>
      </c>
      <c r="C341" s="2">
        <f>IFERROR(__xludf.DUMMYFUNCTION("""COMPUTED_VALUE"""),1120.95)</f>
        <v>1120.95</v>
      </c>
      <c r="D341" s="2">
        <f>IFERROR(__xludf.DUMMYFUNCTION("""COMPUTED_VALUE"""),972.51)</f>
        <v>972.51</v>
      </c>
      <c r="E341" s="2">
        <f>IFERROR(__xludf.DUMMYFUNCTION("""COMPUTED_VALUE"""),1110.71)</f>
        <v>1110.71</v>
      </c>
      <c r="F341" s="2">
        <f>IFERROR(__xludf.DUMMYFUNCTION("""COMPUTED_VALUE"""),2.741178E8)</f>
        <v>274117800</v>
      </c>
      <c r="G341" s="2">
        <f t="shared" si="1"/>
        <v>148.44</v>
      </c>
    </row>
    <row r="342" ht="15.75" customHeight="1">
      <c r="A342" s="1">
        <f>IFERROR(__xludf.DUMMYFUNCTION("""COMPUTED_VALUE"""),44357.625)</f>
        <v>44357.625</v>
      </c>
      <c r="B342" s="2">
        <f>IFERROR(__xludf.DUMMYFUNCTION("""COMPUTED_VALUE"""),1105.59)</f>
        <v>1105.59</v>
      </c>
      <c r="C342" s="2">
        <f>IFERROR(__xludf.DUMMYFUNCTION("""COMPUTED_VALUE"""),1223.32)</f>
        <v>1223.32</v>
      </c>
      <c r="D342" s="2">
        <f>IFERROR(__xludf.DUMMYFUNCTION("""COMPUTED_VALUE"""),1100.48)</f>
        <v>1100.48</v>
      </c>
      <c r="E342" s="2">
        <f>IFERROR(__xludf.DUMMYFUNCTION("""COMPUTED_VALUE"""),1192.61)</f>
        <v>1192.61</v>
      </c>
      <c r="F342" s="2">
        <f>IFERROR(__xludf.DUMMYFUNCTION("""COMPUTED_VALUE"""),3.173852E8)</f>
        <v>317385200</v>
      </c>
      <c r="G342" s="2">
        <f t="shared" si="1"/>
        <v>122.84</v>
      </c>
    </row>
    <row r="343" ht="15.75" customHeight="1">
      <c r="A343" s="1">
        <f>IFERROR(__xludf.DUMMYFUNCTION("""COMPUTED_VALUE"""),44358.625)</f>
        <v>44358.625</v>
      </c>
      <c r="B343" s="2">
        <f>IFERROR(__xludf.DUMMYFUNCTION("""COMPUTED_VALUE"""),1207.96)</f>
        <v>1207.96</v>
      </c>
      <c r="C343" s="2">
        <f>IFERROR(__xludf.DUMMYFUNCTION("""COMPUTED_VALUE"""),1218.2)</f>
        <v>1218.2</v>
      </c>
      <c r="D343" s="2">
        <f>IFERROR(__xludf.DUMMYFUNCTION("""COMPUTED_VALUE"""),1156.78)</f>
        <v>1156.78</v>
      </c>
      <c r="E343" s="2">
        <f>IFERROR(__xludf.DUMMYFUNCTION("""COMPUTED_VALUE"""),1161.9)</f>
        <v>1161.9</v>
      </c>
      <c r="F343" s="2">
        <f>IFERROR(__xludf.DUMMYFUNCTION("""COMPUTED_VALUE"""),1.263999E8)</f>
        <v>126399900</v>
      </c>
      <c r="G343" s="2">
        <f t="shared" si="1"/>
        <v>61.42</v>
      </c>
    </row>
    <row r="344" ht="15.75" customHeight="1">
      <c r="A344" s="1">
        <f>IFERROR(__xludf.DUMMYFUNCTION("""COMPUTED_VALUE"""),44361.66666666667)</f>
        <v>44361.66667</v>
      </c>
      <c r="B344" s="2">
        <f>IFERROR(__xludf.DUMMYFUNCTION("""COMPUTED_VALUE"""),1177.25)</f>
        <v>1177.25</v>
      </c>
      <c r="C344" s="2">
        <f>IFERROR(__xludf.DUMMYFUNCTION("""COMPUTED_VALUE"""),1182.37)</f>
        <v>1182.37</v>
      </c>
      <c r="D344" s="2">
        <f>IFERROR(__xludf.DUMMYFUNCTION("""COMPUTED_VALUE"""),1120.95)</f>
        <v>1120.95</v>
      </c>
      <c r="E344" s="2">
        <f>IFERROR(__xludf.DUMMYFUNCTION("""COMPUTED_VALUE"""),1131.19)</f>
        <v>1131.19</v>
      </c>
      <c r="F344" s="2">
        <f>IFERROR(__xludf.DUMMYFUNCTION("""COMPUTED_VALUE"""),7.81833E7)</f>
        <v>78183300</v>
      </c>
      <c r="G344" s="2">
        <f t="shared" si="1"/>
        <v>61.42</v>
      </c>
    </row>
    <row r="345" ht="15.75" customHeight="1">
      <c r="A345" s="1">
        <f>IFERROR(__xludf.DUMMYFUNCTION("""COMPUTED_VALUE"""),44362.625)</f>
        <v>44362.625</v>
      </c>
      <c r="B345" s="2">
        <f>IFERROR(__xludf.DUMMYFUNCTION("""COMPUTED_VALUE"""),1131.19)</f>
        <v>1131.19</v>
      </c>
      <c r="C345" s="2">
        <f>IFERROR(__xludf.DUMMYFUNCTION("""COMPUTED_VALUE"""),1161.9)</f>
        <v>1161.9</v>
      </c>
      <c r="D345" s="2">
        <f>IFERROR(__xludf.DUMMYFUNCTION("""COMPUTED_VALUE"""),1080.0)</f>
        <v>1080</v>
      </c>
      <c r="E345" s="2">
        <f>IFERROR(__xludf.DUMMYFUNCTION("""COMPUTED_VALUE"""),1120.95)</f>
        <v>1120.95</v>
      </c>
      <c r="F345" s="2">
        <f>IFERROR(__xludf.DUMMYFUNCTION("""COMPUTED_VALUE"""),1.100881E8)</f>
        <v>110088100</v>
      </c>
      <c r="G345" s="2">
        <f t="shared" si="1"/>
        <v>81.9</v>
      </c>
    </row>
    <row r="346" ht="15.75" customHeight="1">
      <c r="A346" s="1">
        <f>IFERROR(__xludf.DUMMYFUNCTION("""COMPUTED_VALUE"""),44363.625)</f>
        <v>44363.625</v>
      </c>
      <c r="B346" s="2">
        <f>IFERROR(__xludf.DUMMYFUNCTION("""COMPUTED_VALUE"""),1126.07)</f>
        <v>1126.07</v>
      </c>
      <c r="C346" s="2">
        <f>IFERROR(__xludf.DUMMYFUNCTION("""COMPUTED_VALUE"""),1161.9)</f>
        <v>1161.9</v>
      </c>
      <c r="D346" s="2">
        <f>IFERROR(__xludf.DUMMYFUNCTION("""COMPUTED_VALUE"""),1090.24)</f>
        <v>1090.24</v>
      </c>
      <c r="E346" s="2">
        <f>IFERROR(__xludf.DUMMYFUNCTION("""COMPUTED_VALUE"""),1126.07)</f>
        <v>1126.07</v>
      </c>
      <c r="F346" s="2">
        <f>IFERROR(__xludf.DUMMYFUNCTION("""COMPUTED_VALUE"""),8.11445E7)</f>
        <v>81144500</v>
      </c>
      <c r="G346" s="2">
        <f t="shared" si="1"/>
        <v>71.66</v>
      </c>
    </row>
    <row r="347" ht="15.75" customHeight="1">
      <c r="A347" s="1">
        <f>IFERROR(__xludf.DUMMYFUNCTION("""COMPUTED_VALUE"""),44364.625)</f>
        <v>44364.625</v>
      </c>
      <c r="B347" s="2">
        <f>IFERROR(__xludf.DUMMYFUNCTION("""COMPUTED_VALUE"""),1126.07)</f>
        <v>1126.07</v>
      </c>
      <c r="C347" s="2">
        <f>IFERROR(__xludf.DUMMYFUNCTION("""COMPUTED_VALUE"""),1361.52)</f>
        <v>1361.52</v>
      </c>
      <c r="D347" s="2">
        <f>IFERROR(__xludf.DUMMYFUNCTION("""COMPUTED_VALUE"""),1105.59)</f>
        <v>1105.59</v>
      </c>
      <c r="E347" s="2">
        <f>IFERROR(__xludf.DUMMYFUNCTION("""COMPUTED_VALUE"""),1351.28)</f>
        <v>1351.28</v>
      </c>
      <c r="F347" s="2">
        <f>IFERROR(__xludf.DUMMYFUNCTION("""COMPUTED_VALUE"""),4.058313E8)</f>
        <v>405831300</v>
      </c>
      <c r="G347" s="2">
        <f t="shared" si="1"/>
        <v>255.93</v>
      </c>
    </row>
    <row r="348" ht="15.75" customHeight="1">
      <c r="A348" s="1">
        <f>IFERROR(__xludf.DUMMYFUNCTION("""COMPUTED_VALUE"""),44365.625)</f>
        <v>44365.625</v>
      </c>
      <c r="B348" s="2">
        <f>IFERROR(__xludf.DUMMYFUNCTION("""COMPUTED_VALUE"""),1346.16)</f>
        <v>1346.16</v>
      </c>
      <c r="C348" s="2">
        <f>IFERROR(__xludf.DUMMYFUNCTION("""COMPUTED_VALUE"""),1438.3)</f>
        <v>1438.3</v>
      </c>
      <c r="D348" s="2">
        <f>IFERROR(__xludf.DUMMYFUNCTION("""COMPUTED_VALUE"""),1289.86)</f>
        <v>1289.86</v>
      </c>
      <c r="E348" s="2">
        <f>IFERROR(__xludf.DUMMYFUNCTION("""COMPUTED_VALUE"""),1387.11)</f>
        <v>1387.11</v>
      </c>
      <c r="F348" s="2">
        <f>IFERROR(__xludf.DUMMYFUNCTION("""COMPUTED_VALUE"""),4.869768E8)</f>
        <v>486976800</v>
      </c>
      <c r="G348" s="2">
        <f t="shared" si="1"/>
        <v>148.44</v>
      </c>
    </row>
    <row r="349" ht="15.75" customHeight="1">
      <c r="A349" s="1">
        <f>IFERROR(__xludf.DUMMYFUNCTION("""COMPUTED_VALUE"""),44368.66666666667)</f>
        <v>44368.66667</v>
      </c>
      <c r="B349" s="2">
        <f>IFERROR(__xludf.DUMMYFUNCTION("""COMPUTED_VALUE"""),1335.93)</f>
        <v>1335.93</v>
      </c>
      <c r="C349" s="2">
        <f>IFERROR(__xludf.DUMMYFUNCTION("""COMPUTED_VALUE"""),1412.7)</f>
        <v>1412.7</v>
      </c>
      <c r="D349" s="2">
        <f>IFERROR(__xludf.DUMMYFUNCTION("""COMPUTED_VALUE"""),1325.69)</f>
        <v>1325.69</v>
      </c>
      <c r="E349" s="2">
        <f>IFERROR(__xludf.DUMMYFUNCTION("""COMPUTED_VALUE"""),1392.23)</f>
        <v>1392.23</v>
      </c>
      <c r="F349" s="2">
        <f>IFERROR(__xludf.DUMMYFUNCTION("""COMPUTED_VALUE"""),1.847438E8)</f>
        <v>184743800</v>
      </c>
      <c r="G349" s="2">
        <f t="shared" si="1"/>
        <v>87.01</v>
      </c>
    </row>
    <row r="350" ht="15.75" customHeight="1">
      <c r="A350" s="1">
        <f>IFERROR(__xludf.DUMMYFUNCTION("""COMPUTED_VALUE"""),44369.625)</f>
        <v>44369.625</v>
      </c>
      <c r="B350" s="2">
        <f>IFERROR(__xludf.DUMMYFUNCTION("""COMPUTED_VALUE"""),1412.7)</f>
        <v>1412.7</v>
      </c>
      <c r="C350" s="2">
        <f>IFERROR(__xludf.DUMMYFUNCTION("""COMPUTED_VALUE"""),1509.95)</f>
        <v>1509.95</v>
      </c>
      <c r="D350" s="2">
        <f>IFERROR(__xludf.DUMMYFUNCTION("""COMPUTED_VALUE"""),1397.35)</f>
        <v>1397.35</v>
      </c>
      <c r="E350" s="2">
        <f>IFERROR(__xludf.DUMMYFUNCTION("""COMPUTED_VALUE"""),1479.24)</f>
        <v>1479.24</v>
      </c>
      <c r="F350" s="2">
        <f>IFERROR(__xludf.DUMMYFUNCTION("""COMPUTED_VALUE"""),2.382163E8)</f>
        <v>238216300</v>
      </c>
      <c r="G350" s="2">
        <f t="shared" si="1"/>
        <v>117.72</v>
      </c>
    </row>
    <row r="351" ht="15.75" customHeight="1">
      <c r="A351" s="1">
        <f>IFERROR(__xludf.DUMMYFUNCTION("""COMPUTED_VALUE"""),44370.625)</f>
        <v>44370.625</v>
      </c>
      <c r="B351" s="2">
        <f>IFERROR(__xludf.DUMMYFUNCTION("""COMPUTED_VALUE"""),1484.36)</f>
        <v>1484.36</v>
      </c>
      <c r="C351" s="2">
        <f>IFERROR(__xludf.DUMMYFUNCTION("""COMPUTED_VALUE"""),1545.78)</f>
        <v>1545.78</v>
      </c>
      <c r="D351" s="2">
        <f>IFERROR(__xludf.DUMMYFUNCTION("""COMPUTED_VALUE"""),1433.18)</f>
        <v>1433.18</v>
      </c>
      <c r="E351" s="2">
        <f>IFERROR(__xludf.DUMMYFUNCTION("""COMPUTED_VALUE"""),1448.53)</f>
        <v>1448.53</v>
      </c>
      <c r="F351" s="2">
        <f>IFERROR(__xludf.DUMMYFUNCTION("""COMPUTED_VALUE"""),1.706878E8)</f>
        <v>170687800</v>
      </c>
      <c r="G351" s="2">
        <f t="shared" si="1"/>
        <v>112.6</v>
      </c>
    </row>
    <row r="352" ht="15.75" customHeight="1">
      <c r="A352" s="1">
        <f>IFERROR(__xludf.DUMMYFUNCTION("""COMPUTED_VALUE"""),44371.625)</f>
        <v>44371.625</v>
      </c>
      <c r="B352" s="2">
        <f>IFERROR(__xludf.DUMMYFUNCTION("""COMPUTED_VALUE"""),1479.24)</f>
        <v>1479.24</v>
      </c>
      <c r="C352" s="2">
        <f>IFERROR(__xludf.DUMMYFUNCTION("""COMPUTED_VALUE"""),1525.31)</f>
        <v>1525.31</v>
      </c>
      <c r="D352" s="2">
        <f>IFERROR(__xludf.DUMMYFUNCTION("""COMPUTED_VALUE"""),1433.18)</f>
        <v>1433.18</v>
      </c>
      <c r="E352" s="2">
        <f>IFERROR(__xludf.DUMMYFUNCTION("""COMPUTED_VALUE"""),1509.95)</f>
        <v>1509.95</v>
      </c>
      <c r="F352" s="2">
        <f>IFERROR(__xludf.DUMMYFUNCTION("""COMPUTED_VALUE"""),1.133079E8)</f>
        <v>113307900</v>
      </c>
      <c r="G352" s="2">
        <f t="shared" si="1"/>
        <v>92.13</v>
      </c>
    </row>
    <row r="353" ht="15.75" customHeight="1">
      <c r="A353" s="1">
        <f>IFERROR(__xludf.DUMMYFUNCTION("""COMPUTED_VALUE"""),44372.625)</f>
        <v>44372.625</v>
      </c>
      <c r="B353" s="2">
        <f>IFERROR(__xludf.DUMMYFUNCTION("""COMPUTED_VALUE"""),1515.07)</f>
        <v>1515.07</v>
      </c>
      <c r="C353" s="2">
        <f>IFERROR(__xludf.DUMMYFUNCTION("""COMPUTED_VALUE"""),1806.83)</f>
        <v>1806.83</v>
      </c>
      <c r="D353" s="2">
        <f>IFERROR(__xludf.DUMMYFUNCTION("""COMPUTED_VALUE"""),1509.95)</f>
        <v>1509.95</v>
      </c>
      <c r="E353" s="2">
        <f>IFERROR(__xludf.DUMMYFUNCTION("""COMPUTED_VALUE"""),1678.87)</f>
        <v>1678.87</v>
      </c>
      <c r="F353" s="2">
        <f>IFERROR(__xludf.DUMMYFUNCTION("""COMPUTED_VALUE"""),3.275364E8)</f>
        <v>327536400</v>
      </c>
      <c r="G353" s="2">
        <f t="shared" si="1"/>
        <v>296.88</v>
      </c>
    </row>
    <row r="354" ht="15.75" customHeight="1">
      <c r="A354" s="1">
        <f>IFERROR(__xludf.DUMMYFUNCTION("""COMPUTED_VALUE"""),44375.66666666667)</f>
        <v>44375.66667</v>
      </c>
      <c r="B354" s="2">
        <f>IFERROR(__xludf.DUMMYFUNCTION("""COMPUTED_VALUE"""),1678.87)</f>
        <v>1678.87</v>
      </c>
      <c r="C354" s="2">
        <f>IFERROR(__xludf.DUMMYFUNCTION("""COMPUTED_VALUE"""),1806.83)</f>
        <v>1806.83</v>
      </c>
      <c r="D354" s="2">
        <f>IFERROR(__xludf.DUMMYFUNCTION("""COMPUTED_VALUE"""),1658.39)</f>
        <v>1658.39</v>
      </c>
      <c r="E354" s="2">
        <f>IFERROR(__xludf.DUMMYFUNCTION("""COMPUTED_VALUE"""),1786.35)</f>
        <v>1786.35</v>
      </c>
      <c r="F354" s="2">
        <f>IFERROR(__xludf.DUMMYFUNCTION("""COMPUTED_VALUE"""),2.115063E8)</f>
        <v>211506300</v>
      </c>
      <c r="G354" s="2">
        <f t="shared" si="1"/>
        <v>148.44</v>
      </c>
    </row>
    <row r="355" ht="15.75" customHeight="1">
      <c r="A355" s="1">
        <f>IFERROR(__xludf.DUMMYFUNCTION("""COMPUTED_VALUE"""),44376.625)</f>
        <v>44376.625</v>
      </c>
      <c r="B355" s="2">
        <f>IFERROR(__xludf.DUMMYFUNCTION("""COMPUTED_VALUE"""),1786.35)</f>
        <v>1786.35</v>
      </c>
      <c r="C355" s="2">
        <f>IFERROR(__xludf.DUMMYFUNCTION("""COMPUTED_VALUE"""),1837.54)</f>
        <v>1837.54</v>
      </c>
      <c r="D355" s="2">
        <f>IFERROR(__xludf.DUMMYFUNCTION("""COMPUTED_VALUE"""),1663.51)</f>
        <v>1663.51</v>
      </c>
      <c r="E355" s="2">
        <f>IFERROR(__xludf.DUMMYFUNCTION("""COMPUTED_VALUE"""),1740.29)</f>
        <v>1740.29</v>
      </c>
      <c r="F355" s="2">
        <f>IFERROR(__xludf.DUMMYFUNCTION("""COMPUTED_VALUE"""),1.646199E8)</f>
        <v>164619900</v>
      </c>
      <c r="G355" s="2">
        <f t="shared" si="1"/>
        <v>174.03</v>
      </c>
    </row>
    <row r="356" ht="15.75" customHeight="1">
      <c r="A356" s="1">
        <f>IFERROR(__xludf.DUMMYFUNCTION("""COMPUTED_VALUE"""),44377.625)</f>
        <v>44377.625</v>
      </c>
      <c r="B356" s="2">
        <f>IFERROR(__xludf.DUMMYFUNCTION("""COMPUTED_VALUE"""),1740.29)</f>
        <v>1740.29</v>
      </c>
      <c r="C356" s="2">
        <f>IFERROR(__xludf.DUMMYFUNCTION("""COMPUTED_VALUE"""),2037.16)</f>
        <v>2037.16</v>
      </c>
      <c r="D356" s="2">
        <f>IFERROR(__xludf.DUMMYFUNCTION("""COMPUTED_VALUE"""),1740.29)</f>
        <v>1740.29</v>
      </c>
      <c r="E356" s="2">
        <f>IFERROR(__xludf.DUMMYFUNCTION("""COMPUTED_VALUE"""),1991.09)</f>
        <v>1991.09</v>
      </c>
      <c r="F356" s="2">
        <f>IFERROR(__xludf.DUMMYFUNCTION("""COMPUTED_VALUE"""),2.396792E8)</f>
        <v>239679200</v>
      </c>
      <c r="G356" s="2">
        <f t="shared" si="1"/>
        <v>296.87</v>
      </c>
    </row>
    <row r="357" ht="15.75" customHeight="1">
      <c r="A357" s="1">
        <f>IFERROR(__xludf.DUMMYFUNCTION("""COMPUTED_VALUE"""),44378.625)</f>
        <v>44378.625</v>
      </c>
      <c r="B357" s="2">
        <f>IFERROR(__xludf.DUMMYFUNCTION("""COMPUTED_VALUE"""),1996.21)</f>
        <v>1996.21</v>
      </c>
      <c r="C357" s="2">
        <f>IFERROR(__xludf.DUMMYFUNCTION("""COMPUTED_VALUE"""),2057.63)</f>
        <v>2057.63</v>
      </c>
      <c r="D357" s="2">
        <f>IFERROR(__xludf.DUMMYFUNCTION("""COMPUTED_VALUE"""),1863.13)</f>
        <v>1863.13</v>
      </c>
      <c r="E357" s="2">
        <f>IFERROR(__xludf.DUMMYFUNCTION("""COMPUTED_VALUE"""),1914.32)</f>
        <v>1914.32</v>
      </c>
      <c r="F357" s="2">
        <f>IFERROR(__xludf.DUMMYFUNCTION("""COMPUTED_VALUE"""),1.775736E8)</f>
        <v>177573600</v>
      </c>
      <c r="G357" s="2">
        <f t="shared" si="1"/>
        <v>194.5</v>
      </c>
    </row>
    <row r="358" ht="15.75" customHeight="1">
      <c r="A358" s="1">
        <f>IFERROR(__xludf.DUMMYFUNCTION("""COMPUTED_VALUE"""),44379.625)</f>
        <v>44379.625</v>
      </c>
      <c r="B358" s="2">
        <f>IFERROR(__xludf.DUMMYFUNCTION("""COMPUTED_VALUE"""),1914.32)</f>
        <v>1914.32</v>
      </c>
      <c r="C358" s="2">
        <f>IFERROR(__xludf.DUMMYFUNCTION("""COMPUTED_VALUE"""),2001.33)</f>
        <v>2001.33</v>
      </c>
      <c r="D358" s="2">
        <f>IFERROR(__xludf.DUMMYFUNCTION("""COMPUTED_VALUE"""),1893.84)</f>
        <v>1893.84</v>
      </c>
      <c r="E358" s="2">
        <f>IFERROR(__xludf.DUMMYFUNCTION("""COMPUTED_VALUE"""),1924.55)</f>
        <v>1924.55</v>
      </c>
      <c r="F358" s="2">
        <f>IFERROR(__xludf.DUMMYFUNCTION("""COMPUTED_VALUE"""),1.038851E8)</f>
        <v>103885100</v>
      </c>
      <c r="G358" s="2">
        <f t="shared" si="1"/>
        <v>107.49</v>
      </c>
    </row>
    <row r="359" ht="15.75" customHeight="1">
      <c r="A359" s="1">
        <f>IFERROR(__xludf.DUMMYFUNCTION("""COMPUTED_VALUE"""),44382.625)</f>
        <v>44382.625</v>
      </c>
      <c r="B359" s="2">
        <f>IFERROR(__xludf.DUMMYFUNCTION("""COMPUTED_VALUE"""),1924.55)</f>
        <v>1924.55</v>
      </c>
      <c r="C359" s="2">
        <f>IFERROR(__xludf.DUMMYFUNCTION("""COMPUTED_VALUE"""),1970.62)</f>
        <v>1970.62</v>
      </c>
      <c r="D359" s="2">
        <f>IFERROR(__xludf.DUMMYFUNCTION("""COMPUTED_VALUE"""),1873.37)</f>
        <v>1873.37</v>
      </c>
      <c r="E359" s="2">
        <f>IFERROR(__xludf.DUMMYFUNCTION("""COMPUTED_VALUE"""),1914.32)</f>
        <v>1914.32</v>
      </c>
      <c r="F359" s="2">
        <f>IFERROR(__xludf.DUMMYFUNCTION("""COMPUTED_VALUE"""),9.65182E7)</f>
        <v>96518200</v>
      </c>
      <c r="G359" s="2">
        <f t="shared" si="1"/>
        <v>97.25</v>
      </c>
    </row>
    <row r="360" ht="15.75" customHeight="1">
      <c r="A360" s="1">
        <f>IFERROR(__xludf.DUMMYFUNCTION("""COMPUTED_VALUE"""),44383.625)</f>
        <v>44383.625</v>
      </c>
      <c r="B360" s="2">
        <f>IFERROR(__xludf.DUMMYFUNCTION("""COMPUTED_VALUE"""),1924.55)</f>
        <v>1924.55</v>
      </c>
      <c r="C360" s="2">
        <f>IFERROR(__xludf.DUMMYFUNCTION("""COMPUTED_VALUE"""),1996.21)</f>
        <v>1996.21</v>
      </c>
      <c r="D360" s="2">
        <f>IFERROR(__xludf.DUMMYFUNCTION("""COMPUTED_VALUE"""),1914.32)</f>
        <v>1914.32</v>
      </c>
      <c r="E360" s="2">
        <f>IFERROR(__xludf.DUMMYFUNCTION("""COMPUTED_VALUE"""),1934.79)</f>
        <v>1934.79</v>
      </c>
      <c r="F360" s="2">
        <f>IFERROR(__xludf.DUMMYFUNCTION("""COMPUTED_VALUE"""),8.81282E7)</f>
        <v>88128200</v>
      </c>
      <c r="G360" s="2">
        <f t="shared" si="1"/>
        <v>81.89</v>
      </c>
    </row>
    <row r="361" ht="15.75" customHeight="1">
      <c r="A361" s="1">
        <f>IFERROR(__xludf.DUMMYFUNCTION("""COMPUTED_VALUE"""),44384.625)</f>
        <v>44384.625</v>
      </c>
      <c r="B361" s="2">
        <f>IFERROR(__xludf.DUMMYFUNCTION("""COMPUTED_VALUE"""),1939.91)</f>
        <v>1939.91</v>
      </c>
      <c r="C361" s="2">
        <f>IFERROR(__xludf.DUMMYFUNCTION("""COMPUTED_VALUE"""),2221.43)</f>
        <v>2221.43</v>
      </c>
      <c r="D361" s="2">
        <f>IFERROR(__xludf.DUMMYFUNCTION("""COMPUTED_VALUE"""),1934.79)</f>
        <v>1934.79</v>
      </c>
      <c r="E361" s="2">
        <f>IFERROR(__xludf.DUMMYFUNCTION("""COMPUTED_VALUE"""),2170.24)</f>
        <v>2170.24</v>
      </c>
      <c r="F361" s="2">
        <f>IFERROR(__xludf.DUMMYFUNCTION("""COMPUTED_VALUE"""),2.190722E8)</f>
        <v>219072200</v>
      </c>
      <c r="G361" s="2">
        <f t="shared" si="1"/>
        <v>286.64</v>
      </c>
    </row>
    <row r="362" ht="15.75" customHeight="1">
      <c r="A362" s="1">
        <f>IFERROR(__xludf.DUMMYFUNCTION("""COMPUTED_VALUE"""),44385.625)</f>
        <v>44385.625</v>
      </c>
      <c r="B362" s="2">
        <f>IFERROR(__xludf.DUMMYFUNCTION("""COMPUTED_VALUE"""),2170.24)</f>
        <v>2170.24</v>
      </c>
      <c r="C362" s="2">
        <f>IFERROR(__xludf.DUMMYFUNCTION("""COMPUTED_VALUE"""),2313.56)</f>
        <v>2313.56</v>
      </c>
      <c r="D362" s="2">
        <f>IFERROR(__xludf.DUMMYFUNCTION("""COMPUTED_VALUE"""),2139.53)</f>
        <v>2139.53</v>
      </c>
      <c r="E362" s="2">
        <f>IFERROR(__xludf.DUMMYFUNCTION("""COMPUTED_VALUE"""),2211.19)</f>
        <v>2211.19</v>
      </c>
      <c r="F362" s="2">
        <f>IFERROR(__xludf.DUMMYFUNCTION("""COMPUTED_VALUE"""),1.239148E8)</f>
        <v>123914800</v>
      </c>
      <c r="G362" s="2">
        <f t="shared" si="1"/>
        <v>174.03</v>
      </c>
    </row>
    <row r="363" ht="15.75" customHeight="1">
      <c r="A363" s="1">
        <f>IFERROR(__xludf.DUMMYFUNCTION("""COMPUTED_VALUE"""),44386.625)</f>
        <v>44386.625</v>
      </c>
      <c r="B363" s="2">
        <f>IFERROR(__xludf.DUMMYFUNCTION("""COMPUTED_VALUE"""),2211.19)</f>
        <v>2211.19</v>
      </c>
      <c r="C363" s="2">
        <f>IFERROR(__xludf.DUMMYFUNCTION("""COMPUTED_VALUE"""),2241.9)</f>
        <v>2241.9</v>
      </c>
      <c r="D363" s="2">
        <f>IFERROR(__xludf.DUMMYFUNCTION("""COMPUTED_VALUE"""),2057.63)</f>
        <v>2057.63</v>
      </c>
      <c r="E363" s="2">
        <f>IFERROR(__xludf.DUMMYFUNCTION("""COMPUTED_VALUE"""),2057.63)</f>
        <v>2057.63</v>
      </c>
      <c r="F363" s="2">
        <f>IFERROR(__xludf.DUMMYFUNCTION("""COMPUTED_VALUE"""),1.97396E8)</f>
        <v>197396000</v>
      </c>
      <c r="G363" s="2">
        <f t="shared" si="1"/>
        <v>184.27</v>
      </c>
    </row>
    <row r="364" ht="15.75" customHeight="1">
      <c r="A364" s="1">
        <f>IFERROR(__xludf.DUMMYFUNCTION("""COMPUTED_VALUE"""),44389.625)</f>
        <v>44389.625</v>
      </c>
      <c r="B364" s="2">
        <f>IFERROR(__xludf.DUMMYFUNCTION("""COMPUTED_VALUE"""),2047.4)</f>
        <v>2047.4</v>
      </c>
      <c r="C364" s="2">
        <f>IFERROR(__xludf.DUMMYFUNCTION("""COMPUTED_VALUE"""),2108.82)</f>
        <v>2108.82</v>
      </c>
      <c r="D364" s="2">
        <f>IFERROR(__xludf.DUMMYFUNCTION("""COMPUTED_VALUE"""),1919.43)</f>
        <v>1919.43</v>
      </c>
      <c r="E364" s="2">
        <f>IFERROR(__xludf.DUMMYFUNCTION("""COMPUTED_VALUE"""),2021.8)</f>
        <v>2021.8</v>
      </c>
      <c r="F364" s="2">
        <f>IFERROR(__xludf.DUMMYFUNCTION("""COMPUTED_VALUE"""),1.802486E8)</f>
        <v>180248600</v>
      </c>
      <c r="G364" s="2">
        <f t="shared" si="1"/>
        <v>189.39</v>
      </c>
    </row>
    <row r="365" ht="15.75" customHeight="1">
      <c r="A365" s="1">
        <f>IFERROR(__xludf.DUMMYFUNCTION("""COMPUTED_VALUE"""),44390.625)</f>
        <v>44390.625</v>
      </c>
      <c r="B365" s="2">
        <f>IFERROR(__xludf.DUMMYFUNCTION("""COMPUTED_VALUE"""),2032.04)</f>
        <v>2032.04</v>
      </c>
      <c r="C365" s="2">
        <f>IFERROR(__xludf.DUMMYFUNCTION("""COMPUTED_VALUE"""),2078.11)</f>
        <v>2078.11</v>
      </c>
      <c r="D365" s="2">
        <f>IFERROR(__xludf.DUMMYFUNCTION("""COMPUTED_VALUE"""),1955.26)</f>
        <v>1955.26</v>
      </c>
      <c r="E365" s="2">
        <f>IFERROR(__xludf.DUMMYFUNCTION("""COMPUTED_VALUE"""),2021.8)</f>
        <v>2021.8</v>
      </c>
      <c r="F365" s="2">
        <f>IFERROR(__xludf.DUMMYFUNCTION("""COMPUTED_VALUE"""),1.168987E8)</f>
        <v>116898700</v>
      </c>
      <c r="G365" s="2">
        <f t="shared" si="1"/>
        <v>122.85</v>
      </c>
    </row>
    <row r="366" ht="15.75" customHeight="1">
      <c r="A366" s="1">
        <f>IFERROR(__xludf.DUMMYFUNCTION("""COMPUTED_VALUE"""),44391.625)</f>
        <v>44391.625</v>
      </c>
      <c r="B366" s="2">
        <f>IFERROR(__xludf.DUMMYFUNCTION("""COMPUTED_VALUE"""),2006.45)</f>
        <v>2006.45</v>
      </c>
      <c r="C366" s="2">
        <f>IFERROR(__xludf.DUMMYFUNCTION("""COMPUTED_VALUE"""),2098.58)</f>
        <v>2098.58</v>
      </c>
      <c r="D366" s="2">
        <f>IFERROR(__xludf.DUMMYFUNCTION("""COMPUTED_VALUE"""),1991.09)</f>
        <v>1991.09</v>
      </c>
      <c r="E366" s="2">
        <f>IFERROR(__xludf.DUMMYFUNCTION("""COMPUTED_VALUE"""),2057.63)</f>
        <v>2057.63</v>
      </c>
      <c r="F366" s="2">
        <f>IFERROR(__xludf.DUMMYFUNCTION("""COMPUTED_VALUE"""),1.137841E8)</f>
        <v>113784100</v>
      </c>
      <c r="G366" s="2">
        <f t="shared" si="1"/>
        <v>107.49</v>
      </c>
    </row>
    <row r="367" ht="15.75" customHeight="1">
      <c r="A367" s="1">
        <f>IFERROR(__xludf.DUMMYFUNCTION("""COMPUTED_VALUE"""),44392.625)</f>
        <v>44392.625</v>
      </c>
      <c r="B367" s="2">
        <f>IFERROR(__xludf.DUMMYFUNCTION("""COMPUTED_VALUE"""),2067.87)</f>
        <v>2067.87</v>
      </c>
      <c r="C367" s="2">
        <f>IFERROR(__xludf.DUMMYFUNCTION("""COMPUTED_VALUE"""),2149.77)</f>
        <v>2149.77</v>
      </c>
      <c r="D367" s="2">
        <f>IFERROR(__xludf.DUMMYFUNCTION("""COMPUTED_VALUE"""),2026.92)</f>
        <v>2026.92</v>
      </c>
      <c r="E367" s="2">
        <f>IFERROR(__xludf.DUMMYFUNCTION("""COMPUTED_VALUE"""),2088.34)</f>
        <v>2088.34</v>
      </c>
      <c r="F367" s="2">
        <f>IFERROR(__xludf.DUMMYFUNCTION("""COMPUTED_VALUE"""),8.71789E7)</f>
        <v>87178900</v>
      </c>
      <c r="G367" s="2">
        <f t="shared" si="1"/>
        <v>122.85</v>
      </c>
    </row>
    <row r="368" ht="15.75" customHeight="1">
      <c r="A368" s="1">
        <f>IFERROR(__xludf.DUMMYFUNCTION("""COMPUTED_VALUE"""),44393.625)</f>
        <v>44393.625</v>
      </c>
      <c r="B368" s="2">
        <f>IFERROR(__xludf.DUMMYFUNCTION("""COMPUTED_VALUE"""),2098.58)</f>
        <v>2098.58</v>
      </c>
      <c r="C368" s="2">
        <f>IFERROR(__xludf.DUMMYFUNCTION("""COMPUTED_VALUE"""),2160.0)</f>
        <v>2160</v>
      </c>
      <c r="D368" s="2">
        <f>IFERROR(__xludf.DUMMYFUNCTION("""COMPUTED_VALUE"""),2057.63)</f>
        <v>2057.63</v>
      </c>
      <c r="E368" s="2">
        <f>IFERROR(__xludf.DUMMYFUNCTION("""COMPUTED_VALUE"""),2139.53)</f>
        <v>2139.53</v>
      </c>
      <c r="F368" s="2">
        <f>IFERROR(__xludf.DUMMYFUNCTION("""COMPUTED_VALUE"""),1.095066E8)</f>
        <v>109506600</v>
      </c>
      <c r="G368" s="2">
        <f t="shared" si="1"/>
        <v>102.37</v>
      </c>
    </row>
    <row r="369" ht="15.75" customHeight="1">
      <c r="A369" s="1">
        <f>IFERROR(__xludf.DUMMYFUNCTION("""COMPUTED_VALUE"""),44396.625)</f>
        <v>44396.625</v>
      </c>
      <c r="B369" s="2">
        <f>IFERROR(__xludf.DUMMYFUNCTION("""COMPUTED_VALUE"""),2149.77)</f>
        <v>2149.77</v>
      </c>
      <c r="C369" s="2">
        <f>IFERROR(__xludf.DUMMYFUNCTION("""COMPUTED_VALUE"""),2405.69)</f>
        <v>2405.69</v>
      </c>
      <c r="D369" s="2">
        <f>IFERROR(__xludf.DUMMYFUNCTION("""COMPUTED_VALUE"""),2108.82)</f>
        <v>2108.82</v>
      </c>
      <c r="E369" s="2">
        <f>IFERROR(__xludf.DUMMYFUNCTION("""COMPUTED_VALUE"""),2344.27)</f>
        <v>2344.27</v>
      </c>
      <c r="F369" s="2">
        <f>IFERROR(__xludf.DUMMYFUNCTION("""COMPUTED_VALUE"""),1.781434E8)</f>
        <v>178143400</v>
      </c>
      <c r="G369" s="2">
        <f t="shared" si="1"/>
        <v>296.87</v>
      </c>
    </row>
    <row r="370" ht="15.75" customHeight="1">
      <c r="A370" s="1">
        <f>IFERROR(__xludf.DUMMYFUNCTION("""COMPUTED_VALUE"""),44398.625)</f>
        <v>44398.625</v>
      </c>
      <c r="B370" s="2">
        <f>IFERROR(__xludf.DUMMYFUNCTION("""COMPUTED_VALUE"""),2344.27)</f>
        <v>2344.27</v>
      </c>
      <c r="C370" s="2">
        <f>IFERROR(__xludf.DUMMYFUNCTION("""COMPUTED_VALUE"""),2487.59)</f>
        <v>2487.59</v>
      </c>
      <c r="D370" s="2">
        <f>IFERROR(__xludf.DUMMYFUNCTION("""COMPUTED_VALUE"""),2231.66)</f>
        <v>2231.66</v>
      </c>
      <c r="E370" s="2">
        <f>IFERROR(__xludf.DUMMYFUNCTION("""COMPUTED_VALUE"""),2272.61)</f>
        <v>2272.61</v>
      </c>
      <c r="F370" s="2">
        <f>IFERROR(__xludf.DUMMYFUNCTION("""COMPUTED_VALUE"""),1.46894E8)</f>
        <v>146894000</v>
      </c>
      <c r="G370" s="2">
        <f t="shared" si="1"/>
        <v>255.93</v>
      </c>
    </row>
    <row r="371" ht="15.75" customHeight="1">
      <c r="A371" s="1">
        <f>IFERROR(__xludf.DUMMYFUNCTION("""COMPUTED_VALUE"""),44399.625)</f>
        <v>44399.625</v>
      </c>
      <c r="B371" s="2">
        <f>IFERROR(__xludf.DUMMYFUNCTION("""COMPUTED_VALUE"""),2282.85)</f>
        <v>2282.85</v>
      </c>
      <c r="C371" s="2">
        <f>IFERROR(__xludf.DUMMYFUNCTION("""COMPUTED_VALUE"""),2313.56)</f>
        <v>2313.56</v>
      </c>
      <c r="D371" s="2">
        <f>IFERROR(__xludf.DUMMYFUNCTION("""COMPUTED_VALUE"""),2221.43)</f>
        <v>2221.43</v>
      </c>
      <c r="E371" s="2">
        <f>IFERROR(__xludf.DUMMYFUNCTION("""COMPUTED_VALUE"""),2252.14)</f>
        <v>2252.14</v>
      </c>
      <c r="F371" s="2">
        <f>IFERROR(__xludf.DUMMYFUNCTION("""COMPUTED_VALUE"""),9.37284E7)</f>
        <v>93728400</v>
      </c>
      <c r="G371" s="2">
        <f t="shared" si="1"/>
        <v>92.13</v>
      </c>
    </row>
    <row r="372" ht="15.75" customHeight="1">
      <c r="A372" s="1">
        <f>IFERROR(__xludf.DUMMYFUNCTION("""COMPUTED_VALUE"""),44400.625)</f>
        <v>44400.625</v>
      </c>
      <c r="B372" s="2">
        <f>IFERROR(__xludf.DUMMYFUNCTION("""COMPUTED_VALUE"""),2262.37)</f>
        <v>2262.37</v>
      </c>
      <c r="C372" s="2">
        <f>IFERROR(__xludf.DUMMYFUNCTION("""COMPUTED_VALUE"""),2467.11)</f>
        <v>2467.11</v>
      </c>
      <c r="D372" s="2">
        <f>IFERROR(__xludf.DUMMYFUNCTION("""COMPUTED_VALUE"""),2252.14)</f>
        <v>2252.14</v>
      </c>
      <c r="E372" s="2">
        <f>IFERROR(__xludf.DUMMYFUNCTION("""COMPUTED_VALUE"""),2446.64)</f>
        <v>2446.64</v>
      </c>
      <c r="F372" s="2">
        <f>IFERROR(__xludf.DUMMYFUNCTION("""COMPUTED_VALUE"""),1.399081E8)</f>
        <v>139908100</v>
      </c>
      <c r="G372" s="2">
        <f t="shared" si="1"/>
        <v>214.97</v>
      </c>
    </row>
    <row r="373" ht="15.75" customHeight="1">
      <c r="A373" s="1">
        <f>IFERROR(__xludf.DUMMYFUNCTION("""COMPUTED_VALUE"""),44403.625)</f>
        <v>44403.625</v>
      </c>
      <c r="B373" s="2">
        <f>IFERROR(__xludf.DUMMYFUNCTION("""COMPUTED_VALUE"""),2456.88)</f>
        <v>2456.88</v>
      </c>
      <c r="C373" s="2">
        <f>IFERROR(__xludf.DUMMYFUNCTION("""COMPUTED_VALUE"""),2753.75)</f>
        <v>2753.75</v>
      </c>
      <c r="D373" s="2">
        <f>IFERROR(__xludf.DUMMYFUNCTION("""COMPUTED_VALUE"""),2415.93)</f>
        <v>2415.93</v>
      </c>
      <c r="E373" s="2">
        <f>IFERROR(__xludf.DUMMYFUNCTION("""COMPUTED_VALUE"""),2692.33)</f>
        <v>2692.33</v>
      </c>
      <c r="F373" s="2">
        <f>IFERROR(__xludf.DUMMYFUNCTION("""COMPUTED_VALUE"""),1.602527E8)</f>
        <v>160252700</v>
      </c>
      <c r="G373" s="2">
        <f t="shared" si="1"/>
        <v>337.82</v>
      </c>
    </row>
    <row r="374" ht="15.75" customHeight="1">
      <c r="A374" s="1">
        <f>IFERROR(__xludf.DUMMYFUNCTION("""COMPUTED_VALUE"""),44404.625)</f>
        <v>44404.625</v>
      </c>
      <c r="B374" s="2">
        <f>IFERROR(__xludf.DUMMYFUNCTION("""COMPUTED_VALUE"""),2661.62)</f>
        <v>2661.62</v>
      </c>
      <c r="C374" s="2">
        <f>IFERROR(__xludf.DUMMYFUNCTION("""COMPUTED_VALUE"""),2815.17)</f>
        <v>2815.17</v>
      </c>
      <c r="D374" s="2">
        <f>IFERROR(__xludf.DUMMYFUNCTION("""COMPUTED_VALUE"""),2661.62)</f>
        <v>2661.62</v>
      </c>
      <c r="E374" s="2">
        <f>IFERROR(__xludf.DUMMYFUNCTION("""COMPUTED_VALUE"""),2682.09)</f>
        <v>2682.09</v>
      </c>
      <c r="F374" s="2">
        <f>IFERROR(__xludf.DUMMYFUNCTION("""COMPUTED_VALUE"""),1.102662E8)</f>
        <v>110266200</v>
      </c>
      <c r="G374" s="2">
        <f t="shared" si="1"/>
        <v>153.55</v>
      </c>
    </row>
    <row r="375" ht="15.75" customHeight="1">
      <c r="A375" s="1">
        <f>IFERROR(__xludf.DUMMYFUNCTION("""COMPUTED_VALUE"""),44405.625)</f>
        <v>44405.625</v>
      </c>
      <c r="B375" s="2">
        <f>IFERROR(__xludf.DUMMYFUNCTION("""COMPUTED_VALUE"""),2682.09)</f>
        <v>2682.09</v>
      </c>
      <c r="C375" s="2">
        <f>IFERROR(__xludf.DUMMYFUNCTION("""COMPUTED_VALUE"""),2989.2)</f>
        <v>2989.2</v>
      </c>
      <c r="D375" s="2">
        <f>IFERROR(__xludf.DUMMYFUNCTION("""COMPUTED_VALUE"""),2661.62)</f>
        <v>2661.62</v>
      </c>
      <c r="E375" s="2">
        <f>IFERROR(__xludf.DUMMYFUNCTION("""COMPUTED_VALUE"""),2917.54)</f>
        <v>2917.54</v>
      </c>
      <c r="F375" s="2">
        <f>IFERROR(__xludf.DUMMYFUNCTION("""COMPUTED_VALUE"""),1.627211E8)</f>
        <v>162721100</v>
      </c>
      <c r="G375" s="2">
        <f t="shared" si="1"/>
        <v>327.58</v>
      </c>
    </row>
    <row r="376" ht="15.75" customHeight="1">
      <c r="A376" s="1">
        <f>IFERROR(__xludf.DUMMYFUNCTION("""COMPUTED_VALUE"""),44406.625)</f>
        <v>44406.625</v>
      </c>
      <c r="B376" s="2">
        <f>IFERROR(__xludf.DUMMYFUNCTION("""COMPUTED_VALUE"""),2927.78)</f>
        <v>2927.78</v>
      </c>
      <c r="C376" s="2">
        <f>IFERROR(__xludf.DUMMYFUNCTION("""COMPUTED_VALUE"""),2968.73)</f>
        <v>2968.73</v>
      </c>
      <c r="D376" s="2">
        <f>IFERROR(__xludf.DUMMYFUNCTION("""COMPUTED_VALUE"""),2723.04)</f>
        <v>2723.04</v>
      </c>
      <c r="E376" s="2">
        <f>IFERROR(__xludf.DUMMYFUNCTION("""COMPUTED_VALUE"""),2723.04)</f>
        <v>2723.04</v>
      </c>
      <c r="F376" s="2">
        <f>IFERROR(__xludf.DUMMYFUNCTION("""COMPUTED_VALUE"""),1.871554E8)</f>
        <v>187155400</v>
      </c>
      <c r="G376" s="2">
        <f t="shared" si="1"/>
        <v>245.69</v>
      </c>
    </row>
    <row r="377" ht="15.75" customHeight="1">
      <c r="A377" s="1">
        <f>IFERROR(__xludf.DUMMYFUNCTION("""COMPUTED_VALUE"""),44407.625)</f>
        <v>44407.625</v>
      </c>
      <c r="B377" s="2">
        <f>IFERROR(__xludf.DUMMYFUNCTION("""COMPUTED_VALUE"""),2723.04)</f>
        <v>2723.04</v>
      </c>
      <c r="C377" s="2">
        <f>IFERROR(__xludf.DUMMYFUNCTION("""COMPUTED_VALUE"""),2733.27)</f>
        <v>2733.27</v>
      </c>
      <c r="D377" s="2">
        <f>IFERROR(__xludf.DUMMYFUNCTION("""COMPUTED_VALUE"""),2549.01)</f>
        <v>2549.01</v>
      </c>
      <c r="E377" s="2">
        <f>IFERROR(__xludf.DUMMYFUNCTION("""COMPUTED_VALUE"""),2559.25)</f>
        <v>2559.25</v>
      </c>
      <c r="F377" s="2">
        <f>IFERROR(__xludf.DUMMYFUNCTION("""COMPUTED_VALUE"""),2.164314E8)</f>
        <v>216431400</v>
      </c>
      <c r="G377" s="2">
        <f t="shared" si="1"/>
        <v>184.26</v>
      </c>
    </row>
    <row r="378" ht="15.75" customHeight="1">
      <c r="A378" s="1">
        <f>IFERROR(__xludf.DUMMYFUNCTION("""COMPUTED_VALUE"""),44410.625)</f>
        <v>44410.625</v>
      </c>
      <c r="B378" s="2">
        <f>IFERROR(__xludf.DUMMYFUNCTION("""COMPUTED_VALUE"""),2569.48)</f>
        <v>2569.48</v>
      </c>
      <c r="C378" s="2">
        <f>IFERROR(__xludf.DUMMYFUNCTION("""COMPUTED_VALUE"""),2671.85)</f>
        <v>2671.85</v>
      </c>
      <c r="D378" s="2">
        <f>IFERROR(__xludf.DUMMYFUNCTION("""COMPUTED_VALUE"""),2385.22)</f>
        <v>2385.22</v>
      </c>
      <c r="E378" s="2">
        <f>IFERROR(__xludf.DUMMYFUNCTION("""COMPUTED_VALUE"""),2641.14)</f>
        <v>2641.14</v>
      </c>
      <c r="F378" s="2">
        <f>IFERROR(__xludf.DUMMYFUNCTION("""COMPUTED_VALUE"""),2.859064E8)</f>
        <v>285906400</v>
      </c>
      <c r="G378" s="2">
        <f t="shared" si="1"/>
        <v>286.63</v>
      </c>
    </row>
    <row r="379" ht="15.75" customHeight="1">
      <c r="A379" s="1">
        <f>IFERROR(__xludf.DUMMYFUNCTION("""COMPUTED_VALUE"""),44411.625)</f>
        <v>44411.625</v>
      </c>
      <c r="B379" s="2">
        <f>IFERROR(__xludf.DUMMYFUNCTION("""COMPUTED_VALUE"""),2661.62)</f>
        <v>2661.62</v>
      </c>
      <c r="C379" s="2">
        <f>IFERROR(__xludf.DUMMYFUNCTION("""COMPUTED_VALUE"""),2702.56)</f>
        <v>2702.56</v>
      </c>
      <c r="D379" s="2">
        <f>IFERROR(__xludf.DUMMYFUNCTION("""COMPUTED_VALUE"""),2610.43)</f>
        <v>2610.43</v>
      </c>
      <c r="E379" s="2">
        <f>IFERROR(__xludf.DUMMYFUNCTION("""COMPUTED_VALUE"""),2641.14)</f>
        <v>2641.14</v>
      </c>
      <c r="F379" s="2">
        <f>IFERROR(__xludf.DUMMYFUNCTION("""COMPUTED_VALUE"""),6.2786E7)</f>
        <v>62786000</v>
      </c>
      <c r="G379" s="2">
        <f t="shared" si="1"/>
        <v>92.13</v>
      </c>
    </row>
    <row r="380" ht="15.75" customHeight="1">
      <c r="A380" s="1">
        <f>IFERROR(__xludf.DUMMYFUNCTION("""COMPUTED_VALUE"""),44412.625)</f>
        <v>44412.625</v>
      </c>
      <c r="B380" s="2">
        <f>IFERROR(__xludf.DUMMYFUNCTION("""COMPUTED_VALUE"""),2641.14)</f>
        <v>2641.14</v>
      </c>
      <c r="C380" s="2">
        <f>IFERROR(__xludf.DUMMYFUNCTION("""COMPUTED_VALUE"""),2723.04)</f>
        <v>2723.04</v>
      </c>
      <c r="D380" s="2">
        <f>IFERROR(__xludf.DUMMYFUNCTION("""COMPUTED_VALUE"""),2579.72)</f>
        <v>2579.72</v>
      </c>
      <c r="E380" s="2">
        <f>IFERROR(__xludf.DUMMYFUNCTION("""COMPUTED_VALUE"""),2641.14)</f>
        <v>2641.14</v>
      </c>
      <c r="F380" s="2">
        <f>IFERROR(__xludf.DUMMYFUNCTION("""COMPUTED_VALUE"""),6.6353E7)</f>
        <v>66353000</v>
      </c>
      <c r="G380" s="2">
        <f t="shared" si="1"/>
        <v>143.32</v>
      </c>
    </row>
    <row r="381" ht="15.75" customHeight="1">
      <c r="A381" s="1">
        <f>IFERROR(__xludf.DUMMYFUNCTION("""COMPUTED_VALUE"""),44413.625)</f>
        <v>44413.625</v>
      </c>
      <c r="B381" s="2">
        <f>IFERROR(__xludf.DUMMYFUNCTION("""COMPUTED_VALUE"""),2641.14)</f>
        <v>2641.14</v>
      </c>
      <c r="C381" s="2">
        <f>IFERROR(__xludf.DUMMYFUNCTION("""COMPUTED_VALUE"""),2948.25)</f>
        <v>2948.25</v>
      </c>
      <c r="D381" s="2">
        <f>IFERROR(__xludf.DUMMYFUNCTION("""COMPUTED_VALUE"""),2610.43)</f>
        <v>2610.43</v>
      </c>
      <c r="E381" s="2">
        <f>IFERROR(__xludf.DUMMYFUNCTION("""COMPUTED_VALUE"""),2784.46)</f>
        <v>2784.46</v>
      </c>
      <c r="F381" s="2">
        <f>IFERROR(__xludf.DUMMYFUNCTION("""COMPUTED_VALUE"""),2.124901E8)</f>
        <v>212490100</v>
      </c>
      <c r="G381" s="2">
        <f t="shared" si="1"/>
        <v>337.82</v>
      </c>
    </row>
    <row r="382" ht="15.75" customHeight="1">
      <c r="A382" s="1">
        <f>IFERROR(__xludf.DUMMYFUNCTION("""COMPUTED_VALUE"""),44414.625)</f>
        <v>44414.625</v>
      </c>
      <c r="B382" s="2">
        <f>IFERROR(__xludf.DUMMYFUNCTION("""COMPUTED_VALUE"""),2825.41)</f>
        <v>2825.41</v>
      </c>
      <c r="C382" s="2">
        <f>IFERROR(__xludf.DUMMYFUNCTION("""COMPUTED_VALUE"""),2856.12)</f>
        <v>2856.12</v>
      </c>
      <c r="D382" s="2">
        <f>IFERROR(__xludf.DUMMYFUNCTION("""COMPUTED_VALUE"""),2641.14)</f>
        <v>2641.14</v>
      </c>
      <c r="E382" s="2">
        <f>IFERROR(__xludf.DUMMYFUNCTION("""COMPUTED_VALUE"""),2682.09)</f>
        <v>2682.09</v>
      </c>
      <c r="F382" s="2">
        <f>IFERROR(__xludf.DUMMYFUNCTION("""COMPUTED_VALUE"""),1.124836E8)</f>
        <v>112483600</v>
      </c>
      <c r="G382" s="2">
        <f t="shared" si="1"/>
        <v>214.98</v>
      </c>
    </row>
    <row r="383" ht="15.75" customHeight="1">
      <c r="A383" s="1">
        <f>IFERROR(__xludf.DUMMYFUNCTION("""COMPUTED_VALUE"""),44417.625)</f>
        <v>44417.625</v>
      </c>
      <c r="B383" s="2">
        <f>IFERROR(__xludf.DUMMYFUNCTION("""COMPUTED_VALUE"""),2682.09)</f>
        <v>2682.09</v>
      </c>
      <c r="C383" s="2">
        <f>IFERROR(__xludf.DUMMYFUNCTION("""COMPUTED_VALUE"""),2702.56)</f>
        <v>2702.56</v>
      </c>
      <c r="D383" s="2">
        <f>IFERROR(__xludf.DUMMYFUNCTION("""COMPUTED_VALUE"""),2497.82)</f>
        <v>2497.82</v>
      </c>
      <c r="E383" s="2">
        <f>IFERROR(__xludf.DUMMYFUNCTION("""COMPUTED_VALUE"""),2497.82)</f>
        <v>2497.82</v>
      </c>
      <c r="F383" s="2">
        <f>IFERROR(__xludf.DUMMYFUNCTION("""COMPUTED_VALUE"""),1.371727E8)</f>
        <v>137172700</v>
      </c>
      <c r="G383" s="2">
        <f t="shared" si="1"/>
        <v>204.74</v>
      </c>
    </row>
    <row r="384" ht="15.75" customHeight="1">
      <c r="A384" s="1">
        <f>IFERROR(__xludf.DUMMYFUNCTION("""COMPUTED_VALUE"""),44418.625)</f>
        <v>44418.625</v>
      </c>
      <c r="B384" s="2">
        <f>IFERROR(__xludf.DUMMYFUNCTION("""COMPUTED_VALUE"""),2477.35)</f>
        <v>2477.35</v>
      </c>
      <c r="C384" s="2">
        <f>IFERROR(__xludf.DUMMYFUNCTION("""COMPUTED_VALUE"""),2477.35)</f>
        <v>2477.35</v>
      </c>
      <c r="D384" s="2">
        <f>IFERROR(__xludf.DUMMYFUNCTION("""COMPUTED_VALUE"""),2323.8)</f>
        <v>2323.8</v>
      </c>
      <c r="E384" s="2">
        <f>IFERROR(__xludf.DUMMYFUNCTION("""COMPUTED_VALUE"""),2323.8)</f>
        <v>2323.8</v>
      </c>
      <c r="F384" s="2">
        <f>IFERROR(__xludf.DUMMYFUNCTION("""COMPUTED_VALUE"""),1.033451E8)</f>
        <v>103345100</v>
      </c>
      <c r="G384" s="2">
        <f t="shared" si="1"/>
        <v>174.02</v>
      </c>
    </row>
    <row r="385" ht="15.75" customHeight="1">
      <c r="A385" s="1">
        <f>IFERROR(__xludf.DUMMYFUNCTION("""COMPUTED_VALUE"""),44420.625)</f>
        <v>44420.625</v>
      </c>
      <c r="B385" s="2">
        <f>IFERROR(__xludf.DUMMYFUNCTION("""COMPUTED_VALUE"""),2303.32)</f>
        <v>2303.32</v>
      </c>
      <c r="C385" s="2">
        <f>IFERROR(__xludf.DUMMYFUNCTION("""COMPUTED_VALUE"""),2344.27)</f>
        <v>2344.27</v>
      </c>
      <c r="D385" s="2">
        <f>IFERROR(__xludf.DUMMYFUNCTION("""COMPUTED_VALUE"""),2180.48)</f>
        <v>2180.48</v>
      </c>
      <c r="E385" s="2">
        <f>IFERROR(__xludf.DUMMYFUNCTION("""COMPUTED_VALUE"""),2262.37)</f>
        <v>2262.37</v>
      </c>
      <c r="F385" s="2">
        <f>IFERROR(__xludf.DUMMYFUNCTION("""COMPUTED_VALUE"""),1.746126E8)</f>
        <v>174612600</v>
      </c>
      <c r="G385" s="2">
        <f t="shared" si="1"/>
        <v>163.79</v>
      </c>
    </row>
    <row r="386" ht="15.75" customHeight="1">
      <c r="A386" s="1">
        <f>IFERROR(__xludf.DUMMYFUNCTION("""COMPUTED_VALUE"""),44421.625)</f>
        <v>44421.625</v>
      </c>
      <c r="B386" s="2">
        <f>IFERROR(__xludf.DUMMYFUNCTION("""COMPUTED_VALUE"""),2272.61)</f>
        <v>2272.61</v>
      </c>
      <c r="C386" s="2">
        <f>IFERROR(__xludf.DUMMYFUNCTION("""COMPUTED_VALUE"""),2487.59)</f>
        <v>2487.59</v>
      </c>
      <c r="D386" s="2">
        <f>IFERROR(__xludf.DUMMYFUNCTION("""COMPUTED_VALUE"""),2231.66)</f>
        <v>2231.66</v>
      </c>
      <c r="E386" s="2">
        <f>IFERROR(__xludf.DUMMYFUNCTION("""COMPUTED_VALUE"""),2477.35)</f>
        <v>2477.35</v>
      </c>
      <c r="F386" s="2">
        <f>IFERROR(__xludf.DUMMYFUNCTION("""COMPUTED_VALUE"""),1.037305E8)</f>
        <v>103730500</v>
      </c>
      <c r="G386" s="2">
        <f t="shared" si="1"/>
        <v>255.93</v>
      </c>
    </row>
    <row r="387" ht="15.75" customHeight="1">
      <c r="A387" s="1">
        <f>IFERROR(__xludf.DUMMYFUNCTION("""COMPUTED_VALUE"""),44424.625)</f>
        <v>44424.625</v>
      </c>
      <c r="B387" s="2">
        <f>IFERROR(__xludf.DUMMYFUNCTION("""COMPUTED_VALUE"""),2497.82)</f>
        <v>2497.82</v>
      </c>
      <c r="C387" s="2">
        <f>IFERROR(__xludf.DUMMYFUNCTION("""COMPUTED_VALUE"""),2508.06)</f>
        <v>2508.06</v>
      </c>
      <c r="D387" s="2">
        <f>IFERROR(__xludf.DUMMYFUNCTION("""COMPUTED_VALUE"""),2313.56)</f>
        <v>2313.56</v>
      </c>
      <c r="E387" s="2">
        <f>IFERROR(__xludf.DUMMYFUNCTION("""COMPUTED_VALUE"""),2313.56)</f>
        <v>2313.56</v>
      </c>
      <c r="F387" s="2">
        <f>IFERROR(__xludf.DUMMYFUNCTION("""COMPUTED_VALUE"""),1.057574E8)</f>
        <v>105757400</v>
      </c>
      <c r="G387" s="2">
        <f t="shared" si="1"/>
        <v>194.5</v>
      </c>
    </row>
    <row r="388" ht="15.75" customHeight="1">
      <c r="A388" s="1">
        <f>IFERROR(__xludf.DUMMYFUNCTION("""COMPUTED_VALUE"""),44426.625)</f>
        <v>44426.625</v>
      </c>
      <c r="B388" s="2">
        <f>IFERROR(__xludf.DUMMYFUNCTION("""COMPUTED_VALUE"""),2293.08)</f>
        <v>2293.08</v>
      </c>
      <c r="C388" s="2">
        <f>IFERROR(__xludf.DUMMYFUNCTION("""COMPUTED_VALUE"""),2293.08)</f>
        <v>2293.08</v>
      </c>
      <c r="D388" s="2">
        <f>IFERROR(__xludf.DUMMYFUNCTION("""COMPUTED_VALUE"""),2160.0)</f>
        <v>2160</v>
      </c>
      <c r="E388" s="2">
        <f>IFERROR(__xludf.DUMMYFUNCTION("""COMPUTED_VALUE"""),2170.24)</f>
        <v>2170.24</v>
      </c>
      <c r="F388" s="2">
        <f>IFERROR(__xludf.DUMMYFUNCTION("""COMPUTED_VALUE"""),1.630991E8)</f>
        <v>163099100</v>
      </c>
      <c r="G388" s="2">
        <f t="shared" si="1"/>
        <v>153.56</v>
      </c>
    </row>
    <row r="389" ht="15.75" customHeight="1">
      <c r="A389" s="1">
        <f>IFERROR(__xludf.DUMMYFUNCTION("""COMPUTED_VALUE"""),44427.625)</f>
        <v>44427.625</v>
      </c>
      <c r="B389" s="2">
        <f>IFERROR(__xludf.DUMMYFUNCTION("""COMPUTED_VALUE"""),2170.24)</f>
        <v>2170.24</v>
      </c>
      <c r="C389" s="2">
        <f>IFERROR(__xludf.DUMMYFUNCTION("""COMPUTED_VALUE"""),2221.43)</f>
        <v>2221.43</v>
      </c>
      <c r="D389" s="2">
        <f>IFERROR(__xludf.DUMMYFUNCTION("""COMPUTED_VALUE"""),2026.92)</f>
        <v>2026.92</v>
      </c>
      <c r="E389" s="2">
        <f>IFERROR(__xludf.DUMMYFUNCTION("""COMPUTED_VALUE"""),2047.4)</f>
        <v>2047.4</v>
      </c>
      <c r="F389" s="2">
        <f>IFERROR(__xludf.DUMMYFUNCTION("""COMPUTED_VALUE"""),1.352649E8)</f>
        <v>135264900</v>
      </c>
      <c r="G389" s="2">
        <f t="shared" si="1"/>
        <v>194.51</v>
      </c>
    </row>
    <row r="390" ht="15.75" customHeight="1">
      <c r="A390" s="1">
        <f>IFERROR(__xludf.DUMMYFUNCTION("""COMPUTED_VALUE"""),44428.625)</f>
        <v>44428.625</v>
      </c>
      <c r="B390" s="2">
        <f>IFERROR(__xludf.DUMMYFUNCTION("""COMPUTED_VALUE"""),2047.4)</f>
        <v>2047.4</v>
      </c>
      <c r="C390" s="2">
        <f>IFERROR(__xludf.DUMMYFUNCTION("""COMPUTED_VALUE"""),2354.51)</f>
        <v>2354.51</v>
      </c>
      <c r="D390" s="2">
        <f>IFERROR(__xludf.DUMMYFUNCTION("""COMPUTED_VALUE"""),2011.57)</f>
        <v>2011.57</v>
      </c>
      <c r="E390" s="2">
        <f>IFERROR(__xludf.DUMMYFUNCTION("""COMPUTED_VALUE"""),2344.27)</f>
        <v>2344.27</v>
      </c>
      <c r="F390" s="2">
        <f>IFERROR(__xludf.DUMMYFUNCTION("""COMPUTED_VALUE"""),1.420914E8)</f>
        <v>142091400</v>
      </c>
      <c r="G390" s="2">
        <f t="shared" si="1"/>
        <v>342.94</v>
      </c>
    </row>
    <row r="391" ht="15.75" customHeight="1">
      <c r="A391" s="1">
        <f>IFERROR(__xludf.DUMMYFUNCTION("""COMPUTED_VALUE"""),44431.66666666667)</f>
        <v>44431.66667</v>
      </c>
      <c r="B391" s="2">
        <f>IFERROR(__xludf.DUMMYFUNCTION("""COMPUTED_VALUE"""),2374.98)</f>
        <v>2374.98</v>
      </c>
      <c r="C391" s="2">
        <f>IFERROR(__xludf.DUMMYFUNCTION("""COMPUTED_VALUE"""),2508.06)</f>
        <v>2508.06</v>
      </c>
      <c r="D391" s="2">
        <f>IFERROR(__xludf.DUMMYFUNCTION("""COMPUTED_VALUE"""),2272.61)</f>
        <v>2272.61</v>
      </c>
      <c r="E391" s="2">
        <f>IFERROR(__xludf.DUMMYFUNCTION("""COMPUTED_VALUE"""),2436.4)</f>
        <v>2436.4</v>
      </c>
      <c r="F391" s="2">
        <f>IFERROR(__xludf.DUMMYFUNCTION("""COMPUTED_VALUE"""),1.617784E8)</f>
        <v>161778400</v>
      </c>
      <c r="G391" s="2">
        <f t="shared" si="1"/>
        <v>235.45</v>
      </c>
    </row>
    <row r="392" ht="15.75" customHeight="1">
      <c r="A392" s="1">
        <f>IFERROR(__xludf.DUMMYFUNCTION("""COMPUTED_VALUE"""),44432.66666666667)</f>
        <v>44432.66667</v>
      </c>
      <c r="B392" s="2">
        <f>IFERROR(__xludf.DUMMYFUNCTION("""COMPUTED_VALUE"""),2446.64)</f>
        <v>2446.64</v>
      </c>
      <c r="C392" s="2">
        <f>IFERROR(__xludf.DUMMYFUNCTION("""COMPUTED_VALUE"""),2528.53)</f>
        <v>2528.53</v>
      </c>
      <c r="D392" s="2">
        <f>IFERROR(__xludf.DUMMYFUNCTION("""COMPUTED_VALUE"""),2334.03)</f>
        <v>2334.03</v>
      </c>
      <c r="E392" s="2">
        <f>IFERROR(__xludf.DUMMYFUNCTION("""COMPUTED_VALUE"""),2344.27)</f>
        <v>2344.27</v>
      </c>
      <c r="F392" s="2">
        <f>IFERROR(__xludf.DUMMYFUNCTION("""COMPUTED_VALUE"""),9.75607E7)</f>
        <v>97560700</v>
      </c>
      <c r="G392" s="2">
        <f t="shared" si="1"/>
        <v>194.5</v>
      </c>
    </row>
    <row r="393" ht="15.75" customHeight="1">
      <c r="A393" s="1">
        <f>IFERROR(__xludf.DUMMYFUNCTION("""COMPUTED_VALUE"""),44433.625)</f>
        <v>44433.625</v>
      </c>
      <c r="B393" s="2">
        <f>IFERROR(__xludf.DUMMYFUNCTION("""COMPUTED_VALUE"""),2344.27)</f>
        <v>2344.27</v>
      </c>
      <c r="C393" s="2">
        <f>IFERROR(__xludf.DUMMYFUNCTION("""COMPUTED_VALUE"""),2426.16)</f>
        <v>2426.16</v>
      </c>
      <c r="D393" s="2">
        <f>IFERROR(__xludf.DUMMYFUNCTION("""COMPUTED_VALUE"""),2313.56)</f>
        <v>2313.56</v>
      </c>
      <c r="E393" s="2">
        <f>IFERROR(__xludf.DUMMYFUNCTION("""COMPUTED_VALUE"""),2344.27)</f>
        <v>2344.27</v>
      </c>
      <c r="F393" s="2">
        <f>IFERROR(__xludf.DUMMYFUNCTION("""COMPUTED_VALUE"""),4.92404E7)</f>
        <v>49240400</v>
      </c>
      <c r="G393" s="2">
        <f t="shared" si="1"/>
        <v>112.6</v>
      </c>
    </row>
    <row r="394" ht="15.75" customHeight="1">
      <c r="A394" s="1">
        <f>IFERROR(__xludf.DUMMYFUNCTION("""COMPUTED_VALUE"""),44434.625)</f>
        <v>44434.625</v>
      </c>
      <c r="B394" s="2">
        <f>IFERROR(__xludf.DUMMYFUNCTION("""COMPUTED_VALUE"""),2344.27)</f>
        <v>2344.27</v>
      </c>
      <c r="C394" s="2">
        <f>IFERROR(__xludf.DUMMYFUNCTION("""COMPUTED_VALUE"""),2385.22)</f>
        <v>2385.22</v>
      </c>
      <c r="D394" s="2">
        <f>IFERROR(__xludf.DUMMYFUNCTION("""COMPUTED_VALUE"""),2252.14)</f>
        <v>2252.14</v>
      </c>
      <c r="E394" s="2">
        <f>IFERROR(__xludf.DUMMYFUNCTION("""COMPUTED_VALUE"""),2262.37)</f>
        <v>2262.37</v>
      </c>
      <c r="F394" s="2">
        <f>IFERROR(__xludf.DUMMYFUNCTION("""COMPUTED_VALUE"""),7.00527E7)</f>
        <v>70052700</v>
      </c>
      <c r="G394" s="2">
        <f t="shared" si="1"/>
        <v>133.08</v>
      </c>
    </row>
    <row r="395" ht="15.75" customHeight="1">
      <c r="A395" s="1">
        <f>IFERROR(__xludf.DUMMYFUNCTION("""COMPUTED_VALUE"""),44435.625)</f>
        <v>44435.625</v>
      </c>
      <c r="B395" s="2">
        <f>IFERROR(__xludf.DUMMYFUNCTION("""COMPUTED_VALUE"""),2262.37)</f>
        <v>2262.37</v>
      </c>
      <c r="C395" s="2">
        <f>IFERROR(__xludf.DUMMYFUNCTION("""COMPUTED_VALUE"""),2364.74)</f>
        <v>2364.74</v>
      </c>
      <c r="D395" s="2">
        <f>IFERROR(__xludf.DUMMYFUNCTION("""COMPUTED_VALUE"""),2221.43)</f>
        <v>2221.43</v>
      </c>
      <c r="E395" s="2">
        <f>IFERROR(__xludf.DUMMYFUNCTION("""COMPUTED_VALUE"""),2272.61)</f>
        <v>2272.61</v>
      </c>
      <c r="F395" s="2">
        <f>IFERROR(__xludf.DUMMYFUNCTION("""COMPUTED_VALUE"""),6.3642E7)</f>
        <v>63642000</v>
      </c>
      <c r="G395" s="2">
        <f t="shared" si="1"/>
        <v>143.31</v>
      </c>
    </row>
    <row r="396" ht="15.75" customHeight="1">
      <c r="A396" s="1">
        <f>IFERROR(__xludf.DUMMYFUNCTION("""COMPUTED_VALUE"""),44438.625)</f>
        <v>44438.625</v>
      </c>
      <c r="B396" s="2">
        <f>IFERROR(__xludf.DUMMYFUNCTION("""COMPUTED_VALUE"""),2323.8)</f>
        <v>2323.8</v>
      </c>
      <c r="C396" s="2">
        <f>IFERROR(__xludf.DUMMYFUNCTION("""COMPUTED_VALUE"""),2436.4)</f>
        <v>2436.4</v>
      </c>
      <c r="D396" s="2">
        <f>IFERROR(__xludf.DUMMYFUNCTION("""COMPUTED_VALUE"""),2303.32)</f>
        <v>2303.32</v>
      </c>
      <c r="E396" s="2">
        <f>IFERROR(__xludf.DUMMYFUNCTION("""COMPUTED_VALUE"""),2426.16)</f>
        <v>2426.16</v>
      </c>
      <c r="F396" s="2">
        <f>IFERROR(__xludf.DUMMYFUNCTION("""COMPUTED_VALUE"""),7.63247E7)</f>
        <v>76324700</v>
      </c>
      <c r="G396" s="2">
        <f t="shared" si="1"/>
        <v>163.79</v>
      </c>
    </row>
    <row r="397" ht="15.75" customHeight="1">
      <c r="A397" s="1">
        <f>IFERROR(__xludf.DUMMYFUNCTION("""COMPUTED_VALUE"""),44439.625)</f>
        <v>44439.625</v>
      </c>
      <c r="B397" s="2">
        <f>IFERROR(__xludf.DUMMYFUNCTION("""COMPUTED_VALUE"""),2426.16)</f>
        <v>2426.16</v>
      </c>
      <c r="C397" s="2">
        <f>IFERROR(__xludf.DUMMYFUNCTION("""COMPUTED_VALUE"""),2456.88)</f>
        <v>2456.88</v>
      </c>
      <c r="D397" s="2">
        <f>IFERROR(__xludf.DUMMYFUNCTION("""COMPUTED_VALUE"""),2364.74)</f>
        <v>2364.74</v>
      </c>
      <c r="E397" s="2">
        <f>IFERROR(__xludf.DUMMYFUNCTION("""COMPUTED_VALUE"""),2405.69)</f>
        <v>2405.69</v>
      </c>
      <c r="F397" s="2">
        <f>IFERROR(__xludf.DUMMYFUNCTION("""COMPUTED_VALUE"""),5.56401E7)</f>
        <v>55640100</v>
      </c>
      <c r="G397" s="2">
        <f t="shared" si="1"/>
        <v>92.14</v>
      </c>
    </row>
    <row r="398" ht="15.75" customHeight="1">
      <c r="A398" s="1">
        <f>IFERROR(__xludf.DUMMYFUNCTION("""COMPUTED_VALUE"""),44440.625)</f>
        <v>44440.625</v>
      </c>
      <c r="B398" s="2">
        <f>IFERROR(__xludf.DUMMYFUNCTION("""COMPUTED_VALUE"""),2426.16)</f>
        <v>2426.16</v>
      </c>
      <c r="C398" s="2">
        <f>IFERROR(__xludf.DUMMYFUNCTION("""COMPUTED_VALUE"""),2436.4)</f>
        <v>2436.4</v>
      </c>
      <c r="D398" s="2">
        <f>IFERROR(__xludf.DUMMYFUNCTION("""COMPUTED_VALUE"""),2272.61)</f>
        <v>2272.61</v>
      </c>
      <c r="E398" s="2">
        <f>IFERROR(__xludf.DUMMYFUNCTION("""COMPUTED_VALUE"""),2303.32)</f>
        <v>2303.32</v>
      </c>
      <c r="F398" s="2">
        <f>IFERROR(__xludf.DUMMYFUNCTION("""COMPUTED_VALUE"""),6.71749E7)</f>
        <v>67174900</v>
      </c>
      <c r="G398" s="2">
        <f t="shared" si="1"/>
        <v>163.79</v>
      </c>
    </row>
    <row r="399" ht="15.75" customHeight="1">
      <c r="A399" s="1">
        <f>IFERROR(__xludf.DUMMYFUNCTION("""COMPUTED_VALUE"""),44441.625)</f>
        <v>44441.625</v>
      </c>
      <c r="B399" s="2">
        <f>IFERROR(__xludf.DUMMYFUNCTION("""COMPUTED_VALUE"""),2303.32)</f>
        <v>2303.32</v>
      </c>
      <c r="C399" s="2">
        <f>IFERROR(__xludf.DUMMYFUNCTION("""COMPUTED_VALUE"""),2374.98)</f>
        <v>2374.98</v>
      </c>
      <c r="D399" s="2">
        <f>IFERROR(__xludf.DUMMYFUNCTION("""COMPUTED_VALUE"""),2293.08)</f>
        <v>2293.08</v>
      </c>
      <c r="E399" s="2">
        <f>IFERROR(__xludf.DUMMYFUNCTION("""COMPUTED_VALUE"""),2344.27)</f>
        <v>2344.27</v>
      </c>
      <c r="F399" s="2">
        <f>IFERROR(__xludf.DUMMYFUNCTION("""COMPUTED_VALUE"""),6.89381E7)</f>
        <v>68938100</v>
      </c>
      <c r="G399" s="2">
        <f t="shared" si="1"/>
        <v>81.9</v>
      </c>
    </row>
    <row r="400" ht="15.75" customHeight="1">
      <c r="A400" s="1">
        <f>IFERROR(__xludf.DUMMYFUNCTION("""COMPUTED_VALUE"""),44442.625)</f>
        <v>44442.625</v>
      </c>
      <c r="B400" s="2">
        <f>IFERROR(__xludf.DUMMYFUNCTION("""COMPUTED_VALUE"""),2344.27)</f>
        <v>2344.27</v>
      </c>
      <c r="C400" s="2">
        <f>IFERROR(__xludf.DUMMYFUNCTION("""COMPUTED_VALUE"""),2405.69)</f>
        <v>2405.69</v>
      </c>
      <c r="D400" s="2">
        <f>IFERROR(__xludf.DUMMYFUNCTION("""COMPUTED_VALUE"""),2303.32)</f>
        <v>2303.32</v>
      </c>
      <c r="E400" s="2">
        <f>IFERROR(__xludf.DUMMYFUNCTION("""COMPUTED_VALUE"""),2344.27)</f>
        <v>2344.27</v>
      </c>
      <c r="F400" s="2">
        <f>IFERROR(__xludf.DUMMYFUNCTION("""COMPUTED_VALUE"""),5.83918E7)</f>
        <v>58391800</v>
      </c>
      <c r="G400" s="2">
        <f t="shared" si="1"/>
        <v>102.37</v>
      </c>
    </row>
    <row r="401" ht="15.75" customHeight="1">
      <c r="A401" s="1">
        <f>IFERROR(__xludf.DUMMYFUNCTION("""COMPUTED_VALUE"""),44445.625)</f>
        <v>44445.625</v>
      </c>
      <c r="B401" s="2">
        <f>IFERROR(__xludf.DUMMYFUNCTION("""COMPUTED_VALUE"""),2364.74)</f>
        <v>2364.74</v>
      </c>
      <c r="C401" s="2">
        <f>IFERROR(__xludf.DUMMYFUNCTION("""COMPUTED_VALUE"""),2374.98)</f>
        <v>2374.98</v>
      </c>
      <c r="D401" s="2">
        <f>IFERROR(__xludf.DUMMYFUNCTION("""COMPUTED_VALUE"""),2282.85)</f>
        <v>2282.85</v>
      </c>
      <c r="E401" s="2">
        <f>IFERROR(__xludf.DUMMYFUNCTION("""COMPUTED_VALUE"""),2313.56)</f>
        <v>2313.56</v>
      </c>
      <c r="F401" s="2">
        <f>IFERROR(__xludf.DUMMYFUNCTION("""COMPUTED_VALUE"""),3.2656E7)</f>
        <v>32656000</v>
      </c>
      <c r="G401" s="2">
        <f t="shared" si="1"/>
        <v>92.13</v>
      </c>
    </row>
    <row r="402" ht="15.75" customHeight="1">
      <c r="A402" s="1">
        <f>IFERROR(__xludf.DUMMYFUNCTION("""COMPUTED_VALUE"""),44446.625)</f>
        <v>44446.625</v>
      </c>
      <c r="B402" s="2">
        <f>IFERROR(__xludf.DUMMYFUNCTION("""COMPUTED_VALUE"""),2313.56)</f>
        <v>2313.56</v>
      </c>
      <c r="C402" s="2">
        <f>IFERROR(__xludf.DUMMYFUNCTION("""COMPUTED_VALUE"""),2374.98)</f>
        <v>2374.98</v>
      </c>
      <c r="D402" s="2">
        <f>IFERROR(__xludf.DUMMYFUNCTION("""COMPUTED_VALUE"""),2313.56)</f>
        <v>2313.56</v>
      </c>
      <c r="E402" s="2">
        <f>IFERROR(__xludf.DUMMYFUNCTION("""COMPUTED_VALUE"""),2323.8)</f>
        <v>2323.8</v>
      </c>
      <c r="F402" s="2">
        <f>IFERROR(__xludf.DUMMYFUNCTION("""COMPUTED_VALUE"""),2.75266E7)</f>
        <v>27526600</v>
      </c>
      <c r="G402" s="2">
        <f t="shared" si="1"/>
        <v>61.42</v>
      </c>
    </row>
    <row r="403" ht="15.75" customHeight="1">
      <c r="A403" s="1">
        <f>IFERROR(__xludf.DUMMYFUNCTION("""COMPUTED_VALUE"""),44447.625)</f>
        <v>44447.625</v>
      </c>
      <c r="B403" s="2">
        <f>IFERROR(__xludf.DUMMYFUNCTION("""COMPUTED_VALUE"""),2323.8)</f>
        <v>2323.8</v>
      </c>
      <c r="C403" s="2">
        <f>IFERROR(__xludf.DUMMYFUNCTION("""COMPUTED_VALUE"""),2354.51)</f>
        <v>2354.51</v>
      </c>
      <c r="D403" s="2">
        <f>IFERROR(__xludf.DUMMYFUNCTION("""COMPUTED_VALUE"""),2200.95)</f>
        <v>2200.95</v>
      </c>
      <c r="E403" s="2">
        <f>IFERROR(__xludf.DUMMYFUNCTION("""COMPUTED_VALUE"""),2221.43)</f>
        <v>2221.43</v>
      </c>
      <c r="F403" s="2">
        <f>IFERROR(__xludf.DUMMYFUNCTION("""COMPUTED_VALUE"""),5.09842E7)</f>
        <v>50984200</v>
      </c>
      <c r="G403" s="2">
        <f t="shared" si="1"/>
        <v>153.56</v>
      </c>
    </row>
    <row r="404" ht="15.75" customHeight="1">
      <c r="A404" s="1">
        <f>IFERROR(__xludf.DUMMYFUNCTION("""COMPUTED_VALUE"""),44448.625)</f>
        <v>44448.625</v>
      </c>
      <c r="B404" s="2">
        <f>IFERROR(__xludf.DUMMYFUNCTION("""COMPUTED_VALUE"""),2221.43)</f>
        <v>2221.43</v>
      </c>
      <c r="C404" s="2">
        <f>IFERROR(__xludf.DUMMYFUNCTION("""COMPUTED_VALUE"""),2252.14)</f>
        <v>2252.14</v>
      </c>
      <c r="D404" s="2">
        <f>IFERROR(__xludf.DUMMYFUNCTION("""COMPUTED_VALUE"""),2078.11)</f>
        <v>2078.11</v>
      </c>
      <c r="E404" s="2">
        <f>IFERROR(__xludf.DUMMYFUNCTION("""COMPUTED_VALUE"""),2119.06)</f>
        <v>2119.06</v>
      </c>
      <c r="F404" s="2">
        <f>IFERROR(__xludf.DUMMYFUNCTION("""COMPUTED_VALUE"""),8.63936E7)</f>
        <v>86393600</v>
      </c>
      <c r="G404" s="2">
        <f t="shared" si="1"/>
        <v>174.03</v>
      </c>
    </row>
    <row r="405" ht="15.75" customHeight="1">
      <c r="A405" s="1">
        <f>IFERROR(__xludf.DUMMYFUNCTION("""COMPUTED_VALUE"""),44449.625)</f>
        <v>44449.625</v>
      </c>
      <c r="B405" s="2">
        <f>IFERROR(__xludf.DUMMYFUNCTION("""COMPUTED_VALUE"""),2160.0)</f>
        <v>2160</v>
      </c>
      <c r="C405" s="2">
        <f>IFERROR(__xludf.DUMMYFUNCTION("""COMPUTED_VALUE"""),2211.19)</f>
        <v>2211.19</v>
      </c>
      <c r="D405" s="2">
        <f>IFERROR(__xludf.DUMMYFUNCTION("""COMPUTED_VALUE"""),2088.34)</f>
        <v>2088.34</v>
      </c>
      <c r="E405" s="2">
        <f>IFERROR(__xludf.DUMMYFUNCTION("""COMPUTED_VALUE"""),2170.24)</f>
        <v>2170.24</v>
      </c>
      <c r="F405" s="2">
        <f>IFERROR(__xludf.DUMMYFUNCTION("""COMPUTED_VALUE"""),9.18791E7)</f>
        <v>91879100</v>
      </c>
      <c r="G405" s="2">
        <f t="shared" si="1"/>
        <v>122.85</v>
      </c>
    </row>
    <row r="406" ht="15.75" customHeight="1">
      <c r="A406" s="1">
        <f>IFERROR(__xludf.DUMMYFUNCTION("""COMPUTED_VALUE"""),44452.625)</f>
        <v>44452.625</v>
      </c>
      <c r="B406" s="2">
        <f>IFERROR(__xludf.DUMMYFUNCTION("""COMPUTED_VALUE"""),2170.24)</f>
        <v>2170.24</v>
      </c>
      <c r="C406" s="2">
        <f>IFERROR(__xludf.DUMMYFUNCTION("""COMPUTED_VALUE"""),2354.51)</f>
        <v>2354.51</v>
      </c>
      <c r="D406" s="2">
        <f>IFERROR(__xludf.DUMMYFUNCTION("""COMPUTED_VALUE"""),2149.77)</f>
        <v>2149.77</v>
      </c>
      <c r="E406" s="2">
        <f>IFERROR(__xludf.DUMMYFUNCTION("""COMPUTED_VALUE"""),2354.51)</f>
        <v>2354.51</v>
      </c>
      <c r="F406" s="2">
        <f>IFERROR(__xludf.DUMMYFUNCTION("""COMPUTED_VALUE"""),9.84656E7)</f>
        <v>98465600</v>
      </c>
      <c r="G406" s="2">
        <f t="shared" si="1"/>
        <v>204.74</v>
      </c>
    </row>
    <row r="407" ht="15.75" customHeight="1">
      <c r="A407" s="1">
        <f>IFERROR(__xludf.DUMMYFUNCTION("""COMPUTED_VALUE"""),44453.625)</f>
        <v>44453.625</v>
      </c>
      <c r="B407" s="2">
        <f>IFERROR(__xludf.DUMMYFUNCTION("""COMPUTED_VALUE"""),2374.98)</f>
        <v>2374.98</v>
      </c>
      <c r="C407" s="2">
        <f>IFERROR(__xludf.DUMMYFUNCTION("""COMPUTED_VALUE"""),2405.69)</f>
        <v>2405.69</v>
      </c>
      <c r="D407" s="2">
        <f>IFERROR(__xludf.DUMMYFUNCTION("""COMPUTED_VALUE"""),2313.56)</f>
        <v>2313.56</v>
      </c>
      <c r="E407" s="2">
        <f>IFERROR(__xludf.DUMMYFUNCTION("""COMPUTED_VALUE"""),2374.98)</f>
        <v>2374.98</v>
      </c>
      <c r="F407" s="2">
        <f>IFERROR(__xludf.DUMMYFUNCTION("""COMPUTED_VALUE"""),8.15668E7)</f>
        <v>81566800</v>
      </c>
      <c r="G407" s="2">
        <f t="shared" si="1"/>
        <v>92.13</v>
      </c>
    </row>
    <row r="408" ht="15.75" customHeight="1">
      <c r="A408" s="1">
        <f>IFERROR(__xludf.DUMMYFUNCTION("""COMPUTED_VALUE"""),44454.625)</f>
        <v>44454.625</v>
      </c>
      <c r="B408" s="2">
        <f>IFERROR(__xludf.DUMMYFUNCTION("""COMPUTED_VALUE"""),2374.98)</f>
        <v>2374.98</v>
      </c>
      <c r="C408" s="2">
        <f>IFERROR(__xludf.DUMMYFUNCTION("""COMPUTED_VALUE"""),2395.45)</f>
        <v>2395.45</v>
      </c>
      <c r="D408" s="2">
        <f>IFERROR(__xludf.DUMMYFUNCTION("""COMPUTED_VALUE"""),2334.03)</f>
        <v>2334.03</v>
      </c>
      <c r="E408" s="2">
        <f>IFERROR(__xludf.DUMMYFUNCTION("""COMPUTED_VALUE"""),2354.51)</f>
        <v>2354.51</v>
      </c>
      <c r="F408" s="2">
        <f>IFERROR(__xludf.DUMMYFUNCTION("""COMPUTED_VALUE"""),3.1846E7)</f>
        <v>31846000</v>
      </c>
      <c r="G408" s="2">
        <f t="shared" si="1"/>
        <v>61.42</v>
      </c>
    </row>
    <row r="409" ht="15.75" customHeight="1">
      <c r="A409" s="1">
        <f>IFERROR(__xludf.DUMMYFUNCTION("""COMPUTED_VALUE"""),44455.625)</f>
        <v>44455.625</v>
      </c>
      <c r="B409" s="2">
        <f>IFERROR(__xludf.DUMMYFUNCTION("""COMPUTED_VALUE"""),2374.98)</f>
        <v>2374.98</v>
      </c>
      <c r="C409" s="2">
        <f>IFERROR(__xludf.DUMMYFUNCTION("""COMPUTED_VALUE"""),2538.77)</f>
        <v>2538.77</v>
      </c>
      <c r="D409" s="2">
        <f>IFERROR(__xludf.DUMMYFUNCTION("""COMPUTED_VALUE"""),2354.51)</f>
        <v>2354.51</v>
      </c>
      <c r="E409" s="2">
        <f>IFERROR(__xludf.DUMMYFUNCTION("""COMPUTED_VALUE"""),2518.3)</f>
        <v>2518.3</v>
      </c>
      <c r="F409" s="2">
        <f>IFERROR(__xludf.DUMMYFUNCTION("""COMPUTED_VALUE"""),1.469865E8)</f>
        <v>146986500</v>
      </c>
      <c r="G409" s="2">
        <f t="shared" si="1"/>
        <v>184.26</v>
      </c>
    </row>
    <row r="410" ht="15.75" customHeight="1">
      <c r="A410" s="1">
        <f>IFERROR(__xludf.DUMMYFUNCTION("""COMPUTED_VALUE"""),44456.625)</f>
        <v>44456.625</v>
      </c>
      <c r="B410" s="2">
        <f>IFERROR(__xludf.DUMMYFUNCTION("""COMPUTED_VALUE"""),2508.06)</f>
        <v>2508.06</v>
      </c>
      <c r="C410" s="2">
        <f>IFERROR(__xludf.DUMMYFUNCTION("""COMPUTED_VALUE"""),2538.77)</f>
        <v>2538.77</v>
      </c>
      <c r="D410" s="2">
        <f>IFERROR(__xludf.DUMMYFUNCTION("""COMPUTED_VALUE"""),2405.69)</f>
        <v>2405.69</v>
      </c>
      <c r="E410" s="2">
        <f>IFERROR(__xludf.DUMMYFUNCTION("""COMPUTED_VALUE"""),2446.64)</f>
        <v>2446.64</v>
      </c>
      <c r="F410" s="2">
        <f>IFERROR(__xludf.DUMMYFUNCTION("""COMPUTED_VALUE"""),2.220487E8)</f>
        <v>222048700</v>
      </c>
      <c r="G410" s="2">
        <f t="shared" si="1"/>
        <v>133.08</v>
      </c>
    </row>
    <row r="411" ht="15.75" customHeight="1">
      <c r="A411" s="1">
        <f>IFERROR(__xludf.DUMMYFUNCTION("""COMPUTED_VALUE"""),44459.625)</f>
        <v>44459.625</v>
      </c>
      <c r="B411" s="2">
        <f>IFERROR(__xludf.DUMMYFUNCTION("""COMPUTED_VALUE"""),2446.64)</f>
        <v>2446.64</v>
      </c>
      <c r="C411" s="2">
        <f>IFERROR(__xludf.DUMMYFUNCTION("""COMPUTED_VALUE"""),2446.64)</f>
        <v>2446.64</v>
      </c>
      <c r="D411" s="2">
        <f>IFERROR(__xludf.DUMMYFUNCTION("""COMPUTED_VALUE"""),2323.8)</f>
        <v>2323.8</v>
      </c>
      <c r="E411" s="2">
        <f>IFERROR(__xludf.DUMMYFUNCTION("""COMPUTED_VALUE"""),2354.51)</f>
        <v>2354.51</v>
      </c>
      <c r="F411" s="2">
        <f>IFERROR(__xludf.DUMMYFUNCTION("""COMPUTED_VALUE"""),4.80653E7)</f>
        <v>48065300</v>
      </c>
      <c r="G411" s="2">
        <f t="shared" si="1"/>
        <v>122.84</v>
      </c>
    </row>
    <row r="412" ht="15.75" customHeight="1">
      <c r="A412" s="1">
        <f>IFERROR(__xludf.DUMMYFUNCTION("""COMPUTED_VALUE"""),44460.625)</f>
        <v>44460.625</v>
      </c>
      <c r="B412" s="2">
        <f>IFERROR(__xludf.DUMMYFUNCTION("""COMPUTED_VALUE"""),2354.51)</f>
        <v>2354.51</v>
      </c>
      <c r="C412" s="2">
        <f>IFERROR(__xludf.DUMMYFUNCTION("""COMPUTED_VALUE"""),2364.74)</f>
        <v>2364.74</v>
      </c>
      <c r="D412" s="2">
        <f>IFERROR(__xludf.DUMMYFUNCTION("""COMPUTED_VALUE"""),2282.85)</f>
        <v>2282.85</v>
      </c>
      <c r="E412" s="2">
        <f>IFERROR(__xludf.DUMMYFUNCTION("""COMPUTED_VALUE"""),2344.27)</f>
        <v>2344.27</v>
      </c>
      <c r="F412" s="2">
        <f>IFERROR(__xludf.DUMMYFUNCTION("""COMPUTED_VALUE"""),2.74926E7)</f>
        <v>27492600</v>
      </c>
      <c r="G412" s="2">
        <f t="shared" si="1"/>
        <v>81.89</v>
      </c>
    </row>
    <row r="413" ht="15.75" customHeight="1">
      <c r="A413" s="1">
        <f>IFERROR(__xludf.DUMMYFUNCTION("""COMPUTED_VALUE"""),44461.625)</f>
        <v>44461.625</v>
      </c>
      <c r="B413" s="2">
        <f>IFERROR(__xludf.DUMMYFUNCTION("""COMPUTED_VALUE"""),2344.27)</f>
        <v>2344.27</v>
      </c>
      <c r="C413" s="2">
        <f>IFERROR(__xludf.DUMMYFUNCTION("""COMPUTED_VALUE"""),2436.4)</f>
        <v>2436.4</v>
      </c>
      <c r="D413" s="2">
        <f>IFERROR(__xludf.DUMMYFUNCTION("""COMPUTED_VALUE"""),2334.03)</f>
        <v>2334.03</v>
      </c>
      <c r="E413" s="2">
        <f>IFERROR(__xludf.DUMMYFUNCTION("""COMPUTED_VALUE"""),2354.51)</f>
        <v>2354.51</v>
      </c>
      <c r="F413" s="2">
        <f>IFERROR(__xludf.DUMMYFUNCTION("""COMPUTED_VALUE"""),4.56795E7)</f>
        <v>45679500</v>
      </c>
      <c r="G413" s="2">
        <f t="shared" si="1"/>
        <v>102.37</v>
      </c>
    </row>
    <row r="414" ht="15.75" customHeight="1">
      <c r="A414" s="1">
        <f>IFERROR(__xludf.DUMMYFUNCTION("""COMPUTED_VALUE"""),44462.625)</f>
        <v>44462.625</v>
      </c>
      <c r="B414" s="2">
        <f>IFERROR(__xludf.DUMMYFUNCTION("""COMPUTED_VALUE"""),2374.98)</f>
        <v>2374.98</v>
      </c>
      <c r="C414" s="2">
        <f>IFERROR(__xludf.DUMMYFUNCTION("""COMPUTED_VALUE"""),2538.77)</f>
        <v>2538.77</v>
      </c>
      <c r="D414" s="2">
        <f>IFERROR(__xludf.DUMMYFUNCTION("""COMPUTED_VALUE"""),2354.51)</f>
        <v>2354.51</v>
      </c>
      <c r="E414" s="2">
        <f>IFERROR(__xludf.DUMMYFUNCTION("""COMPUTED_VALUE"""),2528.53)</f>
        <v>2528.53</v>
      </c>
      <c r="F414" s="2">
        <f>IFERROR(__xludf.DUMMYFUNCTION("""COMPUTED_VALUE"""),9.38214E7)</f>
        <v>93821400</v>
      </c>
      <c r="G414" s="2">
        <f t="shared" si="1"/>
        <v>184.26</v>
      </c>
    </row>
    <row r="415" ht="15.75" customHeight="1">
      <c r="A415" s="1">
        <f>IFERROR(__xludf.DUMMYFUNCTION("""COMPUTED_VALUE"""),44463.625)</f>
        <v>44463.625</v>
      </c>
      <c r="B415" s="2">
        <f>IFERROR(__xludf.DUMMYFUNCTION("""COMPUTED_VALUE"""),2528.53)</f>
        <v>2528.53</v>
      </c>
      <c r="C415" s="2">
        <f>IFERROR(__xludf.DUMMYFUNCTION("""COMPUTED_VALUE"""),2671.85)</f>
        <v>2671.85</v>
      </c>
      <c r="D415" s="2">
        <f>IFERROR(__xludf.DUMMYFUNCTION("""COMPUTED_VALUE"""),2487.59)</f>
        <v>2487.59</v>
      </c>
      <c r="E415" s="2">
        <f>IFERROR(__xludf.DUMMYFUNCTION("""COMPUTED_VALUE"""),2630.9)</f>
        <v>2630.9</v>
      </c>
      <c r="F415" s="2">
        <f>IFERROR(__xludf.DUMMYFUNCTION("""COMPUTED_VALUE"""),1.534408E8)</f>
        <v>153440800</v>
      </c>
      <c r="G415" s="2">
        <f t="shared" si="1"/>
        <v>184.26</v>
      </c>
    </row>
    <row r="416" ht="15.75" customHeight="1">
      <c r="A416" s="1">
        <f>IFERROR(__xludf.DUMMYFUNCTION("""COMPUTED_VALUE"""),44466.625)</f>
        <v>44466.625</v>
      </c>
      <c r="B416" s="2">
        <f>IFERROR(__xludf.DUMMYFUNCTION("""COMPUTED_VALUE"""),2630.9)</f>
        <v>2630.9</v>
      </c>
      <c r="C416" s="2">
        <f>IFERROR(__xludf.DUMMYFUNCTION("""COMPUTED_VALUE"""),2712.8)</f>
        <v>2712.8</v>
      </c>
      <c r="D416" s="2">
        <f>IFERROR(__xludf.DUMMYFUNCTION("""COMPUTED_VALUE"""),2579.72)</f>
        <v>2579.72</v>
      </c>
      <c r="E416" s="2">
        <f>IFERROR(__xludf.DUMMYFUNCTION("""COMPUTED_VALUE"""),2579.72)</f>
        <v>2579.72</v>
      </c>
      <c r="F416" s="2">
        <f>IFERROR(__xludf.DUMMYFUNCTION("""COMPUTED_VALUE"""),1.0404E8)</f>
        <v>104040000</v>
      </c>
      <c r="G416" s="2">
        <f t="shared" si="1"/>
        <v>133.08</v>
      </c>
    </row>
    <row r="417" ht="15.75" customHeight="1">
      <c r="A417" s="1">
        <f>IFERROR(__xludf.DUMMYFUNCTION("""COMPUTED_VALUE"""),44467.625)</f>
        <v>44467.625</v>
      </c>
      <c r="B417" s="2">
        <f>IFERROR(__xludf.DUMMYFUNCTION("""COMPUTED_VALUE"""),2569.48)</f>
        <v>2569.48</v>
      </c>
      <c r="C417" s="2">
        <f>IFERROR(__xludf.DUMMYFUNCTION("""COMPUTED_VALUE"""),2651.38)</f>
        <v>2651.38</v>
      </c>
      <c r="D417" s="2">
        <f>IFERROR(__xludf.DUMMYFUNCTION("""COMPUTED_VALUE"""),2405.69)</f>
        <v>2405.69</v>
      </c>
      <c r="E417" s="2">
        <f>IFERROR(__xludf.DUMMYFUNCTION("""COMPUTED_VALUE"""),2405.69)</f>
        <v>2405.69</v>
      </c>
      <c r="F417" s="2">
        <f>IFERROR(__xludf.DUMMYFUNCTION("""COMPUTED_VALUE"""),1.012823E8)</f>
        <v>101282300</v>
      </c>
      <c r="G417" s="2">
        <f t="shared" si="1"/>
        <v>245.69</v>
      </c>
    </row>
    <row r="418" ht="15.75" customHeight="1">
      <c r="A418" s="1">
        <f>IFERROR(__xludf.DUMMYFUNCTION("""COMPUTED_VALUE"""),44468.625)</f>
        <v>44468.625</v>
      </c>
      <c r="B418" s="2">
        <f>IFERROR(__xludf.DUMMYFUNCTION("""COMPUTED_VALUE"""),2374.98)</f>
        <v>2374.98</v>
      </c>
      <c r="C418" s="2">
        <f>IFERROR(__xludf.DUMMYFUNCTION("""COMPUTED_VALUE"""),2385.22)</f>
        <v>2385.22</v>
      </c>
      <c r="D418" s="2">
        <f>IFERROR(__xludf.DUMMYFUNCTION("""COMPUTED_VALUE"""),2241.9)</f>
        <v>2241.9</v>
      </c>
      <c r="E418" s="2">
        <f>IFERROR(__xludf.DUMMYFUNCTION("""COMPUTED_VALUE"""),2241.9)</f>
        <v>2241.9</v>
      </c>
      <c r="F418" s="2">
        <f>IFERROR(__xludf.DUMMYFUNCTION("""COMPUTED_VALUE"""),1.287319E8)</f>
        <v>128731900</v>
      </c>
      <c r="G418" s="2">
        <f t="shared" si="1"/>
        <v>163.79</v>
      </c>
    </row>
    <row r="419" ht="15.75" customHeight="1">
      <c r="A419" s="1">
        <f>IFERROR(__xludf.DUMMYFUNCTION("""COMPUTED_VALUE"""),44469.625)</f>
        <v>44469.625</v>
      </c>
      <c r="B419" s="2">
        <f>IFERROR(__xludf.DUMMYFUNCTION("""COMPUTED_VALUE"""),2241.9)</f>
        <v>2241.9</v>
      </c>
      <c r="C419" s="2">
        <f>IFERROR(__xludf.DUMMYFUNCTION("""COMPUTED_VALUE"""),2334.03)</f>
        <v>2334.03</v>
      </c>
      <c r="D419" s="2">
        <f>IFERROR(__xludf.DUMMYFUNCTION("""COMPUTED_VALUE"""),2180.48)</f>
        <v>2180.48</v>
      </c>
      <c r="E419" s="2">
        <f>IFERROR(__xludf.DUMMYFUNCTION("""COMPUTED_VALUE"""),2293.08)</f>
        <v>2293.08</v>
      </c>
      <c r="F419" s="2">
        <f>IFERROR(__xludf.DUMMYFUNCTION("""COMPUTED_VALUE"""),7.87406E7)</f>
        <v>78740600</v>
      </c>
      <c r="G419" s="2">
        <f t="shared" si="1"/>
        <v>153.55</v>
      </c>
    </row>
    <row r="420" ht="15.75" customHeight="1">
      <c r="A420" s="1">
        <f>IFERROR(__xludf.DUMMYFUNCTION("""COMPUTED_VALUE"""),44470.625)</f>
        <v>44470.625</v>
      </c>
      <c r="B420" s="2">
        <f>IFERROR(__xludf.DUMMYFUNCTION("""COMPUTED_VALUE"""),2293.08)</f>
        <v>2293.08</v>
      </c>
      <c r="C420" s="2">
        <f>IFERROR(__xludf.DUMMYFUNCTION("""COMPUTED_VALUE"""),2293.08)</f>
        <v>2293.08</v>
      </c>
      <c r="D420" s="2">
        <f>IFERROR(__xludf.DUMMYFUNCTION("""COMPUTED_VALUE"""),2139.53)</f>
        <v>2139.53</v>
      </c>
      <c r="E420" s="2">
        <f>IFERROR(__xludf.DUMMYFUNCTION("""COMPUTED_VALUE"""),2139.53)</f>
        <v>2139.53</v>
      </c>
      <c r="F420" s="2">
        <f>IFERROR(__xludf.DUMMYFUNCTION("""COMPUTED_VALUE"""),7.58651E7)</f>
        <v>75865100</v>
      </c>
      <c r="G420" s="2">
        <f t="shared" si="1"/>
        <v>153.55</v>
      </c>
    </row>
    <row r="421" ht="15.75" customHeight="1">
      <c r="A421" s="1">
        <f>IFERROR(__xludf.DUMMYFUNCTION("""COMPUTED_VALUE"""),44473.625)</f>
        <v>44473.625</v>
      </c>
      <c r="B421" s="2">
        <f>IFERROR(__xludf.DUMMYFUNCTION("""COMPUTED_VALUE"""),2129.29)</f>
        <v>2129.29</v>
      </c>
      <c r="C421" s="2">
        <f>IFERROR(__xludf.DUMMYFUNCTION("""COMPUTED_VALUE"""),2180.48)</f>
        <v>2180.48</v>
      </c>
      <c r="D421" s="2">
        <f>IFERROR(__xludf.DUMMYFUNCTION("""COMPUTED_VALUE"""),2067.87)</f>
        <v>2067.87</v>
      </c>
      <c r="E421" s="2">
        <f>IFERROR(__xludf.DUMMYFUNCTION("""COMPUTED_VALUE"""),2108.82)</f>
        <v>2108.82</v>
      </c>
      <c r="F421" s="2">
        <f>IFERROR(__xludf.DUMMYFUNCTION("""COMPUTED_VALUE"""),1.169707E8)</f>
        <v>116970700</v>
      </c>
      <c r="G421" s="2">
        <f t="shared" si="1"/>
        <v>112.61</v>
      </c>
    </row>
    <row r="422" ht="15.75" customHeight="1">
      <c r="A422" s="1">
        <f>IFERROR(__xludf.DUMMYFUNCTION("""COMPUTED_VALUE"""),44474.625)</f>
        <v>44474.625</v>
      </c>
      <c r="B422" s="2">
        <f>IFERROR(__xludf.DUMMYFUNCTION("""COMPUTED_VALUE"""),2108.82)</f>
        <v>2108.82</v>
      </c>
      <c r="C422" s="2">
        <f>IFERROR(__xludf.DUMMYFUNCTION("""COMPUTED_VALUE"""),2170.24)</f>
        <v>2170.24</v>
      </c>
      <c r="D422" s="2">
        <f>IFERROR(__xludf.DUMMYFUNCTION("""COMPUTED_VALUE"""),2047.4)</f>
        <v>2047.4</v>
      </c>
      <c r="E422" s="2">
        <f>IFERROR(__xludf.DUMMYFUNCTION("""COMPUTED_VALUE"""),2047.4)</f>
        <v>2047.4</v>
      </c>
      <c r="F422" s="2">
        <f>IFERROR(__xludf.DUMMYFUNCTION("""COMPUTED_VALUE"""),8.21101E7)</f>
        <v>82110100</v>
      </c>
      <c r="G422" s="2">
        <f t="shared" si="1"/>
        <v>122.84</v>
      </c>
    </row>
    <row r="423" ht="15.75" customHeight="1">
      <c r="A423" s="1">
        <f>IFERROR(__xludf.DUMMYFUNCTION("""COMPUTED_VALUE"""),44475.625)</f>
        <v>44475.625</v>
      </c>
      <c r="B423" s="2">
        <f>IFERROR(__xludf.DUMMYFUNCTION("""COMPUTED_VALUE"""),2067.87)</f>
        <v>2067.87</v>
      </c>
      <c r="C423" s="2">
        <f>IFERROR(__xludf.DUMMYFUNCTION("""COMPUTED_VALUE"""),2200.95)</f>
        <v>2200.95</v>
      </c>
      <c r="D423" s="2">
        <f>IFERROR(__xludf.DUMMYFUNCTION("""COMPUTED_VALUE"""),2026.92)</f>
        <v>2026.92</v>
      </c>
      <c r="E423" s="2">
        <f>IFERROR(__xludf.DUMMYFUNCTION("""COMPUTED_VALUE"""),2190.71)</f>
        <v>2190.71</v>
      </c>
      <c r="F423" s="2">
        <f>IFERROR(__xludf.DUMMYFUNCTION("""COMPUTED_VALUE"""),1.175187E8)</f>
        <v>117518700</v>
      </c>
      <c r="G423" s="2">
        <f t="shared" si="1"/>
        <v>174.03</v>
      </c>
    </row>
    <row r="424" ht="15.75" customHeight="1">
      <c r="A424" s="1">
        <f>IFERROR(__xludf.DUMMYFUNCTION("""COMPUTED_VALUE"""),44476.625)</f>
        <v>44476.625</v>
      </c>
      <c r="B424" s="2">
        <f>IFERROR(__xludf.DUMMYFUNCTION("""COMPUTED_VALUE"""),2190.71)</f>
        <v>2190.71</v>
      </c>
      <c r="C424" s="2">
        <f>IFERROR(__xludf.DUMMYFUNCTION("""COMPUTED_VALUE"""),2272.61)</f>
        <v>2272.61</v>
      </c>
      <c r="D424" s="2">
        <f>IFERROR(__xludf.DUMMYFUNCTION("""COMPUTED_VALUE"""),2129.29)</f>
        <v>2129.29</v>
      </c>
      <c r="E424" s="2">
        <f>IFERROR(__xludf.DUMMYFUNCTION("""COMPUTED_VALUE"""),2129.29)</f>
        <v>2129.29</v>
      </c>
      <c r="F424" s="2">
        <f>IFERROR(__xludf.DUMMYFUNCTION("""COMPUTED_VALUE"""),6.14833E7)</f>
        <v>61483300</v>
      </c>
      <c r="G424" s="2">
        <f t="shared" si="1"/>
        <v>143.32</v>
      </c>
    </row>
    <row r="425" ht="15.75" customHeight="1">
      <c r="A425" s="1">
        <f>IFERROR(__xludf.DUMMYFUNCTION("""COMPUTED_VALUE"""),44477.625)</f>
        <v>44477.625</v>
      </c>
      <c r="B425" s="2">
        <f>IFERROR(__xludf.DUMMYFUNCTION("""COMPUTED_VALUE"""),2139.53)</f>
        <v>2139.53</v>
      </c>
      <c r="C425" s="2">
        <f>IFERROR(__xludf.DUMMYFUNCTION("""COMPUTED_VALUE"""),2190.71)</f>
        <v>2190.71</v>
      </c>
      <c r="D425" s="2">
        <f>IFERROR(__xludf.DUMMYFUNCTION("""COMPUTED_VALUE"""),2078.11)</f>
        <v>2078.11</v>
      </c>
      <c r="E425" s="2">
        <f>IFERROR(__xludf.DUMMYFUNCTION("""COMPUTED_VALUE"""),2088.34)</f>
        <v>2088.34</v>
      </c>
      <c r="F425" s="2">
        <f>IFERROR(__xludf.DUMMYFUNCTION("""COMPUTED_VALUE"""),4.62628E7)</f>
        <v>46262800</v>
      </c>
      <c r="G425" s="2">
        <f t="shared" si="1"/>
        <v>112.6</v>
      </c>
    </row>
    <row r="426" ht="15.75" customHeight="1">
      <c r="A426" s="1">
        <f>IFERROR(__xludf.DUMMYFUNCTION("""COMPUTED_VALUE"""),44480.625)</f>
        <v>44480.625</v>
      </c>
      <c r="B426" s="2">
        <f>IFERROR(__xludf.DUMMYFUNCTION("""COMPUTED_VALUE"""),2098.58)</f>
        <v>2098.58</v>
      </c>
      <c r="C426" s="2">
        <f>IFERROR(__xludf.DUMMYFUNCTION("""COMPUTED_VALUE"""),2108.82)</f>
        <v>2108.82</v>
      </c>
      <c r="D426" s="2">
        <f>IFERROR(__xludf.DUMMYFUNCTION("""COMPUTED_VALUE"""),1945.03)</f>
        <v>1945.03</v>
      </c>
      <c r="E426" s="2">
        <f>IFERROR(__xludf.DUMMYFUNCTION("""COMPUTED_VALUE"""),2047.4)</f>
        <v>2047.4</v>
      </c>
      <c r="F426" s="2">
        <f>IFERROR(__xludf.DUMMYFUNCTION("""COMPUTED_VALUE"""),1.197954E8)</f>
        <v>119795400</v>
      </c>
      <c r="G426" s="2">
        <f t="shared" si="1"/>
        <v>163.79</v>
      </c>
    </row>
    <row r="427" ht="15.75" customHeight="1">
      <c r="A427" s="1">
        <f>IFERROR(__xludf.DUMMYFUNCTION("""COMPUTED_VALUE"""),44481.66666666667)</f>
        <v>44481.66667</v>
      </c>
      <c r="B427" s="2">
        <f>IFERROR(__xludf.DUMMYFUNCTION("""COMPUTED_VALUE"""),2047.4)</f>
        <v>2047.4</v>
      </c>
      <c r="C427" s="2">
        <f>IFERROR(__xludf.DUMMYFUNCTION("""COMPUTED_VALUE"""),2067.87)</f>
        <v>2067.87</v>
      </c>
      <c r="D427" s="2">
        <f>IFERROR(__xludf.DUMMYFUNCTION("""COMPUTED_VALUE"""),1975.74)</f>
        <v>1975.74</v>
      </c>
      <c r="E427" s="2">
        <f>IFERROR(__xludf.DUMMYFUNCTION("""COMPUTED_VALUE"""),1975.74)</f>
        <v>1975.74</v>
      </c>
      <c r="F427" s="2">
        <f>IFERROR(__xludf.DUMMYFUNCTION("""COMPUTED_VALUE"""),1.032439E8)</f>
        <v>103243900</v>
      </c>
      <c r="G427" s="2">
        <f t="shared" si="1"/>
        <v>92.13</v>
      </c>
    </row>
    <row r="428" ht="15.75" customHeight="1">
      <c r="A428" s="1">
        <f>IFERROR(__xludf.DUMMYFUNCTION("""COMPUTED_VALUE"""),44482.625)</f>
        <v>44482.625</v>
      </c>
      <c r="B428" s="2">
        <f>IFERROR(__xludf.DUMMYFUNCTION("""COMPUTED_VALUE"""),1975.74)</f>
        <v>1975.74</v>
      </c>
      <c r="C428" s="2">
        <f>IFERROR(__xludf.DUMMYFUNCTION("""COMPUTED_VALUE"""),2057.63)</f>
        <v>2057.63</v>
      </c>
      <c r="D428" s="2">
        <f>IFERROR(__xludf.DUMMYFUNCTION("""COMPUTED_VALUE"""),1868.25)</f>
        <v>1868.25</v>
      </c>
      <c r="E428" s="2">
        <f>IFERROR(__xludf.DUMMYFUNCTION("""COMPUTED_VALUE"""),1893.84)</f>
        <v>1893.84</v>
      </c>
      <c r="F428" s="2">
        <f>IFERROR(__xludf.DUMMYFUNCTION("""COMPUTED_VALUE"""),1.363667E8)</f>
        <v>136366700</v>
      </c>
      <c r="G428" s="2">
        <f t="shared" si="1"/>
        <v>189.38</v>
      </c>
    </row>
    <row r="429" ht="15.75" customHeight="1">
      <c r="A429" s="1">
        <f>IFERROR(__xludf.DUMMYFUNCTION("""COMPUTED_VALUE"""),44483.66666666667)</f>
        <v>44483.66667</v>
      </c>
      <c r="B429" s="2">
        <f>IFERROR(__xludf.DUMMYFUNCTION("""COMPUTED_VALUE"""),1893.84)</f>
        <v>1893.84</v>
      </c>
      <c r="C429" s="2">
        <f>IFERROR(__xludf.DUMMYFUNCTION("""COMPUTED_VALUE"""),1945.03)</f>
        <v>1945.03</v>
      </c>
      <c r="D429" s="2">
        <f>IFERROR(__xludf.DUMMYFUNCTION("""COMPUTED_VALUE"""),1873.37)</f>
        <v>1873.37</v>
      </c>
      <c r="E429" s="2">
        <f>IFERROR(__xludf.DUMMYFUNCTION("""COMPUTED_VALUE"""),1909.2)</f>
        <v>1909.2</v>
      </c>
      <c r="F429" s="2">
        <f>IFERROR(__xludf.DUMMYFUNCTION("""COMPUTED_VALUE"""),1.059692E8)</f>
        <v>105969200</v>
      </c>
      <c r="G429" s="2">
        <f t="shared" si="1"/>
        <v>71.66</v>
      </c>
    </row>
    <row r="430" ht="15.75" customHeight="1">
      <c r="A430" s="1">
        <f>IFERROR(__xludf.DUMMYFUNCTION("""COMPUTED_VALUE"""),44484.66666666667)</f>
        <v>44484.66667</v>
      </c>
      <c r="B430" s="2">
        <f>IFERROR(__xludf.DUMMYFUNCTION("""COMPUTED_VALUE"""),1934.79)</f>
        <v>1934.79</v>
      </c>
      <c r="C430" s="2">
        <f>IFERROR(__xludf.DUMMYFUNCTION("""COMPUTED_VALUE"""),2057.63)</f>
        <v>2057.63</v>
      </c>
      <c r="D430" s="2">
        <f>IFERROR(__xludf.DUMMYFUNCTION("""COMPUTED_VALUE"""),1893.84)</f>
        <v>1893.84</v>
      </c>
      <c r="E430" s="2">
        <f>IFERROR(__xludf.DUMMYFUNCTION("""COMPUTED_VALUE"""),2057.63)</f>
        <v>2057.63</v>
      </c>
      <c r="F430" s="2">
        <f>IFERROR(__xludf.DUMMYFUNCTION("""COMPUTED_VALUE"""),1.357035E8)</f>
        <v>135703500</v>
      </c>
      <c r="G430" s="2">
        <f t="shared" si="1"/>
        <v>163.79</v>
      </c>
    </row>
    <row r="431" ht="15.75" customHeight="1">
      <c r="A431" s="1">
        <f>IFERROR(__xludf.DUMMYFUNCTION("""COMPUTED_VALUE"""),44487.625)</f>
        <v>44487.625</v>
      </c>
      <c r="B431" s="2">
        <f>IFERROR(__xludf.DUMMYFUNCTION("""COMPUTED_VALUE"""),2057.63)</f>
        <v>2057.63</v>
      </c>
      <c r="C431" s="2">
        <f>IFERROR(__xludf.DUMMYFUNCTION("""COMPUTED_VALUE"""),2108.82)</f>
        <v>2108.82</v>
      </c>
      <c r="D431" s="2">
        <f>IFERROR(__xludf.DUMMYFUNCTION("""COMPUTED_VALUE"""),2006.45)</f>
        <v>2006.45</v>
      </c>
      <c r="E431" s="2">
        <f>IFERROR(__xludf.DUMMYFUNCTION("""COMPUTED_VALUE"""),2032.04)</f>
        <v>2032.04</v>
      </c>
      <c r="F431" s="2">
        <f>IFERROR(__xludf.DUMMYFUNCTION("""COMPUTED_VALUE"""),8.69256E7)</f>
        <v>86925600</v>
      </c>
      <c r="G431" s="2">
        <f t="shared" si="1"/>
        <v>102.37</v>
      </c>
    </row>
    <row r="432" ht="15.75" customHeight="1">
      <c r="A432" s="1">
        <f>IFERROR(__xludf.DUMMYFUNCTION("""COMPUTED_VALUE"""),44488.625)</f>
        <v>44488.625</v>
      </c>
      <c r="B432" s="2">
        <f>IFERROR(__xludf.DUMMYFUNCTION("""COMPUTED_VALUE"""),2047.4)</f>
        <v>2047.4</v>
      </c>
      <c r="C432" s="2">
        <f>IFERROR(__xludf.DUMMYFUNCTION("""COMPUTED_VALUE"""),2057.63)</f>
        <v>2057.63</v>
      </c>
      <c r="D432" s="2">
        <f>IFERROR(__xludf.DUMMYFUNCTION("""COMPUTED_VALUE"""),2016.69)</f>
        <v>2016.69</v>
      </c>
      <c r="E432" s="2">
        <f>IFERROR(__xludf.DUMMYFUNCTION("""COMPUTED_VALUE"""),2037.16)</f>
        <v>2037.16</v>
      </c>
      <c r="F432" s="2">
        <f>IFERROR(__xludf.DUMMYFUNCTION("""COMPUTED_VALUE"""),2.4589E7)</f>
        <v>24589000</v>
      </c>
      <c r="G432" s="2">
        <f t="shared" si="1"/>
        <v>40.94</v>
      </c>
    </row>
    <row r="433" ht="15.75" customHeight="1">
      <c r="A433" s="1">
        <f>IFERROR(__xludf.DUMMYFUNCTION("""COMPUTED_VALUE"""),44490.625)</f>
        <v>44490.625</v>
      </c>
      <c r="B433" s="2">
        <f>IFERROR(__xludf.DUMMYFUNCTION("""COMPUTED_VALUE"""),2037.16)</f>
        <v>2037.16</v>
      </c>
      <c r="C433" s="2">
        <f>IFERROR(__xludf.DUMMYFUNCTION("""COMPUTED_VALUE"""),2129.29)</f>
        <v>2129.29</v>
      </c>
      <c r="D433" s="2">
        <f>IFERROR(__xludf.DUMMYFUNCTION("""COMPUTED_VALUE"""),2037.16)</f>
        <v>2037.16</v>
      </c>
      <c r="E433" s="2">
        <f>IFERROR(__xludf.DUMMYFUNCTION("""COMPUTED_VALUE"""),2078.11)</f>
        <v>2078.11</v>
      </c>
      <c r="F433" s="2">
        <f>IFERROR(__xludf.DUMMYFUNCTION("""COMPUTED_VALUE"""),8.68988E7)</f>
        <v>86898800</v>
      </c>
      <c r="G433" s="2">
        <f t="shared" si="1"/>
        <v>92.13</v>
      </c>
    </row>
    <row r="434" ht="15.75" customHeight="1">
      <c r="A434" s="1">
        <f>IFERROR(__xludf.DUMMYFUNCTION("""COMPUTED_VALUE"""),44491.625)</f>
        <v>44491.625</v>
      </c>
      <c r="B434" s="2">
        <f>IFERROR(__xludf.DUMMYFUNCTION("""COMPUTED_VALUE"""),2078.11)</f>
        <v>2078.11</v>
      </c>
      <c r="C434" s="2">
        <f>IFERROR(__xludf.DUMMYFUNCTION("""COMPUTED_VALUE"""),2108.82)</f>
        <v>2108.82</v>
      </c>
      <c r="D434" s="2">
        <f>IFERROR(__xludf.DUMMYFUNCTION("""COMPUTED_VALUE"""),2047.4)</f>
        <v>2047.4</v>
      </c>
      <c r="E434" s="2">
        <f>IFERROR(__xludf.DUMMYFUNCTION("""COMPUTED_VALUE"""),2067.87)</f>
        <v>2067.87</v>
      </c>
      <c r="F434" s="2">
        <f>IFERROR(__xludf.DUMMYFUNCTION("""COMPUTED_VALUE"""),3.31319E7)</f>
        <v>33131900</v>
      </c>
      <c r="G434" s="2">
        <f t="shared" si="1"/>
        <v>61.42</v>
      </c>
    </row>
    <row r="435" ht="15.75" customHeight="1">
      <c r="A435" s="1">
        <f>IFERROR(__xludf.DUMMYFUNCTION("""COMPUTED_VALUE"""),44494.625)</f>
        <v>44494.625</v>
      </c>
      <c r="B435" s="2">
        <f>IFERROR(__xludf.DUMMYFUNCTION("""COMPUTED_VALUE"""),2067.87)</f>
        <v>2067.87</v>
      </c>
      <c r="C435" s="2">
        <f>IFERROR(__xludf.DUMMYFUNCTION("""COMPUTED_VALUE"""),2098.58)</f>
        <v>2098.58</v>
      </c>
      <c r="D435" s="2">
        <f>IFERROR(__xludf.DUMMYFUNCTION("""COMPUTED_VALUE"""),2016.69)</f>
        <v>2016.69</v>
      </c>
      <c r="E435" s="2">
        <f>IFERROR(__xludf.DUMMYFUNCTION("""COMPUTED_VALUE"""),2047.4)</f>
        <v>2047.4</v>
      </c>
      <c r="F435" s="2">
        <f>IFERROR(__xludf.DUMMYFUNCTION("""COMPUTED_VALUE"""),3.91912E7)</f>
        <v>39191200</v>
      </c>
      <c r="G435" s="2">
        <f t="shared" si="1"/>
        <v>81.89</v>
      </c>
    </row>
    <row r="436" ht="15.75" customHeight="1">
      <c r="A436" s="1">
        <f>IFERROR(__xludf.DUMMYFUNCTION("""COMPUTED_VALUE"""),44495.625)</f>
        <v>44495.625</v>
      </c>
      <c r="B436" s="2">
        <f>IFERROR(__xludf.DUMMYFUNCTION("""COMPUTED_VALUE"""),2047.4)</f>
        <v>2047.4</v>
      </c>
      <c r="C436" s="2">
        <f>IFERROR(__xludf.DUMMYFUNCTION("""COMPUTED_VALUE"""),2200.95)</f>
        <v>2200.95</v>
      </c>
      <c r="D436" s="2">
        <f>IFERROR(__xludf.DUMMYFUNCTION("""COMPUTED_VALUE"""),2047.4)</f>
        <v>2047.4</v>
      </c>
      <c r="E436" s="2">
        <f>IFERROR(__xludf.DUMMYFUNCTION("""COMPUTED_VALUE"""),2180.48)</f>
        <v>2180.48</v>
      </c>
      <c r="F436" s="2">
        <f>IFERROR(__xludf.DUMMYFUNCTION("""COMPUTED_VALUE"""),1.302523E8)</f>
        <v>130252300</v>
      </c>
      <c r="G436" s="2">
        <f t="shared" si="1"/>
        <v>153.55</v>
      </c>
    </row>
    <row r="437" ht="15.75" customHeight="1">
      <c r="A437" s="1">
        <f>IFERROR(__xludf.DUMMYFUNCTION("""COMPUTED_VALUE"""),44496.625)</f>
        <v>44496.625</v>
      </c>
      <c r="B437" s="2">
        <f>IFERROR(__xludf.DUMMYFUNCTION("""COMPUTED_VALUE"""),2180.48)</f>
        <v>2180.48</v>
      </c>
      <c r="C437" s="2">
        <f>IFERROR(__xludf.DUMMYFUNCTION("""COMPUTED_VALUE"""),2200.95)</f>
        <v>2200.95</v>
      </c>
      <c r="D437" s="2">
        <f>IFERROR(__xludf.DUMMYFUNCTION("""COMPUTED_VALUE"""),2098.58)</f>
        <v>2098.58</v>
      </c>
      <c r="E437" s="2">
        <f>IFERROR(__xludf.DUMMYFUNCTION("""COMPUTED_VALUE"""),2119.06)</f>
        <v>2119.06</v>
      </c>
      <c r="F437" s="2">
        <f>IFERROR(__xludf.DUMMYFUNCTION("""COMPUTED_VALUE"""),4.71998E7)</f>
        <v>47199800</v>
      </c>
      <c r="G437" s="2">
        <f t="shared" si="1"/>
        <v>102.37</v>
      </c>
    </row>
    <row r="438" ht="15.75" customHeight="1">
      <c r="A438" s="1">
        <f>IFERROR(__xludf.DUMMYFUNCTION("""COMPUTED_VALUE"""),44497.625)</f>
        <v>44497.625</v>
      </c>
      <c r="B438" s="2">
        <f>IFERROR(__xludf.DUMMYFUNCTION("""COMPUTED_VALUE"""),2119.06)</f>
        <v>2119.06</v>
      </c>
      <c r="C438" s="2">
        <f>IFERROR(__xludf.DUMMYFUNCTION("""COMPUTED_VALUE"""),2139.53)</f>
        <v>2139.53</v>
      </c>
      <c r="D438" s="2">
        <f>IFERROR(__xludf.DUMMYFUNCTION("""COMPUTED_VALUE"""),2067.87)</f>
        <v>2067.87</v>
      </c>
      <c r="E438" s="2">
        <f>IFERROR(__xludf.DUMMYFUNCTION("""COMPUTED_VALUE"""),2098.58)</f>
        <v>2098.58</v>
      </c>
      <c r="F438" s="2">
        <f>IFERROR(__xludf.DUMMYFUNCTION("""COMPUTED_VALUE"""),2.89974E7)</f>
        <v>28997400</v>
      </c>
      <c r="G438" s="2">
        <f t="shared" si="1"/>
        <v>71.66</v>
      </c>
    </row>
    <row r="439" ht="15.75" customHeight="1">
      <c r="A439" s="1">
        <f>IFERROR(__xludf.DUMMYFUNCTION("""COMPUTED_VALUE"""),44498.625)</f>
        <v>44498.625</v>
      </c>
      <c r="B439" s="2">
        <f>IFERROR(__xludf.DUMMYFUNCTION("""COMPUTED_VALUE"""),2108.82)</f>
        <v>2108.82</v>
      </c>
      <c r="C439" s="2">
        <f>IFERROR(__xludf.DUMMYFUNCTION("""COMPUTED_VALUE"""),2231.66)</f>
        <v>2231.66</v>
      </c>
      <c r="D439" s="2">
        <f>IFERROR(__xludf.DUMMYFUNCTION("""COMPUTED_VALUE"""),2098.58)</f>
        <v>2098.58</v>
      </c>
      <c r="E439" s="2">
        <f>IFERROR(__xludf.DUMMYFUNCTION("""COMPUTED_VALUE"""),2160.0)</f>
        <v>2160</v>
      </c>
      <c r="F439" s="2">
        <f>IFERROR(__xludf.DUMMYFUNCTION("""COMPUTED_VALUE"""),7.58108E7)</f>
        <v>75810800</v>
      </c>
      <c r="G439" s="2">
        <f t="shared" si="1"/>
        <v>133.08</v>
      </c>
    </row>
    <row r="440" ht="15.75" customHeight="1">
      <c r="A440" s="1">
        <f>IFERROR(__xludf.DUMMYFUNCTION("""COMPUTED_VALUE"""),44501.625)</f>
        <v>44501.625</v>
      </c>
      <c r="B440" s="2">
        <f>IFERROR(__xludf.DUMMYFUNCTION("""COMPUTED_VALUE"""),2180.48)</f>
        <v>2180.48</v>
      </c>
      <c r="C440" s="2">
        <f>IFERROR(__xludf.DUMMYFUNCTION("""COMPUTED_VALUE"""),2180.48)</f>
        <v>2180.48</v>
      </c>
      <c r="D440" s="2">
        <f>IFERROR(__xludf.DUMMYFUNCTION("""COMPUTED_VALUE"""),2098.58)</f>
        <v>2098.58</v>
      </c>
      <c r="E440" s="2">
        <f>IFERROR(__xludf.DUMMYFUNCTION("""COMPUTED_VALUE"""),2098.58)</f>
        <v>2098.58</v>
      </c>
      <c r="F440" s="2">
        <f>IFERROR(__xludf.DUMMYFUNCTION("""COMPUTED_VALUE"""),2.66241E7)</f>
        <v>26624100</v>
      </c>
      <c r="G440" s="2">
        <f t="shared" si="1"/>
        <v>81.9</v>
      </c>
    </row>
    <row r="441" ht="15.75" customHeight="1">
      <c r="A441" s="1">
        <f>IFERROR(__xludf.DUMMYFUNCTION("""COMPUTED_VALUE"""),44502.625)</f>
        <v>44502.625</v>
      </c>
      <c r="B441" s="2">
        <f>IFERROR(__xludf.DUMMYFUNCTION("""COMPUTED_VALUE"""),2098.58)</f>
        <v>2098.58</v>
      </c>
      <c r="C441" s="2">
        <f>IFERROR(__xludf.DUMMYFUNCTION("""COMPUTED_VALUE"""),2160.0)</f>
        <v>2160</v>
      </c>
      <c r="D441" s="2">
        <f>IFERROR(__xludf.DUMMYFUNCTION("""COMPUTED_VALUE"""),2078.11)</f>
        <v>2078.11</v>
      </c>
      <c r="E441" s="2">
        <f>IFERROR(__xludf.DUMMYFUNCTION("""COMPUTED_VALUE"""),2078.11)</f>
        <v>2078.11</v>
      </c>
      <c r="F441" s="2">
        <f>IFERROR(__xludf.DUMMYFUNCTION("""COMPUTED_VALUE"""),2.66523E7)</f>
        <v>26652300</v>
      </c>
      <c r="G441" s="2">
        <f t="shared" si="1"/>
        <v>81.89</v>
      </c>
    </row>
    <row r="442" ht="15.75" customHeight="1">
      <c r="A442" s="1">
        <f>IFERROR(__xludf.DUMMYFUNCTION("""COMPUTED_VALUE"""),44503.625)</f>
        <v>44503.625</v>
      </c>
      <c r="B442" s="2">
        <f>IFERROR(__xludf.DUMMYFUNCTION("""COMPUTED_VALUE"""),2078.11)</f>
        <v>2078.11</v>
      </c>
      <c r="C442" s="2">
        <f>IFERROR(__xludf.DUMMYFUNCTION("""COMPUTED_VALUE"""),2139.53)</f>
        <v>2139.53</v>
      </c>
      <c r="D442" s="2">
        <f>IFERROR(__xludf.DUMMYFUNCTION("""COMPUTED_VALUE"""),2067.87)</f>
        <v>2067.87</v>
      </c>
      <c r="E442" s="2">
        <f>IFERROR(__xludf.DUMMYFUNCTION("""COMPUTED_VALUE"""),2108.82)</f>
        <v>2108.82</v>
      </c>
      <c r="F442" s="2">
        <f>IFERROR(__xludf.DUMMYFUNCTION("""COMPUTED_VALUE"""),1.48183E7)</f>
        <v>14818300</v>
      </c>
      <c r="G442" s="2">
        <f t="shared" si="1"/>
        <v>71.66</v>
      </c>
    </row>
    <row r="443" ht="15.75" customHeight="1">
      <c r="A443" s="1">
        <f>IFERROR(__xludf.DUMMYFUNCTION("""COMPUTED_VALUE"""),44504.66666666667)</f>
        <v>44504.66667</v>
      </c>
      <c r="B443" s="2">
        <f>IFERROR(__xludf.DUMMYFUNCTION("""COMPUTED_VALUE"""),2119.06)</f>
        <v>2119.06</v>
      </c>
      <c r="C443" s="2">
        <f>IFERROR(__xludf.DUMMYFUNCTION("""COMPUTED_VALUE"""),2200.95)</f>
        <v>2200.95</v>
      </c>
      <c r="D443" s="2">
        <f>IFERROR(__xludf.DUMMYFUNCTION("""COMPUTED_VALUE"""),2119.06)</f>
        <v>2119.06</v>
      </c>
      <c r="E443" s="2">
        <f>IFERROR(__xludf.DUMMYFUNCTION("""COMPUTED_VALUE"""),2139.53)</f>
        <v>2139.53</v>
      </c>
      <c r="F443" s="2">
        <f>IFERROR(__xludf.DUMMYFUNCTION("""COMPUTED_VALUE"""),4.9388E7)</f>
        <v>49388000</v>
      </c>
      <c r="G443" s="2">
        <f t="shared" si="1"/>
        <v>92.13</v>
      </c>
    </row>
    <row r="444" ht="15.75" customHeight="1">
      <c r="A444" s="1">
        <f>IFERROR(__xludf.DUMMYFUNCTION("""COMPUTED_VALUE"""),44505.625)</f>
        <v>44505.625</v>
      </c>
      <c r="B444" s="2">
        <f>IFERROR(__xludf.DUMMYFUNCTION("""COMPUTED_VALUE"""),2139.53)</f>
        <v>2139.53</v>
      </c>
      <c r="C444" s="2">
        <f>IFERROR(__xludf.DUMMYFUNCTION("""COMPUTED_VALUE"""),2160.0)</f>
        <v>2160</v>
      </c>
      <c r="D444" s="2">
        <f>IFERROR(__xludf.DUMMYFUNCTION("""COMPUTED_VALUE"""),2098.58)</f>
        <v>2098.58</v>
      </c>
      <c r="E444" s="2">
        <f>IFERROR(__xludf.DUMMYFUNCTION("""COMPUTED_VALUE"""),2108.82)</f>
        <v>2108.82</v>
      </c>
      <c r="F444" s="2">
        <f>IFERROR(__xludf.DUMMYFUNCTION("""COMPUTED_VALUE"""),1.80523E7)</f>
        <v>18052300</v>
      </c>
      <c r="G444" s="2">
        <f t="shared" si="1"/>
        <v>61.42</v>
      </c>
    </row>
    <row r="445" ht="15.75" customHeight="1">
      <c r="A445" s="1">
        <f>IFERROR(__xludf.DUMMYFUNCTION("""COMPUTED_VALUE"""),44508.625)</f>
        <v>44508.625</v>
      </c>
      <c r="B445" s="2">
        <f>IFERROR(__xludf.DUMMYFUNCTION("""COMPUTED_VALUE"""),2108.82)</f>
        <v>2108.82</v>
      </c>
      <c r="C445" s="2">
        <f>IFERROR(__xludf.DUMMYFUNCTION("""COMPUTED_VALUE"""),2200.95)</f>
        <v>2200.95</v>
      </c>
      <c r="D445" s="2">
        <f>IFERROR(__xludf.DUMMYFUNCTION("""COMPUTED_VALUE"""),2088.34)</f>
        <v>2088.34</v>
      </c>
      <c r="E445" s="2">
        <f>IFERROR(__xludf.DUMMYFUNCTION("""COMPUTED_VALUE"""),2180.48)</f>
        <v>2180.48</v>
      </c>
      <c r="F445" s="2">
        <f>IFERROR(__xludf.DUMMYFUNCTION("""COMPUTED_VALUE"""),6.37204E7)</f>
        <v>63720400</v>
      </c>
      <c r="G445" s="2">
        <f t="shared" si="1"/>
        <v>112.61</v>
      </c>
    </row>
    <row r="446" ht="15.75" customHeight="1">
      <c r="A446" s="1">
        <f>IFERROR(__xludf.DUMMYFUNCTION("""COMPUTED_VALUE"""),44509.625)</f>
        <v>44509.625</v>
      </c>
      <c r="B446" s="2">
        <f>IFERROR(__xludf.DUMMYFUNCTION("""COMPUTED_VALUE"""),2180.48)</f>
        <v>2180.48</v>
      </c>
      <c r="C446" s="2">
        <f>IFERROR(__xludf.DUMMYFUNCTION("""COMPUTED_VALUE"""),2241.9)</f>
        <v>2241.9</v>
      </c>
      <c r="D446" s="2">
        <f>IFERROR(__xludf.DUMMYFUNCTION("""COMPUTED_VALUE"""),2129.29)</f>
        <v>2129.29</v>
      </c>
      <c r="E446" s="2">
        <f>IFERROR(__xludf.DUMMYFUNCTION("""COMPUTED_VALUE"""),2129.29)</f>
        <v>2129.29</v>
      </c>
      <c r="F446" s="2">
        <f>IFERROR(__xludf.DUMMYFUNCTION("""COMPUTED_VALUE"""),3.92889E7)</f>
        <v>39288900</v>
      </c>
      <c r="G446" s="2">
        <f t="shared" si="1"/>
        <v>112.61</v>
      </c>
    </row>
    <row r="447" ht="15.75" customHeight="1">
      <c r="A447" s="1">
        <f>IFERROR(__xludf.DUMMYFUNCTION("""COMPUTED_VALUE"""),44510.625)</f>
        <v>44510.625</v>
      </c>
      <c r="B447" s="2">
        <f>IFERROR(__xludf.DUMMYFUNCTION("""COMPUTED_VALUE"""),2149.77)</f>
        <v>2149.77</v>
      </c>
      <c r="C447" s="2">
        <f>IFERROR(__xludf.DUMMYFUNCTION("""COMPUTED_VALUE"""),2170.24)</f>
        <v>2170.24</v>
      </c>
      <c r="D447" s="2">
        <f>IFERROR(__xludf.DUMMYFUNCTION("""COMPUTED_VALUE"""),2108.82)</f>
        <v>2108.82</v>
      </c>
      <c r="E447" s="2">
        <f>IFERROR(__xludf.DUMMYFUNCTION("""COMPUTED_VALUE"""),2129.29)</f>
        <v>2129.29</v>
      </c>
      <c r="F447" s="2">
        <f>IFERROR(__xludf.DUMMYFUNCTION("""COMPUTED_VALUE"""),1.79301E7)</f>
        <v>17930100</v>
      </c>
      <c r="G447" s="2">
        <f t="shared" si="1"/>
        <v>61.42</v>
      </c>
    </row>
    <row r="448" ht="15.75" customHeight="1">
      <c r="A448" s="1">
        <f>IFERROR(__xludf.DUMMYFUNCTION("""COMPUTED_VALUE"""),44511.625)</f>
        <v>44511.625</v>
      </c>
      <c r="B448" s="2">
        <f>IFERROR(__xludf.DUMMYFUNCTION("""COMPUTED_VALUE"""),2129.29)</f>
        <v>2129.29</v>
      </c>
      <c r="C448" s="2">
        <f>IFERROR(__xludf.DUMMYFUNCTION("""COMPUTED_VALUE"""),2160.0)</f>
        <v>2160</v>
      </c>
      <c r="D448" s="2">
        <f>IFERROR(__xludf.DUMMYFUNCTION("""COMPUTED_VALUE"""),2108.82)</f>
        <v>2108.82</v>
      </c>
      <c r="E448" s="2">
        <f>IFERROR(__xludf.DUMMYFUNCTION("""COMPUTED_VALUE"""),2129.29)</f>
        <v>2129.29</v>
      </c>
      <c r="F448" s="2">
        <f>IFERROR(__xludf.DUMMYFUNCTION("""COMPUTED_VALUE"""),1.10057E7)</f>
        <v>11005700</v>
      </c>
      <c r="G448" s="2">
        <f t="shared" si="1"/>
        <v>51.18</v>
      </c>
    </row>
    <row r="449" ht="15.75" customHeight="1">
      <c r="A449" s="1">
        <f>IFERROR(__xludf.DUMMYFUNCTION("""COMPUTED_VALUE"""),44512.625)</f>
        <v>44512.625</v>
      </c>
      <c r="B449" s="2">
        <f>IFERROR(__xludf.DUMMYFUNCTION("""COMPUTED_VALUE"""),2129.29)</f>
        <v>2129.29</v>
      </c>
      <c r="C449" s="2">
        <f>IFERROR(__xludf.DUMMYFUNCTION("""COMPUTED_VALUE"""),2200.95)</f>
        <v>2200.95</v>
      </c>
      <c r="D449" s="2">
        <f>IFERROR(__xludf.DUMMYFUNCTION("""COMPUTED_VALUE"""),2129.29)</f>
        <v>2129.29</v>
      </c>
      <c r="E449" s="2">
        <f>IFERROR(__xludf.DUMMYFUNCTION("""COMPUTED_VALUE"""),2149.77)</f>
        <v>2149.77</v>
      </c>
      <c r="F449" s="2">
        <f>IFERROR(__xludf.DUMMYFUNCTION("""COMPUTED_VALUE"""),3.14779E7)</f>
        <v>31477900</v>
      </c>
      <c r="G449" s="2">
        <f t="shared" si="1"/>
        <v>71.66</v>
      </c>
    </row>
    <row r="450" ht="15.75" customHeight="1">
      <c r="A450" s="1">
        <f>IFERROR(__xludf.DUMMYFUNCTION("""COMPUTED_VALUE"""),44515.625)</f>
        <v>44515.625</v>
      </c>
      <c r="B450" s="2">
        <f>IFERROR(__xludf.DUMMYFUNCTION("""COMPUTED_VALUE"""),2149.77)</f>
        <v>2149.77</v>
      </c>
      <c r="C450" s="2">
        <f>IFERROR(__xludf.DUMMYFUNCTION("""COMPUTED_VALUE"""),2200.95)</f>
        <v>2200.95</v>
      </c>
      <c r="D450" s="2">
        <f>IFERROR(__xludf.DUMMYFUNCTION("""COMPUTED_VALUE"""),2119.06)</f>
        <v>2119.06</v>
      </c>
      <c r="E450" s="2">
        <f>IFERROR(__xludf.DUMMYFUNCTION("""COMPUTED_VALUE"""),2180.48)</f>
        <v>2180.48</v>
      </c>
      <c r="F450" s="2">
        <f>IFERROR(__xludf.DUMMYFUNCTION("""COMPUTED_VALUE"""),3.69372E7)</f>
        <v>36937200</v>
      </c>
      <c r="G450" s="2">
        <f t="shared" si="1"/>
        <v>81.89</v>
      </c>
    </row>
    <row r="451" ht="15.75" customHeight="1">
      <c r="A451" s="1">
        <f>IFERROR(__xludf.DUMMYFUNCTION("""COMPUTED_VALUE"""),44516.625)</f>
        <v>44516.625</v>
      </c>
      <c r="B451" s="2">
        <f>IFERROR(__xludf.DUMMYFUNCTION("""COMPUTED_VALUE"""),2180.48)</f>
        <v>2180.48</v>
      </c>
      <c r="C451" s="2">
        <f>IFERROR(__xludf.DUMMYFUNCTION("""COMPUTED_VALUE"""),2334.03)</f>
        <v>2334.03</v>
      </c>
      <c r="D451" s="2">
        <f>IFERROR(__xludf.DUMMYFUNCTION("""COMPUTED_VALUE"""),2180.48)</f>
        <v>2180.48</v>
      </c>
      <c r="E451" s="2">
        <f>IFERROR(__xludf.DUMMYFUNCTION("""COMPUTED_VALUE"""),2293.08)</f>
        <v>2293.08</v>
      </c>
      <c r="F451" s="2">
        <f>IFERROR(__xludf.DUMMYFUNCTION("""COMPUTED_VALUE"""),1.334109E8)</f>
        <v>133410900</v>
      </c>
      <c r="G451" s="2">
        <f t="shared" si="1"/>
        <v>153.55</v>
      </c>
    </row>
    <row r="452" ht="15.75" customHeight="1">
      <c r="A452" s="1">
        <f>IFERROR(__xludf.DUMMYFUNCTION("""COMPUTED_VALUE"""),44517.625)</f>
        <v>44517.625</v>
      </c>
      <c r="B452" s="2">
        <f>IFERROR(__xludf.DUMMYFUNCTION("""COMPUTED_VALUE"""),2293.08)</f>
        <v>2293.08</v>
      </c>
      <c r="C452" s="2">
        <f>IFERROR(__xludf.DUMMYFUNCTION("""COMPUTED_VALUE"""),2334.03)</f>
        <v>2334.03</v>
      </c>
      <c r="D452" s="2">
        <f>IFERROR(__xludf.DUMMYFUNCTION("""COMPUTED_VALUE"""),2252.14)</f>
        <v>2252.14</v>
      </c>
      <c r="E452" s="2">
        <f>IFERROR(__xludf.DUMMYFUNCTION("""COMPUTED_VALUE"""),2293.08)</f>
        <v>2293.08</v>
      </c>
      <c r="F452" s="2">
        <f>IFERROR(__xludf.DUMMYFUNCTION("""COMPUTED_VALUE"""),5.23268E7)</f>
        <v>52326800</v>
      </c>
      <c r="G452" s="2">
        <f t="shared" si="1"/>
        <v>81.89</v>
      </c>
    </row>
    <row r="453" ht="15.75" customHeight="1">
      <c r="A453" s="1">
        <f>IFERROR(__xludf.DUMMYFUNCTION("""COMPUTED_VALUE"""),44518.625)</f>
        <v>44518.625</v>
      </c>
      <c r="B453" s="2">
        <f>IFERROR(__xludf.DUMMYFUNCTION("""COMPUTED_VALUE"""),2293.08)</f>
        <v>2293.08</v>
      </c>
      <c r="C453" s="2">
        <f>IFERROR(__xludf.DUMMYFUNCTION("""COMPUTED_VALUE"""),2405.69)</f>
        <v>2405.69</v>
      </c>
      <c r="D453" s="2">
        <f>IFERROR(__xludf.DUMMYFUNCTION("""COMPUTED_VALUE"""),2262.37)</f>
        <v>2262.37</v>
      </c>
      <c r="E453" s="2">
        <f>IFERROR(__xludf.DUMMYFUNCTION("""COMPUTED_VALUE"""),2313.56)</f>
        <v>2313.56</v>
      </c>
      <c r="F453" s="2">
        <f>IFERROR(__xludf.DUMMYFUNCTION("""COMPUTED_VALUE"""),7.67018E7)</f>
        <v>76701800</v>
      </c>
      <c r="G453" s="2">
        <f t="shared" si="1"/>
        <v>143.32</v>
      </c>
    </row>
    <row r="454" ht="15.75" customHeight="1">
      <c r="A454" s="1">
        <f>IFERROR(__xludf.DUMMYFUNCTION("""COMPUTED_VALUE"""),44519.625)</f>
        <v>44519.625</v>
      </c>
      <c r="B454" s="2">
        <f>IFERROR(__xludf.DUMMYFUNCTION("""COMPUTED_VALUE"""),2323.8)</f>
        <v>2323.8</v>
      </c>
      <c r="C454" s="2">
        <f>IFERROR(__xludf.DUMMYFUNCTION("""COMPUTED_VALUE"""),2374.98)</f>
        <v>2374.98</v>
      </c>
      <c r="D454" s="2">
        <f>IFERROR(__xludf.DUMMYFUNCTION("""COMPUTED_VALUE"""),2180.48)</f>
        <v>2180.48</v>
      </c>
      <c r="E454" s="2">
        <f>IFERROR(__xludf.DUMMYFUNCTION("""COMPUTED_VALUE"""),2200.95)</f>
        <v>2200.95</v>
      </c>
      <c r="F454" s="2">
        <f>IFERROR(__xludf.DUMMYFUNCTION("""COMPUTED_VALUE"""),7.61658E7)</f>
        <v>76165800</v>
      </c>
      <c r="G454" s="2">
        <f t="shared" si="1"/>
        <v>194.5</v>
      </c>
    </row>
    <row r="455" ht="15.75" customHeight="1">
      <c r="A455" s="1">
        <f>IFERROR(__xludf.DUMMYFUNCTION("""COMPUTED_VALUE"""),44522.625)</f>
        <v>44522.625</v>
      </c>
      <c r="B455" s="2">
        <f>IFERROR(__xludf.DUMMYFUNCTION("""COMPUTED_VALUE"""),2221.43)</f>
        <v>2221.43</v>
      </c>
      <c r="C455" s="2">
        <f>IFERROR(__xludf.DUMMYFUNCTION("""COMPUTED_VALUE"""),2231.66)</f>
        <v>2231.66</v>
      </c>
      <c r="D455" s="2">
        <f>IFERROR(__xludf.DUMMYFUNCTION("""COMPUTED_VALUE"""),2088.34)</f>
        <v>2088.34</v>
      </c>
      <c r="E455" s="2">
        <f>IFERROR(__xludf.DUMMYFUNCTION("""COMPUTED_VALUE"""),2149.77)</f>
        <v>2149.77</v>
      </c>
      <c r="F455" s="2">
        <f>IFERROR(__xludf.DUMMYFUNCTION("""COMPUTED_VALUE"""),8.26332E7)</f>
        <v>82633200</v>
      </c>
      <c r="G455" s="2">
        <f t="shared" si="1"/>
        <v>143.32</v>
      </c>
    </row>
    <row r="456" ht="15.75" customHeight="1">
      <c r="A456" s="1">
        <f>IFERROR(__xludf.DUMMYFUNCTION("""COMPUTED_VALUE"""),44523.625)</f>
        <v>44523.625</v>
      </c>
      <c r="B456" s="2">
        <f>IFERROR(__xludf.DUMMYFUNCTION("""COMPUTED_VALUE"""),2160.0)</f>
        <v>2160</v>
      </c>
      <c r="C456" s="2">
        <f>IFERROR(__xludf.DUMMYFUNCTION("""COMPUTED_VALUE"""),2160.0)</f>
        <v>2160</v>
      </c>
      <c r="D456" s="2">
        <f>IFERROR(__xludf.DUMMYFUNCTION("""COMPUTED_VALUE"""),2057.63)</f>
        <v>2057.63</v>
      </c>
      <c r="E456" s="2">
        <f>IFERROR(__xludf.DUMMYFUNCTION("""COMPUTED_VALUE"""),2078.11)</f>
        <v>2078.11</v>
      </c>
      <c r="F456" s="2">
        <f>IFERROR(__xludf.DUMMYFUNCTION("""COMPUTED_VALUE"""),4.24148E7)</f>
        <v>42414800</v>
      </c>
      <c r="G456" s="2">
        <f t="shared" si="1"/>
        <v>102.37</v>
      </c>
    </row>
    <row r="457" ht="15.75" customHeight="1">
      <c r="A457" s="1">
        <f>IFERROR(__xludf.DUMMYFUNCTION("""COMPUTED_VALUE"""),44524.625)</f>
        <v>44524.625</v>
      </c>
      <c r="B457" s="2">
        <f>IFERROR(__xludf.DUMMYFUNCTION("""COMPUTED_VALUE"""),2078.11)</f>
        <v>2078.11</v>
      </c>
      <c r="C457" s="2">
        <f>IFERROR(__xludf.DUMMYFUNCTION("""COMPUTED_VALUE"""),2170.24)</f>
        <v>2170.24</v>
      </c>
      <c r="D457" s="2">
        <f>IFERROR(__xludf.DUMMYFUNCTION("""COMPUTED_VALUE"""),2057.63)</f>
        <v>2057.63</v>
      </c>
      <c r="E457" s="2">
        <f>IFERROR(__xludf.DUMMYFUNCTION("""COMPUTED_VALUE"""),2139.53)</f>
        <v>2139.53</v>
      </c>
      <c r="F457" s="2">
        <f>IFERROR(__xludf.DUMMYFUNCTION("""COMPUTED_VALUE"""),3.62267E7)</f>
        <v>36226700</v>
      </c>
      <c r="G457" s="2">
        <f t="shared" si="1"/>
        <v>112.61</v>
      </c>
    </row>
    <row r="458" ht="15.75" customHeight="1">
      <c r="A458" s="1">
        <f>IFERROR(__xludf.DUMMYFUNCTION("""COMPUTED_VALUE"""),44525.625)</f>
        <v>44525.625</v>
      </c>
      <c r="B458" s="2">
        <f>IFERROR(__xludf.DUMMYFUNCTION("""COMPUTED_VALUE"""),2160.0)</f>
        <v>2160</v>
      </c>
      <c r="C458" s="2">
        <f>IFERROR(__xludf.DUMMYFUNCTION("""COMPUTED_VALUE"""),2241.9)</f>
        <v>2241.9</v>
      </c>
      <c r="D458" s="2">
        <f>IFERROR(__xludf.DUMMYFUNCTION("""COMPUTED_VALUE"""),2160.0)</f>
        <v>2160</v>
      </c>
      <c r="E458" s="2">
        <f>IFERROR(__xludf.DUMMYFUNCTION("""COMPUTED_VALUE"""),2211.19)</f>
        <v>2211.19</v>
      </c>
      <c r="F458" s="2">
        <f>IFERROR(__xludf.DUMMYFUNCTION("""COMPUTED_VALUE"""),4.031E7)</f>
        <v>40310000</v>
      </c>
      <c r="G458" s="2">
        <f t="shared" si="1"/>
        <v>102.37</v>
      </c>
    </row>
    <row r="459" ht="15.75" customHeight="1">
      <c r="A459" s="1">
        <f>IFERROR(__xludf.DUMMYFUNCTION("""COMPUTED_VALUE"""),44526.625)</f>
        <v>44526.625</v>
      </c>
      <c r="B459" s="2">
        <f>IFERROR(__xludf.DUMMYFUNCTION("""COMPUTED_VALUE"""),2221.43)</f>
        <v>2221.43</v>
      </c>
      <c r="C459" s="2">
        <f>IFERROR(__xludf.DUMMYFUNCTION("""COMPUTED_VALUE"""),2231.66)</f>
        <v>2231.66</v>
      </c>
      <c r="D459" s="2">
        <f>IFERROR(__xludf.DUMMYFUNCTION("""COMPUTED_VALUE"""),2057.63)</f>
        <v>2057.63</v>
      </c>
      <c r="E459" s="2">
        <f>IFERROR(__xludf.DUMMYFUNCTION("""COMPUTED_VALUE"""),2108.82)</f>
        <v>2108.82</v>
      </c>
      <c r="F459" s="2">
        <f>IFERROR(__xludf.DUMMYFUNCTION("""COMPUTED_VALUE"""),4.94671E7)</f>
        <v>49467100</v>
      </c>
      <c r="G459" s="2">
        <f t="shared" si="1"/>
        <v>174.03</v>
      </c>
    </row>
    <row r="460" ht="15.75" customHeight="1">
      <c r="A460" s="1">
        <f>IFERROR(__xludf.DUMMYFUNCTION("""COMPUTED_VALUE"""),44529.625)</f>
        <v>44529.625</v>
      </c>
      <c r="B460" s="2">
        <f>IFERROR(__xludf.DUMMYFUNCTION("""COMPUTED_VALUE"""),2197.24)</f>
        <v>2197.24</v>
      </c>
      <c r="C460" s="2">
        <f>IFERROR(__xludf.DUMMYFUNCTION("""COMPUTED_VALUE"""),2301.87)</f>
        <v>2301.87</v>
      </c>
      <c r="D460" s="2">
        <f>IFERROR(__xludf.DUMMYFUNCTION("""COMPUTED_VALUE"""),2071.68)</f>
        <v>2071.68</v>
      </c>
      <c r="E460" s="2">
        <f>IFERROR(__xludf.DUMMYFUNCTION("""COMPUTED_VALUE"""),2249.55)</f>
        <v>2249.55</v>
      </c>
      <c r="F460" s="2">
        <f>IFERROR(__xludf.DUMMYFUNCTION("""COMPUTED_VALUE"""),6.44597E7)</f>
        <v>64459700</v>
      </c>
      <c r="G460" s="2">
        <f t="shared" si="1"/>
        <v>230.19</v>
      </c>
    </row>
    <row r="461" ht="15.75" customHeight="1">
      <c r="A461" s="1">
        <f>IFERROR(__xludf.DUMMYFUNCTION("""COMPUTED_VALUE"""),44530.625)</f>
        <v>44530.625</v>
      </c>
      <c r="B461" s="2">
        <f>IFERROR(__xludf.DUMMYFUNCTION("""COMPUTED_VALUE"""),2260.02)</f>
        <v>2260.02</v>
      </c>
      <c r="C461" s="2">
        <f>IFERROR(__xludf.DUMMYFUNCTION("""COMPUTED_VALUE"""),2312.33)</f>
        <v>2312.33</v>
      </c>
      <c r="D461" s="2">
        <f>IFERROR(__xludf.DUMMYFUNCTION("""COMPUTED_VALUE"""),2155.39)</f>
        <v>2155.39</v>
      </c>
      <c r="E461" s="2">
        <f>IFERROR(__xludf.DUMMYFUNCTION("""COMPUTED_VALUE"""),2228.63)</f>
        <v>2228.63</v>
      </c>
      <c r="F461" s="2">
        <f>IFERROR(__xludf.DUMMYFUNCTION("""COMPUTED_VALUE"""),4.3062E7)</f>
        <v>43062000</v>
      </c>
      <c r="G461" s="2">
        <f t="shared" si="1"/>
        <v>156.94</v>
      </c>
    </row>
    <row r="462" ht="15.75" customHeight="1">
      <c r="A462" s="1">
        <f>IFERROR(__xludf.DUMMYFUNCTION("""COMPUTED_VALUE"""),44531.66666666667)</f>
        <v>44531.66667</v>
      </c>
      <c r="B462" s="2">
        <f>IFERROR(__xludf.DUMMYFUNCTION("""COMPUTED_VALUE"""),2228.63)</f>
        <v>2228.63</v>
      </c>
      <c r="C462" s="2">
        <f>IFERROR(__xludf.DUMMYFUNCTION("""COMPUTED_VALUE"""),2249.55)</f>
        <v>2249.55</v>
      </c>
      <c r="D462" s="2">
        <f>IFERROR(__xludf.DUMMYFUNCTION("""COMPUTED_VALUE"""),2144.92)</f>
        <v>2144.92</v>
      </c>
      <c r="E462" s="2">
        <f>IFERROR(__xludf.DUMMYFUNCTION("""COMPUTED_VALUE"""),2165.85)</f>
        <v>2165.85</v>
      </c>
      <c r="F462" s="2">
        <f>IFERROR(__xludf.DUMMYFUNCTION("""COMPUTED_VALUE"""),2.16229E7)</f>
        <v>21622900</v>
      </c>
      <c r="G462" s="2">
        <f t="shared" si="1"/>
        <v>104.63</v>
      </c>
    </row>
    <row r="463" ht="15.75" customHeight="1">
      <c r="A463" s="1">
        <f>IFERROR(__xludf.DUMMYFUNCTION("""COMPUTED_VALUE"""),44532.66666666667)</f>
        <v>44532.66667</v>
      </c>
      <c r="B463" s="2">
        <f>IFERROR(__xludf.DUMMYFUNCTION("""COMPUTED_VALUE"""),2155.39)</f>
        <v>2155.39</v>
      </c>
      <c r="C463" s="2">
        <f>IFERROR(__xludf.DUMMYFUNCTION("""COMPUTED_VALUE"""),2176.31)</f>
        <v>2176.31</v>
      </c>
      <c r="D463" s="2">
        <f>IFERROR(__xludf.DUMMYFUNCTION("""COMPUTED_VALUE"""),2045.52)</f>
        <v>2045.52</v>
      </c>
      <c r="E463" s="2">
        <f>IFERROR(__xludf.DUMMYFUNCTION("""COMPUTED_VALUE"""),2087.38)</f>
        <v>2087.38</v>
      </c>
      <c r="F463" s="2">
        <f>IFERROR(__xludf.DUMMYFUNCTION("""COMPUTED_VALUE"""),5.19813E7)</f>
        <v>51981300</v>
      </c>
      <c r="G463" s="2">
        <f t="shared" si="1"/>
        <v>130.79</v>
      </c>
    </row>
    <row r="464" ht="15.75" customHeight="1">
      <c r="A464" s="1">
        <f>IFERROR(__xludf.DUMMYFUNCTION("""COMPUTED_VALUE"""),44533.66666666667)</f>
        <v>44533.66667</v>
      </c>
      <c r="B464" s="2">
        <f>IFERROR(__xludf.DUMMYFUNCTION("""COMPUTED_VALUE"""),2092.61)</f>
        <v>2092.61</v>
      </c>
      <c r="C464" s="2">
        <f>IFERROR(__xludf.DUMMYFUNCTION("""COMPUTED_VALUE"""),2103.07)</f>
        <v>2103.07</v>
      </c>
      <c r="D464" s="2">
        <f>IFERROR(__xludf.DUMMYFUNCTION("""COMPUTED_VALUE"""),2008.9)</f>
        <v>2008.9</v>
      </c>
      <c r="E464" s="2">
        <f>IFERROR(__xludf.DUMMYFUNCTION("""COMPUTED_VALUE"""),2014.13)</f>
        <v>2014.13</v>
      </c>
      <c r="F464" s="2">
        <f>IFERROR(__xludf.DUMMYFUNCTION("""COMPUTED_VALUE"""),4.32631E7)</f>
        <v>43263100</v>
      </c>
      <c r="G464" s="2">
        <f t="shared" si="1"/>
        <v>94.17</v>
      </c>
    </row>
    <row r="465" ht="15.75" customHeight="1">
      <c r="A465" s="1">
        <f>IFERROR(__xludf.DUMMYFUNCTION("""COMPUTED_VALUE"""),44536.66666666667)</f>
        <v>44536.66667</v>
      </c>
      <c r="B465" s="2">
        <f>IFERROR(__xludf.DUMMYFUNCTION("""COMPUTED_VALUE"""),2014.13)</f>
        <v>2014.13</v>
      </c>
      <c r="C465" s="2">
        <f>IFERROR(__xludf.DUMMYFUNCTION("""COMPUTED_VALUE"""),2228.63)</f>
        <v>2228.63</v>
      </c>
      <c r="D465" s="2">
        <f>IFERROR(__xludf.DUMMYFUNCTION("""COMPUTED_VALUE"""),1987.98)</f>
        <v>1987.98</v>
      </c>
      <c r="E465" s="2">
        <f>IFERROR(__xludf.DUMMYFUNCTION("""COMPUTED_VALUE"""),2207.7)</f>
        <v>2207.7</v>
      </c>
      <c r="F465" s="2">
        <f>IFERROR(__xludf.DUMMYFUNCTION("""COMPUTED_VALUE"""),7.56729E7)</f>
        <v>75672900</v>
      </c>
      <c r="G465" s="2">
        <f t="shared" si="1"/>
        <v>240.65</v>
      </c>
    </row>
    <row r="466" ht="15.75" customHeight="1">
      <c r="A466" s="1">
        <f>IFERROR(__xludf.DUMMYFUNCTION("""COMPUTED_VALUE"""),44537.66666666667)</f>
        <v>44537.66667</v>
      </c>
      <c r="B466" s="2">
        <f>IFERROR(__xludf.DUMMYFUNCTION("""COMPUTED_VALUE"""),2239.09)</f>
        <v>2239.09</v>
      </c>
      <c r="C466" s="2">
        <f>IFERROR(__xludf.DUMMYFUNCTION("""COMPUTED_VALUE"""),2312.33)</f>
        <v>2312.33</v>
      </c>
      <c r="D466" s="2">
        <f>IFERROR(__xludf.DUMMYFUNCTION("""COMPUTED_VALUE"""),2165.85)</f>
        <v>2165.85</v>
      </c>
      <c r="E466" s="2">
        <f>IFERROR(__xludf.DUMMYFUNCTION("""COMPUTED_VALUE"""),2218.16)</f>
        <v>2218.16</v>
      </c>
      <c r="F466" s="2">
        <f>IFERROR(__xludf.DUMMYFUNCTION("""COMPUTED_VALUE"""),8.43618E7)</f>
        <v>84361800</v>
      </c>
      <c r="G466" s="2">
        <f t="shared" si="1"/>
        <v>146.48</v>
      </c>
    </row>
    <row r="467" ht="15.75" customHeight="1">
      <c r="A467" s="1">
        <f>IFERROR(__xludf.DUMMYFUNCTION("""COMPUTED_VALUE"""),44538.66666666667)</f>
        <v>44538.66667</v>
      </c>
      <c r="B467" s="2">
        <f>IFERROR(__xludf.DUMMYFUNCTION("""COMPUTED_VALUE"""),2239.09)</f>
        <v>2239.09</v>
      </c>
      <c r="C467" s="2">
        <f>IFERROR(__xludf.DUMMYFUNCTION("""COMPUTED_VALUE"""),2396.04)</f>
        <v>2396.04</v>
      </c>
      <c r="D467" s="2">
        <f>IFERROR(__xludf.DUMMYFUNCTION("""COMPUTED_VALUE"""),2218.16)</f>
        <v>2218.16</v>
      </c>
      <c r="E467" s="2">
        <f>IFERROR(__xludf.DUMMYFUNCTION("""COMPUTED_VALUE"""),2343.72)</f>
        <v>2343.72</v>
      </c>
      <c r="F467" s="2">
        <f>IFERROR(__xludf.DUMMYFUNCTION("""COMPUTED_VALUE"""),1.143969E8)</f>
        <v>114396900</v>
      </c>
      <c r="G467" s="2">
        <f t="shared" si="1"/>
        <v>177.88</v>
      </c>
    </row>
    <row r="468" ht="15.75" customHeight="1">
      <c r="A468" s="1">
        <f>IFERROR(__xludf.DUMMYFUNCTION("""COMPUTED_VALUE"""),44539.66666666667)</f>
        <v>44539.66667</v>
      </c>
      <c r="B468" s="2">
        <f>IFERROR(__xludf.DUMMYFUNCTION("""COMPUTED_VALUE"""),2364.65)</f>
        <v>2364.65</v>
      </c>
      <c r="C468" s="2">
        <f>IFERROR(__xludf.DUMMYFUNCTION("""COMPUTED_VALUE"""),2385.57)</f>
        <v>2385.57</v>
      </c>
      <c r="D468" s="2">
        <f>IFERROR(__xludf.DUMMYFUNCTION("""COMPUTED_VALUE"""),2312.33)</f>
        <v>2312.33</v>
      </c>
      <c r="E468" s="2">
        <f>IFERROR(__xludf.DUMMYFUNCTION("""COMPUTED_VALUE"""),2333.26)</f>
        <v>2333.26</v>
      </c>
      <c r="F468" s="2">
        <f>IFERROR(__xludf.DUMMYFUNCTION("""COMPUTED_VALUE"""),2.95044E7)</f>
        <v>29504400</v>
      </c>
      <c r="G468" s="2">
        <f t="shared" si="1"/>
        <v>73.24</v>
      </c>
    </row>
    <row r="469" ht="15.75" customHeight="1">
      <c r="A469" s="1">
        <f>IFERROR(__xludf.DUMMYFUNCTION("""COMPUTED_VALUE"""),44540.66666666667)</f>
        <v>44540.66667</v>
      </c>
      <c r="B469" s="2">
        <f>IFERROR(__xludf.DUMMYFUNCTION("""COMPUTED_VALUE"""),2333.26)</f>
        <v>2333.26</v>
      </c>
      <c r="C469" s="2">
        <f>IFERROR(__xludf.DUMMYFUNCTION("""COMPUTED_VALUE"""),2375.11)</f>
        <v>2375.11</v>
      </c>
      <c r="D469" s="2">
        <f>IFERROR(__xludf.DUMMYFUNCTION("""COMPUTED_VALUE"""),2218.16)</f>
        <v>2218.16</v>
      </c>
      <c r="E469" s="2">
        <f>IFERROR(__xludf.DUMMYFUNCTION("""COMPUTED_VALUE"""),2218.16)</f>
        <v>2218.16</v>
      </c>
      <c r="F469" s="2">
        <f>IFERROR(__xludf.DUMMYFUNCTION("""COMPUTED_VALUE"""),5.04001E7)</f>
        <v>50400100</v>
      </c>
      <c r="G469" s="2">
        <f t="shared" si="1"/>
        <v>156.95</v>
      </c>
    </row>
    <row r="470" ht="15.75" customHeight="1">
      <c r="A470" s="1">
        <f>IFERROR(__xludf.DUMMYFUNCTION("""COMPUTED_VALUE"""),44543.66666666667)</f>
        <v>44543.66667</v>
      </c>
      <c r="B470" s="2">
        <f>IFERROR(__xludf.DUMMYFUNCTION("""COMPUTED_VALUE"""),2249.55)</f>
        <v>2249.55</v>
      </c>
      <c r="C470" s="2">
        <f>IFERROR(__xludf.DUMMYFUNCTION("""COMPUTED_VALUE"""),2249.55)</f>
        <v>2249.55</v>
      </c>
      <c r="D470" s="2">
        <f>IFERROR(__xludf.DUMMYFUNCTION("""COMPUTED_VALUE"""),2155.39)</f>
        <v>2155.39</v>
      </c>
      <c r="E470" s="2">
        <f>IFERROR(__xludf.DUMMYFUNCTION("""COMPUTED_VALUE"""),2176.31)</f>
        <v>2176.31</v>
      </c>
      <c r="F470" s="2">
        <f>IFERROR(__xludf.DUMMYFUNCTION("""COMPUTED_VALUE"""),3.55663E7)</f>
        <v>35566300</v>
      </c>
      <c r="G470" s="2">
        <f t="shared" si="1"/>
        <v>94.16</v>
      </c>
    </row>
    <row r="471" ht="15.75" customHeight="1">
      <c r="A471" s="1">
        <f>IFERROR(__xludf.DUMMYFUNCTION("""COMPUTED_VALUE"""),44544.66666666667)</f>
        <v>44544.66667</v>
      </c>
      <c r="B471" s="2">
        <f>IFERROR(__xludf.DUMMYFUNCTION("""COMPUTED_VALUE"""),2176.31)</f>
        <v>2176.31</v>
      </c>
      <c r="C471" s="2">
        <f>IFERROR(__xludf.DUMMYFUNCTION("""COMPUTED_VALUE"""),2176.31)</f>
        <v>2176.31</v>
      </c>
      <c r="D471" s="2">
        <f>IFERROR(__xludf.DUMMYFUNCTION("""COMPUTED_VALUE"""),2082.14)</f>
        <v>2082.14</v>
      </c>
      <c r="E471" s="2">
        <f>IFERROR(__xludf.DUMMYFUNCTION("""COMPUTED_VALUE"""),2124.0)</f>
        <v>2124</v>
      </c>
      <c r="F471" s="2">
        <f>IFERROR(__xludf.DUMMYFUNCTION("""COMPUTED_VALUE"""),4.79776E7)</f>
        <v>47977600</v>
      </c>
      <c r="G471" s="2">
        <f t="shared" si="1"/>
        <v>94.17</v>
      </c>
    </row>
    <row r="472" ht="15.75" customHeight="1">
      <c r="A472" s="1">
        <f>IFERROR(__xludf.DUMMYFUNCTION("""COMPUTED_VALUE"""),44545.66666666667)</f>
        <v>44545.66667</v>
      </c>
      <c r="B472" s="2">
        <f>IFERROR(__xludf.DUMMYFUNCTION("""COMPUTED_VALUE"""),2134.46)</f>
        <v>2134.46</v>
      </c>
      <c r="C472" s="2">
        <f>IFERROR(__xludf.DUMMYFUNCTION("""COMPUTED_VALUE"""),2176.31)</f>
        <v>2176.31</v>
      </c>
      <c r="D472" s="2">
        <f>IFERROR(__xludf.DUMMYFUNCTION("""COMPUTED_VALUE"""),2113.53)</f>
        <v>2113.53</v>
      </c>
      <c r="E472" s="2">
        <f>IFERROR(__xludf.DUMMYFUNCTION("""COMPUTED_VALUE"""),2113.53)</f>
        <v>2113.53</v>
      </c>
      <c r="F472" s="2">
        <f>IFERROR(__xludf.DUMMYFUNCTION("""COMPUTED_VALUE"""),1.97615E7)</f>
        <v>19761500</v>
      </c>
      <c r="G472" s="2">
        <f t="shared" si="1"/>
        <v>62.78</v>
      </c>
    </row>
    <row r="473" ht="15.75" customHeight="1">
      <c r="A473" s="1">
        <f>IFERROR(__xludf.DUMMYFUNCTION("""COMPUTED_VALUE"""),44546.66666666667)</f>
        <v>44546.66667</v>
      </c>
      <c r="B473" s="2">
        <f>IFERROR(__xludf.DUMMYFUNCTION("""COMPUTED_VALUE"""),2124.0)</f>
        <v>2124</v>
      </c>
      <c r="C473" s="2">
        <f>IFERROR(__xludf.DUMMYFUNCTION("""COMPUTED_VALUE"""),2165.85)</f>
        <v>2165.85</v>
      </c>
      <c r="D473" s="2">
        <f>IFERROR(__xludf.DUMMYFUNCTION("""COMPUTED_VALUE"""),2082.14)</f>
        <v>2082.14</v>
      </c>
      <c r="E473" s="2">
        <f>IFERROR(__xludf.DUMMYFUNCTION("""COMPUTED_VALUE"""),2113.53)</f>
        <v>2113.53</v>
      </c>
      <c r="F473" s="2">
        <f>IFERROR(__xludf.DUMMYFUNCTION("""COMPUTED_VALUE"""),1.97932E7)</f>
        <v>19793200</v>
      </c>
      <c r="G473" s="2">
        <f t="shared" si="1"/>
        <v>83.71</v>
      </c>
    </row>
    <row r="474" ht="15.75" customHeight="1">
      <c r="A474" s="1">
        <f>IFERROR(__xludf.DUMMYFUNCTION("""COMPUTED_VALUE"""),44547.66666666667)</f>
        <v>44547.66667</v>
      </c>
      <c r="B474" s="2">
        <f>IFERROR(__xludf.DUMMYFUNCTION("""COMPUTED_VALUE"""),2113.53)</f>
        <v>2113.53</v>
      </c>
      <c r="C474" s="2">
        <f>IFERROR(__xludf.DUMMYFUNCTION("""COMPUTED_VALUE"""),2134.46)</f>
        <v>2134.46</v>
      </c>
      <c r="D474" s="2">
        <f>IFERROR(__xludf.DUMMYFUNCTION("""COMPUTED_VALUE"""),2082.14)</f>
        <v>2082.14</v>
      </c>
      <c r="E474" s="2">
        <f>IFERROR(__xludf.DUMMYFUNCTION("""COMPUTED_VALUE"""),2092.61)</f>
        <v>2092.61</v>
      </c>
      <c r="F474" s="2">
        <f>IFERROR(__xludf.DUMMYFUNCTION("""COMPUTED_VALUE"""),2.52951E7)</f>
        <v>25295100</v>
      </c>
      <c r="G474" s="2">
        <f t="shared" si="1"/>
        <v>52.32</v>
      </c>
    </row>
    <row r="475" ht="15.75" customHeight="1">
      <c r="A475" s="1">
        <f>IFERROR(__xludf.DUMMYFUNCTION("""COMPUTED_VALUE"""),44550.66666666667)</f>
        <v>44550.66667</v>
      </c>
      <c r="B475" s="2">
        <f>IFERROR(__xludf.DUMMYFUNCTION("""COMPUTED_VALUE"""),2092.61)</f>
        <v>2092.61</v>
      </c>
      <c r="C475" s="2">
        <f>IFERROR(__xludf.DUMMYFUNCTION("""COMPUTED_VALUE"""),2092.61)</f>
        <v>2092.61</v>
      </c>
      <c r="D475" s="2">
        <f>IFERROR(__xludf.DUMMYFUNCTION("""COMPUTED_VALUE"""),2040.29)</f>
        <v>2040.29</v>
      </c>
      <c r="E475" s="2">
        <f>IFERROR(__xludf.DUMMYFUNCTION("""COMPUTED_VALUE"""),2040.29)</f>
        <v>2040.29</v>
      </c>
      <c r="F475" s="2">
        <f>IFERROR(__xludf.DUMMYFUNCTION("""COMPUTED_VALUE"""),2.68861E7)</f>
        <v>26886100</v>
      </c>
      <c r="G475" s="2">
        <f t="shared" si="1"/>
        <v>52.32</v>
      </c>
    </row>
    <row r="476" ht="15.75" customHeight="1">
      <c r="A476" s="1">
        <f>IFERROR(__xludf.DUMMYFUNCTION("""COMPUTED_VALUE"""),44551.66666666667)</f>
        <v>44551.66667</v>
      </c>
      <c r="B476" s="2">
        <f>IFERROR(__xludf.DUMMYFUNCTION("""COMPUTED_VALUE"""),2040.29)</f>
        <v>2040.29</v>
      </c>
      <c r="C476" s="2">
        <f>IFERROR(__xludf.DUMMYFUNCTION("""COMPUTED_VALUE"""),2124.0)</f>
        <v>2124</v>
      </c>
      <c r="D476" s="2">
        <f>IFERROR(__xludf.DUMMYFUNCTION("""COMPUTED_VALUE"""),2029.83)</f>
        <v>2029.83</v>
      </c>
      <c r="E476" s="2">
        <f>IFERROR(__xludf.DUMMYFUNCTION("""COMPUTED_VALUE"""),2061.22)</f>
        <v>2061.22</v>
      </c>
      <c r="F476" s="2">
        <f>IFERROR(__xludf.DUMMYFUNCTION("""COMPUTED_VALUE"""),1.95884E7)</f>
        <v>19588400</v>
      </c>
      <c r="G476" s="2">
        <f t="shared" si="1"/>
        <v>94.17</v>
      </c>
    </row>
    <row r="477" ht="15.75" customHeight="1">
      <c r="A477" s="1">
        <f>IFERROR(__xludf.DUMMYFUNCTION("""COMPUTED_VALUE"""),44552.66666666667)</f>
        <v>44552.66667</v>
      </c>
      <c r="B477" s="2">
        <f>IFERROR(__xludf.DUMMYFUNCTION("""COMPUTED_VALUE"""),2071.68)</f>
        <v>2071.68</v>
      </c>
      <c r="C477" s="2">
        <f>IFERROR(__xludf.DUMMYFUNCTION("""COMPUTED_VALUE"""),2103.07)</f>
        <v>2103.07</v>
      </c>
      <c r="D477" s="2">
        <f>IFERROR(__xludf.DUMMYFUNCTION("""COMPUTED_VALUE"""),2061.22)</f>
        <v>2061.22</v>
      </c>
      <c r="E477" s="2">
        <f>IFERROR(__xludf.DUMMYFUNCTION("""COMPUTED_VALUE"""),2061.22)</f>
        <v>2061.22</v>
      </c>
      <c r="F477" s="2">
        <f>IFERROR(__xludf.DUMMYFUNCTION("""COMPUTED_VALUE"""),2.39082E7)</f>
        <v>23908200</v>
      </c>
      <c r="G477" s="2">
        <f t="shared" si="1"/>
        <v>41.85</v>
      </c>
    </row>
    <row r="478" ht="15.75" customHeight="1">
      <c r="A478" s="1">
        <f>IFERROR(__xludf.DUMMYFUNCTION("""COMPUTED_VALUE"""),44553.66666666667)</f>
        <v>44553.66667</v>
      </c>
      <c r="B478" s="2">
        <f>IFERROR(__xludf.DUMMYFUNCTION("""COMPUTED_VALUE"""),2082.14)</f>
        <v>2082.14</v>
      </c>
      <c r="C478" s="2">
        <f>IFERROR(__xludf.DUMMYFUNCTION("""COMPUTED_VALUE"""),2113.53)</f>
        <v>2113.53</v>
      </c>
      <c r="D478" s="2">
        <f>IFERROR(__xludf.DUMMYFUNCTION("""COMPUTED_VALUE"""),2061.22)</f>
        <v>2061.22</v>
      </c>
      <c r="E478" s="2">
        <f>IFERROR(__xludf.DUMMYFUNCTION("""COMPUTED_VALUE"""),2066.45)</f>
        <v>2066.45</v>
      </c>
      <c r="F478" s="2">
        <f>IFERROR(__xludf.DUMMYFUNCTION("""COMPUTED_VALUE"""),1.64144E7)</f>
        <v>16414400</v>
      </c>
      <c r="G478" s="2">
        <f t="shared" si="1"/>
        <v>52.31</v>
      </c>
    </row>
    <row r="479" ht="15.75" customHeight="1">
      <c r="A479" s="1">
        <f>IFERROR(__xludf.DUMMYFUNCTION("""COMPUTED_VALUE"""),44554.66666666667)</f>
        <v>44554.66667</v>
      </c>
      <c r="B479" s="2">
        <f>IFERROR(__xludf.DUMMYFUNCTION("""COMPUTED_VALUE"""),2071.68)</f>
        <v>2071.68</v>
      </c>
      <c r="C479" s="2">
        <f>IFERROR(__xludf.DUMMYFUNCTION("""COMPUTED_VALUE"""),2124.0)</f>
        <v>2124</v>
      </c>
      <c r="D479" s="2">
        <f>IFERROR(__xludf.DUMMYFUNCTION("""COMPUTED_VALUE"""),2071.68)</f>
        <v>2071.68</v>
      </c>
      <c r="E479" s="2">
        <f>IFERROR(__xludf.DUMMYFUNCTION("""COMPUTED_VALUE"""),2092.61)</f>
        <v>2092.61</v>
      </c>
      <c r="F479" s="2">
        <f>IFERROR(__xludf.DUMMYFUNCTION("""COMPUTED_VALUE"""),1.87878E7)</f>
        <v>18787800</v>
      </c>
      <c r="G479" s="2">
        <f t="shared" si="1"/>
        <v>57.55</v>
      </c>
    </row>
    <row r="480" ht="15.75" customHeight="1">
      <c r="A480" s="1">
        <f>IFERROR(__xludf.DUMMYFUNCTION("""COMPUTED_VALUE"""),44557.66666666667)</f>
        <v>44557.66667</v>
      </c>
      <c r="B480" s="2">
        <f>IFERROR(__xludf.DUMMYFUNCTION("""COMPUTED_VALUE"""),2103.07)</f>
        <v>2103.07</v>
      </c>
      <c r="C480" s="2">
        <f>IFERROR(__xludf.DUMMYFUNCTION("""COMPUTED_VALUE"""),2103.07)</f>
        <v>2103.07</v>
      </c>
      <c r="D480" s="2">
        <f>IFERROR(__xludf.DUMMYFUNCTION("""COMPUTED_VALUE"""),2061.22)</f>
        <v>2061.22</v>
      </c>
      <c r="E480" s="2">
        <f>IFERROR(__xludf.DUMMYFUNCTION("""COMPUTED_VALUE"""),2061.22)</f>
        <v>2061.22</v>
      </c>
      <c r="F480" s="2">
        <f>IFERROR(__xludf.DUMMYFUNCTION("""COMPUTED_VALUE"""),1.62303E7)</f>
        <v>16230300</v>
      </c>
      <c r="G480" s="2">
        <f t="shared" si="1"/>
        <v>41.85</v>
      </c>
    </row>
    <row r="481" ht="15.75" customHeight="1">
      <c r="A481" s="1">
        <f>IFERROR(__xludf.DUMMYFUNCTION("""COMPUTED_VALUE"""),44558.66666666667)</f>
        <v>44558.66667</v>
      </c>
      <c r="B481" s="2">
        <f>IFERROR(__xludf.DUMMYFUNCTION("""COMPUTED_VALUE"""),2061.22)</f>
        <v>2061.22</v>
      </c>
      <c r="C481" s="2">
        <f>IFERROR(__xludf.DUMMYFUNCTION("""COMPUTED_VALUE"""),2076.91)</f>
        <v>2076.91</v>
      </c>
      <c r="D481" s="2">
        <f>IFERROR(__xludf.DUMMYFUNCTION("""COMPUTED_VALUE"""),2008.9)</f>
        <v>2008.9</v>
      </c>
      <c r="E481" s="2">
        <f>IFERROR(__xludf.DUMMYFUNCTION("""COMPUTED_VALUE"""),2008.9)</f>
        <v>2008.9</v>
      </c>
      <c r="F481" s="2">
        <f>IFERROR(__xludf.DUMMYFUNCTION("""COMPUTED_VALUE"""),2.75514E7)</f>
        <v>27551400</v>
      </c>
      <c r="G481" s="2">
        <f t="shared" si="1"/>
        <v>68.01</v>
      </c>
    </row>
    <row r="482" ht="15.75" customHeight="1">
      <c r="A482" s="1">
        <f>IFERROR(__xludf.DUMMYFUNCTION("""COMPUTED_VALUE"""),44559.66666666667)</f>
        <v>44559.66667</v>
      </c>
      <c r="B482" s="2">
        <f>IFERROR(__xludf.DUMMYFUNCTION("""COMPUTED_VALUE"""),2008.9)</f>
        <v>2008.9</v>
      </c>
      <c r="C482" s="2">
        <f>IFERROR(__xludf.DUMMYFUNCTION("""COMPUTED_VALUE"""),2019.37)</f>
        <v>2019.37</v>
      </c>
      <c r="D482" s="2">
        <f>IFERROR(__xludf.DUMMYFUNCTION("""COMPUTED_VALUE"""),1909.5)</f>
        <v>1909.5</v>
      </c>
      <c r="E482" s="2">
        <f>IFERROR(__xludf.DUMMYFUNCTION("""COMPUTED_VALUE"""),1914.74)</f>
        <v>1914.74</v>
      </c>
      <c r="F482" s="2">
        <f>IFERROR(__xludf.DUMMYFUNCTION("""COMPUTED_VALUE"""),4.87075E7)</f>
        <v>48707500</v>
      </c>
      <c r="G482" s="2">
        <f t="shared" si="1"/>
        <v>109.87</v>
      </c>
    </row>
    <row r="483" ht="15.75" customHeight="1">
      <c r="A483" s="1">
        <f>IFERROR(__xludf.DUMMYFUNCTION("""COMPUTED_VALUE"""),44560.66666666667)</f>
        <v>44560.66667</v>
      </c>
      <c r="B483" s="2">
        <f>IFERROR(__xludf.DUMMYFUNCTION("""COMPUTED_VALUE"""),1925.2)</f>
        <v>1925.2</v>
      </c>
      <c r="C483" s="2">
        <f>IFERROR(__xludf.DUMMYFUNCTION("""COMPUTED_VALUE"""),1946.12)</f>
        <v>1946.12</v>
      </c>
      <c r="D483" s="2">
        <f>IFERROR(__xludf.DUMMYFUNCTION("""COMPUTED_VALUE"""),1893.81)</f>
        <v>1893.81</v>
      </c>
      <c r="E483" s="2">
        <f>IFERROR(__xludf.DUMMYFUNCTION("""COMPUTED_VALUE"""),1893.81)</f>
        <v>1893.81</v>
      </c>
      <c r="F483" s="2">
        <f>IFERROR(__xludf.DUMMYFUNCTION("""COMPUTED_VALUE"""),2.29191E7)</f>
        <v>22919100</v>
      </c>
      <c r="G483" s="2">
        <f t="shared" si="1"/>
        <v>52.31</v>
      </c>
    </row>
    <row r="484" ht="15.75" customHeight="1">
      <c r="A484" s="1">
        <f>IFERROR(__xludf.DUMMYFUNCTION("""COMPUTED_VALUE"""),44564.66666666667)</f>
        <v>44564.66667</v>
      </c>
      <c r="B484" s="2">
        <f>IFERROR(__xludf.DUMMYFUNCTION("""COMPUTED_VALUE"""),1893.81)</f>
        <v>1893.81</v>
      </c>
      <c r="C484" s="2">
        <f>IFERROR(__xludf.DUMMYFUNCTION("""COMPUTED_VALUE"""),1930.43)</f>
        <v>1930.43</v>
      </c>
      <c r="D484" s="2">
        <f>IFERROR(__xludf.DUMMYFUNCTION("""COMPUTED_VALUE"""),1783.95)</f>
        <v>1783.95</v>
      </c>
      <c r="E484" s="2">
        <f>IFERROR(__xludf.DUMMYFUNCTION("""COMPUTED_VALUE"""),1794.41)</f>
        <v>1794.41</v>
      </c>
      <c r="F484" s="2">
        <f>IFERROR(__xludf.DUMMYFUNCTION("""COMPUTED_VALUE"""),6.38173E7)</f>
        <v>63817300</v>
      </c>
      <c r="G484" s="2">
        <f t="shared" si="1"/>
        <v>146.48</v>
      </c>
    </row>
    <row r="485" ht="15.75" customHeight="1">
      <c r="A485" s="1">
        <f>IFERROR(__xludf.DUMMYFUNCTION("""COMPUTED_VALUE"""),44565.66666666667)</f>
        <v>44565.66667</v>
      </c>
      <c r="B485" s="2">
        <f>IFERROR(__xludf.DUMMYFUNCTION("""COMPUTED_VALUE"""),1799.64)</f>
        <v>1799.64</v>
      </c>
      <c r="C485" s="2">
        <f>IFERROR(__xludf.DUMMYFUNCTION("""COMPUTED_VALUE"""),1815.34)</f>
        <v>1815.34</v>
      </c>
      <c r="D485" s="2">
        <f>IFERROR(__xludf.DUMMYFUNCTION("""COMPUTED_VALUE"""),1695.01)</f>
        <v>1695.01</v>
      </c>
      <c r="E485" s="2">
        <f>IFERROR(__xludf.DUMMYFUNCTION("""COMPUTED_VALUE"""),1721.17)</f>
        <v>1721.17</v>
      </c>
      <c r="F485" s="2">
        <f>IFERROR(__xludf.DUMMYFUNCTION("""COMPUTED_VALUE"""),1.085736E8)</f>
        <v>108573600</v>
      </c>
      <c r="G485" s="2">
        <f t="shared" si="1"/>
        <v>120.33</v>
      </c>
    </row>
    <row r="486" ht="15.75" customHeight="1">
      <c r="A486" s="1">
        <f>IFERROR(__xludf.DUMMYFUNCTION("""COMPUTED_VALUE"""),44566.66666666667)</f>
        <v>44566.66667</v>
      </c>
      <c r="B486" s="2">
        <f>IFERROR(__xludf.DUMMYFUNCTION("""COMPUTED_VALUE"""),1747.33)</f>
        <v>1747.33</v>
      </c>
      <c r="C486" s="2">
        <f>IFERROR(__xludf.DUMMYFUNCTION("""COMPUTED_VALUE"""),1747.33)</f>
        <v>1747.33</v>
      </c>
      <c r="D486" s="2">
        <f>IFERROR(__xludf.DUMMYFUNCTION("""COMPUTED_VALUE"""),1606.08)</f>
        <v>1606.08</v>
      </c>
      <c r="E486" s="2">
        <f>IFERROR(__xludf.DUMMYFUNCTION("""COMPUTED_VALUE"""),1606.08)</f>
        <v>1606.08</v>
      </c>
      <c r="F486" s="2">
        <f>IFERROR(__xludf.DUMMYFUNCTION("""COMPUTED_VALUE"""),1.469041E8)</f>
        <v>146904100</v>
      </c>
      <c r="G486" s="2">
        <f t="shared" si="1"/>
        <v>141.25</v>
      </c>
    </row>
    <row r="487" ht="15.75" customHeight="1">
      <c r="A487" s="1">
        <f>IFERROR(__xludf.DUMMYFUNCTION("""COMPUTED_VALUE"""),44567.66666666667)</f>
        <v>44567.66667</v>
      </c>
      <c r="B487" s="2">
        <f>IFERROR(__xludf.DUMMYFUNCTION("""COMPUTED_VALUE"""),1595.61)</f>
        <v>1595.61</v>
      </c>
      <c r="C487" s="2">
        <f>IFERROR(__xludf.DUMMYFUNCTION("""COMPUTED_VALUE"""),1647.93)</f>
        <v>1647.93</v>
      </c>
      <c r="D487" s="2">
        <f>IFERROR(__xludf.DUMMYFUNCTION("""COMPUTED_VALUE"""),1527.6)</f>
        <v>1527.6</v>
      </c>
      <c r="E487" s="2">
        <f>IFERROR(__xludf.DUMMYFUNCTION("""COMPUTED_VALUE"""),1548.53)</f>
        <v>1548.53</v>
      </c>
      <c r="F487" s="2">
        <f>IFERROR(__xludf.DUMMYFUNCTION("""COMPUTED_VALUE"""),1.424529E8)</f>
        <v>142452900</v>
      </c>
      <c r="G487" s="2">
        <f t="shared" si="1"/>
        <v>120.33</v>
      </c>
    </row>
    <row r="488" ht="15.75" customHeight="1">
      <c r="A488" s="1">
        <f>IFERROR(__xludf.DUMMYFUNCTION("""COMPUTED_VALUE"""),44568.66666666667)</f>
        <v>44568.66667</v>
      </c>
      <c r="B488" s="2">
        <f>IFERROR(__xludf.DUMMYFUNCTION("""COMPUTED_VALUE"""),1569.46)</f>
        <v>1569.46</v>
      </c>
      <c r="C488" s="2">
        <f>IFERROR(__xludf.DUMMYFUNCTION("""COMPUTED_VALUE"""),1595.61)</f>
        <v>1595.61</v>
      </c>
      <c r="D488" s="2">
        <f>IFERROR(__xludf.DUMMYFUNCTION("""COMPUTED_VALUE"""),1464.83)</f>
        <v>1464.83</v>
      </c>
      <c r="E488" s="2">
        <f>IFERROR(__xludf.DUMMYFUNCTION("""COMPUTED_VALUE"""),1464.83)</f>
        <v>1464.83</v>
      </c>
      <c r="F488" s="2">
        <f>IFERROR(__xludf.DUMMYFUNCTION("""COMPUTED_VALUE"""),1.495761E8)</f>
        <v>149576100</v>
      </c>
      <c r="G488" s="2">
        <f t="shared" si="1"/>
        <v>130.78</v>
      </c>
    </row>
    <row r="489" ht="15.75" customHeight="1">
      <c r="A489" s="1">
        <f>IFERROR(__xludf.DUMMYFUNCTION("""COMPUTED_VALUE"""),44571.66666666667)</f>
        <v>44571.66667</v>
      </c>
      <c r="B489" s="2">
        <f>IFERROR(__xludf.DUMMYFUNCTION("""COMPUTED_VALUE"""),1485.75)</f>
        <v>1485.75</v>
      </c>
      <c r="C489" s="2">
        <f>IFERROR(__xludf.DUMMYFUNCTION("""COMPUTED_VALUE"""),1611.31)</f>
        <v>1611.31</v>
      </c>
      <c r="D489" s="2">
        <f>IFERROR(__xludf.DUMMYFUNCTION("""COMPUTED_VALUE"""),1459.59)</f>
        <v>1459.59</v>
      </c>
      <c r="E489" s="2">
        <f>IFERROR(__xludf.DUMMYFUNCTION("""COMPUTED_VALUE"""),1595.61)</f>
        <v>1595.61</v>
      </c>
      <c r="F489" s="2">
        <f>IFERROR(__xludf.DUMMYFUNCTION("""COMPUTED_VALUE"""),1.784115E8)</f>
        <v>178411500</v>
      </c>
      <c r="G489" s="2">
        <f t="shared" si="1"/>
        <v>151.72</v>
      </c>
    </row>
    <row r="490" ht="15.75" customHeight="1">
      <c r="A490" s="1">
        <f>IFERROR(__xludf.DUMMYFUNCTION("""COMPUTED_VALUE"""),44572.66666666667)</f>
        <v>44572.66667</v>
      </c>
      <c r="B490" s="2">
        <f>IFERROR(__xludf.DUMMYFUNCTION("""COMPUTED_VALUE"""),1606.08)</f>
        <v>1606.08</v>
      </c>
      <c r="C490" s="2">
        <f>IFERROR(__xludf.DUMMYFUNCTION("""COMPUTED_VALUE"""),1611.31)</f>
        <v>1611.31</v>
      </c>
      <c r="D490" s="2">
        <f>IFERROR(__xludf.DUMMYFUNCTION("""COMPUTED_VALUE"""),1558.99)</f>
        <v>1558.99</v>
      </c>
      <c r="E490" s="2">
        <f>IFERROR(__xludf.DUMMYFUNCTION("""COMPUTED_VALUE"""),1569.46)</f>
        <v>1569.46</v>
      </c>
      <c r="F490" s="2">
        <f>IFERROR(__xludf.DUMMYFUNCTION("""COMPUTED_VALUE"""),7.68759E7)</f>
        <v>76875900</v>
      </c>
      <c r="G490" s="2">
        <f t="shared" si="1"/>
        <v>52.32</v>
      </c>
    </row>
    <row r="491" ht="15.75" customHeight="1">
      <c r="A491" s="1">
        <f>IFERROR(__xludf.DUMMYFUNCTION("""COMPUTED_VALUE"""),44573.66666666667)</f>
        <v>44573.66667</v>
      </c>
      <c r="B491" s="2">
        <f>IFERROR(__xludf.DUMMYFUNCTION("""COMPUTED_VALUE"""),1569.46)</f>
        <v>1569.46</v>
      </c>
      <c r="C491" s="2">
        <f>IFERROR(__xludf.DUMMYFUNCTION("""COMPUTED_VALUE"""),1668.85)</f>
        <v>1668.85</v>
      </c>
      <c r="D491" s="2">
        <f>IFERROR(__xludf.DUMMYFUNCTION("""COMPUTED_VALUE"""),1569.46)</f>
        <v>1569.46</v>
      </c>
      <c r="E491" s="2">
        <f>IFERROR(__xludf.DUMMYFUNCTION("""COMPUTED_VALUE"""),1647.93)</f>
        <v>1647.93</v>
      </c>
      <c r="F491" s="2">
        <f>IFERROR(__xludf.DUMMYFUNCTION("""COMPUTED_VALUE"""),8.26392E7)</f>
        <v>82639200</v>
      </c>
      <c r="G491" s="2">
        <f t="shared" si="1"/>
        <v>99.39</v>
      </c>
    </row>
    <row r="492" ht="15.75" customHeight="1">
      <c r="A492" s="1">
        <f>IFERROR(__xludf.DUMMYFUNCTION("""COMPUTED_VALUE"""),44574.66666666667)</f>
        <v>44574.66667</v>
      </c>
      <c r="B492" s="2">
        <f>IFERROR(__xludf.DUMMYFUNCTION("""COMPUTED_VALUE"""),1674.09)</f>
        <v>1674.09</v>
      </c>
      <c r="C492" s="2">
        <f>IFERROR(__xludf.DUMMYFUNCTION("""COMPUTED_VALUE"""),1674.09)</f>
        <v>1674.09</v>
      </c>
      <c r="D492" s="2">
        <f>IFERROR(__xludf.DUMMYFUNCTION("""COMPUTED_VALUE"""),1600.84)</f>
        <v>1600.84</v>
      </c>
      <c r="E492" s="2">
        <f>IFERROR(__xludf.DUMMYFUNCTION("""COMPUTED_VALUE"""),1632.23)</f>
        <v>1632.23</v>
      </c>
      <c r="F492" s="2">
        <f>IFERROR(__xludf.DUMMYFUNCTION("""COMPUTED_VALUE"""),2.87609E7)</f>
        <v>28760900</v>
      </c>
      <c r="G492" s="2">
        <f t="shared" si="1"/>
        <v>73.25</v>
      </c>
    </row>
    <row r="493" ht="15.75" customHeight="1">
      <c r="A493" s="1">
        <f>IFERROR(__xludf.DUMMYFUNCTION("""COMPUTED_VALUE"""),44575.66666666667)</f>
        <v>44575.66667</v>
      </c>
      <c r="B493" s="2">
        <f>IFERROR(__xludf.DUMMYFUNCTION("""COMPUTED_VALUE"""),1632.23)</f>
        <v>1632.23</v>
      </c>
      <c r="C493" s="2">
        <f>IFERROR(__xludf.DUMMYFUNCTION("""COMPUTED_VALUE"""),1632.23)</f>
        <v>1632.23</v>
      </c>
      <c r="D493" s="2">
        <f>IFERROR(__xludf.DUMMYFUNCTION("""COMPUTED_VALUE"""),1574.69)</f>
        <v>1574.69</v>
      </c>
      <c r="E493" s="2">
        <f>IFERROR(__xludf.DUMMYFUNCTION("""COMPUTED_VALUE"""),1579.92)</f>
        <v>1579.92</v>
      </c>
      <c r="F493" s="2">
        <f>IFERROR(__xludf.DUMMYFUNCTION("""COMPUTED_VALUE"""),2.31048E7)</f>
        <v>23104800</v>
      </c>
      <c r="G493" s="2">
        <f t="shared" si="1"/>
        <v>57.54</v>
      </c>
    </row>
    <row r="494" ht="15.75" customHeight="1">
      <c r="A494" s="1">
        <f>IFERROR(__xludf.DUMMYFUNCTION("""COMPUTED_VALUE"""),44578.66666666667)</f>
        <v>44578.66667</v>
      </c>
      <c r="B494" s="2">
        <f>IFERROR(__xludf.DUMMYFUNCTION("""COMPUTED_VALUE"""),1579.92)</f>
        <v>1579.92</v>
      </c>
      <c r="C494" s="2">
        <f>IFERROR(__xludf.DUMMYFUNCTION("""COMPUTED_VALUE"""),1585.15)</f>
        <v>1585.15</v>
      </c>
      <c r="D494" s="2">
        <f>IFERROR(__xludf.DUMMYFUNCTION("""COMPUTED_VALUE"""),1511.91)</f>
        <v>1511.91</v>
      </c>
      <c r="E494" s="2">
        <f>IFERROR(__xludf.DUMMYFUNCTION("""COMPUTED_VALUE"""),1553.76)</f>
        <v>1553.76</v>
      </c>
      <c r="F494" s="2">
        <f>IFERROR(__xludf.DUMMYFUNCTION("""COMPUTED_VALUE"""),2.99099E7)</f>
        <v>29909900</v>
      </c>
      <c r="G494" s="2">
        <f t="shared" si="1"/>
        <v>73.24</v>
      </c>
    </row>
    <row r="495" ht="15.75" customHeight="1">
      <c r="A495" s="1">
        <f>IFERROR(__xludf.DUMMYFUNCTION("""COMPUTED_VALUE"""),44579.66666666667)</f>
        <v>44579.66667</v>
      </c>
      <c r="B495" s="2">
        <f>IFERROR(__xludf.DUMMYFUNCTION("""COMPUTED_VALUE"""),1558.99)</f>
        <v>1558.99</v>
      </c>
      <c r="C495" s="2">
        <f>IFERROR(__xludf.DUMMYFUNCTION("""COMPUTED_VALUE"""),1585.15)</f>
        <v>1585.15</v>
      </c>
      <c r="D495" s="2">
        <f>IFERROR(__xludf.DUMMYFUNCTION("""COMPUTED_VALUE"""),1475.29)</f>
        <v>1475.29</v>
      </c>
      <c r="E495" s="2">
        <f>IFERROR(__xludf.DUMMYFUNCTION("""COMPUTED_VALUE"""),1511.91)</f>
        <v>1511.91</v>
      </c>
      <c r="F495" s="2">
        <f>IFERROR(__xludf.DUMMYFUNCTION("""COMPUTED_VALUE"""),1.006791E8)</f>
        <v>100679100</v>
      </c>
      <c r="G495" s="2">
        <f t="shared" si="1"/>
        <v>109.86</v>
      </c>
    </row>
    <row r="496" ht="15.75" customHeight="1">
      <c r="A496" s="1">
        <f>IFERROR(__xludf.DUMMYFUNCTION("""COMPUTED_VALUE"""),44580.66666666667)</f>
        <v>44580.66667</v>
      </c>
      <c r="B496" s="2">
        <f>IFERROR(__xludf.DUMMYFUNCTION("""COMPUTED_VALUE"""),1511.91)</f>
        <v>1511.91</v>
      </c>
      <c r="C496" s="2">
        <f>IFERROR(__xludf.DUMMYFUNCTION("""COMPUTED_VALUE"""),1553.76)</f>
        <v>1553.76</v>
      </c>
      <c r="D496" s="2">
        <f>IFERROR(__xludf.DUMMYFUNCTION("""COMPUTED_VALUE"""),1407.28)</f>
        <v>1407.28</v>
      </c>
      <c r="E496" s="2">
        <f>IFERROR(__xludf.DUMMYFUNCTION("""COMPUTED_VALUE"""),1407.28)</f>
        <v>1407.28</v>
      </c>
      <c r="F496" s="2">
        <f>IFERROR(__xludf.DUMMYFUNCTION("""COMPUTED_VALUE"""),9.09446E7)</f>
        <v>90944600</v>
      </c>
      <c r="G496" s="2">
        <f t="shared" si="1"/>
        <v>146.48</v>
      </c>
    </row>
    <row r="497" ht="15.75" customHeight="1">
      <c r="A497" s="1">
        <f>IFERROR(__xludf.DUMMYFUNCTION("""COMPUTED_VALUE"""),44581.66666666667)</f>
        <v>44581.66667</v>
      </c>
      <c r="B497" s="2">
        <f>IFERROR(__xludf.DUMMYFUNCTION("""COMPUTED_VALUE"""),1412.51)</f>
        <v>1412.51</v>
      </c>
      <c r="C497" s="2">
        <f>IFERROR(__xludf.DUMMYFUNCTION("""COMPUTED_VALUE"""),1443.9)</f>
        <v>1443.9</v>
      </c>
      <c r="D497" s="2">
        <f>IFERROR(__xludf.DUMMYFUNCTION("""COMPUTED_VALUE"""),1370.66)</f>
        <v>1370.66</v>
      </c>
      <c r="E497" s="2">
        <f>IFERROR(__xludf.DUMMYFUNCTION("""COMPUTED_VALUE"""),1381.12)</f>
        <v>1381.12</v>
      </c>
      <c r="F497" s="2">
        <f>IFERROR(__xludf.DUMMYFUNCTION("""COMPUTED_VALUE"""),5.68841E7)</f>
        <v>56884100</v>
      </c>
      <c r="G497" s="2">
        <f t="shared" si="1"/>
        <v>73.24</v>
      </c>
    </row>
    <row r="498" ht="15.75" customHeight="1">
      <c r="A498" s="1">
        <f>IFERROR(__xludf.DUMMYFUNCTION("""COMPUTED_VALUE"""),44582.66666666667)</f>
        <v>44582.66667</v>
      </c>
      <c r="B498" s="2">
        <f>IFERROR(__xludf.DUMMYFUNCTION("""COMPUTED_VALUE"""),1391.58)</f>
        <v>1391.58</v>
      </c>
      <c r="C498" s="2">
        <f>IFERROR(__xludf.DUMMYFUNCTION("""COMPUTED_VALUE"""),1428.2)</f>
        <v>1428.2</v>
      </c>
      <c r="D498" s="2">
        <f>IFERROR(__xludf.DUMMYFUNCTION("""COMPUTED_VALUE"""),1334.04)</f>
        <v>1334.04</v>
      </c>
      <c r="E498" s="2">
        <f>IFERROR(__xludf.DUMMYFUNCTION("""COMPUTED_VALUE"""),1386.35)</f>
        <v>1386.35</v>
      </c>
      <c r="F498" s="2">
        <f>IFERROR(__xludf.DUMMYFUNCTION("""COMPUTED_VALUE"""),6.62883E7)</f>
        <v>66288300</v>
      </c>
      <c r="G498" s="2">
        <f t="shared" si="1"/>
        <v>94.16</v>
      </c>
    </row>
    <row r="499" ht="15.75" customHeight="1">
      <c r="A499" s="1">
        <f>IFERROR(__xludf.DUMMYFUNCTION("""COMPUTED_VALUE"""),44585.66666666667)</f>
        <v>44585.66667</v>
      </c>
      <c r="B499" s="2">
        <f>IFERROR(__xludf.DUMMYFUNCTION("""COMPUTED_VALUE"""),1386.35)</f>
        <v>1386.35</v>
      </c>
      <c r="C499" s="2">
        <f>IFERROR(__xludf.DUMMYFUNCTION("""COMPUTED_VALUE"""),1386.35)</f>
        <v>1386.35</v>
      </c>
      <c r="D499" s="2">
        <f>IFERROR(__xludf.DUMMYFUNCTION("""COMPUTED_VALUE"""),1292.19)</f>
        <v>1292.19</v>
      </c>
      <c r="E499" s="2">
        <f>IFERROR(__xludf.DUMMYFUNCTION("""COMPUTED_VALUE"""),1307.88)</f>
        <v>1307.88</v>
      </c>
      <c r="F499" s="2">
        <f>IFERROR(__xludf.DUMMYFUNCTION("""COMPUTED_VALUE"""),6.5917E7)</f>
        <v>65917000</v>
      </c>
      <c r="G499" s="2">
        <f t="shared" si="1"/>
        <v>94.16</v>
      </c>
    </row>
    <row r="500" ht="15.75" customHeight="1">
      <c r="A500" s="1">
        <f>IFERROR(__xludf.DUMMYFUNCTION("""COMPUTED_VALUE"""),44586.66666666667)</f>
        <v>44586.66667</v>
      </c>
      <c r="B500" s="2">
        <f>IFERROR(__xludf.DUMMYFUNCTION("""COMPUTED_VALUE"""),1307.88)</f>
        <v>1307.88</v>
      </c>
      <c r="C500" s="2">
        <f>IFERROR(__xludf.DUMMYFUNCTION("""COMPUTED_VALUE"""),1402.05)</f>
        <v>1402.05</v>
      </c>
      <c r="D500" s="2">
        <f>IFERROR(__xludf.DUMMYFUNCTION("""COMPUTED_VALUE"""),1292.19)</f>
        <v>1292.19</v>
      </c>
      <c r="E500" s="2">
        <f>IFERROR(__xludf.DUMMYFUNCTION("""COMPUTED_VALUE"""),1328.81)</f>
        <v>1328.81</v>
      </c>
      <c r="F500" s="2">
        <f>IFERROR(__xludf.DUMMYFUNCTION("""COMPUTED_VALUE"""),4.49687E7)</f>
        <v>44968700</v>
      </c>
      <c r="G500" s="2">
        <f t="shared" si="1"/>
        <v>109.86</v>
      </c>
    </row>
    <row r="501" ht="15.75" customHeight="1">
      <c r="A501" s="1">
        <f>IFERROR(__xludf.DUMMYFUNCTION("""COMPUTED_VALUE"""),44587.66666666667)</f>
        <v>44587.66667</v>
      </c>
      <c r="B501" s="2">
        <f>IFERROR(__xludf.DUMMYFUNCTION("""COMPUTED_VALUE"""),1360.19)</f>
        <v>1360.19</v>
      </c>
      <c r="C501" s="2">
        <f>IFERROR(__xludf.DUMMYFUNCTION("""COMPUTED_VALUE"""),1360.19)</f>
        <v>1360.19</v>
      </c>
      <c r="D501" s="2">
        <f>IFERROR(__xludf.DUMMYFUNCTION("""COMPUTED_VALUE"""),1302.65)</f>
        <v>1302.65</v>
      </c>
      <c r="E501" s="2">
        <f>IFERROR(__xludf.DUMMYFUNCTION("""COMPUTED_VALUE"""),1318.34)</f>
        <v>1318.34</v>
      </c>
      <c r="F501" s="2">
        <f>IFERROR(__xludf.DUMMYFUNCTION("""COMPUTED_VALUE"""),2.27461E7)</f>
        <v>22746100</v>
      </c>
      <c r="G501" s="2">
        <f t="shared" si="1"/>
        <v>57.54</v>
      </c>
    </row>
    <row r="502" ht="15.75" customHeight="1">
      <c r="A502" s="1">
        <f>IFERROR(__xludf.DUMMYFUNCTION("""COMPUTED_VALUE"""),44588.66666666667)</f>
        <v>44588.66667</v>
      </c>
      <c r="B502" s="2">
        <f>IFERROR(__xludf.DUMMYFUNCTION("""COMPUTED_VALUE"""),1323.57)</f>
        <v>1323.57</v>
      </c>
      <c r="C502" s="2">
        <f>IFERROR(__xludf.DUMMYFUNCTION("""COMPUTED_VALUE"""),1386.35)</f>
        <v>1386.35</v>
      </c>
      <c r="D502" s="2">
        <f>IFERROR(__xludf.DUMMYFUNCTION("""COMPUTED_VALUE"""),1307.88)</f>
        <v>1307.88</v>
      </c>
      <c r="E502" s="2">
        <f>IFERROR(__xludf.DUMMYFUNCTION("""COMPUTED_VALUE"""),1334.04)</f>
        <v>1334.04</v>
      </c>
      <c r="F502" s="2">
        <f>IFERROR(__xludf.DUMMYFUNCTION("""COMPUTED_VALUE"""),3.78101E7)</f>
        <v>37810100</v>
      </c>
      <c r="G502" s="2">
        <f t="shared" si="1"/>
        <v>78.47</v>
      </c>
    </row>
    <row r="503" ht="15.75" customHeight="1">
      <c r="A503" s="1">
        <f>IFERROR(__xludf.DUMMYFUNCTION("""COMPUTED_VALUE"""),44589.66666666667)</f>
        <v>44589.66667</v>
      </c>
      <c r="B503" s="2">
        <f>IFERROR(__xludf.DUMMYFUNCTION("""COMPUTED_VALUE"""),1365.43)</f>
        <v>1365.43</v>
      </c>
      <c r="C503" s="2">
        <f>IFERROR(__xludf.DUMMYFUNCTION("""COMPUTED_VALUE"""),1381.12)</f>
        <v>1381.12</v>
      </c>
      <c r="D503" s="2">
        <f>IFERROR(__xludf.DUMMYFUNCTION("""COMPUTED_VALUE"""),1318.34)</f>
        <v>1318.34</v>
      </c>
      <c r="E503" s="2">
        <f>IFERROR(__xludf.DUMMYFUNCTION("""COMPUTED_VALUE"""),1381.12)</f>
        <v>1381.12</v>
      </c>
      <c r="F503" s="2">
        <f>IFERROR(__xludf.DUMMYFUNCTION("""COMPUTED_VALUE"""),2.89368E7)</f>
        <v>28936800</v>
      </c>
      <c r="G503" s="2">
        <f t="shared" si="1"/>
        <v>62.78</v>
      </c>
    </row>
    <row r="504" ht="15.75" customHeight="1">
      <c r="A504" s="1">
        <f>IFERROR(__xludf.DUMMYFUNCTION("""COMPUTED_VALUE"""),44592.66666666667)</f>
        <v>44592.66667</v>
      </c>
      <c r="B504" s="2">
        <f>IFERROR(__xludf.DUMMYFUNCTION("""COMPUTED_VALUE"""),1407.28)</f>
        <v>1407.28</v>
      </c>
      <c r="C504" s="2">
        <f>IFERROR(__xludf.DUMMYFUNCTION("""COMPUTED_VALUE"""),1422.97)</f>
        <v>1422.97</v>
      </c>
      <c r="D504" s="2">
        <f>IFERROR(__xludf.DUMMYFUNCTION("""COMPUTED_VALUE"""),1334.04)</f>
        <v>1334.04</v>
      </c>
      <c r="E504" s="2">
        <f>IFERROR(__xludf.DUMMYFUNCTION("""COMPUTED_VALUE"""),1334.04)</f>
        <v>1334.04</v>
      </c>
      <c r="F504" s="2">
        <f>IFERROR(__xludf.DUMMYFUNCTION("""COMPUTED_VALUE"""),4.4028E7)</f>
        <v>44028000</v>
      </c>
      <c r="G504" s="2">
        <f t="shared" si="1"/>
        <v>88.93</v>
      </c>
    </row>
    <row r="505" ht="15.75" customHeight="1">
      <c r="A505" s="1">
        <f>IFERROR(__xludf.DUMMYFUNCTION("""COMPUTED_VALUE"""),44594.66666666667)</f>
        <v>44594.66667</v>
      </c>
      <c r="B505" s="2">
        <f>IFERROR(__xludf.DUMMYFUNCTION("""COMPUTED_VALUE"""),1334.04)</f>
        <v>1334.04</v>
      </c>
      <c r="C505" s="2">
        <f>IFERROR(__xludf.DUMMYFUNCTION("""COMPUTED_VALUE"""),1422.97)</f>
        <v>1422.97</v>
      </c>
      <c r="D505" s="2">
        <f>IFERROR(__xludf.DUMMYFUNCTION("""COMPUTED_VALUE"""),1334.04)</f>
        <v>1334.04</v>
      </c>
      <c r="E505" s="2">
        <f>IFERROR(__xludf.DUMMYFUNCTION("""COMPUTED_VALUE"""),1402.05)</f>
        <v>1402.05</v>
      </c>
      <c r="F505" s="2">
        <f>IFERROR(__xludf.DUMMYFUNCTION("""COMPUTED_VALUE"""),4.57424E7)</f>
        <v>45742400</v>
      </c>
      <c r="G505" s="2">
        <f t="shared" si="1"/>
        <v>88.93</v>
      </c>
    </row>
    <row r="506" ht="15.75" customHeight="1">
      <c r="A506" s="1">
        <f>IFERROR(__xludf.DUMMYFUNCTION("""COMPUTED_VALUE"""),44595.66666666667)</f>
        <v>44595.66667</v>
      </c>
      <c r="B506" s="2">
        <f>IFERROR(__xludf.DUMMYFUNCTION("""COMPUTED_VALUE"""),1407.28)</f>
        <v>1407.28</v>
      </c>
      <c r="C506" s="2">
        <f>IFERROR(__xludf.DUMMYFUNCTION("""COMPUTED_VALUE"""),1433.44)</f>
        <v>1433.44</v>
      </c>
      <c r="D506" s="2">
        <f>IFERROR(__xludf.DUMMYFUNCTION("""COMPUTED_VALUE"""),1344.5)</f>
        <v>1344.5</v>
      </c>
      <c r="E506" s="2">
        <f>IFERROR(__xludf.DUMMYFUNCTION("""COMPUTED_VALUE"""),1349.73)</f>
        <v>1349.73</v>
      </c>
      <c r="F506" s="2">
        <f>IFERROR(__xludf.DUMMYFUNCTION("""COMPUTED_VALUE"""),3.81074E7)</f>
        <v>38107400</v>
      </c>
      <c r="G506" s="2">
        <f t="shared" si="1"/>
        <v>88.94</v>
      </c>
    </row>
    <row r="507" ht="15.75" customHeight="1">
      <c r="A507" s="1">
        <f>IFERROR(__xludf.DUMMYFUNCTION("""COMPUTED_VALUE"""),44596.66666666667)</f>
        <v>44596.66667</v>
      </c>
      <c r="B507" s="2">
        <f>IFERROR(__xludf.DUMMYFUNCTION("""COMPUTED_VALUE"""),1354.96)</f>
        <v>1354.96</v>
      </c>
      <c r="C507" s="2">
        <f>IFERROR(__xludf.DUMMYFUNCTION("""COMPUTED_VALUE"""),1386.35)</f>
        <v>1386.35</v>
      </c>
      <c r="D507" s="2">
        <f>IFERROR(__xludf.DUMMYFUNCTION("""COMPUTED_VALUE"""),1349.73)</f>
        <v>1349.73</v>
      </c>
      <c r="E507" s="2">
        <f>IFERROR(__xludf.DUMMYFUNCTION("""COMPUTED_VALUE"""),1370.66)</f>
        <v>1370.66</v>
      </c>
      <c r="F507" s="2">
        <f>IFERROR(__xludf.DUMMYFUNCTION("""COMPUTED_VALUE"""),2.22168E7)</f>
        <v>22216800</v>
      </c>
      <c r="G507" s="2">
        <f t="shared" si="1"/>
        <v>36.62</v>
      </c>
    </row>
    <row r="508" ht="15.75" customHeight="1">
      <c r="A508" s="1">
        <f>IFERROR(__xludf.DUMMYFUNCTION("""COMPUTED_VALUE"""),44599.66666666667)</f>
        <v>44599.66667</v>
      </c>
      <c r="B508" s="2">
        <f>IFERROR(__xludf.DUMMYFUNCTION("""COMPUTED_VALUE"""),1381.12)</f>
        <v>1381.12</v>
      </c>
      <c r="C508" s="2">
        <f>IFERROR(__xludf.DUMMYFUNCTION("""COMPUTED_VALUE"""),1454.36)</f>
        <v>1454.36</v>
      </c>
      <c r="D508" s="2">
        <f>IFERROR(__xludf.DUMMYFUNCTION("""COMPUTED_VALUE"""),1375.89)</f>
        <v>1375.89</v>
      </c>
      <c r="E508" s="2">
        <f>IFERROR(__xludf.DUMMYFUNCTION("""COMPUTED_VALUE"""),1443.9)</f>
        <v>1443.9</v>
      </c>
      <c r="F508" s="2">
        <f>IFERROR(__xludf.DUMMYFUNCTION("""COMPUTED_VALUE"""),5.36973E7)</f>
        <v>53697300</v>
      </c>
      <c r="G508" s="2">
        <f t="shared" si="1"/>
        <v>83.7</v>
      </c>
    </row>
    <row r="509" ht="15.75" customHeight="1">
      <c r="A509" s="1">
        <f>IFERROR(__xludf.DUMMYFUNCTION("""COMPUTED_VALUE"""),44600.66666666667)</f>
        <v>44600.66667</v>
      </c>
      <c r="B509" s="2">
        <f>IFERROR(__xludf.DUMMYFUNCTION("""COMPUTED_VALUE"""),1443.9)</f>
        <v>1443.9</v>
      </c>
      <c r="C509" s="2">
        <f>IFERROR(__xludf.DUMMYFUNCTION("""COMPUTED_VALUE"""),1485.75)</f>
        <v>1485.75</v>
      </c>
      <c r="D509" s="2">
        <f>IFERROR(__xludf.DUMMYFUNCTION("""COMPUTED_VALUE"""),1417.74)</f>
        <v>1417.74</v>
      </c>
      <c r="E509" s="2">
        <f>IFERROR(__xludf.DUMMYFUNCTION("""COMPUTED_VALUE"""),1449.13)</f>
        <v>1449.13</v>
      </c>
      <c r="F509" s="2">
        <f>IFERROR(__xludf.DUMMYFUNCTION("""COMPUTED_VALUE"""),3.58864E7)</f>
        <v>35886400</v>
      </c>
      <c r="G509" s="2">
        <f t="shared" si="1"/>
        <v>68.01</v>
      </c>
    </row>
    <row r="510" ht="15.75" customHeight="1">
      <c r="A510" s="1">
        <f>IFERROR(__xludf.DUMMYFUNCTION("""COMPUTED_VALUE"""),44601.66666666667)</f>
        <v>44601.66667</v>
      </c>
      <c r="B510" s="2">
        <f>IFERROR(__xludf.DUMMYFUNCTION("""COMPUTED_VALUE"""),1449.13)</f>
        <v>1449.13</v>
      </c>
      <c r="C510" s="2">
        <f>IFERROR(__xludf.DUMMYFUNCTION("""COMPUTED_VALUE"""),1511.91)</f>
        <v>1511.91</v>
      </c>
      <c r="D510" s="2">
        <f>IFERROR(__xludf.DUMMYFUNCTION("""COMPUTED_VALUE"""),1428.2)</f>
        <v>1428.2</v>
      </c>
      <c r="E510" s="2">
        <f>IFERROR(__xludf.DUMMYFUNCTION("""COMPUTED_VALUE"""),1506.68)</f>
        <v>1506.68</v>
      </c>
      <c r="F510" s="2">
        <f>IFERROR(__xludf.DUMMYFUNCTION("""COMPUTED_VALUE"""),5.21218E7)</f>
        <v>52121800</v>
      </c>
      <c r="G510" s="2">
        <f t="shared" si="1"/>
        <v>83.71</v>
      </c>
    </row>
    <row r="511" ht="15.75" customHeight="1">
      <c r="A511" s="1">
        <f>IFERROR(__xludf.DUMMYFUNCTION("""COMPUTED_VALUE"""),44602.66666666667)</f>
        <v>44602.66667</v>
      </c>
      <c r="B511" s="2">
        <f>IFERROR(__xludf.DUMMYFUNCTION("""COMPUTED_VALUE"""),1517.14)</f>
        <v>1517.14</v>
      </c>
      <c r="C511" s="2">
        <f>IFERROR(__xludf.DUMMYFUNCTION("""COMPUTED_VALUE"""),1527.6)</f>
        <v>1527.6</v>
      </c>
      <c r="D511" s="2">
        <f>IFERROR(__xludf.DUMMYFUNCTION("""COMPUTED_VALUE"""),1438.67)</f>
        <v>1438.67</v>
      </c>
      <c r="E511" s="2">
        <f>IFERROR(__xludf.DUMMYFUNCTION("""COMPUTED_VALUE"""),1438.67)</f>
        <v>1438.67</v>
      </c>
      <c r="F511" s="2">
        <f>IFERROR(__xludf.DUMMYFUNCTION("""COMPUTED_VALUE"""),6.09505E7)</f>
        <v>60950500</v>
      </c>
      <c r="G511" s="2">
        <f t="shared" si="1"/>
        <v>88.93</v>
      </c>
    </row>
    <row r="512" ht="15.75" customHeight="1">
      <c r="A512" s="1">
        <f>IFERROR(__xludf.DUMMYFUNCTION("""COMPUTED_VALUE"""),44603.66666666667)</f>
        <v>44603.66667</v>
      </c>
      <c r="B512" s="2">
        <f>IFERROR(__xludf.DUMMYFUNCTION("""COMPUTED_VALUE"""),1438.67)</f>
        <v>1438.67</v>
      </c>
      <c r="C512" s="2">
        <f>IFERROR(__xludf.DUMMYFUNCTION("""COMPUTED_VALUE"""),1475.29)</f>
        <v>1475.29</v>
      </c>
      <c r="D512" s="2">
        <f>IFERROR(__xludf.DUMMYFUNCTION("""COMPUTED_VALUE"""),1412.51)</f>
        <v>1412.51</v>
      </c>
      <c r="E512" s="2">
        <f>IFERROR(__xludf.DUMMYFUNCTION("""COMPUTED_VALUE"""),1470.06)</f>
        <v>1470.06</v>
      </c>
      <c r="F512" s="2">
        <f>IFERROR(__xludf.DUMMYFUNCTION("""COMPUTED_VALUE"""),2.75129E7)</f>
        <v>27512900</v>
      </c>
      <c r="G512" s="2">
        <f t="shared" si="1"/>
        <v>62.78</v>
      </c>
    </row>
    <row r="513" ht="15.75" customHeight="1">
      <c r="A513" s="1">
        <f>IFERROR(__xludf.DUMMYFUNCTION("""COMPUTED_VALUE"""),44606.66666666667)</f>
        <v>44606.66667</v>
      </c>
      <c r="B513" s="2">
        <f>IFERROR(__xludf.DUMMYFUNCTION("""COMPUTED_VALUE"""),1464.83)</f>
        <v>1464.83</v>
      </c>
      <c r="C513" s="2">
        <f>IFERROR(__xludf.DUMMYFUNCTION("""COMPUTED_VALUE"""),1475.29)</f>
        <v>1475.29</v>
      </c>
      <c r="D513" s="2">
        <f>IFERROR(__xludf.DUMMYFUNCTION("""COMPUTED_VALUE"""),1370.66)</f>
        <v>1370.66</v>
      </c>
      <c r="E513" s="2">
        <f>IFERROR(__xludf.DUMMYFUNCTION("""COMPUTED_VALUE"""),1375.89)</f>
        <v>1375.89</v>
      </c>
      <c r="F513" s="2">
        <f>IFERROR(__xludf.DUMMYFUNCTION("""COMPUTED_VALUE"""),6.10445E7)</f>
        <v>61044500</v>
      </c>
      <c r="G513" s="2">
        <f t="shared" si="1"/>
        <v>104.63</v>
      </c>
    </row>
    <row r="514" ht="15.75" customHeight="1">
      <c r="A514" s="1">
        <f>IFERROR(__xludf.DUMMYFUNCTION("""COMPUTED_VALUE"""),44607.66666666667)</f>
        <v>44607.66667</v>
      </c>
      <c r="B514" s="2">
        <f>IFERROR(__xludf.DUMMYFUNCTION("""COMPUTED_VALUE"""),1391.58)</f>
        <v>1391.58</v>
      </c>
      <c r="C514" s="2">
        <f>IFERROR(__xludf.DUMMYFUNCTION("""COMPUTED_VALUE"""),1391.58)</f>
        <v>1391.58</v>
      </c>
      <c r="D514" s="2">
        <f>IFERROR(__xludf.DUMMYFUNCTION("""COMPUTED_VALUE"""),1360.19)</f>
        <v>1360.19</v>
      </c>
      <c r="E514" s="2">
        <f>IFERROR(__xludf.DUMMYFUNCTION("""COMPUTED_VALUE"""),1365.43)</f>
        <v>1365.43</v>
      </c>
      <c r="F514" s="2">
        <f>IFERROR(__xludf.DUMMYFUNCTION("""COMPUTED_VALUE"""),1.53814E7)</f>
        <v>15381400</v>
      </c>
      <c r="G514" s="2">
        <f t="shared" si="1"/>
        <v>31.39</v>
      </c>
    </row>
    <row r="515" ht="15.75" customHeight="1">
      <c r="A515" s="1">
        <f>IFERROR(__xludf.DUMMYFUNCTION("""COMPUTED_VALUE"""),44608.66666666667)</f>
        <v>44608.66667</v>
      </c>
      <c r="B515" s="2">
        <f>IFERROR(__xludf.DUMMYFUNCTION("""COMPUTED_VALUE"""),1381.12)</f>
        <v>1381.12</v>
      </c>
      <c r="C515" s="2">
        <f>IFERROR(__xludf.DUMMYFUNCTION("""COMPUTED_VALUE"""),1501.45)</f>
        <v>1501.45</v>
      </c>
      <c r="D515" s="2">
        <f>IFERROR(__xludf.DUMMYFUNCTION("""COMPUTED_VALUE"""),1370.66)</f>
        <v>1370.66</v>
      </c>
      <c r="E515" s="2">
        <f>IFERROR(__xludf.DUMMYFUNCTION("""COMPUTED_VALUE"""),1480.52)</f>
        <v>1480.52</v>
      </c>
      <c r="F515" s="2">
        <f>IFERROR(__xludf.DUMMYFUNCTION("""COMPUTED_VALUE"""),7.94649E7)</f>
        <v>79464900</v>
      </c>
      <c r="G515" s="2">
        <f t="shared" si="1"/>
        <v>136.02</v>
      </c>
    </row>
    <row r="516" ht="15.75" customHeight="1">
      <c r="A516" s="1">
        <f>IFERROR(__xludf.DUMMYFUNCTION("""COMPUTED_VALUE"""),44609.66666666667)</f>
        <v>44609.66667</v>
      </c>
      <c r="B516" s="2">
        <f>IFERROR(__xludf.DUMMYFUNCTION("""COMPUTED_VALUE"""),1480.52)</f>
        <v>1480.52</v>
      </c>
      <c r="C516" s="2">
        <f>IFERROR(__xludf.DUMMYFUNCTION("""COMPUTED_VALUE"""),1517.14)</f>
        <v>1517.14</v>
      </c>
      <c r="D516" s="2">
        <f>IFERROR(__xludf.DUMMYFUNCTION("""COMPUTED_VALUE"""),1449.13)</f>
        <v>1449.13</v>
      </c>
      <c r="E516" s="2">
        <f>IFERROR(__xludf.DUMMYFUNCTION("""COMPUTED_VALUE"""),1475.29)</f>
        <v>1475.29</v>
      </c>
      <c r="F516" s="2">
        <f>IFERROR(__xludf.DUMMYFUNCTION("""COMPUTED_VALUE"""),3.03044E7)</f>
        <v>30304400</v>
      </c>
      <c r="G516" s="2">
        <f t="shared" si="1"/>
        <v>68.01</v>
      </c>
    </row>
    <row r="517" ht="15.75" customHeight="1">
      <c r="A517" s="1">
        <f>IFERROR(__xludf.DUMMYFUNCTION("""COMPUTED_VALUE"""),44610.66666666667)</f>
        <v>44610.66667</v>
      </c>
      <c r="B517" s="2">
        <f>IFERROR(__xludf.DUMMYFUNCTION("""COMPUTED_VALUE"""),1475.29)</f>
        <v>1475.29</v>
      </c>
      <c r="C517" s="2">
        <f>IFERROR(__xludf.DUMMYFUNCTION("""COMPUTED_VALUE"""),1621.77)</f>
        <v>1621.77</v>
      </c>
      <c r="D517" s="2">
        <f>IFERROR(__xludf.DUMMYFUNCTION("""COMPUTED_VALUE"""),1475.29)</f>
        <v>1475.29</v>
      </c>
      <c r="E517" s="2">
        <f>IFERROR(__xludf.DUMMYFUNCTION("""COMPUTED_VALUE"""),1579.92)</f>
        <v>1579.92</v>
      </c>
      <c r="F517" s="2">
        <f>IFERROR(__xludf.DUMMYFUNCTION("""COMPUTED_VALUE"""),1.210606E8)</f>
        <v>121060600</v>
      </c>
      <c r="G517" s="2">
        <f t="shared" si="1"/>
        <v>146.48</v>
      </c>
    </row>
    <row r="518" ht="15.75" customHeight="1">
      <c r="A518" s="1">
        <f>IFERROR(__xludf.DUMMYFUNCTION("""COMPUTED_VALUE"""),44613.66666666667)</f>
        <v>44613.66667</v>
      </c>
      <c r="B518" s="2">
        <f>IFERROR(__xludf.DUMMYFUNCTION("""COMPUTED_VALUE"""),1579.92)</f>
        <v>1579.92</v>
      </c>
      <c r="C518" s="2">
        <f>IFERROR(__xludf.DUMMYFUNCTION("""COMPUTED_VALUE"""),1611.31)</f>
        <v>1611.31</v>
      </c>
      <c r="D518" s="2">
        <f>IFERROR(__xludf.DUMMYFUNCTION("""COMPUTED_VALUE"""),1579.92)</f>
        <v>1579.92</v>
      </c>
      <c r="E518" s="2">
        <f>IFERROR(__xludf.DUMMYFUNCTION("""COMPUTED_VALUE"""),1590.38)</f>
        <v>1590.38</v>
      </c>
      <c r="F518" s="2">
        <f>IFERROR(__xludf.DUMMYFUNCTION("""COMPUTED_VALUE"""),4.31766E7)</f>
        <v>43176600</v>
      </c>
      <c r="G518" s="2">
        <f t="shared" si="1"/>
        <v>31.39</v>
      </c>
    </row>
    <row r="519" ht="15.75" customHeight="1">
      <c r="A519" s="1">
        <f>IFERROR(__xludf.DUMMYFUNCTION("""COMPUTED_VALUE"""),44614.66666666667)</f>
        <v>44614.66667</v>
      </c>
      <c r="B519" s="2">
        <f>IFERROR(__xludf.DUMMYFUNCTION("""COMPUTED_VALUE"""),1590.38)</f>
        <v>1590.38</v>
      </c>
      <c r="C519" s="2">
        <f>IFERROR(__xludf.DUMMYFUNCTION("""COMPUTED_VALUE"""),1590.38)</f>
        <v>1590.38</v>
      </c>
      <c r="D519" s="2">
        <f>IFERROR(__xludf.DUMMYFUNCTION("""COMPUTED_VALUE"""),1506.68)</f>
        <v>1506.68</v>
      </c>
      <c r="E519" s="2">
        <f>IFERROR(__xludf.DUMMYFUNCTION("""COMPUTED_VALUE"""),1522.37)</f>
        <v>1522.37</v>
      </c>
      <c r="F519" s="2">
        <f>IFERROR(__xludf.DUMMYFUNCTION("""COMPUTED_VALUE"""),6.94562E7)</f>
        <v>69456200</v>
      </c>
      <c r="G519" s="2">
        <f t="shared" si="1"/>
        <v>83.7</v>
      </c>
    </row>
    <row r="520" ht="15.75" customHeight="1">
      <c r="A520" s="1">
        <f>IFERROR(__xludf.DUMMYFUNCTION("""COMPUTED_VALUE"""),44615.66666666667)</f>
        <v>44615.66667</v>
      </c>
      <c r="B520" s="2">
        <f>IFERROR(__xludf.DUMMYFUNCTION("""COMPUTED_VALUE"""),1522.37)</f>
        <v>1522.37</v>
      </c>
      <c r="C520" s="2">
        <f>IFERROR(__xludf.DUMMYFUNCTION("""COMPUTED_VALUE"""),1585.15)</f>
        <v>1585.15</v>
      </c>
      <c r="D520" s="2">
        <f>IFERROR(__xludf.DUMMYFUNCTION("""COMPUTED_VALUE"""),1506.68)</f>
        <v>1506.68</v>
      </c>
      <c r="E520" s="2">
        <f>IFERROR(__xludf.DUMMYFUNCTION("""COMPUTED_VALUE"""),1558.99)</f>
        <v>1558.99</v>
      </c>
      <c r="F520" s="2">
        <f>IFERROR(__xludf.DUMMYFUNCTION("""COMPUTED_VALUE"""),4.21262E7)</f>
        <v>42126200</v>
      </c>
      <c r="G520" s="2">
        <f t="shared" si="1"/>
        <v>78.47</v>
      </c>
    </row>
    <row r="521" ht="15.75" customHeight="1">
      <c r="A521" s="1">
        <f>IFERROR(__xludf.DUMMYFUNCTION("""COMPUTED_VALUE"""),44616.66666666667)</f>
        <v>44616.66667</v>
      </c>
      <c r="B521" s="2">
        <f>IFERROR(__xludf.DUMMYFUNCTION("""COMPUTED_VALUE"""),1558.99)</f>
        <v>1558.99</v>
      </c>
      <c r="C521" s="2">
        <f>IFERROR(__xludf.DUMMYFUNCTION("""COMPUTED_VALUE"""),1558.99)</f>
        <v>1558.99</v>
      </c>
      <c r="D521" s="2">
        <f>IFERROR(__xludf.DUMMYFUNCTION("""COMPUTED_VALUE"""),1454.36)</f>
        <v>1454.36</v>
      </c>
      <c r="E521" s="2">
        <f>IFERROR(__xludf.DUMMYFUNCTION("""COMPUTED_VALUE"""),1454.36)</f>
        <v>1454.36</v>
      </c>
      <c r="F521" s="2">
        <f>IFERROR(__xludf.DUMMYFUNCTION("""COMPUTED_VALUE"""),6.34327E7)</f>
        <v>63432700</v>
      </c>
      <c r="G521" s="2">
        <f t="shared" si="1"/>
        <v>104.63</v>
      </c>
    </row>
    <row r="522" ht="15.75" customHeight="1">
      <c r="A522" s="1">
        <f>IFERROR(__xludf.DUMMYFUNCTION("""COMPUTED_VALUE"""),44617.66666666667)</f>
        <v>44617.66667</v>
      </c>
      <c r="B522" s="2">
        <f>IFERROR(__xludf.DUMMYFUNCTION("""COMPUTED_VALUE"""),1454.36)</f>
        <v>1454.36</v>
      </c>
      <c r="C522" s="2">
        <f>IFERROR(__xludf.DUMMYFUNCTION("""COMPUTED_VALUE"""),1511.91)</f>
        <v>1511.91</v>
      </c>
      <c r="D522" s="2">
        <f>IFERROR(__xludf.DUMMYFUNCTION("""COMPUTED_VALUE"""),1428.2)</f>
        <v>1428.2</v>
      </c>
      <c r="E522" s="2">
        <f>IFERROR(__xludf.DUMMYFUNCTION("""COMPUTED_VALUE"""),1464.83)</f>
        <v>1464.83</v>
      </c>
      <c r="F522" s="2">
        <f>IFERROR(__xludf.DUMMYFUNCTION("""COMPUTED_VALUE"""),4.96538E7)</f>
        <v>49653800</v>
      </c>
      <c r="G522" s="2">
        <f t="shared" si="1"/>
        <v>83.71</v>
      </c>
    </row>
    <row r="523" ht="15.75" customHeight="1">
      <c r="A523" s="1">
        <f>IFERROR(__xludf.DUMMYFUNCTION("""COMPUTED_VALUE"""),44621.66666666667)</f>
        <v>44621.66667</v>
      </c>
      <c r="B523" s="2">
        <f>IFERROR(__xludf.DUMMYFUNCTION("""COMPUTED_VALUE"""),1511.91)</f>
        <v>1511.91</v>
      </c>
      <c r="C523" s="2">
        <f>IFERROR(__xludf.DUMMYFUNCTION("""COMPUTED_VALUE"""),1553.76)</f>
        <v>1553.76</v>
      </c>
      <c r="D523" s="2">
        <f>IFERROR(__xludf.DUMMYFUNCTION("""COMPUTED_VALUE"""),1464.83)</f>
        <v>1464.83</v>
      </c>
      <c r="E523" s="2">
        <f>IFERROR(__xludf.DUMMYFUNCTION("""COMPUTED_VALUE"""),1517.14)</f>
        <v>1517.14</v>
      </c>
      <c r="F523" s="2">
        <f>IFERROR(__xludf.DUMMYFUNCTION("""COMPUTED_VALUE"""),5.0653E7)</f>
        <v>50653000</v>
      </c>
      <c r="G523" s="2">
        <f t="shared" si="1"/>
        <v>88.93</v>
      </c>
    </row>
    <row r="524" ht="15.75" customHeight="1">
      <c r="A524" s="1">
        <f>IFERROR(__xludf.DUMMYFUNCTION("""COMPUTED_VALUE"""),44622.66666666667)</f>
        <v>44622.66667</v>
      </c>
      <c r="B524" s="2">
        <f>IFERROR(__xludf.DUMMYFUNCTION("""COMPUTED_VALUE"""),1517.14)</f>
        <v>1517.14</v>
      </c>
      <c r="C524" s="2">
        <f>IFERROR(__xludf.DUMMYFUNCTION("""COMPUTED_VALUE"""),1522.37)</f>
        <v>1522.37</v>
      </c>
      <c r="D524" s="2">
        <f>IFERROR(__xludf.DUMMYFUNCTION("""COMPUTED_VALUE"""),1412.51)</f>
        <v>1412.51</v>
      </c>
      <c r="E524" s="2">
        <f>IFERROR(__xludf.DUMMYFUNCTION("""COMPUTED_VALUE"""),1412.51)</f>
        <v>1412.51</v>
      </c>
      <c r="F524" s="2">
        <f>IFERROR(__xludf.DUMMYFUNCTION("""COMPUTED_VALUE"""),6.60727E7)</f>
        <v>66072700</v>
      </c>
      <c r="G524" s="2">
        <f t="shared" si="1"/>
        <v>109.86</v>
      </c>
    </row>
    <row r="525" ht="15.75" customHeight="1">
      <c r="A525" s="1">
        <f>IFERROR(__xludf.DUMMYFUNCTION("""COMPUTED_VALUE"""),44624.66666666667)</f>
        <v>44624.66667</v>
      </c>
      <c r="B525" s="2">
        <f>IFERROR(__xludf.DUMMYFUNCTION("""COMPUTED_VALUE"""),1412.51)</f>
        <v>1412.51</v>
      </c>
      <c r="C525" s="2">
        <f>IFERROR(__xludf.DUMMYFUNCTION("""COMPUTED_VALUE"""),1438.67)</f>
        <v>1438.67</v>
      </c>
      <c r="D525" s="2">
        <f>IFERROR(__xludf.DUMMYFUNCTION("""COMPUTED_VALUE"""),1381.12)</f>
        <v>1381.12</v>
      </c>
      <c r="E525" s="2">
        <f>IFERROR(__xludf.DUMMYFUNCTION("""COMPUTED_VALUE"""),1391.58)</f>
        <v>1391.58</v>
      </c>
      <c r="F525" s="2">
        <f>IFERROR(__xludf.DUMMYFUNCTION("""COMPUTED_VALUE"""),2.4297E7)</f>
        <v>24297000</v>
      </c>
      <c r="G525" s="2">
        <f t="shared" si="1"/>
        <v>57.55</v>
      </c>
    </row>
    <row r="526" ht="15.75" customHeight="1">
      <c r="A526" s="1">
        <f>IFERROR(__xludf.DUMMYFUNCTION("""COMPUTED_VALUE"""),44627.66666666667)</f>
        <v>44627.66667</v>
      </c>
      <c r="B526" s="2">
        <f>IFERROR(__xludf.DUMMYFUNCTION("""COMPUTED_VALUE"""),1391.58)</f>
        <v>1391.58</v>
      </c>
      <c r="C526" s="2">
        <f>IFERROR(__xludf.DUMMYFUNCTION("""COMPUTED_VALUE"""),1391.58)</f>
        <v>1391.58</v>
      </c>
      <c r="D526" s="2">
        <f>IFERROR(__xludf.DUMMYFUNCTION("""COMPUTED_VALUE"""),1307.88)</f>
        <v>1307.88</v>
      </c>
      <c r="E526" s="2">
        <f>IFERROR(__xludf.DUMMYFUNCTION("""COMPUTED_VALUE"""),1318.34)</f>
        <v>1318.34</v>
      </c>
      <c r="F526" s="2">
        <f>IFERROR(__xludf.DUMMYFUNCTION("""COMPUTED_VALUE"""),3.76465E7)</f>
        <v>37646500</v>
      </c>
      <c r="G526" s="2">
        <f t="shared" si="1"/>
        <v>83.7</v>
      </c>
    </row>
    <row r="527" ht="15.75" customHeight="1">
      <c r="A527" s="1">
        <f>IFERROR(__xludf.DUMMYFUNCTION("""COMPUTED_VALUE"""),44628.66666666667)</f>
        <v>44628.66667</v>
      </c>
      <c r="B527" s="2">
        <f>IFERROR(__xludf.DUMMYFUNCTION("""COMPUTED_VALUE"""),1323.57)</f>
        <v>1323.57</v>
      </c>
      <c r="C527" s="2">
        <f>IFERROR(__xludf.DUMMYFUNCTION("""COMPUTED_VALUE"""),1375.89)</f>
        <v>1375.89</v>
      </c>
      <c r="D527" s="2">
        <f>IFERROR(__xludf.DUMMYFUNCTION("""COMPUTED_VALUE"""),1292.19)</f>
        <v>1292.19</v>
      </c>
      <c r="E527" s="2">
        <f>IFERROR(__xludf.DUMMYFUNCTION("""COMPUTED_VALUE"""),1292.19)</f>
        <v>1292.19</v>
      </c>
      <c r="F527" s="2">
        <f>IFERROR(__xludf.DUMMYFUNCTION("""COMPUTED_VALUE"""),3.58292E7)</f>
        <v>35829200</v>
      </c>
      <c r="G527" s="2">
        <f t="shared" si="1"/>
        <v>83.7</v>
      </c>
    </row>
    <row r="528" ht="15.75" customHeight="1">
      <c r="A528" s="1">
        <f>IFERROR(__xludf.DUMMYFUNCTION("""COMPUTED_VALUE"""),44629.66666666667)</f>
        <v>44629.66667</v>
      </c>
      <c r="B528" s="2">
        <f>IFERROR(__xludf.DUMMYFUNCTION("""COMPUTED_VALUE"""),1292.19)</f>
        <v>1292.19</v>
      </c>
      <c r="C528" s="2">
        <f>IFERROR(__xludf.DUMMYFUNCTION("""COMPUTED_VALUE"""),1339.27)</f>
        <v>1339.27</v>
      </c>
      <c r="D528" s="2">
        <f>IFERROR(__xludf.DUMMYFUNCTION("""COMPUTED_VALUE"""),1292.19)</f>
        <v>1292.19</v>
      </c>
      <c r="E528" s="2">
        <f>IFERROR(__xludf.DUMMYFUNCTION("""COMPUTED_VALUE"""),1318.34)</f>
        <v>1318.34</v>
      </c>
      <c r="F528" s="2">
        <f>IFERROR(__xludf.DUMMYFUNCTION("""COMPUTED_VALUE"""),1.51433E7)</f>
        <v>15143300</v>
      </c>
      <c r="G528" s="2">
        <f t="shared" si="1"/>
        <v>47.08</v>
      </c>
    </row>
    <row r="529" ht="15.75" customHeight="1">
      <c r="A529" s="1">
        <f>IFERROR(__xludf.DUMMYFUNCTION("""COMPUTED_VALUE"""),44630.66666666667)</f>
        <v>44630.66667</v>
      </c>
      <c r="B529" s="2">
        <f>IFERROR(__xludf.DUMMYFUNCTION("""COMPUTED_VALUE"""),1339.27)</f>
        <v>1339.27</v>
      </c>
      <c r="C529" s="2">
        <f>IFERROR(__xludf.DUMMYFUNCTION("""COMPUTED_VALUE"""),1354.96)</f>
        <v>1354.96</v>
      </c>
      <c r="D529" s="2">
        <f>IFERROR(__xludf.DUMMYFUNCTION("""COMPUTED_VALUE"""),1318.34)</f>
        <v>1318.34</v>
      </c>
      <c r="E529" s="2">
        <f>IFERROR(__xludf.DUMMYFUNCTION("""COMPUTED_VALUE"""),1349.73)</f>
        <v>1349.73</v>
      </c>
      <c r="F529" s="2">
        <f>IFERROR(__xludf.DUMMYFUNCTION("""COMPUTED_VALUE"""),1.94502E7)</f>
        <v>19450200</v>
      </c>
      <c r="G529" s="2">
        <f t="shared" si="1"/>
        <v>36.62</v>
      </c>
    </row>
    <row r="530" ht="15.75" customHeight="1">
      <c r="A530" s="1">
        <f>IFERROR(__xludf.DUMMYFUNCTION("""COMPUTED_VALUE"""),44631.66666666667)</f>
        <v>44631.66667</v>
      </c>
      <c r="B530" s="2">
        <f>IFERROR(__xludf.DUMMYFUNCTION("""COMPUTED_VALUE"""),1360.19)</f>
        <v>1360.19</v>
      </c>
      <c r="C530" s="2">
        <f>IFERROR(__xludf.DUMMYFUNCTION("""COMPUTED_VALUE"""),1360.19)</f>
        <v>1360.19</v>
      </c>
      <c r="D530" s="2">
        <f>IFERROR(__xludf.DUMMYFUNCTION("""COMPUTED_VALUE"""),1323.57)</f>
        <v>1323.57</v>
      </c>
      <c r="E530" s="2">
        <f>IFERROR(__xludf.DUMMYFUNCTION("""COMPUTED_VALUE"""),1328.81)</f>
        <v>1328.81</v>
      </c>
      <c r="F530" s="2">
        <f>IFERROR(__xludf.DUMMYFUNCTION("""COMPUTED_VALUE"""),1.26771E7)</f>
        <v>12677100</v>
      </c>
      <c r="G530" s="2">
        <f t="shared" si="1"/>
        <v>36.62</v>
      </c>
    </row>
    <row r="531" ht="15.75" customHeight="1">
      <c r="A531" s="1">
        <f>IFERROR(__xludf.DUMMYFUNCTION("""COMPUTED_VALUE"""),44634.66666666667)</f>
        <v>44634.66667</v>
      </c>
      <c r="B531" s="2">
        <f>IFERROR(__xludf.DUMMYFUNCTION("""COMPUTED_VALUE"""),1339.27)</f>
        <v>1339.27</v>
      </c>
      <c r="C531" s="2">
        <f>IFERROR(__xludf.DUMMYFUNCTION("""COMPUTED_VALUE"""),1386.35)</f>
        <v>1386.35</v>
      </c>
      <c r="D531" s="2">
        <f>IFERROR(__xludf.DUMMYFUNCTION("""COMPUTED_VALUE"""),1328.81)</f>
        <v>1328.81</v>
      </c>
      <c r="E531" s="2">
        <f>IFERROR(__xludf.DUMMYFUNCTION("""COMPUTED_VALUE"""),1365.43)</f>
        <v>1365.43</v>
      </c>
      <c r="F531" s="2">
        <f>IFERROR(__xludf.DUMMYFUNCTION("""COMPUTED_VALUE"""),2.16377E7)</f>
        <v>21637700</v>
      </c>
      <c r="G531" s="2">
        <f t="shared" si="1"/>
        <v>57.54</v>
      </c>
    </row>
    <row r="532" ht="15.75" customHeight="1">
      <c r="A532" s="1">
        <f>IFERROR(__xludf.DUMMYFUNCTION("""COMPUTED_VALUE"""),44635.66666666667)</f>
        <v>44635.66667</v>
      </c>
      <c r="B532" s="2">
        <f>IFERROR(__xludf.DUMMYFUNCTION("""COMPUTED_VALUE"""),1370.66)</f>
        <v>1370.66</v>
      </c>
      <c r="C532" s="2">
        <f>IFERROR(__xludf.DUMMYFUNCTION("""COMPUTED_VALUE"""),1386.35)</f>
        <v>1386.35</v>
      </c>
      <c r="D532" s="2">
        <f>IFERROR(__xludf.DUMMYFUNCTION("""COMPUTED_VALUE"""),1328.81)</f>
        <v>1328.81</v>
      </c>
      <c r="E532" s="2">
        <f>IFERROR(__xludf.DUMMYFUNCTION("""COMPUTED_VALUE"""),1334.04)</f>
        <v>1334.04</v>
      </c>
      <c r="F532" s="2">
        <f>IFERROR(__xludf.DUMMYFUNCTION("""COMPUTED_VALUE"""),2.49892E7)</f>
        <v>24989200</v>
      </c>
      <c r="G532" s="2">
        <f t="shared" si="1"/>
        <v>57.54</v>
      </c>
    </row>
    <row r="533" ht="15.75" customHeight="1">
      <c r="A533" s="1">
        <f>IFERROR(__xludf.DUMMYFUNCTION("""COMPUTED_VALUE"""),44636.66666666667)</f>
        <v>44636.66667</v>
      </c>
      <c r="B533" s="2">
        <f>IFERROR(__xludf.DUMMYFUNCTION("""COMPUTED_VALUE"""),1349.73)</f>
        <v>1349.73</v>
      </c>
      <c r="C533" s="2">
        <f>IFERROR(__xludf.DUMMYFUNCTION("""COMPUTED_VALUE"""),1360.19)</f>
        <v>1360.19</v>
      </c>
      <c r="D533" s="2">
        <f>IFERROR(__xludf.DUMMYFUNCTION("""COMPUTED_VALUE"""),1307.88)</f>
        <v>1307.88</v>
      </c>
      <c r="E533" s="2">
        <f>IFERROR(__xludf.DUMMYFUNCTION("""COMPUTED_VALUE"""),1334.04)</f>
        <v>1334.04</v>
      </c>
      <c r="F533" s="2">
        <f>IFERROR(__xludf.DUMMYFUNCTION("""COMPUTED_VALUE"""),1.74723E7)</f>
        <v>17472300</v>
      </c>
      <c r="G533" s="2">
        <f t="shared" si="1"/>
        <v>52.31</v>
      </c>
    </row>
    <row r="534" ht="15.75" customHeight="1">
      <c r="A534" s="1">
        <f>IFERROR(__xludf.DUMMYFUNCTION("""COMPUTED_VALUE"""),44637.66666666667)</f>
        <v>44637.66667</v>
      </c>
      <c r="B534" s="2">
        <f>IFERROR(__xludf.DUMMYFUNCTION("""COMPUTED_VALUE"""),1349.73)</f>
        <v>1349.73</v>
      </c>
      <c r="C534" s="2">
        <f>IFERROR(__xludf.DUMMYFUNCTION("""COMPUTED_VALUE"""),1386.35)</f>
        <v>1386.35</v>
      </c>
      <c r="D534" s="2">
        <f>IFERROR(__xludf.DUMMYFUNCTION("""COMPUTED_VALUE"""),1344.5)</f>
        <v>1344.5</v>
      </c>
      <c r="E534" s="2">
        <f>IFERROR(__xludf.DUMMYFUNCTION("""COMPUTED_VALUE"""),1381.12)</f>
        <v>1381.12</v>
      </c>
      <c r="F534" s="2">
        <f>IFERROR(__xludf.DUMMYFUNCTION("""COMPUTED_VALUE"""),2.50224E7)</f>
        <v>25022400</v>
      </c>
      <c r="G534" s="2">
        <f t="shared" si="1"/>
        <v>52.31</v>
      </c>
    </row>
    <row r="535" ht="15.75" customHeight="1">
      <c r="A535" s="1">
        <f>IFERROR(__xludf.DUMMYFUNCTION("""COMPUTED_VALUE"""),44638.66666666667)</f>
        <v>44638.66667</v>
      </c>
      <c r="B535" s="2">
        <f>IFERROR(__xludf.DUMMYFUNCTION("""COMPUTED_VALUE"""),1386.35)</f>
        <v>1386.35</v>
      </c>
      <c r="C535" s="2">
        <f>IFERROR(__xludf.DUMMYFUNCTION("""COMPUTED_VALUE"""),1407.28)</f>
        <v>1407.28</v>
      </c>
      <c r="D535" s="2">
        <f>IFERROR(__xludf.DUMMYFUNCTION("""COMPUTED_VALUE"""),1344.5)</f>
        <v>1344.5</v>
      </c>
      <c r="E535" s="2">
        <f>IFERROR(__xludf.DUMMYFUNCTION("""COMPUTED_VALUE"""),1381.12)</f>
        <v>1381.12</v>
      </c>
      <c r="F535" s="2">
        <f>IFERROR(__xludf.DUMMYFUNCTION("""COMPUTED_VALUE"""),2.00642E7)</f>
        <v>20064200</v>
      </c>
      <c r="G535" s="2">
        <f t="shared" si="1"/>
        <v>62.78</v>
      </c>
    </row>
    <row r="536" ht="15.75" customHeight="1">
      <c r="A536" s="1">
        <f>IFERROR(__xludf.DUMMYFUNCTION("""COMPUTED_VALUE"""),44641.66666666667)</f>
        <v>44641.66667</v>
      </c>
      <c r="B536" s="2">
        <f>IFERROR(__xludf.DUMMYFUNCTION("""COMPUTED_VALUE"""),1381.12)</f>
        <v>1381.12</v>
      </c>
      <c r="C536" s="2">
        <f>IFERROR(__xludf.DUMMYFUNCTION("""COMPUTED_VALUE"""),1407.28)</f>
        <v>1407.28</v>
      </c>
      <c r="D536" s="2">
        <f>IFERROR(__xludf.DUMMYFUNCTION("""COMPUTED_VALUE"""),1365.43)</f>
        <v>1365.43</v>
      </c>
      <c r="E536" s="2">
        <f>IFERROR(__xludf.DUMMYFUNCTION("""COMPUTED_VALUE"""),1365.43)</f>
        <v>1365.43</v>
      </c>
      <c r="F536" s="2">
        <f>IFERROR(__xludf.DUMMYFUNCTION("""COMPUTED_VALUE"""),1.14301E7)</f>
        <v>11430100</v>
      </c>
      <c r="G536" s="2">
        <f t="shared" si="1"/>
        <v>41.85</v>
      </c>
    </row>
    <row r="537" ht="15.75" customHeight="1">
      <c r="A537" s="1">
        <f>IFERROR(__xludf.DUMMYFUNCTION("""COMPUTED_VALUE"""),44642.66666666667)</f>
        <v>44642.66667</v>
      </c>
      <c r="B537" s="2">
        <f>IFERROR(__xludf.DUMMYFUNCTION("""COMPUTED_VALUE"""),1365.43)</f>
        <v>1365.43</v>
      </c>
      <c r="C537" s="2">
        <f>IFERROR(__xludf.DUMMYFUNCTION("""COMPUTED_VALUE"""),1412.51)</f>
        <v>1412.51</v>
      </c>
      <c r="D537" s="2">
        <f>IFERROR(__xludf.DUMMYFUNCTION("""COMPUTED_VALUE"""),1365.43)</f>
        <v>1365.43</v>
      </c>
      <c r="E537" s="2">
        <f>IFERROR(__xludf.DUMMYFUNCTION("""COMPUTED_VALUE"""),1407.28)</f>
        <v>1407.28</v>
      </c>
      <c r="F537" s="2">
        <f>IFERROR(__xludf.DUMMYFUNCTION("""COMPUTED_VALUE"""),1.62041E7)</f>
        <v>16204100</v>
      </c>
      <c r="G537" s="2">
        <f t="shared" si="1"/>
        <v>47.08</v>
      </c>
    </row>
    <row r="538" ht="15.75" customHeight="1">
      <c r="A538" s="1">
        <f>IFERROR(__xludf.DUMMYFUNCTION("""COMPUTED_VALUE"""),44643.66666666667)</f>
        <v>44643.66667</v>
      </c>
      <c r="B538" s="2">
        <f>IFERROR(__xludf.DUMMYFUNCTION("""COMPUTED_VALUE"""),1412.51)</f>
        <v>1412.51</v>
      </c>
      <c r="C538" s="2">
        <f>IFERROR(__xludf.DUMMYFUNCTION("""COMPUTED_VALUE"""),1428.2)</f>
        <v>1428.2</v>
      </c>
      <c r="D538" s="2">
        <f>IFERROR(__xludf.DUMMYFUNCTION("""COMPUTED_VALUE"""),1386.35)</f>
        <v>1386.35</v>
      </c>
      <c r="E538" s="2">
        <f>IFERROR(__xludf.DUMMYFUNCTION("""COMPUTED_VALUE"""),1391.58)</f>
        <v>1391.58</v>
      </c>
      <c r="F538" s="2">
        <f>IFERROR(__xludf.DUMMYFUNCTION("""COMPUTED_VALUE"""),1.6333E7)</f>
        <v>16333000</v>
      </c>
      <c r="G538" s="2">
        <f t="shared" si="1"/>
        <v>41.85</v>
      </c>
    </row>
    <row r="539" ht="15.75" customHeight="1">
      <c r="A539" s="1">
        <f>IFERROR(__xludf.DUMMYFUNCTION("""COMPUTED_VALUE"""),44644.66666666667)</f>
        <v>44644.66667</v>
      </c>
      <c r="B539" s="2">
        <f>IFERROR(__xludf.DUMMYFUNCTION("""COMPUTED_VALUE"""),1391.58)</f>
        <v>1391.58</v>
      </c>
      <c r="C539" s="2">
        <f>IFERROR(__xludf.DUMMYFUNCTION("""COMPUTED_VALUE"""),1422.97)</f>
        <v>1422.97</v>
      </c>
      <c r="D539" s="2">
        <f>IFERROR(__xludf.DUMMYFUNCTION("""COMPUTED_VALUE"""),1391.58)</f>
        <v>1391.58</v>
      </c>
      <c r="E539" s="2">
        <f>IFERROR(__xludf.DUMMYFUNCTION("""COMPUTED_VALUE"""),1391.58)</f>
        <v>1391.58</v>
      </c>
      <c r="F539" s="2">
        <f>IFERROR(__xludf.DUMMYFUNCTION("""COMPUTED_VALUE"""),1.47168E7)</f>
        <v>14716800</v>
      </c>
      <c r="G539" s="2">
        <f t="shared" si="1"/>
        <v>31.39</v>
      </c>
    </row>
    <row r="540" ht="15.75" customHeight="1">
      <c r="A540" s="1">
        <f>IFERROR(__xludf.DUMMYFUNCTION("""COMPUTED_VALUE"""),44645.66666666667)</f>
        <v>44645.66667</v>
      </c>
      <c r="B540" s="2">
        <f>IFERROR(__xludf.DUMMYFUNCTION("""COMPUTED_VALUE"""),1391.58)</f>
        <v>1391.58</v>
      </c>
      <c r="C540" s="2">
        <f>IFERROR(__xludf.DUMMYFUNCTION("""COMPUTED_VALUE"""),1407.28)</f>
        <v>1407.28</v>
      </c>
      <c r="D540" s="2">
        <f>IFERROR(__xludf.DUMMYFUNCTION("""COMPUTED_VALUE"""),1334.04)</f>
        <v>1334.04</v>
      </c>
      <c r="E540" s="2">
        <f>IFERROR(__xludf.DUMMYFUNCTION("""COMPUTED_VALUE"""),1344.5)</f>
        <v>1344.5</v>
      </c>
      <c r="F540" s="2">
        <f>IFERROR(__xludf.DUMMYFUNCTION("""COMPUTED_VALUE"""),3.09737E7)</f>
        <v>30973700</v>
      </c>
      <c r="G540" s="2">
        <f t="shared" si="1"/>
        <v>73.24</v>
      </c>
    </row>
    <row r="541" ht="15.75" customHeight="1">
      <c r="A541" s="1">
        <f>IFERROR(__xludf.DUMMYFUNCTION("""COMPUTED_VALUE"""),44648.66666666667)</f>
        <v>44648.66667</v>
      </c>
      <c r="B541" s="2">
        <f>IFERROR(__xludf.DUMMYFUNCTION("""COMPUTED_VALUE"""),1354.96)</f>
        <v>1354.96</v>
      </c>
      <c r="C541" s="2">
        <f>IFERROR(__xludf.DUMMYFUNCTION("""COMPUTED_VALUE"""),1354.96)</f>
        <v>1354.96</v>
      </c>
      <c r="D541" s="2">
        <f>IFERROR(__xludf.DUMMYFUNCTION("""COMPUTED_VALUE"""),1323.57)</f>
        <v>1323.57</v>
      </c>
      <c r="E541" s="2">
        <f>IFERROR(__xludf.DUMMYFUNCTION("""COMPUTED_VALUE"""),1328.81)</f>
        <v>1328.81</v>
      </c>
      <c r="F541" s="2">
        <f>IFERROR(__xludf.DUMMYFUNCTION("""COMPUTED_VALUE"""),1.58909E7)</f>
        <v>15890900</v>
      </c>
      <c r="G541" s="2">
        <f t="shared" si="1"/>
        <v>31.39</v>
      </c>
    </row>
    <row r="542" ht="15.75" customHeight="1">
      <c r="A542" s="1">
        <f>IFERROR(__xludf.DUMMYFUNCTION("""COMPUTED_VALUE"""),44649.66666666667)</f>
        <v>44649.66667</v>
      </c>
      <c r="B542" s="2">
        <f>IFERROR(__xludf.DUMMYFUNCTION("""COMPUTED_VALUE"""),1318.34)</f>
        <v>1318.34</v>
      </c>
      <c r="C542" s="2">
        <f>IFERROR(__xludf.DUMMYFUNCTION("""COMPUTED_VALUE"""),1370.66)</f>
        <v>1370.66</v>
      </c>
      <c r="D542" s="2">
        <f>IFERROR(__xludf.DUMMYFUNCTION("""COMPUTED_VALUE"""),1313.11)</f>
        <v>1313.11</v>
      </c>
      <c r="E542" s="2">
        <f>IFERROR(__xludf.DUMMYFUNCTION("""COMPUTED_VALUE"""),1334.04)</f>
        <v>1334.04</v>
      </c>
      <c r="F542" s="2">
        <f>IFERROR(__xludf.DUMMYFUNCTION("""COMPUTED_VALUE"""),1.83218E7)</f>
        <v>18321800</v>
      </c>
      <c r="G542" s="2">
        <f t="shared" si="1"/>
        <v>57.55</v>
      </c>
    </row>
    <row r="543" ht="15.75" customHeight="1">
      <c r="A543" s="1">
        <f>IFERROR(__xludf.DUMMYFUNCTION("""COMPUTED_VALUE"""),44650.66666666667)</f>
        <v>44650.66667</v>
      </c>
      <c r="B543" s="2">
        <f>IFERROR(__xludf.DUMMYFUNCTION("""COMPUTED_VALUE"""),1339.27)</f>
        <v>1339.27</v>
      </c>
      <c r="C543" s="2">
        <f>IFERROR(__xludf.DUMMYFUNCTION("""COMPUTED_VALUE"""),1360.19)</f>
        <v>1360.19</v>
      </c>
      <c r="D543" s="2">
        <f>IFERROR(__xludf.DUMMYFUNCTION("""COMPUTED_VALUE"""),1323.57)</f>
        <v>1323.57</v>
      </c>
      <c r="E543" s="2">
        <f>IFERROR(__xludf.DUMMYFUNCTION("""COMPUTED_VALUE"""),1328.81)</f>
        <v>1328.81</v>
      </c>
      <c r="F543" s="2">
        <f>IFERROR(__xludf.DUMMYFUNCTION("""COMPUTED_VALUE"""),2.00568E7)</f>
        <v>20056800</v>
      </c>
      <c r="G543" s="2">
        <f t="shared" si="1"/>
        <v>36.62</v>
      </c>
    </row>
    <row r="544" ht="15.75" customHeight="1">
      <c r="A544" s="1">
        <f>IFERROR(__xludf.DUMMYFUNCTION("""COMPUTED_VALUE"""),44651.66666666667)</f>
        <v>44651.66667</v>
      </c>
      <c r="B544" s="2">
        <f>IFERROR(__xludf.DUMMYFUNCTION("""COMPUTED_VALUE"""),1328.81)</f>
        <v>1328.81</v>
      </c>
      <c r="C544" s="2">
        <f>IFERROR(__xludf.DUMMYFUNCTION("""COMPUTED_VALUE"""),1328.81)</f>
        <v>1328.81</v>
      </c>
      <c r="D544" s="2">
        <f>IFERROR(__xludf.DUMMYFUNCTION("""COMPUTED_VALUE"""),1292.19)</f>
        <v>1292.19</v>
      </c>
      <c r="E544" s="2">
        <f>IFERROR(__xludf.DUMMYFUNCTION("""COMPUTED_VALUE"""),1297.42)</f>
        <v>1297.42</v>
      </c>
      <c r="F544" s="2">
        <f>IFERROR(__xludf.DUMMYFUNCTION("""COMPUTED_VALUE"""),4.08016E7)</f>
        <v>40801600</v>
      </c>
      <c r="G544" s="2">
        <f t="shared" si="1"/>
        <v>36.62</v>
      </c>
    </row>
    <row r="545" ht="15.75" customHeight="1">
      <c r="A545" s="1">
        <f>IFERROR(__xludf.DUMMYFUNCTION("""COMPUTED_VALUE"""),44652.66666666667)</f>
        <v>44652.66667</v>
      </c>
      <c r="B545" s="2">
        <f>IFERROR(__xludf.DUMMYFUNCTION("""COMPUTED_VALUE"""),1297.42)</f>
        <v>1297.42</v>
      </c>
      <c r="C545" s="2">
        <f>IFERROR(__xludf.DUMMYFUNCTION("""COMPUTED_VALUE"""),1318.34)</f>
        <v>1318.34</v>
      </c>
      <c r="D545" s="2">
        <f>IFERROR(__xludf.DUMMYFUNCTION("""COMPUTED_VALUE"""),1297.42)</f>
        <v>1297.42</v>
      </c>
      <c r="E545" s="2">
        <f>IFERROR(__xludf.DUMMYFUNCTION("""COMPUTED_VALUE"""),1302.65)</f>
        <v>1302.65</v>
      </c>
      <c r="F545" s="2">
        <f>IFERROR(__xludf.DUMMYFUNCTION("""COMPUTED_VALUE"""),1.41457E7)</f>
        <v>14145700</v>
      </c>
      <c r="G545" s="2">
        <f t="shared" si="1"/>
        <v>20.92</v>
      </c>
    </row>
    <row r="546" ht="15.75" customHeight="1">
      <c r="A546" s="1">
        <f>IFERROR(__xludf.DUMMYFUNCTION("""COMPUTED_VALUE"""),44655.66666666667)</f>
        <v>44655.66667</v>
      </c>
      <c r="B546" s="2">
        <f>IFERROR(__xludf.DUMMYFUNCTION("""COMPUTED_VALUE"""),1297.42)</f>
        <v>1297.42</v>
      </c>
      <c r="C546" s="2">
        <f>IFERROR(__xludf.DUMMYFUNCTION("""COMPUTED_VALUE"""),1297.42)</f>
        <v>1297.42</v>
      </c>
      <c r="D546" s="2">
        <f>IFERROR(__xludf.DUMMYFUNCTION("""COMPUTED_VALUE"""),1213.71)</f>
        <v>1213.71</v>
      </c>
      <c r="E546" s="2">
        <f>IFERROR(__xludf.DUMMYFUNCTION("""COMPUTED_VALUE"""),1213.71)</f>
        <v>1213.71</v>
      </c>
      <c r="F546" s="2">
        <f>IFERROR(__xludf.DUMMYFUNCTION("""COMPUTED_VALUE"""),6.56326E7)</f>
        <v>65632600</v>
      </c>
      <c r="G546" s="2">
        <f t="shared" si="1"/>
        <v>88.94</v>
      </c>
    </row>
    <row r="547" ht="15.75" customHeight="1">
      <c r="A547" s="1">
        <f>IFERROR(__xludf.DUMMYFUNCTION("""COMPUTED_VALUE"""),44656.66666666667)</f>
        <v>44656.66667</v>
      </c>
      <c r="B547" s="2">
        <f>IFERROR(__xludf.DUMMYFUNCTION("""COMPUTED_VALUE"""),1213.71)</f>
        <v>1213.71</v>
      </c>
      <c r="C547" s="2">
        <f>IFERROR(__xludf.DUMMYFUNCTION("""COMPUTED_VALUE"""),1239.87)</f>
        <v>1239.87</v>
      </c>
      <c r="D547" s="2">
        <f>IFERROR(__xludf.DUMMYFUNCTION("""COMPUTED_VALUE"""),1150.93)</f>
        <v>1150.93</v>
      </c>
      <c r="E547" s="2">
        <f>IFERROR(__xludf.DUMMYFUNCTION("""COMPUTED_VALUE"""),1224.18)</f>
        <v>1224.18</v>
      </c>
      <c r="F547" s="2">
        <f>IFERROR(__xludf.DUMMYFUNCTION("""COMPUTED_VALUE"""),4.09865E7)</f>
        <v>40986500</v>
      </c>
      <c r="G547" s="2">
        <f t="shared" si="1"/>
        <v>88.94</v>
      </c>
    </row>
    <row r="548" ht="15.75" customHeight="1">
      <c r="A548" s="1">
        <f>IFERROR(__xludf.DUMMYFUNCTION("""COMPUTED_VALUE"""),44657.66666666667)</f>
        <v>44657.66667</v>
      </c>
      <c r="B548" s="2">
        <f>IFERROR(__xludf.DUMMYFUNCTION("""COMPUTED_VALUE"""),1234.64)</f>
        <v>1234.64</v>
      </c>
      <c r="C548" s="2">
        <f>IFERROR(__xludf.DUMMYFUNCTION("""COMPUTED_VALUE"""),1245.1)</f>
        <v>1245.1</v>
      </c>
      <c r="D548" s="2">
        <f>IFERROR(__xludf.DUMMYFUNCTION("""COMPUTED_VALUE"""),1150.93)</f>
        <v>1150.93</v>
      </c>
      <c r="E548" s="2">
        <f>IFERROR(__xludf.DUMMYFUNCTION("""COMPUTED_VALUE"""),1161.4)</f>
        <v>1161.4</v>
      </c>
      <c r="F548" s="2">
        <f>IFERROR(__xludf.DUMMYFUNCTION("""COMPUTED_VALUE"""),4.11782E7)</f>
        <v>41178200</v>
      </c>
      <c r="G548" s="2">
        <f t="shared" si="1"/>
        <v>94.17</v>
      </c>
    </row>
    <row r="549" ht="15.75" customHeight="1">
      <c r="A549" s="1">
        <f>IFERROR(__xludf.DUMMYFUNCTION("""COMPUTED_VALUE"""),44658.66666666667)</f>
        <v>44658.66667</v>
      </c>
      <c r="B549" s="2">
        <f>IFERROR(__xludf.DUMMYFUNCTION("""COMPUTED_VALUE"""),1119.54)</f>
        <v>1119.54</v>
      </c>
      <c r="C549" s="2">
        <f>IFERROR(__xludf.DUMMYFUNCTION("""COMPUTED_VALUE"""),1203.25)</f>
        <v>1203.25</v>
      </c>
      <c r="D549" s="2">
        <f>IFERROR(__xludf.DUMMYFUNCTION("""COMPUTED_VALUE"""),1119.54)</f>
        <v>1119.54</v>
      </c>
      <c r="E549" s="2">
        <f>IFERROR(__xludf.DUMMYFUNCTION("""COMPUTED_VALUE"""),1166.63)</f>
        <v>1166.63</v>
      </c>
      <c r="F549" s="2">
        <f>IFERROR(__xludf.DUMMYFUNCTION("""COMPUTED_VALUE"""),2.28219E7)</f>
        <v>22821900</v>
      </c>
      <c r="G549" s="2">
        <f t="shared" si="1"/>
        <v>83.71</v>
      </c>
    </row>
    <row r="550" ht="15.75" customHeight="1">
      <c r="A550" s="1">
        <f>IFERROR(__xludf.DUMMYFUNCTION("""COMPUTED_VALUE"""),44659.66666666667)</f>
        <v>44659.66667</v>
      </c>
      <c r="B550" s="2">
        <f>IFERROR(__xludf.DUMMYFUNCTION("""COMPUTED_VALUE"""),1166.63)</f>
        <v>1166.63</v>
      </c>
      <c r="C550" s="2">
        <f>IFERROR(__xludf.DUMMYFUNCTION("""COMPUTED_VALUE"""),1203.25)</f>
        <v>1203.25</v>
      </c>
      <c r="D550" s="2">
        <f>IFERROR(__xludf.DUMMYFUNCTION("""COMPUTED_VALUE"""),1156.17)</f>
        <v>1156.17</v>
      </c>
      <c r="E550" s="2">
        <f>IFERROR(__xludf.DUMMYFUNCTION("""COMPUTED_VALUE"""),1166.63)</f>
        <v>1166.63</v>
      </c>
      <c r="F550" s="2">
        <f>IFERROR(__xludf.DUMMYFUNCTION("""COMPUTED_VALUE"""),1.71018E7)</f>
        <v>17101800</v>
      </c>
      <c r="G550" s="2">
        <f t="shared" si="1"/>
        <v>47.08</v>
      </c>
    </row>
    <row r="551" ht="15.75" customHeight="1">
      <c r="A551" s="1">
        <f>IFERROR(__xludf.DUMMYFUNCTION("""COMPUTED_VALUE"""),44662.66666666667)</f>
        <v>44662.66667</v>
      </c>
      <c r="B551" s="2">
        <f>IFERROR(__xludf.DUMMYFUNCTION("""COMPUTED_VALUE"""),1166.63)</f>
        <v>1166.63</v>
      </c>
      <c r="C551" s="2">
        <f>IFERROR(__xludf.DUMMYFUNCTION("""COMPUTED_VALUE"""),1177.09)</f>
        <v>1177.09</v>
      </c>
      <c r="D551" s="2">
        <f>IFERROR(__xludf.DUMMYFUNCTION("""COMPUTED_VALUE"""),1109.08)</f>
        <v>1109.08</v>
      </c>
      <c r="E551" s="2">
        <f>IFERROR(__xludf.DUMMYFUNCTION("""COMPUTED_VALUE"""),1109.08)</f>
        <v>1109.08</v>
      </c>
      <c r="F551" s="2">
        <f>IFERROR(__xludf.DUMMYFUNCTION("""COMPUTED_VALUE"""),2.58563E7)</f>
        <v>25856300</v>
      </c>
      <c r="G551" s="2">
        <f t="shared" si="1"/>
        <v>68.01</v>
      </c>
    </row>
    <row r="552" ht="15.75" customHeight="1">
      <c r="A552" s="1">
        <f>IFERROR(__xludf.DUMMYFUNCTION("""COMPUTED_VALUE"""),44663.66666666667)</f>
        <v>44663.66667</v>
      </c>
      <c r="B552" s="2">
        <f>IFERROR(__xludf.DUMMYFUNCTION("""COMPUTED_VALUE"""),1119.54)</f>
        <v>1119.54</v>
      </c>
      <c r="C552" s="2">
        <f>IFERROR(__xludf.DUMMYFUNCTION("""COMPUTED_VALUE"""),1124.78)</f>
        <v>1124.78</v>
      </c>
      <c r="D552" s="2">
        <f>IFERROR(__xludf.DUMMYFUNCTION("""COMPUTED_VALUE"""),1082.92)</f>
        <v>1082.92</v>
      </c>
      <c r="E552" s="2">
        <f>IFERROR(__xludf.DUMMYFUNCTION("""COMPUTED_VALUE"""),1088.16)</f>
        <v>1088.16</v>
      </c>
      <c r="F552" s="2">
        <f>IFERROR(__xludf.DUMMYFUNCTION("""COMPUTED_VALUE"""),1.59439E7)</f>
        <v>15943900</v>
      </c>
      <c r="G552" s="2">
        <f t="shared" si="1"/>
        <v>41.86</v>
      </c>
    </row>
    <row r="553" ht="15.75" customHeight="1">
      <c r="A553" s="1">
        <f>IFERROR(__xludf.DUMMYFUNCTION("""COMPUTED_VALUE"""),44664.66666666667)</f>
        <v>44664.66667</v>
      </c>
      <c r="B553" s="2">
        <f>IFERROR(__xludf.DUMMYFUNCTION("""COMPUTED_VALUE"""),1098.62)</f>
        <v>1098.62</v>
      </c>
      <c r="C553" s="2">
        <f>IFERROR(__xludf.DUMMYFUNCTION("""COMPUTED_VALUE"""),1135.24)</f>
        <v>1135.24</v>
      </c>
      <c r="D553" s="2">
        <f>IFERROR(__xludf.DUMMYFUNCTION("""COMPUTED_VALUE"""),1077.69)</f>
        <v>1077.69</v>
      </c>
      <c r="E553" s="2">
        <f>IFERROR(__xludf.DUMMYFUNCTION("""COMPUTED_VALUE"""),1093.39)</f>
        <v>1093.39</v>
      </c>
      <c r="F553" s="2">
        <f>IFERROR(__xludf.DUMMYFUNCTION("""COMPUTED_VALUE"""),2.41776E7)</f>
        <v>24177600</v>
      </c>
      <c r="G553" s="2">
        <f t="shared" si="1"/>
        <v>57.55</v>
      </c>
    </row>
    <row r="554" ht="15.75" customHeight="1">
      <c r="A554" s="1">
        <f>IFERROR(__xludf.DUMMYFUNCTION("""COMPUTED_VALUE"""),44665.66666666667)</f>
        <v>44665.66667</v>
      </c>
      <c r="B554" s="2">
        <f>IFERROR(__xludf.DUMMYFUNCTION("""COMPUTED_VALUE"""),1098.62)</f>
        <v>1098.62</v>
      </c>
      <c r="C554" s="2">
        <f>IFERROR(__xludf.DUMMYFUNCTION("""COMPUTED_VALUE"""),1140.47)</f>
        <v>1140.47</v>
      </c>
      <c r="D554" s="2">
        <f>IFERROR(__xludf.DUMMYFUNCTION("""COMPUTED_VALUE"""),1093.39)</f>
        <v>1093.39</v>
      </c>
      <c r="E554" s="2">
        <f>IFERROR(__xludf.DUMMYFUNCTION("""COMPUTED_VALUE"""),1109.08)</f>
        <v>1109.08</v>
      </c>
      <c r="F554" s="2">
        <f>IFERROR(__xludf.DUMMYFUNCTION("""COMPUTED_VALUE"""),2.9626E7)</f>
        <v>29626000</v>
      </c>
      <c r="G554" s="2">
        <f t="shared" si="1"/>
        <v>47.08</v>
      </c>
    </row>
    <row r="555" ht="15.75" customHeight="1">
      <c r="A555" s="1">
        <f>IFERROR(__xludf.DUMMYFUNCTION("""COMPUTED_VALUE"""),44669.66666666667)</f>
        <v>44669.66667</v>
      </c>
      <c r="B555" s="2">
        <f>IFERROR(__xludf.DUMMYFUNCTION("""COMPUTED_VALUE"""),1109.08)</f>
        <v>1109.08</v>
      </c>
      <c r="C555" s="2">
        <f>IFERROR(__xludf.DUMMYFUNCTION("""COMPUTED_VALUE"""),1130.01)</f>
        <v>1130.01</v>
      </c>
      <c r="D555" s="2">
        <f>IFERROR(__xludf.DUMMYFUNCTION("""COMPUTED_VALUE"""),1056.77)</f>
        <v>1056.77</v>
      </c>
      <c r="E555" s="2">
        <f>IFERROR(__xludf.DUMMYFUNCTION("""COMPUTED_VALUE"""),1072.46)</f>
        <v>1072.46</v>
      </c>
      <c r="F555" s="2">
        <f>IFERROR(__xludf.DUMMYFUNCTION("""COMPUTED_VALUE"""),3.03278E7)</f>
        <v>30327800</v>
      </c>
      <c r="G555" s="2">
        <f t="shared" si="1"/>
        <v>73.24</v>
      </c>
    </row>
    <row r="556" ht="15.75" customHeight="1">
      <c r="A556" s="1">
        <f>IFERROR(__xludf.DUMMYFUNCTION("""COMPUTED_VALUE"""),44670.66666666667)</f>
        <v>44670.66667</v>
      </c>
      <c r="B556" s="2">
        <f>IFERROR(__xludf.DUMMYFUNCTION("""COMPUTED_VALUE"""),1072.46)</f>
        <v>1072.46</v>
      </c>
      <c r="C556" s="2">
        <f>IFERROR(__xludf.DUMMYFUNCTION("""COMPUTED_VALUE"""),1082.92)</f>
        <v>1082.92</v>
      </c>
      <c r="D556" s="2">
        <f>IFERROR(__xludf.DUMMYFUNCTION("""COMPUTED_VALUE"""),1051.54)</f>
        <v>1051.54</v>
      </c>
      <c r="E556" s="2">
        <f>IFERROR(__xludf.DUMMYFUNCTION("""COMPUTED_VALUE"""),1056.77)</f>
        <v>1056.77</v>
      </c>
      <c r="F556" s="2">
        <f>IFERROR(__xludf.DUMMYFUNCTION("""COMPUTED_VALUE"""),1.79856E7)</f>
        <v>17985600</v>
      </c>
      <c r="G556" s="2">
        <f t="shared" si="1"/>
        <v>31.38</v>
      </c>
    </row>
    <row r="557" ht="15.75" customHeight="1">
      <c r="A557" s="1">
        <f>IFERROR(__xludf.DUMMYFUNCTION("""COMPUTED_VALUE"""),44671.66666666667)</f>
        <v>44671.66667</v>
      </c>
      <c r="B557" s="2">
        <f>IFERROR(__xludf.DUMMYFUNCTION("""COMPUTED_VALUE"""),1056.77)</f>
        <v>1056.77</v>
      </c>
      <c r="C557" s="2">
        <f>IFERROR(__xludf.DUMMYFUNCTION("""COMPUTED_VALUE"""),1114.31)</f>
        <v>1114.31</v>
      </c>
      <c r="D557" s="2">
        <f>IFERROR(__xludf.DUMMYFUNCTION("""COMPUTED_VALUE"""),1056.77)</f>
        <v>1056.77</v>
      </c>
      <c r="E557" s="2">
        <f>IFERROR(__xludf.DUMMYFUNCTION("""COMPUTED_VALUE"""),1109.08)</f>
        <v>1109.08</v>
      </c>
      <c r="F557" s="2">
        <f>IFERROR(__xludf.DUMMYFUNCTION("""COMPUTED_VALUE"""),2.53055E7)</f>
        <v>25305500</v>
      </c>
      <c r="G557" s="2">
        <f t="shared" si="1"/>
        <v>57.54</v>
      </c>
    </row>
    <row r="558" ht="15.75" customHeight="1">
      <c r="A558" s="1">
        <f>IFERROR(__xludf.DUMMYFUNCTION("""COMPUTED_VALUE"""),44672.66666666667)</f>
        <v>44672.66667</v>
      </c>
      <c r="B558" s="2">
        <f>IFERROR(__xludf.DUMMYFUNCTION("""COMPUTED_VALUE"""),1114.31)</f>
        <v>1114.31</v>
      </c>
      <c r="C558" s="2">
        <f>IFERROR(__xludf.DUMMYFUNCTION("""COMPUTED_VALUE"""),1130.01)</f>
        <v>1130.01</v>
      </c>
      <c r="D558" s="2">
        <f>IFERROR(__xludf.DUMMYFUNCTION("""COMPUTED_VALUE"""),1072.46)</f>
        <v>1072.46</v>
      </c>
      <c r="E558" s="2">
        <f>IFERROR(__xludf.DUMMYFUNCTION("""COMPUTED_VALUE"""),1077.69)</f>
        <v>1077.69</v>
      </c>
      <c r="F558" s="2">
        <f>IFERROR(__xludf.DUMMYFUNCTION("""COMPUTED_VALUE"""),1.60385E7)</f>
        <v>16038500</v>
      </c>
      <c r="G558" s="2">
        <f t="shared" si="1"/>
        <v>57.55</v>
      </c>
    </row>
    <row r="559" ht="15.75" customHeight="1">
      <c r="A559" s="1">
        <f>IFERROR(__xludf.DUMMYFUNCTION("""COMPUTED_VALUE"""),44673.66666666667)</f>
        <v>44673.66667</v>
      </c>
      <c r="B559" s="2">
        <f>IFERROR(__xludf.DUMMYFUNCTION("""COMPUTED_VALUE"""),1077.69)</f>
        <v>1077.69</v>
      </c>
      <c r="C559" s="2">
        <f>IFERROR(__xludf.DUMMYFUNCTION("""COMPUTED_VALUE"""),1098.62)</f>
        <v>1098.62</v>
      </c>
      <c r="D559" s="2">
        <f>IFERROR(__xludf.DUMMYFUNCTION("""COMPUTED_VALUE"""),1056.77)</f>
        <v>1056.77</v>
      </c>
      <c r="E559" s="2">
        <f>IFERROR(__xludf.DUMMYFUNCTION("""COMPUTED_VALUE"""),1056.77)</f>
        <v>1056.77</v>
      </c>
      <c r="F559" s="2">
        <f>IFERROR(__xludf.DUMMYFUNCTION("""COMPUTED_VALUE"""),1.25197E7)</f>
        <v>12519700</v>
      </c>
      <c r="G559" s="2">
        <f t="shared" si="1"/>
        <v>41.85</v>
      </c>
    </row>
    <row r="560" ht="15.75" customHeight="1">
      <c r="A560" s="1">
        <f>IFERROR(__xludf.DUMMYFUNCTION("""COMPUTED_VALUE"""),44676.66666666667)</f>
        <v>44676.66667</v>
      </c>
      <c r="B560" s="2">
        <f>IFERROR(__xludf.DUMMYFUNCTION("""COMPUTED_VALUE"""),1051.54)</f>
        <v>1051.54</v>
      </c>
      <c r="C560" s="2">
        <f>IFERROR(__xludf.DUMMYFUNCTION("""COMPUTED_VALUE"""),1062.0)</f>
        <v>1062</v>
      </c>
      <c r="D560" s="2">
        <f>IFERROR(__xludf.DUMMYFUNCTION("""COMPUTED_VALUE"""),1025.38)</f>
        <v>1025.38</v>
      </c>
      <c r="E560" s="2">
        <f>IFERROR(__xludf.DUMMYFUNCTION("""COMPUTED_VALUE"""),1035.84)</f>
        <v>1035.84</v>
      </c>
      <c r="F560" s="2">
        <f>IFERROR(__xludf.DUMMYFUNCTION("""COMPUTED_VALUE"""),1.91417E7)</f>
        <v>19141700</v>
      </c>
      <c r="G560" s="2">
        <f t="shared" si="1"/>
        <v>36.62</v>
      </c>
    </row>
    <row r="561" ht="15.75" customHeight="1">
      <c r="A561" s="1">
        <f>IFERROR(__xludf.DUMMYFUNCTION("""COMPUTED_VALUE"""),44677.66666666667)</f>
        <v>44677.66667</v>
      </c>
      <c r="B561" s="2">
        <f>IFERROR(__xludf.DUMMYFUNCTION("""COMPUTED_VALUE"""),1035.84)</f>
        <v>1035.84</v>
      </c>
      <c r="C561" s="2">
        <f>IFERROR(__xludf.DUMMYFUNCTION("""COMPUTED_VALUE"""),1051.54)</f>
        <v>1051.54</v>
      </c>
      <c r="D561" s="2">
        <f>IFERROR(__xludf.DUMMYFUNCTION("""COMPUTED_VALUE"""),1004.45)</f>
        <v>1004.45</v>
      </c>
      <c r="E561" s="2">
        <f>IFERROR(__xludf.DUMMYFUNCTION("""COMPUTED_VALUE"""),1030.61)</f>
        <v>1030.61</v>
      </c>
      <c r="F561" s="2">
        <f>IFERROR(__xludf.DUMMYFUNCTION("""COMPUTED_VALUE"""),1.91443E7)</f>
        <v>19144300</v>
      </c>
      <c r="G561" s="2">
        <f t="shared" si="1"/>
        <v>47.09</v>
      </c>
    </row>
    <row r="562" ht="15.75" customHeight="1">
      <c r="A562" s="1">
        <f>IFERROR(__xludf.DUMMYFUNCTION("""COMPUTED_VALUE"""),44678.66666666667)</f>
        <v>44678.66667</v>
      </c>
      <c r="B562" s="2">
        <f>IFERROR(__xludf.DUMMYFUNCTION("""COMPUTED_VALUE"""),1035.84)</f>
        <v>1035.84</v>
      </c>
      <c r="C562" s="2">
        <f>IFERROR(__xludf.DUMMYFUNCTION("""COMPUTED_VALUE"""),1088.16)</f>
        <v>1088.16</v>
      </c>
      <c r="D562" s="2">
        <f>IFERROR(__xludf.DUMMYFUNCTION("""COMPUTED_VALUE"""),1025.38)</f>
        <v>1025.38</v>
      </c>
      <c r="E562" s="2">
        <f>IFERROR(__xludf.DUMMYFUNCTION("""COMPUTED_VALUE"""),1067.23)</f>
        <v>1067.23</v>
      </c>
      <c r="F562" s="2">
        <f>IFERROR(__xludf.DUMMYFUNCTION("""COMPUTED_VALUE"""),2.08131E7)</f>
        <v>20813100</v>
      </c>
      <c r="G562" s="2">
        <f t="shared" si="1"/>
        <v>62.78</v>
      </c>
    </row>
    <row r="563" ht="15.75" customHeight="1">
      <c r="A563" s="1">
        <f>IFERROR(__xludf.DUMMYFUNCTION("""COMPUTED_VALUE"""),44679.66666666667)</f>
        <v>44679.66667</v>
      </c>
      <c r="B563" s="2">
        <f>IFERROR(__xludf.DUMMYFUNCTION("""COMPUTED_VALUE"""),1077.69)</f>
        <v>1077.69</v>
      </c>
      <c r="C563" s="2">
        <f>IFERROR(__xludf.DUMMYFUNCTION("""COMPUTED_VALUE"""),1114.31)</f>
        <v>1114.31</v>
      </c>
      <c r="D563" s="2">
        <f>IFERROR(__xludf.DUMMYFUNCTION("""COMPUTED_VALUE"""),1077.69)</f>
        <v>1077.69</v>
      </c>
      <c r="E563" s="2">
        <f>IFERROR(__xludf.DUMMYFUNCTION("""COMPUTED_VALUE"""),1103.85)</f>
        <v>1103.85</v>
      </c>
      <c r="F563" s="2">
        <f>IFERROR(__xludf.DUMMYFUNCTION("""COMPUTED_VALUE"""),2.24529E7)</f>
        <v>22452900</v>
      </c>
      <c r="G563" s="2">
        <f t="shared" si="1"/>
        <v>47.08</v>
      </c>
    </row>
    <row r="564" ht="15.75" customHeight="1">
      <c r="A564" s="1">
        <f>IFERROR(__xludf.DUMMYFUNCTION("""COMPUTED_VALUE"""),44690.66666666667)</f>
        <v>44690.66667</v>
      </c>
      <c r="B564" s="2">
        <f>IFERROR(__xludf.DUMMYFUNCTION("""COMPUTED_VALUE"""),1103.85)</f>
        <v>1103.85</v>
      </c>
      <c r="C564" s="2">
        <f>IFERROR(__xludf.DUMMYFUNCTION("""COMPUTED_VALUE"""),1103.85)</f>
        <v>1103.85</v>
      </c>
      <c r="D564" s="2">
        <f>IFERROR(__xludf.DUMMYFUNCTION("""COMPUTED_VALUE"""),1030.61)</f>
        <v>1030.61</v>
      </c>
      <c r="E564" s="2">
        <f>IFERROR(__xludf.DUMMYFUNCTION("""COMPUTED_VALUE"""),1030.61)</f>
        <v>1030.61</v>
      </c>
      <c r="F564" s="2">
        <f>IFERROR(__xludf.DUMMYFUNCTION("""COMPUTED_VALUE"""),2.35205E7)</f>
        <v>23520500</v>
      </c>
      <c r="G564" s="2">
        <f t="shared" si="1"/>
        <v>73.24</v>
      </c>
    </row>
    <row r="565" ht="15.75" customHeight="1">
      <c r="A565" s="1">
        <f>IFERROR(__xludf.DUMMYFUNCTION("""COMPUTED_VALUE"""),44691.66666666667)</f>
        <v>44691.66667</v>
      </c>
      <c r="B565" s="2">
        <f>IFERROR(__xludf.DUMMYFUNCTION("""COMPUTED_VALUE"""),1030.61)</f>
        <v>1030.61</v>
      </c>
      <c r="C565" s="2">
        <f>IFERROR(__xludf.DUMMYFUNCTION("""COMPUTED_VALUE"""),1035.84)</f>
        <v>1035.84</v>
      </c>
      <c r="D565" s="2">
        <f>IFERROR(__xludf.DUMMYFUNCTION("""COMPUTED_VALUE"""),962.6)</f>
        <v>962.6</v>
      </c>
      <c r="E565" s="2">
        <f>IFERROR(__xludf.DUMMYFUNCTION("""COMPUTED_VALUE"""),973.06)</f>
        <v>973.06</v>
      </c>
      <c r="F565" s="2">
        <f>IFERROR(__xludf.DUMMYFUNCTION("""COMPUTED_VALUE"""),3.17843E7)</f>
        <v>31784300</v>
      </c>
      <c r="G565" s="2">
        <f t="shared" si="1"/>
        <v>73.24</v>
      </c>
    </row>
    <row r="566" ht="15.75" customHeight="1">
      <c r="A566" s="1">
        <f>IFERROR(__xludf.DUMMYFUNCTION("""COMPUTED_VALUE"""),44692.66666666667)</f>
        <v>44692.66667</v>
      </c>
      <c r="B566" s="2">
        <f>IFERROR(__xludf.DUMMYFUNCTION("""COMPUTED_VALUE"""),973.06)</f>
        <v>973.06</v>
      </c>
      <c r="C566" s="2">
        <f>IFERROR(__xludf.DUMMYFUNCTION("""COMPUTED_VALUE"""),1004.45)</f>
        <v>1004.45</v>
      </c>
      <c r="D566" s="2">
        <f>IFERROR(__xludf.DUMMYFUNCTION("""COMPUTED_VALUE"""),967.83)</f>
        <v>967.83</v>
      </c>
      <c r="E566" s="2">
        <f>IFERROR(__xludf.DUMMYFUNCTION("""COMPUTED_VALUE"""),978.29)</f>
        <v>978.29</v>
      </c>
      <c r="F566" s="2">
        <f>IFERROR(__xludf.DUMMYFUNCTION("""COMPUTED_VALUE"""),1.15886E7)</f>
        <v>11588600</v>
      </c>
      <c r="G566" s="2">
        <f t="shared" si="1"/>
        <v>36.62</v>
      </c>
    </row>
    <row r="567" ht="15.75" customHeight="1">
      <c r="A567" s="1">
        <f>IFERROR(__xludf.DUMMYFUNCTION("""COMPUTED_VALUE"""),44693.66666666667)</f>
        <v>44693.66667</v>
      </c>
      <c r="B567" s="2">
        <f>IFERROR(__xludf.DUMMYFUNCTION("""COMPUTED_VALUE"""),978.29)</f>
        <v>978.29</v>
      </c>
      <c r="C567" s="2">
        <f>IFERROR(__xludf.DUMMYFUNCTION("""COMPUTED_VALUE"""),978.29)</f>
        <v>978.29</v>
      </c>
      <c r="D567" s="2">
        <f>IFERROR(__xludf.DUMMYFUNCTION("""COMPUTED_VALUE"""),910.28)</f>
        <v>910.28</v>
      </c>
      <c r="E567" s="2">
        <f>IFERROR(__xludf.DUMMYFUNCTION("""COMPUTED_VALUE"""),910.28)</f>
        <v>910.28</v>
      </c>
      <c r="F567" s="2">
        <f>IFERROR(__xludf.DUMMYFUNCTION("""COMPUTED_VALUE"""),2.33015E7)</f>
        <v>23301500</v>
      </c>
      <c r="G567" s="2">
        <f t="shared" si="1"/>
        <v>68.01</v>
      </c>
    </row>
    <row r="568" ht="15.75" customHeight="1">
      <c r="A568" s="1">
        <f>IFERROR(__xludf.DUMMYFUNCTION("""COMPUTED_VALUE"""),44694.66666666667)</f>
        <v>44694.66667</v>
      </c>
      <c r="B568" s="2">
        <f>IFERROR(__xludf.DUMMYFUNCTION("""COMPUTED_VALUE"""),910.28)</f>
        <v>910.28</v>
      </c>
      <c r="C568" s="2">
        <f>IFERROR(__xludf.DUMMYFUNCTION("""COMPUTED_VALUE"""),941.67)</f>
        <v>941.67</v>
      </c>
      <c r="D568" s="2">
        <f>IFERROR(__xludf.DUMMYFUNCTION("""COMPUTED_VALUE"""),889.36)</f>
        <v>889.36</v>
      </c>
      <c r="E568" s="2">
        <f>IFERROR(__xludf.DUMMYFUNCTION("""COMPUTED_VALUE"""),910.28)</f>
        <v>910.28</v>
      </c>
      <c r="F568" s="2">
        <f>IFERROR(__xludf.DUMMYFUNCTION("""COMPUTED_VALUE"""),1.33195E7)</f>
        <v>13319500</v>
      </c>
      <c r="G568" s="2">
        <f t="shared" si="1"/>
        <v>52.31</v>
      </c>
    </row>
    <row r="569" ht="15.75" customHeight="1">
      <c r="A569" s="1">
        <f>IFERROR(__xludf.DUMMYFUNCTION("""COMPUTED_VALUE"""),44698.66666666667)</f>
        <v>44698.66667</v>
      </c>
      <c r="B569" s="2">
        <f>IFERROR(__xludf.DUMMYFUNCTION("""COMPUTED_VALUE"""),910.28)</f>
        <v>910.28</v>
      </c>
      <c r="C569" s="2">
        <f>IFERROR(__xludf.DUMMYFUNCTION("""COMPUTED_VALUE"""),957.37)</f>
        <v>957.37</v>
      </c>
      <c r="D569" s="2">
        <f>IFERROR(__xludf.DUMMYFUNCTION("""COMPUTED_VALUE"""),910.28)</f>
        <v>910.28</v>
      </c>
      <c r="E569" s="2">
        <f>IFERROR(__xludf.DUMMYFUNCTION("""COMPUTED_VALUE"""),957.37)</f>
        <v>957.37</v>
      </c>
      <c r="F569" s="2">
        <f>IFERROR(__xludf.DUMMYFUNCTION("""COMPUTED_VALUE"""),1.4756E7)</f>
        <v>14756000</v>
      </c>
      <c r="G569" s="2">
        <f t="shared" si="1"/>
        <v>47.09</v>
      </c>
    </row>
    <row r="570" ht="15.75" customHeight="1">
      <c r="A570" s="1">
        <f>IFERROR(__xludf.DUMMYFUNCTION("""COMPUTED_VALUE"""),44699.66666666667)</f>
        <v>44699.66667</v>
      </c>
      <c r="B570" s="2">
        <f>IFERROR(__xludf.DUMMYFUNCTION("""COMPUTED_VALUE"""),952.14)</f>
        <v>952.14</v>
      </c>
      <c r="C570" s="2">
        <f>IFERROR(__xludf.DUMMYFUNCTION("""COMPUTED_VALUE"""),978.29)</f>
        <v>978.29</v>
      </c>
      <c r="D570" s="2">
        <f>IFERROR(__xludf.DUMMYFUNCTION("""COMPUTED_VALUE"""),946.9)</f>
        <v>946.9</v>
      </c>
      <c r="E570" s="2">
        <f>IFERROR(__xludf.DUMMYFUNCTION("""COMPUTED_VALUE"""),978.29)</f>
        <v>978.29</v>
      </c>
      <c r="F570" s="2">
        <f>IFERROR(__xludf.DUMMYFUNCTION("""COMPUTED_VALUE"""),8367200.0)</f>
        <v>8367200</v>
      </c>
      <c r="G570" s="2">
        <f t="shared" si="1"/>
        <v>31.39</v>
      </c>
    </row>
    <row r="571" ht="15.75" customHeight="1">
      <c r="A571" s="1">
        <f>IFERROR(__xludf.DUMMYFUNCTION("""COMPUTED_VALUE"""),44700.66666666667)</f>
        <v>44700.66667</v>
      </c>
      <c r="B571" s="2">
        <f>IFERROR(__xludf.DUMMYFUNCTION("""COMPUTED_VALUE"""),962.6)</f>
        <v>962.6</v>
      </c>
      <c r="C571" s="2">
        <f>IFERROR(__xludf.DUMMYFUNCTION("""COMPUTED_VALUE"""),1014.91)</f>
        <v>1014.91</v>
      </c>
      <c r="D571" s="2">
        <f>IFERROR(__xludf.DUMMYFUNCTION("""COMPUTED_VALUE"""),936.44)</f>
        <v>936.44</v>
      </c>
      <c r="E571" s="2">
        <f>IFERROR(__xludf.DUMMYFUNCTION("""COMPUTED_VALUE"""),983.53)</f>
        <v>983.53</v>
      </c>
      <c r="F571" s="2">
        <f>IFERROR(__xludf.DUMMYFUNCTION("""COMPUTED_VALUE"""),1.14876E7)</f>
        <v>11487600</v>
      </c>
      <c r="G571" s="2">
        <f t="shared" si="1"/>
        <v>78.47</v>
      </c>
    </row>
    <row r="572" ht="15.75" customHeight="1">
      <c r="A572" s="1">
        <f>IFERROR(__xludf.DUMMYFUNCTION("""COMPUTED_VALUE"""),44701.66666666667)</f>
        <v>44701.66667</v>
      </c>
      <c r="B572" s="2">
        <f>IFERROR(__xludf.DUMMYFUNCTION("""COMPUTED_VALUE"""),983.53)</f>
        <v>983.53</v>
      </c>
      <c r="C572" s="2">
        <f>IFERROR(__xludf.DUMMYFUNCTION("""COMPUTED_VALUE"""),1030.61)</f>
        <v>1030.61</v>
      </c>
      <c r="D572" s="2">
        <f>IFERROR(__xludf.DUMMYFUNCTION("""COMPUTED_VALUE"""),983.53)</f>
        <v>983.53</v>
      </c>
      <c r="E572" s="2">
        <f>IFERROR(__xludf.DUMMYFUNCTION("""COMPUTED_VALUE"""),1004.45)</f>
        <v>1004.45</v>
      </c>
      <c r="F572" s="2">
        <f>IFERROR(__xludf.DUMMYFUNCTION("""COMPUTED_VALUE"""),1.26623E7)</f>
        <v>12662300</v>
      </c>
      <c r="G572" s="2">
        <f t="shared" si="1"/>
        <v>47.08</v>
      </c>
    </row>
    <row r="573" ht="15.75" customHeight="1">
      <c r="A573" s="1">
        <f>IFERROR(__xludf.DUMMYFUNCTION("""COMPUTED_VALUE"""),44704.66666666667)</f>
        <v>44704.66667</v>
      </c>
      <c r="B573" s="2">
        <f>IFERROR(__xludf.DUMMYFUNCTION("""COMPUTED_VALUE"""),1009.68)</f>
        <v>1009.68</v>
      </c>
      <c r="C573" s="2">
        <f>IFERROR(__xludf.DUMMYFUNCTION("""COMPUTED_VALUE"""),1020.15)</f>
        <v>1020.15</v>
      </c>
      <c r="D573" s="2">
        <f>IFERROR(__xludf.DUMMYFUNCTION("""COMPUTED_VALUE"""),973.06)</f>
        <v>973.06</v>
      </c>
      <c r="E573" s="2">
        <f>IFERROR(__xludf.DUMMYFUNCTION("""COMPUTED_VALUE"""),978.29)</f>
        <v>978.29</v>
      </c>
      <c r="F573" s="2">
        <f>IFERROR(__xludf.DUMMYFUNCTION("""COMPUTED_VALUE"""),8736400.0)</f>
        <v>8736400</v>
      </c>
      <c r="G573" s="2">
        <f t="shared" si="1"/>
        <v>47.09</v>
      </c>
    </row>
    <row r="574" ht="15.75" customHeight="1">
      <c r="A574" s="1">
        <f>IFERROR(__xludf.DUMMYFUNCTION("""COMPUTED_VALUE"""),44705.66666666667)</f>
        <v>44705.66667</v>
      </c>
      <c r="B574" s="2">
        <f>IFERROR(__xludf.DUMMYFUNCTION("""COMPUTED_VALUE"""),983.53)</f>
        <v>983.53</v>
      </c>
      <c r="C574" s="2">
        <f>IFERROR(__xludf.DUMMYFUNCTION("""COMPUTED_VALUE"""),993.99)</f>
        <v>993.99</v>
      </c>
      <c r="D574" s="2">
        <f>IFERROR(__xludf.DUMMYFUNCTION("""COMPUTED_VALUE"""),967.83)</f>
        <v>967.83</v>
      </c>
      <c r="E574" s="2">
        <f>IFERROR(__xludf.DUMMYFUNCTION("""COMPUTED_VALUE"""),973.06)</f>
        <v>973.06</v>
      </c>
      <c r="F574" s="2">
        <f>IFERROR(__xludf.DUMMYFUNCTION("""COMPUTED_VALUE"""),4111100.0)</f>
        <v>4111100</v>
      </c>
      <c r="G574" s="2">
        <f t="shared" si="1"/>
        <v>26.16</v>
      </c>
    </row>
    <row r="575" ht="15.75" customHeight="1">
      <c r="A575" s="1">
        <f>IFERROR(__xludf.DUMMYFUNCTION("""COMPUTED_VALUE"""),44706.66666666667)</f>
        <v>44706.66667</v>
      </c>
      <c r="B575" s="2">
        <f>IFERROR(__xludf.DUMMYFUNCTION("""COMPUTED_VALUE"""),973.06)</f>
        <v>973.06</v>
      </c>
      <c r="C575" s="2">
        <f>IFERROR(__xludf.DUMMYFUNCTION("""COMPUTED_VALUE"""),978.29)</f>
        <v>978.29</v>
      </c>
      <c r="D575" s="2">
        <f>IFERROR(__xludf.DUMMYFUNCTION("""COMPUTED_VALUE"""),952.14)</f>
        <v>952.14</v>
      </c>
      <c r="E575" s="2">
        <f>IFERROR(__xludf.DUMMYFUNCTION("""COMPUTED_VALUE"""),952.14)</f>
        <v>952.14</v>
      </c>
      <c r="F575" s="2">
        <f>IFERROR(__xludf.DUMMYFUNCTION("""COMPUTED_VALUE"""),4581800.0)</f>
        <v>4581800</v>
      </c>
      <c r="G575" s="2">
        <f t="shared" si="1"/>
        <v>26.15</v>
      </c>
    </row>
    <row r="576" ht="15.75" customHeight="1">
      <c r="A576" s="1">
        <f>IFERROR(__xludf.DUMMYFUNCTION("""COMPUTED_VALUE"""),44708.66666666667)</f>
        <v>44708.66667</v>
      </c>
      <c r="B576" s="2">
        <f>IFERROR(__xludf.DUMMYFUNCTION("""COMPUTED_VALUE"""),952.14)</f>
        <v>952.14</v>
      </c>
      <c r="C576" s="2">
        <f>IFERROR(__xludf.DUMMYFUNCTION("""COMPUTED_VALUE"""),983.53)</f>
        <v>983.53</v>
      </c>
      <c r="D576" s="2">
        <f>IFERROR(__xludf.DUMMYFUNCTION("""COMPUTED_VALUE"""),952.14)</f>
        <v>952.14</v>
      </c>
      <c r="E576" s="2">
        <f>IFERROR(__xludf.DUMMYFUNCTION("""COMPUTED_VALUE"""),962.6)</f>
        <v>962.6</v>
      </c>
      <c r="F576" s="2">
        <f>IFERROR(__xludf.DUMMYFUNCTION("""COMPUTED_VALUE"""),5051100.0)</f>
        <v>5051100</v>
      </c>
      <c r="G576" s="2">
        <f t="shared" si="1"/>
        <v>31.39</v>
      </c>
    </row>
    <row r="577" ht="15.75" customHeight="1">
      <c r="A577" s="1">
        <f>IFERROR(__xludf.DUMMYFUNCTION("""COMPUTED_VALUE"""),44711.66666666667)</f>
        <v>44711.66667</v>
      </c>
      <c r="B577" s="2">
        <f>IFERROR(__xludf.DUMMYFUNCTION("""COMPUTED_VALUE"""),967.83)</f>
        <v>967.83</v>
      </c>
      <c r="C577" s="2">
        <f>IFERROR(__xludf.DUMMYFUNCTION("""COMPUTED_VALUE"""),973.06)</f>
        <v>973.06</v>
      </c>
      <c r="D577" s="2">
        <f>IFERROR(__xludf.DUMMYFUNCTION("""COMPUTED_VALUE"""),941.67)</f>
        <v>941.67</v>
      </c>
      <c r="E577" s="2">
        <f>IFERROR(__xludf.DUMMYFUNCTION("""COMPUTED_VALUE"""),957.37)</f>
        <v>957.37</v>
      </c>
      <c r="F577" s="2">
        <f>IFERROR(__xludf.DUMMYFUNCTION("""COMPUTED_VALUE"""),5874800.0)</f>
        <v>5874800</v>
      </c>
      <c r="G577" s="2">
        <f t="shared" si="1"/>
        <v>31.39</v>
      </c>
    </row>
    <row r="578" ht="15.75" customHeight="1">
      <c r="A578" s="1">
        <f>IFERROR(__xludf.DUMMYFUNCTION("""COMPUTED_VALUE"""),44712.66666666667)</f>
        <v>44712.66667</v>
      </c>
      <c r="B578" s="2">
        <f>IFERROR(__xludf.DUMMYFUNCTION("""COMPUTED_VALUE"""),957.37)</f>
        <v>957.37</v>
      </c>
      <c r="C578" s="2">
        <f>IFERROR(__xludf.DUMMYFUNCTION("""COMPUTED_VALUE"""),1004.45)</f>
        <v>1004.45</v>
      </c>
      <c r="D578" s="2">
        <f>IFERROR(__xludf.DUMMYFUNCTION("""COMPUTED_VALUE"""),952.14)</f>
        <v>952.14</v>
      </c>
      <c r="E578" s="2">
        <f>IFERROR(__xludf.DUMMYFUNCTION("""COMPUTED_VALUE"""),988.76)</f>
        <v>988.76</v>
      </c>
      <c r="F578" s="2">
        <f>IFERROR(__xludf.DUMMYFUNCTION("""COMPUTED_VALUE"""),1.55652E7)</f>
        <v>15565200</v>
      </c>
      <c r="G578" s="2">
        <f t="shared" si="1"/>
        <v>52.31</v>
      </c>
    </row>
    <row r="579" ht="15.75" customHeight="1">
      <c r="A579" s="1">
        <f>IFERROR(__xludf.DUMMYFUNCTION("""COMPUTED_VALUE"""),44714.66666666667)</f>
        <v>44714.66667</v>
      </c>
      <c r="B579" s="2">
        <f>IFERROR(__xludf.DUMMYFUNCTION("""COMPUTED_VALUE"""),988.76)</f>
        <v>988.76</v>
      </c>
      <c r="C579" s="2">
        <f>IFERROR(__xludf.DUMMYFUNCTION("""COMPUTED_VALUE"""),993.99)</f>
        <v>993.99</v>
      </c>
      <c r="D579" s="2">
        <f>IFERROR(__xludf.DUMMYFUNCTION("""COMPUTED_VALUE"""),952.14)</f>
        <v>952.14</v>
      </c>
      <c r="E579" s="2">
        <f>IFERROR(__xludf.DUMMYFUNCTION("""COMPUTED_VALUE"""),952.14)</f>
        <v>952.14</v>
      </c>
      <c r="F579" s="2">
        <f>IFERROR(__xludf.DUMMYFUNCTION("""COMPUTED_VALUE"""),1.52609E7)</f>
        <v>15260900</v>
      </c>
      <c r="G579" s="2">
        <f t="shared" si="1"/>
        <v>41.85</v>
      </c>
    </row>
    <row r="580" ht="15.75" customHeight="1">
      <c r="A580" s="1">
        <f>IFERROR(__xludf.DUMMYFUNCTION("""COMPUTED_VALUE"""),44715.66666666667)</f>
        <v>44715.66667</v>
      </c>
      <c r="B580" s="2">
        <f>IFERROR(__xludf.DUMMYFUNCTION("""COMPUTED_VALUE"""),962.6)</f>
        <v>962.6</v>
      </c>
      <c r="C580" s="2">
        <f>IFERROR(__xludf.DUMMYFUNCTION("""COMPUTED_VALUE"""),978.29)</f>
        <v>978.29</v>
      </c>
      <c r="D580" s="2">
        <f>IFERROR(__xludf.DUMMYFUNCTION("""COMPUTED_VALUE"""),952.14)</f>
        <v>952.14</v>
      </c>
      <c r="E580" s="2">
        <f>IFERROR(__xludf.DUMMYFUNCTION("""COMPUTED_VALUE"""),952.14)</f>
        <v>952.14</v>
      </c>
      <c r="F580" s="2">
        <f>IFERROR(__xludf.DUMMYFUNCTION("""COMPUTED_VALUE"""),1.07796E7)</f>
        <v>10779600</v>
      </c>
      <c r="G580" s="2">
        <f t="shared" si="1"/>
        <v>26.15</v>
      </c>
    </row>
    <row r="581" ht="15.75" customHeight="1">
      <c r="A581" s="1">
        <f>IFERROR(__xludf.DUMMYFUNCTION("""COMPUTED_VALUE"""),44718.66666666667)</f>
        <v>44718.66667</v>
      </c>
      <c r="B581" s="2">
        <f>IFERROR(__xludf.DUMMYFUNCTION("""COMPUTED_VALUE"""),957.37)</f>
        <v>957.37</v>
      </c>
      <c r="C581" s="2">
        <f>IFERROR(__xludf.DUMMYFUNCTION("""COMPUTED_VALUE"""),967.83)</f>
        <v>967.83</v>
      </c>
      <c r="D581" s="2">
        <f>IFERROR(__xludf.DUMMYFUNCTION("""COMPUTED_VALUE"""),946.9)</f>
        <v>946.9</v>
      </c>
      <c r="E581" s="2">
        <f>IFERROR(__xludf.DUMMYFUNCTION("""COMPUTED_VALUE"""),957.37)</f>
        <v>957.37</v>
      </c>
      <c r="F581" s="2">
        <f>IFERROR(__xludf.DUMMYFUNCTION("""COMPUTED_VALUE"""),9494900.0)</f>
        <v>9494900</v>
      </c>
      <c r="G581" s="2">
        <f t="shared" si="1"/>
        <v>20.93</v>
      </c>
    </row>
    <row r="582" ht="15.75" customHeight="1">
      <c r="A582" s="1">
        <f>IFERROR(__xludf.DUMMYFUNCTION("""COMPUTED_VALUE"""),44719.66666666667)</f>
        <v>44719.66667</v>
      </c>
      <c r="B582" s="2">
        <f>IFERROR(__xludf.DUMMYFUNCTION("""COMPUTED_VALUE"""),957.37)</f>
        <v>957.37</v>
      </c>
      <c r="C582" s="2">
        <f>IFERROR(__xludf.DUMMYFUNCTION("""COMPUTED_VALUE"""),962.6)</f>
        <v>962.6</v>
      </c>
      <c r="D582" s="2">
        <f>IFERROR(__xludf.DUMMYFUNCTION("""COMPUTED_VALUE"""),941.67)</f>
        <v>941.67</v>
      </c>
      <c r="E582" s="2">
        <f>IFERROR(__xludf.DUMMYFUNCTION("""COMPUTED_VALUE"""),941.67)</f>
        <v>941.67</v>
      </c>
      <c r="F582" s="2">
        <f>IFERROR(__xludf.DUMMYFUNCTION("""COMPUTED_VALUE"""),6917700.0)</f>
        <v>6917700</v>
      </c>
      <c r="G582" s="2">
        <f t="shared" si="1"/>
        <v>20.93</v>
      </c>
    </row>
    <row r="583" ht="15.75" customHeight="1">
      <c r="A583" s="1">
        <f>IFERROR(__xludf.DUMMYFUNCTION("""COMPUTED_VALUE"""),44720.66666666667)</f>
        <v>44720.66667</v>
      </c>
      <c r="B583" s="2">
        <f>IFERROR(__xludf.DUMMYFUNCTION("""COMPUTED_VALUE"""),941.67)</f>
        <v>941.67</v>
      </c>
      <c r="C583" s="2">
        <f>IFERROR(__xludf.DUMMYFUNCTION("""COMPUTED_VALUE"""),978.29)</f>
        <v>978.29</v>
      </c>
      <c r="D583" s="2">
        <f>IFERROR(__xludf.DUMMYFUNCTION("""COMPUTED_VALUE"""),936.44)</f>
        <v>936.44</v>
      </c>
      <c r="E583" s="2">
        <f>IFERROR(__xludf.DUMMYFUNCTION("""COMPUTED_VALUE"""),952.14)</f>
        <v>952.14</v>
      </c>
      <c r="F583" s="2">
        <f>IFERROR(__xludf.DUMMYFUNCTION("""COMPUTED_VALUE"""),1.34932E7)</f>
        <v>13493200</v>
      </c>
      <c r="G583" s="2">
        <f t="shared" si="1"/>
        <v>41.85</v>
      </c>
    </row>
    <row r="584" ht="15.75" customHeight="1">
      <c r="A584" s="1">
        <f>IFERROR(__xludf.DUMMYFUNCTION("""COMPUTED_VALUE"""),44721.66666666667)</f>
        <v>44721.66667</v>
      </c>
      <c r="B584" s="2">
        <f>IFERROR(__xludf.DUMMYFUNCTION("""COMPUTED_VALUE"""),962.6)</f>
        <v>962.6</v>
      </c>
      <c r="C584" s="2">
        <f>IFERROR(__xludf.DUMMYFUNCTION("""COMPUTED_VALUE"""),967.83)</f>
        <v>967.83</v>
      </c>
      <c r="D584" s="2">
        <f>IFERROR(__xludf.DUMMYFUNCTION("""COMPUTED_VALUE"""),941.67)</f>
        <v>941.67</v>
      </c>
      <c r="E584" s="2">
        <f>IFERROR(__xludf.DUMMYFUNCTION("""COMPUTED_VALUE"""),941.67)</f>
        <v>941.67</v>
      </c>
      <c r="F584" s="2">
        <f>IFERROR(__xludf.DUMMYFUNCTION("""COMPUTED_VALUE"""),8585300.0)</f>
        <v>8585300</v>
      </c>
      <c r="G584" s="2">
        <f t="shared" si="1"/>
        <v>26.16</v>
      </c>
    </row>
    <row r="585" ht="15.75" customHeight="1">
      <c r="A585" s="1">
        <f>IFERROR(__xludf.DUMMYFUNCTION("""COMPUTED_VALUE"""),44722.66666666667)</f>
        <v>44722.66667</v>
      </c>
      <c r="B585" s="2">
        <f>IFERROR(__xludf.DUMMYFUNCTION("""COMPUTED_VALUE"""),946.9)</f>
        <v>946.9</v>
      </c>
      <c r="C585" s="2">
        <f>IFERROR(__xludf.DUMMYFUNCTION("""COMPUTED_VALUE"""),946.9)</f>
        <v>946.9</v>
      </c>
      <c r="D585" s="2">
        <f>IFERROR(__xludf.DUMMYFUNCTION("""COMPUTED_VALUE"""),920.75)</f>
        <v>920.75</v>
      </c>
      <c r="E585" s="2">
        <f>IFERROR(__xludf.DUMMYFUNCTION("""COMPUTED_VALUE"""),925.98)</f>
        <v>925.98</v>
      </c>
      <c r="F585" s="2">
        <f>IFERROR(__xludf.DUMMYFUNCTION("""COMPUTED_VALUE"""),9550600.0)</f>
        <v>9550600</v>
      </c>
      <c r="G585" s="2">
        <f t="shared" si="1"/>
        <v>26.15</v>
      </c>
    </row>
    <row r="586" ht="15.75" customHeight="1">
      <c r="A586" s="1">
        <f>IFERROR(__xludf.DUMMYFUNCTION("""COMPUTED_VALUE"""),44725.66666666667)</f>
        <v>44725.66667</v>
      </c>
      <c r="B586" s="2">
        <f>IFERROR(__xludf.DUMMYFUNCTION("""COMPUTED_VALUE"""),920.75)</f>
        <v>920.75</v>
      </c>
      <c r="C586" s="2">
        <f>IFERROR(__xludf.DUMMYFUNCTION("""COMPUTED_VALUE"""),920.75)</f>
        <v>920.75</v>
      </c>
      <c r="D586" s="2">
        <f>IFERROR(__xludf.DUMMYFUNCTION("""COMPUTED_VALUE"""),889.36)</f>
        <v>889.36</v>
      </c>
      <c r="E586" s="2">
        <f>IFERROR(__xludf.DUMMYFUNCTION("""COMPUTED_VALUE"""),894.59)</f>
        <v>894.59</v>
      </c>
      <c r="F586" s="2">
        <f>IFERROR(__xludf.DUMMYFUNCTION("""COMPUTED_VALUE"""),1.04589E7)</f>
        <v>10458900</v>
      </c>
      <c r="G586" s="2">
        <f t="shared" si="1"/>
        <v>36.62</v>
      </c>
    </row>
    <row r="587" ht="15.75" customHeight="1">
      <c r="A587" s="1">
        <f>IFERROR(__xludf.DUMMYFUNCTION("""COMPUTED_VALUE"""),44726.66666666667)</f>
        <v>44726.66667</v>
      </c>
      <c r="B587" s="2">
        <f>IFERROR(__xludf.DUMMYFUNCTION("""COMPUTED_VALUE"""),894.59)</f>
        <v>894.59</v>
      </c>
      <c r="C587" s="2">
        <f>IFERROR(__xludf.DUMMYFUNCTION("""COMPUTED_VALUE"""),894.59)</f>
        <v>894.59</v>
      </c>
      <c r="D587" s="2">
        <f>IFERROR(__xludf.DUMMYFUNCTION("""COMPUTED_VALUE"""),857.97)</f>
        <v>857.97</v>
      </c>
      <c r="E587" s="2">
        <f>IFERROR(__xludf.DUMMYFUNCTION("""COMPUTED_VALUE"""),868.43)</f>
        <v>868.43</v>
      </c>
      <c r="F587" s="2">
        <f>IFERROR(__xludf.DUMMYFUNCTION("""COMPUTED_VALUE"""),1.19138E7)</f>
        <v>11913800</v>
      </c>
      <c r="G587" s="2">
        <f t="shared" si="1"/>
        <v>36.62</v>
      </c>
    </row>
    <row r="588" ht="15.75" customHeight="1">
      <c r="A588" s="1">
        <f>IFERROR(__xludf.DUMMYFUNCTION("""COMPUTED_VALUE"""),44727.66666666667)</f>
        <v>44727.66667</v>
      </c>
      <c r="B588" s="2">
        <f>IFERROR(__xludf.DUMMYFUNCTION("""COMPUTED_VALUE"""),873.66)</f>
        <v>873.66</v>
      </c>
      <c r="C588" s="2">
        <f>IFERROR(__xludf.DUMMYFUNCTION("""COMPUTED_VALUE"""),873.66)</f>
        <v>873.66</v>
      </c>
      <c r="D588" s="2">
        <f>IFERROR(__xludf.DUMMYFUNCTION("""COMPUTED_VALUE"""),842.27)</f>
        <v>842.27</v>
      </c>
      <c r="E588" s="2">
        <f>IFERROR(__xludf.DUMMYFUNCTION("""COMPUTED_VALUE"""),852.74)</f>
        <v>852.74</v>
      </c>
      <c r="F588" s="2">
        <f>IFERROR(__xludf.DUMMYFUNCTION("""COMPUTED_VALUE"""),1.21992E7)</f>
        <v>12199200</v>
      </c>
      <c r="G588" s="2">
        <f t="shared" si="1"/>
        <v>31.39</v>
      </c>
    </row>
    <row r="589" ht="15.75" customHeight="1">
      <c r="A589" s="1">
        <f>IFERROR(__xludf.DUMMYFUNCTION("""COMPUTED_VALUE"""),44728.66666666667)</f>
        <v>44728.66667</v>
      </c>
      <c r="B589" s="2">
        <f>IFERROR(__xludf.DUMMYFUNCTION("""COMPUTED_VALUE"""),852.74)</f>
        <v>852.74</v>
      </c>
      <c r="C589" s="2">
        <f>IFERROR(__xludf.DUMMYFUNCTION("""COMPUTED_VALUE"""),878.9)</f>
        <v>878.9</v>
      </c>
      <c r="D589" s="2">
        <f>IFERROR(__xludf.DUMMYFUNCTION("""COMPUTED_VALUE"""),852.74)</f>
        <v>852.74</v>
      </c>
      <c r="E589" s="2">
        <f>IFERROR(__xludf.DUMMYFUNCTION("""COMPUTED_VALUE"""),857.97)</f>
        <v>857.97</v>
      </c>
      <c r="F589" s="2">
        <f>IFERROR(__xludf.DUMMYFUNCTION("""COMPUTED_VALUE"""),1.07096E7)</f>
        <v>10709600</v>
      </c>
      <c r="G589" s="2">
        <f t="shared" si="1"/>
        <v>26.16</v>
      </c>
    </row>
    <row r="590" ht="15.75" customHeight="1">
      <c r="A590" s="1">
        <f>IFERROR(__xludf.DUMMYFUNCTION("""COMPUTED_VALUE"""),44729.66666666667)</f>
        <v>44729.66667</v>
      </c>
      <c r="B590" s="2">
        <f>IFERROR(__xludf.DUMMYFUNCTION("""COMPUTED_VALUE"""),857.97)</f>
        <v>857.97</v>
      </c>
      <c r="C590" s="2">
        <f>IFERROR(__xludf.DUMMYFUNCTION("""COMPUTED_VALUE"""),857.97)</f>
        <v>857.97</v>
      </c>
      <c r="D590" s="2">
        <f>IFERROR(__xludf.DUMMYFUNCTION("""COMPUTED_VALUE"""),821.35)</f>
        <v>821.35</v>
      </c>
      <c r="E590" s="2">
        <f>IFERROR(__xludf.DUMMYFUNCTION("""COMPUTED_VALUE"""),831.81)</f>
        <v>831.81</v>
      </c>
      <c r="F590" s="2">
        <f>IFERROR(__xludf.DUMMYFUNCTION("""COMPUTED_VALUE"""),9692100.0)</f>
        <v>9692100</v>
      </c>
      <c r="G590" s="2">
        <f t="shared" si="1"/>
        <v>36.62</v>
      </c>
    </row>
    <row r="591" ht="15.75" customHeight="1">
      <c r="A591" s="1">
        <f>IFERROR(__xludf.DUMMYFUNCTION("""COMPUTED_VALUE"""),44732.66666666667)</f>
        <v>44732.66667</v>
      </c>
      <c r="B591" s="2">
        <f>IFERROR(__xludf.DUMMYFUNCTION("""COMPUTED_VALUE"""),789.96)</f>
        <v>789.96</v>
      </c>
      <c r="C591" s="2">
        <f>IFERROR(__xludf.DUMMYFUNCTION("""COMPUTED_VALUE"""),831.81)</f>
        <v>831.81</v>
      </c>
      <c r="D591" s="2">
        <f>IFERROR(__xludf.DUMMYFUNCTION("""COMPUTED_VALUE"""),789.96)</f>
        <v>789.96</v>
      </c>
      <c r="E591" s="2">
        <f>IFERROR(__xludf.DUMMYFUNCTION("""COMPUTED_VALUE"""),816.12)</f>
        <v>816.12</v>
      </c>
      <c r="F591" s="2">
        <f>IFERROR(__xludf.DUMMYFUNCTION("""COMPUTED_VALUE"""),1.28273E7)</f>
        <v>12827300</v>
      </c>
      <c r="G591" s="2">
        <f t="shared" si="1"/>
        <v>41.85</v>
      </c>
    </row>
    <row r="592" ht="15.75" customHeight="1">
      <c r="A592" s="1">
        <f>IFERROR(__xludf.DUMMYFUNCTION("""COMPUTED_VALUE"""),44733.66666666667)</f>
        <v>44733.66667</v>
      </c>
      <c r="B592" s="2">
        <f>IFERROR(__xludf.DUMMYFUNCTION("""COMPUTED_VALUE"""),831.81)</f>
        <v>831.81</v>
      </c>
      <c r="C592" s="2">
        <f>IFERROR(__xludf.DUMMYFUNCTION("""COMPUTED_VALUE"""),831.81)</f>
        <v>831.81</v>
      </c>
      <c r="D592" s="2">
        <f>IFERROR(__xludf.DUMMYFUNCTION("""COMPUTED_VALUE"""),810.89)</f>
        <v>810.89</v>
      </c>
      <c r="E592" s="2">
        <f>IFERROR(__xludf.DUMMYFUNCTION("""COMPUTED_VALUE"""),821.35)</f>
        <v>821.35</v>
      </c>
      <c r="F592" s="2">
        <f>IFERROR(__xludf.DUMMYFUNCTION("""COMPUTED_VALUE"""),7519300.0)</f>
        <v>7519300</v>
      </c>
      <c r="G592" s="2">
        <f t="shared" si="1"/>
        <v>20.92</v>
      </c>
    </row>
    <row r="593" ht="15.75" customHeight="1">
      <c r="A593" s="1">
        <f>IFERROR(__xludf.DUMMYFUNCTION("""COMPUTED_VALUE"""),44734.66666666667)</f>
        <v>44734.66667</v>
      </c>
      <c r="B593" s="2">
        <f>IFERROR(__xludf.DUMMYFUNCTION("""COMPUTED_VALUE"""),826.58)</f>
        <v>826.58</v>
      </c>
      <c r="C593" s="2">
        <f>IFERROR(__xludf.DUMMYFUNCTION("""COMPUTED_VALUE"""),826.58)</f>
        <v>826.58</v>
      </c>
      <c r="D593" s="2">
        <f>IFERROR(__xludf.DUMMYFUNCTION("""COMPUTED_VALUE"""),810.89)</f>
        <v>810.89</v>
      </c>
      <c r="E593" s="2">
        <f>IFERROR(__xludf.DUMMYFUNCTION("""COMPUTED_VALUE"""),810.89)</f>
        <v>810.89</v>
      </c>
      <c r="F593" s="2">
        <f>IFERROR(__xludf.DUMMYFUNCTION("""COMPUTED_VALUE"""),3921300.0)</f>
        <v>3921300</v>
      </c>
      <c r="G593" s="2">
        <f t="shared" si="1"/>
        <v>15.69</v>
      </c>
    </row>
    <row r="594" ht="15.75" customHeight="1">
      <c r="A594" s="1">
        <f>IFERROR(__xludf.DUMMYFUNCTION("""COMPUTED_VALUE"""),44735.66666666667)</f>
        <v>44735.66667</v>
      </c>
      <c r="B594" s="2">
        <f>IFERROR(__xludf.DUMMYFUNCTION("""COMPUTED_VALUE"""),810.89)</f>
        <v>810.89</v>
      </c>
      <c r="C594" s="2">
        <f>IFERROR(__xludf.DUMMYFUNCTION("""COMPUTED_VALUE"""),816.12)</f>
        <v>816.12</v>
      </c>
      <c r="D594" s="2">
        <f>IFERROR(__xludf.DUMMYFUNCTION("""COMPUTED_VALUE"""),795.19)</f>
        <v>795.19</v>
      </c>
      <c r="E594" s="2">
        <f>IFERROR(__xludf.DUMMYFUNCTION("""COMPUTED_VALUE"""),800.42)</f>
        <v>800.42</v>
      </c>
      <c r="F594" s="2">
        <f>IFERROR(__xludf.DUMMYFUNCTION("""COMPUTED_VALUE"""),3432100.0)</f>
        <v>3432100</v>
      </c>
      <c r="G594" s="2">
        <f t="shared" si="1"/>
        <v>20.93</v>
      </c>
    </row>
    <row r="595" ht="15.75" customHeight="1">
      <c r="A595" s="1">
        <f>IFERROR(__xludf.DUMMYFUNCTION("""COMPUTED_VALUE"""),44736.66666666667)</f>
        <v>44736.66667</v>
      </c>
      <c r="B595" s="2">
        <f>IFERROR(__xludf.DUMMYFUNCTION("""COMPUTED_VALUE"""),805.65)</f>
        <v>805.65</v>
      </c>
      <c r="C595" s="2">
        <f>IFERROR(__xludf.DUMMYFUNCTION("""COMPUTED_VALUE"""),816.12)</f>
        <v>816.12</v>
      </c>
      <c r="D595" s="2">
        <f>IFERROR(__xludf.DUMMYFUNCTION("""COMPUTED_VALUE"""),795.19)</f>
        <v>795.19</v>
      </c>
      <c r="E595" s="2">
        <f>IFERROR(__xludf.DUMMYFUNCTION("""COMPUTED_VALUE"""),800.42)</f>
        <v>800.42</v>
      </c>
      <c r="F595" s="2">
        <f>IFERROR(__xludf.DUMMYFUNCTION("""COMPUTED_VALUE"""),1.04925E7)</f>
        <v>10492500</v>
      </c>
      <c r="G595" s="2">
        <f t="shared" si="1"/>
        <v>20.93</v>
      </c>
    </row>
    <row r="596" ht="15.75" customHeight="1">
      <c r="A596" s="1">
        <f>IFERROR(__xludf.DUMMYFUNCTION("""COMPUTED_VALUE"""),44739.66666666667)</f>
        <v>44739.66667</v>
      </c>
      <c r="B596" s="2">
        <f>IFERROR(__xludf.DUMMYFUNCTION("""COMPUTED_VALUE"""),805.65)</f>
        <v>805.65</v>
      </c>
      <c r="C596" s="2">
        <f>IFERROR(__xludf.DUMMYFUNCTION("""COMPUTED_VALUE"""),816.12)</f>
        <v>816.12</v>
      </c>
      <c r="D596" s="2">
        <f>IFERROR(__xludf.DUMMYFUNCTION("""COMPUTED_VALUE"""),795.19)</f>
        <v>795.19</v>
      </c>
      <c r="E596" s="2">
        <f>IFERROR(__xludf.DUMMYFUNCTION("""COMPUTED_VALUE"""),805.65)</f>
        <v>805.65</v>
      </c>
      <c r="F596" s="2">
        <f>IFERROR(__xludf.DUMMYFUNCTION("""COMPUTED_VALUE"""),6871500.0)</f>
        <v>6871500</v>
      </c>
      <c r="G596" s="2">
        <f t="shared" si="1"/>
        <v>20.93</v>
      </c>
    </row>
    <row r="597" ht="15.75" customHeight="1">
      <c r="A597" s="1">
        <f>IFERROR(__xludf.DUMMYFUNCTION("""COMPUTED_VALUE"""),44740.66666666667)</f>
        <v>44740.66667</v>
      </c>
      <c r="B597" s="2">
        <f>IFERROR(__xludf.DUMMYFUNCTION("""COMPUTED_VALUE"""),805.65)</f>
        <v>805.65</v>
      </c>
      <c r="C597" s="2">
        <f>IFERROR(__xludf.DUMMYFUNCTION("""COMPUTED_VALUE"""),810.89)</f>
        <v>810.89</v>
      </c>
      <c r="D597" s="2">
        <f>IFERROR(__xludf.DUMMYFUNCTION("""COMPUTED_VALUE"""),758.57)</f>
        <v>758.57</v>
      </c>
      <c r="E597" s="2">
        <f>IFERROR(__xludf.DUMMYFUNCTION("""COMPUTED_VALUE"""),758.57)</f>
        <v>758.57</v>
      </c>
      <c r="F597" s="2">
        <f>IFERROR(__xludf.DUMMYFUNCTION("""COMPUTED_VALUE"""),1.36911E7)</f>
        <v>13691100</v>
      </c>
      <c r="G597" s="2">
        <f t="shared" si="1"/>
        <v>52.32</v>
      </c>
    </row>
    <row r="598" ht="15.75" customHeight="1">
      <c r="A598" s="1">
        <f>IFERROR(__xludf.DUMMYFUNCTION("""COMPUTED_VALUE"""),44741.66666666667)</f>
        <v>44741.66667</v>
      </c>
      <c r="B598" s="2">
        <f>IFERROR(__xludf.DUMMYFUNCTION("""COMPUTED_VALUE"""),758.57)</f>
        <v>758.57</v>
      </c>
      <c r="C598" s="2">
        <f>IFERROR(__xludf.DUMMYFUNCTION("""COMPUTED_VALUE"""),758.57)</f>
        <v>758.57</v>
      </c>
      <c r="D598" s="2">
        <f>IFERROR(__xludf.DUMMYFUNCTION("""COMPUTED_VALUE"""),711.49)</f>
        <v>711.49</v>
      </c>
      <c r="E598" s="2">
        <f>IFERROR(__xludf.DUMMYFUNCTION("""COMPUTED_VALUE"""),732.41)</f>
        <v>732.41</v>
      </c>
      <c r="F598" s="2">
        <f>IFERROR(__xludf.DUMMYFUNCTION("""COMPUTED_VALUE"""),1.64048E7)</f>
        <v>16404800</v>
      </c>
      <c r="G598" s="2">
        <f t="shared" si="1"/>
        <v>47.08</v>
      </c>
    </row>
    <row r="599" ht="15.75" customHeight="1">
      <c r="A599" s="1">
        <f>IFERROR(__xludf.DUMMYFUNCTION("""COMPUTED_VALUE"""),44742.66666666667)</f>
        <v>44742.66667</v>
      </c>
      <c r="B599" s="2">
        <f>IFERROR(__xludf.DUMMYFUNCTION("""COMPUTED_VALUE"""),732.41)</f>
        <v>732.41</v>
      </c>
      <c r="C599" s="2">
        <f>IFERROR(__xludf.DUMMYFUNCTION("""COMPUTED_VALUE"""),753.34)</f>
        <v>753.34</v>
      </c>
      <c r="D599" s="2">
        <f>IFERROR(__xludf.DUMMYFUNCTION("""COMPUTED_VALUE"""),732.41)</f>
        <v>732.41</v>
      </c>
      <c r="E599" s="2">
        <f>IFERROR(__xludf.DUMMYFUNCTION("""COMPUTED_VALUE"""),737.64)</f>
        <v>737.64</v>
      </c>
      <c r="F599" s="2">
        <f>IFERROR(__xludf.DUMMYFUNCTION("""COMPUTED_VALUE"""),7020200.0)</f>
        <v>7020200</v>
      </c>
      <c r="G599" s="2">
        <f t="shared" si="1"/>
        <v>20.93</v>
      </c>
    </row>
    <row r="600" ht="15.75" customHeight="1">
      <c r="A600" s="1">
        <f>IFERROR(__xludf.DUMMYFUNCTION("""COMPUTED_VALUE"""),44743.66666666667)</f>
        <v>44743.66667</v>
      </c>
      <c r="B600" s="2">
        <f>IFERROR(__xludf.DUMMYFUNCTION("""COMPUTED_VALUE"""),737.64)</f>
        <v>737.64</v>
      </c>
      <c r="C600" s="2">
        <f>IFERROR(__xludf.DUMMYFUNCTION("""COMPUTED_VALUE"""),748.11)</f>
        <v>748.11</v>
      </c>
      <c r="D600" s="2">
        <f>IFERROR(__xludf.DUMMYFUNCTION("""COMPUTED_VALUE"""),690.56)</f>
        <v>690.56</v>
      </c>
      <c r="E600" s="2">
        <f>IFERROR(__xludf.DUMMYFUNCTION("""COMPUTED_VALUE"""),690.56)</f>
        <v>690.56</v>
      </c>
      <c r="F600" s="2">
        <f>IFERROR(__xludf.DUMMYFUNCTION("""COMPUTED_VALUE"""),2.11496E7)</f>
        <v>21149600</v>
      </c>
      <c r="G600" s="2">
        <f t="shared" si="1"/>
        <v>57.55</v>
      </c>
    </row>
    <row r="601" ht="15.75" customHeight="1">
      <c r="A601" s="1">
        <f>IFERROR(__xludf.DUMMYFUNCTION("""COMPUTED_VALUE"""),44746.66666666667)</f>
        <v>44746.66667</v>
      </c>
      <c r="B601" s="2">
        <f>IFERROR(__xludf.DUMMYFUNCTION("""COMPUTED_VALUE"""),690.56)</f>
        <v>690.56</v>
      </c>
      <c r="C601" s="2">
        <f>IFERROR(__xludf.DUMMYFUNCTION("""COMPUTED_VALUE"""),701.02)</f>
        <v>701.02</v>
      </c>
      <c r="D601" s="2">
        <f>IFERROR(__xludf.DUMMYFUNCTION("""COMPUTED_VALUE"""),643.48)</f>
        <v>643.48</v>
      </c>
      <c r="E601" s="2">
        <f>IFERROR(__xludf.DUMMYFUNCTION("""COMPUTED_VALUE"""),643.48)</f>
        <v>643.48</v>
      </c>
      <c r="F601" s="2">
        <f>IFERROR(__xludf.DUMMYFUNCTION("""COMPUTED_VALUE"""),2.77266E7)</f>
        <v>27726600</v>
      </c>
      <c r="G601" s="2">
        <f t="shared" si="1"/>
        <v>57.54</v>
      </c>
    </row>
    <row r="602" ht="15.75" customHeight="1">
      <c r="A602" s="1">
        <f>IFERROR(__xludf.DUMMYFUNCTION("""COMPUTED_VALUE"""),44747.66666666667)</f>
        <v>44747.66667</v>
      </c>
      <c r="B602" s="2">
        <f>IFERROR(__xludf.DUMMYFUNCTION("""COMPUTED_VALUE"""),648.71)</f>
        <v>648.71</v>
      </c>
      <c r="C602" s="2">
        <f>IFERROR(__xludf.DUMMYFUNCTION("""COMPUTED_VALUE"""),664.4)</f>
        <v>664.4</v>
      </c>
      <c r="D602" s="2">
        <f>IFERROR(__xludf.DUMMYFUNCTION("""COMPUTED_VALUE"""),633.01)</f>
        <v>633.01</v>
      </c>
      <c r="E602" s="2">
        <f>IFERROR(__xludf.DUMMYFUNCTION("""COMPUTED_VALUE"""),653.94)</f>
        <v>653.94</v>
      </c>
      <c r="F602" s="2">
        <f>IFERROR(__xludf.DUMMYFUNCTION("""COMPUTED_VALUE"""),7044900.0)</f>
        <v>7044900</v>
      </c>
      <c r="G602" s="2">
        <f t="shared" si="1"/>
        <v>31.39</v>
      </c>
    </row>
    <row r="603" ht="15.75" customHeight="1">
      <c r="A603" s="1">
        <f>IFERROR(__xludf.DUMMYFUNCTION("""COMPUTED_VALUE"""),44748.66666666667)</f>
        <v>44748.66667</v>
      </c>
      <c r="B603" s="2">
        <f>IFERROR(__xludf.DUMMYFUNCTION("""COMPUTED_VALUE"""),653.94)</f>
        <v>653.94</v>
      </c>
      <c r="C603" s="2">
        <f>IFERROR(__xludf.DUMMYFUNCTION("""COMPUTED_VALUE"""),659.17)</f>
        <v>659.17</v>
      </c>
      <c r="D603" s="2">
        <f>IFERROR(__xludf.DUMMYFUNCTION("""COMPUTED_VALUE"""),643.48)</f>
        <v>643.48</v>
      </c>
      <c r="E603" s="2">
        <f>IFERROR(__xludf.DUMMYFUNCTION("""COMPUTED_VALUE"""),648.71)</f>
        <v>648.71</v>
      </c>
      <c r="F603" s="2">
        <f>IFERROR(__xludf.DUMMYFUNCTION("""COMPUTED_VALUE"""),4106900.0)</f>
        <v>4106900</v>
      </c>
      <c r="G603" s="2">
        <f t="shared" si="1"/>
        <v>15.69</v>
      </c>
    </row>
    <row r="604" ht="15.75" customHeight="1">
      <c r="A604" s="1">
        <f>IFERROR(__xludf.DUMMYFUNCTION("""COMPUTED_VALUE"""),44749.66666666667)</f>
        <v>44749.66667</v>
      </c>
      <c r="B604" s="2">
        <f>IFERROR(__xludf.DUMMYFUNCTION("""COMPUTED_VALUE"""),648.71)</f>
        <v>648.71</v>
      </c>
      <c r="C604" s="2">
        <f>IFERROR(__xludf.DUMMYFUNCTION("""COMPUTED_VALUE"""),669.63)</f>
        <v>669.63</v>
      </c>
      <c r="D604" s="2">
        <f>IFERROR(__xludf.DUMMYFUNCTION("""COMPUTED_VALUE"""),648.71)</f>
        <v>648.71</v>
      </c>
      <c r="E604" s="2">
        <f>IFERROR(__xludf.DUMMYFUNCTION("""COMPUTED_VALUE"""),659.17)</f>
        <v>659.17</v>
      </c>
      <c r="F604" s="2">
        <f>IFERROR(__xludf.DUMMYFUNCTION("""COMPUTED_VALUE"""),7799000.0)</f>
        <v>7799000</v>
      </c>
      <c r="G604" s="2">
        <f t="shared" si="1"/>
        <v>20.92</v>
      </c>
    </row>
    <row r="605" ht="15.75" customHeight="1">
      <c r="A605" s="1">
        <f>IFERROR(__xludf.DUMMYFUNCTION("""COMPUTED_VALUE"""),44750.66666666667)</f>
        <v>44750.66667</v>
      </c>
      <c r="B605" s="2">
        <f>IFERROR(__xludf.DUMMYFUNCTION("""COMPUTED_VALUE"""),664.4)</f>
        <v>664.4</v>
      </c>
      <c r="C605" s="2">
        <f>IFERROR(__xludf.DUMMYFUNCTION("""COMPUTED_VALUE"""),674.87)</f>
        <v>674.87</v>
      </c>
      <c r="D605" s="2">
        <f>IFERROR(__xludf.DUMMYFUNCTION("""COMPUTED_VALUE"""),653.94)</f>
        <v>653.94</v>
      </c>
      <c r="E605" s="2">
        <f>IFERROR(__xludf.DUMMYFUNCTION("""COMPUTED_VALUE"""),659.17)</f>
        <v>659.17</v>
      </c>
      <c r="F605" s="2">
        <f>IFERROR(__xludf.DUMMYFUNCTION("""COMPUTED_VALUE"""),9189700.0)</f>
        <v>9189700</v>
      </c>
      <c r="G605" s="2">
        <f t="shared" si="1"/>
        <v>20.93</v>
      </c>
    </row>
    <row r="606" ht="15.75" customHeight="1">
      <c r="A606" s="1">
        <f>IFERROR(__xludf.DUMMYFUNCTION("""COMPUTED_VALUE"""),44753.66666666667)</f>
        <v>44753.66667</v>
      </c>
      <c r="B606" s="2">
        <f>IFERROR(__xludf.DUMMYFUNCTION("""COMPUTED_VALUE"""),664.4)</f>
        <v>664.4</v>
      </c>
      <c r="C606" s="2">
        <f>IFERROR(__xludf.DUMMYFUNCTION("""COMPUTED_VALUE"""),674.87)</f>
        <v>674.87</v>
      </c>
      <c r="D606" s="2">
        <f>IFERROR(__xludf.DUMMYFUNCTION("""COMPUTED_VALUE"""),648.71)</f>
        <v>648.71</v>
      </c>
      <c r="E606" s="2">
        <f>IFERROR(__xludf.DUMMYFUNCTION("""COMPUTED_VALUE"""),659.17)</f>
        <v>659.17</v>
      </c>
      <c r="F606" s="2">
        <f>IFERROR(__xludf.DUMMYFUNCTION("""COMPUTED_VALUE"""),6555300.0)</f>
        <v>6555300</v>
      </c>
      <c r="G606" s="2">
        <f t="shared" si="1"/>
        <v>26.16</v>
      </c>
    </row>
    <row r="607" ht="15.75" customHeight="1">
      <c r="A607" s="1">
        <f>IFERROR(__xludf.DUMMYFUNCTION("""COMPUTED_VALUE"""),44754.66666666667)</f>
        <v>44754.66667</v>
      </c>
      <c r="B607" s="2">
        <f>IFERROR(__xludf.DUMMYFUNCTION("""COMPUTED_VALUE"""),659.17)</f>
        <v>659.17</v>
      </c>
      <c r="C607" s="2">
        <f>IFERROR(__xludf.DUMMYFUNCTION("""COMPUTED_VALUE"""),821.35)</f>
        <v>821.35</v>
      </c>
      <c r="D607" s="2">
        <f>IFERROR(__xludf.DUMMYFUNCTION("""COMPUTED_VALUE"""),659.17)</f>
        <v>659.17</v>
      </c>
      <c r="E607" s="2">
        <f>IFERROR(__xludf.DUMMYFUNCTION("""COMPUTED_VALUE"""),821.35)</f>
        <v>821.35</v>
      </c>
      <c r="F607" s="2">
        <f>IFERROR(__xludf.DUMMYFUNCTION("""COMPUTED_VALUE"""),1.124726E8)</f>
        <v>112472600</v>
      </c>
      <c r="G607" s="2">
        <f t="shared" si="1"/>
        <v>162.18</v>
      </c>
    </row>
    <row r="608" ht="15.75" customHeight="1">
      <c r="A608" s="1">
        <f>IFERROR(__xludf.DUMMYFUNCTION("""COMPUTED_VALUE"""),44755.66666666667)</f>
        <v>44755.66667</v>
      </c>
      <c r="B608" s="2">
        <f>IFERROR(__xludf.DUMMYFUNCTION("""COMPUTED_VALUE"""),905.05)</f>
        <v>905.05</v>
      </c>
      <c r="C608" s="2">
        <f>IFERROR(__xludf.DUMMYFUNCTION("""COMPUTED_VALUE"""),905.05)</f>
        <v>905.05</v>
      </c>
      <c r="D608" s="2">
        <f>IFERROR(__xludf.DUMMYFUNCTION("""COMPUTED_VALUE"""),769.03)</f>
        <v>769.03</v>
      </c>
      <c r="E608" s="2">
        <f>IFERROR(__xludf.DUMMYFUNCTION("""COMPUTED_VALUE"""),769.03)</f>
        <v>769.03</v>
      </c>
      <c r="F608" s="2">
        <f>IFERROR(__xludf.DUMMYFUNCTION("""COMPUTED_VALUE"""),7.42302E7)</f>
        <v>74230200</v>
      </c>
      <c r="G608" s="2">
        <f t="shared" si="1"/>
        <v>136.02</v>
      </c>
    </row>
    <row r="609" ht="15.75" customHeight="1">
      <c r="A609" s="1">
        <f>IFERROR(__xludf.DUMMYFUNCTION("""COMPUTED_VALUE"""),44756.66666666667)</f>
        <v>44756.66667</v>
      </c>
      <c r="B609" s="2">
        <f>IFERROR(__xludf.DUMMYFUNCTION("""COMPUTED_VALUE"""),763.8)</f>
        <v>763.8</v>
      </c>
      <c r="C609" s="2">
        <f>IFERROR(__xludf.DUMMYFUNCTION("""COMPUTED_VALUE"""),784.73)</f>
        <v>784.73</v>
      </c>
      <c r="D609" s="2">
        <f>IFERROR(__xludf.DUMMYFUNCTION("""COMPUTED_VALUE"""),716.72)</f>
        <v>716.72</v>
      </c>
      <c r="E609" s="2">
        <f>IFERROR(__xludf.DUMMYFUNCTION("""COMPUTED_VALUE"""),732.41)</f>
        <v>732.41</v>
      </c>
      <c r="F609" s="2">
        <f>IFERROR(__xludf.DUMMYFUNCTION("""COMPUTED_VALUE"""),8.15453E7)</f>
        <v>81545300</v>
      </c>
      <c r="G609" s="2">
        <f t="shared" si="1"/>
        <v>68.01</v>
      </c>
    </row>
    <row r="610" ht="15.75" customHeight="1">
      <c r="A610" s="1">
        <f>IFERROR(__xludf.DUMMYFUNCTION("""COMPUTED_VALUE"""),44757.66666666667)</f>
        <v>44757.66667</v>
      </c>
      <c r="B610" s="2">
        <f>IFERROR(__xludf.DUMMYFUNCTION("""COMPUTED_VALUE"""),732.41)</f>
        <v>732.41</v>
      </c>
      <c r="C610" s="2">
        <f>IFERROR(__xludf.DUMMYFUNCTION("""COMPUTED_VALUE"""),795.19)</f>
        <v>795.19</v>
      </c>
      <c r="D610" s="2">
        <f>IFERROR(__xludf.DUMMYFUNCTION("""COMPUTED_VALUE"""),727.18)</f>
        <v>727.18</v>
      </c>
      <c r="E610" s="2">
        <f>IFERROR(__xludf.DUMMYFUNCTION("""COMPUTED_VALUE"""),774.26)</f>
        <v>774.26</v>
      </c>
      <c r="F610" s="2">
        <f>IFERROR(__xludf.DUMMYFUNCTION("""COMPUTED_VALUE"""),6.1276E7)</f>
        <v>61276000</v>
      </c>
      <c r="G610" s="2">
        <f t="shared" si="1"/>
        <v>68.01</v>
      </c>
    </row>
    <row r="611" ht="15.75" customHeight="1">
      <c r="A611" s="1">
        <f>IFERROR(__xludf.DUMMYFUNCTION("""COMPUTED_VALUE"""),44760.66666666667)</f>
        <v>44760.66667</v>
      </c>
      <c r="B611" s="2">
        <f>IFERROR(__xludf.DUMMYFUNCTION("""COMPUTED_VALUE"""),784.73)</f>
        <v>784.73</v>
      </c>
      <c r="C611" s="2">
        <f>IFERROR(__xludf.DUMMYFUNCTION("""COMPUTED_VALUE"""),800.42)</f>
        <v>800.42</v>
      </c>
      <c r="D611" s="2">
        <f>IFERROR(__xludf.DUMMYFUNCTION("""COMPUTED_VALUE"""),753.34)</f>
        <v>753.34</v>
      </c>
      <c r="E611" s="2">
        <f>IFERROR(__xludf.DUMMYFUNCTION("""COMPUTED_VALUE"""),753.34)</f>
        <v>753.34</v>
      </c>
      <c r="F611" s="2">
        <f>IFERROR(__xludf.DUMMYFUNCTION("""COMPUTED_VALUE"""),1.190156E8)</f>
        <v>119015600</v>
      </c>
      <c r="G611" s="2">
        <f t="shared" si="1"/>
        <v>47.08</v>
      </c>
    </row>
    <row r="612" ht="15.75" customHeight="1">
      <c r="A612" s="1">
        <f>IFERROR(__xludf.DUMMYFUNCTION("""COMPUTED_VALUE"""),44761.66666666667)</f>
        <v>44761.66667</v>
      </c>
      <c r="B612" s="2">
        <f>IFERROR(__xludf.DUMMYFUNCTION("""COMPUTED_VALUE"""),758.57)</f>
        <v>758.57</v>
      </c>
      <c r="C612" s="2">
        <f>IFERROR(__xludf.DUMMYFUNCTION("""COMPUTED_VALUE"""),769.03)</f>
        <v>769.03</v>
      </c>
      <c r="D612" s="2">
        <f>IFERROR(__xludf.DUMMYFUNCTION("""COMPUTED_VALUE"""),732.41)</f>
        <v>732.41</v>
      </c>
      <c r="E612" s="2">
        <f>IFERROR(__xludf.DUMMYFUNCTION("""COMPUTED_VALUE"""),742.88)</f>
        <v>742.88</v>
      </c>
      <c r="F612" s="2">
        <f>IFERROR(__xludf.DUMMYFUNCTION("""COMPUTED_VALUE"""),4.52591E7)</f>
        <v>45259100</v>
      </c>
      <c r="G612" s="2">
        <f t="shared" si="1"/>
        <v>36.62</v>
      </c>
    </row>
    <row r="613" ht="15.75" customHeight="1">
      <c r="A613" s="1">
        <f>IFERROR(__xludf.DUMMYFUNCTION("""COMPUTED_VALUE"""),44762.66666666667)</f>
        <v>44762.66667</v>
      </c>
      <c r="B613" s="2">
        <f>IFERROR(__xludf.DUMMYFUNCTION("""COMPUTED_VALUE"""),742.88)</f>
        <v>742.88</v>
      </c>
      <c r="C613" s="2">
        <f>IFERROR(__xludf.DUMMYFUNCTION("""COMPUTED_VALUE"""),784.73)</f>
        <v>784.73</v>
      </c>
      <c r="D613" s="2">
        <f>IFERROR(__xludf.DUMMYFUNCTION("""COMPUTED_VALUE"""),742.88)</f>
        <v>742.88</v>
      </c>
      <c r="E613" s="2">
        <f>IFERROR(__xludf.DUMMYFUNCTION("""COMPUTED_VALUE"""),763.8)</f>
        <v>763.8</v>
      </c>
      <c r="F613" s="2">
        <f>IFERROR(__xludf.DUMMYFUNCTION("""COMPUTED_VALUE"""),4.33331E7)</f>
        <v>43333100</v>
      </c>
      <c r="G613" s="2">
        <f t="shared" si="1"/>
        <v>41.85</v>
      </c>
    </row>
    <row r="614" ht="15.75" customHeight="1">
      <c r="A614" s="1">
        <f>IFERROR(__xludf.DUMMYFUNCTION("""COMPUTED_VALUE"""),44763.66666666667)</f>
        <v>44763.66667</v>
      </c>
      <c r="B614" s="2">
        <f>IFERROR(__xludf.DUMMYFUNCTION("""COMPUTED_VALUE"""),769.03)</f>
        <v>769.03</v>
      </c>
      <c r="C614" s="2">
        <f>IFERROR(__xludf.DUMMYFUNCTION("""COMPUTED_VALUE"""),816.12)</f>
        <v>816.12</v>
      </c>
      <c r="D614" s="2">
        <f>IFERROR(__xludf.DUMMYFUNCTION("""COMPUTED_VALUE"""),763.8)</f>
        <v>763.8</v>
      </c>
      <c r="E614" s="2">
        <f>IFERROR(__xludf.DUMMYFUNCTION("""COMPUTED_VALUE"""),779.5)</f>
        <v>779.5</v>
      </c>
      <c r="F614" s="2">
        <f>IFERROR(__xludf.DUMMYFUNCTION("""COMPUTED_VALUE"""),1.012892E8)</f>
        <v>101289200</v>
      </c>
      <c r="G614" s="2">
        <f t="shared" si="1"/>
        <v>52.32</v>
      </c>
    </row>
    <row r="615" ht="15.75" customHeight="1">
      <c r="A615" s="1">
        <f>IFERROR(__xludf.DUMMYFUNCTION("""COMPUTED_VALUE"""),44764.66666666667)</f>
        <v>44764.66667</v>
      </c>
      <c r="B615" s="2">
        <f>IFERROR(__xludf.DUMMYFUNCTION("""COMPUTED_VALUE"""),784.73)</f>
        <v>784.73</v>
      </c>
      <c r="C615" s="2">
        <f>IFERROR(__xludf.DUMMYFUNCTION("""COMPUTED_VALUE"""),784.73)</f>
        <v>784.73</v>
      </c>
      <c r="D615" s="2">
        <f>IFERROR(__xludf.DUMMYFUNCTION("""COMPUTED_VALUE"""),758.57)</f>
        <v>758.57</v>
      </c>
      <c r="E615" s="2">
        <f>IFERROR(__xludf.DUMMYFUNCTION("""COMPUTED_VALUE"""),758.57)</f>
        <v>758.57</v>
      </c>
      <c r="F615" s="2">
        <f>IFERROR(__xludf.DUMMYFUNCTION("""COMPUTED_VALUE"""),2.797E7)</f>
        <v>27970000</v>
      </c>
      <c r="G615" s="2">
        <f t="shared" si="1"/>
        <v>26.16</v>
      </c>
    </row>
    <row r="616" ht="15.75" customHeight="1">
      <c r="A616" s="1">
        <f>IFERROR(__xludf.DUMMYFUNCTION("""COMPUTED_VALUE"""),44767.66666666667)</f>
        <v>44767.66667</v>
      </c>
      <c r="B616" s="2">
        <f>IFERROR(__xludf.DUMMYFUNCTION("""COMPUTED_VALUE"""),763.8)</f>
        <v>763.8</v>
      </c>
      <c r="C616" s="2">
        <f>IFERROR(__xludf.DUMMYFUNCTION("""COMPUTED_VALUE"""),816.12)</f>
        <v>816.12</v>
      </c>
      <c r="D616" s="2">
        <f>IFERROR(__xludf.DUMMYFUNCTION("""COMPUTED_VALUE"""),758.57)</f>
        <v>758.57</v>
      </c>
      <c r="E616" s="2">
        <f>IFERROR(__xludf.DUMMYFUNCTION("""COMPUTED_VALUE"""),758.57)</f>
        <v>758.57</v>
      </c>
      <c r="F616" s="2">
        <f>IFERROR(__xludf.DUMMYFUNCTION("""COMPUTED_VALUE"""),3.7955E7)</f>
        <v>37955000</v>
      </c>
      <c r="G616" s="2">
        <f t="shared" si="1"/>
        <v>57.55</v>
      </c>
    </row>
    <row r="617" ht="15.75" customHeight="1">
      <c r="A617" s="1">
        <f>IFERROR(__xludf.DUMMYFUNCTION("""COMPUTED_VALUE"""),44768.66666666667)</f>
        <v>44768.66667</v>
      </c>
      <c r="B617" s="2">
        <f>IFERROR(__xludf.DUMMYFUNCTION("""COMPUTED_VALUE"""),763.8)</f>
        <v>763.8</v>
      </c>
      <c r="C617" s="2">
        <f>IFERROR(__xludf.DUMMYFUNCTION("""COMPUTED_VALUE"""),789.96)</f>
        <v>789.96</v>
      </c>
      <c r="D617" s="2">
        <f>IFERROR(__xludf.DUMMYFUNCTION("""COMPUTED_VALUE"""),763.8)</f>
        <v>763.8</v>
      </c>
      <c r="E617" s="2">
        <f>IFERROR(__xludf.DUMMYFUNCTION("""COMPUTED_VALUE"""),769.03)</f>
        <v>769.03</v>
      </c>
      <c r="F617" s="2">
        <f>IFERROR(__xludf.DUMMYFUNCTION("""COMPUTED_VALUE"""),4.40155E7)</f>
        <v>44015500</v>
      </c>
      <c r="G617" s="2">
        <f t="shared" si="1"/>
        <v>31.39</v>
      </c>
    </row>
    <row r="618" ht="15.75" customHeight="1">
      <c r="A618" s="1">
        <f>IFERROR(__xludf.DUMMYFUNCTION("""COMPUTED_VALUE"""),44769.66666666667)</f>
        <v>44769.66667</v>
      </c>
      <c r="B618" s="2">
        <f>IFERROR(__xludf.DUMMYFUNCTION("""COMPUTED_VALUE"""),769.03)</f>
        <v>769.03</v>
      </c>
      <c r="C618" s="2">
        <f>IFERROR(__xludf.DUMMYFUNCTION("""COMPUTED_VALUE"""),889.36)</f>
        <v>889.36</v>
      </c>
      <c r="D618" s="2">
        <f>IFERROR(__xludf.DUMMYFUNCTION("""COMPUTED_VALUE"""),769.03)</f>
        <v>769.03</v>
      </c>
      <c r="E618" s="2">
        <f>IFERROR(__xludf.DUMMYFUNCTION("""COMPUTED_VALUE"""),852.74)</f>
        <v>852.74</v>
      </c>
      <c r="F618" s="2">
        <f>IFERROR(__xludf.DUMMYFUNCTION("""COMPUTED_VALUE"""),2.112819E8)</f>
        <v>211281900</v>
      </c>
      <c r="G618" s="2">
        <f t="shared" si="1"/>
        <v>120.33</v>
      </c>
    </row>
    <row r="619" ht="15.75" customHeight="1">
      <c r="A619" s="1">
        <f>IFERROR(__xludf.DUMMYFUNCTION("""COMPUTED_VALUE"""),44770.66666666667)</f>
        <v>44770.66667</v>
      </c>
      <c r="B619" s="2">
        <f>IFERROR(__xludf.DUMMYFUNCTION("""COMPUTED_VALUE"""),889.36)</f>
        <v>889.36</v>
      </c>
      <c r="C619" s="2">
        <f>IFERROR(__xludf.DUMMYFUNCTION("""COMPUTED_VALUE"""),889.36)</f>
        <v>889.36</v>
      </c>
      <c r="D619" s="2">
        <f>IFERROR(__xludf.DUMMYFUNCTION("""COMPUTED_VALUE"""),842.27)</f>
        <v>842.27</v>
      </c>
      <c r="E619" s="2">
        <f>IFERROR(__xludf.DUMMYFUNCTION("""COMPUTED_VALUE"""),857.97)</f>
        <v>857.97</v>
      </c>
      <c r="F619" s="2">
        <f>IFERROR(__xludf.DUMMYFUNCTION("""COMPUTED_VALUE"""),6.8934E7)</f>
        <v>68934000</v>
      </c>
      <c r="G619" s="2">
        <f t="shared" si="1"/>
        <v>47.09</v>
      </c>
    </row>
    <row r="620" ht="15.75" customHeight="1">
      <c r="A620" s="1">
        <f>IFERROR(__xludf.DUMMYFUNCTION("""COMPUTED_VALUE"""),44771.66666666667)</f>
        <v>44771.66667</v>
      </c>
      <c r="B620" s="2">
        <f>IFERROR(__xludf.DUMMYFUNCTION("""COMPUTED_VALUE"""),863.2)</f>
        <v>863.2</v>
      </c>
      <c r="C620" s="2">
        <f>IFERROR(__xludf.DUMMYFUNCTION("""COMPUTED_VALUE"""),931.21)</f>
        <v>931.21</v>
      </c>
      <c r="D620" s="2">
        <f>IFERROR(__xludf.DUMMYFUNCTION("""COMPUTED_VALUE"""),852.74)</f>
        <v>852.74</v>
      </c>
      <c r="E620" s="2">
        <f>IFERROR(__xludf.DUMMYFUNCTION("""COMPUTED_VALUE"""),884.13)</f>
        <v>884.13</v>
      </c>
      <c r="F620" s="2">
        <f>IFERROR(__xludf.DUMMYFUNCTION("""COMPUTED_VALUE"""),1.202691E8)</f>
        <v>120269100</v>
      </c>
      <c r="G620" s="2">
        <f t="shared" si="1"/>
        <v>78.47</v>
      </c>
    </row>
    <row r="621" ht="15.75" customHeight="1">
      <c r="A621" s="1">
        <f>IFERROR(__xludf.DUMMYFUNCTION("""COMPUTED_VALUE"""),44774.66666666667)</f>
        <v>44774.66667</v>
      </c>
      <c r="B621" s="2">
        <f>IFERROR(__xludf.DUMMYFUNCTION("""COMPUTED_VALUE"""),889.36)</f>
        <v>889.36</v>
      </c>
      <c r="C621" s="2">
        <f>IFERROR(__xludf.DUMMYFUNCTION("""COMPUTED_VALUE"""),915.52)</f>
        <v>915.52</v>
      </c>
      <c r="D621" s="2">
        <f>IFERROR(__xludf.DUMMYFUNCTION("""COMPUTED_VALUE"""),857.97)</f>
        <v>857.97</v>
      </c>
      <c r="E621" s="2">
        <f>IFERROR(__xludf.DUMMYFUNCTION("""COMPUTED_VALUE"""),873.66)</f>
        <v>873.66</v>
      </c>
      <c r="F621" s="2">
        <f>IFERROR(__xludf.DUMMYFUNCTION("""COMPUTED_VALUE"""),4.50454E7)</f>
        <v>45045400</v>
      </c>
      <c r="G621" s="2">
        <f t="shared" si="1"/>
        <v>57.55</v>
      </c>
    </row>
    <row r="622" ht="15.75" customHeight="1">
      <c r="A622" s="1">
        <f>IFERROR(__xludf.DUMMYFUNCTION("""COMPUTED_VALUE"""),44775.66666666667)</f>
        <v>44775.66667</v>
      </c>
      <c r="B622" s="2">
        <f>IFERROR(__xludf.DUMMYFUNCTION("""COMPUTED_VALUE"""),878.9)</f>
        <v>878.9</v>
      </c>
      <c r="C622" s="2">
        <f>IFERROR(__xludf.DUMMYFUNCTION("""COMPUTED_VALUE"""),878.9)</f>
        <v>878.9</v>
      </c>
      <c r="D622" s="2">
        <f>IFERROR(__xludf.DUMMYFUNCTION("""COMPUTED_VALUE"""),837.04)</f>
        <v>837.04</v>
      </c>
      <c r="E622" s="2">
        <f>IFERROR(__xludf.DUMMYFUNCTION("""COMPUTED_VALUE"""),852.74)</f>
        <v>852.74</v>
      </c>
      <c r="F622" s="2">
        <f>IFERROR(__xludf.DUMMYFUNCTION("""COMPUTED_VALUE"""),3.40535E7)</f>
        <v>34053500</v>
      </c>
      <c r="G622" s="2">
        <f t="shared" si="1"/>
        <v>41.86</v>
      </c>
    </row>
    <row r="623" ht="15.75" customHeight="1">
      <c r="A623" s="1">
        <f>IFERROR(__xludf.DUMMYFUNCTION("""COMPUTED_VALUE"""),44776.66666666667)</f>
        <v>44776.66667</v>
      </c>
      <c r="B623" s="2">
        <f>IFERROR(__xludf.DUMMYFUNCTION("""COMPUTED_VALUE"""),847.51)</f>
        <v>847.51</v>
      </c>
      <c r="C623" s="2">
        <f>IFERROR(__xludf.DUMMYFUNCTION("""COMPUTED_VALUE"""),873.66)</f>
        <v>873.66</v>
      </c>
      <c r="D623" s="2">
        <f>IFERROR(__xludf.DUMMYFUNCTION("""COMPUTED_VALUE"""),847.51)</f>
        <v>847.51</v>
      </c>
      <c r="E623" s="2">
        <f>IFERROR(__xludf.DUMMYFUNCTION("""COMPUTED_VALUE"""),852.74)</f>
        <v>852.74</v>
      </c>
      <c r="F623" s="2">
        <f>IFERROR(__xludf.DUMMYFUNCTION("""COMPUTED_VALUE"""),2.50226E7)</f>
        <v>25022600</v>
      </c>
      <c r="G623" s="2">
        <f t="shared" si="1"/>
        <v>26.15</v>
      </c>
    </row>
    <row r="624" ht="15.75" customHeight="1">
      <c r="A624" s="1">
        <f>IFERROR(__xludf.DUMMYFUNCTION("""COMPUTED_VALUE"""),44777.66666666667)</f>
        <v>44777.66667</v>
      </c>
      <c r="B624" s="2">
        <f>IFERROR(__xludf.DUMMYFUNCTION("""COMPUTED_VALUE"""),863.2)</f>
        <v>863.2</v>
      </c>
      <c r="C624" s="2">
        <f>IFERROR(__xludf.DUMMYFUNCTION("""COMPUTED_VALUE"""),936.44)</f>
        <v>936.44</v>
      </c>
      <c r="D624" s="2">
        <f>IFERROR(__xludf.DUMMYFUNCTION("""COMPUTED_VALUE"""),857.97)</f>
        <v>857.97</v>
      </c>
      <c r="E624" s="2">
        <f>IFERROR(__xludf.DUMMYFUNCTION("""COMPUTED_VALUE"""),889.36)</f>
        <v>889.36</v>
      </c>
      <c r="F624" s="2">
        <f>IFERROR(__xludf.DUMMYFUNCTION("""COMPUTED_VALUE"""),1.73265E8)</f>
        <v>173265000</v>
      </c>
      <c r="G624" s="2">
        <f t="shared" si="1"/>
        <v>83.7</v>
      </c>
    </row>
    <row r="625" ht="15.75" customHeight="1">
      <c r="A625" s="1">
        <f>IFERROR(__xludf.DUMMYFUNCTION("""COMPUTED_VALUE"""),44778.66666666667)</f>
        <v>44778.66667</v>
      </c>
      <c r="B625" s="2">
        <f>IFERROR(__xludf.DUMMYFUNCTION("""COMPUTED_VALUE"""),894.59)</f>
        <v>894.59</v>
      </c>
      <c r="C625" s="2">
        <f>IFERROR(__xludf.DUMMYFUNCTION("""COMPUTED_VALUE"""),899.82)</f>
        <v>899.82</v>
      </c>
      <c r="D625" s="2">
        <f>IFERROR(__xludf.DUMMYFUNCTION("""COMPUTED_VALUE"""),873.66)</f>
        <v>873.66</v>
      </c>
      <c r="E625" s="2">
        <f>IFERROR(__xludf.DUMMYFUNCTION("""COMPUTED_VALUE"""),894.59)</f>
        <v>894.59</v>
      </c>
      <c r="F625" s="2">
        <f>IFERROR(__xludf.DUMMYFUNCTION("""COMPUTED_VALUE"""),4.79342E7)</f>
        <v>47934200</v>
      </c>
      <c r="G625" s="2">
        <f t="shared" si="1"/>
        <v>26.16</v>
      </c>
    </row>
    <row r="626" ht="15.75" customHeight="1">
      <c r="A626" s="1">
        <f>IFERROR(__xludf.DUMMYFUNCTION("""COMPUTED_VALUE"""),44781.66666666667)</f>
        <v>44781.66667</v>
      </c>
      <c r="B626" s="2">
        <f>IFERROR(__xludf.DUMMYFUNCTION("""COMPUTED_VALUE"""),894.59)</f>
        <v>894.59</v>
      </c>
      <c r="C626" s="2">
        <f>IFERROR(__xludf.DUMMYFUNCTION("""COMPUTED_VALUE"""),905.05)</f>
        <v>905.05</v>
      </c>
      <c r="D626" s="2">
        <f>IFERROR(__xludf.DUMMYFUNCTION("""COMPUTED_VALUE"""),873.66)</f>
        <v>873.66</v>
      </c>
      <c r="E626" s="2">
        <f>IFERROR(__xludf.DUMMYFUNCTION("""COMPUTED_VALUE"""),889.36)</f>
        <v>889.36</v>
      </c>
      <c r="F626" s="2">
        <f>IFERROR(__xludf.DUMMYFUNCTION("""COMPUTED_VALUE"""),3.01791E7)</f>
        <v>30179100</v>
      </c>
      <c r="G626" s="2">
        <f t="shared" si="1"/>
        <v>31.39</v>
      </c>
    </row>
    <row r="627" ht="15.75" customHeight="1">
      <c r="A627" s="1">
        <f>IFERROR(__xludf.DUMMYFUNCTION("""COMPUTED_VALUE"""),44782.66666666667)</f>
        <v>44782.66667</v>
      </c>
      <c r="B627" s="2">
        <f>IFERROR(__xludf.DUMMYFUNCTION("""COMPUTED_VALUE"""),889.36)</f>
        <v>889.36</v>
      </c>
      <c r="C627" s="2">
        <f>IFERROR(__xludf.DUMMYFUNCTION("""COMPUTED_VALUE"""),931.21)</f>
        <v>931.21</v>
      </c>
      <c r="D627" s="2">
        <f>IFERROR(__xludf.DUMMYFUNCTION("""COMPUTED_VALUE"""),889.36)</f>
        <v>889.36</v>
      </c>
      <c r="E627" s="2">
        <f>IFERROR(__xludf.DUMMYFUNCTION("""COMPUTED_VALUE"""),899.82)</f>
        <v>899.82</v>
      </c>
      <c r="F627" s="2">
        <f>IFERROR(__xludf.DUMMYFUNCTION("""COMPUTED_VALUE"""),7.82463E7)</f>
        <v>78246300</v>
      </c>
      <c r="G627" s="2">
        <f t="shared" si="1"/>
        <v>41.85</v>
      </c>
    </row>
    <row r="628" ht="15.75" customHeight="1">
      <c r="A628" s="1">
        <f>IFERROR(__xludf.DUMMYFUNCTION("""COMPUTED_VALUE"""),44783.66666666667)</f>
        <v>44783.66667</v>
      </c>
      <c r="B628" s="2">
        <f>IFERROR(__xludf.DUMMYFUNCTION("""COMPUTED_VALUE"""),899.82)</f>
        <v>899.82</v>
      </c>
      <c r="C628" s="2">
        <f>IFERROR(__xludf.DUMMYFUNCTION("""COMPUTED_VALUE"""),905.05)</f>
        <v>905.05</v>
      </c>
      <c r="D628" s="2">
        <f>IFERROR(__xludf.DUMMYFUNCTION("""COMPUTED_VALUE"""),878.9)</f>
        <v>878.9</v>
      </c>
      <c r="E628" s="2">
        <f>IFERROR(__xludf.DUMMYFUNCTION("""COMPUTED_VALUE"""),884.13)</f>
        <v>884.13</v>
      </c>
      <c r="F628" s="2">
        <f>IFERROR(__xludf.DUMMYFUNCTION("""COMPUTED_VALUE"""),2.38995E7)</f>
        <v>23899500</v>
      </c>
      <c r="G628" s="2">
        <f t="shared" si="1"/>
        <v>26.15</v>
      </c>
    </row>
    <row r="629" ht="15.75" customHeight="1">
      <c r="A629" s="1">
        <f>IFERROR(__xludf.DUMMYFUNCTION("""COMPUTED_VALUE"""),44784.66666666667)</f>
        <v>44784.66667</v>
      </c>
      <c r="B629" s="2">
        <f>IFERROR(__xludf.DUMMYFUNCTION("""COMPUTED_VALUE"""),894.59)</f>
        <v>894.59</v>
      </c>
      <c r="C629" s="2">
        <f>IFERROR(__xludf.DUMMYFUNCTION("""COMPUTED_VALUE"""),915.52)</f>
        <v>915.52</v>
      </c>
      <c r="D629" s="2">
        <f>IFERROR(__xludf.DUMMYFUNCTION("""COMPUTED_VALUE"""),878.9)</f>
        <v>878.9</v>
      </c>
      <c r="E629" s="2">
        <f>IFERROR(__xludf.DUMMYFUNCTION("""COMPUTED_VALUE"""),878.9)</f>
        <v>878.9</v>
      </c>
      <c r="F629" s="2">
        <f>IFERROR(__xludf.DUMMYFUNCTION("""COMPUTED_VALUE"""),5.53002E7)</f>
        <v>55300200</v>
      </c>
      <c r="G629" s="2">
        <f t="shared" si="1"/>
        <v>36.62</v>
      </c>
    </row>
    <row r="630" ht="15.75" customHeight="1">
      <c r="A630" s="1">
        <f>IFERROR(__xludf.DUMMYFUNCTION("""COMPUTED_VALUE"""),44785.66666666667)</f>
        <v>44785.66667</v>
      </c>
      <c r="B630" s="2">
        <f>IFERROR(__xludf.DUMMYFUNCTION("""COMPUTED_VALUE"""),884.13)</f>
        <v>884.13</v>
      </c>
      <c r="C630" s="2">
        <f>IFERROR(__xludf.DUMMYFUNCTION("""COMPUTED_VALUE"""),889.36)</f>
        <v>889.36</v>
      </c>
      <c r="D630" s="2">
        <f>IFERROR(__xludf.DUMMYFUNCTION("""COMPUTED_VALUE"""),863.2)</f>
        <v>863.2</v>
      </c>
      <c r="E630" s="2">
        <f>IFERROR(__xludf.DUMMYFUNCTION("""COMPUTED_VALUE"""),868.43)</f>
        <v>868.43</v>
      </c>
      <c r="F630" s="2">
        <f>IFERROR(__xludf.DUMMYFUNCTION("""COMPUTED_VALUE"""),2.94515E7)</f>
        <v>29451500</v>
      </c>
      <c r="G630" s="2">
        <f t="shared" si="1"/>
        <v>26.16</v>
      </c>
    </row>
    <row r="631" ht="15.75" customHeight="1">
      <c r="A631" s="1">
        <f>IFERROR(__xludf.DUMMYFUNCTION("""COMPUTED_VALUE"""),44788.66666666667)</f>
        <v>44788.66667</v>
      </c>
      <c r="B631" s="2">
        <f>IFERROR(__xludf.DUMMYFUNCTION("""COMPUTED_VALUE"""),878.9)</f>
        <v>878.9</v>
      </c>
      <c r="C631" s="2">
        <f>IFERROR(__xludf.DUMMYFUNCTION("""COMPUTED_VALUE"""),878.9)</f>
        <v>878.9</v>
      </c>
      <c r="D631" s="2">
        <f>IFERROR(__xludf.DUMMYFUNCTION("""COMPUTED_VALUE"""),847.51)</f>
        <v>847.51</v>
      </c>
      <c r="E631" s="2">
        <f>IFERROR(__xludf.DUMMYFUNCTION("""COMPUTED_VALUE"""),852.74)</f>
        <v>852.74</v>
      </c>
      <c r="F631" s="2">
        <f>IFERROR(__xludf.DUMMYFUNCTION("""COMPUTED_VALUE"""),2.37475E7)</f>
        <v>23747500</v>
      </c>
      <c r="G631" s="2">
        <f t="shared" si="1"/>
        <v>31.39</v>
      </c>
    </row>
    <row r="632" ht="15.75" customHeight="1">
      <c r="A632" s="1">
        <f>IFERROR(__xludf.DUMMYFUNCTION("""COMPUTED_VALUE"""),44789.66666666667)</f>
        <v>44789.66667</v>
      </c>
      <c r="B632" s="2">
        <f>IFERROR(__xludf.DUMMYFUNCTION("""COMPUTED_VALUE"""),852.74)</f>
        <v>852.74</v>
      </c>
      <c r="C632" s="2">
        <f>IFERROR(__xludf.DUMMYFUNCTION("""COMPUTED_VALUE"""),863.2)</f>
        <v>863.2</v>
      </c>
      <c r="D632" s="2">
        <f>IFERROR(__xludf.DUMMYFUNCTION("""COMPUTED_VALUE"""),795.19)</f>
        <v>795.19</v>
      </c>
      <c r="E632" s="2">
        <f>IFERROR(__xludf.DUMMYFUNCTION("""COMPUTED_VALUE"""),795.19)</f>
        <v>795.19</v>
      </c>
      <c r="F632" s="2">
        <f>IFERROR(__xludf.DUMMYFUNCTION("""COMPUTED_VALUE"""),8.14947E7)</f>
        <v>81494700</v>
      </c>
      <c r="G632" s="2">
        <f t="shared" si="1"/>
        <v>68.01</v>
      </c>
    </row>
    <row r="633" ht="15.75" customHeight="1">
      <c r="A633" s="1">
        <f>IFERROR(__xludf.DUMMYFUNCTION("""COMPUTED_VALUE"""),44791.66666666667)</f>
        <v>44791.66667</v>
      </c>
      <c r="B633" s="2">
        <f>IFERROR(__xludf.DUMMYFUNCTION("""COMPUTED_VALUE"""),795.19)</f>
        <v>795.19</v>
      </c>
      <c r="C633" s="2">
        <f>IFERROR(__xludf.DUMMYFUNCTION("""COMPUTED_VALUE"""),816.12)</f>
        <v>816.12</v>
      </c>
      <c r="D633" s="2">
        <f>IFERROR(__xludf.DUMMYFUNCTION("""COMPUTED_VALUE"""),753.34)</f>
        <v>753.34</v>
      </c>
      <c r="E633" s="2">
        <f>IFERROR(__xludf.DUMMYFUNCTION("""COMPUTED_VALUE"""),784.73)</f>
        <v>784.73</v>
      </c>
      <c r="F633" s="2">
        <f>IFERROR(__xludf.DUMMYFUNCTION("""COMPUTED_VALUE"""),4.32638E7)</f>
        <v>43263800</v>
      </c>
      <c r="G633" s="2">
        <f t="shared" si="1"/>
        <v>62.78</v>
      </c>
    </row>
    <row r="634" ht="15.75" customHeight="1">
      <c r="A634" s="1">
        <f>IFERROR(__xludf.DUMMYFUNCTION("""COMPUTED_VALUE"""),44792.66666666667)</f>
        <v>44792.66667</v>
      </c>
      <c r="B634" s="2">
        <f>IFERROR(__xludf.DUMMYFUNCTION("""COMPUTED_VALUE"""),789.96)</f>
        <v>789.96</v>
      </c>
      <c r="C634" s="2">
        <f>IFERROR(__xludf.DUMMYFUNCTION("""COMPUTED_VALUE"""),831.81)</f>
        <v>831.81</v>
      </c>
      <c r="D634" s="2">
        <f>IFERROR(__xludf.DUMMYFUNCTION("""COMPUTED_VALUE"""),784.73)</f>
        <v>784.73</v>
      </c>
      <c r="E634" s="2">
        <f>IFERROR(__xludf.DUMMYFUNCTION("""COMPUTED_VALUE"""),805.65)</f>
        <v>805.65</v>
      </c>
      <c r="F634" s="2">
        <f>IFERROR(__xludf.DUMMYFUNCTION("""COMPUTED_VALUE"""),3.79902E7)</f>
        <v>37990200</v>
      </c>
      <c r="G634" s="2">
        <f t="shared" si="1"/>
        <v>47.08</v>
      </c>
    </row>
    <row r="635" ht="15.75" customHeight="1">
      <c r="A635" s="1">
        <f>IFERROR(__xludf.DUMMYFUNCTION("""COMPUTED_VALUE"""),44795.66666666667)</f>
        <v>44795.66667</v>
      </c>
      <c r="B635" s="2">
        <f>IFERROR(__xludf.DUMMYFUNCTION("""COMPUTED_VALUE"""),800.42)</f>
        <v>800.42</v>
      </c>
      <c r="C635" s="2">
        <f>IFERROR(__xludf.DUMMYFUNCTION("""COMPUTED_VALUE"""),821.35)</f>
        <v>821.35</v>
      </c>
      <c r="D635" s="2">
        <f>IFERROR(__xludf.DUMMYFUNCTION("""COMPUTED_VALUE"""),758.57)</f>
        <v>758.57</v>
      </c>
      <c r="E635" s="2">
        <f>IFERROR(__xludf.DUMMYFUNCTION("""COMPUTED_VALUE"""),774.26)</f>
        <v>774.26</v>
      </c>
      <c r="F635" s="2">
        <f>IFERROR(__xludf.DUMMYFUNCTION("""COMPUTED_VALUE"""),3.03391E7)</f>
        <v>30339100</v>
      </c>
      <c r="G635" s="2">
        <f t="shared" si="1"/>
        <v>62.78</v>
      </c>
    </row>
    <row r="636" ht="15.75" customHeight="1">
      <c r="A636" s="1">
        <f>IFERROR(__xludf.DUMMYFUNCTION("""COMPUTED_VALUE"""),44796.66666666667)</f>
        <v>44796.66667</v>
      </c>
      <c r="B636" s="2">
        <f>IFERROR(__xludf.DUMMYFUNCTION("""COMPUTED_VALUE"""),763.8)</f>
        <v>763.8</v>
      </c>
      <c r="C636" s="2">
        <f>IFERROR(__xludf.DUMMYFUNCTION("""COMPUTED_VALUE"""),784.73)</f>
        <v>784.73</v>
      </c>
      <c r="D636" s="2">
        <f>IFERROR(__xludf.DUMMYFUNCTION("""COMPUTED_VALUE"""),753.34)</f>
        <v>753.34</v>
      </c>
      <c r="E636" s="2">
        <f>IFERROR(__xludf.DUMMYFUNCTION("""COMPUTED_VALUE"""),779.5)</f>
        <v>779.5</v>
      </c>
      <c r="F636" s="2">
        <f>IFERROR(__xludf.DUMMYFUNCTION("""COMPUTED_VALUE"""),1.21857E7)</f>
        <v>12185700</v>
      </c>
      <c r="G636" s="2">
        <f t="shared" si="1"/>
        <v>31.39</v>
      </c>
    </row>
    <row r="637" ht="15.75" customHeight="1">
      <c r="A637" s="1">
        <f>IFERROR(__xludf.DUMMYFUNCTION("""COMPUTED_VALUE"""),44797.66666666667)</f>
        <v>44797.66667</v>
      </c>
      <c r="B637" s="2">
        <f>IFERROR(__xludf.DUMMYFUNCTION("""COMPUTED_VALUE"""),784.73)</f>
        <v>784.73</v>
      </c>
      <c r="C637" s="2">
        <f>IFERROR(__xludf.DUMMYFUNCTION("""COMPUTED_VALUE"""),795.19)</f>
        <v>795.19</v>
      </c>
      <c r="D637" s="2">
        <f>IFERROR(__xludf.DUMMYFUNCTION("""COMPUTED_VALUE"""),763.8)</f>
        <v>763.8</v>
      </c>
      <c r="E637" s="2">
        <f>IFERROR(__xludf.DUMMYFUNCTION("""COMPUTED_VALUE"""),769.03)</f>
        <v>769.03</v>
      </c>
      <c r="F637" s="2">
        <f>IFERROR(__xludf.DUMMYFUNCTION("""COMPUTED_VALUE"""),1.45763E7)</f>
        <v>14576300</v>
      </c>
      <c r="G637" s="2">
        <f t="shared" si="1"/>
        <v>31.39</v>
      </c>
    </row>
    <row r="638" ht="15.75" customHeight="1">
      <c r="A638" s="1">
        <f>IFERROR(__xludf.DUMMYFUNCTION("""COMPUTED_VALUE"""),44798.66666666667)</f>
        <v>44798.66667</v>
      </c>
      <c r="B638" s="2">
        <f>IFERROR(__xludf.DUMMYFUNCTION("""COMPUTED_VALUE"""),769.03)</f>
        <v>769.03</v>
      </c>
      <c r="C638" s="2">
        <f>IFERROR(__xludf.DUMMYFUNCTION("""COMPUTED_VALUE"""),784.73)</f>
        <v>784.73</v>
      </c>
      <c r="D638" s="2">
        <f>IFERROR(__xludf.DUMMYFUNCTION("""COMPUTED_VALUE"""),758.57)</f>
        <v>758.57</v>
      </c>
      <c r="E638" s="2">
        <f>IFERROR(__xludf.DUMMYFUNCTION("""COMPUTED_VALUE"""),763.8)</f>
        <v>763.8</v>
      </c>
      <c r="F638" s="2">
        <f>IFERROR(__xludf.DUMMYFUNCTION("""COMPUTED_VALUE"""),1.27739E7)</f>
        <v>12773900</v>
      </c>
      <c r="G638" s="2">
        <f t="shared" si="1"/>
        <v>26.16</v>
      </c>
    </row>
    <row r="639" ht="15.75" customHeight="1">
      <c r="A639" s="1">
        <f>IFERROR(__xludf.DUMMYFUNCTION("""COMPUTED_VALUE"""),44799.66666666667)</f>
        <v>44799.66667</v>
      </c>
      <c r="B639" s="2">
        <f>IFERROR(__xludf.DUMMYFUNCTION("""COMPUTED_VALUE"""),769.03)</f>
        <v>769.03</v>
      </c>
      <c r="C639" s="2">
        <f>IFERROR(__xludf.DUMMYFUNCTION("""COMPUTED_VALUE"""),774.26)</f>
        <v>774.26</v>
      </c>
      <c r="D639" s="2">
        <f>IFERROR(__xludf.DUMMYFUNCTION("""COMPUTED_VALUE"""),742.88)</f>
        <v>742.88</v>
      </c>
      <c r="E639" s="2">
        <f>IFERROR(__xludf.DUMMYFUNCTION("""COMPUTED_VALUE"""),748.11)</f>
        <v>748.11</v>
      </c>
      <c r="F639" s="2">
        <f>IFERROR(__xludf.DUMMYFUNCTION("""COMPUTED_VALUE"""),2.42079E7)</f>
        <v>24207900</v>
      </c>
      <c r="G639" s="2">
        <f t="shared" si="1"/>
        <v>31.38</v>
      </c>
    </row>
    <row r="640" ht="15.75" customHeight="1">
      <c r="A640" s="1">
        <f>IFERROR(__xludf.DUMMYFUNCTION("""COMPUTED_VALUE"""),44802.66666666667)</f>
        <v>44802.66667</v>
      </c>
      <c r="B640" s="2">
        <f>IFERROR(__xludf.DUMMYFUNCTION("""COMPUTED_VALUE"""),732.41)</f>
        <v>732.41</v>
      </c>
      <c r="C640" s="2">
        <f>IFERROR(__xludf.DUMMYFUNCTION("""COMPUTED_VALUE"""),758.57)</f>
        <v>758.57</v>
      </c>
      <c r="D640" s="2">
        <f>IFERROR(__xludf.DUMMYFUNCTION("""COMPUTED_VALUE"""),727.18)</f>
        <v>727.18</v>
      </c>
      <c r="E640" s="2">
        <f>IFERROR(__xludf.DUMMYFUNCTION("""COMPUTED_VALUE"""),742.88)</f>
        <v>742.88</v>
      </c>
      <c r="F640" s="2">
        <f>IFERROR(__xludf.DUMMYFUNCTION("""COMPUTED_VALUE"""),1.6731E7)</f>
        <v>16731000</v>
      </c>
      <c r="G640" s="2">
        <f t="shared" si="1"/>
        <v>31.39</v>
      </c>
    </row>
    <row r="641" ht="15.75" customHeight="1">
      <c r="A641" s="1">
        <f>IFERROR(__xludf.DUMMYFUNCTION("""COMPUTED_VALUE"""),44803.66666666667)</f>
        <v>44803.66667</v>
      </c>
      <c r="B641" s="2">
        <f>IFERROR(__xludf.DUMMYFUNCTION("""COMPUTED_VALUE"""),753.34)</f>
        <v>753.34</v>
      </c>
      <c r="C641" s="2">
        <f>IFERROR(__xludf.DUMMYFUNCTION("""COMPUTED_VALUE"""),758.57)</f>
        <v>758.57</v>
      </c>
      <c r="D641" s="2">
        <f>IFERROR(__xludf.DUMMYFUNCTION("""COMPUTED_VALUE"""),742.88)</f>
        <v>742.88</v>
      </c>
      <c r="E641" s="2">
        <f>IFERROR(__xludf.DUMMYFUNCTION("""COMPUTED_VALUE"""),753.34)</f>
        <v>753.34</v>
      </c>
      <c r="F641" s="2">
        <f>IFERROR(__xludf.DUMMYFUNCTION("""COMPUTED_VALUE"""),8792700.0)</f>
        <v>8792700</v>
      </c>
      <c r="G641" s="2">
        <f t="shared" si="1"/>
        <v>15.69</v>
      </c>
    </row>
    <row r="642" ht="15.75" customHeight="1">
      <c r="A642" s="1">
        <f>IFERROR(__xludf.DUMMYFUNCTION("""COMPUTED_VALUE"""),44804.66666666667)</f>
        <v>44804.66667</v>
      </c>
      <c r="B642" s="2">
        <f>IFERROR(__xludf.DUMMYFUNCTION("""COMPUTED_VALUE"""),753.34)</f>
        <v>753.34</v>
      </c>
      <c r="C642" s="2">
        <f>IFERROR(__xludf.DUMMYFUNCTION("""COMPUTED_VALUE"""),758.57)</f>
        <v>758.57</v>
      </c>
      <c r="D642" s="2">
        <f>IFERROR(__xludf.DUMMYFUNCTION("""COMPUTED_VALUE"""),737.64)</f>
        <v>737.64</v>
      </c>
      <c r="E642" s="2">
        <f>IFERROR(__xludf.DUMMYFUNCTION("""COMPUTED_VALUE"""),737.64)</f>
        <v>737.64</v>
      </c>
      <c r="F642" s="2">
        <f>IFERROR(__xludf.DUMMYFUNCTION("""COMPUTED_VALUE"""),1.29492E7)</f>
        <v>12949200</v>
      </c>
      <c r="G642" s="2">
        <f t="shared" si="1"/>
        <v>20.93</v>
      </c>
    </row>
    <row r="643" ht="15.75" customHeight="1">
      <c r="A643" s="1">
        <f>IFERROR(__xludf.DUMMYFUNCTION("""COMPUTED_VALUE"""),44805.625)</f>
        <v>44805.625</v>
      </c>
      <c r="B643" s="2">
        <f>IFERROR(__xludf.DUMMYFUNCTION("""COMPUTED_VALUE"""),742.88)</f>
        <v>742.88</v>
      </c>
      <c r="C643" s="2">
        <f>IFERROR(__xludf.DUMMYFUNCTION("""COMPUTED_VALUE"""),748.11)</f>
        <v>748.11</v>
      </c>
      <c r="D643" s="2">
        <f>IFERROR(__xludf.DUMMYFUNCTION("""COMPUTED_VALUE"""),727.18)</f>
        <v>727.18</v>
      </c>
      <c r="E643" s="2">
        <f>IFERROR(__xludf.DUMMYFUNCTION("""COMPUTED_VALUE"""),732.41)</f>
        <v>732.41</v>
      </c>
      <c r="F643" s="2">
        <f>IFERROR(__xludf.DUMMYFUNCTION("""COMPUTED_VALUE"""),1.46464E7)</f>
        <v>14646400</v>
      </c>
      <c r="G643" s="2">
        <f t="shared" si="1"/>
        <v>20.93</v>
      </c>
    </row>
    <row r="644" ht="15.75" customHeight="1">
      <c r="A644" s="1">
        <f>IFERROR(__xludf.DUMMYFUNCTION("""COMPUTED_VALUE"""),44806.625)</f>
        <v>44806.625</v>
      </c>
      <c r="B644" s="2">
        <f>IFERROR(__xludf.DUMMYFUNCTION("""COMPUTED_VALUE"""),732.41)</f>
        <v>732.41</v>
      </c>
      <c r="C644" s="2">
        <f>IFERROR(__xludf.DUMMYFUNCTION("""COMPUTED_VALUE"""),748.11)</f>
        <v>748.11</v>
      </c>
      <c r="D644" s="2">
        <f>IFERROR(__xludf.DUMMYFUNCTION("""COMPUTED_VALUE"""),727.18)</f>
        <v>727.18</v>
      </c>
      <c r="E644" s="2">
        <f>IFERROR(__xludf.DUMMYFUNCTION("""COMPUTED_VALUE"""),732.41)</f>
        <v>732.41</v>
      </c>
      <c r="F644" s="2">
        <f>IFERROR(__xludf.DUMMYFUNCTION("""COMPUTED_VALUE"""),2.1955E7)</f>
        <v>21955000</v>
      </c>
      <c r="G644" s="2">
        <f t="shared" si="1"/>
        <v>20.93</v>
      </c>
    </row>
    <row r="645" ht="15.75" customHeight="1">
      <c r="A645" s="1">
        <f>IFERROR(__xludf.DUMMYFUNCTION("""COMPUTED_VALUE"""),44809.66666666667)</f>
        <v>44809.66667</v>
      </c>
      <c r="B645" s="2">
        <f>IFERROR(__xludf.DUMMYFUNCTION("""COMPUTED_VALUE"""),742.88)</f>
        <v>742.88</v>
      </c>
      <c r="C645" s="2">
        <f>IFERROR(__xludf.DUMMYFUNCTION("""COMPUTED_VALUE"""),742.88)</f>
        <v>742.88</v>
      </c>
      <c r="D645" s="2">
        <f>IFERROR(__xludf.DUMMYFUNCTION("""COMPUTED_VALUE"""),727.18)</f>
        <v>727.18</v>
      </c>
      <c r="E645" s="2">
        <f>IFERROR(__xludf.DUMMYFUNCTION("""COMPUTED_VALUE"""),732.41)</f>
        <v>732.41</v>
      </c>
      <c r="F645" s="2">
        <f>IFERROR(__xludf.DUMMYFUNCTION("""COMPUTED_VALUE"""),2.05247E7)</f>
        <v>20524700</v>
      </c>
      <c r="G645" s="2">
        <f t="shared" si="1"/>
        <v>15.7</v>
      </c>
    </row>
    <row r="646" ht="15.75" customHeight="1">
      <c r="A646" s="1">
        <f>IFERROR(__xludf.DUMMYFUNCTION("""COMPUTED_VALUE"""),44810.66666666667)</f>
        <v>44810.66667</v>
      </c>
      <c r="B646" s="2">
        <f>IFERROR(__xludf.DUMMYFUNCTION("""COMPUTED_VALUE"""),732.41)</f>
        <v>732.41</v>
      </c>
      <c r="C646" s="2">
        <f>IFERROR(__xludf.DUMMYFUNCTION("""COMPUTED_VALUE"""),737.64)</f>
        <v>737.64</v>
      </c>
      <c r="D646" s="2">
        <f>IFERROR(__xludf.DUMMYFUNCTION("""COMPUTED_VALUE"""),716.72)</f>
        <v>716.72</v>
      </c>
      <c r="E646" s="2">
        <f>IFERROR(__xludf.DUMMYFUNCTION("""COMPUTED_VALUE"""),727.18)</f>
        <v>727.18</v>
      </c>
      <c r="F646" s="2">
        <f>IFERROR(__xludf.DUMMYFUNCTION("""COMPUTED_VALUE"""),1.82529E7)</f>
        <v>18252900</v>
      </c>
      <c r="G646" s="2">
        <f t="shared" si="1"/>
        <v>20.92</v>
      </c>
    </row>
    <row r="647" ht="15.75" customHeight="1">
      <c r="A647" s="1">
        <f>IFERROR(__xludf.DUMMYFUNCTION("""COMPUTED_VALUE"""),44811.66666666667)</f>
        <v>44811.66667</v>
      </c>
      <c r="B647" s="2">
        <f>IFERROR(__xludf.DUMMYFUNCTION("""COMPUTED_VALUE"""),727.18)</f>
        <v>727.18</v>
      </c>
      <c r="C647" s="2">
        <f>IFERROR(__xludf.DUMMYFUNCTION("""COMPUTED_VALUE"""),732.41)</f>
        <v>732.41</v>
      </c>
      <c r="D647" s="2">
        <f>IFERROR(__xludf.DUMMYFUNCTION("""COMPUTED_VALUE"""),695.79)</f>
        <v>695.79</v>
      </c>
      <c r="E647" s="2">
        <f>IFERROR(__xludf.DUMMYFUNCTION("""COMPUTED_VALUE"""),701.02)</f>
        <v>701.02</v>
      </c>
      <c r="F647" s="2">
        <f>IFERROR(__xludf.DUMMYFUNCTION("""COMPUTED_VALUE"""),2.59905E7)</f>
        <v>25990500</v>
      </c>
      <c r="G647" s="2">
        <f t="shared" si="1"/>
        <v>36.62</v>
      </c>
    </row>
    <row r="648" ht="15.75" customHeight="1">
      <c r="A648" s="1">
        <f>IFERROR(__xludf.DUMMYFUNCTION("""COMPUTED_VALUE"""),44812.66666666667)</f>
        <v>44812.66667</v>
      </c>
      <c r="B648" s="2">
        <f>IFERROR(__xludf.DUMMYFUNCTION("""COMPUTED_VALUE"""),732.41)</f>
        <v>732.41</v>
      </c>
      <c r="C648" s="2">
        <f>IFERROR(__xludf.DUMMYFUNCTION("""COMPUTED_VALUE"""),737.64)</f>
        <v>737.64</v>
      </c>
      <c r="D648" s="2">
        <f>IFERROR(__xludf.DUMMYFUNCTION("""COMPUTED_VALUE"""),701.02)</f>
        <v>701.02</v>
      </c>
      <c r="E648" s="2">
        <f>IFERROR(__xludf.DUMMYFUNCTION("""COMPUTED_VALUE"""),716.72)</f>
        <v>716.72</v>
      </c>
      <c r="F648" s="2">
        <f>IFERROR(__xludf.DUMMYFUNCTION("""COMPUTED_VALUE"""),2.22197E7)</f>
        <v>22219700</v>
      </c>
      <c r="G648" s="2">
        <f t="shared" si="1"/>
        <v>36.62</v>
      </c>
    </row>
    <row r="649" ht="15.75" customHeight="1">
      <c r="A649" s="1">
        <f>IFERROR(__xludf.DUMMYFUNCTION("""COMPUTED_VALUE"""),44813.66666666667)</f>
        <v>44813.66667</v>
      </c>
      <c r="B649" s="2">
        <f>IFERROR(__xludf.DUMMYFUNCTION("""COMPUTED_VALUE"""),721.95)</f>
        <v>721.95</v>
      </c>
      <c r="C649" s="2">
        <f>IFERROR(__xludf.DUMMYFUNCTION("""COMPUTED_VALUE"""),732.41)</f>
        <v>732.41</v>
      </c>
      <c r="D649" s="2">
        <f>IFERROR(__xludf.DUMMYFUNCTION("""COMPUTED_VALUE"""),701.02)</f>
        <v>701.02</v>
      </c>
      <c r="E649" s="2">
        <f>IFERROR(__xludf.DUMMYFUNCTION("""COMPUTED_VALUE"""),711.49)</f>
        <v>711.49</v>
      </c>
      <c r="F649" s="2">
        <f>IFERROR(__xludf.DUMMYFUNCTION("""COMPUTED_VALUE"""),9514100.0)</f>
        <v>9514100</v>
      </c>
      <c r="G649" s="2">
        <f t="shared" si="1"/>
        <v>31.39</v>
      </c>
    </row>
    <row r="650" ht="15.75" customHeight="1">
      <c r="A650" s="1">
        <f>IFERROR(__xludf.DUMMYFUNCTION("""COMPUTED_VALUE"""),44816.66666666667)</f>
        <v>44816.66667</v>
      </c>
      <c r="B650" s="2">
        <f>IFERROR(__xludf.DUMMYFUNCTION("""COMPUTED_VALUE"""),711.49)</f>
        <v>711.49</v>
      </c>
      <c r="C650" s="2">
        <f>IFERROR(__xludf.DUMMYFUNCTION("""COMPUTED_VALUE"""),721.95)</f>
        <v>721.95</v>
      </c>
      <c r="D650" s="2">
        <f>IFERROR(__xludf.DUMMYFUNCTION("""COMPUTED_VALUE"""),685.33)</f>
        <v>685.33</v>
      </c>
      <c r="E650" s="2">
        <f>IFERROR(__xludf.DUMMYFUNCTION("""COMPUTED_VALUE"""),690.56)</f>
        <v>690.56</v>
      </c>
      <c r="F650" s="2">
        <f>IFERROR(__xludf.DUMMYFUNCTION("""COMPUTED_VALUE"""),2.05254E7)</f>
        <v>20525400</v>
      </c>
      <c r="G650" s="2">
        <f t="shared" si="1"/>
        <v>36.62</v>
      </c>
    </row>
    <row r="651" ht="15.75" customHeight="1">
      <c r="A651" s="1">
        <f>IFERROR(__xludf.DUMMYFUNCTION("""COMPUTED_VALUE"""),44817.66666666667)</f>
        <v>44817.66667</v>
      </c>
      <c r="B651" s="2">
        <f>IFERROR(__xludf.DUMMYFUNCTION("""COMPUTED_VALUE"""),690.56)</f>
        <v>690.56</v>
      </c>
      <c r="C651" s="2">
        <f>IFERROR(__xludf.DUMMYFUNCTION("""COMPUTED_VALUE"""),721.95)</f>
        <v>721.95</v>
      </c>
      <c r="D651" s="2">
        <f>IFERROR(__xludf.DUMMYFUNCTION("""COMPUTED_VALUE"""),690.56)</f>
        <v>690.56</v>
      </c>
      <c r="E651" s="2">
        <f>IFERROR(__xludf.DUMMYFUNCTION("""COMPUTED_VALUE"""),706.25)</f>
        <v>706.25</v>
      </c>
      <c r="F651" s="2">
        <f>IFERROR(__xludf.DUMMYFUNCTION("""COMPUTED_VALUE"""),2.39308E7)</f>
        <v>23930800</v>
      </c>
      <c r="G651" s="2">
        <f t="shared" si="1"/>
        <v>31.39</v>
      </c>
    </row>
    <row r="652" ht="15.75" customHeight="1">
      <c r="A652" s="1">
        <f>IFERROR(__xludf.DUMMYFUNCTION("""COMPUTED_VALUE"""),44818.66666666667)</f>
        <v>44818.66667</v>
      </c>
      <c r="B652" s="2">
        <f>IFERROR(__xludf.DUMMYFUNCTION("""COMPUTED_VALUE"""),701.02)</f>
        <v>701.02</v>
      </c>
      <c r="C652" s="2">
        <f>IFERROR(__xludf.DUMMYFUNCTION("""COMPUTED_VALUE"""),753.34)</f>
        <v>753.34</v>
      </c>
      <c r="D652" s="2">
        <f>IFERROR(__xludf.DUMMYFUNCTION("""COMPUTED_VALUE"""),690.56)</f>
        <v>690.56</v>
      </c>
      <c r="E652" s="2">
        <f>IFERROR(__xludf.DUMMYFUNCTION("""COMPUTED_VALUE"""),727.18)</f>
        <v>727.18</v>
      </c>
      <c r="F652" s="2">
        <f>IFERROR(__xludf.DUMMYFUNCTION("""COMPUTED_VALUE"""),3.2917E7)</f>
        <v>32917000</v>
      </c>
      <c r="G652" s="2">
        <f t="shared" si="1"/>
        <v>62.78</v>
      </c>
    </row>
    <row r="653" ht="15.75" customHeight="1">
      <c r="A653" s="1">
        <f>IFERROR(__xludf.DUMMYFUNCTION("""COMPUTED_VALUE"""),44819.66666666667)</f>
        <v>44819.66667</v>
      </c>
      <c r="B653" s="2">
        <f>IFERROR(__xludf.DUMMYFUNCTION("""COMPUTED_VALUE"""),732.41)</f>
        <v>732.41</v>
      </c>
      <c r="C653" s="2">
        <f>IFERROR(__xludf.DUMMYFUNCTION("""COMPUTED_VALUE"""),742.88)</f>
        <v>742.88</v>
      </c>
      <c r="D653" s="2">
        <f>IFERROR(__xludf.DUMMYFUNCTION("""COMPUTED_VALUE"""),711.49)</f>
        <v>711.49</v>
      </c>
      <c r="E653" s="2">
        <f>IFERROR(__xludf.DUMMYFUNCTION("""COMPUTED_VALUE"""),711.49)</f>
        <v>711.49</v>
      </c>
      <c r="F653" s="2">
        <f>IFERROR(__xludf.DUMMYFUNCTION("""COMPUTED_VALUE"""),4.83369E7)</f>
        <v>48336900</v>
      </c>
      <c r="G653" s="2">
        <f t="shared" si="1"/>
        <v>31.39</v>
      </c>
    </row>
    <row r="654" ht="15.75" customHeight="1">
      <c r="A654" s="1">
        <f>IFERROR(__xludf.DUMMYFUNCTION("""COMPUTED_VALUE"""),44820.66666666667)</f>
        <v>44820.66667</v>
      </c>
      <c r="B654" s="2">
        <f>IFERROR(__xludf.DUMMYFUNCTION("""COMPUTED_VALUE"""),716.72)</f>
        <v>716.72</v>
      </c>
      <c r="C654" s="2">
        <f>IFERROR(__xludf.DUMMYFUNCTION("""COMPUTED_VALUE"""),721.95)</f>
        <v>721.95</v>
      </c>
      <c r="D654" s="2">
        <f>IFERROR(__xludf.DUMMYFUNCTION("""COMPUTED_VALUE"""),680.1)</f>
        <v>680.1</v>
      </c>
      <c r="E654" s="2">
        <f>IFERROR(__xludf.DUMMYFUNCTION("""COMPUTED_VALUE"""),685.33)</f>
        <v>685.33</v>
      </c>
      <c r="F654" s="2">
        <f>IFERROR(__xludf.DUMMYFUNCTION("""COMPUTED_VALUE"""),3.82273E7)</f>
        <v>38227300</v>
      </c>
      <c r="G654" s="2">
        <f t="shared" si="1"/>
        <v>41.85</v>
      </c>
    </row>
    <row r="655" ht="15.75" customHeight="1">
      <c r="A655" s="1">
        <f>IFERROR(__xludf.DUMMYFUNCTION("""COMPUTED_VALUE"""),44823.66666666667)</f>
        <v>44823.66667</v>
      </c>
      <c r="B655" s="2">
        <f>IFERROR(__xludf.DUMMYFUNCTION("""COMPUTED_VALUE"""),685.33)</f>
        <v>685.33</v>
      </c>
      <c r="C655" s="2">
        <f>IFERROR(__xludf.DUMMYFUNCTION("""COMPUTED_VALUE"""),685.33)</f>
        <v>685.33</v>
      </c>
      <c r="D655" s="2">
        <f>IFERROR(__xludf.DUMMYFUNCTION("""COMPUTED_VALUE"""),659.17)</f>
        <v>659.17</v>
      </c>
      <c r="E655" s="2">
        <f>IFERROR(__xludf.DUMMYFUNCTION("""COMPUTED_VALUE"""),659.17)</f>
        <v>659.17</v>
      </c>
      <c r="F655" s="2">
        <f>IFERROR(__xludf.DUMMYFUNCTION("""COMPUTED_VALUE"""),1.54299E7)</f>
        <v>15429900</v>
      </c>
      <c r="G655" s="2">
        <f t="shared" si="1"/>
        <v>26.16</v>
      </c>
    </row>
    <row r="656" ht="15.75" customHeight="1">
      <c r="A656" s="1">
        <f>IFERROR(__xludf.DUMMYFUNCTION("""COMPUTED_VALUE"""),44824.66666666667)</f>
        <v>44824.66667</v>
      </c>
      <c r="B656" s="2">
        <f>IFERROR(__xludf.DUMMYFUNCTION("""COMPUTED_VALUE"""),669.63)</f>
        <v>669.63</v>
      </c>
      <c r="C656" s="2">
        <f>IFERROR(__xludf.DUMMYFUNCTION("""COMPUTED_VALUE"""),674.87)</f>
        <v>674.87</v>
      </c>
      <c r="D656" s="2">
        <f>IFERROR(__xludf.DUMMYFUNCTION("""COMPUTED_VALUE"""),643.48)</f>
        <v>643.48</v>
      </c>
      <c r="E656" s="2">
        <f>IFERROR(__xludf.DUMMYFUNCTION("""COMPUTED_VALUE"""),653.94)</f>
        <v>653.94</v>
      </c>
      <c r="F656" s="2">
        <f>IFERROR(__xludf.DUMMYFUNCTION("""COMPUTED_VALUE"""),1.24017E7)</f>
        <v>12401700</v>
      </c>
      <c r="G656" s="2">
        <f t="shared" si="1"/>
        <v>31.39</v>
      </c>
    </row>
    <row r="657" ht="15.75" customHeight="1">
      <c r="A657" s="1">
        <f>IFERROR(__xludf.DUMMYFUNCTION("""COMPUTED_VALUE"""),44825.66666666667)</f>
        <v>44825.66667</v>
      </c>
      <c r="B657" s="2">
        <f>IFERROR(__xludf.DUMMYFUNCTION("""COMPUTED_VALUE"""),659.17)</f>
        <v>659.17</v>
      </c>
      <c r="C657" s="2">
        <f>IFERROR(__xludf.DUMMYFUNCTION("""COMPUTED_VALUE"""),659.17)</f>
        <v>659.17</v>
      </c>
      <c r="D657" s="2">
        <f>IFERROR(__xludf.DUMMYFUNCTION("""COMPUTED_VALUE"""),638.25)</f>
        <v>638.25</v>
      </c>
      <c r="E657" s="2">
        <f>IFERROR(__xludf.DUMMYFUNCTION("""COMPUTED_VALUE"""),648.71)</f>
        <v>648.71</v>
      </c>
      <c r="F657" s="2">
        <f>IFERROR(__xludf.DUMMYFUNCTION("""COMPUTED_VALUE"""),1.13342E7)</f>
        <v>11334200</v>
      </c>
      <c r="G657" s="2">
        <f t="shared" si="1"/>
        <v>20.92</v>
      </c>
    </row>
    <row r="658" ht="15.75" customHeight="1">
      <c r="A658" s="1">
        <f>IFERROR(__xludf.DUMMYFUNCTION("""COMPUTED_VALUE"""),44826.66666666667)</f>
        <v>44826.66667</v>
      </c>
      <c r="B658" s="2">
        <f>IFERROR(__xludf.DUMMYFUNCTION("""COMPUTED_VALUE"""),648.71)</f>
        <v>648.71</v>
      </c>
      <c r="C658" s="2">
        <f>IFERROR(__xludf.DUMMYFUNCTION("""COMPUTED_VALUE"""),669.63)</f>
        <v>669.63</v>
      </c>
      <c r="D658" s="2">
        <f>IFERROR(__xludf.DUMMYFUNCTION("""COMPUTED_VALUE"""),638.25)</f>
        <v>638.25</v>
      </c>
      <c r="E658" s="2">
        <f>IFERROR(__xludf.DUMMYFUNCTION("""COMPUTED_VALUE"""),659.17)</f>
        <v>659.17</v>
      </c>
      <c r="F658" s="2">
        <f>IFERROR(__xludf.DUMMYFUNCTION("""COMPUTED_VALUE"""),1.86172E7)</f>
        <v>18617200</v>
      </c>
      <c r="G658" s="2">
        <f t="shared" si="1"/>
        <v>31.38</v>
      </c>
    </row>
    <row r="659" ht="15.75" customHeight="1">
      <c r="A659" s="1">
        <f>IFERROR(__xludf.DUMMYFUNCTION("""COMPUTED_VALUE"""),44827.66666666667)</f>
        <v>44827.66667</v>
      </c>
      <c r="B659" s="2">
        <f>IFERROR(__xludf.DUMMYFUNCTION("""COMPUTED_VALUE"""),659.17)</f>
        <v>659.17</v>
      </c>
      <c r="C659" s="2">
        <f>IFERROR(__xludf.DUMMYFUNCTION("""COMPUTED_VALUE"""),695.79)</f>
        <v>695.79</v>
      </c>
      <c r="D659" s="2">
        <f>IFERROR(__xludf.DUMMYFUNCTION("""COMPUTED_VALUE"""),659.17)</f>
        <v>659.17</v>
      </c>
      <c r="E659" s="2">
        <f>IFERROR(__xludf.DUMMYFUNCTION("""COMPUTED_VALUE"""),669.63)</f>
        <v>669.63</v>
      </c>
      <c r="F659" s="2">
        <f>IFERROR(__xludf.DUMMYFUNCTION("""COMPUTED_VALUE"""),4.79868E7)</f>
        <v>47986800</v>
      </c>
      <c r="G659" s="2">
        <f t="shared" si="1"/>
        <v>36.62</v>
      </c>
    </row>
    <row r="660" ht="15.75" customHeight="1">
      <c r="A660" s="1">
        <f>IFERROR(__xludf.DUMMYFUNCTION("""COMPUTED_VALUE"""),44830.66666666667)</f>
        <v>44830.66667</v>
      </c>
      <c r="B660" s="2">
        <f>IFERROR(__xludf.DUMMYFUNCTION("""COMPUTED_VALUE"""),659.17)</f>
        <v>659.17</v>
      </c>
      <c r="C660" s="2">
        <f>IFERROR(__xludf.DUMMYFUNCTION("""COMPUTED_VALUE"""),674.87)</f>
        <v>674.87</v>
      </c>
      <c r="D660" s="2">
        <f>IFERROR(__xludf.DUMMYFUNCTION("""COMPUTED_VALUE"""),643.48)</f>
        <v>643.48</v>
      </c>
      <c r="E660" s="2">
        <f>IFERROR(__xludf.DUMMYFUNCTION("""COMPUTED_VALUE"""),648.71)</f>
        <v>648.71</v>
      </c>
      <c r="F660" s="2">
        <f>IFERROR(__xludf.DUMMYFUNCTION("""COMPUTED_VALUE"""),1.59684E7)</f>
        <v>15968400</v>
      </c>
      <c r="G660" s="2">
        <f t="shared" si="1"/>
        <v>31.39</v>
      </c>
    </row>
    <row r="661" ht="15.75" customHeight="1">
      <c r="A661" s="1">
        <f>IFERROR(__xludf.DUMMYFUNCTION("""COMPUTED_VALUE"""),44831.66666666667)</f>
        <v>44831.66667</v>
      </c>
      <c r="B661" s="2">
        <f>IFERROR(__xludf.DUMMYFUNCTION("""COMPUTED_VALUE"""),653.94)</f>
        <v>653.94</v>
      </c>
      <c r="C661" s="2">
        <f>IFERROR(__xludf.DUMMYFUNCTION("""COMPUTED_VALUE"""),659.17)</f>
        <v>659.17</v>
      </c>
      <c r="D661" s="2">
        <f>IFERROR(__xludf.DUMMYFUNCTION("""COMPUTED_VALUE"""),633.01)</f>
        <v>633.01</v>
      </c>
      <c r="E661" s="2">
        <f>IFERROR(__xludf.DUMMYFUNCTION("""COMPUTED_VALUE"""),648.71)</f>
        <v>648.71</v>
      </c>
      <c r="F661" s="2">
        <f>IFERROR(__xludf.DUMMYFUNCTION("""COMPUTED_VALUE"""),1.37138E7)</f>
        <v>13713800</v>
      </c>
      <c r="G661" s="2">
        <f t="shared" si="1"/>
        <v>26.16</v>
      </c>
    </row>
    <row r="662" ht="15.75" customHeight="1">
      <c r="A662" s="1">
        <f>IFERROR(__xludf.DUMMYFUNCTION("""COMPUTED_VALUE"""),44832.66666666667)</f>
        <v>44832.66667</v>
      </c>
      <c r="B662" s="2">
        <f>IFERROR(__xludf.DUMMYFUNCTION("""COMPUTED_VALUE"""),648.71)</f>
        <v>648.71</v>
      </c>
      <c r="C662" s="2">
        <f>IFERROR(__xludf.DUMMYFUNCTION("""COMPUTED_VALUE"""),659.17)</f>
        <v>659.17</v>
      </c>
      <c r="D662" s="2">
        <f>IFERROR(__xludf.DUMMYFUNCTION("""COMPUTED_VALUE"""),638.25)</f>
        <v>638.25</v>
      </c>
      <c r="E662" s="2">
        <f>IFERROR(__xludf.DUMMYFUNCTION("""COMPUTED_VALUE"""),638.25)</f>
        <v>638.25</v>
      </c>
      <c r="F662" s="2">
        <f>IFERROR(__xludf.DUMMYFUNCTION("""COMPUTED_VALUE"""),1.34185E7)</f>
        <v>13418500</v>
      </c>
      <c r="G662" s="2">
        <f t="shared" si="1"/>
        <v>20.92</v>
      </c>
    </row>
    <row r="663" ht="15.75" customHeight="1">
      <c r="A663" s="1">
        <f>IFERROR(__xludf.DUMMYFUNCTION("""COMPUTED_VALUE"""),44833.66666666667)</f>
        <v>44833.66667</v>
      </c>
      <c r="B663" s="2">
        <f>IFERROR(__xludf.DUMMYFUNCTION("""COMPUTED_VALUE"""),643.48)</f>
        <v>643.48</v>
      </c>
      <c r="C663" s="2">
        <f>IFERROR(__xludf.DUMMYFUNCTION("""COMPUTED_VALUE"""),653.94)</f>
        <v>653.94</v>
      </c>
      <c r="D663" s="2">
        <f>IFERROR(__xludf.DUMMYFUNCTION("""COMPUTED_VALUE"""),596.39)</f>
        <v>596.39</v>
      </c>
      <c r="E663" s="2">
        <f>IFERROR(__xludf.DUMMYFUNCTION("""COMPUTED_VALUE"""),606.86)</f>
        <v>606.86</v>
      </c>
      <c r="F663" s="2">
        <f>IFERROR(__xludf.DUMMYFUNCTION("""COMPUTED_VALUE"""),2.93688E7)</f>
        <v>29368800</v>
      </c>
      <c r="G663" s="2">
        <f t="shared" si="1"/>
        <v>57.55</v>
      </c>
    </row>
    <row r="664" ht="15.75" customHeight="1">
      <c r="A664" s="1">
        <f>IFERROR(__xludf.DUMMYFUNCTION("""COMPUTED_VALUE"""),44834.66666666667)</f>
        <v>44834.66667</v>
      </c>
      <c r="B664" s="2">
        <f>IFERROR(__xludf.DUMMYFUNCTION("""COMPUTED_VALUE"""),596.39)</f>
        <v>596.39</v>
      </c>
      <c r="C664" s="2">
        <f>IFERROR(__xludf.DUMMYFUNCTION("""COMPUTED_VALUE"""),601.62)</f>
        <v>601.62</v>
      </c>
      <c r="D664" s="2">
        <f>IFERROR(__xludf.DUMMYFUNCTION("""COMPUTED_VALUE"""),570.24)</f>
        <v>570.24</v>
      </c>
      <c r="E664" s="2">
        <f>IFERROR(__xludf.DUMMYFUNCTION("""COMPUTED_VALUE"""),575.47)</f>
        <v>575.47</v>
      </c>
      <c r="F664" s="2">
        <f>IFERROR(__xludf.DUMMYFUNCTION("""COMPUTED_VALUE"""),3.46073E7)</f>
        <v>34607300</v>
      </c>
      <c r="G664" s="2">
        <f t="shared" si="1"/>
        <v>36.62</v>
      </c>
    </row>
    <row r="665" ht="15.75" customHeight="1">
      <c r="A665" s="1">
        <f>IFERROR(__xludf.DUMMYFUNCTION("""COMPUTED_VALUE"""),44837.66666666667)</f>
        <v>44837.66667</v>
      </c>
      <c r="B665" s="2">
        <f>IFERROR(__xludf.DUMMYFUNCTION("""COMPUTED_VALUE"""),575.47)</f>
        <v>575.47</v>
      </c>
      <c r="C665" s="2">
        <f>IFERROR(__xludf.DUMMYFUNCTION("""COMPUTED_VALUE"""),596.39)</f>
        <v>596.39</v>
      </c>
      <c r="D665" s="2">
        <f>IFERROR(__xludf.DUMMYFUNCTION("""COMPUTED_VALUE"""),570.24)</f>
        <v>570.24</v>
      </c>
      <c r="E665" s="2">
        <f>IFERROR(__xludf.DUMMYFUNCTION("""COMPUTED_VALUE"""),580.7)</f>
        <v>580.7</v>
      </c>
      <c r="F665" s="2">
        <f>IFERROR(__xludf.DUMMYFUNCTION("""COMPUTED_VALUE"""),1.05863E7)</f>
        <v>10586300</v>
      </c>
      <c r="G665" s="2">
        <f t="shared" si="1"/>
        <v>26.15</v>
      </c>
    </row>
    <row r="666" ht="15.75" customHeight="1">
      <c r="A666" s="1">
        <f>IFERROR(__xludf.DUMMYFUNCTION("""COMPUTED_VALUE"""),44838.66666666667)</f>
        <v>44838.66667</v>
      </c>
      <c r="B666" s="2">
        <f>IFERROR(__xludf.DUMMYFUNCTION("""COMPUTED_VALUE"""),585.93)</f>
        <v>585.93</v>
      </c>
      <c r="C666" s="2">
        <f>IFERROR(__xludf.DUMMYFUNCTION("""COMPUTED_VALUE"""),601.62)</f>
        <v>601.62</v>
      </c>
      <c r="D666" s="2">
        <f>IFERROR(__xludf.DUMMYFUNCTION("""COMPUTED_VALUE"""),580.7)</f>
        <v>580.7</v>
      </c>
      <c r="E666" s="2">
        <f>IFERROR(__xludf.DUMMYFUNCTION("""COMPUTED_VALUE"""),585.93)</f>
        <v>585.93</v>
      </c>
      <c r="F666" s="2">
        <f>IFERROR(__xludf.DUMMYFUNCTION("""COMPUTED_VALUE"""),7849000.0)</f>
        <v>7849000</v>
      </c>
      <c r="G666" s="2">
        <f t="shared" si="1"/>
        <v>20.92</v>
      </c>
    </row>
    <row r="667" ht="15.75" customHeight="1">
      <c r="A667" s="1">
        <f>IFERROR(__xludf.DUMMYFUNCTION("""COMPUTED_VALUE"""),44839.66666666667)</f>
        <v>44839.66667</v>
      </c>
      <c r="B667" s="2">
        <f>IFERROR(__xludf.DUMMYFUNCTION("""COMPUTED_VALUE"""),596.39)</f>
        <v>596.39</v>
      </c>
      <c r="C667" s="2">
        <f>IFERROR(__xludf.DUMMYFUNCTION("""COMPUTED_VALUE"""),612.09)</f>
        <v>612.09</v>
      </c>
      <c r="D667" s="2">
        <f>IFERROR(__xludf.DUMMYFUNCTION("""COMPUTED_VALUE"""),585.93)</f>
        <v>585.93</v>
      </c>
      <c r="E667" s="2">
        <f>IFERROR(__xludf.DUMMYFUNCTION("""COMPUTED_VALUE"""),601.62)</f>
        <v>601.62</v>
      </c>
      <c r="F667" s="2">
        <f>IFERROR(__xludf.DUMMYFUNCTION("""COMPUTED_VALUE"""),1.15955E7)</f>
        <v>11595500</v>
      </c>
      <c r="G667" s="2">
        <f t="shared" si="1"/>
        <v>26.16</v>
      </c>
    </row>
    <row r="668" ht="15.75" customHeight="1">
      <c r="A668" s="1">
        <f>IFERROR(__xludf.DUMMYFUNCTION("""COMPUTED_VALUE"""),44840.66666666667)</f>
        <v>44840.66667</v>
      </c>
      <c r="B668" s="2">
        <f>IFERROR(__xludf.DUMMYFUNCTION("""COMPUTED_VALUE"""),601.62)</f>
        <v>601.62</v>
      </c>
      <c r="C668" s="2">
        <f>IFERROR(__xludf.DUMMYFUNCTION("""COMPUTED_VALUE"""),643.48)</f>
        <v>643.48</v>
      </c>
      <c r="D668" s="2">
        <f>IFERROR(__xludf.DUMMYFUNCTION("""COMPUTED_VALUE"""),596.39)</f>
        <v>596.39</v>
      </c>
      <c r="E668" s="2">
        <f>IFERROR(__xludf.DUMMYFUNCTION("""COMPUTED_VALUE"""),627.78)</f>
        <v>627.78</v>
      </c>
      <c r="F668" s="2">
        <f>IFERROR(__xludf.DUMMYFUNCTION("""COMPUTED_VALUE"""),3.34816E7)</f>
        <v>33481600</v>
      </c>
      <c r="G668" s="2">
        <f t="shared" si="1"/>
        <v>47.09</v>
      </c>
    </row>
    <row r="669" ht="15.75" customHeight="1">
      <c r="A669" s="1">
        <f>IFERROR(__xludf.DUMMYFUNCTION("""COMPUTED_VALUE"""),44841.66666666667)</f>
        <v>44841.66667</v>
      </c>
      <c r="B669" s="2">
        <f>IFERROR(__xludf.DUMMYFUNCTION("""COMPUTED_VALUE"""),633.01)</f>
        <v>633.01</v>
      </c>
      <c r="C669" s="2">
        <f>IFERROR(__xludf.DUMMYFUNCTION("""COMPUTED_VALUE"""),648.71)</f>
        <v>648.71</v>
      </c>
      <c r="D669" s="2">
        <f>IFERROR(__xludf.DUMMYFUNCTION("""COMPUTED_VALUE"""),612.09)</f>
        <v>612.09</v>
      </c>
      <c r="E669" s="2">
        <f>IFERROR(__xludf.DUMMYFUNCTION("""COMPUTED_VALUE"""),627.78)</f>
        <v>627.78</v>
      </c>
      <c r="F669" s="2">
        <f>IFERROR(__xludf.DUMMYFUNCTION("""COMPUTED_VALUE"""),1.01231E7)</f>
        <v>10123100</v>
      </c>
      <c r="G669" s="2">
        <f t="shared" si="1"/>
        <v>36.62</v>
      </c>
    </row>
    <row r="670" ht="15.75" customHeight="1">
      <c r="A670" s="1">
        <f>IFERROR(__xludf.DUMMYFUNCTION("""COMPUTED_VALUE"""),44844.66666666667)</f>
        <v>44844.66667</v>
      </c>
      <c r="B670" s="2">
        <f>IFERROR(__xludf.DUMMYFUNCTION("""COMPUTED_VALUE"""),627.78)</f>
        <v>627.78</v>
      </c>
      <c r="C670" s="2">
        <f>IFERROR(__xludf.DUMMYFUNCTION("""COMPUTED_VALUE"""),627.78)</f>
        <v>627.78</v>
      </c>
      <c r="D670" s="2">
        <f>IFERROR(__xludf.DUMMYFUNCTION("""COMPUTED_VALUE"""),606.86)</f>
        <v>606.86</v>
      </c>
      <c r="E670" s="2">
        <f>IFERROR(__xludf.DUMMYFUNCTION("""COMPUTED_VALUE"""),627.78)</f>
        <v>627.78</v>
      </c>
      <c r="F670" s="2">
        <f>IFERROR(__xludf.DUMMYFUNCTION("""COMPUTED_VALUE"""),9956200.0)</f>
        <v>9956200</v>
      </c>
      <c r="G670" s="2">
        <f t="shared" si="1"/>
        <v>20.92</v>
      </c>
    </row>
    <row r="671" ht="15.75" customHeight="1">
      <c r="A671" s="1">
        <f>IFERROR(__xludf.DUMMYFUNCTION("""COMPUTED_VALUE"""),44845.66666666667)</f>
        <v>44845.66667</v>
      </c>
      <c r="B671" s="2">
        <f>IFERROR(__xludf.DUMMYFUNCTION("""COMPUTED_VALUE"""),633.01)</f>
        <v>633.01</v>
      </c>
      <c r="C671" s="2">
        <f>IFERROR(__xludf.DUMMYFUNCTION("""COMPUTED_VALUE"""),633.01)</f>
        <v>633.01</v>
      </c>
      <c r="D671" s="2">
        <f>IFERROR(__xludf.DUMMYFUNCTION("""COMPUTED_VALUE"""),606.86)</f>
        <v>606.86</v>
      </c>
      <c r="E671" s="2">
        <f>IFERROR(__xludf.DUMMYFUNCTION("""COMPUTED_VALUE"""),606.86)</f>
        <v>606.86</v>
      </c>
      <c r="F671" s="2">
        <f>IFERROR(__xludf.DUMMYFUNCTION("""COMPUTED_VALUE"""),7000800.0)</f>
        <v>7000800</v>
      </c>
      <c r="G671" s="2">
        <f t="shared" si="1"/>
        <v>26.15</v>
      </c>
    </row>
    <row r="672" ht="15.75" customHeight="1">
      <c r="A672" s="1">
        <f>IFERROR(__xludf.DUMMYFUNCTION("""COMPUTED_VALUE"""),44846.66666666667)</f>
        <v>44846.66667</v>
      </c>
      <c r="B672" s="2">
        <f>IFERROR(__xludf.DUMMYFUNCTION("""COMPUTED_VALUE"""),606.86)</f>
        <v>606.86</v>
      </c>
      <c r="C672" s="2">
        <f>IFERROR(__xludf.DUMMYFUNCTION("""COMPUTED_VALUE"""),606.86)</f>
        <v>606.86</v>
      </c>
      <c r="D672" s="2">
        <f>IFERROR(__xludf.DUMMYFUNCTION("""COMPUTED_VALUE"""),570.24)</f>
        <v>570.24</v>
      </c>
      <c r="E672" s="2">
        <f>IFERROR(__xludf.DUMMYFUNCTION("""COMPUTED_VALUE"""),570.24)</f>
        <v>570.24</v>
      </c>
      <c r="F672" s="2">
        <f>IFERROR(__xludf.DUMMYFUNCTION("""COMPUTED_VALUE"""),3.23149E7)</f>
        <v>32314900</v>
      </c>
      <c r="G672" s="2">
        <f t="shared" si="1"/>
        <v>36.62</v>
      </c>
    </row>
    <row r="673" ht="15.75" customHeight="1">
      <c r="A673" s="1">
        <f>IFERROR(__xludf.DUMMYFUNCTION("""COMPUTED_VALUE"""),44847.66666666667)</f>
        <v>44847.66667</v>
      </c>
      <c r="B673" s="2">
        <f>IFERROR(__xludf.DUMMYFUNCTION("""COMPUTED_VALUE"""),575.47)</f>
        <v>575.47</v>
      </c>
      <c r="C673" s="2">
        <f>IFERROR(__xludf.DUMMYFUNCTION("""COMPUTED_VALUE"""),575.47)</f>
        <v>575.47</v>
      </c>
      <c r="D673" s="2">
        <f>IFERROR(__xludf.DUMMYFUNCTION("""COMPUTED_VALUE"""),538.85)</f>
        <v>538.85</v>
      </c>
      <c r="E673" s="2">
        <f>IFERROR(__xludf.DUMMYFUNCTION("""COMPUTED_VALUE"""),538.85)</f>
        <v>538.85</v>
      </c>
      <c r="F673" s="2">
        <f>IFERROR(__xludf.DUMMYFUNCTION("""COMPUTED_VALUE"""),1.91616E7)</f>
        <v>19161600</v>
      </c>
      <c r="G673" s="2">
        <f t="shared" si="1"/>
        <v>36.62</v>
      </c>
    </row>
    <row r="674" ht="15.75" customHeight="1">
      <c r="A674" s="1">
        <f>IFERROR(__xludf.DUMMYFUNCTION("""COMPUTED_VALUE"""),44848.66666666667)</f>
        <v>44848.66667</v>
      </c>
      <c r="B674" s="2">
        <f>IFERROR(__xludf.DUMMYFUNCTION("""COMPUTED_VALUE"""),549.31)</f>
        <v>549.31</v>
      </c>
      <c r="C674" s="2">
        <f>IFERROR(__xludf.DUMMYFUNCTION("""COMPUTED_VALUE"""),549.31)</f>
        <v>549.31</v>
      </c>
      <c r="D674" s="2">
        <f>IFERROR(__xludf.DUMMYFUNCTION("""COMPUTED_VALUE"""),508.5)</f>
        <v>508.5</v>
      </c>
      <c r="E674" s="2">
        <f>IFERROR(__xludf.DUMMYFUNCTION("""COMPUTED_VALUE"""),510.6)</f>
        <v>510.6</v>
      </c>
      <c r="F674" s="2">
        <f>IFERROR(__xludf.DUMMYFUNCTION("""COMPUTED_VALUE"""),3.65647E7)</f>
        <v>36564700</v>
      </c>
      <c r="G674" s="2">
        <f t="shared" si="1"/>
        <v>40.81</v>
      </c>
    </row>
    <row r="675" ht="15.75" customHeight="1">
      <c r="A675" s="1">
        <f>IFERROR(__xludf.DUMMYFUNCTION("""COMPUTED_VALUE"""),44851.66666666667)</f>
        <v>44851.66667</v>
      </c>
      <c r="B675" s="2">
        <f>IFERROR(__xludf.DUMMYFUNCTION("""COMPUTED_VALUE"""),510.6)</f>
        <v>510.6</v>
      </c>
      <c r="C675" s="2">
        <f>IFERROR(__xludf.DUMMYFUNCTION("""COMPUTED_VALUE"""),516.87)</f>
        <v>516.87</v>
      </c>
      <c r="D675" s="2">
        <f>IFERROR(__xludf.DUMMYFUNCTION("""COMPUTED_VALUE"""),487.58)</f>
        <v>487.58</v>
      </c>
      <c r="E675" s="2">
        <f>IFERROR(__xludf.DUMMYFUNCTION("""COMPUTED_VALUE"""),493.86)</f>
        <v>493.86</v>
      </c>
      <c r="F675" s="2">
        <f>IFERROR(__xludf.DUMMYFUNCTION("""COMPUTED_VALUE"""),1.79762E7)</f>
        <v>17976200</v>
      </c>
      <c r="G675" s="2">
        <f t="shared" si="1"/>
        <v>29.29</v>
      </c>
    </row>
    <row r="676" ht="15.75" customHeight="1">
      <c r="A676" s="1">
        <f>IFERROR(__xludf.DUMMYFUNCTION("""COMPUTED_VALUE"""),44852.66666666667)</f>
        <v>44852.66667</v>
      </c>
      <c r="B676" s="2">
        <f>IFERROR(__xludf.DUMMYFUNCTION("""COMPUTED_VALUE"""),498.04)</f>
        <v>498.04</v>
      </c>
      <c r="C676" s="2">
        <f>IFERROR(__xludf.DUMMYFUNCTION("""COMPUTED_VALUE"""),554.54)</f>
        <v>554.54</v>
      </c>
      <c r="D676" s="2">
        <f>IFERROR(__xludf.DUMMYFUNCTION("""COMPUTED_VALUE"""),485.48)</f>
        <v>485.48</v>
      </c>
      <c r="E676" s="2">
        <f>IFERROR(__xludf.DUMMYFUNCTION("""COMPUTED_VALUE"""),533.61)</f>
        <v>533.61</v>
      </c>
      <c r="F676" s="2">
        <f>IFERROR(__xludf.DUMMYFUNCTION("""COMPUTED_VALUE"""),5.95453E7)</f>
        <v>59545300</v>
      </c>
      <c r="G676" s="2">
        <f t="shared" si="1"/>
        <v>69.06</v>
      </c>
    </row>
    <row r="677" ht="15.75" customHeight="1">
      <c r="A677" s="1">
        <f>IFERROR(__xludf.DUMMYFUNCTION("""COMPUTED_VALUE"""),44853.66666666667)</f>
        <v>44853.66667</v>
      </c>
      <c r="B677" s="2">
        <f>IFERROR(__xludf.DUMMYFUNCTION("""COMPUTED_VALUE"""),538.85)</f>
        <v>538.85</v>
      </c>
      <c r="C677" s="2">
        <f>IFERROR(__xludf.DUMMYFUNCTION("""COMPUTED_VALUE"""),591.16)</f>
        <v>591.16</v>
      </c>
      <c r="D677" s="2">
        <f>IFERROR(__xludf.DUMMYFUNCTION("""COMPUTED_VALUE"""),521.06)</f>
        <v>521.06</v>
      </c>
      <c r="E677" s="2">
        <f>IFERROR(__xludf.DUMMYFUNCTION("""COMPUTED_VALUE"""),559.77)</f>
        <v>559.77</v>
      </c>
      <c r="F677" s="2">
        <f>IFERROR(__xludf.DUMMYFUNCTION("""COMPUTED_VALUE"""),9.40566E7)</f>
        <v>94056600</v>
      </c>
      <c r="G677" s="2">
        <f t="shared" si="1"/>
        <v>70.1</v>
      </c>
    </row>
    <row r="678" ht="15.75" customHeight="1">
      <c r="A678" s="1">
        <f>IFERROR(__xludf.DUMMYFUNCTION("""COMPUTED_VALUE"""),44854.66666666667)</f>
        <v>44854.66667</v>
      </c>
      <c r="B678" s="2">
        <f>IFERROR(__xludf.DUMMYFUNCTION("""COMPUTED_VALUE"""),559.77)</f>
        <v>559.77</v>
      </c>
      <c r="C678" s="2">
        <f>IFERROR(__xludf.DUMMYFUNCTION("""COMPUTED_VALUE"""),565.0)</f>
        <v>565</v>
      </c>
      <c r="D678" s="2">
        <f>IFERROR(__xludf.DUMMYFUNCTION("""COMPUTED_VALUE"""),538.85)</f>
        <v>538.85</v>
      </c>
      <c r="E678" s="2">
        <f>IFERROR(__xludf.DUMMYFUNCTION("""COMPUTED_VALUE"""),544.08)</f>
        <v>544.08</v>
      </c>
      <c r="F678" s="2">
        <f>IFERROR(__xludf.DUMMYFUNCTION("""COMPUTED_VALUE"""),2.30183E7)</f>
        <v>23018300</v>
      </c>
      <c r="G678" s="2">
        <f t="shared" si="1"/>
        <v>26.15</v>
      </c>
    </row>
    <row r="679" ht="15.75" customHeight="1">
      <c r="A679" s="1">
        <f>IFERROR(__xludf.DUMMYFUNCTION("""COMPUTED_VALUE"""),44855.66666666667)</f>
        <v>44855.66667</v>
      </c>
      <c r="B679" s="2">
        <f>IFERROR(__xludf.DUMMYFUNCTION("""COMPUTED_VALUE"""),549.31)</f>
        <v>549.31</v>
      </c>
      <c r="C679" s="2">
        <f>IFERROR(__xludf.DUMMYFUNCTION("""COMPUTED_VALUE"""),617.32)</f>
        <v>617.32</v>
      </c>
      <c r="D679" s="2">
        <f>IFERROR(__xludf.DUMMYFUNCTION("""COMPUTED_VALUE"""),538.85)</f>
        <v>538.85</v>
      </c>
      <c r="E679" s="2">
        <f>IFERROR(__xludf.DUMMYFUNCTION("""COMPUTED_VALUE"""),575.47)</f>
        <v>575.47</v>
      </c>
      <c r="F679" s="2">
        <f>IFERROR(__xludf.DUMMYFUNCTION("""COMPUTED_VALUE"""),7.56451E7)</f>
        <v>75645100</v>
      </c>
      <c r="G679" s="2">
        <f t="shared" si="1"/>
        <v>78.47</v>
      </c>
    </row>
    <row r="680" ht="15.75" customHeight="1">
      <c r="A680" s="1">
        <f>IFERROR(__xludf.DUMMYFUNCTION("""COMPUTED_VALUE"""),44858.66666666667)</f>
        <v>44858.66667</v>
      </c>
      <c r="B680" s="2">
        <f>IFERROR(__xludf.DUMMYFUNCTION("""COMPUTED_VALUE"""),585.93)</f>
        <v>585.93</v>
      </c>
      <c r="C680" s="2">
        <f>IFERROR(__xludf.DUMMYFUNCTION("""COMPUTED_VALUE"""),669.63)</f>
        <v>669.63</v>
      </c>
      <c r="D680" s="2">
        <f>IFERROR(__xludf.DUMMYFUNCTION("""COMPUTED_VALUE"""),580.7)</f>
        <v>580.7</v>
      </c>
      <c r="E680" s="2">
        <f>IFERROR(__xludf.DUMMYFUNCTION("""COMPUTED_VALUE"""),664.4)</f>
        <v>664.4</v>
      </c>
      <c r="F680" s="2">
        <f>IFERROR(__xludf.DUMMYFUNCTION("""COMPUTED_VALUE"""),1.171925E8)</f>
        <v>117192500</v>
      </c>
      <c r="G680" s="2">
        <f t="shared" si="1"/>
        <v>94.16</v>
      </c>
    </row>
    <row r="681" ht="15.75" customHeight="1">
      <c r="A681" s="1">
        <f>IFERROR(__xludf.DUMMYFUNCTION("""COMPUTED_VALUE"""),44859.66666666667)</f>
        <v>44859.66667</v>
      </c>
      <c r="B681" s="2">
        <f>IFERROR(__xludf.DUMMYFUNCTION("""COMPUTED_VALUE"""),674.87)</f>
        <v>674.87</v>
      </c>
      <c r="C681" s="2">
        <f>IFERROR(__xludf.DUMMYFUNCTION("""COMPUTED_VALUE"""),716.72)</f>
        <v>716.72</v>
      </c>
      <c r="D681" s="2">
        <f>IFERROR(__xludf.DUMMYFUNCTION("""COMPUTED_VALUE"""),659.17)</f>
        <v>659.17</v>
      </c>
      <c r="E681" s="2">
        <f>IFERROR(__xludf.DUMMYFUNCTION("""COMPUTED_VALUE"""),685.33)</f>
        <v>685.33</v>
      </c>
      <c r="F681" s="2">
        <f>IFERROR(__xludf.DUMMYFUNCTION("""COMPUTED_VALUE"""),1.149081E8)</f>
        <v>114908100</v>
      </c>
      <c r="G681" s="2">
        <f t="shared" si="1"/>
        <v>57.55</v>
      </c>
    </row>
    <row r="682" ht="15.75" customHeight="1">
      <c r="A682" s="1">
        <f>IFERROR(__xludf.DUMMYFUNCTION("""COMPUTED_VALUE"""),44860.66666666667)</f>
        <v>44860.66667</v>
      </c>
      <c r="B682" s="2">
        <f>IFERROR(__xludf.DUMMYFUNCTION("""COMPUTED_VALUE"""),690.56)</f>
        <v>690.56</v>
      </c>
      <c r="C682" s="2">
        <f>IFERROR(__xludf.DUMMYFUNCTION("""COMPUTED_VALUE"""),701.02)</f>
        <v>701.02</v>
      </c>
      <c r="D682" s="2">
        <f>IFERROR(__xludf.DUMMYFUNCTION("""COMPUTED_VALUE"""),648.71)</f>
        <v>648.71</v>
      </c>
      <c r="E682" s="2">
        <f>IFERROR(__xludf.DUMMYFUNCTION("""COMPUTED_VALUE"""),648.71)</f>
        <v>648.71</v>
      </c>
      <c r="F682" s="2">
        <f>IFERROR(__xludf.DUMMYFUNCTION("""COMPUTED_VALUE"""),4.09306E7)</f>
        <v>40930600</v>
      </c>
      <c r="G682" s="2">
        <f t="shared" si="1"/>
        <v>52.31</v>
      </c>
    </row>
    <row r="683" ht="15.75" customHeight="1">
      <c r="A683" s="1">
        <f>IFERROR(__xludf.DUMMYFUNCTION("""COMPUTED_VALUE"""),44861.66666666667)</f>
        <v>44861.66667</v>
      </c>
      <c r="B683" s="2">
        <f>IFERROR(__xludf.DUMMYFUNCTION("""COMPUTED_VALUE"""),659.17)</f>
        <v>659.17</v>
      </c>
      <c r="C683" s="2">
        <f>IFERROR(__xludf.DUMMYFUNCTION("""COMPUTED_VALUE"""),706.25)</f>
        <v>706.25</v>
      </c>
      <c r="D683" s="2">
        <f>IFERROR(__xludf.DUMMYFUNCTION("""COMPUTED_VALUE"""),643.48)</f>
        <v>643.48</v>
      </c>
      <c r="E683" s="2">
        <f>IFERROR(__xludf.DUMMYFUNCTION("""COMPUTED_VALUE"""),664.4)</f>
        <v>664.4</v>
      </c>
      <c r="F683" s="2">
        <f>IFERROR(__xludf.DUMMYFUNCTION("""COMPUTED_VALUE"""),5.45312E7)</f>
        <v>54531200</v>
      </c>
      <c r="G683" s="2">
        <f t="shared" si="1"/>
        <v>62.77</v>
      </c>
    </row>
    <row r="684" ht="15.75" customHeight="1">
      <c r="A684" s="1">
        <f>IFERROR(__xludf.DUMMYFUNCTION("""COMPUTED_VALUE"""),44862.66666666667)</f>
        <v>44862.66667</v>
      </c>
      <c r="B684" s="2">
        <f>IFERROR(__xludf.DUMMYFUNCTION("""COMPUTED_VALUE"""),669.63)</f>
        <v>669.63</v>
      </c>
      <c r="C684" s="2">
        <f>IFERROR(__xludf.DUMMYFUNCTION("""COMPUTED_VALUE"""),674.87)</f>
        <v>674.87</v>
      </c>
      <c r="D684" s="2">
        <f>IFERROR(__xludf.DUMMYFUNCTION("""COMPUTED_VALUE"""),633.01)</f>
        <v>633.01</v>
      </c>
      <c r="E684" s="2">
        <f>IFERROR(__xludf.DUMMYFUNCTION("""COMPUTED_VALUE"""),648.71)</f>
        <v>648.71</v>
      </c>
      <c r="F684" s="2">
        <f>IFERROR(__xludf.DUMMYFUNCTION("""COMPUTED_VALUE"""),2.1288E7)</f>
        <v>21288000</v>
      </c>
      <c r="G684" s="2">
        <f t="shared" si="1"/>
        <v>41.86</v>
      </c>
    </row>
    <row r="685" ht="15.75" customHeight="1">
      <c r="A685" s="1">
        <f>IFERROR(__xludf.DUMMYFUNCTION("""COMPUTED_VALUE"""),44865.66666666667)</f>
        <v>44865.66667</v>
      </c>
      <c r="B685" s="2">
        <f>IFERROR(__xludf.DUMMYFUNCTION("""COMPUTED_VALUE"""),648.71)</f>
        <v>648.71</v>
      </c>
      <c r="C685" s="2">
        <f>IFERROR(__xludf.DUMMYFUNCTION("""COMPUTED_VALUE"""),669.63)</f>
        <v>669.63</v>
      </c>
      <c r="D685" s="2">
        <f>IFERROR(__xludf.DUMMYFUNCTION("""COMPUTED_VALUE"""),617.32)</f>
        <v>617.32</v>
      </c>
      <c r="E685" s="2">
        <f>IFERROR(__xludf.DUMMYFUNCTION("""COMPUTED_VALUE"""),622.55)</f>
        <v>622.55</v>
      </c>
      <c r="F685" s="2">
        <f>IFERROR(__xludf.DUMMYFUNCTION("""COMPUTED_VALUE"""),3.48294E7)</f>
        <v>34829400</v>
      </c>
      <c r="G685" s="2">
        <f t="shared" si="1"/>
        <v>52.31</v>
      </c>
    </row>
    <row r="686" ht="15.75" customHeight="1">
      <c r="A686" s="1">
        <f>IFERROR(__xludf.DUMMYFUNCTION("""COMPUTED_VALUE"""),44866.625)</f>
        <v>44866.625</v>
      </c>
      <c r="B686" s="2">
        <f>IFERROR(__xludf.DUMMYFUNCTION("""COMPUTED_VALUE"""),622.55)</f>
        <v>622.55</v>
      </c>
      <c r="C686" s="2">
        <f>IFERROR(__xludf.DUMMYFUNCTION("""COMPUTED_VALUE"""),633.01)</f>
        <v>633.01</v>
      </c>
      <c r="D686" s="2">
        <f>IFERROR(__xludf.DUMMYFUNCTION("""COMPUTED_VALUE"""),580.7)</f>
        <v>580.7</v>
      </c>
      <c r="E686" s="2">
        <f>IFERROR(__xludf.DUMMYFUNCTION("""COMPUTED_VALUE"""),580.7)</f>
        <v>580.7</v>
      </c>
      <c r="F686" s="2">
        <f>IFERROR(__xludf.DUMMYFUNCTION("""COMPUTED_VALUE"""),5.74232E7)</f>
        <v>57423200</v>
      </c>
      <c r="G686" s="2">
        <f t="shared" si="1"/>
        <v>52.31</v>
      </c>
    </row>
    <row r="687" ht="15.75" customHeight="1">
      <c r="A687" s="1">
        <f>IFERROR(__xludf.DUMMYFUNCTION("""COMPUTED_VALUE"""),44867.625)</f>
        <v>44867.625</v>
      </c>
      <c r="B687" s="2">
        <f>IFERROR(__xludf.DUMMYFUNCTION("""COMPUTED_VALUE"""),554.54)</f>
        <v>554.54</v>
      </c>
      <c r="C687" s="2">
        <f>IFERROR(__xludf.DUMMYFUNCTION("""COMPUTED_VALUE"""),596.39)</f>
        <v>596.39</v>
      </c>
      <c r="D687" s="2">
        <f>IFERROR(__xludf.DUMMYFUNCTION("""COMPUTED_VALUE"""),554.54)</f>
        <v>554.54</v>
      </c>
      <c r="E687" s="2">
        <f>IFERROR(__xludf.DUMMYFUNCTION("""COMPUTED_VALUE"""),570.24)</f>
        <v>570.24</v>
      </c>
      <c r="F687" s="2">
        <f>IFERROR(__xludf.DUMMYFUNCTION("""COMPUTED_VALUE"""),2.97187E7)</f>
        <v>29718700</v>
      </c>
      <c r="G687" s="2">
        <f t="shared" si="1"/>
        <v>41.85</v>
      </c>
    </row>
    <row r="688" ht="15.75" customHeight="1">
      <c r="A688" s="1">
        <f>IFERROR(__xludf.DUMMYFUNCTION("""COMPUTED_VALUE"""),44868.66666666667)</f>
        <v>44868.66667</v>
      </c>
      <c r="B688" s="2">
        <f>IFERROR(__xludf.DUMMYFUNCTION("""COMPUTED_VALUE"""),570.24)</f>
        <v>570.24</v>
      </c>
      <c r="C688" s="2">
        <f>IFERROR(__xludf.DUMMYFUNCTION("""COMPUTED_VALUE"""),585.93)</f>
        <v>585.93</v>
      </c>
      <c r="D688" s="2">
        <f>IFERROR(__xludf.DUMMYFUNCTION("""COMPUTED_VALUE"""),554.54)</f>
        <v>554.54</v>
      </c>
      <c r="E688" s="2">
        <f>IFERROR(__xludf.DUMMYFUNCTION("""COMPUTED_VALUE"""),565.0)</f>
        <v>565</v>
      </c>
      <c r="F688" s="2">
        <f>IFERROR(__xludf.DUMMYFUNCTION("""COMPUTED_VALUE"""),3.25122E7)</f>
        <v>32512200</v>
      </c>
      <c r="G688" s="2">
        <f t="shared" si="1"/>
        <v>31.39</v>
      </c>
    </row>
    <row r="689" ht="15.75" customHeight="1">
      <c r="A689" s="1">
        <f>IFERROR(__xludf.DUMMYFUNCTION("""COMPUTED_VALUE"""),44869.66666666667)</f>
        <v>44869.66667</v>
      </c>
      <c r="B689" s="2">
        <f>IFERROR(__xludf.DUMMYFUNCTION("""COMPUTED_VALUE"""),565.0)</f>
        <v>565</v>
      </c>
      <c r="C689" s="2">
        <f>IFERROR(__xludf.DUMMYFUNCTION("""COMPUTED_VALUE"""),570.24)</f>
        <v>570.24</v>
      </c>
      <c r="D689" s="2">
        <f>IFERROR(__xludf.DUMMYFUNCTION("""COMPUTED_VALUE"""),533.61)</f>
        <v>533.61</v>
      </c>
      <c r="E689" s="2">
        <f>IFERROR(__xludf.DUMMYFUNCTION("""COMPUTED_VALUE"""),544.08)</f>
        <v>544.08</v>
      </c>
      <c r="F689" s="2">
        <f>IFERROR(__xludf.DUMMYFUNCTION("""COMPUTED_VALUE"""),3.11843E7)</f>
        <v>31184300</v>
      </c>
      <c r="G689" s="2">
        <f t="shared" si="1"/>
        <v>36.63</v>
      </c>
    </row>
    <row r="690" ht="15.75" customHeight="1">
      <c r="A690" s="1">
        <f>IFERROR(__xludf.DUMMYFUNCTION("""COMPUTED_VALUE"""),44872.66666666667)</f>
        <v>44872.66667</v>
      </c>
      <c r="B690" s="2">
        <f>IFERROR(__xludf.DUMMYFUNCTION("""COMPUTED_VALUE"""),544.08)</f>
        <v>544.08</v>
      </c>
      <c r="C690" s="2">
        <f>IFERROR(__xludf.DUMMYFUNCTION("""COMPUTED_VALUE"""),570.24)</f>
        <v>570.24</v>
      </c>
      <c r="D690" s="2">
        <f>IFERROR(__xludf.DUMMYFUNCTION("""COMPUTED_VALUE"""),533.61)</f>
        <v>533.61</v>
      </c>
      <c r="E690" s="2">
        <f>IFERROR(__xludf.DUMMYFUNCTION("""COMPUTED_VALUE"""),559.77)</f>
        <v>559.77</v>
      </c>
      <c r="F690" s="2">
        <f>IFERROR(__xludf.DUMMYFUNCTION("""COMPUTED_VALUE"""),1.87236E7)</f>
        <v>18723600</v>
      </c>
      <c r="G690" s="2">
        <f t="shared" si="1"/>
        <v>36.63</v>
      </c>
    </row>
    <row r="691" ht="15.75" customHeight="1">
      <c r="A691" s="1">
        <f>IFERROR(__xludf.DUMMYFUNCTION("""COMPUTED_VALUE"""),44873.66666666667)</f>
        <v>44873.66667</v>
      </c>
      <c r="B691" s="2">
        <f>IFERROR(__xludf.DUMMYFUNCTION("""COMPUTED_VALUE"""),559.77)</f>
        <v>559.77</v>
      </c>
      <c r="C691" s="2">
        <f>IFERROR(__xludf.DUMMYFUNCTION("""COMPUTED_VALUE"""),585.93)</f>
        <v>585.93</v>
      </c>
      <c r="D691" s="2">
        <f>IFERROR(__xludf.DUMMYFUNCTION("""COMPUTED_VALUE"""),544.08)</f>
        <v>544.08</v>
      </c>
      <c r="E691" s="2">
        <f>IFERROR(__xludf.DUMMYFUNCTION("""COMPUTED_VALUE"""),544.08)</f>
        <v>544.08</v>
      </c>
      <c r="F691" s="2">
        <f>IFERROR(__xludf.DUMMYFUNCTION("""COMPUTED_VALUE"""),2.97961E7)</f>
        <v>29796100</v>
      </c>
      <c r="G691" s="2">
        <f t="shared" si="1"/>
        <v>41.85</v>
      </c>
    </row>
    <row r="692" ht="15.75" customHeight="1">
      <c r="A692" s="1">
        <f>IFERROR(__xludf.DUMMYFUNCTION("""COMPUTED_VALUE"""),44874.66666666667)</f>
        <v>44874.66667</v>
      </c>
      <c r="B692" s="2">
        <f>IFERROR(__xludf.DUMMYFUNCTION("""COMPUTED_VALUE"""),544.08)</f>
        <v>544.08</v>
      </c>
      <c r="C692" s="2">
        <f>IFERROR(__xludf.DUMMYFUNCTION("""COMPUTED_VALUE"""),570.24)</f>
        <v>570.24</v>
      </c>
      <c r="D692" s="2">
        <f>IFERROR(__xludf.DUMMYFUNCTION("""COMPUTED_VALUE"""),538.85)</f>
        <v>538.85</v>
      </c>
      <c r="E692" s="2">
        <f>IFERROR(__xludf.DUMMYFUNCTION("""COMPUTED_VALUE"""),554.54)</f>
        <v>554.54</v>
      </c>
      <c r="F692" s="2">
        <f>IFERROR(__xludf.DUMMYFUNCTION("""COMPUTED_VALUE"""),2.87708E7)</f>
        <v>28770800</v>
      </c>
      <c r="G692" s="2">
        <f t="shared" si="1"/>
        <v>31.39</v>
      </c>
    </row>
    <row r="693" ht="15.75" customHeight="1">
      <c r="A693" s="1">
        <f>IFERROR(__xludf.DUMMYFUNCTION("""COMPUTED_VALUE"""),44875.66666666667)</f>
        <v>44875.66667</v>
      </c>
      <c r="B693" s="2">
        <f>IFERROR(__xludf.DUMMYFUNCTION("""COMPUTED_VALUE"""),554.54)</f>
        <v>554.54</v>
      </c>
      <c r="C693" s="2">
        <f>IFERROR(__xludf.DUMMYFUNCTION("""COMPUTED_VALUE"""),559.77)</f>
        <v>559.77</v>
      </c>
      <c r="D693" s="2">
        <f>IFERROR(__xludf.DUMMYFUNCTION("""COMPUTED_VALUE"""),533.61)</f>
        <v>533.61</v>
      </c>
      <c r="E693" s="2">
        <f>IFERROR(__xludf.DUMMYFUNCTION("""COMPUTED_VALUE"""),533.61)</f>
        <v>533.61</v>
      </c>
      <c r="F693" s="2">
        <f>IFERROR(__xludf.DUMMYFUNCTION("""COMPUTED_VALUE"""),2.70262E7)</f>
        <v>27026200</v>
      </c>
      <c r="G693" s="2">
        <f t="shared" si="1"/>
        <v>26.16</v>
      </c>
    </row>
    <row r="694" ht="15.75" customHeight="1">
      <c r="A694" s="1">
        <f>IFERROR(__xludf.DUMMYFUNCTION("""COMPUTED_VALUE"""),44876.66666666667)</f>
        <v>44876.66667</v>
      </c>
      <c r="B694" s="2">
        <f>IFERROR(__xludf.DUMMYFUNCTION("""COMPUTED_VALUE"""),533.61)</f>
        <v>533.61</v>
      </c>
      <c r="C694" s="2">
        <f>IFERROR(__xludf.DUMMYFUNCTION("""COMPUTED_VALUE"""),585.93)</f>
        <v>585.93</v>
      </c>
      <c r="D694" s="2">
        <f>IFERROR(__xludf.DUMMYFUNCTION("""COMPUTED_VALUE"""),533.61)</f>
        <v>533.61</v>
      </c>
      <c r="E694" s="2">
        <f>IFERROR(__xludf.DUMMYFUNCTION("""COMPUTED_VALUE"""),565.0)</f>
        <v>565</v>
      </c>
      <c r="F694" s="2">
        <f>IFERROR(__xludf.DUMMYFUNCTION("""COMPUTED_VALUE"""),8.99488E7)</f>
        <v>89948800</v>
      </c>
      <c r="G694" s="2">
        <f t="shared" si="1"/>
        <v>52.32</v>
      </c>
    </row>
    <row r="695" ht="15.75" customHeight="1">
      <c r="A695" s="1">
        <f>IFERROR(__xludf.DUMMYFUNCTION("""COMPUTED_VALUE"""),44879.66666666667)</f>
        <v>44879.66667</v>
      </c>
      <c r="B695" s="2">
        <f>IFERROR(__xludf.DUMMYFUNCTION("""COMPUTED_VALUE"""),565.0)</f>
        <v>565</v>
      </c>
      <c r="C695" s="2">
        <f>IFERROR(__xludf.DUMMYFUNCTION("""COMPUTED_VALUE"""),575.47)</f>
        <v>575.47</v>
      </c>
      <c r="D695" s="2">
        <f>IFERROR(__xludf.DUMMYFUNCTION("""COMPUTED_VALUE"""),544.08)</f>
        <v>544.08</v>
      </c>
      <c r="E695" s="2">
        <f>IFERROR(__xludf.DUMMYFUNCTION("""COMPUTED_VALUE"""),549.31)</f>
        <v>549.31</v>
      </c>
      <c r="F695" s="2">
        <f>IFERROR(__xludf.DUMMYFUNCTION("""COMPUTED_VALUE"""),3.45054E7)</f>
        <v>34505400</v>
      </c>
      <c r="G695" s="2">
        <f t="shared" si="1"/>
        <v>31.39</v>
      </c>
    </row>
    <row r="696" ht="15.75" customHeight="1">
      <c r="A696" s="1">
        <f>IFERROR(__xludf.DUMMYFUNCTION("""COMPUTED_VALUE"""),44880.66666666667)</f>
        <v>44880.66667</v>
      </c>
      <c r="B696" s="2">
        <f>IFERROR(__xludf.DUMMYFUNCTION("""COMPUTED_VALUE"""),549.31)</f>
        <v>549.31</v>
      </c>
      <c r="C696" s="2">
        <f>IFERROR(__xludf.DUMMYFUNCTION("""COMPUTED_VALUE"""),565.0)</f>
        <v>565</v>
      </c>
      <c r="D696" s="2">
        <f>IFERROR(__xludf.DUMMYFUNCTION("""COMPUTED_VALUE"""),538.85)</f>
        <v>538.85</v>
      </c>
      <c r="E696" s="2">
        <f>IFERROR(__xludf.DUMMYFUNCTION("""COMPUTED_VALUE"""),549.31)</f>
        <v>549.31</v>
      </c>
      <c r="F696" s="2">
        <f>IFERROR(__xludf.DUMMYFUNCTION("""COMPUTED_VALUE"""),1.6977E7)</f>
        <v>16977000</v>
      </c>
      <c r="G696" s="2">
        <f t="shared" si="1"/>
        <v>26.15</v>
      </c>
    </row>
    <row r="697" ht="15.75" customHeight="1">
      <c r="A697" s="1">
        <f>IFERROR(__xludf.DUMMYFUNCTION("""COMPUTED_VALUE"""),44881.66666666667)</f>
        <v>44881.66667</v>
      </c>
      <c r="B697" s="2">
        <f>IFERROR(__xludf.DUMMYFUNCTION("""COMPUTED_VALUE"""),549.31)</f>
        <v>549.31</v>
      </c>
      <c r="C697" s="2">
        <f>IFERROR(__xludf.DUMMYFUNCTION("""COMPUTED_VALUE"""),559.77)</f>
        <v>559.77</v>
      </c>
      <c r="D697" s="2">
        <f>IFERROR(__xludf.DUMMYFUNCTION("""COMPUTED_VALUE"""),544.08)</f>
        <v>544.08</v>
      </c>
      <c r="E697" s="2">
        <f>IFERROR(__xludf.DUMMYFUNCTION("""COMPUTED_VALUE"""),549.31)</f>
        <v>549.31</v>
      </c>
      <c r="F697" s="2">
        <f>IFERROR(__xludf.DUMMYFUNCTION("""COMPUTED_VALUE"""),1.30354E7)</f>
        <v>13035400</v>
      </c>
      <c r="G697" s="2">
        <f t="shared" si="1"/>
        <v>15.69</v>
      </c>
    </row>
    <row r="698" ht="15.75" customHeight="1">
      <c r="A698" s="1">
        <f>IFERROR(__xludf.DUMMYFUNCTION("""COMPUTED_VALUE"""),44882.66666666667)</f>
        <v>44882.66667</v>
      </c>
      <c r="B698" s="2">
        <f>IFERROR(__xludf.DUMMYFUNCTION("""COMPUTED_VALUE"""),549.31)</f>
        <v>549.31</v>
      </c>
      <c r="C698" s="2">
        <f>IFERROR(__xludf.DUMMYFUNCTION("""COMPUTED_VALUE"""),570.24)</f>
        <v>570.24</v>
      </c>
      <c r="D698" s="2">
        <f>IFERROR(__xludf.DUMMYFUNCTION("""COMPUTED_VALUE"""),544.08)</f>
        <v>544.08</v>
      </c>
      <c r="E698" s="2">
        <f>IFERROR(__xludf.DUMMYFUNCTION("""COMPUTED_VALUE"""),565.0)</f>
        <v>565</v>
      </c>
      <c r="F698" s="2">
        <f>IFERROR(__xludf.DUMMYFUNCTION("""COMPUTED_VALUE"""),2.48408E7)</f>
        <v>24840800</v>
      </c>
      <c r="G698" s="2">
        <f t="shared" si="1"/>
        <v>26.16</v>
      </c>
    </row>
    <row r="699" ht="15.75" customHeight="1">
      <c r="A699" s="1">
        <f>IFERROR(__xludf.DUMMYFUNCTION("""COMPUTED_VALUE"""),44883.66666666667)</f>
        <v>44883.66667</v>
      </c>
      <c r="B699" s="2">
        <f>IFERROR(__xludf.DUMMYFUNCTION("""COMPUTED_VALUE"""),565.0)</f>
        <v>565</v>
      </c>
      <c r="C699" s="2">
        <f>IFERROR(__xludf.DUMMYFUNCTION("""COMPUTED_VALUE"""),575.47)</f>
        <v>575.47</v>
      </c>
      <c r="D699" s="2">
        <f>IFERROR(__xludf.DUMMYFUNCTION("""COMPUTED_VALUE"""),549.31)</f>
        <v>549.31</v>
      </c>
      <c r="E699" s="2">
        <f>IFERROR(__xludf.DUMMYFUNCTION("""COMPUTED_VALUE"""),554.54)</f>
        <v>554.54</v>
      </c>
      <c r="F699" s="2">
        <f>IFERROR(__xludf.DUMMYFUNCTION("""COMPUTED_VALUE"""),2.23889E7)</f>
        <v>22388900</v>
      </c>
      <c r="G699" s="2">
        <f t="shared" si="1"/>
        <v>26.16</v>
      </c>
    </row>
    <row r="700" ht="15.75" customHeight="1">
      <c r="A700" s="1">
        <f>IFERROR(__xludf.DUMMYFUNCTION("""COMPUTED_VALUE"""),44886.66666666667)</f>
        <v>44886.66667</v>
      </c>
      <c r="B700" s="2">
        <f>IFERROR(__xludf.DUMMYFUNCTION("""COMPUTED_VALUE"""),554.54)</f>
        <v>554.54</v>
      </c>
      <c r="C700" s="2">
        <f>IFERROR(__xludf.DUMMYFUNCTION("""COMPUTED_VALUE"""),565.0)</f>
        <v>565</v>
      </c>
      <c r="D700" s="2">
        <f>IFERROR(__xludf.DUMMYFUNCTION("""COMPUTED_VALUE"""),544.08)</f>
        <v>544.08</v>
      </c>
      <c r="E700" s="2">
        <f>IFERROR(__xludf.DUMMYFUNCTION("""COMPUTED_VALUE"""),549.31)</f>
        <v>549.31</v>
      </c>
      <c r="F700" s="2">
        <f>IFERROR(__xludf.DUMMYFUNCTION("""COMPUTED_VALUE"""),1.37334E7)</f>
        <v>13733400</v>
      </c>
      <c r="G700" s="2">
        <f t="shared" si="1"/>
        <v>20.92</v>
      </c>
    </row>
    <row r="701" ht="15.75" customHeight="1">
      <c r="A701" s="1">
        <f>IFERROR(__xludf.DUMMYFUNCTION("""COMPUTED_VALUE"""),44887.66666666667)</f>
        <v>44887.66667</v>
      </c>
      <c r="B701" s="2">
        <f>IFERROR(__xludf.DUMMYFUNCTION("""COMPUTED_VALUE"""),549.31)</f>
        <v>549.31</v>
      </c>
      <c r="C701" s="2">
        <f>IFERROR(__xludf.DUMMYFUNCTION("""COMPUTED_VALUE"""),559.77)</f>
        <v>559.77</v>
      </c>
      <c r="D701" s="2">
        <f>IFERROR(__xludf.DUMMYFUNCTION("""COMPUTED_VALUE"""),533.61)</f>
        <v>533.61</v>
      </c>
      <c r="E701" s="2">
        <f>IFERROR(__xludf.DUMMYFUNCTION("""COMPUTED_VALUE"""),538.85)</f>
        <v>538.85</v>
      </c>
      <c r="F701" s="2">
        <f>IFERROR(__xludf.DUMMYFUNCTION("""COMPUTED_VALUE"""),2.09288E7)</f>
        <v>20928800</v>
      </c>
      <c r="G701" s="2">
        <f t="shared" si="1"/>
        <v>26.16</v>
      </c>
    </row>
    <row r="702" ht="15.75" customHeight="1">
      <c r="A702" s="1">
        <f>IFERROR(__xludf.DUMMYFUNCTION("""COMPUTED_VALUE"""),44888.66666666667)</f>
        <v>44888.66667</v>
      </c>
      <c r="B702" s="2">
        <f>IFERROR(__xludf.DUMMYFUNCTION("""COMPUTED_VALUE"""),544.08)</f>
        <v>544.08</v>
      </c>
      <c r="C702" s="2">
        <f>IFERROR(__xludf.DUMMYFUNCTION("""COMPUTED_VALUE"""),554.54)</f>
        <v>554.54</v>
      </c>
      <c r="D702" s="2">
        <f>IFERROR(__xludf.DUMMYFUNCTION("""COMPUTED_VALUE"""),538.85)</f>
        <v>538.85</v>
      </c>
      <c r="E702" s="2">
        <f>IFERROR(__xludf.DUMMYFUNCTION("""COMPUTED_VALUE"""),544.08)</f>
        <v>544.08</v>
      </c>
      <c r="F702" s="2">
        <f>IFERROR(__xludf.DUMMYFUNCTION("""COMPUTED_VALUE"""),1.44238E7)</f>
        <v>14423800</v>
      </c>
      <c r="G702" s="2">
        <f t="shared" si="1"/>
        <v>15.69</v>
      </c>
    </row>
    <row r="703" ht="15.75" customHeight="1">
      <c r="A703" s="1">
        <f>IFERROR(__xludf.DUMMYFUNCTION("""COMPUTED_VALUE"""),44889.66666666667)</f>
        <v>44889.66667</v>
      </c>
      <c r="B703" s="2">
        <f>IFERROR(__xludf.DUMMYFUNCTION("""COMPUTED_VALUE"""),549.31)</f>
        <v>549.31</v>
      </c>
      <c r="C703" s="2">
        <f>IFERROR(__xludf.DUMMYFUNCTION("""COMPUTED_VALUE"""),570.24)</f>
        <v>570.24</v>
      </c>
      <c r="D703" s="2">
        <f>IFERROR(__xludf.DUMMYFUNCTION("""COMPUTED_VALUE"""),544.08)</f>
        <v>544.08</v>
      </c>
      <c r="E703" s="2">
        <f>IFERROR(__xludf.DUMMYFUNCTION("""COMPUTED_VALUE"""),554.54)</f>
        <v>554.54</v>
      </c>
      <c r="F703" s="2">
        <f>IFERROR(__xludf.DUMMYFUNCTION("""COMPUTED_VALUE"""),2.58881E7)</f>
        <v>25888100</v>
      </c>
      <c r="G703" s="2">
        <f t="shared" si="1"/>
        <v>26.16</v>
      </c>
    </row>
    <row r="704" ht="15.75" customHeight="1">
      <c r="A704" s="1">
        <f>IFERROR(__xludf.DUMMYFUNCTION("""COMPUTED_VALUE"""),44890.66666666667)</f>
        <v>44890.66667</v>
      </c>
      <c r="B704" s="2">
        <f>IFERROR(__xludf.DUMMYFUNCTION("""COMPUTED_VALUE"""),559.77)</f>
        <v>559.77</v>
      </c>
      <c r="C704" s="2">
        <f>IFERROR(__xludf.DUMMYFUNCTION("""COMPUTED_VALUE"""),565.0)</f>
        <v>565</v>
      </c>
      <c r="D704" s="2">
        <f>IFERROR(__xludf.DUMMYFUNCTION("""COMPUTED_VALUE"""),538.85)</f>
        <v>538.85</v>
      </c>
      <c r="E704" s="2">
        <f>IFERROR(__xludf.DUMMYFUNCTION("""COMPUTED_VALUE"""),538.85)</f>
        <v>538.85</v>
      </c>
      <c r="F704" s="2">
        <f>IFERROR(__xludf.DUMMYFUNCTION("""COMPUTED_VALUE"""),1.12289E7)</f>
        <v>11228900</v>
      </c>
      <c r="G704" s="2">
        <f t="shared" si="1"/>
        <v>26.15</v>
      </c>
    </row>
    <row r="705" ht="15.75" customHeight="1">
      <c r="A705" s="1">
        <f>IFERROR(__xludf.DUMMYFUNCTION("""COMPUTED_VALUE"""),44893.66666666667)</f>
        <v>44893.66667</v>
      </c>
      <c r="B705" s="2">
        <f>IFERROR(__xludf.DUMMYFUNCTION("""COMPUTED_VALUE"""),544.08)</f>
        <v>544.08</v>
      </c>
      <c r="C705" s="2">
        <f>IFERROR(__xludf.DUMMYFUNCTION("""COMPUTED_VALUE"""),544.08)</f>
        <v>544.08</v>
      </c>
      <c r="D705" s="2">
        <f>IFERROR(__xludf.DUMMYFUNCTION("""COMPUTED_VALUE"""),504.32)</f>
        <v>504.32</v>
      </c>
      <c r="E705" s="2">
        <f>IFERROR(__xludf.DUMMYFUNCTION("""COMPUTED_VALUE"""),506.41)</f>
        <v>506.41</v>
      </c>
      <c r="F705" s="2">
        <f>IFERROR(__xludf.DUMMYFUNCTION("""COMPUTED_VALUE"""),5.17329E7)</f>
        <v>51732900</v>
      </c>
      <c r="G705" s="2">
        <f t="shared" si="1"/>
        <v>39.76</v>
      </c>
    </row>
    <row r="706" ht="15.75" customHeight="1">
      <c r="A706" s="1">
        <f>IFERROR(__xludf.DUMMYFUNCTION("""COMPUTED_VALUE"""),44894.66666666667)</f>
        <v>44894.66667</v>
      </c>
      <c r="B706" s="2">
        <f>IFERROR(__xludf.DUMMYFUNCTION("""COMPUTED_VALUE"""),506.41)</f>
        <v>506.41</v>
      </c>
      <c r="C706" s="2">
        <f>IFERROR(__xludf.DUMMYFUNCTION("""COMPUTED_VALUE"""),516.87)</f>
        <v>516.87</v>
      </c>
      <c r="D706" s="2">
        <f>IFERROR(__xludf.DUMMYFUNCTION("""COMPUTED_VALUE"""),504.32)</f>
        <v>504.32</v>
      </c>
      <c r="E706" s="2">
        <f>IFERROR(__xludf.DUMMYFUNCTION("""COMPUTED_VALUE"""),508.5)</f>
        <v>508.5</v>
      </c>
      <c r="F706" s="2">
        <f>IFERROR(__xludf.DUMMYFUNCTION("""COMPUTED_VALUE"""),1.34775E7)</f>
        <v>13477500</v>
      </c>
      <c r="G706" s="2">
        <f t="shared" si="1"/>
        <v>12.55</v>
      </c>
    </row>
    <row r="707" ht="15.75" customHeight="1">
      <c r="A707" s="1">
        <f>IFERROR(__xludf.DUMMYFUNCTION("""COMPUTED_VALUE"""),44895.66666666667)</f>
        <v>44895.66667</v>
      </c>
      <c r="B707" s="2">
        <f>IFERROR(__xludf.DUMMYFUNCTION("""COMPUTED_VALUE"""),510.6)</f>
        <v>510.6</v>
      </c>
      <c r="C707" s="2">
        <f>IFERROR(__xludf.DUMMYFUNCTION("""COMPUTED_VALUE"""),510.6)</f>
        <v>510.6</v>
      </c>
      <c r="D707" s="2">
        <f>IFERROR(__xludf.DUMMYFUNCTION("""COMPUTED_VALUE"""),495.95)</f>
        <v>495.95</v>
      </c>
      <c r="E707" s="2">
        <f>IFERROR(__xludf.DUMMYFUNCTION("""COMPUTED_VALUE"""),498.04)</f>
        <v>498.04</v>
      </c>
      <c r="F707" s="2">
        <f>IFERROR(__xludf.DUMMYFUNCTION("""COMPUTED_VALUE"""),1.48916E7)</f>
        <v>14891600</v>
      </c>
      <c r="G707" s="2">
        <f t="shared" si="1"/>
        <v>14.65</v>
      </c>
    </row>
    <row r="708" ht="15.75" customHeight="1">
      <c r="A708" s="1">
        <f>IFERROR(__xludf.DUMMYFUNCTION("""COMPUTED_VALUE"""),44896.66666666667)</f>
        <v>44896.66667</v>
      </c>
      <c r="B708" s="2">
        <f>IFERROR(__xludf.DUMMYFUNCTION("""COMPUTED_VALUE"""),500.13)</f>
        <v>500.13</v>
      </c>
      <c r="C708" s="2">
        <f>IFERROR(__xludf.DUMMYFUNCTION("""COMPUTED_VALUE"""),506.41)</f>
        <v>506.41</v>
      </c>
      <c r="D708" s="2">
        <f>IFERROR(__xludf.DUMMYFUNCTION("""COMPUTED_VALUE"""),493.86)</f>
        <v>493.86</v>
      </c>
      <c r="E708" s="2">
        <f>IFERROR(__xludf.DUMMYFUNCTION("""COMPUTED_VALUE"""),498.04)</f>
        <v>498.04</v>
      </c>
      <c r="F708" s="2">
        <f>IFERROR(__xludf.DUMMYFUNCTION("""COMPUTED_VALUE"""),1.80996E7)</f>
        <v>18099600</v>
      </c>
      <c r="G708" s="2">
        <f t="shared" si="1"/>
        <v>12.55</v>
      </c>
    </row>
    <row r="709" ht="15.75" customHeight="1">
      <c r="A709" s="1">
        <f>IFERROR(__xludf.DUMMYFUNCTION("""COMPUTED_VALUE"""),44897.66666666667)</f>
        <v>44897.66667</v>
      </c>
      <c r="B709" s="2">
        <f>IFERROR(__xludf.DUMMYFUNCTION("""COMPUTED_VALUE"""),502.23)</f>
        <v>502.23</v>
      </c>
      <c r="C709" s="2">
        <f>IFERROR(__xludf.DUMMYFUNCTION("""COMPUTED_VALUE"""),533.61)</f>
        <v>533.61</v>
      </c>
      <c r="D709" s="2">
        <f>IFERROR(__xludf.DUMMYFUNCTION("""COMPUTED_VALUE"""),500.13)</f>
        <v>500.13</v>
      </c>
      <c r="E709" s="2">
        <f>IFERROR(__xludf.DUMMYFUNCTION("""COMPUTED_VALUE"""),523.15)</f>
        <v>523.15</v>
      </c>
      <c r="F709" s="2">
        <f>IFERROR(__xludf.DUMMYFUNCTION("""COMPUTED_VALUE"""),3.91084E7)</f>
        <v>39108400</v>
      </c>
      <c r="G709" s="2">
        <f t="shared" si="1"/>
        <v>35.57</v>
      </c>
    </row>
    <row r="710" ht="15.75" customHeight="1">
      <c r="A710" s="1">
        <f>IFERROR(__xludf.DUMMYFUNCTION("""COMPUTED_VALUE"""),44900.66666666667)</f>
        <v>44900.66667</v>
      </c>
      <c r="B710" s="2">
        <f>IFERROR(__xludf.DUMMYFUNCTION("""COMPUTED_VALUE"""),533.61)</f>
        <v>533.61</v>
      </c>
      <c r="C710" s="2">
        <f>IFERROR(__xludf.DUMMYFUNCTION("""COMPUTED_VALUE"""),533.61)</f>
        <v>533.61</v>
      </c>
      <c r="D710" s="2">
        <f>IFERROR(__xludf.DUMMYFUNCTION("""COMPUTED_VALUE"""),498.04)</f>
        <v>498.04</v>
      </c>
      <c r="E710" s="2">
        <f>IFERROR(__xludf.DUMMYFUNCTION("""COMPUTED_VALUE"""),504.32)</f>
        <v>504.32</v>
      </c>
      <c r="F710" s="2">
        <f>IFERROR(__xludf.DUMMYFUNCTION("""COMPUTED_VALUE"""),3.30688E7)</f>
        <v>33068800</v>
      </c>
      <c r="G710" s="2">
        <f t="shared" si="1"/>
        <v>35.57</v>
      </c>
    </row>
    <row r="711" ht="15.75" customHeight="1">
      <c r="A711" s="1">
        <f>IFERROR(__xludf.DUMMYFUNCTION("""COMPUTED_VALUE"""),44901.66666666667)</f>
        <v>44901.66667</v>
      </c>
      <c r="B711" s="2">
        <f>IFERROR(__xludf.DUMMYFUNCTION("""COMPUTED_VALUE"""),506.41)</f>
        <v>506.41</v>
      </c>
      <c r="C711" s="2">
        <f>IFERROR(__xludf.DUMMYFUNCTION("""COMPUTED_VALUE"""),510.6)</f>
        <v>510.6</v>
      </c>
      <c r="D711" s="2">
        <f>IFERROR(__xludf.DUMMYFUNCTION("""COMPUTED_VALUE"""),491.76)</f>
        <v>491.76</v>
      </c>
      <c r="E711" s="2">
        <f>IFERROR(__xludf.DUMMYFUNCTION("""COMPUTED_VALUE"""),495.95)</f>
        <v>495.95</v>
      </c>
      <c r="F711" s="2">
        <f>IFERROR(__xludf.DUMMYFUNCTION("""COMPUTED_VALUE"""),1.96946E7)</f>
        <v>19694600</v>
      </c>
      <c r="G711" s="2">
        <f t="shared" si="1"/>
        <v>18.84</v>
      </c>
    </row>
    <row r="712" ht="15.75" customHeight="1">
      <c r="A712" s="1">
        <f>IFERROR(__xludf.DUMMYFUNCTION("""COMPUTED_VALUE"""),44902.66666666667)</f>
        <v>44902.66667</v>
      </c>
      <c r="B712" s="2">
        <f>IFERROR(__xludf.DUMMYFUNCTION("""COMPUTED_VALUE"""),495.95)</f>
        <v>495.95</v>
      </c>
      <c r="C712" s="2">
        <f>IFERROR(__xludf.DUMMYFUNCTION("""COMPUTED_VALUE"""),500.13)</f>
        <v>500.13</v>
      </c>
      <c r="D712" s="2">
        <f>IFERROR(__xludf.DUMMYFUNCTION("""COMPUTED_VALUE"""),483.39)</f>
        <v>483.39</v>
      </c>
      <c r="E712" s="2">
        <f>IFERROR(__xludf.DUMMYFUNCTION("""COMPUTED_VALUE"""),483.39)</f>
        <v>483.39</v>
      </c>
      <c r="F712" s="2">
        <f>IFERROR(__xludf.DUMMYFUNCTION("""COMPUTED_VALUE"""),1.43846E7)</f>
        <v>14384600</v>
      </c>
      <c r="G712" s="2">
        <f t="shared" si="1"/>
        <v>16.74</v>
      </c>
    </row>
    <row r="713" ht="15.75" customHeight="1">
      <c r="A713" s="1">
        <f>IFERROR(__xludf.DUMMYFUNCTION("""COMPUTED_VALUE"""),44903.66666666667)</f>
        <v>44903.66667</v>
      </c>
      <c r="B713" s="2">
        <f>IFERROR(__xludf.DUMMYFUNCTION("""COMPUTED_VALUE"""),483.39)</f>
        <v>483.39</v>
      </c>
      <c r="C713" s="2">
        <f>IFERROR(__xludf.DUMMYFUNCTION("""COMPUTED_VALUE"""),487.58)</f>
        <v>487.58</v>
      </c>
      <c r="D713" s="2">
        <f>IFERROR(__xludf.DUMMYFUNCTION("""COMPUTED_VALUE"""),460.37)</f>
        <v>460.37</v>
      </c>
      <c r="E713" s="2">
        <f>IFERROR(__xludf.DUMMYFUNCTION("""COMPUTED_VALUE"""),479.21)</f>
        <v>479.21</v>
      </c>
      <c r="F713" s="2">
        <f>IFERROR(__xludf.DUMMYFUNCTION("""COMPUTED_VALUE"""),1.54607E7)</f>
        <v>15460700</v>
      </c>
      <c r="G713" s="2">
        <f t="shared" si="1"/>
        <v>27.21</v>
      </c>
    </row>
    <row r="714" ht="15.75" customHeight="1">
      <c r="A714" s="1">
        <f>IFERROR(__xludf.DUMMYFUNCTION("""COMPUTED_VALUE"""),44904.66666666667)</f>
        <v>44904.66667</v>
      </c>
      <c r="B714" s="2">
        <f>IFERROR(__xludf.DUMMYFUNCTION("""COMPUTED_VALUE"""),458.0)</f>
        <v>458</v>
      </c>
      <c r="C714" s="2">
        <f>IFERROR(__xludf.DUMMYFUNCTION("""COMPUTED_VALUE"""),462.0)</f>
        <v>462</v>
      </c>
      <c r="D714" s="2">
        <f>IFERROR(__xludf.DUMMYFUNCTION("""COMPUTED_VALUE"""),446.0)</f>
        <v>446</v>
      </c>
      <c r="E714" s="2">
        <f>IFERROR(__xludf.DUMMYFUNCTION("""COMPUTED_VALUE"""),446.0)</f>
        <v>446</v>
      </c>
      <c r="F714" s="2">
        <f>IFERROR(__xludf.DUMMYFUNCTION("""COMPUTED_VALUE"""),8352800.0)</f>
        <v>8352800</v>
      </c>
      <c r="G714" s="2">
        <f t="shared" si="1"/>
        <v>33.21</v>
      </c>
    </row>
    <row r="715" ht="15.75" customHeight="1">
      <c r="A715" s="1">
        <f>IFERROR(__xludf.DUMMYFUNCTION("""COMPUTED_VALUE"""),44907.66666666667)</f>
        <v>44907.66667</v>
      </c>
      <c r="B715" s="2">
        <f>IFERROR(__xludf.DUMMYFUNCTION("""COMPUTED_VALUE"""),448.0)</f>
        <v>448</v>
      </c>
      <c r="C715" s="2">
        <f>IFERROR(__xludf.DUMMYFUNCTION("""COMPUTED_VALUE"""),448.0)</f>
        <v>448</v>
      </c>
      <c r="D715" s="2">
        <f>IFERROR(__xludf.DUMMYFUNCTION("""COMPUTED_VALUE"""),442.0)</f>
        <v>442</v>
      </c>
      <c r="E715" s="2">
        <f>IFERROR(__xludf.DUMMYFUNCTION("""COMPUTED_VALUE"""),444.0)</f>
        <v>444</v>
      </c>
      <c r="F715" s="2">
        <f>IFERROR(__xludf.DUMMYFUNCTION("""COMPUTED_VALUE"""),5650500.0)</f>
        <v>5650500</v>
      </c>
      <c r="G715" s="2">
        <f t="shared" si="1"/>
        <v>6</v>
      </c>
    </row>
    <row r="716" ht="15.75" customHeight="1">
      <c r="A716" s="1">
        <f>IFERROR(__xludf.DUMMYFUNCTION("""COMPUTED_VALUE"""),44908.66666666667)</f>
        <v>44908.66667</v>
      </c>
      <c r="B716" s="2">
        <f>IFERROR(__xludf.DUMMYFUNCTION("""COMPUTED_VALUE"""),448.0)</f>
        <v>448</v>
      </c>
      <c r="C716" s="2">
        <f>IFERROR(__xludf.DUMMYFUNCTION("""COMPUTED_VALUE"""),464.0)</f>
        <v>464</v>
      </c>
      <c r="D716" s="2">
        <f>IFERROR(__xludf.DUMMYFUNCTION("""COMPUTED_VALUE"""),444.0)</f>
        <v>444</v>
      </c>
      <c r="E716" s="2">
        <f>IFERROR(__xludf.DUMMYFUNCTION("""COMPUTED_VALUE"""),456.0)</f>
        <v>456</v>
      </c>
      <c r="F716" s="2">
        <f>IFERROR(__xludf.DUMMYFUNCTION("""COMPUTED_VALUE"""),1.97807E7)</f>
        <v>19780700</v>
      </c>
      <c r="G716" s="2">
        <f t="shared" si="1"/>
        <v>20</v>
      </c>
    </row>
    <row r="717" ht="15.75" customHeight="1">
      <c r="A717" s="1">
        <f>IFERROR(__xludf.DUMMYFUNCTION("""COMPUTED_VALUE"""),44909.66666666667)</f>
        <v>44909.66667</v>
      </c>
      <c r="B717" s="2">
        <f>IFERROR(__xludf.DUMMYFUNCTION("""COMPUTED_VALUE"""),462.0)</f>
        <v>462</v>
      </c>
      <c r="C717" s="2">
        <f>IFERROR(__xludf.DUMMYFUNCTION("""COMPUTED_VALUE"""),474.0)</f>
        <v>474</v>
      </c>
      <c r="D717" s="2">
        <f>IFERROR(__xludf.DUMMYFUNCTION("""COMPUTED_VALUE"""),456.0)</f>
        <v>456</v>
      </c>
      <c r="E717" s="2">
        <f>IFERROR(__xludf.DUMMYFUNCTION("""COMPUTED_VALUE"""),458.0)</f>
        <v>458</v>
      </c>
      <c r="F717" s="2">
        <f>IFERROR(__xludf.DUMMYFUNCTION("""COMPUTED_VALUE"""),3.70228E7)</f>
        <v>37022800</v>
      </c>
      <c r="G717" s="2">
        <f t="shared" si="1"/>
        <v>18</v>
      </c>
    </row>
    <row r="718" ht="15.75" customHeight="1">
      <c r="A718" s="1">
        <f>IFERROR(__xludf.DUMMYFUNCTION("""COMPUTED_VALUE"""),44910.66666666667)</f>
        <v>44910.66667</v>
      </c>
      <c r="B718" s="2">
        <f>IFERROR(__xludf.DUMMYFUNCTION("""COMPUTED_VALUE"""),454.0)</f>
        <v>454</v>
      </c>
      <c r="C718" s="2">
        <f>IFERROR(__xludf.DUMMYFUNCTION("""COMPUTED_VALUE"""),462.0)</f>
        <v>462</v>
      </c>
      <c r="D718" s="2">
        <f>IFERROR(__xludf.DUMMYFUNCTION("""COMPUTED_VALUE"""),454.0)</f>
        <v>454</v>
      </c>
      <c r="E718" s="2">
        <f>IFERROR(__xludf.DUMMYFUNCTION("""COMPUTED_VALUE"""),456.0)</f>
        <v>456</v>
      </c>
      <c r="F718" s="2">
        <f>IFERROR(__xludf.DUMMYFUNCTION("""COMPUTED_VALUE"""),1.07049E7)</f>
        <v>10704900</v>
      </c>
      <c r="G718" s="2">
        <f t="shared" si="1"/>
        <v>8</v>
      </c>
    </row>
    <row r="719" ht="15.75" customHeight="1">
      <c r="A719" s="1">
        <f>IFERROR(__xludf.DUMMYFUNCTION("""COMPUTED_VALUE"""),44911.66666666667)</f>
        <v>44911.66667</v>
      </c>
      <c r="B719" s="2">
        <f>IFERROR(__xludf.DUMMYFUNCTION("""COMPUTED_VALUE"""),456.0)</f>
        <v>456</v>
      </c>
      <c r="C719" s="2">
        <f>IFERROR(__xludf.DUMMYFUNCTION("""COMPUTED_VALUE"""),460.0)</f>
        <v>460</v>
      </c>
      <c r="D719" s="2">
        <f>IFERROR(__xludf.DUMMYFUNCTION("""COMPUTED_VALUE"""),448.0)</f>
        <v>448</v>
      </c>
      <c r="E719" s="2">
        <f>IFERROR(__xludf.DUMMYFUNCTION("""COMPUTED_VALUE"""),450.0)</f>
        <v>450</v>
      </c>
      <c r="F719" s="2">
        <f>IFERROR(__xludf.DUMMYFUNCTION("""COMPUTED_VALUE"""),9656400.0)</f>
        <v>9656400</v>
      </c>
      <c r="G719" s="2">
        <f t="shared" si="1"/>
        <v>12</v>
      </c>
    </row>
    <row r="720" ht="15.75" customHeight="1">
      <c r="A720" s="1">
        <f>IFERROR(__xludf.DUMMYFUNCTION("""COMPUTED_VALUE"""),44914.66666666667)</f>
        <v>44914.66667</v>
      </c>
      <c r="B720" s="2">
        <f>IFERROR(__xludf.DUMMYFUNCTION("""COMPUTED_VALUE"""),450.0)</f>
        <v>450</v>
      </c>
      <c r="C720" s="2">
        <f>IFERROR(__xludf.DUMMYFUNCTION("""COMPUTED_VALUE"""),458.0)</f>
        <v>458</v>
      </c>
      <c r="D720" s="2">
        <f>IFERROR(__xludf.DUMMYFUNCTION("""COMPUTED_VALUE"""),442.0)</f>
        <v>442</v>
      </c>
      <c r="E720" s="2">
        <f>IFERROR(__xludf.DUMMYFUNCTION("""COMPUTED_VALUE"""),442.0)</f>
        <v>442</v>
      </c>
      <c r="F720" s="2">
        <f>IFERROR(__xludf.DUMMYFUNCTION("""COMPUTED_VALUE"""),9813200.0)</f>
        <v>9813200</v>
      </c>
      <c r="G720" s="2">
        <f t="shared" si="1"/>
        <v>16</v>
      </c>
    </row>
    <row r="721" ht="15.75" customHeight="1">
      <c r="A721" s="1">
        <f>IFERROR(__xludf.DUMMYFUNCTION("""COMPUTED_VALUE"""),44915.66666666667)</f>
        <v>44915.66667</v>
      </c>
      <c r="B721" s="2">
        <f>IFERROR(__xludf.DUMMYFUNCTION("""COMPUTED_VALUE"""),444.0)</f>
        <v>444</v>
      </c>
      <c r="C721" s="2">
        <f>IFERROR(__xludf.DUMMYFUNCTION("""COMPUTED_VALUE"""),448.0)</f>
        <v>448</v>
      </c>
      <c r="D721" s="2">
        <f>IFERROR(__xludf.DUMMYFUNCTION("""COMPUTED_VALUE"""),442.0)</f>
        <v>442</v>
      </c>
      <c r="E721" s="2">
        <f>IFERROR(__xludf.DUMMYFUNCTION("""COMPUTED_VALUE"""),444.0)</f>
        <v>444</v>
      </c>
      <c r="F721" s="2">
        <f>IFERROR(__xludf.DUMMYFUNCTION("""COMPUTED_VALUE"""),3919300.0)</f>
        <v>3919300</v>
      </c>
      <c r="G721" s="2">
        <f t="shared" si="1"/>
        <v>6</v>
      </c>
    </row>
    <row r="722" ht="15.75" customHeight="1">
      <c r="A722" s="1">
        <f>IFERROR(__xludf.DUMMYFUNCTION("""COMPUTED_VALUE"""),44916.66666666667)</f>
        <v>44916.66667</v>
      </c>
      <c r="B722" s="2">
        <f>IFERROR(__xludf.DUMMYFUNCTION("""COMPUTED_VALUE"""),444.0)</f>
        <v>444</v>
      </c>
      <c r="C722" s="2">
        <f>IFERROR(__xludf.DUMMYFUNCTION("""COMPUTED_VALUE"""),458.0)</f>
        <v>458</v>
      </c>
      <c r="D722" s="2">
        <f>IFERROR(__xludf.DUMMYFUNCTION("""COMPUTED_VALUE"""),444.0)</f>
        <v>444</v>
      </c>
      <c r="E722" s="2">
        <f>IFERROR(__xludf.DUMMYFUNCTION("""COMPUTED_VALUE"""),454.0)</f>
        <v>454</v>
      </c>
      <c r="F722" s="2">
        <f>IFERROR(__xludf.DUMMYFUNCTION("""COMPUTED_VALUE"""),2.26849E7)</f>
        <v>22684900</v>
      </c>
      <c r="G722" s="2">
        <f t="shared" si="1"/>
        <v>14</v>
      </c>
    </row>
    <row r="723" ht="15.75" customHeight="1">
      <c r="A723" s="1">
        <f>IFERROR(__xludf.DUMMYFUNCTION("""COMPUTED_VALUE"""),44917.66666666667)</f>
        <v>44917.66667</v>
      </c>
      <c r="B723" s="2">
        <f>IFERROR(__xludf.DUMMYFUNCTION("""COMPUTED_VALUE"""),456.0)</f>
        <v>456</v>
      </c>
      <c r="C723" s="2">
        <f>IFERROR(__xludf.DUMMYFUNCTION("""COMPUTED_VALUE"""),468.0)</f>
        <v>468</v>
      </c>
      <c r="D723" s="2">
        <f>IFERROR(__xludf.DUMMYFUNCTION("""COMPUTED_VALUE"""),448.0)</f>
        <v>448</v>
      </c>
      <c r="E723" s="2">
        <f>IFERROR(__xludf.DUMMYFUNCTION("""COMPUTED_VALUE"""),460.0)</f>
        <v>460</v>
      </c>
      <c r="F723" s="2">
        <f>IFERROR(__xludf.DUMMYFUNCTION("""COMPUTED_VALUE"""),3.23093E7)</f>
        <v>32309300</v>
      </c>
      <c r="G723" s="2">
        <f t="shared" si="1"/>
        <v>20</v>
      </c>
    </row>
    <row r="724" ht="15.75" customHeight="1">
      <c r="A724" s="1">
        <f>IFERROR(__xludf.DUMMYFUNCTION("""COMPUTED_VALUE"""),44918.66666666667)</f>
        <v>44918.66667</v>
      </c>
      <c r="B724" s="2">
        <f>IFERROR(__xludf.DUMMYFUNCTION("""COMPUTED_VALUE"""),460.0)</f>
        <v>460</v>
      </c>
      <c r="C724" s="2">
        <f>IFERROR(__xludf.DUMMYFUNCTION("""COMPUTED_VALUE"""),462.0)</f>
        <v>462</v>
      </c>
      <c r="D724" s="2">
        <f>IFERROR(__xludf.DUMMYFUNCTION("""COMPUTED_VALUE"""),450.0)</f>
        <v>450</v>
      </c>
      <c r="E724" s="2">
        <f>IFERROR(__xludf.DUMMYFUNCTION("""COMPUTED_VALUE"""),450.0)</f>
        <v>450</v>
      </c>
      <c r="F724" s="2">
        <f>IFERROR(__xludf.DUMMYFUNCTION("""COMPUTED_VALUE"""),1.10966E7)</f>
        <v>11096600</v>
      </c>
      <c r="G724" s="2">
        <f t="shared" si="1"/>
        <v>12</v>
      </c>
    </row>
    <row r="725" ht="15.75" customHeight="1">
      <c r="A725" s="1">
        <f>IFERROR(__xludf.DUMMYFUNCTION("""COMPUTED_VALUE"""),44921.66666666667)</f>
        <v>44921.66667</v>
      </c>
      <c r="B725" s="2">
        <f>IFERROR(__xludf.DUMMYFUNCTION("""COMPUTED_VALUE"""),450.0)</f>
        <v>450</v>
      </c>
      <c r="C725" s="2">
        <f>IFERROR(__xludf.DUMMYFUNCTION("""COMPUTED_VALUE"""),462.0)</f>
        <v>462</v>
      </c>
      <c r="D725" s="2">
        <f>IFERROR(__xludf.DUMMYFUNCTION("""COMPUTED_VALUE"""),448.0)</f>
        <v>448</v>
      </c>
      <c r="E725" s="2">
        <f>IFERROR(__xludf.DUMMYFUNCTION("""COMPUTED_VALUE"""),456.0)</f>
        <v>456</v>
      </c>
      <c r="F725" s="2">
        <f>IFERROR(__xludf.DUMMYFUNCTION("""COMPUTED_VALUE"""),1.88329E7)</f>
        <v>18832900</v>
      </c>
      <c r="G725" s="2">
        <f t="shared" si="1"/>
        <v>14</v>
      </c>
    </row>
    <row r="726" ht="15.75" customHeight="1">
      <c r="A726" s="1">
        <f>IFERROR(__xludf.DUMMYFUNCTION("""COMPUTED_VALUE"""),44922.66666666667)</f>
        <v>44922.66667</v>
      </c>
      <c r="B726" s="2">
        <f>IFERROR(__xludf.DUMMYFUNCTION("""COMPUTED_VALUE"""),456.0)</f>
        <v>456</v>
      </c>
      <c r="C726" s="2">
        <f>IFERROR(__xludf.DUMMYFUNCTION("""COMPUTED_VALUE"""),464.0)</f>
        <v>464</v>
      </c>
      <c r="D726" s="2">
        <f>IFERROR(__xludf.DUMMYFUNCTION("""COMPUTED_VALUE"""),426.0)</f>
        <v>426</v>
      </c>
      <c r="E726" s="2">
        <f>IFERROR(__xludf.DUMMYFUNCTION("""COMPUTED_VALUE"""),426.0)</f>
        <v>426</v>
      </c>
      <c r="F726" s="2">
        <f>IFERROR(__xludf.DUMMYFUNCTION("""COMPUTED_VALUE"""),4.35269E7)</f>
        <v>43526900</v>
      </c>
      <c r="G726" s="2">
        <f t="shared" si="1"/>
        <v>38</v>
      </c>
    </row>
    <row r="727" ht="15.75" customHeight="1">
      <c r="A727" s="1">
        <f>IFERROR(__xludf.DUMMYFUNCTION("""COMPUTED_VALUE"""),44923.66666666667)</f>
        <v>44923.66667</v>
      </c>
      <c r="B727" s="2">
        <f>IFERROR(__xludf.DUMMYFUNCTION("""COMPUTED_VALUE"""),410.0)</f>
        <v>410</v>
      </c>
      <c r="C727" s="2">
        <f>IFERROR(__xludf.DUMMYFUNCTION("""COMPUTED_VALUE"""),424.0)</f>
        <v>424</v>
      </c>
      <c r="D727" s="2">
        <f>IFERROR(__xludf.DUMMYFUNCTION("""COMPUTED_VALUE"""),400.0)</f>
        <v>400</v>
      </c>
      <c r="E727" s="2">
        <f>IFERROR(__xludf.DUMMYFUNCTION("""COMPUTED_VALUE"""),402.0)</f>
        <v>402</v>
      </c>
      <c r="F727" s="2">
        <f>IFERROR(__xludf.DUMMYFUNCTION("""COMPUTED_VALUE"""),3.36351E7)</f>
        <v>33635100</v>
      </c>
      <c r="G727" s="2">
        <f t="shared" si="1"/>
        <v>26</v>
      </c>
    </row>
    <row r="728" ht="15.75" customHeight="1">
      <c r="A728" s="1">
        <f>IFERROR(__xludf.DUMMYFUNCTION("""COMPUTED_VALUE"""),44924.66666666667)</f>
        <v>44924.66667</v>
      </c>
      <c r="B728" s="2">
        <f>IFERROR(__xludf.DUMMYFUNCTION("""COMPUTED_VALUE"""),398.0)</f>
        <v>398</v>
      </c>
      <c r="C728" s="2">
        <f>IFERROR(__xludf.DUMMYFUNCTION("""COMPUTED_VALUE"""),410.0)</f>
        <v>410</v>
      </c>
      <c r="D728" s="2">
        <f>IFERROR(__xludf.DUMMYFUNCTION("""COMPUTED_VALUE"""),398.0)</f>
        <v>398</v>
      </c>
      <c r="E728" s="2">
        <f>IFERROR(__xludf.DUMMYFUNCTION("""COMPUTED_VALUE"""),402.0)</f>
        <v>402</v>
      </c>
      <c r="F728" s="2">
        <f>IFERROR(__xludf.DUMMYFUNCTION("""COMPUTED_VALUE"""),9734700.0)</f>
        <v>9734700</v>
      </c>
      <c r="G728" s="2">
        <f t="shared" si="1"/>
        <v>12</v>
      </c>
    </row>
    <row r="729" ht="15.75" customHeight="1">
      <c r="A729" s="1">
        <f>IFERROR(__xludf.DUMMYFUNCTION("""COMPUTED_VALUE"""),44925.66666666667)</f>
        <v>44925.66667</v>
      </c>
      <c r="B729" s="2">
        <f>IFERROR(__xludf.DUMMYFUNCTION("""COMPUTED_VALUE"""),404.0)</f>
        <v>404</v>
      </c>
      <c r="C729" s="2">
        <f>IFERROR(__xludf.DUMMYFUNCTION("""COMPUTED_VALUE"""),422.0)</f>
        <v>422</v>
      </c>
      <c r="D729" s="2">
        <f>IFERROR(__xludf.DUMMYFUNCTION("""COMPUTED_VALUE"""),402.0)</f>
        <v>402</v>
      </c>
      <c r="E729" s="2">
        <f>IFERROR(__xludf.DUMMYFUNCTION("""COMPUTED_VALUE"""),404.0)</f>
        <v>404</v>
      </c>
      <c r="F729" s="2">
        <f>IFERROR(__xludf.DUMMYFUNCTION("""COMPUTED_VALUE"""),1.77269E7)</f>
        <v>17726900</v>
      </c>
      <c r="G729" s="2">
        <f t="shared" si="1"/>
        <v>20</v>
      </c>
    </row>
    <row r="730" ht="15.75" customHeight="1">
      <c r="A730" s="1">
        <f>IFERROR(__xludf.DUMMYFUNCTION("""COMPUTED_VALUE"""),44928.66666666667)</f>
        <v>44928.66667</v>
      </c>
      <c r="B730" s="2">
        <f>IFERROR(__xludf.DUMMYFUNCTION("""COMPUTED_VALUE"""),404.0)</f>
        <v>404</v>
      </c>
      <c r="C730" s="2">
        <f>IFERROR(__xludf.DUMMYFUNCTION("""COMPUTED_VALUE"""),418.0)</f>
        <v>418</v>
      </c>
      <c r="D730" s="2">
        <f>IFERROR(__xludf.DUMMYFUNCTION("""COMPUTED_VALUE"""),404.0)</f>
        <v>404</v>
      </c>
      <c r="E730" s="2">
        <f>IFERROR(__xludf.DUMMYFUNCTION("""COMPUTED_VALUE"""),410.0)</f>
        <v>410</v>
      </c>
      <c r="F730" s="2">
        <f>IFERROR(__xludf.DUMMYFUNCTION("""COMPUTED_VALUE"""),1.06843E7)</f>
        <v>10684300</v>
      </c>
      <c r="G730" s="2">
        <f t="shared" si="1"/>
        <v>14</v>
      </c>
    </row>
    <row r="731" ht="15.75" customHeight="1">
      <c r="A731" s="1">
        <f>IFERROR(__xludf.DUMMYFUNCTION("""COMPUTED_VALUE"""),44929.66666666667)</f>
        <v>44929.66667</v>
      </c>
      <c r="B731" s="2">
        <f>IFERROR(__xludf.DUMMYFUNCTION("""COMPUTED_VALUE"""),412.0)</f>
        <v>412</v>
      </c>
      <c r="C731" s="2">
        <f>IFERROR(__xludf.DUMMYFUNCTION("""COMPUTED_VALUE"""),422.0)</f>
        <v>422</v>
      </c>
      <c r="D731" s="2">
        <f>IFERROR(__xludf.DUMMYFUNCTION("""COMPUTED_VALUE"""),412.0)</f>
        <v>412</v>
      </c>
      <c r="E731" s="2">
        <f>IFERROR(__xludf.DUMMYFUNCTION("""COMPUTED_VALUE"""),420.0)</f>
        <v>420</v>
      </c>
      <c r="F731" s="2">
        <f>IFERROR(__xludf.DUMMYFUNCTION("""COMPUTED_VALUE"""),1.75787E7)</f>
        <v>17578700</v>
      </c>
      <c r="G731" s="2">
        <f t="shared" si="1"/>
        <v>12</v>
      </c>
    </row>
    <row r="732" ht="15.75" customHeight="1">
      <c r="A732" s="1">
        <f>IFERROR(__xludf.DUMMYFUNCTION("""COMPUTED_VALUE"""),44930.66666666667)</f>
        <v>44930.66667</v>
      </c>
      <c r="B732" s="2">
        <f>IFERROR(__xludf.DUMMYFUNCTION("""COMPUTED_VALUE"""),422.0)</f>
        <v>422</v>
      </c>
      <c r="C732" s="2">
        <f>IFERROR(__xludf.DUMMYFUNCTION("""COMPUTED_VALUE"""),450.0)</f>
        <v>450</v>
      </c>
      <c r="D732" s="2">
        <f>IFERROR(__xludf.DUMMYFUNCTION("""COMPUTED_VALUE"""),420.0)</f>
        <v>420</v>
      </c>
      <c r="E732" s="2">
        <f>IFERROR(__xludf.DUMMYFUNCTION("""COMPUTED_VALUE"""),424.0)</f>
        <v>424</v>
      </c>
      <c r="F732" s="2">
        <f>IFERROR(__xludf.DUMMYFUNCTION("""COMPUTED_VALUE"""),4.84228E7)</f>
        <v>48422800</v>
      </c>
      <c r="G732" s="2">
        <f t="shared" si="1"/>
        <v>30</v>
      </c>
    </row>
    <row r="733" ht="15.75" customHeight="1">
      <c r="A733" s="1">
        <f>IFERROR(__xludf.DUMMYFUNCTION("""COMPUTED_VALUE"""),44931.66666666667)</f>
        <v>44931.66667</v>
      </c>
      <c r="B733" s="2">
        <f>IFERROR(__xludf.DUMMYFUNCTION("""COMPUTED_VALUE"""),424.0)</f>
        <v>424</v>
      </c>
      <c r="C733" s="2">
        <f>IFERROR(__xludf.DUMMYFUNCTION("""COMPUTED_VALUE"""),428.0)</f>
        <v>428</v>
      </c>
      <c r="D733" s="2">
        <f>IFERROR(__xludf.DUMMYFUNCTION("""COMPUTED_VALUE"""),396.0)</f>
        <v>396</v>
      </c>
      <c r="E733" s="2">
        <f>IFERROR(__xludf.DUMMYFUNCTION("""COMPUTED_VALUE"""),396.0)</f>
        <v>396</v>
      </c>
      <c r="F733" s="2">
        <f>IFERROR(__xludf.DUMMYFUNCTION("""COMPUTED_VALUE"""),2.87805E7)</f>
        <v>28780500</v>
      </c>
      <c r="G733" s="2">
        <f t="shared" si="1"/>
        <v>32</v>
      </c>
    </row>
    <row r="734" ht="15.75" customHeight="1">
      <c r="A734" s="1">
        <f>IFERROR(__xludf.DUMMYFUNCTION("""COMPUTED_VALUE"""),44932.66666666667)</f>
        <v>44932.66667</v>
      </c>
      <c r="B734" s="2">
        <f>IFERROR(__xludf.DUMMYFUNCTION("""COMPUTED_VALUE"""),398.0)</f>
        <v>398</v>
      </c>
      <c r="C734" s="2">
        <f>IFERROR(__xludf.DUMMYFUNCTION("""COMPUTED_VALUE"""),408.0)</f>
        <v>408</v>
      </c>
      <c r="D734" s="2">
        <f>IFERROR(__xludf.DUMMYFUNCTION("""COMPUTED_VALUE"""),396.0)</f>
        <v>396</v>
      </c>
      <c r="E734" s="2">
        <f>IFERROR(__xludf.DUMMYFUNCTION("""COMPUTED_VALUE"""),406.0)</f>
        <v>406</v>
      </c>
      <c r="F734" s="2">
        <f>IFERROR(__xludf.DUMMYFUNCTION("""COMPUTED_VALUE"""),1.13802E7)</f>
        <v>11380200</v>
      </c>
      <c r="G734" s="2">
        <f t="shared" si="1"/>
        <v>12</v>
      </c>
    </row>
    <row r="735" ht="15.75" customHeight="1">
      <c r="A735" s="1">
        <f>IFERROR(__xludf.DUMMYFUNCTION("""COMPUTED_VALUE"""),44935.66666666667)</f>
        <v>44935.66667</v>
      </c>
      <c r="B735" s="2">
        <f>IFERROR(__xludf.DUMMYFUNCTION("""COMPUTED_VALUE"""),406.0)</f>
        <v>406</v>
      </c>
      <c r="C735" s="2">
        <f>IFERROR(__xludf.DUMMYFUNCTION("""COMPUTED_VALUE"""),414.0)</f>
        <v>414</v>
      </c>
      <c r="D735" s="2">
        <f>IFERROR(__xludf.DUMMYFUNCTION("""COMPUTED_VALUE"""),392.0)</f>
        <v>392</v>
      </c>
      <c r="E735" s="2">
        <f>IFERROR(__xludf.DUMMYFUNCTION("""COMPUTED_VALUE"""),392.0)</f>
        <v>392</v>
      </c>
      <c r="F735" s="2">
        <f>IFERROR(__xludf.DUMMYFUNCTION("""COMPUTED_VALUE"""),2.10349E7)</f>
        <v>21034900</v>
      </c>
      <c r="G735" s="2">
        <f t="shared" si="1"/>
        <v>22</v>
      </c>
    </row>
    <row r="736" ht="15.75" customHeight="1">
      <c r="A736" s="1">
        <f>IFERROR(__xludf.DUMMYFUNCTION("""COMPUTED_VALUE"""),44936.66666666667)</f>
        <v>44936.66667</v>
      </c>
      <c r="B736" s="2">
        <f>IFERROR(__xludf.DUMMYFUNCTION("""COMPUTED_VALUE"""),396.0)</f>
        <v>396</v>
      </c>
      <c r="C736" s="2">
        <f>IFERROR(__xludf.DUMMYFUNCTION("""COMPUTED_VALUE"""),396.0)</f>
        <v>396</v>
      </c>
      <c r="D736" s="2">
        <f>IFERROR(__xludf.DUMMYFUNCTION("""COMPUTED_VALUE"""),366.0)</f>
        <v>366</v>
      </c>
      <c r="E736" s="2">
        <f>IFERROR(__xludf.DUMMYFUNCTION("""COMPUTED_VALUE"""),372.0)</f>
        <v>372</v>
      </c>
      <c r="F736" s="2">
        <f>IFERROR(__xludf.DUMMYFUNCTION("""COMPUTED_VALUE"""),3.02826E7)</f>
        <v>30282600</v>
      </c>
      <c r="G736" s="2">
        <f t="shared" si="1"/>
        <v>30</v>
      </c>
    </row>
    <row r="737" ht="15.75" customHeight="1">
      <c r="A737" s="1">
        <f>IFERROR(__xludf.DUMMYFUNCTION("""COMPUTED_VALUE"""),44937.66666666667)</f>
        <v>44937.66667</v>
      </c>
      <c r="B737" s="2">
        <f>IFERROR(__xludf.DUMMYFUNCTION("""COMPUTED_VALUE"""),374.0)</f>
        <v>374</v>
      </c>
      <c r="C737" s="2">
        <f>IFERROR(__xludf.DUMMYFUNCTION("""COMPUTED_VALUE"""),378.0)</f>
        <v>378</v>
      </c>
      <c r="D737" s="2">
        <f>IFERROR(__xludf.DUMMYFUNCTION("""COMPUTED_VALUE"""),352.0)</f>
        <v>352</v>
      </c>
      <c r="E737" s="2">
        <f>IFERROR(__xludf.DUMMYFUNCTION("""COMPUTED_VALUE"""),356.0)</f>
        <v>356</v>
      </c>
      <c r="F737" s="2">
        <f>IFERROR(__xludf.DUMMYFUNCTION("""COMPUTED_VALUE"""),1.94571E7)</f>
        <v>19457100</v>
      </c>
      <c r="G737" s="2">
        <f t="shared" si="1"/>
        <v>26</v>
      </c>
    </row>
    <row r="738" ht="15.75" customHeight="1">
      <c r="A738" s="1">
        <f>IFERROR(__xludf.DUMMYFUNCTION("""COMPUTED_VALUE"""),44938.66666666667)</f>
        <v>44938.66667</v>
      </c>
      <c r="B738" s="2">
        <f>IFERROR(__xludf.DUMMYFUNCTION("""COMPUTED_VALUE"""),356.0)</f>
        <v>356</v>
      </c>
      <c r="C738" s="2">
        <f>IFERROR(__xludf.DUMMYFUNCTION("""COMPUTED_VALUE"""),372.0)</f>
        <v>372</v>
      </c>
      <c r="D738" s="2">
        <f>IFERROR(__xludf.DUMMYFUNCTION("""COMPUTED_VALUE"""),352.0)</f>
        <v>352</v>
      </c>
      <c r="E738" s="2">
        <f>IFERROR(__xludf.DUMMYFUNCTION("""COMPUTED_VALUE"""),364.0)</f>
        <v>364</v>
      </c>
      <c r="F738" s="2">
        <f>IFERROR(__xludf.DUMMYFUNCTION("""COMPUTED_VALUE"""),3.13667E7)</f>
        <v>31366700</v>
      </c>
      <c r="G738" s="2">
        <f t="shared" si="1"/>
        <v>20</v>
      </c>
    </row>
    <row r="739" ht="15.75" customHeight="1">
      <c r="A739" s="1">
        <f>IFERROR(__xludf.DUMMYFUNCTION("""COMPUTED_VALUE"""),44939.66666666667)</f>
        <v>44939.66667</v>
      </c>
      <c r="B739" s="2">
        <f>IFERROR(__xludf.DUMMYFUNCTION("""COMPUTED_VALUE"""),366.0)</f>
        <v>366</v>
      </c>
      <c r="C739" s="2">
        <f>IFERROR(__xludf.DUMMYFUNCTION("""COMPUTED_VALUE"""),374.0)</f>
        <v>374</v>
      </c>
      <c r="D739" s="2">
        <f>IFERROR(__xludf.DUMMYFUNCTION("""COMPUTED_VALUE"""),360.0)</f>
        <v>360</v>
      </c>
      <c r="E739" s="2">
        <f>IFERROR(__xludf.DUMMYFUNCTION("""COMPUTED_VALUE"""),368.0)</f>
        <v>368</v>
      </c>
      <c r="F739" s="2">
        <f>IFERROR(__xludf.DUMMYFUNCTION("""COMPUTED_VALUE"""),1.56823E7)</f>
        <v>15682300</v>
      </c>
      <c r="G739" s="2">
        <f t="shared" si="1"/>
        <v>14</v>
      </c>
    </row>
    <row r="740" ht="15.75" customHeight="1">
      <c r="A740" s="1">
        <f>IFERROR(__xludf.DUMMYFUNCTION("""COMPUTED_VALUE"""),44942.66666666667)</f>
        <v>44942.66667</v>
      </c>
      <c r="B740" s="2">
        <f>IFERROR(__xludf.DUMMYFUNCTION("""COMPUTED_VALUE"""),370.0)</f>
        <v>370</v>
      </c>
      <c r="C740" s="2">
        <f>IFERROR(__xludf.DUMMYFUNCTION("""COMPUTED_VALUE"""),374.0)</f>
        <v>374</v>
      </c>
      <c r="D740" s="2">
        <f>IFERROR(__xludf.DUMMYFUNCTION("""COMPUTED_VALUE"""),368.0)</f>
        <v>368</v>
      </c>
      <c r="E740" s="2">
        <f>IFERROR(__xludf.DUMMYFUNCTION("""COMPUTED_VALUE"""),370.0)</f>
        <v>370</v>
      </c>
      <c r="F740" s="2">
        <f>IFERROR(__xludf.DUMMYFUNCTION("""COMPUTED_VALUE"""),9772000.0)</f>
        <v>9772000</v>
      </c>
      <c r="G740" s="2">
        <f t="shared" si="1"/>
        <v>6</v>
      </c>
    </row>
    <row r="741" ht="15.75" customHeight="1">
      <c r="A741" s="1">
        <f>IFERROR(__xludf.DUMMYFUNCTION("""COMPUTED_VALUE"""),44943.66666666667)</f>
        <v>44943.66667</v>
      </c>
      <c r="B741" s="2">
        <f>IFERROR(__xludf.DUMMYFUNCTION("""COMPUTED_VALUE"""),370.0)</f>
        <v>370</v>
      </c>
      <c r="C741" s="2">
        <f>IFERROR(__xludf.DUMMYFUNCTION("""COMPUTED_VALUE"""),380.0)</f>
        <v>380</v>
      </c>
      <c r="D741" s="2">
        <f>IFERROR(__xludf.DUMMYFUNCTION("""COMPUTED_VALUE"""),370.0)</f>
        <v>370</v>
      </c>
      <c r="E741" s="2">
        <f>IFERROR(__xludf.DUMMYFUNCTION("""COMPUTED_VALUE"""),376.0)</f>
        <v>376</v>
      </c>
      <c r="F741" s="2">
        <f>IFERROR(__xludf.DUMMYFUNCTION("""COMPUTED_VALUE"""),3.80822E7)</f>
        <v>38082200</v>
      </c>
      <c r="G741" s="2">
        <f t="shared" si="1"/>
        <v>10</v>
      </c>
    </row>
    <row r="742" ht="15.75" customHeight="1">
      <c r="A742" s="1">
        <f>IFERROR(__xludf.DUMMYFUNCTION("""COMPUTED_VALUE"""),44944.66666666667)</f>
        <v>44944.66667</v>
      </c>
      <c r="B742" s="2">
        <f>IFERROR(__xludf.DUMMYFUNCTION("""COMPUTED_VALUE"""),376.0)</f>
        <v>376</v>
      </c>
      <c r="C742" s="2">
        <f>IFERROR(__xludf.DUMMYFUNCTION("""COMPUTED_VALUE"""),378.0)</f>
        <v>378</v>
      </c>
      <c r="D742" s="2">
        <f>IFERROR(__xludf.DUMMYFUNCTION("""COMPUTED_VALUE"""),368.0)</f>
        <v>368</v>
      </c>
      <c r="E742" s="2">
        <f>IFERROR(__xludf.DUMMYFUNCTION("""COMPUTED_VALUE"""),368.0)</f>
        <v>368</v>
      </c>
      <c r="F742" s="2">
        <f>IFERROR(__xludf.DUMMYFUNCTION("""COMPUTED_VALUE"""),1.23258E7)</f>
        <v>12325800</v>
      </c>
      <c r="G742" s="2">
        <f t="shared" si="1"/>
        <v>10</v>
      </c>
    </row>
    <row r="743" ht="15.75" customHeight="1">
      <c r="A743" s="1">
        <f>IFERROR(__xludf.DUMMYFUNCTION("""COMPUTED_VALUE"""),44945.66666666667)</f>
        <v>44945.66667</v>
      </c>
      <c r="B743" s="2">
        <f>IFERROR(__xludf.DUMMYFUNCTION("""COMPUTED_VALUE"""),368.0)</f>
        <v>368</v>
      </c>
      <c r="C743" s="2">
        <f>IFERROR(__xludf.DUMMYFUNCTION("""COMPUTED_VALUE"""),372.0)</f>
        <v>372</v>
      </c>
      <c r="D743" s="2">
        <f>IFERROR(__xludf.DUMMYFUNCTION("""COMPUTED_VALUE"""),366.0)</f>
        <v>366</v>
      </c>
      <c r="E743" s="2">
        <f>IFERROR(__xludf.DUMMYFUNCTION("""COMPUTED_VALUE"""),366.0)</f>
        <v>366</v>
      </c>
      <c r="F743" s="2">
        <f>IFERROR(__xludf.DUMMYFUNCTION("""COMPUTED_VALUE"""),1.26938E7)</f>
        <v>12693800</v>
      </c>
      <c r="G743" s="2">
        <f t="shared" si="1"/>
        <v>6</v>
      </c>
    </row>
    <row r="744" ht="15.75" customHeight="1">
      <c r="A744" s="1">
        <f>IFERROR(__xludf.DUMMYFUNCTION("""COMPUTED_VALUE"""),44946.66666666667)</f>
        <v>44946.66667</v>
      </c>
      <c r="B744" s="2">
        <f>IFERROR(__xludf.DUMMYFUNCTION("""COMPUTED_VALUE"""),368.0)</f>
        <v>368</v>
      </c>
      <c r="C744" s="2">
        <f>IFERROR(__xludf.DUMMYFUNCTION("""COMPUTED_VALUE"""),370.0)</f>
        <v>370</v>
      </c>
      <c r="D744" s="2">
        <f>IFERROR(__xludf.DUMMYFUNCTION("""COMPUTED_VALUE"""),366.0)</f>
        <v>366</v>
      </c>
      <c r="E744" s="2">
        <f>IFERROR(__xludf.DUMMYFUNCTION("""COMPUTED_VALUE"""),368.0)</f>
        <v>368</v>
      </c>
      <c r="F744" s="2">
        <f>IFERROR(__xludf.DUMMYFUNCTION("""COMPUTED_VALUE"""),8190400.0)</f>
        <v>8190400</v>
      </c>
      <c r="G744" s="2">
        <f t="shared" si="1"/>
        <v>4</v>
      </c>
    </row>
    <row r="745" ht="15.75" customHeight="1">
      <c r="A745" s="1">
        <f>IFERROR(__xludf.DUMMYFUNCTION("""COMPUTED_VALUE"""),44950.66666666667)</f>
        <v>44950.66667</v>
      </c>
      <c r="B745" s="2">
        <f>IFERROR(__xludf.DUMMYFUNCTION("""COMPUTED_VALUE"""),368.0)</f>
        <v>368</v>
      </c>
      <c r="C745" s="2">
        <f>IFERROR(__xludf.DUMMYFUNCTION("""COMPUTED_VALUE"""),370.0)</f>
        <v>370</v>
      </c>
      <c r="D745" s="2">
        <f>IFERROR(__xludf.DUMMYFUNCTION("""COMPUTED_VALUE"""),358.0)</f>
        <v>358</v>
      </c>
      <c r="E745" s="2">
        <f>IFERROR(__xludf.DUMMYFUNCTION("""COMPUTED_VALUE"""),360.0)</f>
        <v>360</v>
      </c>
      <c r="F745" s="2">
        <f>IFERROR(__xludf.DUMMYFUNCTION("""COMPUTED_VALUE"""),1.86096E7)</f>
        <v>18609600</v>
      </c>
      <c r="G745" s="2">
        <f t="shared" si="1"/>
        <v>12</v>
      </c>
    </row>
    <row r="746" ht="15.75" customHeight="1">
      <c r="A746" s="1">
        <f>IFERROR(__xludf.DUMMYFUNCTION("""COMPUTED_VALUE"""),44951.66666666667)</f>
        <v>44951.66667</v>
      </c>
      <c r="B746" s="2">
        <f>IFERROR(__xludf.DUMMYFUNCTION("""COMPUTED_VALUE"""),360.0)</f>
        <v>360</v>
      </c>
      <c r="C746" s="2">
        <f>IFERROR(__xludf.DUMMYFUNCTION("""COMPUTED_VALUE"""),384.0)</f>
        <v>384</v>
      </c>
      <c r="D746" s="2">
        <f>IFERROR(__xludf.DUMMYFUNCTION("""COMPUTED_VALUE"""),354.0)</f>
        <v>354</v>
      </c>
      <c r="E746" s="2">
        <f>IFERROR(__xludf.DUMMYFUNCTION("""COMPUTED_VALUE"""),370.0)</f>
        <v>370</v>
      </c>
      <c r="F746" s="2">
        <f>IFERROR(__xludf.DUMMYFUNCTION("""COMPUTED_VALUE"""),5.83827E7)</f>
        <v>58382700</v>
      </c>
      <c r="G746" s="2">
        <f t="shared" si="1"/>
        <v>30</v>
      </c>
    </row>
    <row r="747" ht="15.75" customHeight="1">
      <c r="A747" s="1">
        <f>IFERROR(__xludf.DUMMYFUNCTION("""COMPUTED_VALUE"""),44952.66666666667)</f>
        <v>44952.66667</v>
      </c>
      <c r="B747" s="2">
        <f>IFERROR(__xludf.DUMMYFUNCTION("""COMPUTED_VALUE"""),372.0)</f>
        <v>372</v>
      </c>
      <c r="C747" s="2">
        <f>IFERROR(__xludf.DUMMYFUNCTION("""COMPUTED_VALUE"""),442.0)</f>
        <v>442</v>
      </c>
      <c r="D747" s="2">
        <f>IFERROR(__xludf.DUMMYFUNCTION("""COMPUTED_VALUE"""),372.0)</f>
        <v>372</v>
      </c>
      <c r="E747" s="2">
        <f>IFERROR(__xludf.DUMMYFUNCTION("""COMPUTED_VALUE"""),438.0)</f>
        <v>438</v>
      </c>
      <c r="F747" s="2">
        <f>IFERROR(__xludf.DUMMYFUNCTION("""COMPUTED_VALUE"""),1.825661E8)</f>
        <v>182566100</v>
      </c>
      <c r="G747" s="2">
        <f t="shared" si="1"/>
        <v>72</v>
      </c>
    </row>
    <row r="748" ht="15.75" customHeight="1">
      <c r="A748" s="1">
        <f>IFERROR(__xludf.DUMMYFUNCTION("""COMPUTED_VALUE"""),44953.66666666667)</f>
        <v>44953.66667</v>
      </c>
      <c r="B748" s="2">
        <f>IFERROR(__xludf.DUMMYFUNCTION("""COMPUTED_VALUE"""),440.0)</f>
        <v>440</v>
      </c>
      <c r="C748" s="2">
        <f>IFERROR(__xludf.DUMMYFUNCTION("""COMPUTED_VALUE"""),462.0)</f>
        <v>462</v>
      </c>
      <c r="D748" s="2">
        <f>IFERROR(__xludf.DUMMYFUNCTION("""COMPUTED_VALUE"""),426.0)</f>
        <v>426</v>
      </c>
      <c r="E748" s="2">
        <f>IFERROR(__xludf.DUMMYFUNCTION("""COMPUTED_VALUE"""),430.0)</f>
        <v>430</v>
      </c>
      <c r="F748" s="2">
        <f>IFERROR(__xludf.DUMMYFUNCTION("""COMPUTED_VALUE"""),1.823695E8)</f>
        <v>182369500</v>
      </c>
      <c r="G748" s="2">
        <f t="shared" si="1"/>
        <v>36</v>
      </c>
    </row>
    <row r="749" ht="15.75" customHeight="1">
      <c r="A749" s="1">
        <f>IFERROR(__xludf.DUMMYFUNCTION("""COMPUTED_VALUE"""),44956.66666666667)</f>
        <v>44956.66667</v>
      </c>
      <c r="B749" s="2">
        <f>IFERROR(__xludf.DUMMYFUNCTION("""COMPUTED_VALUE"""),430.0)</f>
        <v>430</v>
      </c>
      <c r="C749" s="2">
        <f>IFERROR(__xludf.DUMMYFUNCTION("""COMPUTED_VALUE"""),450.0)</f>
        <v>450</v>
      </c>
      <c r="D749" s="2">
        <f>IFERROR(__xludf.DUMMYFUNCTION("""COMPUTED_VALUE"""),430.0)</f>
        <v>430</v>
      </c>
      <c r="E749" s="2">
        <f>IFERROR(__xludf.DUMMYFUNCTION("""COMPUTED_VALUE"""),442.0)</f>
        <v>442</v>
      </c>
      <c r="F749" s="2">
        <f>IFERROR(__xludf.DUMMYFUNCTION("""COMPUTED_VALUE"""),4.40798E7)</f>
        <v>44079800</v>
      </c>
      <c r="G749" s="2">
        <f t="shared" si="1"/>
        <v>20</v>
      </c>
    </row>
    <row r="750" ht="15.75" customHeight="1">
      <c r="A750" s="1">
        <f>IFERROR(__xludf.DUMMYFUNCTION("""COMPUTED_VALUE"""),44957.66666666667)</f>
        <v>44957.66667</v>
      </c>
      <c r="B750" s="2">
        <f>IFERROR(__xludf.DUMMYFUNCTION("""COMPUTED_VALUE"""),442.0)</f>
        <v>442</v>
      </c>
      <c r="C750" s="2">
        <f>IFERROR(__xludf.DUMMYFUNCTION("""COMPUTED_VALUE"""),446.0)</f>
        <v>446</v>
      </c>
      <c r="D750" s="2">
        <f>IFERROR(__xludf.DUMMYFUNCTION("""COMPUTED_VALUE"""),434.0)</f>
        <v>434</v>
      </c>
      <c r="E750" s="2">
        <f>IFERROR(__xludf.DUMMYFUNCTION("""COMPUTED_VALUE"""),440.0)</f>
        <v>440</v>
      </c>
      <c r="F750" s="2">
        <f>IFERROR(__xludf.DUMMYFUNCTION("""COMPUTED_VALUE"""),2.22184E7)</f>
        <v>22218400</v>
      </c>
      <c r="G750" s="2">
        <f t="shared" si="1"/>
        <v>12</v>
      </c>
    </row>
    <row r="751" ht="15.75" customHeight="1">
      <c r="A751" s="1">
        <f>IFERROR(__xludf.DUMMYFUNCTION("""COMPUTED_VALUE"""),44958.66666666667)</f>
        <v>44958.66667</v>
      </c>
      <c r="B751" s="2">
        <f>IFERROR(__xludf.DUMMYFUNCTION("""COMPUTED_VALUE"""),440.0)</f>
        <v>440</v>
      </c>
      <c r="C751" s="2">
        <f>IFERROR(__xludf.DUMMYFUNCTION("""COMPUTED_VALUE"""),466.0)</f>
        <v>466</v>
      </c>
      <c r="D751" s="2">
        <f>IFERROR(__xludf.DUMMYFUNCTION("""COMPUTED_VALUE"""),438.0)</f>
        <v>438</v>
      </c>
      <c r="E751" s="2">
        <f>IFERROR(__xludf.DUMMYFUNCTION("""COMPUTED_VALUE"""),450.0)</f>
        <v>450</v>
      </c>
      <c r="F751" s="2">
        <f>IFERROR(__xludf.DUMMYFUNCTION("""COMPUTED_VALUE"""),6.76544E7)</f>
        <v>67654400</v>
      </c>
      <c r="G751" s="2">
        <f t="shared" si="1"/>
        <v>28</v>
      </c>
    </row>
    <row r="752" ht="15.75" customHeight="1">
      <c r="A752" s="1">
        <f>IFERROR(__xludf.DUMMYFUNCTION("""COMPUTED_VALUE"""),44959.66666666667)</f>
        <v>44959.66667</v>
      </c>
      <c r="B752" s="2">
        <f>IFERROR(__xludf.DUMMYFUNCTION("""COMPUTED_VALUE"""),460.0)</f>
        <v>460</v>
      </c>
      <c r="C752" s="2">
        <f>IFERROR(__xludf.DUMMYFUNCTION("""COMPUTED_VALUE"""),464.0)</f>
        <v>464</v>
      </c>
      <c r="D752" s="2">
        <f>IFERROR(__xludf.DUMMYFUNCTION("""COMPUTED_VALUE"""),446.0)</f>
        <v>446</v>
      </c>
      <c r="E752" s="2">
        <f>IFERROR(__xludf.DUMMYFUNCTION("""COMPUTED_VALUE"""),450.0)</f>
        <v>450</v>
      </c>
      <c r="F752" s="2">
        <f>IFERROR(__xludf.DUMMYFUNCTION("""COMPUTED_VALUE"""),9.29708E7)</f>
        <v>92970800</v>
      </c>
      <c r="G752" s="2">
        <f t="shared" si="1"/>
        <v>18</v>
      </c>
    </row>
    <row r="753" ht="15.75" customHeight="1">
      <c r="A753" s="1">
        <f>IFERROR(__xludf.DUMMYFUNCTION("""COMPUTED_VALUE"""),44960.66666666667)</f>
        <v>44960.66667</v>
      </c>
      <c r="B753" s="2">
        <f>IFERROR(__xludf.DUMMYFUNCTION("""COMPUTED_VALUE"""),450.0)</f>
        <v>450</v>
      </c>
      <c r="C753" s="2">
        <f>IFERROR(__xludf.DUMMYFUNCTION("""COMPUTED_VALUE"""),456.0)</f>
        <v>456</v>
      </c>
      <c r="D753" s="2">
        <f>IFERROR(__xludf.DUMMYFUNCTION("""COMPUTED_VALUE"""),444.0)</f>
        <v>444</v>
      </c>
      <c r="E753" s="2">
        <f>IFERROR(__xludf.DUMMYFUNCTION("""COMPUTED_VALUE"""),446.0)</f>
        <v>446</v>
      </c>
      <c r="F753" s="2">
        <f>IFERROR(__xludf.DUMMYFUNCTION("""COMPUTED_VALUE"""),4.26336E7)</f>
        <v>42633600</v>
      </c>
      <c r="G753" s="2">
        <f t="shared" si="1"/>
        <v>12</v>
      </c>
    </row>
    <row r="754" ht="15.75" customHeight="1">
      <c r="A754" s="1">
        <f>IFERROR(__xludf.DUMMYFUNCTION("""COMPUTED_VALUE"""),44963.66666666667)</f>
        <v>44963.66667</v>
      </c>
      <c r="B754" s="2">
        <f>IFERROR(__xludf.DUMMYFUNCTION("""COMPUTED_VALUE"""),448.0)</f>
        <v>448</v>
      </c>
      <c r="C754" s="2">
        <f>IFERROR(__xludf.DUMMYFUNCTION("""COMPUTED_VALUE"""),452.0)</f>
        <v>452</v>
      </c>
      <c r="D754" s="2">
        <f>IFERROR(__xludf.DUMMYFUNCTION("""COMPUTED_VALUE"""),434.0)</f>
        <v>434</v>
      </c>
      <c r="E754" s="2">
        <f>IFERROR(__xludf.DUMMYFUNCTION("""COMPUTED_VALUE"""),444.0)</f>
        <v>444</v>
      </c>
      <c r="F754" s="2">
        <f>IFERROR(__xludf.DUMMYFUNCTION("""COMPUTED_VALUE"""),3.0853E7)</f>
        <v>30853000</v>
      </c>
      <c r="G754" s="2">
        <f t="shared" si="1"/>
        <v>18</v>
      </c>
    </row>
    <row r="755" ht="15.75" customHeight="1">
      <c r="A755" s="1">
        <f>IFERROR(__xludf.DUMMYFUNCTION("""COMPUTED_VALUE"""),44964.66666666667)</f>
        <v>44964.66667</v>
      </c>
      <c r="B755" s="2">
        <f>IFERROR(__xludf.DUMMYFUNCTION("""COMPUTED_VALUE"""),442.0)</f>
        <v>442</v>
      </c>
      <c r="C755" s="2">
        <f>IFERROR(__xludf.DUMMYFUNCTION("""COMPUTED_VALUE"""),450.0)</f>
        <v>450</v>
      </c>
      <c r="D755" s="2">
        <f>IFERROR(__xludf.DUMMYFUNCTION("""COMPUTED_VALUE"""),414.0)</f>
        <v>414</v>
      </c>
      <c r="E755" s="2">
        <f>IFERROR(__xludf.DUMMYFUNCTION("""COMPUTED_VALUE"""),414.0)</f>
        <v>414</v>
      </c>
      <c r="F755" s="2">
        <f>IFERROR(__xludf.DUMMYFUNCTION("""COMPUTED_VALUE"""),6.05104E7)</f>
        <v>60510400</v>
      </c>
      <c r="G755" s="2">
        <f t="shared" si="1"/>
        <v>36</v>
      </c>
    </row>
    <row r="756" ht="15.75" customHeight="1">
      <c r="A756" s="1">
        <f>IFERROR(__xludf.DUMMYFUNCTION("""COMPUTED_VALUE"""),44965.66666666667)</f>
        <v>44965.66667</v>
      </c>
      <c r="B756" s="2">
        <f>IFERROR(__xludf.DUMMYFUNCTION("""COMPUTED_VALUE"""),410.0)</f>
        <v>410</v>
      </c>
      <c r="C756" s="2">
        <f>IFERROR(__xludf.DUMMYFUNCTION("""COMPUTED_VALUE"""),420.0)</f>
        <v>420</v>
      </c>
      <c r="D756" s="2">
        <f>IFERROR(__xludf.DUMMYFUNCTION("""COMPUTED_VALUE"""),402.0)</f>
        <v>402</v>
      </c>
      <c r="E756" s="2">
        <f>IFERROR(__xludf.DUMMYFUNCTION("""COMPUTED_VALUE"""),410.0)</f>
        <v>410</v>
      </c>
      <c r="F756" s="2">
        <f>IFERROR(__xludf.DUMMYFUNCTION("""COMPUTED_VALUE"""),2.39298E7)</f>
        <v>23929800</v>
      </c>
      <c r="G756" s="2">
        <f t="shared" si="1"/>
        <v>18</v>
      </c>
    </row>
    <row r="757" ht="15.75" customHeight="1">
      <c r="A757" s="1">
        <f>IFERROR(__xludf.DUMMYFUNCTION("""COMPUTED_VALUE"""),44966.66666666667)</f>
        <v>44966.66667</v>
      </c>
      <c r="B757" s="2">
        <f>IFERROR(__xludf.DUMMYFUNCTION("""COMPUTED_VALUE"""),416.0)</f>
        <v>416</v>
      </c>
      <c r="C757" s="2">
        <f>IFERROR(__xludf.DUMMYFUNCTION("""COMPUTED_VALUE"""),422.0)</f>
        <v>422</v>
      </c>
      <c r="D757" s="2">
        <f>IFERROR(__xludf.DUMMYFUNCTION("""COMPUTED_VALUE"""),400.0)</f>
        <v>400</v>
      </c>
      <c r="E757" s="2">
        <f>IFERROR(__xludf.DUMMYFUNCTION("""COMPUTED_VALUE"""),402.0)</f>
        <v>402</v>
      </c>
      <c r="F757" s="2">
        <f>IFERROR(__xludf.DUMMYFUNCTION("""COMPUTED_VALUE"""),1.88907E7)</f>
        <v>18890700</v>
      </c>
      <c r="G757" s="2">
        <f t="shared" si="1"/>
        <v>22</v>
      </c>
    </row>
    <row r="758" ht="15.75" customHeight="1">
      <c r="A758" s="1">
        <f>IFERROR(__xludf.DUMMYFUNCTION("""COMPUTED_VALUE"""),44967.66666666667)</f>
        <v>44967.66667</v>
      </c>
      <c r="B758" s="2">
        <f>IFERROR(__xludf.DUMMYFUNCTION("""COMPUTED_VALUE"""),402.0)</f>
        <v>402</v>
      </c>
      <c r="C758" s="2">
        <f>IFERROR(__xludf.DUMMYFUNCTION("""COMPUTED_VALUE"""),408.0)</f>
        <v>408</v>
      </c>
      <c r="D758" s="2">
        <f>IFERROR(__xludf.DUMMYFUNCTION("""COMPUTED_VALUE"""),390.0)</f>
        <v>390</v>
      </c>
      <c r="E758" s="2">
        <f>IFERROR(__xludf.DUMMYFUNCTION("""COMPUTED_VALUE"""),406.0)</f>
        <v>406</v>
      </c>
      <c r="F758" s="2">
        <f>IFERROR(__xludf.DUMMYFUNCTION("""COMPUTED_VALUE"""),2.28612E7)</f>
        <v>22861200</v>
      </c>
      <c r="G758" s="2">
        <f t="shared" si="1"/>
        <v>18</v>
      </c>
    </row>
    <row r="759" ht="15.75" customHeight="1">
      <c r="A759" s="1">
        <f>IFERROR(__xludf.DUMMYFUNCTION("""COMPUTED_VALUE"""),44970.66666666667)</f>
        <v>44970.66667</v>
      </c>
      <c r="B759" s="2">
        <f>IFERROR(__xludf.DUMMYFUNCTION("""COMPUTED_VALUE"""),406.0)</f>
        <v>406</v>
      </c>
      <c r="C759" s="2">
        <f>IFERROR(__xludf.DUMMYFUNCTION("""COMPUTED_VALUE"""),412.0)</f>
        <v>412</v>
      </c>
      <c r="D759" s="2">
        <f>IFERROR(__xludf.DUMMYFUNCTION("""COMPUTED_VALUE"""),398.0)</f>
        <v>398</v>
      </c>
      <c r="E759" s="2">
        <f>IFERROR(__xludf.DUMMYFUNCTION("""COMPUTED_VALUE"""),406.0)</f>
        <v>406</v>
      </c>
      <c r="F759" s="2">
        <f>IFERROR(__xludf.DUMMYFUNCTION("""COMPUTED_VALUE"""),1.37219E7)</f>
        <v>13721900</v>
      </c>
      <c r="G759" s="2">
        <f t="shared" si="1"/>
        <v>14</v>
      </c>
    </row>
    <row r="760" ht="15.75" customHeight="1">
      <c r="A760" s="1">
        <f>IFERROR(__xludf.DUMMYFUNCTION("""COMPUTED_VALUE"""),44971.66666666667)</f>
        <v>44971.66667</v>
      </c>
      <c r="B760" s="2">
        <f>IFERROR(__xludf.DUMMYFUNCTION("""COMPUTED_VALUE"""),406.0)</f>
        <v>406</v>
      </c>
      <c r="C760" s="2">
        <f>IFERROR(__xludf.DUMMYFUNCTION("""COMPUTED_VALUE"""),414.0)</f>
        <v>414</v>
      </c>
      <c r="D760" s="2">
        <f>IFERROR(__xludf.DUMMYFUNCTION("""COMPUTED_VALUE"""),406.0)</f>
        <v>406</v>
      </c>
      <c r="E760" s="2">
        <f>IFERROR(__xludf.DUMMYFUNCTION("""COMPUTED_VALUE"""),406.0)</f>
        <v>406</v>
      </c>
      <c r="F760" s="2">
        <f>IFERROR(__xludf.DUMMYFUNCTION("""COMPUTED_VALUE"""),9746900.0)</f>
        <v>9746900</v>
      </c>
      <c r="G760" s="2">
        <f t="shared" si="1"/>
        <v>8</v>
      </c>
    </row>
    <row r="761" ht="15.75" customHeight="1">
      <c r="A761" s="1">
        <f>IFERROR(__xludf.DUMMYFUNCTION("""COMPUTED_VALUE"""),44972.66666666667)</f>
        <v>44972.66667</v>
      </c>
      <c r="B761" s="2">
        <f>IFERROR(__xludf.DUMMYFUNCTION("""COMPUTED_VALUE"""),406.0)</f>
        <v>406</v>
      </c>
      <c r="C761" s="2">
        <f>IFERROR(__xludf.DUMMYFUNCTION("""COMPUTED_VALUE"""),436.0)</f>
        <v>436</v>
      </c>
      <c r="D761" s="2">
        <f>IFERROR(__xludf.DUMMYFUNCTION("""COMPUTED_VALUE"""),404.0)</f>
        <v>404</v>
      </c>
      <c r="E761" s="2">
        <f>IFERROR(__xludf.DUMMYFUNCTION("""COMPUTED_VALUE"""),430.0)</f>
        <v>430</v>
      </c>
      <c r="F761" s="2">
        <f>IFERROR(__xludf.DUMMYFUNCTION("""COMPUTED_VALUE"""),1.61847E8)</f>
        <v>161847000</v>
      </c>
      <c r="G761" s="2">
        <f t="shared" si="1"/>
        <v>32</v>
      </c>
    </row>
    <row r="762" ht="15.75" customHeight="1">
      <c r="A762" s="1">
        <f>IFERROR(__xludf.DUMMYFUNCTION("""COMPUTED_VALUE"""),44973.66666666667)</f>
        <v>44973.66667</v>
      </c>
      <c r="B762" s="2">
        <f>IFERROR(__xludf.DUMMYFUNCTION("""COMPUTED_VALUE"""),430.0)</f>
        <v>430</v>
      </c>
      <c r="C762" s="2">
        <f>IFERROR(__xludf.DUMMYFUNCTION("""COMPUTED_VALUE"""),450.0)</f>
        <v>450</v>
      </c>
      <c r="D762" s="2">
        <f>IFERROR(__xludf.DUMMYFUNCTION("""COMPUTED_VALUE"""),426.0)</f>
        <v>426</v>
      </c>
      <c r="E762" s="2">
        <f>IFERROR(__xludf.DUMMYFUNCTION("""COMPUTED_VALUE"""),430.0)</f>
        <v>430</v>
      </c>
      <c r="F762" s="2">
        <f>IFERROR(__xludf.DUMMYFUNCTION("""COMPUTED_VALUE"""),1.33535E8)</f>
        <v>133535000</v>
      </c>
      <c r="G762" s="2">
        <f t="shared" si="1"/>
        <v>24</v>
      </c>
    </row>
    <row r="763" ht="15.75" customHeight="1">
      <c r="A763" s="1">
        <f>IFERROR(__xludf.DUMMYFUNCTION("""COMPUTED_VALUE"""),44974.66666666667)</f>
        <v>44974.66667</v>
      </c>
      <c r="B763" s="2">
        <f>IFERROR(__xludf.DUMMYFUNCTION("""COMPUTED_VALUE"""),430.0)</f>
        <v>430</v>
      </c>
      <c r="C763" s="2">
        <f>IFERROR(__xludf.DUMMYFUNCTION("""COMPUTED_VALUE"""),450.0)</f>
        <v>450</v>
      </c>
      <c r="D763" s="2">
        <f>IFERROR(__xludf.DUMMYFUNCTION("""COMPUTED_VALUE"""),422.0)</f>
        <v>422</v>
      </c>
      <c r="E763" s="2">
        <f>IFERROR(__xludf.DUMMYFUNCTION("""COMPUTED_VALUE"""),442.0)</f>
        <v>442</v>
      </c>
      <c r="F763" s="2">
        <f>IFERROR(__xludf.DUMMYFUNCTION("""COMPUTED_VALUE"""),8.83524E7)</f>
        <v>88352400</v>
      </c>
      <c r="G763" s="2">
        <f t="shared" si="1"/>
        <v>28</v>
      </c>
    </row>
    <row r="764" ht="15.75" customHeight="1">
      <c r="A764" s="1">
        <f>IFERROR(__xludf.DUMMYFUNCTION("""COMPUTED_VALUE"""),44977.66666666667)</f>
        <v>44977.66667</v>
      </c>
      <c r="B764" s="2">
        <f>IFERROR(__xludf.DUMMYFUNCTION("""COMPUTED_VALUE"""),444.0)</f>
        <v>444</v>
      </c>
      <c r="C764" s="2">
        <f>IFERROR(__xludf.DUMMYFUNCTION("""COMPUTED_VALUE"""),456.0)</f>
        <v>456</v>
      </c>
      <c r="D764" s="2">
        <f>IFERROR(__xludf.DUMMYFUNCTION("""COMPUTED_VALUE"""),436.0)</f>
        <v>436</v>
      </c>
      <c r="E764" s="2">
        <f>IFERROR(__xludf.DUMMYFUNCTION("""COMPUTED_VALUE"""),438.0)</f>
        <v>438</v>
      </c>
      <c r="F764" s="2">
        <f>IFERROR(__xludf.DUMMYFUNCTION("""COMPUTED_VALUE"""),6.64512E7)</f>
        <v>66451200</v>
      </c>
      <c r="G764" s="2">
        <f t="shared" si="1"/>
        <v>20</v>
      </c>
    </row>
    <row r="765" ht="15.75" customHeight="1">
      <c r="A765" s="1">
        <f>IFERROR(__xludf.DUMMYFUNCTION("""COMPUTED_VALUE"""),44978.66666666667)</f>
        <v>44978.66667</v>
      </c>
      <c r="B765" s="2">
        <f>IFERROR(__xludf.DUMMYFUNCTION("""COMPUTED_VALUE"""),438.0)</f>
        <v>438</v>
      </c>
      <c r="C765" s="2">
        <f>IFERROR(__xludf.DUMMYFUNCTION("""COMPUTED_VALUE"""),446.0)</f>
        <v>446</v>
      </c>
      <c r="D765" s="2">
        <f>IFERROR(__xludf.DUMMYFUNCTION("""COMPUTED_VALUE"""),432.0)</f>
        <v>432</v>
      </c>
      <c r="E765" s="2">
        <f>IFERROR(__xludf.DUMMYFUNCTION("""COMPUTED_VALUE"""),432.0)</f>
        <v>432</v>
      </c>
      <c r="F765" s="2">
        <f>IFERROR(__xludf.DUMMYFUNCTION("""COMPUTED_VALUE"""),2.23261E7)</f>
        <v>22326100</v>
      </c>
      <c r="G765" s="2">
        <f t="shared" si="1"/>
        <v>14</v>
      </c>
    </row>
    <row r="766" ht="15.75" customHeight="1">
      <c r="A766" s="1">
        <f>IFERROR(__xludf.DUMMYFUNCTION("""COMPUTED_VALUE"""),44979.66666666667)</f>
        <v>44979.66667</v>
      </c>
      <c r="B766" s="2">
        <f>IFERROR(__xludf.DUMMYFUNCTION("""COMPUTED_VALUE"""),436.0)</f>
        <v>436</v>
      </c>
      <c r="C766" s="2">
        <f>IFERROR(__xludf.DUMMYFUNCTION("""COMPUTED_VALUE"""),440.0)</f>
        <v>440</v>
      </c>
      <c r="D766" s="2">
        <f>IFERROR(__xludf.DUMMYFUNCTION("""COMPUTED_VALUE"""),402.0)</f>
        <v>402</v>
      </c>
      <c r="E766" s="2">
        <f>IFERROR(__xludf.DUMMYFUNCTION("""COMPUTED_VALUE"""),404.0)</f>
        <v>404</v>
      </c>
      <c r="F766" s="2">
        <f>IFERROR(__xludf.DUMMYFUNCTION("""COMPUTED_VALUE"""),4.51848E7)</f>
        <v>45184800</v>
      </c>
      <c r="G766" s="2">
        <f t="shared" si="1"/>
        <v>38</v>
      </c>
    </row>
    <row r="767" ht="15.75" customHeight="1">
      <c r="A767" s="1">
        <f>IFERROR(__xludf.DUMMYFUNCTION("""COMPUTED_VALUE"""),44980.66666666667)</f>
        <v>44980.66667</v>
      </c>
      <c r="B767" s="2">
        <f>IFERROR(__xludf.DUMMYFUNCTION("""COMPUTED_VALUE"""),412.0)</f>
        <v>412</v>
      </c>
      <c r="C767" s="2">
        <f>IFERROR(__xludf.DUMMYFUNCTION("""COMPUTED_VALUE"""),418.0)</f>
        <v>418</v>
      </c>
      <c r="D767" s="2">
        <f>IFERROR(__xludf.DUMMYFUNCTION("""COMPUTED_VALUE"""),404.0)</f>
        <v>404</v>
      </c>
      <c r="E767" s="2">
        <f>IFERROR(__xludf.DUMMYFUNCTION("""COMPUTED_VALUE"""),414.0)</f>
        <v>414</v>
      </c>
      <c r="F767" s="2">
        <f>IFERROR(__xludf.DUMMYFUNCTION("""COMPUTED_VALUE"""),1.86353E7)</f>
        <v>18635300</v>
      </c>
      <c r="G767" s="2">
        <f t="shared" si="1"/>
        <v>14</v>
      </c>
    </row>
    <row r="768" ht="15.75" customHeight="1">
      <c r="A768" s="1">
        <f>IFERROR(__xludf.DUMMYFUNCTION("""COMPUTED_VALUE"""),44981.66666666667)</f>
        <v>44981.66667</v>
      </c>
      <c r="B768" s="2">
        <f>IFERROR(__xludf.DUMMYFUNCTION("""COMPUTED_VALUE"""),414.0)</f>
        <v>414</v>
      </c>
      <c r="C768" s="2">
        <f>IFERROR(__xludf.DUMMYFUNCTION("""COMPUTED_VALUE"""),422.0)</f>
        <v>422</v>
      </c>
      <c r="D768" s="2">
        <f>IFERROR(__xludf.DUMMYFUNCTION("""COMPUTED_VALUE"""),408.0)</f>
        <v>408</v>
      </c>
      <c r="E768" s="2">
        <f>IFERROR(__xludf.DUMMYFUNCTION("""COMPUTED_VALUE"""),412.0)</f>
        <v>412</v>
      </c>
      <c r="F768" s="2">
        <f>IFERROR(__xludf.DUMMYFUNCTION("""COMPUTED_VALUE"""),1.43867E7)</f>
        <v>14386700</v>
      </c>
      <c r="G768" s="2">
        <f t="shared" si="1"/>
        <v>14</v>
      </c>
    </row>
    <row r="769" ht="15.75" customHeight="1">
      <c r="A769" s="1">
        <f>IFERROR(__xludf.DUMMYFUNCTION("""COMPUTED_VALUE"""),44984.66666666667)</f>
        <v>44984.66667</v>
      </c>
      <c r="B769" s="2">
        <f>IFERROR(__xludf.DUMMYFUNCTION("""COMPUTED_VALUE"""),412.0)</f>
        <v>412</v>
      </c>
      <c r="C769" s="2">
        <f>IFERROR(__xludf.DUMMYFUNCTION("""COMPUTED_VALUE"""),414.0)</f>
        <v>414</v>
      </c>
      <c r="D769" s="2">
        <f>IFERROR(__xludf.DUMMYFUNCTION("""COMPUTED_VALUE"""),398.0)</f>
        <v>398</v>
      </c>
      <c r="E769" s="2">
        <f>IFERROR(__xludf.DUMMYFUNCTION("""COMPUTED_VALUE"""),398.0)</f>
        <v>398</v>
      </c>
      <c r="F769" s="2">
        <f>IFERROR(__xludf.DUMMYFUNCTION("""COMPUTED_VALUE"""),1.45835E7)</f>
        <v>14583500</v>
      </c>
      <c r="G769" s="2">
        <f t="shared" si="1"/>
        <v>16</v>
      </c>
    </row>
    <row r="770" ht="15.75" customHeight="1">
      <c r="A770" s="1">
        <f>IFERROR(__xludf.DUMMYFUNCTION("""COMPUTED_VALUE"""),44985.66666666667)</f>
        <v>44985.66667</v>
      </c>
      <c r="B770" s="2">
        <f>IFERROR(__xludf.DUMMYFUNCTION("""COMPUTED_VALUE"""),400.0)</f>
        <v>400</v>
      </c>
      <c r="C770" s="2">
        <f>IFERROR(__xludf.DUMMYFUNCTION("""COMPUTED_VALUE"""),410.0)</f>
        <v>410</v>
      </c>
      <c r="D770" s="2">
        <f>IFERROR(__xludf.DUMMYFUNCTION("""COMPUTED_VALUE"""),400.0)</f>
        <v>400</v>
      </c>
      <c r="E770" s="2">
        <f>IFERROR(__xludf.DUMMYFUNCTION("""COMPUTED_VALUE"""),404.0)</f>
        <v>404</v>
      </c>
      <c r="F770" s="2">
        <f>IFERROR(__xludf.DUMMYFUNCTION("""COMPUTED_VALUE"""),1.37052E7)</f>
        <v>13705200</v>
      </c>
      <c r="G770" s="2">
        <f t="shared" si="1"/>
        <v>12</v>
      </c>
    </row>
    <row r="771" ht="15.75" customHeight="1">
      <c r="A771" s="1">
        <f>IFERROR(__xludf.DUMMYFUNCTION("""COMPUTED_VALUE"""),44986.66666666667)</f>
        <v>44986.66667</v>
      </c>
      <c r="B771" s="2">
        <f>IFERROR(__xludf.DUMMYFUNCTION("""COMPUTED_VALUE"""),404.0)</f>
        <v>404</v>
      </c>
      <c r="C771" s="2">
        <f>IFERROR(__xludf.DUMMYFUNCTION("""COMPUTED_VALUE"""),414.0)</f>
        <v>414</v>
      </c>
      <c r="D771" s="2">
        <f>IFERROR(__xludf.DUMMYFUNCTION("""COMPUTED_VALUE"""),400.0)</f>
        <v>400</v>
      </c>
      <c r="E771" s="2">
        <f>IFERROR(__xludf.DUMMYFUNCTION("""COMPUTED_VALUE"""),408.0)</f>
        <v>408</v>
      </c>
      <c r="F771" s="2">
        <f>IFERROR(__xludf.DUMMYFUNCTION("""COMPUTED_VALUE"""),1.36525E7)</f>
        <v>13652500</v>
      </c>
      <c r="G771" s="2">
        <f t="shared" si="1"/>
        <v>14</v>
      </c>
    </row>
    <row r="772" ht="15.75" customHeight="1">
      <c r="A772" s="1">
        <f>IFERROR(__xludf.DUMMYFUNCTION("""COMPUTED_VALUE"""),44987.66666666667)</f>
        <v>44987.66667</v>
      </c>
      <c r="B772" s="2">
        <f>IFERROR(__xludf.DUMMYFUNCTION("""COMPUTED_VALUE"""),410.0)</f>
        <v>410</v>
      </c>
      <c r="C772" s="2">
        <f>IFERROR(__xludf.DUMMYFUNCTION("""COMPUTED_VALUE"""),416.0)</f>
        <v>416</v>
      </c>
      <c r="D772" s="2">
        <f>IFERROR(__xludf.DUMMYFUNCTION("""COMPUTED_VALUE"""),408.0)</f>
        <v>408</v>
      </c>
      <c r="E772" s="2">
        <f>IFERROR(__xludf.DUMMYFUNCTION("""COMPUTED_VALUE"""),408.0)</f>
        <v>408</v>
      </c>
      <c r="F772" s="2">
        <f>IFERROR(__xludf.DUMMYFUNCTION("""COMPUTED_VALUE"""),8851800.0)</f>
        <v>8851800</v>
      </c>
      <c r="G772" s="2">
        <f t="shared" si="1"/>
        <v>8</v>
      </c>
    </row>
    <row r="773" ht="15.75" customHeight="1">
      <c r="A773" s="1">
        <f>IFERROR(__xludf.DUMMYFUNCTION("""COMPUTED_VALUE"""),44988.66666666667)</f>
        <v>44988.66667</v>
      </c>
      <c r="B773" s="2">
        <f>IFERROR(__xludf.DUMMYFUNCTION("""COMPUTED_VALUE"""),414.0)</f>
        <v>414</v>
      </c>
      <c r="C773" s="2">
        <f>IFERROR(__xludf.DUMMYFUNCTION("""COMPUTED_VALUE"""),418.0)</f>
        <v>418</v>
      </c>
      <c r="D773" s="2">
        <f>IFERROR(__xludf.DUMMYFUNCTION("""COMPUTED_VALUE"""),404.0)</f>
        <v>404</v>
      </c>
      <c r="E773" s="2">
        <f>IFERROR(__xludf.DUMMYFUNCTION("""COMPUTED_VALUE"""),406.0)</f>
        <v>406</v>
      </c>
      <c r="F773" s="2">
        <f>IFERROR(__xludf.DUMMYFUNCTION("""COMPUTED_VALUE"""),1.07388E7)</f>
        <v>10738800</v>
      </c>
      <c r="G773" s="2">
        <f t="shared" si="1"/>
        <v>14</v>
      </c>
    </row>
    <row r="774" ht="15.75" customHeight="1">
      <c r="A774" s="1">
        <f>IFERROR(__xludf.DUMMYFUNCTION("""COMPUTED_VALUE"""),44991.66666666667)</f>
        <v>44991.66667</v>
      </c>
      <c r="B774" s="2">
        <f>IFERROR(__xludf.DUMMYFUNCTION("""COMPUTED_VALUE"""),406.0)</f>
        <v>406</v>
      </c>
      <c r="C774" s="2">
        <f>IFERROR(__xludf.DUMMYFUNCTION("""COMPUTED_VALUE"""),410.0)</f>
        <v>410</v>
      </c>
      <c r="D774" s="2">
        <f>IFERROR(__xludf.DUMMYFUNCTION("""COMPUTED_VALUE"""),402.0)</f>
        <v>402</v>
      </c>
      <c r="E774" s="2">
        <f>IFERROR(__xludf.DUMMYFUNCTION("""COMPUTED_VALUE"""),402.0)</f>
        <v>402</v>
      </c>
      <c r="F774" s="2">
        <f>IFERROR(__xludf.DUMMYFUNCTION("""COMPUTED_VALUE"""),8819800.0)</f>
        <v>8819800</v>
      </c>
      <c r="G774" s="2">
        <f t="shared" si="1"/>
        <v>8</v>
      </c>
    </row>
    <row r="775" ht="15.75" customHeight="1">
      <c r="A775" s="1">
        <f>IFERROR(__xludf.DUMMYFUNCTION("""COMPUTED_VALUE"""),44992.66666666667)</f>
        <v>44992.66667</v>
      </c>
      <c r="B775" s="2">
        <f>IFERROR(__xludf.DUMMYFUNCTION("""COMPUTED_VALUE"""),404.0)</f>
        <v>404</v>
      </c>
      <c r="C775" s="2">
        <f>IFERROR(__xludf.DUMMYFUNCTION("""COMPUTED_VALUE"""),410.0)</f>
        <v>410</v>
      </c>
      <c r="D775" s="2">
        <f>IFERROR(__xludf.DUMMYFUNCTION("""COMPUTED_VALUE"""),402.0)</f>
        <v>402</v>
      </c>
      <c r="E775" s="2">
        <f>IFERROR(__xludf.DUMMYFUNCTION("""COMPUTED_VALUE"""),406.0)</f>
        <v>406</v>
      </c>
      <c r="F775" s="2">
        <f>IFERROR(__xludf.DUMMYFUNCTION("""COMPUTED_VALUE"""),1.85667E7)</f>
        <v>18566700</v>
      </c>
      <c r="G775" s="2">
        <f t="shared" si="1"/>
        <v>8</v>
      </c>
    </row>
    <row r="776" ht="15.75" customHeight="1">
      <c r="A776" s="1">
        <f>IFERROR(__xludf.DUMMYFUNCTION("""COMPUTED_VALUE"""),44993.66666666667)</f>
        <v>44993.66667</v>
      </c>
      <c r="B776" s="2">
        <f>IFERROR(__xludf.DUMMYFUNCTION("""COMPUTED_VALUE"""),406.0)</f>
        <v>406</v>
      </c>
      <c r="C776" s="2">
        <f>IFERROR(__xludf.DUMMYFUNCTION("""COMPUTED_VALUE"""),410.0)</f>
        <v>410</v>
      </c>
      <c r="D776" s="2">
        <f>IFERROR(__xludf.DUMMYFUNCTION("""COMPUTED_VALUE"""),398.0)</f>
        <v>398</v>
      </c>
      <c r="E776" s="2">
        <f>IFERROR(__xludf.DUMMYFUNCTION("""COMPUTED_VALUE"""),404.0)</f>
        <v>404</v>
      </c>
      <c r="F776" s="2">
        <f>IFERROR(__xludf.DUMMYFUNCTION("""COMPUTED_VALUE"""),1.02694E7)</f>
        <v>10269400</v>
      </c>
      <c r="G776" s="2">
        <f t="shared" si="1"/>
        <v>12</v>
      </c>
    </row>
    <row r="777" ht="15.75" customHeight="1">
      <c r="A777" s="1">
        <f>IFERROR(__xludf.DUMMYFUNCTION("""COMPUTED_VALUE"""),44994.66666666667)</f>
        <v>44994.66667</v>
      </c>
      <c r="B777" s="2">
        <f>IFERROR(__xludf.DUMMYFUNCTION("""COMPUTED_VALUE"""),404.0)</f>
        <v>404</v>
      </c>
      <c r="C777" s="2">
        <f>IFERROR(__xludf.DUMMYFUNCTION("""COMPUTED_VALUE"""),410.0)</f>
        <v>410</v>
      </c>
      <c r="D777" s="2">
        <f>IFERROR(__xludf.DUMMYFUNCTION("""COMPUTED_VALUE"""),402.0)</f>
        <v>402</v>
      </c>
      <c r="E777" s="2">
        <f>IFERROR(__xludf.DUMMYFUNCTION("""COMPUTED_VALUE"""),404.0)</f>
        <v>404</v>
      </c>
      <c r="F777" s="2">
        <f>IFERROR(__xludf.DUMMYFUNCTION("""COMPUTED_VALUE"""),9332900.0)</f>
        <v>9332900</v>
      </c>
      <c r="G777" s="2">
        <f t="shared" si="1"/>
        <v>8</v>
      </c>
    </row>
    <row r="778" ht="15.75" customHeight="1">
      <c r="A778" s="1">
        <f>IFERROR(__xludf.DUMMYFUNCTION("""COMPUTED_VALUE"""),44995.66666666667)</f>
        <v>44995.66667</v>
      </c>
      <c r="B778" s="2">
        <f>IFERROR(__xludf.DUMMYFUNCTION("""COMPUTED_VALUE"""),404.0)</f>
        <v>404</v>
      </c>
      <c r="C778" s="2">
        <f>IFERROR(__xludf.DUMMYFUNCTION("""COMPUTED_VALUE"""),404.0)</f>
        <v>404</v>
      </c>
      <c r="D778" s="2">
        <f>IFERROR(__xludf.DUMMYFUNCTION("""COMPUTED_VALUE"""),384.0)</f>
        <v>384</v>
      </c>
      <c r="E778" s="2">
        <f>IFERROR(__xludf.DUMMYFUNCTION("""COMPUTED_VALUE"""),392.0)</f>
        <v>392</v>
      </c>
      <c r="F778" s="2">
        <f>IFERROR(__xludf.DUMMYFUNCTION("""COMPUTED_VALUE"""),1.31674E7)</f>
        <v>13167400</v>
      </c>
      <c r="G778" s="2">
        <f t="shared" si="1"/>
        <v>20</v>
      </c>
    </row>
    <row r="779" ht="15.75" customHeight="1">
      <c r="A779" s="1">
        <f>IFERROR(__xludf.DUMMYFUNCTION("""COMPUTED_VALUE"""),44998.66666666667)</f>
        <v>44998.66667</v>
      </c>
      <c r="B779" s="2">
        <f>IFERROR(__xludf.DUMMYFUNCTION("""COMPUTED_VALUE"""),390.0)</f>
        <v>390</v>
      </c>
      <c r="C779" s="2">
        <f>IFERROR(__xludf.DUMMYFUNCTION("""COMPUTED_VALUE"""),390.0)</f>
        <v>390</v>
      </c>
      <c r="D779" s="2">
        <f>IFERROR(__xludf.DUMMYFUNCTION("""COMPUTED_VALUE"""),378.0)</f>
        <v>378</v>
      </c>
      <c r="E779" s="2">
        <f>IFERROR(__xludf.DUMMYFUNCTION("""COMPUTED_VALUE"""),380.0)</f>
        <v>380</v>
      </c>
      <c r="F779" s="2">
        <f>IFERROR(__xludf.DUMMYFUNCTION("""COMPUTED_VALUE"""),1.62529E7)</f>
        <v>16252900</v>
      </c>
      <c r="G779" s="2">
        <f t="shared" si="1"/>
        <v>14</v>
      </c>
    </row>
    <row r="780" ht="15.75" customHeight="1">
      <c r="A780" s="1">
        <f>IFERROR(__xludf.DUMMYFUNCTION("""COMPUTED_VALUE"""),44999.66666666667)</f>
        <v>44999.66667</v>
      </c>
      <c r="B780" s="2">
        <f>IFERROR(__xludf.DUMMYFUNCTION("""COMPUTED_VALUE"""),380.0)</f>
        <v>380</v>
      </c>
      <c r="C780" s="2">
        <f>IFERROR(__xludf.DUMMYFUNCTION("""COMPUTED_VALUE"""),384.0)</f>
        <v>384</v>
      </c>
      <c r="D780" s="2">
        <f>IFERROR(__xludf.DUMMYFUNCTION("""COMPUTED_VALUE"""),356.0)</f>
        <v>356</v>
      </c>
      <c r="E780" s="2">
        <f>IFERROR(__xludf.DUMMYFUNCTION("""COMPUTED_VALUE"""),362.0)</f>
        <v>362</v>
      </c>
      <c r="F780" s="2">
        <f>IFERROR(__xludf.DUMMYFUNCTION("""COMPUTED_VALUE"""),2.85348E7)</f>
        <v>28534800</v>
      </c>
      <c r="G780" s="2">
        <f t="shared" si="1"/>
        <v>28</v>
      </c>
    </row>
    <row r="781" ht="15.75" customHeight="1">
      <c r="A781" s="1">
        <f>IFERROR(__xludf.DUMMYFUNCTION("""COMPUTED_VALUE"""),45000.66666666667)</f>
        <v>45000.66667</v>
      </c>
      <c r="B781" s="2">
        <f>IFERROR(__xludf.DUMMYFUNCTION("""COMPUTED_VALUE"""),368.0)</f>
        <v>368</v>
      </c>
      <c r="C781" s="2">
        <f>IFERROR(__xludf.DUMMYFUNCTION("""COMPUTED_VALUE"""),378.0)</f>
        <v>378</v>
      </c>
      <c r="D781" s="2">
        <f>IFERROR(__xludf.DUMMYFUNCTION("""COMPUTED_VALUE"""),362.0)</f>
        <v>362</v>
      </c>
      <c r="E781" s="2">
        <f>IFERROR(__xludf.DUMMYFUNCTION("""COMPUTED_VALUE"""),364.0)</f>
        <v>364</v>
      </c>
      <c r="F781" s="2">
        <f>IFERROR(__xludf.DUMMYFUNCTION("""COMPUTED_VALUE"""),1.19224E7)</f>
        <v>11922400</v>
      </c>
      <c r="G781" s="2">
        <f t="shared" si="1"/>
        <v>16</v>
      </c>
    </row>
    <row r="782" ht="15.75" customHeight="1">
      <c r="A782" s="1">
        <f>IFERROR(__xludf.DUMMYFUNCTION("""COMPUTED_VALUE"""),45001.66666666667)</f>
        <v>45001.66667</v>
      </c>
      <c r="B782" s="2">
        <f>IFERROR(__xludf.DUMMYFUNCTION("""COMPUTED_VALUE"""),364.0)</f>
        <v>364</v>
      </c>
      <c r="C782" s="2">
        <f>IFERROR(__xludf.DUMMYFUNCTION("""COMPUTED_VALUE"""),364.0)</f>
        <v>364</v>
      </c>
      <c r="D782" s="2">
        <f>IFERROR(__xludf.DUMMYFUNCTION("""COMPUTED_VALUE"""),344.0)</f>
        <v>344</v>
      </c>
      <c r="E782" s="2">
        <f>IFERROR(__xludf.DUMMYFUNCTION("""COMPUTED_VALUE"""),346.0)</f>
        <v>346</v>
      </c>
      <c r="F782" s="2">
        <f>IFERROR(__xludf.DUMMYFUNCTION("""COMPUTED_VALUE"""),2.17507E7)</f>
        <v>21750700</v>
      </c>
      <c r="G782" s="2">
        <f t="shared" si="1"/>
        <v>20</v>
      </c>
    </row>
    <row r="783" ht="15.75" customHeight="1">
      <c r="A783" s="1">
        <f>IFERROR(__xludf.DUMMYFUNCTION("""COMPUTED_VALUE"""),45002.66666666667)</f>
        <v>45002.66667</v>
      </c>
      <c r="B783" s="2">
        <f>IFERROR(__xludf.DUMMYFUNCTION("""COMPUTED_VALUE"""),348.0)</f>
        <v>348</v>
      </c>
      <c r="C783" s="2">
        <f>IFERROR(__xludf.DUMMYFUNCTION("""COMPUTED_VALUE"""),368.0)</f>
        <v>368</v>
      </c>
      <c r="D783" s="2">
        <f>IFERROR(__xludf.DUMMYFUNCTION("""COMPUTED_VALUE"""),348.0)</f>
        <v>348</v>
      </c>
      <c r="E783" s="2">
        <f>IFERROR(__xludf.DUMMYFUNCTION("""COMPUTED_VALUE"""),368.0)</f>
        <v>368</v>
      </c>
      <c r="F783" s="2">
        <f>IFERROR(__xludf.DUMMYFUNCTION("""COMPUTED_VALUE"""),2.36396E7)</f>
        <v>23639600</v>
      </c>
      <c r="G783" s="2">
        <f t="shared" si="1"/>
        <v>22</v>
      </c>
    </row>
    <row r="784" ht="15.75" customHeight="1">
      <c r="A784" s="1">
        <f>IFERROR(__xludf.DUMMYFUNCTION("""COMPUTED_VALUE"""),45005.66666666667)</f>
        <v>45005.66667</v>
      </c>
      <c r="B784" s="2">
        <f>IFERROR(__xludf.DUMMYFUNCTION("""COMPUTED_VALUE"""),370.0)</f>
        <v>370</v>
      </c>
      <c r="C784" s="2">
        <f>IFERROR(__xludf.DUMMYFUNCTION("""COMPUTED_VALUE"""),370.0)</f>
        <v>370</v>
      </c>
      <c r="D784" s="2">
        <f>IFERROR(__xludf.DUMMYFUNCTION("""COMPUTED_VALUE"""),358.0)</f>
        <v>358</v>
      </c>
      <c r="E784" s="2">
        <f>IFERROR(__xludf.DUMMYFUNCTION("""COMPUTED_VALUE"""),358.0)</f>
        <v>358</v>
      </c>
      <c r="F784" s="2">
        <f>IFERROR(__xludf.DUMMYFUNCTION("""COMPUTED_VALUE"""),9238000.0)</f>
        <v>9238000</v>
      </c>
      <c r="G784" s="2">
        <f t="shared" si="1"/>
        <v>12</v>
      </c>
    </row>
    <row r="785" ht="15.75" customHeight="1">
      <c r="A785" s="1">
        <f>IFERROR(__xludf.DUMMYFUNCTION("""COMPUTED_VALUE"""),45006.66666666667)</f>
        <v>45006.66667</v>
      </c>
      <c r="B785" s="2">
        <f>IFERROR(__xludf.DUMMYFUNCTION("""COMPUTED_VALUE"""),360.0)</f>
        <v>360</v>
      </c>
      <c r="C785" s="2">
        <f>IFERROR(__xludf.DUMMYFUNCTION("""COMPUTED_VALUE"""),368.0)</f>
        <v>368</v>
      </c>
      <c r="D785" s="2">
        <f>IFERROR(__xludf.DUMMYFUNCTION("""COMPUTED_VALUE"""),360.0)</f>
        <v>360</v>
      </c>
      <c r="E785" s="2">
        <f>IFERROR(__xludf.DUMMYFUNCTION("""COMPUTED_VALUE"""),364.0)</f>
        <v>364</v>
      </c>
      <c r="F785" s="2">
        <f>IFERROR(__xludf.DUMMYFUNCTION("""COMPUTED_VALUE"""),8741200.0)</f>
        <v>8741200</v>
      </c>
      <c r="G785" s="2">
        <f t="shared" si="1"/>
        <v>10</v>
      </c>
    </row>
    <row r="786" ht="15.75" customHeight="1">
      <c r="A786" s="1">
        <f>IFERROR(__xludf.DUMMYFUNCTION("""COMPUTED_VALUE"""),45009.66666666667)</f>
        <v>45009.66667</v>
      </c>
      <c r="B786" s="2">
        <f>IFERROR(__xludf.DUMMYFUNCTION("""COMPUTED_VALUE"""),366.0)</f>
        <v>366</v>
      </c>
      <c r="C786" s="2">
        <f>IFERROR(__xludf.DUMMYFUNCTION("""COMPUTED_VALUE"""),378.0)</f>
        <v>378</v>
      </c>
      <c r="D786" s="2">
        <f>IFERROR(__xludf.DUMMYFUNCTION("""COMPUTED_VALUE"""),364.0)</f>
        <v>364</v>
      </c>
      <c r="E786" s="2">
        <f>IFERROR(__xludf.DUMMYFUNCTION("""COMPUTED_VALUE"""),368.0)</f>
        <v>368</v>
      </c>
      <c r="F786" s="2">
        <f>IFERROR(__xludf.DUMMYFUNCTION("""COMPUTED_VALUE"""),2.93688E7)</f>
        <v>29368800</v>
      </c>
      <c r="G786" s="2">
        <f t="shared" si="1"/>
        <v>14</v>
      </c>
    </row>
    <row r="787" ht="15.75" customHeight="1">
      <c r="A787" s="1">
        <f>IFERROR(__xludf.DUMMYFUNCTION("""COMPUTED_VALUE"""),45012.66666666667)</f>
        <v>45012.66667</v>
      </c>
      <c r="B787" s="2">
        <f>IFERROR(__xludf.DUMMYFUNCTION("""COMPUTED_VALUE"""),368.0)</f>
        <v>368</v>
      </c>
      <c r="C787" s="2">
        <f>IFERROR(__xludf.DUMMYFUNCTION("""COMPUTED_VALUE"""),372.0)</f>
        <v>372</v>
      </c>
      <c r="D787" s="2">
        <f>IFERROR(__xludf.DUMMYFUNCTION("""COMPUTED_VALUE"""),368.0)</f>
        <v>368</v>
      </c>
      <c r="E787" s="2">
        <f>IFERROR(__xludf.DUMMYFUNCTION("""COMPUTED_VALUE"""),370.0)</f>
        <v>370</v>
      </c>
      <c r="F787" s="2">
        <f>IFERROR(__xludf.DUMMYFUNCTION("""COMPUTED_VALUE"""),6025400.0)</f>
        <v>6025400</v>
      </c>
      <c r="G787" s="2">
        <f t="shared" si="1"/>
        <v>4</v>
      </c>
    </row>
    <row r="788" ht="15.75" customHeight="1">
      <c r="A788" s="1">
        <f>IFERROR(__xludf.DUMMYFUNCTION("""COMPUTED_VALUE"""),45013.66666666667)</f>
        <v>45013.66667</v>
      </c>
      <c r="B788" s="2">
        <f>IFERROR(__xludf.DUMMYFUNCTION("""COMPUTED_VALUE"""),368.0)</f>
        <v>368</v>
      </c>
      <c r="C788" s="2">
        <f>IFERROR(__xludf.DUMMYFUNCTION("""COMPUTED_VALUE"""),374.0)</f>
        <v>374</v>
      </c>
      <c r="D788" s="2">
        <f>IFERROR(__xludf.DUMMYFUNCTION("""COMPUTED_VALUE"""),364.0)</f>
        <v>364</v>
      </c>
      <c r="E788" s="2">
        <f>IFERROR(__xludf.DUMMYFUNCTION("""COMPUTED_VALUE"""),368.0)</f>
        <v>368</v>
      </c>
      <c r="F788" s="2">
        <f>IFERROR(__xludf.DUMMYFUNCTION("""COMPUTED_VALUE"""),7819600.0)</f>
        <v>7819600</v>
      </c>
      <c r="G788" s="2">
        <f t="shared" si="1"/>
        <v>10</v>
      </c>
    </row>
    <row r="789" ht="15.75" customHeight="1">
      <c r="A789" s="1">
        <f>IFERROR(__xludf.DUMMYFUNCTION("""COMPUTED_VALUE"""),45014.66666666667)</f>
        <v>45014.66667</v>
      </c>
      <c r="B789" s="2">
        <f>IFERROR(__xludf.DUMMYFUNCTION("""COMPUTED_VALUE"""),362.0)</f>
        <v>362</v>
      </c>
      <c r="C789" s="2">
        <f>IFERROR(__xludf.DUMMYFUNCTION("""COMPUTED_VALUE"""),388.0)</f>
        <v>388</v>
      </c>
      <c r="D789" s="2">
        <f>IFERROR(__xludf.DUMMYFUNCTION("""COMPUTED_VALUE"""),362.0)</f>
        <v>362</v>
      </c>
      <c r="E789" s="2">
        <f>IFERROR(__xludf.DUMMYFUNCTION("""COMPUTED_VALUE"""),384.0)</f>
        <v>384</v>
      </c>
      <c r="F789" s="2">
        <f>IFERROR(__xludf.DUMMYFUNCTION("""COMPUTED_VALUE"""),3.45743E7)</f>
        <v>34574300</v>
      </c>
      <c r="G789" s="2">
        <f t="shared" si="1"/>
        <v>26</v>
      </c>
    </row>
    <row r="790" ht="15.75" customHeight="1">
      <c r="A790" s="1">
        <f>IFERROR(__xludf.DUMMYFUNCTION("""COMPUTED_VALUE"""),45015.66666666667)</f>
        <v>45015.66667</v>
      </c>
      <c r="B790" s="2">
        <f>IFERROR(__xludf.DUMMYFUNCTION("""COMPUTED_VALUE"""),390.0)</f>
        <v>390</v>
      </c>
      <c r="C790" s="2">
        <f>IFERROR(__xludf.DUMMYFUNCTION("""COMPUTED_VALUE"""),396.0)</f>
        <v>396</v>
      </c>
      <c r="D790" s="2">
        <f>IFERROR(__xludf.DUMMYFUNCTION("""COMPUTED_VALUE"""),382.0)</f>
        <v>382</v>
      </c>
      <c r="E790" s="2">
        <f>IFERROR(__xludf.DUMMYFUNCTION("""COMPUTED_VALUE"""),384.0)</f>
        <v>384</v>
      </c>
      <c r="F790" s="2">
        <f>IFERROR(__xludf.DUMMYFUNCTION("""COMPUTED_VALUE"""),1.47195E7)</f>
        <v>14719500</v>
      </c>
      <c r="G790" s="2">
        <f t="shared" si="1"/>
        <v>14</v>
      </c>
    </row>
    <row r="791" ht="15.75" customHeight="1">
      <c r="A791" s="1">
        <f>IFERROR(__xludf.DUMMYFUNCTION("""COMPUTED_VALUE"""),45016.66666666667)</f>
        <v>45016.66667</v>
      </c>
      <c r="B791" s="2">
        <f>IFERROR(__xludf.DUMMYFUNCTION("""COMPUTED_VALUE"""),386.0)</f>
        <v>386</v>
      </c>
      <c r="C791" s="2">
        <f>IFERROR(__xludf.DUMMYFUNCTION("""COMPUTED_VALUE"""),390.0)</f>
        <v>390</v>
      </c>
      <c r="D791" s="2">
        <f>IFERROR(__xludf.DUMMYFUNCTION("""COMPUTED_VALUE"""),384.0)</f>
        <v>384</v>
      </c>
      <c r="E791" s="2">
        <f>IFERROR(__xludf.DUMMYFUNCTION("""COMPUTED_VALUE"""),386.0)</f>
        <v>386</v>
      </c>
      <c r="F791" s="2">
        <f>IFERROR(__xludf.DUMMYFUNCTION("""COMPUTED_VALUE"""),1.27139E7)</f>
        <v>12713900</v>
      </c>
      <c r="G791" s="2">
        <f t="shared" si="1"/>
        <v>6</v>
      </c>
    </row>
    <row r="792" ht="15.75" customHeight="1">
      <c r="A792" s="1">
        <f>IFERROR(__xludf.DUMMYFUNCTION("""COMPUTED_VALUE"""),45019.66666666667)</f>
        <v>45019.66667</v>
      </c>
      <c r="B792" s="2">
        <f>IFERROR(__xludf.DUMMYFUNCTION("""COMPUTED_VALUE"""),388.0)</f>
        <v>388</v>
      </c>
      <c r="C792" s="2">
        <f>IFERROR(__xludf.DUMMYFUNCTION("""COMPUTED_VALUE"""),394.0)</f>
        <v>394</v>
      </c>
      <c r="D792" s="2">
        <f>IFERROR(__xludf.DUMMYFUNCTION("""COMPUTED_VALUE"""),386.0)</f>
        <v>386</v>
      </c>
      <c r="E792" s="2">
        <f>IFERROR(__xludf.DUMMYFUNCTION("""COMPUTED_VALUE"""),386.0)</f>
        <v>386</v>
      </c>
      <c r="F792" s="2">
        <f>IFERROR(__xludf.DUMMYFUNCTION("""COMPUTED_VALUE"""),9633300.0)</f>
        <v>9633300</v>
      </c>
      <c r="G792" s="2">
        <f t="shared" si="1"/>
        <v>8</v>
      </c>
    </row>
    <row r="793" ht="15.75" customHeight="1">
      <c r="A793" s="1">
        <f>IFERROR(__xludf.DUMMYFUNCTION("""COMPUTED_VALUE"""),45020.66666666667)</f>
        <v>45020.66667</v>
      </c>
      <c r="B793" s="2">
        <f>IFERROR(__xludf.DUMMYFUNCTION("""COMPUTED_VALUE"""),388.0)</f>
        <v>388</v>
      </c>
      <c r="C793" s="2">
        <f>IFERROR(__xludf.DUMMYFUNCTION("""COMPUTED_VALUE"""),392.0)</f>
        <v>392</v>
      </c>
      <c r="D793" s="2">
        <f>IFERROR(__xludf.DUMMYFUNCTION("""COMPUTED_VALUE"""),378.0)</f>
        <v>378</v>
      </c>
      <c r="E793" s="2">
        <f>IFERROR(__xludf.DUMMYFUNCTION("""COMPUTED_VALUE"""),380.0)</f>
        <v>380</v>
      </c>
      <c r="F793" s="2">
        <f>IFERROR(__xludf.DUMMYFUNCTION("""COMPUTED_VALUE"""),7896100.0)</f>
        <v>7896100</v>
      </c>
      <c r="G793" s="2">
        <f t="shared" si="1"/>
        <v>14</v>
      </c>
    </row>
    <row r="794" ht="15.75" customHeight="1">
      <c r="A794" s="1">
        <f>IFERROR(__xludf.DUMMYFUNCTION("""COMPUTED_VALUE"""),45021.66666666667)</f>
        <v>45021.66667</v>
      </c>
      <c r="B794" s="2">
        <f>IFERROR(__xludf.DUMMYFUNCTION("""COMPUTED_VALUE"""),380.0)</f>
        <v>380</v>
      </c>
      <c r="C794" s="2">
        <f>IFERROR(__xludf.DUMMYFUNCTION("""COMPUTED_VALUE"""),394.0)</f>
        <v>394</v>
      </c>
      <c r="D794" s="2">
        <f>IFERROR(__xludf.DUMMYFUNCTION("""COMPUTED_VALUE"""),374.0)</f>
        <v>374</v>
      </c>
      <c r="E794" s="2">
        <f>IFERROR(__xludf.DUMMYFUNCTION("""COMPUTED_VALUE"""),386.0)</f>
        <v>386</v>
      </c>
      <c r="F794" s="2">
        <f>IFERROR(__xludf.DUMMYFUNCTION("""COMPUTED_VALUE"""),1.64543E7)</f>
        <v>16454300</v>
      </c>
      <c r="G794" s="2">
        <f t="shared" si="1"/>
        <v>20</v>
      </c>
    </row>
    <row r="795" ht="15.75" customHeight="1">
      <c r="A795" s="1">
        <f>IFERROR(__xludf.DUMMYFUNCTION("""COMPUTED_VALUE"""),45022.66666666667)</f>
        <v>45022.66667</v>
      </c>
      <c r="B795" s="2">
        <f>IFERROR(__xludf.DUMMYFUNCTION("""COMPUTED_VALUE"""),398.0)</f>
        <v>398</v>
      </c>
      <c r="C795" s="2">
        <f>IFERROR(__xludf.DUMMYFUNCTION("""COMPUTED_VALUE"""),398.0)</f>
        <v>398</v>
      </c>
      <c r="D795" s="2">
        <f>IFERROR(__xludf.DUMMYFUNCTION("""COMPUTED_VALUE"""),380.0)</f>
        <v>380</v>
      </c>
      <c r="E795" s="2">
        <f>IFERROR(__xludf.DUMMYFUNCTION("""COMPUTED_VALUE"""),386.0)</f>
        <v>386</v>
      </c>
      <c r="F795" s="2">
        <f>IFERROR(__xludf.DUMMYFUNCTION("""COMPUTED_VALUE"""),1.96217E7)</f>
        <v>19621700</v>
      </c>
      <c r="G795" s="2">
        <f t="shared" si="1"/>
        <v>18</v>
      </c>
    </row>
    <row r="796" ht="15.75" customHeight="1">
      <c r="A796" s="1">
        <f>IFERROR(__xludf.DUMMYFUNCTION("""COMPUTED_VALUE"""),45026.66666666667)</f>
        <v>45026.66667</v>
      </c>
      <c r="B796" s="2">
        <f>IFERROR(__xludf.DUMMYFUNCTION("""COMPUTED_VALUE"""),388.0)</f>
        <v>388</v>
      </c>
      <c r="C796" s="2">
        <f>IFERROR(__xludf.DUMMYFUNCTION("""COMPUTED_VALUE"""),388.0)</f>
        <v>388</v>
      </c>
      <c r="D796" s="2">
        <f>IFERROR(__xludf.DUMMYFUNCTION("""COMPUTED_VALUE"""),380.0)</f>
        <v>380</v>
      </c>
      <c r="E796" s="2">
        <f>IFERROR(__xludf.DUMMYFUNCTION("""COMPUTED_VALUE"""),380.0)</f>
        <v>380</v>
      </c>
      <c r="F796" s="2">
        <f>IFERROR(__xludf.DUMMYFUNCTION("""COMPUTED_VALUE"""),8822200.0)</f>
        <v>8822200</v>
      </c>
      <c r="G796" s="2">
        <f t="shared" si="1"/>
        <v>8</v>
      </c>
    </row>
    <row r="797" ht="15.75" customHeight="1">
      <c r="A797" s="1">
        <f>IFERROR(__xludf.DUMMYFUNCTION("""COMPUTED_VALUE"""),45027.66666666667)</f>
        <v>45027.66667</v>
      </c>
      <c r="B797" s="2">
        <f>IFERROR(__xludf.DUMMYFUNCTION("""COMPUTED_VALUE"""),380.0)</f>
        <v>380</v>
      </c>
      <c r="C797" s="2">
        <f>IFERROR(__xludf.DUMMYFUNCTION("""COMPUTED_VALUE"""),390.0)</f>
        <v>390</v>
      </c>
      <c r="D797" s="2">
        <f>IFERROR(__xludf.DUMMYFUNCTION("""COMPUTED_VALUE"""),378.0)</f>
        <v>378</v>
      </c>
      <c r="E797" s="2">
        <f>IFERROR(__xludf.DUMMYFUNCTION("""COMPUTED_VALUE"""),384.0)</f>
        <v>384</v>
      </c>
      <c r="F797" s="2">
        <f>IFERROR(__xludf.DUMMYFUNCTION("""COMPUTED_VALUE"""),7993200.0)</f>
        <v>7993200</v>
      </c>
      <c r="G797" s="2">
        <f t="shared" si="1"/>
        <v>12</v>
      </c>
    </row>
    <row r="798" ht="15.75" customHeight="1">
      <c r="A798" s="1">
        <f>IFERROR(__xludf.DUMMYFUNCTION("""COMPUTED_VALUE"""),45028.66666666667)</f>
        <v>45028.66667</v>
      </c>
      <c r="B798" s="2">
        <f>IFERROR(__xludf.DUMMYFUNCTION("""COMPUTED_VALUE"""),382.0)</f>
        <v>382</v>
      </c>
      <c r="C798" s="2">
        <f>IFERROR(__xludf.DUMMYFUNCTION("""COMPUTED_VALUE"""),390.0)</f>
        <v>390</v>
      </c>
      <c r="D798" s="2">
        <f>IFERROR(__xludf.DUMMYFUNCTION("""COMPUTED_VALUE"""),380.0)</f>
        <v>380</v>
      </c>
      <c r="E798" s="2">
        <f>IFERROR(__xludf.DUMMYFUNCTION("""COMPUTED_VALUE"""),382.0)</f>
        <v>382</v>
      </c>
      <c r="F798" s="2">
        <f>IFERROR(__xludf.DUMMYFUNCTION("""COMPUTED_VALUE"""),4770400.0)</f>
        <v>4770400</v>
      </c>
      <c r="G798" s="2">
        <f t="shared" si="1"/>
        <v>10</v>
      </c>
    </row>
    <row r="799" ht="15.75" customHeight="1">
      <c r="A799" s="1">
        <f>IFERROR(__xludf.DUMMYFUNCTION("""COMPUTED_VALUE"""),45029.66666666667)</f>
        <v>45029.66667</v>
      </c>
      <c r="B799" s="2">
        <f>IFERROR(__xludf.DUMMYFUNCTION("""COMPUTED_VALUE"""),384.0)</f>
        <v>384</v>
      </c>
      <c r="C799" s="2">
        <f>IFERROR(__xludf.DUMMYFUNCTION("""COMPUTED_VALUE"""),386.0)</f>
        <v>386</v>
      </c>
      <c r="D799" s="2">
        <f>IFERROR(__xludf.DUMMYFUNCTION("""COMPUTED_VALUE"""),380.0)</f>
        <v>380</v>
      </c>
      <c r="E799" s="2">
        <f>IFERROR(__xludf.DUMMYFUNCTION("""COMPUTED_VALUE"""),380.0)</f>
        <v>380</v>
      </c>
      <c r="F799" s="2">
        <f>IFERROR(__xludf.DUMMYFUNCTION("""COMPUTED_VALUE"""),3831900.0)</f>
        <v>3831900</v>
      </c>
      <c r="G799" s="2">
        <f t="shared" si="1"/>
        <v>6</v>
      </c>
    </row>
    <row r="800" ht="15.75" customHeight="1">
      <c r="A800" s="1">
        <f>IFERROR(__xludf.DUMMYFUNCTION("""COMPUTED_VALUE"""),45030.66666666667)</f>
        <v>45030.66667</v>
      </c>
      <c r="B800" s="2">
        <f>IFERROR(__xludf.DUMMYFUNCTION("""COMPUTED_VALUE"""),382.0)</f>
        <v>382</v>
      </c>
      <c r="C800" s="2">
        <f>IFERROR(__xludf.DUMMYFUNCTION("""COMPUTED_VALUE"""),392.0)</f>
        <v>392</v>
      </c>
      <c r="D800" s="2">
        <f>IFERROR(__xludf.DUMMYFUNCTION("""COMPUTED_VALUE"""),380.0)</f>
        <v>380</v>
      </c>
      <c r="E800" s="2">
        <f>IFERROR(__xludf.DUMMYFUNCTION("""COMPUTED_VALUE"""),390.0)</f>
        <v>390</v>
      </c>
      <c r="F800" s="2">
        <f>IFERROR(__xludf.DUMMYFUNCTION("""COMPUTED_VALUE"""),1.88916E7)</f>
        <v>18891600</v>
      </c>
      <c r="G800" s="2">
        <f t="shared" si="1"/>
        <v>12</v>
      </c>
    </row>
    <row r="801" ht="15.75" customHeight="1">
      <c r="A801" s="1">
        <f>IFERROR(__xludf.DUMMYFUNCTION("""COMPUTED_VALUE"""),45033.66666666667)</f>
        <v>45033.66667</v>
      </c>
      <c r="B801" s="2">
        <f>IFERROR(__xludf.DUMMYFUNCTION("""COMPUTED_VALUE"""),394.0)</f>
        <v>394</v>
      </c>
      <c r="C801" s="2">
        <f>IFERROR(__xludf.DUMMYFUNCTION("""COMPUTED_VALUE"""),418.0)</f>
        <v>418</v>
      </c>
      <c r="D801" s="2">
        <f>IFERROR(__xludf.DUMMYFUNCTION("""COMPUTED_VALUE"""),390.0)</f>
        <v>390</v>
      </c>
      <c r="E801" s="2">
        <f>IFERROR(__xludf.DUMMYFUNCTION("""COMPUTED_VALUE"""),410.0)</f>
        <v>410</v>
      </c>
      <c r="F801" s="2">
        <f>IFERROR(__xludf.DUMMYFUNCTION("""COMPUTED_VALUE"""),5.74039E7)</f>
        <v>57403900</v>
      </c>
      <c r="G801" s="2">
        <f t="shared" si="1"/>
        <v>28</v>
      </c>
    </row>
    <row r="802" ht="15.75" customHeight="1">
      <c r="A802" s="1">
        <f>IFERROR(__xludf.DUMMYFUNCTION("""COMPUTED_VALUE"""),45034.66666666667)</f>
        <v>45034.66667</v>
      </c>
      <c r="B802" s="2">
        <f>IFERROR(__xludf.DUMMYFUNCTION("""COMPUTED_VALUE"""),408.0)</f>
        <v>408</v>
      </c>
      <c r="C802" s="2">
        <f>IFERROR(__xludf.DUMMYFUNCTION("""COMPUTED_VALUE"""),416.0)</f>
        <v>416</v>
      </c>
      <c r="D802" s="2">
        <f>IFERROR(__xludf.DUMMYFUNCTION("""COMPUTED_VALUE"""),402.0)</f>
        <v>402</v>
      </c>
      <c r="E802" s="2">
        <f>IFERROR(__xludf.DUMMYFUNCTION("""COMPUTED_VALUE"""),404.0)</f>
        <v>404</v>
      </c>
      <c r="F802" s="2">
        <f>IFERROR(__xludf.DUMMYFUNCTION("""COMPUTED_VALUE"""),2.46311E7)</f>
        <v>24631100</v>
      </c>
      <c r="G802" s="2">
        <f t="shared" si="1"/>
        <v>14</v>
      </c>
    </row>
    <row r="803" ht="15.75" customHeight="1">
      <c r="A803" s="1">
        <f>IFERROR(__xludf.DUMMYFUNCTION("""COMPUTED_VALUE"""),45042.66666666667)</f>
        <v>45042.66667</v>
      </c>
      <c r="B803" s="2">
        <f>IFERROR(__xludf.DUMMYFUNCTION("""COMPUTED_VALUE"""),402.0)</f>
        <v>402</v>
      </c>
      <c r="C803" s="2">
        <f>IFERROR(__xludf.DUMMYFUNCTION("""COMPUTED_VALUE"""),406.0)</f>
        <v>406</v>
      </c>
      <c r="D803" s="2">
        <f>IFERROR(__xludf.DUMMYFUNCTION("""COMPUTED_VALUE"""),390.0)</f>
        <v>390</v>
      </c>
      <c r="E803" s="2">
        <f>IFERROR(__xludf.DUMMYFUNCTION("""COMPUTED_VALUE"""),394.0)</f>
        <v>394</v>
      </c>
      <c r="F803" s="2">
        <f>IFERROR(__xludf.DUMMYFUNCTION("""COMPUTED_VALUE"""),1.80956E7)</f>
        <v>18095600</v>
      </c>
      <c r="G803" s="2">
        <f t="shared" si="1"/>
        <v>16</v>
      </c>
    </row>
    <row r="804" ht="15.75" customHeight="1">
      <c r="A804" s="1">
        <f>IFERROR(__xludf.DUMMYFUNCTION("""COMPUTED_VALUE"""),45043.66666666667)</f>
        <v>45043.66667</v>
      </c>
      <c r="B804" s="2">
        <f>IFERROR(__xludf.DUMMYFUNCTION("""COMPUTED_VALUE"""),394.0)</f>
        <v>394</v>
      </c>
      <c r="C804" s="2">
        <f>IFERROR(__xludf.DUMMYFUNCTION("""COMPUTED_VALUE"""),408.0)</f>
        <v>408</v>
      </c>
      <c r="D804" s="2">
        <f>IFERROR(__xludf.DUMMYFUNCTION("""COMPUTED_VALUE"""),394.0)</f>
        <v>394</v>
      </c>
      <c r="E804" s="2">
        <f>IFERROR(__xludf.DUMMYFUNCTION("""COMPUTED_VALUE"""),404.0)</f>
        <v>404</v>
      </c>
      <c r="F804" s="2">
        <f>IFERROR(__xludf.DUMMYFUNCTION("""COMPUTED_VALUE"""),1.65506E7)</f>
        <v>16550600</v>
      </c>
      <c r="G804" s="2">
        <f t="shared" si="1"/>
        <v>14</v>
      </c>
    </row>
    <row r="805" ht="15.75" customHeight="1">
      <c r="A805" s="1">
        <f>IFERROR(__xludf.DUMMYFUNCTION("""COMPUTED_VALUE"""),45044.66666666667)</f>
        <v>45044.66667</v>
      </c>
      <c r="B805" s="2">
        <f>IFERROR(__xludf.DUMMYFUNCTION("""COMPUTED_VALUE"""),408.0)</f>
        <v>408</v>
      </c>
      <c r="C805" s="2">
        <f>IFERROR(__xludf.DUMMYFUNCTION("""COMPUTED_VALUE"""),440.0)</f>
        <v>440</v>
      </c>
      <c r="D805" s="2">
        <f>IFERROR(__xludf.DUMMYFUNCTION("""COMPUTED_VALUE"""),404.0)</f>
        <v>404</v>
      </c>
      <c r="E805" s="2">
        <f>IFERROR(__xludf.DUMMYFUNCTION("""COMPUTED_VALUE"""),426.0)</f>
        <v>426</v>
      </c>
      <c r="F805" s="2">
        <f>IFERROR(__xludf.DUMMYFUNCTION("""COMPUTED_VALUE"""),9.1766E7)</f>
        <v>91766000</v>
      </c>
      <c r="G805" s="2">
        <f t="shared" si="1"/>
        <v>36</v>
      </c>
    </row>
    <row r="806" ht="15.75" customHeight="1">
      <c r="A806" s="1">
        <f>IFERROR(__xludf.DUMMYFUNCTION("""COMPUTED_VALUE"""),45048.66666666667)</f>
        <v>45048.66667</v>
      </c>
      <c r="B806" s="2">
        <f>IFERROR(__xludf.DUMMYFUNCTION("""COMPUTED_VALUE"""),426.0)</f>
        <v>426</v>
      </c>
      <c r="C806" s="2">
        <f>IFERROR(__xludf.DUMMYFUNCTION("""COMPUTED_VALUE"""),434.0)</f>
        <v>434</v>
      </c>
      <c r="D806" s="2">
        <f>IFERROR(__xludf.DUMMYFUNCTION("""COMPUTED_VALUE"""),412.0)</f>
        <v>412</v>
      </c>
      <c r="E806" s="2">
        <f>IFERROR(__xludf.DUMMYFUNCTION("""COMPUTED_VALUE"""),418.0)</f>
        <v>418</v>
      </c>
      <c r="F806" s="2">
        <f>IFERROR(__xludf.DUMMYFUNCTION("""COMPUTED_VALUE"""),3.67233E7)</f>
        <v>36723300</v>
      </c>
      <c r="G806" s="2">
        <f t="shared" si="1"/>
        <v>22</v>
      </c>
    </row>
    <row r="807" ht="15.75" customHeight="1">
      <c r="A807" s="1">
        <f>IFERROR(__xludf.DUMMYFUNCTION("""COMPUTED_VALUE"""),45049.66666666667)</f>
        <v>45049.66667</v>
      </c>
      <c r="B807" s="2">
        <f>IFERROR(__xludf.DUMMYFUNCTION("""COMPUTED_VALUE"""),418.0)</f>
        <v>418</v>
      </c>
      <c r="C807" s="2">
        <f>IFERROR(__xludf.DUMMYFUNCTION("""COMPUTED_VALUE"""),424.0)</f>
        <v>424</v>
      </c>
      <c r="D807" s="2">
        <f>IFERROR(__xludf.DUMMYFUNCTION("""COMPUTED_VALUE"""),406.0)</f>
        <v>406</v>
      </c>
      <c r="E807" s="2">
        <f>IFERROR(__xludf.DUMMYFUNCTION("""COMPUTED_VALUE"""),414.0)</f>
        <v>414</v>
      </c>
      <c r="F807" s="2">
        <f>IFERROR(__xludf.DUMMYFUNCTION("""COMPUTED_VALUE"""),2.17588E7)</f>
        <v>21758800</v>
      </c>
      <c r="G807" s="2">
        <f t="shared" si="1"/>
        <v>18</v>
      </c>
    </row>
    <row r="808" ht="15.75" customHeight="1">
      <c r="A808" s="1">
        <f>IFERROR(__xludf.DUMMYFUNCTION("""COMPUTED_VALUE"""),45050.66666666667)</f>
        <v>45050.66667</v>
      </c>
      <c r="B808" s="2">
        <f>IFERROR(__xludf.DUMMYFUNCTION("""COMPUTED_VALUE"""),416.0)</f>
        <v>416</v>
      </c>
      <c r="C808" s="2">
        <f>IFERROR(__xludf.DUMMYFUNCTION("""COMPUTED_VALUE"""),426.0)</f>
        <v>426</v>
      </c>
      <c r="D808" s="2">
        <f>IFERROR(__xludf.DUMMYFUNCTION("""COMPUTED_VALUE"""),410.0)</f>
        <v>410</v>
      </c>
      <c r="E808" s="2">
        <f>IFERROR(__xludf.DUMMYFUNCTION("""COMPUTED_VALUE"""),410.0)</f>
        <v>410</v>
      </c>
      <c r="F808" s="2">
        <f>IFERROR(__xludf.DUMMYFUNCTION("""COMPUTED_VALUE"""),2.97387E7)</f>
        <v>29738700</v>
      </c>
      <c r="G808" s="2">
        <f t="shared" si="1"/>
        <v>16</v>
      </c>
    </row>
    <row r="809" ht="15.75" customHeight="1">
      <c r="A809" s="1">
        <f>IFERROR(__xludf.DUMMYFUNCTION("""COMPUTED_VALUE"""),45051.66666666667)</f>
        <v>45051.66667</v>
      </c>
      <c r="B809" s="2">
        <f>IFERROR(__xludf.DUMMYFUNCTION("""COMPUTED_VALUE"""),410.0)</f>
        <v>410</v>
      </c>
      <c r="C809" s="2">
        <f>IFERROR(__xludf.DUMMYFUNCTION("""COMPUTED_VALUE"""),418.0)</f>
        <v>418</v>
      </c>
      <c r="D809" s="2">
        <f>IFERROR(__xludf.DUMMYFUNCTION("""COMPUTED_VALUE"""),404.0)</f>
        <v>404</v>
      </c>
      <c r="E809" s="2">
        <f>IFERROR(__xludf.DUMMYFUNCTION("""COMPUTED_VALUE"""),410.0)</f>
        <v>410</v>
      </c>
      <c r="F809" s="2">
        <f>IFERROR(__xludf.DUMMYFUNCTION("""COMPUTED_VALUE"""),1.91691E7)</f>
        <v>19169100</v>
      </c>
      <c r="G809" s="2">
        <f t="shared" si="1"/>
        <v>14</v>
      </c>
    </row>
    <row r="810" ht="15.75" customHeight="1">
      <c r="A810" s="1">
        <f>IFERROR(__xludf.DUMMYFUNCTION("""COMPUTED_VALUE"""),45054.66666666667)</f>
        <v>45054.66667</v>
      </c>
      <c r="B810" s="2">
        <f>IFERROR(__xludf.DUMMYFUNCTION("""COMPUTED_VALUE"""),410.0)</f>
        <v>410</v>
      </c>
      <c r="C810" s="2">
        <f>IFERROR(__xludf.DUMMYFUNCTION("""COMPUTED_VALUE"""),426.0)</f>
        <v>426</v>
      </c>
      <c r="D810" s="2">
        <f>IFERROR(__xludf.DUMMYFUNCTION("""COMPUTED_VALUE"""),408.0)</f>
        <v>408</v>
      </c>
      <c r="E810" s="2">
        <f>IFERROR(__xludf.DUMMYFUNCTION("""COMPUTED_VALUE"""),424.0)</f>
        <v>424</v>
      </c>
      <c r="F810" s="2">
        <f>IFERROR(__xludf.DUMMYFUNCTION("""COMPUTED_VALUE"""),3.41629E7)</f>
        <v>34162900</v>
      </c>
      <c r="G810" s="2">
        <f t="shared" si="1"/>
        <v>18</v>
      </c>
    </row>
    <row r="811" ht="15.75" customHeight="1">
      <c r="A811" s="1">
        <f>IFERROR(__xludf.DUMMYFUNCTION("""COMPUTED_VALUE"""),45055.66666666667)</f>
        <v>45055.66667</v>
      </c>
      <c r="B811" s="2">
        <f>IFERROR(__xludf.DUMMYFUNCTION("""COMPUTED_VALUE"""),426.0)</f>
        <v>426</v>
      </c>
      <c r="C811" s="2">
        <f>IFERROR(__xludf.DUMMYFUNCTION("""COMPUTED_VALUE"""),430.0)</f>
        <v>430</v>
      </c>
      <c r="D811" s="2">
        <f>IFERROR(__xludf.DUMMYFUNCTION("""COMPUTED_VALUE"""),412.0)</f>
        <v>412</v>
      </c>
      <c r="E811" s="2">
        <f>IFERROR(__xludf.DUMMYFUNCTION("""COMPUTED_VALUE"""),416.0)</f>
        <v>416</v>
      </c>
      <c r="F811" s="2">
        <f>IFERROR(__xludf.DUMMYFUNCTION("""COMPUTED_VALUE"""),1.8888E7)</f>
        <v>18888000</v>
      </c>
      <c r="G811" s="2">
        <f t="shared" si="1"/>
        <v>18</v>
      </c>
    </row>
    <row r="812" ht="15.75" customHeight="1">
      <c r="A812" s="1">
        <f>IFERROR(__xludf.DUMMYFUNCTION("""COMPUTED_VALUE"""),45056.66666666667)</f>
        <v>45056.66667</v>
      </c>
      <c r="B812" s="2">
        <f>IFERROR(__xludf.DUMMYFUNCTION("""COMPUTED_VALUE"""),416.0)</f>
        <v>416</v>
      </c>
      <c r="C812" s="2">
        <f>IFERROR(__xludf.DUMMYFUNCTION("""COMPUTED_VALUE"""),430.0)</f>
        <v>430</v>
      </c>
      <c r="D812" s="2">
        <f>IFERROR(__xludf.DUMMYFUNCTION("""COMPUTED_VALUE"""),416.0)</f>
        <v>416</v>
      </c>
      <c r="E812" s="2">
        <f>IFERROR(__xludf.DUMMYFUNCTION("""COMPUTED_VALUE"""),416.0)</f>
        <v>416</v>
      </c>
      <c r="F812" s="2">
        <f>IFERROR(__xludf.DUMMYFUNCTION("""COMPUTED_VALUE"""),3.93867E7)</f>
        <v>39386700</v>
      </c>
      <c r="G812" s="2">
        <f t="shared" si="1"/>
        <v>14</v>
      </c>
    </row>
    <row r="813" ht="15.75" customHeight="1">
      <c r="A813" s="1">
        <f>IFERROR(__xludf.DUMMYFUNCTION("""COMPUTED_VALUE"""),45057.66666666667)</f>
        <v>45057.66667</v>
      </c>
      <c r="B813" s="2">
        <f>IFERROR(__xludf.DUMMYFUNCTION("""COMPUTED_VALUE"""),416.0)</f>
        <v>416</v>
      </c>
      <c r="C813" s="2">
        <f>IFERROR(__xludf.DUMMYFUNCTION("""COMPUTED_VALUE"""),418.0)</f>
        <v>418</v>
      </c>
      <c r="D813" s="2">
        <f>IFERROR(__xludf.DUMMYFUNCTION("""COMPUTED_VALUE"""),406.0)</f>
        <v>406</v>
      </c>
      <c r="E813" s="2">
        <f>IFERROR(__xludf.DUMMYFUNCTION("""COMPUTED_VALUE"""),408.0)</f>
        <v>408</v>
      </c>
      <c r="F813" s="2">
        <f>IFERROR(__xludf.DUMMYFUNCTION("""COMPUTED_VALUE"""),1.98107E7)</f>
        <v>19810700</v>
      </c>
      <c r="G813" s="2">
        <f t="shared" si="1"/>
        <v>12</v>
      </c>
    </row>
    <row r="814" ht="15.75" customHeight="1">
      <c r="A814" s="1">
        <f>IFERROR(__xludf.DUMMYFUNCTION("""COMPUTED_VALUE"""),45058.66666666667)</f>
        <v>45058.66667</v>
      </c>
      <c r="B814" s="2">
        <f>IFERROR(__xludf.DUMMYFUNCTION("""COMPUTED_VALUE"""),408.0)</f>
        <v>408</v>
      </c>
      <c r="C814" s="2">
        <f>IFERROR(__xludf.DUMMYFUNCTION("""COMPUTED_VALUE"""),412.0)</f>
        <v>412</v>
      </c>
      <c r="D814" s="2">
        <f>IFERROR(__xludf.DUMMYFUNCTION("""COMPUTED_VALUE"""),404.0)</f>
        <v>404</v>
      </c>
      <c r="E814" s="2">
        <f>IFERROR(__xludf.DUMMYFUNCTION("""COMPUTED_VALUE"""),408.0)</f>
        <v>408</v>
      </c>
      <c r="F814" s="2">
        <f>IFERROR(__xludf.DUMMYFUNCTION("""COMPUTED_VALUE"""),1.15175E7)</f>
        <v>11517500</v>
      </c>
      <c r="G814" s="2">
        <f t="shared" si="1"/>
        <v>8</v>
      </c>
    </row>
    <row r="815" ht="15.75" customHeight="1">
      <c r="A815" s="1">
        <f>IFERROR(__xludf.DUMMYFUNCTION("""COMPUTED_VALUE"""),45061.66666666667)</f>
        <v>45061.66667</v>
      </c>
      <c r="B815" s="2">
        <f>IFERROR(__xludf.DUMMYFUNCTION("""COMPUTED_VALUE"""),410.0)</f>
        <v>410</v>
      </c>
      <c r="C815" s="2">
        <f>IFERROR(__xludf.DUMMYFUNCTION("""COMPUTED_VALUE"""),412.0)</f>
        <v>412</v>
      </c>
      <c r="D815" s="2">
        <f>IFERROR(__xludf.DUMMYFUNCTION("""COMPUTED_VALUE"""),380.0)</f>
        <v>380</v>
      </c>
      <c r="E815" s="2">
        <f>IFERROR(__xludf.DUMMYFUNCTION("""COMPUTED_VALUE"""),380.0)</f>
        <v>380</v>
      </c>
      <c r="F815" s="2">
        <f>IFERROR(__xludf.DUMMYFUNCTION("""COMPUTED_VALUE"""),6.07162E7)</f>
        <v>60716200</v>
      </c>
      <c r="G815" s="2">
        <f t="shared" si="1"/>
        <v>32</v>
      </c>
    </row>
    <row r="816" ht="15.75" customHeight="1">
      <c r="A816" s="1">
        <f>IFERROR(__xludf.DUMMYFUNCTION("""COMPUTED_VALUE"""),45062.66666666667)</f>
        <v>45062.66667</v>
      </c>
      <c r="B816" s="2">
        <f>IFERROR(__xludf.DUMMYFUNCTION("""COMPUTED_VALUE"""),380.0)</f>
        <v>380</v>
      </c>
      <c r="C816" s="2">
        <f>IFERROR(__xludf.DUMMYFUNCTION("""COMPUTED_VALUE"""),384.0)</f>
        <v>384</v>
      </c>
      <c r="D816" s="2">
        <f>IFERROR(__xludf.DUMMYFUNCTION("""COMPUTED_VALUE"""),364.0)</f>
        <v>364</v>
      </c>
      <c r="E816" s="2">
        <f>IFERROR(__xludf.DUMMYFUNCTION("""COMPUTED_VALUE"""),366.0)</f>
        <v>366</v>
      </c>
      <c r="F816" s="2">
        <f>IFERROR(__xludf.DUMMYFUNCTION("""COMPUTED_VALUE"""),2.26328E7)</f>
        <v>22632800</v>
      </c>
      <c r="G816" s="2">
        <f t="shared" si="1"/>
        <v>20</v>
      </c>
    </row>
    <row r="817" ht="15.75" customHeight="1">
      <c r="A817" s="1">
        <f>IFERROR(__xludf.DUMMYFUNCTION("""COMPUTED_VALUE"""),45063.66666666667)</f>
        <v>45063.66667</v>
      </c>
      <c r="B817" s="2">
        <f>IFERROR(__xludf.DUMMYFUNCTION("""COMPUTED_VALUE"""),366.0)</f>
        <v>366</v>
      </c>
      <c r="C817" s="2">
        <f>IFERROR(__xludf.DUMMYFUNCTION("""COMPUTED_VALUE"""),378.0)</f>
        <v>378</v>
      </c>
      <c r="D817" s="2">
        <f>IFERROR(__xludf.DUMMYFUNCTION("""COMPUTED_VALUE"""),360.0)</f>
        <v>360</v>
      </c>
      <c r="E817" s="2">
        <f>IFERROR(__xludf.DUMMYFUNCTION("""COMPUTED_VALUE"""),368.0)</f>
        <v>368</v>
      </c>
      <c r="F817" s="2">
        <f>IFERROR(__xludf.DUMMYFUNCTION("""COMPUTED_VALUE"""),1.79571E7)</f>
        <v>17957100</v>
      </c>
      <c r="G817" s="2">
        <f t="shared" si="1"/>
        <v>18</v>
      </c>
    </row>
    <row r="818" ht="15.75" customHeight="1">
      <c r="A818" s="1">
        <f>IFERROR(__xludf.DUMMYFUNCTION("""COMPUTED_VALUE"""),45065.66666666667)</f>
        <v>45065.66667</v>
      </c>
      <c r="B818" s="2">
        <f>IFERROR(__xludf.DUMMYFUNCTION("""COMPUTED_VALUE"""),370.0)</f>
        <v>370</v>
      </c>
      <c r="C818" s="2">
        <f>IFERROR(__xludf.DUMMYFUNCTION("""COMPUTED_VALUE"""),378.0)</f>
        <v>378</v>
      </c>
      <c r="D818" s="2">
        <f>IFERROR(__xludf.DUMMYFUNCTION("""COMPUTED_VALUE"""),368.0)</f>
        <v>368</v>
      </c>
      <c r="E818" s="2">
        <f>IFERROR(__xludf.DUMMYFUNCTION("""COMPUTED_VALUE"""),372.0)</f>
        <v>372</v>
      </c>
      <c r="F818" s="2">
        <f>IFERROR(__xludf.DUMMYFUNCTION("""COMPUTED_VALUE"""),1.40831E7)</f>
        <v>14083100</v>
      </c>
      <c r="G818" s="2">
        <f t="shared" si="1"/>
        <v>10</v>
      </c>
    </row>
    <row r="819" ht="15.75" customHeight="1">
      <c r="A819" s="1">
        <f>IFERROR(__xludf.DUMMYFUNCTION("""COMPUTED_VALUE"""),45068.66666666667)</f>
        <v>45068.66667</v>
      </c>
      <c r="B819" s="2">
        <f>IFERROR(__xludf.DUMMYFUNCTION("""COMPUTED_VALUE"""),372.0)</f>
        <v>372</v>
      </c>
      <c r="C819" s="2">
        <f>IFERROR(__xludf.DUMMYFUNCTION("""COMPUTED_VALUE"""),378.0)</f>
        <v>378</v>
      </c>
      <c r="D819" s="2">
        <f>IFERROR(__xludf.DUMMYFUNCTION("""COMPUTED_VALUE"""),370.0)</f>
        <v>370</v>
      </c>
      <c r="E819" s="2">
        <f>IFERROR(__xludf.DUMMYFUNCTION("""COMPUTED_VALUE"""),370.0)</f>
        <v>370</v>
      </c>
      <c r="F819" s="2">
        <f>IFERROR(__xludf.DUMMYFUNCTION("""COMPUTED_VALUE"""),9244000.0)</f>
        <v>9244000</v>
      </c>
      <c r="G819" s="2">
        <f t="shared" si="1"/>
        <v>8</v>
      </c>
    </row>
    <row r="820" ht="15.75" customHeight="1">
      <c r="A820" s="1">
        <f>IFERROR(__xludf.DUMMYFUNCTION("""COMPUTED_VALUE"""),45069.66666666667)</f>
        <v>45069.66667</v>
      </c>
      <c r="B820" s="2">
        <f>IFERROR(__xludf.DUMMYFUNCTION("""COMPUTED_VALUE"""),372.0)</f>
        <v>372</v>
      </c>
      <c r="C820" s="2">
        <f>IFERROR(__xludf.DUMMYFUNCTION("""COMPUTED_VALUE"""),376.0)</f>
        <v>376</v>
      </c>
      <c r="D820" s="2">
        <f>IFERROR(__xludf.DUMMYFUNCTION("""COMPUTED_VALUE"""),368.0)</f>
        <v>368</v>
      </c>
      <c r="E820" s="2">
        <f>IFERROR(__xludf.DUMMYFUNCTION("""COMPUTED_VALUE"""),368.0)</f>
        <v>368</v>
      </c>
      <c r="F820" s="2">
        <f>IFERROR(__xludf.DUMMYFUNCTION("""COMPUTED_VALUE"""),5413900.0)</f>
        <v>5413900</v>
      </c>
      <c r="G820" s="2">
        <f t="shared" si="1"/>
        <v>8</v>
      </c>
    </row>
    <row r="821" ht="15.75" customHeight="1">
      <c r="A821" s="1">
        <f>IFERROR(__xludf.DUMMYFUNCTION("""COMPUTED_VALUE"""),45070.66666666667)</f>
        <v>45070.66667</v>
      </c>
      <c r="B821" s="2">
        <f>IFERROR(__xludf.DUMMYFUNCTION("""COMPUTED_VALUE"""),370.0)</f>
        <v>370</v>
      </c>
      <c r="C821" s="2">
        <f>IFERROR(__xludf.DUMMYFUNCTION("""COMPUTED_VALUE"""),372.0)</f>
        <v>372</v>
      </c>
      <c r="D821" s="2">
        <f>IFERROR(__xludf.DUMMYFUNCTION("""COMPUTED_VALUE"""),362.0)</f>
        <v>362</v>
      </c>
      <c r="E821" s="2">
        <f>IFERROR(__xludf.DUMMYFUNCTION("""COMPUTED_VALUE"""),364.0)</f>
        <v>364</v>
      </c>
      <c r="F821" s="2">
        <f>IFERROR(__xludf.DUMMYFUNCTION("""COMPUTED_VALUE"""),8535800.0)</f>
        <v>8535800</v>
      </c>
      <c r="G821" s="2">
        <f t="shared" si="1"/>
        <v>10</v>
      </c>
    </row>
    <row r="822" ht="15.75" customHeight="1">
      <c r="A822" s="1">
        <f>IFERROR(__xludf.DUMMYFUNCTION("""COMPUTED_VALUE"""),45071.66666666667)</f>
        <v>45071.66667</v>
      </c>
      <c r="B822" s="2">
        <f>IFERROR(__xludf.DUMMYFUNCTION("""COMPUTED_VALUE"""),366.0)</f>
        <v>366</v>
      </c>
      <c r="C822" s="2">
        <f>IFERROR(__xludf.DUMMYFUNCTION("""COMPUTED_VALUE"""),368.0)</f>
        <v>368</v>
      </c>
      <c r="D822" s="2">
        <f>IFERROR(__xludf.DUMMYFUNCTION("""COMPUTED_VALUE"""),358.0)</f>
        <v>358</v>
      </c>
      <c r="E822" s="2">
        <f>IFERROR(__xludf.DUMMYFUNCTION("""COMPUTED_VALUE"""),358.0)</f>
        <v>358</v>
      </c>
      <c r="F822" s="2">
        <f>IFERROR(__xludf.DUMMYFUNCTION("""COMPUTED_VALUE"""),8670500.0)</f>
        <v>8670500</v>
      </c>
      <c r="G822" s="2">
        <f t="shared" si="1"/>
        <v>10</v>
      </c>
    </row>
    <row r="823" ht="15.75" customHeight="1">
      <c r="A823" s="1">
        <f>IFERROR(__xludf.DUMMYFUNCTION("""COMPUTED_VALUE"""),45072.66666666667)</f>
        <v>45072.66667</v>
      </c>
      <c r="B823" s="2">
        <f>IFERROR(__xludf.DUMMYFUNCTION("""COMPUTED_VALUE"""),360.0)</f>
        <v>360</v>
      </c>
      <c r="C823" s="2">
        <f>IFERROR(__xludf.DUMMYFUNCTION("""COMPUTED_VALUE"""),364.0)</f>
        <v>364</v>
      </c>
      <c r="D823" s="2">
        <f>IFERROR(__xludf.DUMMYFUNCTION("""COMPUTED_VALUE"""),360.0)</f>
        <v>360</v>
      </c>
      <c r="E823" s="2">
        <f>IFERROR(__xludf.DUMMYFUNCTION("""COMPUTED_VALUE"""),360.0)</f>
        <v>360</v>
      </c>
      <c r="F823" s="2">
        <f>IFERROR(__xludf.DUMMYFUNCTION("""COMPUTED_VALUE"""),4823700.0)</f>
        <v>4823700</v>
      </c>
      <c r="G823" s="2">
        <f t="shared" si="1"/>
        <v>6</v>
      </c>
    </row>
    <row r="824" ht="15.75" customHeight="1">
      <c r="A824" s="1">
        <f>IFERROR(__xludf.DUMMYFUNCTION("""COMPUTED_VALUE"""),45075.66666666667)</f>
        <v>45075.66667</v>
      </c>
      <c r="B824" s="2">
        <f>IFERROR(__xludf.DUMMYFUNCTION("""COMPUTED_VALUE"""),364.0)</f>
        <v>364</v>
      </c>
      <c r="C824" s="2">
        <f>IFERROR(__xludf.DUMMYFUNCTION("""COMPUTED_VALUE"""),366.0)</f>
        <v>366</v>
      </c>
      <c r="D824" s="2">
        <f>IFERROR(__xludf.DUMMYFUNCTION("""COMPUTED_VALUE"""),358.0)</f>
        <v>358</v>
      </c>
      <c r="E824" s="2">
        <f>IFERROR(__xludf.DUMMYFUNCTION("""COMPUTED_VALUE"""),360.0)</f>
        <v>360</v>
      </c>
      <c r="F824" s="2">
        <f>IFERROR(__xludf.DUMMYFUNCTION("""COMPUTED_VALUE"""),5895900.0)</f>
        <v>5895900</v>
      </c>
      <c r="G824" s="2">
        <f t="shared" si="1"/>
        <v>8</v>
      </c>
    </row>
    <row r="825" ht="15.75" customHeight="1">
      <c r="A825" s="1">
        <f>IFERROR(__xludf.DUMMYFUNCTION("""COMPUTED_VALUE"""),45076.66666666667)</f>
        <v>45076.66667</v>
      </c>
      <c r="B825" s="2">
        <f>IFERROR(__xludf.DUMMYFUNCTION("""COMPUTED_VALUE"""),360.0)</f>
        <v>360</v>
      </c>
      <c r="C825" s="2">
        <f>IFERROR(__xludf.DUMMYFUNCTION("""COMPUTED_VALUE"""),362.0)</f>
        <v>362</v>
      </c>
      <c r="D825" s="2">
        <f>IFERROR(__xludf.DUMMYFUNCTION("""COMPUTED_VALUE"""),356.0)</f>
        <v>356</v>
      </c>
      <c r="E825" s="2">
        <f>IFERROR(__xludf.DUMMYFUNCTION("""COMPUTED_VALUE"""),358.0)</f>
        <v>358</v>
      </c>
      <c r="F825" s="2">
        <f>IFERROR(__xludf.DUMMYFUNCTION("""COMPUTED_VALUE"""),4735700.0)</f>
        <v>4735700</v>
      </c>
      <c r="G825" s="2">
        <f t="shared" si="1"/>
        <v>6</v>
      </c>
    </row>
    <row r="826" ht="15.75" customHeight="1">
      <c r="A826" s="1">
        <f>IFERROR(__xludf.DUMMYFUNCTION("""COMPUTED_VALUE"""),45077.66666666667)</f>
        <v>45077.66667</v>
      </c>
      <c r="B826" s="2">
        <f>IFERROR(__xludf.DUMMYFUNCTION("""COMPUTED_VALUE"""),358.0)</f>
        <v>358</v>
      </c>
      <c r="C826" s="2">
        <f>IFERROR(__xludf.DUMMYFUNCTION("""COMPUTED_VALUE"""),360.0)</f>
        <v>360</v>
      </c>
      <c r="D826" s="2">
        <f>IFERROR(__xludf.DUMMYFUNCTION("""COMPUTED_VALUE"""),352.0)</f>
        <v>352</v>
      </c>
      <c r="E826" s="2">
        <f>IFERROR(__xludf.DUMMYFUNCTION("""COMPUTED_VALUE"""),352.0)</f>
        <v>352</v>
      </c>
      <c r="F826" s="2">
        <f>IFERROR(__xludf.DUMMYFUNCTION("""COMPUTED_VALUE"""),8892400.0)</f>
        <v>8892400</v>
      </c>
      <c r="G826" s="2">
        <f t="shared" si="1"/>
        <v>8</v>
      </c>
    </row>
    <row r="827" ht="15.75" customHeight="1">
      <c r="A827" s="1">
        <f>IFERROR(__xludf.DUMMYFUNCTION("""COMPUTED_VALUE"""),45082.66666666667)</f>
        <v>45082.66667</v>
      </c>
      <c r="B827" s="2">
        <f>IFERROR(__xludf.DUMMYFUNCTION("""COMPUTED_VALUE"""),352.0)</f>
        <v>352</v>
      </c>
      <c r="C827" s="2">
        <f>IFERROR(__xludf.DUMMYFUNCTION("""COMPUTED_VALUE"""),364.0)</f>
        <v>364</v>
      </c>
      <c r="D827" s="2">
        <f>IFERROR(__xludf.DUMMYFUNCTION("""COMPUTED_VALUE"""),352.0)</f>
        <v>352</v>
      </c>
      <c r="E827" s="2">
        <f>IFERROR(__xludf.DUMMYFUNCTION("""COMPUTED_VALUE"""),360.0)</f>
        <v>360</v>
      </c>
      <c r="F827" s="2">
        <f>IFERROR(__xludf.DUMMYFUNCTION("""COMPUTED_VALUE"""),9224900.0)</f>
        <v>9224900</v>
      </c>
      <c r="G827" s="2">
        <f t="shared" si="1"/>
        <v>12</v>
      </c>
    </row>
    <row r="828" ht="15.75" customHeight="1">
      <c r="A828" s="1">
        <f>IFERROR(__xludf.DUMMYFUNCTION("""COMPUTED_VALUE"""),45083.66666666667)</f>
        <v>45083.66667</v>
      </c>
      <c r="B828" s="2">
        <f>IFERROR(__xludf.DUMMYFUNCTION("""COMPUTED_VALUE"""),360.0)</f>
        <v>360</v>
      </c>
      <c r="C828" s="2">
        <f>IFERROR(__xludf.DUMMYFUNCTION("""COMPUTED_VALUE"""),366.0)</f>
        <v>366</v>
      </c>
      <c r="D828" s="2">
        <f>IFERROR(__xludf.DUMMYFUNCTION("""COMPUTED_VALUE"""),358.0)</f>
        <v>358</v>
      </c>
      <c r="E828" s="2">
        <f>IFERROR(__xludf.DUMMYFUNCTION("""COMPUTED_VALUE"""),360.0)</f>
        <v>360</v>
      </c>
      <c r="F828" s="2">
        <f>IFERROR(__xludf.DUMMYFUNCTION("""COMPUTED_VALUE"""),1.22619E7)</f>
        <v>12261900</v>
      </c>
      <c r="G828" s="2">
        <f t="shared" si="1"/>
        <v>8</v>
      </c>
    </row>
    <row r="829" ht="15.75" customHeight="1">
      <c r="A829" s="1">
        <f>IFERROR(__xludf.DUMMYFUNCTION("""COMPUTED_VALUE"""),45084.66666666667)</f>
        <v>45084.66667</v>
      </c>
      <c r="B829" s="2">
        <f>IFERROR(__xludf.DUMMYFUNCTION("""COMPUTED_VALUE"""),362.0)</f>
        <v>362</v>
      </c>
      <c r="C829" s="2">
        <f>IFERROR(__xludf.DUMMYFUNCTION("""COMPUTED_VALUE"""),368.0)</f>
        <v>368</v>
      </c>
      <c r="D829" s="2">
        <f>IFERROR(__xludf.DUMMYFUNCTION("""COMPUTED_VALUE"""),354.0)</f>
        <v>354</v>
      </c>
      <c r="E829" s="2">
        <f>IFERROR(__xludf.DUMMYFUNCTION("""COMPUTED_VALUE"""),360.0)</f>
        <v>360</v>
      </c>
      <c r="F829" s="2">
        <f>IFERROR(__xludf.DUMMYFUNCTION("""COMPUTED_VALUE"""),1.02076E7)</f>
        <v>10207600</v>
      </c>
      <c r="G829" s="2">
        <f t="shared" si="1"/>
        <v>14</v>
      </c>
    </row>
    <row r="830" ht="15.75" customHeight="1">
      <c r="A830" s="1">
        <f>IFERROR(__xludf.DUMMYFUNCTION("""COMPUTED_VALUE"""),45085.66666666667)</f>
        <v>45085.66667</v>
      </c>
      <c r="B830" s="2">
        <f>IFERROR(__xludf.DUMMYFUNCTION("""COMPUTED_VALUE"""),360.0)</f>
        <v>360</v>
      </c>
      <c r="C830" s="2">
        <f>IFERROR(__xludf.DUMMYFUNCTION("""COMPUTED_VALUE"""),386.0)</f>
        <v>386</v>
      </c>
      <c r="D830" s="2">
        <f>IFERROR(__xludf.DUMMYFUNCTION("""COMPUTED_VALUE"""),358.0)</f>
        <v>358</v>
      </c>
      <c r="E830" s="2">
        <f>IFERROR(__xludf.DUMMYFUNCTION("""COMPUTED_VALUE"""),374.0)</f>
        <v>374</v>
      </c>
      <c r="F830" s="2">
        <f>IFERROR(__xludf.DUMMYFUNCTION("""COMPUTED_VALUE"""),7.36058E7)</f>
        <v>73605800</v>
      </c>
      <c r="G830" s="2">
        <f t="shared" si="1"/>
        <v>28</v>
      </c>
    </row>
    <row r="831" ht="15.75" customHeight="1">
      <c r="A831" s="1">
        <f>IFERROR(__xludf.DUMMYFUNCTION("""COMPUTED_VALUE"""),45086.66666666667)</f>
        <v>45086.66667</v>
      </c>
      <c r="B831" s="2">
        <f>IFERROR(__xludf.DUMMYFUNCTION("""COMPUTED_VALUE"""),378.0)</f>
        <v>378</v>
      </c>
      <c r="C831" s="2">
        <f>IFERROR(__xludf.DUMMYFUNCTION("""COMPUTED_VALUE"""),384.0)</f>
        <v>384</v>
      </c>
      <c r="D831" s="2">
        <f>IFERROR(__xludf.DUMMYFUNCTION("""COMPUTED_VALUE"""),372.0)</f>
        <v>372</v>
      </c>
      <c r="E831" s="2">
        <f>IFERROR(__xludf.DUMMYFUNCTION("""COMPUTED_VALUE"""),372.0)</f>
        <v>372</v>
      </c>
      <c r="F831" s="2">
        <f>IFERROR(__xludf.DUMMYFUNCTION("""COMPUTED_VALUE"""),5.30893E7)</f>
        <v>53089300</v>
      </c>
      <c r="G831" s="2">
        <f t="shared" si="1"/>
        <v>12</v>
      </c>
    </row>
    <row r="832" ht="15.75" customHeight="1">
      <c r="A832" s="1">
        <f>IFERROR(__xludf.DUMMYFUNCTION("""COMPUTED_VALUE"""),45089.66666666667)</f>
        <v>45089.66667</v>
      </c>
      <c r="B832" s="2">
        <f>IFERROR(__xludf.DUMMYFUNCTION("""COMPUTED_VALUE"""),372.0)</f>
        <v>372</v>
      </c>
      <c r="C832" s="2">
        <f>IFERROR(__xludf.DUMMYFUNCTION("""COMPUTED_VALUE"""),374.0)</f>
        <v>374</v>
      </c>
      <c r="D832" s="2">
        <f>IFERROR(__xludf.DUMMYFUNCTION("""COMPUTED_VALUE"""),362.0)</f>
        <v>362</v>
      </c>
      <c r="E832" s="2">
        <f>IFERROR(__xludf.DUMMYFUNCTION("""COMPUTED_VALUE"""),368.0)</f>
        <v>368</v>
      </c>
      <c r="F832" s="2">
        <f>IFERROR(__xludf.DUMMYFUNCTION("""COMPUTED_VALUE"""),6.27297E7)</f>
        <v>62729700</v>
      </c>
      <c r="G832" s="2">
        <f t="shared" si="1"/>
        <v>12</v>
      </c>
    </row>
    <row r="833" ht="15.75" customHeight="1">
      <c r="A833" s="1">
        <f>IFERROR(__xludf.DUMMYFUNCTION("""COMPUTED_VALUE"""),45090.66666666667)</f>
        <v>45090.66667</v>
      </c>
      <c r="B833" s="2">
        <f>IFERROR(__xludf.DUMMYFUNCTION("""COMPUTED_VALUE"""),370.0)</f>
        <v>370</v>
      </c>
      <c r="C833" s="2">
        <f>IFERROR(__xludf.DUMMYFUNCTION("""COMPUTED_VALUE"""),396.0)</f>
        <v>396</v>
      </c>
      <c r="D833" s="2">
        <f>IFERROR(__xludf.DUMMYFUNCTION("""COMPUTED_VALUE"""),370.0)</f>
        <v>370</v>
      </c>
      <c r="E833" s="2">
        <f>IFERROR(__xludf.DUMMYFUNCTION("""COMPUTED_VALUE"""),396.0)</f>
        <v>396</v>
      </c>
      <c r="F833" s="2">
        <f>IFERROR(__xludf.DUMMYFUNCTION("""COMPUTED_VALUE"""),9.99479E7)</f>
        <v>99947900</v>
      </c>
      <c r="G833" s="2">
        <f t="shared" si="1"/>
        <v>28</v>
      </c>
    </row>
    <row r="834" ht="15.75" customHeight="1">
      <c r="A834" s="1">
        <f>IFERROR(__xludf.DUMMYFUNCTION("""COMPUTED_VALUE"""),45091.66666666667)</f>
        <v>45091.66667</v>
      </c>
      <c r="B834" s="2">
        <f>IFERROR(__xludf.DUMMYFUNCTION("""COMPUTED_VALUE"""),398.0)</f>
        <v>398</v>
      </c>
      <c r="C834" s="2">
        <f>IFERROR(__xludf.DUMMYFUNCTION("""COMPUTED_VALUE"""),402.0)</f>
        <v>402</v>
      </c>
      <c r="D834" s="2">
        <f>IFERROR(__xludf.DUMMYFUNCTION("""COMPUTED_VALUE"""),390.0)</f>
        <v>390</v>
      </c>
      <c r="E834" s="2">
        <f>IFERROR(__xludf.DUMMYFUNCTION("""COMPUTED_VALUE"""),390.0)</f>
        <v>390</v>
      </c>
      <c r="F834" s="2">
        <f>IFERROR(__xludf.DUMMYFUNCTION("""COMPUTED_VALUE"""),4.32009E7)</f>
        <v>43200900</v>
      </c>
      <c r="G834" s="2">
        <f t="shared" si="1"/>
        <v>12</v>
      </c>
    </row>
    <row r="835" ht="15.75" customHeight="1">
      <c r="A835" s="1">
        <f>IFERROR(__xludf.DUMMYFUNCTION("""COMPUTED_VALUE"""),45092.66666666667)</f>
        <v>45092.66667</v>
      </c>
      <c r="B835" s="2">
        <f>IFERROR(__xludf.DUMMYFUNCTION("""COMPUTED_VALUE"""),388.0)</f>
        <v>388</v>
      </c>
      <c r="C835" s="2">
        <f>IFERROR(__xludf.DUMMYFUNCTION("""COMPUTED_VALUE"""),394.0)</f>
        <v>394</v>
      </c>
      <c r="D835" s="2">
        <f>IFERROR(__xludf.DUMMYFUNCTION("""COMPUTED_VALUE"""),384.0)</f>
        <v>384</v>
      </c>
      <c r="E835" s="2">
        <f>IFERROR(__xludf.DUMMYFUNCTION("""COMPUTED_VALUE"""),388.0)</f>
        <v>388</v>
      </c>
      <c r="F835" s="2">
        <f>IFERROR(__xludf.DUMMYFUNCTION("""COMPUTED_VALUE"""),1.85938E7)</f>
        <v>18593800</v>
      </c>
      <c r="G835" s="2">
        <f t="shared" si="1"/>
        <v>10</v>
      </c>
    </row>
    <row r="836" ht="15.75" customHeight="1">
      <c r="A836" s="1">
        <f>IFERROR(__xludf.DUMMYFUNCTION("""COMPUTED_VALUE"""),45093.66666666667)</f>
        <v>45093.66667</v>
      </c>
      <c r="B836" s="2">
        <f>IFERROR(__xludf.DUMMYFUNCTION("""COMPUTED_VALUE"""),388.0)</f>
        <v>388</v>
      </c>
      <c r="C836" s="2">
        <f>IFERROR(__xludf.DUMMYFUNCTION("""COMPUTED_VALUE"""),396.0)</f>
        <v>396</v>
      </c>
      <c r="D836" s="2">
        <f>IFERROR(__xludf.DUMMYFUNCTION("""COMPUTED_VALUE"""),386.0)</f>
        <v>386</v>
      </c>
      <c r="E836" s="2">
        <f>IFERROR(__xludf.DUMMYFUNCTION("""COMPUTED_VALUE"""),386.0)</f>
        <v>386</v>
      </c>
      <c r="F836" s="2">
        <f>IFERROR(__xludf.DUMMYFUNCTION("""COMPUTED_VALUE"""),2.12214E7)</f>
        <v>21221400</v>
      </c>
      <c r="G836" s="2">
        <f t="shared" si="1"/>
        <v>10</v>
      </c>
    </row>
    <row r="837" ht="15.75" customHeight="1">
      <c r="A837" s="1">
        <f>IFERROR(__xludf.DUMMYFUNCTION("""COMPUTED_VALUE"""),45096.66666666667)</f>
        <v>45096.66667</v>
      </c>
      <c r="B837" s="2">
        <f>IFERROR(__xludf.DUMMYFUNCTION("""COMPUTED_VALUE"""),386.0)</f>
        <v>386</v>
      </c>
      <c r="C837" s="2">
        <f>IFERROR(__xludf.DUMMYFUNCTION("""COMPUTED_VALUE"""),392.0)</f>
        <v>392</v>
      </c>
      <c r="D837" s="2">
        <f>IFERROR(__xludf.DUMMYFUNCTION("""COMPUTED_VALUE"""),382.0)</f>
        <v>382</v>
      </c>
      <c r="E837" s="2">
        <f>IFERROR(__xludf.DUMMYFUNCTION("""COMPUTED_VALUE"""),382.0)</f>
        <v>382</v>
      </c>
      <c r="F837" s="2">
        <f>IFERROR(__xludf.DUMMYFUNCTION("""COMPUTED_VALUE"""),1.13971E7)</f>
        <v>11397100</v>
      </c>
      <c r="G837" s="2">
        <f t="shared" si="1"/>
        <v>10</v>
      </c>
    </row>
    <row r="838" ht="15.75" customHeight="1">
      <c r="A838" s="1">
        <f>IFERROR(__xludf.DUMMYFUNCTION("""COMPUTED_VALUE"""),45097.66666666667)</f>
        <v>45097.66667</v>
      </c>
      <c r="B838" s="2">
        <f>IFERROR(__xludf.DUMMYFUNCTION("""COMPUTED_VALUE"""),384.0)</f>
        <v>384</v>
      </c>
      <c r="C838" s="2">
        <f>IFERROR(__xludf.DUMMYFUNCTION("""COMPUTED_VALUE"""),386.0)</f>
        <v>386</v>
      </c>
      <c r="D838" s="2">
        <f>IFERROR(__xludf.DUMMYFUNCTION("""COMPUTED_VALUE"""),370.0)</f>
        <v>370</v>
      </c>
      <c r="E838" s="2">
        <f>IFERROR(__xludf.DUMMYFUNCTION("""COMPUTED_VALUE"""),376.0)</f>
        <v>376</v>
      </c>
      <c r="F838" s="2">
        <f>IFERROR(__xludf.DUMMYFUNCTION("""COMPUTED_VALUE"""),2.29476E7)</f>
        <v>22947600</v>
      </c>
      <c r="G838" s="2">
        <f t="shared" si="1"/>
        <v>16</v>
      </c>
    </row>
    <row r="839" ht="15.75" customHeight="1">
      <c r="A839" s="1">
        <f>IFERROR(__xludf.DUMMYFUNCTION("""COMPUTED_VALUE"""),45098.66666666667)</f>
        <v>45098.66667</v>
      </c>
      <c r="B839" s="2">
        <f>IFERROR(__xludf.DUMMYFUNCTION("""COMPUTED_VALUE"""),376.0)</f>
        <v>376</v>
      </c>
      <c r="C839" s="2">
        <f>IFERROR(__xludf.DUMMYFUNCTION("""COMPUTED_VALUE"""),386.0)</f>
        <v>386</v>
      </c>
      <c r="D839" s="2">
        <f>IFERROR(__xludf.DUMMYFUNCTION("""COMPUTED_VALUE"""),374.0)</f>
        <v>374</v>
      </c>
      <c r="E839" s="2">
        <f>IFERROR(__xludf.DUMMYFUNCTION("""COMPUTED_VALUE"""),384.0)</f>
        <v>384</v>
      </c>
      <c r="F839" s="2">
        <f>IFERROR(__xludf.DUMMYFUNCTION("""COMPUTED_VALUE"""),1.87292E7)</f>
        <v>18729200</v>
      </c>
      <c r="G839" s="2">
        <f t="shared" si="1"/>
        <v>12</v>
      </c>
    </row>
    <row r="840" ht="15.75" customHeight="1">
      <c r="A840" s="1">
        <f>IFERROR(__xludf.DUMMYFUNCTION("""COMPUTED_VALUE"""),45099.66666666667)</f>
        <v>45099.66667</v>
      </c>
      <c r="B840" s="2">
        <f>IFERROR(__xludf.DUMMYFUNCTION("""COMPUTED_VALUE"""),386.0)</f>
        <v>386</v>
      </c>
      <c r="C840" s="2">
        <f>IFERROR(__xludf.DUMMYFUNCTION("""COMPUTED_VALUE"""),406.0)</f>
        <v>406</v>
      </c>
      <c r="D840" s="2">
        <f>IFERROR(__xludf.DUMMYFUNCTION("""COMPUTED_VALUE"""),384.0)</f>
        <v>384</v>
      </c>
      <c r="E840" s="2">
        <f>IFERROR(__xludf.DUMMYFUNCTION("""COMPUTED_VALUE"""),396.0)</f>
        <v>396</v>
      </c>
      <c r="F840" s="2">
        <f>IFERROR(__xludf.DUMMYFUNCTION("""COMPUTED_VALUE"""),6.70971E7)</f>
        <v>67097100</v>
      </c>
      <c r="G840" s="2">
        <f t="shared" si="1"/>
        <v>22</v>
      </c>
    </row>
    <row r="841" ht="15.75" customHeight="1">
      <c r="A841" s="1">
        <f>IFERROR(__xludf.DUMMYFUNCTION("""COMPUTED_VALUE"""),45100.66666666667)</f>
        <v>45100.66667</v>
      </c>
      <c r="B841" s="2">
        <f>IFERROR(__xludf.DUMMYFUNCTION("""COMPUTED_VALUE"""),398.0)</f>
        <v>398</v>
      </c>
      <c r="C841" s="2">
        <f>IFERROR(__xludf.DUMMYFUNCTION("""COMPUTED_VALUE"""),404.0)</f>
        <v>404</v>
      </c>
      <c r="D841" s="2">
        <f>IFERROR(__xludf.DUMMYFUNCTION("""COMPUTED_VALUE"""),382.0)</f>
        <v>382</v>
      </c>
      <c r="E841" s="2">
        <f>IFERROR(__xludf.DUMMYFUNCTION("""COMPUTED_VALUE"""),382.0)</f>
        <v>382</v>
      </c>
      <c r="F841" s="2">
        <f>IFERROR(__xludf.DUMMYFUNCTION("""COMPUTED_VALUE"""),3.70853E7)</f>
        <v>37085300</v>
      </c>
      <c r="G841" s="2">
        <f t="shared" si="1"/>
        <v>22</v>
      </c>
    </row>
    <row r="842" ht="15.75" customHeight="1">
      <c r="A842" s="1">
        <f>IFERROR(__xludf.DUMMYFUNCTION("""COMPUTED_VALUE"""),45103.66666666667)</f>
        <v>45103.66667</v>
      </c>
      <c r="B842" s="2">
        <f>IFERROR(__xludf.DUMMYFUNCTION("""COMPUTED_VALUE"""),386.0)</f>
        <v>386</v>
      </c>
      <c r="C842" s="2">
        <f>IFERROR(__xludf.DUMMYFUNCTION("""COMPUTED_VALUE"""),388.0)</f>
        <v>388</v>
      </c>
      <c r="D842" s="2">
        <f>IFERROR(__xludf.DUMMYFUNCTION("""COMPUTED_VALUE"""),380.0)</f>
        <v>380</v>
      </c>
      <c r="E842" s="2">
        <f>IFERROR(__xludf.DUMMYFUNCTION("""COMPUTED_VALUE"""),386.0)</f>
        <v>386</v>
      </c>
      <c r="F842" s="2">
        <f>IFERROR(__xludf.DUMMYFUNCTION("""COMPUTED_VALUE"""),1.53074E7)</f>
        <v>15307400</v>
      </c>
      <c r="G842" s="2">
        <f t="shared" si="1"/>
        <v>8</v>
      </c>
    </row>
    <row r="843" ht="15.75" customHeight="1">
      <c r="A843" s="1">
        <f>IFERROR(__xludf.DUMMYFUNCTION("""COMPUTED_VALUE"""),45104.66666666667)</f>
        <v>45104.66667</v>
      </c>
      <c r="B843" s="2">
        <f>IFERROR(__xludf.DUMMYFUNCTION("""COMPUTED_VALUE"""),392.0)</f>
        <v>392</v>
      </c>
      <c r="C843" s="2">
        <f>IFERROR(__xludf.DUMMYFUNCTION("""COMPUTED_VALUE"""),392.0)</f>
        <v>392</v>
      </c>
      <c r="D843" s="2">
        <f>IFERROR(__xludf.DUMMYFUNCTION("""COMPUTED_VALUE"""),382.0)</f>
        <v>382</v>
      </c>
      <c r="E843" s="2">
        <f>IFERROR(__xludf.DUMMYFUNCTION("""COMPUTED_VALUE"""),384.0)</f>
        <v>384</v>
      </c>
      <c r="F843" s="2">
        <f>IFERROR(__xludf.DUMMYFUNCTION("""COMPUTED_VALUE"""),1.26491E7)</f>
        <v>12649100</v>
      </c>
      <c r="G843" s="2">
        <f t="shared" si="1"/>
        <v>10</v>
      </c>
    </row>
    <row r="844" ht="15.75" customHeight="1">
      <c r="A844" s="1">
        <f>IFERROR(__xludf.DUMMYFUNCTION("""COMPUTED_VALUE"""),45110.66666666667)</f>
        <v>45110.66667</v>
      </c>
      <c r="B844" s="2">
        <f>IFERROR(__xludf.DUMMYFUNCTION("""COMPUTED_VALUE"""),384.0)</f>
        <v>384</v>
      </c>
      <c r="C844" s="2">
        <f>IFERROR(__xludf.DUMMYFUNCTION("""COMPUTED_VALUE"""),390.0)</f>
        <v>390</v>
      </c>
      <c r="D844" s="2">
        <f>IFERROR(__xludf.DUMMYFUNCTION("""COMPUTED_VALUE"""),382.0)</f>
        <v>382</v>
      </c>
      <c r="E844" s="2">
        <f>IFERROR(__xludf.DUMMYFUNCTION("""COMPUTED_VALUE"""),386.0)</f>
        <v>386</v>
      </c>
      <c r="F844" s="2">
        <f>IFERROR(__xludf.DUMMYFUNCTION("""COMPUTED_VALUE"""),1.25604E7)</f>
        <v>12560400</v>
      </c>
      <c r="G844" s="2">
        <f t="shared" si="1"/>
        <v>8</v>
      </c>
    </row>
    <row r="845" ht="15.75" customHeight="1">
      <c r="A845" s="1">
        <f>IFERROR(__xludf.DUMMYFUNCTION("""COMPUTED_VALUE"""),45111.66666666667)</f>
        <v>45111.66667</v>
      </c>
      <c r="B845" s="2">
        <f>IFERROR(__xludf.DUMMYFUNCTION("""COMPUTED_VALUE"""),386.0)</f>
        <v>386</v>
      </c>
      <c r="C845" s="2">
        <f>IFERROR(__xludf.DUMMYFUNCTION("""COMPUTED_VALUE"""),408.0)</f>
        <v>408</v>
      </c>
      <c r="D845" s="2">
        <f>IFERROR(__xludf.DUMMYFUNCTION("""COMPUTED_VALUE"""),386.0)</f>
        <v>386</v>
      </c>
      <c r="E845" s="2">
        <f>IFERROR(__xludf.DUMMYFUNCTION("""COMPUTED_VALUE"""),402.0)</f>
        <v>402</v>
      </c>
      <c r="F845" s="2">
        <f>IFERROR(__xludf.DUMMYFUNCTION("""COMPUTED_VALUE"""),6.14151E7)</f>
        <v>61415100</v>
      </c>
      <c r="G845" s="2">
        <f t="shared" si="1"/>
        <v>22</v>
      </c>
    </row>
    <row r="846" ht="15.75" customHeight="1">
      <c r="A846" s="1">
        <f>IFERROR(__xludf.DUMMYFUNCTION("""COMPUTED_VALUE"""),45112.66666666667)</f>
        <v>45112.66667</v>
      </c>
      <c r="B846" s="2">
        <f>IFERROR(__xludf.DUMMYFUNCTION("""COMPUTED_VALUE"""),404.0)</f>
        <v>404</v>
      </c>
      <c r="C846" s="2">
        <f>IFERROR(__xludf.DUMMYFUNCTION("""COMPUTED_VALUE"""),414.0)</f>
        <v>414</v>
      </c>
      <c r="D846" s="2">
        <f>IFERROR(__xludf.DUMMYFUNCTION("""COMPUTED_VALUE"""),396.0)</f>
        <v>396</v>
      </c>
      <c r="E846" s="2">
        <f>IFERROR(__xludf.DUMMYFUNCTION("""COMPUTED_VALUE"""),404.0)</f>
        <v>404</v>
      </c>
      <c r="F846" s="2">
        <f>IFERROR(__xludf.DUMMYFUNCTION("""COMPUTED_VALUE"""),4.26222E7)</f>
        <v>42622200</v>
      </c>
      <c r="G846" s="2">
        <f t="shared" si="1"/>
        <v>18</v>
      </c>
    </row>
    <row r="847" ht="15.75" customHeight="1">
      <c r="A847" s="1">
        <f>IFERROR(__xludf.DUMMYFUNCTION("""COMPUTED_VALUE"""),45113.66666666667)</f>
        <v>45113.66667</v>
      </c>
      <c r="B847" s="2">
        <f>IFERROR(__xludf.DUMMYFUNCTION("""COMPUTED_VALUE"""),406.0)</f>
        <v>406</v>
      </c>
      <c r="C847" s="2">
        <f>IFERROR(__xludf.DUMMYFUNCTION("""COMPUTED_VALUE"""),414.0)</f>
        <v>414</v>
      </c>
      <c r="D847" s="2">
        <f>IFERROR(__xludf.DUMMYFUNCTION("""COMPUTED_VALUE"""),398.0)</f>
        <v>398</v>
      </c>
      <c r="E847" s="2">
        <f>IFERROR(__xludf.DUMMYFUNCTION("""COMPUTED_VALUE"""),406.0)</f>
        <v>406</v>
      </c>
      <c r="F847" s="2">
        <f>IFERROR(__xludf.DUMMYFUNCTION("""COMPUTED_VALUE"""),3.62993E7)</f>
        <v>36299300</v>
      </c>
      <c r="G847" s="2">
        <f t="shared" si="1"/>
        <v>16</v>
      </c>
    </row>
    <row r="848" ht="15.75" customHeight="1">
      <c r="A848" s="1">
        <f>IFERROR(__xludf.DUMMYFUNCTION("""COMPUTED_VALUE"""),45114.66666666667)</f>
        <v>45114.66667</v>
      </c>
      <c r="B848" s="2">
        <f>IFERROR(__xludf.DUMMYFUNCTION("""COMPUTED_VALUE"""),406.0)</f>
        <v>406</v>
      </c>
      <c r="C848" s="2">
        <f>IFERROR(__xludf.DUMMYFUNCTION("""COMPUTED_VALUE"""),412.0)</f>
        <v>412</v>
      </c>
      <c r="D848" s="2">
        <f>IFERROR(__xludf.DUMMYFUNCTION("""COMPUTED_VALUE"""),400.0)</f>
        <v>400</v>
      </c>
      <c r="E848" s="2">
        <f>IFERROR(__xludf.DUMMYFUNCTION("""COMPUTED_VALUE"""),400.0)</f>
        <v>400</v>
      </c>
      <c r="F848" s="2">
        <f>IFERROR(__xludf.DUMMYFUNCTION("""COMPUTED_VALUE"""),3.29997E7)</f>
        <v>32999700</v>
      </c>
      <c r="G848" s="2">
        <f t="shared" si="1"/>
        <v>12</v>
      </c>
    </row>
    <row r="849" ht="15.75" customHeight="1">
      <c r="A849" s="1">
        <f>IFERROR(__xludf.DUMMYFUNCTION("""COMPUTED_VALUE"""),45117.66666666667)</f>
        <v>45117.66667</v>
      </c>
      <c r="B849" s="2">
        <f>IFERROR(__xludf.DUMMYFUNCTION("""COMPUTED_VALUE"""),400.0)</f>
        <v>400</v>
      </c>
      <c r="C849" s="2">
        <f>IFERROR(__xludf.DUMMYFUNCTION("""COMPUTED_VALUE"""),414.0)</f>
        <v>414</v>
      </c>
      <c r="D849" s="2">
        <f>IFERROR(__xludf.DUMMYFUNCTION("""COMPUTED_VALUE"""),400.0)</f>
        <v>400</v>
      </c>
      <c r="E849" s="2">
        <f>IFERROR(__xludf.DUMMYFUNCTION("""COMPUTED_VALUE"""),408.0)</f>
        <v>408</v>
      </c>
      <c r="F849" s="2">
        <f>IFERROR(__xludf.DUMMYFUNCTION("""COMPUTED_VALUE"""),3.88391E7)</f>
        <v>38839100</v>
      </c>
      <c r="G849" s="2">
        <f t="shared" si="1"/>
        <v>14</v>
      </c>
    </row>
    <row r="850" ht="15.75" customHeight="1">
      <c r="A850" s="1">
        <f>IFERROR(__xludf.DUMMYFUNCTION("""COMPUTED_VALUE"""),45118.66666666667)</f>
        <v>45118.66667</v>
      </c>
      <c r="B850" s="2">
        <f>IFERROR(__xludf.DUMMYFUNCTION("""COMPUTED_VALUE"""),410.0)</f>
        <v>410</v>
      </c>
      <c r="C850" s="2">
        <f>IFERROR(__xludf.DUMMYFUNCTION("""COMPUTED_VALUE"""),412.0)</f>
        <v>412</v>
      </c>
      <c r="D850" s="2">
        <f>IFERROR(__xludf.DUMMYFUNCTION("""COMPUTED_VALUE"""),404.0)</f>
        <v>404</v>
      </c>
      <c r="E850" s="2">
        <f>IFERROR(__xludf.DUMMYFUNCTION("""COMPUTED_VALUE"""),406.0)</f>
        <v>406</v>
      </c>
      <c r="F850" s="2">
        <f>IFERROR(__xludf.DUMMYFUNCTION("""COMPUTED_VALUE"""),2.33802E7)</f>
        <v>23380200</v>
      </c>
      <c r="G850" s="2">
        <f t="shared" si="1"/>
        <v>8</v>
      </c>
    </row>
    <row r="851" ht="15.75" customHeight="1">
      <c r="A851" s="1">
        <f>IFERROR(__xludf.DUMMYFUNCTION("""COMPUTED_VALUE"""),45119.66666666667)</f>
        <v>45119.66667</v>
      </c>
      <c r="B851" s="2">
        <f>IFERROR(__xludf.DUMMYFUNCTION("""COMPUTED_VALUE"""),410.0)</f>
        <v>410</v>
      </c>
      <c r="C851" s="2">
        <f>IFERROR(__xludf.DUMMYFUNCTION("""COMPUTED_VALUE"""),412.0)</f>
        <v>412</v>
      </c>
      <c r="D851" s="2">
        <f>IFERROR(__xludf.DUMMYFUNCTION("""COMPUTED_VALUE"""),406.0)</f>
        <v>406</v>
      </c>
      <c r="E851" s="2">
        <f>IFERROR(__xludf.DUMMYFUNCTION("""COMPUTED_VALUE"""),406.0)</f>
        <v>406</v>
      </c>
      <c r="F851" s="2">
        <f>IFERROR(__xludf.DUMMYFUNCTION("""COMPUTED_VALUE"""),4.41636E7)</f>
        <v>44163600</v>
      </c>
      <c r="G851" s="2">
        <f t="shared" si="1"/>
        <v>6</v>
      </c>
    </row>
    <row r="852" ht="15.75" customHeight="1">
      <c r="A852" s="1">
        <f>IFERROR(__xludf.DUMMYFUNCTION("""COMPUTED_VALUE"""),45120.66666666667)</f>
        <v>45120.66667</v>
      </c>
      <c r="B852" s="2">
        <f>IFERROR(__xludf.DUMMYFUNCTION("""COMPUTED_VALUE"""),402.0)</f>
        <v>402</v>
      </c>
      <c r="C852" s="2">
        <f>IFERROR(__xludf.DUMMYFUNCTION("""COMPUTED_VALUE"""),422.0)</f>
        <v>422</v>
      </c>
      <c r="D852" s="2">
        <f>IFERROR(__xludf.DUMMYFUNCTION("""COMPUTED_VALUE"""),396.0)</f>
        <v>396</v>
      </c>
      <c r="E852" s="2">
        <f>IFERROR(__xludf.DUMMYFUNCTION("""COMPUTED_VALUE"""),400.0)</f>
        <v>400</v>
      </c>
      <c r="F852" s="2">
        <f>IFERROR(__xludf.DUMMYFUNCTION("""COMPUTED_VALUE"""),7.2734E7)</f>
        <v>72734000</v>
      </c>
      <c r="G852" s="2">
        <f t="shared" si="1"/>
        <v>26</v>
      </c>
    </row>
    <row r="853" ht="15.75" customHeight="1">
      <c r="A853" s="1">
        <f>IFERROR(__xludf.DUMMYFUNCTION("""COMPUTED_VALUE"""),45121.66666666667)</f>
        <v>45121.66667</v>
      </c>
      <c r="B853" s="2">
        <f>IFERROR(__xludf.DUMMYFUNCTION("""COMPUTED_VALUE"""),400.0)</f>
        <v>400</v>
      </c>
      <c r="C853" s="2">
        <f>IFERROR(__xludf.DUMMYFUNCTION("""COMPUTED_VALUE"""),404.0)</f>
        <v>404</v>
      </c>
      <c r="D853" s="2">
        <f>IFERROR(__xludf.DUMMYFUNCTION("""COMPUTED_VALUE"""),398.0)</f>
        <v>398</v>
      </c>
      <c r="E853" s="2">
        <f>IFERROR(__xludf.DUMMYFUNCTION("""COMPUTED_VALUE"""),400.0)</f>
        <v>400</v>
      </c>
      <c r="F853" s="2">
        <f>IFERROR(__xludf.DUMMYFUNCTION("""COMPUTED_VALUE"""),9061200.0)</f>
        <v>9061200</v>
      </c>
      <c r="G853" s="2">
        <f t="shared" si="1"/>
        <v>6</v>
      </c>
    </row>
    <row r="854" ht="15.75" customHeight="1">
      <c r="A854" s="1">
        <f>IFERROR(__xludf.DUMMYFUNCTION("""COMPUTED_VALUE"""),45124.66666666667)</f>
        <v>45124.66667</v>
      </c>
      <c r="B854" s="2">
        <f>IFERROR(__xludf.DUMMYFUNCTION("""COMPUTED_VALUE"""),400.0)</f>
        <v>400</v>
      </c>
      <c r="C854" s="2">
        <f>IFERROR(__xludf.DUMMYFUNCTION("""COMPUTED_VALUE"""),408.0)</f>
        <v>408</v>
      </c>
      <c r="D854" s="2">
        <f>IFERROR(__xludf.DUMMYFUNCTION("""COMPUTED_VALUE"""),400.0)</f>
        <v>400</v>
      </c>
      <c r="E854" s="2">
        <f>IFERROR(__xludf.DUMMYFUNCTION("""COMPUTED_VALUE"""),400.0)</f>
        <v>400</v>
      </c>
      <c r="F854" s="2">
        <f>IFERROR(__xludf.DUMMYFUNCTION("""COMPUTED_VALUE"""),1.00096E7)</f>
        <v>10009600</v>
      </c>
      <c r="G854" s="2">
        <f t="shared" si="1"/>
        <v>8</v>
      </c>
    </row>
    <row r="855" ht="15.75" customHeight="1">
      <c r="A855" s="1">
        <f>IFERROR(__xludf.DUMMYFUNCTION("""COMPUTED_VALUE"""),45125.66666666667)</f>
        <v>45125.66667</v>
      </c>
      <c r="B855" s="2">
        <f>IFERROR(__xludf.DUMMYFUNCTION("""COMPUTED_VALUE"""),402.0)</f>
        <v>402</v>
      </c>
      <c r="C855" s="2">
        <f>IFERROR(__xludf.DUMMYFUNCTION("""COMPUTED_VALUE"""),408.0)</f>
        <v>408</v>
      </c>
      <c r="D855" s="2">
        <f>IFERROR(__xludf.DUMMYFUNCTION("""COMPUTED_VALUE"""),390.0)</f>
        <v>390</v>
      </c>
      <c r="E855" s="2">
        <f>IFERROR(__xludf.DUMMYFUNCTION("""COMPUTED_VALUE"""),392.0)</f>
        <v>392</v>
      </c>
      <c r="F855" s="2">
        <f>IFERROR(__xludf.DUMMYFUNCTION("""COMPUTED_VALUE"""),5.47208E7)</f>
        <v>54720800</v>
      </c>
      <c r="G855" s="2">
        <f t="shared" si="1"/>
        <v>18</v>
      </c>
    </row>
    <row r="856" ht="15.75" customHeight="1">
      <c r="A856" s="1">
        <f>IFERROR(__xludf.DUMMYFUNCTION("""COMPUTED_VALUE"""),45127.66666666667)</f>
        <v>45127.66667</v>
      </c>
      <c r="B856" s="2">
        <f>IFERROR(__xludf.DUMMYFUNCTION("""COMPUTED_VALUE"""),392.0)</f>
        <v>392</v>
      </c>
      <c r="C856" s="2">
        <f>IFERROR(__xludf.DUMMYFUNCTION("""COMPUTED_VALUE"""),396.0)</f>
        <v>396</v>
      </c>
      <c r="D856" s="2">
        <f>IFERROR(__xludf.DUMMYFUNCTION("""COMPUTED_VALUE"""),390.0)</f>
        <v>390</v>
      </c>
      <c r="E856" s="2">
        <f>IFERROR(__xludf.DUMMYFUNCTION("""COMPUTED_VALUE"""),392.0)</f>
        <v>392</v>
      </c>
      <c r="F856" s="2">
        <f>IFERROR(__xludf.DUMMYFUNCTION("""COMPUTED_VALUE"""),9552900.0)</f>
        <v>9552900</v>
      </c>
      <c r="G856" s="2">
        <f t="shared" si="1"/>
        <v>6</v>
      </c>
    </row>
    <row r="857" ht="15.75" customHeight="1">
      <c r="A857" s="1">
        <f>IFERROR(__xludf.DUMMYFUNCTION("""COMPUTED_VALUE"""),45128.66666666667)</f>
        <v>45128.66667</v>
      </c>
      <c r="B857" s="2">
        <f>IFERROR(__xludf.DUMMYFUNCTION("""COMPUTED_VALUE"""),392.0)</f>
        <v>392</v>
      </c>
      <c r="C857" s="2">
        <f>IFERROR(__xludf.DUMMYFUNCTION("""COMPUTED_VALUE"""),394.0)</f>
        <v>394</v>
      </c>
      <c r="D857" s="2">
        <f>IFERROR(__xludf.DUMMYFUNCTION("""COMPUTED_VALUE"""),382.0)</f>
        <v>382</v>
      </c>
      <c r="E857" s="2">
        <f>IFERROR(__xludf.DUMMYFUNCTION("""COMPUTED_VALUE"""),386.0)</f>
        <v>386</v>
      </c>
      <c r="F857" s="2">
        <f>IFERROR(__xludf.DUMMYFUNCTION("""COMPUTED_VALUE"""),2.45688E7)</f>
        <v>24568800</v>
      </c>
      <c r="G857" s="2">
        <f t="shared" si="1"/>
        <v>12</v>
      </c>
    </row>
    <row r="858" ht="15.75" customHeight="1">
      <c r="A858" s="1">
        <f>IFERROR(__xludf.DUMMYFUNCTION("""COMPUTED_VALUE"""),45131.66666666667)</f>
        <v>45131.66667</v>
      </c>
      <c r="B858" s="2">
        <f>IFERROR(__xludf.DUMMYFUNCTION("""COMPUTED_VALUE"""),390.0)</f>
        <v>390</v>
      </c>
      <c r="C858" s="2">
        <f>IFERROR(__xludf.DUMMYFUNCTION("""COMPUTED_VALUE"""),390.0)</f>
        <v>390</v>
      </c>
      <c r="D858" s="2">
        <f>IFERROR(__xludf.DUMMYFUNCTION("""COMPUTED_VALUE"""),384.0)</f>
        <v>384</v>
      </c>
      <c r="E858" s="2">
        <f>IFERROR(__xludf.DUMMYFUNCTION("""COMPUTED_VALUE"""),386.0)</f>
        <v>386</v>
      </c>
      <c r="F858" s="2">
        <f>IFERROR(__xludf.DUMMYFUNCTION("""COMPUTED_VALUE"""),8982500.0)</f>
        <v>8982500</v>
      </c>
      <c r="G858" s="2">
        <f t="shared" si="1"/>
        <v>6</v>
      </c>
    </row>
    <row r="859" ht="15.75" customHeight="1">
      <c r="A859" s="1">
        <f>IFERROR(__xludf.DUMMYFUNCTION("""COMPUTED_VALUE"""),45132.66666666667)</f>
        <v>45132.66667</v>
      </c>
      <c r="B859" s="2">
        <f>IFERROR(__xludf.DUMMYFUNCTION("""COMPUTED_VALUE"""),388.0)</f>
        <v>388</v>
      </c>
      <c r="C859" s="2">
        <f>IFERROR(__xludf.DUMMYFUNCTION("""COMPUTED_VALUE"""),388.0)</f>
        <v>388</v>
      </c>
      <c r="D859" s="2">
        <f>IFERROR(__xludf.DUMMYFUNCTION("""COMPUTED_VALUE"""),380.0)</f>
        <v>380</v>
      </c>
      <c r="E859" s="2">
        <f>IFERROR(__xludf.DUMMYFUNCTION("""COMPUTED_VALUE"""),380.0)</f>
        <v>380</v>
      </c>
      <c r="F859" s="2">
        <f>IFERROR(__xludf.DUMMYFUNCTION("""COMPUTED_VALUE"""),1.7219E7)</f>
        <v>17219000</v>
      </c>
      <c r="G859" s="2">
        <f t="shared" si="1"/>
        <v>8</v>
      </c>
    </row>
    <row r="860" ht="15.75" customHeight="1">
      <c r="A860" s="1">
        <f>IFERROR(__xludf.DUMMYFUNCTION("""COMPUTED_VALUE"""),45133.66666666667)</f>
        <v>45133.66667</v>
      </c>
      <c r="B860" s="2">
        <f>IFERROR(__xludf.DUMMYFUNCTION("""COMPUTED_VALUE"""),380.0)</f>
        <v>380</v>
      </c>
      <c r="C860" s="2">
        <f>IFERROR(__xludf.DUMMYFUNCTION("""COMPUTED_VALUE"""),386.0)</f>
        <v>386</v>
      </c>
      <c r="D860" s="2">
        <f>IFERROR(__xludf.DUMMYFUNCTION("""COMPUTED_VALUE"""),374.0)</f>
        <v>374</v>
      </c>
      <c r="E860" s="2">
        <f>IFERROR(__xludf.DUMMYFUNCTION("""COMPUTED_VALUE"""),380.0)</f>
        <v>380</v>
      </c>
      <c r="F860" s="2">
        <f>IFERROR(__xludf.DUMMYFUNCTION("""COMPUTED_VALUE"""),2.35459E7)</f>
        <v>23545900</v>
      </c>
      <c r="G860" s="2">
        <f t="shared" si="1"/>
        <v>12</v>
      </c>
    </row>
    <row r="861" ht="15.75" customHeight="1">
      <c r="A861" s="1">
        <f>IFERROR(__xludf.DUMMYFUNCTION("""COMPUTED_VALUE"""),45134.66666666667)</f>
        <v>45134.66667</v>
      </c>
      <c r="B861" s="2">
        <f>IFERROR(__xludf.DUMMYFUNCTION("""COMPUTED_VALUE"""),380.0)</f>
        <v>380</v>
      </c>
      <c r="C861" s="2">
        <f>IFERROR(__xludf.DUMMYFUNCTION("""COMPUTED_VALUE"""),392.0)</f>
        <v>392</v>
      </c>
      <c r="D861" s="2">
        <f>IFERROR(__xludf.DUMMYFUNCTION("""COMPUTED_VALUE"""),380.0)</f>
        <v>380</v>
      </c>
      <c r="E861" s="2">
        <f>IFERROR(__xludf.DUMMYFUNCTION("""COMPUTED_VALUE"""),386.0)</f>
        <v>386</v>
      </c>
      <c r="F861" s="2">
        <f>IFERROR(__xludf.DUMMYFUNCTION("""COMPUTED_VALUE"""),1.98827E7)</f>
        <v>19882700</v>
      </c>
      <c r="G861" s="2">
        <f t="shared" si="1"/>
        <v>12</v>
      </c>
    </row>
    <row r="862" ht="15.75" customHeight="1">
      <c r="A862" s="1">
        <f>IFERROR(__xludf.DUMMYFUNCTION("""COMPUTED_VALUE"""),45135.66666666667)</f>
        <v>45135.66667</v>
      </c>
      <c r="B862" s="2">
        <f>IFERROR(__xludf.DUMMYFUNCTION("""COMPUTED_VALUE"""),386.0)</f>
        <v>386</v>
      </c>
      <c r="C862" s="2">
        <f>IFERROR(__xludf.DUMMYFUNCTION("""COMPUTED_VALUE"""),390.0)</f>
        <v>390</v>
      </c>
      <c r="D862" s="2">
        <f>IFERROR(__xludf.DUMMYFUNCTION("""COMPUTED_VALUE"""),384.0)</f>
        <v>384</v>
      </c>
      <c r="E862" s="2">
        <f>IFERROR(__xludf.DUMMYFUNCTION("""COMPUTED_VALUE"""),388.0)</f>
        <v>388</v>
      </c>
      <c r="F862" s="2">
        <f>IFERROR(__xludf.DUMMYFUNCTION("""COMPUTED_VALUE"""),1.12265E7)</f>
        <v>11226500</v>
      </c>
      <c r="G862" s="2">
        <f t="shared" si="1"/>
        <v>6</v>
      </c>
    </row>
    <row r="863" ht="15.75" customHeight="1">
      <c r="A863" s="1">
        <f>IFERROR(__xludf.DUMMYFUNCTION("""COMPUTED_VALUE"""),45138.66666666667)</f>
        <v>45138.66667</v>
      </c>
      <c r="B863" s="2">
        <f>IFERROR(__xludf.DUMMYFUNCTION("""COMPUTED_VALUE"""),388.0)</f>
        <v>388</v>
      </c>
      <c r="C863" s="2">
        <f>IFERROR(__xludf.DUMMYFUNCTION("""COMPUTED_VALUE"""),394.0)</f>
        <v>394</v>
      </c>
      <c r="D863" s="2">
        <f>IFERROR(__xludf.DUMMYFUNCTION("""COMPUTED_VALUE"""),386.0)</f>
        <v>386</v>
      </c>
      <c r="E863" s="2">
        <f>IFERROR(__xludf.DUMMYFUNCTION("""COMPUTED_VALUE"""),386.0)</f>
        <v>386</v>
      </c>
      <c r="F863" s="2">
        <f>IFERROR(__xludf.DUMMYFUNCTION("""COMPUTED_VALUE"""),1.09009E7)</f>
        <v>10900900</v>
      </c>
      <c r="G863" s="2">
        <f t="shared" si="1"/>
        <v>8</v>
      </c>
    </row>
    <row r="864" ht="15.75" customHeight="1">
      <c r="A864" s="1">
        <f>IFERROR(__xludf.DUMMYFUNCTION("""COMPUTED_VALUE"""),45139.66666666667)</f>
        <v>45139.66667</v>
      </c>
      <c r="B864" s="2">
        <f>IFERROR(__xludf.DUMMYFUNCTION("""COMPUTED_VALUE"""),386.0)</f>
        <v>386</v>
      </c>
      <c r="C864" s="2">
        <f>IFERROR(__xludf.DUMMYFUNCTION("""COMPUTED_VALUE"""),386.0)</f>
        <v>386</v>
      </c>
      <c r="D864" s="2">
        <f>IFERROR(__xludf.DUMMYFUNCTION("""COMPUTED_VALUE"""),378.0)</f>
        <v>378</v>
      </c>
      <c r="E864" s="2">
        <f>IFERROR(__xludf.DUMMYFUNCTION("""COMPUTED_VALUE"""),380.0)</f>
        <v>380</v>
      </c>
      <c r="F864" s="2">
        <f>IFERROR(__xludf.DUMMYFUNCTION("""COMPUTED_VALUE"""),1.12728E7)</f>
        <v>11272800</v>
      </c>
      <c r="G864" s="2">
        <f t="shared" si="1"/>
        <v>8</v>
      </c>
    </row>
    <row r="865" ht="15.75" customHeight="1">
      <c r="A865" s="1">
        <f>IFERROR(__xludf.DUMMYFUNCTION("""COMPUTED_VALUE"""),45140.66666666667)</f>
        <v>45140.66667</v>
      </c>
      <c r="B865" s="2">
        <f>IFERROR(__xludf.DUMMYFUNCTION("""COMPUTED_VALUE"""),378.0)</f>
        <v>378</v>
      </c>
      <c r="C865" s="2">
        <f>IFERROR(__xludf.DUMMYFUNCTION("""COMPUTED_VALUE"""),384.0)</f>
        <v>384</v>
      </c>
      <c r="D865" s="2">
        <f>IFERROR(__xludf.DUMMYFUNCTION("""COMPUTED_VALUE"""),360.0)</f>
        <v>360</v>
      </c>
      <c r="E865" s="2">
        <f>IFERROR(__xludf.DUMMYFUNCTION("""COMPUTED_VALUE"""),360.0)</f>
        <v>360</v>
      </c>
      <c r="F865" s="2">
        <f>IFERROR(__xludf.DUMMYFUNCTION("""COMPUTED_VALUE"""),2.11713E7)</f>
        <v>21171300</v>
      </c>
      <c r="G865" s="2">
        <f t="shared" si="1"/>
        <v>24</v>
      </c>
    </row>
    <row r="866" ht="15.75" customHeight="1">
      <c r="A866" s="1">
        <f>IFERROR(__xludf.DUMMYFUNCTION("""COMPUTED_VALUE"""),45141.66666666667)</f>
        <v>45141.66667</v>
      </c>
      <c r="B866" s="2">
        <f>IFERROR(__xludf.DUMMYFUNCTION("""COMPUTED_VALUE"""),348.0)</f>
        <v>348</v>
      </c>
      <c r="C866" s="2">
        <f>IFERROR(__xludf.DUMMYFUNCTION("""COMPUTED_VALUE"""),372.0)</f>
        <v>372</v>
      </c>
      <c r="D866" s="2">
        <f>IFERROR(__xludf.DUMMYFUNCTION("""COMPUTED_VALUE"""),348.0)</f>
        <v>348</v>
      </c>
      <c r="E866" s="2">
        <f>IFERROR(__xludf.DUMMYFUNCTION("""COMPUTED_VALUE"""),368.0)</f>
        <v>368</v>
      </c>
      <c r="F866" s="2">
        <f>IFERROR(__xludf.DUMMYFUNCTION("""COMPUTED_VALUE"""),1.5034E7)</f>
        <v>15034000</v>
      </c>
      <c r="G866" s="2">
        <f t="shared" si="1"/>
        <v>24</v>
      </c>
    </row>
    <row r="867" ht="15.75" customHeight="1">
      <c r="A867" s="1">
        <f>IFERROR(__xludf.DUMMYFUNCTION("""COMPUTED_VALUE"""),45142.66666666667)</f>
        <v>45142.66667</v>
      </c>
      <c r="B867" s="2">
        <f>IFERROR(__xludf.DUMMYFUNCTION("""COMPUTED_VALUE"""),368.0)</f>
        <v>368</v>
      </c>
      <c r="C867" s="2">
        <f>IFERROR(__xludf.DUMMYFUNCTION("""COMPUTED_VALUE"""),376.0)</f>
        <v>376</v>
      </c>
      <c r="D867" s="2">
        <f>IFERROR(__xludf.DUMMYFUNCTION("""COMPUTED_VALUE"""),368.0)</f>
        <v>368</v>
      </c>
      <c r="E867" s="2">
        <f>IFERROR(__xludf.DUMMYFUNCTION("""COMPUTED_VALUE"""),368.0)</f>
        <v>368</v>
      </c>
      <c r="F867" s="2">
        <f>IFERROR(__xludf.DUMMYFUNCTION("""COMPUTED_VALUE"""),9484100.0)</f>
        <v>9484100</v>
      </c>
      <c r="G867" s="2">
        <f t="shared" si="1"/>
        <v>8</v>
      </c>
    </row>
    <row r="868" ht="15.75" customHeight="1">
      <c r="A868" s="1">
        <f>IFERROR(__xludf.DUMMYFUNCTION("""COMPUTED_VALUE"""),45145.66666666667)</f>
        <v>45145.66667</v>
      </c>
      <c r="B868" s="2">
        <f>IFERROR(__xludf.DUMMYFUNCTION("""COMPUTED_VALUE"""),368.0)</f>
        <v>368</v>
      </c>
      <c r="C868" s="2">
        <f>IFERROR(__xludf.DUMMYFUNCTION("""COMPUTED_VALUE"""),376.0)</f>
        <v>376</v>
      </c>
      <c r="D868" s="2">
        <f>IFERROR(__xludf.DUMMYFUNCTION("""COMPUTED_VALUE"""),368.0)</f>
        <v>368</v>
      </c>
      <c r="E868" s="2">
        <f>IFERROR(__xludf.DUMMYFUNCTION("""COMPUTED_VALUE"""),374.0)</f>
        <v>374</v>
      </c>
      <c r="F868" s="2">
        <f>IFERROR(__xludf.DUMMYFUNCTION("""COMPUTED_VALUE"""),1.21631E7)</f>
        <v>12163100</v>
      </c>
      <c r="G868" s="2">
        <f t="shared" si="1"/>
        <v>8</v>
      </c>
    </row>
    <row r="869" ht="15.75" customHeight="1">
      <c r="A869" s="1">
        <f>IFERROR(__xludf.DUMMYFUNCTION("""COMPUTED_VALUE"""),45146.66666666667)</f>
        <v>45146.66667</v>
      </c>
      <c r="B869" s="2">
        <f>IFERROR(__xludf.DUMMYFUNCTION("""COMPUTED_VALUE"""),378.0)</f>
        <v>378</v>
      </c>
      <c r="C869" s="2">
        <f>IFERROR(__xludf.DUMMYFUNCTION("""COMPUTED_VALUE"""),380.0)</f>
        <v>380</v>
      </c>
      <c r="D869" s="2">
        <f>IFERROR(__xludf.DUMMYFUNCTION("""COMPUTED_VALUE"""),370.0)</f>
        <v>370</v>
      </c>
      <c r="E869" s="2">
        <f>IFERROR(__xludf.DUMMYFUNCTION("""COMPUTED_VALUE"""),372.0)</f>
        <v>372</v>
      </c>
      <c r="F869" s="2">
        <f>IFERROR(__xludf.DUMMYFUNCTION("""COMPUTED_VALUE"""),7043800.0)</f>
        <v>7043800</v>
      </c>
      <c r="G869" s="2">
        <f t="shared" si="1"/>
        <v>10</v>
      </c>
    </row>
    <row r="870" ht="15.75" customHeight="1">
      <c r="A870" s="1">
        <f>IFERROR(__xludf.DUMMYFUNCTION("""COMPUTED_VALUE"""),45147.66666666667)</f>
        <v>45147.66667</v>
      </c>
      <c r="B870" s="2">
        <f>IFERROR(__xludf.DUMMYFUNCTION("""COMPUTED_VALUE"""),372.0)</f>
        <v>372</v>
      </c>
      <c r="C870" s="2">
        <f>IFERROR(__xludf.DUMMYFUNCTION("""COMPUTED_VALUE"""),374.0)</f>
        <v>374</v>
      </c>
      <c r="D870" s="2">
        <f>IFERROR(__xludf.DUMMYFUNCTION("""COMPUTED_VALUE"""),362.0)</f>
        <v>362</v>
      </c>
      <c r="E870" s="2">
        <f>IFERROR(__xludf.DUMMYFUNCTION("""COMPUTED_VALUE"""),362.0)</f>
        <v>362</v>
      </c>
      <c r="F870" s="2">
        <f>IFERROR(__xludf.DUMMYFUNCTION("""COMPUTED_VALUE"""),1.38306E7)</f>
        <v>13830600</v>
      </c>
      <c r="G870" s="2">
        <f t="shared" si="1"/>
        <v>12</v>
      </c>
    </row>
    <row r="871" ht="15.75" customHeight="1">
      <c r="A871" s="1">
        <f>IFERROR(__xludf.DUMMYFUNCTION("""COMPUTED_VALUE"""),45148.66666666667)</f>
        <v>45148.66667</v>
      </c>
      <c r="B871" s="2">
        <f>IFERROR(__xludf.DUMMYFUNCTION("""COMPUTED_VALUE"""),364.0)</f>
        <v>364</v>
      </c>
      <c r="C871" s="2">
        <f>IFERROR(__xludf.DUMMYFUNCTION("""COMPUTED_VALUE"""),370.0)</f>
        <v>370</v>
      </c>
      <c r="D871" s="2">
        <f>IFERROR(__xludf.DUMMYFUNCTION("""COMPUTED_VALUE"""),362.0)</f>
        <v>362</v>
      </c>
      <c r="E871" s="2">
        <f>IFERROR(__xludf.DUMMYFUNCTION("""COMPUTED_VALUE"""),364.0)</f>
        <v>364</v>
      </c>
      <c r="F871" s="2">
        <f>IFERROR(__xludf.DUMMYFUNCTION("""COMPUTED_VALUE"""),6974700.0)</f>
        <v>6974700</v>
      </c>
      <c r="G871" s="2">
        <f t="shared" si="1"/>
        <v>8</v>
      </c>
    </row>
    <row r="872" ht="15.75" customHeight="1">
      <c r="A872" s="1">
        <f>IFERROR(__xludf.DUMMYFUNCTION("""COMPUTED_VALUE"""),45149.66666666667)</f>
        <v>45149.66667</v>
      </c>
      <c r="B872" s="2">
        <f>IFERROR(__xludf.DUMMYFUNCTION("""COMPUTED_VALUE"""),364.0)</f>
        <v>364</v>
      </c>
      <c r="C872" s="2">
        <f>IFERROR(__xludf.DUMMYFUNCTION("""COMPUTED_VALUE"""),370.0)</f>
        <v>370</v>
      </c>
      <c r="D872" s="2">
        <f>IFERROR(__xludf.DUMMYFUNCTION("""COMPUTED_VALUE"""),364.0)</f>
        <v>364</v>
      </c>
      <c r="E872" s="2">
        <f>IFERROR(__xludf.DUMMYFUNCTION("""COMPUTED_VALUE"""),364.0)</f>
        <v>364</v>
      </c>
      <c r="F872" s="2">
        <f>IFERROR(__xludf.DUMMYFUNCTION("""COMPUTED_VALUE"""),3652400.0)</f>
        <v>3652400</v>
      </c>
      <c r="G872" s="2">
        <f t="shared" si="1"/>
        <v>6</v>
      </c>
    </row>
    <row r="873" ht="15.75" customHeight="1">
      <c r="A873" s="1">
        <f>IFERROR(__xludf.DUMMYFUNCTION("""COMPUTED_VALUE"""),45152.66666666667)</f>
        <v>45152.66667</v>
      </c>
      <c r="B873" s="2">
        <f>IFERROR(__xludf.DUMMYFUNCTION("""COMPUTED_VALUE"""),364.0)</f>
        <v>364</v>
      </c>
      <c r="C873" s="2">
        <f>IFERROR(__xludf.DUMMYFUNCTION("""COMPUTED_VALUE"""),370.0)</f>
        <v>370</v>
      </c>
      <c r="D873" s="2">
        <f>IFERROR(__xludf.DUMMYFUNCTION("""COMPUTED_VALUE"""),364.0)</f>
        <v>364</v>
      </c>
      <c r="E873" s="2">
        <f>IFERROR(__xludf.DUMMYFUNCTION("""COMPUTED_VALUE"""),370.0)</f>
        <v>370</v>
      </c>
      <c r="F873" s="2">
        <f>IFERROR(__xludf.DUMMYFUNCTION("""COMPUTED_VALUE"""),6780100.0)</f>
        <v>6780100</v>
      </c>
      <c r="G873" s="2">
        <f t="shared" si="1"/>
        <v>6</v>
      </c>
    </row>
    <row r="874" ht="15.75" customHeight="1">
      <c r="A874" s="1">
        <f>IFERROR(__xludf.DUMMYFUNCTION("""COMPUTED_VALUE"""),45153.66666666667)</f>
        <v>45153.66667</v>
      </c>
      <c r="B874" s="2">
        <f>IFERROR(__xludf.DUMMYFUNCTION("""COMPUTED_VALUE"""),370.0)</f>
        <v>370</v>
      </c>
      <c r="C874" s="2">
        <f>IFERROR(__xludf.DUMMYFUNCTION("""COMPUTED_VALUE"""),376.0)</f>
        <v>376</v>
      </c>
      <c r="D874" s="2">
        <f>IFERROR(__xludf.DUMMYFUNCTION("""COMPUTED_VALUE"""),366.0)</f>
        <v>366</v>
      </c>
      <c r="E874" s="2">
        <f>IFERROR(__xludf.DUMMYFUNCTION("""COMPUTED_VALUE"""),374.0)</f>
        <v>374</v>
      </c>
      <c r="F874" s="2">
        <f>IFERROR(__xludf.DUMMYFUNCTION("""COMPUTED_VALUE"""),1.11347E7)</f>
        <v>11134700</v>
      </c>
      <c r="G874" s="2">
        <f t="shared" si="1"/>
        <v>10</v>
      </c>
    </row>
    <row r="875" ht="15.75" customHeight="1">
      <c r="A875" s="1">
        <f>IFERROR(__xludf.DUMMYFUNCTION("""COMPUTED_VALUE"""),45154.66666666667)</f>
        <v>45154.66667</v>
      </c>
      <c r="B875" s="2">
        <f>IFERROR(__xludf.DUMMYFUNCTION("""COMPUTED_VALUE"""),374.0)</f>
        <v>374</v>
      </c>
      <c r="C875" s="2">
        <f>IFERROR(__xludf.DUMMYFUNCTION("""COMPUTED_VALUE"""),382.0)</f>
        <v>382</v>
      </c>
      <c r="D875" s="2">
        <f>IFERROR(__xludf.DUMMYFUNCTION("""COMPUTED_VALUE"""),372.0)</f>
        <v>372</v>
      </c>
      <c r="E875" s="2">
        <f>IFERROR(__xludf.DUMMYFUNCTION("""COMPUTED_VALUE"""),372.0)</f>
        <v>372</v>
      </c>
      <c r="F875" s="2">
        <f>IFERROR(__xludf.DUMMYFUNCTION("""COMPUTED_VALUE"""),1.77699E7)</f>
        <v>17769900</v>
      </c>
      <c r="G875" s="2">
        <f t="shared" si="1"/>
        <v>10</v>
      </c>
    </row>
    <row r="876" ht="15.75" customHeight="1">
      <c r="A876" s="1">
        <f>IFERROR(__xludf.DUMMYFUNCTION("""COMPUTED_VALUE"""),45156.66666666667)</f>
        <v>45156.66667</v>
      </c>
      <c r="B876" s="2">
        <f>IFERROR(__xludf.DUMMYFUNCTION("""COMPUTED_VALUE"""),372.0)</f>
        <v>372</v>
      </c>
      <c r="C876" s="2">
        <f>IFERROR(__xludf.DUMMYFUNCTION("""COMPUTED_VALUE"""),380.0)</f>
        <v>380</v>
      </c>
      <c r="D876" s="2">
        <f>IFERROR(__xludf.DUMMYFUNCTION("""COMPUTED_VALUE"""),366.0)</f>
        <v>366</v>
      </c>
      <c r="E876" s="2">
        <f>IFERROR(__xludf.DUMMYFUNCTION("""COMPUTED_VALUE"""),370.0)</f>
        <v>370</v>
      </c>
      <c r="F876" s="2">
        <f>IFERROR(__xludf.DUMMYFUNCTION("""COMPUTED_VALUE"""),4778300.0)</f>
        <v>4778300</v>
      </c>
      <c r="G876" s="2">
        <f t="shared" si="1"/>
        <v>14</v>
      </c>
    </row>
    <row r="877" ht="15.75" customHeight="1">
      <c r="A877" s="1">
        <f>IFERROR(__xludf.DUMMYFUNCTION("""COMPUTED_VALUE"""),45159.66666666667)</f>
        <v>45159.66667</v>
      </c>
      <c r="B877" s="2">
        <f>IFERROR(__xludf.DUMMYFUNCTION("""COMPUTED_VALUE"""),368.0)</f>
        <v>368</v>
      </c>
      <c r="C877" s="2">
        <f>IFERROR(__xludf.DUMMYFUNCTION("""COMPUTED_VALUE"""),376.0)</f>
        <v>376</v>
      </c>
      <c r="D877" s="2">
        <f>IFERROR(__xludf.DUMMYFUNCTION("""COMPUTED_VALUE"""),362.0)</f>
        <v>362</v>
      </c>
      <c r="E877" s="2">
        <f>IFERROR(__xludf.DUMMYFUNCTION("""COMPUTED_VALUE"""),362.0)</f>
        <v>362</v>
      </c>
      <c r="F877" s="2">
        <f>IFERROR(__xludf.DUMMYFUNCTION("""COMPUTED_VALUE"""),2.65505E7)</f>
        <v>26550500</v>
      </c>
      <c r="G877" s="2">
        <f t="shared" si="1"/>
        <v>14</v>
      </c>
    </row>
    <row r="878" ht="15.75" customHeight="1">
      <c r="A878" s="1">
        <f>IFERROR(__xludf.DUMMYFUNCTION("""COMPUTED_VALUE"""),45160.66666666667)</f>
        <v>45160.66667</v>
      </c>
      <c r="B878" s="2">
        <f>IFERROR(__xludf.DUMMYFUNCTION("""COMPUTED_VALUE"""),362.0)</f>
        <v>362</v>
      </c>
      <c r="C878" s="2">
        <f>IFERROR(__xludf.DUMMYFUNCTION("""COMPUTED_VALUE"""),368.0)</f>
        <v>368</v>
      </c>
      <c r="D878" s="2">
        <f>IFERROR(__xludf.DUMMYFUNCTION("""COMPUTED_VALUE"""),354.0)</f>
        <v>354</v>
      </c>
      <c r="E878" s="2">
        <f>IFERROR(__xludf.DUMMYFUNCTION("""COMPUTED_VALUE"""),356.0)</f>
        <v>356</v>
      </c>
      <c r="F878" s="2">
        <f>IFERROR(__xludf.DUMMYFUNCTION("""COMPUTED_VALUE"""),2.60481E7)</f>
        <v>26048100</v>
      </c>
      <c r="G878" s="2">
        <f t="shared" si="1"/>
        <v>14</v>
      </c>
    </row>
    <row r="879" ht="15.75" customHeight="1">
      <c r="A879" s="1">
        <f>IFERROR(__xludf.DUMMYFUNCTION("""COMPUTED_VALUE"""),45161.66666666667)</f>
        <v>45161.66667</v>
      </c>
      <c r="B879" s="2">
        <f>IFERROR(__xludf.DUMMYFUNCTION("""COMPUTED_VALUE"""),356.0)</f>
        <v>356</v>
      </c>
      <c r="C879" s="2">
        <f>IFERROR(__xludf.DUMMYFUNCTION("""COMPUTED_VALUE"""),362.0)</f>
        <v>362</v>
      </c>
      <c r="D879" s="2">
        <f>IFERROR(__xludf.DUMMYFUNCTION("""COMPUTED_VALUE"""),354.0)</f>
        <v>354</v>
      </c>
      <c r="E879" s="2">
        <f>IFERROR(__xludf.DUMMYFUNCTION("""COMPUTED_VALUE"""),356.0)</f>
        <v>356</v>
      </c>
      <c r="F879" s="2">
        <f>IFERROR(__xludf.DUMMYFUNCTION("""COMPUTED_VALUE"""),1.19041E7)</f>
        <v>11904100</v>
      </c>
      <c r="G879" s="2">
        <f t="shared" si="1"/>
        <v>8</v>
      </c>
    </row>
    <row r="880" ht="15.75" customHeight="1">
      <c r="A880" s="1">
        <f>IFERROR(__xludf.DUMMYFUNCTION("""COMPUTED_VALUE"""),45162.66666666667)</f>
        <v>45162.66667</v>
      </c>
      <c r="B880" s="2">
        <f>IFERROR(__xludf.DUMMYFUNCTION("""COMPUTED_VALUE"""),358.0)</f>
        <v>358</v>
      </c>
      <c r="C880" s="2">
        <f>IFERROR(__xludf.DUMMYFUNCTION("""COMPUTED_VALUE"""),364.0)</f>
        <v>364</v>
      </c>
      <c r="D880" s="2">
        <f>IFERROR(__xludf.DUMMYFUNCTION("""COMPUTED_VALUE"""),358.0)</f>
        <v>358</v>
      </c>
      <c r="E880" s="2">
        <f>IFERROR(__xludf.DUMMYFUNCTION("""COMPUTED_VALUE"""),360.0)</f>
        <v>360</v>
      </c>
      <c r="F880" s="2">
        <f>IFERROR(__xludf.DUMMYFUNCTION("""COMPUTED_VALUE"""),9411200.0)</f>
        <v>9411200</v>
      </c>
      <c r="G880" s="2">
        <f t="shared" si="1"/>
        <v>8</v>
      </c>
    </row>
    <row r="881" ht="15.75" customHeight="1">
      <c r="A881" s="1">
        <f>IFERROR(__xludf.DUMMYFUNCTION("""COMPUTED_VALUE"""),45163.66666666667)</f>
        <v>45163.66667</v>
      </c>
      <c r="B881" s="2">
        <f>IFERROR(__xludf.DUMMYFUNCTION("""COMPUTED_VALUE"""),358.0)</f>
        <v>358</v>
      </c>
      <c r="C881" s="2">
        <f>IFERROR(__xludf.DUMMYFUNCTION("""COMPUTED_VALUE"""),362.0)</f>
        <v>362</v>
      </c>
      <c r="D881" s="2">
        <f>IFERROR(__xludf.DUMMYFUNCTION("""COMPUTED_VALUE"""),354.0)</f>
        <v>354</v>
      </c>
      <c r="E881" s="2">
        <f>IFERROR(__xludf.DUMMYFUNCTION("""COMPUTED_VALUE"""),354.0)</f>
        <v>354</v>
      </c>
      <c r="F881" s="2">
        <f>IFERROR(__xludf.DUMMYFUNCTION("""COMPUTED_VALUE"""),7286700.0)</f>
        <v>7286700</v>
      </c>
      <c r="G881" s="2">
        <f t="shared" si="1"/>
        <v>8</v>
      </c>
    </row>
    <row r="882" ht="15.75" customHeight="1">
      <c r="A882" s="1">
        <f>IFERROR(__xludf.DUMMYFUNCTION("""COMPUTED_VALUE"""),45166.66666666667)</f>
        <v>45166.66667</v>
      </c>
      <c r="B882" s="2">
        <f>IFERROR(__xludf.DUMMYFUNCTION("""COMPUTED_VALUE"""),356.0)</f>
        <v>356</v>
      </c>
      <c r="C882" s="2">
        <f>IFERROR(__xludf.DUMMYFUNCTION("""COMPUTED_VALUE"""),360.0)</f>
        <v>360</v>
      </c>
      <c r="D882" s="2">
        <f>IFERROR(__xludf.DUMMYFUNCTION("""COMPUTED_VALUE"""),356.0)</f>
        <v>356</v>
      </c>
      <c r="E882" s="2">
        <f>IFERROR(__xludf.DUMMYFUNCTION("""COMPUTED_VALUE"""),356.0)</f>
        <v>356</v>
      </c>
      <c r="F882" s="2">
        <f>IFERROR(__xludf.DUMMYFUNCTION("""COMPUTED_VALUE"""),7793700.0)</f>
        <v>7793700</v>
      </c>
      <c r="G882" s="2">
        <f t="shared" si="1"/>
        <v>6</v>
      </c>
    </row>
    <row r="883" ht="15.75" customHeight="1">
      <c r="A883" s="1">
        <f>IFERROR(__xludf.DUMMYFUNCTION("""COMPUTED_VALUE"""),45167.66666666667)</f>
        <v>45167.66667</v>
      </c>
      <c r="B883" s="2">
        <f>IFERROR(__xludf.DUMMYFUNCTION("""COMPUTED_VALUE"""),356.0)</f>
        <v>356</v>
      </c>
      <c r="C883" s="2">
        <f>IFERROR(__xludf.DUMMYFUNCTION("""COMPUTED_VALUE"""),360.0)</f>
        <v>360</v>
      </c>
      <c r="D883" s="2">
        <f>IFERROR(__xludf.DUMMYFUNCTION("""COMPUTED_VALUE"""),352.0)</f>
        <v>352</v>
      </c>
      <c r="E883" s="2">
        <f>IFERROR(__xludf.DUMMYFUNCTION("""COMPUTED_VALUE"""),352.0)</f>
        <v>352</v>
      </c>
      <c r="F883" s="2">
        <f>IFERROR(__xludf.DUMMYFUNCTION("""COMPUTED_VALUE"""),4.01534E7)</f>
        <v>40153400</v>
      </c>
      <c r="G883" s="2">
        <f t="shared" si="1"/>
        <v>8</v>
      </c>
    </row>
    <row r="884" ht="15.75" customHeight="1">
      <c r="A884" s="1">
        <f>IFERROR(__xludf.DUMMYFUNCTION("""COMPUTED_VALUE"""),45168.66666666667)</f>
        <v>45168.66667</v>
      </c>
      <c r="B884" s="2">
        <f>IFERROR(__xludf.DUMMYFUNCTION("""COMPUTED_VALUE"""),352.0)</f>
        <v>352</v>
      </c>
      <c r="C884" s="2">
        <f>IFERROR(__xludf.DUMMYFUNCTION("""COMPUTED_VALUE"""),360.0)</f>
        <v>360</v>
      </c>
      <c r="D884" s="2">
        <f>IFERROR(__xludf.DUMMYFUNCTION("""COMPUTED_VALUE"""),350.0)</f>
        <v>350</v>
      </c>
      <c r="E884" s="2">
        <f>IFERROR(__xludf.DUMMYFUNCTION("""COMPUTED_VALUE"""),350.0)</f>
        <v>350</v>
      </c>
      <c r="F884" s="2">
        <f>IFERROR(__xludf.DUMMYFUNCTION("""COMPUTED_VALUE"""),1.2779E7)</f>
        <v>12779000</v>
      </c>
      <c r="G884" s="2">
        <f t="shared" si="1"/>
        <v>10</v>
      </c>
    </row>
    <row r="885" ht="15.75" customHeight="1">
      <c r="A885" s="1">
        <f>IFERROR(__xludf.DUMMYFUNCTION("""COMPUTED_VALUE"""),45169.66666666667)</f>
        <v>45169.66667</v>
      </c>
      <c r="B885" s="2">
        <f>IFERROR(__xludf.DUMMYFUNCTION("""COMPUTED_VALUE"""),352.0)</f>
        <v>352</v>
      </c>
      <c r="C885" s="2">
        <f>IFERROR(__xludf.DUMMYFUNCTION("""COMPUTED_VALUE"""),354.0)</f>
        <v>354</v>
      </c>
      <c r="D885" s="2">
        <f>IFERROR(__xludf.DUMMYFUNCTION("""COMPUTED_VALUE"""),348.0)</f>
        <v>348</v>
      </c>
      <c r="E885" s="2">
        <f>IFERROR(__xludf.DUMMYFUNCTION("""COMPUTED_VALUE"""),350.0)</f>
        <v>350</v>
      </c>
      <c r="F885" s="2">
        <f>IFERROR(__xludf.DUMMYFUNCTION("""COMPUTED_VALUE"""),9634600.0)</f>
        <v>9634600</v>
      </c>
      <c r="G885" s="2">
        <f t="shared" si="1"/>
        <v>6</v>
      </c>
    </row>
    <row r="886" ht="15.75" customHeight="1">
      <c r="A886" s="1">
        <f>IFERROR(__xludf.DUMMYFUNCTION("""COMPUTED_VALUE"""),45170.66666666667)</f>
        <v>45170.66667</v>
      </c>
      <c r="B886" s="2">
        <f>IFERROR(__xludf.DUMMYFUNCTION("""COMPUTED_VALUE"""),350.0)</f>
        <v>350</v>
      </c>
      <c r="C886" s="2">
        <f>IFERROR(__xludf.DUMMYFUNCTION("""COMPUTED_VALUE"""),352.0)</f>
        <v>352</v>
      </c>
      <c r="D886" s="2">
        <f>IFERROR(__xludf.DUMMYFUNCTION("""COMPUTED_VALUE"""),346.0)</f>
        <v>346</v>
      </c>
      <c r="E886" s="2">
        <f>IFERROR(__xludf.DUMMYFUNCTION("""COMPUTED_VALUE"""),350.0)</f>
        <v>350</v>
      </c>
      <c r="F886" s="2">
        <f>IFERROR(__xludf.DUMMYFUNCTION("""COMPUTED_VALUE"""),8343700.0)</f>
        <v>8343700</v>
      </c>
      <c r="G886" s="2">
        <f t="shared" si="1"/>
        <v>6</v>
      </c>
    </row>
    <row r="887" ht="15.75" customHeight="1">
      <c r="A887" s="1">
        <f>IFERROR(__xludf.DUMMYFUNCTION("""COMPUTED_VALUE"""),45173.66666666667)</f>
        <v>45173.66667</v>
      </c>
      <c r="B887" s="2">
        <f>IFERROR(__xludf.DUMMYFUNCTION("""COMPUTED_VALUE"""),350.0)</f>
        <v>350</v>
      </c>
      <c r="C887" s="2">
        <f>IFERROR(__xludf.DUMMYFUNCTION("""COMPUTED_VALUE"""),352.0)</f>
        <v>352</v>
      </c>
      <c r="D887" s="2">
        <f>IFERROR(__xludf.DUMMYFUNCTION("""COMPUTED_VALUE"""),320.0)</f>
        <v>320</v>
      </c>
      <c r="E887" s="2">
        <f>IFERROR(__xludf.DUMMYFUNCTION("""COMPUTED_VALUE"""),320.0)</f>
        <v>320</v>
      </c>
      <c r="F887" s="2">
        <f>IFERROR(__xludf.DUMMYFUNCTION("""COMPUTED_VALUE"""),4.1505E7)</f>
        <v>41505000</v>
      </c>
      <c r="G887" s="2">
        <f t="shared" si="1"/>
        <v>32</v>
      </c>
    </row>
    <row r="888" ht="15.75" customHeight="1">
      <c r="A888" s="1">
        <f>IFERROR(__xludf.DUMMYFUNCTION("""COMPUTED_VALUE"""),45174.66666666667)</f>
        <v>45174.66667</v>
      </c>
      <c r="B888" s="2">
        <f>IFERROR(__xludf.DUMMYFUNCTION("""COMPUTED_VALUE"""),322.0)</f>
        <v>322</v>
      </c>
      <c r="C888" s="2">
        <f>IFERROR(__xludf.DUMMYFUNCTION("""COMPUTED_VALUE"""),330.0)</f>
        <v>330</v>
      </c>
      <c r="D888" s="2">
        <f>IFERROR(__xludf.DUMMYFUNCTION("""COMPUTED_VALUE"""),320.0)</f>
        <v>320</v>
      </c>
      <c r="E888" s="2">
        <f>IFERROR(__xludf.DUMMYFUNCTION("""COMPUTED_VALUE"""),324.0)</f>
        <v>324</v>
      </c>
      <c r="F888" s="2">
        <f>IFERROR(__xludf.DUMMYFUNCTION("""COMPUTED_VALUE"""),1.9659E7)</f>
        <v>19659000</v>
      </c>
      <c r="G888" s="2">
        <f t="shared" si="1"/>
        <v>10</v>
      </c>
    </row>
    <row r="889" ht="15.75" customHeight="1">
      <c r="A889" s="1">
        <f>IFERROR(__xludf.DUMMYFUNCTION("""COMPUTED_VALUE"""),45175.66666666667)</f>
        <v>45175.66667</v>
      </c>
      <c r="B889" s="2">
        <f>IFERROR(__xludf.DUMMYFUNCTION("""COMPUTED_VALUE"""),310.0)</f>
        <v>310</v>
      </c>
      <c r="C889" s="2">
        <f>IFERROR(__xludf.DUMMYFUNCTION("""COMPUTED_VALUE"""),326.0)</f>
        <v>326</v>
      </c>
      <c r="D889" s="2">
        <f>IFERROR(__xludf.DUMMYFUNCTION("""COMPUTED_VALUE"""),302.0)</f>
        <v>302</v>
      </c>
      <c r="E889" s="2">
        <f>IFERROR(__xludf.DUMMYFUNCTION("""COMPUTED_VALUE"""),318.0)</f>
        <v>318</v>
      </c>
      <c r="F889" s="2">
        <f>IFERROR(__xludf.DUMMYFUNCTION("""COMPUTED_VALUE"""),1.5125E7)</f>
        <v>15125000</v>
      </c>
      <c r="G889" s="2">
        <f t="shared" si="1"/>
        <v>24</v>
      </c>
    </row>
    <row r="890" ht="15.75" customHeight="1">
      <c r="A890" s="1">
        <f>IFERROR(__xludf.DUMMYFUNCTION("""COMPUTED_VALUE"""),45176.66666666667)</f>
        <v>45176.66667</v>
      </c>
      <c r="B890" s="2">
        <f>IFERROR(__xludf.DUMMYFUNCTION("""COMPUTED_VALUE"""),318.0)</f>
        <v>318</v>
      </c>
      <c r="C890" s="2">
        <f>IFERROR(__xludf.DUMMYFUNCTION("""COMPUTED_VALUE"""),326.0)</f>
        <v>326</v>
      </c>
      <c r="D890" s="2">
        <f>IFERROR(__xludf.DUMMYFUNCTION("""COMPUTED_VALUE"""),314.0)</f>
        <v>314</v>
      </c>
      <c r="E890" s="2">
        <f>IFERROR(__xludf.DUMMYFUNCTION("""COMPUTED_VALUE"""),320.0)</f>
        <v>320</v>
      </c>
      <c r="F890" s="2">
        <f>IFERROR(__xludf.DUMMYFUNCTION("""COMPUTED_VALUE"""),1.05365E7)</f>
        <v>10536500</v>
      </c>
      <c r="G890" s="2">
        <f t="shared" si="1"/>
        <v>12</v>
      </c>
    </row>
    <row r="891" ht="15.75" customHeight="1">
      <c r="A891" s="1">
        <f>IFERROR(__xludf.DUMMYFUNCTION("""COMPUTED_VALUE"""),45177.66666666667)</f>
        <v>45177.66667</v>
      </c>
      <c r="B891" s="2">
        <f>IFERROR(__xludf.DUMMYFUNCTION("""COMPUTED_VALUE"""),322.0)</f>
        <v>322</v>
      </c>
      <c r="C891" s="2">
        <f>IFERROR(__xludf.DUMMYFUNCTION("""COMPUTED_VALUE"""),336.0)</f>
        <v>336</v>
      </c>
      <c r="D891" s="2">
        <f>IFERROR(__xludf.DUMMYFUNCTION("""COMPUTED_VALUE"""),320.0)</f>
        <v>320</v>
      </c>
      <c r="E891" s="2">
        <f>IFERROR(__xludf.DUMMYFUNCTION("""COMPUTED_VALUE"""),330.0)</f>
        <v>330</v>
      </c>
      <c r="F891" s="2">
        <f>IFERROR(__xludf.DUMMYFUNCTION("""COMPUTED_VALUE"""),2.96117E7)</f>
        <v>29611700</v>
      </c>
      <c r="G891" s="2">
        <f t="shared" si="1"/>
        <v>16</v>
      </c>
    </row>
    <row r="892" ht="15.75" customHeight="1">
      <c r="A892" s="1">
        <f>IFERROR(__xludf.DUMMYFUNCTION("""COMPUTED_VALUE"""),45180.66666666667)</f>
        <v>45180.66667</v>
      </c>
      <c r="B892" s="2">
        <f>IFERROR(__xludf.DUMMYFUNCTION("""COMPUTED_VALUE"""),332.0)</f>
        <v>332</v>
      </c>
      <c r="C892" s="2">
        <f>IFERROR(__xludf.DUMMYFUNCTION("""COMPUTED_VALUE"""),334.0)</f>
        <v>334</v>
      </c>
      <c r="D892" s="2">
        <f>IFERROR(__xludf.DUMMYFUNCTION("""COMPUTED_VALUE"""),328.0)</f>
        <v>328</v>
      </c>
      <c r="E892" s="2">
        <f>IFERROR(__xludf.DUMMYFUNCTION("""COMPUTED_VALUE"""),330.0)</f>
        <v>330</v>
      </c>
      <c r="F892" s="2">
        <f>IFERROR(__xludf.DUMMYFUNCTION("""COMPUTED_VALUE"""),6235700.0)</f>
        <v>6235700</v>
      </c>
      <c r="G892" s="2">
        <f t="shared" si="1"/>
        <v>6</v>
      </c>
    </row>
    <row r="893" ht="15.75" customHeight="1">
      <c r="A893" s="1">
        <f>IFERROR(__xludf.DUMMYFUNCTION("""COMPUTED_VALUE"""),45181.66666666667)</f>
        <v>45181.66667</v>
      </c>
      <c r="B893" s="2">
        <f>IFERROR(__xludf.DUMMYFUNCTION("""COMPUTED_VALUE"""),332.0)</f>
        <v>332</v>
      </c>
      <c r="C893" s="2">
        <f>IFERROR(__xludf.DUMMYFUNCTION("""COMPUTED_VALUE"""),332.0)</f>
        <v>332</v>
      </c>
      <c r="D893" s="2">
        <f>IFERROR(__xludf.DUMMYFUNCTION("""COMPUTED_VALUE"""),318.0)</f>
        <v>318</v>
      </c>
      <c r="E893" s="2">
        <f>IFERROR(__xludf.DUMMYFUNCTION("""COMPUTED_VALUE"""),322.0)</f>
        <v>322</v>
      </c>
      <c r="F893" s="2">
        <f>IFERROR(__xludf.DUMMYFUNCTION("""COMPUTED_VALUE"""),1.32199E7)</f>
        <v>13219900</v>
      </c>
      <c r="G893" s="2">
        <f t="shared" si="1"/>
        <v>14</v>
      </c>
    </row>
    <row r="894" ht="15.75" customHeight="1">
      <c r="A894" s="1">
        <f>IFERROR(__xludf.DUMMYFUNCTION("""COMPUTED_VALUE"""),45182.66666666667)</f>
        <v>45182.66667</v>
      </c>
      <c r="B894" s="2">
        <f>IFERROR(__xludf.DUMMYFUNCTION("""COMPUTED_VALUE"""),322.0)</f>
        <v>322</v>
      </c>
      <c r="C894" s="2">
        <f>IFERROR(__xludf.DUMMYFUNCTION("""COMPUTED_VALUE"""),328.0)</f>
        <v>328</v>
      </c>
      <c r="D894" s="2">
        <f>IFERROR(__xludf.DUMMYFUNCTION("""COMPUTED_VALUE"""),322.0)</f>
        <v>322</v>
      </c>
      <c r="E894" s="2">
        <f>IFERROR(__xludf.DUMMYFUNCTION("""COMPUTED_VALUE"""),322.0)</f>
        <v>322</v>
      </c>
      <c r="F894" s="2">
        <f>IFERROR(__xludf.DUMMYFUNCTION("""COMPUTED_VALUE"""),5820800.0)</f>
        <v>5820800</v>
      </c>
      <c r="G894" s="2">
        <f t="shared" si="1"/>
        <v>6</v>
      </c>
    </row>
    <row r="895" ht="15.75" customHeight="1">
      <c r="A895" s="1">
        <f>IFERROR(__xludf.DUMMYFUNCTION("""COMPUTED_VALUE"""),45183.66666666667)</f>
        <v>45183.66667</v>
      </c>
      <c r="B895" s="2">
        <f>IFERROR(__xludf.DUMMYFUNCTION("""COMPUTED_VALUE"""),324.0)</f>
        <v>324</v>
      </c>
      <c r="C895" s="2">
        <f>IFERROR(__xludf.DUMMYFUNCTION("""COMPUTED_VALUE"""),326.0)</f>
        <v>326</v>
      </c>
      <c r="D895" s="2">
        <f>IFERROR(__xludf.DUMMYFUNCTION("""COMPUTED_VALUE"""),318.0)</f>
        <v>318</v>
      </c>
      <c r="E895" s="2">
        <f>IFERROR(__xludf.DUMMYFUNCTION("""COMPUTED_VALUE"""),320.0)</f>
        <v>320</v>
      </c>
      <c r="F895" s="2">
        <f>IFERROR(__xludf.DUMMYFUNCTION("""COMPUTED_VALUE"""),4739600.0)</f>
        <v>4739600</v>
      </c>
      <c r="G895" s="2">
        <f t="shared" si="1"/>
        <v>8</v>
      </c>
    </row>
    <row r="896" ht="15.75" customHeight="1">
      <c r="A896" s="1">
        <f>IFERROR(__xludf.DUMMYFUNCTION("""COMPUTED_VALUE"""),45184.66666666667)</f>
        <v>45184.66667</v>
      </c>
      <c r="B896" s="2">
        <f>IFERROR(__xludf.DUMMYFUNCTION("""COMPUTED_VALUE"""),322.0)</f>
        <v>322</v>
      </c>
      <c r="C896" s="2">
        <f>IFERROR(__xludf.DUMMYFUNCTION("""COMPUTED_VALUE"""),322.0)</f>
        <v>322</v>
      </c>
      <c r="D896" s="2">
        <f>IFERROR(__xludf.DUMMYFUNCTION("""COMPUTED_VALUE"""),318.0)</f>
        <v>318</v>
      </c>
      <c r="E896" s="2">
        <f>IFERROR(__xludf.DUMMYFUNCTION("""COMPUTED_VALUE"""),320.0)</f>
        <v>320</v>
      </c>
      <c r="F896" s="2">
        <f>IFERROR(__xludf.DUMMYFUNCTION("""COMPUTED_VALUE"""),4935300.0)</f>
        <v>4935300</v>
      </c>
      <c r="G896" s="2">
        <f t="shared" si="1"/>
        <v>4</v>
      </c>
    </row>
    <row r="897" ht="15.75" customHeight="1">
      <c r="A897" s="1">
        <f>IFERROR(__xludf.DUMMYFUNCTION("""COMPUTED_VALUE"""),45187.66666666667)</f>
        <v>45187.66667</v>
      </c>
      <c r="B897" s="2">
        <f>IFERROR(__xludf.DUMMYFUNCTION("""COMPUTED_VALUE"""),320.0)</f>
        <v>320</v>
      </c>
      <c r="C897" s="2">
        <f>IFERROR(__xludf.DUMMYFUNCTION("""COMPUTED_VALUE"""),322.0)</f>
        <v>322</v>
      </c>
      <c r="D897" s="2">
        <f>IFERROR(__xludf.DUMMYFUNCTION("""COMPUTED_VALUE"""),312.0)</f>
        <v>312</v>
      </c>
      <c r="E897" s="2">
        <f>IFERROR(__xludf.DUMMYFUNCTION("""COMPUTED_VALUE"""),312.0)</f>
        <v>312</v>
      </c>
      <c r="F897" s="2">
        <f>IFERROR(__xludf.DUMMYFUNCTION("""COMPUTED_VALUE"""),9666100.0)</f>
        <v>9666100</v>
      </c>
      <c r="G897" s="2">
        <f t="shared" si="1"/>
        <v>10</v>
      </c>
    </row>
    <row r="898" ht="15.75" customHeight="1">
      <c r="A898" s="1">
        <f>IFERROR(__xludf.DUMMYFUNCTION("""COMPUTED_VALUE"""),45188.66666666667)</f>
        <v>45188.66667</v>
      </c>
      <c r="B898" s="2">
        <f>IFERROR(__xludf.DUMMYFUNCTION("""COMPUTED_VALUE"""),312.0)</f>
        <v>312</v>
      </c>
      <c r="C898" s="2">
        <f>IFERROR(__xludf.DUMMYFUNCTION("""COMPUTED_VALUE"""),326.0)</f>
        <v>326</v>
      </c>
      <c r="D898" s="2">
        <f>IFERROR(__xludf.DUMMYFUNCTION("""COMPUTED_VALUE"""),302.0)</f>
        <v>302</v>
      </c>
      <c r="E898" s="2">
        <f>IFERROR(__xludf.DUMMYFUNCTION("""COMPUTED_VALUE"""),320.0)</f>
        <v>320</v>
      </c>
      <c r="F898" s="2">
        <f>IFERROR(__xludf.DUMMYFUNCTION("""COMPUTED_VALUE"""),3.30622E7)</f>
        <v>33062200</v>
      </c>
      <c r="G898" s="2">
        <f t="shared" si="1"/>
        <v>24</v>
      </c>
    </row>
    <row r="899" ht="15.75" customHeight="1">
      <c r="A899" s="1">
        <f>IFERROR(__xludf.DUMMYFUNCTION("""COMPUTED_VALUE"""),45189.66666666667)</f>
        <v>45189.66667</v>
      </c>
      <c r="B899" s="2">
        <f>IFERROR(__xludf.DUMMYFUNCTION("""COMPUTED_VALUE"""),324.0)</f>
        <v>324</v>
      </c>
      <c r="C899" s="2">
        <f>IFERROR(__xludf.DUMMYFUNCTION("""COMPUTED_VALUE"""),332.0)</f>
        <v>332</v>
      </c>
      <c r="D899" s="2">
        <f>IFERROR(__xludf.DUMMYFUNCTION("""COMPUTED_VALUE"""),320.0)</f>
        <v>320</v>
      </c>
      <c r="E899" s="2">
        <f>IFERROR(__xludf.DUMMYFUNCTION("""COMPUTED_VALUE"""),324.0)</f>
        <v>324</v>
      </c>
      <c r="F899" s="2">
        <f>IFERROR(__xludf.DUMMYFUNCTION("""COMPUTED_VALUE"""),2.95911E7)</f>
        <v>29591100</v>
      </c>
      <c r="G899" s="2">
        <f t="shared" si="1"/>
        <v>12</v>
      </c>
    </row>
    <row r="900" ht="15.75" customHeight="1">
      <c r="A900" s="1">
        <f>IFERROR(__xludf.DUMMYFUNCTION("""COMPUTED_VALUE"""),45190.66666666667)</f>
        <v>45190.66667</v>
      </c>
      <c r="B900" s="2">
        <f>IFERROR(__xludf.DUMMYFUNCTION("""COMPUTED_VALUE"""),324.0)</f>
        <v>324</v>
      </c>
      <c r="C900" s="2">
        <f>IFERROR(__xludf.DUMMYFUNCTION("""COMPUTED_VALUE"""),326.0)</f>
        <v>326</v>
      </c>
      <c r="D900" s="2">
        <f>IFERROR(__xludf.DUMMYFUNCTION("""COMPUTED_VALUE"""),316.0)</f>
        <v>316</v>
      </c>
      <c r="E900" s="2">
        <f>IFERROR(__xludf.DUMMYFUNCTION("""COMPUTED_VALUE"""),316.0)</f>
        <v>316</v>
      </c>
      <c r="F900" s="2">
        <f>IFERROR(__xludf.DUMMYFUNCTION("""COMPUTED_VALUE"""),8544400.0)</f>
        <v>8544400</v>
      </c>
      <c r="G900" s="2">
        <f t="shared" si="1"/>
        <v>10</v>
      </c>
    </row>
    <row r="901" ht="15.75" customHeight="1">
      <c r="A901" s="1">
        <f>IFERROR(__xludf.DUMMYFUNCTION("""COMPUTED_VALUE"""),45191.66666666667)</f>
        <v>45191.66667</v>
      </c>
      <c r="B901" s="2">
        <f>IFERROR(__xludf.DUMMYFUNCTION("""COMPUTED_VALUE"""),318.0)</f>
        <v>318</v>
      </c>
      <c r="C901" s="2">
        <f>IFERROR(__xludf.DUMMYFUNCTION("""COMPUTED_VALUE"""),322.0)</f>
        <v>322</v>
      </c>
      <c r="D901" s="2">
        <f>IFERROR(__xludf.DUMMYFUNCTION("""COMPUTED_VALUE"""),314.0)</f>
        <v>314</v>
      </c>
      <c r="E901" s="2">
        <f>IFERROR(__xludf.DUMMYFUNCTION("""COMPUTED_VALUE"""),318.0)</f>
        <v>318</v>
      </c>
      <c r="F901" s="2">
        <f>IFERROR(__xludf.DUMMYFUNCTION("""COMPUTED_VALUE"""),5179100.0)</f>
        <v>5179100</v>
      </c>
      <c r="G901" s="2">
        <f t="shared" si="1"/>
        <v>8</v>
      </c>
    </row>
    <row r="902" ht="15.75" customHeight="1">
      <c r="A902" s="1">
        <f>IFERROR(__xludf.DUMMYFUNCTION("""COMPUTED_VALUE"""),45194.66666666667)</f>
        <v>45194.66667</v>
      </c>
      <c r="B902" s="2">
        <f>IFERROR(__xludf.DUMMYFUNCTION("""COMPUTED_VALUE"""),318.0)</f>
        <v>318</v>
      </c>
      <c r="C902" s="2">
        <f>IFERROR(__xludf.DUMMYFUNCTION("""COMPUTED_VALUE"""),318.0)</f>
        <v>318</v>
      </c>
      <c r="D902" s="2">
        <f>IFERROR(__xludf.DUMMYFUNCTION("""COMPUTED_VALUE"""),314.0)</f>
        <v>314</v>
      </c>
      <c r="E902" s="2">
        <f>IFERROR(__xludf.DUMMYFUNCTION("""COMPUTED_VALUE"""),314.0)</f>
        <v>314</v>
      </c>
      <c r="F902" s="2">
        <f>IFERROR(__xludf.DUMMYFUNCTION("""COMPUTED_VALUE"""),4823000.0)</f>
        <v>4823000</v>
      </c>
      <c r="G902" s="2">
        <f t="shared" si="1"/>
        <v>4</v>
      </c>
    </row>
    <row r="903" ht="15.75" customHeight="1">
      <c r="A903" s="1">
        <f>IFERROR(__xludf.DUMMYFUNCTION("""COMPUTED_VALUE"""),45195.66666666667)</f>
        <v>45195.66667</v>
      </c>
      <c r="B903" s="2">
        <f>IFERROR(__xludf.DUMMYFUNCTION("""COMPUTED_VALUE"""),314.0)</f>
        <v>314</v>
      </c>
      <c r="C903" s="2">
        <f>IFERROR(__xludf.DUMMYFUNCTION("""COMPUTED_VALUE"""),318.0)</f>
        <v>318</v>
      </c>
      <c r="D903" s="2">
        <f>IFERROR(__xludf.DUMMYFUNCTION("""COMPUTED_VALUE"""),306.0)</f>
        <v>306</v>
      </c>
      <c r="E903" s="2">
        <f>IFERROR(__xludf.DUMMYFUNCTION("""COMPUTED_VALUE"""),308.0)</f>
        <v>308</v>
      </c>
      <c r="F903" s="2">
        <f>IFERROR(__xludf.DUMMYFUNCTION("""COMPUTED_VALUE"""),1.02556E7)</f>
        <v>10255600</v>
      </c>
      <c r="G903" s="2">
        <f t="shared" si="1"/>
        <v>12</v>
      </c>
    </row>
    <row r="904" ht="15.75" customHeight="1">
      <c r="A904" s="1">
        <f>IFERROR(__xludf.DUMMYFUNCTION("""COMPUTED_VALUE"""),45196.66666666667)</f>
        <v>45196.66667</v>
      </c>
      <c r="B904" s="2">
        <f>IFERROR(__xludf.DUMMYFUNCTION("""COMPUTED_VALUE"""),310.0)</f>
        <v>310</v>
      </c>
      <c r="C904" s="2">
        <f>IFERROR(__xludf.DUMMYFUNCTION("""COMPUTED_VALUE"""),310.0)</f>
        <v>310</v>
      </c>
      <c r="D904" s="2">
        <f>IFERROR(__xludf.DUMMYFUNCTION("""COMPUTED_VALUE"""),304.0)</f>
        <v>304</v>
      </c>
      <c r="E904" s="2">
        <f>IFERROR(__xludf.DUMMYFUNCTION("""COMPUTED_VALUE"""),308.0)</f>
        <v>308</v>
      </c>
      <c r="F904" s="2">
        <f>IFERROR(__xludf.DUMMYFUNCTION("""COMPUTED_VALUE"""),4808100.0)</f>
        <v>4808100</v>
      </c>
      <c r="G904" s="2">
        <f t="shared" si="1"/>
        <v>6</v>
      </c>
    </row>
    <row r="905" ht="15.75" customHeight="1">
      <c r="A905" s="1">
        <f>IFERROR(__xludf.DUMMYFUNCTION("""COMPUTED_VALUE"""),45198.66666666667)</f>
        <v>45198.66667</v>
      </c>
      <c r="B905" s="2">
        <f>IFERROR(__xludf.DUMMYFUNCTION("""COMPUTED_VALUE"""),308.0)</f>
        <v>308</v>
      </c>
      <c r="C905" s="2">
        <f>IFERROR(__xludf.DUMMYFUNCTION("""COMPUTED_VALUE"""),310.0)</f>
        <v>310</v>
      </c>
      <c r="D905" s="2">
        <f>IFERROR(__xludf.DUMMYFUNCTION("""COMPUTED_VALUE"""),304.0)</f>
        <v>304</v>
      </c>
      <c r="E905" s="2">
        <f>IFERROR(__xludf.DUMMYFUNCTION("""COMPUTED_VALUE"""),304.0)</f>
        <v>304</v>
      </c>
      <c r="F905" s="2">
        <f>IFERROR(__xludf.DUMMYFUNCTION("""COMPUTED_VALUE"""),7649500.0)</f>
        <v>7649500</v>
      </c>
      <c r="G905" s="2">
        <f t="shared" si="1"/>
        <v>6</v>
      </c>
    </row>
    <row r="906" ht="15.75" customHeight="1">
      <c r="A906" s="1">
        <f>IFERROR(__xludf.DUMMYFUNCTION("""COMPUTED_VALUE"""),45201.66666666667)</f>
        <v>45201.66667</v>
      </c>
      <c r="B906" s="2">
        <f>IFERROR(__xludf.DUMMYFUNCTION("""COMPUTED_VALUE"""),304.0)</f>
        <v>304</v>
      </c>
      <c r="C906" s="2">
        <f>IFERROR(__xludf.DUMMYFUNCTION("""COMPUTED_VALUE"""),306.0)</f>
        <v>306</v>
      </c>
      <c r="D906" s="2">
        <f>IFERROR(__xludf.DUMMYFUNCTION("""COMPUTED_VALUE"""),302.0)</f>
        <v>302</v>
      </c>
      <c r="E906" s="2">
        <f>IFERROR(__xludf.DUMMYFUNCTION("""COMPUTED_VALUE"""),304.0)</f>
        <v>304</v>
      </c>
      <c r="F906" s="2">
        <f>IFERROR(__xludf.DUMMYFUNCTION("""COMPUTED_VALUE"""),7136300.0)</f>
        <v>7136300</v>
      </c>
      <c r="G906" s="2">
        <f t="shared" si="1"/>
        <v>4</v>
      </c>
    </row>
    <row r="907" ht="15.75" customHeight="1">
      <c r="A907" s="1">
        <f>IFERROR(__xludf.DUMMYFUNCTION("""COMPUTED_VALUE"""),45202.66666666667)</f>
        <v>45202.66667</v>
      </c>
      <c r="B907" s="2">
        <f>IFERROR(__xludf.DUMMYFUNCTION("""COMPUTED_VALUE"""),304.0)</f>
        <v>304</v>
      </c>
      <c r="C907" s="2">
        <f>IFERROR(__xludf.DUMMYFUNCTION("""COMPUTED_VALUE"""),306.0)</f>
        <v>306</v>
      </c>
      <c r="D907" s="2">
        <f>IFERROR(__xludf.DUMMYFUNCTION("""COMPUTED_VALUE"""),294.0)</f>
        <v>294</v>
      </c>
      <c r="E907" s="2">
        <f>IFERROR(__xludf.DUMMYFUNCTION("""COMPUTED_VALUE"""),296.0)</f>
        <v>296</v>
      </c>
      <c r="F907" s="2">
        <f>IFERROR(__xludf.DUMMYFUNCTION("""COMPUTED_VALUE"""),1.31869E7)</f>
        <v>13186900</v>
      </c>
      <c r="G907" s="2">
        <f t="shared" si="1"/>
        <v>12</v>
      </c>
    </row>
    <row r="908" ht="15.75" customHeight="1">
      <c r="A908" s="1">
        <f>IFERROR(__xludf.DUMMYFUNCTION("""COMPUTED_VALUE"""),45203.66666666667)</f>
        <v>45203.66667</v>
      </c>
      <c r="B908" s="2">
        <f>IFERROR(__xludf.DUMMYFUNCTION("""COMPUTED_VALUE"""),282.0)</f>
        <v>282</v>
      </c>
      <c r="C908" s="2">
        <f>IFERROR(__xludf.DUMMYFUNCTION("""COMPUTED_VALUE"""),298.0)</f>
        <v>298</v>
      </c>
      <c r="D908" s="2">
        <f>IFERROR(__xludf.DUMMYFUNCTION("""COMPUTED_VALUE"""),282.0)</f>
        <v>282</v>
      </c>
      <c r="E908" s="2">
        <f>IFERROR(__xludf.DUMMYFUNCTION("""COMPUTED_VALUE"""),284.0)</f>
        <v>284</v>
      </c>
      <c r="F908" s="2">
        <f>IFERROR(__xludf.DUMMYFUNCTION("""COMPUTED_VALUE"""),1.65029E7)</f>
        <v>16502900</v>
      </c>
      <c r="G908" s="2">
        <f t="shared" si="1"/>
        <v>16</v>
      </c>
    </row>
    <row r="909" ht="15.75" customHeight="1">
      <c r="A909" s="1">
        <f>IFERROR(__xludf.DUMMYFUNCTION("""COMPUTED_VALUE"""),45204.66666666667)</f>
        <v>45204.66667</v>
      </c>
      <c r="B909" s="2">
        <f>IFERROR(__xludf.DUMMYFUNCTION("""COMPUTED_VALUE"""),286.0)</f>
        <v>286</v>
      </c>
      <c r="C909" s="2">
        <f>IFERROR(__xludf.DUMMYFUNCTION("""COMPUTED_VALUE"""),290.0)</f>
        <v>290</v>
      </c>
      <c r="D909" s="2">
        <f>IFERROR(__xludf.DUMMYFUNCTION("""COMPUTED_VALUE"""),284.0)</f>
        <v>284</v>
      </c>
      <c r="E909" s="2">
        <f>IFERROR(__xludf.DUMMYFUNCTION("""COMPUTED_VALUE"""),284.0)</f>
        <v>284</v>
      </c>
      <c r="F909" s="2">
        <f>IFERROR(__xludf.DUMMYFUNCTION("""COMPUTED_VALUE"""),4541100.0)</f>
        <v>4541100</v>
      </c>
      <c r="G909" s="2">
        <f t="shared" si="1"/>
        <v>6</v>
      </c>
    </row>
    <row r="910" ht="15.75" customHeight="1">
      <c r="A910" s="1">
        <f>IFERROR(__xludf.DUMMYFUNCTION("""COMPUTED_VALUE"""),45205.66666666667)</f>
        <v>45205.66667</v>
      </c>
      <c r="B910" s="2">
        <f>IFERROR(__xludf.DUMMYFUNCTION("""COMPUTED_VALUE"""),284.0)</f>
        <v>284</v>
      </c>
      <c r="C910" s="2">
        <f>IFERROR(__xludf.DUMMYFUNCTION("""COMPUTED_VALUE"""),288.0)</f>
        <v>288</v>
      </c>
      <c r="D910" s="2">
        <f>IFERROR(__xludf.DUMMYFUNCTION("""COMPUTED_VALUE"""),284.0)</f>
        <v>284</v>
      </c>
      <c r="E910" s="2">
        <f>IFERROR(__xludf.DUMMYFUNCTION("""COMPUTED_VALUE"""),288.0)</f>
        <v>288</v>
      </c>
      <c r="F910" s="2">
        <f>IFERROR(__xludf.DUMMYFUNCTION("""COMPUTED_VALUE"""),5030700.0)</f>
        <v>5030700</v>
      </c>
      <c r="G910" s="2">
        <f t="shared" si="1"/>
        <v>4</v>
      </c>
    </row>
    <row r="911" ht="15.75" customHeight="1">
      <c r="A911" s="1">
        <f>IFERROR(__xludf.DUMMYFUNCTION("""COMPUTED_VALUE"""),45208.66666666667)</f>
        <v>45208.66667</v>
      </c>
      <c r="B911" s="2">
        <f>IFERROR(__xludf.DUMMYFUNCTION("""COMPUTED_VALUE"""),288.0)</f>
        <v>288</v>
      </c>
      <c r="C911" s="2">
        <f>IFERROR(__xludf.DUMMYFUNCTION("""COMPUTED_VALUE"""),292.0)</f>
        <v>292</v>
      </c>
      <c r="D911" s="2">
        <f>IFERROR(__xludf.DUMMYFUNCTION("""COMPUTED_VALUE"""),280.0)</f>
        <v>280</v>
      </c>
      <c r="E911" s="2">
        <f>IFERROR(__xludf.DUMMYFUNCTION("""COMPUTED_VALUE"""),284.0)</f>
        <v>284</v>
      </c>
      <c r="F911" s="2">
        <f>IFERROR(__xludf.DUMMYFUNCTION("""COMPUTED_VALUE"""),8996600.0)</f>
        <v>8996600</v>
      </c>
      <c r="G911" s="2">
        <f t="shared" si="1"/>
        <v>12</v>
      </c>
    </row>
    <row r="912" ht="15.75" customHeight="1">
      <c r="A912" s="1">
        <f>IFERROR(__xludf.DUMMYFUNCTION("""COMPUTED_VALUE"""),45209.66666666667)</f>
        <v>45209.66667</v>
      </c>
      <c r="B912" s="2">
        <f>IFERROR(__xludf.DUMMYFUNCTION("""COMPUTED_VALUE"""),284.0)</f>
        <v>284</v>
      </c>
      <c r="C912" s="2">
        <f>IFERROR(__xludf.DUMMYFUNCTION("""COMPUTED_VALUE"""),288.0)</f>
        <v>288</v>
      </c>
      <c r="D912" s="2">
        <f>IFERROR(__xludf.DUMMYFUNCTION("""COMPUTED_VALUE"""),280.0)</f>
        <v>280</v>
      </c>
      <c r="E912" s="2">
        <f>IFERROR(__xludf.DUMMYFUNCTION("""COMPUTED_VALUE"""),282.0)</f>
        <v>282</v>
      </c>
      <c r="F912" s="2">
        <f>IFERROR(__xludf.DUMMYFUNCTION("""COMPUTED_VALUE"""),6268500.0)</f>
        <v>6268500</v>
      </c>
      <c r="G912" s="2">
        <f t="shared" si="1"/>
        <v>8</v>
      </c>
    </row>
    <row r="913" ht="15.75" customHeight="1">
      <c r="A913" s="1">
        <f>IFERROR(__xludf.DUMMYFUNCTION("""COMPUTED_VALUE"""),45210.66666666667)</f>
        <v>45210.66667</v>
      </c>
      <c r="B913" s="2">
        <f>IFERROR(__xludf.DUMMYFUNCTION("""COMPUTED_VALUE"""),282.0)</f>
        <v>282</v>
      </c>
      <c r="C913" s="2">
        <f>IFERROR(__xludf.DUMMYFUNCTION("""COMPUTED_VALUE"""),306.0)</f>
        <v>306</v>
      </c>
      <c r="D913" s="2">
        <f>IFERROR(__xludf.DUMMYFUNCTION("""COMPUTED_VALUE"""),280.0)</f>
        <v>280</v>
      </c>
      <c r="E913" s="2">
        <f>IFERROR(__xludf.DUMMYFUNCTION("""COMPUTED_VALUE"""),290.0)</f>
        <v>290</v>
      </c>
      <c r="F913" s="2">
        <f>IFERROR(__xludf.DUMMYFUNCTION("""COMPUTED_VALUE"""),1.98728E7)</f>
        <v>19872800</v>
      </c>
      <c r="G913" s="2">
        <f t="shared" si="1"/>
        <v>26</v>
      </c>
    </row>
    <row r="914" ht="15.75" customHeight="1">
      <c r="A914" s="1">
        <f>IFERROR(__xludf.DUMMYFUNCTION("""COMPUTED_VALUE"""),45211.66666666667)</f>
        <v>45211.66667</v>
      </c>
      <c r="B914" s="2">
        <f>IFERROR(__xludf.DUMMYFUNCTION("""COMPUTED_VALUE"""),292.0)</f>
        <v>292</v>
      </c>
      <c r="C914" s="2">
        <f>IFERROR(__xludf.DUMMYFUNCTION("""COMPUTED_VALUE"""),294.0)</f>
        <v>294</v>
      </c>
      <c r="D914" s="2">
        <f>IFERROR(__xludf.DUMMYFUNCTION("""COMPUTED_VALUE"""),284.0)</f>
        <v>284</v>
      </c>
      <c r="E914" s="2">
        <f>IFERROR(__xludf.DUMMYFUNCTION("""COMPUTED_VALUE"""),286.0)</f>
        <v>286</v>
      </c>
      <c r="F914" s="2">
        <f>IFERROR(__xludf.DUMMYFUNCTION("""COMPUTED_VALUE"""),5415700.0)</f>
        <v>5415700</v>
      </c>
      <c r="G914" s="2">
        <f t="shared" si="1"/>
        <v>10</v>
      </c>
    </row>
    <row r="915" ht="15.75" customHeight="1">
      <c r="A915" s="1">
        <f>IFERROR(__xludf.DUMMYFUNCTION("""COMPUTED_VALUE"""),45212.66666666667)</f>
        <v>45212.66667</v>
      </c>
      <c r="B915" s="2">
        <f>IFERROR(__xludf.DUMMYFUNCTION("""COMPUTED_VALUE"""),286.0)</f>
        <v>286</v>
      </c>
      <c r="C915" s="2">
        <f>IFERROR(__xludf.DUMMYFUNCTION("""COMPUTED_VALUE"""),288.0)</f>
        <v>288</v>
      </c>
      <c r="D915" s="2">
        <f>IFERROR(__xludf.DUMMYFUNCTION("""COMPUTED_VALUE"""),282.0)</f>
        <v>282</v>
      </c>
      <c r="E915" s="2">
        <f>IFERROR(__xludf.DUMMYFUNCTION("""COMPUTED_VALUE"""),282.0)</f>
        <v>282</v>
      </c>
      <c r="F915" s="2">
        <f>IFERROR(__xludf.DUMMYFUNCTION("""COMPUTED_VALUE"""),5628600.0)</f>
        <v>5628600</v>
      </c>
      <c r="G915" s="2">
        <f t="shared" si="1"/>
        <v>6</v>
      </c>
    </row>
    <row r="916" ht="15.75" customHeight="1">
      <c r="A916" s="1">
        <f>IFERROR(__xludf.DUMMYFUNCTION("""COMPUTED_VALUE"""),45215.66666666667)</f>
        <v>45215.66667</v>
      </c>
      <c r="B916" s="2">
        <f>IFERROR(__xludf.DUMMYFUNCTION("""COMPUTED_VALUE"""),282.0)</f>
        <v>282</v>
      </c>
      <c r="C916" s="2">
        <f>IFERROR(__xludf.DUMMYFUNCTION("""COMPUTED_VALUE"""),286.0)</f>
        <v>286</v>
      </c>
      <c r="D916" s="2">
        <f>IFERROR(__xludf.DUMMYFUNCTION("""COMPUTED_VALUE"""),272.0)</f>
        <v>272</v>
      </c>
      <c r="E916" s="2">
        <f>IFERROR(__xludf.DUMMYFUNCTION("""COMPUTED_VALUE"""),274.0)</f>
        <v>274</v>
      </c>
      <c r="F916" s="2">
        <f>IFERROR(__xludf.DUMMYFUNCTION("""COMPUTED_VALUE"""),1.40372E7)</f>
        <v>14037200</v>
      </c>
      <c r="G916" s="2">
        <f t="shared" si="1"/>
        <v>14</v>
      </c>
    </row>
    <row r="917" ht="15.75" customHeight="1">
      <c r="A917" s="1">
        <f>IFERROR(__xludf.DUMMYFUNCTION("""COMPUTED_VALUE"""),45216.66666666667)</f>
        <v>45216.66667</v>
      </c>
      <c r="B917" s="2">
        <f>IFERROR(__xludf.DUMMYFUNCTION("""COMPUTED_VALUE"""),276.0)</f>
        <v>276</v>
      </c>
      <c r="C917" s="2">
        <f>IFERROR(__xludf.DUMMYFUNCTION("""COMPUTED_VALUE"""),282.0)</f>
        <v>282</v>
      </c>
      <c r="D917" s="2">
        <f>IFERROR(__xludf.DUMMYFUNCTION("""COMPUTED_VALUE"""),270.0)</f>
        <v>270</v>
      </c>
      <c r="E917" s="2">
        <f>IFERROR(__xludf.DUMMYFUNCTION("""COMPUTED_VALUE"""),272.0)</f>
        <v>272</v>
      </c>
      <c r="F917" s="2">
        <f>IFERROR(__xludf.DUMMYFUNCTION("""COMPUTED_VALUE"""),5049800.0)</f>
        <v>5049800</v>
      </c>
      <c r="G917" s="2">
        <f t="shared" si="1"/>
        <v>12</v>
      </c>
    </row>
    <row r="918" ht="15.75" customHeight="1">
      <c r="A918" s="1">
        <f>IFERROR(__xludf.DUMMYFUNCTION("""COMPUTED_VALUE"""),45217.66666666667)</f>
        <v>45217.66667</v>
      </c>
      <c r="B918" s="2">
        <f>IFERROR(__xludf.DUMMYFUNCTION("""COMPUTED_VALUE"""),274.0)</f>
        <v>274</v>
      </c>
      <c r="C918" s="2">
        <f>IFERROR(__xludf.DUMMYFUNCTION("""COMPUTED_VALUE"""),276.0)</f>
        <v>276</v>
      </c>
      <c r="D918" s="2">
        <f>IFERROR(__xludf.DUMMYFUNCTION("""COMPUTED_VALUE"""),268.0)</f>
        <v>268</v>
      </c>
      <c r="E918" s="2">
        <f>IFERROR(__xludf.DUMMYFUNCTION("""COMPUTED_VALUE"""),272.0)</f>
        <v>272</v>
      </c>
      <c r="F918" s="2">
        <f>IFERROR(__xludf.DUMMYFUNCTION("""COMPUTED_VALUE"""),7068000.0)</f>
        <v>7068000</v>
      </c>
      <c r="G918" s="2">
        <f t="shared" si="1"/>
        <v>8</v>
      </c>
    </row>
    <row r="919" ht="15.75" customHeight="1">
      <c r="A919" s="1">
        <f>IFERROR(__xludf.DUMMYFUNCTION("""COMPUTED_VALUE"""),45218.66666666667)</f>
        <v>45218.66667</v>
      </c>
      <c r="B919" s="2">
        <f>IFERROR(__xludf.DUMMYFUNCTION("""COMPUTED_VALUE"""),272.0)</f>
        <v>272</v>
      </c>
      <c r="C919" s="2">
        <f>IFERROR(__xludf.DUMMYFUNCTION("""COMPUTED_VALUE"""),272.0)</f>
        <v>272</v>
      </c>
      <c r="D919" s="2">
        <f>IFERROR(__xludf.DUMMYFUNCTION("""COMPUTED_VALUE"""),262.0)</f>
        <v>262</v>
      </c>
      <c r="E919" s="2">
        <f>IFERROR(__xludf.DUMMYFUNCTION("""COMPUTED_VALUE"""),262.0)</f>
        <v>262</v>
      </c>
      <c r="F919" s="2">
        <f>IFERROR(__xludf.DUMMYFUNCTION("""COMPUTED_VALUE"""),8618100.0)</f>
        <v>8618100</v>
      </c>
      <c r="G919" s="2">
        <f t="shared" si="1"/>
        <v>10</v>
      </c>
    </row>
    <row r="920" ht="15.75" customHeight="1">
      <c r="A920" s="1">
        <f>IFERROR(__xludf.DUMMYFUNCTION("""COMPUTED_VALUE"""),45219.66666666667)</f>
        <v>45219.66667</v>
      </c>
      <c r="B920" s="2">
        <f>IFERROR(__xludf.DUMMYFUNCTION("""COMPUTED_VALUE"""),262.0)</f>
        <v>262</v>
      </c>
      <c r="C920" s="2">
        <f>IFERROR(__xludf.DUMMYFUNCTION("""COMPUTED_VALUE"""),266.0)</f>
        <v>266</v>
      </c>
      <c r="D920" s="2">
        <f>IFERROR(__xludf.DUMMYFUNCTION("""COMPUTED_VALUE"""),250.0)</f>
        <v>250</v>
      </c>
      <c r="E920" s="2">
        <f>IFERROR(__xludf.DUMMYFUNCTION("""COMPUTED_VALUE"""),256.0)</f>
        <v>256</v>
      </c>
      <c r="F920" s="2">
        <f>IFERROR(__xludf.DUMMYFUNCTION("""COMPUTED_VALUE"""),1.17958E7)</f>
        <v>11795800</v>
      </c>
      <c r="G920" s="2">
        <f t="shared" si="1"/>
        <v>16</v>
      </c>
    </row>
    <row r="921" ht="15.75" customHeight="1">
      <c r="A921" s="1">
        <f>IFERROR(__xludf.DUMMYFUNCTION("""COMPUTED_VALUE"""),45222.66666666667)</f>
        <v>45222.66667</v>
      </c>
      <c r="B921" s="2">
        <f>IFERROR(__xludf.DUMMYFUNCTION("""COMPUTED_VALUE"""),250.0)</f>
        <v>250</v>
      </c>
      <c r="C921" s="2">
        <f>IFERROR(__xludf.DUMMYFUNCTION("""COMPUTED_VALUE"""),260.0)</f>
        <v>260</v>
      </c>
      <c r="D921" s="2">
        <f>IFERROR(__xludf.DUMMYFUNCTION("""COMPUTED_VALUE"""),246.0)</f>
        <v>246</v>
      </c>
      <c r="E921" s="2">
        <f>IFERROR(__xludf.DUMMYFUNCTION("""COMPUTED_VALUE"""),246.0)</f>
        <v>246</v>
      </c>
      <c r="F921" s="2">
        <f>IFERROR(__xludf.DUMMYFUNCTION("""COMPUTED_VALUE"""),7539600.0)</f>
        <v>7539600</v>
      </c>
      <c r="G921" s="2">
        <f t="shared" si="1"/>
        <v>14</v>
      </c>
    </row>
    <row r="922" ht="15.75" customHeight="1">
      <c r="A922" s="1">
        <f>IFERROR(__xludf.DUMMYFUNCTION("""COMPUTED_VALUE"""),45223.66666666667)</f>
        <v>45223.66667</v>
      </c>
      <c r="B922" s="2">
        <f>IFERROR(__xludf.DUMMYFUNCTION("""COMPUTED_VALUE"""),248.0)</f>
        <v>248</v>
      </c>
      <c r="C922" s="2">
        <f>IFERROR(__xludf.DUMMYFUNCTION("""COMPUTED_VALUE"""),266.0)</f>
        <v>266</v>
      </c>
      <c r="D922" s="2">
        <f>IFERROR(__xludf.DUMMYFUNCTION("""COMPUTED_VALUE"""),248.0)</f>
        <v>248</v>
      </c>
      <c r="E922" s="2">
        <f>IFERROR(__xludf.DUMMYFUNCTION("""COMPUTED_VALUE"""),260.0)</f>
        <v>260</v>
      </c>
      <c r="F922" s="2">
        <f>IFERROR(__xludf.DUMMYFUNCTION("""COMPUTED_VALUE"""),1.53536E7)</f>
        <v>15353600</v>
      </c>
      <c r="G922" s="2">
        <f t="shared" si="1"/>
        <v>20</v>
      </c>
    </row>
    <row r="923" ht="15.75" customHeight="1">
      <c r="A923" s="1">
        <f>IFERROR(__xludf.DUMMYFUNCTION("""COMPUTED_VALUE"""),45224.66666666667)</f>
        <v>45224.66667</v>
      </c>
      <c r="B923" s="2">
        <f>IFERROR(__xludf.DUMMYFUNCTION("""COMPUTED_VALUE"""),258.0)</f>
        <v>258</v>
      </c>
      <c r="C923" s="2">
        <f>IFERROR(__xludf.DUMMYFUNCTION("""COMPUTED_VALUE"""),264.0)</f>
        <v>264</v>
      </c>
      <c r="D923" s="2">
        <f>IFERROR(__xludf.DUMMYFUNCTION("""COMPUTED_VALUE"""),254.0)</f>
        <v>254</v>
      </c>
      <c r="E923" s="2">
        <f>IFERROR(__xludf.DUMMYFUNCTION("""COMPUTED_VALUE"""),258.0)</f>
        <v>258</v>
      </c>
      <c r="F923" s="2">
        <f>IFERROR(__xludf.DUMMYFUNCTION("""COMPUTED_VALUE"""),6154000.0)</f>
        <v>6154000</v>
      </c>
      <c r="G923" s="2">
        <f t="shared" si="1"/>
        <v>10</v>
      </c>
    </row>
    <row r="924" ht="15.75" customHeight="1">
      <c r="A924" s="1">
        <f>IFERROR(__xludf.DUMMYFUNCTION("""COMPUTED_VALUE"""),45225.66666666667)</f>
        <v>45225.66667</v>
      </c>
      <c r="B924" s="2">
        <f>IFERROR(__xludf.DUMMYFUNCTION("""COMPUTED_VALUE"""),258.0)</f>
        <v>258</v>
      </c>
      <c r="C924" s="2">
        <f>IFERROR(__xludf.DUMMYFUNCTION("""COMPUTED_VALUE"""),260.0)</f>
        <v>260</v>
      </c>
      <c r="D924" s="2">
        <f>IFERROR(__xludf.DUMMYFUNCTION("""COMPUTED_VALUE"""),246.0)</f>
        <v>246</v>
      </c>
      <c r="E924" s="2">
        <f>IFERROR(__xludf.DUMMYFUNCTION("""COMPUTED_VALUE"""),246.0)</f>
        <v>246</v>
      </c>
      <c r="F924" s="2">
        <f>IFERROR(__xludf.DUMMYFUNCTION("""COMPUTED_VALUE"""),8596000.0)</f>
        <v>8596000</v>
      </c>
      <c r="G924" s="2">
        <f t="shared" si="1"/>
        <v>14</v>
      </c>
    </row>
    <row r="925" ht="15.75" customHeight="1">
      <c r="A925" s="1">
        <f>IFERROR(__xludf.DUMMYFUNCTION("""COMPUTED_VALUE"""),45226.66666666667)</f>
        <v>45226.66667</v>
      </c>
      <c r="B925" s="2">
        <f>IFERROR(__xludf.DUMMYFUNCTION("""COMPUTED_VALUE"""),246.0)</f>
        <v>246</v>
      </c>
      <c r="C925" s="2">
        <f>IFERROR(__xludf.DUMMYFUNCTION("""COMPUTED_VALUE"""),246.0)</f>
        <v>246</v>
      </c>
      <c r="D925" s="2">
        <f>IFERROR(__xludf.DUMMYFUNCTION("""COMPUTED_VALUE"""),240.0)</f>
        <v>240</v>
      </c>
      <c r="E925" s="2">
        <f>IFERROR(__xludf.DUMMYFUNCTION("""COMPUTED_VALUE"""),244.0)</f>
        <v>244</v>
      </c>
      <c r="F925" s="2">
        <f>IFERROR(__xludf.DUMMYFUNCTION("""COMPUTED_VALUE"""),9688000.0)</f>
        <v>9688000</v>
      </c>
      <c r="G925" s="2">
        <f t="shared" si="1"/>
        <v>6</v>
      </c>
    </row>
    <row r="926" ht="15.75" customHeight="1">
      <c r="A926" s="1">
        <f>IFERROR(__xludf.DUMMYFUNCTION("""COMPUTED_VALUE"""),45229.66666666667)</f>
        <v>45229.66667</v>
      </c>
      <c r="B926" s="2">
        <f>IFERROR(__xludf.DUMMYFUNCTION("""COMPUTED_VALUE"""),242.0)</f>
        <v>242</v>
      </c>
      <c r="C926" s="2">
        <f>IFERROR(__xludf.DUMMYFUNCTION("""COMPUTED_VALUE"""),250.0)</f>
        <v>250</v>
      </c>
      <c r="D926" s="2">
        <f>IFERROR(__xludf.DUMMYFUNCTION("""COMPUTED_VALUE"""),232.0)</f>
        <v>232</v>
      </c>
      <c r="E926" s="2">
        <f>IFERROR(__xludf.DUMMYFUNCTION("""COMPUTED_VALUE"""),234.0)</f>
        <v>234</v>
      </c>
      <c r="F926" s="2">
        <f>IFERROR(__xludf.DUMMYFUNCTION("""COMPUTED_VALUE"""),9133400.0)</f>
        <v>9133400</v>
      </c>
      <c r="G926" s="2">
        <f t="shared" si="1"/>
        <v>18</v>
      </c>
    </row>
    <row r="927" ht="15.75" customHeight="1">
      <c r="A927" s="1">
        <f>IFERROR(__xludf.DUMMYFUNCTION("""COMPUTED_VALUE"""),45230.66666666667)</f>
        <v>45230.66667</v>
      </c>
      <c r="B927" s="2">
        <f>IFERROR(__xludf.DUMMYFUNCTION("""COMPUTED_VALUE"""),236.0)</f>
        <v>236</v>
      </c>
      <c r="C927" s="2">
        <f>IFERROR(__xludf.DUMMYFUNCTION("""COMPUTED_VALUE"""),238.0)</f>
        <v>238</v>
      </c>
      <c r="D927" s="2">
        <f>IFERROR(__xludf.DUMMYFUNCTION("""COMPUTED_VALUE"""),216.0)</f>
        <v>216</v>
      </c>
      <c r="E927" s="2">
        <f>IFERROR(__xludf.DUMMYFUNCTION("""COMPUTED_VALUE"""),224.0)</f>
        <v>224</v>
      </c>
      <c r="F927" s="2">
        <f>IFERROR(__xludf.DUMMYFUNCTION("""COMPUTED_VALUE"""),1.84408E7)</f>
        <v>18440800</v>
      </c>
      <c r="G927" s="2">
        <f t="shared" si="1"/>
        <v>22</v>
      </c>
    </row>
    <row r="928" ht="15.75" customHeight="1">
      <c r="A928" s="1">
        <f>IFERROR(__xludf.DUMMYFUNCTION("""COMPUTED_VALUE"""),45231.66666666667)</f>
        <v>45231.66667</v>
      </c>
      <c r="B928" s="2">
        <f>IFERROR(__xludf.DUMMYFUNCTION("""COMPUTED_VALUE"""),226.0)</f>
        <v>226</v>
      </c>
      <c r="C928" s="2">
        <f>IFERROR(__xludf.DUMMYFUNCTION("""COMPUTED_VALUE"""),228.0)</f>
        <v>228</v>
      </c>
      <c r="D928" s="2">
        <f>IFERROR(__xludf.DUMMYFUNCTION("""COMPUTED_VALUE"""),218.0)</f>
        <v>218</v>
      </c>
      <c r="E928" s="2">
        <f>IFERROR(__xludf.DUMMYFUNCTION("""COMPUTED_VALUE"""),222.0)</f>
        <v>222</v>
      </c>
      <c r="F928" s="2">
        <f>IFERROR(__xludf.DUMMYFUNCTION("""COMPUTED_VALUE"""),9441800.0)</f>
        <v>9441800</v>
      </c>
      <c r="G928" s="2">
        <f t="shared" si="1"/>
        <v>10</v>
      </c>
    </row>
    <row r="929" ht="15.75" customHeight="1">
      <c r="A929" s="1">
        <f>IFERROR(__xludf.DUMMYFUNCTION("""COMPUTED_VALUE"""),45232.66666666667)</f>
        <v>45232.66667</v>
      </c>
      <c r="B929" s="2">
        <f>IFERROR(__xludf.DUMMYFUNCTION("""COMPUTED_VALUE"""),226.0)</f>
        <v>226</v>
      </c>
      <c r="C929" s="2">
        <f>IFERROR(__xludf.DUMMYFUNCTION("""COMPUTED_VALUE"""),234.0)</f>
        <v>234</v>
      </c>
      <c r="D929" s="2">
        <f>IFERROR(__xludf.DUMMYFUNCTION("""COMPUTED_VALUE"""),222.0)</f>
        <v>222</v>
      </c>
      <c r="E929" s="2">
        <f>IFERROR(__xludf.DUMMYFUNCTION("""COMPUTED_VALUE"""),230.0)</f>
        <v>230</v>
      </c>
      <c r="F929" s="2">
        <f>IFERROR(__xludf.DUMMYFUNCTION("""COMPUTED_VALUE"""),7756000.0)</f>
        <v>7756000</v>
      </c>
      <c r="G929" s="2">
        <f t="shared" si="1"/>
        <v>12</v>
      </c>
    </row>
    <row r="930" ht="15.75" customHeight="1">
      <c r="A930" s="1">
        <f>IFERROR(__xludf.DUMMYFUNCTION("""COMPUTED_VALUE"""),45233.66666666667)</f>
        <v>45233.66667</v>
      </c>
      <c r="B930" s="2">
        <f>IFERROR(__xludf.DUMMYFUNCTION("""COMPUTED_VALUE"""),230.0)</f>
        <v>230</v>
      </c>
      <c r="C930" s="2">
        <f>IFERROR(__xludf.DUMMYFUNCTION("""COMPUTED_VALUE"""),244.0)</f>
        <v>244</v>
      </c>
      <c r="D930" s="2">
        <f>IFERROR(__xludf.DUMMYFUNCTION("""COMPUTED_VALUE"""),230.0)</f>
        <v>230</v>
      </c>
      <c r="E930" s="2">
        <f>IFERROR(__xludf.DUMMYFUNCTION("""COMPUTED_VALUE"""),240.0)</f>
        <v>240</v>
      </c>
      <c r="F930" s="2">
        <f>IFERROR(__xludf.DUMMYFUNCTION("""COMPUTED_VALUE"""),1.35334E7)</f>
        <v>13533400</v>
      </c>
      <c r="G930" s="2">
        <f t="shared" si="1"/>
        <v>14</v>
      </c>
    </row>
    <row r="931" ht="15.75" customHeight="1">
      <c r="A931" s="1">
        <f>IFERROR(__xludf.DUMMYFUNCTION("""COMPUTED_VALUE"""),45236.66666666667)</f>
        <v>45236.66667</v>
      </c>
      <c r="B931" s="2">
        <f>IFERROR(__xludf.DUMMYFUNCTION("""COMPUTED_VALUE"""),240.0)</f>
        <v>240</v>
      </c>
      <c r="C931" s="2">
        <f>IFERROR(__xludf.DUMMYFUNCTION("""COMPUTED_VALUE"""),248.0)</f>
        <v>248</v>
      </c>
      <c r="D931" s="2">
        <f>IFERROR(__xludf.DUMMYFUNCTION("""COMPUTED_VALUE"""),240.0)</f>
        <v>240</v>
      </c>
      <c r="E931" s="2">
        <f>IFERROR(__xludf.DUMMYFUNCTION("""COMPUTED_VALUE"""),244.0)</f>
        <v>244</v>
      </c>
      <c r="F931" s="2">
        <f>IFERROR(__xludf.DUMMYFUNCTION("""COMPUTED_VALUE"""),7571500.0)</f>
        <v>7571500</v>
      </c>
      <c r="G931" s="2">
        <f t="shared" si="1"/>
        <v>8</v>
      </c>
    </row>
    <row r="932" ht="15.75" customHeight="1">
      <c r="A932" s="1">
        <f>IFERROR(__xludf.DUMMYFUNCTION("""COMPUTED_VALUE"""),45237.66666666667)</f>
        <v>45237.66667</v>
      </c>
      <c r="B932" s="2">
        <f>IFERROR(__xludf.DUMMYFUNCTION("""COMPUTED_VALUE"""),244.0)</f>
        <v>244</v>
      </c>
      <c r="C932" s="2">
        <f>IFERROR(__xludf.DUMMYFUNCTION("""COMPUTED_VALUE"""),244.0)</f>
        <v>244</v>
      </c>
      <c r="D932" s="2">
        <f>IFERROR(__xludf.DUMMYFUNCTION("""COMPUTED_VALUE"""),234.0)</f>
        <v>234</v>
      </c>
      <c r="E932" s="2">
        <f>IFERROR(__xludf.DUMMYFUNCTION("""COMPUTED_VALUE"""),238.0)</f>
        <v>238</v>
      </c>
      <c r="F932" s="2">
        <f>IFERROR(__xludf.DUMMYFUNCTION("""COMPUTED_VALUE"""),5564000.0)</f>
        <v>5564000</v>
      </c>
      <c r="G932" s="2">
        <f t="shared" si="1"/>
        <v>10</v>
      </c>
    </row>
    <row r="933" ht="15.75" customHeight="1">
      <c r="A933" s="1">
        <f>IFERROR(__xludf.DUMMYFUNCTION("""COMPUTED_VALUE"""),45238.66666666667)</f>
        <v>45238.66667</v>
      </c>
      <c r="B933" s="2">
        <f>IFERROR(__xludf.DUMMYFUNCTION("""COMPUTED_VALUE"""),240.0)</f>
        <v>240</v>
      </c>
      <c r="C933" s="2">
        <f>IFERROR(__xludf.DUMMYFUNCTION("""COMPUTED_VALUE"""),240.0)</f>
        <v>240</v>
      </c>
      <c r="D933" s="2">
        <f>IFERROR(__xludf.DUMMYFUNCTION("""COMPUTED_VALUE"""),232.0)</f>
        <v>232</v>
      </c>
      <c r="E933" s="2">
        <f>IFERROR(__xludf.DUMMYFUNCTION("""COMPUTED_VALUE"""),234.0)</f>
        <v>234</v>
      </c>
      <c r="F933" s="2">
        <f>IFERROR(__xludf.DUMMYFUNCTION("""COMPUTED_VALUE"""),2804000.0)</f>
        <v>2804000</v>
      </c>
      <c r="G933" s="2">
        <f t="shared" si="1"/>
        <v>8</v>
      </c>
    </row>
    <row r="934" ht="15.75" customHeight="1">
      <c r="A934" s="1">
        <f>IFERROR(__xludf.DUMMYFUNCTION("""COMPUTED_VALUE"""),45239.66666666667)</f>
        <v>45239.66667</v>
      </c>
      <c r="B934" s="2">
        <f>IFERROR(__xludf.DUMMYFUNCTION("""COMPUTED_VALUE"""),236.0)</f>
        <v>236</v>
      </c>
      <c r="C934" s="2">
        <f>IFERROR(__xludf.DUMMYFUNCTION("""COMPUTED_VALUE"""),254.0)</f>
        <v>254</v>
      </c>
      <c r="D934" s="2">
        <f>IFERROR(__xludf.DUMMYFUNCTION("""COMPUTED_VALUE"""),236.0)</f>
        <v>236</v>
      </c>
      <c r="E934" s="2">
        <f>IFERROR(__xludf.DUMMYFUNCTION("""COMPUTED_VALUE"""),252.0)</f>
        <v>252</v>
      </c>
      <c r="F934" s="2">
        <f>IFERROR(__xludf.DUMMYFUNCTION("""COMPUTED_VALUE"""),2.63914E7)</f>
        <v>26391400</v>
      </c>
      <c r="G934" s="2">
        <f t="shared" si="1"/>
        <v>20</v>
      </c>
    </row>
    <row r="935" ht="15.75" customHeight="1">
      <c r="A935" s="1">
        <f>IFERROR(__xludf.DUMMYFUNCTION("""COMPUTED_VALUE"""),45240.66666666667)</f>
        <v>45240.66667</v>
      </c>
      <c r="B935" s="2">
        <f>IFERROR(__xludf.DUMMYFUNCTION("""COMPUTED_VALUE"""),254.0)</f>
        <v>254</v>
      </c>
      <c r="C935" s="2">
        <f>IFERROR(__xludf.DUMMYFUNCTION("""COMPUTED_VALUE"""),260.0)</f>
        <v>260</v>
      </c>
      <c r="D935" s="2">
        <f>IFERROR(__xludf.DUMMYFUNCTION("""COMPUTED_VALUE"""),246.0)</f>
        <v>246</v>
      </c>
      <c r="E935" s="2">
        <f>IFERROR(__xludf.DUMMYFUNCTION("""COMPUTED_VALUE"""),246.0)</f>
        <v>246</v>
      </c>
      <c r="F935" s="2">
        <f>IFERROR(__xludf.DUMMYFUNCTION("""COMPUTED_VALUE"""),2.65631E7)</f>
        <v>26563100</v>
      </c>
      <c r="G935" s="2">
        <f t="shared" si="1"/>
        <v>14</v>
      </c>
    </row>
    <row r="936" ht="15.75" customHeight="1">
      <c r="A936" s="1">
        <f>IFERROR(__xludf.DUMMYFUNCTION("""COMPUTED_VALUE"""),45243.66666666667)</f>
        <v>45243.66667</v>
      </c>
      <c r="B936" s="2">
        <f>IFERROR(__xludf.DUMMYFUNCTION("""COMPUTED_VALUE"""),248.0)</f>
        <v>248</v>
      </c>
      <c r="C936" s="2">
        <f>IFERROR(__xludf.DUMMYFUNCTION("""COMPUTED_VALUE"""),250.0)</f>
        <v>250</v>
      </c>
      <c r="D936" s="2">
        <f>IFERROR(__xludf.DUMMYFUNCTION("""COMPUTED_VALUE"""),240.0)</f>
        <v>240</v>
      </c>
      <c r="E936" s="2">
        <f>IFERROR(__xludf.DUMMYFUNCTION("""COMPUTED_VALUE"""),246.0)</f>
        <v>246</v>
      </c>
      <c r="F936" s="2">
        <f>IFERROR(__xludf.DUMMYFUNCTION("""COMPUTED_VALUE"""),1.19826E7)</f>
        <v>11982600</v>
      </c>
      <c r="G936" s="2">
        <f t="shared" si="1"/>
        <v>10</v>
      </c>
    </row>
    <row r="937" ht="15.75" customHeight="1">
      <c r="A937" s="1">
        <f>IFERROR(__xludf.DUMMYFUNCTION("""COMPUTED_VALUE"""),45244.66666666667)</f>
        <v>45244.66667</v>
      </c>
      <c r="B937" s="2">
        <f>IFERROR(__xludf.DUMMYFUNCTION("""COMPUTED_VALUE"""),240.0)</f>
        <v>240</v>
      </c>
      <c r="C937" s="2">
        <f>IFERROR(__xludf.DUMMYFUNCTION("""COMPUTED_VALUE"""),260.0)</f>
        <v>260</v>
      </c>
      <c r="D937" s="2">
        <f>IFERROR(__xludf.DUMMYFUNCTION("""COMPUTED_VALUE"""),240.0)</f>
        <v>240</v>
      </c>
      <c r="E937" s="2">
        <f>IFERROR(__xludf.DUMMYFUNCTION("""COMPUTED_VALUE"""),254.0)</f>
        <v>254</v>
      </c>
      <c r="F937" s="2">
        <f>IFERROR(__xludf.DUMMYFUNCTION("""COMPUTED_VALUE"""),1.80617E7)</f>
        <v>18061700</v>
      </c>
      <c r="G937" s="2">
        <f t="shared" si="1"/>
        <v>20</v>
      </c>
    </row>
    <row r="938" ht="15.75" customHeight="1">
      <c r="A938" s="1">
        <f>IFERROR(__xludf.DUMMYFUNCTION("""COMPUTED_VALUE"""),45245.66666666667)</f>
        <v>45245.66667</v>
      </c>
      <c r="B938" s="2">
        <f>IFERROR(__xludf.DUMMYFUNCTION("""COMPUTED_VALUE"""),260.0)</f>
        <v>260</v>
      </c>
      <c r="C938" s="2">
        <f>IFERROR(__xludf.DUMMYFUNCTION("""COMPUTED_VALUE"""),274.0)</f>
        <v>274</v>
      </c>
      <c r="D938" s="2">
        <f>IFERROR(__xludf.DUMMYFUNCTION("""COMPUTED_VALUE"""),254.0)</f>
        <v>254</v>
      </c>
      <c r="E938" s="2">
        <f>IFERROR(__xludf.DUMMYFUNCTION("""COMPUTED_VALUE"""),264.0)</f>
        <v>264</v>
      </c>
      <c r="F938" s="2">
        <f>IFERROR(__xludf.DUMMYFUNCTION("""COMPUTED_VALUE"""),3.58139E7)</f>
        <v>35813900</v>
      </c>
      <c r="G938" s="2">
        <f t="shared" si="1"/>
        <v>20</v>
      </c>
    </row>
    <row r="939" ht="15.75" customHeight="1">
      <c r="A939" s="1">
        <f>IFERROR(__xludf.DUMMYFUNCTION("""COMPUTED_VALUE"""),45246.66666666667)</f>
        <v>45246.66667</v>
      </c>
      <c r="B939" s="2">
        <f>IFERROR(__xludf.DUMMYFUNCTION("""COMPUTED_VALUE"""),266.0)</f>
        <v>266</v>
      </c>
      <c r="C939" s="2">
        <f>IFERROR(__xludf.DUMMYFUNCTION("""COMPUTED_VALUE"""),270.0)</f>
        <v>270</v>
      </c>
      <c r="D939" s="2">
        <f>IFERROR(__xludf.DUMMYFUNCTION("""COMPUTED_VALUE"""),260.0)</f>
        <v>260</v>
      </c>
      <c r="E939" s="2">
        <f>IFERROR(__xludf.DUMMYFUNCTION("""COMPUTED_VALUE"""),262.0)</f>
        <v>262</v>
      </c>
      <c r="F939" s="2">
        <f>IFERROR(__xludf.DUMMYFUNCTION("""COMPUTED_VALUE"""),1.14799E7)</f>
        <v>11479900</v>
      </c>
      <c r="G939" s="2">
        <f t="shared" si="1"/>
        <v>10</v>
      </c>
    </row>
    <row r="940" ht="15.75" customHeight="1">
      <c r="A940" s="1">
        <f>IFERROR(__xludf.DUMMYFUNCTION("""COMPUTED_VALUE"""),45247.66666666667)</f>
        <v>45247.66667</v>
      </c>
      <c r="B940" s="2">
        <f>IFERROR(__xludf.DUMMYFUNCTION("""COMPUTED_VALUE"""),264.0)</f>
        <v>264</v>
      </c>
      <c r="C940" s="2">
        <f>IFERROR(__xludf.DUMMYFUNCTION("""COMPUTED_VALUE"""),270.0)</f>
        <v>270</v>
      </c>
      <c r="D940" s="2">
        <f>IFERROR(__xludf.DUMMYFUNCTION("""COMPUTED_VALUE"""),260.0)</f>
        <v>260</v>
      </c>
      <c r="E940" s="2">
        <f>IFERROR(__xludf.DUMMYFUNCTION("""COMPUTED_VALUE"""),262.0)</f>
        <v>262</v>
      </c>
      <c r="F940" s="2">
        <f>IFERROR(__xludf.DUMMYFUNCTION("""COMPUTED_VALUE"""),1.23319E7)</f>
        <v>12331900</v>
      </c>
      <c r="G940" s="2">
        <f t="shared" si="1"/>
        <v>10</v>
      </c>
    </row>
    <row r="941" ht="15.75" customHeight="1">
      <c r="A941" s="1">
        <f>IFERROR(__xludf.DUMMYFUNCTION("""COMPUTED_VALUE"""),45250.66666666667)</f>
        <v>45250.66667</v>
      </c>
      <c r="B941" s="2">
        <f>IFERROR(__xludf.DUMMYFUNCTION("""COMPUTED_VALUE"""),264.0)</f>
        <v>264</v>
      </c>
      <c r="C941" s="2">
        <f>IFERROR(__xludf.DUMMYFUNCTION("""COMPUTED_VALUE"""),268.0)</f>
        <v>268</v>
      </c>
      <c r="D941" s="2">
        <f>IFERROR(__xludf.DUMMYFUNCTION("""COMPUTED_VALUE"""),260.0)</f>
        <v>260</v>
      </c>
      <c r="E941" s="2">
        <f>IFERROR(__xludf.DUMMYFUNCTION("""COMPUTED_VALUE"""),260.0)</f>
        <v>260</v>
      </c>
      <c r="F941" s="2">
        <f>IFERROR(__xludf.DUMMYFUNCTION("""COMPUTED_VALUE"""),6870200.0)</f>
        <v>6870200</v>
      </c>
      <c r="G941" s="2">
        <f t="shared" si="1"/>
        <v>8</v>
      </c>
    </row>
    <row r="942" ht="15.75" customHeight="1">
      <c r="A942" s="1">
        <f>IFERROR(__xludf.DUMMYFUNCTION("""COMPUTED_VALUE"""),45251.66666666667)</f>
        <v>45251.66667</v>
      </c>
      <c r="B942" s="2">
        <f>IFERROR(__xludf.DUMMYFUNCTION("""COMPUTED_VALUE"""),262.0)</f>
        <v>262</v>
      </c>
      <c r="C942" s="2">
        <f>IFERROR(__xludf.DUMMYFUNCTION("""COMPUTED_VALUE"""),268.0)</f>
        <v>268</v>
      </c>
      <c r="D942" s="2">
        <f>IFERROR(__xludf.DUMMYFUNCTION("""COMPUTED_VALUE"""),250.0)</f>
        <v>250</v>
      </c>
      <c r="E942" s="2">
        <f>IFERROR(__xludf.DUMMYFUNCTION("""COMPUTED_VALUE"""),250.0)</f>
        <v>250</v>
      </c>
      <c r="F942" s="2">
        <f>IFERROR(__xludf.DUMMYFUNCTION("""COMPUTED_VALUE"""),1.78958E7)</f>
        <v>17895800</v>
      </c>
      <c r="G942" s="2">
        <f t="shared" si="1"/>
        <v>18</v>
      </c>
    </row>
    <row r="943" ht="15.75" customHeight="1">
      <c r="A943" s="1">
        <f>IFERROR(__xludf.DUMMYFUNCTION("""COMPUTED_VALUE"""),45252.66666666667)</f>
        <v>45252.66667</v>
      </c>
      <c r="B943" s="2">
        <f>IFERROR(__xludf.DUMMYFUNCTION("""COMPUTED_VALUE"""),252.0)</f>
        <v>252</v>
      </c>
      <c r="C943" s="2">
        <f>IFERROR(__xludf.DUMMYFUNCTION("""COMPUTED_VALUE"""),254.0)</f>
        <v>254</v>
      </c>
      <c r="D943" s="2">
        <f>IFERROR(__xludf.DUMMYFUNCTION("""COMPUTED_VALUE"""),246.0)</f>
        <v>246</v>
      </c>
      <c r="E943" s="2">
        <f>IFERROR(__xludf.DUMMYFUNCTION("""COMPUTED_VALUE"""),246.0)</f>
        <v>246</v>
      </c>
      <c r="F943" s="2">
        <f>IFERROR(__xludf.DUMMYFUNCTION("""COMPUTED_VALUE"""),1.03751E7)</f>
        <v>10375100</v>
      </c>
      <c r="G943" s="2">
        <f t="shared" si="1"/>
        <v>8</v>
      </c>
    </row>
    <row r="944" ht="15.75" customHeight="1">
      <c r="A944" s="1">
        <f>IFERROR(__xludf.DUMMYFUNCTION("""COMPUTED_VALUE"""),45253.66666666667)</f>
        <v>45253.66667</v>
      </c>
      <c r="B944" s="2">
        <f>IFERROR(__xludf.DUMMYFUNCTION("""COMPUTED_VALUE"""),248.0)</f>
        <v>248</v>
      </c>
      <c r="C944" s="2">
        <f>IFERROR(__xludf.DUMMYFUNCTION("""COMPUTED_VALUE"""),272.0)</f>
        <v>272</v>
      </c>
      <c r="D944" s="2">
        <f>IFERROR(__xludf.DUMMYFUNCTION("""COMPUTED_VALUE"""),240.0)</f>
        <v>240</v>
      </c>
      <c r="E944" s="2">
        <f>IFERROR(__xludf.DUMMYFUNCTION("""COMPUTED_VALUE"""),264.0)</f>
        <v>264</v>
      </c>
      <c r="F944" s="2">
        <f>IFERROR(__xludf.DUMMYFUNCTION("""COMPUTED_VALUE"""),7.01157E7)</f>
        <v>70115700</v>
      </c>
      <c r="G944" s="2">
        <f t="shared" si="1"/>
        <v>32</v>
      </c>
    </row>
    <row r="945" ht="15.75" customHeight="1">
      <c r="A945" s="1">
        <f>IFERROR(__xludf.DUMMYFUNCTION("""COMPUTED_VALUE"""),45254.66666666667)</f>
        <v>45254.66667</v>
      </c>
      <c r="B945" s="2">
        <f>IFERROR(__xludf.DUMMYFUNCTION("""COMPUTED_VALUE"""),264.0)</f>
        <v>264</v>
      </c>
      <c r="C945" s="2">
        <f>IFERROR(__xludf.DUMMYFUNCTION("""COMPUTED_VALUE"""),328.0)</f>
        <v>328</v>
      </c>
      <c r="D945" s="2">
        <f>IFERROR(__xludf.DUMMYFUNCTION("""COMPUTED_VALUE"""),264.0)</f>
        <v>264</v>
      </c>
      <c r="E945" s="2">
        <f>IFERROR(__xludf.DUMMYFUNCTION("""COMPUTED_VALUE"""),310.0)</f>
        <v>310</v>
      </c>
      <c r="F945" s="2">
        <f>IFERROR(__xludf.DUMMYFUNCTION("""COMPUTED_VALUE"""),4.526702E8)</f>
        <v>452670200</v>
      </c>
      <c r="G945" s="2">
        <f t="shared" si="1"/>
        <v>64</v>
      </c>
    </row>
    <row r="946" ht="15.75" customHeight="1">
      <c r="A946" s="1">
        <f>IFERROR(__xludf.DUMMYFUNCTION("""COMPUTED_VALUE"""),45257.66666666667)</f>
        <v>45257.66667</v>
      </c>
      <c r="B946" s="2">
        <f>IFERROR(__xludf.DUMMYFUNCTION("""COMPUTED_VALUE"""),330.0)</f>
        <v>330</v>
      </c>
      <c r="C946" s="2">
        <f>IFERROR(__xludf.DUMMYFUNCTION("""COMPUTED_VALUE"""),370.0)</f>
        <v>370</v>
      </c>
      <c r="D946" s="2">
        <f>IFERROR(__xludf.DUMMYFUNCTION("""COMPUTED_VALUE"""),302.0)</f>
        <v>302</v>
      </c>
      <c r="E946" s="2">
        <f>IFERROR(__xludf.DUMMYFUNCTION("""COMPUTED_VALUE"""),306.0)</f>
        <v>306</v>
      </c>
      <c r="F946" s="2">
        <f>IFERROR(__xludf.DUMMYFUNCTION("""COMPUTED_VALUE"""),2.801708E8)</f>
        <v>280170800</v>
      </c>
      <c r="G946" s="2">
        <f t="shared" si="1"/>
        <v>68</v>
      </c>
    </row>
    <row r="947" ht="15.75" customHeight="1">
      <c r="A947" s="1">
        <f>IFERROR(__xludf.DUMMYFUNCTION("""COMPUTED_VALUE"""),45258.66666666667)</f>
        <v>45258.66667</v>
      </c>
      <c r="B947" s="2">
        <f>IFERROR(__xludf.DUMMYFUNCTION("""COMPUTED_VALUE"""),304.0)</f>
        <v>304</v>
      </c>
      <c r="C947" s="2">
        <f>IFERROR(__xludf.DUMMYFUNCTION("""COMPUTED_VALUE"""),314.0)</f>
        <v>314</v>
      </c>
      <c r="D947" s="2">
        <f>IFERROR(__xludf.DUMMYFUNCTION("""COMPUTED_VALUE"""),296.0)</f>
        <v>296</v>
      </c>
      <c r="E947" s="2">
        <f>IFERROR(__xludf.DUMMYFUNCTION("""COMPUTED_VALUE"""),298.0)</f>
        <v>298</v>
      </c>
      <c r="F947" s="2">
        <f>IFERROR(__xludf.DUMMYFUNCTION("""COMPUTED_VALUE"""),6.75967E7)</f>
        <v>67596700</v>
      </c>
      <c r="G947" s="2">
        <f t="shared" si="1"/>
        <v>18</v>
      </c>
    </row>
    <row r="948" ht="15.75" customHeight="1">
      <c r="A948" s="1">
        <f>IFERROR(__xludf.DUMMYFUNCTION("""COMPUTED_VALUE"""),45259.66666666667)</f>
        <v>45259.66667</v>
      </c>
      <c r="B948" s="2">
        <f>IFERROR(__xludf.DUMMYFUNCTION("""COMPUTED_VALUE"""),300.0)</f>
        <v>300</v>
      </c>
      <c r="C948" s="2">
        <f>IFERROR(__xludf.DUMMYFUNCTION("""COMPUTED_VALUE"""),304.0)</f>
        <v>304</v>
      </c>
      <c r="D948" s="2">
        <f>IFERROR(__xludf.DUMMYFUNCTION("""COMPUTED_VALUE"""),292.0)</f>
        <v>292</v>
      </c>
      <c r="E948" s="2">
        <f>IFERROR(__xludf.DUMMYFUNCTION("""COMPUTED_VALUE"""),296.0)</f>
        <v>296</v>
      </c>
      <c r="F948" s="2">
        <f>IFERROR(__xludf.DUMMYFUNCTION("""COMPUTED_VALUE"""),3.27287E7)</f>
        <v>32728700</v>
      </c>
      <c r="G948" s="2">
        <f t="shared" si="1"/>
        <v>12</v>
      </c>
    </row>
    <row r="949" ht="15.75" customHeight="1">
      <c r="A949" s="1">
        <f>IFERROR(__xludf.DUMMYFUNCTION("""COMPUTED_VALUE"""),45260.66666666667)</f>
        <v>45260.66667</v>
      </c>
      <c r="B949" s="2">
        <f>IFERROR(__xludf.DUMMYFUNCTION("""COMPUTED_VALUE"""),298.0)</f>
        <v>298</v>
      </c>
      <c r="C949" s="2">
        <f>IFERROR(__xludf.DUMMYFUNCTION("""COMPUTED_VALUE"""),312.0)</f>
        <v>312</v>
      </c>
      <c r="D949" s="2">
        <f>IFERROR(__xludf.DUMMYFUNCTION("""COMPUTED_VALUE"""),292.0)</f>
        <v>292</v>
      </c>
      <c r="E949" s="2">
        <f>IFERROR(__xludf.DUMMYFUNCTION("""COMPUTED_VALUE"""),294.0)</f>
        <v>294</v>
      </c>
      <c r="F949" s="2">
        <f>IFERROR(__xludf.DUMMYFUNCTION("""COMPUTED_VALUE"""),6.03414E7)</f>
        <v>60341400</v>
      </c>
      <c r="G949" s="2">
        <f t="shared" si="1"/>
        <v>20</v>
      </c>
    </row>
    <row r="950" ht="15.75" customHeight="1">
      <c r="A950" s="1">
        <f>IFERROR(__xludf.DUMMYFUNCTION("""COMPUTED_VALUE"""),45261.66666666667)</f>
        <v>45261.66667</v>
      </c>
      <c r="B950" s="2">
        <f>IFERROR(__xludf.DUMMYFUNCTION("""COMPUTED_VALUE"""),294.0)</f>
        <v>294</v>
      </c>
      <c r="C950" s="2">
        <f>IFERROR(__xludf.DUMMYFUNCTION("""COMPUTED_VALUE"""),316.0)</f>
        <v>316</v>
      </c>
      <c r="D950" s="2">
        <f>IFERROR(__xludf.DUMMYFUNCTION("""COMPUTED_VALUE"""),286.0)</f>
        <v>286</v>
      </c>
      <c r="E950" s="2">
        <f>IFERROR(__xludf.DUMMYFUNCTION("""COMPUTED_VALUE"""),312.0)</f>
        <v>312</v>
      </c>
      <c r="F950" s="2">
        <f>IFERROR(__xludf.DUMMYFUNCTION("""COMPUTED_VALUE"""),1.041392E8)</f>
        <v>104139200</v>
      </c>
      <c r="G950" s="2">
        <f t="shared" si="1"/>
        <v>30</v>
      </c>
    </row>
    <row r="951" ht="15.75" customHeight="1">
      <c r="A951" s="1">
        <f>IFERROR(__xludf.DUMMYFUNCTION("""COMPUTED_VALUE"""),45264.66666666667)</f>
        <v>45264.66667</v>
      </c>
      <c r="B951" s="2">
        <f>IFERROR(__xludf.DUMMYFUNCTION("""COMPUTED_VALUE"""),310.0)</f>
        <v>310</v>
      </c>
      <c r="C951" s="2">
        <f>IFERROR(__xludf.DUMMYFUNCTION("""COMPUTED_VALUE"""),338.0)</f>
        <v>338</v>
      </c>
      <c r="D951" s="2">
        <f>IFERROR(__xludf.DUMMYFUNCTION("""COMPUTED_VALUE"""),310.0)</f>
        <v>310</v>
      </c>
      <c r="E951" s="2">
        <f>IFERROR(__xludf.DUMMYFUNCTION("""COMPUTED_VALUE"""),314.0)</f>
        <v>314</v>
      </c>
      <c r="F951" s="2">
        <f>IFERROR(__xludf.DUMMYFUNCTION("""COMPUTED_VALUE"""),1.175839E8)</f>
        <v>117583900</v>
      </c>
      <c r="G951" s="2">
        <f t="shared" si="1"/>
        <v>28</v>
      </c>
    </row>
    <row r="952" ht="15.75" customHeight="1">
      <c r="A952" s="1">
        <f>IFERROR(__xludf.DUMMYFUNCTION("""COMPUTED_VALUE"""),45265.66666666667)</f>
        <v>45265.66667</v>
      </c>
      <c r="B952" s="2">
        <f>IFERROR(__xludf.DUMMYFUNCTION("""COMPUTED_VALUE"""),314.0)</f>
        <v>314</v>
      </c>
      <c r="C952" s="2">
        <f>IFERROR(__xludf.DUMMYFUNCTION("""COMPUTED_VALUE"""),324.0)</f>
        <v>324</v>
      </c>
      <c r="D952" s="2">
        <f>IFERROR(__xludf.DUMMYFUNCTION("""COMPUTED_VALUE"""),306.0)</f>
        <v>306</v>
      </c>
      <c r="E952" s="2">
        <f>IFERROR(__xludf.DUMMYFUNCTION("""COMPUTED_VALUE"""),314.0)</f>
        <v>314</v>
      </c>
      <c r="F952" s="2">
        <f>IFERROR(__xludf.DUMMYFUNCTION("""COMPUTED_VALUE"""),5.13839E7)</f>
        <v>51383900</v>
      </c>
      <c r="G952" s="2">
        <f t="shared" si="1"/>
        <v>18</v>
      </c>
    </row>
    <row r="953" ht="15.75" customHeight="1">
      <c r="A953" s="1">
        <f>IFERROR(__xludf.DUMMYFUNCTION("""COMPUTED_VALUE"""),45266.66666666667)</f>
        <v>45266.66667</v>
      </c>
      <c r="B953" s="2">
        <f>IFERROR(__xludf.DUMMYFUNCTION("""COMPUTED_VALUE"""),318.0)</f>
        <v>318</v>
      </c>
      <c r="C953" s="2">
        <f>IFERROR(__xludf.DUMMYFUNCTION("""COMPUTED_VALUE"""),320.0)</f>
        <v>320</v>
      </c>
      <c r="D953" s="2">
        <f>IFERROR(__xludf.DUMMYFUNCTION("""COMPUTED_VALUE"""),306.0)</f>
        <v>306</v>
      </c>
      <c r="E953" s="2">
        <f>IFERROR(__xludf.DUMMYFUNCTION("""COMPUTED_VALUE"""),308.0)</f>
        <v>308</v>
      </c>
      <c r="F953" s="2">
        <f>IFERROR(__xludf.DUMMYFUNCTION("""COMPUTED_VALUE"""),2.32186E7)</f>
        <v>23218600</v>
      </c>
      <c r="G953" s="2">
        <f t="shared" si="1"/>
        <v>14</v>
      </c>
    </row>
    <row r="954" ht="15.75" customHeight="1">
      <c r="A954" s="1">
        <f>IFERROR(__xludf.DUMMYFUNCTION("""COMPUTED_VALUE"""),45267.66666666667)</f>
        <v>45267.66667</v>
      </c>
      <c r="B954" s="2">
        <f>IFERROR(__xludf.DUMMYFUNCTION("""COMPUTED_VALUE"""),308.0)</f>
        <v>308</v>
      </c>
      <c r="C954" s="2">
        <f>IFERROR(__xludf.DUMMYFUNCTION("""COMPUTED_VALUE"""),314.0)</f>
        <v>314</v>
      </c>
      <c r="D954" s="2">
        <f>IFERROR(__xludf.DUMMYFUNCTION("""COMPUTED_VALUE"""),296.0)</f>
        <v>296</v>
      </c>
      <c r="E954" s="2">
        <f>IFERROR(__xludf.DUMMYFUNCTION("""COMPUTED_VALUE"""),298.0)</f>
        <v>298</v>
      </c>
      <c r="F954" s="2">
        <f>IFERROR(__xludf.DUMMYFUNCTION("""COMPUTED_VALUE"""),2.99739E7)</f>
        <v>29973900</v>
      </c>
      <c r="G954" s="2">
        <f t="shared" si="1"/>
        <v>18</v>
      </c>
    </row>
    <row r="955" ht="15.75" customHeight="1">
      <c r="A955" s="1">
        <f>IFERROR(__xludf.DUMMYFUNCTION("""COMPUTED_VALUE"""),45268.66666666667)</f>
        <v>45268.66667</v>
      </c>
      <c r="B955" s="2">
        <f>IFERROR(__xludf.DUMMYFUNCTION("""COMPUTED_VALUE"""),298.0)</f>
        <v>298</v>
      </c>
      <c r="C955" s="2">
        <f>IFERROR(__xludf.DUMMYFUNCTION("""COMPUTED_VALUE"""),304.0)</f>
        <v>304</v>
      </c>
      <c r="D955" s="2">
        <f>IFERROR(__xludf.DUMMYFUNCTION("""COMPUTED_VALUE"""),290.0)</f>
        <v>290</v>
      </c>
      <c r="E955" s="2">
        <f>IFERROR(__xludf.DUMMYFUNCTION("""COMPUTED_VALUE"""),292.0)</f>
        <v>292</v>
      </c>
      <c r="F955" s="2">
        <f>IFERROR(__xludf.DUMMYFUNCTION("""COMPUTED_VALUE"""),3.74336E7)</f>
        <v>37433600</v>
      </c>
      <c r="G955" s="2">
        <f t="shared" si="1"/>
        <v>14</v>
      </c>
    </row>
    <row r="956" ht="15.75" customHeight="1">
      <c r="A956" s="1">
        <f>IFERROR(__xludf.DUMMYFUNCTION("""COMPUTED_VALUE"""),45271.66666666667)</f>
        <v>45271.66667</v>
      </c>
      <c r="B956" s="2">
        <f>IFERROR(__xludf.DUMMYFUNCTION("""COMPUTED_VALUE"""),296.0)</f>
        <v>296</v>
      </c>
      <c r="C956" s="2">
        <f>IFERROR(__xludf.DUMMYFUNCTION("""COMPUTED_VALUE"""),322.0)</f>
        <v>322</v>
      </c>
      <c r="D956" s="2">
        <f>IFERROR(__xludf.DUMMYFUNCTION("""COMPUTED_VALUE"""),292.0)</f>
        <v>292</v>
      </c>
      <c r="E956" s="2">
        <f>IFERROR(__xludf.DUMMYFUNCTION("""COMPUTED_VALUE"""),304.0)</f>
        <v>304</v>
      </c>
      <c r="F956" s="2">
        <f>IFERROR(__xludf.DUMMYFUNCTION("""COMPUTED_VALUE"""),1.246963E8)</f>
        <v>124696300</v>
      </c>
      <c r="G956" s="2">
        <f t="shared" si="1"/>
        <v>30</v>
      </c>
    </row>
    <row r="957" ht="15.75" customHeight="1">
      <c r="A957" s="1">
        <f>IFERROR(__xludf.DUMMYFUNCTION("""COMPUTED_VALUE"""),45272.66666666667)</f>
        <v>45272.66667</v>
      </c>
      <c r="B957" s="2">
        <f>IFERROR(__xludf.DUMMYFUNCTION("""COMPUTED_VALUE"""),306.0)</f>
        <v>306</v>
      </c>
      <c r="C957" s="2">
        <f>IFERROR(__xludf.DUMMYFUNCTION("""COMPUTED_VALUE"""),376.0)</f>
        <v>376</v>
      </c>
      <c r="D957" s="2">
        <f>IFERROR(__xludf.DUMMYFUNCTION("""COMPUTED_VALUE"""),304.0)</f>
        <v>304</v>
      </c>
      <c r="E957" s="2">
        <f>IFERROR(__xludf.DUMMYFUNCTION("""COMPUTED_VALUE"""),342.0)</f>
        <v>342</v>
      </c>
      <c r="F957" s="2">
        <f>IFERROR(__xludf.DUMMYFUNCTION("""COMPUTED_VALUE"""),8.150804E8)</f>
        <v>815080400</v>
      </c>
      <c r="G957" s="2">
        <f t="shared" si="1"/>
        <v>72</v>
      </c>
    </row>
    <row r="958" ht="15.75" customHeight="1">
      <c r="A958" s="1">
        <f>IFERROR(__xludf.DUMMYFUNCTION("""COMPUTED_VALUE"""),45273.66666666667)</f>
        <v>45273.66667</v>
      </c>
      <c r="B958" s="2">
        <f>IFERROR(__xludf.DUMMYFUNCTION("""COMPUTED_VALUE"""),342.0)</f>
        <v>342</v>
      </c>
      <c r="C958" s="2">
        <f>IFERROR(__xludf.DUMMYFUNCTION("""COMPUTED_VALUE"""),360.0)</f>
        <v>360</v>
      </c>
      <c r="D958" s="2">
        <f>IFERROR(__xludf.DUMMYFUNCTION("""COMPUTED_VALUE"""),320.0)</f>
        <v>320</v>
      </c>
      <c r="E958" s="2">
        <f>IFERROR(__xludf.DUMMYFUNCTION("""COMPUTED_VALUE"""),322.0)</f>
        <v>322</v>
      </c>
      <c r="F958" s="2">
        <f>IFERROR(__xludf.DUMMYFUNCTION("""COMPUTED_VALUE"""),1.936066E8)</f>
        <v>193606600</v>
      </c>
      <c r="G958" s="2">
        <f t="shared" si="1"/>
        <v>40</v>
      </c>
    </row>
    <row r="959" ht="15.75" customHeight="1">
      <c r="A959" s="1">
        <f>IFERROR(__xludf.DUMMYFUNCTION("""COMPUTED_VALUE"""),45274.66666666667)</f>
        <v>45274.66667</v>
      </c>
      <c r="B959" s="2">
        <f>IFERROR(__xludf.DUMMYFUNCTION("""COMPUTED_VALUE"""),326.0)</f>
        <v>326</v>
      </c>
      <c r="C959" s="2">
        <f>IFERROR(__xludf.DUMMYFUNCTION("""COMPUTED_VALUE"""),354.0)</f>
        <v>354</v>
      </c>
      <c r="D959" s="2">
        <f>IFERROR(__xludf.DUMMYFUNCTION("""COMPUTED_VALUE"""),326.0)</f>
        <v>326</v>
      </c>
      <c r="E959" s="2">
        <f>IFERROR(__xludf.DUMMYFUNCTION("""COMPUTED_VALUE"""),346.0)</f>
        <v>346</v>
      </c>
      <c r="F959" s="2">
        <f>IFERROR(__xludf.DUMMYFUNCTION("""COMPUTED_VALUE"""),2.072475E8)</f>
        <v>207247500</v>
      </c>
      <c r="G959" s="2">
        <f t="shared" si="1"/>
        <v>32</v>
      </c>
    </row>
    <row r="960" ht="15.75" customHeight="1">
      <c r="A960" s="1">
        <f>IFERROR(__xludf.DUMMYFUNCTION("""COMPUTED_VALUE"""),45275.66666666667)</f>
        <v>45275.66667</v>
      </c>
      <c r="B960" s="2">
        <f>IFERROR(__xludf.DUMMYFUNCTION("""COMPUTED_VALUE"""),348.0)</f>
        <v>348</v>
      </c>
      <c r="C960" s="2">
        <f>IFERROR(__xludf.DUMMYFUNCTION("""COMPUTED_VALUE"""),356.0)</f>
        <v>356</v>
      </c>
      <c r="D960" s="2">
        <f>IFERROR(__xludf.DUMMYFUNCTION("""COMPUTED_VALUE"""),332.0)</f>
        <v>332</v>
      </c>
      <c r="E960" s="2">
        <f>IFERROR(__xludf.DUMMYFUNCTION("""COMPUTED_VALUE"""),334.0)</f>
        <v>334</v>
      </c>
      <c r="F960" s="2">
        <f>IFERROR(__xludf.DUMMYFUNCTION("""COMPUTED_VALUE"""),7.88423E7)</f>
        <v>78842300</v>
      </c>
      <c r="G960" s="2">
        <f t="shared" si="1"/>
        <v>24</v>
      </c>
    </row>
    <row r="961" ht="15.75" customHeight="1">
      <c r="A961" s="1">
        <f>IFERROR(__xludf.DUMMYFUNCTION("""COMPUTED_VALUE"""),45278.66666666667)</f>
        <v>45278.66667</v>
      </c>
      <c r="B961" s="2">
        <f>IFERROR(__xludf.DUMMYFUNCTION("""COMPUTED_VALUE"""),334.0)</f>
        <v>334</v>
      </c>
      <c r="C961" s="2">
        <f>IFERROR(__xludf.DUMMYFUNCTION("""COMPUTED_VALUE"""),342.0)</f>
        <v>342</v>
      </c>
      <c r="D961" s="2">
        <f>IFERROR(__xludf.DUMMYFUNCTION("""COMPUTED_VALUE"""),310.0)</f>
        <v>310</v>
      </c>
      <c r="E961" s="2">
        <f>IFERROR(__xludf.DUMMYFUNCTION("""COMPUTED_VALUE"""),316.0)</f>
        <v>316</v>
      </c>
      <c r="F961" s="2">
        <f>IFERROR(__xludf.DUMMYFUNCTION("""COMPUTED_VALUE"""),5.74524E7)</f>
        <v>57452400</v>
      </c>
      <c r="G961" s="2">
        <f t="shared" si="1"/>
        <v>32</v>
      </c>
    </row>
    <row r="962" ht="15.75" customHeight="1">
      <c r="A962" s="1">
        <f>IFERROR(__xludf.DUMMYFUNCTION("""COMPUTED_VALUE"""),45279.66666666667)</f>
        <v>45279.66667</v>
      </c>
      <c r="B962" s="2">
        <f>IFERROR(__xludf.DUMMYFUNCTION("""COMPUTED_VALUE"""),316.0)</f>
        <v>316</v>
      </c>
      <c r="C962" s="2">
        <f>IFERROR(__xludf.DUMMYFUNCTION("""COMPUTED_VALUE"""),334.0)</f>
        <v>334</v>
      </c>
      <c r="D962" s="2">
        <f>IFERROR(__xludf.DUMMYFUNCTION("""COMPUTED_VALUE"""),316.0)</f>
        <v>316</v>
      </c>
      <c r="E962" s="2">
        <f>IFERROR(__xludf.DUMMYFUNCTION("""COMPUTED_VALUE"""),328.0)</f>
        <v>328</v>
      </c>
      <c r="F962" s="2">
        <f>IFERROR(__xludf.DUMMYFUNCTION("""COMPUTED_VALUE"""),4.529E7)</f>
        <v>45290000</v>
      </c>
      <c r="G962" s="2">
        <f t="shared" si="1"/>
        <v>18</v>
      </c>
    </row>
    <row r="963" ht="15.75" customHeight="1">
      <c r="A963" s="1">
        <f>IFERROR(__xludf.DUMMYFUNCTION("""COMPUTED_VALUE"""),45280.66666666667)</f>
        <v>45280.66667</v>
      </c>
      <c r="B963" s="2">
        <f>IFERROR(__xludf.DUMMYFUNCTION("""COMPUTED_VALUE"""),330.0)</f>
        <v>330</v>
      </c>
      <c r="C963" s="2">
        <f>IFERROR(__xludf.DUMMYFUNCTION("""COMPUTED_VALUE"""),340.0)</f>
        <v>340</v>
      </c>
      <c r="D963" s="2">
        <f>IFERROR(__xludf.DUMMYFUNCTION("""COMPUTED_VALUE"""),320.0)</f>
        <v>320</v>
      </c>
      <c r="E963" s="2">
        <f>IFERROR(__xludf.DUMMYFUNCTION("""COMPUTED_VALUE"""),322.0)</f>
        <v>322</v>
      </c>
      <c r="F963" s="2">
        <f>IFERROR(__xludf.DUMMYFUNCTION("""COMPUTED_VALUE"""),6.79098E7)</f>
        <v>67909800</v>
      </c>
      <c r="G963" s="2">
        <f t="shared" si="1"/>
        <v>20</v>
      </c>
    </row>
    <row r="964" ht="15.75" customHeight="1">
      <c r="A964" s="1">
        <f>IFERROR(__xludf.DUMMYFUNCTION("""COMPUTED_VALUE"""),45281.66666666667)</f>
        <v>45281.66667</v>
      </c>
      <c r="B964" s="2">
        <f>IFERROR(__xludf.DUMMYFUNCTION("""COMPUTED_VALUE"""),322.0)</f>
        <v>322</v>
      </c>
      <c r="C964" s="2">
        <f>IFERROR(__xludf.DUMMYFUNCTION("""COMPUTED_VALUE"""),330.0)</f>
        <v>330</v>
      </c>
      <c r="D964" s="2">
        <f>IFERROR(__xludf.DUMMYFUNCTION("""COMPUTED_VALUE"""),316.0)</f>
        <v>316</v>
      </c>
      <c r="E964" s="2">
        <f>IFERROR(__xludf.DUMMYFUNCTION("""COMPUTED_VALUE"""),320.0)</f>
        <v>320</v>
      </c>
      <c r="F964" s="2">
        <f>IFERROR(__xludf.DUMMYFUNCTION("""COMPUTED_VALUE"""),3.21686E7)</f>
        <v>32168600</v>
      </c>
      <c r="G964" s="2">
        <f t="shared" si="1"/>
        <v>14</v>
      </c>
    </row>
    <row r="965" ht="15.75" customHeight="1">
      <c r="A965" s="1">
        <f>IFERROR(__xludf.DUMMYFUNCTION("""COMPUTED_VALUE"""),45282.66666666667)</f>
        <v>45282.66667</v>
      </c>
      <c r="B965" s="2">
        <f>IFERROR(__xludf.DUMMYFUNCTION("""COMPUTED_VALUE"""),320.0)</f>
        <v>320</v>
      </c>
      <c r="C965" s="2">
        <f>IFERROR(__xludf.DUMMYFUNCTION("""COMPUTED_VALUE"""),334.0)</f>
        <v>334</v>
      </c>
      <c r="D965" s="2">
        <f>IFERROR(__xludf.DUMMYFUNCTION("""COMPUTED_VALUE"""),318.0)</f>
        <v>318</v>
      </c>
      <c r="E965" s="2">
        <f>IFERROR(__xludf.DUMMYFUNCTION("""COMPUTED_VALUE"""),320.0)</f>
        <v>320</v>
      </c>
      <c r="F965" s="2">
        <f>IFERROR(__xludf.DUMMYFUNCTION("""COMPUTED_VALUE"""),5.14198E7)</f>
        <v>51419800</v>
      </c>
      <c r="G965" s="2">
        <f t="shared" si="1"/>
        <v>16</v>
      </c>
    </row>
    <row r="966" ht="15.75" customHeight="1">
      <c r="A966" s="1">
        <f>IFERROR(__xludf.DUMMYFUNCTION("""COMPUTED_VALUE"""),45287.66666666667)</f>
        <v>45287.66667</v>
      </c>
      <c r="B966" s="2">
        <f>IFERROR(__xludf.DUMMYFUNCTION("""COMPUTED_VALUE"""),322.0)</f>
        <v>322</v>
      </c>
      <c r="C966" s="2">
        <f>IFERROR(__xludf.DUMMYFUNCTION("""COMPUTED_VALUE"""),326.0)</f>
        <v>326</v>
      </c>
      <c r="D966" s="2">
        <f>IFERROR(__xludf.DUMMYFUNCTION("""COMPUTED_VALUE"""),316.0)</f>
        <v>316</v>
      </c>
      <c r="E966" s="2">
        <f>IFERROR(__xludf.DUMMYFUNCTION("""COMPUTED_VALUE"""),318.0)</f>
        <v>318</v>
      </c>
      <c r="F966" s="2">
        <f>IFERROR(__xludf.DUMMYFUNCTION("""COMPUTED_VALUE"""),2.30621E7)</f>
        <v>23062100</v>
      </c>
      <c r="G966" s="2">
        <f t="shared" si="1"/>
        <v>10</v>
      </c>
    </row>
    <row r="967" ht="15.75" customHeight="1">
      <c r="A967" s="1">
        <f>IFERROR(__xludf.DUMMYFUNCTION("""COMPUTED_VALUE"""),45288.66666666667)</f>
        <v>45288.66667</v>
      </c>
      <c r="B967" s="2">
        <f>IFERROR(__xludf.DUMMYFUNCTION("""COMPUTED_VALUE"""),320.0)</f>
        <v>320</v>
      </c>
      <c r="C967" s="2">
        <f>IFERROR(__xludf.DUMMYFUNCTION("""COMPUTED_VALUE"""),320.0)</f>
        <v>320</v>
      </c>
      <c r="D967" s="2">
        <f>IFERROR(__xludf.DUMMYFUNCTION("""COMPUTED_VALUE"""),312.0)</f>
        <v>312</v>
      </c>
      <c r="E967" s="2">
        <f>IFERROR(__xludf.DUMMYFUNCTION("""COMPUTED_VALUE"""),316.0)</f>
        <v>316</v>
      </c>
      <c r="F967" s="2">
        <f>IFERROR(__xludf.DUMMYFUNCTION("""COMPUTED_VALUE"""),1.4702E7)</f>
        <v>14702000</v>
      </c>
      <c r="G967" s="2">
        <f t="shared" si="1"/>
        <v>8</v>
      </c>
    </row>
    <row r="968" ht="15.75" customHeight="1">
      <c r="A968" s="1">
        <f>IFERROR(__xludf.DUMMYFUNCTION("""COMPUTED_VALUE"""),45289.66666666667)</f>
        <v>45289.66667</v>
      </c>
      <c r="B968" s="2">
        <f>IFERROR(__xludf.DUMMYFUNCTION("""COMPUTED_VALUE"""),318.0)</f>
        <v>318</v>
      </c>
      <c r="C968" s="2">
        <f>IFERROR(__xludf.DUMMYFUNCTION("""COMPUTED_VALUE"""),320.0)</f>
        <v>320</v>
      </c>
      <c r="D968" s="2">
        <f>IFERROR(__xludf.DUMMYFUNCTION("""COMPUTED_VALUE"""),310.0)</f>
        <v>310</v>
      </c>
      <c r="E968" s="2">
        <f>IFERROR(__xludf.DUMMYFUNCTION("""COMPUTED_VALUE"""),310.0)</f>
        <v>310</v>
      </c>
      <c r="F968" s="2">
        <f>IFERROR(__xludf.DUMMYFUNCTION("""COMPUTED_VALUE"""),1.68759E7)</f>
        <v>16875900</v>
      </c>
      <c r="G968" s="2">
        <f t="shared" si="1"/>
        <v>10</v>
      </c>
    </row>
    <row r="969" ht="15.75" customHeight="1">
      <c r="A969" s="1">
        <f>IFERROR(__xludf.DUMMYFUNCTION("""COMPUTED_VALUE"""),45293.66666666667)</f>
        <v>45293.66667</v>
      </c>
      <c r="B969" s="2">
        <f>IFERROR(__xludf.DUMMYFUNCTION("""COMPUTED_VALUE"""),310.0)</f>
        <v>310</v>
      </c>
      <c r="C969" s="2">
        <f>IFERROR(__xludf.DUMMYFUNCTION("""COMPUTED_VALUE"""),322.0)</f>
        <v>322</v>
      </c>
      <c r="D969" s="2">
        <f>IFERROR(__xludf.DUMMYFUNCTION("""COMPUTED_VALUE"""),310.0)</f>
        <v>310</v>
      </c>
      <c r="E969" s="2">
        <f>IFERROR(__xludf.DUMMYFUNCTION("""COMPUTED_VALUE"""),318.0)</f>
        <v>318</v>
      </c>
      <c r="F969" s="2">
        <f>IFERROR(__xludf.DUMMYFUNCTION("""COMPUTED_VALUE"""),2.7125E7)</f>
        <v>27125000</v>
      </c>
      <c r="G969" s="2">
        <f t="shared" si="1"/>
        <v>12</v>
      </c>
    </row>
    <row r="970" ht="15.75" customHeight="1">
      <c r="A970" s="1">
        <f>IFERROR(__xludf.DUMMYFUNCTION("""COMPUTED_VALUE"""),45294.66666666667)</f>
        <v>45294.66667</v>
      </c>
      <c r="B970" s="2">
        <f>IFERROR(__xludf.DUMMYFUNCTION("""COMPUTED_VALUE"""),316.0)</f>
        <v>316</v>
      </c>
      <c r="C970" s="2">
        <f>IFERROR(__xludf.DUMMYFUNCTION("""COMPUTED_VALUE"""),334.0)</f>
        <v>334</v>
      </c>
      <c r="D970" s="2">
        <f>IFERROR(__xludf.DUMMYFUNCTION("""COMPUTED_VALUE"""),316.0)</f>
        <v>316</v>
      </c>
      <c r="E970" s="2">
        <f>IFERROR(__xludf.DUMMYFUNCTION("""COMPUTED_VALUE"""),330.0)</f>
        <v>330</v>
      </c>
      <c r="F970" s="2">
        <f>IFERROR(__xludf.DUMMYFUNCTION("""COMPUTED_VALUE"""),7.03214E7)</f>
        <v>70321400</v>
      </c>
      <c r="G970" s="2">
        <f t="shared" si="1"/>
        <v>18</v>
      </c>
    </row>
    <row r="971" ht="15.75" customHeight="1">
      <c r="A971" s="1">
        <f>IFERROR(__xludf.DUMMYFUNCTION("""COMPUTED_VALUE"""),45295.66666666667)</f>
        <v>45295.66667</v>
      </c>
      <c r="B971" s="2">
        <f>IFERROR(__xludf.DUMMYFUNCTION("""COMPUTED_VALUE"""),332.0)</f>
        <v>332</v>
      </c>
      <c r="C971" s="2">
        <f>IFERROR(__xludf.DUMMYFUNCTION("""COMPUTED_VALUE"""),336.0)</f>
        <v>336</v>
      </c>
      <c r="D971" s="2">
        <f>IFERROR(__xludf.DUMMYFUNCTION("""COMPUTED_VALUE"""),326.0)</f>
        <v>326</v>
      </c>
      <c r="E971" s="2">
        <f>IFERROR(__xludf.DUMMYFUNCTION("""COMPUTED_VALUE"""),328.0)</f>
        <v>328</v>
      </c>
      <c r="F971" s="2">
        <f>IFERROR(__xludf.DUMMYFUNCTION("""COMPUTED_VALUE"""),3.73871E7)</f>
        <v>37387100</v>
      </c>
      <c r="G971" s="2">
        <f t="shared" si="1"/>
        <v>10</v>
      </c>
    </row>
    <row r="972" ht="15.75" customHeight="1">
      <c r="A972" s="1">
        <f>IFERROR(__xludf.DUMMYFUNCTION("""COMPUTED_VALUE"""),45296.66666666667)</f>
        <v>45296.66667</v>
      </c>
      <c r="B972" s="2">
        <f>IFERROR(__xludf.DUMMYFUNCTION("""COMPUTED_VALUE"""),330.0)</f>
        <v>330</v>
      </c>
      <c r="C972" s="2">
        <f>IFERROR(__xludf.DUMMYFUNCTION("""COMPUTED_VALUE"""),338.0)</f>
        <v>338</v>
      </c>
      <c r="D972" s="2">
        <f>IFERROR(__xludf.DUMMYFUNCTION("""COMPUTED_VALUE"""),328.0)</f>
        <v>328</v>
      </c>
      <c r="E972" s="2">
        <f>IFERROR(__xludf.DUMMYFUNCTION("""COMPUTED_VALUE"""),328.0)</f>
        <v>328</v>
      </c>
      <c r="F972" s="2">
        <f>IFERROR(__xludf.DUMMYFUNCTION("""COMPUTED_VALUE"""),2.75408E7)</f>
        <v>27540800</v>
      </c>
      <c r="G972" s="2">
        <f t="shared" si="1"/>
        <v>10</v>
      </c>
    </row>
    <row r="973" ht="15.75" customHeight="1">
      <c r="A973" s="1">
        <f>IFERROR(__xludf.DUMMYFUNCTION("""COMPUTED_VALUE"""),45299.66666666667)</f>
        <v>45299.66667</v>
      </c>
      <c r="B973" s="2">
        <f>IFERROR(__xludf.DUMMYFUNCTION("""COMPUTED_VALUE"""),330.0)</f>
        <v>330</v>
      </c>
      <c r="C973" s="2">
        <f>IFERROR(__xludf.DUMMYFUNCTION("""COMPUTED_VALUE"""),338.0)</f>
        <v>338</v>
      </c>
      <c r="D973" s="2">
        <f>IFERROR(__xludf.DUMMYFUNCTION("""COMPUTED_VALUE"""),326.0)</f>
        <v>326</v>
      </c>
      <c r="E973" s="2">
        <f>IFERROR(__xludf.DUMMYFUNCTION("""COMPUTED_VALUE"""),330.0)</f>
        <v>330</v>
      </c>
      <c r="F973" s="2">
        <f>IFERROR(__xludf.DUMMYFUNCTION("""COMPUTED_VALUE"""),2.30457E7)</f>
        <v>23045700</v>
      </c>
      <c r="G973" s="2">
        <f t="shared" si="1"/>
        <v>12</v>
      </c>
    </row>
    <row r="974" ht="15.75" customHeight="1">
      <c r="A974" s="1">
        <f>IFERROR(__xludf.DUMMYFUNCTION("""COMPUTED_VALUE"""),45300.66666666667)</f>
        <v>45300.66667</v>
      </c>
      <c r="B974" s="2">
        <f>IFERROR(__xludf.DUMMYFUNCTION("""COMPUTED_VALUE"""),330.0)</f>
        <v>330</v>
      </c>
      <c r="C974" s="2">
        <f>IFERROR(__xludf.DUMMYFUNCTION("""COMPUTED_VALUE"""),338.0)</f>
        <v>338</v>
      </c>
      <c r="D974" s="2">
        <f>IFERROR(__xludf.DUMMYFUNCTION("""COMPUTED_VALUE"""),322.0)</f>
        <v>322</v>
      </c>
      <c r="E974" s="2">
        <f>IFERROR(__xludf.DUMMYFUNCTION("""COMPUTED_VALUE"""),328.0)</f>
        <v>328</v>
      </c>
      <c r="F974" s="2">
        <f>IFERROR(__xludf.DUMMYFUNCTION("""COMPUTED_VALUE"""),4.09388E7)</f>
        <v>40938800</v>
      </c>
      <c r="G974" s="2">
        <f t="shared" si="1"/>
        <v>16</v>
      </c>
    </row>
    <row r="975" ht="15.75" customHeight="1">
      <c r="A975" s="1">
        <f>IFERROR(__xludf.DUMMYFUNCTION("""COMPUTED_VALUE"""),45301.66666666667)</f>
        <v>45301.66667</v>
      </c>
      <c r="B975" s="2">
        <f>IFERROR(__xludf.DUMMYFUNCTION("""COMPUTED_VALUE"""),328.0)</f>
        <v>328</v>
      </c>
      <c r="C975" s="2">
        <f>IFERROR(__xludf.DUMMYFUNCTION("""COMPUTED_VALUE"""),332.0)</f>
        <v>332</v>
      </c>
      <c r="D975" s="2">
        <f>IFERROR(__xludf.DUMMYFUNCTION("""COMPUTED_VALUE"""),324.0)</f>
        <v>324</v>
      </c>
      <c r="E975" s="2">
        <f>IFERROR(__xludf.DUMMYFUNCTION("""COMPUTED_VALUE"""),324.0)</f>
        <v>324</v>
      </c>
      <c r="F975" s="2">
        <f>IFERROR(__xludf.DUMMYFUNCTION("""COMPUTED_VALUE"""),1.77751E7)</f>
        <v>17775100</v>
      </c>
      <c r="G975" s="2">
        <f t="shared" si="1"/>
        <v>8</v>
      </c>
    </row>
    <row r="976" ht="15.75" customHeight="1">
      <c r="A976" s="1">
        <f>IFERROR(__xludf.DUMMYFUNCTION("""COMPUTED_VALUE"""),45302.66666666667)</f>
        <v>45302.66667</v>
      </c>
      <c r="B976" s="2">
        <f>IFERROR(__xludf.DUMMYFUNCTION("""COMPUTED_VALUE"""),326.0)</f>
        <v>326</v>
      </c>
      <c r="C976" s="2">
        <f>IFERROR(__xludf.DUMMYFUNCTION("""COMPUTED_VALUE"""),336.0)</f>
        <v>336</v>
      </c>
      <c r="D976" s="2">
        <f>IFERROR(__xludf.DUMMYFUNCTION("""COMPUTED_VALUE"""),324.0)</f>
        <v>324</v>
      </c>
      <c r="E976" s="2">
        <f>IFERROR(__xludf.DUMMYFUNCTION("""COMPUTED_VALUE"""),332.0)</f>
        <v>332</v>
      </c>
      <c r="F976" s="2">
        <f>IFERROR(__xludf.DUMMYFUNCTION("""COMPUTED_VALUE"""),4.50674E7)</f>
        <v>45067400</v>
      </c>
      <c r="G976" s="2">
        <f t="shared" si="1"/>
        <v>12</v>
      </c>
    </row>
    <row r="977" ht="15.75" customHeight="1">
      <c r="A977" s="1">
        <f>IFERROR(__xludf.DUMMYFUNCTION("""COMPUTED_VALUE"""),45303.66666666667)</f>
        <v>45303.66667</v>
      </c>
      <c r="B977" s="2">
        <f>IFERROR(__xludf.DUMMYFUNCTION("""COMPUTED_VALUE"""),332.0)</f>
        <v>332</v>
      </c>
      <c r="C977" s="2">
        <f>IFERROR(__xludf.DUMMYFUNCTION("""COMPUTED_VALUE"""),336.0)</f>
        <v>336</v>
      </c>
      <c r="D977" s="2">
        <f>IFERROR(__xludf.DUMMYFUNCTION("""COMPUTED_VALUE"""),310.0)</f>
        <v>310</v>
      </c>
      <c r="E977" s="2">
        <f>IFERROR(__xludf.DUMMYFUNCTION("""COMPUTED_VALUE"""),318.0)</f>
        <v>318</v>
      </c>
      <c r="F977" s="2">
        <f>IFERROR(__xludf.DUMMYFUNCTION("""COMPUTED_VALUE"""),5.9739E7)</f>
        <v>59739000</v>
      </c>
      <c r="G977" s="2">
        <f t="shared" si="1"/>
        <v>26</v>
      </c>
    </row>
    <row r="978" ht="15.75" customHeight="1">
      <c r="A978" s="1">
        <f>IFERROR(__xludf.DUMMYFUNCTION("""COMPUTED_VALUE"""),45306.66666666667)</f>
        <v>45306.66667</v>
      </c>
      <c r="B978" s="2">
        <f>IFERROR(__xludf.DUMMYFUNCTION("""COMPUTED_VALUE"""),316.0)</f>
        <v>316</v>
      </c>
      <c r="C978" s="2">
        <f>IFERROR(__xludf.DUMMYFUNCTION("""COMPUTED_VALUE"""),322.0)</f>
        <v>322</v>
      </c>
      <c r="D978" s="2">
        <f>IFERROR(__xludf.DUMMYFUNCTION("""COMPUTED_VALUE"""),314.0)</f>
        <v>314</v>
      </c>
      <c r="E978" s="2">
        <f>IFERROR(__xludf.DUMMYFUNCTION("""COMPUTED_VALUE"""),316.0)</f>
        <v>316</v>
      </c>
      <c r="F978" s="2">
        <f>IFERROR(__xludf.DUMMYFUNCTION("""COMPUTED_VALUE"""),1.63129E7)</f>
        <v>16312900</v>
      </c>
      <c r="G978" s="2">
        <f t="shared" si="1"/>
        <v>8</v>
      </c>
    </row>
    <row r="979" ht="15.75" customHeight="1">
      <c r="A979" s="1">
        <f>IFERROR(__xludf.DUMMYFUNCTION("""COMPUTED_VALUE"""),45307.66666666667)</f>
        <v>45307.66667</v>
      </c>
      <c r="B979" s="2">
        <f>IFERROR(__xludf.DUMMYFUNCTION("""COMPUTED_VALUE"""),318.0)</f>
        <v>318</v>
      </c>
      <c r="C979" s="2">
        <f>IFERROR(__xludf.DUMMYFUNCTION("""COMPUTED_VALUE"""),318.0)</f>
        <v>318</v>
      </c>
      <c r="D979" s="2">
        <f>IFERROR(__xludf.DUMMYFUNCTION("""COMPUTED_VALUE"""),312.0)</f>
        <v>312</v>
      </c>
      <c r="E979" s="2">
        <f>IFERROR(__xludf.DUMMYFUNCTION("""COMPUTED_VALUE"""),312.0)</f>
        <v>312</v>
      </c>
      <c r="F979" s="2">
        <f>IFERROR(__xludf.DUMMYFUNCTION("""COMPUTED_VALUE"""),1.63615E7)</f>
        <v>16361500</v>
      </c>
      <c r="G979" s="2">
        <f t="shared" si="1"/>
        <v>6</v>
      </c>
    </row>
    <row r="980" ht="15.75" customHeight="1">
      <c r="A980" s="1">
        <f>IFERROR(__xludf.DUMMYFUNCTION("""COMPUTED_VALUE"""),45308.66666666667)</f>
        <v>45308.66667</v>
      </c>
      <c r="B980" s="2">
        <f>IFERROR(__xludf.DUMMYFUNCTION("""COMPUTED_VALUE"""),312.0)</f>
        <v>312</v>
      </c>
      <c r="C980" s="2">
        <f>IFERROR(__xludf.DUMMYFUNCTION("""COMPUTED_VALUE"""),314.0)</f>
        <v>314</v>
      </c>
      <c r="D980" s="2">
        <f>IFERROR(__xludf.DUMMYFUNCTION("""COMPUTED_VALUE"""),302.0)</f>
        <v>302</v>
      </c>
      <c r="E980" s="2">
        <f>IFERROR(__xludf.DUMMYFUNCTION("""COMPUTED_VALUE"""),304.0)</f>
        <v>304</v>
      </c>
      <c r="F980" s="2">
        <f>IFERROR(__xludf.DUMMYFUNCTION("""COMPUTED_VALUE"""),3.02741E7)</f>
        <v>30274100</v>
      </c>
      <c r="G980" s="2">
        <f t="shared" si="1"/>
        <v>12</v>
      </c>
    </row>
    <row r="981" ht="15.75" customHeight="1">
      <c r="A981" s="1">
        <f>IFERROR(__xludf.DUMMYFUNCTION("""COMPUTED_VALUE"""),45309.66666666667)</f>
        <v>45309.66667</v>
      </c>
      <c r="B981" s="2">
        <f>IFERROR(__xludf.DUMMYFUNCTION("""COMPUTED_VALUE"""),306.0)</f>
        <v>306</v>
      </c>
      <c r="C981" s="2">
        <f>IFERROR(__xludf.DUMMYFUNCTION("""COMPUTED_VALUE"""),310.0)</f>
        <v>310</v>
      </c>
      <c r="D981" s="2">
        <f>IFERROR(__xludf.DUMMYFUNCTION("""COMPUTED_VALUE"""),302.0)</f>
        <v>302</v>
      </c>
      <c r="E981" s="2">
        <f>IFERROR(__xludf.DUMMYFUNCTION("""COMPUTED_VALUE"""),304.0)</f>
        <v>304</v>
      </c>
      <c r="F981" s="2">
        <f>IFERROR(__xludf.DUMMYFUNCTION("""COMPUTED_VALUE"""),1.33206E7)</f>
        <v>13320600</v>
      </c>
      <c r="G981" s="2">
        <f t="shared" si="1"/>
        <v>8</v>
      </c>
    </row>
    <row r="982" ht="15.75" customHeight="1">
      <c r="A982" s="1">
        <f>IFERROR(__xludf.DUMMYFUNCTION("""COMPUTED_VALUE"""),45310.66666666667)</f>
        <v>45310.66667</v>
      </c>
      <c r="B982" s="2">
        <f>IFERROR(__xludf.DUMMYFUNCTION("""COMPUTED_VALUE"""),304.0)</f>
        <v>304</v>
      </c>
      <c r="C982" s="2">
        <f>IFERROR(__xludf.DUMMYFUNCTION("""COMPUTED_VALUE"""),316.0)</f>
        <v>316</v>
      </c>
      <c r="D982" s="2">
        <f>IFERROR(__xludf.DUMMYFUNCTION("""COMPUTED_VALUE"""),302.0)</f>
        <v>302</v>
      </c>
      <c r="E982" s="2">
        <f>IFERROR(__xludf.DUMMYFUNCTION("""COMPUTED_VALUE"""),306.0)</f>
        <v>306</v>
      </c>
      <c r="F982" s="2">
        <f>IFERROR(__xludf.DUMMYFUNCTION("""COMPUTED_VALUE"""),2.41221E7)</f>
        <v>24122100</v>
      </c>
      <c r="G982" s="2">
        <f t="shared" si="1"/>
        <v>14</v>
      </c>
    </row>
    <row r="983" ht="15.75" customHeight="1">
      <c r="A983" s="1">
        <f>IFERROR(__xludf.DUMMYFUNCTION("""COMPUTED_VALUE"""),45313.66666666667)</f>
        <v>45313.66667</v>
      </c>
      <c r="B983" s="2">
        <f>IFERROR(__xludf.DUMMYFUNCTION("""COMPUTED_VALUE"""),308.0)</f>
        <v>308</v>
      </c>
      <c r="C983" s="2">
        <f>IFERROR(__xludf.DUMMYFUNCTION("""COMPUTED_VALUE"""),324.0)</f>
        <v>324</v>
      </c>
      <c r="D983" s="2">
        <f>IFERROR(__xludf.DUMMYFUNCTION("""COMPUTED_VALUE"""),306.0)</f>
        <v>306</v>
      </c>
      <c r="E983" s="2">
        <f>IFERROR(__xludf.DUMMYFUNCTION("""COMPUTED_VALUE"""),314.0)</f>
        <v>314</v>
      </c>
      <c r="F983" s="2">
        <f>IFERROR(__xludf.DUMMYFUNCTION("""COMPUTED_VALUE"""),5.82253E7)</f>
        <v>58225300</v>
      </c>
      <c r="G983" s="2">
        <f t="shared" si="1"/>
        <v>18</v>
      </c>
    </row>
    <row r="984" ht="15.75" customHeight="1">
      <c r="A984" s="1">
        <f>IFERROR(__xludf.DUMMYFUNCTION("""COMPUTED_VALUE"""),45314.66666666667)</f>
        <v>45314.66667</v>
      </c>
      <c r="B984" s="2">
        <f>IFERROR(__xludf.DUMMYFUNCTION("""COMPUTED_VALUE"""),314.0)</f>
        <v>314</v>
      </c>
      <c r="C984" s="2">
        <f>IFERROR(__xludf.DUMMYFUNCTION("""COMPUTED_VALUE"""),318.0)</f>
        <v>318</v>
      </c>
      <c r="D984" s="2">
        <f>IFERROR(__xludf.DUMMYFUNCTION("""COMPUTED_VALUE"""),304.0)</f>
        <v>304</v>
      </c>
      <c r="E984" s="2">
        <f>IFERROR(__xludf.DUMMYFUNCTION("""COMPUTED_VALUE"""),304.0)</f>
        <v>304</v>
      </c>
      <c r="F984" s="2">
        <f>IFERROR(__xludf.DUMMYFUNCTION("""COMPUTED_VALUE"""),3.81312E7)</f>
        <v>38131200</v>
      </c>
      <c r="G984" s="2">
        <f t="shared" si="1"/>
        <v>14</v>
      </c>
    </row>
    <row r="985" ht="15.75" customHeight="1">
      <c r="A985" s="1">
        <f>IFERROR(__xludf.DUMMYFUNCTION("""COMPUTED_VALUE"""),45315.66666666667)</f>
        <v>45315.66667</v>
      </c>
      <c r="B985" s="2">
        <f>IFERROR(__xludf.DUMMYFUNCTION("""COMPUTED_VALUE"""),304.0)</f>
        <v>304</v>
      </c>
      <c r="C985" s="2">
        <f>IFERROR(__xludf.DUMMYFUNCTION("""COMPUTED_VALUE"""),308.0)</f>
        <v>308</v>
      </c>
      <c r="D985" s="2">
        <f>IFERROR(__xludf.DUMMYFUNCTION("""COMPUTED_VALUE"""),290.0)</f>
        <v>290</v>
      </c>
      <c r="E985" s="2">
        <f>IFERROR(__xludf.DUMMYFUNCTION("""COMPUTED_VALUE"""),294.0)</f>
        <v>294</v>
      </c>
      <c r="F985" s="2">
        <f>IFERROR(__xludf.DUMMYFUNCTION("""COMPUTED_VALUE"""),3.44763E7)</f>
        <v>34476300</v>
      </c>
      <c r="G985" s="2">
        <f t="shared" si="1"/>
        <v>18</v>
      </c>
    </row>
    <row r="986" ht="15.75" customHeight="1">
      <c r="A986" s="1">
        <f>IFERROR(__xludf.DUMMYFUNCTION("""COMPUTED_VALUE"""),45316.66666666667)</f>
        <v>45316.66667</v>
      </c>
      <c r="B986" s="2">
        <f>IFERROR(__xludf.DUMMYFUNCTION("""COMPUTED_VALUE"""),294.0)</f>
        <v>294</v>
      </c>
      <c r="C986" s="2">
        <f>IFERROR(__xludf.DUMMYFUNCTION("""COMPUTED_VALUE"""),302.0)</f>
        <v>302</v>
      </c>
      <c r="D986" s="2">
        <f>IFERROR(__xludf.DUMMYFUNCTION("""COMPUTED_VALUE"""),294.0)</f>
        <v>294</v>
      </c>
      <c r="E986" s="2">
        <f>IFERROR(__xludf.DUMMYFUNCTION("""COMPUTED_VALUE"""),296.0)</f>
        <v>296</v>
      </c>
      <c r="F986" s="2">
        <f>IFERROR(__xludf.DUMMYFUNCTION("""COMPUTED_VALUE"""),1.34467E7)</f>
        <v>13446700</v>
      </c>
      <c r="G986" s="2">
        <f t="shared" si="1"/>
        <v>8</v>
      </c>
    </row>
    <row r="987" ht="15.75" customHeight="1">
      <c r="A987" s="1">
        <f>IFERROR(__xludf.DUMMYFUNCTION("""COMPUTED_VALUE"""),45317.66666666667)</f>
        <v>45317.66667</v>
      </c>
      <c r="B987" s="2">
        <f>IFERROR(__xludf.DUMMYFUNCTION("""COMPUTED_VALUE"""),296.0)</f>
        <v>296</v>
      </c>
      <c r="C987" s="2">
        <f>IFERROR(__xludf.DUMMYFUNCTION("""COMPUTED_VALUE"""),300.0)</f>
        <v>300</v>
      </c>
      <c r="D987" s="2">
        <f>IFERROR(__xludf.DUMMYFUNCTION("""COMPUTED_VALUE"""),280.0)</f>
        <v>280</v>
      </c>
      <c r="E987" s="2">
        <f>IFERROR(__xludf.DUMMYFUNCTION("""COMPUTED_VALUE"""),282.0)</f>
        <v>282</v>
      </c>
      <c r="F987" s="2">
        <f>IFERROR(__xludf.DUMMYFUNCTION("""COMPUTED_VALUE"""),2.56791E7)</f>
        <v>25679100</v>
      </c>
      <c r="G987" s="2">
        <f t="shared" si="1"/>
        <v>20</v>
      </c>
    </row>
    <row r="988" ht="15.75" customHeight="1">
      <c r="A988" s="1">
        <f>IFERROR(__xludf.DUMMYFUNCTION("""COMPUTED_VALUE"""),45320.66666666667)</f>
        <v>45320.66667</v>
      </c>
      <c r="B988" s="2">
        <f>IFERROR(__xludf.DUMMYFUNCTION("""COMPUTED_VALUE"""),282.0)</f>
        <v>282</v>
      </c>
      <c r="C988" s="2">
        <f>IFERROR(__xludf.DUMMYFUNCTION("""COMPUTED_VALUE"""),292.0)</f>
        <v>292</v>
      </c>
      <c r="D988" s="2">
        <f>IFERROR(__xludf.DUMMYFUNCTION("""COMPUTED_VALUE"""),282.0)</f>
        <v>282</v>
      </c>
      <c r="E988" s="2">
        <f>IFERROR(__xludf.DUMMYFUNCTION("""COMPUTED_VALUE"""),284.0)</f>
        <v>284</v>
      </c>
      <c r="F988" s="2">
        <f>IFERROR(__xludf.DUMMYFUNCTION("""COMPUTED_VALUE"""),1.57142E7)</f>
        <v>15714200</v>
      </c>
      <c r="G988" s="2">
        <f t="shared" si="1"/>
        <v>10</v>
      </c>
    </row>
    <row r="989" ht="15.75" customHeight="1">
      <c r="A989" s="1">
        <f>IFERROR(__xludf.DUMMYFUNCTION("""COMPUTED_VALUE"""),45321.66666666667)</f>
        <v>45321.66667</v>
      </c>
      <c r="B989" s="2">
        <f>IFERROR(__xludf.DUMMYFUNCTION("""COMPUTED_VALUE"""),286.0)</f>
        <v>286</v>
      </c>
      <c r="C989" s="2">
        <f>IFERROR(__xludf.DUMMYFUNCTION("""COMPUTED_VALUE"""),292.0)</f>
        <v>292</v>
      </c>
      <c r="D989" s="2">
        <f>IFERROR(__xludf.DUMMYFUNCTION("""COMPUTED_VALUE"""),282.0)</f>
        <v>282</v>
      </c>
      <c r="E989" s="2">
        <f>IFERROR(__xludf.DUMMYFUNCTION("""COMPUTED_VALUE"""),288.0)</f>
        <v>288</v>
      </c>
      <c r="F989" s="2">
        <f>IFERROR(__xludf.DUMMYFUNCTION("""COMPUTED_VALUE"""),1.42477E7)</f>
        <v>14247700</v>
      </c>
      <c r="G989" s="2">
        <f t="shared" si="1"/>
        <v>10</v>
      </c>
    </row>
    <row r="990" ht="15.75" customHeight="1">
      <c r="A990" s="1">
        <f>IFERROR(__xludf.DUMMYFUNCTION("""COMPUTED_VALUE"""),45322.66666666667)</f>
        <v>45322.66667</v>
      </c>
      <c r="B990" s="2">
        <f>IFERROR(__xludf.DUMMYFUNCTION("""COMPUTED_VALUE"""),292.0)</f>
        <v>292</v>
      </c>
      <c r="C990" s="2">
        <f>IFERROR(__xludf.DUMMYFUNCTION("""COMPUTED_VALUE"""),294.0)</f>
        <v>294</v>
      </c>
      <c r="D990" s="2">
        <f>IFERROR(__xludf.DUMMYFUNCTION("""COMPUTED_VALUE"""),286.0)</f>
        <v>286</v>
      </c>
      <c r="E990" s="2">
        <f>IFERROR(__xludf.DUMMYFUNCTION("""COMPUTED_VALUE"""),290.0)</f>
        <v>290</v>
      </c>
      <c r="F990" s="2">
        <f>IFERROR(__xludf.DUMMYFUNCTION("""COMPUTED_VALUE"""),8363800.0)</f>
        <v>8363800</v>
      </c>
      <c r="G990" s="2">
        <f t="shared" si="1"/>
        <v>8</v>
      </c>
    </row>
    <row r="991" ht="15.75" customHeight="1">
      <c r="A991" s="1">
        <f>IFERROR(__xludf.DUMMYFUNCTION("""COMPUTED_VALUE"""),45323.66666666667)</f>
        <v>45323.66667</v>
      </c>
      <c r="B991" s="2">
        <f>IFERROR(__xludf.DUMMYFUNCTION("""COMPUTED_VALUE"""),290.0)</f>
        <v>290</v>
      </c>
      <c r="C991" s="2">
        <f>IFERROR(__xludf.DUMMYFUNCTION("""COMPUTED_VALUE"""),292.0)</f>
        <v>292</v>
      </c>
      <c r="D991" s="2">
        <f>IFERROR(__xludf.DUMMYFUNCTION("""COMPUTED_VALUE"""),284.0)</f>
        <v>284</v>
      </c>
      <c r="E991" s="2">
        <f>IFERROR(__xludf.DUMMYFUNCTION("""COMPUTED_VALUE"""),284.0)</f>
        <v>284</v>
      </c>
      <c r="F991" s="2">
        <f>IFERROR(__xludf.DUMMYFUNCTION("""COMPUTED_VALUE"""),1.22566E7)</f>
        <v>12256600</v>
      </c>
      <c r="G991" s="2">
        <f t="shared" si="1"/>
        <v>8</v>
      </c>
    </row>
    <row r="992" ht="15.75" customHeight="1">
      <c r="A992" s="1">
        <f>IFERROR(__xludf.DUMMYFUNCTION("""COMPUTED_VALUE"""),45324.66666666667)</f>
        <v>45324.66667</v>
      </c>
      <c r="B992" s="2">
        <f>IFERROR(__xludf.DUMMYFUNCTION("""COMPUTED_VALUE"""),286.0)</f>
        <v>286</v>
      </c>
      <c r="C992" s="2">
        <f>IFERROR(__xludf.DUMMYFUNCTION("""COMPUTED_VALUE"""),290.0)</f>
        <v>290</v>
      </c>
      <c r="D992" s="2">
        <f>IFERROR(__xludf.DUMMYFUNCTION("""COMPUTED_VALUE"""),274.0)</f>
        <v>274</v>
      </c>
      <c r="E992" s="2">
        <f>IFERROR(__xludf.DUMMYFUNCTION("""COMPUTED_VALUE"""),274.0)</f>
        <v>274</v>
      </c>
      <c r="F992" s="2">
        <f>IFERROR(__xludf.DUMMYFUNCTION("""COMPUTED_VALUE"""),2.08461E7)</f>
        <v>20846100</v>
      </c>
      <c r="G992" s="2">
        <f t="shared" si="1"/>
        <v>16</v>
      </c>
    </row>
    <row r="993" ht="15.75" customHeight="1">
      <c r="A993" s="1">
        <f>IFERROR(__xludf.DUMMYFUNCTION("""COMPUTED_VALUE"""),45327.66666666667)</f>
        <v>45327.66667</v>
      </c>
      <c r="B993" s="2">
        <f>IFERROR(__xludf.DUMMYFUNCTION("""COMPUTED_VALUE"""),276.0)</f>
        <v>276</v>
      </c>
      <c r="C993" s="2">
        <f>IFERROR(__xludf.DUMMYFUNCTION("""COMPUTED_VALUE"""),286.0)</f>
        <v>286</v>
      </c>
      <c r="D993" s="2">
        <f>IFERROR(__xludf.DUMMYFUNCTION("""COMPUTED_VALUE"""),274.0)</f>
        <v>274</v>
      </c>
      <c r="E993" s="2">
        <f>IFERROR(__xludf.DUMMYFUNCTION("""COMPUTED_VALUE"""),282.0)</f>
        <v>282</v>
      </c>
      <c r="F993" s="2">
        <f>IFERROR(__xludf.DUMMYFUNCTION("""COMPUTED_VALUE"""),1.69145E7)</f>
        <v>16914500</v>
      </c>
      <c r="G993" s="2">
        <f t="shared" si="1"/>
        <v>12</v>
      </c>
    </row>
    <row r="994" ht="15.75" customHeight="1">
      <c r="A994" s="1">
        <f>IFERROR(__xludf.DUMMYFUNCTION("""COMPUTED_VALUE"""),45328.66666666667)</f>
        <v>45328.66667</v>
      </c>
      <c r="B994" s="2">
        <f>IFERROR(__xludf.DUMMYFUNCTION("""COMPUTED_VALUE"""),282.0)</f>
        <v>282</v>
      </c>
      <c r="C994" s="2">
        <f>IFERROR(__xludf.DUMMYFUNCTION("""COMPUTED_VALUE"""),288.0)</f>
        <v>288</v>
      </c>
      <c r="D994" s="2">
        <f>IFERROR(__xludf.DUMMYFUNCTION("""COMPUTED_VALUE"""),282.0)</f>
        <v>282</v>
      </c>
      <c r="E994" s="2">
        <f>IFERROR(__xludf.DUMMYFUNCTION("""COMPUTED_VALUE"""),282.0)</f>
        <v>282</v>
      </c>
      <c r="F994" s="2">
        <f>IFERROR(__xludf.DUMMYFUNCTION("""COMPUTED_VALUE"""),8787900.0)</f>
        <v>8787900</v>
      </c>
      <c r="G994" s="2">
        <f t="shared" si="1"/>
        <v>6</v>
      </c>
    </row>
    <row r="995" ht="15.75" customHeight="1">
      <c r="A995" s="1">
        <f>IFERROR(__xludf.DUMMYFUNCTION("""COMPUTED_VALUE"""),45329.66666666667)</f>
        <v>45329.66667</v>
      </c>
      <c r="B995" s="2">
        <f>IFERROR(__xludf.DUMMYFUNCTION("""COMPUTED_VALUE"""),284.0)</f>
        <v>284</v>
      </c>
      <c r="C995" s="2">
        <f>IFERROR(__xludf.DUMMYFUNCTION("""COMPUTED_VALUE"""),286.0)</f>
        <v>286</v>
      </c>
      <c r="D995" s="2">
        <f>IFERROR(__xludf.DUMMYFUNCTION("""COMPUTED_VALUE"""),278.0)</f>
        <v>278</v>
      </c>
      <c r="E995" s="2">
        <f>IFERROR(__xludf.DUMMYFUNCTION("""COMPUTED_VALUE"""),278.0)</f>
        <v>278</v>
      </c>
      <c r="F995" s="2">
        <f>IFERROR(__xludf.DUMMYFUNCTION("""COMPUTED_VALUE"""),6165600.0)</f>
        <v>6165600</v>
      </c>
      <c r="G995" s="2">
        <f t="shared" si="1"/>
        <v>8</v>
      </c>
    </row>
    <row r="996" ht="15.75" customHeight="1">
      <c r="A996" s="1">
        <f>IFERROR(__xludf.DUMMYFUNCTION("""COMPUTED_VALUE"""),45334.66666666667)</f>
        <v>45334.66667</v>
      </c>
      <c r="B996" s="2">
        <f>IFERROR(__xludf.DUMMYFUNCTION("""COMPUTED_VALUE"""),278.0)</f>
        <v>278</v>
      </c>
      <c r="C996" s="2">
        <f>IFERROR(__xludf.DUMMYFUNCTION("""COMPUTED_VALUE"""),282.0)</f>
        <v>282</v>
      </c>
      <c r="D996" s="2">
        <f>IFERROR(__xludf.DUMMYFUNCTION("""COMPUTED_VALUE"""),278.0)</f>
        <v>278</v>
      </c>
      <c r="E996" s="2">
        <f>IFERROR(__xludf.DUMMYFUNCTION("""COMPUTED_VALUE"""),278.0)</f>
        <v>278</v>
      </c>
      <c r="F996" s="2">
        <f>IFERROR(__xludf.DUMMYFUNCTION("""COMPUTED_VALUE"""),7491400.0)</f>
        <v>7491400</v>
      </c>
      <c r="G996" s="2">
        <f t="shared" si="1"/>
        <v>4</v>
      </c>
    </row>
    <row r="997" ht="15.75" customHeight="1">
      <c r="A997" s="1">
        <f>IFERROR(__xludf.DUMMYFUNCTION("""COMPUTED_VALUE"""),45335.66666666667)</f>
        <v>45335.66667</v>
      </c>
      <c r="B997" s="2">
        <f>IFERROR(__xludf.DUMMYFUNCTION("""COMPUTED_VALUE"""),278.0)</f>
        <v>278</v>
      </c>
      <c r="C997" s="2">
        <f>IFERROR(__xludf.DUMMYFUNCTION("""COMPUTED_VALUE"""),284.0)</f>
        <v>284</v>
      </c>
      <c r="D997" s="2">
        <f>IFERROR(__xludf.DUMMYFUNCTION("""COMPUTED_VALUE"""),278.0)</f>
        <v>278</v>
      </c>
      <c r="E997" s="2">
        <f>IFERROR(__xludf.DUMMYFUNCTION("""COMPUTED_VALUE"""),280.0)</f>
        <v>280</v>
      </c>
      <c r="F997" s="2">
        <f>IFERROR(__xludf.DUMMYFUNCTION("""COMPUTED_VALUE"""),5130100.0)</f>
        <v>5130100</v>
      </c>
      <c r="G997" s="2">
        <f t="shared" si="1"/>
        <v>6</v>
      </c>
    </row>
    <row r="998" ht="15.75" customHeight="1">
      <c r="A998" s="1">
        <f>IFERROR(__xludf.DUMMYFUNCTION("""COMPUTED_VALUE"""),45337.66666666667)</f>
        <v>45337.66667</v>
      </c>
      <c r="B998" s="2">
        <f>IFERROR(__xludf.DUMMYFUNCTION("""COMPUTED_VALUE"""),280.0)</f>
        <v>280</v>
      </c>
      <c r="C998" s="2">
        <f>IFERROR(__xludf.DUMMYFUNCTION("""COMPUTED_VALUE"""),292.0)</f>
        <v>292</v>
      </c>
      <c r="D998" s="2">
        <f>IFERROR(__xludf.DUMMYFUNCTION("""COMPUTED_VALUE"""),280.0)</f>
        <v>280</v>
      </c>
      <c r="E998" s="2">
        <f>IFERROR(__xludf.DUMMYFUNCTION("""COMPUTED_VALUE"""),286.0)</f>
        <v>286</v>
      </c>
      <c r="F998" s="2">
        <f>IFERROR(__xludf.DUMMYFUNCTION("""COMPUTED_VALUE"""),1.65015E7)</f>
        <v>16501500</v>
      </c>
      <c r="G998" s="2">
        <f t="shared" si="1"/>
        <v>12</v>
      </c>
    </row>
    <row r="999" ht="15.75" customHeight="1">
      <c r="A999" s="1">
        <f>IFERROR(__xludf.DUMMYFUNCTION("""COMPUTED_VALUE"""),45338.66666666667)</f>
        <v>45338.66667</v>
      </c>
      <c r="B999" s="2">
        <f>IFERROR(__xludf.DUMMYFUNCTION("""COMPUTED_VALUE"""),286.0)</f>
        <v>286</v>
      </c>
      <c r="C999" s="2">
        <f>IFERROR(__xludf.DUMMYFUNCTION("""COMPUTED_VALUE"""),288.0)</f>
        <v>288</v>
      </c>
      <c r="D999" s="2">
        <f>IFERROR(__xludf.DUMMYFUNCTION("""COMPUTED_VALUE"""),278.0)</f>
        <v>278</v>
      </c>
      <c r="E999" s="2">
        <f>IFERROR(__xludf.DUMMYFUNCTION("""COMPUTED_VALUE"""),278.0)</f>
        <v>278</v>
      </c>
      <c r="F999" s="2">
        <f>IFERROR(__xludf.DUMMYFUNCTION("""COMPUTED_VALUE"""),9352600.0)</f>
        <v>9352600</v>
      </c>
      <c r="G999" s="2">
        <f t="shared" si="1"/>
        <v>10</v>
      </c>
    </row>
    <row r="1000" ht="15.75" customHeight="1">
      <c r="A1000" s="1">
        <f>IFERROR(__xludf.DUMMYFUNCTION("""COMPUTED_VALUE"""),45341.66666666667)</f>
        <v>45341.66667</v>
      </c>
      <c r="B1000" s="2">
        <f>IFERROR(__xludf.DUMMYFUNCTION("""COMPUTED_VALUE"""),278.0)</f>
        <v>278</v>
      </c>
      <c r="C1000" s="2">
        <f>IFERROR(__xludf.DUMMYFUNCTION("""COMPUTED_VALUE"""),282.0)</f>
        <v>282</v>
      </c>
      <c r="D1000" s="2">
        <f>IFERROR(__xludf.DUMMYFUNCTION("""COMPUTED_VALUE"""),266.0)</f>
        <v>266</v>
      </c>
      <c r="E1000" s="2">
        <f>IFERROR(__xludf.DUMMYFUNCTION("""COMPUTED_VALUE"""),266.0)</f>
        <v>266</v>
      </c>
      <c r="F1000" s="2">
        <f>IFERROR(__xludf.DUMMYFUNCTION("""COMPUTED_VALUE"""),2.30097E7)</f>
        <v>23009700</v>
      </c>
      <c r="G1000" s="2">
        <f t="shared" si="1"/>
        <v>16</v>
      </c>
    </row>
    <row r="1001" ht="15.75" customHeight="1">
      <c r="A1001" s="1">
        <f>IFERROR(__xludf.DUMMYFUNCTION("""COMPUTED_VALUE"""),45342.66666666667)</f>
        <v>45342.66667</v>
      </c>
      <c r="B1001" s="2">
        <f>IFERROR(__xludf.DUMMYFUNCTION("""COMPUTED_VALUE"""),268.0)</f>
        <v>268</v>
      </c>
      <c r="C1001" s="2">
        <f>IFERROR(__xludf.DUMMYFUNCTION("""COMPUTED_VALUE"""),276.0)</f>
        <v>276</v>
      </c>
      <c r="D1001" s="2">
        <f>IFERROR(__xludf.DUMMYFUNCTION("""COMPUTED_VALUE"""),266.0)</f>
        <v>266</v>
      </c>
      <c r="E1001" s="2">
        <f>IFERROR(__xludf.DUMMYFUNCTION("""COMPUTED_VALUE"""),272.0)</f>
        <v>272</v>
      </c>
      <c r="F1001" s="2">
        <f>IFERROR(__xludf.DUMMYFUNCTION("""COMPUTED_VALUE"""),1.05527E7)</f>
        <v>10552700</v>
      </c>
      <c r="G1001" s="2">
        <f t="shared" si="1"/>
        <v>10</v>
      </c>
    </row>
    <row r="1002" ht="15.75" customHeight="1">
      <c r="A1002" s="1">
        <f>IFERROR(__xludf.DUMMYFUNCTION("""COMPUTED_VALUE"""),45343.66666666667)</f>
        <v>45343.66667</v>
      </c>
      <c r="B1002" s="2">
        <f>IFERROR(__xludf.DUMMYFUNCTION("""COMPUTED_VALUE"""),274.0)</f>
        <v>274</v>
      </c>
      <c r="C1002" s="2">
        <f>IFERROR(__xludf.DUMMYFUNCTION("""COMPUTED_VALUE"""),276.0)</f>
        <v>276</v>
      </c>
      <c r="D1002" s="2">
        <f>IFERROR(__xludf.DUMMYFUNCTION("""COMPUTED_VALUE"""),264.0)</f>
        <v>264</v>
      </c>
      <c r="E1002" s="2">
        <f>IFERROR(__xludf.DUMMYFUNCTION("""COMPUTED_VALUE"""),266.0)</f>
        <v>266</v>
      </c>
      <c r="F1002" s="2">
        <f>IFERROR(__xludf.DUMMYFUNCTION("""COMPUTED_VALUE"""),1.14608E7)</f>
        <v>11460800</v>
      </c>
      <c r="G1002" s="2">
        <f t="shared" si="1"/>
        <v>12</v>
      </c>
    </row>
    <row r="1003" ht="15.75" customHeight="1">
      <c r="A1003" s="1">
        <f>IFERROR(__xludf.DUMMYFUNCTION("""COMPUTED_VALUE"""),45344.66666666667)</f>
        <v>45344.66667</v>
      </c>
      <c r="B1003" s="2">
        <f>IFERROR(__xludf.DUMMYFUNCTION("""COMPUTED_VALUE"""),268.0)</f>
        <v>268</v>
      </c>
      <c r="C1003" s="2">
        <f>IFERROR(__xludf.DUMMYFUNCTION("""COMPUTED_VALUE"""),270.0)</f>
        <v>270</v>
      </c>
      <c r="D1003" s="2">
        <f>IFERROR(__xludf.DUMMYFUNCTION("""COMPUTED_VALUE"""),266.0)</f>
        <v>266</v>
      </c>
      <c r="E1003" s="2">
        <f>IFERROR(__xludf.DUMMYFUNCTION("""COMPUTED_VALUE"""),266.0)</f>
        <v>266</v>
      </c>
      <c r="F1003" s="2">
        <f>IFERROR(__xludf.DUMMYFUNCTION("""COMPUTED_VALUE"""),5430700.0)</f>
        <v>5430700</v>
      </c>
      <c r="G1003" s="2">
        <f t="shared" si="1"/>
        <v>4</v>
      </c>
    </row>
    <row r="1004" ht="15.75" customHeight="1">
      <c r="A1004" s="1">
        <f>IFERROR(__xludf.DUMMYFUNCTION("""COMPUTED_VALUE"""),45345.66666666667)</f>
        <v>45345.66667</v>
      </c>
      <c r="B1004" s="2">
        <f>IFERROR(__xludf.DUMMYFUNCTION("""COMPUTED_VALUE"""),270.0)</f>
        <v>270</v>
      </c>
      <c r="C1004" s="2">
        <f>IFERROR(__xludf.DUMMYFUNCTION("""COMPUTED_VALUE"""),272.0)</f>
        <v>272</v>
      </c>
      <c r="D1004" s="2">
        <f>IFERROR(__xludf.DUMMYFUNCTION("""COMPUTED_VALUE"""),266.0)</f>
        <v>266</v>
      </c>
      <c r="E1004" s="2">
        <f>IFERROR(__xludf.DUMMYFUNCTION("""COMPUTED_VALUE"""),268.0)</f>
        <v>268</v>
      </c>
      <c r="F1004" s="2">
        <f>IFERROR(__xludf.DUMMYFUNCTION("""COMPUTED_VALUE"""),7153700.0)</f>
        <v>7153700</v>
      </c>
      <c r="G1004" s="2">
        <f t="shared" si="1"/>
        <v>6</v>
      </c>
    </row>
    <row r="1005" ht="15.75" customHeight="1">
      <c r="A1005" s="1">
        <f>IFERROR(__xludf.DUMMYFUNCTION("""COMPUTED_VALUE"""),45348.66666666667)</f>
        <v>45348.66667</v>
      </c>
      <c r="B1005" s="2">
        <f>IFERROR(__xludf.DUMMYFUNCTION("""COMPUTED_VALUE"""),268.0)</f>
        <v>268</v>
      </c>
      <c r="C1005" s="2">
        <f>IFERROR(__xludf.DUMMYFUNCTION("""COMPUTED_VALUE"""),272.0)</f>
        <v>272</v>
      </c>
      <c r="D1005" s="2">
        <f>IFERROR(__xludf.DUMMYFUNCTION("""COMPUTED_VALUE"""),260.0)</f>
        <v>260</v>
      </c>
      <c r="E1005" s="2">
        <f>IFERROR(__xludf.DUMMYFUNCTION("""COMPUTED_VALUE"""),262.0)</f>
        <v>262</v>
      </c>
      <c r="F1005" s="2">
        <f>IFERROR(__xludf.DUMMYFUNCTION("""COMPUTED_VALUE"""),1.00659E7)</f>
        <v>10065900</v>
      </c>
      <c r="G1005" s="2">
        <f t="shared" si="1"/>
        <v>12</v>
      </c>
    </row>
    <row r="1006" ht="15.75" customHeight="1">
      <c r="A1006" s="1">
        <f>IFERROR(__xludf.DUMMYFUNCTION("""COMPUTED_VALUE"""),45349.66666666667)</f>
        <v>45349.66667</v>
      </c>
      <c r="B1006" s="2">
        <f>IFERROR(__xludf.DUMMYFUNCTION("""COMPUTED_VALUE"""),262.0)</f>
        <v>262</v>
      </c>
      <c r="C1006" s="2">
        <f>IFERROR(__xludf.DUMMYFUNCTION("""COMPUTED_VALUE"""),268.0)</f>
        <v>268</v>
      </c>
      <c r="D1006" s="2">
        <f>IFERROR(__xludf.DUMMYFUNCTION("""COMPUTED_VALUE"""),258.0)</f>
        <v>258</v>
      </c>
      <c r="E1006" s="2">
        <f>IFERROR(__xludf.DUMMYFUNCTION("""COMPUTED_VALUE"""),260.0)</f>
        <v>260</v>
      </c>
      <c r="F1006" s="2">
        <f>IFERROR(__xludf.DUMMYFUNCTION("""COMPUTED_VALUE"""),9994900.0)</f>
        <v>9994900</v>
      </c>
      <c r="G1006" s="2">
        <f t="shared" si="1"/>
        <v>10</v>
      </c>
    </row>
    <row r="1007" ht="15.75" customHeight="1">
      <c r="A1007" s="1">
        <f>IFERROR(__xludf.DUMMYFUNCTION("""COMPUTED_VALUE"""),45350.66666666667)</f>
        <v>45350.66667</v>
      </c>
      <c r="B1007" s="2">
        <f>IFERROR(__xludf.DUMMYFUNCTION("""COMPUTED_VALUE"""),262.0)</f>
        <v>262</v>
      </c>
      <c r="C1007" s="2">
        <f>IFERROR(__xludf.DUMMYFUNCTION("""COMPUTED_VALUE"""),266.0)</f>
        <v>266</v>
      </c>
      <c r="D1007" s="2">
        <f>IFERROR(__xludf.DUMMYFUNCTION("""COMPUTED_VALUE"""),260.0)</f>
        <v>260</v>
      </c>
      <c r="E1007" s="2">
        <f>IFERROR(__xludf.DUMMYFUNCTION("""COMPUTED_VALUE"""),262.0)</f>
        <v>262</v>
      </c>
      <c r="F1007" s="2">
        <f>IFERROR(__xludf.DUMMYFUNCTION("""COMPUTED_VALUE"""),5093300.0)</f>
        <v>5093300</v>
      </c>
      <c r="G1007" s="2">
        <f t="shared" si="1"/>
        <v>6</v>
      </c>
    </row>
    <row r="1008" ht="15.75" customHeight="1">
      <c r="A1008" s="1">
        <f>IFERROR(__xludf.DUMMYFUNCTION("""COMPUTED_VALUE"""),45351.66666666667)</f>
        <v>45351.66667</v>
      </c>
      <c r="B1008" s="2">
        <f>IFERROR(__xludf.DUMMYFUNCTION("""COMPUTED_VALUE"""),262.0)</f>
        <v>262</v>
      </c>
      <c r="C1008" s="2">
        <f>IFERROR(__xludf.DUMMYFUNCTION("""COMPUTED_VALUE"""),274.0)</f>
        <v>274</v>
      </c>
      <c r="D1008" s="2">
        <f>IFERROR(__xludf.DUMMYFUNCTION("""COMPUTED_VALUE"""),260.0)</f>
        <v>260</v>
      </c>
      <c r="E1008" s="2">
        <f>IFERROR(__xludf.DUMMYFUNCTION("""COMPUTED_VALUE"""),266.0)</f>
        <v>266</v>
      </c>
      <c r="F1008" s="2">
        <f>IFERROR(__xludf.DUMMYFUNCTION("""COMPUTED_VALUE"""),1.18636E7)</f>
        <v>11863600</v>
      </c>
      <c r="G1008" s="2">
        <f t="shared" si="1"/>
        <v>14</v>
      </c>
    </row>
    <row r="1009" ht="15.75" customHeight="1">
      <c r="A1009" s="1">
        <f>IFERROR(__xludf.DUMMYFUNCTION("""COMPUTED_VALUE"""),45352.66666666667)</f>
        <v>45352.66667</v>
      </c>
      <c r="B1009" s="2">
        <f>IFERROR(__xludf.DUMMYFUNCTION("""COMPUTED_VALUE"""),266.0)</f>
        <v>266</v>
      </c>
      <c r="C1009" s="2">
        <f>IFERROR(__xludf.DUMMYFUNCTION("""COMPUTED_VALUE"""),270.0)</f>
        <v>270</v>
      </c>
      <c r="D1009" s="2">
        <f>IFERROR(__xludf.DUMMYFUNCTION("""COMPUTED_VALUE"""),264.0)</f>
        <v>264</v>
      </c>
      <c r="E1009" s="2">
        <f>IFERROR(__xludf.DUMMYFUNCTION("""COMPUTED_VALUE"""),264.0)</f>
        <v>264</v>
      </c>
      <c r="F1009" s="2">
        <f>IFERROR(__xludf.DUMMYFUNCTION("""COMPUTED_VALUE"""),4434600.0)</f>
        <v>4434600</v>
      </c>
      <c r="G1009" s="2">
        <f t="shared" si="1"/>
        <v>6</v>
      </c>
    </row>
    <row r="1010" ht="15.75" customHeight="1">
      <c r="A1010" s="1">
        <f>IFERROR(__xludf.DUMMYFUNCTION("""COMPUTED_VALUE"""),45355.66666666667)</f>
        <v>45355.66667</v>
      </c>
      <c r="B1010" s="2">
        <f>IFERROR(__xludf.DUMMYFUNCTION("""COMPUTED_VALUE"""),266.0)</f>
        <v>266</v>
      </c>
      <c r="C1010" s="2">
        <f>IFERROR(__xludf.DUMMYFUNCTION("""COMPUTED_VALUE"""),268.0)</f>
        <v>268</v>
      </c>
      <c r="D1010" s="2">
        <f>IFERROR(__xludf.DUMMYFUNCTION("""COMPUTED_VALUE"""),262.0)</f>
        <v>262</v>
      </c>
      <c r="E1010" s="2">
        <f>IFERROR(__xludf.DUMMYFUNCTION("""COMPUTED_VALUE"""),262.0)</f>
        <v>262</v>
      </c>
      <c r="F1010" s="2">
        <f>IFERROR(__xludf.DUMMYFUNCTION("""COMPUTED_VALUE"""),4341100.0)</f>
        <v>4341100</v>
      </c>
      <c r="G1010" s="2">
        <f t="shared" si="1"/>
        <v>6</v>
      </c>
    </row>
    <row r="1011" ht="15.75" customHeight="1">
      <c r="A1011" s="1">
        <f>IFERROR(__xludf.DUMMYFUNCTION("""COMPUTED_VALUE"""),45356.66666666667)</f>
        <v>45356.66667</v>
      </c>
      <c r="B1011" s="2">
        <f>IFERROR(__xludf.DUMMYFUNCTION("""COMPUTED_VALUE"""),264.0)</f>
        <v>264</v>
      </c>
      <c r="C1011" s="2">
        <f>IFERROR(__xludf.DUMMYFUNCTION("""COMPUTED_VALUE"""),282.0)</f>
        <v>282</v>
      </c>
      <c r="D1011" s="2">
        <f>IFERROR(__xludf.DUMMYFUNCTION("""COMPUTED_VALUE"""),260.0)</f>
        <v>260</v>
      </c>
      <c r="E1011" s="2">
        <f>IFERROR(__xludf.DUMMYFUNCTION("""COMPUTED_VALUE"""),262.0)</f>
        <v>262</v>
      </c>
      <c r="F1011" s="2">
        <f>IFERROR(__xludf.DUMMYFUNCTION("""COMPUTED_VALUE"""),4.50148E7)</f>
        <v>45014800</v>
      </c>
      <c r="G1011" s="2">
        <f t="shared" si="1"/>
        <v>22</v>
      </c>
    </row>
    <row r="1012" ht="15.75" customHeight="1">
      <c r="A1012" s="1">
        <f>IFERROR(__xludf.DUMMYFUNCTION("""COMPUTED_VALUE"""),45357.66666666667)</f>
        <v>45357.66667</v>
      </c>
      <c r="B1012" s="2">
        <f>IFERROR(__xludf.DUMMYFUNCTION("""COMPUTED_VALUE"""),262.0)</f>
        <v>262</v>
      </c>
      <c r="C1012" s="2">
        <f>IFERROR(__xludf.DUMMYFUNCTION("""COMPUTED_VALUE"""),288.0)</f>
        <v>288</v>
      </c>
      <c r="D1012" s="2">
        <f>IFERROR(__xludf.DUMMYFUNCTION("""COMPUTED_VALUE"""),260.0)</f>
        <v>260</v>
      </c>
      <c r="E1012" s="2">
        <f>IFERROR(__xludf.DUMMYFUNCTION("""COMPUTED_VALUE"""),284.0)</f>
        <v>284</v>
      </c>
      <c r="F1012" s="2">
        <f>IFERROR(__xludf.DUMMYFUNCTION("""COMPUTED_VALUE"""),1.069424E8)</f>
        <v>106942400</v>
      </c>
      <c r="G1012" s="2">
        <f t="shared" si="1"/>
        <v>28</v>
      </c>
    </row>
    <row r="1013" ht="15.75" customHeight="1">
      <c r="A1013" s="1">
        <f>IFERROR(__xludf.DUMMYFUNCTION("""COMPUTED_VALUE"""),45358.66666666667)</f>
        <v>45358.66667</v>
      </c>
      <c r="B1013" s="2">
        <f>IFERROR(__xludf.DUMMYFUNCTION("""COMPUTED_VALUE"""),284.0)</f>
        <v>284</v>
      </c>
      <c r="C1013" s="2">
        <f>IFERROR(__xludf.DUMMYFUNCTION("""COMPUTED_VALUE"""),288.0)</f>
        <v>288</v>
      </c>
      <c r="D1013" s="2">
        <f>IFERROR(__xludf.DUMMYFUNCTION("""COMPUTED_VALUE"""),270.0)</f>
        <v>270</v>
      </c>
      <c r="E1013" s="2">
        <f>IFERROR(__xludf.DUMMYFUNCTION("""COMPUTED_VALUE"""),272.0)</f>
        <v>272</v>
      </c>
      <c r="F1013" s="2">
        <f>IFERROR(__xludf.DUMMYFUNCTION("""COMPUTED_VALUE"""),4.63961E7)</f>
        <v>46396100</v>
      </c>
      <c r="G1013" s="2">
        <f t="shared" si="1"/>
        <v>18</v>
      </c>
    </row>
    <row r="1014" ht="15.75" customHeight="1">
      <c r="A1014" s="1">
        <f>IFERROR(__xludf.DUMMYFUNCTION("""COMPUTED_VALUE"""),45359.66666666667)</f>
        <v>45359.66667</v>
      </c>
      <c r="B1014" s="2">
        <f>IFERROR(__xludf.DUMMYFUNCTION("""COMPUTED_VALUE"""),274.0)</f>
        <v>274</v>
      </c>
      <c r="C1014" s="2">
        <f>IFERROR(__xludf.DUMMYFUNCTION("""COMPUTED_VALUE"""),292.0)</f>
        <v>292</v>
      </c>
      <c r="D1014" s="2">
        <f>IFERROR(__xludf.DUMMYFUNCTION("""COMPUTED_VALUE"""),272.0)</f>
        <v>272</v>
      </c>
      <c r="E1014" s="2">
        <f>IFERROR(__xludf.DUMMYFUNCTION("""COMPUTED_VALUE"""),278.0)</f>
        <v>278</v>
      </c>
      <c r="F1014" s="2">
        <f>IFERROR(__xludf.DUMMYFUNCTION("""COMPUTED_VALUE"""),6.16953E7)</f>
        <v>61695300</v>
      </c>
      <c r="G1014" s="2">
        <f t="shared" si="1"/>
        <v>20</v>
      </c>
    </row>
    <row r="1015" ht="15.75" customHeight="1">
      <c r="A1015" s="1">
        <f>IFERROR(__xludf.DUMMYFUNCTION("""COMPUTED_VALUE"""),45364.66666666667)</f>
        <v>45364.66667</v>
      </c>
      <c r="B1015" s="2">
        <f>IFERROR(__xludf.DUMMYFUNCTION("""COMPUTED_VALUE"""),280.0)</f>
        <v>280</v>
      </c>
      <c r="C1015" s="2">
        <f>IFERROR(__xludf.DUMMYFUNCTION("""COMPUTED_VALUE"""),286.0)</f>
        <v>286</v>
      </c>
      <c r="D1015" s="2">
        <f>IFERROR(__xludf.DUMMYFUNCTION("""COMPUTED_VALUE"""),276.0)</f>
        <v>276</v>
      </c>
      <c r="E1015" s="2">
        <f>IFERROR(__xludf.DUMMYFUNCTION("""COMPUTED_VALUE"""),284.0)</f>
        <v>284</v>
      </c>
      <c r="F1015" s="2">
        <f>IFERROR(__xludf.DUMMYFUNCTION("""COMPUTED_VALUE"""),2.43151E7)</f>
        <v>24315100</v>
      </c>
      <c r="G1015" s="2">
        <f t="shared" si="1"/>
        <v>10</v>
      </c>
    </row>
    <row r="1016" ht="15.75" customHeight="1">
      <c r="A1016" s="1">
        <f>IFERROR(__xludf.DUMMYFUNCTION("""COMPUTED_VALUE"""),45365.66666666667)</f>
        <v>45365.66667</v>
      </c>
      <c r="B1016" s="2">
        <f>IFERROR(__xludf.DUMMYFUNCTION("""COMPUTED_VALUE"""),284.0)</f>
        <v>284</v>
      </c>
      <c r="C1016" s="2">
        <f>IFERROR(__xludf.DUMMYFUNCTION("""COMPUTED_VALUE"""),288.0)</f>
        <v>288</v>
      </c>
      <c r="D1016" s="2">
        <f>IFERROR(__xludf.DUMMYFUNCTION("""COMPUTED_VALUE"""),274.0)</f>
        <v>274</v>
      </c>
      <c r="E1016" s="2">
        <f>IFERROR(__xludf.DUMMYFUNCTION("""COMPUTED_VALUE"""),276.0)</f>
        <v>276</v>
      </c>
      <c r="F1016" s="2">
        <f>IFERROR(__xludf.DUMMYFUNCTION("""COMPUTED_VALUE"""),2.76049E7)</f>
        <v>27604900</v>
      </c>
      <c r="G1016" s="2">
        <f t="shared" si="1"/>
        <v>14</v>
      </c>
    </row>
    <row r="1017" ht="15.75" customHeight="1">
      <c r="A1017" s="1">
        <f>IFERROR(__xludf.DUMMYFUNCTION("""COMPUTED_VALUE"""),45366.66666666667)</f>
        <v>45366.66667</v>
      </c>
      <c r="B1017" s="2">
        <f>IFERROR(__xludf.DUMMYFUNCTION("""COMPUTED_VALUE"""),276.0)</f>
        <v>276</v>
      </c>
      <c r="C1017" s="2">
        <f>IFERROR(__xludf.DUMMYFUNCTION("""COMPUTED_VALUE"""),280.0)</f>
        <v>280</v>
      </c>
      <c r="D1017" s="2">
        <f>IFERROR(__xludf.DUMMYFUNCTION("""COMPUTED_VALUE"""),270.0)</f>
        <v>270</v>
      </c>
      <c r="E1017" s="2">
        <f>IFERROR(__xludf.DUMMYFUNCTION("""COMPUTED_VALUE"""),272.0)</f>
        <v>272</v>
      </c>
      <c r="F1017" s="2">
        <f>IFERROR(__xludf.DUMMYFUNCTION("""COMPUTED_VALUE"""),1.37187E7)</f>
        <v>13718700</v>
      </c>
      <c r="G1017" s="2">
        <f t="shared" si="1"/>
        <v>10</v>
      </c>
    </row>
    <row r="1018" ht="15.75" customHeight="1">
      <c r="A1018" s="1">
        <f>IFERROR(__xludf.DUMMYFUNCTION("""COMPUTED_VALUE"""),45369.66666666667)</f>
        <v>45369.66667</v>
      </c>
      <c r="B1018" s="2">
        <f>IFERROR(__xludf.DUMMYFUNCTION("""COMPUTED_VALUE"""),286.0)</f>
        <v>286</v>
      </c>
      <c r="C1018" s="2">
        <f>IFERROR(__xludf.DUMMYFUNCTION("""COMPUTED_VALUE"""),292.0)</f>
        <v>292</v>
      </c>
      <c r="D1018" s="2">
        <f>IFERROR(__xludf.DUMMYFUNCTION("""COMPUTED_VALUE"""),276.0)</f>
        <v>276</v>
      </c>
      <c r="E1018" s="2">
        <f>IFERROR(__xludf.DUMMYFUNCTION("""COMPUTED_VALUE"""),278.0)</f>
        <v>278</v>
      </c>
      <c r="F1018" s="2">
        <f>IFERROR(__xludf.DUMMYFUNCTION("""COMPUTED_VALUE"""),3.2098E7)</f>
        <v>32098000</v>
      </c>
      <c r="G1018" s="2">
        <f t="shared" si="1"/>
        <v>20</v>
      </c>
    </row>
    <row r="1019" ht="15.75" customHeight="1">
      <c r="A1019" s="1">
        <f>IFERROR(__xludf.DUMMYFUNCTION("""COMPUTED_VALUE"""),45370.66666666667)</f>
        <v>45370.66667</v>
      </c>
      <c r="B1019" s="2">
        <f>IFERROR(__xludf.DUMMYFUNCTION("""COMPUTED_VALUE"""),282.0)</f>
        <v>282</v>
      </c>
      <c r="C1019" s="2">
        <f>IFERROR(__xludf.DUMMYFUNCTION("""COMPUTED_VALUE"""),282.0)</f>
        <v>282</v>
      </c>
      <c r="D1019" s="2">
        <f>IFERROR(__xludf.DUMMYFUNCTION("""COMPUTED_VALUE"""),276.0)</f>
        <v>276</v>
      </c>
      <c r="E1019" s="2">
        <f>IFERROR(__xludf.DUMMYFUNCTION("""COMPUTED_VALUE"""),278.0)</f>
        <v>278</v>
      </c>
      <c r="F1019" s="2">
        <f>IFERROR(__xludf.DUMMYFUNCTION("""COMPUTED_VALUE"""),9303200.0)</f>
        <v>9303200</v>
      </c>
      <c r="G1019" s="2">
        <f t="shared" si="1"/>
        <v>6</v>
      </c>
    </row>
    <row r="1020" ht="15.75" customHeight="1">
      <c r="A1020" s="1">
        <f>IFERROR(__xludf.DUMMYFUNCTION("""COMPUTED_VALUE"""),45371.66666666667)</f>
        <v>45371.66667</v>
      </c>
      <c r="B1020" s="2">
        <f>IFERROR(__xludf.DUMMYFUNCTION("""COMPUTED_VALUE"""),278.0)</f>
        <v>278</v>
      </c>
      <c r="C1020" s="2">
        <f>IFERROR(__xludf.DUMMYFUNCTION("""COMPUTED_VALUE"""),280.0)</f>
        <v>280</v>
      </c>
      <c r="D1020" s="2">
        <f>IFERROR(__xludf.DUMMYFUNCTION("""COMPUTED_VALUE"""),272.0)</f>
        <v>272</v>
      </c>
      <c r="E1020" s="2">
        <f>IFERROR(__xludf.DUMMYFUNCTION("""COMPUTED_VALUE"""),272.0)</f>
        <v>272</v>
      </c>
      <c r="F1020" s="2">
        <f>IFERROR(__xludf.DUMMYFUNCTION("""COMPUTED_VALUE"""),1.11896E7)</f>
        <v>11189600</v>
      </c>
      <c r="G1020" s="2">
        <f t="shared" si="1"/>
        <v>8</v>
      </c>
    </row>
    <row r="1021" ht="15.75" customHeight="1">
      <c r="A1021" s="1">
        <f>IFERROR(__xludf.DUMMYFUNCTION("""COMPUTED_VALUE"""),45372.66666666667)</f>
        <v>45372.66667</v>
      </c>
      <c r="B1021" s="2">
        <f>IFERROR(__xludf.DUMMYFUNCTION("""COMPUTED_VALUE"""),274.0)</f>
        <v>274</v>
      </c>
      <c r="C1021" s="2">
        <f>IFERROR(__xludf.DUMMYFUNCTION("""COMPUTED_VALUE"""),286.0)</f>
        <v>286</v>
      </c>
      <c r="D1021" s="2">
        <f>IFERROR(__xludf.DUMMYFUNCTION("""COMPUTED_VALUE"""),274.0)</f>
        <v>274</v>
      </c>
      <c r="E1021" s="2">
        <f>IFERROR(__xludf.DUMMYFUNCTION("""COMPUTED_VALUE"""),284.0)</f>
        <v>284</v>
      </c>
      <c r="F1021" s="2">
        <f>IFERROR(__xludf.DUMMYFUNCTION("""COMPUTED_VALUE"""),2.54214E7)</f>
        <v>25421400</v>
      </c>
      <c r="G1021" s="2">
        <f t="shared" si="1"/>
        <v>14</v>
      </c>
    </row>
    <row r="1022" ht="15.75" customHeight="1">
      <c r="A1022" s="1">
        <f>IFERROR(__xludf.DUMMYFUNCTION("""COMPUTED_VALUE"""),45373.66666666667)</f>
        <v>45373.66667</v>
      </c>
      <c r="B1022" s="2">
        <f>IFERROR(__xludf.DUMMYFUNCTION("""COMPUTED_VALUE"""),286.0)</f>
        <v>286</v>
      </c>
      <c r="C1022" s="2">
        <f>IFERROR(__xludf.DUMMYFUNCTION("""COMPUTED_VALUE"""),322.0)</f>
        <v>322</v>
      </c>
      <c r="D1022" s="2">
        <f>IFERROR(__xludf.DUMMYFUNCTION("""COMPUTED_VALUE"""),284.0)</f>
        <v>284</v>
      </c>
      <c r="E1022" s="2">
        <f>IFERROR(__xludf.DUMMYFUNCTION("""COMPUTED_VALUE"""),302.0)</f>
        <v>302</v>
      </c>
      <c r="F1022" s="2">
        <f>IFERROR(__xludf.DUMMYFUNCTION("""COMPUTED_VALUE"""),2.761165E8)</f>
        <v>276116500</v>
      </c>
      <c r="G1022" s="2">
        <f t="shared" si="1"/>
        <v>38</v>
      </c>
    </row>
    <row r="1023" ht="15.75" customHeight="1">
      <c r="A1023" s="1">
        <f>IFERROR(__xludf.DUMMYFUNCTION("""COMPUTED_VALUE"""),45376.66666666667)</f>
        <v>45376.66667</v>
      </c>
      <c r="B1023" s="2">
        <f>IFERROR(__xludf.DUMMYFUNCTION("""COMPUTED_VALUE"""),310.0)</f>
        <v>310</v>
      </c>
      <c r="C1023" s="2">
        <f>IFERROR(__xludf.DUMMYFUNCTION("""COMPUTED_VALUE"""),310.0)</f>
        <v>310</v>
      </c>
      <c r="D1023" s="2">
        <f>IFERROR(__xludf.DUMMYFUNCTION("""COMPUTED_VALUE"""),294.0)</f>
        <v>294</v>
      </c>
      <c r="E1023" s="2">
        <f>IFERROR(__xludf.DUMMYFUNCTION("""COMPUTED_VALUE"""),296.0)</f>
        <v>296</v>
      </c>
      <c r="F1023" s="2">
        <f>IFERROR(__xludf.DUMMYFUNCTION("""COMPUTED_VALUE"""),5.29452E7)</f>
        <v>52945200</v>
      </c>
      <c r="G1023" s="2">
        <f t="shared" si="1"/>
        <v>16</v>
      </c>
    </row>
    <row r="1024" ht="15.75" customHeight="1">
      <c r="A1024" s="1">
        <f>IFERROR(__xludf.DUMMYFUNCTION("""COMPUTED_VALUE"""),45377.66666666667)</f>
        <v>45377.66667</v>
      </c>
      <c r="B1024" s="2">
        <f>IFERROR(__xludf.DUMMYFUNCTION("""COMPUTED_VALUE"""),316.0)</f>
        <v>316</v>
      </c>
      <c r="C1024" s="2">
        <f>IFERROR(__xludf.DUMMYFUNCTION("""COMPUTED_VALUE"""),316.0)</f>
        <v>316</v>
      </c>
      <c r="D1024" s="2">
        <f>IFERROR(__xludf.DUMMYFUNCTION("""COMPUTED_VALUE"""),296.0)</f>
        <v>296</v>
      </c>
      <c r="E1024" s="2">
        <f>IFERROR(__xludf.DUMMYFUNCTION("""COMPUTED_VALUE"""),306.0)</f>
        <v>306</v>
      </c>
      <c r="F1024" s="2">
        <f>IFERROR(__xludf.DUMMYFUNCTION("""COMPUTED_VALUE"""),9.25197E7)</f>
        <v>92519700</v>
      </c>
      <c r="G1024" s="2">
        <f t="shared" si="1"/>
        <v>20</v>
      </c>
    </row>
    <row r="1025" ht="15.75" customHeight="1">
      <c r="A1025" s="1">
        <f>IFERROR(__xludf.DUMMYFUNCTION("""COMPUTED_VALUE"""),45378.66666666667)</f>
        <v>45378.66667</v>
      </c>
      <c r="B1025" s="2">
        <f>IFERROR(__xludf.DUMMYFUNCTION("""COMPUTED_VALUE"""),306.0)</f>
        <v>306</v>
      </c>
      <c r="C1025" s="2">
        <f>IFERROR(__xludf.DUMMYFUNCTION("""COMPUTED_VALUE"""),312.0)</f>
        <v>312</v>
      </c>
      <c r="D1025" s="2">
        <f>IFERROR(__xludf.DUMMYFUNCTION("""COMPUTED_VALUE"""),300.0)</f>
        <v>300</v>
      </c>
      <c r="E1025" s="2">
        <f>IFERROR(__xludf.DUMMYFUNCTION("""COMPUTED_VALUE"""),300.0)</f>
        <v>300</v>
      </c>
      <c r="F1025" s="2">
        <f>IFERROR(__xludf.DUMMYFUNCTION("""COMPUTED_VALUE"""),3.24996E7)</f>
        <v>32499600</v>
      </c>
      <c r="G1025" s="2">
        <f t="shared" si="1"/>
        <v>12</v>
      </c>
    </row>
    <row r="1026" ht="15.75" customHeight="1">
      <c r="A1026" s="1">
        <f>IFERROR(__xludf.DUMMYFUNCTION("""COMPUTED_VALUE"""),45379.66666666667)</f>
        <v>45379.66667</v>
      </c>
      <c r="B1026" s="2">
        <f>IFERROR(__xludf.DUMMYFUNCTION("""COMPUTED_VALUE"""),300.0)</f>
        <v>300</v>
      </c>
      <c r="C1026" s="2">
        <f>IFERROR(__xludf.DUMMYFUNCTION("""COMPUTED_VALUE"""),304.0)</f>
        <v>304</v>
      </c>
      <c r="D1026" s="2">
        <f>IFERROR(__xludf.DUMMYFUNCTION("""COMPUTED_VALUE"""),290.0)</f>
        <v>290</v>
      </c>
      <c r="E1026" s="2">
        <f>IFERROR(__xludf.DUMMYFUNCTION("""COMPUTED_VALUE"""),290.0)</f>
        <v>290</v>
      </c>
      <c r="F1026" s="2">
        <f>IFERROR(__xludf.DUMMYFUNCTION("""COMPUTED_VALUE"""),3.40817E7)</f>
        <v>34081700</v>
      </c>
      <c r="G1026" s="2">
        <f t="shared" si="1"/>
        <v>14</v>
      </c>
    </row>
    <row r="1027" ht="15.75" customHeight="1">
      <c r="A1027" s="1">
        <f>IFERROR(__xludf.DUMMYFUNCTION("""COMPUTED_VALUE"""),45383.66666666667)</f>
        <v>45383.66667</v>
      </c>
      <c r="B1027" s="2">
        <f>IFERROR(__xludf.DUMMYFUNCTION("""COMPUTED_VALUE"""),292.0)</f>
        <v>292</v>
      </c>
      <c r="C1027" s="2">
        <f>IFERROR(__xludf.DUMMYFUNCTION("""COMPUTED_VALUE"""),292.0)</f>
        <v>292</v>
      </c>
      <c r="D1027" s="2">
        <f>IFERROR(__xludf.DUMMYFUNCTION("""COMPUTED_VALUE"""),280.0)</f>
        <v>280</v>
      </c>
      <c r="E1027" s="2">
        <f>IFERROR(__xludf.DUMMYFUNCTION("""COMPUTED_VALUE"""),286.0)</f>
        <v>286</v>
      </c>
      <c r="F1027" s="2">
        <f>IFERROR(__xludf.DUMMYFUNCTION("""COMPUTED_VALUE"""),2.42521E7)</f>
        <v>24252100</v>
      </c>
      <c r="G1027" s="2">
        <f t="shared" si="1"/>
        <v>12</v>
      </c>
    </row>
    <row r="1028" ht="15.75" customHeight="1">
      <c r="A1028" s="1">
        <f>IFERROR(__xludf.DUMMYFUNCTION("""COMPUTED_VALUE"""),45384.66666666667)</f>
        <v>45384.66667</v>
      </c>
      <c r="B1028" s="2">
        <f>IFERROR(__xludf.DUMMYFUNCTION("""COMPUTED_VALUE"""),286.0)</f>
        <v>286</v>
      </c>
      <c r="C1028" s="2">
        <f>IFERROR(__xludf.DUMMYFUNCTION("""COMPUTED_VALUE"""),290.0)</f>
        <v>290</v>
      </c>
      <c r="D1028" s="2">
        <f>IFERROR(__xludf.DUMMYFUNCTION("""COMPUTED_VALUE"""),270.0)</f>
        <v>270</v>
      </c>
      <c r="E1028" s="2">
        <f>IFERROR(__xludf.DUMMYFUNCTION("""COMPUTED_VALUE"""),278.0)</f>
        <v>278</v>
      </c>
      <c r="F1028" s="2">
        <f>IFERROR(__xludf.DUMMYFUNCTION("""COMPUTED_VALUE"""),5.69502E7)</f>
        <v>56950200</v>
      </c>
      <c r="G1028" s="2">
        <f t="shared" si="1"/>
        <v>20</v>
      </c>
    </row>
    <row r="1029" ht="15.75" customHeight="1">
      <c r="A1029" s="1">
        <f>IFERROR(__xludf.DUMMYFUNCTION("""COMPUTED_VALUE"""),45385.66666666667)</f>
        <v>45385.66667</v>
      </c>
      <c r="B1029" s="2">
        <f>IFERROR(__xludf.DUMMYFUNCTION("""COMPUTED_VALUE"""),276.0)</f>
        <v>276</v>
      </c>
      <c r="C1029" s="2">
        <f>IFERROR(__xludf.DUMMYFUNCTION("""COMPUTED_VALUE"""),280.0)</f>
        <v>280</v>
      </c>
      <c r="D1029" s="2">
        <f>IFERROR(__xludf.DUMMYFUNCTION("""COMPUTED_VALUE"""),264.0)</f>
        <v>264</v>
      </c>
      <c r="E1029" s="2">
        <f>IFERROR(__xludf.DUMMYFUNCTION("""COMPUTED_VALUE"""),268.0)</f>
        <v>268</v>
      </c>
      <c r="F1029" s="2">
        <f>IFERROR(__xludf.DUMMYFUNCTION("""COMPUTED_VALUE"""),3.57608E7)</f>
        <v>35760800</v>
      </c>
      <c r="G1029" s="2">
        <f t="shared" si="1"/>
        <v>16</v>
      </c>
    </row>
    <row r="1030" ht="15.75" customHeight="1">
      <c r="A1030" s="1">
        <f>IFERROR(__xludf.DUMMYFUNCTION("""COMPUTED_VALUE"""),45386.66666666667)</f>
        <v>45386.66667</v>
      </c>
      <c r="B1030" s="2">
        <f>IFERROR(__xludf.DUMMYFUNCTION("""COMPUTED_VALUE"""),268.0)</f>
        <v>268</v>
      </c>
      <c r="C1030" s="2">
        <f>IFERROR(__xludf.DUMMYFUNCTION("""COMPUTED_VALUE"""),274.0)</f>
        <v>274</v>
      </c>
      <c r="D1030" s="2">
        <f>IFERROR(__xludf.DUMMYFUNCTION("""COMPUTED_VALUE"""),260.0)</f>
        <v>260</v>
      </c>
      <c r="E1030" s="2">
        <f>IFERROR(__xludf.DUMMYFUNCTION("""COMPUTED_VALUE"""),270.0)</f>
        <v>270</v>
      </c>
      <c r="F1030" s="2">
        <f>IFERROR(__xludf.DUMMYFUNCTION("""COMPUTED_VALUE"""),1.55011E7)</f>
        <v>15501100</v>
      </c>
      <c r="G1030" s="2">
        <f t="shared" si="1"/>
        <v>14</v>
      </c>
    </row>
    <row r="1031" ht="15.75" customHeight="1">
      <c r="A1031" s="1">
        <f>IFERROR(__xludf.DUMMYFUNCTION("""COMPUTED_VALUE"""),45387.66666666667)</f>
        <v>45387.66667</v>
      </c>
      <c r="B1031" s="2">
        <f>IFERROR(__xludf.DUMMYFUNCTION("""COMPUTED_VALUE"""),270.0)</f>
        <v>270</v>
      </c>
      <c r="C1031" s="2">
        <f>IFERROR(__xludf.DUMMYFUNCTION("""COMPUTED_VALUE"""),274.0)</f>
        <v>274</v>
      </c>
      <c r="D1031" s="2">
        <f>IFERROR(__xludf.DUMMYFUNCTION("""COMPUTED_VALUE"""),266.0)</f>
        <v>266</v>
      </c>
      <c r="E1031" s="2">
        <f>IFERROR(__xludf.DUMMYFUNCTION("""COMPUTED_VALUE"""),268.0)</f>
        <v>268</v>
      </c>
      <c r="F1031" s="2">
        <f>IFERROR(__xludf.DUMMYFUNCTION("""COMPUTED_VALUE"""),1.2775E7)</f>
        <v>12775000</v>
      </c>
      <c r="G1031" s="2">
        <f t="shared" si="1"/>
        <v>8</v>
      </c>
    </row>
    <row r="1032" ht="15.75" customHeight="1">
      <c r="A1032" s="1">
        <f>IFERROR(__xludf.DUMMYFUNCTION("""COMPUTED_VALUE"""),45398.66666666667)</f>
        <v>45398.66667</v>
      </c>
      <c r="B1032" s="2">
        <f>IFERROR(__xludf.DUMMYFUNCTION("""COMPUTED_VALUE"""),268.0)</f>
        <v>268</v>
      </c>
      <c r="C1032" s="2">
        <f>IFERROR(__xludf.DUMMYFUNCTION("""COMPUTED_VALUE"""),268.0)</f>
        <v>268</v>
      </c>
      <c r="D1032" s="2">
        <f>IFERROR(__xludf.DUMMYFUNCTION("""COMPUTED_VALUE"""),254.0)</f>
        <v>254</v>
      </c>
      <c r="E1032" s="2">
        <f>IFERROR(__xludf.DUMMYFUNCTION("""COMPUTED_VALUE"""),258.0)</f>
        <v>258</v>
      </c>
      <c r="F1032" s="2">
        <f>IFERROR(__xludf.DUMMYFUNCTION("""COMPUTED_VALUE"""),2.72148E7)</f>
        <v>27214800</v>
      </c>
      <c r="G1032" s="2">
        <f t="shared" si="1"/>
        <v>14</v>
      </c>
    </row>
    <row r="1033" ht="15.75" customHeight="1">
      <c r="A1033" s="1">
        <f>IFERROR(__xludf.DUMMYFUNCTION("""COMPUTED_VALUE"""),45399.66666666667)</f>
        <v>45399.66667</v>
      </c>
      <c r="B1033" s="2">
        <f>IFERROR(__xludf.DUMMYFUNCTION("""COMPUTED_VALUE"""),258.0)</f>
        <v>258</v>
      </c>
      <c r="C1033" s="2">
        <f>IFERROR(__xludf.DUMMYFUNCTION("""COMPUTED_VALUE"""),264.0)</f>
        <v>264</v>
      </c>
      <c r="D1033" s="2">
        <f>IFERROR(__xludf.DUMMYFUNCTION("""COMPUTED_VALUE"""),256.0)</f>
        <v>256</v>
      </c>
      <c r="E1033" s="2">
        <f>IFERROR(__xludf.DUMMYFUNCTION("""COMPUTED_VALUE"""),258.0)</f>
        <v>258</v>
      </c>
      <c r="F1033" s="2">
        <f>IFERROR(__xludf.DUMMYFUNCTION("""COMPUTED_VALUE"""),1.12271E7)</f>
        <v>11227100</v>
      </c>
      <c r="G1033" s="2">
        <f t="shared" si="1"/>
        <v>8</v>
      </c>
    </row>
    <row r="1034" ht="15.75" customHeight="1">
      <c r="A1034" s="1">
        <f>IFERROR(__xludf.DUMMYFUNCTION("""COMPUTED_VALUE"""),45400.66666666667)</f>
        <v>45400.66667</v>
      </c>
      <c r="B1034" s="2">
        <f>IFERROR(__xludf.DUMMYFUNCTION("""COMPUTED_VALUE"""),260.0)</f>
        <v>260</v>
      </c>
      <c r="C1034" s="2">
        <f>IFERROR(__xludf.DUMMYFUNCTION("""COMPUTED_VALUE"""),264.0)</f>
        <v>264</v>
      </c>
      <c r="D1034" s="2">
        <f>IFERROR(__xludf.DUMMYFUNCTION("""COMPUTED_VALUE"""),256.0)</f>
        <v>256</v>
      </c>
      <c r="E1034" s="2">
        <f>IFERROR(__xludf.DUMMYFUNCTION("""COMPUTED_VALUE"""),256.0)</f>
        <v>256</v>
      </c>
      <c r="F1034" s="2">
        <f>IFERROR(__xludf.DUMMYFUNCTION("""COMPUTED_VALUE"""),8135800.0)</f>
        <v>8135800</v>
      </c>
      <c r="G1034" s="2">
        <f t="shared" si="1"/>
        <v>8</v>
      </c>
    </row>
    <row r="1035" ht="15.75" customHeight="1">
      <c r="A1035" s="1">
        <f>IFERROR(__xludf.DUMMYFUNCTION("""COMPUTED_VALUE"""),45401.66666666667)</f>
        <v>45401.66667</v>
      </c>
      <c r="B1035" s="2">
        <f>IFERROR(__xludf.DUMMYFUNCTION("""COMPUTED_VALUE"""),256.0)</f>
        <v>256</v>
      </c>
      <c r="C1035" s="2">
        <f>IFERROR(__xludf.DUMMYFUNCTION("""COMPUTED_VALUE"""),258.0)</f>
        <v>258</v>
      </c>
      <c r="D1035" s="2">
        <f>IFERROR(__xludf.DUMMYFUNCTION("""COMPUTED_VALUE"""),244.0)</f>
        <v>244</v>
      </c>
      <c r="E1035" s="2">
        <f>IFERROR(__xludf.DUMMYFUNCTION("""COMPUTED_VALUE"""),244.0)</f>
        <v>244</v>
      </c>
      <c r="F1035" s="2">
        <f>IFERROR(__xludf.DUMMYFUNCTION("""COMPUTED_VALUE"""),1.56855E7)</f>
        <v>15685500</v>
      </c>
      <c r="G1035" s="2">
        <f t="shared" si="1"/>
        <v>14</v>
      </c>
    </row>
    <row r="1036" ht="15.75" customHeight="1">
      <c r="A1036" s="1">
        <f>IFERROR(__xludf.DUMMYFUNCTION("""COMPUTED_VALUE"""),45404.66666666667)</f>
        <v>45404.66667</v>
      </c>
      <c r="B1036" s="2">
        <f>IFERROR(__xludf.DUMMYFUNCTION("""COMPUTED_VALUE"""),246.0)</f>
        <v>246</v>
      </c>
      <c r="C1036" s="2">
        <f>IFERROR(__xludf.DUMMYFUNCTION("""COMPUTED_VALUE"""),252.0)</f>
        <v>252</v>
      </c>
      <c r="D1036" s="2">
        <f>IFERROR(__xludf.DUMMYFUNCTION("""COMPUTED_VALUE"""),244.0)</f>
        <v>244</v>
      </c>
      <c r="E1036" s="2">
        <f>IFERROR(__xludf.DUMMYFUNCTION("""COMPUTED_VALUE"""),248.0)</f>
        <v>248</v>
      </c>
      <c r="F1036" s="2">
        <f>IFERROR(__xludf.DUMMYFUNCTION("""COMPUTED_VALUE"""),9536500.0)</f>
        <v>9536500</v>
      </c>
      <c r="G1036" s="2">
        <f t="shared" si="1"/>
        <v>8</v>
      </c>
    </row>
    <row r="1037" ht="15.75" customHeight="1">
      <c r="A1037" s="1">
        <f>IFERROR(__xludf.DUMMYFUNCTION("""COMPUTED_VALUE"""),45405.66666666667)</f>
        <v>45405.66667</v>
      </c>
      <c r="B1037" s="2">
        <f>IFERROR(__xludf.DUMMYFUNCTION("""COMPUTED_VALUE"""),252.0)</f>
        <v>252</v>
      </c>
      <c r="C1037" s="2">
        <f>IFERROR(__xludf.DUMMYFUNCTION("""COMPUTED_VALUE"""),258.0)</f>
        <v>258</v>
      </c>
      <c r="D1037" s="2">
        <f>IFERROR(__xludf.DUMMYFUNCTION("""COMPUTED_VALUE"""),250.0)</f>
        <v>250</v>
      </c>
      <c r="E1037" s="2">
        <f>IFERROR(__xludf.DUMMYFUNCTION("""COMPUTED_VALUE"""),254.0)</f>
        <v>254</v>
      </c>
      <c r="F1037" s="2">
        <f>IFERROR(__xludf.DUMMYFUNCTION("""COMPUTED_VALUE"""),1.82704E7)</f>
        <v>18270400</v>
      </c>
      <c r="G1037" s="2">
        <f t="shared" si="1"/>
        <v>10</v>
      </c>
    </row>
    <row r="1038" ht="15.75" customHeight="1">
      <c r="A1038" s="1">
        <f>IFERROR(__xludf.DUMMYFUNCTION("""COMPUTED_VALUE"""),45406.66666666667)</f>
        <v>45406.66667</v>
      </c>
      <c r="B1038" s="2">
        <f>IFERROR(__xludf.DUMMYFUNCTION("""COMPUTED_VALUE"""),254.0)</f>
        <v>254</v>
      </c>
      <c r="C1038" s="2">
        <f>IFERROR(__xludf.DUMMYFUNCTION("""COMPUTED_VALUE"""),266.0)</f>
        <v>266</v>
      </c>
      <c r="D1038" s="2">
        <f>IFERROR(__xludf.DUMMYFUNCTION("""COMPUTED_VALUE"""),254.0)</f>
        <v>254</v>
      </c>
      <c r="E1038" s="2">
        <f>IFERROR(__xludf.DUMMYFUNCTION("""COMPUTED_VALUE"""),258.0)</f>
        <v>258</v>
      </c>
      <c r="F1038" s="2">
        <f>IFERROR(__xludf.DUMMYFUNCTION("""COMPUTED_VALUE"""),1.49689E7)</f>
        <v>14968900</v>
      </c>
      <c r="G1038" s="2">
        <f t="shared" si="1"/>
        <v>12</v>
      </c>
    </row>
    <row r="1039" ht="15.75" customHeight="1">
      <c r="A1039" s="1">
        <f>IFERROR(__xludf.DUMMYFUNCTION("""COMPUTED_VALUE"""),45407.66666666667)</f>
        <v>45407.66667</v>
      </c>
      <c r="B1039" s="2">
        <f>IFERROR(__xludf.DUMMYFUNCTION("""COMPUTED_VALUE"""),258.0)</f>
        <v>258</v>
      </c>
      <c r="C1039" s="2">
        <f>IFERROR(__xludf.DUMMYFUNCTION("""COMPUTED_VALUE"""),262.0)</f>
        <v>262</v>
      </c>
      <c r="D1039" s="2">
        <f>IFERROR(__xludf.DUMMYFUNCTION("""COMPUTED_VALUE"""),250.0)</f>
        <v>250</v>
      </c>
      <c r="E1039" s="2">
        <f>IFERROR(__xludf.DUMMYFUNCTION("""COMPUTED_VALUE"""),252.0)</f>
        <v>252</v>
      </c>
      <c r="F1039" s="2">
        <f>IFERROR(__xludf.DUMMYFUNCTION("""COMPUTED_VALUE"""),9027000.0)</f>
        <v>9027000</v>
      </c>
      <c r="G1039" s="2">
        <f t="shared" si="1"/>
        <v>12</v>
      </c>
    </row>
    <row r="1040" ht="15.75" customHeight="1">
      <c r="A1040" s="1">
        <f>IFERROR(__xludf.DUMMYFUNCTION("""COMPUTED_VALUE"""),45408.66666666667)</f>
        <v>45408.66667</v>
      </c>
      <c r="B1040" s="2">
        <f>IFERROR(__xludf.DUMMYFUNCTION("""COMPUTED_VALUE"""),252.0)</f>
        <v>252</v>
      </c>
      <c r="C1040" s="2">
        <f>IFERROR(__xludf.DUMMYFUNCTION("""COMPUTED_VALUE"""),254.0)</f>
        <v>254</v>
      </c>
      <c r="D1040" s="2">
        <f>IFERROR(__xludf.DUMMYFUNCTION("""COMPUTED_VALUE"""),246.0)</f>
        <v>246</v>
      </c>
      <c r="E1040" s="2">
        <f>IFERROR(__xludf.DUMMYFUNCTION("""COMPUTED_VALUE"""),246.0)</f>
        <v>246</v>
      </c>
      <c r="F1040" s="2">
        <f>IFERROR(__xludf.DUMMYFUNCTION("""COMPUTED_VALUE"""),9473200.0)</f>
        <v>9473200</v>
      </c>
      <c r="G1040" s="2">
        <f t="shared" si="1"/>
        <v>8</v>
      </c>
    </row>
    <row r="1041" ht="15.75" customHeight="1">
      <c r="A1041" s="1">
        <f>IFERROR(__xludf.DUMMYFUNCTION("""COMPUTED_VALUE"""),45411.66666666667)</f>
        <v>45411.66667</v>
      </c>
      <c r="B1041" s="2">
        <f>IFERROR(__xludf.DUMMYFUNCTION("""COMPUTED_VALUE"""),248.0)</f>
        <v>248</v>
      </c>
      <c r="C1041" s="2">
        <f>IFERROR(__xludf.DUMMYFUNCTION("""COMPUTED_VALUE"""),254.0)</f>
        <v>254</v>
      </c>
      <c r="D1041" s="2">
        <f>IFERROR(__xludf.DUMMYFUNCTION("""COMPUTED_VALUE"""),246.0)</f>
        <v>246</v>
      </c>
      <c r="E1041" s="2">
        <f>IFERROR(__xludf.DUMMYFUNCTION("""COMPUTED_VALUE"""),252.0)</f>
        <v>252</v>
      </c>
      <c r="F1041" s="2">
        <f>IFERROR(__xludf.DUMMYFUNCTION("""COMPUTED_VALUE"""),8781500.0)</f>
        <v>8781500</v>
      </c>
      <c r="G1041" s="2">
        <f t="shared" si="1"/>
        <v>8</v>
      </c>
    </row>
    <row r="1042" ht="15.75" customHeight="1">
      <c r="A1042" s="1">
        <f>IFERROR(__xludf.DUMMYFUNCTION("""COMPUTED_VALUE"""),45412.66666666667)</f>
        <v>45412.66667</v>
      </c>
      <c r="B1042" s="2">
        <f>IFERROR(__xludf.DUMMYFUNCTION("""COMPUTED_VALUE"""),252.0)</f>
        <v>252</v>
      </c>
      <c r="C1042" s="2">
        <f>IFERROR(__xludf.DUMMYFUNCTION("""COMPUTED_VALUE"""),262.0)</f>
        <v>262</v>
      </c>
      <c r="D1042" s="2">
        <f>IFERROR(__xludf.DUMMYFUNCTION("""COMPUTED_VALUE"""),252.0)</f>
        <v>252</v>
      </c>
      <c r="E1042" s="2">
        <f>IFERROR(__xludf.DUMMYFUNCTION("""COMPUTED_VALUE"""),256.0)</f>
        <v>256</v>
      </c>
      <c r="F1042" s="2">
        <f>IFERROR(__xludf.DUMMYFUNCTION("""COMPUTED_VALUE"""),1.38255E7)</f>
        <v>13825500</v>
      </c>
      <c r="G1042" s="2">
        <f t="shared" si="1"/>
        <v>10</v>
      </c>
    </row>
    <row r="1043" ht="15.75" customHeight="1">
      <c r="A1043" s="1">
        <f>IFERROR(__xludf.DUMMYFUNCTION("""COMPUTED_VALUE"""),45414.66666666667)</f>
        <v>45414.66667</v>
      </c>
      <c r="B1043" s="2">
        <f>IFERROR(__xludf.DUMMYFUNCTION("""COMPUTED_VALUE"""),256.0)</f>
        <v>256</v>
      </c>
      <c r="C1043" s="2">
        <f>IFERROR(__xludf.DUMMYFUNCTION("""COMPUTED_VALUE"""),258.0)</f>
        <v>258</v>
      </c>
      <c r="D1043" s="2">
        <f>IFERROR(__xludf.DUMMYFUNCTION("""COMPUTED_VALUE"""),248.0)</f>
        <v>248</v>
      </c>
      <c r="E1043" s="2">
        <f>IFERROR(__xludf.DUMMYFUNCTION("""COMPUTED_VALUE"""),250.0)</f>
        <v>250</v>
      </c>
      <c r="F1043" s="2">
        <f>IFERROR(__xludf.DUMMYFUNCTION("""COMPUTED_VALUE"""),9097000.0)</f>
        <v>9097000</v>
      </c>
      <c r="G1043" s="2">
        <f t="shared" si="1"/>
        <v>10</v>
      </c>
    </row>
    <row r="1044" ht="15.75" customHeight="1">
      <c r="A1044" s="1">
        <f>IFERROR(__xludf.DUMMYFUNCTION("""COMPUTED_VALUE"""),45415.66666666667)</f>
        <v>45415.66667</v>
      </c>
      <c r="B1044" s="2">
        <f>IFERROR(__xludf.DUMMYFUNCTION("""COMPUTED_VALUE"""),248.0)</f>
        <v>248</v>
      </c>
      <c r="C1044" s="2">
        <f>IFERROR(__xludf.DUMMYFUNCTION("""COMPUTED_VALUE"""),254.0)</f>
        <v>254</v>
      </c>
      <c r="D1044" s="2">
        <f>IFERROR(__xludf.DUMMYFUNCTION("""COMPUTED_VALUE"""),248.0)</f>
        <v>248</v>
      </c>
      <c r="E1044" s="2">
        <f>IFERROR(__xludf.DUMMYFUNCTION("""COMPUTED_VALUE"""),250.0)</f>
        <v>250</v>
      </c>
      <c r="F1044" s="2">
        <f>IFERROR(__xludf.DUMMYFUNCTION("""COMPUTED_VALUE"""),6460100.0)</f>
        <v>6460100</v>
      </c>
      <c r="G1044" s="2">
        <f t="shared" si="1"/>
        <v>6</v>
      </c>
    </row>
    <row r="1045" ht="15.75" customHeight="1">
      <c r="A1045" s="1">
        <f>IFERROR(__xludf.DUMMYFUNCTION("""COMPUTED_VALUE"""),45418.66666666667)</f>
        <v>45418.66667</v>
      </c>
      <c r="B1045" s="2">
        <f>IFERROR(__xludf.DUMMYFUNCTION("""COMPUTED_VALUE"""),252.0)</f>
        <v>252</v>
      </c>
      <c r="C1045" s="2">
        <f>IFERROR(__xludf.DUMMYFUNCTION("""COMPUTED_VALUE"""),260.0)</f>
        <v>260</v>
      </c>
      <c r="D1045" s="2">
        <f>IFERROR(__xludf.DUMMYFUNCTION("""COMPUTED_VALUE"""),248.0)</f>
        <v>248</v>
      </c>
      <c r="E1045" s="2">
        <f>IFERROR(__xludf.DUMMYFUNCTION("""COMPUTED_VALUE"""),258.0)</f>
        <v>258</v>
      </c>
      <c r="F1045" s="2">
        <f>IFERROR(__xludf.DUMMYFUNCTION("""COMPUTED_VALUE"""),9013000.0)</f>
        <v>9013000</v>
      </c>
      <c r="G1045" s="2">
        <f t="shared" si="1"/>
        <v>12</v>
      </c>
    </row>
    <row r="1046" ht="15.75" customHeight="1">
      <c r="A1046" s="1">
        <f>IFERROR(__xludf.DUMMYFUNCTION("""COMPUTED_VALUE"""),45419.66666666667)</f>
        <v>45419.66667</v>
      </c>
      <c r="B1046" s="2">
        <f>IFERROR(__xludf.DUMMYFUNCTION("""COMPUTED_VALUE"""),258.0)</f>
        <v>258</v>
      </c>
      <c r="C1046" s="2">
        <f>IFERROR(__xludf.DUMMYFUNCTION("""COMPUTED_VALUE"""),260.0)</f>
        <v>260</v>
      </c>
      <c r="D1046" s="2">
        <f>IFERROR(__xludf.DUMMYFUNCTION("""COMPUTED_VALUE"""),254.0)</f>
        <v>254</v>
      </c>
      <c r="E1046" s="2">
        <f>IFERROR(__xludf.DUMMYFUNCTION("""COMPUTED_VALUE"""),256.0)</f>
        <v>256</v>
      </c>
      <c r="F1046" s="2">
        <f>IFERROR(__xludf.DUMMYFUNCTION("""COMPUTED_VALUE"""),6769400.0)</f>
        <v>6769400</v>
      </c>
      <c r="G1046" s="2">
        <f t="shared" si="1"/>
        <v>6</v>
      </c>
    </row>
    <row r="1047" ht="15.75" customHeight="1">
      <c r="A1047" s="1">
        <f>IFERROR(__xludf.DUMMYFUNCTION("""COMPUTED_VALUE"""),45420.66666666667)</f>
        <v>45420.66667</v>
      </c>
      <c r="B1047" s="2">
        <f>IFERROR(__xludf.DUMMYFUNCTION("""COMPUTED_VALUE"""),256.0)</f>
        <v>256</v>
      </c>
      <c r="C1047" s="2">
        <f>IFERROR(__xludf.DUMMYFUNCTION("""COMPUTED_VALUE"""),258.0)</f>
        <v>258</v>
      </c>
      <c r="D1047" s="2">
        <f>IFERROR(__xludf.DUMMYFUNCTION("""COMPUTED_VALUE"""),250.0)</f>
        <v>250</v>
      </c>
      <c r="E1047" s="2">
        <f>IFERROR(__xludf.DUMMYFUNCTION("""COMPUTED_VALUE"""),252.0)</f>
        <v>252</v>
      </c>
      <c r="F1047" s="2">
        <f>IFERROR(__xludf.DUMMYFUNCTION("""COMPUTED_VALUE"""),5644000.0)</f>
        <v>5644000</v>
      </c>
      <c r="G1047" s="2">
        <f t="shared" si="1"/>
        <v>8</v>
      </c>
    </row>
    <row r="1048" ht="15.75" customHeight="1">
      <c r="A1048" s="1">
        <f>IFERROR(__xludf.DUMMYFUNCTION("""COMPUTED_VALUE"""),45425.66666666667)</f>
        <v>45425.66667</v>
      </c>
      <c r="B1048" s="2">
        <f>IFERROR(__xludf.DUMMYFUNCTION("""COMPUTED_VALUE"""),252.0)</f>
        <v>252</v>
      </c>
      <c r="C1048" s="2">
        <f>IFERROR(__xludf.DUMMYFUNCTION("""COMPUTED_VALUE"""),254.0)</f>
        <v>254</v>
      </c>
      <c r="D1048" s="2">
        <f>IFERROR(__xludf.DUMMYFUNCTION("""COMPUTED_VALUE"""),244.0)</f>
        <v>244</v>
      </c>
      <c r="E1048" s="2">
        <f>IFERROR(__xludf.DUMMYFUNCTION("""COMPUTED_VALUE"""),248.0)</f>
        <v>248</v>
      </c>
      <c r="F1048" s="2">
        <f>IFERROR(__xludf.DUMMYFUNCTION("""COMPUTED_VALUE"""),6989700.0)</f>
        <v>6989700</v>
      </c>
      <c r="G1048" s="2">
        <f t="shared" si="1"/>
        <v>10</v>
      </c>
    </row>
    <row r="1049" ht="15.75" customHeight="1">
      <c r="A1049" s="1">
        <f>IFERROR(__xludf.DUMMYFUNCTION("""COMPUTED_VALUE"""),45426.66666666667)</f>
        <v>45426.66667</v>
      </c>
      <c r="B1049" s="2">
        <f>IFERROR(__xludf.DUMMYFUNCTION("""COMPUTED_VALUE"""),248.0)</f>
        <v>248</v>
      </c>
      <c r="C1049" s="2">
        <f>IFERROR(__xludf.DUMMYFUNCTION("""COMPUTED_VALUE"""),254.0)</f>
        <v>254</v>
      </c>
      <c r="D1049" s="2">
        <f>IFERROR(__xludf.DUMMYFUNCTION("""COMPUTED_VALUE"""),246.0)</f>
        <v>246</v>
      </c>
      <c r="E1049" s="2">
        <f>IFERROR(__xludf.DUMMYFUNCTION("""COMPUTED_VALUE"""),248.0)</f>
        <v>248</v>
      </c>
      <c r="F1049" s="2">
        <f>IFERROR(__xludf.DUMMYFUNCTION("""COMPUTED_VALUE"""),7570800.0)</f>
        <v>7570800</v>
      </c>
      <c r="G1049" s="2">
        <f t="shared" si="1"/>
        <v>8</v>
      </c>
    </row>
    <row r="1050" ht="15.75" customHeight="1">
      <c r="A1050" s="1">
        <f>IFERROR(__xludf.DUMMYFUNCTION("""COMPUTED_VALUE"""),45427.66666666667)</f>
        <v>45427.66667</v>
      </c>
      <c r="B1050" s="2">
        <f>IFERROR(__xludf.DUMMYFUNCTION("""COMPUTED_VALUE"""),250.0)</f>
        <v>250</v>
      </c>
      <c r="C1050" s="2">
        <f>IFERROR(__xludf.DUMMYFUNCTION("""COMPUTED_VALUE"""),256.0)</f>
        <v>256</v>
      </c>
      <c r="D1050" s="2">
        <f>IFERROR(__xludf.DUMMYFUNCTION("""COMPUTED_VALUE"""),248.0)</f>
        <v>248</v>
      </c>
      <c r="E1050" s="2">
        <f>IFERROR(__xludf.DUMMYFUNCTION("""COMPUTED_VALUE"""),250.0)</f>
        <v>250</v>
      </c>
      <c r="F1050" s="2">
        <f>IFERROR(__xludf.DUMMYFUNCTION("""COMPUTED_VALUE"""),1.2051E7)</f>
        <v>12051000</v>
      </c>
      <c r="G1050" s="2">
        <f t="shared" si="1"/>
        <v>8</v>
      </c>
    </row>
    <row r="1051" ht="15.75" customHeight="1">
      <c r="A1051" s="1">
        <f>IFERROR(__xludf.DUMMYFUNCTION("""COMPUTED_VALUE"""),45428.66666666667)</f>
        <v>45428.66667</v>
      </c>
      <c r="B1051" s="2">
        <f>IFERROR(__xludf.DUMMYFUNCTION("""COMPUTED_VALUE"""),252.0)</f>
        <v>252</v>
      </c>
      <c r="C1051" s="2">
        <f>IFERROR(__xludf.DUMMYFUNCTION("""COMPUTED_VALUE"""),258.0)</f>
        <v>258</v>
      </c>
      <c r="D1051" s="2">
        <f>IFERROR(__xludf.DUMMYFUNCTION("""COMPUTED_VALUE"""),250.0)</f>
        <v>250</v>
      </c>
      <c r="E1051" s="2">
        <f>IFERROR(__xludf.DUMMYFUNCTION("""COMPUTED_VALUE"""),254.0)</f>
        <v>254</v>
      </c>
      <c r="F1051" s="2">
        <f>IFERROR(__xludf.DUMMYFUNCTION("""COMPUTED_VALUE"""),1.3503E7)</f>
        <v>13503000</v>
      </c>
      <c r="G1051" s="2">
        <f t="shared" si="1"/>
        <v>8</v>
      </c>
    </row>
    <row r="1052" ht="15.75" customHeight="1">
      <c r="A1052" s="1">
        <f>IFERROR(__xludf.DUMMYFUNCTION("""COMPUTED_VALUE"""),45429.66666666667)</f>
        <v>45429.66667</v>
      </c>
      <c r="B1052" s="2">
        <f>IFERROR(__xludf.DUMMYFUNCTION("""COMPUTED_VALUE"""),254.0)</f>
        <v>254</v>
      </c>
      <c r="C1052" s="2">
        <f>IFERROR(__xludf.DUMMYFUNCTION("""COMPUTED_VALUE"""),256.0)</f>
        <v>256</v>
      </c>
      <c r="D1052" s="2">
        <f>IFERROR(__xludf.DUMMYFUNCTION("""COMPUTED_VALUE"""),250.0)</f>
        <v>250</v>
      </c>
      <c r="E1052" s="2">
        <f>IFERROR(__xludf.DUMMYFUNCTION("""COMPUTED_VALUE"""),252.0)</f>
        <v>252</v>
      </c>
      <c r="F1052" s="2">
        <f>IFERROR(__xludf.DUMMYFUNCTION("""COMPUTED_VALUE"""),6329500.0)</f>
        <v>6329500</v>
      </c>
      <c r="G1052" s="2">
        <f t="shared" si="1"/>
        <v>6</v>
      </c>
    </row>
    <row r="1053" ht="15.75" customHeight="1">
      <c r="A1053" s="1">
        <f>IFERROR(__xludf.DUMMYFUNCTION("""COMPUTED_VALUE"""),45432.66666666667)</f>
        <v>45432.66667</v>
      </c>
      <c r="B1053" s="2">
        <f>IFERROR(__xludf.DUMMYFUNCTION("""COMPUTED_VALUE"""),252.0)</f>
        <v>252</v>
      </c>
      <c r="C1053" s="2">
        <f>IFERROR(__xludf.DUMMYFUNCTION("""COMPUTED_VALUE"""),262.0)</f>
        <v>262</v>
      </c>
      <c r="D1053" s="2">
        <f>IFERROR(__xludf.DUMMYFUNCTION("""COMPUTED_VALUE"""),252.0)</f>
        <v>252</v>
      </c>
      <c r="E1053" s="2">
        <f>IFERROR(__xludf.DUMMYFUNCTION("""COMPUTED_VALUE"""),256.0)</f>
        <v>256</v>
      </c>
      <c r="F1053" s="2">
        <f>IFERROR(__xludf.DUMMYFUNCTION("""COMPUTED_VALUE"""),1.41105E7)</f>
        <v>14110500</v>
      </c>
      <c r="G1053" s="2">
        <f t="shared" si="1"/>
        <v>10</v>
      </c>
    </row>
    <row r="1054" ht="15.75" customHeight="1">
      <c r="A1054" s="1">
        <f>IFERROR(__xludf.DUMMYFUNCTION("""COMPUTED_VALUE"""),45433.66666666667)</f>
        <v>45433.66667</v>
      </c>
      <c r="B1054" s="2">
        <f>IFERROR(__xludf.DUMMYFUNCTION("""COMPUTED_VALUE"""),256.0)</f>
        <v>256</v>
      </c>
      <c r="C1054" s="2">
        <f>IFERROR(__xludf.DUMMYFUNCTION("""COMPUTED_VALUE"""),260.0)</f>
        <v>260</v>
      </c>
      <c r="D1054" s="2">
        <f>IFERROR(__xludf.DUMMYFUNCTION("""COMPUTED_VALUE"""),250.0)</f>
        <v>250</v>
      </c>
      <c r="E1054" s="2">
        <f>IFERROR(__xludf.DUMMYFUNCTION("""COMPUTED_VALUE"""),250.0)</f>
        <v>250</v>
      </c>
      <c r="F1054" s="2">
        <f>IFERROR(__xludf.DUMMYFUNCTION("""COMPUTED_VALUE"""),9180100.0)</f>
        <v>9180100</v>
      </c>
      <c r="G1054" s="2">
        <f t="shared" si="1"/>
        <v>10</v>
      </c>
    </row>
    <row r="1055" ht="15.75" customHeight="1">
      <c r="A1055" s="1">
        <f>IFERROR(__xludf.DUMMYFUNCTION("""COMPUTED_VALUE"""),45434.66666666667)</f>
        <v>45434.66667</v>
      </c>
      <c r="B1055" s="2">
        <f>IFERROR(__xludf.DUMMYFUNCTION("""COMPUTED_VALUE"""),254.0)</f>
        <v>254</v>
      </c>
      <c r="C1055" s="2">
        <f>IFERROR(__xludf.DUMMYFUNCTION("""COMPUTED_VALUE"""),280.0)</f>
        <v>280</v>
      </c>
      <c r="D1055" s="2">
        <f>IFERROR(__xludf.DUMMYFUNCTION("""COMPUTED_VALUE"""),252.0)</f>
        <v>252</v>
      </c>
      <c r="E1055" s="2">
        <f>IFERROR(__xludf.DUMMYFUNCTION("""COMPUTED_VALUE"""),266.0)</f>
        <v>266</v>
      </c>
      <c r="F1055" s="2">
        <f>IFERROR(__xludf.DUMMYFUNCTION("""COMPUTED_VALUE"""),1.488237E8)</f>
        <v>148823700</v>
      </c>
      <c r="G1055" s="2">
        <f t="shared" si="1"/>
        <v>30</v>
      </c>
    </row>
    <row r="1056" ht="15.75" customHeight="1">
      <c r="A1056" s="1">
        <f>IFERROR(__xludf.DUMMYFUNCTION("""COMPUTED_VALUE"""),45439.66666666667)</f>
        <v>45439.66667</v>
      </c>
      <c r="B1056" s="2">
        <f>IFERROR(__xludf.DUMMYFUNCTION("""COMPUTED_VALUE"""),270.0)</f>
        <v>270</v>
      </c>
      <c r="C1056" s="2">
        <f>IFERROR(__xludf.DUMMYFUNCTION("""COMPUTED_VALUE"""),276.0)</f>
        <v>276</v>
      </c>
      <c r="D1056" s="2">
        <f>IFERROR(__xludf.DUMMYFUNCTION("""COMPUTED_VALUE"""),258.0)</f>
        <v>258</v>
      </c>
      <c r="E1056" s="2">
        <f>IFERROR(__xludf.DUMMYFUNCTION("""COMPUTED_VALUE"""),258.0)</f>
        <v>258</v>
      </c>
      <c r="F1056" s="2">
        <f>IFERROR(__xludf.DUMMYFUNCTION("""COMPUTED_VALUE"""),5.31609E7)</f>
        <v>53160900</v>
      </c>
      <c r="G1056" s="2">
        <f t="shared" si="1"/>
        <v>18</v>
      </c>
    </row>
    <row r="1057" ht="15.75" customHeight="1">
      <c r="A1057" s="1">
        <f>IFERROR(__xludf.DUMMYFUNCTION("""COMPUTED_VALUE"""),45440.66666666667)</f>
        <v>45440.66667</v>
      </c>
      <c r="B1057" s="2">
        <f>IFERROR(__xludf.DUMMYFUNCTION("""COMPUTED_VALUE"""),258.0)</f>
        <v>258</v>
      </c>
      <c r="C1057" s="2">
        <f>IFERROR(__xludf.DUMMYFUNCTION("""COMPUTED_VALUE"""),266.0)</f>
        <v>266</v>
      </c>
      <c r="D1057" s="2">
        <f>IFERROR(__xludf.DUMMYFUNCTION("""COMPUTED_VALUE"""),256.0)</f>
        <v>256</v>
      </c>
      <c r="E1057" s="2">
        <f>IFERROR(__xludf.DUMMYFUNCTION("""COMPUTED_VALUE"""),260.0)</f>
        <v>260</v>
      </c>
      <c r="F1057" s="2">
        <f>IFERROR(__xludf.DUMMYFUNCTION("""COMPUTED_VALUE"""),1.50118E7)</f>
        <v>15011800</v>
      </c>
      <c r="G1057" s="2">
        <f t="shared" si="1"/>
        <v>10</v>
      </c>
    </row>
    <row r="1058" ht="15.75" customHeight="1">
      <c r="A1058" s="1">
        <f>IFERROR(__xludf.DUMMYFUNCTION("""COMPUTED_VALUE"""),45441.66666666667)</f>
        <v>45441.66667</v>
      </c>
      <c r="B1058" s="2">
        <f>IFERROR(__xludf.DUMMYFUNCTION("""COMPUTED_VALUE"""),260.0)</f>
        <v>260</v>
      </c>
      <c r="C1058" s="2">
        <f>IFERROR(__xludf.DUMMYFUNCTION("""COMPUTED_VALUE"""),262.0)</f>
        <v>262</v>
      </c>
      <c r="D1058" s="2">
        <f>IFERROR(__xludf.DUMMYFUNCTION("""COMPUTED_VALUE"""),252.0)</f>
        <v>252</v>
      </c>
      <c r="E1058" s="2">
        <f>IFERROR(__xludf.DUMMYFUNCTION("""COMPUTED_VALUE"""),252.0)</f>
        <v>252</v>
      </c>
      <c r="F1058" s="2">
        <f>IFERROR(__xludf.DUMMYFUNCTION("""COMPUTED_VALUE"""),1.55189E7)</f>
        <v>15518900</v>
      </c>
      <c r="G1058" s="2">
        <f t="shared" si="1"/>
        <v>10</v>
      </c>
    </row>
    <row r="1059" ht="15.75" customHeight="1">
      <c r="A1059" s="1">
        <f>IFERROR(__xludf.DUMMYFUNCTION("""COMPUTED_VALUE"""),45442.66666666667)</f>
        <v>45442.66667</v>
      </c>
      <c r="B1059" s="2">
        <f>IFERROR(__xludf.DUMMYFUNCTION("""COMPUTED_VALUE"""),254.0)</f>
        <v>254</v>
      </c>
      <c r="C1059" s="2">
        <f>IFERROR(__xludf.DUMMYFUNCTION("""COMPUTED_VALUE"""),254.0)</f>
        <v>254</v>
      </c>
      <c r="D1059" s="2">
        <f>IFERROR(__xludf.DUMMYFUNCTION("""COMPUTED_VALUE"""),242.0)</f>
        <v>242</v>
      </c>
      <c r="E1059" s="2">
        <f>IFERROR(__xludf.DUMMYFUNCTION("""COMPUTED_VALUE"""),246.0)</f>
        <v>246</v>
      </c>
      <c r="F1059" s="2">
        <f>IFERROR(__xludf.DUMMYFUNCTION("""COMPUTED_VALUE"""),1.88814E7)</f>
        <v>18881400</v>
      </c>
      <c r="G1059" s="2">
        <f t="shared" si="1"/>
        <v>12</v>
      </c>
    </row>
    <row r="1060" ht="15.75" customHeight="1">
      <c r="A1060" s="1">
        <f>IFERROR(__xludf.DUMMYFUNCTION("""COMPUTED_VALUE"""),45443.66666666667)</f>
        <v>45443.66667</v>
      </c>
      <c r="B1060" s="2">
        <f>IFERROR(__xludf.DUMMYFUNCTION("""COMPUTED_VALUE"""),246.0)</f>
        <v>246</v>
      </c>
      <c r="C1060" s="2">
        <f>IFERROR(__xludf.DUMMYFUNCTION("""COMPUTED_VALUE"""),258.0)</f>
        <v>258</v>
      </c>
      <c r="D1060" s="2">
        <f>IFERROR(__xludf.DUMMYFUNCTION("""COMPUTED_VALUE"""),246.0)</f>
        <v>246</v>
      </c>
      <c r="E1060" s="2">
        <f>IFERROR(__xludf.DUMMYFUNCTION("""COMPUTED_VALUE"""),248.0)</f>
        <v>248</v>
      </c>
      <c r="F1060" s="2">
        <f>IFERROR(__xludf.DUMMYFUNCTION("""COMPUTED_VALUE"""),2.54455E7)</f>
        <v>25445500</v>
      </c>
      <c r="G1060" s="2">
        <f t="shared" si="1"/>
        <v>12</v>
      </c>
    </row>
    <row r="1061" ht="15.75" customHeight="1">
      <c r="A1061" s="1">
        <f>IFERROR(__xludf.DUMMYFUNCTION("""COMPUTED_VALUE"""),45446.66666666667)</f>
        <v>45446.66667</v>
      </c>
      <c r="B1061" s="2">
        <f>IFERROR(__xludf.DUMMYFUNCTION("""COMPUTED_VALUE"""),248.0)</f>
        <v>248</v>
      </c>
      <c r="C1061" s="2">
        <f>IFERROR(__xludf.DUMMYFUNCTION("""COMPUTED_VALUE"""),254.0)</f>
        <v>254</v>
      </c>
      <c r="D1061" s="2">
        <f>IFERROR(__xludf.DUMMYFUNCTION("""COMPUTED_VALUE"""),248.0)</f>
        <v>248</v>
      </c>
      <c r="E1061" s="2">
        <f>IFERROR(__xludf.DUMMYFUNCTION("""COMPUTED_VALUE"""),252.0)</f>
        <v>252</v>
      </c>
      <c r="F1061" s="2">
        <f>IFERROR(__xludf.DUMMYFUNCTION("""COMPUTED_VALUE"""),6490700.0)</f>
        <v>6490700</v>
      </c>
      <c r="G1061" s="2">
        <f t="shared" si="1"/>
        <v>6</v>
      </c>
    </row>
    <row r="1062" ht="15.75" customHeight="1">
      <c r="A1062" s="1">
        <f>IFERROR(__xludf.DUMMYFUNCTION("""COMPUTED_VALUE"""),45447.66666666667)</f>
        <v>45447.66667</v>
      </c>
      <c r="B1062" s="2">
        <f>IFERROR(__xludf.DUMMYFUNCTION("""COMPUTED_VALUE"""),252.0)</f>
        <v>252</v>
      </c>
      <c r="C1062" s="2">
        <f>IFERROR(__xludf.DUMMYFUNCTION("""COMPUTED_VALUE"""),258.0)</f>
        <v>258</v>
      </c>
      <c r="D1062" s="2">
        <f>IFERROR(__xludf.DUMMYFUNCTION("""COMPUTED_VALUE"""),246.0)</f>
        <v>246</v>
      </c>
      <c r="E1062" s="2">
        <f>IFERROR(__xludf.DUMMYFUNCTION("""COMPUTED_VALUE"""),248.0)</f>
        <v>248</v>
      </c>
      <c r="F1062" s="2">
        <f>IFERROR(__xludf.DUMMYFUNCTION("""COMPUTED_VALUE"""),1.49154E7)</f>
        <v>14915400</v>
      </c>
      <c r="G1062" s="2">
        <f t="shared" si="1"/>
        <v>12</v>
      </c>
    </row>
    <row r="1063" ht="15.75" customHeight="1">
      <c r="A1063" s="1">
        <f>IFERROR(__xludf.DUMMYFUNCTION("""COMPUTED_VALUE"""),45448.66666666667)</f>
        <v>45448.66667</v>
      </c>
      <c r="B1063" s="2">
        <f>IFERROR(__xludf.DUMMYFUNCTION("""COMPUTED_VALUE"""),248.0)</f>
        <v>248</v>
      </c>
      <c r="C1063" s="2">
        <f>IFERROR(__xludf.DUMMYFUNCTION("""COMPUTED_VALUE"""),252.0)</f>
        <v>252</v>
      </c>
      <c r="D1063" s="2">
        <f>IFERROR(__xludf.DUMMYFUNCTION("""COMPUTED_VALUE"""),240.0)</f>
        <v>240</v>
      </c>
      <c r="E1063" s="2">
        <f>IFERROR(__xludf.DUMMYFUNCTION("""COMPUTED_VALUE"""),242.0)</f>
        <v>242</v>
      </c>
      <c r="F1063" s="2">
        <f>IFERROR(__xludf.DUMMYFUNCTION("""COMPUTED_VALUE"""),2.19508E7)</f>
        <v>21950800</v>
      </c>
      <c r="G1063" s="2">
        <f t="shared" si="1"/>
        <v>12</v>
      </c>
    </row>
    <row r="1064" ht="15.75" customHeight="1">
      <c r="A1064" s="1">
        <f>IFERROR(__xludf.DUMMYFUNCTION("""COMPUTED_VALUE"""),45449.66666666667)</f>
        <v>45449.66667</v>
      </c>
      <c r="B1064" s="2">
        <f>IFERROR(__xludf.DUMMYFUNCTION("""COMPUTED_VALUE"""),244.0)</f>
        <v>244</v>
      </c>
      <c r="C1064" s="2">
        <f>IFERROR(__xludf.DUMMYFUNCTION("""COMPUTED_VALUE"""),248.0)</f>
        <v>248</v>
      </c>
      <c r="D1064" s="2">
        <f>IFERROR(__xludf.DUMMYFUNCTION("""COMPUTED_VALUE"""),240.0)</f>
        <v>240</v>
      </c>
      <c r="E1064" s="2">
        <f>IFERROR(__xludf.DUMMYFUNCTION("""COMPUTED_VALUE"""),244.0)</f>
        <v>244</v>
      </c>
      <c r="F1064" s="2">
        <f>IFERROR(__xludf.DUMMYFUNCTION("""COMPUTED_VALUE"""),7985900.0)</f>
        <v>7985900</v>
      </c>
      <c r="G1064" s="2">
        <f t="shared" si="1"/>
        <v>8</v>
      </c>
    </row>
    <row r="1065" ht="15.75" customHeight="1">
      <c r="A1065" s="1">
        <f>IFERROR(__xludf.DUMMYFUNCTION("""COMPUTED_VALUE"""),45450.66666666667)</f>
        <v>45450.66667</v>
      </c>
      <c r="B1065" s="2">
        <f>IFERROR(__xludf.DUMMYFUNCTION("""COMPUTED_VALUE"""),244.0)</f>
        <v>244</v>
      </c>
      <c r="C1065" s="2">
        <f>IFERROR(__xludf.DUMMYFUNCTION("""COMPUTED_VALUE"""),248.0)</f>
        <v>248</v>
      </c>
      <c r="D1065" s="2">
        <f>IFERROR(__xludf.DUMMYFUNCTION("""COMPUTED_VALUE"""),242.0)</f>
        <v>242</v>
      </c>
      <c r="E1065" s="2">
        <f>IFERROR(__xludf.DUMMYFUNCTION("""COMPUTED_VALUE"""),242.0)</f>
        <v>242</v>
      </c>
      <c r="F1065" s="2">
        <f>IFERROR(__xludf.DUMMYFUNCTION("""COMPUTED_VALUE"""),4459500.0)</f>
        <v>4459500</v>
      </c>
      <c r="G1065" s="2">
        <f t="shared" si="1"/>
        <v>6</v>
      </c>
    </row>
    <row r="1066" ht="15.75" customHeight="1">
      <c r="A1066" s="1">
        <f>IFERROR(__xludf.DUMMYFUNCTION("""COMPUTED_VALUE"""),45453.66666666667)</f>
        <v>45453.66667</v>
      </c>
      <c r="B1066" s="2">
        <f>IFERROR(__xludf.DUMMYFUNCTION("""COMPUTED_VALUE"""),244.0)</f>
        <v>244</v>
      </c>
      <c r="C1066" s="2">
        <f>IFERROR(__xludf.DUMMYFUNCTION("""COMPUTED_VALUE"""),244.0)</f>
        <v>244</v>
      </c>
      <c r="D1066" s="2">
        <f>IFERROR(__xludf.DUMMYFUNCTION("""COMPUTED_VALUE"""),236.0)</f>
        <v>236</v>
      </c>
      <c r="E1066" s="2">
        <f>IFERROR(__xludf.DUMMYFUNCTION("""COMPUTED_VALUE"""),238.0)</f>
        <v>238</v>
      </c>
      <c r="F1066" s="2">
        <f>IFERROR(__xludf.DUMMYFUNCTION("""COMPUTED_VALUE"""),1.03142E7)</f>
        <v>10314200</v>
      </c>
      <c r="G1066" s="2">
        <f t="shared" si="1"/>
        <v>8</v>
      </c>
    </row>
    <row r="1067" ht="15.75" customHeight="1">
      <c r="A1067" s="1">
        <f>IFERROR(__xludf.DUMMYFUNCTION("""COMPUTED_VALUE"""),45454.66666666667)</f>
        <v>45454.66667</v>
      </c>
      <c r="B1067" s="2">
        <f>IFERROR(__xludf.DUMMYFUNCTION("""COMPUTED_VALUE"""),238.0)</f>
        <v>238</v>
      </c>
      <c r="C1067" s="2">
        <f>IFERROR(__xludf.DUMMYFUNCTION("""COMPUTED_VALUE"""),240.0)</f>
        <v>240</v>
      </c>
      <c r="D1067" s="2">
        <f>IFERROR(__xludf.DUMMYFUNCTION("""COMPUTED_VALUE"""),230.0)</f>
        <v>230</v>
      </c>
      <c r="E1067" s="2">
        <f>IFERROR(__xludf.DUMMYFUNCTION("""COMPUTED_VALUE"""),230.0)</f>
        <v>230</v>
      </c>
      <c r="F1067" s="2">
        <f>IFERROR(__xludf.DUMMYFUNCTION("""COMPUTED_VALUE"""),9435700.0)</f>
        <v>9435700</v>
      </c>
      <c r="G1067" s="2">
        <f t="shared" si="1"/>
        <v>10</v>
      </c>
    </row>
    <row r="1068" ht="15.75" customHeight="1">
      <c r="A1068" s="1">
        <f>IFERROR(__xludf.DUMMYFUNCTION("""COMPUTED_VALUE"""),45455.66666666667)</f>
        <v>45455.66667</v>
      </c>
      <c r="B1068" s="2">
        <f>IFERROR(__xludf.DUMMYFUNCTION("""COMPUTED_VALUE"""),232.0)</f>
        <v>232</v>
      </c>
      <c r="C1068" s="2">
        <f>IFERROR(__xludf.DUMMYFUNCTION("""COMPUTED_VALUE"""),234.0)</f>
        <v>234</v>
      </c>
      <c r="D1068" s="2">
        <f>IFERROR(__xludf.DUMMYFUNCTION("""COMPUTED_VALUE"""),222.0)</f>
        <v>222</v>
      </c>
      <c r="E1068" s="2">
        <f>IFERROR(__xludf.DUMMYFUNCTION("""COMPUTED_VALUE"""),222.0)</f>
        <v>222</v>
      </c>
      <c r="F1068" s="2">
        <f>IFERROR(__xludf.DUMMYFUNCTION("""COMPUTED_VALUE"""),9185400.0)</f>
        <v>9185400</v>
      </c>
      <c r="G1068" s="2">
        <f t="shared" si="1"/>
        <v>12</v>
      </c>
    </row>
    <row r="1069" ht="15.75" customHeight="1">
      <c r="A1069" s="1">
        <f>IFERROR(__xludf.DUMMYFUNCTION("""COMPUTED_VALUE"""),45456.66666666667)</f>
        <v>45456.66667</v>
      </c>
      <c r="B1069" s="2">
        <f>IFERROR(__xludf.DUMMYFUNCTION("""COMPUTED_VALUE"""),224.0)</f>
        <v>224</v>
      </c>
      <c r="C1069" s="2">
        <f>IFERROR(__xludf.DUMMYFUNCTION("""COMPUTED_VALUE"""),236.0)</f>
        <v>236</v>
      </c>
      <c r="D1069" s="2">
        <f>IFERROR(__xludf.DUMMYFUNCTION("""COMPUTED_VALUE"""),224.0)</f>
        <v>224</v>
      </c>
      <c r="E1069" s="2">
        <f>IFERROR(__xludf.DUMMYFUNCTION("""COMPUTED_VALUE"""),224.0)</f>
        <v>224</v>
      </c>
      <c r="F1069" s="2">
        <f>IFERROR(__xludf.DUMMYFUNCTION("""COMPUTED_VALUE"""),1.78875E7)</f>
        <v>17887500</v>
      </c>
      <c r="G1069" s="2">
        <f t="shared" si="1"/>
        <v>14</v>
      </c>
    </row>
    <row r="1070" ht="15.75" customHeight="1">
      <c r="A1070" s="1">
        <f>IFERROR(__xludf.DUMMYFUNCTION("""COMPUTED_VALUE"""),45457.66666666667)</f>
        <v>45457.66667</v>
      </c>
      <c r="B1070" s="2">
        <f>IFERROR(__xludf.DUMMYFUNCTION("""COMPUTED_VALUE"""),226.0)</f>
        <v>226</v>
      </c>
      <c r="C1070" s="2">
        <f>IFERROR(__xludf.DUMMYFUNCTION("""COMPUTED_VALUE"""),230.0)</f>
        <v>230</v>
      </c>
      <c r="D1070" s="2">
        <f>IFERROR(__xludf.DUMMYFUNCTION("""COMPUTED_VALUE"""),220.0)</f>
        <v>220</v>
      </c>
      <c r="E1070" s="2">
        <f>IFERROR(__xludf.DUMMYFUNCTION("""COMPUTED_VALUE"""),220.0)</f>
        <v>220</v>
      </c>
      <c r="F1070" s="2">
        <f>IFERROR(__xludf.DUMMYFUNCTION("""COMPUTED_VALUE"""),8237400.0)</f>
        <v>8237400</v>
      </c>
      <c r="G1070" s="2">
        <f t="shared" si="1"/>
        <v>10</v>
      </c>
    </row>
    <row r="1071" ht="15.75" customHeight="1">
      <c r="A1071" s="1">
        <f>IFERROR(__xludf.DUMMYFUNCTION("""COMPUTED_VALUE"""),45462.66666666667)</f>
        <v>45462.66667</v>
      </c>
      <c r="B1071" s="2">
        <f>IFERROR(__xludf.DUMMYFUNCTION("""COMPUTED_VALUE"""),220.0)</f>
        <v>220</v>
      </c>
      <c r="C1071" s="2">
        <f>IFERROR(__xludf.DUMMYFUNCTION("""COMPUTED_VALUE"""),220.0)</f>
        <v>220</v>
      </c>
      <c r="D1071" s="2">
        <f>IFERROR(__xludf.DUMMYFUNCTION("""COMPUTED_VALUE"""),208.0)</f>
        <v>208</v>
      </c>
      <c r="E1071" s="2">
        <f>IFERROR(__xludf.DUMMYFUNCTION("""COMPUTED_VALUE"""),208.0)</f>
        <v>208</v>
      </c>
      <c r="F1071" s="2">
        <f>IFERROR(__xludf.DUMMYFUNCTION("""COMPUTED_VALUE"""),1.2547E7)</f>
        <v>12547000</v>
      </c>
      <c r="G1071" s="2">
        <f t="shared" si="1"/>
        <v>12</v>
      </c>
    </row>
    <row r="1072" ht="15.75" customHeight="1">
      <c r="A1072" s="1">
        <f>IFERROR(__xludf.DUMMYFUNCTION("""COMPUTED_VALUE"""),45463.66666666667)</f>
        <v>45463.66667</v>
      </c>
      <c r="B1072" s="2">
        <f>IFERROR(__xludf.DUMMYFUNCTION("""COMPUTED_VALUE"""),208.0)</f>
        <v>208</v>
      </c>
      <c r="C1072" s="2">
        <f>IFERROR(__xludf.DUMMYFUNCTION("""COMPUTED_VALUE"""),216.0)</f>
        <v>216</v>
      </c>
      <c r="D1072" s="2">
        <f>IFERROR(__xludf.DUMMYFUNCTION("""COMPUTED_VALUE"""),206.0)</f>
        <v>206</v>
      </c>
      <c r="E1072" s="2">
        <f>IFERROR(__xludf.DUMMYFUNCTION("""COMPUTED_VALUE"""),212.0)</f>
        <v>212</v>
      </c>
      <c r="F1072" s="2">
        <f>IFERROR(__xludf.DUMMYFUNCTION("""COMPUTED_VALUE"""),6610200.0)</f>
        <v>6610200</v>
      </c>
      <c r="G1072" s="2">
        <f t="shared" si="1"/>
        <v>10</v>
      </c>
    </row>
    <row r="1073" ht="15.75" customHeight="1">
      <c r="A1073" s="1">
        <f>IFERROR(__xludf.DUMMYFUNCTION("""COMPUTED_VALUE"""),45464.66666666667)</f>
        <v>45464.66667</v>
      </c>
      <c r="B1073" s="2">
        <f>IFERROR(__xludf.DUMMYFUNCTION("""COMPUTED_VALUE"""),212.0)</f>
        <v>212</v>
      </c>
      <c r="C1073" s="2">
        <f>IFERROR(__xludf.DUMMYFUNCTION("""COMPUTED_VALUE"""),224.0)</f>
        <v>224</v>
      </c>
      <c r="D1073" s="2">
        <f>IFERROR(__xludf.DUMMYFUNCTION("""COMPUTED_VALUE"""),212.0)</f>
        <v>212</v>
      </c>
      <c r="E1073" s="2">
        <f>IFERROR(__xludf.DUMMYFUNCTION("""COMPUTED_VALUE"""),218.0)</f>
        <v>218</v>
      </c>
      <c r="F1073" s="2">
        <f>IFERROR(__xludf.DUMMYFUNCTION("""COMPUTED_VALUE"""),1.1037E7)</f>
        <v>11037000</v>
      </c>
      <c r="G1073" s="2">
        <f t="shared" si="1"/>
        <v>12</v>
      </c>
    </row>
    <row r="1074" ht="15.75" customHeight="1">
      <c r="A1074" s="1">
        <f>IFERROR(__xludf.DUMMYFUNCTION("""COMPUTED_VALUE"""),45467.66666666667)</f>
        <v>45467.66667</v>
      </c>
      <c r="B1074" s="2">
        <f>IFERROR(__xludf.DUMMYFUNCTION("""COMPUTED_VALUE"""),218.0)</f>
        <v>218</v>
      </c>
      <c r="C1074" s="2">
        <f>IFERROR(__xludf.DUMMYFUNCTION("""COMPUTED_VALUE"""),228.0)</f>
        <v>228</v>
      </c>
      <c r="D1074" s="2">
        <f>IFERROR(__xludf.DUMMYFUNCTION("""COMPUTED_VALUE"""),218.0)</f>
        <v>218</v>
      </c>
      <c r="E1074" s="2">
        <f>IFERROR(__xludf.DUMMYFUNCTION("""COMPUTED_VALUE"""),222.0)</f>
        <v>222</v>
      </c>
      <c r="F1074" s="2">
        <f>IFERROR(__xludf.DUMMYFUNCTION("""COMPUTED_VALUE"""),1.16072E7)</f>
        <v>11607200</v>
      </c>
      <c r="G1074" s="2">
        <f t="shared" si="1"/>
        <v>10</v>
      </c>
    </row>
    <row r="1075" ht="15.75" customHeight="1">
      <c r="A1075" s="1">
        <f>IFERROR(__xludf.DUMMYFUNCTION("""COMPUTED_VALUE"""),45468.66666666667)</f>
        <v>45468.66667</v>
      </c>
      <c r="B1075" s="2">
        <f>IFERROR(__xludf.DUMMYFUNCTION("""COMPUTED_VALUE"""),222.0)</f>
        <v>222</v>
      </c>
      <c r="C1075" s="2">
        <f>IFERROR(__xludf.DUMMYFUNCTION("""COMPUTED_VALUE"""),224.0)</f>
        <v>224</v>
      </c>
      <c r="D1075" s="2">
        <f>IFERROR(__xludf.DUMMYFUNCTION("""COMPUTED_VALUE"""),214.0)</f>
        <v>214</v>
      </c>
      <c r="E1075" s="2">
        <f>IFERROR(__xludf.DUMMYFUNCTION("""COMPUTED_VALUE"""),218.0)</f>
        <v>218</v>
      </c>
      <c r="F1075" s="2">
        <f>IFERROR(__xludf.DUMMYFUNCTION("""COMPUTED_VALUE"""),5939200.0)</f>
        <v>5939200</v>
      </c>
      <c r="G1075" s="2">
        <f t="shared" si="1"/>
        <v>10</v>
      </c>
    </row>
    <row r="1076" ht="15.75" customHeight="1">
      <c r="A1076" s="1">
        <f>IFERROR(__xludf.DUMMYFUNCTION("""COMPUTED_VALUE"""),45469.66666666667)</f>
        <v>45469.66667</v>
      </c>
      <c r="B1076" s="2">
        <f>IFERROR(__xludf.DUMMYFUNCTION("""COMPUTED_VALUE"""),218.0)</f>
        <v>218</v>
      </c>
      <c r="C1076" s="2">
        <f>IFERROR(__xludf.DUMMYFUNCTION("""COMPUTED_VALUE"""),222.0)</f>
        <v>222</v>
      </c>
      <c r="D1076" s="2">
        <f>IFERROR(__xludf.DUMMYFUNCTION("""COMPUTED_VALUE"""),216.0)</f>
        <v>216</v>
      </c>
      <c r="E1076" s="2">
        <f>IFERROR(__xludf.DUMMYFUNCTION("""COMPUTED_VALUE"""),216.0)</f>
        <v>216</v>
      </c>
      <c r="F1076" s="2">
        <f>IFERROR(__xludf.DUMMYFUNCTION("""COMPUTED_VALUE"""),5157000.0)</f>
        <v>5157000</v>
      </c>
      <c r="G1076" s="2">
        <f t="shared" si="1"/>
        <v>6</v>
      </c>
    </row>
    <row r="1077" ht="15.75" customHeight="1">
      <c r="A1077" s="1">
        <f>IFERROR(__xludf.DUMMYFUNCTION("""COMPUTED_VALUE"""),45470.66666666667)</f>
        <v>45470.66667</v>
      </c>
      <c r="B1077" s="2">
        <f>IFERROR(__xludf.DUMMYFUNCTION("""COMPUTED_VALUE"""),218.0)</f>
        <v>218</v>
      </c>
      <c r="C1077" s="2">
        <f>IFERROR(__xludf.DUMMYFUNCTION("""COMPUTED_VALUE"""),222.0)</f>
        <v>222</v>
      </c>
      <c r="D1077" s="2">
        <f>IFERROR(__xludf.DUMMYFUNCTION("""COMPUTED_VALUE"""),216.0)</f>
        <v>216</v>
      </c>
      <c r="E1077" s="2">
        <f>IFERROR(__xludf.DUMMYFUNCTION("""COMPUTED_VALUE"""),218.0)</f>
        <v>218</v>
      </c>
      <c r="F1077" s="2">
        <f>IFERROR(__xludf.DUMMYFUNCTION("""COMPUTED_VALUE"""),5251500.0)</f>
        <v>5251500</v>
      </c>
      <c r="G1077" s="2">
        <f t="shared" si="1"/>
        <v>6</v>
      </c>
    </row>
    <row r="1078" ht="15.75" customHeight="1">
      <c r="A1078" s="1">
        <f>IFERROR(__xludf.DUMMYFUNCTION("""COMPUTED_VALUE"""),45471.66666666667)</f>
        <v>45471.66667</v>
      </c>
      <c r="B1078" s="2">
        <f>IFERROR(__xludf.DUMMYFUNCTION("""COMPUTED_VALUE"""),218.0)</f>
        <v>218</v>
      </c>
      <c r="C1078" s="2">
        <f>IFERROR(__xludf.DUMMYFUNCTION("""COMPUTED_VALUE"""),236.0)</f>
        <v>236</v>
      </c>
      <c r="D1078" s="2">
        <f>IFERROR(__xludf.DUMMYFUNCTION("""COMPUTED_VALUE"""),218.0)</f>
        <v>218</v>
      </c>
      <c r="E1078" s="2">
        <f>IFERROR(__xludf.DUMMYFUNCTION("""COMPUTED_VALUE"""),226.0)</f>
        <v>226</v>
      </c>
      <c r="F1078" s="2">
        <f>IFERROR(__xludf.DUMMYFUNCTION("""COMPUTED_VALUE"""),2.01035E7)</f>
        <v>20103500</v>
      </c>
      <c r="G1078" s="2">
        <f t="shared" si="1"/>
        <v>18</v>
      </c>
    </row>
    <row r="1079" ht="15.75" customHeight="1">
      <c r="A1079" s="1">
        <f>IFERROR(__xludf.DUMMYFUNCTION("""COMPUTED_VALUE"""),45474.66666666667)</f>
        <v>45474.66667</v>
      </c>
      <c r="B1079" s="2">
        <f>IFERROR(__xludf.DUMMYFUNCTION("""COMPUTED_VALUE"""),226.0)</f>
        <v>226</v>
      </c>
      <c r="C1079" s="2">
        <f>IFERROR(__xludf.DUMMYFUNCTION("""COMPUTED_VALUE"""),238.0)</f>
        <v>238</v>
      </c>
      <c r="D1079" s="2">
        <f>IFERROR(__xludf.DUMMYFUNCTION("""COMPUTED_VALUE"""),226.0)</f>
        <v>226</v>
      </c>
      <c r="E1079" s="2">
        <f>IFERROR(__xludf.DUMMYFUNCTION("""COMPUTED_VALUE"""),228.0)</f>
        <v>228</v>
      </c>
      <c r="F1079" s="2">
        <f>IFERROR(__xludf.DUMMYFUNCTION("""COMPUTED_VALUE"""),1.09376E7)</f>
        <v>10937600</v>
      </c>
      <c r="G1079" s="2">
        <f t="shared" si="1"/>
        <v>12</v>
      </c>
    </row>
    <row r="1080" ht="15.75" customHeight="1">
      <c r="A1080" s="1">
        <f>IFERROR(__xludf.DUMMYFUNCTION("""COMPUTED_VALUE"""),45475.66666666667)</f>
        <v>45475.66667</v>
      </c>
      <c r="B1080" s="2">
        <f>IFERROR(__xludf.DUMMYFUNCTION("""COMPUTED_VALUE"""),228.0)</f>
        <v>228</v>
      </c>
      <c r="C1080" s="2">
        <f>IFERROR(__xludf.DUMMYFUNCTION("""COMPUTED_VALUE"""),234.0)</f>
        <v>234</v>
      </c>
      <c r="D1080" s="2">
        <f>IFERROR(__xludf.DUMMYFUNCTION("""COMPUTED_VALUE"""),226.0)</f>
        <v>226</v>
      </c>
      <c r="E1080" s="2">
        <f>IFERROR(__xludf.DUMMYFUNCTION("""COMPUTED_VALUE"""),226.0)</f>
        <v>226</v>
      </c>
      <c r="F1080" s="2">
        <f>IFERROR(__xludf.DUMMYFUNCTION("""COMPUTED_VALUE"""),1.08416E7)</f>
        <v>10841600</v>
      </c>
      <c r="G1080" s="2">
        <f t="shared" si="1"/>
        <v>8</v>
      </c>
    </row>
    <row r="1081" ht="15.75" customHeight="1">
      <c r="A1081" s="1">
        <f>IFERROR(__xludf.DUMMYFUNCTION("""COMPUTED_VALUE"""),45476.66666666667)</f>
        <v>45476.66667</v>
      </c>
      <c r="B1081" s="2">
        <f>IFERROR(__xludf.DUMMYFUNCTION("""COMPUTED_VALUE"""),228.0)</f>
        <v>228</v>
      </c>
      <c r="C1081" s="2">
        <f>IFERROR(__xludf.DUMMYFUNCTION("""COMPUTED_VALUE"""),240.0)</f>
        <v>240</v>
      </c>
      <c r="D1081" s="2">
        <f>IFERROR(__xludf.DUMMYFUNCTION("""COMPUTED_VALUE"""),224.0)</f>
        <v>224</v>
      </c>
      <c r="E1081" s="2">
        <f>IFERROR(__xludf.DUMMYFUNCTION("""COMPUTED_VALUE"""),234.0)</f>
        <v>234</v>
      </c>
      <c r="F1081" s="2">
        <f>IFERROR(__xludf.DUMMYFUNCTION("""COMPUTED_VALUE"""),2.96972E7)</f>
        <v>29697200</v>
      </c>
      <c r="G1081" s="2">
        <f t="shared" si="1"/>
        <v>16</v>
      </c>
    </row>
    <row r="1082" ht="15.75" customHeight="1">
      <c r="A1082" s="1">
        <f>IFERROR(__xludf.DUMMYFUNCTION("""COMPUTED_VALUE"""),45477.66666666667)</f>
        <v>45477.66667</v>
      </c>
      <c r="B1082" s="2">
        <f>IFERROR(__xludf.DUMMYFUNCTION("""COMPUTED_VALUE"""),236.0)</f>
        <v>236</v>
      </c>
      <c r="C1082" s="2">
        <f>IFERROR(__xludf.DUMMYFUNCTION("""COMPUTED_VALUE"""),244.0)</f>
        <v>244</v>
      </c>
      <c r="D1082" s="2">
        <f>IFERROR(__xludf.DUMMYFUNCTION("""COMPUTED_VALUE"""),234.0)</f>
        <v>234</v>
      </c>
      <c r="E1082" s="2">
        <f>IFERROR(__xludf.DUMMYFUNCTION("""COMPUTED_VALUE"""),236.0)</f>
        <v>236</v>
      </c>
      <c r="F1082" s="2">
        <f>IFERROR(__xludf.DUMMYFUNCTION("""COMPUTED_VALUE"""),2.02576E7)</f>
        <v>20257600</v>
      </c>
      <c r="G1082" s="2">
        <f t="shared" si="1"/>
        <v>10</v>
      </c>
    </row>
    <row r="1083" ht="15.75" customHeight="1">
      <c r="A1083" s="1">
        <f>IFERROR(__xludf.DUMMYFUNCTION("""COMPUTED_VALUE"""),45478.66666666667)</f>
        <v>45478.66667</v>
      </c>
      <c r="B1083" s="2">
        <f>IFERROR(__xludf.DUMMYFUNCTION("""COMPUTED_VALUE"""),236.0)</f>
        <v>236</v>
      </c>
      <c r="C1083" s="2">
        <f>IFERROR(__xludf.DUMMYFUNCTION("""COMPUTED_VALUE"""),238.0)</f>
        <v>238</v>
      </c>
      <c r="D1083" s="2">
        <f>IFERROR(__xludf.DUMMYFUNCTION("""COMPUTED_VALUE"""),234.0)</f>
        <v>234</v>
      </c>
      <c r="E1083" s="2">
        <f>IFERROR(__xludf.DUMMYFUNCTION("""COMPUTED_VALUE"""),234.0)</f>
        <v>234</v>
      </c>
      <c r="F1083" s="2">
        <f>IFERROR(__xludf.DUMMYFUNCTION("""COMPUTED_VALUE"""),3727100.0)</f>
        <v>3727100</v>
      </c>
      <c r="G1083" s="2">
        <f t="shared" si="1"/>
        <v>4</v>
      </c>
    </row>
    <row r="1084" ht="15.75" customHeight="1">
      <c r="A1084" s="1">
        <f>IFERROR(__xludf.DUMMYFUNCTION("""COMPUTED_VALUE"""),45481.66666666667)</f>
        <v>45481.66667</v>
      </c>
      <c r="B1084" s="2">
        <f>IFERROR(__xludf.DUMMYFUNCTION("""COMPUTED_VALUE"""),234.0)</f>
        <v>234</v>
      </c>
      <c r="C1084" s="2">
        <f>IFERROR(__xludf.DUMMYFUNCTION("""COMPUTED_VALUE"""),240.0)</f>
        <v>240</v>
      </c>
      <c r="D1084" s="2">
        <f>IFERROR(__xludf.DUMMYFUNCTION("""COMPUTED_VALUE"""),232.0)</f>
        <v>232</v>
      </c>
      <c r="E1084" s="2">
        <f>IFERROR(__xludf.DUMMYFUNCTION("""COMPUTED_VALUE"""),238.0)</f>
        <v>238</v>
      </c>
      <c r="F1084" s="2">
        <f>IFERROR(__xludf.DUMMYFUNCTION("""COMPUTED_VALUE"""),2.90204E7)</f>
        <v>29020400</v>
      </c>
      <c r="G1084" s="2">
        <f t="shared" si="1"/>
        <v>8</v>
      </c>
    </row>
    <row r="1085" ht="15.75" customHeight="1">
      <c r="A1085" s="1">
        <f>IFERROR(__xludf.DUMMYFUNCTION("""COMPUTED_VALUE"""),45482.66666666667)</f>
        <v>45482.66667</v>
      </c>
      <c r="B1085" s="2">
        <f>IFERROR(__xludf.DUMMYFUNCTION("""COMPUTED_VALUE"""),238.0)</f>
        <v>238</v>
      </c>
      <c r="C1085" s="2">
        <f>IFERROR(__xludf.DUMMYFUNCTION("""COMPUTED_VALUE"""),254.0)</f>
        <v>254</v>
      </c>
      <c r="D1085" s="2">
        <f>IFERROR(__xludf.DUMMYFUNCTION("""COMPUTED_VALUE"""),236.0)</f>
        <v>236</v>
      </c>
      <c r="E1085" s="2">
        <f>IFERROR(__xludf.DUMMYFUNCTION("""COMPUTED_VALUE"""),248.0)</f>
        <v>248</v>
      </c>
      <c r="F1085" s="2">
        <f>IFERROR(__xludf.DUMMYFUNCTION("""COMPUTED_VALUE"""),5.32298E7)</f>
        <v>53229800</v>
      </c>
      <c r="G1085" s="2">
        <f t="shared" si="1"/>
        <v>18</v>
      </c>
    </row>
    <row r="1086" ht="15.75" customHeight="1">
      <c r="A1086" s="1">
        <f>IFERROR(__xludf.DUMMYFUNCTION("""COMPUTED_VALUE"""),45483.66666666667)</f>
        <v>45483.66667</v>
      </c>
      <c r="B1086" s="2">
        <f>IFERROR(__xludf.DUMMYFUNCTION("""COMPUTED_VALUE"""),250.0)</f>
        <v>250</v>
      </c>
      <c r="C1086" s="2">
        <f>IFERROR(__xludf.DUMMYFUNCTION("""COMPUTED_VALUE"""),252.0)</f>
        <v>252</v>
      </c>
      <c r="D1086" s="2">
        <f>IFERROR(__xludf.DUMMYFUNCTION("""COMPUTED_VALUE"""),240.0)</f>
        <v>240</v>
      </c>
      <c r="E1086" s="2">
        <f>IFERROR(__xludf.DUMMYFUNCTION("""COMPUTED_VALUE"""),244.0)</f>
        <v>244</v>
      </c>
      <c r="F1086" s="2">
        <f>IFERROR(__xludf.DUMMYFUNCTION("""COMPUTED_VALUE"""),2.00336E7)</f>
        <v>20033600</v>
      </c>
      <c r="G1086" s="2">
        <f t="shared" si="1"/>
        <v>12</v>
      </c>
    </row>
    <row r="1087" ht="15.75" customHeight="1">
      <c r="A1087" s="1">
        <f>IFERROR(__xludf.DUMMYFUNCTION("""COMPUTED_VALUE"""),45484.66666666667)</f>
        <v>45484.66667</v>
      </c>
      <c r="B1087" s="2">
        <f>IFERROR(__xludf.DUMMYFUNCTION("""COMPUTED_VALUE"""),244.0)</f>
        <v>244</v>
      </c>
      <c r="C1087" s="2">
        <f>IFERROR(__xludf.DUMMYFUNCTION("""COMPUTED_VALUE"""),248.0)</f>
        <v>248</v>
      </c>
      <c r="D1087" s="2">
        <f>IFERROR(__xludf.DUMMYFUNCTION("""COMPUTED_VALUE"""),238.0)</f>
        <v>238</v>
      </c>
      <c r="E1087" s="2">
        <f>IFERROR(__xludf.DUMMYFUNCTION("""COMPUTED_VALUE"""),240.0)</f>
        <v>240</v>
      </c>
      <c r="F1087" s="2">
        <f>IFERROR(__xludf.DUMMYFUNCTION("""COMPUTED_VALUE"""),8127400.0)</f>
        <v>8127400</v>
      </c>
      <c r="G1087" s="2">
        <f t="shared" si="1"/>
        <v>10</v>
      </c>
    </row>
    <row r="1088" ht="15.75" customHeight="1">
      <c r="A1088" s="1">
        <f>IFERROR(__xludf.DUMMYFUNCTION("""COMPUTED_VALUE"""),45485.66666666667)</f>
        <v>45485.66667</v>
      </c>
      <c r="B1088" s="2">
        <f>IFERROR(__xludf.DUMMYFUNCTION("""COMPUTED_VALUE"""),240.0)</f>
        <v>240</v>
      </c>
      <c r="C1088" s="2">
        <f>IFERROR(__xludf.DUMMYFUNCTION("""COMPUTED_VALUE"""),250.0)</f>
        <v>250</v>
      </c>
      <c r="D1088" s="2">
        <f>IFERROR(__xludf.DUMMYFUNCTION("""COMPUTED_VALUE"""),240.0)</f>
        <v>240</v>
      </c>
      <c r="E1088" s="2">
        <f>IFERROR(__xludf.DUMMYFUNCTION("""COMPUTED_VALUE"""),244.0)</f>
        <v>244</v>
      </c>
      <c r="F1088" s="2">
        <f>IFERROR(__xludf.DUMMYFUNCTION("""COMPUTED_VALUE"""),2.08223E7)</f>
        <v>20822300</v>
      </c>
      <c r="G1088" s="2">
        <f t="shared" si="1"/>
        <v>10</v>
      </c>
    </row>
    <row r="1089" ht="15.75" customHeight="1">
      <c r="A1089" s="1">
        <f>IFERROR(__xludf.DUMMYFUNCTION("""COMPUTED_VALUE"""),45488.66666666667)</f>
        <v>45488.66667</v>
      </c>
      <c r="B1089" s="2">
        <f>IFERROR(__xludf.DUMMYFUNCTION("""COMPUTED_VALUE"""),246.0)</f>
        <v>246</v>
      </c>
      <c r="C1089" s="2">
        <f>IFERROR(__xludf.DUMMYFUNCTION("""COMPUTED_VALUE"""),250.0)</f>
        <v>250</v>
      </c>
      <c r="D1089" s="2">
        <f>IFERROR(__xludf.DUMMYFUNCTION("""COMPUTED_VALUE"""),240.0)</f>
        <v>240</v>
      </c>
      <c r="E1089" s="2">
        <f>IFERROR(__xludf.DUMMYFUNCTION("""COMPUTED_VALUE"""),240.0)</f>
        <v>240</v>
      </c>
      <c r="F1089" s="2">
        <f>IFERROR(__xludf.DUMMYFUNCTION("""COMPUTED_VALUE"""),1.20783E7)</f>
        <v>12078300</v>
      </c>
      <c r="G1089" s="2">
        <f t="shared" si="1"/>
        <v>10</v>
      </c>
    </row>
    <row r="1090" ht="15.75" customHeight="1">
      <c r="A1090" s="1">
        <f>IFERROR(__xludf.DUMMYFUNCTION("""COMPUTED_VALUE"""),45489.66666666667)</f>
        <v>45489.66667</v>
      </c>
      <c r="B1090" s="2">
        <f>IFERROR(__xludf.DUMMYFUNCTION("""COMPUTED_VALUE"""),242.0)</f>
        <v>242</v>
      </c>
      <c r="C1090" s="2">
        <f>IFERROR(__xludf.DUMMYFUNCTION("""COMPUTED_VALUE"""),246.0)</f>
        <v>246</v>
      </c>
      <c r="D1090" s="2">
        <f>IFERROR(__xludf.DUMMYFUNCTION("""COMPUTED_VALUE"""),240.0)</f>
        <v>240</v>
      </c>
      <c r="E1090" s="2">
        <f>IFERROR(__xludf.DUMMYFUNCTION("""COMPUTED_VALUE"""),240.0)</f>
        <v>240</v>
      </c>
      <c r="F1090" s="2">
        <f>IFERROR(__xludf.DUMMYFUNCTION("""COMPUTED_VALUE"""),1.16947E7)</f>
        <v>11694700</v>
      </c>
      <c r="G1090" s="2">
        <f t="shared" si="1"/>
        <v>6</v>
      </c>
    </row>
    <row r="1091" ht="15.75" customHeight="1">
      <c r="A1091" s="1">
        <f>IFERROR(__xludf.DUMMYFUNCTION("""COMPUTED_VALUE"""),45490.66666666667)</f>
        <v>45490.66667</v>
      </c>
      <c r="B1091" s="2">
        <f>IFERROR(__xludf.DUMMYFUNCTION("""COMPUTED_VALUE"""),242.0)</f>
        <v>242</v>
      </c>
      <c r="C1091" s="2">
        <f>IFERROR(__xludf.DUMMYFUNCTION("""COMPUTED_VALUE"""),246.0)</f>
        <v>246</v>
      </c>
      <c r="D1091" s="2">
        <f>IFERROR(__xludf.DUMMYFUNCTION("""COMPUTED_VALUE"""),240.0)</f>
        <v>240</v>
      </c>
      <c r="E1091" s="2">
        <f>IFERROR(__xludf.DUMMYFUNCTION("""COMPUTED_VALUE"""),244.0)</f>
        <v>244</v>
      </c>
      <c r="F1091" s="2">
        <f>IFERROR(__xludf.DUMMYFUNCTION("""COMPUTED_VALUE"""),1.10664E7)</f>
        <v>11066400</v>
      </c>
      <c r="G1091" s="2">
        <f t="shared" si="1"/>
        <v>6</v>
      </c>
    </row>
    <row r="1092" ht="15.75" customHeight="1">
      <c r="A1092" s="1">
        <f>IFERROR(__xludf.DUMMYFUNCTION("""COMPUTED_VALUE"""),45491.66666666667)</f>
        <v>45491.66667</v>
      </c>
      <c r="B1092" s="2">
        <f>IFERROR(__xludf.DUMMYFUNCTION("""COMPUTED_VALUE"""),244.0)</f>
        <v>244</v>
      </c>
      <c r="C1092" s="2">
        <f>IFERROR(__xludf.DUMMYFUNCTION("""COMPUTED_VALUE"""),252.0)</f>
        <v>252</v>
      </c>
      <c r="D1092" s="2">
        <f>IFERROR(__xludf.DUMMYFUNCTION("""COMPUTED_VALUE"""),242.0)</f>
        <v>242</v>
      </c>
      <c r="E1092" s="2">
        <f>IFERROR(__xludf.DUMMYFUNCTION("""COMPUTED_VALUE"""),244.0)</f>
        <v>244</v>
      </c>
      <c r="F1092" s="2">
        <f>IFERROR(__xludf.DUMMYFUNCTION("""COMPUTED_VALUE"""),2.77253E7)</f>
        <v>27725300</v>
      </c>
      <c r="G1092" s="2">
        <f t="shared" si="1"/>
        <v>10</v>
      </c>
    </row>
    <row r="1093" ht="15.75" customHeight="1">
      <c r="A1093" s="1">
        <f>IFERROR(__xludf.DUMMYFUNCTION("""COMPUTED_VALUE"""),45492.66666666667)</f>
        <v>45492.66667</v>
      </c>
      <c r="B1093" s="2">
        <f>IFERROR(__xludf.DUMMYFUNCTION("""COMPUTED_VALUE"""),244.0)</f>
        <v>244</v>
      </c>
      <c r="C1093" s="2">
        <f>IFERROR(__xludf.DUMMYFUNCTION("""COMPUTED_VALUE"""),246.0)</f>
        <v>246</v>
      </c>
      <c r="D1093" s="2">
        <f>IFERROR(__xludf.DUMMYFUNCTION("""COMPUTED_VALUE"""),240.0)</f>
        <v>240</v>
      </c>
      <c r="E1093" s="2">
        <f>IFERROR(__xludf.DUMMYFUNCTION("""COMPUTED_VALUE"""),240.0)</f>
        <v>240</v>
      </c>
      <c r="F1093" s="2">
        <f>IFERROR(__xludf.DUMMYFUNCTION("""COMPUTED_VALUE"""),8784900.0)</f>
        <v>8784900</v>
      </c>
      <c r="G1093" s="2">
        <f t="shared" si="1"/>
        <v>6</v>
      </c>
    </row>
    <row r="1094" ht="15.75" customHeight="1">
      <c r="A1094" s="1">
        <f>IFERROR(__xludf.DUMMYFUNCTION("""COMPUTED_VALUE"""),45495.66666666667)</f>
        <v>45495.66667</v>
      </c>
      <c r="B1094" s="2">
        <f>IFERROR(__xludf.DUMMYFUNCTION("""COMPUTED_VALUE"""),244.0)</f>
        <v>244</v>
      </c>
      <c r="C1094" s="2">
        <f>IFERROR(__xludf.DUMMYFUNCTION("""COMPUTED_VALUE"""),246.0)</f>
        <v>246</v>
      </c>
      <c r="D1094" s="2">
        <f>IFERROR(__xludf.DUMMYFUNCTION("""COMPUTED_VALUE"""),240.0)</f>
        <v>240</v>
      </c>
      <c r="E1094" s="2">
        <f>IFERROR(__xludf.DUMMYFUNCTION("""COMPUTED_VALUE"""),242.0)</f>
        <v>242</v>
      </c>
      <c r="F1094" s="2">
        <f>IFERROR(__xludf.DUMMYFUNCTION("""COMPUTED_VALUE"""),1.43157E7)</f>
        <v>14315700</v>
      </c>
      <c r="G1094" s="2">
        <f t="shared" si="1"/>
        <v>6</v>
      </c>
    </row>
    <row r="1095" ht="15.75" customHeight="1">
      <c r="A1095" s="1">
        <f>IFERROR(__xludf.DUMMYFUNCTION("""COMPUTED_VALUE"""),45496.66666666667)</f>
        <v>45496.66667</v>
      </c>
      <c r="B1095" s="2">
        <f>IFERROR(__xludf.DUMMYFUNCTION("""COMPUTED_VALUE"""),242.0)</f>
        <v>242</v>
      </c>
      <c r="C1095" s="2">
        <f>IFERROR(__xludf.DUMMYFUNCTION("""COMPUTED_VALUE"""),250.0)</f>
        <v>250</v>
      </c>
      <c r="D1095" s="2">
        <f>IFERROR(__xludf.DUMMYFUNCTION("""COMPUTED_VALUE"""),240.0)</f>
        <v>240</v>
      </c>
      <c r="E1095" s="2">
        <f>IFERROR(__xludf.DUMMYFUNCTION("""COMPUTED_VALUE"""),242.0)</f>
        <v>242</v>
      </c>
      <c r="F1095" s="2">
        <f>IFERROR(__xludf.DUMMYFUNCTION("""COMPUTED_VALUE"""),3.04823E7)</f>
        <v>30482300</v>
      </c>
      <c r="G1095" s="2">
        <f t="shared" si="1"/>
        <v>10</v>
      </c>
    </row>
    <row r="1096" ht="15.75" customHeight="1">
      <c r="A1096" s="1">
        <f>IFERROR(__xludf.DUMMYFUNCTION("""COMPUTED_VALUE"""),45497.66666666667)</f>
        <v>45497.66667</v>
      </c>
      <c r="B1096" s="2">
        <f>IFERROR(__xludf.DUMMYFUNCTION("""COMPUTED_VALUE"""),242.0)</f>
        <v>242</v>
      </c>
      <c r="C1096" s="2">
        <f>IFERROR(__xludf.DUMMYFUNCTION("""COMPUTED_VALUE"""),246.0)</f>
        <v>246</v>
      </c>
      <c r="D1096" s="2">
        <f>IFERROR(__xludf.DUMMYFUNCTION("""COMPUTED_VALUE"""),240.0)</f>
        <v>240</v>
      </c>
      <c r="E1096" s="2">
        <f>IFERROR(__xludf.DUMMYFUNCTION("""COMPUTED_VALUE"""),242.0)</f>
        <v>242</v>
      </c>
      <c r="F1096" s="2">
        <f>IFERROR(__xludf.DUMMYFUNCTION("""COMPUTED_VALUE"""),9334500.0)</f>
        <v>9334500</v>
      </c>
      <c r="G1096" s="2">
        <f t="shared" si="1"/>
        <v>6</v>
      </c>
    </row>
    <row r="1097" ht="15.75" customHeight="1">
      <c r="A1097" s="1">
        <f>IFERROR(__xludf.DUMMYFUNCTION("""COMPUTED_VALUE"""),45498.66666666667)</f>
        <v>45498.66667</v>
      </c>
      <c r="B1097" s="2">
        <f>IFERROR(__xludf.DUMMYFUNCTION("""COMPUTED_VALUE"""),242.0)</f>
        <v>242</v>
      </c>
      <c r="C1097" s="2">
        <f>IFERROR(__xludf.DUMMYFUNCTION("""COMPUTED_VALUE"""),242.0)</f>
        <v>242</v>
      </c>
      <c r="D1097" s="2">
        <f>IFERROR(__xludf.DUMMYFUNCTION("""COMPUTED_VALUE"""),230.0)</f>
        <v>230</v>
      </c>
      <c r="E1097" s="2">
        <f>IFERROR(__xludf.DUMMYFUNCTION("""COMPUTED_VALUE"""),234.0)</f>
        <v>234</v>
      </c>
      <c r="F1097" s="2">
        <f>IFERROR(__xludf.DUMMYFUNCTION("""COMPUTED_VALUE"""),2.20387E7)</f>
        <v>22038700</v>
      </c>
      <c r="G1097" s="2">
        <f t="shared" si="1"/>
        <v>12</v>
      </c>
    </row>
    <row r="1098" ht="15.75" customHeight="1">
      <c r="A1098" s="1">
        <f>IFERROR(__xludf.DUMMYFUNCTION("""COMPUTED_VALUE"""),45499.66666666667)</f>
        <v>45499.66667</v>
      </c>
      <c r="B1098" s="2">
        <f>IFERROR(__xludf.DUMMYFUNCTION("""COMPUTED_VALUE"""),236.0)</f>
        <v>236</v>
      </c>
      <c r="C1098" s="2">
        <f>IFERROR(__xludf.DUMMYFUNCTION("""COMPUTED_VALUE"""),244.0)</f>
        <v>244</v>
      </c>
      <c r="D1098" s="2">
        <f>IFERROR(__xludf.DUMMYFUNCTION("""COMPUTED_VALUE"""),234.0)</f>
        <v>234</v>
      </c>
      <c r="E1098" s="2">
        <f>IFERROR(__xludf.DUMMYFUNCTION("""COMPUTED_VALUE"""),244.0)</f>
        <v>244</v>
      </c>
      <c r="F1098" s="2">
        <f>IFERROR(__xludf.DUMMYFUNCTION("""COMPUTED_VALUE"""),1.87137E7)</f>
        <v>18713700</v>
      </c>
      <c r="G1098" s="2">
        <f t="shared" si="1"/>
        <v>10</v>
      </c>
    </row>
    <row r="1099" ht="15.75" customHeight="1">
      <c r="A1099" s="1">
        <f>IFERROR(__xludf.DUMMYFUNCTION("""COMPUTED_VALUE"""),45502.66666666667)</f>
        <v>45502.66667</v>
      </c>
      <c r="B1099" s="2">
        <f>IFERROR(__xludf.DUMMYFUNCTION("""COMPUTED_VALUE"""),244.0)</f>
        <v>244</v>
      </c>
      <c r="C1099" s="2">
        <f>IFERROR(__xludf.DUMMYFUNCTION("""COMPUTED_VALUE"""),248.0)</f>
        <v>248</v>
      </c>
      <c r="D1099" s="2">
        <f>IFERROR(__xludf.DUMMYFUNCTION("""COMPUTED_VALUE"""),242.0)</f>
        <v>242</v>
      </c>
      <c r="E1099" s="2">
        <f>IFERROR(__xludf.DUMMYFUNCTION("""COMPUTED_VALUE"""),244.0)</f>
        <v>244</v>
      </c>
      <c r="F1099" s="2">
        <f>IFERROR(__xludf.DUMMYFUNCTION("""COMPUTED_VALUE"""),9293400.0)</f>
        <v>9293400</v>
      </c>
      <c r="G1099" s="2">
        <f t="shared" si="1"/>
        <v>6</v>
      </c>
    </row>
    <row r="1100" ht="15.75" customHeight="1">
      <c r="A1100" s="1">
        <f>IFERROR(__xludf.DUMMYFUNCTION("""COMPUTED_VALUE"""),45503.66666666667)</f>
        <v>45503.66667</v>
      </c>
      <c r="B1100" s="2">
        <f>IFERROR(__xludf.DUMMYFUNCTION("""COMPUTED_VALUE"""),246.0)</f>
        <v>246</v>
      </c>
      <c r="C1100" s="2">
        <f>IFERROR(__xludf.DUMMYFUNCTION("""COMPUTED_VALUE"""),252.0)</f>
        <v>252</v>
      </c>
      <c r="D1100" s="2">
        <f>IFERROR(__xludf.DUMMYFUNCTION("""COMPUTED_VALUE"""),244.0)</f>
        <v>244</v>
      </c>
      <c r="E1100" s="2">
        <f>IFERROR(__xludf.DUMMYFUNCTION("""COMPUTED_VALUE"""),250.0)</f>
        <v>250</v>
      </c>
      <c r="F1100" s="2">
        <f>IFERROR(__xludf.DUMMYFUNCTION("""COMPUTED_VALUE"""),3.95177E7)</f>
        <v>39517700</v>
      </c>
      <c r="G1100" s="2">
        <f t="shared" si="1"/>
        <v>8</v>
      </c>
    </row>
    <row r="1101" ht="15.75" customHeight="1">
      <c r="A1101" s="1">
        <f>IFERROR(__xludf.DUMMYFUNCTION("""COMPUTED_VALUE"""),45504.66666666667)</f>
        <v>45504.66667</v>
      </c>
      <c r="B1101" s="2">
        <f>IFERROR(__xludf.DUMMYFUNCTION("""COMPUTED_VALUE"""),250.0)</f>
        <v>250</v>
      </c>
      <c r="C1101" s="2">
        <f>IFERROR(__xludf.DUMMYFUNCTION("""COMPUTED_VALUE"""),256.0)</f>
        <v>256</v>
      </c>
      <c r="D1101" s="2">
        <f>IFERROR(__xludf.DUMMYFUNCTION("""COMPUTED_VALUE"""),244.0)</f>
        <v>244</v>
      </c>
      <c r="E1101" s="2">
        <f>IFERROR(__xludf.DUMMYFUNCTION("""COMPUTED_VALUE"""),244.0)</f>
        <v>244</v>
      </c>
      <c r="F1101" s="2">
        <f>IFERROR(__xludf.DUMMYFUNCTION("""COMPUTED_VALUE"""),3.58837E7)</f>
        <v>35883700</v>
      </c>
      <c r="G1101" s="2">
        <f t="shared" si="1"/>
        <v>12</v>
      </c>
    </row>
    <row r="1102" ht="15.75" customHeight="1">
      <c r="A1102" s="1">
        <f>IFERROR(__xludf.DUMMYFUNCTION("""COMPUTED_VALUE"""),45505.66666666667)</f>
        <v>45505.66667</v>
      </c>
      <c r="B1102" s="2">
        <f>IFERROR(__xludf.DUMMYFUNCTION("""COMPUTED_VALUE"""),246.0)</f>
        <v>246</v>
      </c>
      <c r="C1102" s="2">
        <f>IFERROR(__xludf.DUMMYFUNCTION("""COMPUTED_VALUE"""),248.0)</f>
        <v>248</v>
      </c>
      <c r="D1102" s="2">
        <f>IFERROR(__xludf.DUMMYFUNCTION("""COMPUTED_VALUE"""),242.0)</f>
        <v>242</v>
      </c>
      <c r="E1102" s="2">
        <f>IFERROR(__xludf.DUMMYFUNCTION("""COMPUTED_VALUE"""),244.0)</f>
        <v>244</v>
      </c>
      <c r="F1102" s="2">
        <f>IFERROR(__xludf.DUMMYFUNCTION("""COMPUTED_VALUE"""),9736600.0)</f>
        <v>9736600</v>
      </c>
      <c r="G1102" s="2">
        <f t="shared" si="1"/>
        <v>6</v>
      </c>
    </row>
    <row r="1103" ht="15.75" customHeight="1">
      <c r="A1103" s="1">
        <f>IFERROR(__xludf.DUMMYFUNCTION("""COMPUTED_VALUE"""),45506.66666666667)</f>
        <v>45506.66667</v>
      </c>
      <c r="B1103" s="2">
        <f>IFERROR(__xludf.DUMMYFUNCTION("""COMPUTED_VALUE"""),244.0)</f>
        <v>244</v>
      </c>
      <c r="C1103" s="2">
        <f>IFERROR(__xludf.DUMMYFUNCTION("""COMPUTED_VALUE"""),244.0)</f>
        <v>244</v>
      </c>
      <c r="D1103" s="2">
        <f>IFERROR(__xludf.DUMMYFUNCTION("""COMPUTED_VALUE"""),236.0)</f>
        <v>236</v>
      </c>
      <c r="E1103" s="2">
        <f>IFERROR(__xludf.DUMMYFUNCTION("""COMPUTED_VALUE"""),242.0)</f>
        <v>242</v>
      </c>
      <c r="F1103" s="2">
        <f>IFERROR(__xludf.DUMMYFUNCTION("""COMPUTED_VALUE"""),1.56739E7)</f>
        <v>15673900</v>
      </c>
      <c r="G1103" s="2">
        <f t="shared" si="1"/>
        <v>8</v>
      </c>
    </row>
    <row r="1104" ht="15.75" customHeight="1">
      <c r="A1104" s="1">
        <f>IFERROR(__xludf.DUMMYFUNCTION("""COMPUTED_VALUE"""),45509.66666666667)</f>
        <v>45509.66667</v>
      </c>
      <c r="B1104" s="2">
        <f>IFERROR(__xludf.DUMMYFUNCTION("""COMPUTED_VALUE"""),238.0)</f>
        <v>238</v>
      </c>
      <c r="C1104" s="2">
        <f>IFERROR(__xludf.DUMMYFUNCTION("""COMPUTED_VALUE"""),240.0)</f>
        <v>240</v>
      </c>
      <c r="D1104" s="2">
        <f>IFERROR(__xludf.DUMMYFUNCTION("""COMPUTED_VALUE"""),222.0)</f>
        <v>222</v>
      </c>
      <c r="E1104" s="2">
        <f>IFERROR(__xludf.DUMMYFUNCTION("""COMPUTED_VALUE"""),226.0)</f>
        <v>226</v>
      </c>
      <c r="F1104" s="2">
        <f>IFERROR(__xludf.DUMMYFUNCTION("""COMPUTED_VALUE"""),2.48559E7)</f>
        <v>24855900</v>
      </c>
      <c r="G1104" s="2">
        <f t="shared" si="1"/>
        <v>20</v>
      </c>
    </row>
    <row r="1105" ht="15.75" customHeight="1">
      <c r="A1105" s="1">
        <f>IFERROR(__xludf.DUMMYFUNCTION("""COMPUTED_VALUE"""),45510.66666666667)</f>
        <v>45510.66667</v>
      </c>
      <c r="B1105" s="2">
        <f>IFERROR(__xludf.DUMMYFUNCTION("""COMPUTED_VALUE"""),222.0)</f>
        <v>222</v>
      </c>
      <c r="C1105" s="2">
        <f>IFERROR(__xludf.DUMMYFUNCTION("""COMPUTED_VALUE"""),238.0)</f>
        <v>238</v>
      </c>
      <c r="D1105" s="2">
        <f>IFERROR(__xludf.DUMMYFUNCTION("""COMPUTED_VALUE"""),210.0)</f>
        <v>210</v>
      </c>
      <c r="E1105" s="2">
        <f>IFERROR(__xludf.DUMMYFUNCTION("""COMPUTED_VALUE"""),228.0)</f>
        <v>228</v>
      </c>
      <c r="F1105" s="2">
        <f>IFERROR(__xludf.DUMMYFUNCTION("""COMPUTED_VALUE"""),1.34294E7)</f>
        <v>13429400</v>
      </c>
      <c r="G1105" s="2">
        <f t="shared" si="1"/>
        <v>28</v>
      </c>
    </row>
    <row r="1106" ht="15.75" customHeight="1">
      <c r="A1106" s="1">
        <f>IFERROR(__xludf.DUMMYFUNCTION("""COMPUTED_VALUE"""),45511.66666666667)</f>
        <v>45511.66667</v>
      </c>
      <c r="B1106" s="2">
        <f>IFERROR(__xludf.DUMMYFUNCTION("""COMPUTED_VALUE"""),230.0)</f>
        <v>230</v>
      </c>
      <c r="C1106" s="2">
        <f>IFERROR(__xludf.DUMMYFUNCTION("""COMPUTED_VALUE"""),234.0)</f>
        <v>234</v>
      </c>
      <c r="D1106" s="2">
        <f>IFERROR(__xludf.DUMMYFUNCTION("""COMPUTED_VALUE"""),230.0)</f>
        <v>230</v>
      </c>
      <c r="E1106" s="2">
        <f>IFERROR(__xludf.DUMMYFUNCTION("""COMPUTED_VALUE"""),232.0)</f>
        <v>232</v>
      </c>
      <c r="F1106" s="2">
        <f>IFERROR(__xludf.DUMMYFUNCTION("""COMPUTED_VALUE"""),5377600.0)</f>
        <v>5377600</v>
      </c>
      <c r="G1106" s="2">
        <f t="shared" si="1"/>
        <v>6</v>
      </c>
    </row>
    <row r="1107" ht="15.75" customHeight="1">
      <c r="A1107" s="1">
        <f>IFERROR(__xludf.DUMMYFUNCTION("""COMPUTED_VALUE"""),45512.66666666667)</f>
        <v>45512.66667</v>
      </c>
      <c r="B1107" s="2">
        <f>IFERROR(__xludf.DUMMYFUNCTION("""COMPUTED_VALUE"""),232.0)</f>
        <v>232</v>
      </c>
      <c r="C1107" s="2">
        <f>IFERROR(__xludf.DUMMYFUNCTION("""COMPUTED_VALUE"""),236.0)</f>
        <v>236</v>
      </c>
      <c r="D1107" s="2">
        <f>IFERROR(__xludf.DUMMYFUNCTION("""COMPUTED_VALUE"""),228.0)</f>
        <v>228</v>
      </c>
      <c r="E1107" s="2">
        <f>IFERROR(__xludf.DUMMYFUNCTION("""COMPUTED_VALUE"""),228.0)</f>
        <v>228</v>
      </c>
      <c r="F1107" s="2">
        <f>IFERROR(__xludf.DUMMYFUNCTION("""COMPUTED_VALUE"""),1.44161E7)</f>
        <v>14416100</v>
      </c>
      <c r="G1107" s="2">
        <f t="shared" si="1"/>
        <v>8</v>
      </c>
    </row>
    <row r="1108" ht="15.75" customHeight="1">
      <c r="A1108" s="1">
        <f>IFERROR(__xludf.DUMMYFUNCTION("""COMPUTED_VALUE"""),45513.66666666667)</f>
        <v>45513.66667</v>
      </c>
      <c r="B1108" s="2">
        <f>IFERROR(__xludf.DUMMYFUNCTION("""COMPUTED_VALUE"""),228.0)</f>
        <v>228</v>
      </c>
      <c r="C1108" s="2">
        <f>IFERROR(__xludf.DUMMYFUNCTION("""COMPUTED_VALUE"""),236.0)</f>
        <v>236</v>
      </c>
      <c r="D1108" s="2">
        <f>IFERROR(__xludf.DUMMYFUNCTION("""COMPUTED_VALUE"""),228.0)</f>
        <v>228</v>
      </c>
      <c r="E1108" s="2">
        <f>IFERROR(__xludf.DUMMYFUNCTION("""COMPUTED_VALUE"""),232.0)</f>
        <v>232</v>
      </c>
      <c r="F1108" s="2">
        <f>IFERROR(__xludf.DUMMYFUNCTION("""COMPUTED_VALUE"""),1.13488E7)</f>
        <v>11348800</v>
      </c>
      <c r="G1108" s="2">
        <f t="shared" si="1"/>
        <v>8</v>
      </c>
    </row>
    <row r="1109" ht="15.75" customHeight="1">
      <c r="A1109" s="1">
        <f>IFERROR(__xludf.DUMMYFUNCTION("""COMPUTED_VALUE"""),45516.66666666667)</f>
        <v>45516.66667</v>
      </c>
      <c r="B1109" s="2">
        <f>IFERROR(__xludf.DUMMYFUNCTION("""COMPUTED_VALUE"""),234.0)</f>
        <v>234</v>
      </c>
      <c r="C1109" s="2">
        <f>IFERROR(__xludf.DUMMYFUNCTION("""COMPUTED_VALUE"""),234.0)</f>
        <v>234</v>
      </c>
      <c r="D1109" s="2">
        <f>IFERROR(__xludf.DUMMYFUNCTION("""COMPUTED_VALUE"""),228.0)</f>
        <v>228</v>
      </c>
      <c r="E1109" s="2">
        <f>IFERROR(__xludf.DUMMYFUNCTION("""COMPUTED_VALUE"""),234.0)</f>
        <v>234</v>
      </c>
      <c r="F1109" s="2">
        <f>IFERROR(__xludf.DUMMYFUNCTION("""COMPUTED_VALUE"""),7145200.0)</f>
        <v>7145200</v>
      </c>
      <c r="G1109" s="2">
        <f t="shared" si="1"/>
        <v>6</v>
      </c>
    </row>
    <row r="1110" ht="15.75" customHeight="1">
      <c r="A1110" s="1">
        <f>IFERROR(__xludf.DUMMYFUNCTION("""COMPUTED_VALUE"""),45517.66666666667)</f>
        <v>45517.66667</v>
      </c>
      <c r="B1110" s="2">
        <f>IFERROR(__xludf.DUMMYFUNCTION("""COMPUTED_VALUE"""),234.0)</f>
        <v>234</v>
      </c>
      <c r="C1110" s="2">
        <f>IFERROR(__xludf.DUMMYFUNCTION("""COMPUTED_VALUE"""),240.0)</f>
        <v>240</v>
      </c>
      <c r="D1110" s="2">
        <f>IFERROR(__xludf.DUMMYFUNCTION("""COMPUTED_VALUE"""),232.0)</f>
        <v>232</v>
      </c>
      <c r="E1110" s="2">
        <f>IFERROR(__xludf.DUMMYFUNCTION("""COMPUTED_VALUE"""),236.0)</f>
        <v>236</v>
      </c>
      <c r="F1110" s="2">
        <f>IFERROR(__xludf.DUMMYFUNCTION("""COMPUTED_VALUE"""),1.49848E7)</f>
        <v>14984800</v>
      </c>
      <c r="G1110" s="2">
        <f t="shared" si="1"/>
        <v>8</v>
      </c>
    </row>
    <row r="1111" ht="15.75" customHeight="1">
      <c r="A1111" s="1">
        <f>IFERROR(__xludf.DUMMYFUNCTION("""COMPUTED_VALUE"""),45518.66666666667)</f>
        <v>45518.66667</v>
      </c>
      <c r="B1111" s="2">
        <f>IFERROR(__xludf.DUMMYFUNCTION("""COMPUTED_VALUE"""),238.0)</f>
        <v>238</v>
      </c>
      <c r="C1111" s="2">
        <f>IFERROR(__xludf.DUMMYFUNCTION("""COMPUTED_VALUE"""),246.0)</f>
        <v>246</v>
      </c>
      <c r="D1111" s="2">
        <f>IFERROR(__xludf.DUMMYFUNCTION("""COMPUTED_VALUE"""),238.0)</f>
        <v>238</v>
      </c>
      <c r="E1111" s="2">
        <f>IFERROR(__xludf.DUMMYFUNCTION("""COMPUTED_VALUE"""),246.0)</f>
        <v>246</v>
      </c>
      <c r="F1111" s="2">
        <f>IFERROR(__xludf.DUMMYFUNCTION("""COMPUTED_VALUE"""),3.05735E7)</f>
        <v>30573500</v>
      </c>
      <c r="G1111" s="2">
        <f t="shared" si="1"/>
        <v>10</v>
      </c>
    </row>
    <row r="1112" ht="15.75" customHeight="1">
      <c r="A1112" s="1">
        <f>IFERROR(__xludf.DUMMYFUNCTION("""COMPUTED_VALUE"""),45519.66666666667)</f>
        <v>45519.66667</v>
      </c>
      <c r="B1112" s="2">
        <f>IFERROR(__xludf.DUMMYFUNCTION("""COMPUTED_VALUE"""),246.0)</f>
        <v>246</v>
      </c>
      <c r="C1112" s="2">
        <f>IFERROR(__xludf.DUMMYFUNCTION("""COMPUTED_VALUE"""),248.0)</f>
        <v>248</v>
      </c>
      <c r="D1112" s="2">
        <f>IFERROR(__xludf.DUMMYFUNCTION("""COMPUTED_VALUE"""),242.0)</f>
        <v>242</v>
      </c>
      <c r="E1112" s="2">
        <f>IFERROR(__xludf.DUMMYFUNCTION("""COMPUTED_VALUE"""),244.0)</f>
        <v>244</v>
      </c>
      <c r="F1112" s="2">
        <f>IFERROR(__xludf.DUMMYFUNCTION("""COMPUTED_VALUE"""),1.28968E7)</f>
        <v>12896800</v>
      </c>
      <c r="G1112" s="2">
        <f t="shared" si="1"/>
        <v>6</v>
      </c>
    </row>
    <row r="1113" ht="15.75" customHeight="1">
      <c r="A1113" s="1">
        <f>IFERROR(__xludf.DUMMYFUNCTION("""COMPUTED_VALUE"""),45520.66666666667)</f>
        <v>45520.66667</v>
      </c>
      <c r="B1113" s="2">
        <f>IFERROR(__xludf.DUMMYFUNCTION("""COMPUTED_VALUE"""),244.0)</f>
        <v>244</v>
      </c>
      <c r="C1113" s="2">
        <f>IFERROR(__xludf.DUMMYFUNCTION("""COMPUTED_VALUE"""),250.0)</f>
        <v>250</v>
      </c>
      <c r="D1113" s="2">
        <f>IFERROR(__xludf.DUMMYFUNCTION("""COMPUTED_VALUE"""),242.0)</f>
        <v>242</v>
      </c>
      <c r="E1113" s="2">
        <f>IFERROR(__xludf.DUMMYFUNCTION("""COMPUTED_VALUE"""),242.0)</f>
        <v>242</v>
      </c>
      <c r="F1113" s="2">
        <f>IFERROR(__xludf.DUMMYFUNCTION("""COMPUTED_VALUE"""),1.64531E7)</f>
        <v>16453100</v>
      </c>
      <c r="G1113" s="2">
        <f t="shared" si="1"/>
        <v>8</v>
      </c>
    </row>
    <row r="1114" ht="15.75" customHeight="1">
      <c r="A1114" s="1">
        <f>IFERROR(__xludf.DUMMYFUNCTION("""COMPUTED_VALUE"""),45523.66666666667)</f>
        <v>45523.66667</v>
      </c>
      <c r="B1114" s="2">
        <f>IFERROR(__xludf.DUMMYFUNCTION("""COMPUTED_VALUE"""),244.0)</f>
        <v>244</v>
      </c>
      <c r="C1114" s="2">
        <f>IFERROR(__xludf.DUMMYFUNCTION("""COMPUTED_VALUE"""),250.0)</f>
        <v>250</v>
      </c>
      <c r="D1114" s="2">
        <f>IFERROR(__xludf.DUMMYFUNCTION("""COMPUTED_VALUE"""),242.0)</f>
        <v>242</v>
      </c>
      <c r="E1114" s="2">
        <f>IFERROR(__xludf.DUMMYFUNCTION("""COMPUTED_VALUE"""),248.0)</f>
        <v>248</v>
      </c>
      <c r="F1114" s="2">
        <f>IFERROR(__xludf.DUMMYFUNCTION("""COMPUTED_VALUE"""),2.12388E7)</f>
        <v>21238800</v>
      </c>
      <c r="G1114" s="2">
        <f t="shared" si="1"/>
        <v>8</v>
      </c>
    </row>
    <row r="1115" ht="15.75" customHeight="1">
      <c r="A1115" s="1">
        <f>IFERROR(__xludf.DUMMYFUNCTION("""COMPUTED_VALUE"""),45524.66666666667)</f>
        <v>45524.66667</v>
      </c>
      <c r="B1115" s="2">
        <f>IFERROR(__xludf.DUMMYFUNCTION("""COMPUTED_VALUE"""),250.0)</f>
        <v>250</v>
      </c>
      <c r="C1115" s="2">
        <f>IFERROR(__xludf.DUMMYFUNCTION("""COMPUTED_VALUE"""),266.0)</f>
        <v>266</v>
      </c>
      <c r="D1115" s="2">
        <f>IFERROR(__xludf.DUMMYFUNCTION("""COMPUTED_VALUE"""),250.0)</f>
        <v>250</v>
      </c>
      <c r="E1115" s="2">
        <f>IFERROR(__xludf.DUMMYFUNCTION("""COMPUTED_VALUE"""),262.0)</f>
        <v>262</v>
      </c>
      <c r="F1115" s="2">
        <f>IFERROR(__xludf.DUMMYFUNCTION("""COMPUTED_VALUE"""),7.9655E7)</f>
        <v>79655000</v>
      </c>
      <c r="G1115" s="2">
        <f t="shared" si="1"/>
        <v>18</v>
      </c>
    </row>
    <row r="1116" ht="15.75" customHeight="1">
      <c r="A1116" s="1">
        <f>IFERROR(__xludf.DUMMYFUNCTION("""COMPUTED_VALUE"""),45525.66666666667)</f>
        <v>45525.66667</v>
      </c>
      <c r="B1116" s="2">
        <f>IFERROR(__xludf.DUMMYFUNCTION("""COMPUTED_VALUE"""),262.0)</f>
        <v>262</v>
      </c>
      <c r="C1116" s="2">
        <f>IFERROR(__xludf.DUMMYFUNCTION("""COMPUTED_VALUE"""),270.0)</f>
        <v>270</v>
      </c>
      <c r="D1116" s="2">
        <f>IFERROR(__xludf.DUMMYFUNCTION("""COMPUTED_VALUE"""),258.0)</f>
        <v>258</v>
      </c>
      <c r="E1116" s="2">
        <f>IFERROR(__xludf.DUMMYFUNCTION("""COMPUTED_VALUE"""),258.0)</f>
        <v>258</v>
      </c>
      <c r="F1116" s="2">
        <f>IFERROR(__xludf.DUMMYFUNCTION("""COMPUTED_VALUE"""),4.18764E7)</f>
        <v>41876400</v>
      </c>
      <c r="G1116" s="2">
        <f t="shared" si="1"/>
        <v>12</v>
      </c>
    </row>
    <row r="1117" ht="15.75" customHeight="1">
      <c r="A1117" s="1">
        <f>IFERROR(__xludf.DUMMYFUNCTION("""COMPUTED_VALUE"""),45526.66666666667)</f>
        <v>45526.66667</v>
      </c>
      <c r="B1117" s="2">
        <f>IFERROR(__xludf.DUMMYFUNCTION("""COMPUTED_VALUE"""),258.0)</f>
        <v>258</v>
      </c>
      <c r="C1117" s="2">
        <f>IFERROR(__xludf.DUMMYFUNCTION("""COMPUTED_VALUE"""),272.0)</f>
        <v>272</v>
      </c>
      <c r="D1117" s="2">
        <f>IFERROR(__xludf.DUMMYFUNCTION("""COMPUTED_VALUE"""),254.0)</f>
        <v>254</v>
      </c>
      <c r="E1117" s="2">
        <f>IFERROR(__xludf.DUMMYFUNCTION("""COMPUTED_VALUE"""),254.0)</f>
        <v>254</v>
      </c>
      <c r="F1117" s="2">
        <f>IFERROR(__xludf.DUMMYFUNCTION("""COMPUTED_VALUE"""),4.53712E7)</f>
        <v>45371200</v>
      </c>
      <c r="G1117" s="2">
        <f t="shared" si="1"/>
        <v>18</v>
      </c>
    </row>
    <row r="1118" ht="15.75" customHeight="1">
      <c r="A1118" s="1">
        <f>IFERROR(__xludf.DUMMYFUNCTION("""COMPUTED_VALUE"""),45527.66666666667)</f>
        <v>45527.66667</v>
      </c>
      <c r="B1118" s="2">
        <f>IFERROR(__xludf.DUMMYFUNCTION("""COMPUTED_VALUE"""),256.0)</f>
        <v>256</v>
      </c>
      <c r="C1118" s="2">
        <f>IFERROR(__xludf.DUMMYFUNCTION("""COMPUTED_VALUE"""),300.0)</f>
        <v>300</v>
      </c>
      <c r="D1118" s="2">
        <f>IFERROR(__xludf.DUMMYFUNCTION("""COMPUTED_VALUE"""),256.0)</f>
        <v>256</v>
      </c>
      <c r="E1118" s="2">
        <f>IFERROR(__xludf.DUMMYFUNCTION("""COMPUTED_VALUE"""),284.0)</f>
        <v>284</v>
      </c>
      <c r="F1118" s="2">
        <f>IFERROR(__xludf.DUMMYFUNCTION("""COMPUTED_VALUE"""),2.832654E8)</f>
        <v>283265400</v>
      </c>
      <c r="G1118" s="2">
        <f t="shared" si="1"/>
        <v>46</v>
      </c>
    </row>
    <row r="1119" ht="15.75" customHeight="1">
      <c r="A1119" s="1">
        <f>IFERROR(__xludf.DUMMYFUNCTION("""COMPUTED_VALUE"""),45530.66666666667)</f>
        <v>45530.66667</v>
      </c>
      <c r="B1119" s="2">
        <f>IFERROR(__xludf.DUMMYFUNCTION("""COMPUTED_VALUE"""),286.0)</f>
        <v>286</v>
      </c>
      <c r="C1119" s="2">
        <f>IFERROR(__xludf.DUMMYFUNCTION("""COMPUTED_VALUE"""),290.0)</f>
        <v>290</v>
      </c>
      <c r="D1119" s="2">
        <f>IFERROR(__xludf.DUMMYFUNCTION("""COMPUTED_VALUE"""),270.0)</f>
        <v>270</v>
      </c>
      <c r="E1119" s="2">
        <f>IFERROR(__xludf.DUMMYFUNCTION("""COMPUTED_VALUE"""),280.0)</f>
        <v>280</v>
      </c>
      <c r="F1119" s="2">
        <f>IFERROR(__xludf.DUMMYFUNCTION("""COMPUTED_VALUE"""),7.19925E7)</f>
        <v>71992500</v>
      </c>
      <c r="G1119" s="2">
        <f t="shared" si="1"/>
        <v>20</v>
      </c>
    </row>
    <row r="1120" ht="15.75" customHeight="1">
      <c r="A1120" s="1">
        <f>IFERROR(__xludf.DUMMYFUNCTION("""COMPUTED_VALUE"""),45531.66666666667)</f>
        <v>45531.66667</v>
      </c>
      <c r="B1120" s="2">
        <f>IFERROR(__xludf.DUMMYFUNCTION("""COMPUTED_VALUE"""),282.0)</f>
        <v>282</v>
      </c>
      <c r="C1120" s="2">
        <f>IFERROR(__xludf.DUMMYFUNCTION("""COMPUTED_VALUE"""),284.0)</f>
        <v>284</v>
      </c>
      <c r="D1120" s="2">
        <f>IFERROR(__xludf.DUMMYFUNCTION("""COMPUTED_VALUE"""),272.0)</f>
        <v>272</v>
      </c>
      <c r="E1120" s="2">
        <f>IFERROR(__xludf.DUMMYFUNCTION("""COMPUTED_VALUE"""),274.0)</f>
        <v>274</v>
      </c>
      <c r="F1120" s="2">
        <f>IFERROR(__xludf.DUMMYFUNCTION("""COMPUTED_VALUE"""),4.33622E7)</f>
        <v>43362200</v>
      </c>
      <c r="G1120" s="2">
        <f t="shared" si="1"/>
        <v>12</v>
      </c>
    </row>
    <row r="1121" ht="15.75" customHeight="1">
      <c r="A1121" s="1">
        <f>IFERROR(__xludf.DUMMYFUNCTION("""COMPUTED_VALUE"""),45532.66666666667)</f>
        <v>45532.66667</v>
      </c>
      <c r="B1121" s="2">
        <f>IFERROR(__xludf.DUMMYFUNCTION("""COMPUTED_VALUE"""),276.0)</f>
        <v>276</v>
      </c>
      <c r="C1121" s="2">
        <f>IFERROR(__xludf.DUMMYFUNCTION("""COMPUTED_VALUE"""),280.0)</f>
        <v>280</v>
      </c>
      <c r="D1121" s="2">
        <f>IFERROR(__xludf.DUMMYFUNCTION("""COMPUTED_VALUE"""),270.0)</f>
        <v>270</v>
      </c>
      <c r="E1121" s="2">
        <f>IFERROR(__xludf.DUMMYFUNCTION("""COMPUTED_VALUE"""),274.0)</f>
        <v>274</v>
      </c>
      <c r="F1121" s="2">
        <f>IFERROR(__xludf.DUMMYFUNCTION("""COMPUTED_VALUE"""),4.17279E7)</f>
        <v>41727900</v>
      </c>
      <c r="G1121" s="2">
        <f t="shared" si="1"/>
        <v>10</v>
      </c>
    </row>
    <row r="1122" ht="15.75" customHeight="1">
      <c r="A1122" s="1">
        <f>IFERROR(__xludf.DUMMYFUNCTION("""COMPUTED_VALUE"""),45533.66666666667)</f>
        <v>45533.66667</v>
      </c>
      <c r="B1122" s="2">
        <f>IFERROR(__xludf.DUMMYFUNCTION("""COMPUTED_VALUE"""),274.0)</f>
        <v>274</v>
      </c>
      <c r="C1122" s="2">
        <f>IFERROR(__xludf.DUMMYFUNCTION("""COMPUTED_VALUE"""),276.0)</f>
        <v>276</v>
      </c>
      <c r="D1122" s="2">
        <f>IFERROR(__xludf.DUMMYFUNCTION("""COMPUTED_VALUE"""),264.0)</f>
        <v>264</v>
      </c>
      <c r="E1122" s="2">
        <f>IFERROR(__xludf.DUMMYFUNCTION("""COMPUTED_VALUE"""),264.0)</f>
        <v>264</v>
      </c>
      <c r="F1122" s="2">
        <f>IFERROR(__xludf.DUMMYFUNCTION("""COMPUTED_VALUE"""),3.9608E7)</f>
        <v>39608000</v>
      </c>
      <c r="G1122" s="2">
        <f t="shared" si="1"/>
        <v>12</v>
      </c>
    </row>
    <row r="1123" ht="15.75" customHeight="1">
      <c r="A1123" s="1">
        <f>IFERROR(__xludf.DUMMYFUNCTION("""COMPUTED_VALUE"""),45534.66666666667)</f>
        <v>45534.66667</v>
      </c>
      <c r="B1123" s="2">
        <f>IFERROR(__xludf.DUMMYFUNCTION("""COMPUTED_VALUE"""),268.0)</f>
        <v>268</v>
      </c>
      <c r="C1123" s="2">
        <f>IFERROR(__xludf.DUMMYFUNCTION("""COMPUTED_VALUE"""),270.0)</f>
        <v>270</v>
      </c>
      <c r="D1123" s="2">
        <f>IFERROR(__xludf.DUMMYFUNCTION("""COMPUTED_VALUE"""),258.0)</f>
        <v>258</v>
      </c>
      <c r="E1123" s="2">
        <f>IFERROR(__xludf.DUMMYFUNCTION("""COMPUTED_VALUE"""),260.0)</f>
        <v>260</v>
      </c>
      <c r="F1123" s="2">
        <f>IFERROR(__xludf.DUMMYFUNCTION("""COMPUTED_VALUE"""),2.15177E7)</f>
        <v>21517700</v>
      </c>
      <c r="G1123" s="2">
        <f t="shared" si="1"/>
        <v>12</v>
      </c>
    </row>
    <row r="1124" ht="15.75" customHeight="1">
      <c r="A1124" s="1">
        <f>IFERROR(__xludf.DUMMYFUNCTION("""COMPUTED_VALUE"""),45537.66666666667)</f>
        <v>45537.66667</v>
      </c>
      <c r="B1124" s="2">
        <f>IFERROR(__xludf.DUMMYFUNCTION("""COMPUTED_VALUE"""),262.0)</f>
        <v>262</v>
      </c>
      <c r="C1124" s="2">
        <f>IFERROR(__xludf.DUMMYFUNCTION("""COMPUTED_VALUE"""),286.0)</f>
        <v>286</v>
      </c>
      <c r="D1124" s="2">
        <f>IFERROR(__xludf.DUMMYFUNCTION("""COMPUTED_VALUE"""),260.0)</f>
        <v>260</v>
      </c>
      <c r="E1124" s="2">
        <f>IFERROR(__xludf.DUMMYFUNCTION("""COMPUTED_VALUE"""),282.0)</f>
        <v>282</v>
      </c>
      <c r="F1124" s="2">
        <f>IFERROR(__xludf.DUMMYFUNCTION("""COMPUTED_VALUE"""),1.12929E8)</f>
        <v>112929000</v>
      </c>
      <c r="G1124" s="2">
        <f t="shared" si="1"/>
        <v>26</v>
      </c>
    </row>
    <row r="1125" ht="15.75" customHeight="1">
      <c r="A1125" s="1">
        <f>IFERROR(__xludf.DUMMYFUNCTION("""COMPUTED_VALUE"""),45538.66666666667)</f>
        <v>45538.66667</v>
      </c>
      <c r="B1125" s="2">
        <f>IFERROR(__xludf.DUMMYFUNCTION("""COMPUTED_VALUE"""),284.0)</f>
        <v>284</v>
      </c>
      <c r="C1125" s="2">
        <f>IFERROR(__xludf.DUMMYFUNCTION("""COMPUTED_VALUE"""),288.0)</f>
        <v>288</v>
      </c>
      <c r="D1125" s="2">
        <f>IFERROR(__xludf.DUMMYFUNCTION("""COMPUTED_VALUE"""),270.0)</f>
        <v>270</v>
      </c>
      <c r="E1125" s="2">
        <f>IFERROR(__xludf.DUMMYFUNCTION("""COMPUTED_VALUE"""),270.0)</f>
        <v>270</v>
      </c>
      <c r="F1125" s="2">
        <f>IFERROR(__xludf.DUMMYFUNCTION("""COMPUTED_VALUE"""),5.73071E7)</f>
        <v>57307100</v>
      </c>
      <c r="G1125" s="2">
        <f t="shared" si="1"/>
        <v>18</v>
      </c>
    </row>
    <row r="1126" ht="15.75" customHeight="1">
      <c r="A1126" s="1">
        <f>IFERROR(__xludf.DUMMYFUNCTION("""COMPUTED_VALUE"""),45539.66666666667)</f>
        <v>45539.66667</v>
      </c>
      <c r="B1126" s="2">
        <f>IFERROR(__xludf.DUMMYFUNCTION("""COMPUTED_VALUE"""),264.0)</f>
        <v>264</v>
      </c>
      <c r="C1126" s="2">
        <f>IFERROR(__xludf.DUMMYFUNCTION("""COMPUTED_VALUE"""),274.0)</f>
        <v>274</v>
      </c>
      <c r="D1126" s="2">
        <f>IFERROR(__xludf.DUMMYFUNCTION("""COMPUTED_VALUE"""),262.0)</f>
        <v>262</v>
      </c>
      <c r="E1126" s="2">
        <f>IFERROR(__xludf.DUMMYFUNCTION("""COMPUTED_VALUE"""),264.0)</f>
        <v>264</v>
      </c>
      <c r="F1126" s="2">
        <f>IFERROR(__xludf.DUMMYFUNCTION("""COMPUTED_VALUE"""),3.24476E7)</f>
        <v>32447600</v>
      </c>
      <c r="G1126" s="2">
        <f t="shared" si="1"/>
        <v>12</v>
      </c>
    </row>
    <row r="1127" ht="15.75" customHeight="1">
      <c r="A1127" s="1">
        <f>IFERROR(__xludf.DUMMYFUNCTION("""COMPUTED_VALUE"""),45540.66666666667)</f>
        <v>45540.66667</v>
      </c>
      <c r="B1127" s="2">
        <f>IFERROR(__xludf.DUMMYFUNCTION("""COMPUTED_VALUE"""),264.0)</f>
        <v>264</v>
      </c>
      <c r="C1127" s="2">
        <f>IFERROR(__xludf.DUMMYFUNCTION("""COMPUTED_VALUE"""),270.0)</f>
        <v>270</v>
      </c>
      <c r="D1127" s="2">
        <f>IFERROR(__xludf.DUMMYFUNCTION("""COMPUTED_VALUE"""),264.0)</f>
        <v>264</v>
      </c>
      <c r="E1127" s="2">
        <f>IFERROR(__xludf.DUMMYFUNCTION("""COMPUTED_VALUE"""),268.0)</f>
        <v>268</v>
      </c>
      <c r="F1127" s="2">
        <f>IFERROR(__xludf.DUMMYFUNCTION("""COMPUTED_VALUE"""),1.20783E7)</f>
        <v>12078300</v>
      </c>
      <c r="G1127" s="2">
        <f t="shared" si="1"/>
        <v>6</v>
      </c>
    </row>
    <row r="1128" ht="15.75" customHeight="1">
      <c r="A1128" s="1">
        <f>IFERROR(__xludf.DUMMYFUNCTION("""COMPUTED_VALUE"""),45541.66666666667)</f>
        <v>45541.66667</v>
      </c>
      <c r="B1128" s="2">
        <f>IFERROR(__xludf.DUMMYFUNCTION("""COMPUTED_VALUE"""),270.0)</f>
        <v>270</v>
      </c>
      <c r="C1128" s="2">
        <f>IFERROR(__xludf.DUMMYFUNCTION("""COMPUTED_VALUE"""),274.0)</f>
        <v>274</v>
      </c>
      <c r="D1128" s="2">
        <f>IFERROR(__xludf.DUMMYFUNCTION("""COMPUTED_VALUE"""),266.0)</f>
        <v>266</v>
      </c>
      <c r="E1128" s="2">
        <f>IFERROR(__xludf.DUMMYFUNCTION("""COMPUTED_VALUE"""),270.0)</f>
        <v>270</v>
      </c>
      <c r="F1128" s="2">
        <f>IFERROR(__xludf.DUMMYFUNCTION("""COMPUTED_VALUE"""),1.78704E7)</f>
        <v>17870400</v>
      </c>
      <c r="G1128" s="2">
        <f t="shared" si="1"/>
        <v>8</v>
      </c>
    </row>
    <row r="1129" ht="15.75" customHeight="1">
      <c r="A1129" s="1">
        <f>IFERROR(__xludf.DUMMYFUNCTION("""COMPUTED_VALUE"""),45544.66666666667)</f>
        <v>45544.66667</v>
      </c>
      <c r="B1129" s="2">
        <f>IFERROR(__xludf.DUMMYFUNCTION("""COMPUTED_VALUE"""),270.0)</f>
        <v>270</v>
      </c>
      <c r="C1129" s="2">
        <f>IFERROR(__xludf.DUMMYFUNCTION("""COMPUTED_VALUE"""),278.0)</f>
        <v>278</v>
      </c>
      <c r="D1129" s="2">
        <f>IFERROR(__xludf.DUMMYFUNCTION("""COMPUTED_VALUE"""),264.0)</f>
        <v>264</v>
      </c>
      <c r="E1129" s="2">
        <f>IFERROR(__xludf.DUMMYFUNCTION("""COMPUTED_VALUE"""),264.0)</f>
        <v>264</v>
      </c>
      <c r="F1129" s="2">
        <f>IFERROR(__xludf.DUMMYFUNCTION("""COMPUTED_VALUE"""),3.14033E7)</f>
        <v>31403300</v>
      </c>
      <c r="G1129" s="2">
        <f t="shared" si="1"/>
        <v>14</v>
      </c>
    </row>
    <row r="1130" ht="15.75" customHeight="1">
      <c r="A1130" s="1">
        <f>IFERROR(__xludf.DUMMYFUNCTION("""COMPUTED_VALUE"""),45545.66666666667)</f>
        <v>45545.66667</v>
      </c>
      <c r="B1130" s="2">
        <f>IFERROR(__xludf.DUMMYFUNCTION("""COMPUTED_VALUE"""),266.0)</f>
        <v>266</v>
      </c>
      <c r="C1130" s="2">
        <f>IFERROR(__xludf.DUMMYFUNCTION("""COMPUTED_VALUE"""),272.0)</f>
        <v>272</v>
      </c>
      <c r="D1130" s="2">
        <f>IFERROR(__xludf.DUMMYFUNCTION("""COMPUTED_VALUE"""),266.0)</f>
        <v>266</v>
      </c>
      <c r="E1130" s="2">
        <f>IFERROR(__xludf.DUMMYFUNCTION("""COMPUTED_VALUE"""),270.0)</f>
        <v>270</v>
      </c>
      <c r="F1130" s="2">
        <f>IFERROR(__xludf.DUMMYFUNCTION("""COMPUTED_VALUE"""),1.84558E7)</f>
        <v>18455800</v>
      </c>
      <c r="G1130" s="2">
        <f t="shared" si="1"/>
        <v>8</v>
      </c>
    </row>
    <row r="1131" ht="15.75" customHeight="1">
      <c r="A1131" s="1">
        <f>IFERROR(__xludf.DUMMYFUNCTION("""COMPUTED_VALUE"""),45546.66666666667)</f>
        <v>45546.66667</v>
      </c>
      <c r="B1131" s="2">
        <f>IFERROR(__xludf.DUMMYFUNCTION("""COMPUTED_VALUE"""),270.0)</f>
        <v>270</v>
      </c>
      <c r="C1131" s="2">
        <f>IFERROR(__xludf.DUMMYFUNCTION("""COMPUTED_VALUE"""),280.0)</f>
        <v>280</v>
      </c>
      <c r="D1131" s="2">
        <f>IFERROR(__xludf.DUMMYFUNCTION("""COMPUTED_VALUE"""),268.0)</f>
        <v>268</v>
      </c>
      <c r="E1131" s="2">
        <f>IFERROR(__xludf.DUMMYFUNCTION("""COMPUTED_VALUE"""),268.0)</f>
        <v>268</v>
      </c>
      <c r="F1131" s="2">
        <f>IFERROR(__xludf.DUMMYFUNCTION("""COMPUTED_VALUE"""),3.38931E7)</f>
        <v>33893100</v>
      </c>
      <c r="G1131" s="2">
        <f t="shared" si="1"/>
        <v>12</v>
      </c>
    </row>
    <row r="1132" ht="15.75" customHeight="1">
      <c r="A1132" s="1">
        <f>IFERROR(__xludf.DUMMYFUNCTION("""COMPUTED_VALUE"""),45547.66666666667)</f>
        <v>45547.66667</v>
      </c>
      <c r="B1132" s="2">
        <f>IFERROR(__xludf.DUMMYFUNCTION("""COMPUTED_VALUE"""),272.0)</f>
        <v>272</v>
      </c>
      <c r="C1132" s="2">
        <f>IFERROR(__xludf.DUMMYFUNCTION("""COMPUTED_VALUE"""),278.0)</f>
        <v>278</v>
      </c>
      <c r="D1132" s="2">
        <f>IFERROR(__xludf.DUMMYFUNCTION("""COMPUTED_VALUE"""),268.0)</f>
        <v>268</v>
      </c>
      <c r="E1132" s="2">
        <f>IFERROR(__xludf.DUMMYFUNCTION("""COMPUTED_VALUE"""),274.0)</f>
        <v>274</v>
      </c>
      <c r="F1132" s="2">
        <f>IFERROR(__xludf.DUMMYFUNCTION("""COMPUTED_VALUE"""),2.41912E7)</f>
        <v>24191200</v>
      </c>
      <c r="G1132" s="2">
        <f t="shared" si="1"/>
        <v>10</v>
      </c>
    </row>
    <row r="1133" ht="15.75" customHeight="1">
      <c r="A1133" s="1">
        <f>IFERROR(__xludf.DUMMYFUNCTION("""COMPUTED_VALUE"""),45548.66666666667)</f>
        <v>45548.66667</v>
      </c>
      <c r="B1133" s="2">
        <f>IFERROR(__xludf.DUMMYFUNCTION("""COMPUTED_VALUE"""),278.0)</f>
        <v>278</v>
      </c>
      <c r="C1133" s="2">
        <f>IFERROR(__xludf.DUMMYFUNCTION("""COMPUTED_VALUE"""),278.0)</f>
        <v>278</v>
      </c>
      <c r="D1133" s="2">
        <f>IFERROR(__xludf.DUMMYFUNCTION("""COMPUTED_VALUE"""),270.0)</f>
        <v>270</v>
      </c>
      <c r="E1133" s="2">
        <f>IFERROR(__xludf.DUMMYFUNCTION("""COMPUTED_VALUE"""),272.0)</f>
        <v>272</v>
      </c>
      <c r="F1133" s="2">
        <f>IFERROR(__xludf.DUMMYFUNCTION("""COMPUTED_VALUE"""),1.54307E7)</f>
        <v>15430700</v>
      </c>
      <c r="G1133" s="2">
        <f t="shared" si="1"/>
        <v>8</v>
      </c>
    </row>
    <row r="1134" ht="15.75" customHeight="1">
      <c r="A1134" s="1">
        <f>IFERROR(__xludf.DUMMYFUNCTION("""COMPUTED_VALUE"""),45552.66666666667)</f>
        <v>45552.66667</v>
      </c>
      <c r="B1134" s="2">
        <f>IFERROR(__xludf.DUMMYFUNCTION("""COMPUTED_VALUE"""),274.0)</f>
        <v>274</v>
      </c>
      <c r="C1134" s="2">
        <f>IFERROR(__xludf.DUMMYFUNCTION("""COMPUTED_VALUE"""),284.0)</f>
        <v>284</v>
      </c>
      <c r="D1134" s="2">
        <f>IFERROR(__xludf.DUMMYFUNCTION("""COMPUTED_VALUE"""),272.0)</f>
        <v>272</v>
      </c>
      <c r="E1134" s="2">
        <f>IFERROR(__xludf.DUMMYFUNCTION("""COMPUTED_VALUE"""),280.0)</f>
        <v>280</v>
      </c>
      <c r="F1134" s="2">
        <f>IFERROR(__xludf.DUMMYFUNCTION("""COMPUTED_VALUE"""),6.87189E7)</f>
        <v>68718900</v>
      </c>
      <c r="G1134" s="2">
        <f t="shared" si="1"/>
        <v>12</v>
      </c>
    </row>
    <row r="1135" ht="15.75" customHeight="1">
      <c r="A1135" s="1">
        <f>IFERROR(__xludf.DUMMYFUNCTION("""COMPUTED_VALUE"""),45553.66666666667)</f>
        <v>45553.66667</v>
      </c>
      <c r="B1135" s="2">
        <f>IFERROR(__xludf.DUMMYFUNCTION("""COMPUTED_VALUE"""),280.0)</f>
        <v>280</v>
      </c>
      <c r="C1135" s="2">
        <f>IFERROR(__xludf.DUMMYFUNCTION("""COMPUTED_VALUE"""),296.0)</f>
        <v>296</v>
      </c>
      <c r="D1135" s="2">
        <f>IFERROR(__xludf.DUMMYFUNCTION("""COMPUTED_VALUE"""),276.0)</f>
        <v>276</v>
      </c>
      <c r="E1135" s="2">
        <f>IFERROR(__xludf.DUMMYFUNCTION("""COMPUTED_VALUE"""),288.0)</f>
        <v>288</v>
      </c>
      <c r="F1135" s="2">
        <f>IFERROR(__xludf.DUMMYFUNCTION("""COMPUTED_VALUE"""),1.238208E8)</f>
        <v>123820800</v>
      </c>
      <c r="G1135" s="2">
        <f t="shared" si="1"/>
        <v>20</v>
      </c>
    </row>
    <row r="1136" ht="15.75" customHeight="1">
      <c r="A1136" s="1">
        <f>IFERROR(__xludf.DUMMYFUNCTION("""COMPUTED_VALUE"""),45554.66666666667)</f>
        <v>45554.66667</v>
      </c>
      <c r="B1136" s="2">
        <f>IFERROR(__xludf.DUMMYFUNCTION("""COMPUTED_VALUE"""),300.0)</f>
        <v>300</v>
      </c>
      <c r="C1136" s="2">
        <f>IFERROR(__xludf.DUMMYFUNCTION("""COMPUTED_VALUE"""),300.0)</f>
        <v>300</v>
      </c>
      <c r="D1136" s="2">
        <f>IFERROR(__xludf.DUMMYFUNCTION("""COMPUTED_VALUE"""),282.0)</f>
        <v>282</v>
      </c>
      <c r="E1136" s="2">
        <f>IFERROR(__xludf.DUMMYFUNCTION("""COMPUTED_VALUE"""),284.0)</f>
        <v>284</v>
      </c>
      <c r="F1136" s="2">
        <f>IFERROR(__xludf.DUMMYFUNCTION("""COMPUTED_VALUE"""),5.97563E7)</f>
        <v>59756300</v>
      </c>
      <c r="G1136" s="2">
        <f t="shared" si="1"/>
        <v>18</v>
      </c>
    </row>
    <row r="1137" ht="15.75" customHeight="1">
      <c r="A1137" s="1">
        <f>IFERROR(__xludf.DUMMYFUNCTION("""COMPUTED_VALUE"""),45555.66666666667)</f>
        <v>45555.66667</v>
      </c>
      <c r="B1137" s="2">
        <f>IFERROR(__xludf.DUMMYFUNCTION("""COMPUTED_VALUE"""),286.0)</f>
        <v>286</v>
      </c>
      <c r="C1137" s="2">
        <f>IFERROR(__xludf.DUMMYFUNCTION("""COMPUTED_VALUE"""),288.0)</f>
        <v>288</v>
      </c>
      <c r="D1137" s="2">
        <f>IFERROR(__xludf.DUMMYFUNCTION("""COMPUTED_VALUE"""),266.0)</f>
        <v>266</v>
      </c>
      <c r="E1137" s="2">
        <f>IFERROR(__xludf.DUMMYFUNCTION("""COMPUTED_VALUE"""),266.0)</f>
        <v>266</v>
      </c>
      <c r="F1137" s="2">
        <f>IFERROR(__xludf.DUMMYFUNCTION("""COMPUTED_VALUE"""),1.478041E8)</f>
        <v>147804100</v>
      </c>
      <c r="G1137" s="2">
        <f t="shared" si="1"/>
        <v>22</v>
      </c>
    </row>
    <row r="1138" ht="15.75" customHeight="1">
      <c r="A1138" s="1">
        <f>IFERROR(__xludf.DUMMYFUNCTION("""COMPUTED_VALUE"""),45558.66666666667)</f>
        <v>45558.66667</v>
      </c>
      <c r="B1138" s="2">
        <f>IFERROR(__xludf.DUMMYFUNCTION("""COMPUTED_VALUE"""),266.0)</f>
        <v>266</v>
      </c>
      <c r="C1138" s="2">
        <f>IFERROR(__xludf.DUMMYFUNCTION("""COMPUTED_VALUE"""),280.0)</f>
        <v>280</v>
      </c>
      <c r="D1138" s="2">
        <f>IFERROR(__xludf.DUMMYFUNCTION("""COMPUTED_VALUE"""),266.0)</f>
        <v>266</v>
      </c>
      <c r="E1138" s="2">
        <f>IFERROR(__xludf.DUMMYFUNCTION("""COMPUTED_VALUE"""),272.0)</f>
        <v>272</v>
      </c>
      <c r="F1138" s="2">
        <f>IFERROR(__xludf.DUMMYFUNCTION("""COMPUTED_VALUE"""),3.86541E7)</f>
        <v>38654100</v>
      </c>
      <c r="G1138" s="2">
        <f t="shared" si="1"/>
        <v>14</v>
      </c>
    </row>
    <row r="1139" ht="15.75" customHeight="1">
      <c r="A1139" s="1">
        <f>IFERROR(__xludf.DUMMYFUNCTION("""COMPUTED_VALUE"""),45559.66666666667)</f>
        <v>45559.66667</v>
      </c>
      <c r="B1139" s="2">
        <f>IFERROR(__xludf.DUMMYFUNCTION("""COMPUTED_VALUE"""),274.0)</f>
        <v>274</v>
      </c>
      <c r="C1139" s="2">
        <f>IFERROR(__xludf.DUMMYFUNCTION("""COMPUTED_VALUE"""),280.0)</f>
        <v>280</v>
      </c>
      <c r="D1139" s="2">
        <f>IFERROR(__xludf.DUMMYFUNCTION("""COMPUTED_VALUE"""),270.0)</f>
        <v>270</v>
      </c>
      <c r="E1139" s="2">
        <f>IFERROR(__xludf.DUMMYFUNCTION("""COMPUTED_VALUE"""),272.0)</f>
        <v>272</v>
      </c>
      <c r="F1139" s="2">
        <f>IFERROR(__xludf.DUMMYFUNCTION("""COMPUTED_VALUE"""),2.83263E7)</f>
        <v>28326300</v>
      </c>
      <c r="G1139" s="2">
        <f t="shared" si="1"/>
        <v>10</v>
      </c>
    </row>
    <row r="1140" ht="15.75" customHeight="1">
      <c r="A1140" s="1">
        <f>IFERROR(__xludf.DUMMYFUNCTION("""COMPUTED_VALUE"""),45560.66666666667)</f>
        <v>45560.66667</v>
      </c>
      <c r="B1140" s="2">
        <f>IFERROR(__xludf.DUMMYFUNCTION("""COMPUTED_VALUE"""),274.0)</f>
        <v>274</v>
      </c>
      <c r="C1140" s="2">
        <f>IFERROR(__xludf.DUMMYFUNCTION("""COMPUTED_VALUE"""),276.0)</f>
        <v>276</v>
      </c>
      <c r="D1140" s="2">
        <f>IFERROR(__xludf.DUMMYFUNCTION("""COMPUTED_VALUE"""),266.0)</f>
        <v>266</v>
      </c>
      <c r="E1140" s="2">
        <f>IFERROR(__xludf.DUMMYFUNCTION("""COMPUTED_VALUE"""),270.0)</f>
        <v>270</v>
      </c>
      <c r="F1140" s="2">
        <f>IFERROR(__xludf.DUMMYFUNCTION("""COMPUTED_VALUE"""),3.27797E7)</f>
        <v>32779700</v>
      </c>
      <c r="G1140" s="2">
        <f t="shared" si="1"/>
        <v>10</v>
      </c>
    </row>
    <row r="1141" ht="15.75" customHeight="1">
      <c r="A1141" s="1">
        <f>IFERROR(__xludf.DUMMYFUNCTION("""COMPUTED_VALUE"""),45561.66666666667)</f>
        <v>45561.66667</v>
      </c>
      <c r="B1141" s="2">
        <f>IFERROR(__xludf.DUMMYFUNCTION("""COMPUTED_VALUE"""),268.0)</f>
        <v>268</v>
      </c>
      <c r="C1141" s="2">
        <f>IFERROR(__xludf.DUMMYFUNCTION("""COMPUTED_VALUE"""),278.0)</f>
        <v>278</v>
      </c>
      <c r="D1141" s="2">
        <f>IFERROR(__xludf.DUMMYFUNCTION("""COMPUTED_VALUE"""),268.0)</f>
        <v>268</v>
      </c>
      <c r="E1141" s="2">
        <f>IFERROR(__xludf.DUMMYFUNCTION("""COMPUTED_VALUE"""),274.0)</f>
        <v>274</v>
      </c>
      <c r="F1141" s="2">
        <f>IFERROR(__xludf.DUMMYFUNCTION("""COMPUTED_VALUE"""),3.04858E7)</f>
        <v>30485800</v>
      </c>
      <c r="G1141" s="2">
        <f t="shared" si="1"/>
        <v>10</v>
      </c>
    </row>
    <row r="1142" ht="15.75" customHeight="1">
      <c r="A1142" s="1">
        <f>IFERROR(__xludf.DUMMYFUNCTION("""COMPUTED_VALUE"""),45562.66666666667)</f>
        <v>45562.66667</v>
      </c>
      <c r="B1142" s="2">
        <f>IFERROR(__xludf.DUMMYFUNCTION("""COMPUTED_VALUE"""),276.0)</f>
        <v>276</v>
      </c>
      <c r="C1142" s="2">
        <f>IFERROR(__xludf.DUMMYFUNCTION("""COMPUTED_VALUE"""),278.0)</f>
        <v>278</v>
      </c>
      <c r="D1142" s="2">
        <f>IFERROR(__xludf.DUMMYFUNCTION("""COMPUTED_VALUE"""),268.0)</f>
        <v>268</v>
      </c>
      <c r="E1142" s="2">
        <f>IFERROR(__xludf.DUMMYFUNCTION("""COMPUTED_VALUE"""),268.0)</f>
        <v>268</v>
      </c>
      <c r="F1142" s="2">
        <f>IFERROR(__xludf.DUMMYFUNCTION("""COMPUTED_VALUE"""),1.72729E7)</f>
        <v>17272900</v>
      </c>
      <c r="G1142" s="2">
        <f t="shared" si="1"/>
        <v>10</v>
      </c>
    </row>
    <row r="1143" ht="15.75" customHeight="1">
      <c r="A1143" s="1">
        <f>IFERROR(__xludf.DUMMYFUNCTION("""COMPUTED_VALUE"""),45565.66666666667)</f>
        <v>45565.66667</v>
      </c>
      <c r="B1143" s="2">
        <f>IFERROR(__xludf.DUMMYFUNCTION("""COMPUTED_VALUE"""),270.0)</f>
        <v>270</v>
      </c>
      <c r="C1143" s="2">
        <f>IFERROR(__xludf.DUMMYFUNCTION("""COMPUTED_VALUE"""),272.0)</f>
        <v>272</v>
      </c>
      <c r="D1143" s="2">
        <f>IFERROR(__xludf.DUMMYFUNCTION("""COMPUTED_VALUE"""),264.0)</f>
        <v>264</v>
      </c>
      <c r="E1143" s="2">
        <f>IFERROR(__xludf.DUMMYFUNCTION("""COMPUTED_VALUE"""),268.0)</f>
        <v>268</v>
      </c>
      <c r="F1143" s="2">
        <f>IFERROR(__xludf.DUMMYFUNCTION("""COMPUTED_VALUE"""),1.64371E7)</f>
        <v>16437100</v>
      </c>
      <c r="G1143" s="2">
        <f t="shared" si="1"/>
        <v>8</v>
      </c>
    </row>
    <row r="1144" ht="15.75" customHeight="1">
      <c r="A1144" s="1">
        <f>IFERROR(__xludf.DUMMYFUNCTION("""COMPUTED_VALUE"""),45566.66666666667)</f>
        <v>45566.66667</v>
      </c>
      <c r="B1144" s="2">
        <f>IFERROR(__xludf.DUMMYFUNCTION("""COMPUTED_VALUE"""),270.0)</f>
        <v>270</v>
      </c>
      <c r="C1144" s="2">
        <f>IFERROR(__xludf.DUMMYFUNCTION("""COMPUTED_VALUE"""),272.0)</f>
        <v>272</v>
      </c>
      <c r="D1144" s="2">
        <f>IFERROR(__xludf.DUMMYFUNCTION("""COMPUTED_VALUE"""),264.0)</f>
        <v>264</v>
      </c>
      <c r="E1144" s="2">
        <f>IFERROR(__xludf.DUMMYFUNCTION("""COMPUTED_VALUE"""),270.0)</f>
        <v>270</v>
      </c>
      <c r="F1144" s="2">
        <f>IFERROR(__xludf.DUMMYFUNCTION("""COMPUTED_VALUE"""),1.83618E7)</f>
        <v>18361800</v>
      </c>
      <c r="G1144" s="2">
        <f t="shared" si="1"/>
        <v>8</v>
      </c>
    </row>
    <row r="1145" ht="15.75" customHeight="1">
      <c r="A1145" s="1">
        <f>IFERROR(__xludf.DUMMYFUNCTION("""COMPUTED_VALUE"""),45567.66666666667)</f>
        <v>45567.66667</v>
      </c>
      <c r="B1145" s="2">
        <f>IFERROR(__xludf.DUMMYFUNCTION("""COMPUTED_VALUE"""),270.0)</f>
        <v>270</v>
      </c>
      <c r="C1145" s="2">
        <f>IFERROR(__xludf.DUMMYFUNCTION("""COMPUTED_VALUE"""),270.0)</f>
        <v>270</v>
      </c>
      <c r="D1145" s="2">
        <f>IFERROR(__xludf.DUMMYFUNCTION("""COMPUTED_VALUE"""),256.0)</f>
        <v>256</v>
      </c>
      <c r="E1145" s="2">
        <f>IFERROR(__xludf.DUMMYFUNCTION("""COMPUTED_VALUE"""),260.0)</f>
        <v>260</v>
      </c>
      <c r="F1145" s="2">
        <f>IFERROR(__xludf.DUMMYFUNCTION("""COMPUTED_VALUE"""),3.44453E7)</f>
        <v>34445300</v>
      </c>
      <c r="G1145" s="2">
        <f t="shared" si="1"/>
        <v>14</v>
      </c>
    </row>
    <row r="1146" ht="15.75" customHeight="1">
      <c r="A1146" s="1">
        <f>IFERROR(__xludf.DUMMYFUNCTION("""COMPUTED_VALUE"""),45568.66666666667)</f>
        <v>45568.66667</v>
      </c>
      <c r="B1146" s="2">
        <f>IFERROR(__xludf.DUMMYFUNCTION("""COMPUTED_VALUE"""),260.0)</f>
        <v>260</v>
      </c>
      <c r="C1146" s="2">
        <f>IFERROR(__xludf.DUMMYFUNCTION("""COMPUTED_VALUE"""),264.0)</f>
        <v>264</v>
      </c>
      <c r="D1146" s="2">
        <f>IFERROR(__xludf.DUMMYFUNCTION("""COMPUTED_VALUE"""),254.0)</f>
        <v>254</v>
      </c>
      <c r="E1146" s="2">
        <f>IFERROR(__xludf.DUMMYFUNCTION("""COMPUTED_VALUE"""),262.0)</f>
        <v>262</v>
      </c>
      <c r="F1146" s="2">
        <f>IFERROR(__xludf.DUMMYFUNCTION("""COMPUTED_VALUE"""),1.25659E7)</f>
        <v>12565900</v>
      </c>
      <c r="G1146" s="2">
        <f t="shared" si="1"/>
        <v>10</v>
      </c>
    </row>
    <row r="1147" ht="15.75" customHeight="1">
      <c r="A1147" s="1">
        <f>IFERROR(__xludf.DUMMYFUNCTION("""COMPUTED_VALUE"""),45569.66666666667)</f>
        <v>45569.66667</v>
      </c>
      <c r="B1147" s="2">
        <f>IFERROR(__xludf.DUMMYFUNCTION("""COMPUTED_VALUE"""),262.0)</f>
        <v>262</v>
      </c>
      <c r="C1147" s="2">
        <f>IFERROR(__xludf.DUMMYFUNCTION("""COMPUTED_VALUE"""),264.0)</f>
        <v>264</v>
      </c>
      <c r="D1147" s="2">
        <f>IFERROR(__xludf.DUMMYFUNCTION("""COMPUTED_VALUE"""),254.0)</f>
        <v>254</v>
      </c>
      <c r="E1147" s="2">
        <f>IFERROR(__xludf.DUMMYFUNCTION("""COMPUTED_VALUE"""),256.0)</f>
        <v>256</v>
      </c>
      <c r="F1147" s="2">
        <f>IFERROR(__xludf.DUMMYFUNCTION("""COMPUTED_VALUE"""),1.49558E7)</f>
        <v>14955800</v>
      </c>
      <c r="G1147" s="2">
        <f t="shared" si="1"/>
        <v>10</v>
      </c>
    </row>
    <row r="1148" ht="15.75" customHeight="1">
      <c r="A1148" s="1">
        <f>IFERROR(__xludf.DUMMYFUNCTION("""COMPUTED_VALUE"""),45572.66666666667)</f>
        <v>45572.66667</v>
      </c>
      <c r="B1148" s="2">
        <f>IFERROR(__xludf.DUMMYFUNCTION("""COMPUTED_VALUE"""),256.0)</f>
        <v>256</v>
      </c>
      <c r="C1148" s="2">
        <f>IFERROR(__xludf.DUMMYFUNCTION("""COMPUTED_VALUE"""),268.0)</f>
        <v>268</v>
      </c>
      <c r="D1148" s="2">
        <f>IFERROR(__xludf.DUMMYFUNCTION("""COMPUTED_VALUE"""),254.0)</f>
        <v>254</v>
      </c>
      <c r="E1148" s="2">
        <f>IFERROR(__xludf.DUMMYFUNCTION("""COMPUTED_VALUE"""),266.0)</f>
        <v>266</v>
      </c>
      <c r="F1148" s="2">
        <f>IFERROR(__xludf.DUMMYFUNCTION("""COMPUTED_VALUE"""),3.74672E7)</f>
        <v>37467200</v>
      </c>
      <c r="G1148" s="2">
        <f t="shared" si="1"/>
        <v>14</v>
      </c>
    </row>
    <row r="1149" ht="15.75" customHeight="1">
      <c r="A1149" s="1">
        <f>IFERROR(__xludf.DUMMYFUNCTION("""COMPUTED_VALUE"""),45573.66666666667)</f>
        <v>45573.66667</v>
      </c>
      <c r="B1149" s="2">
        <f>IFERROR(__xludf.DUMMYFUNCTION("""COMPUTED_VALUE"""),266.0)</f>
        <v>266</v>
      </c>
      <c r="C1149" s="2">
        <f>IFERROR(__xludf.DUMMYFUNCTION("""COMPUTED_VALUE"""),276.0)</f>
        <v>276</v>
      </c>
      <c r="D1149" s="2">
        <f>IFERROR(__xludf.DUMMYFUNCTION("""COMPUTED_VALUE"""),262.0)</f>
        <v>262</v>
      </c>
      <c r="E1149" s="2">
        <f>IFERROR(__xludf.DUMMYFUNCTION("""COMPUTED_VALUE"""),274.0)</f>
        <v>274</v>
      </c>
      <c r="F1149" s="2">
        <f>IFERROR(__xludf.DUMMYFUNCTION("""COMPUTED_VALUE"""),6.65541E7)</f>
        <v>66554100</v>
      </c>
      <c r="G1149" s="2">
        <f t="shared" si="1"/>
        <v>14</v>
      </c>
    </row>
    <row r="1150" ht="15.75" customHeight="1">
      <c r="A1150" s="1">
        <f>IFERROR(__xludf.DUMMYFUNCTION("""COMPUTED_VALUE"""),45574.66666666667)</f>
        <v>45574.66667</v>
      </c>
      <c r="B1150" s="2">
        <f>IFERROR(__xludf.DUMMYFUNCTION("""COMPUTED_VALUE"""),276.0)</f>
        <v>276</v>
      </c>
      <c r="C1150" s="2">
        <f>IFERROR(__xludf.DUMMYFUNCTION("""COMPUTED_VALUE"""),280.0)</f>
        <v>280</v>
      </c>
      <c r="D1150" s="2">
        <f>IFERROR(__xludf.DUMMYFUNCTION("""COMPUTED_VALUE"""),268.0)</f>
        <v>268</v>
      </c>
      <c r="E1150" s="2">
        <f>IFERROR(__xludf.DUMMYFUNCTION("""COMPUTED_VALUE"""),272.0)</f>
        <v>272</v>
      </c>
      <c r="F1150" s="2">
        <f>IFERROR(__xludf.DUMMYFUNCTION("""COMPUTED_VALUE"""),2.82745E7)</f>
        <v>28274500</v>
      </c>
      <c r="G1150" s="2">
        <f t="shared" si="1"/>
        <v>12</v>
      </c>
    </row>
    <row r="1151" ht="15.75" customHeight="1">
      <c r="A1151" s="1">
        <f>IFERROR(__xludf.DUMMYFUNCTION("""COMPUTED_VALUE"""),45575.66666666667)</f>
        <v>45575.66667</v>
      </c>
      <c r="B1151" s="2">
        <f>IFERROR(__xludf.DUMMYFUNCTION("""COMPUTED_VALUE"""),272.0)</f>
        <v>272</v>
      </c>
      <c r="C1151" s="2">
        <f>IFERROR(__xludf.DUMMYFUNCTION("""COMPUTED_VALUE"""),274.0)</f>
        <v>274</v>
      </c>
      <c r="D1151" s="2">
        <f>IFERROR(__xludf.DUMMYFUNCTION("""COMPUTED_VALUE"""),266.0)</f>
        <v>266</v>
      </c>
      <c r="E1151" s="2">
        <f>IFERROR(__xludf.DUMMYFUNCTION("""COMPUTED_VALUE"""),266.0)</f>
        <v>266</v>
      </c>
      <c r="F1151" s="2">
        <f>IFERROR(__xludf.DUMMYFUNCTION("""COMPUTED_VALUE"""),1.05099E7)</f>
        <v>10509900</v>
      </c>
      <c r="G1151" s="2">
        <f t="shared" si="1"/>
        <v>8</v>
      </c>
    </row>
    <row r="1152" ht="15.75" customHeight="1">
      <c r="A1152" s="1">
        <f>IFERROR(__xludf.DUMMYFUNCTION("""COMPUTED_VALUE"""),45576.66666666667)</f>
        <v>45576.66667</v>
      </c>
      <c r="B1152" s="2">
        <f>IFERROR(__xludf.DUMMYFUNCTION("""COMPUTED_VALUE"""),268.0)</f>
        <v>268</v>
      </c>
      <c r="C1152" s="2">
        <f>IFERROR(__xludf.DUMMYFUNCTION("""COMPUTED_VALUE"""),270.0)</f>
        <v>270</v>
      </c>
      <c r="D1152" s="2">
        <f>IFERROR(__xludf.DUMMYFUNCTION("""COMPUTED_VALUE"""),266.0)</f>
        <v>266</v>
      </c>
      <c r="E1152" s="2">
        <f>IFERROR(__xludf.DUMMYFUNCTION("""COMPUTED_VALUE"""),266.0)</f>
        <v>266</v>
      </c>
      <c r="F1152" s="2">
        <f>IFERROR(__xludf.DUMMYFUNCTION("""COMPUTED_VALUE"""),6678000.0)</f>
        <v>6678000</v>
      </c>
      <c r="G1152" s="2">
        <f t="shared" si="1"/>
        <v>4</v>
      </c>
    </row>
    <row r="1153" ht="15.75" customHeight="1">
      <c r="A1153" s="1">
        <f>IFERROR(__xludf.DUMMYFUNCTION("""COMPUTED_VALUE"""),45579.66666666667)</f>
        <v>45579.66667</v>
      </c>
      <c r="B1153" s="2">
        <f>IFERROR(__xludf.DUMMYFUNCTION("""COMPUTED_VALUE"""),268.0)</f>
        <v>268</v>
      </c>
      <c r="C1153" s="2">
        <f>IFERROR(__xludf.DUMMYFUNCTION("""COMPUTED_VALUE"""),280.0)</f>
        <v>280</v>
      </c>
      <c r="D1153" s="2">
        <f>IFERROR(__xludf.DUMMYFUNCTION("""COMPUTED_VALUE"""),266.0)</f>
        <v>266</v>
      </c>
      <c r="E1153" s="2">
        <f>IFERROR(__xludf.DUMMYFUNCTION("""COMPUTED_VALUE"""),276.0)</f>
        <v>276</v>
      </c>
      <c r="F1153" s="2">
        <f>IFERROR(__xludf.DUMMYFUNCTION("""COMPUTED_VALUE"""),4.0329E7)</f>
        <v>40329000</v>
      </c>
      <c r="G1153" s="2">
        <f t="shared" si="1"/>
        <v>14</v>
      </c>
    </row>
    <row r="1154" ht="15.75" customHeight="1">
      <c r="A1154" s="1">
        <f>IFERROR(__xludf.DUMMYFUNCTION("""COMPUTED_VALUE"""),45580.66666666667)</f>
        <v>45580.66667</v>
      </c>
      <c r="B1154" s="2">
        <f>IFERROR(__xludf.DUMMYFUNCTION("""COMPUTED_VALUE"""),276.0)</f>
        <v>276</v>
      </c>
      <c r="C1154" s="2">
        <f>IFERROR(__xludf.DUMMYFUNCTION("""COMPUTED_VALUE"""),278.0)</f>
        <v>278</v>
      </c>
      <c r="D1154" s="2">
        <f>IFERROR(__xludf.DUMMYFUNCTION("""COMPUTED_VALUE"""),270.0)</f>
        <v>270</v>
      </c>
      <c r="E1154" s="2">
        <f>IFERROR(__xludf.DUMMYFUNCTION("""COMPUTED_VALUE"""),274.0)</f>
        <v>274</v>
      </c>
      <c r="F1154" s="2">
        <f>IFERROR(__xludf.DUMMYFUNCTION("""COMPUTED_VALUE"""),1.68337E7)</f>
        <v>16833700</v>
      </c>
      <c r="G1154" s="2">
        <f t="shared" si="1"/>
        <v>8</v>
      </c>
    </row>
    <row r="1155" ht="15.75" customHeight="1">
      <c r="A1155" s="1">
        <f>IFERROR(__xludf.DUMMYFUNCTION("""COMPUTED_VALUE"""),45581.66666666667)</f>
        <v>45581.66667</v>
      </c>
      <c r="B1155" s="2">
        <f>IFERROR(__xludf.DUMMYFUNCTION("""COMPUTED_VALUE"""),274.0)</f>
        <v>274</v>
      </c>
      <c r="C1155" s="2">
        <f>IFERROR(__xludf.DUMMYFUNCTION("""COMPUTED_VALUE"""),278.0)</f>
        <v>278</v>
      </c>
      <c r="D1155" s="2">
        <f>IFERROR(__xludf.DUMMYFUNCTION("""COMPUTED_VALUE"""),270.0)</f>
        <v>270</v>
      </c>
      <c r="E1155" s="2">
        <f>IFERROR(__xludf.DUMMYFUNCTION("""COMPUTED_VALUE"""),274.0)</f>
        <v>274</v>
      </c>
      <c r="F1155" s="2">
        <f>IFERROR(__xludf.DUMMYFUNCTION("""COMPUTED_VALUE"""),1.12373E7)</f>
        <v>11237300</v>
      </c>
      <c r="G1155" s="2">
        <f t="shared" si="1"/>
        <v>8</v>
      </c>
    </row>
    <row r="1156" ht="15.75" customHeight="1">
      <c r="A1156" s="1">
        <f>IFERROR(__xludf.DUMMYFUNCTION("""COMPUTED_VALUE"""),45582.66666666667)</f>
        <v>45582.66667</v>
      </c>
      <c r="B1156" s="2">
        <f>IFERROR(__xludf.DUMMYFUNCTION("""COMPUTED_VALUE"""),274.0)</f>
        <v>274</v>
      </c>
      <c r="C1156" s="2">
        <f>IFERROR(__xludf.DUMMYFUNCTION("""COMPUTED_VALUE"""),286.0)</f>
        <v>286</v>
      </c>
      <c r="D1156" s="2">
        <f>IFERROR(__xludf.DUMMYFUNCTION("""COMPUTED_VALUE"""),272.0)</f>
        <v>272</v>
      </c>
      <c r="E1156" s="2">
        <f>IFERROR(__xludf.DUMMYFUNCTION("""COMPUTED_VALUE"""),276.0)</f>
        <v>276</v>
      </c>
      <c r="F1156" s="2">
        <f>IFERROR(__xludf.DUMMYFUNCTION("""COMPUTED_VALUE"""),6.75073E7)</f>
        <v>67507300</v>
      </c>
      <c r="G1156" s="2">
        <f t="shared" si="1"/>
        <v>14</v>
      </c>
    </row>
    <row r="1157" ht="15.75" customHeight="1">
      <c r="A1157" s="1">
        <f>IFERROR(__xludf.DUMMYFUNCTION("""COMPUTED_VALUE"""),45583.66666666667)</f>
        <v>45583.66667</v>
      </c>
      <c r="B1157" s="2">
        <f>IFERROR(__xludf.DUMMYFUNCTION("""COMPUTED_VALUE"""),278.0)</f>
        <v>278</v>
      </c>
      <c r="C1157" s="2">
        <f>IFERROR(__xludf.DUMMYFUNCTION("""COMPUTED_VALUE"""),286.0)</f>
        <v>286</v>
      </c>
      <c r="D1157" s="2">
        <f>IFERROR(__xludf.DUMMYFUNCTION("""COMPUTED_VALUE"""),278.0)</f>
        <v>278</v>
      </c>
      <c r="E1157" s="2">
        <f>IFERROR(__xludf.DUMMYFUNCTION("""COMPUTED_VALUE"""),284.0)</f>
        <v>284</v>
      </c>
      <c r="F1157" s="2">
        <f>IFERROR(__xludf.DUMMYFUNCTION("""COMPUTED_VALUE"""),6.45711E7)</f>
        <v>64571100</v>
      </c>
      <c r="G1157" s="2">
        <f t="shared" si="1"/>
        <v>10</v>
      </c>
    </row>
    <row r="1158" ht="15.75" customHeight="1">
      <c r="A1158" s="1">
        <f>IFERROR(__xludf.DUMMYFUNCTION("""COMPUTED_VALUE"""),45586.66666666667)</f>
        <v>45586.66667</v>
      </c>
      <c r="B1158" s="2">
        <f>IFERROR(__xludf.DUMMYFUNCTION("""COMPUTED_VALUE"""),286.0)</f>
        <v>286</v>
      </c>
      <c r="C1158" s="2">
        <f>IFERROR(__xludf.DUMMYFUNCTION("""COMPUTED_VALUE"""),290.0)</f>
        <v>290</v>
      </c>
      <c r="D1158" s="2">
        <f>IFERROR(__xludf.DUMMYFUNCTION("""COMPUTED_VALUE"""),280.0)</f>
        <v>280</v>
      </c>
      <c r="E1158" s="2">
        <f>IFERROR(__xludf.DUMMYFUNCTION("""COMPUTED_VALUE"""),280.0)</f>
        <v>280</v>
      </c>
      <c r="F1158" s="2">
        <f>IFERROR(__xludf.DUMMYFUNCTION("""COMPUTED_VALUE"""),4.80088E7)</f>
        <v>48008800</v>
      </c>
      <c r="G1158" s="2">
        <f t="shared" si="1"/>
        <v>10</v>
      </c>
    </row>
    <row r="1159" ht="15.75" customHeight="1">
      <c r="A1159" s="1">
        <f>IFERROR(__xludf.DUMMYFUNCTION("""COMPUTED_VALUE"""),45587.66666666667)</f>
        <v>45587.66667</v>
      </c>
      <c r="B1159" s="2">
        <f>IFERROR(__xludf.DUMMYFUNCTION("""COMPUTED_VALUE"""),280.0)</f>
        <v>280</v>
      </c>
      <c r="C1159" s="2">
        <f>IFERROR(__xludf.DUMMYFUNCTION("""COMPUTED_VALUE"""),284.0)</f>
        <v>284</v>
      </c>
      <c r="D1159" s="2">
        <f>IFERROR(__xludf.DUMMYFUNCTION("""COMPUTED_VALUE"""),274.0)</f>
        <v>274</v>
      </c>
      <c r="E1159" s="2">
        <f>IFERROR(__xludf.DUMMYFUNCTION("""COMPUTED_VALUE"""),280.0)</f>
        <v>280</v>
      </c>
      <c r="F1159" s="2">
        <f>IFERROR(__xludf.DUMMYFUNCTION("""COMPUTED_VALUE"""),2.90598E7)</f>
        <v>29059800</v>
      </c>
      <c r="G1159" s="2">
        <f t="shared" si="1"/>
        <v>10</v>
      </c>
    </row>
    <row r="1160" ht="15.75" customHeight="1">
      <c r="A1160" s="1">
        <f>IFERROR(__xludf.DUMMYFUNCTION("""COMPUTED_VALUE"""),45588.66666666667)</f>
        <v>45588.66667</v>
      </c>
      <c r="B1160" s="2">
        <f>IFERROR(__xludf.DUMMYFUNCTION("""COMPUTED_VALUE"""),280.0)</f>
        <v>280</v>
      </c>
      <c r="C1160" s="2">
        <f>IFERROR(__xludf.DUMMYFUNCTION("""COMPUTED_VALUE"""),288.0)</f>
        <v>288</v>
      </c>
      <c r="D1160" s="2">
        <f>IFERROR(__xludf.DUMMYFUNCTION("""COMPUTED_VALUE"""),280.0)</f>
        <v>280</v>
      </c>
      <c r="E1160" s="2">
        <f>IFERROR(__xludf.DUMMYFUNCTION("""COMPUTED_VALUE"""),282.0)</f>
        <v>282</v>
      </c>
      <c r="F1160" s="2">
        <f>IFERROR(__xludf.DUMMYFUNCTION("""COMPUTED_VALUE"""),2.87663E7)</f>
        <v>28766300</v>
      </c>
      <c r="G1160" s="2">
        <f t="shared" si="1"/>
        <v>8</v>
      </c>
    </row>
    <row r="1161" ht="15.75" customHeight="1">
      <c r="A1161" s="1">
        <f>IFERROR(__xludf.DUMMYFUNCTION("""COMPUTED_VALUE"""),45589.66666666667)</f>
        <v>45589.66667</v>
      </c>
      <c r="B1161" s="2">
        <f>IFERROR(__xludf.DUMMYFUNCTION("""COMPUTED_VALUE"""),290.0)</f>
        <v>290</v>
      </c>
      <c r="C1161" s="2">
        <f>IFERROR(__xludf.DUMMYFUNCTION("""COMPUTED_VALUE"""),310.0)</f>
        <v>310</v>
      </c>
      <c r="D1161" s="2">
        <f>IFERROR(__xludf.DUMMYFUNCTION("""COMPUTED_VALUE"""),278.0)</f>
        <v>278</v>
      </c>
      <c r="E1161" s="2">
        <f>IFERROR(__xludf.DUMMYFUNCTION("""COMPUTED_VALUE"""),284.0)</f>
        <v>284</v>
      </c>
      <c r="F1161" s="2">
        <f>IFERROR(__xludf.DUMMYFUNCTION("""COMPUTED_VALUE"""),3.13527E8)</f>
        <v>313527000</v>
      </c>
      <c r="G1161" s="2">
        <f t="shared" si="1"/>
        <v>32</v>
      </c>
    </row>
    <row r="1162" ht="15.75" customHeight="1">
      <c r="A1162" s="1">
        <f>IFERROR(__xludf.DUMMYFUNCTION("""COMPUTED_VALUE"""),45590.66666666667)</f>
        <v>45590.66667</v>
      </c>
      <c r="B1162" s="2">
        <f>IFERROR(__xludf.DUMMYFUNCTION("""COMPUTED_VALUE"""),282.0)</f>
        <v>282</v>
      </c>
      <c r="C1162" s="2">
        <f>IFERROR(__xludf.DUMMYFUNCTION("""COMPUTED_VALUE"""),286.0)</f>
        <v>286</v>
      </c>
      <c r="D1162" s="2">
        <f>IFERROR(__xludf.DUMMYFUNCTION("""COMPUTED_VALUE"""),272.0)</f>
        <v>272</v>
      </c>
      <c r="E1162" s="2">
        <f>IFERROR(__xludf.DUMMYFUNCTION("""COMPUTED_VALUE"""),272.0)</f>
        <v>272</v>
      </c>
      <c r="F1162" s="2">
        <f>IFERROR(__xludf.DUMMYFUNCTION("""COMPUTED_VALUE"""),4.81566E7)</f>
        <v>48156600</v>
      </c>
      <c r="G1162" s="2">
        <f t="shared" si="1"/>
        <v>14</v>
      </c>
    </row>
    <row r="1163" ht="15.75" customHeight="1">
      <c r="A1163" s="1">
        <f>IFERROR(__xludf.DUMMYFUNCTION("""COMPUTED_VALUE"""),45593.66666666667)</f>
        <v>45593.66667</v>
      </c>
      <c r="B1163" s="2">
        <f>IFERROR(__xludf.DUMMYFUNCTION("""COMPUTED_VALUE"""),272.0)</f>
        <v>272</v>
      </c>
      <c r="C1163" s="2">
        <f>IFERROR(__xludf.DUMMYFUNCTION("""COMPUTED_VALUE"""),276.0)</f>
        <v>276</v>
      </c>
      <c r="D1163" s="2">
        <f>IFERROR(__xludf.DUMMYFUNCTION("""COMPUTED_VALUE"""),264.0)</f>
        <v>264</v>
      </c>
      <c r="E1163" s="2">
        <f>IFERROR(__xludf.DUMMYFUNCTION("""COMPUTED_VALUE"""),266.0)</f>
        <v>266</v>
      </c>
      <c r="F1163" s="2">
        <f>IFERROR(__xludf.DUMMYFUNCTION("""COMPUTED_VALUE"""),4.34149E7)</f>
        <v>43414900</v>
      </c>
      <c r="G1163" s="2">
        <f t="shared" si="1"/>
        <v>12</v>
      </c>
    </row>
    <row r="1164" ht="15.75" customHeight="1">
      <c r="A1164" s="1">
        <f>IFERROR(__xludf.DUMMYFUNCTION("""COMPUTED_VALUE"""),45594.66666666667)</f>
        <v>45594.66667</v>
      </c>
      <c r="B1164" s="2">
        <f>IFERROR(__xludf.DUMMYFUNCTION("""COMPUTED_VALUE"""),266.0)</f>
        <v>266</v>
      </c>
      <c r="C1164" s="2">
        <f>IFERROR(__xludf.DUMMYFUNCTION("""COMPUTED_VALUE"""),274.0)</f>
        <v>274</v>
      </c>
      <c r="D1164" s="2">
        <f>IFERROR(__xludf.DUMMYFUNCTION("""COMPUTED_VALUE"""),266.0)</f>
        <v>266</v>
      </c>
      <c r="E1164" s="2">
        <f>IFERROR(__xludf.DUMMYFUNCTION("""COMPUTED_VALUE"""),270.0)</f>
        <v>270</v>
      </c>
      <c r="F1164" s="2">
        <f>IFERROR(__xludf.DUMMYFUNCTION("""COMPUTED_VALUE"""),3.09506E7)</f>
        <v>30950600</v>
      </c>
      <c r="G1164" s="2">
        <f t="shared" si="1"/>
        <v>8</v>
      </c>
    </row>
    <row r="1165" ht="15.75" customHeight="1">
      <c r="A1165" s="1">
        <f>IFERROR(__xludf.DUMMYFUNCTION("""COMPUTED_VALUE"""),45595.66666666667)</f>
        <v>45595.66667</v>
      </c>
      <c r="B1165" s="2">
        <f>IFERROR(__xludf.DUMMYFUNCTION("""COMPUTED_VALUE"""),270.0)</f>
        <v>270</v>
      </c>
      <c r="C1165" s="2">
        <f>IFERROR(__xludf.DUMMYFUNCTION("""COMPUTED_VALUE"""),272.0)</f>
        <v>272</v>
      </c>
      <c r="D1165" s="2">
        <f>IFERROR(__xludf.DUMMYFUNCTION("""COMPUTED_VALUE"""),264.0)</f>
        <v>264</v>
      </c>
      <c r="E1165" s="2">
        <f>IFERROR(__xludf.DUMMYFUNCTION("""COMPUTED_VALUE"""),266.0)</f>
        <v>266</v>
      </c>
      <c r="F1165" s="2">
        <f>IFERROR(__xludf.DUMMYFUNCTION("""COMPUTED_VALUE"""),2.34034E7)</f>
        <v>23403400</v>
      </c>
      <c r="G1165" s="2">
        <f t="shared" si="1"/>
        <v>8</v>
      </c>
    </row>
    <row r="1166" ht="15.75" customHeight="1">
      <c r="A1166" s="1">
        <f>IFERROR(__xludf.DUMMYFUNCTION("""COMPUTED_VALUE"""),45596.66666666667)</f>
        <v>45596.66667</v>
      </c>
      <c r="B1166" s="2">
        <f>IFERROR(__xludf.DUMMYFUNCTION("""COMPUTED_VALUE"""),266.0)</f>
        <v>266</v>
      </c>
      <c r="C1166" s="2">
        <f>IFERROR(__xludf.DUMMYFUNCTION("""COMPUTED_VALUE"""),274.0)</f>
        <v>274</v>
      </c>
      <c r="D1166" s="2">
        <f>IFERROR(__xludf.DUMMYFUNCTION("""COMPUTED_VALUE"""),266.0)</f>
        <v>266</v>
      </c>
      <c r="E1166" s="2">
        <f>IFERROR(__xludf.DUMMYFUNCTION("""COMPUTED_VALUE"""),268.0)</f>
        <v>268</v>
      </c>
      <c r="F1166" s="2">
        <f>IFERROR(__xludf.DUMMYFUNCTION("""COMPUTED_VALUE"""),2.33092E7)</f>
        <v>23309200</v>
      </c>
      <c r="G1166" s="2">
        <f t="shared" si="1"/>
        <v>8</v>
      </c>
    </row>
    <row r="1167" ht="15.75" customHeight="1">
      <c r="A1167" s="1">
        <f>IFERROR(__xludf.DUMMYFUNCTION("""COMPUTED_VALUE"""),45597.66666666667)</f>
        <v>45597.66667</v>
      </c>
      <c r="B1167" s="2">
        <f>IFERROR(__xludf.DUMMYFUNCTION("""COMPUTED_VALUE"""),268.0)</f>
        <v>268</v>
      </c>
      <c r="C1167" s="2">
        <f>IFERROR(__xludf.DUMMYFUNCTION("""COMPUTED_VALUE"""),272.0)</f>
        <v>272</v>
      </c>
      <c r="D1167" s="2">
        <f>IFERROR(__xludf.DUMMYFUNCTION("""COMPUTED_VALUE"""),260.0)</f>
        <v>260</v>
      </c>
      <c r="E1167" s="2">
        <f>IFERROR(__xludf.DUMMYFUNCTION("""COMPUTED_VALUE"""),262.0)</f>
        <v>262</v>
      </c>
      <c r="F1167" s="2">
        <f>IFERROR(__xludf.DUMMYFUNCTION("""COMPUTED_VALUE"""),2.28136E7)</f>
        <v>22813600</v>
      </c>
      <c r="G1167" s="2">
        <f t="shared" si="1"/>
        <v>12</v>
      </c>
    </row>
    <row r="1168" ht="15.75" customHeight="1">
      <c r="A1168" s="1">
        <f>IFERROR(__xludf.DUMMYFUNCTION("""COMPUTED_VALUE"""),45600.66666666667)</f>
        <v>45600.66667</v>
      </c>
      <c r="B1168" s="2">
        <f>IFERROR(__xludf.DUMMYFUNCTION("""COMPUTED_VALUE"""),262.0)</f>
        <v>262</v>
      </c>
      <c r="C1168" s="2">
        <f>IFERROR(__xludf.DUMMYFUNCTION("""COMPUTED_VALUE"""),266.0)</f>
        <v>266</v>
      </c>
      <c r="D1168" s="2">
        <f>IFERROR(__xludf.DUMMYFUNCTION("""COMPUTED_VALUE"""),256.0)</f>
        <v>256</v>
      </c>
      <c r="E1168" s="2">
        <f>IFERROR(__xludf.DUMMYFUNCTION("""COMPUTED_VALUE"""),260.0)</f>
        <v>260</v>
      </c>
      <c r="F1168" s="2">
        <f>IFERROR(__xludf.DUMMYFUNCTION("""COMPUTED_VALUE"""),2.04663E7)</f>
        <v>20466300</v>
      </c>
      <c r="G1168" s="2">
        <f t="shared" si="1"/>
        <v>10</v>
      </c>
    </row>
    <row r="1169" ht="15.75" customHeight="1">
      <c r="A1169" s="1">
        <f>IFERROR(__xludf.DUMMYFUNCTION("""COMPUTED_VALUE"""),45601.66666666667)</f>
        <v>45601.66667</v>
      </c>
      <c r="B1169" s="2">
        <f>IFERROR(__xludf.DUMMYFUNCTION("""COMPUTED_VALUE"""),262.0)</f>
        <v>262</v>
      </c>
      <c r="C1169" s="2">
        <f>IFERROR(__xludf.DUMMYFUNCTION("""COMPUTED_VALUE"""),264.0)</f>
        <v>264</v>
      </c>
      <c r="D1169" s="2">
        <f>IFERROR(__xludf.DUMMYFUNCTION("""COMPUTED_VALUE"""),258.0)</f>
        <v>258</v>
      </c>
      <c r="E1169" s="2">
        <f>IFERROR(__xludf.DUMMYFUNCTION("""COMPUTED_VALUE"""),260.0)</f>
        <v>260</v>
      </c>
      <c r="F1169" s="2">
        <f>IFERROR(__xludf.DUMMYFUNCTION("""COMPUTED_VALUE"""),1.38216E7)</f>
        <v>13821600</v>
      </c>
      <c r="G1169" s="2">
        <f t="shared" si="1"/>
        <v>6</v>
      </c>
    </row>
    <row r="1170" ht="15.75" customHeight="1">
      <c r="A1170" s="1">
        <f>IFERROR(__xludf.DUMMYFUNCTION("""COMPUTED_VALUE"""),45602.66666666667)</f>
        <v>45602.66667</v>
      </c>
      <c r="B1170" s="2">
        <f>IFERROR(__xludf.DUMMYFUNCTION("""COMPUTED_VALUE"""),262.0)</f>
        <v>262</v>
      </c>
      <c r="C1170" s="2">
        <f>IFERROR(__xludf.DUMMYFUNCTION("""COMPUTED_VALUE"""),264.0)</f>
        <v>264</v>
      </c>
      <c r="D1170" s="2">
        <f>IFERROR(__xludf.DUMMYFUNCTION("""COMPUTED_VALUE"""),250.0)</f>
        <v>250</v>
      </c>
      <c r="E1170" s="2">
        <f>IFERROR(__xludf.DUMMYFUNCTION("""COMPUTED_VALUE"""),250.0)</f>
        <v>250</v>
      </c>
      <c r="F1170" s="2">
        <f>IFERROR(__xludf.DUMMYFUNCTION("""COMPUTED_VALUE"""),2.53466E7)</f>
        <v>25346600</v>
      </c>
      <c r="G1170" s="2">
        <f t="shared" si="1"/>
        <v>14</v>
      </c>
    </row>
    <row r="1171" ht="15.75" customHeight="1">
      <c r="A1171" s="1">
        <f>IFERROR(__xludf.DUMMYFUNCTION("""COMPUTED_VALUE"""),45603.66666666667)</f>
        <v>45603.66667</v>
      </c>
      <c r="B1171" s="2">
        <f>IFERROR(__xludf.DUMMYFUNCTION("""COMPUTED_VALUE"""),250.0)</f>
        <v>250</v>
      </c>
      <c r="C1171" s="2">
        <f>IFERROR(__xludf.DUMMYFUNCTION("""COMPUTED_VALUE"""),252.0)</f>
        <v>252</v>
      </c>
      <c r="D1171" s="2">
        <f>IFERROR(__xludf.DUMMYFUNCTION("""COMPUTED_VALUE"""),242.0)</f>
        <v>242</v>
      </c>
      <c r="E1171" s="2">
        <f>IFERROR(__xludf.DUMMYFUNCTION("""COMPUTED_VALUE"""),244.0)</f>
        <v>244</v>
      </c>
      <c r="F1171" s="2">
        <f>IFERROR(__xludf.DUMMYFUNCTION("""COMPUTED_VALUE"""),2.71496E7)</f>
        <v>27149600</v>
      </c>
      <c r="G1171" s="2">
        <f t="shared" si="1"/>
        <v>10</v>
      </c>
    </row>
    <row r="1172" ht="15.75" customHeight="1">
      <c r="A1172" s="1">
        <f>IFERROR(__xludf.DUMMYFUNCTION("""COMPUTED_VALUE"""),45604.66666666667)</f>
        <v>45604.66667</v>
      </c>
      <c r="B1172" s="2">
        <f>IFERROR(__xludf.DUMMYFUNCTION("""COMPUTED_VALUE"""),242.0)</f>
        <v>242</v>
      </c>
      <c r="C1172" s="2">
        <f>IFERROR(__xludf.DUMMYFUNCTION("""COMPUTED_VALUE"""),248.0)</f>
        <v>248</v>
      </c>
      <c r="D1172" s="2">
        <f>IFERROR(__xludf.DUMMYFUNCTION("""COMPUTED_VALUE"""),242.0)</f>
        <v>242</v>
      </c>
      <c r="E1172" s="2">
        <f>IFERROR(__xludf.DUMMYFUNCTION("""COMPUTED_VALUE"""),244.0)</f>
        <v>244</v>
      </c>
      <c r="F1172" s="2">
        <f>IFERROR(__xludf.DUMMYFUNCTION("""COMPUTED_VALUE"""),1.15683E7)</f>
        <v>11568300</v>
      </c>
      <c r="G1172" s="2">
        <f t="shared" si="1"/>
        <v>6</v>
      </c>
    </row>
    <row r="1173" ht="15.75" customHeight="1">
      <c r="A1173" s="1">
        <f>IFERROR(__xludf.DUMMYFUNCTION("""COMPUTED_VALUE"""),45607.66666666667)</f>
        <v>45607.66667</v>
      </c>
      <c r="B1173" s="2">
        <f>IFERROR(__xludf.DUMMYFUNCTION("""COMPUTED_VALUE"""),244.0)</f>
        <v>244</v>
      </c>
      <c r="C1173" s="2">
        <f>IFERROR(__xludf.DUMMYFUNCTION("""COMPUTED_VALUE"""),248.0)</f>
        <v>248</v>
      </c>
      <c r="D1173" s="2">
        <f>IFERROR(__xludf.DUMMYFUNCTION("""COMPUTED_VALUE"""),234.0)</f>
        <v>234</v>
      </c>
      <c r="E1173" s="2">
        <f>IFERROR(__xludf.DUMMYFUNCTION("""COMPUTED_VALUE"""),240.0)</f>
        <v>240</v>
      </c>
      <c r="F1173" s="2">
        <f>IFERROR(__xludf.DUMMYFUNCTION("""COMPUTED_VALUE"""),1.52791E7)</f>
        <v>15279100</v>
      </c>
      <c r="G1173" s="2">
        <f t="shared" si="1"/>
        <v>14</v>
      </c>
    </row>
    <row r="1174" ht="15.75" customHeight="1">
      <c r="A1174" s="1">
        <f>IFERROR(__xludf.DUMMYFUNCTION("""COMPUTED_VALUE"""),45608.66666666667)</f>
        <v>45608.66667</v>
      </c>
      <c r="B1174" s="2">
        <f>IFERROR(__xludf.DUMMYFUNCTION("""COMPUTED_VALUE"""),242.0)</f>
        <v>242</v>
      </c>
      <c r="C1174" s="2">
        <f>IFERROR(__xludf.DUMMYFUNCTION("""COMPUTED_VALUE"""),246.0)</f>
        <v>246</v>
      </c>
      <c r="D1174" s="2">
        <f>IFERROR(__xludf.DUMMYFUNCTION("""COMPUTED_VALUE"""),234.0)</f>
        <v>234</v>
      </c>
      <c r="E1174" s="2">
        <f>IFERROR(__xludf.DUMMYFUNCTION("""COMPUTED_VALUE"""),246.0)</f>
        <v>246</v>
      </c>
      <c r="F1174" s="2">
        <f>IFERROR(__xludf.DUMMYFUNCTION("""COMPUTED_VALUE"""),1.95033E7)</f>
        <v>19503300</v>
      </c>
      <c r="G1174" s="2">
        <f t="shared" si="1"/>
        <v>12</v>
      </c>
    </row>
    <row r="1175" ht="15.75" customHeight="1">
      <c r="A1175" s="1">
        <f>IFERROR(__xludf.DUMMYFUNCTION("""COMPUTED_VALUE"""),45609.66666666667)</f>
        <v>45609.66667</v>
      </c>
      <c r="B1175" s="2">
        <f>IFERROR(__xludf.DUMMYFUNCTION("""COMPUTED_VALUE"""),244.0)</f>
        <v>244</v>
      </c>
      <c r="C1175" s="2">
        <f>IFERROR(__xludf.DUMMYFUNCTION("""COMPUTED_VALUE"""),252.0)</f>
        <v>252</v>
      </c>
      <c r="D1175" s="2">
        <f>IFERROR(__xludf.DUMMYFUNCTION("""COMPUTED_VALUE"""),244.0)</f>
        <v>244</v>
      </c>
      <c r="E1175" s="2">
        <f>IFERROR(__xludf.DUMMYFUNCTION("""COMPUTED_VALUE"""),246.0)</f>
        <v>246</v>
      </c>
      <c r="F1175" s="2">
        <f>IFERROR(__xludf.DUMMYFUNCTION("""COMPUTED_VALUE"""),1.74495E7)</f>
        <v>17449500</v>
      </c>
      <c r="G1175" s="2">
        <f t="shared" si="1"/>
        <v>8</v>
      </c>
    </row>
    <row r="1176" ht="15.75" customHeight="1">
      <c r="A1176" s="1">
        <f>IFERROR(__xludf.DUMMYFUNCTION("""COMPUTED_VALUE"""),45610.66666666667)</f>
        <v>45610.66667</v>
      </c>
      <c r="B1176" s="2">
        <f>IFERROR(__xludf.DUMMYFUNCTION("""COMPUTED_VALUE"""),246.0)</f>
        <v>246</v>
      </c>
      <c r="C1176" s="2">
        <f>IFERROR(__xludf.DUMMYFUNCTION("""COMPUTED_VALUE"""),248.0)</f>
        <v>248</v>
      </c>
      <c r="D1176" s="2">
        <f>IFERROR(__xludf.DUMMYFUNCTION("""COMPUTED_VALUE"""),240.0)</f>
        <v>240</v>
      </c>
      <c r="E1176" s="2">
        <f>IFERROR(__xludf.DUMMYFUNCTION("""COMPUTED_VALUE"""),240.0)</f>
        <v>240</v>
      </c>
      <c r="F1176" s="2">
        <f>IFERROR(__xludf.DUMMYFUNCTION("""COMPUTED_VALUE"""),7566100.0)</f>
        <v>7566100</v>
      </c>
      <c r="G1176" s="2">
        <f t="shared" si="1"/>
        <v>8</v>
      </c>
    </row>
    <row r="1177" ht="15.75" customHeight="1">
      <c r="A1177" s="1">
        <f>IFERROR(__xludf.DUMMYFUNCTION("""COMPUTED_VALUE"""),45611.66666666667)</f>
        <v>45611.66667</v>
      </c>
      <c r="B1177" s="2">
        <f>IFERROR(__xludf.DUMMYFUNCTION("""COMPUTED_VALUE"""),240.0)</f>
        <v>240</v>
      </c>
      <c r="C1177" s="2">
        <f>IFERROR(__xludf.DUMMYFUNCTION("""COMPUTED_VALUE"""),242.0)</f>
        <v>242</v>
      </c>
      <c r="D1177" s="2">
        <f>IFERROR(__xludf.DUMMYFUNCTION("""COMPUTED_VALUE"""),230.0)</f>
        <v>230</v>
      </c>
      <c r="E1177" s="2">
        <f>IFERROR(__xludf.DUMMYFUNCTION("""COMPUTED_VALUE"""),230.0)</f>
        <v>230</v>
      </c>
      <c r="F1177" s="2">
        <f>IFERROR(__xludf.DUMMYFUNCTION("""COMPUTED_VALUE"""),2.28806E7)</f>
        <v>22880600</v>
      </c>
      <c r="G1177" s="2">
        <f t="shared" si="1"/>
        <v>12</v>
      </c>
    </row>
    <row r="1178" ht="15.75" customHeight="1">
      <c r="A1178" s="1">
        <f>IFERROR(__xludf.DUMMYFUNCTION("""COMPUTED_VALUE"""),45614.66666666667)</f>
        <v>45614.66667</v>
      </c>
      <c r="B1178" s="2">
        <f>IFERROR(__xludf.DUMMYFUNCTION("""COMPUTED_VALUE"""),232.0)</f>
        <v>232</v>
      </c>
      <c r="C1178" s="2">
        <f>IFERROR(__xludf.DUMMYFUNCTION("""COMPUTED_VALUE"""),232.0)</f>
        <v>232</v>
      </c>
      <c r="D1178" s="2">
        <f>IFERROR(__xludf.DUMMYFUNCTION("""COMPUTED_VALUE"""),224.0)</f>
        <v>224</v>
      </c>
      <c r="E1178" s="2">
        <f>IFERROR(__xludf.DUMMYFUNCTION("""COMPUTED_VALUE"""),224.0)</f>
        <v>224</v>
      </c>
      <c r="F1178" s="2">
        <f>IFERROR(__xludf.DUMMYFUNCTION("""COMPUTED_VALUE"""),1.76823E7)</f>
        <v>17682300</v>
      </c>
      <c r="G1178" s="2">
        <f t="shared" si="1"/>
        <v>8</v>
      </c>
    </row>
    <row r="1179" ht="15.75" customHeight="1">
      <c r="A1179" s="1">
        <f>IFERROR(__xludf.DUMMYFUNCTION("""COMPUTED_VALUE"""),45615.66666666667)</f>
        <v>45615.66667</v>
      </c>
      <c r="B1179" s="2">
        <f>IFERROR(__xludf.DUMMYFUNCTION("""COMPUTED_VALUE"""),226.0)</f>
        <v>226</v>
      </c>
      <c r="C1179" s="2">
        <f>IFERROR(__xludf.DUMMYFUNCTION("""COMPUTED_VALUE"""),238.0)</f>
        <v>238</v>
      </c>
      <c r="D1179" s="2">
        <f>IFERROR(__xludf.DUMMYFUNCTION("""COMPUTED_VALUE"""),224.0)</f>
        <v>224</v>
      </c>
      <c r="E1179" s="2">
        <f>IFERROR(__xludf.DUMMYFUNCTION("""COMPUTED_VALUE"""),234.0)</f>
        <v>234</v>
      </c>
      <c r="F1179" s="2">
        <f>IFERROR(__xludf.DUMMYFUNCTION("""COMPUTED_VALUE"""),1.06125E7)</f>
        <v>10612500</v>
      </c>
      <c r="G1179" s="2">
        <f t="shared" si="1"/>
        <v>14</v>
      </c>
    </row>
    <row r="1180" ht="15.75" customHeight="1">
      <c r="A1180" s="1">
        <f>IFERROR(__xludf.DUMMYFUNCTION("""COMPUTED_VALUE"""),45616.66666666667)</f>
        <v>45616.66667</v>
      </c>
      <c r="B1180" s="2">
        <f>IFERROR(__xludf.DUMMYFUNCTION("""COMPUTED_VALUE"""),236.0)</f>
        <v>236</v>
      </c>
      <c r="C1180" s="2">
        <f>IFERROR(__xludf.DUMMYFUNCTION("""COMPUTED_VALUE"""),238.0)</f>
        <v>238</v>
      </c>
      <c r="D1180" s="2">
        <f>IFERROR(__xludf.DUMMYFUNCTION("""COMPUTED_VALUE"""),228.0)</f>
        <v>228</v>
      </c>
      <c r="E1180" s="2">
        <f>IFERROR(__xludf.DUMMYFUNCTION("""COMPUTED_VALUE"""),228.0)</f>
        <v>228</v>
      </c>
      <c r="F1180" s="2">
        <f>IFERROR(__xludf.DUMMYFUNCTION("""COMPUTED_VALUE"""),1.21977E7)</f>
        <v>12197700</v>
      </c>
      <c r="G1180" s="2">
        <f t="shared" si="1"/>
        <v>10</v>
      </c>
    </row>
    <row r="1181" ht="15.75" customHeight="1">
      <c r="A1181" s="1">
        <f>IFERROR(__xludf.DUMMYFUNCTION("""COMPUTED_VALUE"""),45617.66666666667)</f>
        <v>45617.66667</v>
      </c>
      <c r="B1181" s="2">
        <f>IFERROR(__xludf.DUMMYFUNCTION("""COMPUTED_VALUE"""),230.0)</f>
        <v>230</v>
      </c>
      <c r="C1181" s="2">
        <f>IFERROR(__xludf.DUMMYFUNCTION("""COMPUTED_VALUE"""),232.0)</f>
        <v>232</v>
      </c>
      <c r="D1181" s="2">
        <f>IFERROR(__xludf.DUMMYFUNCTION("""COMPUTED_VALUE"""),224.0)</f>
        <v>224</v>
      </c>
      <c r="E1181" s="2">
        <f>IFERROR(__xludf.DUMMYFUNCTION("""COMPUTED_VALUE"""),226.0)</f>
        <v>226</v>
      </c>
      <c r="F1181" s="2">
        <f>IFERROR(__xludf.DUMMYFUNCTION("""COMPUTED_VALUE"""),7468900.0)</f>
        <v>7468900</v>
      </c>
      <c r="G1181" s="2">
        <f t="shared" si="1"/>
        <v>8</v>
      </c>
    </row>
    <row r="1182" ht="15.75" customHeight="1">
      <c r="A1182" s="1">
        <f>IFERROR(__xludf.DUMMYFUNCTION("""COMPUTED_VALUE"""),45618.66666666667)</f>
        <v>45618.66667</v>
      </c>
      <c r="B1182" s="2">
        <f>IFERROR(__xludf.DUMMYFUNCTION("""COMPUTED_VALUE"""),228.0)</f>
        <v>228</v>
      </c>
      <c r="C1182" s="2">
        <f>IFERROR(__xludf.DUMMYFUNCTION("""COMPUTED_VALUE"""),244.0)</f>
        <v>244</v>
      </c>
      <c r="D1182" s="2">
        <f>IFERROR(__xludf.DUMMYFUNCTION("""COMPUTED_VALUE"""),226.0)</f>
        <v>226</v>
      </c>
      <c r="E1182" s="2">
        <f>IFERROR(__xludf.DUMMYFUNCTION("""COMPUTED_VALUE"""),238.0)</f>
        <v>238</v>
      </c>
      <c r="F1182" s="2">
        <f>IFERROR(__xludf.DUMMYFUNCTION("""COMPUTED_VALUE"""),2.18089E7)</f>
        <v>21808900</v>
      </c>
      <c r="G1182" s="2">
        <f t="shared" si="1"/>
        <v>18</v>
      </c>
    </row>
    <row r="1183" ht="15.75" customHeight="1">
      <c r="A1183" s="1">
        <f>IFERROR(__xludf.DUMMYFUNCTION("""COMPUTED_VALUE"""),45621.66666666667)</f>
        <v>45621.66667</v>
      </c>
      <c r="B1183" s="2">
        <f>IFERROR(__xludf.DUMMYFUNCTION("""COMPUTED_VALUE"""),244.0)</f>
        <v>244</v>
      </c>
      <c r="C1183" s="2">
        <f>IFERROR(__xludf.DUMMYFUNCTION("""COMPUTED_VALUE"""),246.0)</f>
        <v>246</v>
      </c>
      <c r="D1183" s="2">
        <f>IFERROR(__xludf.DUMMYFUNCTION("""COMPUTED_VALUE"""),238.0)</f>
        <v>238</v>
      </c>
      <c r="E1183" s="2">
        <f>IFERROR(__xludf.DUMMYFUNCTION("""COMPUTED_VALUE"""),242.0)</f>
        <v>242</v>
      </c>
      <c r="F1183" s="2">
        <f>IFERROR(__xludf.DUMMYFUNCTION("""COMPUTED_VALUE"""),1.83629E7)</f>
        <v>18362900</v>
      </c>
      <c r="G1183" s="2">
        <f t="shared" si="1"/>
        <v>8</v>
      </c>
    </row>
    <row r="1184" ht="15.75" customHeight="1">
      <c r="A1184" s="1">
        <f>IFERROR(__xludf.DUMMYFUNCTION("""COMPUTED_VALUE"""),45622.66666666667)</f>
        <v>45622.66667</v>
      </c>
      <c r="B1184" s="2">
        <f>IFERROR(__xludf.DUMMYFUNCTION("""COMPUTED_VALUE"""),242.0)</f>
        <v>242</v>
      </c>
      <c r="C1184" s="2">
        <f>IFERROR(__xludf.DUMMYFUNCTION("""COMPUTED_VALUE"""),248.0)</f>
        <v>248</v>
      </c>
      <c r="D1184" s="2">
        <f>IFERROR(__xludf.DUMMYFUNCTION("""COMPUTED_VALUE"""),238.0)</f>
        <v>238</v>
      </c>
      <c r="E1184" s="2">
        <f>IFERROR(__xludf.DUMMYFUNCTION("""COMPUTED_VALUE"""),238.0)</f>
        <v>238</v>
      </c>
      <c r="F1184" s="2">
        <f>IFERROR(__xludf.DUMMYFUNCTION("""COMPUTED_VALUE"""),1.36614E7)</f>
        <v>13661400</v>
      </c>
      <c r="G1184" s="2">
        <f t="shared" si="1"/>
        <v>10</v>
      </c>
    </row>
    <row r="1185" ht="15.75" customHeight="1">
      <c r="A1185" s="1">
        <f>IFERROR(__xludf.DUMMYFUNCTION("""COMPUTED_VALUE"""),45624.66666666667)</f>
        <v>45624.66667</v>
      </c>
      <c r="B1185" s="2">
        <f>IFERROR(__xludf.DUMMYFUNCTION("""COMPUTED_VALUE"""),240.0)</f>
        <v>240</v>
      </c>
      <c r="C1185" s="2">
        <f>IFERROR(__xludf.DUMMYFUNCTION("""COMPUTED_VALUE"""),244.0)</f>
        <v>244</v>
      </c>
      <c r="D1185" s="2">
        <f>IFERROR(__xludf.DUMMYFUNCTION("""COMPUTED_VALUE"""),238.0)</f>
        <v>238</v>
      </c>
      <c r="E1185" s="2">
        <f>IFERROR(__xludf.DUMMYFUNCTION("""COMPUTED_VALUE"""),238.0)</f>
        <v>238</v>
      </c>
      <c r="F1185" s="2">
        <f>IFERROR(__xludf.DUMMYFUNCTION("""COMPUTED_VALUE"""),7817600.0)</f>
        <v>7817600</v>
      </c>
      <c r="G1185" s="2">
        <f t="shared" si="1"/>
        <v>6</v>
      </c>
    </row>
    <row r="1186" ht="15.75" customHeight="1">
      <c r="A1186" s="1">
        <f>IFERROR(__xludf.DUMMYFUNCTION("""COMPUTED_VALUE"""),45625.66666666667)</f>
        <v>45625.66667</v>
      </c>
      <c r="B1186" s="2">
        <f>IFERROR(__xludf.DUMMYFUNCTION("""COMPUTED_VALUE"""),238.0)</f>
        <v>238</v>
      </c>
      <c r="C1186" s="2">
        <f>IFERROR(__xludf.DUMMYFUNCTION("""COMPUTED_VALUE"""),250.0)</f>
        <v>250</v>
      </c>
      <c r="D1186" s="2">
        <f>IFERROR(__xludf.DUMMYFUNCTION("""COMPUTED_VALUE"""),228.0)</f>
        <v>228</v>
      </c>
      <c r="E1186" s="2">
        <f>IFERROR(__xludf.DUMMYFUNCTION("""COMPUTED_VALUE"""),232.0)</f>
        <v>232</v>
      </c>
      <c r="F1186" s="2">
        <f>IFERROR(__xludf.DUMMYFUNCTION("""COMPUTED_VALUE"""),1.33807E7)</f>
        <v>13380700</v>
      </c>
      <c r="G1186" s="2">
        <f t="shared" si="1"/>
        <v>22</v>
      </c>
    </row>
    <row r="1187" ht="15.75" customHeight="1">
      <c r="A1187" s="1">
        <f>IFERROR(__xludf.DUMMYFUNCTION("""COMPUTED_VALUE"""),45628.66666666667)</f>
        <v>45628.66667</v>
      </c>
      <c r="B1187" s="2">
        <f>IFERROR(__xludf.DUMMYFUNCTION("""COMPUTED_VALUE"""),232.0)</f>
        <v>232</v>
      </c>
      <c r="C1187" s="2">
        <f>IFERROR(__xludf.DUMMYFUNCTION("""COMPUTED_VALUE"""),234.0)</f>
        <v>234</v>
      </c>
      <c r="D1187" s="2">
        <f>IFERROR(__xludf.DUMMYFUNCTION("""COMPUTED_VALUE"""),226.0)</f>
        <v>226</v>
      </c>
      <c r="E1187" s="2">
        <f>IFERROR(__xludf.DUMMYFUNCTION("""COMPUTED_VALUE"""),228.0)</f>
        <v>228</v>
      </c>
      <c r="F1187" s="2">
        <f>IFERROR(__xludf.DUMMYFUNCTION("""COMPUTED_VALUE"""),1.01529E7)</f>
        <v>10152900</v>
      </c>
      <c r="G1187" s="2">
        <f t="shared" si="1"/>
        <v>8</v>
      </c>
    </row>
    <row r="1188" ht="15.75" customHeight="1">
      <c r="A1188" s="1">
        <f>IFERROR(__xludf.DUMMYFUNCTION("""COMPUTED_VALUE"""),45629.66666666667)</f>
        <v>45629.66667</v>
      </c>
      <c r="B1188" s="2">
        <f>IFERROR(__xludf.DUMMYFUNCTION("""COMPUTED_VALUE"""),228.0)</f>
        <v>228</v>
      </c>
      <c r="C1188" s="2">
        <f>IFERROR(__xludf.DUMMYFUNCTION("""COMPUTED_VALUE"""),234.0)</f>
        <v>234</v>
      </c>
      <c r="D1188" s="2">
        <f>IFERROR(__xludf.DUMMYFUNCTION("""COMPUTED_VALUE"""),228.0)</f>
        <v>228</v>
      </c>
      <c r="E1188" s="2">
        <f>IFERROR(__xludf.DUMMYFUNCTION("""COMPUTED_VALUE"""),230.0)</f>
        <v>230</v>
      </c>
      <c r="F1188" s="2">
        <f>IFERROR(__xludf.DUMMYFUNCTION("""COMPUTED_VALUE"""),7998700.0)</f>
        <v>7998700</v>
      </c>
      <c r="G1188" s="2">
        <f t="shared" si="1"/>
        <v>6</v>
      </c>
    </row>
    <row r="1189" ht="15.75" customHeight="1">
      <c r="A1189" s="1">
        <f>IFERROR(__xludf.DUMMYFUNCTION("""COMPUTED_VALUE"""),45630.66666666667)</f>
        <v>45630.66667</v>
      </c>
      <c r="B1189" s="2">
        <f>IFERROR(__xludf.DUMMYFUNCTION("""COMPUTED_VALUE"""),232.0)</f>
        <v>232</v>
      </c>
      <c r="C1189" s="2">
        <f>IFERROR(__xludf.DUMMYFUNCTION("""COMPUTED_VALUE"""),238.0)</f>
        <v>238</v>
      </c>
      <c r="D1189" s="2">
        <f>IFERROR(__xludf.DUMMYFUNCTION("""COMPUTED_VALUE"""),230.0)</f>
        <v>230</v>
      </c>
      <c r="E1189" s="2">
        <f>IFERROR(__xludf.DUMMYFUNCTION("""COMPUTED_VALUE"""),234.0)</f>
        <v>234</v>
      </c>
      <c r="F1189" s="2">
        <f>IFERROR(__xludf.DUMMYFUNCTION("""COMPUTED_VALUE"""),1.25916E7)</f>
        <v>12591600</v>
      </c>
      <c r="G1189" s="2">
        <f t="shared" si="1"/>
        <v>8</v>
      </c>
    </row>
    <row r="1190" ht="15.75" customHeight="1">
      <c r="A1190" s="1">
        <f>IFERROR(__xludf.DUMMYFUNCTION("""COMPUTED_VALUE"""),45631.66666666667)</f>
        <v>45631.66667</v>
      </c>
      <c r="B1190" s="2">
        <f>IFERROR(__xludf.DUMMYFUNCTION("""COMPUTED_VALUE"""),240.0)</f>
        <v>240</v>
      </c>
      <c r="C1190" s="2">
        <f>IFERROR(__xludf.DUMMYFUNCTION("""COMPUTED_VALUE"""),240.0)</f>
        <v>240</v>
      </c>
      <c r="D1190" s="2">
        <f>IFERROR(__xludf.DUMMYFUNCTION("""COMPUTED_VALUE"""),232.0)</f>
        <v>232</v>
      </c>
      <c r="E1190" s="2">
        <f>IFERROR(__xludf.DUMMYFUNCTION("""COMPUTED_VALUE"""),236.0)</f>
        <v>236</v>
      </c>
      <c r="F1190" s="2">
        <f>IFERROR(__xludf.DUMMYFUNCTION("""COMPUTED_VALUE"""),4734100.0)</f>
        <v>4734100</v>
      </c>
      <c r="G1190" s="2">
        <f t="shared" si="1"/>
        <v>8</v>
      </c>
    </row>
    <row r="1191" ht="15.75" customHeight="1">
      <c r="A1191" s="1">
        <f>IFERROR(__xludf.DUMMYFUNCTION("""COMPUTED_VALUE"""),45632.66666666667)</f>
        <v>45632.66667</v>
      </c>
      <c r="B1191" s="2">
        <f>IFERROR(__xludf.DUMMYFUNCTION("""COMPUTED_VALUE"""),236.0)</f>
        <v>236</v>
      </c>
      <c r="C1191" s="2">
        <f>IFERROR(__xludf.DUMMYFUNCTION("""COMPUTED_VALUE"""),240.0)</f>
        <v>240</v>
      </c>
      <c r="D1191" s="2">
        <f>IFERROR(__xludf.DUMMYFUNCTION("""COMPUTED_VALUE"""),232.0)</f>
        <v>232</v>
      </c>
      <c r="E1191" s="2">
        <f>IFERROR(__xludf.DUMMYFUNCTION("""COMPUTED_VALUE"""),238.0)</f>
        <v>238</v>
      </c>
      <c r="F1191" s="2">
        <f>IFERROR(__xludf.DUMMYFUNCTION("""COMPUTED_VALUE"""),1.41183E7)</f>
        <v>14118300</v>
      </c>
      <c r="G1191" s="2">
        <f t="shared" si="1"/>
        <v>8</v>
      </c>
    </row>
    <row r="1192" ht="15.75" customHeight="1">
      <c r="A1192" s="1">
        <f>IFERROR(__xludf.DUMMYFUNCTION("""COMPUTED_VALUE"""),45635.66666666667)</f>
        <v>45635.66667</v>
      </c>
      <c r="B1192" s="2">
        <f>IFERROR(__xludf.DUMMYFUNCTION("""COMPUTED_VALUE"""),240.0)</f>
        <v>240</v>
      </c>
      <c r="C1192" s="2">
        <f>IFERROR(__xludf.DUMMYFUNCTION("""COMPUTED_VALUE"""),244.0)</f>
        <v>244</v>
      </c>
      <c r="D1192" s="2">
        <f>IFERROR(__xludf.DUMMYFUNCTION("""COMPUTED_VALUE"""),240.0)</f>
        <v>240</v>
      </c>
      <c r="E1192" s="2">
        <f>IFERROR(__xludf.DUMMYFUNCTION("""COMPUTED_VALUE"""),242.0)</f>
        <v>242</v>
      </c>
      <c r="F1192" s="2">
        <f>IFERROR(__xludf.DUMMYFUNCTION("""COMPUTED_VALUE"""),1.09211E7)</f>
        <v>10921100</v>
      </c>
      <c r="G1192" s="2">
        <f t="shared" si="1"/>
        <v>6</v>
      </c>
    </row>
    <row r="1193" ht="15.75" customHeight="1">
      <c r="A1193" s="1">
        <f>IFERROR(__xludf.DUMMYFUNCTION("""COMPUTED_VALUE"""),45636.66666666667)</f>
        <v>45636.66667</v>
      </c>
      <c r="B1193" s="2">
        <f>IFERROR(__xludf.DUMMYFUNCTION("""COMPUTED_VALUE"""),242.0)</f>
        <v>242</v>
      </c>
      <c r="C1193" s="2">
        <f>IFERROR(__xludf.DUMMYFUNCTION("""COMPUTED_VALUE"""),242.0)</f>
        <v>242</v>
      </c>
      <c r="D1193" s="2">
        <f>IFERROR(__xludf.DUMMYFUNCTION("""COMPUTED_VALUE"""),238.0)</f>
        <v>238</v>
      </c>
      <c r="E1193" s="2">
        <f>IFERROR(__xludf.DUMMYFUNCTION("""COMPUTED_VALUE"""),242.0)</f>
        <v>242</v>
      </c>
      <c r="F1193" s="2">
        <f>IFERROR(__xludf.DUMMYFUNCTION("""COMPUTED_VALUE"""),6355300.0)</f>
        <v>6355300</v>
      </c>
      <c r="G1193" s="2">
        <f t="shared" si="1"/>
        <v>4</v>
      </c>
    </row>
    <row r="1194" ht="15.75" customHeight="1">
      <c r="A1194" s="1">
        <f>IFERROR(__xludf.DUMMYFUNCTION("""COMPUTED_VALUE"""),45637.66666666667)</f>
        <v>45637.66667</v>
      </c>
      <c r="B1194" s="2">
        <f>IFERROR(__xludf.DUMMYFUNCTION("""COMPUTED_VALUE"""),242.0)</f>
        <v>242</v>
      </c>
      <c r="C1194" s="2">
        <f>IFERROR(__xludf.DUMMYFUNCTION("""COMPUTED_VALUE"""),244.0)</f>
        <v>244</v>
      </c>
      <c r="D1194" s="2">
        <f>IFERROR(__xludf.DUMMYFUNCTION("""COMPUTED_VALUE"""),238.0)</f>
        <v>238</v>
      </c>
      <c r="E1194" s="2">
        <f>IFERROR(__xludf.DUMMYFUNCTION("""COMPUTED_VALUE"""),240.0)</f>
        <v>240</v>
      </c>
      <c r="F1194" s="2">
        <f>IFERROR(__xludf.DUMMYFUNCTION("""COMPUTED_VALUE"""),1.00231E7)</f>
        <v>10023100</v>
      </c>
      <c r="G1194" s="2">
        <f t="shared" si="1"/>
        <v>6</v>
      </c>
    </row>
    <row r="1195" ht="15.75" customHeight="1">
      <c r="A1195" s="1">
        <f>IFERROR(__xludf.DUMMYFUNCTION("""COMPUTED_VALUE"""),45638.66666666667)</f>
        <v>45638.66667</v>
      </c>
      <c r="B1195" s="2">
        <f>IFERROR(__xludf.DUMMYFUNCTION("""COMPUTED_VALUE"""),240.0)</f>
        <v>240</v>
      </c>
      <c r="C1195" s="2">
        <f>IFERROR(__xludf.DUMMYFUNCTION("""COMPUTED_VALUE"""),242.0)</f>
        <v>242</v>
      </c>
      <c r="D1195" s="2">
        <f>IFERROR(__xludf.DUMMYFUNCTION("""COMPUTED_VALUE"""),236.0)</f>
        <v>236</v>
      </c>
      <c r="E1195" s="2">
        <f>IFERROR(__xludf.DUMMYFUNCTION("""COMPUTED_VALUE"""),236.0)</f>
        <v>236</v>
      </c>
      <c r="F1195" s="2">
        <f>IFERROR(__xludf.DUMMYFUNCTION("""COMPUTED_VALUE"""),7927000.0)</f>
        <v>7927000</v>
      </c>
      <c r="G1195" s="2">
        <f t="shared" si="1"/>
        <v>6</v>
      </c>
    </row>
    <row r="1196" ht="15.75" customHeight="1">
      <c r="A1196" s="1">
        <f>IFERROR(__xludf.DUMMYFUNCTION("""COMPUTED_VALUE"""),45639.66666666667)</f>
        <v>45639.66667</v>
      </c>
      <c r="B1196" s="2">
        <f>IFERROR(__xludf.DUMMYFUNCTION("""COMPUTED_VALUE"""),238.0)</f>
        <v>238</v>
      </c>
      <c r="C1196" s="2">
        <f>IFERROR(__xludf.DUMMYFUNCTION("""COMPUTED_VALUE"""),238.0)</f>
        <v>238</v>
      </c>
      <c r="D1196" s="2">
        <f>IFERROR(__xludf.DUMMYFUNCTION("""COMPUTED_VALUE"""),230.0)</f>
        <v>230</v>
      </c>
      <c r="E1196" s="2">
        <f>IFERROR(__xludf.DUMMYFUNCTION("""COMPUTED_VALUE"""),230.0)</f>
        <v>230</v>
      </c>
      <c r="F1196" s="2">
        <f>IFERROR(__xludf.DUMMYFUNCTION("""COMPUTED_VALUE"""),8709400.0)</f>
        <v>8709400</v>
      </c>
      <c r="G1196" s="2">
        <f t="shared" si="1"/>
        <v>8</v>
      </c>
    </row>
    <row r="1197" ht="15.75" customHeight="1">
      <c r="A1197" s="1">
        <f>IFERROR(__xludf.DUMMYFUNCTION("""COMPUTED_VALUE"""),45642.66666666667)</f>
        <v>45642.66667</v>
      </c>
      <c r="B1197" s="2">
        <f>IFERROR(__xludf.DUMMYFUNCTION("""COMPUTED_VALUE"""),234.0)</f>
        <v>234</v>
      </c>
      <c r="C1197" s="2">
        <f>IFERROR(__xludf.DUMMYFUNCTION("""COMPUTED_VALUE"""),234.0)</f>
        <v>234</v>
      </c>
      <c r="D1197" s="2">
        <f>IFERROR(__xludf.DUMMYFUNCTION("""COMPUTED_VALUE"""),224.0)</f>
        <v>224</v>
      </c>
      <c r="E1197" s="2">
        <f>IFERROR(__xludf.DUMMYFUNCTION("""COMPUTED_VALUE"""),226.0)</f>
        <v>226</v>
      </c>
      <c r="F1197" s="2">
        <f>IFERROR(__xludf.DUMMYFUNCTION("""COMPUTED_VALUE"""),1.09326E7)</f>
        <v>10932600</v>
      </c>
      <c r="G1197" s="2">
        <f t="shared" si="1"/>
        <v>10</v>
      </c>
    </row>
    <row r="1198" ht="15.75" customHeight="1">
      <c r="A1198" s="1">
        <f>IFERROR(__xludf.DUMMYFUNCTION("""COMPUTED_VALUE"""),45643.66666666667)</f>
        <v>45643.66667</v>
      </c>
      <c r="B1198" s="2">
        <f>IFERROR(__xludf.DUMMYFUNCTION("""COMPUTED_VALUE"""),228.0)</f>
        <v>228</v>
      </c>
      <c r="C1198" s="2">
        <f>IFERROR(__xludf.DUMMYFUNCTION("""COMPUTED_VALUE"""),230.0)</f>
        <v>230</v>
      </c>
      <c r="D1198" s="2">
        <f>IFERROR(__xludf.DUMMYFUNCTION("""COMPUTED_VALUE"""),220.0)</f>
        <v>220</v>
      </c>
      <c r="E1198" s="2">
        <f>IFERROR(__xludf.DUMMYFUNCTION("""COMPUTED_VALUE"""),224.0)</f>
        <v>224</v>
      </c>
      <c r="F1198" s="2">
        <f>IFERROR(__xludf.DUMMYFUNCTION("""COMPUTED_VALUE"""),1.00228E7)</f>
        <v>10022800</v>
      </c>
      <c r="G1198" s="2">
        <f t="shared" si="1"/>
        <v>10</v>
      </c>
    </row>
    <row r="1199" ht="15.75" customHeight="1">
      <c r="A1199" s="1">
        <f>IFERROR(__xludf.DUMMYFUNCTION("""COMPUTED_VALUE"""),45644.66666666667)</f>
        <v>45644.66667</v>
      </c>
      <c r="B1199" s="2">
        <f>IFERROR(__xludf.DUMMYFUNCTION("""COMPUTED_VALUE"""),224.0)</f>
        <v>224</v>
      </c>
      <c r="C1199" s="2">
        <f>IFERROR(__xludf.DUMMYFUNCTION("""COMPUTED_VALUE"""),226.0)</f>
        <v>226</v>
      </c>
      <c r="D1199" s="2">
        <f>IFERROR(__xludf.DUMMYFUNCTION("""COMPUTED_VALUE"""),218.0)</f>
        <v>218</v>
      </c>
      <c r="E1199" s="2">
        <f>IFERROR(__xludf.DUMMYFUNCTION("""COMPUTED_VALUE"""),222.0)</f>
        <v>222</v>
      </c>
      <c r="F1199" s="2">
        <f>IFERROR(__xludf.DUMMYFUNCTION("""COMPUTED_VALUE"""),9915400.0)</f>
        <v>9915400</v>
      </c>
      <c r="G1199" s="2">
        <f t="shared" si="1"/>
        <v>8</v>
      </c>
    </row>
    <row r="1200" ht="15.75" customHeight="1">
      <c r="A1200" s="1">
        <f>IFERROR(__xludf.DUMMYFUNCTION("""COMPUTED_VALUE"""),45645.66666666667)</f>
        <v>45645.66667</v>
      </c>
      <c r="B1200" s="2">
        <f>IFERROR(__xludf.DUMMYFUNCTION("""COMPUTED_VALUE"""),220.0)</f>
        <v>220</v>
      </c>
      <c r="C1200" s="2">
        <f>IFERROR(__xludf.DUMMYFUNCTION("""COMPUTED_VALUE"""),220.0)</f>
        <v>220</v>
      </c>
      <c r="D1200" s="2">
        <f>IFERROR(__xludf.DUMMYFUNCTION("""COMPUTED_VALUE"""),212.0)</f>
        <v>212</v>
      </c>
      <c r="E1200" s="2">
        <f>IFERROR(__xludf.DUMMYFUNCTION("""COMPUTED_VALUE"""),214.0)</f>
        <v>214</v>
      </c>
      <c r="F1200" s="2">
        <f>IFERROR(__xludf.DUMMYFUNCTION("""COMPUTED_VALUE"""),1.4534E7)</f>
        <v>14534000</v>
      </c>
      <c r="G1200" s="2">
        <f t="shared" si="1"/>
        <v>10</v>
      </c>
    </row>
    <row r="1201" ht="15.75" customHeight="1">
      <c r="A1201" s="1">
        <f>IFERROR(__xludf.DUMMYFUNCTION("""COMPUTED_VALUE"""),45646.66666666667)</f>
        <v>45646.66667</v>
      </c>
      <c r="B1201" s="2">
        <f>IFERROR(__xludf.DUMMYFUNCTION("""COMPUTED_VALUE"""),216.0)</f>
        <v>216</v>
      </c>
      <c r="C1201" s="2">
        <f>IFERROR(__xludf.DUMMYFUNCTION("""COMPUTED_VALUE"""),216.0)</f>
        <v>216</v>
      </c>
      <c r="D1201" s="2">
        <f>IFERROR(__xludf.DUMMYFUNCTION("""COMPUTED_VALUE"""),204.0)</f>
        <v>204</v>
      </c>
      <c r="E1201" s="2">
        <f>IFERROR(__xludf.DUMMYFUNCTION("""COMPUTED_VALUE"""),206.0)</f>
        <v>206</v>
      </c>
      <c r="F1201" s="2">
        <f>IFERROR(__xludf.DUMMYFUNCTION("""COMPUTED_VALUE"""),2.07963E7)</f>
        <v>20796300</v>
      </c>
      <c r="G1201" s="2">
        <f t="shared" si="1"/>
        <v>12</v>
      </c>
    </row>
    <row r="1202" ht="15.75" customHeight="1">
      <c r="A1202" s="1">
        <f>IFERROR(__xludf.DUMMYFUNCTION("""COMPUTED_VALUE"""),45649.66666666667)</f>
        <v>45649.66667</v>
      </c>
      <c r="B1202" s="2">
        <f>IFERROR(__xludf.DUMMYFUNCTION("""COMPUTED_VALUE"""),208.0)</f>
        <v>208</v>
      </c>
      <c r="C1202" s="2">
        <f>IFERROR(__xludf.DUMMYFUNCTION("""COMPUTED_VALUE"""),216.0)</f>
        <v>216</v>
      </c>
      <c r="D1202" s="2">
        <f>IFERROR(__xludf.DUMMYFUNCTION("""COMPUTED_VALUE"""),206.0)</f>
        <v>206</v>
      </c>
      <c r="E1202" s="2">
        <f>IFERROR(__xludf.DUMMYFUNCTION("""COMPUTED_VALUE"""),212.0)</f>
        <v>212</v>
      </c>
      <c r="F1202" s="2">
        <f>IFERROR(__xludf.DUMMYFUNCTION("""COMPUTED_VALUE"""),1.15633E7)</f>
        <v>11563300</v>
      </c>
      <c r="G1202" s="2">
        <f t="shared" si="1"/>
        <v>10</v>
      </c>
    </row>
    <row r="1203" ht="15.75" customHeight="1">
      <c r="A1203" s="1">
        <f>IFERROR(__xludf.DUMMYFUNCTION("""COMPUTED_VALUE"""),45650.66666666667)</f>
        <v>45650.66667</v>
      </c>
      <c r="B1203" s="2">
        <f>IFERROR(__xludf.DUMMYFUNCTION("""COMPUTED_VALUE"""),212.0)</f>
        <v>212</v>
      </c>
      <c r="C1203" s="2">
        <f>IFERROR(__xludf.DUMMYFUNCTION("""COMPUTED_VALUE"""),216.0)</f>
        <v>216</v>
      </c>
      <c r="D1203" s="2">
        <f>IFERROR(__xludf.DUMMYFUNCTION("""COMPUTED_VALUE"""),206.0)</f>
        <v>206</v>
      </c>
      <c r="E1203" s="2">
        <f>IFERROR(__xludf.DUMMYFUNCTION("""COMPUTED_VALUE"""),216.0)</f>
        <v>216</v>
      </c>
      <c r="F1203" s="2">
        <f>IFERROR(__xludf.DUMMYFUNCTION("""COMPUTED_VALUE"""),1.81803E7)</f>
        <v>18180300</v>
      </c>
      <c r="G1203" s="2">
        <f t="shared" si="1"/>
        <v>10</v>
      </c>
    </row>
    <row r="1204" ht="15.75" customHeight="1">
      <c r="A1204" s="1">
        <f>IFERROR(__xludf.DUMMYFUNCTION("""COMPUTED_VALUE"""),45653.66666666667)</f>
        <v>45653.66667</v>
      </c>
      <c r="B1204" s="2">
        <f>IFERROR(__xludf.DUMMYFUNCTION("""COMPUTED_VALUE"""),216.0)</f>
        <v>216</v>
      </c>
      <c r="C1204" s="2">
        <f>IFERROR(__xludf.DUMMYFUNCTION("""COMPUTED_VALUE"""),216.0)</f>
        <v>216</v>
      </c>
      <c r="D1204" s="2">
        <f>IFERROR(__xludf.DUMMYFUNCTION("""COMPUTED_VALUE"""),210.0)</f>
        <v>210</v>
      </c>
      <c r="E1204" s="2">
        <f>IFERROR(__xludf.DUMMYFUNCTION("""COMPUTED_VALUE"""),212.0)</f>
        <v>212</v>
      </c>
      <c r="F1204" s="2">
        <f>IFERROR(__xludf.DUMMYFUNCTION("""COMPUTED_VALUE"""),4047500.0)</f>
        <v>4047500</v>
      </c>
      <c r="G1204" s="2">
        <f t="shared" si="1"/>
        <v>6</v>
      </c>
    </row>
    <row r="1205" ht="15.75" customHeight="1">
      <c r="A1205" s="1">
        <f>IFERROR(__xludf.DUMMYFUNCTION("""COMPUTED_VALUE"""),45656.66666666667)</f>
        <v>45656.66667</v>
      </c>
      <c r="B1205" s="2">
        <f>IFERROR(__xludf.DUMMYFUNCTION("""COMPUTED_VALUE"""),212.0)</f>
        <v>212</v>
      </c>
      <c r="C1205" s="2">
        <f>IFERROR(__xludf.DUMMYFUNCTION("""COMPUTED_VALUE"""),232.0)</f>
        <v>232</v>
      </c>
      <c r="D1205" s="2">
        <f>IFERROR(__xludf.DUMMYFUNCTION("""COMPUTED_VALUE"""),208.0)</f>
        <v>208</v>
      </c>
      <c r="E1205" s="2">
        <f>IFERROR(__xludf.DUMMYFUNCTION("""COMPUTED_VALUE"""),232.0)</f>
        <v>232</v>
      </c>
      <c r="F1205" s="2">
        <f>IFERROR(__xludf.DUMMYFUNCTION("""COMPUTED_VALUE"""),1.83452E7)</f>
        <v>18345200</v>
      </c>
      <c r="G1205" s="2">
        <f t="shared" si="1"/>
        <v>24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7" width="12.63"/>
  </cols>
  <sheetData>
    <row r="1" ht="15.75" customHeight="1">
      <c r="A1" s="1" t="str">
        <f>IFERROR(__xludf.DUMMYFUNCTION("GOOGLEFINANCE(""ANTM"", ""all"", DATE(2020,1,1), DATE(2025,1,1), ""DAILY"")"),"Date")</f>
        <v>Date</v>
      </c>
      <c r="B1" s="2" t="str">
        <f>IFERROR(__xludf.DUMMYFUNCTION("""COMPUTED_VALUE"""),"Open")</f>
        <v>Open</v>
      </c>
      <c r="C1" s="2" t="str">
        <f>IFERROR(__xludf.DUMMYFUNCTION("""COMPUTED_VALUE"""),"High")</f>
        <v>High</v>
      </c>
      <c r="D1" s="2" t="str">
        <f>IFERROR(__xludf.DUMMYFUNCTION("""COMPUTED_VALUE"""),"Low")</f>
        <v>Low</v>
      </c>
      <c r="E1" s="2" t="str">
        <f>IFERROR(__xludf.DUMMYFUNCTION("""COMPUTED_VALUE"""),"Close")</f>
        <v>Close</v>
      </c>
      <c r="F1" s="2" t="str">
        <f>IFERROR(__xludf.DUMMYFUNCTION("""COMPUTED_VALUE"""),"Volume")</f>
        <v>Volume</v>
      </c>
      <c r="G1" s="3" t="s">
        <v>0</v>
      </c>
    </row>
    <row r="2" ht="15.75" customHeight="1">
      <c r="A2" s="1">
        <f>IFERROR(__xludf.DUMMYFUNCTION("""COMPUTED_VALUE"""),43832.66666666667)</f>
        <v>43832.66667</v>
      </c>
      <c r="B2" s="2">
        <f>IFERROR(__xludf.DUMMYFUNCTION("""COMPUTED_VALUE"""),845.0)</f>
        <v>845</v>
      </c>
      <c r="C2" s="2">
        <f>IFERROR(__xludf.DUMMYFUNCTION("""COMPUTED_VALUE"""),850.0)</f>
        <v>850</v>
      </c>
      <c r="D2" s="2">
        <f>IFERROR(__xludf.DUMMYFUNCTION("""COMPUTED_VALUE"""),825.0)</f>
        <v>825</v>
      </c>
      <c r="E2" s="2">
        <f>IFERROR(__xludf.DUMMYFUNCTION("""COMPUTED_VALUE"""),840.0)</f>
        <v>840</v>
      </c>
      <c r="F2" s="2">
        <f>IFERROR(__xludf.DUMMYFUNCTION("""COMPUTED_VALUE"""),2.68292E7)</f>
        <v>26829200</v>
      </c>
      <c r="G2" s="2"/>
    </row>
    <row r="3" ht="15.75" customHeight="1">
      <c r="A3" s="1">
        <f>IFERROR(__xludf.DUMMYFUNCTION("""COMPUTED_VALUE"""),43833.66666666667)</f>
        <v>43833.66667</v>
      </c>
      <c r="B3" s="2">
        <f>IFERROR(__xludf.DUMMYFUNCTION("""COMPUTED_VALUE"""),845.0)</f>
        <v>845</v>
      </c>
      <c r="C3" s="2">
        <f>IFERROR(__xludf.DUMMYFUNCTION("""COMPUTED_VALUE"""),850.0)</f>
        <v>850</v>
      </c>
      <c r="D3" s="2">
        <f>IFERROR(__xludf.DUMMYFUNCTION("""COMPUTED_VALUE"""),840.0)</f>
        <v>840</v>
      </c>
      <c r="E3" s="2">
        <f>IFERROR(__xludf.DUMMYFUNCTION("""COMPUTED_VALUE"""),850.0)</f>
        <v>850</v>
      </c>
      <c r="F3" s="2">
        <f>IFERROR(__xludf.DUMMYFUNCTION("""COMPUTED_VALUE"""),5.21059E7)</f>
        <v>52105900</v>
      </c>
      <c r="G3" s="2">
        <f t="shared" ref="G3:G1212" si="1">MAX(C3-D3, ABS(C3-E2), ABS(D3-E2))</f>
        <v>10</v>
      </c>
    </row>
    <row r="4" ht="15.75" customHeight="1">
      <c r="A4" s="1">
        <f>IFERROR(__xludf.DUMMYFUNCTION("""COMPUTED_VALUE"""),43836.66666666667)</f>
        <v>43836.66667</v>
      </c>
      <c r="B4" s="2">
        <f>IFERROR(__xludf.DUMMYFUNCTION("""COMPUTED_VALUE"""),860.0)</f>
        <v>860</v>
      </c>
      <c r="C4" s="2">
        <f>IFERROR(__xludf.DUMMYFUNCTION("""COMPUTED_VALUE"""),890.0)</f>
        <v>890</v>
      </c>
      <c r="D4" s="2">
        <f>IFERROR(__xludf.DUMMYFUNCTION("""COMPUTED_VALUE"""),855.0)</f>
        <v>855</v>
      </c>
      <c r="E4" s="2">
        <f>IFERROR(__xludf.DUMMYFUNCTION("""COMPUTED_VALUE"""),885.0)</f>
        <v>885</v>
      </c>
      <c r="F4" s="2">
        <f>IFERROR(__xludf.DUMMYFUNCTION("""COMPUTED_VALUE"""),1.533223E8)</f>
        <v>153322300</v>
      </c>
      <c r="G4" s="2">
        <f t="shared" si="1"/>
        <v>40</v>
      </c>
    </row>
    <row r="5" ht="15.75" customHeight="1">
      <c r="A5" s="1">
        <f>IFERROR(__xludf.DUMMYFUNCTION("""COMPUTED_VALUE"""),43837.66666666667)</f>
        <v>43837.66667</v>
      </c>
      <c r="B5" s="2">
        <f>IFERROR(__xludf.DUMMYFUNCTION("""COMPUTED_VALUE"""),885.0)</f>
        <v>885</v>
      </c>
      <c r="C5" s="2">
        <f>IFERROR(__xludf.DUMMYFUNCTION("""COMPUTED_VALUE"""),895.0)</f>
        <v>895</v>
      </c>
      <c r="D5" s="2">
        <f>IFERROR(__xludf.DUMMYFUNCTION("""COMPUTED_VALUE"""),865.0)</f>
        <v>865</v>
      </c>
      <c r="E5" s="2">
        <f>IFERROR(__xludf.DUMMYFUNCTION("""COMPUTED_VALUE"""),875.0)</f>
        <v>875</v>
      </c>
      <c r="F5" s="2">
        <f>IFERROR(__xludf.DUMMYFUNCTION("""COMPUTED_VALUE"""),9.37506E7)</f>
        <v>93750600</v>
      </c>
      <c r="G5" s="2">
        <f t="shared" si="1"/>
        <v>30</v>
      </c>
    </row>
    <row r="6" ht="15.75" customHeight="1">
      <c r="A6" s="1">
        <f>IFERROR(__xludf.DUMMYFUNCTION("""COMPUTED_VALUE"""),43838.66666666667)</f>
        <v>43838.66667</v>
      </c>
      <c r="B6" s="2">
        <f>IFERROR(__xludf.DUMMYFUNCTION("""COMPUTED_VALUE"""),895.0)</f>
        <v>895</v>
      </c>
      <c r="C6" s="2">
        <f>IFERROR(__xludf.DUMMYFUNCTION("""COMPUTED_VALUE"""),920.0)</f>
        <v>920</v>
      </c>
      <c r="D6" s="2">
        <f>IFERROR(__xludf.DUMMYFUNCTION("""COMPUTED_VALUE"""),890.0)</f>
        <v>890</v>
      </c>
      <c r="E6" s="2">
        <f>IFERROR(__xludf.DUMMYFUNCTION("""COMPUTED_VALUE"""),905.0)</f>
        <v>905</v>
      </c>
      <c r="F6" s="2">
        <f>IFERROR(__xludf.DUMMYFUNCTION("""COMPUTED_VALUE"""),2.17122E8)</f>
        <v>217122000</v>
      </c>
      <c r="G6" s="2">
        <f t="shared" si="1"/>
        <v>45</v>
      </c>
    </row>
    <row r="7" ht="15.75" customHeight="1">
      <c r="A7" s="1">
        <f>IFERROR(__xludf.DUMMYFUNCTION("""COMPUTED_VALUE"""),43839.66666666667)</f>
        <v>43839.66667</v>
      </c>
      <c r="B7" s="2">
        <f>IFERROR(__xludf.DUMMYFUNCTION("""COMPUTED_VALUE"""),895.0)</f>
        <v>895</v>
      </c>
      <c r="C7" s="2">
        <f>IFERROR(__xludf.DUMMYFUNCTION("""COMPUTED_VALUE"""),900.0)</f>
        <v>900</v>
      </c>
      <c r="D7" s="2">
        <f>IFERROR(__xludf.DUMMYFUNCTION("""COMPUTED_VALUE"""),875.0)</f>
        <v>875</v>
      </c>
      <c r="E7" s="2">
        <f>IFERROR(__xludf.DUMMYFUNCTION("""COMPUTED_VALUE"""),880.0)</f>
        <v>880</v>
      </c>
      <c r="F7" s="2">
        <f>IFERROR(__xludf.DUMMYFUNCTION("""COMPUTED_VALUE"""),1.094238E8)</f>
        <v>109423800</v>
      </c>
      <c r="G7" s="2">
        <f t="shared" si="1"/>
        <v>30</v>
      </c>
    </row>
    <row r="8" ht="15.75" customHeight="1">
      <c r="A8" s="1">
        <f>IFERROR(__xludf.DUMMYFUNCTION("""COMPUTED_VALUE"""),43840.66666666667)</f>
        <v>43840.66667</v>
      </c>
      <c r="B8" s="2">
        <f>IFERROR(__xludf.DUMMYFUNCTION("""COMPUTED_VALUE"""),880.0)</f>
        <v>880</v>
      </c>
      <c r="C8" s="2">
        <f>IFERROR(__xludf.DUMMYFUNCTION("""COMPUTED_VALUE"""),885.0)</f>
        <v>885</v>
      </c>
      <c r="D8" s="2">
        <f>IFERROR(__xludf.DUMMYFUNCTION("""COMPUTED_VALUE"""),865.0)</f>
        <v>865</v>
      </c>
      <c r="E8" s="2">
        <f>IFERROR(__xludf.DUMMYFUNCTION("""COMPUTED_VALUE"""),885.0)</f>
        <v>885</v>
      </c>
      <c r="F8" s="2">
        <f>IFERROR(__xludf.DUMMYFUNCTION("""COMPUTED_VALUE"""),4.76232E7)</f>
        <v>47623200</v>
      </c>
      <c r="G8" s="2">
        <f t="shared" si="1"/>
        <v>20</v>
      </c>
    </row>
    <row r="9" ht="15.75" customHeight="1">
      <c r="A9" s="1">
        <f>IFERROR(__xludf.DUMMYFUNCTION("""COMPUTED_VALUE"""),43843.66666666667)</f>
        <v>43843.66667</v>
      </c>
      <c r="B9" s="2">
        <f>IFERROR(__xludf.DUMMYFUNCTION("""COMPUTED_VALUE"""),885.0)</f>
        <v>885</v>
      </c>
      <c r="C9" s="2">
        <f>IFERROR(__xludf.DUMMYFUNCTION("""COMPUTED_VALUE"""),890.0)</f>
        <v>890</v>
      </c>
      <c r="D9" s="2">
        <f>IFERROR(__xludf.DUMMYFUNCTION("""COMPUTED_VALUE"""),870.0)</f>
        <v>870</v>
      </c>
      <c r="E9" s="2">
        <f>IFERROR(__xludf.DUMMYFUNCTION("""COMPUTED_VALUE"""),870.0)</f>
        <v>870</v>
      </c>
      <c r="F9" s="2">
        <f>IFERROR(__xludf.DUMMYFUNCTION("""COMPUTED_VALUE"""),4.75006E7)</f>
        <v>47500600</v>
      </c>
      <c r="G9" s="2">
        <f t="shared" si="1"/>
        <v>20</v>
      </c>
    </row>
    <row r="10" ht="15.75" customHeight="1">
      <c r="A10" s="1">
        <f>IFERROR(__xludf.DUMMYFUNCTION("""COMPUTED_VALUE"""),43844.66666666667)</f>
        <v>43844.66667</v>
      </c>
      <c r="B10" s="2">
        <f>IFERROR(__xludf.DUMMYFUNCTION("""COMPUTED_VALUE"""),870.0)</f>
        <v>870</v>
      </c>
      <c r="C10" s="2">
        <f>IFERROR(__xludf.DUMMYFUNCTION("""COMPUTED_VALUE"""),870.0)</f>
        <v>870</v>
      </c>
      <c r="D10" s="2">
        <f>IFERROR(__xludf.DUMMYFUNCTION("""COMPUTED_VALUE"""),845.0)</f>
        <v>845</v>
      </c>
      <c r="E10" s="2">
        <f>IFERROR(__xludf.DUMMYFUNCTION("""COMPUTED_VALUE"""),850.0)</f>
        <v>850</v>
      </c>
      <c r="F10" s="2">
        <f>IFERROR(__xludf.DUMMYFUNCTION("""COMPUTED_VALUE"""),9.82848E7)</f>
        <v>98284800</v>
      </c>
      <c r="G10" s="2">
        <f t="shared" si="1"/>
        <v>25</v>
      </c>
    </row>
    <row r="11" ht="15.75" customHeight="1">
      <c r="A11" s="1">
        <f>IFERROR(__xludf.DUMMYFUNCTION("""COMPUTED_VALUE"""),43845.66666666667)</f>
        <v>43845.66667</v>
      </c>
      <c r="B11" s="2">
        <f>IFERROR(__xludf.DUMMYFUNCTION("""COMPUTED_VALUE"""),850.0)</f>
        <v>850</v>
      </c>
      <c r="C11" s="2">
        <f>IFERROR(__xludf.DUMMYFUNCTION("""COMPUTED_VALUE"""),865.0)</f>
        <v>865</v>
      </c>
      <c r="D11" s="2">
        <f>IFERROR(__xludf.DUMMYFUNCTION("""COMPUTED_VALUE"""),830.0)</f>
        <v>830</v>
      </c>
      <c r="E11" s="2">
        <f>IFERROR(__xludf.DUMMYFUNCTION("""COMPUTED_VALUE"""),835.0)</f>
        <v>835</v>
      </c>
      <c r="F11" s="2">
        <f>IFERROR(__xludf.DUMMYFUNCTION("""COMPUTED_VALUE"""),7.33466E7)</f>
        <v>73346600</v>
      </c>
      <c r="G11" s="2">
        <f t="shared" si="1"/>
        <v>35</v>
      </c>
    </row>
    <row r="12" ht="15.75" customHeight="1">
      <c r="A12" s="1">
        <f>IFERROR(__xludf.DUMMYFUNCTION("""COMPUTED_VALUE"""),43846.66666666667)</f>
        <v>43846.66667</v>
      </c>
      <c r="B12" s="2">
        <f>IFERROR(__xludf.DUMMYFUNCTION("""COMPUTED_VALUE"""),850.0)</f>
        <v>850</v>
      </c>
      <c r="C12" s="2">
        <f>IFERROR(__xludf.DUMMYFUNCTION("""COMPUTED_VALUE"""),860.0)</f>
        <v>860</v>
      </c>
      <c r="D12" s="2">
        <f>IFERROR(__xludf.DUMMYFUNCTION("""COMPUTED_VALUE"""),840.0)</f>
        <v>840</v>
      </c>
      <c r="E12" s="2">
        <f>IFERROR(__xludf.DUMMYFUNCTION("""COMPUTED_VALUE"""),845.0)</f>
        <v>845</v>
      </c>
      <c r="F12" s="2">
        <f>IFERROR(__xludf.DUMMYFUNCTION("""COMPUTED_VALUE"""),5.2551E7)</f>
        <v>52551000</v>
      </c>
      <c r="G12" s="2">
        <f t="shared" si="1"/>
        <v>25</v>
      </c>
    </row>
    <row r="13" ht="15.75" customHeight="1">
      <c r="A13" s="1">
        <f>IFERROR(__xludf.DUMMYFUNCTION("""COMPUTED_VALUE"""),43847.66666666667)</f>
        <v>43847.66667</v>
      </c>
      <c r="B13" s="2">
        <f>IFERROR(__xludf.DUMMYFUNCTION("""COMPUTED_VALUE"""),840.0)</f>
        <v>840</v>
      </c>
      <c r="C13" s="2">
        <f>IFERROR(__xludf.DUMMYFUNCTION("""COMPUTED_VALUE"""),845.0)</f>
        <v>845</v>
      </c>
      <c r="D13" s="2">
        <f>IFERROR(__xludf.DUMMYFUNCTION("""COMPUTED_VALUE"""),835.0)</f>
        <v>835</v>
      </c>
      <c r="E13" s="2">
        <f>IFERROR(__xludf.DUMMYFUNCTION("""COMPUTED_VALUE"""),840.0)</f>
        <v>840</v>
      </c>
      <c r="F13" s="2">
        <f>IFERROR(__xludf.DUMMYFUNCTION("""COMPUTED_VALUE"""),3.6767E7)</f>
        <v>36767000</v>
      </c>
      <c r="G13" s="2">
        <f t="shared" si="1"/>
        <v>10</v>
      </c>
    </row>
    <row r="14" ht="15.75" customHeight="1">
      <c r="A14" s="1">
        <f>IFERROR(__xludf.DUMMYFUNCTION("""COMPUTED_VALUE"""),43850.66666666667)</f>
        <v>43850.66667</v>
      </c>
      <c r="B14" s="2">
        <f>IFERROR(__xludf.DUMMYFUNCTION("""COMPUTED_VALUE"""),840.0)</f>
        <v>840</v>
      </c>
      <c r="C14" s="2">
        <f>IFERROR(__xludf.DUMMYFUNCTION("""COMPUTED_VALUE"""),850.0)</f>
        <v>850</v>
      </c>
      <c r="D14" s="2">
        <f>IFERROR(__xludf.DUMMYFUNCTION("""COMPUTED_VALUE"""),785.0)</f>
        <v>785</v>
      </c>
      <c r="E14" s="2">
        <f>IFERROR(__xludf.DUMMYFUNCTION("""COMPUTED_VALUE"""),795.0)</f>
        <v>795</v>
      </c>
      <c r="F14" s="2">
        <f>IFERROR(__xludf.DUMMYFUNCTION("""COMPUTED_VALUE"""),1.643576E8)</f>
        <v>164357600</v>
      </c>
      <c r="G14" s="2">
        <f t="shared" si="1"/>
        <v>65</v>
      </c>
    </row>
    <row r="15" ht="15.75" customHeight="1">
      <c r="A15" s="1">
        <f>IFERROR(__xludf.DUMMYFUNCTION("""COMPUTED_VALUE"""),43851.66666666667)</f>
        <v>43851.66667</v>
      </c>
      <c r="B15" s="2">
        <f>IFERROR(__xludf.DUMMYFUNCTION("""COMPUTED_VALUE"""),795.0)</f>
        <v>795</v>
      </c>
      <c r="C15" s="2">
        <f>IFERROR(__xludf.DUMMYFUNCTION("""COMPUTED_VALUE"""),810.0)</f>
        <v>810</v>
      </c>
      <c r="D15" s="2">
        <f>IFERROR(__xludf.DUMMYFUNCTION("""COMPUTED_VALUE"""),780.0)</f>
        <v>780</v>
      </c>
      <c r="E15" s="2">
        <f>IFERROR(__xludf.DUMMYFUNCTION("""COMPUTED_VALUE"""),795.0)</f>
        <v>795</v>
      </c>
      <c r="F15" s="2">
        <f>IFERROR(__xludf.DUMMYFUNCTION("""COMPUTED_VALUE"""),7.2996E7)</f>
        <v>72996000</v>
      </c>
      <c r="G15" s="2">
        <f t="shared" si="1"/>
        <v>30</v>
      </c>
    </row>
    <row r="16" ht="15.75" customHeight="1">
      <c r="A16" s="1">
        <f>IFERROR(__xludf.DUMMYFUNCTION("""COMPUTED_VALUE"""),43852.66666666667)</f>
        <v>43852.66667</v>
      </c>
      <c r="B16" s="2">
        <f>IFERROR(__xludf.DUMMYFUNCTION("""COMPUTED_VALUE"""),800.0)</f>
        <v>800</v>
      </c>
      <c r="C16" s="2">
        <f>IFERROR(__xludf.DUMMYFUNCTION("""COMPUTED_VALUE"""),805.0)</f>
        <v>805</v>
      </c>
      <c r="D16" s="2">
        <f>IFERROR(__xludf.DUMMYFUNCTION("""COMPUTED_VALUE"""),755.0)</f>
        <v>755</v>
      </c>
      <c r="E16" s="2">
        <f>IFERROR(__xludf.DUMMYFUNCTION("""COMPUTED_VALUE"""),770.0)</f>
        <v>770</v>
      </c>
      <c r="F16" s="2">
        <f>IFERROR(__xludf.DUMMYFUNCTION("""COMPUTED_VALUE"""),1.29107E8)</f>
        <v>129107000</v>
      </c>
      <c r="G16" s="2">
        <f t="shared" si="1"/>
        <v>50</v>
      </c>
    </row>
    <row r="17" ht="15.75" customHeight="1">
      <c r="A17" s="1">
        <f>IFERROR(__xludf.DUMMYFUNCTION("""COMPUTED_VALUE"""),43853.66666666667)</f>
        <v>43853.66667</v>
      </c>
      <c r="B17" s="2">
        <f>IFERROR(__xludf.DUMMYFUNCTION("""COMPUTED_VALUE"""),785.0)</f>
        <v>785</v>
      </c>
      <c r="C17" s="2">
        <f>IFERROR(__xludf.DUMMYFUNCTION("""COMPUTED_VALUE"""),790.0)</f>
        <v>790</v>
      </c>
      <c r="D17" s="2">
        <f>IFERROR(__xludf.DUMMYFUNCTION("""COMPUTED_VALUE"""),765.0)</f>
        <v>765</v>
      </c>
      <c r="E17" s="2">
        <f>IFERROR(__xludf.DUMMYFUNCTION("""COMPUTED_VALUE"""),780.0)</f>
        <v>780</v>
      </c>
      <c r="F17" s="2">
        <f>IFERROR(__xludf.DUMMYFUNCTION("""COMPUTED_VALUE"""),3.84169E7)</f>
        <v>38416900</v>
      </c>
      <c r="G17" s="2">
        <f t="shared" si="1"/>
        <v>25</v>
      </c>
    </row>
    <row r="18" ht="15.75" customHeight="1">
      <c r="A18" s="1">
        <f>IFERROR(__xludf.DUMMYFUNCTION("""COMPUTED_VALUE"""),43854.66666666667)</f>
        <v>43854.66667</v>
      </c>
      <c r="B18" s="2">
        <f>IFERROR(__xludf.DUMMYFUNCTION("""COMPUTED_VALUE"""),780.0)</f>
        <v>780</v>
      </c>
      <c r="C18" s="2">
        <f>IFERROR(__xludf.DUMMYFUNCTION("""COMPUTED_VALUE"""),790.0)</f>
        <v>790</v>
      </c>
      <c r="D18" s="2">
        <f>IFERROR(__xludf.DUMMYFUNCTION("""COMPUTED_VALUE"""),775.0)</f>
        <v>775</v>
      </c>
      <c r="E18" s="2">
        <f>IFERROR(__xludf.DUMMYFUNCTION("""COMPUTED_VALUE"""),785.0)</f>
        <v>785</v>
      </c>
      <c r="F18" s="2">
        <f>IFERROR(__xludf.DUMMYFUNCTION("""COMPUTED_VALUE"""),2.5277E7)</f>
        <v>25277000</v>
      </c>
      <c r="G18" s="2">
        <f t="shared" si="1"/>
        <v>15</v>
      </c>
    </row>
    <row r="19" ht="15.75" customHeight="1">
      <c r="A19" s="1">
        <f>IFERROR(__xludf.DUMMYFUNCTION("""COMPUTED_VALUE"""),43857.66666666667)</f>
        <v>43857.66667</v>
      </c>
      <c r="B19" s="2">
        <f>IFERROR(__xludf.DUMMYFUNCTION("""COMPUTED_VALUE"""),790.0)</f>
        <v>790</v>
      </c>
      <c r="C19" s="2">
        <f>IFERROR(__xludf.DUMMYFUNCTION("""COMPUTED_VALUE"""),790.0)</f>
        <v>790</v>
      </c>
      <c r="D19" s="2">
        <f>IFERROR(__xludf.DUMMYFUNCTION("""COMPUTED_VALUE"""),745.0)</f>
        <v>745</v>
      </c>
      <c r="E19" s="2">
        <f>IFERROR(__xludf.DUMMYFUNCTION("""COMPUTED_VALUE"""),750.0)</f>
        <v>750</v>
      </c>
      <c r="F19" s="2">
        <f>IFERROR(__xludf.DUMMYFUNCTION("""COMPUTED_VALUE"""),9.23543E7)</f>
        <v>92354300</v>
      </c>
      <c r="G19" s="2">
        <f t="shared" si="1"/>
        <v>45</v>
      </c>
    </row>
    <row r="20" ht="15.75" customHeight="1">
      <c r="A20" s="1">
        <f>IFERROR(__xludf.DUMMYFUNCTION("""COMPUTED_VALUE"""),43858.66666666667)</f>
        <v>43858.66667</v>
      </c>
      <c r="B20" s="2">
        <f>IFERROR(__xludf.DUMMYFUNCTION("""COMPUTED_VALUE"""),750.0)</f>
        <v>750</v>
      </c>
      <c r="C20" s="2">
        <f>IFERROR(__xludf.DUMMYFUNCTION("""COMPUTED_VALUE"""),760.0)</f>
        <v>760</v>
      </c>
      <c r="D20" s="2">
        <f>IFERROR(__xludf.DUMMYFUNCTION("""COMPUTED_VALUE"""),730.0)</f>
        <v>730</v>
      </c>
      <c r="E20" s="2">
        <f>IFERROR(__xludf.DUMMYFUNCTION("""COMPUTED_VALUE"""),750.0)</f>
        <v>750</v>
      </c>
      <c r="F20" s="2">
        <f>IFERROR(__xludf.DUMMYFUNCTION("""COMPUTED_VALUE"""),8.13599E7)</f>
        <v>81359900</v>
      </c>
      <c r="G20" s="2">
        <f t="shared" si="1"/>
        <v>30</v>
      </c>
    </row>
    <row r="21" ht="15.75" customHeight="1">
      <c r="A21" s="1">
        <f>IFERROR(__xludf.DUMMYFUNCTION("""COMPUTED_VALUE"""),43859.66666666667)</f>
        <v>43859.66667</v>
      </c>
      <c r="B21" s="2">
        <f>IFERROR(__xludf.DUMMYFUNCTION("""COMPUTED_VALUE"""),760.0)</f>
        <v>760</v>
      </c>
      <c r="C21" s="2">
        <f>IFERROR(__xludf.DUMMYFUNCTION("""COMPUTED_VALUE"""),765.0)</f>
        <v>765</v>
      </c>
      <c r="D21" s="2">
        <f>IFERROR(__xludf.DUMMYFUNCTION("""COMPUTED_VALUE"""),750.0)</f>
        <v>750</v>
      </c>
      <c r="E21" s="2">
        <f>IFERROR(__xludf.DUMMYFUNCTION("""COMPUTED_VALUE"""),750.0)</f>
        <v>750</v>
      </c>
      <c r="F21" s="2">
        <f>IFERROR(__xludf.DUMMYFUNCTION("""COMPUTED_VALUE"""),3.80923E7)</f>
        <v>38092300</v>
      </c>
      <c r="G21" s="2">
        <f t="shared" si="1"/>
        <v>15</v>
      </c>
    </row>
    <row r="22" ht="15.75" customHeight="1">
      <c r="A22" s="1">
        <f>IFERROR(__xludf.DUMMYFUNCTION("""COMPUTED_VALUE"""),43860.66666666667)</f>
        <v>43860.66667</v>
      </c>
      <c r="B22" s="2">
        <f>IFERROR(__xludf.DUMMYFUNCTION("""COMPUTED_VALUE"""),750.0)</f>
        <v>750</v>
      </c>
      <c r="C22" s="2">
        <f>IFERROR(__xludf.DUMMYFUNCTION("""COMPUTED_VALUE"""),760.0)</f>
        <v>760</v>
      </c>
      <c r="D22" s="2">
        <f>IFERROR(__xludf.DUMMYFUNCTION("""COMPUTED_VALUE"""),740.0)</f>
        <v>740</v>
      </c>
      <c r="E22" s="2">
        <f>IFERROR(__xludf.DUMMYFUNCTION("""COMPUTED_VALUE"""),740.0)</f>
        <v>740</v>
      </c>
      <c r="F22" s="2">
        <f>IFERROR(__xludf.DUMMYFUNCTION("""COMPUTED_VALUE"""),6.02271E7)</f>
        <v>60227100</v>
      </c>
      <c r="G22" s="2">
        <f t="shared" si="1"/>
        <v>20</v>
      </c>
    </row>
    <row r="23" ht="15.75" customHeight="1">
      <c r="A23" s="1">
        <f>IFERROR(__xludf.DUMMYFUNCTION("""COMPUTED_VALUE"""),43861.66666666667)</f>
        <v>43861.66667</v>
      </c>
      <c r="B23" s="2">
        <f>IFERROR(__xludf.DUMMYFUNCTION("""COMPUTED_VALUE"""),745.0)</f>
        <v>745</v>
      </c>
      <c r="C23" s="2">
        <f>IFERROR(__xludf.DUMMYFUNCTION("""COMPUTED_VALUE"""),745.0)</f>
        <v>745</v>
      </c>
      <c r="D23" s="2">
        <f>IFERROR(__xludf.DUMMYFUNCTION("""COMPUTED_VALUE"""),715.0)</f>
        <v>715</v>
      </c>
      <c r="E23" s="2">
        <f>IFERROR(__xludf.DUMMYFUNCTION("""COMPUTED_VALUE"""),720.0)</f>
        <v>720</v>
      </c>
      <c r="F23" s="2">
        <f>IFERROR(__xludf.DUMMYFUNCTION("""COMPUTED_VALUE"""),6.52809E7)</f>
        <v>65280900</v>
      </c>
      <c r="G23" s="2">
        <f t="shared" si="1"/>
        <v>30</v>
      </c>
    </row>
    <row r="24" ht="15.75" customHeight="1">
      <c r="A24" s="1">
        <f>IFERROR(__xludf.DUMMYFUNCTION("""COMPUTED_VALUE"""),43864.66666666667)</f>
        <v>43864.66667</v>
      </c>
      <c r="B24" s="2">
        <f>IFERROR(__xludf.DUMMYFUNCTION("""COMPUTED_VALUE"""),725.0)</f>
        <v>725</v>
      </c>
      <c r="C24" s="2">
        <f>IFERROR(__xludf.DUMMYFUNCTION("""COMPUTED_VALUE"""),730.0)</f>
        <v>730</v>
      </c>
      <c r="D24" s="2">
        <f>IFERROR(__xludf.DUMMYFUNCTION("""COMPUTED_VALUE"""),705.0)</f>
        <v>705</v>
      </c>
      <c r="E24" s="2">
        <f>IFERROR(__xludf.DUMMYFUNCTION("""COMPUTED_VALUE"""),715.0)</f>
        <v>715</v>
      </c>
      <c r="F24" s="2">
        <f>IFERROR(__xludf.DUMMYFUNCTION("""COMPUTED_VALUE"""),4.59703E7)</f>
        <v>45970300</v>
      </c>
      <c r="G24" s="2">
        <f t="shared" si="1"/>
        <v>25</v>
      </c>
    </row>
    <row r="25" ht="15.75" customHeight="1">
      <c r="A25" s="1">
        <f>IFERROR(__xludf.DUMMYFUNCTION("""COMPUTED_VALUE"""),43865.66666666667)</f>
        <v>43865.66667</v>
      </c>
      <c r="B25" s="2">
        <f>IFERROR(__xludf.DUMMYFUNCTION("""COMPUTED_VALUE"""),725.0)</f>
        <v>725</v>
      </c>
      <c r="C25" s="2">
        <f>IFERROR(__xludf.DUMMYFUNCTION("""COMPUTED_VALUE"""),735.0)</f>
        <v>735</v>
      </c>
      <c r="D25" s="2">
        <f>IFERROR(__xludf.DUMMYFUNCTION("""COMPUTED_VALUE"""),715.0)</f>
        <v>715</v>
      </c>
      <c r="E25" s="2">
        <f>IFERROR(__xludf.DUMMYFUNCTION("""COMPUTED_VALUE"""),730.0)</f>
        <v>730</v>
      </c>
      <c r="F25" s="2">
        <f>IFERROR(__xludf.DUMMYFUNCTION("""COMPUTED_VALUE"""),4.90248E7)</f>
        <v>49024800</v>
      </c>
      <c r="G25" s="2">
        <f t="shared" si="1"/>
        <v>20</v>
      </c>
    </row>
    <row r="26" ht="15.75" customHeight="1">
      <c r="A26" s="1">
        <f>IFERROR(__xludf.DUMMYFUNCTION("""COMPUTED_VALUE"""),43866.66666666667)</f>
        <v>43866.66667</v>
      </c>
      <c r="B26" s="2">
        <f>IFERROR(__xludf.DUMMYFUNCTION("""COMPUTED_VALUE"""),730.0)</f>
        <v>730</v>
      </c>
      <c r="C26" s="2">
        <f>IFERROR(__xludf.DUMMYFUNCTION("""COMPUTED_VALUE"""),735.0)</f>
        <v>735</v>
      </c>
      <c r="D26" s="2">
        <f>IFERROR(__xludf.DUMMYFUNCTION("""COMPUTED_VALUE"""),715.0)</f>
        <v>715</v>
      </c>
      <c r="E26" s="2">
        <f>IFERROR(__xludf.DUMMYFUNCTION("""COMPUTED_VALUE"""),725.0)</f>
        <v>725</v>
      </c>
      <c r="F26" s="2">
        <f>IFERROR(__xludf.DUMMYFUNCTION("""COMPUTED_VALUE"""),2.8225E7)</f>
        <v>28225000</v>
      </c>
      <c r="G26" s="2">
        <f t="shared" si="1"/>
        <v>20</v>
      </c>
    </row>
    <row r="27" ht="15.75" customHeight="1">
      <c r="A27" s="1">
        <f>IFERROR(__xludf.DUMMYFUNCTION("""COMPUTED_VALUE"""),43867.66666666667)</f>
        <v>43867.66667</v>
      </c>
      <c r="B27" s="2">
        <f>IFERROR(__xludf.DUMMYFUNCTION("""COMPUTED_VALUE"""),730.0)</f>
        <v>730</v>
      </c>
      <c r="C27" s="2">
        <f>IFERROR(__xludf.DUMMYFUNCTION("""COMPUTED_VALUE"""),735.0)</f>
        <v>735</v>
      </c>
      <c r="D27" s="2">
        <f>IFERROR(__xludf.DUMMYFUNCTION("""COMPUTED_VALUE"""),715.0)</f>
        <v>715</v>
      </c>
      <c r="E27" s="2">
        <f>IFERROR(__xludf.DUMMYFUNCTION("""COMPUTED_VALUE"""),735.0)</f>
        <v>735</v>
      </c>
      <c r="F27" s="2">
        <f>IFERROR(__xludf.DUMMYFUNCTION("""COMPUTED_VALUE"""),2.81802E7)</f>
        <v>28180200</v>
      </c>
      <c r="G27" s="2">
        <f t="shared" si="1"/>
        <v>20</v>
      </c>
    </row>
    <row r="28" ht="15.75" customHeight="1">
      <c r="A28" s="1">
        <f>IFERROR(__xludf.DUMMYFUNCTION("""COMPUTED_VALUE"""),43868.66666666667)</f>
        <v>43868.66667</v>
      </c>
      <c r="B28" s="2">
        <f>IFERROR(__xludf.DUMMYFUNCTION("""COMPUTED_VALUE"""),730.0)</f>
        <v>730</v>
      </c>
      <c r="C28" s="2">
        <f>IFERROR(__xludf.DUMMYFUNCTION("""COMPUTED_VALUE"""),740.0)</f>
        <v>740</v>
      </c>
      <c r="D28" s="2">
        <f>IFERROR(__xludf.DUMMYFUNCTION("""COMPUTED_VALUE"""),720.0)</f>
        <v>720</v>
      </c>
      <c r="E28" s="2">
        <f>IFERROR(__xludf.DUMMYFUNCTION("""COMPUTED_VALUE"""),730.0)</f>
        <v>730</v>
      </c>
      <c r="F28" s="2">
        <f>IFERROR(__xludf.DUMMYFUNCTION("""COMPUTED_VALUE"""),2.71562E7)</f>
        <v>27156200</v>
      </c>
      <c r="G28" s="2">
        <f t="shared" si="1"/>
        <v>20</v>
      </c>
    </row>
    <row r="29" ht="15.75" customHeight="1">
      <c r="A29" s="1">
        <f>IFERROR(__xludf.DUMMYFUNCTION("""COMPUTED_VALUE"""),43871.66666666667)</f>
        <v>43871.66667</v>
      </c>
      <c r="B29" s="2">
        <f>IFERROR(__xludf.DUMMYFUNCTION("""COMPUTED_VALUE"""),750.0)</f>
        <v>750</v>
      </c>
      <c r="C29" s="2">
        <f>IFERROR(__xludf.DUMMYFUNCTION("""COMPUTED_VALUE"""),750.0)</f>
        <v>750</v>
      </c>
      <c r="D29" s="2">
        <f>IFERROR(__xludf.DUMMYFUNCTION("""COMPUTED_VALUE"""),710.0)</f>
        <v>710</v>
      </c>
      <c r="E29" s="2">
        <f>IFERROR(__xludf.DUMMYFUNCTION("""COMPUTED_VALUE"""),720.0)</f>
        <v>720</v>
      </c>
      <c r="F29" s="2">
        <f>IFERROR(__xludf.DUMMYFUNCTION("""COMPUTED_VALUE"""),5.05067E7)</f>
        <v>50506700</v>
      </c>
      <c r="G29" s="2">
        <f t="shared" si="1"/>
        <v>40</v>
      </c>
    </row>
    <row r="30" ht="15.75" customHeight="1">
      <c r="A30" s="1">
        <f>IFERROR(__xludf.DUMMYFUNCTION("""COMPUTED_VALUE"""),43872.66666666667)</f>
        <v>43872.66667</v>
      </c>
      <c r="B30" s="2">
        <f>IFERROR(__xludf.DUMMYFUNCTION("""COMPUTED_VALUE"""),730.0)</f>
        <v>730</v>
      </c>
      <c r="C30" s="2">
        <f>IFERROR(__xludf.DUMMYFUNCTION("""COMPUTED_VALUE"""),730.0)</f>
        <v>730</v>
      </c>
      <c r="D30" s="2">
        <f>IFERROR(__xludf.DUMMYFUNCTION("""COMPUTED_VALUE"""),715.0)</f>
        <v>715</v>
      </c>
      <c r="E30" s="2">
        <f>IFERROR(__xludf.DUMMYFUNCTION("""COMPUTED_VALUE"""),720.0)</f>
        <v>720</v>
      </c>
      <c r="F30" s="2">
        <f>IFERROR(__xludf.DUMMYFUNCTION("""COMPUTED_VALUE"""),2.1224E7)</f>
        <v>21224000</v>
      </c>
      <c r="G30" s="2">
        <f t="shared" si="1"/>
        <v>15</v>
      </c>
    </row>
    <row r="31" ht="15.75" customHeight="1">
      <c r="A31" s="1">
        <f>IFERROR(__xludf.DUMMYFUNCTION("""COMPUTED_VALUE"""),43873.66666666667)</f>
        <v>43873.66667</v>
      </c>
      <c r="B31" s="2">
        <f>IFERROR(__xludf.DUMMYFUNCTION("""COMPUTED_VALUE"""),720.0)</f>
        <v>720</v>
      </c>
      <c r="C31" s="2">
        <f>IFERROR(__xludf.DUMMYFUNCTION("""COMPUTED_VALUE"""),725.0)</f>
        <v>725</v>
      </c>
      <c r="D31" s="2">
        <f>IFERROR(__xludf.DUMMYFUNCTION("""COMPUTED_VALUE"""),705.0)</f>
        <v>705</v>
      </c>
      <c r="E31" s="2">
        <f>IFERROR(__xludf.DUMMYFUNCTION("""COMPUTED_VALUE"""),715.0)</f>
        <v>715</v>
      </c>
      <c r="F31" s="2">
        <f>IFERROR(__xludf.DUMMYFUNCTION("""COMPUTED_VALUE"""),2.06993E7)</f>
        <v>20699300</v>
      </c>
      <c r="G31" s="2">
        <f t="shared" si="1"/>
        <v>20</v>
      </c>
    </row>
    <row r="32" ht="15.75" customHeight="1">
      <c r="A32" s="1">
        <f>IFERROR(__xludf.DUMMYFUNCTION("""COMPUTED_VALUE"""),43874.66666666667)</f>
        <v>43874.66667</v>
      </c>
      <c r="B32" s="2">
        <f>IFERROR(__xludf.DUMMYFUNCTION("""COMPUTED_VALUE"""),715.0)</f>
        <v>715</v>
      </c>
      <c r="C32" s="2">
        <f>IFERROR(__xludf.DUMMYFUNCTION("""COMPUTED_VALUE"""),720.0)</f>
        <v>720</v>
      </c>
      <c r="D32" s="2">
        <f>IFERROR(__xludf.DUMMYFUNCTION("""COMPUTED_VALUE"""),680.0)</f>
        <v>680</v>
      </c>
      <c r="E32" s="2">
        <f>IFERROR(__xludf.DUMMYFUNCTION("""COMPUTED_VALUE"""),680.0)</f>
        <v>680</v>
      </c>
      <c r="F32" s="2">
        <f>IFERROR(__xludf.DUMMYFUNCTION("""COMPUTED_VALUE"""),4.89208E7)</f>
        <v>48920800</v>
      </c>
      <c r="G32" s="2">
        <f t="shared" si="1"/>
        <v>40</v>
      </c>
    </row>
    <row r="33" ht="15.75" customHeight="1">
      <c r="A33" s="1">
        <f>IFERROR(__xludf.DUMMYFUNCTION("""COMPUTED_VALUE"""),43875.66666666667)</f>
        <v>43875.66667</v>
      </c>
      <c r="B33" s="2">
        <f>IFERROR(__xludf.DUMMYFUNCTION("""COMPUTED_VALUE"""),680.0)</f>
        <v>680</v>
      </c>
      <c r="C33" s="2">
        <f>IFERROR(__xludf.DUMMYFUNCTION("""COMPUTED_VALUE"""),690.0)</f>
        <v>690</v>
      </c>
      <c r="D33" s="2">
        <f>IFERROR(__xludf.DUMMYFUNCTION("""COMPUTED_VALUE"""),665.0)</f>
        <v>665</v>
      </c>
      <c r="E33" s="2">
        <f>IFERROR(__xludf.DUMMYFUNCTION("""COMPUTED_VALUE"""),675.0)</f>
        <v>675</v>
      </c>
      <c r="F33" s="2">
        <f>IFERROR(__xludf.DUMMYFUNCTION("""COMPUTED_VALUE"""),2.99681E7)</f>
        <v>29968100</v>
      </c>
      <c r="G33" s="2">
        <f t="shared" si="1"/>
        <v>25</v>
      </c>
    </row>
    <row r="34" ht="15.75" customHeight="1">
      <c r="A34" s="1">
        <f>IFERROR(__xludf.DUMMYFUNCTION("""COMPUTED_VALUE"""),43878.66666666667)</f>
        <v>43878.66667</v>
      </c>
      <c r="B34" s="2">
        <f>IFERROR(__xludf.DUMMYFUNCTION("""COMPUTED_VALUE"""),675.0)</f>
        <v>675</v>
      </c>
      <c r="C34" s="2">
        <f>IFERROR(__xludf.DUMMYFUNCTION("""COMPUTED_VALUE"""),690.0)</f>
        <v>690</v>
      </c>
      <c r="D34" s="2">
        <f>IFERROR(__xludf.DUMMYFUNCTION("""COMPUTED_VALUE"""),670.0)</f>
        <v>670</v>
      </c>
      <c r="E34" s="2">
        <f>IFERROR(__xludf.DUMMYFUNCTION("""COMPUTED_VALUE"""),680.0)</f>
        <v>680</v>
      </c>
      <c r="F34" s="2">
        <f>IFERROR(__xludf.DUMMYFUNCTION("""COMPUTED_VALUE"""),3.37988E7)</f>
        <v>33798800</v>
      </c>
      <c r="G34" s="2">
        <f t="shared" si="1"/>
        <v>20</v>
      </c>
    </row>
    <row r="35" ht="15.75" customHeight="1">
      <c r="A35" s="1">
        <f>IFERROR(__xludf.DUMMYFUNCTION("""COMPUTED_VALUE"""),43879.66666666667)</f>
        <v>43879.66667</v>
      </c>
      <c r="B35" s="2">
        <f>IFERROR(__xludf.DUMMYFUNCTION("""COMPUTED_VALUE"""),680.0)</f>
        <v>680</v>
      </c>
      <c r="C35" s="2">
        <f>IFERROR(__xludf.DUMMYFUNCTION("""COMPUTED_VALUE"""),705.0)</f>
        <v>705</v>
      </c>
      <c r="D35" s="2">
        <f>IFERROR(__xludf.DUMMYFUNCTION("""COMPUTED_VALUE"""),675.0)</f>
        <v>675</v>
      </c>
      <c r="E35" s="2">
        <f>IFERROR(__xludf.DUMMYFUNCTION("""COMPUTED_VALUE"""),690.0)</f>
        <v>690</v>
      </c>
      <c r="F35" s="2">
        <f>IFERROR(__xludf.DUMMYFUNCTION("""COMPUTED_VALUE"""),6.15887E7)</f>
        <v>61588700</v>
      </c>
      <c r="G35" s="2">
        <f t="shared" si="1"/>
        <v>30</v>
      </c>
    </row>
    <row r="36" ht="15.75" customHeight="1">
      <c r="A36" s="1">
        <f>IFERROR(__xludf.DUMMYFUNCTION("""COMPUTED_VALUE"""),43880.66666666667)</f>
        <v>43880.66667</v>
      </c>
      <c r="B36" s="2">
        <f>IFERROR(__xludf.DUMMYFUNCTION("""COMPUTED_VALUE"""),700.0)</f>
        <v>700</v>
      </c>
      <c r="C36" s="2">
        <f>IFERROR(__xludf.DUMMYFUNCTION("""COMPUTED_VALUE"""),720.0)</f>
        <v>720</v>
      </c>
      <c r="D36" s="2">
        <f>IFERROR(__xludf.DUMMYFUNCTION("""COMPUTED_VALUE"""),700.0)</f>
        <v>700</v>
      </c>
      <c r="E36" s="2">
        <f>IFERROR(__xludf.DUMMYFUNCTION("""COMPUTED_VALUE"""),705.0)</f>
        <v>705</v>
      </c>
      <c r="F36" s="2">
        <f>IFERROR(__xludf.DUMMYFUNCTION("""COMPUTED_VALUE"""),9.4198E7)</f>
        <v>94198000</v>
      </c>
      <c r="G36" s="2">
        <f t="shared" si="1"/>
        <v>30</v>
      </c>
    </row>
    <row r="37" ht="15.75" customHeight="1">
      <c r="A37" s="1">
        <f>IFERROR(__xludf.DUMMYFUNCTION("""COMPUTED_VALUE"""),43881.66666666667)</f>
        <v>43881.66667</v>
      </c>
      <c r="B37" s="2">
        <f>IFERROR(__xludf.DUMMYFUNCTION("""COMPUTED_VALUE"""),710.0)</f>
        <v>710</v>
      </c>
      <c r="C37" s="2">
        <f>IFERROR(__xludf.DUMMYFUNCTION("""COMPUTED_VALUE"""),720.0)</f>
        <v>720</v>
      </c>
      <c r="D37" s="2">
        <f>IFERROR(__xludf.DUMMYFUNCTION("""COMPUTED_VALUE"""),705.0)</f>
        <v>705</v>
      </c>
      <c r="E37" s="2">
        <f>IFERROR(__xludf.DUMMYFUNCTION("""COMPUTED_VALUE"""),710.0)</f>
        <v>710</v>
      </c>
      <c r="F37" s="2">
        <f>IFERROR(__xludf.DUMMYFUNCTION("""COMPUTED_VALUE"""),2.35403E7)</f>
        <v>23540300</v>
      </c>
      <c r="G37" s="2">
        <f t="shared" si="1"/>
        <v>15</v>
      </c>
    </row>
    <row r="38" ht="15.75" customHeight="1">
      <c r="A38" s="1">
        <f>IFERROR(__xludf.DUMMYFUNCTION("""COMPUTED_VALUE"""),43882.66666666667)</f>
        <v>43882.66667</v>
      </c>
      <c r="B38" s="2">
        <f>IFERROR(__xludf.DUMMYFUNCTION("""COMPUTED_VALUE"""),715.0)</f>
        <v>715</v>
      </c>
      <c r="C38" s="2">
        <f>IFERROR(__xludf.DUMMYFUNCTION("""COMPUTED_VALUE"""),715.0)</f>
        <v>715</v>
      </c>
      <c r="D38" s="2">
        <f>IFERROR(__xludf.DUMMYFUNCTION("""COMPUTED_VALUE"""),695.0)</f>
        <v>695</v>
      </c>
      <c r="E38" s="2">
        <f>IFERROR(__xludf.DUMMYFUNCTION("""COMPUTED_VALUE"""),700.0)</f>
        <v>700</v>
      </c>
      <c r="F38" s="2">
        <f>IFERROR(__xludf.DUMMYFUNCTION("""COMPUTED_VALUE"""),7.46369E7)</f>
        <v>74636900</v>
      </c>
      <c r="G38" s="2">
        <f t="shared" si="1"/>
        <v>20</v>
      </c>
    </row>
    <row r="39" ht="15.75" customHeight="1">
      <c r="A39" s="1">
        <f>IFERROR(__xludf.DUMMYFUNCTION("""COMPUTED_VALUE"""),43885.66666666667)</f>
        <v>43885.66667</v>
      </c>
      <c r="B39" s="2">
        <f>IFERROR(__xludf.DUMMYFUNCTION("""COMPUTED_VALUE"""),710.0)</f>
        <v>710</v>
      </c>
      <c r="C39" s="2">
        <f>IFERROR(__xludf.DUMMYFUNCTION("""COMPUTED_VALUE"""),715.0)</f>
        <v>715</v>
      </c>
      <c r="D39" s="2">
        <f>IFERROR(__xludf.DUMMYFUNCTION("""COMPUTED_VALUE"""),680.0)</f>
        <v>680</v>
      </c>
      <c r="E39" s="2">
        <f>IFERROR(__xludf.DUMMYFUNCTION("""COMPUTED_VALUE"""),685.0)</f>
        <v>685</v>
      </c>
      <c r="F39" s="2">
        <f>IFERROR(__xludf.DUMMYFUNCTION("""COMPUTED_VALUE"""),6.73407E7)</f>
        <v>67340700</v>
      </c>
      <c r="G39" s="2">
        <f t="shared" si="1"/>
        <v>35</v>
      </c>
    </row>
    <row r="40" ht="15.75" customHeight="1">
      <c r="A40" s="1">
        <f>IFERROR(__xludf.DUMMYFUNCTION("""COMPUTED_VALUE"""),43886.66666666667)</f>
        <v>43886.66667</v>
      </c>
      <c r="B40" s="2">
        <f>IFERROR(__xludf.DUMMYFUNCTION("""COMPUTED_VALUE"""),685.0)</f>
        <v>685</v>
      </c>
      <c r="C40" s="2">
        <f>IFERROR(__xludf.DUMMYFUNCTION("""COMPUTED_VALUE"""),685.0)</f>
        <v>685</v>
      </c>
      <c r="D40" s="2">
        <f>IFERROR(__xludf.DUMMYFUNCTION("""COMPUTED_VALUE"""),655.0)</f>
        <v>655</v>
      </c>
      <c r="E40" s="2">
        <f>IFERROR(__xludf.DUMMYFUNCTION("""COMPUTED_VALUE"""),660.0)</f>
        <v>660</v>
      </c>
      <c r="F40" s="2">
        <f>IFERROR(__xludf.DUMMYFUNCTION("""COMPUTED_VALUE"""),9.79636E7)</f>
        <v>97963600</v>
      </c>
      <c r="G40" s="2">
        <f t="shared" si="1"/>
        <v>30</v>
      </c>
    </row>
    <row r="41" ht="15.75" customHeight="1">
      <c r="A41" s="1">
        <f>IFERROR(__xludf.DUMMYFUNCTION("""COMPUTED_VALUE"""),43887.66666666667)</f>
        <v>43887.66667</v>
      </c>
      <c r="B41" s="2">
        <f>IFERROR(__xludf.DUMMYFUNCTION("""COMPUTED_VALUE"""),650.0)</f>
        <v>650</v>
      </c>
      <c r="C41" s="2">
        <f>IFERROR(__xludf.DUMMYFUNCTION("""COMPUTED_VALUE"""),660.0)</f>
        <v>660</v>
      </c>
      <c r="D41" s="2">
        <f>IFERROR(__xludf.DUMMYFUNCTION("""COMPUTED_VALUE"""),630.0)</f>
        <v>630</v>
      </c>
      <c r="E41" s="2">
        <f>IFERROR(__xludf.DUMMYFUNCTION("""COMPUTED_VALUE"""),630.0)</f>
        <v>630</v>
      </c>
      <c r="F41" s="2">
        <f>IFERROR(__xludf.DUMMYFUNCTION("""COMPUTED_VALUE"""),9.39359E7)</f>
        <v>93935900</v>
      </c>
      <c r="G41" s="2">
        <f t="shared" si="1"/>
        <v>30</v>
      </c>
    </row>
    <row r="42" ht="15.75" customHeight="1">
      <c r="A42" s="1">
        <f>IFERROR(__xludf.DUMMYFUNCTION("""COMPUTED_VALUE"""),43888.66666666667)</f>
        <v>43888.66667</v>
      </c>
      <c r="B42" s="2">
        <f>IFERROR(__xludf.DUMMYFUNCTION("""COMPUTED_VALUE"""),630.0)</f>
        <v>630</v>
      </c>
      <c r="C42" s="2">
        <f>IFERROR(__xludf.DUMMYFUNCTION("""COMPUTED_VALUE"""),650.0)</f>
        <v>650</v>
      </c>
      <c r="D42" s="2">
        <f>IFERROR(__xludf.DUMMYFUNCTION("""COMPUTED_VALUE"""),595.0)</f>
        <v>595</v>
      </c>
      <c r="E42" s="2">
        <f>IFERROR(__xludf.DUMMYFUNCTION("""COMPUTED_VALUE"""),600.0)</f>
        <v>600</v>
      </c>
      <c r="F42" s="2">
        <f>IFERROR(__xludf.DUMMYFUNCTION("""COMPUTED_VALUE"""),1.046669E8)</f>
        <v>104666900</v>
      </c>
      <c r="G42" s="2">
        <f t="shared" si="1"/>
        <v>55</v>
      </c>
    </row>
    <row r="43" ht="15.75" customHeight="1">
      <c r="A43" s="1">
        <f>IFERROR(__xludf.DUMMYFUNCTION("""COMPUTED_VALUE"""),43889.66666666667)</f>
        <v>43889.66667</v>
      </c>
      <c r="B43" s="2">
        <f>IFERROR(__xludf.DUMMYFUNCTION("""COMPUTED_VALUE"""),590.0)</f>
        <v>590</v>
      </c>
      <c r="C43" s="2">
        <f>IFERROR(__xludf.DUMMYFUNCTION("""COMPUTED_VALUE"""),590.0)</f>
        <v>590</v>
      </c>
      <c r="D43" s="2">
        <f>IFERROR(__xludf.DUMMYFUNCTION("""COMPUTED_VALUE"""),540.0)</f>
        <v>540</v>
      </c>
      <c r="E43" s="2">
        <f>IFERROR(__xludf.DUMMYFUNCTION("""COMPUTED_VALUE"""),575.0)</f>
        <v>575</v>
      </c>
      <c r="F43" s="2">
        <f>IFERROR(__xludf.DUMMYFUNCTION("""COMPUTED_VALUE"""),1.374098E8)</f>
        <v>137409800</v>
      </c>
      <c r="G43" s="2">
        <f t="shared" si="1"/>
        <v>60</v>
      </c>
    </row>
    <row r="44" ht="15.75" customHeight="1">
      <c r="A44" s="1">
        <f>IFERROR(__xludf.DUMMYFUNCTION("""COMPUTED_VALUE"""),43892.66666666667)</f>
        <v>43892.66667</v>
      </c>
      <c r="B44" s="2">
        <f>IFERROR(__xludf.DUMMYFUNCTION("""COMPUTED_VALUE"""),580.0)</f>
        <v>580</v>
      </c>
      <c r="C44" s="2">
        <f>IFERROR(__xludf.DUMMYFUNCTION("""COMPUTED_VALUE"""),600.0)</f>
        <v>600</v>
      </c>
      <c r="D44" s="2">
        <f>IFERROR(__xludf.DUMMYFUNCTION("""COMPUTED_VALUE"""),570.0)</f>
        <v>570</v>
      </c>
      <c r="E44" s="2">
        <f>IFERROR(__xludf.DUMMYFUNCTION("""COMPUTED_VALUE"""),585.0)</f>
        <v>585</v>
      </c>
      <c r="F44" s="2">
        <f>IFERROR(__xludf.DUMMYFUNCTION("""COMPUTED_VALUE"""),1.177697E8)</f>
        <v>117769700</v>
      </c>
      <c r="G44" s="2">
        <f t="shared" si="1"/>
        <v>30</v>
      </c>
    </row>
    <row r="45" ht="15.75" customHeight="1">
      <c r="A45" s="1">
        <f>IFERROR(__xludf.DUMMYFUNCTION("""COMPUTED_VALUE"""),43893.66666666667)</f>
        <v>43893.66667</v>
      </c>
      <c r="B45" s="2">
        <f>IFERROR(__xludf.DUMMYFUNCTION("""COMPUTED_VALUE"""),600.0)</f>
        <v>600</v>
      </c>
      <c r="C45" s="2">
        <f>IFERROR(__xludf.DUMMYFUNCTION("""COMPUTED_VALUE"""),620.0)</f>
        <v>620</v>
      </c>
      <c r="D45" s="2">
        <f>IFERROR(__xludf.DUMMYFUNCTION("""COMPUTED_VALUE"""),595.0)</f>
        <v>595</v>
      </c>
      <c r="E45" s="2">
        <f>IFERROR(__xludf.DUMMYFUNCTION("""COMPUTED_VALUE"""),615.0)</f>
        <v>615</v>
      </c>
      <c r="F45" s="2">
        <f>IFERROR(__xludf.DUMMYFUNCTION("""COMPUTED_VALUE"""),1.012179E8)</f>
        <v>101217900</v>
      </c>
      <c r="G45" s="2">
        <f t="shared" si="1"/>
        <v>35</v>
      </c>
    </row>
    <row r="46" ht="15.75" customHeight="1">
      <c r="A46" s="1">
        <f>IFERROR(__xludf.DUMMYFUNCTION("""COMPUTED_VALUE"""),43894.66666666667)</f>
        <v>43894.66667</v>
      </c>
      <c r="B46" s="2">
        <f>IFERROR(__xludf.DUMMYFUNCTION("""COMPUTED_VALUE"""),615.0)</f>
        <v>615</v>
      </c>
      <c r="C46" s="2">
        <f>IFERROR(__xludf.DUMMYFUNCTION("""COMPUTED_VALUE"""),635.0)</f>
        <v>635</v>
      </c>
      <c r="D46" s="2">
        <f>IFERROR(__xludf.DUMMYFUNCTION("""COMPUTED_VALUE"""),610.0)</f>
        <v>610</v>
      </c>
      <c r="E46" s="2">
        <f>IFERROR(__xludf.DUMMYFUNCTION("""COMPUTED_VALUE"""),630.0)</f>
        <v>630</v>
      </c>
      <c r="F46" s="2">
        <f>IFERROR(__xludf.DUMMYFUNCTION("""COMPUTED_VALUE"""),9.32815E7)</f>
        <v>93281500</v>
      </c>
      <c r="G46" s="2">
        <f t="shared" si="1"/>
        <v>25</v>
      </c>
    </row>
    <row r="47" ht="15.75" customHeight="1">
      <c r="A47" s="1">
        <f>IFERROR(__xludf.DUMMYFUNCTION("""COMPUTED_VALUE"""),43895.66666666667)</f>
        <v>43895.66667</v>
      </c>
      <c r="B47" s="2">
        <f>IFERROR(__xludf.DUMMYFUNCTION("""COMPUTED_VALUE"""),635.0)</f>
        <v>635</v>
      </c>
      <c r="C47" s="2">
        <f>IFERROR(__xludf.DUMMYFUNCTION("""COMPUTED_VALUE"""),650.0)</f>
        <v>650</v>
      </c>
      <c r="D47" s="2">
        <f>IFERROR(__xludf.DUMMYFUNCTION("""COMPUTED_VALUE"""),625.0)</f>
        <v>625</v>
      </c>
      <c r="E47" s="2">
        <f>IFERROR(__xludf.DUMMYFUNCTION("""COMPUTED_VALUE"""),630.0)</f>
        <v>630</v>
      </c>
      <c r="F47" s="2">
        <f>IFERROR(__xludf.DUMMYFUNCTION("""COMPUTED_VALUE"""),5.36467E7)</f>
        <v>53646700</v>
      </c>
      <c r="G47" s="2">
        <f t="shared" si="1"/>
        <v>25</v>
      </c>
    </row>
    <row r="48" ht="15.75" customHeight="1">
      <c r="A48" s="1">
        <f>IFERROR(__xludf.DUMMYFUNCTION("""COMPUTED_VALUE"""),43896.66666666667)</f>
        <v>43896.66667</v>
      </c>
      <c r="B48" s="2">
        <f>IFERROR(__xludf.DUMMYFUNCTION("""COMPUTED_VALUE"""),625.0)</f>
        <v>625</v>
      </c>
      <c r="C48" s="2">
        <f>IFERROR(__xludf.DUMMYFUNCTION("""COMPUTED_VALUE"""),630.0)</f>
        <v>630</v>
      </c>
      <c r="D48" s="2">
        <f>IFERROR(__xludf.DUMMYFUNCTION("""COMPUTED_VALUE"""),605.0)</f>
        <v>605</v>
      </c>
      <c r="E48" s="2">
        <f>IFERROR(__xludf.DUMMYFUNCTION("""COMPUTED_VALUE"""),610.0)</f>
        <v>610</v>
      </c>
      <c r="F48" s="2">
        <f>IFERROR(__xludf.DUMMYFUNCTION("""COMPUTED_VALUE"""),4.97542E7)</f>
        <v>49754200</v>
      </c>
      <c r="G48" s="2">
        <f t="shared" si="1"/>
        <v>25</v>
      </c>
    </row>
    <row r="49" ht="15.75" customHeight="1">
      <c r="A49" s="1">
        <f>IFERROR(__xludf.DUMMYFUNCTION("""COMPUTED_VALUE"""),43899.66666666667)</f>
        <v>43899.66667</v>
      </c>
      <c r="B49" s="2">
        <f>IFERROR(__xludf.DUMMYFUNCTION("""COMPUTED_VALUE"""),590.0)</f>
        <v>590</v>
      </c>
      <c r="C49" s="2">
        <f>IFERROR(__xludf.DUMMYFUNCTION("""COMPUTED_VALUE"""),590.0)</f>
        <v>590</v>
      </c>
      <c r="D49" s="2">
        <f>IFERROR(__xludf.DUMMYFUNCTION("""COMPUTED_VALUE"""),550.0)</f>
        <v>550</v>
      </c>
      <c r="E49" s="2">
        <f>IFERROR(__xludf.DUMMYFUNCTION("""COMPUTED_VALUE"""),555.0)</f>
        <v>555</v>
      </c>
      <c r="F49" s="2">
        <f>IFERROR(__xludf.DUMMYFUNCTION("""COMPUTED_VALUE"""),1.054452E8)</f>
        <v>105445200</v>
      </c>
      <c r="G49" s="2">
        <f t="shared" si="1"/>
        <v>60</v>
      </c>
    </row>
    <row r="50" ht="15.75" customHeight="1">
      <c r="A50" s="1">
        <f>IFERROR(__xludf.DUMMYFUNCTION("""COMPUTED_VALUE"""),43900.66666666667)</f>
        <v>43900.66667</v>
      </c>
      <c r="B50" s="2">
        <f>IFERROR(__xludf.DUMMYFUNCTION("""COMPUTED_VALUE"""),555.0)</f>
        <v>555</v>
      </c>
      <c r="C50" s="2">
        <f>IFERROR(__xludf.DUMMYFUNCTION("""COMPUTED_VALUE"""),585.0)</f>
        <v>585</v>
      </c>
      <c r="D50" s="2">
        <f>IFERROR(__xludf.DUMMYFUNCTION("""COMPUTED_VALUE"""),555.0)</f>
        <v>555</v>
      </c>
      <c r="E50" s="2">
        <f>IFERROR(__xludf.DUMMYFUNCTION("""COMPUTED_VALUE"""),575.0)</f>
        <v>575</v>
      </c>
      <c r="F50" s="2">
        <f>IFERROR(__xludf.DUMMYFUNCTION("""COMPUTED_VALUE"""),7.62945E7)</f>
        <v>76294500</v>
      </c>
      <c r="G50" s="2">
        <f t="shared" si="1"/>
        <v>30</v>
      </c>
    </row>
    <row r="51" ht="15.75" customHeight="1">
      <c r="A51" s="1">
        <f>IFERROR(__xludf.DUMMYFUNCTION("""COMPUTED_VALUE"""),43901.66666666667)</f>
        <v>43901.66667</v>
      </c>
      <c r="B51" s="2">
        <f>IFERROR(__xludf.DUMMYFUNCTION("""COMPUTED_VALUE"""),580.0)</f>
        <v>580</v>
      </c>
      <c r="C51" s="2">
        <f>IFERROR(__xludf.DUMMYFUNCTION("""COMPUTED_VALUE"""),585.0)</f>
        <v>585</v>
      </c>
      <c r="D51" s="2">
        <f>IFERROR(__xludf.DUMMYFUNCTION("""COMPUTED_VALUE"""),530.0)</f>
        <v>530</v>
      </c>
      <c r="E51" s="2">
        <f>IFERROR(__xludf.DUMMYFUNCTION("""COMPUTED_VALUE"""),540.0)</f>
        <v>540</v>
      </c>
      <c r="F51" s="2">
        <f>IFERROR(__xludf.DUMMYFUNCTION("""COMPUTED_VALUE"""),8.48256E7)</f>
        <v>84825600</v>
      </c>
      <c r="G51" s="2">
        <f t="shared" si="1"/>
        <v>55</v>
      </c>
    </row>
    <row r="52" ht="15.75" customHeight="1">
      <c r="A52" s="1">
        <f>IFERROR(__xludf.DUMMYFUNCTION("""COMPUTED_VALUE"""),43902.66666666667)</f>
        <v>43902.66667</v>
      </c>
      <c r="B52" s="2">
        <f>IFERROR(__xludf.DUMMYFUNCTION("""COMPUTED_VALUE"""),520.0)</f>
        <v>520</v>
      </c>
      <c r="C52" s="2">
        <f>IFERROR(__xludf.DUMMYFUNCTION("""COMPUTED_VALUE"""),520.0)</f>
        <v>520</v>
      </c>
      <c r="D52" s="2">
        <f>IFERROR(__xludf.DUMMYFUNCTION("""COMPUTED_VALUE"""),488.0)</f>
        <v>488</v>
      </c>
      <c r="E52" s="2">
        <f>IFERROR(__xludf.DUMMYFUNCTION("""COMPUTED_VALUE"""),490.0)</f>
        <v>490</v>
      </c>
      <c r="F52" s="2">
        <f>IFERROR(__xludf.DUMMYFUNCTION("""COMPUTED_VALUE"""),9.86103E7)</f>
        <v>98610300</v>
      </c>
      <c r="G52" s="2">
        <f t="shared" si="1"/>
        <v>52</v>
      </c>
    </row>
    <row r="53" ht="15.75" customHeight="1">
      <c r="A53" s="1">
        <f>IFERROR(__xludf.DUMMYFUNCTION("""COMPUTED_VALUE"""),43903.66666666667)</f>
        <v>43903.66667</v>
      </c>
      <c r="B53" s="2">
        <f>IFERROR(__xludf.DUMMYFUNCTION("""COMPUTED_VALUE"""),470.0)</f>
        <v>470</v>
      </c>
      <c r="C53" s="2">
        <f>IFERROR(__xludf.DUMMYFUNCTION("""COMPUTED_VALUE"""),490.0)</f>
        <v>490</v>
      </c>
      <c r="D53" s="2">
        <f>IFERROR(__xludf.DUMMYFUNCTION("""COMPUTED_VALUE"""),456.0)</f>
        <v>456</v>
      </c>
      <c r="E53" s="2">
        <f>IFERROR(__xludf.DUMMYFUNCTION("""COMPUTED_VALUE"""),478.0)</f>
        <v>478</v>
      </c>
      <c r="F53" s="2">
        <f>IFERROR(__xludf.DUMMYFUNCTION("""COMPUTED_VALUE"""),1.171322E8)</f>
        <v>117132200</v>
      </c>
      <c r="G53" s="2">
        <f t="shared" si="1"/>
        <v>34</v>
      </c>
    </row>
    <row r="54" ht="15.75" customHeight="1">
      <c r="A54" s="1">
        <f>IFERROR(__xludf.DUMMYFUNCTION("""COMPUTED_VALUE"""),43906.66666666667)</f>
        <v>43906.66667</v>
      </c>
      <c r="B54" s="2">
        <f>IFERROR(__xludf.DUMMYFUNCTION("""COMPUTED_VALUE"""),474.0)</f>
        <v>474</v>
      </c>
      <c r="C54" s="2">
        <f>IFERROR(__xludf.DUMMYFUNCTION("""COMPUTED_VALUE"""),474.0)</f>
        <v>474</v>
      </c>
      <c r="D54" s="2">
        <f>IFERROR(__xludf.DUMMYFUNCTION("""COMPUTED_VALUE"""),446.0)</f>
        <v>446</v>
      </c>
      <c r="E54" s="2">
        <f>IFERROR(__xludf.DUMMYFUNCTION("""COMPUTED_VALUE"""),446.0)</f>
        <v>446</v>
      </c>
      <c r="F54" s="2">
        <f>IFERROR(__xludf.DUMMYFUNCTION("""COMPUTED_VALUE"""),5.72927E7)</f>
        <v>57292700</v>
      </c>
      <c r="G54" s="2">
        <f t="shared" si="1"/>
        <v>32</v>
      </c>
    </row>
    <row r="55" ht="15.75" customHeight="1">
      <c r="A55" s="1">
        <f>IFERROR(__xludf.DUMMYFUNCTION("""COMPUTED_VALUE"""),43907.66666666667)</f>
        <v>43907.66667</v>
      </c>
      <c r="B55" s="2">
        <f>IFERROR(__xludf.DUMMYFUNCTION("""COMPUTED_VALUE"""),446.0)</f>
        <v>446</v>
      </c>
      <c r="C55" s="2">
        <f>IFERROR(__xludf.DUMMYFUNCTION("""COMPUTED_VALUE"""),446.0)</f>
        <v>446</v>
      </c>
      <c r="D55" s="2">
        <f>IFERROR(__xludf.DUMMYFUNCTION("""COMPUTED_VALUE"""),416.0)</f>
        <v>416</v>
      </c>
      <c r="E55" s="2">
        <f>IFERROR(__xludf.DUMMYFUNCTION("""COMPUTED_VALUE"""),416.0)</f>
        <v>416</v>
      </c>
      <c r="F55" s="2">
        <f>IFERROR(__xludf.DUMMYFUNCTION("""COMPUTED_VALUE"""),4.51238E7)</f>
        <v>45123800</v>
      </c>
      <c r="G55" s="2">
        <f t="shared" si="1"/>
        <v>30</v>
      </c>
    </row>
    <row r="56" ht="15.75" customHeight="1">
      <c r="A56" s="1">
        <f>IFERROR(__xludf.DUMMYFUNCTION("""COMPUTED_VALUE"""),43908.66666666667)</f>
        <v>43908.66667</v>
      </c>
      <c r="B56" s="2">
        <f>IFERROR(__xludf.DUMMYFUNCTION("""COMPUTED_VALUE"""),398.0)</f>
        <v>398</v>
      </c>
      <c r="C56" s="2">
        <f>IFERROR(__xludf.DUMMYFUNCTION("""COMPUTED_VALUE"""),410.0)</f>
        <v>410</v>
      </c>
      <c r="D56" s="2">
        <f>IFERROR(__xludf.DUMMYFUNCTION("""COMPUTED_VALUE"""),388.0)</f>
        <v>388</v>
      </c>
      <c r="E56" s="2">
        <f>IFERROR(__xludf.DUMMYFUNCTION("""COMPUTED_VALUE"""),388.0)</f>
        <v>388</v>
      </c>
      <c r="F56" s="2">
        <f>IFERROR(__xludf.DUMMYFUNCTION("""COMPUTED_VALUE"""),7.87901E7)</f>
        <v>78790100</v>
      </c>
      <c r="G56" s="2">
        <f t="shared" si="1"/>
        <v>28</v>
      </c>
    </row>
    <row r="57" ht="15.75" customHeight="1">
      <c r="A57" s="1">
        <f>IFERROR(__xludf.DUMMYFUNCTION("""COMPUTED_VALUE"""),43909.66666666667)</f>
        <v>43909.66667</v>
      </c>
      <c r="B57" s="2">
        <f>IFERROR(__xludf.DUMMYFUNCTION("""COMPUTED_VALUE"""),362.0)</f>
        <v>362</v>
      </c>
      <c r="C57" s="2">
        <f>IFERROR(__xludf.DUMMYFUNCTION("""COMPUTED_VALUE"""),364.0)</f>
        <v>364</v>
      </c>
      <c r="D57" s="2">
        <f>IFERROR(__xludf.DUMMYFUNCTION("""COMPUTED_VALUE"""),362.0)</f>
        <v>362</v>
      </c>
      <c r="E57" s="2">
        <f>IFERROR(__xludf.DUMMYFUNCTION("""COMPUTED_VALUE"""),362.0)</f>
        <v>362</v>
      </c>
      <c r="F57" s="2">
        <f>IFERROR(__xludf.DUMMYFUNCTION("""COMPUTED_VALUE"""),8977100.0)</f>
        <v>8977100</v>
      </c>
      <c r="G57" s="2">
        <f t="shared" si="1"/>
        <v>26</v>
      </c>
    </row>
    <row r="58" ht="15.75" customHeight="1">
      <c r="A58" s="1">
        <f>IFERROR(__xludf.DUMMYFUNCTION("""COMPUTED_VALUE"""),43910.66666666667)</f>
        <v>43910.66667</v>
      </c>
      <c r="B58" s="2">
        <f>IFERROR(__xludf.DUMMYFUNCTION("""COMPUTED_VALUE"""),360.0)</f>
        <v>360</v>
      </c>
      <c r="C58" s="2">
        <f>IFERROR(__xludf.DUMMYFUNCTION("""COMPUTED_VALUE"""),386.0)</f>
        <v>386</v>
      </c>
      <c r="D58" s="2">
        <f>IFERROR(__xludf.DUMMYFUNCTION("""COMPUTED_VALUE"""),338.0)</f>
        <v>338</v>
      </c>
      <c r="E58" s="2">
        <f>IFERROR(__xludf.DUMMYFUNCTION("""COMPUTED_VALUE"""),374.0)</f>
        <v>374</v>
      </c>
      <c r="F58" s="2">
        <f>IFERROR(__xludf.DUMMYFUNCTION("""COMPUTED_VALUE"""),1.647064E8)</f>
        <v>164706400</v>
      </c>
      <c r="G58" s="2">
        <f t="shared" si="1"/>
        <v>48</v>
      </c>
    </row>
    <row r="59" ht="15.75" customHeight="1">
      <c r="A59" s="1">
        <f>IFERROR(__xludf.DUMMYFUNCTION("""COMPUTED_VALUE"""),43913.66666666667)</f>
        <v>43913.66667</v>
      </c>
      <c r="B59" s="2">
        <f>IFERROR(__xludf.DUMMYFUNCTION("""COMPUTED_VALUE"""),370.0)</f>
        <v>370</v>
      </c>
      <c r="C59" s="2">
        <f>IFERROR(__xludf.DUMMYFUNCTION("""COMPUTED_VALUE"""),370.0)</f>
        <v>370</v>
      </c>
      <c r="D59" s="2">
        <f>IFERROR(__xludf.DUMMYFUNCTION("""COMPUTED_VALUE"""),348.0)</f>
        <v>348</v>
      </c>
      <c r="E59" s="2">
        <f>IFERROR(__xludf.DUMMYFUNCTION("""COMPUTED_VALUE"""),348.0)</f>
        <v>348</v>
      </c>
      <c r="F59" s="2">
        <f>IFERROR(__xludf.DUMMYFUNCTION("""COMPUTED_VALUE"""),9.01367E7)</f>
        <v>90136700</v>
      </c>
      <c r="G59" s="2">
        <f t="shared" si="1"/>
        <v>26</v>
      </c>
    </row>
    <row r="60" ht="15.75" customHeight="1">
      <c r="A60" s="1">
        <f>IFERROR(__xludf.DUMMYFUNCTION("""COMPUTED_VALUE"""),43914.66666666667)</f>
        <v>43914.66667</v>
      </c>
      <c r="B60" s="2">
        <f>IFERROR(__xludf.DUMMYFUNCTION("""COMPUTED_VALUE"""),348.0)</f>
        <v>348</v>
      </c>
      <c r="C60" s="2">
        <f>IFERROR(__xludf.DUMMYFUNCTION("""COMPUTED_VALUE"""),374.0)</f>
        <v>374</v>
      </c>
      <c r="D60" s="2">
        <f>IFERROR(__xludf.DUMMYFUNCTION("""COMPUTED_VALUE"""),340.0)</f>
        <v>340</v>
      </c>
      <c r="E60" s="2">
        <f>IFERROR(__xludf.DUMMYFUNCTION("""COMPUTED_VALUE"""),364.0)</f>
        <v>364</v>
      </c>
      <c r="F60" s="2">
        <f>IFERROR(__xludf.DUMMYFUNCTION("""COMPUTED_VALUE"""),1.551411E8)</f>
        <v>155141100</v>
      </c>
      <c r="G60" s="2">
        <f t="shared" si="1"/>
        <v>34</v>
      </c>
    </row>
    <row r="61" ht="15.75" customHeight="1">
      <c r="A61" s="1">
        <f>IFERROR(__xludf.DUMMYFUNCTION("""COMPUTED_VALUE"""),43916.66666666667)</f>
        <v>43916.66667</v>
      </c>
      <c r="B61" s="2">
        <f>IFERROR(__xludf.DUMMYFUNCTION("""COMPUTED_VALUE"""),366.0)</f>
        <v>366</v>
      </c>
      <c r="C61" s="2">
        <f>IFERROR(__xludf.DUMMYFUNCTION("""COMPUTED_VALUE"""),432.0)</f>
        <v>432</v>
      </c>
      <c r="D61" s="2">
        <f>IFERROR(__xludf.DUMMYFUNCTION("""COMPUTED_VALUE"""),366.0)</f>
        <v>366</v>
      </c>
      <c r="E61" s="2">
        <f>IFERROR(__xludf.DUMMYFUNCTION("""COMPUTED_VALUE"""),416.0)</f>
        <v>416</v>
      </c>
      <c r="F61" s="2">
        <f>IFERROR(__xludf.DUMMYFUNCTION("""COMPUTED_VALUE"""),2.672482E8)</f>
        <v>267248200</v>
      </c>
      <c r="G61" s="2">
        <f t="shared" si="1"/>
        <v>68</v>
      </c>
    </row>
    <row r="62" ht="15.75" customHeight="1">
      <c r="A62" s="1">
        <f>IFERROR(__xludf.DUMMYFUNCTION("""COMPUTED_VALUE"""),43917.66666666667)</f>
        <v>43917.66667</v>
      </c>
      <c r="B62" s="2">
        <f>IFERROR(__xludf.DUMMYFUNCTION("""COMPUTED_VALUE"""),432.0)</f>
        <v>432</v>
      </c>
      <c r="C62" s="2">
        <f>IFERROR(__xludf.DUMMYFUNCTION("""COMPUTED_VALUE"""),505.0)</f>
        <v>505</v>
      </c>
      <c r="D62" s="2">
        <f>IFERROR(__xludf.DUMMYFUNCTION("""COMPUTED_VALUE"""),426.0)</f>
        <v>426</v>
      </c>
      <c r="E62" s="2">
        <f>IFERROR(__xludf.DUMMYFUNCTION("""COMPUTED_VALUE"""),460.0)</f>
        <v>460</v>
      </c>
      <c r="F62" s="2">
        <f>IFERROR(__xludf.DUMMYFUNCTION("""COMPUTED_VALUE"""),2.927871E8)</f>
        <v>292787100</v>
      </c>
      <c r="G62" s="2">
        <f t="shared" si="1"/>
        <v>89</v>
      </c>
    </row>
    <row r="63" ht="15.75" customHeight="1">
      <c r="A63" s="1">
        <f>IFERROR(__xludf.DUMMYFUNCTION("""COMPUTED_VALUE"""),43920.66666666667)</f>
        <v>43920.66667</v>
      </c>
      <c r="B63" s="2">
        <f>IFERROR(__xludf.DUMMYFUNCTION("""COMPUTED_VALUE"""),450.0)</f>
        <v>450</v>
      </c>
      <c r="C63" s="2">
        <f>IFERROR(__xludf.DUMMYFUNCTION("""COMPUTED_VALUE"""),460.0)</f>
        <v>460</v>
      </c>
      <c r="D63" s="2">
        <f>IFERROR(__xludf.DUMMYFUNCTION("""COMPUTED_VALUE"""),428.0)</f>
        <v>428</v>
      </c>
      <c r="E63" s="2">
        <f>IFERROR(__xludf.DUMMYFUNCTION("""COMPUTED_VALUE"""),432.0)</f>
        <v>432</v>
      </c>
      <c r="F63" s="2">
        <f>IFERROR(__xludf.DUMMYFUNCTION("""COMPUTED_VALUE"""),7.46512E7)</f>
        <v>74651200</v>
      </c>
      <c r="G63" s="2">
        <f t="shared" si="1"/>
        <v>32</v>
      </c>
    </row>
    <row r="64" ht="15.75" customHeight="1">
      <c r="A64" s="1">
        <f>IFERROR(__xludf.DUMMYFUNCTION("""COMPUTED_VALUE"""),43921.66666666667)</f>
        <v>43921.66667</v>
      </c>
      <c r="B64" s="2">
        <f>IFERROR(__xludf.DUMMYFUNCTION("""COMPUTED_VALUE"""),440.0)</f>
        <v>440</v>
      </c>
      <c r="C64" s="2">
        <f>IFERROR(__xludf.DUMMYFUNCTION("""COMPUTED_VALUE"""),464.0)</f>
        <v>464</v>
      </c>
      <c r="D64" s="2">
        <f>IFERROR(__xludf.DUMMYFUNCTION("""COMPUTED_VALUE"""),434.0)</f>
        <v>434</v>
      </c>
      <c r="E64" s="2">
        <f>IFERROR(__xludf.DUMMYFUNCTION("""COMPUTED_VALUE"""),450.0)</f>
        <v>450</v>
      </c>
      <c r="F64" s="2">
        <f>IFERROR(__xludf.DUMMYFUNCTION("""COMPUTED_VALUE"""),8.93065E7)</f>
        <v>89306500</v>
      </c>
      <c r="G64" s="2">
        <f t="shared" si="1"/>
        <v>32</v>
      </c>
    </row>
    <row r="65" ht="15.75" customHeight="1">
      <c r="A65" s="1">
        <f>IFERROR(__xludf.DUMMYFUNCTION("""COMPUTED_VALUE"""),43922.66666666667)</f>
        <v>43922.66667</v>
      </c>
      <c r="B65" s="2">
        <f>IFERROR(__xludf.DUMMYFUNCTION("""COMPUTED_VALUE"""),450.0)</f>
        <v>450</v>
      </c>
      <c r="C65" s="2">
        <f>IFERROR(__xludf.DUMMYFUNCTION("""COMPUTED_VALUE"""),462.0)</f>
        <v>462</v>
      </c>
      <c r="D65" s="2">
        <f>IFERROR(__xludf.DUMMYFUNCTION("""COMPUTED_VALUE"""),434.0)</f>
        <v>434</v>
      </c>
      <c r="E65" s="2">
        <f>IFERROR(__xludf.DUMMYFUNCTION("""COMPUTED_VALUE"""),436.0)</f>
        <v>436</v>
      </c>
      <c r="F65" s="2">
        <f>IFERROR(__xludf.DUMMYFUNCTION("""COMPUTED_VALUE"""),8.12247E7)</f>
        <v>81224700</v>
      </c>
      <c r="G65" s="2">
        <f t="shared" si="1"/>
        <v>28</v>
      </c>
    </row>
    <row r="66" ht="15.75" customHeight="1">
      <c r="A66" s="1">
        <f>IFERROR(__xludf.DUMMYFUNCTION("""COMPUTED_VALUE"""),43923.66666666667)</f>
        <v>43923.66667</v>
      </c>
      <c r="B66" s="2">
        <f>IFERROR(__xludf.DUMMYFUNCTION("""COMPUTED_VALUE"""),436.0)</f>
        <v>436</v>
      </c>
      <c r="C66" s="2">
        <f>IFERROR(__xludf.DUMMYFUNCTION("""COMPUTED_VALUE"""),454.0)</f>
        <v>454</v>
      </c>
      <c r="D66" s="2">
        <f>IFERROR(__xludf.DUMMYFUNCTION("""COMPUTED_VALUE"""),424.0)</f>
        <v>424</v>
      </c>
      <c r="E66" s="2">
        <f>IFERROR(__xludf.DUMMYFUNCTION("""COMPUTED_VALUE"""),452.0)</f>
        <v>452</v>
      </c>
      <c r="F66" s="2">
        <f>IFERROR(__xludf.DUMMYFUNCTION("""COMPUTED_VALUE"""),8.35771E7)</f>
        <v>83577100</v>
      </c>
      <c r="G66" s="2">
        <f t="shared" si="1"/>
        <v>30</v>
      </c>
    </row>
    <row r="67" ht="15.75" customHeight="1">
      <c r="A67" s="1">
        <f>IFERROR(__xludf.DUMMYFUNCTION("""COMPUTED_VALUE"""),43924.66666666667)</f>
        <v>43924.66667</v>
      </c>
      <c r="B67" s="2">
        <f>IFERROR(__xludf.DUMMYFUNCTION("""COMPUTED_VALUE"""),458.0)</f>
        <v>458</v>
      </c>
      <c r="C67" s="2">
        <f>IFERROR(__xludf.DUMMYFUNCTION("""COMPUTED_VALUE"""),472.0)</f>
        <v>472</v>
      </c>
      <c r="D67" s="2">
        <f>IFERROR(__xludf.DUMMYFUNCTION("""COMPUTED_VALUE"""),450.0)</f>
        <v>450</v>
      </c>
      <c r="E67" s="2">
        <f>IFERROR(__xludf.DUMMYFUNCTION("""COMPUTED_VALUE"""),464.0)</f>
        <v>464</v>
      </c>
      <c r="F67" s="2">
        <f>IFERROR(__xludf.DUMMYFUNCTION("""COMPUTED_VALUE"""),1.157282E8)</f>
        <v>115728200</v>
      </c>
      <c r="G67" s="2">
        <f t="shared" si="1"/>
        <v>22</v>
      </c>
    </row>
    <row r="68" ht="15.75" customHeight="1">
      <c r="A68" s="1">
        <f>IFERROR(__xludf.DUMMYFUNCTION("""COMPUTED_VALUE"""),43927.66666666667)</f>
        <v>43927.66667</v>
      </c>
      <c r="B68" s="2">
        <f>IFERROR(__xludf.DUMMYFUNCTION("""COMPUTED_VALUE"""),466.0)</f>
        <v>466</v>
      </c>
      <c r="C68" s="2">
        <f>IFERROR(__xludf.DUMMYFUNCTION("""COMPUTED_VALUE"""),540.0)</f>
        <v>540</v>
      </c>
      <c r="D68" s="2">
        <f>IFERROR(__xludf.DUMMYFUNCTION("""COMPUTED_VALUE"""),466.0)</f>
        <v>466</v>
      </c>
      <c r="E68" s="2">
        <f>IFERROR(__xludf.DUMMYFUNCTION("""COMPUTED_VALUE"""),540.0)</f>
        <v>540</v>
      </c>
      <c r="F68" s="2">
        <f>IFERROR(__xludf.DUMMYFUNCTION("""COMPUTED_VALUE"""),2.248705E8)</f>
        <v>224870500</v>
      </c>
      <c r="G68" s="2">
        <f t="shared" si="1"/>
        <v>76</v>
      </c>
    </row>
    <row r="69" ht="15.75" customHeight="1">
      <c r="A69" s="1">
        <f>IFERROR(__xludf.DUMMYFUNCTION("""COMPUTED_VALUE"""),43928.66666666667)</f>
        <v>43928.66667</v>
      </c>
      <c r="B69" s="2">
        <f>IFERROR(__xludf.DUMMYFUNCTION("""COMPUTED_VALUE"""),580.0)</f>
        <v>580</v>
      </c>
      <c r="C69" s="2">
        <f>IFERROR(__xludf.DUMMYFUNCTION("""COMPUTED_VALUE"""),590.0)</f>
        <v>590</v>
      </c>
      <c r="D69" s="2">
        <f>IFERROR(__xludf.DUMMYFUNCTION("""COMPUTED_VALUE"""),520.0)</f>
        <v>520</v>
      </c>
      <c r="E69" s="2">
        <f>IFERROR(__xludf.DUMMYFUNCTION("""COMPUTED_VALUE"""),555.0)</f>
        <v>555</v>
      </c>
      <c r="F69" s="2">
        <f>IFERROR(__xludf.DUMMYFUNCTION("""COMPUTED_VALUE"""),2.564137E8)</f>
        <v>256413700</v>
      </c>
      <c r="G69" s="2">
        <f t="shared" si="1"/>
        <v>70</v>
      </c>
    </row>
    <row r="70" ht="15.75" customHeight="1">
      <c r="A70" s="1">
        <f>IFERROR(__xludf.DUMMYFUNCTION("""COMPUTED_VALUE"""),43929.66666666667)</f>
        <v>43929.66667</v>
      </c>
      <c r="B70" s="2">
        <f>IFERROR(__xludf.DUMMYFUNCTION("""COMPUTED_VALUE"""),555.0)</f>
        <v>555</v>
      </c>
      <c r="C70" s="2">
        <f>IFERROR(__xludf.DUMMYFUNCTION("""COMPUTED_VALUE"""),555.0)</f>
        <v>555</v>
      </c>
      <c r="D70" s="2">
        <f>IFERROR(__xludf.DUMMYFUNCTION("""COMPUTED_VALUE"""),520.0)</f>
        <v>520</v>
      </c>
      <c r="E70" s="2">
        <f>IFERROR(__xludf.DUMMYFUNCTION("""COMPUTED_VALUE"""),520.0)</f>
        <v>520</v>
      </c>
      <c r="F70" s="2">
        <f>IFERROR(__xludf.DUMMYFUNCTION("""COMPUTED_VALUE"""),9.00303E7)</f>
        <v>90030300</v>
      </c>
      <c r="G70" s="2">
        <f t="shared" si="1"/>
        <v>35</v>
      </c>
    </row>
    <row r="71" ht="15.75" customHeight="1">
      <c r="A71" s="1">
        <f>IFERROR(__xludf.DUMMYFUNCTION("""COMPUTED_VALUE"""),43930.66666666667)</f>
        <v>43930.66667</v>
      </c>
      <c r="B71" s="2">
        <f>IFERROR(__xludf.DUMMYFUNCTION("""COMPUTED_VALUE"""),510.0)</f>
        <v>510</v>
      </c>
      <c r="C71" s="2">
        <f>IFERROR(__xludf.DUMMYFUNCTION("""COMPUTED_VALUE"""),540.0)</f>
        <v>540</v>
      </c>
      <c r="D71" s="2">
        <f>IFERROR(__xludf.DUMMYFUNCTION("""COMPUTED_VALUE"""),492.0)</f>
        <v>492</v>
      </c>
      <c r="E71" s="2">
        <f>IFERROR(__xludf.DUMMYFUNCTION("""COMPUTED_VALUE"""),520.0)</f>
        <v>520</v>
      </c>
      <c r="F71" s="2">
        <f>IFERROR(__xludf.DUMMYFUNCTION("""COMPUTED_VALUE"""),1.056236E8)</f>
        <v>105623600</v>
      </c>
      <c r="G71" s="2">
        <f t="shared" si="1"/>
        <v>48</v>
      </c>
    </row>
    <row r="72" ht="15.75" customHeight="1">
      <c r="A72" s="1">
        <f>IFERROR(__xludf.DUMMYFUNCTION("""COMPUTED_VALUE"""),43934.66666666667)</f>
        <v>43934.66667</v>
      </c>
      <c r="B72" s="2">
        <f>IFERROR(__xludf.DUMMYFUNCTION("""COMPUTED_VALUE"""),520.0)</f>
        <v>520</v>
      </c>
      <c r="C72" s="2">
        <f>IFERROR(__xludf.DUMMYFUNCTION("""COMPUTED_VALUE"""),555.0)</f>
        <v>555</v>
      </c>
      <c r="D72" s="2">
        <f>IFERROR(__xludf.DUMMYFUNCTION("""COMPUTED_VALUE"""),510.0)</f>
        <v>510</v>
      </c>
      <c r="E72" s="2">
        <f>IFERROR(__xludf.DUMMYFUNCTION("""COMPUTED_VALUE"""),535.0)</f>
        <v>535</v>
      </c>
      <c r="F72" s="2">
        <f>IFERROR(__xludf.DUMMYFUNCTION("""COMPUTED_VALUE"""),7.22406E7)</f>
        <v>72240600</v>
      </c>
      <c r="G72" s="2">
        <f t="shared" si="1"/>
        <v>45</v>
      </c>
    </row>
    <row r="73" ht="15.75" customHeight="1">
      <c r="A73" s="1">
        <f>IFERROR(__xludf.DUMMYFUNCTION("""COMPUTED_VALUE"""),43935.66666666667)</f>
        <v>43935.66667</v>
      </c>
      <c r="B73" s="2">
        <f>IFERROR(__xludf.DUMMYFUNCTION("""COMPUTED_VALUE"""),550.0)</f>
        <v>550</v>
      </c>
      <c r="C73" s="2">
        <f>IFERROR(__xludf.DUMMYFUNCTION("""COMPUTED_VALUE"""),560.0)</f>
        <v>560</v>
      </c>
      <c r="D73" s="2">
        <f>IFERROR(__xludf.DUMMYFUNCTION("""COMPUTED_VALUE"""),540.0)</f>
        <v>540</v>
      </c>
      <c r="E73" s="2">
        <f>IFERROR(__xludf.DUMMYFUNCTION("""COMPUTED_VALUE"""),555.0)</f>
        <v>555</v>
      </c>
      <c r="F73" s="2">
        <f>IFERROR(__xludf.DUMMYFUNCTION("""COMPUTED_VALUE"""),8.4352E7)</f>
        <v>84352000</v>
      </c>
      <c r="G73" s="2">
        <f t="shared" si="1"/>
        <v>25</v>
      </c>
    </row>
    <row r="74" ht="15.75" customHeight="1">
      <c r="A74" s="1">
        <f>IFERROR(__xludf.DUMMYFUNCTION("""COMPUTED_VALUE"""),43936.66666666667)</f>
        <v>43936.66667</v>
      </c>
      <c r="B74" s="2">
        <f>IFERROR(__xludf.DUMMYFUNCTION("""COMPUTED_VALUE"""),560.0)</f>
        <v>560</v>
      </c>
      <c r="C74" s="2">
        <f>IFERROR(__xludf.DUMMYFUNCTION("""COMPUTED_VALUE"""),565.0)</f>
        <v>565</v>
      </c>
      <c r="D74" s="2">
        <f>IFERROR(__xludf.DUMMYFUNCTION("""COMPUTED_VALUE"""),525.0)</f>
        <v>525</v>
      </c>
      <c r="E74" s="2">
        <f>IFERROR(__xludf.DUMMYFUNCTION("""COMPUTED_VALUE"""),525.0)</f>
        <v>525</v>
      </c>
      <c r="F74" s="2">
        <f>IFERROR(__xludf.DUMMYFUNCTION("""COMPUTED_VALUE"""),8.79617E7)</f>
        <v>87961700</v>
      </c>
      <c r="G74" s="2">
        <f t="shared" si="1"/>
        <v>40</v>
      </c>
    </row>
    <row r="75" ht="15.75" customHeight="1">
      <c r="A75" s="1">
        <f>IFERROR(__xludf.DUMMYFUNCTION("""COMPUTED_VALUE"""),43937.66666666667)</f>
        <v>43937.66667</v>
      </c>
      <c r="B75" s="2">
        <f>IFERROR(__xludf.DUMMYFUNCTION("""COMPUTED_VALUE"""),535.0)</f>
        <v>535</v>
      </c>
      <c r="C75" s="2">
        <f>IFERROR(__xludf.DUMMYFUNCTION("""COMPUTED_VALUE"""),535.0)</f>
        <v>535</v>
      </c>
      <c r="D75" s="2">
        <f>IFERROR(__xludf.DUMMYFUNCTION("""COMPUTED_VALUE"""),494.0)</f>
        <v>494</v>
      </c>
      <c r="E75" s="2">
        <f>IFERROR(__xludf.DUMMYFUNCTION("""COMPUTED_VALUE"""),505.0)</f>
        <v>505</v>
      </c>
      <c r="F75" s="2">
        <f>IFERROR(__xludf.DUMMYFUNCTION("""COMPUTED_VALUE"""),1.00312E8)</f>
        <v>100312000</v>
      </c>
      <c r="G75" s="2">
        <f t="shared" si="1"/>
        <v>41</v>
      </c>
    </row>
    <row r="76" ht="15.75" customHeight="1">
      <c r="A76" s="1">
        <f>IFERROR(__xludf.DUMMYFUNCTION("""COMPUTED_VALUE"""),43938.66666666667)</f>
        <v>43938.66667</v>
      </c>
      <c r="B76" s="2">
        <f>IFERROR(__xludf.DUMMYFUNCTION("""COMPUTED_VALUE"""),520.0)</f>
        <v>520</v>
      </c>
      <c r="C76" s="2">
        <f>IFERROR(__xludf.DUMMYFUNCTION("""COMPUTED_VALUE"""),530.0)</f>
        <v>530</v>
      </c>
      <c r="D76" s="2">
        <f>IFERROR(__xludf.DUMMYFUNCTION("""COMPUTED_VALUE"""),500.0)</f>
        <v>500</v>
      </c>
      <c r="E76" s="2">
        <f>IFERROR(__xludf.DUMMYFUNCTION("""COMPUTED_VALUE"""),520.0)</f>
        <v>520</v>
      </c>
      <c r="F76" s="2">
        <f>IFERROR(__xludf.DUMMYFUNCTION("""COMPUTED_VALUE"""),9.47597E7)</f>
        <v>94759700</v>
      </c>
      <c r="G76" s="2">
        <f t="shared" si="1"/>
        <v>30</v>
      </c>
    </row>
    <row r="77" ht="15.75" customHeight="1">
      <c r="A77" s="1">
        <f>IFERROR(__xludf.DUMMYFUNCTION("""COMPUTED_VALUE"""),43941.66666666667)</f>
        <v>43941.66667</v>
      </c>
      <c r="B77" s="2">
        <f>IFERROR(__xludf.DUMMYFUNCTION("""COMPUTED_VALUE"""),515.0)</f>
        <v>515</v>
      </c>
      <c r="C77" s="2">
        <f>IFERROR(__xludf.DUMMYFUNCTION("""COMPUTED_VALUE"""),520.0)</f>
        <v>520</v>
      </c>
      <c r="D77" s="2">
        <f>IFERROR(__xludf.DUMMYFUNCTION("""COMPUTED_VALUE"""),496.0)</f>
        <v>496</v>
      </c>
      <c r="E77" s="2">
        <f>IFERROR(__xludf.DUMMYFUNCTION("""COMPUTED_VALUE"""),500.0)</f>
        <v>500</v>
      </c>
      <c r="F77" s="2">
        <f>IFERROR(__xludf.DUMMYFUNCTION("""COMPUTED_VALUE"""),8.05463E7)</f>
        <v>80546300</v>
      </c>
      <c r="G77" s="2">
        <f t="shared" si="1"/>
        <v>24</v>
      </c>
    </row>
    <row r="78" ht="15.75" customHeight="1">
      <c r="A78" s="1">
        <f>IFERROR(__xludf.DUMMYFUNCTION("""COMPUTED_VALUE"""),43942.66666666667)</f>
        <v>43942.66667</v>
      </c>
      <c r="B78" s="2">
        <f>IFERROR(__xludf.DUMMYFUNCTION("""COMPUTED_VALUE"""),500.0)</f>
        <v>500</v>
      </c>
      <c r="C78" s="2">
        <f>IFERROR(__xludf.DUMMYFUNCTION("""COMPUTED_VALUE"""),500.0)</f>
        <v>500</v>
      </c>
      <c r="D78" s="2">
        <f>IFERROR(__xludf.DUMMYFUNCTION("""COMPUTED_VALUE"""),476.0)</f>
        <v>476</v>
      </c>
      <c r="E78" s="2">
        <f>IFERROR(__xludf.DUMMYFUNCTION("""COMPUTED_VALUE"""),482.0)</f>
        <v>482</v>
      </c>
      <c r="F78" s="2">
        <f>IFERROR(__xludf.DUMMYFUNCTION("""COMPUTED_VALUE"""),9.20651E7)</f>
        <v>92065100</v>
      </c>
      <c r="G78" s="2">
        <f t="shared" si="1"/>
        <v>24</v>
      </c>
    </row>
    <row r="79" ht="15.75" customHeight="1">
      <c r="A79" s="1">
        <f>IFERROR(__xludf.DUMMYFUNCTION("""COMPUTED_VALUE"""),43943.66666666667)</f>
        <v>43943.66667</v>
      </c>
      <c r="B79" s="2">
        <f>IFERROR(__xludf.DUMMYFUNCTION("""COMPUTED_VALUE"""),476.0)</f>
        <v>476</v>
      </c>
      <c r="C79" s="2">
        <f>IFERROR(__xludf.DUMMYFUNCTION("""COMPUTED_VALUE"""),496.0)</f>
        <v>496</v>
      </c>
      <c r="D79" s="2">
        <f>IFERROR(__xludf.DUMMYFUNCTION("""COMPUTED_VALUE"""),466.0)</f>
        <v>466</v>
      </c>
      <c r="E79" s="2">
        <f>IFERROR(__xludf.DUMMYFUNCTION("""COMPUTED_VALUE"""),492.0)</f>
        <v>492</v>
      </c>
      <c r="F79" s="2">
        <f>IFERROR(__xludf.DUMMYFUNCTION("""COMPUTED_VALUE"""),7.45837E7)</f>
        <v>74583700</v>
      </c>
      <c r="G79" s="2">
        <f t="shared" si="1"/>
        <v>30</v>
      </c>
    </row>
    <row r="80" ht="15.75" customHeight="1">
      <c r="A80" s="1">
        <f>IFERROR(__xludf.DUMMYFUNCTION("""COMPUTED_VALUE"""),43944.66666666667)</f>
        <v>43944.66667</v>
      </c>
      <c r="B80" s="2">
        <f>IFERROR(__xludf.DUMMYFUNCTION("""COMPUTED_VALUE"""),500.0)</f>
        <v>500</v>
      </c>
      <c r="C80" s="2">
        <f>IFERROR(__xludf.DUMMYFUNCTION("""COMPUTED_VALUE"""),505.0)</f>
        <v>505</v>
      </c>
      <c r="D80" s="2">
        <f>IFERROR(__xludf.DUMMYFUNCTION("""COMPUTED_VALUE"""),490.0)</f>
        <v>490</v>
      </c>
      <c r="E80" s="2">
        <f>IFERROR(__xludf.DUMMYFUNCTION("""COMPUTED_VALUE"""),498.0)</f>
        <v>498</v>
      </c>
      <c r="F80" s="2">
        <f>IFERROR(__xludf.DUMMYFUNCTION("""COMPUTED_VALUE"""),8.67608E7)</f>
        <v>86760800</v>
      </c>
      <c r="G80" s="2">
        <f t="shared" si="1"/>
        <v>15</v>
      </c>
    </row>
    <row r="81" ht="15.75" customHeight="1">
      <c r="A81" s="1">
        <f>IFERROR(__xludf.DUMMYFUNCTION("""COMPUTED_VALUE"""),43945.66666666667)</f>
        <v>43945.66667</v>
      </c>
      <c r="B81" s="2">
        <f>IFERROR(__xludf.DUMMYFUNCTION("""COMPUTED_VALUE"""),496.0)</f>
        <v>496</v>
      </c>
      <c r="C81" s="2">
        <f>IFERROR(__xludf.DUMMYFUNCTION("""COMPUTED_VALUE"""),515.0)</f>
        <v>515</v>
      </c>
      <c r="D81" s="2">
        <f>IFERROR(__xludf.DUMMYFUNCTION("""COMPUTED_VALUE"""),486.0)</f>
        <v>486</v>
      </c>
      <c r="E81" s="2">
        <f>IFERROR(__xludf.DUMMYFUNCTION("""COMPUTED_VALUE"""),494.0)</f>
        <v>494</v>
      </c>
      <c r="F81" s="2">
        <f>IFERROR(__xludf.DUMMYFUNCTION("""COMPUTED_VALUE"""),8.62753E7)</f>
        <v>86275300</v>
      </c>
      <c r="G81" s="2">
        <f t="shared" si="1"/>
        <v>29</v>
      </c>
    </row>
    <row r="82" ht="15.75" customHeight="1">
      <c r="A82" s="1">
        <f>IFERROR(__xludf.DUMMYFUNCTION("""COMPUTED_VALUE"""),43948.66666666667)</f>
        <v>43948.66667</v>
      </c>
      <c r="B82" s="2">
        <f>IFERROR(__xludf.DUMMYFUNCTION("""COMPUTED_VALUE"""),494.0)</f>
        <v>494</v>
      </c>
      <c r="C82" s="2">
        <f>IFERROR(__xludf.DUMMYFUNCTION("""COMPUTED_VALUE"""),510.0)</f>
        <v>510</v>
      </c>
      <c r="D82" s="2">
        <f>IFERROR(__xludf.DUMMYFUNCTION("""COMPUTED_VALUE"""),494.0)</f>
        <v>494</v>
      </c>
      <c r="E82" s="2">
        <f>IFERROR(__xludf.DUMMYFUNCTION("""COMPUTED_VALUE"""),505.0)</f>
        <v>505</v>
      </c>
      <c r="F82" s="2">
        <f>IFERROR(__xludf.DUMMYFUNCTION("""COMPUTED_VALUE"""),5.60626E7)</f>
        <v>56062600</v>
      </c>
      <c r="G82" s="2">
        <f t="shared" si="1"/>
        <v>16</v>
      </c>
    </row>
    <row r="83" ht="15.75" customHeight="1">
      <c r="A83" s="1">
        <f>IFERROR(__xludf.DUMMYFUNCTION("""COMPUTED_VALUE"""),43949.66666666667)</f>
        <v>43949.66667</v>
      </c>
      <c r="B83" s="2">
        <f>IFERROR(__xludf.DUMMYFUNCTION("""COMPUTED_VALUE"""),505.0)</f>
        <v>505</v>
      </c>
      <c r="C83" s="2">
        <f>IFERROR(__xludf.DUMMYFUNCTION("""COMPUTED_VALUE"""),510.0)</f>
        <v>510</v>
      </c>
      <c r="D83" s="2">
        <f>IFERROR(__xludf.DUMMYFUNCTION("""COMPUTED_VALUE"""),490.0)</f>
        <v>490</v>
      </c>
      <c r="E83" s="2">
        <f>IFERROR(__xludf.DUMMYFUNCTION("""COMPUTED_VALUE"""),492.0)</f>
        <v>492</v>
      </c>
      <c r="F83" s="2">
        <f>IFERROR(__xludf.DUMMYFUNCTION("""COMPUTED_VALUE"""),4.53881E7)</f>
        <v>45388100</v>
      </c>
      <c r="G83" s="2">
        <f t="shared" si="1"/>
        <v>20</v>
      </c>
    </row>
    <row r="84" ht="15.75" customHeight="1">
      <c r="A84" s="1">
        <f>IFERROR(__xludf.DUMMYFUNCTION("""COMPUTED_VALUE"""),43950.66666666667)</f>
        <v>43950.66667</v>
      </c>
      <c r="B84" s="2">
        <f>IFERROR(__xludf.DUMMYFUNCTION("""COMPUTED_VALUE"""),492.0)</f>
        <v>492</v>
      </c>
      <c r="C84" s="2">
        <f>IFERROR(__xludf.DUMMYFUNCTION("""COMPUTED_VALUE"""),500.0)</f>
        <v>500</v>
      </c>
      <c r="D84" s="2">
        <f>IFERROR(__xludf.DUMMYFUNCTION("""COMPUTED_VALUE"""),492.0)</f>
        <v>492</v>
      </c>
      <c r="E84" s="2">
        <f>IFERROR(__xludf.DUMMYFUNCTION("""COMPUTED_VALUE"""),498.0)</f>
        <v>498</v>
      </c>
      <c r="F84" s="2">
        <f>IFERROR(__xludf.DUMMYFUNCTION("""COMPUTED_VALUE"""),2.54924E7)</f>
        <v>25492400</v>
      </c>
      <c r="G84" s="2">
        <f t="shared" si="1"/>
        <v>8</v>
      </c>
    </row>
    <row r="85" ht="15.75" customHeight="1">
      <c r="A85" s="1">
        <f>IFERROR(__xludf.DUMMYFUNCTION("""COMPUTED_VALUE"""),43951.66666666667)</f>
        <v>43951.66667</v>
      </c>
      <c r="B85" s="2">
        <f>IFERROR(__xludf.DUMMYFUNCTION("""COMPUTED_VALUE"""),500.0)</f>
        <v>500</v>
      </c>
      <c r="C85" s="2">
        <f>IFERROR(__xludf.DUMMYFUNCTION("""COMPUTED_VALUE"""),525.0)</f>
        <v>525</v>
      </c>
      <c r="D85" s="2">
        <f>IFERROR(__xludf.DUMMYFUNCTION("""COMPUTED_VALUE"""),500.0)</f>
        <v>500</v>
      </c>
      <c r="E85" s="2">
        <f>IFERROR(__xludf.DUMMYFUNCTION("""COMPUTED_VALUE"""),510.0)</f>
        <v>510</v>
      </c>
      <c r="F85" s="2">
        <f>IFERROR(__xludf.DUMMYFUNCTION("""COMPUTED_VALUE"""),8.51747E7)</f>
        <v>85174700</v>
      </c>
      <c r="G85" s="2">
        <f t="shared" si="1"/>
        <v>27</v>
      </c>
    </row>
    <row r="86" ht="15.75" customHeight="1">
      <c r="A86" s="1">
        <f>IFERROR(__xludf.DUMMYFUNCTION("""COMPUTED_VALUE"""),43955.66666666667)</f>
        <v>43955.66667</v>
      </c>
      <c r="B86" s="2">
        <f>IFERROR(__xludf.DUMMYFUNCTION("""COMPUTED_VALUE"""),490.0)</f>
        <v>490</v>
      </c>
      <c r="C86" s="2">
        <f>IFERROR(__xludf.DUMMYFUNCTION("""COMPUTED_VALUE"""),505.0)</f>
        <v>505</v>
      </c>
      <c r="D86" s="2">
        <f>IFERROR(__xludf.DUMMYFUNCTION("""COMPUTED_VALUE"""),484.0)</f>
        <v>484</v>
      </c>
      <c r="E86" s="2">
        <f>IFERROR(__xludf.DUMMYFUNCTION("""COMPUTED_VALUE"""),494.0)</f>
        <v>494</v>
      </c>
      <c r="F86" s="2">
        <f>IFERROR(__xludf.DUMMYFUNCTION("""COMPUTED_VALUE"""),6.41584E7)</f>
        <v>64158400</v>
      </c>
      <c r="G86" s="2">
        <f t="shared" si="1"/>
        <v>26</v>
      </c>
    </row>
    <row r="87" ht="15.75" customHeight="1">
      <c r="A87" s="1">
        <f>IFERROR(__xludf.DUMMYFUNCTION("""COMPUTED_VALUE"""),43956.66666666667)</f>
        <v>43956.66667</v>
      </c>
      <c r="B87" s="2">
        <f>IFERROR(__xludf.DUMMYFUNCTION("""COMPUTED_VALUE"""),500.0)</f>
        <v>500</v>
      </c>
      <c r="C87" s="2">
        <f>IFERROR(__xludf.DUMMYFUNCTION("""COMPUTED_VALUE"""),505.0)</f>
        <v>505</v>
      </c>
      <c r="D87" s="2">
        <f>IFERROR(__xludf.DUMMYFUNCTION("""COMPUTED_VALUE"""),494.0)</f>
        <v>494</v>
      </c>
      <c r="E87" s="2">
        <f>IFERROR(__xludf.DUMMYFUNCTION("""COMPUTED_VALUE"""),500.0)</f>
        <v>500</v>
      </c>
      <c r="F87" s="2">
        <f>IFERROR(__xludf.DUMMYFUNCTION("""COMPUTED_VALUE"""),3.79042E7)</f>
        <v>37904200</v>
      </c>
      <c r="G87" s="2">
        <f t="shared" si="1"/>
        <v>11</v>
      </c>
    </row>
    <row r="88" ht="15.75" customHeight="1">
      <c r="A88" s="1">
        <f>IFERROR(__xludf.DUMMYFUNCTION("""COMPUTED_VALUE"""),43957.66666666667)</f>
        <v>43957.66667</v>
      </c>
      <c r="B88" s="2">
        <f>IFERROR(__xludf.DUMMYFUNCTION("""COMPUTED_VALUE"""),505.0)</f>
        <v>505</v>
      </c>
      <c r="C88" s="2">
        <f>IFERROR(__xludf.DUMMYFUNCTION("""COMPUTED_VALUE"""),510.0)</f>
        <v>510</v>
      </c>
      <c r="D88" s="2">
        <f>IFERROR(__xludf.DUMMYFUNCTION("""COMPUTED_VALUE"""),498.0)</f>
        <v>498</v>
      </c>
      <c r="E88" s="2">
        <f>IFERROR(__xludf.DUMMYFUNCTION("""COMPUTED_VALUE"""),500.0)</f>
        <v>500</v>
      </c>
      <c r="F88" s="2">
        <f>IFERROR(__xludf.DUMMYFUNCTION("""COMPUTED_VALUE"""),4.05117E7)</f>
        <v>40511700</v>
      </c>
      <c r="G88" s="2">
        <f t="shared" si="1"/>
        <v>12</v>
      </c>
    </row>
    <row r="89" ht="15.75" customHeight="1">
      <c r="A89" s="1">
        <f>IFERROR(__xludf.DUMMYFUNCTION("""COMPUTED_VALUE"""),43959.66666666667)</f>
        <v>43959.66667</v>
      </c>
      <c r="B89" s="2">
        <f>IFERROR(__xludf.DUMMYFUNCTION("""COMPUTED_VALUE"""),505.0)</f>
        <v>505</v>
      </c>
      <c r="C89" s="2">
        <f>IFERROR(__xludf.DUMMYFUNCTION("""COMPUTED_VALUE"""),540.0)</f>
        <v>540</v>
      </c>
      <c r="D89" s="2">
        <f>IFERROR(__xludf.DUMMYFUNCTION("""COMPUTED_VALUE"""),500.0)</f>
        <v>500</v>
      </c>
      <c r="E89" s="2">
        <f>IFERROR(__xludf.DUMMYFUNCTION("""COMPUTED_VALUE"""),535.0)</f>
        <v>535</v>
      </c>
      <c r="F89" s="2">
        <f>IFERROR(__xludf.DUMMYFUNCTION("""COMPUTED_VALUE"""),1.850615E8)</f>
        <v>185061500</v>
      </c>
      <c r="G89" s="2">
        <f t="shared" si="1"/>
        <v>40</v>
      </c>
    </row>
    <row r="90" ht="15.75" customHeight="1">
      <c r="A90" s="1">
        <f>IFERROR(__xludf.DUMMYFUNCTION("""COMPUTED_VALUE"""),43962.66666666667)</f>
        <v>43962.66667</v>
      </c>
      <c r="B90" s="2">
        <f>IFERROR(__xludf.DUMMYFUNCTION("""COMPUTED_VALUE"""),545.0)</f>
        <v>545</v>
      </c>
      <c r="C90" s="2">
        <f>IFERROR(__xludf.DUMMYFUNCTION("""COMPUTED_VALUE"""),555.0)</f>
        <v>555</v>
      </c>
      <c r="D90" s="2">
        <f>IFERROR(__xludf.DUMMYFUNCTION("""COMPUTED_VALUE"""),530.0)</f>
        <v>530</v>
      </c>
      <c r="E90" s="2">
        <f>IFERROR(__xludf.DUMMYFUNCTION("""COMPUTED_VALUE"""),530.0)</f>
        <v>530</v>
      </c>
      <c r="F90" s="2">
        <f>IFERROR(__xludf.DUMMYFUNCTION("""COMPUTED_VALUE"""),1.133817E8)</f>
        <v>113381700</v>
      </c>
      <c r="G90" s="2">
        <f t="shared" si="1"/>
        <v>25</v>
      </c>
    </row>
    <row r="91" ht="15.75" customHeight="1">
      <c r="A91" s="1">
        <f>IFERROR(__xludf.DUMMYFUNCTION("""COMPUTED_VALUE"""),43963.66666666667)</f>
        <v>43963.66667</v>
      </c>
      <c r="B91" s="2">
        <f>IFERROR(__xludf.DUMMYFUNCTION("""COMPUTED_VALUE"""),525.0)</f>
        <v>525</v>
      </c>
      <c r="C91" s="2">
        <f>IFERROR(__xludf.DUMMYFUNCTION("""COMPUTED_VALUE"""),530.0)</f>
        <v>530</v>
      </c>
      <c r="D91" s="2">
        <f>IFERROR(__xludf.DUMMYFUNCTION("""COMPUTED_VALUE"""),510.0)</f>
        <v>510</v>
      </c>
      <c r="E91" s="2">
        <f>IFERROR(__xludf.DUMMYFUNCTION("""COMPUTED_VALUE"""),515.0)</f>
        <v>515</v>
      </c>
      <c r="F91" s="2">
        <f>IFERROR(__xludf.DUMMYFUNCTION("""COMPUTED_VALUE"""),4.70485E7)</f>
        <v>47048500</v>
      </c>
      <c r="G91" s="2">
        <f t="shared" si="1"/>
        <v>20</v>
      </c>
    </row>
    <row r="92" ht="15.75" customHeight="1">
      <c r="A92" s="1">
        <f>IFERROR(__xludf.DUMMYFUNCTION("""COMPUTED_VALUE"""),43964.66666666667)</f>
        <v>43964.66667</v>
      </c>
      <c r="B92" s="2">
        <f>IFERROR(__xludf.DUMMYFUNCTION("""COMPUTED_VALUE"""),515.0)</f>
        <v>515</v>
      </c>
      <c r="C92" s="2">
        <f>IFERROR(__xludf.DUMMYFUNCTION("""COMPUTED_VALUE"""),540.0)</f>
        <v>540</v>
      </c>
      <c r="D92" s="2">
        <f>IFERROR(__xludf.DUMMYFUNCTION("""COMPUTED_VALUE"""),505.0)</f>
        <v>505</v>
      </c>
      <c r="E92" s="2">
        <f>IFERROR(__xludf.DUMMYFUNCTION("""COMPUTED_VALUE"""),535.0)</f>
        <v>535</v>
      </c>
      <c r="F92" s="2">
        <f>IFERROR(__xludf.DUMMYFUNCTION("""COMPUTED_VALUE"""),6.90262E7)</f>
        <v>69026200</v>
      </c>
      <c r="G92" s="2">
        <f t="shared" si="1"/>
        <v>35</v>
      </c>
    </row>
    <row r="93" ht="15.75" customHeight="1">
      <c r="A93" s="1">
        <f>IFERROR(__xludf.DUMMYFUNCTION("""COMPUTED_VALUE"""),43965.66666666667)</f>
        <v>43965.66667</v>
      </c>
      <c r="B93" s="2">
        <f>IFERROR(__xludf.DUMMYFUNCTION("""COMPUTED_VALUE"""),530.0)</f>
        <v>530</v>
      </c>
      <c r="C93" s="2">
        <f>IFERROR(__xludf.DUMMYFUNCTION("""COMPUTED_VALUE"""),550.0)</f>
        <v>550</v>
      </c>
      <c r="D93" s="2">
        <f>IFERROR(__xludf.DUMMYFUNCTION("""COMPUTED_VALUE"""),510.0)</f>
        <v>510</v>
      </c>
      <c r="E93" s="2">
        <f>IFERROR(__xludf.DUMMYFUNCTION("""COMPUTED_VALUE"""),515.0)</f>
        <v>515</v>
      </c>
      <c r="F93" s="2">
        <f>IFERROR(__xludf.DUMMYFUNCTION("""COMPUTED_VALUE"""),8.19598E7)</f>
        <v>81959800</v>
      </c>
      <c r="G93" s="2">
        <f t="shared" si="1"/>
        <v>40</v>
      </c>
    </row>
    <row r="94" ht="15.75" customHeight="1">
      <c r="A94" s="1">
        <f>IFERROR(__xludf.DUMMYFUNCTION("""COMPUTED_VALUE"""),43966.66666666667)</f>
        <v>43966.66667</v>
      </c>
      <c r="B94" s="2">
        <f>IFERROR(__xludf.DUMMYFUNCTION("""COMPUTED_VALUE"""),525.0)</f>
        <v>525</v>
      </c>
      <c r="C94" s="2">
        <f>IFERROR(__xludf.DUMMYFUNCTION("""COMPUTED_VALUE"""),530.0)</f>
        <v>530</v>
      </c>
      <c r="D94" s="2">
        <f>IFERROR(__xludf.DUMMYFUNCTION("""COMPUTED_VALUE"""),505.0)</f>
        <v>505</v>
      </c>
      <c r="E94" s="2">
        <f>IFERROR(__xludf.DUMMYFUNCTION("""COMPUTED_VALUE"""),520.0)</f>
        <v>520</v>
      </c>
      <c r="F94" s="2">
        <f>IFERROR(__xludf.DUMMYFUNCTION("""COMPUTED_VALUE"""),6.70208E7)</f>
        <v>67020800</v>
      </c>
      <c r="G94" s="2">
        <f t="shared" si="1"/>
        <v>25</v>
      </c>
    </row>
    <row r="95" ht="15.75" customHeight="1">
      <c r="A95" s="1">
        <f>IFERROR(__xludf.DUMMYFUNCTION("""COMPUTED_VALUE"""),43969.66666666667)</f>
        <v>43969.66667</v>
      </c>
      <c r="B95" s="2">
        <f>IFERROR(__xludf.DUMMYFUNCTION("""COMPUTED_VALUE"""),525.0)</f>
        <v>525</v>
      </c>
      <c r="C95" s="2">
        <f>IFERROR(__xludf.DUMMYFUNCTION("""COMPUTED_VALUE"""),535.0)</f>
        <v>535</v>
      </c>
      <c r="D95" s="2">
        <f>IFERROR(__xludf.DUMMYFUNCTION("""COMPUTED_VALUE"""),520.0)</f>
        <v>520</v>
      </c>
      <c r="E95" s="2">
        <f>IFERROR(__xludf.DUMMYFUNCTION("""COMPUTED_VALUE"""),525.0)</f>
        <v>525</v>
      </c>
      <c r="F95" s="2">
        <f>IFERROR(__xludf.DUMMYFUNCTION("""COMPUTED_VALUE"""),4.67025E7)</f>
        <v>46702500</v>
      </c>
      <c r="G95" s="2">
        <f t="shared" si="1"/>
        <v>15</v>
      </c>
    </row>
    <row r="96" ht="15.75" customHeight="1">
      <c r="A96" s="1">
        <f>IFERROR(__xludf.DUMMYFUNCTION("""COMPUTED_VALUE"""),43970.66666666667)</f>
        <v>43970.66667</v>
      </c>
      <c r="B96" s="2">
        <f>IFERROR(__xludf.DUMMYFUNCTION("""COMPUTED_VALUE"""),535.0)</f>
        <v>535</v>
      </c>
      <c r="C96" s="2">
        <f>IFERROR(__xludf.DUMMYFUNCTION("""COMPUTED_VALUE"""),545.0)</f>
        <v>545</v>
      </c>
      <c r="D96" s="2">
        <f>IFERROR(__xludf.DUMMYFUNCTION("""COMPUTED_VALUE"""),525.0)</f>
        <v>525</v>
      </c>
      <c r="E96" s="2">
        <f>IFERROR(__xludf.DUMMYFUNCTION("""COMPUTED_VALUE"""),525.0)</f>
        <v>525</v>
      </c>
      <c r="F96" s="2">
        <f>IFERROR(__xludf.DUMMYFUNCTION("""COMPUTED_VALUE"""),6.10331E7)</f>
        <v>61033100</v>
      </c>
      <c r="G96" s="2">
        <f t="shared" si="1"/>
        <v>20</v>
      </c>
    </row>
    <row r="97" ht="15.75" customHeight="1">
      <c r="A97" s="1">
        <f>IFERROR(__xludf.DUMMYFUNCTION("""COMPUTED_VALUE"""),43971.66666666667)</f>
        <v>43971.66667</v>
      </c>
      <c r="B97" s="2">
        <f>IFERROR(__xludf.DUMMYFUNCTION("""COMPUTED_VALUE"""),530.0)</f>
        <v>530</v>
      </c>
      <c r="C97" s="2">
        <f>IFERROR(__xludf.DUMMYFUNCTION("""COMPUTED_VALUE"""),535.0)</f>
        <v>535</v>
      </c>
      <c r="D97" s="2">
        <f>IFERROR(__xludf.DUMMYFUNCTION("""COMPUTED_VALUE"""),510.0)</f>
        <v>510</v>
      </c>
      <c r="E97" s="2">
        <f>IFERROR(__xludf.DUMMYFUNCTION("""COMPUTED_VALUE"""),520.0)</f>
        <v>520</v>
      </c>
      <c r="F97" s="2">
        <f>IFERROR(__xludf.DUMMYFUNCTION("""COMPUTED_VALUE"""),4.19164E7)</f>
        <v>41916400</v>
      </c>
      <c r="G97" s="2">
        <f t="shared" si="1"/>
        <v>25</v>
      </c>
    </row>
    <row r="98" ht="15.75" customHeight="1">
      <c r="A98" s="1">
        <f>IFERROR(__xludf.DUMMYFUNCTION("""COMPUTED_VALUE"""),43977.66666666667)</f>
        <v>43977.66667</v>
      </c>
      <c r="B98" s="2">
        <f>IFERROR(__xludf.DUMMYFUNCTION("""COMPUTED_VALUE"""),530.0)</f>
        <v>530</v>
      </c>
      <c r="C98" s="2">
        <f>IFERROR(__xludf.DUMMYFUNCTION("""COMPUTED_VALUE"""),530.0)</f>
        <v>530</v>
      </c>
      <c r="D98" s="2">
        <f>IFERROR(__xludf.DUMMYFUNCTION("""COMPUTED_VALUE"""),515.0)</f>
        <v>515</v>
      </c>
      <c r="E98" s="2">
        <f>IFERROR(__xludf.DUMMYFUNCTION("""COMPUTED_VALUE"""),530.0)</f>
        <v>530</v>
      </c>
      <c r="F98" s="2">
        <f>IFERROR(__xludf.DUMMYFUNCTION("""COMPUTED_VALUE"""),3.23588E7)</f>
        <v>32358800</v>
      </c>
      <c r="G98" s="2">
        <f t="shared" si="1"/>
        <v>15</v>
      </c>
    </row>
    <row r="99" ht="15.75" customHeight="1">
      <c r="A99" s="1">
        <f>IFERROR(__xludf.DUMMYFUNCTION("""COMPUTED_VALUE"""),43978.66666666667)</f>
        <v>43978.66667</v>
      </c>
      <c r="B99" s="2">
        <f>IFERROR(__xludf.DUMMYFUNCTION("""COMPUTED_VALUE"""),530.0)</f>
        <v>530</v>
      </c>
      <c r="C99" s="2">
        <f>IFERROR(__xludf.DUMMYFUNCTION("""COMPUTED_VALUE"""),535.0)</f>
        <v>535</v>
      </c>
      <c r="D99" s="2">
        <f>IFERROR(__xludf.DUMMYFUNCTION("""COMPUTED_VALUE"""),515.0)</f>
        <v>515</v>
      </c>
      <c r="E99" s="2">
        <f>IFERROR(__xludf.DUMMYFUNCTION("""COMPUTED_VALUE"""),520.0)</f>
        <v>520</v>
      </c>
      <c r="F99" s="2">
        <f>IFERROR(__xludf.DUMMYFUNCTION("""COMPUTED_VALUE"""),4.35191E7)</f>
        <v>43519100</v>
      </c>
      <c r="G99" s="2">
        <f t="shared" si="1"/>
        <v>20</v>
      </c>
    </row>
    <row r="100" ht="15.75" customHeight="1">
      <c r="A100" s="1">
        <f>IFERROR(__xludf.DUMMYFUNCTION("""COMPUTED_VALUE"""),43979.66666666667)</f>
        <v>43979.66667</v>
      </c>
      <c r="B100" s="2">
        <f>IFERROR(__xludf.DUMMYFUNCTION("""COMPUTED_VALUE"""),520.0)</f>
        <v>520</v>
      </c>
      <c r="C100" s="2">
        <f>IFERROR(__xludf.DUMMYFUNCTION("""COMPUTED_VALUE"""),540.0)</f>
        <v>540</v>
      </c>
      <c r="D100" s="2">
        <f>IFERROR(__xludf.DUMMYFUNCTION("""COMPUTED_VALUE"""),515.0)</f>
        <v>515</v>
      </c>
      <c r="E100" s="2">
        <f>IFERROR(__xludf.DUMMYFUNCTION("""COMPUTED_VALUE"""),525.0)</f>
        <v>525</v>
      </c>
      <c r="F100" s="2">
        <f>IFERROR(__xludf.DUMMYFUNCTION("""COMPUTED_VALUE"""),7.18531E7)</f>
        <v>71853100</v>
      </c>
      <c r="G100" s="2">
        <f t="shared" si="1"/>
        <v>25</v>
      </c>
    </row>
    <row r="101" ht="15.75" customHeight="1">
      <c r="A101" s="1">
        <f>IFERROR(__xludf.DUMMYFUNCTION("""COMPUTED_VALUE"""),43980.66666666667)</f>
        <v>43980.66667</v>
      </c>
      <c r="B101" s="2">
        <f>IFERROR(__xludf.DUMMYFUNCTION("""COMPUTED_VALUE"""),525.0)</f>
        <v>525</v>
      </c>
      <c r="C101" s="2">
        <f>IFERROR(__xludf.DUMMYFUNCTION("""COMPUTED_VALUE"""),535.0)</f>
        <v>535</v>
      </c>
      <c r="D101" s="2">
        <f>IFERROR(__xludf.DUMMYFUNCTION("""COMPUTED_VALUE"""),520.0)</f>
        <v>520</v>
      </c>
      <c r="E101" s="2">
        <f>IFERROR(__xludf.DUMMYFUNCTION("""COMPUTED_VALUE"""),535.0)</f>
        <v>535</v>
      </c>
      <c r="F101" s="2">
        <f>IFERROR(__xludf.DUMMYFUNCTION("""COMPUTED_VALUE"""),5.89289E7)</f>
        <v>58928900</v>
      </c>
      <c r="G101" s="2">
        <f t="shared" si="1"/>
        <v>15</v>
      </c>
    </row>
    <row r="102" ht="15.75" customHeight="1">
      <c r="A102" s="1">
        <f>IFERROR(__xludf.DUMMYFUNCTION("""COMPUTED_VALUE"""),43984.66666666667)</f>
        <v>43984.66667</v>
      </c>
      <c r="B102" s="2">
        <f>IFERROR(__xludf.DUMMYFUNCTION("""COMPUTED_VALUE"""),540.0)</f>
        <v>540</v>
      </c>
      <c r="C102" s="2">
        <f>IFERROR(__xludf.DUMMYFUNCTION("""COMPUTED_VALUE"""),570.0)</f>
        <v>570</v>
      </c>
      <c r="D102" s="2">
        <f>IFERROR(__xludf.DUMMYFUNCTION("""COMPUTED_VALUE"""),535.0)</f>
        <v>535</v>
      </c>
      <c r="E102" s="2">
        <f>IFERROR(__xludf.DUMMYFUNCTION("""COMPUTED_VALUE"""),555.0)</f>
        <v>555</v>
      </c>
      <c r="F102" s="2">
        <f>IFERROR(__xludf.DUMMYFUNCTION("""COMPUTED_VALUE"""),1.377546E8)</f>
        <v>137754600</v>
      </c>
      <c r="G102" s="2">
        <f t="shared" si="1"/>
        <v>35</v>
      </c>
    </row>
    <row r="103" ht="15.75" customHeight="1">
      <c r="A103" s="1">
        <f>IFERROR(__xludf.DUMMYFUNCTION("""COMPUTED_VALUE"""),43985.66666666667)</f>
        <v>43985.66667</v>
      </c>
      <c r="B103" s="2">
        <f>IFERROR(__xludf.DUMMYFUNCTION("""COMPUTED_VALUE"""),565.0)</f>
        <v>565</v>
      </c>
      <c r="C103" s="2">
        <f>IFERROR(__xludf.DUMMYFUNCTION("""COMPUTED_VALUE"""),580.0)</f>
        <v>580</v>
      </c>
      <c r="D103" s="2">
        <f>IFERROR(__xludf.DUMMYFUNCTION("""COMPUTED_VALUE"""),545.0)</f>
        <v>545</v>
      </c>
      <c r="E103" s="2">
        <f>IFERROR(__xludf.DUMMYFUNCTION("""COMPUTED_VALUE"""),555.0)</f>
        <v>555</v>
      </c>
      <c r="F103" s="2">
        <f>IFERROR(__xludf.DUMMYFUNCTION("""COMPUTED_VALUE"""),1.478555E8)</f>
        <v>147855500</v>
      </c>
      <c r="G103" s="2">
        <f t="shared" si="1"/>
        <v>35</v>
      </c>
    </row>
    <row r="104" ht="15.75" customHeight="1">
      <c r="A104" s="1">
        <f>IFERROR(__xludf.DUMMYFUNCTION("""COMPUTED_VALUE"""),43986.66666666667)</f>
        <v>43986.66667</v>
      </c>
      <c r="B104" s="2">
        <f>IFERROR(__xludf.DUMMYFUNCTION("""COMPUTED_VALUE"""),565.0)</f>
        <v>565</v>
      </c>
      <c r="C104" s="2">
        <f>IFERROR(__xludf.DUMMYFUNCTION("""COMPUTED_VALUE"""),590.0)</f>
        <v>590</v>
      </c>
      <c r="D104" s="2">
        <f>IFERROR(__xludf.DUMMYFUNCTION("""COMPUTED_VALUE"""),550.0)</f>
        <v>550</v>
      </c>
      <c r="E104" s="2">
        <f>IFERROR(__xludf.DUMMYFUNCTION("""COMPUTED_VALUE"""),570.0)</f>
        <v>570</v>
      </c>
      <c r="F104" s="2">
        <f>IFERROR(__xludf.DUMMYFUNCTION("""COMPUTED_VALUE"""),2.14067E8)</f>
        <v>214067000</v>
      </c>
      <c r="G104" s="2">
        <f t="shared" si="1"/>
        <v>40</v>
      </c>
    </row>
    <row r="105" ht="15.75" customHeight="1">
      <c r="A105" s="1">
        <f>IFERROR(__xludf.DUMMYFUNCTION("""COMPUTED_VALUE"""),43987.66666666667)</f>
        <v>43987.66667</v>
      </c>
      <c r="B105" s="2">
        <f>IFERROR(__xludf.DUMMYFUNCTION("""COMPUTED_VALUE"""),575.0)</f>
        <v>575</v>
      </c>
      <c r="C105" s="2">
        <f>IFERROR(__xludf.DUMMYFUNCTION("""COMPUTED_VALUE"""),600.0)</f>
        <v>600</v>
      </c>
      <c r="D105" s="2">
        <f>IFERROR(__xludf.DUMMYFUNCTION("""COMPUTED_VALUE"""),575.0)</f>
        <v>575</v>
      </c>
      <c r="E105" s="2">
        <f>IFERROR(__xludf.DUMMYFUNCTION("""COMPUTED_VALUE"""),590.0)</f>
        <v>590</v>
      </c>
      <c r="F105" s="2">
        <f>IFERROR(__xludf.DUMMYFUNCTION("""COMPUTED_VALUE"""),1.877402E8)</f>
        <v>187740200</v>
      </c>
      <c r="G105" s="2">
        <f t="shared" si="1"/>
        <v>30</v>
      </c>
    </row>
    <row r="106" ht="15.75" customHeight="1">
      <c r="A106" s="1">
        <f>IFERROR(__xludf.DUMMYFUNCTION("""COMPUTED_VALUE"""),43990.66666666667)</f>
        <v>43990.66667</v>
      </c>
      <c r="B106" s="2">
        <f>IFERROR(__xludf.DUMMYFUNCTION("""COMPUTED_VALUE"""),595.0)</f>
        <v>595</v>
      </c>
      <c r="C106" s="2">
        <f>IFERROR(__xludf.DUMMYFUNCTION("""COMPUTED_VALUE"""),645.0)</f>
        <v>645</v>
      </c>
      <c r="D106" s="2">
        <f>IFERROR(__xludf.DUMMYFUNCTION("""COMPUTED_VALUE"""),595.0)</f>
        <v>595</v>
      </c>
      <c r="E106" s="2">
        <f>IFERROR(__xludf.DUMMYFUNCTION("""COMPUTED_VALUE"""),630.0)</f>
        <v>630</v>
      </c>
      <c r="F106" s="2">
        <f>IFERROR(__xludf.DUMMYFUNCTION("""COMPUTED_VALUE"""),2.463936E8)</f>
        <v>246393600</v>
      </c>
      <c r="G106" s="2">
        <f t="shared" si="1"/>
        <v>55</v>
      </c>
    </row>
    <row r="107" ht="15.75" customHeight="1">
      <c r="A107" s="1">
        <f>IFERROR(__xludf.DUMMYFUNCTION("""COMPUTED_VALUE"""),43991.66666666667)</f>
        <v>43991.66667</v>
      </c>
      <c r="B107" s="2">
        <f>IFERROR(__xludf.DUMMYFUNCTION("""COMPUTED_VALUE"""),640.0)</f>
        <v>640</v>
      </c>
      <c r="C107" s="2">
        <f>IFERROR(__xludf.DUMMYFUNCTION("""COMPUTED_VALUE"""),650.0)</f>
        <v>650</v>
      </c>
      <c r="D107" s="2">
        <f>IFERROR(__xludf.DUMMYFUNCTION("""COMPUTED_VALUE"""),605.0)</f>
        <v>605</v>
      </c>
      <c r="E107" s="2">
        <f>IFERROR(__xludf.DUMMYFUNCTION("""COMPUTED_VALUE"""),610.0)</f>
        <v>610</v>
      </c>
      <c r="F107" s="2">
        <f>IFERROR(__xludf.DUMMYFUNCTION("""COMPUTED_VALUE"""),1.375157E8)</f>
        <v>137515700</v>
      </c>
      <c r="G107" s="2">
        <f t="shared" si="1"/>
        <v>45</v>
      </c>
    </row>
    <row r="108" ht="15.75" customHeight="1">
      <c r="A108" s="1">
        <f>IFERROR(__xludf.DUMMYFUNCTION("""COMPUTED_VALUE"""),43992.66666666667)</f>
        <v>43992.66667</v>
      </c>
      <c r="B108" s="2">
        <f>IFERROR(__xludf.DUMMYFUNCTION("""COMPUTED_VALUE"""),615.0)</f>
        <v>615</v>
      </c>
      <c r="C108" s="2">
        <f>IFERROR(__xludf.DUMMYFUNCTION("""COMPUTED_VALUE"""),620.0)</f>
        <v>620</v>
      </c>
      <c r="D108" s="2">
        <f>IFERROR(__xludf.DUMMYFUNCTION("""COMPUTED_VALUE"""),580.0)</f>
        <v>580</v>
      </c>
      <c r="E108" s="2">
        <f>IFERROR(__xludf.DUMMYFUNCTION("""COMPUTED_VALUE"""),595.0)</f>
        <v>595</v>
      </c>
      <c r="F108" s="2">
        <f>IFERROR(__xludf.DUMMYFUNCTION("""COMPUTED_VALUE"""),7.80901E7)</f>
        <v>78090100</v>
      </c>
      <c r="G108" s="2">
        <f t="shared" si="1"/>
        <v>40</v>
      </c>
    </row>
    <row r="109" ht="15.75" customHeight="1">
      <c r="A109" s="1">
        <f>IFERROR(__xludf.DUMMYFUNCTION("""COMPUTED_VALUE"""),43993.66666666667)</f>
        <v>43993.66667</v>
      </c>
      <c r="B109" s="2">
        <f>IFERROR(__xludf.DUMMYFUNCTION("""COMPUTED_VALUE"""),600.0)</f>
        <v>600</v>
      </c>
      <c r="C109" s="2">
        <f>IFERROR(__xludf.DUMMYFUNCTION("""COMPUTED_VALUE"""),605.0)</f>
        <v>605</v>
      </c>
      <c r="D109" s="2">
        <f>IFERROR(__xludf.DUMMYFUNCTION("""COMPUTED_VALUE"""),570.0)</f>
        <v>570</v>
      </c>
      <c r="E109" s="2">
        <f>IFERROR(__xludf.DUMMYFUNCTION("""COMPUTED_VALUE"""),580.0)</f>
        <v>580</v>
      </c>
      <c r="F109" s="2">
        <f>IFERROR(__xludf.DUMMYFUNCTION("""COMPUTED_VALUE"""),7.3061E7)</f>
        <v>73061000</v>
      </c>
      <c r="G109" s="2">
        <f t="shared" si="1"/>
        <v>35</v>
      </c>
    </row>
    <row r="110" ht="15.75" customHeight="1">
      <c r="A110" s="1">
        <f>IFERROR(__xludf.DUMMYFUNCTION("""COMPUTED_VALUE"""),43994.66666666667)</f>
        <v>43994.66667</v>
      </c>
      <c r="B110" s="2">
        <f>IFERROR(__xludf.DUMMYFUNCTION("""COMPUTED_VALUE"""),560.0)</f>
        <v>560</v>
      </c>
      <c r="C110" s="2">
        <f>IFERROR(__xludf.DUMMYFUNCTION("""COMPUTED_VALUE"""),580.0)</f>
        <v>580</v>
      </c>
      <c r="D110" s="2">
        <f>IFERROR(__xludf.DUMMYFUNCTION("""COMPUTED_VALUE"""),545.0)</f>
        <v>545</v>
      </c>
      <c r="E110" s="2">
        <f>IFERROR(__xludf.DUMMYFUNCTION("""COMPUTED_VALUE"""),580.0)</f>
        <v>580</v>
      </c>
      <c r="F110" s="2">
        <f>IFERROR(__xludf.DUMMYFUNCTION("""COMPUTED_VALUE"""),5.81988E7)</f>
        <v>58198800</v>
      </c>
      <c r="G110" s="2">
        <f t="shared" si="1"/>
        <v>35</v>
      </c>
    </row>
    <row r="111" ht="15.75" customHeight="1">
      <c r="A111" s="1">
        <f>IFERROR(__xludf.DUMMYFUNCTION("""COMPUTED_VALUE"""),43997.66666666667)</f>
        <v>43997.66667</v>
      </c>
      <c r="B111" s="2">
        <f>IFERROR(__xludf.DUMMYFUNCTION("""COMPUTED_VALUE"""),585.0)</f>
        <v>585</v>
      </c>
      <c r="C111" s="2">
        <f>IFERROR(__xludf.DUMMYFUNCTION("""COMPUTED_VALUE"""),595.0)</f>
        <v>595</v>
      </c>
      <c r="D111" s="2">
        <f>IFERROR(__xludf.DUMMYFUNCTION("""COMPUTED_VALUE"""),560.0)</f>
        <v>560</v>
      </c>
      <c r="E111" s="2">
        <f>IFERROR(__xludf.DUMMYFUNCTION("""COMPUTED_VALUE"""),565.0)</f>
        <v>565</v>
      </c>
      <c r="F111" s="2">
        <f>IFERROR(__xludf.DUMMYFUNCTION("""COMPUTED_VALUE"""),4.48142E7)</f>
        <v>44814200</v>
      </c>
      <c r="G111" s="2">
        <f t="shared" si="1"/>
        <v>35</v>
      </c>
    </row>
    <row r="112" ht="15.75" customHeight="1">
      <c r="A112" s="1">
        <f>IFERROR(__xludf.DUMMYFUNCTION("""COMPUTED_VALUE"""),43998.66666666667)</f>
        <v>43998.66667</v>
      </c>
      <c r="B112" s="2">
        <f>IFERROR(__xludf.DUMMYFUNCTION("""COMPUTED_VALUE"""),575.0)</f>
        <v>575</v>
      </c>
      <c r="C112" s="2">
        <f>IFERROR(__xludf.DUMMYFUNCTION("""COMPUTED_VALUE"""),610.0)</f>
        <v>610</v>
      </c>
      <c r="D112" s="2">
        <f>IFERROR(__xludf.DUMMYFUNCTION("""COMPUTED_VALUE"""),570.0)</f>
        <v>570</v>
      </c>
      <c r="E112" s="2">
        <f>IFERROR(__xludf.DUMMYFUNCTION("""COMPUTED_VALUE"""),610.0)</f>
        <v>610</v>
      </c>
      <c r="F112" s="2">
        <f>IFERROR(__xludf.DUMMYFUNCTION("""COMPUTED_VALUE"""),1.105179E8)</f>
        <v>110517900</v>
      </c>
      <c r="G112" s="2">
        <f t="shared" si="1"/>
        <v>45</v>
      </c>
    </row>
    <row r="113" ht="15.75" customHeight="1">
      <c r="A113" s="1">
        <f>IFERROR(__xludf.DUMMYFUNCTION("""COMPUTED_VALUE"""),43999.66666666667)</f>
        <v>43999.66667</v>
      </c>
      <c r="B113" s="2">
        <f>IFERROR(__xludf.DUMMYFUNCTION("""COMPUTED_VALUE"""),620.0)</f>
        <v>620</v>
      </c>
      <c r="C113" s="2">
        <f>IFERROR(__xludf.DUMMYFUNCTION("""COMPUTED_VALUE"""),645.0)</f>
        <v>645</v>
      </c>
      <c r="D113" s="2">
        <f>IFERROR(__xludf.DUMMYFUNCTION("""COMPUTED_VALUE"""),605.0)</f>
        <v>605</v>
      </c>
      <c r="E113" s="2">
        <f>IFERROR(__xludf.DUMMYFUNCTION("""COMPUTED_VALUE"""),635.0)</f>
        <v>635</v>
      </c>
      <c r="F113" s="2">
        <f>IFERROR(__xludf.DUMMYFUNCTION("""COMPUTED_VALUE"""),1.956166E8)</f>
        <v>195616600</v>
      </c>
      <c r="G113" s="2">
        <f t="shared" si="1"/>
        <v>40</v>
      </c>
    </row>
    <row r="114" ht="15.75" customHeight="1">
      <c r="A114" s="1">
        <f>IFERROR(__xludf.DUMMYFUNCTION("""COMPUTED_VALUE"""),44000.66666666667)</f>
        <v>44000.66667</v>
      </c>
      <c r="B114" s="2">
        <f>IFERROR(__xludf.DUMMYFUNCTION("""COMPUTED_VALUE"""),625.0)</f>
        <v>625</v>
      </c>
      <c r="C114" s="2">
        <f>IFERROR(__xludf.DUMMYFUNCTION("""COMPUTED_VALUE"""),640.0)</f>
        <v>640</v>
      </c>
      <c r="D114" s="2">
        <f>IFERROR(__xludf.DUMMYFUNCTION("""COMPUTED_VALUE"""),620.0)</f>
        <v>620</v>
      </c>
      <c r="E114" s="2">
        <f>IFERROR(__xludf.DUMMYFUNCTION("""COMPUTED_VALUE"""),620.0)</f>
        <v>620</v>
      </c>
      <c r="F114" s="2">
        <f>IFERROR(__xludf.DUMMYFUNCTION("""COMPUTED_VALUE"""),8.84928E7)</f>
        <v>88492800</v>
      </c>
      <c r="G114" s="2">
        <f t="shared" si="1"/>
        <v>20</v>
      </c>
    </row>
    <row r="115" ht="15.75" customHeight="1">
      <c r="A115" s="1">
        <f>IFERROR(__xludf.DUMMYFUNCTION("""COMPUTED_VALUE"""),44001.66666666667)</f>
        <v>44001.66667</v>
      </c>
      <c r="B115" s="2">
        <f>IFERROR(__xludf.DUMMYFUNCTION("""COMPUTED_VALUE"""),625.0)</f>
        <v>625</v>
      </c>
      <c r="C115" s="2">
        <f>IFERROR(__xludf.DUMMYFUNCTION("""COMPUTED_VALUE"""),630.0)</f>
        <v>630</v>
      </c>
      <c r="D115" s="2">
        <f>IFERROR(__xludf.DUMMYFUNCTION("""COMPUTED_VALUE"""),605.0)</f>
        <v>605</v>
      </c>
      <c r="E115" s="2">
        <f>IFERROR(__xludf.DUMMYFUNCTION("""COMPUTED_VALUE"""),610.0)</f>
        <v>610</v>
      </c>
      <c r="F115" s="2">
        <f>IFERROR(__xludf.DUMMYFUNCTION("""COMPUTED_VALUE"""),5.98354E7)</f>
        <v>59835400</v>
      </c>
      <c r="G115" s="2">
        <f t="shared" si="1"/>
        <v>25</v>
      </c>
    </row>
    <row r="116" ht="15.75" customHeight="1">
      <c r="A116" s="1">
        <f>IFERROR(__xludf.DUMMYFUNCTION("""COMPUTED_VALUE"""),44004.66666666667)</f>
        <v>44004.66667</v>
      </c>
      <c r="B116" s="2">
        <f>IFERROR(__xludf.DUMMYFUNCTION("""COMPUTED_VALUE"""),610.0)</f>
        <v>610</v>
      </c>
      <c r="C116" s="2">
        <f>IFERROR(__xludf.DUMMYFUNCTION("""COMPUTED_VALUE"""),625.0)</f>
        <v>625</v>
      </c>
      <c r="D116" s="2">
        <f>IFERROR(__xludf.DUMMYFUNCTION("""COMPUTED_VALUE"""),600.0)</f>
        <v>600</v>
      </c>
      <c r="E116" s="2">
        <f>IFERROR(__xludf.DUMMYFUNCTION("""COMPUTED_VALUE"""),605.0)</f>
        <v>605</v>
      </c>
      <c r="F116" s="2">
        <f>IFERROR(__xludf.DUMMYFUNCTION("""COMPUTED_VALUE"""),4.97527E7)</f>
        <v>49752700</v>
      </c>
      <c r="G116" s="2">
        <f t="shared" si="1"/>
        <v>25</v>
      </c>
    </row>
    <row r="117" ht="15.75" customHeight="1">
      <c r="A117" s="1">
        <f>IFERROR(__xludf.DUMMYFUNCTION("""COMPUTED_VALUE"""),44005.66666666667)</f>
        <v>44005.66667</v>
      </c>
      <c r="B117" s="2">
        <f>IFERROR(__xludf.DUMMYFUNCTION("""COMPUTED_VALUE"""),600.0)</f>
        <v>600</v>
      </c>
      <c r="C117" s="2">
        <f>IFERROR(__xludf.DUMMYFUNCTION("""COMPUTED_VALUE"""),615.0)</f>
        <v>615</v>
      </c>
      <c r="D117" s="2">
        <f>IFERROR(__xludf.DUMMYFUNCTION("""COMPUTED_VALUE"""),590.0)</f>
        <v>590</v>
      </c>
      <c r="E117" s="2">
        <f>IFERROR(__xludf.DUMMYFUNCTION("""COMPUTED_VALUE"""),595.0)</f>
        <v>595</v>
      </c>
      <c r="F117" s="2">
        <f>IFERROR(__xludf.DUMMYFUNCTION("""COMPUTED_VALUE"""),3.14681E7)</f>
        <v>31468100</v>
      </c>
      <c r="G117" s="2">
        <f t="shared" si="1"/>
        <v>25</v>
      </c>
    </row>
    <row r="118" ht="15.75" customHeight="1">
      <c r="A118" s="1">
        <f>IFERROR(__xludf.DUMMYFUNCTION("""COMPUTED_VALUE"""),44006.66666666667)</f>
        <v>44006.66667</v>
      </c>
      <c r="B118" s="2">
        <f>IFERROR(__xludf.DUMMYFUNCTION("""COMPUTED_VALUE"""),605.0)</f>
        <v>605</v>
      </c>
      <c r="C118" s="2">
        <f>IFERROR(__xludf.DUMMYFUNCTION("""COMPUTED_VALUE"""),620.0)</f>
        <v>620</v>
      </c>
      <c r="D118" s="2">
        <f>IFERROR(__xludf.DUMMYFUNCTION("""COMPUTED_VALUE"""),600.0)</f>
        <v>600</v>
      </c>
      <c r="E118" s="2">
        <f>IFERROR(__xludf.DUMMYFUNCTION("""COMPUTED_VALUE"""),605.0)</f>
        <v>605</v>
      </c>
      <c r="F118" s="2">
        <f>IFERROR(__xludf.DUMMYFUNCTION("""COMPUTED_VALUE"""),5.81045E7)</f>
        <v>58104500</v>
      </c>
      <c r="G118" s="2">
        <f t="shared" si="1"/>
        <v>25</v>
      </c>
    </row>
    <row r="119" ht="15.75" customHeight="1">
      <c r="A119" s="1">
        <f>IFERROR(__xludf.DUMMYFUNCTION("""COMPUTED_VALUE"""),44007.66666666667)</f>
        <v>44007.66667</v>
      </c>
      <c r="B119" s="2">
        <f>IFERROR(__xludf.DUMMYFUNCTION("""COMPUTED_VALUE"""),595.0)</f>
        <v>595</v>
      </c>
      <c r="C119" s="2">
        <f>IFERROR(__xludf.DUMMYFUNCTION("""COMPUTED_VALUE"""),605.0)</f>
        <v>605</v>
      </c>
      <c r="D119" s="2">
        <f>IFERROR(__xludf.DUMMYFUNCTION("""COMPUTED_VALUE"""),595.0)</f>
        <v>595</v>
      </c>
      <c r="E119" s="2">
        <f>IFERROR(__xludf.DUMMYFUNCTION("""COMPUTED_VALUE"""),600.0)</f>
        <v>600</v>
      </c>
      <c r="F119" s="2">
        <f>IFERROR(__xludf.DUMMYFUNCTION("""COMPUTED_VALUE"""),1.87275E7)</f>
        <v>18727500</v>
      </c>
      <c r="G119" s="2">
        <f t="shared" si="1"/>
        <v>10</v>
      </c>
    </row>
    <row r="120" ht="15.75" customHeight="1">
      <c r="A120" s="1">
        <f>IFERROR(__xludf.DUMMYFUNCTION("""COMPUTED_VALUE"""),44008.66666666667)</f>
        <v>44008.66667</v>
      </c>
      <c r="B120" s="2">
        <f>IFERROR(__xludf.DUMMYFUNCTION("""COMPUTED_VALUE"""),610.0)</f>
        <v>610</v>
      </c>
      <c r="C120" s="2">
        <f>IFERROR(__xludf.DUMMYFUNCTION("""COMPUTED_VALUE"""),615.0)</f>
        <v>615</v>
      </c>
      <c r="D120" s="2">
        <f>IFERROR(__xludf.DUMMYFUNCTION("""COMPUTED_VALUE"""),605.0)</f>
        <v>605</v>
      </c>
      <c r="E120" s="2">
        <f>IFERROR(__xludf.DUMMYFUNCTION("""COMPUTED_VALUE"""),605.0)</f>
        <v>605</v>
      </c>
      <c r="F120" s="2">
        <f>IFERROR(__xludf.DUMMYFUNCTION("""COMPUTED_VALUE"""),2.98115E7)</f>
        <v>29811500</v>
      </c>
      <c r="G120" s="2">
        <f t="shared" si="1"/>
        <v>15</v>
      </c>
    </row>
    <row r="121" ht="15.75" customHeight="1">
      <c r="A121" s="1">
        <f>IFERROR(__xludf.DUMMYFUNCTION("""COMPUTED_VALUE"""),44011.66666666667)</f>
        <v>44011.66667</v>
      </c>
      <c r="B121" s="2">
        <f>IFERROR(__xludf.DUMMYFUNCTION("""COMPUTED_VALUE"""),610.0)</f>
        <v>610</v>
      </c>
      <c r="C121" s="2">
        <f>IFERROR(__xludf.DUMMYFUNCTION("""COMPUTED_VALUE"""),610.0)</f>
        <v>610</v>
      </c>
      <c r="D121" s="2">
        <f>IFERROR(__xludf.DUMMYFUNCTION("""COMPUTED_VALUE"""),595.0)</f>
        <v>595</v>
      </c>
      <c r="E121" s="2">
        <f>IFERROR(__xludf.DUMMYFUNCTION("""COMPUTED_VALUE"""),595.0)</f>
        <v>595</v>
      </c>
      <c r="F121" s="2">
        <f>IFERROR(__xludf.DUMMYFUNCTION("""COMPUTED_VALUE"""),2.58809E7)</f>
        <v>25880900</v>
      </c>
      <c r="G121" s="2">
        <f t="shared" si="1"/>
        <v>15</v>
      </c>
    </row>
    <row r="122" ht="15.75" customHeight="1">
      <c r="A122" s="1">
        <f>IFERROR(__xludf.DUMMYFUNCTION("""COMPUTED_VALUE"""),44012.66666666667)</f>
        <v>44012.66667</v>
      </c>
      <c r="B122" s="2">
        <f>IFERROR(__xludf.DUMMYFUNCTION("""COMPUTED_VALUE"""),605.0)</f>
        <v>605</v>
      </c>
      <c r="C122" s="2">
        <f>IFERROR(__xludf.DUMMYFUNCTION("""COMPUTED_VALUE"""),610.0)</f>
        <v>610</v>
      </c>
      <c r="D122" s="2">
        <f>IFERROR(__xludf.DUMMYFUNCTION("""COMPUTED_VALUE"""),595.0)</f>
        <v>595</v>
      </c>
      <c r="E122" s="2">
        <f>IFERROR(__xludf.DUMMYFUNCTION("""COMPUTED_VALUE"""),605.0)</f>
        <v>605</v>
      </c>
      <c r="F122" s="2">
        <f>IFERROR(__xludf.DUMMYFUNCTION("""COMPUTED_VALUE"""),3.06198E7)</f>
        <v>30619800</v>
      </c>
      <c r="G122" s="2">
        <f t="shared" si="1"/>
        <v>15</v>
      </c>
    </row>
    <row r="123" ht="15.75" customHeight="1">
      <c r="A123" s="1">
        <f>IFERROR(__xludf.DUMMYFUNCTION("""COMPUTED_VALUE"""),44013.66666666667)</f>
        <v>44013.66667</v>
      </c>
      <c r="B123" s="2">
        <f>IFERROR(__xludf.DUMMYFUNCTION("""COMPUTED_VALUE"""),610.0)</f>
        <v>610</v>
      </c>
      <c r="C123" s="2">
        <f>IFERROR(__xludf.DUMMYFUNCTION("""COMPUTED_VALUE"""),615.0)</f>
        <v>615</v>
      </c>
      <c r="D123" s="2">
        <f>IFERROR(__xludf.DUMMYFUNCTION("""COMPUTED_VALUE"""),595.0)</f>
        <v>595</v>
      </c>
      <c r="E123" s="2">
        <f>IFERROR(__xludf.DUMMYFUNCTION("""COMPUTED_VALUE"""),600.0)</f>
        <v>600</v>
      </c>
      <c r="F123" s="2">
        <f>IFERROR(__xludf.DUMMYFUNCTION("""COMPUTED_VALUE"""),2.13933E7)</f>
        <v>21393300</v>
      </c>
      <c r="G123" s="2">
        <f t="shared" si="1"/>
        <v>20</v>
      </c>
    </row>
    <row r="124" ht="15.75" customHeight="1">
      <c r="A124" s="1">
        <f>IFERROR(__xludf.DUMMYFUNCTION("""COMPUTED_VALUE"""),44014.66666666667)</f>
        <v>44014.66667</v>
      </c>
      <c r="B124" s="2">
        <f>IFERROR(__xludf.DUMMYFUNCTION("""COMPUTED_VALUE"""),600.0)</f>
        <v>600</v>
      </c>
      <c r="C124" s="2">
        <f>IFERROR(__xludf.DUMMYFUNCTION("""COMPUTED_VALUE"""),610.0)</f>
        <v>610</v>
      </c>
      <c r="D124" s="2">
        <f>IFERROR(__xludf.DUMMYFUNCTION("""COMPUTED_VALUE"""),590.0)</f>
        <v>590</v>
      </c>
      <c r="E124" s="2">
        <f>IFERROR(__xludf.DUMMYFUNCTION("""COMPUTED_VALUE"""),610.0)</f>
        <v>610</v>
      </c>
      <c r="F124" s="2">
        <f>IFERROR(__xludf.DUMMYFUNCTION("""COMPUTED_VALUE"""),4.15757E7)</f>
        <v>41575700</v>
      </c>
      <c r="G124" s="2">
        <f t="shared" si="1"/>
        <v>20</v>
      </c>
    </row>
    <row r="125" ht="15.75" customHeight="1">
      <c r="A125" s="1">
        <f>IFERROR(__xludf.DUMMYFUNCTION("""COMPUTED_VALUE"""),44015.66666666667)</f>
        <v>44015.66667</v>
      </c>
      <c r="B125" s="2">
        <f>IFERROR(__xludf.DUMMYFUNCTION("""COMPUTED_VALUE"""),615.0)</f>
        <v>615</v>
      </c>
      <c r="C125" s="2">
        <f>IFERROR(__xludf.DUMMYFUNCTION("""COMPUTED_VALUE"""),615.0)</f>
        <v>615</v>
      </c>
      <c r="D125" s="2">
        <f>IFERROR(__xludf.DUMMYFUNCTION("""COMPUTED_VALUE"""),600.0)</f>
        <v>600</v>
      </c>
      <c r="E125" s="2">
        <f>IFERROR(__xludf.DUMMYFUNCTION("""COMPUTED_VALUE"""),600.0)</f>
        <v>600</v>
      </c>
      <c r="F125" s="2">
        <f>IFERROR(__xludf.DUMMYFUNCTION("""COMPUTED_VALUE"""),3.06602E7)</f>
        <v>30660200</v>
      </c>
      <c r="G125" s="2">
        <f t="shared" si="1"/>
        <v>15</v>
      </c>
    </row>
    <row r="126" ht="15.75" customHeight="1">
      <c r="A126" s="1">
        <f>IFERROR(__xludf.DUMMYFUNCTION("""COMPUTED_VALUE"""),44018.66666666667)</f>
        <v>44018.66667</v>
      </c>
      <c r="B126" s="2">
        <f>IFERROR(__xludf.DUMMYFUNCTION("""COMPUTED_VALUE"""),605.0)</f>
        <v>605</v>
      </c>
      <c r="C126" s="2">
        <f>IFERROR(__xludf.DUMMYFUNCTION("""COMPUTED_VALUE"""),640.0)</f>
        <v>640</v>
      </c>
      <c r="D126" s="2">
        <f>IFERROR(__xludf.DUMMYFUNCTION("""COMPUTED_VALUE"""),600.0)</f>
        <v>600</v>
      </c>
      <c r="E126" s="2">
        <f>IFERROR(__xludf.DUMMYFUNCTION("""COMPUTED_VALUE"""),640.0)</f>
        <v>640</v>
      </c>
      <c r="F126" s="2">
        <f>IFERROR(__xludf.DUMMYFUNCTION("""COMPUTED_VALUE"""),1.334122E8)</f>
        <v>133412200</v>
      </c>
      <c r="G126" s="2">
        <f t="shared" si="1"/>
        <v>40</v>
      </c>
    </row>
    <row r="127" ht="15.75" customHeight="1">
      <c r="A127" s="1">
        <f>IFERROR(__xludf.DUMMYFUNCTION("""COMPUTED_VALUE"""),44019.66666666667)</f>
        <v>44019.66667</v>
      </c>
      <c r="B127" s="2">
        <f>IFERROR(__xludf.DUMMYFUNCTION("""COMPUTED_VALUE"""),645.0)</f>
        <v>645</v>
      </c>
      <c r="C127" s="2">
        <f>IFERROR(__xludf.DUMMYFUNCTION("""COMPUTED_VALUE"""),670.0)</f>
        <v>670</v>
      </c>
      <c r="D127" s="2">
        <f>IFERROR(__xludf.DUMMYFUNCTION("""COMPUTED_VALUE"""),640.0)</f>
        <v>640</v>
      </c>
      <c r="E127" s="2">
        <f>IFERROR(__xludf.DUMMYFUNCTION("""COMPUTED_VALUE"""),650.0)</f>
        <v>650</v>
      </c>
      <c r="F127" s="2">
        <f>IFERROR(__xludf.DUMMYFUNCTION("""COMPUTED_VALUE"""),2.344093E8)</f>
        <v>234409300</v>
      </c>
      <c r="G127" s="2">
        <f t="shared" si="1"/>
        <v>30</v>
      </c>
    </row>
    <row r="128" ht="15.75" customHeight="1">
      <c r="A128" s="1">
        <f>IFERROR(__xludf.DUMMYFUNCTION("""COMPUTED_VALUE"""),44020.66666666667)</f>
        <v>44020.66667</v>
      </c>
      <c r="B128" s="2">
        <f>IFERROR(__xludf.DUMMYFUNCTION("""COMPUTED_VALUE"""),650.0)</f>
        <v>650</v>
      </c>
      <c r="C128" s="2">
        <f>IFERROR(__xludf.DUMMYFUNCTION("""COMPUTED_VALUE"""),675.0)</f>
        <v>675</v>
      </c>
      <c r="D128" s="2">
        <f>IFERROR(__xludf.DUMMYFUNCTION("""COMPUTED_VALUE"""),645.0)</f>
        <v>645</v>
      </c>
      <c r="E128" s="2">
        <f>IFERROR(__xludf.DUMMYFUNCTION("""COMPUTED_VALUE"""),660.0)</f>
        <v>660</v>
      </c>
      <c r="F128" s="2">
        <f>IFERROR(__xludf.DUMMYFUNCTION("""COMPUTED_VALUE"""),1.161314E8)</f>
        <v>116131400</v>
      </c>
      <c r="G128" s="2">
        <f t="shared" si="1"/>
        <v>30</v>
      </c>
    </row>
    <row r="129" ht="15.75" customHeight="1">
      <c r="A129" s="1">
        <f>IFERROR(__xludf.DUMMYFUNCTION("""COMPUTED_VALUE"""),44021.66666666667)</f>
        <v>44021.66667</v>
      </c>
      <c r="B129" s="2">
        <f>IFERROR(__xludf.DUMMYFUNCTION("""COMPUTED_VALUE"""),660.0)</f>
        <v>660</v>
      </c>
      <c r="C129" s="2">
        <f>IFERROR(__xludf.DUMMYFUNCTION("""COMPUTED_VALUE"""),670.0)</f>
        <v>670</v>
      </c>
      <c r="D129" s="2">
        <f>IFERROR(__xludf.DUMMYFUNCTION("""COMPUTED_VALUE"""),650.0)</f>
        <v>650</v>
      </c>
      <c r="E129" s="2">
        <f>IFERROR(__xludf.DUMMYFUNCTION("""COMPUTED_VALUE"""),650.0)</f>
        <v>650</v>
      </c>
      <c r="F129" s="2">
        <f>IFERROR(__xludf.DUMMYFUNCTION("""COMPUTED_VALUE"""),6.64229E7)</f>
        <v>66422900</v>
      </c>
      <c r="G129" s="2">
        <f t="shared" si="1"/>
        <v>20</v>
      </c>
    </row>
    <row r="130" ht="15.75" customHeight="1">
      <c r="A130" s="1">
        <f>IFERROR(__xludf.DUMMYFUNCTION("""COMPUTED_VALUE"""),44022.66666666667)</f>
        <v>44022.66667</v>
      </c>
      <c r="B130" s="2">
        <f>IFERROR(__xludf.DUMMYFUNCTION("""COMPUTED_VALUE"""),650.0)</f>
        <v>650</v>
      </c>
      <c r="C130" s="2">
        <f>IFERROR(__xludf.DUMMYFUNCTION("""COMPUTED_VALUE"""),665.0)</f>
        <v>665</v>
      </c>
      <c r="D130" s="2">
        <f>IFERROR(__xludf.DUMMYFUNCTION("""COMPUTED_VALUE"""),640.0)</f>
        <v>640</v>
      </c>
      <c r="E130" s="2">
        <f>IFERROR(__xludf.DUMMYFUNCTION("""COMPUTED_VALUE"""),645.0)</f>
        <v>645</v>
      </c>
      <c r="F130" s="2">
        <f>IFERROR(__xludf.DUMMYFUNCTION("""COMPUTED_VALUE"""),4.45716E7)</f>
        <v>44571600</v>
      </c>
      <c r="G130" s="2">
        <f t="shared" si="1"/>
        <v>25</v>
      </c>
    </row>
    <row r="131" ht="15.75" customHeight="1">
      <c r="A131" s="1">
        <f>IFERROR(__xludf.DUMMYFUNCTION("""COMPUTED_VALUE"""),44025.66666666667)</f>
        <v>44025.66667</v>
      </c>
      <c r="B131" s="2">
        <f>IFERROR(__xludf.DUMMYFUNCTION("""COMPUTED_VALUE"""),645.0)</f>
        <v>645</v>
      </c>
      <c r="C131" s="2">
        <f>IFERROR(__xludf.DUMMYFUNCTION("""COMPUTED_VALUE"""),685.0)</f>
        <v>685</v>
      </c>
      <c r="D131" s="2">
        <f>IFERROR(__xludf.DUMMYFUNCTION("""COMPUTED_VALUE"""),645.0)</f>
        <v>645</v>
      </c>
      <c r="E131" s="2">
        <f>IFERROR(__xludf.DUMMYFUNCTION("""COMPUTED_VALUE"""),675.0)</f>
        <v>675</v>
      </c>
      <c r="F131" s="2">
        <f>IFERROR(__xludf.DUMMYFUNCTION("""COMPUTED_VALUE"""),1.489238E8)</f>
        <v>148923800</v>
      </c>
      <c r="G131" s="2">
        <f t="shared" si="1"/>
        <v>40</v>
      </c>
    </row>
    <row r="132" ht="15.75" customHeight="1">
      <c r="A132" s="1">
        <f>IFERROR(__xludf.DUMMYFUNCTION("""COMPUTED_VALUE"""),44026.66666666667)</f>
        <v>44026.66667</v>
      </c>
      <c r="B132" s="2">
        <f>IFERROR(__xludf.DUMMYFUNCTION("""COMPUTED_VALUE"""),670.0)</f>
        <v>670</v>
      </c>
      <c r="C132" s="2">
        <f>IFERROR(__xludf.DUMMYFUNCTION("""COMPUTED_VALUE"""),680.0)</f>
        <v>680</v>
      </c>
      <c r="D132" s="2">
        <f>IFERROR(__xludf.DUMMYFUNCTION("""COMPUTED_VALUE"""),660.0)</f>
        <v>660</v>
      </c>
      <c r="E132" s="2">
        <f>IFERROR(__xludf.DUMMYFUNCTION("""COMPUTED_VALUE"""),660.0)</f>
        <v>660</v>
      </c>
      <c r="F132" s="2">
        <f>IFERROR(__xludf.DUMMYFUNCTION("""COMPUTED_VALUE"""),7.72412E7)</f>
        <v>77241200</v>
      </c>
      <c r="G132" s="2">
        <f t="shared" si="1"/>
        <v>20</v>
      </c>
    </row>
    <row r="133" ht="15.75" customHeight="1">
      <c r="A133" s="1">
        <f>IFERROR(__xludf.DUMMYFUNCTION("""COMPUTED_VALUE"""),44027.66666666667)</f>
        <v>44027.66667</v>
      </c>
      <c r="B133" s="2">
        <f>IFERROR(__xludf.DUMMYFUNCTION("""COMPUTED_VALUE"""),665.0)</f>
        <v>665</v>
      </c>
      <c r="C133" s="2">
        <f>IFERROR(__xludf.DUMMYFUNCTION("""COMPUTED_VALUE"""),675.0)</f>
        <v>675</v>
      </c>
      <c r="D133" s="2">
        <f>IFERROR(__xludf.DUMMYFUNCTION("""COMPUTED_VALUE"""),655.0)</f>
        <v>655</v>
      </c>
      <c r="E133" s="2">
        <f>IFERROR(__xludf.DUMMYFUNCTION("""COMPUTED_VALUE"""),655.0)</f>
        <v>655</v>
      </c>
      <c r="F133" s="2">
        <f>IFERROR(__xludf.DUMMYFUNCTION("""COMPUTED_VALUE"""),3.84235E7)</f>
        <v>38423500</v>
      </c>
      <c r="G133" s="2">
        <f t="shared" si="1"/>
        <v>20</v>
      </c>
    </row>
    <row r="134" ht="15.75" customHeight="1">
      <c r="A134" s="1">
        <f>IFERROR(__xludf.DUMMYFUNCTION("""COMPUTED_VALUE"""),44028.66666666667)</f>
        <v>44028.66667</v>
      </c>
      <c r="B134" s="2">
        <f>IFERROR(__xludf.DUMMYFUNCTION("""COMPUTED_VALUE"""),655.0)</f>
        <v>655</v>
      </c>
      <c r="C134" s="2">
        <f>IFERROR(__xludf.DUMMYFUNCTION("""COMPUTED_VALUE"""),665.0)</f>
        <v>665</v>
      </c>
      <c r="D134" s="2">
        <f>IFERROR(__xludf.DUMMYFUNCTION("""COMPUTED_VALUE"""),650.0)</f>
        <v>650</v>
      </c>
      <c r="E134" s="2">
        <f>IFERROR(__xludf.DUMMYFUNCTION("""COMPUTED_VALUE"""),650.0)</f>
        <v>650</v>
      </c>
      <c r="F134" s="2">
        <f>IFERROR(__xludf.DUMMYFUNCTION("""COMPUTED_VALUE"""),1.92442E7)</f>
        <v>19244200</v>
      </c>
      <c r="G134" s="2">
        <f t="shared" si="1"/>
        <v>15</v>
      </c>
    </row>
    <row r="135" ht="15.75" customHeight="1">
      <c r="A135" s="1">
        <f>IFERROR(__xludf.DUMMYFUNCTION("""COMPUTED_VALUE"""),44029.66666666667)</f>
        <v>44029.66667</v>
      </c>
      <c r="B135" s="2">
        <f>IFERROR(__xludf.DUMMYFUNCTION("""COMPUTED_VALUE"""),655.0)</f>
        <v>655</v>
      </c>
      <c r="C135" s="2">
        <f>IFERROR(__xludf.DUMMYFUNCTION("""COMPUTED_VALUE"""),660.0)</f>
        <v>660</v>
      </c>
      <c r="D135" s="2">
        <f>IFERROR(__xludf.DUMMYFUNCTION("""COMPUTED_VALUE"""),645.0)</f>
        <v>645</v>
      </c>
      <c r="E135" s="2">
        <f>IFERROR(__xludf.DUMMYFUNCTION("""COMPUTED_VALUE"""),660.0)</f>
        <v>660</v>
      </c>
      <c r="F135" s="2">
        <f>IFERROR(__xludf.DUMMYFUNCTION("""COMPUTED_VALUE"""),2.1499E7)</f>
        <v>21499000</v>
      </c>
      <c r="G135" s="2">
        <f t="shared" si="1"/>
        <v>15</v>
      </c>
    </row>
    <row r="136" ht="15.75" customHeight="1">
      <c r="A136" s="1">
        <f>IFERROR(__xludf.DUMMYFUNCTION("""COMPUTED_VALUE"""),44032.66666666667)</f>
        <v>44032.66667</v>
      </c>
      <c r="B136" s="2">
        <f>IFERROR(__xludf.DUMMYFUNCTION("""COMPUTED_VALUE"""),660.0)</f>
        <v>660</v>
      </c>
      <c r="C136" s="2">
        <f>IFERROR(__xludf.DUMMYFUNCTION("""COMPUTED_VALUE"""),665.0)</f>
        <v>665</v>
      </c>
      <c r="D136" s="2">
        <f>IFERROR(__xludf.DUMMYFUNCTION("""COMPUTED_VALUE"""),650.0)</f>
        <v>650</v>
      </c>
      <c r="E136" s="2">
        <f>IFERROR(__xludf.DUMMYFUNCTION("""COMPUTED_VALUE"""),650.0)</f>
        <v>650</v>
      </c>
      <c r="F136" s="2">
        <f>IFERROR(__xludf.DUMMYFUNCTION("""COMPUTED_VALUE"""),3.15331E7)</f>
        <v>31533100</v>
      </c>
      <c r="G136" s="2">
        <f t="shared" si="1"/>
        <v>15</v>
      </c>
    </row>
    <row r="137" ht="15.75" customHeight="1">
      <c r="A137" s="1">
        <f>IFERROR(__xludf.DUMMYFUNCTION("""COMPUTED_VALUE"""),44033.66666666667)</f>
        <v>44033.66667</v>
      </c>
      <c r="B137" s="2">
        <f>IFERROR(__xludf.DUMMYFUNCTION("""COMPUTED_VALUE"""),655.0)</f>
        <v>655</v>
      </c>
      <c r="C137" s="2">
        <f>IFERROR(__xludf.DUMMYFUNCTION("""COMPUTED_VALUE"""),690.0)</f>
        <v>690</v>
      </c>
      <c r="D137" s="2">
        <f>IFERROR(__xludf.DUMMYFUNCTION("""COMPUTED_VALUE"""),650.0)</f>
        <v>650</v>
      </c>
      <c r="E137" s="2">
        <f>IFERROR(__xludf.DUMMYFUNCTION("""COMPUTED_VALUE"""),685.0)</f>
        <v>685</v>
      </c>
      <c r="F137" s="2">
        <f>IFERROR(__xludf.DUMMYFUNCTION("""COMPUTED_VALUE"""),1.589325E8)</f>
        <v>158932500</v>
      </c>
      <c r="G137" s="2">
        <f t="shared" si="1"/>
        <v>40</v>
      </c>
    </row>
    <row r="138" ht="15.75" customHeight="1">
      <c r="A138" s="1">
        <f>IFERROR(__xludf.DUMMYFUNCTION("""COMPUTED_VALUE"""),44034.66666666667)</f>
        <v>44034.66667</v>
      </c>
      <c r="B138" s="2">
        <f>IFERROR(__xludf.DUMMYFUNCTION("""COMPUTED_VALUE"""),690.0)</f>
        <v>690</v>
      </c>
      <c r="C138" s="2">
        <f>IFERROR(__xludf.DUMMYFUNCTION("""COMPUTED_VALUE"""),705.0)</f>
        <v>705</v>
      </c>
      <c r="D138" s="2">
        <f>IFERROR(__xludf.DUMMYFUNCTION("""COMPUTED_VALUE"""),685.0)</f>
        <v>685</v>
      </c>
      <c r="E138" s="2">
        <f>IFERROR(__xludf.DUMMYFUNCTION("""COMPUTED_VALUE"""),685.0)</f>
        <v>685</v>
      </c>
      <c r="F138" s="2">
        <f>IFERROR(__xludf.DUMMYFUNCTION("""COMPUTED_VALUE"""),1.924261E8)</f>
        <v>192426100</v>
      </c>
      <c r="G138" s="2">
        <f t="shared" si="1"/>
        <v>20</v>
      </c>
    </row>
    <row r="139" ht="15.75" customHeight="1">
      <c r="A139" s="1">
        <f>IFERROR(__xludf.DUMMYFUNCTION("""COMPUTED_VALUE"""),44035.66666666667)</f>
        <v>44035.66667</v>
      </c>
      <c r="B139" s="2">
        <f>IFERROR(__xludf.DUMMYFUNCTION("""COMPUTED_VALUE"""),695.0)</f>
        <v>695</v>
      </c>
      <c r="C139" s="2">
        <f>IFERROR(__xludf.DUMMYFUNCTION("""COMPUTED_VALUE"""),705.0)</f>
        <v>705</v>
      </c>
      <c r="D139" s="2">
        <f>IFERROR(__xludf.DUMMYFUNCTION("""COMPUTED_VALUE"""),685.0)</f>
        <v>685</v>
      </c>
      <c r="E139" s="2">
        <f>IFERROR(__xludf.DUMMYFUNCTION("""COMPUTED_VALUE"""),690.0)</f>
        <v>690</v>
      </c>
      <c r="F139" s="2">
        <f>IFERROR(__xludf.DUMMYFUNCTION("""COMPUTED_VALUE"""),9.06685E7)</f>
        <v>90668500</v>
      </c>
      <c r="G139" s="2">
        <f t="shared" si="1"/>
        <v>20</v>
      </c>
    </row>
    <row r="140" ht="15.75" customHeight="1">
      <c r="A140" s="1">
        <f>IFERROR(__xludf.DUMMYFUNCTION("""COMPUTED_VALUE"""),44036.66666666667)</f>
        <v>44036.66667</v>
      </c>
      <c r="B140" s="2">
        <f>IFERROR(__xludf.DUMMYFUNCTION("""COMPUTED_VALUE"""),705.0)</f>
        <v>705</v>
      </c>
      <c r="C140" s="2">
        <f>IFERROR(__xludf.DUMMYFUNCTION("""COMPUTED_VALUE"""),705.0)</f>
        <v>705</v>
      </c>
      <c r="D140" s="2">
        <f>IFERROR(__xludf.DUMMYFUNCTION("""COMPUTED_VALUE"""),685.0)</f>
        <v>685</v>
      </c>
      <c r="E140" s="2">
        <f>IFERROR(__xludf.DUMMYFUNCTION("""COMPUTED_VALUE"""),685.0)</f>
        <v>685</v>
      </c>
      <c r="F140" s="2">
        <f>IFERROR(__xludf.DUMMYFUNCTION("""COMPUTED_VALUE"""),1.342552E8)</f>
        <v>134255200</v>
      </c>
      <c r="G140" s="2">
        <f t="shared" si="1"/>
        <v>20</v>
      </c>
    </row>
    <row r="141" ht="15.75" customHeight="1">
      <c r="A141" s="1">
        <f>IFERROR(__xludf.DUMMYFUNCTION("""COMPUTED_VALUE"""),44039.66666666667)</f>
        <v>44039.66667</v>
      </c>
      <c r="B141" s="2">
        <f>IFERROR(__xludf.DUMMYFUNCTION("""COMPUTED_VALUE"""),695.0)</f>
        <v>695</v>
      </c>
      <c r="C141" s="2">
        <f>IFERROR(__xludf.DUMMYFUNCTION("""COMPUTED_VALUE"""),725.0)</f>
        <v>725</v>
      </c>
      <c r="D141" s="2">
        <f>IFERROR(__xludf.DUMMYFUNCTION("""COMPUTED_VALUE"""),690.0)</f>
        <v>690</v>
      </c>
      <c r="E141" s="2">
        <f>IFERROR(__xludf.DUMMYFUNCTION("""COMPUTED_VALUE"""),725.0)</f>
        <v>725</v>
      </c>
      <c r="F141" s="2">
        <f>IFERROR(__xludf.DUMMYFUNCTION("""COMPUTED_VALUE"""),1.972037E8)</f>
        <v>197203700</v>
      </c>
      <c r="G141" s="2">
        <f t="shared" si="1"/>
        <v>40</v>
      </c>
    </row>
    <row r="142" ht="15.75" customHeight="1">
      <c r="A142" s="1">
        <f>IFERROR(__xludf.DUMMYFUNCTION("""COMPUTED_VALUE"""),44040.66666666667)</f>
        <v>44040.66667</v>
      </c>
      <c r="B142" s="2">
        <f>IFERROR(__xludf.DUMMYFUNCTION("""COMPUTED_VALUE"""),730.0)</f>
        <v>730</v>
      </c>
      <c r="C142" s="2">
        <f>IFERROR(__xludf.DUMMYFUNCTION("""COMPUTED_VALUE"""),755.0)</f>
        <v>755</v>
      </c>
      <c r="D142" s="2">
        <f>IFERROR(__xludf.DUMMYFUNCTION("""COMPUTED_VALUE"""),715.0)</f>
        <v>715</v>
      </c>
      <c r="E142" s="2">
        <f>IFERROR(__xludf.DUMMYFUNCTION("""COMPUTED_VALUE"""),720.0)</f>
        <v>720</v>
      </c>
      <c r="F142" s="2">
        <f>IFERROR(__xludf.DUMMYFUNCTION("""COMPUTED_VALUE"""),1.86698E8)</f>
        <v>186698000</v>
      </c>
      <c r="G142" s="2">
        <f t="shared" si="1"/>
        <v>40</v>
      </c>
    </row>
    <row r="143" ht="15.75" customHeight="1">
      <c r="A143" s="1">
        <f>IFERROR(__xludf.DUMMYFUNCTION("""COMPUTED_VALUE"""),44041.66666666667)</f>
        <v>44041.66667</v>
      </c>
      <c r="B143" s="2">
        <f>IFERROR(__xludf.DUMMYFUNCTION("""COMPUTED_VALUE"""),720.0)</f>
        <v>720</v>
      </c>
      <c r="C143" s="2">
        <f>IFERROR(__xludf.DUMMYFUNCTION("""COMPUTED_VALUE"""),740.0)</f>
        <v>740</v>
      </c>
      <c r="D143" s="2">
        <f>IFERROR(__xludf.DUMMYFUNCTION("""COMPUTED_VALUE"""),710.0)</f>
        <v>710</v>
      </c>
      <c r="E143" s="2">
        <f>IFERROR(__xludf.DUMMYFUNCTION("""COMPUTED_VALUE"""),730.0)</f>
        <v>730</v>
      </c>
      <c r="F143" s="2">
        <f>IFERROR(__xludf.DUMMYFUNCTION("""COMPUTED_VALUE"""),7.96915E7)</f>
        <v>79691500</v>
      </c>
      <c r="G143" s="2">
        <f t="shared" si="1"/>
        <v>30</v>
      </c>
    </row>
    <row r="144" ht="15.75" customHeight="1">
      <c r="A144" s="1">
        <f>IFERROR(__xludf.DUMMYFUNCTION("""COMPUTED_VALUE"""),44042.66666666667)</f>
        <v>44042.66667</v>
      </c>
      <c r="B144" s="2">
        <f>IFERROR(__xludf.DUMMYFUNCTION("""COMPUTED_VALUE"""),730.0)</f>
        <v>730</v>
      </c>
      <c r="C144" s="2">
        <f>IFERROR(__xludf.DUMMYFUNCTION("""COMPUTED_VALUE"""),740.0)</f>
        <v>740</v>
      </c>
      <c r="D144" s="2">
        <f>IFERROR(__xludf.DUMMYFUNCTION("""COMPUTED_VALUE"""),720.0)</f>
        <v>720</v>
      </c>
      <c r="E144" s="2">
        <f>IFERROR(__xludf.DUMMYFUNCTION("""COMPUTED_VALUE"""),730.0)</f>
        <v>730</v>
      </c>
      <c r="F144" s="2">
        <f>IFERROR(__xludf.DUMMYFUNCTION("""COMPUTED_VALUE"""),6.89966E7)</f>
        <v>68996600</v>
      </c>
      <c r="G144" s="2">
        <f t="shared" si="1"/>
        <v>20</v>
      </c>
    </row>
    <row r="145" ht="15.75" customHeight="1">
      <c r="A145" s="1">
        <f>IFERROR(__xludf.DUMMYFUNCTION("""COMPUTED_VALUE"""),44046.66666666667)</f>
        <v>44046.66667</v>
      </c>
      <c r="B145" s="2">
        <f>IFERROR(__xludf.DUMMYFUNCTION("""COMPUTED_VALUE"""),740.0)</f>
        <v>740</v>
      </c>
      <c r="C145" s="2">
        <f>IFERROR(__xludf.DUMMYFUNCTION("""COMPUTED_VALUE"""),750.0)</f>
        <v>750</v>
      </c>
      <c r="D145" s="2">
        <f>IFERROR(__xludf.DUMMYFUNCTION("""COMPUTED_VALUE"""),680.0)</f>
        <v>680</v>
      </c>
      <c r="E145" s="2">
        <f>IFERROR(__xludf.DUMMYFUNCTION("""COMPUTED_VALUE"""),700.0)</f>
        <v>700</v>
      </c>
      <c r="F145" s="2">
        <f>IFERROR(__xludf.DUMMYFUNCTION("""COMPUTED_VALUE"""),1.108702E8)</f>
        <v>110870200</v>
      </c>
      <c r="G145" s="2">
        <f t="shared" si="1"/>
        <v>70</v>
      </c>
    </row>
    <row r="146" ht="15.75" customHeight="1">
      <c r="A146" s="1">
        <f>IFERROR(__xludf.DUMMYFUNCTION("""COMPUTED_VALUE"""),44047.66666666667)</f>
        <v>44047.66667</v>
      </c>
      <c r="B146" s="2">
        <f>IFERROR(__xludf.DUMMYFUNCTION("""COMPUTED_VALUE"""),700.0)</f>
        <v>700</v>
      </c>
      <c r="C146" s="2">
        <f>IFERROR(__xludf.DUMMYFUNCTION("""COMPUTED_VALUE"""),715.0)</f>
        <v>715</v>
      </c>
      <c r="D146" s="2">
        <f>IFERROR(__xludf.DUMMYFUNCTION("""COMPUTED_VALUE"""),700.0)</f>
        <v>700</v>
      </c>
      <c r="E146" s="2">
        <f>IFERROR(__xludf.DUMMYFUNCTION("""COMPUTED_VALUE"""),705.0)</f>
        <v>705</v>
      </c>
      <c r="F146" s="2">
        <f>IFERROR(__xludf.DUMMYFUNCTION("""COMPUTED_VALUE"""),4.3434E7)</f>
        <v>43434000</v>
      </c>
      <c r="G146" s="2">
        <f t="shared" si="1"/>
        <v>15</v>
      </c>
    </row>
    <row r="147" ht="15.75" customHeight="1">
      <c r="A147" s="1">
        <f>IFERROR(__xludf.DUMMYFUNCTION("""COMPUTED_VALUE"""),44048.66666666667)</f>
        <v>44048.66667</v>
      </c>
      <c r="B147" s="2">
        <f>IFERROR(__xludf.DUMMYFUNCTION("""COMPUTED_VALUE"""),730.0)</f>
        <v>730</v>
      </c>
      <c r="C147" s="2">
        <f>IFERROR(__xludf.DUMMYFUNCTION("""COMPUTED_VALUE"""),750.0)</f>
        <v>750</v>
      </c>
      <c r="D147" s="2">
        <f>IFERROR(__xludf.DUMMYFUNCTION("""COMPUTED_VALUE"""),715.0)</f>
        <v>715</v>
      </c>
      <c r="E147" s="2">
        <f>IFERROR(__xludf.DUMMYFUNCTION("""COMPUTED_VALUE"""),750.0)</f>
        <v>750</v>
      </c>
      <c r="F147" s="2">
        <f>IFERROR(__xludf.DUMMYFUNCTION("""COMPUTED_VALUE"""),1.828128E8)</f>
        <v>182812800</v>
      </c>
      <c r="G147" s="2">
        <f t="shared" si="1"/>
        <v>45</v>
      </c>
    </row>
    <row r="148" ht="15.75" customHeight="1">
      <c r="A148" s="1">
        <f>IFERROR(__xludf.DUMMYFUNCTION("""COMPUTED_VALUE"""),44049.66666666667)</f>
        <v>44049.66667</v>
      </c>
      <c r="B148" s="2">
        <f>IFERROR(__xludf.DUMMYFUNCTION("""COMPUTED_VALUE"""),765.0)</f>
        <v>765</v>
      </c>
      <c r="C148" s="2">
        <f>IFERROR(__xludf.DUMMYFUNCTION("""COMPUTED_VALUE"""),840.0)</f>
        <v>840</v>
      </c>
      <c r="D148" s="2">
        <f>IFERROR(__xludf.DUMMYFUNCTION("""COMPUTED_VALUE"""),755.0)</f>
        <v>755</v>
      </c>
      <c r="E148" s="2">
        <f>IFERROR(__xludf.DUMMYFUNCTION("""COMPUTED_VALUE"""),835.0)</f>
        <v>835</v>
      </c>
      <c r="F148" s="2">
        <f>IFERROR(__xludf.DUMMYFUNCTION("""COMPUTED_VALUE"""),4.466584E8)</f>
        <v>446658400</v>
      </c>
      <c r="G148" s="2">
        <f t="shared" si="1"/>
        <v>90</v>
      </c>
    </row>
    <row r="149" ht="15.75" customHeight="1">
      <c r="A149" s="1">
        <f>IFERROR(__xludf.DUMMYFUNCTION("""COMPUTED_VALUE"""),44050.66666666667)</f>
        <v>44050.66667</v>
      </c>
      <c r="B149" s="2">
        <f>IFERROR(__xludf.DUMMYFUNCTION("""COMPUTED_VALUE"""),840.0)</f>
        <v>840</v>
      </c>
      <c r="C149" s="2">
        <f>IFERROR(__xludf.DUMMYFUNCTION("""COMPUTED_VALUE"""),865.0)</f>
        <v>865</v>
      </c>
      <c r="D149" s="2">
        <f>IFERROR(__xludf.DUMMYFUNCTION("""COMPUTED_VALUE"""),835.0)</f>
        <v>835</v>
      </c>
      <c r="E149" s="2">
        <f>IFERROR(__xludf.DUMMYFUNCTION("""COMPUTED_VALUE"""),840.0)</f>
        <v>840</v>
      </c>
      <c r="F149" s="2">
        <f>IFERROR(__xludf.DUMMYFUNCTION("""COMPUTED_VALUE"""),2.638247E8)</f>
        <v>263824700</v>
      </c>
      <c r="G149" s="2">
        <f t="shared" si="1"/>
        <v>30</v>
      </c>
    </row>
    <row r="150" ht="15.75" customHeight="1">
      <c r="A150" s="1">
        <f>IFERROR(__xludf.DUMMYFUNCTION("""COMPUTED_VALUE"""),44053.66666666667)</f>
        <v>44053.66667</v>
      </c>
      <c r="B150" s="2">
        <f>IFERROR(__xludf.DUMMYFUNCTION("""COMPUTED_VALUE"""),840.0)</f>
        <v>840</v>
      </c>
      <c r="C150" s="2">
        <f>IFERROR(__xludf.DUMMYFUNCTION("""COMPUTED_VALUE"""),840.0)</f>
        <v>840</v>
      </c>
      <c r="D150" s="2">
        <f>IFERROR(__xludf.DUMMYFUNCTION("""COMPUTED_VALUE"""),800.0)</f>
        <v>800</v>
      </c>
      <c r="E150" s="2">
        <f>IFERROR(__xludf.DUMMYFUNCTION("""COMPUTED_VALUE"""),825.0)</f>
        <v>825</v>
      </c>
      <c r="F150" s="2">
        <f>IFERROR(__xludf.DUMMYFUNCTION("""COMPUTED_VALUE"""),1.008189E8)</f>
        <v>100818900</v>
      </c>
      <c r="G150" s="2">
        <f t="shared" si="1"/>
        <v>40</v>
      </c>
    </row>
    <row r="151" ht="15.75" customHeight="1">
      <c r="A151" s="1">
        <f>IFERROR(__xludf.DUMMYFUNCTION("""COMPUTED_VALUE"""),44054.66666666667)</f>
        <v>44054.66667</v>
      </c>
      <c r="B151" s="2">
        <f>IFERROR(__xludf.DUMMYFUNCTION("""COMPUTED_VALUE"""),825.0)</f>
        <v>825</v>
      </c>
      <c r="C151" s="2">
        <f>IFERROR(__xludf.DUMMYFUNCTION("""COMPUTED_VALUE"""),830.0)</f>
        <v>830</v>
      </c>
      <c r="D151" s="2">
        <f>IFERROR(__xludf.DUMMYFUNCTION("""COMPUTED_VALUE"""),790.0)</f>
        <v>790</v>
      </c>
      <c r="E151" s="2">
        <f>IFERROR(__xludf.DUMMYFUNCTION("""COMPUTED_VALUE"""),800.0)</f>
        <v>800</v>
      </c>
      <c r="F151" s="2">
        <f>IFERROR(__xludf.DUMMYFUNCTION("""COMPUTED_VALUE"""),1.337874E8)</f>
        <v>133787400</v>
      </c>
      <c r="G151" s="2">
        <f t="shared" si="1"/>
        <v>40</v>
      </c>
    </row>
    <row r="152" ht="15.75" customHeight="1">
      <c r="A152" s="1">
        <f>IFERROR(__xludf.DUMMYFUNCTION("""COMPUTED_VALUE"""),44055.66666666667)</f>
        <v>44055.66667</v>
      </c>
      <c r="B152" s="2">
        <f>IFERROR(__xludf.DUMMYFUNCTION("""COMPUTED_VALUE"""),795.0)</f>
        <v>795</v>
      </c>
      <c r="C152" s="2">
        <f>IFERROR(__xludf.DUMMYFUNCTION("""COMPUTED_VALUE"""),795.0)</f>
        <v>795</v>
      </c>
      <c r="D152" s="2">
        <f>IFERROR(__xludf.DUMMYFUNCTION("""COMPUTED_VALUE"""),750.0)</f>
        <v>750</v>
      </c>
      <c r="E152" s="2">
        <f>IFERROR(__xludf.DUMMYFUNCTION("""COMPUTED_VALUE"""),770.0)</f>
        <v>770</v>
      </c>
      <c r="F152" s="2">
        <f>IFERROR(__xludf.DUMMYFUNCTION("""COMPUTED_VALUE"""),1.885703E8)</f>
        <v>188570300</v>
      </c>
      <c r="G152" s="2">
        <f t="shared" si="1"/>
        <v>50</v>
      </c>
    </row>
    <row r="153" ht="15.75" customHeight="1">
      <c r="A153" s="1">
        <f>IFERROR(__xludf.DUMMYFUNCTION("""COMPUTED_VALUE"""),44056.66666666667)</f>
        <v>44056.66667</v>
      </c>
      <c r="B153" s="2">
        <f>IFERROR(__xludf.DUMMYFUNCTION("""COMPUTED_VALUE"""),770.0)</f>
        <v>770</v>
      </c>
      <c r="C153" s="2">
        <f>IFERROR(__xludf.DUMMYFUNCTION("""COMPUTED_VALUE"""),790.0)</f>
        <v>790</v>
      </c>
      <c r="D153" s="2">
        <f>IFERROR(__xludf.DUMMYFUNCTION("""COMPUTED_VALUE"""),770.0)</f>
        <v>770</v>
      </c>
      <c r="E153" s="2">
        <f>IFERROR(__xludf.DUMMYFUNCTION("""COMPUTED_VALUE"""),770.0)</f>
        <v>770</v>
      </c>
      <c r="F153" s="2">
        <f>IFERROR(__xludf.DUMMYFUNCTION("""COMPUTED_VALUE"""),9.90284E7)</f>
        <v>99028400</v>
      </c>
      <c r="G153" s="2">
        <f t="shared" si="1"/>
        <v>20</v>
      </c>
    </row>
    <row r="154" ht="15.75" customHeight="1">
      <c r="A154" s="1">
        <f>IFERROR(__xludf.DUMMYFUNCTION("""COMPUTED_VALUE"""),44057.66666666667)</f>
        <v>44057.66667</v>
      </c>
      <c r="B154" s="2">
        <f>IFERROR(__xludf.DUMMYFUNCTION("""COMPUTED_VALUE"""),780.0)</f>
        <v>780</v>
      </c>
      <c r="C154" s="2">
        <f>IFERROR(__xludf.DUMMYFUNCTION("""COMPUTED_VALUE"""),805.0)</f>
        <v>805</v>
      </c>
      <c r="D154" s="2">
        <f>IFERROR(__xludf.DUMMYFUNCTION("""COMPUTED_VALUE"""),775.0)</f>
        <v>775</v>
      </c>
      <c r="E154" s="2">
        <f>IFERROR(__xludf.DUMMYFUNCTION("""COMPUTED_VALUE"""),785.0)</f>
        <v>785</v>
      </c>
      <c r="F154" s="2">
        <f>IFERROR(__xludf.DUMMYFUNCTION("""COMPUTED_VALUE"""),2.093713E8)</f>
        <v>209371300</v>
      </c>
      <c r="G154" s="2">
        <f t="shared" si="1"/>
        <v>35</v>
      </c>
    </row>
    <row r="155" ht="15.75" customHeight="1">
      <c r="A155" s="1">
        <f>IFERROR(__xludf.DUMMYFUNCTION("""COMPUTED_VALUE"""),44061.66666666667)</f>
        <v>44061.66667</v>
      </c>
      <c r="B155" s="2">
        <f>IFERROR(__xludf.DUMMYFUNCTION("""COMPUTED_VALUE"""),800.0)</f>
        <v>800</v>
      </c>
      <c r="C155" s="2">
        <f>IFERROR(__xludf.DUMMYFUNCTION("""COMPUTED_VALUE"""),820.0)</f>
        <v>820</v>
      </c>
      <c r="D155" s="2">
        <f>IFERROR(__xludf.DUMMYFUNCTION("""COMPUTED_VALUE"""),795.0)</f>
        <v>795</v>
      </c>
      <c r="E155" s="2">
        <f>IFERROR(__xludf.DUMMYFUNCTION("""COMPUTED_VALUE"""),805.0)</f>
        <v>805</v>
      </c>
      <c r="F155" s="2">
        <f>IFERROR(__xludf.DUMMYFUNCTION("""COMPUTED_VALUE"""),1.78541E8)</f>
        <v>178541000</v>
      </c>
      <c r="G155" s="2">
        <f t="shared" si="1"/>
        <v>35</v>
      </c>
    </row>
    <row r="156" ht="15.75" customHeight="1">
      <c r="A156" s="1">
        <f>IFERROR(__xludf.DUMMYFUNCTION("""COMPUTED_VALUE"""),44062.66666666667)</f>
        <v>44062.66667</v>
      </c>
      <c r="B156" s="2">
        <f>IFERROR(__xludf.DUMMYFUNCTION("""COMPUTED_VALUE"""),810.0)</f>
        <v>810</v>
      </c>
      <c r="C156" s="2">
        <f>IFERROR(__xludf.DUMMYFUNCTION("""COMPUTED_VALUE"""),815.0)</f>
        <v>815</v>
      </c>
      <c r="D156" s="2">
        <f>IFERROR(__xludf.DUMMYFUNCTION("""COMPUTED_VALUE"""),795.0)</f>
        <v>795</v>
      </c>
      <c r="E156" s="2">
        <f>IFERROR(__xludf.DUMMYFUNCTION("""COMPUTED_VALUE"""),795.0)</f>
        <v>795</v>
      </c>
      <c r="F156" s="2">
        <f>IFERROR(__xludf.DUMMYFUNCTION("""COMPUTED_VALUE"""),8.84042E7)</f>
        <v>88404200</v>
      </c>
      <c r="G156" s="2">
        <f t="shared" si="1"/>
        <v>20</v>
      </c>
    </row>
    <row r="157" ht="15.75" customHeight="1">
      <c r="A157" s="1">
        <f>IFERROR(__xludf.DUMMYFUNCTION("""COMPUTED_VALUE"""),44067.66666666667)</f>
        <v>44067.66667</v>
      </c>
      <c r="B157" s="2">
        <f>IFERROR(__xludf.DUMMYFUNCTION("""COMPUTED_VALUE"""),805.0)</f>
        <v>805</v>
      </c>
      <c r="C157" s="2">
        <f>IFERROR(__xludf.DUMMYFUNCTION("""COMPUTED_VALUE"""),805.0)</f>
        <v>805</v>
      </c>
      <c r="D157" s="2">
        <f>IFERROR(__xludf.DUMMYFUNCTION("""COMPUTED_VALUE"""),775.0)</f>
        <v>775</v>
      </c>
      <c r="E157" s="2">
        <f>IFERROR(__xludf.DUMMYFUNCTION("""COMPUTED_VALUE"""),780.0)</f>
        <v>780</v>
      </c>
      <c r="F157" s="2">
        <f>IFERROR(__xludf.DUMMYFUNCTION("""COMPUTED_VALUE"""),1.160651E8)</f>
        <v>116065100</v>
      </c>
      <c r="G157" s="2">
        <f t="shared" si="1"/>
        <v>30</v>
      </c>
    </row>
    <row r="158" ht="15.75" customHeight="1">
      <c r="A158" s="1">
        <f>IFERROR(__xludf.DUMMYFUNCTION("""COMPUTED_VALUE"""),44068.66666666667)</f>
        <v>44068.66667</v>
      </c>
      <c r="B158" s="2">
        <f>IFERROR(__xludf.DUMMYFUNCTION("""COMPUTED_VALUE"""),780.0)</f>
        <v>780</v>
      </c>
      <c r="C158" s="2">
        <f>IFERROR(__xludf.DUMMYFUNCTION("""COMPUTED_VALUE"""),795.0)</f>
        <v>795</v>
      </c>
      <c r="D158" s="2">
        <f>IFERROR(__xludf.DUMMYFUNCTION("""COMPUTED_VALUE"""),775.0)</f>
        <v>775</v>
      </c>
      <c r="E158" s="2">
        <f>IFERROR(__xludf.DUMMYFUNCTION("""COMPUTED_VALUE"""),790.0)</f>
        <v>790</v>
      </c>
      <c r="F158" s="2">
        <f>IFERROR(__xludf.DUMMYFUNCTION("""COMPUTED_VALUE"""),6.90892E7)</f>
        <v>69089200</v>
      </c>
      <c r="G158" s="2">
        <f t="shared" si="1"/>
        <v>20</v>
      </c>
    </row>
    <row r="159" ht="15.75" customHeight="1">
      <c r="A159" s="1">
        <f>IFERROR(__xludf.DUMMYFUNCTION("""COMPUTED_VALUE"""),44069.66666666667)</f>
        <v>44069.66667</v>
      </c>
      <c r="B159" s="2">
        <f>IFERROR(__xludf.DUMMYFUNCTION("""COMPUTED_VALUE"""),790.0)</f>
        <v>790</v>
      </c>
      <c r="C159" s="2">
        <f>IFERROR(__xludf.DUMMYFUNCTION("""COMPUTED_VALUE"""),800.0)</f>
        <v>800</v>
      </c>
      <c r="D159" s="2">
        <f>IFERROR(__xludf.DUMMYFUNCTION("""COMPUTED_VALUE"""),780.0)</f>
        <v>780</v>
      </c>
      <c r="E159" s="2">
        <f>IFERROR(__xludf.DUMMYFUNCTION("""COMPUTED_VALUE"""),785.0)</f>
        <v>785</v>
      </c>
      <c r="F159" s="2">
        <f>IFERROR(__xludf.DUMMYFUNCTION("""COMPUTED_VALUE"""),7.21815E7)</f>
        <v>72181500</v>
      </c>
      <c r="G159" s="2">
        <f t="shared" si="1"/>
        <v>20</v>
      </c>
    </row>
    <row r="160" ht="15.75" customHeight="1">
      <c r="A160" s="1">
        <f>IFERROR(__xludf.DUMMYFUNCTION("""COMPUTED_VALUE"""),44070.66666666667)</f>
        <v>44070.66667</v>
      </c>
      <c r="B160" s="2">
        <f>IFERROR(__xludf.DUMMYFUNCTION("""COMPUTED_VALUE"""),790.0)</f>
        <v>790</v>
      </c>
      <c r="C160" s="2">
        <f>IFERROR(__xludf.DUMMYFUNCTION("""COMPUTED_VALUE"""),805.0)</f>
        <v>805</v>
      </c>
      <c r="D160" s="2">
        <f>IFERROR(__xludf.DUMMYFUNCTION("""COMPUTED_VALUE"""),785.0)</f>
        <v>785</v>
      </c>
      <c r="E160" s="2">
        <f>IFERROR(__xludf.DUMMYFUNCTION("""COMPUTED_VALUE"""),795.0)</f>
        <v>795</v>
      </c>
      <c r="F160" s="2">
        <f>IFERROR(__xludf.DUMMYFUNCTION("""COMPUTED_VALUE"""),8.78159E7)</f>
        <v>87815900</v>
      </c>
      <c r="G160" s="2">
        <f t="shared" si="1"/>
        <v>20</v>
      </c>
    </row>
    <row r="161" ht="15.75" customHeight="1">
      <c r="A161" s="1">
        <f>IFERROR(__xludf.DUMMYFUNCTION("""COMPUTED_VALUE"""),44071.66666666667)</f>
        <v>44071.66667</v>
      </c>
      <c r="B161" s="2">
        <f>IFERROR(__xludf.DUMMYFUNCTION("""COMPUTED_VALUE"""),800.0)</f>
        <v>800</v>
      </c>
      <c r="C161" s="2">
        <f>IFERROR(__xludf.DUMMYFUNCTION("""COMPUTED_VALUE"""),830.0)</f>
        <v>830</v>
      </c>
      <c r="D161" s="2">
        <f>IFERROR(__xludf.DUMMYFUNCTION("""COMPUTED_VALUE"""),790.0)</f>
        <v>790</v>
      </c>
      <c r="E161" s="2">
        <f>IFERROR(__xludf.DUMMYFUNCTION("""COMPUTED_VALUE"""),820.0)</f>
        <v>820</v>
      </c>
      <c r="F161" s="2">
        <f>IFERROR(__xludf.DUMMYFUNCTION("""COMPUTED_VALUE"""),2.784921E8)</f>
        <v>278492100</v>
      </c>
      <c r="G161" s="2">
        <f t="shared" si="1"/>
        <v>40</v>
      </c>
    </row>
    <row r="162" ht="15.75" customHeight="1">
      <c r="A162" s="1">
        <f>IFERROR(__xludf.DUMMYFUNCTION("""COMPUTED_VALUE"""),44074.66666666667)</f>
        <v>44074.66667</v>
      </c>
      <c r="B162" s="2">
        <f>IFERROR(__xludf.DUMMYFUNCTION("""COMPUTED_VALUE"""),830.0)</f>
        <v>830</v>
      </c>
      <c r="C162" s="2">
        <f>IFERROR(__xludf.DUMMYFUNCTION("""COMPUTED_VALUE"""),855.0)</f>
        <v>855</v>
      </c>
      <c r="D162" s="2">
        <f>IFERROR(__xludf.DUMMYFUNCTION("""COMPUTED_VALUE"""),810.0)</f>
        <v>810</v>
      </c>
      <c r="E162" s="2">
        <f>IFERROR(__xludf.DUMMYFUNCTION("""COMPUTED_VALUE"""),820.0)</f>
        <v>820</v>
      </c>
      <c r="F162" s="2">
        <f>IFERROR(__xludf.DUMMYFUNCTION("""COMPUTED_VALUE"""),2.299564E8)</f>
        <v>229956400</v>
      </c>
      <c r="G162" s="2">
        <f t="shared" si="1"/>
        <v>45</v>
      </c>
    </row>
    <row r="163" ht="15.75" customHeight="1">
      <c r="A163" s="1">
        <f>IFERROR(__xludf.DUMMYFUNCTION("""COMPUTED_VALUE"""),44075.66666666667)</f>
        <v>44075.66667</v>
      </c>
      <c r="B163" s="2">
        <f>IFERROR(__xludf.DUMMYFUNCTION("""COMPUTED_VALUE"""),820.0)</f>
        <v>820</v>
      </c>
      <c r="C163" s="2">
        <f>IFERROR(__xludf.DUMMYFUNCTION("""COMPUTED_VALUE"""),840.0)</f>
        <v>840</v>
      </c>
      <c r="D163" s="2">
        <f>IFERROR(__xludf.DUMMYFUNCTION("""COMPUTED_VALUE"""),815.0)</f>
        <v>815</v>
      </c>
      <c r="E163" s="2">
        <f>IFERROR(__xludf.DUMMYFUNCTION("""COMPUTED_VALUE"""),840.0)</f>
        <v>840</v>
      </c>
      <c r="F163" s="2">
        <f>IFERROR(__xludf.DUMMYFUNCTION("""COMPUTED_VALUE"""),1.311258E8)</f>
        <v>131125800</v>
      </c>
      <c r="G163" s="2">
        <f t="shared" si="1"/>
        <v>25</v>
      </c>
    </row>
    <row r="164" ht="15.75" customHeight="1">
      <c r="A164" s="1">
        <f>IFERROR(__xludf.DUMMYFUNCTION("""COMPUTED_VALUE"""),44076.66666666667)</f>
        <v>44076.66667</v>
      </c>
      <c r="B164" s="2">
        <f>IFERROR(__xludf.DUMMYFUNCTION("""COMPUTED_VALUE"""),840.0)</f>
        <v>840</v>
      </c>
      <c r="C164" s="2">
        <f>IFERROR(__xludf.DUMMYFUNCTION("""COMPUTED_VALUE"""),855.0)</f>
        <v>855</v>
      </c>
      <c r="D164" s="2">
        <f>IFERROR(__xludf.DUMMYFUNCTION("""COMPUTED_VALUE"""),830.0)</f>
        <v>830</v>
      </c>
      <c r="E164" s="2">
        <f>IFERROR(__xludf.DUMMYFUNCTION("""COMPUTED_VALUE"""),850.0)</f>
        <v>850</v>
      </c>
      <c r="F164" s="2">
        <f>IFERROR(__xludf.DUMMYFUNCTION("""COMPUTED_VALUE"""),1.261389E8)</f>
        <v>126138900</v>
      </c>
      <c r="G164" s="2">
        <f t="shared" si="1"/>
        <v>25</v>
      </c>
    </row>
    <row r="165" ht="15.75" customHeight="1">
      <c r="A165" s="1">
        <f>IFERROR(__xludf.DUMMYFUNCTION("""COMPUTED_VALUE"""),44077.66666666667)</f>
        <v>44077.66667</v>
      </c>
      <c r="B165" s="2">
        <f>IFERROR(__xludf.DUMMYFUNCTION("""COMPUTED_VALUE"""),850.0)</f>
        <v>850</v>
      </c>
      <c r="C165" s="2">
        <f>IFERROR(__xludf.DUMMYFUNCTION("""COMPUTED_VALUE"""),855.0)</f>
        <v>855</v>
      </c>
      <c r="D165" s="2">
        <f>IFERROR(__xludf.DUMMYFUNCTION("""COMPUTED_VALUE"""),825.0)</f>
        <v>825</v>
      </c>
      <c r="E165" s="2">
        <f>IFERROR(__xludf.DUMMYFUNCTION("""COMPUTED_VALUE"""),830.0)</f>
        <v>830</v>
      </c>
      <c r="F165" s="2">
        <f>IFERROR(__xludf.DUMMYFUNCTION("""COMPUTED_VALUE"""),9.6483E7)</f>
        <v>96483000</v>
      </c>
      <c r="G165" s="2">
        <f t="shared" si="1"/>
        <v>30</v>
      </c>
    </row>
    <row r="166" ht="15.75" customHeight="1">
      <c r="A166" s="1">
        <f>IFERROR(__xludf.DUMMYFUNCTION("""COMPUTED_VALUE"""),44078.66666666667)</f>
        <v>44078.66667</v>
      </c>
      <c r="B166" s="2">
        <f>IFERROR(__xludf.DUMMYFUNCTION("""COMPUTED_VALUE"""),820.0)</f>
        <v>820</v>
      </c>
      <c r="C166" s="2">
        <f>IFERROR(__xludf.DUMMYFUNCTION("""COMPUTED_VALUE"""),830.0)</f>
        <v>830</v>
      </c>
      <c r="D166" s="2">
        <f>IFERROR(__xludf.DUMMYFUNCTION("""COMPUTED_VALUE"""),800.0)</f>
        <v>800</v>
      </c>
      <c r="E166" s="2">
        <f>IFERROR(__xludf.DUMMYFUNCTION("""COMPUTED_VALUE"""),825.0)</f>
        <v>825</v>
      </c>
      <c r="F166" s="2">
        <f>IFERROR(__xludf.DUMMYFUNCTION("""COMPUTED_VALUE"""),9.34633E7)</f>
        <v>93463300</v>
      </c>
      <c r="G166" s="2">
        <f t="shared" si="1"/>
        <v>30</v>
      </c>
    </row>
    <row r="167" ht="15.75" customHeight="1">
      <c r="A167" s="1">
        <f>IFERROR(__xludf.DUMMYFUNCTION("""COMPUTED_VALUE"""),44081.66666666667)</f>
        <v>44081.66667</v>
      </c>
      <c r="B167" s="2">
        <f>IFERROR(__xludf.DUMMYFUNCTION("""COMPUTED_VALUE"""),825.0)</f>
        <v>825</v>
      </c>
      <c r="C167" s="2">
        <f>IFERROR(__xludf.DUMMYFUNCTION("""COMPUTED_VALUE"""),830.0)</f>
        <v>830</v>
      </c>
      <c r="D167" s="2">
        <f>IFERROR(__xludf.DUMMYFUNCTION("""COMPUTED_VALUE"""),810.0)</f>
        <v>810</v>
      </c>
      <c r="E167" s="2">
        <f>IFERROR(__xludf.DUMMYFUNCTION("""COMPUTED_VALUE"""),825.0)</f>
        <v>825</v>
      </c>
      <c r="F167" s="2">
        <f>IFERROR(__xludf.DUMMYFUNCTION("""COMPUTED_VALUE"""),3.5138E7)</f>
        <v>35138000</v>
      </c>
      <c r="G167" s="2">
        <f t="shared" si="1"/>
        <v>20</v>
      </c>
    </row>
    <row r="168" ht="15.75" customHeight="1">
      <c r="A168" s="1">
        <f>IFERROR(__xludf.DUMMYFUNCTION("""COMPUTED_VALUE"""),44082.66666666667)</f>
        <v>44082.66667</v>
      </c>
      <c r="B168" s="2">
        <f>IFERROR(__xludf.DUMMYFUNCTION("""COMPUTED_VALUE"""),825.0)</f>
        <v>825</v>
      </c>
      <c r="C168" s="2">
        <f>IFERROR(__xludf.DUMMYFUNCTION("""COMPUTED_VALUE"""),840.0)</f>
        <v>840</v>
      </c>
      <c r="D168" s="2">
        <f>IFERROR(__xludf.DUMMYFUNCTION("""COMPUTED_VALUE"""),820.0)</f>
        <v>820</v>
      </c>
      <c r="E168" s="2">
        <f>IFERROR(__xludf.DUMMYFUNCTION("""COMPUTED_VALUE"""),825.0)</f>
        <v>825</v>
      </c>
      <c r="F168" s="2">
        <f>IFERROR(__xludf.DUMMYFUNCTION("""COMPUTED_VALUE"""),6.02558E7)</f>
        <v>60255800</v>
      </c>
      <c r="G168" s="2">
        <f t="shared" si="1"/>
        <v>20</v>
      </c>
    </row>
    <row r="169" ht="15.75" customHeight="1">
      <c r="A169" s="1">
        <f>IFERROR(__xludf.DUMMYFUNCTION("""COMPUTED_VALUE"""),44083.66666666667)</f>
        <v>44083.66667</v>
      </c>
      <c r="B169" s="2">
        <f>IFERROR(__xludf.DUMMYFUNCTION("""COMPUTED_VALUE"""),810.0)</f>
        <v>810</v>
      </c>
      <c r="C169" s="2">
        <f>IFERROR(__xludf.DUMMYFUNCTION("""COMPUTED_VALUE"""),810.0)</f>
        <v>810</v>
      </c>
      <c r="D169" s="2">
        <f>IFERROR(__xludf.DUMMYFUNCTION("""COMPUTED_VALUE"""),780.0)</f>
        <v>780</v>
      </c>
      <c r="E169" s="2">
        <f>IFERROR(__xludf.DUMMYFUNCTION("""COMPUTED_VALUE"""),795.0)</f>
        <v>795</v>
      </c>
      <c r="F169" s="2">
        <f>IFERROR(__xludf.DUMMYFUNCTION("""COMPUTED_VALUE"""),1.096245E8)</f>
        <v>109624500</v>
      </c>
      <c r="G169" s="2">
        <f t="shared" si="1"/>
        <v>45</v>
      </c>
    </row>
    <row r="170" ht="15.75" customHeight="1">
      <c r="A170" s="1">
        <f>IFERROR(__xludf.DUMMYFUNCTION("""COMPUTED_VALUE"""),44084.66666666667)</f>
        <v>44084.66667</v>
      </c>
      <c r="B170" s="2">
        <f>IFERROR(__xludf.DUMMYFUNCTION("""COMPUTED_VALUE"""),785.0)</f>
        <v>785</v>
      </c>
      <c r="C170" s="2">
        <f>IFERROR(__xludf.DUMMYFUNCTION("""COMPUTED_VALUE"""),790.0)</f>
        <v>790</v>
      </c>
      <c r="D170" s="2">
        <f>IFERROR(__xludf.DUMMYFUNCTION("""COMPUTED_VALUE"""),740.0)</f>
        <v>740</v>
      </c>
      <c r="E170" s="2">
        <f>IFERROR(__xludf.DUMMYFUNCTION("""COMPUTED_VALUE"""),740.0)</f>
        <v>740</v>
      </c>
      <c r="F170" s="2">
        <f>IFERROR(__xludf.DUMMYFUNCTION("""COMPUTED_VALUE"""),1.219224E8)</f>
        <v>121922400</v>
      </c>
      <c r="G170" s="2">
        <f t="shared" si="1"/>
        <v>55</v>
      </c>
    </row>
    <row r="171" ht="15.75" customHeight="1">
      <c r="A171" s="1">
        <f>IFERROR(__xludf.DUMMYFUNCTION("""COMPUTED_VALUE"""),44085.66666666667)</f>
        <v>44085.66667</v>
      </c>
      <c r="B171" s="2">
        <f>IFERROR(__xludf.DUMMYFUNCTION("""COMPUTED_VALUE"""),710.0)</f>
        <v>710</v>
      </c>
      <c r="C171" s="2">
        <f>IFERROR(__xludf.DUMMYFUNCTION("""COMPUTED_VALUE"""),780.0)</f>
        <v>780</v>
      </c>
      <c r="D171" s="2">
        <f>IFERROR(__xludf.DUMMYFUNCTION("""COMPUTED_VALUE"""),700.0)</f>
        <v>700</v>
      </c>
      <c r="E171" s="2">
        <f>IFERROR(__xludf.DUMMYFUNCTION("""COMPUTED_VALUE"""),775.0)</f>
        <v>775</v>
      </c>
      <c r="F171" s="2">
        <f>IFERROR(__xludf.DUMMYFUNCTION("""COMPUTED_VALUE"""),1.146964E8)</f>
        <v>114696400</v>
      </c>
      <c r="G171" s="2">
        <f t="shared" si="1"/>
        <v>80</v>
      </c>
    </row>
    <row r="172" ht="15.75" customHeight="1">
      <c r="A172" s="1">
        <f>IFERROR(__xludf.DUMMYFUNCTION("""COMPUTED_VALUE"""),44088.66666666667)</f>
        <v>44088.66667</v>
      </c>
      <c r="B172" s="2">
        <f>IFERROR(__xludf.DUMMYFUNCTION("""COMPUTED_VALUE"""),780.0)</f>
        <v>780</v>
      </c>
      <c r="C172" s="2">
        <f>IFERROR(__xludf.DUMMYFUNCTION("""COMPUTED_VALUE"""),805.0)</f>
        <v>805</v>
      </c>
      <c r="D172" s="2">
        <f>IFERROR(__xludf.DUMMYFUNCTION("""COMPUTED_VALUE"""),780.0)</f>
        <v>780</v>
      </c>
      <c r="E172" s="2">
        <f>IFERROR(__xludf.DUMMYFUNCTION("""COMPUTED_VALUE"""),800.0)</f>
        <v>800</v>
      </c>
      <c r="F172" s="2">
        <f>IFERROR(__xludf.DUMMYFUNCTION("""COMPUTED_VALUE"""),6.17912E7)</f>
        <v>61791200</v>
      </c>
      <c r="G172" s="2">
        <f t="shared" si="1"/>
        <v>30</v>
      </c>
    </row>
    <row r="173" ht="15.75" customHeight="1">
      <c r="A173" s="1">
        <f>IFERROR(__xludf.DUMMYFUNCTION("""COMPUTED_VALUE"""),44089.66666666667)</f>
        <v>44089.66667</v>
      </c>
      <c r="B173" s="2">
        <f>IFERROR(__xludf.DUMMYFUNCTION("""COMPUTED_VALUE"""),810.0)</f>
        <v>810</v>
      </c>
      <c r="C173" s="2">
        <f>IFERROR(__xludf.DUMMYFUNCTION("""COMPUTED_VALUE"""),820.0)</f>
        <v>820</v>
      </c>
      <c r="D173" s="2">
        <f>IFERROR(__xludf.DUMMYFUNCTION("""COMPUTED_VALUE"""),785.0)</f>
        <v>785</v>
      </c>
      <c r="E173" s="2">
        <f>IFERROR(__xludf.DUMMYFUNCTION("""COMPUTED_VALUE"""),805.0)</f>
        <v>805</v>
      </c>
      <c r="F173" s="2">
        <f>IFERROR(__xludf.DUMMYFUNCTION("""COMPUTED_VALUE"""),6.63132E7)</f>
        <v>66313200</v>
      </c>
      <c r="G173" s="2">
        <f t="shared" si="1"/>
        <v>35</v>
      </c>
    </row>
    <row r="174" ht="15.75" customHeight="1">
      <c r="A174" s="1">
        <f>IFERROR(__xludf.DUMMYFUNCTION("""COMPUTED_VALUE"""),44090.66666666667)</f>
        <v>44090.66667</v>
      </c>
      <c r="B174" s="2">
        <f>IFERROR(__xludf.DUMMYFUNCTION("""COMPUTED_VALUE"""),805.0)</f>
        <v>805</v>
      </c>
      <c r="C174" s="2">
        <f>IFERROR(__xludf.DUMMYFUNCTION("""COMPUTED_VALUE"""),810.0)</f>
        <v>810</v>
      </c>
      <c r="D174" s="2">
        <f>IFERROR(__xludf.DUMMYFUNCTION("""COMPUTED_VALUE"""),785.0)</f>
        <v>785</v>
      </c>
      <c r="E174" s="2">
        <f>IFERROR(__xludf.DUMMYFUNCTION("""COMPUTED_VALUE"""),795.0)</f>
        <v>795</v>
      </c>
      <c r="F174" s="2">
        <f>IFERROR(__xludf.DUMMYFUNCTION("""COMPUTED_VALUE"""),3.1285E7)</f>
        <v>31285000</v>
      </c>
      <c r="G174" s="2">
        <f t="shared" si="1"/>
        <v>25</v>
      </c>
    </row>
    <row r="175" ht="15.75" customHeight="1">
      <c r="A175" s="1">
        <f>IFERROR(__xludf.DUMMYFUNCTION("""COMPUTED_VALUE"""),44091.66666666667)</f>
        <v>44091.66667</v>
      </c>
      <c r="B175" s="2">
        <f>IFERROR(__xludf.DUMMYFUNCTION("""COMPUTED_VALUE"""),805.0)</f>
        <v>805</v>
      </c>
      <c r="C175" s="2">
        <f>IFERROR(__xludf.DUMMYFUNCTION("""COMPUTED_VALUE"""),805.0)</f>
        <v>805</v>
      </c>
      <c r="D175" s="2">
        <f>IFERROR(__xludf.DUMMYFUNCTION("""COMPUTED_VALUE"""),765.0)</f>
        <v>765</v>
      </c>
      <c r="E175" s="2">
        <f>IFERROR(__xludf.DUMMYFUNCTION("""COMPUTED_VALUE"""),775.0)</f>
        <v>775</v>
      </c>
      <c r="F175" s="2">
        <f>IFERROR(__xludf.DUMMYFUNCTION("""COMPUTED_VALUE"""),4.75433E7)</f>
        <v>47543300</v>
      </c>
      <c r="G175" s="2">
        <f t="shared" si="1"/>
        <v>40</v>
      </c>
    </row>
    <row r="176" ht="15.75" customHeight="1">
      <c r="A176" s="1">
        <f>IFERROR(__xludf.DUMMYFUNCTION("""COMPUTED_VALUE"""),44092.66666666667)</f>
        <v>44092.66667</v>
      </c>
      <c r="B176" s="2">
        <f>IFERROR(__xludf.DUMMYFUNCTION("""COMPUTED_VALUE"""),780.0)</f>
        <v>780</v>
      </c>
      <c r="C176" s="2">
        <f>IFERROR(__xludf.DUMMYFUNCTION("""COMPUTED_VALUE"""),795.0)</f>
        <v>795</v>
      </c>
      <c r="D176" s="2">
        <f>IFERROR(__xludf.DUMMYFUNCTION("""COMPUTED_VALUE"""),775.0)</f>
        <v>775</v>
      </c>
      <c r="E176" s="2">
        <f>IFERROR(__xludf.DUMMYFUNCTION("""COMPUTED_VALUE"""),790.0)</f>
        <v>790</v>
      </c>
      <c r="F176" s="2">
        <f>IFERROR(__xludf.DUMMYFUNCTION("""COMPUTED_VALUE"""),2.88553E7)</f>
        <v>28855300</v>
      </c>
      <c r="G176" s="2">
        <f t="shared" si="1"/>
        <v>20</v>
      </c>
    </row>
    <row r="177" ht="15.75" customHeight="1">
      <c r="A177" s="1">
        <f>IFERROR(__xludf.DUMMYFUNCTION("""COMPUTED_VALUE"""),44095.66666666667)</f>
        <v>44095.66667</v>
      </c>
      <c r="B177" s="2">
        <f>IFERROR(__xludf.DUMMYFUNCTION("""COMPUTED_VALUE"""),785.0)</f>
        <v>785</v>
      </c>
      <c r="C177" s="2">
        <f>IFERROR(__xludf.DUMMYFUNCTION("""COMPUTED_VALUE"""),790.0)</f>
        <v>790</v>
      </c>
      <c r="D177" s="2">
        <f>IFERROR(__xludf.DUMMYFUNCTION("""COMPUTED_VALUE"""),760.0)</f>
        <v>760</v>
      </c>
      <c r="E177" s="2">
        <f>IFERROR(__xludf.DUMMYFUNCTION("""COMPUTED_VALUE"""),765.0)</f>
        <v>765</v>
      </c>
      <c r="F177" s="2">
        <f>IFERROR(__xludf.DUMMYFUNCTION("""COMPUTED_VALUE"""),3.48177E7)</f>
        <v>34817700</v>
      </c>
      <c r="G177" s="2">
        <f t="shared" si="1"/>
        <v>30</v>
      </c>
    </row>
    <row r="178" ht="15.75" customHeight="1">
      <c r="A178" s="1">
        <f>IFERROR(__xludf.DUMMYFUNCTION("""COMPUTED_VALUE"""),44096.66666666667)</f>
        <v>44096.66667</v>
      </c>
      <c r="B178" s="2">
        <f>IFERROR(__xludf.DUMMYFUNCTION("""COMPUTED_VALUE"""),750.0)</f>
        <v>750</v>
      </c>
      <c r="C178" s="2">
        <f>IFERROR(__xludf.DUMMYFUNCTION("""COMPUTED_VALUE"""),755.0)</f>
        <v>755</v>
      </c>
      <c r="D178" s="2">
        <f>IFERROR(__xludf.DUMMYFUNCTION("""COMPUTED_VALUE"""),725.0)</f>
        <v>725</v>
      </c>
      <c r="E178" s="2">
        <f>IFERROR(__xludf.DUMMYFUNCTION("""COMPUTED_VALUE"""),735.0)</f>
        <v>735</v>
      </c>
      <c r="F178" s="2">
        <f>IFERROR(__xludf.DUMMYFUNCTION("""COMPUTED_VALUE"""),5.27896E7)</f>
        <v>52789600</v>
      </c>
      <c r="G178" s="2">
        <f t="shared" si="1"/>
        <v>40</v>
      </c>
    </row>
    <row r="179" ht="15.75" customHeight="1">
      <c r="A179" s="1">
        <f>IFERROR(__xludf.DUMMYFUNCTION("""COMPUTED_VALUE"""),44097.66666666667)</f>
        <v>44097.66667</v>
      </c>
      <c r="B179" s="2">
        <f>IFERROR(__xludf.DUMMYFUNCTION("""COMPUTED_VALUE"""),755.0)</f>
        <v>755</v>
      </c>
      <c r="C179" s="2">
        <f>IFERROR(__xludf.DUMMYFUNCTION("""COMPUTED_VALUE"""),780.0)</f>
        <v>780</v>
      </c>
      <c r="D179" s="2">
        <f>IFERROR(__xludf.DUMMYFUNCTION("""COMPUTED_VALUE"""),735.0)</f>
        <v>735</v>
      </c>
      <c r="E179" s="2">
        <f>IFERROR(__xludf.DUMMYFUNCTION("""COMPUTED_VALUE"""),750.0)</f>
        <v>750</v>
      </c>
      <c r="F179" s="2">
        <f>IFERROR(__xludf.DUMMYFUNCTION("""COMPUTED_VALUE"""),9.54055E7)</f>
        <v>95405500</v>
      </c>
      <c r="G179" s="2">
        <f t="shared" si="1"/>
        <v>45</v>
      </c>
    </row>
    <row r="180" ht="15.75" customHeight="1">
      <c r="A180" s="1">
        <f>IFERROR(__xludf.DUMMYFUNCTION("""COMPUTED_VALUE"""),44098.66666666667)</f>
        <v>44098.66667</v>
      </c>
      <c r="B180" s="2">
        <f>IFERROR(__xludf.DUMMYFUNCTION("""COMPUTED_VALUE"""),750.0)</f>
        <v>750</v>
      </c>
      <c r="C180" s="2">
        <f>IFERROR(__xludf.DUMMYFUNCTION("""COMPUTED_VALUE"""),750.0)</f>
        <v>750</v>
      </c>
      <c r="D180" s="2">
        <f>IFERROR(__xludf.DUMMYFUNCTION("""COMPUTED_VALUE"""),705.0)</f>
        <v>705</v>
      </c>
      <c r="E180" s="2">
        <f>IFERROR(__xludf.DUMMYFUNCTION("""COMPUTED_VALUE"""),720.0)</f>
        <v>720</v>
      </c>
      <c r="F180" s="2">
        <f>IFERROR(__xludf.DUMMYFUNCTION("""COMPUTED_VALUE"""),6.97879E7)</f>
        <v>69787900</v>
      </c>
      <c r="G180" s="2">
        <f t="shared" si="1"/>
        <v>45</v>
      </c>
    </row>
    <row r="181" ht="15.75" customHeight="1">
      <c r="A181" s="1">
        <f>IFERROR(__xludf.DUMMYFUNCTION("""COMPUTED_VALUE"""),44099.66666666667)</f>
        <v>44099.66667</v>
      </c>
      <c r="B181" s="2">
        <f>IFERROR(__xludf.DUMMYFUNCTION("""COMPUTED_VALUE"""),735.0)</f>
        <v>735</v>
      </c>
      <c r="C181" s="2">
        <f>IFERROR(__xludf.DUMMYFUNCTION("""COMPUTED_VALUE"""),735.0)</f>
        <v>735</v>
      </c>
      <c r="D181" s="2">
        <f>IFERROR(__xludf.DUMMYFUNCTION("""COMPUTED_VALUE"""),715.0)</f>
        <v>715</v>
      </c>
      <c r="E181" s="2">
        <f>IFERROR(__xludf.DUMMYFUNCTION("""COMPUTED_VALUE"""),730.0)</f>
        <v>730</v>
      </c>
      <c r="F181" s="2">
        <f>IFERROR(__xludf.DUMMYFUNCTION("""COMPUTED_VALUE"""),4.22314E7)</f>
        <v>42231400</v>
      </c>
      <c r="G181" s="2">
        <f t="shared" si="1"/>
        <v>20</v>
      </c>
    </row>
    <row r="182" ht="15.75" customHeight="1">
      <c r="A182" s="1">
        <f>IFERROR(__xludf.DUMMYFUNCTION("""COMPUTED_VALUE"""),44102.66666666667)</f>
        <v>44102.66667</v>
      </c>
      <c r="B182" s="2">
        <f>IFERROR(__xludf.DUMMYFUNCTION("""COMPUTED_VALUE"""),730.0)</f>
        <v>730</v>
      </c>
      <c r="C182" s="2">
        <f>IFERROR(__xludf.DUMMYFUNCTION("""COMPUTED_VALUE"""),740.0)</f>
        <v>740</v>
      </c>
      <c r="D182" s="2">
        <f>IFERROR(__xludf.DUMMYFUNCTION("""COMPUTED_VALUE"""),715.0)</f>
        <v>715</v>
      </c>
      <c r="E182" s="2">
        <f>IFERROR(__xludf.DUMMYFUNCTION("""COMPUTED_VALUE"""),725.0)</f>
        <v>725</v>
      </c>
      <c r="F182" s="2">
        <f>IFERROR(__xludf.DUMMYFUNCTION("""COMPUTED_VALUE"""),2.33655E7)</f>
        <v>23365500</v>
      </c>
      <c r="G182" s="2">
        <f t="shared" si="1"/>
        <v>25</v>
      </c>
    </row>
    <row r="183" ht="15.75" customHeight="1">
      <c r="A183" s="1">
        <f>IFERROR(__xludf.DUMMYFUNCTION("""COMPUTED_VALUE"""),44103.66666666667)</f>
        <v>44103.66667</v>
      </c>
      <c r="B183" s="2">
        <f>IFERROR(__xludf.DUMMYFUNCTION("""COMPUTED_VALUE"""),735.0)</f>
        <v>735</v>
      </c>
      <c r="C183" s="2">
        <f>IFERROR(__xludf.DUMMYFUNCTION("""COMPUTED_VALUE"""),740.0)</f>
        <v>740</v>
      </c>
      <c r="D183" s="2">
        <f>IFERROR(__xludf.DUMMYFUNCTION("""COMPUTED_VALUE"""),715.0)</f>
        <v>715</v>
      </c>
      <c r="E183" s="2">
        <f>IFERROR(__xludf.DUMMYFUNCTION("""COMPUTED_VALUE"""),715.0)</f>
        <v>715</v>
      </c>
      <c r="F183" s="2">
        <f>IFERROR(__xludf.DUMMYFUNCTION("""COMPUTED_VALUE"""),4.75769E7)</f>
        <v>47576900</v>
      </c>
      <c r="G183" s="2">
        <f t="shared" si="1"/>
        <v>25</v>
      </c>
    </row>
    <row r="184" ht="15.75" customHeight="1">
      <c r="A184" s="1">
        <f>IFERROR(__xludf.DUMMYFUNCTION("""COMPUTED_VALUE"""),44104.66666666667)</f>
        <v>44104.66667</v>
      </c>
      <c r="B184" s="2">
        <f>IFERROR(__xludf.DUMMYFUNCTION("""COMPUTED_VALUE"""),720.0)</f>
        <v>720</v>
      </c>
      <c r="C184" s="2">
        <f>IFERROR(__xludf.DUMMYFUNCTION("""COMPUTED_VALUE"""),730.0)</f>
        <v>730</v>
      </c>
      <c r="D184" s="2">
        <f>IFERROR(__xludf.DUMMYFUNCTION("""COMPUTED_VALUE"""),695.0)</f>
        <v>695</v>
      </c>
      <c r="E184" s="2">
        <f>IFERROR(__xludf.DUMMYFUNCTION("""COMPUTED_VALUE"""),705.0)</f>
        <v>705</v>
      </c>
      <c r="F184" s="2">
        <f>IFERROR(__xludf.DUMMYFUNCTION("""COMPUTED_VALUE"""),4.06887E7)</f>
        <v>40688700</v>
      </c>
      <c r="G184" s="2">
        <f t="shared" si="1"/>
        <v>35</v>
      </c>
    </row>
    <row r="185" ht="15.75" customHeight="1">
      <c r="A185" s="1">
        <f>IFERROR(__xludf.DUMMYFUNCTION("""COMPUTED_VALUE"""),44105.66666666667)</f>
        <v>44105.66667</v>
      </c>
      <c r="B185" s="2">
        <f>IFERROR(__xludf.DUMMYFUNCTION("""COMPUTED_VALUE"""),710.0)</f>
        <v>710</v>
      </c>
      <c r="C185" s="2">
        <f>IFERROR(__xludf.DUMMYFUNCTION("""COMPUTED_VALUE"""),740.0)</f>
        <v>740</v>
      </c>
      <c r="D185" s="2">
        <f>IFERROR(__xludf.DUMMYFUNCTION("""COMPUTED_VALUE"""),710.0)</f>
        <v>710</v>
      </c>
      <c r="E185" s="2">
        <f>IFERROR(__xludf.DUMMYFUNCTION("""COMPUTED_VALUE"""),735.0)</f>
        <v>735</v>
      </c>
      <c r="F185" s="2">
        <f>IFERROR(__xludf.DUMMYFUNCTION("""COMPUTED_VALUE"""),4.55027E7)</f>
        <v>45502700</v>
      </c>
      <c r="G185" s="2">
        <f t="shared" si="1"/>
        <v>35</v>
      </c>
    </row>
    <row r="186" ht="15.75" customHeight="1">
      <c r="A186" s="1">
        <f>IFERROR(__xludf.DUMMYFUNCTION("""COMPUTED_VALUE"""),44106.66666666667)</f>
        <v>44106.66667</v>
      </c>
      <c r="B186" s="2">
        <f>IFERROR(__xludf.DUMMYFUNCTION("""COMPUTED_VALUE"""),735.0)</f>
        <v>735</v>
      </c>
      <c r="C186" s="2">
        <f>IFERROR(__xludf.DUMMYFUNCTION("""COMPUTED_VALUE"""),735.0)</f>
        <v>735</v>
      </c>
      <c r="D186" s="2">
        <f>IFERROR(__xludf.DUMMYFUNCTION("""COMPUTED_VALUE"""),705.0)</f>
        <v>705</v>
      </c>
      <c r="E186" s="2">
        <f>IFERROR(__xludf.DUMMYFUNCTION("""COMPUTED_VALUE"""),725.0)</f>
        <v>725</v>
      </c>
      <c r="F186" s="2">
        <f>IFERROR(__xludf.DUMMYFUNCTION("""COMPUTED_VALUE"""),5.69033E7)</f>
        <v>56903300</v>
      </c>
      <c r="G186" s="2">
        <f t="shared" si="1"/>
        <v>30</v>
      </c>
    </row>
    <row r="187" ht="15.75" customHeight="1">
      <c r="A187" s="1">
        <f>IFERROR(__xludf.DUMMYFUNCTION("""COMPUTED_VALUE"""),44109.66666666667)</f>
        <v>44109.66667</v>
      </c>
      <c r="B187" s="2">
        <f>IFERROR(__xludf.DUMMYFUNCTION("""COMPUTED_VALUE"""),735.0)</f>
        <v>735</v>
      </c>
      <c r="C187" s="2">
        <f>IFERROR(__xludf.DUMMYFUNCTION("""COMPUTED_VALUE"""),735.0)</f>
        <v>735</v>
      </c>
      <c r="D187" s="2">
        <f>IFERROR(__xludf.DUMMYFUNCTION("""COMPUTED_VALUE"""),715.0)</f>
        <v>715</v>
      </c>
      <c r="E187" s="2">
        <f>IFERROR(__xludf.DUMMYFUNCTION("""COMPUTED_VALUE"""),720.0)</f>
        <v>720</v>
      </c>
      <c r="F187" s="2">
        <f>IFERROR(__xludf.DUMMYFUNCTION("""COMPUTED_VALUE"""),2.00898E7)</f>
        <v>20089800</v>
      </c>
      <c r="G187" s="2">
        <f t="shared" si="1"/>
        <v>20</v>
      </c>
    </row>
    <row r="188" ht="15.75" customHeight="1">
      <c r="A188" s="1">
        <f>IFERROR(__xludf.DUMMYFUNCTION("""COMPUTED_VALUE"""),44110.66666666667)</f>
        <v>44110.66667</v>
      </c>
      <c r="B188" s="2">
        <f>IFERROR(__xludf.DUMMYFUNCTION("""COMPUTED_VALUE"""),730.0)</f>
        <v>730</v>
      </c>
      <c r="C188" s="2">
        <f>IFERROR(__xludf.DUMMYFUNCTION("""COMPUTED_VALUE"""),735.0)</f>
        <v>735</v>
      </c>
      <c r="D188" s="2">
        <f>IFERROR(__xludf.DUMMYFUNCTION("""COMPUTED_VALUE"""),715.0)</f>
        <v>715</v>
      </c>
      <c r="E188" s="2">
        <f>IFERROR(__xludf.DUMMYFUNCTION("""COMPUTED_VALUE"""),720.0)</f>
        <v>720</v>
      </c>
      <c r="F188" s="2">
        <f>IFERROR(__xludf.DUMMYFUNCTION("""COMPUTED_VALUE"""),3.99183E7)</f>
        <v>39918300</v>
      </c>
      <c r="G188" s="2">
        <f t="shared" si="1"/>
        <v>20</v>
      </c>
    </row>
    <row r="189" ht="15.75" customHeight="1">
      <c r="A189" s="1">
        <f>IFERROR(__xludf.DUMMYFUNCTION("""COMPUTED_VALUE"""),44111.66666666667)</f>
        <v>44111.66667</v>
      </c>
      <c r="B189" s="2">
        <f>IFERROR(__xludf.DUMMYFUNCTION("""COMPUTED_VALUE"""),715.0)</f>
        <v>715</v>
      </c>
      <c r="C189" s="2">
        <f>IFERROR(__xludf.DUMMYFUNCTION("""COMPUTED_VALUE"""),720.0)</f>
        <v>720</v>
      </c>
      <c r="D189" s="2">
        <f>IFERROR(__xludf.DUMMYFUNCTION("""COMPUTED_VALUE"""),710.0)</f>
        <v>710</v>
      </c>
      <c r="E189" s="2">
        <f>IFERROR(__xludf.DUMMYFUNCTION("""COMPUTED_VALUE"""),715.0)</f>
        <v>715</v>
      </c>
      <c r="F189" s="2">
        <f>IFERROR(__xludf.DUMMYFUNCTION("""COMPUTED_VALUE"""),2.20016E7)</f>
        <v>22001600</v>
      </c>
      <c r="G189" s="2">
        <f t="shared" si="1"/>
        <v>10</v>
      </c>
    </row>
    <row r="190" ht="15.75" customHeight="1">
      <c r="A190" s="1">
        <f>IFERROR(__xludf.DUMMYFUNCTION("""COMPUTED_VALUE"""),44112.66666666667)</f>
        <v>44112.66667</v>
      </c>
      <c r="B190" s="2">
        <f>IFERROR(__xludf.DUMMYFUNCTION("""COMPUTED_VALUE"""),720.0)</f>
        <v>720</v>
      </c>
      <c r="C190" s="2">
        <f>IFERROR(__xludf.DUMMYFUNCTION("""COMPUTED_VALUE"""),730.0)</f>
        <v>730</v>
      </c>
      <c r="D190" s="2">
        <f>IFERROR(__xludf.DUMMYFUNCTION("""COMPUTED_VALUE"""),715.0)</f>
        <v>715</v>
      </c>
      <c r="E190" s="2">
        <f>IFERROR(__xludf.DUMMYFUNCTION("""COMPUTED_VALUE"""),720.0)</f>
        <v>720</v>
      </c>
      <c r="F190" s="2">
        <f>IFERROR(__xludf.DUMMYFUNCTION("""COMPUTED_VALUE"""),2.88431E7)</f>
        <v>28843100</v>
      </c>
      <c r="G190" s="2">
        <f t="shared" si="1"/>
        <v>15</v>
      </c>
    </row>
    <row r="191" ht="15.75" customHeight="1">
      <c r="A191" s="1">
        <f>IFERROR(__xludf.DUMMYFUNCTION("""COMPUTED_VALUE"""),44113.66666666667)</f>
        <v>44113.66667</v>
      </c>
      <c r="B191" s="2">
        <f>IFERROR(__xludf.DUMMYFUNCTION("""COMPUTED_VALUE"""),730.0)</f>
        <v>730</v>
      </c>
      <c r="C191" s="2">
        <f>IFERROR(__xludf.DUMMYFUNCTION("""COMPUTED_VALUE"""),775.0)</f>
        <v>775</v>
      </c>
      <c r="D191" s="2">
        <f>IFERROR(__xludf.DUMMYFUNCTION("""COMPUTED_VALUE"""),725.0)</f>
        <v>725</v>
      </c>
      <c r="E191" s="2">
        <f>IFERROR(__xludf.DUMMYFUNCTION("""COMPUTED_VALUE"""),765.0)</f>
        <v>765</v>
      </c>
      <c r="F191" s="2">
        <f>IFERROR(__xludf.DUMMYFUNCTION("""COMPUTED_VALUE"""),1.754654E8)</f>
        <v>175465400</v>
      </c>
      <c r="G191" s="2">
        <f t="shared" si="1"/>
        <v>55</v>
      </c>
    </row>
    <row r="192" ht="15.75" customHeight="1">
      <c r="A192" s="1">
        <f>IFERROR(__xludf.DUMMYFUNCTION("""COMPUTED_VALUE"""),44116.66666666667)</f>
        <v>44116.66667</v>
      </c>
      <c r="B192" s="2">
        <f>IFERROR(__xludf.DUMMYFUNCTION("""COMPUTED_VALUE"""),780.0)</f>
        <v>780</v>
      </c>
      <c r="C192" s="2">
        <f>IFERROR(__xludf.DUMMYFUNCTION("""COMPUTED_VALUE"""),790.0)</f>
        <v>790</v>
      </c>
      <c r="D192" s="2">
        <f>IFERROR(__xludf.DUMMYFUNCTION("""COMPUTED_VALUE"""),765.0)</f>
        <v>765</v>
      </c>
      <c r="E192" s="2">
        <f>IFERROR(__xludf.DUMMYFUNCTION("""COMPUTED_VALUE"""),780.0)</f>
        <v>780</v>
      </c>
      <c r="F192" s="2">
        <f>IFERROR(__xludf.DUMMYFUNCTION("""COMPUTED_VALUE"""),1.084516E8)</f>
        <v>108451600</v>
      </c>
      <c r="G192" s="2">
        <f t="shared" si="1"/>
        <v>25</v>
      </c>
    </row>
    <row r="193" ht="15.75" customHeight="1">
      <c r="A193" s="1">
        <f>IFERROR(__xludf.DUMMYFUNCTION("""COMPUTED_VALUE"""),44117.66666666667)</f>
        <v>44117.66667</v>
      </c>
      <c r="B193" s="2">
        <f>IFERROR(__xludf.DUMMYFUNCTION("""COMPUTED_VALUE"""),780.0)</f>
        <v>780</v>
      </c>
      <c r="C193" s="2">
        <f>IFERROR(__xludf.DUMMYFUNCTION("""COMPUTED_VALUE"""),780.0)</f>
        <v>780</v>
      </c>
      <c r="D193" s="2">
        <f>IFERROR(__xludf.DUMMYFUNCTION("""COMPUTED_VALUE"""),760.0)</f>
        <v>760</v>
      </c>
      <c r="E193" s="2">
        <f>IFERROR(__xludf.DUMMYFUNCTION("""COMPUTED_VALUE"""),765.0)</f>
        <v>765</v>
      </c>
      <c r="F193" s="2">
        <f>IFERROR(__xludf.DUMMYFUNCTION("""COMPUTED_VALUE"""),4.7798E7)</f>
        <v>47798000</v>
      </c>
      <c r="G193" s="2">
        <f t="shared" si="1"/>
        <v>20</v>
      </c>
    </row>
    <row r="194" ht="15.75" customHeight="1">
      <c r="A194" s="1">
        <f>IFERROR(__xludf.DUMMYFUNCTION("""COMPUTED_VALUE"""),44118.66666666667)</f>
        <v>44118.66667</v>
      </c>
      <c r="B194" s="2">
        <f>IFERROR(__xludf.DUMMYFUNCTION("""COMPUTED_VALUE"""),775.0)</f>
        <v>775</v>
      </c>
      <c r="C194" s="2">
        <f>IFERROR(__xludf.DUMMYFUNCTION("""COMPUTED_VALUE"""),955.0)</f>
        <v>955</v>
      </c>
      <c r="D194" s="2">
        <f>IFERROR(__xludf.DUMMYFUNCTION("""COMPUTED_VALUE"""),775.0)</f>
        <v>775</v>
      </c>
      <c r="E194" s="2">
        <f>IFERROR(__xludf.DUMMYFUNCTION("""COMPUTED_VALUE"""),955.0)</f>
        <v>955</v>
      </c>
      <c r="F194" s="2">
        <f>IFERROR(__xludf.DUMMYFUNCTION("""COMPUTED_VALUE"""),1.1167931E9)</f>
        <v>1116793100</v>
      </c>
      <c r="G194" s="2">
        <f t="shared" si="1"/>
        <v>190</v>
      </c>
    </row>
    <row r="195" ht="15.75" customHeight="1">
      <c r="A195" s="1">
        <f>IFERROR(__xludf.DUMMYFUNCTION("""COMPUTED_VALUE"""),44119.66666666667)</f>
        <v>44119.66667</v>
      </c>
      <c r="B195" s="2">
        <f>IFERROR(__xludf.DUMMYFUNCTION("""COMPUTED_VALUE"""),1020.0)</f>
        <v>1020</v>
      </c>
      <c r="C195" s="2">
        <f>IFERROR(__xludf.DUMMYFUNCTION("""COMPUTED_VALUE"""),1180.0)</f>
        <v>1180</v>
      </c>
      <c r="D195" s="2">
        <f>IFERROR(__xludf.DUMMYFUNCTION("""COMPUTED_VALUE"""),920.0)</f>
        <v>920</v>
      </c>
      <c r="E195" s="2">
        <f>IFERROR(__xludf.DUMMYFUNCTION("""COMPUTED_VALUE"""),935.0)</f>
        <v>935</v>
      </c>
      <c r="F195" s="2">
        <f>IFERROR(__xludf.DUMMYFUNCTION("""COMPUTED_VALUE"""),1.5100699E9)</f>
        <v>1510069900</v>
      </c>
      <c r="G195" s="2">
        <f t="shared" si="1"/>
        <v>260</v>
      </c>
    </row>
    <row r="196" ht="15.75" customHeight="1">
      <c r="A196" s="1">
        <f>IFERROR(__xludf.DUMMYFUNCTION("""COMPUTED_VALUE"""),44120.66666666667)</f>
        <v>44120.66667</v>
      </c>
      <c r="B196" s="2">
        <f>IFERROR(__xludf.DUMMYFUNCTION("""COMPUTED_VALUE"""),960.0)</f>
        <v>960</v>
      </c>
      <c r="C196" s="2">
        <f>IFERROR(__xludf.DUMMYFUNCTION("""COMPUTED_VALUE"""),995.0)</f>
        <v>995</v>
      </c>
      <c r="D196" s="2">
        <f>IFERROR(__xludf.DUMMYFUNCTION("""COMPUTED_VALUE"""),920.0)</f>
        <v>920</v>
      </c>
      <c r="E196" s="2">
        <f>IFERROR(__xludf.DUMMYFUNCTION("""COMPUTED_VALUE"""),940.0)</f>
        <v>940</v>
      </c>
      <c r="F196" s="2">
        <f>IFERROR(__xludf.DUMMYFUNCTION("""COMPUTED_VALUE"""),6.38756E8)</f>
        <v>638756000</v>
      </c>
      <c r="G196" s="2">
        <f t="shared" si="1"/>
        <v>75</v>
      </c>
    </row>
    <row r="197" ht="15.75" customHeight="1">
      <c r="A197" s="1">
        <f>IFERROR(__xludf.DUMMYFUNCTION("""COMPUTED_VALUE"""),44123.66666666667)</f>
        <v>44123.66667</v>
      </c>
      <c r="B197" s="2">
        <f>IFERROR(__xludf.DUMMYFUNCTION("""COMPUTED_VALUE"""),970.0)</f>
        <v>970</v>
      </c>
      <c r="C197" s="2">
        <f>IFERROR(__xludf.DUMMYFUNCTION("""COMPUTED_VALUE"""),1055.0)</f>
        <v>1055</v>
      </c>
      <c r="D197" s="2">
        <f>IFERROR(__xludf.DUMMYFUNCTION("""COMPUTED_VALUE"""),950.0)</f>
        <v>950</v>
      </c>
      <c r="E197" s="2">
        <f>IFERROR(__xludf.DUMMYFUNCTION("""COMPUTED_VALUE"""),1055.0)</f>
        <v>1055</v>
      </c>
      <c r="F197" s="2">
        <f>IFERROR(__xludf.DUMMYFUNCTION("""COMPUTED_VALUE"""),1.1582938E9)</f>
        <v>1158293800</v>
      </c>
      <c r="G197" s="2">
        <f t="shared" si="1"/>
        <v>115</v>
      </c>
    </row>
    <row r="198" ht="15.75" customHeight="1">
      <c r="A198" s="1">
        <f>IFERROR(__xludf.DUMMYFUNCTION("""COMPUTED_VALUE"""),44124.66666666667)</f>
        <v>44124.66667</v>
      </c>
      <c r="B198" s="2">
        <f>IFERROR(__xludf.DUMMYFUNCTION("""COMPUTED_VALUE"""),1055.0)</f>
        <v>1055</v>
      </c>
      <c r="C198" s="2">
        <f>IFERROR(__xludf.DUMMYFUNCTION("""COMPUTED_VALUE"""),1065.0)</f>
        <v>1065</v>
      </c>
      <c r="D198" s="2">
        <f>IFERROR(__xludf.DUMMYFUNCTION("""COMPUTED_VALUE"""),1020.0)</f>
        <v>1020</v>
      </c>
      <c r="E198" s="2">
        <f>IFERROR(__xludf.DUMMYFUNCTION("""COMPUTED_VALUE"""),1035.0)</f>
        <v>1035</v>
      </c>
      <c r="F198" s="2">
        <f>IFERROR(__xludf.DUMMYFUNCTION("""COMPUTED_VALUE"""),7.892657E8)</f>
        <v>789265700</v>
      </c>
      <c r="G198" s="2">
        <f t="shared" si="1"/>
        <v>45</v>
      </c>
    </row>
    <row r="199" ht="15.75" customHeight="1">
      <c r="A199" s="1">
        <f>IFERROR(__xludf.DUMMYFUNCTION("""COMPUTED_VALUE"""),44125.66666666667)</f>
        <v>44125.66667</v>
      </c>
      <c r="B199" s="2">
        <f>IFERROR(__xludf.DUMMYFUNCTION("""COMPUTED_VALUE"""),1050.0)</f>
        <v>1050</v>
      </c>
      <c r="C199" s="2">
        <f>IFERROR(__xludf.DUMMYFUNCTION("""COMPUTED_VALUE"""),1145.0)</f>
        <v>1145</v>
      </c>
      <c r="D199" s="2">
        <f>IFERROR(__xludf.DUMMYFUNCTION("""COMPUTED_VALUE"""),1050.0)</f>
        <v>1050</v>
      </c>
      <c r="E199" s="2">
        <f>IFERROR(__xludf.DUMMYFUNCTION("""COMPUTED_VALUE"""),1100.0)</f>
        <v>1100</v>
      </c>
      <c r="F199" s="2">
        <f>IFERROR(__xludf.DUMMYFUNCTION("""COMPUTED_VALUE"""),1.3700115E9)</f>
        <v>1370011500</v>
      </c>
      <c r="G199" s="2">
        <f t="shared" si="1"/>
        <v>110</v>
      </c>
    </row>
    <row r="200" ht="15.75" customHeight="1">
      <c r="A200" s="1">
        <f>IFERROR(__xludf.DUMMYFUNCTION("""COMPUTED_VALUE"""),44126.66666666667)</f>
        <v>44126.66667</v>
      </c>
      <c r="B200" s="2">
        <f>IFERROR(__xludf.DUMMYFUNCTION("""COMPUTED_VALUE"""),1100.0)</f>
        <v>1100</v>
      </c>
      <c r="C200" s="2">
        <f>IFERROR(__xludf.DUMMYFUNCTION("""COMPUTED_VALUE"""),1120.0)</f>
        <v>1120</v>
      </c>
      <c r="D200" s="2">
        <f>IFERROR(__xludf.DUMMYFUNCTION("""COMPUTED_VALUE"""),1075.0)</f>
        <v>1075</v>
      </c>
      <c r="E200" s="2">
        <f>IFERROR(__xludf.DUMMYFUNCTION("""COMPUTED_VALUE"""),1085.0)</f>
        <v>1085</v>
      </c>
      <c r="F200" s="2">
        <f>IFERROR(__xludf.DUMMYFUNCTION("""COMPUTED_VALUE"""),4.654079E8)</f>
        <v>465407900</v>
      </c>
      <c r="G200" s="2">
        <f t="shared" si="1"/>
        <v>45</v>
      </c>
    </row>
    <row r="201" ht="15.75" customHeight="1">
      <c r="A201" s="1">
        <f>IFERROR(__xludf.DUMMYFUNCTION("""COMPUTED_VALUE"""),44127.66666666667)</f>
        <v>44127.66667</v>
      </c>
      <c r="B201" s="2">
        <f>IFERROR(__xludf.DUMMYFUNCTION("""COMPUTED_VALUE"""),1095.0)</f>
        <v>1095</v>
      </c>
      <c r="C201" s="2">
        <f>IFERROR(__xludf.DUMMYFUNCTION("""COMPUTED_VALUE"""),1120.0)</f>
        <v>1120</v>
      </c>
      <c r="D201" s="2">
        <f>IFERROR(__xludf.DUMMYFUNCTION("""COMPUTED_VALUE"""),1060.0)</f>
        <v>1060</v>
      </c>
      <c r="E201" s="2">
        <f>IFERROR(__xludf.DUMMYFUNCTION("""COMPUTED_VALUE"""),1085.0)</f>
        <v>1085</v>
      </c>
      <c r="F201" s="2">
        <f>IFERROR(__xludf.DUMMYFUNCTION("""COMPUTED_VALUE"""),3.927223E8)</f>
        <v>392722300</v>
      </c>
      <c r="G201" s="2">
        <f t="shared" si="1"/>
        <v>60</v>
      </c>
    </row>
    <row r="202" ht="15.75" customHeight="1">
      <c r="A202" s="1">
        <f>IFERROR(__xludf.DUMMYFUNCTION("""COMPUTED_VALUE"""),44130.66666666667)</f>
        <v>44130.66667</v>
      </c>
      <c r="B202" s="2">
        <f>IFERROR(__xludf.DUMMYFUNCTION("""COMPUTED_VALUE"""),1090.0)</f>
        <v>1090</v>
      </c>
      <c r="C202" s="2">
        <f>IFERROR(__xludf.DUMMYFUNCTION("""COMPUTED_VALUE"""),1095.0)</f>
        <v>1095</v>
      </c>
      <c r="D202" s="2">
        <f>IFERROR(__xludf.DUMMYFUNCTION("""COMPUTED_VALUE"""),1060.0)</f>
        <v>1060</v>
      </c>
      <c r="E202" s="2">
        <f>IFERROR(__xludf.DUMMYFUNCTION("""COMPUTED_VALUE"""),1060.0)</f>
        <v>1060</v>
      </c>
      <c r="F202" s="2">
        <f>IFERROR(__xludf.DUMMYFUNCTION("""COMPUTED_VALUE"""),1.832901E8)</f>
        <v>183290100</v>
      </c>
      <c r="G202" s="2">
        <f t="shared" si="1"/>
        <v>35</v>
      </c>
    </row>
    <row r="203" ht="15.75" customHeight="1">
      <c r="A203" s="1">
        <f>IFERROR(__xludf.DUMMYFUNCTION("""COMPUTED_VALUE"""),44131.66666666667)</f>
        <v>44131.66667</v>
      </c>
      <c r="B203" s="2">
        <f>IFERROR(__xludf.DUMMYFUNCTION("""COMPUTED_VALUE"""),1050.0)</f>
        <v>1050</v>
      </c>
      <c r="C203" s="2">
        <f>IFERROR(__xludf.DUMMYFUNCTION("""COMPUTED_VALUE"""),1095.0)</f>
        <v>1095</v>
      </c>
      <c r="D203" s="2">
        <f>IFERROR(__xludf.DUMMYFUNCTION("""COMPUTED_VALUE"""),1050.0)</f>
        <v>1050</v>
      </c>
      <c r="E203" s="2">
        <f>IFERROR(__xludf.DUMMYFUNCTION("""COMPUTED_VALUE"""),1055.0)</f>
        <v>1055</v>
      </c>
      <c r="F203" s="2">
        <f>IFERROR(__xludf.DUMMYFUNCTION("""COMPUTED_VALUE"""),3.337341E8)</f>
        <v>333734100</v>
      </c>
      <c r="G203" s="2">
        <f t="shared" si="1"/>
        <v>45</v>
      </c>
    </row>
    <row r="204" ht="15.75" customHeight="1">
      <c r="A204" s="1">
        <f>IFERROR(__xludf.DUMMYFUNCTION("""COMPUTED_VALUE"""),44137.66666666667)</f>
        <v>44137.66667</v>
      </c>
      <c r="B204" s="2">
        <f>IFERROR(__xludf.DUMMYFUNCTION("""COMPUTED_VALUE"""),1065.0)</f>
        <v>1065</v>
      </c>
      <c r="C204" s="2">
        <f>IFERROR(__xludf.DUMMYFUNCTION("""COMPUTED_VALUE"""),1125.0)</f>
        <v>1125</v>
      </c>
      <c r="D204" s="2">
        <f>IFERROR(__xludf.DUMMYFUNCTION("""COMPUTED_VALUE"""),1055.0)</f>
        <v>1055</v>
      </c>
      <c r="E204" s="2">
        <f>IFERROR(__xludf.DUMMYFUNCTION("""COMPUTED_VALUE"""),1100.0)</f>
        <v>1100</v>
      </c>
      <c r="F204" s="2">
        <f>IFERROR(__xludf.DUMMYFUNCTION("""COMPUTED_VALUE"""),5.712533E8)</f>
        <v>571253300</v>
      </c>
      <c r="G204" s="2">
        <f t="shared" si="1"/>
        <v>70</v>
      </c>
    </row>
    <row r="205" ht="15.75" customHeight="1">
      <c r="A205" s="1">
        <f>IFERROR(__xludf.DUMMYFUNCTION("""COMPUTED_VALUE"""),44138.66666666667)</f>
        <v>44138.66667</v>
      </c>
      <c r="B205" s="2">
        <f>IFERROR(__xludf.DUMMYFUNCTION("""COMPUTED_VALUE"""),1115.0)</f>
        <v>1115</v>
      </c>
      <c r="C205" s="2">
        <f>IFERROR(__xludf.DUMMYFUNCTION("""COMPUTED_VALUE"""),1130.0)</f>
        <v>1130</v>
      </c>
      <c r="D205" s="2">
        <f>IFERROR(__xludf.DUMMYFUNCTION("""COMPUTED_VALUE"""),1105.0)</f>
        <v>1105</v>
      </c>
      <c r="E205" s="2">
        <f>IFERROR(__xludf.DUMMYFUNCTION("""COMPUTED_VALUE"""),1110.0)</f>
        <v>1110</v>
      </c>
      <c r="F205" s="2">
        <f>IFERROR(__xludf.DUMMYFUNCTION("""COMPUTED_VALUE"""),3.175727E8)</f>
        <v>317572700</v>
      </c>
      <c r="G205" s="2">
        <f t="shared" si="1"/>
        <v>30</v>
      </c>
    </row>
    <row r="206" ht="15.75" customHeight="1">
      <c r="A206" s="1">
        <f>IFERROR(__xludf.DUMMYFUNCTION("""COMPUTED_VALUE"""),44139.66666666667)</f>
        <v>44139.66667</v>
      </c>
      <c r="B206" s="2">
        <f>IFERROR(__xludf.DUMMYFUNCTION("""COMPUTED_VALUE"""),1125.0)</f>
        <v>1125</v>
      </c>
      <c r="C206" s="2">
        <f>IFERROR(__xludf.DUMMYFUNCTION("""COMPUTED_VALUE"""),1145.0)</f>
        <v>1145</v>
      </c>
      <c r="D206" s="2">
        <f>IFERROR(__xludf.DUMMYFUNCTION("""COMPUTED_VALUE"""),1100.0)</f>
        <v>1100</v>
      </c>
      <c r="E206" s="2">
        <f>IFERROR(__xludf.DUMMYFUNCTION("""COMPUTED_VALUE"""),1105.0)</f>
        <v>1105</v>
      </c>
      <c r="F206" s="2">
        <f>IFERROR(__xludf.DUMMYFUNCTION("""COMPUTED_VALUE"""),4.102165E8)</f>
        <v>410216500</v>
      </c>
      <c r="G206" s="2">
        <f t="shared" si="1"/>
        <v>45</v>
      </c>
    </row>
    <row r="207" ht="15.75" customHeight="1">
      <c r="A207" s="1">
        <f>IFERROR(__xludf.DUMMYFUNCTION("""COMPUTED_VALUE"""),44140.66666666667)</f>
        <v>44140.66667</v>
      </c>
      <c r="B207" s="2">
        <f>IFERROR(__xludf.DUMMYFUNCTION("""COMPUTED_VALUE"""),1130.0)</f>
        <v>1130</v>
      </c>
      <c r="C207" s="2">
        <f>IFERROR(__xludf.DUMMYFUNCTION("""COMPUTED_VALUE"""),1145.0)</f>
        <v>1145</v>
      </c>
      <c r="D207" s="2">
        <f>IFERROR(__xludf.DUMMYFUNCTION("""COMPUTED_VALUE"""),1115.0)</f>
        <v>1115</v>
      </c>
      <c r="E207" s="2">
        <f>IFERROR(__xludf.DUMMYFUNCTION("""COMPUTED_VALUE"""),1125.0)</f>
        <v>1125</v>
      </c>
      <c r="F207" s="2">
        <f>IFERROR(__xludf.DUMMYFUNCTION("""COMPUTED_VALUE"""),2.40422E8)</f>
        <v>240422000</v>
      </c>
      <c r="G207" s="2">
        <f t="shared" si="1"/>
        <v>40</v>
      </c>
    </row>
    <row r="208" ht="15.75" customHeight="1">
      <c r="A208" s="1">
        <f>IFERROR(__xludf.DUMMYFUNCTION("""COMPUTED_VALUE"""),44141.66666666667)</f>
        <v>44141.66667</v>
      </c>
      <c r="B208" s="2">
        <f>IFERROR(__xludf.DUMMYFUNCTION("""COMPUTED_VALUE"""),1140.0)</f>
        <v>1140</v>
      </c>
      <c r="C208" s="2">
        <f>IFERROR(__xludf.DUMMYFUNCTION("""COMPUTED_VALUE"""),1140.0)</f>
        <v>1140</v>
      </c>
      <c r="D208" s="2">
        <f>IFERROR(__xludf.DUMMYFUNCTION("""COMPUTED_VALUE"""),1115.0)</f>
        <v>1115</v>
      </c>
      <c r="E208" s="2">
        <f>IFERROR(__xludf.DUMMYFUNCTION("""COMPUTED_VALUE"""),1125.0)</f>
        <v>1125</v>
      </c>
      <c r="F208" s="2">
        <f>IFERROR(__xludf.DUMMYFUNCTION("""COMPUTED_VALUE"""),2.021596E8)</f>
        <v>202159600</v>
      </c>
      <c r="G208" s="2">
        <f t="shared" si="1"/>
        <v>25</v>
      </c>
    </row>
    <row r="209" ht="15.75" customHeight="1">
      <c r="A209" s="1">
        <f>IFERROR(__xludf.DUMMYFUNCTION("""COMPUTED_VALUE"""),44144.66666666667)</f>
        <v>44144.66667</v>
      </c>
      <c r="B209" s="2">
        <f>IFERROR(__xludf.DUMMYFUNCTION("""COMPUTED_VALUE"""),1140.0)</f>
        <v>1140</v>
      </c>
      <c r="C209" s="2">
        <f>IFERROR(__xludf.DUMMYFUNCTION("""COMPUTED_VALUE"""),1245.0)</f>
        <v>1245</v>
      </c>
      <c r="D209" s="2">
        <f>IFERROR(__xludf.DUMMYFUNCTION("""COMPUTED_VALUE"""),1135.0)</f>
        <v>1135</v>
      </c>
      <c r="E209" s="2">
        <f>IFERROR(__xludf.DUMMYFUNCTION("""COMPUTED_VALUE"""),1240.0)</f>
        <v>1240</v>
      </c>
      <c r="F209" s="2">
        <f>IFERROR(__xludf.DUMMYFUNCTION("""COMPUTED_VALUE"""),8.463135E8)</f>
        <v>846313500</v>
      </c>
      <c r="G209" s="2">
        <f t="shared" si="1"/>
        <v>120</v>
      </c>
    </row>
    <row r="210" ht="15.75" customHeight="1">
      <c r="A210" s="1">
        <f>IFERROR(__xludf.DUMMYFUNCTION("""COMPUTED_VALUE"""),44145.66666666667)</f>
        <v>44145.66667</v>
      </c>
      <c r="B210" s="2">
        <f>IFERROR(__xludf.DUMMYFUNCTION("""COMPUTED_VALUE"""),1250.0)</f>
        <v>1250</v>
      </c>
      <c r="C210" s="2">
        <f>IFERROR(__xludf.DUMMYFUNCTION("""COMPUTED_VALUE"""),1255.0)</f>
        <v>1255</v>
      </c>
      <c r="D210" s="2">
        <f>IFERROR(__xludf.DUMMYFUNCTION("""COMPUTED_VALUE"""),1195.0)</f>
        <v>1195</v>
      </c>
      <c r="E210" s="2">
        <f>IFERROR(__xludf.DUMMYFUNCTION("""COMPUTED_VALUE"""),1200.0)</f>
        <v>1200</v>
      </c>
      <c r="F210" s="2">
        <f>IFERROR(__xludf.DUMMYFUNCTION("""COMPUTED_VALUE"""),6.049343E8)</f>
        <v>604934300</v>
      </c>
      <c r="G210" s="2">
        <f t="shared" si="1"/>
        <v>60</v>
      </c>
    </row>
    <row r="211" ht="15.75" customHeight="1">
      <c r="A211" s="1">
        <f>IFERROR(__xludf.DUMMYFUNCTION("""COMPUTED_VALUE"""),44146.66666666667)</f>
        <v>44146.66667</v>
      </c>
      <c r="B211" s="2">
        <f>IFERROR(__xludf.DUMMYFUNCTION("""COMPUTED_VALUE"""),1210.0)</f>
        <v>1210</v>
      </c>
      <c r="C211" s="2">
        <f>IFERROR(__xludf.DUMMYFUNCTION("""COMPUTED_VALUE"""),1240.0)</f>
        <v>1240</v>
      </c>
      <c r="D211" s="2">
        <f>IFERROR(__xludf.DUMMYFUNCTION("""COMPUTED_VALUE"""),1185.0)</f>
        <v>1185</v>
      </c>
      <c r="E211" s="2">
        <f>IFERROR(__xludf.DUMMYFUNCTION("""COMPUTED_VALUE"""),1195.0)</f>
        <v>1195</v>
      </c>
      <c r="F211" s="2">
        <f>IFERROR(__xludf.DUMMYFUNCTION("""COMPUTED_VALUE"""),6.288785E8)</f>
        <v>628878500</v>
      </c>
      <c r="G211" s="2">
        <f t="shared" si="1"/>
        <v>55</v>
      </c>
    </row>
    <row r="212" ht="15.75" customHeight="1">
      <c r="A212" s="1">
        <f>IFERROR(__xludf.DUMMYFUNCTION("""COMPUTED_VALUE"""),44147.66666666667)</f>
        <v>44147.66667</v>
      </c>
      <c r="B212" s="2">
        <f>IFERROR(__xludf.DUMMYFUNCTION("""COMPUTED_VALUE"""),1190.0)</f>
        <v>1190</v>
      </c>
      <c r="C212" s="2">
        <f>IFERROR(__xludf.DUMMYFUNCTION("""COMPUTED_VALUE"""),1205.0)</f>
        <v>1205</v>
      </c>
      <c r="D212" s="2">
        <f>IFERROR(__xludf.DUMMYFUNCTION("""COMPUTED_VALUE"""),1165.0)</f>
        <v>1165</v>
      </c>
      <c r="E212" s="2">
        <f>IFERROR(__xludf.DUMMYFUNCTION("""COMPUTED_VALUE"""),1170.0)</f>
        <v>1170</v>
      </c>
      <c r="F212" s="2">
        <f>IFERROR(__xludf.DUMMYFUNCTION("""COMPUTED_VALUE"""),2.000559E8)</f>
        <v>200055900</v>
      </c>
      <c r="G212" s="2">
        <f t="shared" si="1"/>
        <v>40</v>
      </c>
    </row>
    <row r="213" ht="15.75" customHeight="1">
      <c r="A213" s="1">
        <f>IFERROR(__xludf.DUMMYFUNCTION("""COMPUTED_VALUE"""),44148.66666666667)</f>
        <v>44148.66667</v>
      </c>
      <c r="B213" s="2">
        <f>IFERROR(__xludf.DUMMYFUNCTION("""COMPUTED_VALUE"""),1160.0)</f>
        <v>1160</v>
      </c>
      <c r="C213" s="2">
        <f>IFERROR(__xludf.DUMMYFUNCTION("""COMPUTED_VALUE"""),1180.0)</f>
        <v>1180</v>
      </c>
      <c r="D213" s="2">
        <f>IFERROR(__xludf.DUMMYFUNCTION("""COMPUTED_VALUE"""),1155.0)</f>
        <v>1155</v>
      </c>
      <c r="E213" s="2">
        <f>IFERROR(__xludf.DUMMYFUNCTION("""COMPUTED_VALUE"""),1170.0)</f>
        <v>1170</v>
      </c>
      <c r="F213" s="2">
        <f>IFERROR(__xludf.DUMMYFUNCTION("""COMPUTED_VALUE"""),1.728424E8)</f>
        <v>172842400</v>
      </c>
      <c r="G213" s="2">
        <f t="shared" si="1"/>
        <v>25</v>
      </c>
    </row>
    <row r="214" ht="15.75" customHeight="1">
      <c r="A214" s="1">
        <f>IFERROR(__xludf.DUMMYFUNCTION("""COMPUTED_VALUE"""),44151.66666666667)</f>
        <v>44151.66667</v>
      </c>
      <c r="B214" s="2">
        <f>IFERROR(__xludf.DUMMYFUNCTION("""COMPUTED_VALUE"""),1200.0)</f>
        <v>1200</v>
      </c>
      <c r="C214" s="2">
        <f>IFERROR(__xludf.DUMMYFUNCTION("""COMPUTED_VALUE"""),1210.0)</f>
        <v>1210</v>
      </c>
      <c r="D214" s="2">
        <f>IFERROR(__xludf.DUMMYFUNCTION("""COMPUTED_VALUE"""),1180.0)</f>
        <v>1180</v>
      </c>
      <c r="E214" s="2">
        <f>IFERROR(__xludf.DUMMYFUNCTION("""COMPUTED_VALUE"""),1185.0)</f>
        <v>1185</v>
      </c>
      <c r="F214" s="2">
        <f>IFERROR(__xludf.DUMMYFUNCTION("""COMPUTED_VALUE"""),2.134869E8)</f>
        <v>213486900</v>
      </c>
      <c r="G214" s="2">
        <f t="shared" si="1"/>
        <v>40</v>
      </c>
    </row>
    <row r="215" ht="15.75" customHeight="1">
      <c r="A215" s="1">
        <f>IFERROR(__xludf.DUMMYFUNCTION("""COMPUTED_VALUE"""),44152.66666666667)</f>
        <v>44152.66667</v>
      </c>
      <c r="B215" s="2">
        <f>IFERROR(__xludf.DUMMYFUNCTION("""COMPUTED_VALUE"""),1185.0)</f>
        <v>1185</v>
      </c>
      <c r="C215" s="2">
        <f>IFERROR(__xludf.DUMMYFUNCTION("""COMPUTED_VALUE"""),1215.0)</f>
        <v>1215</v>
      </c>
      <c r="D215" s="2">
        <f>IFERROR(__xludf.DUMMYFUNCTION("""COMPUTED_VALUE"""),1175.0)</f>
        <v>1175</v>
      </c>
      <c r="E215" s="2">
        <f>IFERROR(__xludf.DUMMYFUNCTION("""COMPUTED_VALUE"""),1190.0)</f>
        <v>1190</v>
      </c>
      <c r="F215" s="2">
        <f>IFERROR(__xludf.DUMMYFUNCTION("""COMPUTED_VALUE"""),3.007314E8)</f>
        <v>300731400</v>
      </c>
      <c r="G215" s="2">
        <f t="shared" si="1"/>
        <v>40</v>
      </c>
    </row>
    <row r="216" ht="15.75" customHeight="1">
      <c r="A216" s="1">
        <f>IFERROR(__xludf.DUMMYFUNCTION("""COMPUTED_VALUE"""),44153.66666666667)</f>
        <v>44153.66667</v>
      </c>
      <c r="B216" s="2">
        <f>IFERROR(__xludf.DUMMYFUNCTION("""COMPUTED_VALUE"""),1220.0)</f>
        <v>1220</v>
      </c>
      <c r="C216" s="2">
        <f>IFERROR(__xludf.DUMMYFUNCTION("""COMPUTED_VALUE"""),1280.0)</f>
        <v>1280</v>
      </c>
      <c r="D216" s="2">
        <f>IFERROR(__xludf.DUMMYFUNCTION("""COMPUTED_VALUE"""),1215.0)</f>
        <v>1215</v>
      </c>
      <c r="E216" s="2">
        <f>IFERROR(__xludf.DUMMYFUNCTION("""COMPUTED_VALUE"""),1240.0)</f>
        <v>1240</v>
      </c>
      <c r="F216" s="2">
        <f>IFERROR(__xludf.DUMMYFUNCTION("""COMPUTED_VALUE"""),8.534199E8)</f>
        <v>853419900</v>
      </c>
      <c r="G216" s="2">
        <f t="shared" si="1"/>
        <v>90</v>
      </c>
    </row>
    <row r="217" ht="15.75" customHeight="1">
      <c r="A217" s="1">
        <f>IFERROR(__xludf.DUMMYFUNCTION("""COMPUTED_VALUE"""),44154.66666666667)</f>
        <v>44154.66667</v>
      </c>
      <c r="B217" s="2">
        <f>IFERROR(__xludf.DUMMYFUNCTION("""COMPUTED_VALUE"""),1240.0)</f>
        <v>1240</v>
      </c>
      <c r="C217" s="2">
        <f>IFERROR(__xludf.DUMMYFUNCTION("""COMPUTED_VALUE"""),1245.0)</f>
        <v>1245</v>
      </c>
      <c r="D217" s="2">
        <f>IFERROR(__xludf.DUMMYFUNCTION("""COMPUTED_VALUE"""),1220.0)</f>
        <v>1220</v>
      </c>
      <c r="E217" s="2">
        <f>IFERROR(__xludf.DUMMYFUNCTION("""COMPUTED_VALUE"""),1235.0)</f>
        <v>1235</v>
      </c>
      <c r="F217" s="2">
        <f>IFERROR(__xludf.DUMMYFUNCTION("""COMPUTED_VALUE"""),2.863941E8)</f>
        <v>286394100</v>
      </c>
      <c r="G217" s="2">
        <f t="shared" si="1"/>
        <v>25</v>
      </c>
    </row>
    <row r="218" ht="15.75" customHeight="1">
      <c r="A218" s="1">
        <f>IFERROR(__xludf.DUMMYFUNCTION("""COMPUTED_VALUE"""),44155.66666666667)</f>
        <v>44155.66667</v>
      </c>
      <c r="B218" s="2">
        <f>IFERROR(__xludf.DUMMYFUNCTION("""COMPUTED_VALUE"""),1235.0)</f>
        <v>1235</v>
      </c>
      <c r="C218" s="2">
        <f>IFERROR(__xludf.DUMMYFUNCTION("""COMPUTED_VALUE"""),1240.0)</f>
        <v>1240</v>
      </c>
      <c r="D218" s="2">
        <f>IFERROR(__xludf.DUMMYFUNCTION("""COMPUTED_VALUE"""),1200.0)</f>
        <v>1200</v>
      </c>
      <c r="E218" s="2">
        <f>IFERROR(__xludf.DUMMYFUNCTION("""COMPUTED_VALUE"""),1210.0)</f>
        <v>1210</v>
      </c>
      <c r="F218" s="2">
        <f>IFERROR(__xludf.DUMMYFUNCTION("""COMPUTED_VALUE"""),2.209369E8)</f>
        <v>220936900</v>
      </c>
      <c r="G218" s="2">
        <f t="shared" si="1"/>
        <v>40</v>
      </c>
    </row>
    <row r="219" ht="15.75" customHeight="1">
      <c r="A219" s="1">
        <f>IFERROR(__xludf.DUMMYFUNCTION("""COMPUTED_VALUE"""),44158.66666666667)</f>
        <v>44158.66667</v>
      </c>
      <c r="B219" s="2">
        <f>IFERROR(__xludf.DUMMYFUNCTION("""COMPUTED_VALUE"""),1225.0)</f>
        <v>1225</v>
      </c>
      <c r="C219" s="2">
        <f>IFERROR(__xludf.DUMMYFUNCTION("""COMPUTED_VALUE"""),1255.0)</f>
        <v>1255</v>
      </c>
      <c r="D219" s="2">
        <f>IFERROR(__xludf.DUMMYFUNCTION("""COMPUTED_VALUE"""),1215.0)</f>
        <v>1215</v>
      </c>
      <c r="E219" s="2">
        <f>IFERROR(__xludf.DUMMYFUNCTION("""COMPUTED_VALUE"""),1255.0)</f>
        <v>1255</v>
      </c>
      <c r="F219" s="2">
        <f>IFERROR(__xludf.DUMMYFUNCTION("""COMPUTED_VALUE"""),3.714014E8)</f>
        <v>371401400</v>
      </c>
      <c r="G219" s="2">
        <f t="shared" si="1"/>
        <v>45</v>
      </c>
    </row>
    <row r="220" ht="15.75" customHeight="1">
      <c r="A220" s="1">
        <f>IFERROR(__xludf.DUMMYFUNCTION("""COMPUTED_VALUE"""),44159.66666666667)</f>
        <v>44159.66667</v>
      </c>
      <c r="B220" s="2">
        <f>IFERROR(__xludf.DUMMYFUNCTION("""COMPUTED_VALUE"""),1255.0)</f>
        <v>1255</v>
      </c>
      <c r="C220" s="2">
        <f>IFERROR(__xludf.DUMMYFUNCTION("""COMPUTED_VALUE"""),1255.0)</f>
        <v>1255</v>
      </c>
      <c r="D220" s="2">
        <f>IFERROR(__xludf.DUMMYFUNCTION("""COMPUTED_VALUE"""),1220.0)</f>
        <v>1220</v>
      </c>
      <c r="E220" s="2">
        <f>IFERROR(__xludf.DUMMYFUNCTION("""COMPUTED_VALUE"""),1235.0)</f>
        <v>1235</v>
      </c>
      <c r="F220" s="2">
        <f>IFERROR(__xludf.DUMMYFUNCTION("""COMPUTED_VALUE"""),3.512925E8)</f>
        <v>351292500</v>
      </c>
      <c r="G220" s="2">
        <f t="shared" si="1"/>
        <v>35</v>
      </c>
    </row>
    <row r="221" ht="15.75" customHeight="1">
      <c r="A221" s="1">
        <f>IFERROR(__xludf.DUMMYFUNCTION("""COMPUTED_VALUE"""),44160.66666666667)</f>
        <v>44160.66667</v>
      </c>
      <c r="B221" s="2">
        <f>IFERROR(__xludf.DUMMYFUNCTION("""COMPUTED_VALUE"""),1235.0)</f>
        <v>1235</v>
      </c>
      <c r="C221" s="2">
        <f>IFERROR(__xludf.DUMMYFUNCTION("""COMPUTED_VALUE"""),1240.0)</f>
        <v>1240</v>
      </c>
      <c r="D221" s="2">
        <f>IFERROR(__xludf.DUMMYFUNCTION("""COMPUTED_VALUE"""),1195.0)</f>
        <v>1195</v>
      </c>
      <c r="E221" s="2">
        <f>IFERROR(__xludf.DUMMYFUNCTION("""COMPUTED_VALUE"""),1205.0)</f>
        <v>1205</v>
      </c>
      <c r="F221" s="2">
        <f>IFERROR(__xludf.DUMMYFUNCTION("""COMPUTED_VALUE"""),3.031176E8)</f>
        <v>303117600</v>
      </c>
      <c r="G221" s="2">
        <f t="shared" si="1"/>
        <v>45</v>
      </c>
    </row>
    <row r="222" ht="15.75" customHeight="1">
      <c r="A222" s="1">
        <f>IFERROR(__xludf.DUMMYFUNCTION("""COMPUTED_VALUE"""),44161.66666666667)</f>
        <v>44161.66667</v>
      </c>
      <c r="B222" s="2">
        <f>IFERROR(__xludf.DUMMYFUNCTION("""COMPUTED_VALUE"""),1200.0)</f>
        <v>1200</v>
      </c>
      <c r="C222" s="2">
        <f>IFERROR(__xludf.DUMMYFUNCTION("""COMPUTED_VALUE"""),1225.0)</f>
        <v>1225</v>
      </c>
      <c r="D222" s="2">
        <f>IFERROR(__xludf.DUMMYFUNCTION("""COMPUTED_VALUE"""),1195.0)</f>
        <v>1195</v>
      </c>
      <c r="E222" s="2">
        <f>IFERROR(__xludf.DUMMYFUNCTION("""COMPUTED_VALUE"""),1210.0)</f>
        <v>1210</v>
      </c>
      <c r="F222" s="2">
        <f>IFERROR(__xludf.DUMMYFUNCTION("""COMPUTED_VALUE"""),1.471268E8)</f>
        <v>147126800</v>
      </c>
      <c r="G222" s="2">
        <f t="shared" si="1"/>
        <v>30</v>
      </c>
    </row>
    <row r="223" ht="15.75" customHeight="1">
      <c r="A223" s="1">
        <f>IFERROR(__xludf.DUMMYFUNCTION("""COMPUTED_VALUE"""),44162.66666666667)</f>
        <v>44162.66667</v>
      </c>
      <c r="B223" s="2">
        <f>IFERROR(__xludf.DUMMYFUNCTION("""COMPUTED_VALUE"""),1230.0)</f>
        <v>1230</v>
      </c>
      <c r="C223" s="2">
        <f>IFERROR(__xludf.DUMMYFUNCTION("""COMPUTED_VALUE"""),1250.0)</f>
        <v>1250</v>
      </c>
      <c r="D223" s="2">
        <f>IFERROR(__xludf.DUMMYFUNCTION("""COMPUTED_VALUE"""),1215.0)</f>
        <v>1215</v>
      </c>
      <c r="E223" s="2">
        <f>IFERROR(__xludf.DUMMYFUNCTION("""COMPUTED_VALUE"""),1230.0)</f>
        <v>1230</v>
      </c>
      <c r="F223" s="2">
        <f>IFERROR(__xludf.DUMMYFUNCTION("""COMPUTED_VALUE"""),3.089543E8)</f>
        <v>308954300</v>
      </c>
      <c r="G223" s="2">
        <f t="shared" si="1"/>
        <v>40</v>
      </c>
    </row>
    <row r="224" ht="15.75" customHeight="1">
      <c r="A224" s="1">
        <f>IFERROR(__xludf.DUMMYFUNCTION("""COMPUTED_VALUE"""),44165.66666666667)</f>
        <v>44165.66667</v>
      </c>
      <c r="B224" s="2">
        <f>IFERROR(__xludf.DUMMYFUNCTION("""COMPUTED_VALUE"""),1225.0)</f>
        <v>1225</v>
      </c>
      <c r="C224" s="2">
        <f>IFERROR(__xludf.DUMMYFUNCTION("""COMPUTED_VALUE"""),1225.0)</f>
        <v>1225</v>
      </c>
      <c r="D224" s="2">
        <f>IFERROR(__xludf.DUMMYFUNCTION("""COMPUTED_VALUE"""),1145.0)</f>
        <v>1145</v>
      </c>
      <c r="E224" s="2">
        <f>IFERROR(__xludf.DUMMYFUNCTION("""COMPUTED_VALUE"""),1145.0)</f>
        <v>1145</v>
      </c>
      <c r="F224" s="2">
        <f>IFERROR(__xludf.DUMMYFUNCTION("""COMPUTED_VALUE"""),4.460624E8)</f>
        <v>446062400</v>
      </c>
      <c r="G224" s="2">
        <f t="shared" si="1"/>
        <v>85</v>
      </c>
    </row>
    <row r="225" ht="15.75" customHeight="1">
      <c r="A225" s="1">
        <f>IFERROR(__xludf.DUMMYFUNCTION("""COMPUTED_VALUE"""),44166.66666666667)</f>
        <v>44166.66667</v>
      </c>
      <c r="B225" s="2">
        <f>IFERROR(__xludf.DUMMYFUNCTION("""COMPUTED_VALUE"""),1150.0)</f>
        <v>1150</v>
      </c>
      <c r="C225" s="2">
        <f>IFERROR(__xludf.DUMMYFUNCTION("""COMPUTED_VALUE"""),1180.0)</f>
        <v>1180</v>
      </c>
      <c r="D225" s="2">
        <f>IFERROR(__xludf.DUMMYFUNCTION("""COMPUTED_VALUE"""),1105.0)</f>
        <v>1105</v>
      </c>
      <c r="E225" s="2">
        <f>IFERROR(__xludf.DUMMYFUNCTION("""COMPUTED_VALUE"""),1155.0)</f>
        <v>1155</v>
      </c>
      <c r="F225" s="2">
        <f>IFERROR(__xludf.DUMMYFUNCTION("""COMPUTED_VALUE"""),2.40765E8)</f>
        <v>240765000</v>
      </c>
      <c r="G225" s="2">
        <f t="shared" si="1"/>
        <v>75</v>
      </c>
    </row>
    <row r="226" ht="15.75" customHeight="1">
      <c r="A226" s="1">
        <f>IFERROR(__xludf.DUMMYFUNCTION("""COMPUTED_VALUE"""),44167.66666666667)</f>
        <v>44167.66667</v>
      </c>
      <c r="B226" s="2">
        <f>IFERROR(__xludf.DUMMYFUNCTION("""COMPUTED_VALUE"""),1170.0)</f>
        <v>1170</v>
      </c>
      <c r="C226" s="2">
        <f>IFERROR(__xludf.DUMMYFUNCTION("""COMPUTED_VALUE"""),1260.0)</f>
        <v>1260</v>
      </c>
      <c r="D226" s="2">
        <f>IFERROR(__xludf.DUMMYFUNCTION("""COMPUTED_VALUE"""),1170.0)</f>
        <v>1170</v>
      </c>
      <c r="E226" s="2">
        <f>IFERROR(__xludf.DUMMYFUNCTION("""COMPUTED_VALUE"""),1245.0)</f>
        <v>1245</v>
      </c>
      <c r="F226" s="2">
        <f>IFERROR(__xludf.DUMMYFUNCTION("""COMPUTED_VALUE"""),8.034204E8)</f>
        <v>803420400</v>
      </c>
      <c r="G226" s="2">
        <f t="shared" si="1"/>
        <v>105</v>
      </c>
    </row>
    <row r="227" ht="15.75" customHeight="1">
      <c r="A227" s="1">
        <f>IFERROR(__xludf.DUMMYFUNCTION("""COMPUTED_VALUE"""),44168.66666666667)</f>
        <v>44168.66667</v>
      </c>
      <c r="B227" s="2">
        <f>IFERROR(__xludf.DUMMYFUNCTION("""COMPUTED_VALUE"""),1245.0)</f>
        <v>1245</v>
      </c>
      <c r="C227" s="2">
        <f>IFERROR(__xludf.DUMMYFUNCTION("""COMPUTED_VALUE"""),1300.0)</f>
        <v>1300</v>
      </c>
      <c r="D227" s="2">
        <f>IFERROR(__xludf.DUMMYFUNCTION("""COMPUTED_VALUE"""),1235.0)</f>
        <v>1235</v>
      </c>
      <c r="E227" s="2">
        <f>IFERROR(__xludf.DUMMYFUNCTION("""COMPUTED_VALUE"""),1255.0)</f>
        <v>1255</v>
      </c>
      <c r="F227" s="2">
        <f>IFERROR(__xludf.DUMMYFUNCTION("""COMPUTED_VALUE"""),6.150022E8)</f>
        <v>615002200</v>
      </c>
      <c r="G227" s="2">
        <f t="shared" si="1"/>
        <v>65</v>
      </c>
    </row>
    <row r="228" ht="15.75" customHeight="1">
      <c r="A228" s="1">
        <f>IFERROR(__xludf.DUMMYFUNCTION("""COMPUTED_VALUE"""),44169.66666666667)</f>
        <v>44169.66667</v>
      </c>
      <c r="B228" s="2">
        <f>IFERROR(__xludf.DUMMYFUNCTION("""COMPUTED_VALUE"""),1265.0)</f>
        <v>1265</v>
      </c>
      <c r="C228" s="2">
        <f>IFERROR(__xludf.DUMMYFUNCTION("""COMPUTED_VALUE"""),1270.0)</f>
        <v>1270</v>
      </c>
      <c r="D228" s="2">
        <f>IFERROR(__xludf.DUMMYFUNCTION("""COMPUTED_VALUE"""),1235.0)</f>
        <v>1235</v>
      </c>
      <c r="E228" s="2">
        <f>IFERROR(__xludf.DUMMYFUNCTION("""COMPUTED_VALUE"""),1245.0)</f>
        <v>1245</v>
      </c>
      <c r="F228" s="2">
        <f>IFERROR(__xludf.DUMMYFUNCTION("""COMPUTED_VALUE"""),1.555784E8)</f>
        <v>155578400</v>
      </c>
      <c r="G228" s="2">
        <f t="shared" si="1"/>
        <v>35</v>
      </c>
    </row>
    <row r="229" ht="15.75" customHeight="1">
      <c r="A229" s="1">
        <f>IFERROR(__xludf.DUMMYFUNCTION("""COMPUTED_VALUE"""),44172.66666666667)</f>
        <v>44172.66667</v>
      </c>
      <c r="B229" s="2">
        <f>IFERROR(__xludf.DUMMYFUNCTION("""COMPUTED_VALUE"""),1270.0)</f>
        <v>1270</v>
      </c>
      <c r="C229" s="2">
        <f>IFERROR(__xludf.DUMMYFUNCTION("""COMPUTED_VALUE"""),1295.0)</f>
        <v>1295</v>
      </c>
      <c r="D229" s="2">
        <f>IFERROR(__xludf.DUMMYFUNCTION("""COMPUTED_VALUE"""),1260.0)</f>
        <v>1260</v>
      </c>
      <c r="E229" s="2">
        <f>IFERROR(__xludf.DUMMYFUNCTION("""COMPUTED_VALUE"""),1280.0)</f>
        <v>1280</v>
      </c>
      <c r="F229" s="2">
        <f>IFERROR(__xludf.DUMMYFUNCTION("""COMPUTED_VALUE"""),3.672507E8)</f>
        <v>367250700</v>
      </c>
      <c r="G229" s="2">
        <f t="shared" si="1"/>
        <v>50</v>
      </c>
    </row>
    <row r="230" ht="15.75" customHeight="1">
      <c r="A230" s="1">
        <f>IFERROR(__xludf.DUMMYFUNCTION("""COMPUTED_VALUE"""),44173.66666666667)</f>
        <v>44173.66667</v>
      </c>
      <c r="B230" s="2">
        <f>IFERROR(__xludf.DUMMYFUNCTION("""COMPUTED_VALUE"""),1295.0)</f>
        <v>1295</v>
      </c>
      <c r="C230" s="2">
        <f>IFERROR(__xludf.DUMMYFUNCTION("""COMPUTED_VALUE"""),1320.0)</f>
        <v>1320</v>
      </c>
      <c r="D230" s="2">
        <f>IFERROR(__xludf.DUMMYFUNCTION("""COMPUTED_VALUE"""),1285.0)</f>
        <v>1285</v>
      </c>
      <c r="E230" s="2">
        <f>IFERROR(__xludf.DUMMYFUNCTION("""COMPUTED_VALUE"""),1300.0)</f>
        <v>1300</v>
      </c>
      <c r="F230" s="2">
        <f>IFERROR(__xludf.DUMMYFUNCTION("""COMPUTED_VALUE"""),3.778265E8)</f>
        <v>377826500</v>
      </c>
      <c r="G230" s="2">
        <f t="shared" si="1"/>
        <v>40</v>
      </c>
    </row>
    <row r="231" ht="15.75" customHeight="1">
      <c r="A231" s="1">
        <f>IFERROR(__xludf.DUMMYFUNCTION("""COMPUTED_VALUE"""),44175.66666666667)</f>
        <v>44175.66667</v>
      </c>
      <c r="B231" s="2">
        <f>IFERROR(__xludf.DUMMYFUNCTION("""COMPUTED_VALUE"""),1330.0)</f>
        <v>1330</v>
      </c>
      <c r="C231" s="2">
        <f>IFERROR(__xludf.DUMMYFUNCTION("""COMPUTED_VALUE"""),1425.0)</f>
        <v>1425</v>
      </c>
      <c r="D231" s="2">
        <f>IFERROR(__xludf.DUMMYFUNCTION("""COMPUTED_VALUE"""),1330.0)</f>
        <v>1330</v>
      </c>
      <c r="E231" s="2">
        <f>IFERROR(__xludf.DUMMYFUNCTION("""COMPUTED_VALUE"""),1395.0)</f>
        <v>1395</v>
      </c>
      <c r="F231" s="2">
        <f>IFERROR(__xludf.DUMMYFUNCTION("""COMPUTED_VALUE"""),6.868856E8)</f>
        <v>686885600</v>
      </c>
      <c r="G231" s="2">
        <f t="shared" si="1"/>
        <v>125</v>
      </c>
    </row>
    <row r="232" ht="15.75" customHeight="1">
      <c r="A232" s="1">
        <f>IFERROR(__xludf.DUMMYFUNCTION("""COMPUTED_VALUE"""),44176.66666666667)</f>
        <v>44176.66667</v>
      </c>
      <c r="B232" s="2">
        <f>IFERROR(__xludf.DUMMYFUNCTION("""COMPUTED_VALUE"""),1475.0)</f>
        <v>1475</v>
      </c>
      <c r="C232" s="2">
        <f>IFERROR(__xludf.DUMMYFUNCTION("""COMPUTED_VALUE"""),1500.0)</f>
        <v>1500</v>
      </c>
      <c r="D232" s="2">
        <f>IFERROR(__xludf.DUMMYFUNCTION("""COMPUTED_VALUE"""),1435.0)</f>
        <v>1435</v>
      </c>
      <c r="E232" s="2">
        <f>IFERROR(__xludf.DUMMYFUNCTION("""COMPUTED_VALUE"""),1450.0)</f>
        <v>1450</v>
      </c>
      <c r="F232" s="2">
        <f>IFERROR(__xludf.DUMMYFUNCTION("""COMPUTED_VALUE"""),4.877559E8)</f>
        <v>487755900</v>
      </c>
      <c r="G232" s="2">
        <f t="shared" si="1"/>
        <v>105</v>
      </c>
    </row>
    <row r="233" ht="15.75" customHeight="1">
      <c r="A233" s="1">
        <f>IFERROR(__xludf.DUMMYFUNCTION("""COMPUTED_VALUE"""),44179.66666666667)</f>
        <v>44179.66667</v>
      </c>
      <c r="B233" s="2">
        <f>IFERROR(__xludf.DUMMYFUNCTION("""COMPUTED_VALUE"""),1500.0)</f>
        <v>1500</v>
      </c>
      <c r="C233" s="2">
        <f>IFERROR(__xludf.DUMMYFUNCTION("""COMPUTED_VALUE"""),1540.0)</f>
        <v>1540</v>
      </c>
      <c r="D233" s="2">
        <f>IFERROR(__xludf.DUMMYFUNCTION("""COMPUTED_VALUE"""),1490.0)</f>
        <v>1490</v>
      </c>
      <c r="E233" s="2">
        <f>IFERROR(__xludf.DUMMYFUNCTION("""COMPUTED_VALUE"""),1525.0)</f>
        <v>1525</v>
      </c>
      <c r="F233" s="2">
        <f>IFERROR(__xludf.DUMMYFUNCTION("""COMPUTED_VALUE"""),4.178044E8)</f>
        <v>417804400</v>
      </c>
      <c r="G233" s="2">
        <f t="shared" si="1"/>
        <v>90</v>
      </c>
    </row>
    <row r="234" ht="15.75" customHeight="1">
      <c r="A234" s="1">
        <f>IFERROR(__xludf.DUMMYFUNCTION("""COMPUTED_VALUE"""),44180.66666666667)</f>
        <v>44180.66667</v>
      </c>
      <c r="B234" s="2">
        <f>IFERROR(__xludf.DUMMYFUNCTION("""COMPUTED_VALUE"""),1525.0)</f>
        <v>1525</v>
      </c>
      <c r="C234" s="2">
        <f>IFERROR(__xludf.DUMMYFUNCTION("""COMPUTED_VALUE"""),1565.0)</f>
        <v>1565</v>
      </c>
      <c r="D234" s="2">
        <f>IFERROR(__xludf.DUMMYFUNCTION("""COMPUTED_VALUE"""),1495.0)</f>
        <v>1495</v>
      </c>
      <c r="E234" s="2">
        <f>IFERROR(__xludf.DUMMYFUNCTION("""COMPUTED_VALUE"""),1560.0)</f>
        <v>1560</v>
      </c>
      <c r="F234" s="2">
        <f>IFERROR(__xludf.DUMMYFUNCTION("""COMPUTED_VALUE"""),4.629183E8)</f>
        <v>462918300</v>
      </c>
      <c r="G234" s="2">
        <f t="shared" si="1"/>
        <v>70</v>
      </c>
    </row>
    <row r="235" ht="15.75" customHeight="1">
      <c r="A235" s="1">
        <f>IFERROR(__xludf.DUMMYFUNCTION("""COMPUTED_VALUE"""),44181.66666666667)</f>
        <v>44181.66667</v>
      </c>
      <c r="B235" s="2">
        <f>IFERROR(__xludf.DUMMYFUNCTION("""COMPUTED_VALUE"""),1595.0)</f>
        <v>1595</v>
      </c>
      <c r="C235" s="2">
        <f>IFERROR(__xludf.DUMMYFUNCTION("""COMPUTED_VALUE"""),1925.0)</f>
        <v>1925</v>
      </c>
      <c r="D235" s="2">
        <f>IFERROR(__xludf.DUMMYFUNCTION("""COMPUTED_VALUE"""),1590.0)</f>
        <v>1590</v>
      </c>
      <c r="E235" s="2">
        <f>IFERROR(__xludf.DUMMYFUNCTION("""COMPUTED_VALUE"""),1815.0)</f>
        <v>1815</v>
      </c>
      <c r="F235" s="2">
        <f>IFERROR(__xludf.DUMMYFUNCTION("""COMPUTED_VALUE"""),1.2728447E9)</f>
        <v>1272844700</v>
      </c>
      <c r="G235" s="2">
        <f t="shared" si="1"/>
        <v>365</v>
      </c>
    </row>
    <row r="236" ht="15.75" customHeight="1">
      <c r="A236" s="1">
        <f>IFERROR(__xludf.DUMMYFUNCTION("""COMPUTED_VALUE"""),44182.66666666667)</f>
        <v>44182.66667</v>
      </c>
      <c r="B236" s="2">
        <f>IFERROR(__xludf.DUMMYFUNCTION("""COMPUTED_VALUE"""),1840.0)</f>
        <v>1840</v>
      </c>
      <c r="C236" s="2">
        <f>IFERROR(__xludf.DUMMYFUNCTION("""COMPUTED_VALUE"""),1880.0)</f>
        <v>1880</v>
      </c>
      <c r="D236" s="2">
        <f>IFERROR(__xludf.DUMMYFUNCTION("""COMPUTED_VALUE"""),1775.0)</f>
        <v>1775</v>
      </c>
      <c r="E236" s="2">
        <f>IFERROR(__xludf.DUMMYFUNCTION("""COMPUTED_VALUE"""),1815.0)</f>
        <v>1815</v>
      </c>
      <c r="F236" s="2">
        <f>IFERROR(__xludf.DUMMYFUNCTION("""COMPUTED_VALUE"""),5.429492E8)</f>
        <v>542949200</v>
      </c>
      <c r="G236" s="2">
        <f t="shared" si="1"/>
        <v>105</v>
      </c>
    </row>
    <row r="237" ht="15.75" customHeight="1">
      <c r="A237" s="1">
        <f>IFERROR(__xludf.DUMMYFUNCTION("""COMPUTED_VALUE"""),44183.66666666667)</f>
        <v>44183.66667</v>
      </c>
      <c r="B237" s="2">
        <f>IFERROR(__xludf.DUMMYFUNCTION("""COMPUTED_VALUE"""),1845.0)</f>
        <v>1845</v>
      </c>
      <c r="C237" s="2">
        <f>IFERROR(__xludf.DUMMYFUNCTION("""COMPUTED_VALUE"""),1960.0)</f>
        <v>1960</v>
      </c>
      <c r="D237" s="2">
        <f>IFERROR(__xludf.DUMMYFUNCTION("""COMPUTED_VALUE"""),1810.0)</f>
        <v>1810</v>
      </c>
      <c r="E237" s="2">
        <f>IFERROR(__xludf.DUMMYFUNCTION("""COMPUTED_VALUE"""),1950.0)</f>
        <v>1950</v>
      </c>
      <c r="F237" s="2">
        <f>IFERROR(__xludf.DUMMYFUNCTION("""COMPUTED_VALUE"""),1.0837317E9)</f>
        <v>1083731700</v>
      </c>
      <c r="G237" s="2">
        <f t="shared" si="1"/>
        <v>150</v>
      </c>
    </row>
    <row r="238" ht="15.75" customHeight="1">
      <c r="A238" s="1">
        <f>IFERROR(__xludf.DUMMYFUNCTION("""COMPUTED_VALUE"""),44186.66666666667)</f>
        <v>44186.66667</v>
      </c>
      <c r="B238" s="2">
        <f>IFERROR(__xludf.DUMMYFUNCTION("""COMPUTED_VALUE"""),1965.0)</f>
        <v>1965</v>
      </c>
      <c r="C238" s="2">
        <f>IFERROR(__xludf.DUMMYFUNCTION("""COMPUTED_VALUE"""),2020.0)</f>
        <v>2020</v>
      </c>
      <c r="D238" s="2">
        <f>IFERROR(__xludf.DUMMYFUNCTION("""COMPUTED_VALUE"""),1925.0)</f>
        <v>1925</v>
      </c>
      <c r="E238" s="2">
        <f>IFERROR(__xludf.DUMMYFUNCTION("""COMPUTED_VALUE"""),1965.0)</f>
        <v>1965</v>
      </c>
      <c r="F238" s="2">
        <f>IFERROR(__xludf.DUMMYFUNCTION("""COMPUTED_VALUE"""),6.27035E8)</f>
        <v>627035000</v>
      </c>
      <c r="G238" s="2">
        <f t="shared" si="1"/>
        <v>95</v>
      </c>
    </row>
    <row r="239" ht="15.75" customHeight="1">
      <c r="A239" s="1">
        <f>IFERROR(__xludf.DUMMYFUNCTION("""COMPUTED_VALUE"""),44187.66666666667)</f>
        <v>44187.66667</v>
      </c>
      <c r="B239" s="2">
        <f>IFERROR(__xludf.DUMMYFUNCTION("""COMPUTED_VALUE"""),1950.0)</f>
        <v>1950</v>
      </c>
      <c r="C239" s="2">
        <f>IFERROR(__xludf.DUMMYFUNCTION("""COMPUTED_VALUE"""),1960.0)</f>
        <v>1960</v>
      </c>
      <c r="D239" s="2">
        <f>IFERROR(__xludf.DUMMYFUNCTION("""COMPUTED_VALUE"""),1830.0)</f>
        <v>1830</v>
      </c>
      <c r="E239" s="2">
        <f>IFERROR(__xludf.DUMMYFUNCTION("""COMPUTED_VALUE"""),1835.0)</f>
        <v>1835</v>
      </c>
      <c r="F239" s="2">
        <f>IFERROR(__xludf.DUMMYFUNCTION("""COMPUTED_VALUE"""),6.78922E8)</f>
        <v>678922000</v>
      </c>
      <c r="G239" s="2">
        <f t="shared" si="1"/>
        <v>135</v>
      </c>
    </row>
    <row r="240" ht="15.75" customHeight="1">
      <c r="A240" s="1">
        <f>IFERROR(__xludf.DUMMYFUNCTION("""COMPUTED_VALUE"""),44188.66666666667)</f>
        <v>44188.66667</v>
      </c>
      <c r="B240" s="2">
        <f>IFERROR(__xludf.DUMMYFUNCTION("""COMPUTED_VALUE"""),1830.0)</f>
        <v>1830</v>
      </c>
      <c r="C240" s="2">
        <f>IFERROR(__xludf.DUMMYFUNCTION("""COMPUTED_VALUE"""),1850.0)</f>
        <v>1850</v>
      </c>
      <c r="D240" s="2">
        <f>IFERROR(__xludf.DUMMYFUNCTION("""COMPUTED_VALUE"""),1720.0)</f>
        <v>1720</v>
      </c>
      <c r="E240" s="2">
        <f>IFERROR(__xludf.DUMMYFUNCTION("""COMPUTED_VALUE"""),1790.0)</f>
        <v>1790</v>
      </c>
      <c r="F240" s="2">
        <f>IFERROR(__xludf.DUMMYFUNCTION("""COMPUTED_VALUE"""),6.592964E8)</f>
        <v>659296400</v>
      </c>
      <c r="G240" s="2">
        <f t="shared" si="1"/>
        <v>130</v>
      </c>
    </row>
    <row r="241" ht="15.75" customHeight="1">
      <c r="A241" s="1">
        <f>IFERROR(__xludf.DUMMYFUNCTION("""COMPUTED_VALUE"""),44193.66666666667)</f>
        <v>44193.66667</v>
      </c>
      <c r="B241" s="2">
        <f>IFERROR(__xludf.DUMMYFUNCTION("""COMPUTED_VALUE"""),1825.0)</f>
        <v>1825</v>
      </c>
      <c r="C241" s="2">
        <f>IFERROR(__xludf.DUMMYFUNCTION("""COMPUTED_VALUE"""),2000.0)</f>
        <v>2000</v>
      </c>
      <c r="D241" s="2">
        <f>IFERROR(__xludf.DUMMYFUNCTION("""COMPUTED_VALUE"""),1780.0)</f>
        <v>1780</v>
      </c>
      <c r="E241" s="2">
        <f>IFERROR(__xludf.DUMMYFUNCTION("""COMPUTED_VALUE"""),2000.0)</f>
        <v>2000</v>
      </c>
      <c r="F241" s="2">
        <f>IFERROR(__xludf.DUMMYFUNCTION("""COMPUTED_VALUE"""),9.92175E8)</f>
        <v>992175000</v>
      </c>
      <c r="G241" s="2">
        <f t="shared" si="1"/>
        <v>220</v>
      </c>
    </row>
    <row r="242" ht="15.75" customHeight="1">
      <c r="A242" s="1">
        <f>IFERROR(__xludf.DUMMYFUNCTION("""COMPUTED_VALUE"""),44194.66666666667)</f>
        <v>44194.66667</v>
      </c>
      <c r="B242" s="2">
        <f>IFERROR(__xludf.DUMMYFUNCTION("""COMPUTED_VALUE"""),2050.0)</f>
        <v>2050</v>
      </c>
      <c r="C242" s="2">
        <f>IFERROR(__xludf.DUMMYFUNCTION("""COMPUTED_VALUE"""),2070.0)</f>
        <v>2070</v>
      </c>
      <c r="D242" s="2">
        <f>IFERROR(__xludf.DUMMYFUNCTION("""COMPUTED_VALUE"""),1935.0)</f>
        <v>1935</v>
      </c>
      <c r="E242" s="2">
        <f>IFERROR(__xludf.DUMMYFUNCTION("""COMPUTED_VALUE"""),1945.0)</f>
        <v>1945</v>
      </c>
      <c r="F242" s="2">
        <f>IFERROR(__xludf.DUMMYFUNCTION("""COMPUTED_VALUE"""),7.397549E8)</f>
        <v>739754900</v>
      </c>
      <c r="G242" s="2">
        <f t="shared" si="1"/>
        <v>135</v>
      </c>
    </row>
    <row r="243" ht="15.75" customHeight="1">
      <c r="A243" s="1">
        <f>IFERROR(__xludf.DUMMYFUNCTION("""COMPUTED_VALUE"""),44195.66666666667)</f>
        <v>44195.66667</v>
      </c>
      <c r="B243" s="2">
        <f>IFERROR(__xludf.DUMMYFUNCTION("""COMPUTED_VALUE"""),1945.0)</f>
        <v>1945</v>
      </c>
      <c r="C243" s="2">
        <f>IFERROR(__xludf.DUMMYFUNCTION("""COMPUTED_VALUE"""),1985.0)</f>
        <v>1985</v>
      </c>
      <c r="D243" s="2">
        <f>IFERROR(__xludf.DUMMYFUNCTION("""COMPUTED_VALUE"""),1905.0)</f>
        <v>1905</v>
      </c>
      <c r="E243" s="2">
        <f>IFERROR(__xludf.DUMMYFUNCTION("""COMPUTED_VALUE"""),1935.0)</f>
        <v>1935</v>
      </c>
      <c r="F243" s="2">
        <f>IFERROR(__xludf.DUMMYFUNCTION("""COMPUTED_VALUE"""),5.359435E8)</f>
        <v>535943500</v>
      </c>
      <c r="G243" s="2">
        <f t="shared" si="1"/>
        <v>80</v>
      </c>
    </row>
    <row r="244" ht="15.75" customHeight="1">
      <c r="A244" s="1">
        <f>IFERROR(__xludf.DUMMYFUNCTION("""COMPUTED_VALUE"""),44200.625)</f>
        <v>44200.625</v>
      </c>
      <c r="B244" s="2">
        <f>IFERROR(__xludf.DUMMYFUNCTION("""COMPUTED_VALUE"""),1970.0)</f>
        <v>1970</v>
      </c>
      <c r="C244" s="2">
        <f>IFERROR(__xludf.DUMMYFUNCTION("""COMPUTED_VALUE"""),2200.0)</f>
        <v>2200</v>
      </c>
      <c r="D244" s="2">
        <f>IFERROR(__xludf.DUMMYFUNCTION("""COMPUTED_VALUE"""),1940.0)</f>
        <v>1940</v>
      </c>
      <c r="E244" s="2">
        <f>IFERROR(__xludf.DUMMYFUNCTION("""COMPUTED_VALUE"""),2190.0)</f>
        <v>2190</v>
      </c>
      <c r="F244" s="2">
        <f>IFERROR(__xludf.DUMMYFUNCTION("""COMPUTED_VALUE"""),1.0407534E9)</f>
        <v>1040753400</v>
      </c>
      <c r="G244" s="2">
        <f t="shared" si="1"/>
        <v>265</v>
      </c>
    </row>
    <row r="245" ht="15.75" customHeight="1">
      <c r="A245" s="1">
        <f>IFERROR(__xludf.DUMMYFUNCTION("""COMPUTED_VALUE"""),44201.625)</f>
        <v>44201.625</v>
      </c>
      <c r="B245" s="2">
        <f>IFERROR(__xludf.DUMMYFUNCTION("""COMPUTED_VALUE"""),2190.0)</f>
        <v>2190</v>
      </c>
      <c r="C245" s="2">
        <f>IFERROR(__xludf.DUMMYFUNCTION("""COMPUTED_VALUE"""),2340.0)</f>
        <v>2340</v>
      </c>
      <c r="D245" s="2">
        <f>IFERROR(__xludf.DUMMYFUNCTION("""COMPUTED_VALUE"""),2130.0)</f>
        <v>2130</v>
      </c>
      <c r="E245" s="2">
        <f>IFERROR(__xludf.DUMMYFUNCTION("""COMPUTED_VALUE"""),2230.0)</f>
        <v>2230</v>
      </c>
      <c r="F245" s="2">
        <f>IFERROR(__xludf.DUMMYFUNCTION("""COMPUTED_VALUE"""),1.1390147E9)</f>
        <v>1139014700</v>
      </c>
      <c r="G245" s="2">
        <f t="shared" si="1"/>
        <v>210</v>
      </c>
    </row>
    <row r="246" ht="15.75" customHeight="1">
      <c r="A246" s="1">
        <f>IFERROR(__xludf.DUMMYFUNCTION("""COMPUTED_VALUE"""),44202.625)</f>
        <v>44202.625</v>
      </c>
      <c r="B246" s="2">
        <f>IFERROR(__xludf.DUMMYFUNCTION("""COMPUTED_VALUE"""),2270.0)</f>
        <v>2270</v>
      </c>
      <c r="C246" s="2">
        <f>IFERROR(__xludf.DUMMYFUNCTION("""COMPUTED_VALUE"""),2290.0)</f>
        <v>2290</v>
      </c>
      <c r="D246" s="2">
        <f>IFERROR(__xludf.DUMMYFUNCTION("""COMPUTED_VALUE"""),2130.0)</f>
        <v>2130</v>
      </c>
      <c r="E246" s="2">
        <f>IFERROR(__xludf.DUMMYFUNCTION("""COMPUTED_VALUE"""),2220.0)</f>
        <v>2220</v>
      </c>
      <c r="F246" s="2">
        <f>IFERROR(__xludf.DUMMYFUNCTION("""COMPUTED_VALUE"""),6.292115E8)</f>
        <v>629211500</v>
      </c>
      <c r="G246" s="2">
        <f t="shared" si="1"/>
        <v>160</v>
      </c>
    </row>
    <row r="247" ht="15.75" customHeight="1">
      <c r="A247" s="1">
        <f>IFERROR(__xludf.DUMMYFUNCTION("""COMPUTED_VALUE"""),44203.66666666667)</f>
        <v>44203.66667</v>
      </c>
      <c r="B247" s="2">
        <f>IFERROR(__xludf.DUMMYFUNCTION("""COMPUTED_VALUE"""),2250.0)</f>
        <v>2250</v>
      </c>
      <c r="C247" s="2">
        <f>IFERROR(__xludf.DUMMYFUNCTION("""COMPUTED_VALUE"""),2740.0)</f>
        <v>2740</v>
      </c>
      <c r="D247" s="2">
        <f>IFERROR(__xludf.DUMMYFUNCTION("""COMPUTED_VALUE"""),2240.0)</f>
        <v>2240</v>
      </c>
      <c r="E247" s="2">
        <f>IFERROR(__xludf.DUMMYFUNCTION("""COMPUTED_VALUE"""),2600.0)</f>
        <v>2600</v>
      </c>
      <c r="F247" s="2">
        <f>IFERROR(__xludf.DUMMYFUNCTION("""COMPUTED_VALUE"""),1.9821122E9)</f>
        <v>1982112200</v>
      </c>
      <c r="G247" s="2">
        <f t="shared" si="1"/>
        <v>520</v>
      </c>
    </row>
    <row r="248" ht="15.75" customHeight="1">
      <c r="A248" s="1">
        <f>IFERROR(__xludf.DUMMYFUNCTION("""COMPUTED_VALUE"""),44204.66666666667)</f>
        <v>44204.66667</v>
      </c>
      <c r="B248" s="2">
        <f>IFERROR(__xludf.DUMMYFUNCTION("""COMPUTED_VALUE"""),2640.0)</f>
        <v>2640</v>
      </c>
      <c r="C248" s="2">
        <f>IFERROR(__xludf.DUMMYFUNCTION("""COMPUTED_VALUE"""),2750.0)</f>
        <v>2750</v>
      </c>
      <c r="D248" s="2">
        <f>IFERROR(__xludf.DUMMYFUNCTION("""COMPUTED_VALUE"""),2560.0)</f>
        <v>2560</v>
      </c>
      <c r="E248" s="2">
        <f>IFERROR(__xludf.DUMMYFUNCTION("""COMPUTED_VALUE"""),2600.0)</f>
        <v>2600</v>
      </c>
      <c r="F248" s="2">
        <f>IFERROR(__xludf.DUMMYFUNCTION("""COMPUTED_VALUE"""),1.052618E9)</f>
        <v>1052618000</v>
      </c>
      <c r="G248" s="2">
        <f t="shared" si="1"/>
        <v>190</v>
      </c>
    </row>
    <row r="249" ht="15.75" customHeight="1">
      <c r="A249" s="1">
        <f>IFERROR(__xludf.DUMMYFUNCTION("""COMPUTED_VALUE"""),44207.625)</f>
        <v>44207.625</v>
      </c>
      <c r="B249" s="2">
        <f>IFERROR(__xludf.DUMMYFUNCTION("""COMPUTED_VALUE"""),2560.0)</f>
        <v>2560</v>
      </c>
      <c r="C249" s="2">
        <f>IFERROR(__xludf.DUMMYFUNCTION("""COMPUTED_VALUE"""),2650.0)</f>
        <v>2650</v>
      </c>
      <c r="D249" s="2">
        <f>IFERROR(__xludf.DUMMYFUNCTION("""COMPUTED_VALUE"""),2530.0)</f>
        <v>2530</v>
      </c>
      <c r="E249" s="2">
        <f>IFERROR(__xludf.DUMMYFUNCTION("""COMPUTED_VALUE"""),2580.0)</f>
        <v>2580</v>
      </c>
      <c r="F249" s="2">
        <f>IFERROR(__xludf.DUMMYFUNCTION("""COMPUTED_VALUE"""),5.213016E8)</f>
        <v>521301600</v>
      </c>
      <c r="G249" s="2">
        <f t="shared" si="1"/>
        <v>120</v>
      </c>
    </row>
    <row r="250" ht="15.75" customHeight="1">
      <c r="A250" s="1">
        <f>IFERROR(__xludf.DUMMYFUNCTION("""COMPUTED_VALUE"""),44208.625)</f>
        <v>44208.625</v>
      </c>
      <c r="B250" s="2">
        <f>IFERROR(__xludf.DUMMYFUNCTION("""COMPUTED_VALUE"""),2580.0)</f>
        <v>2580</v>
      </c>
      <c r="C250" s="2">
        <f>IFERROR(__xludf.DUMMYFUNCTION("""COMPUTED_VALUE"""),2780.0)</f>
        <v>2780</v>
      </c>
      <c r="D250" s="2">
        <f>IFERROR(__xludf.DUMMYFUNCTION("""COMPUTED_VALUE"""),2550.0)</f>
        <v>2550</v>
      </c>
      <c r="E250" s="2">
        <f>IFERROR(__xludf.DUMMYFUNCTION("""COMPUTED_VALUE"""),2770.0)</f>
        <v>2770</v>
      </c>
      <c r="F250" s="2">
        <f>IFERROR(__xludf.DUMMYFUNCTION("""COMPUTED_VALUE"""),1.1471728E9)</f>
        <v>1147172800</v>
      </c>
      <c r="G250" s="2">
        <f t="shared" si="1"/>
        <v>230</v>
      </c>
    </row>
    <row r="251" ht="15.75" customHeight="1">
      <c r="A251" s="1">
        <f>IFERROR(__xludf.DUMMYFUNCTION("""COMPUTED_VALUE"""),44209.625)</f>
        <v>44209.625</v>
      </c>
      <c r="B251" s="2">
        <f>IFERROR(__xludf.DUMMYFUNCTION("""COMPUTED_VALUE"""),2850.0)</f>
        <v>2850</v>
      </c>
      <c r="C251" s="2">
        <f>IFERROR(__xludf.DUMMYFUNCTION("""COMPUTED_VALUE"""),3130.0)</f>
        <v>3130</v>
      </c>
      <c r="D251" s="2">
        <f>IFERROR(__xludf.DUMMYFUNCTION("""COMPUTED_VALUE"""),2850.0)</f>
        <v>2850</v>
      </c>
      <c r="E251" s="2">
        <f>IFERROR(__xludf.DUMMYFUNCTION("""COMPUTED_VALUE"""),3120.0)</f>
        <v>3120</v>
      </c>
      <c r="F251" s="2">
        <f>IFERROR(__xludf.DUMMYFUNCTION("""COMPUTED_VALUE"""),1.2808526E9)</f>
        <v>1280852600</v>
      </c>
      <c r="G251" s="2">
        <f t="shared" si="1"/>
        <v>360</v>
      </c>
    </row>
    <row r="252" ht="15.75" customHeight="1">
      <c r="A252" s="1">
        <f>IFERROR(__xludf.DUMMYFUNCTION("""COMPUTED_VALUE"""),44210.625)</f>
        <v>44210.625</v>
      </c>
      <c r="B252" s="2">
        <f>IFERROR(__xludf.DUMMYFUNCTION("""COMPUTED_VALUE"""),3140.0)</f>
        <v>3140</v>
      </c>
      <c r="C252" s="2">
        <f>IFERROR(__xludf.DUMMYFUNCTION("""COMPUTED_VALUE"""),3440.0)</f>
        <v>3440</v>
      </c>
      <c r="D252" s="2">
        <f>IFERROR(__xludf.DUMMYFUNCTION("""COMPUTED_VALUE"""),3060.0)</f>
        <v>3060</v>
      </c>
      <c r="E252" s="2">
        <f>IFERROR(__xludf.DUMMYFUNCTION("""COMPUTED_VALUE"""),3180.0)</f>
        <v>3180</v>
      </c>
      <c r="F252" s="2">
        <f>IFERROR(__xludf.DUMMYFUNCTION("""COMPUTED_VALUE"""),1.4990584E9)</f>
        <v>1499058400</v>
      </c>
      <c r="G252" s="2">
        <f t="shared" si="1"/>
        <v>380</v>
      </c>
    </row>
    <row r="253" ht="15.75" customHeight="1">
      <c r="A253" s="1">
        <f>IFERROR(__xludf.DUMMYFUNCTION("""COMPUTED_VALUE"""),44211.625)</f>
        <v>44211.625</v>
      </c>
      <c r="B253" s="2">
        <f>IFERROR(__xludf.DUMMYFUNCTION("""COMPUTED_VALUE"""),3300.0)</f>
        <v>3300</v>
      </c>
      <c r="C253" s="2">
        <f>IFERROR(__xludf.DUMMYFUNCTION("""COMPUTED_VALUE"""),3380.0)</f>
        <v>3380</v>
      </c>
      <c r="D253" s="2">
        <f>IFERROR(__xludf.DUMMYFUNCTION("""COMPUTED_VALUE"""),3040.0)</f>
        <v>3040</v>
      </c>
      <c r="E253" s="2">
        <f>IFERROR(__xludf.DUMMYFUNCTION("""COMPUTED_VALUE"""),3120.0)</f>
        <v>3120</v>
      </c>
      <c r="F253" s="2">
        <f>IFERROR(__xludf.DUMMYFUNCTION("""COMPUTED_VALUE"""),9.159121E8)</f>
        <v>915912100</v>
      </c>
      <c r="G253" s="2">
        <f t="shared" si="1"/>
        <v>340</v>
      </c>
    </row>
    <row r="254" ht="15.75" customHeight="1">
      <c r="A254" s="1">
        <f>IFERROR(__xludf.DUMMYFUNCTION("""COMPUTED_VALUE"""),44214.625)</f>
        <v>44214.625</v>
      </c>
      <c r="B254" s="2">
        <f>IFERROR(__xludf.DUMMYFUNCTION("""COMPUTED_VALUE"""),3000.0)</f>
        <v>3000</v>
      </c>
      <c r="C254" s="2">
        <f>IFERROR(__xludf.DUMMYFUNCTION("""COMPUTED_VALUE"""),3140.0)</f>
        <v>3140</v>
      </c>
      <c r="D254" s="2">
        <f>IFERROR(__xludf.DUMMYFUNCTION("""COMPUTED_VALUE"""),2910.0)</f>
        <v>2910</v>
      </c>
      <c r="E254" s="2">
        <f>IFERROR(__xludf.DUMMYFUNCTION("""COMPUTED_VALUE"""),2910.0)</f>
        <v>2910</v>
      </c>
      <c r="F254" s="2">
        <f>IFERROR(__xludf.DUMMYFUNCTION("""COMPUTED_VALUE"""),9.306182E8)</f>
        <v>930618200</v>
      </c>
      <c r="G254" s="2">
        <f t="shared" si="1"/>
        <v>230</v>
      </c>
    </row>
    <row r="255" ht="15.75" customHeight="1">
      <c r="A255" s="1">
        <f>IFERROR(__xludf.DUMMYFUNCTION("""COMPUTED_VALUE"""),44215.625)</f>
        <v>44215.625</v>
      </c>
      <c r="B255" s="2">
        <f>IFERROR(__xludf.DUMMYFUNCTION("""COMPUTED_VALUE"""),2810.0)</f>
        <v>2810</v>
      </c>
      <c r="C255" s="2">
        <f>IFERROR(__xludf.DUMMYFUNCTION("""COMPUTED_VALUE"""),2850.0)</f>
        <v>2850</v>
      </c>
      <c r="D255" s="2">
        <f>IFERROR(__xludf.DUMMYFUNCTION("""COMPUTED_VALUE"""),2710.0)</f>
        <v>2710</v>
      </c>
      <c r="E255" s="2">
        <f>IFERROR(__xludf.DUMMYFUNCTION("""COMPUTED_VALUE"""),2710.0)</f>
        <v>2710</v>
      </c>
      <c r="F255" s="2">
        <f>IFERROR(__xludf.DUMMYFUNCTION("""COMPUTED_VALUE"""),3.604986E8)</f>
        <v>360498600</v>
      </c>
      <c r="G255" s="2">
        <f t="shared" si="1"/>
        <v>200</v>
      </c>
    </row>
    <row r="256" ht="15.75" customHeight="1">
      <c r="A256" s="1">
        <f>IFERROR(__xludf.DUMMYFUNCTION("""COMPUTED_VALUE"""),44216.625)</f>
        <v>44216.625</v>
      </c>
      <c r="B256" s="2">
        <f>IFERROR(__xludf.DUMMYFUNCTION("""COMPUTED_VALUE"""),2540.0)</f>
        <v>2540</v>
      </c>
      <c r="C256" s="2">
        <f>IFERROR(__xludf.DUMMYFUNCTION("""COMPUTED_VALUE"""),3200.0)</f>
        <v>3200</v>
      </c>
      <c r="D256" s="2">
        <f>IFERROR(__xludf.DUMMYFUNCTION("""COMPUTED_VALUE"""),2530.0)</f>
        <v>2530</v>
      </c>
      <c r="E256" s="2">
        <f>IFERROR(__xludf.DUMMYFUNCTION("""COMPUTED_VALUE"""),3190.0)</f>
        <v>3190</v>
      </c>
      <c r="F256" s="2">
        <f>IFERROR(__xludf.DUMMYFUNCTION("""COMPUTED_VALUE"""),1.9832131E9)</f>
        <v>1983213100</v>
      </c>
      <c r="G256" s="2">
        <f t="shared" si="1"/>
        <v>670</v>
      </c>
    </row>
    <row r="257" ht="15.75" customHeight="1">
      <c r="A257" s="1">
        <f>IFERROR(__xludf.DUMMYFUNCTION("""COMPUTED_VALUE"""),44217.625)</f>
        <v>44217.625</v>
      </c>
      <c r="B257" s="2">
        <f>IFERROR(__xludf.DUMMYFUNCTION("""COMPUTED_VALUE"""),3290.0)</f>
        <v>3290</v>
      </c>
      <c r="C257" s="2">
        <f>IFERROR(__xludf.DUMMYFUNCTION("""COMPUTED_VALUE"""),3340.0)</f>
        <v>3340</v>
      </c>
      <c r="D257" s="2">
        <f>IFERROR(__xludf.DUMMYFUNCTION("""COMPUTED_VALUE"""),3030.0)</f>
        <v>3030</v>
      </c>
      <c r="E257" s="2">
        <f>IFERROR(__xludf.DUMMYFUNCTION("""COMPUTED_VALUE"""),3090.0)</f>
        <v>3090</v>
      </c>
      <c r="F257" s="2">
        <f>IFERROR(__xludf.DUMMYFUNCTION("""COMPUTED_VALUE"""),1.2738774E9)</f>
        <v>1273877400</v>
      </c>
      <c r="G257" s="2">
        <f t="shared" si="1"/>
        <v>310</v>
      </c>
    </row>
    <row r="258" ht="15.75" customHeight="1">
      <c r="A258" s="1">
        <f>IFERROR(__xludf.DUMMYFUNCTION("""COMPUTED_VALUE"""),44218.625)</f>
        <v>44218.625</v>
      </c>
      <c r="B258" s="2">
        <f>IFERROR(__xludf.DUMMYFUNCTION("""COMPUTED_VALUE"""),3090.0)</f>
        <v>3090</v>
      </c>
      <c r="C258" s="2">
        <f>IFERROR(__xludf.DUMMYFUNCTION("""COMPUTED_VALUE"""),3090.0)</f>
        <v>3090</v>
      </c>
      <c r="D258" s="2">
        <f>IFERROR(__xludf.DUMMYFUNCTION("""COMPUTED_VALUE"""),2880.0)</f>
        <v>2880</v>
      </c>
      <c r="E258" s="2">
        <f>IFERROR(__xludf.DUMMYFUNCTION("""COMPUTED_VALUE"""),2880.0)</f>
        <v>2880</v>
      </c>
      <c r="F258" s="2">
        <f>IFERROR(__xludf.DUMMYFUNCTION("""COMPUTED_VALUE"""),8.947668E8)</f>
        <v>894766800</v>
      </c>
      <c r="G258" s="2">
        <f t="shared" si="1"/>
        <v>210</v>
      </c>
    </row>
    <row r="259" ht="15.75" customHeight="1">
      <c r="A259" s="1">
        <f>IFERROR(__xludf.DUMMYFUNCTION("""COMPUTED_VALUE"""),44221.625)</f>
        <v>44221.625</v>
      </c>
      <c r="B259" s="2">
        <f>IFERROR(__xludf.DUMMYFUNCTION("""COMPUTED_VALUE"""),2760.0)</f>
        <v>2760</v>
      </c>
      <c r="C259" s="2">
        <f>IFERROR(__xludf.DUMMYFUNCTION("""COMPUTED_VALUE"""),2960.0)</f>
        <v>2960</v>
      </c>
      <c r="D259" s="2">
        <f>IFERROR(__xludf.DUMMYFUNCTION("""COMPUTED_VALUE"""),2680.0)</f>
        <v>2680</v>
      </c>
      <c r="E259" s="2">
        <f>IFERROR(__xludf.DUMMYFUNCTION("""COMPUTED_VALUE"""),2870.0)</f>
        <v>2870</v>
      </c>
      <c r="F259" s="2">
        <f>IFERROR(__xludf.DUMMYFUNCTION("""COMPUTED_VALUE"""),1.2229913E9)</f>
        <v>1222991300</v>
      </c>
      <c r="G259" s="2">
        <f t="shared" si="1"/>
        <v>280</v>
      </c>
    </row>
    <row r="260" ht="15.75" customHeight="1">
      <c r="A260" s="1">
        <f>IFERROR(__xludf.DUMMYFUNCTION("""COMPUTED_VALUE"""),44222.625)</f>
        <v>44222.625</v>
      </c>
      <c r="B260" s="2">
        <f>IFERROR(__xludf.DUMMYFUNCTION("""COMPUTED_VALUE"""),2900.0)</f>
        <v>2900</v>
      </c>
      <c r="C260" s="2">
        <f>IFERROR(__xludf.DUMMYFUNCTION("""COMPUTED_VALUE"""),2930.0)</f>
        <v>2930</v>
      </c>
      <c r="D260" s="2">
        <f>IFERROR(__xludf.DUMMYFUNCTION("""COMPUTED_VALUE"""),2670.0)</f>
        <v>2670</v>
      </c>
      <c r="E260" s="2">
        <f>IFERROR(__xludf.DUMMYFUNCTION("""COMPUTED_VALUE"""),2670.0)</f>
        <v>2670</v>
      </c>
      <c r="F260" s="2">
        <f>IFERROR(__xludf.DUMMYFUNCTION("""COMPUTED_VALUE"""),7.868193E8)</f>
        <v>786819300</v>
      </c>
      <c r="G260" s="2">
        <f t="shared" si="1"/>
        <v>260</v>
      </c>
    </row>
    <row r="261" ht="15.75" customHeight="1">
      <c r="A261" s="1">
        <f>IFERROR(__xludf.DUMMYFUNCTION("""COMPUTED_VALUE"""),44223.625)</f>
        <v>44223.625</v>
      </c>
      <c r="B261" s="2">
        <f>IFERROR(__xludf.DUMMYFUNCTION("""COMPUTED_VALUE"""),2620.0)</f>
        <v>2620</v>
      </c>
      <c r="C261" s="2">
        <f>IFERROR(__xludf.DUMMYFUNCTION("""COMPUTED_VALUE"""),2740.0)</f>
        <v>2740</v>
      </c>
      <c r="D261" s="2">
        <f>IFERROR(__xludf.DUMMYFUNCTION("""COMPUTED_VALUE"""),2490.0)</f>
        <v>2490</v>
      </c>
      <c r="E261" s="2">
        <f>IFERROR(__xludf.DUMMYFUNCTION("""COMPUTED_VALUE"""),2550.0)</f>
        <v>2550</v>
      </c>
      <c r="F261" s="2">
        <f>IFERROR(__xludf.DUMMYFUNCTION("""COMPUTED_VALUE"""),1.3413648E9)</f>
        <v>1341364800</v>
      </c>
      <c r="G261" s="2">
        <f t="shared" si="1"/>
        <v>250</v>
      </c>
    </row>
    <row r="262" ht="15.75" customHeight="1">
      <c r="A262" s="1">
        <f>IFERROR(__xludf.DUMMYFUNCTION("""COMPUTED_VALUE"""),44224.625)</f>
        <v>44224.625</v>
      </c>
      <c r="B262" s="2">
        <f>IFERROR(__xludf.DUMMYFUNCTION("""COMPUTED_VALUE"""),2470.0)</f>
        <v>2470</v>
      </c>
      <c r="C262" s="2">
        <f>IFERROR(__xludf.DUMMYFUNCTION("""COMPUTED_VALUE"""),2570.0)</f>
        <v>2570</v>
      </c>
      <c r="D262" s="2">
        <f>IFERROR(__xludf.DUMMYFUNCTION("""COMPUTED_VALUE"""),2380.0)</f>
        <v>2380</v>
      </c>
      <c r="E262" s="2">
        <f>IFERROR(__xludf.DUMMYFUNCTION("""COMPUTED_VALUE"""),2380.0)</f>
        <v>2380</v>
      </c>
      <c r="F262" s="2">
        <f>IFERROR(__xludf.DUMMYFUNCTION("""COMPUTED_VALUE"""),7.318549E8)</f>
        <v>731854900</v>
      </c>
      <c r="G262" s="2">
        <f t="shared" si="1"/>
        <v>190</v>
      </c>
    </row>
    <row r="263" ht="15.75" customHeight="1">
      <c r="A263" s="1">
        <f>IFERROR(__xludf.DUMMYFUNCTION("""COMPUTED_VALUE"""),44225.625)</f>
        <v>44225.625</v>
      </c>
      <c r="B263" s="2">
        <f>IFERROR(__xludf.DUMMYFUNCTION("""COMPUTED_VALUE"""),2370.0)</f>
        <v>2370</v>
      </c>
      <c r="C263" s="2">
        <f>IFERROR(__xludf.DUMMYFUNCTION("""COMPUTED_VALUE"""),2440.0)</f>
        <v>2440</v>
      </c>
      <c r="D263" s="2">
        <f>IFERROR(__xludf.DUMMYFUNCTION("""COMPUTED_VALUE"""),2220.0)</f>
        <v>2220</v>
      </c>
      <c r="E263" s="2">
        <f>IFERROR(__xludf.DUMMYFUNCTION("""COMPUTED_VALUE"""),2220.0)</f>
        <v>2220</v>
      </c>
      <c r="F263" s="2">
        <f>IFERROR(__xludf.DUMMYFUNCTION("""COMPUTED_VALUE"""),4.503212E8)</f>
        <v>450321200</v>
      </c>
      <c r="G263" s="2">
        <f t="shared" si="1"/>
        <v>220</v>
      </c>
    </row>
    <row r="264" ht="15.75" customHeight="1">
      <c r="A264" s="1">
        <f>IFERROR(__xludf.DUMMYFUNCTION("""COMPUTED_VALUE"""),44228.625)</f>
        <v>44228.625</v>
      </c>
      <c r="B264" s="2">
        <f>IFERROR(__xludf.DUMMYFUNCTION("""COMPUTED_VALUE"""),2090.0)</f>
        <v>2090</v>
      </c>
      <c r="C264" s="2">
        <f>IFERROR(__xludf.DUMMYFUNCTION("""COMPUTED_VALUE"""),2640.0)</f>
        <v>2640</v>
      </c>
      <c r="D264" s="2">
        <f>IFERROR(__xludf.DUMMYFUNCTION("""COMPUTED_VALUE"""),2070.0)</f>
        <v>2070</v>
      </c>
      <c r="E264" s="2">
        <f>IFERROR(__xludf.DUMMYFUNCTION("""COMPUTED_VALUE"""),2600.0)</f>
        <v>2600</v>
      </c>
      <c r="F264" s="2">
        <f>IFERROR(__xludf.DUMMYFUNCTION("""COMPUTED_VALUE"""),2.1866527E9)</f>
        <v>2186652700</v>
      </c>
      <c r="G264" s="2">
        <f t="shared" si="1"/>
        <v>570</v>
      </c>
    </row>
    <row r="265" ht="15.75" customHeight="1">
      <c r="A265" s="1">
        <f>IFERROR(__xludf.DUMMYFUNCTION("""COMPUTED_VALUE"""),44229.625)</f>
        <v>44229.625</v>
      </c>
      <c r="B265" s="2">
        <f>IFERROR(__xludf.DUMMYFUNCTION("""COMPUTED_VALUE"""),2600.0)</f>
        <v>2600</v>
      </c>
      <c r="C265" s="2">
        <f>IFERROR(__xludf.DUMMYFUNCTION("""COMPUTED_VALUE"""),2630.0)</f>
        <v>2630</v>
      </c>
      <c r="D265" s="2">
        <f>IFERROR(__xludf.DUMMYFUNCTION("""COMPUTED_VALUE"""),2420.0)</f>
        <v>2420</v>
      </c>
      <c r="E265" s="2">
        <f>IFERROR(__xludf.DUMMYFUNCTION("""COMPUTED_VALUE"""),2420.0)</f>
        <v>2420</v>
      </c>
      <c r="F265" s="2">
        <f>IFERROR(__xludf.DUMMYFUNCTION("""COMPUTED_VALUE"""),9.424343E8)</f>
        <v>942434300</v>
      </c>
      <c r="G265" s="2">
        <f t="shared" si="1"/>
        <v>210</v>
      </c>
    </row>
    <row r="266" ht="15.75" customHeight="1">
      <c r="A266" s="1">
        <f>IFERROR(__xludf.DUMMYFUNCTION("""COMPUTED_VALUE"""),44230.625)</f>
        <v>44230.625</v>
      </c>
      <c r="B266" s="2">
        <f>IFERROR(__xludf.DUMMYFUNCTION("""COMPUTED_VALUE"""),2390.0)</f>
        <v>2390</v>
      </c>
      <c r="C266" s="2">
        <f>IFERROR(__xludf.DUMMYFUNCTION("""COMPUTED_VALUE"""),2520.0)</f>
        <v>2520</v>
      </c>
      <c r="D266" s="2">
        <f>IFERROR(__xludf.DUMMYFUNCTION("""COMPUTED_VALUE"""),2290.0)</f>
        <v>2290</v>
      </c>
      <c r="E266" s="2">
        <f>IFERROR(__xludf.DUMMYFUNCTION("""COMPUTED_VALUE"""),2330.0)</f>
        <v>2330</v>
      </c>
      <c r="F266" s="2">
        <f>IFERROR(__xludf.DUMMYFUNCTION("""COMPUTED_VALUE"""),9.48031E8)</f>
        <v>948031000</v>
      </c>
      <c r="G266" s="2">
        <f t="shared" si="1"/>
        <v>230</v>
      </c>
    </row>
    <row r="267" ht="15.75" customHeight="1">
      <c r="A267" s="1">
        <f>IFERROR(__xludf.DUMMYFUNCTION("""COMPUTED_VALUE"""),44231.625)</f>
        <v>44231.625</v>
      </c>
      <c r="B267" s="2">
        <f>IFERROR(__xludf.DUMMYFUNCTION("""COMPUTED_VALUE"""),2400.0)</f>
        <v>2400</v>
      </c>
      <c r="C267" s="2">
        <f>IFERROR(__xludf.DUMMYFUNCTION("""COMPUTED_VALUE"""),2520.0)</f>
        <v>2520</v>
      </c>
      <c r="D267" s="2">
        <f>IFERROR(__xludf.DUMMYFUNCTION("""COMPUTED_VALUE"""),2270.0)</f>
        <v>2270</v>
      </c>
      <c r="E267" s="2">
        <f>IFERROR(__xludf.DUMMYFUNCTION("""COMPUTED_VALUE"""),2400.0)</f>
        <v>2400</v>
      </c>
      <c r="F267" s="2">
        <f>IFERROR(__xludf.DUMMYFUNCTION("""COMPUTED_VALUE"""),8.741734E8)</f>
        <v>874173400</v>
      </c>
      <c r="G267" s="2">
        <f t="shared" si="1"/>
        <v>250</v>
      </c>
    </row>
    <row r="268" ht="15.75" customHeight="1">
      <c r="A268" s="1">
        <f>IFERROR(__xludf.DUMMYFUNCTION("""COMPUTED_VALUE"""),44232.625)</f>
        <v>44232.625</v>
      </c>
      <c r="B268" s="2">
        <f>IFERROR(__xludf.DUMMYFUNCTION("""COMPUTED_VALUE"""),2450.0)</f>
        <v>2450</v>
      </c>
      <c r="C268" s="2">
        <f>IFERROR(__xludf.DUMMYFUNCTION("""COMPUTED_VALUE"""),2690.0)</f>
        <v>2690</v>
      </c>
      <c r="D268" s="2">
        <f>IFERROR(__xludf.DUMMYFUNCTION("""COMPUTED_VALUE"""),2370.0)</f>
        <v>2370</v>
      </c>
      <c r="E268" s="2">
        <f>IFERROR(__xludf.DUMMYFUNCTION("""COMPUTED_VALUE"""),2660.0)</f>
        <v>2660</v>
      </c>
      <c r="F268" s="2">
        <f>IFERROR(__xludf.DUMMYFUNCTION("""COMPUTED_VALUE"""),1.1576477E9)</f>
        <v>1157647700</v>
      </c>
      <c r="G268" s="2">
        <f t="shared" si="1"/>
        <v>320</v>
      </c>
    </row>
    <row r="269" ht="15.75" customHeight="1">
      <c r="A269" s="1">
        <f>IFERROR(__xludf.DUMMYFUNCTION("""COMPUTED_VALUE"""),44235.625)</f>
        <v>44235.625</v>
      </c>
      <c r="B269" s="2">
        <f>IFERROR(__xludf.DUMMYFUNCTION("""COMPUTED_VALUE"""),2770.0)</f>
        <v>2770</v>
      </c>
      <c r="C269" s="2">
        <f>IFERROR(__xludf.DUMMYFUNCTION("""COMPUTED_VALUE"""),2830.0)</f>
        <v>2830</v>
      </c>
      <c r="D269" s="2">
        <f>IFERROR(__xludf.DUMMYFUNCTION("""COMPUTED_VALUE"""),2700.0)</f>
        <v>2700</v>
      </c>
      <c r="E269" s="2">
        <f>IFERROR(__xludf.DUMMYFUNCTION("""COMPUTED_VALUE"""),2830.0)</f>
        <v>2830</v>
      </c>
      <c r="F269" s="2">
        <f>IFERROR(__xludf.DUMMYFUNCTION("""COMPUTED_VALUE"""),9.771353E8)</f>
        <v>977135300</v>
      </c>
      <c r="G269" s="2">
        <f t="shared" si="1"/>
        <v>170</v>
      </c>
    </row>
    <row r="270" ht="15.75" customHeight="1">
      <c r="A270" s="1">
        <f>IFERROR(__xludf.DUMMYFUNCTION("""COMPUTED_VALUE"""),44236.625)</f>
        <v>44236.625</v>
      </c>
      <c r="B270" s="2">
        <f>IFERROR(__xludf.DUMMYFUNCTION("""COMPUTED_VALUE"""),2850.0)</f>
        <v>2850</v>
      </c>
      <c r="C270" s="2">
        <f>IFERROR(__xludf.DUMMYFUNCTION("""COMPUTED_VALUE"""),2860.0)</f>
        <v>2860</v>
      </c>
      <c r="D270" s="2">
        <f>IFERROR(__xludf.DUMMYFUNCTION("""COMPUTED_VALUE"""),2640.0)</f>
        <v>2640</v>
      </c>
      <c r="E270" s="2">
        <f>IFERROR(__xludf.DUMMYFUNCTION("""COMPUTED_VALUE"""),2730.0)</f>
        <v>2730</v>
      </c>
      <c r="F270" s="2">
        <f>IFERROR(__xludf.DUMMYFUNCTION("""COMPUTED_VALUE"""),8.777849E8)</f>
        <v>877784900</v>
      </c>
      <c r="G270" s="2">
        <f t="shared" si="1"/>
        <v>220</v>
      </c>
    </row>
    <row r="271" ht="15.75" customHeight="1">
      <c r="A271" s="1">
        <f>IFERROR(__xludf.DUMMYFUNCTION("""COMPUTED_VALUE"""),44237.625)</f>
        <v>44237.625</v>
      </c>
      <c r="B271" s="2">
        <f>IFERROR(__xludf.DUMMYFUNCTION("""COMPUTED_VALUE"""),2790.0)</f>
        <v>2790</v>
      </c>
      <c r="C271" s="2">
        <f>IFERROR(__xludf.DUMMYFUNCTION("""COMPUTED_VALUE"""),2970.0)</f>
        <v>2970</v>
      </c>
      <c r="D271" s="2">
        <f>IFERROR(__xludf.DUMMYFUNCTION("""COMPUTED_VALUE"""),2720.0)</f>
        <v>2720</v>
      </c>
      <c r="E271" s="2">
        <f>IFERROR(__xludf.DUMMYFUNCTION("""COMPUTED_VALUE"""),2930.0)</f>
        <v>2930</v>
      </c>
      <c r="F271" s="2">
        <f>IFERROR(__xludf.DUMMYFUNCTION("""COMPUTED_VALUE"""),1.4017205E9)</f>
        <v>1401720500</v>
      </c>
      <c r="G271" s="2">
        <f t="shared" si="1"/>
        <v>250</v>
      </c>
    </row>
    <row r="272" ht="15.75" customHeight="1">
      <c r="A272" s="1">
        <f>IFERROR(__xludf.DUMMYFUNCTION("""COMPUTED_VALUE"""),44238.625)</f>
        <v>44238.625</v>
      </c>
      <c r="B272" s="2">
        <f>IFERROR(__xludf.DUMMYFUNCTION("""COMPUTED_VALUE"""),2940.0)</f>
        <v>2940</v>
      </c>
      <c r="C272" s="2">
        <f>IFERROR(__xludf.DUMMYFUNCTION("""COMPUTED_VALUE"""),2960.0)</f>
        <v>2960</v>
      </c>
      <c r="D272" s="2">
        <f>IFERROR(__xludf.DUMMYFUNCTION("""COMPUTED_VALUE"""),2850.0)</f>
        <v>2850</v>
      </c>
      <c r="E272" s="2">
        <f>IFERROR(__xludf.DUMMYFUNCTION("""COMPUTED_VALUE"""),2870.0)</f>
        <v>2870</v>
      </c>
      <c r="F272" s="2">
        <f>IFERROR(__xludf.DUMMYFUNCTION("""COMPUTED_VALUE"""),6.201149E8)</f>
        <v>620114900</v>
      </c>
      <c r="G272" s="2">
        <f t="shared" si="1"/>
        <v>110</v>
      </c>
    </row>
    <row r="273" ht="15.75" customHeight="1">
      <c r="A273" s="1">
        <f>IFERROR(__xludf.DUMMYFUNCTION("""COMPUTED_VALUE"""),44242.625)</f>
        <v>44242.625</v>
      </c>
      <c r="B273" s="2">
        <f>IFERROR(__xludf.DUMMYFUNCTION("""COMPUTED_VALUE"""),2900.0)</f>
        <v>2900</v>
      </c>
      <c r="C273" s="2">
        <f>IFERROR(__xludf.DUMMYFUNCTION("""COMPUTED_VALUE"""),2950.0)</f>
        <v>2950</v>
      </c>
      <c r="D273" s="2">
        <f>IFERROR(__xludf.DUMMYFUNCTION("""COMPUTED_VALUE"""),2880.0)</f>
        <v>2880</v>
      </c>
      <c r="E273" s="2">
        <f>IFERROR(__xludf.DUMMYFUNCTION("""COMPUTED_VALUE"""),2900.0)</f>
        <v>2900</v>
      </c>
      <c r="F273" s="2">
        <f>IFERROR(__xludf.DUMMYFUNCTION("""COMPUTED_VALUE"""),3.615943E8)</f>
        <v>361594300</v>
      </c>
      <c r="G273" s="2">
        <f t="shared" si="1"/>
        <v>80</v>
      </c>
    </row>
    <row r="274" ht="15.75" customHeight="1">
      <c r="A274" s="1">
        <f>IFERROR(__xludf.DUMMYFUNCTION("""COMPUTED_VALUE"""),44243.625)</f>
        <v>44243.625</v>
      </c>
      <c r="B274" s="2">
        <f>IFERROR(__xludf.DUMMYFUNCTION("""COMPUTED_VALUE"""),2910.0)</f>
        <v>2910</v>
      </c>
      <c r="C274" s="2">
        <f>IFERROR(__xludf.DUMMYFUNCTION("""COMPUTED_VALUE"""),2940.0)</f>
        <v>2940</v>
      </c>
      <c r="D274" s="2">
        <f>IFERROR(__xludf.DUMMYFUNCTION("""COMPUTED_VALUE"""),2860.0)</f>
        <v>2860</v>
      </c>
      <c r="E274" s="2">
        <f>IFERROR(__xludf.DUMMYFUNCTION("""COMPUTED_VALUE"""),2870.0)</f>
        <v>2870</v>
      </c>
      <c r="F274" s="2">
        <f>IFERROR(__xludf.DUMMYFUNCTION("""COMPUTED_VALUE"""),3.492661E8)</f>
        <v>349266100</v>
      </c>
      <c r="G274" s="2">
        <f t="shared" si="1"/>
        <v>80</v>
      </c>
    </row>
    <row r="275" ht="15.75" customHeight="1">
      <c r="A275" s="1">
        <f>IFERROR(__xludf.DUMMYFUNCTION("""COMPUTED_VALUE"""),44244.625)</f>
        <v>44244.625</v>
      </c>
      <c r="B275" s="2">
        <f>IFERROR(__xludf.DUMMYFUNCTION("""COMPUTED_VALUE"""),2870.0)</f>
        <v>2870</v>
      </c>
      <c r="C275" s="2">
        <f>IFERROR(__xludf.DUMMYFUNCTION("""COMPUTED_VALUE"""),2890.0)</f>
        <v>2890</v>
      </c>
      <c r="D275" s="2">
        <f>IFERROR(__xludf.DUMMYFUNCTION("""COMPUTED_VALUE"""),2720.0)</f>
        <v>2720</v>
      </c>
      <c r="E275" s="2">
        <f>IFERROR(__xludf.DUMMYFUNCTION("""COMPUTED_VALUE"""),2750.0)</f>
        <v>2750</v>
      </c>
      <c r="F275" s="2">
        <f>IFERROR(__xludf.DUMMYFUNCTION("""COMPUTED_VALUE"""),4.431541E8)</f>
        <v>443154100</v>
      </c>
      <c r="G275" s="2">
        <f t="shared" si="1"/>
        <v>170</v>
      </c>
    </row>
    <row r="276" ht="15.75" customHeight="1">
      <c r="A276" s="1">
        <f>IFERROR(__xludf.DUMMYFUNCTION("""COMPUTED_VALUE"""),44245.625)</f>
        <v>44245.625</v>
      </c>
      <c r="B276" s="2">
        <f>IFERROR(__xludf.DUMMYFUNCTION("""COMPUTED_VALUE"""),2700.0)</f>
        <v>2700</v>
      </c>
      <c r="C276" s="2">
        <f>IFERROR(__xludf.DUMMYFUNCTION("""COMPUTED_VALUE"""),2820.0)</f>
        <v>2820</v>
      </c>
      <c r="D276" s="2">
        <f>IFERROR(__xludf.DUMMYFUNCTION("""COMPUTED_VALUE"""),2670.0)</f>
        <v>2670</v>
      </c>
      <c r="E276" s="2">
        <f>IFERROR(__xludf.DUMMYFUNCTION("""COMPUTED_VALUE"""),2780.0)</f>
        <v>2780</v>
      </c>
      <c r="F276" s="2">
        <f>IFERROR(__xludf.DUMMYFUNCTION("""COMPUTED_VALUE"""),3.49948E8)</f>
        <v>349948000</v>
      </c>
      <c r="G276" s="2">
        <f t="shared" si="1"/>
        <v>150</v>
      </c>
    </row>
    <row r="277" ht="15.75" customHeight="1">
      <c r="A277" s="1">
        <f>IFERROR(__xludf.DUMMYFUNCTION("""COMPUTED_VALUE"""),44246.625)</f>
        <v>44246.625</v>
      </c>
      <c r="B277" s="2">
        <f>IFERROR(__xludf.DUMMYFUNCTION("""COMPUTED_VALUE"""),2800.0)</f>
        <v>2800</v>
      </c>
      <c r="C277" s="2">
        <f>IFERROR(__xludf.DUMMYFUNCTION("""COMPUTED_VALUE"""),2910.0)</f>
        <v>2910</v>
      </c>
      <c r="D277" s="2">
        <f>IFERROR(__xludf.DUMMYFUNCTION("""COMPUTED_VALUE"""),2730.0)</f>
        <v>2730</v>
      </c>
      <c r="E277" s="2">
        <f>IFERROR(__xludf.DUMMYFUNCTION("""COMPUTED_VALUE"""),2880.0)</f>
        <v>2880</v>
      </c>
      <c r="F277" s="2">
        <f>IFERROR(__xludf.DUMMYFUNCTION("""COMPUTED_VALUE"""),4.828217E8)</f>
        <v>482821700</v>
      </c>
      <c r="G277" s="2">
        <f t="shared" si="1"/>
        <v>180</v>
      </c>
    </row>
    <row r="278" ht="15.75" customHeight="1">
      <c r="A278" s="1">
        <f>IFERROR(__xludf.DUMMYFUNCTION("""COMPUTED_VALUE"""),44249.625)</f>
        <v>44249.625</v>
      </c>
      <c r="B278" s="2">
        <f>IFERROR(__xludf.DUMMYFUNCTION("""COMPUTED_VALUE"""),2940.0)</f>
        <v>2940</v>
      </c>
      <c r="C278" s="2">
        <f>IFERROR(__xludf.DUMMYFUNCTION("""COMPUTED_VALUE"""),3040.0)</f>
        <v>3040</v>
      </c>
      <c r="D278" s="2">
        <f>IFERROR(__xludf.DUMMYFUNCTION("""COMPUTED_VALUE"""),2910.0)</f>
        <v>2910</v>
      </c>
      <c r="E278" s="2">
        <f>IFERROR(__xludf.DUMMYFUNCTION("""COMPUTED_VALUE"""),2950.0)</f>
        <v>2950</v>
      </c>
      <c r="F278" s="2">
        <f>IFERROR(__xludf.DUMMYFUNCTION("""COMPUTED_VALUE"""),8.346103E8)</f>
        <v>834610300</v>
      </c>
      <c r="G278" s="2">
        <f t="shared" si="1"/>
        <v>160</v>
      </c>
    </row>
    <row r="279" ht="15.75" customHeight="1">
      <c r="A279" s="1">
        <f>IFERROR(__xludf.DUMMYFUNCTION("""COMPUTED_VALUE"""),44250.66666666667)</f>
        <v>44250.66667</v>
      </c>
      <c r="B279" s="2">
        <f>IFERROR(__xludf.DUMMYFUNCTION("""COMPUTED_VALUE"""),2940.0)</f>
        <v>2940</v>
      </c>
      <c r="C279" s="2">
        <f>IFERROR(__xludf.DUMMYFUNCTION("""COMPUTED_VALUE"""),3010.0)</f>
        <v>3010</v>
      </c>
      <c r="D279" s="2">
        <f>IFERROR(__xludf.DUMMYFUNCTION("""COMPUTED_VALUE"""),2920.0)</f>
        <v>2920</v>
      </c>
      <c r="E279" s="2">
        <f>IFERROR(__xludf.DUMMYFUNCTION("""COMPUTED_VALUE"""),2940.0)</f>
        <v>2940</v>
      </c>
      <c r="F279" s="2">
        <f>IFERROR(__xludf.DUMMYFUNCTION("""COMPUTED_VALUE"""),3.271051E8)</f>
        <v>327105100</v>
      </c>
      <c r="G279" s="2">
        <f t="shared" si="1"/>
        <v>90</v>
      </c>
    </row>
    <row r="280" ht="15.75" customHeight="1">
      <c r="A280" s="1">
        <f>IFERROR(__xludf.DUMMYFUNCTION("""COMPUTED_VALUE"""),44251.625)</f>
        <v>44251.625</v>
      </c>
      <c r="B280" s="2">
        <f>IFERROR(__xludf.DUMMYFUNCTION("""COMPUTED_VALUE"""),2930.0)</f>
        <v>2930</v>
      </c>
      <c r="C280" s="2">
        <f>IFERROR(__xludf.DUMMYFUNCTION("""COMPUTED_VALUE"""),2970.0)</f>
        <v>2970</v>
      </c>
      <c r="D280" s="2">
        <f>IFERROR(__xludf.DUMMYFUNCTION("""COMPUTED_VALUE"""),2820.0)</f>
        <v>2820</v>
      </c>
      <c r="E280" s="2">
        <f>IFERROR(__xludf.DUMMYFUNCTION("""COMPUTED_VALUE"""),2910.0)</f>
        <v>2910</v>
      </c>
      <c r="F280" s="2">
        <f>IFERROR(__xludf.DUMMYFUNCTION("""COMPUTED_VALUE"""),3.86381E8)</f>
        <v>386381000</v>
      </c>
      <c r="G280" s="2">
        <f t="shared" si="1"/>
        <v>150</v>
      </c>
    </row>
    <row r="281" ht="15.75" customHeight="1">
      <c r="A281" s="1">
        <f>IFERROR(__xludf.DUMMYFUNCTION("""COMPUTED_VALUE"""),44252.625)</f>
        <v>44252.625</v>
      </c>
      <c r="B281" s="2">
        <f>IFERROR(__xludf.DUMMYFUNCTION("""COMPUTED_VALUE"""),2970.0)</f>
        <v>2970</v>
      </c>
      <c r="C281" s="2">
        <f>IFERROR(__xludf.DUMMYFUNCTION("""COMPUTED_VALUE"""),3010.0)</f>
        <v>3010</v>
      </c>
      <c r="D281" s="2">
        <f>IFERROR(__xludf.DUMMYFUNCTION("""COMPUTED_VALUE"""),2940.0)</f>
        <v>2940</v>
      </c>
      <c r="E281" s="2">
        <f>IFERROR(__xludf.DUMMYFUNCTION("""COMPUTED_VALUE"""),2960.0)</f>
        <v>2960</v>
      </c>
      <c r="F281" s="2">
        <f>IFERROR(__xludf.DUMMYFUNCTION("""COMPUTED_VALUE"""),3.467878E8)</f>
        <v>346787800</v>
      </c>
      <c r="G281" s="2">
        <f t="shared" si="1"/>
        <v>100</v>
      </c>
    </row>
    <row r="282" ht="15.75" customHeight="1">
      <c r="A282" s="1">
        <f>IFERROR(__xludf.DUMMYFUNCTION("""COMPUTED_VALUE"""),44253.625)</f>
        <v>44253.625</v>
      </c>
      <c r="B282" s="2">
        <f>IFERROR(__xludf.DUMMYFUNCTION("""COMPUTED_VALUE"""),2840.0)</f>
        <v>2840</v>
      </c>
      <c r="C282" s="2">
        <f>IFERROR(__xludf.DUMMYFUNCTION("""COMPUTED_VALUE"""),2890.0)</f>
        <v>2890</v>
      </c>
      <c r="D282" s="2">
        <f>IFERROR(__xludf.DUMMYFUNCTION("""COMPUTED_VALUE"""),2780.0)</f>
        <v>2780</v>
      </c>
      <c r="E282" s="2">
        <f>IFERROR(__xludf.DUMMYFUNCTION("""COMPUTED_VALUE"""),2840.0)</f>
        <v>2840</v>
      </c>
      <c r="F282" s="2">
        <f>IFERROR(__xludf.DUMMYFUNCTION("""COMPUTED_VALUE"""),1.3050426E9)</f>
        <v>1305042600</v>
      </c>
      <c r="G282" s="2">
        <f t="shared" si="1"/>
        <v>180</v>
      </c>
    </row>
    <row r="283" ht="15.75" customHeight="1">
      <c r="A283" s="1">
        <f>IFERROR(__xludf.DUMMYFUNCTION("""COMPUTED_VALUE"""),44256.625)</f>
        <v>44256.625</v>
      </c>
      <c r="B283" s="2">
        <f>IFERROR(__xludf.DUMMYFUNCTION("""COMPUTED_VALUE"""),2850.0)</f>
        <v>2850</v>
      </c>
      <c r="C283" s="2">
        <f>IFERROR(__xludf.DUMMYFUNCTION("""COMPUTED_VALUE"""),2880.0)</f>
        <v>2880</v>
      </c>
      <c r="D283" s="2">
        <f>IFERROR(__xludf.DUMMYFUNCTION("""COMPUTED_VALUE"""),2810.0)</f>
        <v>2810</v>
      </c>
      <c r="E283" s="2">
        <f>IFERROR(__xludf.DUMMYFUNCTION("""COMPUTED_VALUE"""),2840.0)</f>
        <v>2840</v>
      </c>
      <c r="F283" s="2">
        <f>IFERROR(__xludf.DUMMYFUNCTION("""COMPUTED_VALUE"""),1.667825E8)</f>
        <v>166782500</v>
      </c>
      <c r="G283" s="2">
        <f t="shared" si="1"/>
        <v>70</v>
      </c>
    </row>
    <row r="284" ht="15.75" customHeight="1">
      <c r="A284" s="1">
        <f>IFERROR(__xludf.DUMMYFUNCTION("""COMPUTED_VALUE"""),44257.625)</f>
        <v>44257.625</v>
      </c>
      <c r="B284" s="2">
        <f>IFERROR(__xludf.DUMMYFUNCTION("""COMPUTED_VALUE"""),2840.0)</f>
        <v>2840</v>
      </c>
      <c r="C284" s="2">
        <f>IFERROR(__xludf.DUMMYFUNCTION("""COMPUTED_VALUE"""),2850.0)</f>
        <v>2850</v>
      </c>
      <c r="D284" s="2">
        <f>IFERROR(__xludf.DUMMYFUNCTION("""COMPUTED_VALUE"""),2720.0)</f>
        <v>2720</v>
      </c>
      <c r="E284" s="2">
        <f>IFERROR(__xludf.DUMMYFUNCTION("""COMPUTED_VALUE"""),2730.0)</f>
        <v>2730</v>
      </c>
      <c r="F284" s="2">
        <f>IFERROR(__xludf.DUMMYFUNCTION("""COMPUTED_VALUE"""),2.984894E8)</f>
        <v>298489400</v>
      </c>
      <c r="G284" s="2">
        <f t="shared" si="1"/>
        <v>130</v>
      </c>
    </row>
    <row r="285" ht="15.75" customHeight="1">
      <c r="A285" s="1">
        <f>IFERROR(__xludf.DUMMYFUNCTION("""COMPUTED_VALUE"""),44258.625)</f>
        <v>44258.625</v>
      </c>
      <c r="B285" s="2">
        <f>IFERROR(__xludf.DUMMYFUNCTION("""COMPUTED_VALUE"""),2770.0)</f>
        <v>2770</v>
      </c>
      <c r="C285" s="2">
        <f>IFERROR(__xludf.DUMMYFUNCTION("""COMPUTED_VALUE"""),2770.0)</f>
        <v>2770</v>
      </c>
      <c r="D285" s="2">
        <f>IFERROR(__xludf.DUMMYFUNCTION("""COMPUTED_VALUE"""),2670.0)</f>
        <v>2670</v>
      </c>
      <c r="E285" s="2">
        <f>IFERROR(__xludf.DUMMYFUNCTION("""COMPUTED_VALUE"""),2700.0)</f>
        <v>2700</v>
      </c>
      <c r="F285" s="2">
        <f>IFERROR(__xludf.DUMMYFUNCTION("""COMPUTED_VALUE"""),1.921527E8)</f>
        <v>192152700</v>
      </c>
      <c r="G285" s="2">
        <f t="shared" si="1"/>
        <v>100</v>
      </c>
    </row>
    <row r="286" ht="15.75" customHeight="1">
      <c r="A286" s="1">
        <f>IFERROR(__xludf.DUMMYFUNCTION("""COMPUTED_VALUE"""),44259.625)</f>
        <v>44259.625</v>
      </c>
      <c r="B286" s="2">
        <f>IFERROR(__xludf.DUMMYFUNCTION("""COMPUTED_VALUE"""),2520.0)</f>
        <v>2520</v>
      </c>
      <c r="C286" s="2">
        <f>IFERROR(__xludf.DUMMYFUNCTION("""COMPUTED_VALUE"""),2590.0)</f>
        <v>2590</v>
      </c>
      <c r="D286" s="2">
        <f>IFERROR(__xludf.DUMMYFUNCTION("""COMPUTED_VALUE"""),2520.0)</f>
        <v>2520</v>
      </c>
      <c r="E286" s="2">
        <f>IFERROR(__xludf.DUMMYFUNCTION("""COMPUTED_VALUE"""),2520.0)</f>
        <v>2520</v>
      </c>
      <c r="F286" s="2">
        <f>IFERROR(__xludf.DUMMYFUNCTION("""COMPUTED_VALUE"""),4.66387E8)</f>
        <v>466387000</v>
      </c>
      <c r="G286" s="2">
        <f t="shared" si="1"/>
        <v>180</v>
      </c>
    </row>
    <row r="287" ht="15.75" customHeight="1">
      <c r="A287" s="1">
        <f>IFERROR(__xludf.DUMMYFUNCTION("""COMPUTED_VALUE"""),44260.625)</f>
        <v>44260.625</v>
      </c>
      <c r="B287" s="2">
        <f>IFERROR(__xludf.DUMMYFUNCTION("""COMPUTED_VALUE"""),2370.0)</f>
        <v>2370</v>
      </c>
      <c r="C287" s="2">
        <f>IFERROR(__xludf.DUMMYFUNCTION("""COMPUTED_VALUE"""),2520.0)</f>
        <v>2520</v>
      </c>
      <c r="D287" s="2">
        <f>IFERROR(__xludf.DUMMYFUNCTION("""COMPUTED_VALUE"""),2350.0)</f>
        <v>2350</v>
      </c>
      <c r="E287" s="2">
        <f>IFERROR(__xludf.DUMMYFUNCTION("""COMPUTED_VALUE"""),2420.0)</f>
        <v>2420</v>
      </c>
      <c r="F287" s="2">
        <f>IFERROR(__xludf.DUMMYFUNCTION("""COMPUTED_VALUE"""),7.450247E8)</f>
        <v>745024700</v>
      </c>
      <c r="G287" s="2">
        <f t="shared" si="1"/>
        <v>170</v>
      </c>
    </row>
    <row r="288" ht="15.75" customHeight="1">
      <c r="A288" s="1">
        <f>IFERROR(__xludf.DUMMYFUNCTION("""COMPUTED_VALUE"""),44263.66666666667)</f>
        <v>44263.66667</v>
      </c>
      <c r="B288" s="2">
        <f>IFERROR(__xludf.DUMMYFUNCTION("""COMPUTED_VALUE"""),2490.0)</f>
        <v>2490</v>
      </c>
      <c r="C288" s="2">
        <f>IFERROR(__xludf.DUMMYFUNCTION("""COMPUTED_VALUE"""),2500.0)</f>
        <v>2500</v>
      </c>
      <c r="D288" s="2">
        <f>IFERROR(__xludf.DUMMYFUNCTION("""COMPUTED_VALUE"""),2270.0)</f>
        <v>2270</v>
      </c>
      <c r="E288" s="2">
        <f>IFERROR(__xludf.DUMMYFUNCTION("""COMPUTED_VALUE"""),2280.0)</f>
        <v>2280</v>
      </c>
      <c r="F288" s="2">
        <f>IFERROR(__xludf.DUMMYFUNCTION("""COMPUTED_VALUE"""),4.769471E8)</f>
        <v>476947100</v>
      </c>
      <c r="G288" s="2">
        <f t="shared" si="1"/>
        <v>230</v>
      </c>
    </row>
    <row r="289" ht="15.75" customHeight="1">
      <c r="A289" s="1">
        <f>IFERROR(__xludf.DUMMYFUNCTION("""COMPUTED_VALUE"""),44264.625)</f>
        <v>44264.625</v>
      </c>
      <c r="B289" s="2">
        <f>IFERROR(__xludf.DUMMYFUNCTION("""COMPUTED_VALUE"""),2280.0)</f>
        <v>2280</v>
      </c>
      <c r="C289" s="2">
        <f>IFERROR(__xludf.DUMMYFUNCTION("""COMPUTED_VALUE"""),2360.0)</f>
        <v>2360</v>
      </c>
      <c r="D289" s="2">
        <f>IFERROR(__xludf.DUMMYFUNCTION("""COMPUTED_VALUE"""),2180.0)</f>
        <v>2180</v>
      </c>
      <c r="E289" s="2">
        <f>IFERROR(__xludf.DUMMYFUNCTION("""COMPUTED_VALUE"""),2230.0)</f>
        <v>2230</v>
      </c>
      <c r="F289" s="2">
        <f>IFERROR(__xludf.DUMMYFUNCTION("""COMPUTED_VALUE"""),5.151095E8)</f>
        <v>515109500</v>
      </c>
      <c r="G289" s="2">
        <f t="shared" si="1"/>
        <v>180</v>
      </c>
    </row>
    <row r="290" ht="15.75" customHeight="1">
      <c r="A290" s="1">
        <f>IFERROR(__xludf.DUMMYFUNCTION("""COMPUTED_VALUE"""),44265.625)</f>
        <v>44265.625</v>
      </c>
      <c r="B290" s="2">
        <f>IFERROR(__xludf.DUMMYFUNCTION("""COMPUTED_VALUE"""),2260.0)</f>
        <v>2260</v>
      </c>
      <c r="C290" s="2">
        <f>IFERROR(__xludf.DUMMYFUNCTION("""COMPUTED_VALUE"""),2280.0)</f>
        <v>2280</v>
      </c>
      <c r="D290" s="2">
        <f>IFERROR(__xludf.DUMMYFUNCTION("""COMPUTED_VALUE"""),2170.0)</f>
        <v>2170</v>
      </c>
      <c r="E290" s="2">
        <f>IFERROR(__xludf.DUMMYFUNCTION("""COMPUTED_VALUE"""),2230.0)</f>
        <v>2230</v>
      </c>
      <c r="F290" s="2">
        <f>IFERROR(__xludf.DUMMYFUNCTION("""COMPUTED_VALUE"""),1.930246E8)</f>
        <v>193024600</v>
      </c>
      <c r="G290" s="2">
        <f t="shared" si="1"/>
        <v>110</v>
      </c>
    </row>
    <row r="291" ht="15.75" customHeight="1">
      <c r="A291" s="1">
        <f>IFERROR(__xludf.DUMMYFUNCTION("""COMPUTED_VALUE"""),44267.625)</f>
        <v>44267.625</v>
      </c>
      <c r="B291" s="2">
        <f>IFERROR(__xludf.DUMMYFUNCTION("""COMPUTED_VALUE"""),2280.0)</f>
        <v>2280</v>
      </c>
      <c r="C291" s="2">
        <f>IFERROR(__xludf.DUMMYFUNCTION("""COMPUTED_VALUE"""),2440.0)</f>
        <v>2440</v>
      </c>
      <c r="D291" s="2">
        <f>IFERROR(__xludf.DUMMYFUNCTION("""COMPUTED_VALUE"""),2280.0)</f>
        <v>2280</v>
      </c>
      <c r="E291" s="2">
        <f>IFERROR(__xludf.DUMMYFUNCTION("""COMPUTED_VALUE"""),2420.0)</f>
        <v>2420</v>
      </c>
      <c r="F291" s="2">
        <f>IFERROR(__xludf.DUMMYFUNCTION("""COMPUTED_VALUE"""),5.378557E8)</f>
        <v>537855700</v>
      </c>
      <c r="G291" s="2">
        <f t="shared" si="1"/>
        <v>210</v>
      </c>
    </row>
    <row r="292" ht="15.75" customHeight="1">
      <c r="A292" s="1">
        <f>IFERROR(__xludf.DUMMYFUNCTION("""COMPUTED_VALUE"""),44270.625)</f>
        <v>44270.625</v>
      </c>
      <c r="B292" s="2">
        <f>IFERROR(__xludf.DUMMYFUNCTION("""COMPUTED_VALUE"""),2430.0)</f>
        <v>2430</v>
      </c>
      <c r="C292" s="2">
        <f>IFERROR(__xludf.DUMMYFUNCTION("""COMPUTED_VALUE"""),2450.0)</f>
        <v>2450</v>
      </c>
      <c r="D292" s="2">
        <f>IFERROR(__xludf.DUMMYFUNCTION("""COMPUTED_VALUE"""),2280.0)</f>
        <v>2280</v>
      </c>
      <c r="E292" s="2">
        <f>IFERROR(__xludf.DUMMYFUNCTION("""COMPUTED_VALUE"""),2340.0)</f>
        <v>2340</v>
      </c>
      <c r="F292" s="2">
        <f>IFERROR(__xludf.DUMMYFUNCTION("""COMPUTED_VALUE"""),3.719875E8)</f>
        <v>371987500</v>
      </c>
      <c r="G292" s="2">
        <f t="shared" si="1"/>
        <v>170</v>
      </c>
    </row>
    <row r="293" ht="15.75" customHeight="1">
      <c r="A293" s="1">
        <f>IFERROR(__xludf.DUMMYFUNCTION("""COMPUTED_VALUE"""),44271.625)</f>
        <v>44271.625</v>
      </c>
      <c r="B293" s="2">
        <f>IFERROR(__xludf.DUMMYFUNCTION("""COMPUTED_VALUE"""),2350.0)</f>
        <v>2350</v>
      </c>
      <c r="C293" s="2">
        <f>IFERROR(__xludf.DUMMYFUNCTION("""COMPUTED_VALUE"""),2350.0)</f>
        <v>2350</v>
      </c>
      <c r="D293" s="2">
        <f>IFERROR(__xludf.DUMMYFUNCTION("""COMPUTED_VALUE"""),2240.0)</f>
        <v>2240</v>
      </c>
      <c r="E293" s="2">
        <f>IFERROR(__xludf.DUMMYFUNCTION("""COMPUTED_VALUE"""),2270.0)</f>
        <v>2270</v>
      </c>
      <c r="F293" s="2">
        <f>IFERROR(__xludf.DUMMYFUNCTION("""COMPUTED_VALUE"""),2.312411E8)</f>
        <v>231241100</v>
      </c>
      <c r="G293" s="2">
        <f t="shared" si="1"/>
        <v>110</v>
      </c>
    </row>
    <row r="294" ht="15.75" customHeight="1">
      <c r="A294" s="1">
        <f>IFERROR(__xludf.DUMMYFUNCTION("""COMPUTED_VALUE"""),44272.625)</f>
        <v>44272.625</v>
      </c>
      <c r="B294" s="2">
        <f>IFERROR(__xludf.DUMMYFUNCTION("""COMPUTED_VALUE"""),2290.0)</f>
        <v>2290</v>
      </c>
      <c r="C294" s="2">
        <f>IFERROR(__xludf.DUMMYFUNCTION("""COMPUTED_VALUE"""),2330.0)</f>
        <v>2330</v>
      </c>
      <c r="D294" s="2">
        <f>IFERROR(__xludf.DUMMYFUNCTION("""COMPUTED_VALUE"""),2260.0)</f>
        <v>2260</v>
      </c>
      <c r="E294" s="2">
        <f>IFERROR(__xludf.DUMMYFUNCTION("""COMPUTED_VALUE"""),2300.0)</f>
        <v>2300</v>
      </c>
      <c r="F294" s="2">
        <f>IFERROR(__xludf.DUMMYFUNCTION("""COMPUTED_VALUE"""),1.471887E8)</f>
        <v>147188700</v>
      </c>
      <c r="G294" s="2">
        <f t="shared" si="1"/>
        <v>70</v>
      </c>
    </row>
    <row r="295" ht="15.75" customHeight="1">
      <c r="A295" s="1">
        <f>IFERROR(__xludf.DUMMYFUNCTION("""COMPUTED_VALUE"""),44273.625)</f>
        <v>44273.625</v>
      </c>
      <c r="B295" s="2">
        <f>IFERROR(__xludf.DUMMYFUNCTION("""COMPUTED_VALUE"""),2350.0)</f>
        <v>2350</v>
      </c>
      <c r="C295" s="2">
        <f>IFERROR(__xludf.DUMMYFUNCTION("""COMPUTED_VALUE"""),2350.0)</f>
        <v>2350</v>
      </c>
      <c r="D295" s="2">
        <f>IFERROR(__xludf.DUMMYFUNCTION("""COMPUTED_VALUE"""),2270.0)</f>
        <v>2270</v>
      </c>
      <c r="E295" s="2">
        <f>IFERROR(__xludf.DUMMYFUNCTION("""COMPUTED_VALUE"""),2290.0)</f>
        <v>2290</v>
      </c>
      <c r="F295" s="2">
        <f>IFERROR(__xludf.DUMMYFUNCTION("""COMPUTED_VALUE"""),1.495495E8)</f>
        <v>149549500</v>
      </c>
      <c r="G295" s="2">
        <f t="shared" si="1"/>
        <v>80</v>
      </c>
    </row>
    <row r="296" ht="15.75" customHeight="1">
      <c r="A296" s="1">
        <f>IFERROR(__xludf.DUMMYFUNCTION("""COMPUTED_VALUE"""),44274.625)</f>
        <v>44274.625</v>
      </c>
      <c r="B296" s="2">
        <f>IFERROR(__xludf.DUMMYFUNCTION("""COMPUTED_VALUE"""),2270.0)</f>
        <v>2270</v>
      </c>
      <c r="C296" s="2">
        <f>IFERROR(__xludf.DUMMYFUNCTION("""COMPUTED_VALUE"""),2280.0)</f>
        <v>2280</v>
      </c>
      <c r="D296" s="2">
        <f>IFERROR(__xludf.DUMMYFUNCTION("""COMPUTED_VALUE"""),2210.0)</f>
        <v>2210</v>
      </c>
      <c r="E296" s="2">
        <f>IFERROR(__xludf.DUMMYFUNCTION("""COMPUTED_VALUE"""),2250.0)</f>
        <v>2250</v>
      </c>
      <c r="F296" s="2">
        <f>IFERROR(__xludf.DUMMYFUNCTION("""COMPUTED_VALUE"""),1.234141E8)</f>
        <v>123414100</v>
      </c>
      <c r="G296" s="2">
        <f t="shared" si="1"/>
        <v>80</v>
      </c>
    </row>
    <row r="297" ht="15.75" customHeight="1">
      <c r="A297" s="1">
        <f>IFERROR(__xludf.DUMMYFUNCTION("""COMPUTED_VALUE"""),44277.625)</f>
        <v>44277.625</v>
      </c>
      <c r="B297" s="2">
        <f>IFERROR(__xludf.DUMMYFUNCTION("""COMPUTED_VALUE"""),2260.0)</f>
        <v>2260</v>
      </c>
      <c r="C297" s="2">
        <f>IFERROR(__xludf.DUMMYFUNCTION("""COMPUTED_VALUE"""),2340.0)</f>
        <v>2340</v>
      </c>
      <c r="D297" s="2">
        <f>IFERROR(__xludf.DUMMYFUNCTION("""COMPUTED_VALUE"""),2250.0)</f>
        <v>2250</v>
      </c>
      <c r="E297" s="2">
        <f>IFERROR(__xludf.DUMMYFUNCTION("""COMPUTED_VALUE"""),2260.0)</f>
        <v>2260</v>
      </c>
      <c r="F297" s="2">
        <f>IFERROR(__xludf.DUMMYFUNCTION("""COMPUTED_VALUE"""),1.259246E8)</f>
        <v>125924600</v>
      </c>
      <c r="G297" s="2">
        <f t="shared" si="1"/>
        <v>90</v>
      </c>
    </row>
    <row r="298" ht="15.75" customHeight="1">
      <c r="A298" s="1">
        <f>IFERROR(__xludf.DUMMYFUNCTION("""COMPUTED_VALUE"""),44278.625)</f>
        <v>44278.625</v>
      </c>
      <c r="B298" s="2">
        <f>IFERROR(__xludf.DUMMYFUNCTION("""COMPUTED_VALUE"""),2300.0)</f>
        <v>2300</v>
      </c>
      <c r="C298" s="2">
        <f>IFERROR(__xludf.DUMMYFUNCTION("""COMPUTED_VALUE"""),2310.0)</f>
        <v>2310</v>
      </c>
      <c r="D298" s="2">
        <f>IFERROR(__xludf.DUMMYFUNCTION("""COMPUTED_VALUE"""),2220.0)</f>
        <v>2220</v>
      </c>
      <c r="E298" s="2">
        <f>IFERROR(__xludf.DUMMYFUNCTION("""COMPUTED_VALUE"""),2270.0)</f>
        <v>2270</v>
      </c>
      <c r="F298" s="2">
        <f>IFERROR(__xludf.DUMMYFUNCTION("""COMPUTED_VALUE"""),1.412391E8)</f>
        <v>141239100</v>
      </c>
      <c r="G298" s="2">
        <f t="shared" si="1"/>
        <v>90</v>
      </c>
    </row>
    <row r="299" ht="15.75" customHeight="1">
      <c r="A299" s="1">
        <f>IFERROR(__xludf.DUMMYFUNCTION("""COMPUTED_VALUE"""),44279.625)</f>
        <v>44279.625</v>
      </c>
      <c r="B299" s="2">
        <f>IFERROR(__xludf.DUMMYFUNCTION("""COMPUTED_VALUE"""),2250.0)</f>
        <v>2250</v>
      </c>
      <c r="C299" s="2">
        <f>IFERROR(__xludf.DUMMYFUNCTION("""COMPUTED_VALUE"""),2250.0)</f>
        <v>2250</v>
      </c>
      <c r="D299" s="2">
        <f>IFERROR(__xludf.DUMMYFUNCTION("""COMPUTED_VALUE"""),2170.0)</f>
        <v>2170</v>
      </c>
      <c r="E299" s="2">
        <f>IFERROR(__xludf.DUMMYFUNCTION("""COMPUTED_VALUE"""),2170.0)</f>
        <v>2170</v>
      </c>
      <c r="F299" s="2">
        <f>IFERROR(__xludf.DUMMYFUNCTION("""COMPUTED_VALUE"""),1.569289E8)</f>
        <v>156928900</v>
      </c>
      <c r="G299" s="2">
        <f t="shared" si="1"/>
        <v>100</v>
      </c>
    </row>
    <row r="300" ht="15.75" customHeight="1">
      <c r="A300" s="1">
        <f>IFERROR(__xludf.DUMMYFUNCTION("""COMPUTED_VALUE"""),44280.625)</f>
        <v>44280.625</v>
      </c>
      <c r="B300" s="2">
        <f>IFERROR(__xludf.DUMMYFUNCTION("""COMPUTED_VALUE"""),2170.0)</f>
        <v>2170</v>
      </c>
      <c r="C300" s="2">
        <f>IFERROR(__xludf.DUMMYFUNCTION("""COMPUTED_VALUE"""),2230.0)</f>
        <v>2230</v>
      </c>
      <c r="D300" s="2">
        <f>IFERROR(__xludf.DUMMYFUNCTION("""COMPUTED_VALUE"""),2100.0)</f>
        <v>2100</v>
      </c>
      <c r="E300" s="2">
        <f>IFERROR(__xludf.DUMMYFUNCTION("""COMPUTED_VALUE"""),2180.0)</f>
        <v>2180</v>
      </c>
      <c r="F300" s="2">
        <f>IFERROR(__xludf.DUMMYFUNCTION("""COMPUTED_VALUE"""),1.918832E8)</f>
        <v>191883200</v>
      </c>
      <c r="G300" s="2">
        <f t="shared" si="1"/>
        <v>130</v>
      </c>
    </row>
    <row r="301" ht="15.75" customHeight="1">
      <c r="A301" s="1">
        <f>IFERROR(__xludf.DUMMYFUNCTION("""COMPUTED_VALUE"""),44281.625)</f>
        <v>44281.625</v>
      </c>
      <c r="B301" s="2">
        <f>IFERROR(__xludf.DUMMYFUNCTION("""COMPUTED_VALUE"""),2230.0)</f>
        <v>2230</v>
      </c>
      <c r="C301" s="2">
        <f>IFERROR(__xludf.DUMMYFUNCTION("""COMPUTED_VALUE"""),2440.0)</f>
        <v>2440</v>
      </c>
      <c r="D301" s="2">
        <f>IFERROR(__xludf.DUMMYFUNCTION("""COMPUTED_VALUE"""),2200.0)</f>
        <v>2200</v>
      </c>
      <c r="E301" s="2">
        <f>IFERROR(__xludf.DUMMYFUNCTION("""COMPUTED_VALUE"""),2430.0)</f>
        <v>2430</v>
      </c>
      <c r="F301" s="2">
        <f>IFERROR(__xludf.DUMMYFUNCTION("""COMPUTED_VALUE"""),6.522934E8)</f>
        <v>652293400</v>
      </c>
      <c r="G301" s="2">
        <f t="shared" si="1"/>
        <v>260</v>
      </c>
    </row>
    <row r="302" ht="15.75" customHeight="1">
      <c r="A302" s="1">
        <f>IFERROR(__xludf.DUMMYFUNCTION("""COMPUTED_VALUE"""),44284.625)</f>
        <v>44284.625</v>
      </c>
      <c r="B302" s="2">
        <f>IFERROR(__xludf.DUMMYFUNCTION("""COMPUTED_VALUE"""),2430.0)</f>
        <v>2430</v>
      </c>
      <c r="C302" s="2">
        <f>IFERROR(__xludf.DUMMYFUNCTION("""COMPUTED_VALUE"""),2430.0)</f>
        <v>2430</v>
      </c>
      <c r="D302" s="2">
        <f>IFERROR(__xludf.DUMMYFUNCTION("""COMPUTED_VALUE"""),2260.0)</f>
        <v>2260</v>
      </c>
      <c r="E302" s="2">
        <f>IFERROR(__xludf.DUMMYFUNCTION("""COMPUTED_VALUE"""),2260.0)</f>
        <v>2260</v>
      </c>
      <c r="F302" s="2">
        <f>IFERROR(__xludf.DUMMYFUNCTION("""COMPUTED_VALUE"""),4.549095E8)</f>
        <v>454909500</v>
      </c>
      <c r="G302" s="2">
        <f t="shared" si="1"/>
        <v>170</v>
      </c>
    </row>
    <row r="303" ht="15.75" customHeight="1">
      <c r="A303" s="1">
        <f>IFERROR(__xludf.DUMMYFUNCTION("""COMPUTED_VALUE"""),44285.625)</f>
        <v>44285.625</v>
      </c>
      <c r="B303" s="2">
        <f>IFERROR(__xludf.DUMMYFUNCTION("""COMPUTED_VALUE"""),2270.0)</f>
        <v>2270</v>
      </c>
      <c r="C303" s="2">
        <f>IFERROR(__xludf.DUMMYFUNCTION("""COMPUTED_VALUE"""),2320.0)</f>
        <v>2320</v>
      </c>
      <c r="D303" s="2">
        <f>IFERROR(__xludf.DUMMYFUNCTION("""COMPUTED_VALUE"""),2160.0)</f>
        <v>2160</v>
      </c>
      <c r="E303" s="2">
        <f>IFERROR(__xludf.DUMMYFUNCTION("""COMPUTED_VALUE"""),2210.0)</f>
        <v>2210</v>
      </c>
      <c r="F303" s="2">
        <f>IFERROR(__xludf.DUMMYFUNCTION("""COMPUTED_VALUE"""),2.822709E8)</f>
        <v>282270900</v>
      </c>
      <c r="G303" s="2">
        <f t="shared" si="1"/>
        <v>160</v>
      </c>
    </row>
    <row r="304" ht="15.75" customHeight="1">
      <c r="A304" s="1">
        <f>IFERROR(__xludf.DUMMYFUNCTION("""COMPUTED_VALUE"""),44286.625)</f>
        <v>44286.625</v>
      </c>
      <c r="B304" s="2">
        <f>IFERROR(__xludf.DUMMYFUNCTION("""COMPUTED_VALUE"""),2180.0)</f>
        <v>2180</v>
      </c>
      <c r="C304" s="2">
        <f>IFERROR(__xludf.DUMMYFUNCTION("""COMPUTED_VALUE"""),2250.0)</f>
        <v>2250</v>
      </c>
      <c r="D304" s="2">
        <f>IFERROR(__xludf.DUMMYFUNCTION("""COMPUTED_VALUE"""),2130.0)</f>
        <v>2130</v>
      </c>
      <c r="E304" s="2">
        <f>IFERROR(__xludf.DUMMYFUNCTION("""COMPUTED_VALUE"""),2250.0)</f>
        <v>2250</v>
      </c>
      <c r="F304" s="2">
        <f>IFERROR(__xludf.DUMMYFUNCTION("""COMPUTED_VALUE"""),2.689813E8)</f>
        <v>268981300</v>
      </c>
      <c r="G304" s="2">
        <f t="shared" si="1"/>
        <v>120</v>
      </c>
    </row>
    <row r="305" ht="15.75" customHeight="1">
      <c r="A305" s="1">
        <f>IFERROR(__xludf.DUMMYFUNCTION("""COMPUTED_VALUE"""),44287.625)</f>
        <v>44287.625</v>
      </c>
      <c r="B305" s="2">
        <f>IFERROR(__xludf.DUMMYFUNCTION("""COMPUTED_VALUE"""),2290.0)</f>
        <v>2290</v>
      </c>
      <c r="C305" s="2">
        <f>IFERROR(__xludf.DUMMYFUNCTION("""COMPUTED_VALUE"""),2300.0)</f>
        <v>2300</v>
      </c>
      <c r="D305" s="2">
        <f>IFERROR(__xludf.DUMMYFUNCTION("""COMPUTED_VALUE"""),2200.0)</f>
        <v>2200</v>
      </c>
      <c r="E305" s="2">
        <f>IFERROR(__xludf.DUMMYFUNCTION("""COMPUTED_VALUE"""),2240.0)</f>
        <v>2240</v>
      </c>
      <c r="F305" s="2">
        <f>IFERROR(__xludf.DUMMYFUNCTION("""COMPUTED_VALUE"""),1.608976E8)</f>
        <v>160897600</v>
      </c>
      <c r="G305" s="2">
        <f t="shared" si="1"/>
        <v>100</v>
      </c>
    </row>
    <row r="306" ht="15.75" customHeight="1">
      <c r="A306" s="1">
        <f>IFERROR(__xludf.DUMMYFUNCTION("""COMPUTED_VALUE"""),44291.625)</f>
        <v>44291.625</v>
      </c>
      <c r="B306" s="2">
        <f>IFERROR(__xludf.DUMMYFUNCTION("""COMPUTED_VALUE"""),2280.0)</f>
        <v>2280</v>
      </c>
      <c r="C306" s="2">
        <f>IFERROR(__xludf.DUMMYFUNCTION("""COMPUTED_VALUE"""),2280.0)</f>
        <v>2280</v>
      </c>
      <c r="D306" s="2">
        <f>IFERROR(__xludf.DUMMYFUNCTION("""COMPUTED_VALUE"""),2190.0)</f>
        <v>2190</v>
      </c>
      <c r="E306" s="2">
        <f>IFERROR(__xludf.DUMMYFUNCTION("""COMPUTED_VALUE"""),2200.0)</f>
        <v>2200</v>
      </c>
      <c r="F306" s="2">
        <f>IFERROR(__xludf.DUMMYFUNCTION("""COMPUTED_VALUE"""),1.073494E8)</f>
        <v>107349400</v>
      </c>
      <c r="G306" s="2">
        <f t="shared" si="1"/>
        <v>90</v>
      </c>
    </row>
    <row r="307" ht="15.75" customHeight="1">
      <c r="A307" s="1">
        <f>IFERROR(__xludf.DUMMYFUNCTION("""COMPUTED_VALUE"""),44292.625)</f>
        <v>44292.625</v>
      </c>
      <c r="B307" s="2">
        <f>IFERROR(__xludf.DUMMYFUNCTION("""COMPUTED_VALUE"""),2250.0)</f>
        <v>2250</v>
      </c>
      <c r="C307" s="2">
        <f>IFERROR(__xludf.DUMMYFUNCTION("""COMPUTED_VALUE"""),2340.0)</f>
        <v>2340</v>
      </c>
      <c r="D307" s="2">
        <f>IFERROR(__xludf.DUMMYFUNCTION("""COMPUTED_VALUE"""),2210.0)</f>
        <v>2210</v>
      </c>
      <c r="E307" s="2">
        <f>IFERROR(__xludf.DUMMYFUNCTION("""COMPUTED_VALUE"""),2330.0)</f>
        <v>2330</v>
      </c>
      <c r="F307" s="2">
        <f>IFERROR(__xludf.DUMMYFUNCTION("""COMPUTED_VALUE"""),3.239806E8)</f>
        <v>323980600</v>
      </c>
      <c r="G307" s="2">
        <f t="shared" si="1"/>
        <v>140</v>
      </c>
    </row>
    <row r="308" ht="15.75" customHeight="1">
      <c r="A308" s="1">
        <f>IFERROR(__xludf.DUMMYFUNCTION("""COMPUTED_VALUE"""),44293.625)</f>
        <v>44293.625</v>
      </c>
      <c r="B308" s="2">
        <f>IFERROR(__xludf.DUMMYFUNCTION("""COMPUTED_VALUE"""),2330.0)</f>
        <v>2330</v>
      </c>
      <c r="C308" s="2">
        <f>IFERROR(__xludf.DUMMYFUNCTION("""COMPUTED_VALUE"""),2370.0)</f>
        <v>2370</v>
      </c>
      <c r="D308" s="2">
        <f>IFERROR(__xludf.DUMMYFUNCTION("""COMPUTED_VALUE"""),2270.0)</f>
        <v>2270</v>
      </c>
      <c r="E308" s="2">
        <f>IFERROR(__xludf.DUMMYFUNCTION("""COMPUTED_VALUE"""),2360.0)</f>
        <v>2360</v>
      </c>
      <c r="F308" s="2">
        <f>IFERROR(__xludf.DUMMYFUNCTION("""COMPUTED_VALUE"""),2.37921E8)</f>
        <v>237921000</v>
      </c>
      <c r="G308" s="2">
        <f t="shared" si="1"/>
        <v>100</v>
      </c>
    </row>
    <row r="309" ht="15.75" customHeight="1">
      <c r="A309" s="1">
        <f>IFERROR(__xludf.DUMMYFUNCTION("""COMPUTED_VALUE"""),44294.625)</f>
        <v>44294.625</v>
      </c>
      <c r="B309" s="2">
        <f>IFERROR(__xludf.DUMMYFUNCTION("""COMPUTED_VALUE"""),2360.0)</f>
        <v>2360</v>
      </c>
      <c r="C309" s="2">
        <f>IFERROR(__xludf.DUMMYFUNCTION("""COMPUTED_VALUE"""),2480.0)</f>
        <v>2480</v>
      </c>
      <c r="D309" s="2">
        <f>IFERROR(__xludf.DUMMYFUNCTION("""COMPUTED_VALUE"""),2340.0)</f>
        <v>2340</v>
      </c>
      <c r="E309" s="2">
        <f>IFERROR(__xludf.DUMMYFUNCTION("""COMPUTED_VALUE"""),2470.0)</f>
        <v>2470</v>
      </c>
      <c r="F309" s="2">
        <f>IFERROR(__xludf.DUMMYFUNCTION("""COMPUTED_VALUE"""),3.278393E8)</f>
        <v>327839300</v>
      </c>
      <c r="G309" s="2">
        <f t="shared" si="1"/>
        <v>140</v>
      </c>
    </row>
    <row r="310" ht="15.75" customHeight="1">
      <c r="A310" s="1">
        <f>IFERROR(__xludf.DUMMYFUNCTION("""COMPUTED_VALUE"""),44295.625)</f>
        <v>44295.625</v>
      </c>
      <c r="B310" s="2">
        <f>IFERROR(__xludf.DUMMYFUNCTION("""COMPUTED_VALUE"""),2450.0)</f>
        <v>2450</v>
      </c>
      <c r="C310" s="2">
        <f>IFERROR(__xludf.DUMMYFUNCTION("""COMPUTED_VALUE"""),2490.0)</f>
        <v>2490</v>
      </c>
      <c r="D310" s="2">
        <f>IFERROR(__xludf.DUMMYFUNCTION("""COMPUTED_VALUE"""),2340.0)</f>
        <v>2340</v>
      </c>
      <c r="E310" s="2">
        <f>IFERROR(__xludf.DUMMYFUNCTION("""COMPUTED_VALUE"""),2340.0)</f>
        <v>2340</v>
      </c>
      <c r="F310" s="2">
        <f>IFERROR(__xludf.DUMMYFUNCTION("""COMPUTED_VALUE"""),2.648371E8)</f>
        <v>264837100</v>
      </c>
      <c r="G310" s="2">
        <f t="shared" si="1"/>
        <v>150</v>
      </c>
    </row>
    <row r="311" ht="15.75" customHeight="1">
      <c r="A311" s="1">
        <f>IFERROR(__xludf.DUMMYFUNCTION("""COMPUTED_VALUE"""),44298.625)</f>
        <v>44298.625</v>
      </c>
      <c r="B311" s="2">
        <f>IFERROR(__xludf.DUMMYFUNCTION("""COMPUTED_VALUE"""),2310.0)</f>
        <v>2310</v>
      </c>
      <c r="C311" s="2">
        <f>IFERROR(__xludf.DUMMYFUNCTION("""COMPUTED_VALUE"""),2310.0)</f>
        <v>2310</v>
      </c>
      <c r="D311" s="2">
        <f>IFERROR(__xludf.DUMMYFUNCTION("""COMPUTED_VALUE"""),2210.0)</f>
        <v>2210</v>
      </c>
      <c r="E311" s="2">
        <f>IFERROR(__xludf.DUMMYFUNCTION("""COMPUTED_VALUE"""),2250.0)</f>
        <v>2250</v>
      </c>
      <c r="F311" s="2">
        <f>IFERROR(__xludf.DUMMYFUNCTION("""COMPUTED_VALUE"""),1.947385E8)</f>
        <v>194738500</v>
      </c>
      <c r="G311" s="2">
        <f t="shared" si="1"/>
        <v>130</v>
      </c>
    </row>
    <row r="312" ht="15.75" customHeight="1">
      <c r="A312" s="1">
        <f>IFERROR(__xludf.DUMMYFUNCTION("""COMPUTED_VALUE"""),44299.625)</f>
        <v>44299.625</v>
      </c>
      <c r="B312" s="2">
        <f>IFERROR(__xludf.DUMMYFUNCTION("""COMPUTED_VALUE"""),2250.0)</f>
        <v>2250</v>
      </c>
      <c r="C312" s="2">
        <f>IFERROR(__xludf.DUMMYFUNCTION("""COMPUTED_VALUE"""),2300.0)</f>
        <v>2300</v>
      </c>
      <c r="D312" s="2">
        <f>IFERROR(__xludf.DUMMYFUNCTION("""COMPUTED_VALUE"""),2220.0)</f>
        <v>2220</v>
      </c>
      <c r="E312" s="2">
        <f>IFERROR(__xludf.DUMMYFUNCTION("""COMPUTED_VALUE"""),2270.0)</f>
        <v>2270</v>
      </c>
      <c r="F312" s="2">
        <f>IFERROR(__xludf.DUMMYFUNCTION("""COMPUTED_VALUE"""),1.110177E8)</f>
        <v>111017700</v>
      </c>
      <c r="G312" s="2">
        <f t="shared" si="1"/>
        <v>80</v>
      </c>
    </row>
    <row r="313" ht="15.75" customHeight="1">
      <c r="A313" s="1">
        <f>IFERROR(__xludf.DUMMYFUNCTION("""COMPUTED_VALUE"""),44300.625)</f>
        <v>44300.625</v>
      </c>
      <c r="B313" s="2">
        <f>IFERROR(__xludf.DUMMYFUNCTION("""COMPUTED_VALUE"""),2280.0)</f>
        <v>2280</v>
      </c>
      <c r="C313" s="2">
        <f>IFERROR(__xludf.DUMMYFUNCTION("""COMPUTED_VALUE"""),2340.0)</f>
        <v>2340</v>
      </c>
      <c r="D313" s="2">
        <f>IFERROR(__xludf.DUMMYFUNCTION("""COMPUTED_VALUE"""),2280.0)</f>
        <v>2280</v>
      </c>
      <c r="E313" s="2">
        <f>IFERROR(__xludf.DUMMYFUNCTION("""COMPUTED_VALUE"""),2330.0)</f>
        <v>2330</v>
      </c>
      <c r="F313" s="2">
        <f>IFERROR(__xludf.DUMMYFUNCTION("""COMPUTED_VALUE"""),1.438917E8)</f>
        <v>143891700</v>
      </c>
      <c r="G313" s="2">
        <f t="shared" si="1"/>
        <v>70</v>
      </c>
    </row>
    <row r="314" ht="15.75" customHeight="1">
      <c r="A314" s="1">
        <f>IFERROR(__xludf.DUMMYFUNCTION("""COMPUTED_VALUE"""),44301.625)</f>
        <v>44301.625</v>
      </c>
      <c r="B314" s="2">
        <f>IFERROR(__xludf.DUMMYFUNCTION("""COMPUTED_VALUE"""),2340.0)</f>
        <v>2340</v>
      </c>
      <c r="C314" s="2">
        <f>IFERROR(__xludf.DUMMYFUNCTION("""COMPUTED_VALUE"""),2350.0)</f>
        <v>2350</v>
      </c>
      <c r="D314" s="2">
        <f>IFERROR(__xludf.DUMMYFUNCTION("""COMPUTED_VALUE"""),2300.0)</f>
        <v>2300</v>
      </c>
      <c r="E314" s="2">
        <f>IFERROR(__xludf.DUMMYFUNCTION("""COMPUTED_VALUE"""),2320.0)</f>
        <v>2320</v>
      </c>
      <c r="F314" s="2">
        <f>IFERROR(__xludf.DUMMYFUNCTION("""COMPUTED_VALUE"""),1.091758E8)</f>
        <v>109175800</v>
      </c>
      <c r="G314" s="2">
        <f t="shared" si="1"/>
        <v>50</v>
      </c>
    </row>
    <row r="315" ht="15.75" customHeight="1">
      <c r="A315" s="1">
        <f>IFERROR(__xludf.DUMMYFUNCTION("""COMPUTED_VALUE"""),44302.625)</f>
        <v>44302.625</v>
      </c>
      <c r="B315" s="2">
        <f>IFERROR(__xludf.DUMMYFUNCTION("""COMPUTED_VALUE"""),2340.0)</f>
        <v>2340</v>
      </c>
      <c r="C315" s="2">
        <f>IFERROR(__xludf.DUMMYFUNCTION("""COMPUTED_VALUE"""),2420.0)</f>
        <v>2420</v>
      </c>
      <c r="D315" s="2">
        <f>IFERROR(__xludf.DUMMYFUNCTION("""COMPUTED_VALUE"""),2310.0)</f>
        <v>2310</v>
      </c>
      <c r="E315" s="2">
        <f>IFERROR(__xludf.DUMMYFUNCTION("""COMPUTED_VALUE"""),2390.0)</f>
        <v>2390</v>
      </c>
      <c r="F315" s="2">
        <f>IFERROR(__xludf.DUMMYFUNCTION("""COMPUTED_VALUE"""),1.733874E8)</f>
        <v>173387400</v>
      </c>
      <c r="G315" s="2">
        <f t="shared" si="1"/>
        <v>110</v>
      </c>
    </row>
    <row r="316" ht="15.75" customHeight="1">
      <c r="A316" s="1">
        <f>IFERROR(__xludf.DUMMYFUNCTION("""COMPUTED_VALUE"""),44305.625)</f>
        <v>44305.625</v>
      </c>
      <c r="B316" s="2">
        <f>IFERROR(__xludf.DUMMYFUNCTION("""COMPUTED_VALUE"""),2350.0)</f>
        <v>2350</v>
      </c>
      <c r="C316" s="2">
        <f>IFERROR(__xludf.DUMMYFUNCTION("""COMPUTED_VALUE"""),2370.0)</f>
        <v>2370</v>
      </c>
      <c r="D316" s="2">
        <f>IFERROR(__xludf.DUMMYFUNCTION("""COMPUTED_VALUE"""),2300.0)</f>
        <v>2300</v>
      </c>
      <c r="E316" s="2">
        <f>IFERROR(__xludf.DUMMYFUNCTION("""COMPUTED_VALUE"""),2340.0)</f>
        <v>2340</v>
      </c>
      <c r="F316" s="2">
        <f>IFERROR(__xludf.DUMMYFUNCTION("""COMPUTED_VALUE"""),9.15523E7)</f>
        <v>91552300</v>
      </c>
      <c r="G316" s="2">
        <f t="shared" si="1"/>
        <v>90</v>
      </c>
    </row>
    <row r="317" ht="15.75" customHeight="1">
      <c r="A317" s="1">
        <f>IFERROR(__xludf.DUMMYFUNCTION("""COMPUTED_VALUE"""),44306.625)</f>
        <v>44306.625</v>
      </c>
      <c r="B317" s="2">
        <f>IFERROR(__xludf.DUMMYFUNCTION("""COMPUTED_VALUE"""),2330.0)</f>
        <v>2330</v>
      </c>
      <c r="C317" s="2">
        <f>IFERROR(__xludf.DUMMYFUNCTION("""COMPUTED_VALUE"""),2360.0)</f>
        <v>2360</v>
      </c>
      <c r="D317" s="2">
        <f>IFERROR(__xludf.DUMMYFUNCTION("""COMPUTED_VALUE"""),2300.0)</f>
        <v>2300</v>
      </c>
      <c r="E317" s="2">
        <f>IFERROR(__xludf.DUMMYFUNCTION("""COMPUTED_VALUE"""),2350.0)</f>
        <v>2350</v>
      </c>
      <c r="F317" s="2">
        <f>IFERROR(__xludf.DUMMYFUNCTION("""COMPUTED_VALUE"""),6.03722E7)</f>
        <v>60372200</v>
      </c>
      <c r="G317" s="2">
        <f t="shared" si="1"/>
        <v>60</v>
      </c>
    </row>
    <row r="318" ht="15.75" customHeight="1">
      <c r="A318" s="1">
        <f>IFERROR(__xludf.DUMMYFUNCTION("""COMPUTED_VALUE"""),44307.625)</f>
        <v>44307.625</v>
      </c>
      <c r="B318" s="2">
        <f>IFERROR(__xludf.DUMMYFUNCTION("""COMPUTED_VALUE"""),2320.0)</f>
        <v>2320</v>
      </c>
      <c r="C318" s="2">
        <f>IFERROR(__xludf.DUMMYFUNCTION("""COMPUTED_VALUE"""),2400.0)</f>
        <v>2400</v>
      </c>
      <c r="D318" s="2">
        <f>IFERROR(__xludf.DUMMYFUNCTION("""COMPUTED_VALUE"""),2300.0)</f>
        <v>2300</v>
      </c>
      <c r="E318" s="2">
        <f>IFERROR(__xludf.DUMMYFUNCTION("""COMPUTED_VALUE"""),2370.0)</f>
        <v>2370</v>
      </c>
      <c r="F318" s="2">
        <f>IFERROR(__xludf.DUMMYFUNCTION("""COMPUTED_VALUE"""),1.127429E8)</f>
        <v>112742900</v>
      </c>
      <c r="G318" s="2">
        <f t="shared" si="1"/>
        <v>100</v>
      </c>
    </row>
    <row r="319" ht="15.75" customHeight="1">
      <c r="A319" s="1">
        <f>IFERROR(__xludf.DUMMYFUNCTION("""COMPUTED_VALUE"""),44308.625)</f>
        <v>44308.625</v>
      </c>
      <c r="B319" s="2">
        <f>IFERROR(__xludf.DUMMYFUNCTION("""COMPUTED_VALUE"""),2380.0)</f>
        <v>2380</v>
      </c>
      <c r="C319" s="2">
        <f>IFERROR(__xludf.DUMMYFUNCTION("""COMPUTED_VALUE"""),2440.0)</f>
        <v>2440</v>
      </c>
      <c r="D319" s="2">
        <f>IFERROR(__xludf.DUMMYFUNCTION("""COMPUTED_VALUE"""),2350.0)</f>
        <v>2350</v>
      </c>
      <c r="E319" s="2">
        <f>IFERROR(__xludf.DUMMYFUNCTION("""COMPUTED_VALUE"""),2350.0)</f>
        <v>2350</v>
      </c>
      <c r="F319" s="2">
        <f>IFERROR(__xludf.DUMMYFUNCTION("""COMPUTED_VALUE"""),1.196449E8)</f>
        <v>119644900</v>
      </c>
      <c r="G319" s="2">
        <f t="shared" si="1"/>
        <v>90</v>
      </c>
    </row>
    <row r="320" ht="15.75" customHeight="1">
      <c r="A320" s="1">
        <f>IFERROR(__xludf.DUMMYFUNCTION("""COMPUTED_VALUE"""),44309.625)</f>
        <v>44309.625</v>
      </c>
      <c r="B320" s="2">
        <f>IFERROR(__xludf.DUMMYFUNCTION("""COMPUTED_VALUE"""),2320.0)</f>
        <v>2320</v>
      </c>
      <c r="C320" s="2">
        <f>IFERROR(__xludf.DUMMYFUNCTION("""COMPUTED_VALUE"""),2340.0)</f>
        <v>2340</v>
      </c>
      <c r="D320" s="2">
        <f>IFERROR(__xludf.DUMMYFUNCTION("""COMPUTED_VALUE"""),2310.0)</f>
        <v>2310</v>
      </c>
      <c r="E320" s="2">
        <f>IFERROR(__xludf.DUMMYFUNCTION("""COMPUTED_VALUE"""),2320.0)</f>
        <v>2320</v>
      </c>
      <c r="F320" s="2">
        <f>IFERROR(__xludf.DUMMYFUNCTION("""COMPUTED_VALUE"""),4.10228E7)</f>
        <v>41022800</v>
      </c>
      <c r="G320" s="2">
        <f t="shared" si="1"/>
        <v>40</v>
      </c>
    </row>
    <row r="321" ht="15.75" customHeight="1">
      <c r="A321" s="1">
        <f>IFERROR(__xludf.DUMMYFUNCTION("""COMPUTED_VALUE"""),44312.625)</f>
        <v>44312.625</v>
      </c>
      <c r="B321" s="2">
        <f>IFERROR(__xludf.DUMMYFUNCTION("""COMPUTED_VALUE"""),2350.0)</f>
        <v>2350</v>
      </c>
      <c r="C321" s="2">
        <f>IFERROR(__xludf.DUMMYFUNCTION("""COMPUTED_VALUE"""),2420.0)</f>
        <v>2420</v>
      </c>
      <c r="D321" s="2">
        <f>IFERROR(__xludf.DUMMYFUNCTION("""COMPUTED_VALUE"""),2340.0)</f>
        <v>2340</v>
      </c>
      <c r="E321" s="2">
        <f>IFERROR(__xludf.DUMMYFUNCTION("""COMPUTED_VALUE"""),2390.0)</f>
        <v>2390</v>
      </c>
      <c r="F321" s="2">
        <f>IFERROR(__xludf.DUMMYFUNCTION("""COMPUTED_VALUE"""),1.39616E8)</f>
        <v>139616000</v>
      </c>
      <c r="G321" s="2">
        <f t="shared" si="1"/>
        <v>100</v>
      </c>
    </row>
    <row r="322" ht="15.75" customHeight="1">
      <c r="A322" s="1">
        <f>IFERROR(__xludf.DUMMYFUNCTION("""COMPUTED_VALUE"""),44313.625)</f>
        <v>44313.625</v>
      </c>
      <c r="B322" s="2">
        <f>IFERROR(__xludf.DUMMYFUNCTION("""COMPUTED_VALUE"""),2410.0)</f>
        <v>2410</v>
      </c>
      <c r="C322" s="2">
        <f>IFERROR(__xludf.DUMMYFUNCTION("""COMPUTED_VALUE"""),2430.0)</f>
        <v>2430</v>
      </c>
      <c r="D322" s="2">
        <f>IFERROR(__xludf.DUMMYFUNCTION("""COMPUTED_VALUE"""),2360.0)</f>
        <v>2360</v>
      </c>
      <c r="E322" s="2">
        <f>IFERROR(__xludf.DUMMYFUNCTION("""COMPUTED_VALUE"""),2390.0)</f>
        <v>2390</v>
      </c>
      <c r="F322" s="2">
        <f>IFERROR(__xludf.DUMMYFUNCTION("""COMPUTED_VALUE"""),9.66063E7)</f>
        <v>96606300</v>
      </c>
      <c r="G322" s="2">
        <f t="shared" si="1"/>
        <v>70</v>
      </c>
    </row>
    <row r="323" ht="15.75" customHeight="1">
      <c r="A323" s="1">
        <f>IFERROR(__xludf.DUMMYFUNCTION("""COMPUTED_VALUE"""),44314.625)</f>
        <v>44314.625</v>
      </c>
      <c r="B323" s="2">
        <f>IFERROR(__xludf.DUMMYFUNCTION("""COMPUTED_VALUE"""),2380.0)</f>
        <v>2380</v>
      </c>
      <c r="C323" s="2">
        <f>IFERROR(__xludf.DUMMYFUNCTION("""COMPUTED_VALUE"""),2430.0)</f>
        <v>2430</v>
      </c>
      <c r="D323" s="2">
        <f>IFERROR(__xludf.DUMMYFUNCTION("""COMPUTED_VALUE"""),2350.0)</f>
        <v>2350</v>
      </c>
      <c r="E323" s="2">
        <f>IFERROR(__xludf.DUMMYFUNCTION("""COMPUTED_VALUE"""),2430.0)</f>
        <v>2430</v>
      </c>
      <c r="F323" s="2">
        <f>IFERROR(__xludf.DUMMYFUNCTION("""COMPUTED_VALUE"""),1.383254E8)</f>
        <v>138325400</v>
      </c>
      <c r="G323" s="2">
        <f t="shared" si="1"/>
        <v>80</v>
      </c>
    </row>
    <row r="324" ht="15.75" customHeight="1">
      <c r="A324" s="1">
        <f>IFERROR(__xludf.DUMMYFUNCTION("""COMPUTED_VALUE"""),44315.625)</f>
        <v>44315.625</v>
      </c>
      <c r="B324" s="2">
        <f>IFERROR(__xludf.DUMMYFUNCTION("""COMPUTED_VALUE"""),2460.0)</f>
        <v>2460</v>
      </c>
      <c r="C324" s="2">
        <f>IFERROR(__xludf.DUMMYFUNCTION("""COMPUTED_VALUE"""),2540.0)</f>
        <v>2540</v>
      </c>
      <c r="D324" s="2">
        <f>IFERROR(__xludf.DUMMYFUNCTION("""COMPUTED_VALUE"""),2460.0)</f>
        <v>2460</v>
      </c>
      <c r="E324" s="2">
        <f>IFERROR(__xludf.DUMMYFUNCTION("""COMPUTED_VALUE"""),2510.0)</f>
        <v>2510</v>
      </c>
      <c r="F324" s="2">
        <f>IFERROR(__xludf.DUMMYFUNCTION("""COMPUTED_VALUE"""),3.253926E8)</f>
        <v>325392600</v>
      </c>
      <c r="G324" s="2">
        <f t="shared" si="1"/>
        <v>110</v>
      </c>
    </row>
    <row r="325" ht="15.75" customHeight="1">
      <c r="A325" s="1">
        <f>IFERROR(__xludf.DUMMYFUNCTION("""COMPUTED_VALUE"""),44316.625)</f>
        <v>44316.625</v>
      </c>
      <c r="B325" s="2">
        <f>IFERROR(__xludf.DUMMYFUNCTION("""COMPUTED_VALUE"""),2490.0)</f>
        <v>2490</v>
      </c>
      <c r="C325" s="2">
        <f>IFERROR(__xludf.DUMMYFUNCTION("""COMPUTED_VALUE"""),2500.0)</f>
        <v>2500</v>
      </c>
      <c r="D325" s="2">
        <f>IFERROR(__xludf.DUMMYFUNCTION("""COMPUTED_VALUE"""),2440.0)</f>
        <v>2440</v>
      </c>
      <c r="E325" s="2">
        <f>IFERROR(__xludf.DUMMYFUNCTION("""COMPUTED_VALUE"""),2490.0)</f>
        <v>2490</v>
      </c>
      <c r="F325" s="2">
        <f>IFERROR(__xludf.DUMMYFUNCTION("""COMPUTED_VALUE"""),1.246721E8)</f>
        <v>124672100</v>
      </c>
      <c r="G325" s="2">
        <f t="shared" si="1"/>
        <v>70</v>
      </c>
    </row>
    <row r="326" ht="15.75" customHeight="1">
      <c r="A326" s="1">
        <f>IFERROR(__xludf.DUMMYFUNCTION("""COMPUTED_VALUE"""),44319.66666666667)</f>
        <v>44319.66667</v>
      </c>
      <c r="B326" s="2">
        <f>IFERROR(__xludf.DUMMYFUNCTION("""COMPUTED_VALUE"""),2500.0)</f>
        <v>2500</v>
      </c>
      <c r="C326" s="2">
        <f>IFERROR(__xludf.DUMMYFUNCTION("""COMPUTED_VALUE"""),2560.0)</f>
        <v>2560</v>
      </c>
      <c r="D326" s="2">
        <f>IFERROR(__xludf.DUMMYFUNCTION("""COMPUTED_VALUE"""),2480.0)</f>
        <v>2480</v>
      </c>
      <c r="E326" s="2">
        <f>IFERROR(__xludf.DUMMYFUNCTION("""COMPUTED_VALUE"""),2520.0)</f>
        <v>2520</v>
      </c>
      <c r="F326" s="2">
        <f>IFERROR(__xludf.DUMMYFUNCTION("""COMPUTED_VALUE"""),1.710472E8)</f>
        <v>171047200</v>
      </c>
      <c r="G326" s="2">
        <f t="shared" si="1"/>
        <v>80</v>
      </c>
    </row>
    <row r="327" ht="15.75" customHeight="1">
      <c r="A327" s="1">
        <f>IFERROR(__xludf.DUMMYFUNCTION("""COMPUTED_VALUE"""),44320.66666666667)</f>
        <v>44320.66667</v>
      </c>
      <c r="B327" s="2">
        <f>IFERROR(__xludf.DUMMYFUNCTION("""COMPUTED_VALUE"""),2540.0)</f>
        <v>2540</v>
      </c>
      <c r="C327" s="2">
        <f>IFERROR(__xludf.DUMMYFUNCTION("""COMPUTED_VALUE"""),2640.0)</f>
        <v>2640</v>
      </c>
      <c r="D327" s="2">
        <f>IFERROR(__xludf.DUMMYFUNCTION("""COMPUTED_VALUE"""),2500.0)</f>
        <v>2500</v>
      </c>
      <c r="E327" s="2">
        <f>IFERROR(__xludf.DUMMYFUNCTION("""COMPUTED_VALUE"""),2620.0)</f>
        <v>2620</v>
      </c>
      <c r="F327" s="2">
        <f>IFERROR(__xludf.DUMMYFUNCTION("""COMPUTED_VALUE"""),2.841377E8)</f>
        <v>284137700</v>
      </c>
      <c r="G327" s="2">
        <f t="shared" si="1"/>
        <v>140</v>
      </c>
    </row>
    <row r="328" ht="15.75" customHeight="1">
      <c r="A328" s="1">
        <f>IFERROR(__xludf.DUMMYFUNCTION("""COMPUTED_VALUE"""),44321.625)</f>
        <v>44321.625</v>
      </c>
      <c r="B328" s="2">
        <f>IFERROR(__xludf.DUMMYFUNCTION("""COMPUTED_VALUE"""),2620.0)</f>
        <v>2620</v>
      </c>
      <c r="C328" s="2">
        <f>IFERROR(__xludf.DUMMYFUNCTION("""COMPUTED_VALUE"""),2640.0)</f>
        <v>2640</v>
      </c>
      <c r="D328" s="2">
        <f>IFERROR(__xludf.DUMMYFUNCTION("""COMPUTED_VALUE"""),2560.0)</f>
        <v>2560</v>
      </c>
      <c r="E328" s="2">
        <f>IFERROR(__xludf.DUMMYFUNCTION("""COMPUTED_VALUE"""),2630.0)</f>
        <v>2630</v>
      </c>
      <c r="F328" s="2">
        <f>IFERROR(__xludf.DUMMYFUNCTION("""COMPUTED_VALUE"""),1.806499E8)</f>
        <v>180649900</v>
      </c>
      <c r="G328" s="2">
        <f t="shared" si="1"/>
        <v>80</v>
      </c>
    </row>
    <row r="329" ht="15.75" customHeight="1">
      <c r="A329" s="1">
        <f>IFERROR(__xludf.DUMMYFUNCTION("""COMPUTED_VALUE"""),44322.625)</f>
        <v>44322.625</v>
      </c>
      <c r="B329" s="2">
        <f>IFERROR(__xludf.DUMMYFUNCTION("""COMPUTED_VALUE"""),2610.0)</f>
        <v>2610</v>
      </c>
      <c r="C329" s="2">
        <f>IFERROR(__xludf.DUMMYFUNCTION("""COMPUTED_VALUE"""),2670.0)</f>
        <v>2670</v>
      </c>
      <c r="D329" s="2">
        <f>IFERROR(__xludf.DUMMYFUNCTION("""COMPUTED_VALUE"""),2580.0)</f>
        <v>2580</v>
      </c>
      <c r="E329" s="2">
        <f>IFERROR(__xludf.DUMMYFUNCTION("""COMPUTED_VALUE"""),2620.0)</f>
        <v>2620</v>
      </c>
      <c r="F329" s="2">
        <f>IFERROR(__xludf.DUMMYFUNCTION("""COMPUTED_VALUE"""),1.507938E8)</f>
        <v>150793800</v>
      </c>
      <c r="G329" s="2">
        <f t="shared" si="1"/>
        <v>90</v>
      </c>
    </row>
    <row r="330" ht="15.75" customHeight="1">
      <c r="A330" s="1">
        <f>IFERROR(__xludf.DUMMYFUNCTION("""COMPUTED_VALUE"""),44323.625)</f>
        <v>44323.625</v>
      </c>
      <c r="B330" s="2">
        <f>IFERROR(__xludf.DUMMYFUNCTION("""COMPUTED_VALUE"""),2630.0)</f>
        <v>2630</v>
      </c>
      <c r="C330" s="2">
        <f>IFERROR(__xludf.DUMMYFUNCTION("""COMPUTED_VALUE"""),2650.0)</f>
        <v>2650</v>
      </c>
      <c r="D330" s="2">
        <f>IFERROR(__xludf.DUMMYFUNCTION("""COMPUTED_VALUE"""),2610.0)</f>
        <v>2610</v>
      </c>
      <c r="E330" s="2">
        <f>IFERROR(__xludf.DUMMYFUNCTION("""COMPUTED_VALUE"""),2620.0)</f>
        <v>2620</v>
      </c>
      <c r="F330" s="2">
        <f>IFERROR(__xludf.DUMMYFUNCTION("""COMPUTED_VALUE"""),1.330802E8)</f>
        <v>133080200</v>
      </c>
      <c r="G330" s="2">
        <f t="shared" si="1"/>
        <v>40</v>
      </c>
    </row>
    <row r="331" ht="15.75" customHeight="1">
      <c r="A331" s="1">
        <f>IFERROR(__xludf.DUMMYFUNCTION("""COMPUTED_VALUE"""),44326.66666666667)</f>
        <v>44326.66667</v>
      </c>
      <c r="B331" s="2">
        <f>IFERROR(__xludf.DUMMYFUNCTION("""COMPUTED_VALUE"""),2640.0)</f>
        <v>2640</v>
      </c>
      <c r="C331" s="2">
        <f>IFERROR(__xludf.DUMMYFUNCTION("""COMPUTED_VALUE"""),2700.0)</f>
        <v>2700</v>
      </c>
      <c r="D331" s="2">
        <f>IFERROR(__xludf.DUMMYFUNCTION("""COMPUTED_VALUE"""),2620.0)</f>
        <v>2620</v>
      </c>
      <c r="E331" s="2">
        <f>IFERROR(__xludf.DUMMYFUNCTION("""COMPUTED_VALUE"""),2680.0)</f>
        <v>2680</v>
      </c>
      <c r="F331" s="2">
        <f>IFERROR(__xludf.DUMMYFUNCTION("""COMPUTED_VALUE"""),1.578875E8)</f>
        <v>157887500</v>
      </c>
      <c r="G331" s="2">
        <f t="shared" si="1"/>
        <v>80</v>
      </c>
    </row>
    <row r="332" ht="15.75" customHeight="1">
      <c r="A332" s="1">
        <f>IFERROR(__xludf.DUMMYFUNCTION("""COMPUTED_VALUE"""),44327.66666666667)</f>
        <v>44327.66667</v>
      </c>
      <c r="B332" s="2">
        <f>IFERROR(__xludf.DUMMYFUNCTION("""COMPUTED_VALUE"""),2600.0)</f>
        <v>2600</v>
      </c>
      <c r="C332" s="2">
        <f>IFERROR(__xludf.DUMMYFUNCTION("""COMPUTED_VALUE"""),2690.0)</f>
        <v>2690</v>
      </c>
      <c r="D332" s="2">
        <f>IFERROR(__xludf.DUMMYFUNCTION("""COMPUTED_VALUE"""),2600.0)</f>
        <v>2600</v>
      </c>
      <c r="E332" s="2">
        <f>IFERROR(__xludf.DUMMYFUNCTION("""COMPUTED_VALUE"""),2670.0)</f>
        <v>2670</v>
      </c>
      <c r="F332" s="2">
        <f>IFERROR(__xludf.DUMMYFUNCTION("""COMPUTED_VALUE"""),1.642476E8)</f>
        <v>164247600</v>
      </c>
      <c r="G332" s="2">
        <f t="shared" si="1"/>
        <v>90</v>
      </c>
    </row>
    <row r="333" ht="15.75" customHeight="1">
      <c r="A333" s="1">
        <f>IFERROR(__xludf.DUMMYFUNCTION("""COMPUTED_VALUE"""),44333.625)</f>
        <v>44333.625</v>
      </c>
      <c r="B333" s="2">
        <f>IFERROR(__xludf.DUMMYFUNCTION("""COMPUTED_VALUE"""),2670.0)</f>
        <v>2670</v>
      </c>
      <c r="C333" s="2">
        <f>IFERROR(__xludf.DUMMYFUNCTION("""COMPUTED_VALUE"""),2670.0)</f>
        <v>2670</v>
      </c>
      <c r="D333" s="2">
        <f>IFERROR(__xludf.DUMMYFUNCTION("""COMPUTED_VALUE"""),2500.0)</f>
        <v>2500</v>
      </c>
      <c r="E333" s="2">
        <f>IFERROR(__xludf.DUMMYFUNCTION("""COMPUTED_VALUE"""),2510.0)</f>
        <v>2510</v>
      </c>
      <c r="F333" s="2">
        <f>IFERROR(__xludf.DUMMYFUNCTION("""COMPUTED_VALUE"""),1.85205E8)</f>
        <v>185205000</v>
      </c>
      <c r="G333" s="2">
        <f t="shared" si="1"/>
        <v>170</v>
      </c>
    </row>
    <row r="334" ht="15.75" customHeight="1">
      <c r="A334" s="1">
        <f>IFERROR(__xludf.DUMMYFUNCTION("""COMPUTED_VALUE"""),44334.625)</f>
        <v>44334.625</v>
      </c>
      <c r="B334" s="2">
        <f>IFERROR(__xludf.DUMMYFUNCTION("""COMPUTED_VALUE"""),2560.0)</f>
        <v>2560</v>
      </c>
      <c r="C334" s="2">
        <f>IFERROR(__xludf.DUMMYFUNCTION("""COMPUTED_VALUE"""),2640.0)</f>
        <v>2640</v>
      </c>
      <c r="D334" s="2">
        <f>IFERROR(__xludf.DUMMYFUNCTION("""COMPUTED_VALUE"""),2540.0)</f>
        <v>2540</v>
      </c>
      <c r="E334" s="2">
        <f>IFERROR(__xludf.DUMMYFUNCTION("""COMPUTED_VALUE"""),2600.0)</f>
        <v>2600</v>
      </c>
      <c r="F334" s="2">
        <f>IFERROR(__xludf.DUMMYFUNCTION("""COMPUTED_VALUE"""),1.794034E8)</f>
        <v>179403400</v>
      </c>
      <c r="G334" s="2">
        <f t="shared" si="1"/>
        <v>130</v>
      </c>
    </row>
    <row r="335" ht="15.75" customHeight="1">
      <c r="A335" s="1">
        <f>IFERROR(__xludf.DUMMYFUNCTION("""COMPUTED_VALUE"""),44335.625)</f>
        <v>44335.625</v>
      </c>
      <c r="B335" s="2">
        <f>IFERROR(__xludf.DUMMYFUNCTION("""COMPUTED_VALUE"""),2580.0)</f>
        <v>2580</v>
      </c>
      <c r="C335" s="2">
        <f>IFERROR(__xludf.DUMMYFUNCTION("""COMPUTED_VALUE"""),2640.0)</f>
        <v>2640</v>
      </c>
      <c r="D335" s="2">
        <f>IFERROR(__xludf.DUMMYFUNCTION("""COMPUTED_VALUE"""),2530.0)</f>
        <v>2530</v>
      </c>
      <c r="E335" s="2">
        <f>IFERROR(__xludf.DUMMYFUNCTION("""COMPUTED_VALUE"""),2550.0)</f>
        <v>2550</v>
      </c>
      <c r="F335" s="2">
        <f>IFERROR(__xludf.DUMMYFUNCTION("""COMPUTED_VALUE"""),1.118928E8)</f>
        <v>111892800</v>
      </c>
      <c r="G335" s="2">
        <f t="shared" si="1"/>
        <v>110</v>
      </c>
    </row>
    <row r="336" ht="15.75" customHeight="1">
      <c r="A336" s="1">
        <f>IFERROR(__xludf.DUMMYFUNCTION("""COMPUTED_VALUE"""),44336.625)</f>
        <v>44336.625</v>
      </c>
      <c r="B336" s="2">
        <f>IFERROR(__xludf.DUMMYFUNCTION("""COMPUTED_VALUE"""),2510.0)</f>
        <v>2510</v>
      </c>
      <c r="C336" s="2">
        <f>IFERROR(__xludf.DUMMYFUNCTION("""COMPUTED_VALUE"""),2520.0)</f>
        <v>2520</v>
      </c>
      <c r="D336" s="2">
        <f>IFERROR(__xludf.DUMMYFUNCTION("""COMPUTED_VALUE"""),2420.0)</f>
        <v>2420</v>
      </c>
      <c r="E336" s="2">
        <f>IFERROR(__xludf.DUMMYFUNCTION("""COMPUTED_VALUE"""),2420.0)</f>
        <v>2420</v>
      </c>
      <c r="F336" s="2">
        <f>IFERROR(__xludf.DUMMYFUNCTION("""COMPUTED_VALUE"""),2.141759E8)</f>
        <v>214175900</v>
      </c>
      <c r="G336" s="2">
        <f t="shared" si="1"/>
        <v>130</v>
      </c>
    </row>
    <row r="337" ht="15.75" customHeight="1">
      <c r="A337" s="1">
        <f>IFERROR(__xludf.DUMMYFUNCTION("""COMPUTED_VALUE"""),44337.625)</f>
        <v>44337.625</v>
      </c>
      <c r="B337" s="2">
        <f>IFERROR(__xludf.DUMMYFUNCTION("""COMPUTED_VALUE"""),2420.0)</f>
        <v>2420</v>
      </c>
      <c r="C337" s="2">
        <f>IFERROR(__xludf.DUMMYFUNCTION("""COMPUTED_VALUE"""),2440.0)</f>
        <v>2440</v>
      </c>
      <c r="D337" s="2">
        <f>IFERROR(__xludf.DUMMYFUNCTION("""COMPUTED_VALUE"""),2310.0)</f>
        <v>2310</v>
      </c>
      <c r="E337" s="2">
        <f>IFERROR(__xludf.DUMMYFUNCTION("""COMPUTED_VALUE"""),2330.0)</f>
        <v>2330</v>
      </c>
      <c r="F337" s="2">
        <f>IFERROR(__xludf.DUMMYFUNCTION("""COMPUTED_VALUE"""),1.475289E8)</f>
        <v>147528900</v>
      </c>
      <c r="G337" s="2">
        <f t="shared" si="1"/>
        <v>130</v>
      </c>
    </row>
    <row r="338" ht="15.75" customHeight="1">
      <c r="A338" s="1">
        <f>IFERROR(__xludf.DUMMYFUNCTION("""COMPUTED_VALUE"""),44340.625)</f>
        <v>44340.625</v>
      </c>
      <c r="B338" s="2">
        <f>IFERROR(__xludf.DUMMYFUNCTION("""COMPUTED_VALUE"""),2360.0)</f>
        <v>2360</v>
      </c>
      <c r="C338" s="2">
        <f>IFERROR(__xludf.DUMMYFUNCTION("""COMPUTED_VALUE"""),2390.0)</f>
        <v>2390</v>
      </c>
      <c r="D338" s="2">
        <f>IFERROR(__xludf.DUMMYFUNCTION("""COMPUTED_VALUE"""),2250.0)</f>
        <v>2250</v>
      </c>
      <c r="E338" s="2">
        <f>IFERROR(__xludf.DUMMYFUNCTION("""COMPUTED_VALUE"""),2270.0)</f>
        <v>2270</v>
      </c>
      <c r="F338" s="2">
        <f>IFERROR(__xludf.DUMMYFUNCTION("""COMPUTED_VALUE"""),1.284086E8)</f>
        <v>128408600</v>
      </c>
      <c r="G338" s="2">
        <f t="shared" si="1"/>
        <v>140</v>
      </c>
    </row>
    <row r="339" ht="15.75" customHeight="1">
      <c r="A339" s="1">
        <f>IFERROR(__xludf.DUMMYFUNCTION("""COMPUTED_VALUE"""),44341.625)</f>
        <v>44341.625</v>
      </c>
      <c r="B339" s="2">
        <f>IFERROR(__xludf.DUMMYFUNCTION("""COMPUTED_VALUE"""),2310.0)</f>
        <v>2310</v>
      </c>
      <c r="C339" s="2">
        <f>IFERROR(__xludf.DUMMYFUNCTION("""COMPUTED_VALUE"""),2410.0)</f>
        <v>2410</v>
      </c>
      <c r="D339" s="2">
        <f>IFERROR(__xludf.DUMMYFUNCTION("""COMPUTED_VALUE"""),2310.0)</f>
        <v>2310</v>
      </c>
      <c r="E339" s="2">
        <f>IFERROR(__xludf.DUMMYFUNCTION("""COMPUTED_VALUE"""),2330.0)</f>
        <v>2330</v>
      </c>
      <c r="F339" s="2">
        <f>IFERROR(__xludf.DUMMYFUNCTION("""COMPUTED_VALUE"""),1.864838E8)</f>
        <v>186483800</v>
      </c>
      <c r="G339" s="2">
        <f t="shared" si="1"/>
        <v>140</v>
      </c>
    </row>
    <row r="340" ht="15.75" customHeight="1">
      <c r="A340" s="1">
        <f>IFERROR(__xludf.DUMMYFUNCTION("""COMPUTED_VALUE"""),44343.625)</f>
        <v>44343.625</v>
      </c>
      <c r="B340" s="2">
        <f>IFERROR(__xludf.DUMMYFUNCTION("""COMPUTED_VALUE"""),2340.0)</f>
        <v>2340</v>
      </c>
      <c r="C340" s="2">
        <f>IFERROR(__xludf.DUMMYFUNCTION("""COMPUTED_VALUE"""),2390.0)</f>
        <v>2390</v>
      </c>
      <c r="D340" s="2">
        <f>IFERROR(__xludf.DUMMYFUNCTION("""COMPUTED_VALUE"""),2330.0)</f>
        <v>2330</v>
      </c>
      <c r="E340" s="2">
        <f>IFERROR(__xludf.DUMMYFUNCTION("""COMPUTED_VALUE"""),2390.0)</f>
        <v>2390</v>
      </c>
      <c r="F340" s="2">
        <f>IFERROR(__xludf.DUMMYFUNCTION("""COMPUTED_VALUE"""),1.489435E8)</f>
        <v>148943500</v>
      </c>
      <c r="G340" s="2">
        <f t="shared" si="1"/>
        <v>60</v>
      </c>
    </row>
    <row r="341" ht="15.75" customHeight="1">
      <c r="A341" s="1">
        <f>IFERROR(__xludf.DUMMYFUNCTION("""COMPUTED_VALUE"""),44344.625)</f>
        <v>44344.625</v>
      </c>
      <c r="B341" s="2">
        <f>IFERROR(__xludf.DUMMYFUNCTION("""COMPUTED_VALUE"""),2470.0)</f>
        <v>2470</v>
      </c>
      <c r="C341" s="2">
        <f>IFERROR(__xludf.DUMMYFUNCTION("""COMPUTED_VALUE"""),2500.0)</f>
        <v>2500</v>
      </c>
      <c r="D341" s="2">
        <f>IFERROR(__xludf.DUMMYFUNCTION("""COMPUTED_VALUE"""),2430.0)</f>
        <v>2430</v>
      </c>
      <c r="E341" s="2">
        <f>IFERROR(__xludf.DUMMYFUNCTION("""COMPUTED_VALUE"""),2460.0)</f>
        <v>2460</v>
      </c>
      <c r="F341" s="2">
        <f>IFERROR(__xludf.DUMMYFUNCTION("""COMPUTED_VALUE"""),1.185442E8)</f>
        <v>118544200</v>
      </c>
      <c r="G341" s="2">
        <f t="shared" si="1"/>
        <v>110</v>
      </c>
    </row>
    <row r="342" ht="15.75" customHeight="1">
      <c r="A342" s="1">
        <f>IFERROR(__xludf.DUMMYFUNCTION("""COMPUTED_VALUE"""),44347.625)</f>
        <v>44347.625</v>
      </c>
      <c r="B342" s="2">
        <f>IFERROR(__xludf.DUMMYFUNCTION("""COMPUTED_VALUE"""),2480.0)</f>
        <v>2480</v>
      </c>
      <c r="C342" s="2">
        <f>IFERROR(__xludf.DUMMYFUNCTION("""COMPUTED_VALUE"""),2480.0)</f>
        <v>2480</v>
      </c>
      <c r="D342" s="2">
        <f>IFERROR(__xludf.DUMMYFUNCTION("""COMPUTED_VALUE"""),2410.0)</f>
        <v>2410</v>
      </c>
      <c r="E342" s="2">
        <f>IFERROR(__xludf.DUMMYFUNCTION("""COMPUTED_VALUE"""),2450.0)</f>
        <v>2450</v>
      </c>
      <c r="F342" s="2">
        <f>IFERROR(__xludf.DUMMYFUNCTION("""COMPUTED_VALUE"""),5.73669E7)</f>
        <v>57366900</v>
      </c>
      <c r="G342" s="2">
        <f t="shared" si="1"/>
        <v>70</v>
      </c>
    </row>
    <row r="343" ht="15.75" customHeight="1">
      <c r="A343" s="1">
        <f>IFERROR(__xludf.DUMMYFUNCTION("""COMPUTED_VALUE"""),44349.625)</f>
        <v>44349.625</v>
      </c>
      <c r="B343" s="2">
        <f>IFERROR(__xludf.DUMMYFUNCTION("""COMPUTED_VALUE"""),2460.0)</f>
        <v>2460</v>
      </c>
      <c r="C343" s="2">
        <f>IFERROR(__xludf.DUMMYFUNCTION("""COMPUTED_VALUE"""),2550.0)</f>
        <v>2550</v>
      </c>
      <c r="D343" s="2">
        <f>IFERROR(__xludf.DUMMYFUNCTION("""COMPUTED_VALUE"""),2440.0)</f>
        <v>2440</v>
      </c>
      <c r="E343" s="2">
        <f>IFERROR(__xludf.DUMMYFUNCTION("""COMPUTED_VALUE"""),2550.0)</f>
        <v>2550</v>
      </c>
      <c r="F343" s="2">
        <f>IFERROR(__xludf.DUMMYFUNCTION("""COMPUTED_VALUE"""),1.256543E8)</f>
        <v>125654300</v>
      </c>
      <c r="G343" s="2">
        <f t="shared" si="1"/>
        <v>110</v>
      </c>
    </row>
    <row r="344" ht="15.75" customHeight="1">
      <c r="A344" s="1">
        <f>IFERROR(__xludf.DUMMYFUNCTION("""COMPUTED_VALUE"""),44350.625)</f>
        <v>44350.625</v>
      </c>
      <c r="B344" s="2">
        <f>IFERROR(__xludf.DUMMYFUNCTION("""COMPUTED_VALUE"""),2540.0)</f>
        <v>2540</v>
      </c>
      <c r="C344" s="2">
        <f>IFERROR(__xludf.DUMMYFUNCTION("""COMPUTED_VALUE"""),2600.0)</f>
        <v>2600</v>
      </c>
      <c r="D344" s="2">
        <f>IFERROR(__xludf.DUMMYFUNCTION("""COMPUTED_VALUE"""),2500.0)</f>
        <v>2500</v>
      </c>
      <c r="E344" s="2">
        <f>IFERROR(__xludf.DUMMYFUNCTION("""COMPUTED_VALUE"""),2520.0)</f>
        <v>2520</v>
      </c>
      <c r="F344" s="2">
        <f>IFERROR(__xludf.DUMMYFUNCTION("""COMPUTED_VALUE"""),1.311417E8)</f>
        <v>131141700</v>
      </c>
      <c r="G344" s="2">
        <f t="shared" si="1"/>
        <v>100</v>
      </c>
    </row>
    <row r="345" ht="15.75" customHeight="1">
      <c r="A345" s="1">
        <f>IFERROR(__xludf.DUMMYFUNCTION("""COMPUTED_VALUE"""),44351.625)</f>
        <v>44351.625</v>
      </c>
      <c r="B345" s="2">
        <f>IFERROR(__xludf.DUMMYFUNCTION("""COMPUTED_VALUE"""),2480.0)</f>
        <v>2480</v>
      </c>
      <c r="C345" s="2">
        <f>IFERROR(__xludf.DUMMYFUNCTION("""COMPUTED_VALUE"""),2480.0)</f>
        <v>2480</v>
      </c>
      <c r="D345" s="2">
        <f>IFERROR(__xludf.DUMMYFUNCTION("""COMPUTED_VALUE"""),2410.0)</f>
        <v>2410</v>
      </c>
      <c r="E345" s="2">
        <f>IFERROR(__xludf.DUMMYFUNCTION("""COMPUTED_VALUE"""),2430.0)</f>
        <v>2430</v>
      </c>
      <c r="F345" s="2">
        <f>IFERROR(__xludf.DUMMYFUNCTION("""COMPUTED_VALUE"""),1.604794E8)</f>
        <v>160479400</v>
      </c>
      <c r="G345" s="2">
        <f t="shared" si="1"/>
        <v>110</v>
      </c>
    </row>
    <row r="346" ht="15.75" customHeight="1">
      <c r="A346" s="1">
        <f>IFERROR(__xludf.DUMMYFUNCTION("""COMPUTED_VALUE"""),44354.625)</f>
        <v>44354.625</v>
      </c>
      <c r="B346" s="2">
        <f>IFERROR(__xludf.DUMMYFUNCTION("""COMPUTED_VALUE"""),2450.0)</f>
        <v>2450</v>
      </c>
      <c r="C346" s="2">
        <f>IFERROR(__xludf.DUMMYFUNCTION("""COMPUTED_VALUE"""),2450.0)</f>
        <v>2450</v>
      </c>
      <c r="D346" s="2">
        <f>IFERROR(__xludf.DUMMYFUNCTION("""COMPUTED_VALUE"""),2370.0)</f>
        <v>2370</v>
      </c>
      <c r="E346" s="2">
        <f>IFERROR(__xludf.DUMMYFUNCTION("""COMPUTED_VALUE"""),2380.0)</f>
        <v>2380</v>
      </c>
      <c r="F346" s="2">
        <f>IFERROR(__xludf.DUMMYFUNCTION("""COMPUTED_VALUE"""),6.21159E7)</f>
        <v>62115900</v>
      </c>
      <c r="G346" s="2">
        <f t="shared" si="1"/>
        <v>80</v>
      </c>
    </row>
    <row r="347" ht="15.75" customHeight="1">
      <c r="A347" s="1">
        <f>IFERROR(__xludf.DUMMYFUNCTION("""COMPUTED_VALUE"""),44355.625)</f>
        <v>44355.625</v>
      </c>
      <c r="B347" s="2">
        <f>IFERROR(__xludf.DUMMYFUNCTION("""COMPUTED_VALUE"""),2390.0)</f>
        <v>2390</v>
      </c>
      <c r="C347" s="2">
        <f>IFERROR(__xludf.DUMMYFUNCTION("""COMPUTED_VALUE"""),2420.0)</f>
        <v>2420</v>
      </c>
      <c r="D347" s="2">
        <f>IFERROR(__xludf.DUMMYFUNCTION("""COMPUTED_VALUE"""),2350.0)</f>
        <v>2350</v>
      </c>
      <c r="E347" s="2">
        <f>IFERROR(__xludf.DUMMYFUNCTION("""COMPUTED_VALUE"""),2350.0)</f>
        <v>2350</v>
      </c>
      <c r="F347" s="2">
        <f>IFERROR(__xludf.DUMMYFUNCTION("""COMPUTED_VALUE"""),5.88387E7)</f>
        <v>58838700</v>
      </c>
      <c r="G347" s="2">
        <f t="shared" si="1"/>
        <v>70</v>
      </c>
    </row>
    <row r="348" ht="15.75" customHeight="1">
      <c r="A348" s="1">
        <f>IFERROR(__xludf.DUMMYFUNCTION("""COMPUTED_VALUE"""),44356.625)</f>
        <v>44356.625</v>
      </c>
      <c r="B348" s="2">
        <f>IFERROR(__xludf.DUMMYFUNCTION("""COMPUTED_VALUE"""),2380.0)</f>
        <v>2380</v>
      </c>
      <c r="C348" s="2">
        <f>IFERROR(__xludf.DUMMYFUNCTION("""COMPUTED_VALUE"""),2480.0)</f>
        <v>2480</v>
      </c>
      <c r="D348" s="2">
        <f>IFERROR(__xludf.DUMMYFUNCTION("""COMPUTED_VALUE"""),2370.0)</f>
        <v>2370</v>
      </c>
      <c r="E348" s="2">
        <f>IFERROR(__xludf.DUMMYFUNCTION("""COMPUTED_VALUE"""),2460.0)</f>
        <v>2460</v>
      </c>
      <c r="F348" s="2">
        <f>IFERROR(__xludf.DUMMYFUNCTION("""COMPUTED_VALUE"""),1.173385E8)</f>
        <v>117338500</v>
      </c>
      <c r="G348" s="2">
        <f t="shared" si="1"/>
        <v>130</v>
      </c>
    </row>
    <row r="349" ht="15.75" customHeight="1">
      <c r="A349" s="1">
        <f>IFERROR(__xludf.DUMMYFUNCTION("""COMPUTED_VALUE"""),44357.625)</f>
        <v>44357.625</v>
      </c>
      <c r="B349" s="2">
        <f>IFERROR(__xludf.DUMMYFUNCTION("""COMPUTED_VALUE"""),2440.0)</f>
        <v>2440</v>
      </c>
      <c r="C349" s="2">
        <f>IFERROR(__xludf.DUMMYFUNCTION("""COMPUTED_VALUE"""),2480.0)</f>
        <v>2480</v>
      </c>
      <c r="D349" s="2">
        <f>IFERROR(__xludf.DUMMYFUNCTION("""COMPUTED_VALUE"""),2420.0)</f>
        <v>2420</v>
      </c>
      <c r="E349" s="2">
        <f>IFERROR(__xludf.DUMMYFUNCTION("""COMPUTED_VALUE"""),2420.0)</f>
        <v>2420</v>
      </c>
      <c r="F349" s="2">
        <f>IFERROR(__xludf.DUMMYFUNCTION("""COMPUTED_VALUE"""),7.97519E7)</f>
        <v>79751900</v>
      </c>
      <c r="G349" s="2">
        <f t="shared" si="1"/>
        <v>60</v>
      </c>
    </row>
    <row r="350" ht="15.75" customHeight="1">
      <c r="A350" s="1">
        <f>IFERROR(__xludf.DUMMYFUNCTION("""COMPUTED_VALUE"""),44358.625)</f>
        <v>44358.625</v>
      </c>
      <c r="B350" s="2">
        <f>IFERROR(__xludf.DUMMYFUNCTION("""COMPUTED_VALUE"""),2460.0)</f>
        <v>2460</v>
      </c>
      <c r="C350" s="2">
        <f>IFERROR(__xludf.DUMMYFUNCTION("""COMPUTED_VALUE"""),2500.0)</f>
        <v>2500</v>
      </c>
      <c r="D350" s="2">
        <f>IFERROR(__xludf.DUMMYFUNCTION("""COMPUTED_VALUE"""),2440.0)</f>
        <v>2440</v>
      </c>
      <c r="E350" s="2">
        <f>IFERROR(__xludf.DUMMYFUNCTION("""COMPUTED_VALUE"""),2480.0)</f>
        <v>2480</v>
      </c>
      <c r="F350" s="2">
        <f>IFERROR(__xludf.DUMMYFUNCTION("""COMPUTED_VALUE"""),9.4696E7)</f>
        <v>94696000</v>
      </c>
      <c r="G350" s="2">
        <f t="shared" si="1"/>
        <v>80</v>
      </c>
    </row>
    <row r="351" ht="15.75" customHeight="1">
      <c r="A351" s="1">
        <f>IFERROR(__xludf.DUMMYFUNCTION("""COMPUTED_VALUE"""),44361.66666666667)</f>
        <v>44361.66667</v>
      </c>
      <c r="B351" s="2">
        <f>IFERROR(__xludf.DUMMYFUNCTION("""COMPUTED_VALUE"""),2470.0)</f>
        <v>2470</v>
      </c>
      <c r="C351" s="2">
        <f>IFERROR(__xludf.DUMMYFUNCTION("""COMPUTED_VALUE"""),2470.0)</f>
        <v>2470</v>
      </c>
      <c r="D351" s="2">
        <f>IFERROR(__xludf.DUMMYFUNCTION("""COMPUTED_VALUE"""),2400.0)</f>
        <v>2400</v>
      </c>
      <c r="E351" s="2">
        <f>IFERROR(__xludf.DUMMYFUNCTION("""COMPUTED_VALUE"""),2410.0)</f>
        <v>2410</v>
      </c>
      <c r="F351" s="2">
        <f>IFERROR(__xludf.DUMMYFUNCTION("""COMPUTED_VALUE"""),6.45574E7)</f>
        <v>64557400</v>
      </c>
      <c r="G351" s="2">
        <f t="shared" si="1"/>
        <v>80</v>
      </c>
    </row>
    <row r="352" ht="15.75" customHeight="1">
      <c r="A352" s="1">
        <f>IFERROR(__xludf.DUMMYFUNCTION("""COMPUTED_VALUE"""),44362.625)</f>
        <v>44362.625</v>
      </c>
      <c r="B352" s="2">
        <f>IFERROR(__xludf.DUMMYFUNCTION("""COMPUTED_VALUE"""),2390.0)</f>
        <v>2390</v>
      </c>
      <c r="C352" s="2">
        <f>IFERROR(__xludf.DUMMYFUNCTION("""COMPUTED_VALUE"""),2390.0)</f>
        <v>2390</v>
      </c>
      <c r="D352" s="2">
        <f>IFERROR(__xludf.DUMMYFUNCTION("""COMPUTED_VALUE"""),2340.0)</f>
        <v>2340</v>
      </c>
      <c r="E352" s="2">
        <f>IFERROR(__xludf.DUMMYFUNCTION("""COMPUTED_VALUE"""),2360.0)</f>
        <v>2360</v>
      </c>
      <c r="F352" s="2">
        <f>IFERROR(__xludf.DUMMYFUNCTION("""COMPUTED_VALUE"""),8.41891E7)</f>
        <v>84189100</v>
      </c>
      <c r="G352" s="2">
        <f t="shared" si="1"/>
        <v>70</v>
      </c>
    </row>
    <row r="353" ht="15.75" customHeight="1">
      <c r="A353" s="1">
        <f>IFERROR(__xludf.DUMMYFUNCTION("""COMPUTED_VALUE"""),44363.625)</f>
        <v>44363.625</v>
      </c>
      <c r="B353" s="2">
        <f>IFERROR(__xludf.DUMMYFUNCTION("""COMPUTED_VALUE"""),2330.0)</f>
        <v>2330</v>
      </c>
      <c r="C353" s="2">
        <f>IFERROR(__xludf.DUMMYFUNCTION("""COMPUTED_VALUE"""),2360.0)</f>
        <v>2360</v>
      </c>
      <c r="D353" s="2">
        <f>IFERROR(__xludf.DUMMYFUNCTION("""COMPUTED_VALUE"""),2300.0)</f>
        <v>2300</v>
      </c>
      <c r="E353" s="2">
        <f>IFERROR(__xludf.DUMMYFUNCTION("""COMPUTED_VALUE"""),2320.0)</f>
        <v>2320</v>
      </c>
      <c r="F353" s="2">
        <f>IFERROR(__xludf.DUMMYFUNCTION("""COMPUTED_VALUE"""),7.72488E7)</f>
        <v>77248800</v>
      </c>
      <c r="G353" s="2">
        <f t="shared" si="1"/>
        <v>60</v>
      </c>
    </row>
    <row r="354" ht="15.75" customHeight="1">
      <c r="A354" s="1">
        <f>IFERROR(__xludf.DUMMYFUNCTION("""COMPUTED_VALUE"""),44364.625)</f>
        <v>44364.625</v>
      </c>
      <c r="B354" s="2">
        <f>IFERROR(__xludf.DUMMYFUNCTION("""COMPUTED_VALUE"""),2290.0)</f>
        <v>2290</v>
      </c>
      <c r="C354" s="2">
        <f>IFERROR(__xludf.DUMMYFUNCTION("""COMPUTED_VALUE"""),2350.0)</f>
        <v>2350</v>
      </c>
      <c r="D354" s="2">
        <f>IFERROR(__xludf.DUMMYFUNCTION("""COMPUTED_VALUE"""),2260.0)</f>
        <v>2260</v>
      </c>
      <c r="E354" s="2">
        <f>IFERROR(__xludf.DUMMYFUNCTION("""COMPUTED_VALUE"""),2330.0)</f>
        <v>2330</v>
      </c>
      <c r="F354" s="2">
        <f>IFERROR(__xludf.DUMMYFUNCTION("""COMPUTED_VALUE"""),7.4868E7)</f>
        <v>74868000</v>
      </c>
      <c r="G354" s="2">
        <f t="shared" si="1"/>
        <v>90</v>
      </c>
    </row>
    <row r="355" ht="15.75" customHeight="1">
      <c r="A355" s="1">
        <f>IFERROR(__xludf.DUMMYFUNCTION("""COMPUTED_VALUE"""),44365.625)</f>
        <v>44365.625</v>
      </c>
      <c r="B355" s="2">
        <f>IFERROR(__xludf.DUMMYFUNCTION("""COMPUTED_VALUE"""),2300.0)</f>
        <v>2300</v>
      </c>
      <c r="C355" s="2">
        <f>IFERROR(__xludf.DUMMYFUNCTION("""COMPUTED_VALUE"""),2320.0)</f>
        <v>2320</v>
      </c>
      <c r="D355" s="2">
        <f>IFERROR(__xludf.DUMMYFUNCTION("""COMPUTED_VALUE"""),2210.0)</f>
        <v>2210</v>
      </c>
      <c r="E355" s="2">
        <f>IFERROR(__xludf.DUMMYFUNCTION("""COMPUTED_VALUE"""),2230.0)</f>
        <v>2230</v>
      </c>
      <c r="F355" s="2">
        <f>IFERROR(__xludf.DUMMYFUNCTION("""COMPUTED_VALUE"""),1.255077E8)</f>
        <v>125507700</v>
      </c>
      <c r="G355" s="2">
        <f t="shared" si="1"/>
        <v>120</v>
      </c>
    </row>
    <row r="356" ht="15.75" customHeight="1">
      <c r="A356" s="1">
        <f>IFERROR(__xludf.DUMMYFUNCTION("""COMPUTED_VALUE"""),44368.66666666667)</f>
        <v>44368.66667</v>
      </c>
      <c r="B356" s="2">
        <f>IFERROR(__xludf.DUMMYFUNCTION("""COMPUTED_VALUE"""),2190.0)</f>
        <v>2190</v>
      </c>
      <c r="C356" s="2">
        <f>IFERROR(__xludf.DUMMYFUNCTION("""COMPUTED_VALUE"""),2250.0)</f>
        <v>2250</v>
      </c>
      <c r="D356" s="2">
        <f>IFERROR(__xludf.DUMMYFUNCTION("""COMPUTED_VALUE"""),2130.0)</f>
        <v>2130</v>
      </c>
      <c r="E356" s="2">
        <f>IFERROR(__xludf.DUMMYFUNCTION("""COMPUTED_VALUE"""),2200.0)</f>
        <v>2200</v>
      </c>
      <c r="F356" s="2">
        <f>IFERROR(__xludf.DUMMYFUNCTION("""COMPUTED_VALUE"""),1.003867E8)</f>
        <v>100386700</v>
      </c>
      <c r="G356" s="2">
        <f t="shared" si="1"/>
        <v>120</v>
      </c>
    </row>
    <row r="357" ht="15.75" customHeight="1">
      <c r="A357" s="1">
        <f>IFERROR(__xludf.DUMMYFUNCTION("""COMPUTED_VALUE"""),44369.625)</f>
        <v>44369.625</v>
      </c>
      <c r="B357" s="2">
        <f>IFERROR(__xludf.DUMMYFUNCTION("""COMPUTED_VALUE"""),2250.0)</f>
        <v>2250</v>
      </c>
      <c r="C357" s="2">
        <f>IFERROR(__xludf.DUMMYFUNCTION("""COMPUTED_VALUE"""),2300.0)</f>
        <v>2300</v>
      </c>
      <c r="D357" s="2">
        <f>IFERROR(__xludf.DUMMYFUNCTION("""COMPUTED_VALUE"""),2220.0)</f>
        <v>2220</v>
      </c>
      <c r="E357" s="2">
        <f>IFERROR(__xludf.DUMMYFUNCTION("""COMPUTED_VALUE"""),2260.0)</f>
        <v>2260</v>
      </c>
      <c r="F357" s="2">
        <f>IFERROR(__xludf.DUMMYFUNCTION("""COMPUTED_VALUE"""),9.76716E7)</f>
        <v>97671600</v>
      </c>
      <c r="G357" s="2">
        <f t="shared" si="1"/>
        <v>100</v>
      </c>
    </row>
    <row r="358" ht="15.75" customHeight="1">
      <c r="A358" s="1">
        <f>IFERROR(__xludf.DUMMYFUNCTION("""COMPUTED_VALUE"""),44370.625)</f>
        <v>44370.625</v>
      </c>
      <c r="B358" s="2">
        <f>IFERROR(__xludf.DUMMYFUNCTION("""COMPUTED_VALUE"""),2280.0)</f>
        <v>2280</v>
      </c>
      <c r="C358" s="2">
        <f>IFERROR(__xludf.DUMMYFUNCTION("""COMPUTED_VALUE"""),2310.0)</f>
        <v>2310</v>
      </c>
      <c r="D358" s="2">
        <f>IFERROR(__xludf.DUMMYFUNCTION("""COMPUTED_VALUE"""),2240.0)</f>
        <v>2240</v>
      </c>
      <c r="E358" s="2">
        <f>IFERROR(__xludf.DUMMYFUNCTION("""COMPUTED_VALUE"""),2250.0)</f>
        <v>2250</v>
      </c>
      <c r="F358" s="2">
        <f>IFERROR(__xludf.DUMMYFUNCTION("""COMPUTED_VALUE"""),6.42759E7)</f>
        <v>64275900</v>
      </c>
      <c r="G358" s="2">
        <f t="shared" si="1"/>
        <v>70</v>
      </c>
    </row>
    <row r="359" ht="15.75" customHeight="1">
      <c r="A359" s="1">
        <f>IFERROR(__xludf.DUMMYFUNCTION("""COMPUTED_VALUE"""),44371.625)</f>
        <v>44371.625</v>
      </c>
      <c r="B359" s="2">
        <f>IFERROR(__xludf.DUMMYFUNCTION("""COMPUTED_VALUE"""),2280.0)</f>
        <v>2280</v>
      </c>
      <c r="C359" s="2">
        <f>IFERROR(__xludf.DUMMYFUNCTION("""COMPUTED_VALUE"""),2290.0)</f>
        <v>2290</v>
      </c>
      <c r="D359" s="2">
        <f>IFERROR(__xludf.DUMMYFUNCTION("""COMPUTED_VALUE"""),2240.0)</f>
        <v>2240</v>
      </c>
      <c r="E359" s="2">
        <f>IFERROR(__xludf.DUMMYFUNCTION("""COMPUTED_VALUE"""),2250.0)</f>
        <v>2250</v>
      </c>
      <c r="F359" s="2">
        <f>IFERROR(__xludf.DUMMYFUNCTION("""COMPUTED_VALUE"""),5.92575E7)</f>
        <v>59257500</v>
      </c>
      <c r="G359" s="2">
        <f t="shared" si="1"/>
        <v>50</v>
      </c>
    </row>
    <row r="360" ht="15.75" customHeight="1">
      <c r="A360" s="1">
        <f>IFERROR(__xludf.DUMMYFUNCTION("""COMPUTED_VALUE"""),44372.625)</f>
        <v>44372.625</v>
      </c>
      <c r="B360" s="2">
        <f>IFERROR(__xludf.DUMMYFUNCTION("""COMPUTED_VALUE"""),2310.0)</f>
        <v>2310</v>
      </c>
      <c r="C360" s="2">
        <f>IFERROR(__xludf.DUMMYFUNCTION("""COMPUTED_VALUE"""),2340.0)</f>
        <v>2340</v>
      </c>
      <c r="D360" s="2">
        <f>IFERROR(__xludf.DUMMYFUNCTION("""COMPUTED_VALUE"""),2280.0)</f>
        <v>2280</v>
      </c>
      <c r="E360" s="2">
        <f>IFERROR(__xludf.DUMMYFUNCTION("""COMPUTED_VALUE"""),2300.0)</f>
        <v>2300</v>
      </c>
      <c r="F360" s="2">
        <f>IFERROR(__xludf.DUMMYFUNCTION("""COMPUTED_VALUE"""),9.04783E7)</f>
        <v>90478300</v>
      </c>
      <c r="G360" s="2">
        <f t="shared" si="1"/>
        <v>90</v>
      </c>
    </row>
    <row r="361" ht="15.75" customHeight="1">
      <c r="A361" s="1">
        <f>IFERROR(__xludf.DUMMYFUNCTION("""COMPUTED_VALUE"""),44375.66666666667)</f>
        <v>44375.66667</v>
      </c>
      <c r="B361" s="2">
        <f>IFERROR(__xludf.DUMMYFUNCTION("""COMPUTED_VALUE"""),2310.0)</f>
        <v>2310</v>
      </c>
      <c r="C361" s="2">
        <f>IFERROR(__xludf.DUMMYFUNCTION("""COMPUTED_VALUE"""),2310.0)</f>
        <v>2310</v>
      </c>
      <c r="D361" s="2">
        <f>IFERROR(__xludf.DUMMYFUNCTION("""COMPUTED_VALUE"""),2230.0)</f>
        <v>2230</v>
      </c>
      <c r="E361" s="2">
        <f>IFERROR(__xludf.DUMMYFUNCTION("""COMPUTED_VALUE"""),2240.0)</f>
        <v>2240</v>
      </c>
      <c r="F361" s="2">
        <f>IFERROR(__xludf.DUMMYFUNCTION("""COMPUTED_VALUE"""),6.5985E7)</f>
        <v>65985000</v>
      </c>
      <c r="G361" s="2">
        <f t="shared" si="1"/>
        <v>80</v>
      </c>
    </row>
    <row r="362" ht="15.75" customHeight="1">
      <c r="A362" s="1">
        <f>IFERROR(__xludf.DUMMYFUNCTION("""COMPUTED_VALUE"""),44376.625)</f>
        <v>44376.625</v>
      </c>
      <c r="B362" s="2">
        <f>IFERROR(__xludf.DUMMYFUNCTION("""COMPUTED_VALUE"""),2230.0)</f>
        <v>2230</v>
      </c>
      <c r="C362" s="2">
        <f>IFERROR(__xludf.DUMMYFUNCTION("""COMPUTED_VALUE"""),2250.0)</f>
        <v>2250</v>
      </c>
      <c r="D362" s="2">
        <f>IFERROR(__xludf.DUMMYFUNCTION("""COMPUTED_VALUE"""),2210.0)</f>
        <v>2210</v>
      </c>
      <c r="E362" s="2">
        <f>IFERROR(__xludf.DUMMYFUNCTION("""COMPUTED_VALUE"""),2220.0)</f>
        <v>2220</v>
      </c>
      <c r="F362" s="2">
        <f>IFERROR(__xludf.DUMMYFUNCTION("""COMPUTED_VALUE"""),5.55245E7)</f>
        <v>55524500</v>
      </c>
      <c r="G362" s="2">
        <f t="shared" si="1"/>
        <v>40</v>
      </c>
    </row>
    <row r="363" ht="15.75" customHeight="1">
      <c r="A363" s="1">
        <f>IFERROR(__xludf.DUMMYFUNCTION("""COMPUTED_VALUE"""),44377.625)</f>
        <v>44377.625</v>
      </c>
      <c r="B363" s="2">
        <f>IFERROR(__xludf.DUMMYFUNCTION("""COMPUTED_VALUE"""),2240.0)</f>
        <v>2240</v>
      </c>
      <c r="C363" s="2">
        <f>IFERROR(__xludf.DUMMYFUNCTION("""COMPUTED_VALUE"""),2310.0)</f>
        <v>2310</v>
      </c>
      <c r="D363" s="2">
        <f>IFERROR(__xludf.DUMMYFUNCTION("""COMPUTED_VALUE"""),2230.0)</f>
        <v>2230</v>
      </c>
      <c r="E363" s="2">
        <f>IFERROR(__xludf.DUMMYFUNCTION("""COMPUTED_VALUE"""),2300.0)</f>
        <v>2300</v>
      </c>
      <c r="F363" s="2">
        <f>IFERROR(__xludf.DUMMYFUNCTION("""COMPUTED_VALUE"""),9.51748E7)</f>
        <v>95174800</v>
      </c>
      <c r="G363" s="2">
        <f t="shared" si="1"/>
        <v>90</v>
      </c>
    </row>
    <row r="364" ht="15.75" customHeight="1">
      <c r="A364" s="1">
        <f>IFERROR(__xludf.DUMMYFUNCTION("""COMPUTED_VALUE"""),44378.625)</f>
        <v>44378.625</v>
      </c>
      <c r="B364" s="2">
        <f>IFERROR(__xludf.DUMMYFUNCTION("""COMPUTED_VALUE"""),2280.0)</f>
        <v>2280</v>
      </c>
      <c r="C364" s="2">
        <f>IFERROR(__xludf.DUMMYFUNCTION("""COMPUTED_VALUE"""),2310.0)</f>
        <v>2310</v>
      </c>
      <c r="D364" s="2">
        <f>IFERROR(__xludf.DUMMYFUNCTION("""COMPUTED_VALUE"""),2200.0)</f>
        <v>2200</v>
      </c>
      <c r="E364" s="2">
        <f>IFERROR(__xludf.DUMMYFUNCTION("""COMPUTED_VALUE"""),2230.0)</f>
        <v>2230</v>
      </c>
      <c r="F364" s="2">
        <f>IFERROR(__xludf.DUMMYFUNCTION("""COMPUTED_VALUE"""),8.96069E7)</f>
        <v>89606900</v>
      </c>
      <c r="G364" s="2">
        <f t="shared" si="1"/>
        <v>110</v>
      </c>
    </row>
    <row r="365" ht="15.75" customHeight="1">
      <c r="A365" s="1">
        <f>IFERROR(__xludf.DUMMYFUNCTION("""COMPUTED_VALUE"""),44379.625)</f>
        <v>44379.625</v>
      </c>
      <c r="B365" s="2">
        <f>IFERROR(__xludf.DUMMYFUNCTION("""COMPUTED_VALUE"""),2230.0)</f>
        <v>2230</v>
      </c>
      <c r="C365" s="2">
        <f>IFERROR(__xludf.DUMMYFUNCTION("""COMPUTED_VALUE"""),2250.0)</f>
        <v>2250</v>
      </c>
      <c r="D365" s="2">
        <f>IFERROR(__xludf.DUMMYFUNCTION("""COMPUTED_VALUE"""),2190.0)</f>
        <v>2190</v>
      </c>
      <c r="E365" s="2">
        <f>IFERROR(__xludf.DUMMYFUNCTION("""COMPUTED_VALUE"""),2220.0)</f>
        <v>2220</v>
      </c>
      <c r="F365" s="2">
        <f>IFERROR(__xludf.DUMMYFUNCTION("""COMPUTED_VALUE"""),5.72005E7)</f>
        <v>57200500</v>
      </c>
      <c r="G365" s="2">
        <f t="shared" si="1"/>
        <v>60</v>
      </c>
    </row>
    <row r="366" ht="15.75" customHeight="1">
      <c r="A366" s="1">
        <f>IFERROR(__xludf.DUMMYFUNCTION("""COMPUTED_VALUE"""),44382.625)</f>
        <v>44382.625</v>
      </c>
      <c r="B366" s="2">
        <f>IFERROR(__xludf.DUMMYFUNCTION("""COMPUTED_VALUE"""),2230.0)</f>
        <v>2230</v>
      </c>
      <c r="C366" s="2">
        <f>IFERROR(__xludf.DUMMYFUNCTION("""COMPUTED_VALUE"""),2260.0)</f>
        <v>2260</v>
      </c>
      <c r="D366" s="2">
        <f>IFERROR(__xludf.DUMMYFUNCTION("""COMPUTED_VALUE"""),2220.0)</f>
        <v>2220</v>
      </c>
      <c r="E366" s="2">
        <f>IFERROR(__xludf.DUMMYFUNCTION("""COMPUTED_VALUE"""),2240.0)</f>
        <v>2240</v>
      </c>
      <c r="F366" s="2">
        <f>IFERROR(__xludf.DUMMYFUNCTION("""COMPUTED_VALUE"""),6.06987E7)</f>
        <v>60698700</v>
      </c>
      <c r="G366" s="2">
        <f t="shared" si="1"/>
        <v>40</v>
      </c>
    </row>
    <row r="367" ht="15.75" customHeight="1">
      <c r="A367" s="1">
        <f>IFERROR(__xludf.DUMMYFUNCTION("""COMPUTED_VALUE"""),44383.625)</f>
        <v>44383.625</v>
      </c>
      <c r="B367" s="2">
        <f>IFERROR(__xludf.DUMMYFUNCTION("""COMPUTED_VALUE"""),2250.0)</f>
        <v>2250</v>
      </c>
      <c r="C367" s="2">
        <f>IFERROR(__xludf.DUMMYFUNCTION("""COMPUTED_VALUE"""),2510.0)</f>
        <v>2510</v>
      </c>
      <c r="D367" s="2">
        <f>IFERROR(__xludf.DUMMYFUNCTION("""COMPUTED_VALUE"""),2240.0)</f>
        <v>2240</v>
      </c>
      <c r="E367" s="2">
        <f>IFERROR(__xludf.DUMMYFUNCTION("""COMPUTED_VALUE"""),2480.0)</f>
        <v>2480</v>
      </c>
      <c r="F367" s="2">
        <f>IFERROR(__xludf.DUMMYFUNCTION("""COMPUTED_VALUE"""),3.658804E8)</f>
        <v>365880400</v>
      </c>
      <c r="G367" s="2">
        <f t="shared" si="1"/>
        <v>270</v>
      </c>
    </row>
    <row r="368" ht="15.75" customHeight="1">
      <c r="A368" s="1">
        <f>IFERROR(__xludf.DUMMYFUNCTION("""COMPUTED_VALUE"""),44384.625)</f>
        <v>44384.625</v>
      </c>
      <c r="B368" s="2">
        <f>IFERROR(__xludf.DUMMYFUNCTION("""COMPUTED_VALUE"""),2450.0)</f>
        <v>2450</v>
      </c>
      <c r="C368" s="2">
        <f>IFERROR(__xludf.DUMMYFUNCTION("""COMPUTED_VALUE"""),2470.0)</f>
        <v>2470</v>
      </c>
      <c r="D368" s="2">
        <f>IFERROR(__xludf.DUMMYFUNCTION("""COMPUTED_VALUE"""),2380.0)</f>
        <v>2380</v>
      </c>
      <c r="E368" s="2">
        <f>IFERROR(__xludf.DUMMYFUNCTION("""COMPUTED_VALUE"""),2460.0)</f>
        <v>2460</v>
      </c>
      <c r="F368" s="2">
        <f>IFERROR(__xludf.DUMMYFUNCTION("""COMPUTED_VALUE"""),1.464732E8)</f>
        <v>146473200</v>
      </c>
      <c r="G368" s="2">
        <f t="shared" si="1"/>
        <v>100</v>
      </c>
    </row>
    <row r="369" ht="15.75" customHeight="1">
      <c r="A369" s="1">
        <f>IFERROR(__xludf.DUMMYFUNCTION("""COMPUTED_VALUE"""),44385.625)</f>
        <v>44385.625</v>
      </c>
      <c r="B369" s="2">
        <f>IFERROR(__xludf.DUMMYFUNCTION("""COMPUTED_VALUE"""),2460.0)</f>
        <v>2460</v>
      </c>
      <c r="C369" s="2">
        <f>IFERROR(__xludf.DUMMYFUNCTION("""COMPUTED_VALUE"""),2610.0)</f>
        <v>2610</v>
      </c>
      <c r="D369" s="2">
        <f>IFERROR(__xludf.DUMMYFUNCTION("""COMPUTED_VALUE"""),2460.0)</f>
        <v>2460</v>
      </c>
      <c r="E369" s="2">
        <f>IFERROR(__xludf.DUMMYFUNCTION("""COMPUTED_VALUE"""),2550.0)</f>
        <v>2550</v>
      </c>
      <c r="F369" s="2">
        <f>IFERROR(__xludf.DUMMYFUNCTION("""COMPUTED_VALUE"""),2.278355E8)</f>
        <v>227835500</v>
      </c>
      <c r="G369" s="2">
        <f t="shared" si="1"/>
        <v>150</v>
      </c>
    </row>
    <row r="370" ht="15.75" customHeight="1">
      <c r="A370" s="1">
        <f>IFERROR(__xludf.DUMMYFUNCTION("""COMPUTED_VALUE"""),44386.625)</f>
        <v>44386.625</v>
      </c>
      <c r="B370" s="2">
        <f>IFERROR(__xludf.DUMMYFUNCTION("""COMPUTED_VALUE"""),2560.0)</f>
        <v>2560</v>
      </c>
      <c r="C370" s="2">
        <f>IFERROR(__xludf.DUMMYFUNCTION("""COMPUTED_VALUE"""),2630.0)</f>
        <v>2630</v>
      </c>
      <c r="D370" s="2">
        <f>IFERROR(__xludf.DUMMYFUNCTION("""COMPUTED_VALUE"""),2530.0)</f>
        <v>2530</v>
      </c>
      <c r="E370" s="2">
        <f>IFERROR(__xludf.DUMMYFUNCTION("""COMPUTED_VALUE"""),2590.0)</f>
        <v>2590</v>
      </c>
      <c r="F370" s="2">
        <f>IFERROR(__xludf.DUMMYFUNCTION("""COMPUTED_VALUE"""),1.857235E8)</f>
        <v>185723500</v>
      </c>
      <c r="G370" s="2">
        <f t="shared" si="1"/>
        <v>100</v>
      </c>
    </row>
    <row r="371" ht="15.75" customHeight="1">
      <c r="A371" s="1">
        <f>IFERROR(__xludf.DUMMYFUNCTION("""COMPUTED_VALUE"""),44389.625)</f>
        <v>44389.625</v>
      </c>
      <c r="B371" s="2">
        <f>IFERROR(__xludf.DUMMYFUNCTION("""COMPUTED_VALUE"""),2610.0)</f>
        <v>2610</v>
      </c>
      <c r="C371" s="2">
        <f>IFERROR(__xludf.DUMMYFUNCTION("""COMPUTED_VALUE"""),2670.0)</f>
        <v>2670</v>
      </c>
      <c r="D371" s="2">
        <f>IFERROR(__xludf.DUMMYFUNCTION("""COMPUTED_VALUE"""),2520.0)</f>
        <v>2520</v>
      </c>
      <c r="E371" s="2">
        <f>IFERROR(__xludf.DUMMYFUNCTION("""COMPUTED_VALUE"""),2550.0)</f>
        <v>2550</v>
      </c>
      <c r="F371" s="2">
        <f>IFERROR(__xludf.DUMMYFUNCTION("""COMPUTED_VALUE"""),1.769417E8)</f>
        <v>176941700</v>
      </c>
      <c r="G371" s="2">
        <f t="shared" si="1"/>
        <v>150</v>
      </c>
    </row>
    <row r="372" ht="15.75" customHeight="1">
      <c r="A372" s="1">
        <f>IFERROR(__xludf.DUMMYFUNCTION("""COMPUTED_VALUE"""),44390.625)</f>
        <v>44390.625</v>
      </c>
      <c r="B372" s="2">
        <f>IFERROR(__xludf.DUMMYFUNCTION("""COMPUTED_VALUE"""),2560.0)</f>
        <v>2560</v>
      </c>
      <c r="C372" s="2">
        <f>IFERROR(__xludf.DUMMYFUNCTION("""COMPUTED_VALUE"""),2610.0)</f>
        <v>2610</v>
      </c>
      <c r="D372" s="2">
        <f>IFERROR(__xludf.DUMMYFUNCTION("""COMPUTED_VALUE"""),2500.0)</f>
        <v>2500</v>
      </c>
      <c r="E372" s="2">
        <f>IFERROR(__xludf.DUMMYFUNCTION("""COMPUTED_VALUE"""),2540.0)</f>
        <v>2540</v>
      </c>
      <c r="F372" s="2">
        <f>IFERROR(__xludf.DUMMYFUNCTION("""COMPUTED_VALUE"""),1.283211E8)</f>
        <v>128321100</v>
      </c>
      <c r="G372" s="2">
        <f t="shared" si="1"/>
        <v>110</v>
      </c>
    </row>
    <row r="373" ht="15.75" customHeight="1">
      <c r="A373" s="1">
        <f>IFERROR(__xludf.DUMMYFUNCTION("""COMPUTED_VALUE"""),44391.625)</f>
        <v>44391.625</v>
      </c>
      <c r="B373" s="2">
        <f>IFERROR(__xludf.DUMMYFUNCTION("""COMPUTED_VALUE"""),2540.0)</f>
        <v>2540</v>
      </c>
      <c r="C373" s="2">
        <f>IFERROR(__xludf.DUMMYFUNCTION("""COMPUTED_VALUE"""),2600.0)</f>
        <v>2600</v>
      </c>
      <c r="D373" s="2">
        <f>IFERROR(__xludf.DUMMYFUNCTION("""COMPUTED_VALUE"""),2500.0)</f>
        <v>2500</v>
      </c>
      <c r="E373" s="2">
        <f>IFERROR(__xludf.DUMMYFUNCTION("""COMPUTED_VALUE"""),2590.0)</f>
        <v>2590</v>
      </c>
      <c r="F373" s="2">
        <f>IFERROR(__xludf.DUMMYFUNCTION("""COMPUTED_VALUE"""),7.31481E7)</f>
        <v>73148100</v>
      </c>
      <c r="G373" s="2">
        <f t="shared" si="1"/>
        <v>100</v>
      </c>
    </row>
    <row r="374" ht="15.75" customHeight="1">
      <c r="A374" s="1">
        <f>IFERROR(__xludf.DUMMYFUNCTION("""COMPUTED_VALUE"""),44392.625)</f>
        <v>44392.625</v>
      </c>
      <c r="B374" s="2">
        <f>IFERROR(__xludf.DUMMYFUNCTION("""COMPUTED_VALUE"""),2580.0)</f>
        <v>2580</v>
      </c>
      <c r="C374" s="2">
        <f>IFERROR(__xludf.DUMMYFUNCTION("""COMPUTED_VALUE"""),2630.0)</f>
        <v>2630</v>
      </c>
      <c r="D374" s="2">
        <f>IFERROR(__xludf.DUMMYFUNCTION("""COMPUTED_VALUE"""),2560.0)</f>
        <v>2560</v>
      </c>
      <c r="E374" s="2">
        <f>IFERROR(__xludf.DUMMYFUNCTION("""COMPUTED_VALUE"""),2610.0)</f>
        <v>2610</v>
      </c>
      <c r="F374" s="2">
        <f>IFERROR(__xludf.DUMMYFUNCTION("""COMPUTED_VALUE"""),1.071285E8)</f>
        <v>107128500</v>
      </c>
      <c r="G374" s="2">
        <f t="shared" si="1"/>
        <v>70</v>
      </c>
    </row>
    <row r="375" ht="15.75" customHeight="1">
      <c r="A375" s="1">
        <f>IFERROR(__xludf.DUMMYFUNCTION("""COMPUTED_VALUE"""),44393.625)</f>
        <v>44393.625</v>
      </c>
      <c r="B375" s="2">
        <f>IFERROR(__xludf.DUMMYFUNCTION("""COMPUTED_VALUE"""),2630.0)</f>
        <v>2630</v>
      </c>
      <c r="C375" s="2">
        <f>IFERROR(__xludf.DUMMYFUNCTION("""COMPUTED_VALUE"""),2690.0)</f>
        <v>2690</v>
      </c>
      <c r="D375" s="2">
        <f>IFERROR(__xludf.DUMMYFUNCTION("""COMPUTED_VALUE"""),2610.0)</f>
        <v>2610</v>
      </c>
      <c r="E375" s="2">
        <f>IFERROR(__xludf.DUMMYFUNCTION("""COMPUTED_VALUE"""),2620.0)</f>
        <v>2620</v>
      </c>
      <c r="F375" s="2">
        <f>IFERROR(__xludf.DUMMYFUNCTION("""COMPUTED_VALUE"""),1.719725E8)</f>
        <v>171972500</v>
      </c>
      <c r="G375" s="2">
        <f t="shared" si="1"/>
        <v>80</v>
      </c>
    </row>
    <row r="376" ht="15.75" customHeight="1">
      <c r="A376" s="1">
        <f>IFERROR(__xludf.DUMMYFUNCTION("""COMPUTED_VALUE"""),44396.625)</f>
        <v>44396.625</v>
      </c>
      <c r="B376" s="2">
        <f>IFERROR(__xludf.DUMMYFUNCTION("""COMPUTED_VALUE"""),2630.0)</f>
        <v>2630</v>
      </c>
      <c r="C376" s="2">
        <f>IFERROR(__xludf.DUMMYFUNCTION("""COMPUTED_VALUE"""),2670.0)</f>
        <v>2670</v>
      </c>
      <c r="D376" s="2">
        <f>IFERROR(__xludf.DUMMYFUNCTION("""COMPUTED_VALUE"""),2610.0)</f>
        <v>2610</v>
      </c>
      <c r="E376" s="2">
        <f>IFERROR(__xludf.DUMMYFUNCTION("""COMPUTED_VALUE"""),2640.0)</f>
        <v>2640</v>
      </c>
      <c r="F376" s="2">
        <f>IFERROR(__xludf.DUMMYFUNCTION("""COMPUTED_VALUE"""),7.41386E7)</f>
        <v>74138600</v>
      </c>
      <c r="G376" s="2">
        <f t="shared" si="1"/>
        <v>60</v>
      </c>
    </row>
    <row r="377" ht="15.75" customHeight="1">
      <c r="A377" s="1">
        <f>IFERROR(__xludf.DUMMYFUNCTION("""COMPUTED_VALUE"""),44398.625)</f>
        <v>44398.625</v>
      </c>
      <c r="B377" s="2">
        <f>IFERROR(__xludf.DUMMYFUNCTION("""COMPUTED_VALUE"""),2620.0)</f>
        <v>2620</v>
      </c>
      <c r="C377" s="2">
        <f>IFERROR(__xludf.DUMMYFUNCTION("""COMPUTED_VALUE"""),2640.0)</f>
        <v>2640</v>
      </c>
      <c r="D377" s="2">
        <f>IFERROR(__xludf.DUMMYFUNCTION("""COMPUTED_VALUE"""),2540.0)</f>
        <v>2540</v>
      </c>
      <c r="E377" s="2">
        <f>IFERROR(__xludf.DUMMYFUNCTION("""COMPUTED_VALUE"""),2560.0)</f>
        <v>2560</v>
      </c>
      <c r="F377" s="2">
        <f>IFERROR(__xludf.DUMMYFUNCTION("""COMPUTED_VALUE"""),9.90381E7)</f>
        <v>99038100</v>
      </c>
      <c r="G377" s="2">
        <f t="shared" si="1"/>
        <v>100</v>
      </c>
    </row>
    <row r="378" ht="15.75" customHeight="1">
      <c r="A378" s="1">
        <f>IFERROR(__xludf.DUMMYFUNCTION("""COMPUTED_VALUE"""),44399.625)</f>
        <v>44399.625</v>
      </c>
      <c r="B378" s="2">
        <f>IFERROR(__xludf.DUMMYFUNCTION("""COMPUTED_VALUE"""),2560.0)</f>
        <v>2560</v>
      </c>
      <c r="C378" s="2">
        <f>IFERROR(__xludf.DUMMYFUNCTION("""COMPUTED_VALUE"""),2600.0)</f>
        <v>2600</v>
      </c>
      <c r="D378" s="2">
        <f>IFERROR(__xludf.DUMMYFUNCTION("""COMPUTED_VALUE"""),2560.0)</f>
        <v>2560</v>
      </c>
      <c r="E378" s="2">
        <f>IFERROR(__xludf.DUMMYFUNCTION("""COMPUTED_VALUE"""),2570.0)</f>
        <v>2570</v>
      </c>
      <c r="F378" s="2">
        <f>IFERROR(__xludf.DUMMYFUNCTION("""COMPUTED_VALUE"""),5.94075E7)</f>
        <v>59407500</v>
      </c>
      <c r="G378" s="2">
        <f t="shared" si="1"/>
        <v>40</v>
      </c>
    </row>
    <row r="379" ht="15.75" customHeight="1">
      <c r="A379" s="1">
        <f>IFERROR(__xludf.DUMMYFUNCTION("""COMPUTED_VALUE"""),44400.625)</f>
        <v>44400.625</v>
      </c>
      <c r="B379" s="2">
        <f>IFERROR(__xludf.DUMMYFUNCTION("""COMPUTED_VALUE"""),2600.0)</f>
        <v>2600</v>
      </c>
      <c r="C379" s="2">
        <f>IFERROR(__xludf.DUMMYFUNCTION("""COMPUTED_VALUE"""),2670.0)</f>
        <v>2670</v>
      </c>
      <c r="D379" s="2">
        <f>IFERROR(__xludf.DUMMYFUNCTION("""COMPUTED_VALUE"""),2600.0)</f>
        <v>2600</v>
      </c>
      <c r="E379" s="2">
        <f>IFERROR(__xludf.DUMMYFUNCTION("""COMPUTED_VALUE"""),2620.0)</f>
        <v>2620</v>
      </c>
      <c r="F379" s="2">
        <f>IFERROR(__xludf.DUMMYFUNCTION("""COMPUTED_VALUE"""),1.304379E8)</f>
        <v>130437900</v>
      </c>
      <c r="G379" s="2">
        <f t="shared" si="1"/>
        <v>100</v>
      </c>
    </row>
    <row r="380" ht="15.75" customHeight="1">
      <c r="A380" s="1">
        <f>IFERROR(__xludf.DUMMYFUNCTION("""COMPUTED_VALUE"""),44403.625)</f>
        <v>44403.625</v>
      </c>
      <c r="B380" s="2">
        <f>IFERROR(__xludf.DUMMYFUNCTION("""COMPUTED_VALUE"""),2660.0)</f>
        <v>2660</v>
      </c>
      <c r="C380" s="2">
        <f>IFERROR(__xludf.DUMMYFUNCTION("""COMPUTED_VALUE"""),2730.0)</f>
        <v>2730</v>
      </c>
      <c r="D380" s="2">
        <f>IFERROR(__xludf.DUMMYFUNCTION("""COMPUTED_VALUE"""),2610.0)</f>
        <v>2610</v>
      </c>
      <c r="E380" s="2">
        <f>IFERROR(__xludf.DUMMYFUNCTION("""COMPUTED_VALUE"""),2630.0)</f>
        <v>2630</v>
      </c>
      <c r="F380" s="2">
        <f>IFERROR(__xludf.DUMMYFUNCTION("""COMPUTED_VALUE"""),2.232039E8)</f>
        <v>223203900</v>
      </c>
      <c r="G380" s="2">
        <f t="shared" si="1"/>
        <v>120</v>
      </c>
    </row>
    <row r="381" ht="15.75" customHeight="1">
      <c r="A381" s="1">
        <f>IFERROR(__xludf.DUMMYFUNCTION("""COMPUTED_VALUE"""),44404.625)</f>
        <v>44404.625</v>
      </c>
      <c r="B381" s="2">
        <f>IFERROR(__xludf.DUMMYFUNCTION("""COMPUTED_VALUE"""),2670.0)</f>
        <v>2670</v>
      </c>
      <c r="C381" s="2">
        <f>IFERROR(__xludf.DUMMYFUNCTION("""COMPUTED_VALUE"""),2680.0)</f>
        <v>2680</v>
      </c>
      <c r="D381" s="2">
        <f>IFERROR(__xludf.DUMMYFUNCTION("""COMPUTED_VALUE"""),2510.0)</f>
        <v>2510</v>
      </c>
      <c r="E381" s="2">
        <f>IFERROR(__xludf.DUMMYFUNCTION("""COMPUTED_VALUE"""),2530.0)</f>
        <v>2530</v>
      </c>
      <c r="F381" s="2">
        <f>IFERROR(__xludf.DUMMYFUNCTION("""COMPUTED_VALUE"""),1.269512E8)</f>
        <v>126951200</v>
      </c>
      <c r="G381" s="2">
        <f t="shared" si="1"/>
        <v>170</v>
      </c>
    </row>
    <row r="382" ht="15.75" customHeight="1">
      <c r="A382" s="1">
        <f>IFERROR(__xludf.DUMMYFUNCTION("""COMPUTED_VALUE"""),44405.625)</f>
        <v>44405.625</v>
      </c>
      <c r="B382" s="2">
        <f>IFERROR(__xludf.DUMMYFUNCTION("""COMPUTED_VALUE"""),2540.0)</f>
        <v>2540</v>
      </c>
      <c r="C382" s="2">
        <f>IFERROR(__xludf.DUMMYFUNCTION("""COMPUTED_VALUE"""),2590.0)</f>
        <v>2590</v>
      </c>
      <c r="D382" s="2">
        <f>IFERROR(__xludf.DUMMYFUNCTION("""COMPUTED_VALUE"""),2500.0)</f>
        <v>2500</v>
      </c>
      <c r="E382" s="2">
        <f>IFERROR(__xludf.DUMMYFUNCTION("""COMPUTED_VALUE"""),2520.0)</f>
        <v>2520</v>
      </c>
      <c r="F382" s="2">
        <f>IFERROR(__xludf.DUMMYFUNCTION("""COMPUTED_VALUE"""),6.40341E7)</f>
        <v>64034100</v>
      </c>
      <c r="G382" s="2">
        <f t="shared" si="1"/>
        <v>90</v>
      </c>
    </row>
    <row r="383" ht="15.75" customHeight="1">
      <c r="A383" s="1">
        <f>IFERROR(__xludf.DUMMYFUNCTION("""COMPUTED_VALUE"""),44406.625)</f>
        <v>44406.625</v>
      </c>
      <c r="B383" s="2">
        <f>IFERROR(__xludf.DUMMYFUNCTION("""COMPUTED_VALUE"""),2550.0)</f>
        <v>2550</v>
      </c>
      <c r="C383" s="2">
        <f>IFERROR(__xludf.DUMMYFUNCTION("""COMPUTED_VALUE"""),2600.0)</f>
        <v>2600</v>
      </c>
      <c r="D383" s="2">
        <f>IFERROR(__xludf.DUMMYFUNCTION("""COMPUTED_VALUE"""),2500.0)</f>
        <v>2500</v>
      </c>
      <c r="E383" s="2">
        <f>IFERROR(__xludf.DUMMYFUNCTION("""COMPUTED_VALUE"""),2590.0)</f>
        <v>2590</v>
      </c>
      <c r="F383" s="2">
        <f>IFERROR(__xludf.DUMMYFUNCTION("""COMPUTED_VALUE"""),9.07643E7)</f>
        <v>90764300</v>
      </c>
      <c r="G383" s="2">
        <f t="shared" si="1"/>
        <v>100</v>
      </c>
    </row>
    <row r="384" ht="15.75" customHeight="1">
      <c r="A384" s="1">
        <f>IFERROR(__xludf.DUMMYFUNCTION("""COMPUTED_VALUE"""),44407.625)</f>
        <v>44407.625</v>
      </c>
      <c r="B384" s="2">
        <f>IFERROR(__xludf.DUMMYFUNCTION("""COMPUTED_VALUE"""),2590.0)</f>
        <v>2590</v>
      </c>
      <c r="C384" s="2">
        <f>IFERROR(__xludf.DUMMYFUNCTION("""COMPUTED_VALUE"""),2590.0)</f>
        <v>2590</v>
      </c>
      <c r="D384" s="2">
        <f>IFERROR(__xludf.DUMMYFUNCTION("""COMPUTED_VALUE"""),2510.0)</f>
        <v>2510</v>
      </c>
      <c r="E384" s="2">
        <f>IFERROR(__xludf.DUMMYFUNCTION("""COMPUTED_VALUE"""),2520.0)</f>
        <v>2520</v>
      </c>
      <c r="F384" s="2">
        <f>IFERROR(__xludf.DUMMYFUNCTION("""COMPUTED_VALUE"""),9.06286E7)</f>
        <v>90628600</v>
      </c>
      <c r="G384" s="2">
        <f t="shared" si="1"/>
        <v>80</v>
      </c>
    </row>
    <row r="385" ht="15.75" customHeight="1">
      <c r="A385" s="1">
        <f>IFERROR(__xludf.DUMMYFUNCTION("""COMPUTED_VALUE"""),44410.625)</f>
        <v>44410.625</v>
      </c>
      <c r="B385" s="2">
        <f>IFERROR(__xludf.DUMMYFUNCTION("""COMPUTED_VALUE"""),2520.0)</f>
        <v>2520</v>
      </c>
      <c r="C385" s="2">
        <f>IFERROR(__xludf.DUMMYFUNCTION("""COMPUTED_VALUE"""),2520.0)</f>
        <v>2520</v>
      </c>
      <c r="D385" s="2">
        <f>IFERROR(__xludf.DUMMYFUNCTION("""COMPUTED_VALUE"""),2440.0)</f>
        <v>2440</v>
      </c>
      <c r="E385" s="2">
        <f>IFERROR(__xludf.DUMMYFUNCTION("""COMPUTED_VALUE"""),2510.0)</f>
        <v>2510</v>
      </c>
      <c r="F385" s="2">
        <f>IFERROR(__xludf.DUMMYFUNCTION("""COMPUTED_VALUE"""),7.918E7)</f>
        <v>79180000</v>
      </c>
      <c r="G385" s="2">
        <f t="shared" si="1"/>
        <v>80</v>
      </c>
    </row>
    <row r="386" ht="15.75" customHeight="1">
      <c r="A386" s="1">
        <f>IFERROR(__xludf.DUMMYFUNCTION("""COMPUTED_VALUE"""),44411.625)</f>
        <v>44411.625</v>
      </c>
      <c r="B386" s="2">
        <f>IFERROR(__xludf.DUMMYFUNCTION("""COMPUTED_VALUE"""),2490.0)</f>
        <v>2490</v>
      </c>
      <c r="C386" s="2">
        <f>IFERROR(__xludf.DUMMYFUNCTION("""COMPUTED_VALUE"""),2520.0)</f>
        <v>2520</v>
      </c>
      <c r="D386" s="2">
        <f>IFERROR(__xludf.DUMMYFUNCTION("""COMPUTED_VALUE"""),2440.0)</f>
        <v>2440</v>
      </c>
      <c r="E386" s="2">
        <f>IFERROR(__xludf.DUMMYFUNCTION("""COMPUTED_VALUE"""),2470.0)</f>
        <v>2470</v>
      </c>
      <c r="F386" s="2">
        <f>IFERROR(__xludf.DUMMYFUNCTION("""COMPUTED_VALUE"""),7.94409E7)</f>
        <v>79440900</v>
      </c>
      <c r="G386" s="2">
        <f t="shared" si="1"/>
        <v>80</v>
      </c>
    </row>
    <row r="387" ht="15.75" customHeight="1">
      <c r="A387" s="1">
        <f>IFERROR(__xludf.DUMMYFUNCTION("""COMPUTED_VALUE"""),44412.625)</f>
        <v>44412.625</v>
      </c>
      <c r="B387" s="2">
        <f>IFERROR(__xludf.DUMMYFUNCTION("""COMPUTED_VALUE"""),2460.0)</f>
        <v>2460</v>
      </c>
      <c r="C387" s="2">
        <f>IFERROR(__xludf.DUMMYFUNCTION("""COMPUTED_VALUE"""),2460.0)</f>
        <v>2460</v>
      </c>
      <c r="D387" s="2">
        <f>IFERROR(__xludf.DUMMYFUNCTION("""COMPUTED_VALUE"""),2410.0)</f>
        <v>2410</v>
      </c>
      <c r="E387" s="2">
        <f>IFERROR(__xludf.DUMMYFUNCTION("""COMPUTED_VALUE"""),2420.0)</f>
        <v>2420</v>
      </c>
      <c r="F387" s="2">
        <f>IFERROR(__xludf.DUMMYFUNCTION("""COMPUTED_VALUE"""),7.53317E7)</f>
        <v>75331700</v>
      </c>
      <c r="G387" s="2">
        <f t="shared" si="1"/>
        <v>60</v>
      </c>
    </row>
    <row r="388" ht="15.75" customHeight="1">
      <c r="A388" s="1">
        <f>IFERROR(__xludf.DUMMYFUNCTION("""COMPUTED_VALUE"""),44413.625)</f>
        <v>44413.625</v>
      </c>
      <c r="B388" s="2">
        <f>IFERROR(__xludf.DUMMYFUNCTION("""COMPUTED_VALUE"""),2420.0)</f>
        <v>2420</v>
      </c>
      <c r="C388" s="2">
        <f>IFERROR(__xludf.DUMMYFUNCTION("""COMPUTED_VALUE"""),2430.0)</f>
        <v>2430</v>
      </c>
      <c r="D388" s="2">
        <f>IFERROR(__xludf.DUMMYFUNCTION("""COMPUTED_VALUE"""),2340.0)</f>
        <v>2340</v>
      </c>
      <c r="E388" s="2">
        <f>IFERROR(__xludf.DUMMYFUNCTION("""COMPUTED_VALUE"""),2370.0)</f>
        <v>2370</v>
      </c>
      <c r="F388" s="2">
        <f>IFERROR(__xludf.DUMMYFUNCTION("""COMPUTED_VALUE"""),1.050033E8)</f>
        <v>105003300</v>
      </c>
      <c r="G388" s="2">
        <f t="shared" si="1"/>
        <v>90</v>
      </c>
    </row>
    <row r="389" ht="15.75" customHeight="1">
      <c r="A389" s="1">
        <f>IFERROR(__xludf.DUMMYFUNCTION("""COMPUTED_VALUE"""),44414.625)</f>
        <v>44414.625</v>
      </c>
      <c r="B389" s="2">
        <f>IFERROR(__xludf.DUMMYFUNCTION("""COMPUTED_VALUE"""),2380.0)</f>
        <v>2380</v>
      </c>
      <c r="C389" s="2">
        <f>IFERROR(__xludf.DUMMYFUNCTION("""COMPUTED_VALUE"""),2410.0)</f>
        <v>2410</v>
      </c>
      <c r="D389" s="2">
        <f>IFERROR(__xludf.DUMMYFUNCTION("""COMPUTED_VALUE"""),2320.0)</f>
        <v>2320</v>
      </c>
      <c r="E389" s="2">
        <f>IFERROR(__xludf.DUMMYFUNCTION("""COMPUTED_VALUE"""),2330.0)</f>
        <v>2330</v>
      </c>
      <c r="F389" s="2">
        <f>IFERROR(__xludf.DUMMYFUNCTION("""COMPUTED_VALUE"""),7.38138E7)</f>
        <v>73813800</v>
      </c>
      <c r="G389" s="2">
        <f t="shared" si="1"/>
        <v>90</v>
      </c>
    </row>
    <row r="390" ht="15.75" customHeight="1">
      <c r="A390" s="1">
        <f>IFERROR(__xludf.DUMMYFUNCTION("""COMPUTED_VALUE"""),44417.625)</f>
        <v>44417.625</v>
      </c>
      <c r="B390" s="2">
        <f>IFERROR(__xludf.DUMMYFUNCTION("""COMPUTED_VALUE"""),2300.0)</f>
        <v>2300</v>
      </c>
      <c r="C390" s="2">
        <f>IFERROR(__xludf.DUMMYFUNCTION("""COMPUTED_VALUE"""),2310.0)</f>
        <v>2310</v>
      </c>
      <c r="D390" s="2">
        <f>IFERROR(__xludf.DUMMYFUNCTION("""COMPUTED_VALUE"""),2250.0)</f>
        <v>2250</v>
      </c>
      <c r="E390" s="2">
        <f>IFERROR(__xludf.DUMMYFUNCTION("""COMPUTED_VALUE"""),2260.0)</f>
        <v>2260</v>
      </c>
      <c r="F390" s="2">
        <f>IFERROR(__xludf.DUMMYFUNCTION("""COMPUTED_VALUE"""),1.1897E8)</f>
        <v>118970000</v>
      </c>
      <c r="G390" s="2">
        <f t="shared" si="1"/>
        <v>80</v>
      </c>
    </row>
    <row r="391" ht="15.75" customHeight="1">
      <c r="A391" s="1">
        <f>IFERROR(__xludf.DUMMYFUNCTION("""COMPUTED_VALUE"""),44418.625)</f>
        <v>44418.625</v>
      </c>
      <c r="B391" s="2">
        <f>IFERROR(__xludf.DUMMYFUNCTION("""COMPUTED_VALUE"""),2270.0)</f>
        <v>2270</v>
      </c>
      <c r="C391" s="2">
        <f>IFERROR(__xludf.DUMMYFUNCTION("""COMPUTED_VALUE"""),2370.0)</f>
        <v>2370</v>
      </c>
      <c r="D391" s="2">
        <f>IFERROR(__xludf.DUMMYFUNCTION("""COMPUTED_VALUE"""),2240.0)</f>
        <v>2240</v>
      </c>
      <c r="E391" s="2">
        <f>IFERROR(__xludf.DUMMYFUNCTION("""COMPUTED_VALUE"""),2340.0)</f>
        <v>2340</v>
      </c>
      <c r="F391" s="2">
        <f>IFERROR(__xludf.DUMMYFUNCTION("""COMPUTED_VALUE"""),1.319802E8)</f>
        <v>131980200</v>
      </c>
      <c r="G391" s="2">
        <f t="shared" si="1"/>
        <v>130</v>
      </c>
    </row>
    <row r="392" ht="15.75" customHeight="1">
      <c r="A392" s="1">
        <f>IFERROR(__xludf.DUMMYFUNCTION("""COMPUTED_VALUE"""),44420.625)</f>
        <v>44420.625</v>
      </c>
      <c r="B392" s="2">
        <f>IFERROR(__xludf.DUMMYFUNCTION("""COMPUTED_VALUE"""),2400.0)</f>
        <v>2400</v>
      </c>
      <c r="C392" s="2">
        <f>IFERROR(__xludf.DUMMYFUNCTION("""COMPUTED_VALUE"""),2430.0)</f>
        <v>2430</v>
      </c>
      <c r="D392" s="2">
        <f>IFERROR(__xludf.DUMMYFUNCTION("""COMPUTED_VALUE"""),2380.0)</f>
        <v>2380</v>
      </c>
      <c r="E392" s="2">
        <f>IFERROR(__xludf.DUMMYFUNCTION("""COMPUTED_VALUE"""),2400.0)</f>
        <v>2400</v>
      </c>
      <c r="F392" s="2">
        <f>IFERROR(__xludf.DUMMYFUNCTION("""COMPUTED_VALUE"""),1.271089E8)</f>
        <v>127108900</v>
      </c>
      <c r="G392" s="2">
        <f t="shared" si="1"/>
        <v>90</v>
      </c>
    </row>
    <row r="393" ht="15.75" customHeight="1">
      <c r="A393" s="1">
        <f>IFERROR(__xludf.DUMMYFUNCTION("""COMPUTED_VALUE"""),44421.625)</f>
        <v>44421.625</v>
      </c>
      <c r="B393" s="2">
        <f>IFERROR(__xludf.DUMMYFUNCTION("""COMPUTED_VALUE"""),2410.0)</f>
        <v>2410</v>
      </c>
      <c r="C393" s="2">
        <f>IFERROR(__xludf.DUMMYFUNCTION("""COMPUTED_VALUE"""),2410.0)</f>
        <v>2410</v>
      </c>
      <c r="D393" s="2">
        <f>IFERROR(__xludf.DUMMYFUNCTION("""COMPUTED_VALUE"""),2350.0)</f>
        <v>2350</v>
      </c>
      <c r="E393" s="2">
        <f>IFERROR(__xludf.DUMMYFUNCTION("""COMPUTED_VALUE"""),2380.0)</f>
        <v>2380</v>
      </c>
      <c r="F393" s="2">
        <f>IFERROR(__xludf.DUMMYFUNCTION("""COMPUTED_VALUE"""),6.6587E7)</f>
        <v>66587000</v>
      </c>
      <c r="G393" s="2">
        <f t="shared" si="1"/>
        <v>60</v>
      </c>
    </row>
    <row r="394" ht="15.75" customHeight="1">
      <c r="A394" s="1">
        <f>IFERROR(__xludf.DUMMYFUNCTION("""COMPUTED_VALUE"""),44424.625)</f>
        <v>44424.625</v>
      </c>
      <c r="B394" s="2">
        <f>IFERROR(__xludf.DUMMYFUNCTION("""COMPUTED_VALUE"""),2370.0)</f>
        <v>2370</v>
      </c>
      <c r="C394" s="2">
        <f>IFERROR(__xludf.DUMMYFUNCTION("""COMPUTED_VALUE"""),2400.0)</f>
        <v>2400</v>
      </c>
      <c r="D394" s="2">
        <f>IFERROR(__xludf.DUMMYFUNCTION("""COMPUTED_VALUE"""),2350.0)</f>
        <v>2350</v>
      </c>
      <c r="E394" s="2">
        <f>IFERROR(__xludf.DUMMYFUNCTION("""COMPUTED_VALUE"""),2390.0)</f>
        <v>2390</v>
      </c>
      <c r="F394" s="2">
        <f>IFERROR(__xludf.DUMMYFUNCTION("""COMPUTED_VALUE"""),4.8998E7)</f>
        <v>48998000</v>
      </c>
      <c r="G394" s="2">
        <f t="shared" si="1"/>
        <v>50</v>
      </c>
    </row>
    <row r="395" ht="15.75" customHeight="1">
      <c r="A395" s="1">
        <f>IFERROR(__xludf.DUMMYFUNCTION("""COMPUTED_VALUE"""),44426.625)</f>
        <v>44426.625</v>
      </c>
      <c r="B395" s="2">
        <f>IFERROR(__xludf.DUMMYFUNCTION("""COMPUTED_VALUE"""),2390.0)</f>
        <v>2390</v>
      </c>
      <c r="C395" s="2">
        <f>IFERROR(__xludf.DUMMYFUNCTION("""COMPUTED_VALUE"""),2420.0)</f>
        <v>2420</v>
      </c>
      <c r="D395" s="2">
        <f>IFERROR(__xludf.DUMMYFUNCTION("""COMPUTED_VALUE"""),2360.0)</f>
        <v>2360</v>
      </c>
      <c r="E395" s="2">
        <f>IFERROR(__xludf.DUMMYFUNCTION("""COMPUTED_VALUE"""),2400.0)</f>
        <v>2400</v>
      </c>
      <c r="F395" s="2">
        <f>IFERROR(__xludf.DUMMYFUNCTION("""COMPUTED_VALUE"""),8.5335E7)</f>
        <v>85335000</v>
      </c>
      <c r="G395" s="2">
        <f t="shared" si="1"/>
        <v>60</v>
      </c>
    </row>
    <row r="396" ht="15.75" customHeight="1">
      <c r="A396" s="1">
        <f>IFERROR(__xludf.DUMMYFUNCTION("""COMPUTED_VALUE"""),44427.625)</f>
        <v>44427.625</v>
      </c>
      <c r="B396" s="2">
        <f>IFERROR(__xludf.DUMMYFUNCTION("""COMPUTED_VALUE"""),2380.0)</f>
        <v>2380</v>
      </c>
      <c r="C396" s="2">
        <f>IFERROR(__xludf.DUMMYFUNCTION("""COMPUTED_VALUE"""),2380.0)</f>
        <v>2380</v>
      </c>
      <c r="D396" s="2">
        <f>IFERROR(__xludf.DUMMYFUNCTION("""COMPUTED_VALUE"""),2270.0)</f>
        <v>2270</v>
      </c>
      <c r="E396" s="2">
        <f>IFERROR(__xludf.DUMMYFUNCTION("""COMPUTED_VALUE"""),2270.0)</f>
        <v>2270</v>
      </c>
      <c r="F396" s="2">
        <f>IFERROR(__xludf.DUMMYFUNCTION("""COMPUTED_VALUE"""),1.313046E8)</f>
        <v>131304600</v>
      </c>
      <c r="G396" s="2">
        <f t="shared" si="1"/>
        <v>130</v>
      </c>
    </row>
    <row r="397" ht="15.75" customHeight="1">
      <c r="A397" s="1">
        <f>IFERROR(__xludf.DUMMYFUNCTION("""COMPUTED_VALUE"""),44428.625)</f>
        <v>44428.625</v>
      </c>
      <c r="B397" s="2">
        <f>IFERROR(__xludf.DUMMYFUNCTION("""COMPUTED_VALUE"""),2240.0)</f>
        <v>2240</v>
      </c>
      <c r="C397" s="2">
        <f>IFERROR(__xludf.DUMMYFUNCTION("""COMPUTED_VALUE"""),2320.0)</f>
        <v>2320</v>
      </c>
      <c r="D397" s="2">
        <f>IFERROR(__xludf.DUMMYFUNCTION("""COMPUTED_VALUE"""),2240.0)</f>
        <v>2240</v>
      </c>
      <c r="E397" s="2">
        <f>IFERROR(__xludf.DUMMYFUNCTION("""COMPUTED_VALUE"""),2280.0)</f>
        <v>2280</v>
      </c>
      <c r="F397" s="2">
        <f>IFERROR(__xludf.DUMMYFUNCTION("""COMPUTED_VALUE"""),7.19694E7)</f>
        <v>71969400</v>
      </c>
      <c r="G397" s="2">
        <f t="shared" si="1"/>
        <v>80</v>
      </c>
    </row>
    <row r="398" ht="15.75" customHeight="1">
      <c r="A398" s="1">
        <f>IFERROR(__xludf.DUMMYFUNCTION("""COMPUTED_VALUE"""),44431.66666666667)</f>
        <v>44431.66667</v>
      </c>
      <c r="B398" s="2">
        <f>IFERROR(__xludf.DUMMYFUNCTION("""COMPUTED_VALUE"""),2310.0)</f>
        <v>2310</v>
      </c>
      <c r="C398" s="2">
        <f>IFERROR(__xludf.DUMMYFUNCTION("""COMPUTED_VALUE"""),2330.0)</f>
        <v>2330</v>
      </c>
      <c r="D398" s="2">
        <f>IFERROR(__xludf.DUMMYFUNCTION("""COMPUTED_VALUE"""),2280.0)</f>
        <v>2280</v>
      </c>
      <c r="E398" s="2">
        <f>IFERROR(__xludf.DUMMYFUNCTION("""COMPUTED_VALUE"""),2290.0)</f>
        <v>2290</v>
      </c>
      <c r="F398" s="2">
        <f>IFERROR(__xludf.DUMMYFUNCTION("""COMPUTED_VALUE"""),6.52618E7)</f>
        <v>65261800</v>
      </c>
      <c r="G398" s="2">
        <f t="shared" si="1"/>
        <v>50</v>
      </c>
    </row>
    <row r="399" ht="15.75" customHeight="1">
      <c r="A399" s="1">
        <f>IFERROR(__xludf.DUMMYFUNCTION("""COMPUTED_VALUE"""),44432.66666666667)</f>
        <v>44432.66667</v>
      </c>
      <c r="B399" s="2">
        <f>IFERROR(__xludf.DUMMYFUNCTION("""COMPUTED_VALUE"""),2330.0)</f>
        <v>2330</v>
      </c>
      <c r="C399" s="2">
        <f>IFERROR(__xludf.DUMMYFUNCTION("""COMPUTED_VALUE"""),2330.0)</f>
        <v>2330</v>
      </c>
      <c r="D399" s="2">
        <f>IFERROR(__xludf.DUMMYFUNCTION("""COMPUTED_VALUE"""),2270.0)</f>
        <v>2270</v>
      </c>
      <c r="E399" s="2">
        <f>IFERROR(__xludf.DUMMYFUNCTION("""COMPUTED_VALUE"""),2270.0)</f>
        <v>2270</v>
      </c>
      <c r="F399" s="2">
        <f>IFERROR(__xludf.DUMMYFUNCTION("""COMPUTED_VALUE"""),4.35542E7)</f>
        <v>43554200</v>
      </c>
      <c r="G399" s="2">
        <f t="shared" si="1"/>
        <v>60</v>
      </c>
    </row>
    <row r="400" ht="15.75" customHeight="1">
      <c r="A400" s="1">
        <f>IFERROR(__xludf.DUMMYFUNCTION("""COMPUTED_VALUE"""),44433.625)</f>
        <v>44433.625</v>
      </c>
      <c r="B400" s="2">
        <f>IFERROR(__xludf.DUMMYFUNCTION("""COMPUTED_VALUE"""),2290.0)</f>
        <v>2290</v>
      </c>
      <c r="C400" s="2">
        <f>IFERROR(__xludf.DUMMYFUNCTION("""COMPUTED_VALUE"""),2340.0)</f>
        <v>2340</v>
      </c>
      <c r="D400" s="2">
        <f>IFERROR(__xludf.DUMMYFUNCTION("""COMPUTED_VALUE"""),2280.0)</f>
        <v>2280</v>
      </c>
      <c r="E400" s="2">
        <f>IFERROR(__xludf.DUMMYFUNCTION("""COMPUTED_VALUE"""),2300.0)</f>
        <v>2300</v>
      </c>
      <c r="F400" s="2">
        <f>IFERROR(__xludf.DUMMYFUNCTION("""COMPUTED_VALUE"""),6.14736E7)</f>
        <v>61473600</v>
      </c>
      <c r="G400" s="2">
        <f t="shared" si="1"/>
        <v>70</v>
      </c>
    </row>
    <row r="401" ht="15.75" customHeight="1">
      <c r="A401" s="1">
        <f>IFERROR(__xludf.DUMMYFUNCTION("""COMPUTED_VALUE"""),44434.625)</f>
        <v>44434.625</v>
      </c>
      <c r="B401" s="2">
        <f>IFERROR(__xludf.DUMMYFUNCTION("""COMPUTED_VALUE"""),2300.0)</f>
        <v>2300</v>
      </c>
      <c r="C401" s="2">
        <f>IFERROR(__xludf.DUMMYFUNCTION("""COMPUTED_VALUE"""),2310.0)</f>
        <v>2310</v>
      </c>
      <c r="D401" s="2">
        <f>IFERROR(__xludf.DUMMYFUNCTION("""COMPUTED_VALUE"""),2270.0)</f>
        <v>2270</v>
      </c>
      <c r="E401" s="2">
        <f>IFERROR(__xludf.DUMMYFUNCTION("""COMPUTED_VALUE"""),2270.0)</f>
        <v>2270</v>
      </c>
      <c r="F401" s="2">
        <f>IFERROR(__xludf.DUMMYFUNCTION("""COMPUTED_VALUE"""),3.04468E7)</f>
        <v>30446800</v>
      </c>
      <c r="G401" s="2">
        <f t="shared" si="1"/>
        <v>40</v>
      </c>
    </row>
    <row r="402" ht="15.75" customHeight="1">
      <c r="A402" s="1">
        <f>IFERROR(__xludf.DUMMYFUNCTION("""COMPUTED_VALUE"""),44435.625)</f>
        <v>44435.625</v>
      </c>
      <c r="B402" s="2">
        <f>IFERROR(__xludf.DUMMYFUNCTION("""COMPUTED_VALUE"""),2270.0)</f>
        <v>2270</v>
      </c>
      <c r="C402" s="2">
        <f>IFERROR(__xludf.DUMMYFUNCTION("""COMPUTED_VALUE"""),2290.0)</f>
        <v>2290</v>
      </c>
      <c r="D402" s="2">
        <f>IFERROR(__xludf.DUMMYFUNCTION("""COMPUTED_VALUE"""),2250.0)</f>
        <v>2250</v>
      </c>
      <c r="E402" s="2">
        <f>IFERROR(__xludf.DUMMYFUNCTION("""COMPUTED_VALUE"""),2260.0)</f>
        <v>2260</v>
      </c>
      <c r="F402" s="2">
        <f>IFERROR(__xludf.DUMMYFUNCTION("""COMPUTED_VALUE"""),3.1806E7)</f>
        <v>31806000</v>
      </c>
      <c r="G402" s="2">
        <f t="shared" si="1"/>
        <v>40</v>
      </c>
    </row>
    <row r="403" ht="15.75" customHeight="1">
      <c r="A403" s="1">
        <f>IFERROR(__xludf.DUMMYFUNCTION("""COMPUTED_VALUE"""),44438.625)</f>
        <v>44438.625</v>
      </c>
      <c r="B403" s="2">
        <f>IFERROR(__xludf.DUMMYFUNCTION("""COMPUTED_VALUE"""),2280.0)</f>
        <v>2280</v>
      </c>
      <c r="C403" s="2">
        <f>IFERROR(__xludf.DUMMYFUNCTION("""COMPUTED_VALUE"""),2320.0)</f>
        <v>2320</v>
      </c>
      <c r="D403" s="2">
        <f>IFERROR(__xludf.DUMMYFUNCTION("""COMPUTED_VALUE"""),2280.0)</f>
        <v>2280</v>
      </c>
      <c r="E403" s="2">
        <f>IFERROR(__xludf.DUMMYFUNCTION("""COMPUTED_VALUE"""),2310.0)</f>
        <v>2310</v>
      </c>
      <c r="F403" s="2">
        <f>IFERROR(__xludf.DUMMYFUNCTION("""COMPUTED_VALUE"""),3.75429E7)</f>
        <v>37542900</v>
      </c>
      <c r="G403" s="2">
        <f t="shared" si="1"/>
        <v>60</v>
      </c>
    </row>
    <row r="404" ht="15.75" customHeight="1">
      <c r="A404" s="1">
        <f>IFERROR(__xludf.DUMMYFUNCTION("""COMPUTED_VALUE"""),44439.625)</f>
        <v>44439.625</v>
      </c>
      <c r="B404" s="2">
        <f>IFERROR(__xludf.DUMMYFUNCTION("""COMPUTED_VALUE"""),2350.0)</f>
        <v>2350</v>
      </c>
      <c r="C404" s="2">
        <f>IFERROR(__xludf.DUMMYFUNCTION("""COMPUTED_VALUE"""),2400.0)</f>
        <v>2400</v>
      </c>
      <c r="D404" s="2">
        <f>IFERROR(__xludf.DUMMYFUNCTION("""COMPUTED_VALUE"""),2320.0)</f>
        <v>2320</v>
      </c>
      <c r="E404" s="2">
        <f>IFERROR(__xludf.DUMMYFUNCTION("""COMPUTED_VALUE"""),2390.0)</f>
        <v>2390</v>
      </c>
      <c r="F404" s="2">
        <f>IFERROR(__xludf.DUMMYFUNCTION("""COMPUTED_VALUE"""),1.177296E8)</f>
        <v>117729600</v>
      </c>
      <c r="G404" s="2">
        <f t="shared" si="1"/>
        <v>90</v>
      </c>
    </row>
    <row r="405" ht="15.75" customHeight="1">
      <c r="A405" s="1">
        <f>IFERROR(__xludf.DUMMYFUNCTION("""COMPUTED_VALUE"""),44440.625)</f>
        <v>44440.625</v>
      </c>
      <c r="B405" s="2">
        <f>IFERROR(__xludf.DUMMYFUNCTION("""COMPUTED_VALUE"""),2390.0)</f>
        <v>2390</v>
      </c>
      <c r="C405" s="2">
        <f>IFERROR(__xludf.DUMMYFUNCTION("""COMPUTED_VALUE"""),2430.0)</f>
        <v>2430</v>
      </c>
      <c r="D405" s="2">
        <f>IFERROR(__xludf.DUMMYFUNCTION("""COMPUTED_VALUE"""),2370.0)</f>
        <v>2370</v>
      </c>
      <c r="E405" s="2">
        <f>IFERROR(__xludf.DUMMYFUNCTION("""COMPUTED_VALUE"""),2390.0)</f>
        <v>2390</v>
      </c>
      <c r="F405" s="2">
        <f>IFERROR(__xludf.DUMMYFUNCTION("""COMPUTED_VALUE"""),8.10673E7)</f>
        <v>81067300</v>
      </c>
      <c r="G405" s="2">
        <f t="shared" si="1"/>
        <v>60</v>
      </c>
    </row>
    <row r="406" ht="15.75" customHeight="1">
      <c r="A406" s="1">
        <f>IFERROR(__xludf.DUMMYFUNCTION("""COMPUTED_VALUE"""),44441.625)</f>
        <v>44441.625</v>
      </c>
      <c r="B406" s="2">
        <f>IFERROR(__xludf.DUMMYFUNCTION("""COMPUTED_VALUE"""),2390.0)</f>
        <v>2390</v>
      </c>
      <c r="C406" s="2">
        <f>IFERROR(__xludf.DUMMYFUNCTION("""COMPUTED_VALUE"""),2390.0)</f>
        <v>2390</v>
      </c>
      <c r="D406" s="2">
        <f>IFERROR(__xludf.DUMMYFUNCTION("""COMPUTED_VALUE"""),2320.0)</f>
        <v>2320</v>
      </c>
      <c r="E406" s="2">
        <f>IFERROR(__xludf.DUMMYFUNCTION("""COMPUTED_VALUE"""),2320.0)</f>
        <v>2320</v>
      </c>
      <c r="F406" s="2">
        <f>IFERROR(__xludf.DUMMYFUNCTION("""COMPUTED_VALUE"""),4.44191E7)</f>
        <v>44419100</v>
      </c>
      <c r="G406" s="2">
        <f t="shared" si="1"/>
        <v>70</v>
      </c>
    </row>
    <row r="407" ht="15.75" customHeight="1">
      <c r="A407" s="1">
        <f>IFERROR(__xludf.DUMMYFUNCTION("""COMPUTED_VALUE"""),44442.625)</f>
        <v>44442.625</v>
      </c>
      <c r="B407" s="2">
        <f>IFERROR(__xludf.DUMMYFUNCTION("""COMPUTED_VALUE"""),2320.0)</f>
        <v>2320</v>
      </c>
      <c r="C407" s="2">
        <f>IFERROR(__xludf.DUMMYFUNCTION("""COMPUTED_VALUE"""),2350.0)</f>
        <v>2350</v>
      </c>
      <c r="D407" s="2">
        <f>IFERROR(__xludf.DUMMYFUNCTION("""COMPUTED_VALUE"""),2300.0)</f>
        <v>2300</v>
      </c>
      <c r="E407" s="2">
        <f>IFERROR(__xludf.DUMMYFUNCTION("""COMPUTED_VALUE"""),2350.0)</f>
        <v>2350</v>
      </c>
      <c r="F407" s="2">
        <f>IFERROR(__xludf.DUMMYFUNCTION("""COMPUTED_VALUE"""),2.91765E7)</f>
        <v>29176500</v>
      </c>
      <c r="G407" s="2">
        <f t="shared" si="1"/>
        <v>50</v>
      </c>
    </row>
    <row r="408" ht="15.75" customHeight="1">
      <c r="A408" s="1">
        <f>IFERROR(__xludf.DUMMYFUNCTION("""COMPUTED_VALUE"""),44445.625)</f>
        <v>44445.625</v>
      </c>
      <c r="B408" s="2">
        <f>IFERROR(__xludf.DUMMYFUNCTION("""COMPUTED_VALUE"""),2380.0)</f>
        <v>2380</v>
      </c>
      <c r="C408" s="2">
        <f>IFERROR(__xludf.DUMMYFUNCTION("""COMPUTED_VALUE"""),2400.0)</f>
        <v>2400</v>
      </c>
      <c r="D408" s="2">
        <f>IFERROR(__xludf.DUMMYFUNCTION("""COMPUTED_VALUE"""),2340.0)</f>
        <v>2340</v>
      </c>
      <c r="E408" s="2">
        <f>IFERROR(__xludf.DUMMYFUNCTION("""COMPUTED_VALUE"""),2380.0)</f>
        <v>2380</v>
      </c>
      <c r="F408" s="2">
        <f>IFERROR(__xludf.DUMMYFUNCTION("""COMPUTED_VALUE"""),6.50551E7)</f>
        <v>65055100</v>
      </c>
      <c r="G408" s="2">
        <f t="shared" si="1"/>
        <v>60</v>
      </c>
    </row>
    <row r="409" ht="15.75" customHeight="1">
      <c r="A409" s="1">
        <f>IFERROR(__xludf.DUMMYFUNCTION("""COMPUTED_VALUE"""),44446.625)</f>
        <v>44446.625</v>
      </c>
      <c r="B409" s="2">
        <f>IFERROR(__xludf.DUMMYFUNCTION("""COMPUTED_VALUE"""),2400.0)</f>
        <v>2400</v>
      </c>
      <c r="C409" s="2">
        <f>IFERROR(__xludf.DUMMYFUNCTION("""COMPUTED_VALUE"""),2410.0)</f>
        <v>2410</v>
      </c>
      <c r="D409" s="2">
        <f>IFERROR(__xludf.DUMMYFUNCTION("""COMPUTED_VALUE"""),2350.0)</f>
        <v>2350</v>
      </c>
      <c r="E409" s="2">
        <f>IFERROR(__xludf.DUMMYFUNCTION("""COMPUTED_VALUE"""),2350.0)</f>
        <v>2350</v>
      </c>
      <c r="F409" s="2">
        <f>IFERROR(__xludf.DUMMYFUNCTION("""COMPUTED_VALUE"""),3.34061E7)</f>
        <v>33406100</v>
      </c>
      <c r="G409" s="2">
        <f t="shared" si="1"/>
        <v>60</v>
      </c>
    </row>
    <row r="410" ht="15.75" customHeight="1">
      <c r="A410" s="1">
        <f>IFERROR(__xludf.DUMMYFUNCTION("""COMPUTED_VALUE"""),44447.625)</f>
        <v>44447.625</v>
      </c>
      <c r="B410" s="2">
        <f>IFERROR(__xludf.DUMMYFUNCTION("""COMPUTED_VALUE"""),2350.0)</f>
        <v>2350</v>
      </c>
      <c r="C410" s="2">
        <f>IFERROR(__xludf.DUMMYFUNCTION("""COMPUTED_VALUE"""),2380.0)</f>
        <v>2380</v>
      </c>
      <c r="D410" s="2">
        <f>IFERROR(__xludf.DUMMYFUNCTION("""COMPUTED_VALUE"""),2300.0)</f>
        <v>2300</v>
      </c>
      <c r="E410" s="2">
        <f>IFERROR(__xludf.DUMMYFUNCTION("""COMPUTED_VALUE"""),2320.0)</f>
        <v>2320</v>
      </c>
      <c r="F410" s="2">
        <f>IFERROR(__xludf.DUMMYFUNCTION("""COMPUTED_VALUE"""),5.82299E7)</f>
        <v>58229900</v>
      </c>
      <c r="G410" s="2">
        <f t="shared" si="1"/>
        <v>80</v>
      </c>
    </row>
    <row r="411" ht="15.75" customHeight="1">
      <c r="A411" s="1">
        <f>IFERROR(__xludf.DUMMYFUNCTION("""COMPUTED_VALUE"""),44448.625)</f>
        <v>44448.625</v>
      </c>
      <c r="B411" s="2">
        <f>IFERROR(__xludf.DUMMYFUNCTION("""COMPUTED_VALUE"""),2330.0)</f>
        <v>2330</v>
      </c>
      <c r="C411" s="2">
        <f>IFERROR(__xludf.DUMMYFUNCTION("""COMPUTED_VALUE"""),2450.0)</f>
        <v>2450</v>
      </c>
      <c r="D411" s="2">
        <f>IFERROR(__xludf.DUMMYFUNCTION("""COMPUTED_VALUE"""),2290.0)</f>
        <v>2290</v>
      </c>
      <c r="E411" s="2">
        <f>IFERROR(__xludf.DUMMYFUNCTION("""COMPUTED_VALUE"""),2440.0)</f>
        <v>2440</v>
      </c>
      <c r="F411" s="2">
        <f>IFERROR(__xludf.DUMMYFUNCTION("""COMPUTED_VALUE"""),1.508157E8)</f>
        <v>150815700</v>
      </c>
      <c r="G411" s="2">
        <f t="shared" si="1"/>
        <v>160</v>
      </c>
    </row>
    <row r="412" ht="15.75" customHeight="1">
      <c r="A412" s="1">
        <f>IFERROR(__xludf.DUMMYFUNCTION("""COMPUTED_VALUE"""),44449.625)</f>
        <v>44449.625</v>
      </c>
      <c r="B412" s="2">
        <f>IFERROR(__xludf.DUMMYFUNCTION("""COMPUTED_VALUE"""),2470.0)</f>
        <v>2470</v>
      </c>
      <c r="C412" s="2">
        <f>IFERROR(__xludf.DUMMYFUNCTION("""COMPUTED_VALUE"""),2630.0)</f>
        <v>2630</v>
      </c>
      <c r="D412" s="2">
        <f>IFERROR(__xludf.DUMMYFUNCTION("""COMPUTED_VALUE"""),2470.0)</f>
        <v>2470</v>
      </c>
      <c r="E412" s="2">
        <f>IFERROR(__xludf.DUMMYFUNCTION("""COMPUTED_VALUE"""),2590.0)</f>
        <v>2590</v>
      </c>
      <c r="F412" s="2">
        <f>IFERROR(__xludf.DUMMYFUNCTION("""COMPUTED_VALUE"""),4.232001E8)</f>
        <v>423200100</v>
      </c>
      <c r="G412" s="2">
        <f t="shared" si="1"/>
        <v>190</v>
      </c>
    </row>
    <row r="413" ht="15.75" customHeight="1">
      <c r="A413" s="1">
        <f>IFERROR(__xludf.DUMMYFUNCTION("""COMPUTED_VALUE"""),44452.625)</f>
        <v>44452.625</v>
      </c>
      <c r="B413" s="2">
        <f>IFERROR(__xludf.DUMMYFUNCTION("""COMPUTED_VALUE"""),2570.0)</f>
        <v>2570</v>
      </c>
      <c r="C413" s="2">
        <f>IFERROR(__xludf.DUMMYFUNCTION("""COMPUTED_VALUE"""),2590.0)</f>
        <v>2590</v>
      </c>
      <c r="D413" s="2">
        <f>IFERROR(__xludf.DUMMYFUNCTION("""COMPUTED_VALUE"""),2480.0)</f>
        <v>2480</v>
      </c>
      <c r="E413" s="2">
        <f>IFERROR(__xludf.DUMMYFUNCTION("""COMPUTED_VALUE"""),2520.0)</f>
        <v>2520</v>
      </c>
      <c r="F413" s="2">
        <f>IFERROR(__xludf.DUMMYFUNCTION("""COMPUTED_VALUE"""),1.313187E8)</f>
        <v>131318700</v>
      </c>
      <c r="G413" s="2">
        <f t="shared" si="1"/>
        <v>110</v>
      </c>
    </row>
    <row r="414" ht="15.75" customHeight="1">
      <c r="A414" s="1">
        <f>IFERROR(__xludf.DUMMYFUNCTION("""COMPUTED_VALUE"""),44453.625)</f>
        <v>44453.625</v>
      </c>
      <c r="B414" s="2">
        <f>IFERROR(__xludf.DUMMYFUNCTION("""COMPUTED_VALUE"""),2500.0)</f>
        <v>2500</v>
      </c>
      <c r="C414" s="2">
        <f>IFERROR(__xludf.DUMMYFUNCTION("""COMPUTED_VALUE"""),2500.0)</f>
        <v>2500</v>
      </c>
      <c r="D414" s="2">
        <f>IFERROR(__xludf.DUMMYFUNCTION("""COMPUTED_VALUE"""),2440.0)</f>
        <v>2440</v>
      </c>
      <c r="E414" s="2">
        <f>IFERROR(__xludf.DUMMYFUNCTION("""COMPUTED_VALUE"""),2470.0)</f>
        <v>2470</v>
      </c>
      <c r="F414" s="2">
        <f>IFERROR(__xludf.DUMMYFUNCTION("""COMPUTED_VALUE"""),1.392897E8)</f>
        <v>139289700</v>
      </c>
      <c r="G414" s="2">
        <f t="shared" si="1"/>
        <v>80</v>
      </c>
    </row>
    <row r="415" ht="15.75" customHeight="1">
      <c r="A415" s="1">
        <f>IFERROR(__xludf.DUMMYFUNCTION("""COMPUTED_VALUE"""),44454.625)</f>
        <v>44454.625</v>
      </c>
      <c r="B415" s="2">
        <f>IFERROR(__xludf.DUMMYFUNCTION("""COMPUTED_VALUE"""),2470.0)</f>
        <v>2470</v>
      </c>
      <c r="C415" s="2">
        <f>IFERROR(__xludf.DUMMYFUNCTION("""COMPUTED_VALUE"""),2530.0)</f>
        <v>2530</v>
      </c>
      <c r="D415" s="2">
        <f>IFERROR(__xludf.DUMMYFUNCTION("""COMPUTED_VALUE"""),2460.0)</f>
        <v>2460</v>
      </c>
      <c r="E415" s="2">
        <f>IFERROR(__xludf.DUMMYFUNCTION("""COMPUTED_VALUE"""),2490.0)</f>
        <v>2490</v>
      </c>
      <c r="F415" s="2">
        <f>IFERROR(__xludf.DUMMYFUNCTION("""COMPUTED_VALUE"""),1.105259E8)</f>
        <v>110525900</v>
      </c>
      <c r="G415" s="2">
        <f t="shared" si="1"/>
        <v>70</v>
      </c>
    </row>
    <row r="416" ht="15.75" customHeight="1">
      <c r="A416" s="1">
        <f>IFERROR(__xludf.DUMMYFUNCTION("""COMPUTED_VALUE"""),44455.625)</f>
        <v>44455.625</v>
      </c>
      <c r="B416" s="2">
        <f>IFERROR(__xludf.DUMMYFUNCTION("""COMPUTED_VALUE"""),2520.0)</f>
        <v>2520</v>
      </c>
      <c r="C416" s="2">
        <f>IFERROR(__xludf.DUMMYFUNCTION("""COMPUTED_VALUE"""),2550.0)</f>
        <v>2550</v>
      </c>
      <c r="D416" s="2">
        <f>IFERROR(__xludf.DUMMYFUNCTION("""COMPUTED_VALUE"""),2390.0)</f>
        <v>2390</v>
      </c>
      <c r="E416" s="2">
        <f>IFERROR(__xludf.DUMMYFUNCTION("""COMPUTED_VALUE"""),2410.0)</f>
        <v>2410</v>
      </c>
      <c r="F416" s="2">
        <f>IFERROR(__xludf.DUMMYFUNCTION("""COMPUTED_VALUE"""),1.63306E8)</f>
        <v>163306000</v>
      </c>
      <c r="G416" s="2">
        <f t="shared" si="1"/>
        <v>160</v>
      </c>
    </row>
    <row r="417" ht="15.75" customHeight="1">
      <c r="A417" s="1">
        <f>IFERROR(__xludf.DUMMYFUNCTION("""COMPUTED_VALUE"""),44456.625)</f>
        <v>44456.625</v>
      </c>
      <c r="B417" s="2">
        <f>IFERROR(__xludf.DUMMYFUNCTION("""COMPUTED_VALUE"""),2370.0)</f>
        <v>2370</v>
      </c>
      <c r="C417" s="2">
        <f>IFERROR(__xludf.DUMMYFUNCTION("""COMPUTED_VALUE"""),2430.0)</f>
        <v>2430</v>
      </c>
      <c r="D417" s="2">
        <f>IFERROR(__xludf.DUMMYFUNCTION("""COMPUTED_VALUE"""),2370.0)</f>
        <v>2370</v>
      </c>
      <c r="E417" s="2">
        <f>IFERROR(__xludf.DUMMYFUNCTION("""COMPUTED_VALUE"""),2400.0)</f>
        <v>2400</v>
      </c>
      <c r="F417" s="2">
        <f>IFERROR(__xludf.DUMMYFUNCTION("""COMPUTED_VALUE"""),6.15356E7)</f>
        <v>61535600</v>
      </c>
      <c r="G417" s="2">
        <f t="shared" si="1"/>
        <v>60</v>
      </c>
    </row>
    <row r="418" ht="15.75" customHeight="1">
      <c r="A418" s="1">
        <f>IFERROR(__xludf.DUMMYFUNCTION("""COMPUTED_VALUE"""),44459.625)</f>
        <v>44459.625</v>
      </c>
      <c r="B418" s="2">
        <f>IFERROR(__xludf.DUMMYFUNCTION("""COMPUTED_VALUE"""),2380.0)</f>
        <v>2380</v>
      </c>
      <c r="C418" s="2">
        <f>IFERROR(__xludf.DUMMYFUNCTION("""COMPUTED_VALUE"""),2390.0)</f>
        <v>2390</v>
      </c>
      <c r="D418" s="2">
        <f>IFERROR(__xludf.DUMMYFUNCTION("""COMPUTED_VALUE"""),2330.0)</f>
        <v>2330</v>
      </c>
      <c r="E418" s="2">
        <f>IFERROR(__xludf.DUMMYFUNCTION("""COMPUTED_VALUE"""),2350.0)</f>
        <v>2350</v>
      </c>
      <c r="F418" s="2">
        <f>IFERROR(__xludf.DUMMYFUNCTION("""COMPUTED_VALUE"""),8.24875E7)</f>
        <v>82487500</v>
      </c>
      <c r="G418" s="2">
        <f t="shared" si="1"/>
        <v>70</v>
      </c>
    </row>
    <row r="419" ht="15.75" customHeight="1">
      <c r="A419" s="1">
        <f>IFERROR(__xludf.DUMMYFUNCTION("""COMPUTED_VALUE"""),44460.625)</f>
        <v>44460.625</v>
      </c>
      <c r="B419" s="2">
        <f>IFERROR(__xludf.DUMMYFUNCTION("""COMPUTED_VALUE"""),2350.0)</f>
        <v>2350</v>
      </c>
      <c r="C419" s="2">
        <f>IFERROR(__xludf.DUMMYFUNCTION("""COMPUTED_VALUE"""),2370.0)</f>
        <v>2370</v>
      </c>
      <c r="D419" s="2">
        <f>IFERROR(__xludf.DUMMYFUNCTION("""COMPUTED_VALUE"""),2300.0)</f>
        <v>2300</v>
      </c>
      <c r="E419" s="2">
        <f>IFERROR(__xludf.DUMMYFUNCTION("""COMPUTED_VALUE"""),2360.0)</f>
        <v>2360</v>
      </c>
      <c r="F419" s="2">
        <f>IFERROR(__xludf.DUMMYFUNCTION("""COMPUTED_VALUE"""),6.6014E7)</f>
        <v>66014000</v>
      </c>
      <c r="G419" s="2">
        <f t="shared" si="1"/>
        <v>70</v>
      </c>
    </row>
    <row r="420" ht="15.75" customHeight="1">
      <c r="A420" s="1">
        <f>IFERROR(__xludf.DUMMYFUNCTION("""COMPUTED_VALUE"""),44461.625)</f>
        <v>44461.625</v>
      </c>
      <c r="B420" s="2">
        <f>IFERROR(__xludf.DUMMYFUNCTION("""COMPUTED_VALUE"""),2370.0)</f>
        <v>2370</v>
      </c>
      <c r="C420" s="2">
        <f>IFERROR(__xludf.DUMMYFUNCTION("""COMPUTED_VALUE"""),2410.0)</f>
        <v>2410</v>
      </c>
      <c r="D420" s="2">
        <f>IFERROR(__xludf.DUMMYFUNCTION("""COMPUTED_VALUE"""),2330.0)</f>
        <v>2330</v>
      </c>
      <c r="E420" s="2">
        <f>IFERROR(__xludf.DUMMYFUNCTION("""COMPUTED_VALUE"""),2340.0)</f>
        <v>2340</v>
      </c>
      <c r="F420" s="2">
        <f>IFERROR(__xludf.DUMMYFUNCTION("""COMPUTED_VALUE"""),8.82097E7)</f>
        <v>88209700</v>
      </c>
      <c r="G420" s="2">
        <f t="shared" si="1"/>
        <v>80</v>
      </c>
    </row>
    <row r="421" ht="15.75" customHeight="1">
      <c r="A421" s="1">
        <f>IFERROR(__xludf.DUMMYFUNCTION("""COMPUTED_VALUE"""),44462.625)</f>
        <v>44462.625</v>
      </c>
      <c r="B421" s="2">
        <f>IFERROR(__xludf.DUMMYFUNCTION("""COMPUTED_VALUE"""),2370.0)</f>
        <v>2370</v>
      </c>
      <c r="C421" s="2">
        <f>IFERROR(__xludf.DUMMYFUNCTION("""COMPUTED_VALUE"""),2370.0)</f>
        <v>2370</v>
      </c>
      <c r="D421" s="2">
        <f>IFERROR(__xludf.DUMMYFUNCTION("""COMPUTED_VALUE"""),2290.0)</f>
        <v>2290</v>
      </c>
      <c r="E421" s="2">
        <f>IFERROR(__xludf.DUMMYFUNCTION("""COMPUTED_VALUE"""),2290.0)</f>
        <v>2290</v>
      </c>
      <c r="F421" s="2">
        <f>IFERROR(__xludf.DUMMYFUNCTION("""COMPUTED_VALUE"""),1.531374E8)</f>
        <v>153137400</v>
      </c>
      <c r="G421" s="2">
        <f t="shared" si="1"/>
        <v>80</v>
      </c>
    </row>
    <row r="422" ht="15.75" customHeight="1">
      <c r="A422" s="1">
        <f>IFERROR(__xludf.DUMMYFUNCTION("""COMPUTED_VALUE"""),44463.625)</f>
        <v>44463.625</v>
      </c>
      <c r="B422" s="2">
        <f>IFERROR(__xludf.DUMMYFUNCTION("""COMPUTED_VALUE"""),2290.0)</f>
        <v>2290</v>
      </c>
      <c r="C422" s="2">
        <f>IFERROR(__xludf.DUMMYFUNCTION("""COMPUTED_VALUE"""),2340.0)</f>
        <v>2340</v>
      </c>
      <c r="D422" s="2">
        <f>IFERROR(__xludf.DUMMYFUNCTION("""COMPUTED_VALUE"""),2280.0)</f>
        <v>2280</v>
      </c>
      <c r="E422" s="2">
        <f>IFERROR(__xludf.DUMMYFUNCTION("""COMPUTED_VALUE"""),2290.0)</f>
        <v>2290</v>
      </c>
      <c r="F422" s="2">
        <f>IFERROR(__xludf.DUMMYFUNCTION("""COMPUTED_VALUE"""),1.590854E8)</f>
        <v>159085400</v>
      </c>
      <c r="G422" s="2">
        <f t="shared" si="1"/>
        <v>60</v>
      </c>
    </row>
    <row r="423" ht="15.75" customHeight="1">
      <c r="A423" s="1">
        <f>IFERROR(__xludf.DUMMYFUNCTION("""COMPUTED_VALUE"""),44466.625)</f>
        <v>44466.625</v>
      </c>
      <c r="B423" s="2">
        <f>IFERROR(__xludf.DUMMYFUNCTION("""COMPUTED_VALUE"""),2310.0)</f>
        <v>2310</v>
      </c>
      <c r="C423" s="2">
        <f>IFERROR(__xludf.DUMMYFUNCTION("""COMPUTED_VALUE"""),2330.0)</f>
        <v>2330</v>
      </c>
      <c r="D423" s="2">
        <f>IFERROR(__xludf.DUMMYFUNCTION("""COMPUTED_VALUE"""),2280.0)</f>
        <v>2280</v>
      </c>
      <c r="E423" s="2">
        <f>IFERROR(__xludf.DUMMYFUNCTION("""COMPUTED_VALUE"""),2290.0)</f>
        <v>2290</v>
      </c>
      <c r="F423" s="2">
        <f>IFERROR(__xludf.DUMMYFUNCTION("""COMPUTED_VALUE"""),5.27143E7)</f>
        <v>52714300</v>
      </c>
      <c r="G423" s="2">
        <f t="shared" si="1"/>
        <v>50</v>
      </c>
    </row>
    <row r="424" ht="15.75" customHeight="1">
      <c r="A424" s="1">
        <f>IFERROR(__xludf.DUMMYFUNCTION("""COMPUTED_VALUE"""),44467.625)</f>
        <v>44467.625</v>
      </c>
      <c r="B424" s="2">
        <f>IFERROR(__xludf.DUMMYFUNCTION("""COMPUTED_VALUE"""),2310.0)</f>
        <v>2310</v>
      </c>
      <c r="C424" s="2">
        <f>IFERROR(__xludf.DUMMYFUNCTION("""COMPUTED_VALUE"""),2330.0)</f>
        <v>2330</v>
      </c>
      <c r="D424" s="2">
        <f>IFERROR(__xludf.DUMMYFUNCTION("""COMPUTED_VALUE"""),2260.0)</f>
        <v>2260</v>
      </c>
      <c r="E424" s="2">
        <f>IFERROR(__xludf.DUMMYFUNCTION("""COMPUTED_VALUE"""),2270.0)</f>
        <v>2270</v>
      </c>
      <c r="F424" s="2">
        <f>IFERROR(__xludf.DUMMYFUNCTION("""COMPUTED_VALUE"""),9.97679E7)</f>
        <v>99767900</v>
      </c>
      <c r="G424" s="2">
        <f t="shared" si="1"/>
        <v>70</v>
      </c>
    </row>
    <row r="425" ht="15.75" customHeight="1">
      <c r="A425" s="1">
        <f>IFERROR(__xludf.DUMMYFUNCTION("""COMPUTED_VALUE"""),44468.625)</f>
        <v>44468.625</v>
      </c>
      <c r="B425" s="2">
        <f>IFERROR(__xludf.DUMMYFUNCTION("""COMPUTED_VALUE"""),2260.0)</f>
        <v>2260</v>
      </c>
      <c r="C425" s="2">
        <f>IFERROR(__xludf.DUMMYFUNCTION("""COMPUTED_VALUE"""),2320.0)</f>
        <v>2320</v>
      </c>
      <c r="D425" s="2">
        <f>IFERROR(__xludf.DUMMYFUNCTION("""COMPUTED_VALUE"""),2250.0)</f>
        <v>2250</v>
      </c>
      <c r="E425" s="2">
        <f>IFERROR(__xludf.DUMMYFUNCTION("""COMPUTED_VALUE"""),2310.0)</f>
        <v>2310</v>
      </c>
      <c r="F425" s="2">
        <f>IFERROR(__xludf.DUMMYFUNCTION("""COMPUTED_VALUE"""),9.70683E7)</f>
        <v>97068300</v>
      </c>
      <c r="G425" s="2">
        <f t="shared" si="1"/>
        <v>70</v>
      </c>
    </row>
    <row r="426" ht="15.75" customHeight="1">
      <c r="A426" s="1">
        <f>IFERROR(__xludf.DUMMYFUNCTION("""COMPUTED_VALUE"""),44469.625)</f>
        <v>44469.625</v>
      </c>
      <c r="B426" s="2">
        <f>IFERROR(__xludf.DUMMYFUNCTION("""COMPUTED_VALUE"""),2310.0)</f>
        <v>2310</v>
      </c>
      <c r="C426" s="2">
        <f>IFERROR(__xludf.DUMMYFUNCTION("""COMPUTED_VALUE"""),2340.0)</f>
        <v>2340</v>
      </c>
      <c r="D426" s="2">
        <f>IFERROR(__xludf.DUMMYFUNCTION("""COMPUTED_VALUE"""),2270.0)</f>
        <v>2270</v>
      </c>
      <c r="E426" s="2">
        <f>IFERROR(__xludf.DUMMYFUNCTION("""COMPUTED_VALUE"""),2290.0)</f>
        <v>2290</v>
      </c>
      <c r="F426" s="2">
        <f>IFERROR(__xludf.DUMMYFUNCTION("""COMPUTED_VALUE"""),1.254151E8)</f>
        <v>125415100</v>
      </c>
      <c r="G426" s="2">
        <f t="shared" si="1"/>
        <v>70</v>
      </c>
    </row>
    <row r="427" ht="15.75" customHeight="1">
      <c r="A427" s="1">
        <f>IFERROR(__xludf.DUMMYFUNCTION("""COMPUTED_VALUE"""),44470.625)</f>
        <v>44470.625</v>
      </c>
      <c r="B427" s="2">
        <f>IFERROR(__xludf.DUMMYFUNCTION("""COMPUTED_VALUE"""),2280.0)</f>
        <v>2280</v>
      </c>
      <c r="C427" s="2">
        <f>IFERROR(__xludf.DUMMYFUNCTION("""COMPUTED_VALUE"""),2280.0)</f>
        <v>2280</v>
      </c>
      <c r="D427" s="2">
        <f>IFERROR(__xludf.DUMMYFUNCTION("""COMPUTED_VALUE"""),2220.0)</f>
        <v>2220</v>
      </c>
      <c r="E427" s="2">
        <f>IFERROR(__xludf.DUMMYFUNCTION("""COMPUTED_VALUE"""),2220.0)</f>
        <v>2220</v>
      </c>
      <c r="F427" s="2">
        <f>IFERROR(__xludf.DUMMYFUNCTION("""COMPUTED_VALUE"""),1.999196E8)</f>
        <v>199919600</v>
      </c>
      <c r="G427" s="2">
        <f t="shared" si="1"/>
        <v>70</v>
      </c>
    </row>
    <row r="428" ht="15.75" customHeight="1">
      <c r="A428" s="1">
        <f>IFERROR(__xludf.DUMMYFUNCTION("""COMPUTED_VALUE"""),44473.625)</f>
        <v>44473.625</v>
      </c>
      <c r="B428" s="2">
        <f>IFERROR(__xludf.DUMMYFUNCTION("""COMPUTED_VALUE"""),2230.0)</f>
        <v>2230</v>
      </c>
      <c r="C428" s="2">
        <f>IFERROR(__xludf.DUMMYFUNCTION("""COMPUTED_VALUE"""),2320.0)</f>
        <v>2320</v>
      </c>
      <c r="D428" s="2">
        <f>IFERROR(__xludf.DUMMYFUNCTION("""COMPUTED_VALUE"""),2230.0)</f>
        <v>2230</v>
      </c>
      <c r="E428" s="2">
        <f>IFERROR(__xludf.DUMMYFUNCTION("""COMPUTED_VALUE"""),2310.0)</f>
        <v>2310</v>
      </c>
      <c r="F428" s="2">
        <f>IFERROR(__xludf.DUMMYFUNCTION("""COMPUTED_VALUE"""),1.438927E8)</f>
        <v>143892700</v>
      </c>
      <c r="G428" s="2">
        <f t="shared" si="1"/>
        <v>100</v>
      </c>
    </row>
    <row r="429" ht="15.75" customHeight="1">
      <c r="A429" s="1">
        <f>IFERROR(__xludf.DUMMYFUNCTION("""COMPUTED_VALUE"""),44474.625)</f>
        <v>44474.625</v>
      </c>
      <c r="B429" s="2">
        <f>IFERROR(__xludf.DUMMYFUNCTION("""COMPUTED_VALUE"""),2290.0)</f>
        <v>2290</v>
      </c>
      <c r="C429" s="2">
        <f>IFERROR(__xludf.DUMMYFUNCTION("""COMPUTED_VALUE"""),2420.0)</f>
        <v>2420</v>
      </c>
      <c r="D429" s="2">
        <f>IFERROR(__xludf.DUMMYFUNCTION("""COMPUTED_VALUE"""),2290.0)</f>
        <v>2290</v>
      </c>
      <c r="E429" s="2">
        <f>IFERROR(__xludf.DUMMYFUNCTION("""COMPUTED_VALUE"""),2300.0)</f>
        <v>2300</v>
      </c>
      <c r="F429" s="2">
        <f>IFERROR(__xludf.DUMMYFUNCTION("""COMPUTED_VALUE"""),2.977637E8)</f>
        <v>297763700</v>
      </c>
      <c r="G429" s="2">
        <f t="shared" si="1"/>
        <v>130</v>
      </c>
    </row>
    <row r="430" ht="15.75" customHeight="1">
      <c r="A430" s="1">
        <f>IFERROR(__xludf.DUMMYFUNCTION("""COMPUTED_VALUE"""),44475.625)</f>
        <v>44475.625</v>
      </c>
      <c r="B430" s="2">
        <f>IFERROR(__xludf.DUMMYFUNCTION("""COMPUTED_VALUE"""),2320.0)</f>
        <v>2320</v>
      </c>
      <c r="C430" s="2">
        <f>IFERROR(__xludf.DUMMYFUNCTION("""COMPUTED_VALUE"""),2340.0)</f>
        <v>2340</v>
      </c>
      <c r="D430" s="2">
        <f>IFERROR(__xludf.DUMMYFUNCTION("""COMPUTED_VALUE"""),2300.0)</f>
        <v>2300</v>
      </c>
      <c r="E430" s="2">
        <f>IFERROR(__xludf.DUMMYFUNCTION("""COMPUTED_VALUE"""),2300.0)</f>
        <v>2300</v>
      </c>
      <c r="F430" s="2">
        <f>IFERROR(__xludf.DUMMYFUNCTION("""COMPUTED_VALUE"""),9.83057E7)</f>
        <v>98305700</v>
      </c>
      <c r="G430" s="2">
        <f t="shared" si="1"/>
        <v>40</v>
      </c>
    </row>
    <row r="431" ht="15.75" customHeight="1">
      <c r="A431" s="1">
        <f>IFERROR(__xludf.DUMMYFUNCTION("""COMPUTED_VALUE"""),44476.625)</f>
        <v>44476.625</v>
      </c>
      <c r="B431" s="2">
        <f>IFERROR(__xludf.DUMMYFUNCTION("""COMPUTED_VALUE"""),2320.0)</f>
        <v>2320</v>
      </c>
      <c r="C431" s="2">
        <f>IFERROR(__xludf.DUMMYFUNCTION("""COMPUTED_VALUE"""),2350.0)</f>
        <v>2350</v>
      </c>
      <c r="D431" s="2">
        <f>IFERROR(__xludf.DUMMYFUNCTION("""COMPUTED_VALUE"""),2300.0)</f>
        <v>2300</v>
      </c>
      <c r="E431" s="2">
        <f>IFERROR(__xludf.DUMMYFUNCTION("""COMPUTED_VALUE"""),2330.0)</f>
        <v>2330</v>
      </c>
      <c r="F431" s="2">
        <f>IFERROR(__xludf.DUMMYFUNCTION("""COMPUTED_VALUE"""),1.061838E8)</f>
        <v>106183800</v>
      </c>
      <c r="G431" s="2">
        <f t="shared" si="1"/>
        <v>50</v>
      </c>
    </row>
    <row r="432" ht="15.75" customHeight="1">
      <c r="A432" s="1">
        <f>IFERROR(__xludf.DUMMYFUNCTION("""COMPUTED_VALUE"""),44477.625)</f>
        <v>44477.625</v>
      </c>
      <c r="B432" s="2">
        <f>IFERROR(__xludf.DUMMYFUNCTION("""COMPUTED_VALUE"""),2380.0)</f>
        <v>2380</v>
      </c>
      <c r="C432" s="2">
        <f>IFERROR(__xludf.DUMMYFUNCTION("""COMPUTED_VALUE"""),2410.0)</f>
        <v>2410</v>
      </c>
      <c r="D432" s="2">
        <f>IFERROR(__xludf.DUMMYFUNCTION("""COMPUTED_VALUE"""),2330.0)</f>
        <v>2330</v>
      </c>
      <c r="E432" s="2">
        <f>IFERROR(__xludf.DUMMYFUNCTION("""COMPUTED_VALUE"""),2340.0)</f>
        <v>2340</v>
      </c>
      <c r="F432" s="2">
        <f>IFERROR(__xludf.DUMMYFUNCTION("""COMPUTED_VALUE"""),1.595933E8)</f>
        <v>159593300</v>
      </c>
      <c r="G432" s="2">
        <f t="shared" si="1"/>
        <v>80</v>
      </c>
    </row>
    <row r="433" ht="15.75" customHeight="1">
      <c r="A433" s="1">
        <f>IFERROR(__xludf.DUMMYFUNCTION("""COMPUTED_VALUE"""),44480.625)</f>
        <v>44480.625</v>
      </c>
      <c r="B433" s="2">
        <f>IFERROR(__xludf.DUMMYFUNCTION("""COMPUTED_VALUE"""),2390.0)</f>
        <v>2390</v>
      </c>
      <c r="C433" s="2">
        <f>IFERROR(__xludf.DUMMYFUNCTION("""COMPUTED_VALUE"""),2430.0)</f>
        <v>2430</v>
      </c>
      <c r="D433" s="2">
        <f>IFERROR(__xludf.DUMMYFUNCTION("""COMPUTED_VALUE"""),2370.0)</f>
        <v>2370</v>
      </c>
      <c r="E433" s="2">
        <f>IFERROR(__xludf.DUMMYFUNCTION("""COMPUTED_VALUE"""),2420.0)</f>
        <v>2420</v>
      </c>
      <c r="F433" s="2">
        <f>IFERROR(__xludf.DUMMYFUNCTION("""COMPUTED_VALUE"""),2.333708E8)</f>
        <v>233370800</v>
      </c>
      <c r="G433" s="2">
        <f t="shared" si="1"/>
        <v>90</v>
      </c>
    </row>
    <row r="434" ht="15.75" customHeight="1">
      <c r="A434" s="1">
        <f>IFERROR(__xludf.DUMMYFUNCTION("""COMPUTED_VALUE"""),44481.66666666667)</f>
        <v>44481.66667</v>
      </c>
      <c r="B434" s="2">
        <f>IFERROR(__xludf.DUMMYFUNCTION("""COMPUTED_VALUE"""),2410.0)</f>
        <v>2410</v>
      </c>
      <c r="C434" s="2">
        <f>IFERROR(__xludf.DUMMYFUNCTION("""COMPUTED_VALUE"""),2410.0)</f>
        <v>2410</v>
      </c>
      <c r="D434" s="2">
        <f>IFERROR(__xludf.DUMMYFUNCTION("""COMPUTED_VALUE"""),2350.0)</f>
        <v>2350</v>
      </c>
      <c r="E434" s="2">
        <f>IFERROR(__xludf.DUMMYFUNCTION("""COMPUTED_VALUE"""),2370.0)</f>
        <v>2370</v>
      </c>
      <c r="F434" s="2">
        <f>IFERROR(__xludf.DUMMYFUNCTION("""COMPUTED_VALUE"""),1.314637E8)</f>
        <v>131463700</v>
      </c>
      <c r="G434" s="2">
        <f t="shared" si="1"/>
        <v>70</v>
      </c>
    </row>
    <row r="435" ht="15.75" customHeight="1">
      <c r="A435" s="1">
        <f>IFERROR(__xludf.DUMMYFUNCTION("""COMPUTED_VALUE"""),44482.625)</f>
        <v>44482.625</v>
      </c>
      <c r="B435" s="2">
        <f>IFERROR(__xludf.DUMMYFUNCTION("""COMPUTED_VALUE"""),2360.0)</f>
        <v>2360</v>
      </c>
      <c r="C435" s="2">
        <f>IFERROR(__xludf.DUMMYFUNCTION("""COMPUTED_VALUE"""),2370.0)</f>
        <v>2370</v>
      </c>
      <c r="D435" s="2">
        <f>IFERROR(__xludf.DUMMYFUNCTION("""COMPUTED_VALUE"""),2330.0)</f>
        <v>2330</v>
      </c>
      <c r="E435" s="2">
        <f>IFERROR(__xludf.DUMMYFUNCTION("""COMPUTED_VALUE"""),2340.0)</f>
        <v>2340</v>
      </c>
      <c r="F435" s="2">
        <f>IFERROR(__xludf.DUMMYFUNCTION("""COMPUTED_VALUE"""),7.0802E7)</f>
        <v>70802000</v>
      </c>
      <c r="G435" s="2">
        <f t="shared" si="1"/>
        <v>40</v>
      </c>
    </row>
    <row r="436" ht="15.75" customHeight="1">
      <c r="A436" s="1">
        <f>IFERROR(__xludf.DUMMYFUNCTION("""COMPUTED_VALUE"""),44483.66666666667)</f>
        <v>44483.66667</v>
      </c>
      <c r="B436" s="2">
        <f>IFERROR(__xludf.DUMMYFUNCTION("""COMPUTED_VALUE"""),2350.0)</f>
        <v>2350</v>
      </c>
      <c r="C436" s="2">
        <f>IFERROR(__xludf.DUMMYFUNCTION("""COMPUTED_VALUE"""),2420.0)</f>
        <v>2420</v>
      </c>
      <c r="D436" s="2">
        <f>IFERROR(__xludf.DUMMYFUNCTION("""COMPUTED_VALUE"""),2340.0)</f>
        <v>2340</v>
      </c>
      <c r="E436" s="2">
        <f>IFERROR(__xludf.DUMMYFUNCTION("""COMPUTED_VALUE"""),2420.0)</f>
        <v>2420</v>
      </c>
      <c r="F436" s="2">
        <f>IFERROR(__xludf.DUMMYFUNCTION("""COMPUTED_VALUE"""),1.896243E8)</f>
        <v>189624300</v>
      </c>
      <c r="G436" s="2">
        <f t="shared" si="1"/>
        <v>80</v>
      </c>
    </row>
    <row r="437" ht="15.75" customHeight="1">
      <c r="A437" s="1">
        <f>IFERROR(__xludf.DUMMYFUNCTION("""COMPUTED_VALUE"""),44484.66666666667)</f>
        <v>44484.66667</v>
      </c>
      <c r="B437" s="2">
        <f>IFERROR(__xludf.DUMMYFUNCTION("""COMPUTED_VALUE"""),2450.0)</f>
        <v>2450</v>
      </c>
      <c r="C437" s="2">
        <f>IFERROR(__xludf.DUMMYFUNCTION("""COMPUTED_VALUE"""),2480.0)</f>
        <v>2480</v>
      </c>
      <c r="D437" s="2">
        <f>IFERROR(__xludf.DUMMYFUNCTION("""COMPUTED_VALUE"""),2410.0)</f>
        <v>2410</v>
      </c>
      <c r="E437" s="2">
        <f>IFERROR(__xludf.DUMMYFUNCTION("""COMPUTED_VALUE"""),2470.0)</f>
        <v>2470</v>
      </c>
      <c r="F437" s="2">
        <f>IFERROR(__xludf.DUMMYFUNCTION("""COMPUTED_VALUE"""),2.600957E8)</f>
        <v>260095700</v>
      </c>
      <c r="G437" s="2">
        <f t="shared" si="1"/>
        <v>70</v>
      </c>
    </row>
    <row r="438" ht="15.75" customHeight="1">
      <c r="A438" s="1">
        <f>IFERROR(__xludf.DUMMYFUNCTION("""COMPUTED_VALUE"""),44487.625)</f>
        <v>44487.625</v>
      </c>
      <c r="B438" s="2">
        <f>IFERROR(__xludf.DUMMYFUNCTION("""COMPUTED_VALUE"""),2500.0)</f>
        <v>2500</v>
      </c>
      <c r="C438" s="2">
        <f>IFERROR(__xludf.DUMMYFUNCTION("""COMPUTED_VALUE"""),2570.0)</f>
        <v>2570</v>
      </c>
      <c r="D438" s="2">
        <f>IFERROR(__xludf.DUMMYFUNCTION("""COMPUTED_VALUE"""),2500.0)</f>
        <v>2500</v>
      </c>
      <c r="E438" s="2">
        <f>IFERROR(__xludf.DUMMYFUNCTION("""COMPUTED_VALUE"""),2510.0)</f>
        <v>2510</v>
      </c>
      <c r="F438" s="2">
        <f>IFERROR(__xludf.DUMMYFUNCTION("""COMPUTED_VALUE"""),2.373605E8)</f>
        <v>237360500</v>
      </c>
      <c r="G438" s="2">
        <f t="shared" si="1"/>
        <v>100</v>
      </c>
    </row>
    <row r="439" ht="15.75" customHeight="1">
      <c r="A439" s="1">
        <f>IFERROR(__xludf.DUMMYFUNCTION("""COMPUTED_VALUE"""),44488.625)</f>
        <v>44488.625</v>
      </c>
      <c r="B439" s="2">
        <f>IFERROR(__xludf.DUMMYFUNCTION("""COMPUTED_VALUE"""),2530.0)</f>
        <v>2530</v>
      </c>
      <c r="C439" s="2">
        <f>IFERROR(__xludf.DUMMYFUNCTION("""COMPUTED_VALUE"""),2540.0)</f>
        <v>2540</v>
      </c>
      <c r="D439" s="2">
        <f>IFERROR(__xludf.DUMMYFUNCTION("""COMPUTED_VALUE"""),2460.0)</f>
        <v>2460</v>
      </c>
      <c r="E439" s="2">
        <f>IFERROR(__xludf.DUMMYFUNCTION("""COMPUTED_VALUE"""),2530.0)</f>
        <v>2530</v>
      </c>
      <c r="F439" s="2">
        <f>IFERROR(__xludf.DUMMYFUNCTION("""COMPUTED_VALUE"""),1.536362E8)</f>
        <v>153636200</v>
      </c>
      <c r="G439" s="2">
        <f t="shared" si="1"/>
        <v>80</v>
      </c>
    </row>
    <row r="440" ht="15.75" customHeight="1">
      <c r="A440" s="1">
        <f>IFERROR(__xludf.DUMMYFUNCTION("""COMPUTED_VALUE"""),44490.625)</f>
        <v>44490.625</v>
      </c>
      <c r="B440" s="2">
        <f>IFERROR(__xludf.DUMMYFUNCTION("""COMPUTED_VALUE"""),2600.0)</f>
        <v>2600</v>
      </c>
      <c r="C440" s="2">
        <f>IFERROR(__xludf.DUMMYFUNCTION("""COMPUTED_VALUE"""),2630.0)</f>
        <v>2630</v>
      </c>
      <c r="D440" s="2">
        <f>IFERROR(__xludf.DUMMYFUNCTION("""COMPUTED_VALUE"""),2420.0)</f>
        <v>2420</v>
      </c>
      <c r="E440" s="2">
        <f>IFERROR(__xludf.DUMMYFUNCTION("""COMPUTED_VALUE"""),2450.0)</f>
        <v>2450</v>
      </c>
      <c r="F440" s="2">
        <f>IFERROR(__xludf.DUMMYFUNCTION("""COMPUTED_VALUE"""),3.46789E8)</f>
        <v>346789000</v>
      </c>
      <c r="G440" s="2">
        <f t="shared" si="1"/>
        <v>210</v>
      </c>
    </row>
    <row r="441" ht="15.75" customHeight="1">
      <c r="A441" s="1">
        <f>IFERROR(__xludf.DUMMYFUNCTION("""COMPUTED_VALUE"""),44491.625)</f>
        <v>44491.625</v>
      </c>
      <c r="B441" s="2">
        <f>IFERROR(__xludf.DUMMYFUNCTION("""COMPUTED_VALUE"""),2400.0)</f>
        <v>2400</v>
      </c>
      <c r="C441" s="2">
        <f>IFERROR(__xludf.DUMMYFUNCTION("""COMPUTED_VALUE"""),2460.0)</f>
        <v>2460</v>
      </c>
      <c r="D441" s="2">
        <f>IFERROR(__xludf.DUMMYFUNCTION("""COMPUTED_VALUE"""),2370.0)</f>
        <v>2370</v>
      </c>
      <c r="E441" s="2">
        <f>IFERROR(__xludf.DUMMYFUNCTION("""COMPUTED_VALUE"""),2430.0)</f>
        <v>2430</v>
      </c>
      <c r="F441" s="2">
        <f>IFERROR(__xludf.DUMMYFUNCTION("""COMPUTED_VALUE"""),1.241491E8)</f>
        <v>124149100</v>
      </c>
      <c r="G441" s="2">
        <f t="shared" si="1"/>
        <v>90</v>
      </c>
    </row>
    <row r="442" ht="15.75" customHeight="1">
      <c r="A442" s="1">
        <f>IFERROR(__xludf.DUMMYFUNCTION("""COMPUTED_VALUE"""),44494.625)</f>
        <v>44494.625</v>
      </c>
      <c r="B442" s="2">
        <f>IFERROR(__xludf.DUMMYFUNCTION("""COMPUTED_VALUE"""),2450.0)</f>
        <v>2450</v>
      </c>
      <c r="C442" s="2">
        <f>IFERROR(__xludf.DUMMYFUNCTION("""COMPUTED_VALUE"""),2460.0)</f>
        <v>2460</v>
      </c>
      <c r="D442" s="2">
        <f>IFERROR(__xludf.DUMMYFUNCTION("""COMPUTED_VALUE"""),2410.0)</f>
        <v>2410</v>
      </c>
      <c r="E442" s="2">
        <f>IFERROR(__xludf.DUMMYFUNCTION("""COMPUTED_VALUE"""),2420.0)</f>
        <v>2420</v>
      </c>
      <c r="F442" s="2">
        <f>IFERROR(__xludf.DUMMYFUNCTION("""COMPUTED_VALUE"""),5.06516E7)</f>
        <v>50651600</v>
      </c>
      <c r="G442" s="2">
        <f t="shared" si="1"/>
        <v>50</v>
      </c>
    </row>
    <row r="443" ht="15.75" customHeight="1">
      <c r="A443" s="1">
        <f>IFERROR(__xludf.DUMMYFUNCTION("""COMPUTED_VALUE"""),44495.625)</f>
        <v>44495.625</v>
      </c>
      <c r="B443" s="2">
        <f>IFERROR(__xludf.DUMMYFUNCTION("""COMPUTED_VALUE"""),2450.0)</f>
        <v>2450</v>
      </c>
      <c r="C443" s="2">
        <f>IFERROR(__xludf.DUMMYFUNCTION("""COMPUTED_VALUE"""),2460.0)</f>
        <v>2460</v>
      </c>
      <c r="D443" s="2">
        <f>IFERROR(__xludf.DUMMYFUNCTION("""COMPUTED_VALUE"""),2400.0)</f>
        <v>2400</v>
      </c>
      <c r="E443" s="2">
        <f>IFERROR(__xludf.DUMMYFUNCTION("""COMPUTED_VALUE"""),2400.0)</f>
        <v>2400</v>
      </c>
      <c r="F443" s="2">
        <f>IFERROR(__xludf.DUMMYFUNCTION("""COMPUTED_VALUE"""),6.47915E7)</f>
        <v>64791500</v>
      </c>
      <c r="G443" s="2">
        <f t="shared" si="1"/>
        <v>60</v>
      </c>
    </row>
    <row r="444" ht="15.75" customHeight="1">
      <c r="A444" s="1">
        <f>IFERROR(__xludf.DUMMYFUNCTION("""COMPUTED_VALUE"""),44496.625)</f>
        <v>44496.625</v>
      </c>
      <c r="B444" s="2">
        <f>IFERROR(__xludf.DUMMYFUNCTION("""COMPUTED_VALUE"""),2400.0)</f>
        <v>2400</v>
      </c>
      <c r="C444" s="2">
        <f>IFERROR(__xludf.DUMMYFUNCTION("""COMPUTED_VALUE"""),2410.0)</f>
        <v>2410</v>
      </c>
      <c r="D444" s="2">
        <f>IFERROR(__xludf.DUMMYFUNCTION("""COMPUTED_VALUE"""),2340.0)</f>
        <v>2340</v>
      </c>
      <c r="E444" s="2">
        <f>IFERROR(__xludf.DUMMYFUNCTION("""COMPUTED_VALUE"""),2350.0)</f>
        <v>2350</v>
      </c>
      <c r="F444" s="2">
        <f>IFERROR(__xludf.DUMMYFUNCTION("""COMPUTED_VALUE"""),7.55484E7)</f>
        <v>75548400</v>
      </c>
      <c r="G444" s="2">
        <f t="shared" si="1"/>
        <v>70</v>
      </c>
    </row>
    <row r="445" ht="15.75" customHeight="1">
      <c r="A445" s="1">
        <f>IFERROR(__xludf.DUMMYFUNCTION("""COMPUTED_VALUE"""),44497.625)</f>
        <v>44497.625</v>
      </c>
      <c r="B445" s="2">
        <f>IFERROR(__xludf.DUMMYFUNCTION("""COMPUTED_VALUE"""),2320.0)</f>
        <v>2320</v>
      </c>
      <c r="C445" s="2">
        <f>IFERROR(__xludf.DUMMYFUNCTION("""COMPUTED_VALUE"""),2340.0)</f>
        <v>2340</v>
      </c>
      <c r="D445" s="2">
        <f>IFERROR(__xludf.DUMMYFUNCTION("""COMPUTED_VALUE"""),2300.0)</f>
        <v>2300</v>
      </c>
      <c r="E445" s="2">
        <f>IFERROR(__xludf.DUMMYFUNCTION("""COMPUTED_VALUE"""),2320.0)</f>
        <v>2320</v>
      </c>
      <c r="F445" s="2">
        <f>IFERROR(__xludf.DUMMYFUNCTION("""COMPUTED_VALUE"""),7.73091E7)</f>
        <v>77309100</v>
      </c>
      <c r="G445" s="2">
        <f t="shared" si="1"/>
        <v>50</v>
      </c>
    </row>
    <row r="446" ht="15.75" customHeight="1">
      <c r="A446" s="1">
        <f>IFERROR(__xludf.DUMMYFUNCTION("""COMPUTED_VALUE"""),44498.625)</f>
        <v>44498.625</v>
      </c>
      <c r="B446" s="2">
        <f>IFERROR(__xludf.DUMMYFUNCTION("""COMPUTED_VALUE"""),2340.0)</f>
        <v>2340</v>
      </c>
      <c r="C446" s="2">
        <f>IFERROR(__xludf.DUMMYFUNCTION("""COMPUTED_VALUE"""),2370.0)</f>
        <v>2370</v>
      </c>
      <c r="D446" s="2">
        <f>IFERROR(__xludf.DUMMYFUNCTION("""COMPUTED_VALUE"""),2330.0)</f>
        <v>2330</v>
      </c>
      <c r="E446" s="2">
        <f>IFERROR(__xludf.DUMMYFUNCTION("""COMPUTED_VALUE"""),2340.0)</f>
        <v>2340</v>
      </c>
      <c r="F446" s="2">
        <f>IFERROR(__xludf.DUMMYFUNCTION("""COMPUTED_VALUE"""),5.2556E7)</f>
        <v>52556000</v>
      </c>
      <c r="G446" s="2">
        <f t="shared" si="1"/>
        <v>50</v>
      </c>
    </row>
    <row r="447" ht="15.75" customHeight="1">
      <c r="A447" s="1">
        <f>IFERROR(__xludf.DUMMYFUNCTION("""COMPUTED_VALUE"""),44501.625)</f>
        <v>44501.625</v>
      </c>
      <c r="B447" s="2">
        <f>IFERROR(__xludf.DUMMYFUNCTION("""COMPUTED_VALUE"""),2360.0)</f>
        <v>2360</v>
      </c>
      <c r="C447" s="2">
        <f>IFERROR(__xludf.DUMMYFUNCTION("""COMPUTED_VALUE"""),2360.0)</f>
        <v>2360</v>
      </c>
      <c r="D447" s="2">
        <f>IFERROR(__xludf.DUMMYFUNCTION("""COMPUTED_VALUE"""),2320.0)</f>
        <v>2320</v>
      </c>
      <c r="E447" s="2">
        <f>IFERROR(__xludf.DUMMYFUNCTION("""COMPUTED_VALUE"""),2330.0)</f>
        <v>2330</v>
      </c>
      <c r="F447" s="2">
        <f>IFERROR(__xludf.DUMMYFUNCTION("""COMPUTED_VALUE"""),3.46222E7)</f>
        <v>34622200</v>
      </c>
      <c r="G447" s="2">
        <f t="shared" si="1"/>
        <v>40</v>
      </c>
    </row>
    <row r="448" ht="15.75" customHeight="1">
      <c r="A448" s="1">
        <f>IFERROR(__xludf.DUMMYFUNCTION("""COMPUTED_VALUE"""),44502.625)</f>
        <v>44502.625</v>
      </c>
      <c r="B448" s="2">
        <f>IFERROR(__xludf.DUMMYFUNCTION("""COMPUTED_VALUE"""),2340.0)</f>
        <v>2340</v>
      </c>
      <c r="C448" s="2">
        <f>IFERROR(__xludf.DUMMYFUNCTION("""COMPUTED_VALUE"""),2350.0)</f>
        <v>2350</v>
      </c>
      <c r="D448" s="2">
        <f>IFERROR(__xludf.DUMMYFUNCTION("""COMPUTED_VALUE"""),2310.0)</f>
        <v>2310</v>
      </c>
      <c r="E448" s="2">
        <f>IFERROR(__xludf.DUMMYFUNCTION("""COMPUTED_VALUE"""),2310.0)</f>
        <v>2310</v>
      </c>
      <c r="F448" s="2">
        <f>IFERROR(__xludf.DUMMYFUNCTION("""COMPUTED_VALUE"""),2.73229E7)</f>
        <v>27322900</v>
      </c>
      <c r="G448" s="2">
        <f t="shared" si="1"/>
        <v>40</v>
      </c>
    </row>
    <row r="449" ht="15.75" customHeight="1">
      <c r="A449" s="1">
        <f>IFERROR(__xludf.DUMMYFUNCTION("""COMPUTED_VALUE"""),44503.625)</f>
        <v>44503.625</v>
      </c>
      <c r="B449" s="2">
        <f>IFERROR(__xludf.DUMMYFUNCTION("""COMPUTED_VALUE"""),2320.0)</f>
        <v>2320</v>
      </c>
      <c r="C449" s="2">
        <f>IFERROR(__xludf.DUMMYFUNCTION("""COMPUTED_VALUE"""),2340.0)</f>
        <v>2340</v>
      </c>
      <c r="D449" s="2">
        <f>IFERROR(__xludf.DUMMYFUNCTION("""COMPUTED_VALUE"""),2310.0)</f>
        <v>2310</v>
      </c>
      <c r="E449" s="2">
        <f>IFERROR(__xludf.DUMMYFUNCTION("""COMPUTED_VALUE"""),2320.0)</f>
        <v>2320</v>
      </c>
      <c r="F449" s="2">
        <f>IFERROR(__xludf.DUMMYFUNCTION("""COMPUTED_VALUE"""),2.19381E7)</f>
        <v>21938100</v>
      </c>
      <c r="G449" s="2">
        <f t="shared" si="1"/>
        <v>30</v>
      </c>
    </row>
    <row r="450" ht="15.75" customHeight="1">
      <c r="A450" s="1">
        <f>IFERROR(__xludf.DUMMYFUNCTION("""COMPUTED_VALUE"""),44504.66666666667)</f>
        <v>44504.66667</v>
      </c>
      <c r="B450" s="2">
        <f>IFERROR(__xludf.DUMMYFUNCTION("""COMPUTED_VALUE"""),2320.0)</f>
        <v>2320</v>
      </c>
      <c r="C450" s="2">
        <f>IFERROR(__xludf.DUMMYFUNCTION("""COMPUTED_VALUE"""),2390.0)</f>
        <v>2390</v>
      </c>
      <c r="D450" s="2">
        <f>IFERROR(__xludf.DUMMYFUNCTION("""COMPUTED_VALUE"""),2320.0)</f>
        <v>2320</v>
      </c>
      <c r="E450" s="2">
        <f>IFERROR(__xludf.DUMMYFUNCTION("""COMPUTED_VALUE"""),2380.0)</f>
        <v>2380</v>
      </c>
      <c r="F450" s="2">
        <f>IFERROR(__xludf.DUMMYFUNCTION("""COMPUTED_VALUE"""),6.70257E7)</f>
        <v>67025700</v>
      </c>
      <c r="G450" s="2">
        <f t="shared" si="1"/>
        <v>70</v>
      </c>
    </row>
    <row r="451" ht="15.75" customHeight="1">
      <c r="A451" s="1">
        <f>IFERROR(__xludf.DUMMYFUNCTION("""COMPUTED_VALUE"""),44505.625)</f>
        <v>44505.625</v>
      </c>
      <c r="B451" s="2">
        <f>IFERROR(__xludf.DUMMYFUNCTION("""COMPUTED_VALUE"""),2390.0)</f>
        <v>2390</v>
      </c>
      <c r="C451" s="2">
        <f>IFERROR(__xludf.DUMMYFUNCTION("""COMPUTED_VALUE"""),2400.0)</f>
        <v>2400</v>
      </c>
      <c r="D451" s="2">
        <f>IFERROR(__xludf.DUMMYFUNCTION("""COMPUTED_VALUE"""),2340.0)</f>
        <v>2340</v>
      </c>
      <c r="E451" s="2">
        <f>IFERROR(__xludf.DUMMYFUNCTION("""COMPUTED_VALUE"""),2360.0)</f>
        <v>2360</v>
      </c>
      <c r="F451" s="2">
        <f>IFERROR(__xludf.DUMMYFUNCTION("""COMPUTED_VALUE"""),4.02412E7)</f>
        <v>40241200</v>
      </c>
      <c r="G451" s="2">
        <f t="shared" si="1"/>
        <v>60</v>
      </c>
    </row>
    <row r="452" ht="15.75" customHeight="1">
      <c r="A452" s="1">
        <f>IFERROR(__xludf.DUMMYFUNCTION("""COMPUTED_VALUE"""),44508.625)</f>
        <v>44508.625</v>
      </c>
      <c r="B452" s="2">
        <f>IFERROR(__xludf.DUMMYFUNCTION("""COMPUTED_VALUE"""),2380.0)</f>
        <v>2380</v>
      </c>
      <c r="C452" s="2">
        <f>IFERROR(__xludf.DUMMYFUNCTION("""COMPUTED_VALUE"""),2400.0)</f>
        <v>2400</v>
      </c>
      <c r="D452" s="2">
        <f>IFERROR(__xludf.DUMMYFUNCTION("""COMPUTED_VALUE"""),2350.0)</f>
        <v>2350</v>
      </c>
      <c r="E452" s="2">
        <f>IFERROR(__xludf.DUMMYFUNCTION("""COMPUTED_VALUE"""),2370.0)</f>
        <v>2370</v>
      </c>
      <c r="F452" s="2">
        <f>IFERROR(__xludf.DUMMYFUNCTION("""COMPUTED_VALUE"""),4.69855E7)</f>
        <v>46985500</v>
      </c>
      <c r="G452" s="2">
        <f t="shared" si="1"/>
        <v>50</v>
      </c>
    </row>
    <row r="453" ht="15.75" customHeight="1">
      <c r="A453" s="1">
        <f>IFERROR(__xludf.DUMMYFUNCTION("""COMPUTED_VALUE"""),44509.625)</f>
        <v>44509.625</v>
      </c>
      <c r="B453" s="2">
        <f>IFERROR(__xludf.DUMMYFUNCTION("""COMPUTED_VALUE"""),2380.0)</f>
        <v>2380</v>
      </c>
      <c r="C453" s="2">
        <f>IFERROR(__xludf.DUMMYFUNCTION("""COMPUTED_VALUE"""),2390.0)</f>
        <v>2390</v>
      </c>
      <c r="D453" s="2">
        <f>IFERROR(__xludf.DUMMYFUNCTION("""COMPUTED_VALUE"""),2330.0)</f>
        <v>2330</v>
      </c>
      <c r="E453" s="2">
        <f>IFERROR(__xludf.DUMMYFUNCTION("""COMPUTED_VALUE"""),2340.0)</f>
        <v>2340</v>
      </c>
      <c r="F453" s="2">
        <f>IFERROR(__xludf.DUMMYFUNCTION("""COMPUTED_VALUE"""),4.44448E7)</f>
        <v>44444800</v>
      </c>
      <c r="G453" s="2">
        <f t="shared" si="1"/>
        <v>60</v>
      </c>
    </row>
    <row r="454" ht="15.75" customHeight="1">
      <c r="A454" s="1">
        <f>IFERROR(__xludf.DUMMYFUNCTION("""COMPUTED_VALUE"""),44510.625)</f>
        <v>44510.625</v>
      </c>
      <c r="B454" s="2">
        <f>IFERROR(__xludf.DUMMYFUNCTION("""COMPUTED_VALUE"""),2330.0)</f>
        <v>2330</v>
      </c>
      <c r="C454" s="2">
        <f>IFERROR(__xludf.DUMMYFUNCTION("""COMPUTED_VALUE"""),2350.0)</f>
        <v>2350</v>
      </c>
      <c r="D454" s="2">
        <f>IFERROR(__xludf.DUMMYFUNCTION("""COMPUTED_VALUE"""),2320.0)</f>
        <v>2320</v>
      </c>
      <c r="E454" s="2">
        <f>IFERROR(__xludf.DUMMYFUNCTION("""COMPUTED_VALUE"""),2340.0)</f>
        <v>2340</v>
      </c>
      <c r="F454" s="2">
        <f>IFERROR(__xludf.DUMMYFUNCTION("""COMPUTED_VALUE"""),3.8322E7)</f>
        <v>38322000</v>
      </c>
      <c r="G454" s="2">
        <f t="shared" si="1"/>
        <v>30</v>
      </c>
    </row>
    <row r="455" ht="15.75" customHeight="1">
      <c r="A455" s="1">
        <f>IFERROR(__xludf.DUMMYFUNCTION("""COMPUTED_VALUE"""),44511.625)</f>
        <v>44511.625</v>
      </c>
      <c r="B455" s="2">
        <f>IFERROR(__xludf.DUMMYFUNCTION("""COMPUTED_VALUE"""),2350.0)</f>
        <v>2350</v>
      </c>
      <c r="C455" s="2">
        <f>IFERROR(__xludf.DUMMYFUNCTION("""COMPUTED_VALUE"""),2370.0)</f>
        <v>2370</v>
      </c>
      <c r="D455" s="2">
        <f>IFERROR(__xludf.DUMMYFUNCTION("""COMPUTED_VALUE"""),2340.0)</f>
        <v>2340</v>
      </c>
      <c r="E455" s="2">
        <f>IFERROR(__xludf.DUMMYFUNCTION("""COMPUTED_VALUE"""),2370.0)</f>
        <v>2370</v>
      </c>
      <c r="F455" s="2">
        <f>IFERROR(__xludf.DUMMYFUNCTION("""COMPUTED_VALUE"""),4.15267E7)</f>
        <v>41526700</v>
      </c>
      <c r="G455" s="2">
        <f t="shared" si="1"/>
        <v>30</v>
      </c>
    </row>
    <row r="456" ht="15.75" customHeight="1">
      <c r="A456" s="1">
        <f>IFERROR(__xludf.DUMMYFUNCTION("""COMPUTED_VALUE"""),44512.625)</f>
        <v>44512.625</v>
      </c>
      <c r="B456" s="2">
        <f>IFERROR(__xludf.DUMMYFUNCTION("""COMPUTED_VALUE"""),2380.0)</f>
        <v>2380</v>
      </c>
      <c r="C456" s="2">
        <f>IFERROR(__xludf.DUMMYFUNCTION("""COMPUTED_VALUE"""),2420.0)</f>
        <v>2420</v>
      </c>
      <c r="D456" s="2">
        <f>IFERROR(__xludf.DUMMYFUNCTION("""COMPUTED_VALUE"""),2370.0)</f>
        <v>2370</v>
      </c>
      <c r="E456" s="2">
        <f>IFERROR(__xludf.DUMMYFUNCTION("""COMPUTED_VALUE"""),2400.0)</f>
        <v>2400</v>
      </c>
      <c r="F456" s="2">
        <f>IFERROR(__xludf.DUMMYFUNCTION("""COMPUTED_VALUE"""),8.07695E7)</f>
        <v>80769500</v>
      </c>
      <c r="G456" s="2">
        <f t="shared" si="1"/>
        <v>50</v>
      </c>
    </row>
    <row r="457" ht="15.75" customHeight="1">
      <c r="A457" s="1">
        <f>IFERROR(__xludf.DUMMYFUNCTION("""COMPUTED_VALUE"""),44515.625)</f>
        <v>44515.625</v>
      </c>
      <c r="B457" s="2">
        <f>IFERROR(__xludf.DUMMYFUNCTION("""COMPUTED_VALUE"""),2420.0)</f>
        <v>2420</v>
      </c>
      <c r="C457" s="2">
        <f>IFERROR(__xludf.DUMMYFUNCTION("""COMPUTED_VALUE"""),2430.0)</f>
        <v>2430</v>
      </c>
      <c r="D457" s="2">
        <f>IFERROR(__xludf.DUMMYFUNCTION("""COMPUTED_VALUE"""),2340.0)</f>
        <v>2340</v>
      </c>
      <c r="E457" s="2">
        <f>IFERROR(__xludf.DUMMYFUNCTION("""COMPUTED_VALUE"""),2390.0)</f>
        <v>2390</v>
      </c>
      <c r="F457" s="2">
        <f>IFERROR(__xludf.DUMMYFUNCTION("""COMPUTED_VALUE"""),1.001846E8)</f>
        <v>100184600</v>
      </c>
      <c r="G457" s="2">
        <f t="shared" si="1"/>
        <v>90</v>
      </c>
    </row>
    <row r="458" ht="15.75" customHeight="1">
      <c r="A458" s="1">
        <f>IFERROR(__xludf.DUMMYFUNCTION("""COMPUTED_VALUE"""),44516.625)</f>
        <v>44516.625</v>
      </c>
      <c r="B458" s="2">
        <f>IFERROR(__xludf.DUMMYFUNCTION("""COMPUTED_VALUE"""),2390.0)</f>
        <v>2390</v>
      </c>
      <c r="C458" s="2">
        <f>IFERROR(__xludf.DUMMYFUNCTION("""COMPUTED_VALUE"""),2410.0)</f>
        <v>2410</v>
      </c>
      <c r="D458" s="2">
        <f>IFERROR(__xludf.DUMMYFUNCTION("""COMPUTED_VALUE"""),2370.0)</f>
        <v>2370</v>
      </c>
      <c r="E458" s="2">
        <f>IFERROR(__xludf.DUMMYFUNCTION("""COMPUTED_VALUE"""),2380.0)</f>
        <v>2380</v>
      </c>
      <c r="F458" s="2">
        <f>IFERROR(__xludf.DUMMYFUNCTION("""COMPUTED_VALUE"""),4.76633E7)</f>
        <v>47663300</v>
      </c>
      <c r="G458" s="2">
        <f t="shared" si="1"/>
        <v>40</v>
      </c>
    </row>
    <row r="459" ht="15.75" customHeight="1">
      <c r="A459" s="1">
        <f>IFERROR(__xludf.DUMMYFUNCTION("""COMPUTED_VALUE"""),44517.625)</f>
        <v>44517.625</v>
      </c>
      <c r="B459" s="2">
        <f>IFERROR(__xludf.DUMMYFUNCTION("""COMPUTED_VALUE"""),2380.0)</f>
        <v>2380</v>
      </c>
      <c r="C459" s="2">
        <f>IFERROR(__xludf.DUMMYFUNCTION("""COMPUTED_VALUE"""),2390.0)</f>
        <v>2390</v>
      </c>
      <c r="D459" s="2">
        <f>IFERROR(__xludf.DUMMYFUNCTION("""COMPUTED_VALUE"""),2340.0)</f>
        <v>2340</v>
      </c>
      <c r="E459" s="2">
        <f>IFERROR(__xludf.DUMMYFUNCTION("""COMPUTED_VALUE"""),2350.0)</f>
        <v>2350</v>
      </c>
      <c r="F459" s="2">
        <f>IFERROR(__xludf.DUMMYFUNCTION("""COMPUTED_VALUE"""),5.01764E7)</f>
        <v>50176400</v>
      </c>
      <c r="G459" s="2">
        <f t="shared" si="1"/>
        <v>50</v>
      </c>
    </row>
    <row r="460" ht="15.75" customHeight="1">
      <c r="A460" s="1">
        <f>IFERROR(__xludf.DUMMYFUNCTION("""COMPUTED_VALUE"""),44518.625)</f>
        <v>44518.625</v>
      </c>
      <c r="B460" s="2">
        <f>IFERROR(__xludf.DUMMYFUNCTION("""COMPUTED_VALUE"""),2350.0)</f>
        <v>2350</v>
      </c>
      <c r="C460" s="2">
        <f>IFERROR(__xludf.DUMMYFUNCTION("""COMPUTED_VALUE"""),2370.0)</f>
        <v>2370</v>
      </c>
      <c r="D460" s="2">
        <f>IFERROR(__xludf.DUMMYFUNCTION("""COMPUTED_VALUE"""),2320.0)</f>
        <v>2320</v>
      </c>
      <c r="E460" s="2">
        <f>IFERROR(__xludf.DUMMYFUNCTION("""COMPUTED_VALUE"""),2330.0)</f>
        <v>2330</v>
      </c>
      <c r="F460" s="2">
        <f>IFERROR(__xludf.DUMMYFUNCTION("""COMPUTED_VALUE"""),5.26799E7)</f>
        <v>52679900</v>
      </c>
      <c r="G460" s="2">
        <f t="shared" si="1"/>
        <v>50</v>
      </c>
    </row>
    <row r="461" ht="15.75" customHeight="1">
      <c r="A461" s="1">
        <f>IFERROR(__xludf.DUMMYFUNCTION("""COMPUTED_VALUE"""),44519.625)</f>
        <v>44519.625</v>
      </c>
      <c r="B461" s="2">
        <f>IFERROR(__xludf.DUMMYFUNCTION("""COMPUTED_VALUE"""),2350.0)</f>
        <v>2350</v>
      </c>
      <c r="C461" s="2">
        <f>IFERROR(__xludf.DUMMYFUNCTION("""COMPUTED_VALUE"""),2400.0)</f>
        <v>2400</v>
      </c>
      <c r="D461" s="2">
        <f>IFERROR(__xludf.DUMMYFUNCTION("""COMPUTED_VALUE"""),2340.0)</f>
        <v>2340</v>
      </c>
      <c r="E461" s="2">
        <f>IFERROR(__xludf.DUMMYFUNCTION("""COMPUTED_VALUE"""),2390.0)</f>
        <v>2390</v>
      </c>
      <c r="F461" s="2">
        <f>IFERROR(__xludf.DUMMYFUNCTION("""COMPUTED_VALUE"""),9.35397E7)</f>
        <v>93539700</v>
      </c>
      <c r="G461" s="2">
        <f t="shared" si="1"/>
        <v>70</v>
      </c>
    </row>
    <row r="462" ht="15.75" customHeight="1">
      <c r="A462" s="1">
        <f>IFERROR(__xludf.DUMMYFUNCTION("""COMPUTED_VALUE"""),44522.625)</f>
        <v>44522.625</v>
      </c>
      <c r="B462" s="2">
        <f>IFERROR(__xludf.DUMMYFUNCTION("""COMPUTED_VALUE"""),2400.0)</f>
        <v>2400</v>
      </c>
      <c r="C462" s="2">
        <f>IFERROR(__xludf.DUMMYFUNCTION("""COMPUTED_VALUE"""),2400.0)</f>
        <v>2400</v>
      </c>
      <c r="D462" s="2">
        <f>IFERROR(__xludf.DUMMYFUNCTION("""COMPUTED_VALUE"""),2350.0)</f>
        <v>2350</v>
      </c>
      <c r="E462" s="2">
        <f>IFERROR(__xludf.DUMMYFUNCTION("""COMPUTED_VALUE"""),2370.0)</f>
        <v>2370</v>
      </c>
      <c r="F462" s="2">
        <f>IFERROR(__xludf.DUMMYFUNCTION("""COMPUTED_VALUE"""),4.6485E7)</f>
        <v>46485000</v>
      </c>
      <c r="G462" s="2">
        <f t="shared" si="1"/>
        <v>50</v>
      </c>
    </row>
    <row r="463" ht="15.75" customHeight="1">
      <c r="A463" s="1">
        <f>IFERROR(__xludf.DUMMYFUNCTION("""COMPUTED_VALUE"""),44523.625)</f>
        <v>44523.625</v>
      </c>
      <c r="B463" s="2">
        <f>IFERROR(__xludf.DUMMYFUNCTION("""COMPUTED_VALUE"""),2390.0)</f>
        <v>2390</v>
      </c>
      <c r="C463" s="2">
        <f>IFERROR(__xludf.DUMMYFUNCTION("""COMPUTED_VALUE"""),2460.0)</f>
        <v>2460</v>
      </c>
      <c r="D463" s="2">
        <f>IFERROR(__xludf.DUMMYFUNCTION("""COMPUTED_VALUE"""),2370.0)</f>
        <v>2370</v>
      </c>
      <c r="E463" s="2">
        <f>IFERROR(__xludf.DUMMYFUNCTION("""COMPUTED_VALUE"""),2400.0)</f>
        <v>2400</v>
      </c>
      <c r="F463" s="2">
        <f>IFERROR(__xludf.DUMMYFUNCTION("""COMPUTED_VALUE"""),1.598364E8)</f>
        <v>159836400</v>
      </c>
      <c r="G463" s="2">
        <f t="shared" si="1"/>
        <v>90</v>
      </c>
    </row>
    <row r="464" ht="15.75" customHeight="1">
      <c r="A464" s="1">
        <f>IFERROR(__xludf.DUMMYFUNCTION("""COMPUTED_VALUE"""),44524.625)</f>
        <v>44524.625</v>
      </c>
      <c r="B464" s="2">
        <f>IFERROR(__xludf.DUMMYFUNCTION("""COMPUTED_VALUE"""),2400.0)</f>
        <v>2400</v>
      </c>
      <c r="C464" s="2">
        <f>IFERROR(__xludf.DUMMYFUNCTION("""COMPUTED_VALUE"""),2450.0)</f>
        <v>2450</v>
      </c>
      <c r="D464" s="2">
        <f>IFERROR(__xludf.DUMMYFUNCTION("""COMPUTED_VALUE"""),2380.0)</f>
        <v>2380</v>
      </c>
      <c r="E464" s="2">
        <f>IFERROR(__xludf.DUMMYFUNCTION("""COMPUTED_VALUE"""),2440.0)</f>
        <v>2440</v>
      </c>
      <c r="F464" s="2">
        <f>IFERROR(__xludf.DUMMYFUNCTION("""COMPUTED_VALUE"""),7.32879E7)</f>
        <v>73287900</v>
      </c>
      <c r="G464" s="2">
        <f t="shared" si="1"/>
        <v>70</v>
      </c>
    </row>
    <row r="465" ht="15.75" customHeight="1">
      <c r="A465" s="1">
        <f>IFERROR(__xludf.DUMMYFUNCTION("""COMPUTED_VALUE"""),44525.625)</f>
        <v>44525.625</v>
      </c>
      <c r="B465" s="2">
        <f>IFERROR(__xludf.DUMMYFUNCTION("""COMPUTED_VALUE"""),2470.0)</f>
        <v>2470</v>
      </c>
      <c r="C465" s="2">
        <f>IFERROR(__xludf.DUMMYFUNCTION("""COMPUTED_VALUE"""),2490.0)</f>
        <v>2490</v>
      </c>
      <c r="D465" s="2">
        <f>IFERROR(__xludf.DUMMYFUNCTION("""COMPUTED_VALUE"""),2430.0)</f>
        <v>2430</v>
      </c>
      <c r="E465" s="2">
        <f>IFERROR(__xludf.DUMMYFUNCTION("""COMPUTED_VALUE"""),2440.0)</f>
        <v>2440</v>
      </c>
      <c r="F465" s="2">
        <f>IFERROR(__xludf.DUMMYFUNCTION("""COMPUTED_VALUE"""),1.090337E8)</f>
        <v>109033700</v>
      </c>
      <c r="G465" s="2">
        <f t="shared" si="1"/>
        <v>60</v>
      </c>
    </row>
    <row r="466" ht="15.75" customHeight="1">
      <c r="A466" s="1">
        <f>IFERROR(__xludf.DUMMYFUNCTION("""COMPUTED_VALUE"""),44526.625)</f>
        <v>44526.625</v>
      </c>
      <c r="B466" s="2">
        <f>IFERROR(__xludf.DUMMYFUNCTION("""COMPUTED_VALUE"""),2410.0)</f>
        <v>2410</v>
      </c>
      <c r="C466" s="2">
        <f>IFERROR(__xludf.DUMMYFUNCTION("""COMPUTED_VALUE"""),2410.0)</f>
        <v>2410</v>
      </c>
      <c r="D466" s="2">
        <f>IFERROR(__xludf.DUMMYFUNCTION("""COMPUTED_VALUE"""),2330.0)</f>
        <v>2330</v>
      </c>
      <c r="E466" s="2">
        <f>IFERROR(__xludf.DUMMYFUNCTION("""COMPUTED_VALUE"""),2340.0)</f>
        <v>2340</v>
      </c>
      <c r="F466" s="2">
        <f>IFERROR(__xludf.DUMMYFUNCTION("""COMPUTED_VALUE"""),1.622946E8)</f>
        <v>162294600</v>
      </c>
      <c r="G466" s="2">
        <f t="shared" si="1"/>
        <v>110</v>
      </c>
    </row>
    <row r="467" ht="15.75" customHeight="1">
      <c r="A467" s="1">
        <f>IFERROR(__xludf.DUMMYFUNCTION("""COMPUTED_VALUE"""),44529.625)</f>
        <v>44529.625</v>
      </c>
      <c r="B467" s="2">
        <f>IFERROR(__xludf.DUMMYFUNCTION("""COMPUTED_VALUE"""),2330.0)</f>
        <v>2330</v>
      </c>
      <c r="C467" s="2">
        <f>IFERROR(__xludf.DUMMYFUNCTION("""COMPUTED_VALUE"""),2360.0)</f>
        <v>2360</v>
      </c>
      <c r="D467" s="2">
        <f>IFERROR(__xludf.DUMMYFUNCTION("""COMPUTED_VALUE"""),2320.0)</f>
        <v>2320</v>
      </c>
      <c r="E467" s="2">
        <f>IFERROR(__xludf.DUMMYFUNCTION("""COMPUTED_VALUE"""),2330.0)</f>
        <v>2330</v>
      </c>
      <c r="F467" s="2">
        <f>IFERROR(__xludf.DUMMYFUNCTION("""COMPUTED_VALUE"""),8.25677E7)</f>
        <v>82567700</v>
      </c>
      <c r="G467" s="2">
        <f t="shared" si="1"/>
        <v>40</v>
      </c>
    </row>
    <row r="468" ht="15.75" customHeight="1">
      <c r="A468" s="1">
        <f>IFERROR(__xludf.DUMMYFUNCTION("""COMPUTED_VALUE"""),44530.625)</f>
        <v>44530.625</v>
      </c>
      <c r="B468" s="2">
        <f>IFERROR(__xludf.DUMMYFUNCTION("""COMPUTED_VALUE"""),2340.0)</f>
        <v>2340</v>
      </c>
      <c r="C468" s="2">
        <f>IFERROR(__xludf.DUMMYFUNCTION("""COMPUTED_VALUE"""),2370.0)</f>
        <v>2370</v>
      </c>
      <c r="D468" s="2">
        <f>IFERROR(__xludf.DUMMYFUNCTION("""COMPUTED_VALUE"""),2300.0)</f>
        <v>2300</v>
      </c>
      <c r="E468" s="2">
        <f>IFERROR(__xludf.DUMMYFUNCTION("""COMPUTED_VALUE"""),2300.0)</f>
        <v>2300</v>
      </c>
      <c r="F468" s="2">
        <f>IFERROR(__xludf.DUMMYFUNCTION("""COMPUTED_VALUE"""),1.511864E8)</f>
        <v>151186400</v>
      </c>
      <c r="G468" s="2">
        <f t="shared" si="1"/>
        <v>70</v>
      </c>
    </row>
    <row r="469" ht="15.75" customHeight="1">
      <c r="A469" s="1">
        <f>IFERROR(__xludf.DUMMYFUNCTION("""COMPUTED_VALUE"""),44531.66666666667)</f>
        <v>44531.66667</v>
      </c>
      <c r="B469" s="2">
        <f>IFERROR(__xludf.DUMMYFUNCTION("""COMPUTED_VALUE"""),2300.0)</f>
        <v>2300</v>
      </c>
      <c r="C469" s="2">
        <f>IFERROR(__xludf.DUMMYFUNCTION("""COMPUTED_VALUE"""),2320.0)</f>
        <v>2320</v>
      </c>
      <c r="D469" s="2">
        <f>IFERROR(__xludf.DUMMYFUNCTION("""COMPUTED_VALUE"""),2250.0)</f>
        <v>2250</v>
      </c>
      <c r="E469" s="2">
        <f>IFERROR(__xludf.DUMMYFUNCTION("""COMPUTED_VALUE"""),2270.0)</f>
        <v>2270</v>
      </c>
      <c r="F469" s="2">
        <f>IFERROR(__xludf.DUMMYFUNCTION("""COMPUTED_VALUE"""),8.36127E7)</f>
        <v>83612700</v>
      </c>
      <c r="G469" s="2">
        <f t="shared" si="1"/>
        <v>70</v>
      </c>
    </row>
    <row r="470" ht="15.75" customHeight="1">
      <c r="A470" s="1">
        <f>IFERROR(__xludf.DUMMYFUNCTION("""COMPUTED_VALUE"""),44532.66666666667)</f>
        <v>44532.66667</v>
      </c>
      <c r="B470" s="2">
        <f>IFERROR(__xludf.DUMMYFUNCTION("""COMPUTED_VALUE"""),2270.0)</f>
        <v>2270</v>
      </c>
      <c r="C470" s="2">
        <f>IFERROR(__xludf.DUMMYFUNCTION("""COMPUTED_VALUE"""),2370.0)</f>
        <v>2370</v>
      </c>
      <c r="D470" s="2">
        <f>IFERROR(__xludf.DUMMYFUNCTION("""COMPUTED_VALUE"""),2260.0)</f>
        <v>2260</v>
      </c>
      <c r="E470" s="2">
        <f>IFERROR(__xludf.DUMMYFUNCTION("""COMPUTED_VALUE"""),2340.0)</f>
        <v>2340</v>
      </c>
      <c r="F470" s="2">
        <f>IFERROR(__xludf.DUMMYFUNCTION("""COMPUTED_VALUE"""),8.90108E7)</f>
        <v>89010800</v>
      </c>
      <c r="G470" s="2">
        <f t="shared" si="1"/>
        <v>110</v>
      </c>
    </row>
    <row r="471" ht="15.75" customHeight="1">
      <c r="A471" s="1">
        <f>IFERROR(__xludf.DUMMYFUNCTION("""COMPUTED_VALUE"""),44533.66666666667)</f>
        <v>44533.66667</v>
      </c>
      <c r="B471" s="2">
        <f>IFERROR(__xludf.DUMMYFUNCTION("""COMPUTED_VALUE"""),2350.0)</f>
        <v>2350</v>
      </c>
      <c r="C471" s="2">
        <f>IFERROR(__xludf.DUMMYFUNCTION("""COMPUTED_VALUE"""),2370.0)</f>
        <v>2370</v>
      </c>
      <c r="D471" s="2">
        <f>IFERROR(__xludf.DUMMYFUNCTION("""COMPUTED_VALUE"""),2320.0)</f>
        <v>2320</v>
      </c>
      <c r="E471" s="2">
        <f>IFERROR(__xludf.DUMMYFUNCTION("""COMPUTED_VALUE"""),2340.0)</f>
        <v>2340</v>
      </c>
      <c r="F471" s="2">
        <f>IFERROR(__xludf.DUMMYFUNCTION("""COMPUTED_VALUE"""),3.87572E7)</f>
        <v>38757200</v>
      </c>
      <c r="G471" s="2">
        <f t="shared" si="1"/>
        <v>50</v>
      </c>
    </row>
    <row r="472" ht="15.75" customHeight="1">
      <c r="A472" s="1">
        <f>IFERROR(__xludf.DUMMYFUNCTION("""COMPUTED_VALUE"""),44536.66666666667)</f>
        <v>44536.66667</v>
      </c>
      <c r="B472" s="2">
        <f>IFERROR(__xludf.DUMMYFUNCTION("""COMPUTED_VALUE"""),2340.0)</f>
        <v>2340</v>
      </c>
      <c r="C472" s="2">
        <f>IFERROR(__xludf.DUMMYFUNCTION("""COMPUTED_VALUE"""),2360.0)</f>
        <v>2360</v>
      </c>
      <c r="D472" s="2">
        <f>IFERROR(__xludf.DUMMYFUNCTION("""COMPUTED_VALUE"""),2310.0)</f>
        <v>2310</v>
      </c>
      <c r="E472" s="2">
        <f>IFERROR(__xludf.DUMMYFUNCTION("""COMPUTED_VALUE"""),2320.0)</f>
        <v>2320</v>
      </c>
      <c r="F472" s="2">
        <f>IFERROR(__xludf.DUMMYFUNCTION("""COMPUTED_VALUE"""),3.19517E7)</f>
        <v>31951700</v>
      </c>
      <c r="G472" s="2">
        <f t="shared" si="1"/>
        <v>50</v>
      </c>
    </row>
    <row r="473" ht="15.75" customHeight="1">
      <c r="A473" s="1">
        <f>IFERROR(__xludf.DUMMYFUNCTION("""COMPUTED_VALUE"""),44537.66666666667)</f>
        <v>44537.66667</v>
      </c>
      <c r="B473" s="2">
        <f>IFERROR(__xludf.DUMMYFUNCTION("""COMPUTED_VALUE"""),2340.0)</f>
        <v>2340</v>
      </c>
      <c r="C473" s="2">
        <f>IFERROR(__xludf.DUMMYFUNCTION("""COMPUTED_VALUE"""),2350.0)</f>
        <v>2350</v>
      </c>
      <c r="D473" s="2">
        <f>IFERROR(__xludf.DUMMYFUNCTION("""COMPUTED_VALUE"""),2330.0)</f>
        <v>2330</v>
      </c>
      <c r="E473" s="2">
        <f>IFERROR(__xludf.DUMMYFUNCTION("""COMPUTED_VALUE"""),2340.0)</f>
        <v>2340</v>
      </c>
      <c r="F473" s="2">
        <f>IFERROR(__xludf.DUMMYFUNCTION("""COMPUTED_VALUE"""),2.15429E7)</f>
        <v>21542900</v>
      </c>
      <c r="G473" s="2">
        <f t="shared" si="1"/>
        <v>30</v>
      </c>
    </row>
    <row r="474" ht="15.75" customHeight="1">
      <c r="A474" s="1">
        <f>IFERROR(__xludf.DUMMYFUNCTION("""COMPUTED_VALUE"""),44538.66666666667)</f>
        <v>44538.66667</v>
      </c>
      <c r="B474" s="2">
        <f>IFERROR(__xludf.DUMMYFUNCTION("""COMPUTED_VALUE"""),2360.0)</f>
        <v>2360</v>
      </c>
      <c r="C474" s="2">
        <f>IFERROR(__xludf.DUMMYFUNCTION("""COMPUTED_VALUE"""),2360.0)</f>
        <v>2360</v>
      </c>
      <c r="D474" s="2">
        <f>IFERROR(__xludf.DUMMYFUNCTION("""COMPUTED_VALUE"""),2320.0)</f>
        <v>2320</v>
      </c>
      <c r="E474" s="2">
        <f>IFERROR(__xludf.DUMMYFUNCTION("""COMPUTED_VALUE"""),2330.0)</f>
        <v>2330</v>
      </c>
      <c r="F474" s="2">
        <f>IFERROR(__xludf.DUMMYFUNCTION("""COMPUTED_VALUE"""),2.42043E7)</f>
        <v>24204300</v>
      </c>
      <c r="G474" s="2">
        <f t="shared" si="1"/>
        <v>40</v>
      </c>
    </row>
    <row r="475" ht="15.75" customHeight="1">
      <c r="A475" s="1">
        <f>IFERROR(__xludf.DUMMYFUNCTION("""COMPUTED_VALUE"""),44539.66666666667)</f>
        <v>44539.66667</v>
      </c>
      <c r="B475" s="2">
        <f>IFERROR(__xludf.DUMMYFUNCTION("""COMPUTED_VALUE"""),2330.0)</f>
        <v>2330</v>
      </c>
      <c r="C475" s="2">
        <f>IFERROR(__xludf.DUMMYFUNCTION("""COMPUTED_VALUE"""),2340.0)</f>
        <v>2340</v>
      </c>
      <c r="D475" s="2">
        <f>IFERROR(__xludf.DUMMYFUNCTION("""COMPUTED_VALUE"""),2320.0)</f>
        <v>2320</v>
      </c>
      <c r="E475" s="2">
        <f>IFERROR(__xludf.DUMMYFUNCTION("""COMPUTED_VALUE"""),2330.0)</f>
        <v>2330</v>
      </c>
      <c r="F475" s="2">
        <f>IFERROR(__xludf.DUMMYFUNCTION("""COMPUTED_VALUE"""),2.08001E7)</f>
        <v>20800100</v>
      </c>
      <c r="G475" s="2">
        <f t="shared" si="1"/>
        <v>20</v>
      </c>
    </row>
    <row r="476" ht="15.75" customHeight="1">
      <c r="A476" s="1">
        <f>IFERROR(__xludf.DUMMYFUNCTION("""COMPUTED_VALUE"""),44540.66666666667)</f>
        <v>44540.66667</v>
      </c>
      <c r="B476" s="2">
        <f>IFERROR(__xludf.DUMMYFUNCTION("""COMPUTED_VALUE"""),2330.0)</f>
        <v>2330</v>
      </c>
      <c r="C476" s="2">
        <f>IFERROR(__xludf.DUMMYFUNCTION("""COMPUTED_VALUE"""),2330.0)</f>
        <v>2330</v>
      </c>
      <c r="D476" s="2">
        <f>IFERROR(__xludf.DUMMYFUNCTION("""COMPUTED_VALUE"""),2310.0)</f>
        <v>2310</v>
      </c>
      <c r="E476" s="2">
        <f>IFERROR(__xludf.DUMMYFUNCTION("""COMPUTED_VALUE"""),2320.0)</f>
        <v>2320</v>
      </c>
      <c r="F476" s="2">
        <f>IFERROR(__xludf.DUMMYFUNCTION("""COMPUTED_VALUE"""),1.39626E7)</f>
        <v>13962600</v>
      </c>
      <c r="G476" s="2">
        <f t="shared" si="1"/>
        <v>20</v>
      </c>
    </row>
    <row r="477" ht="15.75" customHeight="1">
      <c r="A477" s="1">
        <f>IFERROR(__xludf.DUMMYFUNCTION("""COMPUTED_VALUE"""),44543.66666666667)</f>
        <v>44543.66667</v>
      </c>
      <c r="B477" s="2">
        <f>IFERROR(__xludf.DUMMYFUNCTION("""COMPUTED_VALUE"""),2330.0)</f>
        <v>2330</v>
      </c>
      <c r="C477" s="2">
        <f>IFERROR(__xludf.DUMMYFUNCTION("""COMPUTED_VALUE"""),2350.0)</f>
        <v>2350</v>
      </c>
      <c r="D477" s="2">
        <f>IFERROR(__xludf.DUMMYFUNCTION("""COMPUTED_VALUE"""),2320.0)</f>
        <v>2320</v>
      </c>
      <c r="E477" s="2">
        <f>IFERROR(__xludf.DUMMYFUNCTION("""COMPUTED_VALUE"""),2320.0)</f>
        <v>2320</v>
      </c>
      <c r="F477" s="2">
        <f>IFERROR(__xludf.DUMMYFUNCTION("""COMPUTED_VALUE"""),1.52125E7)</f>
        <v>15212500</v>
      </c>
      <c r="G477" s="2">
        <f t="shared" si="1"/>
        <v>30</v>
      </c>
    </row>
    <row r="478" ht="15.75" customHeight="1">
      <c r="A478" s="1">
        <f>IFERROR(__xludf.DUMMYFUNCTION("""COMPUTED_VALUE"""),44544.66666666667)</f>
        <v>44544.66667</v>
      </c>
      <c r="B478" s="2">
        <f>IFERROR(__xludf.DUMMYFUNCTION("""COMPUTED_VALUE"""),2320.0)</f>
        <v>2320</v>
      </c>
      <c r="C478" s="2">
        <f>IFERROR(__xludf.DUMMYFUNCTION("""COMPUTED_VALUE"""),2320.0)</f>
        <v>2320</v>
      </c>
      <c r="D478" s="2">
        <f>IFERROR(__xludf.DUMMYFUNCTION("""COMPUTED_VALUE"""),2280.0)</f>
        <v>2280</v>
      </c>
      <c r="E478" s="2">
        <f>IFERROR(__xludf.DUMMYFUNCTION("""COMPUTED_VALUE"""),2290.0)</f>
        <v>2290</v>
      </c>
      <c r="F478" s="2">
        <f>IFERROR(__xludf.DUMMYFUNCTION("""COMPUTED_VALUE"""),2.8618E7)</f>
        <v>28618000</v>
      </c>
      <c r="G478" s="2">
        <f t="shared" si="1"/>
        <v>40</v>
      </c>
    </row>
    <row r="479" ht="15.75" customHeight="1">
      <c r="A479" s="1">
        <f>IFERROR(__xludf.DUMMYFUNCTION("""COMPUTED_VALUE"""),44545.66666666667)</f>
        <v>44545.66667</v>
      </c>
      <c r="B479" s="2">
        <f>IFERROR(__xludf.DUMMYFUNCTION("""COMPUTED_VALUE"""),2290.0)</f>
        <v>2290</v>
      </c>
      <c r="C479" s="2">
        <f>IFERROR(__xludf.DUMMYFUNCTION("""COMPUTED_VALUE"""),2300.0)</f>
        <v>2300</v>
      </c>
      <c r="D479" s="2">
        <f>IFERROR(__xludf.DUMMYFUNCTION("""COMPUTED_VALUE"""),2270.0)</f>
        <v>2270</v>
      </c>
      <c r="E479" s="2">
        <f>IFERROR(__xludf.DUMMYFUNCTION("""COMPUTED_VALUE"""),2280.0)</f>
        <v>2280</v>
      </c>
      <c r="F479" s="2">
        <f>IFERROR(__xludf.DUMMYFUNCTION("""COMPUTED_VALUE"""),3.408E7)</f>
        <v>34080000</v>
      </c>
      <c r="G479" s="2">
        <f t="shared" si="1"/>
        <v>30</v>
      </c>
    </row>
    <row r="480" ht="15.75" customHeight="1">
      <c r="A480" s="1">
        <f>IFERROR(__xludf.DUMMYFUNCTION("""COMPUTED_VALUE"""),44546.66666666667)</f>
        <v>44546.66667</v>
      </c>
      <c r="B480" s="2">
        <f>IFERROR(__xludf.DUMMYFUNCTION("""COMPUTED_VALUE"""),2290.0)</f>
        <v>2290</v>
      </c>
      <c r="C480" s="2">
        <f>IFERROR(__xludf.DUMMYFUNCTION("""COMPUTED_VALUE"""),2300.0)</f>
        <v>2300</v>
      </c>
      <c r="D480" s="2">
        <f>IFERROR(__xludf.DUMMYFUNCTION("""COMPUTED_VALUE"""),2260.0)</f>
        <v>2260</v>
      </c>
      <c r="E480" s="2">
        <f>IFERROR(__xludf.DUMMYFUNCTION("""COMPUTED_VALUE"""),2290.0)</f>
        <v>2290</v>
      </c>
      <c r="F480" s="2">
        <f>IFERROR(__xludf.DUMMYFUNCTION("""COMPUTED_VALUE"""),3.52498E7)</f>
        <v>35249800</v>
      </c>
      <c r="G480" s="2">
        <f t="shared" si="1"/>
        <v>40</v>
      </c>
    </row>
    <row r="481" ht="15.75" customHeight="1">
      <c r="A481" s="1">
        <f>IFERROR(__xludf.DUMMYFUNCTION("""COMPUTED_VALUE"""),44547.66666666667)</f>
        <v>44547.66667</v>
      </c>
      <c r="B481" s="2">
        <f>IFERROR(__xludf.DUMMYFUNCTION("""COMPUTED_VALUE"""),2310.0)</f>
        <v>2310</v>
      </c>
      <c r="C481" s="2">
        <f>IFERROR(__xludf.DUMMYFUNCTION("""COMPUTED_VALUE"""),2310.0)</f>
        <v>2310</v>
      </c>
      <c r="D481" s="2">
        <f>IFERROR(__xludf.DUMMYFUNCTION("""COMPUTED_VALUE"""),2250.0)</f>
        <v>2250</v>
      </c>
      <c r="E481" s="2">
        <f>IFERROR(__xludf.DUMMYFUNCTION("""COMPUTED_VALUE"""),2250.0)</f>
        <v>2250</v>
      </c>
      <c r="F481" s="2">
        <f>IFERROR(__xludf.DUMMYFUNCTION("""COMPUTED_VALUE"""),5.08578E7)</f>
        <v>50857800</v>
      </c>
      <c r="G481" s="2">
        <f t="shared" si="1"/>
        <v>60</v>
      </c>
    </row>
    <row r="482" ht="15.75" customHeight="1">
      <c r="A482" s="1">
        <f>IFERROR(__xludf.DUMMYFUNCTION("""COMPUTED_VALUE"""),44550.66666666667)</f>
        <v>44550.66667</v>
      </c>
      <c r="B482" s="2">
        <f>IFERROR(__xludf.DUMMYFUNCTION("""COMPUTED_VALUE"""),2250.0)</f>
        <v>2250</v>
      </c>
      <c r="C482" s="2">
        <f>IFERROR(__xludf.DUMMYFUNCTION("""COMPUTED_VALUE"""),2260.0)</f>
        <v>2260</v>
      </c>
      <c r="D482" s="2">
        <f>IFERROR(__xludf.DUMMYFUNCTION("""COMPUTED_VALUE"""),2220.0)</f>
        <v>2220</v>
      </c>
      <c r="E482" s="2">
        <f>IFERROR(__xludf.DUMMYFUNCTION("""COMPUTED_VALUE"""),2220.0)</f>
        <v>2220</v>
      </c>
      <c r="F482" s="2">
        <f>IFERROR(__xludf.DUMMYFUNCTION("""COMPUTED_VALUE"""),5.37702E7)</f>
        <v>53770200</v>
      </c>
      <c r="G482" s="2">
        <f t="shared" si="1"/>
        <v>40</v>
      </c>
    </row>
    <row r="483" ht="15.75" customHeight="1">
      <c r="A483" s="1">
        <f>IFERROR(__xludf.DUMMYFUNCTION("""COMPUTED_VALUE"""),44551.66666666667)</f>
        <v>44551.66667</v>
      </c>
      <c r="B483" s="2">
        <f>IFERROR(__xludf.DUMMYFUNCTION("""COMPUTED_VALUE"""),2220.0)</f>
        <v>2220</v>
      </c>
      <c r="C483" s="2">
        <f>IFERROR(__xludf.DUMMYFUNCTION("""COMPUTED_VALUE"""),2280.0)</f>
        <v>2280</v>
      </c>
      <c r="D483" s="2">
        <f>IFERROR(__xludf.DUMMYFUNCTION("""COMPUTED_VALUE"""),2220.0)</f>
        <v>2220</v>
      </c>
      <c r="E483" s="2">
        <f>IFERROR(__xludf.DUMMYFUNCTION("""COMPUTED_VALUE"""),2260.0)</f>
        <v>2260</v>
      </c>
      <c r="F483" s="2">
        <f>IFERROR(__xludf.DUMMYFUNCTION("""COMPUTED_VALUE"""),3.79642E7)</f>
        <v>37964200</v>
      </c>
      <c r="G483" s="2">
        <f t="shared" si="1"/>
        <v>60</v>
      </c>
    </row>
    <row r="484" ht="15.75" customHeight="1">
      <c r="A484" s="1">
        <f>IFERROR(__xludf.DUMMYFUNCTION("""COMPUTED_VALUE"""),44552.66666666667)</f>
        <v>44552.66667</v>
      </c>
      <c r="B484" s="2">
        <f>IFERROR(__xludf.DUMMYFUNCTION("""COMPUTED_VALUE"""),2270.0)</f>
        <v>2270</v>
      </c>
      <c r="C484" s="2">
        <f>IFERROR(__xludf.DUMMYFUNCTION("""COMPUTED_VALUE"""),2300.0)</f>
        <v>2300</v>
      </c>
      <c r="D484" s="2">
        <f>IFERROR(__xludf.DUMMYFUNCTION("""COMPUTED_VALUE"""),2250.0)</f>
        <v>2250</v>
      </c>
      <c r="E484" s="2">
        <f>IFERROR(__xludf.DUMMYFUNCTION("""COMPUTED_VALUE"""),2250.0)</f>
        <v>2250</v>
      </c>
      <c r="F484" s="2">
        <f>IFERROR(__xludf.DUMMYFUNCTION("""COMPUTED_VALUE"""),2.87865E7)</f>
        <v>28786500</v>
      </c>
      <c r="G484" s="2">
        <f t="shared" si="1"/>
        <v>50</v>
      </c>
    </row>
    <row r="485" ht="15.75" customHeight="1">
      <c r="A485" s="1">
        <f>IFERROR(__xludf.DUMMYFUNCTION("""COMPUTED_VALUE"""),44553.66666666667)</f>
        <v>44553.66667</v>
      </c>
      <c r="B485" s="2">
        <f>IFERROR(__xludf.DUMMYFUNCTION("""COMPUTED_VALUE"""),2260.0)</f>
        <v>2260</v>
      </c>
      <c r="C485" s="2">
        <f>IFERROR(__xludf.DUMMYFUNCTION("""COMPUTED_VALUE"""),2270.0)</f>
        <v>2270</v>
      </c>
      <c r="D485" s="2">
        <f>IFERROR(__xludf.DUMMYFUNCTION("""COMPUTED_VALUE"""),2240.0)</f>
        <v>2240</v>
      </c>
      <c r="E485" s="2">
        <f>IFERROR(__xludf.DUMMYFUNCTION("""COMPUTED_VALUE"""),2240.0)</f>
        <v>2240</v>
      </c>
      <c r="F485" s="2">
        <f>IFERROR(__xludf.DUMMYFUNCTION("""COMPUTED_VALUE"""),1.9005E7)</f>
        <v>19005000</v>
      </c>
      <c r="G485" s="2">
        <f t="shared" si="1"/>
        <v>30</v>
      </c>
    </row>
    <row r="486" ht="15.75" customHeight="1">
      <c r="A486" s="1">
        <f>IFERROR(__xludf.DUMMYFUNCTION("""COMPUTED_VALUE"""),44554.66666666667)</f>
        <v>44554.66667</v>
      </c>
      <c r="B486" s="2">
        <f>IFERROR(__xludf.DUMMYFUNCTION("""COMPUTED_VALUE"""),2260.0)</f>
        <v>2260</v>
      </c>
      <c r="C486" s="2">
        <f>IFERROR(__xludf.DUMMYFUNCTION("""COMPUTED_VALUE"""),2300.0)</f>
        <v>2300</v>
      </c>
      <c r="D486" s="2">
        <f>IFERROR(__xludf.DUMMYFUNCTION("""COMPUTED_VALUE"""),2250.0)</f>
        <v>2250</v>
      </c>
      <c r="E486" s="2">
        <f>IFERROR(__xludf.DUMMYFUNCTION("""COMPUTED_VALUE"""),2280.0)</f>
        <v>2280</v>
      </c>
      <c r="F486" s="2">
        <f>IFERROR(__xludf.DUMMYFUNCTION("""COMPUTED_VALUE"""),3.0712E7)</f>
        <v>30712000</v>
      </c>
      <c r="G486" s="2">
        <f t="shared" si="1"/>
        <v>60</v>
      </c>
    </row>
    <row r="487" ht="15.75" customHeight="1">
      <c r="A487" s="1">
        <f>IFERROR(__xludf.DUMMYFUNCTION("""COMPUTED_VALUE"""),44557.66666666667)</f>
        <v>44557.66667</v>
      </c>
      <c r="B487" s="2">
        <f>IFERROR(__xludf.DUMMYFUNCTION("""COMPUTED_VALUE"""),2300.0)</f>
        <v>2300</v>
      </c>
      <c r="C487" s="2">
        <f>IFERROR(__xludf.DUMMYFUNCTION("""COMPUTED_VALUE"""),2300.0)</f>
        <v>2300</v>
      </c>
      <c r="D487" s="2">
        <f>IFERROR(__xludf.DUMMYFUNCTION("""COMPUTED_VALUE"""),2280.0)</f>
        <v>2280</v>
      </c>
      <c r="E487" s="2">
        <f>IFERROR(__xludf.DUMMYFUNCTION("""COMPUTED_VALUE"""),2300.0)</f>
        <v>2300</v>
      </c>
      <c r="F487" s="2">
        <f>IFERROR(__xludf.DUMMYFUNCTION("""COMPUTED_VALUE"""),1.81931E7)</f>
        <v>18193100</v>
      </c>
      <c r="G487" s="2">
        <f t="shared" si="1"/>
        <v>20</v>
      </c>
    </row>
    <row r="488" ht="15.75" customHeight="1">
      <c r="A488" s="1">
        <f>IFERROR(__xludf.DUMMYFUNCTION("""COMPUTED_VALUE"""),44558.66666666667)</f>
        <v>44558.66667</v>
      </c>
      <c r="B488" s="2">
        <f>IFERROR(__xludf.DUMMYFUNCTION("""COMPUTED_VALUE"""),2310.0)</f>
        <v>2310</v>
      </c>
      <c r="C488" s="2">
        <f>IFERROR(__xludf.DUMMYFUNCTION("""COMPUTED_VALUE"""),2320.0)</f>
        <v>2320</v>
      </c>
      <c r="D488" s="2">
        <f>IFERROR(__xludf.DUMMYFUNCTION("""COMPUTED_VALUE"""),2260.0)</f>
        <v>2260</v>
      </c>
      <c r="E488" s="2">
        <f>IFERROR(__xludf.DUMMYFUNCTION("""COMPUTED_VALUE"""),2260.0)</f>
        <v>2260</v>
      </c>
      <c r="F488" s="2">
        <f>IFERROR(__xludf.DUMMYFUNCTION("""COMPUTED_VALUE"""),2.97875E7)</f>
        <v>29787500</v>
      </c>
      <c r="G488" s="2">
        <f t="shared" si="1"/>
        <v>60</v>
      </c>
    </row>
    <row r="489" ht="15.75" customHeight="1">
      <c r="A489" s="1">
        <f>IFERROR(__xludf.DUMMYFUNCTION("""COMPUTED_VALUE"""),44559.66666666667)</f>
        <v>44559.66667</v>
      </c>
      <c r="B489" s="2">
        <f>IFERROR(__xludf.DUMMYFUNCTION("""COMPUTED_VALUE"""),2270.0)</f>
        <v>2270</v>
      </c>
      <c r="C489" s="2">
        <f>IFERROR(__xludf.DUMMYFUNCTION("""COMPUTED_VALUE"""),2290.0)</f>
        <v>2290</v>
      </c>
      <c r="D489" s="2">
        <f>IFERROR(__xludf.DUMMYFUNCTION("""COMPUTED_VALUE"""),2260.0)</f>
        <v>2260</v>
      </c>
      <c r="E489" s="2">
        <f>IFERROR(__xludf.DUMMYFUNCTION("""COMPUTED_VALUE"""),2270.0)</f>
        <v>2270</v>
      </c>
      <c r="F489" s="2">
        <f>IFERROR(__xludf.DUMMYFUNCTION("""COMPUTED_VALUE"""),1.43046E7)</f>
        <v>14304600</v>
      </c>
      <c r="G489" s="2">
        <f t="shared" si="1"/>
        <v>30</v>
      </c>
    </row>
    <row r="490" ht="15.75" customHeight="1">
      <c r="A490" s="1">
        <f>IFERROR(__xludf.DUMMYFUNCTION("""COMPUTED_VALUE"""),44560.66666666667)</f>
        <v>44560.66667</v>
      </c>
      <c r="B490" s="2">
        <f>IFERROR(__xludf.DUMMYFUNCTION("""COMPUTED_VALUE"""),2280.0)</f>
        <v>2280</v>
      </c>
      <c r="C490" s="2">
        <f>IFERROR(__xludf.DUMMYFUNCTION("""COMPUTED_VALUE"""),2300.0)</f>
        <v>2300</v>
      </c>
      <c r="D490" s="2">
        <f>IFERROR(__xludf.DUMMYFUNCTION("""COMPUTED_VALUE"""),2250.0)</f>
        <v>2250</v>
      </c>
      <c r="E490" s="2">
        <f>IFERROR(__xludf.DUMMYFUNCTION("""COMPUTED_VALUE"""),2250.0)</f>
        <v>2250</v>
      </c>
      <c r="F490" s="2">
        <f>IFERROR(__xludf.DUMMYFUNCTION("""COMPUTED_VALUE"""),2.7319E7)</f>
        <v>27319000</v>
      </c>
      <c r="G490" s="2">
        <f t="shared" si="1"/>
        <v>50</v>
      </c>
    </row>
    <row r="491" ht="15.75" customHeight="1">
      <c r="A491" s="1">
        <f>IFERROR(__xludf.DUMMYFUNCTION("""COMPUTED_VALUE"""),44564.66666666667)</f>
        <v>44564.66667</v>
      </c>
      <c r="B491" s="2">
        <f>IFERROR(__xludf.DUMMYFUNCTION("""COMPUTED_VALUE"""),2260.0)</f>
        <v>2260</v>
      </c>
      <c r="C491" s="2">
        <f>IFERROR(__xludf.DUMMYFUNCTION("""COMPUTED_VALUE"""),2350.0)</f>
        <v>2350</v>
      </c>
      <c r="D491" s="2">
        <f>IFERROR(__xludf.DUMMYFUNCTION("""COMPUTED_VALUE"""),2260.0)</f>
        <v>2260</v>
      </c>
      <c r="E491" s="2">
        <f>IFERROR(__xludf.DUMMYFUNCTION("""COMPUTED_VALUE"""),2340.0)</f>
        <v>2340</v>
      </c>
      <c r="F491" s="2">
        <f>IFERROR(__xludf.DUMMYFUNCTION("""COMPUTED_VALUE"""),7.44167E7)</f>
        <v>74416700</v>
      </c>
      <c r="G491" s="2">
        <f t="shared" si="1"/>
        <v>100</v>
      </c>
    </row>
    <row r="492" ht="15.75" customHeight="1">
      <c r="A492" s="1">
        <f>IFERROR(__xludf.DUMMYFUNCTION("""COMPUTED_VALUE"""),44565.66666666667)</f>
        <v>44565.66667</v>
      </c>
      <c r="B492" s="2">
        <f>IFERROR(__xludf.DUMMYFUNCTION("""COMPUTED_VALUE"""),2340.0)</f>
        <v>2340</v>
      </c>
      <c r="C492" s="2">
        <f>IFERROR(__xludf.DUMMYFUNCTION("""COMPUTED_VALUE"""),2350.0)</f>
        <v>2350</v>
      </c>
      <c r="D492" s="2">
        <f>IFERROR(__xludf.DUMMYFUNCTION("""COMPUTED_VALUE"""),2290.0)</f>
        <v>2290</v>
      </c>
      <c r="E492" s="2">
        <f>IFERROR(__xludf.DUMMYFUNCTION("""COMPUTED_VALUE"""),2300.0)</f>
        <v>2300</v>
      </c>
      <c r="F492" s="2">
        <f>IFERROR(__xludf.DUMMYFUNCTION("""COMPUTED_VALUE"""),3.22222E7)</f>
        <v>32222200</v>
      </c>
      <c r="G492" s="2">
        <f t="shared" si="1"/>
        <v>60</v>
      </c>
    </row>
    <row r="493" ht="15.75" customHeight="1">
      <c r="A493" s="1">
        <f>IFERROR(__xludf.DUMMYFUNCTION("""COMPUTED_VALUE"""),44566.66666666667)</f>
        <v>44566.66667</v>
      </c>
      <c r="B493" s="2">
        <f>IFERROR(__xludf.DUMMYFUNCTION("""COMPUTED_VALUE"""),2310.0)</f>
        <v>2310</v>
      </c>
      <c r="C493" s="2">
        <f>IFERROR(__xludf.DUMMYFUNCTION("""COMPUTED_VALUE"""),2340.0)</f>
        <v>2340</v>
      </c>
      <c r="D493" s="2">
        <f>IFERROR(__xludf.DUMMYFUNCTION("""COMPUTED_VALUE"""),2250.0)</f>
        <v>2250</v>
      </c>
      <c r="E493" s="2">
        <f>IFERROR(__xludf.DUMMYFUNCTION("""COMPUTED_VALUE"""),2270.0)</f>
        <v>2270</v>
      </c>
      <c r="F493" s="2">
        <f>IFERROR(__xludf.DUMMYFUNCTION("""COMPUTED_VALUE"""),5.1315E7)</f>
        <v>51315000</v>
      </c>
      <c r="G493" s="2">
        <f t="shared" si="1"/>
        <v>90</v>
      </c>
    </row>
    <row r="494" ht="15.75" customHeight="1">
      <c r="A494" s="1">
        <f>IFERROR(__xludf.DUMMYFUNCTION("""COMPUTED_VALUE"""),44567.66666666667)</f>
        <v>44567.66667</v>
      </c>
      <c r="B494" s="2">
        <f>IFERROR(__xludf.DUMMYFUNCTION("""COMPUTED_VALUE"""),2260.0)</f>
        <v>2260</v>
      </c>
      <c r="C494" s="2">
        <f>IFERROR(__xludf.DUMMYFUNCTION("""COMPUTED_VALUE"""),2270.0)</f>
        <v>2270</v>
      </c>
      <c r="D494" s="2">
        <f>IFERROR(__xludf.DUMMYFUNCTION("""COMPUTED_VALUE"""),2230.0)</f>
        <v>2230</v>
      </c>
      <c r="E494" s="2">
        <f>IFERROR(__xludf.DUMMYFUNCTION("""COMPUTED_VALUE"""),2230.0)</f>
        <v>2230</v>
      </c>
      <c r="F494" s="2">
        <f>IFERROR(__xludf.DUMMYFUNCTION("""COMPUTED_VALUE"""),4.53258E7)</f>
        <v>45325800</v>
      </c>
      <c r="G494" s="2">
        <f t="shared" si="1"/>
        <v>40</v>
      </c>
    </row>
    <row r="495" ht="15.75" customHeight="1">
      <c r="A495" s="1">
        <f>IFERROR(__xludf.DUMMYFUNCTION("""COMPUTED_VALUE"""),44568.66666666667)</f>
        <v>44568.66667</v>
      </c>
      <c r="B495" s="2">
        <f>IFERROR(__xludf.DUMMYFUNCTION("""COMPUTED_VALUE"""),2250.0)</f>
        <v>2250</v>
      </c>
      <c r="C495" s="2">
        <f>IFERROR(__xludf.DUMMYFUNCTION("""COMPUTED_VALUE"""),2260.0)</f>
        <v>2260</v>
      </c>
      <c r="D495" s="2">
        <f>IFERROR(__xludf.DUMMYFUNCTION("""COMPUTED_VALUE"""),2230.0)</f>
        <v>2230</v>
      </c>
      <c r="E495" s="2">
        <f>IFERROR(__xludf.DUMMYFUNCTION("""COMPUTED_VALUE"""),2230.0)</f>
        <v>2230</v>
      </c>
      <c r="F495" s="2">
        <f>IFERROR(__xludf.DUMMYFUNCTION("""COMPUTED_VALUE"""),2.66619E7)</f>
        <v>26661900</v>
      </c>
      <c r="G495" s="2">
        <f t="shared" si="1"/>
        <v>30</v>
      </c>
    </row>
    <row r="496" ht="15.75" customHeight="1">
      <c r="A496" s="1">
        <f>IFERROR(__xludf.DUMMYFUNCTION("""COMPUTED_VALUE"""),44571.66666666667)</f>
        <v>44571.66667</v>
      </c>
      <c r="B496" s="2">
        <f>IFERROR(__xludf.DUMMYFUNCTION("""COMPUTED_VALUE"""),2250.0)</f>
        <v>2250</v>
      </c>
      <c r="C496" s="2">
        <f>IFERROR(__xludf.DUMMYFUNCTION("""COMPUTED_VALUE"""),2250.0)</f>
        <v>2250</v>
      </c>
      <c r="D496" s="2">
        <f>IFERROR(__xludf.DUMMYFUNCTION("""COMPUTED_VALUE"""),2220.0)</f>
        <v>2220</v>
      </c>
      <c r="E496" s="2">
        <f>IFERROR(__xludf.DUMMYFUNCTION("""COMPUTED_VALUE"""),2220.0)</f>
        <v>2220</v>
      </c>
      <c r="F496" s="2">
        <f>IFERROR(__xludf.DUMMYFUNCTION("""COMPUTED_VALUE"""),3.54212E7)</f>
        <v>35421200</v>
      </c>
      <c r="G496" s="2">
        <f t="shared" si="1"/>
        <v>30</v>
      </c>
    </row>
    <row r="497" ht="15.75" customHeight="1">
      <c r="A497" s="1">
        <f>IFERROR(__xludf.DUMMYFUNCTION("""COMPUTED_VALUE"""),44572.66666666667)</f>
        <v>44572.66667</v>
      </c>
      <c r="B497" s="2">
        <f>IFERROR(__xludf.DUMMYFUNCTION("""COMPUTED_VALUE"""),2220.0)</f>
        <v>2220</v>
      </c>
      <c r="C497" s="2">
        <f>IFERROR(__xludf.DUMMYFUNCTION("""COMPUTED_VALUE"""),2230.0)</f>
        <v>2230</v>
      </c>
      <c r="D497" s="2">
        <f>IFERROR(__xludf.DUMMYFUNCTION("""COMPUTED_VALUE"""),2080.0)</f>
        <v>2080</v>
      </c>
      <c r="E497" s="2">
        <f>IFERROR(__xludf.DUMMYFUNCTION("""COMPUTED_VALUE"""),2080.0)</f>
        <v>2080</v>
      </c>
      <c r="F497" s="2">
        <f>IFERROR(__xludf.DUMMYFUNCTION("""COMPUTED_VALUE"""),1.703979E8)</f>
        <v>170397900</v>
      </c>
      <c r="G497" s="2">
        <f t="shared" si="1"/>
        <v>150</v>
      </c>
    </row>
    <row r="498" ht="15.75" customHeight="1">
      <c r="A498" s="1">
        <f>IFERROR(__xludf.DUMMYFUNCTION("""COMPUTED_VALUE"""),44573.66666666667)</f>
        <v>44573.66667</v>
      </c>
      <c r="B498" s="2">
        <f>IFERROR(__xludf.DUMMYFUNCTION("""COMPUTED_VALUE"""),2120.0)</f>
        <v>2120</v>
      </c>
      <c r="C498" s="2">
        <f>IFERROR(__xludf.DUMMYFUNCTION("""COMPUTED_VALUE"""),2150.0)</f>
        <v>2150</v>
      </c>
      <c r="D498" s="2">
        <f>IFERROR(__xludf.DUMMYFUNCTION("""COMPUTED_VALUE"""),1935.0)</f>
        <v>1935</v>
      </c>
      <c r="E498" s="2">
        <f>IFERROR(__xludf.DUMMYFUNCTION("""COMPUTED_VALUE"""),1935.0)</f>
        <v>1935</v>
      </c>
      <c r="F498" s="2">
        <f>IFERROR(__xludf.DUMMYFUNCTION("""COMPUTED_VALUE"""),3.947459E8)</f>
        <v>394745900</v>
      </c>
      <c r="G498" s="2">
        <f t="shared" si="1"/>
        <v>215</v>
      </c>
    </row>
    <row r="499" ht="15.75" customHeight="1">
      <c r="A499" s="1">
        <f>IFERROR(__xludf.DUMMYFUNCTION("""COMPUTED_VALUE"""),44574.66666666667)</f>
        <v>44574.66667</v>
      </c>
      <c r="B499" s="2">
        <f>IFERROR(__xludf.DUMMYFUNCTION("""COMPUTED_VALUE"""),1935.0)</f>
        <v>1935</v>
      </c>
      <c r="C499" s="2">
        <f>IFERROR(__xludf.DUMMYFUNCTION("""COMPUTED_VALUE"""),1995.0)</f>
        <v>1995</v>
      </c>
      <c r="D499" s="2">
        <f>IFERROR(__xludf.DUMMYFUNCTION("""COMPUTED_VALUE"""),1840.0)</f>
        <v>1840</v>
      </c>
      <c r="E499" s="2">
        <f>IFERROR(__xludf.DUMMYFUNCTION("""COMPUTED_VALUE"""),1965.0)</f>
        <v>1965</v>
      </c>
      <c r="F499" s="2">
        <f>IFERROR(__xludf.DUMMYFUNCTION("""COMPUTED_VALUE"""),2.84219E8)</f>
        <v>284219000</v>
      </c>
      <c r="G499" s="2">
        <f t="shared" si="1"/>
        <v>155</v>
      </c>
    </row>
    <row r="500" ht="15.75" customHeight="1">
      <c r="A500" s="1">
        <f>IFERROR(__xludf.DUMMYFUNCTION("""COMPUTED_VALUE"""),44575.66666666667)</f>
        <v>44575.66667</v>
      </c>
      <c r="B500" s="2">
        <f>IFERROR(__xludf.DUMMYFUNCTION("""COMPUTED_VALUE"""),1965.0)</f>
        <v>1965</v>
      </c>
      <c r="C500" s="2">
        <f>IFERROR(__xludf.DUMMYFUNCTION("""COMPUTED_VALUE"""),1975.0)</f>
        <v>1975</v>
      </c>
      <c r="D500" s="2">
        <f>IFERROR(__xludf.DUMMYFUNCTION("""COMPUTED_VALUE"""),1930.0)</f>
        <v>1930</v>
      </c>
      <c r="E500" s="2">
        <f>IFERROR(__xludf.DUMMYFUNCTION("""COMPUTED_VALUE"""),1950.0)</f>
        <v>1950</v>
      </c>
      <c r="F500" s="2">
        <f>IFERROR(__xludf.DUMMYFUNCTION("""COMPUTED_VALUE"""),1.064421E8)</f>
        <v>106442100</v>
      </c>
      <c r="G500" s="2">
        <f t="shared" si="1"/>
        <v>45</v>
      </c>
    </row>
    <row r="501" ht="15.75" customHeight="1">
      <c r="A501" s="1">
        <f>IFERROR(__xludf.DUMMYFUNCTION("""COMPUTED_VALUE"""),44578.66666666667)</f>
        <v>44578.66667</v>
      </c>
      <c r="B501" s="2">
        <f>IFERROR(__xludf.DUMMYFUNCTION("""COMPUTED_VALUE"""),1950.0)</f>
        <v>1950</v>
      </c>
      <c r="C501" s="2">
        <f>IFERROR(__xludf.DUMMYFUNCTION("""COMPUTED_VALUE"""),1955.0)</f>
        <v>1955</v>
      </c>
      <c r="D501" s="2">
        <f>IFERROR(__xludf.DUMMYFUNCTION("""COMPUTED_VALUE"""),1840.0)</f>
        <v>1840</v>
      </c>
      <c r="E501" s="2">
        <f>IFERROR(__xludf.DUMMYFUNCTION("""COMPUTED_VALUE"""),1855.0)</f>
        <v>1855</v>
      </c>
      <c r="F501" s="2">
        <f>IFERROR(__xludf.DUMMYFUNCTION("""COMPUTED_VALUE"""),1.834929E8)</f>
        <v>183492900</v>
      </c>
      <c r="G501" s="2">
        <f t="shared" si="1"/>
        <v>115</v>
      </c>
    </row>
    <row r="502" ht="15.75" customHeight="1">
      <c r="A502" s="1">
        <f>IFERROR(__xludf.DUMMYFUNCTION("""COMPUTED_VALUE"""),44579.66666666667)</f>
        <v>44579.66667</v>
      </c>
      <c r="B502" s="2">
        <f>IFERROR(__xludf.DUMMYFUNCTION("""COMPUTED_VALUE"""),1850.0)</f>
        <v>1850</v>
      </c>
      <c r="C502" s="2">
        <f>IFERROR(__xludf.DUMMYFUNCTION("""COMPUTED_VALUE"""),1875.0)</f>
        <v>1875</v>
      </c>
      <c r="D502" s="2">
        <f>IFERROR(__xludf.DUMMYFUNCTION("""COMPUTED_VALUE"""),1765.0)</f>
        <v>1765</v>
      </c>
      <c r="E502" s="2">
        <f>IFERROR(__xludf.DUMMYFUNCTION("""COMPUTED_VALUE"""),1780.0)</f>
        <v>1780</v>
      </c>
      <c r="F502" s="2">
        <f>IFERROR(__xludf.DUMMYFUNCTION("""COMPUTED_VALUE"""),2.194962E8)</f>
        <v>219496200</v>
      </c>
      <c r="G502" s="2">
        <f t="shared" si="1"/>
        <v>110</v>
      </c>
    </row>
    <row r="503" ht="15.75" customHeight="1">
      <c r="A503" s="1">
        <f>IFERROR(__xludf.DUMMYFUNCTION("""COMPUTED_VALUE"""),44580.66666666667)</f>
        <v>44580.66667</v>
      </c>
      <c r="B503" s="2">
        <f>IFERROR(__xludf.DUMMYFUNCTION("""COMPUTED_VALUE"""),1780.0)</f>
        <v>1780</v>
      </c>
      <c r="C503" s="2">
        <f>IFERROR(__xludf.DUMMYFUNCTION("""COMPUTED_VALUE"""),1810.0)</f>
        <v>1810</v>
      </c>
      <c r="D503" s="2">
        <f>IFERROR(__xludf.DUMMYFUNCTION("""COMPUTED_VALUE"""),1705.0)</f>
        <v>1705</v>
      </c>
      <c r="E503" s="2">
        <f>IFERROR(__xludf.DUMMYFUNCTION("""COMPUTED_VALUE"""),1725.0)</f>
        <v>1725</v>
      </c>
      <c r="F503" s="2">
        <f>IFERROR(__xludf.DUMMYFUNCTION("""COMPUTED_VALUE"""),2.306067E8)</f>
        <v>230606700</v>
      </c>
      <c r="G503" s="2">
        <f t="shared" si="1"/>
        <v>105</v>
      </c>
    </row>
    <row r="504" ht="15.75" customHeight="1">
      <c r="A504" s="1">
        <f>IFERROR(__xludf.DUMMYFUNCTION("""COMPUTED_VALUE"""),44581.66666666667)</f>
        <v>44581.66667</v>
      </c>
      <c r="B504" s="2">
        <f>IFERROR(__xludf.DUMMYFUNCTION("""COMPUTED_VALUE"""),1765.0)</f>
        <v>1765</v>
      </c>
      <c r="C504" s="2">
        <f>IFERROR(__xludf.DUMMYFUNCTION("""COMPUTED_VALUE"""),1935.0)</f>
        <v>1935</v>
      </c>
      <c r="D504" s="2">
        <f>IFERROR(__xludf.DUMMYFUNCTION("""COMPUTED_VALUE"""),1750.0)</f>
        <v>1750</v>
      </c>
      <c r="E504" s="2">
        <f>IFERROR(__xludf.DUMMYFUNCTION("""COMPUTED_VALUE"""),1935.0)</f>
        <v>1935</v>
      </c>
      <c r="F504" s="2">
        <f>IFERROR(__xludf.DUMMYFUNCTION("""COMPUTED_VALUE"""),3.688481E8)</f>
        <v>368848100</v>
      </c>
      <c r="G504" s="2">
        <f t="shared" si="1"/>
        <v>210</v>
      </c>
    </row>
    <row r="505" ht="15.75" customHeight="1">
      <c r="A505" s="1">
        <f>IFERROR(__xludf.DUMMYFUNCTION("""COMPUTED_VALUE"""),44582.66666666667)</f>
        <v>44582.66667</v>
      </c>
      <c r="B505" s="2">
        <f>IFERROR(__xludf.DUMMYFUNCTION("""COMPUTED_VALUE"""),1935.0)</f>
        <v>1935</v>
      </c>
      <c r="C505" s="2">
        <f>IFERROR(__xludf.DUMMYFUNCTION("""COMPUTED_VALUE"""),1965.0)</f>
        <v>1965</v>
      </c>
      <c r="D505" s="2">
        <f>IFERROR(__xludf.DUMMYFUNCTION("""COMPUTED_VALUE"""),1890.0)</f>
        <v>1890</v>
      </c>
      <c r="E505" s="2">
        <f>IFERROR(__xludf.DUMMYFUNCTION("""COMPUTED_VALUE"""),1945.0)</f>
        <v>1945</v>
      </c>
      <c r="F505" s="2">
        <f>IFERROR(__xludf.DUMMYFUNCTION("""COMPUTED_VALUE"""),1.693314E8)</f>
        <v>169331400</v>
      </c>
      <c r="G505" s="2">
        <f t="shared" si="1"/>
        <v>75</v>
      </c>
    </row>
    <row r="506" ht="15.75" customHeight="1">
      <c r="A506" s="1">
        <f>IFERROR(__xludf.DUMMYFUNCTION("""COMPUTED_VALUE"""),44585.66666666667)</f>
        <v>44585.66667</v>
      </c>
      <c r="B506" s="2">
        <f>IFERROR(__xludf.DUMMYFUNCTION("""COMPUTED_VALUE"""),1950.0)</f>
        <v>1950</v>
      </c>
      <c r="C506" s="2">
        <f>IFERROR(__xludf.DUMMYFUNCTION("""COMPUTED_VALUE"""),1955.0)</f>
        <v>1955</v>
      </c>
      <c r="D506" s="2">
        <f>IFERROR(__xludf.DUMMYFUNCTION("""COMPUTED_VALUE"""),1875.0)</f>
        <v>1875</v>
      </c>
      <c r="E506" s="2">
        <f>IFERROR(__xludf.DUMMYFUNCTION("""COMPUTED_VALUE"""),1885.0)</f>
        <v>1885</v>
      </c>
      <c r="F506" s="2">
        <f>IFERROR(__xludf.DUMMYFUNCTION("""COMPUTED_VALUE"""),7.02898E7)</f>
        <v>70289800</v>
      </c>
      <c r="G506" s="2">
        <f t="shared" si="1"/>
        <v>80</v>
      </c>
    </row>
    <row r="507" ht="15.75" customHeight="1">
      <c r="A507" s="1">
        <f>IFERROR(__xludf.DUMMYFUNCTION("""COMPUTED_VALUE"""),44586.66666666667)</f>
        <v>44586.66667</v>
      </c>
      <c r="B507" s="2">
        <f>IFERROR(__xludf.DUMMYFUNCTION("""COMPUTED_VALUE"""),1840.0)</f>
        <v>1840</v>
      </c>
      <c r="C507" s="2">
        <f>IFERROR(__xludf.DUMMYFUNCTION("""COMPUTED_VALUE"""),1840.0)</f>
        <v>1840</v>
      </c>
      <c r="D507" s="2">
        <f>IFERROR(__xludf.DUMMYFUNCTION("""COMPUTED_VALUE"""),1755.0)</f>
        <v>1755</v>
      </c>
      <c r="E507" s="2">
        <f>IFERROR(__xludf.DUMMYFUNCTION("""COMPUTED_VALUE"""),1760.0)</f>
        <v>1760</v>
      </c>
      <c r="F507" s="2">
        <f>IFERROR(__xludf.DUMMYFUNCTION("""COMPUTED_VALUE"""),2.016031E8)</f>
        <v>201603100</v>
      </c>
      <c r="G507" s="2">
        <f t="shared" si="1"/>
        <v>130</v>
      </c>
    </row>
    <row r="508" ht="15.75" customHeight="1">
      <c r="A508" s="1">
        <f>IFERROR(__xludf.DUMMYFUNCTION("""COMPUTED_VALUE"""),44587.66666666667)</f>
        <v>44587.66667</v>
      </c>
      <c r="B508" s="2">
        <f>IFERROR(__xludf.DUMMYFUNCTION("""COMPUTED_VALUE"""),1780.0)</f>
        <v>1780</v>
      </c>
      <c r="C508" s="2">
        <f>IFERROR(__xludf.DUMMYFUNCTION("""COMPUTED_VALUE"""),1815.0)</f>
        <v>1815</v>
      </c>
      <c r="D508" s="2">
        <f>IFERROR(__xludf.DUMMYFUNCTION("""COMPUTED_VALUE"""),1735.0)</f>
        <v>1735</v>
      </c>
      <c r="E508" s="2">
        <f>IFERROR(__xludf.DUMMYFUNCTION("""COMPUTED_VALUE"""),1805.0)</f>
        <v>1805</v>
      </c>
      <c r="F508" s="2">
        <f>IFERROR(__xludf.DUMMYFUNCTION("""COMPUTED_VALUE"""),1.627999E8)</f>
        <v>162799900</v>
      </c>
      <c r="G508" s="2">
        <f t="shared" si="1"/>
        <v>80</v>
      </c>
    </row>
    <row r="509" ht="15.75" customHeight="1">
      <c r="A509" s="1">
        <f>IFERROR(__xludf.DUMMYFUNCTION("""COMPUTED_VALUE"""),44588.66666666667)</f>
        <v>44588.66667</v>
      </c>
      <c r="B509" s="2">
        <f>IFERROR(__xludf.DUMMYFUNCTION("""COMPUTED_VALUE"""),1775.0)</f>
        <v>1775</v>
      </c>
      <c r="C509" s="2">
        <f>IFERROR(__xludf.DUMMYFUNCTION("""COMPUTED_VALUE"""),1790.0)</f>
        <v>1790</v>
      </c>
      <c r="D509" s="2">
        <f>IFERROR(__xludf.DUMMYFUNCTION("""COMPUTED_VALUE"""),1750.0)</f>
        <v>1750</v>
      </c>
      <c r="E509" s="2">
        <f>IFERROR(__xludf.DUMMYFUNCTION("""COMPUTED_VALUE"""),1765.0)</f>
        <v>1765</v>
      </c>
      <c r="F509" s="2">
        <f>IFERROR(__xludf.DUMMYFUNCTION("""COMPUTED_VALUE"""),1.338318E8)</f>
        <v>133831800</v>
      </c>
      <c r="G509" s="2">
        <f t="shared" si="1"/>
        <v>55</v>
      </c>
    </row>
    <row r="510" ht="15.75" customHeight="1">
      <c r="A510" s="1">
        <f>IFERROR(__xludf.DUMMYFUNCTION("""COMPUTED_VALUE"""),44589.66666666667)</f>
        <v>44589.66667</v>
      </c>
      <c r="B510" s="2">
        <f>IFERROR(__xludf.DUMMYFUNCTION("""COMPUTED_VALUE"""),1770.0)</f>
        <v>1770</v>
      </c>
      <c r="C510" s="2">
        <f>IFERROR(__xludf.DUMMYFUNCTION("""COMPUTED_VALUE"""),1790.0)</f>
        <v>1790</v>
      </c>
      <c r="D510" s="2">
        <f>IFERROR(__xludf.DUMMYFUNCTION("""COMPUTED_VALUE"""),1755.0)</f>
        <v>1755</v>
      </c>
      <c r="E510" s="2">
        <f>IFERROR(__xludf.DUMMYFUNCTION("""COMPUTED_VALUE"""),1770.0)</f>
        <v>1770</v>
      </c>
      <c r="F510" s="2">
        <f>IFERROR(__xludf.DUMMYFUNCTION("""COMPUTED_VALUE"""),4.99255E7)</f>
        <v>49925500</v>
      </c>
      <c r="G510" s="2">
        <f t="shared" si="1"/>
        <v>35</v>
      </c>
    </row>
    <row r="511" ht="15.75" customHeight="1">
      <c r="A511" s="1">
        <f>IFERROR(__xludf.DUMMYFUNCTION("""COMPUTED_VALUE"""),44592.66666666667)</f>
        <v>44592.66667</v>
      </c>
      <c r="B511" s="2">
        <f>IFERROR(__xludf.DUMMYFUNCTION("""COMPUTED_VALUE"""),1785.0)</f>
        <v>1785</v>
      </c>
      <c r="C511" s="2">
        <f>IFERROR(__xludf.DUMMYFUNCTION("""COMPUTED_VALUE"""),1810.0)</f>
        <v>1810</v>
      </c>
      <c r="D511" s="2">
        <f>IFERROR(__xludf.DUMMYFUNCTION("""COMPUTED_VALUE"""),1770.0)</f>
        <v>1770</v>
      </c>
      <c r="E511" s="2">
        <f>IFERROR(__xludf.DUMMYFUNCTION("""COMPUTED_VALUE"""),1770.0)</f>
        <v>1770</v>
      </c>
      <c r="F511" s="2">
        <f>IFERROR(__xludf.DUMMYFUNCTION("""COMPUTED_VALUE"""),8.18205E7)</f>
        <v>81820500</v>
      </c>
      <c r="G511" s="2">
        <f t="shared" si="1"/>
        <v>40</v>
      </c>
    </row>
    <row r="512" ht="15.75" customHeight="1">
      <c r="A512" s="1">
        <f>IFERROR(__xludf.DUMMYFUNCTION("""COMPUTED_VALUE"""),44594.66666666667)</f>
        <v>44594.66667</v>
      </c>
      <c r="B512" s="2">
        <f>IFERROR(__xludf.DUMMYFUNCTION("""COMPUTED_VALUE"""),1805.0)</f>
        <v>1805</v>
      </c>
      <c r="C512" s="2">
        <f>IFERROR(__xludf.DUMMYFUNCTION("""COMPUTED_VALUE"""),1830.0)</f>
        <v>1830</v>
      </c>
      <c r="D512" s="2">
        <f>IFERROR(__xludf.DUMMYFUNCTION("""COMPUTED_VALUE"""),1775.0)</f>
        <v>1775</v>
      </c>
      <c r="E512" s="2">
        <f>IFERROR(__xludf.DUMMYFUNCTION("""COMPUTED_VALUE"""),1780.0)</f>
        <v>1780</v>
      </c>
      <c r="F512" s="2">
        <f>IFERROR(__xludf.DUMMYFUNCTION("""COMPUTED_VALUE"""),1.588439E8)</f>
        <v>158843900</v>
      </c>
      <c r="G512" s="2">
        <f t="shared" si="1"/>
        <v>60</v>
      </c>
    </row>
    <row r="513" ht="15.75" customHeight="1">
      <c r="A513" s="1">
        <f>IFERROR(__xludf.DUMMYFUNCTION("""COMPUTED_VALUE"""),44595.66666666667)</f>
        <v>44595.66667</v>
      </c>
      <c r="B513" s="2">
        <f>IFERROR(__xludf.DUMMYFUNCTION("""COMPUTED_VALUE"""),1785.0)</f>
        <v>1785</v>
      </c>
      <c r="C513" s="2">
        <f>IFERROR(__xludf.DUMMYFUNCTION("""COMPUTED_VALUE"""),1860.0)</f>
        <v>1860</v>
      </c>
      <c r="D513" s="2">
        <f>IFERROR(__xludf.DUMMYFUNCTION("""COMPUTED_VALUE"""),1765.0)</f>
        <v>1765</v>
      </c>
      <c r="E513" s="2">
        <f>IFERROR(__xludf.DUMMYFUNCTION("""COMPUTED_VALUE"""),1840.0)</f>
        <v>1840</v>
      </c>
      <c r="F513" s="2">
        <f>IFERROR(__xludf.DUMMYFUNCTION("""COMPUTED_VALUE"""),1.251157E8)</f>
        <v>125115700</v>
      </c>
      <c r="G513" s="2">
        <f t="shared" si="1"/>
        <v>95</v>
      </c>
    </row>
    <row r="514" ht="15.75" customHeight="1">
      <c r="A514" s="1">
        <f>IFERROR(__xludf.DUMMYFUNCTION("""COMPUTED_VALUE"""),44596.66666666667)</f>
        <v>44596.66667</v>
      </c>
      <c r="B514" s="2">
        <f>IFERROR(__xludf.DUMMYFUNCTION("""COMPUTED_VALUE"""),1830.0)</f>
        <v>1830</v>
      </c>
      <c r="C514" s="2">
        <f>IFERROR(__xludf.DUMMYFUNCTION("""COMPUTED_VALUE"""),1835.0)</f>
        <v>1835</v>
      </c>
      <c r="D514" s="2">
        <f>IFERROR(__xludf.DUMMYFUNCTION("""COMPUTED_VALUE"""),1805.0)</f>
        <v>1805</v>
      </c>
      <c r="E514" s="2">
        <f>IFERROR(__xludf.DUMMYFUNCTION("""COMPUTED_VALUE"""),1810.0)</f>
        <v>1810</v>
      </c>
      <c r="F514" s="2">
        <f>IFERROR(__xludf.DUMMYFUNCTION("""COMPUTED_VALUE"""),8.02955E7)</f>
        <v>80295500</v>
      </c>
      <c r="G514" s="2">
        <f t="shared" si="1"/>
        <v>35</v>
      </c>
    </row>
    <row r="515" ht="15.75" customHeight="1">
      <c r="A515" s="1">
        <f>IFERROR(__xludf.DUMMYFUNCTION("""COMPUTED_VALUE"""),44599.66666666667)</f>
        <v>44599.66667</v>
      </c>
      <c r="B515" s="2">
        <f>IFERROR(__xludf.DUMMYFUNCTION("""COMPUTED_VALUE"""),1810.0)</f>
        <v>1810</v>
      </c>
      <c r="C515" s="2">
        <f>IFERROR(__xludf.DUMMYFUNCTION("""COMPUTED_VALUE"""),1835.0)</f>
        <v>1835</v>
      </c>
      <c r="D515" s="2">
        <f>IFERROR(__xludf.DUMMYFUNCTION("""COMPUTED_VALUE"""),1805.0)</f>
        <v>1805</v>
      </c>
      <c r="E515" s="2">
        <f>IFERROR(__xludf.DUMMYFUNCTION("""COMPUTED_VALUE"""),1810.0)</f>
        <v>1810</v>
      </c>
      <c r="F515" s="2">
        <f>IFERROR(__xludf.DUMMYFUNCTION("""COMPUTED_VALUE"""),7.44699E7)</f>
        <v>74469900</v>
      </c>
      <c r="G515" s="2">
        <f t="shared" si="1"/>
        <v>30</v>
      </c>
    </row>
    <row r="516" ht="15.75" customHeight="1">
      <c r="A516" s="1">
        <f>IFERROR(__xludf.DUMMYFUNCTION("""COMPUTED_VALUE"""),44600.66666666667)</f>
        <v>44600.66667</v>
      </c>
      <c r="B516" s="2">
        <f>IFERROR(__xludf.DUMMYFUNCTION("""COMPUTED_VALUE"""),1820.0)</f>
        <v>1820</v>
      </c>
      <c r="C516" s="2">
        <f>IFERROR(__xludf.DUMMYFUNCTION("""COMPUTED_VALUE"""),1825.0)</f>
        <v>1825</v>
      </c>
      <c r="D516" s="2">
        <f>IFERROR(__xludf.DUMMYFUNCTION("""COMPUTED_VALUE"""),1785.0)</f>
        <v>1785</v>
      </c>
      <c r="E516" s="2">
        <f>IFERROR(__xludf.DUMMYFUNCTION("""COMPUTED_VALUE"""),1790.0)</f>
        <v>1790</v>
      </c>
      <c r="F516" s="2">
        <f>IFERROR(__xludf.DUMMYFUNCTION("""COMPUTED_VALUE"""),9.08808E7)</f>
        <v>90880800</v>
      </c>
      <c r="G516" s="2">
        <f t="shared" si="1"/>
        <v>40</v>
      </c>
    </row>
    <row r="517" ht="15.75" customHeight="1">
      <c r="A517" s="1">
        <f>IFERROR(__xludf.DUMMYFUNCTION("""COMPUTED_VALUE"""),44601.66666666667)</f>
        <v>44601.66667</v>
      </c>
      <c r="B517" s="2">
        <f>IFERROR(__xludf.DUMMYFUNCTION("""COMPUTED_VALUE"""),1790.0)</f>
        <v>1790</v>
      </c>
      <c r="C517" s="2">
        <f>IFERROR(__xludf.DUMMYFUNCTION("""COMPUTED_VALUE"""),1800.0)</f>
        <v>1800</v>
      </c>
      <c r="D517" s="2">
        <f>IFERROR(__xludf.DUMMYFUNCTION("""COMPUTED_VALUE"""),1770.0)</f>
        <v>1770</v>
      </c>
      <c r="E517" s="2">
        <f>IFERROR(__xludf.DUMMYFUNCTION("""COMPUTED_VALUE"""),1780.0)</f>
        <v>1780</v>
      </c>
      <c r="F517" s="2">
        <f>IFERROR(__xludf.DUMMYFUNCTION("""COMPUTED_VALUE"""),7.39681E7)</f>
        <v>73968100</v>
      </c>
      <c r="G517" s="2">
        <f t="shared" si="1"/>
        <v>30</v>
      </c>
    </row>
    <row r="518" ht="15.75" customHeight="1">
      <c r="A518" s="1">
        <f>IFERROR(__xludf.DUMMYFUNCTION("""COMPUTED_VALUE"""),44602.66666666667)</f>
        <v>44602.66667</v>
      </c>
      <c r="B518" s="2">
        <f>IFERROR(__xludf.DUMMYFUNCTION("""COMPUTED_VALUE"""),1795.0)</f>
        <v>1795</v>
      </c>
      <c r="C518" s="2">
        <f>IFERROR(__xludf.DUMMYFUNCTION("""COMPUTED_VALUE"""),1905.0)</f>
        <v>1905</v>
      </c>
      <c r="D518" s="2">
        <f>IFERROR(__xludf.DUMMYFUNCTION("""COMPUTED_VALUE"""),1790.0)</f>
        <v>1790</v>
      </c>
      <c r="E518" s="2">
        <f>IFERROR(__xludf.DUMMYFUNCTION("""COMPUTED_VALUE"""),1880.0)</f>
        <v>1880</v>
      </c>
      <c r="F518" s="2">
        <f>IFERROR(__xludf.DUMMYFUNCTION("""COMPUTED_VALUE"""),2.550387E8)</f>
        <v>255038700</v>
      </c>
      <c r="G518" s="2">
        <f t="shared" si="1"/>
        <v>125</v>
      </c>
    </row>
    <row r="519" ht="15.75" customHeight="1">
      <c r="A519" s="1">
        <f>IFERROR(__xludf.DUMMYFUNCTION("""COMPUTED_VALUE"""),44603.66666666667)</f>
        <v>44603.66667</v>
      </c>
      <c r="B519" s="2">
        <f>IFERROR(__xludf.DUMMYFUNCTION("""COMPUTED_VALUE"""),1890.0)</f>
        <v>1890</v>
      </c>
      <c r="C519" s="2">
        <f>IFERROR(__xludf.DUMMYFUNCTION("""COMPUTED_VALUE"""),1900.0)</f>
        <v>1900</v>
      </c>
      <c r="D519" s="2">
        <f>IFERROR(__xludf.DUMMYFUNCTION("""COMPUTED_VALUE"""),1830.0)</f>
        <v>1830</v>
      </c>
      <c r="E519" s="2">
        <f>IFERROR(__xludf.DUMMYFUNCTION("""COMPUTED_VALUE"""),1845.0)</f>
        <v>1845</v>
      </c>
      <c r="F519" s="2">
        <f>IFERROR(__xludf.DUMMYFUNCTION("""COMPUTED_VALUE"""),1.128457E8)</f>
        <v>112845700</v>
      </c>
      <c r="G519" s="2">
        <f t="shared" si="1"/>
        <v>70</v>
      </c>
    </row>
    <row r="520" ht="15.75" customHeight="1">
      <c r="A520" s="1">
        <f>IFERROR(__xludf.DUMMYFUNCTION("""COMPUTED_VALUE"""),44606.66666666667)</f>
        <v>44606.66667</v>
      </c>
      <c r="B520" s="2">
        <f>IFERROR(__xludf.DUMMYFUNCTION("""COMPUTED_VALUE"""),1840.0)</f>
        <v>1840</v>
      </c>
      <c r="C520" s="2">
        <f>IFERROR(__xludf.DUMMYFUNCTION("""COMPUTED_VALUE"""),1900.0)</f>
        <v>1900</v>
      </c>
      <c r="D520" s="2">
        <f>IFERROR(__xludf.DUMMYFUNCTION("""COMPUTED_VALUE"""),1810.0)</f>
        <v>1810</v>
      </c>
      <c r="E520" s="2">
        <f>IFERROR(__xludf.DUMMYFUNCTION("""COMPUTED_VALUE"""),1890.0)</f>
        <v>1890</v>
      </c>
      <c r="F520" s="2">
        <f>IFERROR(__xludf.DUMMYFUNCTION("""COMPUTED_VALUE"""),1.260465E8)</f>
        <v>126046500</v>
      </c>
      <c r="G520" s="2">
        <f t="shared" si="1"/>
        <v>90</v>
      </c>
    </row>
    <row r="521" ht="15.75" customHeight="1">
      <c r="A521" s="1">
        <f>IFERROR(__xludf.DUMMYFUNCTION("""COMPUTED_VALUE"""),44607.66666666667)</f>
        <v>44607.66667</v>
      </c>
      <c r="B521" s="2">
        <f>IFERROR(__xludf.DUMMYFUNCTION("""COMPUTED_VALUE"""),1890.0)</f>
        <v>1890</v>
      </c>
      <c r="C521" s="2">
        <f>IFERROR(__xludf.DUMMYFUNCTION("""COMPUTED_VALUE"""),1910.0)</f>
        <v>1910</v>
      </c>
      <c r="D521" s="2">
        <f>IFERROR(__xludf.DUMMYFUNCTION("""COMPUTED_VALUE"""),1865.0)</f>
        <v>1865</v>
      </c>
      <c r="E521" s="2">
        <f>IFERROR(__xludf.DUMMYFUNCTION("""COMPUTED_VALUE"""),1880.0)</f>
        <v>1880</v>
      </c>
      <c r="F521" s="2">
        <f>IFERROR(__xludf.DUMMYFUNCTION("""COMPUTED_VALUE"""),8.06431E7)</f>
        <v>80643100</v>
      </c>
      <c r="G521" s="2">
        <f t="shared" si="1"/>
        <v>45</v>
      </c>
    </row>
    <row r="522" ht="15.75" customHeight="1">
      <c r="A522" s="1">
        <f>IFERROR(__xludf.DUMMYFUNCTION("""COMPUTED_VALUE"""),44608.66666666667)</f>
        <v>44608.66667</v>
      </c>
      <c r="B522" s="2">
        <f>IFERROR(__xludf.DUMMYFUNCTION("""COMPUTED_VALUE"""),1890.0)</f>
        <v>1890</v>
      </c>
      <c r="C522" s="2">
        <f>IFERROR(__xludf.DUMMYFUNCTION("""COMPUTED_VALUE"""),1895.0)</f>
        <v>1895</v>
      </c>
      <c r="D522" s="2">
        <f>IFERROR(__xludf.DUMMYFUNCTION("""COMPUTED_VALUE"""),1870.0)</f>
        <v>1870</v>
      </c>
      <c r="E522" s="2">
        <f>IFERROR(__xludf.DUMMYFUNCTION("""COMPUTED_VALUE"""),1880.0)</f>
        <v>1880</v>
      </c>
      <c r="F522" s="2">
        <f>IFERROR(__xludf.DUMMYFUNCTION("""COMPUTED_VALUE"""),4.87838E7)</f>
        <v>48783800</v>
      </c>
      <c r="G522" s="2">
        <f t="shared" si="1"/>
        <v>25</v>
      </c>
    </row>
    <row r="523" ht="15.75" customHeight="1">
      <c r="A523" s="1">
        <f>IFERROR(__xludf.DUMMYFUNCTION("""COMPUTED_VALUE"""),44609.66666666667)</f>
        <v>44609.66667</v>
      </c>
      <c r="B523" s="2">
        <f>IFERROR(__xludf.DUMMYFUNCTION("""COMPUTED_VALUE"""),1885.0)</f>
        <v>1885</v>
      </c>
      <c r="C523" s="2">
        <f>IFERROR(__xludf.DUMMYFUNCTION("""COMPUTED_VALUE"""),1945.0)</f>
        <v>1945</v>
      </c>
      <c r="D523" s="2">
        <f>IFERROR(__xludf.DUMMYFUNCTION("""COMPUTED_VALUE"""),1855.0)</f>
        <v>1855</v>
      </c>
      <c r="E523" s="2">
        <f>IFERROR(__xludf.DUMMYFUNCTION("""COMPUTED_VALUE"""),1945.0)</f>
        <v>1945</v>
      </c>
      <c r="F523" s="2">
        <f>IFERROR(__xludf.DUMMYFUNCTION("""COMPUTED_VALUE"""),1.181493E8)</f>
        <v>118149300</v>
      </c>
      <c r="G523" s="2">
        <f t="shared" si="1"/>
        <v>90</v>
      </c>
    </row>
    <row r="524" ht="15.75" customHeight="1">
      <c r="A524" s="1">
        <f>IFERROR(__xludf.DUMMYFUNCTION("""COMPUTED_VALUE"""),44610.66666666667)</f>
        <v>44610.66667</v>
      </c>
      <c r="B524" s="2">
        <f>IFERROR(__xludf.DUMMYFUNCTION("""COMPUTED_VALUE"""),1955.0)</f>
        <v>1955</v>
      </c>
      <c r="C524" s="2">
        <f>IFERROR(__xludf.DUMMYFUNCTION("""COMPUTED_VALUE"""),2140.0)</f>
        <v>2140</v>
      </c>
      <c r="D524" s="2">
        <f>IFERROR(__xludf.DUMMYFUNCTION("""COMPUTED_VALUE"""),1955.0)</f>
        <v>1955</v>
      </c>
      <c r="E524" s="2">
        <f>IFERROR(__xludf.DUMMYFUNCTION("""COMPUTED_VALUE"""),2090.0)</f>
        <v>2090</v>
      </c>
      <c r="F524" s="2">
        <f>IFERROR(__xludf.DUMMYFUNCTION("""COMPUTED_VALUE"""),4.128358E8)</f>
        <v>412835800</v>
      </c>
      <c r="G524" s="2">
        <f t="shared" si="1"/>
        <v>195</v>
      </c>
    </row>
    <row r="525" ht="15.75" customHeight="1">
      <c r="A525" s="1">
        <f>IFERROR(__xludf.DUMMYFUNCTION("""COMPUTED_VALUE"""),44613.66666666667)</f>
        <v>44613.66667</v>
      </c>
      <c r="B525" s="2">
        <f>IFERROR(__xludf.DUMMYFUNCTION("""COMPUTED_VALUE"""),2100.0)</f>
        <v>2100</v>
      </c>
      <c r="C525" s="2">
        <f>IFERROR(__xludf.DUMMYFUNCTION("""COMPUTED_VALUE"""),2190.0)</f>
        <v>2190</v>
      </c>
      <c r="D525" s="2">
        <f>IFERROR(__xludf.DUMMYFUNCTION("""COMPUTED_VALUE"""),2100.0)</f>
        <v>2100</v>
      </c>
      <c r="E525" s="2">
        <f>IFERROR(__xludf.DUMMYFUNCTION("""COMPUTED_VALUE"""),2170.0)</f>
        <v>2170</v>
      </c>
      <c r="F525" s="2">
        <f>IFERROR(__xludf.DUMMYFUNCTION("""COMPUTED_VALUE"""),2.10845E8)</f>
        <v>210845000</v>
      </c>
      <c r="G525" s="2">
        <f t="shared" si="1"/>
        <v>100</v>
      </c>
    </row>
    <row r="526" ht="15.75" customHeight="1">
      <c r="A526" s="1">
        <f>IFERROR(__xludf.DUMMYFUNCTION("""COMPUTED_VALUE"""),44614.66666666667)</f>
        <v>44614.66667</v>
      </c>
      <c r="B526" s="2">
        <f>IFERROR(__xludf.DUMMYFUNCTION("""COMPUTED_VALUE"""),2150.0)</f>
        <v>2150</v>
      </c>
      <c r="C526" s="2">
        <f>IFERROR(__xludf.DUMMYFUNCTION("""COMPUTED_VALUE"""),2200.0)</f>
        <v>2200</v>
      </c>
      <c r="D526" s="2">
        <f>IFERROR(__xludf.DUMMYFUNCTION("""COMPUTED_VALUE"""),2100.0)</f>
        <v>2100</v>
      </c>
      <c r="E526" s="2">
        <f>IFERROR(__xludf.DUMMYFUNCTION("""COMPUTED_VALUE"""),2180.0)</f>
        <v>2180</v>
      </c>
      <c r="F526" s="2">
        <f>IFERROR(__xludf.DUMMYFUNCTION("""COMPUTED_VALUE"""),2.155818E8)</f>
        <v>215581800</v>
      </c>
      <c r="G526" s="2">
        <f t="shared" si="1"/>
        <v>100</v>
      </c>
    </row>
    <row r="527" ht="15.75" customHeight="1">
      <c r="A527" s="1">
        <f>IFERROR(__xludf.DUMMYFUNCTION("""COMPUTED_VALUE"""),44615.66666666667)</f>
        <v>44615.66667</v>
      </c>
      <c r="B527" s="2">
        <f>IFERROR(__xludf.DUMMYFUNCTION("""COMPUTED_VALUE"""),2200.0)</f>
        <v>2200</v>
      </c>
      <c r="C527" s="2">
        <f>IFERROR(__xludf.DUMMYFUNCTION("""COMPUTED_VALUE"""),2230.0)</f>
        <v>2230</v>
      </c>
      <c r="D527" s="2">
        <f>IFERROR(__xludf.DUMMYFUNCTION("""COMPUTED_VALUE"""),2170.0)</f>
        <v>2170</v>
      </c>
      <c r="E527" s="2">
        <f>IFERROR(__xludf.DUMMYFUNCTION("""COMPUTED_VALUE"""),2200.0)</f>
        <v>2200</v>
      </c>
      <c r="F527" s="2">
        <f>IFERROR(__xludf.DUMMYFUNCTION("""COMPUTED_VALUE"""),1.409263E8)</f>
        <v>140926300</v>
      </c>
      <c r="G527" s="2">
        <f t="shared" si="1"/>
        <v>60</v>
      </c>
    </row>
    <row r="528" ht="15.75" customHeight="1">
      <c r="A528" s="1">
        <f>IFERROR(__xludf.DUMMYFUNCTION("""COMPUTED_VALUE"""),44616.66666666667)</f>
        <v>44616.66667</v>
      </c>
      <c r="B528" s="2">
        <f>IFERROR(__xludf.DUMMYFUNCTION("""COMPUTED_VALUE"""),2190.0)</f>
        <v>2190</v>
      </c>
      <c r="C528" s="2">
        <f>IFERROR(__xludf.DUMMYFUNCTION("""COMPUTED_VALUE"""),2240.0)</f>
        <v>2240</v>
      </c>
      <c r="D528" s="2">
        <f>IFERROR(__xludf.DUMMYFUNCTION("""COMPUTED_VALUE"""),2120.0)</f>
        <v>2120</v>
      </c>
      <c r="E528" s="2">
        <f>IFERROR(__xludf.DUMMYFUNCTION("""COMPUTED_VALUE"""),2220.0)</f>
        <v>2220</v>
      </c>
      <c r="F528" s="2">
        <f>IFERROR(__xludf.DUMMYFUNCTION("""COMPUTED_VALUE"""),3.038026E8)</f>
        <v>303802600</v>
      </c>
      <c r="G528" s="2">
        <f t="shared" si="1"/>
        <v>120</v>
      </c>
    </row>
    <row r="529" ht="15.75" customHeight="1">
      <c r="A529" s="1">
        <f>IFERROR(__xludf.DUMMYFUNCTION("""COMPUTED_VALUE"""),44617.66666666667)</f>
        <v>44617.66667</v>
      </c>
      <c r="B529" s="2">
        <f>IFERROR(__xludf.DUMMYFUNCTION("""COMPUTED_VALUE"""),2220.0)</f>
        <v>2220</v>
      </c>
      <c r="C529" s="2">
        <f>IFERROR(__xludf.DUMMYFUNCTION("""COMPUTED_VALUE"""),2270.0)</f>
        <v>2270</v>
      </c>
      <c r="D529" s="2">
        <f>IFERROR(__xludf.DUMMYFUNCTION("""COMPUTED_VALUE"""),2200.0)</f>
        <v>2200</v>
      </c>
      <c r="E529" s="2">
        <f>IFERROR(__xludf.DUMMYFUNCTION("""COMPUTED_VALUE"""),2220.0)</f>
        <v>2220</v>
      </c>
      <c r="F529" s="2">
        <f>IFERROR(__xludf.DUMMYFUNCTION("""COMPUTED_VALUE"""),1.899078E8)</f>
        <v>189907800</v>
      </c>
      <c r="G529" s="2">
        <f t="shared" si="1"/>
        <v>70</v>
      </c>
    </row>
    <row r="530" ht="15.75" customHeight="1">
      <c r="A530" s="1">
        <f>IFERROR(__xludf.DUMMYFUNCTION("""COMPUTED_VALUE"""),44621.66666666667)</f>
        <v>44621.66667</v>
      </c>
      <c r="B530" s="2">
        <f>IFERROR(__xludf.DUMMYFUNCTION("""COMPUTED_VALUE"""),2240.0)</f>
        <v>2240</v>
      </c>
      <c r="C530" s="2">
        <f>IFERROR(__xludf.DUMMYFUNCTION("""COMPUTED_VALUE"""),2300.0)</f>
        <v>2300</v>
      </c>
      <c r="D530" s="2">
        <f>IFERROR(__xludf.DUMMYFUNCTION("""COMPUTED_VALUE"""),2230.0)</f>
        <v>2230</v>
      </c>
      <c r="E530" s="2">
        <f>IFERROR(__xludf.DUMMYFUNCTION("""COMPUTED_VALUE"""),2260.0)</f>
        <v>2260</v>
      </c>
      <c r="F530" s="2">
        <f>IFERROR(__xludf.DUMMYFUNCTION("""COMPUTED_VALUE"""),1.376947E8)</f>
        <v>137694700</v>
      </c>
      <c r="G530" s="2">
        <f t="shared" si="1"/>
        <v>80</v>
      </c>
    </row>
    <row r="531" ht="15.75" customHeight="1">
      <c r="A531" s="1">
        <f>IFERROR(__xludf.DUMMYFUNCTION("""COMPUTED_VALUE"""),44622.66666666667)</f>
        <v>44622.66667</v>
      </c>
      <c r="B531" s="2">
        <f>IFERROR(__xludf.DUMMYFUNCTION("""COMPUTED_VALUE"""),2300.0)</f>
        <v>2300</v>
      </c>
      <c r="C531" s="2">
        <f>IFERROR(__xludf.DUMMYFUNCTION("""COMPUTED_VALUE"""),2340.0)</f>
        <v>2340</v>
      </c>
      <c r="D531" s="2">
        <f>IFERROR(__xludf.DUMMYFUNCTION("""COMPUTED_VALUE"""),2280.0)</f>
        <v>2280</v>
      </c>
      <c r="E531" s="2">
        <f>IFERROR(__xludf.DUMMYFUNCTION("""COMPUTED_VALUE"""),2290.0)</f>
        <v>2290</v>
      </c>
      <c r="F531" s="2">
        <f>IFERROR(__xludf.DUMMYFUNCTION("""COMPUTED_VALUE"""),1.528715E8)</f>
        <v>152871500</v>
      </c>
      <c r="G531" s="2">
        <f t="shared" si="1"/>
        <v>80</v>
      </c>
    </row>
    <row r="532" ht="15.75" customHeight="1">
      <c r="A532" s="1">
        <f>IFERROR(__xludf.DUMMYFUNCTION("""COMPUTED_VALUE"""),44624.66666666667)</f>
        <v>44624.66667</v>
      </c>
      <c r="B532" s="2">
        <f>IFERROR(__xludf.DUMMYFUNCTION("""COMPUTED_VALUE"""),2350.0)</f>
        <v>2350</v>
      </c>
      <c r="C532" s="2">
        <f>IFERROR(__xludf.DUMMYFUNCTION("""COMPUTED_VALUE"""),2460.0)</f>
        <v>2460</v>
      </c>
      <c r="D532" s="2">
        <f>IFERROR(__xludf.DUMMYFUNCTION("""COMPUTED_VALUE"""),2340.0)</f>
        <v>2340</v>
      </c>
      <c r="E532" s="2">
        <f>IFERROR(__xludf.DUMMYFUNCTION("""COMPUTED_VALUE"""),2450.0)</f>
        <v>2450</v>
      </c>
      <c r="F532" s="2">
        <f>IFERROR(__xludf.DUMMYFUNCTION("""COMPUTED_VALUE"""),3.207965E8)</f>
        <v>320796500</v>
      </c>
      <c r="G532" s="2">
        <f t="shared" si="1"/>
        <v>170</v>
      </c>
    </row>
    <row r="533" ht="15.75" customHeight="1">
      <c r="A533" s="1">
        <f>IFERROR(__xludf.DUMMYFUNCTION("""COMPUTED_VALUE"""),44627.66666666667)</f>
        <v>44627.66667</v>
      </c>
      <c r="B533" s="2">
        <f>IFERROR(__xludf.DUMMYFUNCTION("""COMPUTED_VALUE"""),2520.0)</f>
        <v>2520</v>
      </c>
      <c r="C533" s="2">
        <f>IFERROR(__xludf.DUMMYFUNCTION("""COMPUTED_VALUE"""),2830.0)</f>
        <v>2830</v>
      </c>
      <c r="D533" s="2">
        <f>IFERROR(__xludf.DUMMYFUNCTION("""COMPUTED_VALUE"""),2480.0)</f>
        <v>2480</v>
      </c>
      <c r="E533" s="2">
        <f>IFERROR(__xludf.DUMMYFUNCTION("""COMPUTED_VALUE"""),2820.0)</f>
        <v>2820</v>
      </c>
      <c r="F533" s="2">
        <f>IFERROR(__xludf.DUMMYFUNCTION("""COMPUTED_VALUE"""),6.42031E8)</f>
        <v>642031000</v>
      </c>
      <c r="G533" s="2">
        <f t="shared" si="1"/>
        <v>380</v>
      </c>
    </row>
    <row r="534" ht="15.75" customHeight="1">
      <c r="A534" s="1">
        <f>IFERROR(__xludf.DUMMYFUNCTION("""COMPUTED_VALUE"""),44628.66666666667)</f>
        <v>44628.66667</v>
      </c>
      <c r="B534" s="2">
        <f>IFERROR(__xludf.DUMMYFUNCTION("""COMPUTED_VALUE"""),2990.0)</f>
        <v>2990</v>
      </c>
      <c r="C534" s="2">
        <f>IFERROR(__xludf.DUMMYFUNCTION("""COMPUTED_VALUE"""),3170.0)</f>
        <v>3170</v>
      </c>
      <c r="D534" s="2">
        <f>IFERROR(__xludf.DUMMYFUNCTION("""COMPUTED_VALUE"""),2830.0)</f>
        <v>2830</v>
      </c>
      <c r="E534" s="2">
        <f>IFERROR(__xludf.DUMMYFUNCTION("""COMPUTED_VALUE"""),2840.0)</f>
        <v>2840</v>
      </c>
      <c r="F534" s="2">
        <f>IFERROR(__xludf.DUMMYFUNCTION("""COMPUTED_VALUE"""),1.4049515E9)</f>
        <v>1404951500</v>
      </c>
      <c r="G534" s="2">
        <f t="shared" si="1"/>
        <v>350</v>
      </c>
    </row>
    <row r="535" ht="15.75" customHeight="1">
      <c r="A535" s="1">
        <f>IFERROR(__xludf.DUMMYFUNCTION("""COMPUTED_VALUE"""),44629.66666666667)</f>
        <v>44629.66667</v>
      </c>
      <c r="B535" s="2">
        <f>IFERROR(__xludf.DUMMYFUNCTION("""COMPUTED_VALUE"""),2650.0)</f>
        <v>2650</v>
      </c>
      <c r="C535" s="2">
        <f>IFERROR(__xludf.DUMMYFUNCTION("""COMPUTED_VALUE"""),2740.0)</f>
        <v>2740</v>
      </c>
      <c r="D535" s="2">
        <f>IFERROR(__xludf.DUMMYFUNCTION("""COMPUTED_VALUE"""),2650.0)</f>
        <v>2650</v>
      </c>
      <c r="E535" s="2">
        <f>IFERROR(__xludf.DUMMYFUNCTION("""COMPUTED_VALUE"""),2650.0)</f>
        <v>2650</v>
      </c>
      <c r="F535" s="2">
        <f>IFERROR(__xludf.DUMMYFUNCTION("""COMPUTED_VALUE"""),7.06107E8)</f>
        <v>706107000</v>
      </c>
      <c r="G535" s="2">
        <f t="shared" si="1"/>
        <v>190</v>
      </c>
    </row>
    <row r="536" ht="15.75" customHeight="1">
      <c r="A536" s="1">
        <f>IFERROR(__xludf.DUMMYFUNCTION("""COMPUTED_VALUE"""),44630.66666666667)</f>
        <v>44630.66667</v>
      </c>
      <c r="B536" s="2">
        <f>IFERROR(__xludf.DUMMYFUNCTION("""COMPUTED_VALUE"""),2530.0)</f>
        <v>2530</v>
      </c>
      <c r="C536" s="2">
        <f>IFERROR(__xludf.DUMMYFUNCTION("""COMPUTED_VALUE"""),2660.0)</f>
        <v>2660</v>
      </c>
      <c r="D536" s="2">
        <f>IFERROR(__xludf.DUMMYFUNCTION("""COMPUTED_VALUE"""),2490.0)</f>
        <v>2490</v>
      </c>
      <c r="E536" s="2">
        <f>IFERROR(__xludf.DUMMYFUNCTION("""COMPUTED_VALUE"""),2570.0)</f>
        <v>2570</v>
      </c>
      <c r="F536" s="2">
        <f>IFERROR(__xludf.DUMMYFUNCTION("""COMPUTED_VALUE"""),4.896056E8)</f>
        <v>489605600</v>
      </c>
      <c r="G536" s="2">
        <f t="shared" si="1"/>
        <v>170</v>
      </c>
    </row>
    <row r="537" ht="15.75" customHeight="1">
      <c r="A537" s="1">
        <f>IFERROR(__xludf.DUMMYFUNCTION("""COMPUTED_VALUE"""),44631.66666666667)</f>
        <v>44631.66667</v>
      </c>
      <c r="B537" s="2">
        <f>IFERROR(__xludf.DUMMYFUNCTION("""COMPUTED_VALUE"""),2590.0)</f>
        <v>2590</v>
      </c>
      <c r="C537" s="2">
        <f>IFERROR(__xludf.DUMMYFUNCTION("""COMPUTED_VALUE"""),2660.0)</f>
        <v>2660</v>
      </c>
      <c r="D537" s="2">
        <f>IFERROR(__xludf.DUMMYFUNCTION("""COMPUTED_VALUE"""),2520.0)</f>
        <v>2520</v>
      </c>
      <c r="E537" s="2">
        <f>IFERROR(__xludf.DUMMYFUNCTION("""COMPUTED_VALUE"""),2520.0)</f>
        <v>2520</v>
      </c>
      <c r="F537" s="2">
        <f>IFERROR(__xludf.DUMMYFUNCTION("""COMPUTED_VALUE"""),3.591137E8)</f>
        <v>359113700</v>
      </c>
      <c r="G537" s="2">
        <f t="shared" si="1"/>
        <v>140</v>
      </c>
    </row>
    <row r="538" ht="15.75" customHeight="1">
      <c r="A538" s="1">
        <f>IFERROR(__xludf.DUMMYFUNCTION("""COMPUTED_VALUE"""),44634.66666666667)</f>
        <v>44634.66667</v>
      </c>
      <c r="B538" s="2">
        <f>IFERROR(__xludf.DUMMYFUNCTION("""COMPUTED_VALUE"""),2520.0)</f>
        <v>2520</v>
      </c>
      <c r="C538" s="2">
        <f>IFERROR(__xludf.DUMMYFUNCTION("""COMPUTED_VALUE"""),2540.0)</f>
        <v>2540</v>
      </c>
      <c r="D538" s="2">
        <f>IFERROR(__xludf.DUMMYFUNCTION("""COMPUTED_VALUE"""),2360.0)</f>
        <v>2360</v>
      </c>
      <c r="E538" s="2">
        <f>IFERROR(__xludf.DUMMYFUNCTION("""COMPUTED_VALUE"""),2400.0)</f>
        <v>2400</v>
      </c>
      <c r="F538" s="2">
        <f>IFERROR(__xludf.DUMMYFUNCTION("""COMPUTED_VALUE"""),3.941324E8)</f>
        <v>394132400</v>
      </c>
      <c r="G538" s="2">
        <f t="shared" si="1"/>
        <v>180</v>
      </c>
    </row>
    <row r="539" ht="15.75" customHeight="1">
      <c r="A539" s="1">
        <f>IFERROR(__xludf.DUMMYFUNCTION("""COMPUTED_VALUE"""),44635.66666666667)</f>
        <v>44635.66667</v>
      </c>
      <c r="B539" s="2">
        <f>IFERROR(__xludf.DUMMYFUNCTION("""COMPUTED_VALUE"""),2400.0)</f>
        <v>2400</v>
      </c>
      <c r="C539" s="2">
        <f>IFERROR(__xludf.DUMMYFUNCTION("""COMPUTED_VALUE"""),2460.0)</f>
        <v>2460</v>
      </c>
      <c r="D539" s="2">
        <f>IFERROR(__xludf.DUMMYFUNCTION("""COMPUTED_VALUE"""),2350.0)</f>
        <v>2350</v>
      </c>
      <c r="E539" s="2">
        <f>IFERROR(__xludf.DUMMYFUNCTION("""COMPUTED_VALUE"""),2370.0)</f>
        <v>2370</v>
      </c>
      <c r="F539" s="2">
        <f>IFERROR(__xludf.DUMMYFUNCTION("""COMPUTED_VALUE"""),1.706951E8)</f>
        <v>170695100</v>
      </c>
      <c r="G539" s="2">
        <f t="shared" si="1"/>
        <v>110</v>
      </c>
    </row>
    <row r="540" ht="15.75" customHeight="1">
      <c r="A540" s="1">
        <f>IFERROR(__xludf.DUMMYFUNCTION("""COMPUTED_VALUE"""),44636.66666666667)</f>
        <v>44636.66667</v>
      </c>
      <c r="B540" s="2">
        <f>IFERROR(__xludf.DUMMYFUNCTION("""COMPUTED_VALUE"""),2370.0)</f>
        <v>2370</v>
      </c>
      <c r="C540" s="2">
        <f>IFERROR(__xludf.DUMMYFUNCTION("""COMPUTED_VALUE"""),2410.0)</f>
        <v>2410</v>
      </c>
      <c r="D540" s="2">
        <f>IFERROR(__xludf.DUMMYFUNCTION("""COMPUTED_VALUE"""),2270.0)</f>
        <v>2270</v>
      </c>
      <c r="E540" s="2">
        <f>IFERROR(__xludf.DUMMYFUNCTION("""COMPUTED_VALUE"""),2390.0)</f>
        <v>2390</v>
      </c>
      <c r="F540" s="2">
        <f>IFERROR(__xludf.DUMMYFUNCTION("""COMPUTED_VALUE"""),2.358351E8)</f>
        <v>235835100</v>
      </c>
      <c r="G540" s="2">
        <f t="shared" si="1"/>
        <v>140</v>
      </c>
    </row>
    <row r="541" ht="15.75" customHeight="1">
      <c r="A541" s="1">
        <f>IFERROR(__xludf.DUMMYFUNCTION("""COMPUTED_VALUE"""),44637.66666666667)</f>
        <v>44637.66667</v>
      </c>
      <c r="B541" s="2">
        <f>IFERROR(__xludf.DUMMYFUNCTION("""COMPUTED_VALUE"""),2400.0)</f>
        <v>2400</v>
      </c>
      <c r="C541" s="2">
        <f>IFERROR(__xludf.DUMMYFUNCTION("""COMPUTED_VALUE"""),2410.0)</f>
        <v>2410</v>
      </c>
      <c r="D541" s="2">
        <f>IFERROR(__xludf.DUMMYFUNCTION("""COMPUTED_VALUE"""),2330.0)</f>
        <v>2330</v>
      </c>
      <c r="E541" s="2">
        <f>IFERROR(__xludf.DUMMYFUNCTION("""COMPUTED_VALUE"""),2350.0)</f>
        <v>2350</v>
      </c>
      <c r="F541" s="2">
        <f>IFERROR(__xludf.DUMMYFUNCTION("""COMPUTED_VALUE"""),1.535468E8)</f>
        <v>153546800</v>
      </c>
      <c r="G541" s="2">
        <f t="shared" si="1"/>
        <v>80</v>
      </c>
    </row>
    <row r="542" ht="15.75" customHeight="1">
      <c r="A542" s="1">
        <f>IFERROR(__xludf.DUMMYFUNCTION("""COMPUTED_VALUE"""),44638.66666666667)</f>
        <v>44638.66667</v>
      </c>
      <c r="B542" s="2">
        <f>IFERROR(__xludf.DUMMYFUNCTION("""COMPUTED_VALUE"""),2350.0)</f>
        <v>2350</v>
      </c>
      <c r="C542" s="2">
        <f>IFERROR(__xludf.DUMMYFUNCTION("""COMPUTED_VALUE"""),2400.0)</f>
        <v>2400</v>
      </c>
      <c r="D542" s="2">
        <f>IFERROR(__xludf.DUMMYFUNCTION("""COMPUTED_VALUE"""),2320.0)</f>
        <v>2320</v>
      </c>
      <c r="E542" s="2">
        <f>IFERROR(__xludf.DUMMYFUNCTION("""COMPUTED_VALUE"""),2390.0)</f>
        <v>2390</v>
      </c>
      <c r="F542" s="2">
        <f>IFERROR(__xludf.DUMMYFUNCTION("""COMPUTED_VALUE"""),1.736676E8)</f>
        <v>173667600</v>
      </c>
      <c r="G542" s="2">
        <f t="shared" si="1"/>
        <v>80</v>
      </c>
    </row>
    <row r="543" ht="15.75" customHeight="1">
      <c r="A543" s="1">
        <f>IFERROR(__xludf.DUMMYFUNCTION("""COMPUTED_VALUE"""),44641.66666666667)</f>
        <v>44641.66667</v>
      </c>
      <c r="B543" s="2">
        <f>IFERROR(__xludf.DUMMYFUNCTION("""COMPUTED_VALUE"""),2380.0)</f>
        <v>2380</v>
      </c>
      <c r="C543" s="2">
        <f>IFERROR(__xludf.DUMMYFUNCTION("""COMPUTED_VALUE"""),2390.0)</f>
        <v>2390</v>
      </c>
      <c r="D543" s="2">
        <f>IFERROR(__xludf.DUMMYFUNCTION("""COMPUTED_VALUE"""),2330.0)</f>
        <v>2330</v>
      </c>
      <c r="E543" s="2">
        <f>IFERROR(__xludf.DUMMYFUNCTION("""COMPUTED_VALUE"""),2360.0)</f>
        <v>2360</v>
      </c>
      <c r="F543" s="2">
        <f>IFERROR(__xludf.DUMMYFUNCTION("""COMPUTED_VALUE"""),9.27282E7)</f>
        <v>92728200</v>
      </c>
      <c r="G543" s="2">
        <f t="shared" si="1"/>
        <v>60</v>
      </c>
    </row>
    <row r="544" ht="15.75" customHeight="1">
      <c r="A544" s="1">
        <f>IFERROR(__xludf.DUMMYFUNCTION("""COMPUTED_VALUE"""),44642.66666666667)</f>
        <v>44642.66667</v>
      </c>
      <c r="B544" s="2">
        <f>IFERROR(__xludf.DUMMYFUNCTION("""COMPUTED_VALUE"""),2380.0)</f>
        <v>2380</v>
      </c>
      <c r="C544" s="2">
        <f>IFERROR(__xludf.DUMMYFUNCTION("""COMPUTED_VALUE"""),2560.0)</f>
        <v>2560</v>
      </c>
      <c r="D544" s="2">
        <f>IFERROR(__xludf.DUMMYFUNCTION("""COMPUTED_VALUE"""),2370.0)</f>
        <v>2370</v>
      </c>
      <c r="E544" s="2">
        <f>IFERROR(__xludf.DUMMYFUNCTION("""COMPUTED_VALUE"""),2550.0)</f>
        <v>2550</v>
      </c>
      <c r="F544" s="2">
        <f>IFERROR(__xludf.DUMMYFUNCTION("""COMPUTED_VALUE"""),3.215615E8)</f>
        <v>321561500</v>
      </c>
      <c r="G544" s="2">
        <f t="shared" si="1"/>
        <v>200</v>
      </c>
    </row>
    <row r="545" ht="15.75" customHeight="1">
      <c r="A545" s="1">
        <f>IFERROR(__xludf.DUMMYFUNCTION("""COMPUTED_VALUE"""),44643.66666666667)</f>
        <v>44643.66667</v>
      </c>
      <c r="B545" s="2">
        <f>IFERROR(__xludf.DUMMYFUNCTION("""COMPUTED_VALUE"""),2550.0)</f>
        <v>2550</v>
      </c>
      <c r="C545" s="2">
        <f>IFERROR(__xludf.DUMMYFUNCTION("""COMPUTED_VALUE"""),2560.0)</f>
        <v>2560</v>
      </c>
      <c r="D545" s="2">
        <f>IFERROR(__xludf.DUMMYFUNCTION("""COMPUTED_VALUE"""),2460.0)</f>
        <v>2460</v>
      </c>
      <c r="E545" s="2">
        <f>IFERROR(__xludf.DUMMYFUNCTION("""COMPUTED_VALUE"""),2500.0)</f>
        <v>2500</v>
      </c>
      <c r="F545" s="2">
        <f>IFERROR(__xludf.DUMMYFUNCTION("""COMPUTED_VALUE"""),1.776085E8)</f>
        <v>177608500</v>
      </c>
      <c r="G545" s="2">
        <f t="shared" si="1"/>
        <v>100</v>
      </c>
    </row>
    <row r="546" ht="15.75" customHeight="1">
      <c r="A546" s="1">
        <f>IFERROR(__xludf.DUMMYFUNCTION("""COMPUTED_VALUE"""),44644.66666666667)</f>
        <v>44644.66667</v>
      </c>
      <c r="B546" s="2">
        <f>IFERROR(__xludf.DUMMYFUNCTION("""COMPUTED_VALUE"""),2600.0)</f>
        <v>2600</v>
      </c>
      <c r="C546" s="2">
        <f>IFERROR(__xludf.DUMMYFUNCTION("""COMPUTED_VALUE"""),2650.0)</f>
        <v>2650</v>
      </c>
      <c r="D546" s="2">
        <f>IFERROR(__xludf.DUMMYFUNCTION("""COMPUTED_VALUE"""),2540.0)</f>
        <v>2540</v>
      </c>
      <c r="E546" s="2">
        <f>IFERROR(__xludf.DUMMYFUNCTION("""COMPUTED_VALUE"""),2640.0)</f>
        <v>2640</v>
      </c>
      <c r="F546" s="2">
        <f>IFERROR(__xludf.DUMMYFUNCTION("""COMPUTED_VALUE"""),2.690478E8)</f>
        <v>269047800</v>
      </c>
      <c r="G546" s="2">
        <f t="shared" si="1"/>
        <v>150</v>
      </c>
    </row>
    <row r="547" ht="15.75" customHeight="1">
      <c r="A547" s="1">
        <f>IFERROR(__xludf.DUMMYFUNCTION("""COMPUTED_VALUE"""),44645.66666666667)</f>
        <v>44645.66667</v>
      </c>
      <c r="B547" s="2">
        <f>IFERROR(__xludf.DUMMYFUNCTION("""COMPUTED_VALUE"""),2660.0)</f>
        <v>2660</v>
      </c>
      <c r="C547" s="2">
        <f>IFERROR(__xludf.DUMMYFUNCTION("""COMPUTED_VALUE"""),2690.0)</f>
        <v>2690</v>
      </c>
      <c r="D547" s="2">
        <f>IFERROR(__xludf.DUMMYFUNCTION("""COMPUTED_VALUE"""),2610.0)</f>
        <v>2610</v>
      </c>
      <c r="E547" s="2">
        <f>IFERROR(__xludf.DUMMYFUNCTION("""COMPUTED_VALUE"""),2660.0)</f>
        <v>2660</v>
      </c>
      <c r="F547" s="2">
        <f>IFERROR(__xludf.DUMMYFUNCTION("""COMPUTED_VALUE"""),2.004368E8)</f>
        <v>200436800</v>
      </c>
      <c r="G547" s="2">
        <f t="shared" si="1"/>
        <v>80</v>
      </c>
    </row>
    <row r="548" ht="15.75" customHeight="1">
      <c r="A548" s="1">
        <f>IFERROR(__xludf.DUMMYFUNCTION("""COMPUTED_VALUE"""),44648.66666666667)</f>
        <v>44648.66667</v>
      </c>
      <c r="B548" s="2">
        <f>IFERROR(__xludf.DUMMYFUNCTION("""COMPUTED_VALUE"""),2650.0)</f>
        <v>2650</v>
      </c>
      <c r="C548" s="2">
        <f>IFERROR(__xludf.DUMMYFUNCTION("""COMPUTED_VALUE"""),2660.0)</f>
        <v>2660</v>
      </c>
      <c r="D548" s="2">
        <f>IFERROR(__xludf.DUMMYFUNCTION("""COMPUTED_VALUE"""),2590.0)</f>
        <v>2590</v>
      </c>
      <c r="E548" s="2">
        <f>IFERROR(__xludf.DUMMYFUNCTION("""COMPUTED_VALUE"""),2630.0)</f>
        <v>2630</v>
      </c>
      <c r="F548" s="2">
        <f>IFERROR(__xludf.DUMMYFUNCTION("""COMPUTED_VALUE"""),1.210879E8)</f>
        <v>121087900</v>
      </c>
      <c r="G548" s="2">
        <f t="shared" si="1"/>
        <v>70</v>
      </c>
    </row>
    <row r="549" ht="15.75" customHeight="1">
      <c r="A549" s="1">
        <f>IFERROR(__xludf.DUMMYFUNCTION("""COMPUTED_VALUE"""),44649.66666666667)</f>
        <v>44649.66667</v>
      </c>
      <c r="B549" s="2">
        <f>IFERROR(__xludf.DUMMYFUNCTION("""COMPUTED_VALUE"""),2590.0)</f>
        <v>2590</v>
      </c>
      <c r="C549" s="2">
        <f>IFERROR(__xludf.DUMMYFUNCTION("""COMPUTED_VALUE"""),2600.0)</f>
        <v>2600</v>
      </c>
      <c r="D549" s="2">
        <f>IFERROR(__xludf.DUMMYFUNCTION("""COMPUTED_VALUE"""),2510.0)</f>
        <v>2510</v>
      </c>
      <c r="E549" s="2">
        <f>IFERROR(__xludf.DUMMYFUNCTION("""COMPUTED_VALUE"""),2530.0)</f>
        <v>2530</v>
      </c>
      <c r="F549" s="2">
        <f>IFERROR(__xludf.DUMMYFUNCTION("""COMPUTED_VALUE"""),1.447311E8)</f>
        <v>144731100</v>
      </c>
      <c r="G549" s="2">
        <f t="shared" si="1"/>
        <v>120</v>
      </c>
    </row>
    <row r="550" ht="15.75" customHeight="1">
      <c r="A550" s="1">
        <f>IFERROR(__xludf.DUMMYFUNCTION("""COMPUTED_VALUE"""),44650.66666666667)</f>
        <v>44650.66667</v>
      </c>
      <c r="B550" s="2">
        <f>IFERROR(__xludf.DUMMYFUNCTION("""COMPUTED_VALUE"""),2530.0)</f>
        <v>2530</v>
      </c>
      <c r="C550" s="2">
        <f>IFERROR(__xludf.DUMMYFUNCTION("""COMPUTED_VALUE"""),2570.0)</f>
        <v>2570</v>
      </c>
      <c r="D550" s="2">
        <f>IFERROR(__xludf.DUMMYFUNCTION("""COMPUTED_VALUE"""),2470.0)</f>
        <v>2470</v>
      </c>
      <c r="E550" s="2">
        <f>IFERROR(__xludf.DUMMYFUNCTION("""COMPUTED_VALUE"""),2510.0)</f>
        <v>2510</v>
      </c>
      <c r="F550" s="2">
        <f>IFERROR(__xludf.DUMMYFUNCTION("""COMPUTED_VALUE"""),1.3117E8)</f>
        <v>131170000</v>
      </c>
      <c r="G550" s="2">
        <f t="shared" si="1"/>
        <v>100</v>
      </c>
    </row>
    <row r="551" ht="15.75" customHeight="1">
      <c r="A551" s="1">
        <f>IFERROR(__xludf.DUMMYFUNCTION("""COMPUTED_VALUE"""),44651.66666666667)</f>
        <v>44651.66667</v>
      </c>
      <c r="B551" s="2">
        <f>IFERROR(__xludf.DUMMYFUNCTION("""COMPUTED_VALUE"""),2530.0)</f>
        <v>2530</v>
      </c>
      <c r="C551" s="2">
        <f>IFERROR(__xludf.DUMMYFUNCTION("""COMPUTED_VALUE"""),2540.0)</f>
        <v>2540</v>
      </c>
      <c r="D551" s="2">
        <f>IFERROR(__xludf.DUMMYFUNCTION("""COMPUTED_VALUE"""),2430.0)</f>
        <v>2430</v>
      </c>
      <c r="E551" s="2">
        <f>IFERROR(__xludf.DUMMYFUNCTION("""COMPUTED_VALUE"""),2440.0)</f>
        <v>2440</v>
      </c>
      <c r="F551" s="2">
        <f>IFERROR(__xludf.DUMMYFUNCTION("""COMPUTED_VALUE"""),9.73957E7)</f>
        <v>97395700</v>
      </c>
      <c r="G551" s="2">
        <f t="shared" si="1"/>
        <v>110</v>
      </c>
    </row>
    <row r="552" ht="15.75" customHeight="1">
      <c r="A552" s="1">
        <f>IFERROR(__xludf.DUMMYFUNCTION("""COMPUTED_VALUE"""),44652.66666666667)</f>
        <v>44652.66667</v>
      </c>
      <c r="B552" s="2">
        <f>IFERROR(__xludf.DUMMYFUNCTION("""COMPUTED_VALUE"""),2450.0)</f>
        <v>2450</v>
      </c>
      <c r="C552" s="2">
        <f>IFERROR(__xludf.DUMMYFUNCTION("""COMPUTED_VALUE"""),2550.0)</f>
        <v>2550</v>
      </c>
      <c r="D552" s="2">
        <f>IFERROR(__xludf.DUMMYFUNCTION("""COMPUTED_VALUE"""),2420.0)</f>
        <v>2420</v>
      </c>
      <c r="E552" s="2">
        <f>IFERROR(__xludf.DUMMYFUNCTION("""COMPUTED_VALUE"""),2510.0)</f>
        <v>2510</v>
      </c>
      <c r="F552" s="2">
        <f>IFERROR(__xludf.DUMMYFUNCTION("""COMPUTED_VALUE"""),1.079472E8)</f>
        <v>107947200</v>
      </c>
      <c r="G552" s="2">
        <f t="shared" si="1"/>
        <v>130</v>
      </c>
    </row>
    <row r="553" ht="15.75" customHeight="1">
      <c r="A553" s="1">
        <f>IFERROR(__xludf.DUMMYFUNCTION("""COMPUTED_VALUE"""),44655.66666666667)</f>
        <v>44655.66667</v>
      </c>
      <c r="B553" s="2">
        <f>IFERROR(__xludf.DUMMYFUNCTION("""COMPUTED_VALUE"""),2530.0)</f>
        <v>2530</v>
      </c>
      <c r="C553" s="2">
        <f>IFERROR(__xludf.DUMMYFUNCTION("""COMPUTED_VALUE"""),2650.0)</f>
        <v>2650</v>
      </c>
      <c r="D553" s="2">
        <f>IFERROR(__xludf.DUMMYFUNCTION("""COMPUTED_VALUE"""),2520.0)</f>
        <v>2520</v>
      </c>
      <c r="E553" s="2">
        <f>IFERROR(__xludf.DUMMYFUNCTION("""COMPUTED_VALUE"""),2640.0)</f>
        <v>2640</v>
      </c>
      <c r="F553" s="2">
        <f>IFERROR(__xludf.DUMMYFUNCTION("""COMPUTED_VALUE"""),1.387419E8)</f>
        <v>138741900</v>
      </c>
      <c r="G553" s="2">
        <f t="shared" si="1"/>
        <v>140</v>
      </c>
    </row>
    <row r="554" ht="15.75" customHeight="1">
      <c r="A554" s="1">
        <f>IFERROR(__xludf.DUMMYFUNCTION("""COMPUTED_VALUE"""),44656.66666666667)</f>
        <v>44656.66667</v>
      </c>
      <c r="B554" s="2">
        <f>IFERROR(__xludf.DUMMYFUNCTION("""COMPUTED_VALUE"""),2630.0)</f>
        <v>2630</v>
      </c>
      <c r="C554" s="2">
        <f>IFERROR(__xludf.DUMMYFUNCTION("""COMPUTED_VALUE"""),2700.0)</f>
        <v>2700</v>
      </c>
      <c r="D554" s="2">
        <f>IFERROR(__xludf.DUMMYFUNCTION("""COMPUTED_VALUE"""),2610.0)</f>
        <v>2610</v>
      </c>
      <c r="E554" s="2">
        <f>IFERROR(__xludf.DUMMYFUNCTION("""COMPUTED_VALUE"""),2670.0)</f>
        <v>2670</v>
      </c>
      <c r="F554" s="2">
        <f>IFERROR(__xludf.DUMMYFUNCTION("""COMPUTED_VALUE"""),1.416989E8)</f>
        <v>141698900</v>
      </c>
      <c r="G554" s="2">
        <f t="shared" si="1"/>
        <v>90</v>
      </c>
    </row>
    <row r="555" ht="15.75" customHeight="1">
      <c r="A555" s="1">
        <f>IFERROR(__xludf.DUMMYFUNCTION("""COMPUTED_VALUE"""),44657.66666666667)</f>
        <v>44657.66667</v>
      </c>
      <c r="B555" s="2">
        <f>IFERROR(__xludf.DUMMYFUNCTION("""COMPUTED_VALUE"""),2670.0)</f>
        <v>2670</v>
      </c>
      <c r="C555" s="2">
        <f>IFERROR(__xludf.DUMMYFUNCTION("""COMPUTED_VALUE"""),2690.0)</f>
        <v>2690</v>
      </c>
      <c r="D555" s="2">
        <f>IFERROR(__xludf.DUMMYFUNCTION("""COMPUTED_VALUE"""),2640.0)</f>
        <v>2640</v>
      </c>
      <c r="E555" s="2">
        <f>IFERROR(__xludf.DUMMYFUNCTION("""COMPUTED_VALUE"""),2650.0)</f>
        <v>2650</v>
      </c>
      <c r="F555" s="2">
        <f>IFERROR(__xludf.DUMMYFUNCTION("""COMPUTED_VALUE"""),9.84426E7)</f>
        <v>98442600</v>
      </c>
      <c r="G555" s="2">
        <f t="shared" si="1"/>
        <v>50</v>
      </c>
    </row>
    <row r="556" ht="15.75" customHeight="1">
      <c r="A556" s="1">
        <f>IFERROR(__xludf.DUMMYFUNCTION("""COMPUTED_VALUE"""),44658.66666666667)</f>
        <v>44658.66667</v>
      </c>
      <c r="B556" s="2">
        <f>IFERROR(__xludf.DUMMYFUNCTION("""COMPUTED_VALUE"""),2670.0)</f>
        <v>2670</v>
      </c>
      <c r="C556" s="2">
        <f>IFERROR(__xludf.DUMMYFUNCTION("""COMPUTED_VALUE"""),2820.0)</f>
        <v>2820</v>
      </c>
      <c r="D556" s="2">
        <f>IFERROR(__xludf.DUMMYFUNCTION("""COMPUTED_VALUE"""),2660.0)</f>
        <v>2660</v>
      </c>
      <c r="E556" s="2">
        <f>IFERROR(__xludf.DUMMYFUNCTION("""COMPUTED_VALUE"""),2760.0)</f>
        <v>2760</v>
      </c>
      <c r="F556" s="2">
        <f>IFERROR(__xludf.DUMMYFUNCTION("""COMPUTED_VALUE"""),2.866179E8)</f>
        <v>286617900</v>
      </c>
      <c r="G556" s="2">
        <f t="shared" si="1"/>
        <v>170</v>
      </c>
    </row>
    <row r="557" ht="15.75" customHeight="1">
      <c r="A557" s="1">
        <f>IFERROR(__xludf.DUMMYFUNCTION("""COMPUTED_VALUE"""),44659.66666666667)</f>
        <v>44659.66667</v>
      </c>
      <c r="B557" s="2">
        <f>IFERROR(__xludf.DUMMYFUNCTION("""COMPUTED_VALUE"""),2790.0)</f>
        <v>2790</v>
      </c>
      <c r="C557" s="2">
        <f>IFERROR(__xludf.DUMMYFUNCTION("""COMPUTED_VALUE"""),2820.0)</f>
        <v>2820</v>
      </c>
      <c r="D557" s="2">
        <f>IFERROR(__xludf.DUMMYFUNCTION("""COMPUTED_VALUE"""),2740.0)</f>
        <v>2740</v>
      </c>
      <c r="E557" s="2">
        <f>IFERROR(__xludf.DUMMYFUNCTION("""COMPUTED_VALUE"""),2800.0)</f>
        <v>2800</v>
      </c>
      <c r="F557" s="2">
        <f>IFERROR(__xludf.DUMMYFUNCTION("""COMPUTED_VALUE"""),1.893621E8)</f>
        <v>189362100</v>
      </c>
      <c r="G557" s="2">
        <f t="shared" si="1"/>
        <v>80</v>
      </c>
    </row>
    <row r="558" ht="15.75" customHeight="1">
      <c r="A558" s="1">
        <f>IFERROR(__xludf.DUMMYFUNCTION("""COMPUTED_VALUE"""),44662.66666666667)</f>
        <v>44662.66667</v>
      </c>
      <c r="B558" s="2">
        <f>IFERROR(__xludf.DUMMYFUNCTION("""COMPUTED_VALUE"""),2800.0)</f>
        <v>2800</v>
      </c>
      <c r="C558" s="2">
        <f>IFERROR(__xludf.DUMMYFUNCTION("""COMPUTED_VALUE"""),2810.0)</f>
        <v>2810</v>
      </c>
      <c r="D558" s="2">
        <f>IFERROR(__xludf.DUMMYFUNCTION("""COMPUTED_VALUE"""),2630.0)</f>
        <v>2630</v>
      </c>
      <c r="E558" s="2">
        <f>IFERROR(__xludf.DUMMYFUNCTION("""COMPUTED_VALUE"""),2630.0)</f>
        <v>2630</v>
      </c>
      <c r="F558" s="2">
        <f>IFERROR(__xludf.DUMMYFUNCTION("""COMPUTED_VALUE"""),1.638646E8)</f>
        <v>163864600</v>
      </c>
      <c r="G558" s="2">
        <f t="shared" si="1"/>
        <v>180</v>
      </c>
    </row>
    <row r="559" ht="15.75" customHeight="1">
      <c r="A559" s="1">
        <f>IFERROR(__xludf.DUMMYFUNCTION("""COMPUTED_VALUE"""),44663.66666666667)</f>
        <v>44663.66667</v>
      </c>
      <c r="B559" s="2">
        <f>IFERROR(__xludf.DUMMYFUNCTION("""COMPUTED_VALUE"""),2620.0)</f>
        <v>2620</v>
      </c>
      <c r="C559" s="2">
        <f>IFERROR(__xludf.DUMMYFUNCTION("""COMPUTED_VALUE"""),2680.0)</f>
        <v>2680</v>
      </c>
      <c r="D559" s="2">
        <f>IFERROR(__xludf.DUMMYFUNCTION("""COMPUTED_VALUE"""),2580.0)</f>
        <v>2580</v>
      </c>
      <c r="E559" s="2">
        <f>IFERROR(__xludf.DUMMYFUNCTION("""COMPUTED_VALUE"""),2670.0)</f>
        <v>2670</v>
      </c>
      <c r="F559" s="2">
        <f>IFERROR(__xludf.DUMMYFUNCTION("""COMPUTED_VALUE"""),8.83909E7)</f>
        <v>88390900</v>
      </c>
      <c r="G559" s="2">
        <f t="shared" si="1"/>
        <v>100</v>
      </c>
    </row>
    <row r="560" ht="15.75" customHeight="1">
      <c r="A560" s="1">
        <f>IFERROR(__xludf.DUMMYFUNCTION("""COMPUTED_VALUE"""),44664.66666666667)</f>
        <v>44664.66667</v>
      </c>
      <c r="B560" s="2">
        <f>IFERROR(__xludf.DUMMYFUNCTION("""COMPUTED_VALUE"""),2690.0)</f>
        <v>2690</v>
      </c>
      <c r="C560" s="2">
        <f>IFERROR(__xludf.DUMMYFUNCTION("""COMPUTED_VALUE"""),2800.0)</f>
        <v>2800</v>
      </c>
      <c r="D560" s="2">
        <f>IFERROR(__xludf.DUMMYFUNCTION("""COMPUTED_VALUE"""),2670.0)</f>
        <v>2670</v>
      </c>
      <c r="E560" s="2">
        <f>IFERROR(__xludf.DUMMYFUNCTION("""COMPUTED_VALUE"""),2790.0)</f>
        <v>2790</v>
      </c>
      <c r="F560" s="2">
        <f>IFERROR(__xludf.DUMMYFUNCTION("""COMPUTED_VALUE"""),1.438228E8)</f>
        <v>143822800</v>
      </c>
      <c r="G560" s="2">
        <f t="shared" si="1"/>
        <v>130</v>
      </c>
    </row>
    <row r="561" ht="15.75" customHeight="1">
      <c r="A561" s="1">
        <f>IFERROR(__xludf.DUMMYFUNCTION("""COMPUTED_VALUE"""),44665.66666666667)</f>
        <v>44665.66667</v>
      </c>
      <c r="B561" s="2">
        <f>IFERROR(__xludf.DUMMYFUNCTION("""COMPUTED_VALUE"""),2790.0)</f>
        <v>2790</v>
      </c>
      <c r="C561" s="2">
        <f>IFERROR(__xludf.DUMMYFUNCTION("""COMPUTED_VALUE"""),2870.0)</f>
        <v>2870</v>
      </c>
      <c r="D561" s="2">
        <f>IFERROR(__xludf.DUMMYFUNCTION("""COMPUTED_VALUE"""),2750.0)</f>
        <v>2750</v>
      </c>
      <c r="E561" s="2">
        <f>IFERROR(__xludf.DUMMYFUNCTION("""COMPUTED_VALUE"""),2780.0)</f>
        <v>2780</v>
      </c>
      <c r="F561" s="2">
        <f>IFERROR(__xludf.DUMMYFUNCTION("""COMPUTED_VALUE"""),2.016982E8)</f>
        <v>201698200</v>
      </c>
      <c r="G561" s="2">
        <f t="shared" si="1"/>
        <v>120</v>
      </c>
    </row>
    <row r="562" ht="15.75" customHeight="1">
      <c r="A562" s="1">
        <f>IFERROR(__xludf.DUMMYFUNCTION("""COMPUTED_VALUE"""),44669.66666666667)</f>
        <v>44669.66667</v>
      </c>
      <c r="B562" s="2">
        <f>IFERROR(__xludf.DUMMYFUNCTION("""COMPUTED_VALUE"""),2800.0)</f>
        <v>2800</v>
      </c>
      <c r="C562" s="2">
        <f>IFERROR(__xludf.DUMMYFUNCTION("""COMPUTED_VALUE"""),2930.0)</f>
        <v>2930</v>
      </c>
      <c r="D562" s="2">
        <f>IFERROR(__xludf.DUMMYFUNCTION("""COMPUTED_VALUE"""),2790.0)</f>
        <v>2790</v>
      </c>
      <c r="E562" s="2">
        <f>IFERROR(__xludf.DUMMYFUNCTION("""COMPUTED_VALUE"""),2900.0)</f>
        <v>2900</v>
      </c>
      <c r="F562" s="2">
        <f>IFERROR(__xludf.DUMMYFUNCTION("""COMPUTED_VALUE"""),1.908554E8)</f>
        <v>190855400</v>
      </c>
      <c r="G562" s="2">
        <f t="shared" si="1"/>
        <v>150</v>
      </c>
    </row>
    <row r="563" ht="15.75" customHeight="1">
      <c r="A563" s="1">
        <f>IFERROR(__xludf.DUMMYFUNCTION("""COMPUTED_VALUE"""),44670.66666666667)</f>
        <v>44670.66667</v>
      </c>
      <c r="B563" s="2">
        <f>IFERROR(__xludf.DUMMYFUNCTION("""COMPUTED_VALUE"""),2910.0)</f>
        <v>2910</v>
      </c>
      <c r="C563" s="2">
        <f>IFERROR(__xludf.DUMMYFUNCTION("""COMPUTED_VALUE"""),2940.0)</f>
        <v>2940</v>
      </c>
      <c r="D563" s="2">
        <f>IFERROR(__xludf.DUMMYFUNCTION("""COMPUTED_VALUE"""),2830.0)</f>
        <v>2830</v>
      </c>
      <c r="E563" s="2">
        <f>IFERROR(__xludf.DUMMYFUNCTION("""COMPUTED_VALUE"""),2850.0)</f>
        <v>2850</v>
      </c>
      <c r="F563" s="2">
        <f>IFERROR(__xludf.DUMMYFUNCTION("""COMPUTED_VALUE"""),1.904604E8)</f>
        <v>190460400</v>
      </c>
      <c r="G563" s="2">
        <f t="shared" si="1"/>
        <v>110</v>
      </c>
    </row>
    <row r="564" ht="15.75" customHeight="1">
      <c r="A564" s="1">
        <f>IFERROR(__xludf.DUMMYFUNCTION("""COMPUTED_VALUE"""),44671.66666666667)</f>
        <v>44671.66667</v>
      </c>
      <c r="B564" s="2">
        <f>IFERROR(__xludf.DUMMYFUNCTION("""COMPUTED_VALUE"""),2880.0)</f>
        <v>2880</v>
      </c>
      <c r="C564" s="2">
        <f>IFERROR(__xludf.DUMMYFUNCTION("""COMPUTED_VALUE"""),2880.0)</f>
        <v>2880</v>
      </c>
      <c r="D564" s="2">
        <f>IFERROR(__xludf.DUMMYFUNCTION("""COMPUTED_VALUE"""),2740.0)</f>
        <v>2740</v>
      </c>
      <c r="E564" s="2">
        <f>IFERROR(__xludf.DUMMYFUNCTION("""COMPUTED_VALUE"""),2820.0)</f>
        <v>2820</v>
      </c>
      <c r="F564" s="2">
        <f>IFERROR(__xludf.DUMMYFUNCTION("""COMPUTED_VALUE"""),1.37086E8)</f>
        <v>137086000</v>
      </c>
      <c r="G564" s="2">
        <f t="shared" si="1"/>
        <v>140</v>
      </c>
    </row>
    <row r="565" ht="15.75" customHeight="1">
      <c r="A565" s="1">
        <f>IFERROR(__xludf.DUMMYFUNCTION("""COMPUTED_VALUE"""),44672.66666666667)</f>
        <v>44672.66667</v>
      </c>
      <c r="B565" s="2">
        <f>IFERROR(__xludf.DUMMYFUNCTION("""COMPUTED_VALUE"""),2830.0)</f>
        <v>2830</v>
      </c>
      <c r="C565" s="2">
        <f>IFERROR(__xludf.DUMMYFUNCTION("""COMPUTED_VALUE"""),2840.0)</f>
        <v>2840</v>
      </c>
      <c r="D565" s="2">
        <f>IFERROR(__xludf.DUMMYFUNCTION("""COMPUTED_VALUE"""),2760.0)</f>
        <v>2760</v>
      </c>
      <c r="E565" s="2">
        <f>IFERROR(__xludf.DUMMYFUNCTION("""COMPUTED_VALUE"""),2790.0)</f>
        <v>2790</v>
      </c>
      <c r="F565" s="2">
        <f>IFERROR(__xludf.DUMMYFUNCTION("""COMPUTED_VALUE"""),6.98845E7)</f>
        <v>69884500</v>
      </c>
      <c r="G565" s="2">
        <f t="shared" si="1"/>
        <v>80</v>
      </c>
    </row>
    <row r="566" ht="15.75" customHeight="1">
      <c r="A566" s="1">
        <f>IFERROR(__xludf.DUMMYFUNCTION("""COMPUTED_VALUE"""),44673.66666666667)</f>
        <v>44673.66667</v>
      </c>
      <c r="B566" s="2">
        <f>IFERROR(__xludf.DUMMYFUNCTION("""COMPUTED_VALUE"""),2770.0)</f>
        <v>2770</v>
      </c>
      <c r="C566" s="2">
        <f>IFERROR(__xludf.DUMMYFUNCTION("""COMPUTED_VALUE"""),2810.0)</f>
        <v>2810</v>
      </c>
      <c r="D566" s="2">
        <f>IFERROR(__xludf.DUMMYFUNCTION("""COMPUTED_VALUE"""),2740.0)</f>
        <v>2740</v>
      </c>
      <c r="E566" s="2">
        <f>IFERROR(__xludf.DUMMYFUNCTION("""COMPUTED_VALUE"""),2740.0)</f>
        <v>2740</v>
      </c>
      <c r="F566" s="2">
        <f>IFERROR(__xludf.DUMMYFUNCTION("""COMPUTED_VALUE"""),8.20889E7)</f>
        <v>82088900</v>
      </c>
      <c r="G566" s="2">
        <f t="shared" si="1"/>
        <v>70</v>
      </c>
    </row>
    <row r="567" ht="15.75" customHeight="1">
      <c r="A567" s="1">
        <f>IFERROR(__xludf.DUMMYFUNCTION("""COMPUTED_VALUE"""),44676.66666666667)</f>
        <v>44676.66667</v>
      </c>
      <c r="B567" s="2">
        <f>IFERROR(__xludf.DUMMYFUNCTION("""COMPUTED_VALUE"""),2690.0)</f>
        <v>2690</v>
      </c>
      <c r="C567" s="2">
        <f>IFERROR(__xludf.DUMMYFUNCTION("""COMPUTED_VALUE"""),2700.0)</f>
        <v>2700</v>
      </c>
      <c r="D567" s="2">
        <f>IFERROR(__xludf.DUMMYFUNCTION("""COMPUTED_VALUE"""),2600.0)</f>
        <v>2600</v>
      </c>
      <c r="E567" s="2">
        <f>IFERROR(__xludf.DUMMYFUNCTION("""COMPUTED_VALUE"""),2620.0)</f>
        <v>2620</v>
      </c>
      <c r="F567" s="2">
        <f>IFERROR(__xludf.DUMMYFUNCTION("""COMPUTED_VALUE"""),1.719511E8)</f>
        <v>171951100</v>
      </c>
      <c r="G567" s="2">
        <f t="shared" si="1"/>
        <v>140</v>
      </c>
    </row>
    <row r="568" ht="15.75" customHeight="1">
      <c r="A568" s="1">
        <f>IFERROR(__xludf.DUMMYFUNCTION("""COMPUTED_VALUE"""),44677.66666666667)</f>
        <v>44677.66667</v>
      </c>
      <c r="B568" s="2">
        <f>IFERROR(__xludf.DUMMYFUNCTION("""COMPUTED_VALUE"""),2630.0)</f>
        <v>2630</v>
      </c>
      <c r="C568" s="2">
        <f>IFERROR(__xludf.DUMMYFUNCTION("""COMPUTED_VALUE"""),2640.0)</f>
        <v>2640</v>
      </c>
      <c r="D568" s="2">
        <f>IFERROR(__xludf.DUMMYFUNCTION("""COMPUTED_VALUE"""),2450.0)</f>
        <v>2450</v>
      </c>
      <c r="E568" s="2">
        <f>IFERROR(__xludf.DUMMYFUNCTION("""COMPUTED_VALUE"""),2500.0)</f>
        <v>2500</v>
      </c>
      <c r="F568" s="2">
        <f>IFERROR(__xludf.DUMMYFUNCTION("""COMPUTED_VALUE"""),2.296866E8)</f>
        <v>229686600</v>
      </c>
      <c r="G568" s="2">
        <f t="shared" si="1"/>
        <v>190</v>
      </c>
    </row>
    <row r="569" ht="15.75" customHeight="1">
      <c r="A569" s="1">
        <f>IFERROR(__xludf.DUMMYFUNCTION("""COMPUTED_VALUE"""),44678.66666666667)</f>
        <v>44678.66667</v>
      </c>
      <c r="B569" s="2">
        <f>IFERROR(__xludf.DUMMYFUNCTION("""COMPUTED_VALUE"""),2500.0)</f>
        <v>2500</v>
      </c>
      <c r="C569" s="2">
        <f>IFERROR(__xludf.DUMMYFUNCTION("""COMPUTED_VALUE"""),2610.0)</f>
        <v>2610</v>
      </c>
      <c r="D569" s="2">
        <f>IFERROR(__xludf.DUMMYFUNCTION("""COMPUTED_VALUE"""),2500.0)</f>
        <v>2500</v>
      </c>
      <c r="E569" s="2">
        <f>IFERROR(__xludf.DUMMYFUNCTION("""COMPUTED_VALUE"""),2560.0)</f>
        <v>2560</v>
      </c>
      <c r="F569" s="2">
        <f>IFERROR(__xludf.DUMMYFUNCTION("""COMPUTED_VALUE"""),1.615894E8)</f>
        <v>161589400</v>
      </c>
      <c r="G569" s="2">
        <f t="shared" si="1"/>
        <v>110</v>
      </c>
    </row>
    <row r="570" ht="15.75" customHeight="1">
      <c r="A570" s="1">
        <f>IFERROR(__xludf.DUMMYFUNCTION("""COMPUTED_VALUE"""),44679.66666666667)</f>
        <v>44679.66667</v>
      </c>
      <c r="B570" s="2">
        <f>IFERROR(__xludf.DUMMYFUNCTION("""COMPUTED_VALUE"""),2580.0)</f>
        <v>2580</v>
      </c>
      <c r="C570" s="2">
        <f>IFERROR(__xludf.DUMMYFUNCTION("""COMPUTED_VALUE"""),2650.0)</f>
        <v>2650</v>
      </c>
      <c r="D570" s="2">
        <f>IFERROR(__xludf.DUMMYFUNCTION("""COMPUTED_VALUE"""),2570.0)</f>
        <v>2570</v>
      </c>
      <c r="E570" s="2">
        <f>IFERROR(__xludf.DUMMYFUNCTION("""COMPUTED_VALUE"""),2600.0)</f>
        <v>2600</v>
      </c>
      <c r="F570" s="2">
        <f>IFERROR(__xludf.DUMMYFUNCTION("""COMPUTED_VALUE"""),1.155188E8)</f>
        <v>115518800</v>
      </c>
      <c r="G570" s="2">
        <f t="shared" si="1"/>
        <v>90</v>
      </c>
    </row>
    <row r="571" ht="15.75" customHeight="1">
      <c r="A571" s="1">
        <f>IFERROR(__xludf.DUMMYFUNCTION("""COMPUTED_VALUE"""),44690.66666666667)</f>
        <v>44690.66667</v>
      </c>
      <c r="B571" s="2">
        <f>IFERROR(__xludf.DUMMYFUNCTION("""COMPUTED_VALUE"""),2500.0)</f>
        <v>2500</v>
      </c>
      <c r="C571" s="2">
        <f>IFERROR(__xludf.DUMMYFUNCTION("""COMPUTED_VALUE"""),2550.0)</f>
        <v>2550</v>
      </c>
      <c r="D571" s="2">
        <f>IFERROR(__xludf.DUMMYFUNCTION("""COMPUTED_VALUE"""),2460.0)</f>
        <v>2460</v>
      </c>
      <c r="E571" s="2">
        <f>IFERROR(__xludf.DUMMYFUNCTION("""COMPUTED_VALUE"""),2530.0)</f>
        <v>2530</v>
      </c>
      <c r="F571" s="2">
        <f>IFERROR(__xludf.DUMMYFUNCTION("""COMPUTED_VALUE"""),1.654391E8)</f>
        <v>165439100</v>
      </c>
      <c r="G571" s="2">
        <f t="shared" si="1"/>
        <v>140</v>
      </c>
    </row>
    <row r="572" ht="15.75" customHeight="1">
      <c r="A572" s="1">
        <f>IFERROR(__xludf.DUMMYFUNCTION("""COMPUTED_VALUE"""),44691.66666666667)</f>
        <v>44691.66667</v>
      </c>
      <c r="B572" s="2">
        <f>IFERROR(__xludf.DUMMYFUNCTION("""COMPUTED_VALUE"""),2470.0)</f>
        <v>2470</v>
      </c>
      <c r="C572" s="2">
        <f>IFERROR(__xludf.DUMMYFUNCTION("""COMPUTED_VALUE"""),2490.0)</f>
        <v>2490</v>
      </c>
      <c r="D572" s="2">
        <f>IFERROR(__xludf.DUMMYFUNCTION("""COMPUTED_VALUE"""),2360.0)</f>
        <v>2360</v>
      </c>
      <c r="E572" s="2">
        <f>IFERROR(__xludf.DUMMYFUNCTION("""COMPUTED_VALUE"""),2420.0)</f>
        <v>2420</v>
      </c>
      <c r="F572" s="2">
        <f>IFERROR(__xludf.DUMMYFUNCTION("""COMPUTED_VALUE"""),1.464039E8)</f>
        <v>146403900</v>
      </c>
      <c r="G572" s="2">
        <f t="shared" si="1"/>
        <v>170</v>
      </c>
    </row>
    <row r="573" ht="15.75" customHeight="1">
      <c r="A573" s="1">
        <f>IFERROR(__xludf.DUMMYFUNCTION("""COMPUTED_VALUE"""),44692.66666666667)</f>
        <v>44692.66667</v>
      </c>
      <c r="B573" s="2">
        <f>IFERROR(__xludf.DUMMYFUNCTION("""COMPUTED_VALUE"""),2420.0)</f>
        <v>2420</v>
      </c>
      <c r="C573" s="2">
        <f>IFERROR(__xludf.DUMMYFUNCTION("""COMPUTED_VALUE"""),2530.0)</f>
        <v>2530</v>
      </c>
      <c r="D573" s="2">
        <f>IFERROR(__xludf.DUMMYFUNCTION("""COMPUTED_VALUE"""),2400.0)</f>
        <v>2400</v>
      </c>
      <c r="E573" s="2">
        <f>IFERROR(__xludf.DUMMYFUNCTION("""COMPUTED_VALUE"""),2400.0)</f>
        <v>2400</v>
      </c>
      <c r="F573" s="2">
        <f>IFERROR(__xludf.DUMMYFUNCTION("""COMPUTED_VALUE"""),1.100973E8)</f>
        <v>110097300</v>
      </c>
      <c r="G573" s="2">
        <f t="shared" si="1"/>
        <v>130</v>
      </c>
    </row>
    <row r="574" ht="15.75" customHeight="1">
      <c r="A574" s="1">
        <f>IFERROR(__xludf.DUMMYFUNCTION("""COMPUTED_VALUE"""),44693.66666666667)</f>
        <v>44693.66667</v>
      </c>
      <c r="B574" s="2">
        <f>IFERROR(__xludf.DUMMYFUNCTION("""COMPUTED_VALUE"""),2400.0)</f>
        <v>2400</v>
      </c>
      <c r="C574" s="2">
        <f>IFERROR(__xludf.DUMMYFUNCTION("""COMPUTED_VALUE"""),2460.0)</f>
        <v>2460</v>
      </c>
      <c r="D574" s="2">
        <f>IFERROR(__xludf.DUMMYFUNCTION("""COMPUTED_VALUE"""),2290.0)</f>
        <v>2290</v>
      </c>
      <c r="E574" s="2">
        <f>IFERROR(__xludf.DUMMYFUNCTION("""COMPUTED_VALUE"""),2330.0)</f>
        <v>2330</v>
      </c>
      <c r="F574" s="2">
        <f>IFERROR(__xludf.DUMMYFUNCTION("""COMPUTED_VALUE"""),1.837882E8)</f>
        <v>183788200</v>
      </c>
      <c r="G574" s="2">
        <f t="shared" si="1"/>
        <v>170</v>
      </c>
    </row>
    <row r="575" ht="15.75" customHeight="1">
      <c r="A575" s="1">
        <f>IFERROR(__xludf.DUMMYFUNCTION("""COMPUTED_VALUE"""),44694.66666666667)</f>
        <v>44694.66667</v>
      </c>
      <c r="B575" s="2">
        <f>IFERROR(__xludf.DUMMYFUNCTION("""COMPUTED_VALUE"""),2360.0)</f>
        <v>2360</v>
      </c>
      <c r="C575" s="2">
        <f>IFERROR(__xludf.DUMMYFUNCTION("""COMPUTED_VALUE"""),2380.0)</f>
        <v>2380</v>
      </c>
      <c r="D575" s="2">
        <f>IFERROR(__xludf.DUMMYFUNCTION("""COMPUTED_VALUE"""),2300.0)</f>
        <v>2300</v>
      </c>
      <c r="E575" s="2">
        <f>IFERROR(__xludf.DUMMYFUNCTION("""COMPUTED_VALUE"""),2330.0)</f>
        <v>2330</v>
      </c>
      <c r="F575" s="2">
        <f>IFERROR(__xludf.DUMMYFUNCTION("""COMPUTED_VALUE"""),8.18424E7)</f>
        <v>81842400</v>
      </c>
      <c r="G575" s="2">
        <f t="shared" si="1"/>
        <v>80</v>
      </c>
    </row>
    <row r="576" ht="15.75" customHeight="1">
      <c r="A576" s="1">
        <f>IFERROR(__xludf.DUMMYFUNCTION("""COMPUTED_VALUE"""),44698.66666666667)</f>
        <v>44698.66667</v>
      </c>
      <c r="B576" s="2">
        <f>IFERROR(__xludf.DUMMYFUNCTION("""COMPUTED_VALUE"""),2350.0)</f>
        <v>2350</v>
      </c>
      <c r="C576" s="2">
        <f>IFERROR(__xludf.DUMMYFUNCTION("""COMPUTED_VALUE"""),2410.0)</f>
        <v>2410</v>
      </c>
      <c r="D576" s="2">
        <f>IFERROR(__xludf.DUMMYFUNCTION("""COMPUTED_VALUE"""),2340.0)</f>
        <v>2340</v>
      </c>
      <c r="E576" s="2">
        <f>IFERROR(__xludf.DUMMYFUNCTION("""COMPUTED_VALUE"""),2390.0)</f>
        <v>2390</v>
      </c>
      <c r="F576" s="2">
        <f>IFERROR(__xludf.DUMMYFUNCTION("""COMPUTED_VALUE"""),9.40974E7)</f>
        <v>94097400</v>
      </c>
      <c r="G576" s="2">
        <f t="shared" si="1"/>
        <v>80</v>
      </c>
    </row>
    <row r="577" ht="15.75" customHeight="1">
      <c r="A577" s="1">
        <f>IFERROR(__xludf.DUMMYFUNCTION("""COMPUTED_VALUE"""),44699.66666666667)</f>
        <v>44699.66667</v>
      </c>
      <c r="B577" s="2">
        <f>IFERROR(__xludf.DUMMYFUNCTION("""COMPUTED_VALUE"""),2420.0)</f>
        <v>2420</v>
      </c>
      <c r="C577" s="2">
        <f>IFERROR(__xludf.DUMMYFUNCTION("""COMPUTED_VALUE"""),2420.0)</f>
        <v>2420</v>
      </c>
      <c r="D577" s="2">
        <f>IFERROR(__xludf.DUMMYFUNCTION("""COMPUTED_VALUE"""),2360.0)</f>
        <v>2360</v>
      </c>
      <c r="E577" s="2">
        <f>IFERROR(__xludf.DUMMYFUNCTION("""COMPUTED_VALUE"""),2400.0)</f>
        <v>2400</v>
      </c>
      <c r="F577" s="2">
        <f>IFERROR(__xludf.DUMMYFUNCTION("""COMPUTED_VALUE"""),7.92233E7)</f>
        <v>79223300</v>
      </c>
      <c r="G577" s="2">
        <f t="shared" si="1"/>
        <v>60</v>
      </c>
    </row>
    <row r="578" ht="15.75" customHeight="1">
      <c r="A578" s="1">
        <f>IFERROR(__xludf.DUMMYFUNCTION("""COMPUTED_VALUE"""),44700.66666666667)</f>
        <v>44700.66667</v>
      </c>
      <c r="B578" s="2">
        <f>IFERROR(__xludf.DUMMYFUNCTION("""COMPUTED_VALUE"""),2380.0)</f>
        <v>2380</v>
      </c>
      <c r="C578" s="2">
        <f>IFERROR(__xludf.DUMMYFUNCTION("""COMPUTED_VALUE"""),2490.0)</f>
        <v>2490</v>
      </c>
      <c r="D578" s="2">
        <f>IFERROR(__xludf.DUMMYFUNCTION("""COMPUTED_VALUE"""),2340.0)</f>
        <v>2340</v>
      </c>
      <c r="E578" s="2">
        <f>IFERROR(__xludf.DUMMYFUNCTION("""COMPUTED_VALUE"""),2460.0)</f>
        <v>2460</v>
      </c>
      <c r="F578" s="2">
        <f>IFERROR(__xludf.DUMMYFUNCTION("""COMPUTED_VALUE"""),1.229686E8)</f>
        <v>122968600</v>
      </c>
      <c r="G578" s="2">
        <f t="shared" si="1"/>
        <v>150</v>
      </c>
    </row>
    <row r="579" ht="15.75" customHeight="1">
      <c r="A579" s="1">
        <f>IFERROR(__xludf.DUMMYFUNCTION("""COMPUTED_VALUE"""),44701.66666666667)</f>
        <v>44701.66667</v>
      </c>
      <c r="B579" s="2">
        <f>IFERROR(__xludf.DUMMYFUNCTION("""COMPUTED_VALUE"""),2520.0)</f>
        <v>2520</v>
      </c>
      <c r="C579" s="2">
        <f>IFERROR(__xludf.DUMMYFUNCTION("""COMPUTED_VALUE"""),2520.0)</f>
        <v>2520</v>
      </c>
      <c r="D579" s="2">
        <f>IFERROR(__xludf.DUMMYFUNCTION("""COMPUTED_VALUE"""),2460.0)</f>
        <v>2460</v>
      </c>
      <c r="E579" s="2">
        <f>IFERROR(__xludf.DUMMYFUNCTION("""COMPUTED_VALUE"""),2490.0)</f>
        <v>2490</v>
      </c>
      <c r="F579" s="2">
        <f>IFERROR(__xludf.DUMMYFUNCTION("""COMPUTED_VALUE"""),1.256298E8)</f>
        <v>125629800</v>
      </c>
      <c r="G579" s="2">
        <f t="shared" si="1"/>
        <v>60</v>
      </c>
    </row>
    <row r="580" ht="15.75" customHeight="1">
      <c r="A580" s="1">
        <f>IFERROR(__xludf.DUMMYFUNCTION("""COMPUTED_VALUE"""),44704.66666666667)</f>
        <v>44704.66667</v>
      </c>
      <c r="B580" s="2">
        <f>IFERROR(__xludf.DUMMYFUNCTION("""COMPUTED_VALUE"""),2560.0)</f>
        <v>2560</v>
      </c>
      <c r="C580" s="2">
        <f>IFERROR(__xludf.DUMMYFUNCTION("""COMPUTED_VALUE"""),2670.0)</f>
        <v>2670</v>
      </c>
      <c r="D580" s="2">
        <f>IFERROR(__xludf.DUMMYFUNCTION("""COMPUTED_VALUE"""),2520.0)</f>
        <v>2520</v>
      </c>
      <c r="E580" s="2">
        <f>IFERROR(__xludf.DUMMYFUNCTION("""COMPUTED_VALUE"""),2530.0)</f>
        <v>2530</v>
      </c>
      <c r="F580" s="2">
        <f>IFERROR(__xludf.DUMMYFUNCTION("""COMPUTED_VALUE"""),2.448717E8)</f>
        <v>244871700</v>
      </c>
      <c r="G580" s="2">
        <f t="shared" si="1"/>
        <v>180</v>
      </c>
    </row>
    <row r="581" ht="15.75" customHeight="1">
      <c r="A581" s="1">
        <f>IFERROR(__xludf.DUMMYFUNCTION("""COMPUTED_VALUE"""),44705.66666666667)</f>
        <v>44705.66667</v>
      </c>
      <c r="B581" s="2">
        <f>IFERROR(__xludf.DUMMYFUNCTION("""COMPUTED_VALUE"""),2550.0)</f>
        <v>2550</v>
      </c>
      <c r="C581" s="2">
        <f>IFERROR(__xludf.DUMMYFUNCTION("""COMPUTED_VALUE"""),2600.0)</f>
        <v>2600</v>
      </c>
      <c r="D581" s="2">
        <f>IFERROR(__xludf.DUMMYFUNCTION("""COMPUTED_VALUE"""),2530.0)</f>
        <v>2530</v>
      </c>
      <c r="E581" s="2">
        <f>IFERROR(__xludf.DUMMYFUNCTION("""COMPUTED_VALUE"""),2570.0)</f>
        <v>2570</v>
      </c>
      <c r="F581" s="2">
        <f>IFERROR(__xludf.DUMMYFUNCTION("""COMPUTED_VALUE"""),1.105385E8)</f>
        <v>110538500</v>
      </c>
      <c r="G581" s="2">
        <f t="shared" si="1"/>
        <v>70</v>
      </c>
    </row>
    <row r="582" ht="15.75" customHeight="1">
      <c r="A582" s="1">
        <f>IFERROR(__xludf.DUMMYFUNCTION("""COMPUTED_VALUE"""),44706.66666666667)</f>
        <v>44706.66667</v>
      </c>
      <c r="B582" s="2">
        <f>IFERROR(__xludf.DUMMYFUNCTION("""COMPUTED_VALUE"""),2560.0)</f>
        <v>2560</v>
      </c>
      <c r="C582" s="2">
        <f>IFERROR(__xludf.DUMMYFUNCTION("""COMPUTED_VALUE"""),2580.0)</f>
        <v>2580</v>
      </c>
      <c r="D582" s="2">
        <f>IFERROR(__xludf.DUMMYFUNCTION("""COMPUTED_VALUE"""),2460.0)</f>
        <v>2460</v>
      </c>
      <c r="E582" s="2">
        <f>IFERROR(__xludf.DUMMYFUNCTION("""COMPUTED_VALUE"""),2490.0)</f>
        <v>2490</v>
      </c>
      <c r="F582" s="2">
        <f>IFERROR(__xludf.DUMMYFUNCTION("""COMPUTED_VALUE"""),1.158496E8)</f>
        <v>115849600</v>
      </c>
      <c r="G582" s="2">
        <f t="shared" si="1"/>
        <v>120</v>
      </c>
    </row>
    <row r="583" ht="15.75" customHeight="1">
      <c r="A583" s="1">
        <f>IFERROR(__xludf.DUMMYFUNCTION("""COMPUTED_VALUE"""),44708.66666666667)</f>
        <v>44708.66667</v>
      </c>
      <c r="B583" s="2">
        <f>IFERROR(__xludf.DUMMYFUNCTION("""COMPUTED_VALUE"""),2510.0)</f>
        <v>2510</v>
      </c>
      <c r="C583" s="2">
        <f>IFERROR(__xludf.DUMMYFUNCTION("""COMPUTED_VALUE"""),2530.0)</f>
        <v>2530</v>
      </c>
      <c r="D583" s="2">
        <f>IFERROR(__xludf.DUMMYFUNCTION("""COMPUTED_VALUE"""),2460.0)</f>
        <v>2460</v>
      </c>
      <c r="E583" s="2">
        <f>IFERROR(__xludf.DUMMYFUNCTION("""COMPUTED_VALUE"""),2470.0)</f>
        <v>2470</v>
      </c>
      <c r="F583" s="2">
        <f>IFERROR(__xludf.DUMMYFUNCTION("""COMPUTED_VALUE"""),7.6174E7)</f>
        <v>76174000</v>
      </c>
      <c r="G583" s="2">
        <f t="shared" si="1"/>
        <v>70</v>
      </c>
    </row>
    <row r="584" ht="15.75" customHeight="1">
      <c r="A584" s="1">
        <f>IFERROR(__xludf.DUMMYFUNCTION("""COMPUTED_VALUE"""),44711.66666666667)</f>
        <v>44711.66667</v>
      </c>
      <c r="B584" s="2">
        <f>IFERROR(__xludf.DUMMYFUNCTION("""COMPUTED_VALUE"""),2500.0)</f>
        <v>2500</v>
      </c>
      <c r="C584" s="2">
        <f>IFERROR(__xludf.DUMMYFUNCTION("""COMPUTED_VALUE"""),2570.0)</f>
        <v>2570</v>
      </c>
      <c r="D584" s="2">
        <f>IFERROR(__xludf.DUMMYFUNCTION("""COMPUTED_VALUE"""),2470.0)</f>
        <v>2470</v>
      </c>
      <c r="E584" s="2">
        <f>IFERROR(__xludf.DUMMYFUNCTION("""COMPUTED_VALUE"""),2560.0)</f>
        <v>2560</v>
      </c>
      <c r="F584" s="2">
        <f>IFERROR(__xludf.DUMMYFUNCTION("""COMPUTED_VALUE"""),1.252033E8)</f>
        <v>125203300</v>
      </c>
      <c r="G584" s="2">
        <f t="shared" si="1"/>
        <v>100</v>
      </c>
    </row>
    <row r="585" ht="15.75" customHeight="1">
      <c r="A585" s="1">
        <f>IFERROR(__xludf.DUMMYFUNCTION("""COMPUTED_VALUE"""),44712.66666666667)</f>
        <v>44712.66667</v>
      </c>
      <c r="B585" s="2">
        <f>IFERROR(__xludf.DUMMYFUNCTION("""COMPUTED_VALUE"""),2570.0)</f>
        <v>2570</v>
      </c>
      <c r="C585" s="2">
        <f>IFERROR(__xludf.DUMMYFUNCTION("""COMPUTED_VALUE"""),2570.0)</f>
        <v>2570</v>
      </c>
      <c r="D585" s="2">
        <f>IFERROR(__xludf.DUMMYFUNCTION("""COMPUTED_VALUE"""),2500.0)</f>
        <v>2500</v>
      </c>
      <c r="E585" s="2">
        <f>IFERROR(__xludf.DUMMYFUNCTION("""COMPUTED_VALUE"""),2510.0)</f>
        <v>2510</v>
      </c>
      <c r="F585" s="2">
        <f>IFERROR(__xludf.DUMMYFUNCTION("""COMPUTED_VALUE"""),1.68242E8)</f>
        <v>168242000</v>
      </c>
      <c r="G585" s="2">
        <f t="shared" si="1"/>
        <v>70</v>
      </c>
    </row>
    <row r="586" ht="15.75" customHeight="1">
      <c r="A586" s="1">
        <f>IFERROR(__xludf.DUMMYFUNCTION("""COMPUTED_VALUE"""),44714.66666666667)</f>
        <v>44714.66667</v>
      </c>
      <c r="B586" s="2">
        <f>IFERROR(__xludf.DUMMYFUNCTION("""COMPUTED_VALUE"""),2500.0)</f>
        <v>2500</v>
      </c>
      <c r="C586" s="2">
        <f>IFERROR(__xludf.DUMMYFUNCTION("""COMPUTED_VALUE"""),2560.0)</f>
        <v>2560</v>
      </c>
      <c r="D586" s="2">
        <f>IFERROR(__xludf.DUMMYFUNCTION("""COMPUTED_VALUE"""),2470.0)</f>
        <v>2470</v>
      </c>
      <c r="E586" s="2">
        <f>IFERROR(__xludf.DUMMYFUNCTION("""COMPUTED_VALUE"""),2510.0)</f>
        <v>2510</v>
      </c>
      <c r="F586" s="2">
        <f>IFERROR(__xludf.DUMMYFUNCTION("""COMPUTED_VALUE"""),1.162093E8)</f>
        <v>116209300</v>
      </c>
      <c r="G586" s="2">
        <f t="shared" si="1"/>
        <v>90</v>
      </c>
    </row>
    <row r="587" ht="15.75" customHeight="1">
      <c r="A587" s="1">
        <f>IFERROR(__xludf.DUMMYFUNCTION("""COMPUTED_VALUE"""),44715.66666666667)</f>
        <v>44715.66667</v>
      </c>
      <c r="B587" s="2">
        <f>IFERROR(__xludf.DUMMYFUNCTION("""COMPUTED_VALUE"""),2520.0)</f>
        <v>2520</v>
      </c>
      <c r="C587" s="2">
        <f>IFERROR(__xludf.DUMMYFUNCTION("""COMPUTED_VALUE"""),2550.0)</f>
        <v>2550</v>
      </c>
      <c r="D587" s="2">
        <f>IFERROR(__xludf.DUMMYFUNCTION("""COMPUTED_VALUE"""),2500.0)</f>
        <v>2500</v>
      </c>
      <c r="E587" s="2">
        <f>IFERROR(__xludf.DUMMYFUNCTION("""COMPUTED_VALUE"""),2500.0)</f>
        <v>2500</v>
      </c>
      <c r="F587" s="2">
        <f>IFERROR(__xludf.DUMMYFUNCTION("""COMPUTED_VALUE"""),7.12457E7)</f>
        <v>71245700</v>
      </c>
      <c r="G587" s="2">
        <f t="shared" si="1"/>
        <v>50</v>
      </c>
    </row>
    <row r="588" ht="15.75" customHeight="1">
      <c r="A588" s="1">
        <f>IFERROR(__xludf.DUMMYFUNCTION("""COMPUTED_VALUE"""),44718.66666666667)</f>
        <v>44718.66667</v>
      </c>
      <c r="B588" s="2">
        <f>IFERROR(__xludf.DUMMYFUNCTION("""COMPUTED_VALUE"""),2460.0)</f>
        <v>2460</v>
      </c>
      <c r="C588" s="2">
        <f>IFERROR(__xludf.DUMMYFUNCTION("""COMPUTED_VALUE"""),2490.0)</f>
        <v>2490</v>
      </c>
      <c r="D588" s="2">
        <f>IFERROR(__xludf.DUMMYFUNCTION("""COMPUTED_VALUE"""),2400.0)</f>
        <v>2400</v>
      </c>
      <c r="E588" s="2">
        <f>IFERROR(__xludf.DUMMYFUNCTION("""COMPUTED_VALUE"""),2450.0)</f>
        <v>2450</v>
      </c>
      <c r="F588" s="2">
        <f>IFERROR(__xludf.DUMMYFUNCTION("""COMPUTED_VALUE"""),9.37938E7)</f>
        <v>93793800</v>
      </c>
      <c r="G588" s="2">
        <f t="shared" si="1"/>
        <v>100</v>
      </c>
    </row>
    <row r="589" ht="15.75" customHeight="1">
      <c r="A589" s="1">
        <f>IFERROR(__xludf.DUMMYFUNCTION("""COMPUTED_VALUE"""),44719.66666666667)</f>
        <v>44719.66667</v>
      </c>
      <c r="B589" s="2">
        <f>IFERROR(__xludf.DUMMYFUNCTION("""COMPUTED_VALUE"""),2450.0)</f>
        <v>2450</v>
      </c>
      <c r="C589" s="2">
        <f>IFERROR(__xludf.DUMMYFUNCTION("""COMPUTED_VALUE"""),2470.0)</f>
        <v>2470</v>
      </c>
      <c r="D589" s="2">
        <f>IFERROR(__xludf.DUMMYFUNCTION("""COMPUTED_VALUE"""),2420.0)</f>
        <v>2420</v>
      </c>
      <c r="E589" s="2">
        <f>IFERROR(__xludf.DUMMYFUNCTION("""COMPUTED_VALUE"""),2420.0)</f>
        <v>2420</v>
      </c>
      <c r="F589" s="2">
        <f>IFERROR(__xludf.DUMMYFUNCTION("""COMPUTED_VALUE"""),6.44319E7)</f>
        <v>64431900</v>
      </c>
      <c r="G589" s="2">
        <f t="shared" si="1"/>
        <v>50</v>
      </c>
    </row>
    <row r="590" ht="15.75" customHeight="1">
      <c r="A590" s="1">
        <f>IFERROR(__xludf.DUMMYFUNCTION("""COMPUTED_VALUE"""),44720.66666666667)</f>
        <v>44720.66667</v>
      </c>
      <c r="B590" s="2">
        <f>IFERROR(__xludf.DUMMYFUNCTION("""COMPUTED_VALUE"""),2430.0)</f>
        <v>2430</v>
      </c>
      <c r="C590" s="2">
        <f>IFERROR(__xludf.DUMMYFUNCTION("""COMPUTED_VALUE"""),2440.0)</f>
        <v>2440</v>
      </c>
      <c r="D590" s="2">
        <f>IFERROR(__xludf.DUMMYFUNCTION("""COMPUTED_VALUE"""),2400.0)</f>
        <v>2400</v>
      </c>
      <c r="E590" s="2">
        <f>IFERROR(__xludf.DUMMYFUNCTION("""COMPUTED_VALUE"""),2420.0)</f>
        <v>2420</v>
      </c>
      <c r="F590" s="2">
        <f>IFERROR(__xludf.DUMMYFUNCTION("""COMPUTED_VALUE"""),5.76692E7)</f>
        <v>57669200</v>
      </c>
      <c r="G590" s="2">
        <f t="shared" si="1"/>
        <v>40</v>
      </c>
    </row>
    <row r="591" ht="15.75" customHeight="1">
      <c r="A591" s="1">
        <f>IFERROR(__xludf.DUMMYFUNCTION("""COMPUTED_VALUE"""),44721.66666666667)</f>
        <v>44721.66667</v>
      </c>
      <c r="B591" s="2">
        <f>IFERROR(__xludf.DUMMYFUNCTION("""COMPUTED_VALUE"""),2420.0)</f>
        <v>2420</v>
      </c>
      <c r="C591" s="2">
        <f>IFERROR(__xludf.DUMMYFUNCTION("""COMPUTED_VALUE"""),2450.0)</f>
        <v>2450</v>
      </c>
      <c r="D591" s="2">
        <f>IFERROR(__xludf.DUMMYFUNCTION("""COMPUTED_VALUE"""),2380.0)</f>
        <v>2380</v>
      </c>
      <c r="E591" s="2">
        <f>IFERROR(__xludf.DUMMYFUNCTION("""COMPUTED_VALUE"""),2400.0)</f>
        <v>2400</v>
      </c>
      <c r="F591" s="2">
        <f>IFERROR(__xludf.DUMMYFUNCTION("""COMPUTED_VALUE"""),5.99808E7)</f>
        <v>59980800</v>
      </c>
      <c r="G591" s="2">
        <f t="shared" si="1"/>
        <v>70</v>
      </c>
    </row>
    <row r="592" ht="15.75" customHeight="1">
      <c r="A592" s="1">
        <f>IFERROR(__xludf.DUMMYFUNCTION("""COMPUTED_VALUE"""),44722.66666666667)</f>
        <v>44722.66667</v>
      </c>
      <c r="B592" s="2">
        <f>IFERROR(__xludf.DUMMYFUNCTION("""COMPUTED_VALUE"""),2370.0)</f>
        <v>2370</v>
      </c>
      <c r="C592" s="2">
        <f>IFERROR(__xludf.DUMMYFUNCTION("""COMPUTED_VALUE"""),2380.0)</f>
        <v>2380</v>
      </c>
      <c r="D592" s="2">
        <f>IFERROR(__xludf.DUMMYFUNCTION("""COMPUTED_VALUE"""),2280.0)</f>
        <v>2280</v>
      </c>
      <c r="E592" s="2">
        <f>IFERROR(__xludf.DUMMYFUNCTION("""COMPUTED_VALUE"""),2290.0)</f>
        <v>2290</v>
      </c>
      <c r="F592" s="2">
        <f>IFERROR(__xludf.DUMMYFUNCTION("""COMPUTED_VALUE"""),1.310077E8)</f>
        <v>131007700</v>
      </c>
      <c r="G592" s="2">
        <f t="shared" si="1"/>
        <v>120</v>
      </c>
    </row>
    <row r="593" ht="15.75" customHeight="1">
      <c r="A593" s="1">
        <f>IFERROR(__xludf.DUMMYFUNCTION("""COMPUTED_VALUE"""),44725.66666666667)</f>
        <v>44725.66667</v>
      </c>
      <c r="B593" s="2">
        <f>IFERROR(__xludf.DUMMYFUNCTION("""COMPUTED_VALUE"""),2240.0)</f>
        <v>2240</v>
      </c>
      <c r="C593" s="2">
        <f>IFERROR(__xludf.DUMMYFUNCTION("""COMPUTED_VALUE"""),2280.0)</f>
        <v>2280</v>
      </c>
      <c r="D593" s="2">
        <f>IFERROR(__xludf.DUMMYFUNCTION("""COMPUTED_VALUE"""),2200.0)</f>
        <v>2200</v>
      </c>
      <c r="E593" s="2">
        <f>IFERROR(__xludf.DUMMYFUNCTION("""COMPUTED_VALUE"""),2260.0)</f>
        <v>2260</v>
      </c>
      <c r="F593" s="2">
        <f>IFERROR(__xludf.DUMMYFUNCTION("""COMPUTED_VALUE"""),1.130979E8)</f>
        <v>113097900</v>
      </c>
      <c r="G593" s="2">
        <f t="shared" si="1"/>
        <v>90</v>
      </c>
    </row>
    <row r="594" ht="15.75" customHeight="1">
      <c r="A594" s="1">
        <f>IFERROR(__xludf.DUMMYFUNCTION("""COMPUTED_VALUE"""),44726.66666666667)</f>
        <v>44726.66667</v>
      </c>
      <c r="B594" s="2">
        <f>IFERROR(__xludf.DUMMYFUNCTION("""COMPUTED_VALUE"""),2240.0)</f>
        <v>2240</v>
      </c>
      <c r="C594" s="2">
        <f>IFERROR(__xludf.DUMMYFUNCTION("""COMPUTED_VALUE"""),2260.0)</f>
        <v>2260</v>
      </c>
      <c r="D594" s="2">
        <f>IFERROR(__xludf.DUMMYFUNCTION("""COMPUTED_VALUE"""),2160.0)</f>
        <v>2160</v>
      </c>
      <c r="E594" s="2">
        <f>IFERROR(__xludf.DUMMYFUNCTION("""COMPUTED_VALUE"""),2180.0)</f>
        <v>2180</v>
      </c>
      <c r="F594" s="2">
        <f>IFERROR(__xludf.DUMMYFUNCTION("""COMPUTED_VALUE"""),1.408817E8)</f>
        <v>140881700</v>
      </c>
      <c r="G594" s="2">
        <f t="shared" si="1"/>
        <v>100</v>
      </c>
    </row>
    <row r="595" ht="15.75" customHeight="1">
      <c r="A595" s="1">
        <f>IFERROR(__xludf.DUMMYFUNCTION("""COMPUTED_VALUE"""),44727.66666666667)</f>
        <v>44727.66667</v>
      </c>
      <c r="B595" s="2">
        <f>IFERROR(__xludf.DUMMYFUNCTION("""COMPUTED_VALUE"""),2180.0)</f>
        <v>2180</v>
      </c>
      <c r="C595" s="2">
        <f>IFERROR(__xludf.DUMMYFUNCTION("""COMPUTED_VALUE"""),2240.0)</f>
        <v>2240</v>
      </c>
      <c r="D595" s="2">
        <f>IFERROR(__xludf.DUMMYFUNCTION("""COMPUTED_VALUE"""),2120.0)</f>
        <v>2120</v>
      </c>
      <c r="E595" s="2">
        <f>IFERROR(__xludf.DUMMYFUNCTION("""COMPUTED_VALUE"""),2170.0)</f>
        <v>2170</v>
      </c>
      <c r="F595" s="2">
        <f>IFERROR(__xludf.DUMMYFUNCTION("""COMPUTED_VALUE"""),9.48725E7)</f>
        <v>94872500</v>
      </c>
      <c r="G595" s="2">
        <f t="shared" si="1"/>
        <v>120</v>
      </c>
    </row>
    <row r="596" ht="15.75" customHeight="1">
      <c r="A596" s="1">
        <f>IFERROR(__xludf.DUMMYFUNCTION("""COMPUTED_VALUE"""),44728.66666666667)</f>
        <v>44728.66667</v>
      </c>
      <c r="B596" s="2">
        <f>IFERROR(__xludf.DUMMYFUNCTION("""COMPUTED_VALUE"""),2200.0)</f>
        <v>2200</v>
      </c>
      <c r="C596" s="2">
        <f>IFERROR(__xludf.DUMMYFUNCTION("""COMPUTED_VALUE"""),2230.0)</f>
        <v>2230</v>
      </c>
      <c r="D596" s="2">
        <f>IFERROR(__xludf.DUMMYFUNCTION("""COMPUTED_VALUE"""),2140.0)</f>
        <v>2140</v>
      </c>
      <c r="E596" s="2">
        <f>IFERROR(__xludf.DUMMYFUNCTION("""COMPUTED_VALUE"""),2150.0)</f>
        <v>2150</v>
      </c>
      <c r="F596" s="2">
        <f>IFERROR(__xludf.DUMMYFUNCTION("""COMPUTED_VALUE"""),9.9487E7)</f>
        <v>99487000</v>
      </c>
      <c r="G596" s="2">
        <f t="shared" si="1"/>
        <v>90</v>
      </c>
    </row>
    <row r="597" ht="15.75" customHeight="1">
      <c r="A597" s="1">
        <f>IFERROR(__xludf.DUMMYFUNCTION("""COMPUTED_VALUE"""),44729.66666666667)</f>
        <v>44729.66667</v>
      </c>
      <c r="B597" s="2">
        <f>IFERROR(__xludf.DUMMYFUNCTION("""COMPUTED_VALUE"""),2120.0)</f>
        <v>2120</v>
      </c>
      <c r="C597" s="2">
        <f>IFERROR(__xludf.DUMMYFUNCTION("""COMPUTED_VALUE"""),2140.0)</f>
        <v>2140</v>
      </c>
      <c r="D597" s="2">
        <f>IFERROR(__xludf.DUMMYFUNCTION("""COMPUTED_VALUE"""),2100.0)</f>
        <v>2100</v>
      </c>
      <c r="E597" s="2">
        <f>IFERROR(__xludf.DUMMYFUNCTION("""COMPUTED_VALUE"""),2110.0)</f>
        <v>2110</v>
      </c>
      <c r="F597" s="2">
        <f>IFERROR(__xludf.DUMMYFUNCTION("""COMPUTED_VALUE"""),7.08186E7)</f>
        <v>70818600</v>
      </c>
      <c r="G597" s="2">
        <f t="shared" si="1"/>
        <v>50</v>
      </c>
    </row>
    <row r="598" ht="15.75" customHeight="1">
      <c r="A598" s="1">
        <f>IFERROR(__xludf.DUMMYFUNCTION("""COMPUTED_VALUE"""),44732.66666666667)</f>
        <v>44732.66667</v>
      </c>
      <c r="B598" s="2">
        <f>IFERROR(__xludf.DUMMYFUNCTION("""COMPUTED_VALUE"""),2110.0)</f>
        <v>2110</v>
      </c>
      <c r="C598" s="2">
        <f>IFERROR(__xludf.DUMMYFUNCTION("""COMPUTED_VALUE"""),2130.0)</f>
        <v>2130</v>
      </c>
      <c r="D598" s="2">
        <f>IFERROR(__xludf.DUMMYFUNCTION("""COMPUTED_VALUE"""),2050.0)</f>
        <v>2050</v>
      </c>
      <c r="E598" s="2">
        <f>IFERROR(__xludf.DUMMYFUNCTION("""COMPUTED_VALUE"""),2070.0)</f>
        <v>2070</v>
      </c>
      <c r="F598" s="2">
        <f>IFERROR(__xludf.DUMMYFUNCTION("""COMPUTED_VALUE"""),7.82827E7)</f>
        <v>78282700</v>
      </c>
      <c r="G598" s="2">
        <f t="shared" si="1"/>
        <v>80</v>
      </c>
    </row>
    <row r="599" ht="15.75" customHeight="1">
      <c r="A599" s="1">
        <f>IFERROR(__xludf.DUMMYFUNCTION("""COMPUTED_VALUE"""),44733.66666666667)</f>
        <v>44733.66667</v>
      </c>
      <c r="B599" s="2">
        <f>IFERROR(__xludf.DUMMYFUNCTION("""COMPUTED_VALUE"""),2080.0)</f>
        <v>2080</v>
      </c>
      <c r="C599" s="2">
        <f>IFERROR(__xludf.DUMMYFUNCTION("""COMPUTED_VALUE"""),2150.0)</f>
        <v>2150</v>
      </c>
      <c r="D599" s="2">
        <f>IFERROR(__xludf.DUMMYFUNCTION("""COMPUTED_VALUE"""),2070.0)</f>
        <v>2070</v>
      </c>
      <c r="E599" s="2">
        <f>IFERROR(__xludf.DUMMYFUNCTION("""COMPUTED_VALUE"""),2150.0)</f>
        <v>2150</v>
      </c>
      <c r="F599" s="2">
        <f>IFERROR(__xludf.DUMMYFUNCTION("""COMPUTED_VALUE"""),8.32987E7)</f>
        <v>83298700</v>
      </c>
      <c r="G599" s="2">
        <f t="shared" si="1"/>
        <v>80</v>
      </c>
    </row>
    <row r="600" ht="15.75" customHeight="1">
      <c r="A600" s="1">
        <f>IFERROR(__xludf.DUMMYFUNCTION("""COMPUTED_VALUE"""),44734.66666666667)</f>
        <v>44734.66667</v>
      </c>
      <c r="B600" s="2">
        <f>IFERROR(__xludf.DUMMYFUNCTION("""COMPUTED_VALUE"""),2140.0)</f>
        <v>2140</v>
      </c>
      <c r="C600" s="2">
        <f>IFERROR(__xludf.DUMMYFUNCTION("""COMPUTED_VALUE"""),2140.0)</f>
        <v>2140</v>
      </c>
      <c r="D600" s="2">
        <f>IFERROR(__xludf.DUMMYFUNCTION("""COMPUTED_VALUE"""),2020.0)</f>
        <v>2020</v>
      </c>
      <c r="E600" s="2">
        <f>IFERROR(__xludf.DUMMYFUNCTION("""COMPUTED_VALUE"""),2020.0)</f>
        <v>2020</v>
      </c>
      <c r="F600" s="2">
        <f>IFERROR(__xludf.DUMMYFUNCTION("""COMPUTED_VALUE"""),1.715082E8)</f>
        <v>171508200</v>
      </c>
      <c r="G600" s="2">
        <f t="shared" si="1"/>
        <v>130</v>
      </c>
    </row>
    <row r="601" ht="15.75" customHeight="1">
      <c r="A601" s="1">
        <f>IFERROR(__xludf.DUMMYFUNCTION("""COMPUTED_VALUE"""),44735.66666666667)</f>
        <v>44735.66667</v>
      </c>
      <c r="B601" s="2">
        <f>IFERROR(__xludf.DUMMYFUNCTION("""COMPUTED_VALUE"""),2020.0)</f>
        <v>2020</v>
      </c>
      <c r="C601" s="2">
        <f>IFERROR(__xludf.DUMMYFUNCTION("""COMPUTED_VALUE"""),2020.0)</f>
        <v>2020</v>
      </c>
      <c r="D601" s="2">
        <f>IFERROR(__xludf.DUMMYFUNCTION("""COMPUTED_VALUE"""),1955.0)</f>
        <v>1955</v>
      </c>
      <c r="E601" s="2">
        <f>IFERROR(__xludf.DUMMYFUNCTION("""COMPUTED_VALUE"""),1965.0)</f>
        <v>1965</v>
      </c>
      <c r="F601" s="2">
        <f>IFERROR(__xludf.DUMMYFUNCTION("""COMPUTED_VALUE"""),1.274685E8)</f>
        <v>127468500</v>
      </c>
      <c r="G601" s="2">
        <f t="shared" si="1"/>
        <v>65</v>
      </c>
    </row>
    <row r="602" ht="15.75" customHeight="1">
      <c r="A602" s="1">
        <f>IFERROR(__xludf.DUMMYFUNCTION("""COMPUTED_VALUE"""),44736.66666666667)</f>
        <v>44736.66667</v>
      </c>
      <c r="B602" s="2">
        <f>IFERROR(__xludf.DUMMYFUNCTION("""COMPUTED_VALUE"""),1950.0)</f>
        <v>1950</v>
      </c>
      <c r="C602" s="2">
        <f>IFERROR(__xludf.DUMMYFUNCTION("""COMPUTED_VALUE"""),2000.0)</f>
        <v>2000</v>
      </c>
      <c r="D602" s="2">
        <f>IFERROR(__xludf.DUMMYFUNCTION("""COMPUTED_VALUE"""),1950.0)</f>
        <v>1950</v>
      </c>
      <c r="E602" s="2">
        <f>IFERROR(__xludf.DUMMYFUNCTION("""COMPUTED_VALUE"""),1970.0)</f>
        <v>1970</v>
      </c>
      <c r="F602" s="2">
        <f>IFERROR(__xludf.DUMMYFUNCTION("""COMPUTED_VALUE"""),7.37179E7)</f>
        <v>73717900</v>
      </c>
      <c r="G602" s="2">
        <f t="shared" si="1"/>
        <v>50</v>
      </c>
    </row>
    <row r="603" ht="15.75" customHeight="1">
      <c r="A603" s="1">
        <f>IFERROR(__xludf.DUMMYFUNCTION("""COMPUTED_VALUE"""),44739.66666666667)</f>
        <v>44739.66667</v>
      </c>
      <c r="B603" s="2">
        <f>IFERROR(__xludf.DUMMYFUNCTION("""COMPUTED_VALUE"""),1970.0)</f>
        <v>1970</v>
      </c>
      <c r="C603" s="2">
        <f>IFERROR(__xludf.DUMMYFUNCTION("""COMPUTED_VALUE"""),1970.0)</f>
        <v>1970</v>
      </c>
      <c r="D603" s="2">
        <f>IFERROR(__xludf.DUMMYFUNCTION("""COMPUTED_VALUE"""),1885.0)</f>
        <v>1885</v>
      </c>
      <c r="E603" s="2">
        <f>IFERROR(__xludf.DUMMYFUNCTION("""COMPUTED_VALUE"""),1890.0)</f>
        <v>1890</v>
      </c>
      <c r="F603" s="2">
        <f>IFERROR(__xludf.DUMMYFUNCTION("""COMPUTED_VALUE"""),1.720034E8)</f>
        <v>172003400</v>
      </c>
      <c r="G603" s="2">
        <f t="shared" si="1"/>
        <v>85</v>
      </c>
    </row>
    <row r="604" ht="15.75" customHeight="1">
      <c r="A604" s="1">
        <f>IFERROR(__xludf.DUMMYFUNCTION("""COMPUTED_VALUE"""),44740.66666666667)</f>
        <v>44740.66667</v>
      </c>
      <c r="B604" s="2">
        <f>IFERROR(__xludf.DUMMYFUNCTION("""COMPUTED_VALUE"""),1890.0)</f>
        <v>1890</v>
      </c>
      <c r="C604" s="2">
        <f>IFERROR(__xludf.DUMMYFUNCTION("""COMPUTED_VALUE"""),1905.0)</f>
        <v>1905</v>
      </c>
      <c r="D604" s="2">
        <f>IFERROR(__xludf.DUMMYFUNCTION("""COMPUTED_VALUE"""),1860.0)</f>
        <v>1860</v>
      </c>
      <c r="E604" s="2">
        <f>IFERROR(__xludf.DUMMYFUNCTION("""COMPUTED_VALUE"""),1865.0)</f>
        <v>1865</v>
      </c>
      <c r="F604" s="2">
        <f>IFERROR(__xludf.DUMMYFUNCTION("""COMPUTED_VALUE"""),1.064467E8)</f>
        <v>106446700</v>
      </c>
      <c r="G604" s="2">
        <f t="shared" si="1"/>
        <v>45</v>
      </c>
    </row>
    <row r="605" ht="15.75" customHeight="1">
      <c r="A605" s="1">
        <f>IFERROR(__xludf.DUMMYFUNCTION("""COMPUTED_VALUE"""),44741.66666666667)</f>
        <v>44741.66667</v>
      </c>
      <c r="B605" s="2">
        <f>IFERROR(__xludf.DUMMYFUNCTION("""COMPUTED_VALUE"""),1855.0)</f>
        <v>1855</v>
      </c>
      <c r="C605" s="2">
        <f>IFERROR(__xludf.DUMMYFUNCTION("""COMPUTED_VALUE"""),1890.0)</f>
        <v>1890</v>
      </c>
      <c r="D605" s="2">
        <f>IFERROR(__xludf.DUMMYFUNCTION("""COMPUTED_VALUE"""),1835.0)</f>
        <v>1835</v>
      </c>
      <c r="E605" s="2">
        <f>IFERROR(__xludf.DUMMYFUNCTION("""COMPUTED_VALUE"""),1835.0)</f>
        <v>1835</v>
      </c>
      <c r="F605" s="2">
        <f>IFERROR(__xludf.DUMMYFUNCTION("""COMPUTED_VALUE"""),1.186843E8)</f>
        <v>118684300</v>
      </c>
      <c r="G605" s="2">
        <f t="shared" si="1"/>
        <v>55</v>
      </c>
    </row>
    <row r="606" ht="15.75" customHeight="1">
      <c r="A606" s="1">
        <f>IFERROR(__xludf.DUMMYFUNCTION("""COMPUTED_VALUE"""),44742.66666666667)</f>
        <v>44742.66667</v>
      </c>
      <c r="B606" s="2">
        <f>IFERROR(__xludf.DUMMYFUNCTION("""COMPUTED_VALUE"""),1850.0)</f>
        <v>1850</v>
      </c>
      <c r="C606" s="2">
        <f>IFERROR(__xludf.DUMMYFUNCTION("""COMPUTED_VALUE"""),1860.0)</f>
        <v>1860</v>
      </c>
      <c r="D606" s="2">
        <f>IFERROR(__xludf.DUMMYFUNCTION("""COMPUTED_VALUE"""),1800.0)</f>
        <v>1800</v>
      </c>
      <c r="E606" s="2">
        <f>IFERROR(__xludf.DUMMYFUNCTION("""COMPUTED_VALUE"""),1800.0)</f>
        <v>1800</v>
      </c>
      <c r="F606" s="2">
        <f>IFERROR(__xludf.DUMMYFUNCTION("""COMPUTED_VALUE"""),7.78242E7)</f>
        <v>77824200</v>
      </c>
      <c r="G606" s="2">
        <f t="shared" si="1"/>
        <v>60</v>
      </c>
    </row>
    <row r="607" ht="15.75" customHeight="1">
      <c r="A607" s="1">
        <f>IFERROR(__xludf.DUMMYFUNCTION("""COMPUTED_VALUE"""),44743.66666666667)</f>
        <v>44743.66667</v>
      </c>
      <c r="B607" s="2">
        <f>IFERROR(__xludf.DUMMYFUNCTION("""COMPUTED_VALUE"""),1795.0)</f>
        <v>1795</v>
      </c>
      <c r="C607" s="2">
        <f>IFERROR(__xludf.DUMMYFUNCTION("""COMPUTED_VALUE"""),1810.0)</f>
        <v>1810</v>
      </c>
      <c r="D607" s="2">
        <f>IFERROR(__xludf.DUMMYFUNCTION("""COMPUTED_VALUE"""),1750.0)</f>
        <v>1750</v>
      </c>
      <c r="E607" s="2">
        <f>IFERROR(__xludf.DUMMYFUNCTION("""COMPUTED_VALUE"""),1750.0)</f>
        <v>1750</v>
      </c>
      <c r="F607" s="2">
        <f>IFERROR(__xludf.DUMMYFUNCTION("""COMPUTED_VALUE"""),1.14976E8)</f>
        <v>114976000</v>
      </c>
      <c r="G607" s="2">
        <f t="shared" si="1"/>
        <v>60</v>
      </c>
    </row>
    <row r="608" ht="15.75" customHeight="1">
      <c r="A608" s="1">
        <f>IFERROR(__xludf.DUMMYFUNCTION("""COMPUTED_VALUE"""),44746.66666666667)</f>
        <v>44746.66667</v>
      </c>
      <c r="B608" s="2">
        <f>IFERROR(__xludf.DUMMYFUNCTION("""COMPUTED_VALUE"""),1750.0)</f>
        <v>1750</v>
      </c>
      <c r="C608" s="2">
        <f>IFERROR(__xludf.DUMMYFUNCTION("""COMPUTED_VALUE"""),1770.0)</f>
        <v>1770</v>
      </c>
      <c r="D608" s="2">
        <f>IFERROR(__xludf.DUMMYFUNCTION("""COMPUTED_VALUE"""),1700.0)</f>
        <v>1700</v>
      </c>
      <c r="E608" s="2">
        <f>IFERROR(__xludf.DUMMYFUNCTION("""COMPUTED_VALUE"""),1720.0)</f>
        <v>1720</v>
      </c>
      <c r="F608" s="2">
        <f>IFERROR(__xludf.DUMMYFUNCTION("""COMPUTED_VALUE"""),1.019526E8)</f>
        <v>101952600</v>
      </c>
      <c r="G608" s="2">
        <f t="shared" si="1"/>
        <v>70</v>
      </c>
    </row>
    <row r="609" ht="15.75" customHeight="1">
      <c r="A609" s="1">
        <f>IFERROR(__xludf.DUMMYFUNCTION("""COMPUTED_VALUE"""),44747.66666666667)</f>
        <v>44747.66667</v>
      </c>
      <c r="B609" s="2">
        <f>IFERROR(__xludf.DUMMYFUNCTION("""COMPUTED_VALUE"""),1740.0)</f>
        <v>1740</v>
      </c>
      <c r="C609" s="2">
        <f>IFERROR(__xludf.DUMMYFUNCTION("""COMPUTED_VALUE"""),1820.0)</f>
        <v>1820</v>
      </c>
      <c r="D609" s="2">
        <f>IFERROR(__xludf.DUMMYFUNCTION("""COMPUTED_VALUE"""),1740.0)</f>
        <v>1740</v>
      </c>
      <c r="E609" s="2">
        <f>IFERROR(__xludf.DUMMYFUNCTION("""COMPUTED_VALUE"""),1790.0)</f>
        <v>1790</v>
      </c>
      <c r="F609" s="2">
        <f>IFERROR(__xludf.DUMMYFUNCTION("""COMPUTED_VALUE"""),1.23382E8)</f>
        <v>123382000</v>
      </c>
      <c r="G609" s="2">
        <f t="shared" si="1"/>
        <v>100</v>
      </c>
    </row>
    <row r="610" ht="15.75" customHeight="1">
      <c r="A610" s="1">
        <f>IFERROR(__xludf.DUMMYFUNCTION("""COMPUTED_VALUE"""),44748.66666666667)</f>
        <v>44748.66667</v>
      </c>
      <c r="B610" s="2">
        <f>IFERROR(__xludf.DUMMYFUNCTION("""COMPUTED_VALUE"""),1775.0)</f>
        <v>1775</v>
      </c>
      <c r="C610" s="2">
        <f>IFERROR(__xludf.DUMMYFUNCTION("""COMPUTED_VALUE"""),1780.0)</f>
        <v>1780</v>
      </c>
      <c r="D610" s="2">
        <f>IFERROR(__xludf.DUMMYFUNCTION("""COMPUTED_VALUE"""),1710.0)</f>
        <v>1710</v>
      </c>
      <c r="E610" s="2">
        <f>IFERROR(__xludf.DUMMYFUNCTION("""COMPUTED_VALUE"""),1720.0)</f>
        <v>1720</v>
      </c>
      <c r="F610" s="2">
        <f>IFERROR(__xludf.DUMMYFUNCTION("""COMPUTED_VALUE"""),9.68722E7)</f>
        <v>96872200</v>
      </c>
      <c r="G610" s="2">
        <f t="shared" si="1"/>
        <v>80</v>
      </c>
    </row>
    <row r="611" ht="15.75" customHeight="1">
      <c r="A611" s="1">
        <f>IFERROR(__xludf.DUMMYFUNCTION("""COMPUTED_VALUE"""),44749.66666666667)</f>
        <v>44749.66667</v>
      </c>
      <c r="B611" s="2">
        <f>IFERROR(__xludf.DUMMYFUNCTION("""COMPUTED_VALUE"""),1715.0)</f>
        <v>1715</v>
      </c>
      <c r="C611" s="2">
        <f>IFERROR(__xludf.DUMMYFUNCTION("""COMPUTED_VALUE"""),1735.0)</f>
        <v>1735</v>
      </c>
      <c r="D611" s="2">
        <f>IFERROR(__xludf.DUMMYFUNCTION("""COMPUTED_VALUE"""),1700.0)</f>
        <v>1700</v>
      </c>
      <c r="E611" s="2">
        <f>IFERROR(__xludf.DUMMYFUNCTION("""COMPUTED_VALUE"""),1720.0)</f>
        <v>1720</v>
      </c>
      <c r="F611" s="2">
        <f>IFERROR(__xludf.DUMMYFUNCTION("""COMPUTED_VALUE"""),7.30589E7)</f>
        <v>73058900</v>
      </c>
      <c r="G611" s="2">
        <f t="shared" si="1"/>
        <v>35</v>
      </c>
    </row>
    <row r="612" ht="15.75" customHeight="1">
      <c r="A612" s="1">
        <f>IFERROR(__xludf.DUMMYFUNCTION("""COMPUTED_VALUE"""),44750.66666666667)</f>
        <v>44750.66667</v>
      </c>
      <c r="B612" s="2">
        <f>IFERROR(__xludf.DUMMYFUNCTION("""COMPUTED_VALUE"""),1725.0)</f>
        <v>1725</v>
      </c>
      <c r="C612" s="2">
        <f>IFERROR(__xludf.DUMMYFUNCTION("""COMPUTED_VALUE"""),1755.0)</f>
        <v>1755</v>
      </c>
      <c r="D612" s="2">
        <f>IFERROR(__xludf.DUMMYFUNCTION("""COMPUTED_VALUE"""),1710.0)</f>
        <v>1710</v>
      </c>
      <c r="E612" s="2">
        <f>IFERROR(__xludf.DUMMYFUNCTION("""COMPUTED_VALUE"""),1715.0)</f>
        <v>1715</v>
      </c>
      <c r="F612" s="2">
        <f>IFERROR(__xludf.DUMMYFUNCTION("""COMPUTED_VALUE"""),8.33032E7)</f>
        <v>83303200</v>
      </c>
      <c r="G612" s="2">
        <f t="shared" si="1"/>
        <v>45</v>
      </c>
    </row>
    <row r="613" ht="15.75" customHeight="1">
      <c r="A613" s="1">
        <f>IFERROR(__xludf.DUMMYFUNCTION("""COMPUTED_VALUE"""),44753.66666666667)</f>
        <v>44753.66667</v>
      </c>
      <c r="B613" s="2">
        <f>IFERROR(__xludf.DUMMYFUNCTION("""COMPUTED_VALUE"""),1720.0)</f>
        <v>1720</v>
      </c>
      <c r="C613" s="2">
        <f>IFERROR(__xludf.DUMMYFUNCTION("""COMPUTED_VALUE"""),1730.0)</f>
        <v>1730</v>
      </c>
      <c r="D613" s="2">
        <f>IFERROR(__xludf.DUMMYFUNCTION("""COMPUTED_VALUE"""),1705.0)</f>
        <v>1705</v>
      </c>
      <c r="E613" s="2">
        <f>IFERROR(__xludf.DUMMYFUNCTION("""COMPUTED_VALUE"""),1720.0)</f>
        <v>1720</v>
      </c>
      <c r="F613" s="2">
        <f>IFERROR(__xludf.DUMMYFUNCTION("""COMPUTED_VALUE"""),4.95753E7)</f>
        <v>49575300</v>
      </c>
      <c r="G613" s="2">
        <f t="shared" si="1"/>
        <v>25</v>
      </c>
    </row>
    <row r="614" ht="15.75" customHeight="1">
      <c r="A614" s="1">
        <f>IFERROR(__xludf.DUMMYFUNCTION("""COMPUTED_VALUE"""),44754.66666666667)</f>
        <v>44754.66667</v>
      </c>
      <c r="B614" s="2">
        <f>IFERROR(__xludf.DUMMYFUNCTION("""COMPUTED_VALUE"""),1720.0)</f>
        <v>1720</v>
      </c>
      <c r="C614" s="2">
        <f>IFERROR(__xludf.DUMMYFUNCTION("""COMPUTED_VALUE"""),1770.0)</f>
        <v>1770</v>
      </c>
      <c r="D614" s="2">
        <f>IFERROR(__xludf.DUMMYFUNCTION("""COMPUTED_VALUE"""),1720.0)</f>
        <v>1720</v>
      </c>
      <c r="E614" s="2">
        <f>IFERROR(__xludf.DUMMYFUNCTION("""COMPUTED_VALUE"""),1740.0)</f>
        <v>1740</v>
      </c>
      <c r="F614" s="2">
        <f>IFERROR(__xludf.DUMMYFUNCTION("""COMPUTED_VALUE"""),8.81652E7)</f>
        <v>88165200</v>
      </c>
      <c r="G614" s="2">
        <f t="shared" si="1"/>
        <v>50</v>
      </c>
    </row>
    <row r="615" ht="15.75" customHeight="1">
      <c r="A615" s="1">
        <f>IFERROR(__xludf.DUMMYFUNCTION("""COMPUTED_VALUE"""),44755.66666666667)</f>
        <v>44755.66667</v>
      </c>
      <c r="B615" s="2">
        <f>IFERROR(__xludf.DUMMYFUNCTION("""COMPUTED_VALUE"""),1740.0)</f>
        <v>1740</v>
      </c>
      <c r="C615" s="2">
        <f>IFERROR(__xludf.DUMMYFUNCTION("""COMPUTED_VALUE"""),1755.0)</f>
        <v>1755</v>
      </c>
      <c r="D615" s="2">
        <f>IFERROR(__xludf.DUMMYFUNCTION("""COMPUTED_VALUE"""),1715.0)</f>
        <v>1715</v>
      </c>
      <c r="E615" s="2">
        <f>IFERROR(__xludf.DUMMYFUNCTION("""COMPUTED_VALUE"""),1720.0)</f>
        <v>1720</v>
      </c>
      <c r="F615" s="2">
        <f>IFERROR(__xludf.DUMMYFUNCTION("""COMPUTED_VALUE"""),5.07928E7)</f>
        <v>50792800</v>
      </c>
      <c r="G615" s="2">
        <f t="shared" si="1"/>
        <v>40</v>
      </c>
    </row>
    <row r="616" ht="15.75" customHeight="1">
      <c r="A616" s="1">
        <f>IFERROR(__xludf.DUMMYFUNCTION("""COMPUTED_VALUE"""),44756.66666666667)</f>
        <v>44756.66667</v>
      </c>
      <c r="B616" s="2">
        <f>IFERROR(__xludf.DUMMYFUNCTION("""COMPUTED_VALUE"""),1720.0)</f>
        <v>1720</v>
      </c>
      <c r="C616" s="2">
        <f>IFERROR(__xludf.DUMMYFUNCTION("""COMPUTED_VALUE"""),1725.0)</f>
        <v>1725</v>
      </c>
      <c r="D616" s="2">
        <f>IFERROR(__xludf.DUMMYFUNCTION("""COMPUTED_VALUE"""),1640.0)</f>
        <v>1640</v>
      </c>
      <c r="E616" s="2">
        <f>IFERROR(__xludf.DUMMYFUNCTION("""COMPUTED_VALUE"""),1650.0)</f>
        <v>1650</v>
      </c>
      <c r="F616" s="2">
        <f>IFERROR(__xludf.DUMMYFUNCTION("""COMPUTED_VALUE"""),1.659528E8)</f>
        <v>165952800</v>
      </c>
      <c r="G616" s="2">
        <f t="shared" si="1"/>
        <v>85</v>
      </c>
    </row>
    <row r="617" ht="15.75" customHeight="1">
      <c r="A617" s="1">
        <f>IFERROR(__xludf.DUMMYFUNCTION("""COMPUTED_VALUE"""),44757.66666666667)</f>
        <v>44757.66667</v>
      </c>
      <c r="B617" s="2">
        <f>IFERROR(__xludf.DUMMYFUNCTION("""COMPUTED_VALUE"""),1600.0)</f>
        <v>1600</v>
      </c>
      <c r="C617" s="2">
        <f>IFERROR(__xludf.DUMMYFUNCTION("""COMPUTED_VALUE"""),1605.0)</f>
        <v>1605</v>
      </c>
      <c r="D617" s="2">
        <f>IFERROR(__xludf.DUMMYFUNCTION("""COMPUTED_VALUE"""),1535.0)</f>
        <v>1535</v>
      </c>
      <c r="E617" s="2">
        <f>IFERROR(__xludf.DUMMYFUNCTION("""COMPUTED_VALUE"""),1540.0)</f>
        <v>1540</v>
      </c>
      <c r="F617" s="2">
        <f>IFERROR(__xludf.DUMMYFUNCTION("""COMPUTED_VALUE"""),2.276571E8)</f>
        <v>227657100</v>
      </c>
      <c r="G617" s="2">
        <f t="shared" si="1"/>
        <v>115</v>
      </c>
    </row>
    <row r="618" ht="15.75" customHeight="1">
      <c r="A618" s="1">
        <f>IFERROR(__xludf.DUMMYFUNCTION("""COMPUTED_VALUE"""),44760.66666666667)</f>
        <v>44760.66667</v>
      </c>
      <c r="B618" s="2">
        <f>IFERROR(__xludf.DUMMYFUNCTION("""COMPUTED_VALUE"""),1575.0)</f>
        <v>1575</v>
      </c>
      <c r="C618" s="2">
        <f>IFERROR(__xludf.DUMMYFUNCTION("""COMPUTED_VALUE"""),1595.0)</f>
        <v>1595</v>
      </c>
      <c r="D618" s="2">
        <f>IFERROR(__xludf.DUMMYFUNCTION("""COMPUTED_VALUE"""),1550.0)</f>
        <v>1550</v>
      </c>
      <c r="E618" s="2">
        <f>IFERROR(__xludf.DUMMYFUNCTION("""COMPUTED_VALUE"""),1560.0)</f>
        <v>1560</v>
      </c>
      <c r="F618" s="2">
        <f>IFERROR(__xludf.DUMMYFUNCTION("""COMPUTED_VALUE"""),1.372794E8)</f>
        <v>137279400</v>
      </c>
      <c r="G618" s="2">
        <f t="shared" si="1"/>
        <v>55</v>
      </c>
    </row>
    <row r="619" ht="15.75" customHeight="1">
      <c r="A619" s="1">
        <f>IFERROR(__xludf.DUMMYFUNCTION("""COMPUTED_VALUE"""),44761.66666666667)</f>
        <v>44761.66667</v>
      </c>
      <c r="B619" s="2">
        <f>IFERROR(__xludf.DUMMYFUNCTION("""COMPUTED_VALUE"""),1580.0)</f>
        <v>1580</v>
      </c>
      <c r="C619" s="2">
        <f>IFERROR(__xludf.DUMMYFUNCTION("""COMPUTED_VALUE"""),1665.0)</f>
        <v>1665</v>
      </c>
      <c r="D619" s="2">
        <f>IFERROR(__xludf.DUMMYFUNCTION("""COMPUTED_VALUE"""),1575.0)</f>
        <v>1575</v>
      </c>
      <c r="E619" s="2">
        <f>IFERROR(__xludf.DUMMYFUNCTION("""COMPUTED_VALUE"""),1655.0)</f>
        <v>1655</v>
      </c>
      <c r="F619" s="2">
        <f>IFERROR(__xludf.DUMMYFUNCTION("""COMPUTED_VALUE"""),1.599748E8)</f>
        <v>159974800</v>
      </c>
      <c r="G619" s="2">
        <f t="shared" si="1"/>
        <v>105</v>
      </c>
    </row>
    <row r="620" ht="15.75" customHeight="1">
      <c r="A620" s="1">
        <f>IFERROR(__xludf.DUMMYFUNCTION("""COMPUTED_VALUE"""),44762.66666666667)</f>
        <v>44762.66667</v>
      </c>
      <c r="B620" s="2">
        <f>IFERROR(__xludf.DUMMYFUNCTION("""COMPUTED_VALUE"""),1680.0)</f>
        <v>1680</v>
      </c>
      <c r="C620" s="2">
        <f>IFERROR(__xludf.DUMMYFUNCTION("""COMPUTED_VALUE"""),1700.0)</f>
        <v>1700</v>
      </c>
      <c r="D620" s="2">
        <f>IFERROR(__xludf.DUMMYFUNCTION("""COMPUTED_VALUE"""),1670.0)</f>
        <v>1670</v>
      </c>
      <c r="E620" s="2">
        <f>IFERROR(__xludf.DUMMYFUNCTION("""COMPUTED_VALUE"""),1695.0)</f>
        <v>1695</v>
      </c>
      <c r="F620" s="2">
        <f>IFERROR(__xludf.DUMMYFUNCTION("""COMPUTED_VALUE"""),1.100805E8)</f>
        <v>110080500</v>
      </c>
      <c r="G620" s="2">
        <f t="shared" si="1"/>
        <v>45</v>
      </c>
    </row>
    <row r="621" ht="15.75" customHeight="1">
      <c r="A621" s="1">
        <f>IFERROR(__xludf.DUMMYFUNCTION("""COMPUTED_VALUE"""),44763.66666666667)</f>
        <v>44763.66667</v>
      </c>
      <c r="B621" s="2">
        <f>IFERROR(__xludf.DUMMYFUNCTION("""COMPUTED_VALUE"""),1695.0)</f>
        <v>1695</v>
      </c>
      <c r="C621" s="2">
        <f>IFERROR(__xludf.DUMMYFUNCTION("""COMPUTED_VALUE"""),1710.0)</f>
        <v>1710</v>
      </c>
      <c r="D621" s="2">
        <f>IFERROR(__xludf.DUMMYFUNCTION("""COMPUTED_VALUE"""),1665.0)</f>
        <v>1665</v>
      </c>
      <c r="E621" s="2">
        <f>IFERROR(__xludf.DUMMYFUNCTION("""COMPUTED_VALUE"""),1675.0)</f>
        <v>1675</v>
      </c>
      <c r="F621" s="2">
        <f>IFERROR(__xludf.DUMMYFUNCTION("""COMPUTED_VALUE"""),4.96591E7)</f>
        <v>49659100</v>
      </c>
      <c r="G621" s="2">
        <f t="shared" si="1"/>
        <v>45</v>
      </c>
    </row>
    <row r="622" ht="15.75" customHeight="1">
      <c r="A622" s="1">
        <f>IFERROR(__xludf.DUMMYFUNCTION("""COMPUTED_VALUE"""),44764.66666666667)</f>
        <v>44764.66667</v>
      </c>
      <c r="B622" s="2">
        <f>IFERROR(__xludf.DUMMYFUNCTION("""COMPUTED_VALUE"""),1690.0)</f>
        <v>1690</v>
      </c>
      <c r="C622" s="2">
        <f>IFERROR(__xludf.DUMMYFUNCTION("""COMPUTED_VALUE"""),1785.0)</f>
        <v>1785</v>
      </c>
      <c r="D622" s="2">
        <f>IFERROR(__xludf.DUMMYFUNCTION("""COMPUTED_VALUE"""),1690.0)</f>
        <v>1690</v>
      </c>
      <c r="E622" s="2">
        <f>IFERROR(__xludf.DUMMYFUNCTION("""COMPUTED_VALUE"""),1780.0)</f>
        <v>1780</v>
      </c>
      <c r="F622" s="2">
        <f>IFERROR(__xludf.DUMMYFUNCTION("""COMPUTED_VALUE"""),1.298656E8)</f>
        <v>129865600</v>
      </c>
      <c r="G622" s="2">
        <f t="shared" si="1"/>
        <v>110</v>
      </c>
    </row>
    <row r="623" ht="15.75" customHeight="1">
      <c r="A623" s="1">
        <f>IFERROR(__xludf.DUMMYFUNCTION("""COMPUTED_VALUE"""),44767.66666666667)</f>
        <v>44767.66667</v>
      </c>
      <c r="B623" s="2">
        <f>IFERROR(__xludf.DUMMYFUNCTION("""COMPUTED_VALUE"""),1800.0)</f>
        <v>1800</v>
      </c>
      <c r="C623" s="2">
        <f>IFERROR(__xludf.DUMMYFUNCTION("""COMPUTED_VALUE"""),1825.0)</f>
        <v>1825</v>
      </c>
      <c r="D623" s="2">
        <f>IFERROR(__xludf.DUMMYFUNCTION("""COMPUTED_VALUE"""),1735.0)</f>
        <v>1735</v>
      </c>
      <c r="E623" s="2">
        <f>IFERROR(__xludf.DUMMYFUNCTION("""COMPUTED_VALUE"""),1755.0)</f>
        <v>1755</v>
      </c>
      <c r="F623" s="2">
        <f>IFERROR(__xludf.DUMMYFUNCTION("""COMPUTED_VALUE"""),1.058123E8)</f>
        <v>105812300</v>
      </c>
      <c r="G623" s="2">
        <f t="shared" si="1"/>
        <v>90</v>
      </c>
    </row>
    <row r="624" ht="15.75" customHeight="1">
      <c r="A624" s="1">
        <f>IFERROR(__xludf.DUMMYFUNCTION("""COMPUTED_VALUE"""),44768.66666666667)</f>
        <v>44768.66667</v>
      </c>
      <c r="B624" s="2">
        <f>IFERROR(__xludf.DUMMYFUNCTION("""COMPUTED_VALUE"""),1755.0)</f>
        <v>1755</v>
      </c>
      <c r="C624" s="2">
        <f>IFERROR(__xludf.DUMMYFUNCTION("""COMPUTED_VALUE"""),1800.0)</f>
        <v>1800</v>
      </c>
      <c r="D624" s="2">
        <f>IFERROR(__xludf.DUMMYFUNCTION("""COMPUTED_VALUE"""),1755.0)</f>
        <v>1755</v>
      </c>
      <c r="E624" s="2">
        <f>IFERROR(__xludf.DUMMYFUNCTION("""COMPUTED_VALUE"""),1790.0)</f>
        <v>1790</v>
      </c>
      <c r="F624" s="2">
        <f>IFERROR(__xludf.DUMMYFUNCTION("""COMPUTED_VALUE"""),6.335E7)</f>
        <v>63350000</v>
      </c>
      <c r="G624" s="2">
        <f t="shared" si="1"/>
        <v>45</v>
      </c>
    </row>
    <row r="625" ht="15.75" customHeight="1">
      <c r="A625" s="1">
        <f>IFERROR(__xludf.DUMMYFUNCTION("""COMPUTED_VALUE"""),44769.66666666667)</f>
        <v>44769.66667</v>
      </c>
      <c r="B625" s="2">
        <f>IFERROR(__xludf.DUMMYFUNCTION("""COMPUTED_VALUE"""),1780.0)</f>
        <v>1780</v>
      </c>
      <c r="C625" s="2">
        <f>IFERROR(__xludf.DUMMYFUNCTION("""COMPUTED_VALUE"""),1790.0)</f>
        <v>1790</v>
      </c>
      <c r="D625" s="2">
        <f>IFERROR(__xludf.DUMMYFUNCTION("""COMPUTED_VALUE"""),1770.0)</f>
        <v>1770</v>
      </c>
      <c r="E625" s="2">
        <f>IFERROR(__xludf.DUMMYFUNCTION("""COMPUTED_VALUE"""),1785.0)</f>
        <v>1785</v>
      </c>
      <c r="F625" s="2">
        <f>IFERROR(__xludf.DUMMYFUNCTION("""COMPUTED_VALUE"""),3.39647E7)</f>
        <v>33964700</v>
      </c>
      <c r="G625" s="2">
        <f t="shared" si="1"/>
        <v>20</v>
      </c>
    </row>
    <row r="626" ht="15.75" customHeight="1">
      <c r="A626" s="1">
        <f>IFERROR(__xludf.DUMMYFUNCTION("""COMPUTED_VALUE"""),44770.66666666667)</f>
        <v>44770.66667</v>
      </c>
      <c r="B626" s="2">
        <f>IFERROR(__xludf.DUMMYFUNCTION("""COMPUTED_VALUE"""),1815.0)</f>
        <v>1815</v>
      </c>
      <c r="C626" s="2">
        <f>IFERROR(__xludf.DUMMYFUNCTION("""COMPUTED_VALUE"""),2030.0)</f>
        <v>2030</v>
      </c>
      <c r="D626" s="2">
        <f>IFERROR(__xludf.DUMMYFUNCTION("""COMPUTED_VALUE"""),1805.0)</f>
        <v>1805</v>
      </c>
      <c r="E626" s="2">
        <f>IFERROR(__xludf.DUMMYFUNCTION("""COMPUTED_VALUE"""),2000.0)</f>
        <v>2000</v>
      </c>
      <c r="F626" s="2">
        <f>IFERROR(__xludf.DUMMYFUNCTION("""COMPUTED_VALUE"""),3.423641E8)</f>
        <v>342364100</v>
      </c>
      <c r="G626" s="2">
        <f t="shared" si="1"/>
        <v>245</v>
      </c>
    </row>
    <row r="627" ht="15.75" customHeight="1">
      <c r="A627" s="1">
        <f>IFERROR(__xludf.DUMMYFUNCTION("""COMPUTED_VALUE"""),44771.66666666667)</f>
        <v>44771.66667</v>
      </c>
      <c r="B627" s="2">
        <f>IFERROR(__xludf.DUMMYFUNCTION("""COMPUTED_VALUE"""),2020.0)</f>
        <v>2020</v>
      </c>
      <c r="C627" s="2">
        <f>IFERROR(__xludf.DUMMYFUNCTION("""COMPUTED_VALUE"""),2070.0)</f>
        <v>2070</v>
      </c>
      <c r="D627" s="2">
        <f>IFERROR(__xludf.DUMMYFUNCTION("""COMPUTED_VALUE"""),1945.0)</f>
        <v>1945</v>
      </c>
      <c r="E627" s="2">
        <f>IFERROR(__xludf.DUMMYFUNCTION("""COMPUTED_VALUE"""),1955.0)</f>
        <v>1955</v>
      </c>
      <c r="F627" s="2">
        <f>IFERROR(__xludf.DUMMYFUNCTION("""COMPUTED_VALUE"""),1.531762E8)</f>
        <v>153176200</v>
      </c>
      <c r="G627" s="2">
        <f t="shared" si="1"/>
        <v>125</v>
      </c>
    </row>
    <row r="628" ht="15.75" customHeight="1">
      <c r="A628" s="1">
        <f>IFERROR(__xludf.DUMMYFUNCTION("""COMPUTED_VALUE"""),44774.66666666667)</f>
        <v>44774.66667</v>
      </c>
      <c r="B628" s="2">
        <f>IFERROR(__xludf.DUMMYFUNCTION("""COMPUTED_VALUE"""),2030.0)</f>
        <v>2030</v>
      </c>
      <c r="C628" s="2">
        <f>IFERROR(__xludf.DUMMYFUNCTION("""COMPUTED_VALUE"""),2100.0)</f>
        <v>2100</v>
      </c>
      <c r="D628" s="2">
        <f>IFERROR(__xludf.DUMMYFUNCTION("""COMPUTED_VALUE"""),1990.0)</f>
        <v>1990</v>
      </c>
      <c r="E628" s="2">
        <f>IFERROR(__xludf.DUMMYFUNCTION("""COMPUTED_VALUE"""),2080.0)</f>
        <v>2080</v>
      </c>
      <c r="F628" s="2">
        <f>IFERROR(__xludf.DUMMYFUNCTION("""COMPUTED_VALUE"""),2.431886E8)</f>
        <v>243188600</v>
      </c>
      <c r="G628" s="2">
        <f t="shared" si="1"/>
        <v>145</v>
      </c>
    </row>
    <row r="629" ht="15.75" customHeight="1">
      <c r="A629" s="1">
        <f>IFERROR(__xludf.DUMMYFUNCTION("""COMPUTED_VALUE"""),44775.66666666667)</f>
        <v>44775.66667</v>
      </c>
      <c r="B629" s="2">
        <f>IFERROR(__xludf.DUMMYFUNCTION("""COMPUTED_VALUE"""),2080.0)</f>
        <v>2080</v>
      </c>
      <c r="C629" s="2">
        <f>IFERROR(__xludf.DUMMYFUNCTION("""COMPUTED_VALUE"""),2080.0)</f>
        <v>2080</v>
      </c>
      <c r="D629" s="2">
        <f>IFERROR(__xludf.DUMMYFUNCTION("""COMPUTED_VALUE"""),1990.0)</f>
        <v>1990</v>
      </c>
      <c r="E629" s="2">
        <f>IFERROR(__xludf.DUMMYFUNCTION("""COMPUTED_VALUE"""),1995.0)</f>
        <v>1995</v>
      </c>
      <c r="F629" s="2">
        <f>IFERROR(__xludf.DUMMYFUNCTION("""COMPUTED_VALUE"""),1.501967E8)</f>
        <v>150196700</v>
      </c>
      <c r="G629" s="2">
        <f t="shared" si="1"/>
        <v>90</v>
      </c>
    </row>
    <row r="630" ht="15.75" customHeight="1">
      <c r="A630" s="1">
        <f>IFERROR(__xludf.DUMMYFUNCTION("""COMPUTED_VALUE"""),44776.66666666667)</f>
        <v>44776.66667</v>
      </c>
      <c r="B630" s="2">
        <f>IFERROR(__xludf.DUMMYFUNCTION("""COMPUTED_VALUE"""),1975.0)</f>
        <v>1975</v>
      </c>
      <c r="C630" s="2">
        <f>IFERROR(__xludf.DUMMYFUNCTION("""COMPUTED_VALUE"""),1990.0)</f>
        <v>1990</v>
      </c>
      <c r="D630" s="2">
        <f>IFERROR(__xludf.DUMMYFUNCTION("""COMPUTED_VALUE"""),1915.0)</f>
        <v>1915</v>
      </c>
      <c r="E630" s="2">
        <f>IFERROR(__xludf.DUMMYFUNCTION("""COMPUTED_VALUE"""),1970.0)</f>
        <v>1970</v>
      </c>
      <c r="F630" s="2">
        <f>IFERROR(__xludf.DUMMYFUNCTION("""COMPUTED_VALUE"""),1.023674E8)</f>
        <v>102367400</v>
      </c>
      <c r="G630" s="2">
        <f t="shared" si="1"/>
        <v>80</v>
      </c>
    </row>
    <row r="631" ht="15.75" customHeight="1">
      <c r="A631" s="1">
        <f>IFERROR(__xludf.DUMMYFUNCTION("""COMPUTED_VALUE"""),44777.66666666667)</f>
        <v>44777.66667</v>
      </c>
      <c r="B631" s="2">
        <f>IFERROR(__xludf.DUMMYFUNCTION("""COMPUTED_VALUE"""),1980.0)</f>
        <v>1980</v>
      </c>
      <c r="C631" s="2">
        <f>IFERROR(__xludf.DUMMYFUNCTION("""COMPUTED_VALUE"""),2020.0)</f>
        <v>2020</v>
      </c>
      <c r="D631" s="2">
        <f>IFERROR(__xludf.DUMMYFUNCTION("""COMPUTED_VALUE"""),1950.0)</f>
        <v>1950</v>
      </c>
      <c r="E631" s="2">
        <f>IFERROR(__xludf.DUMMYFUNCTION("""COMPUTED_VALUE"""),1970.0)</f>
        <v>1970</v>
      </c>
      <c r="F631" s="2">
        <f>IFERROR(__xludf.DUMMYFUNCTION("""COMPUTED_VALUE"""),7.65718E7)</f>
        <v>76571800</v>
      </c>
      <c r="G631" s="2">
        <f t="shared" si="1"/>
        <v>70</v>
      </c>
    </row>
    <row r="632" ht="15.75" customHeight="1">
      <c r="A632" s="1">
        <f>IFERROR(__xludf.DUMMYFUNCTION("""COMPUTED_VALUE"""),44778.66666666667)</f>
        <v>44778.66667</v>
      </c>
      <c r="B632" s="2">
        <f>IFERROR(__xludf.DUMMYFUNCTION("""COMPUTED_VALUE"""),2000.0)</f>
        <v>2000</v>
      </c>
      <c r="C632" s="2">
        <f>IFERROR(__xludf.DUMMYFUNCTION("""COMPUTED_VALUE"""),2030.0)</f>
        <v>2030</v>
      </c>
      <c r="D632" s="2">
        <f>IFERROR(__xludf.DUMMYFUNCTION("""COMPUTED_VALUE"""),1970.0)</f>
        <v>1970</v>
      </c>
      <c r="E632" s="2">
        <f>IFERROR(__xludf.DUMMYFUNCTION("""COMPUTED_VALUE"""),2020.0)</f>
        <v>2020</v>
      </c>
      <c r="F632" s="2">
        <f>IFERROR(__xludf.DUMMYFUNCTION("""COMPUTED_VALUE"""),8.53993E7)</f>
        <v>85399300</v>
      </c>
      <c r="G632" s="2">
        <f t="shared" si="1"/>
        <v>60</v>
      </c>
    </row>
    <row r="633" ht="15.75" customHeight="1">
      <c r="A633" s="1">
        <f>IFERROR(__xludf.DUMMYFUNCTION("""COMPUTED_VALUE"""),44781.66666666667)</f>
        <v>44781.66667</v>
      </c>
      <c r="B633" s="2">
        <f>IFERROR(__xludf.DUMMYFUNCTION("""COMPUTED_VALUE"""),2010.0)</f>
        <v>2010</v>
      </c>
      <c r="C633" s="2">
        <f>IFERROR(__xludf.DUMMYFUNCTION("""COMPUTED_VALUE"""),2070.0)</f>
        <v>2070</v>
      </c>
      <c r="D633" s="2">
        <f>IFERROR(__xludf.DUMMYFUNCTION("""COMPUTED_VALUE"""),1985.0)</f>
        <v>1985</v>
      </c>
      <c r="E633" s="2">
        <f>IFERROR(__xludf.DUMMYFUNCTION("""COMPUTED_VALUE"""),2060.0)</f>
        <v>2060</v>
      </c>
      <c r="F633" s="2">
        <f>IFERROR(__xludf.DUMMYFUNCTION("""COMPUTED_VALUE"""),1.308083E8)</f>
        <v>130808300</v>
      </c>
      <c r="G633" s="2">
        <f t="shared" si="1"/>
        <v>85</v>
      </c>
    </row>
    <row r="634" ht="15.75" customHeight="1">
      <c r="A634" s="1">
        <f>IFERROR(__xludf.DUMMYFUNCTION("""COMPUTED_VALUE"""),44782.66666666667)</f>
        <v>44782.66667</v>
      </c>
      <c r="B634" s="2">
        <f>IFERROR(__xludf.DUMMYFUNCTION("""COMPUTED_VALUE"""),2080.0)</f>
        <v>2080</v>
      </c>
      <c r="C634" s="2">
        <f>IFERROR(__xludf.DUMMYFUNCTION("""COMPUTED_VALUE"""),2230.0)</f>
        <v>2230</v>
      </c>
      <c r="D634" s="2">
        <f>IFERROR(__xludf.DUMMYFUNCTION("""COMPUTED_VALUE"""),2070.0)</f>
        <v>2070</v>
      </c>
      <c r="E634" s="2">
        <f>IFERROR(__xludf.DUMMYFUNCTION("""COMPUTED_VALUE"""),2180.0)</f>
        <v>2180</v>
      </c>
      <c r="F634" s="2">
        <f>IFERROR(__xludf.DUMMYFUNCTION("""COMPUTED_VALUE"""),4.058187E8)</f>
        <v>405818700</v>
      </c>
      <c r="G634" s="2">
        <f t="shared" si="1"/>
        <v>170</v>
      </c>
    </row>
    <row r="635" ht="15.75" customHeight="1">
      <c r="A635" s="1">
        <f>IFERROR(__xludf.DUMMYFUNCTION("""COMPUTED_VALUE"""),44783.66666666667)</f>
        <v>44783.66667</v>
      </c>
      <c r="B635" s="2">
        <f>IFERROR(__xludf.DUMMYFUNCTION("""COMPUTED_VALUE"""),2180.0)</f>
        <v>2180</v>
      </c>
      <c r="C635" s="2">
        <f>IFERROR(__xludf.DUMMYFUNCTION("""COMPUTED_VALUE"""),2180.0)</f>
        <v>2180</v>
      </c>
      <c r="D635" s="2">
        <f>IFERROR(__xludf.DUMMYFUNCTION("""COMPUTED_VALUE"""),2110.0)</f>
        <v>2110</v>
      </c>
      <c r="E635" s="2">
        <f>IFERROR(__xludf.DUMMYFUNCTION("""COMPUTED_VALUE"""),2120.0)</f>
        <v>2120</v>
      </c>
      <c r="F635" s="2">
        <f>IFERROR(__xludf.DUMMYFUNCTION("""COMPUTED_VALUE"""),1.486978E8)</f>
        <v>148697800</v>
      </c>
      <c r="G635" s="2">
        <f t="shared" si="1"/>
        <v>70</v>
      </c>
    </row>
    <row r="636" ht="15.75" customHeight="1">
      <c r="A636" s="1">
        <f>IFERROR(__xludf.DUMMYFUNCTION("""COMPUTED_VALUE"""),44784.66666666667)</f>
        <v>44784.66667</v>
      </c>
      <c r="B636" s="2">
        <f>IFERROR(__xludf.DUMMYFUNCTION("""COMPUTED_VALUE"""),2200.0)</f>
        <v>2200</v>
      </c>
      <c r="C636" s="2">
        <f>IFERROR(__xludf.DUMMYFUNCTION("""COMPUTED_VALUE"""),2270.0)</f>
        <v>2270</v>
      </c>
      <c r="D636" s="2">
        <f>IFERROR(__xludf.DUMMYFUNCTION("""COMPUTED_VALUE"""),2180.0)</f>
        <v>2180</v>
      </c>
      <c r="E636" s="2">
        <f>IFERROR(__xludf.DUMMYFUNCTION("""COMPUTED_VALUE"""),2240.0)</f>
        <v>2240</v>
      </c>
      <c r="F636" s="2">
        <f>IFERROR(__xludf.DUMMYFUNCTION("""COMPUTED_VALUE"""),2.78414E8)</f>
        <v>278414000</v>
      </c>
      <c r="G636" s="2">
        <f t="shared" si="1"/>
        <v>150</v>
      </c>
    </row>
    <row r="637" ht="15.75" customHeight="1">
      <c r="A637" s="1">
        <f>IFERROR(__xludf.DUMMYFUNCTION("""COMPUTED_VALUE"""),44785.66666666667)</f>
        <v>44785.66667</v>
      </c>
      <c r="B637" s="2">
        <f>IFERROR(__xludf.DUMMYFUNCTION("""COMPUTED_VALUE"""),2240.0)</f>
        <v>2240</v>
      </c>
      <c r="C637" s="2">
        <f>IFERROR(__xludf.DUMMYFUNCTION("""COMPUTED_VALUE"""),2270.0)</f>
        <v>2270</v>
      </c>
      <c r="D637" s="2">
        <f>IFERROR(__xludf.DUMMYFUNCTION("""COMPUTED_VALUE"""),2210.0)</f>
        <v>2210</v>
      </c>
      <c r="E637" s="2">
        <f>IFERROR(__xludf.DUMMYFUNCTION("""COMPUTED_VALUE"""),2220.0)</f>
        <v>2220</v>
      </c>
      <c r="F637" s="2">
        <f>IFERROR(__xludf.DUMMYFUNCTION("""COMPUTED_VALUE"""),1.212656E8)</f>
        <v>121265600</v>
      </c>
      <c r="G637" s="2">
        <f t="shared" si="1"/>
        <v>60</v>
      </c>
    </row>
    <row r="638" ht="15.75" customHeight="1">
      <c r="A638" s="1">
        <f>IFERROR(__xludf.DUMMYFUNCTION("""COMPUTED_VALUE"""),44788.66666666667)</f>
        <v>44788.66667</v>
      </c>
      <c r="B638" s="2">
        <f>IFERROR(__xludf.DUMMYFUNCTION("""COMPUTED_VALUE"""),2230.0)</f>
        <v>2230</v>
      </c>
      <c r="C638" s="2">
        <f>IFERROR(__xludf.DUMMYFUNCTION("""COMPUTED_VALUE"""),2240.0)</f>
        <v>2240</v>
      </c>
      <c r="D638" s="2">
        <f>IFERROR(__xludf.DUMMYFUNCTION("""COMPUTED_VALUE"""),2120.0)</f>
        <v>2120</v>
      </c>
      <c r="E638" s="2">
        <f>IFERROR(__xludf.DUMMYFUNCTION("""COMPUTED_VALUE"""),2130.0)</f>
        <v>2130</v>
      </c>
      <c r="F638" s="2">
        <f>IFERROR(__xludf.DUMMYFUNCTION("""COMPUTED_VALUE"""),1.11112E8)</f>
        <v>111112000</v>
      </c>
      <c r="G638" s="2">
        <f t="shared" si="1"/>
        <v>120</v>
      </c>
    </row>
    <row r="639" ht="15.75" customHeight="1">
      <c r="A639" s="1">
        <f>IFERROR(__xludf.DUMMYFUNCTION("""COMPUTED_VALUE"""),44789.66666666667)</f>
        <v>44789.66667</v>
      </c>
      <c r="B639" s="2">
        <f>IFERROR(__xludf.DUMMYFUNCTION("""COMPUTED_VALUE"""),2130.0)</f>
        <v>2130</v>
      </c>
      <c r="C639" s="2">
        <f>IFERROR(__xludf.DUMMYFUNCTION("""COMPUTED_VALUE"""),2140.0)</f>
        <v>2140</v>
      </c>
      <c r="D639" s="2">
        <f>IFERROR(__xludf.DUMMYFUNCTION("""COMPUTED_VALUE"""),2070.0)</f>
        <v>2070</v>
      </c>
      <c r="E639" s="2">
        <f>IFERROR(__xludf.DUMMYFUNCTION("""COMPUTED_VALUE"""),2080.0)</f>
        <v>2080</v>
      </c>
      <c r="F639" s="2">
        <f>IFERROR(__xludf.DUMMYFUNCTION("""COMPUTED_VALUE"""),1.170438E8)</f>
        <v>117043800</v>
      </c>
      <c r="G639" s="2">
        <f t="shared" si="1"/>
        <v>70</v>
      </c>
    </row>
    <row r="640" ht="15.75" customHeight="1">
      <c r="A640" s="1">
        <f>IFERROR(__xludf.DUMMYFUNCTION("""COMPUTED_VALUE"""),44791.66666666667)</f>
        <v>44791.66667</v>
      </c>
      <c r="B640" s="2">
        <f>IFERROR(__xludf.DUMMYFUNCTION("""COMPUTED_VALUE"""),2070.0)</f>
        <v>2070</v>
      </c>
      <c r="C640" s="2">
        <f>IFERROR(__xludf.DUMMYFUNCTION("""COMPUTED_VALUE"""),2110.0)</f>
        <v>2110</v>
      </c>
      <c r="D640" s="2">
        <f>IFERROR(__xludf.DUMMYFUNCTION("""COMPUTED_VALUE"""),2030.0)</f>
        <v>2030</v>
      </c>
      <c r="E640" s="2">
        <f>IFERROR(__xludf.DUMMYFUNCTION("""COMPUTED_VALUE"""),2050.0)</f>
        <v>2050</v>
      </c>
      <c r="F640" s="2">
        <f>IFERROR(__xludf.DUMMYFUNCTION("""COMPUTED_VALUE"""),1.166514E8)</f>
        <v>116651400</v>
      </c>
      <c r="G640" s="2">
        <f t="shared" si="1"/>
        <v>80</v>
      </c>
    </row>
    <row r="641" ht="15.75" customHeight="1">
      <c r="A641" s="1">
        <f>IFERROR(__xludf.DUMMYFUNCTION("""COMPUTED_VALUE"""),44792.66666666667)</f>
        <v>44792.66667</v>
      </c>
      <c r="B641" s="2">
        <f>IFERROR(__xludf.DUMMYFUNCTION("""COMPUTED_VALUE"""),2050.0)</f>
        <v>2050</v>
      </c>
      <c r="C641" s="2">
        <f>IFERROR(__xludf.DUMMYFUNCTION("""COMPUTED_VALUE"""),2090.0)</f>
        <v>2090</v>
      </c>
      <c r="D641" s="2">
        <f>IFERROR(__xludf.DUMMYFUNCTION("""COMPUTED_VALUE"""),2030.0)</f>
        <v>2030</v>
      </c>
      <c r="E641" s="2">
        <f>IFERROR(__xludf.DUMMYFUNCTION("""COMPUTED_VALUE"""),2060.0)</f>
        <v>2060</v>
      </c>
      <c r="F641" s="2">
        <f>IFERROR(__xludf.DUMMYFUNCTION("""COMPUTED_VALUE"""),1.015074E8)</f>
        <v>101507400</v>
      </c>
      <c r="G641" s="2">
        <f t="shared" si="1"/>
        <v>60</v>
      </c>
    </row>
    <row r="642" ht="15.75" customHeight="1">
      <c r="A642" s="1">
        <f>IFERROR(__xludf.DUMMYFUNCTION("""COMPUTED_VALUE"""),44795.66666666667)</f>
        <v>44795.66667</v>
      </c>
      <c r="B642" s="2">
        <f>IFERROR(__xludf.DUMMYFUNCTION("""COMPUTED_VALUE"""),2060.0)</f>
        <v>2060</v>
      </c>
      <c r="C642" s="2">
        <f>IFERROR(__xludf.DUMMYFUNCTION("""COMPUTED_VALUE"""),2070.0)</f>
        <v>2070</v>
      </c>
      <c r="D642" s="2">
        <f>IFERROR(__xludf.DUMMYFUNCTION("""COMPUTED_VALUE"""),1980.0)</f>
        <v>1980</v>
      </c>
      <c r="E642" s="2">
        <f>IFERROR(__xludf.DUMMYFUNCTION("""COMPUTED_VALUE"""),1985.0)</f>
        <v>1985</v>
      </c>
      <c r="F642" s="2">
        <f>IFERROR(__xludf.DUMMYFUNCTION("""COMPUTED_VALUE"""),1.402996E8)</f>
        <v>140299600</v>
      </c>
      <c r="G642" s="2">
        <f t="shared" si="1"/>
        <v>90</v>
      </c>
    </row>
    <row r="643" ht="15.75" customHeight="1">
      <c r="A643" s="1">
        <f>IFERROR(__xludf.DUMMYFUNCTION("""COMPUTED_VALUE"""),44796.66666666667)</f>
        <v>44796.66667</v>
      </c>
      <c r="B643" s="2">
        <f>IFERROR(__xludf.DUMMYFUNCTION("""COMPUTED_VALUE"""),1985.0)</f>
        <v>1985</v>
      </c>
      <c r="C643" s="2">
        <f>IFERROR(__xludf.DUMMYFUNCTION("""COMPUTED_VALUE"""),2050.0)</f>
        <v>2050</v>
      </c>
      <c r="D643" s="2">
        <f>IFERROR(__xludf.DUMMYFUNCTION("""COMPUTED_VALUE"""),1965.0)</f>
        <v>1965</v>
      </c>
      <c r="E643" s="2">
        <f>IFERROR(__xludf.DUMMYFUNCTION("""COMPUTED_VALUE"""),2030.0)</f>
        <v>2030</v>
      </c>
      <c r="F643" s="2">
        <f>IFERROR(__xludf.DUMMYFUNCTION("""COMPUTED_VALUE"""),8.76828E7)</f>
        <v>87682800</v>
      </c>
      <c r="G643" s="2">
        <f t="shared" si="1"/>
        <v>85</v>
      </c>
    </row>
    <row r="644" ht="15.75" customHeight="1">
      <c r="A644" s="1">
        <f>IFERROR(__xludf.DUMMYFUNCTION("""COMPUTED_VALUE"""),44797.66666666667)</f>
        <v>44797.66667</v>
      </c>
      <c r="B644" s="2">
        <f>IFERROR(__xludf.DUMMYFUNCTION("""COMPUTED_VALUE"""),2020.0)</f>
        <v>2020</v>
      </c>
      <c r="C644" s="2">
        <f>IFERROR(__xludf.DUMMYFUNCTION("""COMPUTED_VALUE"""),2040.0)</f>
        <v>2040</v>
      </c>
      <c r="D644" s="2">
        <f>IFERROR(__xludf.DUMMYFUNCTION("""COMPUTED_VALUE"""),2000.0)</f>
        <v>2000</v>
      </c>
      <c r="E644" s="2">
        <f>IFERROR(__xludf.DUMMYFUNCTION("""COMPUTED_VALUE"""),2010.0)</f>
        <v>2010</v>
      </c>
      <c r="F644" s="2">
        <f>IFERROR(__xludf.DUMMYFUNCTION("""COMPUTED_VALUE"""),5.46179E7)</f>
        <v>54617900</v>
      </c>
      <c r="G644" s="2">
        <f t="shared" si="1"/>
        <v>40</v>
      </c>
    </row>
    <row r="645" ht="15.75" customHeight="1">
      <c r="A645" s="1">
        <f>IFERROR(__xludf.DUMMYFUNCTION("""COMPUTED_VALUE"""),44798.66666666667)</f>
        <v>44798.66667</v>
      </c>
      <c r="B645" s="2">
        <f>IFERROR(__xludf.DUMMYFUNCTION("""COMPUTED_VALUE"""),2010.0)</f>
        <v>2010</v>
      </c>
      <c r="C645" s="2">
        <f>IFERROR(__xludf.DUMMYFUNCTION("""COMPUTED_VALUE"""),2040.0)</f>
        <v>2040</v>
      </c>
      <c r="D645" s="2">
        <f>IFERROR(__xludf.DUMMYFUNCTION("""COMPUTED_VALUE"""),1985.0)</f>
        <v>1985</v>
      </c>
      <c r="E645" s="2">
        <f>IFERROR(__xludf.DUMMYFUNCTION("""COMPUTED_VALUE"""),1995.0)</f>
        <v>1995</v>
      </c>
      <c r="F645" s="2">
        <f>IFERROR(__xludf.DUMMYFUNCTION("""COMPUTED_VALUE"""),9.02091E7)</f>
        <v>90209100</v>
      </c>
      <c r="G645" s="2">
        <f t="shared" si="1"/>
        <v>55</v>
      </c>
    </row>
    <row r="646" ht="15.75" customHeight="1">
      <c r="A646" s="1">
        <f>IFERROR(__xludf.DUMMYFUNCTION("""COMPUTED_VALUE"""),44799.66666666667)</f>
        <v>44799.66667</v>
      </c>
      <c r="B646" s="2">
        <f>IFERROR(__xludf.DUMMYFUNCTION("""COMPUTED_VALUE"""),1995.0)</f>
        <v>1995</v>
      </c>
      <c r="C646" s="2">
        <f>IFERROR(__xludf.DUMMYFUNCTION("""COMPUTED_VALUE"""),2000.0)</f>
        <v>2000</v>
      </c>
      <c r="D646" s="2">
        <f>IFERROR(__xludf.DUMMYFUNCTION("""COMPUTED_VALUE"""),1955.0)</f>
        <v>1955</v>
      </c>
      <c r="E646" s="2">
        <f>IFERROR(__xludf.DUMMYFUNCTION("""COMPUTED_VALUE"""),1955.0)</f>
        <v>1955</v>
      </c>
      <c r="F646" s="2">
        <f>IFERROR(__xludf.DUMMYFUNCTION("""COMPUTED_VALUE"""),1.356478E8)</f>
        <v>135647800</v>
      </c>
      <c r="G646" s="2">
        <f t="shared" si="1"/>
        <v>45</v>
      </c>
    </row>
    <row r="647" ht="15.75" customHeight="1">
      <c r="A647" s="1">
        <f>IFERROR(__xludf.DUMMYFUNCTION("""COMPUTED_VALUE"""),44802.66666666667)</f>
        <v>44802.66667</v>
      </c>
      <c r="B647" s="2">
        <f>IFERROR(__xludf.DUMMYFUNCTION("""COMPUTED_VALUE"""),1920.0)</f>
        <v>1920</v>
      </c>
      <c r="C647" s="2">
        <f>IFERROR(__xludf.DUMMYFUNCTION("""COMPUTED_VALUE"""),1925.0)</f>
        <v>1925</v>
      </c>
      <c r="D647" s="2">
        <f>IFERROR(__xludf.DUMMYFUNCTION("""COMPUTED_VALUE"""),1865.0)</f>
        <v>1865</v>
      </c>
      <c r="E647" s="2">
        <f>IFERROR(__xludf.DUMMYFUNCTION("""COMPUTED_VALUE"""),1900.0)</f>
        <v>1900</v>
      </c>
      <c r="F647" s="2">
        <f>IFERROR(__xludf.DUMMYFUNCTION("""COMPUTED_VALUE"""),1.170165E8)</f>
        <v>117016500</v>
      </c>
      <c r="G647" s="2">
        <f t="shared" si="1"/>
        <v>90</v>
      </c>
    </row>
    <row r="648" ht="15.75" customHeight="1">
      <c r="A648" s="1">
        <f>IFERROR(__xludf.DUMMYFUNCTION("""COMPUTED_VALUE"""),44803.66666666667)</f>
        <v>44803.66667</v>
      </c>
      <c r="B648" s="2">
        <f>IFERROR(__xludf.DUMMYFUNCTION("""COMPUTED_VALUE"""),1920.0)</f>
        <v>1920</v>
      </c>
      <c r="C648" s="2">
        <f>IFERROR(__xludf.DUMMYFUNCTION("""COMPUTED_VALUE"""),2010.0)</f>
        <v>2010</v>
      </c>
      <c r="D648" s="2">
        <f>IFERROR(__xludf.DUMMYFUNCTION("""COMPUTED_VALUE"""),1910.0)</f>
        <v>1910</v>
      </c>
      <c r="E648" s="2">
        <f>IFERROR(__xludf.DUMMYFUNCTION("""COMPUTED_VALUE"""),1985.0)</f>
        <v>1985</v>
      </c>
      <c r="F648" s="2">
        <f>IFERROR(__xludf.DUMMYFUNCTION("""COMPUTED_VALUE"""),1.39215E8)</f>
        <v>139215000</v>
      </c>
      <c r="G648" s="2">
        <f t="shared" si="1"/>
        <v>110</v>
      </c>
    </row>
    <row r="649" ht="15.75" customHeight="1">
      <c r="A649" s="1">
        <f>IFERROR(__xludf.DUMMYFUNCTION("""COMPUTED_VALUE"""),44804.66666666667)</f>
        <v>44804.66667</v>
      </c>
      <c r="B649" s="2">
        <f>IFERROR(__xludf.DUMMYFUNCTION("""COMPUTED_VALUE"""),1985.0)</f>
        <v>1985</v>
      </c>
      <c r="C649" s="2">
        <f>IFERROR(__xludf.DUMMYFUNCTION("""COMPUTED_VALUE"""),1990.0)</f>
        <v>1990</v>
      </c>
      <c r="D649" s="2">
        <f>IFERROR(__xludf.DUMMYFUNCTION("""COMPUTED_VALUE"""),1925.0)</f>
        <v>1925</v>
      </c>
      <c r="E649" s="2">
        <f>IFERROR(__xludf.DUMMYFUNCTION("""COMPUTED_VALUE"""),1990.0)</f>
        <v>1990</v>
      </c>
      <c r="F649" s="2">
        <f>IFERROR(__xludf.DUMMYFUNCTION("""COMPUTED_VALUE"""),1.342291E8)</f>
        <v>134229100</v>
      </c>
      <c r="G649" s="2">
        <f t="shared" si="1"/>
        <v>65</v>
      </c>
    </row>
    <row r="650" ht="15.75" customHeight="1">
      <c r="A650" s="1">
        <f>IFERROR(__xludf.DUMMYFUNCTION("""COMPUTED_VALUE"""),44805.625)</f>
        <v>44805.625</v>
      </c>
      <c r="B650" s="2">
        <f>IFERROR(__xludf.DUMMYFUNCTION("""COMPUTED_VALUE"""),1985.0)</f>
        <v>1985</v>
      </c>
      <c r="C650" s="2">
        <f>IFERROR(__xludf.DUMMYFUNCTION("""COMPUTED_VALUE"""),1985.0)</f>
        <v>1985</v>
      </c>
      <c r="D650" s="2">
        <f>IFERROR(__xludf.DUMMYFUNCTION("""COMPUTED_VALUE"""),1930.0)</f>
        <v>1930</v>
      </c>
      <c r="E650" s="2">
        <f>IFERROR(__xludf.DUMMYFUNCTION("""COMPUTED_VALUE"""),1935.0)</f>
        <v>1935</v>
      </c>
      <c r="F650" s="2">
        <f>IFERROR(__xludf.DUMMYFUNCTION("""COMPUTED_VALUE"""),6.30859E7)</f>
        <v>63085900</v>
      </c>
      <c r="G650" s="2">
        <f t="shared" si="1"/>
        <v>60</v>
      </c>
    </row>
    <row r="651" ht="15.75" customHeight="1">
      <c r="A651" s="1">
        <f>IFERROR(__xludf.DUMMYFUNCTION("""COMPUTED_VALUE"""),44806.625)</f>
        <v>44806.625</v>
      </c>
      <c r="B651" s="2">
        <f>IFERROR(__xludf.DUMMYFUNCTION("""COMPUTED_VALUE"""),1930.0)</f>
        <v>1930</v>
      </c>
      <c r="C651" s="2">
        <f>IFERROR(__xludf.DUMMYFUNCTION("""COMPUTED_VALUE"""),1930.0)</f>
        <v>1930</v>
      </c>
      <c r="D651" s="2">
        <f>IFERROR(__xludf.DUMMYFUNCTION("""COMPUTED_VALUE"""),1900.0)</f>
        <v>1900</v>
      </c>
      <c r="E651" s="2">
        <f>IFERROR(__xludf.DUMMYFUNCTION("""COMPUTED_VALUE"""),1900.0)</f>
        <v>1900</v>
      </c>
      <c r="F651" s="2">
        <f>IFERROR(__xludf.DUMMYFUNCTION("""COMPUTED_VALUE"""),1.05457E8)</f>
        <v>105457000</v>
      </c>
      <c r="G651" s="2">
        <f t="shared" si="1"/>
        <v>35</v>
      </c>
    </row>
    <row r="652" ht="15.75" customHeight="1">
      <c r="A652" s="1">
        <f>IFERROR(__xludf.DUMMYFUNCTION("""COMPUTED_VALUE"""),44809.66666666667)</f>
        <v>44809.66667</v>
      </c>
      <c r="B652" s="2">
        <f>IFERROR(__xludf.DUMMYFUNCTION("""COMPUTED_VALUE"""),1880.0)</f>
        <v>1880</v>
      </c>
      <c r="C652" s="2">
        <f>IFERROR(__xludf.DUMMYFUNCTION("""COMPUTED_VALUE"""),1985.0)</f>
        <v>1985</v>
      </c>
      <c r="D652" s="2">
        <f>IFERROR(__xludf.DUMMYFUNCTION("""COMPUTED_VALUE"""),1870.0)</f>
        <v>1870</v>
      </c>
      <c r="E652" s="2">
        <f>IFERROR(__xludf.DUMMYFUNCTION("""COMPUTED_VALUE"""),1970.0)</f>
        <v>1970</v>
      </c>
      <c r="F652" s="2">
        <f>IFERROR(__xludf.DUMMYFUNCTION("""COMPUTED_VALUE"""),1.313984E8)</f>
        <v>131398400</v>
      </c>
      <c r="G652" s="2">
        <f t="shared" si="1"/>
        <v>115</v>
      </c>
    </row>
    <row r="653" ht="15.75" customHeight="1">
      <c r="A653" s="1">
        <f>IFERROR(__xludf.DUMMYFUNCTION("""COMPUTED_VALUE"""),44810.66666666667)</f>
        <v>44810.66667</v>
      </c>
      <c r="B653" s="2">
        <f>IFERROR(__xludf.DUMMYFUNCTION("""COMPUTED_VALUE"""),2010.0)</f>
        <v>2010</v>
      </c>
      <c r="C653" s="2">
        <f>IFERROR(__xludf.DUMMYFUNCTION("""COMPUTED_VALUE"""),2040.0)</f>
        <v>2040</v>
      </c>
      <c r="D653" s="2">
        <f>IFERROR(__xludf.DUMMYFUNCTION("""COMPUTED_VALUE"""),1975.0)</f>
        <v>1975</v>
      </c>
      <c r="E653" s="2">
        <f>IFERROR(__xludf.DUMMYFUNCTION("""COMPUTED_VALUE"""),1990.0)</f>
        <v>1990</v>
      </c>
      <c r="F653" s="2">
        <f>IFERROR(__xludf.DUMMYFUNCTION("""COMPUTED_VALUE"""),1.389061E8)</f>
        <v>138906100</v>
      </c>
      <c r="G653" s="2">
        <f t="shared" si="1"/>
        <v>70</v>
      </c>
    </row>
    <row r="654" ht="15.75" customHeight="1">
      <c r="A654" s="1">
        <f>IFERROR(__xludf.DUMMYFUNCTION("""COMPUTED_VALUE"""),44811.66666666667)</f>
        <v>44811.66667</v>
      </c>
      <c r="B654" s="2">
        <f>IFERROR(__xludf.DUMMYFUNCTION("""COMPUTED_VALUE"""),1975.0)</f>
        <v>1975</v>
      </c>
      <c r="C654" s="2">
        <f>IFERROR(__xludf.DUMMYFUNCTION("""COMPUTED_VALUE"""),1990.0)</f>
        <v>1990</v>
      </c>
      <c r="D654" s="2">
        <f>IFERROR(__xludf.DUMMYFUNCTION("""COMPUTED_VALUE"""),1940.0)</f>
        <v>1940</v>
      </c>
      <c r="E654" s="2">
        <f>IFERROR(__xludf.DUMMYFUNCTION("""COMPUTED_VALUE"""),1950.0)</f>
        <v>1950</v>
      </c>
      <c r="F654" s="2">
        <f>IFERROR(__xludf.DUMMYFUNCTION("""COMPUTED_VALUE"""),8.1794E7)</f>
        <v>81794000</v>
      </c>
      <c r="G654" s="2">
        <f t="shared" si="1"/>
        <v>50</v>
      </c>
    </row>
    <row r="655" ht="15.75" customHeight="1">
      <c r="A655" s="1">
        <f>IFERROR(__xludf.DUMMYFUNCTION("""COMPUTED_VALUE"""),44812.66666666667)</f>
        <v>44812.66667</v>
      </c>
      <c r="B655" s="2">
        <f>IFERROR(__xludf.DUMMYFUNCTION("""COMPUTED_VALUE"""),1970.0)</f>
        <v>1970</v>
      </c>
      <c r="C655" s="2">
        <f>IFERROR(__xludf.DUMMYFUNCTION("""COMPUTED_VALUE"""),1975.0)</f>
        <v>1975</v>
      </c>
      <c r="D655" s="2">
        <f>IFERROR(__xludf.DUMMYFUNCTION("""COMPUTED_VALUE"""),1920.0)</f>
        <v>1920</v>
      </c>
      <c r="E655" s="2">
        <f>IFERROR(__xludf.DUMMYFUNCTION("""COMPUTED_VALUE"""),1920.0)</f>
        <v>1920</v>
      </c>
      <c r="F655" s="2">
        <f>IFERROR(__xludf.DUMMYFUNCTION("""COMPUTED_VALUE"""),7.8962E7)</f>
        <v>78962000</v>
      </c>
      <c r="G655" s="2">
        <f t="shared" si="1"/>
        <v>55</v>
      </c>
    </row>
    <row r="656" ht="15.75" customHeight="1">
      <c r="A656" s="1">
        <f>IFERROR(__xludf.DUMMYFUNCTION("""COMPUTED_VALUE"""),44813.66666666667)</f>
        <v>44813.66667</v>
      </c>
      <c r="B656" s="2">
        <f>IFERROR(__xludf.DUMMYFUNCTION("""COMPUTED_VALUE"""),1940.0)</f>
        <v>1940</v>
      </c>
      <c r="C656" s="2">
        <f>IFERROR(__xludf.DUMMYFUNCTION("""COMPUTED_VALUE"""),1985.0)</f>
        <v>1985</v>
      </c>
      <c r="D656" s="2">
        <f>IFERROR(__xludf.DUMMYFUNCTION("""COMPUTED_VALUE"""),1920.0)</f>
        <v>1920</v>
      </c>
      <c r="E656" s="2">
        <f>IFERROR(__xludf.DUMMYFUNCTION("""COMPUTED_VALUE"""),1975.0)</f>
        <v>1975</v>
      </c>
      <c r="F656" s="2">
        <f>IFERROR(__xludf.DUMMYFUNCTION("""COMPUTED_VALUE"""),7.50636E7)</f>
        <v>75063600</v>
      </c>
      <c r="G656" s="2">
        <f t="shared" si="1"/>
        <v>65</v>
      </c>
    </row>
    <row r="657" ht="15.75" customHeight="1">
      <c r="A657" s="1">
        <f>IFERROR(__xludf.DUMMYFUNCTION("""COMPUTED_VALUE"""),44816.66666666667)</f>
        <v>44816.66667</v>
      </c>
      <c r="B657" s="2">
        <f>IFERROR(__xludf.DUMMYFUNCTION("""COMPUTED_VALUE"""),2010.0)</f>
        <v>2010</v>
      </c>
      <c r="C657" s="2">
        <f>IFERROR(__xludf.DUMMYFUNCTION("""COMPUTED_VALUE"""),2020.0)</f>
        <v>2020</v>
      </c>
      <c r="D657" s="2">
        <f>IFERROR(__xludf.DUMMYFUNCTION("""COMPUTED_VALUE"""),1980.0)</f>
        <v>1980</v>
      </c>
      <c r="E657" s="2">
        <f>IFERROR(__xludf.DUMMYFUNCTION("""COMPUTED_VALUE"""),1980.0)</f>
        <v>1980</v>
      </c>
      <c r="F657" s="2">
        <f>IFERROR(__xludf.DUMMYFUNCTION("""COMPUTED_VALUE"""),9.62497E7)</f>
        <v>96249700</v>
      </c>
      <c r="G657" s="2">
        <f t="shared" si="1"/>
        <v>45</v>
      </c>
    </row>
    <row r="658" ht="15.75" customHeight="1">
      <c r="A658" s="1">
        <f>IFERROR(__xludf.DUMMYFUNCTION("""COMPUTED_VALUE"""),44817.66666666667)</f>
        <v>44817.66667</v>
      </c>
      <c r="B658" s="2">
        <f>IFERROR(__xludf.DUMMYFUNCTION("""COMPUTED_VALUE"""),2030.0)</f>
        <v>2030</v>
      </c>
      <c r="C658" s="2">
        <f>IFERROR(__xludf.DUMMYFUNCTION("""COMPUTED_VALUE"""),2100.0)</f>
        <v>2100</v>
      </c>
      <c r="D658" s="2">
        <f>IFERROR(__xludf.DUMMYFUNCTION("""COMPUTED_VALUE"""),2030.0)</f>
        <v>2030</v>
      </c>
      <c r="E658" s="2">
        <f>IFERROR(__xludf.DUMMYFUNCTION("""COMPUTED_VALUE"""),2070.0)</f>
        <v>2070</v>
      </c>
      <c r="F658" s="2">
        <f>IFERROR(__xludf.DUMMYFUNCTION("""COMPUTED_VALUE"""),2.821128E8)</f>
        <v>282112800</v>
      </c>
      <c r="G658" s="2">
        <f t="shared" si="1"/>
        <v>120</v>
      </c>
    </row>
    <row r="659" ht="15.75" customHeight="1">
      <c r="A659" s="1">
        <f>IFERROR(__xludf.DUMMYFUNCTION("""COMPUTED_VALUE"""),44818.66666666667)</f>
        <v>44818.66667</v>
      </c>
      <c r="B659" s="2">
        <f>IFERROR(__xludf.DUMMYFUNCTION("""COMPUTED_VALUE"""),2010.0)</f>
        <v>2010</v>
      </c>
      <c r="C659" s="2">
        <f>IFERROR(__xludf.DUMMYFUNCTION("""COMPUTED_VALUE"""),2120.0)</f>
        <v>2120</v>
      </c>
      <c r="D659" s="2">
        <f>IFERROR(__xludf.DUMMYFUNCTION("""COMPUTED_VALUE"""),1990.0)</f>
        <v>1990</v>
      </c>
      <c r="E659" s="2">
        <f>IFERROR(__xludf.DUMMYFUNCTION("""COMPUTED_VALUE"""),2120.0)</f>
        <v>2120</v>
      </c>
      <c r="F659" s="2">
        <f>IFERROR(__xludf.DUMMYFUNCTION("""COMPUTED_VALUE"""),2.306253E8)</f>
        <v>230625300</v>
      </c>
      <c r="G659" s="2">
        <f t="shared" si="1"/>
        <v>130</v>
      </c>
    </row>
    <row r="660" ht="15.75" customHeight="1">
      <c r="A660" s="1">
        <f>IFERROR(__xludf.DUMMYFUNCTION("""COMPUTED_VALUE"""),44819.66666666667)</f>
        <v>44819.66667</v>
      </c>
      <c r="B660" s="2">
        <f>IFERROR(__xludf.DUMMYFUNCTION("""COMPUTED_VALUE"""),2130.0)</f>
        <v>2130</v>
      </c>
      <c r="C660" s="2">
        <f>IFERROR(__xludf.DUMMYFUNCTION("""COMPUTED_VALUE"""),2150.0)</f>
        <v>2150</v>
      </c>
      <c r="D660" s="2">
        <f>IFERROR(__xludf.DUMMYFUNCTION("""COMPUTED_VALUE"""),2060.0)</f>
        <v>2060</v>
      </c>
      <c r="E660" s="2">
        <f>IFERROR(__xludf.DUMMYFUNCTION("""COMPUTED_VALUE"""),2070.0)</f>
        <v>2070</v>
      </c>
      <c r="F660" s="2">
        <f>IFERROR(__xludf.DUMMYFUNCTION("""COMPUTED_VALUE"""),1.478936E8)</f>
        <v>147893600</v>
      </c>
      <c r="G660" s="2">
        <f t="shared" si="1"/>
        <v>90</v>
      </c>
    </row>
    <row r="661" ht="15.75" customHeight="1">
      <c r="A661" s="1">
        <f>IFERROR(__xludf.DUMMYFUNCTION("""COMPUTED_VALUE"""),44820.66666666667)</f>
        <v>44820.66667</v>
      </c>
      <c r="B661" s="2">
        <f>IFERROR(__xludf.DUMMYFUNCTION("""COMPUTED_VALUE"""),2030.0)</f>
        <v>2030</v>
      </c>
      <c r="C661" s="2">
        <f>IFERROR(__xludf.DUMMYFUNCTION("""COMPUTED_VALUE"""),2050.0)</f>
        <v>2050</v>
      </c>
      <c r="D661" s="2">
        <f>IFERROR(__xludf.DUMMYFUNCTION("""COMPUTED_VALUE"""),2000.0)</f>
        <v>2000</v>
      </c>
      <c r="E661" s="2">
        <f>IFERROR(__xludf.DUMMYFUNCTION("""COMPUTED_VALUE"""),2040.0)</f>
        <v>2040</v>
      </c>
      <c r="F661" s="2">
        <f>IFERROR(__xludf.DUMMYFUNCTION("""COMPUTED_VALUE"""),9.79881E7)</f>
        <v>97988100</v>
      </c>
      <c r="G661" s="2">
        <f t="shared" si="1"/>
        <v>70</v>
      </c>
    </row>
    <row r="662" ht="15.75" customHeight="1">
      <c r="A662" s="1">
        <f>IFERROR(__xludf.DUMMYFUNCTION("""COMPUTED_VALUE"""),44823.66666666667)</f>
        <v>44823.66667</v>
      </c>
      <c r="B662" s="2">
        <f>IFERROR(__xludf.DUMMYFUNCTION("""COMPUTED_VALUE"""),2080.0)</f>
        <v>2080</v>
      </c>
      <c r="C662" s="2">
        <f>IFERROR(__xludf.DUMMYFUNCTION("""COMPUTED_VALUE"""),2090.0)</f>
        <v>2090</v>
      </c>
      <c r="D662" s="2">
        <f>IFERROR(__xludf.DUMMYFUNCTION("""COMPUTED_VALUE"""),2020.0)</f>
        <v>2020</v>
      </c>
      <c r="E662" s="2">
        <f>IFERROR(__xludf.DUMMYFUNCTION("""COMPUTED_VALUE"""),2050.0)</f>
        <v>2050</v>
      </c>
      <c r="F662" s="2">
        <f>IFERROR(__xludf.DUMMYFUNCTION("""COMPUTED_VALUE"""),8.04281E7)</f>
        <v>80428100</v>
      </c>
      <c r="G662" s="2">
        <f t="shared" si="1"/>
        <v>70</v>
      </c>
    </row>
    <row r="663" ht="15.75" customHeight="1">
      <c r="A663" s="1">
        <f>IFERROR(__xludf.DUMMYFUNCTION("""COMPUTED_VALUE"""),44824.66666666667)</f>
        <v>44824.66667</v>
      </c>
      <c r="B663" s="2">
        <f>IFERROR(__xludf.DUMMYFUNCTION("""COMPUTED_VALUE"""),2080.0)</f>
        <v>2080</v>
      </c>
      <c r="C663" s="2">
        <f>IFERROR(__xludf.DUMMYFUNCTION("""COMPUTED_VALUE"""),2080.0)</f>
        <v>2080</v>
      </c>
      <c r="D663" s="2">
        <f>IFERROR(__xludf.DUMMYFUNCTION("""COMPUTED_VALUE"""),2040.0)</f>
        <v>2040</v>
      </c>
      <c r="E663" s="2">
        <f>IFERROR(__xludf.DUMMYFUNCTION("""COMPUTED_VALUE"""),2050.0)</f>
        <v>2050</v>
      </c>
      <c r="F663" s="2">
        <f>IFERROR(__xludf.DUMMYFUNCTION("""COMPUTED_VALUE"""),4.60007E7)</f>
        <v>46000700</v>
      </c>
      <c r="G663" s="2">
        <f t="shared" si="1"/>
        <v>40</v>
      </c>
    </row>
    <row r="664" ht="15.75" customHeight="1">
      <c r="A664" s="1">
        <f>IFERROR(__xludf.DUMMYFUNCTION("""COMPUTED_VALUE"""),44825.66666666667)</f>
        <v>44825.66667</v>
      </c>
      <c r="B664" s="2">
        <f>IFERROR(__xludf.DUMMYFUNCTION("""COMPUTED_VALUE"""),2060.0)</f>
        <v>2060</v>
      </c>
      <c r="C664" s="2">
        <f>IFERROR(__xludf.DUMMYFUNCTION("""COMPUTED_VALUE"""),2100.0)</f>
        <v>2100</v>
      </c>
      <c r="D664" s="2">
        <f>IFERROR(__xludf.DUMMYFUNCTION("""COMPUTED_VALUE"""),2020.0)</f>
        <v>2020</v>
      </c>
      <c r="E664" s="2">
        <f>IFERROR(__xludf.DUMMYFUNCTION("""COMPUTED_VALUE"""),2080.0)</f>
        <v>2080</v>
      </c>
      <c r="F664" s="2">
        <f>IFERROR(__xludf.DUMMYFUNCTION("""COMPUTED_VALUE"""),1.223372E8)</f>
        <v>122337200</v>
      </c>
      <c r="G664" s="2">
        <f t="shared" si="1"/>
        <v>80</v>
      </c>
    </row>
    <row r="665" ht="15.75" customHeight="1">
      <c r="A665" s="1">
        <f>IFERROR(__xludf.DUMMYFUNCTION("""COMPUTED_VALUE"""),44826.66666666667)</f>
        <v>44826.66667</v>
      </c>
      <c r="B665" s="2">
        <f>IFERROR(__xludf.DUMMYFUNCTION("""COMPUTED_VALUE"""),2050.0)</f>
        <v>2050</v>
      </c>
      <c r="C665" s="2">
        <f>IFERROR(__xludf.DUMMYFUNCTION("""COMPUTED_VALUE"""),2090.0)</f>
        <v>2090</v>
      </c>
      <c r="D665" s="2">
        <f>IFERROR(__xludf.DUMMYFUNCTION("""COMPUTED_VALUE"""),2040.0)</f>
        <v>2040</v>
      </c>
      <c r="E665" s="2">
        <f>IFERROR(__xludf.DUMMYFUNCTION("""COMPUTED_VALUE"""),2080.0)</f>
        <v>2080</v>
      </c>
      <c r="F665" s="2">
        <f>IFERROR(__xludf.DUMMYFUNCTION("""COMPUTED_VALUE"""),5.68572E7)</f>
        <v>56857200</v>
      </c>
      <c r="G665" s="2">
        <f t="shared" si="1"/>
        <v>50</v>
      </c>
    </row>
    <row r="666" ht="15.75" customHeight="1">
      <c r="A666" s="1">
        <f>IFERROR(__xludf.DUMMYFUNCTION("""COMPUTED_VALUE"""),44827.66666666667)</f>
        <v>44827.66667</v>
      </c>
      <c r="B666" s="2">
        <f>IFERROR(__xludf.DUMMYFUNCTION("""COMPUTED_VALUE"""),2080.0)</f>
        <v>2080</v>
      </c>
      <c r="C666" s="2">
        <f>IFERROR(__xludf.DUMMYFUNCTION("""COMPUTED_VALUE"""),2090.0)</f>
        <v>2090</v>
      </c>
      <c r="D666" s="2">
        <f>IFERROR(__xludf.DUMMYFUNCTION("""COMPUTED_VALUE"""),2030.0)</f>
        <v>2030</v>
      </c>
      <c r="E666" s="2">
        <f>IFERROR(__xludf.DUMMYFUNCTION("""COMPUTED_VALUE"""),2040.0)</f>
        <v>2040</v>
      </c>
      <c r="F666" s="2">
        <f>IFERROR(__xludf.DUMMYFUNCTION("""COMPUTED_VALUE"""),5.48974E7)</f>
        <v>54897400</v>
      </c>
      <c r="G666" s="2">
        <f t="shared" si="1"/>
        <v>60</v>
      </c>
    </row>
    <row r="667" ht="15.75" customHeight="1">
      <c r="A667" s="1">
        <f>IFERROR(__xludf.DUMMYFUNCTION("""COMPUTED_VALUE"""),44830.66666666667)</f>
        <v>44830.66667</v>
      </c>
      <c r="B667" s="2">
        <f>IFERROR(__xludf.DUMMYFUNCTION("""COMPUTED_VALUE"""),1995.0)</f>
        <v>1995</v>
      </c>
      <c r="C667" s="2">
        <f>IFERROR(__xludf.DUMMYFUNCTION("""COMPUTED_VALUE"""),2000.0)</f>
        <v>2000</v>
      </c>
      <c r="D667" s="2">
        <f>IFERROR(__xludf.DUMMYFUNCTION("""COMPUTED_VALUE"""),1970.0)</f>
        <v>1970</v>
      </c>
      <c r="E667" s="2">
        <f>IFERROR(__xludf.DUMMYFUNCTION("""COMPUTED_VALUE"""),1970.0)</f>
        <v>1970</v>
      </c>
      <c r="F667" s="2">
        <f>IFERROR(__xludf.DUMMYFUNCTION("""COMPUTED_VALUE"""),9.52937E7)</f>
        <v>95293700</v>
      </c>
      <c r="G667" s="2">
        <f t="shared" si="1"/>
        <v>70</v>
      </c>
    </row>
    <row r="668" ht="15.75" customHeight="1">
      <c r="A668" s="1">
        <f>IFERROR(__xludf.DUMMYFUNCTION("""COMPUTED_VALUE"""),44831.66666666667)</f>
        <v>44831.66667</v>
      </c>
      <c r="B668" s="2">
        <f>IFERROR(__xludf.DUMMYFUNCTION("""COMPUTED_VALUE"""),1955.0)</f>
        <v>1955</v>
      </c>
      <c r="C668" s="2">
        <f>IFERROR(__xludf.DUMMYFUNCTION("""COMPUTED_VALUE"""),1975.0)</f>
        <v>1975</v>
      </c>
      <c r="D668" s="2">
        <f>IFERROR(__xludf.DUMMYFUNCTION("""COMPUTED_VALUE"""),1930.0)</f>
        <v>1930</v>
      </c>
      <c r="E668" s="2">
        <f>IFERROR(__xludf.DUMMYFUNCTION("""COMPUTED_VALUE"""),1965.0)</f>
        <v>1965</v>
      </c>
      <c r="F668" s="2">
        <f>IFERROR(__xludf.DUMMYFUNCTION("""COMPUTED_VALUE"""),7.55896E7)</f>
        <v>75589600</v>
      </c>
      <c r="G668" s="2">
        <f t="shared" si="1"/>
        <v>45</v>
      </c>
    </row>
    <row r="669" ht="15.75" customHeight="1">
      <c r="A669" s="1">
        <f>IFERROR(__xludf.DUMMYFUNCTION("""COMPUTED_VALUE"""),44832.66666666667)</f>
        <v>44832.66667</v>
      </c>
      <c r="B669" s="2">
        <f>IFERROR(__xludf.DUMMYFUNCTION("""COMPUTED_VALUE"""),1945.0)</f>
        <v>1945</v>
      </c>
      <c r="C669" s="2">
        <f>IFERROR(__xludf.DUMMYFUNCTION("""COMPUTED_VALUE"""),1950.0)</f>
        <v>1950</v>
      </c>
      <c r="D669" s="2">
        <f>IFERROR(__xludf.DUMMYFUNCTION("""COMPUTED_VALUE"""),1925.0)</f>
        <v>1925</v>
      </c>
      <c r="E669" s="2">
        <f>IFERROR(__xludf.DUMMYFUNCTION("""COMPUTED_VALUE"""),1925.0)</f>
        <v>1925</v>
      </c>
      <c r="F669" s="2">
        <f>IFERROR(__xludf.DUMMYFUNCTION("""COMPUTED_VALUE"""),7.03156E7)</f>
        <v>70315600</v>
      </c>
      <c r="G669" s="2">
        <f t="shared" si="1"/>
        <v>40</v>
      </c>
    </row>
    <row r="670" ht="15.75" customHeight="1">
      <c r="A670" s="1">
        <f>IFERROR(__xludf.DUMMYFUNCTION("""COMPUTED_VALUE"""),44833.66666666667)</f>
        <v>44833.66667</v>
      </c>
      <c r="B670" s="2">
        <f>IFERROR(__xludf.DUMMYFUNCTION("""COMPUTED_VALUE"""),1945.0)</f>
        <v>1945</v>
      </c>
      <c r="C670" s="2">
        <f>IFERROR(__xludf.DUMMYFUNCTION("""COMPUTED_VALUE"""),1960.0)</f>
        <v>1960</v>
      </c>
      <c r="D670" s="2">
        <f>IFERROR(__xludf.DUMMYFUNCTION("""COMPUTED_VALUE"""),1910.0)</f>
        <v>1910</v>
      </c>
      <c r="E670" s="2">
        <f>IFERROR(__xludf.DUMMYFUNCTION("""COMPUTED_VALUE"""),1920.0)</f>
        <v>1920</v>
      </c>
      <c r="F670" s="2">
        <f>IFERROR(__xludf.DUMMYFUNCTION("""COMPUTED_VALUE"""),4.86887E7)</f>
        <v>48688700</v>
      </c>
      <c r="G670" s="2">
        <f t="shared" si="1"/>
        <v>50</v>
      </c>
    </row>
    <row r="671" ht="15.75" customHeight="1">
      <c r="A671" s="1">
        <f>IFERROR(__xludf.DUMMYFUNCTION("""COMPUTED_VALUE"""),44834.66666666667)</f>
        <v>44834.66667</v>
      </c>
      <c r="B671" s="2">
        <f>IFERROR(__xludf.DUMMYFUNCTION("""COMPUTED_VALUE"""),1925.0)</f>
        <v>1925</v>
      </c>
      <c r="C671" s="2">
        <f>IFERROR(__xludf.DUMMYFUNCTION("""COMPUTED_VALUE"""),1940.0)</f>
        <v>1940</v>
      </c>
      <c r="D671" s="2">
        <f>IFERROR(__xludf.DUMMYFUNCTION("""COMPUTED_VALUE"""),1885.0)</f>
        <v>1885</v>
      </c>
      <c r="E671" s="2">
        <f>IFERROR(__xludf.DUMMYFUNCTION("""COMPUTED_VALUE"""),1940.0)</f>
        <v>1940</v>
      </c>
      <c r="F671" s="2">
        <f>IFERROR(__xludf.DUMMYFUNCTION("""COMPUTED_VALUE"""),6.18796E7)</f>
        <v>61879600</v>
      </c>
      <c r="G671" s="2">
        <f t="shared" si="1"/>
        <v>55</v>
      </c>
    </row>
    <row r="672" ht="15.75" customHeight="1">
      <c r="A672" s="1">
        <f>IFERROR(__xludf.DUMMYFUNCTION("""COMPUTED_VALUE"""),44837.66666666667)</f>
        <v>44837.66667</v>
      </c>
      <c r="B672" s="2">
        <f>IFERROR(__xludf.DUMMYFUNCTION("""COMPUTED_VALUE"""),1900.0)</f>
        <v>1900</v>
      </c>
      <c r="C672" s="2">
        <f>IFERROR(__xludf.DUMMYFUNCTION("""COMPUTED_VALUE"""),1920.0)</f>
        <v>1920</v>
      </c>
      <c r="D672" s="2">
        <f>IFERROR(__xludf.DUMMYFUNCTION("""COMPUTED_VALUE"""),1890.0)</f>
        <v>1890</v>
      </c>
      <c r="E672" s="2">
        <f>IFERROR(__xludf.DUMMYFUNCTION("""COMPUTED_VALUE"""),1890.0)</f>
        <v>1890</v>
      </c>
      <c r="F672" s="2">
        <f>IFERROR(__xludf.DUMMYFUNCTION("""COMPUTED_VALUE"""),5.77087E7)</f>
        <v>57708700</v>
      </c>
      <c r="G672" s="2">
        <f t="shared" si="1"/>
        <v>50</v>
      </c>
    </row>
    <row r="673" ht="15.75" customHeight="1">
      <c r="A673" s="1">
        <f>IFERROR(__xludf.DUMMYFUNCTION("""COMPUTED_VALUE"""),44838.66666666667)</f>
        <v>44838.66667</v>
      </c>
      <c r="B673" s="2">
        <f>IFERROR(__xludf.DUMMYFUNCTION("""COMPUTED_VALUE"""),1920.0)</f>
        <v>1920</v>
      </c>
      <c r="C673" s="2">
        <f>IFERROR(__xludf.DUMMYFUNCTION("""COMPUTED_VALUE"""),1935.0)</f>
        <v>1935</v>
      </c>
      <c r="D673" s="2">
        <f>IFERROR(__xludf.DUMMYFUNCTION("""COMPUTED_VALUE"""),1910.0)</f>
        <v>1910</v>
      </c>
      <c r="E673" s="2">
        <f>IFERROR(__xludf.DUMMYFUNCTION("""COMPUTED_VALUE"""),1925.0)</f>
        <v>1925</v>
      </c>
      <c r="F673" s="2">
        <f>IFERROR(__xludf.DUMMYFUNCTION("""COMPUTED_VALUE"""),7.35646E7)</f>
        <v>73564600</v>
      </c>
      <c r="G673" s="2">
        <f t="shared" si="1"/>
        <v>45</v>
      </c>
    </row>
    <row r="674" ht="15.75" customHeight="1">
      <c r="A674" s="1">
        <f>IFERROR(__xludf.DUMMYFUNCTION("""COMPUTED_VALUE"""),44839.66666666667)</f>
        <v>44839.66667</v>
      </c>
      <c r="B674" s="2">
        <f>IFERROR(__xludf.DUMMYFUNCTION("""COMPUTED_VALUE"""),1945.0)</f>
        <v>1945</v>
      </c>
      <c r="C674" s="2">
        <f>IFERROR(__xludf.DUMMYFUNCTION("""COMPUTED_VALUE"""),1975.0)</f>
        <v>1975</v>
      </c>
      <c r="D674" s="2">
        <f>IFERROR(__xludf.DUMMYFUNCTION("""COMPUTED_VALUE"""),1940.0)</f>
        <v>1940</v>
      </c>
      <c r="E674" s="2">
        <f>IFERROR(__xludf.DUMMYFUNCTION("""COMPUTED_VALUE"""),1940.0)</f>
        <v>1940</v>
      </c>
      <c r="F674" s="2">
        <f>IFERROR(__xludf.DUMMYFUNCTION("""COMPUTED_VALUE"""),8.48475E7)</f>
        <v>84847500</v>
      </c>
      <c r="G674" s="2">
        <f t="shared" si="1"/>
        <v>50</v>
      </c>
    </row>
    <row r="675" ht="15.75" customHeight="1">
      <c r="A675" s="1">
        <f>IFERROR(__xludf.DUMMYFUNCTION("""COMPUTED_VALUE"""),44840.66666666667)</f>
        <v>44840.66667</v>
      </c>
      <c r="B675" s="2">
        <f>IFERROR(__xludf.DUMMYFUNCTION("""COMPUTED_VALUE"""),1955.0)</f>
        <v>1955</v>
      </c>
      <c r="C675" s="2">
        <f>IFERROR(__xludf.DUMMYFUNCTION("""COMPUTED_VALUE"""),1965.0)</f>
        <v>1965</v>
      </c>
      <c r="D675" s="2">
        <f>IFERROR(__xludf.DUMMYFUNCTION("""COMPUTED_VALUE"""),1925.0)</f>
        <v>1925</v>
      </c>
      <c r="E675" s="2">
        <f>IFERROR(__xludf.DUMMYFUNCTION("""COMPUTED_VALUE"""),1930.0)</f>
        <v>1930</v>
      </c>
      <c r="F675" s="2">
        <f>IFERROR(__xludf.DUMMYFUNCTION("""COMPUTED_VALUE"""),4.66888E7)</f>
        <v>46688800</v>
      </c>
      <c r="G675" s="2">
        <f t="shared" si="1"/>
        <v>40</v>
      </c>
    </row>
    <row r="676" ht="15.75" customHeight="1">
      <c r="A676" s="1">
        <f>IFERROR(__xludf.DUMMYFUNCTION("""COMPUTED_VALUE"""),44841.66666666667)</f>
        <v>44841.66667</v>
      </c>
      <c r="B676" s="2">
        <f>IFERROR(__xludf.DUMMYFUNCTION("""COMPUTED_VALUE"""),1935.0)</f>
        <v>1935</v>
      </c>
      <c r="C676" s="2">
        <f>IFERROR(__xludf.DUMMYFUNCTION("""COMPUTED_VALUE"""),1950.0)</f>
        <v>1950</v>
      </c>
      <c r="D676" s="2">
        <f>IFERROR(__xludf.DUMMYFUNCTION("""COMPUTED_VALUE"""),1925.0)</f>
        <v>1925</v>
      </c>
      <c r="E676" s="2">
        <f>IFERROR(__xludf.DUMMYFUNCTION("""COMPUTED_VALUE"""),1935.0)</f>
        <v>1935</v>
      </c>
      <c r="F676" s="2">
        <f>IFERROR(__xludf.DUMMYFUNCTION("""COMPUTED_VALUE"""),2.86711E7)</f>
        <v>28671100</v>
      </c>
      <c r="G676" s="2">
        <f t="shared" si="1"/>
        <v>25</v>
      </c>
    </row>
    <row r="677" ht="15.75" customHeight="1">
      <c r="A677" s="1">
        <f>IFERROR(__xludf.DUMMYFUNCTION("""COMPUTED_VALUE"""),44844.66666666667)</f>
        <v>44844.66667</v>
      </c>
      <c r="B677" s="2">
        <f>IFERROR(__xludf.DUMMYFUNCTION("""COMPUTED_VALUE"""),1920.0)</f>
        <v>1920</v>
      </c>
      <c r="C677" s="2">
        <f>IFERROR(__xludf.DUMMYFUNCTION("""COMPUTED_VALUE"""),1925.0)</f>
        <v>1925</v>
      </c>
      <c r="D677" s="2">
        <f>IFERROR(__xludf.DUMMYFUNCTION("""COMPUTED_VALUE"""),1895.0)</f>
        <v>1895</v>
      </c>
      <c r="E677" s="2">
        <f>IFERROR(__xludf.DUMMYFUNCTION("""COMPUTED_VALUE"""),1910.0)</f>
        <v>1910</v>
      </c>
      <c r="F677" s="2">
        <f>IFERROR(__xludf.DUMMYFUNCTION("""COMPUTED_VALUE"""),2.92374E7)</f>
        <v>29237400</v>
      </c>
      <c r="G677" s="2">
        <f t="shared" si="1"/>
        <v>40</v>
      </c>
    </row>
    <row r="678" ht="15.75" customHeight="1">
      <c r="A678" s="1">
        <f>IFERROR(__xludf.DUMMYFUNCTION("""COMPUTED_VALUE"""),44845.66666666667)</f>
        <v>44845.66667</v>
      </c>
      <c r="B678" s="2">
        <f>IFERROR(__xludf.DUMMYFUNCTION("""COMPUTED_VALUE"""),1910.0)</f>
        <v>1910</v>
      </c>
      <c r="C678" s="2">
        <f>IFERROR(__xludf.DUMMYFUNCTION("""COMPUTED_VALUE"""),1915.0)</f>
        <v>1915</v>
      </c>
      <c r="D678" s="2">
        <f>IFERROR(__xludf.DUMMYFUNCTION("""COMPUTED_VALUE"""),1890.0)</f>
        <v>1890</v>
      </c>
      <c r="E678" s="2">
        <f>IFERROR(__xludf.DUMMYFUNCTION("""COMPUTED_VALUE"""),1895.0)</f>
        <v>1895</v>
      </c>
      <c r="F678" s="2">
        <f>IFERROR(__xludf.DUMMYFUNCTION("""COMPUTED_VALUE"""),2.33076E7)</f>
        <v>23307600</v>
      </c>
      <c r="G678" s="2">
        <f t="shared" si="1"/>
        <v>25</v>
      </c>
    </row>
    <row r="679" ht="15.75" customHeight="1">
      <c r="A679" s="1">
        <f>IFERROR(__xludf.DUMMYFUNCTION("""COMPUTED_VALUE"""),44846.66666666667)</f>
        <v>44846.66667</v>
      </c>
      <c r="B679" s="2">
        <f>IFERROR(__xludf.DUMMYFUNCTION("""COMPUTED_VALUE"""),1895.0)</f>
        <v>1895</v>
      </c>
      <c r="C679" s="2">
        <f>IFERROR(__xludf.DUMMYFUNCTION("""COMPUTED_VALUE"""),1915.0)</f>
        <v>1915</v>
      </c>
      <c r="D679" s="2">
        <f>IFERROR(__xludf.DUMMYFUNCTION("""COMPUTED_VALUE"""),1860.0)</f>
        <v>1860</v>
      </c>
      <c r="E679" s="2">
        <f>IFERROR(__xludf.DUMMYFUNCTION("""COMPUTED_VALUE"""),1880.0)</f>
        <v>1880</v>
      </c>
      <c r="F679" s="2">
        <f>IFERROR(__xludf.DUMMYFUNCTION("""COMPUTED_VALUE"""),4.54209E7)</f>
        <v>45420900</v>
      </c>
      <c r="G679" s="2">
        <f t="shared" si="1"/>
        <v>55</v>
      </c>
    </row>
    <row r="680" ht="15.75" customHeight="1">
      <c r="A680" s="1">
        <f>IFERROR(__xludf.DUMMYFUNCTION("""COMPUTED_VALUE"""),44847.66666666667)</f>
        <v>44847.66667</v>
      </c>
      <c r="B680" s="2">
        <f>IFERROR(__xludf.DUMMYFUNCTION("""COMPUTED_VALUE"""),1890.0)</f>
        <v>1890</v>
      </c>
      <c r="C680" s="2">
        <f>IFERROR(__xludf.DUMMYFUNCTION("""COMPUTED_VALUE"""),1895.0)</f>
        <v>1895</v>
      </c>
      <c r="D680" s="2">
        <f>IFERROR(__xludf.DUMMYFUNCTION("""COMPUTED_VALUE"""),1820.0)</f>
        <v>1820</v>
      </c>
      <c r="E680" s="2">
        <f>IFERROR(__xludf.DUMMYFUNCTION("""COMPUTED_VALUE"""),1830.0)</f>
        <v>1830</v>
      </c>
      <c r="F680" s="2">
        <f>IFERROR(__xludf.DUMMYFUNCTION("""COMPUTED_VALUE"""),6.1806E7)</f>
        <v>61806000</v>
      </c>
      <c r="G680" s="2">
        <f t="shared" si="1"/>
        <v>75</v>
      </c>
    </row>
    <row r="681" ht="15.75" customHeight="1">
      <c r="A681" s="1">
        <f>IFERROR(__xludf.DUMMYFUNCTION("""COMPUTED_VALUE"""),44848.66666666667)</f>
        <v>44848.66667</v>
      </c>
      <c r="B681" s="2">
        <f>IFERROR(__xludf.DUMMYFUNCTION("""COMPUTED_VALUE"""),1855.0)</f>
        <v>1855</v>
      </c>
      <c r="C681" s="2">
        <f>IFERROR(__xludf.DUMMYFUNCTION("""COMPUTED_VALUE"""),1865.0)</f>
        <v>1865</v>
      </c>
      <c r="D681" s="2">
        <f>IFERROR(__xludf.DUMMYFUNCTION("""COMPUTED_VALUE"""),1820.0)</f>
        <v>1820</v>
      </c>
      <c r="E681" s="2">
        <f>IFERROR(__xludf.DUMMYFUNCTION("""COMPUTED_VALUE"""),1820.0)</f>
        <v>1820</v>
      </c>
      <c r="F681" s="2">
        <f>IFERROR(__xludf.DUMMYFUNCTION("""COMPUTED_VALUE"""),3.57422E7)</f>
        <v>35742200</v>
      </c>
      <c r="G681" s="2">
        <f t="shared" si="1"/>
        <v>45</v>
      </c>
    </row>
    <row r="682" ht="15.75" customHeight="1">
      <c r="A682" s="1">
        <f>IFERROR(__xludf.DUMMYFUNCTION("""COMPUTED_VALUE"""),44851.66666666667)</f>
        <v>44851.66667</v>
      </c>
      <c r="B682" s="2">
        <f>IFERROR(__xludf.DUMMYFUNCTION("""COMPUTED_VALUE"""),1810.0)</f>
        <v>1810</v>
      </c>
      <c r="C682" s="2">
        <f>IFERROR(__xludf.DUMMYFUNCTION("""COMPUTED_VALUE"""),1810.0)</f>
        <v>1810</v>
      </c>
      <c r="D682" s="2">
        <f>IFERROR(__xludf.DUMMYFUNCTION("""COMPUTED_VALUE"""),1765.0)</f>
        <v>1765</v>
      </c>
      <c r="E682" s="2">
        <f>IFERROR(__xludf.DUMMYFUNCTION("""COMPUTED_VALUE"""),1805.0)</f>
        <v>1805</v>
      </c>
      <c r="F682" s="2">
        <f>IFERROR(__xludf.DUMMYFUNCTION("""COMPUTED_VALUE"""),4.49202E7)</f>
        <v>44920200</v>
      </c>
      <c r="G682" s="2">
        <f t="shared" si="1"/>
        <v>55</v>
      </c>
    </row>
    <row r="683" ht="15.75" customHeight="1">
      <c r="A683" s="1">
        <f>IFERROR(__xludf.DUMMYFUNCTION("""COMPUTED_VALUE"""),44852.66666666667)</f>
        <v>44852.66667</v>
      </c>
      <c r="B683" s="2">
        <f>IFERROR(__xludf.DUMMYFUNCTION("""COMPUTED_VALUE"""),1810.0)</f>
        <v>1810</v>
      </c>
      <c r="C683" s="2">
        <f>IFERROR(__xludf.DUMMYFUNCTION("""COMPUTED_VALUE"""),1830.0)</f>
        <v>1830</v>
      </c>
      <c r="D683" s="2">
        <f>IFERROR(__xludf.DUMMYFUNCTION("""COMPUTED_VALUE"""),1790.0)</f>
        <v>1790</v>
      </c>
      <c r="E683" s="2">
        <f>IFERROR(__xludf.DUMMYFUNCTION("""COMPUTED_VALUE"""),1795.0)</f>
        <v>1795</v>
      </c>
      <c r="F683" s="2">
        <f>IFERROR(__xludf.DUMMYFUNCTION("""COMPUTED_VALUE"""),2.91149E7)</f>
        <v>29114900</v>
      </c>
      <c r="G683" s="2">
        <f t="shared" si="1"/>
        <v>40</v>
      </c>
    </row>
    <row r="684" ht="15.75" customHeight="1">
      <c r="A684" s="1">
        <f>IFERROR(__xludf.DUMMYFUNCTION("""COMPUTED_VALUE"""),44853.66666666667)</f>
        <v>44853.66667</v>
      </c>
      <c r="B684" s="2">
        <f>IFERROR(__xludf.DUMMYFUNCTION("""COMPUTED_VALUE"""),1800.0)</f>
        <v>1800</v>
      </c>
      <c r="C684" s="2">
        <f>IFERROR(__xludf.DUMMYFUNCTION("""COMPUTED_VALUE"""),1840.0)</f>
        <v>1840</v>
      </c>
      <c r="D684" s="2">
        <f>IFERROR(__xludf.DUMMYFUNCTION("""COMPUTED_VALUE"""),1765.0)</f>
        <v>1765</v>
      </c>
      <c r="E684" s="2">
        <f>IFERROR(__xludf.DUMMYFUNCTION("""COMPUTED_VALUE"""),1825.0)</f>
        <v>1825</v>
      </c>
      <c r="F684" s="2">
        <f>IFERROR(__xludf.DUMMYFUNCTION("""COMPUTED_VALUE"""),5.06635E7)</f>
        <v>50663500</v>
      </c>
      <c r="G684" s="2">
        <f t="shared" si="1"/>
        <v>75</v>
      </c>
    </row>
    <row r="685" ht="15.75" customHeight="1">
      <c r="A685" s="1">
        <f>IFERROR(__xludf.DUMMYFUNCTION("""COMPUTED_VALUE"""),44854.66666666667)</f>
        <v>44854.66667</v>
      </c>
      <c r="B685" s="2">
        <f>IFERROR(__xludf.DUMMYFUNCTION("""COMPUTED_VALUE"""),1815.0)</f>
        <v>1815</v>
      </c>
      <c r="C685" s="2">
        <f>IFERROR(__xludf.DUMMYFUNCTION("""COMPUTED_VALUE"""),1835.0)</f>
        <v>1835</v>
      </c>
      <c r="D685" s="2">
        <f>IFERROR(__xludf.DUMMYFUNCTION("""COMPUTED_VALUE"""),1805.0)</f>
        <v>1805</v>
      </c>
      <c r="E685" s="2">
        <f>IFERROR(__xludf.DUMMYFUNCTION("""COMPUTED_VALUE"""),1820.0)</f>
        <v>1820</v>
      </c>
      <c r="F685" s="2">
        <f>IFERROR(__xludf.DUMMYFUNCTION("""COMPUTED_VALUE"""),5.58212E7)</f>
        <v>55821200</v>
      </c>
      <c r="G685" s="2">
        <f t="shared" si="1"/>
        <v>30</v>
      </c>
    </row>
    <row r="686" ht="15.75" customHeight="1">
      <c r="A686" s="1">
        <f>IFERROR(__xludf.DUMMYFUNCTION("""COMPUTED_VALUE"""),44855.66666666667)</f>
        <v>44855.66667</v>
      </c>
      <c r="B686" s="2">
        <f>IFERROR(__xludf.DUMMYFUNCTION("""COMPUTED_VALUE"""),1825.0)</f>
        <v>1825</v>
      </c>
      <c r="C686" s="2">
        <f>IFERROR(__xludf.DUMMYFUNCTION("""COMPUTED_VALUE"""),1830.0)</f>
        <v>1830</v>
      </c>
      <c r="D686" s="2">
        <f>IFERROR(__xludf.DUMMYFUNCTION("""COMPUTED_VALUE"""),1795.0)</f>
        <v>1795</v>
      </c>
      <c r="E686" s="2">
        <f>IFERROR(__xludf.DUMMYFUNCTION("""COMPUTED_VALUE"""),1800.0)</f>
        <v>1800</v>
      </c>
      <c r="F686" s="2">
        <f>IFERROR(__xludf.DUMMYFUNCTION("""COMPUTED_VALUE"""),5.33139E7)</f>
        <v>53313900</v>
      </c>
      <c r="G686" s="2">
        <f t="shared" si="1"/>
        <v>35</v>
      </c>
    </row>
    <row r="687" ht="15.75" customHeight="1">
      <c r="A687" s="1">
        <f>IFERROR(__xludf.DUMMYFUNCTION("""COMPUTED_VALUE"""),44858.66666666667)</f>
        <v>44858.66667</v>
      </c>
      <c r="B687" s="2">
        <f>IFERROR(__xludf.DUMMYFUNCTION("""COMPUTED_VALUE"""),1805.0)</f>
        <v>1805</v>
      </c>
      <c r="C687" s="2">
        <f>IFERROR(__xludf.DUMMYFUNCTION("""COMPUTED_VALUE"""),1825.0)</f>
        <v>1825</v>
      </c>
      <c r="D687" s="2">
        <f>IFERROR(__xludf.DUMMYFUNCTION("""COMPUTED_VALUE"""),1790.0)</f>
        <v>1790</v>
      </c>
      <c r="E687" s="2">
        <f>IFERROR(__xludf.DUMMYFUNCTION("""COMPUTED_VALUE"""),1795.0)</f>
        <v>1795</v>
      </c>
      <c r="F687" s="2">
        <f>IFERROR(__xludf.DUMMYFUNCTION("""COMPUTED_VALUE"""),4.20055E7)</f>
        <v>42005500</v>
      </c>
      <c r="G687" s="2">
        <f t="shared" si="1"/>
        <v>35</v>
      </c>
    </row>
    <row r="688" ht="15.75" customHeight="1">
      <c r="A688" s="1">
        <f>IFERROR(__xludf.DUMMYFUNCTION("""COMPUTED_VALUE"""),44859.66666666667)</f>
        <v>44859.66667</v>
      </c>
      <c r="B688" s="2">
        <f>IFERROR(__xludf.DUMMYFUNCTION("""COMPUTED_VALUE"""),1800.0)</f>
        <v>1800</v>
      </c>
      <c r="C688" s="2">
        <f>IFERROR(__xludf.DUMMYFUNCTION("""COMPUTED_VALUE"""),1810.0)</f>
        <v>1810</v>
      </c>
      <c r="D688" s="2">
        <f>IFERROR(__xludf.DUMMYFUNCTION("""COMPUTED_VALUE"""),1760.0)</f>
        <v>1760</v>
      </c>
      <c r="E688" s="2">
        <f>IFERROR(__xludf.DUMMYFUNCTION("""COMPUTED_VALUE"""),1770.0)</f>
        <v>1770</v>
      </c>
      <c r="F688" s="2">
        <f>IFERROR(__xludf.DUMMYFUNCTION("""COMPUTED_VALUE"""),6.13122E7)</f>
        <v>61312200</v>
      </c>
      <c r="G688" s="2">
        <f t="shared" si="1"/>
        <v>50</v>
      </c>
    </row>
    <row r="689" ht="15.75" customHeight="1">
      <c r="A689" s="1">
        <f>IFERROR(__xludf.DUMMYFUNCTION("""COMPUTED_VALUE"""),44860.66666666667)</f>
        <v>44860.66667</v>
      </c>
      <c r="B689" s="2">
        <f>IFERROR(__xludf.DUMMYFUNCTION("""COMPUTED_VALUE"""),1775.0)</f>
        <v>1775</v>
      </c>
      <c r="C689" s="2">
        <f>IFERROR(__xludf.DUMMYFUNCTION("""COMPUTED_VALUE"""),1830.0)</f>
        <v>1830</v>
      </c>
      <c r="D689" s="2">
        <f>IFERROR(__xludf.DUMMYFUNCTION("""COMPUTED_VALUE"""),1775.0)</f>
        <v>1775</v>
      </c>
      <c r="E689" s="2">
        <f>IFERROR(__xludf.DUMMYFUNCTION("""COMPUTED_VALUE"""),1810.0)</f>
        <v>1810</v>
      </c>
      <c r="F689" s="2">
        <f>IFERROR(__xludf.DUMMYFUNCTION("""COMPUTED_VALUE"""),9.35712E7)</f>
        <v>93571200</v>
      </c>
      <c r="G689" s="2">
        <f t="shared" si="1"/>
        <v>60</v>
      </c>
    </row>
    <row r="690" ht="15.75" customHeight="1">
      <c r="A690" s="1">
        <f>IFERROR(__xludf.DUMMYFUNCTION("""COMPUTED_VALUE"""),44861.66666666667)</f>
        <v>44861.66667</v>
      </c>
      <c r="B690" s="2">
        <f>IFERROR(__xludf.DUMMYFUNCTION("""COMPUTED_VALUE"""),1820.0)</f>
        <v>1820</v>
      </c>
      <c r="C690" s="2">
        <f>IFERROR(__xludf.DUMMYFUNCTION("""COMPUTED_VALUE"""),1880.0)</f>
        <v>1880</v>
      </c>
      <c r="D690" s="2">
        <f>IFERROR(__xludf.DUMMYFUNCTION("""COMPUTED_VALUE"""),1815.0)</f>
        <v>1815</v>
      </c>
      <c r="E690" s="2">
        <f>IFERROR(__xludf.DUMMYFUNCTION("""COMPUTED_VALUE"""),1840.0)</f>
        <v>1840</v>
      </c>
      <c r="F690" s="2">
        <f>IFERROR(__xludf.DUMMYFUNCTION("""COMPUTED_VALUE"""),1.174364E8)</f>
        <v>117436400</v>
      </c>
      <c r="G690" s="2">
        <f t="shared" si="1"/>
        <v>70</v>
      </c>
    </row>
    <row r="691" ht="15.75" customHeight="1">
      <c r="A691" s="1">
        <f>IFERROR(__xludf.DUMMYFUNCTION("""COMPUTED_VALUE"""),44862.66666666667)</f>
        <v>44862.66667</v>
      </c>
      <c r="B691" s="2">
        <f>IFERROR(__xludf.DUMMYFUNCTION("""COMPUTED_VALUE"""),1845.0)</f>
        <v>1845</v>
      </c>
      <c r="C691" s="2">
        <f>IFERROR(__xludf.DUMMYFUNCTION("""COMPUTED_VALUE"""),1850.0)</f>
        <v>1850</v>
      </c>
      <c r="D691" s="2">
        <f>IFERROR(__xludf.DUMMYFUNCTION("""COMPUTED_VALUE"""),1805.0)</f>
        <v>1805</v>
      </c>
      <c r="E691" s="2">
        <f>IFERROR(__xludf.DUMMYFUNCTION("""COMPUTED_VALUE"""),1835.0)</f>
        <v>1835</v>
      </c>
      <c r="F691" s="2">
        <f>IFERROR(__xludf.DUMMYFUNCTION("""COMPUTED_VALUE"""),4.84894E7)</f>
        <v>48489400</v>
      </c>
      <c r="G691" s="2">
        <f t="shared" si="1"/>
        <v>45</v>
      </c>
    </row>
    <row r="692" ht="15.75" customHeight="1">
      <c r="A692" s="1">
        <f>IFERROR(__xludf.DUMMYFUNCTION("""COMPUTED_VALUE"""),44865.66666666667)</f>
        <v>44865.66667</v>
      </c>
      <c r="B692" s="2">
        <f>IFERROR(__xludf.DUMMYFUNCTION("""COMPUTED_VALUE"""),1840.0)</f>
        <v>1840</v>
      </c>
      <c r="C692" s="2">
        <f>IFERROR(__xludf.DUMMYFUNCTION("""COMPUTED_VALUE"""),1850.0)</f>
        <v>1850</v>
      </c>
      <c r="D692" s="2">
        <f>IFERROR(__xludf.DUMMYFUNCTION("""COMPUTED_VALUE"""),1825.0)</f>
        <v>1825</v>
      </c>
      <c r="E692" s="2">
        <f>IFERROR(__xludf.DUMMYFUNCTION("""COMPUTED_VALUE"""),1845.0)</f>
        <v>1845</v>
      </c>
      <c r="F692" s="2">
        <f>IFERROR(__xludf.DUMMYFUNCTION("""COMPUTED_VALUE"""),3.22762E7)</f>
        <v>32276200</v>
      </c>
      <c r="G692" s="2">
        <f t="shared" si="1"/>
        <v>25</v>
      </c>
    </row>
    <row r="693" ht="15.75" customHeight="1">
      <c r="A693" s="1">
        <f>IFERROR(__xludf.DUMMYFUNCTION("""COMPUTED_VALUE"""),44866.625)</f>
        <v>44866.625</v>
      </c>
      <c r="B693" s="2">
        <f>IFERROR(__xludf.DUMMYFUNCTION("""COMPUTED_VALUE"""),1845.0)</f>
        <v>1845</v>
      </c>
      <c r="C693" s="2">
        <f>IFERROR(__xludf.DUMMYFUNCTION("""COMPUTED_VALUE"""),1845.0)</f>
        <v>1845</v>
      </c>
      <c r="D693" s="2">
        <f>IFERROR(__xludf.DUMMYFUNCTION("""COMPUTED_VALUE"""),1805.0)</f>
        <v>1805</v>
      </c>
      <c r="E693" s="2">
        <f>IFERROR(__xludf.DUMMYFUNCTION("""COMPUTED_VALUE"""),1810.0)</f>
        <v>1810</v>
      </c>
      <c r="F693" s="2">
        <f>IFERROR(__xludf.DUMMYFUNCTION("""COMPUTED_VALUE"""),2.7067E7)</f>
        <v>27067000</v>
      </c>
      <c r="G693" s="2">
        <f t="shared" si="1"/>
        <v>40</v>
      </c>
    </row>
    <row r="694" ht="15.75" customHeight="1">
      <c r="A694" s="1">
        <f>IFERROR(__xludf.DUMMYFUNCTION("""COMPUTED_VALUE"""),44867.625)</f>
        <v>44867.625</v>
      </c>
      <c r="B694" s="2">
        <f>IFERROR(__xludf.DUMMYFUNCTION("""COMPUTED_VALUE"""),1865.0)</f>
        <v>1865</v>
      </c>
      <c r="C694" s="2">
        <f>IFERROR(__xludf.DUMMYFUNCTION("""COMPUTED_VALUE"""),1895.0)</f>
        <v>1895</v>
      </c>
      <c r="D694" s="2">
        <f>IFERROR(__xludf.DUMMYFUNCTION("""COMPUTED_VALUE"""),1850.0)</f>
        <v>1850</v>
      </c>
      <c r="E694" s="2">
        <f>IFERROR(__xludf.DUMMYFUNCTION("""COMPUTED_VALUE"""),1865.0)</f>
        <v>1865</v>
      </c>
      <c r="F694" s="2">
        <f>IFERROR(__xludf.DUMMYFUNCTION("""COMPUTED_VALUE"""),1.123018E8)</f>
        <v>112301800</v>
      </c>
      <c r="G694" s="2">
        <f t="shared" si="1"/>
        <v>85</v>
      </c>
    </row>
    <row r="695" ht="15.75" customHeight="1">
      <c r="A695" s="1">
        <f>IFERROR(__xludf.DUMMYFUNCTION("""COMPUTED_VALUE"""),44868.66666666667)</f>
        <v>44868.66667</v>
      </c>
      <c r="B695" s="2">
        <f>IFERROR(__xludf.DUMMYFUNCTION("""COMPUTED_VALUE"""),1865.0)</f>
        <v>1865</v>
      </c>
      <c r="C695" s="2">
        <f>IFERROR(__xludf.DUMMYFUNCTION("""COMPUTED_VALUE"""),1875.0)</f>
        <v>1875</v>
      </c>
      <c r="D695" s="2">
        <f>IFERROR(__xludf.DUMMYFUNCTION("""COMPUTED_VALUE"""),1825.0)</f>
        <v>1825</v>
      </c>
      <c r="E695" s="2">
        <f>IFERROR(__xludf.DUMMYFUNCTION("""COMPUTED_VALUE"""),1830.0)</f>
        <v>1830</v>
      </c>
      <c r="F695" s="2">
        <f>IFERROR(__xludf.DUMMYFUNCTION("""COMPUTED_VALUE"""),5.50636E7)</f>
        <v>55063600</v>
      </c>
      <c r="G695" s="2">
        <f t="shared" si="1"/>
        <v>50</v>
      </c>
    </row>
    <row r="696" ht="15.75" customHeight="1">
      <c r="A696" s="1">
        <f>IFERROR(__xludf.DUMMYFUNCTION("""COMPUTED_VALUE"""),44869.66666666667)</f>
        <v>44869.66667</v>
      </c>
      <c r="B696" s="2">
        <f>IFERROR(__xludf.DUMMYFUNCTION("""COMPUTED_VALUE"""),1830.0)</f>
        <v>1830</v>
      </c>
      <c r="C696" s="2">
        <f>IFERROR(__xludf.DUMMYFUNCTION("""COMPUTED_VALUE"""),1915.0)</f>
        <v>1915</v>
      </c>
      <c r="D696" s="2">
        <f>IFERROR(__xludf.DUMMYFUNCTION("""COMPUTED_VALUE"""),1805.0)</f>
        <v>1805</v>
      </c>
      <c r="E696" s="2">
        <f>IFERROR(__xludf.DUMMYFUNCTION("""COMPUTED_VALUE"""),1915.0)</f>
        <v>1915</v>
      </c>
      <c r="F696" s="2">
        <f>IFERROR(__xludf.DUMMYFUNCTION("""COMPUTED_VALUE"""),9.40247E7)</f>
        <v>94024700</v>
      </c>
      <c r="G696" s="2">
        <f t="shared" si="1"/>
        <v>110</v>
      </c>
    </row>
    <row r="697" ht="15.75" customHeight="1">
      <c r="A697" s="1">
        <f>IFERROR(__xludf.DUMMYFUNCTION("""COMPUTED_VALUE"""),44872.66666666667)</f>
        <v>44872.66667</v>
      </c>
      <c r="B697" s="2">
        <f>IFERROR(__xludf.DUMMYFUNCTION("""COMPUTED_VALUE"""),1930.0)</f>
        <v>1930</v>
      </c>
      <c r="C697" s="2">
        <f>IFERROR(__xludf.DUMMYFUNCTION("""COMPUTED_VALUE"""),2010.0)</f>
        <v>2010</v>
      </c>
      <c r="D697" s="2">
        <f>IFERROR(__xludf.DUMMYFUNCTION("""COMPUTED_VALUE"""),1930.0)</f>
        <v>1930</v>
      </c>
      <c r="E697" s="2">
        <f>IFERROR(__xludf.DUMMYFUNCTION("""COMPUTED_VALUE"""),2000.0)</f>
        <v>2000</v>
      </c>
      <c r="F697" s="2">
        <f>IFERROR(__xludf.DUMMYFUNCTION("""COMPUTED_VALUE"""),2.134628E8)</f>
        <v>213462800</v>
      </c>
      <c r="G697" s="2">
        <f t="shared" si="1"/>
        <v>95</v>
      </c>
    </row>
    <row r="698" ht="15.75" customHeight="1">
      <c r="A698" s="1">
        <f>IFERROR(__xludf.DUMMYFUNCTION("""COMPUTED_VALUE"""),44873.66666666667)</f>
        <v>44873.66667</v>
      </c>
      <c r="B698" s="2">
        <f>IFERROR(__xludf.DUMMYFUNCTION("""COMPUTED_VALUE"""),2010.0)</f>
        <v>2010</v>
      </c>
      <c r="C698" s="2">
        <f>IFERROR(__xludf.DUMMYFUNCTION("""COMPUTED_VALUE"""),2040.0)</f>
        <v>2040</v>
      </c>
      <c r="D698" s="2">
        <f>IFERROR(__xludf.DUMMYFUNCTION("""COMPUTED_VALUE"""),1970.0)</f>
        <v>1970</v>
      </c>
      <c r="E698" s="2">
        <f>IFERROR(__xludf.DUMMYFUNCTION("""COMPUTED_VALUE"""),1985.0)</f>
        <v>1985</v>
      </c>
      <c r="F698" s="2">
        <f>IFERROR(__xludf.DUMMYFUNCTION("""COMPUTED_VALUE"""),1.029349E8)</f>
        <v>102934900</v>
      </c>
      <c r="G698" s="2">
        <f t="shared" si="1"/>
        <v>70</v>
      </c>
    </row>
    <row r="699" ht="15.75" customHeight="1">
      <c r="A699" s="1">
        <f>IFERROR(__xludf.DUMMYFUNCTION("""COMPUTED_VALUE"""),44874.66666666667)</f>
        <v>44874.66667</v>
      </c>
      <c r="B699" s="2">
        <f>IFERROR(__xludf.DUMMYFUNCTION("""COMPUTED_VALUE"""),2010.0)</f>
        <v>2010</v>
      </c>
      <c r="C699" s="2">
        <f>IFERROR(__xludf.DUMMYFUNCTION("""COMPUTED_VALUE"""),2060.0)</f>
        <v>2060</v>
      </c>
      <c r="D699" s="2">
        <f>IFERROR(__xludf.DUMMYFUNCTION("""COMPUTED_VALUE"""),1995.0)</f>
        <v>1995</v>
      </c>
      <c r="E699" s="2">
        <f>IFERROR(__xludf.DUMMYFUNCTION("""COMPUTED_VALUE"""),2000.0)</f>
        <v>2000</v>
      </c>
      <c r="F699" s="2">
        <f>IFERROR(__xludf.DUMMYFUNCTION("""COMPUTED_VALUE"""),1.094569E8)</f>
        <v>109456900</v>
      </c>
      <c r="G699" s="2">
        <f t="shared" si="1"/>
        <v>75</v>
      </c>
    </row>
    <row r="700" ht="15.75" customHeight="1">
      <c r="A700" s="1">
        <f>IFERROR(__xludf.DUMMYFUNCTION("""COMPUTED_VALUE"""),44875.66666666667)</f>
        <v>44875.66667</v>
      </c>
      <c r="B700" s="2">
        <f>IFERROR(__xludf.DUMMYFUNCTION("""COMPUTED_VALUE"""),2000.0)</f>
        <v>2000</v>
      </c>
      <c r="C700" s="2">
        <f>IFERROR(__xludf.DUMMYFUNCTION("""COMPUTED_VALUE"""),2020.0)</f>
        <v>2020</v>
      </c>
      <c r="D700" s="2">
        <f>IFERROR(__xludf.DUMMYFUNCTION("""COMPUTED_VALUE"""),1985.0)</f>
        <v>1985</v>
      </c>
      <c r="E700" s="2">
        <f>IFERROR(__xludf.DUMMYFUNCTION("""COMPUTED_VALUE"""),2000.0)</f>
        <v>2000</v>
      </c>
      <c r="F700" s="2">
        <f>IFERROR(__xludf.DUMMYFUNCTION("""COMPUTED_VALUE"""),1.117034E8)</f>
        <v>111703400</v>
      </c>
      <c r="G700" s="2">
        <f t="shared" si="1"/>
        <v>35</v>
      </c>
    </row>
    <row r="701" ht="15.75" customHeight="1">
      <c r="A701" s="1">
        <f>IFERROR(__xludf.DUMMYFUNCTION("""COMPUTED_VALUE"""),44876.66666666667)</f>
        <v>44876.66667</v>
      </c>
      <c r="B701" s="2">
        <f>IFERROR(__xludf.DUMMYFUNCTION("""COMPUTED_VALUE"""),2080.0)</f>
        <v>2080</v>
      </c>
      <c r="C701" s="2">
        <f>IFERROR(__xludf.DUMMYFUNCTION("""COMPUTED_VALUE"""),2130.0)</f>
        <v>2130</v>
      </c>
      <c r="D701" s="2">
        <f>IFERROR(__xludf.DUMMYFUNCTION("""COMPUTED_VALUE"""),2050.0)</f>
        <v>2050</v>
      </c>
      <c r="E701" s="2">
        <f>IFERROR(__xludf.DUMMYFUNCTION("""COMPUTED_VALUE"""),2120.0)</f>
        <v>2120</v>
      </c>
      <c r="F701" s="2">
        <f>IFERROR(__xludf.DUMMYFUNCTION("""COMPUTED_VALUE"""),2.627858E8)</f>
        <v>262785800</v>
      </c>
      <c r="G701" s="2">
        <f t="shared" si="1"/>
        <v>130</v>
      </c>
    </row>
    <row r="702" ht="15.75" customHeight="1">
      <c r="A702" s="1">
        <f>IFERROR(__xludf.DUMMYFUNCTION("""COMPUTED_VALUE"""),44879.66666666667)</f>
        <v>44879.66667</v>
      </c>
      <c r="B702" s="2">
        <f>IFERROR(__xludf.DUMMYFUNCTION("""COMPUTED_VALUE"""),2150.0)</f>
        <v>2150</v>
      </c>
      <c r="C702" s="2">
        <f>IFERROR(__xludf.DUMMYFUNCTION("""COMPUTED_VALUE"""),2170.0)</f>
        <v>2170</v>
      </c>
      <c r="D702" s="2">
        <f>IFERROR(__xludf.DUMMYFUNCTION("""COMPUTED_VALUE"""),2100.0)</f>
        <v>2100</v>
      </c>
      <c r="E702" s="2">
        <f>IFERROR(__xludf.DUMMYFUNCTION("""COMPUTED_VALUE"""),2120.0)</f>
        <v>2120</v>
      </c>
      <c r="F702" s="2">
        <f>IFERROR(__xludf.DUMMYFUNCTION("""COMPUTED_VALUE"""),1.48342E8)</f>
        <v>148342000</v>
      </c>
      <c r="G702" s="2">
        <f t="shared" si="1"/>
        <v>70</v>
      </c>
    </row>
    <row r="703" ht="15.75" customHeight="1">
      <c r="A703" s="1">
        <f>IFERROR(__xludf.DUMMYFUNCTION("""COMPUTED_VALUE"""),44880.66666666667)</f>
        <v>44880.66667</v>
      </c>
      <c r="B703" s="2">
        <f>IFERROR(__xludf.DUMMYFUNCTION("""COMPUTED_VALUE"""),2160.0)</f>
        <v>2160</v>
      </c>
      <c r="C703" s="2">
        <f>IFERROR(__xludf.DUMMYFUNCTION("""COMPUTED_VALUE"""),2220.0)</f>
        <v>2220</v>
      </c>
      <c r="D703" s="2">
        <f>IFERROR(__xludf.DUMMYFUNCTION("""COMPUTED_VALUE"""),2130.0)</f>
        <v>2130</v>
      </c>
      <c r="E703" s="2">
        <f>IFERROR(__xludf.DUMMYFUNCTION("""COMPUTED_VALUE"""),2160.0)</f>
        <v>2160</v>
      </c>
      <c r="F703" s="2">
        <f>IFERROR(__xludf.DUMMYFUNCTION("""COMPUTED_VALUE"""),1.654012E8)</f>
        <v>165401200</v>
      </c>
      <c r="G703" s="2">
        <f t="shared" si="1"/>
        <v>100</v>
      </c>
    </row>
    <row r="704" ht="15.75" customHeight="1">
      <c r="A704" s="1">
        <f>IFERROR(__xludf.DUMMYFUNCTION("""COMPUTED_VALUE"""),44881.66666666667)</f>
        <v>44881.66667</v>
      </c>
      <c r="B704" s="2">
        <f>IFERROR(__xludf.DUMMYFUNCTION("""COMPUTED_VALUE"""),2180.0)</f>
        <v>2180</v>
      </c>
      <c r="C704" s="2">
        <f>IFERROR(__xludf.DUMMYFUNCTION("""COMPUTED_VALUE"""),2180.0)</f>
        <v>2180</v>
      </c>
      <c r="D704" s="2">
        <f>IFERROR(__xludf.DUMMYFUNCTION("""COMPUTED_VALUE"""),2020.0)</f>
        <v>2020</v>
      </c>
      <c r="E704" s="2">
        <f>IFERROR(__xludf.DUMMYFUNCTION("""COMPUTED_VALUE"""),2030.0)</f>
        <v>2030</v>
      </c>
      <c r="F704" s="2">
        <f>IFERROR(__xludf.DUMMYFUNCTION("""COMPUTED_VALUE"""),1.744418E8)</f>
        <v>174441800</v>
      </c>
      <c r="G704" s="2">
        <f t="shared" si="1"/>
        <v>160</v>
      </c>
    </row>
    <row r="705" ht="15.75" customHeight="1">
      <c r="A705" s="1">
        <f>IFERROR(__xludf.DUMMYFUNCTION("""COMPUTED_VALUE"""),44882.66666666667)</f>
        <v>44882.66667</v>
      </c>
      <c r="B705" s="2">
        <f>IFERROR(__xludf.DUMMYFUNCTION("""COMPUTED_VALUE"""),1985.0)</f>
        <v>1985</v>
      </c>
      <c r="C705" s="2">
        <f>IFERROR(__xludf.DUMMYFUNCTION("""COMPUTED_VALUE"""),1995.0)</f>
        <v>1995</v>
      </c>
      <c r="D705" s="2">
        <f>IFERROR(__xludf.DUMMYFUNCTION("""COMPUTED_VALUE"""),1940.0)</f>
        <v>1940</v>
      </c>
      <c r="E705" s="2">
        <f>IFERROR(__xludf.DUMMYFUNCTION("""COMPUTED_VALUE"""),1975.0)</f>
        <v>1975</v>
      </c>
      <c r="F705" s="2">
        <f>IFERROR(__xludf.DUMMYFUNCTION("""COMPUTED_VALUE"""),1.497173E8)</f>
        <v>149717300</v>
      </c>
      <c r="G705" s="2">
        <f t="shared" si="1"/>
        <v>90</v>
      </c>
    </row>
    <row r="706" ht="15.75" customHeight="1">
      <c r="A706" s="1">
        <f>IFERROR(__xludf.DUMMYFUNCTION("""COMPUTED_VALUE"""),44883.66666666667)</f>
        <v>44883.66667</v>
      </c>
      <c r="B706" s="2">
        <f>IFERROR(__xludf.DUMMYFUNCTION("""COMPUTED_VALUE"""),1955.0)</f>
        <v>1955</v>
      </c>
      <c r="C706" s="2">
        <f>IFERROR(__xludf.DUMMYFUNCTION("""COMPUTED_VALUE"""),1985.0)</f>
        <v>1985</v>
      </c>
      <c r="D706" s="2">
        <f>IFERROR(__xludf.DUMMYFUNCTION("""COMPUTED_VALUE"""),1950.0)</f>
        <v>1950</v>
      </c>
      <c r="E706" s="2">
        <f>IFERROR(__xludf.DUMMYFUNCTION("""COMPUTED_VALUE"""),1960.0)</f>
        <v>1960</v>
      </c>
      <c r="F706" s="2">
        <f>IFERROR(__xludf.DUMMYFUNCTION("""COMPUTED_VALUE"""),5.92747E7)</f>
        <v>59274700</v>
      </c>
      <c r="G706" s="2">
        <f t="shared" si="1"/>
        <v>35</v>
      </c>
    </row>
    <row r="707" ht="15.75" customHeight="1">
      <c r="A707" s="1">
        <f>IFERROR(__xludf.DUMMYFUNCTION("""COMPUTED_VALUE"""),44886.66666666667)</f>
        <v>44886.66667</v>
      </c>
      <c r="B707" s="2">
        <f>IFERROR(__xludf.DUMMYFUNCTION("""COMPUTED_VALUE"""),1980.0)</f>
        <v>1980</v>
      </c>
      <c r="C707" s="2">
        <f>IFERROR(__xludf.DUMMYFUNCTION("""COMPUTED_VALUE"""),2000.0)</f>
        <v>2000</v>
      </c>
      <c r="D707" s="2">
        <f>IFERROR(__xludf.DUMMYFUNCTION("""COMPUTED_VALUE"""),1955.0)</f>
        <v>1955</v>
      </c>
      <c r="E707" s="2">
        <f>IFERROR(__xludf.DUMMYFUNCTION("""COMPUTED_VALUE"""),1960.0)</f>
        <v>1960</v>
      </c>
      <c r="F707" s="2">
        <f>IFERROR(__xludf.DUMMYFUNCTION("""COMPUTED_VALUE"""),5.49867E7)</f>
        <v>54986700</v>
      </c>
      <c r="G707" s="2">
        <f t="shared" si="1"/>
        <v>45</v>
      </c>
    </row>
    <row r="708" ht="15.75" customHeight="1">
      <c r="A708" s="1">
        <f>IFERROR(__xludf.DUMMYFUNCTION("""COMPUTED_VALUE"""),44887.66666666667)</f>
        <v>44887.66667</v>
      </c>
      <c r="B708" s="2">
        <f>IFERROR(__xludf.DUMMYFUNCTION("""COMPUTED_VALUE"""),1960.0)</f>
        <v>1960</v>
      </c>
      <c r="C708" s="2">
        <f>IFERROR(__xludf.DUMMYFUNCTION("""COMPUTED_VALUE"""),1970.0)</f>
        <v>1970</v>
      </c>
      <c r="D708" s="2">
        <f>IFERROR(__xludf.DUMMYFUNCTION("""COMPUTED_VALUE"""),1930.0)</f>
        <v>1930</v>
      </c>
      <c r="E708" s="2">
        <f>IFERROR(__xludf.DUMMYFUNCTION("""COMPUTED_VALUE"""),1935.0)</f>
        <v>1935</v>
      </c>
      <c r="F708" s="2">
        <f>IFERROR(__xludf.DUMMYFUNCTION("""COMPUTED_VALUE"""),5.64649E7)</f>
        <v>56464900</v>
      </c>
      <c r="G708" s="2">
        <f t="shared" si="1"/>
        <v>40</v>
      </c>
    </row>
    <row r="709" ht="15.75" customHeight="1">
      <c r="A709" s="1">
        <f>IFERROR(__xludf.DUMMYFUNCTION("""COMPUTED_VALUE"""),44888.66666666667)</f>
        <v>44888.66667</v>
      </c>
      <c r="B709" s="2">
        <f>IFERROR(__xludf.DUMMYFUNCTION("""COMPUTED_VALUE"""),1970.0)</f>
        <v>1970</v>
      </c>
      <c r="C709" s="2">
        <f>IFERROR(__xludf.DUMMYFUNCTION("""COMPUTED_VALUE"""),1985.0)</f>
        <v>1985</v>
      </c>
      <c r="D709" s="2">
        <f>IFERROR(__xludf.DUMMYFUNCTION("""COMPUTED_VALUE"""),1955.0)</f>
        <v>1955</v>
      </c>
      <c r="E709" s="2">
        <f>IFERROR(__xludf.DUMMYFUNCTION("""COMPUTED_VALUE"""),1975.0)</f>
        <v>1975</v>
      </c>
      <c r="F709" s="2">
        <f>IFERROR(__xludf.DUMMYFUNCTION("""COMPUTED_VALUE"""),5.58818E7)</f>
        <v>55881800</v>
      </c>
      <c r="G709" s="2">
        <f t="shared" si="1"/>
        <v>50</v>
      </c>
    </row>
    <row r="710" ht="15.75" customHeight="1">
      <c r="A710" s="1">
        <f>IFERROR(__xludf.DUMMYFUNCTION("""COMPUTED_VALUE"""),44889.66666666667)</f>
        <v>44889.66667</v>
      </c>
      <c r="B710" s="2">
        <f>IFERROR(__xludf.DUMMYFUNCTION("""COMPUTED_VALUE"""),1975.0)</f>
        <v>1975</v>
      </c>
      <c r="C710" s="2">
        <f>IFERROR(__xludf.DUMMYFUNCTION("""COMPUTED_VALUE"""),1990.0)</f>
        <v>1990</v>
      </c>
      <c r="D710" s="2">
        <f>IFERROR(__xludf.DUMMYFUNCTION("""COMPUTED_VALUE"""),1960.0)</f>
        <v>1960</v>
      </c>
      <c r="E710" s="2">
        <f>IFERROR(__xludf.DUMMYFUNCTION("""COMPUTED_VALUE"""),1970.0)</f>
        <v>1970</v>
      </c>
      <c r="F710" s="2">
        <f>IFERROR(__xludf.DUMMYFUNCTION("""COMPUTED_VALUE"""),3.53294E7)</f>
        <v>35329400</v>
      </c>
      <c r="G710" s="2">
        <f t="shared" si="1"/>
        <v>30</v>
      </c>
    </row>
    <row r="711" ht="15.75" customHeight="1">
      <c r="A711" s="1">
        <f>IFERROR(__xludf.DUMMYFUNCTION("""COMPUTED_VALUE"""),44890.66666666667)</f>
        <v>44890.66667</v>
      </c>
      <c r="B711" s="2">
        <f>IFERROR(__xludf.DUMMYFUNCTION("""COMPUTED_VALUE"""),1970.0)</f>
        <v>1970</v>
      </c>
      <c r="C711" s="2">
        <f>IFERROR(__xludf.DUMMYFUNCTION("""COMPUTED_VALUE"""),1975.0)</f>
        <v>1975</v>
      </c>
      <c r="D711" s="2">
        <f>IFERROR(__xludf.DUMMYFUNCTION("""COMPUTED_VALUE"""),1945.0)</f>
        <v>1945</v>
      </c>
      <c r="E711" s="2">
        <f>IFERROR(__xludf.DUMMYFUNCTION("""COMPUTED_VALUE"""),1950.0)</f>
        <v>1950</v>
      </c>
      <c r="F711" s="2">
        <f>IFERROR(__xludf.DUMMYFUNCTION("""COMPUTED_VALUE"""),3.02617E7)</f>
        <v>30261700</v>
      </c>
      <c r="G711" s="2">
        <f t="shared" si="1"/>
        <v>30</v>
      </c>
    </row>
    <row r="712" ht="15.75" customHeight="1">
      <c r="A712" s="1">
        <f>IFERROR(__xludf.DUMMYFUNCTION("""COMPUTED_VALUE"""),44893.66666666667)</f>
        <v>44893.66667</v>
      </c>
      <c r="B712" s="2">
        <f>IFERROR(__xludf.DUMMYFUNCTION("""COMPUTED_VALUE"""),1945.0)</f>
        <v>1945</v>
      </c>
      <c r="C712" s="2">
        <f>IFERROR(__xludf.DUMMYFUNCTION("""COMPUTED_VALUE"""),1945.0)</f>
        <v>1945</v>
      </c>
      <c r="D712" s="2">
        <f>IFERROR(__xludf.DUMMYFUNCTION("""COMPUTED_VALUE"""),1910.0)</f>
        <v>1910</v>
      </c>
      <c r="E712" s="2">
        <f>IFERROR(__xludf.DUMMYFUNCTION("""COMPUTED_VALUE"""),1915.0)</f>
        <v>1915</v>
      </c>
      <c r="F712" s="2">
        <f>IFERROR(__xludf.DUMMYFUNCTION("""COMPUTED_VALUE"""),6.48711E7)</f>
        <v>64871100</v>
      </c>
      <c r="G712" s="2">
        <f t="shared" si="1"/>
        <v>40</v>
      </c>
    </row>
    <row r="713" ht="15.75" customHeight="1">
      <c r="A713" s="1">
        <f>IFERROR(__xludf.DUMMYFUNCTION("""COMPUTED_VALUE"""),44894.66666666667)</f>
        <v>44894.66667</v>
      </c>
      <c r="B713" s="2">
        <f>IFERROR(__xludf.DUMMYFUNCTION("""COMPUTED_VALUE"""),1935.0)</f>
        <v>1935</v>
      </c>
      <c r="C713" s="2">
        <f>IFERROR(__xludf.DUMMYFUNCTION("""COMPUTED_VALUE"""),1965.0)</f>
        <v>1965</v>
      </c>
      <c r="D713" s="2">
        <f>IFERROR(__xludf.DUMMYFUNCTION("""COMPUTED_VALUE"""),1925.0)</f>
        <v>1925</v>
      </c>
      <c r="E713" s="2">
        <f>IFERROR(__xludf.DUMMYFUNCTION("""COMPUTED_VALUE"""),1965.0)</f>
        <v>1965</v>
      </c>
      <c r="F713" s="2">
        <f>IFERROR(__xludf.DUMMYFUNCTION("""COMPUTED_VALUE"""),5.67481E7)</f>
        <v>56748100</v>
      </c>
      <c r="G713" s="2">
        <f t="shared" si="1"/>
        <v>50</v>
      </c>
    </row>
    <row r="714" ht="15.75" customHeight="1">
      <c r="A714" s="1">
        <f>IFERROR(__xludf.DUMMYFUNCTION("""COMPUTED_VALUE"""),44895.66666666667)</f>
        <v>44895.66667</v>
      </c>
      <c r="B714" s="2">
        <f>IFERROR(__xludf.DUMMYFUNCTION("""COMPUTED_VALUE"""),1980.0)</f>
        <v>1980</v>
      </c>
      <c r="C714" s="2">
        <f>IFERROR(__xludf.DUMMYFUNCTION("""COMPUTED_VALUE"""),1990.0)</f>
        <v>1990</v>
      </c>
      <c r="D714" s="2">
        <f>IFERROR(__xludf.DUMMYFUNCTION("""COMPUTED_VALUE"""),1965.0)</f>
        <v>1965</v>
      </c>
      <c r="E714" s="2">
        <f>IFERROR(__xludf.DUMMYFUNCTION("""COMPUTED_VALUE"""),1985.0)</f>
        <v>1985</v>
      </c>
      <c r="F714" s="2">
        <f>IFERROR(__xludf.DUMMYFUNCTION("""COMPUTED_VALUE"""),1.19645E8)</f>
        <v>119645000</v>
      </c>
      <c r="G714" s="2">
        <f t="shared" si="1"/>
        <v>25</v>
      </c>
    </row>
    <row r="715" ht="15.75" customHeight="1">
      <c r="A715" s="1">
        <f>IFERROR(__xludf.DUMMYFUNCTION("""COMPUTED_VALUE"""),44896.66666666667)</f>
        <v>44896.66667</v>
      </c>
      <c r="B715" s="2">
        <f>IFERROR(__xludf.DUMMYFUNCTION("""COMPUTED_VALUE"""),2000.0)</f>
        <v>2000</v>
      </c>
      <c r="C715" s="2">
        <f>IFERROR(__xludf.DUMMYFUNCTION("""COMPUTED_VALUE"""),2060.0)</f>
        <v>2060</v>
      </c>
      <c r="D715" s="2">
        <f>IFERROR(__xludf.DUMMYFUNCTION("""COMPUTED_VALUE"""),1985.0)</f>
        <v>1985</v>
      </c>
      <c r="E715" s="2">
        <f>IFERROR(__xludf.DUMMYFUNCTION("""COMPUTED_VALUE"""),2040.0)</f>
        <v>2040</v>
      </c>
      <c r="F715" s="2">
        <f>IFERROR(__xludf.DUMMYFUNCTION("""COMPUTED_VALUE"""),1.195548E8)</f>
        <v>119554800</v>
      </c>
      <c r="G715" s="2">
        <f t="shared" si="1"/>
        <v>75</v>
      </c>
    </row>
    <row r="716" ht="15.75" customHeight="1">
      <c r="A716" s="1">
        <f>IFERROR(__xludf.DUMMYFUNCTION("""COMPUTED_VALUE"""),44897.66666666667)</f>
        <v>44897.66667</v>
      </c>
      <c r="B716" s="2">
        <f>IFERROR(__xludf.DUMMYFUNCTION("""COMPUTED_VALUE"""),2050.0)</f>
        <v>2050</v>
      </c>
      <c r="C716" s="2">
        <f>IFERROR(__xludf.DUMMYFUNCTION("""COMPUTED_VALUE"""),2060.0)</f>
        <v>2060</v>
      </c>
      <c r="D716" s="2">
        <f>IFERROR(__xludf.DUMMYFUNCTION("""COMPUTED_VALUE"""),2020.0)</f>
        <v>2020</v>
      </c>
      <c r="E716" s="2">
        <f>IFERROR(__xludf.DUMMYFUNCTION("""COMPUTED_VALUE"""),2040.0)</f>
        <v>2040</v>
      </c>
      <c r="F716" s="2">
        <f>IFERROR(__xludf.DUMMYFUNCTION("""COMPUTED_VALUE"""),7.1325E7)</f>
        <v>71325000</v>
      </c>
      <c r="G716" s="2">
        <f t="shared" si="1"/>
        <v>40</v>
      </c>
    </row>
    <row r="717" ht="15.75" customHeight="1">
      <c r="A717" s="1">
        <f>IFERROR(__xludf.DUMMYFUNCTION("""COMPUTED_VALUE"""),44900.66666666667)</f>
        <v>44900.66667</v>
      </c>
      <c r="B717" s="2">
        <f>IFERROR(__xludf.DUMMYFUNCTION("""COMPUTED_VALUE"""),2070.0)</f>
        <v>2070</v>
      </c>
      <c r="C717" s="2">
        <f>IFERROR(__xludf.DUMMYFUNCTION("""COMPUTED_VALUE"""),2080.0)</f>
        <v>2080</v>
      </c>
      <c r="D717" s="2">
        <f>IFERROR(__xludf.DUMMYFUNCTION("""COMPUTED_VALUE"""),2040.0)</f>
        <v>2040</v>
      </c>
      <c r="E717" s="2">
        <f>IFERROR(__xludf.DUMMYFUNCTION("""COMPUTED_VALUE"""),2060.0)</f>
        <v>2060</v>
      </c>
      <c r="F717" s="2">
        <f>IFERROR(__xludf.DUMMYFUNCTION("""COMPUTED_VALUE"""),6.17829E7)</f>
        <v>61782900</v>
      </c>
      <c r="G717" s="2">
        <f t="shared" si="1"/>
        <v>40</v>
      </c>
    </row>
    <row r="718" ht="15.75" customHeight="1">
      <c r="A718" s="1">
        <f>IFERROR(__xludf.DUMMYFUNCTION("""COMPUTED_VALUE"""),44901.66666666667)</f>
        <v>44901.66667</v>
      </c>
      <c r="B718" s="2">
        <f>IFERROR(__xludf.DUMMYFUNCTION("""COMPUTED_VALUE"""),2050.0)</f>
        <v>2050</v>
      </c>
      <c r="C718" s="2">
        <f>IFERROR(__xludf.DUMMYFUNCTION("""COMPUTED_VALUE"""),2050.0)</f>
        <v>2050</v>
      </c>
      <c r="D718" s="2">
        <f>IFERROR(__xludf.DUMMYFUNCTION("""COMPUTED_VALUE"""),1945.0)</f>
        <v>1945</v>
      </c>
      <c r="E718" s="2">
        <f>IFERROR(__xludf.DUMMYFUNCTION("""COMPUTED_VALUE"""),1965.0)</f>
        <v>1965</v>
      </c>
      <c r="F718" s="2">
        <f>IFERROR(__xludf.DUMMYFUNCTION("""COMPUTED_VALUE"""),6.73968E7)</f>
        <v>67396800</v>
      </c>
      <c r="G718" s="2">
        <f t="shared" si="1"/>
        <v>115</v>
      </c>
    </row>
    <row r="719" ht="15.75" customHeight="1">
      <c r="A719" s="1">
        <f>IFERROR(__xludf.DUMMYFUNCTION("""COMPUTED_VALUE"""),44902.66666666667)</f>
        <v>44902.66667</v>
      </c>
      <c r="B719" s="2">
        <f>IFERROR(__xludf.DUMMYFUNCTION("""COMPUTED_VALUE"""),1965.0)</f>
        <v>1965</v>
      </c>
      <c r="C719" s="2">
        <f>IFERROR(__xludf.DUMMYFUNCTION("""COMPUTED_VALUE"""),1985.0)</f>
        <v>1985</v>
      </c>
      <c r="D719" s="2">
        <f>IFERROR(__xludf.DUMMYFUNCTION("""COMPUTED_VALUE"""),1900.0)</f>
        <v>1900</v>
      </c>
      <c r="E719" s="2">
        <f>IFERROR(__xludf.DUMMYFUNCTION("""COMPUTED_VALUE"""),1920.0)</f>
        <v>1920</v>
      </c>
      <c r="F719" s="2">
        <f>IFERROR(__xludf.DUMMYFUNCTION("""COMPUTED_VALUE"""),8.19908E7)</f>
        <v>81990800</v>
      </c>
      <c r="G719" s="2">
        <f t="shared" si="1"/>
        <v>85</v>
      </c>
    </row>
    <row r="720" ht="15.75" customHeight="1">
      <c r="A720" s="1">
        <f>IFERROR(__xludf.DUMMYFUNCTION("""COMPUTED_VALUE"""),44903.66666666667)</f>
        <v>44903.66667</v>
      </c>
      <c r="B720" s="2">
        <f>IFERROR(__xludf.DUMMYFUNCTION("""COMPUTED_VALUE"""),1960.0)</f>
        <v>1960</v>
      </c>
      <c r="C720" s="2">
        <f>IFERROR(__xludf.DUMMYFUNCTION("""COMPUTED_VALUE"""),1995.0)</f>
        <v>1995</v>
      </c>
      <c r="D720" s="2">
        <f>IFERROR(__xludf.DUMMYFUNCTION("""COMPUTED_VALUE"""),1920.0)</f>
        <v>1920</v>
      </c>
      <c r="E720" s="2">
        <f>IFERROR(__xludf.DUMMYFUNCTION("""COMPUTED_VALUE"""),1990.0)</f>
        <v>1990</v>
      </c>
      <c r="F720" s="2">
        <f>IFERROR(__xludf.DUMMYFUNCTION("""COMPUTED_VALUE"""),6.70377E7)</f>
        <v>67037700</v>
      </c>
      <c r="G720" s="2">
        <f t="shared" si="1"/>
        <v>75</v>
      </c>
    </row>
    <row r="721" ht="15.75" customHeight="1">
      <c r="A721" s="1">
        <f>IFERROR(__xludf.DUMMYFUNCTION("""COMPUTED_VALUE"""),44904.66666666667)</f>
        <v>44904.66667</v>
      </c>
      <c r="B721" s="2">
        <f>IFERROR(__xludf.DUMMYFUNCTION("""COMPUTED_VALUE"""),1960.0)</f>
        <v>1960</v>
      </c>
      <c r="C721" s="2">
        <f>IFERROR(__xludf.DUMMYFUNCTION("""COMPUTED_VALUE"""),1980.0)</f>
        <v>1980</v>
      </c>
      <c r="D721" s="2">
        <f>IFERROR(__xludf.DUMMYFUNCTION("""COMPUTED_VALUE"""),1930.0)</f>
        <v>1930</v>
      </c>
      <c r="E721" s="2">
        <f>IFERROR(__xludf.DUMMYFUNCTION("""COMPUTED_VALUE"""),1935.0)</f>
        <v>1935</v>
      </c>
      <c r="F721" s="2">
        <f>IFERROR(__xludf.DUMMYFUNCTION("""COMPUTED_VALUE"""),4.96621E7)</f>
        <v>49662100</v>
      </c>
      <c r="G721" s="2">
        <f t="shared" si="1"/>
        <v>60</v>
      </c>
    </row>
    <row r="722" ht="15.75" customHeight="1">
      <c r="A722" s="1">
        <f>IFERROR(__xludf.DUMMYFUNCTION("""COMPUTED_VALUE"""),44907.66666666667)</f>
        <v>44907.66667</v>
      </c>
      <c r="B722" s="2">
        <f>IFERROR(__xludf.DUMMYFUNCTION("""COMPUTED_VALUE"""),1930.0)</f>
        <v>1930</v>
      </c>
      <c r="C722" s="2">
        <f>IFERROR(__xludf.DUMMYFUNCTION("""COMPUTED_VALUE"""),1960.0)</f>
        <v>1960</v>
      </c>
      <c r="D722" s="2">
        <f>IFERROR(__xludf.DUMMYFUNCTION("""COMPUTED_VALUE"""),1915.0)</f>
        <v>1915</v>
      </c>
      <c r="E722" s="2">
        <f>IFERROR(__xludf.DUMMYFUNCTION("""COMPUTED_VALUE"""),1950.0)</f>
        <v>1950</v>
      </c>
      <c r="F722" s="2">
        <f>IFERROR(__xludf.DUMMYFUNCTION("""COMPUTED_VALUE"""),3.12477E7)</f>
        <v>31247700</v>
      </c>
      <c r="G722" s="2">
        <f t="shared" si="1"/>
        <v>45</v>
      </c>
    </row>
    <row r="723" ht="15.75" customHeight="1">
      <c r="A723" s="1">
        <f>IFERROR(__xludf.DUMMYFUNCTION("""COMPUTED_VALUE"""),44908.66666666667)</f>
        <v>44908.66667</v>
      </c>
      <c r="B723" s="2">
        <f>IFERROR(__xludf.DUMMYFUNCTION("""COMPUTED_VALUE"""),1960.0)</f>
        <v>1960</v>
      </c>
      <c r="C723" s="2">
        <f>IFERROR(__xludf.DUMMYFUNCTION("""COMPUTED_VALUE"""),1965.0)</f>
        <v>1965</v>
      </c>
      <c r="D723" s="2">
        <f>IFERROR(__xludf.DUMMYFUNCTION("""COMPUTED_VALUE"""),1930.0)</f>
        <v>1930</v>
      </c>
      <c r="E723" s="2">
        <f>IFERROR(__xludf.DUMMYFUNCTION("""COMPUTED_VALUE"""),1930.0)</f>
        <v>1930</v>
      </c>
      <c r="F723" s="2">
        <f>IFERROR(__xludf.DUMMYFUNCTION("""COMPUTED_VALUE"""),5.71511E7)</f>
        <v>57151100</v>
      </c>
      <c r="G723" s="2">
        <f t="shared" si="1"/>
        <v>35</v>
      </c>
    </row>
    <row r="724" ht="15.75" customHeight="1">
      <c r="A724" s="1">
        <f>IFERROR(__xludf.DUMMYFUNCTION("""COMPUTED_VALUE"""),44909.66666666667)</f>
        <v>44909.66667</v>
      </c>
      <c r="B724" s="2">
        <f>IFERROR(__xludf.DUMMYFUNCTION("""COMPUTED_VALUE"""),1930.0)</f>
        <v>1930</v>
      </c>
      <c r="C724" s="2">
        <f>IFERROR(__xludf.DUMMYFUNCTION("""COMPUTED_VALUE"""),1945.0)</f>
        <v>1945</v>
      </c>
      <c r="D724" s="2">
        <f>IFERROR(__xludf.DUMMYFUNCTION("""COMPUTED_VALUE"""),1915.0)</f>
        <v>1915</v>
      </c>
      <c r="E724" s="2">
        <f>IFERROR(__xludf.DUMMYFUNCTION("""COMPUTED_VALUE"""),1940.0)</f>
        <v>1940</v>
      </c>
      <c r="F724" s="2">
        <f>IFERROR(__xludf.DUMMYFUNCTION("""COMPUTED_VALUE"""),4.76435E7)</f>
        <v>47643500</v>
      </c>
      <c r="G724" s="2">
        <f t="shared" si="1"/>
        <v>30</v>
      </c>
    </row>
    <row r="725" ht="15.75" customHeight="1">
      <c r="A725" s="1">
        <f>IFERROR(__xludf.DUMMYFUNCTION("""COMPUTED_VALUE"""),44910.66666666667)</f>
        <v>44910.66667</v>
      </c>
      <c r="B725" s="2">
        <f>IFERROR(__xludf.DUMMYFUNCTION("""COMPUTED_VALUE"""),1940.0)</f>
        <v>1940</v>
      </c>
      <c r="C725" s="2">
        <f>IFERROR(__xludf.DUMMYFUNCTION("""COMPUTED_VALUE"""),1940.0)</f>
        <v>1940</v>
      </c>
      <c r="D725" s="2">
        <f>IFERROR(__xludf.DUMMYFUNCTION("""COMPUTED_VALUE"""),1920.0)</f>
        <v>1920</v>
      </c>
      <c r="E725" s="2">
        <f>IFERROR(__xludf.DUMMYFUNCTION("""COMPUTED_VALUE"""),1935.0)</f>
        <v>1935</v>
      </c>
      <c r="F725" s="2">
        <f>IFERROR(__xludf.DUMMYFUNCTION("""COMPUTED_VALUE"""),3.38793E7)</f>
        <v>33879300</v>
      </c>
      <c r="G725" s="2">
        <f t="shared" si="1"/>
        <v>20</v>
      </c>
    </row>
    <row r="726" ht="15.75" customHeight="1">
      <c r="A726" s="1">
        <f>IFERROR(__xludf.DUMMYFUNCTION("""COMPUTED_VALUE"""),44911.66666666667)</f>
        <v>44911.66667</v>
      </c>
      <c r="B726" s="2">
        <f>IFERROR(__xludf.DUMMYFUNCTION("""COMPUTED_VALUE"""),1915.0)</f>
        <v>1915</v>
      </c>
      <c r="C726" s="2">
        <f>IFERROR(__xludf.DUMMYFUNCTION("""COMPUTED_VALUE"""),2030.0)</f>
        <v>2030</v>
      </c>
      <c r="D726" s="2">
        <f>IFERROR(__xludf.DUMMYFUNCTION("""COMPUTED_VALUE"""),1915.0)</f>
        <v>1915</v>
      </c>
      <c r="E726" s="2">
        <f>IFERROR(__xludf.DUMMYFUNCTION("""COMPUTED_VALUE"""),2020.0)</f>
        <v>2020</v>
      </c>
      <c r="F726" s="2">
        <f>IFERROR(__xludf.DUMMYFUNCTION("""COMPUTED_VALUE"""),9.69984E7)</f>
        <v>96998400</v>
      </c>
      <c r="G726" s="2">
        <f t="shared" si="1"/>
        <v>115</v>
      </c>
    </row>
    <row r="727" ht="15.75" customHeight="1">
      <c r="A727" s="1">
        <f>IFERROR(__xludf.DUMMYFUNCTION("""COMPUTED_VALUE"""),44914.66666666667)</f>
        <v>44914.66667</v>
      </c>
      <c r="B727" s="2">
        <f>IFERROR(__xludf.DUMMYFUNCTION("""COMPUTED_VALUE"""),2030.0)</f>
        <v>2030</v>
      </c>
      <c r="C727" s="2">
        <f>IFERROR(__xludf.DUMMYFUNCTION("""COMPUTED_VALUE"""),2060.0)</f>
        <v>2060</v>
      </c>
      <c r="D727" s="2">
        <f>IFERROR(__xludf.DUMMYFUNCTION("""COMPUTED_VALUE"""),2000.0)</f>
        <v>2000</v>
      </c>
      <c r="E727" s="2">
        <f>IFERROR(__xludf.DUMMYFUNCTION("""COMPUTED_VALUE"""),2040.0)</f>
        <v>2040</v>
      </c>
      <c r="F727" s="2">
        <f>IFERROR(__xludf.DUMMYFUNCTION("""COMPUTED_VALUE"""),8.48609E7)</f>
        <v>84860900</v>
      </c>
      <c r="G727" s="2">
        <f t="shared" si="1"/>
        <v>60</v>
      </c>
    </row>
    <row r="728" ht="15.75" customHeight="1">
      <c r="A728" s="1">
        <f>IFERROR(__xludf.DUMMYFUNCTION("""COMPUTED_VALUE"""),44915.66666666667)</f>
        <v>44915.66667</v>
      </c>
      <c r="B728" s="2">
        <f>IFERROR(__xludf.DUMMYFUNCTION("""COMPUTED_VALUE"""),2030.0)</f>
        <v>2030</v>
      </c>
      <c r="C728" s="2">
        <f>IFERROR(__xludf.DUMMYFUNCTION("""COMPUTED_VALUE"""),2030.0)</f>
        <v>2030</v>
      </c>
      <c r="D728" s="2">
        <f>IFERROR(__xludf.DUMMYFUNCTION("""COMPUTED_VALUE"""),1985.0)</f>
        <v>1985</v>
      </c>
      <c r="E728" s="2">
        <f>IFERROR(__xludf.DUMMYFUNCTION("""COMPUTED_VALUE"""),2010.0)</f>
        <v>2010</v>
      </c>
      <c r="F728" s="2">
        <f>IFERROR(__xludf.DUMMYFUNCTION("""COMPUTED_VALUE"""),5.20116E7)</f>
        <v>52011600</v>
      </c>
      <c r="G728" s="2">
        <f t="shared" si="1"/>
        <v>55</v>
      </c>
    </row>
    <row r="729" ht="15.75" customHeight="1">
      <c r="A729" s="1">
        <f>IFERROR(__xludf.DUMMYFUNCTION("""COMPUTED_VALUE"""),44916.66666666667)</f>
        <v>44916.66667</v>
      </c>
      <c r="B729" s="2">
        <f>IFERROR(__xludf.DUMMYFUNCTION("""COMPUTED_VALUE"""),2020.0)</f>
        <v>2020</v>
      </c>
      <c r="C729" s="2">
        <f>IFERROR(__xludf.DUMMYFUNCTION("""COMPUTED_VALUE"""),2070.0)</f>
        <v>2070</v>
      </c>
      <c r="D729" s="2">
        <f>IFERROR(__xludf.DUMMYFUNCTION("""COMPUTED_VALUE"""),2020.0)</f>
        <v>2020</v>
      </c>
      <c r="E729" s="2">
        <f>IFERROR(__xludf.DUMMYFUNCTION("""COMPUTED_VALUE"""),2040.0)</f>
        <v>2040</v>
      </c>
      <c r="F729" s="2">
        <f>IFERROR(__xludf.DUMMYFUNCTION("""COMPUTED_VALUE"""),6.30436E7)</f>
        <v>63043600</v>
      </c>
      <c r="G729" s="2">
        <f t="shared" si="1"/>
        <v>60</v>
      </c>
    </row>
    <row r="730" ht="15.75" customHeight="1">
      <c r="A730" s="1">
        <f>IFERROR(__xludf.DUMMYFUNCTION("""COMPUTED_VALUE"""),44917.66666666667)</f>
        <v>44917.66667</v>
      </c>
      <c r="B730" s="2">
        <f>IFERROR(__xludf.DUMMYFUNCTION("""COMPUTED_VALUE"""),2070.0)</f>
        <v>2070</v>
      </c>
      <c r="C730" s="2">
        <f>IFERROR(__xludf.DUMMYFUNCTION("""COMPUTED_VALUE"""),2080.0)</f>
        <v>2080</v>
      </c>
      <c r="D730" s="2">
        <f>IFERROR(__xludf.DUMMYFUNCTION("""COMPUTED_VALUE"""),2020.0)</f>
        <v>2020</v>
      </c>
      <c r="E730" s="2">
        <f>IFERROR(__xludf.DUMMYFUNCTION("""COMPUTED_VALUE"""),2030.0)</f>
        <v>2030</v>
      </c>
      <c r="F730" s="2">
        <f>IFERROR(__xludf.DUMMYFUNCTION("""COMPUTED_VALUE"""),3.84305E7)</f>
        <v>38430500</v>
      </c>
      <c r="G730" s="2">
        <f t="shared" si="1"/>
        <v>60</v>
      </c>
    </row>
    <row r="731" ht="15.75" customHeight="1">
      <c r="A731" s="1">
        <f>IFERROR(__xludf.DUMMYFUNCTION("""COMPUTED_VALUE"""),44918.66666666667)</f>
        <v>44918.66667</v>
      </c>
      <c r="B731" s="2">
        <f>IFERROR(__xludf.DUMMYFUNCTION("""COMPUTED_VALUE"""),2030.0)</f>
        <v>2030</v>
      </c>
      <c r="C731" s="2">
        <f>IFERROR(__xludf.DUMMYFUNCTION("""COMPUTED_VALUE"""),2030.0)</f>
        <v>2030</v>
      </c>
      <c r="D731" s="2">
        <f>IFERROR(__xludf.DUMMYFUNCTION("""COMPUTED_VALUE"""),1995.0)</f>
        <v>1995</v>
      </c>
      <c r="E731" s="2">
        <f>IFERROR(__xludf.DUMMYFUNCTION("""COMPUTED_VALUE"""),2000.0)</f>
        <v>2000</v>
      </c>
      <c r="F731" s="2">
        <f>IFERROR(__xludf.DUMMYFUNCTION("""COMPUTED_VALUE"""),3.37265E7)</f>
        <v>33726500</v>
      </c>
      <c r="G731" s="2">
        <f t="shared" si="1"/>
        <v>35</v>
      </c>
    </row>
    <row r="732" ht="15.75" customHeight="1">
      <c r="A732" s="1">
        <f>IFERROR(__xludf.DUMMYFUNCTION("""COMPUTED_VALUE"""),44921.66666666667)</f>
        <v>44921.66667</v>
      </c>
      <c r="B732" s="2">
        <f>IFERROR(__xludf.DUMMYFUNCTION("""COMPUTED_VALUE"""),2010.0)</f>
        <v>2010</v>
      </c>
      <c r="C732" s="2">
        <f>IFERROR(__xludf.DUMMYFUNCTION("""COMPUTED_VALUE"""),2030.0)</f>
        <v>2030</v>
      </c>
      <c r="D732" s="2">
        <f>IFERROR(__xludf.DUMMYFUNCTION("""COMPUTED_VALUE"""),1995.0)</f>
        <v>1995</v>
      </c>
      <c r="E732" s="2">
        <f>IFERROR(__xludf.DUMMYFUNCTION("""COMPUTED_VALUE"""),2000.0)</f>
        <v>2000</v>
      </c>
      <c r="F732" s="2">
        <f>IFERROR(__xludf.DUMMYFUNCTION("""COMPUTED_VALUE"""),1.59346E7)</f>
        <v>15934600</v>
      </c>
      <c r="G732" s="2">
        <f t="shared" si="1"/>
        <v>35</v>
      </c>
    </row>
    <row r="733" ht="15.75" customHeight="1">
      <c r="A733" s="1">
        <f>IFERROR(__xludf.DUMMYFUNCTION("""COMPUTED_VALUE"""),44922.66666666667)</f>
        <v>44922.66667</v>
      </c>
      <c r="B733" s="2">
        <f>IFERROR(__xludf.DUMMYFUNCTION("""COMPUTED_VALUE"""),2010.0)</f>
        <v>2010</v>
      </c>
      <c r="C733" s="2">
        <f>IFERROR(__xludf.DUMMYFUNCTION("""COMPUTED_VALUE"""),2040.0)</f>
        <v>2040</v>
      </c>
      <c r="D733" s="2">
        <f>IFERROR(__xludf.DUMMYFUNCTION("""COMPUTED_VALUE"""),1985.0)</f>
        <v>1985</v>
      </c>
      <c r="E733" s="2">
        <f>IFERROR(__xludf.DUMMYFUNCTION("""COMPUTED_VALUE"""),1990.0)</f>
        <v>1990</v>
      </c>
      <c r="F733" s="2">
        <f>IFERROR(__xludf.DUMMYFUNCTION("""COMPUTED_VALUE"""),3.68544E7)</f>
        <v>36854400</v>
      </c>
      <c r="G733" s="2">
        <f t="shared" si="1"/>
        <v>55</v>
      </c>
    </row>
    <row r="734" ht="15.75" customHeight="1">
      <c r="A734" s="1">
        <f>IFERROR(__xludf.DUMMYFUNCTION("""COMPUTED_VALUE"""),44923.66666666667)</f>
        <v>44923.66667</v>
      </c>
      <c r="B734" s="2">
        <f>IFERROR(__xludf.DUMMYFUNCTION("""COMPUTED_VALUE"""),1990.0)</f>
        <v>1990</v>
      </c>
      <c r="C734" s="2">
        <f>IFERROR(__xludf.DUMMYFUNCTION("""COMPUTED_VALUE"""),2010.0)</f>
        <v>2010</v>
      </c>
      <c r="D734" s="2">
        <f>IFERROR(__xludf.DUMMYFUNCTION("""COMPUTED_VALUE"""),1940.0)</f>
        <v>1940</v>
      </c>
      <c r="E734" s="2">
        <f>IFERROR(__xludf.DUMMYFUNCTION("""COMPUTED_VALUE"""),2010.0)</f>
        <v>2010</v>
      </c>
      <c r="F734" s="2">
        <f>IFERROR(__xludf.DUMMYFUNCTION("""COMPUTED_VALUE"""),6.27509E7)</f>
        <v>62750900</v>
      </c>
      <c r="G734" s="2">
        <f t="shared" si="1"/>
        <v>70</v>
      </c>
    </row>
    <row r="735" ht="15.75" customHeight="1">
      <c r="A735" s="1">
        <f>IFERROR(__xludf.DUMMYFUNCTION("""COMPUTED_VALUE"""),44924.66666666667)</f>
        <v>44924.66667</v>
      </c>
      <c r="B735" s="2">
        <f>IFERROR(__xludf.DUMMYFUNCTION("""COMPUTED_VALUE"""),2000.0)</f>
        <v>2000</v>
      </c>
      <c r="C735" s="2">
        <f>IFERROR(__xludf.DUMMYFUNCTION("""COMPUTED_VALUE"""),2020.0)</f>
        <v>2020</v>
      </c>
      <c r="D735" s="2">
        <f>IFERROR(__xludf.DUMMYFUNCTION("""COMPUTED_VALUE"""),1970.0)</f>
        <v>1970</v>
      </c>
      <c r="E735" s="2">
        <f>IFERROR(__xludf.DUMMYFUNCTION("""COMPUTED_VALUE"""),2010.0)</f>
        <v>2010</v>
      </c>
      <c r="F735" s="2">
        <f>IFERROR(__xludf.DUMMYFUNCTION("""COMPUTED_VALUE"""),4.3604E7)</f>
        <v>43604000</v>
      </c>
      <c r="G735" s="2">
        <f t="shared" si="1"/>
        <v>50</v>
      </c>
    </row>
    <row r="736" ht="15.75" customHeight="1">
      <c r="A736" s="1">
        <f>IFERROR(__xludf.DUMMYFUNCTION("""COMPUTED_VALUE"""),44925.66666666667)</f>
        <v>44925.66667</v>
      </c>
      <c r="B736" s="2">
        <f>IFERROR(__xludf.DUMMYFUNCTION("""COMPUTED_VALUE"""),2010.0)</f>
        <v>2010</v>
      </c>
      <c r="C736" s="2">
        <f>IFERROR(__xludf.DUMMYFUNCTION("""COMPUTED_VALUE"""),2020.0)</f>
        <v>2020</v>
      </c>
      <c r="D736" s="2">
        <f>IFERROR(__xludf.DUMMYFUNCTION("""COMPUTED_VALUE"""),1985.0)</f>
        <v>1985</v>
      </c>
      <c r="E736" s="2">
        <f>IFERROR(__xludf.DUMMYFUNCTION("""COMPUTED_VALUE"""),1985.0)</f>
        <v>1985</v>
      </c>
      <c r="F736" s="2">
        <f>IFERROR(__xludf.DUMMYFUNCTION("""COMPUTED_VALUE"""),2.3123E7)</f>
        <v>23123000</v>
      </c>
      <c r="G736" s="2">
        <f t="shared" si="1"/>
        <v>35</v>
      </c>
    </row>
    <row r="737" ht="15.75" customHeight="1">
      <c r="A737" s="1">
        <f>IFERROR(__xludf.DUMMYFUNCTION("""COMPUTED_VALUE"""),44928.66666666667)</f>
        <v>44928.66667</v>
      </c>
      <c r="B737" s="2">
        <f>IFERROR(__xludf.DUMMYFUNCTION("""COMPUTED_VALUE"""),1990.0)</f>
        <v>1990</v>
      </c>
      <c r="C737" s="2">
        <f>IFERROR(__xludf.DUMMYFUNCTION("""COMPUTED_VALUE"""),2010.0)</f>
        <v>2010</v>
      </c>
      <c r="D737" s="2">
        <f>IFERROR(__xludf.DUMMYFUNCTION("""COMPUTED_VALUE"""),1975.0)</f>
        <v>1975</v>
      </c>
      <c r="E737" s="2">
        <f>IFERROR(__xludf.DUMMYFUNCTION("""COMPUTED_VALUE"""),1980.0)</f>
        <v>1980</v>
      </c>
      <c r="F737" s="2">
        <f>IFERROR(__xludf.DUMMYFUNCTION("""COMPUTED_VALUE"""),1.50452E7)</f>
        <v>15045200</v>
      </c>
      <c r="G737" s="2">
        <f t="shared" si="1"/>
        <v>35</v>
      </c>
    </row>
    <row r="738" ht="15.75" customHeight="1">
      <c r="A738" s="1">
        <f>IFERROR(__xludf.DUMMYFUNCTION("""COMPUTED_VALUE"""),44929.66666666667)</f>
        <v>44929.66667</v>
      </c>
      <c r="B738" s="2">
        <f>IFERROR(__xludf.DUMMYFUNCTION("""COMPUTED_VALUE"""),1980.0)</f>
        <v>1980</v>
      </c>
      <c r="C738" s="2">
        <f>IFERROR(__xludf.DUMMYFUNCTION("""COMPUTED_VALUE"""),2020.0)</f>
        <v>2020</v>
      </c>
      <c r="D738" s="2">
        <f>IFERROR(__xludf.DUMMYFUNCTION("""COMPUTED_VALUE"""),1975.0)</f>
        <v>1975</v>
      </c>
      <c r="E738" s="2">
        <f>IFERROR(__xludf.DUMMYFUNCTION("""COMPUTED_VALUE"""),2000.0)</f>
        <v>2000</v>
      </c>
      <c r="F738" s="2">
        <f>IFERROR(__xludf.DUMMYFUNCTION("""COMPUTED_VALUE"""),4.50012E7)</f>
        <v>45001200</v>
      </c>
      <c r="G738" s="2">
        <f t="shared" si="1"/>
        <v>45</v>
      </c>
    </row>
    <row r="739" ht="15.75" customHeight="1">
      <c r="A739" s="1">
        <f>IFERROR(__xludf.DUMMYFUNCTION("""COMPUTED_VALUE"""),44930.66666666667)</f>
        <v>44930.66667</v>
      </c>
      <c r="B739" s="2">
        <f>IFERROR(__xludf.DUMMYFUNCTION("""COMPUTED_VALUE"""),2020.0)</f>
        <v>2020</v>
      </c>
      <c r="C739" s="2">
        <f>IFERROR(__xludf.DUMMYFUNCTION("""COMPUTED_VALUE"""),2100.0)</f>
        <v>2100</v>
      </c>
      <c r="D739" s="2">
        <f>IFERROR(__xludf.DUMMYFUNCTION("""COMPUTED_VALUE"""),2010.0)</f>
        <v>2010</v>
      </c>
      <c r="E739" s="2">
        <f>IFERROR(__xludf.DUMMYFUNCTION("""COMPUTED_VALUE"""),2050.0)</f>
        <v>2050</v>
      </c>
      <c r="F739" s="2">
        <f>IFERROR(__xludf.DUMMYFUNCTION("""COMPUTED_VALUE"""),1.421699E8)</f>
        <v>142169900</v>
      </c>
      <c r="G739" s="2">
        <f t="shared" si="1"/>
        <v>100</v>
      </c>
    </row>
    <row r="740" ht="15.75" customHeight="1">
      <c r="A740" s="1">
        <f>IFERROR(__xludf.DUMMYFUNCTION("""COMPUTED_VALUE"""),44931.66666666667)</f>
        <v>44931.66667</v>
      </c>
      <c r="B740" s="2">
        <f>IFERROR(__xludf.DUMMYFUNCTION("""COMPUTED_VALUE"""),2020.0)</f>
        <v>2020</v>
      </c>
      <c r="C740" s="2">
        <f>IFERROR(__xludf.DUMMYFUNCTION("""COMPUTED_VALUE"""),2050.0)</f>
        <v>2050</v>
      </c>
      <c r="D740" s="2">
        <f>IFERROR(__xludf.DUMMYFUNCTION("""COMPUTED_VALUE"""),1935.0)</f>
        <v>1935</v>
      </c>
      <c r="E740" s="2">
        <f>IFERROR(__xludf.DUMMYFUNCTION("""COMPUTED_VALUE"""),1965.0)</f>
        <v>1965</v>
      </c>
      <c r="F740" s="2">
        <f>IFERROR(__xludf.DUMMYFUNCTION("""COMPUTED_VALUE"""),1.301186E8)</f>
        <v>130118600</v>
      </c>
      <c r="G740" s="2">
        <f t="shared" si="1"/>
        <v>115</v>
      </c>
    </row>
    <row r="741" ht="15.75" customHeight="1">
      <c r="A741" s="1">
        <f>IFERROR(__xludf.DUMMYFUNCTION("""COMPUTED_VALUE"""),44932.66666666667)</f>
        <v>44932.66667</v>
      </c>
      <c r="B741" s="2">
        <f>IFERROR(__xludf.DUMMYFUNCTION("""COMPUTED_VALUE"""),1950.0)</f>
        <v>1950</v>
      </c>
      <c r="C741" s="2">
        <f>IFERROR(__xludf.DUMMYFUNCTION("""COMPUTED_VALUE"""),1985.0)</f>
        <v>1985</v>
      </c>
      <c r="D741" s="2">
        <f>IFERROR(__xludf.DUMMYFUNCTION("""COMPUTED_VALUE"""),1930.0)</f>
        <v>1930</v>
      </c>
      <c r="E741" s="2">
        <f>IFERROR(__xludf.DUMMYFUNCTION("""COMPUTED_VALUE"""),1985.0)</f>
        <v>1985</v>
      </c>
      <c r="F741" s="2">
        <f>IFERROR(__xludf.DUMMYFUNCTION("""COMPUTED_VALUE"""),5.56734E7)</f>
        <v>55673400</v>
      </c>
      <c r="G741" s="2">
        <f t="shared" si="1"/>
        <v>55</v>
      </c>
    </row>
    <row r="742" ht="15.75" customHeight="1">
      <c r="A742" s="1">
        <f>IFERROR(__xludf.DUMMYFUNCTION("""COMPUTED_VALUE"""),44935.66666666667)</f>
        <v>44935.66667</v>
      </c>
      <c r="B742" s="2">
        <f>IFERROR(__xludf.DUMMYFUNCTION("""COMPUTED_VALUE"""),2010.0)</f>
        <v>2010</v>
      </c>
      <c r="C742" s="2">
        <f>IFERROR(__xludf.DUMMYFUNCTION("""COMPUTED_VALUE"""),2070.0)</f>
        <v>2070</v>
      </c>
      <c r="D742" s="2">
        <f>IFERROR(__xludf.DUMMYFUNCTION("""COMPUTED_VALUE"""),2010.0)</f>
        <v>2010</v>
      </c>
      <c r="E742" s="2">
        <f>IFERROR(__xludf.DUMMYFUNCTION("""COMPUTED_VALUE"""),2060.0)</f>
        <v>2060</v>
      </c>
      <c r="F742" s="2">
        <f>IFERROR(__xludf.DUMMYFUNCTION("""COMPUTED_VALUE"""),1.180545E8)</f>
        <v>118054500</v>
      </c>
      <c r="G742" s="2">
        <f t="shared" si="1"/>
        <v>85</v>
      </c>
    </row>
    <row r="743" ht="15.75" customHeight="1">
      <c r="A743" s="1">
        <f>IFERROR(__xludf.DUMMYFUNCTION("""COMPUTED_VALUE"""),44936.66666666667)</f>
        <v>44936.66667</v>
      </c>
      <c r="B743" s="2">
        <f>IFERROR(__xludf.DUMMYFUNCTION("""COMPUTED_VALUE"""),2040.0)</f>
        <v>2040</v>
      </c>
      <c r="C743" s="2">
        <f>IFERROR(__xludf.DUMMYFUNCTION("""COMPUTED_VALUE"""),2060.0)</f>
        <v>2060</v>
      </c>
      <c r="D743" s="2">
        <f>IFERROR(__xludf.DUMMYFUNCTION("""COMPUTED_VALUE"""),2000.0)</f>
        <v>2000</v>
      </c>
      <c r="E743" s="2">
        <f>IFERROR(__xludf.DUMMYFUNCTION("""COMPUTED_VALUE"""),2040.0)</f>
        <v>2040</v>
      </c>
      <c r="F743" s="2">
        <f>IFERROR(__xludf.DUMMYFUNCTION("""COMPUTED_VALUE"""),5.76257E7)</f>
        <v>57625700</v>
      </c>
      <c r="G743" s="2">
        <f t="shared" si="1"/>
        <v>60</v>
      </c>
    </row>
    <row r="744" ht="15.75" customHeight="1">
      <c r="A744" s="1">
        <f>IFERROR(__xludf.DUMMYFUNCTION("""COMPUTED_VALUE"""),44937.66666666667)</f>
        <v>44937.66667</v>
      </c>
      <c r="B744" s="2">
        <f>IFERROR(__xludf.DUMMYFUNCTION("""COMPUTED_VALUE"""),2050.0)</f>
        <v>2050</v>
      </c>
      <c r="C744" s="2">
        <f>IFERROR(__xludf.DUMMYFUNCTION("""COMPUTED_VALUE"""),2070.0)</f>
        <v>2070</v>
      </c>
      <c r="D744" s="2">
        <f>IFERROR(__xludf.DUMMYFUNCTION("""COMPUTED_VALUE"""),2020.0)</f>
        <v>2020</v>
      </c>
      <c r="E744" s="2">
        <f>IFERROR(__xludf.DUMMYFUNCTION("""COMPUTED_VALUE"""),2070.0)</f>
        <v>2070</v>
      </c>
      <c r="F744" s="2">
        <f>IFERROR(__xludf.DUMMYFUNCTION("""COMPUTED_VALUE"""),4.84806E7)</f>
        <v>48480600</v>
      </c>
      <c r="G744" s="2">
        <f t="shared" si="1"/>
        <v>50</v>
      </c>
    </row>
    <row r="745" ht="15.75" customHeight="1">
      <c r="A745" s="1">
        <f>IFERROR(__xludf.DUMMYFUNCTION("""COMPUTED_VALUE"""),44938.66666666667)</f>
        <v>44938.66667</v>
      </c>
      <c r="B745" s="2">
        <f>IFERROR(__xludf.DUMMYFUNCTION("""COMPUTED_VALUE"""),2060.0)</f>
        <v>2060</v>
      </c>
      <c r="C745" s="2">
        <f>IFERROR(__xludf.DUMMYFUNCTION("""COMPUTED_VALUE"""),2140.0)</f>
        <v>2140</v>
      </c>
      <c r="D745" s="2">
        <f>IFERROR(__xludf.DUMMYFUNCTION("""COMPUTED_VALUE"""),2040.0)</f>
        <v>2040</v>
      </c>
      <c r="E745" s="2">
        <f>IFERROR(__xludf.DUMMYFUNCTION("""COMPUTED_VALUE"""),2130.0)</f>
        <v>2130</v>
      </c>
      <c r="F745" s="2">
        <f>IFERROR(__xludf.DUMMYFUNCTION("""COMPUTED_VALUE"""),1.851363E8)</f>
        <v>185136300</v>
      </c>
      <c r="G745" s="2">
        <f t="shared" si="1"/>
        <v>100</v>
      </c>
    </row>
    <row r="746" ht="15.75" customHeight="1">
      <c r="A746" s="1">
        <f>IFERROR(__xludf.DUMMYFUNCTION("""COMPUTED_VALUE"""),44939.66666666667)</f>
        <v>44939.66667</v>
      </c>
      <c r="B746" s="2">
        <f>IFERROR(__xludf.DUMMYFUNCTION("""COMPUTED_VALUE"""),2150.0)</f>
        <v>2150</v>
      </c>
      <c r="C746" s="2">
        <f>IFERROR(__xludf.DUMMYFUNCTION("""COMPUTED_VALUE"""),2170.0)</f>
        <v>2170</v>
      </c>
      <c r="D746" s="2">
        <f>IFERROR(__xludf.DUMMYFUNCTION("""COMPUTED_VALUE"""),2090.0)</f>
        <v>2090</v>
      </c>
      <c r="E746" s="2">
        <f>IFERROR(__xludf.DUMMYFUNCTION("""COMPUTED_VALUE"""),2150.0)</f>
        <v>2150</v>
      </c>
      <c r="F746" s="2">
        <f>IFERROR(__xludf.DUMMYFUNCTION("""COMPUTED_VALUE"""),1.48853E8)</f>
        <v>148853000</v>
      </c>
      <c r="G746" s="2">
        <f t="shared" si="1"/>
        <v>80</v>
      </c>
    </row>
    <row r="747" ht="15.75" customHeight="1">
      <c r="A747" s="1">
        <f>IFERROR(__xludf.DUMMYFUNCTION("""COMPUTED_VALUE"""),44942.66666666667)</f>
        <v>44942.66667</v>
      </c>
      <c r="B747" s="2">
        <f>IFERROR(__xludf.DUMMYFUNCTION("""COMPUTED_VALUE"""),2160.0)</f>
        <v>2160</v>
      </c>
      <c r="C747" s="2">
        <f>IFERROR(__xludf.DUMMYFUNCTION("""COMPUTED_VALUE"""),2200.0)</f>
        <v>2200</v>
      </c>
      <c r="D747" s="2">
        <f>IFERROR(__xludf.DUMMYFUNCTION("""COMPUTED_VALUE"""),2150.0)</f>
        <v>2150</v>
      </c>
      <c r="E747" s="2">
        <f>IFERROR(__xludf.DUMMYFUNCTION("""COMPUTED_VALUE"""),2180.0)</f>
        <v>2180</v>
      </c>
      <c r="F747" s="2">
        <f>IFERROR(__xludf.DUMMYFUNCTION("""COMPUTED_VALUE"""),9.2259E7)</f>
        <v>92259000</v>
      </c>
      <c r="G747" s="2">
        <f t="shared" si="1"/>
        <v>50</v>
      </c>
    </row>
    <row r="748" ht="15.75" customHeight="1">
      <c r="A748" s="1">
        <f>IFERROR(__xludf.DUMMYFUNCTION("""COMPUTED_VALUE"""),44943.66666666667)</f>
        <v>44943.66667</v>
      </c>
      <c r="B748" s="2">
        <f>IFERROR(__xludf.DUMMYFUNCTION("""COMPUTED_VALUE"""),2200.0)</f>
        <v>2200</v>
      </c>
      <c r="C748" s="2">
        <f>IFERROR(__xludf.DUMMYFUNCTION("""COMPUTED_VALUE"""),2290.0)</f>
        <v>2290</v>
      </c>
      <c r="D748" s="2">
        <f>IFERROR(__xludf.DUMMYFUNCTION("""COMPUTED_VALUE"""),2180.0)</f>
        <v>2180</v>
      </c>
      <c r="E748" s="2">
        <f>IFERROR(__xludf.DUMMYFUNCTION("""COMPUTED_VALUE"""),2270.0)</f>
        <v>2270</v>
      </c>
      <c r="F748" s="2">
        <f>IFERROR(__xludf.DUMMYFUNCTION("""COMPUTED_VALUE"""),2.425827E8)</f>
        <v>242582700</v>
      </c>
      <c r="G748" s="2">
        <f t="shared" si="1"/>
        <v>110</v>
      </c>
    </row>
    <row r="749" ht="15.75" customHeight="1">
      <c r="A749" s="1">
        <f>IFERROR(__xludf.DUMMYFUNCTION("""COMPUTED_VALUE"""),44944.66666666667)</f>
        <v>44944.66667</v>
      </c>
      <c r="B749" s="2">
        <f>IFERROR(__xludf.DUMMYFUNCTION("""COMPUTED_VALUE"""),2260.0)</f>
        <v>2260</v>
      </c>
      <c r="C749" s="2">
        <f>IFERROR(__xludf.DUMMYFUNCTION("""COMPUTED_VALUE"""),2270.0)</f>
        <v>2270</v>
      </c>
      <c r="D749" s="2">
        <f>IFERROR(__xludf.DUMMYFUNCTION("""COMPUTED_VALUE"""),2210.0)</f>
        <v>2210</v>
      </c>
      <c r="E749" s="2">
        <f>IFERROR(__xludf.DUMMYFUNCTION("""COMPUTED_VALUE"""),2260.0)</f>
        <v>2260</v>
      </c>
      <c r="F749" s="2">
        <f>IFERROR(__xludf.DUMMYFUNCTION("""COMPUTED_VALUE"""),1.221099E8)</f>
        <v>122109900</v>
      </c>
      <c r="G749" s="2">
        <f t="shared" si="1"/>
        <v>60</v>
      </c>
    </row>
    <row r="750" ht="15.75" customHeight="1">
      <c r="A750" s="1">
        <f>IFERROR(__xludf.DUMMYFUNCTION("""COMPUTED_VALUE"""),44945.66666666667)</f>
        <v>44945.66667</v>
      </c>
      <c r="B750" s="2">
        <f>IFERROR(__xludf.DUMMYFUNCTION("""COMPUTED_VALUE"""),2290.0)</f>
        <v>2290</v>
      </c>
      <c r="C750" s="2">
        <f>IFERROR(__xludf.DUMMYFUNCTION("""COMPUTED_VALUE"""),2320.0)</f>
        <v>2320</v>
      </c>
      <c r="D750" s="2">
        <f>IFERROR(__xludf.DUMMYFUNCTION("""COMPUTED_VALUE"""),2270.0)</f>
        <v>2270</v>
      </c>
      <c r="E750" s="2">
        <f>IFERROR(__xludf.DUMMYFUNCTION("""COMPUTED_VALUE"""),2270.0)</f>
        <v>2270</v>
      </c>
      <c r="F750" s="2">
        <f>IFERROR(__xludf.DUMMYFUNCTION("""COMPUTED_VALUE"""),1.320113E8)</f>
        <v>132011300</v>
      </c>
      <c r="G750" s="2">
        <f t="shared" si="1"/>
        <v>60</v>
      </c>
    </row>
    <row r="751" ht="15.75" customHeight="1">
      <c r="A751" s="1">
        <f>IFERROR(__xludf.DUMMYFUNCTION("""COMPUTED_VALUE"""),44946.66666666667)</f>
        <v>44946.66667</v>
      </c>
      <c r="B751" s="2">
        <f>IFERROR(__xludf.DUMMYFUNCTION("""COMPUTED_VALUE"""),2300.0)</f>
        <v>2300</v>
      </c>
      <c r="C751" s="2">
        <f>IFERROR(__xludf.DUMMYFUNCTION("""COMPUTED_VALUE"""),2340.0)</f>
        <v>2340</v>
      </c>
      <c r="D751" s="2">
        <f>IFERROR(__xludf.DUMMYFUNCTION("""COMPUTED_VALUE"""),2280.0)</f>
        <v>2280</v>
      </c>
      <c r="E751" s="2">
        <f>IFERROR(__xludf.DUMMYFUNCTION("""COMPUTED_VALUE"""),2320.0)</f>
        <v>2320</v>
      </c>
      <c r="F751" s="2">
        <f>IFERROR(__xludf.DUMMYFUNCTION("""COMPUTED_VALUE"""),1.134038E8)</f>
        <v>113403800</v>
      </c>
      <c r="G751" s="2">
        <f t="shared" si="1"/>
        <v>70</v>
      </c>
    </row>
    <row r="752" ht="15.75" customHeight="1">
      <c r="A752" s="1">
        <f>IFERROR(__xludf.DUMMYFUNCTION("""COMPUTED_VALUE"""),44950.66666666667)</f>
        <v>44950.66667</v>
      </c>
      <c r="B752" s="2">
        <f>IFERROR(__xludf.DUMMYFUNCTION("""COMPUTED_VALUE"""),2320.0)</f>
        <v>2320</v>
      </c>
      <c r="C752" s="2">
        <f>IFERROR(__xludf.DUMMYFUNCTION("""COMPUTED_VALUE"""),2350.0)</f>
        <v>2350</v>
      </c>
      <c r="D752" s="2">
        <f>IFERROR(__xludf.DUMMYFUNCTION("""COMPUTED_VALUE"""),2280.0)</f>
        <v>2280</v>
      </c>
      <c r="E752" s="2">
        <f>IFERROR(__xludf.DUMMYFUNCTION("""COMPUTED_VALUE"""),2320.0)</f>
        <v>2320</v>
      </c>
      <c r="F752" s="2">
        <f>IFERROR(__xludf.DUMMYFUNCTION("""COMPUTED_VALUE"""),6.55991E7)</f>
        <v>65599100</v>
      </c>
      <c r="G752" s="2">
        <f t="shared" si="1"/>
        <v>70</v>
      </c>
    </row>
    <row r="753" ht="15.75" customHeight="1">
      <c r="A753" s="1">
        <f>IFERROR(__xludf.DUMMYFUNCTION("""COMPUTED_VALUE"""),44951.66666666667)</f>
        <v>44951.66667</v>
      </c>
      <c r="B753" s="2">
        <f>IFERROR(__xludf.DUMMYFUNCTION("""COMPUTED_VALUE"""),2340.0)</f>
        <v>2340</v>
      </c>
      <c r="C753" s="2">
        <f>IFERROR(__xludf.DUMMYFUNCTION("""COMPUTED_VALUE"""),2350.0)</f>
        <v>2350</v>
      </c>
      <c r="D753" s="2">
        <f>IFERROR(__xludf.DUMMYFUNCTION("""COMPUTED_VALUE"""),2250.0)</f>
        <v>2250</v>
      </c>
      <c r="E753" s="2">
        <f>IFERROR(__xludf.DUMMYFUNCTION("""COMPUTED_VALUE"""),2290.0)</f>
        <v>2290</v>
      </c>
      <c r="F753" s="2">
        <f>IFERROR(__xludf.DUMMYFUNCTION("""COMPUTED_VALUE"""),5.52758E7)</f>
        <v>55275800</v>
      </c>
      <c r="G753" s="2">
        <f t="shared" si="1"/>
        <v>100</v>
      </c>
    </row>
    <row r="754" ht="15.75" customHeight="1">
      <c r="A754" s="1">
        <f>IFERROR(__xludf.DUMMYFUNCTION("""COMPUTED_VALUE"""),44952.66666666667)</f>
        <v>44952.66667</v>
      </c>
      <c r="B754" s="2">
        <f>IFERROR(__xludf.DUMMYFUNCTION("""COMPUTED_VALUE"""),2330.0)</f>
        <v>2330</v>
      </c>
      <c r="C754" s="2">
        <f>IFERROR(__xludf.DUMMYFUNCTION("""COMPUTED_VALUE"""),2370.0)</f>
        <v>2370</v>
      </c>
      <c r="D754" s="2">
        <f>IFERROR(__xludf.DUMMYFUNCTION("""COMPUTED_VALUE"""),2300.0)</f>
        <v>2300</v>
      </c>
      <c r="E754" s="2">
        <f>IFERROR(__xludf.DUMMYFUNCTION("""COMPUTED_VALUE"""),2320.0)</f>
        <v>2320</v>
      </c>
      <c r="F754" s="2">
        <f>IFERROR(__xludf.DUMMYFUNCTION("""COMPUTED_VALUE"""),9.14638E7)</f>
        <v>91463800</v>
      </c>
      <c r="G754" s="2">
        <f t="shared" si="1"/>
        <v>80</v>
      </c>
    </row>
    <row r="755" ht="15.75" customHeight="1">
      <c r="A755" s="1">
        <f>IFERROR(__xludf.DUMMYFUNCTION("""COMPUTED_VALUE"""),44953.66666666667)</f>
        <v>44953.66667</v>
      </c>
      <c r="B755" s="2">
        <f>IFERROR(__xludf.DUMMYFUNCTION("""COMPUTED_VALUE"""),2330.0)</f>
        <v>2330</v>
      </c>
      <c r="C755" s="2">
        <f>IFERROR(__xludf.DUMMYFUNCTION("""COMPUTED_VALUE"""),2330.0)</f>
        <v>2330</v>
      </c>
      <c r="D755" s="2">
        <f>IFERROR(__xludf.DUMMYFUNCTION("""COMPUTED_VALUE"""),2290.0)</f>
        <v>2290</v>
      </c>
      <c r="E755" s="2">
        <f>IFERROR(__xludf.DUMMYFUNCTION("""COMPUTED_VALUE"""),2300.0)</f>
        <v>2300</v>
      </c>
      <c r="F755" s="2">
        <f>IFERROR(__xludf.DUMMYFUNCTION("""COMPUTED_VALUE"""),3.64696E7)</f>
        <v>36469600</v>
      </c>
      <c r="G755" s="2">
        <f t="shared" si="1"/>
        <v>40</v>
      </c>
    </row>
    <row r="756" ht="15.75" customHeight="1">
      <c r="A756" s="1">
        <f>IFERROR(__xludf.DUMMYFUNCTION("""COMPUTED_VALUE"""),44956.66666666667)</f>
        <v>44956.66667</v>
      </c>
      <c r="B756" s="2">
        <f>IFERROR(__xludf.DUMMYFUNCTION("""COMPUTED_VALUE"""),2300.0)</f>
        <v>2300</v>
      </c>
      <c r="C756" s="2">
        <f>IFERROR(__xludf.DUMMYFUNCTION("""COMPUTED_VALUE"""),2310.0)</f>
        <v>2310</v>
      </c>
      <c r="D756" s="2">
        <f>IFERROR(__xludf.DUMMYFUNCTION("""COMPUTED_VALUE"""),2250.0)</f>
        <v>2250</v>
      </c>
      <c r="E756" s="2">
        <f>IFERROR(__xludf.DUMMYFUNCTION("""COMPUTED_VALUE"""),2290.0)</f>
        <v>2290</v>
      </c>
      <c r="F756" s="2">
        <f>IFERROR(__xludf.DUMMYFUNCTION("""COMPUTED_VALUE"""),5.85332E7)</f>
        <v>58533200</v>
      </c>
      <c r="G756" s="2">
        <f t="shared" si="1"/>
        <v>60</v>
      </c>
    </row>
    <row r="757" ht="15.75" customHeight="1">
      <c r="A757" s="1">
        <f>IFERROR(__xludf.DUMMYFUNCTION("""COMPUTED_VALUE"""),44957.66666666667)</f>
        <v>44957.66667</v>
      </c>
      <c r="B757" s="2">
        <f>IFERROR(__xludf.DUMMYFUNCTION("""COMPUTED_VALUE"""),2300.0)</f>
        <v>2300</v>
      </c>
      <c r="C757" s="2">
        <f>IFERROR(__xludf.DUMMYFUNCTION("""COMPUTED_VALUE"""),2340.0)</f>
        <v>2340</v>
      </c>
      <c r="D757" s="2">
        <f>IFERROR(__xludf.DUMMYFUNCTION("""COMPUTED_VALUE"""),2290.0)</f>
        <v>2290</v>
      </c>
      <c r="E757" s="2">
        <f>IFERROR(__xludf.DUMMYFUNCTION("""COMPUTED_VALUE"""),2310.0)</f>
        <v>2310</v>
      </c>
      <c r="F757" s="2">
        <f>IFERROR(__xludf.DUMMYFUNCTION("""COMPUTED_VALUE"""),5.68961E7)</f>
        <v>56896100</v>
      </c>
      <c r="G757" s="2">
        <f t="shared" si="1"/>
        <v>50</v>
      </c>
    </row>
    <row r="758" ht="15.75" customHeight="1">
      <c r="A758" s="1">
        <f>IFERROR(__xludf.DUMMYFUNCTION("""COMPUTED_VALUE"""),44958.66666666667)</f>
        <v>44958.66667</v>
      </c>
      <c r="B758" s="2">
        <f>IFERROR(__xludf.DUMMYFUNCTION("""COMPUTED_VALUE"""),2340.0)</f>
        <v>2340</v>
      </c>
      <c r="C758" s="2">
        <f>IFERROR(__xludf.DUMMYFUNCTION("""COMPUTED_VALUE"""),2390.0)</f>
        <v>2390</v>
      </c>
      <c r="D758" s="2">
        <f>IFERROR(__xludf.DUMMYFUNCTION("""COMPUTED_VALUE"""),2320.0)</f>
        <v>2320</v>
      </c>
      <c r="E758" s="2">
        <f>IFERROR(__xludf.DUMMYFUNCTION("""COMPUTED_VALUE"""),2370.0)</f>
        <v>2370</v>
      </c>
      <c r="F758" s="2">
        <f>IFERROR(__xludf.DUMMYFUNCTION("""COMPUTED_VALUE"""),1.345646E8)</f>
        <v>134564600</v>
      </c>
      <c r="G758" s="2">
        <f t="shared" si="1"/>
        <v>80</v>
      </c>
    </row>
    <row r="759" ht="15.75" customHeight="1">
      <c r="A759" s="1">
        <f>IFERROR(__xludf.DUMMYFUNCTION("""COMPUTED_VALUE"""),44959.66666666667)</f>
        <v>44959.66667</v>
      </c>
      <c r="B759" s="2">
        <f>IFERROR(__xludf.DUMMYFUNCTION("""COMPUTED_VALUE"""),2350.0)</f>
        <v>2350</v>
      </c>
      <c r="C759" s="2">
        <f>IFERROR(__xludf.DUMMYFUNCTION("""COMPUTED_VALUE"""),2380.0)</f>
        <v>2380</v>
      </c>
      <c r="D759" s="2">
        <f>IFERROR(__xludf.DUMMYFUNCTION("""COMPUTED_VALUE"""),2320.0)</f>
        <v>2320</v>
      </c>
      <c r="E759" s="2">
        <f>IFERROR(__xludf.DUMMYFUNCTION("""COMPUTED_VALUE"""),2350.0)</f>
        <v>2350</v>
      </c>
      <c r="F759" s="2">
        <f>IFERROR(__xludf.DUMMYFUNCTION("""COMPUTED_VALUE"""),5.52196E7)</f>
        <v>55219600</v>
      </c>
      <c r="G759" s="2">
        <f t="shared" si="1"/>
        <v>60</v>
      </c>
    </row>
    <row r="760" ht="15.75" customHeight="1">
      <c r="A760" s="1">
        <f>IFERROR(__xludf.DUMMYFUNCTION("""COMPUTED_VALUE"""),44960.66666666667)</f>
        <v>44960.66667</v>
      </c>
      <c r="B760" s="2">
        <f>IFERROR(__xludf.DUMMYFUNCTION("""COMPUTED_VALUE"""),2380.0)</f>
        <v>2380</v>
      </c>
      <c r="C760" s="2">
        <f>IFERROR(__xludf.DUMMYFUNCTION("""COMPUTED_VALUE"""),2380.0)</f>
        <v>2380</v>
      </c>
      <c r="D760" s="2">
        <f>IFERROR(__xludf.DUMMYFUNCTION("""COMPUTED_VALUE"""),2280.0)</f>
        <v>2280</v>
      </c>
      <c r="E760" s="2">
        <f>IFERROR(__xludf.DUMMYFUNCTION("""COMPUTED_VALUE"""),2330.0)</f>
        <v>2330</v>
      </c>
      <c r="F760" s="2">
        <f>IFERROR(__xludf.DUMMYFUNCTION("""COMPUTED_VALUE"""),6.99161E7)</f>
        <v>69916100</v>
      </c>
      <c r="G760" s="2">
        <f t="shared" si="1"/>
        <v>100</v>
      </c>
    </row>
    <row r="761" ht="15.75" customHeight="1">
      <c r="A761" s="1">
        <f>IFERROR(__xludf.DUMMYFUNCTION("""COMPUTED_VALUE"""),44963.66666666667)</f>
        <v>44963.66667</v>
      </c>
      <c r="B761" s="2">
        <f>IFERROR(__xludf.DUMMYFUNCTION("""COMPUTED_VALUE"""),2280.0)</f>
        <v>2280</v>
      </c>
      <c r="C761" s="2">
        <f>IFERROR(__xludf.DUMMYFUNCTION("""COMPUTED_VALUE"""),2320.0)</f>
        <v>2320</v>
      </c>
      <c r="D761" s="2">
        <f>IFERROR(__xludf.DUMMYFUNCTION("""COMPUTED_VALUE"""),2260.0)</f>
        <v>2260</v>
      </c>
      <c r="E761" s="2">
        <f>IFERROR(__xludf.DUMMYFUNCTION("""COMPUTED_VALUE"""),2270.0)</f>
        <v>2270</v>
      </c>
      <c r="F761" s="2">
        <f>IFERROR(__xludf.DUMMYFUNCTION("""COMPUTED_VALUE"""),6.05098E7)</f>
        <v>60509800</v>
      </c>
      <c r="G761" s="2">
        <f t="shared" si="1"/>
        <v>70</v>
      </c>
    </row>
    <row r="762" ht="15.75" customHeight="1">
      <c r="A762" s="1">
        <f>IFERROR(__xludf.DUMMYFUNCTION("""COMPUTED_VALUE"""),44964.66666666667)</f>
        <v>44964.66667</v>
      </c>
      <c r="B762" s="2">
        <f>IFERROR(__xludf.DUMMYFUNCTION("""COMPUTED_VALUE"""),2250.0)</f>
        <v>2250</v>
      </c>
      <c r="C762" s="2">
        <f>IFERROR(__xludf.DUMMYFUNCTION("""COMPUTED_VALUE"""),2260.0)</f>
        <v>2260</v>
      </c>
      <c r="D762" s="2">
        <f>IFERROR(__xludf.DUMMYFUNCTION("""COMPUTED_VALUE"""),2190.0)</f>
        <v>2190</v>
      </c>
      <c r="E762" s="2">
        <f>IFERROR(__xludf.DUMMYFUNCTION("""COMPUTED_VALUE"""),2250.0)</f>
        <v>2250</v>
      </c>
      <c r="F762" s="2">
        <f>IFERROR(__xludf.DUMMYFUNCTION("""COMPUTED_VALUE"""),1.302298E8)</f>
        <v>130229800</v>
      </c>
      <c r="G762" s="2">
        <f t="shared" si="1"/>
        <v>80</v>
      </c>
    </row>
    <row r="763" ht="15.75" customHeight="1">
      <c r="A763" s="1">
        <f>IFERROR(__xludf.DUMMYFUNCTION("""COMPUTED_VALUE"""),44965.66666666667)</f>
        <v>44965.66667</v>
      </c>
      <c r="B763" s="2">
        <f>IFERROR(__xludf.DUMMYFUNCTION("""COMPUTED_VALUE"""),2260.0)</f>
        <v>2260</v>
      </c>
      <c r="C763" s="2">
        <f>IFERROR(__xludf.DUMMYFUNCTION("""COMPUTED_VALUE"""),2280.0)</f>
        <v>2280</v>
      </c>
      <c r="D763" s="2">
        <f>IFERROR(__xludf.DUMMYFUNCTION("""COMPUTED_VALUE"""),2220.0)</f>
        <v>2220</v>
      </c>
      <c r="E763" s="2">
        <f>IFERROR(__xludf.DUMMYFUNCTION("""COMPUTED_VALUE"""),2240.0)</f>
        <v>2240</v>
      </c>
      <c r="F763" s="2">
        <f>IFERROR(__xludf.DUMMYFUNCTION("""COMPUTED_VALUE"""),5.297E7)</f>
        <v>52970000</v>
      </c>
      <c r="G763" s="2">
        <f t="shared" si="1"/>
        <v>60</v>
      </c>
    </row>
    <row r="764" ht="15.75" customHeight="1">
      <c r="A764" s="1">
        <f>IFERROR(__xludf.DUMMYFUNCTION("""COMPUTED_VALUE"""),44966.66666666667)</f>
        <v>44966.66667</v>
      </c>
      <c r="B764" s="2">
        <f>IFERROR(__xludf.DUMMYFUNCTION("""COMPUTED_VALUE"""),2240.0)</f>
        <v>2240</v>
      </c>
      <c r="C764" s="2">
        <f>IFERROR(__xludf.DUMMYFUNCTION("""COMPUTED_VALUE"""),2260.0)</f>
        <v>2260</v>
      </c>
      <c r="D764" s="2">
        <f>IFERROR(__xludf.DUMMYFUNCTION("""COMPUTED_VALUE"""),2220.0)</f>
        <v>2220</v>
      </c>
      <c r="E764" s="2">
        <f>IFERROR(__xludf.DUMMYFUNCTION("""COMPUTED_VALUE"""),2220.0)</f>
        <v>2220</v>
      </c>
      <c r="F764" s="2">
        <f>IFERROR(__xludf.DUMMYFUNCTION("""COMPUTED_VALUE"""),5.05075E7)</f>
        <v>50507500</v>
      </c>
      <c r="G764" s="2">
        <f t="shared" si="1"/>
        <v>40</v>
      </c>
    </row>
    <row r="765" ht="15.75" customHeight="1">
      <c r="A765" s="1">
        <f>IFERROR(__xludf.DUMMYFUNCTION("""COMPUTED_VALUE"""),44967.66666666667)</f>
        <v>44967.66667</v>
      </c>
      <c r="B765" s="2">
        <f>IFERROR(__xludf.DUMMYFUNCTION("""COMPUTED_VALUE"""),2250.0)</f>
        <v>2250</v>
      </c>
      <c r="C765" s="2">
        <f>IFERROR(__xludf.DUMMYFUNCTION("""COMPUTED_VALUE"""),2250.0)</f>
        <v>2250</v>
      </c>
      <c r="D765" s="2">
        <f>IFERROR(__xludf.DUMMYFUNCTION("""COMPUTED_VALUE"""),2180.0)</f>
        <v>2180</v>
      </c>
      <c r="E765" s="2">
        <f>IFERROR(__xludf.DUMMYFUNCTION("""COMPUTED_VALUE"""),2220.0)</f>
        <v>2220</v>
      </c>
      <c r="F765" s="2">
        <f>IFERROR(__xludf.DUMMYFUNCTION("""COMPUTED_VALUE"""),7.759E7)</f>
        <v>77590000</v>
      </c>
      <c r="G765" s="2">
        <f t="shared" si="1"/>
        <v>70</v>
      </c>
    </row>
    <row r="766" ht="15.75" customHeight="1">
      <c r="A766" s="1">
        <f>IFERROR(__xludf.DUMMYFUNCTION("""COMPUTED_VALUE"""),44970.66666666667)</f>
        <v>44970.66667</v>
      </c>
      <c r="B766" s="2">
        <f>IFERROR(__xludf.DUMMYFUNCTION("""COMPUTED_VALUE"""),2210.0)</f>
        <v>2210</v>
      </c>
      <c r="C766" s="2">
        <f>IFERROR(__xludf.DUMMYFUNCTION("""COMPUTED_VALUE"""),2240.0)</f>
        <v>2240</v>
      </c>
      <c r="D766" s="2">
        <f>IFERROR(__xludf.DUMMYFUNCTION("""COMPUTED_VALUE"""),2200.0)</f>
        <v>2200</v>
      </c>
      <c r="E766" s="2">
        <f>IFERROR(__xludf.DUMMYFUNCTION("""COMPUTED_VALUE"""),2240.0)</f>
        <v>2240</v>
      </c>
      <c r="F766" s="2">
        <f>IFERROR(__xludf.DUMMYFUNCTION("""COMPUTED_VALUE"""),2.71379E7)</f>
        <v>27137900</v>
      </c>
      <c r="G766" s="2">
        <f t="shared" si="1"/>
        <v>40</v>
      </c>
    </row>
    <row r="767" ht="15.75" customHeight="1">
      <c r="A767" s="1">
        <f>IFERROR(__xludf.DUMMYFUNCTION("""COMPUTED_VALUE"""),44971.66666666667)</f>
        <v>44971.66667</v>
      </c>
      <c r="B767" s="2">
        <f>IFERROR(__xludf.DUMMYFUNCTION("""COMPUTED_VALUE"""),2240.0)</f>
        <v>2240</v>
      </c>
      <c r="C767" s="2">
        <f>IFERROR(__xludf.DUMMYFUNCTION("""COMPUTED_VALUE"""),2250.0)</f>
        <v>2250</v>
      </c>
      <c r="D767" s="2">
        <f>IFERROR(__xludf.DUMMYFUNCTION("""COMPUTED_VALUE"""),2200.0)</f>
        <v>2200</v>
      </c>
      <c r="E767" s="2">
        <f>IFERROR(__xludf.DUMMYFUNCTION("""COMPUTED_VALUE"""),2210.0)</f>
        <v>2210</v>
      </c>
      <c r="F767" s="2">
        <f>IFERROR(__xludf.DUMMYFUNCTION("""COMPUTED_VALUE"""),4.74665E7)</f>
        <v>47466500</v>
      </c>
      <c r="G767" s="2">
        <f t="shared" si="1"/>
        <v>50</v>
      </c>
    </row>
    <row r="768" ht="15.75" customHeight="1">
      <c r="A768" s="1">
        <f>IFERROR(__xludf.DUMMYFUNCTION("""COMPUTED_VALUE"""),44972.66666666667)</f>
        <v>44972.66667</v>
      </c>
      <c r="B768" s="2">
        <f>IFERROR(__xludf.DUMMYFUNCTION("""COMPUTED_VALUE"""),2200.0)</f>
        <v>2200</v>
      </c>
      <c r="C768" s="2">
        <f>IFERROR(__xludf.DUMMYFUNCTION("""COMPUTED_VALUE"""),2230.0)</f>
        <v>2230</v>
      </c>
      <c r="D768" s="2">
        <f>IFERROR(__xludf.DUMMYFUNCTION("""COMPUTED_VALUE"""),2160.0)</f>
        <v>2160</v>
      </c>
      <c r="E768" s="2">
        <f>IFERROR(__xludf.DUMMYFUNCTION("""COMPUTED_VALUE"""),2200.0)</f>
        <v>2200</v>
      </c>
      <c r="F768" s="2">
        <f>IFERROR(__xludf.DUMMYFUNCTION("""COMPUTED_VALUE"""),6.65557E7)</f>
        <v>66555700</v>
      </c>
      <c r="G768" s="2">
        <f t="shared" si="1"/>
        <v>70</v>
      </c>
    </row>
    <row r="769" ht="15.75" customHeight="1">
      <c r="A769" s="1">
        <f>IFERROR(__xludf.DUMMYFUNCTION("""COMPUTED_VALUE"""),44973.66666666667)</f>
        <v>44973.66667</v>
      </c>
      <c r="B769" s="2">
        <f>IFERROR(__xludf.DUMMYFUNCTION("""COMPUTED_VALUE"""),2200.0)</f>
        <v>2200</v>
      </c>
      <c r="C769" s="2">
        <f>IFERROR(__xludf.DUMMYFUNCTION("""COMPUTED_VALUE"""),2210.0)</f>
        <v>2210</v>
      </c>
      <c r="D769" s="2">
        <f>IFERROR(__xludf.DUMMYFUNCTION("""COMPUTED_VALUE"""),2100.0)</f>
        <v>2100</v>
      </c>
      <c r="E769" s="2">
        <f>IFERROR(__xludf.DUMMYFUNCTION("""COMPUTED_VALUE"""),2110.0)</f>
        <v>2110</v>
      </c>
      <c r="F769" s="2">
        <f>IFERROR(__xludf.DUMMYFUNCTION("""COMPUTED_VALUE"""),1.304934E8)</f>
        <v>130493400</v>
      </c>
      <c r="G769" s="2">
        <f t="shared" si="1"/>
        <v>110</v>
      </c>
    </row>
    <row r="770" ht="15.75" customHeight="1">
      <c r="A770" s="1">
        <f>IFERROR(__xludf.DUMMYFUNCTION("""COMPUTED_VALUE"""),44974.66666666667)</f>
        <v>44974.66667</v>
      </c>
      <c r="B770" s="2">
        <f>IFERROR(__xludf.DUMMYFUNCTION("""COMPUTED_VALUE"""),2100.0)</f>
        <v>2100</v>
      </c>
      <c r="C770" s="2">
        <f>IFERROR(__xludf.DUMMYFUNCTION("""COMPUTED_VALUE"""),2140.0)</f>
        <v>2140</v>
      </c>
      <c r="D770" s="2">
        <f>IFERROR(__xludf.DUMMYFUNCTION("""COMPUTED_VALUE"""),2060.0)</f>
        <v>2060</v>
      </c>
      <c r="E770" s="2">
        <f>IFERROR(__xludf.DUMMYFUNCTION("""COMPUTED_VALUE"""),2090.0)</f>
        <v>2090</v>
      </c>
      <c r="F770" s="2">
        <f>IFERROR(__xludf.DUMMYFUNCTION("""COMPUTED_VALUE"""),9.07989E7)</f>
        <v>90798900</v>
      </c>
      <c r="G770" s="2">
        <f t="shared" si="1"/>
        <v>80</v>
      </c>
    </row>
    <row r="771" ht="15.75" customHeight="1">
      <c r="A771" s="1">
        <f>IFERROR(__xludf.DUMMYFUNCTION("""COMPUTED_VALUE"""),44977.66666666667)</f>
        <v>44977.66667</v>
      </c>
      <c r="B771" s="2">
        <f>IFERROR(__xludf.DUMMYFUNCTION("""COMPUTED_VALUE"""),2080.0)</f>
        <v>2080</v>
      </c>
      <c r="C771" s="2">
        <f>IFERROR(__xludf.DUMMYFUNCTION("""COMPUTED_VALUE"""),2090.0)</f>
        <v>2090</v>
      </c>
      <c r="D771" s="2">
        <f>IFERROR(__xludf.DUMMYFUNCTION("""COMPUTED_VALUE"""),2020.0)</f>
        <v>2020</v>
      </c>
      <c r="E771" s="2">
        <f>IFERROR(__xludf.DUMMYFUNCTION("""COMPUTED_VALUE"""),2080.0)</f>
        <v>2080</v>
      </c>
      <c r="F771" s="2">
        <f>IFERROR(__xludf.DUMMYFUNCTION("""COMPUTED_VALUE"""),9.95873E7)</f>
        <v>99587300</v>
      </c>
      <c r="G771" s="2">
        <f t="shared" si="1"/>
        <v>70</v>
      </c>
    </row>
    <row r="772" ht="15.75" customHeight="1">
      <c r="A772" s="1">
        <f>IFERROR(__xludf.DUMMYFUNCTION("""COMPUTED_VALUE"""),44978.66666666667)</f>
        <v>44978.66667</v>
      </c>
      <c r="B772" s="2">
        <f>IFERROR(__xludf.DUMMYFUNCTION("""COMPUTED_VALUE"""),2110.0)</f>
        <v>2110</v>
      </c>
      <c r="C772" s="2">
        <f>IFERROR(__xludf.DUMMYFUNCTION("""COMPUTED_VALUE"""),2130.0)</f>
        <v>2130</v>
      </c>
      <c r="D772" s="2">
        <f>IFERROR(__xludf.DUMMYFUNCTION("""COMPUTED_VALUE"""),2070.0)</f>
        <v>2070</v>
      </c>
      <c r="E772" s="2">
        <f>IFERROR(__xludf.DUMMYFUNCTION("""COMPUTED_VALUE"""),2080.0)</f>
        <v>2080</v>
      </c>
      <c r="F772" s="2">
        <f>IFERROR(__xludf.DUMMYFUNCTION("""COMPUTED_VALUE"""),7.00085E7)</f>
        <v>70008500</v>
      </c>
      <c r="G772" s="2">
        <f t="shared" si="1"/>
        <v>60</v>
      </c>
    </row>
    <row r="773" ht="15.75" customHeight="1">
      <c r="A773" s="1">
        <f>IFERROR(__xludf.DUMMYFUNCTION("""COMPUTED_VALUE"""),44979.66666666667)</f>
        <v>44979.66667</v>
      </c>
      <c r="B773" s="2">
        <f>IFERROR(__xludf.DUMMYFUNCTION("""COMPUTED_VALUE"""),2080.0)</f>
        <v>2080</v>
      </c>
      <c r="C773" s="2">
        <f>IFERROR(__xludf.DUMMYFUNCTION("""COMPUTED_VALUE"""),2090.0)</f>
        <v>2090</v>
      </c>
      <c r="D773" s="2">
        <f>IFERROR(__xludf.DUMMYFUNCTION("""COMPUTED_VALUE"""),2030.0)</f>
        <v>2030</v>
      </c>
      <c r="E773" s="2">
        <f>IFERROR(__xludf.DUMMYFUNCTION("""COMPUTED_VALUE"""),2050.0)</f>
        <v>2050</v>
      </c>
      <c r="F773" s="2">
        <f>IFERROR(__xludf.DUMMYFUNCTION("""COMPUTED_VALUE"""),7.44078E7)</f>
        <v>74407800</v>
      </c>
      <c r="G773" s="2">
        <f t="shared" si="1"/>
        <v>60</v>
      </c>
    </row>
    <row r="774" ht="15.75" customHeight="1">
      <c r="A774" s="1">
        <f>IFERROR(__xludf.DUMMYFUNCTION("""COMPUTED_VALUE"""),44980.66666666667)</f>
        <v>44980.66667</v>
      </c>
      <c r="B774" s="2">
        <f>IFERROR(__xludf.DUMMYFUNCTION("""COMPUTED_VALUE"""),2050.0)</f>
        <v>2050</v>
      </c>
      <c r="C774" s="2">
        <f>IFERROR(__xludf.DUMMYFUNCTION("""COMPUTED_VALUE"""),2060.0)</f>
        <v>2060</v>
      </c>
      <c r="D774" s="2">
        <f>IFERROR(__xludf.DUMMYFUNCTION("""COMPUTED_VALUE"""),2000.0)</f>
        <v>2000</v>
      </c>
      <c r="E774" s="2">
        <f>IFERROR(__xludf.DUMMYFUNCTION("""COMPUTED_VALUE"""),2030.0)</f>
        <v>2030</v>
      </c>
      <c r="F774" s="2">
        <f>IFERROR(__xludf.DUMMYFUNCTION("""COMPUTED_VALUE"""),7.46578E7)</f>
        <v>74657800</v>
      </c>
      <c r="G774" s="2">
        <f t="shared" si="1"/>
        <v>60</v>
      </c>
    </row>
    <row r="775" ht="15.75" customHeight="1">
      <c r="A775" s="1">
        <f>IFERROR(__xludf.DUMMYFUNCTION("""COMPUTED_VALUE"""),44981.66666666667)</f>
        <v>44981.66667</v>
      </c>
      <c r="B775" s="2">
        <f>IFERROR(__xludf.DUMMYFUNCTION("""COMPUTED_VALUE"""),2020.0)</f>
        <v>2020</v>
      </c>
      <c r="C775" s="2">
        <f>IFERROR(__xludf.DUMMYFUNCTION("""COMPUTED_VALUE"""),2040.0)</f>
        <v>2040</v>
      </c>
      <c r="D775" s="2">
        <f>IFERROR(__xludf.DUMMYFUNCTION("""COMPUTED_VALUE"""),2000.0)</f>
        <v>2000</v>
      </c>
      <c r="E775" s="2">
        <f>IFERROR(__xludf.DUMMYFUNCTION("""COMPUTED_VALUE"""),2000.0)</f>
        <v>2000</v>
      </c>
      <c r="F775" s="2">
        <f>IFERROR(__xludf.DUMMYFUNCTION("""COMPUTED_VALUE"""),4.87475E7)</f>
        <v>48747500</v>
      </c>
      <c r="G775" s="2">
        <f t="shared" si="1"/>
        <v>40</v>
      </c>
    </row>
    <row r="776" ht="15.75" customHeight="1">
      <c r="A776" s="1">
        <f>IFERROR(__xludf.DUMMYFUNCTION("""COMPUTED_VALUE"""),44984.66666666667)</f>
        <v>44984.66667</v>
      </c>
      <c r="B776" s="2">
        <f>IFERROR(__xludf.DUMMYFUNCTION("""COMPUTED_VALUE"""),2000.0)</f>
        <v>2000</v>
      </c>
      <c r="C776" s="2">
        <f>IFERROR(__xludf.DUMMYFUNCTION("""COMPUTED_VALUE"""),2040.0)</f>
        <v>2040</v>
      </c>
      <c r="D776" s="2">
        <f>IFERROR(__xludf.DUMMYFUNCTION("""COMPUTED_VALUE"""),1985.0)</f>
        <v>1985</v>
      </c>
      <c r="E776" s="2">
        <f>IFERROR(__xludf.DUMMYFUNCTION("""COMPUTED_VALUE"""),2010.0)</f>
        <v>2010</v>
      </c>
      <c r="F776" s="2">
        <f>IFERROR(__xludf.DUMMYFUNCTION("""COMPUTED_VALUE"""),6.02811E7)</f>
        <v>60281100</v>
      </c>
      <c r="G776" s="2">
        <f t="shared" si="1"/>
        <v>55</v>
      </c>
    </row>
    <row r="777" ht="15.75" customHeight="1">
      <c r="A777" s="1">
        <f>IFERROR(__xludf.DUMMYFUNCTION("""COMPUTED_VALUE"""),44985.66666666667)</f>
        <v>44985.66667</v>
      </c>
      <c r="B777" s="2">
        <f>IFERROR(__xludf.DUMMYFUNCTION("""COMPUTED_VALUE"""),2030.0)</f>
        <v>2030</v>
      </c>
      <c r="C777" s="2">
        <f>IFERROR(__xludf.DUMMYFUNCTION("""COMPUTED_VALUE"""),2040.0)</f>
        <v>2040</v>
      </c>
      <c r="D777" s="2">
        <f>IFERROR(__xludf.DUMMYFUNCTION("""COMPUTED_VALUE"""),1990.0)</f>
        <v>1990</v>
      </c>
      <c r="E777" s="2">
        <f>IFERROR(__xludf.DUMMYFUNCTION("""COMPUTED_VALUE"""),1990.0)</f>
        <v>1990</v>
      </c>
      <c r="F777" s="2">
        <f>IFERROR(__xludf.DUMMYFUNCTION("""COMPUTED_VALUE"""),9.96491E7)</f>
        <v>99649100</v>
      </c>
      <c r="G777" s="2">
        <f t="shared" si="1"/>
        <v>50</v>
      </c>
    </row>
    <row r="778" ht="15.75" customHeight="1">
      <c r="A778" s="1">
        <f>IFERROR(__xludf.DUMMYFUNCTION("""COMPUTED_VALUE"""),44986.66666666667)</f>
        <v>44986.66667</v>
      </c>
      <c r="B778" s="2">
        <f>IFERROR(__xludf.DUMMYFUNCTION("""COMPUTED_VALUE"""),1990.0)</f>
        <v>1990</v>
      </c>
      <c r="C778" s="2">
        <f>IFERROR(__xludf.DUMMYFUNCTION("""COMPUTED_VALUE"""),2020.0)</f>
        <v>2020</v>
      </c>
      <c r="D778" s="2">
        <f>IFERROR(__xludf.DUMMYFUNCTION("""COMPUTED_VALUE"""),1975.0)</f>
        <v>1975</v>
      </c>
      <c r="E778" s="2">
        <f>IFERROR(__xludf.DUMMYFUNCTION("""COMPUTED_VALUE"""),2000.0)</f>
        <v>2000</v>
      </c>
      <c r="F778" s="2">
        <f>IFERROR(__xludf.DUMMYFUNCTION("""COMPUTED_VALUE"""),4.99852E7)</f>
        <v>49985200</v>
      </c>
      <c r="G778" s="2">
        <f t="shared" si="1"/>
        <v>45</v>
      </c>
    </row>
    <row r="779" ht="15.75" customHeight="1">
      <c r="A779" s="1">
        <f>IFERROR(__xludf.DUMMYFUNCTION("""COMPUTED_VALUE"""),44987.66666666667)</f>
        <v>44987.66667</v>
      </c>
      <c r="B779" s="2">
        <f>IFERROR(__xludf.DUMMYFUNCTION("""COMPUTED_VALUE"""),2010.0)</f>
        <v>2010</v>
      </c>
      <c r="C779" s="2">
        <f>IFERROR(__xludf.DUMMYFUNCTION("""COMPUTED_VALUE"""),2040.0)</f>
        <v>2040</v>
      </c>
      <c r="D779" s="2">
        <f>IFERROR(__xludf.DUMMYFUNCTION("""COMPUTED_VALUE"""),2000.0)</f>
        <v>2000</v>
      </c>
      <c r="E779" s="2">
        <f>IFERROR(__xludf.DUMMYFUNCTION("""COMPUTED_VALUE"""),2010.0)</f>
        <v>2010</v>
      </c>
      <c r="F779" s="2">
        <f>IFERROR(__xludf.DUMMYFUNCTION("""COMPUTED_VALUE"""),5.77458E7)</f>
        <v>57745800</v>
      </c>
      <c r="G779" s="2">
        <f t="shared" si="1"/>
        <v>40</v>
      </c>
    </row>
    <row r="780" ht="15.75" customHeight="1">
      <c r="A780" s="1">
        <f>IFERROR(__xludf.DUMMYFUNCTION("""COMPUTED_VALUE"""),44988.66666666667)</f>
        <v>44988.66667</v>
      </c>
      <c r="B780" s="2">
        <f>IFERROR(__xludf.DUMMYFUNCTION("""COMPUTED_VALUE"""),2010.0)</f>
        <v>2010</v>
      </c>
      <c r="C780" s="2">
        <f>IFERROR(__xludf.DUMMYFUNCTION("""COMPUTED_VALUE"""),2040.0)</f>
        <v>2040</v>
      </c>
      <c r="D780" s="2">
        <f>IFERROR(__xludf.DUMMYFUNCTION("""COMPUTED_VALUE"""),1985.0)</f>
        <v>1985</v>
      </c>
      <c r="E780" s="2">
        <f>IFERROR(__xludf.DUMMYFUNCTION("""COMPUTED_VALUE"""),1995.0)</f>
        <v>1995</v>
      </c>
      <c r="F780" s="2">
        <f>IFERROR(__xludf.DUMMYFUNCTION("""COMPUTED_VALUE"""),6.39013E7)</f>
        <v>63901300</v>
      </c>
      <c r="G780" s="2">
        <f t="shared" si="1"/>
        <v>55</v>
      </c>
    </row>
    <row r="781" ht="15.75" customHeight="1">
      <c r="A781" s="1">
        <f>IFERROR(__xludf.DUMMYFUNCTION("""COMPUTED_VALUE"""),44991.66666666667)</f>
        <v>44991.66667</v>
      </c>
      <c r="B781" s="2">
        <f>IFERROR(__xludf.DUMMYFUNCTION("""COMPUTED_VALUE"""),2000.0)</f>
        <v>2000</v>
      </c>
      <c r="C781" s="2">
        <f>IFERROR(__xludf.DUMMYFUNCTION("""COMPUTED_VALUE"""),2020.0)</f>
        <v>2020</v>
      </c>
      <c r="D781" s="2">
        <f>IFERROR(__xludf.DUMMYFUNCTION("""COMPUTED_VALUE"""),1955.0)</f>
        <v>1955</v>
      </c>
      <c r="E781" s="2">
        <f>IFERROR(__xludf.DUMMYFUNCTION("""COMPUTED_VALUE"""),1960.0)</f>
        <v>1960</v>
      </c>
      <c r="F781" s="2">
        <f>IFERROR(__xludf.DUMMYFUNCTION("""COMPUTED_VALUE"""),7.4031E7)</f>
        <v>74031000</v>
      </c>
      <c r="G781" s="2">
        <f t="shared" si="1"/>
        <v>65</v>
      </c>
    </row>
    <row r="782" ht="15.75" customHeight="1">
      <c r="A782" s="1">
        <f>IFERROR(__xludf.DUMMYFUNCTION("""COMPUTED_VALUE"""),44992.66666666667)</f>
        <v>44992.66667</v>
      </c>
      <c r="B782" s="2">
        <f>IFERROR(__xludf.DUMMYFUNCTION("""COMPUTED_VALUE"""),1960.0)</f>
        <v>1960</v>
      </c>
      <c r="C782" s="2">
        <f>IFERROR(__xludf.DUMMYFUNCTION("""COMPUTED_VALUE"""),1970.0)</f>
        <v>1970</v>
      </c>
      <c r="D782" s="2">
        <f>IFERROR(__xludf.DUMMYFUNCTION("""COMPUTED_VALUE"""),1930.0)</f>
        <v>1930</v>
      </c>
      <c r="E782" s="2">
        <f>IFERROR(__xludf.DUMMYFUNCTION("""COMPUTED_VALUE"""),1940.0)</f>
        <v>1940</v>
      </c>
      <c r="F782" s="2">
        <f>IFERROR(__xludf.DUMMYFUNCTION("""COMPUTED_VALUE"""),7.65573E7)</f>
        <v>76557300</v>
      </c>
      <c r="G782" s="2">
        <f t="shared" si="1"/>
        <v>40</v>
      </c>
    </row>
    <row r="783" ht="15.75" customHeight="1">
      <c r="A783" s="1">
        <f>IFERROR(__xludf.DUMMYFUNCTION("""COMPUTED_VALUE"""),44993.66666666667)</f>
        <v>44993.66667</v>
      </c>
      <c r="B783" s="2">
        <f>IFERROR(__xludf.DUMMYFUNCTION("""COMPUTED_VALUE"""),1920.0)</f>
        <v>1920</v>
      </c>
      <c r="C783" s="2">
        <f>IFERROR(__xludf.DUMMYFUNCTION("""COMPUTED_VALUE"""),1930.0)</f>
        <v>1930</v>
      </c>
      <c r="D783" s="2">
        <f>IFERROR(__xludf.DUMMYFUNCTION("""COMPUTED_VALUE"""),1870.0)</f>
        <v>1870</v>
      </c>
      <c r="E783" s="2">
        <f>IFERROR(__xludf.DUMMYFUNCTION("""COMPUTED_VALUE"""),1885.0)</f>
        <v>1885</v>
      </c>
      <c r="F783" s="2">
        <f>IFERROR(__xludf.DUMMYFUNCTION("""COMPUTED_VALUE"""),1.444932E8)</f>
        <v>144493200</v>
      </c>
      <c r="G783" s="2">
        <f t="shared" si="1"/>
        <v>70</v>
      </c>
    </row>
    <row r="784" ht="15.75" customHeight="1">
      <c r="A784" s="1">
        <f>IFERROR(__xludf.DUMMYFUNCTION("""COMPUTED_VALUE"""),44994.66666666667)</f>
        <v>44994.66667</v>
      </c>
      <c r="B784" s="2">
        <f>IFERROR(__xludf.DUMMYFUNCTION("""COMPUTED_VALUE"""),1885.0)</f>
        <v>1885</v>
      </c>
      <c r="C784" s="2">
        <f>IFERROR(__xludf.DUMMYFUNCTION("""COMPUTED_VALUE"""),1910.0)</f>
        <v>1910</v>
      </c>
      <c r="D784" s="2">
        <f>IFERROR(__xludf.DUMMYFUNCTION("""COMPUTED_VALUE"""),1870.0)</f>
        <v>1870</v>
      </c>
      <c r="E784" s="2">
        <f>IFERROR(__xludf.DUMMYFUNCTION("""COMPUTED_VALUE"""),1875.0)</f>
        <v>1875</v>
      </c>
      <c r="F784" s="2">
        <f>IFERROR(__xludf.DUMMYFUNCTION("""COMPUTED_VALUE"""),7.54509E7)</f>
        <v>75450900</v>
      </c>
      <c r="G784" s="2">
        <f t="shared" si="1"/>
        <v>40</v>
      </c>
    </row>
    <row r="785" ht="15.75" customHeight="1">
      <c r="A785" s="1">
        <f>IFERROR(__xludf.DUMMYFUNCTION("""COMPUTED_VALUE"""),44995.66666666667)</f>
        <v>44995.66667</v>
      </c>
      <c r="B785" s="2">
        <f>IFERROR(__xludf.DUMMYFUNCTION("""COMPUTED_VALUE"""),1865.0)</f>
        <v>1865</v>
      </c>
      <c r="C785" s="2">
        <f>IFERROR(__xludf.DUMMYFUNCTION("""COMPUTED_VALUE"""),1895.0)</f>
        <v>1895</v>
      </c>
      <c r="D785" s="2">
        <f>IFERROR(__xludf.DUMMYFUNCTION("""COMPUTED_VALUE"""),1850.0)</f>
        <v>1850</v>
      </c>
      <c r="E785" s="2">
        <f>IFERROR(__xludf.DUMMYFUNCTION("""COMPUTED_VALUE"""),1880.0)</f>
        <v>1880</v>
      </c>
      <c r="F785" s="2">
        <f>IFERROR(__xludf.DUMMYFUNCTION("""COMPUTED_VALUE"""),9.63204E7)</f>
        <v>96320400</v>
      </c>
      <c r="G785" s="2">
        <f t="shared" si="1"/>
        <v>45</v>
      </c>
    </row>
    <row r="786" ht="15.75" customHeight="1">
      <c r="A786" s="1">
        <f>IFERROR(__xludf.DUMMYFUNCTION("""COMPUTED_VALUE"""),44998.66666666667)</f>
        <v>44998.66667</v>
      </c>
      <c r="B786" s="2">
        <f>IFERROR(__xludf.DUMMYFUNCTION("""COMPUTED_VALUE"""),1890.0)</f>
        <v>1890</v>
      </c>
      <c r="C786" s="2">
        <f>IFERROR(__xludf.DUMMYFUNCTION("""COMPUTED_VALUE"""),1890.0)</f>
        <v>1890</v>
      </c>
      <c r="D786" s="2">
        <f>IFERROR(__xludf.DUMMYFUNCTION("""COMPUTED_VALUE"""),1850.0)</f>
        <v>1850</v>
      </c>
      <c r="E786" s="2">
        <f>IFERROR(__xludf.DUMMYFUNCTION("""COMPUTED_VALUE"""),1850.0)</f>
        <v>1850</v>
      </c>
      <c r="F786" s="2">
        <f>IFERROR(__xludf.DUMMYFUNCTION("""COMPUTED_VALUE"""),6.03752E7)</f>
        <v>60375200</v>
      </c>
      <c r="G786" s="2">
        <f t="shared" si="1"/>
        <v>40</v>
      </c>
    </row>
    <row r="787" ht="15.75" customHeight="1">
      <c r="A787" s="1">
        <f>IFERROR(__xludf.DUMMYFUNCTION("""COMPUTED_VALUE"""),44999.66666666667)</f>
        <v>44999.66667</v>
      </c>
      <c r="B787" s="2">
        <f>IFERROR(__xludf.DUMMYFUNCTION("""COMPUTED_VALUE"""),1865.0)</f>
        <v>1865</v>
      </c>
      <c r="C787" s="2">
        <f>IFERROR(__xludf.DUMMYFUNCTION("""COMPUTED_VALUE"""),1885.0)</f>
        <v>1885</v>
      </c>
      <c r="D787" s="2">
        <f>IFERROR(__xludf.DUMMYFUNCTION("""COMPUTED_VALUE"""),1810.0)</f>
        <v>1810</v>
      </c>
      <c r="E787" s="2">
        <f>IFERROR(__xludf.DUMMYFUNCTION("""COMPUTED_VALUE"""),1815.0)</f>
        <v>1815</v>
      </c>
      <c r="F787" s="2">
        <f>IFERROR(__xludf.DUMMYFUNCTION("""COMPUTED_VALUE"""),1.074522E8)</f>
        <v>107452200</v>
      </c>
      <c r="G787" s="2">
        <f t="shared" si="1"/>
        <v>75</v>
      </c>
    </row>
    <row r="788" ht="15.75" customHeight="1">
      <c r="A788" s="1">
        <f>IFERROR(__xludf.DUMMYFUNCTION("""COMPUTED_VALUE"""),45000.66666666667)</f>
        <v>45000.66667</v>
      </c>
      <c r="B788" s="2">
        <f>IFERROR(__xludf.DUMMYFUNCTION("""COMPUTED_VALUE"""),1825.0)</f>
        <v>1825</v>
      </c>
      <c r="C788" s="2">
        <f>IFERROR(__xludf.DUMMYFUNCTION("""COMPUTED_VALUE"""),1865.0)</f>
        <v>1865</v>
      </c>
      <c r="D788" s="2">
        <f>IFERROR(__xludf.DUMMYFUNCTION("""COMPUTED_VALUE"""),1825.0)</f>
        <v>1825</v>
      </c>
      <c r="E788" s="2">
        <f>IFERROR(__xludf.DUMMYFUNCTION("""COMPUTED_VALUE"""),1855.0)</f>
        <v>1855</v>
      </c>
      <c r="F788" s="2">
        <f>IFERROR(__xludf.DUMMYFUNCTION("""COMPUTED_VALUE"""),6.73146E7)</f>
        <v>67314600</v>
      </c>
      <c r="G788" s="2">
        <f t="shared" si="1"/>
        <v>50</v>
      </c>
    </row>
    <row r="789" ht="15.75" customHeight="1">
      <c r="A789" s="1">
        <f>IFERROR(__xludf.DUMMYFUNCTION("""COMPUTED_VALUE"""),45001.66666666667)</f>
        <v>45001.66667</v>
      </c>
      <c r="B789" s="2">
        <f>IFERROR(__xludf.DUMMYFUNCTION("""COMPUTED_VALUE"""),1850.0)</f>
        <v>1850</v>
      </c>
      <c r="C789" s="2">
        <f>IFERROR(__xludf.DUMMYFUNCTION("""COMPUTED_VALUE"""),1855.0)</f>
        <v>1855</v>
      </c>
      <c r="D789" s="2">
        <f>IFERROR(__xludf.DUMMYFUNCTION("""COMPUTED_VALUE"""),1770.0)</f>
        <v>1770</v>
      </c>
      <c r="E789" s="2">
        <f>IFERROR(__xludf.DUMMYFUNCTION("""COMPUTED_VALUE"""),1795.0)</f>
        <v>1795</v>
      </c>
      <c r="F789" s="2">
        <f>IFERROR(__xludf.DUMMYFUNCTION("""COMPUTED_VALUE"""),9.80763E7)</f>
        <v>98076300</v>
      </c>
      <c r="G789" s="2">
        <f t="shared" si="1"/>
        <v>85</v>
      </c>
    </row>
    <row r="790" ht="15.75" customHeight="1">
      <c r="A790" s="1">
        <f>IFERROR(__xludf.DUMMYFUNCTION("""COMPUTED_VALUE"""),45002.66666666667)</f>
        <v>45002.66667</v>
      </c>
      <c r="B790" s="2">
        <f>IFERROR(__xludf.DUMMYFUNCTION("""COMPUTED_VALUE"""),1815.0)</f>
        <v>1815</v>
      </c>
      <c r="C790" s="2">
        <f>IFERROR(__xludf.DUMMYFUNCTION("""COMPUTED_VALUE"""),1895.0)</f>
        <v>1895</v>
      </c>
      <c r="D790" s="2">
        <f>IFERROR(__xludf.DUMMYFUNCTION("""COMPUTED_VALUE"""),1810.0)</f>
        <v>1810</v>
      </c>
      <c r="E790" s="2">
        <f>IFERROR(__xludf.DUMMYFUNCTION("""COMPUTED_VALUE"""),1895.0)</f>
        <v>1895</v>
      </c>
      <c r="F790" s="2">
        <f>IFERROR(__xludf.DUMMYFUNCTION("""COMPUTED_VALUE"""),1.095061E8)</f>
        <v>109506100</v>
      </c>
      <c r="G790" s="2">
        <f t="shared" si="1"/>
        <v>100</v>
      </c>
    </row>
    <row r="791" ht="15.75" customHeight="1">
      <c r="A791" s="1">
        <f>IFERROR(__xludf.DUMMYFUNCTION("""COMPUTED_VALUE"""),45005.66666666667)</f>
        <v>45005.66667</v>
      </c>
      <c r="B791" s="2">
        <f>IFERROR(__xludf.DUMMYFUNCTION("""COMPUTED_VALUE"""),1905.0)</f>
        <v>1905</v>
      </c>
      <c r="C791" s="2">
        <f>IFERROR(__xludf.DUMMYFUNCTION("""COMPUTED_VALUE"""),1930.0)</f>
        <v>1930</v>
      </c>
      <c r="D791" s="2">
        <f>IFERROR(__xludf.DUMMYFUNCTION("""COMPUTED_VALUE"""),1875.0)</f>
        <v>1875</v>
      </c>
      <c r="E791" s="2">
        <f>IFERROR(__xludf.DUMMYFUNCTION("""COMPUTED_VALUE"""),1900.0)</f>
        <v>1900</v>
      </c>
      <c r="F791" s="2">
        <f>IFERROR(__xludf.DUMMYFUNCTION("""COMPUTED_VALUE"""),6.01514E7)</f>
        <v>60151400</v>
      </c>
      <c r="G791" s="2">
        <f t="shared" si="1"/>
        <v>55</v>
      </c>
    </row>
    <row r="792" ht="15.75" customHeight="1">
      <c r="A792" s="1">
        <f>IFERROR(__xludf.DUMMYFUNCTION("""COMPUTED_VALUE"""),45006.66666666667)</f>
        <v>45006.66667</v>
      </c>
      <c r="B792" s="2">
        <f>IFERROR(__xludf.DUMMYFUNCTION("""COMPUTED_VALUE"""),1910.0)</f>
        <v>1910</v>
      </c>
      <c r="C792" s="2">
        <f>IFERROR(__xludf.DUMMYFUNCTION("""COMPUTED_VALUE"""),1915.0)</f>
        <v>1915</v>
      </c>
      <c r="D792" s="2">
        <f>IFERROR(__xludf.DUMMYFUNCTION("""COMPUTED_VALUE"""),1885.0)</f>
        <v>1885</v>
      </c>
      <c r="E792" s="2">
        <f>IFERROR(__xludf.DUMMYFUNCTION("""COMPUTED_VALUE"""),1885.0)</f>
        <v>1885</v>
      </c>
      <c r="F792" s="2">
        <f>IFERROR(__xludf.DUMMYFUNCTION("""COMPUTED_VALUE"""),3.62523E7)</f>
        <v>36252300</v>
      </c>
      <c r="G792" s="2">
        <f t="shared" si="1"/>
        <v>30</v>
      </c>
    </row>
    <row r="793" ht="15.75" customHeight="1">
      <c r="A793" s="1">
        <f>IFERROR(__xludf.DUMMYFUNCTION("""COMPUTED_VALUE"""),45009.66666666667)</f>
        <v>45009.66667</v>
      </c>
      <c r="B793" s="2">
        <f>IFERROR(__xludf.DUMMYFUNCTION("""COMPUTED_VALUE"""),1895.0)</f>
        <v>1895</v>
      </c>
      <c r="C793" s="2">
        <f>IFERROR(__xludf.DUMMYFUNCTION("""COMPUTED_VALUE"""),1940.0)</f>
        <v>1940</v>
      </c>
      <c r="D793" s="2">
        <f>IFERROR(__xludf.DUMMYFUNCTION("""COMPUTED_VALUE"""),1885.0)</f>
        <v>1885</v>
      </c>
      <c r="E793" s="2">
        <f>IFERROR(__xludf.DUMMYFUNCTION("""COMPUTED_VALUE"""),1895.0)</f>
        <v>1895</v>
      </c>
      <c r="F793" s="2">
        <f>IFERROR(__xludf.DUMMYFUNCTION("""COMPUTED_VALUE"""),7.85908E7)</f>
        <v>78590800</v>
      </c>
      <c r="G793" s="2">
        <f t="shared" si="1"/>
        <v>55</v>
      </c>
    </row>
    <row r="794" ht="15.75" customHeight="1">
      <c r="A794" s="1">
        <f>IFERROR(__xludf.DUMMYFUNCTION("""COMPUTED_VALUE"""),45012.66666666667)</f>
        <v>45012.66667</v>
      </c>
      <c r="B794" s="2">
        <f>IFERROR(__xludf.DUMMYFUNCTION("""COMPUTED_VALUE"""),1935.0)</f>
        <v>1935</v>
      </c>
      <c r="C794" s="2">
        <f>IFERROR(__xludf.DUMMYFUNCTION("""COMPUTED_VALUE"""),2010.0)</f>
        <v>2010</v>
      </c>
      <c r="D794" s="2">
        <f>IFERROR(__xludf.DUMMYFUNCTION("""COMPUTED_VALUE"""),1935.0)</f>
        <v>1935</v>
      </c>
      <c r="E794" s="2">
        <f>IFERROR(__xludf.DUMMYFUNCTION("""COMPUTED_VALUE"""),1960.0)</f>
        <v>1960</v>
      </c>
      <c r="F794" s="2">
        <f>IFERROR(__xludf.DUMMYFUNCTION("""COMPUTED_VALUE"""),1.287597E8)</f>
        <v>128759700</v>
      </c>
      <c r="G794" s="2">
        <f t="shared" si="1"/>
        <v>115</v>
      </c>
    </row>
    <row r="795" ht="15.75" customHeight="1">
      <c r="A795" s="1">
        <f>IFERROR(__xludf.DUMMYFUNCTION("""COMPUTED_VALUE"""),45013.66666666667)</f>
        <v>45013.66667</v>
      </c>
      <c r="B795" s="2">
        <f>IFERROR(__xludf.DUMMYFUNCTION("""COMPUTED_VALUE"""),1970.0)</f>
        <v>1970</v>
      </c>
      <c r="C795" s="2">
        <f>IFERROR(__xludf.DUMMYFUNCTION("""COMPUTED_VALUE"""),2010.0)</f>
        <v>2010</v>
      </c>
      <c r="D795" s="2">
        <f>IFERROR(__xludf.DUMMYFUNCTION("""COMPUTED_VALUE"""),1970.0)</f>
        <v>1970</v>
      </c>
      <c r="E795" s="2">
        <f>IFERROR(__xludf.DUMMYFUNCTION("""COMPUTED_VALUE"""),1995.0)</f>
        <v>1995</v>
      </c>
      <c r="F795" s="2">
        <f>IFERROR(__xludf.DUMMYFUNCTION("""COMPUTED_VALUE"""),7.18211E7)</f>
        <v>71821100</v>
      </c>
      <c r="G795" s="2">
        <f t="shared" si="1"/>
        <v>50</v>
      </c>
    </row>
    <row r="796" ht="15.75" customHeight="1">
      <c r="A796" s="1">
        <f>IFERROR(__xludf.DUMMYFUNCTION("""COMPUTED_VALUE"""),45014.66666666667)</f>
        <v>45014.66667</v>
      </c>
      <c r="B796" s="2">
        <f>IFERROR(__xludf.DUMMYFUNCTION("""COMPUTED_VALUE"""),2000.0)</f>
        <v>2000</v>
      </c>
      <c r="C796" s="2">
        <f>IFERROR(__xludf.DUMMYFUNCTION("""COMPUTED_VALUE"""),2090.0)</f>
        <v>2090</v>
      </c>
      <c r="D796" s="2">
        <f>IFERROR(__xludf.DUMMYFUNCTION("""COMPUTED_VALUE"""),2000.0)</f>
        <v>2000</v>
      </c>
      <c r="E796" s="2">
        <f>IFERROR(__xludf.DUMMYFUNCTION("""COMPUTED_VALUE"""),2080.0)</f>
        <v>2080</v>
      </c>
      <c r="F796" s="2">
        <f>IFERROR(__xludf.DUMMYFUNCTION("""COMPUTED_VALUE"""),1.470762E8)</f>
        <v>147076200</v>
      </c>
      <c r="G796" s="2">
        <f t="shared" si="1"/>
        <v>95</v>
      </c>
    </row>
    <row r="797" ht="15.75" customHeight="1">
      <c r="A797" s="1">
        <f>IFERROR(__xludf.DUMMYFUNCTION("""COMPUTED_VALUE"""),45015.66666666667)</f>
        <v>45015.66667</v>
      </c>
      <c r="B797" s="2">
        <f>IFERROR(__xludf.DUMMYFUNCTION("""COMPUTED_VALUE"""),2070.0)</f>
        <v>2070</v>
      </c>
      <c r="C797" s="2">
        <f>IFERROR(__xludf.DUMMYFUNCTION("""COMPUTED_VALUE"""),2090.0)</f>
        <v>2090</v>
      </c>
      <c r="D797" s="2">
        <f>IFERROR(__xludf.DUMMYFUNCTION("""COMPUTED_VALUE"""),2040.0)</f>
        <v>2040</v>
      </c>
      <c r="E797" s="2">
        <f>IFERROR(__xludf.DUMMYFUNCTION("""COMPUTED_VALUE"""),2090.0)</f>
        <v>2090</v>
      </c>
      <c r="F797" s="2">
        <f>IFERROR(__xludf.DUMMYFUNCTION("""COMPUTED_VALUE"""),8.30627E7)</f>
        <v>83062700</v>
      </c>
      <c r="G797" s="2">
        <f t="shared" si="1"/>
        <v>50</v>
      </c>
    </row>
    <row r="798" ht="15.75" customHeight="1">
      <c r="A798" s="1">
        <f>IFERROR(__xludf.DUMMYFUNCTION("""COMPUTED_VALUE"""),45016.66666666667)</f>
        <v>45016.66667</v>
      </c>
      <c r="B798" s="2">
        <f>IFERROR(__xludf.DUMMYFUNCTION("""COMPUTED_VALUE"""),2080.0)</f>
        <v>2080</v>
      </c>
      <c r="C798" s="2">
        <f>IFERROR(__xludf.DUMMYFUNCTION("""COMPUTED_VALUE"""),2100.0)</f>
        <v>2100</v>
      </c>
      <c r="D798" s="2">
        <f>IFERROR(__xludf.DUMMYFUNCTION("""COMPUTED_VALUE"""),2050.0)</f>
        <v>2050</v>
      </c>
      <c r="E798" s="2">
        <f>IFERROR(__xludf.DUMMYFUNCTION("""COMPUTED_VALUE"""),2090.0)</f>
        <v>2090</v>
      </c>
      <c r="F798" s="2">
        <f>IFERROR(__xludf.DUMMYFUNCTION("""COMPUTED_VALUE"""),6.39076E7)</f>
        <v>63907600</v>
      </c>
      <c r="G798" s="2">
        <f t="shared" si="1"/>
        <v>50</v>
      </c>
    </row>
    <row r="799" ht="15.75" customHeight="1">
      <c r="A799" s="1">
        <f>IFERROR(__xludf.DUMMYFUNCTION("""COMPUTED_VALUE"""),45019.66666666667)</f>
        <v>45019.66667</v>
      </c>
      <c r="B799" s="2">
        <f>IFERROR(__xludf.DUMMYFUNCTION("""COMPUTED_VALUE"""),2100.0)</f>
        <v>2100</v>
      </c>
      <c r="C799" s="2">
        <f>IFERROR(__xludf.DUMMYFUNCTION("""COMPUTED_VALUE"""),2110.0)</f>
        <v>2110</v>
      </c>
      <c r="D799" s="2">
        <f>IFERROR(__xludf.DUMMYFUNCTION("""COMPUTED_VALUE"""),2070.0)</f>
        <v>2070</v>
      </c>
      <c r="E799" s="2">
        <f>IFERROR(__xludf.DUMMYFUNCTION("""COMPUTED_VALUE"""),2090.0)</f>
        <v>2090</v>
      </c>
      <c r="F799" s="2">
        <f>IFERROR(__xludf.DUMMYFUNCTION("""COMPUTED_VALUE"""),4.80723E7)</f>
        <v>48072300</v>
      </c>
      <c r="G799" s="2">
        <f t="shared" si="1"/>
        <v>40</v>
      </c>
    </row>
    <row r="800" ht="15.75" customHeight="1">
      <c r="A800" s="1">
        <f>IFERROR(__xludf.DUMMYFUNCTION("""COMPUTED_VALUE"""),45020.66666666667)</f>
        <v>45020.66667</v>
      </c>
      <c r="B800" s="2">
        <f>IFERROR(__xludf.DUMMYFUNCTION("""COMPUTED_VALUE"""),2090.0)</f>
        <v>2090</v>
      </c>
      <c r="C800" s="2">
        <f>IFERROR(__xludf.DUMMYFUNCTION("""COMPUTED_VALUE"""),2100.0)</f>
        <v>2100</v>
      </c>
      <c r="D800" s="2">
        <f>IFERROR(__xludf.DUMMYFUNCTION("""COMPUTED_VALUE"""),2040.0)</f>
        <v>2040</v>
      </c>
      <c r="E800" s="2">
        <f>IFERROR(__xludf.DUMMYFUNCTION("""COMPUTED_VALUE"""),2050.0)</f>
        <v>2050</v>
      </c>
      <c r="F800" s="2">
        <f>IFERROR(__xludf.DUMMYFUNCTION("""COMPUTED_VALUE"""),6.49153E7)</f>
        <v>64915300</v>
      </c>
      <c r="G800" s="2">
        <f t="shared" si="1"/>
        <v>60</v>
      </c>
    </row>
    <row r="801" ht="15.75" customHeight="1">
      <c r="A801" s="1">
        <f>IFERROR(__xludf.DUMMYFUNCTION("""COMPUTED_VALUE"""),45021.66666666667)</f>
        <v>45021.66667</v>
      </c>
      <c r="B801" s="2">
        <f>IFERROR(__xludf.DUMMYFUNCTION("""COMPUTED_VALUE"""),2070.0)</f>
        <v>2070</v>
      </c>
      <c r="C801" s="2">
        <f>IFERROR(__xludf.DUMMYFUNCTION("""COMPUTED_VALUE"""),2150.0)</f>
        <v>2150</v>
      </c>
      <c r="D801" s="2">
        <f>IFERROR(__xludf.DUMMYFUNCTION("""COMPUTED_VALUE"""),2070.0)</f>
        <v>2070</v>
      </c>
      <c r="E801" s="2">
        <f>IFERROR(__xludf.DUMMYFUNCTION("""COMPUTED_VALUE"""),2100.0)</f>
        <v>2100</v>
      </c>
      <c r="F801" s="2">
        <f>IFERROR(__xludf.DUMMYFUNCTION("""COMPUTED_VALUE"""),1.124736E8)</f>
        <v>112473600</v>
      </c>
      <c r="G801" s="2">
        <f t="shared" si="1"/>
        <v>100</v>
      </c>
    </row>
    <row r="802" ht="15.75" customHeight="1">
      <c r="A802" s="1">
        <f>IFERROR(__xludf.DUMMYFUNCTION("""COMPUTED_VALUE"""),45022.66666666667)</f>
        <v>45022.66667</v>
      </c>
      <c r="B802" s="2">
        <f>IFERROR(__xludf.DUMMYFUNCTION("""COMPUTED_VALUE"""),2100.0)</f>
        <v>2100</v>
      </c>
      <c r="C802" s="2">
        <f>IFERROR(__xludf.DUMMYFUNCTION("""COMPUTED_VALUE"""),2120.0)</f>
        <v>2120</v>
      </c>
      <c r="D802" s="2">
        <f>IFERROR(__xludf.DUMMYFUNCTION("""COMPUTED_VALUE"""),2080.0)</f>
        <v>2080</v>
      </c>
      <c r="E802" s="2">
        <f>IFERROR(__xludf.DUMMYFUNCTION("""COMPUTED_VALUE"""),2100.0)</f>
        <v>2100</v>
      </c>
      <c r="F802" s="2">
        <f>IFERROR(__xludf.DUMMYFUNCTION("""COMPUTED_VALUE"""),7.35151E7)</f>
        <v>73515100</v>
      </c>
      <c r="G802" s="2">
        <f t="shared" si="1"/>
        <v>40</v>
      </c>
    </row>
    <row r="803" ht="15.75" customHeight="1">
      <c r="A803" s="1">
        <f>IFERROR(__xludf.DUMMYFUNCTION("""COMPUTED_VALUE"""),45026.66666666667)</f>
        <v>45026.66667</v>
      </c>
      <c r="B803" s="2">
        <f>IFERROR(__xludf.DUMMYFUNCTION("""COMPUTED_VALUE"""),2100.0)</f>
        <v>2100</v>
      </c>
      <c r="C803" s="2">
        <f>IFERROR(__xludf.DUMMYFUNCTION("""COMPUTED_VALUE"""),2100.0)</f>
        <v>2100</v>
      </c>
      <c r="D803" s="2">
        <f>IFERROR(__xludf.DUMMYFUNCTION("""COMPUTED_VALUE"""),2010.0)</f>
        <v>2010</v>
      </c>
      <c r="E803" s="2">
        <f>IFERROR(__xludf.DUMMYFUNCTION("""COMPUTED_VALUE"""),2020.0)</f>
        <v>2020</v>
      </c>
      <c r="F803" s="2">
        <f>IFERROR(__xludf.DUMMYFUNCTION("""COMPUTED_VALUE"""),5.0599E7)</f>
        <v>50599000</v>
      </c>
      <c r="G803" s="2">
        <f t="shared" si="1"/>
        <v>90</v>
      </c>
    </row>
    <row r="804" ht="15.75" customHeight="1">
      <c r="A804" s="1">
        <f>IFERROR(__xludf.DUMMYFUNCTION("""COMPUTED_VALUE"""),45027.66666666667)</f>
        <v>45027.66667</v>
      </c>
      <c r="B804" s="2">
        <f>IFERROR(__xludf.DUMMYFUNCTION("""COMPUTED_VALUE"""),2030.0)</f>
        <v>2030</v>
      </c>
      <c r="C804" s="2">
        <f>IFERROR(__xludf.DUMMYFUNCTION("""COMPUTED_VALUE"""),2110.0)</f>
        <v>2110</v>
      </c>
      <c r="D804" s="2">
        <f>IFERROR(__xludf.DUMMYFUNCTION("""COMPUTED_VALUE"""),2030.0)</f>
        <v>2030</v>
      </c>
      <c r="E804" s="2">
        <f>IFERROR(__xludf.DUMMYFUNCTION("""COMPUTED_VALUE"""),2110.0)</f>
        <v>2110</v>
      </c>
      <c r="F804" s="2">
        <f>IFERROR(__xludf.DUMMYFUNCTION("""COMPUTED_VALUE"""),8.66775E7)</f>
        <v>86677500</v>
      </c>
      <c r="G804" s="2">
        <f t="shared" si="1"/>
        <v>90</v>
      </c>
    </row>
    <row r="805" ht="15.75" customHeight="1">
      <c r="A805" s="1">
        <f>IFERROR(__xludf.DUMMYFUNCTION("""COMPUTED_VALUE"""),45028.66666666667)</f>
        <v>45028.66667</v>
      </c>
      <c r="B805" s="2">
        <f>IFERROR(__xludf.DUMMYFUNCTION("""COMPUTED_VALUE"""),2120.0)</f>
        <v>2120</v>
      </c>
      <c r="C805" s="2">
        <f>IFERROR(__xludf.DUMMYFUNCTION("""COMPUTED_VALUE"""),2140.0)</f>
        <v>2140</v>
      </c>
      <c r="D805" s="2">
        <f>IFERROR(__xludf.DUMMYFUNCTION("""COMPUTED_VALUE"""),2100.0)</f>
        <v>2100</v>
      </c>
      <c r="E805" s="2">
        <f>IFERROR(__xludf.DUMMYFUNCTION("""COMPUTED_VALUE"""),2110.0)</f>
        <v>2110</v>
      </c>
      <c r="F805" s="2">
        <f>IFERROR(__xludf.DUMMYFUNCTION("""COMPUTED_VALUE"""),6.13527E7)</f>
        <v>61352700</v>
      </c>
      <c r="G805" s="2">
        <f t="shared" si="1"/>
        <v>40</v>
      </c>
    </row>
    <row r="806" ht="15.75" customHeight="1">
      <c r="A806" s="1">
        <f>IFERROR(__xludf.DUMMYFUNCTION("""COMPUTED_VALUE"""),45029.66666666667)</f>
        <v>45029.66667</v>
      </c>
      <c r="B806" s="2">
        <f>IFERROR(__xludf.DUMMYFUNCTION("""COMPUTED_VALUE"""),2110.0)</f>
        <v>2110</v>
      </c>
      <c r="C806" s="2">
        <f>IFERROR(__xludf.DUMMYFUNCTION("""COMPUTED_VALUE"""),2130.0)</f>
        <v>2130</v>
      </c>
      <c r="D806" s="2">
        <f>IFERROR(__xludf.DUMMYFUNCTION("""COMPUTED_VALUE"""),2100.0)</f>
        <v>2100</v>
      </c>
      <c r="E806" s="2">
        <f>IFERROR(__xludf.DUMMYFUNCTION("""COMPUTED_VALUE"""),2130.0)</f>
        <v>2130</v>
      </c>
      <c r="F806" s="2">
        <f>IFERROR(__xludf.DUMMYFUNCTION("""COMPUTED_VALUE"""),4.6749E7)</f>
        <v>46749000</v>
      </c>
      <c r="G806" s="2">
        <f t="shared" si="1"/>
        <v>30</v>
      </c>
    </row>
    <row r="807" ht="15.75" customHeight="1">
      <c r="A807" s="1">
        <f>IFERROR(__xludf.DUMMYFUNCTION("""COMPUTED_VALUE"""),45030.66666666667)</f>
        <v>45030.66667</v>
      </c>
      <c r="B807" s="2">
        <f>IFERROR(__xludf.DUMMYFUNCTION("""COMPUTED_VALUE"""),2140.0)</f>
        <v>2140</v>
      </c>
      <c r="C807" s="2">
        <f>IFERROR(__xludf.DUMMYFUNCTION("""COMPUTED_VALUE"""),2160.0)</f>
        <v>2160</v>
      </c>
      <c r="D807" s="2">
        <f>IFERROR(__xludf.DUMMYFUNCTION("""COMPUTED_VALUE"""),2110.0)</f>
        <v>2110</v>
      </c>
      <c r="E807" s="2">
        <f>IFERROR(__xludf.DUMMYFUNCTION("""COMPUTED_VALUE"""),2110.0)</f>
        <v>2110</v>
      </c>
      <c r="F807" s="2">
        <f>IFERROR(__xludf.DUMMYFUNCTION("""COMPUTED_VALUE"""),9.63297E7)</f>
        <v>96329700</v>
      </c>
      <c r="G807" s="2">
        <f t="shared" si="1"/>
        <v>50</v>
      </c>
    </row>
    <row r="808" ht="15.75" customHeight="1">
      <c r="A808" s="1">
        <f>IFERROR(__xludf.DUMMYFUNCTION("""COMPUTED_VALUE"""),45033.66666666667)</f>
        <v>45033.66667</v>
      </c>
      <c r="B808" s="2">
        <f>IFERROR(__xludf.DUMMYFUNCTION("""COMPUTED_VALUE"""),2130.0)</f>
        <v>2130</v>
      </c>
      <c r="C808" s="2">
        <f>IFERROR(__xludf.DUMMYFUNCTION("""COMPUTED_VALUE"""),2140.0)</f>
        <v>2140</v>
      </c>
      <c r="D808" s="2">
        <f>IFERROR(__xludf.DUMMYFUNCTION("""COMPUTED_VALUE"""),2100.0)</f>
        <v>2100</v>
      </c>
      <c r="E808" s="2">
        <f>IFERROR(__xludf.DUMMYFUNCTION("""COMPUTED_VALUE"""),2120.0)</f>
        <v>2120</v>
      </c>
      <c r="F808" s="2">
        <f>IFERROR(__xludf.DUMMYFUNCTION("""COMPUTED_VALUE"""),4.58022E7)</f>
        <v>45802200</v>
      </c>
      <c r="G808" s="2">
        <f t="shared" si="1"/>
        <v>40</v>
      </c>
    </row>
    <row r="809" ht="15.75" customHeight="1">
      <c r="A809" s="1">
        <f>IFERROR(__xludf.DUMMYFUNCTION("""COMPUTED_VALUE"""),45034.66666666667)</f>
        <v>45034.66667</v>
      </c>
      <c r="B809" s="2">
        <f>IFERROR(__xludf.DUMMYFUNCTION("""COMPUTED_VALUE"""),2120.0)</f>
        <v>2120</v>
      </c>
      <c r="C809" s="2">
        <f>IFERROR(__xludf.DUMMYFUNCTION("""COMPUTED_VALUE"""),2130.0)</f>
        <v>2130</v>
      </c>
      <c r="D809" s="2">
        <f>IFERROR(__xludf.DUMMYFUNCTION("""COMPUTED_VALUE"""),2080.0)</f>
        <v>2080</v>
      </c>
      <c r="E809" s="2">
        <f>IFERROR(__xludf.DUMMYFUNCTION("""COMPUTED_VALUE"""),2100.0)</f>
        <v>2100</v>
      </c>
      <c r="F809" s="2">
        <f>IFERROR(__xludf.DUMMYFUNCTION("""COMPUTED_VALUE"""),4.19606E7)</f>
        <v>41960600</v>
      </c>
      <c r="G809" s="2">
        <f t="shared" si="1"/>
        <v>50</v>
      </c>
    </row>
    <row r="810" ht="15.75" customHeight="1">
      <c r="A810" s="1">
        <f>IFERROR(__xludf.DUMMYFUNCTION("""COMPUTED_VALUE"""),45042.66666666667)</f>
        <v>45042.66667</v>
      </c>
      <c r="B810" s="2">
        <f>IFERROR(__xludf.DUMMYFUNCTION("""COMPUTED_VALUE"""),2080.0)</f>
        <v>2080</v>
      </c>
      <c r="C810" s="2">
        <f>IFERROR(__xludf.DUMMYFUNCTION("""COMPUTED_VALUE"""),2110.0)</f>
        <v>2110</v>
      </c>
      <c r="D810" s="2">
        <f>IFERROR(__xludf.DUMMYFUNCTION("""COMPUTED_VALUE"""),2060.0)</f>
        <v>2060</v>
      </c>
      <c r="E810" s="2">
        <f>IFERROR(__xludf.DUMMYFUNCTION("""COMPUTED_VALUE"""),2110.0)</f>
        <v>2110</v>
      </c>
      <c r="F810" s="2">
        <f>IFERROR(__xludf.DUMMYFUNCTION("""COMPUTED_VALUE"""),5.30659E7)</f>
        <v>53065900</v>
      </c>
      <c r="G810" s="2">
        <f t="shared" si="1"/>
        <v>50</v>
      </c>
    </row>
    <row r="811" ht="15.75" customHeight="1">
      <c r="A811" s="1">
        <f>IFERROR(__xludf.DUMMYFUNCTION("""COMPUTED_VALUE"""),45043.66666666667)</f>
        <v>45043.66667</v>
      </c>
      <c r="B811" s="2">
        <f>IFERROR(__xludf.DUMMYFUNCTION("""COMPUTED_VALUE"""),2120.0)</f>
        <v>2120</v>
      </c>
      <c r="C811" s="2">
        <f>IFERROR(__xludf.DUMMYFUNCTION("""COMPUTED_VALUE"""),2120.0)</f>
        <v>2120</v>
      </c>
      <c r="D811" s="2">
        <f>IFERROR(__xludf.DUMMYFUNCTION("""COMPUTED_VALUE"""),2080.0)</f>
        <v>2080</v>
      </c>
      <c r="E811" s="2">
        <f>IFERROR(__xludf.DUMMYFUNCTION("""COMPUTED_VALUE"""),2080.0)</f>
        <v>2080</v>
      </c>
      <c r="F811" s="2">
        <f>IFERROR(__xludf.DUMMYFUNCTION("""COMPUTED_VALUE"""),2.46068E7)</f>
        <v>24606800</v>
      </c>
      <c r="G811" s="2">
        <f t="shared" si="1"/>
        <v>40</v>
      </c>
    </row>
    <row r="812" ht="15.75" customHeight="1">
      <c r="A812" s="1">
        <f>IFERROR(__xludf.DUMMYFUNCTION("""COMPUTED_VALUE"""),45044.66666666667)</f>
        <v>45044.66667</v>
      </c>
      <c r="B812" s="2">
        <f>IFERROR(__xludf.DUMMYFUNCTION("""COMPUTED_VALUE"""),2090.0)</f>
        <v>2090</v>
      </c>
      <c r="C812" s="2">
        <f>IFERROR(__xludf.DUMMYFUNCTION("""COMPUTED_VALUE"""),2110.0)</f>
        <v>2110</v>
      </c>
      <c r="D812" s="2">
        <f>IFERROR(__xludf.DUMMYFUNCTION("""COMPUTED_VALUE"""),2070.0)</f>
        <v>2070</v>
      </c>
      <c r="E812" s="2">
        <f>IFERROR(__xludf.DUMMYFUNCTION("""COMPUTED_VALUE"""),2100.0)</f>
        <v>2100</v>
      </c>
      <c r="F812" s="2">
        <f>IFERROR(__xludf.DUMMYFUNCTION("""COMPUTED_VALUE"""),3.84859E7)</f>
        <v>38485900</v>
      </c>
      <c r="G812" s="2">
        <f t="shared" si="1"/>
        <v>40</v>
      </c>
    </row>
    <row r="813" ht="15.75" customHeight="1">
      <c r="A813" s="1">
        <f>IFERROR(__xludf.DUMMYFUNCTION("""COMPUTED_VALUE"""),45048.66666666667)</f>
        <v>45048.66667</v>
      </c>
      <c r="B813" s="2">
        <f>IFERROR(__xludf.DUMMYFUNCTION("""COMPUTED_VALUE"""),2090.0)</f>
        <v>2090</v>
      </c>
      <c r="C813" s="2">
        <f>IFERROR(__xludf.DUMMYFUNCTION("""COMPUTED_VALUE"""),2100.0)</f>
        <v>2100</v>
      </c>
      <c r="D813" s="2">
        <f>IFERROR(__xludf.DUMMYFUNCTION("""COMPUTED_VALUE"""),2030.0)</f>
        <v>2030</v>
      </c>
      <c r="E813" s="2">
        <f>IFERROR(__xludf.DUMMYFUNCTION("""COMPUTED_VALUE"""),2060.0)</f>
        <v>2060</v>
      </c>
      <c r="F813" s="2">
        <f>IFERROR(__xludf.DUMMYFUNCTION("""COMPUTED_VALUE"""),4.5566E7)</f>
        <v>45566000</v>
      </c>
      <c r="G813" s="2">
        <f t="shared" si="1"/>
        <v>70</v>
      </c>
    </row>
    <row r="814" ht="15.75" customHeight="1">
      <c r="A814" s="1">
        <f>IFERROR(__xludf.DUMMYFUNCTION("""COMPUTED_VALUE"""),45049.66666666667)</f>
        <v>45049.66667</v>
      </c>
      <c r="B814" s="2">
        <f>IFERROR(__xludf.DUMMYFUNCTION("""COMPUTED_VALUE"""),2110.0)</f>
        <v>2110</v>
      </c>
      <c r="C814" s="2">
        <f>IFERROR(__xludf.DUMMYFUNCTION("""COMPUTED_VALUE"""),2150.0)</f>
        <v>2150</v>
      </c>
      <c r="D814" s="2">
        <f>IFERROR(__xludf.DUMMYFUNCTION("""COMPUTED_VALUE"""),2100.0)</f>
        <v>2100</v>
      </c>
      <c r="E814" s="2">
        <f>IFERROR(__xludf.DUMMYFUNCTION("""COMPUTED_VALUE"""),2120.0)</f>
        <v>2120</v>
      </c>
      <c r="F814" s="2">
        <f>IFERROR(__xludf.DUMMYFUNCTION("""COMPUTED_VALUE"""),8.48796E7)</f>
        <v>84879600</v>
      </c>
      <c r="G814" s="2">
        <f t="shared" si="1"/>
        <v>90</v>
      </c>
    </row>
    <row r="815" ht="15.75" customHeight="1">
      <c r="A815" s="1">
        <f>IFERROR(__xludf.DUMMYFUNCTION("""COMPUTED_VALUE"""),45050.66666666667)</f>
        <v>45050.66667</v>
      </c>
      <c r="B815" s="2">
        <f>IFERROR(__xludf.DUMMYFUNCTION("""COMPUTED_VALUE"""),2140.0)</f>
        <v>2140</v>
      </c>
      <c r="C815" s="2">
        <f>IFERROR(__xludf.DUMMYFUNCTION("""COMPUTED_VALUE"""),2150.0)</f>
        <v>2150</v>
      </c>
      <c r="D815" s="2">
        <f>IFERROR(__xludf.DUMMYFUNCTION("""COMPUTED_VALUE"""),2110.0)</f>
        <v>2110</v>
      </c>
      <c r="E815" s="2">
        <f>IFERROR(__xludf.DUMMYFUNCTION("""COMPUTED_VALUE"""),2130.0)</f>
        <v>2130</v>
      </c>
      <c r="F815" s="2">
        <f>IFERROR(__xludf.DUMMYFUNCTION("""COMPUTED_VALUE"""),5.69255E7)</f>
        <v>56925500</v>
      </c>
      <c r="G815" s="2">
        <f t="shared" si="1"/>
        <v>40</v>
      </c>
    </row>
    <row r="816" ht="15.75" customHeight="1">
      <c r="A816" s="1">
        <f>IFERROR(__xludf.DUMMYFUNCTION("""COMPUTED_VALUE"""),45051.66666666667)</f>
        <v>45051.66667</v>
      </c>
      <c r="B816" s="2">
        <f>IFERROR(__xludf.DUMMYFUNCTION("""COMPUTED_VALUE"""),2130.0)</f>
        <v>2130</v>
      </c>
      <c r="C816" s="2">
        <f>IFERROR(__xludf.DUMMYFUNCTION("""COMPUTED_VALUE"""),2130.0)</f>
        <v>2130</v>
      </c>
      <c r="D816" s="2">
        <f>IFERROR(__xludf.DUMMYFUNCTION("""COMPUTED_VALUE"""),2020.0)</f>
        <v>2020</v>
      </c>
      <c r="E816" s="2">
        <f>IFERROR(__xludf.DUMMYFUNCTION("""COMPUTED_VALUE"""),2040.0)</f>
        <v>2040</v>
      </c>
      <c r="F816" s="2">
        <f>IFERROR(__xludf.DUMMYFUNCTION("""COMPUTED_VALUE"""),6.54331E7)</f>
        <v>65433100</v>
      </c>
      <c r="G816" s="2">
        <f t="shared" si="1"/>
        <v>110</v>
      </c>
    </row>
    <row r="817" ht="15.75" customHeight="1">
      <c r="A817" s="1">
        <f>IFERROR(__xludf.DUMMYFUNCTION("""COMPUTED_VALUE"""),45054.66666666667)</f>
        <v>45054.66667</v>
      </c>
      <c r="B817" s="2">
        <f>IFERROR(__xludf.DUMMYFUNCTION("""COMPUTED_VALUE"""),2060.0)</f>
        <v>2060</v>
      </c>
      <c r="C817" s="2">
        <f>IFERROR(__xludf.DUMMYFUNCTION("""COMPUTED_VALUE"""),2090.0)</f>
        <v>2090</v>
      </c>
      <c r="D817" s="2">
        <f>IFERROR(__xludf.DUMMYFUNCTION("""COMPUTED_VALUE"""),2040.0)</f>
        <v>2040</v>
      </c>
      <c r="E817" s="2">
        <f>IFERROR(__xludf.DUMMYFUNCTION("""COMPUTED_VALUE"""),2070.0)</f>
        <v>2070</v>
      </c>
      <c r="F817" s="2">
        <f>IFERROR(__xludf.DUMMYFUNCTION("""COMPUTED_VALUE"""),2.97068E7)</f>
        <v>29706800</v>
      </c>
      <c r="G817" s="2">
        <f t="shared" si="1"/>
        <v>50</v>
      </c>
    </row>
    <row r="818" ht="15.75" customHeight="1">
      <c r="A818" s="1">
        <f>IFERROR(__xludf.DUMMYFUNCTION("""COMPUTED_VALUE"""),45055.66666666667)</f>
        <v>45055.66667</v>
      </c>
      <c r="B818" s="2">
        <f>IFERROR(__xludf.DUMMYFUNCTION("""COMPUTED_VALUE"""),2080.0)</f>
        <v>2080</v>
      </c>
      <c r="C818" s="2">
        <f>IFERROR(__xludf.DUMMYFUNCTION("""COMPUTED_VALUE"""),2120.0)</f>
        <v>2120</v>
      </c>
      <c r="D818" s="2">
        <f>IFERROR(__xludf.DUMMYFUNCTION("""COMPUTED_VALUE"""),2070.0)</f>
        <v>2070</v>
      </c>
      <c r="E818" s="2">
        <f>IFERROR(__xludf.DUMMYFUNCTION("""COMPUTED_VALUE"""),2110.0)</f>
        <v>2110</v>
      </c>
      <c r="F818" s="2">
        <f>IFERROR(__xludf.DUMMYFUNCTION("""COMPUTED_VALUE"""),3.88603E7)</f>
        <v>38860300</v>
      </c>
      <c r="G818" s="2">
        <f t="shared" si="1"/>
        <v>50</v>
      </c>
    </row>
    <row r="819" ht="15.75" customHeight="1">
      <c r="A819" s="1">
        <f>IFERROR(__xludf.DUMMYFUNCTION("""COMPUTED_VALUE"""),45056.66666666667)</f>
        <v>45056.66667</v>
      </c>
      <c r="B819" s="2">
        <f>IFERROR(__xludf.DUMMYFUNCTION("""COMPUTED_VALUE"""),2110.0)</f>
        <v>2110</v>
      </c>
      <c r="C819" s="2">
        <f>IFERROR(__xludf.DUMMYFUNCTION("""COMPUTED_VALUE"""),2120.0)</f>
        <v>2120</v>
      </c>
      <c r="D819" s="2">
        <f>IFERROR(__xludf.DUMMYFUNCTION("""COMPUTED_VALUE"""),2070.0)</f>
        <v>2070</v>
      </c>
      <c r="E819" s="2">
        <f>IFERROR(__xludf.DUMMYFUNCTION("""COMPUTED_VALUE"""),2100.0)</f>
        <v>2100</v>
      </c>
      <c r="F819" s="2">
        <f>IFERROR(__xludf.DUMMYFUNCTION("""COMPUTED_VALUE"""),2.95961E7)</f>
        <v>29596100</v>
      </c>
      <c r="G819" s="2">
        <f t="shared" si="1"/>
        <v>50</v>
      </c>
    </row>
    <row r="820" ht="15.75" customHeight="1">
      <c r="A820" s="1">
        <f>IFERROR(__xludf.DUMMYFUNCTION("""COMPUTED_VALUE"""),45057.66666666667)</f>
        <v>45057.66667</v>
      </c>
      <c r="B820" s="2">
        <f>IFERROR(__xludf.DUMMYFUNCTION("""COMPUTED_VALUE"""),2080.0)</f>
        <v>2080</v>
      </c>
      <c r="C820" s="2">
        <f>IFERROR(__xludf.DUMMYFUNCTION("""COMPUTED_VALUE"""),2080.0)</f>
        <v>2080</v>
      </c>
      <c r="D820" s="2">
        <f>IFERROR(__xludf.DUMMYFUNCTION("""COMPUTED_VALUE"""),2030.0)</f>
        <v>2030</v>
      </c>
      <c r="E820" s="2">
        <f>IFERROR(__xludf.DUMMYFUNCTION("""COMPUTED_VALUE"""),2040.0)</f>
        <v>2040</v>
      </c>
      <c r="F820" s="2">
        <f>IFERROR(__xludf.DUMMYFUNCTION("""COMPUTED_VALUE"""),6.09848E7)</f>
        <v>60984800</v>
      </c>
      <c r="G820" s="2">
        <f t="shared" si="1"/>
        <v>70</v>
      </c>
    </row>
    <row r="821" ht="15.75" customHeight="1">
      <c r="A821" s="1">
        <f>IFERROR(__xludf.DUMMYFUNCTION("""COMPUTED_VALUE"""),45058.66666666667)</f>
        <v>45058.66667</v>
      </c>
      <c r="B821" s="2">
        <f>IFERROR(__xludf.DUMMYFUNCTION("""COMPUTED_VALUE"""),2030.0)</f>
        <v>2030</v>
      </c>
      <c r="C821" s="2">
        <f>IFERROR(__xludf.DUMMYFUNCTION("""COMPUTED_VALUE"""),2030.0)</f>
        <v>2030</v>
      </c>
      <c r="D821" s="2">
        <f>IFERROR(__xludf.DUMMYFUNCTION("""COMPUTED_VALUE"""),1990.0)</f>
        <v>1990</v>
      </c>
      <c r="E821" s="2">
        <f>IFERROR(__xludf.DUMMYFUNCTION("""COMPUTED_VALUE"""),2000.0)</f>
        <v>2000</v>
      </c>
      <c r="F821" s="2">
        <f>IFERROR(__xludf.DUMMYFUNCTION("""COMPUTED_VALUE"""),5.58272E7)</f>
        <v>55827200</v>
      </c>
      <c r="G821" s="2">
        <f t="shared" si="1"/>
        <v>50</v>
      </c>
    </row>
    <row r="822" ht="15.75" customHeight="1">
      <c r="A822" s="1">
        <f>IFERROR(__xludf.DUMMYFUNCTION("""COMPUTED_VALUE"""),45061.66666666667)</f>
        <v>45061.66667</v>
      </c>
      <c r="B822" s="2">
        <f>IFERROR(__xludf.DUMMYFUNCTION("""COMPUTED_VALUE"""),2000.0)</f>
        <v>2000</v>
      </c>
      <c r="C822" s="2">
        <f>IFERROR(__xludf.DUMMYFUNCTION("""COMPUTED_VALUE"""),2020.0)</f>
        <v>2020</v>
      </c>
      <c r="D822" s="2">
        <f>IFERROR(__xludf.DUMMYFUNCTION("""COMPUTED_VALUE"""),1970.0)</f>
        <v>1970</v>
      </c>
      <c r="E822" s="2">
        <f>IFERROR(__xludf.DUMMYFUNCTION("""COMPUTED_VALUE"""),1990.0)</f>
        <v>1990</v>
      </c>
      <c r="F822" s="2">
        <f>IFERROR(__xludf.DUMMYFUNCTION("""COMPUTED_VALUE"""),5.2156E7)</f>
        <v>52156000</v>
      </c>
      <c r="G822" s="2">
        <f t="shared" si="1"/>
        <v>50</v>
      </c>
    </row>
    <row r="823" ht="15.75" customHeight="1">
      <c r="A823" s="1">
        <f>IFERROR(__xludf.DUMMYFUNCTION("""COMPUTED_VALUE"""),45062.66666666667)</f>
        <v>45062.66667</v>
      </c>
      <c r="B823" s="2">
        <f>IFERROR(__xludf.DUMMYFUNCTION("""COMPUTED_VALUE"""),1990.0)</f>
        <v>1990</v>
      </c>
      <c r="C823" s="2">
        <f>IFERROR(__xludf.DUMMYFUNCTION("""COMPUTED_VALUE"""),2000.0)</f>
        <v>2000</v>
      </c>
      <c r="D823" s="2">
        <f>IFERROR(__xludf.DUMMYFUNCTION("""COMPUTED_VALUE"""),1955.0)</f>
        <v>1955</v>
      </c>
      <c r="E823" s="2">
        <f>IFERROR(__xludf.DUMMYFUNCTION("""COMPUTED_VALUE"""),1970.0)</f>
        <v>1970</v>
      </c>
      <c r="F823" s="2">
        <f>IFERROR(__xludf.DUMMYFUNCTION("""COMPUTED_VALUE"""),4.67807E7)</f>
        <v>46780700</v>
      </c>
      <c r="G823" s="2">
        <f t="shared" si="1"/>
        <v>45</v>
      </c>
    </row>
    <row r="824" ht="15.75" customHeight="1">
      <c r="A824" s="1">
        <f>IFERROR(__xludf.DUMMYFUNCTION("""COMPUTED_VALUE"""),45063.66666666667)</f>
        <v>45063.66667</v>
      </c>
      <c r="B824" s="2">
        <f>IFERROR(__xludf.DUMMYFUNCTION("""COMPUTED_VALUE"""),1960.0)</f>
        <v>1960</v>
      </c>
      <c r="C824" s="2">
        <f>IFERROR(__xludf.DUMMYFUNCTION("""COMPUTED_VALUE"""),1965.0)</f>
        <v>1965</v>
      </c>
      <c r="D824" s="2">
        <f>IFERROR(__xludf.DUMMYFUNCTION("""COMPUTED_VALUE"""),1915.0)</f>
        <v>1915</v>
      </c>
      <c r="E824" s="2">
        <f>IFERROR(__xludf.DUMMYFUNCTION("""COMPUTED_VALUE"""),1935.0)</f>
        <v>1935</v>
      </c>
      <c r="F824" s="2">
        <f>IFERROR(__xludf.DUMMYFUNCTION("""COMPUTED_VALUE"""),5.75351E7)</f>
        <v>57535100</v>
      </c>
      <c r="G824" s="2">
        <f t="shared" si="1"/>
        <v>55</v>
      </c>
    </row>
    <row r="825" ht="15.75" customHeight="1">
      <c r="A825" s="1">
        <f>IFERROR(__xludf.DUMMYFUNCTION("""COMPUTED_VALUE"""),45065.66666666667)</f>
        <v>45065.66667</v>
      </c>
      <c r="B825" s="2">
        <f>IFERROR(__xludf.DUMMYFUNCTION("""COMPUTED_VALUE"""),1935.0)</f>
        <v>1935</v>
      </c>
      <c r="C825" s="2">
        <f>IFERROR(__xludf.DUMMYFUNCTION("""COMPUTED_VALUE"""),1970.0)</f>
        <v>1970</v>
      </c>
      <c r="D825" s="2">
        <f>IFERROR(__xludf.DUMMYFUNCTION("""COMPUTED_VALUE"""),1920.0)</f>
        <v>1920</v>
      </c>
      <c r="E825" s="2">
        <f>IFERROR(__xludf.DUMMYFUNCTION("""COMPUTED_VALUE"""),1955.0)</f>
        <v>1955</v>
      </c>
      <c r="F825" s="2">
        <f>IFERROR(__xludf.DUMMYFUNCTION("""COMPUTED_VALUE"""),4.59748E7)</f>
        <v>45974800</v>
      </c>
      <c r="G825" s="2">
        <f t="shared" si="1"/>
        <v>50</v>
      </c>
    </row>
    <row r="826" ht="15.75" customHeight="1">
      <c r="A826" s="1">
        <f>IFERROR(__xludf.DUMMYFUNCTION("""COMPUTED_VALUE"""),45068.66666666667)</f>
        <v>45068.66667</v>
      </c>
      <c r="B826" s="2">
        <f>IFERROR(__xludf.DUMMYFUNCTION("""COMPUTED_VALUE"""),1960.0)</f>
        <v>1960</v>
      </c>
      <c r="C826" s="2">
        <f>IFERROR(__xludf.DUMMYFUNCTION("""COMPUTED_VALUE"""),1990.0)</f>
        <v>1990</v>
      </c>
      <c r="D826" s="2">
        <f>IFERROR(__xludf.DUMMYFUNCTION("""COMPUTED_VALUE"""),1935.0)</f>
        <v>1935</v>
      </c>
      <c r="E826" s="2">
        <f>IFERROR(__xludf.DUMMYFUNCTION("""COMPUTED_VALUE"""),1940.0)</f>
        <v>1940</v>
      </c>
      <c r="F826" s="2">
        <f>IFERROR(__xludf.DUMMYFUNCTION("""COMPUTED_VALUE"""),5.1978E7)</f>
        <v>51978000</v>
      </c>
      <c r="G826" s="2">
        <f t="shared" si="1"/>
        <v>55</v>
      </c>
    </row>
    <row r="827" ht="15.75" customHeight="1">
      <c r="A827" s="1">
        <f>IFERROR(__xludf.DUMMYFUNCTION("""COMPUTED_VALUE"""),45069.66666666667)</f>
        <v>45069.66667</v>
      </c>
      <c r="B827" s="2">
        <f>IFERROR(__xludf.DUMMYFUNCTION("""COMPUTED_VALUE"""),1940.0)</f>
        <v>1940</v>
      </c>
      <c r="C827" s="2">
        <f>IFERROR(__xludf.DUMMYFUNCTION("""COMPUTED_VALUE"""),1970.0)</f>
        <v>1970</v>
      </c>
      <c r="D827" s="2">
        <f>IFERROR(__xludf.DUMMYFUNCTION("""COMPUTED_VALUE"""),1940.0)</f>
        <v>1940</v>
      </c>
      <c r="E827" s="2">
        <f>IFERROR(__xludf.DUMMYFUNCTION("""COMPUTED_VALUE"""),1945.0)</f>
        <v>1945</v>
      </c>
      <c r="F827" s="2">
        <f>IFERROR(__xludf.DUMMYFUNCTION("""COMPUTED_VALUE"""),5.00664E7)</f>
        <v>50066400</v>
      </c>
      <c r="G827" s="2">
        <f t="shared" si="1"/>
        <v>30</v>
      </c>
    </row>
    <row r="828" ht="15.75" customHeight="1">
      <c r="A828" s="1">
        <f>IFERROR(__xludf.DUMMYFUNCTION("""COMPUTED_VALUE"""),45070.66666666667)</f>
        <v>45070.66667</v>
      </c>
      <c r="B828" s="2">
        <f>IFERROR(__xludf.DUMMYFUNCTION("""COMPUTED_VALUE"""),1950.0)</f>
        <v>1950</v>
      </c>
      <c r="C828" s="2">
        <f>IFERROR(__xludf.DUMMYFUNCTION("""COMPUTED_VALUE"""),1960.0)</f>
        <v>1960</v>
      </c>
      <c r="D828" s="2">
        <f>IFERROR(__xludf.DUMMYFUNCTION("""COMPUTED_VALUE"""),1945.0)</f>
        <v>1945</v>
      </c>
      <c r="E828" s="2">
        <f>IFERROR(__xludf.DUMMYFUNCTION("""COMPUTED_VALUE"""),1950.0)</f>
        <v>1950</v>
      </c>
      <c r="F828" s="2">
        <f>IFERROR(__xludf.DUMMYFUNCTION("""COMPUTED_VALUE"""),2.55783E7)</f>
        <v>25578300</v>
      </c>
      <c r="G828" s="2">
        <f t="shared" si="1"/>
        <v>15</v>
      </c>
    </row>
    <row r="829" ht="15.75" customHeight="1">
      <c r="A829" s="1">
        <f>IFERROR(__xludf.DUMMYFUNCTION("""COMPUTED_VALUE"""),45071.66666666667)</f>
        <v>45071.66667</v>
      </c>
      <c r="B829" s="2">
        <f>IFERROR(__xludf.DUMMYFUNCTION("""COMPUTED_VALUE"""),1950.0)</f>
        <v>1950</v>
      </c>
      <c r="C829" s="2">
        <f>IFERROR(__xludf.DUMMYFUNCTION("""COMPUTED_VALUE"""),1965.0)</f>
        <v>1965</v>
      </c>
      <c r="D829" s="2">
        <f>IFERROR(__xludf.DUMMYFUNCTION("""COMPUTED_VALUE"""),1940.0)</f>
        <v>1940</v>
      </c>
      <c r="E829" s="2">
        <f>IFERROR(__xludf.DUMMYFUNCTION("""COMPUTED_VALUE"""),1945.0)</f>
        <v>1945</v>
      </c>
      <c r="F829" s="2">
        <f>IFERROR(__xludf.DUMMYFUNCTION("""COMPUTED_VALUE"""),3.06498E7)</f>
        <v>30649800</v>
      </c>
      <c r="G829" s="2">
        <f t="shared" si="1"/>
        <v>25</v>
      </c>
    </row>
    <row r="830" ht="15.75" customHeight="1">
      <c r="A830" s="1">
        <f>IFERROR(__xludf.DUMMYFUNCTION("""COMPUTED_VALUE"""),45072.66666666667)</f>
        <v>45072.66667</v>
      </c>
      <c r="B830" s="2">
        <f>IFERROR(__xludf.DUMMYFUNCTION("""COMPUTED_VALUE"""),1945.0)</f>
        <v>1945</v>
      </c>
      <c r="C830" s="2">
        <f>IFERROR(__xludf.DUMMYFUNCTION("""COMPUTED_VALUE"""),1950.0)</f>
        <v>1950</v>
      </c>
      <c r="D830" s="2">
        <f>IFERROR(__xludf.DUMMYFUNCTION("""COMPUTED_VALUE"""),1920.0)</f>
        <v>1920</v>
      </c>
      <c r="E830" s="2">
        <f>IFERROR(__xludf.DUMMYFUNCTION("""COMPUTED_VALUE"""),1920.0)</f>
        <v>1920</v>
      </c>
      <c r="F830" s="2">
        <f>IFERROR(__xludf.DUMMYFUNCTION("""COMPUTED_VALUE"""),3.54805E7)</f>
        <v>35480500</v>
      </c>
      <c r="G830" s="2">
        <f t="shared" si="1"/>
        <v>30</v>
      </c>
    </row>
    <row r="831" ht="15.75" customHeight="1">
      <c r="A831" s="1">
        <f>IFERROR(__xludf.DUMMYFUNCTION("""COMPUTED_VALUE"""),45075.66666666667)</f>
        <v>45075.66667</v>
      </c>
      <c r="B831" s="2">
        <f>IFERROR(__xludf.DUMMYFUNCTION("""COMPUTED_VALUE"""),1920.0)</f>
        <v>1920</v>
      </c>
      <c r="C831" s="2">
        <f>IFERROR(__xludf.DUMMYFUNCTION("""COMPUTED_VALUE"""),1935.0)</f>
        <v>1935</v>
      </c>
      <c r="D831" s="2">
        <f>IFERROR(__xludf.DUMMYFUNCTION("""COMPUTED_VALUE"""),1905.0)</f>
        <v>1905</v>
      </c>
      <c r="E831" s="2">
        <f>IFERROR(__xludf.DUMMYFUNCTION("""COMPUTED_VALUE"""),1935.0)</f>
        <v>1935</v>
      </c>
      <c r="F831" s="2">
        <f>IFERROR(__xludf.DUMMYFUNCTION("""COMPUTED_VALUE"""),3.32366E7)</f>
        <v>33236600</v>
      </c>
      <c r="G831" s="2">
        <f t="shared" si="1"/>
        <v>30</v>
      </c>
    </row>
    <row r="832" ht="15.75" customHeight="1">
      <c r="A832" s="1">
        <f>IFERROR(__xludf.DUMMYFUNCTION("""COMPUTED_VALUE"""),45076.66666666667)</f>
        <v>45076.66667</v>
      </c>
      <c r="B832" s="2">
        <f>IFERROR(__xludf.DUMMYFUNCTION("""COMPUTED_VALUE"""),1935.0)</f>
        <v>1935</v>
      </c>
      <c r="C832" s="2">
        <f>IFERROR(__xludf.DUMMYFUNCTION("""COMPUTED_VALUE"""),1960.0)</f>
        <v>1960</v>
      </c>
      <c r="D832" s="2">
        <f>IFERROR(__xludf.DUMMYFUNCTION("""COMPUTED_VALUE"""),1930.0)</f>
        <v>1930</v>
      </c>
      <c r="E832" s="2">
        <f>IFERROR(__xludf.DUMMYFUNCTION("""COMPUTED_VALUE"""),1940.0)</f>
        <v>1940</v>
      </c>
      <c r="F832" s="2">
        <f>IFERROR(__xludf.DUMMYFUNCTION("""COMPUTED_VALUE"""),2.01048E7)</f>
        <v>20104800</v>
      </c>
      <c r="G832" s="2">
        <f t="shared" si="1"/>
        <v>30</v>
      </c>
    </row>
    <row r="833" ht="15.75" customHeight="1">
      <c r="A833" s="1">
        <f>IFERROR(__xludf.DUMMYFUNCTION("""COMPUTED_VALUE"""),45077.66666666667)</f>
        <v>45077.66667</v>
      </c>
      <c r="B833" s="2">
        <f>IFERROR(__xludf.DUMMYFUNCTION("""COMPUTED_VALUE"""),1940.0)</f>
        <v>1940</v>
      </c>
      <c r="C833" s="2">
        <f>IFERROR(__xludf.DUMMYFUNCTION("""COMPUTED_VALUE"""),1945.0)</f>
        <v>1945</v>
      </c>
      <c r="D833" s="2">
        <f>IFERROR(__xludf.DUMMYFUNCTION("""COMPUTED_VALUE"""),1895.0)</f>
        <v>1895</v>
      </c>
      <c r="E833" s="2">
        <f>IFERROR(__xludf.DUMMYFUNCTION("""COMPUTED_VALUE"""),1895.0)</f>
        <v>1895</v>
      </c>
      <c r="F833" s="2">
        <f>IFERROR(__xludf.DUMMYFUNCTION("""COMPUTED_VALUE"""),1.125648E8)</f>
        <v>112564800</v>
      </c>
      <c r="G833" s="2">
        <f t="shared" si="1"/>
        <v>50</v>
      </c>
    </row>
    <row r="834" ht="15.75" customHeight="1">
      <c r="A834" s="1">
        <f>IFERROR(__xludf.DUMMYFUNCTION("""COMPUTED_VALUE"""),45082.66666666667)</f>
        <v>45082.66667</v>
      </c>
      <c r="B834" s="2">
        <f>IFERROR(__xludf.DUMMYFUNCTION("""COMPUTED_VALUE"""),1905.0)</f>
        <v>1905</v>
      </c>
      <c r="C834" s="2">
        <f>IFERROR(__xludf.DUMMYFUNCTION("""COMPUTED_VALUE"""),1995.0)</f>
        <v>1995</v>
      </c>
      <c r="D834" s="2">
        <f>IFERROR(__xludf.DUMMYFUNCTION("""COMPUTED_VALUE"""),1905.0)</f>
        <v>1905</v>
      </c>
      <c r="E834" s="2">
        <f>IFERROR(__xludf.DUMMYFUNCTION("""COMPUTED_VALUE"""),1975.0)</f>
        <v>1975</v>
      </c>
      <c r="F834" s="2">
        <f>IFERROR(__xludf.DUMMYFUNCTION("""COMPUTED_VALUE"""),6.53718E7)</f>
        <v>65371800</v>
      </c>
      <c r="G834" s="2">
        <f t="shared" si="1"/>
        <v>100</v>
      </c>
    </row>
    <row r="835" ht="15.75" customHeight="1">
      <c r="A835" s="1">
        <f>IFERROR(__xludf.DUMMYFUNCTION("""COMPUTED_VALUE"""),45083.66666666667)</f>
        <v>45083.66667</v>
      </c>
      <c r="B835" s="2">
        <f>IFERROR(__xludf.DUMMYFUNCTION("""COMPUTED_VALUE"""),1985.0)</f>
        <v>1985</v>
      </c>
      <c r="C835" s="2">
        <f>IFERROR(__xludf.DUMMYFUNCTION("""COMPUTED_VALUE"""),2030.0)</f>
        <v>2030</v>
      </c>
      <c r="D835" s="2">
        <f>IFERROR(__xludf.DUMMYFUNCTION("""COMPUTED_VALUE"""),1985.0)</f>
        <v>1985</v>
      </c>
      <c r="E835" s="2">
        <f>IFERROR(__xludf.DUMMYFUNCTION("""COMPUTED_VALUE"""),2010.0)</f>
        <v>2010</v>
      </c>
      <c r="F835" s="2">
        <f>IFERROR(__xludf.DUMMYFUNCTION("""COMPUTED_VALUE"""),4.99881E7)</f>
        <v>49988100</v>
      </c>
      <c r="G835" s="2">
        <f t="shared" si="1"/>
        <v>55</v>
      </c>
    </row>
    <row r="836" ht="15.75" customHeight="1">
      <c r="A836" s="1">
        <f>IFERROR(__xludf.DUMMYFUNCTION("""COMPUTED_VALUE"""),45084.66666666667)</f>
        <v>45084.66667</v>
      </c>
      <c r="B836" s="2">
        <f>IFERROR(__xludf.DUMMYFUNCTION("""COMPUTED_VALUE"""),2010.0)</f>
        <v>2010</v>
      </c>
      <c r="C836" s="2">
        <f>IFERROR(__xludf.DUMMYFUNCTION("""COMPUTED_VALUE"""),2030.0)</f>
        <v>2030</v>
      </c>
      <c r="D836" s="2">
        <f>IFERROR(__xludf.DUMMYFUNCTION("""COMPUTED_VALUE"""),1990.0)</f>
        <v>1990</v>
      </c>
      <c r="E836" s="2">
        <f>IFERROR(__xludf.DUMMYFUNCTION("""COMPUTED_VALUE"""),2020.0)</f>
        <v>2020</v>
      </c>
      <c r="F836" s="2">
        <f>IFERROR(__xludf.DUMMYFUNCTION("""COMPUTED_VALUE"""),3.38469E7)</f>
        <v>33846900</v>
      </c>
      <c r="G836" s="2">
        <f t="shared" si="1"/>
        <v>40</v>
      </c>
    </row>
    <row r="837" ht="15.75" customHeight="1">
      <c r="A837" s="1">
        <f>IFERROR(__xludf.DUMMYFUNCTION("""COMPUTED_VALUE"""),45085.66666666667)</f>
        <v>45085.66667</v>
      </c>
      <c r="B837" s="2">
        <f>IFERROR(__xludf.DUMMYFUNCTION("""COMPUTED_VALUE"""),2040.0)</f>
        <v>2040</v>
      </c>
      <c r="C837" s="2">
        <f>IFERROR(__xludf.DUMMYFUNCTION("""COMPUTED_VALUE"""),2040.0)</f>
        <v>2040</v>
      </c>
      <c r="D837" s="2">
        <f>IFERROR(__xludf.DUMMYFUNCTION("""COMPUTED_VALUE"""),1985.0)</f>
        <v>1985</v>
      </c>
      <c r="E837" s="2">
        <f>IFERROR(__xludf.DUMMYFUNCTION("""COMPUTED_VALUE"""),1985.0)</f>
        <v>1985</v>
      </c>
      <c r="F837" s="2">
        <f>IFERROR(__xludf.DUMMYFUNCTION("""COMPUTED_VALUE"""),3.61238E7)</f>
        <v>36123800</v>
      </c>
      <c r="G837" s="2">
        <f t="shared" si="1"/>
        <v>55</v>
      </c>
    </row>
    <row r="838" ht="15.75" customHeight="1">
      <c r="A838" s="1">
        <f>IFERROR(__xludf.DUMMYFUNCTION("""COMPUTED_VALUE"""),45086.66666666667)</f>
        <v>45086.66667</v>
      </c>
      <c r="B838" s="2">
        <f>IFERROR(__xludf.DUMMYFUNCTION("""COMPUTED_VALUE"""),1985.0)</f>
        <v>1985</v>
      </c>
      <c r="C838" s="2">
        <f>IFERROR(__xludf.DUMMYFUNCTION("""COMPUTED_VALUE"""),1995.0)</f>
        <v>1995</v>
      </c>
      <c r="D838" s="2">
        <f>IFERROR(__xludf.DUMMYFUNCTION("""COMPUTED_VALUE"""),1970.0)</f>
        <v>1970</v>
      </c>
      <c r="E838" s="2">
        <f>IFERROR(__xludf.DUMMYFUNCTION("""COMPUTED_VALUE"""),1975.0)</f>
        <v>1975</v>
      </c>
      <c r="F838" s="2">
        <f>IFERROR(__xludf.DUMMYFUNCTION("""COMPUTED_VALUE"""),2.49918E7)</f>
        <v>24991800</v>
      </c>
      <c r="G838" s="2">
        <f t="shared" si="1"/>
        <v>25</v>
      </c>
    </row>
    <row r="839" ht="15.75" customHeight="1">
      <c r="A839" s="1">
        <f>IFERROR(__xludf.DUMMYFUNCTION("""COMPUTED_VALUE"""),45089.66666666667)</f>
        <v>45089.66667</v>
      </c>
      <c r="B839" s="2">
        <f>IFERROR(__xludf.DUMMYFUNCTION("""COMPUTED_VALUE"""),1980.0)</f>
        <v>1980</v>
      </c>
      <c r="C839" s="2">
        <f>IFERROR(__xludf.DUMMYFUNCTION("""COMPUTED_VALUE"""),2000.0)</f>
        <v>2000</v>
      </c>
      <c r="D839" s="2">
        <f>IFERROR(__xludf.DUMMYFUNCTION("""COMPUTED_VALUE"""),1975.0)</f>
        <v>1975</v>
      </c>
      <c r="E839" s="2">
        <f>IFERROR(__xludf.DUMMYFUNCTION("""COMPUTED_VALUE"""),1995.0)</f>
        <v>1995</v>
      </c>
      <c r="F839" s="2">
        <f>IFERROR(__xludf.DUMMYFUNCTION("""COMPUTED_VALUE"""),2.30905E7)</f>
        <v>23090500</v>
      </c>
      <c r="G839" s="2">
        <f t="shared" si="1"/>
        <v>25</v>
      </c>
    </row>
    <row r="840" ht="15.75" customHeight="1">
      <c r="A840" s="1">
        <f>IFERROR(__xludf.DUMMYFUNCTION("""COMPUTED_VALUE"""),45090.66666666667)</f>
        <v>45090.66667</v>
      </c>
      <c r="B840" s="2">
        <f>IFERROR(__xludf.DUMMYFUNCTION("""COMPUTED_VALUE"""),1995.0)</f>
        <v>1995</v>
      </c>
      <c r="C840" s="2">
        <f>IFERROR(__xludf.DUMMYFUNCTION("""COMPUTED_VALUE"""),2020.0)</f>
        <v>2020</v>
      </c>
      <c r="D840" s="2">
        <f>IFERROR(__xludf.DUMMYFUNCTION("""COMPUTED_VALUE"""),1980.0)</f>
        <v>1980</v>
      </c>
      <c r="E840" s="2">
        <f>IFERROR(__xludf.DUMMYFUNCTION("""COMPUTED_VALUE"""),2010.0)</f>
        <v>2010</v>
      </c>
      <c r="F840" s="2">
        <f>IFERROR(__xludf.DUMMYFUNCTION("""COMPUTED_VALUE"""),2.79071E7)</f>
        <v>27907100</v>
      </c>
      <c r="G840" s="2">
        <f t="shared" si="1"/>
        <v>40</v>
      </c>
    </row>
    <row r="841" ht="15.75" customHeight="1">
      <c r="A841" s="1">
        <f>IFERROR(__xludf.DUMMYFUNCTION("""COMPUTED_VALUE"""),45091.66666666667)</f>
        <v>45091.66667</v>
      </c>
      <c r="B841" s="2">
        <f>IFERROR(__xludf.DUMMYFUNCTION("""COMPUTED_VALUE"""),2040.0)</f>
        <v>2040</v>
      </c>
      <c r="C841" s="2">
        <f>IFERROR(__xludf.DUMMYFUNCTION("""COMPUTED_VALUE"""),2050.0)</f>
        <v>2050</v>
      </c>
      <c r="D841" s="2">
        <f>IFERROR(__xludf.DUMMYFUNCTION("""COMPUTED_VALUE"""),2010.0)</f>
        <v>2010</v>
      </c>
      <c r="E841" s="2">
        <f>IFERROR(__xludf.DUMMYFUNCTION("""COMPUTED_VALUE"""),2030.0)</f>
        <v>2030</v>
      </c>
      <c r="F841" s="2">
        <f>IFERROR(__xludf.DUMMYFUNCTION("""COMPUTED_VALUE"""),5.45356E7)</f>
        <v>54535600</v>
      </c>
      <c r="G841" s="2">
        <f t="shared" si="1"/>
        <v>40</v>
      </c>
    </row>
    <row r="842" ht="15.75" customHeight="1">
      <c r="A842" s="1">
        <f>IFERROR(__xludf.DUMMYFUNCTION("""COMPUTED_VALUE"""),45092.66666666667)</f>
        <v>45092.66667</v>
      </c>
      <c r="B842" s="2">
        <f>IFERROR(__xludf.DUMMYFUNCTION("""COMPUTED_VALUE"""),2040.0)</f>
        <v>2040</v>
      </c>
      <c r="C842" s="2">
        <f>IFERROR(__xludf.DUMMYFUNCTION("""COMPUTED_VALUE"""),2050.0)</f>
        <v>2050</v>
      </c>
      <c r="D842" s="2">
        <f>IFERROR(__xludf.DUMMYFUNCTION("""COMPUTED_VALUE"""),2010.0)</f>
        <v>2010</v>
      </c>
      <c r="E842" s="2">
        <f>IFERROR(__xludf.DUMMYFUNCTION("""COMPUTED_VALUE"""),2040.0)</f>
        <v>2040</v>
      </c>
      <c r="F842" s="2">
        <f>IFERROR(__xludf.DUMMYFUNCTION("""COMPUTED_VALUE"""),4.43865E7)</f>
        <v>44386500</v>
      </c>
      <c r="G842" s="2">
        <f t="shared" si="1"/>
        <v>40</v>
      </c>
    </row>
    <row r="843" ht="15.75" customHeight="1">
      <c r="A843" s="1">
        <f>IFERROR(__xludf.DUMMYFUNCTION("""COMPUTED_VALUE"""),45093.66666666667)</f>
        <v>45093.66667</v>
      </c>
      <c r="B843" s="2">
        <f>IFERROR(__xludf.DUMMYFUNCTION("""COMPUTED_VALUE"""),2060.0)</f>
        <v>2060</v>
      </c>
      <c r="C843" s="2">
        <f>IFERROR(__xludf.DUMMYFUNCTION("""COMPUTED_VALUE"""),2060.0)</f>
        <v>2060</v>
      </c>
      <c r="D843" s="2">
        <f>IFERROR(__xludf.DUMMYFUNCTION("""COMPUTED_VALUE"""),2020.0)</f>
        <v>2020</v>
      </c>
      <c r="E843" s="2">
        <f>IFERROR(__xludf.DUMMYFUNCTION("""COMPUTED_VALUE"""),2060.0)</f>
        <v>2060</v>
      </c>
      <c r="F843" s="2">
        <f>IFERROR(__xludf.DUMMYFUNCTION("""COMPUTED_VALUE"""),3.43341E7)</f>
        <v>34334100</v>
      </c>
      <c r="G843" s="2">
        <f t="shared" si="1"/>
        <v>40</v>
      </c>
    </row>
    <row r="844" ht="15.75" customHeight="1">
      <c r="A844" s="1">
        <f>IFERROR(__xludf.DUMMYFUNCTION("""COMPUTED_VALUE"""),45096.66666666667)</f>
        <v>45096.66667</v>
      </c>
      <c r="B844" s="2">
        <f>IFERROR(__xludf.DUMMYFUNCTION("""COMPUTED_VALUE"""),2060.0)</f>
        <v>2060</v>
      </c>
      <c r="C844" s="2">
        <f>IFERROR(__xludf.DUMMYFUNCTION("""COMPUTED_VALUE"""),2060.0)</f>
        <v>2060</v>
      </c>
      <c r="D844" s="2">
        <f>IFERROR(__xludf.DUMMYFUNCTION("""COMPUTED_VALUE"""),2020.0)</f>
        <v>2020</v>
      </c>
      <c r="E844" s="2">
        <f>IFERROR(__xludf.DUMMYFUNCTION("""COMPUTED_VALUE"""),2030.0)</f>
        <v>2030</v>
      </c>
      <c r="F844" s="2">
        <f>IFERROR(__xludf.DUMMYFUNCTION("""COMPUTED_VALUE"""),1.17422E7)</f>
        <v>11742200</v>
      </c>
      <c r="G844" s="2">
        <f t="shared" si="1"/>
        <v>40</v>
      </c>
    </row>
    <row r="845" ht="15.75" customHeight="1">
      <c r="A845" s="1">
        <f>IFERROR(__xludf.DUMMYFUNCTION("""COMPUTED_VALUE"""),45097.66666666667)</f>
        <v>45097.66667</v>
      </c>
      <c r="B845" s="2">
        <f>IFERROR(__xludf.DUMMYFUNCTION("""COMPUTED_VALUE"""),2030.0)</f>
        <v>2030</v>
      </c>
      <c r="C845" s="2">
        <f>IFERROR(__xludf.DUMMYFUNCTION("""COMPUTED_VALUE"""),2040.0)</f>
        <v>2040</v>
      </c>
      <c r="D845" s="2">
        <f>IFERROR(__xludf.DUMMYFUNCTION("""COMPUTED_VALUE"""),2010.0)</f>
        <v>2010</v>
      </c>
      <c r="E845" s="2">
        <f>IFERROR(__xludf.DUMMYFUNCTION("""COMPUTED_VALUE"""),2020.0)</f>
        <v>2020</v>
      </c>
      <c r="F845" s="2">
        <f>IFERROR(__xludf.DUMMYFUNCTION("""COMPUTED_VALUE"""),1.63978E7)</f>
        <v>16397800</v>
      </c>
      <c r="G845" s="2">
        <f t="shared" si="1"/>
        <v>30</v>
      </c>
    </row>
    <row r="846" ht="15.75" customHeight="1">
      <c r="A846" s="1">
        <f>IFERROR(__xludf.DUMMYFUNCTION("""COMPUTED_VALUE"""),45098.66666666667)</f>
        <v>45098.66667</v>
      </c>
      <c r="B846" s="2">
        <f>IFERROR(__xludf.DUMMYFUNCTION("""COMPUTED_VALUE"""),2010.0)</f>
        <v>2010</v>
      </c>
      <c r="C846" s="2">
        <f>IFERROR(__xludf.DUMMYFUNCTION("""COMPUTED_VALUE"""),2030.0)</f>
        <v>2030</v>
      </c>
      <c r="D846" s="2">
        <f>IFERROR(__xludf.DUMMYFUNCTION("""COMPUTED_VALUE"""),2000.0)</f>
        <v>2000</v>
      </c>
      <c r="E846" s="2">
        <f>IFERROR(__xludf.DUMMYFUNCTION("""COMPUTED_VALUE"""),2010.0)</f>
        <v>2010</v>
      </c>
      <c r="F846" s="2">
        <f>IFERROR(__xludf.DUMMYFUNCTION("""COMPUTED_VALUE"""),1.91488E7)</f>
        <v>19148800</v>
      </c>
      <c r="G846" s="2">
        <f t="shared" si="1"/>
        <v>30</v>
      </c>
    </row>
    <row r="847" ht="15.75" customHeight="1">
      <c r="A847" s="1">
        <f>IFERROR(__xludf.DUMMYFUNCTION("""COMPUTED_VALUE"""),45099.66666666667)</f>
        <v>45099.66667</v>
      </c>
      <c r="B847" s="2">
        <f>IFERROR(__xludf.DUMMYFUNCTION("""COMPUTED_VALUE"""),2010.0)</f>
        <v>2010</v>
      </c>
      <c r="C847" s="2">
        <f>IFERROR(__xludf.DUMMYFUNCTION("""COMPUTED_VALUE"""),2060.0)</f>
        <v>2060</v>
      </c>
      <c r="D847" s="2">
        <f>IFERROR(__xludf.DUMMYFUNCTION("""COMPUTED_VALUE"""),2010.0)</f>
        <v>2010</v>
      </c>
      <c r="E847" s="2">
        <f>IFERROR(__xludf.DUMMYFUNCTION("""COMPUTED_VALUE"""),2010.0)</f>
        <v>2010</v>
      </c>
      <c r="F847" s="2">
        <f>IFERROR(__xludf.DUMMYFUNCTION("""COMPUTED_VALUE"""),4.01037E7)</f>
        <v>40103700</v>
      </c>
      <c r="G847" s="2">
        <f t="shared" si="1"/>
        <v>50</v>
      </c>
    </row>
    <row r="848" ht="15.75" customHeight="1">
      <c r="A848" s="1">
        <f>IFERROR(__xludf.DUMMYFUNCTION("""COMPUTED_VALUE"""),45100.66666666667)</f>
        <v>45100.66667</v>
      </c>
      <c r="B848" s="2">
        <f>IFERROR(__xludf.DUMMYFUNCTION("""COMPUTED_VALUE"""),2020.0)</f>
        <v>2020</v>
      </c>
      <c r="C848" s="2">
        <f>IFERROR(__xludf.DUMMYFUNCTION("""COMPUTED_VALUE"""),2030.0)</f>
        <v>2030</v>
      </c>
      <c r="D848" s="2">
        <f>IFERROR(__xludf.DUMMYFUNCTION("""COMPUTED_VALUE"""),2000.0)</f>
        <v>2000</v>
      </c>
      <c r="E848" s="2">
        <f>IFERROR(__xludf.DUMMYFUNCTION("""COMPUTED_VALUE"""),2010.0)</f>
        <v>2010</v>
      </c>
      <c r="F848" s="2">
        <f>IFERROR(__xludf.DUMMYFUNCTION("""COMPUTED_VALUE"""),3.04012E7)</f>
        <v>30401200</v>
      </c>
      <c r="G848" s="2">
        <f t="shared" si="1"/>
        <v>30</v>
      </c>
    </row>
    <row r="849" ht="15.75" customHeight="1">
      <c r="A849" s="1">
        <f>IFERROR(__xludf.DUMMYFUNCTION("""COMPUTED_VALUE"""),45103.66666666667)</f>
        <v>45103.66667</v>
      </c>
      <c r="B849" s="2">
        <f>IFERROR(__xludf.DUMMYFUNCTION("""COMPUTED_VALUE"""),1950.0)</f>
        <v>1950</v>
      </c>
      <c r="C849" s="2">
        <f>IFERROR(__xludf.DUMMYFUNCTION("""COMPUTED_VALUE"""),1975.0)</f>
        <v>1975</v>
      </c>
      <c r="D849" s="2">
        <f>IFERROR(__xludf.DUMMYFUNCTION("""COMPUTED_VALUE"""),1935.0)</f>
        <v>1935</v>
      </c>
      <c r="E849" s="2">
        <f>IFERROR(__xludf.DUMMYFUNCTION("""COMPUTED_VALUE"""),1950.0)</f>
        <v>1950</v>
      </c>
      <c r="F849" s="2">
        <f>IFERROR(__xludf.DUMMYFUNCTION("""COMPUTED_VALUE"""),4.20176E7)</f>
        <v>42017600</v>
      </c>
      <c r="G849" s="2">
        <f t="shared" si="1"/>
        <v>75</v>
      </c>
    </row>
    <row r="850" ht="15.75" customHeight="1">
      <c r="A850" s="1">
        <f>IFERROR(__xludf.DUMMYFUNCTION("""COMPUTED_VALUE"""),45104.66666666667)</f>
        <v>45104.66667</v>
      </c>
      <c r="B850" s="2">
        <f>IFERROR(__xludf.DUMMYFUNCTION("""COMPUTED_VALUE"""),1955.0)</f>
        <v>1955</v>
      </c>
      <c r="C850" s="2">
        <f>IFERROR(__xludf.DUMMYFUNCTION("""COMPUTED_VALUE"""),1965.0)</f>
        <v>1965</v>
      </c>
      <c r="D850" s="2">
        <f>IFERROR(__xludf.DUMMYFUNCTION("""COMPUTED_VALUE"""),1950.0)</f>
        <v>1950</v>
      </c>
      <c r="E850" s="2">
        <f>IFERROR(__xludf.DUMMYFUNCTION("""COMPUTED_VALUE"""),1950.0)</f>
        <v>1950</v>
      </c>
      <c r="F850" s="2">
        <f>IFERROR(__xludf.DUMMYFUNCTION("""COMPUTED_VALUE"""),1.81941E7)</f>
        <v>18194100</v>
      </c>
      <c r="G850" s="2">
        <f t="shared" si="1"/>
        <v>15</v>
      </c>
    </row>
    <row r="851" ht="15.75" customHeight="1">
      <c r="A851" s="1">
        <f>IFERROR(__xludf.DUMMYFUNCTION("""COMPUTED_VALUE"""),45110.66666666667)</f>
        <v>45110.66667</v>
      </c>
      <c r="B851" s="2">
        <f>IFERROR(__xludf.DUMMYFUNCTION("""COMPUTED_VALUE"""),1955.0)</f>
        <v>1955</v>
      </c>
      <c r="C851" s="2">
        <f>IFERROR(__xludf.DUMMYFUNCTION("""COMPUTED_VALUE"""),1990.0)</f>
        <v>1990</v>
      </c>
      <c r="D851" s="2">
        <f>IFERROR(__xludf.DUMMYFUNCTION("""COMPUTED_VALUE"""),1955.0)</f>
        <v>1955</v>
      </c>
      <c r="E851" s="2">
        <f>IFERROR(__xludf.DUMMYFUNCTION("""COMPUTED_VALUE"""),1965.0)</f>
        <v>1965</v>
      </c>
      <c r="F851" s="2">
        <f>IFERROR(__xludf.DUMMYFUNCTION("""COMPUTED_VALUE"""),2.03749E7)</f>
        <v>20374900</v>
      </c>
      <c r="G851" s="2">
        <f t="shared" si="1"/>
        <v>40</v>
      </c>
    </row>
    <row r="852" ht="15.75" customHeight="1">
      <c r="A852" s="1">
        <f>IFERROR(__xludf.DUMMYFUNCTION("""COMPUTED_VALUE"""),45111.66666666667)</f>
        <v>45111.66667</v>
      </c>
      <c r="B852" s="2">
        <f>IFERROR(__xludf.DUMMYFUNCTION("""COMPUTED_VALUE"""),1970.0)</f>
        <v>1970</v>
      </c>
      <c r="C852" s="2">
        <f>IFERROR(__xludf.DUMMYFUNCTION("""COMPUTED_VALUE"""),1980.0)</f>
        <v>1980</v>
      </c>
      <c r="D852" s="2">
        <f>IFERROR(__xludf.DUMMYFUNCTION("""COMPUTED_VALUE"""),1960.0)</f>
        <v>1960</v>
      </c>
      <c r="E852" s="2">
        <f>IFERROR(__xludf.DUMMYFUNCTION("""COMPUTED_VALUE"""),1970.0)</f>
        <v>1970</v>
      </c>
      <c r="F852" s="2">
        <f>IFERROR(__xludf.DUMMYFUNCTION("""COMPUTED_VALUE"""),1.63135E7)</f>
        <v>16313500</v>
      </c>
      <c r="G852" s="2">
        <f t="shared" si="1"/>
        <v>20</v>
      </c>
    </row>
    <row r="853" ht="15.75" customHeight="1">
      <c r="A853" s="1">
        <f>IFERROR(__xludf.DUMMYFUNCTION("""COMPUTED_VALUE"""),45112.66666666667)</f>
        <v>45112.66667</v>
      </c>
      <c r="B853" s="2">
        <f>IFERROR(__xludf.DUMMYFUNCTION("""COMPUTED_VALUE"""),1970.0)</f>
        <v>1970</v>
      </c>
      <c r="C853" s="2">
        <f>IFERROR(__xludf.DUMMYFUNCTION("""COMPUTED_VALUE"""),1990.0)</f>
        <v>1990</v>
      </c>
      <c r="D853" s="2">
        <f>IFERROR(__xludf.DUMMYFUNCTION("""COMPUTED_VALUE"""),1960.0)</f>
        <v>1960</v>
      </c>
      <c r="E853" s="2">
        <f>IFERROR(__xludf.DUMMYFUNCTION("""COMPUTED_VALUE"""),1985.0)</f>
        <v>1985</v>
      </c>
      <c r="F853" s="2">
        <f>IFERROR(__xludf.DUMMYFUNCTION("""COMPUTED_VALUE"""),3.5622E7)</f>
        <v>35622000</v>
      </c>
      <c r="G853" s="2">
        <f t="shared" si="1"/>
        <v>30</v>
      </c>
    </row>
    <row r="854" ht="15.75" customHeight="1">
      <c r="A854" s="1">
        <f>IFERROR(__xludf.DUMMYFUNCTION("""COMPUTED_VALUE"""),45113.66666666667)</f>
        <v>45113.66667</v>
      </c>
      <c r="B854" s="2">
        <f>IFERROR(__xludf.DUMMYFUNCTION("""COMPUTED_VALUE"""),1995.0)</f>
        <v>1995</v>
      </c>
      <c r="C854" s="2">
        <f>IFERROR(__xludf.DUMMYFUNCTION("""COMPUTED_VALUE"""),2050.0)</f>
        <v>2050</v>
      </c>
      <c r="D854" s="2">
        <f>IFERROR(__xludf.DUMMYFUNCTION("""COMPUTED_VALUE"""),1990.0)</f>
        <v>1990</v>
      </c>
      <c r="E854" s="2">
        <f>IFERROR(__xludf.DUMMYFUNCTION("""COMPUTED_VALUE"""),2020.0)</f>
        <v>2020</v>
      </c>
      <c r="F854" s="2">
        <f>IFERROR(__xludf.DUMMYFUNCTION("""COMPUTED_VALUE"""),8.85468E7)</f>
        <v>88546800</v>
      </c>
      <c r="G854" s="2">
        <f t="shared" si="1"/>
        <v>65</v>
      </c>
    </row>
    <row r="855" ht="15.75" customHeight="1">
      <c r="A855" s="1">
        <f>IFERROR(__xludf.DUMMYFUNCTION("""COMPUTED_VALUE"""),45114.66666666667)</f>
        <v>45114.66667</v>
      </c>
      <c r="B855" s="2">
        <f>IFERROR(__xludf.DUMMYFUNCTION("""COMPUTED_VALUE"""),2020.0)</f>
        <v>2020</v>
      </c>
      <c r="C855" s="2">
        <f>IFERROR(__xludf.DUMMYFUNCTION("""COMPUTED_VALUE"""),2020.0)</f>
        <v>2020</v>
      </c>
      <c r="D855" s="2">
        <f>IFERROR(__xludf.DUMMYFUNCTION("""COMPUTED_VALUE"""),1975.0)</f>
        <v>1975</v>
      </c>
      <c r="E855" s="2">
        <f>IFERROR(__xludf.DUMMYFUNCTION("""COMPUTED_VALUE"""),1975.0)</f>
        <v>1975</v>
      </c>
      <c r="F855" s="2">
        <f>IFERROR(__xludf.DUMMYFUNCTION("""COMPUTED_VALUE"""),4.04207E7)</f>
        <v>40420700</v>
      </c>
      <c r="G855" s="2">
        <f t="shared" si="1"/>
        <v>45</v>
      </c>
    </row>
    <row r="856" ht="15.75" customHeight="1">
      <c r="A856" s="1">
        <f>IFERROR(__xludf.DUMMYFUNCTION("""COMPUTED_VALUE"""),45117.66666666667)</f>
        <v>45117.66667</v>
      </c>
      <c r="B856" s="2">
        <f>IFERROR(__xludf.DUMMYFUNCTION("""COMPUTED_VALUE"""),1985.0)</f>
        <v>1985</v>
      </c>
      <c r="C856" s="2">
        <f>IFERROR(__xludf.DUMMYFUNCTION("""COMPUTED_VALUE"""),1995.0)</f>
        <v>1995</v>
      </c>
      <c r="D856" s="2">
        <f>IFERROR(__xludf.DUMMYFUNCTION("""COMPUTED_VALUE"""),1980.0)</f>
        <v>1980</v>
      </c>
      <c r="E856" s="2">
        <f>IFERROR(__xludf.DUMMYFUNCTION("""COMPUTED_VALUE"""),1980.0)</f>
        <v>1980</v>
      </c>
      <c r="F856" s="2">
        <f>IFERROR(__xludf.DUMMYFUNCTION("""COMPUTED_VALUE"""),1.41343E7)</f>
        <v>14134300</v>
      </c>
      <c r="G856" s="2">
        <f t="shared" si="1"/>
        <v>20</v>
      </c>
    </row>
    <row r="857" ht="15.75" customHeight="1">
      <c r="A857" s="1">
        <f>IFERROR(__xludf.DUMMYFUNCTION("""COMPUTED_VALUE"""),45118.66666666667)</f>
        <v>45118.66667</v>
      </c>
      <c r="B857" s="2">
        <f>IFERROR(__xludf.DUMMYFUNCTION("""COMPUTED_VALUE"""),1985.0)</f>
        <v>1985</v>
      </c>
      <c r="C857" s="2">
        <f>IFERROR(__xludf.DUMMYFUNCTION("""COMPUTED_VALUE"""),2000.0)</f>
        <v>2000</v>
      </c>
      <c r="D857" s="2">
        <f>IFERROR(__xludf.DUMMYFUNCTION("""COMPUTED_VALUE"""),1980.0)</f>
        <v>1980</v>
      </c>
      <c r="E857" s="2">
        <f>IFERROR(__xludf.DUMMYFUNCTION("""COMPUTED_VALUE"""),2000.0)</f>
        <v>2000</v>
      </c>
      <c r="F857" s="2">
        <f>IFERROR(__xludf.DUMMYFUNCTION("""COMPUTED_VALUE"""),1.92953E7)</f>
        <v>19295300</v>
      </c>
      <c r="G857" s="2">
        <f t="shared" si="1"/>
        <v>20</v>
      </c>
    </row>
    <row r="858" ht="15.75" customHeight="1">
      <c r="A858" s="1">
        <f>IFERROR(__xludf.DUMMYFUNCTION("""COMPUTED_VALUE"""),45119.66666666667)</f>
        <v>45119.66667</v>
      </c>
      <c r="B858" s="2">
        <f>IFERROR(__xludf.DUMMYFUNCTION("""COMPUTED_VALUE"""),2010.0)</f>
        <v>2010</v>
      </c>
      <c r="C858" s="2">
        <f>IFERROR(__xludf.DUMMYFUNCTION("""COMPUTED_VALUE"""),2010.0)</f>
        <v>2010</v>
      </c>
      <c r="D858" s="2">
        <f>IFERROR(__xludf.DUMMYFUNCTION("""COMPUTED_VALUE"""),1990.0)</f>
        <v>1990</v>
      </c>
      <c r="E858" s="2">
        <f>IFERROR(__xludf.DUMMYFUNCTION("""COMPUTED_VALUE"""),1990.0)</f>
        <v>1990</v>
      </c>
      <c r="F858" s="2">
        <f>IFERROR(__xludf.DUMMYFUNCTION("""COMPUTED_VALUE"""),2.11688E7)</f>
        <v>21168800</v>
      </c>
      <c r="G858" s="2">
        <f t="shared" si="1"/>
        <v>20</v>
      </c>
    </row>
    <row r="859" ht="15.75" customHeight="1">
      <c r="A859" s="1">
        <f>IFERROR(__xludf.DUMMYFUNCTION("""COMPUTED_VALUE"""),45120.66666666667)</f>
        <v>45120.66667</v>
      </c>
      <c r="B859" s="2">
        <f>IFERROR(__xludf.DUMMYFUNCTION("""COMPUTED_VALUE"""),2010.0)</f>
        <v>2010</v>
      </c>
      <c r="C859" s="2">
        <f>IFERROR(__xludf.DUMMYFUNCTION("""COMPUTED_VALUE"""),2030.0)</f>
        <v>2030</v>
      </c>
      <c r="D859" s="2">
        <f>IFERROR(__xludf.DUMMYFUNCTION("""COMPUTED_VALUE"""),1990.0)</f>
        <v>1990</v>
      </c>
      <c r="E859" s="2">
        <f>IFERROR(__xludf.DUMMYFUNCTION("""COMPUTED_VALUE"""),1990.0)</f>
        <v>1990</v>
      </c>
      <c r="F859" s="2">
        <f>IFERROR(__xludf.DUMMYFUNCTION("""COMPUTED_VALUE"""),3.63362E7)</f>
        <v>36336200</v>
      </c>
      <c r="G859" s="2">
        <f t="shared" si="1"/>
        <v>40</v>
      </c>
    </row>
    <row r="860" ht="15.75" customHeight="1">
      <c r="A860" s="1">
        <f>IFERROR(__xludf.DUMMYFUNCTION("""COMPUTED_VALUE"""),45121.66666666667)</f>
        <v>45121.66667</v>
      </c>
      <c r="B860" s="2">
        <f>IFERROR(__xludf.DUMMYFUNCTION("""COMPUTED_VALUE"""),1995.0)</f>
        <v>1995</v>
      </c>
      <c r="C860" s="2">
        <f>IFERROR(__xludf.DUMMYFUNCTION("""COMPUTED_VALUE"""),2020.0)</f>
        <v>2020</v>
      </c>
      <c r="D860" s="2">
        <f>IFERROR(__xludf.DUMMYFUNCTION("""COMPUTED_VALUE"""),1995.0)</f>
        <v>1995</v>
      </c>
      <c r="E860" s="2">
        <f>IFERROR(__xludf.DUMMYFUNCTION("""COMPUTED_VALUE"""),2000.0)</f>
        <v>2000</v>
      </c>
      <c r="F860" s="2">
        <f>IFERROR(__xludf.DUMMYFUNCTION("""COMPUTED_VALUE"""),2.106E7)</f>
        <v>21060000</v>
      </c>
      <c r="G860" s="2">
        <f t="shared" si="1"/>
        <v>30</v>
      </c>
    </row>
    <row r="861" ht="15.75" customHeight="1">
      <c r="A861" s="1">
        <f>IFERROR(__xludf.DUMMYFUNCTION("""COMPUTED_VALUE"""),45124.66666666667)</f>
        <v>45124.66667</v>
      </c>
      <c r="B861" s="2">
        <f>IFERROR(__xludf.DUMMYFUNCTION("""COMPUTED_VALUE"""),2010.0)</f>
        <v>2010</v>
      </c>
      <c r="C861" s="2">
        <f>IFERROR(__xludf.DUMMYFUNCTION("""COMPUTED_VALUE"""),2020.0)</f>
        <v>2020</v>
      </c>
      <c r="D861" s="2">
        <f>IFERROR(__xludf.DUMMYFUNCTION("""COMPUTED_VALUE"""),1990.0)</f>
        <v>1990</v>
      </c>
      <c r="E861" s="2">
        <f>IFERROR(__xludf.DUMMYFUNCTION("""COMPUTED_VALUE"""),1990.0)</f>
        <v>1990</v>
      </c>
      <c r="F861" s="2">
        <f>IFERROR(__xludf.DUMMYFUNCTION("""COMPUTED_VALUE"""),2.19036E7)</f>
        <v>21903600</v>
      </c>
      <c r="G861" s="2">
        <f t="shared" si="1"/>
        <v>30</v>
      </c>
    </row>
    <row r="862" ht="15.75" customHeight="1">
      <c r="A862" s="1">
        <f>IFERROR(__xludf.DUMMYFUNCTION("""COMPUTED_VALUE"""),45125.66666666667)</f>
        <v>45125.66667</v>
      </c>
      <c r="B862" s="2">
        <f>IFERROR(__xludf.DUMMYFUNCTION("""COMPUTED_VALUE"""),2000.0)</f>
        <v>2000</v>
      </c>
      <c r="C862" s="2">
        <f>IFERROR(__xludf.DUMMYFUNCTION("""COMPUTED_VALUE"""),2010.0)</f>
        <v>2010</v>
      </c>
      <c r="D862" s="2">
        <f>IFERROR(__xludf.DUMMYFUNCTION("""COMPUTED_VALUE"""),1975.0)</f>
        <v>1975</v>
      </c>
      <c r="E862" s="2">
        <f>IFERROR(__xludf.DUMMYFUNCTION("""COMPUTED_VALUE"""),1990.0)</f>
        <v>1990</v>
      </c>
      <c r="F862" s="2">
        <f>IFERROR(__xludf.DUMMYFUNCTION("""COMPUTED_VALUE"""),2.50679E7)</f>
        <v>25067900</v>
      </c>
      <c r="G862" s="2">
        <f t="shared" si="1"/>
        <v>35</v>
      </c>
    </row>
    <row r="863" ht="15.75" customHeight="1">
      <c r="A863" s="1">
        <f>IFERROR(__xludf.DUMMYFUNCTION("""COMPUTED_VALUE"""),45127.66666666667)</f>
        <v>45127.66667</v>
      </c>
      <c r="B863" s="2">
        <f>IFERROR(__xludf.DUMMYFUNCTION("""COMPUTED_VALUE"""),2000.0)</f>
        <v>2000</v>
      </c>
      <c r="C863" s="2">
        <f>IFERROR(__xludf.DUMMYFUNCTION("""COMPUTED_VALUE"""),2010.0)</f>
        <v>2010</v>
      </c>
      <c r="D863" s="2">
        <f>IFERROR(__xludf.DUMMYFUNCTION("""COMPUTED_VALUE"""),1980.0)</f>
        <v>1980</v>
      </c>
      <c r="E863" s="2">
        <f>IFERROR(__xludf.DUMMYFUNCTION("""COMPUTED_VALUE"""),1990.0)</f>
        <v>1990</v>
      </c>
      <c r="F863" s="2">
        <f>IFERROR(__xludf.DUMMYFUNCTION("""COMPUTED_VALUE"""),3.11373E7)</f>
        <v>31137300</v>
      </c>
      <c r="G863" s="2">
        <f t="shared" si="1"/>
        <v>30</v>
      </c>
    </row>
    <row r="864" ht="15.75" customHeight="1">
      <c r="A864" s="1">
        <f>IFERROR(__xludf.DUMMYFUNCTION("""COMPUTED_VALUE"""),45128.66666666667)</f>
        <v>45128.66667</v>
      </c>
      <c r="B864" s="2">
        <f>IFERROR(__xludf.DUMMYFUNCTION("""COMPUTED_VALUE"""),2000.0)</f>
        <v>2000</v>
      </c>
      <c r="C864" s="2">
        <f>IFERROR(__xludf.DUMMYFUNCTION("""COMPUTED_VALUE"""),2000.0)</f>
        <v>2000</v>
      </c>
      <c r="D864" s="2">
        <f>IFERROR(__xludf.DUMMYFUNCTION("""COMPUTED_VALUE"""),1975.0)</f>
        <v>1975</v>
      </c>
      <c r="E864" s="2">
        <f>IFERROR(__xludf.DUMMYFUNCTION("""COMPUTED_VALUE"""),1975.0)</f>
        <v>1975</v>
      </c>
      <c r="F864" s="2">
        <f>IFERROR(__xludf.DUMMYFUNCTION("""COMPUTED_VALUE"""),3.02007E7)</f>
        <v>30200700</v>
      </c>
      <c r="G864" s="2">
        <f t="shared" si="1"/>
        <v>25</v>
      </c>
    </row>
    <row r="865" ht="15.75" customHeight="1">
      <c r="A865" s="1">
        <f>IFERROR(__xludf.DUMMYFUNCTION("""COMPUTED_VALUE"""),45131.66666666667)</f>
        <v>45131.66667</v>
      </c>
      <c r="B865" s="2">
        <f>IFERROR(__xludf.DUMMYFUNCTION("""COMPUTED_VALUE"""),1975.0)</f>
        <v>1975</v>
      </c>
      <c r="C865" s="2">
        <f>IFERROR(__xludf.DUMMYFUNCTION("""COMPUTED_VALUE"""),1990.0)</f>
        <v>1990</v>
      </c>
      <c r="D865" s="2">
        <f>IFERROR(__xludf.DUMMYFUNCTION("""COMPUTED_VALUE"""),1975.0)</f>
        <v>1975</v>
      </c>
      <c r="E865" s="2">
        <f>IFERROR(__xludf.DUMMYFUNCTION("""COMPUTED_VALUE"""),1975.0)</f>
        <v>1975</v>
      </c>
      <c r="F865" s="2">
        <f>IFERROR(__xludf.DUMMYFUNCTION("""COMPUTED_VALUE"""),1.93263E7)</f>
        <v>19326300</v>
      </c>
      <c r="G865" s="2">
        <f t="shared" si="1"/>
        <v>15</v>
      </c>
    </row>
    <row r="866" ht="15.75" customHeight="1">
      <c r="A866" s="1">
        <f>IFERROR(__xludf.DUMMYFUNCTION("""COMPUTED_VALUE"""),45132.66666666667)</f>
        <v>45132.66667</v>
      </c>
      <c r="B866" s="2">
        <f>IFERROR(__xludf.DUMMYFUNCTION("""COMPUTED_VALUE"""),1985.0)</f>
        <v>1985</v>
      </c>
      <c r="C866" s="2">
        <f>IFERROR(__xludf.DUMMYFUNCTION("""COMPUTED_VALUE"""),2000.0)</f>
        <v>2000</v>
      </c>
      <c r="D866" s="2">
        <f>IFERROR(__xludf.DUMMYFUNCTION("""COMPUTED_VALUE"""),1975.0)</f>
        <v>1975</v>
      </c>
      <c r="E866" s="2">
        <f>IFERROR(__xludf.DUMMYFUNCTION("""COMPUTED_VALUE"""),1975.0)</f>
        <v>1975</v>
      </c>
      <c r="F866" s="2">
        <f>IFERROR(__xludf.DUMMYFUNCTION("""COMPUTED_VALUE"""),2.5532E7)</f>
        <v>25532000</v>
      </c>
      <c r="G866" s="2">
        <f t="shared" si="1"/>
        <v>25</v>
      </c>
    </row>
    <row r="867" ht="15.75" customHeight="1">
      <c r="A867" s="1">
        <f>IFERROR(__xludf.DUMMYFUNCTION("""COMPUTED_VALUE"""),45133.66666666667)</f>
        <v>45133.66667</v>
      </c>
      <c r="B867" s="2">
        <f>IFERROR(__xludf.DUMMYFUNCTION("""COMPUTED_VALUE"""),1995.0)</f>
        <v>1995</v>
      </c>
      <c r="C867" s="2">
        <f>IFERROR(__xludf.DUMMYFUNCTION("""COMPUTED_VALUE"""),2010.0)</f>
        <v>2010</v>
      </c>
      <c r="D867" s="2">
        <f>IFERROR(__xludf.DUMMYFUNCTION("""COMPUTED_VALUE"""),1980.0)</f>
        <v>1980</v>
      </c>
      <c r="E867" s="2">
        <f>IFERROR(__xludf.DUMMYFUNCTION("""COMPUTED_VALUE"""),1985.0)</f>
        <v>1985</v>
      </c>
      <c r="F867" s="2">
        <f>IFERROR(__xludf.DUMMYFUNCTION("""COMPUTED_VALUE"""),3.56496E7)</f>
        <v>35649600</v>
      </c>
      <c r="G867" s="2">
        <f t="shared" si="1"/>
        <v>35</v>
      </c>
    </row>
    <row r="868" ht="15.75" customHeight="1">
      <c r="A868" s="1">
        <f>IFERROR(__xludf.DUMMYFUNCTION("""COMPUTED_VALUE"""),45134.66666666667)</f>
        <v>45134.66667</v>
      </c>
      <c r="B868" s="2">
        <f>IFERROR(__xludf.DUMMYFUNCTION("""COMPUTED_VALUE"""),1985.0)</f>
        <v>1985</v>
      </c>
      <c r="C868" s="2">
        <f>IFERROR(__xludf.DUMMYFUNCTION("""COMPUTED_VALUE"""),1990.0)</f>
        <v>1990</v>
      </c>
      <c r="D868" s="2">
        <f>IFERROR(__xludf.DUMMYFUNCTION("""COMPUTED_VALUE"""),1970.0)</f>
        <v>1970</v>
      </c>
      <c r="E868" s="2">
        <f>IFERROR(__xludf.DUMMYFUNCTION("""COMPUTED_VALUE"""),1970.0)</f>
        <v>1970</v>
      </c>
      <c r="F868" s="2">
        <f>IFERROR(__xludf.DUMMYFUNCTION("""COMPUTED_VALUE"""),2.11451E7)</f>
        <v>21145100</v>
      </c>
      <c r="G868" s="2">
        <f t="shared" si="1"/>
        <v>20</v>
      </c>
    </row>
    <row r="869" ht="15.75" customHeight="1">
      <c r="A869" s="1">
        <f>IFERROR(__xludf.DUMMYFUNCTION("""COMPUTED_VALUE"""),45135.66666666667)</f>
        <v>45135.66667</v>
      </c>
      <c r="B869" s="2">
        <f>IFERROR(__xludf.DUMMYFUNCTION("""COMPUTED_VALUE"""),1970.0)</f>
        <v>1970</v>
      </c>
      <c r="C869" s="2">
        <f>IFERROR(__xludf.DUMMYFUNCTION("""COMPUTED_VALUE"""),1975.0)</f>
        <v>1975</v>
      </c>
      <c r="D869" s="2">
        <f>IFERROR(__xludf.DUMMYFUNCTION("""COMPUTED_VALUE"""),1955.0)</f>
        <v>1955</v>
      </c>
      <c r="E869" s="2">
        <f>IFERROR(__xludf.DUMMYFUNCTION("""COMPUTED_VALUE"""),1960.0)</f>
        <v>1960</v>
      </c>
      <c r="F869" s="2">
        <f>IFERROR(__xludf.DUMMYFUNCTION("""COMPUTED_VALUE"""),3.68102E7)</f>
        <v>36810200</v>
      </c>
      <c r="G869" s="2">
        <f t="shared" si="1"/>
        <v>20</v>
      </c>
    </row>
    <row r="870" ht="15.75" customHeight="1">
      <c r="A870" s="1">
        <f>IFERROR(__xludf.DUMMYFUNCTION("""COMPUTED_VALUE"""),45138.66666666667)</f>
        <v>45138.66667</v>
      </c>
      <c r="B870" s="2">
        <f>IFERROR(__xludf.DUMMYFUNCTION("""COMPUTED_VALUE"""),1965.0)</f>
        <v>1965</v>
      </c>
      <c r="C870" s="2">
        <f>IFERROR(__xludf.DUMMYFUNCTION("""COMPUTED_VALUE"""),1990.0)</f>
        <v>1990</v>
      </c>
      <c r="D870" s="2">
        <f>IFERROR(__xludf.DUMMYFUNCTION("""COMPUTED_VALUE"""),1960.0)</f>
        <v>1960</v>
      </c>
      <c r="E870" s="2">
        <f>IFERROR(__xludf.DUMMYFUNCTION("""COMPUTED_VALUE"""),1985.0)</f>
        <v>1985</v>
      </c>
      <c r="F870" s="2">
        <f>IFERROR(__xludf.DUMMYFUNCTION("""COMPUTED_VALUE"""),3.34497E7)</f>
        <v>33449700</v>
      </c>
      <c r="G870" s="2">
        <f t="shared" si="1"/>
        <v>30</v>
      </c>
    </row>
    <row r="871" ht="15.75" customHeight="1">
      <c r="A871" s="1">
        <f>IFERROR(__xludf.DUMMYFUNCTION("""COMPUTED_VALUE"""),45139.66666666667)</f>
        <v>45139.66667</v>
      </c>
      <c r="B871" s="2">
        <f>IFERROR(__xludf.DUMMYFUNCTION("""COMPUTED_VALUE"""),2000.0)</f>
        <v>2000</v>
      </c>
      <c r="C871" s="2">
        <f>IFERROR(__xludf.DUMMYFUNCTION("""COMPUTED_VALUE"""),2060.0)</f>
        <v>2060</v>
      </c>
      <c r="D871" s="2">
        <f>IFERROR(__xludf.DUMMYFUNCTION("""COMPUTED_VALUE"""),1990.0)</f>
        <v>1990</v>
      </c>
      <c r="E871" s="2">
        <f>IFERROR(__xludf.DUMMYFUNCTION("""COMPUTED_VALUE"""),2040.0)</f>
        <v>2040</v>
      </c>
      <c r="F871" s="2">
        <f>IFERROR(__xludf.DUMMYFUNCTION("""COMPUTED_VALUE"""),1.362885E8)</f>
        <v>136288500</v>
      </c>
      <c r="G871" s="2">
        <f t="shared" si="1"/>
        <v>75</v>
      </c>
    </row>
    <row r="872" ht="15.75" customHeight="1">
      <c r="A872" s="1">
        <f>IFERROR(__xludf.DUMMYFUNCTION("""COMPUTED_VALUE"""),45140.66666666667)</f>
        <v>45140.66667</v>
      </c>
      <c r="B872" s="2">
        <f>IFERROR(__xludf.DUMMYFUNCTION("""COMPUTED_VALUE"""),2050.0)</f>
        <v>2050</v>
      </c>
      <c r="C872" s="2">
        <f>IFERROR(__xludf.DUMMYFUNCTION("""COMPUTED_VALUE"""),2050.0)</f>
        <v>2050</v>
      </c>
      <c r="D872" s="2">
        <f>IFERROR(__xludf.DUMMYFUNCTION("""COMPUTED_VALUE"""),1990.0)</f>
        <v>1990</v>
      </c>
      <c r="E872" s="2">
        <f>IFERROR(__xludf.DUMMYFUNCTION("""COMPUTED_VALUE"""),2010.0)</f>
        <v>2010</v>
      </c>
      <c r="F872" s="2">
        <f>IFERROR(__xludf.DUMMYFUNCTION("""COMPUTED_VALUE"""),7.84066E7)</f>
        <v>78406600</v>
      </c>
      <c r="G872" s="2">
        <f t="shared" si="1"/>
        <v>60</v>
      </c>
    </row>
    <row r="873" ht="15.75" customHeight="1">
      <c r="A873" s="1">
        <f>IFERROR(__xludf.DUMMYFUNCTION("""COMPUTED_VALUE"""),45141.66666666667)</f>
        <v>45141.66667</v>
      </c>
      <c r="B873" s="2">
        <f>IFERROR(__xludf.DUMMYFUNCTION("""COMPUTED_VALUE"""),2000.0)</f>
        <v>2000</v>
      </c>
      <c r="C873" s="2">
        <f>IFERROR(__xludf.DUMMYFUNCTION("""COMPUTED_VALUE"""),2020.0)</f>
        <v>2020</v>
      </c>
      <c r="D873" s="2">
        <f>IFERROR(__xludf.DUMMYFUNCTION("""COMPUTED_VALUE"""),1990.0)</f>
        <v>1990</v>
      </c>
      <c r="E873" s="2">
        <f>IFERROR(__xludf.DUMMYFUNCTION("""COMPUTED_VALUE"""),2010.0)</f>
        <v>2010</v>
      </c>
      <c r="F873" s="2">
        <f>IFERROR(__xludf.DUMMYFUNCTION("""COMPUTED_VALUE"""),3.88168E7)</f>
        <v>38816800</v>
      </c>
      <c r="G873" s="2">
        <f t="shared" si="1"/>
        <v>30</v>
      </c>
    </row>
    <row r="874" ht="15.75" customHeight="1">
      <c r="A874" s="1">
        <f>IFERROR(__xludf.DUMMYFUNCTION("""COMPUTED_VALUE"""),45142.66666666667)</f>
        <v>45142.66667</v>
      </c>
      <c r="B874" s="2">
        <f>IFERROR(__xludf.DUMMYFUNCTION("""COMPUTED_VALUE"""),2010.0)</f>
        <v>2010</v>
      </c>
      <c r="C874" s="2">
        <f>IFERROR(__xludf.DUMMYFUNCTION("""COMPUTED_VALUE"""),2040.0)</f>
        <v>2040</v>
      </c>
      <c r="D874" s="2">
        <f>IFERROR(__xludf.DUMMYFUNCTION("""COMPUTED_VALUE"""),2000.0)</f>
        <v>2000</v>
      </c>
      <c r="E874" s="2">
        <f>IFERROR(__xludf.DUMMYFUNCTION("""COMPUTED_VALUE"""),2020.0)</f>
        <v>2020</v>
      </c>
      <c r="F874" s="2">
        <f>IFERROR(__xludf.DUMMYFUNCTION("""COMPUTED_VALUE"""),4.07986E7)</f>
        <v>40798600</v>
      </c>
      <c r="G874" s="2">
        <f t="shared" si="1"/>
        <v>40</v>
      </c>
    </row>
    <row r="875" ht="15.75" customHeight="1">
      <c r="A875" s="1">
        <f>IFERROR(__xludf.DUMMYFUNCTION("""COMPUTED_VALUE"""),45145.66666666667)</f>
        <v>45145.66667</v>
      </c>
      <c r="B875" s="2">
        <f>IFERROR(__xludf.DUMMYFUNCTION("""COMPUTED_VALUE"""),2030.0)</f>
        <v>2030</v>
      </c>
      <c r="C875" s="2">
        <f>IFERROR(__xludf.DUMMYFUNCTION("""COMPUTED_VALUE"""),2050.0)</f>
        <v>2050</v>
      </c>
      <c r="D875" s="2">
        <f>IFERROR(__xludf.DUMMYFUNCTION("""COMPUTED_VALUE"""),2020.0)</f>
        <v>2020</v>
      </c>
      <c r="E875" s="2">
        <f>IFERROR(__xludf.DUMMYFUNCTION("""COMPUTED_VALUE"""),2040.0)</f>
        <v>2040</v>
      </c>
      <c r="F875" s="2">
        <f>IFERROR(__xludf.DUMMYFUNCTION("""COMPUTED_VALUE"""),4.12903E7)</f>
        <v>41290300</v>
      </c>
      <c r="G875" s="2">
        <f t="shared" si="1"/>
        <v>30</v>
      </c>
    </row>
    <row r="876" ht="15.75" customHeight="1">
      <c r="A876" s="1">
        <f>IFERROR(__xludf.DUMMYFUNCTION("""COMPUTED_VALUE"""),45146.66666666667)</f>
        <v>45146.66667</v>
      </c>
      <c r="B876" s="2">
        <f>IFERROR(__xludf.DUMMYFUNCTION("""COMPUTED_VALUE"""),2050.0)</f>
        <v>2050</v>
      </c>
      <c r="C876" s="2">
        <f>IFERROR(__xludf.DUMMYFUNCTION("""COMPUTED_VALUE"""),2050.0)</f>
        <v>2050</v>
      </c>
      <c r="D876" s="2">
        <f>IFERROR(__xludf.DUMMYFUNCTION("""COMPUTED_VALUE"""),2000.0)</f>
        <v>2000</v>
      </c>
      <c r="E876" s="2">
        <f>IFERROR(__xludf.DUMMYFUNCTION("""COMPUTED_VALUE"""),2010.0)</f>
        <v>2010</v>
      </c>
      <c r="F876" s="2">
        <f>IFERROR(__xludf.DUMMYFUNCTION("""COMPUTED_VALUE"""),2.22521E7)</f>
        <v>22252100</v>
      </c>
      <c r="G876" s="2">
        <f t="shared" si="1"/>
        <v>50</v>
      </c>
    </row>
    <row r="877" ht="15.75" customHeight="1">
      <c r="A877" s="1">
        <f>IFERROR(__xludf.DUMMYFUNCTION("""COMPUTED_VALUE"""),45147.66666666667)</f>
        <v>45147.66667</v>
      </c>
      <c r="B877" s="2">
        <f>IFERROR(__xludf.DUMMYFUNCTION("""COMPUTED_VALUE"""),2010.0)</f>
        <v>2010</v>
      </c>
      <c r="C877" s="2">
        <f>IFERROR(__xludf.DUMMYFUNCTION("""COMPUTED_VALUE"""),2020.0)</f>
        <v>2020</v>
      </c>
      <c r="D877" s="2">
        <f>IFERROR(__xludf.DUMMYFUNCTION("""COMPUTED_VALUE"""),1990.0)</f>
        <v>1990</v>
      </c>
      <c r="E877" s="2">
        <f>IFERROR(__xludf.DUMMYFUNCTION("""COMPUTED_VALUE"""),2010.0)</f>
        <v>2010</v>
      </c>
      <c r="F877" s="2">
        <f>IFERROR(__xludf.DUMMYFUNCTION("""COMPUTED_VALUE"""),2.85702E7)</f>
        <v>28570200</v>
      </c>
      <c r="G877" s="2">
        <f t="shared" si="1"/>
        <v>30</v>
      </c>
    </row>
    <row r="878" ht="15.75" customHeight="1">
      <c r="A878" s="1">
        <f>IFERROR(__xludf.DUMMYFUNCTION("""COMPUTED_VALUE"""),45148.66666666667)</f>
        <v>45148.66667</v>
      </c>
      <c r="B878" s="2">
        <f>IFERROR(__xludf.DUMMYFUNCTION("""COMPUTED_VALUE"""),2000.0)</f>
        <v>2000</v>
      </c>
      <c r="C878" s="2">
        <f>IFERROR(__xludf.DUMMYFUNCTION("""COMPUTED_VALUE"""),2020.0)</f>
        <v>2020</v>
      </c>
      <c r="D878" s="2">
        <f>IFERROR(__xludf.DUMMYFUNCTION("""COMPUTED_VALUE"""),1990.0)</f>
        <v>1990</v>
      </c>
      <c r="E878" s="2">
        <f>IFERROR(__xludf.DUMMYFUNCTION("""COMPUTED_VALUE"""),1990.0)</f>
        <v>1990</v>
      </c>
      <c r="F878" s="2">
        <f>IFERROR(__xludf.DUMMYFUNCTION("""COMPUTED_VALUE"""),2.59927E7)</f>
        <v>25992700</v>
      </c>
      <c r="G878" s="2">
        <f t="shared" si="1"/>
        <v>30</v>
      </c>
    </row>
    <row r="879" ht="15.75" customHeight="1">
      <c r="A879" s="1">
        <f>IFERROR(__xludf.DUMMYFUNCTION("""COMPUTED_VALUE"""),45149.66666666667)</f>
        <v>45149.66667</v>
      </c>
      <c r="B879" s="2">
        <f>IFERROR(__xludf.DUMMYFUNCTION("""COMPUTED_VALUE"""),1995.0)</f>
        <v>1995</v>
      </c>
      <c r="C879" s="2">
        <f>IFERROR(__xludf.DUMMYFUNCTION("""COMPUTED_VALUE"""),2000.0)</f>
        <v>2000</v>
      </c>
      <c r="D879" s="2">
        <f>IFERROR(__xludf.DUMMYFUNCTION("""COMPUTED_VALUE"""),1980.0)</f>
        <v>1980</v>
      </c>
      <c r="E879" s="2">
        <f>IFERROR(__xludf.DUMMYFUNCTION("""COMPUTED_VALUE"""),1990.0)</f>
        <v>1990</v>
      </c>
      <c r="F879" s="2">
        <f>IFERROR(__xludf.DUMMYFUNCTION("""COMPUTED_VALUE"""),2.46286E7)</f>
        <v>24628600</v>
      </c>
      <c r="G879" s="2">
        <f t="shared" si="1"/>
        <v>20</v>
      </c>
    </row>
    <row r="880" ht="15.75" customHeight="1">
      <c r="A880" s="1">
        <f>IFERROR(__xludf.DUMMYFUNCTION("""COMPUTED_VALUE"""),45152.66666666667)</f>
        <v>45152.66667</v>
      </c>
      <c r="B880" s="2">
        <f>IFERROR(__xludf.DUMMYFUNCTION("""COMPUTED_VALUE"""),1990.0)</f>
        <v>1990</v>
      </c>
      <c r="C880" s="2">
        <f>IFERROR(__xludf.DUMMYFUNCTION("""COMPUTED_VALUE"""),2000.0)</f>
        <v>2000</v>
      </c>
      <c r="D880" s="2">
        <f>IFERROR(__xludf.DUMMYFUNCTION("""COMPUTED_VALUE"""),1970.0)</f>
        <v>1970</v>
      </c>
      <c r="E880" s="2">
        <f>IFERROR(__xludf.DUMMYFUNCTION("""COMPUTED_VALUE"""),2000.0)</f>
        <v>2000</v>
      </c>
      <c r="F880" s="2">
        <f>IFERROR(__xludf.DUMMYFUNCTION("""COMPUTED_VALUE"""),2.86405E7)</f>
        <v>28640500</v>
      </c>
      <c r="G880" s="2">
        <f t="shared" si="1"/>
        <v>30</v>
      </c>
    </row>
    <row r="881" ht="15.75" customHeight="1">
      <c r="A881" s="1">
        <f>IFERROR(__xludf.DUMMYFUNCTION("""COMPUTED_VALUE"""),45153.66666666667)</f>
        <v>45153.66667</v>
      </c>
      <c r="B881" s="2">
        <f>IFERROR(__xludf.DUMMYFUNCTION("""COMPUTED_VALUE"""),1995.0)</f>
        <v>1995</v>
      </c>
      <c r="C881" s="2">
        <f>IFERROR(__xludf.DUMMYFUNCTION("""COMPUTED_VALUE"""),2000.0)</f>
        <v>2000</v>
      </c>
      <c r="D881" s="2">
        <f>IFERROR(__xludf.DUMMYFUNCTION("""COMPUTED_VALUE"""),1985.0)</f>
        <v>1985</v>
      </c>
      <c r="E881" s="2">
        <f>IFERROR(__xludf.DUMMYFUNCTION("""COMPUTED_VALUE"""),1990.0)</f>
        <v>1990</v>
      </c>
      <c r="F881" s="2">
        <f>IFERROR(__xludf.DUMMYFUNCTION("""COMPUTED_VALUE"""),2.34131E7)</f>
        <v>23413100</v>
      </c>
      <c r="G881" s="2">
        <f t="shared" si="1"/>
        <v>15</v>
      </c>
    </row>
    <row r="882" ht="15.75" customHeight="1">
      <c r="A882" s="1">
        <f>IFERROR(__xludf.DUMMYFUNCTION("""COMPUTED_VALUE"""),45154.66666666667)</f>
        <v>45154.66667</v>
      </c>
      <c r="B882" s="2">
        <f>IFERROR(__xludf.DUMMYFUNCTION("""COMPUTED_VALUE"""),1985.0)</f>
        <v>1985</v>
      </c>
      <c r="C882" s="2">
        <f>IFERROR(__xludf.DUMMYFUNCTION("""COMPUTED_VALUE"""),1990.0)</f>
        <v>1990</v>
      </c>
      <c r="D882" s="2">
        <f>IFERROR(__xludf.DUMMYFUNCTION("""COMPUTED_VALUE"""),1960.0)</f>
        <v>1960</v>
      </c>
      <c r="E882" s="2">
        <f>IFERROR(__xludf.DUMMYFUNCTION("""COMPUTED_VALUE"""),1960.0)</f>
        <v>1960</v>
      </c>
      <c r="F882" s="2">
        <f>IFERROR(__xludf.DUMMYFUNCTION("""COMPUTED_VALUE"""),6.23563E7)</f>
        <v>62356300</v>
      </c>
      <c r="G882" s="2">
        <f t="shared" si="1"/>
        <v>30</v>
      </c>
    </row>
    <row r="883" ht="15.75" customHeight="1">
      <c r="A883" s="1">
        <f>IFERROR(__xludf.DUMMYFUNCTION("""COMPUTED_VALUE"""),45156.66666666667)</f>
        <v>45156.66667</v>
      </c>
      <c r="B883" s="2">
        <f>IFERROR(__xludf.DUMMYFUNCTION("""COMPUTED_VALUE"""),1960.0)</f>
        <v>1960</v>
      </c>
      <c r="C883" s="2">
        <f>IFERROR(__xludf.DUMMYFUNCTION("""COMPUTED_VALUE"""),1970.0)</f>
        <v>1970</v>
      </c>
      <c r="D883" s="2">
        <f>IFERROR(__xludf.DUMMYFUNCTION("""COMPUTED_VALUE"""),1945.0)</f>
        <v>1945</v>
      </c>
      <c r="E883" s="2">
        <f>IFERROR(__xludf.DUMMYFUNCTION("""COMPUTED_VALUE"""),1950.0)</f>
        <v>1950</v>
      </c>
      <c r="F883" s="2">
        <f>IFERROR(__xludf.DUMMYFUNCTION("""COMPUTED_VALUE"""),4.23609E7)</f>
        <v>42360900</v>
      </c>
      <c r="G883" s="2">
        <f t="shared" si="1"/>
        <v>25</v>
      </c>
    </row>
    <row r="884" ht="15.75" customHeight="1">
      <c r="A884" s="1">
        <f>IFERROR(__xludf.DUMMYFUNCTION("""COMPUTED_VALUE"""),45159.66666666667)</f>
        <v>45159.66667</v>
      </c>
      <c r="B884" s="2">
        <f>IFERROR(__xludf.DUMMYFUNCTION("""COMPUTED_VALUE"""),1950.0)</f>
        <v>1950</v>
      </c>
      <c r="C884" s="2">
        <f>IFERROR(__xludf.DUMMYFUNCTION("""COMPUTED_VALUE"""),1965.0)</f>
        <v>1965</v>
      </c>
      <c r="D884" s="2">
        <f>IFERROR(__xludf.DUMMYFUNCTION("""COMPUTED_VALUE"""),1950.0)</f>
        <v>1950</v>
      </c>
      <c r="E884" s="2">
        <f>IFERROR(__xludf.DUMMYFUNCTION("""COMPUTED_VALUE"""),1950.0)</f>
        <v>1950</v>
      </c>
      <c r="F884" s="2">
        <f>IFERROR(__xludf.DUMMYFUNCTION("""COMPUTED_VALUE"""),1.83719E7)</f>
        <v>18371900</v>
      </c>
      <c r="G884" s="2">
        <f t="shared" si="1"/>
        <v>15</v>
      </c>
    </row>
    <row r="885" ht="15.75" customHeight="1">
      <c r="A885" s="1">
        <f>IFERROR(__xludf.DUMMYFUNCTION("""COMPUTED_VALUE"""),45160.66666666667)</f>
        <v>45160.66667</v>
      </c>
      <c r="B885" s="2">
        <f>IFERROR(__xludf.DUMMYFUNCTION("""COMPUTED_VALUE"""),1950.0)</f>
        <v>1950</v>
      </c>
      <c r="C885" s="2">
        <f>IFERROR(__xludf.DUMMYFUNCTION("""COMPUTED_VALUE"""),1960.0)</f>
        <v>1960</v>
      </c>
      <c r="D885" s="2">
        <f>IFERROR(__xludf.DUMMYFUNCTION("""COMPUTED_VALUE"""),1935.0)</f>
        <v>1935</v>
      </c>
      <c r="E885" s="2">
        <f>IFERROR(__xludf.DUMMYFUNCTION("""COMPUTED_VALUE"""),1945.0)</f>
        <v>1945</v>
      </c>
      <c r="F885" s="2">
        <f>IFERROR(__xludf.DUMMYFUNCTION("""COMPUTED_VALUE"""),3.61884E7)</f>
        <v>36188400</v>
      </c>
      <c r="G885" s="2">
        <f t="shared" si="1"/>
        <v>25</v>
      </c>
    </row>
    <row r="886" ht="15.75" customHeight="1">
      <c r="A886" s="1">
        <f>IFERROR(__xludf.DUMMYFUNCTION("""COMPUTED_VALUE"""),45161.66666666667)</f>
        <v>45161.66667</v>
      </c>
      <c r="B886" s="2">
        <f>IFERROR(__xludf.DUMMYFUNCTION("""COMPUTED_VALUE"""),1950.0)</f>
        <v>1950</v>
      </c>
      <c r="C886" s="2">
        <f>IFERROR(__xludf.DUMMYFUNCTION("""COMPUTED_VALUE"""),1965.0)</f>
        <v>1965</v>
      </c>
      <c r="D886" s="2">
        <f>IFERROR(__xludf.DUMMYFUNCTION("""COMPUTED_VALUE"""),1950.0)</f>
        <v>1950</v>
      </c>
      <c r="E886" s="2">
        <f>IFERROR(__xludf.DUMMYFUNCTION("""COMPUTED_VALUE"""),1955.0)</f>
        <v>1955</v>
      </c>
      <c r="F886" s="2">
        <f>IFERROR(__xludf.DUMMYFUNCTION("""COMPUTED_VALUE"""),3.56536E7)</f>
        <v>35653600</v>
      </c>
      <c r="G886" s="2">
        <f t="shared" si="1"/>
        <v>20</v>
      </c>
    </row>
    <row r="887" ht="15.75" customHeight="1">
      <c r="A887" s="1">
        <f>IFERROR(__xludf.DUMMYFUNCTION("""COMPUTED_VALUE"""),45162.66666666667)</f>
        <v>45162.66667</v>
      </c>
      <c r="B887" s="2">
        <f>IFERROR(__xludf.DUMMYFUNCTION("""COMPUTED_VALUE"""),1975.0)</f>
        <v>1975</v>
      </c>
      <c r="C887" s="2">
        <f>IFERROR(__xludf.DUMMYFUNCTION("""COMPUTED_VALUE"""),2020.0)</f>
        <v>2020</v>
      </c>
      <c r="D887" s="2">
        <f>IFERROR(__xludf.DUMMYFUNCTION("""COMPUTED_VALUE"""),1975.0)</f>
        <v>1975</v>
      </c>
      <c r="E887" s="2">
        <f>IFERROR(__xludf.DUMMYFUNCTION("""COMPUTED_VALUE"""),1995.0)</f>
        <v>1995</v>
      </c>
      <c r="F887" s="2">
        <f>IFERROR(__xludf.DUMMYFUNCTION("""COMPUTED_VALUE"""),8.14024E7)</f>
        <v>81402400</v>
      </c>
      <c r="G887" s="2">
        <f t="shared" si="1"/>
        <v>65</v>
      </c>
    </row>
    <row r="888" ht="15.75" customHeight="1">
      <c r="A888" s="1">
        <f>IFERROR(__xludf.DUMMYFUNCTION("""COMPUTED_VALUE"""),45163.66666666667)</f>
        <v>45163.66667</v>
      </c>
      <c r="B888" s="2">
        <f>IFERROR(__xludf.DUMMYFUNCTION("""COMPUTED_VALUE"""),1995.0)</f>
        <v>1995</v>
      </c>
      <c r="C888" s="2">
        <f>IFERROR(__xludf.DUMMYFUNCTION("""COMPUTED_VALUE"""),2010.0)</f>
        <v>2010</v>
      </c>
      <c r="D888" s="2">
        <f>IFERROR(__xludf.DUMMYFUNCTION("""COMPUTED_VALUE"""),1980.0)</f>
        <v>1980</v>
      </c>
      <c r="E888" s="2">
        <f>IFERROR(__xludf.DUMMYFUNCTION("""COMPUTED_VALUE"""),1990.0)</f>
        <v>1990</v>
      </c>
      <c r="F888" s="2">
        <f>IFERROR(__xludf.DUMMYFUNCTION("""COMPUTED_VALUE"""),3.48682E7)</f>
        <v>34868200</v>
      </c>
      <c r="G888" s="2">
        <f t="shared" si="1"/>
        <v>30</v>
      </c>
    </row>
    <row r="889" ht="15.75" customHeight="1">
      <c r="A889" s="1">
        <f>IFERROR(__xludf.DUMMYFUNCTION("""COMPUTED_VALUE"""),45166.66666666667)</f>
        <v>45166.66667</v>
      </c>
      <c r="B889" s="2">
        <f>IFERROR(__xludf.DUMMYFUNCTION("""COMPUTED_VALUE"""),1995.0)</f>
        <v>1995</v>
      </c>
      <c r="C889" s="2">
        <f>IFERROR(__xludf.DUMMYFUNCTION("""COMPUTED_VALUE"""),2010.0)</f>
        <v>2010</v>
      </c>
      <c r="D889" s="2">
        <f>IFERROR(__xludf.DUMMYFUNCTION("""COMPUTED_VALUE"""),1980.0)</f>
        <v>1980</v>
      </c>
      <c r="E889" s="2">
        <f>IFERROR(__xludf.DUMMYFUNCTION("""COMPUTED_VALUE"""),1995.0)</f>
        <v>1995</v>
      </c>
      <c r="F889" s="2">
        <f>IFERROR(__xludf.DUMMYFUNCTION("""COMPUTED_VALUE"""),2.05216E7)</f>
        <v>20521600</v>
      </c>
      <c r="G889" s="2">
        <f t="shared" si="1"/>
        <v>30</v>
      </c>
    </row>
    <row r="890" ht="15.75" customHeight="1">
      <c r="A890" s="1">
        <f>IFERROR(__xludf.DUMMYFUNCTION("""COMPUTED_VALUE"""),45167.66666666667)</f>
        <v>45167.66667</v>
      </c>
      <c r="B890" s="2">
        <f>IFERROR(__xludf.DUMMYFUNCTION("""COMPUTED_VALUE"""),1995.0)</f>
        <v>1995</v>
      </c>
      <c r="C890" s="2">
        <f>IFERROR(__xludf.DUMMYFUNCTION("""COMPUTED_VALUE"""),2000.0)</f>
        <v>2000</v>
      </c>
      <c r="D890" s="2">
        <f>IFERROR(__xludf.DUMMYFUNCTION("""COMPUTED_VALUE"""),1980.0)</f>
        <v>1980</v>
      </c>
      <c r="E890" s="2">
        <f>IFERROR(__xludf.DUMMYFUNCTION("""COMPUTED_VALUE"""),1995.0)</f>
        <v>1995</v>
      </c>
      <c r="F890" s="2">
        <f>IFERROR(__xludf.DUMMYFUNCTION("""COMPUTED_VALUE"""),2.30106E7)</f>
        <v>23010600</v>
      </c>
      <c r="G890" s="2">
        <f t="shared" si="1"/>
        <v>20</v>
      </c>
    </row>
    <row r="891" ht="15.75" customHeight="1">
      <c r="A891" s="1">
        <f>IFERROR(__xludf.DUMMYFUNCTION("""COMPUTED_VALUE"""),45168.66666666667)</f>
        <v>45168.66667</v>
      </c>
      <c r="B891" s="2">
        <f>IFERROR(__xludf.DUMMYFUNCTION("""COMPUTED_VALUE"""),2010.0)</f>
        <v>2010</v>
      </c>
      <c r="C891" s="2">
        <f>IFERROR(__xludf.DUMMYFUNCTION("""COMPUTED_VALUE"""),2010.0)</f>
        <v>2010</v>
      </c>
      <c r="D891" s="2">
        <f>IFERROR(__xludf.DUMMYFUNCTION("""COMPUTED_VALUE"""),1995.0)</f>
        <v>1995</v>
      </c>
      <c r="E891" s="2">
        <f>IFERROR(__xludf.DUMMYFUNCTION("""COMPUTED_VALUE"""),1995.0)</f>
        <v>1995</v>
      </c>
      <c r="F891" s="2">
        <f>IFERROR(__xludf.DUMMYFUNCTION("""COMPUTED_VALUE"""),3.19641E7)</f>
        <v>31964100</v>
      </c>
      <c r="G891" s="2">
        <f t="shared" si="1"/>
        <v>15</v>
      </c>
    </row>
    <row r="892" ht="15.75" customHeight="1">
      <c r="A892" s="1">
        <f>IFERROR(__xludf.DUMMYFUNCTION("""COMPUTED_VALUE"""),45169.66666666667)</f>
        <v>45169.66667</v>
      </c>
      <c r="B892" s="2">
        <f>IFERROR(__xludf.DUMMYFUNCTION("""COMPUTED_VALUE"""),1995.0)</f>
        <v>1995</v>
      </c>
      <c r="C892" s="2">
        <f>IFERROR(__xludf.DUMMYFUNCTION("""COMPUTED_VALUE"""),2010.0)</f>
        <v>2010</v>
      </c>
      <c r="D892" s="2">
        <f>IFERROR(__xludf.DUMMYFUNCTION("""COMPUTED_VALUE"""),1975.0)</f>
        <v>1975</v>
      </c>
      <c r="E892" s="2">
        <f>IFERROR(__xludf.DUMMYFUNCTION("""COMPUTED_VALUE"""),1990.0)</f>
        <v>1990</v>
      </c>
      <c r="F892" s="2">
        <f>IFERROR(__xludf.DUMMYFUNCTION("""COMPUTED_VALUE"""),3.47757E7)</f>
        <v>34775700</v>
      </c>
      <c r="G892" s="2">
        <f t="shared" si="1"/>
        <v>35</v>
      </c>
    </row>
    <row r="893" ht="15.75" customHeight="1">
      <c r="A893" s="1">
        <f>IFERROR(__xludf.DUMMYFUNCTION("""COMPUTED_VALUE"""),45170.66666666667)</f>
        <v>45170.66667</v>
      </c>
      <c r="B893" s="2">
        <f>IFERROR(__xludf.DUMMYFUNCTION("""COMPUTED_VALUE"""),1925.0)</f>
        <v>1925</v>
      </c>
      <c r="C893" s="2">
        <f>IFERROR(__xludf.DUMMYFUNCTION("""COMPUTED_VALUE"""),1970.0)</f>
        <v>1970</v>
      </c>
      <c r="D893" s="2">
        <f>IFERROR(__xludf.DUMMYFUNCTION("""COMPUTED_VALUE"""),1925.0)</f>
        <v>1925</v>
      </c>
      <c r="E893" s="2">
        <f>IFERROR(__xludf.DUMMYFUNCTION("""COMPUTED_VALUE"""),1955.0)</f>
        <v>1955</v>
      </c>
      <c r="F893" s="2">
        <f>IFERROR(__xludf.DUMMYFUNCTION("""COMPUTED_VALUE"""),8.93473E7)</f>
        <v>89347300</v>
      </c>
      <c r="G893" s="2">
        <f t="shared" si="1"/>
        <v>65</v>
      </c>
    </row>
    <row r="894" ht="15.75" customHeight="1">
      <c r="A894" s="1">
        <f>IFERROR(__xludf.DUMMYFUNCTION("""COMPUTED_VALUE"""),45173.66666666667)</f>
        <v>45173.66667</v>
      </c>
      <c r="B894" s="2">
        <f>IFERROR(__xludf.DUMMYFUNCTION("""COMPUTED_VALUE"""),1975.0)</f>
        <v>1975</v>
      </c>
      <c r="C894" s="2">
        <f>IFERROR(__xludf.DUMMYFUNCTION("""COMPUTED_VALUE"""),1980.0)</f>
        <v>1980</v>
      </c>
      <c r="D894" s="2">
        <f>IFERROR(__xludf.DUMMYFUNCTION("""COMPUTED_VALUE"""),1950.0)</f>
        <v>1950</v>
      </c>
      <c r="E894" s="2">
        <f>IFERROR(__xludf.DUMMYFUNCTION("""COMPUTED_VALUE"""),1950.0)</f>
        <v>1950</v>
      </c>
      <c r="F894" s="2">
        <f>IFERROR(__xludf.DUMMYFUNCTION("""COMPUTED_VALUE"""),5.05952E7)</f>
        <v>50595200</v>
      </c>
      <c r="G894" s="2">
        <f t="shared" si="1"/>
        <v>30</v>
      </c>
    </row>
    <row r="895" ht="15.75" customHeight="1">
      <c r="A895" s="1">
        <f>IFERROR(__xludf.DUMMYFUNCTION("""COMPUTED_VALUE"""),45174.66666666667)</f>
        <v>45174.66667</v>
      </c>
      <c r="B895" s="2">
        <f>IFERROR(__xludf.DUMMYFUNCTION("""COMPUTED_VALUE"""),1950.0)</f>
        <v>1950</v>
      </c>
      <c r="C895" s="2">
        <f>IFERROR(__xludf.DUMMYFUNCTION("""COMPUTED_VALUE"""),1970.0)</f>
        <v>1970</v>
      </c>
      <c r="D895" s="2">
        <f>IFERROR(__xludf.DUMMYFUNCTION("""COMPUTED_VALUE"""),1945.0)</f>
        <v>1945</v>
      </c>
      <c r="E895" s="2">
        <f>IFERROR(__xludf.DUMMYFUNCTION("""COMPUTED_VALUE"""),1950.0)</f>
        <v>1950</v>
      </c>
      <c r="F895" s="2">
        <f>IFERROR(__xludf.DUMMYFUNCTION("""COMPUTED_VALUE"""),3.06635E7)</f>
        <v>30663500</v>
      </c>
      <c r="G895" s="2">
        <f t="shared" si="1"/>
        <v>25</v>
      </c>
    </row>
    <row r="896" ht="15.75" customHeight="1">
      <c r="A896" s="1">
        <f>IFERROR(__xludf.DUMMYFUNCTION("""COMPUTED_VALUE"""),45175.66666666667)</f>
        <v>45175.66667</v>
      </c>
      <c r="B896" s="2">
        <f>IFERROR(__xludf.DUMMYFUNCTION("""COMPUTED_VALUE"""),1950.0)</f>
        <v>1950</v>
      </c>
      <c r="C896" s="2">
        <f>IFERROR(__xludf.DUMMYFUNCTION("""COMPUTED_VALUE"""),1965.0)</f>
        <v>1965</v>
      </c>
      <c r="D896" s="2">
        <f>IFERROR(__xludf.DUMMYFUNCTION("""COMPUTED_VALUE"""),1945.0)</f>
        <v>1945</v>
      </c>
      <c r="E896" s="2">
        <f>IFERROR(__xludf.DUMMYFUNCTION("""COMPUTED_VALUE"""),1945.0)</f>
        <v>1945</v>
      </c>
      <c r="F896" s="2">
        <f>IFERROR(__xludf.DUMMYFUNCTION("""COMPUTED_VALUE"""),4.68184E7)</f>
        <v>46818400</v>
      </c>
      <c r="G896" s="2">
        <f t="shared" si="1"/>
        <v>20</v>
      </c>
    </row>
    <row r="897" ht="15.75" customHeight="1">
      <c r="A897" s="1">
        <f>IFERROR(__xludf.DUMMYFUNCTION("""COMPUTED_VALUE"""),45176.66666666667)</f>
        <v>45176.66667</v>
      </c>
      <c r="B897" s="2">
        <f>IFERROR(__xludf.DUMMYFUNCTION("""COMPUTED_VALUE"""),1945.0)</f>
        <v>1945</v>
      </c>
      <c r="C897" s="2">
        <f>IFERROR(__xludf.DUMMYFUNCTION("""COMPUTED_VALUE"""),1955.0)</f>
        <v>1955</v>
      </c>
      <c r="D897" s="2">
        <f>IFERROR(__xludf.DUMMYFUNCTION("""COMPUTED_VALUE"""),1940.0)</f>
        <v>1940</v>
      </c>
      <c r="E897" s="2">
        <f>IFERROR(__xludf.DUMMYFUNCTION("""COMPUTED_VALUE"""),1955.0)</f>
        <v>1955</v>
      </c>
      <c r="F897" s="2">
        <f>IFERROR(__xludf.DUMMYFUNCTION("""COMPUTED_VALUE"""),2.91312E7)</f>
        <v>29131200</v>
      </c>
      <c r="G897" s="2">
        <f t="shared" si="1"/>
        <v>15</v>
      </c>
    </row>
    <row r="898" ht="15.75" customHeight="1">
      <c r="A898" s="1">
        <f>IFERROR(__xludf.DUMMYFUNCTION("""COMPUTED_VALUE"""),45177.66666666667)</f>
        <v>45177.66667</v>
      </c>
      <c r="B898" s="2">
        <f>IFERROR(__xludf.DUMMYFUNCTION("""COMPUTED_VALUE"""),1955.0)</f>
        <v>1955</v>
      </c>
      <c r="C898" s="2">
        <f>IFERROR(__xludf.DUMMYFUNCTION("""COMPUTED_VALUE"""),1960.0)</f>
        <v>1960</v>
      </c>
      <c r="D898" s="2">
        <f>IFERROR(__xludf.DUMMYFUNCTION("""COMPUTED_VALUE"""),1940.0)</f>
        <v>1940</v>
      </c>
      <c r="E898" s="2">
        <f>IFERROR(__xludf.DUMMYFUNCTION("""COMPUTED_VALUE"""),1945.0)</f>
        <v>1945</v>
      </c>
      <c r="F898" s="2">
        <f>IFERROR(__xludf.DUMMYFUNCTION("""COMPUTED_VALUE"""),2.80624E7)</f>
        <v>28062400</v>
      </c>
      <c r="G898" s="2">
        <f t="shared" si="1"/>
        <v>20</v>
      </c>
    </row>
    <row r="899" ht="15.75" customHeight="1">
      <c r="A899" s="1">
        <f>IFERROR(__xludf.DUMMYFUNCTION("""COMPUTED_VALUE"""),45180.66666666667)</f>
        <v>45180.66667</v>
      </c>
      <c r="B899" s="2">
        <f>IFERROR(__xludf.DUMMYFUNCTION("""COMPUTED_VALUE"""),1945.0)</f>
        <v>1945</v>
      </c>
      <c r="C899" s="2">
        <f>IFERROR(__xludf.DUMMYFUNCTION("""COMPUTED_VALUE"""),1955.0)</f>
        <v>1955</v>
      </c>
      <c r="D899" s="2">
        <f>IFERROR(__xludf.DUMMYFUNCTION("""COMPUTED_VALUE"""),1930.0)</f>
        <v>1930</v>
      </c>
      <c r="E899" s="2">
        <f>IFERROR(__xludf.DUMMYFUNCTION("""COMPUTED_VALUE"""),1955.0)</f>
        <v>1955</v>
      </c>
      <c r="F899" s="2">
        <f>IFERROR(__xludf.DUMMYFUNCTION("""COMPUTED_VALUE"""),2.85075E7)</f>
        <v>28507500</v>
      </c>
      <c r="G899" s="2">
        <f t="shared" si="1"/>
        <v>25</v>
      </c>
    </row>
    <row r="900" ht="15.75" customHeight="1">
      <c r="A900" s="1">
        <f>IFERROR(__xludf.DUMMYFUNCTION("""COMPUTED_VALUE"""),45181.66666666667)</f>
        <v>45181.66667</v>
      </c>
      <c r="B900" s="2">
        <f>IFERROR(__xludf.DUMMYFUNCTION("""COMPUTED_VALUE"""),1960.0)</f>
        <v>1960</v>
      </c>
      <c r="C900" s="2">
        <f>IFERROR(__xludf.DUMMYFUNCTION("""COMPUTED_VALUE"""),1960.0)</f>
        <v>1960</v>
      </c>
      <c r="D900" s="2">
        <f>IFERROR(__xludf.DUMMYFUNCTION("""COMPUTED_VALUE"""),1940.0)</f>
        <v>1940</v>
      </c>
      <c r="E900" s="2">
        <f>IFERROR(__xludf.DUMMYFUNCTION("""COMPUTED_VALUE"""),1945.0)</f>
        <v>1945</v>
      </c>
      <c r="F900" s="2">
        <f>IFERROR(__xludf.DUMMYFUNCTION("""COMPUTED_VALUE"""),1.92701E7)</f>
        <v>19270100</v>
      </c>
      <c r="G900" s="2">
        <f t="shared" si="1"/>
        <v>20</v>
      </c>
    </row>
    <row r="901" ht="15.75" customHeight="1">
      <c r="A901" s="1">
        <f>IFERROR(__xludf.DUMMYFUNCTION("""COMPUTED_VALUE"""),45182.66666666667)</f>
        <v>45182.66667</v>
      </c>
      <c r="B901" s="2">
        <f>IFERROR(__xludf.DUMMYFUNCTION("""COMPUTED_VALUE"""),1950.0)</f>
        <v>1950</v>
      </c>
      <c r="C901" s="2">
        <f>IFERROR(__xludf.DUMMYFUNCTION("""COMPUTED_VALUE"""),1950.0)</f>
        <v>1950</v>
      </c>
      <c r="D901" s="2">
        <f>IFERROR(__xludf.DUMMYFUNCTION("""COMPUTED_VALUE"""),1910.0)</f>
        <v>1910</v>
      </c>
      <c r="E901" s="2">
        <f>IFERROR(__xludf.DUMMYFUNCTION("""COMPUTED_VALUE"""),1915.0)</f>
        <v>1915</v>
      </c>
      <c r="F901" s="2">
        <f>IFERROR(__xludf.DUMMYFUNCTION("""COMPUTED_VALUE"""),4.29917E7)</f>
        <v>42991700</v>
      </c>
      <c r="G901" s="2">
        <f t="shared" si="1"/>
        <v>40</v>
      </c>
    </row>
    <row r="902" ht="15.75" customHeight="1">
      <c r="A902" s="1">
        <f>IFERROR(__xludf.DUMMYFUNCTION("""COMPUTED_VALUE"""),45183.66666666667)</f>
        <v>45183.66667</v>
      </c>
      <c r="B902" s="2">
        <f>IFERROR(__xludf.DUMMYFUNCTION("""COMPUTED_VALUE"""),1920.0)</f>
        <v>1920</v>
      </c>
      <c r="C902" s="2">
        <f>IFERROR(__xludf.DUMMYFUNCTION("""COMPUTED_VALUE"""),1935.0)</f>
        <v>1935</v>
      </c>
      <c r="D902" s="2">
        <f>IFERROR(__xludf.DUMMYFUNCTION("""COMPUTED_VALUE"""),1895.0)</f>
        <v>1895</v>
      </c>
      <c r="E902" s="2">
        <f>IFERROR(__xludf.DUMMYFUNCTION("""COMPUTED_VALUE"""),1900.0)</f>
        <v>1900</v>
      </c>
      <c r="F902" s="2">
        <f>IFERROR(__xludf.DUMMYFUNCTION("""COMPUTED_VALUE"""),5.31267E7)</f>
        <v>53126700</v>
      </c>
      <c r="G902" s="2">
        <f t="shared" si="1"/>
        <v>40</v>
      </c>
    </row>
    <row r="903" ht="15.75" customHeight="1">
      <c r="A903" s="1">
        <f>IFERROR(__xludf.DUMMYFUNCTION("""COMPUTED_VALUE"""),45184.66666666667)</f>
        <v>45184.66667</v>
      </c>
      <c r="B903" s="2">
        <f>IFERROR(__xludf.DUMMYFUNCTION("""COMPUTED_VALUE"""),1900.0)</f>
        <v>1900</v>
      </c>
      <c r="C903" s="2">
        <f>IFERROR(__xludf.DUMMYFUNCTION("""COMPUTED_VALUE"""),1920.0)</f>
        <v>1920</v>
      </c>
      <c r="D903" s="2">
        <f>IFERROR(__xludf.DUMMYFUNCTION("""COMPUTED_VALUE"""),1895.0)</f>
        <v>1895</v>
      </c>
      <c r="E903" s="2">
        <f>IFERROR(__xludf.DUMMYFUNCTION("""COMPUTED_VALUE"""),1900.0)</f>
        <v>1900</v>
      </c>
      <c r="F903" s="2">
        <f>IFERROR(__xludf.DUMMYFUNCTION("""COMPUTED_VALUE"""),4.69833E7)</f>
        <v>46983300</v>
      </c>
      <c r="G903" s="2">
        <f t="shared" si="1"/>
        <v>25</v>
      </c>
    </row>
    <row r="904" ht="15.75" customHeight="1">
      <c r="A904" s="1">
        <f>IFERROR(__xludf.DUMMYFUNCTION("""COMPUTED_VALUE"""),45187.66666666667)</f>
        <v>45187.66667</v>
      </c>
      <c r="B904" s="2">
        <f>IFERROR(__xludf.DUMMYFUNCTION("""COMPUTED_VALUE"""),1900.0)</f>
        <v>1900</v>
      </c>
      <c r="C904" s="2">
        <f>IFERROR(__xludf.DUMMYFUNCTION("""COMPUTED_VALUE"""),1910.0)</f>
        <v>1910</v>
      </c>
      <c r="D904" s="2">
        <f>IFERROR(__xludf.DUMMYFUNCTION("""COMPUTED_VALUE"""),1845.0)</f>
        <v>1845</v>
      </c>
      <c r="E904" s="2">
        <f>IFERROR(__xludf.DUMMYFUNCTION("""COMPUTED_VALUE"""),1845.0)</f>
        <v>1845</v>
      </c>
      <c r="F904" s="2">
        <f>IFERROR(__xludf.DUMMYFUNCTION("""COMPUTED_VALUE"""),5.51221E7)</f>
        <v>55122100</v>
      </c>
      <c r="G904" s="2">
        <f t="shared" si="1"/>
        <v>65</v>
      </c>
    </row>
    <row r="905" ht="15.75" customHeight="1">
      <c r="A905" s="1">
        <f>IFERROR(__xludf.DUMMYFUNCTION("""COMPUTED_VALUE"""),45188.66666666667)</f>
        <v>45188.66667</v>
      </c>
      <c r="B905" s="2">
        <f>IFERROR(__xludf.DUMMYFUNCTION("""COMPUTED_VALUE"""),1835.0)</f>
        <v>1835</v>
      </c>
      <c r="C905" s="2">
        <f>IFERROR(__xludf.DUMMYFUNCTION("""COMPUTED_VALUE"""),1870.0)</f>
        <v>1870</v>
      </c>
      <c r="D905" s="2">
        <f>IFERROR(__xludf.DUMMYFUNCTION("""COMPUTED_VALUE"""),1815.0)</f>
        <v>1815</v>
      </c>
      <c r="E905" s="2">
        <f>IFERROR(__xludf.DUMMYFUNCTION("""COMPUTED_VALUE"""),1840.0)</f>
        <v>1840</v>
      </c>
      <c r="F905" s="2">
        <f>IFERROR(__xludf.DUMMYFUNCTION("""COMPUTED_VALUE"""),5.09492E7)</f>
        <v>50949200</v>
      </c>
      <c r="G905" s="2">
        <f t="shared" si="1"/>
        <v>55</v>
      </c>
    </row>
    <row r="906" ht="15.75" customHeight="1">
      <c r="A906" s="1">
        <f>IFERROR(__xludf.DUMMYFUNCTION("""COMPUTED_VALUE"""),45189.66666666667)</f>
        <v>45189.66667</v>
      </c>
      <c r="B906" s="2">
        <f>IFERROR(__xludf.DUMMYFUNCTION("""COMPUTED_VALUE"""),1845.0)</f>
        <v>1845</v>
      </c>
      <c r="C906" s="2">
        <f>IFERROR(__xludf.DUMMYFUNCTION("""COMPUTED_VALUE"""),1875.0)</f>
        <v>1875</v>
      </c>
      <c r="D906" s="2">
        <f>IFERROR(__xludf.DUMMYFUNCTION("""COMPUTED_VALUE"""),1845.0)</f>
        <v>1845</v>
      </c>
      <c r="E906" s="2">
        <f>IFERROR(__xludf.DUMMYFUNCTION("""COMPUTED_VALUE"""),1860.0)</f>
        <v>1860</v>
      </c>
      <c r="F906" s="2">
        <f>IFERROR(__xludf.DUMMYFUNCTION("""COMPUTED_VALUE"""),3.08639E7)</f>
        <v>30863900</v>
      </c>
      <c r="G906" s="2">
        <f t="shared" si="1"/>
        <v>35</v>
      </c>
    </row>
    <row r="907" ht="15.75" customHeight="1">
      <c r="A907" s="1">
        <f>IFERROR(__xludf.DUMMYFUNCTION("""COMPUTED_VALUE"""),45190.66666666667)</f>
        <v>45190.66667</v>
      </c>
      <c r="B907" s="2">
        <f>IFERROR(__xludf.DUMMYFUNCTION("""COMPUTED_VALUE"""),1860.0)</f>
        <v>1860</v>
      </c>
      <c r="C907" s="2">
        <f>IFERROR(__xludf.DUMMYFUNCTION("""COMPUTED_VALUE"""),1875.0)</f>
        <v>1875</v>
      </c>
      <c r="D907" s="2">
        <f>IFERROR(__xludf.DUMMYFUNCTION("""COMPUTED_VALUE"""),1830.0)</f>
        <v>1830</v>
      </c>
      <c r="E907" s="2">
        <f>IFERROR(__xludf.DUMMYFUNCTION("""COMPUTED_VALUE"""),1835.0)</f>
        <v>1835</v>
      </c>
      <c r="F907" s="2">
        <f>IFERROR(__xludf.DUMMYFUNCTION("""COMPUTED_VALUE"""),3.97167E7)</f>
        <v>39716700</v>
      </c>
      <c r="G907" s="2">
        <f t="shared" si="1"/>
        <v>45</v>
      </c>
    </row>
    <row r="908" ht="15.75" customHeight="1">
      <c r="A908" s="1">
        <f>IFERROR(__xludf.DUMMYFUNCTION("""COMPUTED_VALUE"""),45191.66666666667)</f>
        <v>45191.66667</v>
      </c>
      <c r="B908" s="2">
        <f>IFERROR(__xludf.DUMMYFUNCTION("""COMPUTED_VALUE"""),1835.0)</f>
        <v>1835</v>
      </c>
      <c r="C908" s="2">
        <f>IFERROR(__xludf.DUMMYFUNCTION("""COMPUTED_VALUE"""),1865.0)</f>
        <v>1865</v>
      </c>
      <c r="D908" s="2">
        <f>IFERROR(__xludf.DUMMYFUNCTION("""COMPUTED_VALUE"""),1835.0)</f>
        <v>1835</v>
      </c>
      <c r="E908" s="2">
        <f>IFERROR(__xludf.DUMMYFUNCTION("""COMPUTED_VALUE"""),1850.0)</f>
        <v>1850</v>
      </c>
      <c r="F908" s="2">
        <f>IFERROR(__xludf.DUMMYFUNCTION("""COMPUTED_VALUE"""),2.09028E7)</f>
        <v>20902800</v>
      </c>
      <c r="G908" s="2">
        <f t="shared" si="1"/>
        <v>30</v>
      </c>
    </row>
    <row r="909" ht="15.75" customHeight="1">
      <c r="A909" s="1">
        <f>IFERROR(__xludf.DUMMYFUNCTION("""COMPUTED_VALUE"""),45194.66666666667)</f>
        <v>45194.66667</v>
      </c>
      <c r="B909" s="2">
        <f>IFERROR(__xludf.DUMMYFUNCTION("""COMPUTED_VALUE"""),1855.0)</f>
        <v>1855</v>
      </c>
      <c r="C909" s="2">
        <f>IFERROR(__xludf.DUMMYFUNCTION("""COMPUTED_VALUE"""),1865.0)</f>
        <v>1865</v>
      </c>
      <c r="D909" s="2">
        <f>IFERROR(__xludf.DUMMYFUNCTION("""COMPUTED_VALUE"""),1845.0)</f>
        <v>1845</v>
      </c>
      <c r="E909" s="2">
        <f>IFERROR(__xludf.DUMMYFUNCTION("""COMPUTED_VALUE"""),1850.0)</f>
        <v>1850</v>
      </c>
      <c r="F909" s="2">
        <f>IFERROR(__xludf.DUMMYFUNCTION("""COMPUTED_VALUE"""),1.56403E7)</f>
        <v>15640300</v>
      </c>
      <c r="G909" s="2">
        <f t="shared" si="1"/>
        <v>20</v>
      </c>
    </row>
    <row r="910" ht="15.75" customHeight="1">
      <c r="A910" s="1">
        <f>IFERROR(__xludf.DUMMYFUNCTION("""COMPUTED_VALUE"""),45195.66666666667)</f>
        <v>45195.66667</v>
      </c>
      <c r="B910" s="2">
        <f>IFERROR(__xludf.DUMMYFUNCTION("""COMPUTED_VALUE"""),1850.0)</f>
        <v>1850</v>
      </c>
      <c r="C910" s="2">
        <f>IFERROR(__xludf.DUMMYFUNCTION("""COMPUTED_VALUE"""),1855.0)</f>
        <v>1855</v>
      </c>
      <c r="D910" s="2">
        <f>IFERROR(__xludf.DUMMYFUNCTION("""COMPUTED_VALUE"""),1830.0)</f>
        <v>1830</v>
      </c>
      <c r="E910" s="2">
        <f>IFERROR(__xludf.DUMMYFUNCTION("""COMPUTED_VALUE"""),1840.0)</f>
        <v>1840</v>
      </c>
      <c r="F910" s="2">
        <f>IFERROR(__xludf.DUMMYFUNCTION("""COMPUTED_VALUE"""),2.38252E7)</f>
        <v>23825200</v>
      </c>
      <c r="G910" s="2">
        <f t="shared" si="1"/>
        <v>25</v>
      </c>
    </row>
    <row r="911" ht="15.75" customHeight="1">
      <c r="A911" s="1">
        <f>IFERROR(__xludf.DUMMYFUNCTION("""COMPUTED_VALUE"""),45196.66666666667)</f>
        <v>45196.66667</v>
      </c>
      <c r="B911" s="2">
        <f>IFERROR(__xludf.DUMMYFUNCTION("""COMPUTED_VALUE"""),1840.0)</f>
        <v>1840</v>
      </c>
      <c r="C911" s="2">
        <f>IFERROR(__xludf.DUMMYFUNCTION("""COMPUTED_VALUE"""),1845.0)</f>
        <v>1845</v>
      </c>
      <c r="D911" s="2">
        <f>IFERROR(__xludf.DUMMYFUNCTION("""COMPUTED_VALUE"""),1820.0)</f>
        <v>1820</v>
      </c>
      <c r="E911" s="2">
        <f>IFERROR(__xludf.DUMMYFUNCTION("""COMPUTED_VALUE"""),1820.0)</f>
        <v>1820</v>
      </c>
      <c r="F911" s="2">
        <f>IFERROR(__xludf.DUMMYFUNCTION("""COMPUTED_VALUE"""),1.74184E7)</f>
        <v>17418400</v>
      </c>
      <c r="G911" s="2">
        <f t="shared" si="1"/>
        <v>25</v>
      </c>
    </row>
    <row r="912" ht="15.75" customHeight="1">
      <c r="A912" s="1">
        <f>IFERROR(__xludf.DUMMYFUNCTION("""COMPUTED_VALUE"""),45198.66666666667)</f>
        <v>45198.66667</v>
      </c>
      <c r="B912" s="2">
        <f>IFERROR(__xludf.DUMMYFUNCTION("""COMPUTED_VALUE"""),1820.0)</f>
        <v>1820</v>
      </c>
      <c r="C912" s="2">
        <f>IFERROR(__xludf.DUMMYFUNCTION("""COMPUTED_VALUE"""),1830.0)</f>
        <v>1830</v>
      </c>
      <c r="D912" s="2">
        <f>IFERROR(__xludf.DUMMYFUNCTION("""COMPUTED_VALUE"""),1815.0)</f>
        <v>1815</v>
      </c>
      <c r="E912" s="2">
        <f>IFERROR(__xludf.DUMMYFUNCTION("""COMPUTED_VALUE"""),1815.0)</f>
        <v>1815</v>
      </c>
      <c r="F912" s="2">
        <f>IFERROR(__xludf.DUMMYFUNCTION("""COMPUTED_VALUE"""),2.30521E7)</f>
        <v>23052100</v>
      </c>
      <c r="G912" s="2">
        <f t="shared" si="1"/>
        <v>15</v>
      </c>
    </row>
    <row r="913" ht="15.75" customHeight="1">
      <c r="A913" s="1">
        <f>IFERROR(__xludf.DUMMYFUNCTION("""COMPUTED_VALUE"""),45201.66666666667)</f>
        <v>45201.66667</v>
      </c>
      <c r="B913" s="2">
        <f>IFERROR(__xludf.DUMMYFUNCTION("""COMPUTED_VALUE"""),1815.0)</f>
        <v>1815</v>
      </c>
      <c r="C913" s="2">
        <f>IFERROR(__xludf.DUMMYFUNCTION("""COMPUTED_VALUE"""),1825.0)</f>
        <v>1825</v>
      </c>
      <c r="D913" s="2">
        <f>IFERROR(__xludf.DUMMYFUNCTION("""COMPUTED_VALUE"""),1800.0)</f>
        <v>1800</v>
      </c>
      <c r="E913" s="2">
        <f>IFERROR(__xludf.DUMMYFUNCTION("""COMPUTED_VALUE"""),1805.0)</f>
        <v>1805</v>
      </c>
      <c r="F913" s="2">
        <f>IFERROR(__xludf.DUMMYFUNCTION("""COMPUTED_VALUE"""),2.54156E7)</f>
        <v>25415600</v>
      </c>
      <c r="G913" s="2">
        <f t="shared" si="1"/>
        <v>25</v>
      </c>
    </row>
    <row r="914" ht="15.75" customHeight="1">
      <c r="A914" s="1">
        <f>IFERROR(__xludf.DUMMYFUNCTION("""COMPUTED_VALUE"""),45202.66666666667)</f>
        <v>45202.66667</v>
      </c>
      <c r="B914" s="2">
        <f>IFERROR(__xludf.DUMMYFUNCTION("""COMPUTED_VALUE"""),1805.0)</f>
        <v>1805</v>
      </c>
      <c r="C914" s="2">
        <f>IFERROR(__xludf.DUMMYFUNCTION("""COMPUTED_VALUE"""),1810.0)</f>
        <v>1810</v>
      </c>
      <c r="D914" s="2">
        <f>IFERROR(__xludf.DUMMYFUNCTION("""COMPUTED_VALUE"""),1765.0)</f>
        <v>1765</v>
      </c>
      <c r="E914" s="2">
        <f>IFERROR(__xludf.DUMMYFUNCTION("""COMPUTED_VALUE"""),1765.0)</f>
        <v>1765</v>
      </c>
      <c r="F914" s="2">
        <f>IFERROR(__xludf.DUMMYFUNCTION("""COMPUTED_VALUE"""),4.21078E7)</f>
        <v>42107800</v>
      </c>
      <c r="G914" s="2">
        <f t="shared" si="1"/>
        <v>45</v>
      </c>
    </row>
    <row r="915" ht="15.75" customHeight="1">
      <c r="A915" s="1">
        <f>IFERROR(__xludf.DUMMYFUNCTION("""COMPUTED_VALUE"""),45203.66666666667)</f>
        <v>45203.66667</v>
      </c>
      <c r="B915" s="2">
        <f>IFERROR(__xludf.DUMMYFUNCTION("""COMPUTED_VALUE"""),1780.0)</f>
        <v>1780</v>
      </c>
      <c r="C915" s="2">
        <f>IFERROR(__xludf.DUMMYFUNCTION("""COMPUTED_VALUE"""),1780.0)</f>
        <v>1780</v>
      </c>
      <c r="D915" s="2">
        <f>IFERROR(__xludf.DUMMYFUNCTION("""COMPUTED_VALUE"""),1735.0)</f>
        <v>1735</v>
      </c>
      <c r="E915" s="2">
        <f>IFERROR(__xludf.DUMMYFUNCTION("""COMPUTED_VALUE"""),1740.0)</f>
        <v>1740</v>
      </c>
      <c r="F915" s="2">
        <f>IFERROR(__xludf.DUMMYFUNCTION("""COMPUTED_VALUE"""),3.47538E7)</f>
        <v>34753800</v>
      </c>
      <c r="G915" s="2">
        <f t="shared" si="1"/>
        <v>45</v>
      </c>
    </row>
    <row r="916" ht="15.75" customHeight="1">
      <c r="A916" s="1">
        <f>IFERROR(__xludf.DUMMYFUNCTION("""COMPUTED_VALUE"""),45204.66666666667)</f>
        <v>45204.66667</v>
      </c>
      <c r="B916" s="2">
        <f>IFERROR(__xludf.DUMMYFUNCTION("""COMPUTED_VALUE"""),1745.0)</f>
        <v>1745</v>
      </c>
      <c r="C916" s="2">
        <f>IFERROR(__xludf.DUMMYFUNCTION("""COMPUTED_VALUE"""),1760.0)</f>
        <v>1760</v>
      </c>
      <c r="D916" s="2">
        <f>IFERROR(__xludf.DUMMYFUNCTION("""COMPUTED_VALUE"""),1705.0)</f>
        <v>1705</v>
      </c>
      <c r="E916" s="2">
        <f>IFERROR(__xludf.DUMMYFUNCTION("""COMPUTED_VALUE"""),1705.0)</f>
        <v>1705</v>
      </c>
      <c r="F916" s="2">
        <f>IFERROR(__xludf.DUMMYFUNCTION("""COMPUTED_VALUE"""),4.45169E7)</f>
        <v>44516900</v>
      </c>
      <c r="G916" s="2">
        <f t="shared" si="1"/>
        <v>55</v>
      </c>
    </row>
    <row r="917" ht="15.75" customHeight="1">
      <c r="A917" s="1">
        <f>IFERROR(__xludf.DUMMYFUNCTION("""COMPUTED_VALUE"""),45205.66666666667)</f>
        <v>45205.66667</v>
      </c>
      <c r="B917" s="2">
        <f>IFERROR(__xludf.DUMMYFUNCTION("""COMPUTED_VALUE"""),1705.0)</f>
        <v>1705</v>
      </c>
      <c r="C917" s="2">
        <f>IFERROR(__xludf.DUMMYFUNCTION("""COMPUTED_VALUE"""),1740.0)</f>
        <v>1740</v>
      </c>
      <c r="D917" s="2">
        <f>IFERROR(__xludf.DUMMYFUNCTION("""COMPUTED_VALUE"""),1705.0)</f>
        <v>1705</v>
      </c>
      <c r="E917" s="2">
        <f>IFERROR(__xludf.DUMMYFUNCTION("""COMPUTED_VALUE"""),1715.0)</f>
        <v>1715</v>
      </c>
      <c r="F917" s="2">
        <f>IFERROR(__xludf.DUMMYFUNCTION("""COMPUTED_VALUE"""),3.365E7)</f>
        <v>33650000</v>
      </c>
      <c r="G917" s="2">
        <f t="shared" si="1"/>
        <v>35</v>
      </c>
    </row>
    <row r="918" ht="15.75" customHeight="1">
      <c r="A918" s="1">
        <f>IFERROR(__xludf.DUMMYFUNCTION("""COMPUTED_VALUE"""),45208.66666666667)</f>
        <v>45208.66667</v>
      </c>
      <c r="B918" s="2">
        <f>IFERROR(__xludf.DUMMYFUNCTION("""COMPUTED_VALUE"""),1735.0)</f>
        <v>1735</v>
      </c>
      <c r="C918" s="2">
        <f>IFERROR(__xludf.DUMMYFUNCTION("""COMPUTED_VALUE"""),1835.0)</f>
        <v>1835</v>
      </c>
      <c r="D918" s="2">
        <f>IFERROR(__xludf.DUMMYFUNCTION("""COMPUTED_VALUE"""),1735.0)</f>
        <v>1735</v>
      </c>
      <c r="E918" s="2">
        <f>IFERROR(__xludf.DUMMYFUNCTION("""COMPUTED_VALUE"""),1810.0)</f>
        <v>1810</v>
      </c>
      <c r="F918" s="2">
        <f>IFERROR(__xludf.DUMMYFUNCTION("""COMPUTED_VALUE"""),6.37285E7)</f>
        <v>63728500</v>
      </c>
      <c r="G918" s="2">
        <f t="shared" si="1"/>
        <v>120</v>
      </c>
    </row>
    <row r="919" ht="15.75" customHeight="1">
      <c r="A919" s="1">
        <f>IFERROR(__xludf.DUMMYFUNCTION("""COMPUTED_VALUE"""),45209.66666666667)</f>
        <v>45209.66667</v>
      </c>
      <c r="B919" s="2">
        <f>IFERROR(__xludf.DUMMYFUNCTION("""COMPUTED_VALUE"""),1830.0)</f>
        <v>1830</v>
      </c>
      <c r="C919" s="2">
        <f>IFERROR(__xludf.DUMMYFUNCTION("""COMPUTED_VALUE"""),1860.0)</f>
        <v>1860</v>
      </c>
      <c r="D919" s="2">
        <f>IFERROR(__xludf.DUMMYFUNCTION("""COMPUTED_VALUE"""),1815.0)</f>
        <v>1815</v>
      </c>
      <c r="E919" s="2">
        <f>IFERROR(__xludf.DUMMYFUNCTION("""COMPUTED_VALUE"""),1815.0)</f>
        <v>1815</v>
      </c>
      <c r="F919" s="2">
        <f>IFERROR(__xludf.DUMMYFUNCTION("""COMPUTED_VALUE"""),3.69599E7)</f>
        <v>36959900</v>
      </c>
      <c r="G919" s="2">
        <f t="shared" si="1"/>
        <v>50</v>
      </c>
    </row>
    <row r="920" ht="15.75" customHeight="1">
      <c r="A920" s="1">
        <f>IFERROR(__xludf.DUMMYFUNCTION("""COMPUTED_VALUE"""),45210.66666666667)</f>
        <v>45210.66667</v>
      </c>
      <c r="B920" s="2">
        <f>IFERROR(__xludf.DUMMYFUNCTION("""COMPUTED_VALUE"""),1825.0)</f>
        <v>1825</v>
      </c>
      <c r="C920" s="2">
        <f>IFERROR(__xludf.DUMMYFUNCTION("""COMPUTED_VALUE"""),1850.0)</f>
        <v>1850</v>
      </c>
      <c r="D920" s="2">
        <f>IFERROR(__xludf.DUMMYFUNCTION("""COMPUTED_VALUE"""),1815.0)</f>
        <v>1815</v>
      </c>
      <c r="E920" s="2">
        <f>IFERROR(__xludf.DUMMYFUNCTION("""COMPUTED_VALUE"""),1815.0)</f>
        <v>1815</v>
      </c>
      <c r="F920" s="2">
        <f>IFERROR(__xludf.DUMMYFUNCTION("""COMPUTED_VALUE"""),2.70924E7)</f>
        <v>27092400</v>
      </c>
      <c r="G920" s="2">
        <f t="shared" si="1"/>
        <v>35</v>
      </c>
    </row>
    <row r="921" ht="15.75" customHeight="1">
      <c r="A921" s="1">
        <f>IFERROR(__xludf.DUMMYFUNCTION("""COMPUTED_VALUE"""),45211.66666666667)</f>
        <v>45211.66667</v>
      </c>
      <c r="B921" s="2">
        <f>IFERROR(__xludf.DUMMYFUNCTION("""COMPUTED_VALUE"""),1825.0)</f>
        <v>1825</v>
      </c>
      <c r="C921" s="2">
        <f>IFERROR(__xludf.DUMMYFUNCTION("""COMPUTED_VALUE"""),1835.0)</f>
        <v>1835</v>
      </c>
      <c r="D921" s="2">
        <f>IFERROR(__xludf.DUMMYFUNCTION("""COMPUTED_VALUE"""),1775.0)</f>
        <v>1775</v>
      </c>
      <c r="E921" s="2">
        <f>IFERROR(__xludf.DUMMYFUNCTION("""COMPUTED_VALUE"""),1775.0)</f>
        <v>1775</v>
      </c>
      <c r="F921" s="2">
        <f>IFERROR(__xludf.DUMMYFUNCTION("""COMPUTED_VALUE"""),4.19835E7)</f>
        <v>41983500</v>
      </c>
      <c r="G921" s="2">
        <f t="shared" si="1"/>
        <v>60</v>
      </c>
    </row>
    <row r="922" ht="15.75" customHeight="1">
      <c r="A922" s="1">
        <f>IFERROR(__xludf.DUMMYFUNCTION("""COMPUTED_VALUE"""),45212.66666666667)</f>
        <v>45212.66667</v>
      </c>
      <c r="B922" s="2">
        <f>IFERROR(__xludf.DUMMYFUNCTION("""COMPUTED_VALUE"""),1775.0)</f>
        <v>1775</v>
      </c>
      <c r="C922" s="2">
        <f>IFERROR(__xludf.DUMMYFUNCTION("""COMPUTED_VALUE"""),1775.0)</f>
        <v>1775</v>
      </c>
      <c r="D922" s="2">
        <f>IFERROR(__xludf.DUMMYFUNCTION("""COMPUTED_VALUE"""),1750.0)</f>
        <v>1750</v>
      </c>
      <c r="E922" s="2">
        <f>IFERROR(__xludf.DUMMYFUNCTION("""COMPUTED_VALUE"""),1755.0)</f>
        <v>1755</v>
      </c>
      <c r="F922" s="2">
        <f>IFERROR(__xludf.DUMMYFUNCTION("""COMPUTED_VALUE"""),3.23343E7)</f>
        <v>32334300</v>
      </c>
      <c r="G922" s="2">
        <f t="shared" si="1"/>
        <v>25</v>
      </c>
    </row>
    <row r="923" ht="15.75" customHeight="1">
      <c r="A923" s="1">
        <f>IFERROR(__xludf.DUMMYFUNCTION("""COMPUTED_VALUE"""),45215.66666666667)</f>
        <v>45215.66667</v>
      </c>
      <c r="B923" s="2">
        <f>IFERROR(__xludf.DUMMYFUNCTION("""COMPUTED_VALUE"""),1785.0)</f>
        <v>1785</v>
      </c>
      <c r="C923" s="2">
        <f>IFERROR(__xludf.DUMMYFUNCTION("""COMPUTED_VALUE"""),1820.0)</f>
        <v>1820</v>
      </c>
      <c r="D923" s="2">
        <f>IFERROR(__xludf.DUMMYFUNCTION("""COMPUTED_VALUE"""),1785.0)</f>
        <v>1785</v>
      </c>
      <c r="E923" s="2">
        <f>IFERROR(__xludf.DUMMYFUNCTION("""COMPUTED_VALUE"""),1805.0)</f>
        <v>1805</v>
      </c>
      <c r="F923" s="2">
        <f>IFERROR(__xludf.DUMMYFUNCTION("""COMPUTED_VALUE"""),4.7543E7)</f>
        <v>47543000</v>
      </c>
      <c r="G923" s="2">
        <f t="shared" si="1"/>
        <v>65</v>
      </c>
    </row>
    <row r="924" ht="15.75" customHeight="1">
      <c r="A924" s="1">
        <f>IFERROR(__xludf.DUMMYFUNCTION("""COMPUTED_VALUE"""),45216.66666666667)</f>
        <v>45216.66667</v>
      </c>
      <c r="B924" s="2">
        <f>IFERROR(__xludf.DUMMYFUNCTION("""COMPUTED_VALUE"""),1810.0)</f>
        <v>1810</v>
      </c>
      <c r="C924" s="2">
        <f>IFERROR(__xludf.DUMMYFUNCTION("""COMPUTED_VALUE"""),1820.0)</f>
        <v>1820</v>
      </c>
      <c r="D924" s="2">
        <f>IFERROR(__xludf.DUMMYFUNCTION("""COMPUTED_VALUE"""),1790.0)</f>
        <v>1790</v>
      </c>
      <c r="E924" s="2">
        <f>IFERROR(__xludf.DUMMYFUNCTION("""COMPUTED_VALUE"""),1810.0)</f>
        <v>1810</v>
      </c>
      <c r="F924" s="2">
        <f>IFERROR(__xludf.DUMMYFUNCTION("""COMPUTED_VALUE"""),2.25438E7)</f>
        <v>22543800</v>
      </c>
      <c r="G924" s="2">
        <f t="shared" si="1"/>
        <v>30</v>
      </c>
    </row>
    <row r="925" ht="15.75" customHeight="1">
      <c r="A925" s="1">
        <f>IFERROR(__xludf.DUMMYFUNCTION("""COMPUTED_VALUE"""),45217.66666666667)</f>
        <v>45217.66667</v>
      </c>
      <c r="B925" s="2">
        <f>IFERROR(__xludf.DUMMYFUNCTION("""COMPUTED_VALUE"""),1815.0)</f>
        <v>1815</v>
      </c>
      <c r="C925" s="2">
        <f>IFERROR(__xludf.DUMMYFUNCTION("""COMPUTED_VALUE"""),1850.0)</f>
        <v>1850</v>
      </c>
      <c r="D925" s="2">
        <f>IFERROR(__xludf.DUMMYFUNCTION("""COMPUTED_VALUE"""),1815.0)</f>
        <v>1815</v>
      </c>
      <c r="E925" s="2">
        <f>IFERROR(__xludf.DUMMYFUNCTION("""COMPUTED_VALUE"""),1850.0)</f>
        <v>1850</v>
      </c>
      <c r="F925" s="2">
        <f>IFERROR(__xludf.DUMMYFUNCTION("""COMPUTED_VALUE"""),2.81109E7)</f>
        <v>28110900</v>
      </c>
      <c r="G925" s="2">
        <f t="shared" si="1"/>
        <v>40</v>
      </c>
    </row>
    <row r="926" ht="15.75" customHeight="1">
      <c r="A926" s="1">
        <f>IFERROR(__xludf.DUMMYFUNCTION("""COMPUTED_VALUE"""),45218.66666666667)</f>
        <v>45218.66667</v>
      </c>
      <c r="B926" s="2">
        <f>IFERROR(__xludf.DUMMYFUNCTION("""COMPUTED_VALUE"""),1850.0)</f>
        <v>1850</v>
      </c>
      <c r="C926" s="2">
        <f>IFERROR(__xludf.DUMMYFUNCTION("""COMPUTED_VALUE"""),1850.0)</f>
        <v>1850</v>
      </c>
      <c r="D926" s="2">
        <f>IFERROR(__xludf.DUMMYFUNCTION("""COMPUTED_VALUE"""),1795.0)</f>
        <v>1795</v>
      </c>
      <c r="E926" s="2">
        <f>IFERROR(__xludf.DUMMYFUNCTION("""COMPUTED_VALUE"""),1815.0)</f>
        <v>1815</v>
      </c>
      <c r="F926" s="2">
        <f>IFERROR(__xludf.DUMMYFUNCTION("""COMPUTED_VALUE"""),3.2542E7)</f>
        <v>32542000</v>
      </c>
      <c r="G926" s="2">
        <f t="shared" si="1"/>
        <v>55</v>
      </c>
    </row>
    <row r="927" ht="15.75" customHeight="1">
      <c r="A927" s="1">
        <f>IFERROR(__xludf.DUMMYFUNCTION("""COMPUTED_VALUE"""),45219.66666666667)</f>
        <v>45219.66667</v>
      </c>
      <c r="B927" s="2">
        <f>IFERROR(__xludf.DUMMYFUNCTION("""COMPUTED_VALUE"""),1825.0)</f>
        <v>1825</v>
      </c>
      <c r="C927" s="2">
        <f>IFERROR(__xludf.DUMMYFUNCTION("""COMPUTED_VALUE"""),1845.0)</f>
        <v>1845</v>
      </c>
      <c r="D927" s="2">
        <f>IFERROR(__xludf.DUMMYFUNCTION("""COMPUTED_VALUE"""),1805.0)</f>
        <v>1805</v>
      </c>
      <c r="E927" s="2">
        <f>IFERROR(__xludf.DUMMYFUNCTION("""COMPUTED_VALUE"""),1825.0)</f>
        <v>1825</v>
      </c>
      <c r="F927" s="2">
        <f>IFERROR(__xludf.DUMMYFUNCTION("""COMPUTED_VALUE"""),1.70595E7)</f>
        <v>17059500</v>
      </c>
      <c r="G927" s="2">
        <f t="shared" si="1"/>
        <v>40</v>
      </c>
    </row>
    <row r="928" ht="15.75" customHeight="1">
      <c r="A928" s="1">
        <f>IFERROR(__xludf.DUMMYFUNCTION("""COMPUTED_VALUE"""),45222.66666666667)</f>
        <v>45222.66667</v>
      </c>
      <c r="B928" s="2">
        <f>IFERROR(__xludf.DUMMYFUNCTION("""COMPUTED_VALUE"""),1825.0)</f>
        <v>1825</v>
      </c>
      <c r="C928" s="2">
        <f>IFERROR(__xludf.DUMMYFUNCTION("""COMPUTED_VALUE"""),1825.0)</f>
        <v>1825</v>
      </c>
      <c r="D928" s="2">
        <f>IFERROR(__xludf.DUMMYFUNCTION("""COMPUTED_VALUE"""),1745.0)</f>
        <v>1745</v>
      </c>
      <c r="E928" s="2">
        <f>IFERROR(__xludf.DUMMYFUNCTION("""COMPUTED_VALUE"""),1750.0)</f>
        <v>1750</v>
      </c>
      <c r="F928" s="2">
        <f>IFERROR(__xludf.DUMMYFUNCTION("""COMPUTED_VALUE"""),3.75138E7)</f>
        <v>37513800</v>
      </c>
      <c r="G928" s="2">
        <f t="shared" si="1"/>
        <v>80</v>
      </c>
    </row>
    <row r="929" ht="15.75" customHeight="1">
      <c r="A929" s="1">
        <f>IFERROR(__xludf.DUMMYFUNCTION("""COMPUTED_VALUE"""),45223.66666666667)</f>
        <v>45223.66667</v>
      </c>
      <c r="B929" s="2">
        <f>IFERROR(__xludf.DUMMYFUNCTION("""COMPUTED_VALUE"""),1745.0)</f>
        <v>1745</v>
      </c>
      <c r="C929" s="2">
        <f>IFERROR(__xludf.DUMMYFUNCTION("""COMPUTED_VALUE"""),1780.0)</f>
        <v>1780</v>
      </c>
      <c r="D929" s="2">
        <f>IFERROR(__xludf.DUMMYFUNCTION("""COMPUTED_VALUE"""),1735.0)</f>
        <v>1735</v>
      </c>
      <c r="E929" s="2">
        <f>IFERROR(__xludf.DUMMYFUNCTION("""COMPUTED_VALUE"""),1765.0)</f>
        <v>1765</v>
      </c>
      <c r="F929" s="2">
        <f>IFERROR(__xludf.DUMMYFUNCTION("""COMPUTED_VALUE"""),1.82925E7)</f>
        <v>18292500</v>
      </c>
      <c r="G929" s="2">
        <f t="shared" si="1"/>
        <v>45</v>
      </c>
    </row>
    <row r="930" ht="15.75" customHeight="1">
      <c r="A930" s="1">
        <f>IFERROR(__xludf.DUMMYFUNCTION("""COMPUTED_VALUE"""),45224.66666666667)</f>
        <v>45224.66667</v>
      </c>
      <c r="B930" s="2">
        <f>IFERROR(__xludf.DUMMYFUNCTION("""COMPUTED_VALUE"""),1770.0)</f>
        <v>1770</v>
      </c>
      <c r="C930" s="2">
        <f>IFERROR(__xludf.DUMMYFUNCTION("""COMPUTED_VALUE"""),1780.0)</f>
        <v>1780</v>
      </c>
      <c r="D930" s="2">
        <f>IFERROR(__xludf.DUMMYFUNCTION("""COMPUTED_VALUE"""),1730.0)</f>
        <v>1730</v>
      </c>
      <c r="E930" s="2">
        <f>IFERROR(__xludf.DUMMYFUNCTION("""COMPUTED_VALUE"""),1730.0)</f>
        <v>1730</v>
      </c>
      <c r="F930" s="2">
        <f>IFERROR(__xludf.DUMMYFUNCTION("""COMPUTED_VALUE"""),3.05529E7)</f>
        <v>30552900</v>
      </c>
      <c r="G930" s="2">
        <f t="shared" si="1"/>
        <v>50</v>
      </c>
    </row>
    <row r="931" ht="15.75" customHeight="1">
      <c r="A931" s="1">
        <f>IFERROR(__xludf.DUMMYFUNCTION("""COMPUTED_VALUE"""),45225.66666666667)</f>
        <v>45225.66667</v>
      </c>
      <c r="B931" s="2">
        <f>IFERROR(__xludf.DUMMYFUNCTION("""COMPUTED_VALUE"""),1735.0)</f>
        <v>1735</v>
      </c>
      <c r="C931" s="2">
        <f>IFERROR(__xludf.DUMMYFUNCTION("""COMPUTED_VALUE"""),1755.0)</f>
        <v>1755</v>
      </c>
      <c r="D931" s="2">
        <f>IFERROR(__xludf.DUMMYFUNCTION("""COMPUTED_VALUE"""),1730.0)</f>
        <v>1730</v>
      </c>
      <c r="E931" s="2">
        <f>IFERROR(__xludf.DUMMYFUNCTION("""COMPUTED_VALUE"""),1730.0)</f>
        <v>1730</v>
      </c>
      <c r="F931" s="2">
        <f>IFERROR(__xludf.DUMMYFUNCTION("""COMPUTED_VALUE"""),1.61594E7)</f>
        <v>16159400</v>
      </c>
      <c r="G931" s="2">
        <f t="shared" si="1"/>
        <v>25</v>
      </c>
    </row>
    <row r="932" ht="15.75" customHeight="1">
      <c r="A932" s="1">
        <f>IFERROR(__xludf.DUMMYFUNCTION("""COMPUTED_VALUE"""),45226.66666666667)</f>
        <v>45226.66667</v>
      </c>
      <c r="B932" s="2">
        <f>IFERROR(__xludf.DUMMYFUNCTION("""COMPUTED_VALUE"""),1735.0)</f>
        <v>1735</v>
      </c>
      <c r="C932" s="2">
        <f>IFERROR(__xludf.DUMMYFUNCTION("""COMPUTED_VALUE"""),1745.0)</f>
        <v>1745</v>
      </c>
      <c r="D932" s="2">
        <f>IFERROR(__xludf.DUMMYFUNCTION("""COMPUTED_VALUE"""),1725.0)</f>
        <v>1725</v>
      </c>
      <c r="E932" s="2">
        <f>IFERROR(__xludf.DUMMYFUNCTION("""COMPUTED_VALUE"""),1725.0)</f>
        <v>1725</v>
      </c>
      <c r="F932" s="2">
        <f>IFERROR(__xludf.DUMMYFUNCTION("""COMPUTED_VALUE"""),1.1293E7)</f>
        <v>11293000</v>
      </c>
      <c r="G932" s="2">
        <f t="shared" si="1"/>
        <v>20</v>
      </c>
    </row>
    <row r="933" ht="15.75" customHeight="1">
      <c r="A933" s="1">
        <f>IFERROR(__xludf.DUMMYFUNCTION("""COMPUTED_VALUE"""),45229.66666666667)</f>
        <v>45229.66667</v>
      </c>
      <c r="B933" s="2">
        <f>IFERROR(__xludf.DUMMYFUNCTION("""COMPUTED_VALUE"""),1730.0)</f>
        <v>1730</v>
      </c>
      <c r="C933" s="2">
        <f>IFERROR(__xludf.DUMMYFUNCTION("""COMPUTED_VALUE"""),1745.0)</f>
        <v>1745</v>
      </c>
      <c r="D933" s="2">
        <f>IFERROR(__xludf.DUMMYFUNCTION("""COMPUTED_VALUE"""),1715.0)</f>
        <v>1715</v>
      </c>
      <c r="E933" s="2">
        <f>IFERROR(__xludf.DUMMYFUNCTION("""COMPUTED_VALUE"""),1725.0)</f>
        <v>1725</v>
      </c>
      <c r="F933" s="2">
        <f>IFERROR(__xludf.DUMMYFUNCTION("""COMPUTED_VALUE"""),1.44736E7)</f>
        <v>14473600</v>
      </c>
      <c r="G933" s="2">
        <f t="shared" si="1"/>
        <v>30</v>
      </c>
    </row>
    <row r="934" ht="15.75" customHeight="1">
      <c r="A934" s="1">
        <f>IFERROR(__xludf.DUMMYFUNCTION("""COMPUTED_VALUE"""),45230.66666666667)</f>
        <v>45230.66667</v>
      </c>
      <c r="B934" s="2">
        <f>IFERROR(__xludf.DUMMYFUNCTION("""COMPUTED_VALUE"""),1725.0)</f>
        <v>1725</v>
      </c>
      <c r="C934" s="2">
        <f>IFERROR(__xludf.DUMMYFUNCTION("""COMPUTED_VALUE"""),1740.0)</f>
        <v>1740</v>
      </c>
      <c r="D934" s="2">
        <f>IFERROR(__xludf.DUMMYFUNCTION("""COMPUTED_VALUE"""),1705.0)</f>
        <v>1705</v>
      </c>
      <c r="E934" s="2">
        <f>IFERROR(__xludf.DUMMYFUNCTION("""COMPUTED_VALUE"""),1705.0)</f>
        <v>1705</v>
      </c>
      <c r="F934" s="2">
        <f>IFERROR(__xludf.DUMMYFUNCTION("""COMPUTED_VALUE"""),3.43633E7)</f>
        <v>34363300</v>
      </c>
      <c r="G934" s="2">
        <f t="shared" si="1"/>
        <v>35</v>
      </c>
    </row>
    <row r="935" ht="15.75" customHeight="1">
      <c r="A935" s="1">
        <f>IFERROR(__xludf.DUMMYFUNCTION("""COMPUTED_VALUE"""),45231.66666666667)</f>
        <v>45231.66667</v>
      </c>
      <c r="B935" s="2">
        <f>IFERROR(__xludf.DUMMYFUNCTION("""COMPUTED_VALUE"""),1705.0)</f>
        <v>1705</v>
      </c>
      <c r="C935" s="2">
        <f>IFERROR(__xludf.DUMMYFUNCTION("""COMPUTED_VALUE"""),1715.0)</f>
        <v>1715</v>
      </c>
      <c r="D935" s="2">
        <f>IFERROR(__xludf.DUMMYFUNCTION("""COMPUTED_VALUE"""),1650.0)</f>
        <v>1650</v>
      </c>
      <c r="E935" s="2">
        <f>IFERROR(__xludf.DUMMYFUNCTION("""COMPUTED_VALUE"""),1650.0)</f>
        <v>1650</v>
      </c>
      <c r="F935" s="2">
        <f>IFERROR(__xludf.DUMMYFUNCTION("""COMPUTED_VALUE"""),4.36479E7)</f>
        <v>43647900</v>
      </c>
      <c r="G935" s="2">
        <f t="shared" si="1"/>
        <v>65</v>
      </c>
    </row>
    <row r="936" ht="15.75" customHeight="1">
      <c r="A936" s="1">
        <f>IFERROR(__xludf.DUMMYFUNCTION("""COMPUTED_VALUE"""),45232.66666666667)</f>
        <v>45232.66667</v>
      </c>
      <c r="B936" s="2">
        <f>IFERROR(__xludf.DUMMYFUNCTION("""COMPUTED_VALUE"""),1655.0)</f>
        <v>1655</v>
      </c>
      <c r="C936" s="2">
        <f>IFERROR(__xludf.DUMMYFUNCTION("""COMPUTED_VALUE"""),1685.0)</f>
        <v>1685</v>
      </c>
      <c r="D936" s="2">
        <f>IFERROR(__xludf.DUMMYFUNCTION("""COMPUTED_VALUE"""),1650.0)</f>
        <v>1650</v>
      </c>
      <c r="E936" s="2">
        <f>IFERROR(__xludf.DUMMYFUNCTION("""COMPUTED_VALUE"""),1650.0)</f>
        <v>1650</v>
      </c>
      <c r="F936" s="2">
        <f>IFERROR(__xludf.DUMMYFUNCTION("""COMPUTED_VALUE"""),3.16604E7)</f>
        <v>31660400</v>
      </c>
      <c r="G936" s="2">
        <f t="shared" si="1"/>
        <v>35</v>
      </c>
    </row>
    <row r="937" ht="15.75" customHeight="1">
      <c r="A937" s="1">
        <f>IFERROR(__xludf.DUMMYFUNCTION("""COMPUTED_VALUE"""),45233.66666666667)</f>
        <v>45233.66667</v>
      </c>
      <c r="B937" s="2">
        <f>IFERROR(__xludf.DUMMYFUNCTION("""COMPUTED_VALUE"""),1660.0)</f>
        <v>1660</v>
      </c>
      <c r="C937" s="2">
        <f>IFERROR(__xludf.DUMMYFUNCTION("""COMPUTED_VALUE"""),1675.0)</f>
        <v>1675</v>
      </c>
      <c r="D937" s="2">
        <f>IFERROR(__xludf.DUMMYFUNCTION("""COMPUTED_VALUE"""),1650.0)</f>
        <v>1650</v>
      </c>
      <c r="E937" s="2">
        <f>IFERROR(__xludf.DUMMYFUNCTION("""COMPUTED_VALUE"""),1655.0)</f>
        <v>1655</v>
      </c>
      <c r="F937" s="2">
        <f>IFERROR(__xludf.DUMMYFUNCTION("""COMPUTED_VALUE"""),2.7879E7)</f>
        <v>27879000</v>
      </c>
      <c r="G937" s="2">
        <f t="shared" si="1"/>
        <v>25</v>
      </c>
    </row>
    <row r="938" ht="15.75" customHeight="1">
      <c r="A938" s="1">
        <f>IFERROR(__xludf.DUMMYFUNCTION("""COMPUTED_VALUE"""),45236.66666666667)</f>
        <v>45236.66667</v>
      </c>
      <c r="B938" s="2">
        <f>IFERROR(__xludf.DUMMYFUNCTION("""COMPUTED_VALUE"""),1665.0)</f>
        <v>1665</v>
      </c>
      <c r="C938" s="2">
        <f>IFERROR(__xludf.DUMMYFUNCTION("""COMPUTED_VALUE"""),1700.0)</f>
        <v>1700</v>
      </c>
      <c r="D938" s="2">
        <f>IFERROR(__xludf.DUMMYFUNCTION("""COMPUTED_VALUE"""),1660.0)</f>
        <v>1660</v>
      </c>
      <c r="E938" s="2">
        <f>IFERROR(__xludf.DUMMYFUNCTION("""COMPUTED_VALUE"""),1700.0)</f>
        <v>1700</v>
      </c>
      <c r="F938" s="2">
        <f>IFERROR(__xludf.DUMMYFUNCTION("""COMPUTED_VALUE"""),3.64286E7)</f>
        <v>36428600</v>
      </c>
      <c r="G938" s="2">
        <f t="shared" si="1"/>
        <v>45</v>
      </c>
    </row>
    <row r="939" ht="15.75" customHeight="1">
      <c r="A939" s="1">
        <f>IFERROR(__xludf.DUMMYFUNCTION("""COMPUTED_VALUE"""),45237.66666666667)</f>
        <v>45237.66667</v>
      </c>
      <c r="B939" s="2">
        <f>IFERROR(__xludf.DUMMYFUNCTION("""COMPUTED_VALUE"""),1710.0)</f>
        <v>1710</v>
      </c>
      <c r="C939" s="2">
        <f>IFERROR(__xludf.DUMMYFUNCTION("""COMPUTED_VALUE"""),1715.0)</f>
        <v>1715</v>
      </c>
      <c r="D939" s="2">
        <f>IFERROR(__xludf.DUMMYFUNCTION("""COMPUTED_VALUE"""),1675.0)</f>
        <v>1675</v>
      </c>
      <c r="E939" s="2">
        <f>IFERROR(__xludf.DUMMYFUNCTION("""COMPUTED_VALUE"""),1690.0)</f>
        <v>1690</v>
      </c>
      <c r="F939" s="2">
        <f>IFERROR(__xludf.DUMMYFUNCTION("""COMPUTED_VALUE"""),2.21535E7)</f>
        <v>22153500</v>
      </c>
      <c r="G939" s="2">
        <f t="shared" si="1"/>
        <v>40</v>
      </c>
    </row>
    <row r="940" ht="15.75" customHeight="1">
      <c r="A940" s="1">
        <f>IFERROR(__xludf.DUMMYFUNCTION("""COMPUTED_VALUE"""),45238.66666666667)</f>
        <v>45238.66667</v>
      </c>
      <c r="B940" s="2">
        <f>IFERROR(__xludf.DUMMYFUNCTION("""COMPUTED_VALUE"""),1680.0)</f>
        <v>1680</v>
      </c>
      <c r="C940" s="2">
        <f>IFERROR(__xludf.DUMMYFUNCTION("""COMPUTED_VALUE"""),1685.0)</f>
        <v>1685</v>
      </c>
      <c r="D940" s="2">
        <f>IFERROR(__xludf.DUMMYFUNCTION("""COMPUTED_VALUE"""),1650.0)</f>
        <v>1650</v>
      </c>
      <c r="E940" s="2">
        <f>IFERROR(__xludf.DUMMYFUNCTION("""COMPUTED_VALUE"""),1660.0)</f>
        <v>1660</v>
      </c>
      <c r="F940" s="2">
        <f>IFERROR(__xludf.DUMMYFUNCTION("""COMPUTED_VALUE"""),2.91215E7)</f>
        <v>29121500</v>
      </c>
      <c r="G940" s="2">
        <f t="shared" si="1"/>
        <v>40</v>
      </c>
    </row>
    <row r="941" ht="15.75" customHeight="1">
      <c r="A941" s="1">
        <f>IFERROR(__xludf.DUMMYFUNCTION("""COMPUTED_VALUE"""),45239.66666666667)</f>
        <v>45239.66667</v>
      </c>
      <c r="B941" s="2">
        <f>IFERROR(__xludf.DUMMYFUNCTION("""COMPUTED_VALUE"""),1660.0)</f>
        <v>1660</v>
      </c>
      <c r="C941" s="2">
        <f>IFERROR(__xludf.DUMMYFUNCTION("""COMPUTED_VALUE"""),1670.0)</f>
        <v>1670</v>
      </c>
      <c r="D941" s="2">
        <f>IFERROR(__xludf.DUMMYFUNCTION("""COMPUTED_VALUE"""),1650.0)</f>
        <v>1650</v>
      </c>
      <c r="E941" s="2">
        <f>IFERROR(__xludf.DUMMYFUNCTION("""COMPUTED_VALUE"""),1655.0)</f>
        <v>1655</v>
      </c>
      <c r="F941" s="2">
        <f>IFERROR(__xludf.DUMMYFUNCTION("""COMPUTED_VALUE"""),1.58058E7)</f>
        <v>15805800</v>
      </c>
      <c r="G941" s="2">
        <f t="shared" si="1"/>
        <v>20</v>
      </c>
    </row>
    <row r="942" ht="15.75" customHeight="1">
      <c r="A942" s="1">
        <f>IFERROR(__xludf.DUMMYFUNCTION("""COMPUTED_VALUE"""),45240.66666666667)</f>
        <v>45240.66667</v>
      </c>
      <c r="B942" s="2">
        <f>IFERROR(__xludf.DUMMYFUNCTION("""COMPUTED_VALUE"""),1655.0)</f>
        <v>1655</v>
      </c>
      <c r="C942" s="2">
        <f>IFERROR(__xludf.DUMMYFUNCTION("""COMPUTED_VALUE"""),1665.0)</f>
        <v>1665</v>
      </c>
      <c r="D942" s="2">
        <f>IFERROR(__xludf.DUMMYFUNCTION("""COMPUTED_VALUE"""),1625.0)</f>
        <v>1625</v>
      </c>
      <c r="E942" s="2">
        <f>IFERROR(__xludf.DUMMYFUNCTION("""COMPUTED_VALUE"""),1625.0)</f>
        <v>1625</v>
      </c>
      <c r="F942" s="2">
        <f>IFERROR(__xludf.DUMMYFUNCTION("""COMPUTED_VALUE"""),2.20315E7)</f>
        <v>22031500</v>
      </c>
      <c r="G942" s="2">
        <f t="shared" si="1"/>
        <v>40</v>
      </c>
    </row>
    <row r="943" ht="15.75" customHeight="1">
      <c r="A943" s="1">
        <f>IFERROR(__xludf.DUMMYFUNCTION("""COMPUTED_VALUE"""),45243.66666666667)</f>
        <v>45243.66667</v>
      </c>
      <c r="B943" s="2">
        <f>IFERROR(__xludf.DUMMYFUNCTION("""COMPUTED_VALUE"""),1625.0)</f>
        <v>1625</v>
      </c>
      <c r="C943" s="2">
        <f>IFERROR(__xludf.DUMMYFUNCTION("""COMPUTED_VALUE"""),1635.0)</f>
        <v>1635</v>
      </c>
      <c r="D943" s="2">
        <f>IFERROR(__xludf.DUMMYFUNCTION("""COMPUTED_VALUE"""),1610.0)</f>
        <v>1610</v>
      </c>
      <c r="E943" s="2">
        <f>IFERROR(__xludf.DUMMYFUNCTION("""COMPUTED_VALUE"""),1620.0)</f>
        <v>1620</v>
      </c>
      <c r="F943" s="2">
        <f>IFERROR(__xludf.DUMMYFUNCTION("""COMPUTED_VALUE"""),2.53056E7)</f>
        <v>25305600</v>
      </c>
      <c r="G943" s="2">
        <f t="shared" si="1"/>
        <v>25</v>
      </c>
    </row>
    <row r="944" ht="15.75" customHeight="1">
      <c r="A944" s="1">
        <f>IFERROR(__xludf.DUMMYFUNCTION("""COMPUTED_VALUE"""),45244.66666666667)</f>
        <v>45244.66667</v>
      </c>
      <c r="B944" s="2">
        <f>IFERROR(__xludf.DUMMYFUNCTION("""COMPUTED_VALUE"""),1620.0)</f>
        <v>1620</v>
      </c>
      <c r="C944" s="2">
        <f>IFERROR(__xludf.DUMMYFUNCTION("""COMPUTED_VALUE"""),1640.0)</f>
        <v>1640</v>
      </c>
      <c r="D944" s="2">
        <f>IFERROR(__xludf.DUMMYFUNCTION("""COMPUTED_VALUE"""),1610.0)</f>
        <v>1610</v>
      </c>
      <c r="E944" s="2">
        <f>IFERROR(__xludf.DUMMYFUNCTION("""COMPUTED_VALUE"""),1620.0)</f>
        <v>1620</v>
      </c>
      <c r="F944" s="2">
        <f>IFERROR(__xludf.DUMMYFUNCTION("""COMPUTED_VALUE"""),2.29114E7)</f>
        <v>22911400</v>
      </c>
      <c r="G944" s="2">
        <f t="shared" si="1"/>
        <v>30</v>
      </c>
    </row>
    <row r="945" ht="15.75" customHeight="1">
      <c r="A945" s="1">
        <f>IFERROR(__xludf.DUMMYFUNCTION("""COMPUTED_VALUE"""),45245.66666666667)</f>
        <v>45245.66667</v>
      </c>
      <c r="B945" s="2">
        <f>IFERROR(__xludf.DUMMYFUNCTION("""COMPUTED_VALUE"""),1630.0)</f>
        <v>1630</v>
      </c>
      <c r="C945" s="2">
        <f>IFERROR(__xludf.DUMMYFUNCTION("""COMPUTED_VALUE"""),1675.0)</f>
        <v>1675</v>
      </c>
      <c r="D945" s="2">
        <f>IFERROR(__xludf.DUMMYFUNCTION("""COMPUTED_VALUE"""),1630.0)</f>
        <v>1630</v>
      </c>
      <c r="E945" s="2">
        <f>IFERROR(__xludf.DUMMYFUNCTION("""COMPUTED_VALUE"""),1640.0)</f>
        <v>1640</v>
      </c>
      <c r="F945" s="2">
        <f>IFERROR(__xludf.DUMMYFUNCTION("""COMPUTED_VALUE"""),6.31045E7)</f>
        <v>63104500</v>
      </c>
      <c r="G945" s="2">
        <f t="shared" si="1"/>
        <v>55</v>
      </c>
    </row>
    <row r="946" ht="15.75" customHeight="1">
      <c r="A946" s="1">
        <f>IFERROR(__xludf.DUMMYFUNCTION("""COMPUTED_VALUE"""),45246.66666666667)</f>
        <v>45246.66667</v>
      </c>
      <c r="B946" s="2">
        <f>IFERROR(__xludf.DUMMYFUNCTION("""COMPUTED_VALUE"""),1640.0)</f>
        <v>1640</v>
      </c>
      <c r="C946" s="2">
        <f>IFERROR(__xludf.DUMMYFUNCTION("""COMPUTED_VALUE"""),1655.0)</f>
        <v>1655</v>
      </c>
      <c r="D946" s="2">
        <f>IFERROR(__xludf.DUMMYFUNCTION("""COMPUTED_VALUE"""),1625.0)</f>
        <v>1625</v>
      </c>
      <c r="E946" s="2">
        <f>IFERROR(__xludf.DUMMYFUNCTION("""COMPUTED_VALUE"""),1650.0)</f>
        <v>1650</v>
      </c>
      <c r="F946" s="2">
        <f>IFERROR(__xludf.DUMMYFUNCTION("""COMPUTED_VALUE"""),1.82182E7)</f>
        <v>18218200</v>
      </c>
      <c r="G946" s="2">
        <f t="shared" si="1"/>
        <v>30</v>
      </c>
    </row>
    <row r="947" ht="15.75" customHeight="1">
      <c r="A947" s="1">
        <f>IFERROR(__xludf.DUMMYFUNCTION("""COMPUTED_VALUE"""),45247.66666666667)</f>
        <v>45247.66667</v>
      </c>
      <c r="B947" s="2">
        <f>IFERROR(__xludf.DUMMYFUNCTION("""COMPUTED_VALUE"""),1645.0)</f>
        <v>1645</v>
      </c>
      <c r="C947" s="2">
        <f>IFERROR(__xludf.DUMMYFUNCTION("""COMPUTED_VALUE"""),1650.0)</f>
        <v>1650</v>
      </c>
      <c r="D947" s="2">
        <f>IFERROR(__xludf.DUMMYFUNCTION("""COMPUTED_VALUE"""),1620.0)</f>
        <v>1620</v>
      </c>
      <c r="E947" s="2">
        <f>IFERROR(__xludf.DUMMYFUNCTION("""COMPUTED_VALUE"""),1635.0)</f>
        <v>1635</v>
      </c>
      <c r="F947" s="2">
        <f>IFERROR(__xludf.DUMMYFUNCTION("""COMPUTED_VALUE"""),2.64637E7)</f>
        <v>26463700</v>
      </c>
      <c r="G947" s="2">
        <f t="shared" si="1"/>
        <v>30</v>
      </c>
    </row>
    <row r="948" ht="15.75" customHeight="1">
      <c r="A948" s="1">
        <f>IFERROR(__xludf.DUMMYFUNCTION("""COMPUTED_VALUE"""),45250.66666666667)</f>
        <v>45250.66667</v>
      </c>
      <c r="B948" s="2">
        <f>IFERROR(__xludf.DUMMYFUNCTION("""COMPUTED_VALUE"""),1635.0)</f>
        <v>1635</v>
      </c>
      <c r="C948" s="2">
        <f>IFERROR(__xludf.DUMMYFUNCTION("""COMPUTED_VALUE"""),1640.0)</f>
        <v>1640</v>
      </c>
      <c r="D948" s="2">
        <f>IFERROR(__xludf.DUMMYFUNCTION("""COMPUTED_VALUE"""),1600.0)</f>
        <v>1600</v>
      </c>
      <c r="E948" s="2">
        <f>IFERROR(__xludf.DUMMYFUNCTION("""COMPUTED_VALUE"""),1610.0)</f>
        <v>1610</v>
      </c>
      <c r="F948" s="2">
        <f>IFERROR(__xludf.DUMMYFUNCTION("""COMPUTED_VALUE"""),3.21441E7)</f>
        <v>32144100</v>
      </c>
      <c r="G948" s="2">
        <f t="shared" si="1"/>
        <v>40</v>
      </c>
    </row>
    <row r="949" ht="15.75" customHeight="1">
      <c r="A949" s="1">
        <f>IFERROR(__xludf.DUMMYFUNCTION("""COMPUTED_VALUE"""),45251.66666666667)</f>
        <v>45251.66667</v>
      </c>
      <c r="B949" s="2">
        <f>IFERROR(__xludf.DUMMYFUNCTION("""COMPUTED_VALUE"""),1615.0)</f>
        <v>1615</v>
      </c>
      <c r="C949" s="2">
        <f>IFERROR(__xludf.DUMMYFUNCTION("""COMPUTED_VALUE"""),1640.0)</f>
        <v>1640</v>
      </c>
      <c r="D949" s="2">
        <f>IFERROR(__xludf.DUMMYFUNCTION("""COMPUTED_VALUE"""),1610.0)</f>
        <v>1610</v>
      </c>
      <c r="E949" s="2">
        <f>IFERROR(__xludf.DUMMYFUNCTION("""COMPUTED_VALUE"""),1620.0)</f>
        <v>1620</v>
      </c>
      <c r="F949" s="2">
        <f>IFERROR(__xludf.DUMMYFUNCTION("""COMPUTED_VALUE"""),2.35011E7)</f>
        <v>23501100</v>
      </c>
      <c r="G949" s="2">
        <f t="shared" si="1"/>
        <v>30</v>
      </c>
    </row>
    <row r="950" ht="15.75" customHeight="1">
      <c r="A950" s="1">
        <f>IFERROR(__xludf.DUMMYFUNCTION("""COMPUTED_VALUE"""),45252.66666666667)</f>
        <v>45252.66667</v>
      </c>
      <c r="B950" s="2">
        <f>IFERROR(__xludf.DUMMYFUNCTION("""COMPUTED_VALUE"""),1635.0)</f>
        <v>1635</v>
      </c>
      <c r="C950" s="2">
        <f>IFERROR(__xludf.DUMMYFUNCTION("""COMPUTED_VALUE"""),1635.0)</f>
        <v>1635</v>
      </c>
      <c r="D950" s="2">
        <f>IFERROR(__xludf.DUMMYFUNCTION("""COMPUTED_VALUE"""),1605.0)</f>
        <v>1605</v>
      </c>
      <c r="E950" s="2">
        <f>IFERROR(__xludf.DUMMYFUNCTION("""COMPUTED_VALUE"""),1605.0)</f>
        <v>1605</v>
      </c>
      <c r="F950" s="2">
        <f>IFERROR(__xludf.DUMMYFUNCTION("""COMPUTED_VALUE"""),2.47081E7)</f>
        <v>24708100</v>
      </c>
      <c r="G950" s="2">
        <f t="shared" si="1"/>
        <v>30</v>
      </c>
    </row>
    <row r="951" ht="15.75" customHeight="1">
      <c r="A951" s="1">
        <f>IFERROR(__xludf.DUMMYFUNCTION("""COMPUTED_VALUE"""),45253.66666666667)</f>
        <v>45253.66667</v>
      </c>
      <c r="B951" s="2">
        <f>IFERROR(__xludf.DUMMYFUNCTION("""COMPUTED_VALUE"""),1600.0)</f>
        <v>1600</v>
      </c>
      <c r="C951" s="2">
        <f>IFERROR(__xludf.DUMMYFUNCTION("""COMPUTED_VALUE"""),1615.0)</f>
        <v>1615</v>
      </c>
      <c r="D951" s="2">
        <f>IFERROR(__xludf.DUMMYFUNCTION("""COMPUTED_VALUE"""),1580.0)</f>
        <v>1580</v>
      </c>
      <c r="E951" s="2">
        <f>IFERROR(__xludf.DUMMYFUNCTION("""COMPUTED_VALUE"""),1600.0)</f>
        <v>1600</v>
      </c>
      <c r="F951" s="2">
        <f>IFERROR(__xludf.DUMMYFUNCTION("""COMPUTED_VALUE"""),2.42273E7)</f>
        <v>24227300</v>
      </c>
      <c r="G951" s="2">
        <f t="shared" si="1"/>
        <v>35</v>
      </c>
    </row>
    <row r="952" ht="15.75" customHeight="1">
      <c r="A952" s="1">
        <f>IFERROR(__xludf.DUMMYFUNCTION("""COMPUTED_VALUE"""),45254.66666666667)</f>
        <v>45254.66667</v>
      </c>
      <c r="B952" s="2">
        <f>IFERROR(__xludf.DUMMYFUNCTION("""COMPUTED_VALUE"""),1600.0)</f>
        <v>1600</v>
      </c>
      <c r="C952" s="2">
        <f>IFERROR(__xludf.DUMMYFUNCTION("""COMPUTED_VALUE"""),1620.0)</f>
        <v>1620</v>
      </c>
      <c r="D952" s="2">
        <f>IFERROR(__xludf.DUMMYFUNCTION("""COMPUTED_VALUE"""),1600.0)</f>
        <v>1600</v>
      </c>
      <c r="E952" s="2">
        <f>IFERROR(__xludf.DUMMYFUNCTION("""COMPUTED_VALUE"""),1605.0)</f>
        <v>1605</v>
      </c>
      <c r="F952" s="2">
        <f>IFERROR(__xludf.DUMMYFUNCTION("""COMPUTED_VALUE"""),1.35635E7)</f>
        <v>13563500</v>
      </c>
      <c r="G952" s="2">
        <f t="shared" si="1"/>
        <v>20</v>
      </c>
    </row>
    <row r="953" ht="15.75" customHeight="1">
      <c r="A953" s="1">
        <f>IFERROR(__xludf.DUMMYFUNCTION("""COMPUTED_VALUE"""),45257.66666666667)</f>
        <v>45257.66667</v>
      </c>
      <c r="B953" s="2">
        <f>IFERROR(__xludf.DUMMYFUNCTION("""COMPUTED_VALUE"""),1610.0)</f>
        <v>1610</v>
      </c>
      <c r="C953" s="2">
        <f>IFERROR(__xludf.DUMMYFUNCTION("""COMPUTED_VALUE"""),1625.0)</f>
        <v>1625</v>
      </c>
      <c r="D953" s="2">
        <f>IFERROR(__xludf.DUMMYFUNCTION("""COMPUTED_VALUE"""),1610.0)</f>
        <v>1610</v>
      </c>
      <c r="E953" s="2">
        <f>IFERROR(__xludf.DUMMYFUNCTION("""COMPUTED_VALUE"""),1620.0)</f>
        <v>1620</v>
      </c>
      <c r="F953" s="2">
        <f>IFERROR(__xludf.DUMMYFUNCTION("""COMPUTED_VALUE"""),2.32797E7)</f>
        <v>23279700</v>
      </c>
      <c r="G953" s="2">
        <f t="shared" si="1"/>
        <v>20</v>
      </c>
    </row>
    <row r="954" ht="15.75" customHeight="1">
      <c r="A954" s="1">
        <f>IFERROR(__xludf.DUMMYFUNCTION("""COMPUTED_VALUE"""),45258.66666666667)</f>
        <v>45258.66667</v>
      </c>
      <c r="B954" s="2">
        <f>IFERROR(__xludf.DUMMYFUNCTION("""COMPUTED_VALUE"""),1630.0)</f>
        <v>1630</v>
      </c>
      <c r="C954" s="2">
        <f>IFERROR(__xludf.DUMMYFUNCTION("""COMPUTED_VALUE"""),1670.0)</f>
        <v>1670</v>
      </c>
      <c r="D954" s="2">
        <f>IFERROR(__xludf.DUMMYFUNCTION("""COMPUTED_VALUE"""),1620.0)</f>
        <v>1620</v>
      </c>
      <c r="E954" s="2">
        <f>IFERROR(__xludf.DUMMYFUNCTION("""COMPUTED_VALUE"""),1655.0)</f>
        <v>1655</v>
      </c>
      <c r="F954" s="2">
        <f>IFERROR(__xludf.DUMMYFUNCTION("""COMPUTED_VALUE"""),4.26515E7)</f>
        <v>42651500</v>
      </c>
      <c r="G954" s="2">
        <f t="shared" si="1"/>
        <v>50</v>
      </c>
    </row>
    <row r="955" ht="15.75" customHeight="1">
      <c r="A955" s="1">
        <f>IFERROR(__xludf.DUMMYFUNCTION("""COMPUTED_VALUE"""),45259.66666666667)</f>
        <v>45259.66667</v>
      </c>
      <c r="B955" s="2">
        <f>IFERROR(__xludf.DUMMYFUNCTION("""COMPUTED_VALUE"""),1680.0)</f>
        <v>1680</v>
      </c>
      <c r="C955" s="2">
        <f>IFERROR(__xludf.DUMMYFUNCTION("""COMPUTED_VALUE"""),1735.0)</f>
        <v>1735</v>
      </c>
      <c r="D955" s="2">
        <f>IFERROR(__xludf.DUMMYFUNCTION("""COMPUTED_VALUE"""),1680.0)</f>
        <v>1680</v>
      </c>
      <c r="E955" s="2">
        <f>IFERROR(__xludf.DUMMYFUNCTION("""COMPUTED_VALUE"""),1700.0)</f>
        <v>1700</v>
      </c>
      <c r="F955" s="2">
        <f>IFERROR(__xludf.DUMMYFUNCTION("""COMPUTED_VALUE"""),8.97619E7)</f>
        <v>89761900</v>
      </c>
      <c r="G955" s="2">
        <f t="shared" si="1"/>
        <v>80</v>
      </c>
    </row>
    <row r="956" ht="15.75" customHeight="1">
      <c r="A956" s="1">
        <f>IFERROR(__xludf.DUMMYFUNCTION("""COMPUTED_VALUE"""),45260.66666666667)</f>
        <v>45260.66667</v>
      </c>
      <c r="B956" s="2">
        <f>IFERROR(__xludf.DUMMYFUNCTION("""COMPUTED_VALUE"""),1705.0)</f>
        <v>1705</v>
      </c>
      <c r="C956" s="2">
        <f>IFERROR(__xludf.DUMMYFUNCTION("""COMPUTED_VALUE"""),1740.0)</f>
        <v>1740</v>
      </c>
      <c r="D956" s="2">
        <f>IFERROR(__xludf.DUMMYFUNCTION("""COMPUTED_VALUE"""),1675.0)</f>
        <v>1675</v>
      </c>
      <c r="E956" s="2">
        <f>IFERROR(__xludf.DUMMYFUNCTION("""COMPUTED_VALUE"""),1740.0)</f>
        <v>1740</v>
      </c>
      <c r="F956" s="2">
        <f>IFERROR(__xludf.DUMMYFUNCTION("""COMPUTED_VALUE"""),7.56418E7)</f>
        <v>75641800</v>
      </c>
      <c r="G956" s="2">
        <f t="shared" si="1"/>
        <v>65</v>
      </c>
    </row>
    <row r="957" ht="15.75" customHeight="1">
      <c r="A957" s="1">
        <f>IFERROR(__xludf.DUMMYFUNCTION("""COMPUTED_VALUE"""),45261.66666666667)</f>
        <v>45261.66667</v>
      </c>
      <c r="B957" s="2">
        <f>IFERROR(__xludf.DUMMYFUNCTION("""COMPUTED_VALUE"""),1710.0)</f>
        <v>1710</v>
      </c>
      <c r="C957" s="2">
        <f>IFERROR(__xludf.DUMMYFUNCTION("""COMPUTED_VALUE"""),1725.0)</f>
        <v>1725</v>
      </c>
      <c r="D957" s="2">
        <f>IFERROR(__xludf.DUMMYFUNCTION("""COMPUTED_VALUE"""),1695.0)</f>
        <v>1695</v>
      </c>
      <c r="E957" s="2">
        <f>IFERROR(__xludf.DUMMYFUNCTION("""COMPUTED_VALUE"""),1705.0)</f>
        <v>1705</v>
      </c>
      <c r="F957" s="2">
        <f>IFERROR(__xludf.DUMMYFUNCTION("""COMPUTED_VALUE"""),4.12228E7)</f>
        <v>41222800</v>
      </c>
      <c r="G957" s="2">
        <f t="shared" si="1"/>
        <v>45</v>
      </c>
    </row>
    <row r="958" ht="15.75" customHeight="1">
      <c r="A958" s="1">
        <f>IFERROR(__xludf.DUMMYFUNCTION("""COMPUTED_VALUE"""),45264.66666666667)</f>
        <v>45264.66667</v>
      </c>
      <c r="B958" s="2">
        <f>IFERROR(__xludf.DUMMYFUNCTION("""COMPUTED_VALUE"""),1740.0)</f>
        <v>1740</v>
      </c>
      <c r="C958" s="2">
        <f>IFERROR(__xludf.DUMMYFUNCTION("""COMPUTED_VALUE"""),1810.0)</f>
        <v>1810</v>
      </c>
      <c r="D958" s="2">
        <f>IFERROR(__xludf.DUMMYFUNCTION("""COMPUTED_VALUE"""),1735.0)</f>
        <v>1735</v>
      </c>
      <c r="E958" s="2">
        <f>IFERROR(__xludf.DUMMYFUNCTION("""COMPUTED_VALUE"""),1750.0)</f>
        <v>1750</v>
      </c>
      <c r="F958" s="2">
        <f>IFERROR(__xludf.DUMMYFUNCTION("""COMPUTED_VALUE"""),1.087647E8)</f>
        <v>108764700</v>
      </c>
      <c r="G958" s="2">
        <f t="shared" si="1"/>
        <v>105</v>
      </c>
    </row>
    <row r="959" ht="15.75" customHeight="1">
      <c r="A959" s="1">
        <f>IFERROR(__xludf.DUMMYFUNCTION("""COMPUTED_VALUE"""),45265.66666666667)</f>
        <v>45265.66667</v>
      </c>
      <c r="B959" s="2">
        <f>IFERROR(__xludf.DUMMYFUNCTION("""COMPUTED_VALUE"""),1745.0)</f>
        <v>1745</v>
      </c>
      <c r="C959" s="2">
        <f>IFERROR(__xludf.DUMMYFUNCTION("""COMPUTED_VALUE"""),1745.0)</f>
        <v>1745</v>
      </c>
      <c r="D959" s="2">
        <f>IFERROR(__xludf.DUMMYFUNCTION("""COMPUTED_VALUE"""),1720.0)</f>
        <v>1720</v>
      </c>
      <c r="E959" s="2">
        <f>IFERROR(__xludf.DUMMYFUNCTION("""COMPUTED_VALUE"""),1745.0)</f>
        <v>1745</v>
      </c>
      <c r="F959" s="2">
        <f>IFERROR(__xludf.DUMMYFUNCTION("""COMPUTED_VALUE"""),3.67117E7)</f>
        <v>36711700</v>
      </c>
      <c r="G959" s="2">
        <f t="shared" si="1"/>
        <v>30</v>
      </c>
    </row>
    <row r="960" ht="15.75" customHeight="1">
      <c r="A960" s="1">
        <f>IFERROR(__xludf.DUMMYFUNCTION("""COMPUTED_VALUE"""),45266.66666666667)</f>
        <v>45266.66667</v>
      </c>
      <c r="B960" s="2">
        <f>IFERROR(__xludf.DUMMYFUNCTION("""COMPUTED_VALUE"""),1740.0)</f>
        <v>1740</v>
      </c>
      <c r="C960" s="2">
        <f>IFERROR(__xludf.DUMMYFUNCTION("""COMPUTED_VALUE"""),1740.0)</f>
        <v>1740</v>
      </c>
      <c r="D960" s="2">
        <f>IFERROR(__xludf.DUMMYFUNCTION("""COMPUTED_VALUE"""),1700.0)</f>
        <v>1700</v>
      </c>
      <c r="E960" s="2">
        <f>IFERROR(__xludf.DUMMYFUNCTION("""COMPUTED_VALUE"""),1700.0)</f>
        <v>1700</v>
      </c>
      <c r="F960" s="2">
        <f>IFERROR(__xludf.DUMMYFUNCTION("""COMPUTED_VALUE"""),3.83024E7)</f>
        <v>38302400</v>
      </c>
      <c r="G960" s="2">
        <f t="shared" si="1"/>
        <v>45</v>
      </c>
    </row>
    <row r="961" ht="15.75" customHeight="1">
      <c r="A961" s="1">
        <f>IFERROR(__xludf.DUMMYFUNCTION("""COMPUTED_VALUE"""),45267.66666666667)</f>
        <v>45267.66667</v>
      </c>
      <c r="B961" s="2">
        <f>IFERROR(__xludf.DUMMYFUNCTION("""COMPUTED_VALUE"""),1700.0)</f>
        <v>1700</v>
      </c>
      <c r="C961" s="2">
        <f>IFERROR(__xludf.DUMMYFUNCTION("""COMPUTED_VALUE"""),1705.0)</f>
        <v>1705</v>
      </c>
      <c r="D961" s="2">
        <f>IFERROR(__xludf.DUMMYFUNCTION("""COMPUTED_VALUE"""),1635.0)</f>
        <v>1635</v>
      </c>
      <c r="E961" s="2">
        <f>IFERROR(__xludf.DUMMYFUNCTION("""COMPUTED_VALUE"""),1635.0)</f>
        <v>1635</v>
      </c>
      <c r="F961" s="2">
        <f>IFERROR(__xludf.DUMMYFUNCTION("""COMPUTED_VALUE"""),5.04501E7)</f>
        <v>50450100</v>
      </c>
      <c r="G961" s="2">
        <f t="shared" si="1"/>
        <v>70</v>
      </c>
    </row>
    <row r="962" ht="15.75" customHeight="1">
      <c r="A962" s="1">
        <f>IFERROR(__xludf.DUMMYFUNCTION("""COMPUTED_VALUE"""),45268.66666666667)</f>
        <v>45268.66667</v>
      </c>
      <c r="B962" s="2">
        <f>IFERROR(__xludf.DUMMYFUNCTION("""COMPUTED_VALUE"""),1650.0)</f>
        <v>1650</v>
      </c>
      <c r="C962" s="2">
        <f>IFERROR(__xludf.DUMMYFUNCTION("""COMPUTED_VALUE"""),1690.0)</f>
        <v>1690</v>
      </c>
      <c r="D962" s="2">
        <f>IFERROR(__xludf.DUMMYFUNCTION("""COMPUTED_VALUE"""),1645.0)</f>
        <v>1645</v>
      </c>
      <c r="E962" s="2">
        <f>IFERROR(__xludf.DUMMYFUNCTION("""COMPUTED_VALUE"""),1685.0)</f>
        <v>1685</v>
      </c>
      <c r="F962" s="2">
        <f>IFERROR(__xludf.DUMMYFUNCTION("""COMPUTED_VALUE"""),4.13373E7)</f>
        <v>41337300</v>
      </c>
      <c r="G962" s="2">
        <f t="shared" si="1"/>
        <v>55</v>
      </c>
    </row>
    <row r="963" ht="15.75" customHeight="1">
      <c r="A963" s="1">
        <f>IFERROR(__xludf.DUMMYFUNCTION("""COMPUTED_VALUE"""),45271.66666666667)</f>
        <v>45271.66667</v>
      </c>
      <c r="B963" s="2">
        <f>IFERROR(__xludf.DUMMYFUNCTION("""COMPUTED_VALUE"""),1675.0)</f>
        <v>1675</v>
      </c>
      <c r="C963" s="2">
        <f>IFERROR(__xludf.DUMMYFUNCTION("""COMPUTED_VALUE"""),1675.0)</f>
        <v>1675</v>
      </c>
      <c r="D963" s="2">
        <f>IFERROR(__xludf.DUMMYFUNCTION("""COMPUTED_VALUE"""),1640.0)</f>
        <v>1640</v>
      </c>
      <c r="E963" s="2">
        <f>IFERROR(__xludf.DUMMYFUNCTION("""COMPUTED_VALUE"""),1655.0)</f>
        <v>1655</v>
      </c>
      <c r="F963" s="2">
        <f>IFERROR(__xludf.DUMMYFUNCTION("""COMPUTED_VALUE"""),2.92101E7)</f>
        <v>29210100</v>
      </c>
      <c r="G963" s="2">
        <f t="shared" si="1"/>
        <v>45</v>
      </c>
    </row>
    <row r="964" ht="15.75" customHeight="1">
      <c r="A964" s="1">
        <f>IFERROR(__xludf.DUMMYFUNCTION("""COMPUTED_VALUE"""),45272.66666666667)</f>
        <v>45272.66667</v>
      </c>
      <c r="B964" s="2">
        <f>IFERROR(__xludf.DUMMYFUNCTION("""COMPUTED_VALUE"""),1655.0)</f>
        <v>1655</v>
      </c>
      <c r="C964" s="2">
        <f>IFERROR(__xludf.DUMMYFUNCTION("""COMPUTED_VALUE"""),1655.0)</f>
        <v>1655</v>
      </c>
      <c r="D964" s="2">
        <f>IFERROR(__xludf.DUMMYFUNCTION("""COMPUTED_VALUE"""),1610.0)</f>
        <v>1610</v>
      </c>
      <c r="E964" s="2">
        <f>IFERROR(__xludf.DUMMYFUNCTION("""COMPUTED_VALUE"""),1625.0)</f>
        <v>1625</v>
      </c>
      <c r="F964" s="2">
        <f>IFERROR(__xludf.DUMMYFUNCTION("""COMPUTED_VALUE"""),2.98652E7)</f>
        <v>29865200</v>
      </c>
      <c r="G964" s="2">
        <f t="shared" si="1"/>
        <v>45</v>
      </c>
    </row>
    <row r="965" ht="15.75" customHeight="1">
      <c r="A965" s="1">
        <f>IFERROR(__xludf.DUMMYFUNCTION("""COMPUTED_VALUE"""),45273.66666666667)</f>
        <v>45273.66667</v>
      </c>
      <c r="B965" s="2">
        <f>IFERROR(__xludf.DUMMYFUNCTION("""COMPUTED_VALUE"""),1625.0)</f>
        <v>1625</v>
      </c>
      <c r="C965" s="2">
        <f>IFERROR(__xludf.DUMMYFUNCTION("""COMPUTED_VALUE"""),1625.0)</f>
        <v>1625</v>
      </c>
      <c r="D965" s="2">
        <f>IFERROR(__xludf.DUMMYFUNCTION("""COMPUTED_VALUE"""),1590.0)</f>
        <v>1590</v>
      </c>
      <c r="E965" s="2">
        <f>IFERROR(__xludf.DUMMYFUNCTION("""COMPUTED_VALUE"""),1595.0)</f>
        <v>1595</v>
      </c>
      <c r="F965" s="2">
        <f>IFERROR(__xludf.DUMMYFUNCTION("""COMPUTED_VALUE"""),3.3258E7)</f>
        <v>33258000</v>
      </c>
      <c r="G965" s="2">
        <f t="shared" si="1"/>
        <v>35</v>
      </c>
    </row>
    <row r="966" ht="15.75" customHeight="1">
      <c r="A966" s="1">
        <f>IFERROR(__xludf.DUMMYFUNCTION("""COMPUTED_VALUE"""),45274.66666666667)</f>
        <v>45274.66667</v>
      </c>
      <c r="B966" s="2">
        <f>IFERROR(__xludf.DUMMYFUNCTION("""COMPUTED_VALUE"""),1625.0)</f>
        <v>1625</v>
      </c>
      <c r="C966" s="2">
        <f>IFERROR(__xludf.DUMMYFUNCTION("""COMPUTED_VALUE"""),1650.0)</f>
        <v>1650</v>
      </c>
      <c r="D966" s="2">
        <f>IFERROR(__xludf.DUMMYFUNCTION("""COMPUTED_VALUE"""),1625.0)</f>
        <v>1625</v>
      </c>
      <c r="E966" s="2">
        <f>IFERROR(__xludf.DUMMYFUNCTION("""COMPUTED_VALUE"""),1640.0)</f>
        <v>1640</v>
      </c>
      <c r="F966" s="2">
        <f>IFERROR(__xludf.DUMMYFUNCTION("""COMPUTED_VALUE"""),4.21446E7)</f>
        <v>42144600</v>
      </c>
      <c r="G966" s="2">
        <f t="shared" si="1"/>
        <v>55</v>
      </c>
    </row>
    <row r="967" ht="15.75" customHeight="1">
      <c r="A967" s="1">
        <f>IFERROR(__xludf.DUMMYFUNCTION("""COMPUTED_VALUE"""),45275.66666666667)</f>
        <v>45275.66667</v>
      </c>
      <c r="B967" s="2">
        <f>IFERROR(__xludf.DUMMYFUNCTION("""COMPUTED_VALUE"""),1650.0)</f>
        <v>1650</v>
      </c>
      <c r="C967" s="2">
        <f>IFERROR(__xludf.DUMMYFUNCTION("""COMPUTED_VALUE"""),1670.0)</f>
        <v>1670</v>
      </c>
      <c r="D967" s="2">
        <f>IFERROR(__xludf.DUMMYFUNCTION("""COMPUTED_VALUE"""),1640.0)</f>
        <v>1640</v>
      </c>
      <c r="E967" s="2">
        <f>IFERROR(__xludf.DUMMYFUNCTION("""COMPUTED_VALUE"""),1670.0)</f>
        <v>1670</v>
      </c>
      <c r="F967" s="2">
        <f>IFERROR(__xludf.DUMMYFUNCTION("""COMPUTED_VALUE"""),3.44368E7)</f>
        <v>34436800</v>
      </c>
      <c r="G967" s="2">
        <f t="shared" si="1"/>
        <v>30</v>
      </c>
    </row>
    <row r="968" ht="15.75" customHeight="1">
      <c r="A968" s="1">
        <f>IFERROR(__xludf.DUMMYFUNCTION("""COMPUTED_VALUE"""),45278.66666666667)</f>
        <v>45278.66667</v>
      </c>
      <c r="B968" s="2">
        <f>IFERROR(__xludf.DUMMYFUNCTION("""COMPUTED_VALUE"""),1670.0)</f>
        <v>1670</v>
      </c>
      <c r="C968" s="2">
        <f>IFERROR(__xludf.DUMMYFUNCTION("""COMPUTED_VALUE"""),1675.0)</f>
        <v>1675</v>
      </c>
      <c r="D968" s="2">
        <f>IFERROR(__xludf.DUMMYFUNCTION("""COMPUTED_VALUE"""),1620.0)</f>
        <v>1620</v>
      </c>
      <c r="E968" s="2">
        <f>IFERROR(__xludf.DUMMYFUNCTION("""COMPUTED_VALUE"""),1665.0)</f>
        <v>1665</v>
      </c>
      <c r="F968" s="2">
        <f>IFERROR(__xludf.DUMMYFUNCTION("""COMPUTED_VALUE"""),3.40812E7)</f>
        <v>34081200</v>
      </c>
      <c r="G968" s="2">
        <f t="shared" si="1"/>
        <v>55</v>
      </c>
    </row>
    <row r="969" ht="15.75" customHeight="1">
      <c r="A969" s="1">
        <f>IFERROR(__xludf.DUMMYFUNCTION("""COMPUTED_VALUE"""),45279.66666666667)</f>
        <v>45279.66667</v>
      </c>
      <c r="B969" s="2">
        <f>IFERROR(__xludf.DUMMYFUNCTION("""COMPUTED_VALUE"""),1650.0)</f>
        <v>1650</v>
      </c>
      <c r="C969" s="2">
        <f>IFERROR(__xludf.DUMMYFUNCTION("""COMPUTED_VALUE"""),1650.0)</f>
        <v>1650</v>
      </c>
      <c r="D969" s="2">
        <f>IFERROR(__xludf.DUMMYFUNCTION("""COMPUTED_VALUE"""),1625.0)</f>
        <v>1625</v>
      </c>
      <c r="E969" s="2">
        <f>IFERROR(__xludf.DUMMYFUNCTION("""COMPUTED_VALUE"""),1640.0)</f>
        <v>1640</v>
      </c>
      <c r="F969" s="2">
        <f>IFERROR(__xludf.DUMMYFUNCTION("""COMPUTED_VALUE"""),1.0954E7)</f>
        <v>10954000</v>
      </c>
      <c r="G969" s="2">
        <f t="shared" si="1"/>
        <v>40</v>
      </c>
    </row>
    <row r="970" ht="15.75" customHeight="1">
      <c r="A970" s="1">
        <f>IFERROR(__xludf.DUMMYFUNCTION("""COMPUTED_VALUE"""),45280.66666666667)</f>
        <v>45280.66667</v>
      </c>
      <c r="B970" s="2">
        <f>IFERROR(__xludf.DUMMYFUNCTION("""COMPUTED_VALUE"""),1640.0)</f>
        <v>1640</v>
      </c>
      <c r="C970" s="2">
        <f>IFERROR(__xludf.DUMMYFUNCTION("""COMPUTED_VALUE"""),1665.0)</f>
        <v>1665</v>
      </c>
      <c r="D970" s="2">
        <f>IFERROR(__xludf.DUMMYFUNCTION("""COMPUTED_VALUE"""),1635.0)</f>
        <v>1635</v>
      </c>
      <c r="E970" s="2">
        <f>IFERROR(__xludf.DUMMYFUNCTION("""COMPUTED_VALUE"""),1635.0)</f>
        <v>1635</v>
      </c>
      <c r="F970" s="2">
        <f>IFERROR(__xludf.DUMMYFUNCTION("""COMPUTED_VALUE"""),3.35245E7)</f>
        <v>33524500</v>
      </c>
      <c r="G970" s="2">
        <f t="shared" si="1"/>
        <v>30</v>
      </c>
    </row>
    <row r="971" ht="15.75" customHeight="1">
      <c r="A971" s="1">
        <f>IFERROR(__xludf.DUMMYFUNCTION("""COMPUTED_VALUE"""),45281.66666666667)</f>
        <v>45281.66667</v>
      </c>
      <c r="B971" s="2">
        <f>IFERROR(__xludf.DUMMYFUNCTION("""COMPUTED_VALUE"""),1635.0)</f>
        <v>1635</v>
      </c>
      <c r="C971" s="2">
        <f>IFERROR(__xludf.DUMMYFUNCTION("""COMPUTED_VALUE"""),1645.0)</f>
        <v>1645</v>
      </c>
      <c r="D971" s="2">
        <f>IFERROR(__xludf.DUMMYFUNCTION("""COMPUTED_VALUE"""),1625.0)</f>
        <v>1625</v>
      </c>
      <c r="E971" s="2">
        <f>IFERROR(__xludf.DUMMYFUNCTION("""COMPUTED_VALUE"""),1635.0)</f>
        <v>1635</v>
      </c>
      <c r="F971" s="2">
        <f>IFERROR(__xludf.DUMMYFUNCTION("""COMPUTED_VALUE"""),1.49678E7)</f>
        <v>14967800</v>
      </c>
      <c r="G971" s="2">
        <f t="shared" si="1"/>
        <v>20</v>
      </c>
    </row>
    <row r="972" ht="15.75" customHeight="1">
      <c r="A972" s="1">
        <f>IFERROR(__xludf.DUMMYFUNCTION("""COMPUTED_VALUE"""),45282.66666666667)</f>
        <v>45282.66667</v>
      </c>
      <c r="B972" s="2">
        <f>IFERROR(__xludf.DUMMYFUNCTION("""COMPUTED_VALUE"""),1640.0)</f>
        <v>1640</v>
      </c>
      <c r="C972" s="2">
        <f>IFERROR(__xludf.DUMMYFUNCTION("""COMPUTED_VALUE"""),1665.0)</f>
        <v>1665</v>
      </c>
      <c r="D972" s="2">
        <f>IFERROR(__xludf.DUMMYFUNCTION("""COMPUTED_VALUE"""),1640.0)</f>
        <v>1640</v>
      </c>
      <c r="E972" s="2">
        <f>IFERROR(__xludf.DUMMYFUNCTION("""COMPUTED_VALUE"""),1665.0)</f>
        <v>1665</v>
      </c>
      <c r="F972" s="2">
        <f>IFERROR(__xludf.DUMMYFUNCTION("""COMPUTED_VALUE"""),2.44154E7)</f>
        <v>24415400</v>
      </c>
      <c r="G972" s="2">
        <f t="shared" si="1"/>
        <v>30</v>
      </c>
    </row>
    <row r="973" ht="15.75" customHeight="1">
      <c r="A973" s="1">
        <f>IFERROR(__xludf.DUMMYFUNCTION("""COMPUTED_VALUE"""),45287.66666666667)</f>
        <v>45287.66667</v>
      </c>
      <c r="B973" s="2">
        <f>IFERROR(__xludf.DUMMYFUNCTION("""COMPUTED_VALUE"""),1675.0)</f>
        <v>1675</v>
      </c>
      <c r="C973" s="2">
        <f>IFERROR(__xludf.DUMMYFUNCTION("""COMPUTED_VALUE"""),1745.0)</f>
        <v>1745</v>
      </c>
      <c r="D973" s="2">
        <f>IFERROR(__xludf.DUMMYFUNCTION("""COMPUTED_VALUE"""),1675.0)</f>
        <v>1675</v>
      </c>
      <c r="E973" s="2">
        <f>IFERROR(__xludf.DUMMYFUNCTION("""COMPUTED_VALUE"""),1735.0)</f>
        <v>1735</v>
      </c>
      <c r="F973" s="2">
        <f>IFERROR(__xludf.DUMMYFUNCTION("""COMPUTED_VALUE"""),8.60131E7)</f>
        <v>86013100</v>
      </c>
      <c r="G973" s="2">
        <f t="shared" si="1"/>
        <v>80</v>
      </c>
    </row>
    <row r="974" ht="15.75" customHeight="1">
      <c r="A974" s="1">
        <f>IFERROR(__xludf.DUMMYFUNCTION("""COMPUTED_VALUE"""),45288.66666666667)</f>
        <v>45288.66667</v>
      </c>
      <c r="B974" s="2">
        <f>IFERROR(__xludf.DUMMYFUNCTION("""COMPUTED_VALUE"""),1750.0)</f>
        <v>1750</v>
      </c>
      <c r="C974" s="2">
        <f>IFERROR(__xludf.DUMMYFUNCTION("""COMPUTED_VALUE"""),1800.0)</f>
        <v>1800</v>
      </c>
      <c r="D974" s="2">
        <f>IFERROR(__xludf.DUMMYFUNCTION("""COMPUTED_VALUE"""),1705.0)</f>
        <v>1705</v>
      </c>
      <c r="E974" s="2">
        <f>IFERROR(__xludf.DUMMYFUNCTION("""COMPUTED_VALUE"""),1715.0)</f>
        <v>1715</v>
      </c>
      <c r="F974" s="2">
        <f>IFERROR(__xludf.DUMMYFUNCTION("""COMPUTED_VALUE"""),1.157239E8)</f>
        <v>115723900</v>
      </c>
      <c r="G974" s="2">
        <f t="shared" si="1"/>
        <v>95</v>
      </c>
    </row>
    <row r="975" ht="15.75" customHeight="1">
      <c r="A975" s="1">
        <f>IFERROR(__xludf.DUMMYFUNCTION("""COMPUTED_VALUE"""),45289.66666666667)</f>
        <v>45289.66667</v>
      </c>
      <c r="B975" s="2">
        <f>IFERROR(__xludf.DUMMYFUNCTION("""COMPUTED_VALUE"""),1720.0)</f>
        <v>1720</v>
      </c>
      <c r="C975" s="2">
        <f>IFERROR(__xludf.DUMMYFUNCTION("""COMPUTED_VALUE"""),1785.0)</f>
        <v>1785</v>
      </c>
      <c r="D975" s="2">
        <f>IFERROR(__xludf.DUMMYFUNCTION("""COMPUTED_VALUE"""),1705.0)</f>
        <v>1705</v>
      </c>
      <c r="E975" s="2">
        <f>IFERROR(__xludf.DUMMYFUNCTION("""COMPUTED_VALUE"""),1705.0)</f>
        <v>1705</v>
      </c>
      <c r="F975" s="2">
        <f>IFERROR(__xludf.DUMMYFUNCTION("""COMPUTED_VALUE"""),8.35979E7)</f>
        <v>83597900</v>
      </c>
      <c r="G975" s="2">
        <f t="shared" si="1"/>
        <v>80</v>
      </c>
    </row>
    <row r="976" ht="15.75" customHeight="1">
      <c r="A976" s="1">
        <f>IFERROR(__xludf.DUMMYFUNCTION("""COMPUTED_VALUE"""),45293.66666666667)</f>
        <v>45293.66667</v>
      </c>
      <c r="B976" s="2">
        <f>IFERROR(__xludf.DUMMYFUNCTION("""COMPUTED_VALUE"""),1715.0)</f>
        <v>1715</v>
      </c>
      <c r="C976" s="2">
        <f>IFERROR(__xludf.DUMMYFUNCTION("""COMPUTED_VALUE"""),1735.0)</f>
        <v>1735</v>
      </c>
      <c r="D976" s="2">
        <f>IFERROR(__xludf.DUMMYFUNCTION("""COMPUTED_VALUE"""),1710.0)</f>
        <v>1710</v>
      </c>
      <c r="E976" s="2">
        <f>IFERROR(__xludf.DUMMYFUNCTION("""COMPUTED_VALUE"""),1735.0)</f>
        <v>1735</v>
      </c>
      <c r="F976" s="2">
        <f>IFERROR(__xludf.DUMMYFUNCTION("""COMPUTED_VALUE"""),2.47183E7)</f>
        <v>24718300</v>
      </c>
      <c r="G976" s="2">
        <f t="shared" si="1"/>
        <v>30</v>
      </c>
    </row>
    <row r="977" ht="15.75" customHeight="1">
      <c r="A977" s="1">
        <f>IFERROR(__xludf.DUMMYFUNCTION("""COMPUTED_VALUE"""),45294.66666666667)</f>
        <v>45294.66667</v>
      </c>
      <c r="B977" s="2">
        <f>IFERROR(__xludf.DUMMYFUNCTION("""COMPUTED_VALUE"""),1735.0)</f>
        <v>1735</v>
      </c>
      <c r="C977" s="2">
        <f>IFERROR(__xludf.DUMMYFUNCTION("""COMPUTED_VALUE"""),1735.0)</f>
        <v>1735</v>
      </c>
      <c r="D977" s="2">
        <f>IFERROR(__xludf.DUMMYFUNCTION("""COMPUTED_VALUE"""),1700.0)</f>
        <v>1700</v>
      </c>
      <c r="E977" s="2">
        <f>IFERROR(__xludf.DUMMYFUNCTION("""COMPUTED_VALUE"""),1700.0)</f>
        <v>1700</v>
      </c>
      <c r="F977" s="2">
        <f>IFERROR(__xludf.DUMMYFUNCTION("""COMPUTED_VALUE"""),3.73002E7)</f>
        <v>37300200</v>
      </c>
      <c r="G977" s="2">
        <f t="shared" si="1"/>
        <v>35</v>
      </c>
    </row>
    <row r="978" ht="15.75" customHeight="1">
      <c r="A978" s="1">
        <f>IFERROR(__xludf.DUMMYFUNCTION("""COMPUTED_VALUE"""),45295.66666666667)</f>
        <v>45295.66667</v>
      </c>
      <c r="B978" s="2">
        <f>IFERROR(__xludf.DUMMYFUNCTION("""COMPUTED_VALUE"""),1700.0)</f>
        <v>1700</v>
      </c>
      <c r="C978" s="2">
        <f>IFERROR(__xludf.DUMMYFUNCTION("""COMPUTED_VALUE"""),1725.0)</f>
        <v>1725</v>
      </c>
      <c r="D978" s="2">
        <f>IFERROR(__xludf.DUMMYFUNCTION("""COMPUTED_VALUE"""),1680.0)</f>
        <v>1680</v>
      </c>
      <c r="E978" s="2">
        <f>IFERROR(__xludf.DUMMYFUNCTION("""COMPUTED_VALUE"""),1685.0)</f>
        <v>1685</v>
      </c>
      <c r="F978" s="2">
        <f>IFERROR(__xludf.DUMMYFUNCTION("""COMPUTED_VALUE"""),5.06709E7)</f>
        <v>50670900</v>
      </c>
      <c r="G978" s="2">
        <f t="shared" si="1"/>
        <v>45</v>
      </c>
    </row>
    <row r="979" ht="15.75" customHeight="1">
      <c r="A979" s="1">
        <f>IFERROR(__xludf.DUMMYFUNCTION("""COMPUTED_VALUE"""),45296.66666666667)</f>
        <v>45296.66667</v>
      </c>
      <c r="B979" s="2">
        <f>IFERROR(__xludf.DUMMYFUNCTION("""COMPUTED_VALUE"""),1690.0)</f>
        <v>1690</v>
      </c>
      <c r="C979" s="2">
        <f>IFERROR(__xludf.DUMMYFUNCTION("""COMPUTED_VALUE"""),1695.0)</f>
        <v>1695</v>
      </c>
      <c r="D979" s="2">
        <f>IFERROR(__xludf.DUMMYFUNCTION("""COMPUTED_VALUE"""),1675.0)</f>
        <v>1675</v>
      </c>
      <c r="E979" s="2">
        <f>IFERROR(__xludf.DUMMYFUNCTION("""COMPUTED_VALUE"""),1675.0)</f>
        <v>1675</v>
      </c>
      <c r="F979" s="2">
        <f>IFERROR(__xludf.DUMMYFUNCTION("""COMPUTED_VALUE"""),2.77249E7)</f>
        <v>27724900</v>
      </c>
      <c r="G979" s="2">
        <f t="shared" si="1"/>
        <v>20</v>
      </c>
    </row>
    <row r="980" ht="15.75" customHeight="1">
      <c r="A980" s="1">
        <f>IFERROR(__xludf.DUMMYFUNCTION("""COMPUTED_VALUE"""),45299.66666666667)</f>
        <v>45299.66667</v>
      </c>
      <c r="B980" s="2">
        <f>IFERROR(__xludf.DUMMYFUNCTION("""COMPUTED_VALUE"""),1680.0)</f>
        <v>1680</v>
      </c>
      <c r="C980" s="2">
        <f>IFERROR(__xludf.DUMMYFUNCTION("""COMPUTED_VALUE"""),1710.0)</f>
        <v>1710</v>
      </c>
      <c r="D980" s="2">
        <f>IFERROR(__xludf.DUMMYFUNCTION("""COMPUTED_VALUE"""),1650.0)</f>
        <v>1650</v>
      </c>
      <c r="E980" s="2">
        <f>IFERROR(__xludf.DUMMYFUNCTION("""COMPUTED_VALUE"""),1650.0)</f>
        <v>1650</v>
      </c>
      <c r="F980" s="2">
        <f>IFERROR(__xludf.DUMMYFUNCTION("""COMPUTED_VALUE"""),3.88821E7)</f>
        <v>38882100</v>
      </c>
      <c r="G980" s="2">
        <f t="shared" si="1"/>
        <v>60</v>
      </c>
    </row>
    <row r="981" ht="15.75" customHeight="1">
      <c r="A981" s="1">
        <f>IFERROR(__xludf.DUMMYFUNCTION("""COMPUTED_VALUE"""),45300.66666666667)</f>
        <v>45300.66667</v>
      </c>
      <c r="B981" s="2">
        <f>IFERROR(__xludf.DUMMYFUNCTION("""COMPUTED_VALUE"""),1650.0)</f>
        <v>1650</v>
      </c>
      <c r="C981" s="2">
        <f>IFERROR(__xludf.DUMMYFUNCTION("""COMPUTED_VALUE"""),1670.0)</f>
        <v>1670</v>
      </c>
      <c r="D981" s="2">
        <f>IFERROR(__xludf.DUMMYFUNCTION("""COMPUTED_VALUE"""),1630.0)</f>
        <v>1630</v>
      </c>
      <c r="E981" s="2">
        <f>IFERROR(__xludf.DUMMYFUNCTION("""COMPUTED_VALUE"""),1645.0)</f>
        <v>1645</v>
      </c>
      <c r="F981" s="2">
        <f>IFERROR(__xludf.DUMMYFUNCTION("""COMPUTED_VALUE"""),3.55573E7)</f>
        <v>35557300</v>
      </c>
      <c r="G981" s="2">
        <f t="shared" si="1"/>
        <v>40</v>
      </c>
    </row>
    <row r="982" ht="15.75" customHeight="1">
      <c r="A982" s="1">
        <f>IFERROR(__xludf.DUMMYFUNCTION("""COMPUTED_VALUE"""),45301.66666666667)</f>
        <v>45301.66667</v>
      </c>
      <c r="B982" s="2">
        <f>IFERROR(__xludf.DUMMYFUNCTION("""COMPUTED_VALUE"""),1650.0)</f>
        <v>1650</v>
      </c>
      <c r="C982" s="2">
        <f>IFERROR(__xludf.DUMMYFUNCTION("""COMPUTED_VALUE"""),1670.0)</f>
        <v>1670</v>
      </c>
      <c r="D982" s="2">
        <f>IFERROR(__xludf.DUMMYFUNCTION("""COMPUTED_VALUE"""),1635.0)</f>
        <v>1635</v>
      </c>
      <c r="E982" s="2">
        <f>IFERROR(__xludf.DUMMYFUNCTION("""COMPUTED_VALUE"""),1655.0)</f>
        <v>1655</v>
      </c>
      <c r="F982" s="2">
        <f>IFERROR(__xludf.DUMMYFUNCTION("""COMPUTED_VALUE"""),2.32557E7)</f>
        <v>23255700</v>
      </c>
      <c r="G982" s="2">
        <f t="shared" si="1"/>
        <v>35</v>
      </c>
    </row>
    <row r="983" ht="15.75" customHeight="1">
      <c r="A983" s="1">
        <f>IFERROR(__xludf.DUMMYFUNCTION("""COMPUTED_VALUE"""),45302.66666666667)</f>
        <v>45302.66667</v>
      </c>
      <c r="B983" s="2">
        <f>IFERROR(__xludf.DUMMYFUNCTION("""COMPUTED_VALUE"""),1660.0)</f>
        <v>1660</v>
      </c>
      <c r="C983" s="2">
        <f>IFERROR(__xludf.DUMMYFUNCTION("""COMPUTED_VALUE"""),1670.0)</f>
        <v>1670</v>
      </c>
      <c r="D983" s="2">
        <f>IFERROR(__xludf.DUMMYFUNCTION("""COMPUTED_VALUE"""),1635.0)</f>
        <v>1635</v>
      </c>
      <c r="E983" s="2">
        <f>IFERROR(__xludf.DUMMYFUNCTION("""COMPUTED_VALUE"""),1635.0)</f>
        <v>1635</v>
      </c>
      <c r="F983" s="2">
        <f>IFERROR(__xludf.DUMMYFUNCTION("""COMPUTED_VALUE"""),2.37384E7)</f>
        <v>23738400</v>
      </c>
      <c r="G983" s="2">
        <f t="shared" si="1"/>
        <v>35</v>
      </c>
    </row>
    <row r="984" ht="15.75" customHeight="1">
      <c r="A984" s="1">
        <f>IFERROR(__xludf.DUMMYFUNCTION("""COMPUTED_VALUE"""),45303.66666666667)</f>
        <v>45303.66667</v>
      </c>
      <c r="B984" s="2">
        <f>IFERROR(__xludf.DUMMYFUNCTION("""COMPUTED_VALUE"""),1635.0)</f>
        <v>1635</v>
      </c>
      <c r="C984" s="2">
        <f>IFERROR(__xludf.DUMMYFUNCTION("""COMPUTED_VALUE"""),1645.0)</f>
        <v>1645</v>
      </c>
      <c r="D984" s="2">
        <f>IFERROR(__xludf.DUMMYFUNCTION("""COMPUTED_VALUE"""),1620.0)</f>
        <v>1620</v>
      </c>
      <c r="E984" s="2">
        <f>IFERROR(__xludf.DUMMYFUNCTION("""COMPUTED_VALUE"""),1625.0)</f>
        <v>1625</v>
      </c>
      <c r="F984" s="2">
        <f>IFERROR(__xludf.DUMMYFUNCTION("""COMPUTED_VALUE"""),3.76331E7)</f>
        <v>37633100</v>
      </c>
      <c r="G984" s="2">
        <f t="shared" si="1"/>
        <v>25</v>
      </c>
    </row>
    <row r="985" ht="15.75" customHeight="1">
      <c r="A985" s="1">
        <f>IFERROR(__xludf.DUMMYFUNCTION("""COMPUTED_VALUE"""),45306.66666666667)</f>
        <v>45306.66667</v>
      </c>
      <c r="B985" s="2">
        <f>IFERROR(__xludf.DUMMYFUNCTION("""COMPUTED_VALUE"""),1630.0)</f>
        <v>1630</v>
      </c>
      <c r="C985" s="2">
        <f>IFERROR(__xludf.DUMMYFUNCTION("""COMPUTED_VALUE"""),1640.0)</f>
        <v>1640</v>
      </c>
      <c r="D985" s="2">
        <f>IFERROR(__xludf.DUMMYFUNCTION("""COMPUTED_VALUE"""),1605.0)</f>
        <v>1605</v>
      </c>
      <c r="E985" s="2">
        <f>IFERROR(__xludf.DUMMYFUNCTION("""COMPUTED_VALUE"""),1605.0)</f>
        <v>1605</v>
      </c>
      <c r="F985" s="2">
        <f>IFERROR(__xludf.DUMMYFUNCTION("""COMPUTED_VALUE"""),4.10591E7)</f>
        <v>41059100</v>
      </c>
      <c r="G985" s="2">
        <f t="shared" si="1"/>
        <v>35</v>
      </c>
    </row>
    <row r="986" ht="15.75" customHeight="1">
      <c r="A986" s="1">
        <f>IFERROR(__xludf.DUMMYFUNCTION("""COMPUTED_VALUE"""),45307.66666666667)</f>
        <v>45307.66667</v>
      </c>
      <c r="B986" s="2">
        <f>IFERROR(__xludf.DUMMYFUNCTION("""COMPUTED_VALUE"""),1610.0)</f>
        <v>1610</v>
      </c>
      <c r="C986" s="2">
        <f>IFERROR(__xludf.DUMMYFUNCTION("""COMPUTED_VALUE"""),1625.0)</f>
        <v>1625</v>
      </c>
      <c r="D986" s="2">
        <f>IFERROR(__xludf.DUMMYFUNCTION("""COMPUTED_VALUE"""),1600.0)</f>
        <v>1600</v>
      </c>
      <c r="E986" s="2">
        <f>IFERROR(__xludf.DUMMYFUNCTION("""COMPUTED_VALUE"""),1605.0)</f>
        <v>1605</v>
      </c>
      <c r="F986" s="2">
        <f>IFERROR(__xludf.DUMMYFUNCTION("""COMPUTED_VALUE"""),2.86909E7)</f>
        <v>28690900</v>
      </c>
      <c r="G986" s="2">
        <f t="shared" si="1"/>
        <v>25</v>
      </c>
    </row>
    <row r="987" ht="15.75" customHeight="1">
      <c r="A987" s="1">
        <f>IFERROR(__xludf.DUMMYFUNCTION("""COMPUTED_VALUE"""),45308.66666666667)</f>
        <v>45308.66667</v>
      </c>
      <c r="B987" s="2">
        <f>IFERROR(__xludf.DUMMYFUNCTION("""COMPUTED_VALUE"""),1620.0)</f>
        <v>1620</v>
      </c>
      <c r="C987" s="2">
        <f>IFERROR(__xludf.DUMMYFUNCTION("""COMPUTED_VALUE"""),1620.0)</f>
        <v>1620</v>
      </c>
      <c r="D987" s="2">
        <f>IFERROR(__xludf.DUMMYFUNCTION("""COMPUTED_VALUE"""),1600.0)</f>
        <v>1600</v>
      </c>
      <c r="E987" s="2">
        <f>IFERROR(__xludf.DUMMYFUNCTION("""COMPUTED_VALUE"""),1605.0)</f>
        <v>1605</v>
      </c>
      <c r="F987" s="2">
        <f>IFERROR(__xludf.DUMMYFUNCTION("""COMPUTED_VALUE"""),2.23405E7)</f>
        <v>22340500</v>
      </c>
      <c r="G987" s="2">
        <f t="shared" si="1"/>
        <v>20</v>
      </c>
    </row>
    <row r="988" ht="15.75" customHeight="1">
      <c r="A988" s="1">
        <f>IFERROR(__xludf.DUMMYFUNCTION("""COMPUTED_VALUE"""),45309.66666666667)</f>
        <v>45309.66667</v>
      </c>
      <c r="B988" s="2">
        <f>IFERROR(__xludf.DUMMYFUNCTION("""COMPUTED_VALUE"""),1605.0)</f>
        <v>1605</v>
      </c>
      <c r="C988" s="2">
        <f>IFERROR(__xludf.DUMMYFUNCTION("""COMPUTED_VALUE"""),1635.0)</f>
        <v>1635</v>
      </c>
      <c r="D988" s="2">
        <f>IFERROR(__xludf.DUMMYFUNCTION("""COMPUTED_VALUE"""),1600.0)</f>
        <v>1600</v>
      </c>
      <c r="E988" s="2">
        <f>IFERROR(__xludf.DUMMYFUNCTION("""COMPUTED_VALUE"""),1620.0)</f>
        <v>1620</v>
      </c>
      <c r="F988" s="2">
        <f>IFERROR(__xludf.DUMMYFUNCTION("""COMPUTED_VALUE"""),4.27918E7)</f>
        <v>42791800</v>
      </c>
      <c r="G988" s="2">
        <f t="shared" si="1"/>
        <v>35</v>
      </c>
    </row>
    <row r="989" ht="15.75" customHeight="1">
      <c r="A989" s="1">
        <f>IFERROR(__xludf.DUMMYFUNCTION("""COMPUTED_VALUE"""),45310.66666666667)</f>
        <v>45310.66667</v>
      </c>
      <c r="B989" s="2">
        <f>IFERROR(__xludf.DUMMYFUNCTION("""COMPUTED_VALUE"""),1670.0)</f>
        <v>1670</v>
      </c>
      <c r="C989" s="2">
        <f>IFERROR(__xludf.DUMMYFUNCTION("""COMPUTED_VALUE"""),1705.0)</f>
        <v>1705</v>
      </c>
      <c r="D989" s="2">
        <f>IFERROR(__xludf.DUMMYFUNCTION("""COMPUTED_VALUE"""),1640.0)</f>
        <v>1640</v>
      </c>
      <c r="E989" s="2">
        <f>IFERROR(__xludf.DUMMYFUNCTION("""COMPUTED_VALUE"""),1645.0)</f>
        <v>1645</v>
      </c>
      <c r="F989" s="2">
        <f>IFERROR(__xludf.DUMMYFUNCTION("""COMPUTED_VALUE"""),1.382762E8)</f>
        <v>138276200</v>
      </c>
      <c r="G989" s="2">
        <f t="shared" si="1"/>
        <v>85</v>
      </c>
    </row>
    <row r="990" ht="15.75" customHeight="1">
      <c r="A990" s="1">
        <f>IFERROR(__xludf.DUMMYFUNCTION("""COMPUTED_VALUE"""),45313.66666666667)</f>
        <v>45313.66667</v>
      </c>
      <c r="B990" s="2">
        <f>IFERROR(__xludf.DUMMYFUNCTION("""COMPUTED_VALUE"""),1645.0)</f>
        <v>1645</v>
      </c>
      <c r="C990" s="2">
        <f>IFERROR(__xludf.DUMMYFUNCTION("""COMPUTED_VALUE"""),1665.0)</f>
        <v>1665</v>
      </c>
      <c r="D990" s="2">
        <f>IFERROR(__xludf.DUMMYFUNCTION("""COMPUTED_VALUE"""),1640.0)</f>
        <v>1640</v>
      </c>
      <c r="E990" s="2">
        <f>IFERROR(__xludf.DUMMYFUNCTION("""COMPUTED_VALUE"""),1645.0)</f>
        <v>1645</v>
      </c>
      <c r="F990" s="2">
        <f>IFERROR(__xludf.DUMMYFUNCTION("""COMPUTED_VALUE"""),4.00643E7)</f>
        <v>40064300</v>
      </c>
      <c r="G990" s="2">
        <f t="shared" si="1"/>
        <v>25</v>
      </c>
    </row>
    <row r="991" ht="15.75" customHeight="1">
      <c r="A991" s="1">
        <f>IFERROR(__xludf.DUMMYFUNCTION("""COMPUTED_VALUE"""),45314.66666666667)</f>
        <v>45314.66667</v>
      </c>
      <c r="B991" s="2">
        <f>IFERROR(__xludf.DUMMYFUNCTION("""COMPUTED_VALUE"""),1645.0)</f>
        <v>1645</v>
      </c>
      <c r="C991" s="2">
        <f>IFERROR(__xludf.DUMMYFUNCTION("""COMPUTED_VALUE"""),1650.0)</f>
        <v>1650</v>
      </c>
      <c r="D991" s="2">
        <f>IFERROR(__xludf.DUMMYFUNCTION("""COMPUTED_VALUE"""),1605.0)</f>
        <v>1605</v>
      </c>
      <c r="E991" s="2">
        <f>IFERROR(__xludf.DUMMYFUNCTION("""COMPUTED_VALUE"""),1610.0)</f>
        <v>1610</v>
      </c>
      <c r="F991" s="2">
        <f>IFERROR(__xludf.DUMMYFUNCTION("""COMPUTED_VALUE"""),4.5771E7)</f>
        <v>45771000</v>
      </c>
      <c r="G991" s="2">
        <f t="shared" si="1"/>
        <v>45</v>
      </c>
    </row>
    <row r="992" ht="15.75" customHeight="1">
      <c r="A992" s="1">
        <f>IFERROR(__xludf.DUMMYFUNCTION("""COMPUTED_VALUE"""),45315.66666666667)</f>
        <v>45315.66667</v>
      </c>
      <c r="B992" s="2">
        <f>IFERROR(__xludf.DUMMYFUNCTION("""COMPUTED_VALUE"""),1610.0)</f>
        <v>1610</v>
      </c>
      <c r="C992" s="2">
        <f>IFERROR(__xludf.DUMMYFUNCTION("""COMPUTED_VALUE"""),1620.0)</f>
        <v>1620</v>
      </c>
      <c r="D992" s="2">
        <f>IFERROR(__xludf.DUMMYFUNCTION("""COMPUTED_VALUE"""),1525.0)</f>
        <v>1525</v>
      </c>
      <c r="E992" s="2">
        <f>IFERROR(__xludf.DUMMYFUNCTION("""COMPUTED_VALUE"""),1535.0)</f>
        <v>1535</v>
      </c>
      <c r="F992" s="2">
        <f>IFERROR(__xludf.DUMMYFUNCTION("""COMPUTED_VALUE"""),1.009076E8)</f>
        <v>100907600</v>
      </c>
      <c r="G992" s="2">
        <f t="shared" si="1"/>
        <v>95</v>
      </c>
    </row>
    <row r="993" ht="15.75" customHeight="1">
      <c r="A993" s="1">
        <f>IFERROR(__xludf.DUMMYFUNCTION("""COMPUTED_VALUE"""),45316.66666666667)</f>
        <v>45316.66667</v>
      </c>
      <c r="B993" s="2">
        <f>IFERROR(__xludf.DUMMYFUNCTION("""COMPUTED_VALUE"""),1535.0)</f>
        <v>1535</v>
      </c>
      <c r="C993" s="2">
        <f>IFERROR(__xludf.DUMMYFUNCTION("""COMPUTED_VALUE"""),1590.0)</f>
        <v>1590</v>
      </c>
      <c r="D993" s="2">
        <f>IFERROR(__xludf.DUMMYFUNCTION("""COMPUTED_VALUE"""),1535.0)</f>
        <v>1535</v>
      </c>
      <c r="E993" s="2">
        <f>IFERROR(__xludf.DUMMYFUNCTION("""COMPUTED_VALUE"""),1555.0)</f>
        <v>1555</v>
      </c>
      <c r="F993" s="2">
        <f>IFERROR(__xludf.DUMMYFUNCTION("""COMPUTED_VALUE"""),5.31742E7)</f>
        <v>53174200</v>
      </c>
      <c r="G993" s="2">
        <f t="shared" si="1"/>
        <v>55</v>
      </c>
    </row>
    <row r="994" ht="15.75" customHeight="1">
      <c r="A994" s="1">
        <f>IFERROR(__xludf.DUMMYFUNCTION("""COMPUTED_VALUE"""),45317.66666666667)</f>
        <v>45317.66667</v>
      </c>
      <c r="B994" s="2">
        <f>IFERROR(__xludf.DUMMYFUNCTION("""COMPUTED_VALUE"""),1560.0)</f>
        <v>1560</v>
      </c>
      <c r="C994" s="2">
        <f>IFERROR(__xludf.DUMMYFUNCTION("""COMPUTED_VALUE"""),1580.0)</f>
        <v>1580</v>
      </c>
      <c r="D994" s="2">
        <f>IFERROR(__xludf.DUMMYFUNCTION("""COMPUTED_VALUE"""),1555.0)</f>
        <v>1555</v>
      </c>
      <c r="E994" s="2">
        <f>IFERROR(__xludf.DUMMYFUNCTION("""COMPUTED_VALUE"""),1575.0)</f>
        <v>1575</v>
      </c>
      <c r="F994" s="2">
        <f>IFERROR(__xludf.DUMMYFUNCTION("""COMPUTED_VALUE"""),3.65967E7)</f>
        <v>36596700</v>
      </c>
      <c r="G994" s="2">
        <f t="shared" si="1"/>
        <v>25</v>
      </c>
    </row>
    <row r="995" ht="15.75" customHeight="1">
      <c r="A995" s="1">
        <f>IFERROR(__xludf.DUMMYFUNCTION("""COMPUTED_VALUE"""),45320.66666666667)</f>
        <v>45320.66667</v>
      </c>
      <c r="B995" s="2">
        <f>IFERROR(__xludf.DUMMYFUNCTION("""COMPUTED_VALUE"""),1575.0)</f>
        <v>1575</v>
      </c>
      <c r="C995" s="2">
        <f>IFERROR(__xludf.DUMMYFUNCTION("""COMPUTED_VALUE"""),1595.0)</f>
        <v>1595</v>
      </c>
      <c r="D995" s="2">
        <f>IFERROR(__xludf.DUMMYFUNCTION("""COMPUTED_VALUE"""),1550.0)</f>
        <v>1550</v>
      </c>
      <c r="E995" s="2">
        <f>IFERROR(__xludf.DUMMYFUNCTION("""COMPUTED_VALUE"""),1565.0)</f>
        <v>1565</v>
      </c>
      <c r="F995" s="2">
        <f>IFERROR(__xludf.DUMMYFUNCTION("""COMPUTED_VALUE"""),2.50681E7)</f>
        <v>25068100</v>
      </c>
      <c r="G995" s="2">
        <f t="shared" si="1"/>
        <v>45</v>
      </c>
    </row>
    <row r="996" ht="15.75" customHeight="1">
      <c r="A996" s="1">
        <f>IFERROR(__xludf.DUMMYFUNCTION("""COMPUTED_VALUE"""),45321.66666666667)</f>
        <v>45321.66667</v>
      </c>
      <c r="B996" s="2">
        <f>IFERROR(__xludf.DUMMYFUNCTION("""COMPUTED_VALUE"""),1565.0)</f>
        <v>1565</v>
      </c>
      <c r="C996" s="2">
        <f>IFERROR(__xludf.DUMMYFUNCTION("""COMPUTED_VALUE"""),1570.0)</f>
        <v>1570</v>
      </c>
      <c r="D996" s="2">
        <f>IFERROR(__xludf.DUMMYFUNCTION("""COMPUTED_VALUE"""),1560.0)</f>
        <v>1560</v>
      </c>
      <c r="E996" s="2">
        <f>IFERROR(__xludf.DUMMYFUNCTION("""COMPUTED_VALUE"""),1565.0)</f>
        <v>1565</v>
      </c>
      <c r="F996" s="2">
        <f>IFERROR(__xludf.DUMMYFUNCTION("""COMPUTED_VALUE"""),2.18968E7)</f>
        <v>21896800</v>
      </c>
      <c r="G996" s="2">
        <f t="shared" si="1"/>
        <v>10</v>
      </c>
    </row>
    <row r="997" ht="15.75" customHeight="1">
      <c r="A997" s="1">
        <f>IFERROR(__xludf.DUMMYFUNCTION("""COMPUTED_VALUE"""),45322.66666666667)</f>
        <v>45322.66667</v>
      </c>
      <c r="B997" s="2">
        <f>IFERROR(__xludf.DUMMYFUNCTION("""COMPUTED_VALUE"""),1565.0)</f>
        <v>1565</v>
      </c>
      <c r="C997" s="2">
        <f>IFERROR(__xludf.DUMMYFUNCTION("""COMPUTED_VALUE"""),1585.0)</f>
        <v>1585</v>
      </c>
      <c r="D997" s="2">
        <f>IFERROR(__xludf.DUMMYFUNCTION("""COMPUTED_VALUE"""),1550.0)</f>
        <v>1550</v>
      </c>
      <c r="E997" s="2">
        <f>IFERROR(__xludf.DUMMYFUNCTION("""COMPUTED_VALUE"""),1550.0)</f>
        <v>1550</v>
      </c>
      <c r="F997" s="2">
        <f>IFERROR(__xludf.DUMMYFUNCTION("""COMPUTED_VALUE"""),2.33658E7)</f>
        <v>23365800</v>
      </c>
      <c r="G997" s="2">
        <f t="shared" si="1"/>
        <v>35</v>
      </c>
    </row>
    <row r="998" ht="15.75" customHeight="1">
      <c r="A998" s="1">
        <f>IFERROR(__xludf.DUMMYFUNCTION("""COMPUTED_VALUE"""),45323.66666666667)</f>
        <v>45323.66667</v>
      </c>
      <c r="B998" s="2">
        <f>IFERROR(__xludf.DUMMYFUNCTION("""COMPUTED_VALUE"""),1550.0)</f>
        <v>1550</v>
      </c>
      <c r="C998" s="2">
        <f>IFERROR(__xludf.DUMMYFUNCTION("""COMPUTED_VALUE"""),1570.0)</f>
        <v>1570</v>
      </c>
      <c r="D998" s="2">
        <f>IFERROR(__xludf.DUMMYFUNCTION("""COMPUTED_VALUE"""),1535.0)</f>
        <v>1535</v>
      </c>
      <c r="E998" s="2">
        <f>IFERROR(__xludf.DUMMYFUNCTION("""COMPUTED_VALUE"""),1535.0)</f>
        <v>1535</v>
      </c>
      <c r="F998" s="2">
        <f>IFERROR(__xludf.DUMMYFUNCTION("""COMPUTED_VALUE"""),2.12028E7)</f>
        <v>21202800</v>
      </c>
      <c r="G998" s="2">
        <f t="shared" si="1"/>
        <v>35</v>
      </c>
    </row>
    <row r="999" ht="15.75" customHeight="1">
      <c r="A999" s="1">
        <f>IFERROR(__xludf.DUMMYFUNCTION("""COMPUTED_VALUE"""),45324.66666666667)</f>
        <v>45324.66667</v>
      </c>
      <c r="B999" s="2">
        <f>IFERROR(__xludf.DUMMYFUNCTION("""COMPUTED_VALUE"""),1535.0)</f>
        <v>1535</v>
      </c>
      <c r="C999" s="2">
        <f>IFERROR(__xludf.DUMMYFUNCTION("""COMPUTED_VALUE"""),1550.0)</f>
        <v>1550</v>
      </c>
      <c r="D999" s="2">
        <f>IFERROR(__xludf.DUMMYFUNCTION("""COMPUTED_VALUE"""),1525.0)</f>
        <v>1525</v>
      </c>
      <c r="E999" s="2">
        <f>IFERROR(__xludf.DUMMYFUNCTION("""COMPUTED_VALUE"""),1525.0)</f>
        <v>1525</v>
      </c>
      <c r="F999" s="2">
        <f>IFERROR(__xludf.DUMMYFUNCTION("""COMPUTED_VALUE"""),4.61576E7)</f>
        <v>46157600</v>
      </c>
      <c r="G999" s="2">
        <f t="shared" si="1"/>
        <v>25</v>
      </c>
    </row>
    <row r="1000" ht="15.75" customHeight="1">
      <c r="A1000" s="1">
        <f>IFERROR(__xludf.DUMMYFUNCTION("""COMPUTED_VALUE"""),45327.66666666667)</f>
        <v>45327.66667</v>
      </c>
      <c r="B1000" s="2">
        <f>IFERROR(__xludf.DUMMYFUNCTION("""COMPUTED_VALUE"""),1525.0)</f>
        <v>1525</v>
      </c>
      <c r="C1000" s="2">
        <f>IFERROR(__xludf.DUMMYFUNCTION("""COMPUTED_VALUE"""),1540.0)</f>
        <v>1540</v>
      </c>
      <c r="D1000" s="2">
        <f>IFERROR(__xludf.DUMMYFUNCTION("""COMPUTED_VALUE"""),1440.0)</f>
        <v>1440</v>
      </c>
      <c r="E1000" s="2">
        <f>IFERROR(__xludf.DUMMYFUNCTION("""COMPUTED_VALUE"""),1440.0)</f>
        <v>1440</v>
      </c>
      <c r="F1000" s="2">
        <f>IFERROR(__xludf.DUMMYFUNCTION("""COMPUTED_VALUE"""),1.097466E8)</f>
        <v>109746600</v>
      </c>
      <c r="G1000" s="2">
        <f t="shared" si="1"/>
        <v>100</v>
      </c>
    </row>
    <row r="1001" ht="15.75" customHeight="1">
      <c r="A1001" s="1">
        <f>IFERROR(__xludf.DUMMYFUNCTION("""COMPUTED_VALUE"""),45328.66666666667)</f>
        <v>45328.66667</v>
      </c>
      <c r="B1001" s="2">
        <f>IFERROR(__xludf.DUMMYFUNCTION("""COMPUTED_VALUE"""),1445.0)</f>
        <v>1445</v>
      </c>
      <c r="C1001" s="2">
        <f>IFERROR(__xludf.DUMMYFUNCTION("""COMPUTED_VALUE"""),1470.0)</f>
        <v>1470</v>
      </c>
      <c r="D1001" s="2">
        <f>IFERROR(__xludf.DUMMYFUNCTION("""COMPUTED_VALUE"""),1410.0)</f>
        <v>1410</v>
      </c>
      <c r="E1001" s="2">
        <f>IFERROR(__xludf.DUMMYFUNCTION("""COMPUTED_VALUE"""),1425.0)</f>
        <v>1425</v>
      </c>
      <c r="F1001" s="2">
        <f>IFERROR(__xludf.DUMMYFUNCTION("""COMPUTED_VALUE"""),5.94626E7)</f>
        <v>59462600</v>
      </c>
      <c r="G1001" s="2">
        <f t="shared" si="1"/>
        <v>60</v>
      </c>
    </row>
    <row r="1002" ht="15.75" customHeight="1">
      <c r="A1002" s="1">
        <f>IFERROR(__xludf.DUMMYFUNCTION("""COMPUTED_VALUE"""),45329.66666666667)</f>
        <v>45329.66667</v>
      </c>
      <c r="B1002" s="2">
        <f>IFERROR(__xludf.DUMMYFUNCTION("""COMPUTED_VALUE"""),1430.0)</f>
        <v>1430</v>
      </c>
      <c r="C1002" s="2">
        <f>IFERROR(__xludf.DUMMYFUNCTION("""COMPUTED_VALUE"""),1440.0)</f>
        <v>1440</v>
      </c>
      <c r="D1002" s="2">
        <f>IFERROR(__xludf.DUMMYFUNCTION("""COMPUTED_VALUE"""),1405.0)</f>
        <v>1405</v>
      </c>
      <c r="E1002" s="2">
        <f>IFERROR(__xludf.DUMMYFUNCTION("""COMPUTED_VALUE"""),1410.0)</f>
        <v>1410</v>
      </c>
      <c r="F1002" s="2">
        <f>IFERROR(__xludf.DUMMYFUNCTION("""COMPUTED_VALUE"""),5.15716E7)</f>
        <v>51571600</v>
      </c>
      <c r="G1002" s="2">
        <f t="shared" si="1"/>
        <v>35</v>
      </c>
    </row>
    <row r="1003" ht="15.75" customHeight="1">
      <c r="A1003" s="1">
        <f>IFERROR(__xludf.DUMMYFUNCTION("""COMPUTED_VALUE"""),45334.66666666667)</f>
        <v>45334.66667</v>
      </c>
      <c r="B1003" s="2">
        <f>IFERROR(__xludf.DUMMYFUNCTION("""COMPUTED_VALUE"""),1415.0)</f>
        <v>1415</v>
      </c>
      <c r="C1003" s="2">
        <f>IFERROR(__xludf.DUMMYFUNCTION("""COMPUTED_VALUE"""),1470.0)</f>
        <v>1470</v>
      </c>
      <c r="D1003" s="2">
        <f>IFERROR(__xludf.DUMMYFUNCTION("""COMPUTED_VALUE"""),1415.0)</f>
        <v>1415</v>
      </c>
      <c r="E1003" s="2">
        <f>IFERROR(__xludf.DUMMYFUNCTION("""COMPUTED_VALUE"""),1465.0)</f>
        <v>1465</v>
      </c>
      <c r="F1003" s="2">
        <f>IFERROR(__xludf.DUMMYFUNCTION("""COMPUTED_VALUE"""),3.85673E7)</f>
        <v>38567300</v>
      </c>
      <c r="G1003" s="2">
        <f t="shared" si="1"/>
        <v>60</v>
      </c>
    </row>
    <row r="1004" ht="15.75" customHeight="1">
      <c r="A1004" s="1">
        <f>IFERROR(__xludf.DUMMYFUNCTION("""COMPUTED_VALUE"""),45335.66666666667)</f>
        <v>45335.66667</v>
      </c>
      <c r="B1004" s="2">
        <f>IFERROR(__xludf.DUMMYFUNCTION("""COMPUTED_VALUE"""),1515.0)</f>
        <v>1515</v>
      </c>
      <c r="C1004" s="2">
        <f>IFERROR(__xludf.DUMMYFUNCTION("""COMPUTED_VALUE"""),1580.0)</f>
        <v>1580</v>
      </c>
      <c r="D1004" s="2">
        <f>IFERROR(__xludf.DUMMYFUNCTION("""COMPUTED_VALUE"""),1485.0)</f>
        <v>1485</v>
      </c>
      <c r="E1004" s="2">
        <f>IFERROR(__xludf.DUMMYFUNCTION("""COMPUTED_VALUE"""),1545.0)</f>
        <v>1545</v>
      </c>
      <c r="F1004" s="2">
        <f>IFERROR(__xludf.DUMMYFUNCTION("""COMPUTED_VALUE"""),1.404464E8)</f>
        <v>140446400</v>
      </c>
      <c r="G1004" s="2">
        <f t="shared" si="1"/>
        <v>115</v>
      </c>
    </row>
    <row r="1005" ht="15.75" customHeight="1">
      <c r="A1005" s="1">
        <f>IFERROR(__xludf.DUMMYFUNCTION("""COMPUTED_VALUE"""),45337.66666666667)</f>
        <v>45337.66667</v>
      </c>
      <c r="B1005" s="2">
        <f>IFERROR(__xludf.DUMMYFUNCTION("""COMPUTED_VALUE"""),1570.0)</f>
        <v>1570</v>
      </c>
      <c r="C1005" s="2">
        <f>IFERROR(__xludf.DUMMYFUNCTION("""COMPUTED_VALUE"""),1580.0)</f>
        <v>1580</v>
      </c>
      <c r="D1005" s="2">
        <f>IFERROR(__xludf.DUMMYFUNCTION("""COMPUTED_VALUE"""),1535.0)</f>
        <v>1535</v>
      </c>
      <c r="E1005" s="2">
        <f>IFERROR(__xludf.DUMMYFUNCTION("""COMPUTED_VALUE"""),1540.0)</f>
        <v>1540</v>
      </c>
      <c r="F1005" s="2">
        <f>IFERROR(__xludf.DUMMYFUNCTION("""COMPUTED_VALUE"""),6.24461E7)</f>
        <v>62446100</v>
      </c>
      <c r="G1005" s="2">
        <f t="shared" si="1"/>
        <v>45</v>
      </c>
    </row>
    <row r="1006" ht="15.75" customHeight="1">
      <c r="A1006" s="1">
        <f>IFERROR(__xludf.DUMMYFUNCTION("""COMPUTED_VALUE"""),45338.66666666667)</f>
        <v>45338.66667</v>
      </c>
      <c r="B1006" s="2">
        <f>IFERROR(__xludf.DUMMYFUNCTION("""COMPUTED_VALUE"""),1545.0)</f>
        <v>1545</v>
      </c>
      <c r="C1006" s="2">
        <f>IFERROR(__xludf.DUMMYFUNCTION("""COMPUTED_VALUE"""),1560.0)</f>
        <v>1560</v>
      </c>
      <c r="D1006" s="2">
        <f>IFERROR(__xludf.DUMMYFUNCTION("""COMPUTED_VALUE"""),1530.0)</f>
        <v>1530</v>
      </c>
      <c r="E1006" s="2">
        <f>IFERROR(__xludf.DUMMYFUNCTION("""COMPUTED_VALUE"""),1530.0)</f>
        <v>1530</v>
      </c>
      <c r="F1006" s="2">
        <f>IFERROR(__xludf.DUMMYFUNCTION("""COMPUTED_VALUE"""),2.71335E7)</f>
        <v>27133500</v>
      </c>
      <c r="G1006" s="2">
        <f t="shared" si="1"/>
        <v>30</v>
      </c>
    </row>
    <row r="1007" ht="15.75" customHeight="1">
      <c r="A1007" s="1">
        <f>IFERROR(__xludf.DUMMYFUNCTION("""COMPUTED_VALUE"""),45341.66666666667)</f>
        <v>45341.66667</v>
      </c>
      <c r="B1007" s="2">
        <f>IFERROR(__xludf.DUMMYFUNCTION("""COMPUTED_VALUE"""),1545.0)</f>
        <v>1545</v>
      </c>
      <c r="C1007" s="2">
        <f>IFERROR(__xludf.DUMMYFUNCTION("""COMPUTED_VALUE"""),1545.0)</f>
        <v>1545</v>
      </c>
      <c r="D1007" s="2">
        <f>IFERROR(__xludf.DUMMYFUNCTION("""COMPUTED_VALUE"""),1505.0)</f>
        <v>1505</v>
      </c>
      <c r="E1007" s="2">
        <f>IFERROR(__xludf.DUMMYFUNCTION("""COMPUTED_VALUE"""),1515.0)</f>
        <v>1515</v>
      </c>
      <c r="F1007" s="2">
        <f>IFERROR(__xludf.DUMMYFUNCTION("""COMPUTED_VALUE"""),2.52515E7)</f>
        <v>25251500</v>
      </c>
      <c r="G1007" s="2">
        <f t="shared" si="1"/>
        <v>40</v>
      </c>
    </row>
    <row r="1008" ht="15.75" customHeight="1">
      <c r="A1008" s="1">
        <f>IFERROR(__xludf.DUMMYFUNCTION("""COMPUTED_VALUE"""),45342.66666666667)</f>
        <v>45342.66667</v>
      </c>
      <c r="B1008" s="2">
        <f>IFERROR(__xludf.DUMMYFUNCTION("""COMPUTED_VALUE"""),1515.0)</f>
        <v>1515</v>
      </c>
      <c r="C1008" s="2">
        <f>IFERROR(__xludf.DUMMYFUNCTION("""COMPUTED_VALUE"""),1525.0)</f>
        <v>1525</v>
      </c>
      <c r="D1008" s="2">
        <f>IFERROR(__xludf.DUMMYFUNCTION("""COMPUTED_VALUE"""),1505.0)</f>
        <v>1505</v>
      </c>
      <c r="E1008" s="2">
        <f>IFERROR(__xludf.DUMMYFUNCTION("""COMPUTED_VALUE"""),1505.0)</f>
        <v>1505</v>
      </c>
      <c r="F1008" s="2">
        <f>IFERROR(__xludf.DUMMYFUNCTION("""COMPUTED_VALUE"""),2.96896E7)</f>
        <v>29689600</v>
      </c>
      <c r="G1008" s="2">
        <f t="shared" si="1"/>
        <v>20</v>
      </c>
    </row>
    <row r="1009" ht="15.75" customHeight="1">
      <c r="A1009" s="1">
        <f>IFERROR(__xludf.DUMMYFUNCTION("""COMPUTED_VALUE"""),45343.66666666667)</f>
        <v>45343.66667</v>
      </c>
      <c r="B1009" s="2">
        <f>IFERROR(__xludf.DUMMYFUNCTION("""COMPUTED_VALUE"""),1505.0)</f>
        <v>1505</v>
      </c>
      <c r="C1009" s="2">
        <f>IFERROR(__xludf.DUMMYFUNCTION("""COMPUTED_VALUE"""),1515.0)</f>
        <v>1515</v>
      </c>
      <c r="D1009" s="2">
        <f>IFERROR(__xludf.DUMMYFUNCTION("""COMPUTED_VALUE"""),1455.0)</f>
        <v>1455</v>
      </c>
      <c r="E1009" s="2">
        <f>IFERROR(__xludf.DUMMYFUNCTION("""COMPUTED_VALUE"""),1470.0)</f>
        <v>1470</v>
      </c>
      <c r="F1009" s="2">
        <f>IFERROR(__xludf.DUMMYFUNCTION("""COMPUTED_VALUE"""),4.97387E7)</f>
        <v>49738700</v>
      </c>
      <c r="G1009" s="2">
        <f t="shared" si="1"/>
        <v>60</v>
      </c>
    </row>
    <row r="1010" ht="15.75" customHeight="1">
      <c r="A1010" s="1">
        <f>IFERROR(__xludf.DUMMYFUNCTION("""COMPUTED_VALUE"""),45344.66666666667)</f>
        <v>45344.66667</v>
      </c>
      <c r="B1010" s="2">
        <f>IFERROR(__xludf.DUMMYFUNCTION("""COMPUTED_VALUE"""),1480.0)</f>
        <v>1480</v>
      </c>
      <c r="C1010" s="2">
        <f>IFERROR(__xludf.DUMMYFUNCTION("""COMPUTED_VALUE"""),1520.0)</f>
        <v>1520</v>
      </c>
      <c r="D1010" s="2">
        <f>IFERROR(__xludf.DUMMYFUNCTION("""COMPUTED_VALUE"""),1480.0)</f>
        <v>1480</v>
      </c>
      <c r="E1010" s="2">
        <f>IFERROR(__xludf.DUMMYFUNCTION("""COMPUTED_VALUE"""),1500.0)</f>
        <v>1500</v>
      </c>
      <c r="F1010" s="2">
        <f>IFERROR(__xludf.DUMMYFUNCTION("""COMPUTED_VALUE"""),4.69456E7)</f>
        <v>46945600</v>
      </c>
      <c r="G1010" s="2">
        <f t="shared" si="1"/>
        <v>50</v>
      </c>
    </row>
    <row r="1011" ht="15.75" customHeight="1">
      <c r="A1011" s="1">
        <f>IFERROR(__xludf.DUMMYFUNCTION("""COMPUTED_VALUE"""),45345.66666666667)</f>
        <v>45345.66667</v>
      </c>
      <c r="B1011" s="2">
        <f>IFERROR(__xludf.DUMMYFUNCTION("""COMPUTED_VALUE"""),1525.0)</f>
        <v>1525</v>
      </c>
      <c r="C1011" s="2">
        <f>IFERROR(__xludf.DUMMYFUNCTION("""COMPUTED_VALUE"""),1550.0)</f>
        <v>1550</v>
      </c>
      <c r="D1011" s="2">
        <f>IFERROR(__xludf.DUMMYFUNCTION("""COMPUTED_VALUE"""),1505.0)</f>
        <v>1505</v>
      </c>
      <c r="E1011" s="2">
        <f>IFERROR(__xludf.DUMMYFUNCTION("""COMPUTED_VALUE"""),1550.0)</f>
        <v>1550</v>
      </c>
      <c r="F1011" s="2">
        <f>IFERROR(__xludf.DUMMYFUNCTION("""COMPUTED_VALUE"""),5.89629E7)</f>
        <v>58962900</v>
      </c>
      <c r="G1011" s="2">
        <f t="shared" si="1"/>
        <v>50</v>
      </c>
    </row>
    <row r="1012" ht="15.75" customHeight="1">
      <c r="A1012" s="1">
        <f>IFERROR(__xludf.DUMMYFUNCTION("""COMPUTED_VALUE"""),45348.66666666667)</f>
        <v>45348.66667</v>
      </c>
      <c r="B1012" s="2">
        <f>IFERROR(__xludf.DUMMYFUNCTION("""COMPUTED_VALUE"""),1555.0)</f>
        <v>1555</v>
      </c>
      <c r="C1012" s="2">
        <f>IFERROR(__xludf.DUMMYFUNCTION("""COMPUTED_VALUE"""),1565.0)</f>
        <v>1565</v>
      </c>
      <c r="D1012" s="2">
        <f>IFERROR(__xludf.DUMMYFUNCTION("""COMPUTED_VALUE"""),1510.0)</f>
        <v>1510</v>
      </c>
      <c r="E1012" s="2">
        <f>IFERROR(__xludf.DUMMYFUNCTION("""COMPUTED_VALUE"""),1515.0)</f>
        <v>1515</v>
      </c>
      <c r="F1012" s="2">
        <f>IFERROR(__xludf.DUMMYFUNCTION("""COMPUTED_VALUE"""),2.64079E7)</f>
        <v>26407900</v>
      </c>
      <c r="G1012" s="2">
        <f t="shared" si="1"/>
        <v>55</v>
      </c>
    </row>
    <row r="1013" ht="15.75" customHeight="1">
      <c r="A1013" s="1">
        <f>IFERROR(__xludf.DUMMYFUNCTION("""COMPUTED_VALUE"""),45349.66666666667)</f>
        <v>45349.66667</v>
      </c>
      <c r="B1013" s="2">
        <f>IFERROR(__xludf.DUMMYFUNCTION("""COMPUTED_VALUE"""),1515.0)</f>
        <v>1515</v>
      </c>
      <c r="C1013" s="2">
        <f>IFERROR(__xludf.DUMMYFUNCTION("""COMPUTED_VALUE"""),1515.0)</f>
        <v>1515</v>
      </c>
      <c r="D1013" s="2">
        <f>IFERROR(__xludf.DUMMYFUNCTION("""COMPUTED_VALUE"""),1470.0)</f>
        <v>1470</v>
      </c>
      <c r="E1013" s="2">
        <f>IFERROR(__xludf.DUMMYFUNCTION("""COMPUTED_VALUE"""),1480.0)</f>
        <v>1480</v>
      </c>
      <c r="F1013" s="2">
        <f>IFERROR(__xludf.DUMMYFUNCTION("""COMPUTED_VALUE"""),4.57817E7)</f>
        <v>45781700</v>
      </c>
      <c r="G1013" s="2">
        <f t="shared" si="1"/>
        <v>45</v>
      </c>
    </row>
    <row r="1014" ht="15.75" customHeight="1">
      <c r="A1014" s="1">
        <f>IFERROR(__xludf.DUMMYFUNCTION("""COMPUTED_VALUE"""),45350.66666666667)</f>
        <v>45350.66667</v>
      </c>
      <c r="B1014" s="2">
        <f>IFERROR(__xludf.DUMMYFUNCTION("""COMPUTED_VALUE"""),1490.0)</f>
        <v>1490</v>
      </c>
      <c r="C1014" s="2">
        <f>IFERROR(__xludf.DUMMYFUNCTION("""COMPUTED_VALUE"""),1500.0)</f>
        <v>1500</v>
      </c>
      <c r="D1014" s="2">
        <f>IFERROR(__xludf.DUMMYFUNCTION("""COMPUTED_VALUE"""),1470.0)</f>
        <v>1470</v>
      </c>
      <c r="E1014" s="2">
        <f>IFERROR(__xludf.DUMMYFUNCTION("""COMPUTED_VALUE"""),1490.0)</f>
        <v>1490</v>
      </c>
      <c r="F1014" s="2">
        <f>IFERROR(__xludf.DUMMYFUNCTION("""COMPUTED_VALUE"""),2.25699E7)</f>
        <v>22569900</v>
      </c>
      <c r="G1014" s="2">
        <f t="shared" si="1"/>
        <v>30</v>
      </c>
    </row>
    <row r="1015" ht="15.75" customHeight="1">
      <c r="A1015" s="1">
        <f>IFERROR(__xludf.DUMMYFUNCTION("""COMPUTED_VALUE"""),45351.66666666667)</f>
        <v>45351.66667</v>
      </c>
      <c r="B1015" s="2">
        <f>IFERROR(__xludf.DUMMYFUNCTION("""COMPUTED_VALUE"""),1495.0)</f>
        <v>1495</v>
      </c>
      <c r="C1015" s="2">
        <f>IFERROR(__xludf.DUMMYFUNCTION("""COMPUTED_VALUE"""),1505.0)</f>
        <v>1505</v>
      </c>
      <c r="D1015" s="2">
        <f>IFERROR(__xludf.DUMMYFUNCTION("""COMPUTED_VALUE"""),1460.0)</f>
        <v>1460</v>
      </c>
      <c r="E1015" s="2">
        <f>IFERROR(__xludf.DUMMYFUNCTION("""COMPUTED_VALUE"""),1460.0)</f>
        <v>1460</v>
      </c>
      <c r="F1015" s="2">
        <f>IFERROR(__xludf.DUMMYFUNCTION("""COMPUTED_VALUE"""),4.84822E7)</f>
        <v>48482200</v>
      </c>
      <c r="G1015" s="2">
        <f t="shared" si="1"/>
        <v>45</v>
      </c>
    </row>
    <row r="1016" ht="15.75" customHeight="1">
      <c r="A1016" s="1">
        <f>IFERROR(__xludf.DUMMYFUNCTION("""COMPUTED_VALUE"""),45352.66666666667)</f>
        <v>45352.66667</v>
      </c>
      <c r="B1016" s="2">
        <f>IFERROR(__xludf.DUMMYFUNCTION("""COMPUTED_VALUE"""),1465.0)</f>
        <v>1465</v>
      </c>
      <c r="C1016" s="2">
        <f>IFERROR(__xludf.DUMMYFUNCTION("""COMPUTED_VALUE"""),1490.0)</f>
        <v>1490</v>
      </c>
      <c r="D1016" s="2">
        <f>IFERROR(__xludf.DUMMYFUNCTION("""COMPUTED_VALUE"""),1465.0)</f>
        <v>1465</v>
      </c>
      <c r="E1016" s="2">
        <f>IFERROR(__xludf.DUMMYFUNCTION("""COMPUTED_VALUE"""),1480.0)</f>
        <v>1480</v>
      </c>
      <c r="F1016" s="2">
        <f>IFERROR(__xludf.DUMMYFUNCTION("""COMPUTED_VALUE"""),2.77515E7)</f>
        <v>27751500</v>
      </c>
      <c r="G1016" s="2">
        <f t="shared" si="1"/>
        <v>30</v>
      </c>
    </row>
    <row r="1017" ht="15.75" customHeight="1">
      <c r="A1017" s="1">
        <f>IFERROR(__xludf.DUMMYFUNCTION("""COMPUTED_VALUE"""),45355.66666666667)</f>
        <v>45355.66667</v>
      </c>
      <c r="B1017" s="2">
        <f>IFERROR(__xludf.DUMMYFUNCTION("""COMPUTED_VALUE"""),1495.0)</f>
        <v>1495</v>
      </c>
      <c r="C1017" s="2">
        <f>IFERROR(__xludf.DUMMYFUNCTION("""COMPUTED_VALUE"""),1500.0)</f>
        <v>1500</v>
      </c>
      <c r="D1017" s="2">
        <f>IFERROR(__xludf.DUMMYFUNCTION("""COMPUTED_VALUE"""),1460.0)</f>
        <v>1460</v>
      </c>
      <c r="E1017" s="2">
        <f>IFERROR(__xludf.DUMMYFUNCTION("""COMPUTED_VALUE"""),1460.0)</f>
        <v>1460</v>
      </c>
      <c r="F1017" s="2">
        <f>IFERROR(__xludf.DUMMYFUNCTION("""COMPUTED_VALUE"""),3.17137E7)</f>
        <v>31713700</v>
      </c>
      <c r="G1017" s="2">
        <f t="shared" si="1"/>
        <v>40</v>
      </c>
    </row>
    <row r="1018" ht="15.75" customHeight="1">
      <c r="A1018" s="1">
        <f>IFERROR(__xludf.DUMMYFUNCTION("""COMPUTED_VALUE"""),45356.66666666667)</f>
        <v>45356.66667</v>
      </c>
      <c r="B1018" s="2">
        <f>IFERROR(__xludf.DUMMYFUNCTION("""COMPUTED_VALUE"""),1470.0)</f>
        <v>1470</v>
      </c>
      <c r="C1018" s="2">
        <f>IFERROR(__xludf.DUMMYFUNCTION("""COMPUTED_VALUE"""),1485.0)</f>
        <v>1485</v>
      </c>
      <c r="D1018" s="2">
        <f>IFERROR(__xludf.DUMMYFUNCTION("""COMPUTED_VALUE"""),1460.0)</f>
        <v>1460</v>
      </c>
      <c r="E1018" s="2">
        <f>IFERROR(__xludf.DUMMYFUNCTION("""COMPUTED_VALUE"""),1460.0)</f>
        <v>1460</v>
      </c>
      <c r="F1018" s="2">
        <f>IFERROR(__xludf.DUMMYFUNCTION("""COMPUTED_VALUE"""),3.75498E7)</f>
        <v>37549800</v>
      </c>
      <c r="G1018" s="2">
        <f t="shared" si="1"/>
        <v>25</v>
      </c>
    </row>
    <row r="1019" ht="15.75" customHeight="1">
      <c r="A1019" s="1">
        <f>IFERROR(__xludf.DUMMYFUNCTION("""COMPUTED_VALUE"""),45357.66666666667)</f>
        <v>45357.66667</v>
      </c>
      <c r="B1019" s="2">
        <f>IFERROR(__xludf.DUMMYFUNCTION("""COMPUTED_VALUE"""),1465.0)</f>
        <v>1465</v>
      </c>
      <c r="C1019" s="2">
        <f>IFERROR(__xludf.DUMMYFUNCTION("""COMPUTED_VALUE"""),1540.0)</f>
        <v>1540</v>
      </c>
      <c r="D1019" s="2">
        <f>IFERROR(__xludf.DUMMYFUNCTION("""COMPUTED_VALUE"""),1465.0)</f>
        <v>1465</v>
      </c>
      <c r="E1019" s="2">
        <f>IFERROR(__xludf.DUMMYFUNCTION("""COMPUTED_VALUE"""),1525.0)</f>
        <v>1525</v>
      </c>
      <c r="F1019" s="2">
        <f>IFERROR(__xludf.DUMMYFUNCTION("""COMPUTED_VALUE"""),8.1197E7)</f>
        <v>81197000</v>
      </c>
      <c r="G1019" s="2">
        <f t="shared" si="1"/>
        <v>80</v>
      </c>
    </row>
    <row r="1020" ht="15.75" customHeight="1">
      <c r="A1020" s="1">
        <f>IFERROR(__xludf.DUMMYFUNCTION("""COMPUTED_VALUE"""),45358.66666666667)</f>
        <v>45358.66667</v>
      </c>
      <c r="B1020" s="2">
        <f>IFERROR(__xludf.DUMMYFUNCTION("""COMPUTED_VALUE"""),1535.0)</f>
        <v>1535</v>
      </c>
      <c r="C1020" s="2">
        <f>IFERROR(__xludf.DUMMYFUNCTION("""COMPUTED_VALUE"""),1580.0)</f>
        <v>1580</v>
      </c>
      <c r="D1020" s="2">
        <f>IFERROR(__xludf.DUMMYFUNCTION("""COMPUTED_VALUE"""),1535.0)</f>
        <v>1535</v>
      </c>
      <c r="E1020" s="2">
        <f>IFERROR(__xludf.DUMMYFUNCTION("""COMPUTED_VALUE"""),1575.0)</f>
        <v>1575</v>
      </c>
      <c r="F1020" s="2">
        <f>IFERROR(__xludf.DUMMYFUNCTION("""COMPUTED_VALUE"""),8.48241E7)</f>
        <v>84824100</v>
      </c>
      <c r="G1020" s="2">
        <f t="shared" si="1"/>
        <v>55</v>
      </c>
    </row>
    <row r="1021" ht="15.75" customHeight="1">
      <c r="A1021" s="1">
        <f>IFERROR(__xludf.DUMMYFUNCTION("""COMPUTED_VALUE"""),45359.66666666667)</f>
        <v>45359.66667</v>
      </c>
      <c r="B1021" s="2">
        <f>IFERROR(__xludf.DUMMYFUNCTION("""COMPUTED_VALUE"""),1595.0)</f>
        <v>1595</v>
      </c>
      <c r="C1021" s="2">
        <f>IFERROR(__xludf.DUMMYFUNCTION("""COMPUTED_VALUE"""),1600.0)</f>
        <v>1600</v>
      </c>
      <c r="D1021" s="2">
        <f>IFERROR(__xludf.DUMMYFUNCTION("""COMPUTED_VALUE"""),1550.0)</f>
        <v>1550</v>
      </c>
      <c r="E1021" s="2">
        <f>IFERROR(__xludf.DUMMYFUNCTION("""COMPUTED_VALUE"""),1565.0)</f>
        <v>1565</v>
      </c>
      <c r="F1021" s="2">
        <f>IFERROR(__xludf.DUMMYFUNCTION("""COMPUTED_VALUE"""),5.26591E7)</f>
        <v>52659100</v>
      </c>
      <c r="G1021" s="2">
        <f t="shared" si="1"/>
        <v>50</v>
      </c>
    </row>
    <row r="1022" ht="15.75" customHeight="1">
      <c r="A1022" s="1">
        <f>IFERROR(__xludf.DUMMYFUNCTION("""COMPUTED_VALUE"""),45364.66666666667)</f>
        <v>45364.66667</v>
      </c>
      <c r="B1022" s="2">
        <f>IFERROR(__xludf.DUMMYFUNCTION("""COMPUTED_VALUE"""),1575.0)</f>
        <v>1575</v>
      </c>
      <c r="C1022" s="2">
        <f>IFERROR(__xludf.DUMMYFUNCTION("""COMPUTED_VALUE"""),1635.0)</f>
        <v>1635</v>
      </c>
      <c r="D1022" s="2">
        <f>IFERROR(__xludf.DUMMYFUNCTION("""COMPUTED_VALUE"""),1575.0)</f>
        <v>1575</v>
      </c>
      <c r="E1022" s="2">
        <f>IFERROR(__xludf.DUMMYFUNCTION("""COMPUTED_VALUE"""),1620.0)</f>
        <v>1620</v>
      </c>
      <c r="F1022" s="2">
        <f>IFERROR(__xludf.DUMMYFUNCTION("""COMPUTED_VALUE"""),1.163107E8)</f>
        <v>116310700</v>
      </c>
      <c r="G1022" s="2">
        <f t="shared" si="1"/>
        <v>70</v>
      </c>
    </row>
    <row r="1023" ht="15.75" customHeight="1">
      <c r="A1023" s="1">
        <f>IFERROR(__xludf.DUMMYFUNCTION("""COMPUTED_VALUE"""),45365.66666666667)</f>
        <v>45365.66667</v>
      </c>
      <c r="B1023" s="2">
        <f>IFERROR(__xludf.DUMMYFUNCTION("""COMPUTED_VALUE"""),1630.0)</f>
        <v>1630</v>
      </c>
      <c r="C1023" s="2">
        <f>IFERROR(__xludf.DUMMYFUNCTION("""COMPUTED_VALUE"""),1645.0)</f>
        <v>1645</v>
      </c>
      <c r="D1023" s="2">
        <f>IFERROR(__xludf.DUMMYFUNCTION("""COMPUTED_VALUE"""),1610.0)</f>
        <v>1610</v>
      </c>
      <c r="E1023" s="2">
        <f>IFERROR(__xludf.DUMMYFUNCTION("""COMPUTED_VALUE"""),1645.0)</f>
        <v>1645</v>
      </c>
      <c r="F1023" s="2">
        <f>IFERROR(__xludf.DUMMYFUNCTION("""COMPUTED_VALUE"""),6.90064E7)</f>
        <v>69006400</v>
      </c>
      <c r="G1023" s="2">
        <f t="shared" si="1"/>
        <v>35</v>
      </c>
    </row>
    <row r="1024" ht="15.75" customHeight="1">
      <c r="A1024" s="1">
        <f>IFERROR(__xludf.DUMMYFUNCTION("""COMPUTED_VALUE"""),45366.66666666667)</f>
        <v>45366.66667</v>
      </c>
      <c r="B1024" s="2">
        <f>IFERROR(__xludf.DUMMYFUNCTION("""COMPUTED_VALUE"""),1645.0)</f>
        <v>1645</v>
      </c>
      <c r="C1024" s="2">
        <f>IFERROR(__xludf.DUMMYFUNCTION("""COMPUTED_VALUE"""),1645.0)</f>
        <v>1645</v>
      </c>
      <c r="D1024" s="2">
        <f>IFERROR(__xludf.DUMMYFUNCTION("""COMPUTED_VALUE"""),1610.0)</f>
        <v>1610</v>
      </c>
      <c r="E1024" s="2">
        <f>IFERROR(__xludf.DUMMYFUNCTION("""COMPUTED_VALUE"""),1615.0)</f>
        <v>1615</v>
      </c>
      <c r="F1024" s="2">
        <f>IFERROR(__xludf.DUMMYFUNCTION("""COMPUTED_VALUE"""),5.18401E7)</f>
        <v>51840100</v>
      </c>
      <c r="G1024" s="2">
        <f t="shared" si="1"/>
        <v>35</v>
      </c>
    </row>
    <row r="1025" ht="15.75" customHeight="1">
      <c r="A1025" s="1">
        <f>IFERROR(__xludf.DUMMYFUNCTION("""COMPUTED_VALUE"""),45369.66666666667)</f>
        <v>45369.66667</v>
      </c>
      <c r="B1025" s="2">
        <f>IFERROR(__xludf.DUMMYFUNCTION("""COMPUTED_VALUE"""),1615.0)</f>
        <v>1615</v>
      </c>
      <c r="C1025" s="2">
        <f>IFERROR(__xludf.DUMMYFUNCTION("""COMPUTED_VALUE"""),1675.0)</f>
        <v>1675</v>
      </c>
      <c r="D1025" s="2">
        <f>IFERROR(__xludf.DUMMYFUNCTION("""COMPUTED_VALUE"""),1605.0)</f>
        <v>1605</v>
      </c>
      <c r="E1025" s="2">
        <f>IFERROR(__xludf.DUMMYFUNCTION("""COMPUTED_VALUE"""),1655.0)</f>
        <v>1655</v>
      </c>
      <c r="F1025" s="2">
        <f>IFERROR(__xludf.DUMMYFUNCTION("""COMPUTED_VALUE"""),6.6602E7)</f>
        <v>66602000</v>
      </c>
      <c r="G1025" s="2">
        <f t="shared" si="1"/>
        <v>70</v>
      </c>
    </row>
    <row r="1026" ht="15.75" customHeight="1">
      <c r="A1026" s="1">
        <f>IFERROR(__xludf.DUMMYFUNCTION("""COMPUTED_VALUE"""),45370.66666666667)</f>
        <v>45370.66667</v>
      </c>
      <c r="B1026" s="2">
        <f>IFERROR(__xludf.DUMMYFUNCTION("""COMPUTED_VALUE"""),1665.0)</f>
        <v>1665</v>
      </c>
      <c r="C1026" s="2">
        <f>IFERROR(__xludf.DUMMYFUNCTION("""COMPUTED_VALUE"""),1690.0)</f>
        <v>1690</v>
      </c>
      <c r="D1026" s="2">
        <f>IFERROR(__xludf.DUMMYFUNCTION("""COMPUTED_VALUE"""),1660.0)</f>
        <v>1660</v>
      </c>
      <c r="E1026" s="2">
        <f>IFERROR(__xludf.DUMMYFUNCTION("""COMPUTED_VALUE"""),1660.0)</f>
        <v>1660</v>
      </c>
      <c r="F1026" s="2">
        <f>IFERROR(__xludf.DUMMYFUNCTION("""COMPUTED_VALUE"""),4.92662E7)</f>
        <v>49266200</v>
      </c>
      <c r="G1026" s="2">
        <f t="shared" si="1"/>
        <v>35</v>
      </c>
    </row>
    <row r="1027" ht="15.75" customHeight="1">
      <c r="A1027" s="1">
        <f>IFERROR(__xludf.DUMMYFUNCTION("""COMPUTED_VALUE"""),45371.66666666667)</f>
        <v>45371.66667</v>
      </c>
      <c r="B1027" s="2">
        <f>IFERROR(__xludf.DUMMYFUNCTION("""COMPUTED_VALUE"""),1660.0)</f>
        <v>1660</v>
      </c>
      <c r="C1027" s="2">
        <f>IFERROR(__xludf.DUMMYFUNCTION("""COMPUTED_VALUE"""),1670.0)</f>
        <v>1670</v>
      </c>
      <c r="D1027" s="2">
        <f>IFERROR(__xludf.DUMMYFUNCTION("""COMPUTED_VALUE"""),1645.0)</f>
        <v>1645</v>
      </c>
      <c r="E1027" s="2">
        <f>IFERROR(__xludf.DUMMYFUNCTION("""COMPUTED_VALUE"""),1660.0)</f>
        <v>1660</v>
      </c>
      <c r="F1027" s="2">
        <f>IFERROR(__xludf.DUMMYFUNCTION("""COMPUTED_VALUE"""),3.84256E7)</f>
        <v>38425600</v>
      </c>
      <c r="G1027" s="2">
        <f t="shared" si="1"/>
        <v>25</v>
      </c>
    </row>
    <row r="1028" ht="15.75" customHeight="1">
      <c r="A1028" s="1">
        <f>IFERROR(__xludf.DUMMYFUNCTION("""COMPUTED_VALUE"""),45372.66666666667)</f>
        <v>45372.66667</v>
      </c>
      <c r="B1028" s="2">
        <f>IFERROR(__xludf.DUMMYFUNCTION("""COMPUTED_VALUE"""),1685.0)</f>
        <v>1685</v>
      </c>
      <c r="C1028" s="2">
        <f>IFERROR(__xludf.DUMMYFUNCTION("""COMPUTED_VALUE"""),1720.0)</f>
        <v>1720</v>
      </c>
      <c r="D1028" s="2">
        <f>IFERROR(__xludf.DUMMYFUNCTION("""COMPUTED_VALUE"""),1680.0)</f>
        <v>1680</v>
      </c>
      <c r="E1028" s="2">
        <f>IFERROR(__xludf.DUMMYFUNCTION("""COMPUTED_VALUE"""),1700.0)</f>
        <v>1700</v>
      </c>
      <c r="F1028" s="2">
        <f>IFERROR(__xludf.DUMMYFUNCTION("""COMPUTED_VALUE"""),8.54815E7)</f>
        <v>85481500</v>
      </c>
      <c r="G1028" s="2">
        <f t="shared" si="1"/>
        <v>60</v>
      </c>
    </row>
    <row r="1029" ht="15.75" customHeight="1">
      <c r="A1029" s="1">
        <f>IFERROR(__xludf.DUMMYFUNCTION("""COMPUTED_VALUE"""),45373.66666666667)</f>
        <v>45373.66667</v>
      </c>
      <c r="B1029" s="2">
        <f>IFERROR(__xludf.DUMMYFUNCTION("""COMPUTED_VALUE"""),1700.0)</f>
        <v>1700</v>
      </c>
      <c r="C1029" s="2">
        <f>IFERROR(__xludf.DUMMYFUNCTION("""COMPUTED_VALUE"""),1700.0)</f>
        <v>1700</v>
      </c>
      <c r="D1029" s="2">
        <f>IFERROR(__xludf.DUMMYFUNCTION("""COMPUTED_VALUE"""),1660.0)</f>
        <v>1660</v>
      </c>
      <c r="E1029" s="2">
        <f>IFERROR(__xludf.DUMMYFUNCTION("""COMPUTED_VALUE"""),1670.0)</f>
        <v>1670</v>
      </c>
      <c r="F1029" s="2">
        <f>IFERROR(__xludf.DUMMYFUNCTION("""COMPUTED_VALUE"""),4.21636E7)</f>
        <v>42163600</v>
      </c>
      <c r="G1029" s="2">
        <f t="shared" si="1"/>
        <v>40</v>
      </c>
    </row>
    <row r="1030" ht="15.75" customHeight="1">
      <c r="A1030" s="1">
        <f>IFERROR(__xludf.DUMMYFUNCTION("""COMPUTED_VALUE"""),45376.66666666667)</f>
        <v>45376.66667</v>
      </c>
      <c r="B1030" s="2">
        <f>IFERROR(__xludf.DUMMYFUNCTION("""COMPUTED_VALUE"""),1685.0)</f>
        <v>1685</v>
      </c>
      <c r="C1030" s="2">
        <f>IFERROR(__xludf.DUMMYFUNCTION("""COMPUTED_VALUE"""),1685.0)</f>
        <v>1685</v>
      </c>
      <c r="D1030" s="2">
        <f>IFERROR(__xludf.DUMMYFUNCTION("""COMPUTED_VALUE"""),1650.0)</f>
        <v>1650</v>
      </c>
      <c r="E1030" s="2">
        <f>IFERROR(__xludf.DUMMYFUNCTION("""COMPUTED_VALUE"""),1660.0)</f>
        <v>1660</v>
      </c>
      <c r="F1030" s="2">
        <f>IFERROR(__xludf.DUMMYFUNCTION("""COMPUTED_VALUE"""),5.12792E7)</f>
        <v>51279200</v>
      </c>
      <c r="G1030" s="2">
        <f t="shared" si="1"/>
        <v>35</v>
      </c>
    </row>
    <row r="1031" ht="15.75" customHeight="1">
      <c r="A1031" s="1">
        <f>IFERROR(__xludf.DUMMYFUNCTION("""COMPUTED_VALUE"""),45377.66666666667)</f>
        <v>45377.66667</v>
      </c>
      <c r="B1031" s="2">
        <f>IFERROR(__xludf.DUMMYFUNCTION("""COMPUTED_VALUE"""),1675.0)</f>
        <v>1675</v>
      </c>
      <c r="C1031" s="2">
        <f>IFERROR(__xludf.DUMMYFUNCTION("""COMPUTED_VALUE"""),1675.0)</f>
        <v>1675</v>
      </c>
      <c r="D1031" s="2">
        <f>IFERROR(__xludf.DUMMYFUNCTION("""COMPUTED_VALUE"""),1650.0)</f>
        <v>1650</v>
      </c>
      <c r="E1031" s="2">
        <f>IFERROR(__xludf.DUMMYFUNCTION("""COMPUTED_VALUE"""),1665.0)</f>
        <v>1665</v>
      </c>
      <c r="F1031" s="2">
        <f>IFERROR(__xludf.DUMMYFUNCTION("""COMPUTED_VALUE"""),3.50726E7)</f>
        <v>35072600</v>
      </c>
      <c r="G1031" s="2">
        <f t="shared" si="1"/>
        <v>25</v>
      </c>
    </row>
    <row r="1032" ht="15.75" customHeight="1">
      <c r="A1032" s="1">
        <f>IFERROR(__xludf.DUMMYFUNCTION("""COMPUTED_VALUE"""),45378.66666666667)</f>
        <v>45378.66667</v>
      </c>
      <c r="B1032" s="2">
        <f>IFERROR(__xludf.DUMMYFUNCTION("""COMPUTED_VALUE"""),1665.0)</f>
        <v>1665</v>
      </c>
      <c r="C1032" s="2">
        <f>IFERROR(__xludf.DUMMYFUNCTION("""COMPUTED_VALUE"""),1675.0)</f>
        <v>1675</v>
      </c>
      <c r="D1032" s="2">
        <f>IFERROR(__xludf.DUMMYFUNCTION("""COMPUTED_VALUE"""),1625.0)</f>
        <v>1625</v>
      </c>
      <c r="E1032" s="2">
        <f>IFERROR(__xludf.DUMMYFUNCTION("""COMPUTED_VALUE"""),1635.0)</f>
        <v>1635</v>
      </c>
      <c r="F1032" s="2">
        <f>IFERROR(__xludf.DUMMYFUNCTION("""COMPUTED_VALUE"""),3.45092E7)</f>
        <v>34509200</v>
      </c>
      <c r="G1032" s="2">
        <f t="shared" si="1"/>
        <v>50</v>
      </c>
    </row>
    <row r="1033" ht="15.75" customHeight="1">
      <c r="A1033" s="1">
        <f>IFERROR(__xludf.DUMMYFUNCTION("""COMPUTED_VALUE"""),45379.66666666667)</f>
        <v>45379.66667</v>
      </c>
      <c r="B1033" s="2">
        <f>IFERROR(__xludf.DUMMYFUNCTION("""COMPUTED_VALUE"""),1640.0)</f>
        <v>1640</v>
      </c>
      <c r="C1033" s="2">
        <f>IFERROR(__xludf.DUMMYFUNCTION("""COMPUTED_VALUE"""),1655.0)</f>
        <v>1655</v>
      </c>
      <c r="D1033" s="2">
        <f>IFERROR(__xludf.DUMMYFUNCTION("""COMPUTED_VALUE"""),1580.0)</f>
        <v>1580</v>
      </c>
      <c r="E1033" s="2">
        <f>IFERROR(__xludf.DUMMYFUNCTION("""COMPUTED_VALUE"""),1600.0)</f>
        <v>1600</v>
      </c>
      <c r="F1033" s="2">
        <f>IFERROR(__xludf.DUMMYFUNCTION("""COMPUTED_VALUE"""),6.26879E7)</f>
        <v>62687900</v>
      </c>
      <c r="G1033" s="2">
        <f t="shared" si="1"/>
        <v>75</v>
      </c>
    </row>
    <row r="1034" ht="15.75" customHeight="1">
      <c r="A1034" s="1">
        <f>IFERROR(__xludf.DUMMYFUNCTION("""COMPUTED_VALUE"""),45383.66666666667)</f>
        <v>45383.66667</v>
      </c>
      <c r="B1034" s="2">
        <f>IFERROR(__xludf.DUMMYFUNCTION("""COMPUTED_VALUE"""),1615.0)</f>
        <v>1615</v>
      </c>
      <c r="C1034" s="2">
        <f>IFERROR(__xludf.DUMMYFUNCTION("""COMPUTED_VALUE"""),1635.0)</f>
        <v>1635</v>
      </c>
      <c r="D1034" s="2">
        <f>IFERROR(__xludf.DUMMYFUNCTION("""COMPUTED_VALUE"""),1545.0)</f>
        <v>1545</v>
      </c>
      <c r="E1034" s="2">
        <f>IFERROR(__xludf.DUMMYFUNCTION("""COMPUTED_VALUE"""),1580.0)</f>
        <v>1580</v>
      </c>
      <c r="F1034" s="2">
        <f>IFERROR(__xludf.DUMMYFUNCTION("""COMPUTED_VALUE"""),6.12731E7)</f>
        <v>61273100</v>
      </c>
      <c r="G1034" s="2">
        <f t="shared" si="1"/>
        <v>90</v>
      </c>
    </row>
    <row r="1035" ht="15.75" customHeight="1">
      <c r="A1035" s="1">
        <f>IFERROR(__xludf.DUMMYFUNCTION("""COMPUTED_VALUE"""),45384.66666666667)</f>
        <v>45384.66667</v>
      </c>
      <c r="B1035" s="2">
        <f>IFERROR(__xludf.DUMMYFUNCTION("""COMPUTED_VALUE"""),1580.0)</f>
        <v>1580</v>
      </c>
      <c r="C1035" s="2">
        <f>IFERROR(__xludf.DUMMYFUNCTION("""COMPUTED_VALUE"""),1640.0)</f>
        <v>1640</v>
      </c>
      <c r="D1035" s="2">
        <f>IFERROR(__xludf.DUMMYFUNCTION("""COMPUTED_VALUE"""),1575.0)</f>
        <v>1575</v>
      </c>
      <c r="E1035" s="2">
        <f>IFERROR(__xludf.DUMMYFUNCTION("""COMPUTED_VALUE"""),1640.0)</f>
        <v>1640</v>
      </c>
      <c r="F1035" s="2">
        <f>IFERROR(__xludf.DUMMYFUNCTION("""COMPUTED_VALUE"""),4.64102E7)</f>
        <v>46410200</v>
      </c>
      <c r="G1035" s="2">
        <f t="shared" si="1"/>
        <v>65</v>
      </c>
    </row>
    <row r="1036" ht="15.75" customHeight="1">
      <c r="A1036" s="1">
        <f>IFERROR(__xludf.DUMMYFUNCTION("""COMPUTED_VALUE"""),45385.66666666667)</f>
        <v>45385.66667</v>
      </c>
      <c r="B1036" s="2">
        <f>IFERROR(__xludf.DUMMYFUNCTION("""COMPUTED_VALUE"""),1650.0)</f>
        <v>1650</v>
      </c>
      <c r="C1036" s="2">
        <f>IFERROR(__xludf.DUMMYFUNCTION("""COMPUTED_VALUE"""),1660.0)</f>
        <v>1660</v>
      </c>
      <c r="D1036" s="2">
        <f>IFERROR(__xludf.DUMMYFUNCTION("""COMPUTED_VALUE"""),1630.0)</f>
        <v>1630</v>
      </c>
      <c r="E1036" s="2">
        <f>IFERROR(__xludf.DUMMYFUNCTION("""COMPUTED_VALUE"""),1645.0)</f>
        <v>1645</v>
      </c>
      <c r="F1036" s="2">
        <f>IFERROR(__xludf.DUMMYFUNCTION("""COMPUTED_VALUE"""),5.54024E7)</f>
        <v>55402400</v>
      </c>
      <c r="G1036" s="2">
        <f t="shared" si="1"/>
        <v>30</v>
      </c>
    </row>
    <row r="1037" ht="15.75" customHeight="1">
      <c r="A1037" s="1">
        <f>IFERROR(__xludf.DUMMYFUNCTION("""COMPUTED_VALUE"""),45386.66666666667)</f>
        <v>45386.66667</v>
      </c>
      <c r="B1037" s="2">
        <f>IFERROR(__xludf.DUMMYFUNCTION("""COMPUTED_VALUE"""),1660.0)</f>
        <v>1660</v>
      </c>
      <c r="C1037" s="2">
        <f>IFERROR(__xludf.DUMMYFUNCTION("""COMPUTED_VALUE"""),1675.0)</f>
        <v>1675</v>
      </c>
      <c r="D1037" s="2">
        <f>IFERROR(__xludf.DUMMYFUNCTION("""COMPUTED_VALUE"""),1650.0)</f>
        <v>1650</v>
      </c>
      <c r="E1037" s="2">
        <f>IFERROR(__xludf.DUMMYFUNCTION("""COMPUTED_VALUE"""),1660.0)</f>
        <v>1660</v>
      </c>
      <c r="F1037" s="2">
        <f>IFERROR(__xludf.DUMMYFUNCTION("""COMPUTED_VALUE"""),4.72807E7)</f>
        <v>47280700</v>
      </c>
      <c r="G1037" s="2">
        <f t="shared" si="1"/>
        <v>30</v>
      </c>
    </row>
    <row r="1038" ht="15.75" customHeight="1">
      <c r="A1038" s="1">
        <f>IFERROR(__xludf.DUMMYFUNCTION("""COMPUTED_VALUE"""),45387.66666666667)</f>
        <v>45387.66667</v>
      </c>
      <c r="B1038" s="2">
        <f>IFERROR(__xludf.DUMMYFUNCTION("""COMPUTED_VALUE"""),1665.0)</f>
        <v>1665</v>
      </c>
      <c r="C1038" s="2">
        <f>IFERROR(__xludf.DUMMYFUNCTION("""COMPUTED_VALUE"""),1675.0)</f>
        <v>1675</v>
      </c>
      <c r="D1038" s="2">
        <f>IFERROR(__xludf.DUMMYFUNCTION("""COMPUTED_VALUE"""),1645.0)</f>
        <v>1645</v>
      </c>
      <c r="E1038" s="2">
        <f>IFERROR(__xludf.DUMMYFUNCTION("""COMPUTED_VALUE"""),1670.0)</f>
        <v>1670</v>
      </c>
      <c r="F1038" s="2">
        <f>IFERROR(__xludf.DUMMYFUNCTION("""COMPUTED_VALUE"""),3.53499E7)</f>
        <v>35349900</v>
      </c>
      <c r="G1038" s="2">
        <f t="shared" si="1"/>
        <v>30</v>
      </c>
    </row>
    <row r="1039" ht="15.75" customHeight="1">
      <c r="A1039" s="1">
        <f>IFERROR(__xludf.DUMMYFUNCTION("""COMPUTED_VALUE"""),45398.66666666667)</f>
        <v>45398.66667</v>
      </c>
      <c r="B1039" s="2">
        <f>IFERROR(__xludf.DUMMYFUNCTION("""COMPUTED_VALUE"""),1685.0)</f>
        <v>1685</v>
      </c>
      <c r="C1039" s="2">
        <f>IFERROR(__xludf.DUMMYFUNCTION("""COMPUTED_VALUE"""),1810.0)</f>
        <v>1810</v>
      </c>
      <c r="D1039" s="2">
        <f>IFERROR(__xludf.DUMMYFUNCTION("""COMPUTED_VALUE"""),1680.0)</f>
        <v>1680</v>
      </c>
      <c r="E1039" s="2">
        <f>IFERROR(__xludf.DUMMYFUNCTION("""COMPUTED_VALUE"""),1810.0)</f>
        <v>1810</v>
      </c>
      <c r="F1039" s="2">
        <f>IFERROR(__xludf.DUMMYFUNCTION("""COMPUTED_VALUE"""),2.010682E8)</f>
        <v>201068200</v>
      </c>
      <c r="G1039" s="2">
        <f t="shared" si="1"/>
        <v>140</v>
      </c>
    </row>
    <row r="1040" ht="15.75" customHeight="1">
      <c r="A1040" s="1">
        <f>IFERROR(__xludf.DUMMYFUNCTION("""COMPUTED_VALUE"""),45399.66666666667)</f>
        <v>45399.66667</v>
      </c>
      <c r="B1040" s="2">
        <f>IFERROR(__xludf.DUMMYFUNCTION("""COMPUTED_VALUE"""),1815.0)</f>
        <v>1815</v>
      </c>
      <c r="C1040" s="2">
        <f>IFERROR(__xludf.DUMMYFUNCTION("""COMPUTED_VALUE"""),1845.0)</f>
        <v>1845</v>
      </c>
      <c r="D1040" s="2">
        <f>IFERROR(__xludf.DUMMYFUNCTION("""COMPUTED_VALUE"""),1775.0)</f>
        <v>1775</v>
      </c>
      <c r="E1040" s="2">
        <f>IFERROR(__xludf.DUMMYFUNCTION("""COMPUTED_VALUE"""),1795.0)</f>
        <v>1795</v>
      </c>
      <c r="F1040" s="2">
        <f>IFERROR(__xludf.DUMMYFUNCTION("""COMPUTED_VALUE"""),9.73142E7)</f>
        <v>97314200</v>
      </c>
      <c r="G1040" s="2">
        <f t="shared" si="1"/>
        <v>70</v>
      </c>
    </row>
    <row r="1041" ht="15.75" customHeight="1">
      <c r="A1041" s="1">
        <f>IFERROR(__xludf.DUMMYFUNCTION("""COMPUTED_VALUE"""),45400.66666666667)</f>
        <v>45400.66667</v>
      </c>
      <c r="B1041" s="2">
        <f>IFERROR(__xludf.DUMMYFUNCTION("""COMPUTED_VALUE"""),1800.0)</f>
        <v>1800</v>
      </c>
      <c r="C1041" s="2">
        <f>IFERROR(__xludf.DUMMYFUNCTION("""COMPUTED_VALUE"""),1815.0)</f>
        <v>1815</v>
      </c>
      <c r="D1041" s="2">
        <f>IFERROR(__xludf.DUMMYFUNCTION("""COMPUTED_VALUE"""),1710.0)</f>
        <v>1710</v>
      </c>
      <c r="E1041" s="2">
        <f>IFERROR(__xludf.DUMMYFUNCTION("""COMPUTED_VALUE"""),1725.0)</f>
        <v>1725</v>
      </c>
      <c r="F1041" s="2">
        <f>IFERROR(__xludf.DUMMYFUNCTION("""COMPUTED_VALUE"""),1.052573E8)</f>
        <v>105257300</v>
      </c>
      <c r="G1041" s="2">
        <f t="shared" si="1"/>
        <v>105</v>
      </c>
    </row>
    <row r="1042" ht="15.75" customHeight="1">
      <c r="A1042" s="1">
        <f>IFERROR(__xludf.DUMMYFUNCTION("""COMPUTED_VALUE"""),45401.66666666667)</f>
        <v>45401.66667</v>
      </c>
      <c r="B1042" s="2">
        <f>IFERROR(__xludf.DUMMYFUNCTION("""COMPUTED_VALUE"""),1765.0)</f>
        <v>1765</v>
      </c>
      <c r="C1042" s="2">
        <f>IFERROR(__xludf.DUMMYFUNCTION("""COMPUTED_VALUE"""),1770.0)</f>
        <v>1770</v>
      </c>
      <c r="D1042" s="2">
        <f>IFERROR(__xludf.DUMMYFUNCTION("""COMPUTED_VALUE"""),1725.0)</f>
        <v>1725</v>
      </c>
      <c r="E1042" s="2">
        <f>IFERROR(__xludf.DUMMYFUNCTION("""COMPUTED_VALUE"""),1760.0)</f>
        <v>1760</v>
      </c>
      <c r="F1042" s="2">
        <f>IFERROR(__xludf.DUMMYFUNCTION("""COMPUTED_VALUE"""),8.68927E7)</f>
        <v>86892700</v>
      </c>
      <c r="G1042" s="2">
        <f t="shared" si="1"/>
        <v>45</v>
      </c>
    </row>
    <row r="1043" ht="15.75" customHeight="1">
      <c r="A1043" s="1">
        <f>IFERROR(__xludf.DUMMYFUNCTION("""COMPUTED_VALUE"""),45404.66666666667)</f>
        <v>45404.66667</v>
      </c>
      <c r="B1043" s="2">
        <f>IFERROR(__xludf.DUMMYFUNCTION("""COMPUTED_VALUE"""),1780.0)</f>
        <v>1780</v>
      </c>
      <c r="C1043" s="2">
        <f>IFERROR(__xludf.DUMMYFUNCTION("""COMPUTED_VALUE"""),1800.0)</f>
        <v>1800</v>
      </c>
      <c r="D1043" s="2">
        <f>IFERROR(__xludf.DUMMYFUNCTION("""COMPUTED_VALUE"""),1760.0)</f>
        <v>1760</v>
      </c>
      <c r="E1043" s="2">
        <f>IFERROR(__xludf.DUMMYFUNCTION("""COMPUTED_VALUE"""),1770.0)</f>
        <v>1770</v>
      </c>
      <c r="F1043" s="2">
        <f>IFERROR(__xludf.DUMMYFUNCTION("""COMPUTED_VALUE"""),7.0463E7)</f>
        <v>70463000</v>
      </c>
      <c r="G1043" s="2">
        <f t="shared" si="1"/>
        <v>40</v>
      </c>
    </row>
    <row r="1044" ht="15.75" customHeight="1">
      <c r="A1044" s="1">
        <f>IFERROR(__xludf.DUMMYFUNCTION("""COMPUTED_VALUE"""),45405.66666666667)</f>
        <v>45405.66667</v>
      </c>
      <c r="B1044" s="2">
        <f>IFERROR(__xludf.DUMMYFUNCTION("""COMPUTED_VALUE"""),1770.0)</f>
        <v>1770</v>
      </c>
      <c r="C1044" s="2">
        <f>IFERROR(__xludf.DUMMYFUNCTION("""COMPUTED_VALUE"""),1775.0)</f>
        <v>1775</v>
      </c>
      <c r="D1044" s="2">
        <f>IFERROR(__xludf.DUMMYFUNCTION("""COMPUTED_VALUE"""),1730.0)</f>
        <v>1730</v>
      </c>
      <c r="E1044" s="2">
        <f>IFERROR(__xludf.DUMMYFUNCTION("""COMPUTED_VALUE"""),1740.0)</f>
        <v>1740</v>
      </c>
      <c r="F1044" s="2">
        <f>IFERROR(__xludf.DUMMYFUNCTION("""COMPUTED_VALUE"""),5.30921E7)</f>
        <v>53092100</v>
      </c>
      <c r="G1044" s="2">
        <f t="shared" si="1"/>
        <v>45</v>
      </c>
    </row>
    <row r="1045" ht="15.75" customHeight="1">
      <c r="A1045" s="1">
        <f>IFERROR(__xludf.DUMMYFUNCTION("""COMPUTED_VALUE"""),45406.66666666667)</f>
        <v>45406.66667</v>
      </c>
      <c r="B1045" s="2">
        <f>IFERROR(__xludf.DUMMYFUNCTION("""COMPUTED_VALUE"""),1745.0)</f>
        <v>1745</v>
      </c>
      <c r="C1045" s="2">
        <f>IFERROR(__xludf.DUMMYFUNCTION("""COMPUTED_VALUE"""),1750.0)</f>
        <v>1750</v>
      </c>
      <c r="D1045" s="2">
        <f>IFERROR(__xludf.DUMMYFUNCTION("""COMPUTED_VALUE"""),1680.0)</f>
        <v>1680</v>
      </c>
      <c r="E1045" s="2">
        <f>IFERROR(__xludf.DUMMYFUNCTION("""COMPUTED_VALUE"""),1680.0)</f>
        <v>1680</v>
      </c>
      <c r="F1045" s="2">
        <f>IFERROR(__xludf.DUMMYFUNCTION("""COMPUTED_VALUE"""),4.26611E7)</f>
        <v>42661100</v>
      </c>
      <c r="G1045" s="2">
        <f t="shared" si="1"/>
        <v>70</v>
      </c>
    </row>
    <row r="1046" ht="15.75" customHeight="1">
      <c r="A1046" s="1">
        <f>IFERROR(__xludf.DUMMYFUNCTION("""COMPUTED_VALUE"""),45407.66666666667)</f>
        <v>45407.66667</v>
      </c>
      <c r="B1046" s="2">
        <f>IFERROR(__xludf.DUMMYFUNCTION("""COMPUTED_VALUE"""),1680.0)</f>
        <v>1680</v>
      </c>
      <c r="C1046" s="2">
        <f>IFERROR(__xludf.DUMMYFUNCTION("""COMPUTED_VALUE"""),1695.0)</f>
        <v>1695</v>
      </c>
      <c r="D1046" s="2">
        <f>IFERROR(__xludf.DUMMYFUNCTION("""COMPUTED_VALUE"""),1585.0)</f>
        <v>1585</v>
      </c>
      <c r="E1046" s="2">
        <f>IFERROR(__xludf.DUMMYFUNCTION("""COMPUTED_VALUE"""),1590.0)</f>
        <v>1590</v>
      </c>
      <c r="F1046" s="2">
        <f>IFERROR(__xludf.DUMMYFUNCTION("""COMPUTED_VALUE"""),7.77984E7)</f>
        <v>77798400</v>
      </c>
      <c r="G1046" s="2">
        <f t="shared" si="1"/>
        <v>110</v>
      </c>
    </row>
    <row r="1047" ht="15.75" customHeight="1">
      <c r="A1047" s="1">
        <f>IFERROR(__xludf.DUMMYFUNCTION("""COMPUTED_VALUE"""),45408.66666666667)</f>
        <v>45408.66667</v>
      </c>
      <c r="B1047" s="2">
        <f>IFERROR(__xludf.DUMMYFUNCTION("""COMPUTED_VALUE"""),1600.0)</f>
        <v>1600</v>
      </c>
      <c r="C1047" s="2">
        <f>IFERROR(__xludf.DUMMYFUNCTION("""COMPUTED_VALUE"""),1615.0)</f>
        <v>1615</v>
      </c>
      <c r="D1047" s="2">
        <f>IFERROR(__xludf.DUMMYFUNCTION("""COMPUTED_VALUE"""),1575.0)</f>
        <v>1575</v>
      </c>
      <c r="E1047" s="2">
        <f>IFERROR(__xludf.DUMMYFUNCTION("""COMPUTED_VALUE"""),1595.0)</f>
        <v>1595</v>
      </c>
      <c r="F1047" s="2">
        <f>IFERROR(__xludf.DUMMYFUNCTION("""COMPUTED_VALUE"""),4.51051E7)</f>
        <v>45105100</v>
      </c>
      <c r="G1047" s="2">
        <f t="shared" si="1"/>
        <v>40</v>
      </c>
    </row>
    <row r="1048" ht="15.75" customHeight="1">
      <c r="A1048" s="1">
        <f>IFERROR(__xludf.DUMMYFUNCTION("""COMPUTED_VALUE"""),45411.66666666667)</f>
        <v>45411.66667</v>
      </c>
      <c r="B1048" s="2">
        <f>IFERROR(__xludf.DUMMYFUNCTION("""COMPUTED_VALUE"""),1600.0)</f>
        <v>1600</v>
      </c>
      <c r="C1048" s="2">
        <f>IFERROR(__xludf.DUMMYFUNCTION("""COMPUTED_VALUE"""),1620.0)</f>
        <v>1620</v>
      </c>
      <c r="D1048" s="2">
        <f>IFERROR(__xludf.DUMMYFUNCTION("""COMPUTED_VALUE"""),1570.0)</f>
        <v>1570</v>
      </c>
      <c r="E1048" s="2">
        <f>IFERROR(__xludf.DUMMYFUNCTION("""COMPUTED_VALUE"""),1615.0)</f>
        <v>1615</v>
      </c>
      <c r="F1048" s="2">
        <f>IFERROR(__xludf.DUMMYFUNCTION("""COMPUTED_VALUE"""),4.47596E7)</f>
        <v>44759600</v>
      </c>
      <c r="G1048" s="2">
        <f t="shared" si="1"/>
        <v>50</v>
      </c>
    </row>
    <row r="1049" ht="15.75" customHeight="1">
      <c r="A1049" s="1">
        <f>IFERROR(__xludf.DUMMYFUNCTION("""COMPUTED_VALUE"""),45412.66666666667)</f>
        <v>45412.66667</v>
      </c>
      <c r="B1049" s="2">
        <f>IFERROR(__xludf.DUMMYFUNCTION("""COMPUTED_VALUE"""),1625.0)</f>
        <v>1625</v>
      </c>
      <c r="C1049" s="2">
        <f>IFERROR(__xludf.DUMMYFUNCTION("""COMPUTED_VALUE"""),1640.0)</f>
        <v>1640</v>
      </c>
      <c r="D1049" s="2">
        <f>IFERROR(__xludf.DUMMYFUNCTION("""COMPUTED_VALUE"""),1600.0)</f>
        <v>1600</v>
      </c>
      <c r="E1049" s="2">
        <f>IFERROR(__xludf.DUMMYFUNCTION("""COMPUTED_VALUE"""),1640.0)</f>
        <v>1640</v>
      </c>
      <c r="F1049" s="2">
        <f>IFERROR(__xludf.DUMMYFUNCTION("""COMPUTED_VALUE"""),4.27467E7)</f>
        <v>42746700</v>
      </c>
      <c r="G1049" s="2">
        <f t="shared" si="1"/>
        <v>40</v>
      </c>
    </row>
    <row r="1050" ht="15.75" customHeight="1">
      <c r="A1050" s="1">
        <f>IFERROR(__xludf.DUMMYFUNCTION("""COMPUTED_VALUE"""),45414.66666666667)</f>
        <v>45414.66667</v>
      </c>
      <c r="B1050" s="2">
        <f>IFERROR(__xludf.DUMMYFUNCTION("""COMPUTED_VALUE"""),1605.0)</f>
        <v>1605</v>
      </c>
      <c r="C1050" s="2">
        <f>IFERROR(__xludf.DUMMYFUNCTION("""COMPUTED_VALUE"""),1610.0)</f>
        <v>1610</v>
      </c>
      <c r="D1050" s="2">
        <f>IFERROR(__xludf.DUMMYFUNCTION("""COMPUTED_VALUE"""),1510.0)</f>
        <v>1510</v>
      </c>
      <c r="E1050" s="2">
        <f>IFERROR(__xludf.DUMMYFUNCTION("""COMPUTED_VALUE"""),1510.0)</f>
        <v>1510</v>
      </c>
      <c r="F1050" s="2">
        <f>IFERROR(__xludf.DUMMYFUNCTION("""COMPUTED_VALUE"""),1.009152E8)</f>
        <v>100915200</v>
      </c>
      <c r="G1050" s="2">
        <f t="shared" si="1"/>
        <v>130</v>
      </c>
    </row>
    <row r="1051" ht="15.75" customHeight="1">
      <c r="A1051" s="1">
        <f>IFERROR(__xludf.DUMMYFUNCTION("""COMPUTED_VALUE"""),45415.66666666667)</f>
        <v>45415.66667</v>
      </c>
      <c r="B1051" s="2">
        <f>IFERROR(__xludf.DUMMYFUNCTION("""COMPUTED_VALUE"""),1515.0)</f>
        <v>1515</v>
      </c>
      <c r="C1051" s="2">
        <f>IFERROR(__xludf.DUMMYFUNCTION("""COMPUTED_VALUE"""),1535.0)</f>
        <v>1535</v>
      </c>
      <c r="D1051" s="2">
        <f>IFERROR(__xludf.DUMMYFUNCTION("""COMPUTED_VALUE"""),1475.0)</f>
        <v>1475</v>
      </c>
      <c r="E1051" s="2">
        <f>IFERROR(__xludf.DUMMYFUNCTION("""COMPUTED_VALUE"""),1490.0)</f>
        <v>1490</v>
      </c>
      <c r="F1051" s="2">
        <f>IFERROR(__xludf.DUMMYFUNCTION("""COMPUTED_VALUE"""),7.03167E7)</f>
        <v>70316700</v>
      </c>
      <c r="G1051" s="2">
        <f t="shared" si="1"/>
        <v>60</v>
      </c>
    </row>
    <row r="1052" ht="15.75" customHeight="1">
      <c r="A1052" s="1">
        <f>IFERROR(__xludf.DUMMYFUNCTION("""COMPUTED_VALUE"""),45418.66666666667)</f>
        <v>45418.66667</v>
      </c>
      <c r="B1052" s="2">
        <f>IFERROR(__xludf.DUMMYFUNCTION("""COMPUTED_VALUE"""),1505.0)</f>
        <v>1505</v>
      </c>
      <c r="C1052" s="2">
        <f>IFERROR(__xludf.DUMMYFUNCTION("""COMPUTED_VALUE"""),1530.0)</f>
        <v>1530</v>
      </c>
      <c r="D1052" s="2">
        <f>IFERROR(__xludf.DUMMYFUNCTION("""COMPUTED_VALUE"""),1490.0)</f>
        <v>1490</v>
      </c>
      <c r="E1052" s="2">
        <f>IFERROR(__xludf.DUMMYFUNCTION("""COMPUTED_VALUE"""),1515.0)</f>
        <v>1515</v>
      </c>
      <c r="F1052" s="2">
        <f>IFERROR(__xludf.DUMMYFUNCTION("""COMPUTED_VALUE"""),4.16908E7)</f>
        <v>41690800</v>
      </c>
      <c r="G1052" s="2">
        <f t="shared" si="1"/>
        <v>40</v>
      </c>
    </row>
    <row r="1053" ht="15.75" customHeight="1">
      <c r="A1053" s="1">
        <f>IFERROR(__xludf.DUMMYFUNCTION("""COMPUTED_VALUE"""),45419.66666666667)</f>
        <v>45419.66667</v>
      </c>
      <c r="B1053" s="2">
        <f>IFERROR(__xludf.DUMMYFUNCTION("""COMPUTED_VALUE"""),1530.0)</f>
        <v>1530</v>
      </c>
      <c r="C1053" s="2">
        <f>IFERROR(__xludf.DUMMYFUNCTION("""COMPUTED_VALUE"""),1540.0)</f>
        <v>1540</v>
      </c>
      <c r="D1053" s="2">
        <f>IFERROR(__xludf.DUMMYFUNCTION("""COMPUTED_VALUE"""),1500.0)</f>
        <v>1500</v>
      </c>
      <c r="E1053" s="2">
        <f>IFERROR(__xludf.DUMMYFUNCTION("""COMPUTED_VALUE"""),1505.0)</f>
        <v>1505</v>
      </c>
      <c r="F1053" s="2">
        <f>IFERROR(__xludf.DUMMYFUNCTION("""COMPUTED_VALUE"""),4.03403E7)</f>
        <v>40340300</v>
      </c>
      <c r="G1053" s="2">
        <f t="shared" si="1"/>
        <v>40</v>
      </c>
    </row>
    <row r="1054" ht="15.75" customHeight="1">
      <c r="A1054" s="1">
        <f>IFERROR(__xludf.DUMMYFUNCTION("""COMPUTED_VALUE"""),45420.66666666667)</f>
        <v>45420.66667</v>
      </c>
      <c r="B1054" s="2">
        <f>IFERROR(__xludf.DUMMYFUNCTION("""COMPUTED_VALUE"""),1505.0)</f>
        <v>1505</v>
      </c>
      <c r="C1054" s="2">
        <f>IFERROR(__xludf.DUMMYFUNCTION("""COMPUTED_VALUE"""),1575.0)</f>
        <v>1575</v>
      </c>
      <c r="D1054" s="2">
        <f>IFERROR(__xludf.DUMMYFUNCTION("""COMPUTED_VALUE"""),1480.0)</f>
        <v>1480</v>
      </c>
      <c r="E1054" s="2">
        <f>IFERROR(__xludf.DUMMYFUNCTION("""COMPUTED_VALUE"""),1535.0)</f>
        <v>1535</v>
      </c>
      <c r="F1054" s="2">
        <f>IFERROR(__xludf.DUMMYFUNCTION("""COMPUTED_VALUE"""),1.09109E8)</f>
        <v>109109000</v>
      </c>
      <c r="G1054" s="2">
        <f t="shared" si="1"/>
        <v>95</v>
      </c>
    </row>
    <row r="1055" ht="15.75" customHeight="1">
      <c r="A1055" s="1">
        <f>IFERROR(__xludf.DUMMYFUNCTION("""COMPUTED_VALUE"""),45425.66666666667)</f>
        <v>45425.66667</v>
      </c>
      <c r="B1055" s="2">
        <f>IFERROR(__xludf.DUMMYFUNCTION("""COMPUTED_VALUE"""),1540.0)</f>
        <v>1540</v>
      </c>
      <c r="C1055" s="2">
        <f>IFERROR(__xludf.DUMMYFUNCTION("""COMPUTED_VALUE"""),1550.0)</f>
        <v>1550</v>
      </c>
      <c r="D1055" s="2">
        <f>IFERROR(__xludf.DUMMYFUNCTION("""COMPUTED_VALUE"""),1515.0)</f>
        <v>1515</v>
      </c>
      <c r="E1055" s="2">
        <f>IFERROR(__xludf.DUMMYFUNCTION("""COMPUTED_VALUE"""),1525.0)</f>
        <v>1525</v>
      </c>
      <c r="F1055" s="2">
        <f>IFERROR(__xludf.DUMMYFUNCTION("""COMPUTED_VALUE"""),3.64918E7)</f>
        <v>36491800</v>
      </c>
      <c r="G1055" s="2">
        <f t="shared" si="1"/>
        <v>35</v>
      </c>
    </row>
    <row r="1056" ht="15.75" customHeight="1">
      <c r="A1056" s="1">
        <f>IFERROR(__xludf.DUMMYFUNCTION("""COMPUTED_VALUE"""),45426.66666666667)</f>
        <v>45426.66667</v>
      </c>
      <c r="B1056" s="2">
        <f>IFERROR(__xludf.DUMMYFUNCTION("""COMPUTED_VALUE"""),1520.0)</f>
        <v>1520</v>
      </c>
      <c r="C1056" s="2">
        <f>IFERROR(__xludf.DUMMYFUNCTION("""COMPUTED_VALUE"""),1545.0)</f>
        <v>1545</v>
      </c>
      <c r="D1056" s="2">
        <f>IFERROR(__xludf.DUMMYFUNCTION("""COMPUTED_VALUE"""),1515.0)</f>
        <v>1515</v>
      </c>
      <c r="E1056" s="2">
        <f>IFERROR(__xludf.DUMMYFUNCTION("""COMPUTED_VALUE"""),1525.0)</f>
        <v>1525</v>
      </c>
      <c r="F1056" s="2">
        <f>IFERROR(__xludf.DUMMYFUNCTION("""COMPUTED_VALUE"""),3.16754E7)</f>
        <v>31675400</v>
      </c>
      <c r="G1056" s="2">
        <f t="shared" si="1"/>
        <v>30</v>
      </c>
    </row>
    <row r="1057" ht="15.75" customHeight="1">
      <c r="A1057" s="1">
        <f>IFERROR(__xludf.DUMMYFUNCTION("""COMPUTED_VALUE"""),45427.66666666667)</f>
        <v>45427.66667</v>
      </c>
      <c r="B1057" s="2">
        <f>IFERROR(__xludf.DUMMYFUNCTION("""COMPUTED_VALUE"""),1535.0)</f>
        <v>1535</v>
      </c>
      <c r="C1057" s="2">
        <f>IFERROR(__xludf.DUMMYFUNCTION("""COMPUTED_VALUE"""),1575.0)</f>
        <v>1575</v>
      </c>
      <c r="D1057" s="2">
        <f>IFERROR(__xludf.DUMMYFUNCTION("""COMPUTED_VALUE"""),1535.0)</f>
        <v>1535</v>
      </c>
      <c r="E1057" s="2">
        <f>IFERROR(__xludf.DUMMYFUNCTION("""COMPUTED_VALUE"""),1565.0)</f>
        <v>1565</v>
      </c>
      <c r="F1057" s="2">
        <f>IFERROR(__xludf.DUMMYFUNCTION("""COMPUTED_VALUE"""),5.12452E7)</f>
        <v>51245200</v>
      </c>
      <c r="G1057" s="2">
        <f t="shared" si="1"/>
        <v>50</v>
      </c>
    </row>
    <row r="1058" ht="15.75" customHeight="1">
      <c r="A1058" s="1">
        <f>IFERROR(__xludf.DUMMYFUNCTION("""COMPUTED_VALUE"""),45428.66666666667)</f>
        <v>45428.66667</v>
      </c>
      <c r="B1058" s="2">
        <f>IFERROR(__xludf.DUMMYFUNCTION("""COMPUTED_VALUE"""),1585.0)</f>
        <v>1585</v>
      </c>
      <c r="C1058" s="2">
        <f>IFERROR(__xludf.DUMMYFUNCTION("""COMPUTED_VALUE"""),1590.0)</f>
        <v>1590</v>
      </c>
      <c r="D1058" s="2">
        <f>IFERROR(__xludf.DUMMYFUNCTION("""COMPUTED_VALUE"""),1560.0)</f>
        <v>1560</v>
      </c>
      <c r="E1058" s="2">
        <f>IFERROR(__xludf.DUMMYFUNCTION("""COMPUTED_VALUE"""),1565.0)</f>
        <v>1565</v>
      </c>
      <c r="F1058" s="2">
        <f>IFERROR(__xludf.DUMMYFUNCTION("""COMPUTED_VALUE"""),5.28915E7)</f>
        <v>52891500</v>
      </c>
      <c r="G1058" s="2">
        <f t="shared" si="1"/>
        <v>30</v>
      </c>
    </row>
    <row r="1059" ht="15.75" customHeight="1">
      <c r="A1059" s="1">
        <f>IFERROR(__xludf.DUMMYFUNCTION("""COMPUTED_VALUE"""),45429.66666666667)</f>
        <v>45429.66667</v>
      </c>
      <c r="B1059" s="2">
        <f>IFERROR(__xludf.DUMMYFUNCTION("""COMPUTED_VALUE"""),1585.0)</f>
        <v>1585</v>
      </c>
      <c r="C1059" s="2">
        <f>IFERROR(__xludf.DUMMYFUNCTION("""COMPUTED_VALUE"""),1635.0)</f>
        <v>1635</v>
      </c>
      <c r="D1059" s="2">
        <f>IFERROR(__xludf.DUMMYFUNCTION("""COMPUTED_VALUE"""),1585.0)</f>
        <v>1585</v>
      </c>
      <c r="E1059" s="2">
        <f>IFERROR(__xludf.DUMMYFUNCTION("""COMPUTED_VALUE"""),1620.0)</f>
        <v>1620</v>
      </c>
      <c r="F1059" s="2">
        <f>IFERROR(__xludf.DUMMYFUNCTION("""COMPUTED_VALUE"""),8.80811E7)</f>
        <v>88081100</v>
      </c>
      <c r="G1059" s="2">
        <f t="shared" si="1"/>
        <v>70</v>
      </c>
    </row>
    <row r="1060" ht="15.75" customHeight="1">
      <c r="A1060" s="1">
        <f>IFERROR(__xludf.DUMMYFUNCTION("""COMPUTED_VALUE"""),45432.66666666667)</f>
        <v>45432.66667</v>
      </c>
      <c r="B1060" s="2">
        <f>IFERROR(__xludf.DUMMYFUNCTION("""COMPUTED_VALUE"""),1645.0)</f>
        <v>1645</v>
      </c>
      <c r="C1060" s="2">
        <f>IFERROR(__xludf.DUMMYFUNCTION("""COMPUTED_VALUE"""),1670.0)</f>
        <v>1670</v>
      </c>
      <c r="D1060" s="2">
        <f>IFERROR(__xludf.DUMMYFUNCTION("""COMPUTED_VALUE"""),1645.0)</f>
        <v>1645</v>
      </c>
      <c r="E1060" s="2">
        <f>IFERROR(__xludf.DUMMYFUNCTION("""COMPUTED_VALUE"""),1655.0)</f>
        <v>1655</v>
      </c>
      <c r="F1060" s="2">
        <f>IFERROR(__xludf.DUMMYFUNCTION("""COMPUTED_VALUE"""),1.135406E8)</f>
        <v>113540600</v>
      </c>
      <c r="G1060" s="2">
        <f t="shared" si="1"/>
        <v>50</v>
      </c>
    </row>
    <row r="1061" ht="15.75" customHeight="1">
      <c r="A1061" s="1">
        <f>IFERROR(__xludf.DUMMYFUNCTION("""COMPUTED_VALUE"""),45433.66666666667)</f>
        <v>45433.66667</v>
      </c>
      <c r="B1061" s="2">
        <f>IFERROR(__xludf.DUMMYFUNCTION("""COMPUTED_VALUE"""),1545.0)</f>
        <v>1545</v>
      </c>
      <c r="C1061" s="2">
        <f>IFERROR(__xludf.DUMMYFUNCTION("""COMPUTED_VALUE"""),1595.0)</f>
        <v>1595</v>
      </c>
      <c r="D1061" s="2">
        <f>IFERROR(__xludf.DUMMYFUNCTION("""COMPUTED_VALUE"""),1545.0)</f>
        <v>1545</v>
      </c>
      <c r="E1061" s="2">
        <f>IFERROR(__xludf.DUMMYFUNCTION("""COMPUTED_VALUE"""),1565.0)</f>
        <v>1565</v>
      </c>
      <c r="F1061" s="2">
        <f>IFERROR(__xludf.DUMMYFUNCTION("""COMPUTED_VALUE"""),5.80096E7)</f>
        <v>58009600</v>
      </c>
      <c r="G1061" s="2">
        <f t="shared" si="1"/>
        <v>110</v>
      </c>
    </row>
    <row r="1062" ht="15.75" customHeight="1">
      <c r="A1062" s="1">
        <f>IFERROR(__xludf.DUMMYFUNCTION("""COMPUTED_VALUE"""),45434.66666666667)</f>
        <v>45434.66667</v>
      </c>
      <c r="B1062" s="2">
        <f>IFERROR(__xludf.DUMMYFUNCTION("""COMPUTED_VALUE"""),1565.0)</f>
        <v>1565</v>
      </c>
      <c r="C1062" s="2">
        <f>IFERROR(__xludf.DUMMYFUNCTION("""COMPUTED_VALUE"""),1580.0)</f>
        <v>1580</v>
      </c>
      <c r="D1062" s="2">
        <f>IFERROR(__xludf.DUMMYFUNCTION("""COMPUTED_VALUE"""),1520.0)</f>
        <v>1520</v>
      </c>
      <c r="E1062" s="2">
        <f>IFERROR(__xludf.DUMMYFUNCTION("""COMPUTED_VALUE"""),1525.0)</f>
        <v>1525</v>
      </c>
      <c r="F1062" s="2">
        <f>IFERROR(__xludf.DUMMYFUNCTION("""COMPUTED_VALUE"""),4.21775E7)</f>
        <v>42177500</v>
      </c>
      <c r="G1062" s="2">
        <f t="shared" si="1"/>
        <v>60</v>
      </c>
    </row>
    <row r="1063" ht="15.75" customHeight="1">
      <c r="A1063" s="1">
        <f>IFERROR(__xludf.DUMMYFUNCTION("""COMPUTED_VALUE"""),45439.66666666667)</f>
        <v>45439.66667</v>
      </c>
      <c r="B1063" s="2">
        <f>IFERROR(__xludf.DUMMYFUNCTION("""COMPUTED_VALUE"""),1525.0)</f>
        <v>1525</v>
      </c>
      <c r="C1063" s="2">
        <f>IFERROR(__xludf.DUMMYFUNCTION("""COMPUTED_VALUE"""),1535.0)</f>
        <v>1535</v>
      </c>
      <c r="D1063" s="2">
        <f>IFERROR(__xludf.DUMMYFUNCTION("""COMPUTED_VALUE"""),1490.0)</f>
        <v>1490</v>
      </c>
      <c r="E1063" s="2">
        <f>IFERROR(__xludf.DUMMYFUNCTION("""COMPUTED_VALUE"""),1495.0)</f>
        <v>1495</v>
      </c>
      <c r="F1063" s="2">
        <f>IFERROR(__xludf.DUMMYFUNCTION("""COMPUTED_VALUE"""),3.4506E7)</f>
        <v>34506000</v>
      </c>
      <c r="G1063" s="2">
        <f t="shared" si="1"/>
        <v>45</v>
      </c>
    </row>
    <row r="1064" ht="15.75" customHeight="1">
      <c r="A1064" s="1">
        <f>IFERROR(__xludf.DUMMYFUNCTION("""COMPUTED_VALUE"""),45440.66666666667)</f>
        <v>45440.66667</v>
      </c>
      <c r="B1064" s="2">
        <f>IFERROR(__xludf.DUMMYFUNCTION("""COMPUTED_VALUE"""),1500.0)</f>
        <v>1500</v>
      </c>
      <c r="C1064" s="2">
        <f>IFERROR(__xludf.DUMMYFUNCTION("""COMPUTED_VALUE"""),1535.0)</f>
        <v>1535</v>
      </c>
      <c r="D1064" s="2">
        <f>IFERROR(__xludf.DUMMYFUNCTION("""COMPUTED_VALUE"""),1500.0)</f>
        <v>1500</v>
      </c>
      <c r="E1064" s="2">
        <f>IFERROR(__xludf.DUMMYFUNCTION("""COMPUTED_VALUE"""),1515.0)</f>
        <v>1515</v>
      </c>
      <c r="F1064" s="2">
        <f>IFERROR(__xludf.DUMMYFUNCTION("""COMPUTED_VALUE"""),3.36793E7)</f>
        <v>33679300</v>
      </c>
      <c r="G1064" s="2">
        <f t="shared" si="1"/>
        <v>40</v>
      </c>
    </row>
    <row r="1065" ht="15.75" customHeight="1">
      <c r="A1065" s="1">
        <f>IFERROR(__xludf.DUMMYFUNCTION("""COMPUTED_VALUE"""),45441.66666666667)</f>
        <v>45441.66667</v>
      </c>
      <c r="B1065" s="2">
        <f>IFERROR(__xludf.DUMMYFUNCTION("""COMPUTED_VALUE"""),1525.0)</f>
        <v>1525</v>
      </c>
      <c r="C1065" s="2">
        <f>IFERROR(__xludf.DUMMYFUNCTION("""COMPUTED_VALUE"""),1540.0)</f>
        <v>1540</v>
      </c>
      <c r="D1065" s="2">
        <f>IFERROR(__xludf.DUMMYFUNCTION("""COMPUTED_VALUE"""),1505.0)</f>
        <v>1505</v>
      </c>
      <c r="E1065" s="2">
        <f>IFERROR(__xludf.DUMMYFUNCTION("""COMPUTED_VALUE"""),1525.0)</f>
        <v>1525</v>
      </c>
      <c r="F1065" s="2">
        <f>IFERROR(__xludf.DUMMYFUNCTION("""COMPUTED_VALUE"""),2.70768E7)</f>
        <v>27076800</v>
      </c>
      <c r="G1065" s="2">
        <f t="shared" si="1"/>
        <v>35</v>
      </c>
    </row>
    <row r="1066" ht="15.75" customHeight="1">
      <c r="A1066" s="1">
        <f>IFERROR(__xludf.DUMMYFUNCTION("""COMPUTED_VALUE"""),45442.66666666667)</f>
        <v>45442.66667</v>
      </c>
      <c r="B1066" s="2">
        <f>IFERROR(__xludf.DUMMYFUNCTION("""COMPUTED_VALUE"""),1525.0)</f>
        <v>1525</v>
      </c>
      <c r="C1066" s="2">
        <f>IFERROR(__xludf.DUMMYFUNCTION("""COMPUTED_VALUE"""),1525.0)</f>
        <v>1525</v>
      </c>
      <c r="D1066" s="2">
        <f>IFERROR(__xludf.DUMMYFUNCTION("""COMPUTED_VALUE"""),1490.0)</f>
        <v>1490</v>
      </c>
      <c r="E1066" s="2">
        <f>IFERROR(__xludf.DUMMYFUNCTION("""COMPUTED_VALUE"""),1490.0)</f>
        <v>1490</v>
      </c>
      <c r="F1066" s="2">
        <f>IFERROR(__xludf.DUMMYFUNCTION("""COMPUTED_VALUE"""),3.82419E7)</f>
        <v>38241900</v>
      </c>
      <c r="G1066" s="2">
        <f t="shared" si="1"/>
        <v>35</v>
      </c>
    </row>
    <row r="1067" ht="15.75" customHeight="1">
      <c r="A1067" s="1">
        <f>IFERROR(__xludf.DUMMYFUNCTION("""COMPUTED_VALUE"""),45443.66666666667)</f>
        <v>45443.66667</v>
      </c>
      <c r="B1067" s="2">
        <f>IFERROR(__xludf.DUMMYFUNCTION("""COMPUTED_VALUE"""),1490.0)</f>
        <v>1490</v>
      </c>
      <c r="C1067" s="2">
        <f>IFERROR(__xludf.DUMMYFUNCTION("""COMPUTED_VALUE"""),1510.0)</f>
        <v>1510</v>
      </c>
      <c r="D1067" s="2">
        <f>IFERROR(__xludf.DUMMYFUNCTION("""COMPUTED_VALUE"""),1465.0)</f>
        <v>1465</v>
      </c>
      <c r="E1067" s="2">
        <f>IFERROR(__xludf.DUMMYFUNCTION("""COMPUTED_VALUE"""),1465.0)</f>
        <v>1465</v>
      </c>
      <c r="F1067" s="2">
        <f>IFERROR(__xludf.DUMMYFUNCTION("""COMPUTED_VALUE"""),8.15052E7)</f>
        <v>81505200</v>
      </c>
      <c r="G1067" s="2">
        <f t="shared" si="1"/>
        <v>45</v>
      </c>
    </row>
    <row r="1068" ht="15.75" customHeight="1">
      <c r="A1068" s="1">
        <f>IFERROR(__xludf.DUMMYFUNCTION("""COMPUTED_VALUE"""),45446.66666666667)</f>
        <v>45446.66667</v>
      </c>
      <c r="B1068" s="2">
        <f>IFERROR(__xludf.DUMMYFUNCTION("""COMPUTED_VALUE"""),1465.0)</f>
        <v>1465</v>
      </c>
      <c r="C1068" s="2">
        <f>IFERROR(__xludf.DUMMYFUNCTION("""COMPUTED_VALUE"""),1490.0)</f>
        <v>1490</v>
      </c>
      <c r="D1068" s="2">
        <f>IFERROR(__xludf.DUMMYFUNCTION("""COMPUTED_VALUE"""),1465.0)</f>
        <v>1465</v>
      </c>
      <c r="E1068" s="2">
        <f>IFERROR(__xludf.DUMMYFUNCTION("""COMPUTED_VALUE"""),1470.0)</f>
        <v>1470</v>
      </c>
      <c r="F1068" s="2">
        <f>IFERROR(__xludf.DUMMYFUNCTION("""COMPUTED_VALUE"""),2.96192E7)</f>
        <v>29619200</v>
      </c>
      <c r="G1068" s="2">
        <f t="shared" si="1"/>
        <v>25</v>
      </c>
    </row>
    <row r="1069" ht="15.75" customHeight="1">
      <c r="A1069" s="1">
        <f>IFERROR(__xludf.DUMMYFUNCTION("""COMPUTED_VALUE"""),45447.66666666667)</f>
        <v>45447.66667</v>
      </c>
      <c r="B1069" s="2">
        <f>IFERROR(__xludf.DUMMYFUNCTION("""COMPUTED_VALUE"""),1470.0)</f>
        <v>1470</v>
      </c>
      <c r="C1069" s="2">
        <f>IFERROR(__xludf.DUMMYFUNCTION("""COMPUTED_VALUE"""),1485.0)</f>
        <v>1485</v>
      </c>
      <c r="D1069" s="2">
        <f>IFERROR(__xludf.DUMMYFUNCTION("""COMPUTED_VALUE"""),1435.0)</f>
        <v>1435</v>
      </c>
      <c r="E1069" s="2">
        <f>IFERROR(__xludf.DUMMYFUNCTION("""COMPUTED_VALUE"""),1440.0)</f>
        <v>1440</v>
      </c>
      <c r="F1069" s="2">
        <f>IFERROR(__xludf.DUMMYFUNCTION("""COMPUTED_VALUE"""),6.02876E7)</f>
        <v>60287600</v>
      </c>
      <c r="G1069" s="2">
        <f t="shared" si="1"/>
        <v>50</v>
      </c>
    </row>
    <row r="1070" ht="15.75" customHeight="1">
      <c r="A1070" s="1">
        <f>IFERROR(__xludf.DUMMYFUNCTION("""COMPUTED_VALUE"""),45448.66666666667)</f>
        <v>45448.66667</v>
      </c>
      <c r="B1070" s="2">
        <f>IFERROR(__xludf.DUMMYFUNCTION("""COMPUTED_VALUE"""),1440.0)</f>
        <v>1440</v>
      </c>
      <c r="C1070" s="2">
        <f>IFERROR(__xludf.DUMMYFUNCTION("""COMPUTED_VALUE"""),1445.0)</f>
        <v>1445</v>
      </c>
      <c r="D1070" s="2">
        <f>IFERROR(__xludf.DUMMYFUNCTION("""COMPUTED_VALUE"""),1340.0)</f>
        <v>1340</v>
      </c>
      <c r="E1070" s="2">
        <f>IFERROR(__xludf.DUMMYFUNCTION("""COMPUTED_VALUE"""),1340.0)</f>
        <v>1340</v>
      </c>
      <c r="F1070" s="2">
        <f>IFERROR(__xludf.DUMMYFUNCTION("""COMPUTED_VALUE"""),1.041916E8)</f>
        <v>104191600</v>
      </c>
      <c r="G1070" s="2">
        <f t="shared" si="1"/>
        <v>105</v>
      </c>
    </row>
    <row r="1071" ht="15.75" customHeight="1">
      <c r="A1071" s="1">
        <f>IFERROR(__xludf.DUMMYFUNCTION("""COMPUTED_VALUE"""),45449.66666666667)</f>
        <v>45449.66667</v>
      </c>
      <c r="B1071" s="2">
        <f>IFERROR(__xludf.DUMMYFUNCTION("""COMPUTED_VALUE"""),1345.0)</f>
        <v>1345</v>
      </c>
      <c r="C1071" s="2">
        <f>IFERROR(__xludf.DUMMYFUNCTION("""COMPUTED_VALUE"""),1380.0)</f>
        <v>1380</v>
      </c>
      <c r="D1071" s="2">
        <f>IFERROR(__xludf.DUMMYFUNCTION("""COMPUTED_VALUE"""),1305.0)</f>
        <v>1305</v>
      </c>
      <c r="E1071" s="2">
        <f>IFERROR(__xludf.DUMMYFUNCTION("""COMPUTED_VALUE"""),1315.0)</f>
        <v>1315</v>
      </c>
      <c r="F1071" s="2">
        <f>IFERROR(__xludf.DUMMYFUNCTION("""COMPUTED_VALUE"""),7.3528E7)</f>
        <v>73528000</v>
      </c>
      <c r="G1071" s="2">
        <f t="shared" si="1"/>
        <v>75</v>
      </c>
    </row>
    <row r="1072" ht="15.75" customHeight="1">
      <c r="A1072" s="1">
        <f>IFERROR(__xludf.DUMMYFUNCTION("""COMPUTED_VALUE"""),45450.66666666667)</f>
        <v>45450.66667</v>
      </c>
      <c r="B1072" s="2">
        <f>IFERROR(__xludf.DUMMYFUNCTION("""COMPUTED_VALUE"""),1320.0)</f>
        <v>1320</v>
      </c>
      <c r="C1072" s="2">
        <f>IFERROR(__xludf.DUMMYFUNCTION("""COMPUTED_VALUE"""),1350.0)</f>
        <v>1350</v>
      </c>
      <c r="D1072" s="2">
        <f>IFERROR(__xludf.DUMMYFUNCTION("""COMPUTED_VALUE"""),1300.0)</f>
        <v>1300</v>
      </c>
      <c r="E1072" s="2">
        <f>IFERROR(__xludf.DUMMYFUNCTION("""COMPUTED_VALUE"""),1300.0)</f>
        <v>1300</v>
      </c>
      <c r="F1072" s="2">
        <f>IFERROR(__xludf.DUMMYFUNCTION("""COMPUTED_VALUE"""),7.75128E7)</f>
        <v>77512800</v>
      </c>
      <c r="G1072" s="2">
        <f t="shared" si="1"/>
        <v>50</v>
      </c>
    </row>
    <row r="1073" ht="15.75" customHeight="1">
      <c r="A1073" s="1">
        <f>IFERROR(__xludf.DUMMYFUNCTION("""COMPUTED_VALUE"""),45453.66666666667)</f>
        <v>45453.66667</v>
      </c>
      <c r="B1073" s="2">
        <f>IFERROR(__xludf.DUMMYFUNCTION("""COMPUTED_VALUE"""),1290.0)</f>
        <v>1290</v>
      </c>
      <c r="C1073" s="2">
        <f>IFERROR(__xludf.DUMMYFUNCTION("""COMPUTED_VALUE"""),1300.0)</f>
        <v>1300</v>
      </c>
      <c r="D1073" s="2">
        <f>IFERROR(__xludf.DUMMYFUNCTION("""COMPUTED_VALUE"""),1215.0)</f>
        <v>1215</v>
      </c>
      <c r="E1073" s="2">
        <f>IFERROR(__xludf.DUMMYFUNCTION("""COMPUTED_VALUE"""),1240.0)</f>
        <v>1240</v>
      </c>
      <c r="F1073" s="2">
        <f>IFERROR(__xludf.DUMMYFUNCTION("""COMPUTED_VALUE"""),9.80341E7)</f>
        <v>98034100</v>
      </c>
      <c r="G1073" s="2">
        <f t="shared" si="1"/>
        <v>85</v>
      </c>
    </row>
    <row r="1074" ht="15.75" customHeight="1">
      <c r="A1074" s="1">
        <f>IFERROR(__xludf.DUMMYFUNCTION("""COMPUTED_VALUE"""),45454.66666666667)</f>
        <v>45454.66667</v>
      </c>
      <c r="B1074" s="2">
        <f>IFERROR(__xludf.DUMMYFUNCTION("""COMPUTED_VALUE"""),1240.0)</f>
        <v>1240</v>
      </c>
      <c r="C1074" s="2">
        <f>IFERROR(__xludf.DUMMYFUNCTION("""COMPUTED_VALUE"""),1280.0)</f>
        <v>1280</v>
      </c>
      <c r="D1074" s="2">
        <f>IFERROR(__xludf.DUMMYFUNCTION("""COMPUTED_VALUE"""),1240.0)</f>
        <v>1240</v>
      </c>
      <c r="E1074" s="2">
        <f>IFERROR(__xludf.DUMMYFUNCTION("""COMPUTED_VALUE"""),1255.0)</f>
        <v>1255</v>
      </c>
      <c r="F1074" s="2">
        <f>IFERROR(__xludf.DUMMYFUNCTION("""COMPUTED_VALUE"""),6.40843E7)</f>
        <v>64084300</v>
      </c>
      <c r="G1074" s="2">
        <f t="shared" si="1"/>
        <v>40</v>
      </c>
    </row>
    <row r="1075" ht="15.75" customHeight="1">
      <c r="A1075" s="1">
        <f>IFERROR(__xludf.DUMMYFUNCTION("""COMPUTED_VALUE"""),45455.66666666667)</f>
        <v>45455.66667</v>
      </c>
      <c r="B1075" s="2">
        <f>IFERROR(__xludf.DUMMYFUNCTION("""COMPUTED_VALUE"""),1255.0)</f>
        <v>1255</v>
      </c>
      <c r="C1075" s="2">
        <f>IFERROR(__xludf.DUMMYFUNCTION("""COMPUTED_VALUE"""),1270.0)</f>
        <v>1270</v>
      </c>
      <c r="D1075" s="2">
        <f>IFERROR(__xludf.DUMMYFUNCTION("""COMPUTED_VALUE"""),1240.0)</f>
        <v>1240</v>
      </c>
      <c r="E1075" s="2">
        <f>IFERROR(__xludf.DUMMYFUNCTION("""COMPUTED_VALUE"""),1270.0)</f>
        <v>1270</v>
      </c>
      <c r="F1075" s="2">
        <f>IFERROR(__xludf.DUMMYFUNCTION("""COMPUTED_VALUE"""),3.59599E7)</f>
        <v>35959900</v>
      </c>
      <c r="G1075" s="2">
        <f t="shared" si="1"/>
        <v>30</v>
      </c>
    </row>
    <row r="1076" ht="15.75" customHeight="1">
      <c r="A1076" s="1">
        <f>IFERROR(__xludf.DUMMYFUNCTION("""COMPUTED_VALUE"""),45456.66666666667)</f>
        <v>45456.66667</v>
      </c>
      <c r="B1076" s="2">
        <f>IFERROR(__xludf.DUMMYFUNCTION("""COMPUTED_VALUE"""),1270.0)</f>
        <v>1270</v>
      </c>
      <c r="C1076" s="2">
        <f>IFERROR(__xludf.DUMMYFUNCTION("""COMPUTED_VALUE"""),1285.0)</f>
        <v>1285</v>
      </c>
      <c r="D1076" s="2">
        <f>IFERROR(__xludf.DUMMYFUNCTION("""COMPUTED_VALUE"""),1255.0)</f>
        <v>1255</v>
      </c>
      <c r="E1076" s="2">
        <f>IFERROR(__xludf.DUMMYFUNCTION("""COMPUTED_VALUE"""),1255.0)</f>
        <v>1255</v>
      </c>
      <c r="F1076" s="2">
        <f>IFERROR(__xludf.DUMMYFUNCTION("""COMPUTED_VALUE"""),4.0672E7)</f>
        <v>40672000</v>
      </c>
      <c r="G1076" s="2">
        <f t="shared" si="1"/>
        <v>30</v>
      </c>
    </row>
    <row r="1077" ht="15.75" customHeight="1">
      <c r="A1077" s="1">
        <f>IFERROR(__xludf.DUMMYFUNCTION("""COMPUTED_VALUE"""),45457.66666666667)</f>
        <v>45457.66667</v>
      </c>
      <c r="B1077" s="2">
        <f>IFERROR(__xludf.DUMMYFUNCTION("""COMPUTED_VALUE"""),1255.0)</f>
        <v>1255</v>
      </c>
      <c r="C1077" s="2">
        <f>IFERROR(__xludf.DUMMYFUNCTION("""COMPUTED_VALUE"""),1260.0)</f>
        <v>1260</v>
      </c>
      <c r="D1077" s="2">
        <f>IFERROR(__xludf.DUMMYFUNCTION("""COMPUTED_VALUE"""),1205.0)</f>
        <v>1205</v>
      </c>
      <c r="E1077" s="2">
        <f>IFERROR(__xludf.DUMMYFUNCTION("""COMPUTED_VALUE"""),1210.0)</f>
        <v>1210</v>
      </c>
      <c r="F1077" s="2">
        <f>IFERROR(__xludf.DUMMYFUNCTION("""COMPUTED_VALUE"""),4.89229E7)</f>
        <v>48922900</v>
      </c>
      <c r="G1077" s="2">
        <f t="shared" si="1"/>
        <v>55</v>
      </c>
    </row>
    <row r="1078" ht="15.75" customHeight="1">
      <c r="A1078" s="1">
        <f>IFERROR(__xludf.DUMMYFUNCTION("""COMPUTED_VALUE"""),45462.66666666667)</f>
        <v>45462.66667</v>
      </c>
      <c r="B1078" s="2">
        <f>IFERROR(__xludf.DUMMYFUNCTION("""COMPUTED_VALUE"""),1215.0)</f>
        <v>1215</v>
      </c>
      <c r="C1078" s="2">
        <f>IFERROR(__xludf.DUMMYFUNCTION("""COMPUTED_VALUE"""),1225.0)</f>
        <v>1225</v>
      </c>
      <c r="D1078" s="2">
        <f>IFERROR(__xludf.DUMMYFUNCTION("""COMPUTED_VALUE"""),1175.0)</f>
        <v>1175</v>
      </c>
      <c r="E1078" s="2">
        <f>IFERROR(__xludf.DUMMYFUNCTION("""COMPUTED_VALUE"""),1215.0)</f>
        <v>1215</v>
      </c>
      <c r="F1078" s="2">
        <f>IFERROR(__xludf.DUMMYFUNCTION("""COMPUTED_VALUE"""),3.6744E7)</f>
        <v>36744000</v>
      </c>
      <c r="G1078" s="2">
        <f t="shared" si="1"/>
        <v>50</v>
      </c>
    </row>
    <row r="1079" ht="15.75" customHeight="1">
      <c r="A1079" s="1">
        <f>IFERROR(__xludf.DUMMYFUNCTION("""COMPUTED_VALUE"""),45463.66666666667)</f>
        <v>45463.66667</v>
      </c>
      <c r="B1079" s="2">
        <f>IFERROR(__xludf.DUMMYFUNCTION("""COMPUTED_VALUE"""),1215.0)</f>
        <v>1215</v>
      </c>
      <c r="C1079" s="2">
        <f>IFERROR(__xludf.DUMMYFUNCTION("""COMPUTED_VALUE"""),1225.0)</f>
        <v>1225</v>
      </c>
      <c r="D1079" s="2">
        <f>IFERROR(__xludf.DUMMYFUNCTION("""COMPUTED_VALUE"""),1200.0)</f>
        <v>1200</v>
      </c>
      <c r="E1079" s="2">
        <f>IFERROR(__xludf.DUMMYFUNCTION("""COMPUTED_VALUE"""),1215.0)</f>
        <v>1215</v>
      </c>
      <c r="F1079" s="2">
        <f>IFERROR(__xludf.DUMMYFUNCTION("""COMPUTED_VALUE"""),3.34806E7)</f>
        <v>33480600</v>
      </c>
      <c r="G1079" s="2">
        <f t="shared" si="1"/>
        <v>25</v>
      </c>
    </row>
    <row r="1080" ht="15.75" customHeight="1">
      <c r="A1080" s="1">
        <f>IFERROR(__xludf.DUMMYFUNCTION("""COMPUTED_VALUE"""),45464.66666666667)</f>
        <v>45464.66667</v>
      </c>
      <c r="B1080" s="2">
        <f>IFERROR(__xludf.DUMMYFUNCTION("""COMPUTED_VALUE"""),1220.0)</f>
        <v>1220</v>
      </c>
      <c r="C1080" s="2">
        <f>IFERROR(__xludf.DUMMYFUNCTION("""COMPUTED_VALUE"""),1255.0)</f>
        <v>1255</v>
      </c>
      <c r="D1080" s="2">
        <f>IFERROR(__xludf.DUMMYFUNCTION("""COMPUTED_VALUE"""),1220.0)</f>
        <v>1220</v>
      </c>
      <c r="E1080" s="2">
        <f>IFERROR(__xludf.DUMMYFUNCTION("""COMPUTED_VALUE"""),1230.0)</f>
        <v>1230</v>
      </c>
      <c r="F1080" s="2">
        <f>IFERROR(__xludf.DUMMYFUNCTION("""COMPUTED_VALUE"""),5.57892E7)</f>
        <v>55789200</v>
      </c>
      <c r="G1080" s="2">
        <f t="shared" si="1"/>
        <v>40</v>
      </c>
    </row>
    <row r="1081" ht="15.75" customHeight="1">
      <c r="A1081" s="1">
        <f>IFERROR(__xludf.DUMMYFUNCTION("""COMPUTED_VALUE"""),45467.66666666667)</f>
        <v>45467.66667</v>
      </c>
      <c r="B1081" s="2">
        <f>IFERROR(__xludf.DUMMYFUNCTION("""COMPUTED_VALUE"""),1235.0)</f>
        <v>1235</v>
      </c>
      <c r="C1081" s="2">
        <f>IFERROR(__xludf.DUMMYFUNCTION("""COMPUTED_VALUE"""),1260.0)</f>
        <v>1260</v>
      </c>
      <c r="D1081" s="2">
        <f>IFERROR(__xludf.DUMMYFUNCTION("""COMPUTED_VALUE"""),1235.0)</f>
        <v>1235</v>
      </c>
      <c r="E1081" s="2">
        <f>IFERROR(__xludf.DUMMYFUNCTION("""COMPUTED_VALUE"""),1250.0)</f>
        <v>1250</v>
      </c>
      <c r="F1081" s="2">
        <f>IFERROR(__xludf.DUMMYFUNCTION("""COMPUTED_VALUE"""),2.25596E7)</f>
        <v>22559600</v>
      </c>
      <c r="G1081" s="2">
        <f t="shared" si="1"/>
        <v>30</v>
      </c>
    </row>
    <row r="1082" ht="15.75" customHeight="1">
      <c r="A1082" s="1">
        <f>IFERROR(__xludf.DUMMYFUNCTION("""COMPUTED_VALUE"""),45468.66666666667)</f>
        <v>45468.66667</v>
      </c>
      <c r="B1082" s="2">
        <f>IFERROR(__xludf.DUMMYFUNCTION("""COMPUTED_VALUE"""),1255.0)</f>
        <v>1255</v>
      </c>
      <c r="C1082" s="2">
        <f>IFERROR(__xludf.DUMMYFUNCTION("""COMPUTED_VALUE"""),1260.0)</f>
        <v>1260</v>
      </c>
      <c r="D1082" s="2">
        <f>IFERROR(__xludf.DUMMYFUNCTION("""COMPUTED_VALUE"""),1220.0)</f>
        <v>1220</v>
      </c>
      <c r="E1082" s="2">
        <f>IFERROR(__xludf.DUMMYFUNCTION("""COMPUTED_VALUE"""),1225.0)</f>
        <v>1225</v>
      </c>
      <c r="F1082" s="2">
        <f>IFERROR(__xludf.DUMMYFUNCTION("""COMPUTED_VALUE"""),2.96524E7)</f>
        <v>29652400</v>
      </c>
      <c r="G1082" s="2">
        <f t="shared" si="1"/>
        <v>40</v>
      </c>
    </row>
    <row r="1083" ht="15.75" customHeight="1">
      <c r="A1083" s="1">
        <f>IFERROR(__xludf.DUMMYFUNCTION("""COMPUTED_VALUE"""),45469.66666666667)</f>
        <v>45469.66667</v>
      </c>
      <c r="B1083" s="2">
        <f>IFERROR(__xludf.DUMMYFUNCTION("""COMPUTED_VALUE"""),1230.0)</f>
        <v>1230</v>
      </c>
      <c r="C1083" s="2">
        <f>IFERROR(__xludf.DUMMYFUNCTION("""COMPUTED_VALUE"""),1235.0)</f>
        <v>1235</v>
      </c>
      <c r="D1083" s="2">
        <f>IFERROR(__xludf.DUMMYFUNCTION("""COMPUTED_VALUE"""),1210.0)</f>
        <v>1210</v>
      </c>
      <c r="E1083" s="2">
        <f>IFERROR(__xludf.DUMMYFUNCTION("""COMPUTED_VALUE"""),1215.0)</f>
        <v>1215</v>
      </c>
      <c r="F1083" s="2">
        <f>IFERROR(__xludf.DUMMYFUNCTION("""COMPUTED_VALUE"""),2.96643E7)</f>
        <v>29664300</v>
      </c>
      <c r="G1083" s="2">
        <f t="shared" si="1"/>
        <v>25</v>
      </c>
    </row>
    <row r="1084" ht="15.75" customHeight="1">
      <c r="A1084" s="1">
        <f>IFERROR(__xludf.DUMMYFUNCTION("""COMPUTED_VALUE"""),45470.66666666667)</f>
        <v>45470.66667</v>
      </c>
      <c r="B1084" s="2">
        <f>IFERROR(__xludf.DUMMYFUNCTION("""COMPUTED_VALUE"""),1200.0)</f>
        <v>1200</v>
      </c>
      <c r="C1084" s="2">
        <f>IFERROR(__xludf.DUMMYFUNCTION("""COMPUTED_VALUE"""),1230.0)</f>
        <v>1230</v>
      </c>
      <c r="D1084" s="2">
        <f>IFERROR(__xludf.DUMMYFUNCTION("""COMPUTED_VALUE"""),1200.0)</f>
        <v>1200</v>
      </c>
      <c r="E1084" s="2">
        <f>IFERROR(__xludf.DUMMYFUNCTION("""COMPUTED_VALUE"""),1230.0)</f>
        <v>1230</v>
      </c>
      <c r="F1084" s="2">
        <f>IFERROR(__xludf.DUMMYFUNCTION("""COMPUTED_VALUE"""),2.42206E7)</f>
        <v>24220600</v>
      </c>
      <c r="G1084" s="2">
        <f t="shared" si="1"/>
        <v>30</v>
      </c>
    </row>
    <row r="1085" ht="15.75" customHeight="1">
      <c r="A1085" s="1">
        <f>IFERROR(__xludf.DUMMYFUNCTION("""COMPUTED_VALUE"""),45471.66666666667)</f>
        <v>45471.66667</v>
      </c>
      <c r="B1085" s="2">
        <f>IFERROR(__xludf.DUMMYFUNCTION("""COMPUTED_VALUE"""),1235.0)</f>
        <v>1235</v>
      </c>
      <c r="C1085" s="2">
        <f>IFERROR(__xludf.DUMMYFUNCTION("""COMPUTED_VALUE"""),1265.0)</f>
        <v>1265</v>
      </c>
      <c r="D1085" s="2">
        <f>IFERROR(__xludf.DUMMYFUNCTION("""COMPUTED_VALUE"""),1230.0)</f>
        <v>1230</v>
      </c>
      <c r="E1085" s="2">
        <f>IFERROR(__xludf.DUMMYFUNCTION("""COMPUTED_VALUE"""),1250.0)</f>
        <v>1250</v>
      </c>
      <c r="F1085" s="2">
        <f>IFERROR(__xludf.DUMMYFUNCTION("""COMPUTED_VALUE"""),5.49556E7)</f>
        <v>54955600</v>
      </c>
      <c r="G1085" s="2">
        <f t="shared" si="1"/>
        <v>35</v>
      </c>
    </row>
    <row r="1086" ht="15.75" customHeight="1">
      <c r="A1086" s="1">
        <f>IFERROR(__xludf.DUMMYFUNCTION("""COMPUTED_VALUE"""),45474.66666666667)</f>
        <v>45474.66667</v>
      </c>
      <c r="B1086" s="2">
        <f>IFERROR(__xludf.DUMMYFUNCTION("""COMPUTED_VALUE"""),1255.0)</f>
        <v>1255</v>
      </c>
      <c r="C1086" s="2">
        <f>IFERROR(__xludf.DUMMYFUNCTION("""COMPUTED_VALUE"""),1305.0)</f>
        <v>1305</v>
      </c>
      <c r="D1086" s="2">
        <f>IFERROR(__xludf.DUMMYFUNCTION("""COMPUTED_VALUE"""),1250.0)</f>
        <v>1250</v>
      </c>
      <c r="E1086" s="2">
        <f>IFERROR(__xludf.DUMMYFUNCTION("""COMPUTED_VALUE"""),1305.0)</f>
        <v>1305</v>
      </c>
      <c r="F1086" s="2">
        <f>IFERROR(__xludf.DUMMYFUNCTION("""COMPUTED_VALUE"""),6.93001E7)</f>
        <v>69300100</v>
      </c>
      <c r="G1086" s="2">
        <f t="shared" si="1"/>
        <v>55</v>
      </c>
    </row>
    <row r="1087" ht="15.75" customHeight="1">
      <c r="A1087" s="1">
        <f>IFERROR(__xludf.DUMMYFUNCTION("""COMPUTED_VALUE"""),45475.66666666667)</f>
        <v>45475.66667</v>
      </c>
      <c r="B1087" s="2">
        <f>IFERROR(__xludf.DUMMYFUNCTION("""COMPUTED_VALUE"""),1310.0)</f>
        <v>1310</v>
      </c>
      <c r="C1087" s="2">
        <f>IFERROR(__xludf.DUMMYFUNCTION("""COMPUTED_VALUE"""),1315.0)</f>
        <v>1315</v>
      </c>
      <c r="D1087" s="2">
        <f>IFERROR(__xludf.DUMMYFUNCTION("""COMPUTED_VALUE"""),1280.0)</f>
        <v>1280</v>
      </c>
      <c r="E1087" s="2">
        <f>IFERROR(__xludf.DUMMYFUNCTION("""COMPUTED_VALUE"""),1295.0)</f>
        <v>1295</v>
      </c>
      <c r="F1087" s="2">
        <f>IFERROR(__xludf.DUMMYFUNCTION("""COMPUTED_VALUE"""),5.84431E7)</f>
        <v>58443100</v>
      </c>
      <c r="G1087" s="2">
        <f t="shared" si="1"/>
        <v>35</v>
      </c>
    </row>
    <row r="1088" ht="15.75" customHeight="1">
      <c r="A1088" s="1">
        <f>IFERROR(__xludf.DUMMYFUNCTION("""COMPUTED_VALUE"""),45476.66666666667)</f>
        <v>45476.66667</v>
      </c>
      <c r="B1088" s="2">
        <f>IFERROR(__xludf.DUMMYFUNCTION("""COMPUTED_VALUE"""),1295.0)</f>
        <v>1295</v>
      </c>
      <c r="C1088" s="2">
        <f>IFERROR(__xludf.DUMMYFUNCTION("""COMPUTED_VALUE"""),1315.0)</f>
        <v>1315</v>
      </c>
      <c r="D1088" s="2">
        <f>IFERROR(__xludf.DUMMYFUNCTION("""COMPUTED_VALUE"""),1280.0)</f>
        <v>1280</v>
      </c>
      <c r="E1088" s="2">
        <f>IFERROR(__xludf.DUMMYFUNCTION("""COMPUTED_VALUE"""),1315.0)</f>
        <v>1315</v>
      </c>
      <c r="F1088" s="2">
        <f>IFERROR(__xludf.DUMMYFUNCTION("""COMPUTED_VALUE"""),4.00576E7)</f>
        <v>40057600</v>
      </c>
      <c r="G1088" s="2">
        <f t="shared" si="1"/>
        <v>35</v>
      </c>
    </row>
    <row r="1089" ht="15.75" customHeight="1">
      <c r="A1089" s="1">
        <f>IFERROR(__xludf.DUMMYFUNCTION("""COMPUTED_VALUE"""),45477.66666666667)</f>
        <v>45477.66667</v>
      </c>
      <c r="B1089" s="2">
        <f>IFERROR(__xludf.DUMMYFUNCTION("""COMPUTED_VALUE"""),1325.0)</f>
        <v>1325</v>
      </c>
      <c r="C1089" s="2">
        <f>IFERROR(__xludf.DUMMYFUNCTION("""COMPUTED_VALUE"""),1335.0)</f>
        <v>1335</v>
      </c>
      <c r="D1089" s="2">
        <f>IFERROR(__xludf.DUMMYFUNCTION("""COMPUTED_VALUE"""),1320.0)</f>
        <v>1320</v>
      </c>
      <c r="E1089" s="2">
        <f>IFERROR(__xludf.DUMMYFUNCTION("""COMPUTED_VALUE"""),1325.0)</f>
        <v>1325</v>
      </c>
      <c r="F1089" s="2">
        <f>IFERROR(__xludf.DUMMYFUNCTION("""COMPUTED_VALUE"""),4.60706E7)</f>
        <v>46070600</v>
      </c>
      <c r="G1089" s="2">
        <f t="shared" si="1"/>
        <v>20</v>
      </c>
    </row>
    <row r="1090" ht="15.75" customHeight="1">
      <c r="A1090" s="1">
        <f>IFERROR(__xludf.DUMMYFUNCTION("""COMPUTED_VALUE"""),45478.66666666667)</f>
        <v>45478.66667</v>
      </c>
      <c r="B1090" s="2">
        <f>IFERROR(__xludf.DUMMYFUNCTION("""COMPUTED_VALUE"""),1325.0)</f>
        <v>1325</v>
      </c>
      <c r="C1090" s="2">
        <f>IFERROR(__xludf.DUMMYFUNCTION("""COMPUTED_VALUE"""),1330.0)</f>
        <v>1330</v>
      </c>
      <c r="D1090" s="2">
        <f>IFERROR(__xludf.DUMMYFUNCTION("""COMPUTED_VALUE"""),1305.0)</f>
        <v>1305</v>
      </c>
      <c r="E1090" s="2">
        <f>IFERROR(__xludf.DUMMYFUNCTION("""COMPUTED_VALUE"""),1310.0)</f>
        <v>1310</v>
      </c>
      <c r="F1090" s="2">
        <f>IFERROR(__xludf.DUMMYFUNCTION("""COMPUTED_VALUE"""),2.19845E7)</f>
        <v>21984500</v>
      </c>
      <c r="G1090" s="2">
        <f t="shared" si="1"/>
        <v>25</v>
      </c>
    </row>
    <row r="1091" ht="15.75" customHeight="1">
      <c r="A1091" s="1">
        <f>IFERROR(__xludf.DUMMYFUNCTION("""COMPUTED_VALUE"""),45481.66666666667)</f>
        <v>45481.66667</v>
      </c>
      <c r="B1091" s="2">
        <f>IFERROR(__xludf.DUMMYFUNCTION("""COMPUTED_VALUE"""),1315.0)</f>
        <v>1315</v>
      </c>
      <c r="C1091" s="2">
        <f>IFERROR(__xludf.DUMMYFUNCTION("""COMPUTED_VALUE"""),1365.0)</f>
        <v>1365</v>
      </c>
      <c r="D1091" s="2">
        <f>IFERROR(__xludf.DUMMYFUNCTION("""COMPUTED_VALUE"""),1315.0)</f>
        <v>1315</v>
      </c>
      <c r="E1091" s="2">
        <f>IFERROR(__xludf.DUMMYFUNCTION("""COMPUTED_VALUE"""),1365.0)</f>
        <v>1365</v>
      </c>
      <c r="F1091" s="2">
        <f>IFERROR(__xludf.DUMMYFUNCTION("""COMPUTED_VALUE"""),6.1088E7)</f>
        <v>61088000</v>
      </c>
      <c r="G1091" s="2">
        <f t="shared" si="1"/>
        <v>55</v>
      </c>
    </row>
    <row r="1092" ht="15.75" customHeight="1">
      <c r="A1092" s="1">
        <f>IFERROR(__xludf.DUMMYFUNCTION("""COMPUTED_VALUE"""),45482.66666666667)</f>
        <v>45482.66667</v>
      </c>
      <c r="B1092" s="2">
        <f>IFERROR(__xludf.DUMMYFUNCTION("""COMPUTED_VALUE"""),1365.0)</f>
        <v>1365</v>
      </c>
      <c r="C1092" s="2">
        <f>IFERROR(__xludf.DUMMYFUNCTION("""COMPUTED_VALUE"""),1375.0)</f>
        <v>1375</v>
      </c>
      <c r="D1092" s="2">
        <f>IFERROR(__xludf.DUMMYFUNCTION("""COMPUTED_VALUE"""),1340.0)</f>
        <v>1340</v>
      </c>
      <c r="E1092" s="2">
        <f>IFERROR(__xludf.DUMMYFUNCTION("""COMPUTED_VALUE"""),1345.0)</f>
        <v>1345</v>
      </c>
      <c r="F1092" s="2">
        <f>IFERROR(__xludf.DUMMYFUNCTION("""COMPUTED_VALUE"""),3.98325E7)</f>
        <v>39832500</v>
      </c>
      <c r="G1092" s="2">
        <f t="shared" si="1"/>
        <v>35</v>
      </c>
    </row>
    <row r="1093" ht="15.75" customHeight="1">
      <c r="A1093" s="1">
        <f>IFERROR(__xludf.DUMMYFUNCTION("""COMPUTED_VALUE"""),45483.66666666667)</f>
        <v>45483.66667</v>
      </c>
      <c r="B1093" s="2">
        <f>IFERROR(__xludf.DUMMYFUNCTION("""COMPUTED_VALUE"""),1350.0)</f>
        <v>1350</v>
      </c>
      <c r="C1093" s="2">
        <f>IFERROR(__xludf.DUMMYFUNCTION("""COMPUTED_VALUE"""),1365.0)</f>
        <v>1365</v>
      </c>
      <c r="D1093" s="2">
        <f>IFERROR(__xludf.DUMMYFUNCTION("""COMPUTED_VALUE"""),1345.0)</f>
        <v>1345</v>
      </c>
      <c r="E1093" s="2">
        <f>IFERROR(__xludf.DUMMYFUNCTION("""COMPUTED_VALUE"""),1345.0)</f>
        <v>1345</v>
      </c>
      <c r="F1093" s="2">
        <f>IFERROR(__xludf.DUMMYFUNCTION("""COMPUTED_VALUE"""),2.5808E7)</f>
        <v>25808000</v>
      </c>
      <c r="G1093" s="2">
        <f t="shared" si="1"/>
        <v>20</v>
      </c>
    </row>
    <row r="1094" ht="15.75" customHeight="1">
      <c r="A1094" s="1">
        <f>IFERROR(__xludf.DUMMYFUNCTION("""COMPUTED_VALUE"""),45484.66666666667)</f>
        <v>45484.66667</v>
      </c>
      <c r="B1094" s="2">
        <f>IFERROR(__xludf.DUMMYFUNCTION("""COMPUTED_VALUE"""),1345.0)</f>
        <v>1345</v>
      </c>
      <c r="C1094" s="2">
        <f>IFERROR(__xludf.DUMMYFUNCTION("""COMPUTED_VALUE"""),1365.0)</f>
        <v>1365</v>
      </c>
      <c r="D1094" s="2">
        <f>IFERROR(__xludf.DUMMYFUNCTION("""COMPUTED_VALUE"""),1320.0)</f>
        <v>1320</v>
      </c>
      <c r="E1094" s="2">
        <f>IFERROR(__xludf.DUMMYFUNCTION("""COMPUTED_VALUE"""),1360.0)</f>
        <v>1360</v>
      </c>
      <c r="F1094" s="2">
        <f>IFERROR(__xludf.DUMMYFUNCTION("""COMPUTED_VALUE"""),3.65635E7)</f>
        <v>36563500</v>
      </c>
      <c r="G1094" s="2">
        <f t="shared" si="1"/>
        <v>45</v>
      </c>
    </row>
    <row r="1095" ht="15.75" customHeight="1">
      <c r="A1095" s="1">
        <f>IFERROR(__xludf.DUMMYFUNCTION("""COMPUTED_VALUE"""),45485.66666666667)</f>
        <v>45485.66667</v>
      </c>
      <c r="B1095" s="2">
        <f>IFERROR(__xludf.DUMMYFUNCTION("""COMPUTED_VALUE"""),1365.0)</f>
        <v>1365</v>
      </c>
      <c r="C1095" s="2">
        <f>IFERROR(__xludf.DUMMYFUNCTION("""COMPUTED_VALUE"""),1380.0)</f>
        <v>1380</v>
      </c>
      <c r="D1095" s="2">
        <f>IFERROR(__xludf.DUMMYFUNCTION("""COMPUTED_VALUE"""),1350.0)</f>
        <v>1350</v>
      </c>
      <c r="E1095" s="2">
        <f>IFERROR(__xludf.DUMMYFUNCTION("""COMPUTED_VALUE"""),1360.0)</f>
        <v>1360</v>
      </c>
      <c r="F1095" s="2">
        <f>IFERROR(__xludf.DUMMYFUNCTION("""COMPUTED_VALUE"""),3.4695E7)</f>
        <v>34695000</v>
      </c>
      <c r="G1095" s="2">
        <f t="shared" si="1"/>
        <v>30</v>
      </c>
    </row>
    <row r="1096" ht="15.75" customHeight="1">
      <c r="A1096" s="1">
        <f>IFERROR(__xludf.DUMMYFUNCTION("""COMPUTED_VALUE"""),45488.66666666667)</f>
        <v>45488.66667</v>
      </c>
      <c r="B1096" s="2">
        <f>IFERROR(__xludf.DUMMYFUNCTION("""COMPUTED_VALUE"""),1360.0)</f>
        <v>1360</v>
      </c>
      <c r="C1096" s="2">
        <f>IFERROR(__xludf.DUMMYFUNCTION("""COMPUTED_VALUE"""),1370.0)</f>
        <v>1370</v>
      </c>
      <c r="D1096" s="2">
        <f>IFERROR(__xludf.DUMMYFUNCTION("""COMPUTED_VALUE"""),1330.0)</f>
        <v>1330</v>
      </c>
      <c r="E1096" s="2">
        <f>IFERROR(__xludf.DUMMYFUNCTION("""COMPUTED_VALUE"""),1350.0)</f>
        <v>1350</v>
      </c>
      <c r="F1096" s="2">
        <f>IFERROR(__xludf.DUMMYFUNCTION("""COMPUTED_VALUE"""),2.7711E7)</f>
        <v>27711000</v>
      </c>
      <c r="G1096" s="2">
        <f t="shared" si="1"/>
        <v>40</v>
      </c>
    </row>
    <row r="1097" ht="15.75" customHeight="1">
      <c r="A1097" s="1">
        <f>IFERROR(__xludf.DUMMYFUNCTION("""COMPUTED_VALUE"""),45489.66666666667)</f>
        <v>45489.66667</v>
      </c>
      <c r="B1097" s="2">
        <f>IFERROR(__xludf.DUMMYFUNCTION("""COMPUTED_VALUE"""),1350.0)</f>
        <v>1350</v>
      </c>
      <c r="C1097" s="2">
        <f>IFERROR(__xludf.DUMMYFUNCTION("""COMPUTED_VALUE"""),1365.0)</f>
        <v>1365</v>
      </c>
      <c r="D1097" s="2">
        <f>IFERROR(__xludf.DUMMYFUNCTION("""COMPUTED_VALUE"""),1335.0)</f>
        <v>1335</v>
      </c>
      <c r="E1097" s="2">
        <f>IFERROR(__xludf.DUMMYFUNCTION("""COMPUTED_VALUE"""),1340.0)</f>
        <v>1340</v>
      </c>
      <c r="F1097" s="2">
        <f>IFERROR(__xludf.DUMMYFUNCTION("""COMPUTED_VALUE"""),3.03219E7)</f>
        <v>30321900</v>
      </c>
      <c r="G1097" s="2">
        <f t="shared" si="1"/>
        <v>30</v>
      </c>
    </row>
    <row r="1098" ht="15.75" customHeight="1">
      <c r="A1098" s="1">
        <f>IFERROR(__xludf.DUMMYFUNCTION("""COMPUTED_VALUE"""),45490.66666666667)</f>
        <v>45490.66667</v>
      </c>
      <c r="B1098" s="2">
        <f>IFERROR(__xludf.DUMMYFUNCTION("""COMPUTED_VALUE"""),1360.0)</f>
        <v>1360</v>
      </c>
      <c r="C1098" s="2">
        <f>IFERROR(__xludf.DUMMYFUNCTION("""COMPUTED_VALUE"""),1395.0)</f>
        <v>1395</v>
      </c>
      <c r="D1098" s="2">
        <f>IFERROR(__xludf.DUMMYFUNCTION("""COMPUTED_VALUE"""),1355.0)</f>
        <v>1355</v>
      </c>
      <c r="E1098" s="2">
        <f>IFERROR(__xludf.DUMMYFUNCTION("""COMPUTED_VALUE"""),1380.0)</f>
        <v>1380</v>
      </c>
      <c r="F1098" s="2">
        <f>IFERROR(__xludf.DUMMYFUNCTION("""COMPUTED_VALUE"""),6.50832E7)</f>
        <v>65083200</v>
      </c>
      <c r="G1098" s="2">
        <f t="shared" si="1"/>
        <v>55</v>
      </c>
    </row>
    <row r="1099" ht="15.75" customHeight="1">
      <c r="A1099" s="1">
        <f>IFERROR(__xludf.DUMMYFUNCTION("""COMPUTED_VALUE"""),45491.66666666667)</f>
        <v>45491.66667</v>
      </c>
      <c r="B1099" s="2">
        <f>IFERROR(__xludf.DUMMYFUNCTION("""COMPUTED_VALUE"""),1395.0)</f>
        <v>1395</v>
      </c>
      <c r="C1099" s="2">
        <f>IFERROR(__xludf.DUMMYFUNCTION("""COMPUTED_VALUE"""),1405.0)</f>
        <v>1405</v>
      </c>
      <c r="D1099" s="2">
        <f>IFERROR(__xludf.DUMMYFUNCTION("""COMPUTED_VALUE"""),1375.0)</f>
        <v>1375</v>
      </c>
      <c r="E1099" s="2">
        <f>IFERROR(__xludf.DUMMYFUNCTION("""COMPUTED_VALUE"""),1375.0)</f>
        <v>1375</v>
      </c>
      <c r="F1099" s="2">
        <f>IFERROR(__xludf.DUMMYFUNCTION("""COMPUTED_VALUE"""),5.3937E7)</f>
        <v>53937000</v>
      </c>
      <c r="G1099" s="2">
        <f t="shared" si="1"/>
        <v>30</v>
      </c>
    </row>
    <row r="1100" ht="15.75" customHeight="1">
      <c r="A1100" s="1">
        <f>IFERROR(__xludf.DUMMYFUNCTION("""COMPUTED_VALUE"""),45492.66666666667)</f>
        <v>45492.66667</v>
      </c>
      <c r="B1100" s="2">
        <f>IFERROR(__xludf.DUMMYFUNCTION("""COMPUTED_VALUE"""),1375.0)</f>
        <v>1375</v>
      </c>
      <c r="C1100" s="2">
        <f>IFERROR(__xludf.DUMMYFUNCTION("""COMPUTED_VALUE"""),1380.0)</f>
        <v>1380</v>
      </c>
      <c r="D1100" s="2">
        <f>IFERROR(__xludf.DUMMYFUNCTION("""COMPUTED_VALUE"""),1330.0)</f>
        <v>1330</v>
      </c>
      <c r="E1100" s="2">
        <f>IFERROR(__xludf.DUMMYFUNCTION("""COMPUTED_VALUE"""),1350.0)</f>
        <v>1350</v>
      </c>
      <c r="F1100" s="2">
        <f>IFERROR(__xludf.DUMMYFUNCTION("""COMPUTED_VALUE"""),6.02064E7)</f>
        <v>60206400</v>
      </c>
      <c r="G1100" s="2">
        <f t="shared" si="1"/>
        <v>50</v>
      </c>
    </row>
    <row r="1101" ht="15.75" customHeight="1">
      <c r="A1101" s="1">
        <f>IFERROR(__xludf.DUMMYFUNCTION("""COMPUTED_VALUE"""),45495.66666666667)</f>
        <v>45495.66667</v>
      </c>
      <c r="B1101" s="2">
        <f>IFERROR(__xludf.DUMMYFUNCTION("""COMPUTED_VALUE"""),1350.0)</f>
        <v>1350</v>
      </c>
      <c r="C1101" s="2">
        <f>IFERROR(__xludf.DUMMYFUNCTION("""COMPUTED_VALUE"""),1360.0)</f>
        <v>1360</v>
      </c>
      <c r="D1101" s="2">
        <f>IFERROR(__xludf.DUMMYFUNCTION("""COMPUTED_VALUE"""),1330.0)</f>
        <v>1330</v>
      </c>
      <c r="E1101" s="2">
        <f>IFERROR(__xludf.DUMMYFUNCTION("""COMPUTED_VALUE"""),1340.0)</f>
        <v>1340</v>
      </c>
      <c r="F1101" s="2">
        <f>IFERROR(__xludf.DUMMYFUNCTION("""COMPUTED_VALUE"""),3.58906E7)</f>
        <v>35890600</v>
      </c>
      <c r="G1101" s="2">
        <f t="shared" si="1"/>
        <v>30</v>
      </c>
    </row>
    <row r="1102" ht="15.75" customHeight="1">
      <c r="A1102" s="1">
        <f>IFERROR(__xludf.DUMMYFUNCTION("""COMPUTED_VALUE"""),45496.66666666667)</f>
        <v>45496.66667</v>
      </c>
      <c r="B1102" s="2">
        <f>IFERROR(__xludf.DUMMYFUNCTION("""COMPUTED_VALUE"""),1340.0)</f>
        <v>1340</v>
      </c>
      <c r="C1102" s="2">
        <f>IFERROR(__xludf.DUMMYFUNCTION("""COMPUTED_VALUE"""),1350.0)</f>
        <v>1350</v>
      </c>
      <c r="D1102" s="2">
        <f>IFERROR(__xludf.DUMMYFUNCTION("""COMPUTED_VALUE"""),1305.0)</f>
        <v>1305</v>
      </c>
      <c r="E1102" s="2">
        <f>IFERROR(__xludf.DUMMYFUNCTION("""COMPUTED_VALUE"""),1315.0)</f>
        <v>1315</v>
      </c>
      <c r="F1102" s="2">
        <f>IFERROR(__xludf.DUMMYFUNCTION("""COMPUTED_VALUE"""),4.89547E7)</f>
        <v>48954700</v>
      </c>
      <c r="G1102" s="2">
        <f t="shared" si="1"/>
        <v>45</v>
      </c>
    </row>
    <row r="1103" ht="15.75" customHeight="1">
      <c r="A1103" s="1">
        <f>IFERROR(__xludf.DUMMYFUNCTION("""COMPUTED_VALUE"""),45497.66666666667)</f>
        <v>45497.66667</v>
      </c>
      <c r="B1103" s="2">
        <f>IFERROR(__xludf.DUMMYFUNCTION("""COMPUTED_VALUE"""),1315.0)</f>
        <v>1315</v>
      </c>
      <c r="C1103" s="2">
        <f>IFERROR(__xludf.DUMMYFUNCTION("""COMPUTED_VALUE"""),1325.0)</f>
        <v>1325</v>
      </c>
      <c r="D1103" s="2">
        <f>IFERROR(__xludf.DUMMYFUNCTION("""COMPUTED_VALUE"""),1305.0)</f>
        <v>1305</v>
      </c>
      <c r="E1103" s="2">
        <f>IFERROR(__xludf.DUMMYFUNCTION("""COMPUTED_VALUE"""),1310.0)</f>
        <v>1310</v>
      </c>
      <c r="F1103" s="2">
        <f>IFERROR(__xludf.DUMMYFUNCTION("""COMPUTED_VALUE"""),2.82053E7)</f>
        <v>28205300</v>
      </c>
      <c r="G1103" s="2">
        <f t="shared" si="1"/>
        <v>20</v>
      </c>
    </row>
    <row r="1104" ht="15.75" customHeight="1">
      <c r="A1104" s="1">
        <f>IFERROR(__xludf.DUMMYFUNCTION("""COMPUTED_VALUE"""),45498.66666666667)</f>
        <v>45498.66667</v>
      </c>
      <c r="B1104" s="2">
        <f>IFERROR(__xludf.DUMMYFUNCTION("""COMPUTED_VALUE"""),1305.0)</f>
        <v>1305</v>
      </c>
      <c r="C1104" s="2">
        <f>IFERROR(__xludf.DUMMYFUNCTION("""COMPUTED_VALUE"""),1310.0)</f>
        <v>1310</v>
      </c>
      <c r="D1104" s="2">
        <f>IFERROR(__xludf.DUMMYFUNCTION("""COMPUTED_VALUE"""),1275.0)</f>
        <v>1275</v>
      </c>
      <c r="E1104" s="2">
        <f>IFERROR(__xludf.DUMMYFUNCTION("""COMPUTED_VALUE"""),1280.0)</f>
        <v>1280</v>
      </c>
      <c r="F1104" s="2">
        <f>IFERROR(__xludf.DUMMYFUNCTION("""COMPUTED_VALUE"""),4.47893E7)</f>
        <v>44789300</v>
      </c>
      <c r="G1104" s="2">
        <f t="shared" si="1"/>
        <v>35</v>
      </c>
    </row>
    <row r="1105" ht="15.75" customHeight="1">
      <c r="A1105" s="1">
        <f>IFERROR(__xludf.DUMMYFUNCTION("""COMPUTED_VALUE"""),45499.66666666667)</f>
        <v>45499.66667</v>
      </c>
      <c r="B1105" s="2">
        <f>IFERROR(__xludf.DUMMYFUNCTION("""COMPUTED_VALUE"""),1285.0)</f>
        <v>1285</v>
      </c>
      <c r="C1105" s="2">
        <f>IFERROR(__xludf.DUMMYFUNCTION("""COMPUTED_VALUE"""),1300.0)</f>
        <v>1300</v>
      </c>
      <c r="D1105" s="2">
        <f>IFERROR(__xludf.DUMMYFUNCTION("""COMPUTED_VALUE"""),1280.0)</f>
        <v>1280</v>
      </c>
      <c r="E1105" s="2">
        <f>IFERROR(__xludf.DUMMYFUNCTION("""COMPUTED_VALUE"""),1295.0)</f>
        <v>1295</v>
      </c>
      <c r="F1105" s="2">
        <f>IFERROR(__xludf.DUMMYFUNCTION("""COMPUTED_VALUE"""),3.37914E7)</f>
        <v>33791400</v>
      </c>
      <c r="G1105" s="2">
        <f t="shared" si="1"/>
        <v>20</v>
      </c>
    </row>
    <row r="1106" ht="15.75" customHeight="1">
      <c r="A1106" s="1">
        <f>IFERROR(__xludf.DUMMYFUNCTION("""COMPUTED_VALUE"""),45502.66666666667)</f>
        <v>45502.66667</v>
      </c>
      <c r="B1106" s="2">
        <f>IFERROR(__xludf.DUMMYFUNCTION("""COMPUTED_VALUE"""),1325.0)</f>
        <v>1325</v>
      </c>
      <c r="C1106" s="2">
        <f>IFERROR(__xludf.DUMMYFUNCTION("""COMPUTED_VALUE"""),1350.0)</f>
        <v>1350</v>
      </c>
      <c r="D1106" s="2">
        <f>IFERROR(__xludf.DUMMYFUNCTION("""COMPUTED_VALUE"""),1310.0)</f>
        <v>1310</v>
      </c>
      <c r="E1106" s="2">
        <f>IFERROR(__xludf.DUMMYFUNCTION("""COMPUTED_VALUE"""),1310.0)</f>
        <v>1310</v>
      </c>
      <c r="F1106" s="2">
        <f>IFERROR(__xludf.DUMMYFUNCTION("""COMPUTED_VALUE"""),6.25195E7)</f>
        <v>62519500</v>
      </c>
      <c r="G1106" s="2">
        <f t="shared" si="1"/>
        <v>55</v>
      </c>
    </row>
    <row r="1107" ht="15.75" customHeight="1">
      <c r="A1107" s="1">
        <f>IFERROR(__xludf.DUMMYFUNCTION("""COMPUTED_VALUE"""),45503.66666666667)</f>
        <v>45503.66667</v>
      </c>
      <c r="B1107" s="2">
        <f>IFERROR(__xludf.DUMMYFUNCTION("""COMPUTED_VALUE"""),1320.0)</f>
        <v>1320</v>
      </c>
      <c r="C1107" s="2">
        <f>IFERROR(__xludf.DUMMYFUNCTION("""COMPUTED_VALUE"""),1330.0)</f>
        <v>1330</v>
      </c>
      <c r="D1107" s="2">
        <f>IFERROR(__xludf.DUMMYFUNCTION("""COMPUTED_VALUE"""),1300.0)</f>
        <v>1300</v>
      </c>
      <c r="E1107" s="2">
        <f>IFERROR(__xludf.DUMMYFUNCTION("""COMPUTED_VALUE"""),1300.0)</f>
        <v>1300</v>
      </c>
      <c r="F1107" s="2">
        <f>IFERROR(__xludf.DUMMYFUNCTION("""COMPUTED_VALUE"""),3.05317E7)</f>
        <v>30531700</v>
      </c>
      <c r="G1107" s="2">
        <f t="shared" si="1"/>
        <v>30</v>
      </c>
    </row>
    <row r="1108" ht="15.75" customHeight="1">
      <c r="A1108" s="1">
        <f>IFERROR(__xludf.DUMMYFUNCTION("""COMPUTED_VALUE"""),45504.66666666667)</f>
        <v>45504.66667</v>
      </c>
      <c r="B1108" s="2">
        <f>IFERROR(__xludf.DUMMYFUNCTION("""COMPUTED_VALUE"""),1310.0)</f>
        <v>1310</v>
      </c>
      <c r="C1108" s="2">
        <f>IFERROR(__xludf.DUMMYFUNCTION("""COMPUTED_VALUE"""),1325.0)</f>
        <v>1325</v>
      </c>
      <c r="D1108" s="2">
        <f>IFERROR(__xludf.DUMMYFUNCTION("""COMPUTED_VALUE"""),1305.0)</f>
        <v>1305</v>
      </c>
      <c r="E1108" s="2">
        <f>IFERROR(__xludf.DUMMYFUNCTION("""COMPUTED_VALUE"""),1315.0)</f>
        <v>1315</v>
      </c>
      <c r="F1108" s="2">
        <f>IFERROR(__xludf.DUMMYFUNCTION("""COMPUTED_VALUE"""),3.48401E7)</f>
        <v>34840100</v>
      </c>
      <c r="G1108" s="2">
        <f t="shared" si="1"/>
        <v>25</v>
      </c>
    </row>
    <row r="1109" ht="15.75" customHeight="1">
      <c r="A1109" s="1">
        <f>IFERROR(__xludf.DUMMYFUNCTION("""COMPUTED_VALUE"""),45505.66666666667)</f>
        <v>45505.66667</v>
      </c>
      <c r="B1109" s="2">
        <f>IFERROR(__xludf.DUMMYFUNCTION("""COMPUTED_VALUE"""),1340.0)</f>
        <v>1340</v>
      </c>
      <c r="C1109" s="2">
        <f>IFERROR(__xludf.DUMMYFUNCTION("""COMPUTED_VALUE"""),1355.0)</f>
        <v>1355</v>
      </c>
      <c r="D1109" s="2">
        <f>IFERROR(__xludf.DUMMYFUNCTION("""COMPUTED_VALUE"""),1325.0)</f>
        <v>1325</v>
      </c>
      <c r="E1109" s="2">
        <f>IFERROR(__xludf.DUMMYFUNCTION("""COMPUTED_VALUE"""),1345.0)</f>
        <v>1345</v>
      </c>
      <c r="F1109" s="2">
        <f>IFERROR(__xludf.DUMMYFUNCTION("""COMPUTED_VALUE"""),5.45347E7)</f>
        <v>54534700</v>
      </c>
      <c r="G1109" s="2">
        <f t="shared" si="1"/>
        <v>40</v>
      </c>
    </row>
    <row r="1110" ht="15.75" customHeight="1">
      <c r="A1110" s="1">
        <f>IFERROR(__xludf.DUMMYFUNCTION("""COMPUTED_VALUE"""),45506.66666666667)</f>
        <v>45506.66667</v>
      </c>
      <c r="B1110" s="2">
        <f>IFERROR(__xludf.DUMMYFUNCTION("""COMPUTED_VALUE"""),1335.0)</f>
        <v>1335</v>
      </c>
      <c r="C1110" s="2">
        <f>IFERROR(__xludf.DUMMYFUNCTION("""COMPUTED_VALUE"""),1350.0)</f>
        <v>1350</v>
      </c>
      <c r="D1110" s="2">
        <f>IFERROR(__xludf.DUMMYFUNCTION("""COMPUTED_VALUE"""),1320.0)</f>
        <v>1320</v>
      </c>
      <c r="E1110" s="2">
        <f>IFERROR(__xludf.DUMMYFUNCTION("""COMPUTED_VALUE"""),1345.0)</f>
        <v>1345</v>
      </c>
      <c r="F1110" s="2">
        <f>IFERROR(__xludf.DUMMYFUNCTION("""COMPUTED_VALUE"""),3.22434E7)</f>
        <v>32243400</v>
      </c>
      <c r="G1110" s="2">
        <f t="shared" si="1"/>
        <v>30</v>
      </c>
    </row>
    <row r="1111" ht="15.75" customHeight="1">
      <c r="A1111" s="1">
        <f>IFERROR(__xludf.DUMMYFUNCTION("""COMPUTED_VALUE"""),45509.66666666667)</f>
        <v>45509.66667</v>
      </c>
      <c r="B1111" s="2">
        <f>IFERROR(__xludf.DUMMYFUNCTION("""COMPUTED_VALUE"""),1330.0)</f>
        <v>1330</v>
      </c>
      <c r="C1111" s="2">
        <f>IFERROR(__xludf.DUMMYFUNCTION("""COMPUTED_VALUE"""),1330.0)</f>
        <v>1330</v>
      </c>
      <c r="D1111" s="2">
        <f>IFERROR(__xludf.DUMMYFUNCTION("""COMPUTED_VALUE"""),1265.0)</f>
        <v>1265</v>
      </c>
      <c r="E1111" s="2">
        <f>IFERROR(__xludf.DUMMYFUNCTION("""COMPUTED_VALUE"""),1285.0)</f>
        <v>1285</v>
      </c>
      <c r="F1111" s="2">
        <f>IFERROR(__xludf.DUMMYFUNCTION("""COMPUTED_VALUE"""),6.5319E7)</f>
        <v>65319000</v>
      </c>
      <c r="G1111" s="2">
        <f t="shared" si="1"/>
        <v>80</v>
      </c>
    </row>
    <row r="1112" ht="15.75" customHeight="1">
      <c r="A1112" s="1">
        <f>IFERROR(__xludf.DUMMYFUNCTION("""COMPUTED_VALUE"""),45510.66666666667)</f>
        <v>45510.66667</v>
      </c>
      <c r="B1112" s="2">
        <f>IFERROR(__xludf.DUMMYFUNCTION("""COMPUTED_VALUE"""),1290.0)</f>
        <v>1290</v>
      </c>
      <c r="C1112" s="2">
        <f>IFERROR(__xludf.DUMMYFUNCTION("""COMPUTED_VALUE"""),1305.0)</f>
        <v>1305</v>
      </c>
      <c r="D1112" s="2">
        <f>IFERROR(__xludf.DUMMYFUNCTION("""COMPUTED_VALUE"""),1280.0)</f>
        <v>1280</v>
      </c>
      <c r="E1112" s="2">
        <f>IFERROR(__xludf.DUMMYFUNCTION("""COMPUTED_VALUE"""),1295.0)</f>
        <v>1295</v>
      </c>
      <c r="F1112" s="2">
        <f>IFERROR(__xludf.DUMMYFUNCTION("""COMPUTED_VALUE"""),2.79102E7)</f>
        <v>27910200</v>
      </c>
      <c r="G1112" s="2">
        <f t="shared" si="1"/>
        <v>25</v>
      </c>
    </row>
    <row r="1113" ht="15.75" customHeight="1">
      <c r="A1113" s="1">
        <f>IFERROR(__xludf.DUMMYFUNCTION("""COMPUTED_VALUE"""),45511.66666666667)</f>
        <v>45511.66667</v>
      </c>
      <c r="B1113" s="2">
        <f>IFERROR(__xludf.DUMMYFUNCTION("""COMPUTED_VALUE"""),1295.0)</f>
        <v>1295</v>
      </c>
      <c r="C1113" s="2">
        <f>IFERROR(__xludf.DUMMYFUNCTION("""COMPUTED_VALUE"""),1315.0)</f>
        <v>1315</v>
      </c>
      <c r="D1113" s="2">
        <f>IFERROR(__xludf.DUMMYFUNCTION("""COMPUTED_VALUE"""),1295.0)</f>
        <v>1295</v>
      </c>
      <c r="E1113" s="2">
        <f>IFERROR(__xludf.DUMMYFUNCTION("""COMPUTED_VALUE"""),1295.0)</f>
        <v>1295</v>
      </c>
      <c r="F1113" s="2">
        <f>IFERROR(__xludf.DUMMYFUNCTION("""COMPUTED_VALUE"""),2.06634E7)</f>
        <v>20663400</v>
      </c>
      <c r="G1113" s="2">
        <f t="shared" si="1"/>
        <v>20</v>
      </c>
    </row>
    <row r="1114" ht="15.75" customHeight="1">
      <c r="A1114" s="1">
        <f>IFERROR(__xludf.DUMMYFUNCTION("""COMPUTED_VALUE"""),45512.66666666667)</f>
        <v>45512.66667</v>
      </c>
      <c r="B1114" s="2">
        <f>IFERROR(__xludf.DUMMYFUNCTION("""COMPUTED_VALUE"""),1295.0)</f>
        <v>1295</v>
      </c>
      <c r="C1114" s="2">
        <f>IFERROR(__xludf.DUMMYFUNCTION("""COMPUTED_VALUE"""),1300.0)</f>
        <v>1300</v>
      </c>
      <c r="D1114" s="2">
        <f>IFERROR(__xludf.DUMMYFUNCTION("""COMPUTED_VALUE"""),1270.0)</f>
        <v>1270</v>
      </c>
      <c r="E1114" s="2">
        <f>IFERROR(__xludf.DUMMYFUNCTION("""COMPUTED_VALUE"""),1270.0)</f>
        <v>1270</v>
      </c>
      <c r="F1114" s="2">
        <f>IFERROR(__xludf.DUMMYFUNCTION("""COMPUTED_VALUE"""),4.68686E7)</f>
        <v>46868600</v>
      </c>
      <c r="G1114" s="2">
        <f t="shared" si="1"/>
        <v>30</v>
      </c>
    </row>
    <row r="1115" ht="15.75" customHeight="1">
      <c r="A1115" s="1">
        <f>IFERROR(__xludf.DUMMYFUNCTION("""COMPUTED_VALUE"""),45513.66666666667)</f>
        <v>45513.66667</v>
      </c>
      <c r="B1115" s="2">
        <f>IFERROR(__xludf.DUMMYFUNCTION("""COMPUTED_VALUE"""),1285.0)</f>
        <v>1285</v>
      </c>
      <c r="C1115" s="2">
        <f>IFERROR(__xludf.DUMMYFUNCTION("""COMPUTED_VALUE"""),1300.0)</f>
        <v>1300</v>
      </c>
      <c r="D1115" s="2">
        <f>IFERROR(__xludf.DUMMYFUNCTION("""COMPUTED_VALUE"""),1280.0)</f>
        <v>1280</v>
      </c>
      <c r="E1115" s="2">
        <f>IFERROR(__xludf.DUMMYFUNCTION("""COMPUTED_VALUE"""),1285.0)</f>
        <v>1285</v>
      </c>
      <c r="F1115" s="2">
        <f>IFERROR(__xludf.DUMMYFUNCTION("""COMPUTED_VALUE"""),2.63087E7)</f>
        <v>26308700</v>
      </c>
      <c r="G1115" s="2">
        <f t="shared" si="1"/>
        <v>30</v>
      </c>
    </row>
    <row r="1116" ht="15.75" customHeight="1">
      <c r="A1116" s="1">
        <f>IFERROR(__xludf.DUMMYFUNCTION("""COMPUTED_VALUE"""),45516.66666666667)</f>
        <v>45516.66667</v>
      </c>
      <c r="B1116" s="2">
        <f>IFERROR(__xludf.DUMMYFUNCTION("""COMPUTED_VALUE"""),1290.0)</f>
        <v>1290</v>
      </c>
      <c r="C1116" s="2">
        <f>IFERROR(__xludf.DUMMYFUNCTION("""COMPUTED_VALUE"""),1310.0)</f>
        <v>1310</v>
      </c>
      <c r="D1116" s="2">
        <f>IFERROR(__xludf.DUMMYFUNCTION("""COMPUTED_VALUE"""),1290.0)</f>
        <v>1290</v>
      </c>
      <c r="E1116" s="2">
        <f>IFERROR(__xludf.DUMMYFUNCTION("""COMPUTED_VALUE"""),1310.0)</f>
        <v>1310</v>
      </c>
      <c r="F1116" s="2">
        <f>IFERROR(__xludf.DUMMYFUNCTION("""COMPUTED_VALUE"""),3.80547E7)</f>
        <v>38054700</v>
      </c>
      <c r="G1116" s="2">
        <f t="shared" si="1"/>
        <v>25</v>
      </c>
    </row>
    <row r="1117" ht="15.75" customHeight="1">
      <c r="A1117" s="1">
        <f>IFERROR(__xludf.DUMMYFUNCTION("""COMPUTED_VALUE"""),45517.66666666667)</f>
        <v>45517.66667</v>
      </c>
      <c r="B1117" s="2">
        <f>IFERROR(__xludf.DUMMYFUNCTION("""COMPUTED_VALUE"""),1320.0)</f>
        <v>1320</v>
      </c>
      <c r="C1117" s="2">
        <f>IFERROR(__xludf.DUMMYFUNCTION("""COMPUTED_VALUE"""),1330.0)</f>
        <v>1330</v>
      </c>
      <c r="D1117" s="2">
        <f>IFERROR(__xludf.DUMMYFUNCTION("""COMPUTED_VALUE"""),1280.0)</f>
        <v>1280</v>
      </c>
      <c r="E1117" s="2">
        <f>IFERROR(__xludf.DUMMYFUNCTION("""COMPUTED_VALUE"""),1310.0)</f>
        <v>1310</v>
      </c>
      <c r="F1117" s="2">
        <f>IFERROR(__xludf.DUMMYFUNCTION("""COMPUTED_VALUE"""),1.099373E8)</f>
        <v>109937300</v>
      </c>
      <c r="G1117" s="2">
        <f t="shared" si="1"/>
        <v>50</v>
      </c>
    </row>
    <row r="1118" ht="15.75" customHeight="1">
      <c r="A1118" s="1">
        <f>IFERROR(__xludf.DUMMYFUNCTION("""COMPUTED_VALUE"""),45518.66666666667)</f>
        <v>45518.66667</v>
      </c>
      <c r="B1118" s="2">
        <f>IFERROR(__xludf.DUMMYFUNCTION("""COMPUTED_VALUE"""),1310.0)</f>
        <v>1310</v>
      </c>
      <c r="C1118" s="2">
        <f>IFERROR(__xludf.DUMMYFUNCTION("""COMPUTED_VALUE"""),1320.0)</f>
        <v>1320</v>
      </c>
      <c r="D1118" s="2">
        <f>IFERROR(__xludf.DUMMYFUNCTION("""COMPUTED_VALUE"""),1290.0)</f>
        <v>1290</v>
      </c>
      <c r="E1118" s="2">
        <f>IFERROR(__xludf.DUMMYFUNCTION("""COMPUTED_VALUE"""),1305.0)</f>
        <v>1305</v>
      </c>
      <c r="F1118" s="2">
        <f>IFERROR(__xludf.DUMMYFUNCTION("""COMPUTED_VALUE"""),4.69231E7)</f>
        <v>46923100</v>
      </c>
      <c r="G1118" s="2">
        <f t="shared" si="1"/>
        <v>30</v>
      </c>
    </row>
    <row r="1119" ht="15.75" customHeight="1">
      <c r="A1119" s="1">
        <f>IFERROR(__xludf.DUMMYFUNCTION("""COMPUTED_VALUE"""),45519.66666666667)</f>
        <v>45519.66667</v>
      </c>
      <c r="B1119" s="2">
        <f>IFERROR(__xludf.DUMMYFUNCTION("""COMPUTED_VALUE"""),1310.0)</f>
        <v>1310</v>
      </c>
      <c r="C1119" s="2">
        <f>IFERROR(__xludf.DUMMYFUNCTION("""COMPUTED_VALUE"""),1390.0)</f>
        <v>1390</v>
      </c>
      <c r="D1119" s="2">
        <f>IFERROR(__xludf.DUMMYFUNCTION("""COMPUTED_VALUE"""),1305.0)</f>
        <v>1305</v>
      </c>
      <c r="E1119" s="2">
        <f>IFERROR(__xludf.DUMMYFUNCTION("""COMPUTED_VALUE"""),1385.0)</f>
        <v>1385</v>
      </c>
      <c r="F1119" s="2">
        <f>IFERROR(__xludf.DUMMYFUNCTION("""COMPUTED_VALUE"""),1.770442E8)</f>
        <v>177044200</v>
      </c>
      <c r="G1119" s="2">
        <f t="shared" si="1"/>
        <v>85</v>
      </c>
    </row>
    <row r="1120" ht="15.75" customHeight="1">
      <c r="A1120" s="1">
        <f>IFERROR(__xludf.DUMMYFUNCTION("""COMPUTED_VALUE"""),45520.66666666667)</f>
        <v>45520.66667</v>
      </c>
      <c r="B1120" s="2">
        <f>IFERROR(__xludf.DUMMYFUNCTION("""COMPUTED_VALUE"""),1405.0)</f>
        <v>1405</v>
      </c>
      <c r="C1120" s="2">
        <f>IFERROR(__xludf.DUMMYFUNCTION("""COMPUTED_VALUE"""),1510.0)</f>
        <v>1510</v>
      </c>
      <c r="D1120" s="2">
        <f>IFERROR(__xludf.DUMMYFUNCTION("""COMPUTED_VALUE"""),1400.0)</f>
        <v>1400</v>
      </c>
      <c r="E1120" s="2">
        <f>IFERROR(__xludf.DUMMYFUNCTION("""COMPUTED_VALUE"""),1460.0)</f>
        <v>1460</v>
      </c>
      <c r="F1120" s="2">
        <f>IFERROR(__xludf.DUMMYFUNCTION("""COMPUTED_VALUE"""),3.775361E8)</f>
        <v>377536100</v>
      </c>
      <c r="G1120" s="2">
        <f t="shared" si="1"/>
        <v>125</v>
      </c>
    </row>
    <row r="1121" ht="15.75" customHeight="1">
      <c r="A1121" s="1">
        <f>IFERROR(__xludf.DUMMYFUNCTION("""COMPUTED_VALUE"""),45523.66666666667)</f>
        <v>45523.66667</v>
      </c>
      <c r="B1121" s="2">
        <f>IFERROR(__xludf.DUMMYFUNCTION("""COMPUTED_VALUE"""),1475.0)</f>
        <v>1475</v>
      </c>
      <c r="C1121" s="2">
        <f>IFERROR(__xludf.DUMMYFUNCTION("""COMPUTED_VALUE"""),1510.0)</f>
        <v>1510</v>
      </c>
      <c r="D1121" s="2">
        <f>IFERROR(__xludf.DUMMYFUNCTION("""COMPUTED_VALUE"""),1460.0)</f>
        <v>1460</v>
      </c>
      <c r="E1121" s="2">
        <f>IFERROR(__xludf.DUMMYFUNCTION("""COMPUTED_VALUE"""),1470.0)</f>
        <v>1470</v>
      </c>
      <c r="F1121" s="2">
        <f>IFERROR(__xludf.DUMMYFUNCTION("""COMPUTED_VALUE"""),1.796001E8)</f>
        <v>179600100</v>
      </c>
      <c r="G1121" s="2">
        <f t="shared" si="1"/>
        <v>50</v>
      </c>
    </row>
    <row r="1122" ht="15.75" customHeight="1">
      <c r="A1122" s="1">
        <f>IFERROR(__xludf.DUMMYFUNCTION("""COMPUTED_VALUE"""),45524.66666666667)</f>
        <v>45524.66667</v>
      </c>
      <c r="B1122" s="2">
        <f>IFERROR(__xludf.DUMMYFUNCTION("""COMPUTED_VALUE"""),1480.0)</f>
        <v>1480</v>
      </c>
      <c r="C1122" s="2">
        <f>IFERROR(__xludf.DUMMYFUNCTION("""COMPUTED_VALUE"""),1495.0)</f>
        <v>1495</v>
      </c>
      <c r="D1122" s="2">
        <f>IFERROR(__xludf.DUMMYFUNCTION("""COMPUTED_VALUE"""),1455.0)</f>
        <v>1455</v>
      </c>
      <c r="E1122" s="2">
        <f>IFERROR(__xludf.DUMMYFUNCTION("""COMPUTED_VALUE"""),1475.0)</f>
        <v>1475</v>
      </c>
      <c r="F1122" s="2">
        <f>IFERROR(__xludf.DUMMYFUNCTION("""COMPUTED_VALUE"""),8.84289E7)</f>
        <v>88428900</v>
      </c>
      <c r="G1122" s="2">
        <f t="shared" si="1"/>
        <v>40</v>
      </c>
    </row>
    <row r="1123" ht="15.75" customHeight="1">
      <c r="A1123" s="1">
        <f>IFERROR(__xludf.DUMMYFUNCTION("""COMPUTED_VALUE"""),45525.66666666667)</f>
        <v>45525.66667</v>
      </c>
      <c r="B1123" s="2">
        <f>IFERROR(__xludf.DUMMYFUNCTION("""COMPUTED_VALUE"""),1485.0)</f>
        <v>1485</v>
      </c>
      <c r="C1123" s="2">
        <f>IFERROR(__xludf.DUMMYFUNCTION("""COMPUTED_VALUE"""),1525.0)</f>
        <v>1525</v>
      </c>
      <c r="D1123" s="2">
        <f>IFERROR(__xludf.DUMMYFUNCTION("""COMPUTED_VALUE"""),1465.0)</f>
        <v>1465</v>
      </c>
      <c r="E1123" s="2">
        <f>IFERROR(__xludf.DUMMYFUNCTION("""COMPUTED_VALUE"""),1470.0)</f>
        <v>1470</v>
      </c>
      <c r="F1123" s="2">
        <f>IFERROR(__xludf.DUMMYFUNCTION("""COMPUTED_VALUE"""),1.332252E8)</f>
        <v>133225200</v>
      </c>
      <c r="G1123" s="2">
        <f t="shared" si="1"/>
        <v>60</v>
      </c>
    </row>
    <row r="1124" ht="15.75" customHeight="1">
      <c r="A1124" s="1">
        <f>IFERROR(__xludf.DUMMYFUNCTION("""COMPUTED_VALUE"""),45526.66666666667)</f>
        <v>45526.66667</v>
      </c>
      <c r="B1124" s="2">
        <f>IFERROR(__xludf.DUMMYFUNCTION("""COMPUTED_VALUE"""),1470.0)</f>
        <v>1470</v>
      </c>
      <c r="C1124" s="2">
        <f>IFERROR(__xludf.DUMMYFUNCTION("""COMPUTED_VALUE"""),1475.0)</f>
        <v>1475</v>
      </c>
      <c r="D1124" s="2">
        <f>IFERROR(__xludf.DUMMYFUNCTION("""COMPUTED_VALUE"""),1430.0)</f>
        <v>1430</v>
      </c>
      <c r="E1124" s="2">
        <f>IFERROR(__xludf.DUMMYFUNCTION("""COMPUTED_VALUE"""),1440.0)</f>
        <v>1440</v>
      </c>
      <c r="F1124" s="2">
        <f>IFERROR(__xludf.DUMMYFUNCTION("""COMPUTED_VALUE"""),7.36345E7)</f>
        <v>73634500</v>
      </c>
      <c r="G1124" s="2">
        <f t="shared" si="1"/>
        <v>45</v>
      </c>
    </row>
    <row r="1125" ht="15.75" customHeight="1">
      <c r="A1125" s="1">
        <f>IFERROR(__xludf.DUMMYFUNCTION("""COMPUTED_VALUE"""),45527.66666666667)</f>
        <v>45527.66667</v>
      </c>
      <c r="B1125" s="2">
        <f>IFERROR(__xludf.DUMMYFUNCTION("""COMPUTED_VALUE"""),1445.0)</f>
        <v>1445</v>
      </c>
      <c r="C1125" s="2">
        <f>IFERROR(__xludf.DUMMYFUNCTION("""COMPUTED_VALUE"""),1465.0)</f>
        <v>1465</v>
      </c>
      <c r="D1125" s="2">
        <f>IFERROR(__xludf.DUMMYFUNCTION("""COMPUTED_VALUE"""),1445.0)</f>
        <v>1445</v>
      </c>
      <c r="E1125" s="2">
        <f>IFERROR(__xludf.DUMMYFUNCTION("""COMPUTED_VALUE"""),1450.0)</f>
        <v>1450</v>
      </c>
      <c r="F1125" s="2">
        <f>IFERROR(__xludf.DUMMYFUNCTION("""COMPUTED_VALUE"""),4.58141E7)</f>
        <v>45814100</v>
      </c>
      <c r="G1125" s="2">
        <f t="shared" si="1"/>
        <v>25</v>
      </c>
    </row>
    <row r="1126" ht="15.75" customHeight="1">
      <c r="A1126" s="1">
        <f>IFERROR(__xludf.DUMMYFUNCTION("""COMPUTED_VALUE"""),45530.66666666667)</f>
        <v>45530.66667</v>
      </c>
      <c r="B1126" s="2">
        <f>IFERROR(__xludf.DUMMYFUNCTION("""COMPUTED_VALUE"""),1460.0)</f>
        <v>1460</v>
      </c>
      <c r="C1126" s="2">
        <f>IFERROR(__xludf.DUMMYFUNCTION("""COMPUTED_VALUE"""),1480.0)</f>
        <v>1480</v>
      </c>
      <c r="D1126" s="2">
        <f>IFERROR(__xludf.DUMMYFUNCTION("""COMPUTED_VALUE"""),1450.0)</f>
        <v>1450</v>
      </c>
      <c r="E1126" s="2">
        <f>IFERROR(__xludf.DUMMYFUNCTION("""COMPUTED_VALUE"""),1480.0)</f>
        <v>1480</v>
      </c>
      <c r="F1126" s="2">
        <f>IFERROR(__xludf.DUMMYFUNCTION("""COMPUTED_VALUE"""),7.50229E7)</f>
        <v>75022900</v>
      </c>
      <c r="G1126" s="2">
        <f t="shared" si="1"/>
        <v>30</v>
      </c>
    </row>
    <row r="1127" ht="15.75" customHeight="1">
      <c r="A1127" s="1">
        <f>IFERROR(__xludf.DUMMYFUNCTION("""COMPUTED_VALUE"""),45531.66666666667)</f>
        <v>45531.66667</v>
      </c>
      <c r="B1127" s="2">
        <f>IFERROR(__xludf.DUMMYFUNCTION("""COMPUTED_VALUE"""),1480.0)</f>
        <v>1480</v>
      </c>
      <c r="C1127" s="2">
        <f>IFERROR(__xludf.DUMMYFUNCTION("""COMPUTED_VALUE"""),1485.0)</f>
        <v>1485</v>
      </c>
      <c r="D1127" s="2">
        <f>IFERROR(__xludf.DUMMYFUNCTION("""COMPUTED_VALUE"""),1450.0)</f>
        <v>1450</v>
      </c>
      <c r="E1127" s="2">
        <f>IFERROR(__xludf.DUMMYFUNCTION("""COMPUTED_VALUE"""),1470.0)</f>
        <v>1470</v>
      </c>
      <c r="F1127" s="2">
        <f>IFERROR(__xludf.DUMMYFUNCTION("""COMPUTED_VALUE"""),3.76907E7)</f>
        <v>37690700</v>
      </c>
      <c r="G1127" s="2">
        <f t="shared" si="1"/>
        <v>35</v>
      </c>
    </row>
    <row r="1128" ht="15.75" customHeight="1">
      <c r="A1128" s="1">
        <f>IFERROR(__xludf.DUMMYFUNCTION("""COMPUTED_VALUE"""),45532.66666666667)</f>
        <v>45532.66667</v>
      </c>
      <c r="B1128" s="2">
        <f>IFERROR(__xludf.DUMMYFUNCTION("""COMPUTED_VALUE"""),1480.0)</f>
        <v>1480</v>
      </c>
      <c r="C1128" s="2">
        <f>IFERROR(__xludf.DUMMYFUNCTION("""COMPUTED_VALUE"""),1485.0)</f>
        <v>1485</v>
      </c>
      <c r="D1128" s="2">
        <f>IFERROR(__xludf.DUMMYFUNCTION("""COMPUTED_VALUE"""),1450.0)</f>
        <v>1450</v>
      </c>
      <c r="E1128" s="2">
        <f>IFERROR(__xludf.DUMMYFUNCTION("""COMPUTED_VALUE"""),1450.0)</f>
        <v>1450</v>
      </c>
      <c r="F1128" s="2">
        <f>IFERROR(__xludf.DUMMYFUNCTION("""COMPUTED_VALUE"""),4.1278E7)</f>
        <v>41278000</v>
      </c>
      <c r="G1128" s="2">
        <f t="shared" si="1"/>
        <v>35</v>
      </c>
    </row>
    <row r="1129" ht="15.75" customHeight="1">
      <c r="A1129" s="1">
        <f>IFERROR(__xludf.DUMMYFUNCTION("""COMPUTED_VALUE"""),45533.66666666667)</f>
        <v>45533.66667</v>
      </c>
      <c r="B1129" s="2">
        <f>IFERROR(__xludf.DUMMYFUNCTION("""COMPUTED_VALUE"""),1450.0)</f>
        <v>1450</v>
      </c>
      <c r="C1129" s="2">
        <f>IFERROR(__xludf.DUMMYFUNCTION("""COMPUTED_VALUE"""),1455.0)</f>
        <v>1455</v>
      </c>
      <c r="D1129" s="2">
        <f>IFERROR(__xludf.DUMMYFUNCTION("""COMPUTED_VALUE"""),1400.0)</f>
        <v>1400</v>
      </c>
      <c r="E1129" s="2">
        <f>IFERROR(__xludf.DUMMYFUNCTION("""COMPUTED_VALUE"""),1410.0)</f>
        <v>1410</v>
      </c>
      <c r="F1129" s="2">
        <f>IFERROR(__xludf.DUMMYFUNCTION("""COMPUTED_VALUE"""),1.110569E8)</f>
        <v>111056900</v>
      </c>
      <c r="G1129" s="2">
        <f t="shared" si="1"/>
        <v>55</v>
      </c>
    </row>
    <row r="1130" ht="15.75" customHeight="1">
      <c r="A1130" s="1">
        <f>IFERROR(__xludf.DUMMYFUNCTION("""COMPUTED_VALUE"""),45534.66666666667)</f>
        <v>45534.66667</v>
      </c>
      <c r="B1130" s="2">
        <f>IFERROR(__xludf.DUMMYFUNCTION("""COMPUTED_VALUE"""),1415.0)</f>
        <v>1415</v>
      </c>
      <c r="C1130" s="2">
        <f>IFERROR(__xludf.DUMMYFUNCTION("""COMPUTED_VALUE"""),1420.0)</f>
        <v>1420</v>
      </c>
      <c r="D1130" s="2">
        <f>IFERROR(__xludf.DUMMYFUNCTION("""COMPUTED_VALUE"""),1390.0)</f>
        <v>1390</v>
      </c>
      <c r="E1130" s="2">
        <f>IFERROR(__xludf.DUMMYFUNCTION("""COMPUTED_VALUE"""),1390.0)</f>
        <v>1390</v>
      </c>
      <c r="F1130" s="2">
        <f>IFERROR(__xludf.DUMMYFUNCTION("""COMPUTED_VALUE"""),7.640703E8)</f>
        <v>764070300</v>
      </c>
      <c r="G1130" s="2">
        <f t="shared" si="1"/>
        <v>30</v>
      </c>
    </row>
    <row r="1131" ht="15.75" customHeight="1">
      <c r="A1131" s="1">
        <f>IFERROR(__xludf.DUMMYFUNCTION("""COMPUTED_VALUE"""),45537.66666666667)</f>
        <v>45537.66667</v>
      </c>
      <c r="B1131" s="2">
        <f>IFERROR(__xludf.DUMMYFUNCTION("""COMPUTED_VALUE"""),1400.0)</f>
        <v>1400</v>
      </c>
      <c r="C1131" s="2">
        <f>IFERROR(__xludf.DUMMYFUNCTION("""COMPUTED_VALUE"""),1415.0)</f>
        <v>1415</v>
      </c>
      <c r="D1131" s="2">
        <f>IFERROR(__xludf.DUMMYFUNCTION("""COMPUTED_VALUE"""),1385.0)</f>
        <v>1385</v>
      </c>
      <c r="E1131" s="2">
        <f>IFERROR(__xludf.DUMMYFUNCTION("""COMPUTED_VALUE"""),1395.0)</f>
        <v>1395</v>
      </c>
      <c r="F1131" s="2">
        <f>IFERROR(__xludf.DUMMYFUNCTION("""COMPUTED_VALUE"""),1.169372E8)</f>
        <v>116937200</v>
      </c>
      <c r="G1131" s="2">
        <f t="shared" si="1"/>
        <v>30</v>
      </c>
    </row>
    <row r="1132" ht="15.75" customHeight="1">
      <c r="A1132" s="1">
        <f>IFERROR(__xludf.DUMMYFUNCTION("""COMPUTED_VALUE"""),45538.66666666667)</f>
        <v>45538.66667</v>
      </c>
      <c r="B1132" s="2">
        <f>IFERROR(__xludf.DUMMYFUNCTION("""COMPUTED_VALUE"""),1400.0)</f>
        <v>1400</v>
      </c>
      <c r="C1132" s="2">
        <f>IFERROR(__xludf.DUMMYFUNCTION("""COMPUTED_VALUE"""),1405.0)</f>
        <v>1405</v>
      </c>
      <c r="D1132" s="2">
        <f>IFERROR(__xludf.DUMMYFUNCTION("""COMPUTED_VALUE"""),1365.0)</f>
        <v>1365</v>
      </c>
      <c r="E1132" s="2">
        <f>IFERROR(__xludf.DUMMYFUNCTION("""COMPUTED_VALUE"""),1370.0)</f>
        <v>1370</v>
      </c>
      <c r="F1132" s="2">
        <f>IFERROR(__xludf.DUMMYFUNCTION("""COMPUTED_VALUE"""),8.76185E7)</f>
        <v>87618500</v>
      </c>
      <c r="G1132" s="2">
        <f t="shared" si="1"/>
        <v>40</v>
      </c>
    </row>
    <row r="1133" ht="15.75" customHeight="1">
      <c r="A1133" s="1">
        <f>IFERROR(__xludf.DUMMYFUNCTION("""COMPUTED_VALUE"""),45539.66666666667)</f>
        <v>45539.66667</v>
      </c>
      <c r="B1133" s="2">
        <f>IFERROR(__xludf.DUMMYFUNCTION("""COMPUTED_VALUE"""),1350.0)</f>
        <v>1350</v>
      </c>
      <c r="C1133" s="2">
        <f>IFERROR(__xludf.DUMMYFUNCTION("""COMPUTED_VALUE"""),1370.0)</f>
        <v>1370</v>
      </c>
      <c r="D1133" s="2">
        <f>IFERROR(__xludf.DUMMYFUNCTION("""COMPUTED_VALUE"""),1340.0)</f>
        <v>1340</v>
      </c>
      <c r="E1133" s="2">
        <f>IFERROR(__xludf.DUMMYFUNCTION("""COMPUTED_VALUE"""),1345.0)</f>
        <v>1345</v>
      </c>
      <c r="F1133" s="2">
        <f>IFERROR(__xludf.DUMMYFUNCTION("""COMPUTED_VALUE"""),9.88709E7)</f>
        <v>98870900</v>
      </c>
      <c r="G1133" s="2">
        <f t="shared" si="1"/>
        <v>30</v>
      </c>
    </row>
    <row r="1134" ht="15.75" customHeight="1">
      <c r="A1134" s="1">
        <f>IFERROR(__xludf.DUMMYFUNCTION("""COMPUTED_VALUE"""),45540.66666666667)</f>
        <v>45540.66667</v>
      </c>
      <c r="B1134" s="2">
        <f>IFERROR(__xludf.DUMMYFUNCTION("""COMPUTED_VALUE"""),1350.0)</f>
        <v>1350</v>
      </c>
      <c r="C1134" s="2">
        <f>IFERROR(__xludf.DUMMYFUNCTION("""COMPUTED_VALUE"""),1370.0)</f>
        <v>1370</v>
      </c>
      <c r="D1134" s="2">
        <f>IFERROR(__xludf.DUMMYFUNCTION("""COMPUTED_VALUE"""),1330.0)</f>
        <v>1330</v>
      </c>
      <c r="E1134" s="2">
        <f>IFERROR(__xludf.DUMMYFUNCTION("""COMPUTED_VALUE"""),1345.0)</f>
        <v>1345</v>
      </c>
      <c r="F1134" s="2">
        <f>IFERROR(__xludf.DUMMYFUNCTION("""COMPUTED_VALUE"""),1.062453E8)</f>
        <v>106245300</v>
      </c>
      <c r="G1134" s="2">
        <f t="shared" si="1"/>
        <v>40</v>
      </c>
    </row>
    <row r="1135" ht="15.75" customHeight="1">
      <c r="A1135" s="1">
        <f>IFERROR(__xludf.DUMMYFUNCTION("""COMPUTED_VALUE"""),45541.66666666667)</f>
        <v>45541.66667</v>
      </c>
      <c r="B1135" s="2">
        <f>IFERROR(__xludf.DUMMYFUNCTION("""COMPUTED_VALUE"""),1345.0)</f>
        <v>1345</v>
      </c>
      <c r="C1135" s="2">
        <f>IFERROR(__xludf.DUMMYFUNCTION("""COMPUTED_VALUE"""),1360.0)</f>
        <v>1360</v>
      </c>
      <c r="D1135" s="2">
        <f>IFERROR(__xludf.DUMMYFUNCTION("""COMPUTED_VALUE"""),1330.0)</f>
        <v>1330</v>
      </c>
      <c r="E1135" s="2">
        <f>IFERROR(__xludf.DUMMYFUNCTION("""COMPUTED_VALUE"""),1335.0)</f>
        <v>1335</v>
      </c>
      <c r="F1135" s="2">
        <f>IFERROR(__xludf.DUMMYFUNCTION("""COMPUTED_VALUE"""),7.7347E7)</f>
        <v>77347000</v>
      </c>
      <c r="G1135" s="2">
        <f t="shared" si="1"/>
        <v>30</v>
      </c>
    </row>
    <row r="1136" ht="15.75" customHeight="1">
      <c r="A1136" s="1">
        <f>IFERROR(__xludf.DUMMYFUNCTION("""COMPUTED_VALUE"""),45544.66666666667)</f>
        <v>45544.66667</v>
      </c>
      <c r="B1136" s="2">
        <f>IFERROR(__xludf.DUMMYFUNCTION("""COMPUTED_VALUE"""),1335.0)</f>
        <v>1335</v>
      </c>
      <c r="C1136" s="2">
        <f>IFERROR(__xludf.DUMMYFUNCTION("""COMPUTED_VALUE"""),1340.0)</f>
        <v>1340</v>
      </c>
      <c r="D1136" s="2">
        <f>IFERROR(__xludf.DUMMYFUNCTION("""COMPUTED_VALUE"""),1305.0)</f>
        <v>1305</v>
      </c>
      <c r="E1136" s="2">
        <f>IFERROR(__xludf.DUMMYFUNCTION("""COMPUTED_VALUE"""),1320.0)</f>
        <v>1320</v>
      </c>
      <c r="F1136" s="2">
        <f>IFERROR(__xludf.DUMMYFUNCTION("""COMPUTED_VALUE"""),9.25728E7)</f>
        <v>92572800</v>
      </c>
      <c r="G1136" s="2">
        <f t="shared" si="1"/>
        <v>35</v>
      </c>
    </row>
    <row r="1137" ht="15.75" customHeight="1">
      <c r="A1137" s="1">
        <f>IFERROR(__xludf.DUMMYFUNCTION("""COMPUTED_VALUE"""),45545.66666666667)</f>
        <v>45545.66667</v>
      </c>
      <c r="B1137" s="2">
        <f>IFERROR(__xludf.DUMMYFUNCTION("""COMPUTED_VALUE"""),1320.0)</f>
        <v>1320</v>
      </c>
      <c r="C1137" s="2">
        <f>IFERROR(__xludf.DUMMYFUNCTION("""COMPUTED_VALUE"""),1335.0)</f>
        <v>1335</v>
      </c>
      <c r="D1137" s="2">
        <f>IFERROR(__xludf.DUMMYFUNCTION("""COMPUTED_VALUE"""),1305.0)</f>
        <v>1305</v>
      </c>
      <c r="E1137" s="2">
        <f>IFERROR(__xludf.DUMMYFUNCTION("""COMPUTED_VALUE"""),1320.0)</f>
        <v>1320</v>
      </c>
      <c r="F1137" s="2">
        <f>IFERROR(__xludf.DUMMYFUNCTION("""COMPUTED_VALUE"""),6.14698E7)</f>
        <v>61469800</v>
      </c>
      <c r="G1137" s="2">
        <f t="shared" si="1"/>
        <v>30</v>
      </c>
    </row>
    <row r="1138" ht="15.75" customHeight="1">
      <c r="A1138" s="1">
        <f>IFERROR(__xludf.DUMMYFUNCTION("""COMPUTED_VALUE"""),45546.66666666667)</f>
        <v>45546.66667</v>
      </c>
      <c r="B1138" s="2">
        <f>IFERROR(__xludf.DUMMYFUNCTION("""COMPUTED_VALUE"""),1320.0)</f>
        <v>1320</v>
      </c>
      <c r="C1138" s="2">
        <f>IFERROR(__xludf.DUMMYFUNCTION("""COMPUTED_VALUE"""),1345.0)</f>
        <v>1345</v>
      </c>
      <c r="D1138" s="2">
        <f>IFERROR(__xludf.DUMMYFUNCTION("""COMPUTED_VALUE"""),1315.0)</f>
        <v>1315</v>
      </c>
      <c r="E1138" s="2">
        <f>IFERROR(__xludf.DUMMYFUNCTION("""COMPUTED_VALUE"""),1315.0)</f>
        <v>1315</v>
      </c>
      <c r="F1138" s="2">
        <f>IFERROR(__xludf.DUMMYFUNCTION("""COMPUTED_VALUE"""),9.5724E7)</f>
        <v>95724000</v>
      </c>
      <c r="G1138" s="2">
        <f t="shared" si="1"/>
        <v>30</v>
      </c>
    </row>
    <row r="1139" ht="15.75" customHeight="1">
      <c r="A1139" s="1">
        <f>IFERROR(__xludf.DUMMYFUNCTION("""COMPUTED_VALUE"""),45547.66666666667)</f>
        <v>45547.66667</v>
      </c>
      <c r="B1139" s="2">
        <f>IFERROR(__xludf.DUMMYFUNCTION("""COMPUTED_VALUE"""),1325.0)</f>
        <v>1325</v>
      </c>
      <c r="C1139" s="2">
        <f>IFERROR(__xludf.DUMMYFUNCTION("""COMPUTED_VALUE"""),1360.0)</f>
        <v>1360</v>
      </c>
      <c r="D1139" s="2">
        <f>IFERROR(__xludf.DUMMYFUNCTION("""COMPUTED_VALUE"""),1315.0)</f>
        <v>1315</v>
      </c>
      <c r="E1139" s="2">
        <f>IFERROR(__xludf.DUMMYFUNCTION("""COMPUTED_VALUE"""),1345.0)</f>
        <v>1345</v>
      </c>
      <c r="F1139" s="2">
        <f>IFERROR(__xludf.DUMMYFUNCTION("""COMPUTED_VALUE"""),1.045076E8)</f>
        <v>104507600</v>
      </c>
      <c r="G1139" s="2">
        <f t="shared" si="1"/>
        <v>45</v>
      </c>
    </row>
    <row r="1140" ht="15.75" customHeight="1">
      <c r="A1140" s="1">
        <f>IFERROR(__xludf.DUMMYFUNCTION("""COMPUTED_VALUE"""),45548.66666666667)</f>
        <v>45548.66667</v>
      </c>
      <c r="B1140" s="2">
        <f>IFERROR(__xludf.DUMMYFUNCTION("""COMPUTED_VALUE"""),1365.0)</f>
        <v>1365</v>
      </c>
      <c r="C1140" s="2">
        <f>IFERROR(__xludf.DUMMYFUNCTION("""COMPUTED_VALUE"""),1370.0)</f>
        <v>1370</v>
      </c>
      <c r="D1140" s="2">
        <f>IFERROR(__xludf.DUMMYFUNCTION("""COMPUTED_VALUE"""),1330.0)</f>
        <v>1330</v>
      </c>
      <c r="E1140" s="2">
        <f>IFERROR(__xludf.DUMMYFUNCTION("""COMPUTED_VALUE"""),1335.0)</f>
        <v>1335</v>
      </c>
      <c r="F1140" s="2">
        <f>IFERROR(__xludf.DUMMYFUNCTION("""COMPUTED_VALUE"""),1.015502E8)</f>
        <v>101550200</v>
      </c>
      <c r="G1140" s="2">
        <f t="shared" si="1"/>
        <v>40</v>
      </c>
    </row>
    <row r="1141" ht="15.75" customHeight="1">
      <c r="A1141" s="1">
        <f>IFERROR(__xludf.DUMMYFUNCTION("""COMPUTED_VALUE"""),45552.66666666667)</f>
        <v>45552.66667</v>
      </c>
      <c r="B1141" s="2">
        <f>IFERROR(__xludf.DUMMYFUNCTION("""COMPUTED_VALUE"""),1350.0)</f>
        <v>1350</v>
      </c>
      <c r="C1141" s="2">
        <f>IFERROR(__xludf.DUMMYFUNCTION("""COMPUTED_VALUE"""),1390.0)</f>
        <v>1390</v>
      </c>
      <c r="D1141" s="2">
        <f>IFERROR(__xludf.DUMMYFUNCTION("""COMPUTED_VALUE"""),1345.0)</f>
        <v>1345</v>
      </c>
      <c r="E1141" s="2">
        <f>IFERROR(__xludf.DUMMYFUNCTION("""COMPUTED_VALUE"""),1380.0)</f>
        <v>1380</v>
      </c>
      <c r="F1141" s="2">
        <f>IFERROR(__xludf.DUMMYFUNCTION("""COMPUTED_VALUE"""),1.530822E8)</f>
        <v>153082200</v>
      </c>
      <c r="G1141" s="2">
        <f t="shared" si="1"/>
        <v>55</v>
      </c>
    </row>
    <row r="1142" ht="15.75" customHeight="1">
      <c r="A1142" s="1">
        <f>IFERROR(__xludf.DUMMYFUNCTION("""COMPUTED_VALUE"""),45553.66666666667)</f>
        <v>45553.66667</v>
      </c>
      <c r="B1142" s="2">
        <f>IFERROR(__xludf.DUMMYFUNCTION("""COMPUTED_VALUE"""),1380.0)</f>
        <v>1380</v>
      </c>
      <c r="C1142" s="2">
        <f>IFERROR(__xludf.DUMMYFUNCTION("""COMPUTED_VALUE"""),1380.0)</f>
        <v>1380</v>
      </c>
      <c r="D1142" s="2">
        <f>IFERROR(__xludf.DUMMYFUNCTION("""COMPUTED_VALUE"""),1365.0)</f>
        <v>1365</v>
      </c>
      <c r="E1142" s="2">
        <f>IFERROR(__xludf.DUMMYFUNCTION("""COMPUTED_VALUE"""),1365.0)</f>
        <v>1365</v>
      </c>
      <c r="F1142" s="2">
        <f>IFERROR(__xludf.DUMMYFUNCTION("""COMPUTED_VALUE"""),5.40566E7)</f>
        <v>54056600</v>
      </c>
      <c r="G1142" s="2">
        <f t="shared" si="1"/>
        <v>15</v>
      </c>
    </row>
    <row r="1143" ht="15.75" customHeight="1">
      <c r="A1143" s="1">
        <f>IFERROR(__xludf.DUMMYFUNCTION("""COMPUTED_VALUE"""),45554.66666666667)</f>
        <v>45554.66667</v>
      </c>
      <c r="B1143" s="2">
        <f>IFERROR(__xludf.DUMMYFUNCTION("""COMPUTED_VALUE"""),1365.0)</f>
        <v>1365</v>
      </c>
      <c r="C1143" s="2">
        <f>IFERROR(__xludf.DUMMYFUNCTION("""COMPUTED_VALUE"""),1380.0)</f>
        <v>1380</v>
      </c>
      <c r="D1143" s="2">
        <f>IFERROR(__xludf.DUMMYFUNCTION("""COMPUTED_VALUE"""),1360.0)</f>
        <v>1360</v>
      </c>
      <c r="E1143" s="2">
        <f>IFERROR(__xludf.DUMMYFUNCTION("""COMPUTED_VALUE"""),1375.0)</f>
        <v>1375</v>
      </c>
      <c r="F1143" s="2">
        <f>IFERROR(__xludf.DUMMYFUNCTION("""COMPUTED_VALUE"""),6.41307E7)</f>
        <v>64130700</v>
      </c>
      <c r="G1143" s="2">
        <f t="shared" si="1"/>
        <v>20</v>
      </c>
    </row>
    <row r="1144" ht="15.75" customHeight="1">
      <c r="A1144" s="1">
        <f>IFERROR(__xludf.DUMMYFUNCTION("""COMPUTED_VALUE"""),45555.66666666667)</f>
        <v>45555.66667</v>
      </c>
      <c r="B1144" s="2">
        <f>IFERROR(__xludf.DUMMYFUNCTION("""COMPUTED_VALUE"""),1380.0)</f>
        <v>1380</v>
      </c>
      <c r="C1144" s="2">
        <f>IFERROR(__xludf.DUMMYFUNCTION("""COMPUTED_VALUE"""),1385.0)</f>
        <v>1385</v>
      </c>
      <c r="D1144" s="2">
        <f>IFERROR(__xludf.DUMMYFUNCTION("""COMPUTED_VALUE"""),1365.0)</f>
        <v>1365</v>
      </c>
      <c r="E1144" s="2">
        <f>IFERROR(__xludf.DUMMYFUNCTION("""COMPUTED_VALUE"""),1370.0)</f>
        <v>1370</v>
      </c>
      <c r="F1144" s="2">
        <f>IFERROR(__xludf.DUMMYFUNCTION("""COMPUTED_VALUE"""),6.68524E7)</f>
        <v>66852400</v>
      </c>
      <c r="G1144" s="2">
        <f t="shared" si="1"/>
        <v>20</v>
      </c>
    </row>
    <row r="1145" ht="15.75" customHeight="1">
      <c r="A1145" s="1">
        <f>IFERROR(__xludf.DUMMYFUNCTION("""COMPUTED_VALUE"""),45558.66666666667)</f>
        <v>45558.66667</v>
      </c>
      <c r="B1145" s="2">
        <f>IFERROR(__xludf.DUMMYFUNCTION("""COMPUTED_VALUE"""),1380.0)</f>
        <v>1380</v>
      </c>
      <c r="C1145" s="2">
        <f>IFERROR(__xludf.DUMMYFUNCTION("""COMPUTED_VALUE"""),1410.0)</f>
        <v>1410</v>
      </c>
      <c r="D1145" s="2">
        <f>IFERROR(__xludf.DUMMYFUNCTION("""COMPUTED_VALUE"""),1380.0)</f>
        <v>1380</v>
      </c>
      <c r="E1145" s="2">
        <f>IFERROR(__xludf.DUMMYFUNCTION("""COMPUTED_VALUE"""),1395.0)</f>
        <v>1395</v>
      </c>
      <c r="F1145" s="2">
        <f>IFERROR(__xludf.DUMMYFUNCTION("""COMPUTED_VALUE"""),1.249515E8)</f>
        <v>124951500</v>
      </c>
      <c r="G1145" s="2">
        <f t="shared" si="1"/>
        <v>40</v>
      </c>
    </row>
    <row r="1146" ht="15.75" customHeight="1">
      <c r="A1146" s="1">
        <f>IFERROR(__xludf.DUMMYFUNCTION("""COMPUTED_VALUE"""),45559.66666666667)</f>
        <v>45559.66667</v>
      </c>
      <c r="B1146" s="2">
        <f>IFERROR(__xludf.DUMMYFUNCTION("""COMPUTED_VALUE"""),1400.0)</f>
        <v>1400</v>
      </c>
      <c r="C1146" s="2">
        <f>IFERROR(__xludf.DUMMYFUNCTION("""COMPUTED_VALUE"""),1410.0)</f>
        <v>1410</v>
      </c>
      <c r="D1146" s="2">
        <f>IFERROR(__xludf.DUMMYFUNCTION("""COMPUTED_VALUE"""),1385.0)</f>
        <v>1385</v>
      </c>
      <c r="E1146" s="2">
        <f>IFERROR(__xludf.DUMMYFUNCTION("""COMPUTED_VALUE"""),1410.0)</f>
        <v>1410</v>
      </c>
      <c r="F1146" s="2">
        <f>IFERROR(__xludf.DUMMYFUNCTION("""COMPUTED_VALUE"""),9.98221E7)</f>
        <v>99822100</v>
      </c>
      <c r="G1146" s="2">
        <f t="shared" si="1"/>
        <v>25</v>
      </c>
    </row>
    <row r="1147" ht="15.75" customHeight="1">
      <c r="A1147" s="1">
        <f>IFERROR(__xludf.DUMMYFUNCTION("""COMPUTED_VALUE"""),45560.66666666667)</f>
        <v>45560.66667</v>
      </c>
      <c r="B1147" s="2">
        <f>IFERROR(__xludf.DUMMYFUNCTION("""COMPUTED_VALUE"""),1420.0)</f>
        <v>1420</v>
      </c>
      <c r="C1147" s="2">
        <f>IFERROR(__xludf.DUMMYFUNCTION("""COMPUTED_VALUE"""),1445.0)</f>
        <v>1445</v>
      </c>
      <c r="D1147" s="2">
        <f>IFERROR(__xludf.DUMMYFUNCTION("""COMPUTED_VALUE"""),1405.0)</f>
        <v>1405</v>
      </c>
      <c r="E1147" s="2">
        <f>IFERROR(__xludf.DUMMYFUNCTION("""COMPUTED_VALUE"""),1440.0)</f>
        <v>1440</v>
      </c>
      <c r="F1147" s="2">
        <f>IFERROR(__xludf.DUMMYFUNCTION("""COMPUTED_VALUE"""),2.135271E8)</f>
        <v>213527100</v>
      </c>
      <c r="G1147" s="2">
        <f t="shared" si="1"/>
        <v>40</v>
      </c>
    </row>
    <row r="1148" ht="15.75" customHeight="1">
      <c r="A1148" s="1">
        <f>IFERROR(__xludf.DUMMYFUNCTION("""COMPUTED_VALUE"""),45561.66666666667)</f>
        <v>45561.66667</v>
      </c>
      <c r="B1148" s="2">
        <f>IFERROR(__xludf.DUMMYFUNCTION("""COMPUTED_VALUE"""),1450.0)</f>
        <v>1450</v>
      </c>
      <c r="C1148" s="2">
        <f>IFERROR(__xludf.DUMMYFUNCTION("""COMPUTED_VALUE"""),1450.0)</f>
        <v>1450</v>
      </c>
      <c r="D1148" s="2">
        <f>IFERROR(__xludf.DUMMYFUNCTION("""COMPUTED_VALUE"""),1415.0)</f>
        <v>1415</v>
      </c>
      <c r="E1148" s="2">
        <f>IFERROR(__xludf.DUMMYFUNCTION("""COMPUTED_VALUE"""),1425.0)</f>
        <v>1425</v>
      </c>
      <c r="F1148" s="2">
        <f>IFERROR(__xludf.DUMMYFUNCTION("""COMPUTED_VALUE"""),1.197373E8)</f>
        <v>119737300</v>
      </c>
      <c r="G1148" s="2">
        <f t="shared" si="1"/>
        <v>35</v>
      </c>
    </row>
    <row r="1149" ht="15.75" customHeight="1">
      <c r="A1149" s="1">
        <f>IFERROR(__xludf.DUMMYFUNCTION("""COMPUTED_VALUE"""),45562.66666666667)</f>
        <v>45562.66667</v>
      </c>
      <c r="B1149" s="2">
        <f>IFERROR(__xludf.DUMMYFUNCTION("""COMPUTED_VALUE"""),1430.0)</f>
        <v>1430</v>
      </c>
      <c r="C1149" s="2">
        <f>IFERROR(__xludf.DUMMYFUNCTION("""COMPUTED_VALUE"""),1480.0)</f>
        <v>1480</v>
      </c>
      <c r="D1149" s="2">
        <f>IFERROR(__xludf.DUMMYFUNCTION("""COMPUTED_VALUE"""),1425.0)</f>
        <v>1425</v>
      </c>
      <c r="E1149" s="2">
        <f>IFERROR(__xludf.DUMMYFUNCTION("""COMPUTED_VALUE"""),1470.0)</f>
        <v>1470</v>
      </c>
      <c r="F1149" s="2">
        <f>IFERROR(__xludf.DUMMYFUNCTION("""COMPUTED_VALUE"""),1.463348E8)</f>
        <v>146334800</v>
      </c>
      <c r="G1149" s="2">
        <f t="shared" si="1"/>
        <v>55</v>
      </c>
    </row>
    <row r="1150" ht="15.75" customHeight="1">
      <c r="A1150" s="1">
        <f>IFERROR(__xludf.DUMMYFUNCTION("""COMPUTED_VALUE"""),45565.66666666667)</f>
        <v>45565.66667</v>
      </c>
      <c r="B1150" s="2">
        <f>IFERROR(__xludf.DUMMYFUNCTION("""COMPUTED_VALUE"""),1480.0)</f>
        <v>1480</v>
      </c>
      <c r="C1150" s="2">
        <f>IFERROR(__xludf.DUMMYFUNCTION("""COMPUTED_VALUE"""),1490.0)</f>
        <v>1490</v>
      </c>
      <c r="D1150" s="2">
        <f>IFERROR(__xludf.DUMMYFUNCTION("""COMPUTED_VALUE"""),1435.0)</f>
        <v>1435</v>
      </c>
      <c r="E1150" s="2">
        <f>IFERROR(__xludf.DUMMYFUNCTION("""COMPUTED_VALUE"""),1480.0)</f>
        <v>1480</v>
      </c>
      <c r="F1150" s="2">
        <f>IFERROR(__xludf.DUMMYFUNCTION("""COMPUTED_VALUE"""),1.31933E8)</f>
        <v>131933000</v>
      </c>
      <c r="G1150" s="2">
        <f t="shared" si="1"/>
        <v>55</v>
      </c>
    </row>
    <row r="1151" ht="15.75" customHeight="1">
      <c r="A1151" s="1">
        <f>IFERROR(__xludf.DUMMYFUNCTION("""COMPUTED_VALUE"""),45566.66666666667)</f>
        <v>45566.66667</v>
      </c>
      <c r="B1151" s="2">
        <f>IFERROR(__xludf.DUMMYFUNCTION("""COMPUTED_VALUE"""),1490.0)</f>
        <v>1490</v>
      </c>
      <c r="C1151" s="2">
        <f>IFERROR(__xludf.DUMMYFUNCTION("""COMPUTED_VALUE"""),1510.0)</f>
        <v>1510</v>
      </c>
      <c r="D1151" s="2">
        <f>IFERROR(__xludf.DUMMYFUNCTION("""COMPUTED_VALUE"""),1480.0)</f>
        <v>1480</v>
      </c>
      <c r="E1151" s="2">
        <f>IFERROR(__xludf.DUMMYFUNCTION("""COMPUTED_VALUE"""),1500.0)</f>
        <v>1500</v>
      </c>
      <c r="F1151" s="2">
        <f>IFERROR(__xludf.DUMMYFUNCTION("""COMPUTED_VALUE"""),1.23533E8)</f>
        <v>123533000</v>
      </c>
      <c r="G1151" s="2">
        <f t="shared" si="1"/>
        <v>30</v>
      </c>
    </row>
    <row r="1152" ht="15.75" customHeight="1">
      <c r="A1152" s="1">
        <f>IFERROR(__xludf.DUMMYFUNCTION("""COMPUTED_VALUE"""),45567.66666666667)</f>
        <v>45567.66667</v>
      </c>
      <c r="B1152" s="2">
        <f>IFERROR(__xludf.DUMMYFUNCTION("""COMPUTED_VALUE"""),1510.0)</f>
        <v>1510</v>
      </c>
      <c r="C1152" s="2">
        <f>IFERROR(__xludf.DUMMYFUNCTION("""COMPUTED_VALUE"""),1570.0)</f>
        <v>1570</v>
      </c>
      <c r="D1152" s="2">
        <f>IFERROR(__xludf.DUMMYFUNCTION("""COMPUTED_VALUE"""),1480.0)</f>
        <v>1480</v>
      </c>
      <c r="E1152" s="2">
        <f>IFERROR(__xludf.DUMMYFUNCTION("""COMPUTED_VALUE"""),1535.0)</f>
        <v>1535</v>
      </c>
      <c r="F1152" s="2">
        <f>IFERROR(__xludf.DUMMYFUNCTION("""COMPUTED_VALUE"""),2.544616E8)</f>
        <v>254461600</v>
      </c>
      <c r="G1152" s="2">
        <f t="shared" si="1"/>
        <v>90</v>
      </c>
    </row>
    <row r="1153" ht="15.75" customHeight="1">
      <c r="A1153" s="1">
        <f>IFERROR(__xludf.DUMMYFUNCTION("""COMPUTED_VALUE"""),45568.66666666667)</f>
        <v>45568.66667</v>
      </c>
      <c r="B1153" s="2">
        <f>IFERROR(__xludf.DUMMYFUNCTION("""COMPUTED_VALUE"""),1550.0)</f>
        <v>1550</v>
      </c>
      <c r="C1153" s="2">
        <f>IFERROR(__xludf.DUMMYFUNCTION("""COMPUTED_VALUE"""),1590.0)</f>
        <v>1590</v>
      </c>
      <c r="D1153" s="2">
        <f>IFERROR(__xludf.DUMMYFUNCTION("""COMPUTED_VALUE"""),1535.0)</f>
        <v>1535</v>
      </c>
      <c r="E1153" s="2">
        <f>IFERROR(__xludf.DUMMYFUNCTION("""COMPUTED_VALUE"""),1535.0)</f>
        <v>1535</v>
      </c>
      <c r="F1153" s="2">
        <f>IFERROR(__xludf.DUMMYFUNCTION("""COMPUTED_VALUE"""),1.990067E8)</f>
        <v>199006700</v>
      </c>
      <c r="G1153" s="2">
        <f t="shared" si="1"/>
        <v>55</v>
      </c>
    </row>
    <row r="1154" ht="15.75" customHeight="1">
      <c r="A1154" s="1">
        <f>IFERROR(__xludf.DUMMYFUNCTION("""COMPUTED_VALUE"""),45569.66666666667)</f>
        <v>45569.66667</v>
      </c>
      <c r="B1154" s="2">
        <f>IFERROR(__xludf.DUMMYFUNCTION("""COMPUTED_VALUE"""),1535.0)</f>
        <v>1535</v>
      </c>
      <c r="C1154" s="2">
        <f>IFERROR(__xludf.DUMMYFUNCTION("""COMPUTED_VALUE"""),1545.0)</f>
        <v>1545</v>
      </c>
      <c r="D1154" s="2">
        <f>IFERROR(__xludf.DUMMYFUNCTION("""COMPUTED_VALUE"""),1500.0)</f>
        <v>1500</v>
      </c>
      <c r="E1154" s="2">
        <f>IFERROR(__xludf.DUMMYFUNCTION("""COMPUTED_VALUE"""),1525.0)</f>
        <v>1525</v>
      </c>
      <c r="F1154" s="2">
        <f>IFERROR(__xludf.DUMMYFUNCTION("""COMPUTED_VALUE"""),7.56832E7)</f>
        <v>75683200</v>
      </c>
      <c r="G1154" s="2">
        <f t="shared" si="1"/>
        <v>45</v>
      </c>
    </row>
    <row r="1155" ht="15.75" customHeight="1">
      <c r="A1155" s="1">
        <f>IFERROR(__xludf.DUMMYFUNCTION("""COMPUTED_VALUE"""),45572.66666666667)</f>
        <v>45572.66667</v>
      </c>
      <c r="B1155" s="2">
        <f>IFERROR(__xludf.DUMMYFUNCTION("""COMPUTED_VALUE"""),1530.0)</f>
        <v>1530</v>
      </c>
      <c r="C1155" s="2">
        <f>IFERROR(__xludf.DUMMYFUNCTION("""COMPUTED_VALUE"""),1555.0)</f>
        <v>1555</v>
      </c>
      <c r="D1155" s="2">
        <f>IFERROR(__xludf.DUMMYFUNCTION("""COMPUTED_VALUE"""),1525.0)</f>
        <v>1525</v>
      </c>
      <c r="E1155" s="2">
        <f>IFERROR(__xludf.DUMMYFUNCTION("""COMPUTED_VALUE"""),1545.0)</f>
        <v>1545</v>
      </c>
      <c r="F1155" s="2">
        <f>IFERROR(__xludf.DUMMYFUNCTION("""COMPUTED_VALUE"""),8.56379E7)</f>
        <v>85637900</v>
      </c>
      <c r="G1155" s="2">
        <f t="shared" si="1"/>
        <v>30</v>
      </c>
    </row>
    <row r="1156" ht="15.75" customHeight="1">
      <c r="A1156" s="1">
        <f>IFERROR(__xludf.DUMMYFUNCTION("""COMPUTED_VALUE"""),45573.66666666667)</f>
        <v>45573.66667</v>
      </c>
      <c r="B1156" s="2">
        <f>IFERROR(__xludf.DUMMYFUNCTION("""COMPUTED_VALUE"""),1545.0)</f>
        <v>1545</v>
      </c>
      <c r="C1156" s="2">
        <f>IFERROR(__xludf.DUMMYFUNCTION("""COMPUTED_VALUE"""),1575.0)</f>
        <v>1575</v>
      </c>
      <c r="D1156" s="2">
        <f>IFERROR(__xludf.DUMMYFUNCTION("""COMPUTED_VALUE"""),1505.0)</f>
        <v>1505</v>
      </c>
      <c r="E1156" s="2">
        <f>IFERROR(__xludf.DUMMYFUNCTION("""COMPUTED_VALUE"""),1525.0)</f>
        <v>1525</v>
      </c>
      <c r="F1156" s="2">
        <f>IFERROR(__xludf.DUMMYFUNCTION("""COMPUTED_VALUE"""),1.372088E8)</f>
        <v>137208800</v>
      </c>
      <c r="G1156" s="2">
        <f t="shared" si="1"/>
        <v>70</v>
      </c>
    </row>
    <row r="1157" ht="15.75" customHeight="1">
      <c r="A1157" s="1">
        <f>IFERROR(__xludf.DUMMYFUNCTION("""COMPUTED_VALUE"""),45574.66666666667)</f>
        <v>45574.66667</v>
      </c>
      <c r="B1157" s="2">
        <f>IFERROR(__xludf.DUMMYFUNCTION("""COMPUTED_VALUE"""),1515.0)</f>
        <v>1515</v>
      </c>
      <c r="C1157" s="2">
        <f>IFERROR(__xludf.DUMMYFUNCTION("""COMPUTED_VALUE"""),1525.0)</f>
        <v>1525</v>
      </c>
      <c r="D1157" s="2">
        <f>IFERROR(__xludf.DUMMYFUNCTION("""COMPUTED_VALUE"""),1490.0)</f>
        <v>1490</v>
      </c>
      <c r="E1157" s="2">
        <f>IFERROR(__xludf.DUMMYFUNCTION("""COMPUTED_VALUE"""),1515.0)</f>
        <v>1515</v>
      </c>
      <c r="F1157" s="2">
        <f>IFERROR(__xludf.DUMMYFUNCTION("""COMPUTED_VALUE"""),7.37957E7)</f>
        <v>73795700</v>
      </c>
      <c r="G1157" s="2">
        <f t="shared" si="1"/>
        <v>35</v>
      </c>
    </row>
    <row r="1158" ht="15.75" customHeight="1">
      <c r="A1158" s="1">
        <f>IFERROR(__xludf.DUMMYFUNCTION("""COMPUTED_VALUE"""),45575.66666666667)</f>
        <v>45575.66667</v>
      </c>
      <c r="B1158" s="2">
        <f>IFERROR(__xludf.DUMMYFUNCTION("""COMPUTED_VALUE"""),1515.0)</f>
        <v>1515</v>
      </c>
      <c r="C1158" s="2">
        <f>IFERROR(__xludf.DUMMYFUNCTION("""COMPUTED_VALUE"""),1540.0)</f>
        <v>1540</v>
      </c>
      <c r="D1158" s="2">
        <f>IFERROR(__xludf.DUMMYFUNCTION("""COMPUTED_VALUE"""),1515.0)</f>
        <v>1515</v>
      </c>
      <c r="E1158" s="2">
        <f>IFERROR(__xludf.DUMMYFUNCTION("""COMPUTED_VALUE"""),1535.0)</f>
        <v>1535</v>
      </c>
      <c r="F1158" s="2">
        <f>IFERROR(__xludf.DUMMYFUNCTION("""COMPUTED_VALUE"""),5.92026E7)</f>
        <v>59202600</v>
      </c>
      <c r="G1158" s="2">
        <f t="shared" si="1"/>
        <v>25</v>
      </c>
    </row>
    <row r="1159" ht="15.75" customHeight="1">
      <c r="A1159" s="1">
        <f>IFERROR(__xludf.DUMMYFUNCTION("""COMPUTED_VALUE"""),45576.66666666667)</f>
        <v>45576.66667</v>
      </c>
      <c r="B1159" s="2">
        <f>IFERROR(__xludf.DUMMYFUNCTION("""COMPUTED_VALUE"""),1545.0)</f>
        <v>1545</v>
      </c>
      <c r="C1159" s="2">
        <f>IFERROR(__xludf.DUMMYFUNCTION("""COMPUTED_VALUE"""),1565.0)</f>
        <v>1565</v>
      </c>
      <c r="D1159" s="2">
        <f>IFERROR(__xludf.DUMMYFUNCTION("""COMPUTED_VALUE"""),1535.0)</f>
        <v>1535</v>
      </c>
      <c r="E1159" s="2">
        <f>IFERROR(__xludf.DUMMYFUNCTION("""COMPUTED_VALUE"""),1565.0)</f>
        <v>1565</v>
      </c>
      <c r="F1159" s="2">
        <f>IFERROR(__xludf.DUMMYFUNCTION("""COMPUTED_VALUE"""),8.63161E7)</f>
        <v>86316100</v>
      </c>
      <c r="G1159" s="2">
        <f t="shared" si="1"/>
        <v>30</v>
      </c>
    </row>
    <row r="1160" ht="15.75" customHeight="1">
      <c r="A1160" s="1">
        <f>IFERROR(__xludf.DUMMYFUNCTION("""COMPUTED_VALUE"""),45579.66666666667)</f>
        <v>45579.66667</v>
      </c>
      <c r="B1160" s="2">
        <f>IFERROR(__xludf.DUMMYFUNCTION("""COMPUTED_VALUE"""),1575.0)</f>
        <v>1575</v>
      </c>
      <c r="C1160" s="2">
        <f>IFERROR(__xludf.DUMMYFUNCTION("""COMPUTED_VALUE"""),1640.0)</f>
        <v>1640</v>
      </c>
      <c r="D1160" s="2">
        <f>IFERROR(__xludf.DUMMYFUNCTION("""COMPUTED_VALUE"""),1565.0)</f>
        <v>1565</v>
      </c>
      <c r="E1160" s="2">
        <f>IFERROR(__xludf.DUMMYFUNCTION("""COMPUTED_VALUE"""),1630.0)</f>
        <v>1630</v>
      </c>
      <c r="F1160" s="2">
        <f>IFERROR(__xludf.DUMMYFUNCTION("""COMPUTED_VALUE"""),1.735518E8)</f>
        <v>173551800</v>
      </c>
      <c r="G1160" s="2">
        <f t="shared" si="1"/>
        <v>75</v>
      </c>
    </row>
    <row r="1161" ht="15.75" customHeight="1">
      <c r="A1161" s="1">
        <f>IFERROR(__xludf.DUMMYFUNCTION("""COMPUTED_VALUE"""),45580.66666666667)</f>
        <v>45580.66667</v>
      </c>
      <c r="B1161" s="2">
        <f>IFERROR(__xludf.DUMMYFUNCTION("""COMPUTED_VALUE"""),1630.0)</f>
        <v>1630</v>
      </c>
      <c r="C1161" s="2">
        <f>IFERROR(__xludf.DUMMYFUNCTION("""COMPUTED_VALUE"""),1630.0)</f>
        <v>1630</v>
      </c>
      <c r="D1161" s="2">
        <f>IFERROR(__xludf.DUMMYFUNCTION("""COMPUTED_VALUE"""),1590.0)</f>
        <v>1590</v>
      </c>
      <c r="E1161" s="2">
        <f>IFERROR(__xludf.DUMMYFUNCTION("""COMPUTED_VALUE"""),1600.0)</f>
        <v>1600</v>
      </c>
      <c r="F1161" s="2">
        <f>IFERROR(__xludf.DUMMYFUNCTION("""COMPUTED_VALUE"""),1.319509E8)</f>
        <v>131950900</v>
      </c>
      <c r="G1161" s="2">
        <f t="shared" si="1"/>
        <v>40</v>
      </c>
    </row>
    <row r="1162" ht="15.75" customHeight="1">
      <c r="A1162" s="1">
        <f>IFERROR(__xludf.DUMMYFUNCTION("""COMPUTED_VALUE"""),45581.66666666667)</f>
        <v>45581.66667</v>
      </c>
      <c r="B1162" s="2">
        <f>IFERROR(__xludf.DUMMYFUNCTION("""COMPUTED_VALUE"""),1600.0)</f>
        <v>1600</v>
      </c>
      <c r="C1162" s="2">
        <f>IFERROR(__xludf.DUMMYFUNCTION("""COMPUTED_VALUE"""),1600.0)</f>
        <v>1600</v>
      </c>
      <c r="D1162" s="2">
        <f>IFERROR(__xludf.DUMMYFUNCTION("""COMPUTED_VALUE"""),1570.0)</f>
        <v>1570</v>
      </c>
      <c r="E1162" s="2">
        <f>IFERROR(__xludf.DUMMYFUNCTION("""COMPUTED_VALUE"""),1570.0)</f>
        <v>1570</v>
      </c>
      <c r="F1162" s="2">
        <f>IFERROR(__xludf.DUMMYFUNCTION("""COMPUTED_VALUE"""),8.91962E7)</f>
        <v>89196200</v>
      </c>
      <c r="G1162" s="2">
        <f t="shared" si="1"/>
        <v>30</v>
      </c>
    </row>
    <row r="1163" ht="15.75" customHeight="1">
      <c r="A1163" s="1">
        <f>IFERROR(__xludf.DUMMYFUNCTION("""COMPUTED_VALUE"""),45582.66666666667)</f>
        <v>45582.66667</v>
      </c>
      <c r="B1163" s="2">
        <f>IFERROR(__xludf.DUMMYFUNCTION("""COMPUTED_VALUE"""),1585.0)</f>
        <v>1585</v>
      </c>
      <c r="C1163" s="2">
        <f>IFERROR(__xludf.DUMMYFUNCTION("""COMPUTED_VALUE"""),1625.0)</f>
        <v>1625</v>
      </c>
      <c r="D1163" s="2">
        <f>IFERROR(__xludf.DUMMYFUNCTION("""COMPUTED_VALUE"""),1570.0)</f>
        <v>1570</v>
      </c>
      <c r="E1163" s="2">
        <f>IFERROR(__xludf.DUMMYFUNCTION("""COMPUTED_VALUE"""),1620.0)</f>
        <v>1620</v>
      </c>
      <c r="F1163" s="2">
        <f>IFERROR(__xludf.DUMMYFUNCTION("""COMPUTED_VALUE"""),1.038124E8)</f>
        <v>103812400</v>
      </c>
      <c r="G1163" s="2">
        <f t="shared" si="1"/>
        <v>55</v>
      </c>
    </row>
    <row r="1164" ht="15.75" customHeight="1">
      <c r="A1164" s="1">
        <f>IFERROR(__xludf.DUMMYFUNCTION("""COMPUTED_VALUE"""),45583.66666666667)</f>
        <v>45583.66667</v>
      </c>
      <c r="B1164" s="2">
        <f>IFERROR(__xludf.DUMMYFUNCTION("""COMPUTED_VALUE"""),1630.0)</f>
        <v>1630</v>
      </c>
      <c r="C1164" s="2">
        <f>IFERROR(__xludf.DUMMYFUNCTION("""COMPUTED_VALUE"""),1635.0)</f>
        <v>1635</v>
      </c>
      <c r="D1164" s="2">
        <f>IFERROR(__xludf.DUMMYFUNCTION("""COMPUTED_VALUE"""),1605.0)</f>
        <v>1605</v>
      </c>
      <c r="E1164" s="2">
        <f>IFERROR(__xludf.DUMMYFUNCTION("""COMPUTED_VALUE"""),1625.0)</f>
        <v>1625</v>
      </c>
      <c r="F1164" s="2">
        <f>IFERROR(__xludf.DUMMYFUNCTION("""COMPUTED_VALUE"""),8.30209E7)</f>
        <v>83020900</v>
      </c>
      <c r="G1164" s="2">
        <f t="shared" si="1"/>
        <v>30</v>
      </c>
    </row>
    <row r="1165" ht="15.75" customHeight="1">
      <c r="A1165" s="1">
        <f>IFERROR(__xludf.DUMMYFUNCTION("""COMPUTED_VALUE"""),45586.66666666667)</f>
        <v>45586.66667</v>
      </c>
      <c r="B1165" s="2">
        <f>IFERROR(__xludf.DUMMYFUNCTION("""COMPUTED_VALUE"""),1645.0)</f>
        <v>1645</v>
      </c>
      <c r="C1165" s="2">
        <f>IFERROR(__xludf.DUMMYFUNCTION("""COMPUTED_VALUE"""),1765.0)</f>
        <v>1765</v>
      </c>
      <c r="D1165" s="2">
        <f>IFERROR(__xludf.DUMMYFUNCTION("""COMPUTED_VALUE"""),1640.0)</f>
        <v>1640</v>
      </c>
      <c r="E1165" s="2">
        <f>IFERROR(__xludf.DUMMYFUNCTION("""COMPUTED_VALUE"""),1690.0)</f>
        <v>1690</v>
      </c>
      <c r="F1165" s="2">
        <f>IFERROR(__xludf.DUMMYFUNCTION("""COMPUTED_VALUE"""),2.433757E8)</f>
        <v>243375700</v>
      </c>
      <c r="G1165" s="2">
        <f t="shared" si="1"/>
        <v>140</v>
      </c>
    </row>
    <row r="1166" ht="15.75" customHeight="1">
      <c r="A1166" s="1">
        <f>IFERROR(__xludf.DUMMYFUNCTION("""COMPUTED_VALUE"""),45587.66666666667)</f>
        <v>45587.66667</v>
      </c>
      <c r="B1166" s="2">
        <f>IFERROR(__xludf.DUMMYFUNCTION("""COMPUTED_VALUE"""),1695.0)</f>
        <v>1695</v>
      </c>
      <c r="C1166" s="2">
        <f>IFERROR(__xludf.DUMMYFUNCTION("""COMPUTED_VALUE"""),1700.0)</f>
        <v>1700</v>
      </c>
      <c r="D1166" s="2">
        <f>IFERROR(__xludf.DUMMYFUNCTION("""COMPUTED_VALUE"""),1660.0)</f>
        <v>1660</v>
      </c>
      <c r="E1166" s="2">
        <f>IFERROR(__xludf.DUMMYFUNCTION("""COMPUTED_VALUE"""),1670.0)</f>
        <v>1670</v>
      </c>
      <c r="F1166" s="2">
        <f>IFERROR(__xludf.DUMMYFUNCTION("""COMPUTED_VALUE"""),8.75406E7)</f>
        <v>87540600</v>
      </c>
      <c r="G1166" s="2">
        <f t="shared" si="1"/>
        <v>40</v>
      </c>
    </row>
    <row r="1167" ht="15.75" customHeight="1">
      <c r="A1167" s="1">
        <f>IFERROR(__xludf.DUMMYFUNCTION("""COMPUTED_VALUE"""),45588.66666666667)</f>
        <v>45588.66667</v>
      </c>
      <c r="B1167" s="2">
        <f>IFERROR(__xludf.DUMMYFUNCTION("""COMPUTED_VALUE"""),1680.0)</f>
        <v>1680</v>
      </c>
      <c r="C1167" s="2">
        <f>IFERROR(__xludf.DUMMYFUNCTION("""COMPUTED_VALUE"""),1685.0)</f>
        <v>1685</v>
      </c>
      <c r="D1167" s="2">
        <f>IFERROR(__xludf.DUMMYFUNCTION("""COMPUTED_VALUE"""),1640.0)</f>
        <v>1640</v>
      </c>
      <c r="E1167" s="2">
        <f>IFERROR(__xludf.DUMMYFUNCTION("""COMPUTED_VALUE"""),1650.0)</f>
        <v>1650</v>
      </c>
      <c r="F1167" s="2">
        <f>IFERROR(__xludf.DUMMYFUNCTION("""COMPUTED_VALUE"""),6.61201E7)</f>
        <v>66120100</v>
      </c>
      <c r="G1167" s="2">
        <f t="shared" si="1"/>
        <v>45</v>
      </c>
    </row>
    <row r="1168" ht="15.75" customHeight="1">
      <c r="A1168" s="1">
        <f>IFERROR(__xludf.DUMMYFUNCTION("""COMPUTED_VALUE"""),45589.66666666667)</f>
        <v>45589.66667</v>
      </c>
      <c r="B1168" s="2">
        <f>IFERROR(__xludf.DUMMYFUNCTION("""COMPUTED_VALUE"""),1640.0)</f>
        <v>1640</v>
      </c>
      <c r="C1168" s="2">
        <f>IFERROR(__xludf.DUMMYFUNCTION("""COMPUTED_VALUE"""),1650.0)</f>
        <v>1650</v>
      </c>
      <c r="D1168" s="2">
        <f>IFERROR(__xludf.DUMMYFUNCTION("""COMPUTED_VALUE"""),1620.0)</f>
        <v>1620</v>
      </c>
      <c r="E1168" s="2">
        <f>IFERROR(__xludf.DUMMYFUNCTION("""COMPUTED_VALUE"""),1620.0)</f>
        <v>1620</v>
      </c>
      <c r="F1168" s="2">
        <f>IFERROR(__xludf.DUMMYFUNCTION("""COMPUTED_VALUE"""),5.59646E7)</f>
        <v>55964600</v>
      </c>
      <c r="G1168" s="2">
        <f t="shared" si="1"/>
        <v>30</v>
      </c>
    </row>
    <row r="1169" ht="15.75" customHeight="1">
      <c r="A1169" s="1">
        <f>IFERROR(__xludf.DUMMYFUNCTION("""COMPUTED_VALUE"""),45590.66666666667)</f>
        <v>45590.66667</v>
      </c>
      <c r="B1169" s="2">
        <f>IFERROR(__xludf.DUMMYFUNCTION("""COMPUTED_VALUE"""),1620.0)</f>
        <v>1620</v>
      </c>
      <c r="C1169" s="2">
        <f>IFERROR(__xludf.DUMMYFUNCTION("""COMPUTED_VALUE"""),1655.0)</f>
        <v>1655</v>
      </c>
      <c r="D1169" s="2">
        <f>IFERROR(__xludf.DUMMYFUNCTION("""COMPUTED_VALUE"""),1585.0)</f>
        <v>1585</v>
      </c>
      <c r="E1169" s="2">
        <f>IFERROR(__xludf.DUMMYFUNCTION("""COMPUTED_VALUE"""),1585.0)</f>
        <v>1585</v>
      </c>
      <c r="F1169" s="2">
        <f>IFERROR(__xludf.DUMMYFUNCTION("""COMPUTED_VALUE"""),8.43263E7)</f>
        <v>84326300</v>
      </c>
      <c r="G1169" s="2">
        <f t="shared" si="1"/>
        <v>70</v>
      </c>
    </row>
    <row r="1170" ht="15.75" customHeight="1">
      <c r="A1170" s="1">
        <f>IFERROR(__xludf.DUMMYFUNCTION("""COMPUTED_VALUE"""),45593.66666666667)</f>
        <v>45593.66667</v>
      </c>
      <c r="B1170" s="2">
        <f>IFERROR(__xludf.DUMMYFUNCTION("""COMPUTED_VALUE"""),1590.0)</f>
        <v>1590</v>
      </c>
      <c r="C1170" s="2">
        <f>IFERROR(__xludf.DUMMYFUNCTION("""COMPUTED_VALUE"""),1640.0)</f>
        <v>1640</v>
      </c>
      <c r="D1170" s="2">
        <f>IFERROR(__xludf.DUMMYFUNCTION("""COMPUTED_VALUE"""),1590.0)</f>
        <v>1590</v>
      </c>
      <c r="E1170" s="2">
        <f>IFERROR(__xludf.DUMMYFUNCTION("""COMPUTED_VALUE"""),1610.0)</f>
        <v>1610</v>
      </c>
      <c r="F1170" s="2">
        <f>IFERROR(__xludf.DUMMYFUNCTION("""COMPUTED_VALUE"""),7.54623E7)</f>
        <v>75462300</v>
      </c>
      <c r="G1170" s="2">
        <f t="shared" si="1"/>
        <v>55</v>
      </c>
    </row>
    <row r="1171" ht="15.75" customHeight="1">
      <c r="A1171" s="1">
        <f>IFERROR(__xludf.DUMMYFUNCTION("""COMPUTED_VALUE"""),45594.66666666667)</f>
        <v>45594.66667</v>
      </c>
      <c r="B1171" s="2">
        <f>IFERROR(__xludf.DUMMYFUNCTION("""COMPUTED_VALUE"""),1620.0)</f>
        <v>1620</v>
      </c>
      <c r="C1171" s="2">
        <f>IFERROR(__xludf.DUMMYFUNCTION("""COMPUTED_VALUE"""),1625.0)</f>
        <v>1625</v>
      </c>
      <c r="D1171" s="2">
        <f>IFERROR(__xludf.DUMMYFUNCTION("""COMPUTED_VALUE"""),1595.0)</f>
        <v>1595</v>
      </c>
      <c r="E1171" s="2">
        <f>IFERROR(__xludf.DUMMYFUNCTION("""COMPUTED_VALUE"""),1615.0)</f>
        <v>1615</v>
      </c>
      <c r="F1171" s="2">
        <f>IFERROR(__xludf.DUMMYFUNCTION("""COMPUTED_VALUE"""),5.03327E7)</f>
        <v>50332700</v>
      </c>
      <c r="G1171" s="2">
        <f t="shared" si="1"/>
        <v>30</v>
      </c>
    </row>
    <row r="1172" ht="15.75" customHeight="1">
      <c r="A1172" s="1">
        <f>IFERROR(__xludf.DUMMYFUNCTION("""COMPUTED_VALUE"""),45595.66666666667)</f>
        <v>45595.66667</v>
      </c>
      <c r="B1172" s="2">
        <f>IFERROR(__xludf.DUMMYFUNCTION("""COMPUTED_VALUE"""),1625.0)</f>
        <v>1625</v>
      </c>
      <c r="C1172" s="2">
        <f>IFERROR(__xludf.DUMMYFUNCTION("""COMPUTED_VALUE"""),1635.0)</f>
        <v>1635</v>
      </c>
      <c r="D1172" s="2">
        <f>IFERROR(__xludf.DUMMYFUNCTION("""COMPUTED_VALUE"""),1620.0)</f>
        <v>1620</v>
      </c>
      <c r="E1172" s="2">
        <f>IFERROR(__xludf.DUMMYFUNCTION("""COMPUTED_VALUE"""),1630.0)</f>
        <v>1630</v>
      </c>
      <c r="F1172" s="2">
        <f>IFERROR(__xludf.DUMMYFUNCTION("""COMPUTED_VALUE"""),1.33457E7)</f>
        <v>13345700</v>
      </c>
      <c r="G1172" s="2">
        <f t="shared" si="1"/>
        <v>20</v>
      </c>
    </row>
    <row r="1173" ht="15.75" customHeight="1">
      <c r="A1173" s="1">
        <f>IFERROR(__xludf.DUMMYFUNCTION("""COMPUTED_VALUE"""),45596.66666666667)</f>
        <v>45596.66667</v>
      </c>
      <c r="B1173" s="2">
        <f>IFERROR(__xludf.DUMMYFUNCTION("""COMPUTED_VALUE"""),1605.0)</f>
        <v>1605</v>
      </c>
      <c r="C1173" s="2">
        <f>IFERROR(__xludf.DUMMYFUNCTION("""COMPUTED_VALUE"""),1605.0)</f>
        <v>1605</v>
      </c>
      <c r="D1173" s="2">
        <f>IFERROR(__xludf.DUMMYFUNCTION("""COMPUTED_VALUE"""),1540.0)</f>
        <v>1540</v>
      </c>
      <c r="E1173" s="2">
        <f>IFERROR(__xludf.DUMMYFUNCTION("""COMPUTED_VALUE"""),1600.0)</f>
        <v>1600</v>
      </c>
      <c r="F1173" s="2">
        <f>IFERROR(__xludf.DUMMYFUNCTION("""COMPUTED_VALUE"""),2.199004E8)</f>
        <v>219900400</v>
      </c>
      <c r="G1173" s="2">
        <f t="shared" si="1"/>
        <v>90</v>
      </c>
    </row>
    <row r="1174" ht="15.75" customHeight="1">
      <c r="A1174" s="1">
        <f>IFERROR(__xludf.DUMMYFUNCTION("""COMPUTED_VALUE"""),45597.66666666667)</f>
        <v>45597.66667</v>
      </c>
      <c r="B1174" s="2">
        <f>IFERROR(__xludf.DUMMYFUNCTION("""COMPUTED_VALUE"""),1590.0)</f>
        <v>1590</v>
      </c>
      <c r="C1174" s="2">
        <f>IFERROR(__xludf.DUMMYFUNCTION("""COMPUTED_VALUE"""),1590.0)</f>
        <v>1590</v>
      </c>
      <c r="D1174" s="2">
        <f>IFERROR(__xludf.DUMMYFUNCTION("""COMPUTED_VALUE"""),1515.0)</f>
        <v>1515</v>
      </c>
      <c r="E1174" s="2">
        <f>IFERROR(__xludf.DUMMYFUNCTION("""COMPUTED_VALUE"""),1520.0)</f>
        <v>1520</v>
      </c>
      <c r="F1174" s="2">
        <f>IFERROR(__xludf.DUMMYFUNCTION("""COMPUTED_VALUE"""),8.65622E7)</f>
        <v>86562200</v>
      </c>
      <c r="G1174" s="2">
        <f t="shared" si="1"/>
        <v>85</v>
      </c>
    </row>
    <row r="1175" ht="15.75" customHeight="1">
      <c r="A1175" s="1">
        <f>IFERROR(__xludf.DUMMYFUNCTION("""COMPUTED_VALUE"""),45600.66666666667)</f>
        <v>45600.66667</v>
      </c>
      <c r="B1175" s="2">
        <f>IFERROR(__xludf.DUMMYFUNCTION("""COMPUTED_VALUE"""),1520.0)</f>
        <v>1520</v>
      </c>
      <c r="C1175" s="2">
        <f>IFERROR(__xludf.DUMMYFUNCTION("""COMPUTED_VALUE"""),1560.0)</f>
        <v>1560</v>
      </c>
      <c r="D1175" s="2">
        <f>IFERROR(__xludf.DUMMYFUNCTION("""COMPUTED_VALUE"""),1480.0)</f>
        <v>1480</v>
      </c>
      <c r="E1175" s="2">
        <f>IFERROR(__xludf.DUMMYFUNCTION("""COMPUTED_VALUE"""),1525.0)</f>
        <v>1525</v>
      </c>
      <c r="F1175" s="2">
        <f>IFERROR(__xludf.DUMMYFUNCTION("""COMPUTED_VALUE"""),9.08226E7)</f>
        <v>90822600</v>
      </c>
      <c r="G1175" s="2">
        <f t="shared" si="1"/>
        <v>80</v>
      </c>
    </row>
    <row r="1176" ht="15.75" customHeight="1">
      <c r="A1176" s="1">
        <f>IFERROR(__xludf.DUMMYFUNCTION("""COMPUTED_VALUE"""),45601.66666666667)</f>
        <v>45601.66667</v>
      </c>
      <c r="B1176" s="2">
        <f>IFERROR(__xludf.DUMMYFUNCTION("""COMPUTED_VALUE"""),1525.0)</f>
        <v>1525</v>
      </c>
      <c r="C1176" s="2">
        <f>IFERROR(__xludf.DUMMYFUNCTION("""COMPUTED_VALUE"""),1575.0)</f>
        <v>1575</v>
      </c>
      <c r="D1176" s="2">
        <f>IFERROR(__xludf.DUMMYFUNCTION("""COMPUTED_VALUE"""),1525.0)</f>
        <v>1525</v>
      </c>
      <c r="E1176" s="2">
        <f>IFERROR(__xludf.DUMMYFUNCTION("""COMPUTED_VALUE"""),1575.0)</f>
        <v>1575</v>
      </c>
      <c r="F1176" s="2">
        <f>IFERROR(__xludf.DUMMYFUNCTION("""COMPUTED_VALUE"""),1.131695E8)</f>
        <v>113169500</v>
      </c>
      <c r="G1176" s="2">
        <f t="shared" si="1"/>
        <v>50</v>
      </c>
    </row>
    <row r="1177" ht="15.75" customHeight="1">
      <c r="A1177" s="1">
        <f>IFERROR(__xludf.DUMMYFUNCTION("""COMPUTED_VALUE"""),45602.66666666667)</f>
        <v>45602.66667</v>
      </c>
      <c r="B1177" s="2">
        <f>IFERROR(__xludf.DUMMYFUNCTION("""COMPUTED_VALUE"""),1575.0)</f>
        <v>1575</v>
      </c>
      <c r="C1177" s="2">
        <f>IFERROR(__xludf.DUMMYFUNCTION("""COMPUTED_VALUE"""),1590.0)</f>
        <v>1590</v>
      </c>
      <c r="D1177" s="2">
        <f>IFERROR(__xludf.DUMMYFUNCTION("""COMPUTED_VALUE"""),1530.0)</f>
        <v>1530</v>
      </c>
      <c r="E1177" s="2">
        <f>IFERROR(__xludf.DUMMYFUNCTION("""COMPUTED_VALUE"""),1540.0)</f>
        <v>1540</v>
      </c>
      <c r="F1177" s="2">
        <f>IFERROR(__xludf.DUMMYFUNCTION("""COMPUTED_VALUE"""),7.04103E7)</f>
        <v>70410300</v>
      </c>
      <c r="G1177" s="2">
        <f t="shared" si="1"/>
        <v>60</v>
      </c>
    </row>
    <row r="1178" ht="15.75" customHeight="1">
      <c r="A1178" s="1">
        <f>IFERROR(__xludf.DUMMYFUNCTION("""COMPUTED_VALUE"""),45603.66666666667)</f>
        <v>45603.66667</v>
      </c>
      <c r="B1178" s="2">
        <f>IFERROR(__xludf.DUMMYFUNCTION("""COMPUTED_VALUE"""),1520.0)</f>
        <v>1520</v>
      </c>
      <c r="C1178" s="2">
        <f>IFERROR(__xludf.DUMMYFUNCTION("""COMPUTED_VALUE"""),1580.0)</f>
        <v>1580</v>
      </c>
      <c r="D1178" s="2">
        <f>IFERROR(__xludf.DUMMYFUNCTION("""COMPUTED_VALUE"""),1480.0)</f>
        <v>1480</v>
      </c>
      <c r="E1178" s="2">
        <f>IFERROR(__xludf.DUMMYFUNCTION("""COMPUTED_VALUE"""),1575.0)</f>
        <v>1575</v>
      </c>
      <c r="F1178" s="2">
        <f>IFERROR(__xludf.DUMMYFUNCTION("""COMPUTED_VALUE"""),1.192309E8)</f>
        <v>119230900</v>
      </c>
      <c r="G1178" s="2">
        <f t="shared" si="1"/>
        <v>100</v>
      </c>
    </row>
    <row r="1179" ht="15.75" customHeight="1">
      <c r="A1179" s="1">
        <f>IFERROR(__xludf.DUMMYFUNCTION("""COMPUTED_VALUE"""),45604.66666666667)</f>
        <v>45604.66667</v>
      </c>
      <c r="B1179" s="2">
        <f>IFERROR(__xludf.DUMMYFUNCTION("""COMPUTED_VALUE"""),1595.0)</f>
        <v>1595</v>
      </c>
      <c r="C1179" s="2">
        <f>IFERROR(__xludf.DUMMYFUNCTION("""COMPUTED_VALUE"""),1610.0)</f>
        <v>1610</v>
      </c>
      <c r="D1179" s="2">
        <f>IFERROR(__xludf.DUMMYFUNCTION("""COMPUTED_VALUE"""),1565.0)</f>
        <v>1565</v>
      </c>
      <c r="E1179" s="2">
        <f>IFERROR(__xludf.DUMMYFUNCTION("""COMPUTED_VALUE"""),1585.0)</f>
        <v>1585</v>
      </c>
      <c r="F1179" s="2">
        <f>IFERROR(__xludf.DUMMYFUNCTION("""COMPUTED_VALUE"""),6.1159E7)</f>
        <v>61159000</v>
      </c>
      <c r="G1179" s="2">
        <f t="shared" si="1"/>
        <v>45</v>
      </c>
    </row>
    <row r="1180" ht="15.75" customHeight="1">
      <c r="A1180" s="1">
        <f>IFERROR(__xludf.DUMMYFUNCTION("""COMPUTED_VALUE"""),45607.66666666667)</f>
        <v>45607.66667</v>
      </c>
      <c r="B1180" s="2">
        <f>IFERROR(__xludf.DUMMYFUNCTION("""COMPUTED_VALUE"""),1580.0)</f>
        <v>1580</v>
      </c>
      <c r="C1180" s="2">
        <f>IFERROR(__xludf.DUMMYFUNCTION("""COMPUTED_VALUE"""),1580.0)</f>
        <v>1580</v>
      </c>
      <c r="D1180" s="2">
        <f>IFERROR(__xludf.DUMMYFUNCTION("""COMPUTED_VALUE"""),1515.0)</f>
        <v>1515</v>
      </c>
      <c r="E1180" s="2">
        <f>IFERROR(__xludf.DUMMYFUNCTION("""COMPUTED_VALUE"""),1530.0)</f>
        <v>1530</v>
      </c>
      <c r="F1180" s="2">
        <f>IFERROR(__xludf.DUMMYFUNCTION("""COMPUTED_VALUE"""),4.90215E7)</f>
        <v>49021500</v>
      </c>
      <c r="G1180" s="2">
        <f t="shared" si="1"/>
        <v>70</v>
      </c>
    </row>
    <row r="1181" ht="15.75" customHeight="1">
      <c r="A1181" s="1">
        <f>IFERROR(__xludf.DUMMYFUNCTION("""COMPUTED_VALUE"""),45608.66666666667)</f>
        <v>45608.66667</v>
      </c>
      <c r="B1181" s="2">
        <f>IFERROR(__xludf.DUMMYFUNCTION("""COMPUTED_VALUE"""),1510.0)</f>
        <v>1510</v>
      </c>
      <c r="C1181" s="2">
        <f>IFERROR(__xludf.DUMMYFUNCTION("""COMPUTED_VALUE"""),1565.0)</f>
        <v>1565</v>
      </c>
      <c r="D1181" s="2">
        <f>IFERROR(__xludf.DUMMYFUNCTION("""COMPUTED_VALUE"""),1510.0)</f>
        <v>1510</v>
      </c>
      <c r="E1181" s="2">
        <f>IFERROR(__xludf.DUMMYFUNCTION("""COMPUTED_VALUE"""),1565.0)</f>
        <v>1565</v>
      </c>
      <c r="F1181" s="2">
        <f>IFERROR(__xludf.DUMMYFUNCTION("""COMPUTED_VALUE"""),5.09025E7)</f>
        <v>50902500</v>
      </c>
      <c r="G1181" s="2">
        <f t="shared" si="1"/>
        <v>55</v>
      </c>
    </row>
    <row r="1182" ht="15.75" customHeight="1">
      <c r="A1182" s="1">
        <f>IFERROR(__xludf.DUMMYFUNCTION("""COMPUTED_VALUE"""),45609.66666666667)</f>
        <v>45609.66667</v>
      </c>
      <c r="B1182" s="2">
        <f>IFERROR(__xludf.DUMMYFUNCTION("""COMPUTED_VALUE"""),1560.0)</f>
        <v>1560</v>
      </c>
      <c r="C1182" s="2">
        <f>IFERROR(__xludf.DUMMYFUNCTION("""COMPUTED_VALUE"""),1560.0)</f>
        <v>1560</v>
      </c>
      <c r="D1182" s="2">
        <f>IFERROR(__xludf.DUMMYFUNCTION("""COMPUTED_VALUE"""),1495.0)</f>
        <v>1495</v>
      </c>
      <c r="E1182" s="2">
        <f>IFERROR(__xludf.DUMMYFUNCTION("""COMPUTED_VALUE"""),1500.0)</f>
        <v>1500</v>
      </c>
      <c r="F1182" s="2">
        <f>IFERROR(__xludf.DUMMYFUNCTION("""COMPUTED_VALUE"""),5.20079E7)</f>
        <v>52007900</v>
      </c>
      <c r="G1182" s="2">
        <f t="shared" si="1"/>
        <v>70</v>
      </c>
    </row>
    <row r="1183" ht="15.75" customHeight="1">
      <c r="A1183" s="1">
        <f>IFERROR(__xludf.DUMMYFUNCTION("""COMPUTED_VALUE"""),45610.66666666667)</f>
        <v>45610.66667</v>
      </c>
      <c r="B1183" s="2">
        <f>IFERROR(__xludf.DUMMYFUNCTION("""COMPUTED_VALUE"""),1500.0)</f>
        <v>1500</v>
      </c>
      <c r="C1183" s="2">
        <f>IFERROR(__xludf.DUMMYFUNCTION("""COMPUTED_VALUE"""),1500.0)</f>
        <v>1500</v>
      </c>
      <c r="D1183" s="2">
        <f>IFERROR(__xludf.DUMMYFUNCTION("""COMPUTED_VALUE"""),1455.0)</f>
        <v>1455</v>
      </c>
      <c r="E1183" s="2">
        <f>IFERROR(__xludf.DUMMYFUNCTION("""COMPUTED_VALUE"""),1480.0)</f>
        <v>1480</v>
      </c>
      <c r="F1183" s="2">
        <f>IFERROR(__xludf.DUMMYFUNCTION("""COMPUTED_VALUE"""),6.3863E7)</f>
        <v>63863000</v>
      </c>
      <c r="G1183" s="2">
        <f t="shared" si="1"/>
        <v>45</v>
      </c>
    </row>
    <row r="1184" ht="15.75" customHeight="1">
      <c r="A1184" s="1">
        <f>IFERROR(__xludf.DUMMYFUNCTION("""COMPUTED_VALUE"""),45611.66666666667)</f>
        <v>45611.66667</v>
      </c>
      <c r="B1184" s="2">
        <f>IFERROR(__xludf.DUMMYFUNCTION("""COMPUTED_VALUE"""),1470.0)</f>
        <v>1470</v>
      </c>
      <c r="C1184" s="2">
        <f>IFERROR(__xludf.DUMMYFUNCTION("""COMPUTED_VALUE"""),1480.0)</f>
        <v>1480</v>
      </c>
      <c r="D1184" s="2">
        <f>IFERROR(__xludf.DUMMYFUNCTION("""COMPUTED_VALUE"""),1385.0)</f>
        <v>1385</v>
      </c>
      <c r="E1184" s="2">
        <f>IFERROR(__xludf.DUMMYFUNCTION("""COMPUTED_VALUE"""),1400.0)</f>
        <v>1400</v>
      </c>
      <c r="F1184" s="2">
        <f>IFERROR(__xludf.DUMMYFUNCTION("""COMPUTED_VALUE"""),9.98683E7)</f>
        <v>99868300</v>
      </c>
      <c r="G1184" s="2">
        <f t="shared" si="1"/>
        <v>95</v>
      </c>
    </row>
    <row r="1185" ht="15.75" customHeight="1">
      <c r="A1185" s="1">
        <f>IFERROR(__xludf.DUMMYFUNCTION("""COMPUTED_VALUE"""),45614.66666666667)</f>
        <v>45614.66667</v>
      </c>
      <c r="B1185" s="2">
        <f>IFERROR(__xludf.DUMMYFUNCTION("""COMPUTED_VALUE"""),1405.0)</f>
        <v>1405</v>
      </c>
      <c r="C1185" s="2">
        <f>IFERROR(__xludf.DUMMYFUNCTION("""COMPUTED_VALUE"""),1425.0)</f>
        <v>1425</v>
      </c>
      <c r="D1185" s="2">
        <f>IFERROR(__xludf.DUMMYFUNCTION("""COMPUTED_VALUE"""),1395.0)</f>
        <v>1395</v>
      </c>
      <c r="E1185" s="2">
        <f>IFERROR(__xludf.DUMMYFUNCTION("""COMPUTED_VALUE"""),1395.0)</f>
        <v>1395</v>
      </c>
      <c r="F1185" s="2">
        <f>IFERROR(__xludf.DUMMYFUNCTION("""COMPUTED_VALUE"""),3.27397E7)</f>
        <v>32739700</v>
      </c>
      <c r="G1185" s="2">
        <f t="shared" si="1"/>
        <v>30</v>
      </c>
    </row>
    <row r="1186" ht="15.75" customHeight="1">
      <c r="A1186" s="1">
        <f>IFERROR(__xludf.DUMMYFUNCTION("""COMPUTED_VALUE"""),45615.66666666667)</f>
        <v>45615.66667</v>
      </c>
      <c r="B1186" s="2">
        <f>IFERROR(__xludf.DUMMYFUNCTION("""COMPUTED_VALUE"""),1410.0)</f>
        <v>1410</v>
      </c>
      <c r="C1186" s="2">
        <f>IFERROR(__xludf.DUMMYFUNCTION("""COMPUTED_VALUE"""),1485.0)</f>
        <v>1485</v>
      </c>
      <c r="D1186" s="2">
        <f>IFERROR(__xludf.DUMMYFUNCTION("""COMPUTED_VALUE"""),1410.0)</f>
        <v>1410</v>
      </c>
      <c r="E1186" s="2">
        <f>IFERROR(__xludf.DUMMYFUNCTION("""COMPUTED_VALUE"""),1475.0)</f>
        <v>1475</v>
      </c>
      <c r="F1186" s="2">
        <f>IFERROR(__xludf.DUMMYFUNCTION("""COMPUTED_VALUE"""),8.29401E7)</f>
        <v>82940100</v>
      </c>
      <c r="G1186" s="2">
        <f t="shared" si="1"/>
        <v>90</v>
      </c>
    </row>
    <row r="1187" ht="15.75" customHeight="1">
      <c r="A1187" s="1">
        <f>IFERROR(__xludf.DUMMYFUNCTION("""COMPUTED_VALUE"""),45616.66666666667)</f>
        <v>45616.66667</v>
      </c>
      <c r="B1187" s="2">
        <f>IFERROR(__xludf.DUMMYFUNCTION("""COMPUTED_VALUE"""),1490.0)</f>
        <v>1490</v>
      </c>
      <c r="C1187" s="2">
        <f>IFERROR(__xludf.DUMMYFUNCTION("""COMPUTED_VALUE"""),1510.0)</f>
        <v>1510</v>
      </c>
      <c r="D1187" s="2">
        <f>IFERROR(__xludf.DUMMYFUNCTION("""COMPUTED_VALUE"""),1460.0)</f>
        <v>1460</v>
      </c>
      <c r="E1187" s="2">
        <f>IFERROR(__xludf.DUMMYFUNCTION("""COMPUTED_VALUE"""),1470.0)</f>
        <v>1470</v>
      </c>
      <c r="F1187" s="2">
        <f>IFERROR(__xludf.DUMMYFUNCTION("""COMPUTED_VALUE"""),6.37243E7)</f>
        <v>63724300</v>
      </c>
      <c r="G1187" s="2">
        <f t="shared" si="1"/>
        <v>50</v>
      </c>
    </row>
    <row r="1188" ht="15.75" customHeight="1">
      <c r="A1188" s="1">
        <f>IFERROR(__xludf.DUMMYFUNCTION("""COMPUTED_VALUE"""),45617.66666666667)</f>
        <v>45617.66667</v>
      </c>
      <c r="B1188" s="2">
        <f>IFERROR(__xludf.DUMMYFUNCTION("""COMPUTED_VALUE"""),1475.0)</f>
        <v>1475</v>
      </c>
      <c r="C1188" s="2">
        <f>IFERROR(__xludf.DUMMYFUNCTION("""COMPUTED_VALUE"""),1500.0)</f>
        <v>1500</v>
      </c>
      <c r="D1188" s="2">
        <f>IFERROR(__xludf.DUMMYFUNCTION("""COMPUTED_VALUE"""),1465.0)</f>
        <v>1465</v>
      </c>
      <c r="E1188" s="2">
        <f>IFERROR(__xludf.DUMMYFUNCTION("""COMPUTED_VALUE"""),1490.0)</f>
        <v>1490</v>
      </c>
      <c r="F1188" s="2">
        <f>IFERROR(__xludf.DUMMYFUNCTION("""COMPUTED_VALUE"""),4.72535E7)</f>
        <v>47253500</v>
      </c>
      <c r="G1188" s="2">
        <f t="shared" si="1"/>
        <v>35</v>
      </c>
    </row>
    <row r="1189" ht="15.75" customHeight="1">
      <c r="A1189" s="1">
        <f>IFERROR(__xludf.DUMMYFUNCTION("""COMPUTED_VALUE"""),45618.66666666667)</f>
        <v>45618.66667</v>
      </c>
      <c r="B1189" s="2">
        <f>IFERROR(__xludf.DUMMYFUNCTION("""COMPUTED_VALUE"""),1495.0)</f>
        <v>1495</v>
      </c>
      <c r="C1189" s="2">
        <f>IFERROR(__xludf.DUMMYFUNCTION("""COMPUTED_VALUE"""),1495.0)</f>
        <v>1495</v>
      </c>
      <c r="D1189" s="2">
        <f>IFERROR(__xludf.DUMMYFUNCTION("""COMPUTED_VALUE"""),1450.0)</f>
        <v>1450</v>
      </c>
      <c r="E1189" s="2">
        <f>IFERROR(__xludf.DUMMYFUNCTION("""COMPUTED_VALUE"""),1450.0)</f>
        <v>1450</v>
      </c>
      <c r="F1189" s="2">
        <f>IFERROR(__xludf.DUMMYFUNCTION("""COMPUTED_VALUE"""),3.3202E7)</f>
        <v>33202000</v>
      </c>
      <c r="G1189" s="2">
        <f t="shared" si="1"/>
        <v>45</v>
      </c>
    </row>
    <row r="1190" ht="15.75" customHeight="1">
      <c r="A1190" s="1">
        <f>IFERROR(__xludf.DUMMYFUNCTION("""COMPUTED_VALUE"""),45621.66666666667)</f>
        <v>45621.66667</v>
      </c>
      <c r="B1190" s="2">
        <f>IFERROR(__xludf.DUMMYFUNCTION("""COMPUTED_VALUE"""),1460.0)</f>
        <v>1460</v>
      </c>
      <c r="C1190" s="2">
        <f>IFERROR(__xludf.DUMMYFUNCTION("""COMPUTED_VALUE"""),1485.0)</f>
        <v>1485</v>
      </c>
      <c r="D1190" s="2">
        <f>IFERROR(__xludf.DUMMYFUNCTION("""COMPUTED_VALUE"""),1435.0)</f>
        <v>1435</v>
      </c>
      <c r="E1190" s="2">
        <f>IFERROR(__xludf.DUMMYFUNCTION("""COMPUTED_VALUE"""),1485.0)</f>
        <v>1485</v>
      </c>
      <c r="F1190" s="2">
        <f>IFERROR(__xludf.DUMMYFUNCTION("""COMPUTED_VALUE"""),6.80219E7)</f>
        <v>68021900</v>
      </c>
      <c r="G1190" s="2">
        <f t="shared" si="1"/>
        <v>50</v>
      </c>
    </row>
    <row r="1191" ht="15.75" customHeight="1">
      <c r="A1191" s="1">
        <f>IFERROR(__xludf.DUMMYFUNCTION("""COMPUTED_VALUE"""),45622.66666666667)</f>
        <v>45622.66667</v>
      </c>
      <c r="B1191" s="2">
        <f>IFERROR(__xludf.DUMMYFUNCTION("""COMPUTED_VALUE"""),1485.0)</f>
        <v>1485</v>
      </c>
      <c r="C1191" s="2">
        <f>IFERROR(__xludf.DUMMYFUNCTION("""COMPUTED_VALUE"""),1485.0)</f>
        <v>1485</v>
      </c>
      <c r="D1191" s="2">
        <f>IFERROR(__xludf.DUMMYFUNCTION("""COMPUTED_VALUE"""),1445.0)</f>
        <v>1445</v>
      </c>
      <c r="E1191" s="2">
        <f>IFERROR(__xludf.DUMMYFUNCTION("""COMPUTED_VALUE"""),1450.0)</f>
        <v>1450</v>
      </c>
      <c r="F1191" s="2">
        <f>IFERROR(__xludf.DUMMYFUNCTION("""COMPUTED_VALUE"""),3.02823E7)</f>
        <v>30282300</v>
      </c>
      <c r="G1191" s="2">
        <f t="shared" si="1"/>
        <v>40</v>
      </c>
    </row>
    <row r="1192" ht="15.75" customHeight="1">
      <c r="A1192" s="1">
        <f>IFERROR(__xludf.DUMMYFUNCTION("""COMPUTED_VALUE"""),45624.66666666667)</f>
        <v>45624.66667</v>
      </c>
      <c r="B1192" s="2">
        <f>IFERROR(__xludf.DUMMYFUNCTION("""COMPUTED_VALUE"""),1455.0)</f>
        <v>1455</v>
      </c>
      <c r="C1192" s="2">
        <f>IFERROR(__xludf.DUMMYFUNCTION("""COMPUTED_VALUE"""),1475.0)</f>
        <v>1475</v>
      </c>
      <c r="D1192" s="2">
        <f>IFERROR(__xludf.DUMMYFUNCTION("""COMPUTED_VALUE"""),1420.0)</f>
        <v>1420</v>
      </c>
      <c r="E1192" s="2">
        <f>IFERROR(__xludf.DUMMYFUNCTION("""COMPUTED_VALUE"""),1420.0)</f>
        <v>1420</v>
      </c>
      <c r="F1192" s="2">
        <f>IFERROR(__xludf.DUMMYFUNCTION("""COMPUTED_VALUE"""),3.07303E7)</f>
        <v>30730300</v>
      </c>
      <c r="G1192" s="2">
        <f t="shared" si="1"/>
        <v>55</v>
      </c>
    </row>
    <row r="1193" ht="15.75" customHeight="1">
      <c r="A1193" s="1">
        <f>IFERROR(__xludf.DUMMYFUNCTION("""COMPUTED_VALUE"""),45625.66666666667)</f>
        <v>45625.66667</v>
      </c>
      <c r="B1193" s="2">
        <f>IFERROR(__xludf.DUMMYFUNCTION("""COMPUTED_VALUE"""),1420.0)</f>
        <v>1420</v>
      </c>
      <c r="C1193" s="2">
        <f>IFERROR(__xludf.DUMMYFUNCTION("""COMPUTED_VALUE"""),1445.0)</f>
        <v>1445</v>
      </c>
      <c r="D1193" s="2">
        <f>IFERROR(__xludf.DUMMYFUNCTION("""COMPUTED_VALUE"""),1395.0)</f>
        <v>1395</v>
      </c>
      <c r="E1193" s="2">
        <f>IFERROR(__xludf.DUMMYFUNCTION("""COMPUTED_VALUE"""),1430.0)</f>
        <v>1430</v>
      </c>
      <c r="F1193" s="2">
        <f>IFERROR(__xludf.DUMMYFUNCTION("""COMPUTED_VALUE"""),4.47033E7)</f>
        <v>44703300</v>
      </c>
      <c r="G1193" s="2">
        <f t="shared" si="1"/>
        <v>50</v>
      </c>
    </row>
    <row r="1194" ht="15.75" customHeight="1">
      <c r="A1194" s="1">
        <f>IFERROR(__xludf.DUMMYFUNCTION("""COMPUTED_VALUE"""),45628.66666666667)</f>
        <v>45628.66667</v>
      </c>
      <c r="B1194" s="2">
        <f>IFERROR(__xludf.DUMMYFUNCTION("""COMPUTED_VALUE"""),1410.0)</f>
        <v>1410</v>
      </c>
      <c r="C1194" s="2">
        <f>IFERROR(__xludf.DUMMYFUNCTION("""COMPUTED_VALUE"""),1435.0)</f>
        <v>1435</v>
      </c>
      <c r="D1194" s="2">
        <f>IFERROR(__xludf.DUMMYFUNCTION("""COMPUTED_VALUE"""),1410.0)</f>
        <v>1410</v>
      </c>
      <c r="E1194" s="2">
        <f>IFERROR(__xludf.DUMMYFUNCTION("""COMPUTED_VALUE"""),1410.0)</f>
        <v>1410</v>
      </c>
      <c r="F1194" s="2">
        <f>IFERROR(__xludf.DUMMYFUNCTION("""COMPUTED_VALUE"""),2.86407E7)</f>
        <v>28640700</v>
      </c>
      <c r="G1194" s="2">
        <f t="shared" si="1"/>
        <v>25</v>
      </c>
    </row>
    <row r="1195" ht="15.75" customHeight="1">
      <c r="A1195" s="1">
        <f>IFERROR(__xludf.DUMMYFUNCTION("""COMPUTED_VALUE"""),45629.66666666667)</f>
        <v>45629.66667</v>
      </c>
      <c r="B1195" s="2">
        <f>IFERROR(__xludf.DUMMYFUNCTION("""COMPUTED_VALUE"""),1410.0)</f>
        <v>1410</v>
      </c>
      <c r="C1195" s="2">
        <f>IFERROR(__xludf.DUMMYFUNCTION("""COMPUTED_VALUE"""),1470.0)</f>
        <v>1470</v>
      </c>
      <c r="D1195" s="2">
        <f>IFERROR(__xludf.DUMMYFUNCTION("""COMPUTED_VALUE"""),1410.0)</f>
        <v>1410</v>
      </c>
      <c r="E1195" s="2">
        <f>IFERROR(__xludf.DUMMYFUNCTION("""COMPUTED_VALUE"""),1450.0)</f>
        <v>1450</v>
      </c>
      <c r="F1195" s="2">
        <f>IFERROR(__xludf.DUMMYFUNCTION("""COMPUTED_VALUE"""),6.11912E7)</f>
        <v>61191200</v>
      </c>
      <c r="G1195" s="2">
        <f t="shared" si="1"/>
        <v>60</v>
      </c>
    </row>
    <row r="1196" ht="15.75" customHeight="1">
      <c r="A1196" s="1">
        <f>IFERROR(__xludf.DUMMYFUNCTION("""COMPUTED_VALUE"""),45630.66666666667)</f>
        <v>45630.66667</v>
      </c>
      <c r="B1196" s="2">
        <f>IFERROR(__xludf.DUMMYFUNCTION("""COMPUTED_VALUE"""),1445.0)</f>
        <v>1445</v>
      </c>
      <c r="C1196" s="2">
        <f>IFERROR(__xludf.DUMMYFUNCTION("""COMPUTED_VALUE"""),1470.0)</f>
        <v>1470</v>
      </c>
      <c r="D1196" s="2">
        <f>IFERROR(__xludf.DUMMYFUNCTION("""COMPUTED_VALUE"""),1440.0)</f>
        <v>1440</v>
      </c>
      <c r="E1196" s="2">
        <f>IFERROR(__xludf.DUMMYFUNCTION("""COMPUTED_VALUE"""),1465.0)</f>
        <v>1465</v>
      </c>
      <c r="F1196" s="2">
        <f>IFERROR(__xludf.DUMMYFUNCTION("""COMPUTED_VALUE"""),4.60678E7)</f>
        <v>46067800</v>
      </c>
      <c r="G1196" s="2">
        <f t="shared" si="1"/>
        <v>30</v>
      </c>
    </row>
    <row r="1197" ht="15.75" customHeight="1">
      <c r="A1197" s="1">
        <f>IFERROR(__xludf.DUMMYFUNCTION("""COMPUTED_VALUE"""),45631.66666666667)</f>
        <v>45631.66667</v>
      </c>
      <c r="B1197" s="2">
        <f>IFERROR(__xludf.DUMMYFUNCTION("""COMPUTED_VALUE"""),1470.0)</f>
        <v>1470</v>
      </c>
      <c r="C1197" s="2">
        <f>IFERROR(__xludf.DUMMYFUNCTION("""COMPUTED_VALUE"""),1495.0)</f>
        <v>1495</v>
      </c>
      <c r="D1197" s="2">
        <f>IFERROR(__xludf.DUMMYFUNCTION("""COMPUTED_VALUE"""),1450.0)</f>
        <v>1450</v>
      </c>
      <c r="E1197" s="2">
        <f>IFERROR(__xludf.DUMMYFUNCTION("""COMPUTED_VALUE"""),1490.0)</f>
        <v>1490</v>
      </c>
      <c r="F1197" s="2">
        <f>IFERROR(__xludf.DUMMYFUNCTION("""COMPUTED_VALUE"""),5.76496E7)</f>
        <v>57649600</v>
      </c>
      <c r="G1197" s="2">
        <f t="shared" si="1"/>
        <v>45</v>
      </c>
    </row>
    <row r="1198" ht="15.75" customHeight="1">
      <c r="A1198" s="1">
        <f>IFERROR(__xludf.DUMMYFUNCTION("""COMPUTED_VALUE"""),45632.66666666667)</f>
        <v>45632.66667</v>
      </c>
      <c r="B1198" s="2">
        <f>IFERROR(__xludf.DUMMYFUNCTION("""COMPUTED_VALUE"""),1490.0)</f>
        <v>1490</v>
      </c>
      <c r="C1198" s="2">
        <f>IFERROR(__xludf.DUMMYFUNCTION("""COMPUTED_VALUE"""),1495.0)</f>
        <v>1495</v>
      </c>
      <c r="D1198" s="2">
        <f>IFERROR(__xludf.DUMMYFUNCTION("""COMPUTED_VALUE"""),1465.0)</f>
        <v>1465</v>
      </c>
      <c r="E1198" s="2">
        <f>IFERROR(__xludf.DUMMYFUNCTION("""COMPUTED_VALUE"""),1485.0)</f>
        <v>1485</v>
      </c>
      <c r="F1198" s="2">
        <f>IFERROR(__xludf.DUMMYFUNCTION("""COMPUTED_VALUE"""),3.35025E7)</f>
        <v>33502500</v>
      </c>
      <c r="G1198" s="2">
        <f t="shared" si="1"/>
        <v>30</v>
      </c>
    </row>
    <row r="1199" ht="15.75" customHeight="1">
      <c r="A1199" s="1">
        <f>IFERROR(__xludf.DUMMYFUNCTION("""COMPUTED_VALUE"""),45635.66666666667)</f>
        <v>45635.66667</v>
      </c>
      <c r="B1199" s="2">
        <f>IFERROR(__xludf.DUMMYFUNCTION("""COMPUTED_VALUE"""),1485.0)</f>
        <v>1485</v>
      </c>
      <c r="C1199" s="2">
        <f>IFERROR(__xludf.DUMMYFUNCTION("""COMPUTED_VALUE"""),1510.0)</f>
        <v>1510</v>
      </c>
      <c r="D1199" s="2">
        <f>IFERROR(__xludf.DUMMYFUNCTION("""COMPUTED_VALUE"""),1480.0)</f>
        <v>1480</v>
      </c>
      <c r="E1199" s="2">
        <f>IFERROR(__xludf.DUMMYFUNCTION("""COMPUTED_VALUE"""),1490.0)</f>
        <v>1490</v>
      </c>
      <c r="F1199" s="2">
        <f>IFERROR(__xludf.DUMMYFUNCTION("""COMPUTED_VALUE"""),4.26182E7)</f>
        <v>42618200</v>
      </c>
      <c r="G1199" s="2">
        <f t="shared" si="1"/>
        <v>30</v>
      </c>
    </row>
    <row r="1200" ht="15.75" customHeight="1">
      <c r="A1200" s="1">
        <f>IFERROR(__xludf.DUMMYFUNCTION("""COMPUTED_VALUE"""),45636.66666666667)</f>
        <v>45636.66667</v>
      </c>
      <c r="B1200" s="2">
        <f>IFERROR(__xludf.DUMMYFUNCTION("""COMPUTED_VALUE"""),1500.0)</f>
        <v>1500</v>
      </c>
      <c r="C1200" s="2">
        <f>IFERROR(__xludf.DUMMYFUNCTION("""COMPUTED_VALUE"""),1630.0)</f>
        <v>1630</v>
      </c>
      <c r="D1200" s="2">
        <f>IFERROR(__xludf.DUMMYFUNCTION("""COMPUTED_VALUE"""),1500.0)</f>
        <v>1500</v>
      </c>
      <c r="E1200" s="2">
        <f>IFERROR(__xludf.DUMMYFUNCTION("""COMPUTED_VALUE"""),1625.0)</f>
        <v>1625</v>
      </c>
      <c r="F1200" s="2">
        <f>IFERROR(__xludf.DUMMYFUNCTION("""COMPUTED_VALUE"""),1.581624E8)</f>
        <v>158162400</v>
      </c>
      <c r="G1200" s="2">
        <f t="shared" si="1"/>
        <v>140</v>
      </c>
    </row>
    <row r="1201" ht="15.75" customHeight="1">
      <c r="A1201" s="1">
        <f>IFERROR(__xludf.DUMMYFUNCTION("""COMPUTED_VALUE"""),45637.66666666667)</f>
        <v>45637.66667</v>
      </c>
      <c r="B1201" s="2">
        <f>IFERROR(__xludf.DUMMYFUNCTION("""COMPUTED_VALUE"""),1625.0)</f>
        <v>1625</v>
      </c>
      <c r="C1201" s="2">
        <f>IFERROR(__xludf.DUMMYFUNCTION("""COMPUTED_VALUE"""),1655.0)</f>
        <v>1655</v>
      </c>
      <c r="D1201" s="2">
        <f>IFERROR(__xludf.DUMMYFUNCTION("""COMPUTED_VALUE"""),1580.0)</f>
        <v>1580</v>
      </c>
      <c r="E1201" s="2">
        <f>IFERROR(__xludf.DUMMYFUNCTION("""COMPUTED_VALUE"""),1600.0)</f>
        <v>1600</v>
      </c>
      <c r="F1201" s="2">
        <f>IFERROR(__xludf.DUMMYFUNCTION("""COMPUTED_VALUE"""),7.29471E7)</f>
        <v>72947100</v>
      </c>
      <c r="G1201" s="2">
        <f t="shared" si="1"/>
        <v>75</v>
      </c>
    </row>
    <row r="1202" ht="15.75" customHeight="1">
      <c r="A1202" s="1">
        <f>IFERROR(__xludf.DUMMYFUNCTION("""COMPUTED_VALUE"""),45638.66666666667)</f>
        <v>45638.66667</v>
      </c>
      <c r="B1202" s="2">
        <f>IFERROR(__xludf.DUMMYFUNCTION("""COMPUTED_VALUE"""),1605.0)</f>
        <v>1605</v>
      </c>
      <c r="C1202" s="2">
        <f>IFERROR(__xludf.DUMMYFUNCTION("""COMPUTED_VALUE"""),1635.0)</f>
        <v>1635</v>
      </c>
      <c r="D1202" s="2">
        <f>IFERROR(__xludf.DUMMYFUNCTION("""COMPUTED_VALUE"""),1585.0)</f>
        <v>1585</v>
      </c>
      <c r="E1202" s="2">
        <f>IFERROR(__xludf.DUMMYFUNCTION("""COMPUTED_VALUE"""),1615.0)</f>
        <v>1615</v>
      </c>
      <c r="F1202" s="2">
        <f>IFERROR(__xludf.DUMMYFUNCTION("""COMPUTED_VALUE"""),6.2213E7)</f>
        <v>62213000</v>
      </c>
      <c r="G1202" s="2">
        <f t="shared" si="1"/>
        <v>50</v>
      </c>
    </row>
    <row r="1203" ht="15.75" customHeight="1">
      <c r="A1203" s="1">
        <f>IFERROR(__xludf.DUMMYFUNCTION("""COMPUTED_VALUE"""),45639.66666666667)</f>
        <v>45639.66667</v>
      </c>
      <c r="B1203" s="2">
        <f>IFERROR(__xludf.DUMMYFUNCTION("""COMPUTED_VALUE"""),1615.0)</f>
        <v>1615</v>
      </c>
      <c r="C1203" s="2">
        <f>IFERROR(__xludf.DUMMYFUNCTION("""COMPUTED_VALUE"""),1615.0)</f>
        <v>1615</v>
      </c>
      <c r="D1203" s="2">
        <f>IFERROR(__xludf.DUMMYFUNCTION("""COMPUTED_VALUE"""),1575.0)</f>
        <v>1575</v>
      </c>
      <c r="E1203" s="2">
        <f>IFERROR(__xludf.DUMMYFUNCTION("""COMPUTED_VALUE"""),1585.0)</f>
        <v>1585</v>
      </c>
      <c r="F1203" s="2">
        <f>IFERROR(__xludf.DUMMYFUNCTION("""COMPUTED_VALUE"""),4.27895E7)</f>
        <v>42789500</v>
      </c>
      <c r="G1203" s="2">
        <f t="shared" si="1"/>
        <v>40</v>
      </c>
    </row>
    <row r="1204" ht="15.75" customHeight="1">
      <c r="A1204" s="1">
        <f>IFERROR(__xludf.DUMMYFUNCTION("""COMPUTED_VALUE"""),45642.66666666667)</f>
        <v>45642.66667</v>
      </c>
      <c r="B1204" s="2">
        <f>IFERROR(__xludf.DUMMYFUNCTION("""COMPUTED_VALUE"""),1570.0)</f>
        <v>1570</v>
      </c>
      <c r="C1204" s="2">
        <f>IFERROR(__xludf.DUMMYFUNCTION("""COMPUTED_VALUE"""),1585.0)</f>
        <v>1585</v>
      </c>
      <c r="D1204" s="2">
        <f>IFERROR(__xludf.DUMMYFUNCTION("""COMPUTED_VALUE"""),1545.0)</f>
        <v>1545</v>
      </c>
      <c r="E1204" s="2">
        <f>IFERROR(__xludf.DUMMYFUNCTION("""COMPUTED_VALUE"""),1560.0)</f>
        <v>1560</v>
      </c>
      <c r="F1204" s="2">
        <f>IFERROR(__xludf.DUMMYFUNCTION("""COMPUTED_VALUE"""),2.84439E7)</f>
        <v>28443900</v>
      </c>
      <c r="G1204" s="2">
        <f t="shared" si="1"/>
        <v>40</v>
      </c>
    </row>
    <row r="1205" ht="15.75" customHeight="1">
      <c r="A1205" s="1">
        <f>IFERROR(__xludf.DUMMYFUNCTION("""COMPUTED_VALUE"""),45643.66666666667)</f>
        <v>45643.66667</v>
      </c>
      <c r="B1205" s="2">
        <f>IFERROR(__xludf.DUMMYFUNCTION("""COMPUTED_VALUE"""),1565.0)</f>
        <v>1565</v>
      </c>
      <c r="C1205" s="2">
        <f>IFERROR(__xludf.DUMMYFUNCTION("""COMPUTED_VALUE"""),1565.0)</f>
        <v>1565</v>
      </c>
      <c r="D1205" s="2">
        <f>IFERROR(__xludf.DUMMYFUNCTION("""COMPUTED_VALUE"""),1500.0)</f>
        <v>1500</v>
      </c>
      <c r="E1205" s="2">
        <f>IFERROR(__xludf.DUMMYFUNCTION("""COMPUTED_VALUE"""),1510.0)</f>
        <v>1510</v>
      </c>
      <c r="F1205" s="2">
        <f>IFERROR(__xludf.DUMMYFUNCTION("""COMPUTED_VALUE"""),4.58499E7)</f>
        <v>45849900</v>
      </c>
      <c r="G1205" s="2">
        <f t="shared" si="1"/>
        <v>65</v>
      </c>
    </row>
    <row r="1206" ht="15.75" customHeight="1">
      <c r="A1206" s="1">
        <f>IFERROR(__xludf.DUMMYFUNCTION("""COMPUTED_VALUE"""),45644.66666666667)</f>
        <v>45644.66667</v>
      </c>
      <c r="B1206" s="2">
        <f>IFERROR(__xludf.DUMMYFUNCTION("""COMPUTED_VALUE"""),1510.0)</f>
        <v>1510</v>
      </c>
      <c r="C1206" s="2">
        <f>IFERROR(__xludf.DUMMYFUNCTION("""COMPUTED_VALUE"""),1535.0)</f>
        <v>1535</v>
      </c>
      <c r="D1206" s="2">
        <f>IFERROR(__xludf.DUMMYFUNCTION("""COMPUTED_VALUE"""),1495.0)</f>
        <v>1495</v>
      </c>
      <c r="E1206" s="2">
        <f>IFERROR(__xludf.DUMMYFUNCTION("""COMPUTED_VALUE"""),1515.0)</f>
        <v>1515</v>
      </c>
      <c r="F1206" s="2">
        <f>IFERROR(__xludf.DUMMYFUNCTION("""COMPUTED_VALUE"""),2.58351E7)</f>
        <v>25835100</v>
      </c>
      <c r="G1206" s="2">
        <f t="shared" si="1"/>
        <v>40</v>
      </c>
    </row>
    <row r="1207" ht="15.75" customHeight="1">
      <c r="A1207" s="1">
        <f>IFERROR(__xludf.DUMMYFUNCTION("""COMPUTED_VALUE"""),45645.66666666667)</f>
        <v>45645.66667</v>
      </c>
      <c r="B1207" s="2">
        <f>IFERROR(__xludf.DUMMYFUNCTION("""COMPUTED_VALUE"""),1495.0)</f>
        <v>1495</v>
      </c>
      <c r="C1207" s="2">
        <f>IFERROR(__xludf.DUMMYFUNCTION("""COMPUTED_VALUE"""),1495.0)</f>
        <v>1495</v>
      </c>
      <c r="D1207" s="2">
        <f>IFERROR(__xludf.DUMMYFUNCTION("""COMPUTED_VALUE"""),1445.0)</f>
        <v>1445</v>
      </c>
      <c r="E1207" s="2">
        <f>IFERROR(__xludf.DUMMYFUNCTION("""COMPUTED_VALUE"""),1470.0)</f>
        <v>1470</v>
      </c>
      <c r="F1207" s="2">
        <f>IFERROR(__xludf.DUMMYFUNCTION("""COMPUTED_VALUE"""),4.08903E7)</f>
        <v>40890300</v>
      </c>
      <c r="G1207" s="2">
        <f t="shared" si="1"/>
        <v>70</v>
      </c>
    </row>
    <row r="1208" ht="15.75" customHeight="1">
      <c r="A1208" s="1">
        <f>IFERROR(__xludf.DUMMYFUNCTION("""COMPUTED_VALUE"""),45646.66666666667)</f>
        <v>45646.66667</v>
      </c>
      <c r="B1208" s="2">
        <f>IFERROR(__xludf.DUMMYFUNCTION("""COMPUTED_VALUE"""),1465.0)</f>
        <v>1465</v>
      </c>
      <c r="C1208" s="2">
        <f>IFERROR(__xludf.DUMMYFUNCTION("""COMPUTED_VALUE"""),1475.0)</f>
        <v>1475</v>
      </c>
      <c r="D1208" s="2">
        <f>IFERROR(__xludf.DUMMYFUNCTION("""COMPUTED_VALUE"""),1420.0)</f>
        <v>1420</v>
      </c>
      <c r="E1208" s="2">
        <f>IFERROR(__xludf.DUMMYFUNCTION("""COMPUTED_VALUE"""),1420.0)</f>
        <v>1420</v>
      </c>
      <c r="F1208" s="2">
        <f>IFERROR(__xludf.DUMMYFUNCTION("""COMPUTED_VALUE"""),3.14685E7)</f>
        <v>31468500</v>
      </c>
      <c r="G1208" s="2">
        <f t="shared" si="1"/>
        <v>55</v>
      </c>
    </row>
    <row r="1209" ht="15.75" customHeight="1">
      <c r="A1209" s="1">
        <f>IFERROR(__xludf.DUMMYFUNCTION("""COMPUTED_VALUE"""),45649.66666666667)</f>
        <v>45649.66667</v>
      </c>
      <c r="B1209" s="2">
        <f>IFERROR(__xludf.DUMMYFUNCTION("""COMPUTED_VALUE"""),1425.0)</f>
        <v>1425</v>
      </c>
      <c r="C1209" s="2">
        <f>IFERROR(__xludf.DUMMYFUNCTION("""COMPUTED_VALUE"""),1455.0)</f>
        <v>1455</v>
      </c>
      <c r="D1209" s="2">
        <f>IFERROR(__xludf.DUMMYFUNCTION("""COMPUTED_VALUE"""),1425.0)</f>
        <v>1425</v>
      </c>
      <c r="E1209" s="2">
        <f>IFERROR(__xludf.DUMMYFUNCTION("""COMPUTED_VALUE"""),1455.0)</f>
        <v>1455</v>
      </c>
      <c r="F1209" s="2">
        <f>IFERROR(__xludf.DUMMYFUNCTION("""COMPUTED_VALUE"""),3.1957E7)</f>
        <v>31957000</v>
      </c>
      <c r="G1209" s="2">
        <f t="shared" si="1"/>
        <v>35</v>
      </c>
    </row>
    <row r="1210" ht="15.75" customHeight="1">
      <c r="A1210" s="1">
        <f>IFERROR(__xludf.DUMMYFUNCTION("""COMPUTED_VALUE"""),45650.66666666667)</f>
        <v>45650.66667</v>
      </c>
      <c r="B1210" s="2">
        <f>IFERROR(__xludf.DUMMYFUNCTION("""COMPUTED_VALUE"""),1460.0)</f>
        <v>1460</v>
      </c>
      <c r="C1210" s="2">
        <f>IFERROR(__xludf.DUMMYFUNCTION("""COMPUTED_VALUE"""),1465.0)</f>
        <v>1465</v>
      </c>
      <c r="D1210" s="2">
        <f>IFERROR(__xludf.DUMMYFUNCTION("""COMPUTED_VALUE"""),1435.0)</f>
        <v>1435</v>
      </c>
      <c r="E1210" s="2">
        <f>IFERROR(__xludf.DUMMYFUNCTION("""COMPUTED_VALUE"""),1435.0)</f>
        <v>1435</v>
      </c>
      <c r="F1210" s="2">
        <f>IFERROR(__xludf.DUMMYFUNCTION("""COMPUTED_VALUE"""),1.95215E7)</f>
        <v>19521500</v>
      </c>
      <c r="G1210" s="2">
        <f t="shared" si="1"/>
        <v>30</v>
      </c>
    </row>
    <row r="1211" ht="15.75" customHeight="1">
      <c r="A1211" s="1">
        <f>IFERROR(__xludf.DUMMYFUNCTION("""COMPUTED_VALUE"""),45653.66666666667)</f>
        <v>45653.66667</v>
      </c>
      <c r="B1211" s="2">
        <f>IFERROR(__xludf.DUMMYFUNCTION("""COMPUTED_VALUE"""),1440.0)</f>
        <v>1440</v>
      </c>
      <c r="C1211" s="2">
        <f>IFERROR(__xludf.DUMMYFUNCTION("""COMPUTED_VALUE"""),1535.0)</f>
        <v>1535</v>
      </c>
      <c r="D1211" s="2">
        <f>IFERROR(__xludf.DUMMYFUNCTION("""COMPUTED_VALUE"""),1440.0)</f>
        <v>1440</v>
      </c>
      <c r="E1211" s="2">
        <f>IFERROR(__xludf.DUMMYFUNCTION("""COMPUTED_VALUE"""),1525.0)</f>
        <v>1525</v>
      </c>
      <c r="F1211" s="2">
        <f>IFERROR(__xludf.DUMMYFUNCTION("""COMPUTED_VALUE"""),5.10447E7)</f>
        <v>51044700</v>
      </c>
      <c r="G1211" s="2">
        <f t="shared" si="1"/>
        <v>100</v>
      </c>
    </row>
    <row r="1212" ht="15.75" customHeight="1">
      <c r="A1212" s="1">
        <f>IFERROR(__xludf.DUMMYFUNCTION("""COMPUTED_VALUE"""),45656.66666666667)</f>
        <v>45656.66667</v>
      </c>
      <c r="B1212" s="2">
        <f>IFERROR(__xludf.DUMMYFUNCTION("""COMPUTED_VALUE"""),1525.0)</f>
        <v>1525</v>
      </c>
      <c r="C1212" s="2">
        <f>IFERROR(__xludf.DUMMYFUNCTION("""COMPUTED_VALUE"""),1545.0)</f>
        <v>1545</v>
      </c>
      <c r="D1212" s="2">
        <f>IFERROR(__xludf.DUMMYFUNCTION("""COMPUTED_VALUE"""),1490.0)</f>
        <v>1490</v>
      </c>
      <c r="E1212" s="2">
        <f>IFERROR(__xludf.DUMMYFUNCTION("""COMPUTED_VALUE"""),1525.0)</f>
        <v>1525</v>
      </c>
      <c r="F1212" s="2">
        <f>IFERROR(__xludf.DUMMYFUNCTION("""COMPUTED_VALUE"""),4.22383E7)</f>
        <v>42238300</v>
      </c>
      <c r="G1212" s="2">
        <f t="shared" si="1"/>
        <v>55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23.63"/>
    <col customWidth="1" min="2" max="7" width="12.63"/>
  </cols>
  <sheetData>
    <row r="1" ht="15.75" customHeight="1">
      <c r="A1" s="1" t="str">
        <f>IFERROR(__xludf.DUMMYFUNCTION("GOOGLEFINANCE(""IDX:BBNI"", ""all"", DATE(2020,1,1), DATE(2025,1,1), ""DAILY"")
"),"Date")</f>
        <v>Date</v>
      </c>
      <c r="B1" s="2" t="str">
        <f>IFERROR(__xludf.DUMMYFUNCTION("""COMPUTED_VALUE"""),"Open")</f>
        <v>Open</v>
      </c>
      <c r="C1" s="2" t="str">
        <f>IFERROR(__xludf.DUMMYFUNCTION("""COMPUTED_VALUE"""),"High")</f>
        <v>High</v>
      </c>
      <c r="D1" s="2" t="str">
        <f>IFERROR(__xludf.DUMMYFUNCTION("""COMPUTED_VALUE"""),"Low")</f>
        <v>Low</v>
      </c>
      <c r="E1" s="2" t="str">
        <f>IFERROR(__xludf.DUMMYFUNCTION("""COMPUTED_VALUE"""),"Close")</f>
        <v>Close</v>
      </c>
      <c r="F1" s="2" t="str">
        <f>IFERROR(__xludf.DUMMYFUNCTION("""COMPUTED_VALUE"""),"Volume")</f>
        <v>Volume</v>
      </c>
      <c r="G1" s="3" t="s">
        <v>0</v>
      </c>
    </row>
    <row r="2" ht="15.75" customHeight="1">
      <c r="A2" s="1">
        <f>IFERROR(__xludf.DUMMYFUNCTION("""COMPUTED_VALUE"""),43832.66666666667)</f>
        <v>43832.66667</v>
      </c>
      <c r="B2" s="2">
        <f>IFERROR(__xludf.DUMMYFUNCTION("""COMPUTED_VALUE"""),3937.5)</f>
        <v>3937.5</v>
      </c>
      <c r="C2" s="2">
        <f>IFERROR(__xludf.DUMMYFUNCTION("""COMPUTED_VALUE"""),3937.5)</f>
        <v>3937.5</v>
      </c>
      <c r="D2" s="2">
        <f>IFERROR(__xludf.DUMMYFUNCTION("""COMPUTED_VALUE"""),3887.5)</f>
        <v>3887.5</v>
      </c>
      <c r="E2" s="2">
        <f>IFERROR(__xludf.DUMMYFUNCTION("""COMPUTED_VALUE"""),3887.5)</f>
        <v>3887.5</v>
      </c>
      <c r="F2" s="2">
        <f>IFERROR(__xludf.DUMMYFUNCTION("""COMPUTED_VALUE"""),9301300.0)</f>
        <v>9301300</v>
      </c>
      <c r="G2" s="2"/>
    </row>
    <row r="3" ht="15.75" customHeight="1">
      <c r="A3" s="1">
        <f>IFERROR(__xludf.DUMMYFUNCTION("""COMPUTED_VALUE"""),43833.66666666667)</f>
        <v>43833.66667</v>
      </c>
      <c r="B3" s="2">
        <f>IFERROR(__xludf.DUMMYFUNCTION("""COMPUTED_VALUE"""),3900.0)</f>
        <v>3900</v>
      </c>
      <c r="C3" s="2">
        <f>IFERROR(__xludf.DUMMYFUNCTION("""COMPUTED_VALUE"""),3937.5)</f>
        <v>3937.5</v>
      </c>
      <c r="D3" s="2">
        <f>IFERROR(__xludf.DUMMYFUNCTION("""COMPUTED_VALUE"""),3825.0)</f>
        <v>3825</v>
      </c>
      <c r="E3" s="2">
        <f>IFERROR(__xludf.DUMMYFUNCTION("""COMPUTED_VALUE"""),3900.0)</f>
        <v>3900</v>
      </c>
      <c r="F3" s="2">
        <f>IFERROR(__xludf.DUMMYFUNCTION("""COMPUTED_VALUE"""),1.61257E7)</f>
        <v>16125700</v>
      </c>
      <c r="G3" s="2">
        <f t="shared" ref="G3:G1212" si="1">MAX(C3-D3, ABS(C3-E2), ABS(D3-E2))</f>
        <v>112.5</v>
      </c>
    </row>
    <row r="4" ht="15.75" customHeight="1">
      <c r="A4" s="1">
        <f>IFERROR(__xludf.DUMMYFUNCTION("""COMPUTED_VALUE"""),43836.66666666667)</f>
        <v>43836.66667</v>
      </c>
      <c r="B4" s="2">
        <f>IFERROR(__xludf.DUMMYFUNCTION("""COMPUTED_VALUE"""),3875.0)</f>
        <v>3875</v>
      </c>
      <c r="C4" s="2">
        <f>IFERROR(__xludf.DUMMYFUNCTION("""COMPUTED_VALUE"""),3875.0)</f>
        <v>3875</v>
      </c>
      <c r="D4" s="2">
        <f>IFERROR(__xludf.DUMMYFUNCTION("""COMPUTED_VALUE"""),3800.0)</f>
        <v>3800</v>
      </c>
      <c r="E4" s="2">
        <f>IFERROR(__xludf.DUMMYFUNCTION("""COMPUTED_VALUE"""),3812.5)</f>
        <v>3812.5</v>
      </c>
      <c r="F4" s="2">
        <f>IFERROR(__xludf.DUMMYFUNCTION("""COMPUTED_VALUE"""),1.31246E7)</f>
        <v>13124600</v>
      </c>
      <c r="G4" s="2">
        <f t="shared" si="1"/>
        <v>100</v>
      </c>
    </row>
    <row r="5" ht="15.75" customHeight="1">
      <c r="A5" s="1">
        <f>IFERROR(__xludf.DUMMYFUNCTION("""COMPUTED_VALUE"""),43837.66666666667)</f>
        <v>43837.66667</v>
      </c>
      <c r="B5" s="2">
        <f>IFERROR(__xludf.DUMMYFUNCTION("""COMPUTED_VALUE"""),3837.5)</f>
        <v>3837.5</v>
      </c>
      <c r="C5" s="2">
        <f>IFERROR(__xludf.DUMMYFUNCTION("""COMPUTED_VALUE"""),3850.0)</f>
        <v>3850</v>
      </c>
      <c r="D5" s="2">
        <f>IFERROR(__xludf.DUMMYFUNCTION("""COMPUTED_VALUE"""),3762.5)</f>
        <v>3762.5</v>
      </c>
      <c r="E5" s="2">
        <f>IFERROR(__xludf.DUMMYFUNCTION("""COMPUTED_VALUE"""),3775.0)</f>
        <v>3775</v>
      </c>
      <c r="F5" s="2">
        <f>IFERROR(__xludf.DUMMYFUNCTION("""COMPUTED_VALUE"""),1.90249E7)</f>
        <v>19024900</v>
      </c>
      <c r="G5" s="2">
        <f t="shared" si="1"/>
        <v>87.5</v>
      </c>
    </row>
    <row r="6" ht="15.75" customHeight="1">
      <c r="A6" s="1">
        <f>IFERROR(__xludf.DUMMYFUNCTION("""COMPUTED_VALUE"""),43838.66666666667)</f>
        <v>43838.66667</v>
      </c>
      <c r="B6" s="2">
        <f>IFERROR(__xludf.DUMMYFUNCTION("""COMPUTED_VALUE"""),3750.0)</f>
        <v>3750</v>
      </c>
      <c r="C6" s="2">
        <f>IFERROR(__xludf.DUMMYFUNCTION("""COMPUTED_VALUE"""),3762.5)</f>
        <v>3762.5</v>
      </c>
      <c r="D6" s="2">
        <f>IFERROR(__xludf.DUMMYFUNCTION("""COMPUTED_VALUE"""),3700.0)</f>
        <v>3700</v>
      </c>
      <c r="E6" s="2">
        <f>IFERROR(__xludf.DUMMYFUNCTION("""COMPUTED_VALUE"""),3712.5)</f>
        <v>3712.5</v>
      </c>
      <c r="F6" s="2">
        <f>IFERROR(__xludf.DUMMYFUNCTION("""COMPUTED_VALUE"""),2.04634E7)</f>
        <v>20463400</v>
      </c>
      <c r="G6" s="2">
        <f t="shared" si="1"/>
        <v>75</v>
      </c>
    </row>
    <row r="7" ht="15.75" customHeight="1">
      <c r="A7" s="1">
        <f>IFERROR(__xludf.DUMMYFUNCTION("""COMPUTED_VALUE"""),43839.66666666667)</f>
        <v>43839.66667</v>
      </c>
      <c r="B7" s="2">
        <f>IFERROR(__xludf.DUMMYFUNCTION("""COMPUTED_VALUE"""),3750.0)</f>
        <v>3750</v>
      </c>
      <c r="C7" s="2">
        <f>IFERROR(__xludf.DUMMYFUNCTION("""COMPUTED_VALUE"""),3850.0)</f>
        <v>3850</v>
      </c>
      <c r="D7" s="2">
        <f>IFERROR(__xludf.DUMMYFUNCTION("""COMPUTED_VALUE"""),3750.0)</f>
        <v>3750</v>
      </c>
      <c r="E7" s="2">
        <f>IFERROR(__xludf.DUMMYFUNCTION("""COMPUTED_VALUE"""),3850.0)</f>
        <v>3850</v>
      </c>
      <c r="F7" s="2">
        <f>IFERROR(__xludf.DUMMYFUNCTION("""COMPUTED_VALUE"""),2.18853E7)</f>
        <v>21885300</v>
      </c>
      <c r="G7" s="2">
        <f t="shared" si="1"/>
        <v>137.5</v>
      </c>
    </row>
    <row r="8" ht="15.75" customHeight="1">
      <c r="A8" s="1">
        <f>IFERROR(__xludf.DUMMYFUNCTION("""COMPUTED_VALUE"""),43840.66666666667)</f>
        <v>43840.66667</v>
      </c>
      <c r="B8" s="2">
        <f>IFERROR(__xludf.DUMMYFUNCTION("""COMPUTED_VALUE"""),3850.0)</f>
        <v>3850</v>
      </c>
      <c r="C8" s="2">
        <f>IFERROR(__xludf.DUMMYFUNCTION("""COMPUTED_VALUE"""),3912.5)</f>
        <v>3912.5</v>
      </c>
      <c r="D8" s="2">
        <f>IFERROR(__xludf.DUMMYFUNCTION("""COMPUTED_VALUE"""),3837.5)</f>
        <v>3837.5</v>
      </c>
      <c r="E8" s="2">
        <f>IFERROR(__xludf.DUMMYFUNCTION("""COMPUTED_VALUE"""),3862.5)</f>
        <v>3862.5</v>
      </c>
      <c r="F8" s="2">
        <f>IFERROR(__xludf.DUMMYFUNCTION("""COMPUTED_VALUE"""),2.09925E7)</f>
        <v>20992500</v>
      </c>
      <c r="G8" s="2">
        <f t="shared" si="1"/>
        <v>75</v>
      </c>
    </row>
    <row r="9" ht="15.75" customHeight="1">
      <c r="A9" s="1">
        <f>IFERROR(__xludf.DUMMYFUNCTION("""COMPUTED_VALUE"""),43843.66666666667)</f>
        <v>43843.66667</v>
      </c>
      <c r="B9" s="2">
        <f>IFERROR(__xludf.DUMMYFUNCTION("""COMPUTED_VALUE"""),3875.0)</f>
        <v>3875</v>
      </c>
      <c r="C9" s="2">
        <f>IFERROR(__xludf.DUMMYFUNCTION("""COMPUTED_VALUE"""),3900.0)</f>
        <v>3900</v>
      </c>
      <c r="D9" s="2">
        <f>IFERROR(__xludf.DUMMYFUNCTION("""COMPUTED_VALUE"""),3850.0)</f>
        <v>3850</v>
      </c>
      <c r="E9" s="2">
        <f>IFERROR(__xludf.DUMMYFUNCTION("""COMPUTED_VALUE"""),3887.5)</f>
        <v>3887.5</v>
      </c>
      <c r="F9" s="2">
        <f>IFERROR(__xludf.DUMMYFUNCTION("""COMPUTED_VALUE"""),1.23583E7)</f>
        <v>12358300</v>
      </c>
      <c r="G9" s="2">
        <f t="shared" si="1"/>
        <v>50</v>
      </c>
    </row>
    <row r="10" ht="15.75" customHeight="1">
      <c r="A10" s="1">
        <f>IFERROR(__xludf.DUMMYFUNCTION("""COMPUTED_VALUE"""),43844.66666666667)</f>
        <v>43844.66667</v>
      </c>
      <c r="B10" s="2">
        <f>IFERROR(__xludf.DUMMYFUNCTION("""COMPUTED_VALUE"""),3912.5)</f>
        <v>3912.5</v>
      </c>
      <c r="C10" s="2">
        <f>IFERROR(__xludf.DUMMYFUNCTION("""COMPUTED_VALUE"""),3925.0)</f>
        <v>3925</v>
      </c>
      <c r="D10" s="2">
        <f>IFERROR(__xludf.DUMMYFUNCTION("""COMPUTED_VALUE"""),3862.5)</f>
        <v>3862.5</v>
      </c>
      <c r="E10" s="2">
        <f>IFERROR(__xludf.DUMMYFUNCTION("""COMPUTED_VALUE"""),3925.0)</f>
        <v>3925</v>
      </c>
      <c r="F10" s="2">
        <f>IFERROR(__xludf.DUMMYFUNCTION("""COMPUTED_VALUE"""),2.01434E7)</f>
        <v>20143400</v>
      </c>
      <c r="G10" s="2">
        <f t="shared" si="1"/>
        <v>62.5</v>
      </c>
    </row>
    <row r="11" ht="15.75" customHeight="1">
      <c r="A11" s="1">
        <f>IFERROR(__xludf.DUMMYFUNCTION("""COMPUTED_VALUE"""),43845.66666666667)</f>
        <v>43845.66667</v>
      </c>
      <c r="B11" s="2">
        <f>IFERROR(__xludf.DUMMYFUNCTION("""COMPUTED_VALUE"""),3900.0)</f>
        <v>3900</v>
      </c>
      <c r="C11" s="2">
        <f>IFERROR(__xludf.DUMMYFUNCTION("""COMPUTED_VALUE"""),3937.5)</f>
        <v>3937.5</v>
      </c>
      <c r="D11" s="2">
        <f>IFERROR(__xludf.DUMMYFUNCTION("""COMPUTED_VALUE"""),3825.0)</f>
        <v>3825</v>
      </c>
      <c r="E11" s="2">
        <f>IFERROR(__xludf.DUMMYFUNCTION("""COMPUTED_VALUE"""),3837.5)</f>
        <v>3837.5</v>
      </c>
      <c r="F11" s="2">
        <f>IFERROR(__xludf.DUMMYFUNCTION("""COMPUTED_VALUE"""),1.76849E7)</f>
        <v>17684900</v>
      </c>
      <c r="G11" s="2">
        <f t="shared" si="1"/>
        <v>112.5</v>
      </c>
    </row>
    <row r="12" ht="15.75" customHeight="1">
      <c r="A12" s="1">
        <f>IFERROR(__xludf.DUMMYFUNCTION("""COMPUTED_VALUE"""),43846.66666666667)</f>
        <v>43846.66667</v>
      </c>
      <c r="B12" s="2">
        <f>IFERROR(__xludf.DUMMYFUNCTION("""COMPUTED_VALUE"""),3837.5)</f>
        <v>3837.5</v>
      </c>
      <c r="C12" s="2">
        <f>IFERROR(__xludf.DUMMYFUNCTION("""COMPUTED_VALUE"""),3887.5)</f>
        <v>3887.5</v>
      </c>
      <c r="D12" s="2">
        <f>IFERROR(__xludf.DUMMYFUNCTION("""COMPUTED_VALUE"""),3812.5)</f>
        <v>3812.5</v>
      </c>
      <c r="E12" s="2">
        <f>IFERROR(__xludf.DUMMYFUNCTION("""COMPUTED_VALUE"""),3850.0)</f>
        <v>3850</v>
      </c>
      <c r="F12" s="2">
        <f>IFERROR(__xludf.DUMMYFUNCTION("""COMPUTED_VALUE"""),1.90137E7)</f>
        <v>19013700</v>
      </c>
      <c r="G12" s="2">
        <f t="shared" si="1"/>
        <v>75</v>
      </c>
    </row>
    <row r="13" ht="15.75" customHeight="1">
      <c r="A13" s="1">
        <f>IFERROR(__xludf.DUMMYFUNCTION("""COMPUTED_VALUE"""),43847.66666666667)</f>
        <v>43847.66667</v>
      </c>
      <c r="B13" s="2">
        <f>IFERROR(__xludf.DUMMYFUNCTION("""COMPUTED_VALUE"""),3850.0)</f>
        <v>3850</v>
      </c>
      <c r="C13" s="2">
        <f>IFERROR(__xludf.DUMMYFUNCTION("""COMPUTED_VALUE"""),3887.5)</f>
        <v>3887.5</v>
      </c>
      <c r="D13" s="2">
        <f>IFERROR(__xludf.DUMMYFUNCTION("""COMPUTED_VALUE"""),3837.5)</f>
        <v>3837.5</v>
      </c>
      <c r="E13" s="2">
        <f>IFERROR(__xludf.DUMMYFUNCTION("""COMPUTED_VALUE"""),3887.5)</f>
        <v>3887.5</v>
      </c>
      <c r="F13" s="2">
        <f>IFERROR(__xludf.DUMMYFUNCTION("""COMPUTED_VALUE"""),1.6815E7)</f>
        <v>16815000</v>
      </c>
      <c r="G13" s="2">
        <f t="shared" si="1"/>
        <v>50</v>
      </c>
    </row>
    <row r="14" ht="15.75" customHeight="1">
      <c r="A14" s="1">
        <f>IFERROR(__xludf.DUMMYFUNCTION("""COMPUTED_VALUE"""),43850.66666666667)</f>
        <v>43850.66667</v>
      </c>
      <c r="B14" s="2">
        <f>IFERROR(__xludf.DUMMYFUNCTION("""COMPUTED_VALUE"""),3862.5)</f>
        <v>3862.5</v>
      </c>
      <c r="C14" s="2">
        <f>IFERROR(__xludf.DUMMYFUNCTION("""COMPUTED_VALUE"""),3900.0)</f>
        <v>3900</v>
      </c>
      <c r="D14" s="2">
        <f>IFERROR(__xludf.DUMMYFUNCTION("""COMPUTED_VALUE"""),3762.5)</f>
        <v>3762.5</v>
      </c>
      <c r="E14" s="2">
        <f>IFERROR(__xludf.DUMMYFUNCTION("""COMPUTED_VALUE"""),3775.0)</f>
        <v>3775</v>
      </c>
      <c r="F14" s="2">
        <f>IFERROR(__xludf.DUMMYFUNCTION("""COMPUTED_VALUE"""),1.75923E7)</f>
        <v>17592300</v>
      </c>
      <c r="G14" s="2">
        <f t="shared" si="1"/>
        <v>137.5</v>
      </c>
    </row>
    <row r="15" ht="15.75" customHeight="1">
      <c r="A15" s="1">
        <f>IFERROR(__xludf.DUMMYFUNCTION("""COMPUTED_VALUE"""),43851.66666666667)</f>
        <v>43851.66667</v>
      </c>
      <c r="B15" s="2">
        <f>IFERROR(__xludf.DUMMYFUNCTION("""COMPUTED_VALUE"""),3787.5)</f>
        <v>3787.5</v>
      </c>
      <c r="C15" s="2">
        <f>IFERROR(__xludf.DUMMYFUNCTION("""COMPUTED_VALUE"""),3825.0)</f>
        <v>3825</v>
      </c>
      <c r="D15" s="2">
        <f>IFERROR(__xludf.DUMMYFUNCTION("""COMPUTED_VALUE"""),3750.0)</f>
        <v>3750</v>
      </c>
      <c r="E15" s="2">
        <f>IFERROR(__xludf.DUMMYFUNCTION("""COMPUTED_VALUE"""),3787.5)</f>
        <v>3787.5</v>
      </c>
      <c r="F15" s="2">
        <f>IFERROR(__xludf.DUMMYFUNCTION("""COMPUTED_VALUE"""),1.64518E7)</f>
        <v>16451800</v>
      </c>
      <c r="G15" s="2">
        <f t="shared" si="1"/>
        <v>75</v>
      </c>
    </row>
    <row r="16" ht="15.75" customHeight="1">
      <c r="A16" s="1">
        <f>IFERROR(__xludf.DUMMYFUNCTION("""COMPUTED_VALUE"""),43852.66666666667)</f>
        <v>43852.66667</v>
      </c>
      <c r="B16" s="2">
        <f>IFERROR(__xludf.DUMMYFUNCTION("""COMPUTED_VALUE"""),3812.5)</f>
        <v>3812.5</v>
      </c>
      <c r="C16" s="2">
        <f>IFERROR(__xludf.DUMMYFUNCTION("""COMPUTED_VALUE"""),3850.0)</f>
        <v>3850</v>
      </c>
      <c r="D16" s="2">
        <f>IFERROR(__xludf.DUMMYFUNCTION("""COMPUTED_VALUE"""),3787.5)</f>
        <v>3787.5</v>
      </c>
      <c r="E16" s="2">
        <f>IFERROR(__xludf.DUMMYFUNCTION("""COMPUTED_VALUE"""),3812.5)</f>
        <v>3812.5</v>
      </c>
      <c r="F16" s="2">
        <f>IFERROR(__xludf.DUMMYFUNCTION("""COMPUTED_VALUE"""),2.22452E7)</f>
        <v>22245200</v>
      </c>
      <c r="G16" s="2">
        <f t="shared" si="1"/>
        <v>62.5</v>
      </c>
    </row>
    <row r="17" ht="15.75" customHeight="1">
      <c r="A17" s="1">
        <f>IFERROR(__xludf.DUMMYFUNCTION("""COMPUTED_VALUE"""),43853.66666666667)</f>
        <v>43853.66667</v>
      </c>
      <c r="B17" s="2">
        <f>IFERROR(__xludf.DUMMYFUNCTION("""COMPUTED_VALUE"""),3812.5)</f>
        <v>3812.5</v>
      </c>
      <c r="C17" s="2">
        <f>IFERROR(__xludf.DUMMYFUNCTION("""COMPUTED_VALUE"""),3862.5)</f>
        <v>3862.5</v>
      </c>
      <c r="D17" s="2">
        <f>IFERROR(__xludf.DUMMYFUNCTION("""COMPUTED_VALUE"""),3775.0)</f>
        <v>3775</v>
      </c>
      <c r="E17" s="2">
        <f>IFERROR(__xludf.DUMMYFUNCTION("""COMPUTED_VALUE"""),3825.0)</f>
        <v>3825</v>
      </c>
      <c r="F17" s="2">
        <f>IFERROR(__xludf.DUMMYFUNCTION("""COMPUTED_VALUE"""),2.20777E7)</f>
        <v>22077700</v>
      </c>
      <c r="G17" s="2">
        <f t="shared" si="1"/>
        <v>87.5</v>
      </c>
    </row>
    <row r="18" ht="15.75" customHeight="1">
      <c r="A18" s="1">
        <f>IFERROR(__xludf.DUMMYFUNCTION("""COMPUTED_VALUE"""),43854.66666666667)</f>
        <v>43854.66667</v>
      </c>
      <c r="B18" s="2">
        <f>IFERROR(__xludf.DUMMYFUNCTION("""COMPUTED_VALUE"""),3800.0)</f>
        <v>3800</v>
      </c>
      <c r="C18" s="2">
        <f>IFERROR(__xludf.DUMMYFUNCTION("""COMPUTED_VALUE"""),3887.5)</f>
        <v>3887.5</v>
      </c>
      <c r="D18" s="2">
        <f>IFERROR(__xludf.DUMMYFUNCTION("""COMPUTED_VALUE"""),3800.0)</f>
        <v>3800</v>
      </c>
      <c r="E18" s="2">
        <f>IFERROR(__xludf.DUMMYFUNCTION("""COMPUTED_VALUE"""),3850.0)</f>
        <v>3850</v>
      </c>
      <c r="F18" s="2">
        <f>IFERROR(__xludf.DUMMYFUNCTION("""COMPUTED_VALUE"""),1.7851E7)</f>
        <v>17851000</v>
      </c>
      <c r="G18" s="2">
        <f t="shared" si="1"/>
        <v>87.5</v>
      </c>
    </row>
    <row r="19" ht="15.75" customHeight="1">
      <c r="A19" s="1">
        <f>IFERROR(__xludf.DUMMYFUNCTION("""COMPUTED_VALUE"""),43857.66666666667)</f>
        <v>43857.66667</v>
      </c>
      <c r="B19" s="2">
        <f>IFERROR(__xludf.DUMMYFUNCTION("""COMPUTED_VALUE"""),3850.0)</f>
        <v>3850</v>
      </c>
      <c r="C19" s="2">
        <f>IFERROR(__xludf.DUMMYFUNCTION("""COMPUTED_VALUE"""),3850.0)</f>
        <v>3850</v>
      </c>
      <c r="D19" s="2">
        <f>IFERROR(__xludf.DUMMYFUNCTION("""COMPUTED_VALUE"""),3725.0)</f>
        <v>3725</v>
      </c>
      <c r="E19" s="2">
        <f>IFERROR(__xludf.DUMMYFUNCTION("""COMPUTED_VALUE"""),3725.0)</f>
        <v>3725</v>
      </c>
      <c r="F19" s="2">
        <f>IFERROR(__xludf.DUMMYFUNCTION("""COMPUTED_VALUE"""),1.41898E7)</f>
        <v>14189800</v>
      </c>
      <c r="G19" s="2">
        <f t="shared" si="1"/>
        <v>125</v>
      </c>
    </row>
    <row r="20" ht="15.75" customHeight="1">
      <c r="A20" s="1">
        <f>IFERROR(__xludf.DUMMYFUNCTION("""COMPUTED_VALUE"""),43858.66666666667)</f>
        <v>43858.66667</v>
      </c>
      <c r="B20" s="2">
        <f>IFERROR(__xludf.DUMMYFUNCTION("""COMPUTED_VALUE"""),3700.0)</f>
        <v>3700</v>
      </c>
      <c r="C20" s="2">
        <f>IFERROR(__xludf.DUMMYFUNCTION("""COMPUTED_VALUE"""),3737.5)</f>
        <v>3737.5</v>
      </c>
      <c r="D20" s="2">
        <f>IFERROR(__xludf.DUMMYFUNCTION("""COMPUTED_VALUE"""),3650.0)</f>
        <v>3650</v>
      </c>
      <c r="E20" s="2">
        <f>IFERROR(__xludf.DUMMYFUNCTION("""COMPUTED_VALUE"""),3737.5)</f>
        <v>3737.5</v>
      </c>
      <c r="F20" s="2">
        <f>IFERROR(__xludf.DUMMYFUNCTION("""COMPUTED_VALUE"""),2.14925E7)</f>
        <v>21492500</v>
      </c>
      <c r="G20" s="2">
        <f t="shared" si="1"/>
        <v>87.5</v>
      </c>
    </row>
    <row r="21" ht="15.75" customHeight="1">
      <c r="A21" s="1">
        <f>IFERROR(__xludf.DUMMYFUNCTION("""COMPUTED_VALUE"""),43859.66666666667)</f>
        <v>43859.66667</v>
      </c>
      <c r="B21" s="2">
        <f>IFERROR(__xludf.DUMMYFUNCTION("""COMPUTED_VALUE"""),3737.5)</f>
        <v>3737.5</v>
      </c>
      <c r="C21" s="2">
        <f>IFERROR(__xludf.DUMMYFUNCTION("""COMPUTED_VALUE"""),3762.5)</f>
        <v>3762.5</v>
      </c>
      <c r="D21" s="2">
        <f>IFERROR(__xludf.DUMMYFUNCTION("""COMPUTED_VALUE"""),3675.0)</f>
        <v>3675</v>
      </c>
      <c r="E21" s="2">
        <f>IFERROR(__xludf.DUMMYFUNCTION("""COMPUTED_VALUE"""),3675.0)</f>
        <v>3675</v>
      </c>
      <c r="F21" s="2">
        <f>IFERROR(__xludf.DUMMYFUNCTION("""COMPUTED_VALUE"""),1.67519E7)</f>
        <v>16751900</v>
      </c>
      <c r="G21" s="2">
        <f t="shared" si="1"/>
        <v>87.5</v>
      </c>
    </row>
    <row r="22" ht="15.75" customHeight="1">
      <c r="A22" s="1">
        <f>IFERROR(__xludf.DUMMYFUNCTION("""COMPUTED_VALUE"""),43860.66666666667)</f>
        <v>43860.66667</v>
      </c>
      <c r="B22" s="2">
        <f>IFERROR(__xludf.DUMMYFUNCTION("""COMPUTED_VALUE"""),3675.0)</f>
        <v>3675</v>
      </c>
      <c r="C22" s="2">
        <f>IFERROR(__xludf.DUMMYFUNCTION("""COMPUTED_VALUE"""),3712.5)</f>
        <v>3712.5</v>
      </c>
      <c r="D22" s="2">
        <f>IFERROR(__xludf.DUMMYFUNCTION("""COMPUTED_VALUE"""),3625.0)</f>
        <v>3625</v>
      </c>
      <c r="E22" s="2">
        <f>IFERROR(__xludf.DUMMYFUNCTION("""COMPUTED_VALUE"""),3625.0)</f>
        <v>3625</v>
      </c>
      <c r="F22" s="2">
        <f>IFERROR(__xludf.DUMMYFUNCTION("""COMPUTED_VALUE"""),1.3452E7)</f>
        <v>13452000</v>
      </c>
      <c r="G22" s="2">
        <f t="shared" si="1"/>
        <v>87.5</v>
      </c>
    </row>
    <row r="23" ht="15.75" customHeight="1">
      <c r="A23" s="1">
        <f>IFERROR(__xludf.DUMMYFUNCTION("""COMPUTED_VALUE"""),43861.66666666667)</f>
        <v>43861.66667</v>
      </c>
      <c r="B23" s="2">
        <f>IFERROR(__xludf.DUMMYFUNCTION("""COMPUTED_VALUE"""),3650.0)</f>
        <v>3650</v>
      </c>
      <c r="C23" s="2">
        <f>IFERROR(__xludf.DUMMYFUNCTION("""COMPUTED_VALUE"""),3650.0)</f>
        <v>3650</v>
      </c>
      <c r="D23" s="2">
        <f>IFERROR(__xludf.DUMMYFUNCTION("""COMPUTED_VALUE"""),3550.0)</f>
        <v>3550</v>
      </c>
      <c r="E23" s="2">
        <f>IFERROR(__xludf.DUMMYFUNCTION("""COMPUTED_VALUE"""),3600.0)</f>
        <v>3600</v>
      </c>
      <c r="F23" s="2">
        <f>IFERROR(__xludf.DUMMYFUNCTION("""COMPUTED_VALUE"""),2.70975E7)</f>
        <v>27097500</v>
      </c>
      <c r="G23" s="2">
        <f t="shared" si="1"/>
        <v>100</v>
      </c>
    </row>
    <row r="24" ht="15.75" customHeight="1">
      <c r="A24" s="1">
        <f>IFERROR(__xludf.DUMMYFUNCTION("""COMPUTED_VALUE"""),43864.66666666667)</f>
        <v>43864.66667</v>
      </c>
      <c r="B24" s="2">
        <f>IFERROR(__xludf.DUMMYFUNCTION("""COMPUTED_VALUE"""),3550.0)</f>
        <v>3550</v>
      </c>
      <c r="C24" s="2">
        <f>IFERROR(__xludf.DUMMYFUNCTION("""COMPUTED_VALUE"""),3650.0)</f>
        <v>3650</v>
      </c>
      <c r="D24" s="2">
        <f>IFERROR(__xludf.DUMMYFUNCTION("""COMPUTED_VALUE"""),3537.5)</f>
        <v>3537.5</v>
      </c>
      <c r="E24" s="2">
        <f>IFERROR(__xludf.DUMMYFUNCTION("""COMPUTED_VALUE"""),3562.5)</f>
        <v>3562.5</v>
      </c>
      <c r="F24" s="2">
        <f>IFERROR(__xludf.DUMMYFUNCTION("""COMPUTED_VALUE"""),2.01502E7)</f>
        <v>20150200</v>
      </c>
      <c r="G24" s="2">
        <f t="shared" si="1"/>
        <v>112.5</v>
      </c>
    </row>
    <row r="25" ht="15.75" customHeight="1">
      <c r="A25" s="1">
        <f>IFERROR(__xludf.DUMMYFUNCTION("""COMPUTED_VALUE"""),43865.66666666667)</f>
        <v>43865.66667</v>
      </c>
      <c r="B25" s="2">
        <f>IFERROR(__xludf.DUMMYFUNCTION("""COMPUTED_VALUE"""),3612.5)</f>
        <v>3612.5</v>
      </c>
      <c r="C25" s="2">
        <f>IFERROR(__xludf.DUMMYFUNCTION("""COMPUTED_VALUE"""),3687.5)</f>
        <v>3687.5</v>
      </c>
      <c r="D25" s="2">
        <f>IFERROR(__xludf.DUMMYFUNCTION("""COMPUTED_VALUE"""),3587.5)</f>
        <v>3587.5</v>
      </c>
      <c r="E25" s="2">
        <f>IFERROR(__xludf.DUMMYFUNCTION("""COMPUTED_VALUE"""),3675.0)</f>
        <v>3675</v>
      </c>
      <c r="F25" s="2">
        <f>IFERROR(__xludf.DUMMYFUNCTION("""COMPUTED_VALUE"""),1.966E7)</f>
        <v>19660000</v>
      </c>
      <c r="G25" s="2">
        <f t="shared" si="1"/>
        <v>125</v>
      </c>
    </row>
    <row r="26" ht="15.75" customHeight="1">
      <c r="A26" s="1">
        <f>IFERROR(__xludf.DUMMYFUNCTION("""COMPUTED_VALUE"""),43866.66666666667)</f>
        <v>43866.66667</v>
      </c>
      <c r="B26" s="2">
        <f>IFERROR(__xludf.DUMMYFUNCTION("""COMPUTED_VALUE"""),3675.0)</f>
        <v>3675</v>
      </c>
      <c r="C26" s="2">
        <f>IFERROR(__xludf.DUMMYFUNCTION("""COMPUTED_VALUE"""),3712.5)</f>
        <v>3712.5</v>
      </c>
      <c r="D26" s="2">
        <f>IFERROR(__xludf.DUMMYFUNCTION("""COMPUTED_VALUE"""),3625.0)</f>
        <v>3625</v>
      </c>
      <c r="E26" s="2">
        <f>IFERROR(__xludf.DUMMYFUNCTION("""COMPUTED_VALUE"""),3712.5)</f>
        <v>3712.5</v>
      </c>
      <c r="F26" s="2">
        <f>IFERROR(__xludf.DUMMYFUNCTION("""COMPUTED_VALUE"""),1.60807E7)</f>
        <v>16080700</v>
      </c>
      <c r="G26" s="2">
        <f t="shared" si="1"/>
        <v>87.5</v>
      </c>
    </row>
    <row r="27" ht="15.75" customHeight="1">
      <c r="A27" s="1">
        <f>IFERROR(__xludf.DUMMYFUNCTION("""COMPUTED_VALUE"""),43867.66666666667)</f>
        <v>43867.66667</v>
      </c>
      <c r="B27" s="2">
        <f>IFERROR(__xludf.DUMMYFUNCTION("""COMPUTED_VALUE"""),3750.0)</f>
        <v>3750</v>
      </c>
      <c r="C27" s="2">
        <f>IFERROR(__xludf.DUMMYFUNCTION("""COMPUTED_VALUE"""),3762.5)</f>
        <v>3762.5</v>
      </c>
      <c r="D27" s="2">
        <f>IFERROR(__xludf.DUMMYFUNCTION("""COMPUTED_VALUE"""),3675.0)</f>
        <v>3675</v>
      </c>
      <c r="E27" s="2">
        <f>IFERROR(__xludf.DUMMYFUNCTION("""COMPUTED_VALUE"""),3675.0)</f>
        <v>3675</v>
      </c>
      <c r="F27" s="2">
        <f>IFERROR(__xludf.DUMMYFUNCTION("""COMPUTED_VALUE"""),1.67985E7)</f>
        <v>16798500</v>
      </c>
      <c r="G27" s="2">
        <f t="shared" si="1"/>
        <v>87.5</v>
      </c>
    </row>
    <row r="28" ht="15.75" customHeight="1">
      <c r="A28" s="1">
        <f>IFERROR(__xludf.DUMMYFUNCTION("""COMPUTED_VALUE"""),43868.66666666667)</f>
        <v>43868.66667</v>
      </c>
      <c r="B28" s="2">
        <f>IFERROR(__xludf.DUMMYFUNCTION("""COMPUTED_VALUE"""),3700.0)</f>
        <v>3700</v>
      </c>
      <c r="C28" s="2">
        <f>IFERROR(__xludf.DUMMYFUNCTION("""COMPUTED_VALUE"""),3700.0)</f>
        <v>3700</v>
      </c>
      <c r="D28" s="2">
        <f>IFERROR(__xludf.DUMMYFUNCTION("""COMPUTED_VALUE"""),3675.0)</f>
        <v>3675</v>
      </c>
      <c r="E28" s="2">
        <f>IFERROR(__xludf.DUMMYFUNCTION("""COMPUTED_VALUE"""),3675.0)</f>
        <v>3675</v>
      </c>
      <c r="F28" s="2">
        <f>IFERROR(__xludf.DUMMYFUNCTION("""COMPUTED_VALUE"""),1.96171E7)</f>
        <v>19617100</v>
      </c>
      <c r="G28" s="2">
        <f t="shared" si="1"/>
        <v>25</v>
      </c>
    </row>
    <row r="29" ht="15.75" customHeight="1">
      <c r="A29" s="1">
        <f>IFERROR(__xludf.DUMMYFUNCTION("""COMPUTED_VALUE"""),43871.66666666667)</f>
        <v>43871.66667</v>
      </c>
      <c r="B29" s="2">
        <f>IFERROR(__xludf.DUMMYFUNCTION("""COMPUTED_VALUE"""),3662.5)</f>
        <v>3662.5</v>
      </c>
      <c r="C29" s="2">
        <f>IFERROR(__xludf.DUMMYFUNCTION("""COMPUTED_VALUE"""),3662.5)</f>
        <v>3662.5</v>
      </c>
      <c r="D29" s="2">
        <f>IFERROR(__xludf.DUMMYFUNCTION("""COMPUTED_VALUE"""),3612.5)</f>
        <v>3612.5</v>
      </c>
      <c r="E29" s="2">
        <f>IFERROR(__xludf.DUMMYFUNCTION("""COMPUTED_VALUE"""),3662.5)</f>
        <v>3662.5</v>
      </c>
      <c r="F29" s="2">
        <f>IFERROR(__xludf.DUMMYFUNCTION("""COMPUTED_VALUE"""),1.20793E7)</f>
        <v>12079300</v>
      </c>
      <c r="G29" s="2">
        <f t="shared" si="1"/>
        <v>62.5</v>
      </c>
    </row>
    <row r="30" ht="15.75" customHeight="1">
      <c r="A30" s="1">
        <f>IFERROR(__xludf.DUMMYFUNCTION("""COMPUTED_VALUE"""),43872.66666666667)</f>
        <v>43872.66667</v>
      </c>
      <c r="B30" s="2">
        <f>IFERROR(__xludf.DUMMYFUNCTION("""COMPUTED_VALUE"""),3650.0)</f>
        <v>3650</v>
      </c>
      <c r="C30" s="2">
        <f>IFERROR(__xludf.DUMMYFUNCTION("""COMPUTED_VALUE"""),3687.5)</f>
        <v>3687.5</v>
      </c>
      <c r="D30" s="2">
        <f>IFERROR(__xludf.DUMMYFUNCTION("""COMPUTED_VALUE"""),3637.5)</f>
        <v>3637.5</v>
      </c>
      <c r="E30" s="2">
        <f>IFERROR(__xludf.DUMMYFUNCTION("""COMPUTED_VALUE"""),3650.0)</f>
        <v>3650</v>
      </c>
      <c r="F30" s="2">
        <f>IFERROR(__xludf.DUMMYFUNCTION("""COMPUTED_VALUE"""),8656900.0)</f>
        <v>8656900</v>
      </c>
      <c r="G30" s="2">
        <f t="shared" si="1"/>
        <v>50</v>
      </c>
    </row>
    <row r="31" ht="15.75" customHeight="1">
      <c r="A31" s="1">
        <f>IFERROR(__xludf.DUMMYFUNCTION("""COMPUTED_VALUE"""),43873.66666666667)</f>
        <v>43873.66667</v>
      </c>
      <c r="B31" s="2">
        <f>IFERROR(__xludf.DUMMYFUNCTION("""COMPUTED_VALUE"""),3650.0)</f>
        <v>3650</v>
      </c>
      <c r="C31" s="2">
        <f>IFERROR(__xludf.DUMMYFUNCTION("""COMPUTED_VALUE"""),3687.5)</f>
        <v>3687.5</v>
      </c>
      <c r="D31" s="2">
        <f>IFERROR(__xludf.DUMMYFUNCTION("""COMPUTED_VALUE"""),3637.5)</f>
        <v>3637.5</v>
      </c>
      <c r="E31" s="2">
        <f>IFERROR(__xludf.DUMMYFUNCTION("""COMPUTED_VALUE"""),3637.5)</f>
        <v>3637.5</v>
      </c>
      <c r="F31" s="2">
        <f>IFERROR(__xludf.DUMMYFUNCTION("""COMPUTED_VALUE"""),1.12591E7)</f>
        <v>11259100</v>
      </c>
      <c r="G31" s="2">
        <f t="shared" si="1"/>
        <v>50</v>
      </c>
    </row>
    <row r="32" ht="15.75" customHeight="1">
      <c r="A32" s="1">
        <f>IFERROR(__xludf.DUMMYFUNCTION("""COMPUTED_VALUE"""),43874.66666666667)</f>
        <v>43874.66667</v>
      </c>
      <c r="B32" s="2">
        <f>IFERROR(__xludf.DUMMYFUNCTION("""COMPUTED_VALUE"""),3637.5)</f>
        <v>3637.5</v>
      </c>
      <c r="C32" s="2">
        <f>IFERROR(__xludf.DUMMYFUNCTION("""COMPUTED_VALUE"""),3712.5)</f>
        <v>3712.5</v>
      </c>
      <c r="D32" s="2">
        <f>IFERROR(__xludf.DUMMYFUNCTION("""COMPUTED_VALUE"""),3637.5)</f>
        <v>3637.5</v>
      </c>
      <c r="E32" s="2">
        <f>IFERROR(__xludf.DUMMYFUNCTION("""COMPUTED_VALUE"""),3700.0)</f>
        <v>3700</v>
      </c>
      <c r="F32" s="2">
        <f>IFERROR(__xludf.DUMMYFUNCTION("""COMPUTED_VALUE"""),2.05157E7)</f>
        <v>20515700</v>
      </c>
      <c r="G32" s="2">
        <f t="shared" si="1"/>
        <v>75</v>
      </c>
    </row>
    <row r="33" ht="15.75" customHeight="1">
      <c r="A33" s="1">
        <f>IFERROR(__xludf.DUMMYFUNCTION("""COMPUTED_VALUE"""),43875.66666666667)</f>
        <v>43875.66667</v>
      </c>
      <c r="B33" s="2">
        <f>IFERROR(__xludf.DUMMYFUNCTION("""COMPUTED_VALUE"""),3687.5)</f>
        <v>3687.5</v>
      </c>
      <c r="C33" s="2">
        <f>IFERROR(__xludf.DUMMYFUNCTION("""COMPUTED_VALUE"""),3800.0)</f>
        <v>3800</v>
      </c>
      <c r="D33" s="2">
        <f>IFERROR(__xludf.DUMMYFUNCTION("""COMPUTED_VALUE"""),3662.5)</f>
        <v>3662.5</v>
      </c>
      <c r="E33" s="2">
        <f>IFERROR(__xludf.DUMMYFUNCTION("""COMPUTED_VALUE"""),3762.5)</f>
        <v>3762.5</v>
      </c>
      <c r="F33" s="2">
        <f>IFERROR(__xludf.DUMMYFUNCTION("""COMPUTED_VALUE"""),2.57329E7)</f>
        <v>25732900</v>
      </c>
      <c r="G33" s="2">
        <f t="shared" si="1"/>
        <v>137.5</v>
      </c>
    </row>
    <row r="34" ht="15.75" customHeight="1">
      <c r="A34" s="1">
        <f>IFERROR(__xludf.DUMMYFUNCTION("""COMPUTED_VALUE"""),43878.66666666667)</f>
        <v>43878.66667</v>
      </c>
      <c r="B34" s="2">
        <f>IFERROR(__xludf.DUMMYFUNCTION("""COMPUTED_VALUE"""),3800.0)</f>
        <v>3800</v>
      </c>
      <c r="C34" s="2">
        <f>IFERROR(__xludf.DUMMYFUNCTION("""COMPUTED_VALUE"""),3825.0)</f>
        <v>3825</v>
      </c>
      <c r="D34" s="2">
        <f>IFERROR(__xludf.DUMMYFUNCTION("""COMPUTED_VALUE"""),3762.5)</f>
        <v>3762.5</v>
      </c>
      <c r="E34" s="2">
        <f>IFERROR(__xludf.DUMMYFUNCTION("""COMPUTED_VALUE"""),3812.5)</f>
        <v>3812.5</v>
      </c>
      <c r="F34" s="2">
        <f>IFERROR(__xludf.DUMMYFUNCTION("""COMPUTED_VALUE"""),1.449E7)</f>
        <v>14490000</v>
      </c>
      <c r="G34" s="2">
        <f t="shared" si="1"/>
        <v>62.5</v>
      </c>
    </row>
    <row r="35" ht="15.75" customHeight="1">
      <c r="A35" s="1">
        <f>IFERROR(__xludf.DUMMYFUNCTION("""COMPUTED_VALUE"""),43879.66666666667)</f>
        <v>43879.66667</v>
      </c>
      <c r="B35" s="2">
        <f>IFERROR(__xludf.DUMMYFUNCTION("""COMPUTED_VALUE"""),3825.0)</f>
        <v>3825</v>
      </c>
      <c r="C35" s="2">
        <f>IFERROR(__xludf.DUMMYFUNCTION("""COMPUTED_VALUE"""),3875.0)</f>
        <v>3875</v>
      </c>
      <c r="D35" s="2">
        <f>IFERROR(__xludf.DUMMYFUNCTION("""COMPUTED_VALUE"""),3800.0)</f>
        <v>3800</v>
      </c>
      <c r="E35" s="2">
        <f>IFERROR(__xludf.DUMMYFUNCTION("""COMPUTED_VALUE"""),3850.0)</f>
        <v>3850</v>
      </c>
      <c r="F35" s="2">
        <f>IFERROR(__xludf.DUMMYFUNCTION("""COMPUTED_VALUE"""),2.33229E7)</f>
        <v>23322900</v>
      </c>
      <c r="G35" s="2">
        <f t="shared" si="1"/>
        <v>75</v>
      </c>
    </row>
    <row r="36" ht="15.75" customHeight="1">
      <c r="A36" s="1">
        <f>IFERROR(__xludf.DUMMYFUNCTION("""COMPUTED_VALUE"""),43880.66666666667)</f>
        <v>43880.66667</v>
      </c>
      <c r="B36" s="2">
        <f>IFERROR(__xludf.DUMMYFUNCTION("""COMPUTED_VALUE"""),3837.5)</f>
        <v>3837.5</v>
      </c>
      <c r="C36" s="2">
        <f>IFERROR(__xludf.DUMMYFUNCTION("""COMPUTED_VALUE"""),3912.5)</f>
        <v>3912.5</v>
      </c>
      <c r="D36" s="2">
        <f>IFERROR(__xludf.DUMMYFUNCTION("""COMPUTED_VALUE"""),3812.5)</f>
        <v>3812.5</v>
      </c>
      <c r="E36" s="2">
        <f>IFERROR(__xludf.DUMMYFUNCTION("""COMPUTED_VALUE"""),3887.5)</f>
        <v>3887.5</v>
      </c>
      <c r="F36" s="2">
        <f>IFERROR(__xludf.DUMMYFUNCTION("""COMPUTED_VALUE"""),2.58523E7)</f>
        <v>25852300</v>
      </c>
      <c r="G36" s="2">
        <f t="shared" si="1"/>
        <v>100</v>
      </c>
    </row>
    <row r="37" ht="15.75" customHeight="1">
      <c r="A37" s="1">
        <f>IFERROR(__xludf.DUMMYFUNCTION("""COMPUTED_VALUE"""),43881.66666666667)</f>
        <v>43881.66667</v>
      </c>
      <c r="B37" s="2">
        <f>IFERROR(__xludf.DUMMYFUNCTION("""COMPUTED_VALUE"""),3900.0)</f>
        <v>3900</v>
      </c>
      <c r="C37" s="2">
        <f>IFERROR(__xludf.DUMMYFUNCTION("""COMPUTED_VALUE"""),3975.0)</f>
        <v>3975</v>
      </c>
      <c r="D37" s="2">
        <f>IFERROR(__xludf.DUMMYFUNCTION("""COMPUTED_VALUE"""),3900.0)</f>
        <v>3900</v>
      </c>
      <c r="E37" s="2">
        <f>IFERROR(__xludf.DUMMYFUNCTION("""COMPUTED_VALUE"""),3962.5)</f>
        <v>3962.5</v>
      </c>
      <c r="F37" s="2">
        <f>IFERROR(__xludf.DUMMYFUNCTION("""COMPUTED_VALUE"""),3.59281E7)</f>
        <v>35928100</v>
      </c>
      <c r="G37" s="2">
        <f t="shared" si="1"/>
        <v>87.5</v>
      </c>
    </row>
    <row r="38" ht="15.75" customHeight="1">
      <c r="A38" s="1">
        <f>IFERROR(__xludf.DUMMYFUNCTION("""COMPUTED_VALUE"""),43882.66666666667)</f>
        <v>43882.66667</v>
      </c>
      <c r="B38" s="2">
        <f>IFERROR(__xludf.DUMMYFUNCTION("""COMPUTED_VALUE"""),3937.5)</f>
        <v>3937.5</v>
      </c>
      <c r="C38" s="2">
        <f>IFERROR(__xludf.DUMMYFUNCTION("""COMPUTED_VALUE"""),3937.5)</f>
        <v>3937.5</v>
      </c>
      <c r="D38" s="2">
        <f>IFERROR(__xludf.DUMMYFUNCTION("""COMPUTED_VALUE"""),3862.5)</f>
        <v>3862.5</v>
      </c>
      <c r="E38" s="2">
        <f>IFERROR(__xludf.DUMMYFUNCTION("""COMPUTED_VALUE"""),3887.5)</f>
        <v>3887.5</v>
      </c>
      <c r="F38" s="2">
        <f>IFERROR(__xludf.DUMMYFUNCTION("""COMPUTED_VALUE"""),4.7223E7)</f>
        <v>47223000</v>
      </c>
      <c r="G38" s="2">
        <f t="shared" si="1"/>
        <v>100</v>
      </c>
    </row>
    <row r="39" ht="15.75" customHeight="1">
      <c r="A39" s="1">
        <f>IFERROR(__xludf.DUMMYFUNCTION("""COMPUTED_VALUE"""),43885.66666666667)</f>
        <v>43885.66667</v>
      </c>
      <c r="B39" s="2">
        <f>IFERROR(__xludf.DUMMYFUNCTION("""COMPUTED_VALUE"""),3800.0)</f>
        <v>3800</v>
      </c>
      <c r="C39" s="2">
        <f>IFERROR(__xludf.DUMMYFUNCTION("""COMPUTED_VALUE"""),3850.0)</f>
        <v>3850</v>
      </c>
      <c r="D39" s="2">
        <f>IFERROR(__xludf.DUMMYFUNCTION("""COMPUTED_VALUE"""),3737.5)</f>
        <v>3737.5</v>
      </c>
      <c r="E39" s="2">
        <f>IFERROR(__xludf.DUMMYFUNCTION("""COMPUTED_VALUE"""),3787.5)</f>
        <v>3787.5</v>
      </c>
      <c r="F39" s="2">
        <f>IFERROR(__xludf.DUMMYFUNCTION("""COMPUTED_VALUE"""),2.97564E7)</f>
        <v>29756400</v>
      </c>
      <c r="G39" s="2">
        <f t="shared" si="1"/>
        <v>150</v>
      </c>
    </row>
    <row r="40" ht="15.75" customHeight="1">
      <c r="A40" s="1">
        <f>IFERROR(__xludf.DUMMYFUNCTION("""COMPUTED_VALUE"""),43886.66666666667)</f>
        <v>43886.66667</v>
      </c>
      <c r="B40" s="2">
        <f>IFERROR(__xludf.DUMMYFUNCTION("""COMPUTED_VALUE"""),3750.0)</f>
        <v>3750</v>
      </c>
      <c r="C40" s="2">
        <f>IFERROR(__xludf.DUMMYFUNCTION("""COMPUTED_VALUE"""),3812.5)</f>
        <v>3812.5</v>
      </c>
      <c r="D40" s="2">
        <f>IFERROR(__xludf.DUMMYFUNCTION("""COMPUTED_VALUE"""),3737.5)</f>
        <v>3737.5</v>
      </c>
      <c r="E40" s="2">
        <f>IFERROR(__xludf.DUMMYFUNCTION("""COMPUTED_VALUE"""),3750.0)</f>
        <v>3750</v>
      </c>
      <c r="F40" s="2">
        <f>IFERROR(__xludf.DUMMYFUNCTION("""COMPUTED_VALUE"""),1.69881E7)</f>
        <v>16988100</v>
      </c>
      <c r="G40" s="2">
        <f t="shared" si="1"/>
        <v>75</v>
      </c>
    </row>
    <row r="41" ht="15.75" customHeight="1">
      <c r="A41" s="1">
        <f>IFERROR(__xludf.DUMMYFUNCTION("""COMPUTED_VALUE"""),43887.66666666667)</f>
        <v>43887.66667</v>
      </c>
      <c r="B41" s="2">
        <f>IFERROR(__xludf.DUMMYFUNCTION("""COMPUTED_VALUE"""),3700.0)</f>
        <v>3700</v>
      </c>
      <c r="C41" s="2">
        <f>IFERROR(__xludf.DUMMYFUNCTION("""COMPUTED_VALUE"""),3712.5)</f>
        <v>3712.5</v>
      </c>
      <c r="D41" s="2">
        <f>IFERROR(__xludf.DUMMYFUNCTION("""COMPUTED_VALUE"""),3650.0)</f>
        <v>3650</v>
      </c>
      <c r="E41" s="2">
        <f>IFERROR(__xludf.DUMMYFUNCTION("""COMPUTED_VALUE"""),3650.0)</f>
        <v>3650</v>
      </c>
      <c r="F41" s="2">
        <f>IFERROR(__xludf.DUMMYFUNCTION("""COMPUTED_VALUE"""),3.62277E7)</f>
        <v>36227700</v>
      </c>
      <c r="G41" s="2">
        <f t="shared" si="1"/>
        <v>100</v>
      </c>
    </row>
    <row r="42" ht="15.75" customHeight="1">
      <c r="A42" s="1">
        <f>IFERROR(__xludf.DUMMYFUNCTION("""COMPUTED_VALUE"""),43888.66666666667)</f>
        <v>43888.66667</v>
      </c>
      <c r="B42" s="2">
        <f>IFERROR(__xludf.DUMMYFUNCTION("""COMPUTED_VALUE"""),3625.0)</f>
        <v>3625</v>
      </c>
      <c r="C42" s="2">
        <f>IFERROR(__xludf.DUMMYFUNCTION("""COMPUTED_VALUE"""),3650.0)</f>
        <v>3650</v>
      </c>
      <c r="D42" s="2">
        <f>IFERROR(__xludf.DUMMYFUNCTION("""COMPUTED_VALUE"""),3462.5)</f>
        <v>3462.5</v>
      </c>
      <c r="E42" s="2">
        <f>IFERROR(__xludf.DUMMYFUNCTION("""COMPUTED_VALUE"""),3537.5)</f>
        <v>3537.5</v>
      </c>
      <c r="F42" s="2">
        <f>IFERROR(__xludf.DUMMYFUNCTION("""COMPUTED_VALUE"""),2.96632E7)</f>
        <v>29663200</v>
      </c>
      <c r="G42" s="2">
        <f t="shared" si="1"/>
        <v>187.5</v>
      </c>
    </row>
    <row r="43" ht="15.75" customHeight="1">
      <c r="A43" s="1">
        <f>IFERROR(__xludf.DUMMYFUNCTION("""COMPUTED_VALUE"""),43889.66666666667)</f>
        <v>43889.66667</v>
      </c>
      <c r="B43" s="2">
        <f>IFERROR(__xludf.DUMMYFUNCTION("""COMPUTED_VALUE"""),3400.0)</f>
        <v>3400</v>
      </c>
      <c r="C43" s="2">
        <f>IFERROR(__xludf.DUMMYFUNCTION("""COMPUTED_VALUE"""),3512.5)</f>
        <v>3512.5</v>
      </c>
      <c r="D43" s="2">
        <f>IFERROR(__xludf.DUMMYFUNCTION("""COMPUTED_VALUE"""),3337.5)</f>
        <v>3337.5</v>
      </c>
      <c r="E43" s="2">
        <f>IFERROR(__xludf.DUMMYFUNCTION("""COMPUTED_VALUE"""),3512.5)</f>
        <v>3512.5</v>
      </c>
      <c r="F43" s="2">
        <f>IFERROR(__xludf.DUMMYFUNCTION("""COMPUTED_VALUE"""),5.21475E7)</f>
        <v>52147500</v>
      </c>
      <c r="G43" s="2">
        <f t="shared" si="1"/>
        <v>200</v>
      </c>
    </row>
    <row r="44" ht="15.75" customHeight="1">
      <c r="A44" s="1">
        <f>IFERROR(__xludf.DUMMYFUNCTION("""COMPUTED_VALUE"""),43892.66666666667)</f>
        <v>43892.66667</v>
      </c>
      <c r="B44" s="2">
        <f>IFERROR(__xludf.DUMMYFUNCTION("""COMPUTED_VALUE"""),3475.0)</f>
        <v>3475</v>
      </c>
      <c r="C44" s="2">
        <f>IFERROR(__xludf.DUMMYFUNCTION("""COMPUTED_VALUE"""),3487.5)</f>
        <v>3487.5</v>
      </c>
      <c r="D44" s="2">
        <f>IFERROR(__xludf.DUMMYFUNCTION("""COMPUTED_VALUE"""),3275.0)</f>
        <v>3275</v>
      </c>
      <c r="E44" s="2">
        <f>IFERROR(__xludf.DUMMYFUNCTION("""COMPUTED_VALUE"""),3375.0)</f>
        <v>3375</v>
      </c>
      <c r="F44" s="2">
        <f>IFERROR(__xludf.DUMMYFUNCTION("""COMPUTED_VALUE"""),4.138E7)</f>
        <v>41380000</v>
      </c>
      <c r="G44" s="2">
        <f t="shared" si="1"/>
        <v>237.5</v>
      </c>
    </row>
    <row r="45" ht="15.75" customHeight="1">
      <c r="A45" s="1">
        <f>IFERROR(__xludf.DUMMYFUNCTION("""COMPUTED_VALUE"""),43893.66666666667)</f>
        <v>43893.66667</v>
      </c>
      <c r="B45" s="2">
        <f>IFERROR(__xludf.DUMMYFUNCTION("""COMPUTED_VALUE"""),3425.0)</f>
        <v>3425</v>
      </c>
      <c r="C45" s="2">
        <f>IFERROR(__xludf.DUMMYFUNCTION("""COMPUTED_VALUE"""),3475.0)</f>
        <v>3475</v>
      </c>
      <c r="D45" s="2">
        <f>IFERROR(__xludf.DUMMYFUNCTION("""COMPUTED_VALUE"""),3350.0)</f>
        <v>3350</v>
      </c>
      <c r="E45" s="2">
        <f>IFERROR(__xludf.DUMMYFUNCTION("""COMPUTED_VALUE"""),3400.0)</f>
        <v>3400</v>
      </c>
      <c r="F45" s="2">
        <f>IFERROR(__xludf.DUMMYFUNCTION("""COMPUTED_VALUE"""),4.17058E7)</f>
        <v>41705800</v>
      </c>
      <c r="G45" s="2">
        <f t="shared" si="1"/>
        <v>125</v>
      </c>
    </row>
    <row r="46" ht="15.75" customHeight="1">
      <c r="A46" s="1">
        <f>IFERROR(__xludf.DUMMYFUNCTION("""COMPUTED_VALUE"""),43894.66666666667)</f>
        <v>43894.66667</v>
      </c>
      <c r="B46" s="2">
        <f>IFERROR(__xludf.DUMMYFUNCTION("""COMPUTED_VALUE"""),3400.0)</f>
        <v>3400</v>
      </c>
      <c r="C46" s="2">
        <f>IFERROR(__xludf.DUMMYFUNCTION("""COMPUTED_VALUE"""),3500.0)</f>
        <v>3500</v>
      </c>
      <c r="D46" s="2">
        <f>IFERROR(__xludf.DUMMYFUNCTION("""COMPUTED_VALUE"""),3362.5)</f>
        <v>3362.5</v>
      </c>
      <c r="E46" s="2">
        <f>IFERROR(__xludf.DUMMYFUNCTION("""COMPUTED_VALUE"""),3475.0)</f>
        <v>3475</v>
      </c>
      <c r="F46" s="2">
        <f>IFERROR(__xludf.DUMMYFUNCTION("""COMPUTED_VALUE"""),3.88482E7)</f>
        <v>38848200</v>
      </c>
      <c r="G46" s="2">
        <f t="shared" si="1"/>
        <v>137.5</v>
      </c>
    </row>
    <row r="47" ht="15.75" customHeight="1">
      <c r="A47" s="1">
        <f>IFERROR(__xludf.DUMMYFUNCTION("""COMPUTED_VALUE"""),43895.66666666667)</f>
        <v>43895.66667</v>
      </c>
      <c r="B47" s="2">
        <f>IFERROR(__xludf.DUMMYFUNCTION("""COMPUTED_VALUE"""),3500.0)</f>
        <v>3500</v>
      </c>
      <c r="C47" s="2">
        <f>IFERROR(__xludf.DUMMYFUNCTION("""COMPUTED_VALUE"""),3525.0)</f>
        <v>3525</v>
      </c>
      <c r="D47" s="2">
        <f>IFERROR(__xludf.DUMMYFUNCTION("""COMPUTED_VALUE"""),3375.0)</f>
        <v>3375</v>
      </c>
      <c r="E47" s="2">
        <f>IFERROR(__xludf.DUMMYFUNCTION("""COMPUTED_VALUE"""),3412.5)</f>
        <v>3412.5</v>
      </c>
      <c r="F47" s="2">
        <f>IFERROR(__xludf.DUMMYFUNCTION("""COMPUTED_VALUE"""),3.91306E7)</f>
        <v>39130600</v>
      </c>
      <c r="G47" s="2">
        <f t="shared" si="1"/>
        <v>150</v>
      </c>
    </row>
    <row r="48" ht="15.75" customHeight="1">
      <c r="A48" s="1">
        <f>IFERROR(__xludf.DUMMYFUNCTION("""COMPUTED_VALUE"""),43896.66666666667)</f>
        <v>43896.66667</v>
      </c>
      <c r="B48" s="2">
        <f>IFERROR(__xludf.DUMMYFUNCTION("""COMPUTED_VALUE"""),3350.0)</f>
        <v>3350</v>
      </c>
      <c r="C48" s="2">
        <f>IFERROR(__xludf.DUMMYFUNCTION("""COMPUTED_VALUE"""),3350.0)</f>
        <v>3350</v>
      </c>
      <c r="D48" s="2">
        <f>IFERROR(__xludf.DUMMYFUNCTION("""COMPUTED_VALUE"""),3200.0)</f>
        <v>3200</v>
      </c>
      <c r="E48" s="2">
        <f>IFERROR(__xludf.DUMMYFUNCTION("""COMPUTED_VALUE"""),3200.0)</f>
        <v>3200</v>
      </c>
      <c r="F48" s="2">
        <f>IFERROR(__xludf.DUMMYFUNCTION("""COMPUTED_VALUE"""),4.28613E7)</f>
        <v>42861300</v>
      </c>
      <c r="G48" s="2">
        <f t="shared" si="1"/>
        <v>212.5</v>
      </c>
    </row>
    <row r="49" ht="15.75" customHeight="1">
      <c r="A49" s="1">
        <f>IFERROR(__xludf.DUMMYFUNCTION("""COMPUTED_VALUE"""),43899.66666666667)</f>
        <v>43899.66667</v>
      </c>
      <c r="B49" s="2">
        <f>IFERROR(__xludf.DUMMYFUNCTION("""COMPUTED_VALUE"""),3012.5)</f>
        <v>3012.5</v>
      </c>
      <c r="C49" s="2">
        <f>IFERROR(__xludf.DUMMYFUNCTION("""COMPUTED_VALUE"""),3062.5)</f>
        <v>3062.5</v>
      </c>
      <c r="D49" s="2">
        <f>IFERROR(__xludf.DUMMYFUNCTION("""COMPUTED_VALUE"""),2800.0)</f>
        <v>2800</v>
      </c>
      <c r="E49" s="2">
        <f>IFERROR(__xludf.DUMMYFUNCTION("""COMPUTED_VALUE"""),2825.0)</f>
        <v>2825</v>
      </c>
      <c r="F49" s="2">
        <f>IFERROR(__xludf.DUMMYFUNCTION("""COMPUTED_VALUE"""),6.80613E7)</f>
        <v>68061300</v>
      </c>
      <c r="G49" s="2">
        <f t="shared" si="1"/>
        <v>400</v>
      </c>
    </row>
    <row r="50" ht="15.75" customHeight="1">
      <c r="A50" s="1">
        <f>IFERROR(__xludf.DUMMYFUNCTION("""COMPUTED_VALUE"""),43900.66666666667)</f>
        <v>43900.66667</v>
      </c>
      <c r="B50" s="2">
        <f>IFERROR(__xludf.DUMMYFUNCTION("""COMPUTED_VALUE"""),2850.0)</f>
        <v>2850</v>
      </c>
      <c r="C50" s="2">
        <f>IFERROR(__xludf.DUMMYFUNCTION("""COMPUTED_VALUE"""),2962.5)</f>
        <v>2962.5</v>
      </c>
      <c r="D50" s="2">
        <f>IFERROR(__xludf.DUMMYFUNCTION("""COMPUTED_VALUE"""),2800.0)</f>
        <v>2800</v>
      </c>
      <c r="E50" s="2">
        <f>IFERROR(__xludf.DUMMYFUNCTION("""COMPUTED_VALUE"""),2837.5)</f>
        <v>2837.5</v>
      </c>
      <c r="F50" s="2">
        <f>IFERROR(__xludf.DUMMYFUNCTION("""COMPUTED_VALUE"""),8.22703E7)</f>
        <v>82270300</v>
      </c>
      <c r="G50" s="2">
        <f t="shared" si="1"/>
        <v>162.5</v>
      </c>
    </row>
    <row r="51" ht="15.75" customHeight="1">
      <c r="A51" s="1">
        <f>IFERROR(__xludf.DUMMYFUNCTION("""COMPUTED_VALUE"""),43901.66666666667)</f>
        <v>43901.66667</v>
      </c>
      <c r="B51" s="2">
        <f>IFERROR(__xludf.DUMMYFUNCTION("""COMPUTED_VALUE"""),2837.5)</f>
        <v>2837.5</v>
      </c>
      <c r="C51" s="2">
        <f>IFERROR(__xludf.DUMMYFUNCTION("""COMPUTED_VALUE"""),2862.5)</f>
        <v>2862.5</v>
      </c>
      <c r="D51" s="2">
        <f>IFERROR(__xludf.DUMMYFUNCTION("""COMPUTED_VALUE"""),2637.5)</f>
        <v>2637.5</v>
      </c>
      <c r="E51" s="2">
        <f>IFERROR(__xludf.DUMMYFUNCTION("""COMPUTED_VALUE"""),2762.5)</f>
        <v>2762.5</v>
      </c>
      <c r="F51" s="2">
        <f>IFERROR(__xludf.DUMMYFUNCTION("""COMPUTED_VALUE"""),5.32938E7)</f>
        <v>53293800</v>
      </c>
      <c r="G51" s="2">
        <f t="shared" si="1"/>
        <v>225</v>
      </c>
    </row>
    <row r="52" ht="15.75" customHeight="1">
      <c r="A52" s="1">
        <f>IFERROR(__xludf.DUMMYFUNCTION("""COMPUTED_VALUE"""),43902.66666666667)</f>
        <v>43902.66667</v>
      </c>
      <c r="B52" s="2">
        <f>IFERROR(__xludf.DUMMYFUNCTION("""COMPUTED_VALUE"""),2600.0)</f>
        <v>2600</v>
      </c>
      <c r="C52" s="2">
        <f>IFERROR(__xludf.DUMMYFUNCTION("""COMPUTED_VALUE"""),2687.5)</f>
        <v>2687.5</v>
      </c>
      <c r="D52" s="2">
        <f>IFERROR(__xludf.DUMMYFUNCTION("""COMPUTED_VALUE"""),2500.0)</f>
        <v>2500</v>
      </c>
      <c r="E52" s="2">
        <f>IFERROR(__xludf.DUMMYFUNCTION("""COMPUTED_VALUE"""),2512.5)</f>
        <v>2512.5</v>
      </c>
      <c r="F52" s="2">
        <f>IFERROR(__xludf.DUMMYFUNCTION("""COMPUTED_VALUE"""),6.76859E7)</f>
        <v>67685900</v>
      </c>
      <c r="G52" s="2">
        <f t="shared" si="1"/>
        <v>262.5</v>
      </c>
    </row>
    <row r="53" ht="15.75" customHeight="1">
      <c r="A53" s="1">
        <f>IFERROR(__xludf.DUMMYFUNCTION("""COMPUTED_VALUE"""),43903.66666666667)</f>
        <v>43903.66667</v>
      </c>
      <c r="B53" s="2">
        <f>IFERROR(__xludf.DUMMYFUNCTION("""COMPUTED_VALUE"""),2475.0)</f>
        <v>2475</v>
      </c>
      <c r="C53" s="2">
        <f>IFERROR(__xludf.DUMMYFUNCTION("""COMPUTED_VALUE"""),2662.5)</f>
        <v>2662.5</v>
      </c>
      <c r="D53" s="2">
        <f>IFERROR(__xludf.DUMMYFUNCTION("""COMPUTED_VALUE"""),2340.0)</f>
        <v>2340</v>
      </c>
      <c r="E53" s="2">
        <f>IFERROR(__xludf.DUMMYFUNCTION("""COMPUTED_VALUE"""),2600.0)</f>
        <v>2600</v>
      </c>
      <c r="F53" s="2">
        <f>IFERROR(__xludf.DUMMYFUNCTION("""COMPUTED_VALUE"""),8.65845E7)</f>
        <v>86584500</v>
      </c>
      <c r="G53" s="2">
        <f t="shared" si="1"/>
        <v>322.5</v>
      </c>
    </row>
    <row r="54" ht="15.75" customHeight="1">
      <c r="A54" s="1">
        <f>IFERROR(__xludf.DUMMYFUNCTION("""COMPUTED_VALUE"""),43906.66666666667)</f>
        <v>43906.66667</v>
      </c>
      <c r="B54" s="2">
        <f>IFERROR(__xludf.DUMMYFUNCTION("""COMPUTED_VALUE"""),2550.0)</f>
        <v>2550</v>
      </c>
      <c r="C54" s="2">
        <f>IFERROR(__xludf.DUMMYFUNCTION("""COMPUTED_VALUE"""),2625.0)</f>
        <v>2625</v>
      </c>
      <c r="D54" s="2">
        <f>IFERROR(__xludf.DUMMYFUNCTION("""COMPUTED_VALUE"""),2420.0)</f>
        <v>2420</v>
      </c>
      <c r="E54" s="2">
        <f>IFERROR(__xludf.DUMMYFUNCTION("""COMPUTED_VALUE"""),2420.0)</f>
        <v>2420</v>
      </c>
      <c r="F54" s="2">
        <f>IFERROR(__xludf.DUMMYFUNCTION("""COMPUTED_VALUE"""),4.9165E7)</f>
        <v>49165000</v>
      </c>
      <c r="G54" s="2">
        <f t="shared" si="1"/>
        <v>205</v>
      </c>
    </row>
    <row r="55" ht="15.75" customHeight="1">
      <c r="A55" s="1">
        <f>IFERROR(__xludf.DUMMYFUNCTION("""COMPUTED_VALUE"""),43907.66666666667)</f>
        <v>43907.66667</v>
      </c>
      <c r="B55" s="2">
        <f>IFERROR(__xludf.DUMMYFUNCTION("""COMPUTED_VALUE"""),2415.0)</f>
        <v>2415</v>
      </c>
      <c r="C55" s="2">
        <f>IFERROR(__xludf.DUMMYFUNCTION("""COMPUTED_VALUE"""),2420.0)</f>
        <v>2420</v>
      </c>
      <c r="D55" s="2">
        <f>IFERROR(__xludf.DUMMYFUNCTION("""COMPUTED_VALUE"""),2255.0)</f>
        <v>2255</v>
      </c>
      <c r="E55" s="2">
        <f>IFERROR(__xludf.DUMMYFUNCTION("""COMPUTED_VALUE"""),2255.0)</f>
        <v>2255</v>
      </c>
      <c r="F55" s="2">
        <f>IFERROR(__xludf.DUMMYFUNCTION("""COMPUTED_VALUE"""),6.8571E7)</f>
        <v>68571000</v>
      </c>
      <c r="G55" s="2">
        <f t="shared" si="1"/>
        <v>165</v>
      </c>
    </row>
    <row r="56" ht="15.75" customHeight="1">
      <c r="A56" s="1">
        <f>IFERROR(__xludf.DUMMYFUNCTION("""COMPUTED_VALUE"""),43908.66666666667)</f>
        <v>43908.66667</v>
      </c>
      <c r="B56" s="2">
        <f>IFERROR(__xludf.DUMMYFUNCTION("""COMPUTED_VALUE"""),2295.0)</f>
        <v>2295</v>
      </c>
      <c r="C56" s="2">
        <f>IFERROR(__xludf.DUMMYFUNCTION("""COMPUTED_VALUE"""),2295.0)</f>
        <v>2295</v>
      </c>
      <c r="D56" s="2">
        <f>IFERROR(__xludf.DUMMYFUNCTION("""COMPUTED_VALUE"""),2100.0)</f>
        <v>2100</v>
      </c>
      <c r="E56" s="2">
        <f>IFERROR(__xludf.DUMMYFUNCTION("""COMPUTED_VALUE"""),2100.0)</f>
        <v>2100</v>
      </c>
      <c r="F56" s="2">
        <f>IFERROR(__xludf.DUMMYFUNCTION("""COMPUTED_VALUE"""),7.22672E7)</f>
        <v>72267200</v>
      </c>
      <c r="G56" s="2">
        <f t="shared" si="1"/>
        <v>195</v>
      </c>
    </row>
    <row r="57" ht="15.75" customHeight="1">
      <c r="A57" s="1">
        <f>IFERROR(__xludf.DUMMYFUNCTION("""COMPUTED_VALUE"""),43909.66666666667)</f>
        <v>43909.66667</v>
      </c>
      <c r="B57" s="2">
        <f>IFERROR(__xludf.DUMMYFUNCTION("""COMPUTED_VALUE"""),1960.0)</f>
        <v>1960</v>
      </c>
      <c r="C57" s="2">
        <f>IFERROR(__xludf.DUMMYFUNCTION("""COMPUTED_VALUE"""),1975.0)</f>
        <v>1975</v>
      </c>
      <c r="D57" s="2">
        <f>IFERROR(__xludf.DUMMYFUNCTION("""COMPUTED_VALUE"""),1955.0)</f>
        <v>1955</v>
      </c>
      <c r="E57" s="2">
        <f>IFERROR(__xludf.DUMMYFUNCTION("""COMPUTED_VALUE"""),1955.0)</f>
        <v>1955</v>
      </c>
      <c r="F57" s="2">
        <f>IFERROR(__xludf.DUMMYFUNCTION("""COMPUTED_VALUE"""),1.09531E7)</f>
        <v>10953100</v>
      </c>
      <c r="G57" s="2">
        <f t="shared" si="1"/>
        <v>145</v>
      </c>
    </row>
    <row r="58" ht="15.75" customHeight="1">
      <c r="A58" s="1">
        <f>IFERROR(__xludf.DUMMYFUNCTION("""COMPUTED_VALUE"""),43910.66666666667)</f>
        <v>43910.66667</v>
      </c>
      <c r="B58" s="2">
        <f>IFERROR(__xludf.DUMMYFUNCTION("""COMPUTED_VALUE"""),1900.0)</f>
        <v>1900</v>
      </c>
      <c r="C58" s="2">
        <f>IFERROR(__xludf.DUMMYFUNCTION("""COMPUTED_VALUE"""),1900.0)</f>
        <v>1900</v>
      </c>
      <c r="D58" s="2">
        <f>IFERROR(__xludf.DUMMYFUNCTION("""COMPUTED_VALUE"""),1820.0)</f>
        <v>1820</v>
      </c>
      <c r="E58" s="2">
        <f>IFERROR(__xludf.DUMMYFUNCTION("""COMPUTED_VALUE"""),1820.0)</f>
        <v>1820</v>
      </c>
      <c r="F58" s="2">
        <f>IFERROR(__xludf.DUMMYFUNCTION("""COMPUTED_VALUE"""),1.757196E8)</f>
        <v>175719600</v>
      </c>
      <c r="G58" s="2">
        <f t="shared" si="1"/>
        <v>135</v>
      </c>
    </row>
    <row r="59" ht="15.75" customHeight="1">
      <c r="A59" s="1">
        <f>IFERROR(__xludf.DUMMYFUNCTION("""COMPUTED_VALUE"""),43913.66666666667)</f>
        <v>43913.66667</v>
      </c>
      <c r="B59" s="2">
        <f>IFERROR(__xludf.DUMMYFUNCTION("""COMPUTED_VALUE"""),1765.0)</f>
        <v>1765</v>
      </c>
      <c r="C59" s="2">
        <f>IFERROR(__xludf.DUMMYFUNCTION("""COMPUTED_VALUE"""),1765.0)</f>
        <v>1765</v>
      </c>
      <c r="D59" s="2">
        <f>IFERROR(__xludf.DUMMYFUNCTION("""COMPUTED_VALUE"""),1695.0)</f>
        <v>1695</v>
      </c>
      <c r="E59" s="2">
        <f>IFERROR(__xludf.DUMMYFUNCTION("""COMPUTED_VALUE"""),1695.0)</f>
        <v>1695</v>
      </c>
      <c r="F59" s="2">
        <f>IFERROR(__xludf.DUMMYFUNCTION("""COMPUTED_VALUE"""),1.05743E7)</f>
        <v>10574300</v>
      </c>
      <c r="G59" s="2">
        <f t="shared" si="1"/>
        <v>125</v>
      </c>
    </row>
    <row r="60" ht="15.75" customHeight="1">
      <c r="A60" s="1">
        <f>IFERROR(__xludf.DUMMYFUNCTION("""COMPUTED_VALUE"""),43914.66666666667)</f>
        <v>43914.66667</v>
      </c>
      <c r="B60" s="2">
        <f>IFERROR(__xludf.DUMMYFUNCTION("""COMPUTED_VALUE"""),1655.0)</f>
        <v>1655</v>
      </c>
      <c r="C60" s="2">
        <f>IFERROR(__xludf.DUMMYFUNCTION("""COMPUTED_VALUE"""),1715.0)</f>
        <v>1715</v>
      </c>
      <c r="D60" s="2">
        <f>IFERROR(__xludf.DUMMYFUNCTION("""COMPUTED_VALUE"""),1580.0)</f>
        <v>1580</v>
      </c>
      <c r="E60" s="2">
        <f>IFERROR(__xludf.DUMMYFUNCTION("""COMPUTED_VALUE"""),1580.0)</f>
        <v>1580</v>
      </c>
      <c r="F60" s="2">
        <f>IFERROR(__xludf.DUMMYFUNCTION("""COMPUTED_VALUE"""),1.320893E8)</f>
        <v>132089300</v>
      </c>
      <c r="G60" s="2">
        <f t="shared" si="1"/>
        <v>135</v>
      </c>
    </row>
    <row r="61" ht="15.75" customHeight="1">
      <c r="A61" s="1">
        <f>IFERROR(__xludf.DUMMYFUNCTION("""COMPUTED_VALUE"""),43916.66666666667)</f>
        <v>43916.66667</v>
      </c>
      <c r="B61" s="2">
        <f>IFERROR(__xludf.DUMMYFUNCTION("""COMPUTED_VALUE"""),1580.0)</f>
        <v>1580</v>
      </c>
      <c r="C61" s="2">
        <f>IFERROR(__xludf.DUMMYFUNCTION("""COMPUTED_VALUE"""),1845.0)</f>
        <v>1845</v>
      </c>
      <c r="D61" s="2">
        <f>IFERROR(__xludf.DUMMYFUNCTION("""COMPUTED_VALUE"""),1485.0)</f>
        <v>1485</v>
      </c>
      <c r="E61" s="2">
        <f>IFERROR(__xludf.DUMMYFUNCTION("""COMPUTED_VALUE"""),1795.0)</f>
        <v>1795</v>
      </c>
      <c r="F61" s="2">
        <f>IFERROR(__xludf.DUMMYFUNCTION("""COMPUTED_VALUE"""),1.907569E8)</f>
        <v>190756900</v>
      </c>
      <c r="G61" s="2">
        <f t="shared" si="1"/>
        <v>360</v>
      </c>
    </row>
    <row r="62" ht="15.75" customHeight="1">
      <c r="A62" s="1">
        <f>IFERROR(__xludf.DUMMYFUNCTION("""COMPUTED_VALUE"""),43917.66666666667)</f>
        <v>43917.66667</v>
      </c>
      <c r="B62" s="2">
        <f>IFERROR(__xludf.DUMMYFUNCTION("""COMPUTED_VALUE"""),1835.0)</f>
        <v>1835</v>
      </c>
      <c r="C62" s="2">
        <f>IFERROR(__xludf.DUMMYFUNCTION("""COMPUTED_VALUE"""),2120.0)</f>
        <v>2120</v>
      </c>
      <c r="D62" s="2">
        <f>IFERROR(__xludf.DUMMYFUNCTION("""COMPUTED_VALUE"""),1825.0)</f>
        <v>1825</v>
      </c>
      <c r="E62" s="2">
        <f>IFERROR(__xludf.DUMMYFUNCTION("""COMPUTED_VALUE"""),1995.0)</f>
        <v>1995</v>
      </c>
      <c r="F62" s="2">
        <f>IFERROR(__xludf.DUMMYFUNCTION("""COMPUTED_VALUE"""),1.649918E8)</f>
        <v>164991800</v>
      </c>
      <c r="G62" s="2">
        <f t="shared" si="1"/>
        <v>325</v>
      </c>
    </row>
    <row r="63" ht="15.75" customHeight="1">
      <c r="A63" s="1">
        <f>IFERROR(__xludf.DUMMYFUNCTION("""COMPUTED_VALUE"""),43920.66666666667)</f>
        <v>43920.66667</v>
      </c>
      <c r="B63" s="2">
        <f>IFERROR(__xludf.DUMMYFUNCTION("""COMPUTED_VALUE"""),1980.0)</f>
        <v>1980</v>
      </c>
      <c r="C63" s="2">
        <f>IFERROR(__xludf.DUMMYFUNCTION("""COMPUTED_VALUE"""),1980.0)</f>
        <v>1980</v>
      </c>
      <c r="D63" s="2">
        <f>IFERROR(__xludf.DUMMYFUNCTION("""COMPUTED_VALUE"""),1860.0)</f>
        <v>1860</v>
      </c>
      <c r="E63" s="2">
        <f>IFERROR(__xludf.DUMMYFUNCTION("""COMPUTED_VALUE"""),1860.0)</f>
        <v>1860</v>
      </c>
      <c r="F63" s="2">
        <f>IFERROR(__xludf.DUMMYFUNCTION("""COMPUTED_VALUE"""),4.10726E7)</f>
        <v>41072600</v>
      </c>
      <c r="G63" s="2">
        <f t="shared" si="1"/>
        <v>135</v>
      </c>
    </row>
    <row r="64" ht="15.75" customHeight="1">
      <c r="A64" s="1">
        <f>IFERROR(__xludf.DUMMYFUNCTION("""COMPUTED_VALUE"""),43921.66666666667)</f>
        <v>43921.66667</v>
      </c>
      <c r="B64" s="2">
        <f>IFERROR(__xludf.DUMMYFUNCTION("""COMPUTED_VALUE"""),1915.0)</f>
        <v>1915</v>
      </c>
      <c r="C64" s="2">
        <f>IFERROR(__xludf.DUMMYFUNCTION("""COMPUTED_VALUE"""),2010.0)</f>
        <v>2010</v>
      </c>
      <c r="D64" s="2">
        <f>IFERROR(__xludf.DUMMYFUNCTION("""COMPUTED_VALUE"""),1860.0)</f>
        <v>1860</v>
      </c>
      <c r="E64" s="2">
        <f>IFERROR(__xludf.DUMMYFUNCTION("""COMPUTED_VALUE"""),1910.0)</f>
        <v>1910</v>
      </c>
      <c r="F64" s="2">
        <f>IFERROR(__xludf.DUMMYFUNCTION("""COMPUTED_VALUE"""),9.96102E7)</f>
        <v>99610200</v>
      </c>
      <c r="G64" s="2">
        <f t="shared" si="1"/>
        <v>150</v>
      </c>
    </row>
    <row r="65" ht="15.75" customHeight="1">
      <c r="A65" s="1">
        <f>IFERROR(__xludf.DUMMYFUNCTION("""COMPUTED_VALUE"""),43922.66666666667)</f>
        <v>43922.66667</v>
      </c>
      <c r="B65" s="2">
        <f>IFERROR(__xludf.DUMMYFUNCTION("""COMPUTED_VALUE"""),1915.0)</f>
        <v>1915</v>
      </c>
      <c r="C65" s="2">
        <f>IFERROR(__xludf.DUMMYFUNCTION("""COMPUTED_VALUE"""),2000.0)</f>
        <v>2000</v>
      </c>
      <c r="D65" s="2">
        <f>IFERROR(__xludf.DUMMYFUNCTION("""COMPUTED_VALUE"""),1835.0)</f>
        <v>1835</v>
      </c>
      <c r="E65" s="2">
        <f>IFERROR(__xludf.DUMMYFUNCTION("""COMPUTED_VALUE"""),1840.0)</f>
        <v>1840</v>
      </c>
      <c r="F65" s="2">
        <f>IFERROR(__xludf.DUMMYFUNCTION("""COMPUTED_VALUE"""),8.64855E7)</f>
        <v>86485500</v>
      </c>
      <c r="G65" s="2">
        <f t="shared" si="1"/>
        <v>165</v>
      </c>
    </row>
    <row r="66" ht="15.75" customHeight="1">
      <c r="A66" s="1">
        <f>IFERROR(__xludf.DUMMYFUNCTION("""COMPUTED_VALUE"""),43923.66666666667)</f>
        <v>43923.66667</v>
      </c>
      <c r="B66" s="2">
        <f>IFERROR(__xludf.DUMMYFUNCTION("""COMPUTED_VALUE"""),1845.0)</f>
        <v>1845</v>
      </c>
      <c r="C66" s="2">
        <f>IFERROR(__xludf.DUMMYFUNCTION("""COMPUTED_VALUE"""),1925.0)</f>
        <v>1925</v>
      </c>
      <c r="D66" s="2">
        <f>IFERROR(__xludf.DUMMYFUNCTION("""COMPUTED_VALUE"""),1735.0)</f>
        <v>1735</v>
      </c>
      <c r="E66" s="2">
        <f>IFERROR(__xludf.DUMMYFUNCTION("""COMPUTED_VALUE"""),1925.0)</f>
        <v>1925</v>
      </c>
      <c r="F66" s="2">
        <f>IFERROR(__xludf.DUMMYFUNCTION("""COMPUTED_VALUE"""),5.89844E7)</f>
        <v>58984400</v>
      </c>
      <c r="G66" s="2">
        <f t="shared" si="1"/>
        <v>190</v>
      </c>
    </row>
    <row r="67" ht="15.75" customHeight="1">
      <c r="A67" s="1">
        <f>IFERROR(__xludf.DUMMYFUNCTION("""COMPUTED_VALUE"""),43924.66666666667)</f>
        <v>43924.66667</v>
      </c>
      <c r="B67" s="2">
        <f>IFERROR(__xludf.DUMMYFUNCTION("""COMPUTED_VALUE"""),1940.0)</f>
        <v>1940</v>
      </c>
      <c r="C67" s="2">
        <f>IFERROR(__xludf.DUMMYFUNCTION("""COMPUTED_VALUE"""),2020.0)</f>
        <v>2020</v>
      </c>
      <c r="D67" s="2">
        <f>IFERROR(__xludf.DUMMYFUNCTION("""COMPUTED_VALUE"""),1920.0)</f>
        <v>1920</v>
      </c>
      <c r="E67" s="2">
        <f>IFERROR(__xludf.DUMMYFUNCTION("""COMPUTED_VALUE"""),2005.0)</f>
        <v>2005</v>
      </c>
      <c r="F67" s="2">
        <f>IFERROR(__xludf.DUMMYFUNCTION("""COMPUTED_VALUE"""),4.75846E7)</f>
        <v>47584600</v>
      </c>
      <c r="G67" s="2">
        <f t="shared" si="1"/>
        <v>100</v>
      </c>
    </row>
    <row r="68" ht="15.75" customHeight="1">
      <c r="A68" s="1">
        <f>IFERROR(__xludf.DUMMYFUNCTION("""COMPUTED_VALUE"""),43927.66666666667)</f>
        <v>43927.66667</v>
      </c>
      <c r="B68" s="2">
        <f>IFERROR(__xludf.DUMMYFUNCTION("""COMPUTED_VALUE"""),2030.0)</f>
        <v>2030</v>
      </c>
      <c r="C68" s="2">
        <f>IFERROR(__xludf.DUMMYFUNCTION("""COMPUTED_VALUE"""),2150.0)</f>
        <v>2150</v>
      </c>
      <c r="D68" s="2">
        <f>IFERROR(__xludf.DUMMYFUNCTION("""COMPUTED_VALUE"""),2005.0)</f>
        <v>2005</v>
      </c>
      <c r="E68" s="2">
        <f>IFERROR(__xludf.DUMMYFUNCTION("""COMPUTED_VALUE"""),2145.0)</f>
        <v>2145</v>
      </c>
      <c r="F68" s="2">
        <f>IFERROR(__xludf.DUMMYFUNCTION("""COMPUTED_VALUE"""),6.14798E7)</f>
        <v>61479800</v>
      </c>
      <c r="G68" s="2">
        <f t="shared" si="1"/>
        <v>145</v>
      </c>
    </row>
    <row r="69" ht="15.75" customHeight="1">
      <c r="A69" s="1">
        <f>IFERROR(__xludf.DUMMYFUNCTION("""COMPUTED_VALUE"""),43928.66666666667)</f>
        <v>43928.66667</v>
      </c>
      <c r="B69" s="2">
        <f>IFERROR(__xludf.DUMMYFUNCTION("""COMPUTED_VALUE"""),2245.0)</f>
        <v>2245</v>
      </c>
      <c r="C69" s="2">
        <f>IFERROR(__xludf.DUMMYFUNCTION("""COMPUTED_VALUE"""),2325.0)</f>
        <v>2325</v>
      </c>
      <c r="D69" s="2">
        <f>IFERROR(__xludf.DUMMYFUNCTION("""COMPUTED_VALUE"""),2060.0)</f>
        <v>2060</v>
      </c>
      <c r="E69" s="2">
        <f>IFERROR(__xludf.DUMMYFUNCTION("""COMPUTED_VALUE"""),2155.0)</f>
        <v>2155</v>
      </c>
      <c r="F69" s="2">
        <f>IFERROR(__xludf.DUMMYFUNCTION("""COMPUTED_VALUE"""),8.16283E7)</f>
        <v>81628300</v>
      </c>
      <c r="G69" s="2">
        <f t="shared" si="1"/>
        <v>265</v>
      </c>
    </row>
    <row r="70" ht="15.75" customHeight="1">
      <c r="A70" s="1">
        <f>IFERROR(__xludf.DUMMYFUNCTION("""COMPUTED_VALUE"""),43929.66666666667)</f>
        <v>43929.66667</v>
      </c>
      <c r="B70" s="2">
        <f>IFERROR(__xludf.DUMMYFUNCTION("""COMPUTED_VALUE"""),2100.0)</f>
        <v>2100</v>
      </c>
      <c r="C70" s="2">
        <f>IFERROR(__xludf.DUMMYFUNCTION("""COMPUTED_VALUE"""),2120.0)</f>
        <v>2120</v>
      </c>
      <c r="D70" s="2">
        <f>IFERROR(__xludf.DUMMYFUNCTION("""COMPUTED_VALUE"""),2005.0)</f>
        <v>2005</v>
      </c>
      <c r="E70" s="2">
        <f>IFERROR(__xludf.DUMMYFUNCTION("""COMPUTED_VALUE"""),2005.0)</f>
        <v>2005</v>
      </c>
      <c r="F70" s="2">
        <f>IFERROR(__xludf.DUMMYFUNCTION("""COMPUTED_VALUE"""),6.15327E7)</f>
        <v>61532700</v>
      </c>
      <c r="G70" s="2">
        <f t="shared" si="1"/>
        <v>150</v>
      </c>
    </row>
    <row r="71" ht="15.75" customHeight="1">
      <c r="A71" s="1">
        <f>IFERROR(__xludf.DUMMYFUNCTION("""COMPUTED_VALUE"""),43930.66666666667)</f>
        <v>43930.66667</v>
      </c>
      <c r="B71" s="2">
        <f>IFERROR(__xludf.DUMMYFUNCTION("""COMPUTED_VALUE"""),2050.0)</f>
        <v>2050</v>
      </c>
      <c r="C71" s="2">
        <f>IFERROR(__xludf.DUMMYFUNCTION("""COMPUTED_VALUE"""),2075.0)</f>
        <v>2075</v>
      </c>
      <c r="D71" s="2">
        <f>IFERROR(__xludf.DUMMYFUNCTION("""COMPUTED_VALUE"""),1935.0)</f>
        <v>1935</v>
      </c>
      <c r="E71" s="2">
        <f>IFERROR(__xludf.DUMMYFUNCTION("""COMPUTED_VALUE"""),1995.0)</f>
        <v>1995</v>
      </c>
      <c r="F71" s="2">
        <f>IFERROR(__xludf.DUMMYFUNCTION("""COMPUTED_VALUE"""),3.66596E7)</f>
        <v>36659600</v>
      </c>
      <c r="G71" s="2">
        <f t="shared" si="1"/>
        <v>140</v>
      </c>
    </row>
    <row r="72" ht="15.75" customHeight="1">
      <c r="A72" s="1">
        <f>IFERROR(__xludf.DUMMYFUNCTION("""COMPUTED_VALUE"""),43934.66666666667)</f>
        <v>43934.66667</v>
      </c>
      <c r="B72" s="2">
        <f>IFERROR(__xludf.DUMMYFUNCTION("""COMPUTED_VALUE"""),2000.0)</f>
        <v>2000</v>
      </c>
      <c r="C72" s="2">
        <f>IFERROR(__xludf.DUMMYFUNCTION("""COMPUTED_VALUE"""),2035.0)</f>
        <v>2035</v>
      </c>
      <c r="D72" s="2">
        <f>IFERROR(__xludf.DUMMYFUNCTION("""COMPUTED_VALUE"""),1950.0)</f>
        <v>1950</v>
      </c>
      <c r="E72" s="2">
        <f>IFERROR(__xludf.DUMMYFUNCTION("""COMPUTED_VALUE"""),1995.0)</f>
        <v>1995</v>
      </c>
      <c r="F72" s="2">
        <f>IFERROR(__xludf.DUMMYFUNCTION("""COMPUTED_VALUE"""),2.05213E7)</f>
        <v>20521300</v>
      </c>
      <c r="G72" s="2">
        <f t="shared" si="1"/>
        <v>85</v>
      </c>
    </row>
    <row r="73" ht="15.75" customHeight="1">
      <c r="A73" s="1">
        <f>IFERROR(__xludf.DUMMYFUNCTION("""COMPUTED_VALUE"""),43935.66666666667)</f>
        <v>43935.66667</v>
      </c>
      <c r="B73" s="2">
        <f>IFERROR(__xludf.DUMMYFUNCTION("""COMPUTED_VALUE"""),2000.0)</f>
        <v>2000</v>
      </c>
      <c r="C73" s="2">
        <f>IFERROR(__xludf.DUMMYFUNCTION("""COMPUTED_VALUE"""),2095.0)</f>
        <v>2095</v>
      </c>
      <c r="D73" s="2">
        <f>IFERROR(__xludf.DUMMYFUNCTION("""COMPUTED_VALUE"""),2000.0)</f>
        <v>2000</v>
      </c>
      <c r="E73" s="2">
        <f>IFERROR(__xludf.DUMMYFUNCTION("""COMPUTED_VALUE"""),2075.0)</f>
        <v>2075</v>
      </c>
      <c r="F73" s="2">
        <f>IFERROR(__xludf.DUMMYFUNCTION("""COMPUTED_VALUE"""),2.88416E7)</f>
        <v>28841600</v>
      </c>
      <c r="G73" s="2">
        <f t="shared" si="1"/>
        <v>100</v>
      </c>
    </row>
    <row r="74" ht="15.75" customHeight="1">
      <c r="A74" s="1">
        <f>IFERROR(__xludf.DUMMYFUNCTION("""COMPUTED_VALUE"""),43936.66666666667)</f>
        <v>43936.66667</v>
      </c>
      <c r="B74" s="2">
        <f>IFERROR(__xludf.DUMMYFUNCTION("""COMPUTED_VALUE"""),2080.0)</f>
        <v>2080</v>
      </c>
      <c r="C74" s="2">
        <f>IFERROR(__xludf.DUMMYFUNCTION("""COMPUTED_VALUE"""),2115.0)</f>
        <v>2115</v>
      </c>
      <c r="D74" s="2">
        <f>IFERROR(__xludf.DUMMYFUNCTION("""COMPUTED_VALUE"""),1995.0)</f>
        <v>1995</v>
      </c>
      <c r="E74" s="2">
        <f>IFERROR(__xludf.DUMMYFUNCTION("""COMPUTED_VALUE"""),2100.0)</f>
        <v>2100</v>
      </c>
      <c r="F74" s="2">
        <f>IFERROR(__xludf.DUMMYFUNCTION("""COMPUTED_VALUE"""),3.76018E7)</f>
        <v>37601800</v>
      </c>
      <c r="G74" s="2">
        <f t="shared" si="1"/>
        <v>120</v>
      </c>
    </row>
    <row r="75" ht="15.75" customHeight="1">
      <c r="A75" s="1">
        <f>IFERROR(__xludf.DUMMYFUNCTION("""COMPUTED_VALUE"""),43937.66666666667)</f>
        <v>43937.66667</v>
      </c>
      <c r="B75" s="2">
        <f>IFERROR(__xludf.DUMMYFUNCTION("""COMPUTED_VALUE"""),2050.0)</f>
        <v>2050</v>
      </c>
      <c r="C75" s="2">
        <f>IFERROR(__xludf.DUMMYFUNCTION("""COMPUTED_VALUE"""),2050.0)</f>
        <v>2050</v>
      </c>
      <c r="D75" s="2">
        <f>IFERROR(__xludf.DUMMYFUNCTION("""COMPUTED_VALUE"""),1975.0)</f>
        <v>1975</v>
      </c>
      <c r="E75" s="2">
        <f>IFERROR(__xludf.DUMMYFUNCTION("""COMPUTED_VALUE"""),1990.0)</f>
        <v>1990</v>
      </c>
      <c r="F75" s="2">
        <f>IFERROR(__xludf.DUMMYFUNCTION("""COMPUTED_VALUE"""),4.63819E7)</f>
        <v>46381900</v>
      </c>
      <c r="G75" s="2">
        <f t="shared" si="1"/>
        <v>125</v>
      </c>
    </row>
    <row r="76" ht="15.75" customHeight="1">
      <c r="A76" s="1">
        <f>IFERROR(__xludf.DUMMYFUNCTION("""COMPUTED_VALUE"""),43938.66666666667)</f>
        <v>43938.66667</v>
      </c>
      <c r="B76" s="2">
        <f>IFERROR(__xludf.DUMMYFUNCTION("""COMPUTED_VALUE"""),2035.0)</f>
        <v>2035</v>
      </c>
      <c r="C76" s="2">
        <f>IFERROR(__xludf.DUMMYFUNCTION("""COMPUTED_VALUE"""),2085.0)</f>
        <v>2085</v>
      </c>
      <c r="D76" s="2">
        <f>IFERROR(__xludf.DUMMYFUNCTION("""COMPUTED_VALUE"""),2035.0)</f>
        <v>2035</v>
      </c>
      <c r="E76" s="2">
        <f>IFERROR(__xludf.DUMMYFUNCTION("""COMPUTED_VALUE"""),2080.0)</f>
        <v>2080</v>
      </c>
      <c r="F76" s="2">
        <f>IFERROR(__xludf.DUMMYFUNCTION("""COMPUTED_VALUE"""),4.45207E7)</f>
        <v>44520700</v>
      </c>
      <c r="G76" s="2">
        <f t="shared" si="1"/>
        <v>95</v>
      </c>
    </row>
    <row r="77" ht="15.75" customHeight="1">
      <c r="A77" s="1">
        <f>IFERROR(__xludf.DUMMYFUNCTION("""COMPUTED_VALUE"""),43941.66666666667)</f>
        <v>43941.66667</v>
      </c>
      <c r="B77" s="2">
        <f>IFERROR(__xludf.DUMMYFUNCTION("""COMPUTED_VALUE"""),2085.0)</f>
        <v>2085</v>
      </c>
      <c r="C77" s="2">
        <f>IFERROR(__xludf.DUMMYFUNCTION("""COMPUTED_VALUE"""),2120.0)</f>
        <v>2120</v>
      </c>
      <c r="D77" s="2">
        <f>IFERROR(__xludf.DUMMYFUNCTION("""COMPUTED_VALUE"""),2035.0)</f>
        <v>2035</v>
      </c>
      <c r="E77" s="2">
        <f>IFERROR(__xludf.DUMMYFUNCTION("""COMPUTED_VALUE"""),2050.0)</f>
        <v>2050</v>
      </c>
      <c r="F77" s="2">
        <f>IFERROR(__xludf.DUMMYFUNCTION("""COMPUTED_VALUE"""),3.48828E7)</f>
        <v>34882800</v>
      </c>
      <c r="G77" s="2">
        <f t="shared" si="1"/>
        <v>85</v>
      </c>
    </row>
    <row r="78" ht="15.75" customHeight="1">
      <c r="A78" s="1">
        <f>IFERROR(__xludf.DUMMYFUNCTION("""COMPUTED_VALUE"""),43942.66666666667)</f>
        <v>43942.66667</v>
      </c>
      <c r="B78" s="2">
        <f>IFERROR(__xludf.DUMMYFUNCTION("""COMPUTED_VALUE"""),2040.0)</f>
        <v>2040</v>
      </c>
      <c r="C78" s="2">
        <f>IFERROR(__xludf.DUMMYFUNCTION("""COMPUTED_VALUE"""),2050.0)</f>
        <v>2050</v>
      </c>
      <c r="D78" s="2">
        <f>IFERROR(__xludf.DUMMYFUNCTION("""COMPUTED_VALUE"""),1995.0)</f>
        <v>1995</v>
      </c>
      <c r="E78" s="2">
        <f>IFERROR(__xludf.DUMMYFUNCTION("""COMPUTED_VALUE"""),2015.0)</f>
        <v>2015</v>
      </c>
      <c r="F78" s="2">
        <f>IFERROR(__xludf.DUMMYFUNCTION("""COMPUTED_VALUE"""),2.08576E7)</f>
        <v>20857600</v>
      </c>
      <c r="G78" s="2">
        <f t="shared" si="1"/>
        <v>55</v>
      </c>
    </row>
    <row r="79" ht="15.75" customHeight="1">
      <c r="A79" s="1">
        <f>IFERROR(__xludf.DUMMYFUNCTION("""COMPUTED_VALUE"""),43943.66666666667)</f>
        <v>43943.66667</v>
      </c>
      <c r="B79" s="2">
        <f>IFERROR(__xludf.DUMMYFUNCTION("""COMPUTED_VALUE"""),1985.0)</f>
        <v>1985</v>
      </c>
      <c r="C79" s="2">
        <f>IFERROR(__xludf.DUMMYFUNCTION("""COMPUTED_VALUE"""),2035.0)</f>
        <v>2035</v>
      </c>
      <c r="D79" s="2">
        <f>IFERROR(__xludf.DUMMYFUNCTION("""COMPUTED_VALUE"""),1950.0)</f>
        <v>1950</v>
      </c>
      <c r="E79" s="2">
        <f>IFERROR(__xludf.DUMMYFUNCTION("""COMPUTED_VALUE"""),2010.0)</f>
        <v>2010</v>
      </c>
      <c r="F79" s="2">
        <f>IFERROR(__xludf.DUMMYFUNCTION("""COMPUTED_VALUE"""),5.28282E7)</f>
        <v>52828200</v>
      </c>
      <c r="G79" s="2">
        <f t="shared" si="1"/>
        <v>85</v>
      </c>
    </row>
    <row r="80" ht="15.75" customHeight="1">
      <c r="A80" s="1">
        <f>IFERROR(__xludf.DUMMYFUNCTION("""COMPUTED_VALUE"""),43944.66666666667)</f>
        <v>43944.66667</v>
      </c>
      <c r="B80" s="2">
        <f>IFERROR(__xludf.DUMMYFUNCTION("""COMPUTED_VALUE"""),2025.0)</f>
        <v>2025</v>
      </c>
      <c r="C80" s="2">
        <f>IFERROR(__xludf.DUMMYFUNCTION("""COMPUTED_VALUE"""),2035.0)</f>
        <v>2035</v>
      </c>
      <c r="D80" s="2">
        <f>IFERROR(__xludf.DUMMYFUNCTION("""COMPUTED_VALUE"""),1995.0)</f>
        <v>1995</v>
      </c>
      <c r="E80" s="2">
        <f>IFERROR(__xludf.DUMMYFUNCTION("""COMPUTED_VALUE"""),2010.0)</f>
        <v>2010</v>
      </c>
      <c r="F80" s="2">
        <f>IFERROR(__xludf.DUMMYFUNCTION("""COMPUTED_VALUE"""),3.81914E7)</f>
        <v>38191400</v>
      </c>
      <c r="G80" s="2">
        <f t="shared" si="1"/>
        <v>40</v>
      </c>
    </row>
    <row r="81" ht="15.75" customHeight="1">
      <c r="A81" s="1">
        <f>IFERROR(__xludf.DUMMYFUNCTION("""COMPUTED_VALUE"""),43945.66666666667)</f>
        <v>43945.66667</v>
      </c>
      <c r="B81" s="2">
        <f>IFERROR(__xludf.DUMMYFUNCTION("""COMPUTED_VALUE"""),2010.0)</f>
        <v>2010</v>
      </c>
      <c r="C81" s="2">
        <f>IFERROR(__xludf.DUMMYFUNCTION("""COMPUTED_VALUE"""),2010.0)</f>
        <v>2010</v>
      </c>
      <c r="D81" s="2">
        <f>IFERROR(__xludf.DUMMYFUNCTION("""COMPUTED_VALUE"""),1890.0)</f>
        <v>1890</v>
      </c>
      <c r="E81" s="2">
        <f>IFERROR(__xludf.DUMMYFUNCTION("""COMPUTED_VALUE"""),1900.0)</f>
        <v>1900</v>
      </c>
      <c r="F81" s="2">
        <f>IFERROR(__xludf.DUMMYFUNCTION("""COMPUTED_VALUE"""),5.03225E7)</f>
        <v>50322500</v>
      </c>
      <c r="G81" s="2">
        <f t="shared" si="1"/>
        <v>120</v>
      </c>
    </row>
    <row r="82" ht="15.75" customHeight="1">
      <c r="A82" s="1">
        <f>IFERROR(__xludf.DUMMYFUNCTION("""COMPUTED_VALUE"""),43948.66666666667)</f>
        <v>43948.66667</v>
      </c>
      <c r="B82" s="2">
        <f>IFERROR(__xludf.DUMMYFUNCTION("""COMPUTED_VALUE"""),1935.0)</f>
        <v>1935</v>
      </c>
      <c r="C82" s="2">
        <f>IFERROR(__xludf.DUMMYFUNCTION("""COMPUTED_VALUE"""),1960.0)</f>
        <v>1960</v>
      </c>
      <c r="D82" s="2">
        <f>IFERROR(__xludf.DUMMYFUNCTION("""COMPUTED_VALUE"""),1875.0)</f>
        <v>1875</v>
      </c>
      <c r="E82" s="2">
        <f>IFERROR(__xludf.DUMMYFUNCTION("""COMPUTED_VALUE"""),1900.0)</f>
        <v>1900</v>
      </c>
      <c r="F82" s="2">
        <f>IFERROR(__xludf.DUMMYFUNCTION("""COMPUTED_VALUE"""),3.43051E7)</f>
        <v>34305100</v>
      </c>
      <c r="G82" s="2">
        <f t="shared" si="1"/>
        <v>85</v>
      </c>
    </row>
    <row r="83" ht="15.75" customHeight="1">
      <c r="A83" s="1">
        <f>IFERROR(__xludf.DUMMYFUNCTION("""COMPUTED_VALUE"""),43949.66666666667)</f>
        <v>43949.66667</v>
      </c>
      <c r="B83" s="2">
        <f>IFERROR(__xludf.DUMMYFUNCTION("""COMPUTED_VALUE"""),1910.0)</f>
        <v>1910</v>
      </c>
      <c r="C83" s="2">
        <f>IFERROR(__xludf.DUMMYFUNCTION("""COMPUTED_VALUE"""),1915.0)</f>
        <v>1915</v>
      </c>
      <c r="D83" s="2">
        <f>IFERROR(__xludf.DUMMYFUNCTION("""COMPUTED_VALUE"""),1875.0)</f>
        <v>1875</v>
      </c>
      <c r="E83" s="2">
        <f>IFERROR(__xludf.DUMMYFUNCTION("""COMPUTED_VALUE"""),1910.0)</f>
        <v>1910</v>
      </c>
      <c r="F83" s="2">
        <f>IFERROR(__xludf.DUMMYFUNCTION("""COMPUTED_VALUE"""),3.49988E7)</f>
        <v>34998800</v>
      </c>
      <c r="G83" s="2">
        <f t="shared" si="1"/>
        <v>40</v>
      </c>
    </row>
    <row r="84" ht="15.75" customHeight="1">
      <c r="A84" s="1">
        <f>IFERROR(__xludf.DUMMYFUNCTION("""COMPUTED_VALUE"""),43950.66666666667)</f>
        <v>43950.66667</v>
      </c>
      <c r="B84" s="2">
        <f>IFERROR(__xludf.DUMMYFUNCTION("""COMPUTED_VALUE"""),1925.0)</f>
        <v>1925</v>
      </c>
      <c r="C84" s="2">
        <f>IFERROR(__xludf.DUMMYFUNCTION("""COMPUTED_VALUE"""),1925.0)</f>
        <v>1925</v>
      </c>
      <c r="D84" s="2">
        <f>IFERROR(__xludf.DUMMYFUNCTION("""COMPUTED_VALUE"""),1875.0)</f>
        <v>1875</v>
      </c>
      <c r="E84" s="2">
        <f>IFERROR(__xludf.DUMMYFUNCTION("""COMPUTED_VALUE"""),1880.0)</f>
        <v>1880</v>
      </c>
      <c r="F84" s="2">
        <f>IFERROR(__xludf.DUMMYFUNCTION("""COMPUTED_VALUE"""),3.26288E7)</f>
        <v>32628800</v>
      </c>
      <c r="G84" s="2">
        <f t="shared" si="1"/>
        <v>50</v>
      </c>
    </row>
    <row r="85" ht="15.75" customHeight="1">
      <c r="A85" s="1">
        <f>IFERROR(__xludf.DUMMYFUNCTION("""COMPUTED_VALUE"""),43951.66666666667)</f>
        <v>43951.66667</v>
      </c>
      <c r="B85" s="2">
        <f>IFERROR(__xludf.DUMMYFUNCTION("""COMPUTED_VALUE"""),1910.0)</f>
        <v>1910</v>
      </c>
      <c r="C85" s="2">
        <f>IFERROR(__xludf.DUMMYFUNCTION("""COMPUTED_VALUE"""),2050.0)</f>
        <v>2050</v>
      </c>
      <c r="D85" s="2">
        <f>IFERROR(__xludf.DUMMYFUNCTION("""COMPUTED_VALUE"""),1900.0)</f>
        <v>1900</v>
      </c>
      <c r="E85" s="2">
        <f>IFERROR(__xludf.DUMMYFUNCTION("""COMPUTED_VALUE"""),2050.0)</f>
        <v>2050</v>
      </c>
      <c r="F85" s="2">
        <f>IFERROR(__xludf.DUMMYFUNCTION("""COMPUTED_VALUE"""),6.31946E7)</f>
        <v>63194600</v>
      </c>
      <c r="G85" s="2">
        <f t="shared" si="1"/>
        <v>170</v>
      </c>
    </row>
    <row r="86" ht="15.75" customHeight="1">
      <c r="A86" s="1">
        <f>IFERROR(__xludf.DUMMYFUNCTION("""COMPUTED_VALUE"""),43955.66666666667)</f>
        <v>43955.66667</v>
      </c>
      <c r="B86" s="2">
        <f>IFERROR(__xludf.DUMMYFUNCTION("""COMPUTED_VALUE"""),2000.0)</f>
        <v>2000</v>
      </c>
      <c r="C86" s="2">
        <f>IFERROR(__xludf.DUMMYFUNCTION("""COMPUTED_VALUE"""),2000.0)</f>
        <v>2000</v>
      </c>
      <c r="D86" s="2">
        <f>IFERROR(__xludf.DUMMYFUNCTION("""COMPUTED_VALUE"""),1935.0)</f>
        <v>1935</v>
      </c>
      <c r="E86" s="2">
        <f>IFERROR(__xludf.DUMMYFUNCTION("""COMPUTED_VALUE"""),1960.0)</f>
        <v>1960</v>
      </c>
      <c r="F86" s="2">
        <f>IFERROR(__xludf.DUMMYFUNCTION("""COMPUTED_VALUE"""),3.31258E7)</f>
        <v>33125800</v>
      </c>
      <c r="G86" s="2">
        <f t="shared" si="1"/>
        <v>115</v>
      </c>
    </row>
    <row r="87" ht="15.75" customHeight="1">
      <c r="A87" s="1">
        <f>IFERROR(__xludf.DUMMYFUNCTION("""COMPUTED_VALUE"""),43956.66666666667)</f>
        <v>43956.66667</v>
      </c>
      <c r="B87" s="2">
        <f>IFERROR(__xludf.DUMMYFUNCTION("""COMPUTED_VALUE"""),1980.0)</f>
        <v>1980</v>
      </c>
      <c r="C87" s="2">
        <f>IFERROR(__xludf.DUMMYFUNCTION("""COMPUTED_VALUE"""),2015.0)</f>
        <v>2015</v>
      </c>
      <c r="D87" s="2">
        <f>IFERROR(__xludf.DUMMYFUNCTION("""COMPUTED_VALUE"""),1890.0)</f>
        <v>1890</v>
      </c>
      <c r="E87" s="2">
        <f>IFERROR(__xludf.DUMMYFUNCTION("""COMPUTED_VALUE"""),1920.0)</f>
        <v>1920</v>
      </c>
      <c r="F87" s="2">
        <f>IFERROR(__xludf.DUMMYFUNCTION("""COMPUTED_VALUE"""),5.42801E7)</f>
        <v>54280100</v>
      </c>
      <c r="G87" s="2">
        <f t="shared" si="1"/>
        <v>125</v>
      </c>
    </row>
    <row r="88" ht="15.75" customHeight="1">
      <c r="A88" s="1">
        <f>IFERROR(__xludf.DUMMYFUNCTION("""COMPUTED_VALUE"""),43957.66666666667)</f>
        <v>43957.66667</v>
      </c>
      <c r="B88" s="2">
        <f>IFERROR(__xludf.DUMMYFUNCTION("""COMPUTED_VALUE"""),1925.0)</f>
        <v>1925</v>
      </c>
      <c r="C88" s="2">
        <f>IFERROR(__xludf.DUMMYFUNCTION("""COMPUTED_VALUE"""),1945.0)</f>
        <v>1945</v>
      </c>
      <c r="D88" s="2">
        <f>IFERROR(__xludf.DUMMYFUNCTION("""COMPUTED_VALUE"""),1910.0)</f>
        <v>1910</v>
      </c>
      <c r="E88" s="2">
        <f>IFERROR(__xludf.DUMMYFUNCTION("""COMPUTED_VALUE"""),1915.0)</f>
        <v>1915</v>
      </c>
      <c r="F88" s="2">
        <f>IFERROR(__xludf.DUMMYFUNCTION("""COMPUTED_VALUE"""),4.12559E7)</f>
        <v>41255900</v>
      </c>
      <c r="G88" s="2">
        <f t="shared" si="1"/>
        <v>35</v>
      </c>
    </row>
    <row r="89" ht="15.75" customHeight="1">
      <c r="A89" s="1">
        <f>IFERROR(__xludf.DUMMYFUNCTION("""COMPUTED_VALUE"""),43959.66666666667)</f>
        <v>43959.66667</v>
      </c>
      <c r="B89" s="2">
        <f>IFERROR(__xludf.DUMMYFUNCTION("""COMPUTED_VALUE"""),1925.0)</f>
        <v>1925</v>
      </c>
      <c r="C89" s="2">
        <f>IFERROR(__xludf.DUMMYFUNCTION("""COMPUTED_VALUE"""),1935.0)</f>
        <v>1935</v>
      </c>
      <c r="D89" s="2">
        <f>IFERROR(__xludf.DUMMYFUNCTION("""COMPUTED_VALUE"""),1895.0)</f>
        <v>1895</v>
      </c>
      <c r="E89" s="2">
        <f>IFERROR(__xludf.DUMMYFUNCTION("""COMPUTED_VALUE"""),1900.0)</f>
        <v>1900</v>
      </c>
      <c r="F89" s="2">
        <f>IFERROR(__xludf.DUMMYFUNCTION("""COMPUTED_VALUE"""),4.5523E7)</f>
        <v>45523000</v>
      </c>
      <c r="G89" s="2">
        <f t="shared" si="1"/>
        <v>40</v>
      </c>
    </row>
    <row r="90" ht="15.75" customHeight="1">
      <c r="A90" s="1">
        <f>IFERROR(__xludf.DUMMYFUNCTION("""COMPUTED_VALUE"""),43962.66666666667)</f>
        <v>43962.66667</v>
      </c>
      <c r="B90" s="2">
        <f>IFERROR(__xludf.DUMMYFUNCTION("""COMPUTED_VALUE"""),1930.0)</f>
        <v>1930</v>
      </c>
      <c r="C90" s="2">
        <f>IFERROR(__xludf.DUMMYFUNCTION("""COMPUTED_VALUE"""),1930.0)</f>
        <v>1930</v>
      </c>
      <c r="D90" s="2">
        <f>IFERROR(__xludf.DUMMYFUNCTION("""COMPUTED_VALUE"""),1900.0)</f>
        <v>1900</v>
      </c>
      <c r="E90" s="2">
        <f>IFERROR(__xludf.DUMMYFUNCTION("""COMPUTED_VALUE"""),1900.0)</f>
        <v>1900</v>
      </c>
      <c r="F90" s="2">
        <f>IFERROR(__xludf.DUMMYFUNCTION("""COMPUTED_VALUE"""),4.03508E7)</f>
        <v>40350800</v>
      </c>
      <c r="G90" s="2">
        <f t="shared" si="1"/>
        <v>30</v>
      </c>
    </row>
    <row r="91" ht="15.75" customHeight="1">
      <c r="A91" s="1">
        <f>IFERROR(__xludf.DUMMYFUNCTION("""COMPUTED_VALUE"""),43963.66666666667)</f>
        <v>43963.66667</v>
      </c>
      <c r="B91" s="2">
        <f>IFERROR(__xludf.DUMMYFUNCTION("""COMPUTED_VALUE"""),1910.0)</f>
        <v>1910</v>
      </c>
      <c r="C91" s="2">
        <f>IFERROR(__xludf.DUMMYFUNCTION("""COMPUTED_VALUE"""),1910.0)</f>
        <v>1910</v>
      </c>
      <c r="D91" s="2">
        <f>IFERROR(__xludf.DUMMYFUNCTION("""COMPUTED_VALUE"""),1825.0)</f>
        <v>1825</v>
      </c>
      <c r="E91" s="2">
        <f>IFERROR(__xludf.DUMMYFUNCTION("""COMPUTED_VALUE"""),1830.0)</f>
        <v>1830</v>
      </c>
      <c r="F91" s="2">
        <f>IFERROR(__xludf.DUMMYFUNCTION("""COMPUTED_VALUE"""),8.23882E7)</f>
        <v>82388200</v>
      </c>
      <c r="G91" s="2">
        <f t="shared" si="1"/>
        <v>85</v>
      </c>
    </row>
    <row r="92" ht="15.75" customHeight="1">
      <c r="A92" s="1">
        <f>IFERROR(__xludf.DUMMYFUNCTION("""COMPUTED_VALUE"""),43964.66666666667)</f>
        <v>43964.66667</v>
      </c>
      <c r="B92" s="2">
        <f>IFERROR(__xludf.DUMMYFUNCTION("""COMPUTED_VALUE"""),1820.0)</f>
        <v>1820</v>
      </c>
      <c r="C92" s="2">
        <f>IFERROR(__xludf.DUMMYFUNCTION("""COMPUTED_VALUE"""),1870.0)</f>
        <v>1870</v>
      </c>
      <c r="D92" s="2">
        <f>IFERROR(__xludf.DUMMYFUNCTION("""COMPUTED_VALUE"""),1790.0)</f>
        <v>1790</v>
      </c>
      <c r="E92" s="2">
        <f>IFERROR(__xludf.DUMMYFUNCTION("""COMPUTED_VALUE"""),1860.0)</f>
        <v>1860</v>
      </c>
      <c r="F92" s="2">
        <f>IFERROR(__xludf.DUMMYFUNCTION("""COMPUTED_VALUE"""),3.90073E7)</f>
        <v>39007300</v>
      </c>
      <c r="G92" s="2">
        <f t="shared" si="1"/>
        <v>80</v>
      </c>
    </row>
    <row r="93" ht="15.75" customHeight="1">
      <c r="A93" s="1">
        <f>IFERROR(__xludf.DUMMYFUNCTION("""COMPUTED_VALUE"""),43965.66666666667)</f>
        <v>43965.66667</v>
      </c>
      <c r="B93" s="2">
        <f>IFERROR(__xludf.DUMMYFUNCTION("""COMPUTED_VALUE"""),1835.0)</f>
        <v>1835</v>
      </c>
      <c r="C93" s="2">
        <f>IFERROR(__xludf.DUMMYFUNCTION("""COMPUTED_VALUE"""),1870.0)</f>
        <v>1870</v>
      </c>
      <c r="D93" s="2">
        <f>IFERROR(__xludf.DUMMYFUNCTION("""COMPUTED_VALUE"""),1755.0)</f>
        <v>1755</v>
      </c>
      <c r="E93" s="2">
        <f>IFERROR(__xludf.DUMMYFUNCTION("""COMPUTED_VALUE"""),1770.0)</f>
        <v>1770</v>
      </c>
      <c r="F93" s="2">
        <f>IFERROR(__xludf.DUMMYFUNCTION("""COMPUTED_VALUE"""),4.73066E7)</f>
        <v>47306600</v>
      </c>
      <c r="G93" s="2">
        <f t="shared" si="1"/>
        <v>115</v>
      </c>
    </row>
    <row r="94" ht="15.75" customHeight="1">
      <c r="A94" s="1">
        <f>IFERROR(__xludf.DUMMYFUNCTION("""COMPUTED_VALUE"""),43966.66666666667)</f>
        <v>43966.66667</v>
      </c>
      <c r="B94" s="2">
        <f>IFERROR(__xludf.DUMMYFUNCTION("""COMPUTED_VALUE"""),1785.0)</f>
        <v>1785</v>
      </c>
      <c r="C94" s="2">
        <f>IFERROR(__xludf.DUMMYFUNCTION("""COMPUTED_VALUE"""),1795.0)</f>
        <v>1795</v>
      </c>
      <c r="D94" s="2">
        <f>IFERROR(__xludf.DUMMYFUNCTION("""COMPUTED_VALUE"""),1650.0)</f>
        <v>1650</v>
      </c>
      <c r="E94" s="2">
        <f>IFERROR(__xludf.DUMMYFUNCTION("""COMPUTED_VALUE"""),1670.0)</f>
        <v>1670</v>
      </c>
      <c r="F94" s="2">
        <f>IFERROR(__xludf.DUMMYFUNCTION("""COMPUTED_VALUE"""),8.69582E7)</f>
        <v>86958200</v>
      </c>
      <c r="G94" s="2">
        <f t="shared" si="1"/>
        <v>145</v>
      </c>
    </row>
    <row r="95" ht="15.75" customHeight="1">
      <c r="A95" s="1">
        <f>IFERROR(__xludf.DUMMYFUNCTION("""COMPUTED_VALUE"""),43969.66666666667)</f>
        <v>43969.66667</v>
      </c>
      <c r="B95" s="2">
        <f>IFERROR(__xludf.DUMMYFUNCTION("""COMPUTED_VALUE"""),1690.0)</f>
        <v>1690</v>
      </c>
      <c r="C95" s="2">
        <f>IFERROR(__xludf.DUMMYFUNCTION("""COMPUTED_VALUE"""),1705.0)</f>
        <v>1705</v>
      </c>
      <c r="D95" s="2">
        <f>IFERROR(__xludf.DUMMYFUNCTION("""COMPUTED_VALUE"""),1635.0)</f>
        <v>1635</v>
      </c>
      <c r="E95" s="2">
        <f>IFERROR(__xludf.DUMMYFUNCTION("""COMPUTED_VALUE"""),1665.0)</f>
        <v>1665</v>
      </c>
      <c r="F95" s="2">
        <f>IFERROR(__xludf.DUMMYFUNCTION("""COMPUTED_VALUE"""),4.18104E7)</f>
        <v>41810400</v>
      </c>
      <c r="G95" s="2">
        <f t="shared" si="1"/>
        <v>70</v>
      </c>
    </row>
    <row r="96" ht="15.75" customHeight="1">
      <c r="A96" s="1">
        <f>IFERROR(__xludf.DUMMYFUNCTION("""COMPUTED_VALUE"""),43970.66666666667)</f>
        <v>43970.66667</v>
      </c>
      <c r="B96" s="2">
        <f>IFERROR(__xludf.DUMMYFUNCTION("""COMPUTED_VALUE"""),1700.0)</f>
        <v>1700</v>
      </c>
      <c r="C96" s="2">
        <f>IFERROR(__xludf.DUMMYFUNCTION("""COMPUTED_VALUE"""),1790.0)</f>
        <v>1790</v>
      </c>
      <c r="D96" s="2">
        <f>IFERROR(__xludf.DUMMYFUNCTION("""COMPUTED_VALUE"""),1690.0)</f>
        <v>1690</v>
      </c>
      <c r="E96" s="2">
        <f>IFERROR(__xludf.DUMMYFUNCTION("""COMPUTED_VALUE"""),1760.0)</f>
        <v>1760</v>
      </c>
      <c r="F96" s="2">
        <f>IFERROR(__xludf.DUMMYFUNCTION("""COMPUTED_VALUE"""),7.70815E7)</f>
        <v>77081500</v>
      </c>
      <c r="G96" s="2">
        <f t="shared" si="1"/>
        <v>125</v>
      </c>
    </row>
    <row r="97" ht="15.75" customHeight="1">
      <c r="A97" s="1">
        <f>IFERROR(__xludf.DUMMYFUNCTION("""COMPUTED_VALUE"""),43971.66666666667)</f>
        <v>43971.66667</v>
      </c>
      <c r="B97" s="2">
        <f>IFERROR(__xludf.DUMMYFUNCTION("""COMPUTED_VALUE"""),1785.0)</f>
        <v>1785</v>
      </c>
      <c r="C97" s="2">
        <f>IFERROR(__xludf.DUMMYFUNCTION("""COMPUTED_VALUE"""),1820.0)</f>
        <v>1820</v>
      </c>
      <c r="D97" s="2">
        <f>IFERROR(__xludf.DUMMYFUNCTION("""COMPUTED_VALUE"""),1710.0)</f>
        <v>1710</v>
      </c>
      <c r="E97" s="2">
        <f>IFERROR(__xludf.DUMMYFUNCTION("""COMPUTED_VALUE"""),1800.0)</f>
        <v>1800</v>
      </c>
      <c r="F97" s="2">
        <f>IFERROR(__xludf.DUMMYFUNCTION("""COMPUTED_VALUE"""),7.43015E7)</f>
        <v>74301500</v>
      </c>
      <c r="G97" s="2">
        <f t="shared" si="1"/>
        <v>110</v>
      </c>
    </row>
    <row r="98" ht="15.75" customHeight="1">
      <c r="A98" s="1">
        <f>IFERROR(__xludf.DUMMYFUNCTION("""COMPUTED_VALUE"""),43977.66666666667)</f>
        <v>43977.66667</v>
      </c>
      <c r="B98" s="2">
        <f>IFERROR(__xludf.DUMMYFUNCTION("""COMPUTED_VALUE"""),1830.0)</f>
        <v>1830</v>
      </c>
      <c r="C98" s="2">
        <f>IFERROR(__xludf.DUMMYFUNCTION("""COMPUTED_VALUE"""),1830.0)</f>
        <v>1830</v>
      </c>
      <c r="D98" s="2">
        <f>IFERROR(__xludf.DUMMYFUNCTION("""COMPUTED_VALUE"""),1790.0)</f>
        <v>1790</v>
      </c>
      <c r="E98" s="2">
        <f>IFERROR(__xludf.DUMMYFUNCTION("""COMPUTED_VALUE"""),1815.0)</f>
        <v>1815</v>
      </c>
      <c r="F98" s="2">
        <f>IFERROR(__xludf.DUMMYFUNCTION("""COMPUTED_VALUE"""),4.44534E7)</f>
        <v>44453400</v>
      </c>
      <c r="G98" s="2">
        <f t="shared" si="1"/>
        <v>40</v>
      </c>
    </row>
    <row r="99" ht="15.75" customHeight="1">
      <c r="A99" s="1">
        <f>IFERROR(__xludf.DUMMYFUNCTION("""COMPUTED_VALUE"""),43978.66666666667)</f>
        <v>43978.66667</v>
      </c>
      <c r="B99" s="2">
        <f>IFERROR(__xludf.DUMMYFUNCTION("""COMPUTED_VALUE"""),1820.0)</f>
        <v>1820</v>
      </c>
      <c r="C99" s="2">
        <f>IFERROR(__xludf.DUMMYFUNCTION("""COMPUTED_VALUE"""),1850.0)</f>
        <v>1850</v>
      </c>
      <c r="D99" s="2">
        <f>IFERROR(__xludf.DUMMYFUNCTION("""COMPUTED_VALUE"""),1790.0)</f>
        <v>1790</v>
      </c>
      <c r="E99" s="2">
        <f>IFERROR(__xludf.DUMMYFUNCTION("""COMPUTED_VALUE"""),1815.0)</f>
        <v>1815</v>
      </c>
      <c r="F99" s="2">
        <f>IFERROR(__xludf.DUMMYFUNCTION("""COMPUTED_VALUE"""),6.42382E7)</f>
        <v>64238200</v>
      </c>
      <c r="G99" s="2">
        <f t="shared" si="1"/>
        <v>60</v>
      </c>
    </row>
    <row r="100" ht="15.75" customHeight="1">
      <c r="A100" s="1">
        <f>IFERROR(__xludf.DUMMYFUNCTION("""COMPUTED_VALUE"""),43979.66666666667)</f>
        <v>43979.66667</v>
      </c>
      <c r="B100" s="2">
        <f>IFERROR(__xludf.DUMMYFUNCTION("""COMPUTED_VALUE"""),1820.0)</f>
        <v>1820</v>
      </c>
      <c r="C100" s="2">
        <f>IFERROR(__xludf.DUMMYFUNCTION("""COMPUTED_VALUE"""),1895.0)</f>
        <v>1895</v>
      </c>
      <c r="D100" s="2">
        <f>IFERROR(__xludf.DUMMYFUNCTION("""COMPUTED_VALUE"""),1815.0)</f>
        <v>1815</v>
      </c>
      <c r="E100" s="2">
        <f>IFERROR(__xludf.DUMMYFUNCTION("""COMPUTED_VALUE"""),1830.0)</f>
        <v>1830</v>
      </c>
      <c r="F100" s="2">
        <f>IFERROR(__xludf.DUMMYFUNCTION("""COMPUTED_VALUE"""),1.16831E8)</f>
        <v>116831000</v>
      </c>
      <c r="G100" s="2">
        <f t="shared" si="1"/>
        <v>80</v>
      </c>
    </row>
    <row r="101" ht="15.75" customHeight="1">
      <c r="A101" s="1">
        <f>IFERROR(__xludf.DUMMYFUNCTION("""COMPUTED_VALUE"""),43980.66666666667)</f>
        <v>43980.66667</v>
      </c>
      <c r="B101" s="2">
        <f>IFERROR(__xludf.DUMMYFUNCTION("""COMPUTED_VALUE"""),1830.0)</f>
        <v>1830</v>
      </c>
      <c r="C101" s="2">
        <f>IFERROR(__xludf.DUMMYFUNCTION("""COMPUTED_VALUE"""),1930.0)</f>
        <v>1930</v>
      </c>
      <c r="D101" s="2">
        <f>IFERROR(__xludf.DUMMYFUNCTION("""COMPUTED_VALUE"""),1795.0)</f>
        <v>1795</v>
      </c>
      <c r="E101" s="2">
        <f>IFERROR(__xludf.DUMMYFUNCTION("""COMPUTED_VALUE"""),1915.0)</f>
        <v>1915</v>
      </c>
      <c r="F101" s="2">
        <f>IFERROR(__xludf.DUMMYFUNCTION("""COMPUTED_VALUE"""),1.470578E8)</f>
        <v>147057800</v>
      </c>
      <c r="G101" s="2">
        <f t="shared" si="1"/>
        <v>135</v>
      </c>
    </row>
    <row r="102" ht="15.75" customHeight="1">
      <c r="A102" s="1">
        <f>IFERROR(__xludf.DUMMYFUNCTION("""COMPUTED_VALUE"""),43984.66666666667)</f>
        <v>43984.66667</v>
      </c>
      <c r="B102" s="2">
        <f>IFERROR(__xludf.DUMMYFUNCTION("""COMPUTED_VALUE"""),1950.0)</f>
        <v>1950</v>
      </c>
      <c r="C102" s="2">
        <f>IFERROR(__xludf.DUMMYFUNCTION("""COMPUTED_VALUE"""),2020.0)</f>
        <v>2020</v>
      </c>
      <c r="D102" s="2">
        <f>IFERROR(__xludf.DUMMYFUNCTION("""COMPUTED_VALUE"""),1925.0)</f>
        <v>1925</v>
      </c>
      <c r="E102" s="2">
        <f>IFERROR(__xludf.DUMMYFUNCTION("""COMPUTED_VALUE"""),1985.0)</f>
        <v>1985</v>
      </c>
      <c r="F102" s="2">
        <f>IFERROR(__xludf.DUMMYFUNCTION("""COMPUTED_VALUE"""),1.315822E8)</f>
        <v>131582200</v>
      </c>
      <c r="G102" s="2">
        <f t="shared" si="1"/>
        <v>105</v>
      </c>
    </row>
    <row r="103" ht="15.75" customHeight="1">
      <c r="A103" s="1">
        <f>IFERROR(__xludf.DUMMYFUNCTION("""COMPUTED_VALUE"""),43985.66666666667)</f>
        <v>43985.66667</v>
      </c>
      <c r="B103" s="2">
        <f>IFERROR(__xludf.DUMMYFUNCTION("""COMPUTED_VALUE"""),2010.0)</f>
        <v>2010</v>
      </c>
      <c r="C103" s="2">
        <f>IFERROR(__xludf.DUMMYFUNCTION("""COMPUTED_VALUE"""),2095.0)</f>
        <v>2095</v>
      </c>
      <c r="D103" s="2">
        <f>IFERROR(__xludf.DUMMYFUNCTION("""COMPUTED_VALUE"""),1940.0)</f>
        <v>1940</v>
      </c>
      <c r="E103" s="2">
        <f>IFERROR(__xludf.DUMMYFUNCTION("""COMPUTED_VALUE"""),2065.0)</f>
        <v>2065</v>
      </c>
      <c r="F103" s="2">
        <f>IFERROR(__xludf.DUMMYFUNCTION("""COMPUTED_VALUE"""),1.385043E8)</f>
        <v>138504300</v>
      </c>
      <c r="G103" s="2">
        <f t="shared" si="1"/>
        <v>155</v>
      </c>
    </row>
    <row r="104" ht="15.75" customHeight="1">
      <c r="A104" s="1">
        <f>IFERROR(__xludf.DUMMYFUNCTION("""COMPUTED_VALUE"""),43986.66666666667)</f>
        <v>43986.66667</v>
      </c>
      <c r="B104" s="2">
        <f>IFERROR(__xludf.DUMMYFUNCTION("""COMPUTED_VALUE"""),2100.0)</f>
        <v>2100</v>
      </c>
      <c r="C104" s="2">
        <f>IFERROR(__xludf.DUMMYFUNCTION("""COMPUTED_VALUE"""),2180.0)</f>
        <v>2180</v>
      </c>
      <c r="D104" s="2">
        <f>IFERROR(__xludf.DUMMYFUNCTION("""COMPUTED_VALUE"""),2055.0)</f>
        <v>2055</v>
      </c>
      <c r="E104" s="2">
        <f>IFERROR(__xludf.DUMMYFUNCTION("""COMPUTED_VALUE"""),2070.0)</f>
        <v>2070</v>
      </c>
      <c r="F104" s="2">
        <f>IFERROR(__xludf.DUMMYFUNCTION("""COMPUTED_VALUE"""),1.135208E8)</f>
        <v>113520800</v>
      </c>
      <c r="G104" s="2">
        <f t="shared" si="1"/>
        <v>125</v>
      </c>
    </row>
    <row r="105" ht="15.75" customHeight="1">
      <c r="A105" s="1">
        <f>IFERROR(__xludf.DUMMYFUNCTION("""COMPUTED_VALUE"""),43987.66666666667)</f>
        <v>43987.66667</v>
      </c>
      <c r="B105" s="2">
        <f>IFERROR(__xludf.DUMMYFUNCTION("""COMPUTED_VALUE"""),2100.0)</f>
        <v>2100</v>
      </c>
      <c r="C105" s="2">
        <f>IFERROR(__xludf.DUMMYFUNCTION("""COMPUTED_VALUE"""),2145.0)</f>
        <v>2145</v>
      </c>
      <c r="D105" s="2">
        <f>IFERROR(__xludf.DUMMYFUNCTION("""COMPUTED_VALUE"""),2015.0)</f>
        <v>2015</v>
      </c>
      <c r="E105" s="2">
        <f>IFERROR(__xludf.DUMMYFUNCTION("""COMPUTED_VALUE"""),2125.0)</f>
        <v>2125</v>
      </c>
      <c r="F105" s="2">
        <f>IFERROR(__xludf.DUMMYFUNCTION("""COMPUTED_VALUE"""),7.26904E7)</f>
        <v>72690400</v>
      </c>
      <c r="G105" s="2">
        <f t="shared" si="1"/>
        <v>130</v>
      </c>
    </row>
    <row r="106" ht="15.75" customHeight="1">
      <c r="A106" s="1">
        <f>IFERROR(__xludf.DUMMYFUNCTION("""COMPUTED_VALUE"""),43990.66666666667)</f>
        <v>43990.66667</v>
      </c>
      <c r="B106" s="2">
        <f>IFERROR(__xludf.DUMMYFUNCTION("""COMPUTED_VALUE"""),2175.0)</f>
        <v>2175</v>
      </c>
      <c r="C106" s="2">
        <f>IFERROR(__xludf.DUMMYFUNCTION("""COMPUTED_VALUE"""),2470.0)</f>
        <v>2470</v>
      </c>
      <c r="D106" s="2">
        <f>IFERROR(__xludf.DUMMYFUNCTION("""COMPUTED_VALUE"""),2170.0)</f>
        <v>2170</v>
      </c>
      <c r="E106" s="2">
        <f>IFERROR(__xludf.DUMMYFUNCTION("""COMPUTED_VALUE"""),2415.0)</f>
        <v>2415</v>
      </c>
      <c r="F106" s="2">
        <f>IFERROR(__xludf.DUMMYFUNCTION("""COMPUTED_VALUE"""),1.557238E8)</f>
        <v>155723800</v>
      </c>
      <c r="G106" s="2">
        <f t="shared" si="1"/>
        <v>345</v>
      </c>
    </row>
    <row r="107" ht="15.75" customHeight="1">
      <c r="A107" s="1">
        <f>IFERROR(__xludf.DUMMYFUNCTION("""COMPUTED_VALUE"""),43991.66666666667)</f>
        <v>43991.66667</v>
      </c>
      <c r="B107" s="2">
        <f>IFERROR(__xludf.DUMMYFUNCTION("""COMPUTED_VALUE"""),2450.0)</f>
        <v>2450</v>
      </c>
      <c r="C107" s="2">
        <f>IFERROR(__xludf.DUMMYFUNCTION("""COMPUTED_VALUE"""),2575.0)</f>
        <v>2575</v>
      </c>
      <c r="D107" s="2">
        <f>IFERROR(__xludf.DUMMYFUNCTION("""COMPUTED_VALUE"""),2425.0)</f>
        <v>2425</v>
      </c>
      <c r="E107" s="2">
        <f>IFERROR(__xludf.DUMMYFUNCTION("""COMPUTED_VALUE"""),2430.0)</f>
        <v>2430</v>
      </c>
      <c r="F107" s="2">
        <f>IFERROR(__xludf.DUMMYFUNCTION("""COMPUTED_VALUE"""),1.428551E8)</f>
        <v>142855100</v>
      </c>
      <c r="G107" s="2">
        <f t="shared" si="1"/>
        <v>160</v>
      </c>
    </row>
    <row r="108" ht="15.75" customHeight="1">
      <c r="A108" s="1">
        <f>IFERROR(__xludf.DUMMYFUNCTION("""COMPUTED_VALUE"""),43992.66666666667)</f>
        <v>43992.66667</v>
      </c>
      <c r="B108" s="2">
        <f>IFERROR(__xludf.DUMMYFUNCTION("""COMPUTED_VALUE"""),2425.0)</f>
        <v>2425</v>
      </c>
      <c r="C108" s="2">
        <f>IFERROR(__xludf.DUMMYFUNCTION("""COMPUTED_VALUE"""),2425.0)</f>
        <v>2425</v>
      </c>
      <c r="D108" s="2">
        <f>IFERROR(__xludf.DUMMYFUNCTION("""COMPUTED_VALUE"""),2260.0)</f>
        <v>2260</v>
      </c>
      <c r="E108" s="2">
        <f>IFERROR(__xludf.DUMMYFUNCTION("""COMPUTED_VALUE"""),2260.0)</f>
        <v>2260</v>
      </c>
      <c r="F108" s="2">
        <f>IFERROR(__xludf.DUMMYFUNCTION("""COMPUTED_VALUE"""),1.517844E8)</f>
        <v>151784400</v>
      </c>
      <c r="G108" s="2">
        <f t="shared" si="1"/>
        <v>170</v>
      </c>
    </row>
    <row r="109" ht="15.75" customHeight="1">
      <c r="A109" s="1">
        <f>IFERROR(__xludf.DUMMYFUNCTION("""COMPUTED_VALUE"""),43993.66666666667)</f>
        <v>43993.66667</v>
      </c>
      <c r="B109" s="2">
        <f>IFERROR(__xludf.DUMMYFUNCTION("""COMPUTED_VALUE"""),2255.0)</f>
        <v>2255</v>
      </c>
      <c r="C109" s="2">
        <f>IFERROR(__xludf.DUMMYFUNCTION("""COMPUTED_VALUE"""),2255.0)</f>
        <v>2255</v>
      </c>
      <c r="D109" s="2">
        <f>IFERROR(__xludf.DUMMYFUNCTION("""COMPUTED_VALUE"""),2105.0)</f>
        <v>2105</v>
      </c>
      <c r="E109" s="2">
        <f>IFERROR(__xludf.DUMMYFUNCTION("""COMPUTED_VALUE"""),2105.0)</f>
        <v>2105</v>
      </c>
      <c r="F109" s="2">
        <f>IFERROR(__xludf.DUMMYFUNCTION("""COMPUTED_VALUE"""),2.220427E8)</f>
        <v>222042700</v>
      </c>
      <c r="G109" s="2">
        <f t="shared" si="1"/>
        <v>155</v>
      </c>
    </row>
    <row r="110" ht="15.75" customHeight="1">
      <c r="A110" s="1">
        <f>IFERROR(__xludf.DUMMYFUNCTION("""COMPUTED_VALUE"""),43994.66666666667)</f>
        <v>43994.66667</v>
      </c>
      <c r="B110" s="2">
        <f>IFERROR(__xludf.DUMMYFUNCTION("""COMPUTED_VALUE"""),2105.0)</f>
        <v>2105</v>
      </c>
      <c r="C110" s="2">
        <f>IFERROR(__xludf.DUMMYFUNCTION("""COMPUTED_VALUE"""),2235.0)</f>
        <v>2235</v>
      </c>
      <c r="D110" s="2">
        <f>IFERROR(__xludf.DUMMYFUNCTION("""COMPUTED_VALUE"""),1970.0)</f>
        <v>1970</v>
      </c>
      <c r="E110" s="2">
        <f>IFERROR(__xludf.DUMMYFUNCTION("""COMPUTED_VALUE"""),2235.0)</f>
        <v>2235</v>
      </c>
      <c r="F110" s="2">
        <f>IFERROR(__xludf.DUMMYFUNCTION("""COMPUTED_VALUE"""),1.997837E8)</f>
        <v>199783700</v>
      </c>
      <c r="G110" s="2">
        <f t="shared" si="1"/>
        <v>265</v>
      </c>
    </row>
    <row r="111" ht="15.75" customHeight="1">
      <c r="A111" s="1">
        <f>IFERROR(__xludf.DUMMYFUNCTION("""COMPUTED_VALUE"""),43997.66666666667)</f>
        <v>43997.66667</v>
      </c>
      <c r="B111" s="2">
        <f>IFERROR(__xludf.DUMMYFUNCTION("""COMPUTED_VALUE"""),2240.0)</f>
        <v>2240</v>
      </c>
      <c r="C111" s="2">
        <f>IFERROR(__xludf.DUMMYFUNCTION("""COMPUTED_VALUE"""),2250.0)</f>
        <v>2250</v>
      </c>
      <c r="D111" s="2">
        <f>IFERROR(__xludf.DUMMYFUNCTION("""COMPUTED_VALUE"""),2090.0)</f>
        <v>2090</v>
      </c>
      <c r="E111" s="2">
        <f>IFERROR(__xludf.DUMMYFUNCTION("""COMPUTED_VALUE"""),2100.0)</f>
        <v>2100</v>
      </c>
      <c r="F111" s="2">
        <f>IFERROR(__xludf.DUMMYFUNCTION("""COMPUTED_VALUE"""),1.166523E8)</f>
        <v>116652300</v>
      </c>
      <c r="G111" s="2">
        <f t="shared" si="1"/>
        <v>160</v>
      </c>
    </row>
    <row r="112" ht="15.75" customHeight="1">
      <c r="A112" s="1">
        <f>IFERROR(__xludf.DUMMYFUNCTION("""COMPUTED_VALUE"""),43998.66666666667)</f>
        <v>43998.66667</v>
      </c>
      <c r="B112" s="2">
        <f>IFERROR(__xludf.DUMMYFUNCTION("""COMPUTED_VALUE"""),2175.0)</f>
        <v>2175</v>
      </c>
      <c r="C112" s="2">
        <f>IFERROR(__xludf.DUMMYFUNCTION("""COMPUTED_VALUE"""),2305.0)</f>
        <v>2305</v>
      </c>
      <c r="D112" s="2">
        <f>IFERROR(__xludf.DUMMYFUNCTION("""COMPUTED_VALUE"""),2175.0)</f>
        <v>2175</v>
      </c>
      <c r="E112" s="2">
        <f>IFERROR(__xludf.DUMMYFUNCTION("""COMPUTED_VALUE"""),2305.0)</f>
        <v>2305</v>
      </c>
      <c r="F112" s="2">
        <f>IFERROR(__xludf.DUMMYFUNCTION("""COMPUTED_VALUE"""),1.316488E8)</f>
        <v>131648800</v>
      </c>
      <c r="G112" s="2">
        <f t="shared" si="1"/>
        <v>205</v>
      </c>
    </row>
    <row r="113" ht="15.75" customHeight="1">
      <c r="A113" s="1">
        <f>IFERROR(__xludf.DUMMYFUNCTION("""COMPUTED_VALUE"""),43999.66666666667)</f>
        <v>43999.66667</v>
      </c>
      <c r="B113" s="2">
        <f>IFERROR(__xludf.DUMMYFUNCTION("""COMPUTED_VALUE"""),2340.0)</f>
        <v>2340</v>
      </c>
      <c r="C113" s="2">
        <f>IFERROR(__xludf.DUMMYFUNCTION("""COMPUTED_VALUE"""),2375.0)</f>
        <v>2375</v>
      </c>
      <c r="D113" s="2">
        <f>IFERROR(__xludf.DUMMYFUNCTION("""COMPUTED_VALUE"""),2255.0)</f>
        <v>2255</v>
      </c>
      <c r="E113" s="2">
        <f>IFERROR(__xludf.DUMMYFUNCTION("""COMPUTED_VALUE"""),2275.0)</f>
        <v>2275</v>
      </c>
      <c r="F113" s="2">
        <f>IFERROR(__xludf.DUMMYFUNCTION("""COMPUTED_VALUE"""),9.3134E7)</f>
        <v>93134000</v>
      </c>
      <c r="G113" s="2">
        <f t="shared" si="1"/>
        <v>120</v>
      </c>
    </row>
    <row r="114" ht="15.75" customHeight="1">
      <c r="A114" s="1">
        <f>IFERROR(__xludf.DUMMYFUNCTION("""COMPUTED_VALUE"""),44000.66666666667)</f>
        <v>44000.66667</v>
      </c>
      <c r="B114" s="2">
        <f>IFERROR(__xludf.DUMMYFUNCTION("""COMPUTED_VALUE"""),2250.0)</f>
        <v>2250</v>
      </c>
      <c r="C114" s="2">
        <f>IFERROR(__xludf.DUMMYFUNCTION("""COMPUTED_VALUE"""),2285.0)</f>
        <v>2285</v>
      </c>
      <c r="D114" s="2">
        <f>IFERROR(__xludf.DUMMYFUNCTION("""COMPUTED_VALUE"""),2215.0)</f>
        <v>2215</v>
      </c>
      <c r="E114" s="2">
        <f>IFERROR(__xludf.DUMMYFUNCTION("""COMPUTED_VALUE"""),2250.0)</f>
        <v>2250</v>
      </c>
      <c r="F114" s="2">
        <f>IFERROR(__xludf.DUMMYFUNCTION("""COMPUTED_VALUE"""),5.20635E7)</f>
        <v>52063500</v>
      </c>
      <c r="G114" s="2">
        <f t="shared" si="1"/>
        <v>70</v>
      </c>
    </row>
    <row r="115" ht="15.75" customHeight="1">
      <c r="A115" s="1">
        <f>IFERROR(__xludf.DUMMYFUNCTION("""COMPUTED_VALUE"""),44001.66666666667)</f>
        <v>44001.66667</v>
      </c>
      <c r="B115" s="2">
        <f>IFERROR(__xludf.DUMMYFUNCTION("""COMPUTED_VALUE"""),2275.0)</f>
        <v>2275</v>
      </c>
      <c r="C115" s="2">
        <f>IFERROR(__xludf.DUMMYFUNCTION("""COMPUTED_VALUE"""),2285.0)</f>
        <v>2285</v>
      </c>
      <c r="D115" s="2">
        <f>IFERROR(__xludf.DUMMYFUNCTION("""COMPUTED_VALUE"""),2225.0)</f>
        <v>2225</v>
      </c>
      <c r="E115" s="2">
        <f>IFERROR(__xludf.DUMMYFUNCTION("""COMPUTED_VALUE"""),2240.0)</f>
        <v>2240</v>
      </c>
      <c r="F115" s="2">
        <f>IFERROR(__xludf.DUMMYFUNCTION("""COMPUTED_VALUE"""),4.12392E7)</f>
        <v>41239200</v>
      </c>
      <c r="G115" s="2">
        <f t="shared" si="1"/>
        <v>60</v>
      </c>
    </row>
    <row r="116" ht="15.75" customHeight="1">
      <c r="A116" s="1">
        <f>IFERROR(__xludf.DUMMYFUNCTION("""COMPUTED_VALUE"""),44004.66666666667)</f>
        <v>44004.66667</v>
      </c>
      <c r="B116" s="2">
        <f>IFERROR(__xludf.DUMMYFUNCTION("""COMPUTED_VALUE"""),2240.0)</f>
        <v>2240</v>
      </c>
      <c r="C116" s="2">
        <f>IFERROR(__xludf.DUMMYFUNCTION("""COMPUTED_VALUE"""),2255.0)</f>
        <v>2255</v>
      </c>
      <c r="D116" s="2">
        <f>IFERROR(__xludf.DUMMYFUNCTION("""COMPUTED_VALUE"""),2220.0)</f>
        <v>2220</v>
      </c>
      <c r="E116" s="2">
        <f>IFERROR(__xludf.DUMMYFUNCTION("""COMPUTED_VALUE"""),2235.0)</f>
        <v>2235</v>
      </c>
      <c r="F116" s="2">
        <f>IFERROR(__xludf.DUMMYFUNCTION("""COMPUTED_VALUE"""),2.55034E7)</f>
        <v>25503400</v>
      </c>
      <c r="G116" s="2">
        <f t="shared" si="1"/>
        <v>35</v>
      </c>
    </row>
    <row r="117" ht="15.75" customHeight="1">
      <c r="A117" s="1">
        <f>IFERROR(__xludf.DUMMYFUNCTION("""COMPUTED_VALUE"""),44005.66666666667)</f>
        <v>44005.66667</v>
      </c>
      <c r="B117" s="2">
        <f>IFERROR(__xludf.DUMMYFUNCTION("""COMPUTED_VALUE"""),2235.0)</f>
        <v>2235</v>
      </c>
      <c r="C117" s="2">
        <f>IFERROR(__xludf.DUMMYFUNCTION("""COMPUTED_VALUE"""),2235.0)</f>
        <v>2235</v>
      </c>
      <c r="D117" s="2">
        <f>IFERROR(__xludf.DUMMYFUNCTION("""COMPUTED_VALUE"""),2160.0)</f>
        <v>2160</v>
      </c>
      <c r="E117" s="2">
        <f>IFERROR(__xludf.DUMMYFUNCTION("""COMPUTED_VALUE"""),2190.0)</f>
        <v>2190</v>
      </c>
      <c r="F117" s="2">
        <f>IFERROR(__xludf.DUMMYFUNCTION("""COMPUTED_VALUE"""),4.17672E7)</f>
        <v>41767200</v>
      </c>
      <c r="G117" s="2">
        <f t="shared" si="1"/>
        <v>75</v>
      </c>
    </row>
    <row r="118" ht="15.75" customHeight="1">
      <c r="A118" s="1">
        <f>IFERROR(__xludf.DUMMYFUNCTION("""COMPUTED_VALUE"""),44006.66666666667)</f>
        <v>44006.66667</v>
      </c>
      <c r="B118" s="2">
        <f>IFERROR(__xludf.DUMMYFUNCTION("""COMPUTED_VALUE"""),2205.0)</f>
        <v>2205</v>
      </c>
      <c r="C118" s="2">
        <f>IFERROR(__xludf.DUMMYFUNCTION("""COMPUTED_VALUE"""),2390.0)</f>
        <v>2390</v>
      </c>
      <c r="D118" s="2">
        <f>IFERROR(__xludf.DUMMYFUNCTION("""COMPUTED_VALUE"""),2205.0)</f>
        <v>2205</v>
      </c>
      <c r="E118" s="2">
        <f>IFERROR(__xludf.DUMMYFUNCTION("""COMPUTED_VALUE"""),2370.0)</f>
        <v>2370</v>
      </c>
      <c r="F118" s="2">
        <f>IFERROR(__xludf.DUMMYFUNCTION("""COMPUTED_VALUE"""),1.510606E8)</f>
        <v>151060600</v>
      </c>
      <c r="G118" s="2">
        <f t="shared" si="1"/>
        <v>200</v>
      </c>
    </row>
    <row r="119" ht="15.75" customHeight="1">
      <c r="A119" s="1">
        <f>IFERROR(__xludf.DUMMYFUNCTION("""COMPUTED_VALUE"""),44007.66666666667)</f>
        <v>44007.66667</v>
      </c>
      <c r="B119" s="2">
        <f>IFERROR(__xludf.DUMMYFUNCTION("""COMPUTED_VALUE"""),2335.0)</f>
        <v>2335</v>
      </c>
      <c r="C119" s="2">
        <f>IFERROR(__xludf.DUMMYFUNCTION("""COMPUTED_VALUE"""),2345.0)</f>
        <v>2345</v>
      </c>
      <c r="D119" s="2">
        <f>IFERROR(__xludf.DUMMYFUNCTION("""COMPUTED_VALUE"""),2255.0)</f>
        <v>2255</v>
      </c>
      <c r="E119" s="2">
        <f>IFERROR(__xludf.DUMMYFUNCTION("""COMPUTED_VALUE"""),2275.0)</f>
        <v>2275</v>
      </c>
      <c r="F119" s="2">
        <f>IFERROR(__xludf.DUMMYFUNCTION("""COMPUTED_VALUE"""),1.178222E8)</f>
        <v>117822200</v>
      </c>
      <c r="G119" s="2">
        <f t="shared" si="1"/>
        <v>115</v>
      </c>
    </row>
    <row r="120" ht="15.75" customHeight="1">
      <c r="A120" s="1">
        <f>IFERROR(__xludf.DUMMYFUNCTION("""COMPUTED_VALUE"""),44008.66666666667)</f>
        <v>44008.66667</v>
      </c>
      <c r="B120" s="2">
        <f>IFERROR(__xludf.DUMMYFUNCTION("""COMPUTED_VALUE"""),2325.0)</f>
        <v>2325</v>
      </c>
      <c r="C120" s="2">
        <f>IFERROR(__xludf.DUMMYFUNCTION("""COMPUTED_VALUE"""),2345.0)</f>
        <v>2345</v>
      </c>
      <c r="D120" s="2">
        <f>IFERROR(__xludf.DUMMYFUNCTION("""COMPUTED_VALUE"""),2275.0)</f>
        <v>2275</v>
      </c>
      <c r="E120" s="2">
        <f>IFERROR(__xludf.DUMMYFUNCTION("""COMPUTED_VALUE"""),2290.0)</f>
        <v>2290</v>
      </c>
      <c r="F120" s="2">
        <f>IFERROR(__xludf.DUMMYFUNCTION("""COMPUTED_VALUE"""),6.68001E7)</f>
        <v>66800100</v>
      </c>
      <c r="G120" s="2">
        <f t="shared" si="1"/>
        <v>70</v>
      </c>
    </row>
    <row r="121" ht="15.75" customHeight="1">
      <c r="A121" s="1">
        <f>IFERROR(__xludf.DUMMYFUNCTION("""COMPUTED_VALUE"""),44011.66666666667)</f>
        <v>44011.66667</v>
      </c>
      <c r="B121" s="2">
        <f>IFERROR(__xludf.DUMMYFUNCTION("""COMPUTED_VALUE"""),2275.0)</f>
        <v>2275</v>
      </c>
      <c r="C121" s="2">
        <f>IFERROR(__xludf.DUMMYFUNCTION("""COMPUTED_VALUE"""),2300.0)</f>
        <v>2300</v>
      </c>
      <c r="D121" s="2">
        <f>IFERROR(__xludf.DUMMYFUNCTION("""COMPUTED_VALUE"""),2245.0)</f>
        <v>2245</v>
      </c>
      <c r="E121" s="2">
        <f>IFERROR(__xludf.DUMMYFUNCTION("""COMPUTED_VALUE"""),2295.0)</f>
        <v>2295</v>
      </c>
      <c r="F121" s="2">
        <f>IFERROR(__xludf.DUMMYFUNCTION("""COMPUTED_VALUE"""),3.49837E7)</f>
        <v>34983700</v>
      </c>
      <c r="G121" s="2">
        <f t="shared" si="1"/>
        <v>55</v>
      </c>
    </row>
    <row r="122" ht="15.75" customHeight="1">
      <c r="A122" s="1">
        <f>IFERROR(__xludf.DUMMYFUNCTION("""COMPUTED_VALUE"""),44012.66666666667)</f>
        <v>44012.66667</v>
      </c>
      <c r="B122" s="2">
        <f>IFERROR(__xludf.DUMMYFUNCTION("""COMPUTED_VALUE"""),2335.0)</f>
        <v>2335</v>
      </c>
      <c r="C122" s="2">
        <f>IFERROR(__xludf.DUMMYFUNCTION("""COMPUTED_VALUE"""),2350.0)</f>
        <v>2350</v>
      </c>
      <c r="D122" s="2">
        <f>IFERROR(__xludf.DUMMYFUNCTION("""COMPUTED_VALUE"""),2275.0)</f>
        <v>2275</v>
      </c>
      <c r="E122" s="2">
        <f>IFERROR(__xludf.DUMMYFUNCTION("""COMPUTED_VALUE"""),2290.0)</f>
        <v>2290</v>
      </c>
      <c r="F122" s="2">
        <f>IFERROR(__xludf.DUMMYFUNCTION("""COMPUTED_VALUE"""),6.1765E7)</f>
        <v>61765000</v>
      </c>
      <c r="G122" s="2">
        <f t="shared" si="1"/>
        <v>75</v>
      </c>
    </row>
    <row r="123" ht="15.75" customHeight="1">
      <c r="A123" s="1">
        <f>IFERROR(__xludf.DUMMYFUNCTION("""COMPUTED_VALUE"""),44013.66666666667)</f>
        <v>44013.66667</v>
      </c>
      <c r="B123" s="2">
        <f>IFERROR(__xludf.DUMMYFUNCTION("""COMPUTED_VALUE"""),2300.0)</f>
        <v>2300</v>
      </c>
      <c r="C123" s="2">
        <f>IFERROR(__xludf.DUMMYFUNCTION("""COMPUTED_VALUE"""),2315.0)</f>
        <v>2315</v>
      </c>
      <c r="D123" s="2">
        <f>IFERROR(__xludf.DUMMYFUNCTION("""COMPUTED_VALUE"""),2255.0)</f>
        <v>2255</v>
      </c>
      <c r="E123" s="2">
        <f>IFERROR(__xludf.DUMMYFUNCTION("""COMPUTED_VALUE"""),2270.0)</f>
        <v>2270</v>
      </c>
      <c r="F123" s="2">
        <f>IFERROR(__xludf.DUMMYFUNCTION("""COMPUTED_VALUE"""),3.70143E7)</f>
        <v>37014300</v>
      </c>
      <c r="G123" s="2">
        <f t="shared" si="1"/>
        <v>60</v>
      </c>
    </row>
    <row r="124" ht="15.75" customHeight="1">
      <c r="A124" s="1">
        <f>IFERROR(__xludf.DUMMYFUNCTION("""COMPUTED_VALUE"""),44014.66666666667)</f>
        <v>44014.66667</v>
      </c>
      <c r="B124" s="2">
        <f>IFERROR(__xludf.DUMMYFUNCTION("""COMPUTED_VALUE"""),2270.0)</f>
        <v>2270</v>
      </c>
      <c r="C124" s="2">
        <f>IFERROR(__xludf.DUMMYFUNCTION("""COMPUTED_VALUE"""),2300.0)</f>
        <v>2300</v>
      </c>
      <c r="D124" s="2">
        <f>IFERROR(__xludf.DUMMYFUNCTION("""COMPUTED_VALUE"""),2270.0)</f>
        <v>2270</v>
      </c>
      <c r="E124" s="2">
        <f>IFERROR(__xludf.DUMMYFUNCTION("""COMPUTED_VALUE"""),2295.0)</f>
        <v>2295</v>
      </c>
      <c r="F124" s="2">
        <f>IFERROR(__xludf.DUMMYFUNCTION("""COMPUTED_VALUE"""),2.86182E7)</f>
        <v>28618200</v>
      </c>
      <c r="G124" s="2">
        <f t="shared" si="1"/>
        <v>30</v>
      </c>
    </row>
    <row r="125" ht="15.75" customHeight="1">
      <c r="A125" s="1">
        <f>IFERROR(__xludf.DUMMYFUNCTION("""COMPUTED_VALUE"""),44015.66666666667)</f>
        <v>44015.66667</v>
      </c>
      <c r="B125" s="2">
        <f>IFERROR(__xludf.DUMMYFUNCTION("""COMPUTED_VALUE"""),2300.0)</f>
        <v>2300</v>
      </c>
      <c r="C125" s="2">
        <f>IFERROR(__xludf.DUMMYFUNCTION("""COMPUTED_VALUE"""),2320.0)</f>
        <v>2320</v>
      </c>
      <c r="D125" s="2">
        <f>IFERROR(__xludf.DUMMYFUNCTION("""COMPUTED_VALUE"""),2275.0)</f>
        <v>2275</v>
      </c>
      <c r="E125" s="2">
        <f>IFERROR(__xludf.DUMMYFUNCTION("""COMPUTED_VALUE"""),2280.0)</f>
        <v>2280</v>
      </c>
      <c r="F125" s="2">
        <f>IFERROR(__xludf.DUMMYFUNCTION("""COMPUTED_VALUE"""),2.3764E7)</f>
        <v>23764000</v>
      </c>
      <c r="G125" s="2">
        <f t="shared" si="1"/>
        <v>45</v>
      </c>
    </row>
    <row r="126" ht="15.75" customHeight="1">
      <c r="A126" s="1">
        <f>IFERROR(__xludf.DUMMYFUNCTION("""COMPUTED_VALUE"""),44018.66666666667)</f>
        <v>44018.66667</v>
      </c>
      <c r="B126" s="2">
        <f>IFERROR(__xludf.DUMMYFUNCTION("""COMPUTED_VALUE"""),2295.0)</f>
        <v>2295</v>
      </c>
      <c r="C126" s="2">
        <f>IFERROR(__xludf.DUMMYFUNCTION("""COMPUTED_VALUE"""),2320.0)</f>
        <v>2320</v>
      </c>
      <c r="D126" s="2">
        <f>IFERROR(__xludf.DUMMYFUNCTION("""COMPUTED_VALUE"""),2290.0)</f>
        <v>2290</v>
      </c>
      <c r="E126" s="2">
        <f>IFERROR(__xludf.DUMMYFUNCTION("""COMPUTED_VALUE"""),2305.0)</f>
        <v>2305</v>
      </c>
      <c r="F126" s="2">
        <f>IFERROR(__xludf.DUMMYFUNCTION("""COMPUTED_VALUE"""),3.10182E7)</f>
        <v>31018200</v>
      </c>
      <c r="G126" s="2">
        <f t="shared" si="1"/>
        <v>40</v>
      </c>
    </row>
    <row r="127" ht="15.75" customHeight="1">
      <c r="A127" s="1">
        <f>IFERROR(__xludf.DUMMYFUNCTION("""COMPUTED_VALUE"""),44019.66666666667)</f>
        <v>44019.66667</v>
      </c>
      <c r="B127" s="2">
        <f>IFERROR(__xludf.DUMMYFUNCTION("""COMPUTED_VALUE"""),2325.0)</f>
        <v>2325</v>
      </c>
      <c r="C127" s="2">
        <f>IFERROR(__xludf.DUMMYFUNCTION("""COMPUTED_VALUE"""),2330.0)</f>
        <v>2330</v>
      </c>
      <c r="D127" s="2">
        <f>IFERROR(__xludf.DUMMYFUNCTION("""COMPUTED_VALUE"""),2290.0)</f>
        <v>2290</v>
      </c>
      <c r="E127" s="2">
        <f>IFERROR(__xludf.DUMMYFUNCTION("""COMPUTED_VALUE"""),2300.0)</f>
        <v>2300</v>
      </c>
      <c r="F127" s="2">
        <f>IFERROR(__xludf.DUMMYFUNCTION("""COMPUTED_VALUE"""),4.10422E7)</f>
        <v>41042200</v>
      </c>
      <c r="G127" s="2">
        <f t="shared" si="1"/>
        <v>40</v>
      </c>
    </row>
    <row r="128" ht="15.75" customHeight="1">
      <c r="A128" s="1">
        <f>IFERROR(__xludf.DUMMYFUNCTION("""COMPUTED_VALUE"""),44020.66666666667)</f>
        <v>44020.66667</v>
      </c>
      <c r="B128" s="2">
        <f>IFERROR(__xludf.DUMMYFUNCTION("""COMPUTED_VALUE"""),2300.0)</f>
        <v>2300</v>
      </c>
      <c r="C128" s="2">
        <f>IFERROR(__xludf.DUMMYFUNCTION("""COMPUTED_VALUE"""),2415.0)</f>
        <v>2415</v>
      </c>
      <c r="D128" s="2">
        <f>IFERROR(__xludf.DUMMYFUNCTION("""COMPUTED_VALUE"""),2290.0)</f>
        <v>2290</v>
      </c>
      <c r="E128" s="2">
        <f>IFERROR(__xludf.DUMMYFUNCTION("""COMPUTED_VALUE"""),2400.0)</f>
        <v>2400</v>
      </c>
      <c r="F128" s="2">
        <f>IFERROR(__xludf.DUMMYFUNCTION("""COMPUTED_VALUE"""),1.152884E8)</f>
        <v>115288400</v>
      </c>
      <c r="G128" s="2">
        <f t="shared" si="1"/>
        <v>125</v>
      </c>
    </row>
    <row r="129" ht="15.75" customHeight="1">
      <c r="A129" s="1">
        <f>IFERROR(__xludf.DUMMYFUNCTION("""COMPUTED_VALUE"""),44021.66666666667)</f>
        <v>44021.66667</v>
      </c>
      <c r="B129" s="2">
        <f>IFERROR(__xludf.DUMMYFUNCTION("""COMPUTED_VALUE"""),2410.0)</f>
        <v>2410</v>
      </c>
      <c r="C129" s="2">
        <f>IFERROR(__xludf.DUMMYFUNCTION("""COMPUTED_VALUE"""),2430.0)</f>
        <v>2430</v>
      </c>
      <c r="D129" s="2">
        <f>IFERROR(__xludf.DUMMYFUNCTION("""COMPUTED_VALUE"""),2360.0)</f>
        <v>2360</v>
      </c>
      <c r="E129" s="2">
        <f>IFERROR(__xludf.DUMMYFUNCTION("""COMPUTED_VALUE"""),2365.0)</f>
        <v>2365</v>
      </c>
      <c r="F129" s="2">
        <f>IFERROR(__xludf.DUMMYFUNCTION("""COMPUTED_VALUE"""),5.82506E7)</f>
        <v>58250600</v>
      </c>
      <c r="G129" s="2">
        <f t="shared" si="1"/>
        <v>70</v>
      </c>
    </row>
    <row r="130" ht="15.75" customHeight="1">
      <c r="A130" s="1">
        <f>IFERROR(__xludf.DUMMYFUNCTION("""COMPUTED_VALUE"""),44022.66666666667)</f>
        <v>44022.66667</v>
      </c>
      <c r="B130" s="2">
        <f>IFERROR(__xludf.DUMMYFUNCTION("""COMPUTED_VALUE"""),2350.0)</f>
        <v>2350</v>
      </c>
      <c r="C130" s="2">
        <f>IFERROR(__xludf.DUMMYFUNCTION("""COMPUTED_VALUE"""),2365.0)</f>
        <v>2365</v>
      </c>
      <c r="D130" s="2">
        <f>IFERROR(__xludf.DUMMYFUNCTION("""COMPUTED_VALUE"""),2325.0)</f>
        <v>2325</v>
      </c>
      <c r="E130" s="2">
        <f>IFERROR(__xludf.DUMMYFUNCTION("""COMPUTED_VALUE"""),2335.0)</f>
        <v>2335</v>
      </c>
      <c r="F130" s="2">
        <f>IFERROR(__xludf.DUMMYFUNCTION("""COMPUTED_VALUE"""),3.7653E7)</f>
        <v>37653000</v>
      </c>
      <c r="G130" s="2">
        <f t="shared" si="1"/>
        <v>40</v>
      </c>
    </row>
    <row r="131" ht="15.75" customHeight="1">
      <c r="A131" s="1">
        <f>IFERROR(__xludf.DUMMYFUNCTION("""COMPUTED_VALUE"""),44025.66666666667)</f>
        <v>44025.66667</v>
      </c>
      <c r="B131" s="2">
        <f>IFERROR(__xludf.DUMMYFUNCTION("""COMPUTED_VALUE"""),2350.0)</f>
        <v>2350</v>
      </c>
      <c r="C131" s="2">
        <f>IFERROR(__xludf.DUMMYFUNCTION("""COMPUTED_VALUE"""),2385.0)</f>
        <v>2385</v>
      </c>
      <c r="D131" s="2">
        <f>IFERROR(__xludf.DUMMYFUNCTION("""COMPUTED_VALUE"""),2350.0)</f>
        <v>2350</v>
      </c>
      <c r="E131" s="2">
        <f>IFERROR(__xludf.DUMMYFUNCTION("""COMPUTED_VALUE"""),2375.0)</f>
        <v>2375</v>
      </c>
      <c r="F131" s="2">
        <f>IFERROR(__xludf.DUMMYFUNCTION("""COMPUTED_VALUE"""),3.55459E7)</f>
        <v>35545900</v>
      </c>
      <c r="G131" s="2">
        <f t="shared" si="1"/>
        <v>50</v>
      </c>
    </row>
    <row r="132" ht="15.75" customHeight="1">
      <c r="A132" s="1">
        <f>IFERROR(__xludf.DUMMYFUNCTION("""COMPUTED_VALUE"""),44026.66666666667)</f>
        <v>44026.66667</v>
      </c>
      <c r="B132" s="2">
        <f>IFERROR(__xludf.DUMMYFUNCTION("""COMPUTED_VALUE"""),2375.0)</f>
        <v>2375</v>
      </c>
      <c r="C132" s="2">
        <f>IFERROR(__xludf.DUMMYFUNCTION("""COMPUTED_VALUE"""),2390.0)</f>
        <v>2390</v>
      </c>
      <c r="D132" s="2">
        <f>IFERROR(__xludf.DUMMYFUNCTION("""COMPUTED_VALUE"""),2350.0)</f>
        <v>2350</v>
      </c>
      <c r="E132" s="2">
        <f>IFERROR(__xludf.DUMMYFUNCTION("""COMPUTED_VALUE"""),2360.0)</f>
        <v>2360</v>
      </c>
      <c r="F132" s="2">
        <f>IFERROR(__xludf.DUMMYFUNCTION("""COMPUTED_VALUE"""),4.80565E7)</f>
        <v>48056500</v>
      </c>
      <c r="G132" s="2">
        <f t="shared" si="1"/>
        <v>40</v>
      </c>
    </row>
    <row r="133" ht="15.75" customHeight="1">
      <c r="A133" s="1">
        <f>IFERROR(__xludf.DUMMYFUNCTION("""COMPUTED_VALUE"""),44027.66666666667)</f>
        <v>44027.66667</v>
      </c>
      <c r="B133" s="2">
        <f>IFERROR(__xludf.DUMMYFUNCTION("""COMPUTED_VALUE"""),2380.0)</f>
        <v>2380</v>
      </c>
      <c r="C133" s="2">
        <f>IFERROR(__xludf.DUMMYFUNCTION("""COMPUTED_VALUE"""),2390.0)</f>
        <v>2390</v>
      </c>
      <c r="D133" s="2">
        <f>IFERROR(__xludf.DUMMYFUNCTION("""COMPUTED_VALUE"""),2355.0)</f>
        <v>2355</v>
      </c>
      <c r="E133" s="2">
        <f>IFERROR(__xludf.DUMMYFUNCTION("""COMPUTED_VALUE"""),2355.0)</f>
        <v>2355</v>
      </c>
      <c r="F133" s="2">
        <f>IFERROR(__xludf.DUMMYFUNCTION("""COMPUTED_VALUE"""),4.231E7)</f>
        <v>42310000</v>
      </c>
      <c r="G133" s="2">
        <f t="shared" si="1"/>
        <v>35</v>
      </c>
    </row>
    <row r="134" ht="15.75" customHeight="1">
      <c r="A134" s="1">
        <f>IFERROR(__xludf.DUMMYFUNCTION("""COMPUTED_VALUE"""),44028.66666666667)</f>
        <v>44028.66667</v>
      </c>
      <c r="B134" s="2">
        <f>IFERROR(__xludf.DUMMYFUNCTION("""COMPUTED_VALUE"""),2355.0)</f>
        <v>2355</v>
      </c>
      <c r="C134" s="2">
        <f>IFERROR(__xludf.DUMMYFUNCTION("""COMPUTED_VALUE"""),2370.0)</f>
        <v>2370</v>
      </c>
      <c r="D134" s="2">
        <f>IFERROR(__xludf.DUMMYFUNCTION("""COMPUTED_VALUE"""),2340.0)</f>
        <v>2340</v>
      </c>
      <c r="E134" s="2">
        <f>IFERROR(__xludf.DUMMYFUNCTION("""COMPUTED_VALUE"""),2350.0)</f>
        <v>2350</v>
      </c>
      <c r="F134" s="2">
        <f>IFERROR(__xludf.DUMMYFUNCTION("""COMPUTED_VALUE"""),4.30471E7)</f>
        <v>43047100</v>
      </c>
      <c r="G134" s="2">
        <f t="shared" si="1"/>
        <v>30</v>
      </c>
    </row>
    <row r="135" ht="15.75" customHeight="1">
      <c r="A135" s="1">
        <f>IFERROR(__xludf.DUMMYFUNCTION("""COMPUTED_VALUE"""),44029.66666666667)</f>
        <v>44029.66667</v>
      </c>
      <c r="B135" s="2">
        <f>IFERROR(__xludf.DUMMYFUNCTION("""COMPUTED_VALUE"""),2340.0)</f>
        <v>2340</v>
      </c>
      <c r="C135" s="2">
        <f>IFERROR(__xludf.DUMMYFUNCTION("""COMPUTED_VALUE"""),2360.0)</f>
        <v>2360</v>
      </c>
      <c r="D135" s="2">
        <f>IFERROR(__xludf.DUMMYFUNCTION("""COMPUTED_VALUE"""),2335.0)</f>
        <v>2335</v>
      </c>
      <c r="E135" s="2">
        <f>IFERROR(__xludf.DUMMYFUNCTION("""COMPUTED_VALUE"""),2335.0)</f>
        <v>2335</v>
      </c>
      <c r="F135" s="2">
        <f>IFERROR(__xludf.DUMMYFUNCTION("""COMPUTED_VALUE"""),1.87835E7)</f>
        <v>18783500</v>
      </c>
      <c r="G135" s="2">
        <f t="shared" si="1"/>
        <v>25</v>
      </c>
    </row>
    <row r="136" ht="15.75" customHeight="1">
      <c r="A136" s="1">
        <f>IFERROR(__xludf.DUMMYFUNCTION("""COMPUTED_VALUE"""),44032.66666666667)</f>
        <v>44032.66667</v>
      </c>
      <c r="B136" s="2">
        <f>IFERROR(__xludf.DUMMYFUNCTION("""COMPUTED_VALUE"""),2345.0)</f>
        <v>2345</v>
      </c>
      <c r="C136" s="2">
        <f>IFERROR(__xludf.DUMMYFUNCTION("""COMPUTED_VALUE"""),2345.0)</f>
        <v>2345</v>
      </c>
      <c r="D136" s="2">
        <f>IFERROR(__xludf.DUMMYFUNCTION("""COMPUTED_VALUE"""),2255.0)</f>
        <v>2255</v>
      </c>
      <c r="E136" s="2">
        <f>IFERROR(__xludf.DUMMYFUNCTION("""COMPUTED_VALUE"""),2270.0)</f>
        <v>2270</v>
      </c>
      <c r="F136" s="2">
        <f>IFERROR(__xludf.DUMMYFUNCTION("""COMPUTED_VALUE"""),6.76965E7)</f>
        <v>67696500</v>
      </c>
      <c r="G136" s="2">
        <f t="shared" si="1"/>
        <v>90</v>
      </c>
    </row>
    <row r="137" ht="15.75" customHeight="1">
      <c r="A137" s="1">
        <f>IFERROR(__xludf.DUMMYFUNCTION("""COMPUTED_VALUE"""),44033.66666666667)</f>
        <v>44033.66667</v>
      </c>
      <c r="B137" s="2">
        <f>IFERROR(__xludf.DUMMYFUNCTION("""COMPUTED_VALUE"""),2285.0)</f>
        <v>2285</v>
      </c>
      <c r="C137" s="2">
        <f>IFERROR(__xludf.DUMMYFUNCTION("""COMPUTED_VALUE"""),2350.0)</f>
        <v>2350</v>
      </c>
      <c r="D137" s="2">
        <f>IFERROR(__xludf.DUMMYFUNCTION("""COMPUTED_VALUE"""),2280.0)</f>
        <v>2280</v>
      </c>
      <c r="E137" s="2">
        <f>IFERROR(__xludf.DUMMYFUNCTION("""COMPUTED_VALUE"""),2340.0)</f>
        <v>2340</v>
      </c>
      <c r="F137" s="2">
        <f>IFERROR(__xludf.DUMMYFUNCTION("""COMPUTED_VALUE"""),6.08364E7)</f>
        <v>60836400</v>
      </c>
      <c r="G137" s="2">
        <f t="shared" si="1"/>
        <v>80</v>
      </c>
    </row>
    <row r="138" ht="15.75" customHeight="1">
      <c r="A138" s="1">
        <f>IFERROR(__xludf.DUMMYFUNCTION("""COMPUTED_VALUE"""),44034.66666666667)</f>
        <v>44034.66667</v>
      </c>
      <c r="B138" s="2">
        <f>IFERROR(__xludf.DUMMYFUNCTION("""COMPUTED_VALUE"""),2350.0)</f>
        <v>2350</v>
      </c>
      <c r="C138" s="2">
        <f>IFERROR(__xludf.DUMMYFUNCTION("""COMPUTED_VALUE"""),2375.0)</f>
        <v>2375</v>
      </c>
      <c r="D138" s="2">
        <f>IFERROR(__xludf.DUMMYFUNCTION("""COMPUTED_VALUE"""),2330.0)</f>
        <v>2330</v>
      </c>
      <c r="E138" s="2">
        <f>IFERROR(__xludf.DUMMYFUNCTION("""COMPUTED_VALUE"""),2335.0)</f>
        <v>2335</v>
      </c>
      <c r="F138" s="2">
        <f>IFERROR(__xludf.DUMMYFUNCTION("""COMPUTED_VALUE"""),4.84271E7)</f>
        <v>48427100</v>
      </c>
      <c r="G138" s="2">
        <f t="shared" si="1"/>
        <v>45</v>
      </c>
    </row>
    <row r="139" ht="15.75" customHeight="1">
      <c r="A139" s="1">
        <f>IFERROR(__xludf.DUMMYFUNCTION("""COMPUTED_VALUE"""),44035.66666666667)</f>
        <v>44035.66667</v>
      </c>
      <c r="B139" s="2">
        <f>IFERROR(__xludf.DUMMYFUNCTION("""COMPUTED_VALUE"""),2345.0)</f>
        <v>2345</v>
      </c>
      <c r="C139" s="2">
        <f>IFERROR(__xludf.DUMMYFUNCTION("""COMPUTED_VALUE"""),2395.0)</f>
        <v>2395</v>
      </c>
      <c r="D139" s="2">
        <f>IFERROR(__xludf.DUMMYFUNCTION("""COMPUTED_VALUE"""),2335.0)</f>
        <v>2335</v>
      </c>
      <c r="E139" s="2">
        <f>IFERROR(__xludf.DUMMYFUNCTION("""COMPUTED_VALUE"""),2355.0)</f>
        <v>2355</v>
      </c>
      <c r="F139" s="2">
        <f>IFERROR(__xludf.DUMMYFUNCTION("""COMPUTED_VALUE"""),7.60623E7)</f>
        <v>76062300</v>
      </c>
      <c r="G139" s="2">
        <f t="shared" si="1"/>
        <v>60</v>
      </c>
    </row>
    <row r="140" ht="15.75" customHeight="1">
      <c r="A140" s="1">
        <f>IFERROR(__xludf.DUMMYFUNCTION("""COMPUTED_VALUE"""),44036.66666666667)</f>
        <v>44036.66667</v>
      </c>
      <c r="B140" s="2">
        <f>IFERROR(__xludf.DUMMYFUNCTION("""COMPUTED_VALUE"""),2355.0)</f>
        <v>2355</v>
      </c>
      <c r="C140" s="2">
        <f>IFERROR(__xludf.DUMMYFUNCTION("""COMPUTED_VALUE"""),2355.0)</f>
        <v>2355</v>
      </c>
      <c r="D140" s="2">
        <f>IFERROR(__xludf.DUMMYFUNCTION("""COMPUTED_VALUE"""),2295.0)</f>
        <v>2295</v>
      </c>
      <c r="E140" s="2">
        <f>IFERROR(__xludf.DUMMYFUNCTION("""COMPUTED_VALUE"""),2305.0)</f>
        <v>2305</v>
      </c>
      <c r="F140" s="2">
        <f>IFERROR(__xludf.DUMMYFUNCTION("""COMPUTED_VALUE"""),5.46028E7)</f>
        <v>54602800</v>
      </c>
      <c r="G140" s="2">
        <f t="shared" si="1"/>
        <v>60</v>
      </c>
    </row>
    <row r="141" ht="15.75" customHeight="1">
      <c r="A141" s="1">
        <f>IFERROR(__xludf.DUMMYFUNCTION("""COMPUTED_VALUE"""),44039.66666666667)</f>
        <v>44039.66667</v>
      </c>
      <c r="B141" s="2">
        <f>IFERROR(__xludf.DUMMYFUNCTION("""COMPUTED_VALUE"""),2320.0)</f>
        <v>2320</v>
      </c>
      <c r="C141" s="2">
        <f>IFERROR(__xludf.DUMMYFUNCTION("""COMPUTED_VALUE"""),2330.0)</f>
        <v>2330</v>
      </c>
      <c r="D141" s="2">
        <f>IFERROR(__xludf.DUMMYFUNCTION("""COMPUTED_VALUE"""),2300.0)</f>
        <v>2300</v>
      </c>
      <c r="E141" s="2">
        <f>IFERROR(__xludf.DUMMYFUNCTION("""COMPUTED_VALUE"""),2325.0)</f>
        <v>2325</v>
      </c>
      <c r="F141" s="2">
        <f>IFERROR(__xludf.DUMMYFUNCTION("""COMPUTED_VALUE"""),2.7072E7)</f>
        <v>27072000</v>
      </c>
      <c r="G141" s="2">
        <f t="shared" si="1"/>
        <v>30</v>
      </c>
    </row>
    <row r="142" ht="15.75" customHeight="1">
      <c r="A142" s="1">
        <f>IFERROR(__xludf.DUMMYFUNCTION("""COMPUTED_VALUE"""),44040.66666666667)</f>
        <v>44040.66667</v>
      </c>
      <c r="B142" s="2">
        <f>IFERROR(__xludf.DUMMYFUNCTION("""COMPUTED_VALUE"""),2330.0)</f>
        <v>2330</v>
      </c>
      <c r="C142" s="2">
        <f>IFERROR(__xludf.DUMMYFUNCTION("""COMPUTED_VALUE"""),2355.0)</f>
        <v>2355</v>
      </c>
      <c r="D142" s="2">
        <f>IFERROR(__xludf.DUMMYFUNCTION("""COMPUTED_VALUE"""),2325.0)</f>
        <v>2325</v>
      </c>
      <c r="E142" s="2">
        <f>IFERROR(__xludf.DUMMYFUNCTION("""COMPUTED_VALUE"""),2340.0)</f>
        <v>2340</v>
      </c>
      <c r="F142" s="2">
        <f>IFERROR(__xludf.DUMMYFUNCTION("""COMPUTED_VALUE"""),3.52392E7)</f>
        <v>35239200</v>
      </c>
      <c r="G142" s="2">
        <f t="shared" si="1"/>
        <v>30</v>
      </c>
    </row>
    <row r="143" ht="15.75" customHeight="1">
      <c r="A143" s="1">
        <f>IFERROR(__xludf.DUMMYFUNCTION("""COMPUTED_VALUE"""),44041.66666666667)</f>
        <v>44041.66667</v>
      </c>
      <c r="B143" s="2">
        <f>IFERROR(__xludf.DUMMYFUNCTION("""COMPUTED_VALUE"""),2330.0)</f>
        <v>2330</v>
      </c>
      <c r="C143" s="2">
        <f>IFERROR(__xludf.DUMMYFUNCTION("""COMPUTED_VALUE"""),2330.0)</f>
        <v>2330</v>
      </c>
      <c r="D143" s="2">
        <f>IFERROR(__xludf.DUMMYFUNCTION("""COMPUTED_VALUE"""),2290.0)</f>
        <v>2290</v>
      </c>
      <c r="E143" s="2">
        <f>IFERROR(__xludf.DUMMYFUNCTION("""COMPUTED_VALUE"""),2295.0)</f>
        <v>2295</v>
      </c>
      <c r="F143" s="2">
        <f>IFERROR(__xludf.DUMMYFUNCTION("""COMPUTED_VALUE"""),6.40327E7)</f>
        <v>64032700</v>
      </c>
      <c r="G143" s="2">
        <f t="shared" si="1"/>
        <v>50</v>
      </c>
    </row>
    <row r="144" ht="15.75" customHeight="1">
      <c r="A144" s="1">
        <f>IFERROR(__xludf.DUMMYFUNCTION("""COMPUTED_VALUE"""),44042.66666666667)</f>
        <v>44042.66667</v>
      </c>
      <c r="B144" s="2">
        <f>IFERROR(__xludf.DUMMYFUNCTION("""COMPUTED_VALUE"""),2305.0)</f>
        <v>2305</v>
      </c>
      <c r="C144" s="2">
        <f>IFERROR(__xludf.DUMMYFUNCTION("""COMPUTED_VALUE"""),2315.0)</f>
        <v>2315</v>
      </c>
      <c r="D144" s="2">
        <f>IFERROR(__xludf.DUMMYFUNCTION("""COMPUTED_VALUE"""),2285.0)</f>
        <v>2285</v>
      </c>
      <c r="E144" s="2">
        <f>IFERROR(__xludf.DUMMYFUNCTION("""COMPUTED_VALUE"""),2300.0)</f>
        <v>2300</v>
      </c>
      <c r="F144" s="2">
        <f>IFERROR(__xludf.DUMMYFUNCTION("""COMPUTED_VALUE"""),4.84008E7)</f>
        <v>48400800</v>
      </c>
      <c r="G144" s="2">
        <f t="shared" si="1"/>
        <v>30</v>
      </c>
    </row>
    <row r="145" ht="15.75" customHeight="1">
      <c r="A145" s="1">
        <f>IFERROR(__xludf.DUMMYFUNCTION("""COMPUTED_VALUE"""),44046.66666666667)</f>
        <v>44046.66667</v>
      </c>
      <c r="B145" s="2">
        <f>IFERROR(__xludf.DUMMYFUNCTION("""COMPUTED_VALUE"""),2325.0)</f>
        <v>2325</v>
      </c>
      <c r="C145" s="2">
        <f>IFERROR(__xludf.DUMMYFUNCTION("""COMPUTED_VALUE"""),2325.0)</f>
        <v>2325</v>
      </c>
      <c r="D145" s="2">
        <f>IFERROR(__xludf.DUMMYFUNCTION("""COMPUTED_VALUE"""),2150.0)</f>
        <v>2150</v>
      </c>
      <c r="E145" s="2">
        <f>IFERROR(__xludf.DUMMYFUNCTION("""COMPUTED_VALUE"""),2220.0)</f>
        <v>2220</v>
      </c>
      <c r="F145" s="2">
        <f>IFERROR(__xludf.DUMMYFUNCTION("""COMPUTED_VALUE"""),7.32491E7)</f>
        <v>73249100</v>
      </c>
      <c r="G145" s="2">
        <f t="shared" si="1"/>
        <v>175</v>
      </c>
    </row>
    <row r="146" ht="15.75" customHeight="1">
      <c r="A146" s="1">
        <f>IFERROR(__xludf.DUMMYFUNCTION("""COMPUTED_VALUE"""),44047.66666666667)</f>
        <v>44047.66667</v>
      </c>
      <c r="B146" s="2">
        <f>IFERROR(__xludf.DUMMYFUNCTION("""COMPUTED_VALUE"""),2235.0)</f>
        <v>2235</v>
      </c>
      <c r="C146" s="2">
        <f>IFERROR(__xludf.DUMMYFUNCTION("""COMPUTED_VALUE"""),2280.0)</f>
        <v>2280</v>
      </c>
      <c r="D146" s="2">
        <f>IFERROR(__xludf.DUMMYFUNCTION("""COMPUTED_VALUE"""),2225.0)</f>
        <v>2225</v>
      </c>
      <c r="E146" s="2">
        <f>IFERROR(__xludf.DUMMYFUNCTION("""COMPUTED_VALUE"""),2280.0)</f>
        <v>2280</v>
      </c>
      <c r="F146" s="2">
        <f>IFERROR(__xludf.DUMMYFUNCTION("""COMPUTED_VALUE"""),3.32046E7)</f>
        <v>33204600</v>
      </c>
      <c r="G146" s="2">
        <f t="shared" si="1"/>
        <v>60</v>
      </c>
    </row>
    <row r="147" ht="15.75" customHeight="1">
      <c r="A147" s="1">
        <f>IFERROR(__xludf.DUMMYFUNCTION("""COMPUTED_VALUE"""),44048.66666666667)</f>
        <v>44048.66667</v>
      </c>
      <c r="B147" s="2">
        <f>IFERROR(__xludf.DUMMYFUNCTION("""COMPUTED_VALUE"""),2285.0)</f>
        <v>2285</v>
      </c>
      <c r="C147" s="2">
        <f>IFERROR(__xludf.DUMMYFUNCTION("""COMPUTED_VALUE"""),2320.0)</f>
        <v>2320</v>
      </c>
      <c r="D147" s="2">
        <f>IFERROR(__xludf.DUMMYFUNCTION("""COMPUTED_VALUE"""),2255.0)</f>
        <v>2255</v>
      </c>
      <c r="E147" s="2">
        <f>IFERROR(__xludf.DUMMYFUNCTION("""COMPUTED_VALUE"""),2315.0)</f>
        <v>2315</v>
      </c>
      <c r="F147" s="2">
        <f>IFERROR(__xludf.DUMMYFUNCTION("""COMPUTED_VALUE"""),4.11499E7)</f>
        <v>41149900</v>
      </c>
      <c r="G147" s="2">
        <f t="shared" si="1"/>
        <v>65</v>
      </c>
    </row>
    <row r="148" ht="15.75" customHeight="1">
      <c r="A148" s="1">
        <f>IFERROR(__xludf.DUMMYFUNCTION("""COMPUTED_VALUE"""),44049.66666666667)</f>
        <v>44049.66667</v>
      </c>
      <c r="B148" s="2">
        <f>IFERROR(__xludf.DUMMYFUNCTION("""COMPUTED_VALUE"""),2325.0)</f>
        <v>2325</v>
      </c>
      <c r="C148" s="2">
        <f>IFERROR(__xludf.DUMMYFUNCTION("""COMPUTED_VALUE"""),2335.0)</f>
        <v>2335</v>
      </c>
      <c r="D148" s="2">
        <f>IFERROR(__xludf.DUMMYFUNCTION("""COMPUTED_VALUE"""),2315.0)</f>
        <v>2315</v>
      </c>
      <c r="E148" s="2">
        <f>IFERROR(__xludf.DUMMYFUNCTION("""COMPUTED_VALUE"""),2320.0)</f>
        <v>2320</v>
      </c>
      <c r="F148" s="2">
        <f>IFERROR(__xludf.DUMMYFUNCTION("""COMPUTED_VALUE"""),3.22558E7)</f>
        <v>32255800</v>
      </c>
      <c r="G148" s="2">
        <f t="shared" si="1"/>
        <v>20</v>
      </c>
    </row>
    <row r="149" ht="15.75" customHeight="1">
      <c r="A149" s="1">
        <f>IFERROR(__xludf.DUMMYFUNCTION("""COMPUTED_VALUE"""),44050.66666666667)</f>
        <v>44050.66667</v>
      </c>
      <c r="B149" s="2">
        <f>IFERROR(__xludf.DUMMYFUNCTION("""COMPUTED_VALUE"""),2320.0)</f>
        <v>2320</v>
      </c>
      <c r="C149" s="2">
        <f>IFERROR(__xludf.DUMMYFUNCTION("""COMPUTED_VALUE"""),2340.0)</f>
        <v>2340</v>
      </c>
      <c r="D149" s="2">
        <f>IFERROR(__xludf.DUMMYFUNCTION("""COMPUTED_VALUE"""),2300.0)</f>
        <v>2300</v>
      </c>
      <c r="E149" s="2">
        <f>IFERROR(__xludf.DUMMYFUNCTION("""COMPUTED_VALUE"""),2310.0)</f>
        <v>2310</v>
      </c>
      <c r="F149" s="2">
        <f>IFERROR(__xludf.DUMMYFUNCTION("""COMPUTED_VALUE"""),2.84212E7)</f>
        <v>28421200</v>
      </c>
      <c r="G149" s="2">
        <f t="shared" si="1"/>
        <v>40</v>
      </c>
    </row>
    <row r="150" ht="15.75" customHeight="1">
      <c r="A150" s="1">
        <f>IFERROR(__xludf.DUMMYFUNCTION("""COMPUTED_VALUE"""),44053.66666666667)</f>
        <v>44053.66667</v>
      </c>
      <c r="B150" s="2">
        <f>IFERROR(__xludf.DUMMYFUNCTION("""COMPUTED_VALUE"""),2310.0)</f>
        <v>2310</v>
      </c>
      <c r="C150" s="2">
        <f>IFERROR(__xludf.DUMMYFUNCTION("""COMPUTED_VALUE"""),2320.0)</f>
        <v>2320</v>
      </c>
      <c r="D150" s="2">
        <f>IFERROR(__xludf.DUMMYFUNCTION("""COMPUTED_VALUE"""),2305.0)</f>
        <v>2305</v>
      </c>
      <c r="E150" s="2">
        <f>IFERROR(__xludf.DUMMYFUNCTION("""COMPUTED_VALUE"""),2310.0)</f>
        <v>2310</v>
      </c>
      <c r="F150" s="2">
        <f>IFERROR(__xludf.DUMMYFUNCTION("""COMPUTED_VALUE"""),1.48256E7)</f>
        <v>14825600</v>
      </c>
      <c r="G150" s="2">
        <f t="shared" si="1"/>
        <v>15</v>
      </c>
    </row>
    <row r="151" ht="15.75" customHeight="1">
      <c r="A151" s="1">
        <f>IFERROR(__xludf.DUMMYFUNCTION("""COMPUTED_VALUE"""),44054.66666666667)</f>
        <v>44054.66667</v>
      </c>
      <c r="B151" s="2">
        <f>IFERROR(__xludf.DUMMYFUNCTION("""COMPUTED_VALUE"""),2315.0)</f>
        <v>2315</v>
      </c>
      <c r="C151" s="2">
        <f>IFERROR(__xludf.DUMMYFUNCTION("""COMPUTED_VALUE"""),2410.0)</f>
        <v>2410</v>
      </c>
      <c r="D151" s="2">
        <f>IFERROR(__xludf.DUMMYFUNCTION("""COMPUTED_VALUE"""),2315.0)</f>
        <v>2315</v>
      </c>
      <c r="E151" s="2">
        <f>IFERROR(__xludf.DUMMYFUNCTION("""COMPUTED_VALUE"""),2390.0)</f>
        <v>2390</v>
      </c>
      <c r="F151" s="2">
        <f>IFERROR(__xludf.DUMMYFUNCTION("""COMPUTED_VALUE"""),9.64561E7)</f>
        <v>96456100</v>
      </c>
      <c r="G151" s="2">
        <f t="shared" si="1"/>
        <v>100</v>
      </c>
    </row>
    <row r="152" ht="15.75" customHeight="1">
      <c r="A152" s="1">
        <f>IFERROR(__xludf.DUMMYFUNCTION("""COMPUTED_VALUE"""),44055.66666666667)</f>
        <v>44055.66667</v>
      </c>
      <c r="B152" s="2">
        <f>IFERROR(__xludf.DUMMYFUNCTION("""COMPUTED_VALUE"""),2400.0)</f>
        <v>2400</v>
      </c>
      <c r="C152" s="2">
        <f>IFERROR(__xludf.DUMMYFUNCTION("""COMPUTED_VALUE"""),2600.0)</f>
        <v>2600</v>
      </c>
      <c r="D152" s="2">
        <f>IFERROR(__xludf.DUMMYFUNCTION("""COMPUTED_VALUE"""),2380.0)</f>
        <v>2380</v>
      </c>
      <c r="E152" s="2">
        <f>IFERROR(__xludf.DUMMYFUNCTION("""COMPUTED_VALUE"""),2562.5)</f>
        <v>2562.5</v>
      </c>
      <c r="F152" s="2">
        <f>IFERROR(__xludf.DUMMYFUNCTION("""COMPUTED_VALUE"""),1.811985E8)</f>
        <v>181198500</v>
      </c>
      <c r="G152" s="2">
        <f t="shared" si="1"/>
        <v>220</v>
      </c>
    </row>
    <row r="153" ht="15.75" customHeight="1">
      <c r="A153" s="1">
        <f>IFERROR(__xludf.DUMMYFUNCTION("""COMPUTED_VALUE"""),44056.66666666667)</f>
        <v>44056.66667</v>
      </c>
      <c r="B153" s="2">
        <f>IFERROR(__xludf.DUMMYFUNCTION("""COMPUTED_VALUE"""),2600.0)</f>
        <v>2600</v>
      </c>
      <c r="C153" s="2">
        <f>IFERROR(__xludf.DUMMYFUNCTION("""COMPUTED_VALUE"""),2675.0)</f>
        <v>2675</v>
      </c>
      <c r="D153" s="2">
        <f>IFERROR(__xludf.DUMMYFUNCTION("""COMPUTED_VALUE"""),2512.5)</f>
        <v>2512.5</v>
      </c>
      <c r="E153" s="2">
        <f>IFERROR(__xludf.DUMMYFUNCTION("""COMPUTED_VALUE"""),2537.5)</f>
        <v>2537.5</v>
      </c>
      <c r="F153" s="2">
        <f>IFERROR(__xludf.DUMMYFUNCTION("""COMPUTED_VALUE"""),8.76025E7)</f>
        <v>87602500</v>
      </c>
      <c r="G153" s="2">
        <f t="shared" si="1"/>
        <v>162.5</v>
      </c>
    </row>
    <row r="154" ht="15.75" customHeight="1">
      <c r="A154" s="1">
        <f>IFERROR(__xludf.DUMMYFUNCTION("""COMPUTED_VALUE"""),44057.66666666667)</f>
        <v>44057.66667</v>
      </c>
      <c r="B154" s="2">
        <f>IFERROR(__xludf.DUMMYFUNCTION("""COMPUTED_VALUE"""),2537.5)</f>
        <v>2537.5</v>
      </c>
      <c r="C154" s="2">
        <f>IFERROR(__xludf.DUMMYFUNCTION("""COMPUTED_VALUE"""),2550.0)</f>
        <v>2550</v>
      </c>
      <c r="D154" s="2">
        <f>IFERROR(__xludf.DUMMYFUNCTION("""COMPUTED_VALUE"""),2500.0)</f>
        <v>2500</v>
      </c>
      <c r="E154" s="2">
        <f>IFERROR(__xludf.DUMMYFUNCTION("""COMPUTED_VALUE"""),2500.0)</f>
        <v>2500</v>
      </c>
      <c r="F154" s="2">
        <f>IFERROR(__xludf.DUMMYFUNCTION("""COMPUTED_VALUE"""),5.71451E7)</f>
        <v>57145100</v>
      </c>
      <c r="G154" s="2">
        <f t="shared" si="1"/>
        <v>50</v>
      </c>
    </row>
    <row r="155" ht="15.75" customHeight="1">
      <c r="A155" s="1">
        <f>IFERROR(__xludf.DUMMYFUNCTION("""COMPUTED_VALUE"""),44061.66666666667)</f>
        <v>44061.66667</v>
      </c>
      <c r="B155" s="2">
        <f>IFERROR(__xludf.DUMMYFUNCTION("""COMPUTED_VALUE"""),2525.0)</f>
        <v>2525</v>
      </c>
      <c r="C155" s="2">
        <f>IFERROR(__xludf.DUMMYFUNCTION("""COMPUTED_VALUE"""),2612.5)</f>
        <v>2612.5</v>
      </c>
      <c r="D155" s="2">
        <f>IFERROR(__xludf.DUMMYFUNCTION("""COMPUTED_VALUE"""),2512.5)</f>
        <v>2512.5</v>
      </c>
      <c r="E155" s="2">
        <f>IFERROR(__xludf.DUMMYFUNCTION("""COMPUTED_VALUE"""),2525.0)</f>
        <v>2525</v>
      </c>
      <c r="F155" s="2">
        <f>IFERROR(__xludf.DUMMYFUNCTION("""COMPUTED_VALUE"""),1.017706E8)</f>
        <v>101770600</v>
      </c>
      <c r="G155" s="2">
        <f t="shared" si="1"/>
        <v>112.5</v>
      </c>
    </row>
    <row r="156" ht="15.75" customHeight="1">
      <c r="A156" s="1">
        <f>IFERROR(__xludf.DUMMYFUNCTION("""COMPUTED_VALUE"""),44062.66666666667)</f>
        <v>44062.66667</v>
      </c>
      <c r="B156" s="2">
        <f>IFERROR(__xludf.DUMMYFUNCTION("""COMPUTED_VALUE"""),2537.5)</f>
        <v>2537.5</v>
      </c>
      <c r="C156" s="2">
        <f>IFERROR(__xludf.DUMMYFUNCTION("""COMPUTED_VALUE"""),2600.0)</f>
        <v>2600</v>
      </c>
      <c r="D156" s="2">
        <f>IFERROR(__xludf.DUMMYFUNCTION("""COMPUTED_VALUE"""),2500.0)</f>
        <v>2500</v>
      </c>
      <c r="E156" s="2">
        <f>IFERROR(__xludf.DUMMYFUNCTION("""COMPUTED_VALUE"""),2525.0)</f>
        <v>2525</v>
      </c>
      <c r="F156" s="2">
        <f>IFERROR(__xludf.DUMMYFUNCTION("""COMPUTED_VALUE"""),7.95459E7)</f>
        <v>79545900</v>
      </c>
      <c r="G156" s="2">
        <f t="shared" si="1"/>
        <v>100</v>
      </c>
    </row>
    <row r="157" ht="15.75" customHeight="1">
      <c r="A157" s="1">
        <f>IFERROR(__xludf.DUMMYFUNCTION("""COMPUTED_VALUE"""),44067.66666666667)</f>
        <v>44067.66667</v>
      </c>
      <c r="B157" s="2">
        <f>IFERROR(__xludf.DUMMYFUNCTION("""COMPUTED_VALUE"""),2537.5)</f>
        <v>2537.5</v>
      </c>
      <c r="C157" s="2">
        <f>IFERROR(__xludf.DUMMYFUNCTION("""COMPUTED_VALUE"""),2575.0)</f>
        <v>2575</v>
      </c>
      <c r="D157" s="2">
        <f>IFERROR(__xludf.DUMMYFUNCTION("""COMPUTED_VALUE"""),2525.0)</f>
        <v>2525</v>
      </c>
      <c r="E157" s="2">
        <f>IFERROR(__xludf.DUMMYFUNCTION("""COMPUTED_VALUE"""),2550.0)</f>
        <v>2550</v>
      </c>
      <c r="F157" s="2">
        <f>IFERROR(__xludf.DUMMYFUNCTION("""COMPUTED_VALUE"""),5.27334E7)</f>
        <v>52733400</v>
      </c>
      <c r="G157" s="2">
        <f t="shared" si="1"/>
        <v>50</v>
      </c>
    </row>
    <row r="158" ht="15.75" customHeight="1">
      <c r="A158" s="1">
        <f>IFERROR(__xludf.DUMMYFUNCTION("""COMPUTED_VALUE"""),44068.66666666667)</f>
        <v>44068.66667</v>
      </c>
      <c r="B158" s="2">
        <f>IFERROR(__xludf.DUMMYFUNCTION("""COMPUTED_VALUE"""),2575.0)</f>
        <v>2575</v>
      </c>
      <c r="C158" s="2">
        <f>IFERROR(__xludf.DUMMYFUNCTION("""COMPUTED_VALUE"""),2675.0)</f>
        <v>2675</v>
      </c>
      <c r="D158" s="2">
        <f>IFERROR(__xludf.DUMMYFUNCTION("""COMPUTED_VALUE"""),2575.0)</f>
        <v>2575</v>
      </c>
      <c r="E158" s="2">
        <f>IFERROR(__xludf.DUMMYFUNCTION("""COMPUTED_VALUE"""),2637.5)</f>
        <v>2637.5</v>
      </c>
      <c r="F158" s="2">
        <f>IFERROR(__xludf.DUMMYFUNCTION("""COMPUTED_VALUE"""),9.27714E7)</f>
        <v>92771400</v>
      </c>
      <c r="G158" s="2">
        <f t="shared" si="1"/>
        <v>125</v>
      </c>
    </row>
    <row r="159" ht="15.75" customHeight="1">
      <c r="A159" s="1">
        <f>IFERROR(__xludf.DUMMYFUNCTION("""COMPUTED_VALUE"""),44069.66666666667)</f>
        <v>44069.66667</v>
      </c>
      <c r="B159" s="2">
        <f>IFERROR(__xludf.DUMMYFUNCTION("""COMPUTED_VALUE"""),2650.0)</f>
        <v>2650</v>
      </c>
      <c r="C159" s="2">
        <f>IFERROR(__xludf.DUMMYFUNCTION("""COMPUTED_VALUE"""),2675.0)</f>
        <v>2675</v>
      </c>
      <c r="D159" s="2">
        <f>IFERROR(__xludf.DUMMYFUNCTION("""COMPUTED_VALUE"""),2600.0)</f>
        <v>2600</v>
      </c>
      <c r="E159" s="2">
        <f>IFERROR(__xludf.DUMMYFUNCTION("""COMPUTED_VALUE"""),2662.5)</f>
        <v>2662.5</v>
      </c>
      <c r="F159" s="2">
        <f>IFERROR(__xludf.DUMMYFUNCTION("""COMPUTED_VALUE"""),7.28299E7)</f>
        <v>72829900</v>
      </c>
      <c r="G159" s="2">
        <f t="shared" si="1"/>
        <v>75</v>
      </c>
    </row>
    <row r="160" ht="15.75" customHeight="1">
      <c r="A160" s="1">
        <f>IFERROR(__xludf.DUMMYFUNCTION("""COMPUTED_VALUE"""),44070.66666666667)</f>
        <v>44070.66667</v>
      </c>
      <c r="B160" s="2">
        <f>IFERROR(__xludf.DUMMYFUNCTION("""COMPUTED_VALUE"""),2662.5)</f>
        <v>2662.5</v>
      </c>
      <c r="C160" s="2">
        <f>IFERROR(__xludf.DUMMYFUNCTION("""COMPUTED_VALUE"""),2712.5)</f>
        <v>2712.5</v>
      </c>
      <c r="D160" s="2">
        <f>IFERROR(__xludf.DUMMYFUNCTION("""COMPUTED_VALUE"""),2625.0)</f>
        <v>2625</v>
      </c>
      <c r="E160" s="2">
        <f>IFERROR(__xludf.DUMMYFUNCTION("""COMPUTED_VALUE"""),2650.0)</f>
        <v>2650</v>
      </c>
      <c r="F160" s="2">
        <f>IFERROR(__xludf.DUMMYFUNCTION("""COMPUTED_VALUE"""),5.66678E7)</f>
        <v>56667800</v>
      </c>
      <c r="G160" s="2">
        <f t="shared" si="1"/>
        <v>87.5</v>
      </c>
    </row>
    <row r="161" ht="15.75" customHeight="1">
      <c r="A161" s="1">
        <f>IFERROR(__xludf.DUMMYFUNCTION("""COMPUTED_VALUE"""),44071.66666666667)</f>
        <v>44071.66667</v>
      </c>
      <c r="B161" s="2">
        <f>IFERROR(__xludf.DUMMYFUNCTION("""COMPUTED_VALUE"""),2662.5)</f>
        <v>2662.5</v>
      </c>
      <c r="C161" s="2">
        <f>IFERROR(__xludf.DUMMYFUNCTION("""COMPUTED_VALUE"""),2675.0)</f>
        <v>2675</v>
      </c>
      <c r="D161" s="2">
        <f>IFERROR(__xludf.DUMMYFUNCTION("""COMPUTED_VALUE"""),2612.5)</f>
        <v>2612.5</v>
      </c>
      <c r="E161" s="2">
        <f>IFERROR(__xludf.DUMMYFUNCTION("""COMPUTED_VALUE"""),2625.0)</f>
        <v>2625</v>
      </c>
      <c r="F161" s="2">
        <f>IFERROR(__xludf.DUMMYFUNCTION("""COMPUTED_VALUE"""),4.18979E7)</f>
        <v>41897900</v>
      </c>
      <c r="G161" s="2">
        <f t="shared" si="1"/>
        <v>62.5</v>
      </c>
    </row>
    <row r="162" ht="15.75" customHeight="1">
      <c r="A162" s="1">
        <f>IFERROR(__xludf.DUMMYFUNCTION("""COMPUTED_VALUE"""),44074.66666666667)</f>
        <v>44074.66667</v>
      </c>
      <c r="B162" s="2">
        <f>IFERROR(__xludf.DUMMYFUNCTION("""COMPUTED_VALUE"""),2650.0)</f>
        <v>2650</v>
      </c>
      <c r="C162" s="2">
        <f>IFERROR(__xludf.DUMMYFUNCTION("""COMPUTED_VALUE"""),2662.5)</f>
        <v>2662.5</v>
      </c>
      <c r="D162" s="2">
        <f>IFERROR(__xludf.DUMMYFUNCTION("""COMPUTED_VALUE"""),2500.0)</f>
        <v>2500</v>
      </c>
      <c r="E162" s="2">
        <f>IFERROR(__xludf.DUMMYFUNCTION("""COMPUTED_VALUE"""),2550.0)</f>
        <v>2550</v>
      </c>
      <c r="F162" s="2">
        <f>IFERROR(__xludf.DUMMYFUNCTION("""COMPUTED_VALUE"""),1.2596E8)</f>
        <v>125960000</v>
      </c>
      <c r="G162" s="2">
        <f t="shared" si="1"/>
        <v>162.5</v>
      </c>
    </row>
    <row r="163" ht="15.75" customHeight="1">
      <c r="A163" s="1">
        <f>IFERROR(__xludf.DUMMYFUNCTION("""COMPUTED_VALUE"""),44075.66666666667)</f>
        <v>44075.66667</v>
      </c>
      <c r="B163" s="2">
        <f>IFERROR(__xludf.DUMMYFUNCTION("""COMPUTED_VALUE"""),2575.0)</f>
        <v>2575</v>
      </c>
      <c r="C163" s="2">
        <f>IFERROR(__xludf.DUMMYFUNCTION("""COMPUTED_VALUE"""),2587.5)</f>
        <v>2587.5</v>
      </c>
      <c r="D163" s="2">
        <f>IFERROR(__xludf.DUMMYFUNCTION("""COMPUTED_VALUE"""),2512.5)</f>
        <v>2512.5</v>
      </c>
      <c r="E163" s="2">
        <f>IFERROR(__xludf.DUMMYFUNCTION("""COMPUTED_VALUE"""),2587.5)</f>
        <v>2587.5</v>
      </c>
      <c r="F163" s="2">
        <f>IFERROR(__xludf.DUMMYFUNCTION("""COMPUTED_VALUE"""),5.44419E7)</f>
        <v>54441900</v>
      </c>
      <c r="G163" s="2">
        <f t="shared" si="1"/>
        <v>75</v>
      </c>
    </row>
    <row r="164" ht="15.75" customHeight="1">
      <c r="A164" s="1">
        <f>IFERROR(__xludf.DUMMYFUNCTION("""COMPUTED_VALUE"""),44076.66666666667)</f>
        <v>44076.66667</v>
      </c>
      <c r="B164" s="2">
        <f>IFERROR(__xludf.DUMMYFUNCTION("""COMPUTED_VALUE"""),2625.0)</f>
        <v>2625</v>
      </c>
      <c r="C164" s="2">
        <f>IFERROR(__xludf.DUMMYFUNCTION("""COMPUTED_VALUE"""),2637.5)</f>
        <v>2637.5</v>
      </c>
      <c r="D164" s="2">
        <f>IFERROR(__xludf.DUMMYFUNCTION("""COMPUTED_VALUE"""),2562.5)</f>
        <v>2562.5</v>
      </c>
      <c r="E164" s="2">
        <f>IFERROR(__xludf.DUMMYFUNCTION("""COMPUTED_VALUE"""),2612.5)</f>
        <v>2612.5</v>
      </c>
      <c r="F164" s="2">
        <f>IFERROR(__xludf.DUMMYFUNCTION("""COMPUTED_VALUE"""),4.62074E7)</f>
        <v>46207400</v>
      </c>
      <c r="G164" s="2">
        <f t="shared" si="1"/>
        <v>75</v>
      </c>
    </row>
    <row r="165" ht="15.75" customHeight="1">
      <c r="A165" s="1">
        <f>IFERROR(__xludf.DUMMYFUNCTION("""COMPUTED_VALUE"""),44077.66666666667)</f>
        <v>44077.66667</v>
      </c>
      <c r="B165" s="2">
        <f>IFERROR(__xludf.DUMMYFUNCTION("""COMPUTED_VALUE"""),2637.5)</f>
        <v>2637.5</v>
      </c>
      <c r="C165" s="2">
        <f>IFERROR(__xludf.DUMMYFUNCTION("""COMPUTED_VALUE"""),2687.5)</f>
        <v>2687.5</v>
      </c>
      <c r="D165" s="2">
        <f>IFERROR(__xludf.DUMMYFUNCTION("""COMPUTED_VALUE"""),2625.0)</f>
        <v>2625</v>
      </c>
      <c r="E165" s="2">
        <f>IFERROR(__xludf.DUMMYFUNCTION("""COMPUTED_VALUE"""),2675.0)</f>
        <v>2675</v>
      </c>
      <c r="F165" s="2">
        <f>IFERROR(__xludf.DUMMYFUNCTION("""COMPUTED_VALUE"""),1.339386E8)</f>
        <v>133938600</v>
      </c>
      <c r="G165" s="2">
        <f t="shared" si="1"/>
        <v>75</v>
      </c>
    </row>
    <row r="166" ht="15.75" customHeight="1">
      <c r="A166" s="1">
        <f>IFERROR(__xludf.DUMMYFUNCTION("""COMPUTED_VALUE"""),44078.66666666667)</f>
        <v>44078.66667</v>
      </c>
      <c r="B166" s="2">
        <f>IFERROR(__xludf.DUMMYFUNCTION("""COMPUTED_VALUE"""),2625.0)</f>
        <v>2625</v>
      </c>
      <c r="C166" s="2">
        <f>IFERROR(__xludf.DUMMYFUNCTION("""COMPUTED_VALUE"""),2625.0)</f>
        <v>2625</v>
      </c>
      <c r="D166" s="2">
        <f>IFERROR(__xludf.DUMMYFUNCTION("""COMPUTED_VALUE"""),2562.5)</f>
        <v>2562.5</v>
      </c>
      <c r="E166" s="2">
        <f>IFERROR(__xludf.DUMMYFUNCTION("""COMPUTED_VALUE"""),2612.5)</f>
        <v>2612.5</v>
      </c>
      <c r="F166" s="2">
        <f>IFERROR(__xludf.DUMMYFUNCTION("""COMPUTED_VALUE"""),9.4096E7)</f>
        <v>94096000</v>
      </c>
      <c r="G166" s="2">
        <f t="shared" si="1"/>
        <v>112.5</v>
      </c>
    </row>
    <row r="167" ht="15.75" customHeight="1">
      <c r="A167" s="1">
        <f>IFERROR(__xludf.DUMMYFUNCTION("""COMPUTED_VALUE"""),44081.66666666667)</f>
        <v>44081.66667</v>
      </c>
      <c r="B167" s="2">
        <f>IFERROR(__xludf.DUMMYFUNCTION("""COMPUTED_VALUE"""),2612.5)</f>
        <v>2612.5</v>
      </c>
      <c r="C167" s="2">
        <f>IFERROR(__xludf.DUMMYFUNCTION("""COMPUTED_VALUE"""),2637.5)</f>
        <v>2637.5</v>
      </c>
      <c r="D167" s="2">
        <f>IFERROR(__xludf.DUMMYFUNCTION("""COMPUTED_VALUE"""),2562.5)</f>
        <v>2562.5</v>
      </c>
      <c r="E167" s="2">
        <f>IFERROR(__xludf.DUMMYFUNCTION("""COMPUTED_VALUE"""),2625.0)</f>
        <v>2625</v>
      </c>
      <c r="F167" s="2">
        <f>IFERROR(__xludf.DUMMYFUNCTION("""COMPUTED_VALUE"""),4.09282E7)</f>
        <v>40928200</v>
      </c>
      <c r="G167" s="2">
        <f t="shared" si="1"/>
        <v>75</v>
      </c>
    </row>
    <row r="168" ht="15.75" customHeight="1">
      <c r="A168" s="1">
        <f>IFERROR(__xludf.DUMMYFUNCTION("""COMPUTED_VALUE"""),44082.66666666667)</f>
        <v>44082.66667</v>
      </c>
      <c r="B168" s="2">
        <f>IFERROR(__xludf.DUMMYFUNCTION("""COMPUTED_VALUE"""),2650.0)</f>
        <v>2650</v>
      </c>
      <c r="C168" s="2">
        <f>IFERROR(__xludf.DUMMYFUNCTION("""COMPUTED_VALUE"""),2650.0)</f>
        <v>2650</v>
      </c>
      <c r="D168" s="2">
        <f>IFERROR(__xludf.DUMMYFUNCTION("""COMPUTED_VALUE"""),2612.5)</f>
        <v>2612.5</v>
      </c>
      <c r="E168" s="2">
        <f>IFERROR(__xludf.DUMMYFUNCTION("""COMPUTED_VALUE"""),2625.0)</f>
        <v>2625</v>
      </c>
      <c r="F168" s="2">
        <f>IFERROR(__xludf.DUMMYFUNCTION("""COMPUTED_VALUE"""),2.25968E7)</f>
        <v>22596800</v>
      </c>
      <c r="G168" s="2">
        <f t="shared" si="1"/>
        <v>37.5</v>
      </c>
    </row>
    <row r="169" ht="15.75" customHeight="1">
      <c r="A169" s="1">
        <f>IFERROR(__xludf.DUMMYFUNCTION("""COMPUTED_VALUE"""),44083.66666666667)</f>
        <v>44083.66667</v>
      </c>
      <c r="B169" s="2">
        <f>IFERROR(__xludf.DUMMYFUNCTION("""COMPUTED_VALUE"""),2575.0)</f>
        <v>2575</v>
      </c>
      <c r="C169" s="2">
        <f>IFERROR(__xludf.DUMMYFUNCTION("""COMPUTED_VALUE"""),2587.5)</f>
        <v>2587.5</v>
      </c>
      <c r="D169" s="2">
        <f>IFERROR(__xludf.DUMMYFUNCTION("""COMPUTED_VALUE"""),2512.5)</f>
        <v>2512.5</v>
      </c>
      <c r="E169" s="2">
        <f>IFERROR(__xludf.DUMMYFUNCTION("""COMPUTED_VALUE"""),2512.5)</f>
        <v>2512.5</v>
      </c>
      <c r="F169" s="2">
        <f>IFERROR(__xludf.DUMMYFUNCTION("""COMPUTED_VALUE"""),7.34218E7)</f>
        <v>73421800</v>
      </c>
      <c r="G169" s="2">
        <f t="shared" si="1"/>
        <v>112.5</v>
      </c>
    </row>
    <row r="170" ht="15.75" customHeight="1">
      <c r="A170" s="1">
        <f>IFERROR(__xludf.DUMMYFUNCTION("""COMPUTED_VALUE"""),44084.66666666667)</f>
        <v>44084.66667</v>
      </c>
      <c r="B170" s="2">
        <f>IFERROR(__xludf.DUMMYFUNCTION("""COMPUTED_VALUE"""),2390.0)</f>
        <v>2390</v>
      </c>
      <c r="C170" s="2">
        <f>IFERROR(__xludf.DUMMYFUNCTION("""COMPUTED_VALUE"""),2395.0)</f>
        <v>2395</v>
      </c>
      <c r="D170" s="2">
        <f>IFERROR(__xludf.DUMMYFUNCTION("""COMPUTED_VALUE"""),2340.0)</f>
        <v>2340</v>
      </c>
      <c r="E170" s="2">
        <f>IFERROR(__xludf.DUMMYFUNCTION("""COMPUTED_VALUE"""),2340.0)</f>
        <v>2340</v>
      </c>
      <c r="F170" s="2">
        <f>IFERROR(__xludf.DUMMYFUNCTION("""COMPUTED_VALUE"""),1.321027E8)</f>
        <v>132102700</v>
      </c>
      <c r="G170" s="2">
        <f t="shared" si="1"/>
        <v>172.5</v>
      </c>
    </row>
    <row r="171" ht="15.75" customHeight="1">
      <c r="A171" s="1">
        <f>IFERROR(__xludf.DUMMYFUNCTION("""COMPUTED_VALUE"""),44085.66666666667)</f>
        <v>44085.66667</v>
      </c>
      <c r="B171" s="2">
        <f>IFERROR(__xludf.DUMMYFUNCTION("""COMPUTED_VALUE"""),2225.0)</f>
        <v>2225</v>
      </c>
      <c r="C171" s="2">
        <f>IFERROR(__xludf.DUMMYFUNCTION("""COMPUTED_VALUE"""),2440.0)</f>
        <v>2440</v>
      </c>
      <c r="D171" s="2">
        <f>IFERROR(__xludf.DUMMYFUNCTION("""COMPUTED_VALUE"""),2210.0)</f>
        <v>2210</v>
      </c>
      <c r="E171" s="2">
        <f>IFERROR(__xludf.DUMMYFUNCTION("""COMPUTED_VALUE"""),2435.0)</f>
        <v>2435</v>
      </c>
      <c r="F171" s="2">
        <f>IFERROR(__xludf.DUMMYFUNCTION("""COMPUTED_VALUE"""),1.214616E8)</f>
        <v>121461600</v>
      </c>
      <c r="G171" s="2">
        <f t="shared" si="1"/>
        <v>230</v>
      </c>
    </row>
    <row r="172" ht="15.75" customHeight="1">
      <c r="A172" s="1">
        <f>IFERROR(__xludf.DUMMYFUNCTION("""COMPUTED_VALUE"""),44088.66666666667)</f>
        <v>44088.66667</v>
      </c>
      <c r="B172" s="2">
        <f>IFERROR(__xludf.DUMMYFUNCTION("""COMPUTED_VALUE"""),2490.0)</f>
        <v>2490</v>
      </c>
      <c r="C172" s="2">
        <f>IFERROR(__xludf.DUMMYFUNCTION("""COMPUTED_VALUE"""),2525.0)</f>
        <v>2525</v>
      </c>
      <c r="D172" s="2">
        <f>IFERROR(__xludf.DUMMYFUNCTION("""COMPUTED_VALUE"""),2455.0)</f>
        <v>2455</v>
      </c>
      <c r="E172" s="2">
        <f>IFERROR(__xludf.DUMMYFUNCTION("""COMPUTED_VALUE"""),2525.0)</f>
        <v>2525</v>
      </c>
      <c r="F172" s="2">
        <f>IFERROR(__xludf.DUMMYFUNCTION("""COMPUTED_VALUE"""),7.75106E7)</f>
        <v>77510600</v>
      </c>
      <c r="G172" s="2">
        <f t="shared" si="1"/>
        <v>90</v>
      </c>
    </row>
    <row r="173" ht="15.75" customHeight="1">
      <c r="A173" s="1">
        <f>IFERROR(__xludf.DUMMYFUNCTION("""COMPUTED_VALUE"""),44089.66666666667)</f>
        <v>44089.66667</v>
      </c>
      <c r="B173" s="2">
        <f>IFERROR(__xludf.DUMMYFUNCTION("""COMPUTED_VALUE"""),2525.0)</f>
        <v>2525</v>
      </c>
      <c r="C173" s="2">
        <f>IFERROR(__xludf.DUMMYFUNCTION("""COMPUTED_VALUE"""),2550.0)</f>
        <v>2550</v>
      </c>
      <c r="D173" s="2">
        <f>IFERROR(__xludf.DUMMYFUNCTION("""COMPUTED_VALUE"""),2455.0)</f>
        <v>2455</v>
      </c>
      <c r="E173" s="2">
        <f>IFERROR(__xludf.DUMMYFUNCTION("""COMPUTED_VALUE"""),2470.0)</f>
        <v>2470</v>
      </c>
      <c r="F173" s="2">
        <f>IFERROR(__xludf.DUMMYFUNCTION("""COMPUTED_VALUE"""),4.90937E7)</f>
        <v>49093700</v>
      </c>
      <c r="G173" s="2">
        <f t="shared" si="1"/>
        <v>95</v>
      </c>
    </row>
    <row r="174" ht="15.75" customHeight="1">
      <c r="A174" s="1">
        <f>IFERROR(__xludf.DUMMYFUNCTION("""COMPUTED_VALUE"""),44090.66666666667)</f>
        <v>44090.66667</v>
      </c>
      <c r="B174" s="2">
        <f>IFERROR(__xludf.DUMMYFUNCTION("""COMPUTED_VALUE"""),2495.0)</f>
        <v>2495</v>
      </c>
      <c r="C174" s="2">
        <f>IFERROR(__xludf.DUMMYFUNCTION("""COMPUTED_VALUE"""),2495.0)</f>
        <v>2495</v>
      </c>
      <c r="D174" s="2">
        <f>IFERROR(__xludf.DUMMYFUNCTION("""COMPUTED_VALUE"""),2435.0)</f>
        <v>2435</v>
      </c>
      <c r="E174" s="2">
        <f>IFERROR(__xludf.DUMMYFUNCTION("""COMPUTED_VALUE"""),2435.0)</f>
        <v>2435</v>
      </c>
      <c r="F174" s="2">
        <f>IFERROR(__xludf.DUMMYFUNCTION("""COMPUTED_VALUE"""),3.02532E7)</f>
        <v>30253200</v>
      </c>
      <c r="G174" s="2">
        <f t="shared" si="1"/>
        <v>60</v>
      </c>
    </row>
    <row r="175" ht="15.75" customHeight="1">
      <c r="A175" s="1">
        <f>IFERROR(__xludf.DUMMYFUNCTION("""COMPUTED_VALUE"""),44091.66666666667)</f>
        <v>44091.66667</v>
      </c>
      <c r="B175" s="2">
        <f>IFERROR(__xludf.DUMMYFUNCTION("""COMPUTED_VALUE"""),2430.0)</f>
        <v>2430</v>
      </c>
      <c r="C175" s="2">
        <f>IFERROR(__xludf.DUMMYFUNCTION("""COMPUTED_VALUE"""),2445.0)</f>
        <v>2445</v>
      </c>
      <c r="D175" s="2">
        <f>IFERROR(__xludf.DUMMYFUNCTION("""COMPUTED_VALUE"""),2350.0)</f>
        <v>2350</v>
      </c>
      <c r="E175" s="2">
        <f>IFERROR(__xludf.DUMMYFUNCTION("""COMPUTED_VALUE"""),2360.0)</f>
        <v>2360</v>
      </c>
      <c r="F175" s="2">
        <f>IFERROR(__xludf.DUMMYFUNCTION("""COMPUTED_VALUE"""),6.20865E7)</f>
        <v>62086500</v>
      </c>
      <c r="G175" s="2">
        <f t="shared" si="1"/>
        <v>95</v>
      </c>
    </row>
    <row r="176" ht="15.75" customHeight="1">
      <c r="A176" s="1">
        <f>IFERROR(__xludf.DUMMYFUNCTION("""COMPUTED_VALUE"""),44092.66666666667)</f>
        <v>44092.66667</v>
      </c>
      <c r="B176" s="2">
        <f>IFERROR(__xludf.DUMMYFUNCTION("""COMPUTED_VALUE"""),2360.0)</f>
        <v>2360</v>
      </c>
      <c r="C176" s="2">
        <f>IFERROR(__xludf.DUMMYFUNCTION("""COMPUTED_VALUE"""),2405.0)</f>
        <v>2405</v>
      </c>
      <c r="D176" s="2">
        <f>IFERROR(__xludf.DUMMYFUNCTION("""COMPUTED_VALUE"""),2350.0)</f>
        <v>2350</v>
      </c>
      <c r="E176" s="2">
        <f>IFERROR(__xludf.DUMMYFUNCTION("""COMPUTED_VALUE"""),2370.0)</f>
        <v>2370</v>
      </c>
      <c r="F176" s="2">
        <f>IFERROR(__xludf.DUMMYFUNCTION("""COMPUTED_VALUE"""),4.36501E7)</f>
        <v>43650100</v>
      </c>
      <c r="G176" s="2">
        <f t="shared" si="1"/>
        <v>55</v>
      </c>
    </row>
    <row r="177" ht="15.75" customHeight="1">
      <c r="A177" s="1">
        <f>IFERROR(__xludf.DUMMYFUNCTION("""COMPUTED_VALUE"""),44095.66666666667)</f>
        <v>44095.66667</v>
      </c>
      <c r="B177" s="2">
        <f>IFERROR(__xludf.DUMMYFUNCTION("""COMPUTED_VALUE"""),2380.0)</f>
        <v>2380</v>
      </c>
      <c r="C177" s="2">
        <f>IFERROR(__xludf.DUMMYFUNCTION("""COMPUTED_VALUE"""),2380.0)</f>
        <v>2380</v>
      </c>
      <c r="D177" s="2">
        <f>IFERROR(__xludf.DUMMYFUNCTION("""COMPUTED_VALUE"""),2275.0)</f>
        <v>2275</v>
      </c>
      <c r="E177" s="2">
        <f>IFERROR(__xludf.DUMMYFUNCTION("""COMPUTED_VALUE"""),2295.0)</f>
        <v>2295</v>
      </c>
      <c r="F177" s="2">
        <f>IFERROR(__xludf.DUMMYFUNCTION("""COMPUTED_VALUE"""),4.40156E7)</f>
        <v>44015600</v>
      </c>
      <c r="G177" s="2">
        <f t="shared" si="1"/>
        <v>105</v>
      </c>
    </row>
    <row r="178" ht="15.75" customHeight="1">
      <c r="A178" s="1">
        <f>IFERROR(__xludf.DUMMYFUNCTION("""COMPUTED_VALUE"""),44096.66666666667)</f>
        <v>44096.66667</v>
      </c>
      <c r="B178" s="2">
        <f>IFERROR(__xludf.DUMMYFUNCTION("""COMPUTED_VALUE"""),2250.0)</f>
        <v>2250</v>
      </c>
      <c r="C178" s="2">
        <f>IFERROR(__xludf.DUMMYFUNCTION("""COMPUTED_VALUE"""),2320.0)</f>
        <v>2320</v>
      </c>
      <c r="D178" s="2">
        <f>IFERROR(__xludf.DUMMYFUNCTION("""COMPUTED_VALUE"""),2230.0)</f>
        <v>2230</v>
      </c>
      <c r="E178" s="2">
        <f>IFERROR(__xludf.DUMMYFUNCTION("""COMPUTED_VALUE"""),2270.0)</f>
        <v>2270</v>
      </c>
      <c r="F178" s="2">
        <f>IFERROR(__xludf.DUMMYFUNCTION("""COMPUTED_VALUE"""),4.82404E7)</f>
        <v>48240400</v>
      </c>
      <c r="G178" s="2">
        <f t="shared" si="1"/>
        <v>90</v>
      </c>
    </row>
    <row r="179" ht="15.75" customHeight="1">
      <c r="A179" s="1">
        <f>IFERROR(__xludf.DUMMYFUNCTION("""COMPUTED_VALUE"""),44097.66666666667)</f>
        <v>44097.66667</v>
      </c>
      <c r="B179" s="2">
        <f>IFERROR(__xludf.DUMMYFUNCTION("""COMPUTED_VALUE"""),2285.0)</f>
        <v>2285</v>
      </c>
      <c r="C179" s="2">
        <f>IFERROR(__xludf.DUMMYFUNCTION("""COMPUTED_VALUE"""),2300.0)</f>
        <v>2300</v>
      </c>
      <c r="D179" s="2">
        <f>IFERROR(__xludf.DUMMYFUNCTION("""COMPUTED_VALUE"""),2180.0)</f>
        <v>2180</v>
      </c>
      <c r="E179" s="2">
        <f>IFERROR(__xludf.DUMMYFUNCTION("""COMPUTED_VALUE"""),2210.0)</f>
        <v>2210</v>
      </c>
      <c r="F179" s="2">
        <f>IFERROR(__xludf.DUMMYFUNCTION("""COMPUTED_VALUE"""),5.58145E7)</f>
        <v>55814500</v>
      </c>
      <c r="G179" s="2">
        <f t="shared" si="1"/>
        <v>120</v>
      </c>
    </row>
    <row r="180" ht="15.75" customHeight="1">
      <c r="A180" s="1">
        <f>IFERROR(__xludf.DUMMYFUNCTION("""COMPUTED_VALUE"""),44098.66666666667)</f>
        <v>44098.66667</v>
      </c>
      <c r="B180" s="2">
        <f>IFERROR(__xludf.DUMMYFUNCTION("""COMPUTED_VALUE"""),2180.0)</f>
        <v>2180</v>
      </c>
      <c r="C180" s="2">
        <f>IFERROR(__xludf.DUMMYFUNCTION("""COMPUTED_VALUE"""),2200.0)</f>
        <v>2200</v>
      </c>
      <c r="D180" s="2">
        <f>IFERROR(__xludf.DUMMYFUNCTION("""COMPUTED_VALUE"""),2155.0)</f>
        <v>2155</v>
      </c>
      <c r="E180" s="2">
        <f>IFERROR(__xludf.DUMMYFUNCTION("""COMPUTED_VALUE"""),2165.0)</f>
        <v>2165</v>
      </c>
      <c r="F180" s="2">
        <f>IFERROR(__xludf.DUMMYFUNCTION("""COMPUTED_VALUE"""),5.07745E7)</f>
        <v>50774500</v>
      </c>
      <c r="G180" s="2">
        <f t="shared" si="1"/>
        <v>55</v>
      </c>
    </row>
    <row r="181" ht="15.75" customHeight="1">
      <c r="A181" s="1">
        <f>IFERROR(__xludf.DUMMYFUNCTION("""COMPUTED_VALUE"""),44099.66666666667)</f>
        <v>44099.66667</v>
      </c>
      <c r="B181" s="2">
        <f>IFERROR(__xludf.DUMMYFUNCTION("""COMPUTED_VALUE"""),2180.0)</f>
        <v>2180</v>
      </c>
      <c r="C181" s="2">
        <f>IFERROR(__xludf.DUMMYFUNCTION("""COMPUTED_VALUE"""),2300.0)</f>
        <v>2300</v>
      </c>
      <c r="D181" s="2">
        <f>IFERROR(__xludf.DUMMYFUNCTION("""COMPUTED_VALUE"""),2180.0)</f>
        <v>2180</v>
      </c>
      <c r="E181" s="2">
        <f>IFERROR(__xludf.DUMMYFUNCTION("""COMPUTED_VALUE"""),2300.0)</f>
        <v>2300</v>
      </c>
      <c r="F181" s="2">
        <f>IFERROR(__xludf.DUMMYFUNCTION("""COMPUTED_VALUE"""),5.49923E7)</f>
        <v>54992300</v>
      </c>
      <c r="G181" s="2">
        <f t="shared" si="1"/>
        <v>135</v>
      </c>
    </row>
    <row r="182" ht="15.75" customHeight="1">
      <c r="A182" s="1">
        <f>IFERROR(__xludf.DUMMYFUNCTION("""COMPUTED_VALUE"""),44102.66666666667)</f>
        <v>44102.66667</v>
      </c>
      <c r="B182" s="2">
        <f>IFERROR(__xludf.DUMMYFUNCTION("""COMPUTED_VALUE"""),2325.0)</f>
        <v>2325</v>
      </c>
      <c r="C182" s="2">
        <f>IFERROR(__xludf.DUMMYFUNCTION("""COMPUTED_VALUE"""),2345.0)</f>
        <v>2345</v>
      </c>
      <c r="D182" s="2">
        <f>IFERROR(__xludf.DUMMYFUNCTION("""COMPUTED_VALUE"""),2250.0)</f>
        <v>2250</v>
      </c>
      <c r="E182" s="2">
        <f>IFERROR(__xludf.DUMMYFUNCTION("""COMPUTED_VALUE"""),2270.0)</f>
        <v>2270</v>
      </c>
      <c r="F182" s="2">
        <f>IFERROR(__xludf.DUMMYFUNCTION("""COMPUTED_VALUE"""),3.10594E7)</f>
        <v>31059400</v>
      </c>
      <c r="G182" s="2">
        <f t="shared" si="1"/>
        <v>95</v>
      </c>
    </row>
    <row r="183" ht="15.75" customHeight="1">
      <c r="A183" s="1">
        <f>IFERROR(__xludf.DUMMYFUNCTION("""COMPUTED_VALUE"""),44103.66666666667)</f>
        <v>44103.66667</v>
      </c>
      <c r="B183" s="2">
        <f>IFERROR(__xludf.DUMMYFUNCTION("""COMPUTED_VALUE"""),2300.0)</f>
        <v>2300</v>
      </c>
      <c r="C183" s="2">
        <f>IFERROR(__xludf.DUMMYFUNCTION("""COMPUTED_VALUE"""),2325.0)</f>
        <v>2325</v>
      </c>
      <c r="D183" s="2">
        <f>IFERROR(__xludf.DUMMYFUNCTION("""COMPUTED_VALUE"""),2235.0)</f>
        <v>2235</v>
      </c>
      <c r="E183" s="2">
        <f>IFERROR(__xludf.DUMMYFUNCTION("""COMPUTED_VALUE"""),2255.0)</f>
        <v>2255</v>
      </c>
      <c r="F183" s="2">
        <f>IFERROR(__xludf.DUMMYFUNCTION("""COMPUTED_VALUE"""),4.223E7)</f>
        <v>42230000</v>
      </c>
      <c r="G183" s="2">
        <f t="shared" si="1"/>
        <v>90</v>
      </c>
    </row>
    <row r="184" ht="15.75" customHeight="1">
      <c r="A184" s="1">
        <f>IFERROR(__xludf.DUMMYFUNCTION("""COMPUTED_VALUE"""),44104.66666666667)</f>
        <v>44104.66667</v>
      </c>
      <c r="B184" s="2">
        <f>IFERROR(__xludf.DUMMYFUNCTION("""COMPUTED_VALUE"""),2275.0)</f>
        <v>2275</v>
      </c>
      <c r="C184" s="2">
        <f>IFERROR(__xludf.DUMMYFUNCTION("""COMPUTED_VALUE"""),2280.0)</f>
        <v>2280</v>
      </c>
      <c r="D184" s="2">
        <f>IFERROR(__xludf.DUMMYFUNCTION("""COMPUTED_VALUE"""),2185.0)</f>
        <v>2185</v>
      </c>
      <c r="E184" s="2">
        <f>IFERROR(__xludf.DUMMYFUNCTION("""COMPUTED_VALUE"""),2220.0)</f>
        <v>2220</v>
      </c>
      <c r="F184" s="2">
        <f>IFERROR(__xludf.DUMMYFUNCTION("""COMPUTED_VALUE"""),3.19517E7)</f>
        <v>31951700</v>
      </c>
      <c r="G184" s="2">
        <f t="shared" si="1"/>
        <v>95</v>
      </c>
    </row>
    <row r="185" ht="15.75" customHeight="1">
      <c r="A185" s="1">
        <f>IFERROR(__xludf.DUMMYFUNCTION("""COMPUTED_VALUE"""),44105.66666666667)</f>
        <v>44105.66667</v>
      </c>
      <c r="B185" s="2">
        <f>IFERROR(__xludf.DUMMYFUNCTION("""COMPUTED_VALUE"""),2245.0)</f>
        <v>2245</v>
      </c>
      <c r="C185" s="2">
        <f>IFERROR(__xludf.DUMMYFUNCTION("""COMPUTED_VALUE"""),2290.0)</f>
        <v>2290</v>
      </c>
      <c r="D185" s="2">
        <f>IFERROR(__xludf.DUMMYFUNCTION("""COMPUTED_VALUE"""),2235.0)</f>
        <v>2235</v>
      </c>
      <c r="E185" s="2">
        <f>IFERROR(__xludf.DUMMYFUNCTION("""COMPUTED_VALUE"""),2285.0)</f>
        <v>2285</v>
      </c>
      <c r="F185" s="2">
        <f>IFERROR(__xludf.DUMMYFUNCTION("""COMPUTED_VALUE"""),2.5883E7)</f>
        <v>25883000</v>
      </c>
      <c r="G185" s="2">
        <f t="shared" si="1"/>
        <v>70</v>
      </c>
    </row>
    <row r="186" ht="15.75" customHeight="1">
      <c r="A186" s="1">
        <f>IFERROR(__xludf.DUMMYFUNCTION("""COMPUTED_VALUE"""),44106.66666666667)</f>
        <v>44106.66667</v>
      </c>
      <c r="B186" s="2">
        <f>IFERROR(__xludf.DUMMYFUNCTION("""COMPUTED_VALUE"""),2290.0)</f>
        <v>2290</v>
      </c>
      <c r="C186" s="2">
        <f>IFERROR(__xludf.DUMMYFUNCTION("""COMPUTED_VALUE"""),2295.0)</f>
        <v>2295</v>
      </c>
      <c r="D186" s="2">
        <f>IFERROR(__xludf.DUMMYFUNCTION("""COMPUTED_VALUE"""),2190.0)</f>
        <v>2190</v>
      </c>
      <c r="E186" s="2">
        <f>IFERROR(__xludf.DUMMYFUNCTION("""COMPUTED_VALUE"""),2255.0)</f>
        <v>2255</v>
      </c>
      <c r="F186" s="2">
        <f>IFERROR(__xludf.DUMMYFUNCTION("""COMPUTED_VALUE"""),3.07155E7)</f>
        <v>30715500</v>
      </c>
      <c r="G186" s="2">
        <f t="shared" si="1"/>
        <v>105</v>
      </c>
    </row>
    <row r="187" ht="15.75" customHeight="1">
      <c r="A187" s="1">
        <f>IFERROR(__xludf.DUMMYFUNCTION("""COMPUTED_VALUE"""),44109.66666666667)</f>
        <v>44109.66667</v>
      </c>
      <c r="B187" s="2">
        <f>IFERROR(__xludf.DUMMYFUNCTION("""COMPUTED_VALUE"""),2270.0)</f>
        <v>2270</v>
      </c>
      <c r="C187" s="2">
        <f>IFERROR(__xludf.DUMMYFUNCTION("""COMPUTED_VALUE"""),2310.0)</f>
        <v>2310</v>
      </c>
      <c r="D187" s="2">
        <f>IFERROR(__xludf.DUMMYFUNCTION("""COMPUTED_VALUE"""),2250.0)</f>
        <v>2250</v>
      </c>
      <c r="E187" s="2">
        <f>IFERROR(__xludf.DUMMYFUNCTION("""COMPUTED_VALUE"""),2310.0)</f>
        <v>2310</v>
      </c>
      <c r="F187" s="2">
        <f>IFERROR(__xludf.DUMMYFUNCTION("""COMPUTED_VALUE"""),2.98571E7)</f>
        <v>29857100</v>
      </c>
      <c r="G187" s="2">
        <f t="shared" si="1"/>
        <v>60</v>
      </c>
    </row>
    <row r="188" ht="15.75" customHeight="1">
      <c r="A188" s="1">
        <f>IFERROR(__xludf.DUMMYFUNCTION("""COMPUTED_VALUE"""),44110.66666666667)</f>
        <v>44110.66667</v>
      </c>
      <c r="B188" s="2">
        <f>IFERROR(__xludf.DUMMYFUNCTION("""COMPUTED_VALUE"""),2355.0)</f>
        <v>2355</v>
      </c>
      <c r="C188" s="2">
        <f>IFERROR(__xludf.DUMMYFUNCTION("""COMPUTED_VALUE"""),2370.0)</f>
        <v>2370</v>
      </c>
      <c r="D188" s="2">
        <f>IFERROR(__xludf.DUMMYFUNCTION("""COMPUTED_VALUE"""),2325.0)</f>
        <v>2325</v>
      </c>
      <c r="E188" s="2">
        <f>IFERROR(__xludf.DUMMYFUNCTION("""COMPUTED_VALUE"""),2335.0)</f>
        <v>2335</v>
      </c>
      <c r="F188" s="2">
        <f>IFERROR(__xludf.DUMMYFUNCTION("""COMPUTED_VALUE"""),4.90341E7)</f>
        <v>49034100</v>
      </c>
      <c r="G188" s="2">
        <f t="shared" si="1"/>
        <v>60</v>
      </c>
    </row>
    <row r="189" ht="15.75" customHeight="1">
      <c r="A189" s="1">
        <f>IFERROR(__xludf.DUMMYFUNCTION("""COMPUTED_VALUE"""),44111.66666666667)</f>
        <v>44111.66667</v>
      </c>
      <c r="B189" s="2">
        <f>IFERROR(__xludf.DUMMYFUNCTION("""COMPUTED_VALUE"""),2310.0)</f>
        <v>2310</v>
      </c>
      <c r="C189" s="2">
        <f>IFERROR(__xludf.DUMMYFUNCTION("""COMPUTED_VALUE"""),2345.0)</f>
        <v>2345</v>
      </c>
      <c r="D189" s="2">
        <f>IFERROR(__xludf.DUMMYFUNCTION("""COMPUTED_VALUE"""),2305.0)</f>
        <v>2305</v>
      </c>
      <c r="E189" s="2">
        <f>IFERROR(__xludf.DUMMYFUNCTION("""COMPUTED_VALUE"""),2335.0)</f>
        <v>2335</v>
      </c>
      <c r="F189" s="2">
        <f>IFERROR(__xludf.DUMMYFUNCTION("""COMPUTED_VALUE"""),2.41017E7)</f>
        <v>24101700</v>
      </c>
      <c r="G189" s="2">
        <f t="shared" si="1"/>
        <v>40</v>
      </c>
    </row>
    <row r="190" ht="15.75" customHeight="1">
      <c r="A190" s="1">
        <f>IFERROR(__xludf.DUMMYFUNCTION("""COMPUTED_VALUE"""),44112.66666666667)</f>
        <v>44112.66667</v>
      </c>
      <c r="B190" s="2">
        <f>IFERROR(__xludf.DUMMYFUNCTION("""COMPUTED_VALUE"""),2360.0)</f>
        <v>2360</v>
      </c>
      <c r="C190" s="2">
        <f>IFERROR(__xludf.DUMMYFUNCTION("""COMPUTED_VALUE"""),2360.0)</f>
        <v>2360</v>
      </c>
      <c r="D190" s="2">
        <f>IFERROR(__xludf.DUMMYFUNCTION("""COMPUTED_VALUE"""),2325.0)</f>
        <v>2325</v>
      </c>
      <c r="E190" s="2">
        <f>IFERROR(__xludf.DUMMYFUNCTION("""COMPUTED_VALUE"""),2335.0)</f>
        <v>2335</v>
      </c>
      <c r="F190" s="2">
        <f>IFERROR(__xludf.DUMMYFUNCTION("""COMPUTED_VALUE"""),2.10834E7)</f>
        <v>21083400</v>
      </c>
      <c r="G190" s="2">
        <f t="shared" si="1"/>
        <v>35</v>
      </c>
    </row>
    <row r="191" ht="15.75" customHeight="1">
      <c r="A191" s="1">
        <f>IFERROR(__xludf.DUMMYFUNCTION("""COMPUTED_VALUE"""),44113.66666666667)</f>
        <v>44113.66667</v>
      </c>
      <c r="B191" s="2">
        <f>IFERROR(__xludf.DUMMYFUNCTION("""COMPUTED_VALUE"""),2350.0)</f>
        <v>2350</v>
      </c>
      <c r="C191" s="2">
        <f>IFERROR(__xludf.DUMMYFUNCTION("""COMPUTED_VALUE"""),2350.0)</f>
        <v>2350</v>
      </c>
      <c r="D191" s="2">
        <f>IFERROR(__xludf.DUMMYFUNCTION("""COMPUTED_VALUE"""),2310.0)</f>
        <v>2310</v>
      </c>
      <c r="E191" s="2">
        <f>IFERROR(__xludf.DUMMYFUNCTION("""COMPUTED_VALUE"""),2320.0)</f>
        <v>2320</v>
      </c>
      <c r="F191" s="2">
        <f>IFERROR(__xludf.DUMMYFUNCTION("""COMPUTED_VALUE"""),2.55052E7)</f>
        <v>25505200</v>
      </c>
      <c r="G191" s="2">
        <f t="shared" si="1"/>
        <v>40</v>
      </c>
    </row>
    <row r="192" ht="15.75" customHeight="1">
      <c r="A192" s="1">
        <f>IFERROR(__xludf.DUMMYFUNCTION("""COMPUTED_VALUE"""),44116.66666666667)</f>
        <v>44116.66667</v>
      </c>
      <c r="B192" s="2">
        <f>IFERROR(__xludf.DUMMYFUNCTION("""COMPUTED_VALUE"""),2345.0)</f>
        <v>2345</v>
      </c>
      <c r="C192" s="2">
        <f>IFERROR(__xludf.DUMMYFUNCTION("""COMPUTED_VALUE"""),2355.0)</f>
        <v>2355</v>
      </c>
      <c r="D192" s="2">
        <f>IFERROR(__xludf.DUMMYFUNCTION("""COMPUTED_VALUE"""),2330.0)</f>
        <v>2330</v>
      </c>
      <c r="E192" s="2">
        <f>IFERROR(__xludf.DUMMYFUNCTION("""COMPUTED_VALUE"""),2335.0)</f>
        <v>2335</v>
      </c>
      <c r="F192" s="2">
        <f>IFERROR(__xludf.DUMMYFUNCTION("""COMPUTED_VALUE"""),3.16445E7)</f>
        <v>31644500</v>
      </c>
      <c r="G192" s="2">
        <f t="shared" si="1"/>
        <v>35</v>
      </c>
    </row>
    <row r="193" ht="15.75" customHeight="1">
      <c r="A193" s="1">
        <f>IFERROR(__xludf.DUMMYFUNCTION("""COMPUTED_VALUE"""),44117.66666666667)</f>
        <v>44117.66667</v>
      </c>
      <c r="B193" s="2">
        <f>IFERROR(__xludf.DUMMYFUNCTION("""COMPUTED_VALUE"""),2335.0)</f>
        <v>2335</v>
      </c>
      <c r="C193" s="2">
        <f>IFERROR(__xludf.DUMMYFUNCTION("""COMPUTED_VALUE"""),2390.0)</f>
        <v>2390</v>
      </c>
      <c r="D193" s="2">
        <f>IFERROR(__xludf.DUMMYFUNCTION("""COMPUTED_VALUE"""),2310.0)</f>
        <v>2310</v>
      </c>
      <c r="E193" s="2">
        <f>IFERROR(__xludf.DUMMYFUNCTION("""COMPUTED_VALUE"""),2380.0)</f>
        <v>2380</v>
      </c>
      <c r="F193" s="2">
        <f>IFERROR(__xludf.DUMMYFUNCTION("""COMPUTED_VALUE"""),4.52562E7)</f>
        <v>45256200</v>
      </c>
      <c r="G193" s="2">
        <f t="shared" si="1"/>
        <v>80</v>
      </c>
    </row>
    <row r="194" ht="15.75" customHeight="1">
      <c r="A194" s="1">
        <f>IFERROR(__xludf.DUMMYFUNCTION("""COMPUTED_VALUE"""),44118.66666666667)</f>
        <v>44118.66667</v>
      </c>
      <c r="B194" s="2">
        <f>IFERROR(__xludf.DUMMYFUNCTION("""COMPUTED_VALUE"""),2380.0)</f>
        <v>2380</v>
      </c>
      <c r="C194" s="2">
        <f>IFERROR(__xludf.DUMMYFUNCTION("""COMPUTED_VALUE"""),2475.0)</f>
        <v>2475</v>
      </c>
      <c r="D194" s="2">
        <f>IFERROR(__xludf.DUMMYFUNCTION("""COMPUTED_VALUE"""),2380.0)</f>
        <v>2380</v>
      </c>
      <c r="E194" s="2">
        <f>IFERROR(__xludf.DUMMYFUNCTION("""COMPUTED_VALUE"""),2475.0)</f>
        <v>2475</v>
      </c>
      <c r="F194" s="2">
        <f>IFERROR(__xludf.DUMMYFUNCTION("""COMPUTED_VALUE"""),6.69203E7)</f>
        <v>66920300</v>
      </c>
      <c r="G194" s="2">
        <f t="shared" si="1"/>
        <v>95</v>
      </c>
    </row>
    <row r="195" ht="15.75" customHeight="1">
      <c r="A195" s="1">
        <f>IFERROR(__xludf.DUMMYFUNCTION("""COMPUTED_VALUE"""),44119.66666666667)</f>
        <v>44119.66667</v>
      </c>
      <c r="B195" s="2">
        <f>IFERROR(__xludf.DUMMYFUNCTION("""COMPUTED_VALUE"""),2475.0)</f>
        <v>2475</v>
      </c>
      <c r="C195" s="2">
        <f>IFERROR(__xludf.DUMMYFUNCTION("""COMPUTED_VALUE"""),2475.0)</f>
        <v>2475</v>
      </c>
      <c r="D195" s="2">
        <f>IFERROR(__xludf.DUMMYFUNCTION("""COMPUTED_VALUE"""),2390.0)</f>
        <v>2390</v>
      </c>
      <c r="E195" s="2">
        <f>IFERROR(__xludf.DUMMYFUNCTION("""COMPUTED_VALUE"""),2390.0)</f>
        <v>2390</v>
      </c>
      <c r="F195" s="2">
        <f>IFERROR(__xludf.DUMMYFUNCTION("""COMPUTED_VALUE"""),5.32197E7)</f>
        <v>53219700</v>
      </c>
      <c r="G195" s="2">
        <f t="shared" si="1"/>
        <v>85</v>
      </c>
    </row>
    <row r="196" ht="15.75" customHeight="1">
      <c r="A196" s="1">
        <f>IFERROR(__xludf.DUMMYFUNCTION("""COMPUTED_VALUE"""),44120.66666666667)</f>
        <v>44120.66667</v>
      </c>
      <c r="B196" s="2">
        <f>IFERROR(__xludf.DUMMYFUNCTION("""COMPUTED_VALUE"""),2425.0)</f>
        <v>2425</v>
      </c>
      <c r="C196" s="2">
        <f>IFERROR(__xludf.DUMMYFUNCTION("""COMPUTED_VALUE"""),2430.0)</f>
        <v>2430</v>
      </c>
      <c r="D196" s="2">
        <f>IFERROR(__xludf.DUMMYFUNCTION("""COMPUTED_VALUE"""),2380.0)</f>
        <v>2380</v>
      </c>
      <c r="E196" s="2">
        <f>IFERROR(__xludf.DUMMYFUNCTION("""COMPUTED_VALUE"""),2405.0)</f>
        <v>2405</v>
      </c>
      <c r="F196" s="2">
        <f>IFERROR(__xludf.DUMMYFUNCTION("""COMPUTED_VALUE"""),2.70575E7)</f>
        <v>27057500</v>
      </c>
      <c r="G196" s="2">
        <f t="shared" si="1"/>
        <v>50</v>
      </c>
    </row>
    <row r="197" ht="15.75" customHeight="1">
      <c r="A197" s="1">
        <f>IFERROR(__xludf.DUMMYFUNCTION("""COMPUTED_VALUE"""),44123.66666666667)</f>
        <v>44123.66667</v>
      </c>
      <c r="B197" s="2">
        <f>IFERROR(__xludf.DUMMYFUNCTION("""COMPUTED_VALUE"""),2425.0)</f>
        <v>2425</v>
      </c>
      <c r="C197" s="2">
        <f>IFERROR(__xludf.DUMMYFUNCTION("""COMPUTED_VALUE"""),2450.0)</f>
        <v>2450</v>
      </c>
      <c r="D197" s="2">
        <f>IFERROR(__xludf.DUMMYFUNCTION("""COMPUTED_VALUE"""),2410.0)</f>
        <v>2410</v>
      </c>
      <c r="E197" s="2">
        <f>IFERROR(__xludf.DUMMYFUNCTION("""COMPUTED_VALUE"""),2445.0)</f>
        <v>2445</v>
      </c>
      <c r="F197" s="2">
        <f>IFERROR(__xludf.DUMMYFUNCTION("""COMPUTED_VALUE"""),3.65076E7)</f>
        <v>36507600</v>
      </c>
      <c r="G197" s="2">
        <f t="shared" si="1"/>
        <v>45</v>
      </c>
    </row>
    <row r="198" ht="15.75" customHeight="1">
      <c r="A198" s="1">
        <f>IFERROR(__xludf.DUMMYFUNCTION("""COMPUTED_VALUE"""),44124.66666666667)</f>
        <v>44124.66667</v>
      </c>
      <c r="B198" s="2">
        <f>IFERROR(__xludf.DUMMYFUNCTION("""COMPUTED_VALUE"""),2435.0)</f>
        <v>2435</v>
      </c>
      <c r="C198" s="2">
        <f>IFERROR(__xludf.DUMMYFUNCTION("""COMPUTED_VALUE"""),2445.0)</f>
        <v>2445</v>
      </c>
      <c r="D198" s="2">
        <f>IFERROR(__xludf.DUMMYFUNCTION("""COMPUTED_VALUE"""),2405.0)</f>
        <v>2405</v>
      </c>
      <c r="E198" s="2">
        <f>IFERROR(__xludf.DUMMYFUNCTION("""COMPUTED_VALUE"""),2405.0)</f>
        <v>2405</v>
      </c>
      <c r="F198" s="2">
        <f>IFERROR(__xludf.DUMMYFUNCTION("""COMPUTED_VALUE"""),2.86284E7)</f>
        <v>28628400</v>
      </c>
      <c r="G198" s="2">
        <f t="shared" si="1"/>
        <v>40</v>
      </c>
    </row>
    <row r="199" ht="15.75" customHeight="1">
      <c r="A199" s="1">
        <f>IFERROR(__xludf.DUMMYFUNCTION("""COMPUTED_VALUE"""),44125.66666666667)</f>
        <v>44125.66667</v>
      </c>
      <c r="B199" s="2">
        <f>IFERROR(__xludf.DUMMYFUNCTION("""COMPUTED_VALUE"""),2425.0)</f>
        <v>2425</v>
      </c>
      <c r="C199" s="2">
        <f>IFERROR(__xludf.DUMMYFUNCTION("""COMPUTED_VALUE"""),2465.0)</f>
        <v>2465</v>
      </c>
      <c r="D199" s="2">
        <f>IFERROR(__xludf.DUMMYFUNCTION("""COMPUTED_VALUE"""),2425.0)</f>
        <v>2425</v>
      </c>
      <c r="E199" s="2">
        <f>IFERROR(__xludf.DUMMYFUNCTION("""COMPUTED_VALUE"""),2440.0)</f>
        <v>2440</v>
      </c>
      <c r="F199" s="2">
        <f>IFERROR(__xludf.DUMMYFUNCTION("""COMPUTED_VALUE"""),4.46963E7)</f>
        <v>44696300</v>
      </c>
      <c r="G199" s="2">
        <f t="shared" si="1"/>
        <v>60</v>
      </c>
    </row>
    <row r="200" ht="15.75" customHeight="1">
      <c r="A200" s="1">
        <f>IFERROR(__xludf.DUMMYFUNCTION("""COMPUTED_VALUE"""),44126.66666666667)</f>
        <v>44126.66667</v>
      </c>
      <c r="B200" s="2">
        <f>IFERROR(__xludf.DUMMYFUNCTION("""COMPUTED_VALUE"""),2415.0)</f>
        <v>2415</v>
      </c>
      <c r="C200" s="2">
        <f>IFERROR(__xludf.DUMMYFUNCTION("""COMPUTED_VALUE"""),2440.0)</f>
        <v>2440</v>
      </c>
      <c r="D200" s="2">
        <f>IFERROR(__xludf.DUMMYFUNCTION("""COMPUTED_VALUE"""),2415.0)</f>
        <v>2415</v>
      </c>
      <c r="E200" s="2">
        <f>IFERROR(__xludf.DUMMYFUNCTION("""COMPUTED_VALUE"""),2430.0)</f>
        <v>2430</v>
      </c>
      <c r="F200" s="2">
        <f>IFERROR(__xludf.DUMMYFUNCTION("""COMPUTED_VALUE"""),2.22891E7)</f>
        <v>22289100</v>
      </c>
      <c r="G200" s="2">
        <f t="shared" si="1"/>
        <v>25</v>
      </c>
    </row>
    <row r="201" ht="15.75" customHeight="1">
      <c r="A201" s="1">
        <f>IFERROR(__xludf.DUMMYFUNCTION("""COMPUTED_VALUE"""),44127.66666666667)</f>
        <v>44127.66667</v>
      </c>
      <c r="B201" s="2">
        <f>IFERROR(__xludf.DUMMYFUNCTION("""COMPUTED_VALUE"""),2430.0)</f>
        <v>2430</v>
      </c>
      <c r="C201" s="2">
        <f>IFERROR(__xludf.DUMMYFUNCTION("""COMPUTED_VALUE"""),2450.0)</f>
        <v>2450</v>
      </c>
      <c r="D201" s="2">
        <f>IFERROR(__xludf.DUMMYFUNCTION("""COMPUTED_VALUE"""),2420.0)</f>
        <v>2420</v>
      </c>
      <c r="E201" s="2">
        <f>IFERROR(__xludf.DUMMYFUNCTION("""COMPUTED_VALUE"""),2425.0)</f>
        <v>2425</v>
      </c>
      <c r="F201" s="2">
        <f>IFERROR(__xludf.DUMMYFUNCTION("""COMPUTED_VALUE"""),2.31111E7)</f>
        <v>23111100</v>
      </c>
      <c r="G201" s="2">
        <f t="shared" si="1"/>
        <v>30</v>
      </c>
    </row>
    <row r="202" ht="15.75" customHeight="1">
      <c r="A202" s="1">
        <f>IFERROR(__xludf.DUMMYFUNCTION("""COMPUTED_VALUE"""),44130.66666666667)</f>
        <v>44130.66667</v>
      </c>
      <c r="B202" s="2">
        <f>IFERROR(__xludf.DUMMYFUNCTION("""COMPUTED_VALUE"""),2435.0)</f>
        <v>2435</v>
      </c>
      <c r="C202" s="2">
        <f>IFERROR(__xludf.DUMMYFUNCTION("""COMPUTED_VALUE"""),2460.0)</f>
        <v>2460</v>
      </c>
      <c r="D202" s="2">
        <f>IFERROR(__xludf.DUMMYFUNCTION("""COMPUTED_VALUE"""),2415.0)</f>
        <v>2415</v>
      </c>
      <c r="E202" s="2">
        <f>IFERROR(__xludf.DUMMYFUNCTION("""COMPUTED_VALUE"""),2425.0)</f>
        <v>2425</v>
      </c>
      <c r="F202" s="2">
        <f>IFERROR(__xludf.DUMMYFUNCTION("""COMPUTED_VALUE"""),5.64836E7)</f>
        <v>56483600</v>
      </c>
      <c r="G202" s="2">
        <f t="shared" si="1"/>
        <v>45</v>
      </c>
    </row>
    <row r="203" ht="15.75" customHeight="1">
      <c r="A203" s="1">
        <f>IFERROR(__xludf.DUMMYFUNCTION("""COMPUTED_VALUE"""),44131.66666666667)</f>
        <v>44131.66667</v>
      </c>
      <c r="B203" s="2">
        <f>IFERROR(__xludf.DUMMYFUNCTION("""COMPUTED_VALUE"""),2400.0)</f>
        <v>2400</v>
      </c>
      <c r="C203" s="2">
        <f>IFERROR(__xludf.DUMMYFUNCTION("""COMPUTED_VALUE"""),2425.0)</f>
        <v>2425</v>
      </c>
      <c r="D203" s="2">
        <f>IFERROR(__xludf.DUMMYFUNCTION("""COMPUTED_VALUE"""),2365.0)</f>
        <v>2365</v>
      </c>
      <c r="E203" s="2">
        <f>IFERROR(__xludf.DUMMYFUNCTION("""COMPUTED_VALUE"""),2370.0)</f>
        <v>2370</v>
      </c>
      <c r="F203" s="2">
        <f>IFERROR(__xludf.DUMMYFUNCTION("""COMPUTED_VALUE"""),8.8238E7)</f>
        <v>88238000</v>
      </c>
      <c r="G203" s="2">
        <f t="shared" si="1"/>
        <v>60</v>
      </c>
    </row>
    <row r="204" ht="15.75" customHeight="1">
      <c r="A204" s="1">
        <f>IFERROR(__xludf.DUMMYFUNCTION("""COMPUTED_VALUE"""),44137.66666666667)</f>
        <v>44137.66667</v>
      </c>
      <c r="B204" s="2">
        <f>IFERROR(__xludf.DUMMYFUNCTION("""COMPUTED_VALUE"""),2350.0)</f>
        <v>2350</v>
      </c>
      <c r="C204" s="2">
        <f>IFERROR(__xludf.DUMMYFUNCTION("""COMPUTED_VALUE"""),2355.0)</f>
        <v>2355</v>
      </c>
      <c r="D204" s="2">
        <f>IFERROR(__xludf.DUMMYFUNCTION("""COMPUTED_VALUE"""),2295.0)</f>
        <v>2295</v>
      </c>
      <c r="E204" s="2">
        <f>IFERROR(__xludf.DUMMYFUNCTION("""COMPUTED_VALUE"""),2330.0)</f>
        <v>2330</v>
      </c>
      <c r="F204" s="2">
        <f>IFERROR(__xludf.DUMMYFUNCTION("""COMPUTED_VALUE"""),7.25775E7)</f>
        <v>72577500</v>
      </c>
      <c r="G204" s="2">
        <f t="shared" si="1"/>
        <v>75</v>
      </c>
    </row>
    <row r="205" ht="15.75" customHeight="1">
      <c r="A205" s="1">
        <f>IFERROR(__xludf.DUMMYFUNCTION("""COMPUTED_VALUE"""),44138.66666666667)</f>
        <v>44138.66667</v>
      </c>
      <c r="B205" s="2">
        <f>IFERROR(__xludf.DUMMYFUNCTION("""COMPUTED_VALUE"""),2350.0)</f>
        <v>2350</v>
      </c>
      <c r="C205" s="2">
        <f>IFERROR(__xludf.DUMMYFUNCTION("""COMPUTED_VALUE"""),2370.0)</f>
        <v>2370</v>
      </c>
      <c r="D205" s="2">
        <f>IFERROR(__xludf.DUMMYFUNCTION("""COMPUTED_VALUE"""),2330.0)</f>
        <v>2330</v>
      </c>
      <c r="E205" s="2">
        <f>IFERROR(__xludf.DUMMYFUNCTION("""COMPUTED_VALUE"""),2335.0)</f>
        <v>2335</v>
      </c>
      <c r="F205" s="2">
        <f>IFERROR(__xludf.DUMMYFUNCTION("""COMPUTED_VALUE"""),4.49748E7)</f>
        <v>44974800</v>
      </c>
      <c r="G205" s="2">
        <f t="shared" si="1"/>
        <v>40</v>
      </c>
    </row>
    <row r="206" ht="15.75" customHeight="1">
      <c r="A206" s="1">
        <f>IFERROR(__xludf.DUMMYFUNCTION("""COMPUTED_VALUE"""),44139.66666666667)</f>
        <v>44139.66667</v>
      </c>
      <c r="B206" s="2">
        <f>IFERROR(__xludf.DUMMYFUNCTION("""COMPUTED_VALUE"""),2350.0)</f>
        <v>2350</v>
      </c>
      <c r="C206" s="2">
        <f>IFERROR(__xludf.DUMMYFUNCTION("""COMPUTED_VALUE"""),2360.0)</f>
        <v>2360</v>
      </c>
      <c r="D206" s="2">
        <f>IFERROR(__xludf.DUMMYFUNCTION("""COMPUTED_VALUE"""),2300.0)</f>
        <v>2300</v>
      </c>
      <c r="E206" s="2">
        <f>IFERROR(__xludf.DUMMYFUNCTION("""COMPUTED_VALUE"""),2310.0)</f>
        <v>2310</v>
      </c>
      <c r="F206" s="2">
        <f>IFERROR(__xludf.DUMMYFUNCTION("""COMPUTED_VALUE"""),3.54011E7)</f>
        <v>35401100</v>
      </c>
      <c r="G206" s="2">
        <f t="shared" si="1"/>
        <v>60</v>
      </c>
    </row>
    <row r="207" ht="15.75" customHeight="1">
      <c r="A207" s="1">
        <f>IFERROR(__xludf.DUMMYFUNCTION("""COMPUTED_VALUE"""),44140.66666666667)</f>
        <v>44140.66667</v>
      </c>
      <c r="B207" s="2">
        <f>IFERROR(__xludf.DUMMYFUNCTION("""COMPUTED_VALUE"""),2360.0)</f>
        <v>2360</v>
      </c>
      <c r="C207" s="2">
        <f>IFERROR(__xludf.DUMMYFUNCTION("""COMPUTED_VALUE"""),2425.0)</f>
        <v>2425</v>
      </c>
      <c r="D207" s="2">
        <f>IFERROR(__xludf.DUMMYFUNCTION("""COMPUTED_VALUE"""),2340.0)</f>
        <v>2340</v>
      </c>
      <c r="E207" s="2">
        <f>IFERROR(__xludf.DUMMYFUNCTION("""COMPUTED_VALUE"""),2415.0)</f>
        <v>2415</v>
      </c>
      <c r="F207" s="2">
        <f>IFERROR(__xludf.DUMMYFUNCTION("""COMPUTED_VALUE"""),9.02817E7)</f>
        <v>90281700</v>
      </c>
      <c r="G207" s="2">
        <f t="shared" si="1"/>
        <v>115</v>
      </c>
    </row>
    <row r="208" ht="15.75" customHeight="1">
      <c r="A208" s="1">
        <f>IFERROR(__xludf.DUMMYFUNCTION("""COMPUTED_VALUE"""),44141.66666666667)</f>
        <v>44141.66667</v>
      </c>
      <c r="B208" s="2">
        <f>IFERROR(__xludf.DUMMYFUNCTION("""COMPUTED_VALUE"""),2430.0)</f>
        <v>2430</v>
      </c>
      <c r="C208" s="2">
        <f>IFERROR(__xludf.DUMMYFUNCTION("""COMPUTED_VALUE"""),2512.5)</f>
        <v>2512.5</v>
      </c>
      <c r="D208" s="2">
        <f>IFERROR(__xludf.DUMMYFUNCTION("""COMPUTED_VALUE"""),2385.0)</f>
        <v>2385</v>
      </c>
      <c r="E208" s="2">
        <f>IFERROR(__xludf.DUMMYFUNCTION("""COMPUTED_VALUE"""),2480.0)</f>
        <v>2480</v>
      </c>
      <c r="F208" s="2">
        <f>IFERROR(__xludf.DUMMYFUNCTION("""COMPUTED_VALUE"""),1.20355E8)</f>
        <v>120355000</v>
      </c>
      <c r="G208" s="2">
        <f t="shared" si="1"/>
        <v>127.5</v>
      </c>
    </row>
    <row r="209" ht="15.75" customHeight="1">
      <c r="A209" s="1">
        <f>IFERROR(__xludf.DUMMYFUNCTION("""COMPUTED_VALUE"""),44144.66666666667)</f>
        <v>44144.66667</v>
      </c>
      <c r="B209" s="2">
        <f>IFERROR(__xludf.DUMMYFUNCTION("""COMPUTED_VALUE"""),2525.0)</f>
        <v>2525</v>
      </c>
      <c r="C209" s="2">
        <f>IFERROR(__xludf.DUMMYFUNCTION("""COMPUTED_VALUE"""),2575.0)</f>
        <v>2575</v>
      </c>
      <c r="D209" s="2">
        <f>IFERROR(__xludf.DUMMYFUNCTION("""COMPUTED_VALUE"""),2500.0)</f>
        <v>2500</v>
      </c>
      <c r="E209" s="2">
        <f>IFERROR(__xludf.DUMMYFUNCTION("""COMPUTED_VALUE"""),2550.0)</f>
        <v>2550</v>
      </c>
      <c r="F209" s="2">
        <f>IFERROR(__xludf.DUMMYFUNCTION("""COMPUTED_VALUE"""),8.3367E7)</f>
        <v>83367000</v>
      </c>
      <c r="G209" s="2">
        <f t="shared" si="1"/>
        <v>95</v>
      </c>
    </row>
    <row r="210" ht="15.75" customHeight="1">
      <c r="A210" s="1">
        <f>IFERROR(__xludf.DUMMYFUNCTION("""COMPUTED_VALUE"""),44145.66666666667)</f>
        <v>44145.66667</v>
      </c>
      <c r="B210" s="2">
        <f>IFERROR(__xludf.DUMMYFUNCTION("""COMPUTED_VALUE"""),2625.0)</f>
        <v>2625</v>
      </c>
      <c r="C210" s="2">
        <f>IFERROR(__xludf.DUMMYFUNCTION("""COMPUTED_VALUE"""),2675.0)</f>
        <v>2675</v>
      </c>
      <c r="D210" s="2">
        <f>IFERROR(__xludf.DUMMYFUNCTION("""COMPUTED_VALUE"""),2600.0)</f>
        <v>2600</v>
      </c>
      <c r="E210" s="2">
        <f>IFERROR(__xludf.DUMMYFUNCTION("""COMPUTED_VALUE"""),2662.5)</f>
        <v>2662.5</v>
      </c>
      <c r="F210" s="2">
        <f>IFERROR(__xludf.DUMMYFUNCTION("""COMPUTED_VALUE"""),1.255325E8)</f>
        <v>125532500</v>
      </c>
      <c r="G210" s="2">
        <f t="shared" si="1"/>
        <v>125</v>
      </c>
    </row>
    <row r="211" ht="15.75" customHeight="1">
      <c r="A211" s="1">
        <f>IFERROR(__xludf.DUMMYFUNCTION("""COMPUTED_VALUE"""),44146.66666666667)</f>
        <v>44146.66667</v>
      </c>
      <c r="B211" s="2">
        <f>IFERROR(__xludf.DUMMYFUNCTION("""COMPUTED_VALUE"""),2687.5)</f>
        <v>2687.5</v>
      </c>
      <c r="C211" s="2">
        <f>IFERROR(__xludf.DUMMYFUNCTION("""COMPUTED_VALUE"""),2762.5)</f>
        <v>2762.5</v>
      </c>
      <c r="D211" s="2">
        <f>IFERROR(__xludf.DUMMYFUNCTION("""COMPUTED_VALUE"""),2662.5)</f>
        <v>2662.5</v>
      </c>
      <c r="E211" s="2">
        <f>IFERROR(__xludf.DUMMYFUNCTION("""COMPUTED_VALUE"""),2737.5)</f>
        <v>2737.5</v>
      </c>
      <c r="F211" s="2">
        <f>IFERROR(__xludf.DUMMYFUNCTION("""COMPUTED_VALUE"""),1.073757E8)</f>
        <v>107375700</v>
      </c>
      <c r="G211" s="2">
        <f t="shared" si="1"/>
        <v>100</v>
      </c>
    </row>
    <row r="212" ht="15.75" customHeight="1">
      <c r="A212" s="1">
        <f>IFERROR(__xludf.DUMMYFUNCTION("""COMPUTED_VALUE"""),44147.66666666667)</f>
        <v>44147.66667</v>
      </c>
      <c r="B212" s="2">
        <f>IFERROR(__xludf.DUMMYFUNCTION("""COMPUTED_VALUE"""),2775.0)</f>
        <v>2775</v>
      </c>
      <c r="C212" s="2">
        <f>IFERROR(__xludf.DUMMYFUNCTION("""COMPUTED_VALUE"""),2775.0)</f>
        <v>2775</v>
      </c>
      <c r="D212" s="2">
        <f>IFERROR(__xludf.DUMMYFUNCTION("""COMPUTED_VALUE"""),2650.0)</f>
        <v>2650</v>
      </c>
      <c r="E212" s="2">
        <f>IFERROR(__xludf.DUMMYFUNCTION("""COMPUTED_VALUE"""),2687.5)</f>
        <v>2687.5</v>
      </c>
      <c r="F212" s="2">
        <f>IFERROR(__xludf.DUMMYFUNCTION("""COMPUTED_VALUE"""),6.69938E7)</f>
        <v>66993800</v>
      </c>
      <c r="G212" s="2">
        <f t="shared" si="1"/>
        <v>125</v>
      </c>
    </row>
    <row r="213" ht="15.75" customHeight="1">
      <c r="A213" s="1">
        <f>IFERROR(__xludf.DUMMYFUNCTION("""COMPUTED_VALUE"""),44148.66666666667)</f>
        <v>44148.66667</v>
      </c>
      <c r="B213" s="2">
        <f>IFERROR(__xludf.DUMMYFUNCTION("""COMPUTED_VALUE"""),2662.5)</f>
        <v>2662.5</v>
      </c>
      <c r="C213" s="2">
        <f>IFERROR(__xludf.DUMMYFUNCTION("""COMPUTED_VALUE"""),2850.0)</f>
        <v>2850</v>
      </c>
      <c r="D213" s="2">
        <f>IFERROR(__xludf.DUMMYFUNCTION("""COMPUTED_VALUE"""),2637.5)</f>
        <v>2637.5</v>
      </c>
      <c r="E213" s="2">
        <f>IFERROR(__xludf.DUMMYFUNCTION("""COMPUTED_VALUE"""),2825.0)</f>
        <v>2825</v>
      </c>
      <c r="F213" s="2">
        <f>IFERROR(__xludf.DUMMYFUNCTION("""COMPUTED_VALUE"""),9.92037E7)</f>
        <v>99203700</v>
      </c>
      <c r="G213" s="2">
        <f t="shared" si="1"/>
        <v>212.5</v>
      </c>
    </row>
    <row r="214" ht="15.75" customHeight="1">
      <c r="A214" s="1">
        <f>IFERROR(__xludf.DUMMYFUNCTION("""COMPUTED_VALUE"""),44151.66666666667)</f>
        <v>44151.66667</v>
      </c>
      <c r="B214" s="2">
        <f>IFERROR(__xludf.DUMMYFUNCTION("""COMPUTED_VALUE"""),2875.0)</f>
        <v>2875</v>
      </c>
      <c r="C214" s="2">
        <f>IFERROR(__xludf.DUMMYFUNCTION("""COMPUTED_VALUE"""),2925.0)</f>
        <v>2925</v>
      </c>
      <c r="D214" s="2">
        <f>IFERROR(__xludf.DUMMYFUNCTION("""COMPUTED_VALUE"""),2825.0)</f>
        <v>2825</v>
      </c>
      <c r="E214" s="2">
        <f>IFERROR(__xludf.DUMMYFUNCTION("""COMPUTED_VALUE"""),2837.5)</f>
        <v>2837.5</v>
      </c>
      <c r="F214" s="2">
        <f>IFERROR(__xludf.DUMMYFUNCTION("""COMPUTED_VALUE"""),8.68804E7)</f>
        <v>86880400</v>
      </c>
      <c r="G214" s="2">
        <f t="shared" si="1"/>
        <v>100</v>
      </c>
    </row>
    <row r="215" ht="15.75" customHeight="1">
      <c r="A215" s="1">
        <f>IFERROR(__xludf.DUMMYFUNCTION("""COMPUTED_VALUE"""),44152.66666666667)</f>
        <v>44152.66667</v>
      </c>
      <c r="B215" s="2">
        <f>IFERROR(__xludf.DUMMYFUNCTION("""COMPUTED_VALUE"""),2875.0)</f>
        <v>2875</v>
      </c>
      <c r="C215" s="2">
        <f>IFERROR(__xludf.DUMMYFUNCTION("""COMPUTED_VALUE"""),2900.0)</f>
        <v>2900</v>
      </c>
      <c r="D215" s="2">
        <f>IFERROR(__xludf.DUMMYFUNCTION("""COMPUTED_VALUE"""),2837.5)</f>
        <v>2837.5</v>
      </c>
      <c r="E215" s="2">
        <f>IFERROR(__xludf.DUMMYFUNCTION("""COMPUTED_VALUE"""),2875.0)</f>
        <v>2875</v>
      </c>
      <c r="F215" s="2">
        <f>IFERROR(__xludf.DUMMYFUNCTION("""COMPUTED_VALUE"""),6.34411E7)</f>
        <v>63441100</v>
      </c>
      <c r="G215" s="2">
        <f t="shared" si="1"/>
        <v>62.5</v>
      </c>
    </row>
    <row r="216" ht="15.75" customHeight="1">
      <c r="A216" s="1">
        <f>IFERROR(__xludf.DUMMYFUNCTION("""COMPUTED_VALUE"""),44153.66666666667)</f>
        <v>44153.66667</v>
      </c>
      <c r="B216" s="2">
        <f>IFERROR(__xludf.DUMMYFUNCTION("""COMPUTED_VALUE"""),2875.0)</f>
        <v>2875</v>
      </c>
      <c r="C216" s="2">
        <f>IFERROR(__xludf.DUMMYFUNCTION("""COMPUTED_VALUE"""),2887.5)</f>
        <v>2887.5</v>
      </c>
      <c r="D216" s="2">
        <f>IFERROR(__xludf.DUMMYFUNCTION("""COMPUTED_VALUE"""),2825.0)</f>
        <v>2825</v>
      </c>
      <c r="E216" s="2">
        <f>IFERROR(__xludf.DUMMYFUNCTION("""COMPUTED_VALUE"""),2862.5)</f>
        <v>2862.5</v>
      </c>
      <c r="F216" s="2">
        <f>IFERROR(__xludf.DUMMYFUNCTION("""COMPUTED_VALUE"""),4.87497E7)</f>
        <v>48749700</v>
      </c>
      <c r="G216" s="2">
        <f t="shared" si="1"/>
        <v>62.5</v>
      </c>
    </row>
    <row r="217" ht="15.75" customHeight="1">
      <c r="A217" s="1">
        <f>IFERROR(__xludf.DUMMYFUNCTION("""COMPUTED_VALUE"""),44154.66666666667)</f>
        <v>44154.66667</v>
      </c>
      <c r="B217" s="2">
        <f>IFERROR(__xludf.DUMMYFUNCTION("""COMPUTED_VALUE"""),2837.5)</f>
        <v>2837.5</v>
      </c>
      <c r="C217" s="2">
        <f>IFERROR(__xludf.DUMMYFUNCTION("""COMPUTED_VALUE"""),2900.0)</f>
        <v>2900</v>
      </c>
      <c r="D217" s="2">
        <f>IFERROR(__xludf.DUMMYFUNCTION("""COMPUTED_VALUE"""),2825.0)</f>
        <v>2825</v>
      </c>
      <c r="E217" s="2">
        <f>IFERROR(__xludf.DUMMYFUNCTION("""COMPUTED_VALUE"""),2875.0)</f>
        <v>2875</v>
      </c>
      <c r="F217" s="2">
        <f>IFERROR(__xludf.DUMMYFUNCTION("""COMPUTED_VALUE"""),6.13336E7)</f>
        <v>61333600</v>
      </c>
      <c r="G217" s="2">
        <f t="shared" si="1"/>
        <v>75</v>
      </c>
    </row>
    <row r="218" ht="15.75" customHeight="1">
      <c r="A218" s="1">
        <f>IFERROR(__xludf.DUMMYFUNCTION("""COMPUTED_VALUE"""),44155.66666666667)</f>
        <v>44155.66667</v>
      </c>
      <c r="B218" s="2">
        <f>IFERROR(__xludf.DUMMYFUNCTION("""COMPUTED_VALUE"""),2850.0)</f>
        <v>2850</v>
      </c>
      <c r="C218" s="2">
        <f>IFERROR(__xludf.DUMMYFUNCTION("""COMPUTED_VALUE"""),2900.0)</f>
        <v>2900</v>
      </c>
      <c r="D218" s="2">
        <f>IFERROR(__xludf.DUMMYFUNCTION("""COMPUTED_VALUE"""),2825.0)</f>
        <v>2825</v>
      </c>
      <c r="E218" s="2">
        <f>IFERROR(__xludf.DUMMYFUNCTION("""COMPUTED_VALUE"""),2837.5)</f>
        <v>2837.5</v>
      </c>
      <c r="F218" s="2">
        <f>IFERROR(__xludf.DUMMYFUNCTION("""COMPUTED_VALUE"""),5.31414E7)</f>
        <v>53141400</v>
      </c>
      <c r="G218" s="2">
        <f t="shared" si="1"/>
        <v>75</v>
      </c>
    </row>
    <row r="219" ht="15.75" customHeight="1">
      <c r="A219" s="1">
        <f>IFERROR(__xludf.DUMMYFUNCTION("""COMPUTED_VALUE"""),44158.66666666667)</f>
        <v>44158.66667</v>
      </c>
      <c r="B219" s="2">
        <f>IFERROR(__xludf.DUMMYFUNCTION("""COMPUTED_VALUE"""),2837.5)</f>
        <v>2837.5</v>
      </c>
      <c r="C219" s="2">
        <f>IFERROR(__xludf.DUMMYFUNCTION("""COMPUTED_VALUE"""),2987.5)</f>
        <v>2987.5</v>
      </c>
      <c r="D219" s="2">
        <f>IFERROR(__xludf.DUMMYFUNCTION("""COMPUTED_VALUE"""),2812.5)</f>
        <v>2812.5</v>
      </c>
      <c r="E219" s="2">
        <f>IFERROR(__xludf.DUMMYFUNCTION("""COMPUTED_VALUE"""),2950.0)</f>
        <v>2950</v>
      </c>
      <c r="F219" s="2">
        <f>IFERROR(__xludf.DUMMYFUNCTION("""COMPUTED_VALUE"""),8.25361E7)</f>
        <v>82536100</v>
      </c>
      <c r="G219" s="2">
        <f t="shared" si="1"/>
        <v>175</v>
      </c>
    </row>
    <row r="220" ht="15.75" customHeight="1">
      <c r="A220" s="1">
        <f>IFERROR(__xludf.DUMMYFUNCTION("""COMPUTED_VALUE"""),44159.66666666667)</f>
        <v>44159.66667</v>
      </c>
      <c r="B220" s="2">
        <f>IFERROR(__xludf.DUMMYFUNCTION("""COMPUTED_VALUE"""),2987.5)</f>
        <v>2987.5</v>
      </c>
      <c r="C220" s="2">
        <f>IFERROR(__xludf.DUMMYFUNCTION("""COMPUTED_VALUE"""),2987.5)</f>
        <v>2987.5</v>
      </c>
      <c r="D220" s="2">
        <f>IFERROR(__xludf.DUMMYFUNCTION("""COMPUTED_VALUE"""),2950.0)</f>
        <v>2950</v>
      </c>
      <c r="E220" s="2">
        <f>IFERROR(__xludf.DUMMYFUNCTION("""COMPUTED_VALUE"""),2975.0)</f>
        <v>2975</v>
      </c>
      <c r="F220" s="2">
        <f>IFERROR(__xludf.DUMMYFUNCTION("""COMPUTED_VALUE"""),6.19877E7)</f>
        <v>61987700</v>
      </c>
      <c r="G220" s="2">
        <f t="shared" si="1"/>
        <v>37.5</v>
      </c>
    </row>
    <row r="221" ht="15.75" customHeight="1">
      <c r="A221" s="1">
        <f>IFERROR(__xludf.DUMMYFUNCTION("""COMPUTED_VALUE"""),44160.66666666667)</f>
        <v>44160.66667</v>
      </c>
      <c r="B221" s="2">
        <f>IFERROR(__xludf.DUMMYFUNCTION("""COMPUTED_VALUE"""),3000.0)</f>
        <v>3000</v>
      </c>
      <c r="C221" s="2">
        <f>IFERROR(__xludf.DUMMYFUNCTION("""COMPUTED_VALUE"""),3087.5)</f>
        <v>3087.5</v>
      </c>
      <c r="D221" s="2">
        <f>IFERROR(__xludf.DUMMYFUNCTION("""COMPUTED_VALUE"""),3000.0)</f>
        <v>3000</v>
      </c>
      <c r="E221" s="2">
        <f>IFERROR(__xludf.DUMMYFUNCTION("""COMPUTED_VALUE"""),3025.0)</f>
        <v>3025</v>
      </c>
      <c r="F221" s="2">
        <f>IFERROR(__xludf.DUMMYFUNCTION("""COMPUTED_VALUE"""),1.012064E8)</f>
        <v>101206400</v>
      </c>
      <c r="G221" s="2">
        <f t="shared" si="1"/>
        <v>112.5</v>
      </c>
    </row>
    <row r="222" ht="15.75" customHeight="1">
      <c r="A222" s="1">
        <f>IFERROR(__xludf.DUMMYFUNCTION("""COMPUTED_VALUE"""),44161.66666666667)</f>
        <v>44161.66667</v>
      </c>
      <c r="B222" s="2">
        <f>IFERROR(__xludf.DUMMYFUNCTION("""COMPUTED_VALUE"""),3025.0)</f>
        <v>3025</v>
      </c>
      <c r="C222" s="2">
        <f>IFERROR(__xludf.DUMMYFUNCTION("""COMPUTED_VALUE"""),3175.0)</f>
        <v>3175</v>
      </c>
      <c r="D222" s="2">
        <f>IFERROR(__xludf.DUMMYFUNCTION("""COMPUTED_VALUE"""),3012.5)</f>
        <v>3012.5</v>
      </c>
      <c r="E222" s="2">
        <f>IFERROR(__xludf.DUMMYFUNCTION("""COMPUTED_VALUE"""),3150.0)</f>
        <v>3150</v>
      </c>
      <c r="F222" s="2">
        <f>IFERROR(__xludf.DUMMYFUNCTION("""COMPUTED_VALUE"""),6.67731E7)</f>
        <v>66773100</v>
      </c>
      <c r="G222" s="2">
        <f t="shared" si="1"/>
        <v>162.5</v>
      </c>
    </row>
    <row r="223" ht="15.75" customHeight="1">
      <c r="A223" s="1">
        <f>IFERROR(__xludf.DUMMYFUNCTION("""COMPUTED_VALUE"""),44162.66666666667)</f>
        <v>44162.66667</v>
      </c>
      <c r="B223" s="2">
        <f>IFERROR(__xludf.DUMMYFUNCTION("""COMPUTED_VALUE"""),3150.0)</f>
        <v>3150</v>
      </c>
      <c r="C223" s="2">
        <f>IFERROR(__xludf.DUMMYFUNCTION("""COMPUTED_VALUE"""),3187.5)</f>
        <v>3187.5</v>
      </c>
      <c r="D223" s="2">
        <f>IFERROR(__xludf.DUMMYFUNCTION("""COMPUTED_VALUE"""),3100.0)</f>
        <v>3100</v>
      </c>
      <c r="E223" s="2">
        <f>IFERROR(__xludf.DUMMYFUNCTION("""COMPUTED_VALUE"""),3175.0)</f>
        <v>3175</v>
      </c>
      <c r="F223" s="2">
        <f>IFERROR(__xludf.DUMMYFUNCTION("""COMPUTED_VALUE"""),6.49182E7)</f>
        <v>64918200</v>
      </c>
      <c r="G223" s="2">
        <f t="shared" si="1"/>
        <v>87.5</v>
      </c>
    </row>
    <row r="224" ht="15.75" customHeight="1">
      <c r="A224" s="1">
        <f>IFERROR(__xludf.DUMMYFUNCTION("""COMPUTED_VALUE"""),44165.66666666667)</f>
        <v>44165.66667</v>
      </c>
      <c r="B224" s="2">
        <f>IFERROR(__xludf.DUMMYFUNCTION("""COMPUTED_VALUE"""),3175.0)</f>
        <v>3175</v>
      </c>
      <c r="C224" s="2">
        <f>IFERROR(__xludf.DUMMYFUNCTION("""COMPUTED_VALUE"""),3175.0)</f>
        <v>3175</v>
      </c>
      <c r="D224" s="2">
        <f>IFERROR(__xludf.DUMMYFUNCTION("""COMPUTED_VALUE"""),2975.0)</f>
        <v>2975</v>
      </c>
      <c r="E224" s="2">
        <f>IFERROR(__xludf.DUMMYFUNCTION("""COMPUTED_VALUE"""),3000.0)</f>
        <v>3000</v>
      </c>
      <c r="F224" s="2">
        <f>IFERROR(__xludf.DUMMYFUNCTION("""COMPUTED_VALUE"""),1.604071E8)</f>
        <v>160407100</v>
      </c>
      <c r="G224" s="2">
        <f t="shared" si="1"/>
        <v>200</v>
      </c>
    </row>
    <row r="225" ht="15.75" customHeight="1">
      <c r="A225" s="1">
        <f>IFERROR(__xludf.DUMMYFUNCTION("""COMPUTED_VALUE"""),44166.66666666667)</f>
        <v>44166.66667</v>
      </c>
      <c r="B225" s="2">
        <f>IFERROR(__xludf.DUMMYFUNCTION("""COMPUTED_VALUE"""),3037.5)</f>
        <v>3037.5</v>
      </c>
      <c r="C225" s="2">
        <f>IFERROR(__xludf.DUMMYFUNCTION("""COMPUTED_VALUE"""),3125.0)</f>
        <v>3125</v>
      </c>
      <c r="D225" s="2">
        <f>IFERROR(__xludf.DUMMYFUNCTION("""COMPUTED_VALUE"""),2962.5)</f>
        <v>2962.5</v>
      </c>
      <c r="E225" s="2">
        <f>IFERROR(__xludf.DUMMYFUNCTION("""COMPUTED_VALUE"""),3125.0)</f>
        <v>3125</v>
      </c>
      <c r="F225" s="2">
        <f>IFERROR(__xludf.DUMMYFUNCTION("""COMPUTED_VALUE"""),9.97853E7)</f>
        <v>99785300</v>
      </c>
      <c r="G225" s="2">
        <f t="shared" si="1"/>
        <v>162.5</v>
      </c>
    </row>
    <row r="226" ht="15.75" customHeight="1">
      <c r="A226" s="1">
        <f>IFERROR(__xludf.DUMMYFUNCTION("""COMPUTED_VALUE"""),44167.66666666667)</f>
        <v>44167.66667</v>
      </c>
      <c r="B226" s="2">
        <f>IFERROR(__xludf.DUMMYFUNCTION("""COMPUTED_VALUE"""),3150.0)</f>
        <v>3150</v>
      </c>
      <c r="C226" s="2">
        <f>IFERROR(__xludf.DUMMYFUNCTION("""COMPUTED_VALUE"""),3187.5)</f>
        <v>3187.5</v>
      </c>
      <c r="D226" s="2">
        <f>IFERROR(__xludf.DUMMYFUNCTION("""COMPUTED_VALUE"""),3100.0)</f>
        <v>3100</v>
      </c>
      <c r="E226" s="2">
        <f>IFERROR(__xludf.DUMMYFUNCTION("""COMPUTED_VALUE"""),3175.0)</f>
        <v>3175</v>
      </c>
      <c r="F226" s="2">
        <f>IFERROR(__xludf.DUMMYFUNCTION("""COMPUTED_VALUE"""),5.19937E7)</f>
        <v>51993700</v>
      </c>
      <c r="G226" s="2">
        <f t="shared" si="1"/>
        <v>87.5</v>
      </c>
    </row>
    <row r="227" ht="15.75" customHeight="1">
      <c r="A227" s="1">
        <f>IFERROR(__xludf.DUMMYFUNCTION("""COMPUTED_VALUE"""),44168.66666666667)</f>
        <v>44168.66667</v>
      </c>
      <c r="B227" s="2">
        <f>IFERROR(__xludf.DUMMYFUNCTION("""COMPUTED_VALUE"""),3187.5)</f>
        <v>3187.5</v>
      </c>
      <c r="C227" s="2">
        <f>IFERROR(__xludf.DUMMYFUNCTION("""COMPUTED_VALUE"""),3250.0)</f>
        <v>3250</v>
      </c>
      <c r="D227" s="2">
        <f>IFERROR(__xludf.DUMMYFUNCTION("""COMPUTED_VALUE"""),3150.0)</f>
        <v>3150</v>
      </c>
      <c r="E227" s="2">
        <f>IFERROR(__xludf.DUMMYFUNCTION("""COMPUTED_VALUE"""),3175.0)</f>
        <v>3175</v>
      </c>
      <c r="F227" s="2">
        <f>IFERROR(__xludf.DUMMYFUNCTION("""COMPUTED_VALUE"""),6.41502E7)</f>
        <v>64150200</v>
      </c>
      <c r="G227" s="2">
        <f t="shared" si="1"/>
        <v>100</v>
      </c>
    </row>
    <row r="228" ht="15.75" customHeight="1">
      <c r="A228" s="1">
        <f>IFERROR(__xludf.DUMMYFUNCTION("""COMPUTED_VALUE"""),44169.66666666667)</f>
        <v>44169.66667</v>
      </c>
      <c r="B228" s="2">
        <f>IFERROR(__xludf.DUMMYFUNCTION("""COMPUTED_VALUE"""),3162.5)</f>
        <v>3162.5</v>
      </c>
      <c r="C228" s="2">
        <f>IFERROR(__xludf.DUMMYFUNCTION("""COMPUTED_VALUE"""),3212.5)</f>
        <v>3212.5</v>
      </c>
      <c r="D228" s="2">
        <f>IFERROR(__xludf.DUMMYFUNCTION("""COMPUTED_VALUE"""),3100.0)</f>
        <v>3100</v>
      </c>
      <c r="E228" s="2">
        <f>IFERROR(__xludf.DUMMYFUNCTION("""COMPUTED_VALUE"""),3175.0)</f>
        <v>3175</v>
      </c>
      <c r="F228" s="2">
        <f>IFERROR(__xludf.DUMMYFUNCTION("""COMPUTED_VALUE"""),4.39117E7)</f>
        <v>43911700</v>
      </c>
      <c r="G228" s="2">
        <f t="shared" si="1"/>
        <v>112.5</v>
      </c>
    </row>
    <row r="229" ht="15.75" customHeight="1">
      <c r="A229" s="1">
        <f>IFERROR(__xludf.DUMMYFUNCTION("""COMPUTED_VALUE"""),44172.66666666667)</f>
        <v>44172.66667</v>
      </c>
      <c r="B229" s="2">
        <f>IFERROR(__xludf.DUMMYFUNCTION("""COMPUTED_VALUE"""),3250.0)</f>
        <v>3250</v>
      </c>
      <c r="C229" s="2">
        <f>IFERROR(__xludf.DUMMYFUNCTION("""COMPUTED_VALUE"""),3337.5)</f>
        <v>3337.5</v>
      </c>
      <c r="D229" s="2">
        <f>IFERROR(__xludf.DUMMYFUNCTION("""COMPUTED_VALUE"""),3225.0)</f>
        <v>3225</v>
      </c>
      <c r="E229" s="2">
        <f>IFERROR(__xludf.DUMMYFUNCTION("""COMPUTED_VALUE"""),3325.0)</f>
        <v>3325</v>
      </c>
      <c r="F229" s="2">
        <f>IFERROR(__xludf.DUMMYFUNCTION("""COMPUTED_VALUE"""),6.06374E7)</f>
        <v>60637400</v>
      </c>
      <c r="G229" s="2">
        <f t="shared" si="1"/>
        <v>162.5</v>
      </c>
    </row>
    <row r="230" ht="15.75" customHeight="1">
      <c r="A230" s="1">
        <f>IFERROR(__xludf.DUMMYFUNCTION("""COMPUTED_VALUE"""),44173.66666666667)</f>
        <v>44173.66667</v>
      </c>
      <c r="B230" s="2">
        <f>IFERROR(__xludf.DUMMYFUNCTION("""COMPUTED_VALUE"""),3325.0)</f>
        <v>3325</v>
      </c>
      <c r="C230" s="2">
        <f>IFERROR(__xludf.DUMMYFUNCTION("""COMPUTED_VALUE"""),3350.0)</f>
        <v>3350</v>
      </c>
      <c r="D230" s="2">
        <f>IFERROR(__xludf.DUMMYFUNCTION("""COMPUTED_VALUE"""),3275.0)</f>
        <v>3275</v>
      </c>
      <c r="E230" s="2">
        <f>IFERROR(__xludf.DUMMYFUNCTION("""COMPUTED_VALUE"""),3325.0)</f>
        <v>3325</v>
      </c>
      <c r="F230" s="2">
        <f>IFERROR(__xludf.DUMMYFUNCTION("""COMPUTED_VALUE"""),3.51687E7)</f>
        <v>35168700</v>
      </c>
      <c r="G230" s="2">
        <f t="shared" si="1"/>
        <v>75</v>
      </c>
    </row>
    <row r="231" ht="15.75" customHeight="1">
      <c r="A231" s="1">
        <f>IFERROR(__xludf.DUMMYFUNCTION("""COMPUTED_VALUE"""),44175.66666666667)</f>
        <v>44175.66667</v>
      </c>
      <c r="B231" s="2">
        <f>IFERROR(__xludf.DUMMYFUNCTION("""COMPUTED_VALUE"""),3325.0)</f>
        <v>3325</v>
      </c>
      <c r="C231" s="2">
        <f>IFERROR(__xludf.DUMMYFUNCTION("""COMPUTED_VALUE"""),3350.0)</f>
        <v>3350</v>
      </c>
      <c r="D231" s="2">
        <f>IFERROR(__xludf.DUMMYFUNCTION("""COMPUTED_VALUE"""),3287.5)</f>
        <v>3287.5</v>
      </c>
      <c r="E231" s="2">
        <f>IFERROR(__xludf.DUMMYFUNCTION("""COMPUTED_VALUE"""),3300.0)</f>
        <v>3300</v>
      </c>
      <c r="F231" s="2">
        <f>IFERROR(__xludf.DUMMYFUNCTION("""COMPUTED_VALUE"""),4.8708E7)</f>
        <v>48708000</v>
      </c>
      <c r="G231" s="2">
        <f t="shared" si="1"/>
        <v>62.5</v>
      </c>
    </row>
    <row r="232" ht="15.75" customHeight="1">
      <c r="A232" s="1">
        <f>IFERROR(__xludf.DUMMYFUNCTION("""COMPUTED_VALUE"""),44176.66666666667)</f>
        <v>44176.66667</v>
      </c>
      <c r="B232" s="2">
        <f>IFERROR(__xludf.DUMMYFUNCTION("""COMPUTED_VALUE"""),3325.0)</f>
        <v>3325</v>
      </c>
      <c r="C232" s="2">
        <f>IFERROR(__xludf.DUMMYFUNCTION("""COMPUTED_VALUE"""),3350.0)</f>
        <v>3350</v>
      </c>
      <c r="D232" s="2">
        <f>IFERROR(__xludf.DUMMYFUNCTION("""COMPUTED_VALUE"""),3275.0)</f>
        <v>3275</v>
      </c>
      <c r="E232" s="2">
        <f>IFERROR(__xludf.DUMMYFUNCTION("""COMPUTED_VALUE"""),3287.5)</f>
        <v>3287.5</v>
      </c>
      <c r="F232" s="2">
        <f>IFERROR(__xludf.DUMMYFUNCTION("""COMPUTED_VALUE"""),3.13593E7)</f>
        <v>31359300</v>
      </c>
      <c r="G232" s="2">
        <f t="shared" si="1"/>
        <v>75</v>
      </c>
    </row>
    <row r="233" ht="15.75" customHeight="1">
      <c r="A233" s="1">
        <f>IFERROR(__xludf.DUMMYFUNCTION("""COMPUTED_VALUE"""),44179.66666666667)</f>
        <v>44179.66667</v>
      </c>
      <c r="B233" s="2">
        <f>IFERROR(__xludf.DUMMYFUNCTION("""COMPUTED_VALUE"""),3287.5)</f>
        <v>3287.5</v>
      </c>
      <c r="C233" s="2">
        <f>IFERROR(__xludf.DUMMYFUNCTION("""COMPUTED_VALUE"""),3312.5)</f>
        <v>3312.5</v>
      </c>
      <c r="D233" s="2">
        <f>IFERROR(__xludf.DUMMYFUNCTION("""COMPUTED_VALUE"""),3225.0)</f>
        <v>3225</v>
      </c>
      <c r="E233" s="2">
        <f>IFERROR(__xludf.DUMMYFUNCTION("""COMPUTED_VALUE"""),3287.5)</f>
        <v>3287.5</v>
      </c>
      <c r="F233" s="2">
        <f>IFERROR(__xludf.DUMMYFUNCTION("""COMPUTED_VALUE"""),5.91928E7)</f>
        <v>59192800</v>
      </c>
      <c r="G233" s="2">
        <f t="shared" si="1"/>
        <v>87.5</v>
      </c>
    </row>
    <row r="234" ht="15.75" customHeight="1">
      <c r="A234" s="1">
        <f>IFERROR(__xludf.DUMMYFUNCTION("""COMPUTED_VALUE"""),44180.66666666667)</f>
        <v>44180.66667</v>
      </c>
      <c r="B234" s="2">
        <f>IFERROR(__xludf.DUMMYFUNCTION("""COMPUTED_VALUE"""),3262.5)</f>
        <v>3262.5</v>
      </c>
      <c r="C234" s="2">
        <f>IFERROR(__xludf.DUMMYFUNCTION("""COMPUTED_VALUE"""),3275.0)</f>
        <v>3275</v>
      </c>
      <c r="D234" s="2">
        <f>IFERROR(__xludf.DUMMYFUNCTION("""COMPUTED_VALUE"""),3225.0)</f>
        <v>3225</v>
      </c>
      <c r="E234" s="2">
        <f>IFERROR(__xludf.DUMMYFUNCTION("""COMPUTED_VALUE"""),3250.0)</f>
        <v>3250</v>
      </c>
      <c r="F234" s="2">
        <f>IFERROR(__xludf.DUMMYFUNCTION("""COMPUTED_VALUE"""),4.17541E7)</f>
        <v>41754100</v>
      </c>
      <c r="G234" s="2">
        <f t="shared" si="1"/>
        <v>62.5</v>
      </c>
    </row>
    <row r="235" ht="15.75" customHeight="1">
      <c r="A235" s="1">
        <f>IFERROR(__xludf.DUMMYFUNCTION("""COMPUTED_VALUE"""),44181.66666666667)</f>
        <v>44181.66667</v>
      </c>
      <c r="B235" s="2">
        <f>IFERROR(__xludf.DUMMYFUNCTION("""COMPUTED_VALUE"""),3275.0)</f>
        <v>3275</v>
      </c>
      <c r="C235" s="2">
        <f>IFERROR(__xludf.DUMMYFUNCTION("""COMPUTED_VALUE"""),3337.5)</f>
        <v>3337.5</v>
      </c>
      <c r="D235" s="2">
        <f>IFERROR(__xludf.DUMMYFUNCTION("""COMPUTED_VALUE"""),3275.0)</f>
        <v>3275</v>
      </c>
      <c r="E235" s="2">
        <f>IFERROR(__xludf.DUMMYFUNCTION("""COMPUTED_VALUE"""),3337.5)</f>
        <v>3337.5</v>
      </c>
      <c r="F235" s="2">
        <f>IFERROR(__xludf.DUMMYFUNCTION("""COMPUTED_VALUE"""),4.93196E7)</f>
        <v>49319600</v>
      </c>
      <c r="G235" s="2">
        <f t="shared" si="1"/>
        <v>87.5</v>
      </c>
    </row>
    <row r="236" ht="15.75" customHeight="1">
      <c r="A236" s="1">
        <f>IFERROR(__xludf.DUMMYFUNCTION("""COMPUTED_VALUE"""),44182.66666666667)</f>
        <v>44182.66667</v>
      </c>
      <c r="B236" s="2">
        <f>IFERROR(__xludf.DUMMYFUNCTION("""COMPUTED_VALUE"""),3350.0)</f>
        <v>3350</v>
      </c>
      <c r="C236" s="2">
        <f>IFERROR(__xludf.DUMMYFUNCTION("""COMPUTED_VALUE"""),3375.0)</f>
        <v>3375</v>
      </c>
      <c r="D236" s="2">
        <f>IFERROR(__xludf.DUMMYFUNCTION("""COMPUTED_VALUE"""),3300.0)</f>
        <v>3300</v>
      </c>
      <c r="E236" s="2">
        <f>IFERROR(__xludf.DUMMYFUNCTION("""COMPUTED_VALUE"""),3337.5)</f>
        <v>3337.5</v>
      </c>
      <c r="F236" s="2">
        <f>IFERROR(__xludf.DUMMYFUNCTION("""COMPUTED_VALUE"""),4.07404E7)</f>
        <v>40740400</v>
      </c>
      <c r="G236" s="2">
        <f t="shared" si="1"/>
        <v>75</v>
      </c>
    </row>
    <row r="237" ht="15.75" customHeight="1">
      <c r="A237" s="1">
        <f>IFERROR(__xludf.DUMMYFUNCTION("""COMPUTED_VALUE"""),44183.66666666667)</f>
        <v>44183.66667</v>
      </c>
      <c r="B237" s="2">
        <f>IFERROR(__xludf.DUMMYFUNCTION("""COMPUTED_VALUE"""),3312.5)</f>
        <v>3312.5</v>
      </c>
      <c r="C237" s="2">
        <f>IFERROR(__xludf.DUMMYFUNCTION("""COMPUTED_VALUE"""),3350.0)</f>
        <v>3350</v>
      </c>
      <c r="D237" s="2">
        <f>IFERROR(__xludf.DUMMYFUNCTION("""COMPUTED_VALUE"""),3300.0)</f>
        <v>3300</v>
      </c>
      <c r="E237" s="2">
        <f>IFERROR(__xludf.DUMMYFUNCTION("""COMPUTED_VALUE"""),3325.0)</f>
        <v>3325</v>
      </c>
      <c r="F237" s="2">
        <f>IFERROR(__xludf.DUMMYFUNCTION("""COMPUTED_VALUE"""),2.81857E7)</f>
        <v>28185700</v>
      </c>
      <c r="G237" s="2">
        <f t="shared" si="1"/>
        <v>50</v>
      </c>
    </row>
    <row r="238" ht="15.75" customHeight="1">
      <c r="A238" s="1">
        <f>IFERROR(__xludf.DUMMYFUNCTION("""COMPUTED_VALUE"""),44186.66666666667)</f>
        <v>44186.66667</v>
      </c>
      <c r="B238" s="2">
        <f>IFERROR(__xludf.DUMMYFUNCTION("""COMPUTED_VALUE"""),3337.5)</f>
        <v>3337.5</v>
      </c>
      <c r="C238" s="2">
        <f>IFERROR(__xludf.DUMMYFUNCTION("""COMPUTED_VALUE"""),3362.5)</f>
        <v>3362.5</v>
      </c>
      <c r="D238" s="2">
        <f>IFERROR(__xludf.DUMMYFUNCTION("""COMPUTED_VALUE"""),3287.5)</f>
        <v>3287.5</v>
      </c>
      <c r="E238" s="2">
        <f>IFERROR(__xludf.DUMMYFUNCTION("""COMPUTED_VALUE"""),3300.0)</f>
        <v>3300</v>
      </c>
      <c r="F238" s="2">
        <f>IFERROR(__xludf.DUMMYFUNCTION("""COMPUTED_VALUE"""),3.42474E7)</f>
        <v>34247400</v>
      </c>
      <c r="G238" s="2">
        <f t="shared" si="1"/>
        <v>75</v>
      </c>
    </row>
    <row r="239" ht="15.75" customHeight="1">
      <c r="A239" s="1">
        <f>IFERROR(__xludf.DUMMYFUNCTION("""COMPUTED_VALUE"""),44187.66666666667)</f>
        <v>44187.66667</v>
      </c>
      <c r="B239" s="2">
        <f>IFERROR(__xludf.DUMMYFUNCTION("""COMPUTED_VALUE"""),3262.5)</f>
        <v>3262.5</v>
      </c>
      <c r="C239" s="2">
        <f>IFERROR(__xludf.DUMMYFUNCTION("""COMPUTED_VALUE"""),3287.5)</f>
        <v>3287.5</v>
      </c>
      <c r="D239" s="2">
        <f>IFERROR(__xludf.DUMMYFUNCTION("""COMPUTED_VALUE"""),3137.5)</f>
        <v>3137.5</v>
      </c>
      <c r="E239" s="2">
        <f>IFERROR(__xludf.DUMMYFUNCTION("""COMPUTED_VALUE"""),3150.0)</f>
        <v>3150</v>
      </c>
      <c r="F239" s="2">
        <f>IFERROR(__xludf.DUMMYFUNCTION("""COMPUTED_VALUE"""),6.37058E7)</f>
        <v>63705800</v>
      </c>
      <c r="G239" s="2">
        <f t="shared" si="1"/>
        <v>162.5</v>
      </c>
    </row>
    <row r="240" ht="15.75" customHeight="1">
      <c r="A240" s="1">
        <f>IFERROR(__xludf.DUMMYFUNCTION("""COMPUTED_VALUE"""),44188.66666666667)</f>
        <v>44188.66667</v>
      </c>
      <c r="B240" s="2">
        <f>IFERROR(__xludf.DUMMYFUNCTION("""COMPUTED_VALUE"""),3150.0)</f>
        <v>3150</v>
      </c>
      <c r="C240" s="2">
        <f>IFERROR(__xludf.DUMMYFUNCTION("""COMPUTED_VALUE"""),3212.5)</f>
        <v>3212.5</v>
      </c>
      <c r="D240" s="2">
        <f>IFERROR(__xludf.DUMMYFUNCTION("""COMPUTED_VALUE"""),2975.0)</f>
        <v>2975</v>
      </c>
      <c r="E240" s="2">
        <f>IFERROR(__xludf.DUMMYFUNCTION("""COMPUTED_VALUE"""),3125.0)</f>
        <v>3125</v>
      </c>
      <c r="F240" s="2">
        <f>IFERROR(__xludf.DUMMYFUNCTION("""COMPUTED_VALUE"""),5.55274E7)</f>
        <v>55527400</v>
      </c>
      <c r="G240" s="2">
        <f t="shared" si="1"/>
        <v>237.5</v>
      </c>
    </row>
    <row r="241" ht="15.75" customHeight="1">
      <c r="A241" s="1">
        <f>IFERROR(__xludf.DUMMYFUNCTION("""COMPUTED_VALUE"""),44193.66666666667)</f>
        <v>44193.66667</v>
      </c>
      <c r="B241" s="2">
        <f>IFERROR(__xludf.DUMMYFUNCTION("""COMPUTED_VALUE"""),3200.0)</f>
        <v>3200</v>
      </c>
      <c r="C241" s="2">
        <f>IFERROR(__xludf.DUMMYFUNCTION("""COMPUTED_VALUE"""),3225.0)</f>
        <v>3225</v>
      </c>
      <c r="D241" s="2">
        <f>IFERROR(__xludf.DUMMYFUNCTION("""COMPUTED_VALUE"""),3075.0)</f>
        <v>3075</v>
      </c>
      <c r="E241" s="2">
        <f>IFERROR(__xludf.DUMMYFUNCTION("""COMPUTED_VALUE"""),3225.0)</f>
        <v>3225</v>
      </c>
      <c r="F241" s="2">
        <f>IFERROR(__xludf.DUMMYFUNCTION("""COMPUTED_VALUE"""),3.09587E7)</f>
        <v>30958700</v>
      </c>
      <c r="G241" s="2">
        <f t="shared" si="1"/>
        <v>150</v>
      </c>
    </row>
    <row r="242" ht="15.75" customHeight="1">
      <c r="A242" s="1">
        <f>IFERROR(__xludf.DUMMYFUNCTION("""COMPUTED_VALUE"""),44194.66666666667)</f>
        <v>44194.66667</v>
      </c>
      <c r="B242" s="2">
        <f>IFERROR(__xludf.DUMMYFUNCTION("""COMPUTED_VALUE"""),3225.0)</f>
        <v>3225</v>
      </c>
      <c r="C242" s="2">
        <f>IFERROR(__xludf.DUMMYFUNCTION("""COMPUTED_VALUE"""),3237.5)</f>
        <v>3237.5</v>
      </c>
      <c r="D242" s="2">
        <f>IFERROR(__xludf.DUMMYFUNCTION("""COMPUTED_VALUE"""),3125.0)</f>
        <v>3125</v>
      </c>
      <c r="E242" s="2">
        <f>IFERROR(__xludf.DUMMYFUNCTION("""COMPUTED_VALUE"""),3150.0)</f>
        <v>3150</v>
      </c>
      <c r="F242" s="2">
        <f>IFERROR(__xludf.DUMMYFUNCTION("""COMPUTED_VALUE"""),2.58683E7)</f>
        <v>25868300</v>
      </c>
      <c r="G242" s="2">
        <f t="shared" si="1"/>
        <v>112.5</v>
      </c>
    </row>
    <row r="243" ht="15.75" customHeight="1">
      <c r="A243" s="1">
        <f>IFERROR(__xludf.DUMMYFUNCTION("""COMPUTED_VALUE"""),44195.66666666667)</f>
        <v>44195.66667</v>
      </c>
      <c r="B243" s="2">
        <f>IFERROR(__xludf.DUMMYFUNCTION("""COMPUTED_VALUE"""),3150.0)</f>
        <v>3150</v>
      </c>
      <c r="C243" s="2">
        <f>IFERROR(__xludf.DUMMYFUNCTION("""COMPUTED_VALUE"""),3175.0)</f>
        <v>3175</v>
      </c>
      <c r="D243" s="2">
        <f>IFERROR(__xludf.DUMMYFUNCTION("""COMPUTED_VALUE"""),3075.0)</f>
        <v>3075</v>
      </c>
      <c r="E243" s="2">
        <f>IFERROR(__xludf.DUMMYFUNCTION("""COMPUTED_VALUE"""),3087.5)</f>
        <v>3087.5</v>
      </c>
      <c r="F243" s="2">
        <f>IFERROR(__xludf.DUMMYFUNCTION("""COMPUTED_VALUE"""),3.824E7)</f>
        <v>38240000</v>
      </c>
      <c r="G243" s="2">
        <f t="shared" si="1"/>
        <v>100</v>
      </c>
    </row>
    <row r="244" ht="15.75" customHeight="1">
      <c r="A244" s="1">
        <f>IFERROR(__xludf.DUMMYFUNCTION("""COMPUTED_VALUE"""),44200.625)</f>
        <v>44200.625</v>
      </c>
      <c r="B244" s="2">
        <f>IFERROR(__xludf.DUMMYFUNCTION("""COMPUTED_VALUE"""),3125.0)</f>
        <v>3125</v>
      </c>
      <c r="C244" s="2">
        <f>IFERROR(__xludf.DUMMYFUNCTION("""COMPUTED_VALUE"""),3200.0)</f>
        <v>3200</v>
      </c>
      <c r="D244" s="2">
        <f>IFERROR(__xludf.DUMMYFUNCTION("""COMPUTED_VALUE"""),3050.0)</f>
        <v>3050</v>
      </c>
      <c r="E244" s="2">
        <f>IFERROR(__xludf.DUMMYFUNCTION("""COMPUTED_VALUE"""),3187.5)</f>
        <v>3187.5</v>
      </c>
      <c r="F244" s="2">
        <f>IFERROR(__xludf.DUMMYFUNCTION("""COMPUTED_VALUE"""),4.08557E7)</f>
        <v>40855700</v>
      </c>
      <c r="G244" s="2">
        <f t="shared" si="1"/>
        <v>150</v>
      </c>
    </row>
    <row r="245" ht="15.75" customHeight="1">
      <c r="A245" s="1">
        <f>IFERROR(__xludf.DUMMYFUNCTION("""COMPUTED_VALUE"""),44201.625)</f>
        <v>44201.625</v>
      </c>
      <c r="B245" s="2">
        <f>IFERROR(__xludf.DUMMYFUNCTION("""COMPUTED_VALUE"""),3200.0)</f>
        <v>3200</v>
      </c>
      <c r="C245" s="2">
        <f>IFERROR(__xludf.DUMMYFUNCTION("""COMPUTED_VALUE"""),3250.0)</f>
        <v>3250</v>
      </c>
      <c r="D245" s="2">
        <f>IFERROR(__xludf.DUMMYFUNCTION("""COMPUTED_VALUE"""),3150.0)</f>
        <v>3150</v>
      </c>
      <c r="E245" s="2">
        <f>IFERROR(__xludf.DUMMYFUNCTION("""COMPUTED_VALUE"""),3250.0)</f>
        <v>3250</v>
      </c>
      <c r="F245" s="2">
        <f>IFERROR(__xludf.DUMMYFUNCTION("""COMPUTED_VALUE"""),3.42546E7)</f>
        <v>34254600</v>
      </c>
      <c r="G245" s="2">
        <f t="shared" si="1"/>
        <v>100</v>
      </c>
    </row>
    <row r="246" ht="15.75" customHeight="1">
      <c r="A246" s="1">
        <f>IFERROR(__xludf.DUMMYFUNCTION("""COMPUTED_VALUE"""),44202.625)</f>
        <v>44202.625</v>
      </c>
      <c r="B246" s="2">
        <f>IFERROR(__xludf.DUMMYFUNCTION("""COMPUTED_VALUE"""),3262.5)</f>
        <v>3262.5</v>
      </c>
      <c r="C246" s="2">
        <f>IFERROR(__xludf.DUMMYFUNCTION("""COMPUTED_VALUE"""),3275.0)</f>
        <v>3275</v>
      </c>
      <c r="D246" s="2">
        <f>IFERROR(__xludf.DUMMYFUNCTION("""COMPUTED_VALUE"""),3100.0)</f>
        <v>3100</v>
      </c>
      <c r="E246" s="2">
        <f>IFERROR(__xludf.DUMMYFUNCTION("""COMPUTED_VALUE"""),3200.0)</f>
        <v>3200</v>
      </c>
      <c r="F246" s="2">
        <f>IFERROR(__xludf.DUMMYFUNCTION("""COMPUTED_VALUE"""),3.71498E7)</f>
        <v>37149800</v>
      </c>
      <c r="G246" s="2">
        <f t="shared" si="1"/>
        <v>175</v>
      </c>
    </row>
    <row r="247" ht="15.75" customHeight="1">
      <c r="A247" s="1">
        <f>IFERROR(__xludf.DUMMYFUNCTION("""COMPUTED_VALUE"""),44203.66666666667)</f>
        <v>44203.66667</v>
      </c>
      <c r="B247" s="2">
        <f>IFERROR(__xludf.DUMMYFUNCTION("""COMPUTED_VALUE"""),3237.5)</f>
        <v>3237.5</v>
      </c>
      <c r="C247" s="2">
        <f>IFERROR(__xludf.DUMMYFUNCTION("""COMPUTED_VALUE"""),3250.0)</f>
        <v>3250</v>
      </c>
      <c r="D247" s="2">
        <f>IFERROR(__xludf.DUMMYFUNCTION("""COMPUTED_VALUE"""),3175.0)</f>
        <v>3175</v>
      </c>
      <c r="E247" s="2">
        <f>IFERROR(__xludf.DUMMYFUNCTION("""COMPUTED_VALUE"""),3212.5)</f>
        <v>3212.5</v>
      </c>
      <c r="F247" s="2">
        <f>IFERROR(__xludf.DUMMYFUNCTION("""COMPUTED_VALUE"""),3.70694E7)</f>
        <v>37069400</v>
      </c>
      <c r="G247" s="2">
        <f t="shared" si="1"/>
        <v>75</v>
      </c>
    </row>
    <row r="248" ht="15.75" customHeight="1">
      <c r="A248" s="1">
        <f>IFERROR(__xludf.DUMMYFUNCTION("""COMPUTED_VALUE"""),44204.66666666667)</f>
        <v>44204.66667</v>
      </c>
      <c r="B248" s="2">
        <f>IFERROR(__xludf.DUMMYFUNCTION("""COMPUTED_VALUE"""),3212.5)</f>
        <v>3212.5</v>
      </c>
      <c r="C248" s="2">
        <f>IFERROR(__xludf.DUMMYFUNCTION("""COMPUTED_VALUE"""),3250.0)</f>
        <v>3250</v>
      </c>
      <c r="D248" s="2">
        <f>IFERROR(__xludf.DUMMYFUNCTION("""COMPUTED_VALUE"""),3187.5)</f>
        <v>3187.5</v>
      </c>
      <c r="E248" s="2">
        <f>IFERROR(__xludf.DUMMYFUNCTION("""COMPUTED_VALUE"""),3237.5)</f>
        <v>3237.5</v>
      </c>
      <c r="F248" s="2">
        <f>IFERROR(__xludf.DUMMYFUNCTION("""COMPUTED_VALUE"""),3.64134E7)</f>
        <v>36413400</v>
      </c>
      <c r="G248" s="2">
        <f t="shared" si="1"/>
        <v>62.5</v>
      </c>
    </row>
    <row r="249" ht="15.75" customHeight="1">
      <c r="A249" s="1">
        <f>IFERROR(__xludf.DUMMYFUNCTION("""COMPUTED_VALUE"""),44207.625)</f>
        <v>44207.625</v>
      </c>
      <c r="B249" s="2">
        <f>IFERROR(__xludf.DUMMYFUNCTION("""COMPUTED_VALUE"""),3237.5)</f>
        <v>3237.5</v>
      </c>
      <c r="C249" s="2">
        <f>IFERROR(__xludf.DUMMYFUNCTION("""COMPUTED_VALUE"""),3300.0)</f>
        <v>3300</v>
      </c>
      <c r="D249" s="2">
        <f>IFERROR(__xludf.DUMMYFUNCTION("""COMPUTED_VALUE"""),3225.0)</f>
        <v>3225</v>
      </c>
      <c r="E249" s="2">
        <f>IFERROR(__xludf.DUMMYFUNCTION("""COMPUTED_VALUE"""),3262.5)</f>
        <v>3262.5</v>
      </c>
      <c r="F249" s="2">
        <f>IFERROR(__xludf.DUMMYFUNCTION("""COMPUTED_VALUE"""),7.46796E7)</f>
        <v>74679600</v>
      </c>
      <c r="G249" s="2">
        <f t="shared" si="1"/>
        <v>75</v>
      </c>
    </row>
    <row r="250" ht="15.75" customHeight="1">
      <c r="A250" s="1">
        <f>IFERROR(__xludf.DUMMYFUNCTION("""COMPUTED_VALUE"""),44208.625)</f>
        <v>44208.625</v>
      </c>
      <c r="B250" s="2">
        <f>IFERROR(__xludf.DUMMYFUNCTION("""COMPUTED_VALUE"""),3300.0)</f>
        <v>3300</v>
      </c>
      <c r="C250" s="2">
        <f>IFERROR(__xludf.DUMMYFUNCTION("""COMPUTED_VALUE"""),3337.5)</f>
        <v>3337.5</v>
      </c>
      <c r="D250" s="2">
        <f>IFERROR(__xludf.DUMMYFUNCTION("""COMPUTED_VALUE"""),3237.5)</f>
        <v>3237.5</v>
      </c>
      <c r="E250" s="2">
        <f>IFERROR(__xludf.DUMMYFUNCTION("""COMPUTED_VALUE"""),3250.0)</f>
        <v>3250</v>
      </c>
      <c r="F250" s="2">
        <f>IFERROR(__xludf.DUMMYFUNCTION("""COMPUTED_VALUE"""),6.02406E7)</f>
        <v>60240600</v>
      </c>
      <c r="G250" s="2">
        <f t="shared" si="1"/>
        <v>100</v>
      </c>
    </row>
    <row r="251" ht="15.75" customHeight="1">
      <c r="A251" s="1">
        <f>IFERROR(__xludf.DUMMYFUNCTION("""COMPUTED_VALUE"""),44209.625)</f>
        <v>44209.625</v>
      </c>
      <c r="B251" s="2">
        <f>IFERROR(__xludf.DUMMYFUNCTION("""COMPUTED_VALUE"""),3262.5)</f>
        <v>3262.5</v>
      </c>
      <c r="C251" s="2">
        <f>IFERROR(__xludf.DUMMYFUNCTION("""COMPUTED_VALUE"""),3300.0)</f>
        <v>3300</v>
      </c>
      <c r="D251" s="2">
        <f>IFERROR(__xludf.DUMMYFUNCTION("""COMPUTED_VALUE"""),3237.5)</f>
        <v>3237.5</v>
      </c>
      <c r="E251" s="2">
        <f>IFERROR(__xludf.DUMMYFUNCTION("""COMPUTED_VALUE"""),3262.5)</f>
        <v>3262.5</v>
      </c>
      <c r="F251" s="2">
        <f>IFERROR(__xludf.DUMMYFUNCTION("""COMPUTED_VALUE"""),4.23091E7)</f>
        <v>42309100</v>
      </c>
      <c r="G251" s="2">
        <f t="shared" si="1"/>
        <v>62.5</v>
      </c>
    </row>
    <row r="252" ht="15.75" customHeight="1">
      <c r="A252" s="1">
        <f>IFERROR(__xludf.DUMMYFUNCTION("""COMPUTED_VALUE"""),44210.625)</f>
        <v>44210.625</v>
      </c>
      <c r="B252" s="2">
        <f>IFERROR(__xludf.DUMMYFUNCTION("""COMPUTED_VALUE"""),3262.5)</f>
        <v>3262.5</v>
      </c>
      <c r="C252" s="2">
        <f>IFERROR(__xludf.DUMMYFUNCTION("""COMPUTED_VALUE"""),3300.0)</f>
        <v>3300</v>
      </c>
      <c r="D252" s="2">
        <f>IFERROR(__xludf.DUMMYFUNCTION("""COMPUTED_VALUE"""),3212.5)</f>
        <v>3212.5</v>
      </c>
      <c r="E252" s="2">
        <f>IFERROR(__xludf.DUMMYFUNCTION("""COMPUTED_VALUE"""),3225.0)</f>
        <v>3225</v>
      </c>
      <c r="F252" s="2">
        <f>IFERROR(__xludf.DUMMYFUNCTION("""COMPUTED_VALUE"""),3.41962E7)</f>
        <v>34196200</v>
      </c>
      <c r="G252" s="2">
        <f t="shared" si="1"/>
        <v>87.5</v>
      </c>
    </row>
    <row r="253" ht="15.75" customHeight="1">
      <c r="A253" s="1">
        <f>IFERROR(__xludf.DUMMYFUNCTION("""COMPUTED_VALUE"""),44211.625)</f>
        <v>44211.625</v>
      </c>
      <c r="B253" s="2">
        <f>IFERROR(__xludf.DUMMYFUNCTION("""COMPUTED_VALUE"""),3225.0)</f>
        <v>3225</v>
      </c>
      <c r="C253" s="2">
        <f>IFERROR(__xludf.DUMMYFUNCTION("""COMPUTED_VALUE"""),3250.0)</f>
        <v>3250</v>
      </c>
      <c r="D253" s="2">
        <f>IFERROR(__xludf.DUMMYFUNCTION("""COMPUTED_VALUE"""),3125.0)</f>
        <v>3125</v>
      </c>
      <c r="E253" s="2">
        <f>IFERROR(__xludf.DUMMYFUNCTION("""COMPUTED_VALUE"""),3162.5)</f>
        <v>3162.5</v>
      </c>
      <c r="F253" s="2">
        <f>IFERROR(__xludf.DUMMYFUNCTION("""COMPUTED_VALUE"""),5.28049E7)</f>
        <v>52804900</v>
      </c>
      <c r="G253" s="2">
        <f t="shared" si="1"/>
        <v>125</v>
      </c>
    </row>
    <row r="254" ht="15.75" customHeight="1">
      <c r="A254" s="1">
        <f>IFERROR(__xludf.DUMMYFUNCTION("""COMPUTED_VALUE"""),44214.625)</f>
        <v>44214.625</v>
      </c>
      <c r="B254" s="2">
        <f>IFERROR(__xludf.DUMMYFUNCTION("""COMPUTED_VALUE"""),3150.0)</f>
        <v>3150</v>
      </c>
      <c r="C254" s="2">
        <f>IFERROR(__xludf.DUMMYFUNCTION("""COMPUTED_VALUE"""),3187.5)</f>
        <v>3187.5</v>
      </c>
      <c r="D254" s="2">
        <f>IFERROR(__xludf.DUMMYFUNCTION("""COMPUTED_VALUE"""),3100.0)</f>
        <v>3100</v>
      </c>
      <c r="E254" s="2">
        <f>IFERROR(__xludf.DUMMYFUNCTION("""COMPUTED_VALUE"""),3150.0)</f>
        <v>3150</v>
      </c>
      <c r="F254" s="2">
        <f>IFERROR(__xludf.DUMMYFUNCTION("""COMPUTED_VALUE"""),4.04203E7)</f>
        <v>40420300</v>
      </c>
      <c r="G254" s="2">
        <f t="shared" si="1"/>
        <v>87.5</v>
      </c>
    </row>
    <row r="255" ht="15.75" customHeight="1">
      <c r="A255" s="1">
        <f>IFERROR(__xludf.DUMMYFUNCTION("""COMPUTED_VALUE"""),44215.625)</f>
        <v>44215.625</v>
      </c>
      <c r="B255" s="2">
        <f>IFERROR(__xludf.DUMMYFUNCTION("""COMPUTED_VALUE"""),3150.0)</f>
        <v>3150</v>
      </c>
      <c r="C255" s="2">
        <f>IFERROR(__xludf.DUMMYFUNCTION("""COMPUTED_VALUE"""),3187.5)</f>
        <v>3187.5</v>
      </c>
      <c r="D255" s="2">
        <f>IFERROR(__xludf.DUMMYFUNCTION("""COMPUTED_VALUE"""),3075.0)</f>
        <v>3075</v>
      </c>
      <c r="E255" s="2">
        <f>IFERROR(__xludf.DUMMYFUNCTION("""COMPUTED_VALUE"""),3112.5)</f>
        <v>3112.5</v>
      </c>
      <c r="F255" s="2">
        <f>IFERROR(__xludf.DUMMYFUNCTION("""COMPUTED_VALUE"""),4.44406E7)</f>
        <v>44440600</v>
      </c>
      <c r="G255" s="2">
        <f t="shared" si="1"/>
        <v>112.5</v>
      </c>
    </row>
    <row r="256" ht="15.75" customHeight="1">
      <c r="A256" s="1">
        <f>IFERROR(__xludf.DUMMYFUNCTION("""COMPUTED_VALUE"""),44216.625)</f>
        <v>44216.625</v>
      </c>
      <c r="B256" s="2">
        <f>IFERROR(__xludf.DUMMYFUNCTION("""COMPUTED_VALUE"""),3100.0)</f>
        <v>3100</v>
      </c>
      <c r="C256" s="2">
        <f>IFERROR(__xludf.DUMMYFUNCTION("""COMPUTED_VALUE"""),3237.5)</f>
        <v>3237.5</v>
      </c>
      <c r="D256" s="2">
        <f>IFERROR(__xludf.DUMMYFUNCTION("""COMPUTED_VALUE"""),3100.0)</f>
        <v>3100</v>
      </c>
      <c r="E256" s="2">
        <f>IFERROR(__xludf.DUMMYFUNCTION("""COMPUTED_VALUE"""),3212.5)</f>
        <v>3212.5</v>
      </c>
      <c r="F256" s="2">
        <f>IFERROR(__xludf.DUMMYFUNCTION("""COMPUTED_VALUE"""),5.4829E7)</f>
        <v>54829000</v>
      </c>
      <c r="G256" s="2">
        <f t="shared" si="1"/>
        <v>137.5</v>
      </c>
    </row>
    <row r="257" ht="15.75" customHeight="1">
      <c r="A257" s="1">
        <f>IFERROR(__xludf.DUMMYFUNCTION("""COMPUTED_VALUE"""),44217.625)</f>
        <v>44217.625</v>
      </c>
      <c r="B257" s="2">
        <f>IFERROR(__xludf.DUMMYFUNCTION("""COMPUTED_VALUE"""),3250.0)</f>
        <v>3250</v>
      </c>
      <c r="C257" s="2">
        <f>IFERROR(__xludf.DUMMYFUNCTION("""COMPUTED_VALUE"""),3287.5)</f>
        <v>3287.5</v>
      </c>
      <c r="D257" s="2">
        <f>IFERROR(__xludf.DUMMYFUNCTION("""COMPUTED_VALUE"""),3212.5)</f>
        <v>3212.5</v>
      </c>
      <c r="E257" s="2">
        <f>IFERROR(__xludf.DUMMYFUNCTION("""COMPUTED_VALUE"""),3212.5)</f>
        <v>3212.5</v>
      </c>
      <c r="F257" s="2">
        <f>IFERROR(__xludf.DUMMYFUNCTION("""COMPUTED_VALUE"""),2.97956E7)</f>
        <v>29795600</v>
      </c>
      <c r="G257" s="2">
        <f t="shared" si="1"/>
        <v>75</v>
      </c>
    </row>
    <row r="258" ht="15.75" customHeight="1">
      <c r="A258" s="1">
        <f>IFERROR(__xludf.DUMMYFUNCTION("""COMPUTED_VALUE"""),44218.625)</f>
        <v>44218.625</v>
      </c>
      <c r="B258" s="2">
        <f>IFERROR(__xludf.DUMMYFUNCTION("""COMPUTED_VALUE"""),3200.0)</f>
        <v>3200</v>
      </c>
      <c r="C258" s="2">
        <f>IFERROR(__xludf.DUMMYFUNCTION("""COMPUTED_VALUE"""),3225.0)</f>
        <v>3225</v>
      </c>
      <c r="D258" s="2">
        <f>IFERROR(__xludf.DUMMYFUNCTION("""COMPUTED_VALUE"""),3125.0)</f>
        <v>3125</v>
      </c>
      <c r="E258" s="2">
        <f>IFERROR(__xludf.DUMMYFUNCTION("""COMPUTED_VALUE"""),3137.5)</f>
        <v>3137.5</v>
      </c>
      <c r="F258" s="2">
        <f>IFERROR(__xludf.DUMMYFUNCTION("""COMPUTED_VALUE"""),4.4748E7)</f>
        <v>44748000</v>
      </c>
      <c r="G258" s="2">
        <f t="shared" si="1"/>
        <v>100</v>
      </c>
    </row>
    <row r="259" ht="15.75" customHeight="1">
      <c r="A259" s="1">
        <f>IFERROR(__xludf.DUMMYFUNCTION("""COMPUTED_VALUE"""),44221.625)</f>
        <v>44221.625</v>
      </c>
      <c r="B259" s="2">
        <f>IFERROR(__xludf.DUMMYFUNCTION("""COMPUTED_VALUE"""),3137.5)</f>
        <v>3137.5</v>
      </c>
      <c r="C259" s="2">
        <f>IFERROR(__xludf.DUMMYFUNCTION("""COMPUTED_VALUE"""),3150.0)</f>
        <v>3150</v>
      </c>
      <c r="D259" s="2">
        <f>IFERROR(__xludf.DUMMYFUNCTION("""COMPUTED_VALUE"""),3062.5)</f>
        <v>3062.5</v>
      </c>
      <c r="E259" s="2">
        <f>IFERROR(__xludf.DUMMYFUNCTION("""COMPUTED_VALUE"""),3112.5)</f>
        <v>3112.5</v>
      </c>
      <c r="F259" s="2">
        <f>IFERROR(__xludf.DUMMYFUNCTION("""COMPUTED_VALUE"""),3.14008E7)</f>
        <v>31400800</v>
      </c>
      <c r="G259" s="2">
        <f t="shared" si="1"/>
        <v>87.5</v>
      </c>
    </row>
    <row r="260" ht="15.75" customHeight="1">
      <c r="A260" s="1">
        <f>IFERROR(__xludf.DUMMYFUNCTION("""COMPUTED_VALUE"""),44222.625)</f>
        <v>44222.625</v>
      </c>
      <c r="B260" s="2">
        <f>IFERROR(__xludf.DUMMYFUNCTION("""COMPUTED_VALUE"""),3112.5)</f>
        <v>3112.5</v>
      </c>
      <c r="C260" s="2">
        <f>IFERROR(__xludf.DUMMYFUNCTION("""COMPUTED_VALUE"""),3137.5)</f>
        <v>3137.5</v>
      </c>
      <c r="D260" s="2">
        <f>IFERROR(__xludf.DUMMYFUNCTION("""COMPUTED_VALUE"""),3000.0)</f>
        <v>3000</v>
      </c>
      <c r="E260" s="2">
        <f>IFERROR(__xludf.DUMMYFUNCTION("""COMPUTED_VALUE"""),3037.5)</f>
        <v>3037.5</v>
      </c>
      <c r="F260" s="2">
        <f>IFERROR(__xludf.DUMMYFUNCTION("""COMPUTED_VALUE"""),4.73799E7)</f>
        <v>47379900</v>
      </c>
      <c r="G260" s="2">
        <f t="shared" si="1"/>
        <v>137.5</v>
      </c>
    </row>
    <row r="261" ht="15.75" customHeight="1">
      <c r="A261" s="1">
        <f>IFERROR(__xludf.DUMMYFUNCTION("""COMPUTED_VALUE"""),44223.625)</f>
        <v>44223.625</v>
      </c>
      <c r="B261" s="2">
        <f>IFERROR(__xludf.DUMMYFUNCTION("""COMPUTED_VALUE"""),3037.5)</f>
        <v>3037.5</v>
      </c>
      <c r="C261" s="2">
        <f>IFERROR(__xludf.DUMMYFUNCTION("""COMPUTED_VALUE"""),3050.0)</f>
        <v>3050</v>
      </c>
      <c r="D261" s="2">
        <f>IFERROR(__xludf.DUMMYFUNCTION("""COMPUTED_VALUE"""),2912.5)</f>
        <v>2912.5</v>
      </c>
      <c r="E261" s="2">
        <f>IFERROR(__xludf.DUMMYFUNCTION("""COMPUTED_VALUE"""),2987.5)</f>
        <v>2987.5</v>
      </c>
      <c r="F261" s="2">
        <f>IFERROR(__xludf.DUMMYFUNCTION("""COMPUTED_VALUE"""),6.05368E7)</f>
        <v>60536800</v>
      </c>
      <c r="G261" s="2">
        <f t="shared" si="1"/>
        <v>137.5</v>
      </c>
    </row>
    <row r="262" ht="15.75" customHeight="1">
      <c r="A262" s="1">
        <f>IFERROR(__xludf.DUMMYFUNCTION("""COMPUTED_VALUE"""),44224.625)</f>
        <v>44224.625</v>
      </c>
      <c r="B262" s="2">
        <f>IFERROR(__xludf.DUMMYFUNCTION("""COMPUTED_VALUE"""),2900.0)</f>
        <v>2900</v>
      </c>
      <c r="C262" s="2">
        <f>IFERROR(__xludf.DUMMYFUNCTION("""COMPUTED_VALUE"""),2975.0)</f>
        <v>2975</v>
      </c>
      <c r="D262" s="2">
        <f>IFERROR(__xludf.DUMMYFUNCTION("""COMPUTED_VALUE"""),2850.0)</f>
        <v>2850</v>
      </c>
      <c r="E262" s="2">
        <f>IFERROR(__xludf.DUMMYFUNCTION("""COMPUTED_VALUE"""),2887.5)</f>
        <v>2887.5</v>
      </c>
      <c r="F262" s="2">
        <f>IFERROR(__xludf.DUMMYFUNCTION("""COMPUTED_VALUE"""),5.28411E7)</f>
        <v>52841100</v>
      </c>
      <c r="G262" s="2">
        <f t="shared" si="1"/>
        <v>137.5</v>
      </c>
    </row>
    <row r="263" ht="15.75" customHeight="1">
      <c r="A263" s="1">
        <f>IFERROR(__xludf.DUMMYFUNCTION("""COMPUTED_VALUE"""),44225.625)</f>
        <v>44225.625</v>
      </c>
      <c r="B263" s="2">
        <f>IFERROR(__xludf.DUMMYFUNCTION("""COMPUTED_VALUE"""),2900.0)</f>
        <v>2900</v>
      </c>
      <c r="C263" s="2">
        <f>IFERROR(__xludf.DUMMYFUNCTION("""COMPUTED_VALUE"""),2987.5)</f>
        <v>2987.5</v>
      </c>
      <c r="D263" s="2">
        <f>IFERROR(__xludf.DUMMYFUNCTION("""COMPUTED_VALUE"""),2725.0)</f>
        <v>2725</v>
      </c>
      <c r="E263" s="2">
        <f>IFERROR(__xludf.DUMMYFUNCTION("""COMPUTED_VALUE"""),2775.0)</f>
        <v>2775</v>
      </c>
      <c r="F263" s="2">
        <f>IFERROR(__xludf.DUMMYFUNCTION("""COMPUTED_VALUE"""),7.79046E7)</f>
        <v>77904600</v>
      </c>
      <c r="G263" s="2">
        <f t="shared" si="1"/>
        <v>262.5</v>
      </c>
    </row>
    <row r="264" ht="15.75" customHeight="1">
      <c r="A264" s="1">
        <f>IFERROR(__xludf.DUMMYFUNCTION("""COMPUTED_VALUE"""),44228.625)</f>
        <v>44228.625</v>
      </c>
      <c r="B264" s="2">
        <f>IFERROR(__xludf.DUMMYFUNCTION("""COMPUTED_VALUE"""),2775.0)</f>
        <v>2775</v>
      </c>
      <c r="C264" s="2">
        <f>IFERROR(__xludf.DUMMYFUNCTION("""COMPUTED_VALUE"""),2937.5)</f>
        <v>2937.5</v>
      </c>
      <c r="D264" s="2">
        <f>IFERROR(__xludf.DUMMYFUNCTION("""COMPUTED_VALUE"""),2625.0)</f>
        <v>2625</v>
      </c>
      <c r="E264" s="2">
        <f>IFERROR(__xludf.DUMMYFUNCTION("""COMPUTED_VALUE"""),2925.0)</f>
        <v>2925</v>
      </c>
      <c r="F264" s="2">
        <f>IFERROR(__xludf.DUMMYFUNCTION("""COMPUTED_VALUE"""),7.66588E7)</f>
        <v>76658800</v>
      </c>
      <c r="G264" s="2">
        <f t="shared" si="1"/>
        <v>312.5</v>
      </c>
    </row>
    <row r="265" ht="15.75" customHeight="1">
      <c r="A265" s="1">
        <f>IFERROR(__xludf.DUMMYFUNCTION("""COMPUTED_VALUE"""),44229.625)</f>
        <v>44229.625</v>
      </c>
      <c r="B265" s="2">
        <f>IFERROR(__xludf.DUMMYFUNCTION("""COMPUTED_VALUE"""),2937.5)</f>
        <v>2937.5</v>
      </c>
      <c r="C265" s="2">
        <f>IFERROR(__xludf.DUMMYFUNCTION("""COMPUTED_VALUE"""),3025.0)</f>
        <v>3025</v>
      </c>
      <c r="D265" s="2">
        <f>IFERROR(__xludf.DUMMYFUNCTION("""COMPUTED_VALUE"""),2925.0)</f>
        <v>2925</v>
      </c>
      <c r="E265" s="2">
        <f>IFERROR(__xludf.DUMMYFUNCTION("""COMPUTED_VALUE"""),2950.0)</f>
        <v>2950</v>
      </c>
      <c r="F265" s="2">
        <f>IFERROR(__xludf.DUMMYFUNCTION("""COMPUTED_VALUE"""),5.68859E7)</f>
        <v>56885900</v>
      </c>
      <c r="G265" s="2">
        <f t="shared" si="1"/>
        <v>100</v>
      </c>
    </row>
    <row r="266" ht="15.75" customHeight="1">
      <c r="A266" s="1">
        <f>IFERROR(__xludf.DUMMYFUNCTION("""COMPUTED_VALUE"""),44230.625)</f>
        <v>44230.625</v>
      </c>
      <c r="B266" s="2">
        <f>IFERROR(__xludf.DUMMYFUNCTION("""COMPUTED_VALUE"""),3025.0)</f>
        <v>3025</v>
      </c>
      <c r="C266" s="2">
        <f>IFERROR(__xludf.DUMMYFUNCTION("""COMPUTED_VALUE"""),3200.0)</f>
        <v>3200</v>
      </c>
      <c r="D266" s="2">
        <f>IFERROR(__xludf.DUMMYFUNCTION("""COMPUTED_VALUE"""),2987.5)</f>
        <v>2987.5</v>
      </c>
      <c r="E266" s="2">
        <f>IFERROR(__xludf.DUMMYFUNCTION("""COMPUTED_VALUE"""),3150.0)</f>
        <v>3150</v>
      </c>
      <c r="F266" s="2">
        <f>IFERROR(__xludf.DUMMYFUNCTION("""COMPUTED_VALUE"""),1.197768E8)</f>
        <v>119776800</v>
      </c>
      <c r="G266" s="2">
        <f t="shared" si="1"/>
        <v>250</v>
      </c>
    </row>
    <row r="267" ht="15.75" customHeight="1">
      <c r="A267" s="1">
        <f>IFERROR(__xludf.DUMMYFUNCTION("""COMPUTED_VALUE"""),44231.625)</f>
        <v>44231.625</v>
      </c>
      <c r="B267" s="2">
        <f>IFERROR(__xludf.DUMMYFUNCTION("""COMPUTED_VALUE"""),3162.5)</f>
        <v>3162.5</v>
      </c>
      <c r="C267" s="2">
        <f>IFERROR(__xludf.DUMMYFUNCTION("""COMPUTED_VALUE"""),3175.0)</f>
        <v>3175</v>
      </c>
      <c r="D267" s="2">
        <f>IFERROR(__xludf.DUMMYFUNCTION("""COMPUTED_VALUE"""),3087.5)</f>
        <v>3087.5</v>
      </c>
      <c r="E267" s="2">
        <f>IFERROR(__xludf.DUMMYFUNCTION("""COMPUTED_VALUE"""),3137.5)</f>
        <v>3137.5</v>
      </c>
      <c r="F267" s="2">
        <f>IFERROR(__xludf.DUMMYFUNCTION("""COMPUTED_VALUE"""),5.01311E7)</f>
        <v>50131100</v>
      </c>
      <c r="G267" s="2">
        <f t="shared" si="1"/>
        <v>87.5</v>
      </c>
    </row>
    <row r="268" ht="15.75" customHeight="1">
      <c r="A268" s="1">
        <f>IFERROR(__xludf.DUMMYFUNCTION("""COMPUTED_VALUE"""),44232.625)</f>
        <v>44232.625</v>
      </c>
      <c r="B268" s="2">
        <f>IFERROR(__xludf.DUMMYFUNCTION("""COMPUTED_VALUE"""),3175.0)</f>
        <v>3175</v>
      </c>
      <c r="C268" s="2">
        <f>IFERROR(__xludf.DUMMYFUNCTION("""COMPUTED_VALUE"""),3187.5)</f>
        <v>3187.5</v>
      </c>
      <c r="D268" s="2">
        <f>IFERROR(__xludf.DUMMYFUNCTION("""COMPUTED_VALUE"""),3112.5)</f>
        <v>3112.5</v>
      </c>
      <c r="E268" s="2">
        <f>IFERROR(__xludf.DUMMYFUNCTION("""COMPUTED_VALUE"""),3150.0)</f>
        <v>3150</v>
      </c>
      <c r="F268" s="2">
        <f>IFERROR(__xludf.DUMMYFUNCTION("""COMPUTED_VALUE"""),2.30301E7)</f>
        <v>23030100</v>
      </c>
      <c r="G268" s="2">
        <f t="shared" si="1"/>
        <v>75</v>
      </c>
    </row>
    <row r="269" ht="15.75" customHeight="1">
      <c r="A269" s="1">
        <f>IFERROR(__xludf.DUMMYFUNCTION("""COMPUTED_VALUE"""),44235.625)</f>
        <v>44235.625</v>
      </c>
      <c r="B269" s="2">
        <f>IFERROR(__xludf.DUMMYFUNCTION("""COMPUTED_VALUE"""),3150.0)</f>
        <v>3150</v>
      </c>
      <c r="C269" s="2">
        <f>IFERROR(__xludf.DUMMYFUNCTION("""COMPUTED_VALUE"""),3187.5)</f>
        <v>3187.5</v>
      </c>
      <c r="D269" s="2">
        <f>IFERROR(__xludf.DUMMYFUNCTION("""COMPUTED_VALUE"""),3137.5)</f>
        <v>3137.5</v>
      </c>
      <c r="E269" s="2">
        <f>IFERROR(__xludf.DUMMYFUNCTION("""COMPUTED_VALUE"""),3150.0)</f>
        <v>3150</v>
      </c>
      <c r="F269" s="2">
        <f>IFERROR(__xludf.DUMMYFUNCTION("""COMPUTED_VALUE"""),2.24257E7)</f>
        <v>22425700</v>
      </c>
      <c r="G269" s="2">
        <f t="shared" si="1"/>
        <v>50</v>
      </c>
    </row>
    <row r="270" ht="15.75" customHeight="1">
      <c r="A270" s="1">
        <f>IFERROR(__xludf.DUMMYFUNCTION("""COMPUTED_VALUE"""),44236.625)</f>
        <v>44236.625</v>
      </c>
      <c r="B270" s="2">
        <f>IFERROR(__xludf.DUMMYFUNCTION("""COMPUTED_VALUE"""),3137.5)</f>
        <v>3137.5</v>
      </c>
      <c r="C270" s="2">
        <f>IFERROR(__xludf.DUMMYFUNCTION("""COMPUTED_VALUE"""),3200.0)</f>
        <v>3200</v>
      </c>
      <c r="D270" s="2">
        <f>IFERROR(__xludf.DUMMYFUNCTION("""COMPUTED_VALUE"""),3100.0)</f>
        <v>3100</v>
      </c>
      <c r="E270" s="2">
        <f>IFERROR(__xludf.DUMMYFUNCTION("""COMPUTED_VALUE"""),3112.5)</f>
        <v>3112.5</v>
      </c>
      <c r="F270" s="2">
        <f>IFERROR(__xludf.DUMMYFUNCTION("""COMPUTED_VALUE"""),4.31287E7)</f>
        <v>43128700</v>
      </c>
      <c r="G270" s="2">
        <f t="shared" si="1"/>
        <v>100</v>
      </c>
    </row>
    <row r="271" ht="15.75" customHeight="1">
      <c r="A271" s="1">
        <f>IFERROR(__xludf.DUMMYFUNCTION("""COMPUTED_VALUE"""),44237.625)</f>
        <v>44237.625</v>
      </c>
      <c r="B271" s="2">
        <f>IFERROR(__xludf.DUMMYFUNCTION("""COMPUTED_VALUE"""),3112.5)</f>
        <v>3112.5</v>
      </c>
      <c r="C271" s="2">
        <f>IFERROR(__xludf.DUMMYFUNCTION("""COMPUTED_VALUE"""),3137.5)</f>
        <v>3137.5</v>
      </c>
      <c r="D271" s="2">
        <f>IFERROR(__xludf.DUMMYFUNCTION("""COMPUTED_VALUE"""),3075.0)</f>
        <v>3075</v>
      </c>
      <c r="E271" s="2">
        <f>IFERROR(__xludf.DUMMYFUNCTION("""COMPUTED_VALUE"""),3100.0)</f>
        <v>3100</v>
      </c>
      <c r="F271" s="2">
        <f>IFERROR(__xludf.DUMMYFUNCTION("""COMPUTED_VALUE"""),1.50121E7)</f>
        <v>15012100</v>
      </c>
      <c r="G271" s="2">
        <f t="shared" si="1"/>
        <v>62.5</v>
      </c>
    </row>
    <row r="272" ht="15.75" customHeight="1">
      <c r="A272" s="1">
        <f>IFERROR(__xludf.DUMMYFUNCTION("""COMPUTED_VALUE"""),44238.625)</f>
        <v>44238.625</v>
      </c>
      <c r="B272" s="2">
        <f>IFERROR(__xludf.DUMMYFUNCTION("""COMPUTED_VALUE"""),3125.0)</f>
        <v>3125</v>
      </c>
      <c r="C272" s="2">
        <f>IFERROR(__xludf.DUMMYFUNCTION("""COMPUTED_VALUE"""),3125.0)</f>
        <v>3125</v>
      </c>
      <c r="D272" s="2">
        <f>IFERROR(__xludf.DUMMYFUNCTION("""COMPUTED_VALUE"""),3075.0)</f>
        <v>3075</v>
      </c>
      <c r="E272" s="2">
        <f>IFERROR(__xludf.DUMMYFUNCTION("""COMPUTED_VALUE"""),3100.0)</f>
        <v>3100</v>
      </c>
      <c r="F272" s="2">
        <f>IFERROR(__xludf.DUMMYFUNCTION("""COMPUTED_VALUE"""),1.33315E7)</f>
        <v>13331500</v>
      </c>
      <c r="G272" s="2">
        <f t="shared" si="1"/>
        <v>50</v>
      </c>
    </row>
    <row r="273" ht="15.75" customHeight="1">
      <c r="A273" s="1">
        <f>IFERROR(__xludf.DUMMYFUNCTION("""COMPUTED_VALUE"""),44242.625)</f>
        <v>44242.625</v>
      </c>
      <c r="B273" s="2">
        <f>IFERROR(__xludf.DUMMYFUNCTION("""COMPUTED_VALUE"""),3125.0)</f>
        <v>3125</v>
      </c>
      <c r="C273" s="2">
        <f>IFERROR(__xludf.DUMMYFUNCTION("""COMPUTED_VALUE"""),3162.5)</f>
        <v>3162.5</v>
      </c>
      <c r="D273" s="2">
        <f>IFERROR(__xludf.DUMMYFUNCTION("""COMPUTED_VALUE"""),3087.5)</f>
        <v>3087.5</v>
      </c>
      <c r="E273" s="2">
        <f>IFERROR(__xludf.DUMMYFUNCTION("""COMPUTED_VALUE"""),3112.5)</f>
        <v>3112.5</v>
      </c>
      <c r="F273" s="2">
        <f>IFERROR(__xludf.DUMMYFUNCTION("""COMPUTED_VALUE"""),2.65335E7)</f>
        <v>26533500</v>
      </c>
      <c r="G273" s="2">
        <f t="shared" si="1"/>
        <v>75</v>
      </c>
    </row>
    <row r="274" ht="15.75" customHeight="1">
      <c r="A274" s="1">
        <f>IFERROR(__xludf.DUMMYFUNCTION("""COMPUTED_VALUE"""),44243.625)</f>
        <v>44243.625</v>
      </c>
      <c r="B274" s="2">
        <f>IFERROR(__xludf.DUMMYFUNCTION("""COMPUTED_VALUE"""),3125.0)</f>
        <v>3125</v>
      </c>
      <c r="C274" s="2">
        <f>IFERROR(__xludf.DUMMYFUNCTION("""COMPUTED_VALUE"""),3187.5)</f>
        <v>3187.5</v>
      </c>
      <c r="D274" s="2">
        <f>IFERROR(__xludf.DUMMYFUNCTION("""COMPUTED_VALUE"""),3087.5)</f>
        <v>3087.5</v>
      </c>
      <c r="E274" s="2">
        <f>IFERROR(__xludf.DUMMYFUNCTION("""COMPUTED_VALUE"""),3175.0)</f>
        <v>3175</v>
      </c>
      <c r="F274" s="2">
        <f>IFERROR(__xludf.DUMMYFUNCTION("""COMPUTED_VALUE"""),3.79106E7)</f>
        <v>37910600</v>
      </c>
      <c r="G274" s="2">
        <f t="shared" si="1"/>
        <v>100</v>
      </c>
    </row>
    <row r="275" ht="15.75" customHeight="1">
      <c r="A275" s="1">
        <f>IFERROR(__xludf.DUMMYFUNCTION("""COMPUTED_VALUE"""),44244.625)</f>
        <v>44244.625</v>
      </c>
      <c r="B275" s="2">
        <f>IFERROR(__xludf.DUMMYFUNCTION("""COMPUTED_VALUE"""),3187.5)</f>
        <v>3187.5</v>
      </c>
      <c r="C275" s="2">
        <f>IFERROR(__xludf.DUMMYFUNCTION("""COMPUTED_VALUE"""),3200.0)</f>
        <v>3200</v>
      </c>
      <c r="D275" s="2">
        <f>IFERROR(__xludf.DUMMYFUNCTION("""COMPUTED_VALUE"""),3075.0)</f>
        <v>3075</v>
      </c>
      <c r="E275" s="2">
        <f>IFERROR(__xludf.DUMMYFUNCTION("""COMPUTED_VALUE"""),3075.0)</f>
        <v>3075</v>
      </c>
      <c r="F275" s="2">
        <f>IFERROR(__xludf.DUMMYFUNCTION("""COMPUTED_VALUE"""),4.49431E7)</f>
        <v>44943100</v>
      </c>
      <c r="G275" s="2">
        <f t="shared" si="1"/>
        <v>125</v>
      </c>
    </row>
    <row r="276" ht="15.75" customHeight="1">
      <c r="A276" s="1">
        <f>IFERROR(__xludf.DUMMYFUNCTION("""COMPUTED_VALUE"""),44245.625)</f>
        <v>44245.625</v>
      </c>
      <c r="B276" s="2">
        <f>IFERROR(__xludf.DUMMYFUNCTION("""COMPUTED_VALUE"""),3050.0)</f>
        <v>3050</v>
      </c>
      <c r="C276" s="2">
        <f>IFERROR(__xludf.DUMMYFUNCTION("""COMPUTED_VALUE"""),3100.0)</f>
        <v>3100</v>
      </c>
      <c r="D276" s="2">
        <f>IFERROR(__xludf.DUMMYFUNCTION("""COMPUTED_VALUE"""),3000.0)</f>
        <v>3000</v>
      </c>
      <c r="E276" s="2">
        <f>IFERROR(__xludf.DUMMYFUNCTION("""COMPUTED_VALUE"""),3012.5)</f>
        <v>3012.5</v>
      </c>
      <c r="F276" s="2">
        <f>IFERROR(__xludf.DUMMYFUNCTION("""COMPUTED_VALUE"""),3.21978E7)</f>
        <v>32197800</v>
      </c>
      <c r="G276" s="2">
        <f t="shared" si="1"/>
        <v>100</v>
      </c>
    </row>
    <row r="277" ht="15.75" customHeight="1">
      <c r="A277" s="1">
        <f>IFERROR(__xludf.DUMMYFUNCTION("""COMPUTED_VALUE"""),44246.625)</f>
        <v>44246.625</v>
      </c>
      <c r="B277" s="2">
        <f>IFERROR(__xludf.DUMMYFUNCTION("""COMPUTED_VALUE"""),3000.0)</f>
        <v>3000</v>
      </c>
      <c r="C277" s="2">
        <f>IFERROR(__xludf.DUMMYFUNCTION("""COMPUTED_VALUE"""),3025.0)</f>
        <v>3025</v>
      </c>
      <c r="D277" s="2">
        <f>IFERROR(__xludf.DUMMYFUNCTION("""COMPUTED_VALUE"""),2962.5)</f>
        <v>2962.5</v>
      </c>
      <c r="E277" s="2">
        <f>IFERROR(__xludf.DUMMYFUNCTION("""COMPUTED_VALUE"""),3000.0)</f>
        <v>3000</v>
      </c>
      <c r="F277" s="2">
        <f>IFERROR(__xludf.DUMMYFUNCTION("""COMPUTED_VALUE"""),2.57628E7)</f>
        <v>25762800</v>
      </c>
      <c r="G277" s="2">
        <f t="shared" si="1"/>
        <v>62.5</v>
      </c>
    </row>
    <row r="278" ht="15.75" customHeight="1">
      <c r="A278" s="1">
        <f>IFERROR(__xludf.DUMMYFUNCTION("""COMPUTED_VALUE"""),44249.625)</f>
        <v>44249.625</v>
      </c>
      <c r="B278" s="2">
        <f>IFERROR(__xludf.DUMMYFUNCTION("""COMPUTED_VALUE"""),3000.0)</f>
        <v>3000</v>
      </c>
      <c r="C278" s="2">
        <f>IFERROR(__xludf.DUMMYFUNCTION("""COMPUTED_VALUE"""),3037.5)</f>
        <v>3037.5</v>
      </c>
      <c r="D278" s="2">
        <f>IFERROR(__xludf.DUMMYFUNCTION("""COMPUTED_VALUE"""),2962.5)</f>
        <v>2962.5</v>
      </c>
      <c r="E278" s="2">
        <f>IFERROR(__xludf.DUMMYFUNCTION("""COMPUTED_VALUE"""),2962.5)</f>
        <v>2962.5</v>
      </c>
      <c r="F278" s="2">
        <f>IFERROR(__xludf.DUMMYFUNCTION("""COMPUTED_VALUE"""),3.47361E7)</f>
        <v>34736100</v>
      </c>
      <c r="G278" s="2">
        <f t="shared" si="1"/>
        <v>75</v>
      </c>
    </row>
    <row r="279" ht="15.75" customHeight="1">
      <c r="A279" s="1">
        <f>IFERROR(__xludf.DUMMYFUNCTION("""COMPUTED_VALUE"""),44250.66666666667)</f>
        <v>44250.66667</v>
      </c>
      <c r="B279" s="2">
        <f>IFERROR(__xludf.DUMMYFUNCTION("""COMPUTED_VALUE"""),2962.5)</f>
        <v>2962.5</v>
      </c>
      <c r="C279" s="2">
        <f>IFERROR(__xludf.DUMMYFUNCTION("""COMPUTED_VALUE"""),3000.0)</f>
        <v>3000</v>
      </c>
      <c r="D279" s="2">
        <f>IFERROR(__xludf.DUMMYFUNCTION("""COMPUTED_VALUE"""),2950.0)</f>
        <v>2950</v>
      </c>
      <c r="E279" s="2">
        <f>IFERROR(__xludf.DUMMYFUNCTION("""COMPUTED_VALUE"""),2975.0)</f>
        <v>2975</v>
      </c>
      <c r="F279" s="2">
        <f>IFERROR(__xludf.DUMMYFUNCTION("""COMPUTED_VALUE"""),1.91638E7)</f>
        <v>19163800</v>
      </c>
      <c r="G279" s="2">
        <f t="shared" si="1"/>
        <v>50</v>
      </c>
    </row>
    <row r="280" ht="15.75" customHeight="1">
      <c r="A280" s="1">
        <f>IFERROR(__xludf.DUMMYFUNCTION("""COMPUTED_VALUE"""),44251.625)</f>
        <v>44251.625</v>
      </c>
      <c r="B280" s="2">
        <f>IFERROR(__xludf.DUMMYFUNCTION("""COMPUTED_VALUE"""),2987.5)</f>
        <v>2987.5</v>
      </c>
      <c r="C280" s="2">
        <f>IFERROR(__xludf.DUMMYFUNCTION("""COMPUTED_VALUE"""),3050.0)</f>
        <v>3050</v>
      </c>
      <c r="D280" s="2">
        <f>IFERROR(__xludf.DUMMYFUNCTION("""COMPUTED_VALUE"""),2987.5)</f>
        <v>2987.5</v>
      </c>
      <c r="E280" s="2">
        <f>IFERROR(__xludf.DUMMYFUNCTION("""COMPUTED_VALUE"""),3037.5)</f>
        <v>3037.5</v>
      </c>
      <c r="F280" s="2">
        <f>IFERROR(__xludf.DUMMYFUNCTION("""COMPUTED_VALUE"""),3.11618E7)</f>
        <v>31161800</v>
      </c>
      <c r="G280" s="2">
        <f t="shared" si="1"/>
        <v>75</v>
      </c>
    </row>
    <row r="281" ht="15.75" customHeight="1">
      <c r="A281" s="1">
        <f>IFERROR(__xludf.DUMMYFUNCTION("""COMPUTED_VALUE"""),44252.625)</f>
        <v>44252.625</v>
      </c>
      <c r="B281" s="2">
        <f>IFERROR(__xludf.DUMMYFUNCTION("""COMPUTED_VALUE"""),3075.0)</f>
        <v>3075</v>
      </c>
      <c r="C281" s="2">
        <f>IFERROR(__xludf.DUMMYFUNCTION("""COMPUTED_VALUE"""),3100.0)</f>
        <v>3100</v>
      </c>
      <c r="D281" s="2">
        <f>IFERROR(__xludf.DUMMYFUNCTION("""COMPUTED_VALUE"""),3037.5)</f>
        <v>3037.5</v>
      </c>
      <c r="E281" s="2">
        <f>IFERROR(__xludf.DUMMYFUNCTION("""COMPUTED_VALUE"""),3037.5)</f>
        <v>3037.5</v>
      </c>
      <c r="F281" s="2">
        <f>IFERROR(__xludf.DUMMYFUNCTION("""COMPUTED_VALUE"""),3.42082E7)</f>
        <v>34208200</v>
      </c>
      <c r="G281" s="2">
        <f t="shared" si="1"/>
        <v>62.5</v>
      </c>
    </row>
    <row r="282" ht="15.75" customHeight="1">
      <c r="A282" s="1">
        <f>IFERROR(__xludf.DUMMYFUNCTION("""COMPUTED_VALUE"""),44253.625)</f>
        <v>44253.625</v>
      </c>
      <c r="B282" s="2">
        <f>IFERROR(__xludf.DUMMYFUNCTION("""COMPUTED_VALUE"""),2975.0)</f>
        <v>2975</v>
      </c>
      <c r="C282" s="2">
        <f>IFERROR(__xludf.DUMMYFUNCTION("""COMPUTED_VALUE"""),3050.0)</f>
        <v>3050</v>
      </c>
      <c r="D282" s="2">
        <f>IFERROR(__xludf.DUMMYFUNCTION("""COMPUTED_VALUE"""),2962.5)</f>
        <v>2962.5</v>
      </c>
      <c r="E282" s="2">
        <f>IFERROR(__xludf.DUMMYFUNCTION("""COMPUTED_VALUE"""),2975.0)</f>
        <v>2975</v>
      </c>
      <c r="F282" s="2">
        <f>IFERROR(__xludf.DUMMYFUNCTION("""COMPUTED_VALUE"""),6.75085E7)</f>
        <v>67508500</v>
      </c>
      <c r="G282" s="2">
        <f t="shared" si="1"/>
        <v>87.5</v>
      </c>
    </row>
    <row r="283" ht="15.75" customHeight="1">
      <c r="A283" s="1">
        <f>IFERROR(__xludf.DUMMYFUNCTION("""COMPUTED_VALUE"""),44256.625)</f>
        <v>44256.625</v>
      </c>
      <c r="B283" s="2">
        <f>IFERROR(__xludf.DUMMYFUNCTION("""COMPUTED_VALUE"""),3000.0)</f>
        <v>3000</v>
      </c>
      <c r="C283" s="2">
        <f>IFERROR(__xludf.DUMMYFUNCTION("""COMPUTED_VALUE"""),3112.5)</f>
        <v>3112.5</v>
      </c>
      <c r="D283" s="2">
        <f>IFERROR(__xludf.DUMMYFUNCTION("""COMPUTED_VALUE"""),2987.5)</f>
        <v>2987.5</v>
      </c>
      <c r="E283" s="2">
        <f>IFERROR(__xludf.DUMMYFUNCTION("""COMPUTED_VALUE"""),3112.5)</f>
        <v>3112.5</v>
      </c>
      <c r="F283" s="2">
        <f>IFERROR(__xludf.DUMMYFUNCTION("""COMPUTED_VALUE"""),4.11944E7)</f>
        <v>41194400</v>
      </c>
      <c r="G283" s="2">
        <f t="shared" si="1"/>
        <v>137.5</v>
      </c>
    </row>
    <row r="284" ht="15.75" customHeight="1">
      <c r="A284" s="1">
        <f>IFERROR(__xludf.DUMMYFUNCTION("""COMPUTED_VALUE"""),44257.625)</f>
        <v>44257.625</v>
      </c>
      <c r="B284" s="2">
        <f>IFERROR(__xludf.DUMMYFUNCTION("""COMPUTED_VALUE"""),3137.5)</f>
        <v>3137.5</v>
      </c>
      <c r="C284" s="2">
        <f>IFERROR(__xludf.DUMMYFUNCTION("""COMPUTED_VALUE"""),3150.0)</f>
        <v>3150</v>
      </c>
      <c r="D284" s="2">
        <f>IFERROR(__xludf.DUMMYFUNCTION("""COMPUTED_VALUE"""),3050.0)</f>
        <v>3050</v>
      </c>
      <c r="E284" s="2">
        <f>IFERROR(__xludf.DUMMYFUNCTION("""COMPUTED_VALUE"""),3075.0)</f>
        <v>3075</v>
      </c>
      <c r="F284" s="2">
        <f>IFERROR(__xludf.DUMMYFUNCTION("""COMPUTED_VALUE"""),2.85596E7)</f>
        <v>28559600</v>
      </c>
      <c r="G284" s="2">
        <f t="shared" si="1"/>
        <v>100</v>
      </c>
    </row>
    <row r="285" ht="15.75" customHeight="1">
      <c r="A285" s="1">
        <f>IFERROR(__xludf.DUMMYFUNCTION("""COMPUTED_VALUE"""),44258.625)</f>
        <v>44258.625</v>
      </c>
      <c r="B285" s="2">
        <f>IFERROR(__xludf.DUMMYFUNCTION("""COMPUTED_VALUE"""),3075.0)</f>
        <v>3075</v>
      </c>
      <c r="C285" s="2">
        <f>IFERROR(__xludf.DUMMYFUNCTION("""COMPUTED_VALUE"""),3100.0)</f>
        <v>3100</v>
      </c>
      <c r="D285" s="2">
        <f>IFERROR(__xludf.DUMMYFUNCTION("""COMPUTED_VALUE"""),3012.5)</f>
        <v>3012.5</v>
      </c>
      <c r="E285" s="2">
        <f>IFERROR(__xludf.DUMMYFUNCTION("""COMPUTED_VALUE"""),3012.5)</f>
        <v>3012.5</v>
      </c>
      <c r="F285" s="2">
        <f>IFERROR(__xludf.DUMMYFUNCTION("""COMPUTED_VALUE"""),3.24275E7)</f>
        <v>32427500</v>
      </c>
      <c r="G285" s="2">
        <f t="shared" si="1"/>
        <v>87.5</v>
      </c>
    </row>
    <row r="286" ht="15.75" customHeight="1">
      <c r="A286" s="1">
        <f>IFERROR(__xludf.DUMMYFUNCTION("""COMPUTED_VALUE"""),44259.625)</f>
        <v>44259.625</v>
      </c>
      <c r="B286" s="2">
        <f>IFERROR(__xludf.DUMMYFUNCTION("""COMPUTED_VALUE"""),3012.5)</f>
        <v>3012.5</v>
      </c>
      <c r="C286" s="2">
        <f>IFERROR(__xludf.DUMMYFUNCTION("""COMPUTED_VALUE"""),3037.5)</f>
        <v>3037.5</v>
      </c>
      <c r="D286" s="2">
        <f>IFERROR(__xludf.DUMMYFUNCTION("""COMPUTED_VALUE"""),2987.5)</f>
        <v>2987.5</v>
      </c>
      <c r="E286" s="2">
        <f>IFERROR(__xludf.DUMMYFUNCTION("""COMPUTED_VALUE"""),3000.0)</f>
        <v>3000</v>
      </c>
      <c r="F286" s="2">
        <f>IFERROR(__xludf.DUMMYFUNCTION("""COMPUTED_VALUE"""),1.76834E7)</f>
        <v>17683400</v>
      </c>
      <c r="G286" s="2">
        <f t="shared" si="1"/>
        <v>50</v>
      </c>
    </row>
    <row r="287" ht="15.75" customHeight="1">
      <c r="A287" s="1">
        <f>IFERROR(__xludf.DUMMYFUNCTION("""COMPUTED_VALUE"""),44260.625)</f>
        <v>44260.625</v>
      </c>
      <c r="B287" s="2">
        <f>IFERROR(__xludf.DUMMYFUNCTION("""COMPUTED_VALUE"""),2950.0)</f>
        <v>2950</v>
      </c>
      <c r="C287" s="2">
        <f>IFERROR(__xludf.DUMMYFUNCTION("""COMPUTED_VALUE"""),3025.0)</f>
        <v>3025</v>
      </c>
      <c r="D287" s="2">
        <f>IFERROR(__xludf.DUMMYFUNCTION("""COMPUTED_VALUE"""),2937.5)</f>
        <v>2937.5</v>
      </c>
      <c r="E287" s="2">
        <f>IFERROR(__xludf.DUMMYFUNCTION("""COMPUTED_VALUE"""),3000.0)</f>
        <v>3000</v>
      </c>
      <c r="F287" s="2">
        <f>IFERROR(__xludf.DUMMYFUNCTION("""COMPUTED_VALUE"""),2.41036E7)</f>
        <v>24103600</v>
      </c>
      <c r="G287" s="2">
        <f t="shared" si="1"/>
        <v>87.5</v>
      </c>
    </row>
    <row r="288" ht="15.75" customHeight="1">
      <c r="A288" s="1">
        <f>IFERROR(__xludf.DUMMYFUNCTION("""COMPUTED_VALUE"""),44263.66666666667)</f>
        <v>44263.66667</v>
      </c>
      <c r="B288" s="2">
        <f>IFERROR(__xludf.DUMMYFUNCTION("""COMPUTED_VALUE"""),3037.5)</f>
        <v>3037.5</v>
      </c>
      <c r="C288" s="2">
        <f>IFERROR(__xludf.DUMMYFUNCTION("""COMPUTED_VALUE"""),3050.0)</f>
        <v>3050</v>
      </c>
      <c r="D288" s="2">
        <f>IFERROR(__xludf.DUMMYFUNCTION("""COMPUTED_VALUE"""),3000.0)</f>
        <v>3000</v>
      </c>
      <c r="E288" s="2">
        <f>IFERROR(__xludf.DUMMYFUNCTION("""COMPUTED_VALUE"""),3000.0)</f>
        <v>3000</v>
      </c>
      <c r="F288" s="2">
        <f>IFERROR(__xludf.DUMMYFUNCTION("""COMPUTED_VALUE"""),1.23689E7)</f>
        <v>12368900</v>
      </c>
      <c r="G288" s="2">
        <f t="shared" si="1"/>
        <v>50</v>
      </c>
    </row>
    <row r="289" ht="15.75" customHeight="1">
      <c r="A289" s="1">
        <f>IFERROR(__xludf.DUMMYFUNCTION("""COMPUTED_VALUE"""),44264.625)</f>
        <v>44264.625</v>
      </c>
      <c r="B289" s="2">
        <f>IFERROR(__xludf.DUMMYFUNCTION("""COMPUTED_VALUE"""),3037.5)</f>
        <v>3037.5</v>
      </c>
      <c r="C289" s="2">
        <f>IFERROR(__xludf.DUMMYFUNCTION("""COMPUTED_VALUE"""),3050.0)</f>
        <v>3050</v>
      </c>
      <c r="D289" s="2">
        <f>IFERROR(__xludf.DUMMYFUNCTION("""COMPUTED_VALUE"""),2962.5)</f>
        <v>2962.5</v>
      </c>
      <c r="E289" s="2">
        <f>IFERROR(__xludf.DUMMYFUNCTION("""COMPUTED_VALUE"""),2987.5)</f>
        <v>2987.5</v>
      </c>
      <c r="F289" s="2">
        <f>IFERROR(__xludf.DUMMYFUNCTION("""COMPUTED_VALUE"""),2.166E7)</f>
        <v>21660000</v>
      </c>
      <c r="G289" s="2">
        <f t="shared" si="1"/>
        <v>87.5</v>
      </c>
    </row>
    <row r="290" ht="15.75" customHeight="1">
      <c r="A290" s="1">
        <f>IFERROR(__xludf.DUMMYFUNCTION("""COMPUTED_VALUE"""),44265.625)</f>
        <v>44265.625</v>
      </c>
      <c r="B290" s="2">
        <f>IFERROR(__xludf.DUMMYFUNCTION("""COMPUTED_VALUE"""),3012.5)</f>
        <v>3012.5</v>
      </c>
      <c r="C290" s="2">
        <f>IFERROR(__xludf.DUMMYFUNCTION("""COMPUTED_VALUE"""),3050.0)</f>
        <v>3050</v>
      </c>
      <c r="D290" s="2">
        <f>IFERROR(__xludf.DUMMYFUNCTION("""COMPUTED_VALUE"""),2975.0)</f>
        <v>2975</v>
      </c>
      <c r="E290" s="2">
        <f>IFERROR(__xludf.DUMMYFUNCTION("""COMPUTED_VALUE"""),3025.0)</f>
        <v>3025</v>
      </c>
      <c r="F290" s="2">
        <f>IFERROR(__xludf.DUMMYFUNCTION("""COMPUTED_VALUE"""),1.54675E7)</f>
        <v>15467500</v>
      </c>
      <c r="G290" s="2">
        <f t="shared" si="1"/>
        <v>75</v>
      </c>
    </row>
    <row r="291" ht="15.75" customHeight="1">
      <c r="A291" s="1">
        <f>IFERROR(__xludf.DUMMYFUNCTION("""COMPUTED_VALUE"""),44267.625)</f>
        <v>44267.625</v>
      </c>
      <c r="B291" s="2">
        <f>IFERROR(__xludf.DUMMYFUNCTION("""COMPUTED_VALUE"""),3062.5)</f>
        <v>3062.5</v>
      </c>
      <c r="C291" s="2">
        <f>IFERROR(__xludf.DUMMYFUNCTION("""COMPUTED_VALUE"""),3100.0)</f>
        <v>3100</v>
      </c>
      <c r="D291" s="2">
        <f>IFERROR(__xludf.DUMMYFUNCTION("""COMPUTED_VALUE"""),3025.0)</f>
        <v>3025</v>
      </c>
      <c r="E291" s="2">
        <f>IFERROR(__xludf.DUMMYFUNCTION("""COMPUTED_VALUE"""),3075.0)</f>
        <v>3075</v>
      </c>
      <c r="F291" s="2">
        <f>IFERROR(__xludf.DUMMYFUNCTION("""COMPUTED_VALUE"""),3.74986E7)</f>
        <v>37498600</v>
      </c>
      <c r="G291" s="2">
        <f t="shared" si="1"/>
        <v>75</v>
      </c>
    </row>
    <row r="292" ht="15.75" customHeight="1">
      <c r="A292" s="1">
        <f>IFERROR(__xludf.DUMMYFUNCTION("""COMPUTED_VALUE"""),44270.625)</f>
        <v>44270.625</v>
      </c>
      <c r="B292" s="2">
        <f>IFERROR(__xludf.DUMMYFUNCTION("""COMPUTED_VALUE"""),3100.0)</f>
        <v>3100</v>
      </c>
      <c r="C292" s="2">
        <f>IFERROR(__xludf.DUMMYFUNCTION("""COMPUTED_VALUE"""),3175.0)</f>
        <v>3175</v>
      </c>
      <c r="D292" s="2">
        <f>IFERROR(__xludf.DUMMYFUNCTION("""COMPUTED_VALUE"""),3075.0)</f>
        <v>3075</v>
      </c>
      <c r="E292" s="2">
        <f>IFERROR(__xludf.DUMMYFUNCTION("""COMPUTED_VALUE"""),3162.5)</f>
        <v>3162.5</v>
      </c>
      <c r="F292" s="2">
        <f>IFERROR(__xludf.DUMMYFUNCTION("""COMPUTED_VALUE"""),6.68848E7)</f>
        <v>66884800</v>
      </c>
      <c r="G292" s="2">
        <f t="shared" si="1"/>
        <v>100</v>
      </c>
    </row>
    <row r="293" ht="15.75" customHeight="1">
      <c r="A293" s="1">
        <f>IFERROR(__xludf.DUMMYFUNCTION("""COMPUTED_VALUE"""),44271.625)</f>
        <v>44271.625</v>
      </c>
      <c r="B293" s="2">
        <f>IFERROR(__xludf.DUMMYFUNCTION("""COMPUTED_VALUE"""),3162.5)</f>
        <v>3162.5</v>
      </c>
      <c r="C293" s="2">
        <f>IFERROR(__xludf.DUMMYFUNCTION("""COMPUTED_VALUE"""),3187.5)</f>
        <v>3187.5</v>
      </c>
      <c r="D293" s="2">
        <f>IFERROR(__xludf.DUMMYFUNCTION("""COMPUTED_VALUE"""),3100.0)</f>
        <v>3100</v>
      </c>
      <c r="E293" s="2">
        <f>IFERROR(__xludf.DUMMYFUNCTION("""COMPUTED_VALUE"""),3112.5)</f>
        <v>3112.5</v>
      </c>
      <c r="F293" s="2">
        <f>IFERROR(__xludf.DUMMYFUNCTION("""COMPUTED_VALUE"""),2.80697E7)</f>
        <v>28069700</v>
      </c>
      <c r="G293" s="2">
        <f t="shared" si="1"/>
        <v>87.5</v>
      </c>
    </row>
    <row r="294" ht="15.75" customHeight="1">
      <c r="A294" s="1">
        <f>IFERROR(__xludf.DUMMYFUNCTION("""COMPUTED_VALUE"""),44272.625)</f>
        <v>44272.625</v>
      </c>
      <c r="B294" s="2">
        <f>IFERROR(__xludf.DUMMYFUNCTION("""COMPUTED_VALUE"""),3112.5)</f>
        <v>3112.5</v>
      </c>
      <c r="C294" s="2">
        <f>IFERROR(__xludf.DUMMYFUNCTION("""COMPUTED_VALUE"""),3112.5)</f>
        <v>3112.5</v>
      </c>
      <c r="D294" s="2">
        <f>IFERROR(__xludf.DUMMYFUNCTION("""COMPUTED_VALUE"""),3050.0)</f>
        <v>3050</v>
      </c>
      <c r="E294" s="2">
        <f>IFERROR(__xludf.DUMMYFUNCTION("""COMPUTED_VALUE"""),3050.0)</f>
        <v>3050</v>
      </c>
      <c r="F294" s="2">
        <f>IFERROR(__xludf.DUMMYFUNCTION("""COMPUTED_VALUE"""),2.23517E7)</f>
        <v>22351700</v>
      </c>
      <c r="G294" s="2">
        <f t="shared" si="1"/>
        <v>62.5</v>
      </c>
    </row>
    <row r="295" ht="15.75" customHeight="1">
      <c r="A295" s="1">
        <f>IFERROR(__xludf.DUMMYFUNCTION("""COMPUTED_VALUE"""),44273.625)</f>
        <v>44273.625</v>
      </c>
      <c r="B295" s="2">
        <f>IFERROR(__xludf.DUMMYFUNCTION("""COMPUTED_VALUE"""),3100.0)</f>
        <v>3100</v>
      </c>
      <c r="C295" s="2">
        <f>IFERROR(__xludf.DUMMYFUNCTION("""COMPUTED_VALUE"""),3162.5)</f>
        <v>3162.5</v>
      </c>
      <c r="D295" s="2">
        <f>IFERROR(__xludf.DUMMYFUNCTION("""COMPUTED_VALUE"""),3075.0)</f>
        <v>3075</v>
      </c>
      <c r="E295" s="2">
        <f>IFERROR(__xludf.DUMMYFUNCTION("""COMPUTED_VALUE"""),3137.5)</f>
        <v>3137.5</v>
      </c>
      <c r="F295" s="2">
        <f>IFERROR(__xludf.DUMMYFUNCTION("""COMPUTED_VALUE"""),4.41448E7)</f>
        <v>44144800</v>
      </c>
      <c r="G295" s="2">
        <f t="shared" si="1"/>
        <v>112.5</v>
      </c>
    </row>
    <row r="296" ht="15.75" customHeight="1">
      <c r="A296" s="1">
        <f>IFERROR(__xludf.DUMMYFUNCTION("""COMPUTED_VALUE"""),44274.625)</f>
        <v>44274.625</v>
      </c>
      <c r="B296" s="2">
        <f>IFERROR(__xludf.DUMMYFUNCTION("""COMPUTED_VALUE"""),3125.0)</f>
        <v>3125</v>
      </c>
      <c r="C296" s="2">
        <f>IFERROR(__xludf.DUMMYFUNCTION("""COMPUTED_VALUE"""),3137.5)</f>
        <v>3137.5</v>
      </c>
      <c r="D296" s="2">
        <f>IFERROR(__xludf.DUMMYFUNCTION("""COMPUTED_VALUE"""),3075.0)</f>
        <v>3075</v>
      </c>
      <c r="E296" s="2">
        <f>IFERROR(__xludf.DUMMYFUNCTION("""COMPUTED_VALUE"""),3075.0)</f>
        <v>3075</v>
      </c>
      <c r="F296" s="2">
        <f>IFERROR(__xludf.DUMMYFUNCTION("""COMPUTED_VALUE"""),2.98128E7)</f>
        <v>29812800</v>
      </c>
      <c r="G296" s="2">
        <f t="shared" si="1"/>
        <v>62.5</v>
      </c>
    </row>
    <row r="297" ht="15.75" customHeight="1">
      <c r="A297" s="1">
        <f>IFERROR(__xludf.DUMMYFUNCTION("""COMPUTED_VALUE"""),44277.625)</f>
        <v>44277.625</v>
      </c>
      <c r="B297" s="2">
        <f>IFERROR(__xludf.DUMMYFUNCTION("""COMPUTED_VALUE"""),3087.5)</f>
        <v>3087.5</v>
      </c>
      <c r="C297" s="2">
        <f>IFERROR(__xludf.DUMMYFUNCTION("""COMPUTED_VALUE"""),3112.5)</f>
        <v>3112.5</v>
      </c>
      <c r="D297" s="2">
        <f>IFERROR(__xludf.DUMMYFUNCTION("""COMPUTED_VALUE"""),3037.5)</f>
        <v>3037.5</v>
      </c>
      <c r="E297" s="2">
        <f>IFERROR(__xludf.DUMMYFUNCTION("""COMPUTED_VALUE"""),3050.0)</f>
        <v>3050</v>
      </c>
      <c r="F297" s="2">
        <f>IFERROR(__xludf.DUMMYFUNCTION("""COMPUTED_VALUE"""),2.02581E7)</f>
        <v>20258100</v>
      </c>
      <c r="G297" s="2">
        <f t="shared" si="1"/>
        <v>75</v>
      </c>
    </row>
    <row r="298" ht="15.75" customHeight="1">
      <c r="A298" s="1">
        <f>IFERROR(__xludf.DUMMYFUNCTION("""COMPUTED_VALUE"""),44278.625)</f>
        <v>44278.625</v>
      </c>
      <c r="B298" s="2">
        <f>IFERROR(__xludf.DUMMYFUNCTION("""COMPUTED_VALUE"""),3050.0)</f>
        <v>3050</v>
      </c>
      <c r="C298" s="2">
        <f>IFERROR(__xludf.DUMMYFUNCTION("""COMPUTED_VALUE"""),3100.0)</f>
        <v>3100</v>
      </c>
      <c r="D298" s="2">
        <f>IFERROR(__xludf.DUMMYFUNCTION("""COMPUTED_VALUE"""),3037.5)</f>
        <v>3037.5</v>
      </c>
      <c r="E298" s="2">
        <f>IFERROR(__xludf.DUMMYFUNCTION("""COMPUTED_VALUE"""),3050.0)</f>
        <v>3050</v>
      </c>
      <c r="F298" s="2">
        <f>IFERROR(__xludf.DUMMYFUNCTION("""COMPUTED_VALUE"""),1.94855E7)</f>
        <v>19485500</v>
      </c>
      <c r="G298" s="2">
        <f t="shared" si="1"/>
        <v>62.5</v>
      </c>
    </row>
    <row r="299" ht="15.75" customHeight="1">
      <c r="A299" s="1">
        <f>IFERROR(__xludf.DUMMYFUNCTION("""COMPUTED_VALUE"""),44279.625)</f>
        <v>44279.625</v>
      </c>
      <c r="B299" s="2">
        <f>IFERROR(__xludf.DUMMYFUNCTION("""COMPUTED_VALUE"""),3025.0)</f>
        <v>3025</v>
      </c>
      <c r="C299" s="2">
        <f>IFERROR(__xludf.DUMMYFUNCTION("""COMPUTED_VALUE"""),3050.0)</f>
        <v>3050</v>
      </c>
      <c r="D299" s="2">
        <f>IFERROR(__xludf.DUMMYFUNCTION("""COMPUTED_VALUE"""),2975.0)</f>
        <v>2975</v>
      </c>
      <c r="E299" s="2">
        <f>IFERROR(__xludf.DUMMYFUNCTION("""COMPUTED_VALUE"""),2975.0)</f>
        <v>2975</v>
      </c>
      <c r="F299" s="2">
        <f>IFERROR(__xludf.DUMMYFUNCTION("""COMPUTED_VALUE"""),3.22496E7)</f>
        <v>32249600</v>
      </c>
      <c r="G299" s="2">
        <f t="shared" si="1"/>
        <v>75</v>
      </c>
    </row>
    <row r="300" ht="15.75" customHeight="1">
      <c r="A300" s="1">
        <f>IFERROR(__xludf.DUMMYFUNCTION("""COMPUTED_VALUE"""),44280.625)</f>
        <v>44280.625</v>
      </c>
      <c r="B300" s="2">
        <f>IFERROR(__xludf.DUMMYFUNCTION("""COMPUTED_VALUE"""),3000.0)</f>
        <v>3000</v>
      </c>
      <c r="C300" s="2">
        <f>IFERROR(__xludf.DUMMYFUNCTION("""COMPUTED_VALUE"""),3000.0)</f>
        <v>3000</v>
      </c>
      <c r="D300" s="2">
        <f>IFERROR(__xludf.DUMMYFUNCTION("""COMPUTED_VALUE"""),2937.5)</f>
        <v>2937.5</v>
      </c>
      <c r="E300" s="2">
        <f>IFERROR(__xludf.DUMMYFUNCTION("""COMPUTED_VALUE"""),2950.0)</f>
        <v>2950</v>
      </c>
      <c r="F300" s="2">
        <f>IFERROR(__xludf.DUMMYFUNCTION("""COMPUTED_VALUE"""),2.33357E7)</f>
        <v>23335700</v>
      </c>
      <c r="G300" s="2">
        <f t="shared" si="1"/>
        <v>62.5</v>
      </c>
    </row>
    <row r="301" ht="15.75" customHeight="1">
      <c r="A301" s="1">
        <f>IFERROR(__xludf.DUMMYFUNCTION("""COMPUTED_VALUE"""),44281.625)</f>
        <v>44281.625</v>
      </c>
      <c r="B301" s="2">
        <f>IFERROR(__xludf.DUMMYFUNCTION("""COMPUTED_VALUE"""),2987.5)</f>
        <v>2987.5</v>
      </c>
      <c r="C301" s="2">
        <f>IFERROR(__xludf.DUMMYFUNCTION("""COMPUTED_VALUE"""),3050.0)</f>
        <v>3050</v>
      </c>
      <c r="D301" s="2">
        <f>IFERROR(__xludf.DUMMYFUNCTION("""COMPUTED_VALUE"""),2950.0)</f>
        <v>2950</v>
      </c>
      <c r="E301" s="2">
        <f>IFERROR(__xludf.DUMMYFUNCTION("""COMPUTED_VALUE"""),3025.0)</f>
        <v>3025</v>
      </c>
      <c r="F301" s="2">
        <f>IFERROR(__xludf.DUMMYFUNCTION("""COMPUTED_VALUE"""),1.89412E7)</f>
        <v>18941200</v>
      </c>
      <c r="G301" s="2">
        <f t="shared" si="1"/>
        <v>100</v>
      </c>
    </row>
    <row r="302" ht="15.75" customHeight="1">
      <c r="A302" s="1">
        <f>IFERROR(__xludf.DUMMYFUNCTION("""COMPUTED_VALUE"""),44284.625)</f>
        <v>44284.625</v>
      </c>
      <c r="B302" s="2">
        <f>IFERROR(__xludf.DUMMYFUNCTION("""COMPUTED_VALUE"""),3025.0)</f>
        <v>3025</v>
      </c>
      <c r="C302" s="2">
        <f>IFERROR(__xludf.DUMMYFUNCTION("""COMPUTED_VALUE"""),3075.0)</f>
        <v>3075</v>
      </c>
      <c r="D302" s="2">
        <f>IFERROR(__xludf.DUMMYFUNCTION("""COMPUTED_VALUE"""),3000.0)</f>
        <v>3000</v>
      </c>
      <c r="E302" s="2">
        <f>IFERROR(__xludf.DUMMYFUNCTION("""COMPUTED_VALUE"""),3025.0)</f>
        <v>3025</v>
      </c>
      <c r="F302" s="2">
        <f>IFERROR(__xludf.DUMMYFUNCTION("""COMPUTED_VALUE"""),1.72337E7)</f>
        <v>17233700</v>
      </c>
      <c r="G302" s="2">
        <f t="shared" si="1"/>
        <v>75</v>
      </c>
    </row>
    <row r="303" ht="15.75" customHeight="1">
      <c r="A303" s="1">
        <f>IFERROR(__xludf.DUMMYFUNCTION("""COMPUTED_VALUE"""),44285.625)</f>
        <v>44285.625</v>
      </c>
      <c r="B303" s="2">
        <f>IFERROR(__xludf.DUMMYFUNCTION("""COMPUTED_VALUE"""),3000.0)</f>
        <v>3000</v>
      </c>
      <c r="C303" s="2">
        <f>IFERROR(__xludf.DUMMYFUNCTION("""COMPUTED_VALUE"""),3025.0)</f>
        <v>3025</v>
      </c>
      <c r="D303" s="2">
        <f>IFERROR(__xludf.DUMMYFUNCTION("""COMPUTED_VALUE"""),2887.5)</f>
        <v>2887.5</v>
      </c>
      <c r="E303" s="2">
        <f>IFERROR(__xludf.DUMMYFUNCTION("""COMPUTED_VALUE"""),2900.0)</f>
        <v>2900</v>
      </c>
      <c r="F303" s="2">
        <f>IFERROR(__xludf.DUMMYFUNCTION("""COMPUTED_VALUE"""),4.03161E7)</f>
        <v>40316100</v>
      </c>
      <c r="G303" s="2">
        <f t="shared" si="1"/>
        <v>137.5</v>
      </c>
    </row>
    <row r="304" ht="15.75" customHeight="1">
      <c r="A304" s="1">
        <f>IFERROR(__xludf.DUMMYFUNCTION("""COMPUTED_VALUE"""),44286.625)</f>
        <v>44286.625</v>
      </c>
      <c r="B304" s="2">
        <f>IFERROR(__xludf.DUMMYFUNCTION("""COMPUTED_VALUE"""),2900.0)</f>
        <v>2900</v>
      </c>
      <c r="C304" s="2">
        <f>IFERROR(__xludf.DUMMYFUNCTION("""COMPUTED_VALUE"""),2925.0)</f>
        <v>2925</v>
      </c>
      <c r="D304" s="2">
        <f>IFERROR(__xludf.DUMMYFUNCTION("""COMPUTED_VALUE"""),2775.0)</f>
        <v>2775</v>
      </c>
      <c r="E304" s="2">
        <f>IFERROR(__xludf.DUMMYFUNCTION("""COMPUTED_VALUE"""),2862.5)</f>
        <v>2862.5</v>
      </c>
      <c r="F304" s="2">
        <f>IFERROR(__xludf.DUMMYFUNCTION("""COMPUTED_VALUE"""),4.39297E7)</f>
        <v>43929700</v>
      </c>
      <c r="G304" s="2">
        <f t="shared" si="1"/>
        <v>150</v>
      </c>
    </row>
    <row r="305" ht="15.75" customHeight="1">
      <c r="A305" s="1">
        <f>IFERROR(__xludf.DUMMYFUNCTION("""COMPUTED_VALUE"""),44287.625)</f>
        <v>44287.625</v>
      </c>
      <c r="B305" s="2">
        <f>IFERROR(__xludf.DUMMYFUNCTION("""COMPUTED_VALUE"""),2862.5)</f>
        <v>2862.5</v>
      </c>
      <c r="C305" s="2">
        <f>IFERROR(__xludf.DUMMYFUNCTION("""COMPUTED_VALUE"""),2912.5)</f>
        <v>2912.5</v>
      </c>
      <c r="D305" s="2">
        <f>IFERROR(__xludf.DUMMYFUNCTION("""COMPUTED_VALUE"""),2812.5)</f>
        <v>2812.5</v>
      </c>
      <c r="E305" s="2">
        <f>IFERROR(__xludf.DUMMYFUNCTION("""COMPUTED_VALUE"""),2837.5)</f>
        <v>2837.5</v>
      </c>
      <c r="F305" s="2">
        <f>IFERROR(__xludf.DUMMYFUNCTION("""COMPUTED_VALUE"""),2.13049E7)</f>
        <v>21304900</v>
      </c>
      <c r="G305" s="2">
        <f t="shared" si="1"/>
        <v>100</v>
      </c>
    </row>
    <row r="306" ht="15.75" customHeight="1">
      <c r="A306" s="1">
        <f>IFERROR(__xludf.DUMMYFUNCTION("""COMPUTED_VALUE"""),44291.625)</f>
        <v>44291.625</v>
      </c>
      <c r="B306" s="2">
        <f>IFERROR(__xludf.DUMMYFUNCTION("""COMPUTED_VALUE"""),2887.5)</f>
        <v>2887.5</v>
      </c>
      <c r="C306" s="2">
        <f>IFERROR(__xludf.DUMMYFUNCTION("""COMPUTED_VALUE"""),2900.0)</f>
        <v>2900</v>
      </c>
      <c r="D306" s="2">
        <f>IFERROR(__xludf.DUMMYFUNCTION("""COMPUTED_VALUE"""),2837.5)</f>
        <v>2837.5</v>
      </c>
      <c r="E306" s="2">
        <f>IFERROR(__xludf.DUMMYFUNCTION("""COMPUTED_VALUE"""),2875.0)</f>
        <v>2875</v>
      </c>
      <c r="F306" s="2">
        <f>IFERROR(__xludf.DUMMYFUNCTION("""COMPUTED_VALUE"""),1.49293E7)</f>
        <v>14929300</v>
      </c>
      <c r="G306" s="2">
        <f t="shared" si="1"/>
        <v>62.5</v>
      </c>
    </row>
    <row r="307" ht="15.75" customHeight="1">
      <c r="A307" s="1">
        <f>IFERROR(__xludf.DUMMYFUNCTION("""COMPUTED_VALUE"""),44292.625)</f>
        <v>44292.625</v>
      </c>
      <c r="B307" s="2">
        <f>IFERROR(__xludf.DUMMYFUNCTION("""COMPUTED_VALUE"""),2900.0)</f>
        <v>2900</v>
      </c>
      <c r="C307" s="2">
        <f>IFERROR(__xludf.DUMMYFUNCTION("""COMPUTED_VALUE"""),2950.0)</f>
        <v>2950</v>
      </c>
      <c r="D307" s="2">
        <f>IFERROR(__xludf.DUMMYFUNCTION("""COMPUTED_VALUE"""),2875.0)</f>
        <v>2875</v>
      </c>
      <c r="E307" s="2">
        <f>IFERROR(__xludf.DUMMYFUNCTION("""COMPUTED_VALUE"""),2912.5)</f>
        <v>2912.5</v>
      </c>
      <c r="F307" s="2">
        <f>IFERROR(__xludf.DUMMYFUNCTION("""COMPUTED_VALUE"""),1.80075E7)</f>
        <v>18007500</v>
      </c>
      <c r="G307" s="2">
        <f t="shared" si="1"/>
        <v>75</v>
      </c>
    </row>
    <row r="308" ht="15.75" customHeight="1">
      <c r="A308" s="1">
        <f>IFERROR(__xludf.DUMMYFUNCTION("""COMPUTED_VALUE"""),44293.625)</f>
        <v>44293.625</v>
      </c>
      <c r="B308" s="2">
        <f>IFERROR(__xludf.DUMMYFUNCTION("""COMPUTED_VALUE"""),2950.0)</f>
        <v>2950</v>
      </c>
      <c r="C308" s="2">
        <f>IFERROR(__xludf.DUMMYFUNCTION("""COMPUTED_VALUE"""),2950.0)</f>
        <v>2950</v>
      </c>
      <c r="D308" s="2">
        <f>IFERROR(__xludf.DUMMYFUNCTION("""COMPUTED_VALUE"""),2862.5)</f>
        <v>2862.5</v>
      </c>
      <c r="E308" s="2">
        <f>IFERROR(__xludf.DUMMYFUNCTION("""COMPUTED_VALUE"""),2887.5)</f>
        <v>2887.5</v>
      </c>
      <c r="F308" s="2">
        <f>IFERROR(__xludf.DUMMYFUNCTION("""COMPUTED_VALUE"""),1.7585E7)</f>
        <v>17585000</v>
      </c>
      <c r="G308" s="2">
        <f t="shared" si="1"/>
        <v>87.5</v>
      </c>
    </row>
    <row r="309" ht="15.75" customHeight="1">
      <c r="A309" s="1">
        <f>IFERROR(__xludf.DUMMYFUNCTION("""COMPUTED_VALUE"""),44294.625)</f>
        <v>44294.625</v>
      </c>
      <c r="B309" s="2">
        <f>IFERROR(__xludf.DUMMYFUNCTION("""COMPUTED_VALUE"""),2875.0)</f>
        <v>2875</v>
      </c>
      <c r="C309" s="2">
        <f>IFERROR(__xludf.DUMMYFUNCTION("""COMPUTED_VALUE"""),2912.5)</f>
        <v>2912.5</v>
      </c>
      <c r="D309" s="2">
        <f>IFERROR(__xludf.DUMMYFUNCTION("""COMPUTED_VALUE"""),2862.5)</f>
        <v>2862.5</v>
      </c>
      <c r="E309" s="2">
        <f>IFERROR(__xludf.DUMMYFUNCTION("""COMPUTED_VALUE"""),2900.0)</f>
        <v>2900</v>
      </c>
      <c r="F309" s="2">
        <f>IFERROR(__xludf.DUMMYFUNCTION("""COMPUTED_VALUE"""),1.62365E7)</f>
        <v>16236500</v>
      </c>
      <c r="G309" s="2">
        <f t="shared" si="1"/>
        <v>50</v>
      </c>
    </row>
    <row r="310" ht="15.75" customHeight="1">
      <c r="A310" s="1">
        <f>IFERROR(__xludf.DUMMYFUNCTION("""COMPUTED_VALUE"""),44295.625)</f>
        <v>44295.625</v>
      </c>
      <c r="B310" s="2">
        <f>IFERROR(__xludf.DUMMYFUNCTION("""COMPUTED_VALUE"""),2925.0)</f>
        <v>2925</v>
      </c>
      <c r="C310" s="2">
        <f>IFERROR(__xludf.DUMMYFUNCTION("""COMPUTED_VALUE"""),3050.0)</f>
        <v>3050</v>
      </c>
      <c r="D310" s="2">
        <f>IFERROR(__xludf.DUMMYFUNCTION("""COMPUTED_VALUE"""),2912.5)</f>
        <v>2912.5</v>
      </c>
      <c r="E310" s="2">
        <f>IFERROR(__xludf.DUMMYFUNCTION("""COMPUTED_VALUE"""),3000.0)</f>
        <v>3000</v>
      </c>
      <c r="F310" s="2">
        <f>IFERROR(__xludf.DUMMYFUNCTION("""COMPUTED_VALUE"""),4.96362E7)</f>
        <v>49636200</v>
      </c>
      <c r="G310" s="2">
        <f t="shared" si="1"/>
        <v>150</v>
      </c>
    </row>
    <row r="311" ht="15.75" customHeight="1">
      <c r="A311" s="1">
        <f>IFERROR(__xludf.DUMMYFUNCTION("""COMPUTED_VALUE"""),44298.625)</f>
        <v>44298.625</v>
      </c>
      <c r="B311" s="2">
        <f>IFERROR(__xludf.DUMMYFUNCTION("""COMPUTED_VALUE"""),3012.5)</f>
        <v>3012.5</v>
      </c>
      <c r="C311" s="2">
        <f>IFERROR(__xludf.DUMMYFUNCTION("""COMPUTED_VALUE"""),3025.0)</f>
        <v>3025</v>
      </c>
      <c r="D311" s="2">
        <f>IFERROR(__xludf.DUMMYFUNCTION("""COMPUTED_VALUE"""),2912.5)</f>
        <v>2912.5</v>
      </c>
      <c r="E311" s="2">
        <f>IFERROR(__xludf.DUMMYFUNCTION("""COMPUTED_VALUE"""),2925.0)</f>
        <v>2925</v>
      </c>
      <c r="F311" s="2">
        <f>IFERROR(__xludf.DUMMYFUNCTION("""COMPUTED_VALUE"""),2.18544E7)</f>
        <v>21854400</v>
      </c>
      <c r="G311" s="2">
        <f t="shared" si="1"/>
        <v>112.5</v>
      </c>
    </row>
    <row r="312" ht="15.75" customHeight="1">
      <c r="A312" s="1">
        <f>IFERROR(__xludf.DUMMYFUNCTION("""COMPUTED_VALUE"""),44299.625)</f>
        <v>44299.625</v>
      </c>
      <c r="B312" s="2">
        <f>IFERROR(__xludf.DUMMYFUNCTION("""COMPUTED_VALUE"""),2925.0)</f>
        <v>2925</v>
      </c>
      <c r="C312" s="2">
        <f>IFERROR(__xludf.DUMMYFUNCTION("""COMPUTED_VALUE"""),2937.5)</f>
        <v>2937.5</v>
      </c>
      <c r="D312" s="2">
        <f>IFERROR(__xludf.DUMMYFUNCTION("""COMPUTED_VALUE"""),2862.5)</f>
        <v>2862.5</v>
      </c>
      <c r="E312" s="2">
        <f>IFERROR(__xludf.DUMMYFUNCTION("""COMPUTED_VALUE"""),2900.0)</f>
        <v>2900</v>
      </c>
      <c r="F312" s="2">
        <f>IFERROR(__xludf.DUMMYFUNCTION("""COMPUTED_VALUE"""),1.83085E7)</f>
        <v>18308500</v>
      </c>
      <c r="G312" s="2">
        <f t="shared" si="1"/>
        <v>75</v>
      </c>
    </row>
    <row r="313" ht="15.75" customHeight="1">
      <c r="A313" s="1">
        <f>IFERROR(__xludf.DUMMYFUNCTION("""COMPUTED_VALUE"""),44300.625)</f>
        <v>44300.625</v>
      </c>
      <c r="B313" s="2">
        <f>IFERROR(__xludf.DUMMYFUNCTION("""COMPUTED_VALUE"""),2912.5)</f>
        <v>2912.5</v>
      </c>
      <c r="C313" s="2">
        <f>IFERROR(__xludf.DUMMYFUNCTION("""COMPUTED_VALUE"""),2975.0)</f>
        <v>2975</v>
      </c>
      <c r="D313" s="2">
        <f>IFERROR(__xludf.DUMMYFUNCTION("""COMPUTED_VALUE"""),2900.0)</f>
        <v>2900</v>
      </c>
      <c r="E313" s="2">
        <f>IFERROR(__xludf.DUMMYFUNCTION("""COMPUTED_VALUE"""),2950.0)</f>
        <v>2950</v>
      </c>
      <c r="F313" s="2">
        <f>IFERROR(__xludf.DUMMYFUNCTION("""COMPUTED_VALUE"""),2.13248E7)</f>
        <v>21324800</v>
      </c>
      <c r="G313" s="2">
        <f t="shared" si="1"/>
        <v>75</v>
      </c>
    </row>
    <row r="314" ht="15.75" customHeight="1">
      <c r="A314" s="1">
        <f>IFERROR(__xludf.DUMMYFUNCTION("""COMPUTED_VALUE"""),44301.625)</f>
        <v>44301.625</v>
      </c>
      <c r="B314" s="2">
        <f>IFERROR(__xludf.DUMMYFUNCTION("""COMPUTED_VALUE"""),2975.0)</f>
        <v>2975</v>
      </c>
      <c r="C314" s="2">
        <f>IFERROR(__xludf.DUMMYFUNCTION("""COMPUTED_VALUE"""),3012.5)</f>
        <v>3012.5</v>
      </c>
      <c r="D314" s="2">
        <f>IFERROR(__xludf.DUMMYFUNCTION("""COMPUTED_VALUE"""),2950.0)</f>
        <v>2950</v>
      </c>
      <c r="E314" s="2">
        <f>IFERROR(__xludf.DUMMYFUNCTION("""COMPUTED_VALUE"""),2987.5)</f>
        <v>2987.5</v>
      </c>
      <c r="F314" s="2">
        <f>IFERROR(__xludf.DUMMYFUNCTION("""COMPUTED_VALUE"""),1.79759E7)</f>
        <v>17975900</v>
      </c>
      <c r="G314" s="2">
        <f t="shared" si="1"/>
        <v>62.5</v>
      </c>
    </row>
    <row r="315" ht="15.75" customHeight="1">
      <c r="A315" s="1">
        <f>IFERROR(__xludf.DUMMYFUNCTION("""COMPUTED_VALUE"""),44302.625)</f>
        <v>44302.625</v>
      </c>
      <c r="B315" s="2">
        <f>IFERROR(__xludf.DUMMYFUNCTION("""COMPUTED_VALUE"""),3012.5)</f>
        <v>3012.5</v>
      </c>
      <c r="C315" s="2">
        <f>IFERROR(__xludf.DUMMYFUNCTION("""COMPUTED_VALUE"""),3025.0)</f>
        <v>3025</v>
      </c>
      <c r="D315" s="2">
        <f>IFERROR(__xludf.DUMMYFUNCTION("""COMPUTED_VALUE"""),2937.5)</f>
        <v>2937.5</v>
      </c>
      <c r="E315" s="2">
        <f>IFERROR(__xludf.DUMMYFUNCTION("""COMPUTED_VALUE"""),2975.0)</f>
        <v>2975</v>
      </c>
      <c r="F315" s="2">
        <f>IFERROR(__xludf.DUMMYFUNCTION("""COMPUTED_VALUE"""),1.76659E7)</f>
        <v>17665900</v>
      </c>
      <c r="G315" s="2">
        <f t="shared" si="1"/>
        <v>87.5</v>
      </c>
    </row>
    <row r="316" ht="15.75" customHeight="1">
      <c r="A316" s="1">
        <f>IFERROR(__xludf.DUMMYFUNCTION("""COMPUTED_VALUE"""),44305.625)</f>
        <v>44305.625</v>
      </c>
      <c r="B316" s="2">
        <f>IFERROR(__xludf.DUMMYFUNCTION("""COMPUTED_VALUE"""),2950.0)</f>
        <v>2950</v>
      </c>
      <c r="C316" s="2">
        <f>IFERROR(__xludf.DUMMYFUNCTION("""COMPUTED_VALUE"""),2987.5)</f>
        <v>2987.5</v>
      </c>
      <c r="D316" s="2">
        <f>IFERROR(__xludf.DUMMYFUNCTION("""COMPUTED_VALUE"""),2912.5)</f>
        <v>2912.5</v>
      </c>
      <c r="E316" s="2">
        <f>IFERROR(__xludf.DUMMYFUNCTION("""COMPUTED_VALUE"""),2937.5)</f>
        <v>2937.5</v>
      </c>
      <c r="F316" s="2">
        <f>IFERROR(__xludf.DUMMYFUNCTION("""COMPUTED_VALUE"""),1.19178E7)</f>
        <v>11917800</v>
      </c>
      <c r="G316" s="2">
        <f t="shared" si="1"/>
        <v>75</v>
      </c>
    </row>
    <row r="317" ht="15.75" customHeight="1">
      <c r="A317" s="1">
        <f>IFERROR(__xludf.DUMMYFUNCTION("""COMPUTED_VALUE"""),44306.625)</f>
        <v>44306.625</v>
      </c>
      <c r="B317" s="2">
        <f>IFERROR(__xludf.DUMMYFUNCTION("""COMPUTED_VALUE"""),2937.5)</f>
        <v>2937.5</v>
      </c>
      <c r="C317" s="2">
        <f>IFERROR(__xludf.DUMMYFUNCTION("""COMPUTED_VALUE"""),2962.5)</f>
        <v>2962.5</v>
      </c>
      <c r="D317" s="2">
        <f>IFERROR(__xludf.DUMMYFUNCTION("""COMPUTED_VALUE"""),2900.0)</f>
        <v>2900</v>
      </c>
      <c r="E317" s="2">
        <f>IFERROR(__xludf.DUMMYFUNCTION("""COMPUTED_VALUE"""),2962.5)</f>
        <v>2962.5</v>
      </c>
      <c r="F317" s="2">
        <f>IFERROR(__xludf.DUMMYFUNCTION("""COMPUTED_VALUE"""),8272500.0)</f>
        <v>8272500</v>
      </c>
      <c r="G317" s="2">
        <f t="shared" si="1"/>
        <v>62.5</v>
      </c>
    </row>
    <row r="318" ht="15.75" customHeight="1">
      <c r="A318" s="1">
        <f>IFERROR(__xludf.DUMMYFUNCTION("""COMPUTED_VALUE"""),44307.625)</f>
        <v>44307.625</v>
      </c>
      <c r="B318" s="2">
        <f>IFERROR(__xludf.DUMMYFUNCTION("""COMPUTED_VALUE"""),2937.5)</f>
        <v>2937.5</v>
      </c>
      <c r="C318" s="2">
        <f>IFERROR(__xludf.DUMMYFUNCTION("""COMPUTED_VALUE"""),2937.5)</f>
        <v>2937.5</v>
      </c>
      <c r="D318" s="2">
        <f>IFERROR(__xludf.DUMMYFUNCTION("""COMPUTED_VALUE"""),2875.0)</f>
        <v>2875</v>
      </c>
      <c r="E318" s="2">
        <f>IFERROR(__xludf.DUMMYFUNCTION("""COMPUTED_VALUE"""),2887.5)</f>
        <v>2887.5</v>
      </c>
      <c r="F318" s="2">
        <f>IFERROR(__xludf.DUMMYFUNCTION("""COMPUTED_VALUE"""),1.32277E7)</f>
        <v>13227700</v>
      </c>
      <c r="G318" s="2">
        <f t="shared" si="1"/>
        <v>87.5</v>
      </c>
    </row>
    <row r="319" ht="15.75" customHeight="1">
      <c r="A319" s="1">
        <f>IFERROR(__xludf.DUMMYFUNCTION("""COMPUTED_VALUE"""),44308.625)</f>
        <v>44308.625</v>
      </c>
      <c r="B319" s="2">
        <f>IFERROR(__xludf.DUMMYFUNCTION("""COMPUTED_VALUE"""),2900.0)</f>
        <v>2900</v>
      </c>
      <c r="C319" s="2">
        <f>IFERROR(__xludf.DUMMYFUNCTION("""COMPUTED_VALUE"""),2912.5)</f>
        <v>2912.5</v>
      </c>
      <c r="D319" s="2">
        <f>IFERROR(__xludf.DUMMYFUNCTION("""COMPUTED_VALUE"""),2825.0)</f>
        <v>2825</v>
      </c>
      <c r="E319" s="2">
        <f>IFERROR(__xludf.DUMMYFUNCTION("""COMPUTED_VALUE"""),2837.5)</f>
        <v>2837.5</v>
      </c>
      <c r="F319" s="2">
        <f>IFERROR(__xludf.DUMMYFUNCTION("""COMPUTED_VALUE"""),2.86083E7)</f>
        <v>28608300</v>
      </c>
      <c r="G319" s="2">
        <f t="shared" si="1"/>
        <v>87.5</v>
      </c>
    </row>
    <row r="320" ht="15.75" customHeight="1">
      <c r="A320" s="1">
        <f>IFERROR(__xludf.DUMMYFUNCTION("""COMPUTED_VALUE"""),44309.625)</f>
        <v>44309.625</v>
      </c>
      <c r="B320" s="2">
        <f>IFERROR(__xludf.DUMMYFUNCTION("""COMPUTED_VALUE"""),2837.5)</f>
        <v>2837.5</v>
      </c>
      <c r="C320" s="2">
        <f>IFERROR(__xludf.DUMMYFUNCTION("""COMPUTED_VALUE"""),2900.0)</f>
        <v>2900</v>
      </c>
      <c r="D320" s="2">
        <f>IFERROR(__xludf.DUMMYFUNCTION("""COMPUTED_VALUE"""),2837.5)</f>
        <v>2837.5</v>
      </c>
      <c r="E320" s="2">
        <f>IFERROR(__xludf.DUMMYFUNCTION("""COMPUTED_VALUE"""),2887.5)</f>
        <v>2887.5</v>
      </c>
      <c r="F320" s="2">
        <f>IFERROR(__xludf.DUMMYFUNCTION("""COMPUTED_VALUE"""),1.87858E7)</f>
        <v>18785800</v>
      </c>
      <c r="G320" s="2">
        <f t="shared" si="1"/>
        <v>62.5</v>
      </c>
    </row>
    <row r="321" ht="15.75" customHeight="1">
      <c r="A321" s="1">
        <f>IFERROR(__xludf.DUMMYFUNCTION("""COMPUTED_VALUE"""),44312.625)</f>
        <v>44312.625</v>
      </c>
      <c r="B321" s="2">
        <f>IFERROR(__xludf.DUMMYFUNCTION("""COMPUTED_VALUE"""),2925.0)</f>
        <v>2925</v>
      </c>
      <c r="C321" s="2">
        <f>IFERROR(__xludf.DUMMYFUNCTION("""COMPUTED_VALUE"""),2925.0)</f>
        <v>2925</v>
      </c>
      <c r="D321" s="2">
        <f>IFERROR(__xludf.DUMMYFUNCTION("""COMPUTED_VALUE"""),2850.0)</f>
        <v>2850</v>
      </c>
      <c r="E321" s="2">
        <f>IFERROR(__xludf.DUMMYFUNCTION("""COMPUTED_VALUE"""),2862.5)</f>
        <v>2862.5</v>
      </c>
      <c r="F321" s="2">
        <f>IFERROR(__xludf.DUMMYFUNCTION("""COMPUTED_VALUE"""),1.48811E7)</f>
        <v>14881100</v>
      </c>
      <c r="G321" s="2">
        <f t="shared" si="1"/>
        <v>75</v>
      </c>
    </row>
    <row r="322" ht="15.75" customHeight="1">
      <c r="A322" s="1">
        <f>IFERROR(__xludf.DUMMYFUNCTION("""COMPUTED_VALUE"""),44313.625)</f>
        <v>44313.625</v>
      </c>
      <c r="B322" s="2">
        <f>IFERROR(__xludf.DUMMYFUNCTION("""COMPUTED_VALUE"""),2900.0)</f>
        <v>2900</v>
      </c>
      <c r="C322" s="2">
        <f>IFERROR(__xludf.DUMMYFUNCTION("""COMPUTED_VALUE"""),2950.0)</f>
        <v>2950</v>
      </c>
      <c r="D322" s="2">
        <f>IFERROR(__xludf.DUMMYFUNCTION("""COMPUTED_VALUE"""),2875.0)</f>
        <v>2875</v>
      </c>
      <c r="E322" s="2">
        <f>IFERROR(__xludf.DUMMYFUNCTION("""COMPUTED_VALUE"""),2950.0)</f>
        <v>2950</v>
      </c>
      <c r="F322" s="2">
        <f>IFERROR(__xludf.DUMMYFUNCTION("""COMPUTED_VALUE"""),3.08007E7)</f>
        <v>30800700</v>
      </c>
      <c r="G322" s="2">
        <f t="shared" si="1"/>
        <v>87.5</v>
      </c>
    </row>
    <row r="323" ht="15.75" customHeight="1">
      <c r="A323" s="1">
        <f>IFERROR(__xludf.DUMMYFUNCTION("""COMPUTED_VALUE"""),44314.625)</f>
        <v>44314.625</v>
      </c>
      <c r="B323" s="2">
        <f>IFERROR(__xludf.DUMMYFUNCTION("""COMPUTED_VALUE"""),2950.0)</f>
        <v>2950</v>
      </c>
      <c r="C323" s="2">
        <f>IFERROR(__xludf.DUMMYFUNCTION("""COMPUTED_VALUE"""),2950.0)</f>
        <v>2950</v>
      </c>
      <c r="D323" s="2">
        <f>IFERROR(__xludf.DUMMYFUNCTION("""COMPUTED_VALUE"""),2900.0)</f>
        <v>2900</v>
      </c>
      <c r="E323" s="2">
        <f>IFERROR(__xludf.DUMMYFUNCTION("""COMPUTED_VALUE"""),2912.5)</f>
        <v>2912.5</v>
      </c>
      <c r="F323" s="2">
        <f>IFERROR(__xludf.DUMMYFUNCTION("""COMPUTED_VALUE"""),1.74309E7)</f>
        <v>17430900</v>
      </c>
      <c r="G323" s="2">
        <f t="shared" si="1"/>
        <v>50</v>
      </c>
    </row>
    <row r="324" ht="15.75" customHeight="1">
      <c r="A324" s="1">
        <f>IFERROR(__xludf.DUMMYFUNCTION("""COMPUTED_VALUE"""),44315.625)</f>
        <v>44315.625</v>
      </c>
      <c r="B324" s="2">
        <f>IFERROR(__xludf.DUMMYFUNCTION("""COMPUTED_VALUE"""),2937.5)</f>
        <v>2937.5</v>
      </c>
      <c r="C324" s="2">
        <f>IFERROR(__xludf.DUMMYFUNCTION("""COMPUTED_VALUE"""),2962.5)</f>
        <v>2962.5</v>
      </c>
      <c r="D324" s="2">
        <f>IFERROR(__xludf.DUMMYFUNCTION("""COMPUTED_VALUE"""),2912.5)</f>
        <v>2912.5</v>
      </c>
      <c r="E324" s="2">
        <f>IFERROR(__xludf.DUMMYFUNCTION("""COMPUTED_VALUE"""),2937.5)</f>
        <v>2937.5</v>
      </c>
      <c r="F324" s="2">
        <f>IFERROR(__xludf.DUMMYFUNCTION("""COMPUTED_VALUE"""),1.12971E7)</f>
        <v>11297100</v>
      </c>
      <c r="G324" s="2">
        <f t="shared" si="1"/>
        <v>50</v>
      </c>
    </row>
    <row r="325" ht="15.75" customHeight="1">
      <c r="A325" s="1">
        <f>IFERROR(__xludf.DUMMYFUNCTION("""COMPUTED_VALUE"""),44316.625)</f>
        <v>44316.625</v>
      </c>
      <c r="B325" s="2">
        <f>IFERROR(__xludf.DUMMYFUNCTION("""COMPUTED_VALUE"""),2937.5)</f>
        <v>2937.5</v>
      </c>
      <c r="C325" s="2">
        <f>IFERROR(__xludf.DUMMYFUNCTION("""COMPUTED_VALUE"""),2937.5)</f>
        <v>2937.5</v>
      </c>
      <c r="D325" s="2">
        <f>IFERROR(__xludf.DUMMYFUNCTION("""COMPUTED_VALUE"""),2825.0)</f>
        <v>2825</v>
      </c>
      <c r="E325" s="2">
        <f>IFERROR(__xludf.DUMMYFUNCTION("""COMPUTED_VALUE"""),2850.0)</f>
        <v>2850</v>
      </c>
      <c r="F325" s="2">
        <f>IFERROR(__xludf.DUMMYFUNCTION("""COMPUTED_VALUE"""),2.59057E7)</f>
        <v>25905700</v>
      </c>
      <c r="G325" s="2">
        <f t="shared" si="1"/>
        <v>112.5</v>
      </c>
    </row>
    <row r="326" ht="15.75" customHeight="1">
      <c r="A326" s="1">
        <f>IFERROR(__xludf.DUMMYFUNCTION("""COMPUTED_VALUE"""),44319.66666666667)</f>
        <v>44319.66667</v>
      </c>
      <c r="B326" s="2">
        <f>IFERROR(__xludf.DUMMYFUNCTION("""COMPUTED_VALUE"""),2850.0)</f>
        <v>2850</v>
      </c>
      <c r="C326" s="2">
        <f>IFERROR(__xludf.DUMMYFUNCTION("""COMPUTED_VALUE"""),2862.5)</f>
        <v>2862.5</v>
      </c>
      <c r="D326" s="2">
        <f>IFERROR(__xludf.DUMMYFUNCTION("""COMPUTED_VALUE"""),2775.0)</f>
        <v>2775</v>
      </c>
      <c r="E326" s="2">
        <f>IFERROR(__xludf.DUMMYFUNCTION("""COMPUTED_VALUE"""),2787.5)</f>
        <v>2787.5</v>
      </c>
      <c r="F326" s="2">
        <f>IFERROR(__xludf.DUMMYFUNCTION("""COMPUTED_VALUE"""),2.37122E7)</f>
        <v>23712200</v>
      </c>
      <c r="G326" s="2">
        <f t="shared" si="1"/>
        <v>87.5</v>
      </c>
    </row>
    <row r="327" ht="15.75" customHeight="1">
      <c r="A327" s="1">
        <f>IFERROR(__xludf.DUMMYFUNCTION("""COMPUTED_VALUE"""),44320.66666666667)</f>
        <v>44320.66667</v>
      </c>
      <c r="B327" s="2">
        <f>IFERROR(__xludf.DUMMYFUNCTION("""COMPUTED_VALUE"""),2787.5)</f>
        <v>2787.5</v>
      </c>
      <c r="C327" s="2">
        <f>IFERROR(__xludf.DUMMYFUNCTION("""COMPUTED_VALUE"""),2812.5)</f>
        <v>2812.5</v>
      </c>
      <c r="D327" s="2">
        <f>IFERROR(__xludf.DUMMYFUNCTION("""COMPUTED_VALUE"""),2762.5)</f>
        <v>2762.5</v>
      </c>
      <c r="E327" s="2">
        <f>IFERROR(__xludf.DUMMYFUNCTION("""COMPUTED_VALUE"""),2812.5)</f>
        <v>2812.5</v>
      </c>
      <c r="F327" s="2">
        <f>IFERROR(__xludf.DUMMYFUNCTION("""COMPUTED_VALUE"""),1.72406E7)</f>
        <v>17240600</v>
      </c>
      <c r="G327" s="2">
        <f t="shared" si="1"/>
        <v>50</v>
      </c>
    </row>
    <row r="328" ht="15.75" customHeight="1">
      <c r="A328" s="1">
        <f>IFERROR(__xludf.DUMMYFUNCTION("""COMPUTED_VALUE"""),44321.625)</f>
        <v>44321.625</v>
      </c>
      <c r="B328" s="2">
        <f>IFERROR(__xludf.DUMMYFUNCTION("""COMPUTED_VALUE"""),2825.0)</f>
        <v>2825</v>
      </c>
      <c r="C328" s="2">
        <f>IFERROR(__xludf.DUMMYFUNCTION("""COMPUTED_VALUE"""),2862.5)</f>
        <v>2862.5</v>
      </c>
      <c r="D328" s="2">
        <f>IFERROR(__xludf.DUMMYFUNCTION("""COMPUTED_VALUE"""),2800.0)</f>
        <v>2800</v>
      </c>
      <c r="E328" s="2">
        <f>IFERROR(__xludf.DUMMYFUNCTION("""COMPUTED_VALUE"""),2837.5)</f>
        <v>2837.5</v>
      </c>
      <c r="F328" s="2">
        <f>IFERROR(__xludf.DUMMYFUNCTION("""COMPUTED_VALUE"""),1.90159E7)</f>
        <v>19015900</v>
      </c>
      <c r="G328" s="2">
        <f t="shared" si="1"/>
        <v>62.5</v>
      </c>
    </row>
    <row r="329" ht="15.75" customHeight="1">
      <c r="A329" s="1">
        <f>IFERROR(__xludf.DUMMYFUNCTION("""COMPUTED_VALUE"""),44322.625)</f>
        <v>44322.625</v>
      </c>
      <c r="B329" s="2">
        <f>IFERROR(__xludf.DUMMYFUNCTION("""COMPUTED_VALUE"""),2875.0)</f>
        <v>2875</v>
      </c>
      <c r="C329" s="2">
        <f>IFERROR(__xludf.DUMMYFUNCTION("""COMPUTED_VALUE"""),2887.5)</f>
        <v>2887.5</v>
      </c>
      <c r="D329" s="2">
        <f>IFERROR(__xludf.DUMMYFUNCTION("""COMPUTED_VALUE"""),2837.5)</f>
        <v>2837.5</v>
      </c>
      <c r="E329" s="2">
        <f>IFERROR(__xludf.DUMMYFUNCTION("""COMPUTED_VALUE"""),2850.0)</f>
        <v>2850</v>
      </c>
      <c r="F329" s="2">
        <f>IFERROR(__xludf.DUMMYFUNCTION("""COMPUTED_VALUE"""),1.53926E7)</f>
        <v>15392600</v>
      </c>
      <c r="G329" s="2">
        <f t="shared" si="1"/>
        <v>50</v>
      </c>
    </row>
    <row r="330" ht="15.75" customHeight="1">
      <c r="A330" s="1">
        <f>IFERROR(__xludf.DUMMYFUNCTION("""COMPUTED_VALUE"""),44323.625)</f>
        <v>44323.625</v>
      </c>
      <c r="B330" s="2">
        <f>IFERROR(__xludf.DUMMYFUNCTION("""COMPUTED_VALUE"""),2875.0)</f>
        <v>2875</v>
      </c>
      <c r="C330" s="2">
        <f>IFERROR(__xludf.DUMMYFUNCTION("""COMPUTED_VALUE"""),2875.0)</f>
        <v>2875</v>
      </c>
      <c r="D330" s="2">
        <f>IFERROR(__xludf.DUMMYFUNCTION("""COMPUTED_VALUE"""),2800.0)</f>
        <v>2800</v>
      </c>
      <c r="E330" s="2">
        <f>IFERROR(__xludf.DUMMYFUNCTION("""COMPUTED_VALUE"""),2800.0)</f>
        <v>2800</v>
      </c>
      <c r="F330" s="2">
        <f>IFERROR(__xludf.DUMMYFUNCTION("""COMPUTED_VALUE"""),1.45525E7)</f>
        <v>14552500</v>
      </c>
      <c r="G330" s="2">
        <f t="shared" si="1"/>
        <v>75</v>
      </c>
    </row>
    <row r="331" ht="15.75" customHeight="1">
      <c r="A331" s="1">
        <f>IFERROR(__xludf.DUMMYFUNCTION("""COMPUTED_VALUE"""),44326.66666666667)</f>
        <v>44326.66667</v>
      </c>
      <c r="B331" s="2">
        <f>IFERROR(__xludf.DUMMYFUNCTION("""COMPUTED_VALUE"""),2800.0)</f>
        <v>2800</v>
      </c>
      <c r="C331" s="2">
        <f>IFERROR(__xludf.DUMMYFUNCTION("""COMPUTED_VALUE"""),2825.0)</f>
        <v>2825</v>
      </c>
      <c r="D331" s="2">
        <f>IFERROR(__xludf.DUMMYFUNCTION("""COMPUTED_VALUE"""),2775.0)</f>
        <v>2775</v>
      </c>
      <c r="E331" s="2">
        <f>IFERROR(__xludf.DUMMYFUNCTION("""COMPUTED_VALUE"""),2787.5)</f>
        <v>2787.5</v>
      </c>
      <c r="F331" s="2">
        <f>IFERROR(__xludf.DUMMYFUNCTION("""COMPUTED_VALUE"""),1.4191E7)</f>
        <v>14191000</v>
      </c>
      <c r="G331" s="2">
        <f t="shared" si="1"/>
        <v>50</v>
      </c>
    </row>
    <row r="332" ht="15.75" customHeight="1">
      <c r="A332" s="1">
        <f>IFERROR(__xludf.DUMMYFUNCTION("""COMPUTED_VALUE"""),44327.66666666667)</f>
        <v>44327.66667</v>
      </c>
      <c r="B332" s="2">
        <f>IFERROR(__xludf.DUMMYFUNCTION("""COMPUTED_VALUE"""),2787.5)</f>
        <v>2787.5</v>
      </c>
      <c r="C332" s="2">
        <f>IFERROR(__xludf.DUMMYFUNCTION("""COMPUTED_VALUE"""),2787.5)</f>
        <v>2787.5</v>
      </c>
      <c r="D332" s="2">
        <f>IFERROR(__xludf.DUMMYFUNCTION("""COMPUTED_VALUE"""),2750.0)</f>
        <v>2750</v>
      </c>
      <c r="E332" s="2">
        <f>IFERROR(__xludf.DUMMYFUNCTION("""COMPUTED_VALUE"""),2762.5)</f>
        <v>2762.5</v>
      </c>
      <c r="F332" s="2">
        <f>IFERROR(__xludf.DUMMYFUNCTION("""COMPUTED_VALUE"""),1.25614E7)</f>
        <v>12561400</v>
      </c>
      <c r="G332" s="2">
        <f t="shared" si="1"/>
        <v>37.5</v>
      </c>
    </row>
    <row r="333" ht="15.75" customHeight="1">
      <c r="A333" s="1">
        <f>IFERROR(__xludf.DUMMYFUNCTION("""COMPUTED_VALUE"""),44333.625)</f>
        <v>44333.625</v>
      </c>
      <c r="B333" s="2">
        <f>IFERROR(__xludf.DUMMYFUNCTION("""COMPUTED_VALUE"""),2787.5)</f>
        <v>2787.5</v>
      </c>
      <c r="C333" s="2">
        <f>IFERROR(__xludf.DUMMYFUNCTION("""COMPUTED_VALUE"""),2825.0)</f>
        <v>2825</v>
      </c>
      <c r="D333" s="2">
        <f>IFERROR(__xludf.DUMMYFUNCTION("""COMPUTED_VALUE"""),2725.0)</f>
        <v>2725</v>
      </c>
      <c r="E333" s="2">
        <f>IFERROR(__xludf.DUMMYFUNCTION("""COMPUTED_VALUE"""),2750.0)</f>
        <v>2750</v>
      </c>
      <c r="F333" s="2">
        <f>IFERROR(__xludf.DUMMYFUNCTION("""COMPUTED_VALUE"""),2.68893E7)</f>
        <v>26889300</v>
      </c>
      <c r="G333" s="2">
        <f t="shared" si="1"/>
        <v>100</v>
      </c>
    </row>
    <row r="334" ht="15.75" customHeight="1">
      <c r="A334" s="1">
        <f>IFERROR(__xludf.DUMMYFUNCTION("""COMPUTED_VALUE"""),44334.625)</f>
        <v>44334.625</v>
      </c>
      <c r="B334" s="2">
        <f>IFERROR(__xludf.DUMMYFUNCTION("""COMPUTED_VALUE"""),2750.0)</f>
        <v>2750</v>
      </c>
      <c r="C334" s="2">
        <f>IFERROR(__xludf.DUMMYFUNCTION("""COMPUTED_VALUE"""),2775.0)</f>
        <v>2775</v>
      </c>
      <c r="D334" s="2">
        <f>IFERROR(__xludf.DUMMYFUNCTION("""COMPUTED_VALUE"""),2700.0)</f>
        <v>2700</v>
      </c>
      <c r="E334" s="2">
        <f>IFERROR(__xludf.DUMMYFUNCTION("""COMPUTED_VALUE"""),2725.0)</f>
        <v>2725</v>
      </c>
      <c r="F334" s="2">
        <f>IFERROR(__xludf.DUMMYFUNCTION("""COMPUTED_VALUE"""),1.30306E7)</f>
        <v>13030600</v>
      </c>
      <c r="G334" s="2">
        <f t="shared" si="1"/>
        <v>75</v>
      </c>
    </row>
    <row r="335" ht="15.75" customHeight="1">
      <c r="A335" s="1">
        <f>IFERROR(__xludf.DUMMYFUNCTION("""COMPUTED_VALUE"""),44335.625)</f>
        <v>44335.625</v>
      </c>
      <c r="B335" s="2">
        <f>IFERROR(__xludf.DUMMYFUNCTION("""COMPUTED_VALUE"""),2700.0)</f>
        <v>2700</v>
      </c>
      <c r="C335" s="2">
        <f>IFERROR(__xludf.DUMMYFUNCTION("""COMPUTED_VALUE"""),2712.5)</f>
        <v>2712.5</v>
      </c>
      <c r="D335" s="2">
        <f>IFERROR(__xludf.DUMMYFUNCTION("""COMPUTED_VALUE"""),2600.0)</f>
        <v>2600</v>
      </c>
      <c r="E335" s="2">
        <f>IFERROR(__xludf.DUMMYFUNCTION("""COMPUTED_VALUE"""),2625.0)</f>
        <v>2625</v>
      </c>
      <c r="F335" s="2">
        <f>IFERROR(__xludf.DUMMYFUNCTION("""COMPUTED_VALUE"""),2.91981E7)</f>
        <v>29198100</v>
      </c>
      <c r="G335" s="2">
        <f t="shared" si="1"/>
        <v>125</v>
      </c>
    </row>
    <row r="336" ht="15.75" customHeight="1">
      <c r="A336" s="1">
        <f>IFERROR(__xludf.DUMMYFUNCTION("""COMPUTED_VALUE"""),44336.625)</f>
        <v>44336.625</v>
      </c>
      <c r="B336" s="2">
        <f>IFERROR(__xludf.DUMMYFUNCTION("""COMPUTED_VALUE"""),2600.0)</f>
        <v>2600</v>
      </c>
      <c r="C336" s="2">
        <f>IFERROR(__xludf.DUMMYFUNCTION("""COMPUTED_VALUE"""),2662.5)</f>
        <v>2662.5</v>
      </c>
      <c r="D336" s="2">
        <f>IFERROR(__xludf.DUMMYFUNCTION("""COMPUTED_VALUE"""),2587.5)</f>
        <v>2587.5</v>
      </c>
      <c r="E336" s="2">
        <f>IFERROR(__xludf.DUMMYFUNCTION("""COMPUTED_VALUE"""),2625.0)</f>
        <v>2625</v>
      </c>
      <c r="F336" s="2">
        <f>IFERROR(__xludf.DUMMYFUNCTION("""COMPUTED_VALUE"""),2.36647E7)</f>
        <v>23664700</v>
      </c>
      <c r="G336" s="2">
        <f t="shared" si="1"/>
        <v>75</v>
      </c>
    </row>
    <row r="337" ht="15.75" customHeight="1">
      <c r="A337" s="1">
        <f>IFERROR(__xludf.DUMMYFUNCTION("""COMPUTED_VALUE"""),44337.625)</f>
        <v>44337.625</v>
      </c>
      <c r="B337" s="2">
        <f>IFERROR(__xludf.DUMMYFUNCTION("""COMPUTED_VALUE"""),2650.0)</f>
        <v>2650</v>
      </c>
      <c r="C337" s="2">
        <f>IFERROR(__xludf.DUMMYFUNCTION("""COMPUTED_VALUE"""),2700.0)</f>
        <v>2700</v>
      </c>
      <c r="D337" s="2">
        <f>IFERROR(__xludf.DUMMYFUNCTION("""COMPUTED_VALUE"""),2625.0)</f>
        <v>2625</v>
      </c>
      <c r="E337" s="2">
        <f>IFERROR(__xludf.DUMMYFUNCTION("""COMPUTED_VALUE"""),2662.5)</f>
        <v>2662.5</v>
      </c>
      <c r="F337" s="2">
        <f>IFERROR(__xludf.DUMMYFUNCTION("""COMPUTED_VALUE"""),2.58573E7)</f>
        <v>25857300</v>
      </c>
      <c r="G337" s="2">
        <f t="shared" si="1"/>
        <v>75</v>
      </c>
    </row>
    <row r="338" ht="15.75" customHeight="1">
      <c r="A338" s="1">
        <f>IFERROR(__xludf.DUMMYFUNCTION("""COMPUTED_VALUE"""),44340.625)</f>
        <v>44340.625</v>
      </c>
      <c r="B338" s="2">
        <f>IFERROR(__xludf.DUMMYFUNCTION("""COMPUTED_VALUE"""),2687.5)</f>
        <v>2687.5</v>
      </c>
      <c r="C338" s="2">
        <f>IFERROR(__xludf.DUMMYFUNCTION("""COMPUTED_VALUE"""),2687.5)</f>
        <v>2687.5</v>
      </c>
      <c r="D338" s="2">
        <f>IFERROR(__xludf.DUMMYFUNCTION("""COMPUTED_VALUE"""),2650.0)</f>
        <v>2650</v>
      </c>
      <c r="E338" s="2">
        <f>IFERROR(__xludf.DUMMYFUNCTION("""COMPUTED_VALUE"""),2650.0)</f>
        <v>2650</v>
      </c>
      <c r="F338" s="2">
        <f>IFERROR(__xludf.DUMMYFUNCTION("""COMPUTED_VALUE"""),1.45451E7)</f>
        <v>14545100</v>
      </c>
      <c r="G338" s="2">
        <f t="shared" si="1"/>
        <v>37.5</v>
      </c>
    </row>
    <row r="339" ht="15.75" customHeight="1">
      <c r="A339" s="1">
        <f>IFERROR(__xludf.DUMMYFUNCTION("""COMPUTED_VALUE"""),44341.625)</f>
        <v>44341.625</v>
      </c>
      <c r="B339" s="2">
        <f>IFERROR(__xludf.DUMMYFUNCTION("""COMPUTED_VALUE"""),2650.0)</f>
        <v>2650</v>
      </c>
      <c r="C339" s="2">
        <f>IFERROR(__xludf.DUMMYFUNCTION("""COMPUTED_VALUE"""),2750.0)</f>
        <v>2750</v>
      </c>
      <c r="D339" s="2">
        <f>IFERROR(__xludf.DUMMYFUNCTION("""COMPUTED_VALUE"""),2650.0)</f>
        <v>2650</v>
      </c>
      <c r="E339" s="2">
        <f>IFERROR(__xludf.DUMMYFUNCTION("""COMPUTED_VALUE"""),2662.5)</f>
        <v>2662.5</v>
      </c>
      <c r="F339" s="2">
        <f>IFERROR(__xludf.DUMMYFUNCTION("""COMPUTED_VALUE"""),2.39423E7)</f>
        <v>23942300</v>
      </c>
      <c r="G339" s="2">
        <f t="shared" si="1"/>
        <v>100</v>
      </c>
    </row>
    <row r="340" ht="15.75" customHeight="1">
      <c r="A340" s="1">
        <f>IFERROR(__xludf.DUMMYFUNCTION("""COMPUTED_VALUE"""),44343.625)</f>
        <v>44343.625</v>
      </c>
      <c r="B340" s="2">
        <f>IFERROR(__xludf.DUMMYFUNCTION("""COMPUTED_VALUE"""),2687.5)</f>
        <v>2687.5</v>
      </c>
      <c r="C340" s="2">
        <f>IFERROR(__xludf.DUMMYFUNCTION("""COMPUTED_VALUE"""),2750.0)</f>
        <v>2750</v>
      </c>
      <c r="D340" s="2">
        <f>IFERROR(__xludf.DUMMYFUNCTION("""COMPUTED_VALUE"""),2575.0)</f>
        <v>2575</v>
      </c>
      <c r="E340" s="2">
        <f>IFERROR(__xludf.DUMMYFUNCTION("""COMPUTED_VALUE"""),2575.0)</f>
        <v>2575</v>
      </c>
      <c r="F340" s="2">
        <f>IFERROR(__xludf.DUMMYFUNCTION("""COMPUTED_VALUE"""),8.08495E7)</f>
        <v>80849500</v>
      </c>
      <c r="G340" s="2">
        <f t="shared" si="1"/>
        <v>175</v>
      </c>
    </row>
    <row r="341" ht="15.75" customHeight="1">
      <c r="A341" s="1">
        <f>IFERROR(__xludf.DUMMYFUNCTION("""COMPUTED_VALUE"""),44344.625)</f>
        <v>44344.625</v>
      </c>
      <c r="B341" s="2">
        <f>IFERROR(__xludf.DUMMYFUNCTION("""COMPUTED_VALUE"""),2637.5)</f>
        <v>2637.5</v>
      </c>
      <c r="C341" s="2">
        <f>IFERROR(__xludf.DUMMYFUNCTION("""COMPUTED_VALUE"""),2650.0)</f>
        <v>2650</v>
      </c>
      <c r="D341" s="2">
        <f>IFERROR(__xludf.DUMMYFUNCTION("""COMPUTED_VALUE"""),2600.0)</f>
        <v>2600</v>
      </c>
      <c r="E341" s="2">
        <f>IFERROR(__xludf.DUMMYFUNCTION("""COMPUTED_VALUE"""),2600.0)</f>
        <v>2600</v>
      </c>
      <c r="F341" s="2">
        <f>IFERROR(__xludf.DUMMYFUNCTION("""COMPUTED_VALUE"""),2.15856E7)</f>
        <v>21585600</v>
      </c>
      <c r="G341" s="2">
        <f t="shared" si="1"/>
        <v>75</v>
      </c>
    </row>
    <row r="342" ht="15.75" customHeight="1">
      <c r="A342" s="1">
        <f>IFERROR(__xludf.DUMMYFUNCTION("""COMPUTED_VALUE"""),44347.625)</f>
        <v>44347.625</v>
      </c>
      <c r="B342" s="2">
        <f>IFERROR(__xludf.DUMMYFUNCTION("""COMPUTED_VALUE"""),2612.5)</f>
        <v>2612.5</v>
      </c>
      <c r="C342" s="2">
        <f>IFERROR(__xludf.DUMMYFUNCTION("""COMPUTED_VALUE"""),2750.0)</f>
        <v>2750</v>
      </c>
      <c r="D342" s="2">
        <f>IFERROR(__xludf.DUMMYFUNCTION("""COMPUTED_VALUE"""),2600.0)</f>
        <v>2600</v>
      </c>
      <c r="E342" s="2">
        <f>IFERROR(__xludf.DUMMYFUNCTION("""COMPUTED_VALUE"""),2700.0)</f>
        <v>2700</v>
      </c>
      <c r="F342" s="2">
        <f>IFERROR(__xludf.DUMMYFUNCTION("""COMPUTED_VALUE"""),3.47681E7)</f>
        <v>34768100</v>
      </c>
      <c r="G342" s="2">
        <f t="shared" si="1"/>
        <v>150</v>
      </c>
    </row>
    <row r="343" ht="15.75" customHeight="1">
      <c r="A343" s="1">
        <f>IFERROR(__xludf.DUMMYFUNCTION("""COMPUTED_VALUE"""),44349.625)</f>
        <v>44349.625</v>
      </c>
      <c r="B343" s="2">
        <f>IFERROR(__xludf.DUMMYFUNCTION("""COMPUTED_VALUE"""),2750.0)</f>
        <v>2750</v>
      </c>
      <c r="C343" s="2">
        <f>IFERROR(__xludf.DUMMYFUNCTION("""COMPUTED_VALUE"""),2787.5)</f>
        <v>2787.5</v>
      </c>
      <c r="D343" s="2">
        <f>IFERROR(__xludf.DUMMYFUNCTION("""COMPUTED_VALUE"""),2712.5)</f>
        <v>2712.5</v>
      </c>
      <c r="E343" s="2">
        <f>IFERROR(__xludf.DUMMYFUNCTION("""COMPUTED_VALUE"""),2775.0)</f>
        <v>2775</v>
      </c>
      <c r="F343" s="2">
        <f>IFERROR(__xludf.DUMMYFUNCTION("""COMPUTED_VALUE"""),3.83181E7)</f>
        <v>38318100</v>
      </c>
      <c r="G343" s="2">
        <f t="shared" si="1"/>
        <v>87.5</v>
      </c>
    </row>
    <row r="344" ht="15.75" customHeight="1">
      <c r="A344" s="1">
        <f>IFERROR(__xludf.DUMMYFUNCTION("""COMPUTED_VALUE"""),44350.625)</f>
        <v>44350.625</v>
      </c>
      <c r="B344" s="2">
        <f>IFERROR(__xludf.DUMMYFUNCTION("""COMPUTED_VALUE"""),2787.5)</f>
        <v>2787.5</v>
      </c>
      <c r="C344" s="2">
        <f>IFERROR(__xludf.DUMMYFUNCTION("""COMPUTED_VALUE"""),2875.0)</f>
        <v>2875</v>
      </c>
      <c r="D344" s="2">
        <f>IFERROR(__xludf.DUMMYFUNCTION("""COMPUTED_VALUE"""),2737.5)</f>
        <v>2737.5</v>
      </c>
      <c r="E344" s="2">
        <f>IFERROR(__xludf.DUMMYFUNCTION("""COMPUTED_VALUE"""),2875.0)</f>
        <v>2875</v>
      </c>
      <c r="F344" s="2">
        <f>IFERROR(__xludf.DUMMYFUNCTION("""COMPUTED_VALUE"""),2.74263E7)</f>
        <v>27426300</v>
      </c>
      <c r="G344" s="2">
        <f t="shared" si="1"/>
        <v>137.5</v>
      </c>
    </row>
    <row r="345" ht="15.75" customHeight="1">
      <c r="A345" s="1">
        <f>IFERROR(__xludf.DUMMYFUNCTION("""COMPUTED_VALUE"""),44351.625)</f>
        <v>44351.625</v>
      </c>
      <c r="B345" s="2">
        <f>IFERROR(__xludf.DUMMYFUNCTION("""COMPUTED_VALUE"""),2850.0)</f>
        <v>2850</v>
      </c>
      <c r="C345" s="2">
        <f>IFERROR(__xludf.DUMMYFUNCTION("""COMPUTED_VALUE"""),2875.0)</f>
        <v>2875</v>
      </c>
      <c r="D345" s="2">
        <f>IFERROR(__xludf.DUMMYFUNCTION("""COMPUTED_VALUE"""),2800.0)</f>
        <v>2800</v>
      </c>
      <c r="E345" s="2">
        <f>IFERROR(__xludf.DUMMYFUNCTION("""COMPUTED_VALUE"""),2812.5)</f>
        <v>2812.5</v>
      </c>
      <c r="F345" s="2">
        <f>IFERROR(__xludf.DUMMYFUNCTION("""COMPUTED_VALUE"""),3.01245E7)</f>
        <v>30124500</v>
      </c>
      <c r="G345" s="2">
        <f t="shared" si="1"/>
        <v>75</v>
      </c>
    </row>
    <row r="346" ht="15.75" customHeight="1">
      <c r="A346" s="1">
        <f>IFERROR(__xludf.DUMMYFUNCTION("""COMPUTED_VALUE"""),44354.625)</f>
        <v>44354.625</v>
      </c>
      <c r="B346" s="2">
        <f>IFERROR(__xludf.DUMMYFUNCTION("""COMPUTED_VALUE"""),2812.5)</f>
        <v>2812.5</v>
      </c>
      <c r="C346" s="2">
        <f>IFERROR(__xludf.DUMMYFUNCTION("""COMPUTED_VALUE"""),2825.0)</f>
        <v>2825</v>
      </c>
      <c r="D346" s="2">
        <f>IFERROR(__xludf.DUMMYFUNCTION("""COMPUTED_VALUE"""),2737.5)</f>
        <v>2737.5</v>
      </c>
      <c r="E346" s="2">
        <f>IFERROR(__xludf.DUMMYFUNCTION("""COMPUTED_VALUE"""),2762.5)</f>
        <v>2762.5</v>
      </c>
      <c r="F346" s="2">
        <f>IFERROR(__xludf.DUMMYFUNCTION("""COMPUTED_VALUE"""),1.46411E7)</f>
        <v>14641100</v>
      </c>
      <c r="G346" s="2">
        <f t="shared" si="1"/>
        <v>87.5</v>
      </c>
    </row>
    <row r="347" ht="15.75" customHeight="1">
      <c r="A347" s="1">
        <f>IFERROR(__xludf.DUMMYFUNCTION("""COMPUTED_VALUE"""),44355.625)</f>
        <v>44355.625</v>
      </c>
      <c r="B347" s="2">
        <f>IFERROR(__xludf.DUMMYFUNCTION("""COMPUTED_VALUE"""),2775.0)</f>
        <v>2775</v>
      </c>
      <c r="C347" s="2">
        <f>IFERROR(__xludf.DUMMYFUNCTION("""COMPUTED_VALUE"""),2787.5)</f>
        <v>2787.5</v>
      </c>
      <c r="D347" s="2">
        <f>IFERROR(__xludf.DUMMYFUNCTION("""COMPUTED_VALUE"""),2737.5)</f>
        <v>2737.5</v>
      </c>
      <c r="E347" s="2">
        <f>IFERROR(__xludf.DUMMYFUNCTION("""COMPUTED_VALUE"""),2762.5)</f>
        <v>2762.5</v>
      </c>
      <c r="F347" s="2">
        <f>IFERROR(__xludf.DUMMYFUNCTION("""COMPUTED_VALUE"""),1.95371E7)</f>
        <v>19537100</v>
      </c>
      <c r="G347" s="2">
        <f t="shared" si="1"/>
        <v>50</v>
      </c>
    </row>
    <row r="348" ht="15.75" customHeight="1">
      <c r="A348" s="1">
        <f>IFERROR(__xludf.DUMMYFUNCTION("""COMPUTED_VALUE"""),44356.625)</f>
        <v>44356.625</v>
      </c>
      <c r="B348" s="2">
        <f>IFERROR(__xludf.DUMMYFUNCTION("""COMPUTED_VALUE"""),2787.5)</f>
        <v>2787.5</v>
      </c>
      <c r="C348" s="2">
        <f>IFERROR(__xludf.DUMMYFUNCTION("""COMPUTED_VALUE"""),2825.0)</f>
        <v>2825</v>
      </c>
      <c r="D348" s="2">
        <f>IFERROR(__xludf.DUMMYFUNCTION("""COMPUTED_VALUE"""),2750.0)</f>
        <v>2750</v>
      </c>
      <c r="E348" s="2">
        <f>IFERROR(__xludf.DUMMYFUNCTION("""COMPUTED_VALUE"""),2812.5)</f>
        <v>2812.5</v>
      </c>
      <c r="F348" s="2">
        <f>IFERROR(__xludf.DUMMYFUNCTION("""COMPUTED_VALUE"""),1.55256E7)</f>
        <v>15525600</v>
      </c>
      <c r="G348" s="2">
        <f t="shared" si="1"/>
        <v>75</v>
      </c>
    </row>
    <row r="349" ht="15.75" customHeight="1">
      <c r="A349" s="1">
        <f>IFERROR(__xludf.DUMMYFUNCTION("""COMPUTED_VALUE"""),44357.625)</f>
        <v>44357.625</v>
      </c>
      <c r="B349" s="2">
        <f>IFERROR(__xludf.DUMMYFUNCTION("""COMPUTED_VALUE"""),2825.0)</f>
        <v>2825</v>
      </c>
      <c r="C349" s="2">
        <f>IFERROR(__xludf.DUMMYFUNCTION("""COMPUTED_VALUE"""),2850.0)</f>
        <v>2850</v>
      </c>
      <c r="D349" s="2">
        <f>IFERROR(__xludf.DUMMYFUNCTION("""COMPUTED_VALUE"""),2800.0)</f>
        <v>2800</v>
      </c>
      <c r="E349" s="2">
        <f>IFERROR(__xludf.DUMMYFUNCTION("""COMPUTED_VALUE"""),2837.5)</f>
        <v>2837.5</v>
      </c>
      <c r="F349" s="2">
        <f>IFERROR(__xludf.DUMMYFUNCTION("""COMPUTED_VALUE"""),1.84886E7)</f>
        <v>18488600</v>
      </c>
      <c r="G349" s="2">
        <f t="shared" si="1"/>
        <v>50</v>
      </c>
    </row>
    <row r="350" ht="15.75" customHeight="1">
      <c r="A350" s="1">
        <f>IFERROR(__xludf.DUMMYFUNCTION("""COMPUTED_VALUE"""),44358.625)</f>
        <v>44358.625</v>
      </c>
      <c r="B350" s="2">
        <f>IFERROR(__xludf.DUMMYFUNCTION("""COMPUTED_VALUE"""),2837.5)</f>
        <v>2837.5</v>
      </c>
      <c r="C350" s="2">
        <f>IFERROR(__xludf.DUMMYFUNCTION("""COMPUTED_VALUE"""),2850.0)</f>
        <v>2850</v>
      </c>
      <c r="D350" s="2">
        <f>IFERROR(__xludf.DUMMYFUNCTION("""COMPUTED_VALUE"""),2800.0)</f>
        <v>2800</v>
      </c>
      <c r="E350" s="2">
        <f>IFERROR(__xludf.DUMMYFUNCTION("""COMPUTED_VALUE"""),2837.5)</f>
        <v>2837.5</v>
      </c>
      <c r="F350" s="2">
        <f>IFERROR(__xludf.DUMMYFUNCTION("""COMPUTED_VALUE"""),1.86044E7)</f>
        <v>18604400</v>
      </c>
      <c r="G350" s="2">
        <f t="shared" si="1"/>
        <v>50</v>
      </c>
    </row>
    <row r="351" ht="15.75" customHeight="1">
      <c r="A351" s="1">
        <f>IFERROR(__xludf.DUMMYFUNCTION("""COMPUTED_VALUE"""),44361.66666666667)</f>
        <v>44361.66667</v>
      </c>
      <c r="B351" s="2">
        <f>IFERROR(__xludf.DUMMYFUNCTION("""COMPUTED_VALUE"""),2837.5)</f>
        <v>2837.5</v>
      </c>
      <c r="C351" s="2">
        <f>IFERROR(__xludf.DUMMYFUNCTION("""COMPUTED_VALUE"""),2837.5)</f>
        <v>2837.5</v>
      </c>
      <c r="D351" s="2">
        <f>IFERROR(__xludf.DUMMYFUNCTION("""COMPUTED_VALUE"""),2762.5)</f>
        <v>2762.5</v>
      </c>
      <c r="E351" s="2">
        <f>IFERROR(__xludf.DUMMYFUNCTION("""COMPUTED_VALUE"""),2775.0)</f>
        <v>2775</v>
      </c>
      <c r="F351" s="2">
        <f>IFERROR(__xludf.DUMMYFUNCTION("""COMPUTED_VALUE"""),1.85264E7)</f>
        <v>18526400</v>
      </c>
      <c r="G351" s="2">
        <f t="shared" si="1"/>
        <v>75</v>
      </c>
    </row>
    <row r="352" ht="15.75" customHeight="1">
      <c r="A352" s="1">
        <f>IFERROR(__xludf.DUMMYFUNCTION("""COMPUTED_VALUE"""),44362.625)</f>
        <v>44362.625</v>
      </c>
      <c r="B352" s="2">
        <f>IFERROR(__xludf.DUMMYFUNCTION("""COMPUTED_VALUE"""),2775.0)</f>
        <v>2775</v>
      </c>
      <c r="C352" s="2">
        <f>IFERROR(__xludf.DUMMYFUNCTION("""COMPUTED_VALUE"""),2787.5)</f>
        <v>2787.5</v>
      </c>
      <c r="D352" s="2">
        <f>IFERROR(__xludf.DUMMYFUNCTION("""COMPUTED_VALUE"""),2750.0)</f>
        <v>2750</v>
      </c>
      <c r="E352" s="2">
        <f>IFERROR(__xludf.DUMMYFUNCTION("""COMPUTED_VALUE"""),2762.5)</f>
        <v>2762.5</v>
      </c>
      <c r="F352" s="2">
        <f>IFERROR(__xludf.DUMMYFUNCTION("""COMPUTED_VALUE"""),1.42495E7)</f>
        <v>14249500</v>
      </c>
      <c r="G352" s="2">
        <f t="shared" si="1"/>
        <v>37.5</v>
      </c>
    </row>
    <row r="353" ht="15.75" customHeight="1">
      <c r="A353" s="1">
        <f>IFERROR(__xludf.DUMMYFUNCTION("""COMPUTED_VALUE"""),44363.625)</f>
        <v>44363.625</v>
      </c>
      <c r="B353" s="2">
        <f>IFERROR(__xludf.DUMMYFUNCTION("""COMPUTED_VALUE"""),2750.0)</f>
        <v>2750</v>
      </c>
      <c r="C353" s="2">
        <f>IFERROR(__xludf.DUMMYFUNCTION("""COMPUTED_VALUE"""),2762.5)</f>
        <v>2762.5</v>
      </c>
      <c r="D353" s="2">
        <f>IFERROR(__xludf.DUMMYFUNCTION("""COMPUTED_VALUE"""),2662.5)</f>
        <v>2662.5</v>
      </c>
      <c r="E353" s="2">
        <f>IFERROR(__xludf.DUMMYFUNCTION("""COMPUTED_VALUE"""),2687.5)</f>
        <v>2687.5</v>
      </c>
      <c r="F353" s="2">
        <f>IFERROR(__xludf.DUMMYFUNCTION("""COMPUTED_VALUE"""),2.08971E7)</f>
        <v>20897100</v>
      </c>
      <c r="G353" s="2">
        <f t="shared" si="1"/>
        <v>100</v>
      </c>
    </row>
    <row r="354" ht="15.75" customHeight="1">
      <c r="A354" s="1">
        <f>IFERROR(__xludf.DUMMYFUNCTION("""COMPUTED_VALUE"""),44364.625)</f>
        <v>44364.625</v>
      </c>
      <c r="B354" s="2">
        <f>IFERROR(__xludf.DUMMYFUNCTION("""COMPUTED_VALUE"""),2675.0)</f>
        <v>2675</v>
      </c>
      <c r="C354" s="2">
        <f>IFERROR(__xludf.DUMMYFUNCTION("""COMPUTED_VALUE"""),2675.0)</f>
        <v>2675</v>
      </c>
      <c r="D354" s="2">
        <f>IFERROR(__xludf.DUMMYFUNCTION("""COMPUTED_VALUE"""),2612.5)</f>
        <v>2612.5</v>
      </c>
      <c r="E354" s="2">
        <f>IFERROR(__xludf.DUMMYFUNCTION("""COMPUTED_VALUE"""),2625.0)</f>
        <v>2625</v>
      </c>
      <c r="F354" s="2">
        <f>IFERROR(__xludf.DUMMYFUNCTION("""COMPUTED_VALUE"""),2.56623E7)</f>
        <v>25662300</v>
      </c>
      <c r="G354" s="2">
        <f t="shared" si="1"/>
        <v>75</v>
      </c>
    </row>
    <row r="355" ht="15.75" customHeight="1">
      <c r="A355" s="1">
        <f>IFERROR(__xludf.DUMMYFUNCTION("""COMPUTED_VALUE"""),44365.625)</f>
        <v>44365.625</v>
      </c>
      <c r="B355" s="2">
        <f>IFERROR(__xludf.DUMMYFUNCTION("""COMPUTED_VALUE"""),2612.5)</f>
        <v>2612.5</v>
      </c>
      <c r="C355" s="2">
        <f>IFERROR(__xludf.DUMMYFUNCTION("""COMPUTED_VALUE"""),2612.5)</f>
        <v>2612.5</v>
      </c>
      <c r="D355" s="2">
        <f>IFERROR(__xludf.DUMMYFUNCTION("""COMPUTED_VALUE"""),2445.0)</f>
        <v>2445</v>
      </c>
      <c r="E355" s="2">
        <f>IFERROR(__xludf.DUMMYFUNCTION("""COMPUTED_VALUE"""),2470.0)</f>
        <v>2470</v>
      </c>
      <c r="F355" s="2">
        <f>IFERROR(__xludf.DUMMYFUNCTION("""COMPUTED_VALUE"""),1.547785E8)</f>
        <v>154778500</v>
      </c>
      <c r="G355" s="2">
        <f t="shared" si="1"/>
        <v>180</v>
      </c>
    </row>
    <row r="356" ht="15.75" customHeight="1">
      <c r="A356" s="1">
        <f>IFERROR(__xludf.DUMMYFUNCTION("""COMPUTED_VALUE"""),44368.66666666667)</f>
        <v>44368.66667</v>
      </c>
      <c r="B356" s="2">
        <f>IFERROR(__xludf.DUMMYFUNCTION("""COMPUTED_VALUE"""),2445.0)</f>
        <v>2445</v>
      </c>
      <c r="C356" s="2">
        <f>IFERROR(__xludf.DUMMYFUNCTION("""COMPUTED_VALUE"""),2495.0)</f>
        <v>2495</v>
      </c>
      <c r="D356" s="2">
        <f>IFERROR(__xludf.DUMMYFUNCTION("""COMPUTED_VALUE"""),2390.0)</f>
        <v>2390</v>
      </c>
      <c r="E356" s="2">
        <f>IFERROR(__xludf.DUMMYFUNCTION("""COMPUTED_VALUE"""),2485.0)</f>
        <v>2485</v>
      </c>
      <c r="F356" s="2">
        <f>IFERROR(__xludf.DUMMYFUNCTION("""COMPUTED_VALUE"""),5.31892E7)</f>
        <v>53189200</v>
      </c>
      <c r="G356" s="2">
        <f t="shared" si="1"/>
        <v>105</v>
      </c>
    </row>
    <row r="357" ht="15.75" customHeight="1">
      <c r="A357" s="1">
        <f>IFERROR(__xludf.DUMMYFUNCTION("""COMPUTED_VALUE"""),44369.625)</f>
        <v>44369.625</v>
      </c>
      <c r="B357" s="2">
        <f>IFERROR(__xludf.DUMMYFUNCTION("""COMPUTED_VALUE"""),2500.0)</f>
        <v>2500</v>
      </c>
      <c r="C357" s="2">
        <f>IFERROR(__xludf.DUMMYFUNCTION("""COMPUTED_VALUE"""),2512.5)</f>
        <v>2512.5</v>
      </c>
      <c r="D357" s="2">
        <f>IFERROR(__xludf.DUMMYFUNCTION("""COMPUTED_VALUE"""),2455.0)</f>
        <v>2455</v>
      </c>
      <c r="E357" s="2">
        <f>IFERROR(__xludf.DUMMYFUNCTION("""COMPUTED_VALUE"""),2475.0)</f>
        <v>2475</v>
      </c>
      <c r="F357" s="2">
        <f>IFERROR(__xludf.DUMMYFUNCTION("""COMPUTED_VALUE"""),3.67886E7)</f>
        <v>36788600</v>
      </c>
      <c r="G357" s="2">
        <f t="shared" si="1"/>
        <v>57.5</v>
      </c>
    </row>
    <row r="358" ht="15.75" customHeight="1">
      <c r="A358" s="1">
        <f>IFERROR(__xludf.DUMMYFUNCTION("""COMPUTED_VALUE"""),44370.625)</f>
        <v>44370.625</v>
      </c>
      <c r="B358" s="2">
        <f>IFERROR(__xludf.DUMMYFUNCTION("""COMPUTED_VALUE"""),2485.0)</f>
        <v>2485</v>
      </c>
      <c r="C358" s="2">
        <f>IFERROR(__xludf.DUMMYFUNCTION("""COMPUTED_VALUE"""),2485.0)</f>
        <v>2485</v>
      </c>
      <c r="D358" s="2">
        <f>IFERROR(__xludf.DUMMYFUNCTION("""COMPUTED_VALUE"""),2425.0)</f>
        <v>2425</v>
      </c>
      <c r="E358" s="2">
        <f>IFERROR(__xludf.DUMMYFUNCTION("""COMPUTED_VALUE"""),2425.0)</f>
        <v>2425</v>
      </c>
      <c r="F358" s="2">
        <f>IFERROR(__xludf.DUMMYFUNCTION("""COMPUTED_VALUE"""),3.95754E7)</f>
        <v>39575400</v>
      </c>
      <c r="G358" s="2">
        <f t="shared" si="1"/>
        <v>60</v>
      </c>
    </row>
    <row r="359" ht="15.75" customHeight="1">
      <c r="A359" s="1">
        <f>IFERROR(__xludf.DUMMYFUNCTION("""COMPUTED_VALUE"""),44371.625)</f>
        <v>44371.625</v>
      </c>
      <c r="B359" s="2">
        <f>IFERROR(__xludf.DUMMYFUNCTION("""COMPUTED_VALUE"""),2425.0)</f>
        <v>2425</v>
      </c>
      <c r="C359" s="2">
        <f>IFERROR(__xludf.DUMMYFUNCTION("""COMPUTED_VALUE"""),2445.0)</f>
        <v>2445</v>
      </c>
      <c r="D359" s="2">
        <f>IFERROR(__xludf.DUMMYFUNCTION("""COMPUTED_VALUE"""),2395.0)</f>
        <v>2395</v>
      </c>
      <c r="E359" s="2">
        <f>IFERROR(__xludf.DUMMYFUNCTION("""COMPUTED_VALUE"""),2410.0)</f>
        <v>2410</v>
      </c>
      <c r="F359" s="2">
        <f>IFERROR(__xludf.DUMMYFUNCTION("""COMPUTED_VALUE"""),2.92441E7)</f>
        <v>29244100</v>
      </c>
      <c r="G359" s="2">
        <f t="shared" si="1"/>
        <v>50</v>
      </c>
    </row>
    <row r="360" ht="15.75" customHeight="1">
      <c r="A360" s="1">
        <f>IFERROR(__xludf.DUMMYFUNCTION("""COMPUTED_VALUE"""),44372.625)</f>
        <v>44372.625</v>
      </c>
      <c r="B360" s="2">
        <f>IFERROR(__xludf.DUMMYFUNCTION("""COMPUTED_VALUE"""),2410.0)</f>
        <v>2410</v>
      </c>
      <c r="C360" s="2">
        <f>IFERROR(__xludf.DUMMYFUNCTION("""COMPUTED_VALUE"""),2440.0)</f>
        <v>2440</v>
      </c>
      <c r="D360" s="2">
        <f>IFERROR(__xludf.DUMMYFUNCTION("""COMPUTED_VALUE"""),2380.0)</f>
        <v>2380</v>
      </c>
      <c r="E360" s="2">
        <f>IFERROR(__xludf.DUMMYFUNCTION("""COMPUTED_VALUE"""),2380.0)</f>
        <v>2380</v>
      </c>
      <c r="F360" s="2">
        <f>IFERROR(__xludf.DUMMYFUNCTION("""COMPUTED_VALUE"""),2.79356E7)</f>
        <v>27935600</v>
      </c>
      <c r="G360" s="2">
        <f t="shared" si="1"/>
        <v>60</v>
      </c>
    </row>
    <row r="361" ht="15.75" customHeight="1">
      <c r="A361" s="1">
        <f>IFERROR(__xludf.DUMMYFUNCTION("""COMPUTED_VALUE"""),44375.66666666667)</f>
        <v>44375.66667</v>
      </c>
      <c r="B361" s="2">
        <f>IFERROR(__xludf.DUMMYFUNCTION("""COMPUTED_VALUE"""),2375.0)</f>
        <v>2375</v>
      </c>
      <c r="C361" s="2">
        <f>IFERROR(__xludf.DUMMYFUNCTION("""COMPUTED_VALUE"""),2375.0)</f>
        <v>2375</v>
      </c>
      <c r="D361" s="2">
        <f>IFERROR(__xludf.DUMMYFUNCTION("""COMPUTED_VALUE"""),2290.0)</f>
        <v>2290</v>
      </c>
      <c r="E361" s="2">
        <f>IFERROR(__xludf.DUMMYFUNCTION("""COMPUTED_VALUE"""),2290.0)</f>
        <v>2290</v>
      </c>
      <c r="F361" s="2">
        <f>IFERROR(__xludf.DUMMYFUNCTION("""COMPUTED_VALUE"""),5.39778E7)</f>
        <v>53977800</v>
      </c>
      <c r="G361" s="2">
        <f t="shared" si="1"/>
        <v>90</v>
      </c>
    </row>
    <row r="362" ht="15.75" customHeight="1">
      <c r="A362" s="1">
        <f>IFERROR(__xludf.DUMMYFUNCTION("""COMPUTED_VALUE"""),44376.625)</f>
        <v>44376.625</v>
      </c>
      <c r="B362" s="2">
        <f>IFERROR(__xludf.DUMMYFUNCTION("""COMPUTED_VALUE"""),2290.0)</f>
        <v>2290</v>
      </c>
      <c r="C362" s="2">
        <f>IFERROR(__xludf.DUMMYFUNCTION("""COMPUTED_VALUE"""),2330.0)</f>
        <v>2330</v>
      </c>
      <c r="D362" s="2">
        <f>IFERROR(__xludf.DUMMYFUNCTION("""COMPUTED_VALUE"""),2280.0)</f>
        <v>2280</v>
      </c>
      <c r="E362" s="2">
        <f>IFERROR(__xludf.DUMMYFUNCTION("""COMPUTED_VALUE"""),2290.0)</f>
        <v>2290</v>
      </c>
      <c r="F362" s="2">
        <f>IFERROR(__xludf.DUMMYFUNCTION("""COMPUTED_VALUE"""),2.55308E7)</f>
        <v>25530800</v>
      </c>
      <c r="G362" s="2">
        <f t="shared" si="1"/>
        <v>50</v>
      </c>
    </row>
    <row r="363" ht="15.75" customHeight="1">
      <c r="A363" s="1">
        <f>IFERROR(__xludf.DUMMYFUNCTION("""COMPUTED_VALUE"""),44377.625)</f>
        <v>44377.625</v>
      </c>
      <c r="B363" s="2">
        <f>IFERROR(__xludf.DUMMYFUNCTION("""COMPUTED_VALUE"""),2290.0)</f>
        <v>2290</v>
      </c>
      <c r="C363" s="2">
        <f>IFERROR(__xludf.DUMMYFUNCTION("""COMPUTED_VALUE"""),2340.0)</f>
        <v>2340</v>
      </c>
      <c r="D363" s="2">
        <f>IFERROR(__xludf.DUMMYFUNCTION("""COMPUTED_VALUE"""),2290.0)</f>
        <v>2290</v>
      </c>
      <c r="E363" s="2">
        <f>IFERROR(__xludf.DUMMYFUNCTION("""COMPUTED_VALUE"""),2315.0)</f>
        <v>2315</v>
      </c>
      <c r="F363" s="2">
        <f>IFERROR(__xludf.DUMMYFUNCTION("""COMPUTED_VALUE"""),3.76447E7)</f>
        <v>37644700</v>
      </c>
      <c r="G363" s="2">
        <f t="shared" si="1"/>
        <v>50</v>
      </c>
    </row>
    <row r="364" ht="15.75" customHeight="1">
      <c r="A364" s="1">
        <f>IFERROR(__xludf.DUMMYFUNCTION("""COMPUTED_VALUE"""),44378.625)</f>
        <v>44378.625</v>
      </c>
      <c r="B364" s="2">
        <f>IFERROR(__xludf.DUMMYFUNCTION("""COMPUTED_VALUE"""),2315.0)</f>
        <v>2315</v>
      </c>
      <c r="C364" s="2">
        <f>IFERROR(__xludf.DUMMYFUNCTION("""COMPUTED_VALUE"""),2390.0)</f>
        <v>2390</v>
      </c>
      <c r="D364" s="2">
        <f>IFERROR(__xludf.DUMMYFUNCTION("""COMPUTED_VALUE"""),2315.0)</f>
        <v>2315</v>
      </c>
      <c r="E364" s="2">
        <f>IFERROR(__xludf.DUMMYFUNCTION("""COMPUTED_VALUE"""),2350.0)</f>
        <v>2350</v>
      </c>
      <c r="F364" s="2">
        <f>IFERROR(__xludf.DUMMYFUNCTION("""COMPUTED_VALUE"""),2.94477E7)</f>
        <v>29447700</v>
      </c>
      <c r="G364" s="2">
        <f t="shared" si="1"/>
        <v>75</v>
      </c>
    </row>
    <row r="365" ht="15.75" customHeight="1">
      <c r="A365" s="1">
        <f>IFERROR(__xludf.DUMMYFUNCTION("""COMPUTED_VALUE"""),44379.625)</f>
        <v>44379.625</v>
      </c>
      <c r="B365" s="2">
        <f>IFERROR(__xludf.DUMMYFUNCTION("""COMPUTED_VALUE"""),2350.0)</f>
        <v>2350</v>
      </c>
      <c r="C365" s="2">
        <f>IFERROR(__xludf.DUMMYFUNCTION("""COMPUTED_VALUE"""),2430.0)</f>
        <v>2430</v>
      </c>
      <c r="D365" s="2">
        <f>IFERROR(__xludf.DUMMYFUNCTION("""COMPUTED_VALUE"""),2350.0)</f>
        <v>2350</v>
      </c>
      <c r="E365" s="2">
        <f>IFERROR(__xludf.DUMMYFUNCTION("""COMPUTED_VALUE"""),2415.0)</f>
        <v>2415</v>
      </c>
      <c r="F365" s="2">
        <f>IFERROR(__xludf.DUMMYFUNCTION("""COMPUTED_VALUE"""),3.50355E7)</f>
        <v>35035500</v>
      </c>
      <c r="G365" s="2">
        <f t="shared" si="1"/>
        <v>80</v>
      </c>
    </row>
    <row r="366" ht="15.75" customHeight="1">
      <c r="A366" s="1">
        <f>IFERROR(__xludf.DUMMYFUNCTION("""COMPUTED_VALUE"""),44382.625)</f>
        <v>44382.625</v>
      </c>
      <c r="B366" s="2">
        <f>IFERROR(__xludf.DUMMYFUNCTION("""COMPUTED_VALUE"""),2415.0)</f>
        <v>2415</v>
      </c>
      <c r="C366" s="2">
        <f>IFERROR(__xludf.DUMMYFUNCTION("""COMPUTED_VALUE"""),2420.0)</f>
        <v>2420</v>
      </c>
      <c r="D366" s="2">
        <f>IFERROR(__xludf.DUMMYFUNCTION("""COMPUTED_VALUE"""),2350.0)</f>
        <v>2350</v>
      </c>
      <c r="E366" s="2">
        <f>IFERROR(__xludf.DUMMYFUNCTION("""COMPUTED_VALUE"""),2360.0)</f>
        <v>2360</v>
      </c>
      <c r="F366" s="2">
        <f>IFERROR(__xludf.DUMMYFUNCTION("""COMPUTED_VALUE"""),2.47997E7)</f>
        <v>24799700</v>
      </c>
      <c r="G366" s="2">
        <f t="shared" si="1"/>
        <v>70</v>
      </c>
    </row>
    <row r="367" ht="15.75" customHeight="1">
      <c r="A367" s="1">
        <f>IFERROR(__xludf.DUMMYFUNCTION("""COMPUTED_VALUE"""),44383.625)</f>
        <v>44383.625</v>
      </c>
      <c r="B367" s="2">
        <f>IFERROR(__xludf.DUMMYFUNCTION("""COMPUTED_VALUE"""),2365.0)</f>
        <v>2365</v>
      </c>
      <c r="C367" s="2">
        <f>IFERROR(__xludf.DUMMYFUNCTION("""COMPUTED_VALUE"""),2375.0)</f>
        <v>2375</v>
      </c>
      <c r="D367" s="2">
        <f>IFERROR(__xludf.DUMMYFUNCTION("""COMPUTED_VALUE"""),2340.0)</f>
        <v>2340</v>
      </c>
      <c r="E367" s="2">
        <f>IFERROR(__xludf.DUMMYFUNCTION("""COMPUTED_VALUE"""),2355.0)</f>
        <v>2355</v>
      </c>
      <c r="F367" s="2">
        <f>IFERROR(__xludf.DUMMYFUNCTION("""COMPUTED_VALUE"""),2.69182E7)</f>
        <v>26918200</v>
      </c>
      <c r="G367" s="2">
        <f t="shared" si="1"/>
        <v>35</v>
      </c>
    </row>
    <row r="368" ht="15.75" customHeight="1">
      <c r="A368" s="1">
        <f>IFERROR(__xludf.DUMMYFUNCTION("""COMPUTED_VALUE"""),44384.625)</f>
        <v>44384.625</v>
      </c>
      <c r="B368" s="2">
        <f>IFERROR(__xludf.DUMMYFUNCTION("""COMPUTED_VALUE"""),2355.0)</f>
        <v>2355</v>
      </c>
      <c r="C368" s="2">
        <f>IFERROR(__xludf.DUMMYFUNCTION("""COMPUTED_VALUE"""),2380.0)</f>
        <v>2380</v>
      </c>
      <c r="D368" s="2">
        <f>IFERROR(__xludf.DUMMYFUNCTION("""COMPUTED_VALUE"""),2340.0)</f>
        <v>2340</v>
      </c>
      <c r="E368" s="2">
        <f>IFERROR(__xludf.DUMMYFUNCTION("""COMPUTED_VALUE"""),2365.0)</f>
        <v>2365</v>
      </c>
      <c r="F368" s="2">
        <f>IFERROR(__xludf.DUMMYFUNCTION("""COMPUTED_VALUE"""),2.00079E7)</f>
        <v>20007900</v>
      </c>
      <c r="G368" s="2">
        <f t="shared" si="1"/>
        <v>40</v>
      </c>
    </row>
    <row r="369" ht="15.75" customHeight="1">
      <c r="A369" s="1">
        <f>IFERROR(__xludf.DUMMYFUNCTION("""COMPUTED_VALUE"""),44385.625)</f>
        <v>44385.625</v>
      </c>
      <c r="B369" s="2">
        <f>IFERROR(__xludf.DUMMYFUNCTION("""COMPUTED_VALUE"""),2375.0)</f>
        <v>2375</v>
      </c>
      <c r="C369" s="2">
        <f>IFERROR(__xludf.DUMMYFUNCTION("""COMPUTED_VALUE"""),2415.0)</f>
        <v>2415</v>
      </c>
      <c r="D369" s="2">
        <f>IFERROR(__xludf.DUMMYFUNCTION("""COMPUTED_VALUE"""),2360.0)</f>
        <v>2360</v>
      </c>
      <c r="E369" s="2">
        <f>IFERROR(__xludf.DUMMYFUNCTION("""COMPUTED_VALUE"""),2380.0)</f>
        <v>2380</v>
      </c>
      <c r="F369" s="2">
        <f>IFERROR(__xludf.DUMMYFUNCTION("""COMPUTED_VALUE"""),2.5201E7)</f>
        <v>25201000</v>
      </c>
      <c r="G369" s="2">
        <f t="shared" si="1"/>
        <v>55</v>
      </c>
    </row>
    <row r="370" ht="15.75" customHeight="1">
      <c r="A370" s="1">
        <f>IFERROR(__xludf.DUMMYFUNCTION("""COMPUTED_VALUE"""),44386.625)</f>
        <v>44386.625</v>
      </c>
      <c r="B370" s="2">
        <f>IFERROR(__xludf.DUMMYFUNCTION("""COMPUTED_VALUE"""),2380.0)</f>
        <v>2380</v>
      </c>
      <c r="C370" s="2">
        <f>IFERROR(__xludf.DUMMYFUNCTION("""COMPUTED_VALUE"""),2380.0)</f>
        <v>2380</v>
      </c>
      <c r="D370" s="2">
        <f>IFERROR(__xludf.DUMMYFUNCTION("""COMPUTED_VALUE"""),2310.0)</f>
        <v>2310</v>
      </c>
      <c r="E370" s="2">
        <f>IFERROR(__xludf.DUMMYFUNCTION("""COMPUTED_VALUE"""),2320.0)</f>
        <v>2320</v>
      </c>
      <c r="F370" s="2">
        <f>IFERROR(__xludf.DUMMYFUNCTION("""COMPUTED_VALUE"""),2.8321E7)</f>
        <v>28321000</v>
      </c>
      <c r="G370" s="2">
        <f t="shared" si="1"/>
        <v>70</v>
      </c>
    </row>
    <row r="371" ht="15.75" customHeight="1">
      <c r="A371" s="1">
        <f>IFERROR(__xludf.DUMMYFUNCTION("""COMPUTED_VALUE"""),44389.625)</f>
        <v>44389.625</v>
      </c>
      <c r="B371" s="2">
        <f>IFERROR(__xludf.DUMMYFUNCTION("""COMPUTED_VALUE"""),2325.0)</f>
        <v>2325</v>
      </c>
      <c r="C371" s="2">
        <f>IFERROR(__xludf.DUMMYFUNCTION("""COMPUTED_VALUE"""),2355.0)</f>
        <v>2355</v>
      </c>
      <c r="D371" s="2">
        <f>IFERROR(__xludf.DUMMYFUNCTION("""COMPUTED_VALUE"""),2300.0)</f>
        <v>2300</v>
      </c>
      <c r="E371" s="2">
        <f>IFERROR(__xludf.DUMMYFUNCTION("""COMPUTED_VALUE"""),2350.0)</f>
        <v>2350</v>
      </c>
      <c r="F371" s="2">
        <f>IFERROR(__xludf.DUMMYFUNCTION("""COMPUTED_VALUE"""),2.51591E7)</f>
        <v>25159100</v>
      </c>
      <c r="G371" s="2">
        <f t="shared" si="1"/>
        <v>55</v>
      </c>
    </row>
    <row r="372" ht="15.75" customHeight="1">
      <c r="A372" s="1">
        <f>IFERROR(__xludf.DUMMYFUNCTION("""COMPUTED_VALUE"""),44390.625)</f>
        <v>44390.625</v>
      </c>
      <c r="B372" s="2">
        <f>IFERROR(__xludf.DUMMYFUNCTION("""COMPUTED_VALUE"""),2360.0)</f>
        <v>2360</v>
      </c>
      <c r="C372" s="2">
        <f>IFERROR(__xludf.DUMMYFUNCTION("""COMPUTED_VALUE"""),2375.0)</f>
        <v>2375</v>
      </c>
      <c r="D372" s="2">
        <f>IFERROR(__xludf.DUMMYFUNCTION("""COMPUTED_VALUE"""),2320.0)</f>
        <v>2320</v>
      </c>
      <c r="E372" s="2">
        <f>IFERROR(__xludf.DUMMYFUNCTION("""COMPUTED_VALUE"""),2335.0)</f>
        <v>2335</v>
      </c>
      <c r="F372" s="2">
        <f>IFERROR(__xludf.DUMMYFUNCTION("""COMPUTED_VALUE"""),1.76257E7)</f>
        <v>17625700</v>
      </c>
      <c r="G372" s="2">
        <f t="shared" si="1"/>
        <v>55</v>
      </c>
    </row>
    <row r="373" ht="15.75" customHeight="1">
      <c r="A373" s="1">
        <f>IFERROR(__xludf.DUMMYFUNCTION("""COMPUTED_VALUE"""),44391.625)</f>
        <v>44391.625</v>
      </c>
      <c r="B373" s="2">
        <f>IFERROR(__xludf.DUMMYFUNCTION("""COMPUTED_VALUE"""),2310.0)</f>
        <v>2310</v>
      </c>
      <c r="C373" s="2">
        <f>IFERROR(__xludf.DUMMYFUNCTION("""COMPUTED_VALUE"""),2320.0)</f>
        <v>2320</v>
      </c>
      <c r="D373" s="2">
        <f>IFERROR(__xludf.DUMMYFUNCTION("""COMPUTED_VALUE"""),2280.0)</f>
        <v>2280</v>
      </c>
      <c r="E373" s="2">
        <f>IFERROR(__xludf.DUMMYFUNCTION("""COMPUTED_VALUE"""),2290.0)</f>
        <v>2290</v>
      </c>
      <c r="F373" s="2">
        <f>IFERROR(__xludf.DUMMYFUNCTION("""COMPUTED_VALUE"""),2.38333E7)</f>
        <v>23833300</v>
      </c>
      <c r="G373" s="2">
        <f t="shared" si="1"/>
        <v>55</v>
      </c>
    </row>
    <row r="374" ht="15.75" customHeight="1">
      <c r="A374" s="1">
        <f>IFERROR(__xludf.DUMMYFUNCTION("""COMPUTED_VALUE"""),44392.625)</f>
        <v>44392.625</v>
      </c>
      <c r="B374" s="2">
        <f>IFERROR(__xludf.DUMMYFUNCTION("""COMPUTED_VALUE"""),2290.0)</f>
        <v>2290</v>
      </c>
      <c r="C374" s="2">
        <f>IFERROR(__xludf.DUMMYFUNCTION("""COMPUTED_VALUE"""),2385.0)</f>
        <v>2385</v>
      </c>
      <c r="D374" s="2">
        <f>IFERROR(__xludf.DUMMYFUNCTION("""COMPUTED_VALUE"""),2290.0)</f>
        <v>2290</v>
      </c>
      <c r="E374" s="2">
        <f>IFERROR(__xludf.DUMMYFUNCTION("""COMPUTED_VALUE"""),2360.0)</f>
        <v>2360</v>
      </c>
      <c r="F374" s="2">
        <f>IFERROR(__xludf.DUMMYFUNCTION("""COMPUTED_VALUE"""),3.47135E7)</f>
        <v>34713500</v>
      </c>
      <c r="G374" s="2">
        <f t="shared" si="1"/>
        <v>95</v>
      </c>
    </row>
    <row r="375" ht="15.75" customHeight="1">
      <c r="A375" s="1">
        <f>IFERROR(__xludf.DUMMYFUNCTION("""COMPUTED_VALUE"""),44393.625)</f>
        <v>44393.625</v>
      </c>
      <c r="B375" s="2">
        <f>IFERROR(__xludf.DUMMYFUNCTION("""COMPUTED_VALUE"""),2375.0)</f>
        <v>2375</v>
      </c>
      <c r="C375" s="2">
        <f>IFERROR(__xludf.DUMMYFUNCTION("""COMPUTED_VALUE"""),2415.0)</f>
        <v>2415</v>
      </c>
      <c r="D375" s="2">
        <f>IFERROR(__xludf.DUMMYFUNCTION("""COMPUTED_VALUE"""),2370.0)</f>
        <v>2370</v>
      </c>
      <c r="E375" s="2">
        <f>IFERROR(__xludf.DUMMYFUNCTION("""COMPUTED_VALUE"""),2405.0)</f>
        <v>2405</v>
      </c>
      <c r="F375" s="2">
        <f>IFERROR(__xludf.DUMMYFUNCTION("""COMPUTED_VALUE"""),2.60477E7)</f>
        <v>26047700</v>
      </c>
      <c r="G375" s="2">
        <f t="shared" si="1"/>
        <v>55</v>
      </c>
    </row>
    <row r="376" ht="15.75" customHeight="1">
      <c r="A376" s="1">
        <f>IFERROR(__xludf.DUMMYFUNCTION("""COMPUTED_VALUE"""),44396.625)</f>
        <v>44396.625</v>
      </c>
      <c r="B376" s="2">
        <f>IFERROR(__xludf.DUMMYFUNCTION("""COMPUTED_VALUE"""),2405.0)</f>
        <v>2405</v>
      </c>
      <c r="C376" s="2">
        <f>IFERROR(__xludf.DUMMYFUNCTION("""COMPUTED_VALUE"""),2425.0)</f>
        <v>2425</v>
      </c>
      <c r="D376" s="2">
        <f>IFERROR(__xludf.DUMMYFUNCTION("""COMPUTED_VALUE"""),2380.0)</f>
        <v>2380</v>
      </c>
      <c r="E376" s="2">
        <f>IFERROR(__xludf.DUMMYFUNCTION("""COMPUTED_VALUE"""),2410.0)</f>
        <v>2410</v>
      </c>
      <c r="F376" s="2">
        <f>IFERROR(__xludf.DUMMYFUNCTION("""COMPUTED_VALUE"""),1.78069E7)</f>
        <v>17806900</v>
      </c>
      <c r="G376" s="2">
        <f t="shared" si="1"/>
        <v>45</v>
      </c>
    </row>
    <row r="377" ht="15.75" customHeight="1">
      <c r="A377" s="1">
        <f>IFERROR(__xludf.DUMMYFUNCTION("""COMPUTED_VALUE"""),44398.625)</f>
        <v>44398.625</v>
      </c>
      <c r="B377" s="2">
        <f>IFERROR(__xludf.DUMMYFUNCTION("""COMPUTED_VALUE"""),2410.0)</f>
        <v>2410</v>
      </c>
      <c r="C377" s="2">
        <f>IFERROR(__xludf.DUMMYFUNCTION("""COMPUTED_VALUE"""),2480.0)</f>
        <v>2480</v>
      </c>
      <c r="D377" s="2">
        <f>IFERROR(__xludf.DUMMYFUNCTION("""COMPUTED_VALUE"""),2410.0)</f>
        <v>2410</v>
      </c>
      <c r="E377" s="2">
        <f>IFERROR(__xludf.DUMMYFUNCTION("""COMPUTED_VALUE"""),2450.0)</f>
        <v>2450</v>
      </c>
      <c r="F377" s="2">
        <f>IFERROR(__xludf.DUMMYFUNCTION("""COMPUTED_VALUE"""),3.60249E7)</f>
        <v>36024900</v>
      </c>
      <c r="G377" s="2">
        <f t="shared" si="1"/>
        <v>70</v>
      </c>
    </row>
    <row r="378" ht="15.75" customHeight="1">
      <c r="A378" s="1">
        <f>IFERROR(__xludf.DUMMYFUNCTION("""COMPUTED_VALUE"""),44399.625)</f>
        <v>44399.625</v>
      </c>
      <c r="B378" s="2">
        <f>IFERROR(__xludf.DUMMYFUNCTION("""COMPUTED_VALUE"""),2512.5)</f>
        <v>2512.5</v>
      </c>
      <c r="C378" s="2">
        <f>IFERROR(__xludf.DUMMYFUNCTION("""COMPUTED_VALUE"""),2625.0)</f>
        <v>2625</v>
      </c>
      <c r="D378" s="2">
        <f>IFERROR(__xludf.DUMMYFUNCTION("""COMPUTED_VALUE"""),2512.5)</f>
        <v>2512.5</v>
      </c>
      <c r="E378" s="2">
        <f>IFERROR(__xludf.DUMMYFUNCTION("""COMPUTED_VALUE"""),2575.0)</f>
        <v>2575</v>
      </c>
      <c r="F378" s="2">
        <f>IFERROR(__xludf.DUMMYFUNCTION("""COMPUTED_VALUE"""),6.0846E7)</f>
        <v>60846000</v>
      </c>
      <c r="G378" s="2">
        <f t="shared" si="1"/>
        <v>175</v>
      </c>
    </row>
    <row r="379" ht="15.75" customHeight="1">
      <c r="A379" s="1">
        <f>IFERROR(__xludf.DUMMYFUNCTION("""COMPUTED_VALUE"""),44400.625)</f>
        <v>44400.625</v>
      </c>
      <c r="B379" s="2">
        <f>IFERROR(__xludf.DUMMYFUNCTION("""COMPUTED_VALUE"""),2575.0)</f>
        <v>2575</v>
      </c>
      <c r="C379" s="2">
        <f>IFERROR(__xludf.DUMMYFUNCTION("""COMPUTED_VALUE"""),2600.0)</f>
        <v>2600</v>
      </c>
      <c r="D379" s="2">
        <f>IFERROR(__xludf.DUMMYFUNCTION("""COMPUTED_VALUE"""),2525.0)</f>
        <v>2525</v>
      </c>
      <c r="E379" s="2">
        <f>IFERROR(__xludf.DUMMYFUNCTION("""COMPUTED_VALUE"""),2537.5)</f>
        <v>2537.5</v>
      </c>
      <c r="F379" s="2">
        <f>IFERROR(__xludf.DUMMYFUNCTION("""COMPUTED_VALUE"""),2.01907E7)</f>
        <v>20190700</v>
      </c>
      <c r="G379" s="2">
        <f t="shared" si="1"/>
        <v>75</v>
      </c>
    </row>
    <row r="380" ht="15.75" customHeight="1">
      <c r="A380" s="1">
        <f>IFERROR(__xludf.DUMMYFUNCTION("""COMPUTED_VALUE"""),44403.625)</f>
        <v>44403.625</v>
      </c>
      <c r="B380" s="2">
        <f>IFERROR(__xludf.DUMMYFUNCTION("""COMPUTED_VALUE"""),2550.0)</f>
        <v>2550</v>
      </c>
      <c r="C380" s="2">
        <f>IFERROR(__xludf.DUMMYFUNCTION("""COMPUTED_VALUE"""),2562.5)</f>
        <v>2562.5</v>
      </c>
      <c r="D380" s="2">
        <f>IFERROR(__xludf.DUMMYFUNCTION("""COMPUTED_VALUE"""),2500.0)</f>
        <v>2500</v>
      </c>
      <c r="E380" s="2">
        <f>IFERROR(__xludf.DUMMYFUNCTION("""COMPUTED_VALUE"""),2525.0)</f>
        <v>2525</v>
      </c>
      <c r="F380" s="2">
        <f>IFERROR(__xludf.DUMMYFUNCTION("""COMPUTED_VALUE"""),1.8847E7)</f>
        <v>18847000</v>
      </c>
      <c r="G380" s="2">
        <f t="shared" si="1"/>
        <v>62.5</v>
      </c>
    </row>
    <row r="381" ht="15.75" customHeight="1">
      <c r="A381" s="1">
        <f>IFERROR(__xludf.DUMMYFUNCTION("""COMPUTED_VALUE"""),44404.625)</f>
        <v>44404.625</v>
      </c>
      <c r="B381" s="2">
        <f>IFERROR(__xludf.DUMMYFUNCTION("""COMPUTED_VALUE"""),2550.0)</f>
        <v>2550</v>
      </c>
      <c r="C381" s="2">
        <f>IFERROR(__xludf.DUMMYFUNCTION("""COMPUTED_VALUE"""),2550.0)</f>
        <v>2550</v>
      </c>
      <c r="D381" s="2">
        <f>IFERROR(__xludf.DUMMYFUNCTION("""COMPUTED_VALUE"""),2500.0)</f>
        <v>2500</v>
      </c>
      <c r="E381" s="2">
        <f>IFERROR(__xludf.DUMMYFUNCTION("""COMPUTED_VALUE"""),2512.5)</f>
        <v>2512.5</v>
      </c>
      <c r="F381" s="2">
        <f>IFERROR(__xludf.DUMMYFUNCTION("""COMPUTED_VALUE"""),1.48441E7)</f>
        <v>14844100</v>
      </c>
      <c r="G381" s="2">
        <f t="shared" si="1"/>
        <v>50</v>
      </c>
    </row>
    <row r="382" ht="15.75" customHeight="1">
      <c r="A382" s="1">
        <f>IFERROR(__xludf.DUMMYFUNCTION("""COMPUTED_VALUE"""),44405.625)</f>
        <v>44405.625</v>
      </c>
      <c r="B382" s="2">
        <f>IFERROR(__xludf.DUMMYFUNCTION("""COMPUTED_VALUE"""),2512.5)</f>
        <v>2512.5</v>
      </c>
      <c r="C382" s="2">
        <f>IFERROR(__xludf.DUMMYFUNCTION("""COMPUTED_VALUE"""),2525.0)</f>
        <v>2525</v>
      </c>
      <c r="D382" s="2">
        <f>IFERROR(__xludf.DUMMYFUNCTION("""COMPUTED_VALUE"""),2455.0)</f>
        <v>2455</v>
      </c>
      <c r="E382" s="2">
        <f>IFERROR(__xludf.DUMMYFUNCTION("""COMPUTED_VALUE"""),2480.0)</f>
        <v>2480</v>
      </c>
      <c r="F382" s="2">
        <f>IFERROR(__xludf.DUMMYFUNCTION("""COMPUTED_VALUE"""),2.45961E7)</f>
        <v>24596100</v>
      </c>
      <c r="G382" s="2">
        <f t="shared" si="1"/>
        <v>70</v>
      </c>
    </row>
    <row r="383" ht="15.75" customHeight="1">
      <c r="A383" s="1">
        <f>IFERROR(__xludf.DUMMYFUNCTION("""COMPUTED_VALUE"""),44406.625)</f>
        <v>44406.625</v>
      </c>
      <c r="B383" s="2">
        <f>IFERROR(__xludf.DUMMYFUNCTION("""COMPUTED_VALUE"""),2475.0)</f>
        <v>2475</v>
      </c>
      <c r="C383" s="2">
        <f>IFERROR(__xludf.DUMMYFUNCTION("""COMPUTED_VALUE"""),2512.5)</f>
        <v>2512.5</v>
      </c>
      <c r="D383" s="2">
        <f>IFERROR(__xludf.DUMMYFUNCTION("""COMPUTED_VALUE"""),2455.0)</f>
        <v>2455</v>
      </c>
      <c r="E383" s="2">
        <f>IFERROR(__xludf.DUMMYFUNCTION("""COMPUTED_VALUE"""),2465.0)</f>
        <v>2465</v>
      </c>
      <c r="F383" s="2">
        <f>IFERROR(__xludf.DUMMYFUNCTION("""COMPUTED_VALUE"""),1.49157E7)</f>
        <v>14915700</v>
      </c>
      <c r="G383" s="2">
        <f t="shared" si="1"/>
        <v>57.5</v>
      </c>
    </row>
    <row r="384" ht="15.75" customHeight="1">
      <c r="A384" s="1">
        <f>IFERROR(__xludf.DUMMYFUNCTION("""COMPUTED_VALUE"""),44407.625)</f>
        <v>44407.625</v>
      </c>
      <c r="B384" s="2">
        <f>IFERROR(__xludf.DUMMYFUNCTION("""COMPUTED_VALUE"""),2450.0)</f>
        <v>2450</v>
      </c>
      <c r="C384" s="2">
        <f>IFERROR(__xludf.DUMMYFUNCTION("""COMPUTED_VALUE"""),2465.0)</f>
        <v>2465</v>
      </c>
      <c r="D384" s="2">
        <f>IFERROR(__xludf.DUMMYFUNCTION("""COMPUTED_VALUE"""),2385.0)</f>
        <v>2385</v>
      </c>
      <c r="E384" s="2">
        <f>IFERROR(__xludf.DUMMYFUNCTION("""COMPUTED_VALUE"""),2390.0)</f>
        <v>2390</v>
      </c>
      <c r="F384" s="2">
        <f>IFERROR(__xludf.DUMMYFUNCTION("""COMPUTED_VALUE"""),4.21308E7)</f>
        <v>42130800</v>
      </c>
      <c r="G384" s="2">
        <f t="shared" si="1"/>
        <v>80</v>
      </c>
    </row>
    <row r="385" ht="15.75" customHeight="1">
      <c r="A385" s="1">
        <f>IFERROR(__xludf.DUMMYFUNCTION("""COMPUTED_VALUE"""),44410.625)</f>
        <v>44410.625</v>
      </c>
      <c r="B385" s="2">
        <f>IFERROR(__xludf.DUMMYFUNCTION("""COMPUTED_VALUE"""),2390.0)</f>
        <v>2390</v>
      </c>
      <c r="C385" s="2">
        <f>IFERROR(__xludf.DUMMYFUNCTION("""COMPUTED_VALUE"""),2415.0)</f>
        <v>2415</v>
      </c>
      <c r="D385" s="2">
        <f>IFERROR(__xludf.DUMMYFUNCTION("""COMPUTED_VALUE"""),2375.0)</f>
        <v>2375</v>
      </c>
      <c r="E385" s="2">
        <f>IFERROR(__xludf.DUMMYFUNCTION("""COMPUTED_VALUE"""),2410.0)</f>
        <v>2410</v>
      </c>
      <c r="F385" s="2">
        <f>IFERROR(__xludf.DUMMYFUNCTION("""COMPUTED_VALUE"""),1.37885E7)</f>
        <v>13788500</v>
      </c>
      <c r="G385" s="2">
        <f t="shared" si="1"/>
        <v>40</v>
      </c>
    </row>
    <row r="386" ht="15.75" customHeight="1">
      <c r="A386" s="1">
        <f>IFERROR(__xludf.DUMMYFUNCTION("""COMPUTED_VALUE"""),44411.625)</f>
        <v>44411.625</v>
      </c>
      <c r="B386" s="2">
        <f>IFERROR(__xludf.DUMMYFUNCTION("""COMPUTED_VALUE"""),2410.0)</f>
        <v>2410</v>
      </c>
      <c r="C386" s="2">
        <f>IFERROR(__xludf.DUMMYFUNCTION("""COMPUTED_VALUE"""),2485.0)</f>
        <v>2485</v>
      </c>
      <c r="D386" s="2">
        <f>IFERROR(__xludf.DUMMYFUNCTION("""COMPUTED_VALUE"""),2400.0)</f>
        <v>2400</v>
      </c>
      <c r="E386" s="2">
        <f>IFERROR(__xludf.DUMMYFUNCTION("""COMPUTED_VALUE"""),2475.0)</f>
        <v>2475</v>
      </c>
      <c r="F386" s="2">
        <f>IFERROR(__xludf.DUMMYFUNCTION("""COMPUTED_VALUE"""),1.8778E7)</f>
        <v>18778000</v>
      </c>
      <c r="G386" s="2">
        <f t="shared" si="1"/>
        <v>85</v>
      </c>
    </row>
    <row r="387" ht="15.75" customHeight="1">
      <c r="A387" s="1">
        <f>IFERROR(__xludf.DUMMYFUNCTION("""COMPUTED_VALUE"""),44412.625)</f>
        <v>44412.625</v>
      </c>
      <c r="B387" s="2">
        <f>IFERROR(__xludf.DUMMYFUNCTION("""COMPUTED_VALUE"""),2490.0)</f>
        <v>2490</v>
      </c>
      <c r="C387" s="2">
        <f>IFERROR(__xludf.DUMMYFUNCTION("""COMPUTED_VALUE"""),2537.5)</f>
        <v>2537.5</v>
      </c>
      <c r="D387" s="2">
        <f>IFERROR(__xludf.DUMMYFUNCTION("""COMPUTED_VALUE"""),2465.0)</f>
        <v>2465</v>
      </c>
      <c r="E387" s="2">
        <f>IFERROR(__xludf.DUMMYFUNCTION("""COMPUTED_VALUE"""),2525.0)</f>
        <v>2525</v>
      </c>
      <c r="F387" s="2">
        <f>IFERROR(__xludf.DUMMYFUNCTION("""COMPUTED_VALUE"""),2.14239E7)</f>
        <v>21423900</v>
      </c>
      <c r="G387" s="2">
        <f t="shared" si="1"/>
        <v>72.5</v>
      </c>
    </row>
    <row r="388" ht="15.75" customHeight="1">
      <c r="A388" s="1">
        <f>IFERROR(__xludf.DUMMYFUNCTION("""COMPUTED_VALUE"""),44413.625)</f>
        <v>44413.625</v>
      </c>
      <c r="B388" s="2">
        <f>IFERROR(__xludf.DUMMYFUNCTION("""COMPUTED_VALUE"""),2525.0)</f>
        <v>2525</v>
      </c>
      <c r="C388" s="2">
        <f>IFERROR(__xludf.DUMMYFUNCTION("""COMPUTED_VALUE"""),2612.5)</f>
        <v>2612.5</v>
      </c>
      <c r="D388" s="2">
        <f>IFERROR(__xludf.DUMMYFUNCTION("""COMPUTED_VALUE"""),2525.0)</f>
        <v>2525</v>
      </c>
      <c r="E388" s="2">
        <f>IFERROR(__xludf.DUMMYFUNCTION("""COMPUTED_VALUE"""),2600.0)</f>
        <v>2600</v>
      </c>
      <c r="F388" s="2">
        <f>IFERROR(__xludf.DUMMYFUNCTION("""COMPUTED_VALUE"""),4.20171E7)</f>
        <v>42017100</v>
      </c>
      <c r="G388" s="2">
        <f t="shared" si="1"/>
        <v>87.5</v>
      </c>
    </row>
    <row r="389" ht="15.75" customHeight="1">
      <c r="A389" s="1">
        <f>IFERROR(__xludf.DUMMYFUNCTION("""COMPUTED_VALUE"""),44414.625)</f>
        <v>44414.625</v>
      </c>
      <c r="B389" s="2">
        <f>IFERROR(__xludf.DUMMYFUNCTION("""COMPUTED_VALUE"""),2612.5)</f>
        <v>2612.5</v>
      </c>
      <c r="C389" s="2">
        <f>IFERROR(__xludf.DUMMYFUNCTION("""COMPUTED_VALUE"""),2625.0)</f>
        <v>2625</v>
      </c>
      <c r="D389" s="2">
        <f>IFERROR(__xludf.DUMMYFUNCTION("""COMPUTED_VALUE"""),2525.0)</f>
        <v>2525</v>
      </c>
      <c r="E389" s="2">
        <f>IFERROR(__xludf.DUMMYFUNCTION("""COMPUTED_VALUE"""),2562.5)</f>
        <v>2562.5</v>
      </c>
      <c r="F389" s="2">
        <f>IFERROR(__xludf.DUMMYFUNCTION("""COMPUTED_VALUE"""),1.85047E7)</f>
        <v>18504700</v>
      </c>
      <c r="G389" s="2">
        <f t="shared" si="1"/>
        <v>100</v>
      </c>
    </row>
    <row r="390" ht="15.75" customHeight="1">
      <c r="A390" s="1">
        <f>IFERROR(__xludf.DUMMYFUNCTION("""COMPUTED_VALUE"""),44417.625)</f>
        <v>44417.625</v>
      </c>
      <c r="B390" s="2">
        <f>IFERROR(__xludf.DUMMYFUNCTION("""COMPUTED_VALUE"""),2575.0)</f>
        <v>2575</v>
      </c>
      <c r="C390" s="2">
        <f>IFERROR(__xludf.DUMMYFUNCTION("""COMPUTED_VALUE"""),2575.0)</f>
        <v>2575</v>
      </c>
      <c r="D390" s="2">
        <f>IFERROR(__xludf.DUMMYFUNCTION("""COMPUTED_VALUE"""),2480.0)</f>
        <v>2480</v>
      </c>
      <c r="E390" s="2">
        <f>IFERROR(__xludf.DUMMYFUNCTION("""COMPUTED_VALUE"""),2490.0)</f>
        <v>2490</v>
      </c>
      <c r="F390" s="2">
        <f>IFERROR(__xludf.DUMMYFUNCTION("""COMPUTED_VALUE"""),1.68975E7)</f>
        <v>16897500</v>
      </c>
      <c r="G390" s="2">
        <f t="shared" si="1"/>
        <v>95</v>
      </c>
    </row>
    <row r="391" ht="15.75" customHeight="1">
      <c r="A391" s="1">
        <f>IFERROR(__xludf.DUMMYFUNCTION("""COMPUTED_VALUE"""),44418.625)</f>
        <v>44418.625</v>
      </c>
      <c r="B391" s="2">
        <f>IFERROR(__xludf.DUMMYFUNCTION("""COMPUTED_VALUE"""),2500.0)</f>
        <v>2500</v>
      </c>
      <c r="C391" s="2">
        <f>IFERROR(__xludf.DUMMYFUNCTION("""COMPUTED_VALUE"""),2525.0)</f>
        <v>2525</v>
      </c>
      <c r="D391" s="2">
        <f>IFERROR(__xludf.DUMMYFUNCTION("""COMPUTED_VALUE"""),2475.0)</f>
        <v>2475</v>
      </c>
      <c r="E391" s="2">
        <f>IFERROR(__xludf.DUMMYFUNCTION("""COMPUTED_VALUE"""),2495.0)</f>
        <v>2495</v>
      </c>
      <c r="F391" s="2">
        <f>IFERROR(__xludf.DUMMYFUNCTION("""COMPUTED_VALUE"""),1.17912E7)</f>
        <v>11791200</v>
      </c>
      <c r="G391" s="2">
        <f t="shared" si="1"/>
        <v>50</v>
      </c>
    </row>
    <row r="392" ht="15.75" customHeight="1">
      <c r="A392" s="1">
        <f>IFERROR(__xludf.DUMMYFUNCTION("""COMPUTED_VALUE"""),44420.625)</f>
        <v>44420.625</v>
      </c>
      <c r="B392" s="2">
        <f>IFERROR(__xludf.DUMMYFUNCTION("""COMPUTED_VALUE"""),2525.0)</f>
        <v>2525</v>
      </c>
      <c r="C392" s="2">
        <f>IFERROR(__xludf.DUMMYFUNCTION("""COMPUTED_VALUE"""),2550.0)</f>
        <v>2550</v>
      </c>
      <c r="D392" s="2">
        <f>IFERROR(__xludf.DUMMYFUNCTION("""COMPUTED_VALUE"""),2495.0)</f>
        <v>2495</v>
      </c>
      <c r="E392" s="2">
        <f>IFERROR(__xludf.DUMMYFUNCTION("""COMPUTED_VALUE"""),2537.5)</f>
        <v>2537.5</v>
      </c>
      <c r="F392" s="2">
        <f>IFERROR(__xludf.DUMMYFUNCTION("""COMPUTED_VALUE"""),1.0184E7)</f>
        <v>10184000</v>
      </c>
      <c r="G392" s="2">
        <f t="shared" si="1"/>
        <v>55</v>
      </c>
    </row>
    <row r="393" ht="15.75" customHeight="1">
      <c r="A393" s="1">
        <f>IFERROR(__xludf.DUMMYFUNCTION("""COMPUTED_VALUE"""),44421.625)</f>
        <v>44421.625</v>
      </c>
      <c r="B393" s="2">
        <f>IFERROR(__xludf.DUMMYFUNCTION("""COMPUTED_VALUE"""),2562.5)</f>
        <v>2562.5</v>
      </c>
      <c r="C393" s="2">
        <f>IFERROR(__xludf.DUMMYFUNCTION("""COMPUTED_VALUE"""),2575.0)</f>
        <v>2575</v>
      </c>
      <c r="D393" s="2">
        <f>IFERROR(__xludf.DUMMYFUNCTION("""COMPUTED_VALUE"""),2525.0)</f>
        <v>2525</v>
      </c>
      <c r="E393" s="2">
        <f>IFERROR(__xludf.DUMMYFUNCTION("""COMPUTED_VALUE"""),2550.0)</f>
        <v>2550</v>
      </c>
      <c r="F393" s="2">
        <f>IFERROR(__xludf.DUMMYFUNCTION("""COMPUTED_VALUE"""),8918000.0)</f>
        <v>8918000</v>
      </c>
      <c r="G393" s="2">
        <f t="shared" si="1"/>
        <v>50</v>
      </c>
    </row>
    <row r="394" ht="15.75" customHeight="1">
      <c r="A394" s="1">
        <f>IFERROR(__xludf.DUMMYFUNCTION("""COMPUTED_VALUE"""),44424.625)</f>
        <v>44424.625</v>
      </c>
      <c r="B394" s="2">
        <f>IFERROR(__xludf.DUMMYFUNCTION("""COMPUTED_VALUE"""),2575.0)</f>
        <v>2575</v>
      </c>
      <c r="C394" s="2">
        <f>IFERROR(__xludf.DUMMYFUNCTION("""COMPUTED_VALUE"""),2587.5)</f>
        <v>2587.5</v>
      </c>
      <c r="D394" s="2">
        <f>IFERROR(__xludf.DUMMYFUNCTION("""COMPUTED_VALUE"""),2512.5)</f>
        <v>2512.5</v>
      </c>
      <c r="E394" s="2">
        <f>IFERROR(__xludf.DUMMYFUNCTION("""COMPUTED_VALUE"""),2575.0)</f>
        <v>2575</v>
      </c>
      <c r="F394" s="2">
        <f>IFERROR(__xludf.DUMMYFUNCTION("""COMPUTED_VALUE"""),1.35E7)</f>
        <v>13500000</v>
      </c>
      <c r="G394" s="2">
        <f t="shared" si="1"/>
        <v>75</v>
      </c>
    </row>
    <row r="395" ht="15.75" customHeight="1">
      <c r="A395" s="1">
        <f>IFERROR(__xludf.DUMMYFUNCTION("""COMPUTED_VALUE"""),44426.625)</f>
        <v>44426.625</v>
      </c>
      <c r="B395" s="2">
        <f>IFERROR(__xludf.DUMMYFUNCTION("""COMPUTED_VALUE"""),2587.5)</f>
        <v>2587.5</v>
      </c>
      <c r="C395" s="2">
        <f>IFERROR(__xludf.DUMMYFUNCTION("""COMPUTED_VALUE"""),2712.5)</f>
        <v>2712.5</v>
      </c>
      <c r="D395" s="2">
        <f>IFERROR(__xludf.DUMMYFUNCTION("""COMPUTED_VALUE"""),2575.0)</f>
        <v>2575</v>
      </c>
      <c r="E395" s="2">
        <f>IFERROR(__xludf.DUMMYFUNCTION("""COMPUTED_VALUE"""),2712.5)</f>
        <v>2712.5</v>
      </c>
      <c r="F395" s="2">
        <f>IFERROR(__xludf.DUMMYFUNCTION("""COMPUTED_VALUE"""),6.27526E7)</f>
        <v>62752600</v>
      </c>
      <c r="G395" s="2">
        <f t="shared" si="1"/>
        <v>137.5</v>
      </c>
    </row>
    <row r="396" ht="15.75" customHeight="1">
      <c r="A396" s="1">
        <f>IFERROR(__xludf.DUMMYFUNCTION("""COMPUTED_VALUE"""),44427.625)</f>
        <v>44427.625</v>
      </c>
      <c r="B396" s="2">
        <f>IFERROR(__xludf.DUMMYFUNCTION("""COMPUTED_VALUE"""),2700.0)</f>
        <v>2700</v>
      </c>
      <c r="C396" s="2">
        <f>IFERROR(__xludf.DUMMYFUNCTION("""COMPUTED_VALUE"""),2712.5)</f>
        <v>2712.5</v>
      </c>
      <c r="D396" s="2">
        <f>IFERROR(__xludf.DUMMYFUNCTION("""COMPUTED_VALUE"""),2587.5)</f>
        <v>2587.5</v>
      </c>
      <c r="E396" s="2">
        <f>IFERROR(__xludf.DUMMYFUNCTION("""COMPUTED_VALUE"""),2650.0)</f>
        <v>2650</v>
      </c>
      <c r="F396" s="2">
        <f>IFERROR(__xludf.DUMMYFUNCTION("""COMPUTED_VALUE"""),4.79661E7)</f>
        <v>47966100</v>
      </c>
      <c r="G396" s="2">
        <f t="shared" si="1"/>
        <v>125</v>
      </c>
    </row>
    <row r="397" ht="15.75" customHeight="1">
      <c r="A397" s="1">
        <f>IFERROR(__xludf.DUMMYFUNCTION("""COMPUTED_VALUE"""),44428.625)</f>
        <v>44428.625</v>
      </c>
      <c r="B397" s="2">
        <f>IFERROR(__xludf.DUMMYFUNCTION("""COMPUTED_VALUE"""),2650.0)</f>
        <v>2650</v>
      </c>
      <c r="C397" s="2">
        <f>IFERROR(__xludf.DUMMYFUNCTION("""COMPUTED_VALUE"""),2725.0)</f>
        <v>2725</v>
      </c>
      <c r="D397" s="2">
        <f>IFERROR(__xludf.DUMMYFUNCTION("""COMPUTED_VALUE"""),2600.0)</f>
        <v>2600</v>
      </c>
      <c r="E397" s="2">
        <f>IFERROR(__xludf.DUMMYFUNCTION("""COMPUTED_VALUE"""),2712.5)</f>
        <v>2712.5</v>
      </c>
      <c r="F397" s="2">
        <f>IFERROR(__xludf.DUMMYFUNCTION("""COMPUTED_VALUE"""),2.78659E7)</f>
        <v>27865900</v>
      </c>
      <c r="G397" s="2">
        <f t="shared" si="1"/>
        <v>125</v>
      </c>
    </row>
    <row r="398" ht="15.75" customHeight="1">
      <c r="A398" s="1">
        <f>IFERROR(__xludf.DUMMYFUNCTION("""COMPUTED_VALUE"""),44431.66666666667)</f>
        <v>44431.66667</v>
      </c>
      <c r="B398" s="2">
        <f>IFERROR(__xludf.DUMMYFUNCTION("""COMPUTED_VALUE"""),2725.0)</f>
        <v>2725</v>
      </c>
      <c r="C398" s="2">
        <f>IFERROR(__xludf.DUMMYFUNCTION("""COMPUTED_VALUE"""),2737.5)</f>
        <v>2737.5</v>
      </c>
      <c r="D398" s="2">
        <f>IFERROR(__xludf.DUMMYFUNCTION("""COMPUTED_VALUE"""),2637.5)</f>
        <v>2637.5</v>
      </c>
      <c r="E398" s="2">
        <f>IFERROR(__xludf.DUMMYFUNCTION("""COMPUTED_VALUE"""),2675.0)</f>
        <v>2675</v>
      </c>
      <c r="F398" s="2">
        <f>IFERROR(__xludf.DUMMYFUNCTION("""COMPUTED_VALUE"""),2.0189E7)</f>
        <v>20189000</v>
      </c>
      <c r="G398" s="2">
        <f t="shared" si="1"/>
        <v>100</v>
      </c>
    </row>
    <row r="399" ht="15.75" customHeight="1">
      <c r="A399" s="1">
        <f>IFERROR(__xludf.DUMMYFUNCTION("""COMPUTED_VALUE"""),44432.66666666667)</f>
        <v>44432.66667</v>
      </c>
      <c r="B399" s="2">
        <f>IFERROR(__xludf.DUMMYFUNCTION("""COMPUTED_VALUE"""),2675.0)</f>
        <v>2675</v>
      </c>
      <c r="C399" s="2">
        <f>IFERROR(__xludf.DUMMYFUNCTION("""COMPUTED_VALUE"""),2687.5)</f>
        <v>2687.5</v>
      </c>
      <c r="D399" s="2">
        <f>IFERROR(__xludf.DUMMYFUNCTION("""COMPUTED_VALUE"""),2625.0)</f>
        <v>2625</v>
      </c>
      <c r="E399" s="2">
        <f>IFERROR(__xludf.DUMMYFUNCTION("""COMPUTED_VALUE"""),2662.5)</f>
        <v>2662.5</v>
      </c>
      <c r="F399" s="2">
        <f>IFERROR(__xludf.DUMMYFUNCTION("""COMPUTED_VALUE"""),1.60953E7)</f>
        <v>16095300</v>
      </c>
      <c r="G399" s="2">
        <f t="shared" si="1"/>
        <v>62.5</v>
      </c>
    </row>
    <row r="400" ht="15.75" customHeight="1">
      <c r="A400" s="1">
        <f>IFERROR(__xludf.DUMMYFUNCTION("""COMPUTED_VALUE"""),44433.625)</f>
        <v>44433.625</v>
      </c>
      <c r="B400" s="2">
        <f>IFERROR(__xludf.DUMMYFUNCTION("""COMPUTED_VALUE"""),2662.5)</f>
        <v>2662.5</v>
      </c>
      <c r="C400" s="2">
        <f>IFERROR(__xludf.DUMMYFUNCTION("""COMPUTED_VALUE"""),2675.0)</f>
        <v>2675</v>
      </c>
      <c r="D400" s="2">
        <f>IFERROR(__xludf.DUMMYFUNCTION("""COMPUTED_VALUE"""),2612.5)</f>
        <v>2612.5</v>
      </c>
      <c r="E400" s="2">
        <f>IFERROR(__xludf.DUMMYFUNCTION("""COMPUTED_VALUE"""),2625.0)</f>
        <v>2625</v>
      </c>
      <c r="F400" s="2">
        <f>IFERROR(__xludf.DUMMYFUNCTION("""COMPUTED_VALUE"""),1.14849E7)</f>
        <v>11484900</v>
      </c>
      <c r="G400" s="2">
        <f t="shared" si="1"/>
        <v>62.5</v>
      </c>
    </row>
    <row r="401" ht="15.75" customHeight="1">
      <c r="A401" s="1">
        <f>IFERROR(__xludf.DUMMYFUNCTION("""COMPUTED_VALUE"""),44434.625)</f>
        <v>44434.625</v>
      </c>
      <c r="B401" s="2">
        <f>IFERROR(__xludf.DUMMYFUNCTION("""COMPUTED_VALUE"""),2637.5)</f>
        <v>2637.5</v>
      </c>
      <c r="C401" s="2">
        <f>IFERROR(__xludf.DUMMYFUNCTION("""COMPUTED_VALUE"""),2650.0)</f>
        <v>2650</v>
      </c>
      <c r="D401" s="2">
        <f>IFERROR(__xludf.DUMMYFUNCTION("""COMPUTED_VALUE"""),2575.0)</f>
        <v>2575</v>
      </c>
      <c r="E401" s="2">
        <f>IFERROR(__xludf.DUMMYFUNCTION("""COMPUTED_VALUE"""),2612.5)</f>
        <v>2612.5</v>
      </c>
      <c r="F401" s="2">
        <f>IFERROR(__xludf.DUMMYFUNCTION("""COMPUTED_VALUE"""),1.69162E7)</f>
        <v>16916200</v>
      </c>
      <c r="G401" s="2">
        <f t="shared" si="1"/>
        <v>75</v>
      </c>
    </row>
    <row r="402" ht="15.75" customHeight="1">
      <c r="A402" s="1">
        <f>IFERROR(__xludf.DUMMYFUNCTION("""COMPUTED_VALUE"""),44435.625)</f>
        <v>44435.625</v>
      </c>
      <c r="B402" s="2">
        <f>IFERROR(__xludf.DUMMYFUNCTION("""COMPUTED_VALUE"""),2637.5)</f>
        <v>2637.5</v>
      </c>
      <c r="C402" s="2">
        <f>IFERROR(__xludf.DUMMYFUNCTION("""COMPUTED_VALUE"""),2675.0)</f>
        <v>2675</v>
      </c>
      <c r="D402" s="2">
        <f>IFERROR(__xludf.DUMMYFUNCTION("""COMPUTED_VALUE"""),2612.5)</f>
        <v>2612.5</v>
      </c>
      <c r="E402" s="2">
        <f>IFERROR(__xludf.DUMMYFUNCTION("""COMPUTED_VALUE"""),2650.0)</f>
        <v>2650</v>
      </c>
      <c r="F402" s="2">
        <f>IFERROR(__xludf.DUMMYFUNCTION("""COMPUTED_VALUE"""),1.87264E7)</f>
        <v>18726400</v>
      </c>
      <c r="G402" s="2">
        <f t="shared" si="1"/>
        <v>62.5</v>
      </c>
    </row>
    <row r="403" ht="15.75" customHeight="1">
      <c r="A403" s="1">
        <f>IFERROR(__xludf.DUMMYFUNCTION("""COMPUTED_VALUE"""),44438.625)</f>
        <v>44438.625</v>
      </c>
      <c r="B403" s="2">
        <f>IFERROR(__xludf.DUMMYFUNCTION("""COMPUTED_VALUE"""),2687.5)</f>
        <v>2687.5</v>
      </c>
      <c r="C403" s="2">
        <f>IFERROR(__xludf.DUMMYFUNCTION("""COMPUTED_VALUE"""),2712.5)</f>
        <v>2712.5</v>
      </c>
      <c r="D403" s="2">
        <f>IFERROR(__xludf.DUMMYFUNCTION("""COMPUTED_VALUE"""),2650.0)</f>
        <v>2650</v>
      </c>
      <c r="E403" s="2">
        <f>IFERROR(__xludf.DUMMYFUNCTION("""COMPUTED_VALUE"""),2700.0)</f>
        <v>2700</v>
      </c>
      <c r="F403" s="2">
        <f>IFERROR(__xludf.DUMMYFUNCTION("""COMPUTED_VALUE"""),2.37059E7)</f>
        <v>23705900</v>
      </c>
      <c r="G403" s="2">
        <f t="shared" si="1"/>
        <v>62.5</v>
      </c>
    </row>
    <row r="404" ht="15.75" customHeight="1">
      <c r="A404" s="1">
        <f>IFERROR(__xludf.DUMMYFUNCTION("""COMPUTED_VALUE"""),44439.625)</f>
        <v>44439.625</v>
      </c>
      <c r="B404" s="2">
        <f>IFERROR(__xludf.DUMMYFUNCTION("""COMPUTED_VALUE"""),2700.0)</f>
        <v>2700</v>
      </c>
      <c r="C404" s="2">
        <f>IFERROR(__xludf.DUMMYFUNCTION("""COMPUTED_VALUE"""),2712.5)</f>
        <v>2712.5</v>
      </c>
      <c r="D404" s="2">
        <f>IFERROR(__xludf.DUMMYFUNCTION("""COMPUTED_VALUE"""),2650.0)</f>
        <v>2650</v>
      </c>
      <c r="E404" s="2">
        <f>IFERROR(__xludf.DUMMYFUNCTION("""COMPUTED_VALUE"""),2700.0)</f>
        <v>2700</v>
      </c>
      <c r="F404" s="2">
        <f>IFERROR(__xludf.DUMMYFUNCTION("""COMPUTED_VALUE"""),2.12707E7)</f>
        <v>21270700</v>
      </c>
      <c r="G404" s="2">
        <f t="shared" si="1"/>
        <v>62.5</v>
      </c>
    </row>
    <row r="405" ht="15.75" customHeight="1">
      <c r="A405" s="1">
        <f>IFERROR(__xludf.DUMMYFUNCTION("""COMPUTED_VALUE"""),44440.625)</f>
        <v>44440.625</v>
      </c>
      <c r="B405" s="2">
        <f>IFERROR(__xludf.DUMMYFUNCTION("""COMPUTED_VALUE"""),2700.0)</f>
        <v>2700</v>
      </c>
      <c r="C405" s="2">
        <f>IFERROR(__xludf.DUMMYFUNCTION("""COMPUTED_VALUE"""),2712.5)</f>
        <v>2712.5</v>
      </c>
      <c r="D405" s="2">
        <f>IFERROR(__xludf.DUMMYFUNCTION("""COMPUTED_VALUE"""),2650.0)</f>
        <v>2650</v>
      </c>
      <c r="E405" s="2">
        <f>IFERROR(__xludf.DUMMYFUNCTION("""COMPUTED_VALUE"""),2662.5)</f>
        <v>2662.5</v>
      </c>
      <c r="F405" s="2">
        <f>IFERROR(__xludf.DUMMYFUNCTION("""COMPUTED_VALUE"""),8415600.0)</f>
        <v>8415600</v>
      </c>
      <c r="G405" s="2">
        <f t="shared" si="1"/>
        <v>62.5</v>
      </c>
    </row>
    <row r="406" ht="15.75" customHeight="1">
      <c r="A406" s="1">
        <f>IFERROR(__xludf.DUMMYFUNCTION("""COMPUTED_VALUE"""),44441.625)</f>
        <v>44441.625</v>
      </c>
      <c r="B406" s="2">
        <f>IFERROR(__xludf.DUMMYFUNCTION("""COMPUTED_VALUE"""),2687.5)</f>
        <v>2687.5</v>
      </c>
      <c r="C406" s="2">
        <f>IFERROR(__xludf.DUMMYFUNCTION("""COMPUTED_VALUE"""),2687.5)</f>
        <v>2687.5</v>
      </c>
      <c r="D406" s="2">
        <f>IFERROR(__xludf.DUMMYFUNCTION("""COMPUTED_VALUE"""),2612.5)</f>
        <v>2612.5</v>
      </c>
      <c r="E406" s="2">
        <f>IFERROR(__xludf.DUMMYFUNCTION("""COMPUTED_VALUE"""),2625.0)</f>
        <v>2625</v>
      </c>
      <c r="F406" s="2">
        <f>IFERROR(__xludf.DUMMYFUNCTION("""COMPUTED_VALUE"""),1.64372E7)</f>
        <v>16437200</v>
      </c>
      <c r="G406" s="2">
        <f t="shared" si="1"/>
        <v>75</v>
      </c>
    </row>
    <row r="407" ht="15.75" customHeight="1">
      <c r="A407" s="1">
        <f>IFERROR(__xludf.DUMMYFUNCTION("""COMPUTED_VALUE"""),44442.625)</f>
        <v>44442.625</v>
      </c>
      <c r="B407" s="2">
        <f>IFERROR(__xludf.DUMMYFUNCTION("""COMPUTED_VALUE"""),2637.5)</f>
        <v>2637.5</v>
      </c>
      <c r="C407" s="2">
        <f>IFERROR(__xludf.DUMMYFUNCTION("""COMPUTED_VALUE"""),2737.5)</f>
        <v>2737.5</v>
      </c>
      <c r="D407" s="2">
        <f>IFERROR(__xludf.DUMMYFUNCTION("""COMPUTED_VALUE"""),2625.0)</f>
        <v>2625</v>
      </c>
      <c r="E407" s="2">
        <f>IFERROR(__xludf.DUMMYFUNCTION("""COMPUTED_VALUE"""),2725.0)</f>
        <v>2725</v>
      </c>
      <c r="F407" s="2">
        <f>IFERROR(__xludf.DUMMYFUNCTION("""COMPUTED_VALUE"""),2.54749E7)</f>
        <v>25474900</v>
      </c>
      <c r="G407" s="2">
        <f t="shared" si="1"/>
        <v>112.5</v>
      </c>
    </row>
    <row r="408" ht="15.75" customHeight="1">
      <c r="A408" s="1">
        <f>IFERROR(__xludf.DUMMYFUNCTION("""COMPUTED_VALUE"""),44445.625)</f>
        <v>44445.625</v>
      </c>
      <c r="B408" s="2">
        <f>IFERROR(__xludf.DUMMYFUNCTION("""COMPUTED_VALUE"""),2725.0)</f>
        <v>2725</v>
      </c>
      <c r="C408" s="2">
        <f>IFERROR(__xludf.DUMMYFUNCTION("""COMPUTED_VALUE"""),2750.0)</f>
        <v>2750</v>
      </c>
      <c r="D408" s="2">
        <f>IFERROR(__xludf.DUMMYFUNCTION("""COMPUTED_VALUE"""),2712.5)</f>
        <v>2712.5</v>
      </c>
      <c r="E408" s="2">
        <f>IFERROR(__xludf.DUMMYFUNCTION("""COMPUTED_VALUE"""),2725.0)</f>
        <v>2725</v>
      </c>
      <c r="F408" s="2">
        <f>IFERROR(__xludf.DUMMYFUNCTION("""COMPUTED_VALUE"""),1.91482E7)</f>
        <v>19148200</v>
      </c>
      <c r="G408" s="2">
        <f t="shared" si="1"/>
        <v>37.5</v>
      </c>
    </row>
    <row r="409" ht="15.75" customHeight="1">
      <c r="A409" s="1">
        <f>IFERROR(__xludf.DUMMYFUNCTION("""COMPUTED_VALUE"""),44446.625)</f>
        <v>44446.625</v>
      </c>
      <c r="B409" s="2">
        <f>IFERROR(__xludf.DUMMYFUNCTION("""COMPUTED_VALUE"""),2737.5)</f>
        <v>2737.5</v>
      </c>
      <c r="C409" s="2">
        <f>IFERROR(__xludf.DUMMYFUNCTION("""COMPUTED_VALUE"""),2750.0)</f>
        <v>2750</v>
      </c>
      <c r="D409" s="2">
        <f>IFERROR(__xludf.DUMMYFUNCTION("""COMPUTED_VALUE"""),2687.5)</f>
        <v>2687.5</v>
      </c>
      <c r="E409" s="2">
        <f>IFERROR(__xludf.DUMMYFUNCTION("""COMPUTED_VALUE"""),2700.0)</f>
        <v>2700</v>
      </c>
      <c r="F409" s="2">
        <f>IFERROR(__xludf.DUMMYFUNCTION("""COMPUTED_VALUE"""),2.42046E7)</f>
        <v>24204600</v>
      </c>
      <c r="G409" s="2">
        <f t="shared" si="1"/>
        <v>62.5</v>
      </c>
    </row>
    <row r="410" ht="15.75" customHeight="1">
      <c r="A410" s="1">
        <f>IFERROR(__xludf.DUMMYFUNCTION("""COMPUTED_VALUE"""),44447.625)</f>
        <v>44447.625</v>
      </c>
      <c r="B410" s="2">
        <f>IFERROR(__xludf.DUMMYFUNCTION("""COMPUTED_VALUE"""),2700.0)</f>
        <v>2700</v>
      </c>
      <c r="C410" s="2">
        <f>IFERROR(__xludf.DUMMYFUNCTION("""COMPUTED_VALUE"""),2700.0)</f>
        <v>2700</v>
      </c>
      <c r="D410" s="2">
        <f>IFERROR(__xludf.DUMMYFUNCTION("""COMPUTED_VALUE"""),2625.0)</f>
        <v>2625</v>
      </c>
      <c r="E410" s="2">
        <f>IFERROR(__xludf.DUMMYFUNCTION("""COMPUTED_VALUE"""),2662.5)</f>
        <v>2662.5</v>
      </c>
      <c r="F410" s="2">
        <f>IFERROR(__xludf.DUMMYFUNCTION("""COMPUTED_VALUE"""),1.92527E7)</f>
        <v>19252700</v>
      </c>
      <c r="G410" s="2">
        <f t="shared" si="1"/>
        <v>75</v>
      </c>
    </row>
    <row r="411" ht="15.75" customHeight="1">
      <c r="A411" s="1">
        <f>IFERROR(__xludf.DUMMYFUNCTION("""COMPUTED_VALUE"""),44448.625)</f>
        <v>44448.625</v>
      </c>
      <c r="B411" s="2">
        <f>IFERROR(__xludf.DUMMYFUNCTION("""COMPUTED_VALUE"""),2662.5)</f>
        <v>2662.5</v>
      </c>
      <c r="C411" s="2">
        <f>IFERROR(__xludf.DUMMYFUNCTION("""COMPUTED_VALUE"""),2712.5)</f>
        <v>2712.5</v>
      </c>
      <c r="D411" s="2">
        <f>IFERROR(__xludf.DUMMYFUNCTION("""COMPUTED_VALUE"""),2637.5)</f>
        <v>2637.5</v>
      </c>
      <c r="E411" s="2">
        <f>IFERROR(__xludf.DUMMYFUNCTION("""COMPUTED_VALUE"""),2700.0)</f>
        <v>2700</v>
      </c>
      <c r="F411" s="2">
        <f>IFERROR(__xludf.DUMMYFUNCTION("""COMPUTED_VALUE"""),1.99183E7)</f>
        <v>19918300</v>
      </c>
      <c r="G411" s="2">
        <f t="shared" si="1"/>
        <v>75</v>
      </c>
    </row>
    <row r="412" ht="15.75" customHeight="1">
      <c r="A412" s="1">
        <f>IFERROR(__xludf.DUMMYFUNCTION("""COMPUTED_VALUE"""),44449.625)</f>
        <v>44449.625</v>
      </c>
      <c r="B412" s="2">
        <f>IFERROR(__xludf.DUMMYFUNCTION("""COMPUTED_VALUE"""),2700.0)</f>
        <v>2700</v>
      </c>
      <c r="C412" s="2">
        <f>IFERROR(__xludf.DUMMYFUNCTION("""COMPUTED_VALUE"""),2737.5)</f>
        <v>2737.5</v>
      </c>
      <c r="D412" s="2">
        <f>IFERROR(__xludf.DUMMYFUNCTION("""COMPUTED_VALUE"""),2675.0)</f>
        <v>2675</v>
      </c>
      <c r="E412" s="2">
        <f>IFERROR(__xludf.DUMMYFUNCTION("""COMPUTED_VALUE"""),2725.0)</f>
        <v>2725</v>
      </c>
      <c r="F412" s="2">
        <f>IFERROR(__xludf.DUMMYFUNCTION("""COMPUTED_VALUE"""),1.70047E7)</f>
        <v>17004700</v>
      </c>
      <c r="G412" s="2">
        <f t="shared" si="1"/>
        <v>62.5</v>
      </c>
    </row>
    <row r="413" ht="15.75" customHeight="1">
      <c r="A413" s="1">
        <f>IFERROR(__xludf.DUMMYFUNCTION("""COMPUTED_VALUE"""),44452.625)</f>
        <v>44452.625</v>
      </c>
      <c r="B413" s="2">
        <f>IFERROR(__xludf.DUMMYFUNCTION("""COMPUTED_VALUE"""),2700.0)</f>
        <v>2700</v>
      </c>
      <c r="C413" s="2">
        <f>IFERROR(__xludf.DUMMYFUNCTION("""COMPUTED_VALUE"""),2712.5)</f>
        <v>2712.5</v>
      </c>
      <c r="D413" s="2">
        <f>IFERROR(__xludf.DUMMYFUNCTION("""COMPUTED_VALUE"""),2675.0)</f>
        <v>2675</v>
      </c>
      <c r="E413" s="2">
        <f>IFERROR(__xludf.DUMMYFUNCTION("""COMPUTED_VALUE"""),2700.0)</f>
        <v>2700</v>
      </c>
      <c r="F413" s="2">
        <f>IFERROR(__xludf.DUMMYFUNCTION("""COMPUTED_VALUE"""),8916300.0)</f>
        <v>8916300</v>
      </c>
      <c r="G413" s="2">
        <f t="shared" si="1"/>
        <v>50</v>
      </c>
    </row>
    <row r="414" ht="15.75" customHeight="1">
      <c r="A414" s="1">
        <f>IFERROR(__xludf.DUMMYFUNCTION("""COMPUTED_VALUE"""),44453.625)</f>
        <v>44453.625</v>
      </c>
      <c r="B414" s="2">
        <f>IFERROR(__xludf.DUMMYFUNCTION("""COMPUTED_VALUE"""),2700.0)</f>
        <v>2700</v>
      </c>
      <c r="C414" s="2">
        <f>IFERROR(__xludf.DUMMYFUNCTION("""COMPUTED_VALUE"""),2725.0)</f>
        <v>2725</v>
      </c>
      <c r="D414" s="2">
        <f>IFERROR(__xludf.DUMMYFUNCTION("""COMPUTED_VALUE"""),2700.0)</f>
        <v>2700</v>
      </c>
      <c r="E414" s="2">
        <f>IFERROR(__xludf.DUMMYFUNCTION("""COMPUTED_VALUE"""),2700.0)</f>
        <v>2700</v>
      </c>
      <c r="F414" s="2">
        <f>IFERROR(__xludf.DUMMYFUNCTION("""COMPUTED_VALUE"""),8901900.0)</f>
        <v>8901900</v>
      </c>
      <c r="G414" s="2">
        <f t="shared" si="1"/>
        <v>25</v>
      </c>
    </row>
    <row r="415" ht="15.75" customHeight="1">
      <c r="A415" s="1">
        <f>IFERROR(__xludf.DUMMYFUNCTION("""COMPUTED_VALUE"""),44454.625)</f>
        <v>44454.625</v>
      </c>
      <c r="B415" s="2">
        <f>IFERROR(__xludf.DUMMYFUNCTION("""COMPUTED_VALUE"""),2675.0)</f>
        <v>2675</v>
      </c>
      <c r="C415" s="2">
        <f>IFERROR(__xludf.DUMMYFUNCTION("""COMPUTED_VALUE"""),2687.5)</f>
        <v>2687.5</v>
      </c>
      <c r="D415" s="2">
        <f>IFERROR(__xludf.DUMMYFUNCTION("""COMPUTED_VALUE"""),2650.0)</f>
        <v>2650</v>
      </c>
      <c r="E415" s="2">
        <f>IFERROR(__xludf.DUMMYFUNCTION("""COMPUTED_VALUE"""),2675.0)</f>
        <v>2675</v>
      </c>
      <c r="F415" s="2">
        <f>IFERROR(__xludf.DUMMYFUNCTION("""COMPUTED_VALUE"""),1.63658E7)</f>
        <v>16365800</v>
      </c>
      <c r="G415" s="2">
        <f t="shared" si="1"/>
        <v>50</v>
      </c>
    </row>
    <row r="416" ht="15.75" customHeight="1">
      <c r="A416" s="1">
        <f>IFERROR(__xludf.DUMMYFUNCTION("""COMPUTED_VALUE"""),44455.625)</f>
        <v>44455.625</v>
      </c>
      <c r="B416" s="2">
        <f>IFERROR(__xludf.DUMMYFUNCTION("""COMPUTED_VALUE"""),2675.0)</f>
        <v>2675</v>
      </c>
      <c r="C416" s="2">
        <f>IFERROR(__xludf.DUMMYFUNCTION("""COMPUTED_VALUE"""),2687.5)</f>
        <v>2687.5</v>
      </c>
      <c r="D416" s="2">
        <f>IFERROR(__xludf.DUMMYFUNCTION("""COMPUTED_VALUE"""),2625.0)</f>
        <v>2625</v>
      </c>
      <c r="E416" s="2">
        <f>IFERROR(__xludf.DUMMYFUNCTION("""COMPUTED_VALUE"""),2637.5)</f>
        <v>2637.5</v>
      </c>
      <c r="F416" s="2">
        <f>IFERROR(__xludf.DUMMYFUNCTION("""COMPUTED_VALUE"""),1.5896E7)</f>
        <v>15896000</v>
      </c>
      <c r="G416" s="2">
        <f t="shared" si="1"/>
        <v>62.5</v>
      </c>
    </row>
    <row r="417" ht="15.75" customHeight="1">
      <c r="A417" s="1">
        <f>IFERROR(__xludf.DUMMYFUNCTION("""COMPUTED_VALUE"""),44456.625)</f>
        <v>44456.625</v>
      </c>
      <c r="B417" s="2">
        <f>IFERROR(__xludf.DUMMYFUNCTION("""COMPUTED_VALUE"""),2625.0)</f>
        <v>2625</v>
      </c>
      <c r="C417" s="2">
        <f>IFERROR(__xludf.DUMMYFUNCTION("""COMPUTED_VALUE"""),2662.5)</f>
        <v>2662.5</v>
      </c>
      <c r="D417" s="2">
        <f>IFERROR(__xludf.DUMMYFUNCTION("""COMPUTED_VALUE"""),2612.5)</f>
        <v>2612.5</v>
      </c>
      <c r="E417" s="2">
        <f>IFERROR(__xludf.DUMMYFUNCTION("""COMPUTED_VALUE"""),2650.0)</f>
        <v>2650</v>
      </c>
      <c r="F417" s="2">
        <f>IFERROR(__xludf.DUMMYFUNCTION("""COMPUTED_VALUE"""),1.82199E7)</f>
        <v>18219900</v>
      </c>
      <c r="G417" s="2">
        <f t="shared" si="1"/>
        <v>50</v>
      </c>
    </row>
    <row r="418" ht="15.75" customHeight="1">
      <c r="A418" s="1">
        <f>IFERROR(__xludf.DUMMYFUNCTION("""COMPUTED_VALUE"""),44459.625)</f>
        <v>44459.625</v>
      </c>
      <c r="B418" s="2">
        <f>IFERROR(__xludf.DUMMYFUNCTION("""COMPUTED_VALUE"""),2625.0)</f>
        <v>2625</v>
      </c>
      <c r="C418" s="2">
        <f>IFERROR(__xludf.DUMMYFUNCTION("""COMPUTED_VALUE"""),2637.5)</f>
        <v>2637.5</v>
      </c>
      <c r="D418" s="2">
        <f>IFERROR(__xludf.DUMMYFUNCTION("""COMPUTED_VALUE"""),2562.5)</f>
        <v>2562.5</v>
      </c>
      <c r="E418" s="2">
        <f>IFERROR(__xludf.DUMMYFUNCTION("""COMPUTED_VALUE"""),2575.0)</f>
        <v>2575</v>
      </c>
      <c r="F418" s="2">
        <f>IFERROR(__xludf.DUMMYFUNCTION("""COMPUTED_VALUE"""),2.20984E7)</f>
        <v>22098400</v>
      </c>
      <c r="G418" s="2">
        <f t="shared" si="1"/>
        <v>87.5</v>
      </c>
    </row>
    <row r="419" ht="15.75" customHeight="1">
      <c r="A419" s="1">
        <f>IFERROR(__xludf.DUMMYFUNCTION("""COMPUTED_VALUE"""),44460.625)</f>
        <v>44460.625</v>
      </c>
      <c r="B419" s="2">
        <f>IFERROR(__xludf.DUMMYFUNCTION("""COMPUTED_VALUE"""),2550.0)</f>
        <v>2550</v>
      </c>
      <c r="C419" s="2">
        <f>IFERROR(__xludf.DUMMYFUNCTION("""COMPUTED_VALUE"""),2562.5)</f>
        <v>2562.5</v>
      </c>
      <c r="D419" s="2">
        <f>IFERROR(__xludf.DUMMYFUNCTION("""COMPUTED_VALUE"""),2512.5)</f>
        <v>2512.5</v>
      </c>
      <c r="E419" s="2">
        <f>IFERROR(__xludf.DUMMYFUNCTION("""COMPUTED_VALUE"""),2562.5)</f>
        <v>2562.5</v>
      </c>
      <c r="F419" s="2">
        <f>IFERROR(__xludf.DUMMYFUNCTION("""COMPUTED_VALUE"""),2.71571E7)</f>
        <v>27157100</v>
      </c>
      <c r="G419" s="2">
        <f t="shared" si="1"/>
        <v>62.5</v>
      </c>
    </row>
    <row r="420" ht="15.75" customHeight="1">
      <c r="A420" s="1">
        <f>IFERROR(__xludf.DUMMYFUNCTION("""COMPUTED_VALUE"""),44461.625)</f>
        <v>44461.625</v>
      </c>
      <c r="B420" s="2">
        <f>IFERROR(__xludf.DUMMYFUNCTION("""COMPUTED_VALUE"""),2562.5)</f>
        <v>2562.5</v>
      </c>
      <c r="C420" s="2">
        <f>IFERROR(__xludf.DUMMYFUNCTION("""COMPUTED_VALUE"""),2587.5)</f>
        <v>2587.5</v>
      </c>
      <c r="D420" s="2">
        <f>IFERROR(__xludf.DUMMYFUNCTION("""COMPUTED_VALUE"""),2525.0)</f>
        <v>2525</v>
      </c>
      <c r="E420" s="2">
        <f>IFERROR(__xludf.DUMMYFUNCTION("""COMPUTED_VALUE"""),2575.0)</f>
        <v>2575</v>
      </c>
      <c r="F420" s="2">
        <f>IFERROR(__xludf.DUMMYFUNCTION("""COMPUTED_VALUE"""),2.09891E7)</f>
        <v>20989100</v>
      </c>
      <c r="G420" s="2">
        <f t="shared" si="1"/>
        <v>62.5</v>
      </c>
    </row>
    <row r="421" ht="15.75" customHeight="1">
      <c r="A421" s="1">
        <f>IFERROR(__xludf.DUMMYFUNCTION("""COMPUTED_VALUE"""),44462.625)</f>
        <v>44462.625</v>
      </c>
      <c r="B421" s="2">
        <f>IFERROR(__xludf.DUMMYFUNCTION("""COMPUTED_VALUE"""),2587.5)</f>
        <v>2587.5</v>
      </c>
      <c r="C421" s="2">
        <f>IFERROR(__xludf.DUMMYFUNCTION("""COMPUTED_VALUE"""),2600.0)</f>
        <v>2600</v>
      </c>
      <c r="D421" s="2">
        <f>IFERROR(__xludf.DUMMYFUNCTION("""COMPUTED_VALUE"""),2550.0)</f>
        <v>2550</v>
      </c>
      <c r="E421" s="2">
        <f>IFERROR(__xludf.DUMMYFUNCTION("""COMPUTED_VALUE"""),2562.5)</f>
        <v>2562.5</v>
      </c>
      <c r="F421" s="2">
        <f>IFERROR(__xludf.DUMMYFUNCTION("""COMPUTED_VALUE"""),3.09702E7)</f>
        <v>30970200</v>
      </c>
      <c r="G421" s="2">
        <f t="shared" si="1"/>
        <v>50</v>
      </c>
    </row>
    <row r="422" ht="15.75" customHeight="1">
      <c r="A422" s="1">
        <f>IFERROR(__xludf.DUMMYFUNCTION("""COMPUTED_VALUE"""),44463.625)</f>
        <v>44463.625</v>
      </c>
      <c r="B422" s="2">
        <f>IFERROR(__xludf.DUMMYFUNCTION("""COMPUTED_VALUE"""),2562.5)</f>
        <v>2562.5</v>
      </c>
      <c r="C422" s="2">
        <f>IFERROR(__xludf.DUMMYFUNCTION("""COMPUTED_VALUE"""),2587.5)</f>
        <v>2587.5</v>
      </c>
      <c r="D422" s="2">
        <f>IFERROR(__xludf.DUMMYFUNCTION("""COMPUTED_VALUE"""),2537.5)</f>
        <v>2537.5</v>
      </c>
      <c r="E422" s="2">
        <f>IFERROR(__xludf.DUMMYFUNCTION("""COMPUTED_VALUE"""),2550.0)</f>
        <v>2550</v>
      </c>
      <c r="F422" s="2">
        <f>IFERROR(__xludf.DUMMYFUNCTION("""COMPUTED_VALUE"""),1.97275E7)</f>
        <v>19727500</v>
      </c>
      <c r="G422" s="2">
        <f t="shared" si="1"/>
        <v>50</v>
      </c>
    </row>
    <row r="423" ht="15.75" customHeight="1">
      <c r="A423" s="1">
        <f>IFERROR(__xludf.DUMMYFUNCTION("""COMPUTED_VALUE"""),44466.625)</f>
        <v>44466.625</v>
      </c>
      <c r="B423" s="2">
        <f>IFERROR(__xludf.DUMMYFUNCTION("""COMPUTED_VALUE"""),2550.0)</f>
        <v>2550</v>
      </c>
      <c r="C423" s="2">
        <f>IFERROR(__xludf.DUMMYFUNCTION("""COMPUTED_VALUE"""),2562.5)</f>
        <v>2562.5</v>
      </c>
      <c r="D423" s="2">
        <f>IFERROR(__xludf.DUMMYFUNCTION("""COMPUTED_VALUE"""),2512.5)</f>
        <v>2512.5</v>
      </c>
      <c r="E423" s="2">
        <f>IFERROR(__xludf.DUMMYFUNCTION("""COMPUTED_VALUE"""),2537.5)</f>
        <v>2537.5</v>
      </c>
      <c r="F423" s="2">
        <f>IFERROR(__xludf.DUMMYFUNCTION("""COMPUTED_VALUE"""),1.33416E7)</f>
        <v>13341600</v>
      </c>
      <c r="G423" s="2">
        <f t="shared" si="1"/>
        <v>50</v>
      </c>
    </row>
    <row r="424" ht="15.75" customHeight="1">
      <c r="A424" s="1">
        <f>IFERROR(__xludf.DUMMYFUNCTION("""COMPUTED_VALUE"""),44467.625)</f>
        <v>44467.625</v>
      </c>
      <c r="B424" s="2">
        <f>IFERROR(__xludf.DUMMYFUNCTION("""COMPUTED_VALUE"""),2537.5)</f>
        <v>2537.5</v>
      </c>
      <c r="C424" s="2">
        <f>IFERROR(__xludf.DUMMYFUNCTION("""COMPUTED_VALUE"""),2562.5)</f>
        <v>2562.5</v>
      </c>
      <c r="D424" s="2">
        <f>IFERROR(__xludf.DUMMYFUNCTION("""COMPUTED_VALUE"""),2525.0)</f>
        <v>2525</v>
      </c>
      <c r="E424" s="2">
        <f>IFERROR(__xludf.DUMMYFUNCTION("""COMPUTED_VALUE"""),2525.0)</f>
        <v>2525</v>
      </c>
      <c r="F424" s="2">
        <f>IFERROR(__xludf.DUMMYFUNCTION("""COMPUTED_VALUE"""),1.39504E7)</f>
        <v>13950400</v>
      </c>
      <c r="G424" s="2">
        <f t="shared" si="1"/>
        <v>37.5</v>
      </c>
    </row>
    <row r="425" ht="15.75" customHeight="1">
      <c r="A425" s="1">
        <f>IFERROR(__xludf.DUMMYFUNCTION("""COMPUTED_VALUE"""),44468.625)</f>
        <v>44468.625</v>
      </c>
      <c r="B425" s="2">
        <f>IFERROR(__xludf.DUMMYFUNCTION("""COMPUTED_VALUE"""),2512.5)</f>
        <v>2512.5</v>
      </c>
      <c r="C425" s="2">
        <f>IFERROR(__xludf.DUMMYFUNCTION("""COMPUTED_VALUE"""),2625.0)</f>
        <v>2625</v>
      </c>
      <c r="D425" s="2">
        <f>IFERROR(__xludf.DUMMYFUNCTION("""COMPUTED_VALUE"""),2512.5)</f>
        <v>2512.5</v>
      </c>
      <c r="E425" s="2">
        <f>IFERROR(__xludf.DUMMYFUNCTION("""COMPUTED_VALUE"""),2612.5)</f>
        <v>2612.5</v>
      </c>
      <c r="F425" s="2">
        <f>IFERROR(__xludf.DUMMYFUNCTION("""COMPUTED_VALUE"""),2.11567E7)</f>
        <v>21156700</v>
      </c>
      <c r="G425" s="2">
        <f t="shared" si="1"/>
        <v>112.5</v>
      </c>
    </row>
    <row r="426" ht="15.75" customHeight="1">
      <c r="A426" s="1">
        <f>IFERROR(__xludf.DUMMYFUNCTION("""COMPUTED_VALUE"""),44469.625)</f>
        <v>44469.625</v>
      </c>
      <c r="B426" s="2">
        <f>IFERROR(__xludf.DUMMYFUNCTION("""COMPUTED_VALUE"""),2612.5)</f>
        <v>2612.5</v>
      </c>
      <c r="C426" s="2">
        <f>IFERROR(__xludf.DUMMYFUNCTION("""COMPUTED_VALUE"""),2687.5)</f>
        <v>2687.5</v>
      </c>
      <c r="D426" s="2">
        <f>IFERROR(__xludf.DUMMYFUNCTION("""COMPUTED_VALUE"""),2600.0)</f>
        <v>2600</v>
      </c>
      <c r="E426" s="2">
        <f>IFERROR(__xludf.DUMMYFUNCTION("""COMPUTED_VALUE"""),2687.5)</f>
        <v>2687.5</v>
      </c>
      <c r="F426" s="2">
        <f>IFERROR(__xludf.DUMMYFUNCTION("""COMPUTED_VALUE"""),3.45572E7)</f>
        <v>34557200</v>
      </c>
      <c r="G426" s="2">
        <f t="shared" si="1"/>
        <v>87.5</v>
      </c>
    </row>
    <row r="427" ht="15.75" customHeight="1">
      <c r="A427" s="1">
        <f>IFERROR(__xludf.DUMMYFUNCTION("""COMPUTED_VALUE"""),44470.625)</f>
        <v>44470.625</v>
      </c>
      <c r="B427" s="2">
        <f>IFERROR(__xludf.DUMMYFUNCTION("""COMPUTED_VALUE"""),2687.5)</f>
        <v>2687.5</v>
      </c>
      <c r="C427" s="2">
        <f>IFERROR(__xludf.DUMMYFUNCTION("""COMPUTED_VALUE"""),2687.5)</f>
        <v>2687.5</v>
      </c>
      <c r="D427" s="2">
        <f>IFERROR(__xludf.DUMMYFUNCTION("""COMPUTED_VALUE"""),2662.5)</f>
        <v>2662.5</v>
      </c>
      <c r="E427" s="2">
        <f>IFERROR(__xludf.DUMMYFUNCTION("""COMPUTED_VALUE"""),2675.0)</f>
        <v>2675</v>
      </c>
      <c r="F427" s="2">
        <f>IFERROR(__xludf.DUMMYFUNCTION("""COMPUTED_VALUE"""),1.40134E7)</f>
        <v>14013400</v>
      </c>
      <c r="G427" s="2">
        <f t="shared" si="1"/>
        <v>25</v>
      </c>
    </row>
    <row r="428" ht="15.75" customHeight="1">
      <c r="A428" s="1">
        <f>IFERROR(__xludf.DUMMYFUNCTION("""COMPUTED_VALUE"""),44473.625)</f>
        <v>44473.625</v>
      </c>
      <c r="B428" s="2">
        <f>IFERROR(__xludf.DUMMYFUNCTION("""COMPUTED_VALUE"""),2675.0)</f>
        <v>2675</v>
      </c>
      <c r="C428" s="2">
        <f>IFERROR(__xludf.DUMMYFUNCTION("""COMPUTED_VALUE"""),2900.0)</f>
        <v>2900</v>
      </c>
      <c r="D428" s="2">
        <f>IFERROR(__xludf.DUMMYFUNCTION("""COMPUTED_VALUE"""),2675.0)</f>
        <v>2675</v>
      </c>
      <c r="E428" s="2">
        <f>IFERROR(__xludf.DUMMYFUNCTION("""COMPUTED_VALUE"""),2850.0)</f>
        <v>2850</v>
      </c>
      <c r="F428" s="2">
        <f>IFERROR(__xludf.DUMMYFUNCTION("""COMPUTED_VALUE"""),7.39383E7)</f>
        <v>73938300</v>
      </c>
      <c r="G428" s="2">
        <f t="shared" si="1"/>
        <v>225</v>
      </c>
    </row>
    <row r="429" ht="15.75" customHeight="1">
      <c r="A429" s="1">
        <f>IFERROR(__xludf.DUMMYFUNCTION("""COMPUTED_VALUE"""),44474.625)</f>
        <v>44474.625</v>
      </c>
      <c r="B429" s="2">
        <f>IFERROR(__xludf.DUMMYFUNCTION("""COMPUTED_VALUE"""),2837.5)</f>
        <v>2837.5</v>
      </c>
      <c r="C429" s="2">
        <f>IFERROR(__xludf.DUMMYFUNCTION("""COMPUTED_VALUE"""),2875.0)</f>
        <v>2875</v>
      </c>
      <c r="D429" s="2">
        <f>IFERROR(__xludf.DUMMYFUNCTION("""COMPUTED_VALUE"""),2812.5)</f>
        <v>2812.5</v>
      </c>
      <c r="E429" s="2">
        <f>IFERROR(__xludf.DUMMYFUNCTION("""COMPUTED_VALUE"""),2850.0)</f>
        <v>2850</v>
      </c>
      <c r="F429" s="2">
        <f>IFERROR(__xludf.DUMMYFUNCTION("""COMPUTED_VALUE"""),3.28785E7)</f>
        <v>32878500</v>
      </c>
      <c r="G429" s="2">
        <f t="shared" si="1"/>
        <v>62.5</v>
      </c>
    </row>
    <row r="430" ht="15.75" customHeight="1">
      <c r="A430" s="1">
        <f>IFERROR(__xludf.DUMMYFUNCTION("""COMPUTED_VALUE"""),44475.625)</f>
        <v>44475.625</v>
      </c>
      <c r="B430" s="2">
        <f>IFERROR(__xludf.DUMMYFUNCTION("""COMPUTED_VALUE"""),2875.0)</f>
        <v>2875</v>
      </c>
      <c r="C430" s="2">
        <f>IFERROR(__xludf.DUMMYFUNCTION("""COMPUTED_VALUE"""),3100.0)</f>
        <v>3100</v>
      </c>
      <c r="D430" s="2">
        <f>IFERROR(__xludf.DUMMYFUNCTION("""COMPUTED_VALUE"""),2850.0)</f>
        <v>2850</v>
      </c>
      <c r="E430" s="2">
        <f>IFERROR(__xludf.DUMMYFUNCTION("""COMPUTED_VALUE"""),3000.0)</f>
        <v>3000</v>
      </c>
      <c r="F430" s="2">
        <f>IFERROR(__xludf.DUMMYFUNCTION("""COMPUTED_VALUE"""),1.111028E8)</f>
        <v>111102800</v>
      </c>
      <c r="G430" s="2">
        <f t="shared" si="1"/>
        <v>250</v>
      </c>
    </row>
    <row r="431" ht="15.75" customHeight="1">
      <c r="A431" s="1">
        <f>IFERROR(__xludf.DUMMYFUNCTION("""COMPUTED_VALUE"""),44476.625)</f>
        <v>44476.625</v>
      </c>
      <c r="B431" s="2">
        <f>IFERROR(__xludf.DUMMYFUNCTION("""COMPUTED_VALUE"""),3000.0)</f>
        <v>3000</v>
      </c>
      <c r="C431" s="2">
        <f>IFERROR(__xludf.DUMMYFUNCTION("""COMPUTED_VALUE"""),3037.5)</f>
        <v>3037.5</v>
      </c>
      <c r="D431" s="2">
        <f>IFERROR(__xludf.DUMMYFUNCTION("""COMPUTED_VALUE"""),2950.0)</f>
        <v>2950</v>
      </c>
      <c r="E431" s="2">
        <f>IFERROR(__xludf.DUMMYFUNCTION("""COMPUTED_VALUE"""),2987.5)</f>
        <v>2987.5</v>
      </c>
      <c r="F431" s="2">
        <f>IFERROR(__xludf.DUMMYFUNCTION("""COMPUTED_VALUE"""),4.22299E7)</f>
        <v>42229900</v>
      </c>
      <c r="G431" s="2">
        <f t="shared" si="1"/>
        <v>87.5</v>
      </c>
    </row>
    <row r="432" ht="15.75" customHeight="1">
      <c r="A432" s="1">
        <f>IFERROR(__xludf.DUMMYFUNCTION("""COMPUTED_VALUE"""),44477.625)</f>
        <v>44477.625</v>
      </c>
      <c r="B432" s="2">
        <f>IFERROR(__xludf.DUMMYFUNCTION("""COMPUTED_VALUE"""),3025.0)</f>
        <v>3025</v>
      </c>
      <c r="C432" s="2">
        <f>IFERROR(__xludf.DUMMYFUNCTION("""COMPUTED_VALUE"""),3100.0)</f>
        <v>3100</v>
      </c>
      <c r="D432" s="2">
        <f>IFERROR(__xludf.DUMMYFUNCTION("""COMPUTED_VALUE"""),3012.5)</f>
        <v>3012.5</v>
      </c>
      <c r="E432" s="2">
        <f>IFERROR(__xludf.DUMMYFUNCTION("""COMPUTED_VALUE"""),3075.0)</f>
        <v>3075</v>
      </c>
      <c r="F432" s="2">
        <f>IFERROR(__xludf.DUMMYFUNCTION("""COMPUTED_VALUE"""),4.84639E7)</f>
        <v>48463900</v>
      </c>
      <c r="G432" s="2">
        <f t="shared" si="1"/>
        <v>112.5</v>
      </c>
    </row>
    <row r="433" ht="15.75" customHeight="1">
      <c r="A433" s="1">
        <f>IFERROR(__xludf.DUMMYFUNCTION("""COMPUTED_VALUE"""),44480.625)</f>
        <v>44480.625</v>
      </c>
      <c r="B433" s="2">
        <f>IFERROR(__xludf.DUMMYFUNCTION("""COMPUTED_VALUE"""),3075.0)</f>
        <v>3075</v>
      </c>
      <c r="C433" s="2">
        <f>IFERROR(__xludf.DUMMYFUNCTION("""COMPUTED_VALUE"""),3212.5)</f>
        <v>3212.5</v>
      </c>
      <c r="D433" s="2">
        <f>IFERROR(__xludf.DUMMYFUNCTION("""COMPUTED_VALUE"""),3075.0)</f>
        <v>3075</v>
      </c>
      <c r="E433" s="2">
        <f>IFERROR(__xludf.DUMMYFUNCTION("""COMPUTED_VALUE"""),3200.0)</f>
        <v>3200</v>
      </c>
      <c r="F433" s="2">
        <f>IFERROR(__xludf.DUMMYFUNCTION("""COMPUTED_VALUE"""),7.34954E7)</f>
        <v>73495400</v>
      </c>
      <c r="G433" s="2">
        <f t="shared" si="1"/>
        <v>137.5</v>
      </c>
    </row>
    <row r="434" ht="15.75" customHeight="1">
      <c r="A434" s="1">
        <f>IFERROR(__xludf.DUMMYFUNCTION("""COMPUTED_VALUE"""),44481.66666666667)</f>
        <v>44481.66667</v>
      </c>
      <c r="B434" s="2">
        <f>IFERROR(__xludf.DUMMYFUNCTION("""COMPUTED_VALUE"""),3200.0)</f>
        <v>3200</v>
      </c>
      <c r="C434" s="2">
        <f>IFERROR(__xludf.DUMMYFUNCTION("""COMPUTED_VALUE"""),3250.0)</f>
        <v>3250</v>
      </c>
      <c r="D434" s="2">
        <f>IFERROR(__xludf.DUMMYFUNCTION("""COMPUTED_VALUE"""),3162.5)</f>
        <v>3162.5</v>
      </c>
      <c r="E434" s="2">
        <f>IFERROR(__xludf.DUMMYFUNCTION("""COMPUTED_VALUE"""),3200.0)</f>
        <v>3200</v>
      </c>
      <c r="F434" s="2">
        <f>IFERROR(__xludf.DUMMYFUNCTION("""COMPUTED_VALUE"""),7.23976E7)</f>
        <v>72397600</v>
      </c>
      <c r="G434" s="2">
        <f t="shared" si="1"/>
        <v>87.5</v>
      </c>
    </row>
    <row r="435" ht="15.75" customHeight="1">
      <c r="A435" s="1">
        <f>IFERROR(__xludf.DUMMYFUNCTION("""COMPUTED_VALUE"""),44482.625)</f>
        <v>44482.625</v>
      </c>
      <c r="B435" s="2">
        <f>IFERROR(__xludf.DUMMYFUNCTION("""COMPUTED_VALUE"""),3250.0)</f>
        <v>3250</v>
      </c>
      <c r="C435" s="2">
        <f>IFERROR(__xludf.DUMMYFUNCTION("""COMPUTED_VALUE"""),3400.0)</f>
        <v>3400</v>
      </c>
      <c r="D435" s="2">
        <f>IFERROR(__xludf.DUMMYFUNCTION("""COMPUTED_VALUE"""),3200.0)</f>
        <v>3200</v>
      </c>
      <c r="E435" s="2">
        <f>IFERROR(__xludf.DUMMYFUNCTION("""COMPUTED_VALUE"""),3337.5)</f>
        <v>3337.5</v>
      </c>
      <c r="F435" s="2">
        <f>IFERROR(__xludf.DUMMYFUNCTION("""COMPUTED_VALUE"""),1.488919E8)</f>
        <v>148891900</v>
      </c>
      <c r="G435" s="2">
        <f t="shared" si="1"/>
        <v>200</v>
      </c>
    </row>
    <row r="436" ht="15.75" customHeight="1">
      <c r="A436" s="1">
        <f>IFERROR(__xludf.DUMMYFUNCTION("""COMPUTED_VALUE"""),44483.66666666667)</f>
        <v>44483.66667</v>
      </c>
      <c r="B436" s="2">
        <f>IFERROR(__xludf.DUMMYFUNCTION("""COMPUTED_VALUE"""),3337.5)</f>
        <v>3337.5</v>
      </c>
      <c r="C436" s="2">
        <f>IFERROR(__xludf.DUMMYFUNCTION("""COMPUTED_VALUE"""),3437.5)</f>
        <v>3437.5</v>
      </c>
      <c r="D436" s="2">
        <f>IFERROR(__xludf.DUMMYFUNCTION("""COMPUTED_VALUE"""),3337.5)</f>
        <v>3337.5</v>
      </c>
      <c r="E436" s="2">
        <f>IFERROR(__xludf.DUMMYFUNCTION("""COMPUTED_VALUE"""),3437.5)</f>
        <v>3437.5</v>
      </c>
      <c r="F436" s="2">
        <f>IFERROR(__xludf.DUMMYFUNCTION("""COMPUTED_VALUE"""),7.83676E7)</f>
        <v>78367600</v>
      </c>
      <c r="G436" s="2">
        <f t="shared" si="1"/>
        <v>100</v>
      </c>
    </row>
    <row r="437" ht="15.75" customHeight="1">
      <c r="A437" s="1">
        <f>IFERROR(__xludf.DUMMYFUNCTION("""COMPUTED_VALUE"""),44484.66666666667)</f>
        <v>44484.66667</v>
      </c>
      <c r="B437" s="2">
        <f>IFERROR(__xludf.DUMMYFUNCTION("""COMPUTED_VALUE"""),3475.0)</f>
        <v>3475</v>
      </c>
      <c r="C437" s="2">
        <f>IFERROR(__xludf.DUMMYFUNCTION("""COMPUTED_VALUE"""),3487.5)</f>
        <v>3487.5</v>
      </c>
      <c r="D437" s="2">
        <f>IFERROR(__xludf.DUMMYFUNCTION("""COMPUTED_VALUE"""),3325.0)</f>
        <v>3325</v>
      </c>
      <c r="E437" s="2">
        <f>IFERROR(__xludf.DUMMYFUNCTION("""COMPUTED_VALUE"""),3375.0)</f>
        <v>3375</v>
      </c>
      <c r="F437" s="2">
        <f>IFERROR(__xludf.DUMMYFUNCTION("""COMPUTED_VALUE"""),5.93686E7)</f>
        <v>59368600</v>
      </c>
      <c r="G437" s="2">
        <f t="shared" si="1"/>
        <v>162.5</v>
      </c>
    </row>
    <row r="438" ht="15.75" customHeight="1">
      <c r="A438" s="1">
        <f>IFERROR(__xludf.DUMMYFUNCTION("""COMPUTED_VALUE"""),44487.625)</f>
        <v>44487.625</v>
      </c>
      <c r="B438" s="2">
        <f>IFERROR(__xludf.DUMMYFUNCTION("""COMPUTED_VALUE"""),3437.5)</f>
        <v>3437.5</v>
      </c>
      <c r="C438" s="2">
        <f>IFERROR(__xludf.DUMMYFUNCTION("""COMPUTED_VALUE"""),3587.5)</f>
        <v>3587.5</v>
      </c>
      <c r="D438" s="2">
        <f>IFERROR(__xludf.DUMMYFUNCTION("""COMPUTED_VALUE"""),3412.5)</f>
        <v>3412.5</v>
      </c>
      <c r="E438" s="2">
        <f>IFERROR(__xludf.DUMMYFUNCTION("""COMPUTED_VALUE"""),3537.5)</f>
        <v>3537.5</v>
      </c>
      <c r="F438" s="2">
        <f>IFERROR(__xludf.DUMMYFUNCTION("""COMPUTED_VALUE"""),1.031573E8)</f>
        <v>103157300</v>
      </c>
      <c r="G438" s="2">
        <f t="shared" si="1"/>
        <v>212.5</v>
      </c>
    </row>
    <row r="439" ht="15.75" customHeight="1">
      <c r="A439" s="1">
        <f>IFERROR(__xludf.DUMMYFUNCTION("""COMPUTED_VALUE"""),44488.625)</f>
        <v>44488.625</v>
      </c>
      <c r="B439" s="2">
        <f>IFERROR(__xludf.DUMMYFUNCTION("""COMPUTED_VALUE"""),3575.0)</f>
        <v>3575</v>
      </c>
      <c r="C439" s="2">
        <f>IFERROR(__xludf.DUMMYFUNCTION("""COMPUTED_VALUE"""),3612.5)</f>
        <v>3612.5</v>
      </c>
      <c r="D439" s="2">
        <f>IFERROR(__xludf.DUMMYFUNCTION("""COMPUTED_VALUE"""),3512.5)</f>
        <v>3512.5</v>
      </c>
      <c r="E439" s="2">
        <f>IFERROR(__xludf.DUMMYFUNCTION("""COMPUTED_VALUE"""),3612.5)</f>
        <v>3612.5</v>
      </c>
      <c r="F439" s="2">
        <f>IFERROR(__xludf.DUMMYFUNCTION("""COMPUTED_VALUE"""),6.40934E7)</f>
        <v>64093400</v>
      </c>
      <c r="G439" s="2">
        <f t="shared" si="1"/>
        <v>100</v>
      </c>
    </row>
    <row r="440" ht="15.75" customHeight="1">
      <c r="A440" s="1">
        <f>IFERROR(__xludf.DUMMYFUNCTION("""COMPUTED_VALUE"""),44490.625)</f>
        <v>44490.625</v>
      </c>
      <c r="B440" s="2">
        <f>IFERROR(__xludf.DUMMYFUNCTION("""COMPUTED_VALUE"""),3675.0)</f>
        <v>3675</v>
      </c>
      <c r="C440" s="2">
        <f>IFERROR(__xludf.DUMMYFUNCTION("""COMPUTED_VALUE"""),3725.0)</f>
        <v>3725</v>
      </c>
      <c r="D440" s="2">
        <f>IFERROR(__xludf.DUMMYFUNCTION("""COMPUTED_VALUE"""),3625.0)</f>
        <v>3625</v>
      </c>
      <c r="E440" s="2">
        <f>IFERROR(__xludf.DUMMYFUNCTION("""COMPUTED_VALUE"""),3662.5)</f>
        <v>3662.5</v>
      </c>
      <c r="F440" s="2">
        <f>IFERROR(__xludf.DUMMYFUNCTION("""COMPUTED_VALUE"""),7.03887E7)</f>
        <v>70388700</v>
      </c>
      <c r="G440" s="2">
        <f t="shared" si="1"/>
        <v>112.5</v>
      </c>
    </row>
    <row r="441" ht="15.75" customHeight="1">
      <c r="A441" s="1">
        <f>IFERROR(__xludf.DUMMYFUNCTION("""COMPUTED_VALUE"""),44491.625)</f>
        <v>44491.625</v>
      </c>
      <c r="B441" s="2">
        <f>IFERROR(__xludf.DUMMYFUNCTION("""COMPUTED_VALUE"""),3662.5)</f>
        <v>3662.5</v>
      </c>
      <c r="C441" s="2">
        <f>IFERROR(__xludf.DUMMYFUNCTION("""COMPUTED_VALUE"""),3737.5)</f>
        <v>3737.5</v>
      </c>
      <c r="D441" s="2">
        <f>IFERROR(__xludf.DUMMYFUNCTION("""COMPUTED_VALUE"""),3562.5)</f>
        <v>3562.5</v>
      </c>
      <c r="E441" s="2">
        <f>IFERROR(__xludf.DUMMYFUNCTION("""COMPUTED_VALUE"""),3725.0)</f>
        <v>3725</v>
      </c>
      <c r="F441" s="2">
        <f>IFERROR(__xludf.DUMMYFUNCTION("""COMPUTED_VALUE"""),4.7656E7)</f>
        <v>47656000</v>
      </c>
      <c r="G441" s="2">
        <f t="shared" si="1"/>
        <v>175</v>
      </c>
    </row>
    <row r="442" ht="15.75" customHeight="1">
      <c r="A442" s="1">
        <f>IFERROR(__xludf.DUMMYFUNCTION("""COMPUTED_VALUE"""),44494.625)</f>
        <v>44494.625</v>
      </c>
      <c r="B442" s="2">
        <f>IFERROR(__xludf.DUMMYFUNCTION("""COMPUTED_VALUE"""),3737.5)</f>
        <v>3737.5</v>
      </c>
      <c r="C442" s="2">
        <f>IFERROR(__xludf.DUMMYFUNCTION("""COMPUTED_VALUE"""),3787.5)</f>
        <v>3787.5</v>
      </c>
      <c r="D442" s="2">
        <f>IFERROR(__xludf.DUMMYFUNCTION("""COMPUTED_VALUE"""),3675.0)</f>
        <v>3675</v>
      </c>
      <c r="E442" s="2">
        <f>IFERROR(__xludf.DUMMYFUNCTION("""COMPUTED_VALUE"""),3675.0)</f>
        <v>3675</v>
      </c>
      <c r="F442" s="2">
        <f>IFERROR(__xludf.DUMMYFUNCTION("""COMPUTED_VALUE"""),4.85004E7)</f>
        <v>48500400</v>
      </c>
      <c r="G442" s="2">
        <f t="shared" si="1"/>
        <v>112.5</v>
      </c>
    </row>
    <row r="443" ht="15.75" customHeight="1">
      <c r="A443" s="1">
        <f>IFERROR(__xludf.DUMMYFUNCTION("""COMPUTED_VALUE"""),44495.625)</f>
        <v>44495.625</v>
      </c>
      <c r="B443" s="2">
        <f>IFERROR(__xludf.DUMMYFUNCTION("""COMPUTED_VALUE"""),3675.0)</f>
        <v>3675</v>
      </c>
      <c r="C443" s="2">
        <f>IFERROR(__xludf.DUMMYFUNCTION("""COMPUTED_VALUE"""),3700.0)</f>
        <v>3700</v>
      </c>
      <c r="D443" s="2">
        <f>IFERROR(__xludf.DUMMYFUNCTION("""COMPUTED_VALUE"""),3600.0)</f>
        <v>3600</v>
      </c>
      <c r="E443" s="2">
        <f>IFERROR(__xludf.DUMMYFUNCTION("""COMPUTED_VALUE"""),3637.5)</f>
        <v>3637.5</v>
      </c>
      <c r="F443" s="2">
        <f>IFERROR(__xludf.DUMMYFUNCTION("""COMPUTED_VALUE"""),2.62269E7)</f>
        <v>26226900</v>
      </c>
      <c r="G443" s="2">
        <f t="shared" si="1"/>
        <v>100</v>
      </c>
    </row>
    <row r="444" ht="15.75" customHeight="1">
      <c r="A444" s="1">
        <f>IFERROR(__xludf.DUMMYFUNCTION("""COMPUTED_VALUE"""),44496.625)</f>
        <v>44496.625</v>
      </c>
      <c r="B444" s="2">
        <f>IFERROR(__xludf.DUMMYFUNCTION("""COMPUTED_VALUE"""),3612.5)</f>
        <v>3612.5</v>
      </c>
      <c r="C444" s="2">
        <f>IFERROR(__xludf.DUMMYFUNCTION("""COMPUTED_VALUE"""),3625.0)</f>
        <v>3625</v>
      </c>
      <c r="D444" s="2">
        <f>IFERROR(__xludf.DUMMYFUNCTION("""COMPUTED_VALUE"""),3525.0)</f>
        <v>3525</v>
      </c>
      <c r="E444" s="2">
        <f>IFERROR(__xludf.DUMMYFUNCTION("""COMPUTED_VALUE"""),3537.5)</f>
        <v>3537.5</v>
      </c>
      <c r="F444" s="2">
        <f>IFERROR(__xludf.DUMMYFUNCTION("""COMPUTED_VALUE"""),4.76738E7)</f>
        <v>47673800</v>
      </c>
      <c r="G444" s="2">
        <f t="shared" si="1"/>
        <v>112.5</v>
      </c>
    </row>
    <row r="445" ht="15.75" customHeight="1">
      <c r="A445" s="1">
        <f>IFERROR(__xludf.DUMMYFUNCTION("""COMPUTED_VALUE"""),44497.625)</f>
        <v>44497.625</v>
      </c>
      <c r="B445" s="2">
        <f>IFERROR(__xludf.DUMMYFUNCTION("""COMPUTED_VALUE"""),3512.5)</f>
        <v>3512.5</v>
      </c>
      <c r="C445" s="2">
        <f>IFERROR(__xludf.DUMMYFUNCTION("""COMPUTED_VALUE"""),3537.5)</f>
        <v>3537.5</v>
      </c>
      <c r="D445" s="2">
        <f>IFERROR(__xludf.DUMMYFUNCTION("""COMPUTED_VALUE"""),3462.5)</f>
        <v>3462.5</v>
      </c>
      <c r="E445" s="2">
        <f>IFERROR(__xludf.DUMMYFUNCTION("""COMPUTED_VALUE"""),3525.0)</f>
        <v>3525</v>
      </c>
      <c r="F445" s="2">
        <f>IFERROR(__xludf.DUMMYFUNCTION("""COMPUTED_VALUE"""),3.90227E7)</f>
        <v>39022700</v>
      </c>
      <c r="G445" s="2">
        <f t="shared" si="1"/>
        <v>75</v>
      </c>
    </row>
    <row r="446" ht="15.75" customHeight="1">
      <c r="A446" s="1">
        <f>IFERROR(__xludf.DUMMYFUNCTION("""COMPUTED_VALUE"""),44498.625)</f>
        <v>44498.625</v>
      </c>
      <c r="B446" s="2">
        <f>IFERROR(__xludf.DUMMYFUNCTION("""COMPUTED_VALUE"""),3587.5)</f>
        <v>3587.5</v>
      </c>
      <c r="C446" s="2">
        <f>IFERROR(__xludf.DUMMYFUNCTION("""COMPUTED_VALUE"""),3587.5)</f>
        <v>3587.5</v>
      </c>
      <c r="D446" s="2">
        <f>IFERROR(__xludf.DUMMYFUNCTION("""COMPUTED_VALUE"""),3425.0)</f>
        <v>3425</v>
      </c>
      <c r="E446" s="2">
        <f>IFERROR(__xludf.DUMMYFUNCTION("""COMPUTED_VALUE"""),3500.0)</f>
        <v>3500</v>
      </c>
      <c r="F446" s="2">
        <f>IFERROR(__xludf.DUMMYFUNCTION("""COMPUTED_VALUE"""),5.91474E7)</f>
        <v>59147400</v>
      </c>
      <c r="G446" s="2">
        <f t="shared" si="1"/>
        <v>162.5</v>
      </c>
    </row>
    <row r="447" ht="15.75" customHeight="1">
      <c r="A447" s="1">
        <f>IFERROR(__xludf.DUMMYFUNCTION("""COMPUTED_VALUE"""),44501.625)</f>
        <v>44501.625</v>
      </c>
      <c r="B447" s="2">
        <f>IFERROR(__xludf.DUMMYFUNCTION("""COMPUTED_VALUE"""),3512.5)</f>
        <v>3512.5</v>
      </c>
      <c r="C447" s="2">
        <f>IFERROR(__xludf.DUMMYFUNCTION("""COMPUTED_VALUE"""),3512.5)</f>
        <v>3512.5</v>
      </c>
      <c r="D447" s="2">
        <f>IFERROR(__xludf.DUMMYFUNCTION("""COMPUTED_VALUE"""),3412.5)</f>
        <v>3412.5</v>
      </c>
      <c r="E447" s="2">
        <f>IFERROR(__xludf.DUMMYFUNCTION("""COMPUTED_VALUE"""),3425.0)</f>
        <v>3425</v>
      </c>
      <c r="F447" s="2">
        <f>IFERROR(__xludf.DUMMYFUNCTION("""COMPUTED_VALUE"""),3.48345E7)</f>
        <v>34834500</v>
      </c>
      <c r="G447" s="2">
        <f t="shared" si="1"/>
        <v>100</v>
      </c>
    </row>
    <row r="448" ht="15.75" customHeight="1">
      <c r="A448" s="1">
        <f>IFERROR(__xludf.DUMMYFUNCTION("""COMPUTED_VALUE"""),44502.625)</f>
        <v>44502.625</v>
      </c>
      <c r="B448" s="2">
        <f>IFERROR(__xludf.DUMMYFUNCTION("""COMPUTED_VALUE"""),3425.0)</f>
        <v>3425</v>
      </c>
      <c r="C448" s="2">
        <f>IFERROR(__xludf.DUMMYFUNCTION("""COMPUTED_VALUE"""),3475.0)</f>
        <v>3475</v>
      </c>
      <c r="D448" s="2">
        <f>IFERROR(__xludf.DUMMYFUNCTION("""COMPUTED_VALUE"""),3362.5)</f>
        <v>3362.5</v>
      </c>
      <c r="E448" s="2">
        <f>IFERROR(__xludf.DUMMYFUNCTION("""COMPUTED_VALUE"""),3400.0)</f>
        <v>3400</v>
      </c>
      <c r="F448" s="2">
        <f>IFERROR(__xludf.DUMMYFUNCTION("""COMPUTED_VALUE"""),3.04723E7)</f>
        <v>30472300</v>
      </c>
      <c r="G448" s="2">
        <f t="shared" si="1"/>
        <v>112.5</v>
      </c>
    </row>
    <row r="449" ht="15.75" customHeight="1">
      <c r="A449" s="1">
        <f>IFERROR(__xludf.DUMMYFUNCTION("""COMPUTED_VALUE"""),44503.625)</f>
        <v>44503.625</v>
      </c>
      <c r="B449" s="2">
        <f>IFERROR(__xludf.DUMMYFUNCTION("""COMPUTED_VALUE"""),3400.0)</f>
        <v>3400</v>
      </c>
      <c r="C449" s="2">
        <f>IFERROR(__xludf.DUMMYFUNCTION("""COMPUTED_VALUE"""),3525.0)</f>
        <v>3525</v>
      </c>
      <c r="D449" s="2">
        <f>IFERROR(__xludf.DUMMYFUNCTION("""COMPUTED_VALUE"""),3362.5)</f>
        <v>3362.5</v>
      </c>
      <c r="E449" s="2">
        <f>IFERROR(__xludf.DUMMYFUNCTION("""COMPUTED_VALUE"""),3512.5)</f>
        <v>3512.5</v>
      </c>
      <c r="F449" s="2">
        <f>IFERROR(__xludf.DUMMYFUNCTION("""COMPUTED_VALUE"""),4.66699E7)</f>
        <v>46669900</v>
      </c>
      <c r="G449" s="2">
        <f t="shared" si="1"/>
        <v>162.5</v>
      </c>
    </row>
    <row r="450" ht="15.75" customHeight="1">
      <c r="A450" s="1">
        <f>IFERROR(__xludf.DUMMYFUNCTION("""COMPUTED_VALUE"""),44504.66666666667)</f>
        <v>44504.66667</v>
      </c>
      <c r="B450" s="2">
        <f>IFERROR(__xludf.DUMMYFUNCTION("""COMPUTED_VALUE"""),3537.5)</f>
        <v>3537.5</v>
      </c>
      <c r="C450" s="2">
        <f>IFERROR(__xludf.DUMMYFUNCTION("""COMPUTED_VALUE"""),3562.5)</f>
        <v>3562.5</v>
      </c>
      <c r="D450" s="2">
        <f>IFERROR(__xludf.DUMMYFUNCTION("""COMPUTED_VALUE"""),3500.0)</f>
        <v>3500</v>
      </c>
      <c r="E450" s="2">
        <f>IFERROR(__xludf.DUMMYFUNCTION("""COMPUTED_VALUE"""),3500.0)</f>
        <v>3500</v>
      </c>
      <c r="F450" s="2">
        <f>IFERROR(__xludf.DUMMYFUNCTION("""COMPUTED_VALUE"""),2.73665E7)</f>
        <v>27366500</v>
      </c>
      <c r="G450" s="2">
        <f t="shared" si="1"/>
        <v>62.5</v>
      </c>
    </row>
    <row r="451" ht="15.75" customHeight="1">
      <c r="A451" s="1">
        <f>IFERROR(__xludf.DUMMYFUNCTION("""COMPUTED_VALUE"""),44505.625)</f>
        <v>44505.625</v>
      </c>
      <c r="B451" s="2">
        <f>IFERROR(__xludf.DUMMYFUNCTION("""COMPUTED_VALUE"""),3500.0)</f>
        <v>3500</v>
      </c>
      <c r="C451" s="2">
        <f>IFERROR(__xludf.DUMMYFUNCTION("""COMPUTED_VALUE"""),3512.5)</f>
        <v>3512.5</v>
      </c>
      <c r="D451" s="2">
        <f>IFERROR(__xludf.DUMMYFUNCTION("""COMPUTED_VALUE"""),3437.5)</f>
        <v>3437.5</v>
      </c>
      <c r="E451" s="2">
        <f>IFERROR(__xludf.DUMMYFUNCTION("""COMPUTED_VALUE"""),3475.0)</f>
        <v>3475</v>
      </c>
      <c r="F451" s="2">
        <f>IFERROR(__xludf.DUMMYFUNCTION("""COMPUTED_VALUE"""),1.64085E7)</f>
        <v>16408500</v>
      </c>
      <c r="G451" s="2">
        <f t="shared" si="1"/>
        <v>75</v>
      </c>
    </row>
    <row r="452" ht="15.75" customHeight="1">
      <c r="A452" s="1">
        <f>IFERROR(__xludf.DUMMYFUNCTION("""COMPUTED_VALUE"""),44508.625)</f>
        <v>44508.625</v>
      </c>
      <c r="B452" s="2">
        <f>IFERROR(__xludf.DUMMYFUNCTION("""COMPUTED_VALUE"""),3500.0)</f>
        <v>3500</v>
      </c>
      <c r="C452" s="2">
        <f>IFERROR(__xludf.DUMMYFUNCTION("""COMPUTED_VALUE"""),3562.5)</f>
        <v>3562.5</v>
      </c>
      <c r="D452" s="2">
        <f>IFERROR(__xludf.DUMMYFUNCTION("""COMPUTED_VALUE"""),3462.5)</f>
        <v>3462.5</v>
      </c>
      <c r="E452" s="2">
        <f>IFERROR(__xludf.DUMMYFUNCTION("""COMPUTED_VALUE"""),3525.0)</f>
        <v>3525</v>
      </c>
      <c r="F452" s="2">
        <f>IFERROR(__xludf.DUMMYFUNCTION("""COMPUTED_VALUE"""),2.49358E7)</f>
        <v>24935800</v>
      </c>
      <c r="G452" s="2">
        <f t="shared" si="1"/>
        <v>100</v>
      </c>
    </row>
    <row r="453" ht="15.75" customHeight="1">
      <c r="A453" s="1">
        <f>IFERROR(__xludf.DUMMYFUNCTION("""COMPUTED_VALUE"""),44509.625)</f>
        <v>44509.625</v>
      </c>
      <c r="B453" s="2">
        <f>IFERROR(__xludf.DUMMYFUNCTION("""COMPUTED_VALUE"""),3525.0)</f>
        <v>3525</v>
      </c>
      <c r="C453" s="2">
        <f>IFERROR(__xludf.DUMMYFUNCTION("""COMPUTED_VALUE"""),3537.5)</f>
        <v>3537.5</v>
      </c>
      <c r="D453" s="2">
        <f>IFERROR(__xludf.DUMMYFUNCTION("""COMPUTED_VALUE"""),3487.5)</f>
        <v>3487.5</v>
      </c>
      <c r="E453" s="2">
        <f>IFERROR(__xludf.DUMMYFUNCTION("""COMPUTED_VALUE"""),3525.0)</f>
        <v>3525</v>
      </c>
      <c r="F453" s="2">
        <f>IFERROR(__xludf.DUMMYFUNCTION("""COMPUTED_VALUE"""),1.20993E7)</f>
        <v>12099300</v>
      </c>
      <c r="G453" s="2">
        <f t="shared" si="1"/>
        <v>50</v>
      </c>
    </row>
    <row r="454" ht="15.75" customHeight="1">
      <c r="A454" s="1">
        <f>IFERROR(__xludf.DUMMYFUNCTION("""COMPUTED_VALUE"""),44510.625)</f>
        <v>44510.625</v>
      </c>
      <c r="B454" s="2">
        <f>IFERROR(__xludf.DUMMYFUNCTION("""COMPUTED_VALUE"""),3500.0)</f>
        <v>3500</v>
      </c>
      <c r="C454" s="2">
        <f>IFERROR(__xludf.DUMMYFUNCTION("""COMPUTED_VALUE"""),3537.5)</f>
        <v>3537.5</v>
      </c>
      <c r="D454" s="2">
        <f>IFERROR(__xludf.DUMMYFUNCTION("""COMPUTED_VALUE"""),3462.5)</f>
        <v>3462.5</v>
      </c>
      <c r="E454" s="2">
        <f>IFERROR(__xludf.DUMMYFUNCTION("""COMPUTED_VALUE"""),3537.5)</f>
        <v>3537.5</v>
      </c>
      <c r="F454" s="2">
        <f>IFERROR(__xludf.DUMMYFUNCTION("""COMPUTED_VALUE"""),1.27973E7)</f>
        <v>12797300</v>
      </c>
      <c r="G454" s="2">
        <f t="shared" si="1"/>
        <v>75</v>
      </c>
    </row>
    <row r="455" ht="15.75" customHeight="1">
      <c r="A455" s="1">
        <f>IFERROR(__xludf.DUMMYFUNCTION("""COMPUTED_VALUE"""),44511.625)</f>
        <v>44511.625</v>
      </c>
      <c r="B455" s="2">
        <f>IFERROR(__xludf.DUMMYFUNCTION("""COMPUTED_VALUE"""),3500.0)</f>
        <v>3500</v>
      </c>
      <c r="C455" s="2">
        <f>IFERROR(__xludf.DUMMYFUNCTION("""COMPUTED_VALUE"""),3562.5)</f>
        <v>3562.5</v>
      </c>
      <c r="D455" s="2">
        <f>IFERROR(__xludf.DUMMYFUNCTION("""COMPUTED_VALUE"""),3500.0)</f>
        <v>3500</v>
      </c>
      <c r="E455" s="2">
        <f>IFERROR(__xludf.DUMMYFUNCTION("""COMPUTED_VALUE"""),3512.5)</f>
        <v>3512.5</v>
      </c>
      <c r="F455" s="2">
        <f>IFERROR(__xludf.DUMMYFUNCTION("""COMPUTED_VALUE"""),1.57211E7)</f>
        <v>15721100</v>
      </c>
      <c r="G455" s="2">
        <f t="shared" si="1"/>
        <v>62.5</v>
      </c>
    </row>
    <row r="456" ht="15.75" customHeight="1">
      <c r="A456" s="1">
        <f>IFERROR(__xludf.DUMMYFUNCTION("""COMPUTED_VALUE"""),44512.625)</f>
        <v>44512.625</v>
      </c>
      <c r="B456" s="2">
        <f>IFERROR(__xludf.DUMMYFUNCTION("""COMPUTED_VALUE"""),3512.5)</f>
        <v>3512.5</v>
      </c>
      <c r="C456" s="2">
        <f>IFERROR(__xludf.DUMMYFUNCTION("""COMPUTED_VALUE"""),3525.0)</f>
        <v>3525</v>
      </c>
      <c r="D456" s="2">
        <f>IFERROR(__xludf.DUMMYFUNCTION("""COMPUTED_VALUE"""),3450.0)</f>
        <v>3450</v>
      </c>
      <c r="E456" s="2">
        <f>IFERROR(__xludf.DUMMYFUNCTION("""COMPUTED_VALUE"""),3450.0)</f>
        <v>3450</v>
      </c>
      <c r="F456" s="2">
        <f>IFERROR(__xludf.DUMMYFUNCTION("""COMPUTED_VALUE"""),2.34829E7)</f>
        <v>23482900</v>
      </c>
      <c r="G456" s="2">
        <f t="shared" si="1"/>
        <v>75</v>
      </c>
    </row>
    <row r="457" ht="15.75" customHeight="1">
      <c r="A457" s="1">
        <f>IFERROR(__xludf.DUMMYFUNCTION("""COMPUTED_VALUE"""),44515.625)</f>
        <v>44515.625</v>
      </c>
      <c r="B457" s="2">
        <f>IFERROR(__xludf.DUMMYFUNCTION("""COMPUTED_VALUE"""),3425.0)</f>
        <v>3425</v>
      </c>
      <c r="C457" s="2">
        <f>IFERROR(__xludf.DUMMYFUNCTION("""COMPUTED_VALUE"""),3462.5)</f>
        <v>3462.5</v>
      </c>
      <c r="D457" s="2">
        <f>IFERROR(__xludf.DUMMYFUNCTION("""COMPUTED_VALUE"""),3400.0)</f>
        <v>3400</v>
      </c>
      <c r="E457" s="2">
        <f>IFERROR(__xludf.DUMMYFUNCTION("""COMPUTED_VALUE"""),3400.0)</f>
        <v>3400</v>
      </c>
      <c r="F457" s="2">
        <f>IFERROR(__xludf.DUMMYFUNCTION("""COMPUTED_VALUE"""),2.48984E7)</f>
        <v>24898400</v>
      </c>
      <c r="G457" s="2">
        <f t="shared" si="1"/>
        <v>62.5</v>
      </c>
    </row>
    <row r="458" ht="15.75" customHeight="1">
      <c r="A458" s="1">
        <f>IFERROR(__xludf.DUMMYFUNCTION("""COMPUTED_VALUE"""),44516.625)</f>
        <v>44516.625</v>
      </c>
      <c r="B458" s="2">
        <f>IFERROR(__xludf.DUMMYFUNCTION("""COMPUTED_VALUE"""),3400.0)</f>
        <v>3400</v>
      </c>
      <c r="C458" s="2">
        <f>IFERROR(__xludf.DUMMYFUNCTION("""COMPUTED_VALUE"""),3475.0)</f>
        <v>3475</v>
      </c>
      <c r="D458" s="2">
        <f>IFERROR(__xludf.DUMMYFUNCTION("""COMPUTED_VALUE"""),3375.0)</f>
        <v>3375</v>
      </c>
      <c r="E458" s="2">
        <f>IFERROR(__xludf.DUMMYFUNCTION("""COMPUTED_VALUE"""),3437.5)</f>
        <v>3437.5</v>
      </c>
      <c r="F458" s="2">
        <f>IFERROR(__xludf.DUMMYFUNCTION("""COMPUTED_VALUE"""),1.92474E7)</f>
        <v>19247400</v>
      </c>
      <c r="G458" s="2">
        <f t="shared" si="1"/>
        <v>100</v>
      </c>
    </row>
    <row r="459" ht="15.75" customHeight="1">
      <c r="A459" s="1">
        <f>IFERROR(__xludf.DUMMYFUNCTION("""COMPUTED_VALUE"""),44517.625)</f>
        <v>44517.625</v>
      </c>
      <c r="B459" s="2">
        <f>IFERROR(__xludf.DUMMYFUNCTION("""COMPUTED_VALUE"""),3475.0)</f>
        <v>3475</v>
      </c>
      <c r="C459" s="2">
        <f>IFERROR(__xludf.DUMMYFUNCTION("""COMPUTED_VALUE"""),3500.0)</f>
        <v>3500</v>
      </c>
      <c r="D459" s="2">
        <f>IFERROR(__xludf.DUMMYFUNCTION("""COMPUTED_VALUE"""),3450.0)</f>
        <v>3450</v>
      </c>
      <c r="E459" s="2">
        <f>IFERROR(__xludf.DUMMYFUNCTION("""COMPUTED_VALUE"""),3500.0)</f>
        <v>3500</v>
      </c>
      <c r="F459" s="2">
        <f>IFERROR(__xludf.DUMMYFUNCTION("""COMPUTED_VALUE"""),2.03369E7)</f>
        <v>20336900</v>
      </c>
      <c r="G459" s="2">
        <f t="shared" si="1"/>
        <v>62.5</v>
      </c>
    </row>
    <row r="460" ht="15.75" customHeight="1">
      <c r="A460" s="1">
        <f>IFERROR(__xludf.DUMMYFUNCTION("""COMPUTED_VALUE"""),44518.625)</f>
        <v>44518.625</v>
      </c>
      <c r="B460" s="2">
        <f>IFERROR(__xludf.DUMMYFUNCTION("""COMPUTED_VALUE"""),3500.0)</f>
        <v>3500</v>
      </c>
      <c r="C460" s="2">
        <f>IFERROR(__xludf.DUMMYFUNCTION("""COMPUTED_VALUE"""),3500.0)</f>
        <v>3500</v>
      </c>
      <c r="D460" s="2">
        <f>IFERROR(__xludf.DUMMYFUNCTION("""COMPUTED_VALUE"""),3450.0)</f>
        <v>3450</v>
      </c>
      <c r="E460" s="2">
        <f>IFERROR(__xludf.DUMMYFUNCTION("""COMPUTED_VALUE"""),3462.5)</f>
        <v>3462.5</v>
      </c>
      <c r="F460" s="2">
        <f>IFERROR(__xludf.DUMMYFUNCTION("""COMPUTED_VALUE"""),1.08183E7)</f>
        <v>10818300</v>
      </c>
      <c r="G460" s="2">
        <f t="shared" si="1"/>
        <v>50</v>
      </c>
    </row>
    <row r="461" ht="15.75" customHeight="1">
      <c r="A461" s="1">
        <f>IFERROR(__xludf.DUMMYFUNCTION("""COMPUTED_VALUE"""),44519.625)</f>
        <v>44519.625</v>
      </c>
      <c r="B461" s="2">
        <f>IFERROR(__xludf.DUMMYFUNCTION("""COMPUTED_VALUE"""),3475.0)</f>
        <v>3475</v>
      </c>
      <c r="C461" s="2">
        <f>IFERROR(__xludf.DUMMYFUNCTION("""COMPUTED_VALUE"""),3525.0)</f>
        <v>3525</v>
      </c>
      <c r="D461" s="2">
        <f>IFERROR(__xludf.DUMMYFUNCTION("""COMPUTED_VALUE"""),3462.5)</f>
        <v>3462.5</v>
      </c>
      <c r="E461" s="2">
        <f>IFERROR(__xludf.DUMMYFUNCTION("""COMPUTED_VALUE"""),3512.5)</f>
        <v>3512.5</v>
      </c>
      <c r="F461" s="2">
        <f>IFERROR(__xludf.DUMMYFUNCTION("""COMPUTED_VALUE"""),2.39866E7)</f>
        <v>23986600</v>
      </c>
      <c r="G461" s="2">
        <f t="shared" si="1"/>
        <v>62.5</v>
      </c>
    </row>
    <row r="462" ht="15.75" customHeight="1">
      <c r="A462" s="1">
        <f>IFERROR(__xludf.DUMMYFUNCTION("""COMPUTED_VALUE"""),44522.625)</f>
        <v>44522.625</v>
      </c>
      <c r="B462" s="2">
        <f>IFERROR(__xludf.DUMMYFUNCTION("""COMPUTED_VALUE"""),3512.5)</f>
        <v>3512.5</v>
      </c>
      <c r="C462" s="2">
        <f>IFERROR(__xludf.DUMMYFUNCTION("""COMPUTED_VALUE"""),3600.0)</f>
        <v>3600</v>
      </c>
      <c r="D462" s="2">
        <f>IFERROR(__xludf.DUMMYFUNCTION("""COMPUTED_VALUE"""),3500.0)</f>
        <v>3500</v>
      </c>
      <c r="E462" s="2">
        <f>IFERROR(__xludf.DUMMYFUNCTION("""COMPUTED_VALUE"""),3587.5)</f>
        <v>3587.5</v>
      </c>
      <c r="F462" s="2">
        <f>IFERROR(__xludf.DUMMYFUNCTION("""COMPUTED_VALUE"""),5.2612E7)</f>
        <v>52612000</v>
      </c>
      <c r="G462" s="2">
        <f t="shared" si="1"/>
        <v>100</v>
      </c>
    </row>
    <row r="463" ht="15.75" customHeight="1">
      <c r="A463" s="1">
        <f>IFERROR(__xludf.DUMMYFUNCTION("""COMPUTED_VALUE"""),44523.625)</f>
        <v>44523.625</v>
      </c>
      <c r="B463" s="2">
        <f>IFERROR(__xludf.DUMMYFUNCTION("""COMPUTED_VALUE"""),3587.5)</f>
        <v>3587.5</v>
      </c>
      <c r="C463" s="2">
        <f>IFERROR(__xludf.DUMMYFUNCTION("""COMPUTED_VALUE"""),3600.0)</f>
        <v>3600</v>
      </c>
      <c r="D463" s="2">
        <f>IFERROR(__xludf.DUMMYFUNCTION("""COMPUTED_VALUE"""),3500.0)</f>
        <v>3500</v>
      </c>
      <c r="E463" s="2">
        <f>IFERROR(__xludf.DUMMYFUNCTION("""COMPUTED_VALUE"""),3500.0)</f>
        <v>3500</v>
      </c>
      <c r="F463" s="2">
        <f>IFERROR(__xludf.DUMMYFUNCTION("""COMPUTED_VALUE"""),3.21277E7)</f>
        <v>32127700</v>
      </c>
      <c r="G463" s="2">
        <f t="shared" si="1"/>
        <v>100</v>
      </c>
    </row>
    <row r="464" ht="15.75" customHeight="1">
      <c r="A464" s="1">
        <f>IFERROR(__xludf.DUMMYFUNCTION("""COMPUTED_VALUE"""),44524.625)</f>
        <v>44524.625</v>
      </c>
      <c r="B464" s="2">
        <f>IFERROR(__xludf.DUMMYFUNCTION("""COMPUTED_VALUE"""),3537.5)</f>
        <v>3537.5</v>
      </c>
      <c r="C464" s="2">
        <f>IFERROR(__xludf.DUMMYFUNCTION("""COMPUTED_VALUE"""),3562.5)</f>
        <v>3562.5</v>
      </c>
      <c r="D464" s="2">
        <f>IFERROR(__xludf.DUMMYFUNCTION("""COMPUTED_VALUE"""),3512.5)</f>
        <v>3512.5</v>
      </c>
      <c r="E464" s="2">
        <f>IFERROR(__xludf.DUMMYFUNCTION("""COMPUTED_VALUE"""),3537.5)</f>
        <v>3537.5</v>
      </c>
      <c r="F464" s="2">
        <f>IFERROR(__xludf.DUMMYFUNCTION("""COMPUTED_VALUE"""),1.99281E7)</f>
        <v>19928100</v>
      </c>
      <c r="G464" s="2">
        <f t="shared" si="1"/>
        <v>62.5</v>
      </c>
    </row>
    <row r="465" ht="15.75" customHeight="1">
      <c r="A465" s="1">
        <f>IFERROR(__xludf.DUMMYFUNCTION("""COMPUTED_VALUE"""),44525.625)</f>
        <v>44525.625</v>
      </c>
      <c r="B465" s="2">
        <f>IFERROR(__xludf.DUMMYFUNCTION("""COMPUTED_VALUE"""),3537.5)</f>
        <v>3537.5</v>
      </c>
      <c r="C465" s="2">
        <f>IFERROR(__xludf.DUMMYFUNCTION("""COMPUTED_VALUE"""),3637.5)</f>
        <v>3637.5</v>
      </c>
      <c r="D465" s="2">
        <f>IFERROR(__xludf.DUMMYFUNCTION("""COMPUTED_VALUE"""),3525.0)</f>
        <v>3525</v>
      </c>
      <c r="E465" s="2">
        <f>IFERROR(__xludf.DUMMYFUNCTION("""COMPUTED_VALUE"""),3587.5)</f>
        <v>3587.5</v>
      </c>
      <c r="F465" s="2">
        <f>IFERROR(__xludf.DUMMYFUNCTION("""COMPUTED_VALUE"""),4.73905E7)</f>
        <v>47390500</v>
      </c>
      <c r="G465" s="2">
        <f t="shared" si="1"/>
        <v>112.5</v>
      </c>
    </row>
    <row r="466" ht="15.75" customHeight="1">
      <c r="A466" s="1">
        <f>IFERROR(__xludf.DUMMYFUNCTION("""COMPUTED_VALUE"""),44526.625)</f>
        <v>44526.625</v>
      </c>
      <c r="B466" s="2">
        <f>IFERROR(__xludf.DUMMYFUNCTION("""COMPUTED_VALUE"""),3562.5)</f>
        <v>3562.5</v>
      </c>
      <c r="C466" s="2">
        <f>IFERROR(__xludf.DUMMYFUNCTION("""COMPUTED_VALUE"""),3562.5)</f>
        <v>3562.5</v>
      </c>
      <c r="D466" s="2">
        <f>IFERROR(__xludf.DUMMYFUNCTION("""COMPUTED_VALUE"""),3425.0)</f>
        <v>3425</v>
      </c>
      <c r="E466" s="2">
        <f>IFERROR(__xludf.DUMMYFUNCTION("""COMPUTED_VALUE"""),3437.5)</f>
        <v>3437.5</v>
      </c>
      <c r="F466" s="2">
        <f>IFERROR(__xludf.DUMMYFUNCTION("""COMPUTED_VALUE"""),6.82095E7)</f>
        <v>68209500</v>
      </c>
      <c r="G466" s="2">
        <f t="shared" si="1"/>
        <v>162.5</v>
      </c>
    </row>
    <row r="467" ht="15.75" customHeight="1">
      <c r="A467" s="1">
        <f>IFERROR(__xludf.DUMMYFUNCTION("""COMPUTED_VALUE"""),44529.625)</f>
        <v>44529.625</v>
      </c>
      <c r="B467" s="2">
        <f>IFERROR(__xludf.DUMMYFUNCTION("""COMPUTED_VALUE"""),3437.5)</f>
        <v>3437.5</v>
      </c>
      <c r="C467" s="2">
        <f>IFERROR(__xludf.DUMMYFUNCTION("""COMPUTED_VALUE"""),3512.5)</f>
        <v>3512.5</v>
      </c>
      <c r="D467" s="2">
        <f>IFERROR(__xludf.DUMMYFUNCTION("""COMPUTED_VALUE"""),3375.0)</f>
        <v>3375</v>
      </c>
      <c r="E467" s="2">
        <f>IFERROR(__xludf.DUMMYFUNCTION("""COMPUTED_VALUE"""),3475.0)</f>
        <v>3475</v>
      </c>
      <c r="F467" s="2">
        <f>IFERROR(__xludf.DUMMYFUNCTION("""COMPUTED_VALUE"""),5.5091E7)</f>
        <v>55091000</v>
      </c>
      <c r="G467" s="2">
        <f t="shared" si="1"/>
        <v>137.5</v>
      </c>
    </row>
    <row r="468" ht="15.75" customHeight="1">
      <c r="A468" s="1">
        <f>IFERROR(__xludf.DUMMYFUNCTION("""COMPUTED_VALUE"""),44530.625)</f>
        <v>44530.625</v>
      </c>
      <c r="B468" s="2">
        <f>IFERROR(__xludf.DUMMYFUNCTION("""COMPUTED_VALUE"""),3500.0)</f>
        <v>3500</v>
      </c>
      <c r="C468" s="2">
        <f>IFERROR(__xludf.DUMMYFUNCTION("""COMPUTED_VALUE"""),3500.0)</f>
        <v>3500</v>
      </c>
      <c r="D468" s="2">
        <f>IFERROR(__xludf.DUMMYFUNCTION("""COMPUTED_VALUE"""),3400.0)</f>
        <v>3400</v>
      </c>
      <c r="E468" s="2">
        <f>IFERROR(__xludf.DUMMYFUNCTION("""COMPUTED_VALUE"""),3400.0)</f>
        <v>3400</v>
      </c>
      <c r="F468" s="2">
        <f>IFERROR(__xludf.DUMMYFUNCTION("""COMPUTED_VALUE"""),5.15374E7)</f>
        <v>51537400</v>
      </c>
      <c r="G468" s="2">
        <f t="shared" si="1"/>
        <v>100</v>
      </c>
    </row>
    <row r="469" ht="15.75" customHeight="1">
      <c r="A469" s="1">
        <f>IFERROR(__xludf.DUMMYFUNCTION("""COMPUTED_VALUE"""),44531.66666666667)</f>
        <v>44531.66667</v>
      </c>
      <c r="B469" s="2">
        <f>IFERROR(__xludf.DUMMYFUNCTION("""COMPUTED_VALUE"""),3400.0)</f>
        <v>3400</v>
      </c>
      <c r="C469" s="2">
        <f>IFERROR(__xludf.DUMMYFUNCTION("""COMPUTED_VALUE"""),3450.0)</f>
        <v>3450</v>
      </c>
      <c r="D469" s="2">
        <f>IFERROR(__xludf.DUMMYFUNCTION("""COMPUTED_VALUE"""),3300.0)</f>
        <v>3300</v>
      </c>
      <c r="E469" s="2">
        <f>IFERROR(__xludf.DUMMYFUNCTION("""COMPUTED_VALUE"""),3325.0)</f>
        <v>3325</v>
      </c>
      <c r="F469" s="2">
        <f>IFERROR(__xludf.DUMMYFUNCTION("""COMPUTED_VALUE"""),5.12628E7)</f>
        <v>51262800</v>
      </c>
      <c r="G469" s="2">
        <f t="shared" si="1"/>
        <v>150</v>
      </c>
    </row>
    <row r="470" ht="15.75" customHeight="1">
      <c r="A470" s="1">
        <f>IFERROR(__xludf.DUMMYFUNCTION("""COMPUTED_VALUE"""),44532.66666666667)</f>
        <v>44532.66667</v>
      </c>
      <c r="B470" s="2">
        <f>IFERROR(__xludf.DUMMYFUNCTION("""COMPUTED_VALUE"""),3325.0)</f>
        <v>3325</v>
      </c>
      <c r="C470" s="2">
        <f>IFERROR(__xludf.DUMMYFUNCTION("""COMPUTED_VALUE"""),3437.5)</f>
        <v>3437.5</v>
      </c>
      <c r="D470" s="2">
        <f>IFERROR(__xludf.DUMMYFUNCTION("""COMPUTED_VALUE"""),3275.0)</f>
        <v>3275</v>
      </c>
      <c r="E470" s="2">
        <f>IFERROR(__xludf.DUMMYFUNCTION("""COMPUTED_VALUE"""),3412.5)</f>
        <v>3412.5</v>
      </c>
      <c r="F470" s="2">
        <f>IFERROR(__xludf.DUMMYFUNCTION("""COMPUTED_VALUE"""),4.02526E7)</f>
        <v>40252600</v>
      </c>
      <c r="G470" s="2">
        <f t="shared" si="1"/>
        <v>162.5</v>
      </c>
    </row>
    <row r="471" ht="15.75" customHeight="1">
      <c r="A471" s="1">
        <f>IFERROR(__xludf.DUMMYFUNCTION("""COMPUTED_VALUE"""),44533.66666666667)</f>
        <v>44533.66667</v>
      </c>
      <c r="B471" s="2">
        <f>IFERROR(__xludf.DUMMYFUNCTION("""COMPUTED_VALUE"""),3425.0)</f>
        <v>3425</v>
      </c>
      <c r="C471" s="2">
        <f>IFERROR(__xludf.DUMMYFUNCTION("""COMPUTED_VALUE"""),3437.5)</f>
        <v>3437.5</v>
      </c>
      <c r="D471" s="2">
        <f>IFERROR(__xludf.DUMMYFUNCTION("""COMPUTED_VALUE"""),3362.5)</f>
        <v>3362.5</v>
      </c>
      <c r="E471" s="2">
        <f>IFERROR(__xludf.DUMMYFUNCTION("""COMPUTED_VALUE"""),3362.5)</f>
        <v>3362.5</v>
      </c>
      <c r="F471" s="2">
        <f>IFERROR(__xludf.DUMMYFUNCTION("""COMPUTED_VALUE"""),1.26209E7)</f>
        <v>12620900</v>
      </c>
      <c r="G471" s="2">
        <f t="shared" si="1"/>
        <v>75</v>
      </c>
    </row>
    <row r="472" ht="15.75" customHeight="1">
      <c r="A472" s="1">
        <f>IFERROR(__xludf.DUMMYFUNCTION("""COMPUTED_VALUE"""),44536.66666666667)</f>
        <v>44536.66667</v>
      </c>
      <c r="B472" s="2">
        <f>IFERROR(__xludf.DUMMYFUNCTION("""COMPUTED_VALUE"""),3362.5)</f>
        <v>3362.5</v>
      </c>
      <c r="C472" s="2">
        <f>IFERROR(__xludf.DUMMYFUNCTION("""COMPUTED_VALUE"""),3462.5)</f>
        <v>3462.5</v>
      </c>
      <c r="D472" s="2">
        <f>IFERROR(__xludf.DUMMYFUNCTION("""COMPUTED_VALUE"""),3362.5)</f>
        <v>3362.5</v>
      </c>
      <c r="E472" s="2">
        <f>IFERROR(__xludf.DUMMYFUNCTION("""COMPUTED_VALUE"""),3425.0)</f>
        <v>3425</v>
      </c>
      <c r="F472" s="2">
        <f>IFERROR(__xludf.DUMMYFUNCTION("""COMPUTED_VALUE"""),2.67938E7)</f>
        <v>26793800</v>
      </c>
      <c r="G472" s="2">
        <f t="shared" si="1"/>
        <v>100</v>
      </c>
    </row>
    <row r="473" ht="15.75" customHeight="1">
      <c r="A473" s="1">
        <f>IFERROR(__xludf.DUMMYFUNCTION("""COMPUTED_VALUE"""),44537.66666666667)</f>
        <v>44537.66667</v>
      </c>
      <c r="B473" s="2">
        <f>IFERROR(__xludf.DUMMYFUNCTION("""COMPUTED_VALUE"""),3450.0)</f>
        <v>3450</v>
      </c>
      <c r="C473" s="2">
        <f>IFERROR(__xludf.DUMMYFUNCTION("""COMPUTED_VALUE"""),3525.0)</f>
        <v>3525</v>
      </c>
      <c r="D473" s="2">
        <f>IFERROR(__xludf.DUMMYFUNCTION("""COMPUTED_VALUE"""),3425.0)</f>
        <v>3425</v>
      </c>
      <c r="E473" s="2">
        <f>IFERROR(__xludf.DUMMYFUNCTION("""COMPUTED_VALUE"""),3525.0)</f>
        <v>3525</v>
      </c>
      <c r="F473" s="2">
        <f>IFERROR(__xludf.DUMMYFUNCTION("""COMPUTED_VALUE"""),2.63523E7)</f>
        <v>26352300</v>
      </c>
      <c r="G473" s="2">
        <f t="shared" si="1"/>
        <v>100</v>
      </c>
    </row>
    <row r="474" ht="15.75" customHeight="1">
      <c r="A474" s="1">
        <f>IFERROR(__xludf.DUMMYFUNCTION("""COMPUTED_VALUE"""),44538.66666666667)</f>
        <v>44538.66667</v>
      </c>
      <c r="B474" s="2">
        <f>IFERROR(__xludf.DUMMYFUNCTION("""COMPUTED_VALUE"""),3525.0)</f>
        <v>3525</v>
      </c>
      <c r="C474" s="2">
        <f>IFERROR(__xludf.DUMMYFUNCTION("""COMPUTED_VALUE"""),3537.5)</f>
        <v>3537.5</v>
      </c>
      <c r="D474" s="2">
        <f>IFERROR(__xludf.DUMMYFUNCTION("""COMPUTED_VALUE"""),3425.0)</f>
        <v>3425</v>
      </c>
      <c r="E474" s="2">
        <f>IFERROR(__xludf.DUMMYFUNCTION("""COMPUTED_VALUE"""),3425.0)</f>
        <v>3425</v>
      </c>
      <c r="F474" s="2">
        <f>IFERROR(__xludf.DUMMYFUNCTION("""COMPUTED_VALUE"""),3.46318E7)</f>
        <v>34631800</v>
      </c>
      <c r="G474" s="2">
        <f t="shared" si="1"/>
        <v>112.5</v>
      </c>
    </row>
    <row r="475" ht="15.75" customHeight="1">
      <c r="A475" s="1">
        <f>IFERROR(__xludf.DUMMYFUNCTION("""COMPUTED_VALUE"""),44539.66666666667)</f>
        <v>44539.66667</v>
      </c>
      <c r="B475" s="2">
        <f>IFERROR(__xludf.DUMMYFUNCTION("""COMPUTED_VALUE"""),3450.0)</f>
        <v>3450</v>
      </c>
      <c r="C475" s="2">
        <f>IFERROR(__xludf.DUMMYFUNCTION("""COMPUTED_VALUE"""),3450.0)</f>
        <v>3450</v>
      </c>
      <c r="D475" s="2">
        <f>IFERROR(__xludf.DUMMYFUNCTION("""COMPUTED_VALUE"""),3400.0)</f>
        <v>3400</v>
      </c>
      <c r="E475" s="2">
        <f>IFERROR(__xludf.DUMMYFUNCTION("""COMPUTED_VALUE"""),3412.5)</f>
        <v>3412.5</v>
      </c>
      <c r="F475" s="2">
        <f>IFERROR(__xludf.DUMMYFUNCTION("""COMPUTED_VALUE"""),1.1498E7)</f>
        <v>11498000</v>
      </c>
      <c r="G475" s="2">
        <f t="shared" si="1"/>
        <v>50</v>
      </c>
    </row>
    <row r="476" ht="15.75" customHeight="1">
      <c r="A476" s="1">
        <f>IFERROR(__xludf.DUMMYFUNCTION("""COMPUTED_VALUE"""),44540.66666666667)</f>
        <v>44540.66667</v>
      </c>
      <c r="B476" s="2">
        <f>IFERROR(__xludf.DUMMYFUNCTION("""COMPUTED_VALUE"""),3400.0)</f>
        <v>3400</v>
      </c>
      <c r="C476" s="2">
        <f>IFERROR(__xludf.DUMMYFUNCTION("""COMPUTED_VALUE"""),3425.0)</f>
        <v>3425</v>
      </c>
      <c r="D476" s="2">
        <f>IFERROR(__xludf.DUMMYFUNCTION("""COMPUTED_VALUE"""),3375.0)</f>
        <v>3375</v>
      </c>
      <c r="E476" s="2">
        <f>IFERROR(__xludf.DUMMYFUNCTION("""COMPUTED_VALUE"""),3387.5)</f>
        <v>3387.5</v>
      </c>
      <c r="F476" s="2">
        <f>IFERROR(__xludf.DUMMYFUNCTION("""COMPUTED_VALUE"""),2.23961E7)</f>
        <v>22396100</v>
      </c>
      <c r="G476" s="2">
        <f t="shared" si="1"/>
        <v>50</v>
      </c>
    </row>
    <row r="477" ht="15.75" customHeight="1">
      <c r="A477" s="1">
        <f>IFERROR(__xludf.DUMMYFUNCTION("""COMPUTED_VALUE"""),44543.66666666667)</f>
        <v>44543.66667</v>
      </c>
      <c r="B477" s="2">
        <f>IFERROR(__xludf.DUMMYFUNCTION("""COMPUTED_VALUE"""),3425.0)</f>
        <v>3425</v>
      </c>
      <c r="C477" s="2">
        <f>IFERROR(__xludf.DUMMYFUNCTION("""COMPUTED_VALUE"""),3475.0)</f>
        <v>3475</v>
      </c>
      <c r="D477" s="2">
        <f>IFERROR(__xludf.DUMMYFUNCTION("""COMPUTED_VALUE"""),3400.0)</f>
        <v>3400</v>
      </c>
      <c r="E477" s="2">
        <f>IFERROR(__xludf.DUMMYFUNCTION("""COMPUTED_VALUE"""),3425.0)</f>
        <v>3425</v>
      </c>
      <c r="F477" s="2">
        <f>IFERROR(__xludf.DUMMYFUNCTION("""COMPUTED_VALUE"""),2.21092E7)</f>
        <v>22109200</v>
      </c>
      <c r="G477" s="2">
        <f t="shared" si="1"/>
        <v>87.5</v>
      </c>
    </row>
    <row r="478" ht="15.75" customHeight="1">
      <c r="A478" s="1">
        <f>IFERROR(__xludf.DUMMYFUNCTION("""COMPUTED_VALUE"""),44544.66666666667)</f>
        <v>44544.66667</v>
      </c>
      <c r="B478" s="2">
        <f>IFERROR(__xludf.DUMMYFUNCTION("""COMPUTED_VALUE"""),3425.0)</f>
        <v>3425</v>
      </c>
      <c r="C478" s="2">
        <f>IFERROR(__xludf.DUMMYFUNCTION("""COMPUTED_VALUE"""),3450.0)</f>
        <v>3450</v>
      </c>
      <c r="D478" s="2">
        <f>IFERROR(__xludf.DUMMYFUNCTION("""COMPUTED_VALUE"""),3387.5)</f>
        <v>3387.5</v>
      </c>
      <c r="E478" s="2">
        <f>IFERROR(__xludf.DUMMYFUNCTION("""COMPUTED_VALUE"""),3437.5)</f>
        <v>3437.5</v>
      </c>
      <c r="F478" s="2">
        <f>IFERROR(__xludf.DUMMYFUNCTION("""COMPUTED_VALUE"""),1.41046E7)</f>
        <v>14104600</v>
      </c>
      <c r="G478" s="2">
        <f t="shared" si="1"/>
        <v>62.5</v>
      </c>
    </row>
    <row r="479" ht="15.75" customHeight="1">
      <c r="A479" s="1">
        <f>IFERROR(__xludf.DUMMYFUNCTION("""COMPUTED_VALUE"""),44545.66666666667)</f>
        <v>44545.66667</v>
      </c>
      <c r="B479" s="2">
        <f>IFERROR(__xludf.DUMMYFUNCTION("""COMPUTED_VALUE"""),3425.0)</f>
        <v>3425</v>
      </c>
      <c r="C479" s="2">
        <f>IFERROR(__xludf.DUMMYFUNCTION("""COMPUTED_VALUE"""),3487.5)</f>
        <v>3487.5</v>
      </c>
      <c r="D479" s="2">
        <f>IFERROR(__xludf.DUMMYFUNCTION("""COMPUTED_VALUE"""),3412.5)</f>
        <v>3412.5</v>
      </c>
      <c r="E479" s="2">
        <f>IFERROR(__xludf.DUMMYFUNCTION("""COMPUTED_VALUE"""),3437.5)</f>
        <v>3437.5</v>
      </c>
      <c r="F479" s="2">
        <f>IFERROR(__xludf.DUMMYFUNCTION("""COMPUTED_VALUE"""),1.95282E7)</f>
        <v>19528200</v>
      </c>
      <c r="G479" s="2">
        <f t="shared" si="1"/>
        <v>75</v>
      </c>
    </row>
    <row r="480" ht="15.75" customHeight="1">
      <c r="A480" s="1">
        <f>IFERROR(__xludf.DUMMYFUNCTION("""COMPUTED_VALUE"""),44546.66666666667)</f>
        <v>44546.66667</v>
      </c>
      <c r="B480" s="2">
        <f>IFERROR(__xludf.DUMMYFUNCTION("""COMPUTED_VALUE"""),3462.5)</f>
        <v>3462.5</v>
      </c>
      <c r="C480" s="2">
        <f>IFERROR(__xludf.DUMMYFUNCTION("""COMPUTED_VALUE"""),3475.0)</f>
        <v>3475</v>
      </c>
      <c r="D480" s="2">
        <f>IFERROR(__xludf.DUMMYFUNCTION("""COMPUTED_VALUE"""),3375.0)</f>
        <v>3375</v>
      </c>
      <c r="E480" s="2">
        <f>IFERROR(__xludf.DUMMYFUNCTION("""COMPUTED_VALUE"""),3375.0)</f>
        <v>3375</v>
      </c>
      <c r="F480" s="2">
        <f>IFERROR(__xludf.DUMMYFUNCTION("""COMPUTED_VALUE"""),2.21561E7)</f>
        <v>22156100</v>
      </c>
      <c r="G480" s="2">
        <f t="shared" si="1"/>
        <v>100</v>
      </c>
    </row>
    <row r="481" ht="15.75" customHeight="1">
      <c r="A481" s="1">
        <f>IFERROR(__xludf.DUMMYFUNCTION("""COMPUTED_VALUE"""),44547.66666666667)</f>
        <v>44547.66667</v>
      </c>
      <c r="B481" s="2">
        <f>IFERROR(__xludf.DUMMYFUNCTION("""COMPUTED_VALUE"""),3375.0)</f>
        <v>3375</v>
      </c>
      <c r="C481" s="2">
        <f>IFERROR(__xludf.DUMMYFUNCTION("""COMPUTED_VALUE"""),3425.0)</f>
        <v>3425</v>
      </c>
      <c r="D481" s="2">
        <f>IFERROR(__xludf.DUMMYFUNCTION("""COMPUTED_VALUE"""),3362.5)</f>
        <v>3362.5</v>
      </c>
      <c r="E481" s="2">
        <f>IFERROR(__xludf.DUMMYFUNCTION("""COMPUTED_VALUE"""),3375.0)</f>
        <v>3375</v>
      </c>
      <c r="F481" s="2">
        <f>IFERROR(__xludf.DUMMYFUNCTION("""COMPUTED_VALUE"""),2.33088E7)</f>
        <v>23308800</v>
      </c>
      <c r="G481" s="2">
        <f t="shared" si="1"/>
        <v>62.5</v>
      </c>
    </row>
    <row r="482" ht="15.75" customHeight="1">
      <c r="A482" s="1">
        <f>IFERROR(__xludf.DUMMYFUNCTION("""COMPUTED_VALUE"""),44550.66666666667)</f>
        <v>44550.66667</v>
      </c>
      <c r="B482" s="2">
        <f>IFERROR(__xludf.DUMMYFUNCTION("""COMPUTED_VALUE"""),3375.0)</f>
        <v>3375</v>
      </c>
      <c r="C482" s="2">
        <f>IFERROR(__xludf.DUMMYFUNCTION("""COMPUTED_VALUE"""),3387.5)</f>
        <v>3387.5</v>
      </c>
      <c r="D482" s="2">
        <f>IFERROR(__xludf.DUMMYFUNCTION("""COMPUTED_VALUE"""),3325.0)</f>
        <v>3325</v>
      </c>
      <c r="E482" s="2">
        <f>IFERROR(__xludf.DUMMYFUNCTION("""COMPUTED_VALUE"""),3362.5)</f>
        <v>3362.5</v>
      </c>
      <c r="F482" s="2">
        <f>IFERROR(__xludf.DUMMYFUNCTION("""COMPUTED_VALUE"""),2.11824E7)</f>
        <v>21182400</v>
      </c>
      <c r="G482" s="2">
        <f t="shared" si="1"/>
        <v>62.5</v>
      </c>
    </row>
    <row r="483" ht="15.75" customHeight="1">
      <c r="A483" s="1">
        <f>IFERROR(__xludf.DUMMYFUNCTION("""COMPUTED_VALUE"""),44551.66666666667)</f>
        <v>44551.66667</v>
      </c>
      <c r="B483" s="2">
        <f>IFERROR(__xludf.DUMMYFUNCTION("""COMPUTED_VALUE"""),3362.5)</f>
        <v>3362.5</v>
      </c>
      <c r="C483" s="2">
        <f>IFERROR(__xludf.DUMMYFUNCTION("""COMPUTED_VALUE"""),3400.0)</f>
        <v>3400</v>
      </c>
      <c r="D483" s="2">
        <f>IFERROR(__xludf.DUMMYFUNCTION("""COMPUTED_VALUE"""),3337.5)</f>
        <v>3337.5</v>
      </c>
      <c r="E483" s="2">
        <f>IFERROR(__xludf.DUMMYFUNCTION("""COMPUTED_VALUE"""),3350.0)</f>
        <v>3350</v>
      </c>
      <c r="F483" s="2">
        <f>IFERROR(__xludf.DUMMYFUNCTION("""COMPUTED_VALUE"""),1.38818E7)</f>
        <v>13881800</v>
      </c>
      <c r="G483" s="2">
        <f t="shared" si="1"/>
        <v>62.5</v>
      </c>
    </row>
    <row r="484" ht="15.75" customHeight="1">
      <c r="A484" s="1">
        <f>IFERROR(__xludf.DUMMYFUNCTION("""COMPUTED_VALUE"""),44552.66666666667)</f>
        <v>44552.66667</v>
      </c>
      <c r="B484" s="2">
        <f>IFERROR(__xludf.DUMMYFUNCTION("""COMPUTED_VALUE"""),3375.0)</f>
        <v>3375</v>
      </c>
      <c r="C484" s="2">
        <f>IFERROR(__xludf.DUMMYFUNCTION("""COMPUTED_VALUE"""),3387.5)</f>
        <v>3387.5</v>
      </c>
      <c r="D484" s="2">
        <f>IFERROR(__xludf.DUMMYFUNCTION("""COMPUTED_VALUE"""),3300.0)</f>
        <v>3300</v>
      </c>
      <c r="E484" s="2">
        <f>IFERROR(__xludf.DUMMYFUNCTION("""COMPUTED_VALUE"""),3312.5)</f>
        <v>3312.5</v>
      </c>
      <c r="F484" s="2">
        <f>IFERROR(__xludf.DUMMYFUNCTION("""COMPUTED_VALUE"""),1.83866E7)</f>
        <v>18386600</v>
      </c>
      <c r="G484" s="2">
        <f t="shared" si="1"/>
        <v>87.5</v>
      </c>
    </row>
    <row r="485" ht="15.75" customHeight="1">
      <c r="A485" s="1">
        <f>IFERROR(__xludf.DUMMYFUNCTION("""COMPUTED_VALUE"""),44553.66666666667)</f>
        <v>44553.66667</v>
      </c>
      <c r="B485" s="2">
        <f>IFERROR(__xludf.DUMMYFUNCTION("""COMPUTED_VALUE"""),3312.5)</f>
        <v>3312.5</v>
      </c>
      <c r="C485" s="2">
        <f>IFERROR(__xludf.DUMMYFUNCTION("""COMPUTED_VALUE"""),3337.5)</f>
        <v>3337.5</v>
      </c>
      <c r="D485" s="2">
        <f>IFERROR(__xludf.DUMMYFUNCTION("""COMPUTED_VALUE"""),3312.5)</f>
        <v>3312.5</v>
      </c>
      <c r="E485" s="2">
        <f>IFERROR(__xludf.DUMMYFUNCTION("""COMPUTED_VALUE"""),3325.0)</f>
        <v>3325</v>
      </c>
      <c r="F485" s="2">
        <f>IFERROR(__xludf.DUMMYFUNCTION("""COMPUTED_VALUE"""),1.04326E7)</f>
        <v>10432600</v>
      </c>
      <c r="G485" s="2">
        <f t="shared" si="1"/>
        <v>25</v>
      </c>
    </row>
    <row r="486" ht="15.75" customHeight="1">
      <c r="A486" s="1">
        <f>IFERROR(__xludf.DUMMYFUNCTION("""COMPUTED_VALUE"""),44554.66666666667)</f>
        <v>44554.66667</v>
      </c>
      <c r="B486" s="2">
        <f>IFERROR(__xludf.DUMMYFUNCTION("""COMPUTED_VALUE"""),3325.0)</f>
        <v>3325</v>
      </c>
      <c r="C486" s="2">
        <f>IFERROR(__xludf.DUMMYFUNCTION("""COMPUTED_VALUE"""),3362.5)</f>
        <v>3362.5</v>
      </c>
      <c r="D486" s="2">
        <f>IFERROR(__xludf.DUMMYFUNCTION("""COMPUTED_VALUE"""),3287.5)</f>
        <v>3287.5</v>
      </c>
      <c r="E486" s="2">
        <f>IFERROR(__xludf.DUMMYFUNCTION("""COMPUTED_VALUE"""),3362.5)</f>
        <v>3362.5</v>
      </c>
      <c r="F486" s="2">
        <f>IFERROR(__xludf.DUMMYFUNCTION("""COMPUTED_VALUE"""),1.37332E7)</f>
        <v>13733200</v>
      </c>
      <c r="G486" s="2">
        <f t="shared" si="1"/>
        <v>75</v>
      </c>
    </row>
    <row r="487" ht="15.75" customHeight="1">
      <c r="A487" s="1">
        <f>IFERROR(__xludf.DUMMYFUNCTION("""COMPUTED_VALUE"""),44557.66666666667)</f>
        <v>44557.66667</v>
      </c>
      <c r="B487" s="2">
        <f>IFERROR(__xludf.DUMMYFUNCTION("""COMPUTED_VALUE"""),3362.5)</f>
        <v>3362.5</v>
      </c>
      <c r="C487" s="2">
        <f>IFERROR(__xludf.DUMMYFUNCTION("""COMPUTED_VALUE"""),3375.0)</f>
        <v>3375</v>
      </c>
      <c r="D487" s="2">
        <f>IFERROR(__xludf.DUMMYFUNCTION("""COMPUTED_VALUE"""),3337.5)</f>
        <v>3337.5</v>
      </c>
      <c r="E487" s="2">
        <f>IFERROR(__xludf.DUMMYFUNCTION("""COMPUTED_VALUE"""),3375.0)</f>
        <v>3375</v>
      </c>
      <c r="F487" s="2">
        <f>IFERROR(__xludf.DUMMYFUNCTION("""COMPUTED_VALUE"""),1.06503E7)</f>
        <v>10650300</v>
      </c>
      <c r="G487" s="2">
        <f t="shared" si="1"/>
        <v>37.5</v>
      </c>
    </row>
    <row r="488" ht="15.75" customHeight="1">
      <c r="A488" s="1">
        <f>IFERROR(__xludf.DUMMYFUNCTION("""COMPUTED_VALUE"""),44558.66666666667)</f>
        <v>44558.66667</v>
      </c>
      <c r="B488" s="2">
        <f>IFERROR(__xludf.DUMMYFUNCTION("""COMPUTED_VALUE"""),3375.0)</f>
        <v>3375</v>
      </c>
      <c r="C488" s="2">
        <f>IFERROR(__xludf.DUMMYFUNCTION("""COMPUTED_VALUE"""),3387.5)</f>
        <v>3387.5</v>
      </c>
      <c r="D488" s="2">
        <f>IFERROR(__xludf.DUMMYFUNCTION("""COMPUTED_VALUE"""),3350.0)</f>
        <v>3350</v>
      </c>
      <c r="E488" s="2">
        <f>IFERROR(__xludf.DUMMYFUNCTION("""COMPUTED_VALUE"""),3350.0)</f>
        <v>3350</v>
      </c>
      <c r="F488" s="2">
        <f>IFERROR(__xludf.DUMMYFUNCTION("""COMPUTED_VALUE"""),1.47163E7)</f>
        <v>14716300</v>
      </c>
      <c r="G488" s="2">
        <f t="shared" si="1"/>
        <v>37.5</v>
      </c>
    </row>
    <row r="489" ht="15.75" customHeight="1">
      <c r="A489" s="1">
        <f>IFERROR(__xludf.DUMMYFUNCTION("""COMPUTED_VALUE"""),44559.66666666667)</f>
        <v>44559.66667</v>
      </c>
      <c r="B489" s="2">
        <f>IFERROR(__xludf.DUMMYFUNCTION("""COMPUTED_VALUE"""),3350.0)</f>
        <v>3350</v>
      </c>
      <c r="C489" s="2">
        <f>IFERROR(__xludf.DUMMYFUNCTION("""COMPUTED_VALUE"""),3375.0)</f>
        <v>3375</v>
      </c>
      <c r="D489" s="2">
        <f>IFERROR(__xludf.DUMMYFUNCTION("""COMPUTED_VALUE"""),3337.5)</f>
        <v>3337.5</v>
      </c>
      <c r="E489" s="2">
        <f>IFERROR(__xludf.DUMMYFUNCTION("""COMPUTED_VALUE"""),3362.5)</f>
        <v>3362.5</v>
      </c>
      <c r="F489" s="2">
        <f>IFERROR(__xludf.DUMMYFUNCTION("""COMPUTED_VALUE"""),8425900.0)</f>
        <v>8425900</v>
      </c>
      <c r="G489" s="2">
        <f t="shared" si="1"/>
        <v>37.5</v>
      </c>
    </row>
    <row r="490" ht="15.75" customHeight="1">
      <c r="A490" s="1">
        <f>IFERROR(__xludf.DUMMYFUNCTION("""COMPUTED_VALUE"""),44560.66666666667)</f>
        <v>44560.66667</v>
      </c>
      <c r="B490" s="2">
        <f>IFERROR(__xludf.DUMMYFUNCTION("""COMPUTED_VALUE"""),3362.5)</f>
        <v>3362.5</v>
      </c>
      <c r="C490" s="2">
        <f>IFERROR(__xludf.DUMMYFUNCTION("""COMPUTED_VALUE"""),3387.5)</f>
        <v>3387.5</v>
      </c>
      <c r="D490" s="2">
        <f>IFERROR(__xludf.DUMMYFUNCTION("""COMPUTED_VALUE"""),3337.5)</f>
        <v>3337.5</v>
      </c>
      <c r="E490" s="2">
        <f>IFERROR(__xludf.DUMMYFUNCTION("""COMPUTED_VALUE"""),3375.0)</f>
        <v>3375</v>
      </c>
      <c r="F490" s="2">
        <f>IFERROR(__xludf.DUMMYFUNCTION("""COMPUTED_VALUE"""),1.18097E7)</f>
        <v>11809700</v>
      </c>
      <c r="G490" s="2">
        <f t="shared" si="1"/>
        <v>50</v>
      </c>
    </row>
    <row r="491" ht="15.75" customHeight="1">
      <c r="A491" s="1">
        <f>IFERROR(__xludf.DUMMYFUNCTION("""COMPUTED_VALUE"""),44564.66666666667)</f>
        <v>44564.66667</v>
      </c>
      <c r="B491" s="2">
        <f>IFERROR(__xludf.DUMMYFUNCTION("""COMPUTED_VALUE"""),3375.0)</f>
        <v>3375</v>
      </c>
      <c r="C491" s="2">
        <f>IFERROR(__xludf.DUMMYFUNCTION("""COMPUTED_VALUE"""),3400.0)</f>
        <v>3400</v>
      </c>
      <c r="D491" s="2">
        <f>IFERROR(__xludf.DUMMYFUNCTION("""COMPUTED_VALUE"""),3350.0)</f>
        <v>3350</v>
      </c>
      <c r="E491" s="2">
        <f>IFERROR(__xludf.DUMMYFUNCTION("""COMPUTED_VALUE"""),3362.5)</f>
        <v>3362.5</v>
      </c>
      <c r="F491" s="2">
        <f>IFERROR(__xludf.DUMMYFUNCTION("""COMPUTED_VALUE"""),1.15283E7)</f>
        <v>11528300</v>
      </c>
      <c r="G491" s="2">
        <f t="shared" si="1"/>
        <v>50</v>
      </c>
    </row>
    <row r="492" ht="15.75" customHeight="1">
      <c r="A492" s="1">
        <f>IFERROR(__xludf.DUMMYFUNCTION("""COMPUTED_VALUE"""),44565.66666666667)</f>
        <v>44565.66667</v>
      </c>
      <c r="B492" s="2">
        <f>IFERROR(__xludf.DUMMYFUNCTION("""COMPUTED_VALUE"""),3400.0)</f>
        <v>3400</v>
      </c>
      <c r="C492" s="2">
        <f>IFERROR(__xludf.DUMMYFUNCTION("""COMPUTED_VALUE"""),3525.0)</f>
        <v>3525</v>
      </c>
      <c r="D492" s="2">
        <f>IFERROR(__xludf.DUMMYFUNCTION("""COMPUTED_VALUE"""),3387.5)</f>
        <v>3387.5</v>
      </c>
      <c r="E492" s="2">
        <f>IFERROR(__xludf.DUMMYFUNCTION("""COMPUTED_VALUE"""),3512.5)</f>
        <v>3512.5</v>
      </c>
      <c r="F492" s="2">
        <f>IFERROR(__xludf.DUMMYFUNCTION("""COMPUTED_VALUE"""),5.1571E7)</f>
        <v>51571000</v>
      </c>
      <c r="G492" s="2">
        <f t="shared" si="1"/>
        <v>162.5</v>
      </c>
    </row>
    <row r="493" ht="15.75" customHeight="1">
      <c r="A493" s="1">
        <f>IFERROR(__xludf.DUMMYFUNCTION("""COMPUTED_VALUE"""),44566.66666666667)</f>
        <v>44566.66667</v>
      </c>
      <c r="B493" s="2">
        <f>IFERROR(__xludf.DUMMYFUNCTION("""COMPUTED_VALUE"""),3512.5)</f>
        <v>3512.5</v>
      </c>
      <c r="C493" s="2">
        <f>IFERROR(__xludf.DUMMYFUNCTION("""COMPUTED_VALUE"""),3525.0)</f>
        <v>3525</v>
      </c>
      <c r="D493" s="2">
        <f>IFERROR(__xludf.DUMMYFUNCTION("""COMPUTED_VALUE"""),3425.0)</f>
        <v>3425</v>
      </c>
      <c r="E493" s="2">
        <f>IFERROR(__xludf.DUMMYFUNCTION("""COMPUTED_VALUE"""),3475.0)</f>
        <v>3475</v>
      </c>
      <c r="F493" s="2">
        <f>IFERROR(__xludf.DUMMYFUNCTION("""COMPUTED_VALUE"""),3.59124E7)</f>
        <v>35912400</v>
      </c>
      <c r="G493" s="2">
        <f t="shared" si="1"/>
        <v>100</v>
      </c>
    </row>
    <row r="494" ht="15.75" customHeight="1">
      <c r="A494" s="1">
        <f>IFERROR(__xludf.DUMMYFUNCTION("""COMPUTED_VALUE"""),44567.66666666667)</f>
        <v>44567.66667</v>
      </c>
      <c r="B494" s="2">
        <f>IFERROR(__xludf.DUMMYFUNCTION("""COMPUTED_VALUE"""),3475.0)</f>
        <v>3475</v>
      </c>
      <c r="C494" s="2">
        <f>IFERROR(__xludf.DUMMYFUNCTION("""COMPUTED_VALUE"""),3500.0)</f>
        <v>3500</v>
      </c>
      <c r="D494" s="2">
        <f>IFERROR(__xludf.DUMMYFUNCTION("""COMPUTED_VALUE"""),3412.5)</f>
        <v>3412.5</v>
      </c>
      <c r="E494" s="2">
        <f>IFERROR(__xludf.DUMMYFUNCTION("""COMPUTED_VALUE"""),3475.0)</f>
        <v>3475</v>
      </c>
      <c r="F494" s="2">
        <f>IFERROR(__xludf.DUMMYFUNCTION("""COMPUTED_VALUE"""),2.21924E7)</f>
        <v>22192400</v>
      </c>
      <c r="G494" s="2">
        <f t="shared" si="1"/>
        <v>87.5</v>
      </c>
    </row>
    <row r="495" ht="15.75" customHeight="1">
      <c r="A495" s="1">
        <f>IFERROR(__xludf.DUMMYFUNCTION("""COMPUTED_VALUE"""),44568.66666666667)</f>
        <v>44568.66667</v>
      </c>
      <c r="B495" s="2">
        <f>IFERROR(__xludf.DUMMYFUNCTION("""COMPUTED_VALUE"""),3500.0)</f>
        <v>3500</v>
      </c>
      <c r="C495" s="2">
        <f>IFERROR(__xludf.DUMMYFUNCTION("""COMPUTED_VALUE"""),3550.0)</f>
        <v>3550</v>
      </c>
      <c r="D495" s="2">
        <f>IFERROR(__xludf.DUMMYFUNCTION("""COMPUTED_VALUE"""),3462.5)</f>
        <v>3462.5</v>
      </c>
      <c r="E495" s="2">
        <f>IFERROR(__xludf.DUMMYFUNCTION("""COMPUTED_VALUE"""),3537.5)</f>
        <v>3537.5</v>
      </c>
      <c r="F495" s="2">
        <f>IFERROR(__xludf.DUMMYFUNCTION("""COMPUTED_VALUE"""),3.36558E7)</f>
        <v>33655800</v>
      </c>
      <c r="G495" s="2">
        <f t="shared" si="1"/>
        <v>87.5</v>
      </c>
    </row>
    <row r="496" ht="15.75" customHeight="1">
      <c r="A496" s="1">
        <f>IFERROR(__xludf.DUMMYFUNCTION("""COMPUTED_VALUE"""),44571.66666666667)</f>
        <v>44571.66667</v>
      </c>
      <c r="B496" s="2">
        <f>IFERROR(__xludf.DUMMYFUNCTION("""COMPUTED_VALUE"""),3537.5)</f>
        <v>3537.5</v>
      </c>
      <c r="C496" s="2">
        <f>IFERROR(__xludf.DUMMYFUNCTION("""COMPUTED_VALUE"""),3587.5)</f>
        <v>3587.5</v>
      </c>
      <c r="D496" s="2">
        <f>IFERROR(__xludf.DUMMYFUNCTION("""COMPUTED_VALUE"""),3512.5)</f>
        <v>3512.5</v>
      </c>
      <c r="E496" s="2">
        <f>IFERROR(__xludf.DUMMYFUNCTION("""COMPUTED_VALUE"""),3525.0)</f>
        <v>3525</v>
      </c>
      <c r="F496" s="2">
        <f>IFERROR(__xludf.DUMMYFUNCTION("""COMPUTED_VALUE"""),3.19623E7)</f>
        <v>31962300</v>
      </c>
      <c r="G496" s="2">
        <f t="shared" si="1"/>
        <v>75</v>
      </c>
    </row>
    <row r="497" ht="15.75" customHeight="1">
      <c r="A497" s="1">
        <f>IFERROR(__xludf.DUMMYFUNCTION("""COMPUTED_VALUE"""),44572.66666666667)</f>
        <v>44572.66667</v>
      </c>
      <c r="B497" s="2">
        <f>IFERROR(__xludf.DUMMYFUNCTION("""COMPUTED_VALUE"""),3525.0)</f>
        <v>3525</v>
      </c>
      <c r="C497" s="2">
        <f>IFERROR(__xludf.DUMMYFUNCTION("""COMPUTED_VALUE"""),3562.5)</f>
        <v>3562.5</v>
      </c>
      <c r="D497" s="2">
        <f>IFERROR(__xludf.DUMMYFUNCTION("""COMPUTED_VALUE"""),3487.5)</f>
        <v>3487.5</v>
      </c>
      <c r="E497" s="2">
        <f>IFERROR(__xludf.DUMMYFUNCTION("""COMPUTED_VALUE"""),3512.5)</f>
        <v>3512.5</v>
      </c>
      <c r="F497" s="2">
        <f>IFERROR(__xludf.DUMMYFUNCTION("""COMPUTED_VALUE"""),1.92022E7)</f>
        <v>19202200</v>
      </c>
      <c r="G497" s="2">
        <f t="shared" si="1"/>
        <v>75</v>
      </c>
    </row>
    <row r="498" ht="15.75" customHeight="1">
      <c r="A498" s="1">
        <f>IFERROR(__xludf.DUMMYFUNCTION("""COMPUTED_VALUE"""),44573.66666666667)</f>
        <v>44573.66667</v>
      </c>
      <c r="B498" s="2">
        <f>IFERROR(__xludf.DUMMYFUNCTION("""COMPUTED_VALUE"""),3525.0)</f>
        <v>3525</v>
      </c>
      <c r="C498" s="2">
        <f>IFERROR(__xludf.DUMMYFUNCTION("""COMPUTED_VALUE"""),3550.0)</f>
        <v>3550</v>
      </c>
      <c r="D498" s="2">
        <f>IFERROR(__xludf.DUMMYFUNCTION("""COMPUTED_VALUE"""),3487.5)</f>
        <v>3487.5</v>
      </c>
      <c r="E498" s="2">
        <f>IFERROR(__xludf.DUMMYFUNCTION("""COMPUTED_VALUE"""),3525.0)</f>
        <v>3525</v>
      </c>
      <c r="F498" s="2">
        <f>IFERROR(__xludf.DUMMYFUNCTION("""COMPUTED_VALUE"""),1.41611E7)</f>
        <v>14161100</v>
      </c>
      <c r="G498" s="2">
        <f t="shared" si="1"/>
        <v>62.5</v>
      </c>
    </row>
    <row r="499" ht="15.75" customHeight="1">
      <c r="A499" s="1">
        <f>IFERROR(__xludf.DUMMYFUNCTION("""COMPUTED_VALUE"""),44574.66666666667)</f>
        <v>44574.66667</v>
      </c>
      <c r="B499" s="2">
        <f>IFERROR(__xludf.DUMMYFUNCTION("""COMPUTED_VALUE"""),3525.0)</f>
        <v>3525</v>
      </c>
      <c r="C499" s="2">
        <f>IFERROR(__xludf.DUMMYFUNCTION("""COMPUTED_VALUE"""),3537.5)</f>
        <v>3537.5</v>
      </c>
      <c r="D499" s="2">
        <f>IFERROR(__xludf.DUMMYFUNCTION("""COMPUTED_VALUE"""),3500.0)</f>
        <v>3500</v>
      </c>
      <c r="E499" s="2">
        <f>IFERROR(__xludf.DUMMYFUNCTION("""COMPUTED_VALUE"""),3512.5)</f>
        <v>3512.5</v>
      </c>
      <c r="F499" s="2">
        <f>IFERROR(__xludf.DUMMYFUNCTION("""COMPUTED_VALUE"""),1.27992E7)</f>
        <v>12799200</v>
      </c>
      <c r="G499" s="2">
        <f t="shared" si="1"/>
        <v>37.5</v>
      </c>
    </row>
    <row r="500" ht="15.75" customHeight="1">
      <c r="A500" s="1">
        <f>IFERROR(__xludf.DUMMYFUNCTION("""COMPUTED_VALUE"""),44575.66666666667)</f>
        <v>44575.66667</v>
      </c>
      <c r="B500" s="2">
        <f>IFERROR(__xludf.DUMMYFUNCTION("""COMPUTED_VALUE"""),3512.5)</f>
        <v>3512.5</v>
      </c>
      <c r="C500" s="2">
        <f>IFERROR(__xludf.DUMMYFUNCTION("""COMPUTED_VALUE"""),3575.0)</f>
        <v>3575</v>
      </c>
      <c r="D500" s="2">
        <f>IFERROR(__xludf.DUMMYFUNCTION("""COMPUTED_VALUE"""),3487.5)</f>
        <v>3487.5</v>
      </c>
      <c r="E500" s="2">
        <f>IFERROR(__xludf.DUMMYFUNCTION("""COMPUTED_VALUE"""),3550.0)</f>
        <v>3550</v>
      </c>
      <c r="F500" s="2">
        <f>IFERROR(__xludf.DUMMYFUNCTION("""COMPUTED_VALUE"""),1.96711E7)</f>
        <v>19671100</v>
      </c>
      <c r="G500" s="2">
        <f t="shared" si="1"/>
        <v>87.5</v>
      </c>
    </row>
    <row r="501" ht="15.75" customHeight="1">
      <c r="A501" s="1">
        <f>IFERROR(__xludf.DUMMYFUNCTION("""COMPUTED_VALUE"""),44578.66666666667)</f>
        <v>44578.66667</v>
      </c>
      <c r="B501" s="2">
        <f>IFERROR(__xludf.DUMMYFUNCTION("""COMPUTED_VALUE"""),3562.5)</f>
        <v>3562.5</v>
      </c>
      <c r="C501" s="2">
        <f>IFERROR(__xludf.DUMMYFUNCTION("""COMPUTED_VALUE"""),3600.0)</f>
        <v>3600</v>
      </c>
      <c r="D501" s="2">
        <f>IFERROR(__xludf.DUMMYFUNCTION("""COMPUTED_VALUE"""),3525.0)</f>
        <v>3525</v>
      </c>
      <c r="E501" s="2">
        <f>IFERROR(__xludf.DUMMYFUNCTION("""COMPUTED_VALUE"""),3600.0)</f>
        <v>3600</v>
      </c>
      <c r="F501" s="2">
        <f>IFERROR(__xludf.DUMMYFUNCTION("""COMPUTED_VALUE"""),4.62964E7)</f>
        <v>46296400</v>
      </c>
      <c r="G501" s="2">
        <f t="shared" si="1"/>
        <v>75</v>
      </c>
    </row>
    <row r="502" ht="15.75" customHeight="1">
      <c r="A502" s="1">
        <f>IFERROR(__xludf.DUMMYFUNCTION("""COMPUTED_VALUE"""),44579.66666666667)</f>
        <v>44579.66667</v>
      </c>
      <c r="B502" s="2">
        <f>IFERROR(__xludf.DUMMYFUNCTION("""COMPUTED_VALUE"""),3600.0)</f>
        <v>3600</v>
      </c>
      <c r="C502" s="2">
        <f>IFERROR(__xludf.DUMMYFUNCTION("""COMPUTED_VALUE"""),3625.0)</f>
        <v>3625</v>
      </c>
      <c r="D502" s="2">
        <f>IFERROR(__xludf.DUMMYFUNCTION("""COMPUTED_VALUE"""),3462.5)</f>
        <v>3462.5</v>
      </c>
      <c r="E502" s="2">
        <f>IFERROR(__xludf.DUMMYFUNCTION("""COMPUTED_VALUE"""),3537.5)</f>
        <v>3537.5</v>
      </c>
      <c r="F502" s="2">
        <f>IFERROR(__xludf.DUMMYFUNCTION("""COMPUTED_VALUE"""),3.51033E7)</f>
        <v>35103300</v>
      </c>
      <c r="G502" s="2">
        <f t="shared" si="1"/>
        <v>162.5</v>
      </c>
    </row>
    <row r="503" ht="15.75" customHeight="1">
      <c r="A503" s="1">
        <f>IFERROR(__xludf.DUMMYFUNCTION("""COMPUTED_VALUE"""),44580.66666666667)</f>
        <v>44580.66667</v>
      </c>
      <c r="B503" s="2">
        <f>IFERROR(__xludf.DUMMYFUNCTION("""COMPUTED_VALUE"""),3512.5)</f>
        <v>3512.5</v>
      </c>
      <c r="C503" s="2">
        <f>IFERROR(__xludf.DUMMYFUNCTION("""COMPUTED_VALUE"""),3550.0)</f>
        <v>3550</v>
      </c>
      <c r="D503" s="2">
        <f>IFERROR(__xludf.DUMMYFUNCTION("""COMPUTED_VALUE"""),3475.0)</f>
        <v>3475</v>
      </c>
      <c r="E503" s="2">
        <f>IFERROR(__xludf.DUMMYFUNCTION("""COMPUTED_VALUE"""),3550.0)</f>
        <v>3550</v>
      </c>
      <c r="F503" s="2">
        <f>IFERROR(__xludf.DUMMYFUNCTION("""COMPUTED_VALUE"""),2.20795E7)</f>
        <v>22079500</v>
      </c>
      <c r="G503" s="2">
        <f t="shared" si="1"/>
        <v>75</v>
      </c>
    </row>
    <row r="504" ht="15.75" customHeight="1">
      <c r="A504" s="1">
        <f>IFERROR(__xludf.DUMMYFUNCTION("""COMPUTED_VALUE"""),44581.66666666667)</f>
        <v>44581.66667</v>
      </c>
      <c r="B504" s="2">
        <f>IFERROR(__xludf.DUMMYFUNCTION("""COMPUTED_VALUE"""),3550.0)</f>
        <v>3550</v>
      </c>
      <c r="C504" s="2">
        <f>IFERROR(__xludf.DUMMYFUNCTION("""COMPUTED_VALUE"""),3575.0)</f>
        <v>3575</v>
      </c>
      <c r="D504" s="2">
        <f>IFERROR(__xludf.DUMMYFUNCTION("""COMPUTED_VALUE"""),3487.5)</f>
        <v>3487.5</v>
      </c>
      <c r="E504" s="2">
        <f>IFERROR(__xludf.DUMMYFUNCTION("""COMPUTED_VALUE"""),3575.0)</f>
        <v>3575</v>
      </c>
      <c r="F504" s="2">
        <f>IFERROR(__xludf.DUMMYFUNCTION("""COMPUTED_VALUE"""),1.66206E7)</f>
        <v>16620600</v>
      </c>
      <c r="G504" s="2">
        <f t="shared" si="1"/>
        <v>87.5</v>
      </c>
    </row>
    <row r="505" ht="15.75" customHeight="1">
      <c r="A505" s="1">
        <f>IFERROR(__xludf.DUMMYFUNCTION("""COMPUTED_VALUE"""),44582.66666666667)</f>
        <v>44582.66667</v>
      </c>
      <c r="B505" s="2">
        <f>IFERROR(__xludf.DUMMYFUNCTION("""COMPUTED_VALUE"""),3562.5)</f>
        <v>3562.5</v>
      </c>
      <c r="C505" s="2">
        <f>IFERROR(__xludf.DUMMYFUNCTION("""COMPUTED_VALUE"""),3587.5)</f>
        <v>3587.5</v>
      </c>
      <c r="D505" s="2">
        <f>IFERROR(__xludf.DUMMYFUNCTION("""COMPUTED_VALUE"""),3525.0)</f>
        <v>3525</v>
      </c>
      <c r="E505" s="2">
        <f>IFERROR(__xludf.DUMMYFUNCTION("""COMPUTED_VALUE"""),3587.5)</f>
        <v>3587.5</v>
      </c>
      <c r="F505" s="2">
        <f>IFERROR(__xludf.DUMMYFUNCTION("""COMPUTED_VALUE"""),1.08407E7)</f>
        <v>10840700</v>
      </c>
      <c r="G505" s="2">
        <f t="shared" si="1"/>
        <v>62.5</v>
      </c>
    </row>
    <row r="506" ht="15.75" customHeight="1">
      <c r="A506" s="1">
        <f>IFERROR(__xludf.DUMMYFUNCTION("""COMPUTED_VALUE"""),44585.66666666667)</f>
        <v>44585.66667</v>
      </c>
      <c r="B506" s="2">
        <f>IFERROR(__xludf.DUMMYFUNCTION("""COMPUTED_VALUE"""),3562.5)</f>
        <v>3562.5</v>
      </c>
      <c r="C506" s="2">
        <f>IFERROR(__xludf.DUMMYFUNCTION("""COMPUTED_VALUE"""),3562.5)</f>
        <v>3562.5</v>
      </c>
      <c r="D506" s="2">
        <f>IFERROR(__xludf.DUMMYFUNCTION("""COMPUTED_VALUE"""),3512.5)</f>
        <v>3512.5</v>
      </c>
      <c r="E506" s="2">
        <f>IFERROR(__xludf.DUMMYFUNCTION("""COMPUTED_VALUE"""),3550.0)</f>
        <v>3550</v>
      </c>
      <c r="F506" s="2">
        <f>IFERROR(__xludf.DUMMYFUNCTION("""COMPUTED_VALUE"""),2.04225E7)</f>
        <v>20422500</v>
      </c>
      <c r="G506" s="2">
        <f t="shared" si="1"/>
        <v>75</v>
      </c>
    </row>
    <row r="507" ht="15.75" customHeight="1">
      <c r="A507" s="1">
        <f>IFERROR(__xludf.DUMMYFUNCTION("""COMPUTED_VALUE"""),44586.66666666667)</f>
        <v>44586.66667</v>
      </c>
      <c r="B507" s="2">
        <f>IFERROR(__xludf.DUMMYFUNCTION("""COMPUTED_VALUE"""),3550.0)</f>
        <v>3550</v>
      </c>
      <c r="C507" s="2">
        <f>IFERROR(__xludf.DUMMYFUNCTION("""COMPUTED_VALUE"""),3550.0)</f>
        <v>3550</v>
      </c>
      <c r="D507" s="2">
        <f>IFERROR(__xludf.DUMMYFUNCTION("""COMPUTED_VALUE"""),3387.5)</f>
        <v>3387.5</v>
      </c>
      <c r="E507" s="2">
        <f>IFERROR(__xludf.DUMMYFUNCTION("""COMPUTED_VALUE"""),3400.0)</f>
        <v>3400</v>
      </c>
      <c r="F507" s="2">
        <f>IFERROR(__xludf.DUMMYFUNCTION("""COMPUTED_VALUE"""),7.23352E7)</f>
        <v>72335200</v>
      </c>
      <c r="G507" s="2">
        <f t="shared" si="1"/>
        <v>162.5</v>
      </c>
    </row>
    <row r="508" ht="15.75" customHeight="1">
      <c r="A508" s="1">
        <f>IFERROR(__xludf.DUMMYFUNCTION("""COMPUTED_VALUE"""),44587.66666666667)</f>
        <v>44587.66667</v>
      </c>
      <c r="B508" s="2">
        <f>IFERROR(__xludf.DUMMYFUNCTION("""COMPUTED_VALUE"""),3437.5)</f>
        <v>3437.5</v>
      </c>
      <c r="C508" s="2">
        <f>IFERROR(__xludf.DUMMYFUNCTION("""COMPUTED_VALUE"""),3562.5)</f>
        <v>3562.5</v>
      </c>
      <c r="D508" s="2">
        <f>IFERROR(__xludf.DUMMYFUNCTION("""COMPUTED_VALUE"""),3425.0)</f>
        <v>3425</v>
      </c>
      <c r="E508" s="2">
        <f>IFERROR(__xludf.DUMMYFUNCTION("""COMPUTED_VALUE"""),3562.5)</f>
        <v>3562.5</v>
      </c>
      <c r="F508" s="2">
        <f>IFERROR(__xludf.DUMMYFUNCTION("""COMPUTED_VALUE"""),5.37085E7)</f>
        <v>53708500</v>
      </c>
      <c r="G508" s="2">
        <f t="shared" si="1"/>
        <v>162.5</v>
      </c>
    </row>
    <row r="509" ht="15.75" customHeight="1">
      <c r="A509" s="1">
        <f>IFERROR(__xludf.DUMMYFUNCTION("""COMPUTED_VALUE"""),44588.66666666667)</f>
        <v>44588.66667</v>
      </c>
      <c r="B509" s="2">
        <f>IFERROR(__xludf.DUMMYFUNCTION("""COMPUTED_VALUE"""),3550.0)</f>
        <v>3550</v>
      </c>
      <c r="C509" s="2">
        <f>IFERROR(__xludf.DUMMYFUNCTION("""COMPUTED_VALUE"""),3650.0)</f>
        <v>3650</v>
      </c>
      <c r="D509" s="2">
        <f>IFERROR(__xludf.DUMMYFUNCTION("""COMPUTED_VALUE"""),3525.0)</f>
        <v>3525</v>
      </c>
      <c r="E509" s="2">
        <f>IFERROR(__xludf.DUMMYFUNCTION("""COMPUTED_VALUE"""),3600.0)</f>
        <v>3600</v>
      </c>
      <c r="F509" s="2">
        <f>IFERROR(__xludf.DUMMYFUNCTION("""COMPUTED_VALUE"""),4.8758E7)</f>
        <v>48758000</v>
      </c>
      <c r="G509" s="2">
        <f t="shared" si="1"/>
        <v>125</v>
      </c>
    </row>
    <row r="510" ht="15.75" customHeight="1">
      <c r="A510" s="1">
        <f>IFERROR(__xludf.DUMMYFUNCTION("""COMPUTED_VALUE"""),44589.66666666667)</f>
        <v>44589.66667</v>
      </c>
      <c r="B510" s="2">
        <f>IFERROR(__xludf.DUMMYFUNCTION("""COMPUTED_VALUE"""),3600.0)</f>
        <v>3600</v>
      </c>
      <c r="C510" s="2">
        <f>IFERROR(__xludf.DUMMYFUNCTION("""COMPUTED_VALUE"""),3750.0)</f>
        <v>3750</v>
      </c>
      <c r="D510" s="2">
        <f>IFERROR(__xludf.DUMMYFUNCTION("""COMPUTED_VALUE"""),3600.0)</f>
        <v>3600</v>
      </c>
      <c r="E510" s="2">
        <f>IFERROR(__xludf.DUMMYFUNCTION("""COMPUTED_VALUE"""),3750.0)</f>
        <v>3750</v>
      </c>
      <c r="F510" s="2">
        <f>IFERROR(__xludf.DUMMYFUNCTION("""COMPUTED_VALUE"""),6.3789E7)</f>
        <v>63789000</v>
      </c>
      <c r="G510" s="2">
        <f t="shared" si="1"/>
        <v>150</v>
      </c>
    </row>
    <row r="511" ht="15.75" customHeight="1">
      <c r="A511" s="1">
        <f>IFERROR(__xludf.DUMMYFUNCTION("""COMPUTED_VALUE"""),44592.66666666667)</f>
        <v>44592.66667</v>
      </c>
      <c r="B511" s="2">
        <f>IFERROR(__xludf.DUMMYFUNCTION("""COMPUTED_VALUE"""),3750.0)</f>
        <v>3750</v>
      </c>
      <c r="C511" s="2">
        <f>IFERROR(__xludf.DUMMYFUNCTION("""COMPUTED_VALUE"""),3762.5)</f>
        <v>3762.5</v>
      </c>
      <c r="D511" s="2">
        <f>IFERROR(__xludf.DUMMYFUNCTION("""COMPUTED_VALUE"""),3662.5)</f>
        <v>3662.5</v>
      </c>
      <c r="E511" s="2">
        <f>IFERROR(__xludf.DUMMYFUNCTION("""COMPUTED_VALUE"""),3662.5)</f>
        <v>3662.5</v>
      </c>
      <c r="F511" s="2">
        <f>IFERROR(__xludf.DUMMYFUNCTION("""COMPUTED_VALUE"""),3.02333E7)</f>
        <v>30233300</v>
      </c>
      <c r="G511" s="2">
        <f t="shared" si="1"/>
        <v>100</v>
      </c>
    </row>
    <row r="512" ht="15.75" customHeight="1">
      <c r="A512" s="1">
        <f>IFERROR(__xludf.DUMMYFUNCTION("""COMPUTED_VALUE"""),44594.66666666667)</f>
        <v>44594.66667</v>
      </c>
      <c r="B512" s="2">
        <f>IFERROR(__xludf.DUMMYFUNCTION("""COMPUTED_VALUE"""),3662.5)</f>
        <v>3662.5</v>
      </c>
      <c r="C512" s="2">
        <f>IFERROR(__xludf.DUMMYFUNCTION("""COMPUTED_VALUE"""),3700.0)</f>
        <v>3700</v>
      </c>
      <c r="D512" s="2">
        <f>IFERROR(__xludf.DUMMYFUNCTION("""COMPUTED_VALUE"""),3650.0)</f>
        <v>3650</v>
      </c>
      <c r="E512" s="2">
        <f>IFERROR(__xludf.DUMMYFUNCTION("""COMPUTED_VALUE"""),3687.5)</f>
        <v>3687.5</v>
      </c>
      <c r="F512" s="2">
        <f>IFERROR(__xludf.DUMMYFUNCTION("""COMPUTED_VALUE"""),1.9364E7)</f>
        <v>19364000</v>
      </c>
      <c r="G512" s="2">
        <f t="shared" si="1"/>
        <v>50</v>
      </c>
    </row>
    <row r="513" ht="15.75" customHeight="1">
      <c r="A513" s="1">
        <f>IFERROR(__xludf.DUMMYFUNCTION("""COMPUTED_VALUE"""),44595.66666666667)</f>
        <v>44595.66667</v>
      </c>
      <c r="B513" s="2">
        <f>IFERROR(__xludf.DUMMYFUNCTION("""COMPUTED_VALUE"""),3662.5)</f>
        <v>3662.5</v>
      </c>
      <c r="C513" s="2">
        <f>IFERROR(__xludf.DUMMYFUNCTION("""COMPUTED_VALUE"""),3675.0)</f>
        <v>3675</v>
      </c>
      <c r="D513" s="2">
        <f>IFERROR(__xludf.DUMMYFUNCTION("""COMPUTED_VALUE"""),3612.5)</f>
        <v>3612.5</v>
      </c>
      <c r="E513" s="2">
        <f>IFERROR(__xludf.DUMMYFUNCTION("""COMPUTED_VALUE"""),3650.0)</f>
        <v>3650</v>
      </c>
      <c r="F513" s="2">
        <f>IFERROR(__xludf.DUMMYFUNCTION("""COMPUTED_VALUE"""),1.61519E7)</f>
        <v>16151900</v>
      </c>
      <c r="G513" s="2">
        <f t="shared" si="1"/>
        <v>75</v>
      </c>
    </row>
    <row r="514" ht="15.75" customHeight="1">
      <c r="A514" s="1">
        <f>IFERROR(__xludf.DUMMYFUNCTION("""COMPUTED_VALUE"""),44596.66666666667)</f>
        <v>44596.66667</v>
      </c>
      <c r="B514" s="2">
        <f>IFERROR(__xludf.DUMMYFUNCTION("""COMPUTED_VALUE"""),3637.5)</f>
        <v>3637.5</v>
      </c>
      <c r="C514" s="2">
        <f>IFERROR(__xludf.DUMMYFUNCTION("""COMPUTED_VALUE"""),3675.0)</f>
        <v>3675</v>
      </c>
      <c r="D514" s="2">
        <f>IFERROR(__xludf.DUMMYFUNCTION("""COMPUTED_VALUE"""),3612.5)</f>
        <v>3612.5</v>
      </c>
      <c r="E514" s="2">
        <f>IFERROR(__xludf.DUMMYFUNCTION("""COMPUTED_VALUE"""),3662.5)</f>
        <v>3662.5</v>
      </c>
      <c r="F514" s="2">
        <f>IFERROR(__xludf.DUMMYFUNCTION("""COMPUTED_VALUE"""),1.0987E7)</f>
        <v>10987000</v>
      </c>
      <c r="G514" s="2">
        <f t="shared" si="1"/>
        <v>62.5</v>
      </c>
    </row>
    <row r="515" ht="15.75" customHeight="1">
      <c r="A515" s="1">
        <f>IFERROR(__xludf.DUMMYFUNCTION("""COMPUTED_VALUE"""),44599.66666666667)</f>
        <v>44599.66667</v>
      </c>
      <c r="B515" s="2">
        <f>IFERROR(__xludf.DUMMYFUNCTION("""COMPUTED_VALUE"""),3662.5)</f>
        <v>3662.5</v>
      </c>
      <c r="C515" s="2">
        <f>IFERROR(__xludf.DUMMYFUNCTION("""COMPUTED_VALUE"""),3712.5)</f>
        <v>3712.5</v>
      </c>
      <c r="D515" s="2">
        <f>IFERROR(__xludf.DUMMYFUNCTION("""COMPUTED_VALUE"""),3662.5)</f>
        <v>3662.5</v>
      </c>
      <c r="E515" s="2">
        <f>IFERROR(__xludf.DUMMYFUNCTION("""COMPUTED_VALUE"""),3687.5)</f>
        <v>3687.5</v>
      </c>
      <c r="F515" s="2">
        <f>IFERROR(__xludf.DUMMYFUNCTION("""COMPUTED_VALUE"""),2.8583E7)</f>
        <v>28583000</v>
      </c>
      <c r="G515" s="2">
        <f t="shared" si="1"/>
        <v>50</v>
      </c>
    </row>
    <row r="516" ht="15.75" customHeight="1">
      <c r="A516" s="1">
        <f>IFERROR(__xludf.DUMMYFUNCTION("""COMPUTED_VALUE"""),44600.66666666667)</f>
        <v>44600.66667</v>
      </c>
      <c r="B516" s="2">
        <f>IFERROR(__xludf.DUMMYFUNCTION("""COMPUTED_VALUE"""),3712.5)</f>
        <v>3712.5</v>
      </c>
      <c r="C516" s="2">
        <f>IFERROR(__xludf.DUMMYFUNCTION("""COMPUTED_VALUE"""),3800.0)</f>
        <v>3800</v>
      </c>
      <c r="D516" s="2">
        <f>IFERROR(__xludf.DUMMYFUNCTION("""COMPUTED_VALUE"""),3700.0)</f>
        <v>3700</v>
      </c>
      <c r="E516" s="2">
        <f>IFERROR(__xludf.DUMMYFUNCTION("""COMPUTED_VALUE"""),3750.0)</f>
        <v>3750</v>
      </c>
      <c r="F516" s="2">
        <f>IFERROR(__xludf.DUMMYFUNCTION("""COMPUTED_VALUE"""),6.55627E7)</f>
        <v>65562700</v>
      </c>
      <c r="G516" s="2">
        <f t="shared" si="1"/>
        <v>112.5</v>
      </c>
    </row>
    <row r="517" ht="15.75" customHeight="1">
      <c r="A517" s="1">
        <f>IFERROR(__xludf.DUMMYFUNCTION("""COMPUTED_VALUE"""),44601.66666666667)</f>
        <v>44601.66667</v>
      </c>
      <c r="B517" s="2">
        <f>IFERROR(__xludf.DUMMYFUNCTION("""COMPUTED_VALUE"""),3762.5)</f>
        <v>3762.5</v>
      </c>
      <c r="C517" s="2">
        <f>IFERROR(__xludf.DUMMYFUNCTION("""COMPUTED_VALUE"""),3812.5)</f>
        <v>3812.5</v>
      </c>
      <c r="D517" s="2">
        <f>IFERROR(__xludf.DUMMYFUNCTION("""COMPUTED_VALUE"""),3712.5)</f>
        <v>3712.5</v>
      </c>
      <c r="E517" s="2">
        <f>IFERROR(__xludf.DUMMYFUNCTION("""COMPUTED_VALUE"""),3787.5)</f>
        <v>3787.5</v>
      </c>
      <c r="F517" s="2">
        <f>IFERROR(__xludf.DUMMYFUNCTION("""COMPUTED_VALUE"""),5.50789E7)</f>
        <v>55078900</v>
      </c>
      <c r="G517" s="2">
        <f t="shared" si="1"/>
        <v>100</v>
      </c>
    </row>
    <row r="518" ht="15.75" customHeight="1">
      <c r="A518" s="1">
        <f>IFERROR(__xludf.DUMMYFUNCTION("""COMPUTED_VALUE"""),44602.66666666667)</f>
        <v>44602.66667</v>
      </c>
      <c r="B518" s="2">
        <f>IFERROR(__xludf.DUMMYFUNCTION("""COMPUTED_VALUE"""),3825.0)</f>
        <v>3825</v>
      </c>
      <c r="C518" s="2">
        <f>IFERROR(__xludf.DUMMYFUNCTION("""COMPUTED_VALUE"""),3875.0)</f>
        <v>3875</v>
      </c>
      <c r="D518" s="2">
        <f>IFERROR(__xludf.DUMMYFUNCTION("""COMPUTED_VALUE"""),3787.5)</f>
        <v>3787.5</v>
      </c>
      <c r="E518" s="2">
        <f>IFERROR(__xludf.DUMMYFUNCTION("""COMPUTED_VALUE"""),3837.5)</f>
        <v>3837.5</v>
      </c>
      <c r="F518" s="2">
        <f>IFERROR(__xludf.DUMMYFUNCTION("""COMPUTED_VALUE"""),7.13134E7)</f>
        <v>71313400</v>
      </c>
      <c r="G518" s="2">
        <f t="shared" si="1"/>
        <v>87.5</v>
      </c>
    </row>
    <row r="519" ht="15.75" customHeight="1">
      <c r="A519" s="1">
        <f>IFERROR(__xludf.DUMMYFUNCTION("""COMPUTED_VALUE"""),44603.66666666667)</f>
        <v>44603.66667</v>
      </c>
      <c r="B519" s="2">
        <f>IFERROR(__xludf.DUMMYFUNCTION("""COMPUTED_VALUE"""),3825.0)</f>
        <v>3825</v>
      </c>
      <c r="C519" s="2">
        <f>IFERROR(__xludf.DUMMYFUNCTION("""COMPUTED_VALUE"""),3887.5)</f>
        <v>3887.5</v>
      </c>
      <c r="D519" s="2">
        <f>IFERROR(__xludf.DUMMYFUNCTION("""COMPUTED_VALUE"""),3787.5)</f>
        <v>3787.5</v>
      </c>
      <c r="E519" s="2">
        <f>IFERROR(__xludf.DUMMYFUNCTION("""COMPUTED_VALUE"""),3850.0)</f>
        <v>3850</v>
      </c>
      <c r="F519" s="2">
        <f>IFERROR(__xludf.DUMMYFUNCTION("""COMPUTED_VALUE"""),3.51448E7)</f>
        <v>35144800</v>
      </c>
      <c r="G519" s="2">
        <f t="shared" si="1"/>
        <v>100</v>
      </c>
    </row>
    <row r="520" ht="15.75" customHeight="1">
      <c r="A520" s="1">
        <f>IFERROR(__xludf.DUMMYFUNCTION("""COMPUTED_VALUE"""),44606.66666666667)</f>
        <v>44606.66667</v>
      </c>
      <c r="B520" s="2">
        <f>IFERROR(__xludf.DUMMYFUNCTION("""COMPUTED_VALUE"""),3837.5)</f>
        <v>3837.5</v>
      </c>
      <c r="C520" s="2">
        <f>IFERROR(__xludf.DUMMYFUNCTION("""COMPUTED_VALUE"""),3850.0)</f>
        <v>3850</v>
      </c>
      <c r="D520" s="2">
        <f>IFERROR(__xludf.DUMMYFUNCTION("""COMPUTED_VALUE"""),3800.0)</f>
        <v>3800</v>
      </c>
      <c r="E520" s="2">
        <f>IFERROR(__xludf.DUMMYFUNCTION("""COMPUTED_VALUE"""),3850.0)</f>
        <v>3850</v>
      </c>
      <c r="F520" s="2">
        <f>IFERROR(__xludf.DUMMYFUNCTION("""COMPUTED_VALUE"""),3.61348E7)</f>
        <v>36134800</v>
      </c>
      <c r="G520" s="2">
        <f t="shared" si="1"/>
        <v>50</v>
      </c>
    </row>
    <row r="521" ht="15.75" customHeight="1">
      <c r="A521" s="1">
        <f>IFERROR(__xludf.DUMMYFUNCTION("""COMPUTED_VALUE"""),44607.66666666667)</f>
        <v>44607.66667</v>
      </c>
      <c r="B521" s="2">
        <f>IFERROR(__xludf.DUMMYFUNCTION("""COMPUTED_VALUE"""),3875.0)</f>
        <v>3875</v>
      </c>
      <c r="C521" s="2">
        <f>IFERROR(__xludf.DUMMYFUNCTION("""COMPUTED_VALUE"""),3975.0)</f>
        <v>3975</v>
      </c>
      <c r="D521" s="2">
        <f>IFERROR(__xludf.DUMMYFUNCTION("""COMPUTED_VALUE"""),3862.5)</f>
        <v>3862.5</v>
      </c>
      <c r="E521" s="2">
        <f>IFERROR(__xludf.DUMMYFUNCTION("""COMPUTED_VALUE"""),3962.5)</f>
        <v>3962.5</v>
      </c>
      <c r="F521" s="2">
        <f>IFERROR(__xludf.DUMMYFUNCTION("""COMPUTED_VALUE"""),6.82475E7)</f>
        <v>68247500</v>
      </c>
      <c r="G521" s="2">
        <f t="shared" si="1"/>
        <v>125</v>
      </c>
    </row>
    <row r="522" ht="15.75" customHeight="1">
      <c r="A522" s="1">
        <f>IFERROR(__xludf.DUMMYFUNCTION("""COMPUTED_VALUE"""),44608.66666666667)</f>
        <v>44608.66667</v>
      </c>
      <c r="B522" s="2">
        <f>IFERROR(__xludf.DUMMYFUNCTION("""COMPUTED_VALUE"""),3975.0)</f>
        <v>3975</v>
      </c>
      <c r="C522" s="2">
        <f>IFERROR(__xludf.DUMMYFUNCTION("""COMPUTED_VALUE"""),3987.5)</f>
        <v>3987.5</v>
      </c>
      <c r="D522" s="2">
        <f>IFERROR(__xludf.DUMMYFUNCTION("""COMPUTED_VALUE"""),3950.0)</f>
        <v>3950</v>
      </c>
      <c r="E522" s="2">
        <f>IFERROR(__xludf.DUMMYFUNCTION("""COMPUTED_VALUE"""),3975.0)</f>
        <v>3975</v>
      </c>
      <c r="F522" s="2">
        <f>IFERROR(__xludf.DUMMYFUNCTION("""COMPUTED_VALUE"""),4.65956E7)</f>
        <v>46595600</v>
      </c>
      <c r="G522" s="2">
        <f t="shared" si="1"/>
        <v>37.5</v>
      </c>
    </row>
    <row r="523" ht="15.75" customHeight="1">
      <c r="A523" s="1">
        <f>IFERROR(__xludf.DUMMYFUNCTION("""COMPUTED_VALUE"""),44609.66666666667)</f>
        <v>44609.66667</v>
      </c>
      <c r="B523" s="2">
        <f>IFERROR(__xludf.DUMMYFUNCTION("""COMPUTED_VALUE"""),3975.0)</f>
        <v>3975</v>
      </c>
      <c r="C523" s="2">
        <f>IFERROR(__xludf.DUMMYFUNCTION("""COMPUTED_VALUE"""),3975.0)</f>
        <v>3975</v>
      </c>
      <c r="D523" s="2">
        <f>IFERROR(__xludf.DUMMYFUNCTION("""COMPUTED_VALUE"""),3887.5)</f>
        <v>3887.5</v>
      </c>
      <c r="E523" s="2">
        <f>IFERROR(__xludf.DUMMYFUNCTION("""COMPUTED_VALUE"""),3950.0)</f>
        <v>3950</v>
      </c>
      <c r="F523" s="2">
        <f>IFERROR(__xludf.DUMMYFUNCTION("""COMPUTED_VALUE"""),2.08459E7)</f>
        <v>20845900</v>
      </c>
      <c r="G523" s="2">
        <f t="shared" si="1"/>
        <v>87.5</v>
      </c>
    </row>
    <row r="524" ht="15.75" customHeight="1">
      <c r="A524" s="1">
        <f>IFERROR(__xludf.DUMMYFUNCTION("""COMPUTED_VALUE"""),44610.66666666667)</f>
        <v>44610.66667</v>
      </c>
      <c r="B524" s="2">
        <f>IFERROR(__xludf.DUMMYFUNCTION("""COMPUTED_VALUE"""),3950.0)</f>
        <v>3950</v>
      </c>
      <c r="C524" s="2">
        <f>IFERROR(__xludf.DUMMYFUNCTION("""COMPUTED_VALUE"""),3987.5)</f>
        <v>3987.5</v>
      </c>
      <c r="D524" s="2">
        <f>IFERROR(__xludf.DUMMYFUNCTION("""COMPUTED_VALUE"""),3912.5)</f>
        <v>3912.5</v>
      </c>
      <c r="E524" s="2">
        <f>IFERROR(__xludf.DUMMYFUNCTION("""COMPUTED_VALUE"""),3987.5)</f>
        <v>3987.5</v>
      </c>
      <c r="F524" s="2">
        <f>IFERROR(__xludf.DUMMYFUNCTION("""COMPUTED_VALUE"""),1.98294E7)</f>
        <v>19829400</v>
      </c>
      <c r="G524" s="2">
        <f t="shared" si="1"/>
        <v>75</v>
      </c>
    </row>
    <row r="525" ht="15.75" customHeight="1">
      <c r="A525" s="1">
        <f>IFERROR(__xludf.DUMMYFUNCTION("""COMPUTED_VALUE"""),44613.66666666667)</f>
        <v>44613.66667</v>
      </c>
      <c r="B525" s="2">
        <f>IFERROR(__xludf.DUMMYFUNCTION("""COMPUTED_VALUE"""),3950.0)</f>
        <v>3950</v>
      </c>
      <c r="C525" s="2">
        <f>IFERROR(__xludf.DUMMYFUNCTION("""COMPUTED_VALUE"""),4000.0)</f>
        <v>4000</v>
      </c>
      <c r="D525" s="2">
        <f>IFERROR(__xludf.DUMMYFUNCTION("""COMPUTED_VALUE"""),3925.0)</f>
        <v>3925</v>
      </c>
      <c r="E525" s="2">
        <f>IFERROR(__xludf.DUMMYFUNCTION("""COMPUTED_VALUE"""),3950.0)</f>
        <v>3950</v>
      </c>
      <c r="F525" s="2">
        <f>IFERROR(__xludf.DUMMYFUNCTION("""COMPUTED_VALUE"""),2.47933E7)</f>
        <v>24793300</v>
      </c>
      <c r="G525" s="2">
        <f t="shared" si="1"/>
        <v>75</v>
      </c>
    </row>
    <row r="526" ht="15.75" customHeight="1">
      <c r="A526" s="1">
        <f>IFERROR(__xludf.DUMMYFUNCTION("""COMPUTED_VALUE"""),44614.66666666667)</f>
        <v>44614.66667</v>
      </c>
      <c r="B526" s="2">
        <f>IFERROR(__xludf.DUMMYFUNCTION("""COMPUTED_VALUE"""),3900.0)</f>
        <v>3900</v>
      </c>
      <c r="C526" s="2">
        <f>IFERROR(__xludf.DUMMYFUNCTION("""COMPUTED_VALUE"""),3925.0)</f>
        <v>3925</v>
      </c>
      <c r="D526" s="2">
        <f>IFERROR(__xludf.DUMMYFUNCTION("""COMPUTED_VALUE"""),3850.0)</f>
        <v>3850</v>
      </c>
      <c r="E526" s="2">
        <f>IFERROR(__xludf.DUMMYFUNCTION("""COMPUTED_VALUE"""),3875.0)</f>
        <v>3875</v>
      </c>
      <c r="F526" s="2">
        <f>IFERROR(__xludf.DUMMYFUNCTION("""COMPUTED_VALUE"""),3.14431E7)</f>
        <v>31443100</v>
      </c>
      <c r="G526" s="2">
        <f t="shared" si="1"/>
        <v>100</v>
      </c>
    </row>
    <row r="527" ht="15.75" customHeight="1">
      <c r="A527" s="1">
        <f>IFERROR(__xludf.DUMMYFUNCTION("""COMPUTED_VALUE"""),44615.66666666667)</f>
        <v>44615.66667</v>
      </c>
      <c r="B527" s="2">
        <f>IFERROR(__xludf.DUMMYFUNCTION("""COMPUTED_VALUE"""),3887.5)</f>
        <v>3887.5</v>
      </c>
      <c r="C527" s="2">
        <f>IFERROR(__xludf.DUMMYFUNCTION("""COMPUTED_VALUE"""),3962.5)</f>
        <v>3962.5</v>
      </c>
      <c r="D527" s="2">
        <f>IFERROR(__xludf.DUMMYFUNCTION("""COMPUTED_VALUE"""),3887.5)</f>
        <v>3887.5</v>
      </c>
      <c r="E527" s="2">
        <f>IFERROR(__xludf.DUMMYFUNCTION("""COMPUTED_VALUE"""),3962.5)</f>
        <v>3962.5</v>
      </c>
      <c r="F527" s="2">
        <f>IFERROR(__xludf.DUMMYFUNCTION("""COMPUTED_VALUE"""),3.59142E7)</f>
        <v>35914200</v>
      </c>
      <c r="G527" s="2">
        <f t="shared" si="1"/>
        <v>87.5</v>
      </c>
    </row>
    <row r="528" ht="15.75" customHeight="1">
      <c r="A528" s="1">
        <f>IFERROR(__xludf.DUMMYFUNCTION("""COMPUTED_VALUE"""),44616.66666666667)</f>
        <v>44616.66667</v>
      </c>
      <c r="B528" s="2">
        <f>IFERROR(__xludf.DUMMYFUNCTION("""COMPUTED_VALUE"""),3950.0)</f>
        <v>3950</v>
      </c>
      <c r="C528" s="2">
        <f>IFERROR(__xludf.DUMMYFUNCTION("""COMPUTED_VALUE"""),4000.0)</f>
        <v>4000</v>
      </c>
      <c r="D528" s="2">
        <f>IFERROR(__xludf.DUMMYFUNCTION("""COMPUTED_VALUE"""),3850.0)</f>
        <v>3850</v>
      </c>
      <c r="E528" s="2">
        <f>IFERROR(__xludf.DUMMYFUNCTION("""COMPUTED_VALUE"""),3912.5)</f>
        <v>3912.5</v>
      </c>
      <c r="F528" s="2">
        <f>IFERROR(__xludf.DUMMYFUNCTION("""COMPUTED_VALUE"""),8.32415E7)</f>
        <v>83241500</v>
      </c>
      <c r="G528" s="2">
        <f t="shared" si="1"/>
        <v>150</v>
      </c>
    </row>
    <row r="529" ht="15.75" customHeight="1">
      <c r="A529" s="1">
        <f>IFERROR(__xludf.DUMMYFUNCTION("""COMPUTED_VALUE"""),44617.66666666667)</f>
        <v>44617.66667</v>
      </c>
      <c r="B529" s="2">
        <f>IFERROR(__xludf.DUMMYFUNCTION("""COMPUTED_VALUE"""),3912.5)</f>
        <v>3912.5</v>
      </c>
      <c r="C529" s="2">
        <f>IFERROR(__xludf.DUMMYFUNCTION("""COMPUTED_VALUE"""),4000.0)</f>
        <v>4000</v>
      </c>
      <c r="D529" s="2">
        <f>IFERROR(__xludf.DUMMYFUNCTION("""COMPUTED_VALUE"""),3900.0)</f>
        <v>3900</v>
      </c>
      <c r="E529" s="2">
        <f>IFERROR(__xludf.DUMMYFUNCTION("""COMPUTED_VALUE"""),4000.0)</f>
        <v>4000</v>
      </c>
      <c r="F529" s="2">
        <f>IFERROR(__xludf.DUMMYFUNCTION("""COMPUTED_VALUE"""),4.71506E7)</f>
        <v>47150600</v>
      </c>
      <c r="G529" s="2">
        <f t="shared" si="1"/>
        <v>100</v>
      </c>
    </row>
    <row r="530" ht="15.75" customHeight="1">
      <c r="A530" s="1">
        <f>IFERROR(__xludf.DUMMYFUNCTION("""COMPUTED_VALUE"""),44621.66666666667)</f>
        <v>44621.66667</v>
      </c>
      <c r="B530" s="2">
        <f>IFERROR(__xludf.DUMMYFUNCTION("""COMPUTED_VALUE"""),4100.0)</f>
        <v>4100</v>
      </c>
      <c r="C530" s="2">
        <f>IFERROR(__xludf.DUMMYFUNCTION("""COMPUTED_VALUE"""),4100.0)</f>
        <v>4100</v>
      </c>
      <c r="D530" s="2">
        <f>IFERROR(__xludf.DUMMYFUNCTION("""COMPUTED_VALUE"""),3962.5)</f>
        <v>3962.5</v>
      </c>
      <c r="E530" s="2">
        <f>IFERROR(__xludf.DUMMYFUNCTION("""COMPUTED_VALUE"""),3962.5)</f>
        <v>3962.5</v>
      </c>
      <c r="F530" s="2">
        <f>IFERROR(__xludf.DUMMYFUNCTION("""COMPUTED_VALUE"""),3.72715E7)</f>
        <v>37271500</v>
      </c>
      <c r="G530" s="2">
        <f t="shared" si="1"/>
        <v>137.5</v>
      </c>
    </row>
    <row r="531" ht="15.75" customHeight="1">
      <c r="A531" s="1">
        <f>IFERROR(__xludf.DUMMYFUNCTION("""COMPUTED_VALUE"""),44622.66666666667)</f>
        <v>44622.66667</v>
      </c>
      <c r="B531" s="2">
        <f>IFERROR(__xludf.DUMMYFUNCTION("""COMPUTED_VALUE"""),3925.0)</f>
        <v>3925</v>
      </c>
      <c r="C531" s="2">
        <f>IFERROR(__xludf.DUMMYFUNCTION("""COMPUTED_VALUE"""),3950.0)</f>
        <v>3950</v>
      </c>
      <c r="D531" s="2">
        <f>IFERROR(__xludf.DUMMYFUNCTION("""COMPUTED_VALUE"""),3875.0)</f>
        <v>3875</v>
      </c>
      <c r="E531" s="2">
        <f>IFERROR(__xludf.DUMMYFUNCTION("""COMPUTED_VALUE"""),3887.5)</f>
        <v>3887.5</v>
      </c>
      <c r="F531" s="2">
        <f>IFERROR(__xludf.DUMMYFUNCTION("""COMPUTED_VALUE"""),3.9898E7)</f>
        <v>39898000</v>
      </c>
      <c r="G531" s="2">
        <f t="shared" si="1"/>
        <v>87.5</v>
      </c>
    </row>
    <row r="532" ht="15.75" customHeight="1">
      <c r="A532" s="1">
        <f>IFERROR(__xludf.DUMMYFUNCTION("""COMPUTED_VALUE"""),44624.66666666667)</f>
        <v>44624.66667</v>
      </c>
      <c r="B532" s="2">
        <f>IFERROR(__xludf.DUMMYFUNCTION("""COMPUTED_VALUE"""),3925.0)</f>
        <v>3925</v>
      </c>
      <c r="C532" s="2">
        <f>IFERROR(__xludf.DUMMYFUNCTION("""COMPUTED_VALUE"""),3962.5)</f>
        <v>3962.5</v>
      </c>
      <c r="D532" s="2">
        <f>IFERROR(__xludf.DUMMYFUNCTION("""COMPUTED_VALUE"""),3900.0)</f>
        <v>3900</v>
      </c>
      <c r="E532" s="2">
        <f>IFERROR(__xludf.DUMMYFUNCTION("""COMPUTED_VALUE"""),3950.0)</f>
        <v>3950</v>
      </c>
      <c r="F532" s="2">
        <f>IFERROR(__xludf.DUMMYFUNCTION("""COMPUTED_VALUE"""),3.02895E7)</f>
        <v>30289500</v>
      </c>
      <c r="G532" s="2">
        <f t="shared" si="1"/>
        <v>75</v>
      </c>
    </row>
    <row r="533" ht="15.75" customHeight="1">
      <c r="A533" s="1">
        <f>IFERROR(__xludf.DUMMYFUNCTION("""COMPUTED_VALUE"""),44627.66666666667)</f>
        <v>44627.66667</v>
      </c>
      <c r="B533" s="2">
        <f>IFERROR(__xludf.DUMMYFUNCTION("""COMPUTED_VALUE"""),3900.0)</f>
        <v>3900</v>
      </c>
      <c r="C533" s="2">
        <f>IFERROR(__xludf.DUMMYFUNCTION("""COMPUTED_VALUE"""),3950.0)</f>
        <v>3950</v>
      </c>
      <c r="D533" s="2">
        <f>IFERROR(__xludf.DUMMYFUNCTION("""COMPUTED_VALUE"""),3850.0)</f>
        <v>3850</v>
      </c>
      <c r="E533" s="2">
        <f>IFERROR(__xludf.DUMMYFUNCTION("""COMPUTED_VALUE"""),3862.5)</f>
        <v>3862.5</v>
      </c>
      <c r="F533" s="2">
        <f>IFERROR(__xludf.DUMMYFUNCTION("""COMPUTED_VALUE"""),3.82414E7)</f>
        <v>38241400</v>
      </c>
      <c r="G533" s="2">
        <f t="shared" si="1"/>
        <v>100</v>
      </c>
    </row>
    <row r="534" ht="15.75" customHeight="1">
      <c r="A534" s="1">
        <f>IFERROR(__xludf.DUMMYFUNCTION("""COMPUTED_VALUE"""),44628.66666666667)</f>
        <v>44628.66667</v>
      </c>
      <c r="B534" s="2">
        <f>IFERROR(__xludf.DUMMYFUNCTION("""COMPUTED_VALUE"""),3850.0)</f>
        <v>3850</v>
      </c>
      <c r="C534" s="2">
        <f>IFERROR(__xludf.DUMMYFUNCTION("""COMPUTED_VALUE"""),3912.5)</f>
        <v>3912.5</v>
      </c>
      <c r="D534" s="2">
        <f>IFERROR(__xludf.DUMMYFUNCTION("""COMPUTED_VALUE"""),3762.5)</f>
        <v>3762.5</v>
      </c>
      <c r="E534" s="2">
        <f>IFERROR(__xludf.DUMMYFUNCTION("""COMPUTED_VALUE"""),3800.0)</f>
        <v>3800</v>
      </c>
      <c r="F534" s="2">
        <f>IFERROR(__xludf.DUMMYFUNCTION("""COMPUTED_VALUE"""),4.33805E7)</f>
        <v>43380500</v>
      </c>
      <c r="G534" s="2">
        <f t="shared" si="1"/>
        <v>150</v>
      </c>
    </row>
    <row r="535" ht="15.75" customHeight="1">
      <c r="A535" s="1">
        <f>IFERROR(__xludf.DUMMYFUNCTION("""COMPUTED_VALUE"""),44629.66666666667)</f>
        <v>44629.66667</v>
      </c>
      <c r="B535" s="2">
        <f>IFERROR(__xludf.DUMMYFUNCTION("""COMPUTED_VALUE"""),3775.0)</f>
        <v>3775</v>
      </c>
      <c r="C535" s="2">
        <f>IFERROR(__xludf.DUMMYFUNCTION("""COMPUTED_VALUE"""),3950.0)</f>
        <v>3950</v>
      </c>
      <c r="D535" s="2">
        <f>IFERROR(__xludf.DUMMYFUNCTION("""COMPUTED_VALUE"""),3775.0)</f>
        <v>3775</v>
      </c>
      <c r="E535" s="2">
        <f>IFERROR(__xludf.DUMMYFUNCTION("""COMPUTED_VALUE"""),3887.5)</f>
        <v>3887.5</v>
      </c>
      <c r="F535" s="2">
        <f>IFERROR(__xludf.DUMMYFUNCTION("""COMPUTED_VALUE"""),3.90514E7)</f>
        <v>39051400</v>
      </c>
      <c r="G535" s="2">
        <f t="shared" si="1"/>
        <v>175</v>
      </c>
    </row>
    <row r="536" ht="15.75" customHeight="1">
      <c r="A536" s="1">
        <f>IFERROR(__xludf.DUMMYFUNCTION("""COMPUTED_VALUE"""),44630.66666666667)</f>
        <v>44630.66667</v>
      </c>
      <c r="B536" s="2">
        <f>IFERROR(__xludf.DUMMYFUNCTION("""COMPUTED_VALUE"""),3925.0)</f>
        <v>3925</v>
      </c>
      <c r="C536" s="2">
        <f>IFERROR(__xludf.DUMMYFUNCTION("""COMPUTED_VALUE"""),3950.0)</f>
        <v>3950</v>
      </c>
      <c r="D536" s="2">
        <f>IFERROR(__xludf.DUMMYFUNCTION("""COMPUTED_VALUE"""),3862.5)</f>
        <v>3862.5</v>
      </c>
      <c r="E536" s="2">
        <f>IFERROR(__xludf.DUMMYFUNCTION("""COMPUTED_VALUE"""),3887.5)</f>
        <v>3887.5</v>
      </c>
      <c r="F536" s="2">
        <f>IFERROR(__xludf.DUMMYFUNCTION("""COMPUTED_VALUE"""),1.93821E7)</f>
        <v>19382100</v>
      </c>
      <c r="G536" s="2">
        <f t="shared" si="1"/>
        <v>87.5</v>
      </c>
    </row>
    <row r="537" ht="15.75" customHeight="1">
      <c r="A537" s="1">
        <f>IFERROR(__xludf.DUMMYFUNCTION("""COMPUTED_VALUE"""),44631.66666666667)</f>
        <v>44631.66667</v>
      </c>
      <c r="B537" s="2">
        <f>IFERROR(__xludf.DUMMYFUNCTION("""COMPUTED_VALUE"""),3925.0)</f>
        <v>3925</v>
      </c>
      <c r="C537" s="2">
        <f>IFERROR(__xludf.DUMMYFUNCTION("""COMPUTED_VALUE"""),3987.5)</f>
        <v>3987.5</v>
      </c>
      <c r="D537" s="2">
        <f>IFERROR(__xludf.DUMMYFUNCTION("""COMPUTED_VALUE"""),3887.5)</f>
        <v>3887.5</v>
      </c>
      <c r="E537" s="2">
        <f>IFERROR(__xludf.DUMMYFUNCTION("""COMPUTED_VALUE"""),3975.0)</f>
        <v>3975</v>
      </c>
      <c r="F537" s="2">
        <f>IFERROR(__xludf.DUMMYFUNCTION("""COMPUTED_VALUE"""),3.05345E7)</f>
        <v>30534500</v>
      </c>
      <c r="G537" s="2">
        <f t="shared" si="1"/>
        <v>100</v>
      </c>
    </row>
    <row r="538" ht="15.75" customHeight="1">
      <c r="A538" s="1">
        <f>IFERROR(__xludf.DUMMYFUNCTION("""COMPUTED_VALUE"""),44634.66666666667)</f>
        <v>44634.66667</v>
      </c>
      <c r="B538" s="2">
        <f>IFERROR(__xludf.DUMMYFUNCTION("""COMPUTED_VALUE"""),3987.5)</f>
        <v>3987.5</v>
      </c>
      <c r="C538" s="2">
        <f>IFERROR(__xludf.DUMMYFUNCTION("""COMPUTED_VALUE"""),4100.0)</f>
        <v>4100</v>
      </c>
      <c r="D538" s="2">
        <f>IFERROR(__xludf.DUMMYFUNCTION("""COMPUTED_VALUE"""),3900.0)</f>
        <v>3900</v>
      </c>
      <c r="E538" s="2">
        <f>IFERROR(__xludf.DUMMYFUNCTION("""COMPUTED_VALUE"""),4050.0)</f>
        <v>4050</v>
      </c>
      <c r="F538" s="2">
        <f>IFERROR(__xludf.DUMMYFUNCTION("""COMPUTED_VALUE"""),5.38297E7)</f>
        <v>53829700</v>
      </c>
      <c r="G538" s="2">
        <f t="shared" si="1"/>
        <v>200</v>
      </c>
    </row>
    <row r="539" ht="15.75" customHeight="1">
      <c r="A539" s="1">
        <f>IFERROR(__xludf.DUMMYFUNCTION("""COMPUTED_VALUE"""),44635.66666666667)</f>
        <v>44635.66667</v>
      </c>
      <c r="B539" s="2">
        <f>IFERROR(__xludf.DUMMYFUNCTION("""COMPUTED_VALUE"""),4050.0)</f>
        <v>4050</v>
      </c>
      <c r="C539" s="2">
        <f>IFERROR(__xludf.DUMMYFUNCTION("""COMPUTED_VALUE"""),4100.0)</f>
        <v>4100</v>
      </c>
      <c r="D539" s="2">
        <f>IFERROR(__xludf.DUMMYFUNCTION("""COMPUTED_VALUE"""),4012.5)</f>
        <v>4012.5</v>
      </c>
      <c r="E539" s="2">
        <f>IFERROR(__xludf.DUMMYFUNCTION("""COMPUTED_VALUE"""),4037.5)</f>
        <v>4037.5</v>
      </c>
      <c r="F539" s="2">
        <f>IFERROR(__xludf.DUMMYFUNCTION("""COMPUTED_VALUE"""),3.35712E7)</f>
        <v>33571200</v>
      </c>
      <c r="G539" s="2">
        <f t="shared" si="1"/>
        <v>87.5</v>
      </c>
    </row>
    <row r="540" ht="15.75" customHeight="1">
      <c r="A540" s="1">
        <f>IFERROR(__xludf.DUMMYFUNCTION("""COMPUTED_VALUE"""),44636.66666666667)</f>
        <v>44636.66667</v>
      </c>
      <c r="B540" s="2">
        <f>IFERROR(__xludf.DUMMYFUNCTION("""COMPUTED_VALUE"""),4050.0)</f>
        <v>4050</v>
      </c>
      <c r="C540" s="2">
        <f>IFERROR(__xludf.DUMMYFUNCTION("""COMPUTED_VALUE"""),4200.0)</f>
        <v>4200</v>
      </c>
      <c r="D540" s="2">
        <f>IFERROR(__xludf.DUMMYFUNCTION("""COMPUTED_VALUE"""),4050.0)</f>
        <v>4050</v>
      </c>
      <c r="E540" s="2">
        <f>IFERROR(__xludf.DUMMYFUNCTION("""COMPUTED_VALUE"""),4175.0)</f>
        <v>4175</v>
      </c>
      <c r="F540" s="2">
        <f>IFERROR(__xludf.DUMMYFUNCTION("""COMPUTED_VALUE"""),6.47161E7)</f>
        <v>64716100</v>
      </c>
      <c r="G540" s="2">
        <f t="shared" si="1"/>
        <v>162.5</v>
      </c>
    </row>
    <row r="541" ht="15.75" customHeight="1">
      <c r="A541" s="1">
        <f>IFERROR(__xludf.DUMMYFUNCTION("""COMPUTED_VALUE"""),44637.66666666667)</f>
        <v>44637.66667</v>
      </c>
      <c r="B541" s="2">
        <f>IFERROR(__xludf.DUMMYFUNCTION("""COMPUTED_VALUE"""),4225.0)</f>
        <v>4225</v>
      </c>
      <c r="C541" s="2">
        <f>IFERROR(__xludf.DUMMYFUNCTION("""COMPUTED_VALUE"""),4250.0)</f>
        <v>4250</v>
      </c>
      <c r="D541" s="2">
        <f>IFERROR(__xludf.DUMMYFUNCTION("""COMPUTED_VALUE"""),4100.0)</f>
        <v>4100</v>
      </c>
      <c r="E541" s="2">
        <f>IFERROR(__xludf.DUMMYFUNCTION("""COMPUTED_VALUE"""),4112.5)</f>
        <v>4112.5</v>
      </c>
      <c r="F541" s="2">
        <f>IFERROR(__xludf.DUMMYFUNCTION("""COMPUTED_VALUE"""),3.19866E7)</f>
        <v>31986600</v>
      </c>
      <c r="G541" s="2">
        <f t="shared" si="1"/>
        <v>150</v>
      </c>
    </row>
    <row r="542" ht="15.75" customHeight="1">
      <c r="A542" s="1">
        <f>IFERROR(__xludf.DUMMYFUNCTION("""COMPUTED_VALUE"""),44638.66666666667)</f>
        <v>44638.66667</v>
      </c>
      <c r="B542" s="2">
        <f>IFERROR(__xludf.DUMMYFUNCTION("""COMPUTED_VALUE"""),4125.0)</f>
        <v>4125</v>
      </c>
      <c r="C542" s="2">
        <f>IFERROR(__xludf.DUMMYFUNCTION("""COMPUTED_VALUE"""),4175.0)</f>
        <v>4175</v>
      </c>
      <c r="D542" s="2">
        <f>IFERROR(__xludf.DUMMYFUNCTION("""COMPUTED_VALUE"""),4050.0)</f>
        <v>4050</v>
      </c>
      <c r="E542" s="2">
        <f>IFERROR(__xludf.DUMMYFUNCTION("""COMPUTED_VALUE"""),4150.0)</f>
        <v>4150</v>
      </c>
      <c r="F542" s="2">
        <f>IFERROR(__xludf.DUMMYFUNCTION("""COMPUTED_VALUE"""),5.89593E7)</f>
        <v>58959300</v>
      </c>
      <c r="G542" s="2">
        <f t="shared" si="1"/>
        <v>125</v>
      </c>
    </row>
    <row r="543" ht="15.75" customHeight="1">
      <c r="A543" s="1">
        <f>IFERROR(__xludf.DUMMYFUNCTION("""COMPUTED_VALUE"""),44641.66666666667)</f>
        <v>44641.66667</v>
      </c>
      <c r="B543" s="2">
        <f>IFERROR(__xludf.DUMMYFUNCTION("""COMPUTED_VALUE"""),4162.5)</f>
        <v>4162.5</v>
      </c>
      <c r="C543" s="2">
        <f>IFERROR(__xludf.DUMMYFUNCTION("""COMPUTED_VALUE"""),4175.0)</f>
        <v>4175</v>
      </c>
      <c r="D543" s="2">
        <f>IFERROR(__xludf.DUMMYFUNCTION("""COMPUTED_VALUE"""),4025.0)</f>
        <v>4025</v>
      </c>
      <c r="E543" s="2">
        <f>IFERROR(__xludf.DUMMYFUNCTION("""COMPUTED_VALUE"""),4037.5)</f>
        <v>4037.5</v>
      </c>
      <c r="F543" s="2">
        <f>IFERROR(__xludf.DUMMYFUNCTION("""COMPUTED_VALUE"""),3.04503E7)</f>
        <v>30450300</v>
      </c>
      <c r="G543" s="2">
        <f t="shared" si="1"/>
        <v>150</v>
      </c>
    </row>
    <row r="544" ht="15.75" customHeight="1">
      <c r="A544" s="1">
        <f>IFERROR(__xludf.DUMMYFUNCTION("""COMPUTED_VALUE"""),44642.66666666667)</f>
        <v>44642.66667</v>
      </c>
      <c r="B544" s="2">
        <f>IFERROR(__xludf.DUMMYFUNCTION("""COMPUTED_VALUE"""),4037.5)</f>
        <v>4037.5</v>
      </c>
      <c r="C544" s="2">
        <f>IFERROR(__xludf.DUMMYFUNCTION("""COMPUTED_VALUE"""),4050.0)</f>
        <v>4050</v>
      </c>
      <c r="D544" s="2">
        <f>IFERROR(__xludf.DUMMYFUNCTION("""COMPUTED_VALUE"""),4000.0)</f>
        <v>4000</v>
      </c>
      <c r="E544" s="2">
        <f>IFERROR(__xludf.DUMMYFUNCTION("""COMPUTED_VALUE"""),4012.5)</f>
        <v>4012.5</v>
      </c>
      <c r="F544" s="2">
        <f>IFERROR(__xludf.DUMMYFUNCTION("""COMPUTED_VALUE"""),2.24295E7)</f>
        <v>22429500</v>
      </c>
      <c r="G544" s="2">
        <f t="shared" si="1"/>
        <v>50</v>
      </c>
    </row>
    <row r="545" ht="15.75" customHeight="1">
      <c r="A545" s="1">
        <f>IFERROR(__xludf.DUMMYFUNCTION("""COMPUTED_VALUE"""),44643.66666666667)</f>
        <v>44643.66667</v>
      </c>
      <c r="B545" s="2">
        <f>IFERROR(__xludf.DUMMYFUNCTION("""COMPUTED_VALUE"""),4000.0)</f>
        <v>4000</v>
      </c>
      <c r="C545" s="2">
        <f>IFERROR(__xludf.DUMMYFUNCTION("""COMPUTED_VALUE"""),4037.5)</f>
        <v>4037.5</v>
      </c>
      <c r="D545" s="2">
        <f>IFERROR(__xludf.DUMMYFUNCTION("""COMPUTED_VALUE"""),3987.5)</f>
        <v>3987.5</v>
      </c>
      <c r="E545" s="2">
        <f>IFERROR(__xludf.DUMMYFUNCTION("""COMPUTED_VALUE"""),4037.5)</f>
        <v>4037.5</v>
      </c>
      <c r="F545" s="2">
        <f>IFERROR(__xludf.DUMMYFUNCTION("""COMPUTED_VALUE"""),3.57986E7)</f>
        <v>35798600</v>
      </c>
      <c r="G545" s="2">
        <f t="shared" si="1"/>
        <v>50</v>
      </c>
    </row>
    <row r="546" ht="15.75" customHeight="1">
      <c r="A546" s="1">
        <f>IFERROR(__xludf.DUMMYFUNCTION("""COMPUTED_VALUE"""),44644.66666666667)</f>
        <v>44644.66667</v>
      </c>
      <c r="B546" s="2">
        <f>IFERROR(__xludf.DUMMYFUNCTION("""COMPUTED_VALUE"""),4000.0)</f>
        <v>4000</v>
      </c>
      <c r="C546" s="2">
        <f>IFERROR(__xludf.DUMMYFUNCTION("""COMPUTED_VALUE"""),4125.0)</f>
        <v>4125</v>
      </c>
      <c r="D546" s="2">
        <f>IFERROR(__xludf.DUMMYFUNCTION("""COMPUTED_VALUE"""),3975.0)</f>
        <v>3975</v>
      </c>
      <c r="E546" s="2">
        <f>IFERROR(__xludf.DUMMYFUNCTION("""COMPUTED_VALUE"""),4112.5)</f>
        <v>4112.5</v>
      </c>
      <c r="F546" s="2">
        <f>IFERROR(__xludf.DUMMYFUNCTION("""COMPUTED_VALUE"""),4.57007E7)</f>
        <v>45700700</v>
      </c>
      <c r="G546" s="2">
        <f t="shared" si="1"/>
        <v>150</v>
      </c>
    </row>
    <row r="547" ht="15.75" customHeight="1">
      <c r="A547" s="1">
        <f>IFERROR(__xludf.DUMMYFUNCTION("""COMPUTED_VALUE"""),44645.66666666667)</f>
        <v>44645.66667</v>
      </c>
      <c r="B547" s="2">
        <f>IFERROR(__xludf.DUMMYFUNCTION("""COMPUTED_VALUE"""),4112.5)</f>
        <v>4112.5</v>
      </c>
      <c r="C547" s="2">
        <f>IFERROR(__xludf.DUMMYFUNCTION("""COMPUTED_VALUE"""),4137.5)</f>
        <v>4137.5</v>
      </c>
      <c r="D547" s="2">
        <f>IFERROR(__xludf.DUMMYFUNCTION("""COMPUTED_VALUE"""),4050.0)</f>
        <v>4050</v>
      </c>
      <c r="E547" s="2">
        <f>IFERROR(__xludf.DUMMYFUNCTION("""COMPUTED_VALUE"""),4112.5)</f>
        <v>4112.5</v>
      </c>
      <c r="F547" s="2">
        <f>IFERROR(__xludf.DUMMYFUNCTION("""COMPUTED_VALUE"""),2.94554E7)</f>
        <v>29455400</v>
      </c>
      <c r="G547" s="2">
        <f t="shared" si="1"/>
        <v>87.5</v>
      </c>
    </row>
    <row r="548" ht="15.75" customHeight="1">
      <c r="A548" s="1">
        <f>IFERROR(__xludf.DUMMYFUNCTION("""COMPUTED_VALUE"""),44648.66666666667)</f>
        <v>44648.66667</v>
      </c>
      <c r="B548" s="2">
        <f>IFERROR(__xludf.DUMMYFUNCTION("""COMPUTED_VALUE"""),4150.0)</f>
        <v>4150</v>
      </c>
      <c r="C548" s="2">
        <f>IFERROR(__xludf.DUMMYFUNCTION("""COMPUTED_VALUE"""),4262.5)</f>
        <v>4262.5</v>
      </c>
      <c r="D548" s="2">
        <f>IFERROR(__xludf.DUMMYFUNCTION("""COMPUTED_VALUE"""),4112.5)</f>
        <v>4112.5</v>
      </c>
      <c r="E548" s="2">
        <f>IFERROR(__xludf.DUMMYFUNCTION("""COMPUTED_VALUE"""),4250.0)</f>
        <v>4250</v>
      </c>
      <c r="F548" s="2">
        <f>IFERROR(__xludf.DUMMYFUNCTION("""COMPUTED_VALUE"""),4.77981E7)</f>
        <v>47798100</v>
      </c>
      <c r="G548" s="2">
        <f t="shared" si="1"/>
        <v>150</v>
      </c>
    </row>
    <row r="549" ht="15.75" customHeight="1">
      <c r="A549" s="1">
        <f>IFERROR(__xludf.DUMMYFUNCTION("""COMPUTED_VALUE"""),44649.66666666667)</f>
        <v>44649.66667</v>
      </c>
      <c r="B549" s="2">
        <f>IFERROR(__xludf.DUMMYFUNCTION("""COMPUTED_VALUE"""),4250.0)</f>
        <v>4250</v>
      </c>
      <c r="C549" s="2">
        <f>IFERROR(__xludf.DUMMYFUNCTION("""COMPUTED_VALUE"""),4275.0)</f>
        <v>4275</v>
      </c>
      <c r="D549" s="2">
        <f>IFERROR(__xludf.DUMMYFUNCTION("""COMPUTED_VALUE"""),4187.5)</f>
        <v>4187.5</v>
      </c>
      <c r="E549" s="2">
        <f>IFERROR(__xludf.DUMMYFUNCTION("""COMPUTED_VALUE"""),4187.5)</f>
        <v>4187.5</v>
      </c>
      <c r="F549" s="2">
        <f>IFERROR(__xludf.DUMMYFUNCTION("""COMPUTED_VALUE"""),1.86424E7)</f>
        <v>18642400</v>
      </c>
      <c r="G549" s="2">
        <f t="shared" si="1"/>
        <v>87.5</v>
      </c>
    </row>
    <row r="550" ht="15.75" customHeight="1">
      <c r="A550" s="1">
        <f>IFERROR(__xludf.DUMMYFUNCTION("""COMPUTED_VALUE"""),44650.66666666667)</f>
        <v>44650.66667</v>
      </c>
      <c r="B550" s="2">
        <f>IFERROR(__xludf.DUMMYFUNCTION("""COMPUTED_VALUE"""),4225.0)</f>
        <v>4225</v>
      </c>
      <c r="C550" s="2">
        <f>IFERROR(__xludf.DUMMYFUNCTION("""COMPUTED_VALUE"""),4287.5)</f>
        <v>4287.5</v>
      </c>
      <c r="D550" s="2">
        <f>IFERROR(__xludf.DUMMYFUNCTION("""COMPUTED_VALUE"""),4162.5)</f>
        <v>4162.5</v>
      </c>
      <c r="E550" s="2">
        <f>IFERROR(__xludf.DUMMYFUNCTION("""COMPUTED_VALUE"""),4200.0)</f>
        <v>4200</v>
      </c>
      <c r="F550" s="2">
        <f>IFERROR(__xludf.DUMMYFUNCTION("""COMPUTED_VALUE"""),2.64224E7)</f>
        <v>26422400</v>
      </c>
      <c r="G550" s="2">
        <f t="shared" si="1"/>
        <v>125</v>
      </c>
    </row>
    <row r="551" ht="15.75" customHeight="1">
      <c r="A551" s="1">
        <f>IFERROR(__xludf.DUMMYFUNCTION("""COMPUTED_VALUE"""),44651.66666666667)</f>
        <v>44651.66667</v>
      </c>
      <c r="B551" s="2">
        <f>IFERROR(__xludf.DUMMYFUNCTION("""COMPUTED_VALUE"""),4212.5)</f>
        <v>4212.5</v>
      </c>
      <c r="C551" s="2">
        <f>IFERROR(__xludf.DUMMYFUNCTION("""COMPUTED_VALUE"""),4225.0)</f>
        <v>4225</v>
      </c>
      <c r="D551" s="2">
        <f>IFERROR(__xludf.DUMMYFUNCTION("""COMPUTED_VALUE"""),4125.0)</f>
        <v>4125</v>
      </c>
      <c r="E551" s="2">
        <f>IFERROR(__xludf.DUMMYFUNCTION("""COMPUTED_VALUE"""),4125.0)</f>
        <v>4125</v>
      </c>
      <c r="F551" s="2">
        <f>IFERROR(__xludf.DUMMYFUNCTION("""COMPUTED_VALUE"""),2.67987E7)</f>
        <v>26798700</v>
      </c>
      <c r="G551" s="2">
        <f t="shared" si="1"/>
        <v>100</v>
      </c>
    </row>
    <row r="552" ht="15.75" customHeight="1">
      <c r="A552" s="1">
        <f>IFERROR(__xludf.DUMMYFUNCTION("""COMPUTED_VALUE"""),44652.66666666667)</f>
        <v>44652.66667</v>
      </c>
      <c r="B552" s="2">
        <f>IFERROR(__xludf.DUMMYFUNCTION("""COMPUTED_VALUE"""),4125.0)</f>
        <v>4125</v>
      </c>
      <c r="C552" s="2">
        <f>IFERROR(__xludf.DUMMYFUNCTION("""COMPUTED_VALUE"""),4225.0)</f>
        <v>4225</v>
      </c>
      <c r="D552" s="2">
        <f>IFERROR(__xludf.DUMMYFUNCTION("""COMPUTED_VALUE"""),4062.5)</f>
        <v>4062.5</v>
      </c>
      <c r="E552" s="2">
        <f>IFERROR(__xludf.DUMMYFUNCTION("""COMPUTED_VALUE"""),4100.0)</f>
        <v>4100</v>
      </c>
      <c r="F552" s="2">
        <f>IFERROR(__xludf.DUMMYFUNCTION("""COMPUTED_VALUE"""),3.42332E7)</f>
        <v>34233200</v>
      </c>
      <c r="G552" s="2">
        <f t="shared" si="1"/>
        <v>162.5</v>
      </c>
    </row>
    <row r="553" ht="15.75" customHeight="1">
      <c r="A553" s="1">
        <f>IFERROR(__xludf.DUMMYFUNCTION("""COMPUTED_VALUE"""),44655.66666666667)</f>
        <v>44655.66667</v>
      </c>
      <c r="B553" s="2">
        <f>IFERROR(__xludf.DUMMYFUNCTION("""COMPUTED_VALUE"""),4100.0)</f>
        <v>4100</v>
      </c>
      <c r="C553" s="2">
        <f>IFERROR(__xludf.DUMMYFUNCTION("""COMPUTED_VALUE"""),4262.5)</f>
        <v>4262.5</v>
      </c>
      <c r="D553" s="2">
        <f>IFERROR(__xludf.DUMMYFUNCTION("""COMPUTED_VALUE"""),4100.0)</f>
        <v>4100</v>
      </c>
      <c r="E553" s="2">
        <f>IFERROR(__xludf.DUMMYFUNCTION("""COMPUTED_VALUE"""),4212.5)</f>
        <v>4212.5</v>
      </c>
      <c r="F553" s="2">
        <f>IFERROR(__xludf.DUMMYFUNCTION("""COMPUTED_VALUE"""),3.47433E7)</f>
        <v>34743300</v>
      </c>
      <c r="G553" s="2">
        <f t="shared" si="1"/>
        <v>162.5</v>
      </c>
    </row>
    <row r="554" ht="15.75" customHeight="1">
      <c r="A554" s="1">
        <f>IFERROR(__xludf.DUMMYFUNCTION("""COMPUTED_VALUE"""),44656.66666666667)</f>
        <v>44656.66667</v>
      </c>
      <c r="B554" s="2">
        <f>IFERROR(__xludf.DUMMYFUNCTION("""COMPUTED_VALUE"""),4212.5)</f>
        <v>4212.5</v>
      </c>
      <c r="C554" s="2">
        <f>IFERROR(__xludf.DUMMYFUNCTION("""COMPUTED_VALUE"""),4225.0)</f>
        <v>4225</v>
      </c>
      <c r="D554" s="2">
        <f>IFERROR(__xludf.DUMMYFUNCTION("""COMPUTED_VALUE"""),4150.0)</f>
        <v>4150</v>
      </c>
      <c r="E554" s="2">
        <f>IFERROR(__xludf.DUMMYFUNCTION("""COMPUTED_VALUE"""),4187.5)</f>
        <v>4187.5</v>
      </c>
      <c r="F554" s="2">
        <f>IFERROR(__xludf.DUMMYFUNCTION("""COMPUTED_VALUE"""),1.46251E7)</f>
        <v>14625100</v>
      </c>
      <c r="G554" s="2">
        <f t="shared" si="1"/>
        <v>75</v>
      </c>
    </row>
    <row r="555" ht="15.75" customHeight="1">
      <c r="A555" s="1">
        <f>IFERROR(__xludf.DUMMYFUNCTION("""COMPUTED_VALUE"""),44657.66666666667)</f>
        <v>44657.66667</v>
      </c>
      <c r="B555" s="2">
        <f>IFERROR(__xludf.DUMMYFUNCTION("""COMPUTED_VALUE"""),4137.5)</f>
        <v>4137.5</v>
      </c>
      <c r="C555" s="2">
        <f>IFERROR(__xludf.DUMMYFUNCTION("""COMPUTED_VALUE"""),4150.0)</f>
        <v>4150</v>
      </c>
      <c r="D555" s="2">
        <f>IFERROR(__xludf.DUMMYFUNCTION("""COMPUTED_VALUE"""),4062.5)</f>
        <v>4062.5</v>
      </c>
      <c r="E555" s="2">
        <f>IFERROR(__xludf.DUMMYFUNCTION("""COMPUTED_VALUE"""),4075.0)</f>
        <v>4075</v>
      </c>
      <c r="F555" s="2">
        <f>IFERROR(__xludf.DUMMYFUNCTION("""COMPUTED_VALUE"""),3.46037E7)</f>
        <v>34603700</v>
      </c>
      <c r="G555" s="2">
        <f t="shared" si="1"/>
        <v>125</v>
      </c>
    </row>
    <row r="556" ht="15.75" customHeight="1">
      <c r="A556" s="1">
        <f>IFERROR(__xludf.DUMMYFUNCTION("""COMPUTED_VALUE"""),44658.66666666667)</f>
        <v>44658.66667</v>
      </c>
      <c r="B556" s="2">
        <f>IFERROR(__xludf.DUMMYFUNCTION("""COMPUTED_VALUE"""),4075.0)</f>
        <v>4075</v>
      </c>
      <c r="C556" s="2">
        <f>IFERROR(__xludf.DUMMYFUNCTION("""COMPUTED_VALUE"""),4150.0)</f>
        <v>4150</v>
      </c>
      <c r="D556" s="2">
        <f>IFERROR(__xludf.DUMMYFUNCTION("""COMPUTED_VALUE"""),4037.5)</f>
        <v>4037.5</v>
      </c>
      <c r="E556" s="2">
        <f>IFERROR(__xludf.DUMMYFUNCTION("""COMPUTED_VALUE"""),4150.0)</f>
        <v>4150</v>
      </c>
      <c r="F556" s="2">
        <f>IFERROR(__xludf.DUMMYFUNCTION("""COMPUTED_VALUE"""),2.69103E7)</f>
        <v>26910300</v>
      </c>
      <c r="G556" s="2">
        <f t="shared" si="1"/>
        <v>112.5</v>
      </c>
    </row>
    <row r="557" ht="15.75" customHeight="1">
      <c r="A557" s="1">
        <f>IFERROR(__xludf.DUMMYFUNCTION("""COMPUTED_VALUE"""),44659.66666666667)</f>
        <v>44659.66667</v>
      </c>
      <c r="B557" s="2">
        <f>IFERROR(__xludf.DUMMYFUNCTION("""COMPUTED_VALUE"""),4162.5)</f>
        <v>4162.5</v>
      </c>
      <c r="C557" s="2">
        <f>IFERROR(__xludf.DUMMYFUNCTION("""COMPUTED_VALUE"""),4225.0)</f>
        <v>4225</v>
      </c>
      <c r="D557" s="2">
        <f>IFERROR(__xludf.DUMMYFUNCTION("""COMPUTED_VALUE"""),4125.0)</f>
        <v>4125</v>
      </c>
      <c r="E557" s="2">
        <f>IFERROR(__xludf.DUMMYFUNCTION("""COMPUTED_VALUE"""),4212.5)</f>
        <v>4212.5</v>
      </c>
      <c r="F557" s="2">
        <f>IFERROR(__xludf.DUMMYFUNCTION("""COMPUTED_VALUE"""),4.19118E7)</f>
        <v>41911800</v>
      </c>
      <c r="G557" s="2">
        <f t="shared" si="1"/>
        <v>100</v>
      </c>
    </row>
    <row r="558" ht="15.75" customHeight="1">
      <c r="A558" s="1">
        <f>IFERROR(__xludf.DUMMYFUNCTION("""COMPUTED_VALUE"""),44662.66666666667)</f>
        <v>44662.66667</v>
      </c>
      <c r="B558" s="2">
        <f>IFERROR(__xludf.DUMMYFUNCTION("""COMPUTED_VALUE"""),4250.0)</f>
        <v>4250</v>
      </c>
      <c r="C558" s="2">
        <f>IFERROR(__xludf.DUMMYFUNCTION("""COMPUTED_VALUE"""),4250.0)</f>
        <v>4250</v>
      </c>
      <c r="D558" s="2">
        <f>IFERROR(__xludf.DUMMYFUNCTION("""COMPUTED_VALUE"""),4175.0)</f>
        <v>4175</v>
      </c>
      <c r="E558" s="2">
        <f>IFERROR(__xludf.DUMMYFUNCTION("""COMPUTED_VALUE"""),4200.0)</f>
        <v>4200</v>
      </c>
      <c r="F558" s="2">
        <f>IFERROR(__xludf.DUMMYFUNCTION("""COMPUTED_VALUE"""),3.57477E7)</f>
        <v>35747700</v>
      </c>
      <c r="G558" s="2">
        <f t="shared" si="1"/>
        <v>75</v>
      </c>
    </row>
    <row r="559" ht="15.75" customHeight="1">
      <c r="A559" s="1">
        <f>IFERROR(__xludf.DUMMYFUNCTION("""COMPUTED_VALUE"""),44663.66666666667)</f>
        <v>44663.66667</v>
      </c>
      <c r="B559" s="2">
        <f>IFERROR(__xludf.DUMMYFUNCTION("""COMPUTED_VALUE"""),4200.0)</f>
        <v>4200</v>
      </c>
      <c r="C559" s="2">
        <f>IFERROR(__xludf.DUMMYFUNCTION("""COMPUTED_VALUE"""),4237.5)</f>
        <v>4237.5</v>
      </c>
      <c r="D559" s="2">
        <f>IFERROR(__xludf.DUMMYFUNCTION("""COMPUTED_VALUE"""),4137.5)</f>
        <v>4137.5</v>
      </c>
      <c r="E559" s="2">
        <f>IFERROR(__xludf.DUMMYFUNCTION("""COMPUTED_VALUE"""),4212.5)</f>
        <v>4212.5</v>
      </c>
      <c r="F559" s="2">
        <f>IFERROR(__xludf.DUMMYFUNCTION("""COMPUTED_VALUE"""),2.77746E7)</f>
        <v>27774600</v>
      </c>
      <c r="G559" s="2">
        <f t="shared" si="1"/>
        <v>100</v>
      </c>
    </row>
    <row r="560" ht="15.75" customHeight="1">
      <c r="A560" s="1">
        <f>IFERROR(__xludf.DUMMYFUNCTION("""COMPUTED_VALUE"""),44664.66666666667)</f>
        <v>44664.66667</v>
      </c>
      <c r="B560" s="2">
        <f>IFERROR(__xludf.DUMMYFUNCTION("""COMPUTED_VALUE"""),4262.5)</f>
        <v>4262.5</v>
      </c>
      <c r="C560" s="2">
        <f>IFERROR(__xludf.DUMMYFUNCTION("""COMPUTED_VALUE"""),4262.5)</f>
        <v>4262.5</v>
      </c>
      <c r="D560" s="2">
        <f>IFERROR(__xludf.DUMMYFUNCTION("""COMPUTED_VALUE"""),4187.5)</f>
        <v>4187.5</v>
      </c>
      <c r="E560" s="2">
        <f>IFERROR(__xludf.DUMMYFUNCTION("""COMPUTED_VALUE"""),4225.0)</f>
        <v>4225</v>
      </c>
      <c r="F560" s="2">
        <f>IFERROR(__xludf.DUMMYFUNCTION("""COMPUTED_VALUE"""),2.85605E7)</f>
        <v>28560500</v>
      </c>
      <c r="G560" s="2">
        <f t="shared" si="1"/>
        <v>75</v>
      </c>
    </row>
    <row r="561" ht="15.75" customHeight="1">
      <c r="A561" s="1">
        <f>IFERROR(__xludf.DUMMYFUNCTION("""COMPUTED_VALUE"""),44665.66666666667)</f>
        <v>44665.66667</v>
      </c>
      <c r="B561" s="2">
        <f>IFERROR(__xludf.DUMMYFUNCTION("""COMPUTED_VALUE"""),4225.0)</f>
        <v>4225</v>
      </c>
      <c r="C561" s="2">
        <f>IFERROR(__xludf.DUMMYFUNCTION("""COMPUTED_VALUE"""),4250.0)</f>
        <v>4250</v>
      </c>
      <c r="D561" s="2">
        <f>IFERROR(__xludf.DUMMYFUNCTION("""COMPUTED_VALUE"""),4175.0)</f>
        <v>4175</v>
      </c>
      <c r="E561" s="2">
        <f>IFERROR(__xludf.DUMMYFUNCTION("""COMPUTED_VALUE"""),4200.0)</f>
        <v>4200</v>
      </c>
      <c r="F561" s="2">
        <f>IFERROR(__xludf.DUMMYFUNCTION("""COMPUTED_VALUE"""),1.79906E7)</f>
        <v>17990600</v>
      </c>
      <c r="G561" s="2">
        <f t="shared" si="1"/>
        <v>75</v>
      </c>
    </row>
    <row r="562" ht="15.75" customHeight="1">
      <c r="A562" s="1">
        <f>IFERROR(__xludf.DUMMYFUNCTION("""COMPUTED_VALUE"""),44669.66666666667)</f>
        <v>44669.66667</v>
      </c>
      <c r="B562" s="2">
        <f>IFERROR(__xludf.DUMMYFUNCTION("""COMPUTED_VALUE"""),4200.0)</f>
        <v>4200</v>
      </c>
      <c r="C562" s="2">
        <f>IFERROR(__xludf.DUMMYFUNCTION("""COMPUTED_VALUE"""),4212.5)</f>
        <v>4212.5</v>
      </c>
      <c r="D562" s="2">
        <f>IFERROR(__xludf.DUMMYFUNCTION("""COMPUTED_VALUE"""),4175.0)</f>
        <v>4175</v>
      </c>
      <c r="E562" s="2">
        <f>IFERROR(__xludf.DUMMYFUNCTION("""COMPUTED_VALUE"""),4212.5)</f>
        <v>4212.5</v>
      </c>
      <c r="F562" s="2">
        <f>IFERROR(__xludf.DUMMYFUNCTION("""COMPUTED_VALUE"""),2.12463E7)</f>
        <v>21246300</v>
      </c>
      <c r="G562" s="2">
        <f t="shared" si="1"/>
        <v>37.5</v>
      </c>
    </row>
    <row r="563" ht="15.75" customHeight="1">
      <c r="A563" s="1">
        <f>IFERROR(__xludf.DUMMYFUNCTION("""COMPUTED_VALUE"""),44670.66666666667)</f>
        <v>44670.66667</v>
      </c>
      <c r="B563" s="2">
        <f>IFERROR(__xludf.DUMMYFUNCTION("""COMPUTED_VALUE"""),4200.0)</f>
        <v>4200</v>
      </c>
      <c r="C563" s="2">
        <f>IFERROR(__xludf.DUMMYFUNCTION("""COMPUTED_VALUE"""),4225.0)</f>
        <v>4225</v>
      </c>
      <c r="D563" s="2">
        <f>IFERROR(__xludf.DUMMYFUNCTION("""COMPUTED_VALUE"""),4162.5)</f>
        <v>4162.5</v>
      </c>
      <c r="E563" s="2">
        <f>IFERROR(__xludf.DUMMYFUNCTION("""COMPUTED_VALUE"""),4200.0)</f>
        <v>4200</v>
      </c>
      <c r="F563" s="2">
        <f>IFERROR(__xludf.DUMMYFUNCTION("""COMPUTED_VALUE"""),2.2128E7)</f>
        <v>22128000</v>
      </c>
      <c r="G563" s="2">
        <f t="shared" si="1"/>
        <v>62.5</v>
      </c>
    </row>
    <row r="564" ht="15.75" customHeight="1">
      <c r="A564" s="1">
        <f>IFERROR(__xludf.DUMMYFUNCTION("""COMPUTED_VALUE"""),44671.66666666667)</f>
        <v>44671.66667</v>
      </c>
      <c r="B564" s="2">
        <f>IFERROR(__xludf.DUMMYFUNCTION("""COMPUTED_VALUE"""),4250.0)</f>
        <v>4250</v>
      </c>
      <c r="C564" s="2">
        <f>IFERROR(__xludf.DUMMYFUNCTION("""COMPUTED_VALUE"""),4512.5)</f>
        <v>4512.5</v>
      </c>
      <c r="D564" s="2">
        <f>IFERROR(__xludf.DUMMYFUNCTION("""COMPUTED_VALUE"""),4225.0)</f>
        <v>4225</v>
      </c>
      <c r="E564" s="2">
        <f>IFERROR(__xludf.DUMMYFUNCTION("""COMPUTED_VALUE"""),4487.5)</f>
        <v>4487.5</v>
      </c>
      <c r="F564" s="2">
        <f>IFERROR(__xludf.DUMMYFUNCTION("""COMPUTED_VALUE"""),6.92736E7)</f>
        <v>69273600</v>
      </c>
      <c r="G564" s="2">
        <f t="shared" si="1"/>
        <v>312.5</v>
      </c>
    </row>
    <row r="565" ht="15.75" customHeight="1">
      <c r="A565" s="1">
        <f>IFERROR(__xludf.DUMMYFUNCTION("""COMPUTED_VALUE"""),44672.66666666667)</f>
        <v>44672.66667</v>
      </c>
      <c r="B565" s="2">
        <f>IFERROR(__xludf.DUMMYFUNCTION("""COMPUTED_VALUE"""),4500.0)</f>
        <v>4500</v>
      </c>
      <c r="C565" s="2">
        <f>IFERROR(__xludf.DUMMYFUNCTION("""COMPUTED_VALUE"""),4700.0)</f>
        <v>4700</v>
      </c>
      <c r="D565" s="2">
        <f>IFERROR(__xludf.DUMMYFUNCTION("""COMPUTED_VALUE"""),4500.0)</f>
        <v>4500</v>
      </c>
      <c r="E565" s="2">
        <f>IFERROR(__xludf.DUMMYFUNCTION("""COMPUTED_VALUE"""),4687.5)</f>
        <v>4687.5</v>
      </c>
      <c r="F565" s="2">
        <f>IFERROR(__xludf.DUMMYFUNCTION("""COMPUTED_VALUE"""),6.61369E7)</f>
        <v>66136900</v>
      </c>
      <c r="G565" s="2">
        <f t="shared" si="1"/>
        <v>212.5</v>
      </c>
    </row>
    <row r="566" ht="15.75" customHeight="1">
      <c r="A566" s="1">
        <f>IFERROR(__xludf.DUMMYFUNCTION("""COMPUTED_VALUE"""),44673.66666666667)</f>
        <v>44673.66667</v>
      </c>
      <c r="B566" s="2">
        <f>IFERROR(__xludf.DUMMYFUNCTION("""COMPUTED_VALUE"""),4650.0)</f>
        <v>4650</v>
      </c>
      <c r="C566" s="2">
        <f>IFERROR(__xludf.DUMMYFUNCTION("""COMPUTED_VALUE"""),4725.0)</f>
        <v>4725</v>
      </c>
      <c r="D566" s="2">
        <f>IFERROR(__xludf.DUMMYFUNCTION("""COMPUTED_VALUE"""),4625.0)</f>
        <v>4625</v>
      </c>
      <c r="E566" s="2">
        <f>IFERROR(__xludf.DUMMYFUNCTION("""COMPUTED_VALUE"""),4675.0)</f>
        <v>4675</v>
      </c>
      <c r="F566" s="2">
        <f>IFERROR(__xludf.DUMMYFUNCTION("""COMPUTED_VALUE"""),4.28016E7)</f>
        <v>42801600</v>
      </c>
      <c r="G566" s="2">
        <f t="shared" si="1"/>
        <v>100</v>
      </c>
    </row>
    <row r="567" ht="15.75" customHeight="1">
      <c r="A567" s="1">
        <f>IFERROR(__xludf.DUMMYFUNCTION("""COMPUTED_VALUE"""),44676.66666666667)</f>
        <v>44676.66667</v>
      </c>
      <c r="B567" s="2">
        <f>IFERROR(__xludf.DUMMYFUNCTION("""COMPUTED_VALUE"""),4662.5)</f>
        <v>4662.5</v>
      </c>
      <c r="C567" s="2">
        <f>IFERROR(__xludf.DUMMYFUNCTION("""COMPUTED_VALUE"""),4950.0)</f>
        <v>4950</v>
      </c>
      <c r="D567" s="2">
        <f>IFERROR(__xludf.DUMMYFUNCTION("""COMPUTED_VALUE"""),4587.5)</f>
        <v>4587.5</v>
      </c>
      <c r="E567" s="2">
        <f>IFERROR(__xludf.DUMMYFUNCTION("""COMPUTED_VALUE"""),4750.0)</f>
        <v>4750</v>
      </c>
      <c r="F567" s="2">
        <f>IFERROR(__xludf.DUMMYFUNCTION("""COMPUTED_VALUE"""),7.78977E7)</f>
        <v>77897700</v>
      </c>
      <c r="G567" s="2">
        <f t="shared" si="1"/>
        <v>362.5</v>
      </c>
    </row>
    <row r="568" ht="15.75" customHeight="1">
      <c r="A568" s="1">
        <f>IFERROR(__xludf.DUMMYFUNCTION("""COMPUTED_VALUE"""),44677.66666666667)</f>
        <v>44677.66667</v>
      </c>
      <c r="B568" s="2">
        <f>IFERROR(__xludf.DUMMYFUNCTION("""COMPUTED_VALUE"""),4750.0)</f>
        <v>4750</v>
      </c>
      <c r="C568" s="2">
        <f>IFERROR(__xludf.DUMMYFUNCTION("""COMPUTED_VALUE"""),4850.0)</f>
        <v>4850</v>
      </c>
      <c r="D568" s="2">
        <f>IFERROR(__xludf.DUMMYFUNCTION("""COMPUTED_VALUE"""),4737.5)</f>
        <v>4737.5</v>
      </c>
      <c r="E568" s="2">
        <f>IFERROR(__xludf.DUMMYFUNCTION("""COMPUTED_VALUE"""),4800.0)</f>
        <v>4800</v>
      </c>
      <c r="F568" s="2">
        <f>IFERROR(__xludf.DUMMYFUNCTION("""COMPUTED_VALUE"""),3.9881E7)</f>
        <v>39881000</v>
      </c>
      <c r="G568" s="2">
        <f t="shared" si="1"/>
        <v>112.5</v>
      </c>
    </row>
    <row r="569" ht="15.75" customHeight="1">
      <c r="A569" s="1">
        <f>IFERROR(__xludf.DUMMYFUNCTION("""COMPUTED_VALUE"""),44678.66666666667)</f>
        <v>44678.66667</v>
      </c>
      <c r="B569" s="2">
        <f>IFERROR(__xludf.DUMMYFUNCTION("""COMPUTED_VALUE"""),4800.0)</f>
        <v>4800</v>
      </c>
      <c r="C569" s="2">
        <f>IFERROR(__xludf.DUMMYFUNCTION("""COMPUTED_VALUE"""),4812.5)</f>
        <v>4812.5</v>
      </c>
      <c r="D569" s="2">
        <f>IFERROR(__xludf.DUMMYFUNCTION("""COMPUTED_VALUE"""),4700.0)</f>
        <v>4700</v>
      </c>
      <c r="E569" s="2">
        <f>IFERROR(__xludf.DUMMYFUNCTION("""COMPUTED_VALUE"""),4725.0)</f>
        <v>4725</v>
      </c>
      <c r="F569" s="2">
        <f>IFERROR(__xludf.DUMMYFUNCTION("""COMPUTED_VALUE"""),5.17133E7)</f>
        <v>51713300</v>
      </c>
      <c r="G569" s="2">
        <f t="shared" si="1"/>
        <v>112.5</v>
      </c>
    </row>
    <row r="570" ht="15.75" customHeight="1">
      <c r="A570" s="1">
        <f>IFERROR(__xludf.DUMMYFUNCTION("""COMPUTED_VALUE"""),44679.66666666667)</f>
        <v>44679.66667</v>
      </c>
      <c r="B570" s="2">
        <f>IFERROR(__xludf.DUMMYFUNCTION("""COMPUTED_VALUE"""),4725.0)</f>
        <v>4725</v>
      </c>
      <c r="C570" s="2">
        <f>IFERROR(__xludf.DUMMYFUNCTION("""COMPUTED_VALUE"""),4775.0)</f>
        <v>4775</v>
      </c>
      <c r="D570" s="2">
        <f>IFERROR(__xludf.DUMMYFUNCTION("""COMPUTED_VALUE"""),4575.0)</f>
        <v>4575</v>
      </c>
      <c r="E570" s="2">
        <f>IFERROR(__xludf.DUMMYFUNCTION("""COMPUTED_VALUE"""),4612.5)</f>
        <v>4612.5</v>
      </c>
      <c r="F570" s="2">
        <f>IFERROR(__xludf.DUMMYFUNCTION("""COMPUTED_VALUE"""),7.01208E7)</f>
        <v>70120800</v>
      </c>
      <c r="G570" s="2">
        <f t="shared" si="1"/>
        <v>200</v>
      </c>
    </row>
    <row r="571" ht="15.75" customHeight="1">
      <c r="A571" s="1">
        <f>IFERROR(__xludf.DUMMYFUNCTION("""COMPUTED_VALUE"""),44690.66666666667)</f>
        <v>44690.66667</v>
      </c>
      <c r="B571" s="2">
        <f>IFERROR(__xludf.DUMMYFUNCTION("""COMPUTED_VALUE"""),4500.0)</f>
        <v>4500</v>
      </c>
      <c r="C571" s="2">
        <f>IFERROR(__xludf.DUMMYFUNCTION("""COMPUTED_VALUE"""),4500.0)</f>
        <v>4500</v>
      </c>
      <c r="D571" s="2">
        <f>IFERROR(__xludf.DUMMYFUNCTION("""COMPUTED_VALUE"""),4325.0)</f>
        <v>4325</v>
      </c>
      <c r="E571" s="2">
        <f>IFERROR(__xludf.DUMMYFUNCTION("""COMPUTED_VALUE"""),4412.5)</f>
        <v>4412.5</v>
      </c>
      <c r="F571" s="2">
        <f>IFERROR(__xludf.DUMMYFUNCTION("""COMPUTED_VALUE"""),1.04526E8)</f>
        <v>104526000</v>
      </c>
      <c r="G571" s="2">
        <f t="shared" si="1"/>
        <v>287.5</v>
      </c>
    </row>
    <row r="572" ht="15.75" customHeight="1">
      <c r="A572" s="1">
        <f>IFERROR(__xludf.DUMMYFUNCTION("""COMPUTED_VALUE"""),44691.66666666667)</f>
        <v>44691.66667</v>
      </c>
      <c r="B572" s="2">
        <f>IFERROR(__xludf.DUMMYFUNCTION("""COMPUTED_VALUE"""),4175.0)</f>
        <v>4175</v>
      </c>
      <c r="C572" s="2">
        <f>IFERROR(__xludf.DUMMYFUNCTION("""COMPUTED_VALUE"""),4450.0)</f>
        <v>4450</v>
      </c>
      <c r="D572" s="2">
        <f>IFERROR(__xludf.DUMMYFUNCTION("""COMPUTED_VALUE"""),4175.0)</f>
        <v>4175</v>
      </c>
      <c r="E572" s="2">
        <f>IFERROR(__xludf.DUMMYFUNCTION("""COMPUTED_VALUE"""),4450.0)</f>
        <v>4450</v>
      </c>
      <c r="F572" s="2">
        <f>IFERROR(__xludf.DUMMYFUNCTION("""COMPUTED_VALUE"""),8.31715E7)</f>
        <v>83171500</v>
      </c>
      <c r="G572" s="2">
        <f t="shared" si="1"/>
        <v>275</v>
      </c>
    </row>
    <row r="573" ht="15.75" customHeight="1">
      <c r="A573" s="1">
        <f>IFERROR(__xludf.DUMMYFUNCTION("""COMPUTED_VALUE"""),44692.66666666667)</f>
        <v>44692.66667</v>
      </c>
      <c r="B573" s="2">
        <f>IFERROR(__xludf.DUMMYFUNCTION("""COMPUTED_VALUE"""),4475.0)</f>
        <v>4475</v>
      </c>
      <c r="C573" s="2">
        <f>IFERROR(__xludf.DUMMYFUNCTION("""COMPUTED_VALUE"""),4600.0)</f>
        <v>4600</v>
      </c>
      <c r="D573" s="2">
        <f>IFERROR(__xludf.DUMMYFUNCTION("""COMPUTED_VALUE"""),4375.0)</f>
        <v>4375</v>
      </c>
      <c r="E573" s="2">
        <f>IFERROR(__xludf.DUMMYFUNCTION("""COMPUTED_VALUE"""),4387.5)</f>
        <v>4387.5</v>
      </c>
      <c r="F573" s="2">
        <f>IFERROR(__xludf.DUMMYFUNCTION("""COMPUTED_VALUE"""),3.48021E7)</f>
        <v>34802100</v>
      </c>
      <c r="G573" s="2">
        <f t="shared" si="1"/>
        <v>225</v>
      </c>
    </row>
    <row r="574" ht="15.75" customHeight="1">
      <c r="A574" s="1">
        <f>IFERROR(__xludf.DUMMYFUNCTION("""COMPUTED_VALUE"""),44693.66666666667)</f>
        <v>44693.66667</v>
      </c>
      <c r="B574" s="2">
        <f>IFERROR(__xludf.DUMMYFUNCTION("""COMPUTED_VALUE"""),4400.0)</f>
        <v>4400</v>
      </c>
      <c r="C574" s="2">
        <f>IFERROR(__xludf.DUMMYFUNCTION("""COMPUTED_VALUE"""),4400.0)</f>
        <v>4400</v>
      </c>
      <c r="D574" s="2">
        <f>IFERROR(__xludf.DUMMYFUNCTION("""COMPUTED_VALUE"""),4087.5)</f>
        <v>4087.5</v>
      </c>
      <c r="E574" s="2">
        <f>IFERROR(__xludf.DUMMYFUNCTION("""COMPUTED_VALUE"""),4100.0)</f>
        <v>4100</v>
      </c>
      <c r="F574" s="2">
        <f>IFERROR(__xludf.DUMMYFUNCTION("""COMPUTED_VALUE"""),1.095125E8)</f>
        <v>109512500</v>
      </c>
      <c r="G574" s="2">
        <f t="shared" si="1"/>
        <v>312.5</v>
      </c>
    </row>
    <row r="575" ht="15.75" customHeight="1">
      <c r="A575" s="1">
        <f>IFERROR(__xludf.DUMMYFUNCTION("""COMPUTED_VALUE"""),44694.66666666667)</f>
        <v>44694.66667</v>
      </c>
      <c r="B575" s="2">
        <f>IFERROR(__xludf.DUMMYFUNCTION("""COMPUTED_VALUE"""),4100.0)</f>
        <v>4100</v>
      </c>
      <c r="C575" s="2">
        <f>IFERROR(__xludf.DUMMYFUNCTION("""COMPUTED_VALUE"""),4137.5)</f>
        <v>4137.5</v>
      </c>
      <c r="D575" s="2">
        <f>IFERROR(__xludf.DUMMYFUNCTION("""COMPUTED_VALUE"""),4025.0)</f>
        <v>4025</v>
      </c>
      <c r="E575" s="2">
        <f>IFERROR(__xludf.DUMMYFUNCTION("""COMPUTED_VALUE"""),4125.0)</f>
        <v>4125</v>
      </c>
      <c r="F575" s="2">
        <f>IFERROR(__xludf.DUMMYFUNCTION("""COMPUTED_VALUE"""),5.53386E7)</f>
        <v>55338600</v>
      </c>
      <c r="G575" s="2">
        <f t="shared" si="1"/>
        <v>112.5</v>
      </c>
    </row>
    <row r="576" ht="15.75" customHeight="1">
      <c r="A576" s="1">
        <f>IFERROR(__xludf.DUMMYFUNCTION("""COMPUTED_VALUE"""),44698.66666666667)</f>
        <v>44698.66667</v>
      </c>
      <c r="B576" s="2">
        <f>IFERROR(__xludf.DUMMYFUNCTION("""COMPUTED_VALUE"""),4175.0)</f>
        <v>4175</v>
      </c>
      <c r="C576" s="2">
        <f>IFERROR(__xludf.DUMMYFUNCTION("""COMPUTED_VALUE"""),4325.0)</f>
        <v>4325</v>
      </c>
      <c r="D576" s="2">
        <f>IFERROR(__xludf.DUMMYFUNCTION("""COMPUTED_VALUE"""),4100.0)</f>
        <v>4100</v>
      </c>
      <c r="E576" s="2">
        <f>IFERROR(__xludf.DUMMYFUNCTION("""COMPUTED_VALUE"""),4225.0)</f>
        <v>4225</v>
      </c>
      <c r="F576" s="2">
        <f>IFERROR(__xludf.DUMMYFUNCTION("""COMPUTED_VALUE"""),4.38917E7)</f>
        <v>43891700</v>
      </c>
      <c r="G576" s="2">
        <f t="shared" si="1"/>
        <v>225</v>
      </c>
    </row>
    <row r="577" ht="15.75" customHeight="1">
      <c r="A577" s="1">
        <f>IFERROR(__xludf.DUMMYFUNCTION("""COMPUTED_VALUE"""),44699.66666666667)</f>
        <v>44699.66667</v>
      </c>
      <c r="B577" s="2">
        <f>IFERROR(__xludf.DUMMYFUNCTION("""COMPUTED_VALUE"""),4275.0)</f>
        <v>4275</v>
      </c>
      <c r="C577" s="2">
        <f>IFERROR(__xludf.DUMMYFUNCTION("""COMPUTED_VALUE"""),4437.5)</f>
        <v>4437.5</v>
      </c>
      <c r="D577" s="2">
        <f>IFERROR(__xludf.DUMMYFUNCTION("""COMPUTED_VALUE"""),4250.0)</f>
        <v>4250</v>
      </c>
      <c r="E577" s="2">
        <f>IFERROR(__xludf.DUMMYFUNCTION("""COMPUTED_VALUE"""),4375.0)</f>
        <v>4375</v>
      </c>
      <c r="F577" s="2">
        <f>IFERROR(__xludf.DUMMYFUNCTION("""COMPUTED_VALUE"""),5.30378E7)</f>
        <v>53037800</v>
      </c>
      <c r="G577" s="2">
        <f t="shared" si="1"/>
        <v>212.5</v>
      </c>
    </row>
    <row r="578" ht="15.75" customHeight="1">
      <c r="A578" s="1">
        <f>IFERROR(__xludf.DUMMYFUNCTION("""COMPUTED_VALUE"""),44700.66666666667)</f>
        <v>44700.66667</v>
      </c>
      <c r="B578" s="2">
        <f>IFERROR(__xludf.DUMMYFUNCTION("""COMPUTED_VALUE"""),4275.0)</f>
        <v>4275</v>
      </c>
      <c r="C578" s="2">
        <f>IFERROR(__xludf.DUMMYFUNCTION("""COMPUTED_VALUE"""),4400.0)</f>
        <v>4400</v>
      </c>
      <c r="D578" s="2">
        <f>IFERROR(__xludf.DUMMYFUNCTION("""COMPUTED_VALUE"""),4225.0)</f>
        <v>4225</v>
      </c>
      <c r="E578" s="2">
        <f>IFERROR(__xludf.DUMMYFUNCTION("""COMPUTED_VALUE"""),4337.5)</f>
        <v>4337.5</v>
      </c>
      <c r="F578" s="2">
        <f>IFERROR(__xludf.DUMMYFUNCTION("""COMPUTED_VALUE"""),3.24296E7)</f>
        <v>32429600</v>
      </c>
      <c r="G578" s="2">
        <f t="shared" si="1"/>
        <v>175</v>
      </c>
    </row>
    <row r="579" ht="15.75" customHeight="1">
      <c r="A579" s="1">
        <f>IFERROR(__xludf.DUMMYFUNCTION("""COMPUTED_VALUE"""),44701.66666666667)</f>
        <v>44701.66667</v>
      </c>
      <c r="B579" s="2">
        <f>IFERROR(__xludf.DUMMYFUNCTION("""COMPUTED_VALUE"""),4350.0)</f>
        <v>4350</v>
      </c>
      <c r="C579" s="2">
        <f>IFERROR(__xludf.DUMMYFUNCTION("""COMPUTED_VALUE"""),4462.5)</f>
        <v>4462.5</v>
      </c>
      <c r="D579" s="2">
        <f>IFERROR(__xludf.DUMMYFUNCTION("""COMPUTED_VALUE"""),4350.0)</f>
        <v>4350</v>
      </c>
      <c r="E579" s="2">
        <f>IFERROR(__xludf.DUMMYFUNCTION("""COMPUTED_VALUE"""),4387.5)</f>
        <v>4387.5</v>
      </c>
      <c r="F579" s="2">
        <f>IFERROR(__xludf.DUMMYFUNCTION("""COMPUTED_VALUE"""),3.5186E7)</f>
        <v>35186000</v>
      </c>
      <c r="G579" s="2">
        <f t="shared" si="1"/>
        <v>125</v>
      </c>
    </row>
    <row r="580" ht="15.75" customHeight="1">
      <c r="A580" s="1">
        <f>IFERROR(__xludf.DUMMYFUNCTION("""COMPUTED_VALUE"""),44704.66666666667)</f>
        <v>44704.66667</v>
      </c>
      <c r="B580" s="2">
        <f>IFERROR(__xludf.DUMMYFUNCTION("""COMPUTED_VALUE"""),4387.5)</f>
        <v>4387.5</v>
      </c>
      <c r="C580" s="2">
        <f>IFERROR(__xludf.DUMMYFUNCTION("""COMPUTED_VALUE"""),4487.5)</f>
        <v>4487.5</v>
      </c>
      <c r="D580" s="2">
        <f>IFERROR(__xludf.DUMMYFUNCTION("""COMPUTED_VALUE"""),4337.5)</f>
        <v>4337.5</v>
      </c>
      <c r="E580" s="2">
        <f>IFERROR(__xludf.DUMMYFUNCTION("""COMPUTED_VALUE"""),4425.0)</f>
        <v>4425</v>
      </c>
      <c r="F580" s="2">
        <f>IFERROR(__xludf.DUMMYFUNCTION("""COMPUTED_VALUE"""),3.04491E7)</f>
        <v>30449100</v>
      </c>
      <c r="G580" s="2">
        <f t="shared" si="1"/>
        <v>150</v>
      </c>
    </row>
    <row r="581" ht="15.75" customHeight="1">
      <c r="A581" s="1">
        <f>IFERROR(__xludf.DUMMYFUNCTION("""COMPUTED_VALUE"""),44705.66666666667)</f>
        <v>44705.66667</v>
      </c>
      <c r="B581" s="2">
        <f>IFERROR(__xludf.DUMMYFUNCTION("""COMPUTED_VALUE"""),4512.5)</f>
        <v>4512.5</v>
      </c>
      <c r="C581" s="2">
        <f>IFERROR(__xludf.DUMMYFUNCTION("""COMPUTED_VALUE"""),4587.5)</f>
        <v>4587.5</v>
      </c>
      <c r="D581" s="2">
        <f>IFERROR(__xludf.DUMMYFUNCTION("""COMPUTED_VALUE"""),4475.0)</f>
        <v>4475</v>
      </c>
      <c r="E581" s="2">
        <f>IFERROR(__xludf.DUMMYFUNCTION("""COMPUTED_VALUE"""),4537.5)</f>
        <v>4537.5</v>
      </c>
      <c r="F581" s="2">
        <f>IFERROR(__xludf.DUMMYFUNCTION("""COMPUTED_VALUE"""),2.90157E7)</f>
        <v>29015700</v>
      </c>
      <c r="G581" s="2">
        <f t="shared" si="1"/>
        <v>162.5</v>
      </c>
    </row>
    <row r="582" ht="15.75" customHeight="1">
      <c r="A582" s="1">
        <f>IFERROR(__xludf.DUMMYFUNCTION("""COMPUTED_VALUE"""),44706.66666666667)</f>
        <v>44706.66667</v>
      </c>
      <c r="B582" s="2">
        <f>IFERROR(__xludf.DUMMYFUNCTION("""COMPUTED_VALUE"""),4487.5)</f>
        <v>4487.5</v>
      </c>
      <c r="C582" s="2">
        <f>IFERROR(__xludf.DUMMYFUNCTION("""COMPUTED_VALUE"""),4575.0)</f>
        <v>4575</v>
      </c>
      <c r="D582" s="2">
        <f>IFERROR(__xludf.DUMMYFUNCTION("""COMPUTED_VALUE"""),4437.5)</f>
        <v>4437.5</v>
      </c>
      <c r="E582" s="2">
        <f>IFERROR(__xludf.DUMMYFUNCTION("""COMPUTED_VALUE"""),4462.5)</f>
        <v>4462.5</v>
      </c>
      <c r="F582" s="2">
        <f>IFERROR(__xludf.DUMMYFUNCTION("""COMPUTED_VALUE"""),3.68502E7)</f>
        <v>36850200</v>
      </c>
      <c r="G582" s="2">
        <f t="shared" si="1"/>
        <v>137.5</v>
      </c>
    </row>
    <row r="583" ht="15.75" customHeight="1">
      <c r="A583" s="1">
        <f>IFERROR(__xludf.DUMMYFUNCTION("""COMPUTED_VALUE"""),44708.66666666667)</f>
        <v>44708.66667</v>
      </c>
      <c r="B583" s="2">
        <f>IFERROR(__xludf.DUMMYFUNCTION("""COMPUTED_VALUE"""),4500.0)</f>
        <v>4500</v>
      </c>
      <c r="C583" s="2">
        <f>IFERROR(__xludf.DUMMYFUNCTION("""COMPUTED_VALUE"""),4687.5)</f>
        <v>4687.5</v>
      </c>
      <c r="D583" s="2">
        <f>IFERROR(__xludf.DUMMYFUNCTION("""COMPUTED_VALUE"""),4487.5)</f>
        <v>4487.5</v>
      </c>
      <c r="E583" s="2">
        <f>IFERROR(__xludf.DUMMYFUNCTION("""COMPUTED_VALUE"""),4600.0)</f>
        <v>4600</v>
      </c>
      <c r="F583" s="2">
        <f>IFERROR(__xludf.DUMMYFUNCTION("""COMPUTED_VALUE"""),5.95664E7)</f>
        <v>59566400</v>
      </c>
      <c r="G583" s="2">
        <f t="shared" si="1"/>
        <v>225</v>
      </c>
    </row>
    <row r="584" ht="15.75" customHeight="1">
      <c r="A584" s="1">
        <f>IFERROR(__xludf.DUMMYFUNCTION("""COMPUTED_VALUE"""),44711.66666666667)</f>
        <v>44711.66667</v>
      </c>
      <c r="B584" s="2">
        <f>IFERROR(__xludf.DUMMYFUNCTION("""COMPUTED_VALUE"""),4600.0)</f>
        <v>4600</v>
      </c>
      <c r="C584" s="2">
        <f>IFERROR(__xludf.DUMMYFUNCTION("""COMPUTED_VALUE"""),4637.5)</f>
        <v>4637.5</v>
      </c>
      <c r="D584" s="2">
        <f>IFERROR(__xludf.DUMMYFUNCTION("""COMPUTED_VALUE"""),4512.5)</f>
        <v>4512.5</v>
      </c>
      <c r="E584" s="2">
        <f>IFERROR(__xludf.DUMMYFUNCTION("""COMPUTED_VALUE"""),4600.0)</f>
        <v>4600</v>
      </c>
      <c r="F584" s="2">
        <f>IFERROR(__xludf.DUMMYFUNCTION("""COMPUTED_VALUE"""),3.32889E7)</f>
        <v>33288900</v>
      </c>
      <c r="G584" s="2">
        <f t="shared" si="1"/>
        <v>125</v>
      </c>
    </row>
    <row r="585" ht="15.75" customHeight="1">
      <c r="A585" s="1">
        <f>IFERROR(__xludf.DUMMYFUNCTION("""COMPUTED_VALUE"""),44712.66666666667)</f>
        <v>44712.66667</v>
      </c>
      <c r="B585" s="2">
        <f>IFERROR(__xludf.DUMMYFUNCTION("""COMPUTED_VALUE"""),4637.5)</f>
        <v>4637.5</v>
      </c>
      <c r="C585" s="2">
        <f>IFERROR(__xludf.DUMMYFUNCTION("""COMPUTED_VALUE"""),4675.0)</f>
        <v>4675</v>
      </c>
      <c r="D585" s="2">
        <f>IFERROR(__xludf.DUMMYFUNCTION("""COMPUTED_VALUE"""),4537.5)</f>
        <v>4537.5</v>
      </c>
      <c r="E585" s="2">
        <f>IFERROR(__xludf.DUMMYFUNCTION("""COMPUTED_VALUE"""),4587.5)</f>
        <v>4587.5</v>
      </c>
      <c r="F585" s="2">
        <f>IFERROR(__xludf.DUMMYFUNCTION("""COMPUTED_VALUE"""),8.66791E7)</f>
        <v>86679100</v>
      </c>
      <c r="G585" s="2">
        <f t="shared" si="1"/>
        <v>137.5</v>
      </c>
    </row>
    <row r="586" ht="15.75" customHeight="1">
      <c r="A586" s="1">
        <f>IFERROR(__xludf.DUMMYFUNCTION("""COMPUTED_VALUE"""),44714.66666666667)</f>
        <v>44714.66667</v>
      </c>
      <c r="B586" s="2">
        <f>IFERROR(__xludf.DUMMYFUNCTION("""COMPUTED_VALUE"""),4525.0)</f>
        <v>4525</v>
      </c>
      <c r="C586" s="2">
        <f>IFERROR(__xludf.DUMMYFUNCTION("""COMPUTED_VALUE"""),4587.5)</f>
        <v>4587.5</v>
      </c>
      <c r="D586" s="2">
        <f>IFERROR(__xludf.DUMMYFUNCTION("""COMPUTED_VALUE"""),4412.5)</f>
        <v>4412.5</v>
      </c>
      <c r="E586" s="2">
        <f>IFERROR(__xludf.DUMMYFUNCTION("""COMPUTED_VALUE"""),4425.0)</f>
        <v>4425</v>
      </c>
      <c r="F586" s="2">
        <f>IFERROR(__xludf.DUMMYFUNCTION("""COMPUTED_VALUE"""),3.47813E7)</f>
        <v>34781300</v>
      </c>
      <c r="G586" s="2">
        <f t="shared" si="1"/>
        <v>175</v>
      </c>
    </row>
    <row r="587" ht="15.75" customHeight="1">
      <c r="A587" s="1">
        <f>IFERROR(__xludf.DUMMYFUNCTION("""COMPUTED_VALUE"""),44715.66666666667)</f>
        <v>44715.66667</v>
      </c>
      <c r="B587" s="2">
        <f>IFERROR(__xludf.DUMMYFUNCTION("""COMPUTED_VALUE"""),4475.0)</f>
        <v>4475</v>
      </c>
      <c r="C587" s="2">
        <f>IFERROR(__xludf.DUMMYFUNCTION("""COMPUTED_VALUE"""),4562.5)</f>
        <v>4562.5</v>
      </c>
      <c r="D587" s="2">
        <f>IFERROR(__xludf.DUMMYFUNCTION("""COMPUTED_VALUE"""),4450.0)</f>
        <v>4450</v>
      </c>
      <c r="E587" s="2">
        <f>IFERROR(__xludf.DUMMYFUNCTION("""COMPUTED_VALUE"""),4475.0)</f>
        <v>4475</v>
      </c>
      <c r="F587" s="2">
        <f>IFERROR(__xludf.DUMMYFUNCTION("""COMPUTED_VALUE"""),2.21174E7)</f>
        <v>22117400</v>
      </c>
      <c r="G587" s="2">
        <f t="shared" si="1"/>
        <v>137.5</v>
      </c>
    </row>
    <row r="588" ht="15.75" customHeight="1">
      <c r="A588" s="1">
        <f>IFERROR(__xludf.DUMMYFUNCTION("""COMPUTED_VALUE"""),44718.66666666667)</f>
        <v>44718.66667</v>
      </c>
      <c r="B588" s="2">
        <f>IFERROR(__xludf.DUMMYFUNCTION("""COMPUTED_VALUE"""),4450.0)</f>
        <v>4450</v>
      </c>
      <c r="C588" s="2">
        <f>IFERROR(__xludf.DUMMYFUNCTION("""COMPUTED_VALUE"""),4487.5)</f>
        <v>4487.5</v>
      </c>
      <c r="D588" s="2">
        <f>IFERROR(__xludf.DUMMYFUNCTION("""COMPUTED_VALUE"""),4350.0)</f>
        <v>4350</v>
      </c>
      <c r="E588" s="2">
        <f>IFERROR(__xludf.DUMMYFUNCTION("""COMPUTED_VALUE"""),4450.0)</f>
        <v>4450</v>
      </c>
      <c r="F588" s="2">
        <f>IFERROR(__xludf.DUMMYFUNCTION("""COMPUTED_VALUE"""),3.54845E7)</f>
        <v>35484500</v>
      </c>
      <c r="G588" s="2">
        <f t="shared" si="1"/>
        <v>137.5</v>
      </c>
    </row>
    <row r="589" ht="15.75" customHeight="1">
      <c r="A589" s="1">
        <f>IFERROR(__xludf.DUMMYFUNCTION("""COMPUTED_VALUE"""),44719.66666666667)</f>
        <v>44719.66667</v>
      </c>
      <c r="B589" s="2">
        <f>IFERROR(__xludf.DUMMYFUNCTION("""COMPUTED_VALUE"""),4550.0)</f>
        <v>4550</v>
      </c>
      <c r="C589" s="2">
        <f>IFERROR(__xludf.DUMMYFUNCTION("""COMPUTED_VALUE"""),4550.0)</f>
        <v>4550</v>
      </c>
      <c r="D589" s="2">
        <f>IFERROR(__xludf.DUMMYFUNCTION("""COMPUTED_VALUE"""),4412.5)</f>
        <v>4412.5</v>
      </c>
      <c r="E589" s="2">
        <f>IFERROR(__xludf.DUMMYFUNCTION("""COMPUTED_VALUE"""),4450.0)</f>
        <v>4450</v>
      </c>
      <c r="F589" s="2">
        <f>IFERROR(__xludf.DUMMYFUNCTION("""COMPUTED_VALUE"""),2.99997E7)</f>
        <v>29999700</v>
      </c>
      <c r="G589" s="2">
        <f t="shared" si="1"/>
        <v>137.5</v>
      </c>
    </row>
    <row r="590" ht="15.75" customHeight="1">
      <c r="A590" s="1">
        <f>IFERROR(__xludf.DUMMYFUNCTION("""COMPUTED_VALUE"""),44720.66666666667)</f>
        <v>44720.66667</v>
      </c>
      <c r="B590" s="2">
        <f>IFERROR(__xludf.DUMMYFUNCTION("""COMPUTED_VALUE"""),4475.0)</f>
        <v>4475</v>
      </c>
      <c r="C590" s="2">
        <f>IFERROR(__xludf.DUMMYFUNCTION("""COMPUTED_VALUE"""),4500.0)</f>
        <v>4500</v>
      </c>
      <c r="D590" s="2">
        <f>IFERROR(__xludf.DUMMYFUNCTION("""COMPUTED_VALUE"""),4425.0)</f>
        <v>4425</v>
      </c>
      <c r="E590" s="2">
        <f>IFERROR(__xludf.DUMMYFUNCTION("""COMPUTED_VALUE"""),4500.0)</f>
        <v>4500</v>
      </c>
      <c r="F590" s="2">
        <f>IFERROR(__xludf.DUMMYFUNCTION("""COMPUTED_VALUE"""),1.80165E7)</f>
        <v>18016500</v>
      </c>
      <c r="G590" s="2">
        <f t="shared" si="1"/>
        <v>75</v>
      </c>
    </row>
    <row r="591" ht="15.75" customHeight="1">
      <c r="A591" s="1">
        <f>IFERROR(__xludf.DUMMYFUNCTION("""COMPUTED_VALUE"""),44721.66666666667)</f>
        <v>44721.66667</v>
      </c>
      <c r="B591" s="2">
        <f>IFERROR(__xludf.DUMMYFUNCTION("""COMPUTED_VALUE"""),4425.0)</f>
        <v>4425</v>
      </c>
      <c r="C591" s="2">
        <f>IFERROR(__xludf.DUMMYFUNCTION("""COMPUTED_VALUE"""),4500.0)</f>
        <v>4500</v>
      </c>
      <c r="D591" s="2">
        <f>IFERROR(__xludf.DUMMYFUNCTION("""COMPUTED_VALUE"""),4337.5)</f>
        <v>4337.5</v>
      </c>
      <c r="E591" s="2">
        <f>IFERROR(__xludf.DUMMYFUNCTION("""COMPUTED_VALUE"""),4337.5)</f>
        <v>4337.5</v>
      </c>
      <c r="F591" s="2">
        <f>IFERROR(__xludf.DUMMYFUNCTION("""COMPUTED_VALUE"""),5.22843E7)</f>
        <v>52284300</v>
      </c>
      <c r="G591" s="2">
        <f t="shared" si="1"/>
        <v>162.5</v>
      </c>
    </row>
    <row r="592" ht="15.75" customHeight="1">
      <c r="A592" s="1">
        <f>IFERROR(__xludf.DUMMYFUNCTION("""COMPUTED_VALUE"""),44722.66666666667)</f>
        <v>44722.66667</v>
      </c>
      <c r="B592" s="2">
        <f>IFERROR(__xludf.DUMMYFUNCTION("""COMPUTED_VALUE"""),4237.5)</f>
        <v>4237.5</v>
      </c>
      <c r="C592" s="2">
        <f>IFERROR(__xludf.DUMMYFUNCTION("""COMPUTED_VALUE"""),4250.0)</f>
        <v>4250</v>
      </c>
      <c r="D592" s="2">
        <f>IFERROR(__xludf.DUMMYFUNCTION("""COMPUTED_VALUE"""),4125.0)</f>
        <v>4125</v>
      </c>
      <c r="E592" s="2">
        <f>IFERROR(__xludf.DUMMYFUNCTION("""COMPUTED_VALUE"""),4150.0)</f>
        <v>4150</v>
      </c>
      <c r="F592" s="2">
        <f>IFERROR(__xludf.DUMMYFUNCTION("""COMPUTED_VALUE"""),7.42907E7)</f>
        <v>74290700</v>
      </c>
      <c r="G592" s="2">
        <f t="shared" si="1"/>
        <v>212.5</v>
      </c>
    </row>
    <row r="593" ht="15.75" customHeight="1">
      <c r="A593" s="1">
        <f>IFERROR(__xludf.DUMMYFUNCTION("""COMPUTED_VALUE"""),44725.66666666667)</f>
        <v>44725.66667</v>
      </c>
      <c r="B593" s="2">
        <f>IFERROR(__xludf.DUMMYFUNCTION("""COMPUTED_VALUE"""),4025.0)</f>
        <v>4025</v>
      </c>
      <c r="C593" s="2">
        <f>IFERROR(__xludf.DUMMYFUNCTION("""COMPUTED_VALUE"""),4137.5)</f>
        <v>4137.5</v>
      </c>
      <c r="D593" s="2">
        <f>IFERROR(__xludf.DUMMYFUNCTION("""COMPUTED_VALUE"""),3962.5)</f>
        <v>3962.5</v>
      </c>
      <c r="E593" s="2">
        <f>IFERROR(__xludf.DUMMYFUNCTION("""COMPUTED_VALUE"""),4125.0)</f>
        <v>4125</v>
      </c>
      <c r="F593" s="2">
        <f>IFERROR(__xludf.DUMMYFUNCTION("""COMPUTED_VALUE"""),8.40532E7)</f>
        <v>84053200</v>
      </c>
      <c r="G593" s="2">
        <f t="shared" si="1"/>
        <v>187.5</v>
      </c>
    </row>
    <row r="594" ht="15.75" customHeight="1">
      <c r="A594" s="1">
        <f>IFERROR(__xludf.DUMMYFUNCTION("""COMPUTED_VALUE"""),44726.66666666667)</f>
        <v>44726.66667</v>
      </c>
      <c r="B594" s="2">
        <f>IFERROR(__xludf.DUMMYFUNCTION("""COMPUTED_VALUE"""),4137.5)</f>
        <v>4137.5</v>
      </c>
      <c r="C594" s="2">
        <f>IFERROR(__xludf.DUMMYFUNCTION("""COMPUTED_VALUE"""),4200.0)</f>
        <v>4200</v>
      </c>
      <c r="D594" s="2">
        <f>IFERROR(__xludf.DUMMYFUNCTION("""COMPUTED_VALUE"""),4075.0)</f>
        <v>4075</v>
      </c>
      <c r="E594" s="2">
        <f>IFERROR(__xludf.DUMMYFUNCTION("""COMPUTED_VALUE"""),4137.5)</f>
        <v>4137.5</v>
      </c>
      <c r="F594" s="2">
        <f>IFERROR(__xludf.DUMMYFUNCTION("""COMPUTED_VALUE"""),4.47259E7)</f>
        <v>44725900</v>
      </c>
      <c r="G594" s="2">
        <f t="shared" si="1"/>
        <v>125</v>
      </c>
    </row>
    <row r="595" ht="15.75" customHeight="1">
      <c r="A595" s="1">
        <f>IFERROR(__xludf.DUMMYFUNCTION("""COMPUTED_VALUE"""),44727.66666666667)</f>
        <v>44727.66667</v>
      </c>
      <c r="B595" s="2">
        <f>IFERROR(__xludf.DUMMYFUNCTION("""COMPUTED_VALUE"""),4137.5)</f>
        <v>4137.5</v>
      </c>
      <c r="C595" s="2">
        <f>IFERROR(__xludf.DUMMYFUNCTION("""COMPUTED_VALUE"""),4150.0)</f>
        <v>4150</v>
      </c>
      <c r="D595" s="2">
        <f>IFERROR(__xludf.DUMMYFUNCTION("""COMPUTED_VALUE"""),4062.5)</f>
        <v>4062.5</v>
      </c>
      <c r="E595" s="2">
        <f>IFERROR(__xludf.DUMMYFUNCTION("""COMPUTED_VALUE"""),4137.5)</f>
        <v>4137.5</v>
      </c>
      <c r="F595" s="2">
        <f>IFERROR(__xludf.DUMMYFUNCTION("""COMPUTED_VALUE"""),2.52686E7)</f>
        <v>25268600</v>
      </c>
      <c r="G595" s="2">
        <f t="shared" si="1"/>
        <v>87.5</v>
      </c>
    </row>
    <row r="596" ht="15.75" customHeight="1">
      <c r="A596" s="1">
        <f>IFERROR(__xludf.DUMMYFUNCTION("""COMPUTED_VALUE"""),44728.66666666667)</f>
        <v>44728.66667</v>
      </c>
      <c r="B596" s="2">
        <f>IFERROR(__xludf.DUMMYFUNCTION("""COMPUTED_VALUE"""),4200.0)</f>
        <v>4200</v>
      </c>
      <c r="C596" s="2">
        <f>IFERROR(__xludf.DUMMYFUNCTION("""COMPUTED_VALUE"""),4237.5)</f>
        <v>4237.5</v>
      </c>
      <c r="D596" s="2">
        <f>IFERROR(__xludf.DUMMYFUNCTION("""COMPUTED_VALUE"""),4125.0)</f>
        <v>4125</v>
      </c>
      <c r="E596" s="2">
        <f>IFERROR(__xludf.DUMMYFUNCTION("""COMPUTED_VALUE"""),4125.0)</f>
        <v>4125</v>
      </c>
      <c r="F596" s="2">
        <f>IFERROR(__xludf.DUMMYFUNCTION("""COMPUTED_VALUE"""),3.50805E7)</f>
        <v>35080500</v>
      </c>
      <c r="G596" s="2">
        <f t="shared" si="1"/>
        <v>112.5</v>
      </c>
    </row>
    <row r="597" ht="15.75" customHeight="1">
      <c r="A597" s="1">
        <f>IFERROR(__xludf.DUMMYFUNCTION("""COMPUTED_VALUE"""),44729.66666666667)</f>
        <v>44729.66667</v>
      </c>
      <c r="B597" s="2">
        <f>IFERROR(__xludf.DUMMYFUNCTION("""COMPUTED_VALUE"""),4062.5)</f>
        <v>4062.5</v>
      </c>
      <c r="C597" s="2">
        <f>IFERROR(__xludf.DUMMYFUNCTION("""COMPUTED_VALUE"""),4125.0)</f>
        <v>4125</v>
      </c>
      <c r="D597" s="2">
        <f>IFERROR(__xludf.DUMMYFUNCTION("""COMPUTED_VALUE"""),4050.0)</f>
        <v>4050</v>
      </c>
      <c r="E597" s="2">
        <f>IFERROR(__xludf.DUMMYFUNCTION("""COMPUTED_VALUE"""),4087.5)</f>
        <v>4087.5</v>
      </c>
      <c r="F597" s="2">
        <f>IFERROR(__xludf.DUMMYFUNCTION("""COMPUTED_VALUE"""),4.28449E7)</f>
        <v>42844900</v>
      </c>
      <c r="G597" s="2">
        <f t="shared" si="1"/>
        <v>75</v>
      </c>
    </row>
    <row r="598" ht="15.75" customHeight="1">
      <c r="A598" s="1">
        <f>IFERROR(__xludf.DUMMYFUNCTION("""COMPUTED_VALUE"""),44732.66666666667)</f>
        <v>44732.66667</v>
      </c>
      <c r="B598" s="2">
        <f>IFERROR(__xludf.DUMMYFUNCTION("""COMPUTED_VALUE"""),4100.0)</f>
        <v>4100</v>
      </c>
      <c r="C598" s="2">
        <f>IFERROR(__xludf.DUMMYFUNCTION("""COMPUTED_VALUE"""),4112.5)</f>
        <v>4112.5</v>
      </c>
      <c r="D598" s="2">
        <f>IFERROR(__xludf.DUMMYFUNCTION("""COMPUTED_VALUE"""),4025.0)</f>
        <v>4025</v>
      </c>
      <c r="E598" s="2">
        <f>IFERROR(__xludf.DUMMYFUNCTION("""COMPUTED_VALUE"""),4062.5)</f>
        <v>4062.5</v>
      </c>
      <c r="F598" s="2">
        <f>IFERROR(__xludf.DUMMYFUNCTION("""COMPUTED_VALUE"""),2.72558E7)</f>
        <v>27255800</v>
      </c>
      <c r="G598" s="2">
        <f t="shared" si="1"/>
        <v>87.5</v>
      </c>
    </row>
    <row r="599" ht="15.75" customHeight="1">
      <c r="A599" s="1">
        <f>IFERROR(__xludf.DUMMYFUNCTION("""COMPUTED_VALUE"""),44733.66666666667)</f>
        <v>44733.66667</v>
      </c>
      <c r="B599" s="2">
        <f>IFERROR(__xludf.DUMMYFUNCTION("""COMPUTED_VALUE"""),4087.5)</f>
        <v>4087.5</v>
      </c>
      <c r="C599" s="2">
        <f>IFERROR(__xludf.DUMMYFUNCTION("""COMPUTED_VALUE"""),4225.0)</f>
        <v>4225</v>
      </c>
      <c r="D599" s="2">
        <f>IFERROR(__xludf.DUMMYFUNCTION("""COMPUTED_VALUE"""),4087.5)</f>
        <v>4087.5</v>
      </c>
      <c r="E599" s="2">
        <f>IFERROR(__xludf.DUMMYFUNCTION("""COMPUTED_VALUE"""),4225.0)</f>
        <v>4225</v>
      </c>
      <c r="F599" s="2">
        <f>IFERROR(__xludf.DUMMYFUNCTION("""COMPUTED_VALUE"""),2.75257E7)</f>
        <v>27525700</v>
      </c>
      <c r="G599" s="2">
        <f t="shared" si="1"/>
        <v>162.5</v>
      </c>
    </row>
    <row r="600" ht="15.75" customHeight="1">
      <c r="A600" s="1">
        <f>IFERROR(__xludf.DUMMYFUNCTION("""COMPUTED_VALUE"""),44734.66666666667)</f>
        <v>44734.66667</v>
      </c>
      <c r="B600" s="2">
        <f>IFERROR(__xludf.DUMMYFUNCTION("""COMPUTED_VALUE"""),4212.5)</f>
        <v>4212.5</v>
      </c>
      <c r="C600" s="2">
        <f>IFERROR(__xludf.DUMMYFUNCTION("""COMPUTED_VALUE"""),4225.0)</f>
        <v>4225</v>
      </c>
      <c r="D600" s="2">
        <f>IFERROR(__xludf.DUMMYFUNCTION("""COMPUTED_VALUE"""),4062.5)</f>
        <v>4062.5</v>
      </c>
      <c r="E600" s="2">
        <f>IFERROR(__xludf.DUMMYFUNCTION("""COMPUTED_VALUE"""),4075.0)</f>
        <v>4075</v>
      </c>
      <c r="F600" s="2">
        <f>IFERROR(__xludf.DUMMYFUNCTION("""COMPUTED_VALUE"""),3.12154E7)</f>
        <v>31215400</v>
      </c>
      <c r="G600" s="2">
        <f t="shared" si="1"/>
        <v>162.5</v>
      </c>
    </row>
    <row r="601" ht="15.75" customHeight="1">
      <c r="A601" s="1">
        <f>IFERROR(__xludf.DUMMYFUNCTION("""COMPUTED_VALUE"""),44735.66666666667)</f>
        <v>44735.66667</v>
      </c>
      <c r="B601" s="2">
        <f>IFERROR(__xludf.DUMMYFUNCTION("""COMPUTED_VALUE"""),4087.5)</f>
        <v>4087.5</v>
      </c>
      <c r="C601" s="2">
        <f>IFERROR(__xludf.DUMMYFUNCTION("""COMPUTED_VALUE"""),4112.5)</f>
        <v>4112.5</v>
      </c>
      <c r="D601" s="2">
        <f>IFERROR(__xludf.DUMMYFUNCTION("""COMPUTED_VALUE"""),4037.5)</f>
        <v>4037.5</v>
      </c>
      <c r="E601" s="2">
        <f>IFERROR(__xludf.DUMMYFUNCTION("""COMPUTED_VALUE"""),4075.0)</f>
        <v>4075</v>
      </c>
      <c r="F601" s="2">
        <f>IFERROR(__xludf.DUMMYFUNCTION("""COMPUTED_VALUE"""),2.44349E7)</f>
        <v>24434900</v>
      </c>
      <c r="G601" s="2">
        <f t="shared" si="1"/>
        <v>75</v>
      </c>
    </row>
    <row r="602" ht="15.75" customHeight="1">
      <c r="A602" s="1">
        <f>IFERROR(__xludf.DUMMYFUNCTION("""COMPUTED_VALUE"""),44736.66666666667)</f>
        <v>44736.66667</v>
      </c>
      <c r="B602" s="2">
        <f>IFERROR(__xludf.DUMMYFUNCTION("""COMPUTED_VALUE"""),4075.0)</f>
        <v>4075</v>
      </c>
      <c r="C602" s="2">
        <f>IFERROR(__xludf.DUMMYFUNCTION("""COMPUTED_VALUE"""),4100.0)</f>
        <v>4100</v>
      </c>
      <c r="D602" s="2">
        <f>IFERROR(__xludf.DUMMYFUNCTION("""COMPUTED_VALUE"""),4050.0)</f>
        <v>4050</v>
      </c>
      <c r="E602" s="2">
        <f>IFERROR(__xludf.DUMMYFUNCTION("""COMPUTED_VALUE"""),4075.0)</f>
        <v>4075</v>
      </c>
      <c r="F602" s="2">
        <f>IFERROR(__xludf.DUMMYFUNCTION("""COMPUTED_VALUE"""),2.34725E7)</f>
        <v>23472500</v>
      </c>
      <c r="G602" s="2">
        <f t="shared" si="1"/>
        <v>50</v>
      </c>
    </row>
    <row r="603" ht="15.75" customHeight="1">
      <c r="A603" s="1">
        <f>IFERROR(__xludf.DUMMYFUNCTION("""COMPUTED_VALUE"""),44739.66666666667)</f>
        <v>44739.66667</v>
      </c>
      <c r="B603" s="2">
        <f>IFERROR(__xludf.DUMMYFUNCTION("""COMPUTED_VALUE"""),4087.5)</f>
        <v>4087.5</v>
      </c>
      <c r="C603" s="2">
        <f>IFERROR(__xludf.DUMMYFUNCTION("""COMPUTED_VALUE"""),4100.0)</f>
        <v>4100</v>
      </c>
      <c r="D603" s="2">
        <f>IFERROR(__xludf.DUMMYFUNCTION("""COMPUTED_VALUE"""),4025.0)</f>
        <v>4025</v>
      </c>
      <c r="E603" s="2">
        <f>IFERROR(__xludf.DUMMYFUNCTION("""COMPUTED_VALUE"""),4025.0)</f>
        <v>4025</v>
      </c>
      <c r="F603" s="2">
        <f>IFERROR(__xludf.DUMMYFUNCTION("""COMPUTED_VALUE"""),2.16844E7)</f>
        <v>21684400</v>
      </c>
      <c r="G603" s="2">
        <f t="shared" si="1"/>
        <v>75</v>
      </c>
    </row>
    <row r="604" ht="15.75" customHeight="1">
      <c r="A604" s="1">
        <f>IFERROR(__xludf.DUMMYFUNCTION("""COMPUTED_VALUE"""),44740.66666666667)</f>
        <v>44740.66667</v>
      </c>
      <c r="B604" s="2">
        <f>IFERROR(__xludf.DUMMYFUNCTION("""COMPUTED_VALUE"""),4012.5)</f>
        <v>4012.5</v>
      </c>
      <c r="C604" s="2">
        <f>IFERROR(__xludf.DUMMYFUNCTION("""COMPUTED_VALUE"""),4087.5)</f>
        <v>4087.5</v>
      </c>
      <c r="D604" s="2">
        <f>IFERROR(__xludf.DUMMYFUNCTION("""COMPUTED_VALUE"""),4000.0)</f>
        <v>4000</v>
      </c>
      <c r="E604" s="2">
        <f>IFERROR(__xludf.DUMMYFUNCTION("""COMPUTED_VALUE"""),4037.5)</f>
        <v>4037.5</v>
      </c>
      <c r="F604" s="2">
        <f>IFERROR(__xludf.DUMMYFUNCTION("""COMPUTED_VALUE"""),3.22583E7)</f>
        <v>32258300</v>
      </c>
      <c r="G604" s="2">
        <f t="shared" si="1"/>
        <v>87.5</v>
      </c>
    </row>
    <row r="605" ht="15.75" customHeight="1">
      <c r="A605" s="1">
        <f>IFERROR(__xludf.DUMMYFUNCTION("""COMPUTED_VALUE"""),44741.66666666667)</f>
        <v>44741.66667</v>
      </c>
      <c r="B605" s="2">
        <f>IFERROR(__xludf.DUMMYFUNCTION("""COMPUTED_VALUE"""),4050.0)</f>
        <v>4050</v>
      </c>
      <c r="C605" s="2">
        <f>IFERROR(__xludf.DUMMYFUNCTION("""COMPUTED_VALUE"""),4062.5)</f>
        <v>4062.5</v>
      </c>
      <c r="D605" s="2">
        <f>IFERROR(__xludf.DUMMYFUNCTION("""COMPUTED_VALUE"""),3937.5)</f>
        <v>3937.5</v>
      </c>
      <c r="E605" s="2">
        <f>IFERROR(__xludf.DUMMYFUNCTION("""COMPUTED_VALUE"""),4012.5)</f>
        <v>4012.5</v>
      </c>
      <c r="F605" s="2">
        <f>IFERROR(__xludf.DUMMYFUNCTION("""COMPUTED_VALUE"""),4.01273E7)</f>
        <v>40127300</v>
      </c>
      <c r="G605" s="2">
        <f t="shared" si="1"/>
        <v>125</v>
      </c>
    </row>
    <row r="606" ht="15.75" customHeight="1">
      <c r="A606" s="1">
        <f>IFERROR(__xludf.DUMMYFUNCTION("""COMPUTED_VALUE"""),44742.66666666667)</f>
        <v>44742.66667</v>
      </c>
      <c r="B606" s="2">
        <f>IFERROR(__xludf.DUMMYFUNCTION("""COMPUTED_VALUE"""),4012.5)</f>
        <v>4012.5</v>
      </c>
      <c r="C606" s="2">
        <f>IFERROR(__xludf.DUMMYFUNCTION("""COMPUTED_VALUE"""),4025.0)</f>
        <v>4025</v>
      </c>
      <c r="D606" s="2">
        <f>IFERROR(__xludf.DUMMYFUNCTION("""COMPUTED_VALUE"""),3925.0)</f>
        <v>3925</v>
      </c>
      <c r="E606" s="2">
        <f>IFERROR(__xludf.DUMMYFUNCTION("""COMPUTED_VALUE"""),3925.0)</f>
        <v>3925</v>
      </c>
      <c r="F606" s="2">
        <f>IFERROR(__xludf.DUMMYFUNCTION("""COMPUTED_VALUE"""),2.55967E7)</f>
        <v>25596700</v>
      </c>
      <c r="G606" s="2">
        <f t="shared" si="1"/>
        <v>100</v>
      </c>
    </row>
    <row r="607" ht="15.75" customHeight="1">
      <c r="A607" s="1">
        <f>IFERROR(__xludf.DUMMYFUNCTION("""COMPUTED_VALUE"""),44743.66666666667)</f>
        <v>44743.66667</v>
      </c>
      <c r="B607" s="2">
        <f>IFERROR(__xludf.DUMMYFUNCTION("""COMPUTED_VALUE"""),3925.0)</f>
        <v>3925</v>
      </c>
      <c r="C607" s="2">
        <f>IFERROR(__xludf.DUMMYFUNCTION("""COMPUTED_VALUE"""),3975.0)</f>
        <v>3975</v>
      </c>
      <c r="D607" s="2">
        <f>IFERROR(__xludf.DUMMYFUNCTION("""COMPUTED_VALUE"""),3875.0)</f>
        <v>3875</v>
      </c>
      <c r="E607" s="2">
        <f>IFERROR(__xludf.DUMMYFUNCTION("""COMPUTED_VALUE"""),3925.0)</f>
        <v>3925</v>
      </c>
      <c r="F607" s="2">
        <f>IFERROR(__xludf.DUMMYFUNCTION("""COMPUTED_VALUE"""),2.35589E7)</f>
        <v>23558900</v>
      </c>
      <c r="G607" s="2">
        <f t="shared" si="1"/>
        <v>100</v>
      </c>
    </row>
    <row r="608" ht="15.75" customHeight="1">
      <c r="A608" s="1">
        <f>IFERROR(__xludf.DUMMYFUNCTION("""COMPUTED_VALUE"""),44746.66666666667)</f>
        <v>44746.66667</v>
      </c>
      <c r="B608" s="2">
        <f>IFERROR(__xludf.DUMMYFUNCTION("""COMPUTED_VALUE"""),3862.5)</f>
        <v>3862.5</v>
      </c>
      <c r="C608" s="2">
        <f>IFERROR(__xludf.DUMMYFUNCTION("""COMPUTED_VALUE"""),3875.0)</f>
        <v>3875</v>
      </c>
      <c r="D608" s="2">
        <f>IFERROR(__xludf.DUMMYFUNCTION("""COMPUTED_VALUE"""),3700.0)</f>
        <v>3700</v>
      </c>
      <c r="E608" s="2">
        <f>IFERROR(__xludf.DUMMYFUNCTION("""COMPUTED_VALUE"""),3825.0)</f>
        <v>3825</v>
      </c>
      <c r="F608" s="2">
        <f>IFERROR(__xludf.DUMMYFUNCTION("""COMPUTED_VALUE"""),5.97179E7)</f>
        <v>59717900</v>
      </c>
      <c r="G608" s="2">
        <f t="shared" si="1"/>
        <v>225</v>
      </c>
    </row>
    <row r="609" ht="15.75" customHeight="1">
      <c r="A609" s="1">
        <f>IFERROR(__xludf.DUMMYFUNCTION("""COMPUTED_VALUE"""),44747.66666666667)</f>
        <v>44747.66667</v>
      </c>
      <c r="B609" s="2">
        <f>IFERROR(__xludf.DUMMYFUNCTION("""COMPUTED_VALUE"""),3837.5)</f>
        <v>3837.5</v>
      </c>
      <c r="C609" s="2">
        <f>IFERROR(__xludf.DUMMYFUNCTION("""COMPUTED_VALUE"""),3975.0)</f>
        <v>3975</v>
      </c>
      <c r="D609" s="2">
        <f>IFERROR(__xludf.DUMMYFUNCTION("""COMPUTED_VALUE"""),3825.0)</f>
        <v>3825</v>
      </c>
      <c r="E609" s="2">
        <f>IFERROR(__xludf.DUMMYFUNCTION("""COMPUTED_VALUE"""),3875.0)</f>
        <v>3875</v>
      </c>
      <c r="F609" s="2">
        <f>IFERROR(__xludf.DUMMYFUNCTION("""COMPUTED_VALUE"""),2.2238E7)</f>
        <v>22238000</v>
      </c>
      <c r="G609" s="2">
        <f t="shared" si="1"/>
        <v>150</v>
      </c>
    </row>
    <row r="610" ht="15.75" customHeight="1">
      <c r="A610" s="1">
        <f>IFERROR(__xludf.DUMMYFUNCTION("""COMPUTED_VALUE"""),44748.66666666667)</f>
        <v>44748.66667</v>
      </c>
      <c r="B610" s="2">
        <f>IFERROR(__xludf.DUMMYFUNCTION("""COMPUTED_VALUE"""),3825.0)</f>
        <v>3825</v>
      </c>
      <c r="C610" s="2">
        <f>IFERROR(__xludf.DUMMYFUNCTION("""COMPUTED_VALUE"""),3850.0)</f>
        <v>3850</v>
      </c>
      <c r="D610" s="2">
        <f>IFERROR(__xludf.DUMMYFUNCTION("""COMPUTED_VALUE"""),3750.0)</f>
        <v>3750</v>
      </c>
      <c r="E610" s="2">
        <f>IFERROR(__xludf.DUMMYFUNCTION("""COMPUTED_VALUE"""),3825.0)</f>
        <v>3825</v>
      </c>
      <c r="F610" s="2">
        <f>IFERROR(__xludf.DUMMYFUNCTION("""COMPUTED_VALUE"""),3.0849E7)</f>
        <v>30849000</v>
      </c>
      <c r="G610" s="2">
        <f t="shared" si="1"/>
        <v>125</v>
      </c>
    </row>
    <row r="611" ht="15.75" customHeight="1">
      <c r="A611" s="1">
        <f>IFERROR(__xludf.DUMMYFUNCTION("""COMPUTED_VALUE"""),44749.66666666667)</f>
        <v>44749.66667</v>
      </c>
      <c r="B611" s="2">
        <f>IFERROR(__xludf.DUMMYFUNCTION("""COMPUTED_VALUE"""),3800.0)</f>
        <v>3800</v>
      </c>
      <c r="C611" s="2">
        <f>IFERROR(__xludf.DUMMYFUNCTION("""COMPUTED_VALUE"""),3875.0)</f>
        <v>3875</v>
      </c>
      <c r="D611" s="2">
        <f>IFERROR(__xludf.DUMMYFUNCTION("""COMPUTED_VALUE"""),3800.0)</f>
        <v>3800</v>
      </c>
      <c r="E611" s="2">
        <f>IFERROR(__xludf.DUMMYFUNCTION("""COMPUTED_VALUE"""),3800.0)</f>
        <v>3800</v>
      </c>
      <c r="F611" s="2">
        <f>IFERROR(__xludf.DUMMYFUNCTION("""COMPUTED_VALUE"""),2.68964E7)</f>
        <v>26896400</v>
      </c>
      <c r="G611" s="2">
        <f t="shared" si="1"/>
        <v>75</v>
      </c>
    </row>
    <row r="612" ht="15.75" customHeight="1">
      <c r="A612" s="1">
        <f>IFERROR(__xludf.DUMMYFUNCTION("""COMPUTED_VALUE"""),44750.66666666667)</f>
        <v>44750.66667</v>
      </c>
      <c r="B612" s="2">
        <f>IFERROR(__xludf.DUMMYFUNCTION("""COMPUTED_VALUE"""),3837.5)</f>
        <v>3837.5</v>
      </c>
      <c r="C612" s="2">
        <f>IFERROR(__xludf.DUMMYFUNCTION("""COMPUTED_VALUE"""),3862.5)</f>
        <v>3862.5</v>
      </c>
      <c r="D612" s="2">
        <f>IFERROR(__xludf.DUMMYFUNCTION("""COMPUTED_VALUE"""),3775.0)</f>
        <v>3775</v>
      </c>
      <c r="E612" s="2">
        <f>IFERROR(__xludf.DUMMYFUNCTION("""COMPUTED_VALUE"""),3800.0)</f>
        <v>3800</v>
      </c>
      <c r="F612" s="2">
        <f>IFERROR(__xludf.DUMMYFUNCTION("""COMPUTED_VALUE"""),3.32998E7)</f>
        <v>33299800</v>
      </c>
      <c r="G612" s="2">
        <f t="shared" si="1"/>
        <v>87.5</v>
      </c>
    </row>
    <row r="613" ht="15.75" customHeight="1">
      <c r="A613" s="1">
        <f>IFERROR(__xludf.DUMMYFUNCTION("""COMPUTED_VALUE"""),44753.66666666667)</f>
        <v>44753.66667</v>
      </c>
      <c r="B613" s="2">
        <f>IFERROR(__xludf.DUMMYFUNCTION("""COMPUTED_VALUE"""),3800.0)</f>
        <v>3800</v>
      </c>
      <c r="C613" s="2">
        <f>IFERROR(__xludf.DUMMYFUNCTION("""COMPUTED_VALUE"""),3825.0)</f>
        <v>3825</v>
      </c>
      <c r="D613" s="2">
        <f>IFERROR(__xludf.DUMMYFUNCTION("""COMPUTED_VALUE"""),3750.0)</f>
        <v>3750</v>
      </c>
      <c r="E613" s="2">
        <f>IFERROR(__xludf.DUMMYFUNCTION("""COMPUTED_VALUE"""),3750.0)</f>
        <v>3750</v>
      </c>
      <c r="F613" s="2">
        <f>IFERROR(__xludf.DUMMYFUNCTION("""COMPUTED_VALUE"""),1.94918E7)</f>
        <v>19491800</v>
      </c>
      <c r="G613" s="2">
        <f t="shared" si="1"/>
        <v>75</v>
      </c>
    </row>
    <row r="614" ht="15.75" customHeight="1">
      <c r="A614" s="1">
        <f>IFERROR(__xludf.DUMMYFUNCTION("""COMPUTED_VALUE"""),44754.66666666667)</f>
        <v>44754.66667</v>
      </c>
      <c r="B614" s="2">
        <f>IFERROR(__xludf.DUMMYFUNCTION("""COMPUTED_VALUE"""),3750.0)</f>
        <v>3750</v>
      </c>
      <c r="C614" s="2">
        <f>IFERROR(__xludf.DUMMYFUNCTION("""COMPUTED_VALUE"""),3812.5)</f>
        <v>3812.5</v>
      </c>
      <c r="D614" s="2">
        <f>IFERROR(__xludf.DUMMYFUNCTION("""COMPUTED_VALUE"""),3712.5)</f>
        <v>3712.5</v>
      </c>
      <c r="E614" s="2">
        <f>IFERROR(__xludf.DUMMYFUNCTION("""COMPUTED_VALUE"""),3725.0)</f>
        <v>3725</v>
      </c>
      <c r="F614" s="2">
        <f>IFERROR(__xludf.DUMMYFUNCTION("""COMPUTED_VALUE"""),4.56352E7)</f>
        <v>45635200</v>
      </c>
      <c r="G614" s="2">
        <f t="shared" si="1"/>
        <v>100</v>
      </c>
    </row>
    <row r="615" ht="15.75" customHeight="1">
      <c r="A615" s="1">
        <f>IFERROR(__xludf.DUMMYFUNCTION("""COMPUTED_VALUE"""),44755.66666666667)</f>
        <v>44755.66667</v>
      </c>
      <c r="B615" s="2">
        <f>IFERROR(__xludf.DUMMYFUNCTION("""COMPUTED_VALUE"""),3725.0)</f>
        <v>3725</v>
      </c>
      <c r="C615" s="2">
        <f>IFERROR(__xludf.DUMMYFUNCTION("""COMPUTED_VALUE"""),3775.0)</f>
        <v>3775</v>
      </c>
      <c r="D615" s="2">
        <f>IFERROR(__xludf.DUMMYFUNCTION("""COMPUTED_VALUE"""),3612.5)</f>
        <v>3612.5</v>
      </c>
      <c r="E615" s="2">
        <f>IFERROR(__xludf.DUMMYFUNCTION("""COMPUTED_VALUE"""),3612.5)</f>
        <v>3612.5</v>
      </c>
      <c r="F615" s="2">
        <f>IFERROR(__xludf.DUMMYFUNCTION("""COMPUTED_VALUE"""),3.51618E7)</f>
        <v>35161800</v>
      </c>
      <c r="G615" s="2">
        <f t="shared" si="1"/>
        <v>162.5</v>
      </c>
    </row>
    <row r="616" ht="15.75" customHeight="1">
      <c r="A616" s="1">
        <f>IFERROR(__xludf.DUMMYFUNCTION("""COMPUTED_VALUE"""),44756.66666666667)</f>
        <v>44756.66667</v>
      </c>
      <c r="B616" s="2">
        <f>IFERROR(__xludf.DUMMYFUNCTION("""COMPUTED_VALUE"""),3612.5)</f>
        <v>3612.5</v>
      </c>
      <c r="C616" s="2">
        <f>IFERROR(__xludf.DUMMYFUNCTION("""COMPUTED_VALUE"""),3700.0)</f>
        <v>3700</v>
      </c>
      <c r="D616" s="2">
        <f>IFERROR(__xludf.DUMMYFUNCTION("""COMPUTED_VALUE"""),3575.0)</f>
        <v>3575</v>
      </c>
      <c r="E616" s="2">
        <f>IFERROR(__xludf.DUMMYFUNCTION("""COMPUTED_VALUE"""),3637.5)</f>
        <v>3637.5</v>
      </c>
      <c r="F616" s="2">
        <f>IFERROR(__xludf.DUMMYFUNCTION("""COMPUTED_VALUE"""),2.67337E7)</f>
        <v>26733700</v>
      </c>
      <c r="G616" s="2">
        <f t="shared" si="1"/>
        <v>125</v>
      </c>
    </row>
    <row r="617" ht="15.75" customHeight="1">
      <c r="A617" s="1">
        <f>IFERROR(__xludf.DUMMYFUNCTION("""COMPUTED_VALUE"""),44757.66666666667)</f>
        <v>44757.66667</v>
      </c>
      <c r="B617" s="2">
        <f>IFERROR(__xludf.DUMMYFUNCTION("""COMPUTED_VALUE"""),3675.0)</f>
        <v>3675</v>
      </c>
      <c r="C617" s="2">
        <f>IFERROR(__xludf.DUMMYFUNCTION("""COMPUTED_VALUE"""),3687.5)</f>
        <v>3687.5</v>
      </c>
      <c r="D617" s="2">
        <f>IFERROR(__xludf.DUMMYFUNCTION("""COMPUTED_VALUE"""),3625.0)</f>
        <v>3625</v>
      </c>
      <c r="E617" s="2">
        <f>IFERROR(__xludf.DUMMYFUNCTION("""COMPUTED_VALUE"""),3637.5)</f>
        <v>3637.5</v>
      </c>
      <c r="F617" s="2">
        <f>IFERROR(__xludf.DUMMYFUNCTION("""COMPUTED_VALUE"""),4.59408E7)</f>
        <v>45940800</v>
      </c>
      <c r="G617" s="2">
        <f t="shared" si="1"/>
        <v>62.5</v>
      </c>
    </row>
    <row r="618" ht="15.75" customHeight="1">
      <c r="A618" s="1">
        <f>IFERROR(__xludf.DUMMYFUNCTION("""COMPUTED_VALUE"""),44760.66666666667)</f>
        <v>44760.66667</v>
      </c>
      <c r="B618" s="2">
        <f>IFERROR(__xludf.DUMMYFUNCTION("""COMPUTED_VALUE"""),3637.5)</f>
        <v>3637.5</v>
      </c>
      <c r="C618" s="2">
        <f>IFERROR(__xludf.DUMMYFUNCTION("""COMPUTED_VALUE"""),3712.5)</f>
        <v>3712.5</v>
      </c>
      <c r="D618" s="2">
        <f>IFERROR(__xludf.DUMMYFUNCTION("""COMPUTED_VALUE"""),3637.5)</f>
        <v>3637.5</v>
      </c>
      <c r="E618" s="2">
        <f>IFERROR(__xludf.DUMMYFUNCTION("""COMPUTED_VALUE"""),3662.5)</f>
        <v>3662.5</v>
      </c>
      <c r="F618" s="2">
        <f>IFERROR(__xludf.DUMMYFUNCTION("""COMPUTED_VALUE"""),1.69426E7)</f>
        <v>16942600</v>
      </c>
      <c r="G618" s="2">
        <f t="shared" si="1"/>
        <v>75</v>
      </c>
    </row>
    <row r="619" ht="15.75" customHeight="1">
      <c r="A619" s="1">
        <f>IFERROR(__xludf.DUMMYFUNCTION("""COMPUTED_VALUE"""),44761.66666666667)</f>
        <v>44761.66667</v>
      </c>
      <c r="B619" s="2">
        <f>IFERROR(__xludf.DUMMYFUNCTION("""COMPUTED_VALUE"""),3662.5)</f>
        <v>3662.5</v>
      </c>
      <c r="C619" s="2">
        <f>IFERROR(__xludf.DUMMYFUNCTION("""COMPUTED_VALUE"""),3737.5)</f>
        <v>3737.5</v>
      </c>
      <c r="D619" s="2">
        <f>IFERROR(__xludf.DUMMYFUNCTION("""COMPUTED_VALUE"""),3637.5)</f>
        <v>3637.5</v>
      </c>
      <c r="E619" s="2">
        <f>IFERROR(__xludf.DUMMYFUNCTION("""COMPUTED_VALUE"""),3650.0)</f>
        <v>3650</v>
      </c>
      <c r="F619" s="2">
        <f>IFERROR(__xludf.DUMMYFUNCTION("""COMPUTED_VALUE"""),2.63125E7)</f>
        <v>26312500</v>
      </c>
      <c r="G619" s="2">
        <f t="shared" si="1"/>
        <v>100</v>
      </c>
    </row>
    <row r="620" ht="15.75" customHeight="1">
      <c r="A620" s="1">
        <f>IFERROR(__xludf.DUMMYFUNCTION("""COMPUTED_VALUE"""),44762.66666666667)</f>
        <v>44762.66667</v>
      </c>
      <c r="B620" s="2">
        <f>IFERROR(__xludf.DUMMYFUNCTION("""COMPUTED_VALUE"""),3712.5)</f>
        <v>3712.5</v>
      </c>
      <c r="C620" s="2">
        <f>IFERROR(__xludf.DUMMYFUNCTION("""COMPUTED_VALUE"""),3862.5)</f>
        <v>3862.5</v>
      </c>
      <c r="D620" s="2">
        <f>IFERROR(__xludf.DUMMYFUNCTION("""COMPUTED_VALUE"""),3700.0)</f>
        <v>3700</v>
      </c>
      <c r="E620" s="2">
        <f>IFERROR(__xludf.DUMMYFUNCTION("""COMPUTED_VALUE"""),3837.5)</f>
        <v>3837.5</v>
      </c>
      <c r="F620" s="2">
        <f>IFERROR(__xludf.DUMMYFUNCTION("""COMPUTED_VALUE"""),4.98762E7)</f>
        <v>49876200</v>
      </c>
      <c r="G620" s="2">
        <f t="shared" si="1"/>
        <v>212.5</v>
      </c>
    </row>
    <row r="621" ht="15.75" customHeight="1">
      <c r="A621" s="1">
        <f>IFERROR(__xludf.DUMMYFUNCTION("""COMPUTED_VALUE"""),44763.66666666667)</f>
        <v>44763.66667</v>
      </c>
      <c r="B621" s="2">
        <f>IFERROR(__xludf.DUMMYFUNCTION("""COMPUTED_VALUE"""),3900.0)</f>
        <v>3900</v>
      </c>
      <c r="C621" s="2">
        <f>IFERROR(__xludf.DUMMYFUNCTION("""COMPUTED_VALUE"""),3912.5)</f>
        <v>3912.5</v>
      </c>
      <c r="D621" s="2">
        <f>IFERROR(__xludf.DUMMYFUNCTION("""COMPUTED_VALUE"""),3775.0)</f>
        <v>3775</v>
      </c>
      <c r="E621" s="2">
        <f>IFERROR(__xludf.DUMMYFUNCTION("""COMPUTED_VALUE"""),3862.5)</f>
        <v>3862.5</v>
      </c>
      <c r="F621" s="2">
        <f>IFERROR(__xludf.DUMMYFUNCTION("""COMPUTED_VALUE"""),4.58119E7)</f>
        <v>45811900</v>
      </c>
      <c r="G621" s="2">
        <f t="shared" si="1"/>
        <v>137.5</v>
      </c>
    </row>
    <row r="622" ht="15.75" customHeight="1">
      <c r="A622" s="1">
        <f>IFERROR(__xludf.DUMMYFUNCTION("""COMPUTED_VALUE"""),44764.66666666667)</f>
        <v>44764.66667</v>
      </c>
      <c r="B622" s="2">
        <f>IFERROR(__xludf.DUMMYFUNCTION("""COMPUTED_VALUE"""),3875.0)</f>
        <v>3875</v>
      </c>
      <c r="C622" s="2">
        <f>IFERROR(__xludf.DUMMYFUNCTION("""COMPUTED_VALUE"""),3900.0)</f>
        <v>3900</v>
      </c>
      <c r="D622" s="2">
        <f>IFERROR(__xludf.DUMMYFUNCTION("""COMPUTED_VALUE"""),3825.0)</f>
        <v>3825</v>
      </c>
      <c r="E622" s="2">
        <f>IFERROR(__xludf.DUMMYFUNCTION("""COMPUTED_VALUE"""),3850.0)</f>
        <v>3850</v>
      </c>
      <c r="F622" s="2">
        <f>IFERROR(__xludf.DUMMYFUNCTION("""COMPUTED_VALUE"""),1.99751E7)</f>
        <v>19975100</v>
      </c>
      <c r="G622" s="2">
        <f t="shared" si="1"/>
        <v>75</v>
      </c>
    </row>
    <row r="623" ht="15.75" customHeight="1">
      <c r="A623" s="1">
        <f>IFERROR(__xludf.DUMMYFUNCTION("""COMPUTED_VALUE"""),44767.66666666667)</f>
        <v>44767.66667</v>
      </c>
      <c r="B623" s="2">
        <f>IFERROR(__xludf.DUMMYFUNCTION("""COMPUTED_VALUE"""),3850.0)</f>
        <v>3850</v>
      </c>
      <c r="C623" s="2">
        <f>IFERROR(__xludf.DUMMYFUNCTION("""COMPUTED_VALUE"""),3862.5)</f>
        <v>3862.5</v>
      </c>
      <c r="D623" s="2">
        <f>IFERROR(__xludf.DUMMYFUNCTION("""COMPUTED_VALUE"""),3800.0)</f>
        <v>3800</v>
      </c>
      <c r="E623" s="2">
        <f>IFERROR(__xludf.DUMMYFUNCTION("""COMPUTED_VALUE"""),3800.0)</f>
        <v>3800</v>
      </c>
      <c r="F623" s="2">
        <f>IFERROR(__xludf.DUMMYFUNCTION("""COMPUTED_VALUE"""),1.13778E7)</f>
        <v>11377800</v>
      </c>
      <c r="G623" s="2">
        <f t="shared" si="1"/>
        <v>62.5</v>
      </c>
    </row>
    <row r="624" ht="15.75" customHeight="1">
      <c r="A624" s="1">
        <f>IFERROR(__xludf.DUMMYFUNCTION("""COMPUTED_VALUE"""),44768.66666666667)</f>
        <v>44768.66667</v>
      </c>
      <c r="B624" s="2">
        <f>IFERROR(__xludf.DUMMYFUNCTION("""COMPUTED_VALUE"""),3825.0)</f>
        <v>3825</v>
      </c>
      <c r="C624" s="2">
        <f>IFERROR(__xludf.DUMMYFUNCTION("""COMPUTED_VALUE"""),3875.0)</f>
        <v>3875</v>
      </c>
      <c r="D624" s="2">
        <f>IFERROR(__xludf.DUMMYFUNCTION("""COMPUTED_VALUE"""),3812.5)</f>
        <v>3812.5</v>
      </c>
      <c r="E624" s="2">
        <f>IFERROR(__xludf.DUMMYFUNCTION("""COMPUTED_VALUE"""),3837.5)</f>
        <v>3837.5</v>
      </c>
      <c r="F624" s="2">
        <f>IFERROR(__xludf.DUMMYFUNCTION("""COMPUTED_VALUE"""),2.03714E7)</f>
        <v>20371400</v>
      </c>
      <c r="G624" s="2">
        <f t="shared" si="1"/>
        <v>75</v>
      </c>
    </row>
    <row r="625" ht="15.75" customHeight="1">
      <c r="A625" s="1">
        <f>IFERROR(__xludf.DUMMYFUNCTION("""COMPUTED_VALUE"""),44769.66666666667)</f>
        <v>44769.66667</v>
      </c>
      <c r="B625" s="2">
        <f>IFERROR(__xludf.DUMMYFUNCTION("""COMPUTED_VALUE"""),3875.0)</f>
        <v>3875</v>
      </c>
      <c r="C625" s="2">
        <f>IFERROR(__xludf.DUMMYFUNCTION("""COMPUTED_VALUE"""),3912.5)</f>
        <v>3912.5</v>
      </c>
      <c r="D625" s="2">
        <f>IFERROR(__xludf.DUMMYFUNCTION("""COMPUTED_VALUE"""),3862.5)</f>
        <v>3862.5</v>
      </c>
      <c r="E625" s="2">
        <f>IFERROR(__xludf.DUMMYFUNCTION("""COMPUTED_VALUE"""),3887.5)</f>
        <v>3887.5</v>
      </c>
      <c r="F625" s="2">
        <f>IFERROR(__xludf.DUMMYFUNCTION("""COMPUTED_VALUE"""),3.07351E7)</f>
        <v>30735100</v>
      </c>
      <c r="G625" s="2">
        <f t="shared" si="1"/>
        <v>75</v>
      </c>
    </row>
    <row r="626" ht="15.75" customHeight="1">
      <c r="A626" s="1">
        <f>IFERROR(__xludf.DUMMYFUNCTION("""COMPUTED_VALUE"""),44770.66666666667)</f>
        <v>44770.66667</v>
      </c>
      <c r="B626" s="2">
        <f>IFERROR(__xludf.DUMMYFUNCTION("""COMPUTED_VALUE"""),3925.0)</f>
        <v>3925</v>
      </c>
      <c r="C626" s="2">
        <f>IFERROR(__xludf.DUMMYFUNCTION("""COMPUTED_VALUE"""),3975.0)</f>
        <v>3975</v>
      </c>
      <c r="D626" s="2">
        <f>IFERROR(__xludf.DUMMYFUNCTION("""COMPUTED_VALUE"""),3912.5)</f>
        <v>3912.5</v>
      </c>
      <c r="E626" s="2">
        <f>IFERROR(__xludf.DUMMYFUNCTION("""COMPUTED_VALUE"""),3912.5)</f>
        <v>3912.5</v>
      </c>
      <c r="F626" s="2">
        <f>IFERROR(__xludf.DUMMYFUNCTION("""COMPUTED_VALUE"""),4.50187E7)</f>
        <v>45018700</v>
      </c>
      <c r="G626" s="2">
        <f t="shared" si="1"/>
        <v>87.5</v>
      </c>
    </row>
    <row r="627" ht="15.75" customHeight="1">
      <c r="A627" s="1">
        <f>IFERROR(__xludf.DUMMYFUNCTION("""COMPUTED_VALUE"""),44771.66666666667)</f>
        <v>44771.66667</v>
      </c>
      <c r="B627" s="2">
        <f>IFERROR(__xludf.DUMMYFUNCTION("""COMPUTED_VALUE"""),3937.5)</f>
        <v>3937.5</v>
      </c>
      <c r="C627" s="2">
        <f>IFERROR(__xludf.DUMMYFUNCTION("""COMPUTED_VALUE"""),3975.0)</f>
        <v>3975</v>
      </c>
      <c r="D627" s="2">
        <f>IFERROR(__xludf.DUMMYFUNCTION("""COMPUTED_VALUE"""),3912.5)</f>
        <v>3912.5</v>
      </c>
      <c r="E627" s="2">
        <f>IFERROR(__xludf.DUMMYFUNCTION("""COMPUTED_VALUE"""),3925.0)</f>
        <v>3925</v>
      </c>
      <c r="F627" s="2">
        <f>IFERROR(__xludf.DUMMYFUNCTION("""COMPUTED_VALUE"""),4.8013E7)</f>
        <v>48013000</v>
      </c>
      <c r="G627" s="2">
        <f t="shared" si="1"/>
        <v>62.5</v>
      </c>
    </row>
    <row r="628" ht="15.75" customHeight="1">
      <c r="A628" s="1">
        <f>IFERROR(__xludf.DUMMYFUNCTION("""COMPUTED_VALUE"""),44774.66666666667)</f>
        <v>44774.66667</v>
      </c>
      <c r="B628" s="2">
        <f>IFERROR(__xludf.DUMMYFUNCTION("""COMPUTED_VALUE"""),4050.0)</f>
        <v>4050</v>
      </c>
      <c r="C628" s="2">
        <f>IFERROR(__xludf.DUMMYFUNCTION("""COMPUTED_VALUE"""),4050.0)</f>
        <v>4050</v>
      </c>
      <c r="D628" s="2">
        <f>IFERROR(__xludf.DUMMYFUNCTION("""COMPUTED_VALUE"""),3975.0)</f>
        <v>3975</v>
      </c>
      <c r="E628" s="2">
        <f>IFERROR(__xludf.DUMMYFUNCTION("""COMPUTED_VALUE"""),3975.0)</f>
        <v>3975</v>
      </c>
      <c r="F628" s="2">
        <f>IFERROR(__xludf.DUMMYFUNCTION("""COMPUTED_VALUE"""),7.06829E7)</f>
        <v>70682900</v>
      </c>
      <c r="G628" s="2">
        <f t="shared" si="1"/>
        <v>125</v>
      </c>
    </row>
    <row r="629" ht="15.75" customHeight="1">
      <c r="A629" s="1">
        <f>IFERROR(__xludf.DUMMYFUNCTION("""COMPUTED_VALUE"""),44775.66666666667)</f>
        <v>44775.66667</v>
      </c>
      <c r="B629" s="2">
        <f>IFERROR(__xludf.DUMMYFUNCTION("""COMPUTED_VALUE"""),3987.5)</f>
        <v>3987.5</v>
      </c>
      <c r="C629" s="2">
        <f>IFERROR(__xludf.DUMMYFUNCTION("""COMPUTED_VALUE"""),4037.5)</f>
        <v>4037.5</v>
      </c>
      <c r="D629" s="2">
        <f>IFERROR(__xludf.DUMMYFUNCTION("""COMPUTED_VALUE"""),3937.5)</f>
        <v>3937.5</v>
      </c>
      <c r="E629" s="2">
        <f>IFERROR(__xludf.DUMMYFUNCTION("""COMPUTED_VALUE"""),4037.5)</f>
        <v>4037.5</v>
      </c>
      <c r="F629" s="2">
        <f>IFERROR(__xludf.DUMMYFUNCTION("""COMPUTED_VALUE"""),3.07373E7)</f>
        <v>30737300</v>
      </c>
      <c r="G629" s="2">
        <f t="shared" si="1"/>
        <v>100</v>
      </c>
    </row>
    <row r="630" ht="15.75" customHeight="1">
      <c r="A630" s="1">
        <f>IFERROR(__xludf.DUMMYFUNCTION("""COMPUTED_VALUE"""),44776.66666666667)</f>
        <v>44776.66667</v>
      </c>
      <c r="B630" s="2">
        <f>IFERROR(__xludf.DUMMYFUNCTION("""COMPUTED_VALUE"""),4050.0)</f>
        <v>4050</v>
      </c>
      <c r="C630" s="2">
        <f>IFERROR(__xludf.DUMMYFUNCTION("""COMPUTED_VALUE"""),4062.5)</f>
        <v>4062.5</v>
      </c>
      <c r="D630" s="2">
        <f>IFERROR(__xludf.DUMMYFUNCTION("""COMPUTED_VALUE"""),4000.0)</f>
        <v>4000</v>
      </c>
      <c r="E630" s="2">
        <f>IFERROR(__xludf.DUMMYFUNCTION("""COMPUTED_VALUE"""),4062.5)</f>
        <v>4062.5</v>
      </c>
      <c r="F630" s="2">
        <f>IFERROR(__xludf.DUMMYFUNCTION("""COMPUTED_VALUE"""),1.98822E7)</f>
        <v>19882200</v>
      </c>
      <c r="G630" s="2">
        <f t="shared" si="1"/>
        <v>62.5</v>
      </c>
    </row>
    <row r="631" ht="15.75" customHeight="1">
      <c r="A631" s="1">
        <f>IFERROR(__xludf.DUMMYFUNCTION("""COMPUTED_VALUE"""),44777.66666666667)</f>
        <v>44777.66667</v>
      </c>
      <c r="B631" s="2">
        <f>IFERROR(__xludf.DUMMYFUNCTION("""COMPUTED_VALUE"""),4050.0)</f>
        <v>4050</v>
      </c>
      <c r="C631" s="2">
        <f>IFERROR(__xludf.DUMMYFUNCTION("""COMPUTED_VALUE"""),4062.5)</f>
        <v>4062.5</v>
      </c>
      <c r="D631" s="2">
        <f>IFERROR(__xludf.DUMMYFUNCTION("""COMPUTED_VALUE"""),3975.0)</f>
        <v>3975</v>
      </c>
      <c r="E631" s="2">
        <f>IFERROR(__xludf.DUMMYFUNCTION("""COMPUTED_VALUE"""),4000.0)</f>
        <v>4000</v>
      </c>
      <c r="F631" s="2">
        <f>IFERROR(__xludf.DUMMYFUNCTION("""COMPUTED_VALUE"""),3.59641E7)</f>
        <v>35964100</v>
      </c>
      <c r="G631" s="2">
        <f t="shared" si="1"/>
        <v>87.5</v>
      </c>
    </row>
    <row r="632" ht="15.75" customHeight="1">
      <c r="A632" s="1">
        <f>IFERROR(__xludf.DUMMYFUNCTION("""COMPUTED_VALUE"""),44778.66666666667)</f>
        <v>44778.66667</v>
      </c>
      <c r="B632" s="2">
        <f>IFERROR(__xludf.DUMMYFUNCTION("""COMPUTED_VALUE"""),4012.5)</f>
        <v>4012.5</v>
      </c>
      <c r="C632" s="2">
        <f>IFERROR(__xludf.DUMMYFUNCTION("""COMPUTED_VALUE"""),4137.5)</f>
        <v>4137.5</v>
      </c>
      <c r="D632" s="2">
        <f>IFERROR(__xludf.DUMMYFUNCTION("""COMPUTED_VALUE"""),3987.5)</f>
        <v>3987.5</v>
      </c>
      <c r="E632" s="2">
        <f>IFERROR(__xludf.DUMMYFUNCTION("""COMPUTED_VALUE"""),4125.0)</f>
        <v>4125</v>
      </c>
      <c r="F632" s="2">
        <f>IFERROR(__xludf.DUMMYFUNCTION("""COMPUTED_VALUE"""),2.51733E7)</f>
        <v>25173300</v>
      </c>
      <c r="G632" s="2">
        <f t="shared" si="1"/>
        <v>150</v>
      </c>
    </row>
    <row r="633" ht="15.75" customHeight="1">
      <c r="A633" s="1">
        <f>IFERROR(__xludf.DUMMYFUNCTION("""COMPUTED_VALUE"""),44781.66666666667)</f>
        <v>44781.66667</v>
      </c>
      <c r="B633" s="2">
        <f>IFERROR(__xludf.DUMMYFUNCTION("""COMPUTED_VALUE"""),4125.0)</f>
        <v>4125</v>
      </c>
      <c r="C633" s="2">
        <f>IFERROR(__xludf.DUMMYFUNCTION("""COMPUTED_VALUE"""),4137.5)</f>
        <v>4137.5</v>
      </c>
      <c r="D633" s="2">
        <f>IFERROR(__xludf.DUMMYFUNCTION("""COMPUTED_VALUE"""),4087.5)</f>
        <v>4087.5</v>
      </c>
      <c r="E633" s="2">
        <f>IFERROR(__xludf.DUMMYFUNCTION("""COMPUTED_VALUE"""),4125.0)</f>
        <v>4125</v>
      </c>
      <c r="F633" s="2">
        <f>IFERROR(__xludf.DUMMYFUNCTION("""COMPUTED_VALUE"""),1.32069E7)</f>
        <v>13206900</v>
      </c>
      <c r="G633" s="2">
        <f t="shared" si="1"/>
        <v>50</v>
      </c>
    </row>
    <row r="634" ht="15.75" customHeight="1">
      <c r="A634" s="1">
        <f>IFERROR(__xludf.DUMMYFUNCTION("""COMPUTED_VALUE"""),44782.66666666667)</f>
        <v>44782.66667</v>
      </c>
      <c r="B634" s="2">
        <f>IFERROR(__xludf.DUMMYFUNCTION("""COMPUTED_VALUE"""),4137.5)</f>
        <v>4137.5</v>
      </c>
      <c r="C634" s="2">
        <f>IFERROR(__xludf.DUMMYFUNCTION("""COMPUTED_VALUE"""),4250.0)</f>
        <v>4250</v>
      </c>
      <c r="D634" s="2">
        <f>IFERROR(__xludf.DUMMYFUNCTION("""COMPUTED_VALUE"""),4125.0)</f>
        <v>4125</v>
      </c>
      <c r="E634" s="2">
        <f>IFERROR(__xludf.DUMMYFUNCTION("""COMPUTED_VALUE"""),4225.0)</f>
        <v>4225</v>
      </c>
      <c r="F634" s="2">
        <f>IFERROR(__xludf.DUMMYFUNCTION("""COMPUTED_VALUE"""),4.02961E7)</f>
        <v>40296100</v>
      </c>
      <c r="G634" s="2">
        <f t="shared" si="1"/>
        <v>125</v>
      </c>
    </row>
    <row r="635" ht="15.75" customHeight="1">
      <c r="A635" s="1">
        <f>IFERROR(__xludf.DUMMYFUNCTION("""COMPUTED_VALUE"""),44783.66666666667)</f>
        <v>44783.66667</v>
      </c>
      <c r="B635" s="2">
        <f>IFERROR(__xludf.DUMMYFUNCTION("""COMPUTED_VALUE"""),4162.5)</f>
        <v>4162.5</v>
      </c>
      <c r="C635" s="2">
        <f>IFERROR(__xludf.DUMMYFUNCTION("""COMPUTED_VALUE"""),4237.5)</f>
        <v>4237.5</v>
      </c>
      <c r="D635" s="2">
        <f>IFERROR(__xludf.DUMMYFUNCTION("""COMPUTED_VALUE"""),4150.0)</f>
        <v>4150</v>
      </c>
      <c r="E635" s="2">
        <f>IFERROR(__xludf.DUMMYFUNCTION("""COMPUTED_VALUE"""),4237.5)</f>
        <v>4237.5</v>
      </c>
      <c r="F635" s="2">
        <f>IFERROR(__xludf.DUMMYFUNCTION("""COMPUTED_VALUE"""),2.46862E7)</f>
        <v>24686200</v>
      </c>
      <c r="G635" s="2">
        <f t="shared" si="1"/>
        <v>87.5</v>
      </c>
    </row>
    <row r="636" ht="15.75" customHeight="1">
      <c r="A636" s="1">
        <f>IFERROR(__xludf.DUMMYFUNCTION("""COMPUTED_VALUE"""),44784.66666666667)</f>
        <v>44784.66667</v>
      </c>
      <c r="B636" s="2">
        <f>IFERROR(__xludf.DUMMYFUNCTION("""COMPUTED_VALUE"""),4287.5)</f>
        <v>4287.5</v>
      </c>
      <c r="C636" s="2">
        <f>IFERROR(__xludf.DUMMYFUNCTION("""COMPUTED_VALUE"""),4300.0)</f>
        <v>4300</v>
      </c>
      <c r="D636" s="2">
        <f>IFERROR(__xludf.DUMMYFUNCTION("""COMPUTED_VALUE"""),4200.0)</f>
        <v>4200</v>
      </c>
      <c r="E636" s="2">
        <f>IFERROR(__xludf.DUMMYFUNCTION("""COMPUTED_VALUE"""),4262.5)</f>
        <v>4262.5</v>
      </c>
      <c r="F636" s="2">
        <f>IFERROR(__xludf.DUMMYFUNCTION("""COMPUTED_VALUE"""),2.70012E7)</f>
        <v>27001200</v>
      </c>
      <c r="G636" s="2">
        <f t="shared" si="1"/>
        <v>100</v>
      </c>
    </row>
    <row r="637" ht="15.75" customHeight="1">
      <c r="A637" s="1">
        <f>IFERROR(__xludf.DUMMYFUNCTION("""COMPUTED_VALUE"""),44785.66666666667)</f>
        <v>44785.66667</v>
      </c>
      <c r="B637" s="2">
        <f>IFERROR(__xludf.DUMMYFUNCTION("""COMPUTED_VALUE"""),4212.5)</f>
        <v>4212.5</v>
      </c>
      <c r="C637" s="2">
        <f>IFERROR(__xludf.DUMMYFUNCTION("""COMPUTED_VALUE"""),4275.0)</f>
        <v>4275</v>
      </c>
      <c r="D637" s="2">
        <f>IFERROR(__xludf.DUMMYFUNCTION("""COMPUTED_VALUE"""),4200.0)</f>
        <v>4200</v>
      </c>
      <c r="E637" s="2">
        <f>IFERROR(__xludf.DUMMYFUNCTION("""COMPUTED_VALUE"""),4262.5)</f>
        <v>4262.5</v>
      </c>
      <c r="F637" s="2">
        <f>IFERROR(__xludf.DUMMYFUNCTION("""COMPUTED_VALUE"""),1.71322E7)</f>
        <v>17132200</v>
      </c>
      <c r="G637" s="2">
        <f t="shared" si="1"/>
        <v>75</v>
      </c>
    </row>
    <row r="638" ht="15.75" customHeight="1">
      <c r="A638" s="1">
        <f>IFERROR(__xludf.DUMMYFUNCTION("""COMPUTED_VALUE"""),44788.66666666667)</f>
        <v>44788.66667</v>
      </c>
      <c r="B638" s="2">
        <f>IFERROR(__xludf.DUMMYFUNCTION("""COMPUTED_VALUE"""),4287.5)</f>
        <v>4287.5</v>
      </c>
      <c r="C638" s="2">
        <f>IFERROR(__xludf.DUMMYFUNCTION("""COMPUTED_VALUE"""),4287.5)</f>
        <v>4287.5</v>
      </c>
      <c r="D638" s="2">
        <f>IFERROR(__xludf.DUMMYFUNCTION("""COMPUTED_VALUE"""),4225.0)</f>
        <v>4225</v>
      </c>
      <c r="E638" s="2">
        <f>IFERROR(__xludf.DUMMYFUNCTION("""COMPUTED_VALUE"""),4275.0)</f>
        <v>4275</v>
      </c>
      <c r="F638" s="2">
        <f>IFERROR(__xludf.DUMMYFUNCTION("""COMPUTED_VALUE"""),2.19279E7)</f>
        <v>21927900</v>
      </c>
      <c r="G638" s="2">
        <f t="shared" si="1"/>
        <v>62.5</v>
      </c>
    </row>
    <row r="639" ht="15.75" customHeight="1">
      <c r="A639" s="1">
        <f>IFERROR(__xludf.DUMMYFUNCTION("""COMPUTED_VALUE"""),44789.66666666667)</f>
        <v>44789.66667</v>
      </c>
      <c r="B639" s="2">
        <f>IFERROR(__xludf.DUMMYFUNCTION("""COMPUTED_VALUE"""),4262.5)</f>
        <v>4262.5</v>
      </c>
      <c r="C639" s="2">
        <f>IFERROR(__xludf.DUMMYFUNCTION("""COMPUTED_VALUE"""),4287.5)</f>
        <v>4287.5</v>
      </c>
      <c r="D639" s="2">
        <f>IFERROR(__xludf.DUMMYFUNCTION("""COMPUTED_VALUE"""),4237.5)</f>
        <v>4237.5</v>
      </c>
      <c r="E639" s="2">
        <f>IFERROR(__xludf.DUMMYFUNCTION("""COMPUTED_VALUE"""),4287.5)</f>
        <v>4287.5</v>
      </c>
      <c r="F639" s="2">
        <f>IFERROR(__xludf.DUMMYFUNCTION("""COMPUTED_VALUE"""),1.81631E7)</f>
        <v>18163100</v>
      </c>
      <c r="G639" s="2">
        <f t="shared" si="1"/>
        <v>50</v>
      </c>
    </row>
    <row r="640" ht="15.75" customHeight="1">
      <c r="A640" s="1">
        <f>IFERROR(__xludf.DUMMYFUNCTION("""COMPUTED_VALUE"""),44791.66666666667)</f>
        <v>44791.66667</v>
      </c>
      <c r="B640" s="2">
        <f>IFERROR(__xludf.DUMMYFUNCTION("""COMPUTED_VALUE"""),4287.5)</f>
        <v>4287.5</v>
      </c>
      <c r="C640" s="2">
        <f>IFERROR(__xludf.DUMMYFUNCTION("""COMPUTED_VALUE"""),4362.5)</f>
        <v>4362.5</v>
      </c>
      <c r="D640" s="2">
        <f>IFERROR(__xludf.DUMMYFUNCTION("""COMPUTED_VALUE"""),4275.0)</f>
        <v>4275</v>
      </c>
      <c r="E640" s="2">
        <f>IFERROR(__xludf.DUMMYFUNCTION("""COMPUTED_VALUE"""),4325.0)</f>
        <v>4325</v>
      </c>
      <c r="F640" s="2">
        <f>IFERROR(__xludf.DUMMYFUNCTION("""COMPUTED_VALUE"""),2.57078E7)</f>
        <v>25707800</v>
      </c>
      <c r="G640" s="2">
        <f t="shared" si="1"/>
        <v>87.5</v>
      </c>
    </row>
    <row r="641" ht="15.75" customHeight="1">
      <c r="A641" s="1">
        <f>IFERROR(__xludf.DUMMYFUNCTION("""COMPUTED_VALUE"""),44792.66666666667)</f>
        <v>44792.66667</v>
      </c>
      <c r="B641" s="2">
        <f>IFERROR(__xludf.DUMMYFUNCTION("""COMPUTED_VALUE"""),4325.0)</f>
        <v>4325</v>
      </c>
      <c r="C641" s="2">
        <f>IFERROR(__xludf.DUMMYFUNCTION("""COMPUTED_VALUE"""),4337.5)</f>
        <v>4337.5</v>
      </c>
      <c r="D641" s="2">
        <f>IFERROR(__xludf.DUMMYFUNCTION("""COMPUTED_VALUE"""),4250.0)</f>
        <v>4250</v>
      </c>
      <c r="E641" s="2">
        <f>IFERROR(__xludf.DUMMYFUNCTION("""COMPUTED_VALUE"""),4250.0)</f>
        <v>4250</v>
      </c>
      <c r="F641" s="2">
        <f>IFERROR(__xludf.DUMMYFUNCTION("""COMPUTED_VALUE"""),1.66148E7)</f>
        <v>16614800</v>
      </c>
      <c r="G641" s="2">
        <f t="shared" si="1"/>
        <v>87.5</v>
      </c>
    </row>
    <row r="642" ht="15.75" customHeight="1">
      <c r="A642" s="1">
        <f>IFERROR(__xludf.DUMMYFUNCTION("""COMPUTED_VALUE"""),44795.66666666667)</f>
        <v>44795.66667</v>
      </c>
      <c r="B642" s="2">
        <f>IFERROR(__xludf.DUMMYFUNCTION("""COMPUTED_VALUE"""),4187.5)</f>
        <v>4187.5</v>
      </c>
      <c r="C642" s="2">
        <f>IFERROR(__xludf.DUMMYFUNCTION("""COMPUTED_VALUE"""),4212.5)</f>
        <v>4212.5</v>
      </c>
      <c r="D642" s="2">
        <f>IFERROR(__xludf.DUMMYFUNCTION("""COMPUTED_VALUE"""),4100.0)</f>
        <v>4100</v>
      </c>
      <c r="E642" s="2">
        <f>IFERROR(__xludf.DUMMYFUNCTION("""COMPUTED_VALUE"""),4150.0)</f>
        <v>4150</v>
      </c>
      <c r="F642" s="2">
        <f>IFERROR(__xludf.DUMMYFUNCTION("""COMPUTED_VALUE"""),4.03476E7)</f>
        <v>40347600</v>
      </c>
      <c r="G642" s="2">
        <f t="shared" si="1"/>
        <v>150</v>
      </c>
    </row>
    <row r="643" ht="15.75" customHeight="1">
      <c r="A643" s="1">
        <f>IFERROR(__xludf.DUMMYFUNCTION("""COMPUTED_VALUE"""),44796.66666666667)</f>
        <v>44796.66667</v>
      </c>
      <c r="B643" s="2">
        <f>IFERROR(__xludf.DUMMYFUNCTION("""COMPUTED_VALUE"""),4150.0)</f>
        <v>4150</v>
      </c>
      <c r="C643" s="2">
        <f>IFERROR(__xludf.DUMMYFUNCTION("""COMPUTED_VALUE"""),4200.0)</f>
        <v>4200</v>
      </c>
      <c r="D643" s="2">
        <f>IFERROR(__xludf.DUMMYFUNCTION("""COMPUTED_VALUE"""),4137.5)</f>
        <v>4137.5</v>
      </c>
      <c r="E643" s="2">
        <f>IFERROR(__xludf.DUMMYFUNCTION("""COMPUTED_VALUE"""),4150.0)</f>
        <v>4150</v>
      </c>
      <c r="F643" s="2">
        <f>IFERROR(__xludf.DUMMYFUNCTION("""COMPUTED_VALUE"""),2.15545E7)</f>
        <v>21554500</v>
      </c>
      <c r="G643" s="2">
        <f t="shared" si="1"/>
        <v>62.5</v>
      </c>
    </row>
    <row r="644" ht="15.75" customHeight="1">
      <c r="A644" s="1">
        <f>IFERROR(__xludf.DUMMYFUNCTION("""COMPUTED_VALUE"""),44797.66666666667)</f>
        <v>44797.66667</v>
      </c>
      <c r="B644" s="2">
        <f>IFERROR(__xludf.DUMMYFUNCTION("""COMPUTED_VALUE"""),4150.0)</f>
        <v>4150</v>
      </c>
      <c r="C644" s="2">
        <f>IFERROR(__xludf.DUMMYFUNCTION("""COMPUTED_VALUE"""),4200.0)</f>
        <v>4200</v>
      </c>
      <c r="D644" s="2">
        <f>IFERROR(__xludf.DUMMYFUNCTION("""COMPUTED_VALUE"""),4125.0)</f>
        <v>4125</v>
      </c>
      <c r="E644" s="2">
        <f>IFERROR(__xludf.DUMMYFUNCTION("""COMPUTED_VALUE"""),4150.0)</f>
        <v>4150</v>
      </c>
      <c r="F644" s="2">
        <f>IFERROR(__xludf.DUMMYFUNCTION("""COMPUTED_VALUE"""),1.56553E7)</f>
        <v>15655300</v>
      </c>
      <c r="G644" s="2">
        <f t="shared" si="1"/>
        <v>75</v>
      </c>
    </row>
    <row r="645" ht="15.75" customHeight="1">
      <c r="A645" s="1">
        <f>IFERROR(__xludf.DUMMYFUNCTION("""COMPUTED_VALUE"""),44798.66666666667)</f>
        <v>44798.66667</v>
      </c>
      <c r="B645" s="2">
        <f>IFERROR(__xludf.DUMMYFUNCTION("""COMPUTED_VALUE"""),4175.0)</f>
        <v>4175</v>
      </c>
      <c r="C645" s="2">
        <f>IFERROR(__xludf.DUMMYFUNCTION("""COMPUTED_VALUE"""),4187.5)</f>
        <v>4187.5</v>
      </c>
      <c r="D645" s="2">
        <f>IFERROR(__xludf.DUMMYFUNCTION("""COMPUTED_VALUE"""),4125.0)</f>
        <v>4125</v>
      </c>
      <c r="E645" s="2">
        <f>IFERROR(__xludf.DUMMYFUNCTION("""COMPUTED_VALUE"""),4137.5)</f>
        <v>4137.5</v>
      </c>
      <c r="F645" s="2">
        <f>IFERROR(__xludf.DUMMYFUNCTION("""COMPUTED_VALUE"""),9119700.0)</f>
        <v>9119700</v>
      </c>
      <c r="G645" s="2">
        <f t="shared" si="1"/>
        <v>62.5</v>
      </c>
    </row>
    <row r="646" ht="15.75" customHeight="1">
      <c r="A646" s="1">
        <f>IFERROR(__xludf.DUMMYFUNCTION("""COMPUTED_VALUE"""),44799.66666666667)</f>
        <v>44799.66667</v>
      </c>
      <c r="B646" s="2">
        <f>IFERROR(__xludf.DUMMYFUNCTION("""COMPUTED_VALUE"""),4162.5)</f>
        <v>4162.5</v>
      </c>
      <c r="C646" s="2">
        <f>IFERROR(__xludf.DUMMYFUNCTION("""COMPUTED_VALUE"""),4200.0)</f>
        <v>4200</v>
      </c>
      <c r="D646" s="2">
        <f>IFERROR(__xludf.DUMMYFUNCTION("""COMPUTED_VALUE"""),4150.0)</f>
        <v>4150</v>
      </c>
      <c r="E646" s="2">
        <f>IFERROR(__xludf.DUMMYFUNCTION("""COMPUTED_VALUE"""),4150.0)</f>
        <v>4150</v>
      </c>
      <c r="F646" s="2">
        <f>IFERROR(__xludf.DUMMYFUNCTION("""COMPUTED_VALUE"""),1.36471E7)</f>
        <v>13647100</v>
      </c>
      <c r="G646" s="2">
        <f t="shared" si="1"/>
        <v>62.5</v>
      </c>
    </row>
    <row r="647" ht="15.75" customHeight="1">
      <c r="A647" s="1">
        <f>IFERROR(__xludf.DUMMYFUNCTION("""COMPUTED_VALUE"""),44802.66666666667)</f>
        <v>44802.66667</v>
      </c>
      <c r="B647" s="2">
        <f>IFERROR(__xludf.DUMMYFUNCTION("""COMPUTED_VALUE"""),4100.0)</f>
        <v>4100</v>
      </c>
      <c r="C647" s="2">
        <f>IFERROR(__xludf.DUMMYFUNCTION("""COMPUTED_VALUE"""),4150.0)</f>
        <v>4150</v>
      </c>
      <c r="D647" s="2">
        <f>IFERROR(__xludf.DUMMYFUNCTION("""COMPUTED_VALUE"""),4062.5)</f>
        <v>4062.5</v>
      </c>
      <c r="E647" s="2">
        <f>IFERROR(__xludf.DUMMYFUNCTION("""COMPUTED_VALUE"""),4100.0)</f>
        <v>4100</v>
      </c>
      <c r="F647" s="2">
        <f>IFERROR(__xludf.DUMMYFUNCTION("""COMPUTED_VALUE"""),2.52608E7)</f>
        <v>25260800</v>
      </c>
      <c r="G647" s="2">
        <f t="shared" si="1"/>
        <v>87.5</v>
      </c>
    </row>
    <row r="648" ht="15.75" customHeight="1">
      <c r="A648" s="1">
        <f>IFERROR(__xludf.DUMMYFUNCTION("""COMPUTED_VALUE"""),44803.66666666667)</f>
        <v>44803.66667</v>
      </c>
      <c r="B648" s="2">
        <f>IFERROR(__xludf.DUMMYFUNCTION("""COMPUTED_VALUE"""),4125.0)</f>
        <v>4125</v>
      </c>
      <c r="C648" s="2">
        <f>IFERROR(__xludf.DUMMYFUNCTION("""COMPUTED_VALUE"""),4250.0)</f>
        <v>4250</v>
      </c>
      <c r="D648" s="2">
        <f>IFERROR(__xludf.DUMMYFUNCTION("""COMPUTED_VALUE"""),4112.5)</f>
        <v>4112.5</v>
      </c>
      <c r="E648" s="2">
        <f>IFERROR(__xludf.DUMMYFUNCTION("""COMPUTED_VALUE"""),4212.5)</f>
        <v>4212.5</v>
      </c>
      <c r="F648" s="2">
        <f>IFERROR(__xludf.DUMMYFUNCTION("""COMPUTED_VALUE"""),3.20933E7)</f>
        <v>32093300</v>
      </c>
      <c r="G648" s="2">
        <f t="shared" si="1"/>
        <v>150</v>
      </c>
    </row>
    <row r="649" ht="15.75" customHeight="1">
      <c r="A649" s="1">
        <f>IFERROR(__xludf.DUMMYFUNCTION("""COMPUTED_VALUE"""),44804.66666666667)</f>
        <v>44804.66667</v>
      </c>
      <c r="B649" s="2">
        <f>IFERROR(__xludf.DUMMYFUNCTION("""COMPUTED_VALUE"""),4200.0)</f>
        <v>4200</v>
      </c>
      <c r="C649" s="2">
        <f>IFERROR(__xludf.DUMMYFUNCTION("""COMPUTED_VALUE"""),4262.5)</f>
        <v>4262.5</v>
      </c>
      <c r="D649" s="2">
        <f>IFERROR(__xludf.DUMMYFUNCTION("""COMPUTED_VALUE"""),4150.0)</f>
        <v>4150</v>
      </c>
      <c r="E649" s="2">
        <f>IFERROR(__xludf.DUMMYFUNCTION("""COMPUTED_VALUE"""),4262.5)</f>
        <v>4262.5</v>
      </c>
      <c r="F649" s="2">
        <f>IFERROR(__xludf.DUMMYFUNCTION("""COMPUTED_VALUE"""),4.41114E7)</f>
        <v>44111400</v>
      </c>
      <c r="G649" s="2">
        <f t="shared" si="1"/>
        <v>112.5</v>
      </c>
    </row>
    <row r="650" ht="15.75" customHeight="1">
      <c r="A650" s="1">
        <f>IFERROR(__xludf.DUMMYFUNCTION("""COMPUTED_VALUE"""),44805.625)</f>
        <v>44805.625</v>
      </c>
      <c r="B650" s="2">
        <f>IFERROR(__xludf.DUMMYFUNCTION("""COMPUTED_VALUE"""),4287.5)</f>
        <v>4287.5</v>
      </c>
      <c r="C650" s="2">
        <f>IFERROR(__xludf.DUMMYFUNCTION("""COMPUTED_VALUE"""),4300.0)</f>
        <v>4300</v>
      </c>
      <c r="D650" s="2">
        <f>IFERROR(__xludf.DUMMYFUNCTION("""COMPUTED_VALUE"""),4225.0)</f>
        <v>4225</v>
      </c>
      <c r="E650" s="2">
        <f>IFERROR(__xludf.DUMMYFUNCTION("""COMPUTED_VALUE"""),4262.5)</f>
        <v>4262.5</v>
      </c>
      <c r="F650" s="2">
        <f>IFERROR(__xludf.DUMMYFUNCTION("""COMPUTED_VALUE"""),1.23773E7)</f>
        <v>12377300</v>
      </c>
      <c r="G650" s="2">
        <f t="shared" si="1"/>
        <v>75</v>
      </c>
    </row>
    <row r="651" ht="15.75" customHeight="1">
      <c r="A651" s="1">
        <f>IFERROR(__xludf.DUMMYFUNCTION("""COMPUTED_VALUE"""),44806.625)</f>
        <v>44806.625</v>
      </c>
      <c r="B651" s="2">
        <f>IFERROR(__xludf.DUMMYFUNCTION("""COMPUTED_VALUE"""),4275.0)</f>
        <v>4275</v>
      </c>
      <c r="C651" s="2">
        <f>IFERROR(__xludf.DUMMYFUNCTION("""COMPUTED_VALUE"""),4375.0)</f>
        <v>4375</v>
      </c>
      <c r="D651" s="2">
        <f>IFERROR(__xludf.DUMMYFUNCTION("""COMPUTED_VALUE"""),4262.5)</f>
        <v>4262.5</v>
      </c>
      <c r="E651" s="2">
        <f>IFERROR(__xludf.DUMMYFUNCTION("""COMPUTED_VALUE"""),4350.0)</f>
        <v>4350</v>
      </c>
      <c r="F651" s="2">
        <f>IFERROR(__xludf.DUMMYFUNCTION("""COMPUTED_VALUE"""),3.80735E7)</f>
        <v>38073500</v>
      </c>
      <c r="G651" s="2">
        <f t="shared" si="1"/>
        <v>112.5</v>
      </c>
    </row>
    <row r="652" ht="15.75" customHeight="1">
      <c r="A652" s="1">
        <f>IFERROR(__xludf.DUMMYFUNCTION("""COMPUTED_VALUE"""),44809.66666666667)</f>
        <v>44809.66667</v>
      </c>
      <c r="B652" s="2">
        <f>IFERROR(__xludf.DUMMYFUNCTION("""COMPUTED_VALUE"""),4350.0)</f>
        <v>4350</v>
      </c>
      <c r="C652" s="2">
        <f>IFERROR(__xludf.DUMMYFUNCTION("""COMPUTED_VALUE"""),4437.5)</f>
        <v>4437.5</v>
      </c>
      <c r="D652" s="2">
        <f>IFERROR(__xludf.DUMMYFUNCTION("""COMPUTED_VALUE"""),4287.5)</f>
        <v>4287.5</v>
      </c>
      <c r="E652" s="2">
        <f>IFERROR(__xludf.DUMMYFUNCTION("""COMPUTED_VALUE"""),4425.0)</f>
        <v>4425</v>
      </c>
      <c r="F652" s="2">
        <f>IFERROR(__xludf.DUMMYFUNCTION("""COMPUTED_VALUE"""),2.02705E7)</f>
        <v>20270500</v>
      </c>
      <c r="G652" s="2">
        <f t="shared" si="1"/>
        <v>150</v>
      </c>
    </row>
    <row r="653" ht="15.75" customHeight="1">
      <c r="A653" s="1">
        <f>IFERROR(__xludf.DUMMYFUNCTION("""COMPUTED_VALUE"""),44810.66666666667)</f>
        <v>44810.66667</v>
      </c>
      <c r="B653" s="2">
        <f>IFERROR(__xludf.DUMMYFUNCTION("""COMPUTED_VALUE"""),4425.0)</f>
        <v>4425</v>
      </c>
      <c r="C653" s="2">
        <f>IFERROR(__xludf.DUMMYFUNCTION("""COMPUTED_VALUE"""),4450.0)</f>
        <v>4450</v>
      </c>
      <c r="D653" s="2">
        <f>IFERROR(__xludf.DUMMYFUNCTION("""COMPUTED_VALUE"""),4350.0)</f>
        <v>4350</v>
      </c>
      <c r="E653" s="2">
        <f>IFERROR(__xludf.DUMMYFUNCTION("""COMPUTED_VALUE"""),4375.0)</f>
        <v>4375</v>
      </c>
      <c r="F653" s="2">
        <f>IFERROR(__xludf.DUMMYFUNCTION("""COMPUTED_VALUE"""),1.95719E7)</f>
        <v>19571900</v>
      </c>
      <c r="G653" s="2">
        <f t="shared" si="1"/>
        <v>100</v>
      </c>
    </row>
    <row r="654" ht="15.75" customHeight="1">
      <c r="A654" s="1">
        <f>IFERROR(__xludf.DUMMYFUNCTION("""COMPUTED_VALUE"""),44811.66666666667)</f>
        <v>44811.66667</v>
      </c>
      <c r="B654" s="2">
        <f>IFERROR(__xludf.DUMMYFUNCTION("""COMPUTED_VALUE"""),4362.5)</f>
        <v>4362.5</v>
      </c>
      <c r="C654" s="2">
        <f>IFERROR(__xludf.DUMMYFUNCTION("""COMPUTED_VALUE"""),4362.5)</f>
        <v>4362.5</v>
      </c>
      <c r="D654" s="2">
        <f>IFERROR(__xludf.DUMMYFUNCTION("""COMPUTED_VALUE"""),4275.0)</f>
        <v>4275</v>
      </c>
      <c r="E654" s="2">
        <f>IFERROR(__xludf.DUMMYFUNCTION("""COMPUTED_VALUE"""),4287.5)</f>
        <v>4287.5</v>
      </c>
      <c r="F654" s="2">
        <f>IFERROR(__xludf.DUMMYFUNCTION("""COMPUTED_VALUE"""),2.28403E7)</f>
        <v>22840300</v>
      </c>
      <c r="G654" s="2">
        <f t="shared" si="1"/>
        <v>100</v>
      </c>
    </row>
    <row r="655" ht="15.75" customHeight="1">
      <c r="A655" s="1">
        <f>IFERROR(__xludf.DUMMYFUNCTION("""COMPUTED_VALUE"""),44812.66666666667)</f>
        <v>44812.66667</v>
      </c>
      <c r="B655" s="2">
        <f>IFERROR(__xludf.DUMMYFUNCTION("""COMPUTED_VALUE"""),4312.5)</f>
        <v>4312.5</v>
      </c>
      <c r="C655" s="2">
        <f>IFERROR(__xludf.DUMMYFUNCTION("""COMPUTED_VALUE"""),4400.0)</f>
        <v>4400</v>
      </c>
      <c r="D655" s="2">
        <f>IFERROR(__xludf.DUMMYFUNCTION("""COMPUTED_VALUE"""),4300.0)</f>
        <v>4300</v>
      </c>
      <c r="E655" s="2">
        <f>IFERROR(__xludf.DUMMYFUNCTION("""COMPUTED_VALUE"""),4387.5)</f>
        <v>4387.5</v>
      </c>
      <c r="F655" s="2">
        <f>IFERROR(__xludf.DUMMYFUNCTION("""COMPUTED_VALUE"""),2.44093E7)</f>
        <v>24409300</v>
      </c>
      <c r="G655" s="2">
        <f t="shared" si="1"/>
        <v>112.5</v>
      </c>
    </row>
    <row r="656" ht="15.75" customHeight="1">
      <c r="A656" s="1">
        <f>IFERROR(__xludf.DUMMYFUNCTION("""COMPUTED_VALUE"""),44813.66666666667)</f>
        <v>44813.66667</v>
      </c>
      <c r="B656" s="2">
        <f>IFERROR(__xludf.DUMMYFUNCTION("""COMPUTED_VALUE"""),4387.5)</f>
        <v>4387.5</v>
      </c>
      <c r="C656" s="2">
        <f>IFERROR(__xludf.DUMMYFUNCTION("""COMPUTED_VALUE"""),4412.5)</f>
        <v>4412.5</v>
      </c>
      <c r="D656" s="2">
        <f>IFERROR(__xludf.DUMMYFUNCTION("""COMPUTED_VALUE"""),4375.0)</f>
        <v>4375</v>
      </c>
      <c r="E656" s="2">
        <f>IFERROR(__xludf.DUMMYFUNCTION("""COMPUTED_VALUE"""),4400.0)</f>
        <v>4400</v>
      </c>
      <c r="F656" s="2">
        <f>IFERROR(__xludf.DUMMYFUNCTION("""COMPUTED_VALUE"""),3.30614E7)</f>
        <v>33061400</v>
      </c>
      <c r="G656" s="2">
        <f t="shared" si="1"/>
        <v>37.5</v>
      </c>
    </row>
    <row r="657" ht="15.75" customHeight="1">
      <c r="A657" s="1">
        <f>IFERROR(__xludf.DUMMYFUNCTION("""COMPUTED_VALUE"""),44816.66666666667)</f>
        <v>44816.66667</v>
      </c>
      <c r="B657" s="2">
        <f>IFERROR(__xludf.DUMMYFUNCTION("""COMPUTED_VALUE"""),4450.0)</f>
        <v>4450</v>
      </c>
      <c r="C657" s="2">
        <f>IFERROR(__xludf.DUMMYFUNCTION("""COMPUTED_VALUE"""),4450.0)</f>
        <v>4450</v>
      </c>
      <c r="D657" s="2">
        <f>IFERROR(__xludf.DUMMYFUNCTION("""COMPUTED_VALUE"""),4387.5)</f>
        <v>4387.5</v>
      </c>
      <c r="E657" s="2">
        <f>IFERROR(__xludf.DUMMYFUNCTION("""COMPUTED_VALUE"""),4400.0)</f>
        <v>4400</v>
      </c>
      <c r="F657" s="2">
        <f>IFERROR(__xludf.DUMMYFUNCTION("""COMPUTED_VALUE"""),1.65823E7)</f>
        <v>16582300</v>
      </c>
      <c r="G657" s="2">
        <f t="shared" si="1"/>
        <v>62.5</v>
      </c>
    </row>
    <row r="658" ht="15.75" customHeight="1">
      <c r="A658" s="1">
        <f>IFERROR(__xludf.DUMMYFUNCTION("""COMPUTED_VALUE"""),44817.66666666667)</f>
        <v>44817.66667</v>
      </c>
      <c r="B658" s="2">
        <f>IFERROR(__xludf.DUMMYFUNCTION("""COMPUTED_VALUE"""),4425.0)</f>
        <v>4425</v>
      </c>
      <c r="C658" s="2">
        <f>IFERROR(__xludf.DUMMYFUNCTION("""COMPUTED_VALUE"""),4500.0)</f>
        <v>4500</v>
      </c>
      <c r="D658" s="2">
        <f>IFERROR(__xludf.DUMMYFUNCTION("""COMPUTED_VALUE"""),4400.0)</f>
        <v>4400</v>
      </c>
      <c r="E658" s="2">
        <f>IFERROR(__xludf.DUMMYFUNCTION("""COMPUTED_VALUE"""),4487.5)</f>
        <v>4487.5</v>
      </c>
      <c r="F658" s="2">
        <f>IFERROR(__xludf.DUMMYFUNCTION("""COMPUTED_VALUE"""),3.25676E7)</f>
        <v>32567600</v>
      </c>
      <c r="G658" s="2">
        <f t="shared" si="1"/>
        <v>100</v>
      </c>
    </row>
    <row r="659" ht="15.75" customHeight="1">
      <c r="A659" s="1">
        <f>IFERROR(__xludf.DUMMYFUNCTION("""COMPUTED_VALUE"""),44818.66666666667)</f>
        <v>44818.66667</v>
      </c>
      <c r="B659" s="2">
        <f>IFERROR(__xludf.DUMMYFUNCTION("""COMPUTED_VALUE"""),4425.0)</f>
        <v>4425</v>
      </c>
      <c r="C659" s="2">
        <f>IFERROR(__xludf.DUMMYFUNCTION("""COMPUTED_VALUE"""),4475.0)</f>
        <v>4475</v>
      </c>
      <c r="D659" s="2">
        <f>IFERROR(__xludf.DUMMYFUNCTION("""COMPUTED_VALUE"""),4387.5)</f>
        <v>4387.5</v>
      </c>
      <c r="E659" s="2">
        <f>IFERROR(__xludf.DUMMYFUNCTION("""COMPUTED_VALUE"""),4450.0)</f>
        <v>4450</v>
      </c>
      <c r="F659" s="2">
        <f>IFERROR(__xludf.DUMMYFUNCTION("""COMPUTED_VALUE"""),2.32741E7)</f>
        <v>23274100</v>
      </c>
      <c r="G659" s="2">
        <f t="shared" si="1"/>
        <v>100</v>
      </c>
    </row>
    <row r="660" ht="15.75" customHeight="1">
      <c r="A660" s="1">
        <f>IFERROR(__xludf.DUMMYFUNCTION("""COMPUTED_VALUE"""),44819.66666666667)</f>
        <v>44819.66667</v>
      </c>
      <c r="B660" s="2">
        <f>IFERROR(__xludf.DUMMYFUNCTION("""COMPUTED_VALUE"""),4500.0)</f>
        <v>4500</v>
      </c>
      <c r="C660" s="2">
        <f>IFERROR(__xludf.DUMMYFUNCTION("""COMPUTED_VALUE"""),4625.0)</f>
        <v>4625</v>
      </c>
      <c r="D660" s="2">
        <f>IFERROR(__xludf.DUMMYFUNCTION("""COMPUTED_VALUE"""),4487.5)</f>
        <v>4487.5</v>
      </c>
      <c r="E660" s="2">
        <f>IFERROR(__xludf.DUMMYFUNCTION("""COMPUTED_VALUE"""),4587.5)</f>
        <v>4587.5</v>
      </c>
      <c r="F660" s="2">
        <f>IFERROR(__xludf.DUMMYFUNCTION("""COMPUTED_VALUE"""),7.71714E7)</f>
        <v>77171400</v>
      </c>
      <c r="G660" s="2">
        <f t="shared" si="1"/>
        <v>175</v>
      </c>
    </row>
    <row r="661" ht="15.75" customHeight="1">
      <c r="A661" s="1">
        <f>IFERROR(__xludf.DUMMYFUNCTION("""COMPUTED_VALUE"""),44820.66666666667)</f>
        <v>44820.66667</v>
      </c>
      <c r="B661" s="2">
        <f>IFERROR(__xludf.DUMMYFUNCTION("""COMPUTED_VALUE"""),4550.0)</f>
        <v>4550</v>
      </c>
      <c r="C661" s="2">
        <f>IFERROR(__xludf.DUMMYFUNCTION("""COMPUTED_VALUE"""),4587.5)</f>
        <v>4587.5</v>
      </c>
      <c r="D661" s="2">
        <f>IFERROR(__xludf.DUMMYFUNCTION("""COMPUTED_VALUE"""),4437.5)</f>
        <v>4437.5</v>
      </c>
      <c r="E661" s="2">
        <f>IFERROR(__xludf.DUMMYFUNCTION("""COMPUTED_VALUE"""),4475.0)</f>
        <v>4475</v>
      </c>
      <c r="F661" s="2">
        <f>IFERROR(__xludf.DUMMYFUNCTION("""COMPUTED_VALUE"""),4.5416E7)</f>
        <v>45416000</v>
      </c>
      <c r="G661" s="2">
        <f t="shared" si="1"/>
        <v>150</v>
      </c>
    </row>
    <row r="662" ht="15.75" customHeight="1">
      <c r="A662" s="1">
        <f>IFERROR(__xludf.DUMMYFUNCTION("""COMPUTED_VALUE"""),44823.66666666667)</f>
        <v>44823.66667</v>
      </c>
      <c r="B662" s="2">
        <f>IFERROR(__xludf.DUMMYFUNCTION("""COMPUTED_VALUE"""),4525.0)</f>
        <v>4525</v>
      </c>
      <c r="C662" s="2">
        <f>IFERROR(__xludf.DUMMYFUNCTION("""COMPUTED_VALUE"""),4537.5)</f>
        <v>4537.5</v>
      </c>
      <c r="D662" s="2">
        <f>IFERROR(__xludf.DUMMYFUNCTION("""COMPUTED_VALUE"""),4425.0)</f>
        <v>4425</v>
      </c>
      <c r="E662" s="2">
        <f>IFERROR(__xludf.DUMMYFUNCTION("""COMPUTED_VALUE"""),4487.5)</f>
        <v>4487.5</v>
      </c>
      <c r="F662" s="2">
        <f>IFERROR(__xludf.DUMMYFUNCTION("""COMPUTED_VALUE"""),3.18449E7)</f>
        <v>31844900</v>
      </c>
      <c r="G662" s="2">
        <f t="shared" si="1"/>
        <v>112.5</v>
      </c>
    </row>
    <row r="663" ht="15.75" customHeight="1">
      <c r="A663" s="1">
        <f>IFERROR(__xludf.DUMMYFUNCTION("""COMPUTED_VALUE"""),44824.66666666667)</f>
        <v>44824.66667</v>
      </c>
      <c r="B663" s="2">
        <f>IFERROR(__xludf.DUMMYFUNCTION("""COMPUTED_VALUE"""),4487.5)</f>
        <v>4487.5</v>
      </c>
      <c r="C663" s="2">
        <f>IFERROR(__xludf.DUMMYFUNCTION("""COMPUTED_VALUE"""),4500.0)</f>
        <v>4500</v>
      </c>
      <c r="D663" s="2">
        <f>IFERROR(__xludf.DUMMYFUNCTION("""COMPUTED_VALUE"""),4450.0)</f>
        <v>4450</v>
      </c>
      <c r="E663" s="2">
        <f>IFERROR(__xludf.DUMMYFUNCTION("""COMPUTED_VALUE"""),4487.5)</f>
        <v>4487.5</v>
      </c>
      <c r="F663" s="2">
        <f>IFERROR(__xludf.DUMMYFUNCTION("""COMPUTED_VALUE"""),1.77741E7)</f>
        <v>17774100</v>
      </c>
      <c r="G663" s="2">
        <f t="shared" si="1"/>
        <v>50</v>
      </c>
    </row>
    <row r="664" ht="15.75" customHeight="1">
      <c r="A664" s="1">
        <f>IFERROR(__xludf.DUMMYFUNCTION("""COMPUTED_VALUE"""),44825.66666666667)</f>
        <v>44825.66667</v>
      </c>
      <c r="B664" s="2">
        <f>IFERROR(__xludf.DUMMYFUNCTION("""COMPUTED_VALUE"""),4462.5)</f>
        <v>4462.5</v>
      </c>
      <c r="C664" s="2">
        <f>IFERROR(__xludf.DUMMYFUNCTION("""COMPUTED_VALUE"""),4487.5)</f>
        <v>4487.5</v>
      </c>
      <c r="D664" s="2">
        <f>IFERROR(__xludf.DUMMYFUNCTION("""COMPUTED_VALUE"""),4400.0)</f>
        <v>4400</v>
      </c>
      <c r="E664" s="2">
        <f>IFERROR(__xludf.DUMMYFUNCTION("""COMPUTED_VALUE"""),4487.5)</f>
        <v>4487.5</v>
      </c>
      <c r="F664" s="2">
        <f>IFERROR(__xludf.DUMMYFUNCTION("""COMPUTED_VALUE"""),1.65794E7)</f>
        <v>16579400</v>
      </c>
      <c r="G664" s="2">
        <f t="shared" si="1"/>
        <v>87.5</v>
      </c>
    </row>
    <row r="665" ht="15.75" customHeight="1">
      <c r="A665" s="1">
        <f>IFERROR(__xludf.DUMMYFUNCTION("""COMPUTED_VALUE"""),44826.66666666667)</f>
        <v>44826.66667</v>
      </c>
      <c r="B665" s="2">
        <f>IFERROR(__xludf.DUMMYFUNCTION("""COMPUTED_VALUE"""),4487.5)</f>
        <v>4487.5</v>
      </c>
      <c r="C665" s="2">
        <f>IFERROR(__xludf.DUMMYFUNCTION("""COMPUTED_VALUE"""),4512.5)</f>
        <v>4512.5</v>
      </c>
      <c r="D665" s="2">
        <f>IFERROR(__xludf.DUMMYFUNCTION("""COMPUTED_VALUE"""),4437.5)</f>
        <v>4437.5</v>
      </c>
      <c r="E665" s="2">
        <f>IFERROR(__xludf.DUMMYFUNCTION("""COMPUTED_VALUE"""),4500.0)</f>
        <v>4500</v>
      </c>
      <c r="F665" s="2">
        <f>IFERROR(__xludf.DUMMYFUNCTION("""COMPUTED_VALUE"""),1.29957E7)</f>
        <v>12995700</v>
      </c>
      <c r="G665" s="2">
        <f t="shared" si="1"/>
        <v>75</v>
      </c>
    </row>
    <row r="666" ht="15.75" customHeight="1">
      <c r="A666" s="1">
        <f>IFERROR(__xludf.DUMMYFUNCTION("""COMPUTED_VALUE"""),44827.66666666667)</f>
        <v>44827.66667</v>
      </c>
      <c r="B666" s="2">
        <f>IFERROR(__xludf.DUMMYFUNCTION("""COMPUTED_VALUE"""),4525.0)</f>
        <v>4525</v>
      </c>
      <c r="C666" s="2">
        <f>IFERROR(__xludf.DUMMYFUNCTION("""COMPUTED_VALUE"""),4525.0)</f>
        <v>4525</v>
      </c>
      <c r="D666" s="2">
        <f>IFERROR(__xludf.DUMMYFUNCTION("""COMPUTED_VALUE"""),4487.5)</f>
        <v>4487.5</v>
      </c>
      <c r="E666" s="2">
        <f>IFERROR(__xludf.DUMMYFUNCTION("""COMPUTED_VALUE"""),4500.0)</f>
        <v>4500</v>
      </c>
      <c r="F666" s="2">
        <f>IFERROR(__xludf.DUMMYFUNCTION("""COMPUTED_VALUE"""),2.35616E7)</f>
        <v>23561600</v>
      </c>
      <c r="G666" s="2">
        <f t="shared" si="1"/>
        <v>37.5</v>
      </c>
    </row>
    <row r="667" ht="15.75" customHeight="1">
      <c r="A667" s="1">
        <f>IFERROR(__xludf.DUMMYFUNCTION("""COMPUTED_VALUE"""),44830.66666666667)</f>
        <v>44830.66667</v>
      </c>
      <c r="B667" s="2">
        <f>IFERROR(__xludf.DUMMYFUNCTION("""COMPUTED_VALUE"""),4437.5)</f>
        <v>4437.5</v>
      </c>
      <c r="C667" s="2">
        <f>IFERROR(__xludf.DUMMYFUNCTION("""COMPUTED_VALUE"""),4500.0)</f>
        <v>4500</v>
      </c>
      <c r="D667" s="2">
        <f>IFERROR(__xludf.DUMMYFUNCTION("""COMPUTED_VALUE"""),4375.0)</f>
        <v>4375</v>
      </c>
      <c r="E667" s="2">
        <f>IFERROR(__xludf.DUMMYFUNCTION("""COMPUTED_VALUE"""),4500.0)</f>
        <v>4500</v>
      </c>
      <c r="F667" s="2">
        <f>IFERROR(__xludf.DUMMYFUNCTION("""COMPUTED_VALUE"""),3.86593E7)</f>
        <v>38659300</v>
      </c>
      <c r="G667" s="2">
        <f t="shared" si="1"/>
        <v>125</v>
      </c>
    </row>
    <row r="668" ht="15.75" customHeight="1">
      <c r="A668" s="1">
        <f>IFERROR(__xludf.DUMMYFUNCTION("""COMPUTED_VALUE"""),44831.66666666667)</f>
        <v>44831.66667</v>
      </c>
      <c r="B668" s="2">
        <f>IFERROR(__xludf.DUMMYFUNCTION("""COMPUTED_VALUE"""),4525.0)</f>
        <v>4525</v>
      </c>
      <c r="C668" s="2">
        <f>IFERROR(__xludf.DUMMYFUNCTION("""COMPUTED_VALUE"""),4525.0)</f>
        <v>4525</v>
      </c>
      <c r="D668" s="2">
        <f>IFERROR(__xludf.DUMMYFUNCTION("""COMPUTED_VALUE"""),4412.5)</f>
        <v>4412.5</v>
      </c>
      <c r="E668" s="2">
        <f>IFERROR(__xludf.DUMMYFUNCTION("""COMPUTED_VALUE"""),4500.0)</f>
        <v>4500</v>
      </c>
      <c r="F668" s="2">
        <f>IFERROR(__xludf.DUMMYFUNCTION("""COMPUTED_VALUE"""),2.11927E7)</f>
        <v>21192700</v>
      </c>
      <c r="G668" s="2">
        <f t="shared" si="1"/>
        <v>112.5</v>
      </c>
    </row>
    <row r="669" ht="15.75" customHeight="1">
      <c r="A669" s="1">
        <f>IFERROR(__xludf.DUMMYFUNCTION("""COMPUTED_VALUE"""),44832.66666666667)</f>
        <v>44832.66667</v>
      </c>
      <c r="B669" s="2">
        <f>IFERROR(__xludf.DUMMYFUNCTION("""COMPUTED_VALUE"""),4500.0)</f>
        <v>4500</v>
      </c>
      <c r="C669" s="2">
        <f>IFERROR(__xludf.DUMMYFUNCTION("""COMPUTED_VALUE"""),4550.0)</f>
        <v>4550</v>
      </c>
      <c r="D669" s="2">
        <f>IFERROR(__xludf.DUMMYFUNCTION("""COMPUTED_VALUE"""),4450.0)</f>
        <v>4450</v>
      </c>
      <c r="E669" s="2">
        <f>IFERROR(__xludf.DUMMYFUNCTION("""COMPUTED_VALUE"""),4500.0)</f>
        <v>4500</v>
      </c>
      <c r="F669" s="2">
        <f>IFERROR(__xludf.DUMMYFUNCTION("""COMPUTED_VALUE"""),3.72195E7)</f>
        <v>37219500</v>
      </c>
      <c r="G669" s="2">
        <f t="shared" si="1"/>
        <v>100</v>
      </c>
    </row>
    <row r="670" ht="15.75" customHeight="1">
      <c r="A670" s="1">
        <f>IFERROR(__xludf.DUMMYFUNCTION("""COMPUTED_VALUE"""),44833.66666666667)</f>
        <v>44833.66667</v>
      </c>
      <c r="B670" s="2">
        <f>IFERROR(__xludf.DUMMYFUNCTION("""COMPUTED_VALUE"""),4500.0)</f>
        <v>4500</v>
      </c>
      <c r="C670" s="2">
        <f>IFERROR(__xludf.DUMMYFUNCTION("""COMPUTED_VALUE"""),4525.0)</f>
        <v>4525</v>
      </c>
      <c r="D670" s="2">
        <f>IFERROR(__xludf.DUMMYFUNCTION("""COMPUTED_VALUE"""),4462.5)</f>
        <v>4462.5</v>
      </c>
      <c r="E670" s="2">
        <f>IFERROR(__xludf.DUMMYFUNCTION("""COMPUTED_VALUE"""),4487.5)</f>
        <v>4487.5</v>
      </c>
      <c r="F670" s="2">
        <f>IFERROR(__xludf.DUMMYFUNCTION("""COMPUTED_VALUE"""),1.22396E7)</f>
        <v>12239600</v>
      </c>
      <c r="G670" s="2">
        <f t="shared" si="1"/>
        <v>62.5</v>
      </c>
    </row>
    <row r="671" ht="15.75" customHeight="1">
      <c r="A671" s="1">
        <f>IFERROR(__xludf.DUMMYFUNCTION("""COMPUTED_VALUE"""),44834.66666666667)</f>
        <v>44834.66667</v>
      </c>
      <c r="B671" s="2">
        <f>IFERROR(__xludf.DUMMYFUNCTION("""COMPUTED_VALUE"""),4475.0)</f>
        <v>4475</v>
      </c>
      <c r="C671" s="2">
        <f>IFERROR(__xludf.DUMMYFUNCTION("""COMPUTED_VALUE"""),4525.0)</f>
        <v>4525</v>
      </c>
      <c r="D671" s="2">
        <f>IFERROR(__xludf.DUMMYFUNCTION("""COMPUTED_VALUE"""),4400.0)</f>
        <v>4400</v>
      </c>
      <c r="E671" s="2">
        <f>IFERROR(__xludf.DUMMYFUNCTION("""COMPUTED_VALUE"""),4487.5)</f>
        <v>4487.5</v>
      </c>
      <c r="F671" s="2">
        <f>IFERROR(__xludf.DUMMYFUNCTION("""COMPUTED_VALUE"""),2.28278E7)</f>
        <v>22827800</v>
      </c>
      <c r="G671" s="2">
        <f t="shared" si="1"/>
        <v>125</v>
      </c>
    </row>
    <row r="672" ht="15.75" customHeight="1">
      <c r="A672" s="1">
        <f>IFERROR(__xludf.DUMMYFUNCTION("""COMPUTED_VALUE"""),44837.66666666667)</f>
        <v>44837.66667</v>
      </c>
      <c r="B672" s="2">
        <f>IFERROR(__xludf.DUMMYFUNCTION("""COMPUTED_VALUE"""),4487.5)</f>
        <v>4487.5</v>
      </c>
      <c r="C672" s="2">
        <f>IFERROR(__xludf.DUMMYFUNCTION("""COMPUTED_VALUE"""),4500.0)</f>
        <v>4500</v>
      </c>
      <c r="D672" s="2">
        <f>IFERROR(__xludf.DUMMYFUNCTION("""COMPUTED_VALUE"""),4412.5)</f>
        <v>4412.5</v>
      </c>
      <c r="E672" s="2">
        <f>IFERROR(__xludf.DUMMYFUNCTION("""COMPUTED_VALUE"""),4450.0)</f>
        <v>4450</v>
      </c>
      <c r="F672" s="2">
        <f>IFERROR(__xludf.DUMMYFUNCTION("""COMPUTED_VALUE"""),1.41747E7)</f>
        <v>14174700</v>
      </c>
      <c r="G672" s="2">
        <f t="shared" si="1"/>
        <v>87.5</v>
      </c>
    </row>
    <row r="673" ht="15.75" customHeight="1">
      <c r="A673" s="1">
        <f>IFERROR(__xludf.DUMMYFUNCTION("""COMPUTED_VALUE"""),44838.66666666667)</f>
        <v>44838.66667</v>
      </c>
      <c r="B673" s="2">
        <f>IFERROR(__xludf.DUMMYFUNCTION("""COMPUTED_VALUE"""),4462.5)</f>
        <v>4462.5</v>
      </c>
      <c r="C673" s="2">
        <f>IFERROR(__xludf.DUMMYFUNCTION("""COMPUTED_VALUE"""),4500.0)</f>
        <v>4500</v>
      </c>
      <c r="D673" s="2">
        <f>IFERROR(__xludf.DUMMYFUNCTION("""COMPUTED_VALUE"""),4425.0)</f>
        <v>4425</v>
      </c>
      <c r="E673" s="2">
        <f>IFERROR(__xludf.DUMMYFUNCTION("""COMPUTED_VALUE"""),4425.0)</f>
        <v>4425</v>
      </c>
      <c r="F673" s="2">
        <f>IFERROR(__xludf.DUMMYFUNCTION("""COMPUTED_VALUE"""),2.91901E7)</f>
        <v>29190100</v>
      </c>
      <c r="G673" s="2">
        <f t="shared" si="1"/>
        <v>75</v>
      </c>
    </row>
    <row r="674" ht="15.75" customHeight="1">
      <c r="A674" s="1">
        <f>IFERROR(__xludf.DUMMYFUNCTION("""COMPUTED_VALUE"""),44839.66666666667)</f>
        <v>44839.66667</v>
      </c>
      <c r="B674" s="2">
        <f>IFERROR(__xludf.DUMMYFUNCTION("""COMPUTED_VALUE"""),4450.0)</f>
        <v>4450</v>
      </c>
      <c r="C674" s="2">
        <f>IFERROR(__xludf.DUMMYFUNCTION("""COMPUTED_VALUE"""),4487.5)</f>
        <v>4487.5</v>
      </c>
      <c r="D674" s="2">
        <f>IFERROR(__xludf.DUMMYFUNCTION("""COMPUTED_VALUE"""),4425.0)</f>
        <v>4425</v>
      </c>
      <c r="E674" s="2">
        <f>IFERROR(__xludf.DUMMYFUNCTION("""COMPUTED_VALUE"""),4425.0)</f>
        <v>4425</v>
      </c>
      <c r="F674" s="2">
        <f>IFERROR(__xludf.DUMMYFUNCTION("""COMPUTED_VALUE"""),3.24915E7)</f>
        <v>32491500</v>
      </c>
      <c r="G674" s="2">
        <f t="shared" si="1"/>
        <v>62.5</v>
      </c>
    </row>
    <row r="675" ht="15.75" customHeight="1">
      <c r="A675" s="1">
        <f>IFERROR(__xludf.DUMMYFUNCTION("""COMPUTED_VALUE"""),44840.66666666667)</f>
        <v>44840.66667</v>
      </c>
      <c r="B675" s="2">
        <f>IFERROR(__xludf.DUMMYFUNCTION("""COMPUTED_VALUE"""),4450.0)</f>
        <v>4450</v>
      </c>
      <c r="C675" s="2">
        <f>IFERROR(__xludf.DUMMYFUNCTION("""COMPUTED_VALUE"""),4475.0)</f>
        <v>4475</v>
      </c>
      <c r="D675" s="2">
        <f>IFERROR(__xludf.DUMMYFUNCTION("""COMPUTED_VALUE"""),4400.0)</f>
        <v>4400</v>
      </c>
      <c r="E675" s="2">
        <f>IFERROR(__xludf.DUMMYFUNCTION("""COMPUTED_VALUE"""),4450.0)</f>
        <v>4450</v>
      </c>
      <c r="F675" s="2">
        <f>IFERROR(__xludf.DUMMYFUNCTION("""COMPUTED_VALUE"""),1.19845E7)</f>
        <v>11984500</v>
      </c>
      <c r="G675" s="2">
        <f t="shared" si="1"/>
        <v>75</v>
      </c>
    </row>
    <row r="676" ht="15.75" customHeight="1">
      <c r="A676" s="1">
        <f>IFERROR(__xludf.DUMMYFUNCTION("""COMPUTED_VALUE"""),44841.66666666667)</f>
        <v>44841.66667</v>
      </c>
      <c r="B676" s="2">
        <f>IFERROR(__xludf.DUMMYFUNCTION("""COMPUTED_VALUE"""),4425.0)</f>
        <v>4425</v>
      </c>
      <c r="C676" s="2">
        <f>IFERROR(__xludf.DUMMYFUNCTION("""COMPUTED_VALUE"""),4437.5)</f>
        <v>4437.5</v>
      </c>
      <c r="D676" s="2">
        <f>IFERROR(__xludf.DUMMYFUNCTION("""COMPUTED_VALUE"""),4375.0)</f>
        <v>4375</v>
      </c>
      <c r="E676" s="2">
        <f>IFERROR(__xludf.DUMMYFUNCTION("""COMPUTED_VALUE"""),4387.5)</f>
        <v>4387.5</v>
      </c>
      <c r="F676" s="2">
        <f>IFERROR(__xludf.DUMMYFUNCTION("""COMPUTED_VALUE"""),1.8278E7)</f>
        <v>18278000</v>
      </c>
      <c r="G676" s="2">
        <f t="shared" si="1"/>
        <v>75</v>
      </c>
    </row>
    <row r="677" ht="15.75" customHeight="1">
      <c r="A677" s="1">
        <f>IFERROR(__xludf.DUMMYFUNCTION("""COMPUTED_VALUE"""),44844.66666666667)</f>
        <v>44844.66667</v>
      </c>
      <c r="B677" s="2">
        <f>IFERROR(__xludf.DUMMYFUNCTION("""COMPUTED_VALUE"""),4350.0)</f>
        <v>4350</v>
      </c>
      <c r="C677" s="2">
        <f>IFERROR(__xludf.DUMMYFUNCTION("""COMPUTED_VALUE"""),4387.5)</f>
        <v>4387.5</v>
      </c>
      <c r="D677" s="2">
        <f>IFERROR(__xludf.DUMMYFUNCTION("""COMPUTED_VALUE"""),4325.0)</f>
        <v>4325</v>
      </c>
      <c r="E677" s="2">
        <f>IFERROR(__xludf.DUMMYFUNCTION("""COMPUTED_VALUE"""),4375.0)</f>
        <v>4375</v>
      </c>
      <c r="F677" s="2">
        <f>IFERROR(__xludf.DUMMYFUNCTION("""COMPUTED_VALUE"""),1.6389E7)</f>
        <v>16389000</v>
      </c>
      <c r="G677" s="2">
        <f t="shared" si="1"/>
        <v>62.5</v>
      </c>
    </row>
    <row r="678" ht="15.75" customHeight="1">
      <c r="A678" s="1">
        <f>IFERROR(__xludf.DUMMYFUNCTION("""COMPUTED_VALUE"""),44845.66666666667)</f>
        <v>44845.66667</v>
      </c>
      <c r="B678" s="2">
        <f>IFERROR(__xludf.DUMMYFUNCTION("""COMPUTED_VALUE"""),4375.0)</f>
        <v>4375</v>
      </c>
      <c r="C678" s="2">
        <f>IFERROR(__xludf.DUMMYFUNCTION("""COMPUTED_VALUE"""),4375.0)</f>
        <v>4375</v>
      </c>
      <c r="D678" s="2">
        <f>IFERROR(__xludf.DUMMYFUNCTION("""COMPUTED_VALUE"""),4300.0)</f>
        <v>4300</v>
      </c>
      <c r="E678" s="2">
        <f>IFERROR(__xludf.DUMMYFUNCTION("""COMPUTED_VALUE"""),4350.0)</f>
        <v>4350</v>
      </c>
      <c r="F678" s="2">
        <f>IFERROR(__xludf.DUMMYFUNCTION("""COMPUTED_VALUE"""),2.84795E7)</f>
        <v>28479500</v>
      </c>
      <c r="G678" s="2">
        <f t="shared" si="1"/>
        <v>75</v>
      </c>
    </row>
    <row r="679" ht="15.75" customHeight="1">
      <c r="A679" s="1">
        <f>IFERROR(__xludf.DUMMYFUNCTION("""COMPUTED_VALUE"""),44846.66666666667)</f>
        <v>44846.66667</v>
      </c>
      <c r="B679" s="2">
        <f>IFERROR(__xludf.DUMMYFUNCTION("""COMPUTED_VALUE"""),4337.5)</f>
        <v>4337.5</v>
      </c>
      <c r="C679" s="2">
        <f>IFERROR(__xludf.DUMMYFUNCTION("""COMPUTED_VALUE"""),4387.5)</f>
        <v>4387.5</v>
      </c>
      <c r="D679" s="2">
        <f>IFERROR(__xludf.DUMMYFUNCTION("""COMPUTED_VALUE"""),4300.0)</f>
        <v>4300</v>
      </c>
      <c r="E679" s="2">
        <f>IFERROR(__xludf.DUMMYFUNCTION("""COMPUTED_VALUE"""),4325.0)</f>
        <v>4325</v>
      </c>
      <c r="F679" s="2">
        <f>IFERROR(__xludf.DUMMYFUNCTION("""COMPUTED_VALUE"""),2.30131E7)</f>
        <v>23013100</v>
      </c>
      <c r="G679" s="2">
        <f t="shared" si="1"/>
        <v>87.5</v>
      </c>
    </row>
    <row r="680" ht="15.75" customHeight="1">
      <c r="A680" s="1">
        <f>IFERROR(__xludf.DUMMYFUNCTION("""COMPUTED_VALUE"""),44847.66666666667)</f>
        <v>44847.66667</v>
      </c>
      <c r="B680" s="2">
        <f>IFERROR(__xludf.DUMMYFUNCTION("""COMPUTED_VALUE"""),4350.0)</f>
        <v>4350</v>
      </c>
      <c r="C680" s="2">
        <f>IFERROR(__xludf.DUMMYFUNCTION("""COMPUTED_VALUE"""),4437.5)</f>
        <v>4437.5</v>
      </c>
      <c r="D680" s="2">
        <f>IFERROR(__xludf.DUMMYFUNCTION("""COMPUTED_VALUE"""),4337.5)</f>
        <v>4337.5</v>
      </c>
      <c r="E680" s="2">
        <f>IFERROR(__xludf.DUMMYFUNCTION("""COMPUTED_VALUE"""),4375.0)</f>
        <v>4375</v>
      </c>
      <c r="F680" s="2">
        <f>IFERROR(__xludf.DUMMYFUNCTION("""COMPUTED_VALUE"""),3.04618E7)</f>
        <v>30461800</v>
      </c>
      <c r="G680" s="2">
        <f t="shared" si="1"/>
        <v>112.5</v>
      </c>
    </row>
    <row r="681" ht="15.75" customHeight="1">
      <c r="A681" s="1">
        <f>IFERROR(__xludf.DUMMYFUNCTION("""COMPUTED_VALUE"""),44848.66666666667)</f>
        <v>44848.66667</v>
      </c>
      <c r="B681" s="2">
        <f>IFERROR(__xludf.DUMMYFUNCTION("""COMPUTED_VALUE"""),4412.5)</f>
        <v>4412.5</v>
      </c>
      <c r="C681" s="2">
        <f>IFERROR(__xludf.DUMMYFUNCTION("""COMPUTED_VALUE"""),4425.0)</f>
        <v>4425</v>
      </c>
      <c r="D681" s="2">
        <f>IFERROR(__xludf.DUMMYFUNCTION("""COMPUTED_VALUE"""),4212.5)</f>
        <v>4212.5</v>
      </c>
      <c r="E681" s="2">
        <f>IFERROR(__xludf.DUMMYFUNCTION("""COMPUTED_VALUE"""),4212.5)</f>
        <v>4212.5</v>
      </c>
      <c r="F681" s="2">
        <f>IFERROR(__xludf.DUMMYFUNCTION("""COMPUTED_VALUE"""),2.49347E7)</f>
        <v>24934700</v>
      </c>
      <c r="G681" s="2">
        <f t="shared" si="1"/>
        <v>212.5</v>
      </c>
    </row>
    <row r="682" ht="15.75" customHeight="1">
      <c r="A682" s="1">
        <f>IFERROR(__xludf.DUMMYFUNCTION("""COMPUTED_VALUE"""),44851.66666666667)</f>
        <v>44851.66667</v>
      </c>
      <c r="B682" s="2">
        <f>IFERROR(__xludf.DUMMYFUNCTION("""COMPUTED_VALUE"""),4212.5)</f>
        <v>4212.5</v>
      </c>
      <c r="C682" s="2">
        <f>IFERROR(__xludf.DUMMYFUNCTION("""COMPUTED_VALUE"""),4312.5)</f>
        <v>4312.5</v>
      </c>
      <c r="D682" s="2">
        <f>IFERROR(__xludf.DUMMYFUNCTION("""COMPUTED_VALUE"""),4175.0)</f>
        <v>4175</v>
      </c>
      <c r="E682" s="2">
        <f>IFERROR(__xludf.DUMMYFUNCTION("""COMPUTED_VALUE"""),4287.5)</f>
        <v>4287.5</v>
      </c>
      <c r="F682" s="2">
        <f>IFERROR(__xludf.DUMMYFUNCTION("""COMPUTED_VALUE"""),2.30118E7)</f>
        <v>23011800</v>
      </c>
      <c r="G682" s="2">
        <f t="shared" si="1"/>
        <v>137.5</v>
      </c>
    </row>
    <row r="683" ht="15.75" customHeight="1">
      <c r="A683" s="1">
        <f>IFERROR(__xludf.DUMMYFUNCTION("""COMPUTED_VALUE"""),44852.66666666667)</f>
        <v>44852.66667</v>
      </c>
      <c r="B683" s="2">
        <f>IFERROR(__xludf.DUMMYFUNCTION("""COMPUTED_VALUE"""),4287.5)</f>
        <v>4287.5</v>
      </c>
      <c r="C683" s="2">
        <f>IFERROR(__xludf.DUMMYFUNCTION("""COMPUTED_VALUE"""),4350.0)</f>
        <v>4350</v>
      </c>
      <c r="D683" s="2">
        <f>IFERROR(__xludf.DUMMYFUNCTION("""COMPUTED_VALUE"""),4287.5)</f>
        <v>4287.5</v>
      </c>
      <c r="E683" s="2">
        <f>IFERROR(__xludf.DUMMYFUNCTION("""COMPUTED_VALUE"""),4337.5)</f>
        <v>4337.5</v>
      </c>
      <c r="F683" s="2">
        <f>IFERROR(__xludf.DUMMYFUNCTION("""COMPUTED_VALUE"""),1.70447E7)</f>
        <v>17044700</v>
      </c>
      <c r="G683" s="2">
        <f t="shared" si="1"/>
        <v>62.5</v>
      </c>
    </row>
    <row r="684" ht="15.75" customHeight="1">
      <c r="A684" s="1">
        <f>IFERROR(__xludf.DUMMYFUNCTION("""COMPUTED_VALUE"""),44853.66666666667)</f>
        <v>44853.66667</v>
      </c>
      <c r="B684" s="2">
        <f>IFERROR(__xludf.DUMMYFUNCTION("""COMPUTED_VALUE"""),4362.5)</f>
        <v>4362.5</v>
      </c>
      <c r="C684" s="2">
        <f>IFERROR(__xludf.DUMMYFUNCTION("""COMPUTED_VALUE"""),4400.0)</f>
        <v>4400</v>
      </c>
      <c r="D684" s="2">
        <f>IFERROR(__xludf.DUMMYFUNCTION("""COMPUTED_VALUE"""),4300.0)</f>
        <v>4300</v>
      </c>
      <c r="E684" s="2">
        <f>IFERROR(__xludf.DUMMYFUNCTION("""COMPUTED_VALUE"""),4387.5)</f>
        <v>4387.5</v>
      </c>
      <c r="F684" s="2">
        <f>IFERROR(__xludf.DUMMYFUNCTION("""COMPUTED_VALUE"""),1.31436E7)</f>
        <v>13143600</v>
      </c>
      <c r="G684" s="2">
        <f t="shared" si="1"/>
        <v>100</v>
      </c>
    </row>
    <row r="685" ht="15.75" customHeight="1">
      <c r="A685" s="1">
        <f>IFERROR(__xludf.DUMMYFUNCTION("""COMPUTED_VALUE"""),44854.66666666667)</f>
        <v>44854.66667</v>
      </c>
      <c r="B685" s="2">
        <f>IFERROR(__xludf.DUMMYFUNCTION("""COMPUTED_VALUE"""),4350.0)</f>
        <v>4350</v>
      </c>
      <c r="C685" s="2">
        <f>IFERROR(__xludf.DUMMYFUNCTION("""COMPUTED_VALUE"""),4537.5)</f>
        <v>4537.5</v>
      </c>
      <c r="D685" s="2">
        <f>IFERROR(__xludf.DUMMYFUNCTION("""COMPUTED_VALUE"""),4350.0)</f>
        <v>4350</v>
      </c>
      <c r="E685" s="2">
        <f>IFERROR(__xludf.DUMMYFUNCTION("""COMPUTED_VALUE"""),4500.0)</f>
        <v>4500</v>
      </c>
      <c r="F685" s="2">
        <f>IFERROR(__xludf.DUMMYFUNCTION("""COMPUTED_VALUE"""),3.7227E7)</f>
        <v>37227000</v>
      </c>
      <c r="G685" s="2">
        <f t="shared" si="1"/>
        <v>187.5</v>
      </c>
    </row>
    <row r="686" ht="15.75" customHeight="1">
      <c r="A686" s="1">
        <f>IFERROR(__xludf.DUMMYFUNCTION("""COMPUTED_VALUE"""),44855.66666666667)</f>
        <v>44855.66667</v>
      </c>
      <c r="B686" s="2">
        <f>IFERROR(__xludf.DUMMYFUNCTION("""COMPUTED_VALUE"""),4500.0)</f>
        <v>4500</v>
      </c>
      <c r="C686" s="2">
        <f>IFERROR(__xludf.DUMMYFUNCTION("""COMPUTED_VALUE"""),4587.5)</f>
        <v>4587.5</v>
      </c>
      <c r="D686" s="2">
        <f>IFERROR(__xludf.DUMMYFUNCTION("""COMPUTED_VALUE"""),4487.5)</f>
        <v>4487.5</v>
      </c>
      <c r="E686" s="2">
        <f>IFERROR(__xludf.DUMMYFUNCTION("""COMPUTED_VALUE"""),4500.0)</f>
        <v>4500</v>
      </c>
      <c r="F686" s="2">
        <f>IFERROR(__xludf.DUMMYFUNCTION("""COMPUTED_VALUE"""),3.35737E7)</f>
        <v>33573700</v>
      </c>
      <c r="G686" s="2">
        <f t="shared" si="1"/>
        <v>100</v>
      </c>
    </row>
    <row r="687" ht="15.75" customHeight="1">
      <c r="A687" s="1">
        <f>IFERROR(__xludf.DUMMYFUNCTION("""COMPUTED_VALUE"""),44858.66666666667)</f>
        <v>44858.66667</v>
      </c>
      <c r="B687" s="2">
        <f>IFERROR(__xludf.DUMMYFUNCTION("""COMPUTED_VALUE"""),4512.5)</f>
        <v>4512.5</v>
      </c>
      <c r="C687" s="2">
        <f>IFERROR(__xludf.DUMMYFUNCTION("""COMPUTED_VALUE"""),4712.5)</f>
        <v>4712.5</v>
      </c>
      <c r="D687" s="2">
        <f>IFERROR(__xludf.DUMMYFUNCTION("""COMPUTED_VALUE"""),4512.5)</f>
        <v>4512.5</v>
      </c>
      <c r="E687" s="2">
        <f>IFERROR(__xludf.DUMMYFUNCTION("""COMPUTED_VALUE"""),4675.0)</f>
        <v>4675</v>
      </c>
      <c r="F687" s="2">
        <f>IFERROR(__xludf.DUMMYFUNCTION("""COMPUTED_VALUE"""),4.69955E7)</f>
        <v>46995500</v>
      </c>
      <c r="G687" s="2">
        <f t="shared" si="1"/>
        <v>212.5</v>
      </c>
    </row>
    <row r="688" ht="15.75" customHeight="1">
      <c r="A688" s="1">
        <f>IFERROR(__xludf.DUMMYFUNCTION("""COMPUTED_VALUE"""),44859.66666666667)</f>
        <v>44859.66667</v>
      </c>
      <c r="B688" s="2">
        <f>IFERROR(__xludf.DUMMYFUNCTION("""COMPUTED_VALUE"""),4775.0)</f>
        <v>4775</v>
      </c>
      <c r="C688" s="2">
        <f>IFERROR(__xludf.DUMMYFUNCTION("""COMPUTED_VALUE"""),4837.5)</f>
        <v>4837.5</v>
      </c>
      <c r="D688" s="2">
        <f>IFERROR(__xludf.DUMMYFUNCTION("""COMPUTED_VALUE"""),4712.5)</f>
        <v>4712.5</v>
      </c>
      <c r="E688" s="2">
        <f>IFERROR(__xludf.DUMMYFUNCTION("""COMPUTED_VALUE"""),4712.5)</f>
        <v>4712.5</v>
      </c>
      <c r="F688" s="2">
        <f>IFERROR(__xludf.DUMMYFUNCTION("""COMPUTED_VALUE"""),3.95133E7)</f>
        <v>39513300</v>
      </c>
      <c r="G688" s="2">
        <f t="shared" si="1"/>
        <v>162.5</v>
      </c>
    </row>
    <row r="689" ht="15.75" customHeight="1">
      <c r="A689" s="1">
        <f>IFERROR(__xludf.DUMMYFUNCTION("""COMPUTED_VALUE"""),44860.66666666667)</f>
        <v>44860.66667</v>
      </c>
      <c r="B689" s="2">
        <f>IFERROR(__xludf.DUMMYFUNCTION("""COMPUTED_VALUE"""),4750.0)</f>
        <v>4750</v>
      </c>
      <c r="C689" s="2">
        <f>IFERROR(__xludf.DUMMYFUNCTION("""COMPUTED_VALUE"""),4750.0)</f>
        <v>4750</v>
      </c>
      <c r="D689" s="2">
        <f>IFERROR(__xludf.DUMMYFUNCTION("""COMPUTED_VALUE"""),4612.5)</f>
        <v>4612.5</v>
      </c>
      <c r="E689" s="2">
        <f>IFERROR(__xludf.DUMMYFUNCTION("""COMPUTED_VALUE"""),4612.5)</f>
        <v>4612.5</v>
      </c>
      <c r="F689" s="2">
        <f>IFERROR(__xludf.DUMMYFUNCTION("""COMPUTED_VALUE"""),2.86507E7)</f>
        <v>28650700</v>
      </c>
      <c r="G689" s="2">
        <f t="shared" si="1"/>
        <v>137.5</v>
      </c>
    </row>
    <row r="690" ht="15.75" customHeight="1">
      <c r="A690" s="1">
        <f>IFERROR(__xludf.DUMMYFUNCTION("""COMPUTED_VALUE"""),44861.66666666667)</f>
        <v>44861.66667</v>
      </c>
      <c r="B690" s="2">
        <f>IFERROR(__xludf.DUMMYFUNCTION("""COMPUTED_VALUE"""),4625.0)</f>
        <v>4625</v>
      </c>
      <c r="C690" s="2">
        <f>IFERROR(__xludf.DUMMYFUNCTION("""COMPUTED_VALUE"""),4737.5)</f>
        <v>4737.5</v>
      </c>
      <c r="D690" s="2">
        <f>IFERROR(__xludf.DUMMYFUNCTION("""COMPUTED_VALUE"""),4612.5)</f>
        <v>4612.5</v>
      </c>
      <c r="E690" s="2">
        <f>IFERROR(__xludf.DUMMYFUNCTION("""COMPUTED_VALUE"""),4675.0)</f>
        <v>4675</v>
      </c>
      <c r="F690" s="2">
        <f>IFERROR(__xludf.DUMMYFUNCTION("""COMPUTED_VALUE"""),1.62841E7)</f>
        <v>16284100</v>
      </c>
      <c r="G690" s="2">
        <f t="shared" si="1"/>
        <v>125</v>
      </c>
    </row>
    <row r="691" ht="15.75" customHeight="1">
      <c r="A691" s="1">
        <f>IFERROR(__xludf.DUMMYFUNCTION("""COMPUTED_VALUE"""),44862.66666666667)</f>
        <v>44862.66667</v>
      </c>
      <c r="B691" s="2">
        <f>IFERROR(__xludf.DUMMYFUNCTION("""COMPUTED_VALUE"""),4675.0)</f>
        <v>4675</v>
      </c>
      <c r="C691" s="2">
        <f>IFERROR(__xludf.DUMMYFUNCTION("""COMPUTED_VALUE"""),4687.5)</f>
        <v>4687.5</v>
      </c>
      <c r="D691" s="2">
        <f>IFERROR(__xludf.DUMMYFUNCTION("""COMPUTED_VALUE"""),4562.5)</f>
        <v>4562.5</v>
      </c>
      <c r="E691" s="2">
        <f>IFERROR(__xludf.DUMMYFUNCTION("""COMPUTED_VALUE"""),4662.5)</f>
        <v>4662.5</v>
      </c>
      <c r="F691" s="2">
        <f>IFERROR(__xludf.DUMMYFUNCTION("""COMPUTED_VALUE"""),3.35121E7)</f>
        <v>33512100</v>
      </c>
      <c r="G691" s="2">
        <f t="shared" si="1"/>
        <v>125</v>
      </c>
    </row>
    <row r="692" ht="15.75" customHeight="1">
      <c r="A692" s="1">
        <f>IFERROR(__xludf.DUMMYFUNCTION("""COMPUTED_VALUE"""),44865.66666666667)</f>
        <v>44865.66667</v>
      </c>
      <c r="B692" s="2">
        <f>IFERROR(__xludf.DUMMYFUNCTION("""COMPUTED_VALUE"""),4700.0)</f>
        <v>4700</v>
      </c>
      <c r="C692" s="2">
        <f>IFERROR(__xludf.DUMMYFUNCTION("""COMPUTED_VALUE"""),4737.5)</f>
        <v>4737.5</v>
      </c>
      <c r="D692" s="2">
        <f>IFERROR(__xludf.DUMMYFUNCTION("""COMPUTED_VALUE"""),4675.0)</f>
        <v>4675</v>
      </c>
      <c r="E692" s="2">
        <f>IFERROR(__xludf.DUMMYFUNCTION("""COMPUTED_VALUE"""),4700.0)</f>
        <v>4700</v>
      </c>
      <c r="F692" s="2">
        <f>IFERROR(__xludf.DUMMYFUNCTION("""COMPUTED_VALUE"""),2.85218E7)</f>
        <v>28521800</v>
      </c>
      <c r="G692" s="2">
        <f t="shared" si="1"/>
        <v>75</v>
      </c>
    </row>
    <row r="693" ht="15.75" customHeight="1">
      <c r="A693" s="1">
        <f>IFERROR(__xludf.DUMMYFUNCTION("""COMPUTED_VALUE"""),44866.625)</f>
        <v>44866.625</v>
      </c>
      <c r="B693" s="2">
        <f>IFERROR(__xludf.DUMMYFUNCTION("""COMPUTED_VALUE"""),4700.0)</f>
        <v>4700</v>
      </c>
      <c r="C693" s="2">
        <f>IFERROR(__xludf.DUMMYFUNCTION("""COMPUTED_VALUE"""),4750.0)</f>
        <v>4750</v>
      </c>
      <c r="D693" s="2">
        <f>IFERROR(__xludf.DUMMYFUNCTION("""COMPUTED_VALUE"""),4625.0)</f>
        <v>4625</v>
      </c>
      <c r="E693" s="2">
        <f>IFERROR(__xludf.DUMMYFUNCTION("""COMPUTED_VALUE"""),4700.0)</f>
        <v>4700</v>
      </c>
      <c r="F693" s="2">
        <f>IFERROR(__xludf.DUMMYFUNCTION("""COMPUTED_VALUE"""),2.07219E7)</f>
        <v>20721900</v>
      </c>
      <c r="G693" s="2">
        <f t="shared" si="1"/>
        <v>125</v>
      </c>
    </row>
    <row r="694" ht="15.75" customHeight="1">
      <c r="A694" s="1">
        <f>IFERROR(__xludf.DUMMYFUNCTION("""COMPUTED_VALUE"""),44867.625)</f>
        <v>44867.625</v>
      </c>
      <c r="B694" s="2">
        <f>IFERROR(__xludf.DUMMYFUNCTION("""COMPUTED_VALUE"""),4700.0)</f>
        <v>4700</v>
      </c>
      <c r="C694" s="2">
        <f>IFERROR(__xludf.DUMMYFUNCTION("""COMPUTED_VALUE"""),4700.0)</f>
        <v>4700</v>
      </c>
      <c r="D694" s="2">
        <f>IFERROR(__xludf.DUMMYFUNCTION("""COMPUTED_VALUE"""),4575.0)</f>
        <v>4575</v>
      </c>
      <c r="E694" s="2">
        <f>IFERROR(__xludf.DUMMYFUNCTION("""COMPUTED_VALUE"""),4625.0)</f>
        <v>4625</v>
      </c>
      <c r="F694" s="2">
        <f>IFERROR(__xludf.DUMMYFUNCTION("""COMPUTED_VALUE"""),2.48875E7)</f>
        <v>24887500</v>
      </c>
      <c r="G694" s="2">
        <f t="shared" si="1"/>
        <v>125</v>
      </c>
    </row>
    <row r="695" ht="15.75" customHeight="1">
      <c r="A695" s="1">
        <f>IFERROR(__xludf.DUMMYFUNCTION("""COMPUTED_VALUE"""),44868.66666666667)</f>
        <v>44868.66667</v>
      </c>
      <c r="B695" s="2">
        <f>IFERROR(__xludf.DUMMYFUNCTION("""COMPUTED_VALUE"""),4625.0)</f>
        <v>4625</v>
      </c>
      <c r="C695" s="2">
        <f>IFERROR(__xludf.DUMMYFUNCTION("""COMPUTED_VALUE"""),4700.0)</f>
        <v>4700</v>
      </c>
      <c r="D695" s="2">
        <f>IFERROR(__xludf.DUMMYFUNCTION("""COMPUTED_VALUE"""),4587.5)</f>
        <v>4587.5</v>
      </c>
      <c r="E695" s="2">
        <f>IFERROR(__xludf.DUMMYFUNCTION("""COMPUTED_VALUE"""),4650.0)</f>
        <v>4650</v>
      </c>
      <c r="F695" s="2">
        <f>IFERROR(__xludf.DUMMYFUNCTION("""COMPUTED_VALUE"""),2.38743E7)</f>
        <v>23874300</v>
      </c>
      <c r="G695" s="2">
        <f t="shared" si="1"/>
        <v>112.5</v>
      </c>
    </row>
    <row r="696" ht="15.75" customHeight="1">
      <c r="A696" s="1">
        <f>IFERROR(__xludf.DUMMYFUNCTION("""COMPUTED_VALUE"""),44869.66666666667)</f>
        <v>44869.66667</v>
      </c>
      <c r="B696" s="2">
        <f>IFERROR(__xludf.DUMMYFUNCTION("""COMPUTED_VALUE"""),4637.5)</f>
        <v>4637.5</v>
      </c>
      <c r="C696" s="2">
        <f>IFERROR(__xludf.DUMMYFUNCTION("""COMPUTED_VALUE"""),4650.0)</f>
        <v>4650</v>
      </c>
      <c r="D696" s="2">
        <f>IFERROR(__xludf.DUMMYFUNCTION("""COMPUTED_VALUE"""),4612.5)</f>
        <v>4612.5</v>
      </c>
      <c r="E696" s="2">
        <f>IFERROR(__xludf.DUMMYFUNCTION("""COMPUTED_VALUE"""),4637.5)</f>
        <v>4637.5</v>
      </c>
      <c r="F696" s="2">
        <f>IFERROR(__xludf.DUMMYFUNCTION("""COMPUTED_VALUE"""),1.65341E7)</f>
        <v>16534100</v>
      </c>
      <c r="G696" s="2">
        <f t="shared" si="1"/>
        <v>37.5</v>
      </c>
    </row>
    <row r="697" ht="15.75" customHeight="1">
      <c r="A697" s="1">
        <f>IFERROR(__xludf.DUMMYFUNCTION("""COMPUTED_VALUE"""),44872.66666666667)</f>
        <v>44872.66667</v>
      </c>
      <c r="B697" s="2">
        <f>IFERROR(__xludf.DUMMYFUNCTION("""COMPUTED_VALUE"""),4637.5)</f>
        <v>4637.5</v>
      </c>
      <c r="C697" s="2">
        <f>IFERROR(__xludf.DUMMYFUNCTION("""COMPUTED_VALUE"""),4675.0)</f>
        <v>4675</v>
      </c>
      <c r="D697" s="2">
        <f>IFERROR(__xludf.DUMMYFUNCTION("""COMPUTED_VALUE"""),4612.5)</f>
        <v>4612.5</v>
      </c>
      <c r="E697" s="2">
        <f>IFERROR(__xludf.DUMMYFUNCTION("""COMPUTED_VALUE"""),4637.5)</f>
        <v>4637.5</v>
      </c>
      <c r="F697" s="2">
        <f>IFERROR(__xludf.DUMMYFUNCTION("""COMPUTED_VALUE"""),2.15823E7)</f>
        <v>21582300</v>
      </c>
      <c r="G697" s="2">
        <f t="shared" si="1"/>
        <v>62.5</v>
      </c>
    </row>
    <row r="698" ht="15.75" customHeight="1">
      <c r="A698" s="1">
        <f>IFERROR(__xludf.DUMMYFUNCTION("""COMPUTED_VALUE"""),44873.66666666667)</f>
        <v>44873.66667</v>
      </c>
      <c r="B698" s="2">
        <f>IFERROR(__xludf.DUMMYFUNCTION("""COMPUTED_VALUE"""),4650.0)</f>
        <v>4650</v>
      </c>
      <c r="C698" s="2">
        <f>IFERROR(__xludf.DUMMYFUNCTION("""COMPUTED_VALUE"""),4675.0)</f>
        <v>4675</v>
      </c>
      <c r="D698" s="2">
        <f>IFERROR(__xludf.DUMMYFUNCTION("""COMPUTED_VALUE"""),4600.0)</f>
        <v>4600</v>
      </c>
      <c r="E698" s="2">
        <f>IFERROR(__xludf.DUMMYFUNCTION("""COMPUTED_VALUE"""),4625.0)</f>
        <v>4625</v>
      </c>
      <c r="F698" s="2">
        <f>IFERROR(__xludf.DUMMYFUNCTION("""COMPUTED_VALUE"""),1.71646E7)</f>
        <v>17164600</v>
      </c>
      <c r="G698" s="2">
        <f t="shared" si="1"/>
        <v>75</v>
      </c>
    </row>
    <row r="699" ht="15.75" customHeight="1">
      <c r="A699" s="1">
        <f>IFERROR(__xludf.DUMMYFUNCTION("""COMPUTED_VALUE"""),44874.66666666667)</f>
        <v>44874.66667</v>
      </c>
      <c r="B699" s="2">
        <f>IFERROR(__xludf.DUMMYFUNCTION("""COMPUTED_VALUE"""),4650.0)</f>
        <v>4650</v>
      </c>
      <c r="C699" s="2">
        <f>IFERROR(__xludf.DUMMYFUNCTION("""COMPUTED_VALUE"""),4675.0)</f>
        <v>4675</v>
      </c>
      <c r="D699" s="2">
        <f>IFERROR(__xludf.DUMMYFUNCTION("""COMPUTED_VALUE"""),4625.0)</f>
        <v>4625</v>
      </c>
      <c r="E699" s="2">
        <f>IFERROR(__xludf.DUMMYFUNCTION("""COMPUTED_VALUE"""),4650.0)</f>
        <v>4650</v>
      </c>
      <c r="F699" s="2">
        <f>IFERROR(__xludf.DUMMYFUNCTION("""COMPUTED_VALUE"""),2.21772E7)</f>
        <v>22177200</v>
      </c>
      <c r="G699" s="2">
        <f t="shared" si="1"/>
        <v>50</v>
      </c>
    </row>
    <row r="700" ht="15.75" customHeight="1">
      <c r="A700" s="1">
        <f>IFERROR(__xludf.DUMMYFUNCTION("""COMPUTED_VALUE"""),44875.66666666667)</f>
        <v>44875.66667</v>
      </c>
      <c r="B700" s="2">
        <f>IFERROR(__xludf.DUMMYFUNCTION("""COMPUTED_VALUE"""),4637.5)</f>
        <v>4637.5</v>
      </c>
      <c r="C700" s="2">
        <f>IFERROR(__xludf.DUMMYFUNCTION("""COMPUTED_VALUE"""),4650.0)</f>
        <v>4650</v>
      </c>
      <c r="D700" s="2">
        <f>IFERROR(__xludf.DUMMYFUNCTION("""COMPUTED_VALUE"""),4550.0)</f>
        <v>4550</v>
      </c>
      <c r="E700" s="2">
        <f>IFERROR(__xludf.DUMMYFUNCTION("""COMPUTED_VALUE"""),4637.5)</f>
        <v>4637.5</v>
      </c>
      <c r="F700" s="2">
        <f>IFERROR(__xludf.DUMMYFUNCTION("""COMPUTED_VALUE"""),1.7528E7)</f>
        <v>17528000</v>
      </c>
      <c r="G700" s="2">
        <f t="shared" si="1"/>
        <v>100</v>
      </c>
    </row>
    <row r="701" ht="15.75" customHeight="1">
      <c r="A701" s="1">
        <f>IFERROR(__xludf.DUMMYFUNCTION("""COMPUTED_VALUE"""),44876.66666666667)</f>
        <v>44876.66667</v>
      </c>
      <c r="B701" s="2">
        <f>IFERROR(__xludf.DUMMYFUNCTION("""COMPUTED_VALUE"""),4712.5)</f>
        <v>4712.5</v>
      </c>
      <c r="C701" s="2">
        <f>IFERROR(__xludf.DUMMYFUNCTION("""COMPUTED_VALUE"""),4737.5)</f>
        <v>4737.5</v>
      </c>
      <c r="D701" s="2">
        <f>IFERROR(__xludf.DUMMYFUNCTION("""COMPUTED_VALUE"""),4637.5)</f>
        <v>4637.5</v>
      </c>
      <c r="E701" s="2">
        <f>IFERROR(__xludf.DUMMYFUNCTION("""COMPUTED_VALUE"""),4650.0)</f>
        <v>4650</v>
      </c>
      <c r="F701" s="2">
        <f>IFERROR(__xludf.DUMMYFUNCTION("""COMPUTED_VALUE"""),3.82891E7)</f>
        <v>38289100</v>
      </c>
      <c r="G701" s="2">
        <f t="shared" si="1"/>
        <v>100</v>
      </c>
    </row>
    <row r="702" ht="15.75" customHeight="1">
      <c r="A702" s="1">
        <f>IFERROR(__xludf.DUMMYFUNCTION("""COMPUTED_VALUE"""),44879.66666666667)</f>
        <v>44879.66667</v>
      </c>
      <c r="B702" s="2">
        <f>IFERROR(__xludf.DUMMYFUNCTION("""COMPUTED_VALUE"""),4650.0)</f>
        <v>4650</v>
      </c>
      <c r="C702" s="2">
        <f>IFERROR(__xludf.DUMMYFUNCTION("""COMPUTED_VALUE"""),4662.5)</f>
        <v>4662.5</v>
      </c>
      <c r="D702" s="2">
        <f>IFERROR(__xludf.DUMMYFUNCTION("""COMPUTED_VALUE"""),4537.5)</f>
        <v>4537.5</v>
      </c>
      <c r="E702" s="2">
        <f>IFERROR(__xludf.DUMMYFUNCTION("""COMPUTED_VALUE"""),4550.0)</f>
        <v>4550</v>
      </c>
      <c r="F702" s="2">
        <f>IFERROR(__xludf.DUMMYFUNCTION("""COMPUTED_VALUE"""),2.65232E7)</f>
        <v>26523200</v>
      </c>
      <c r="G702" s="2">
        <f t="shared" si="1"/>
        <v>125</v>
      </c>
    </row>
    <row r="703" ht="15.75" customHeight="1">
      <c r="A703" s="1">
        <f>IFERROR(__xludf.DUMMYFUNCTION("""COMPUTED_VALUE"""),44880.66666666667)</f>
        <v>44880.66667</v>
      </c>
      <c r="B703" s="2">
        <f>IFERROR(__xludf.DUMMYFUNCTION("""COMPUTED_VALUE"""),4575.0)</f>
        <v>4575</v>
      </c>
      <c r="C703" s="2">
        <f>IFERROR(__xludf.DUMMYFUNCTION("""COMPUTED_VALUE"""),4600.0)</f>
        <v>4600</v>
      </c>
      <c r="D703" s="2">
        <f>IFERROR(__xludf.DUMMYFUNCTION("""COMPUTED_VALUE"""),4537.5)</f>
        <v>4537.5</v>
      </c>
      <c r="E703" s="2">
        <f>IFERROR(__xludf.DUMMYFUNCTION("""COMPUTED_VALUE"""),4562.5)</f>
        <v>4562.5</v>
      </c>
      <c r="F703" s="2">
        <f>IFERROR(__xludf.DUMMYFUNCTION("""COMPUTED_VALUE"""),1.61813E7)</f>
        <v>16181300</v>
      </c>
      <c r="G703" s="2">
        <f t="shared" si="1"/>
        <v>62.5</v>
      </c>
    </row>
    <row r="704" ht="15.75" customHeight="1">
      <c r="A704" s="1">
        <f>IFERROR(__xludf.DUMMYFUNCTION("""COMPUTED_VALUE"""),44881.66666666667)</f>
        <v>44881.66667</v>
      </c>
      <c r="B704" s="2">
        <f>IFERROR(__xludf.DUMMYFUNCTION("""COMPUTED_VALUE"""),4562.5)</f>
        <v>4562.5</v>
      </c>
      <c r="C704" s="2">
        <f>IFERROR(__xludf.DUMMYFUNCTION("""COMPUTED_VALUE"""),4562.5)</f>
        <v>4562.5</v>
      </c>
      <c r="D704" s="2">
        <f>IFERROR(__xludf.DUMMYFUNCTION("""COMPUTED_VALUE"""),4437.5)</f>
        <v>4437.5</v>
      </c>
      <c r="E704" s="2">
        <f>IFERROR(__xludf.DUMMYFUNCTION("""COMPUTED_VALUE"""),4550.0)</f>
        <v>4550</v>
      </c>
      <c r="F704" s="2">
        <f>IFERROR(__xludf.DUMMYFUNCTION("""COMPUTED_VALUE"""),4.20897E7)</f>
        <v>42089700</v>
      </c>
      <c r="G704" s="2">
        <f t="shared" si="1"/>
        <v>125</v>
      </c>
    </row>
    <row r="705" ht="15.75" customHeight="1">
      <c r="A705" s="1">
        <f>IFERROR(__xludf.DUMMYFUNCTION("""COMPUTED_VALUE"""),44882.66666666667)</f>
        <v>44882.66667</v>
      </c>
      <c r="B705" s="2">
        <f>IFERROR(__xludf.DUMMYFUNCTION("""COMPUTED_VALUE"""),4550.0)</f>
        <v>4550</v>
      </c>
      <c r="C705" s="2">
        <f>IFERROR(__xludf.DUMMYFUNCTION("""COMPUTED_VALUE"""),4650.0)</f>
        <v>4650</v>
      </c>
      <c r="D705" s="2">
        <f>IFERROR(__xludf.DUMMYFUNCTION("""COMPUTED_VALUE"""),4512.5)</f>
        <v>4512.5</v>
      </c>
      <c r="E705" s="2">
        <f>IFERROR(__xludf.DUMMYFUNCTION("""COMPUTED_VALUE"""),4637.5)</f>
        <v>4637.5</v>
      </c>
      <c r="F705" s="2">
        <f>IFERROR(__xludf.DUMMYFUNCTION("""COMPUTED_VALUE"""),2.12257E7)</f>
        <v>21225700</v>
      </c>
      <c r="G705" s="2">
        <f t="shared" si="1"/>
        <v>137.5</v>
      </c>
    </row>
    <row r="706" ht="15.75" customHeight="1">
      <c r="A706" s="1">
        <f>IFERROR(__xludf.DUMMYFUNCTION("""COMPUTED_VALUE"""),44883.66666666667)</f>
        <v>44883.66667</v>
      </c>
      <c r="B706" s="2">
        <f>IFERROR(__xludf.DUMMYFUNCTION("""COMPUTED_VALUE"""),4650.0)</f>
        <v>4650</v>
      </c>
      <c r="C706" s="2">
        <f>IFERROR(__xludf.DUMMYFUNCTION("""COMPUTED_VALUE"""),4662.5)</f>
        <v>4662.5</v>
      </c>
      <c r="D706" s="2">
        <f>IFERROR(__xludf.DUMMYFUNCTION("""COMPUTED_VALUE"""),4587.5)</f>
        <v>4587.5</v>
      </c>
      <c r="E706" s="2">
        <f>IFERROR(__xludf.DUMMYFUNCTION("""COMPUTED_VALUE"""),4600.0)</f>
        <v>4600</v>
      </c>
      <c r="F706" s="2">
        <f>IFERROR(__xludf.DUMMYFUNCTION("""COMPUTED_VALUE"""),1.72515E7)</f>
        <v>17251500</v>
      </c>
      <c r="G706" s="2">
        <f t="shared" si="1"/>
        <v>75</v>
      </c>
    </row>
    <row r="707" ht="15.75" customHeight="1">
      <c r="A707" s="1">
        <f>IFERROR(__xludf.DUMMYFUNCTION("""COMPUTED_VALUE"""),44886.66666666667)</f>
        <v>44886.66667</v>
      </c>
      <c r="B707" s="2">
        <f>IFERROR(__xludf.DUMMYFUNCTION("""COMPUTED_VALUE"""),4575.0)</f>
        <v>4575</v>
      </c>
      <c r="C707" s="2">
        <f>IFERROR(__xludf.DUMMYFUNCTION("""COMPUTED_VALUE"""),4637.5)</f>
        <v>4637.5</v>
      </c>
      <c r="D707" s="2">
        <f>IFERROR(__xludf.DUMMYFUNCTION("""COMPUTED_VALUE"""),4562.5)</f>
        <v>4562.5</v>
      </c>
      <c r="E707" s="2">
        <f>IFERROR(__xludf.DUMMYFUNCTION("""COMPUTED_VALUE"""),4587.5)</f>
        <v>4587.5</v>
      </c>
      <c r="F707" s="2">
        <f>IFERROR(__xludf.DUMMYFUNCTION("""COMPUTED_VALUE"""),1.22762E7)</f>
        <v>12276200</v>
      </c>
      <c r="G707" s="2">
        <f t="shared" si="1"/>
        <v>75</v>
      </c>
    </row>
    <row r="708" ht="15.75" customHeight="1">
      <c r="A708" s="1">
        <f>IFERROR(__xludf.DUMMYFUNCTION("""COMPUTED_VALUE"""),44887.66666666667)</f>
        <v>44887.66667</v>
      </c>
      <c r="B708" s="2">
        <f>IFERROR(__xludf.DUMMYFUNCTION("""COMPUTED_VALUE"""),4612.5)</f>
        <v>4612.5</v>
      </c>
      <c r="C708" s="2">
        <f>IFERROR(__xludf.DUMMYFUNCTION("""COMPUTED_VALUE"""),4662.5)</f>
        <v>4662.5</v>
      </c>
      <c r="D708" s="2">
        <f>IFERROR(__xludf.DUMMYFUNCTION("""COMPUTED_VALUE"""),4587.5)</f>
        <v>4587.5</v>
      </c>
      <c r="E708" s="2">
        <f>IFERROR(__xludf.DUMMYFUNCTION("""COMPUTED_VALUE"""),4625.0)</f>
        <v>4625</v>
      </c>
      <c r="F708" s="2">
        <f>IFERROR(__xludf.DUMMYFUNCTION("""COMPUTED_VALUE"""),1.20183E7)</f>
        <v>12018300</v>
      </c>
      <c r="G708" s="2">
        <f t="shared" si="1"/>
        <v>75</v>
      </c>
    </row>
    <row r="709" ht="15.75" customHeight="1">
      <c r="A709" s="1">
        <f>IFERROR(__xludf.DUMMYFUNCTION("""COMPUTED_VALUE"""),44888.66666666667)</f>
        <v>44888.66667</v>
      </c>
      <c r="B709" s="2">
        <f>IFERROR(__xludf.DUMMYFUNCTION("""COMPUTED_VALUE"""),4625.0)</f>
        <v>4625</v>
      </c>
      <c r="C709" s="2">
        <f>IFERROR(__xludf.DUMMYFUNCTION("""COMPUTED_VALUE"""),4662.5)</f>
        <v>4662.5</v>
      </c>
      <c r="D709" s="2">
        <f>IFERROR(__xludf.DUMMYFUNCTION("""COMPUTED_VALUE"""),4625.0)</f>
        <v>4625</v>
      </c>
      <c r="E709" s="2">
        <f>IFERROR(__xludf.DUMMYFUNCTION("""COMPUTED_VALUE"""),4625.0)</f>
        <v>4625</v>
      </c>
      <c r="F709" s="2">
        <f>IFERROR(__xludf.DUMMYFUNCTION("""COMPUTED_VALUE"""),1.324E7)</f>
        <v>13240000</v>
      </c>
      <c r="G709" s="2">
        <f t="shared" si="1"/>
        <v>37.5</v>
      </c>
    </row>
    <row r="710" ht="15.75" customHeight="1">
      <c r="A710" s="1">
        <f>IFERROR(__xludf.DUMMYFUNCTION("""COMPUTED_VALUE"""),44889.66666666667)</f>
        <v>44889.66667</v>
      </c>
      <c r="B710" s="2">
        <f>IFERROR(__xludf.DUMMYFUNCTION("""COMPUTED_VALUE"""),4625.0)</f>
        <v>4625</v>
      </c>
      <c r="C710" s="2">
        <f>IFERROR(__xludf.DUMMYFUNCTION("""COMPUTED_VALUE"""),4675.0)</f>
        <v>4675</v>
      </c>
      <c r="D710" s="2">
        <f>IFERROR(__xludf.DUMMYFUNCTION("""COMPUTED_VALUE"""),4625.0)</f>
        <v>4625</v>
      </c>
      <c r="E710" s="2">
        <f>IFERROR(__xludf.DUMMYFUNCTION("""COMPUTED_VALUE"""),4637.5)</f>
        <v>4637.5</v>
      </c>
      <c r="F710" s="2">
        <f>IFERROR(__xludf.DUMMYFUNCTION("""COMPUTED_VALUE"""),1.68456E7)</f>
        <v>16845600</v>
      </c>
      <c r="G710" s="2">
        <f t="shared" si="1"/>
        <v>50</v>
      </c>
    </row>
    <row r="711" ht="15.75" customHeight="1">
      <c r="A711" s="1">
        <f>IFERROR(__xludf.DUMMYFUNCTION("""COMPUTED_VALUE"""),44890.66666666667)</f>
        <v>44890.66667</v>
      </c>
      <c r="B711" s="2">
        <f>IFERROR(__xludf.DUMMYFUNCTION("""COMPUTED_VALUE"""),4637.5)</f>
        <v>4637.5</v>
      </c>
      <c r="C711" s="2">
        <f>IFERROR(__xludf.DUMMYFUNCTION("""COMPUTED_VALUE"""),4650.0)</f>
        <v>4650</v>
      </c>
      <c r="D711" s="2">
        <f>IFERROR(__xludf.DUMMYFUNCTION("""COMPUTED_VALUE"""),4612.5)</f>
        <v>4612.5</v>
      </c>
      <c r="E711" s="2">
        <f>IFERROR(__xludf.DUMMYFUNCTION("""COMPUTED_VALUE"""),4650.0)</f>
        <v>4650</v>
      </c>
      <c r="F711" s="2">
        <f>IFERROR(__xludf.DUMMYFUNCTION("""COMPUTED_VALUE"""),1.42694E7)</f>
        <v>14269400</v>
      </c>
      <c r="G711" s="2">
        <f t="shared" si="1"/>
        <v>37.5</v>
      </c>
    </row>
    <row r="712" ht="15.75" customHeight="1">
      <c r="A712" s="1">
        <f>IFERROR(__xludf.DUMMYFUNCTION("""COMPUTED_VALUE"""),44893.66666666667)</f>
        <v>44893.66667</v>
      </c>
      <c r="B712" s="2">
        <f>IFERROR(__xludf.DUMMYFUNCTION("""COMPUTED_VALUE"""),4650.0)</f>
        <v>4650</v>
      </c>
      <c r="C712" s="2">
        <f>IFERROR(__xludf.DUMMYFUNCTION("""COMPUTED_VALUE"""),4675.0)</f>
        <v>4675</v>
      </c>
      <c r="D712" s="2">
        <f>IFERROR(__xludf.DUMMYFUNCTION("""COMPUTED_VALUE"""),4625.0)</f>
        <v>4625</v>
      </c>
      <c r="E712" s="2">
        <f>IFERROR(__xludf.DUMMYFUNCTION("""COMPUTED_VALUE"""),4637.5)</f>
        <v>4637.5</v>
      </c>
      <c r="F712" s="2">
        <f>IFERROR(__xludf.DUMMYFUNCTION("""COMPUTED_VALUE"""),2.33067E7)</f>
        <v>23306700</v>
      </c>
      <c r="G712" s="2">
        <f t="shared" si="1"/>
        <v>50</v>
      </c>
    </row>
    <row r="713" ht="15.75" customHeight="1">
      <c r="A713" s="1">
        <f>IFERROR(__xludf.DUMMYFUNCTION("""COMPUTED_VALUE"""),44894.66666666667)</f>
        <v>44894.66667</v>
      </c>
      <c r="B713" s="2">
        <f>IFERROR(__xludf.DUMMYFUNCTION("""COMPUTED_VALUE"""),4637.5)</f>
        <v>4637.5</v>
      </c>
      <c r="C713" s="2">
        <f>IFERROR(__xludf.DUMMYFUNCTION("""COMPUTED_VALUE"""),4712.5)</f>
        <v>4712.5</v>
      </c>
      <c r="D713" s="2">
        <f>IFERROR(__xludf.DUMMYFUNCTION("""COMPUTED_VALUE"""),4637.5)</f>
        <v>4637.5</v>
      </c>
      <c r="E713" s="2">
        <f>IFERROR(__xludf.DUMMYFUNCTION("""COMPUTED_VALUE"""),4687.5)</f>
        <v>4687.5</v>
      </c>
      <c r="F713" s="2">
        <f>IFERROR(__xludf.DUMMYFUNCTION("""COMPUTED_VALUE"""),2.96554E7)</f>
        <v>29655400</v>
      </c>
      <c r="G713" s="2">
        <f t="shared" si="1"/>
        <v>75</v>
      </c>
    </row>
    <row r="714" ht="15.75" customHeight="1">
      <c r="A714" s="1">
        <f>IFERROR(__xludf.DUMMYFUNCTION("""COMPUTED_VALUE"""),44895.66666666667)</f>
        <v>44895.66667</v>
      </c>
      <c r="B714" s="2">
        <f>IFERROR(__xludf.DUMMYFUNCTION("""COMPUTED_VALUE"""),4700.0)</f>
        <v>4700</v>
      </c>
      <c r="C714" s="2">
        <f>IFERROR(__xludf.DUMMYFUNCTION("""COMPUTED_VALUE"""),4950.0)</f>
        <v>4950</v>
      </c>
      <c r="D714" s="2">
        <f>IFERROR(__xludf.DUMMYFUNCTION("""COMPUTED_VALUE"""),4687.5)</f>
        <v>4687.5</v>
      </c>
      <c r="E714" s="2">
        <f>IFERROR(__xludf.DUMMYFUNCTION("""COMPUTED_VALUE"""),4950.0)</f>
        <v>4950</v>
      </c>
      <c r="F714" s="2">
        <f>IFERROR(__xludf.DUMMYFUNCTION("""COMPUTED_VALUE"""),1.143845E8)</f>
        <v>114384500</v>
      </c>
      <c r="G714" s="2">
        <f t="shared" si="1"/>
        <v>262.5</v>
      </c>
    </row>
    <row r="715" ht="15.75" customHeight="1">
      <c r="A715" s="1">
        <f>IFERROR(__xludf.DUMMYFUNCTION("""COMPUTED_VALUE"""),44896.66666666667)</f>
        <v>44896.66667</v>
      </c>
      <c r="B715" s="2">
        <f>IFERROR(__xludf.DUMMYFUNCTION("""COMPUTED_VALUE"""),4950.0)</f>
        <v>4950</v>
      </c>
      <c r="C715" s="2">
        <f>IFERROR(__xludf.DUMMYFUNCTION("""COMPUTED_VALUE"""),4975.0)</f>
        <v>4975</v>
      </c>
      <c r="D715" s="2">
        <f>IFERROR(__xludf.DUMMYFUNCTION("""COMPUTED_VALUE"""),4837.5)</f>
        <v>4837.5</v>
      </c>
      <c r="E715" s="2">
        <f>IFERROR(__xludf.DUMMYFUNCTION("""COMPUTED_VALUE"""),4850.0)</f>
        <v>4850</v>
      </c>
      <c r="F715" s="2">
        <f>IFERROR(__xludf.DUMMYFUNCTION("""COMPUTED_VALUE"""),3.00216E7)</f>
        <v>30021600</v>
      </c>
      <c r="G715" s="2">
        <f t="shared" si="1"/>
        <v>137.5</v>
      </c>
    </row>
    <row r="716" ht="15.75" customHeight="1">
      <c r="A716" s="1">
        <f>IFERROR(__xludf.DUMMYFUNCTION("""COMPUTED_VALUE"""),44897.66666666667)</f>
        <v>44897.66667</v>
      </c>
      <c r="B716" s="2">
        <f>IFERROR(__xludf.DUMMYFUNCTION("""COMPUTED_VALUE"""),4825.0)</f>
        <v>4825</v>
      </c>
      <c r="C716" s="2">
        <f>IFERROR(__xludf.DUMMYFUNCTION("""COMPUTED_VALUE"""),4875.0)</f>
        <v>4875</v>
      </c>
      <c r="D716" s="2">
        <f>IFERROR(__xludf.DUMMYFUNCTION("""COMPUTED_VALUE"""),4775.0)</f>
        <v>4775</v>
      </c>
      <c r="E716" s="2">
        <f>IFERROR(__xludf.DUMMYFUNCTION("""COMPUTED_VALUE"""),4875.0)</f>
        <v>4875</v>
      </c>
      <c r="F716" s="2">
        <f>IFERROR(__xludf.DUMMYFUNCTION("""COMPUTED_VALUE"""),3.74443E7)</f>
        <v>37444300</v>
      </c>
      <c r="G716" s="2">
        <f t="shared" si="1"/>
        <v>100</v>
      </c>
    </row>
    <row r="717" ht="15.75" customHeight="1">
      <c r="A717" s="1">
        <f>IFERROR(__xludf.DUMMYFUNCTION("""COMPUTED_VALUE"""),44900.66666666667)</f>
        <v>44900.66667</v>
      </c>
      <c r="B717" s="2">
        <f>IFERROR(__xludf.DUMMYFUNCTION("""COMPUTED_VALUE"""),4875.0)</f>
        <v>4875</v>
      </c>
      <c r="C717" s="2">
        <f>IFERROR(__xludf.DUMMYFUNCTION("""COMPUTED_VALUE"""),4912.5)</f>
        <v>4912.5</v>
      </c>
      <c r="D717" s="2">
        <f>IFERROR(__xludf.DUMMYFUNCTION("""COMPUTED_VALUE"""),4825.0)</f>
        <v>4825</v>
      </c>
      <c r="E717" s="2">
        <f>IFERROR(__xludf.DUMMYFUNCTION("""COMPUTED_VALUE"""),4875.0)</f>
        <v>4875</v>
      </c>
      <c r="F717" s="2">
        <f>IFERROR(__xludf.DUMMYFUNCTION("""COMPUTED_VALUE"""),2.31754E7)</f>
        <v>23175400</v>
      </c>
      <c r="G717" s="2">
        <f t="shared" si="1"/>
        <v>87.5</v>
      </c>
    </row>
    <row r="718" ht="15.75" customHeight="1">
      <c r="A718" s="1">
        <f>IFERROR(__xludf.DUMMYFUNCTION("""COMPUTED_VALUE"""),44901.66666666667)</f>
        <v>44901.66667</v>
      </c>
      <c r="B718" s="2">
        <f>IFERROR(__xludf.DUMMYFUNCTION("""COMPUTED_VALUE"""),4850.0)</f>
        <v>4850</v>
      </c>
      <c r="C718" s="2">
        <f>IFERROR(__xludf.DUMMYFUNCTION("""COMPUTED_VALUE"""),4850.0)</f>
        <v>4850</v>
      </c>
      <c r="D718" s="2">
        <f>IFERROR(__xludf.DUMMYFUNCTION("""COMPUTED_VALUE"""),4750.0)</f>
        <v>4750</v>
      </c>
      <c r="E718" s="2">
        <f>IFERROR(__xludf.DUMMYFUNCTION("""COMPUTED_VALUE"""),4775.0)</f>
        <v>4775</v>
      </c>
      <c r="F718" s="2">
        <f>IFERROR(__xludf.DUMMYFUNCTION("""COMPUTED_VALUE"""),4.04803E7)</f>
        <v>40480300</v>
      </c>
      <c r="G718" s="2">
        <f t="shared" si="1"/>
        <v>125</v>
      </c>
    </row>
    <row r="719" ht="15.75" customHeight="1">
      <c r="A719" s="1">
        <f>IFERROR(__xludf.DUMMYFUNCTION("""COMPUTED_VALUE"""),44902.66666666667)</f>
        <v>44902.66667</v>
      </c>
      <c r="B719" s="2">
        <f>IFERROR(__xludf.DUMMYFUNCTION("""COMPUTED_VALUE"""),4775.0)</f>
        <v>4775</v>
      </c>
      <c r="C719" s="2">
        <f>IFERROR(__xludf.DUMMYFUNCTION("""COMPUTED_VALUE"""),4800.0)</f>
        <v>4800</v>
      </c>
      <c r="D719" s="2">
        <f>IFERROR(__xludf.DUMMYFUNCTION("""COMPUTED_VALUE"""),4687.5)</f>
        <v>4687.5</v>
      </c>
      <c r="E719" s="2">
        <f>IFERROR(__xludf.DUMMYFUNCTION("""COMPUTED_VALUE"""),4750.0)</f>
        <v>4750</v>
      </c>
      <c r="F719" s="2">
        <f>IFERROR(__xludf.DUMMYFUNCTION("""COMPUTED_VALUE"""),3.74836E7)</f>
        <v>37483600</v>
      </c>
      <c r="G719" s="2">
        <f t="shared" si="1"/>
        <v>112.5</v>
      </c>
    </row>
    <row r="720" ht="15.75" customHeight="1">
      <c r="A720" s="1">
        <f>IFERROR(__xludf.DUMMYFUNCTION("""COMPUTED_VALUE"""),44903.66666666667)</f>
        <v>44903.66667</v>
      </c>
      <c r="B720" s="2">
        <f>IFERROR(__xludf.DUMMYFUNCTION("""COMPUTED_VALUE"""),4750.0)</f>
        <v>4750</v>
      </c>
      <c r="C720" s="2">
        <f>IFERROR(__xludf.DUMMYFUNCTION("""COMPUTED_VALUE"""),4775.0)</f>
        <v>4775</v>
      </c>
      <c r="D720" s="2">
        <f>IFERROR(__xludf.DUMMYFUNCTION("""COMPUTED_VALUE"""),4637.5)</f>
        <v>4637.5</v>
      </c>
      <c r="E720" s="2">
        <f>IFERROR(__xludf.DUMMYFUNCTION("""COMPUTED_VALUE"""),4750.0)</f>
        <v>4750</v>
      </c>
      <c r="F720" s="2">
        <f>IFERROR(__xludf.DUMMYFUNCTION("""COMPUTED_VALUE"""),3.01488E7)</f>
        <v>30148800</v>
      </c>
      <c r="G720" s="2">
        <f t="shared" si="1"/>
        <v>137.5</v>
      </c>
    </row>
    <row r="721" ht="15.75" customHeight="1">
      <c r="A721" s="1">
        <f>IFERROR(__xludf.DUMMYFUNCTION("""COMPUTED_VALUE"""),44904.66666666667)</f>
        <v>44904.66667</v>
      </c>
      <c r="B721" s="2">
        <f>IFERROR(__xludf.DUMMYFUNCTION("""COMPUTED_VALUE"""),4787.5)</f>
        <v>4787.5</v>
      </c>
      <c r="C721" s="2">
        <f>IFERROR(__xludf.DUMMYFUNCTION("""COMPUTED_VALUE"""),4787.5)</f>
        <v>4787.5</v>
      </c>
      <c r="D721" s="2">
        <f>IFERROR(__xludf.DUMMYFUNCTION("""COMPUTED_VALUE"""),4712.5)</f>
        <v>4712.5</v>
      </c>
      <c r="E721" s="2">
        <f>IFERROR(__xludf.DUMMYFUNCTION("""COMPUTED_VALUE"""),4775.0)</f>
        <v>4775</v>
      </c>
      <c r="F721" s="2">
        <f>IFERROR(__xludf.DUMMYFUNCTION("""COMPUTED_VALUE"""),2.92148E7)</f>
        <v>29214800</v>
      </c>
      <c r="G721" s="2">
        <f t="shared" si="1"/>
        <v>75</v>
      </c>
    </row>
    <row r="722" ht="15.75" customHeight="1">
      <c r="A722" s="1">
        <f>IFERROR(__xludf.DUMMYFUNCTION("""COMPUTED_VALUE"""),44907.66666666667)</f>
        <v>44907.66667</v>
      </c>
      <c r="B722" s="2">
        <f>IFERROR(__xludf.DUMMYFUNCTION("""COMPUTED_VALUE"""),4775.0)</f>
        <v>4775</v>
      </c>
      <c r="C722" s="2">
        <f>IFERROR(__xludf.DUMMYFUNCTION("""COMPUTED_VALUE"""),4825.0)</f>
        <v>4825</v>
      </c>
      <c r="D722" s="2">
        <f>IFERROR(__xludf.DUMMYFUNCTION("""COMPUTED_VALUE"""),4712.5)</f>
        <v>4712.5</v>
      </c>
      <c r="E722" s="2">
        <f>IFERROR(__xludf.DUMMYFUNCTION("""COMPUTED_VALUE"""),4762.5)</f>
        <v>4762.5</v>
      </c>
      <c r="F722" s="2">
        <f>IFERROR(__xludf.DUMMYFUNCTION("""COMPUTED_VALUE"""),1.8345E7)</f>
        <v>18345000</v>
      </c>
      <c r="G722" s="2">
        <f t="shared" si="1"/>
        <v>112.5</v>
      </c>
    </row>
    <row r="723" ht="15.75" customHeight="1">
      <c r="A723" s="1">
        <f>IFERROR(__xludf.DUMMYFUNCTION("""COMPUTED_VALUE"""),44908.66666666667)</f>
        <v>44908.66667</v>
      </c>
      <c r="B723" s="2">
        <f>IFERROR(__xludf.DUMMYFUNCTION("""COMPUTED_VALUE"""),4800.0)</f>
        <v>4800</v>
      </c>
      <c r="C723" s="2">
        <f>IFERROR(__xludf.DUMMYFUNCTION("""COMPUTED_VALUE"""),4825.0)</f>
        <v>4825</v>
      </c>
      <c r="D723" s="2">
        <f>IFERROR(__xludf.DUMMYFUNCTION("""COMPUTED_VALUE"""),4750.0)</f>
        <v>4750</v>
      </c>
      <c r="E723" s="2">
        <f>IFERROR(__xludf.DUMMYFUNCTION("""COMPUTED_VALUE"""),4825.0)</f>
        <v>4825</v>
      </c>
      <c r="F723" s="2">
        <f>IFERROR(__xludf.DUMMYFUNCTION("""COMPUTED_VALUE"""),2.22288E7)</f>
        <v>22228800</v>
      </c>
      <c r="G723" s="2">
        <f t="shared" si="1"/>
        <v>75</v>
      </c>
    </row>
    <row r="724" ht="15.75" customHeight="1">
      <c r="A724" s="1">
        <f>IFERROR(__xludf.DUMMYFUNCTION("""COMPUTED_VALUE"""),44909.66666666667)</f>
        <v>44909.66667</v>
      </c>
      <c r="B724" s="2">
        <f>IFERROR(__xludf.DUMMYFUNCTION("""COMPUTED_VALUE"""),4837.5)</f>
        <v>4837.5</v>
      </c>
      <c r="C724" s="2">
        <f>IFERROR(__xludf.DUMMYFUNCTION("""COMPUTED_VALUE"""),4875.0)</f>
        <v>4875</v>
      </c>
      <c r="D724" s="2">
        <f>IFERROR(__xludf.DUMMYFUNCTION("""COMPUTED_VALUE"""),4737.5)</f>
        <v>4737.5</v>
      </c>
      <c r="E724" s="2">
        <f>IFERROR(__xludf.DUMMYFUNCTION("""COMPUTED_VALUE"""),4762.5)</f>
        <v>4762.5</v>
      </c>
      <c r="F724" s="2">
        <f>IFERROR(__xludf.DUMMYFUNCTION("""COMPUTED_VALUE"""),2.56567E7)</f>
        <v>25656700</v>
      </c>
      <c r="G724" s="2">
        <f t="shared" si="1"/>
        <v>137.5</v>
      </c>
    </row>
    <row r="725" ht="15.75" customHeight="1">
      <c r="A725" s="1">
        <f>IFERROR(__xludf.DUMMYFUNCTION("""COMPUTED_VALUE"""),44910.66666666667)</f>
        <v>44910.66667</v>
      </c>
      <c r="B725" s="2">
        <f>IFERROR(__xludf.DUMMYFUNCTION("""COMPUTED_VALUE"""),4750.0)</f>
        <v>4750</v>
      </c>
      <c r="C725" s="2">
        <f>IFERROR(__xludf.DUMMYFUNCTION("""COMPUTED_VALUE"""),4800.0)</f>
        <v>4800</v>
      </c>
      <c r="D725" s="2">
        <f>IFERROR(__xludf.DUMMYFUNCTION("""COMPUTED_VALUE"""),4687.5)</f>
        <v>4687.5</v>
      </c>
      <c r="E725" s="2">
        <f>IFERROR(__xludf.DUMMYFUNCTION("""COMPUTED_VALUE"""),4737.5)</f>
        <v>4737.5</v>
      </c>
      <c r="F725" s="2">
        <f>IFERROR(__xludf.DUMMYFUNCTION("""COMPUTED_VALUE"""),2.2763E7)</f>
        <v>22763000</v>
      </c>
      <c r="G725" s="2">
        <f t="shared" si="1"/>
        <v>112.5</v>
      </c>
    </row>
    <row r="726" ht="15.75" customHeight="1">
      <c r="A726" s="1">
        <f>IFERROR(__xludf.DUMMYFUNCTION("""COMPUTED_VALUE"""),44911.66666666667)</f>
        <v>44911.66667</v>
      </c>
      <c r="B726" s="2">
        <f>IFERROR(__xludf.DUMMYFUNCTION("""COMPUTED_VALUE"""),4700.0)</f>
        <v>4700</v>
      </c>
      <c r="C726" s="2">
        <f>IFERROR(__xludf.DUMMYFUNCTION("""COMPUTED_VALUE"""),4900.0)</f>
        <v>4900</v>
      </c>
      <c r="D726" s="2">
        <f>IFERROR(__xludf.DUMMYFUNCTION("""COMPUTED_VALUE"""),4675.0)</f>
        <v>4675</v>
      </c>
      <c r="E726" s="2">
        <f>IFERROR(__xludf.DUMMYFUNCTION("""COMPUTED_VALUE"""),4900.0)</f>
        <v>4900</v>
      </c>
      <c r="F726" s="2">
        <f>IFERROR(__xludf.DUMMYFUNCTION("""COMPUTED_VALUE"""),5.33907E7)</f>
        <v>53390700</v>
      </c>
      <c r="G726" s="2">
        <f t="shared" si="1"/>
        <v>225</v>
      </c>
    </row>
    <row r="727" ht="15.75" customHeight="1">
      <c r="A727" s="1">
        <f>IFERROR(__xludf.DUMMYFUNCTION("""COMPUTED_VALUE"""),44914.66666666667)</f>
        <v>44914.66667</v>
      </c>
      <c r="B727" s="2">
        <f>IFERROR(__xludf.DUMMYFUNCTION("""COMPUTED_VALUE"""),4850.0)</f>
        <v>4850</v>
      </c>
      <c r="C727" s="2">
        <f>IFERROR(__xludf.DUMMYFUNCTION("""COMPUTED_VALUE"""),4875.0)</f>
        <v>4875</v>
      </c>
      <c r="D727" s="2">
        <f>IFERROR(__xludf.DUMMYFUNCTION("""COMPUTED_VALUE"""),4712.5)</f>
        <v>4712.5</v>
      </c>
      <c r="E727" s="2">
        <f>IFERROR(__xludf.DUMMYFUNCTION("""COMPUTED_VALUE"""),4712.5)</f>
        <v>4712.5</v>
      </c>
      <c r="F727" s="2">
        <f>IFERROR(__xludf.DUMMYFUNCTION("""COMPUTED_VALUE"""),3.02749E7)</f>
        <v>30274900</v>
      </c>
      <c r="G727" s="2">
        <f t="shared" si="1"/>
        <v>187.5</v>
      </c>
    </row>
    <row r="728" ht="15.75" customHeight="1">
      <c r="A728" s="1">
        <f>IFERROR(__xludf.DUMMYFUNCTION("""COMPUTED_VALUE"""),44915.66666666667)</f>
        <v>44915.66667</v>
      </c>
      <c r="B728" s="2">
        <f>IFERROR(__xludf.DUMMYFUNCTION("""COMPUTED_VALUE"""),4725.0)</f>
        <v>4725</v>
      </c>
      <c r="C728" s="2">
        <f>IFERROR(__xludf.DUMMYFUNCTION("""COMPUTED_VALUE"""),4762.5)</f>
        <v>4762.5</v>
      </c>
      <c r="D728" s="2">
        <f>IFERROR(__xludf.DUMMYFUNCTION("""COMPUTED_VALUE"""),4662.5)</f>
        <v>4662.5</v>
      </c>
      <c r="E728" s="2">
        <f>IFERROR(__xludf.DUMMYFUNCTION("""COMPUTED_VALUE"""),4725.0)</f>
        <v>4725</v>
      </c>
      <c r="F728" s="2">
        <f>IFERROR(__xludf.DUMMYFUNCTION("""COMPUTED_VALUE"""),1.89979E7)</f>
        <v>18997900</v>
      </c>
      <c r="G728" s="2">
        <f t="shared" si="1"/>
        <v>100</v>
      </c>
    </row>
    <row r="729" ht="15.75" customHeight="1">
      <c r="A729" s="1">
        <f>IFERROR(__xludf.DUMMYFUNCTION("""COMPUTED_VALUE"""),44916.66666666667)</f>
        <v>44916.66667</v>
      </c>
      <c r="B729" s="2">
        <f>IFERROR(__xludf.DUMMYFUNCTION("""COMPUTED_VALUE"""),4750.0)</f>
        <v>4750</v>
      </c>
      <c r="C729" s="2">
        <f>IFERROR(__xludf.DUMMYFUNCTION("""COMPUTED_VALUE"""),4750.0)</f>
        <v>4750</v>
      </c>
      <c r="D729" s="2">
        <f>IFERROR(__xludf.DUMMYFUNCTION("""COMPUTED_VALUE"""),4662.5)</f>
        <v>4662.5</v>
      </c>
      <c r="E729" s="2">
        <f>IFERROR(__xludf.DUMMYFUNCTION("""COMPUTED_VALUE"""),4675.0)</f>
        <v>4675</v>
      </c>
      <c r="F729" s="2">
        <f>IFERROR(__xludf.DUMMYFUNCTION("""COMPUTED_VALUE"""),2.04683E7)</f>
        <v>20468300</v>
      </c>
      <c r="G729" s="2">
        <f t="shared" si="1"/>
        <v>87.5</v>
      </c>
    </row>
    <row r="730" ht="15.75" customHeight="1">
      <c r="A730" s="1">
        <f>IFERROR(__xludf.DUMMYFUNCTION("""COMPUTED_VALUE"""),44917.66666666667)</f>
        <v>44917.66667</v>
      </c>
      <c r="B730" s="2">
        <f>IFERROR(__xludf.DUMMYFUNCTION("""COMPUTED_VALUE"""),4700.0)</f>
        <v>4700</v>
      </c>
      <c r="C730" s="2">
        <f>IFERROR(__xludf.DUMMYFUNCTION("""COMPUTED_VALUE"""),4725.0)</f>
        <v>4725</v>
      </c>
      <c r="D730" s="2">
        <f>IFERROR(__xludf.DUMMYFUNCTION("""COMPUTED_VALUE"""),4675.0)</f>
        <v>4675</v>
      </c>
      <c r="E730" s="2">
        <f>IFERROR(__xludf.DUMMYFUNCTION("""COMPUTED_VALUE"""),4712.5)</f>
        <v>4712.5</v>
      </c>
      <c r="F730" s="2">
        <f>IFERROR(__xludf.DUMMYFUNCTION("""COMPUTED_VALUE"""),1.50695E7)</f>
        <v>15069500</v>
      </c>
      <c r="G730" s="2">
        <f t="shared" si="1"/>
        <v>50</v>
      </c>
    </row>
    <row r="731" ht="15.75" customHeight="1">
      <c r="A731" s="1">
        <f>IFERROR(__xludf.DUMMYFUNCTION("""COMPUTED_VALUE"""),44918.66666666667)</f>
        <v>44918.66667</v>
      </c>
      <c r="B731" s="2">
        <f>IFERROR(__xludf.DUMMYFUNCTION("""COMPUTED_VALUE"""),4700.0)</f>
        <v>4700</v>
      </c>
      <c r="C731" s="2">
        <f>IFERROR(__xludf.DUMMYFUNCTION("""COMPUTED_VALUE"""),4725.0)</f>
        <v>4725</v>
      </c>
      <c r="D731" s="2">
        <f>IFERROR(__xludf.DUMMYFUNCTION("""COMPUTED_VALUE"""),4662.5)</f>
        <v>4662.5</v>
      </c>
      <c r="E731" s="2">
        <f>IFERROR(__xludf.DUMMYFUNCTION("""COMPUTED_VALUE"""),4662.5)</f>
        <v>4662.5</v>
      </c>
      <c r="F731" s="2">
        <f>IFERROR(__xludf.DUMMYFUNCTION("""COMPUTED_VALUE"""),1.5246E7)</f>
        <v>15246000</v>
      </c>
      <c r="G731" s="2">
        <f t="shared" si="1"/>
        <v>62.5</v>
      </c>
    </row>
    <row r="732" ht="15.75" customHeight="1">
      <c r="A732" s="1">
        <f>IFERROR(__xludf.DUMMYFUNCTION("""COMPUTED_VALUE"""),44921.66666666667)</f>
        <v>44921.66667</v>
      </c>
      <c r="B732" s="2">
        <f>IFERROR(__xludf.DUMMYFUNCTION("""COMPUTED_VALUE"""),4675.0)</f>
        <v>4675</v>
      </c>
      <c r="C732" s="2">
        <f>IFERROR(__xludf.DUMMYFUNCTION("""COMPUTED_VALUE"""),4700.0)</f>
        <v>4700</v>
      </c>
      <c r="D732" s="2">
        <f>IFERROR(__xludf.DUMMYFUNCTION("""COMPUTED_VALUE"""),4637.5)</f>
        <v>4637.5</v>
      </c>
      <c r="E732" s="2">
        <f>IFERROR(__xludf.DUMMYFUNCTION("""COMPUTED_VALUE"""),4662.5)</f>
        <v>4662.5</v>
      </c>
      <c r="F732" s="2">
        <f>IFERROR(__xludf.DUMMYFUNCTION("""COMPUTED_VALUE"""),9444700.0)</f>
        <v>9444700</v>
      </c>
      <c r="G732" s="2">
        <f t="shared" si="1"/>
        <v>62.5</v>
      </c>
    </row>
    <row r="733" ht="15.75" customHeight="1">
      <c r="A733" s="1">
        <f>IFERROR(__xludf.DUMMYFUNCTION("""COMPUTED_VALUE"""),44922.66666666667)</f>
        <v>44922.66667</v>
      </c>
      <c r="B733" s="2">
        <f>IFERROR(__xludf.DUMMYFUNCTION("""COMPUTED_VALUE"""),4700.0)</f>
        <v>4700</v>
      </c>
      <c r="C733" s="2">
        <f>IFERROR(__xludf.DUMMYFUNCTION("""COMPUTED_VALUE"""),4700.0)</f>
        <v>4700</v>
      </c>
      <c r="D733" s="2">
        <f>IFERROR(__xludf.DUMMYFUNCTION("""COMPUTED_VALUE"""),4625.0)</f>
        <v>4625</v>
      </c>
      <c r="E733" s="2">
        <f>IFERROR(__xludf.DUMMYFUNCTION("""COMPUTED_VALUE"""),4650.0)</f>
        <v>4650</v>
      </c>
      <c r="F733" s="2">
        <f>IFERROR(__xludf.DUMMYFUNCTION("""COMPUTED_VALUE"""),1.52051E7)</f>
        <v>15205100</v>
      </c>
      <c r="G733" s="2">
        <f t="shared" si="1"/>
        <v>75</v>
      </c>
    </row>
    <row r="734" ht="15.75" customHeight="1">
      <c r="A734" s="1">
        <f>IFERROR(__xludf.DUMMYFUNCTION("""COMPUTED_VALUE"""),44923.66666666667)</f>
        <v>44923.66667</v>
      </c>
      <c r="B734" s="2">
        <f>IFERROR(__xludf.DUMMYFUNCTION("""COMPUTED_VALUE"""),4662.5)</f>
        <v>4662.5</v>
      </c>
      <c r="C734" s="2">
        <f>IFERROR(__xludf.DUMMYFUNCTION("""COMPUTED_VALUE"""),4675.0)</f>
        <v>4675</v>
      </c>
      <c r="D734" s="2">
        <f>IFERROR(__xludf.DUMMYFUNCTION("""COMPUTED_VALUE"""),4575.0)</f>
        <v>4575</v>
      </c>
      <c r="E734" s="2">
        <f>IFERROR(__xludf.DUMMYFUNCTION("""COMPUTED_VALUE"""),4612.5)</f>
        <v>4612.5</v>
      </c>
      <c r="F734" s="2">
        <f>IFERROR(__xludf.DUMMYFUNCTION("""COMPUTED_VALUE"""),1.30288E7)</f>
        <v>13028800</v>
      </c>
      <c r="G734" s="2">
        <f t="shared" si="1"/>
        <v>100</v>
      </c>
    </row>
    <row r="735" ht="15.75" customHeight="1">
      <c r="A735" s="1">
        <f>IFERROR(__xludf.DUMMYFUNCTION("""COMPUTED_VALUE"""),44924.66666666667)</f>
        <v>44924.66667</v>
      </c>
      <c r="B735" s="2">
        <f>IFERROR(__xludf.DUMMYFUNCTION("""COMPUTED_VALUE"""),4612.5)</f>
        <v>4612.5</v>
      </c>
      <c r="C735" s="2">
        <f>IFERROR(__xludf.DUMMYFUNCTION("""COMPUTED_VALUE"""),4625.0)</f>
        <v>4625</v>
      </c>
      <c r="D735" s="2">
        <f>IFERROR(__xludf.DUMMYFUNCTION("""COMPUTED_VALUE"""),4575.0)</f>
        <v>4575</v>
      </c>
      <c r="E735" s="2">
        <f>IFERROR(__xludf.DUMMYFUNCTION("""COMPUTED_VALUE"""),4612.5)</f>
        <v>4612.5</v>
      </c>
      <c r="F735" s="2">
        <f>IFERROR(__xludf.DUMMYFUNCTION("""COMPUTED_VALUE"""),1.13235E7)</f>
        <v>11323500</v>
      </c>
      <c r="G735" s="2">
        <f t="shared" si="1"/>
        <v>50</v>
      </c>
    </row>
    <row r="736" ht="15.75" customHeight="1">
      <c r="A736" s="1">
        <f>IFERROR(__xludf.DUMMYFUNCTION("""COMPUTED_VALUE"""),44925.66666666667)</f>
        <v>44925.66667</v>
      </c>
      <c r="B736" s="2">
        <f>IFERROR(__xludf.DUMMYFUNCTION("""COMPUTED_VALUE"""),4612.5)</f>
        <v>4612.5</v>
      </c>
      <c r="C736" s="2">
        <f>IFERROR(__xludf.DUMMYFUNCTION("""COMPUTED_VALUE"""),4650.0)</f>
        <v>4650</v>
      </c>
      <c r="D736" s="2">
        <f>IFERROR(__xludf.DUMMYFUNCTION("""COMPUTED_VALUE"""),4612.5)</f>
        <v>4612.5</v>
      </c>
      <c r="E736" s="2">
        <f>IFERROR(__xludf.DUMMYFUNCTION("""COMPUTED_VALUE"""),4612.5)</f>
        <v>4612.5</v>
      </c>
      <c r="F736" s="2">
        <f>IFERROR(__xludf.DUMMYFUNCTION("""COMPUTED_VALUE"""),1.52362E7)</f>
        <v>15236200</v>
      </c>
      <c r="G736" s="2">
        <f t="shared" si="1"/>
        <v>37.5</v>
      </c>
    </row>
    <row r="737" ht="15.75" customHeight="1">
      <c r="A737" s="1">
        <f>IFERROR(__xludf.DUMMYFUNCTION("""COMPUTED_VALUE"""),44928.66666666667)</f>
        <v>44928.66667</v>
      </c>
      <c r="B737" s="2">
        <f>IFERROR(__xludf.DUMMYFUNCTION("""COMPUTED_VALUE"""),4612.5)</f>
        <v>4612.5</v>
      </c>
      <c r="C737" s="2">
        <f>IFERROR(__xludf.DUMMYFUNCTION("""COMPUTED_VALUE"""),4612.5)</f>
        <v>4612.5</v>
      </c>
      <c r="D737" s="2">
        <f>IFERROR(__xludf.DUMMYFUNCTION("""COMPUTED_VALUE"""),4550.0)</f>
        <v>4550</v>
      </c>
      <c r="E737" s="2">
        <f>IFERROR(__xludf.DUMMYFUNCTION("""COMPUTED_VALUE"""),4612.5)</f>
        <v>4612.5</v>
      </c>
      <c r="F737" s="2">
        <f>IFERROR(__xludf.DUMMYFUNCTION("""COMPUTED_VALUE"""),6699200.0)</f>
        <v>6699200</v>
      </c>
      <c r="G737" s="2">
        <f t="shared" si="1"/>
        <v>62.5</v>
      </c>
    </row>
    <row r="738" ht="15.75" customHeight="1">
      <c r="A738" s="1">
        <f>IFERROR(__xludf.DUMMYFUNCTION("""COMPUTED_VALUE"""),44929.66666666667)</f>
        <v>44929.66667</v>
      </c>
      <c r="B738" s="2">
        <f>IFERROR(__xludf.DUMMYFUNCTION("""COMPUTED_VALUE"""),4600.0)</f>
        <v>4600</v>
      </c>
      <c r="C738" s="2">
        <f>IFERROR(__xludf.DUMMYFUNCTION("""COMPUTED_VALUE"""),4650.0)</f>
        <v>4650</v>
      </c>
      <c r="D738" s="2">
        <f>IFERROR(__xludf.DUMMYFUNCTION("""COMPUTED_VALUE"""),4575.0)</f>
        <v>4575</v>
      </c>
      <c r="E738" s="2">
        <f>IFERROR(__xludf.DUMMYFUNCTION("""COMPUTED_VALUE"""),4637.5)</f>
        <v>4637.5</v>
      </c>
      <c r="F738" s="2">
        <f>IFERROR(__xludf.DUMMYFUNCTION("""COMPUTED_VALUE"""),1.32315E7)</f>
        <v>13231500</v>
      </c>
      <c r="G738" s="2">
        <f t="shared" si="1"/>
        <v>75</v>
      </c>
    </row>
    <row r="739" ht="15.75" customHeight="1">
      <c r="A739" s="1">
        <f>IFERROR(__xludf.DUMMYFUNCTION("""COMPUTED_VALUE"""),44930.66666666667)</f>
        <v>44930.66667</v>
      </c>
      <c r="B739" s="2">
        <f>IFERROR(__xludf.DUMMYFUNCTION("""COMPUTED_VALUE"""),4637.5)</f>
        <v>4637.5</v>
      </c>
      <c r="C739" s="2">
        <f>IFERROR(__xludf.DUMMYFUNCTION("""COMPUTED_VALUE"""),4650.0)</f>
        <v>4650</v>
      </c>
      <c r="D739" s="2">
        <f>IFERROR(__xludf.DUMMYFUNCTION("""COMPUTED_VALUE"""),4575.0)</f>
        <v>4575</v>
      </c>
      <c r="E739" s="2">
        <f>IFERROR(__xludf.DUMMYFUNCTION("""COMPUTED_VALUE"""),4587.5)</f>
        <v>4587.5</v>
      </c>
      <c r="F739" s="2">
        <f>IFERROR(__xludf.DUMMYFUNCTION("""COMPUTED_VALUE"""),2.40592E7)</f>
        <v>24059200</v>
      </c>
      <c r="G739" s="2">
        <f t="shared" si="1"/>
        <v>75</v>
      </c>
    </row>
    <row r="740" ht="15.75" customHeight="1">
      <c r="A740" s="1">
        <f>IFERROR(__xludf.DUMMYFUNCTION("""COMPUTED_VALUE"""),44931.66666666667)</f>
        <v>44931.66667</v>
      </c>
      <c r="B740" s="2">
        <f>IFERROR(__xludf.DUMMYFUNCTION("""COMPUTED_VALUE"""),4575.0)</f>
        <v>4575</v>
      </c>
      <c r="C740" s="2">
        <f>IFERROR(__xludf.DUMMYFUNCTION("""COMPUTED_VALUE"""),4575.0)</f>
        <v>4575</v>
      </c>
      <c r="D740" s="2">
        <f>IFERROR(__xludf.DUMMYFUNCTION("""COMPUTED_VALUE"""),4412.5)</f>
        <v>4412.5</v>
      </c>
      <c r="E740" s="2">
        <f>IFERROR(__xludf.DUMMYFUNCTION("""COMPUTED_VALUE"""),4500.0)</f>
        <v>4500</v>
      </c>
      <c r="F740" s="2">
        <f>IFERROR(__xludf.DUMMYFUNCTION("""COMPUTED_VALUE"""),4.55675E7)</f>
        <v>45567500</v>
      </c>
      <c r="G740" s="2">
        <f t="shared" si="1"/>
        <v>175</v>
      </c>
    </row>
    <row r="741" ht="15.75" customHeight="1">
      <c r="A741" s="1">
        <f>IFERROR(__xludf.DUMMYFUNCTION("""COMPUTED_VALUE"""),44932.66666666667)</f>
        <v>44932.66667</v>
      </c>
      <c r="B741" s="2">
        <f>IFERROR(__xludf.DUMMYFUNCTION("""COMPUTED_VALUE"""),4487.5)</f>
        <v>4487.5</v>
      </c>
      <c r="C741" s="2">
        <f>IFERROR(__xludf.DUMMYFUNCTION("""COMPUTED_VALUE"""),4525.0)</f>
        <v>4525</v>
      </c>
      <c r="D741" s="2">
        <f>IFERROR(__xludf.DUMMYFUNCTION("""COMPUTED_VALUE"""),4437.5)</f>
        <v>4437.5</v>
      </c>
      <c r="E741" s="2">
        <f>IFERROR(__xludf.DUMMYFUNCTION("""COMPUTED_VALUE"""),4450.0)</f>
        <v>4450</v>
      </c>
      <c r="F741" s="2">
        <f>IFERROR(__xludf.DUMMYFUNCTION("""COMPUTED_VALUE"""),2.35375E7)</f>
        <v>23537500</v>
      </c>
      <c r="G741" s="2">
        <f t="shared" si="1"/>
        <v>87.5</v>
      </c>
    </row>
    <row r="742" ht="15.75" customHeight="1">
      <c r="A742" s="1">
        <f>IFERROR(__xludf.DUMMYFUNCTION("""COMPUTED_VALUE"""),44935.66666666667)</f>
        <v>44935.66667</v>
      </c>
      <c r="B742" s="2">
        <f>IFERROR(__xludf.DUMMYFUNCTION("""COMPUTED_VALUE"""),4475.0)</f>
        <v>4475</v>
      </c>
      <c r="C742" s="2">
        <f>IFERROR(__xludf.DUMMYFUNCTION("""COMPUTED_VALUE"""),4525.0)</f>
        <v>4525</v>
      </c>
      <c r="D742" s="2">
        <f>IFERROR(__xludf.DUMMYFUNCTION("""COMPUTED_VALUE"""),4437.5)</f>
        <v>4437.5</v>
      </c>
      <c r="E742" s="2">
        <f>IFERROR(__xludf.DUMMYFUNCTION("""COMPUTED_VALUE"""),4500.0)</f>
        <v>4500</v>
      </c>
      <c r="F742" s="2">
        <f>IFERROR(__xludf.DUMMYFUNCTION("""COMPUTED_VALUE"""),1.93572E7)</f>
        <v>19357200</v>
      </c>
      <c r="G742" s="2">
        <f t="shared" si="1"/>
        <v>87.5</v>
      </c>
    </row>
    <row r="743" ht="15.75" customHeight="1">
      <c r="A743" s="1">
        <f>IFERROR(__xludf.DUMMYFUNCTION("""COMPUTED_VALUE"""),44936.66666666667)</f>
        <v>44936.66667</v>
      </c>
      <c r="B743" s="2">
        <f>IFERROR(__xludf.DUMMYFUNCTION("""COMPUTED_VALUE"""),4500.0)</f>
        <v>4500</v>
      </c>
      <c r="C743" s="2">
        <f>IFERROR(__xludf.DUMMYFUNCTION("""COMPUTED_VALUE"""),4500.0)</f>
        <v>4500</v>
      </c>
      <c r="D743" s="2">
        <f>IFERROR(__xludf.DUMMYFUNCTION("""COMPUTED_VALUE"""),4325.0)</f>
        <v>4325</v>
      </c>
      <c r="E743" s="2">
        <f>IFERROR(__xludf.DUMMYFUNCTION("""COMPUTED_VALUE"""),4362.5)</f>
        <v>4362.5</v>
      </c>
      <c r="F743" s="2">
        <f>IFERROR(__xludf.DUMMYFUNCTION("""COMPUTED_VALUE"""),3.31691E7)</f>
        <v>33169100</v>
      </c>
      <c r="G743" s="2">
        <f t="shared" si="1"/>
        <v>175</v>
      </c>
    </row>
    <row r="744" ht="15.75" customHeight="1">
      <c r="A744" s="1">
        <f>IFERROR(__xludf.DUMMYFUNCTION("""COMPUTED_VALUE"""),44937.66666666667)</f>
        <v>44937.66667</v>
      </c>
      <c r="B744" s="2">
        <f>IFERROR(__xludf.DUMMYFUNCTION("""COMPUTED_VALUE"""),4362.5)</f>
        <v>4362.5</v>
      </c>
      <c r="C744" s="2">
        <f>IFERROR(__xludf.DUMMYFUNCTION("""COMPUTED_VALUE"""),4362.5)</f>
        <v>4362.5</v>
      </c>
      <c r="D744" s="2">
        <f>IFERROR(__xludf.DUMMYFUNCTION("""COMPUTED_VALUE"""),4212.5)</f>
        <v>4212.5</v>
      </c>
      <c r="E744" s="2">
        <f>IFERROR(__xludf.DUMMYFUNCTION("""COMPUTED_VALUE"""),4250.0)</f>
        <v>4250</v>
      </c>
      <c r="F744" s="2">
        <f>IFERROR(__xludf.DUMMYFUNCTION("""COMPUTED_VALUE"""),4.89926E7)</f>
        <v>48992600</v>
      </c>
      <c r="G744" s="2">
        <f t="shared" si="1"/>
        <v>150</v>
      </c>
    </row>
    <row r="745" ht="15.75" customHeight="1">
      <c r="A745" s="1">
        <f>IFERROR(__xludf.DUMMYFUNCTION("""COMPUTED_VALUE"""),44938.66666666667)</f>
        <v>44938.66667</v>
      </c>
      <c r="B745" s="2">
        <f>IFERROR(__xludf.DUMMYFUNCTION("""COMPUTED_VALUE"""),4337.5)</f>
        <v>4337.5</v>
      </c>
      <c r="C745" s="2">
        <f>IFERROR(__xludf.DUMMYFUNCTION("""COMPUTED_VALUE"""),4375.0)</f>
        <v>4375</v>
      </c>
      <c r="D745" s="2">
        <f>IFERROR(__xludf.DUMMYFUNCTION("""COMPUTED_VALUE"""),4250.0)</f>
        <v>4250</v>
      </c>
      <c r="E745" s="2">
        <f>IFERROR(__xludf.DUMMYFUNCTION("""COMPUTED_VALUE"""),4300.0)</f>
        <v>4300</v>
      </c>
      <c r="F745" s="2">
        <f>IFERROR(__xludf.DUMMYFUNCTION("""COMPUTED_VALUE"""),3.73568E7)</f>
        <v>37356800</v>
      </c>
      <c r="G745" s="2">
        <f t="shared" si="1"/>
        <v>125</v>
      </c>
    </row>
    <row r="746" ht="15.75" customHeight="1">
      <c r="A746" s="1">
        <f>IFERROR(__xludf.DUMMYFUNCTION("""COMPUTED_VALUE"""),44939.66666666667)</f>
        <v>44939.66667</v>
      </c>
      <c r="B746" s="2">
        <f>IFERROR(__xludf.DUMMYFUNCTION("""COMPUTED_VALUE"""),4337.5)</f>
        <v>4337.5</v>
      </c>
      <c r="C746" s="2">
        <f>IFERROR(__xludf.DUMMYFUNCTION("""COMPUTED_VALUE"""),4337.5)</f>
        <v>4337.5</v>
      </c>
      <c r="D746" s="2">
        <f>IFERROR(__xludf.DUMMYFUNCTION("""COMPUTED_VALUE"""),4287.5)</f>
        <v>4287.5</v>
      </c>
      <c r="E746" s="2">
        <f>IFERROR(__xludf.DUMMYFUNCTION("""COMPUTED_VALUE"""),4337.5)</f>
        <v>4337.5</v>
      </c>
      <c r="F746" s="2">
        <f>IFERROR(__xludf.DUMMYFUNCTION("""COMPUTED_VALUE"""),1.5746E7)</f>
        <v>15746000</v>
      </c>
      <c r="G746" s="2">
        <f t="shared" si="1"/>
        <v>50</v>
      </c>
    </row>
    <row r="747" ht="15.75" customHeight="1">
      <c r="A747" s="1">
        <f>IFERROR(__xludf.DUMMYFUNCTION("""COMPUTED_VALUE"""),44942.66666666667)</f>
        <v>44942.66667</v>
      </c>
      <c r="B747" s="2">
        <f>IFERROR(__xludf.DUMMYFUNCTION("""COMPUTED_VALUE"""),4350.0)</f>
        <v>4350</v>
      </c>
      <c r="C747" s="2">
        <f>IFERROR(__xludf.DUMMYFUNCTION("""COMPUTED_VALUE"""),4400.0)</f>
        <v>4400</v>
      </c>
      <c r="D747" s="2">
        <f>IFERROR(__xludf.DUMMYFUNCTION("""COMPUTED_VALUE"""),4337.5)</f>
        <v>4337.5</v>
      </c>
      <c r="E747" s="2">
        <f>IFERROR(__xludf.DUMMYFUNCTION("""COMPUTED_VALUE"""),4387.5)</f>
        <v>4387.5</v>
      </c>
      <c r="F747" s="2">
        <f>IFERROR(__xludf.DUMMYFUNCTION("""COMPUTED_VALUE"""),1.39652E7)</f>
        <v>13965200</v>
      </c>
      <c r="G747" s="2">
        <f t="shared" si="1"/>
        <v>62.5</v>
      </c>
    </row>
    <row r="748" ht="15.75" customHeight="1">
      <c r="A748" s="1">
        <f>IFERROR(__xludf.DUMMYFUNCTION("""COMPUTED_VALUE"""),44943.66666666667)</f>
        <v>44943.66667</v>
      </c>
      <c r="B748" s="2">
        <f>IFERROR(__xludf.DUMMYFUNCTION("""COMPUTED_VALUE"""),4387.5)</f>
        <v>4387.5</v>
      </c>
      <c r="C748" s="2">
        <f>IFERROR(__xludf.DUMMYFUNCTION("""COMPUTED_VALUE"""),4487.5)</f>
        <v>4487.5</v>
      </c>
      <c r="D748" s="2">
        <f>IFERROR(__xludf.DUMMYFUNCTION("""COMPUTED_VALUE"""),4375.0)</f>
        <v>4375</v>
      </c>
      <c r="E748" s="2">
        <f>IFERROR(__xludf.DUMMYFUNCTION("""COMPUTED_VALUE"""),4462.5)</f>
        <v>4462.5</v>
      </c>
      <c r="F748" s="2">
        <f>IFERROR(__xludf.DUMMYFUNCTION("""COMPUTED_VALUE"""),2.9422E7)</f>
        <v>29422000</v>
      </c>
      <c r="G748" s="2">
        <f t="shared" si="1"/>
        <v>112.5</v>
      </c>
    </row>
    <row r="749" ht="15.75" customHeight="1">
      <c r="A749" s="1">
        <f>IFERROR(__xludf.DUMMYFUNCTION("""COMPUTED_VALUE"""),44944.66666666667)</f>
        <v>44944.66667</v>
      </c>
      <c r="B749" s="2">
        <f>IFERROR(__xludf.DUMMYFUNCTION("""COMPUTED_VALUE"""),4475.0)</f>
        <v>4475</v>
      </c>
      <c r="C749" s="2">
        <f>IFERROR(__xludf.DUMMYFUNCTION("""COMPUTED_VALUE"""),4512.5)</f>
        <v>4512.5</v>
      </c>
      <c r="D749" s="2">
        <f>IFERROR(__xludf.DUMMYFUNCTION("""COMPUTED_VALUE"""),4400.0)</f>
        <v>4400</v>
      </c>
      <c r="E749" s="2">
        <f>IFERROR(__xludf.DUMMYFUNCTION("""COMPUTED_VALUE"""),4437.5)</f>
        <v>4437.5</v>
      </c>
      <c r="F749" s="2">
        <f>IFERROR(__xludf.DUMMYFUNCTION("""COMPUTED_VALUE"""),2.10514E7)</f>
        <v>21051400</v>
      </c>
      <c r="G749" s="2">
        <f t="shared" si="1"/>
        <v>112.5</v>
      </c>
    </row>
    <row r="750" ht="15.75" customHeight="1">
      <c r="A750" s="1">
        <f>IFERROR(__xludf.DUMMYFUNCTION("""COMPUTED_VALUE"""),44945.66666666667)</f>
        <v>44945.66667</v>
      </c>
      <c r="B750" s="2">
        <f>IFERROR(__xludf.DUMMYFUNCTION("""COMPUTED_VALUE"""),4450.0)</f>
        <v>4450</v>
      </c>
      <c r="C750" s="2">
        <f>IFERROR(__xludf.DUMMYFUNCTION("""COMPUTED_VALUE"""),4487.5)</f>
        <v>4487.5</v>
      </c>
      <c r="D750" s="2">
        <f>IFERROR(__xludf.DUMMYFUNCTION("""COMPUTED_VALUE"""),4412.5)</f>
        <v>4412.5</v>
      </c>
      <c r="E750" s="2">
        <f>IFERROR(__xludf.DUMMYFUNCTION("""COMPUTED_VALUE"""),4475.0)</f>
        <v>4475</v>
      </c>
      <c r="F750" s="2">
        <f>IFERROR(__xludf.DUMMYFUNCTION("""COMPUTED_VALUE"""),1.72511E7)</f>
        <v>17251100</v>
      </c>
      <c r="G750" s="2">
        <f t="shared" si="1"/>
        <v>75</v>
      </c>
    </row>
    <row r="751" ht="15.75" customHeight="1">
      <c r="A751" s="1">
        <f>IFERROR(__xludf.DUMMYFUNCTION("""COMPUTED_VALUE"""),44946.66666666667)</f>
        <v>44946.66667</v>
      </c>
      <c r="B751" s="2">
        <f>IFERROR(__xludf.DUMMYFUNCTION("""COMPUTED_VALUE"""),4500.0)</f>
        <v>4500</v>
      </c>
      <c r="C751" s="2">
        <f>IFERROR(__xludf.DUMMYFUNCTION("""COMPUTED_VALUE"""),4550.0)</f>
        <v>4550</v>
      </c>
      <c r="D751" s="2">
        <f>IFERROR(__xludf.DUMMYFUNCTION("""COMPUTED_VALUE"""),4450.0)</f>
        <v>4450</v>
      </c>
      <c r="E751" s="2">
        <f>IFERROR(__xludf.DUMMYFUNCTION("""COMPUTED_VALUE"""),4512.5)</f>
        <v>4512.5</v>
      </c>
      <c r="F751" s="2">
        <f>IFERROR(__xludf.DUMMYFUNCTION("""COMPUTED_VALUE"""),1.84209E7)</f>
        <v>18420900</v>
      </c>
      <c r="G751" s="2">
        <f t="shared" si="1"/>
        <v>100</v>
      </c>
    </row>
    <row r="752" ht="15.75" customHeight="1">
      <c r="A752" s="1">
        <f>IFERROR(__xludf.DUMMYFUNCTION("""COMPUTED_VALUE"""),44950.66666666667)</f>
        <v>44950.66667</v>
      </c>
      <c r="B752" s="2">
        <f>IFERROR(__xludf.DUMMYFUNCTION("""COMPUTED_VALUE"""),4537.5)</f>
        <v>4537.5</v>
      </c>
      <c r="C752" s="2">
        <f>IFERROR(__xludf.DUMMYFUNCTION("""COMPUTED_VALUE"""),4575.0)</f>
        <v>4575</v>
      </c>
      <c r="D752" s="2">
        <f>IFERROR(__xludf.DUMMYFUNCTION("""COMPUTED_VALUE"""),4487.5)</f>
        <v>4487.5</v>
      </c>
      <c r="E752" s="2">
        <f>IFERROR(__xludf.DUMMYFUNCTION("""COMPUTED_VALUE"""),4525.0)</f>
        <v>4525</v>
      </c>
      <c r="F752" s="2">
        <f>IFERROR(__xludf.DUMMYFUNCTION("""COMPUTED_VALUE"""),1.4248E7)</f>
        <v>14248000</v>
      </c>
      <c r="G752" s="2">
        <f t="shared" si="1"/>
        <v>87.5</v>
      </c>
    </row>
    <row r="753" ht="15.75" customHeight="1">
      <c r="A753" s="1">
        <f>IFERROR(__xludf.DUMMYFUNCTION("""COMPUTED_VALUE"""),44951.66666666667)</f>
        <v>44951.66667</v>
      </c>
      <c r="B753" s="2">
        <f>IFERROR(__xludf.DUMMYFUNCTION("""COMPUTED_VALUE"""),4600.0)</f>
        <v>4600</v>
      </c>
      <c r="C753" s="2">
        <f>IFERROR(__xludf.DUMMYFUNCTION("""COMPUTED_VALUE"""),4625.0)</f>
        <v>4625</v>
      </c>
      <c r="D753" s="2">
        <f>IFERROR(__xludf.DUMMYFUNCTION("""COMPUTED_VALUE"""),4525.0)</f>
        <v>4525</v>
      </c>
      <c r="E753" s="2">
        <f>IFERROR(__xludf.DUMMYFUNCTION("""COMPUTED_VALUE"""),4537.5)</f>
        <v>4537.5</v>
      </c>
      <c r="F753" s="2">
        <f>IFERROR(__xludf.DUMMYFUNCTION("""COMPUTED_VALUE"""),3.64811E7)</f>
        <v>36481100</v>
      </c>
      <c r="G753" s="2">
        <f t="shared" si="1"/>
        <v>100</v>
      </c>
    </row>
    <row r="754" ht="15.75" customHeight="1">
      <c r="A754" s="1">
        <f>IFERROR(__xludf.DUMMYFUNCTION("""COMPUTED_VALUE"""),44952.66666666667)</f>
        <v>44952.66667</v>
      </c>
      <c r="B754" s="2">
        <f>IFERROR(__xludf.DUMMYFUNCTION("""COMPUTED_VALUE"""),4562.5)</f>
        <v>4562.5</v>
      </c>
      <c r="C754" s="2">
        <f>IFERROR(__xludf.DUMMYFUNCTION("""COMPUTED_VALUE"""),4762.5)</f>
        <v>4762.5</v>
      </c>
      <c r="D754" s="2">
        <f>IFERROR(__xludf.DUMMYFUNCTION("""COMPUTED_VALUE"""),4537.5)</f>
        <v>4537.5</v>
      </c>
      <c r="E754" s="2">
        <f>IFERROR(__xludf.DUMMYFUNCTION("""COMPUTED_VALUE"""),4737.5)</f>
        <v>4737.5</v>
      </c>
      <c r="F754" s="2">
        <f>IFERROR(__xludf.DUMMYFUNCTION("""COMPUTED_VALUE"""),3.85659E7)</f>
        <v>38565900</v>
      </c>
      <c r="G754" s="2">
        <f t="shared" si="1"/>
        <v>225</v>
      </c>
    </row>
    <row r="755" ht="15.75" customHeight="1">
      <c r="A755" s="1">
        <f>IFERROR(__xludf.DUMMYFUNCTION("""COMPUTED_VALUE"""),44953.66666666667)</f>
        <v>44953.66667</v>
      </c>
      <c r="B755" s="2">
        <f>IFERROR(__xludf.DUMMYFUNCTION("""COMPUTED_VALUE"""),4800.0)</f>
        <v>4800</v>
      </c>
      <c r="C755" s="2">
        <f>IFERROR(__xludf.DUMMYFUNCTION("""COMPUTED_VALUE"""),4800.0)</f>
        <v>4800</v>
      </c>
      <c r="D755" s="2">
        <f>IFERROR(__xludf.DUMMYFUNCTION("""COMPUTED_VALUE"""),4737.5)</f>
        <v>4737.5</v>
      </c>
      <c r="E755" s="2">
        <f>IFERROR(__xludf.DUMMYFUNCTION("""COMPUTED_VALUE"""),4775.0)</f>
        <v>4775</v>
      </c>
      <c r="F755" s="2">
        <f>IFERROR(__xludf.DUMMYFUNCTION("""COMPUTED_VALUE"""),4.48015E7)</f>
        <v>44801500</v>
      </c>
      <c r="G755" s="2">
        <f t="shared" si="1"/>
        <v>62.5</v>
      </c>
    </row>
    <row r="756" ht="15.75" customHeight="1">
      <c r="A756" s="1">
        <f>IFERROR(__xludf.DUMMYFUNCTION("""COMPUTED_VALUE"""),44956.66666666667)</f>
        <v>44956.66667</v>
      </c>
      <c r="B756" s="2">
        <f>IFERROR(__xludf.DUMMYFUNCTION("""COMPUTED_VALUE"""),4775.0)</f>
        <v>4775</v>
      </c>
      <c r="C756" s="2">
        <f>IFERROR(__xludf.DUMMYFUNCTION("""COMPUTED_VALUE"""),4775.0)</f>
        <v>4775</v>
      </c>
      <c r="D756" s="2">
        <f>IFERROR(__xludf.DUMMYFUNCTION("""COMPUTED_VALUE"""),4625.0)</f>
        <v>4625</v>
      </c>
      <c r="E756" s="2">
        <f>IFERROR(__xludf.DUMMYFUNCTION("""COMPUTED_VALUE"""),4650.0)</f>
        <v>4650</v>
      </c>
      <c r="F756" s="2">
        <f>IFERROR(__xludf.DUMMYFUNCTION("""COMPUTED_VALUE"""),3.15108E7)</f>
        <v>31510800</v>
      </c>
      <c r="G756" s="2">
        <f t="shared" si="1"/>
        <v>150</v>
      </c>
    </row>
    <row r="757" ht="15.75" customHeight="1">
      <c r="A757" s="1">
        <f>IFERROR(__xludf.DUMMYFUNCTION("""COMPUTED_VALUE"""),44957.66666666667)</f>
        <v>44957.66667</v>
      </c>
      <c r="B757" s="2">
        <f>IFERROR(__xludf.DUMMYFUNCTION("""COMPUTED_VALUE"""),4600.0)</f>
        <v>4600</v>
      </c>
      <c r="C757" s="2">
        <f>IFERROR(__xludf.DUMMYFUNCTION("""COMPUTED_VALUE"""),4650.0)</f>
        <v>4650</v>
      </c>
      <c r="D757" s="2">
        <f>IFERROR(__xludf.DUMMYFUNCTION("""COMPUTED_VALUE"""),4537.5)</f>
        <v>4537.5</v>
      </c>
      <c r="E757" s="2">
        <f>IFERROR(__xludf.DUMMYFUNCTION("""COMPUTED_VALUE"""),4575.0)</f>
        <v>4575</v>
      </c>
      <c r="F757" s="2">
        <f>IFERROR(__xludf.DUMMYFUNCTION("""COMPUTED_VALUE"""),6.96742E7)</f>
        <v>69674200</v>
      </c>
      <c r="G757" s="2">
        <f t="shared" si="1"/>
        <v>112.5</v>
      </c>
    </row>
    <row r="758" ht="15.75" customHeight="1">
      <c r="A758" s="1">
        <f>IFERROR(__xludf.DUMMYFUNCTION("""COMPUTED_VALUE"""),44958.66666666667)</f>
        <v>44958.66667</v>
      </c>
      <c r="B758" s="2">
        <f>IFERROR(__xludf.DUMMYFUNCTION("""COMPUTED_VALUE"""),4600.0)</f>
        <v>4600</v>
      </c>
      <c r="C758" s="2">
        <f>IFERROR(__xludf.DUMMYFUNCTION("""COMPUTED_VALUE"""),4625.0)</f>
        <v>4625</v>
      </c>
      <c r="D758" s="2">
        <f>IFERROR(__xludf.DUMMYFUNCTION("""COMPUTED_VALUE"""),4537.5)</f>
        <v>4537.5</v>
      </c>
      <c r="E758" s="2">
        <f>IFERROR(__xludf.DUMMYFUNCTION("""COMPUTED_VALUE"""),4562.5)</f>
        <v>4562.5</v>
      </c>
      <c r="F758" s="2">
        <f>IFERROR(__xludf.DUMMYFUNCTION("""COMPUTED_VALUE"""),2.92695E7)</f>
        <v>29269500</v>
      </c>
      <c r="G758" s="2">
        <f t="shared" si="1"/>
        <v>87.5</v>
      </c>
    </row>
    <row r="759" ht="15.75" customHeight="1">
      <c r="A759" s="1">
        <f>IFERROR(__xludf.DUMMYFUNCTION("""COMPUTED_VALUE"""),44959.66666666667)</f>
        <v>44959.66667</v>
      </c>
      <c r="B759" s="2">
        <f>IFERROR(__xludf.DUMMYFUNCTION("""COMPUTED_VALUE"""),4587.5)</f>
        <v>4587.5</v>
      </c>
      <c r="C759" s="2">
        <f>IFERROR(__xludf.DUMMYFUNCTION("""COMPUTED_VALUE"""),4600.0)</f>
        <v>4600</v>
      </c>
      <c r="D759" s="2">
        <f>IFERROR(__xludf.DUMMYFUNCTION("""COMPUTED_VALUE"""),4525.0)</f>
        <v>4525</v>
      </c>
      <c r="E759" s="2">
        <f>IFERROR(__xludf.DUMMYFUNCTION("""COMPUTED_VALUE"""),4550.0)</f>
        <v>4550</v>
      </c>
      <c r="F759" s="2">
        <f>IFERROR(__xludf.DUMMYFUNCTION("""COMPUTED_VALUE"""),2.35503E7)</f>
        <v>23550300</v>
      </c>
      <c r="G759" s="2">
        <f t="shared" si="1"/>
        <v>75</v>
      </c>
    </row>
    <row r="760" ht="15.75" customHeight="1">
      <c r="A760" s="1">
        <f>IFERROR(__xludf.DUMMYFUNCTION("""COMPUTED_VALUE"""),44960.66666666667)</f>
        <v>44960.66667</v>
      </c>
      <c r="B760" s="2">
        <f>IFERROR(__xludf.DUMMYFUNCTION("""COMPUTED_VALUE"""),4600.0)</f>
        <v>4600</v>
      </c>
      <c r="C760" s="2">
        <f>IFERROR(__xludf.DUMMYFUNCTION("""COMPUTED_VALUE"""),4662.5)</f>
        <v>4662.5</v>
      </c>
      <c r="D760" s="2">
        <f>IFERROR(__xludf.DUMMYFUNCTION("""COMPUTED_VALUE"""),4575.0)</f>
        <v>4575</v>
      </c>
      <c r="E760" s="2">
        <f>IFERROR(__xludf.DUMMYFUNCTION("""COMPUTED_VALUE"""),4650.0)</f>
        <v>4650</v>
      </c>
      <c r="F760" s="2">
        <f>IFERROR(__xludf.DUMMYFUNCTION("""COMPUTED_VALUE"""),2.1387E7)</f>
        <v>21387000</v>
      </c>
      <c r="G760" s="2">
        <f t="shared" si="1"/>
        <v>112.5</v>
      </c>
    </row>
    <row r="761" ht="15.75" customHeight="1">
      <c r="A761" s="1">
        <f>IFERROR(__xludf.DUMMYFUNCTION("""COMPUTED_VALUE"""),44963.66666666667)</f>
        <v>44963.66667</v>
      </c>
      <c r="B761" s="2">
        <f>IFERROR(__xludf.DUMMYFUNCTION("""COMPUTED_VALUE"""),4650.0)</f>
        <v>4650</v>
      </c>
      <c r="C761" s="2">
        <f>IFERROR(__xludf.DUMMYFUNCTION("""COMPUTED_VALUE"""),4675.0)</f>
        <v>4675</v>
      </c>
      <c r="D761" s="2">
        <f>IFERROR(__xludf.DUMMYFUNCTION("""COMPUTED_VALUE"""),4575.0)</f>
        <v>4575</v>
      </c>
      <c r="E761" s="2">
        <f>IFERROR(__xludf.DUMMYFUNCTION("""COMPUTED_VALUE"""),4675.0)</f>
        <v>4675</v>
      </c>
      <c r="F761" s="2">
        <f>IFERROR(__xludf.DUMMYFUNCTION("""COMPUTED_VALUE"""),1.92521E7)</f>
        <v>19252100</v>
      </c>
      <c r="G761" s="2">
        <f t="shared" si="1"/>
        <v>100</v>
      </c>
    </row>
    <row r="762" ht="15.75" customHeight="1">
      <c r="A762" s="1">
        <f>IFERROR(__xludf.DUMMYFUNCTION("""COMPUTED_VALUE"""),44964.66666666667)</f>
        <v>44964.66667</v>
      </c>
      <c r="B762" s="2">
        <f>IFERROR(__xludf.DUMMYFUNCTION("""COMPUTED_VALUE"""),4675.0)</f>
        <v>4675</v>
      </c>
      <c r="C762" s="2">
        <f>IFERROR(__xludf.DUMMYFUNCTION("""COMPUTED_VALUE"""),4700.0)</f>
        <v>4700</v>
      </c>
      <c r="D762" s="2">
        <f>IFERROR(__xludf.DUMMYFUNCTION("""COMPUTED_VALUE"""),4625.0)</f>
        <v>4625</v>
      </c>
      <c r="E762" s="2">
        <f>IFERROR(__xludf.DUMMYFUNCTION("""COMPUTED_VALUE"""),4687.5)</f>
        <v>4687.5</v>
      </c>
      <c r="F762" s="2">
        <f>IFERROR(__xludf.DUMMYFUNCTION("""COMPUTED_VALUE"""),1.94436E7)</f>
        <v>19443600</v>
      </c>
      <c r="G762" s="2">
        <f t="shared" si="1"/>
        <v>75</v>
      </c>
    </row>
    <row r="763" ht="15.75" customHeight="1">
      <c r="A763" s="1">
        <f>IFERROR(__xludf.DUMMYFUNCTION("""COMPUTED_VALUE"""),44965.66666666667)</f>
        <v>44965.66667</v>
      </c>
      <c r="B763" s="2">
        <f>IFERROR(__xludf.DUMMYFUNCTION("""COMPUTED_VALUE"""),4687.5)</f>
        <v>4687.5</v>
      </c>
      <c r="C763" s="2">
        <f>IFERROR(__xludf.DUMMYFUNCTION("""COMPUTED_VALUE"""),4750.0)</f>
        <v>4750</v>
      </c>
      <c r="D763" s="2">
        <f>IFERROR(__xludf.DUMMYFUNCTION("""COMPUTED_VALUE"""),4687.5)</f>
        <v>4687.5</v>
      </c>
      <c r="E763" s="2">
        <f>IFERROR(__xludf.DUMMYFUNCTION("""COMPUTED_VALUE"""),4737.5)</f>
        <v>4737.5</v>
      </c>
      <c r="F763" s="2">
        <f>IFERROR(__xludf.DUMMYFUNCTION("""COMPUTED_VALUE"""),1.70274E7)</f>
        <v>17027400</v>
      </c>
      <c r="G763" s="2">
        <f t="shared" si="1"/>
        <v>62.5</v>
      </c>
    </row>
    <row r="764" ht="15.75" customHeight="1">
      <c r="A764" s="1">
        <f>IFERROR(__xludf.DUMMYFUNCTION("""COMPUTED_VALUE"""),44966.66666666667)</f>
        <v>44966.66667</v>
      </c>
      <c r="B764" s="2">
        <f>IFERROR(__xludf.DUMMYFUNCTION("""COMPUTED_VALUE"""),4725.0)</f>
        <v>4725</v>
      </c>
      <c r="C764" s="2">
        <f>IFERROR(__xludf.DUMMYFUNCTION("""COMPUTED_VALUE"""),4775.0)</f>
        <v>4775</v>
      </c>
      <c r="D764" s="2">
        <f>IFERROR(__xludf.DUMMYFUNCTION("""COMPUTED_VALUE"""),4712.5)</f>
        <v>4712.5</v>
      </c>
      <c r="E764" s="2">
        <f>IFERROR(__xludf.DUMMYFUNCTION("""COMPUTED_VALUE"""),4775.0)</f>
        <v>4775</v>
      </c>
      <c r="F764" s="2">
        <f>IFERROR(__xludf.DUMMYFUNCTION("""COMPUTED_VALUE"""),2.84333E7)</f>
        <v>28433300</v>
      </c>
      <c r="G764" s="2">
        <f t="shared" si="1"/>
        <v>62.5</v>
      </c>
    </row>
    <row r="765" ht="15.75" customHeight="1">
      <c r="A765" s="1">
        <f>IFERROR(__xludf.DUMMYFUNCTION("""COMPUTED_VALUE"""),44967.66666666667)</f>
        <v>44967.66667</v>
      </c>
      <c r="B765" s="2">
        <f>IFERROR(__xludf.DUMMYFUNCTION("""COMPUTED_VALUE"""),4762.5)</f>
        <v>4762.5</v>
      </c>
      <c r="C765" s="2">
        <f>IFERROR(__xludf.DUMMYFUNCTION("""COMPUTED_VALUE"""),4762.5)</f>
        <v>4762.5</v>
      </c>
      <c r="D765" s="2">
        <f>IFERROR(__xludf.DUMMYFUNCTION("""COMPUTED_VALUE"""),4712.5)</f>
        <v>4712.5</v>
      </c>
      <c r="E765" s="2">
        <f>IFERROR(__xludf.DUMMYFUNCTION("""COMPUTED_VALUE"""),4762.5)</f>
        <v>4762.5</v>
      </c>
      <c r="F765" s="2">
        <f>IFERROR(__xludf.DUMMYFUNCTION("""COMPUTED_VALUE"""),1.24897E7)</f>
        <v>12489700</v>
      </c>
      <c r="G765" s="2">
        <f t="shared" si="1"/>
        <v>62.5</v>
      </c>
    </row>
    <row r="766" ht="15.75" customHeight="1">
      <c r="A766" s="1">
        <f>IFERROR(__xludf.DUMMYFUNCTION("""COMPUTED_VALUE"""),44970.66666666667)</f>
        <v>44970.66667</v>
      </c>
      <c r="B766" s="2">
        <f>IFERROR(__xludf.DUMMYFUNCTION("""COMPUTED_VALUE"""),4787.5)</f>
        <v>4787.5</v>
      </c>
      <c r="C766" s="2">
        <f>IFERROR(__xludf.DUMMYFUNCTION("""COMPUTED_VALUE"""),4787.5)</f>
        <v>4787.5</v>
      </c>
      <c r="D766" s="2">
        <f>IFERROR(__xludf.DUMMYFUNCTION("""COMPUTED_VALUE"""),4725.0)</f>
        <v>4725</v>
      </c>
      <c r="E766" s="2">
        <f>IFERROR(__xludf.DUMMYFUNCTION("""COMPUTED_VALUE"""),4750.0)</f>
        <v>4750</v>
      </c>
      <c r="F766" s="2">
        <f>IFERROR(__xludf.DUMMYFUNCTION("""COMPUTED_VALUE"""),1.5174E7)</f>
        <v>15174000</v>
      </c>
      <c r="G766" s="2">
        <f t="shared" si="1"/>
        <v>62.5</v>
      </c>
    </row>
    <row r="767" ht="15.75" customHeight="1">
      <c r="A767" s="1">
        <f>IFERROR(__xludf.DUMMYFUNCTION("""COMPUTED_VALUE"""),44971.66666666667)</f>
        <v>44971.66667</v>
      </c>
      <c r="B767" s="2">
        <f>IFERROR(__xludf.DUMMYFUNCTION("""COMPUTED_VALUE"""),4750.0)</f>
        <v>4750</v>
      </c>
      <c r="C767" s="2">
        <f>IFERROR(__xludf.DUMMYFUNCTION("""COMPUTED_VALUE"""),4775.0)</f>
        <v>4775</v>
      </c>
      <c r="D767" s="2">
        <f>IFERROR(__xludf.DUMMYFUNCTION("""COMPUTED_VALUE"""),4700.0)</f>
        <v>4700</v>
      </c>
      <c r="E767" s="2">
        <f>IFERROR(__xludf.DUMMYFUNCTION("""COMPUTED_VALUE"""),4725.0)</f>
        <v>4725</v>
      </c>
      <c r="F767" s="2">
        <f>IFERROR(__xludf.DUMMYFUNCTION("""COMPUTED_VALUE"""),2.44013E7)</f>
        <v>24401300</v>
      </c>
      <c r="G767" s="2">
        <f t="shared" si="1"/>
        <v>75</v>
      </c>
    </row>
    <row r="768" ht="15.75" customHeight="1">
      <c r="A768" s="1">
        <f>IFERROR(__xludf.DUMMYFUNCTION("""COMPUTED_VALUE"""),44972.66666666667)</f>
        <v>44972.66667</v>
      </c>
      <c r="B768" s="2">
        <f>IFERROR(__xludf.DUMMYFUNCTION("""COMPUTED_VALUE"""),4725.0)</f>
        <v>4725</v>
      </c>
      <c r="C768" s="2">
        <f>IFERROR(__xludf.DUMMYFUNCTION("""COMPUTED_VALUE"""),4737.5)</f>
        <v>4737.5</v>
      </c>
      <c r="D768" s="2">
        <f>IFERROR(__xludf.DUMMYFUNCTION("""COMPUTED_VALUE"""),4637.5)</f>
        <v>4637.5</v>
      </c>
      <c r="E768" s="2">
        <f>IFERROR(__xludf.DUMMYFUNCTION("""COMPUTED_VALUE"""),4712.5)</f>
        <v>4712.5</v>
      </c>
      <c r="F768" s="2">
        <f>IFERROR(__xludf.DUMMYFUNCTION("""COMPUTED_VALUE"""),1.91399E7)</f>
        <v>19139900</v>
      </c>
      <c r="G768" s="2">
        <f t="shared" si="1"/>
        <v>100</v>
      </c>
    </row>
    <row r="769" ht="15.75" customHeight="1">
      <c r="A769" s="1">
        <f>IFERROR(__xludf.DUMMYFUNCTION("""COMPUTED_VALUE"""),44973.66666666667)</f>
        <v>44973.66667</v>
      </c>
      <c r="B769" s="2">
        <f>IFERROR(__xludf.DUMMYFUNCTION("""COMPUTED_VALUE"""),4725.0)</f>
        <v>4725</v>
      </c>
      <c r="C769" s="2">
        <f>IFERROR(__xludf.DUMMYFUNCTION("""COMPUTED_VALUE"""),4725.0)</f>
        <v>4725</v>
      </c>
      <c r="D769" s="2">
        <f>IFERROR(__xludf.DUMMYFUNCTION("""COMPUTED_VALUE"""),4650.0)</f>
        <v>4650</v>
      </c>
      <c r="E769" s="2">
        <f>IFERROR(__xludf.DUMMYFUNCTION("""COMPUTED_VALUE"""),4675.0)</f>
        <v>4675</v>
      </c>
      <c r="F769" s="2">
        <f>IFERROR(__xludf.DUMMYFUNCTION("""COMPUTED_VALUE"""),1.9193E7)</f>
        <v>19193000</v>
      </c>
      <c r="G769" s="2">
        <f t="shared" si="1"/>
        <v>75</v>
      </c>
    </row>
    <row r="770" ht="15.75" customHeight="1">
      <c r="A770" s="1">
        <f>IFERROR(__xludf.DUMMYFUNCTION("""COMPUTED_VALUE"""),44974.66666666667)</f>
        <v>44974.66667</v>
      </c>
      <c r="B770" s="2">
        <f>IFERROR(__xludf.DUMMYFUNCTION("""COMPUTED_VALUE"""),4675.0)</f>
        <v>4675</v>
      </c>
      <c r="C770" s="2">
        <f>IFERROR(__xludf.DUMMYFUNCTION("""COMPUTED_VALUE"""),4687.5)</f>
        <v>4687.5</v>
      </c>
      <c r="D770" s="2">
        <f>IFERROR(__xludf.DUMMYFUNCTION("""COMPUTED_VALUE"""),4625.0)</f>
        <v>4625</v>
      </c>
      <c r="E770" s="2">
        <f>IFERROR(__xludf.DUMMYFUNCTION("""COMPUTED_VALUE"""),4637.5)</f>
        <v>4637.5</v>
      </c>
      <c r="F770" s="2">
        <f>IFERROR(__xludf.DUMMYFUNCTION("""COMPUTED_VALUE"""),1.36561E7)</f>
        <v>13656100</v>
      </c>
      <c r="G770" s="2">
        <f t="shared" si="1"/>
        <v>62.5</v>
      </c>
    </row>
    <row r="771" ht="15.75" customHeight="1">
      <c r="A771" s="1">
        <f>IFERROR(__xludf.DUMMYFUNCTION("""COMPUTED_VALUE"""),44977.66666666667)</f>
        <v>44977.66667</v>
      </c>
      <c r="B771" s="2">
        <f>IFERROR(__xludf.DUMMYFUNCTION("""COMPUTED_VALUE"""),4637.5)</f>
        <v>4637.5</v>
      </c>
      <c r="C771" s="2">
        <f>IFERROR(__xludf.DUMMYFUNCTION("""COMPUTED_VALUE"""),4662.5)</f>
        <v>4662.5</v>
      </c>
      <c r="D771" s="2">
        <f>IFERROR(__xludf.DUMMYFUNCTION("""COMPUTED_VALUE"""),4562.5)</f>
        <v>4562.5</v>
      </c>
      <c r="E771" s="2">
        <f>IFERROR(__xludf.DUMMYFUNCTION("""COMPUTED_VALUE"""),4575.0)</f>
        <v>4575</v>
      </c>
      <c r="F771" s="2">
        <f>IFERROR(__xludf.DUMMYFUNCTION("""COMPUTED_VALUE"""),3.24883E7)</f>
        <v>32488300</v>
      </c>
      <c r="G771" s="2">
        <f t="shared" si="1"/>
        <v>100</v>
      </c>
    </row>
    <row r="772" ht="15.75" customHeight="1">
      <c r="A772" s="1">
        <f>IFERROR(__xludf.DUMMYFUNCTION("""COMPUTED_VALUE"""),44978.66666666667)</f>
        <v>44978.66667</v>
      </c>
      <c r="B772" s="2">
        <f>IFERROR(__xludf.DUMMYFUNCTION("""COMPUTED_VALUE"""),4575.0)</f>
        <v>4575</v>
      </c>
      <c r="C772" s="2">
        <f>IFERROR(__xludf.DUMMYFUNCTION("""COMPUTED_VALUE"""),4600.0)</f>
        <v>4600</v>
      </c>
      <c r="D772" s="2">
        <f>IFERROR(__xludf.DUMMYFUNCTION("""COMPUTED_VALUE"""),4525.0)</f>
        <v>4525</v>
      </c>
      <c r="E772" s="2">
        <f>IFERROR(__xludf.DUMMYFUNCTION("""COMPUTED_VALUE"""),4525.0)</f>
        <v>4525</v>
      </c>
      <c r="F772" s="2">
        <f>IFERROR(__xludf.DUMMYFUNCTION("""COMPUTED_VALUE"""),3.62941E7)</f>
        <v>36294100</v>
      </c>
      <c r="G772" s="2">
        <f t="shared" si="1"/>
        <v>75</v>
      </c>
    </row>
    <row r="773" ht="15.75" customHeight="1">
      <c r="A773" s="1">
        <f>IFERROR(__xludf.DUMMYFUNCTION("""COMPUTED_VALUE"""),44979.66666666667)</f>
        <v>44979.66667</v>
      </c>
      <c r="B773" s="2">
        <f>IFERROR(__xludf.DUMMYFUNCTION("""COMPUTED_VALUE"""),4500.0)</f>
        <v>4500</v>
      </c>
      <c r="C773" s="2">
        <f>IFERROR(__xludf.DUMMYFUNCTION("""COMPUTED_VALUE"""),4525.0)</f>
        <v>4525</v>
      </c>
      <c r="D773" s="2">
        <f>IFERROR(__xludf.DUMMYFUNCTION("""COMPUTED_VALUE"""),4400.0)</f>
        <v>4400</v>
      </c>
      <c r="E773" s="2">
        <f>IFERROR(__xludf.DUMMYFUNCTION("""COMPUTED_VALUE"""),4425.0)</f>
        <v>4425</v>
      </c>
      <c r="F773" s="2">
        <f>IFERROR(__xludf.DUMMYFUNCTION("""COMPUTED_VALUE"""),4.61502E7)</f>
        <v>46150200</v>
      </c>
      <c r="G773" s="2">
        <f t="shared" si="1"/>
        <v>125</v>
      </c>
    </row>
    <row r="774" ht="15.75" customHeight="1">
      <c r="A774" s="1">
        <f>IFERROR(__xludf.DUMMYFUNCTION("""COMPUTED_VALUE"""),44980.66666666667)</f>
        <v>44980.66667</v>
      </c>
      <c r="B774" s="2">
        <f>IFERROR(__xludf.DUMMYFUNCTION("""COMPUTED_VALUE"""),4425.0)</f>
        <v>4425</v>
      </c>
      <c r="C774" s="2">
        <f>IFERROR(__xludf.DUMMYFUNCTION("""COMPUTED_VALUE"""),4500.0)</f>
        <v>4500</v>
      </c>
      <c r="D774" s="2">
        <f>IFERROR(__xludf.DUMMYFUNCTION("""COMPUTED_VALUE"""),4400.0)</f>
        <v>4400</v>
      </c>
      <c r="E774" s="2">
        <f>IFERROR(__xludf.DUMMYFUNCTION("""COMPUTED_VALUE"""),4475.0)</f>
        <v>4475</v>
      </c>
      <c r="F774" s="2">
        <f>IFERROR(__xludf.DUMMYFUNCTION("""COMPUTED_VALUE"""),2.63621E7)</f>
        <v>26362100</v>
      </c>
      <c r="G774" s="2">
        <f t="shared" si="1"/>
        <v>100</v>
      </c>
    </row>
    <row r="775" ht="15.75" customHeight="1">
      <c r="A775" s="1">
        <f>IFERROR(__xludf.DUMMYFUNCTION("""COMPUTED_VALUE"""),44981.66666666667)</f>
        <v>44981.66667</v>
      </c>
      <c r="B775" s="2">
        <f>IFERROR(__xludf.DUMMYFUNCTION("""COMPUTED_VALUE"""),4500.0)</f>
        <v>4500</v>
      </c>
      <c r="C775" s="2">
        <f>IFERROR(__xludf.DUMMYFUNCTION("""COMPUTED_VALUE"""),4562.5)</f>
        <v>4562.5</v>
      </c>
      <c r="D775" s="2">
        <f>IFERROR(__xludf.DUMMYFUNCTION("""COMPUTED_VALUE"""),4450.0)</f>
        <v>4450</v>
      </c>
      <c r="E775" s="2">
        <f>IFERROR(__xludf.DUMMYFUNCTION("""COMPUTED_VALUE"""),4450.0)</f>
        <v>4450</v>
      </c>
      <c r="F775" s="2">
        <f>IFERROR(__xludf.DUMMYFUNCTION("""COMPUTED_VALUE"""),2.66385E7)</f>
        <v>26638500</v>
      </c>
      <c r="G775" s="2">
        <f t="shared" si="1"/>
        <v>112.5</v>
      </c>
    </row>
    <row r="776" ht="15.75" customHeight="1">
      <c r="A776" s="1">
        <f>IFERROR(__xludf.DUMMYFUNCTION("""COMPUTED_VALUE"""),44984.66666666667)</f>
        <v>44984.66667</v>
      </c>
      <c r="B776" s="2">
        <f>IFERROR(__xludf.DUMMYFUNCTION("""COMPUTED_VALUE"""),4450.0)</f>
        <v>4450</v>
      </c>
      <c r="C776" s="2">
        <f>IFERROR(__xludf.DUMMYFUNCTION("""COMPUTED_VALUE"""),4500.0)</f>
        <v>4500</v>
      </c>
      <c r="D776" s="2">
        <f>IFERROR(__xludf.DUMMYFUNCTION("""COMPUTED_VALUE"""),4425.0)</f>
        <v>4425</v>
      </c>
      <c r="E776" s="2">
        <f>IFERROR(__xludf.DUMMYFUNCTION("""COMPUTED_VALUE"""),4475.0)</f>
        <v>4475</v>
      </c>
      <c r="F776" s="2">
        <f>IFERROR(__xludf.DUMMYFUNCTION("""COMPUTED_VALUE"""),2.406E7)</f>
        <v>24060000</v>
      </c>
      <c r="G776" s="2">
        <f t="shared" si="1"/>
        <v>75</v>
      </c>
    </row>
    <row r="777" ht="15.75" customHeight="1">
      <c r="A777" s="1">
        <f>IFERROR(__xludf.DUMMYFUNCTION("""COMPUTED_VALUE"""),44985.66666666667)</f>
        <v>44985.66667</v>
      </c>
      <c r="B777" s="2">
        <f>IFERROR(__xludf.DUMMYFUNCTION("""COMPUTED_VALUE"""),4500.0)</f>
        <v>4500</v>
      </c>
      <c r="C777" s="2">
        <f>IFERROR(__xludf.DUMMYFUNCTION("""COMPUTED_VALUE"""),4500.0)</f>
        <v>4500</v>
      </c>
      <c r="D777" s="2">
        <f>IFERROR(__xludf.DUMMYFUNCTION("""COMPUTED_VALUE"""),4387.5)</f>
        <v>4387.5</v>
      </c>
      <c r="E777" s="2">
        <f>IFERROR(__xludf.DUMMYFUNCTION("""COMPUTED_VALUE"""),4387.5)</f>
        <v>4387.5</v>
      </c>
      <c r="F777" s="2">
        <f>IFERROR(__xludf.DUMMYFUNCTION("""COMPUTED_VALUE"""),5.41567E7)</f>
        <v>54156700</v>
      </c>
      <c r="G777" s="2">
        <f t="shared" si="1"/>
        <v>112.5</v>
      </c>
    </row>
    <row r="778" ht="15.75" customHeight="1">
      <c r="A778" s="1">
        <f>IFERROR(__xludf.DUMMYFUNCTION("""COMPUTED_VALUE"""),44986.66666666667)</f>
        <v>44986.66667</v>
      </c>
      <c r="B778" s="2">
        <f>IFERROR(__xludf.DUMMYFUNCTION("""COMPUTED_VALUE"""),4387.5)</f>
        <v>4387.5</v>
      </c>
      <c r="C778" s="2">
        <f>IFERROR(__xludf.DUMMYFUNCTION("""COMPUTED_VALUE"""),4487.5)</f>
        <v>4487.5</v>
      </c>
      <c r="D778" s="2">
        <f>IFERROR(__xludf.DUMMYFUNCTION("""COMPUTED_VALUE"""),4387.5)</f>
        <v>4387.5</v>
      </c>
      <c r="E778" s="2">
        <f>IFERROR(__xludf.DUMMYFUNCTION("""COMPUTED_VALUE"""),4475.0)</f>
        <v>4475</v>
      </c>
      <c r="F778" s="2">
        <f>IFERROR(__xludf.DUMMYFUNCTION("""COMPUTED_VALUE"""),2.41021E7)</f>
        <v>24102100</v>
      </c>
      <c r="G778" s="2">
        <f t="shared" si="1"/>
        <v>100</v>
      </c>
    </row>
    <row r="779" ht="15.75" customHeight="1">
      <c r="A779" s="1">
        <f>IFERROR(__xludf.DUMMYFUNCTION("""COMPUTED_VALUE"""),44987.66666666667)</f>
        <v>44987.66667</v>
      </c>
      <c r="B779" s="2">
        <f>IFERROR(__xludf.DUMMYFUNCTION("""COMPUTED_VALUE"""),4475.0)</f>
        <v>4475</v>
      </c>
      <c r="C779" s="2">
        <f>IFERROR(__xludf.DUMMYFUNCTION("""COMPUTED_VALUE"""),4475.0)</f>
        <v>4475</v>
      </c>
      <c r="D779" s="2">
        <f>IFERROR(__xludf.DUMMYFUNCTION("""COMPUTED_VALUE"""),4437.5)</f>
        <v>4437.5</v>
      </c>
      <c r="E779" s="2">
        <f>IFERROR(__xludf.DUMMYFUNCTION("""COMPUTED_VALUE"""),4437.5)</f>
        <v>4437.5</v>
      </c>
      <c r="F779" s="2">
        <f>IFERROR(__xludf.DUMMYFUNCTION("""COMPUTED_VALUE"""),2.47886E7)</f>
        <v>24788600</v>
      </c>
      <c r="G779" s="2">
        <f t="shared" si="1"/>
        <v>37.5</v>
      </c>
    </row>
    <row r="780" ht="15.75" customHeight="1">
      <c r="A780" s="1">
        <f>IFERROR(__xludf.DUMMYFUNCTION("""COMPUTED_VALUE"""),44988.66666666667)</f>
        <v>44988.66667</v>
      </c>
      <c r="B780" s="2">
        <f>IFERROR(__xludf.DUMMYFUNCTION("""COMPUTED_VALUE"""),4437.5)</f>
        <v>4437.5</v>
      </c>
      <c r="C780" s="2">
        <f>IFERROR(__xludf.DUMMYFUNCTION("""COMPUTED_VALUE"""),4450.0)</f>
        <v>4450</v>
      </c>
      <c r="D780" s="2">
        <f>IFERROR(__xludf.DUMMYFUNCTION("""COMPUTED_VALUE"""),4375.0)</f>
        <v>4375</v>
      </c>
      <c r="E780" s="2">
        <f>IFERROR(__xludf.DUMMYFUNCTION("""COMPUTED_VALUE"""),4375.0)</f>
        <v>4375</v>
      </c>
      <c r="F780" s="2">
        <f>IFERROR(__xludf.DUMMYFUNCTION("""COMPUTED_VALUE"""),2.74947E7)</f>
        <v>27494700</v>
      </c>
      <c r="G780" s="2">
        <f t="shared" si="1"/>
        <v>75</v>
      </c>
    </row>
    <row r="781" ht="15.75" customHeight="1">
      <c r="A781" s="1">
        <f>IFERROR(__xludf.DUMMYFUNCTION("""COMPUTED_VALUE"""),44991.66666666667)</f>
        <v>44991.66667</v>
      </c>
      <c r="B781" s="2">
        <f>IFERROR(__xludf.DUMMYFUNCTION("""COMPUTED_VALUE"""),4400.0)</f>
        <v>4400</v>
      </c>
      <c r="C781" s="2">
        <f>IFERROR(__xludf.DUMMYFUNCTION("""COMPUTED_VALUE"""),4437.5)</f>
        <v>4437.5</v>
      </c>
      <c r="D781" s="2">
        <f>IFERROR(__xludf.DUMMYFUNCTION("""COMPUTED_VALUE"""),4375.0)</f>
        <v>4375</v>
      </c>
      <c r="E781" s="2">
        <f>IFERROR(__xludf.DUMMYFUNCTION("""COMPUTED_VALUE"""),4400.0)</f>
        <v>4400</v>
      </c>
      <c r="F781" s="2">
        <f>IFERROR(__xludf.DUMMYFUNCTION("""COMPUTED_VALUE"""),2.12321E7)</f>
        <v>21232100</v>
      </c>
      <c r="G781" s="2">
        <f t="shared" si="1"/>
        <v>62.5</v>
      </c>
    </row>
    <row r="782" ht="15.75" customHeight="1">
      <c r="A782" s="1">
        <f>IFERROR(__xludf.DUMMYFUNCTION("""COMPUTED_VALUE"""),44992.66666666667)</f>
        <v>44992.66667</v>
      </c>
      <c r="B782" s="2">
        <f>IFERROR(__xludf.DUMMYFUNCTION("""COMPUTED_VALUE"""),4400.0)</f>
        <v>4400</v>
      </c>
      <c r="C782" s="2">
        <f>IFERROR(__xludf.DUMMYFUNCTION("""COMPUTED_VALUE"""),4462.5)</f>
        <v>4462.5</v>
      </c>
      <c r="D782" s="2">
        <f>IFERROR(__xludf.DUMMYFUNCTION("""COMPUTED_VALUE"""),4400.0)</f>
        <v>4400</v>
      </c>
      <c r="E782" s="2">
        <f>IFERROR(__xludf.DUMMYFUNCTION("""COMPUTED_VALUE"""),4450.0)</f>
        <v>4450</v>
      </c>
      <c r="F782" s="2">
        <f>IFERROR(__xludf.DUMMYFUNCTION("""COMPUTED_VALUE"""),2.26429E7)</f>
        <v>22642900</v>
      </c>
      <c r="G782" s="2">
        <f t="shared" si="1"/>
        <v>62.5</v>
      </c>
    </row>
    <row r="783" ht="15.75" customHeight="1">
      <c r="A783" s="1">
        <f>IFERROR(__xludf.DUMMYFUNCTION("""COMPUTED_VALUE"""),44993.66666666667)</f>
        <v>44993.66667</v>
      </c>
      <c r="B783" s="2">
        <f>IFERROR(__xludf.DUMMYFUNCTION("""COMPUTED_VALUE"""),4425.0)</f>
        <v>4425</v>
      </c>
      <c r="C783" s="2">
        <f>IFERROR(__xludf.DUMMYFUNCTION("""COMPUTED_VALUE"""),4437.5)</f>
        <v>4437.5</v>
      </c>
      <c r="D783" s="2">
        <f>IFERROR(__xludf.DUMMYFUNCTION("""COMPUTED_VALUE"""),4400.0)</f>
        <v>4400</v>
      </c>
      <c r="E783" s="2">
        <f>IFERROR(__xludf.DUMMYFUNCTION("""COMPUTED_VALUE"""),4437.5)</f>
        <v>4437.5</v>
      </c>
      <c r="F783" s="2">
        <f>IFERROR(__xludf.DUMMYFUNCTION("""COMPUTED_VALUE"""),1.66106E7)</f>
        <v>16610600</v>
      </c>
      <c r="G783" s="2">
        <f t="shared" si="1"/>
        <v>50</v>
      </c>
    </row>
    <row r="784" ht="15.75" customHeight="1">
      <c r="A784" s="1">
        <f>IFERROR(__xludf.DUMMYFUNCTION("""COMPUTED_VALUE"""),44994.66666666667)</f>
        <v>44994.66667</v>
      </c>
      <c r="B784" s="2">
        <f>IFERROR(__xludf.DUMMYFUNCTION("""COMPUTED_VALUE"""),4500.0)</f>
        <v>4500</v>
      </c>
      <c r="C784" s="2">
        <f>IFERROR(__xludf.DUMMYFUNCTION("""COMPUTED_VALUE"""),4612.5)</f>
        <v>4612.5</v>
      </c>
      <c r="D784" s="2">
        <f>IFERROR(__xludf.DUMMYFUNCTION("""COMPUTED_VALUE"""),4500.0)</f>
        <v>4500</v>
      </c>
      <c r="E784" s="2">
        <f>IFERROR(__xludf.DUMMYFUNCTION("""COMPUTED_VALUE"""),4575.0)</f>
        <v>4575</v>
      </c>
      <c r="F784" s="2">
        <f>IFERROR(__xludf.DUMMYFUNCTION("""COMPUTED_VALUE"""),5.60863E7)</f>
        <v>56086300</v>
      </c>
      <c r="G784" s="2">
        <f t="shared" si="1"/>
        <v>175</v>
      </c>
    </row>
    <row r="785" ht="15.75" customHeight="1">
      <c r="A785" s="1">
        <f>IFERROR(__xludf.DUMMYFUNCTION("""COMPUTED_VALUE"""),44995.66666666667)</f>
        <v>44995.66667</v>
      </c>
      <c r="B785" s="2">
        <f>IFERROR(__xludf.DUMMYFUNCTION("""COMPUTED_VALUE"""),4550.0)</f>
        <v>4550</v>
      </c>
      <c r="C785" s="2">
        <f>IFERROR(__xludf.DUMMYFUNCTION("""COMPUTED_VALUE"""),4562.5)</f>
        <v>4562.5</v>
      </c>
      <c r="D785" s="2">
        <f>IFERROR(__xludf.DUMMYFUNCTION("""COMPUTED_VALUE"""),4500.0)</f>
        <v>4500</v>
      </c>
      <c r="E785" s="2">
        <f>IFERROR(__xludf.DUMMYFUNCTION("""COMPUTED_VALUE"""),4512.5)</f>
        <v>4512.5</v>
      </c>
      <c r="F785" s="2">
        <f>IFERROR(__xludf.DUMMYFUNCTION("""COMPUTED_VALUE"""),3.63237E7)</f>
        <v>36323700</v>
      </c>
      <c r="G785" s="2">
        <f t="shared" si="1"/>
        <v>75</v>
      </c>
    </row>
    <row r="786" ht="15.75" customHeight="1">
      <c r="A786" s="1">
        <f>IFERROR(__xludf.DUMMYFUNCTION("""COMPUTED_VALUE"""),44998.66666666667)</f>
        <v>44998.66667</v>
      </c>
      <c r="B786" s="2">
        <f>IFERROR(__xludf.DUMMYFUNCTION("""COMPUTED_VALUE"""),4512.5)</f>
        <v>4512.5</v>
      </c>
      <c r="C786" s="2">
        <f>IFERROR(__xludf.DUMMYFUNCTION("""COMPUTED_VALUE"""),4525.0)</f>
        <v>4525</v>
      </c>
      <c r="D786" s="2">
        <f>IFERROR(__xludf.DUMMYFUNCTION("""COMPUTED_VALUE"""),4437.5)</f>
        <v>4437.5</v>
      </c>
      <c r="E786" s="2">
        <f>IFERROR(__xludf.DUMMYFUNCTION("""COMPUTED_VALUE"""),4500.0)</f>
        <v>4500</v>
      </c>
      <c r="F786" s="2">
        <f>IFERROR(__xludf.DUMMYFUNCTION("""COMPUTED_VALUE"""),4.36926E7)</f>
        <v>43692600</v>
      </c>
      <c r="G786" s="2">
        <f t="shared" si="1"/>
        <v>87.5</v>
      </c>
    </row>
    <row r="787" ht="15.75" customHeight="1">
      <c r="A787" s="1">
        <f>IFERROR(__xludf.DUMMYFUNCTION("""COMPUTED_VALUE"""),44999.66666666667)</f>
        <v>44999.66667</v>
      </c>
      <c r="B787" s="2">
        <f>IFERROR(__xludf.DUMMYFUNCTION("""COMPUTED_VALUE"""),4450.0)</f>
        <v>4450</v>
      </c>
      <c r="C787" s="2">
        <f>IFERROR(__xludf.DUMMYFUNCTION("""COMPUTED_VALUE"""),4450.0)</f>
        <v>4450</v>
      </c>
      <c r="D787" s="2">
        <f>IFERROR(__xludf.DUMMYFUNCTION("""COMPUTED_VALUE"""),4375.0)</f>
        <v>4375</v>
      </c>
      <c r="E787" s="2">
        <f>IFERROR(__xludf.DUMMYFUNCTION("""COMPUTED_VALUE"""),4387.5)</f>
        <v>4387.5</v>
      </c>
      <c r="F787" s="2">
        <f>IFERROR(__xludf.DUMMYFUNCTION("""COMPUTED_VALUE"""),6.24346E7)</f>
        <v>62434600</v>
      </c>
      <c r="G787" s="2">
        <f t="shared" si="1"/>
        <v>125</v>
      </c>
    </row>
    <row r="788" ht="15.75" customHeight="1">
      <c r="A788" s="1">
        <f>IFERROR(__xludf.DUMMYFUNCTION("""COMPUTED_VALUE"""),45000.66666666667)</f>
        <v>45000.66667</v>
      </c>
      <c r="B788" s="2">
        <f>IFERROR(__xludf.DUMMYFUNCTION("""COMPUTED_VALUE"""),4450.0)</f>
        <v>4450</v>
      </c>
      <c r="C788" s="2">
        <f>IFERROR(__xludf.DUMMYFUNCTION("""COMPUTED_VALUE"""),4462.5)</f>
        <v>4462.5</v>
      </c>
      <c r="D788" s="2">
        <f>IFERROR(__xludf.DUMMYFUNCTION("""COMPUTED_VALUE"""),4387.5)</f>
        <v>4387.5</v>
      </c>
      <c r="E788" s="2">
        <f>IFERROR(__xludf.DUMMYFUNCTION("""COMPUTED_VALUE"""),4400.0)</f>
        <v>4400</v>
      </c>
      <c r="F788" s="2">
        <f>IFERROR(__xludf.DUMMYFUNCTION("""COMPUTED_VALUE"""),4.88998E7)</f>
        <v>48899800</v>
      </c>
      <c r="G788" s="2">
        <f t="shared" si="1"/>
        <v>75</v>
      </c>
    </row>
    <row r="789" ht="15.75" customHeight="1">
      <c r="A789" s="1">
        <f>IFERROR(__xludf.DUMMYFUNCTION("""COMPUTED_VALUE"""),45001.66666666667)</f>
        <v>45001.66667</v>
      </c>
      <c r="B789" s="2">
        <f>IFERROR(__xludf.DUMMYFUNCTION("""COMPUTED_VALUE"""),4437.5)</f>
        <v>4437.5</v>
      </c>
      <c r="C789" s="2">
        <f>IFERROR(__xludf.DUMMYFUNCTION("""COMPUTED_VALUE"""),4550.0)</f>
        <v>4550</v>
      </c>
      <c r="D789" s="2">
        <f>IFERROR(__xludf.DUMMYFUNCTION("""COMPUTED_VALUE"""),4412.5)</f>
        <v>4412.5</v>
      </c>
      <c r="E789" s="2">
        <f>IFERROR(__xludf.DUMMYFUNCTION("""COMPUTED_VALUE"""),4475.0)</f>
        <v>4475</v>
      </c>
      <c r="F789" s="2">
        <f>IFERROR(__xludf.DUMMYFUNCTION("""COMPUTED_VALUE"""),5.49823E7)</f>
        <v>54982300</v>
      </c>
      <c r="G789" s="2">
        <f t="shared" si="1"/>
        <v>150</v>
      </c>
    </row>
    <row r="790" ht="15.75" customHeight="1">
      <c r="A790" s="1">
        <f>IFERROR(__xludf.DUMMYFUNCTION("""COMPUTED_VALUE"""),45002.66666666667)</f>
        <v>45002.66667</v>
      </c>
      <c r="B790" s="2">
        <f>IFERROR(__xludf.DUMMYFUNCTION("""COMPUTED_VALUE"""),4500.0)</f>
        <v>4500</v>
      </c>
      <c r="C790" s="2">
        <f>IFERROR(__xludf.DUMMYFUNCTION("""COMPUTED_VALUE"""),4575.0)</f>
        <v>4575</v>
      </c>
      <c r="D790" s="2">
        <f>IFERROR(__xludf.DUMMYFUNCTION("""COMPUTED_VALUE"""),4487.5)</f>
        <v>4487.5</v>
      </c>
      <c r="E790" s="2">
        <f>IFERROR(__xludf.DUMMYFUNCTION("""COMPUTED_VALUE"""),4512.5)</f>
        <v>4512.5</v>
      </c>
      <c r="F790" s="2">
        <f>IFERROR(__xludf.DUMMYFUNCTION("""COMPUTED_VALUE"""),7.56136E7)</f>
        <v>75613600</v>
      </c>
      <c r="G790" s="2">
        <f t="shared" si="1"/>
        <v>100</v>
      </c>
    </row>
    <row r="791" ht="15.75" customHeight="1">
      <c r="A791" s="1">
        <f>IFERROR(__xludf.DUMMYFUNCTION("""COMPUTED_VALUE"""),45005.66666666667)</f>
        <v>45005.66667</v>
      </c>
      <c r="B791" s="2">
        <f>IFERROR(__xludf.DUMMYFUNCTION("""COMPUTED_VALUE"""),4512.5)</f>
        <v>4512.5</v>
      </c>
      <c r="C791" s="2">
        <f>IFERROR(__xludf.DUMMYFUNCTION("""COMPUTED_VALUE"""),4562.5)</f>
        <v>4562.5</v>
      </c>
      <c r="D791" s="2">
        <f>IFERROR(__xludf.DUMMYFUNCTION("""COMPUTED_VALUE"""),4487.5)</f>
        <v>4487.5</v>
      </c>
      <c r="E791" s="2">
        <f>IFERROR(__xludf.DUMMYFUNCTION("""COMPUTED_VALUE"""),4500.0)</f>
        <v>4500</v>
      </c>
      <c r="F791" s="2">
        <f>IFERROR(__xludf.DUMMYFUNCTION("""COMPUTED_VALUE"""),1.60976E7)</f>
        <v>16097600</v>
      </c>
      <c r="G791" s="2">
        <f t="shared" si="1"/>
        <v>75</v>
      </c>
    </row>
    <row r="792" ht="15.75" customHeight="1">
      <c r="A792" s="1">
        <f>IFERROR(__xludf.DUMMYFUNCTION("""COMPUTED_VALUE"""),45006.66666666667)</f>
        <v>45006.66667</v>
      </c>
      <c r="B792" s="2">
        <f>IFERROR(__xludf.DUMMYFUNCTION("""COMPUTED_VALUE"""),4525.0)</f>
        <v>4525</v>
      </c>
      <c r="C792" s="2">
        <f>IFERROR(__xludf.DUMMYFUNCTION("""COMPUTED_VALUE"""),4625.0)</f>
        <v>4625</v>
      </c>
      <c r="D792" s="2">
        <f>IFERROR(__xludf.DUMMYFUNCTION("""COMPUTED_VALUE"""),4487.5)</f>
        <v>4487.5</v>
      </c>
      <c r="E792" s="2">
        <f>IFERROR(__xludf.DUMMYFUNCTION("""COMPUTED_VALUE"""),4612.5)</f>
        <v>4612.5</v>
      </c>
      <c r="F792" s="2">
        <f>IFERROR(__xludf.DUMMYFUNCTION("""COMPUTED_VALUE"""),2.49007E7)</f>
        <v>24900700</v>
      </c>
      <c r="G792" s="2">
        <f t="shared" si="1"/>
        <v>137.5</v>
      </c>
    </row>
    <row r="793" ht="15.75" customHeight="1">
      <c r="A793" s="1">
        <f>IFERROR(__xludf.DUMMYFUNCTION("""COMPUTED_VALUE"""),45009.66666666667)</f>
        <v>45009.66667</v>
      </c>
      <c r="B793" s="2">
        <f>IFERROR(__xludf.DUMMYFUNCTION("""COMPUTED_VALUE"""),4637.5)</f>
        <v>4637.5</v>
      </c>
      <c r="C793" s="2">
        <f>IFERROR(__xludf.DUMMYFUNCTION("""COMPUTED_VALUE"""),4862.5)</f>
        <v>4862.5</v>
      </c>
      <c r="D793" s="2">
        <f>IFERROR(__xludf.DUMMYFUNCTION("""COMPUTED_VALUE"""),4625.0)</f>
        <v>4625</v>
      </c>
      <c r="E793" s="2">
        <f>IFERROR(__xludf.DUMMYFUNCTION("""COMPUTED_VALUE"""),4812.5)</f>
        <v>4812.5</v>
      </c>
      <c r="F793" s="2">
        <f>IFERROR(__xludf.DUMMYFUNCTION("""COMPUTED_VALUE"""),8.08186E7)</f>
        <v>80818600</v>
      </c>
      <c r="G793" s="2">
        <f t="shared" si="1"/>
        <v>250</v>
      </c>
    </row>
    <row r="794" ht="15.75" customHeight="1">
      <c r="A794" s="1">
        <f>IFERROR(__xludf.DUMMYFUNCTION("""COMPUTED_VALUE"""),45012.66666666667)</f>
        <v>45012.66667</v>
      </c>
      <c r="B794" s="2">
        <f>IFERROR(__xludf.DUMMYFUNCTION("""COMPUTED_VALUE"""),4837.5)</f>
        <v>4837.5</v>
      </c>
      <c r="C794" s="2">
        <f>IFERROR(__xludf.DUMMYFUNCTION("""COMPUTED_VALUE"""),4875.0)</f>
        <v>4875</v>
      </c>
      <c r="D794" s="2">
        <f>IFERROR(__xludf.DUMMYFUNCTION("""COMPUTED_VALUE"""),4750.0)</f>
        <v>4750</v>
      </c>
      <c r="E794" s="2">
        <f>IFERROR(__xludf.DUMMYFUNCTION("""COMPUTED_VALUE"""),4750.0)</f>
        <v>4750</v>
      </c>
      <c r="F794" s="2">
        <f>IFERROR(__xludf.DUMMYFUNCTION("""COMPUTED_VALUE"""),4.98496E7)</f>
        <v>49849600</v>
      </c>
      <c r="G794" s="2">
        <f t="shared" si="1"/>
        <v>125</v>
      </c>
    </row>
    <row r="795" ht="15.75" customHeight="1">
      <c r="A795" s="1">
        <f>IFERROR(__xludf.DUMMYFUNCTION("""COMPUTED_VALUE"""),45013.66666666667)</f>
        <v>45013.66667</v>
      </c>
      <c r="B795" s="2">
        <f>IFERROR(__xludf.DUMMYFUNCTION("""COMPUTED_VALUE"""),4600.0)</f>
        <v>4600</v>
      </c>
      <c r="C795" s="2">
        <f>IFERROR(__xludf.DUMMYFUNCTION("""COMPUTED_VALUE"""),4600.0)</f>
        <v>4600</v>
      </c>
      <c r="D795" s="2">
        <f>IFERROR(__xludf.DUMMYFUNCTION("""COMPUTED_VALUE"""),4500.0)</f>
        <v>4500</v>
      </c>
      <c r="E795" s="2">
        <f>IFERROR(__xludf.DUMMYFUNCTION("""COMPUTED_VALUE"""),4512.5)</f>
        <v>4512.5</v>
      </c>
      <c r="F795" s="2">
        <f>IFERROR(__xludf.DUMMYFUNCTION("""COMPUTED_VALUE"""),3.88571E7)</f>
        <v>38857100</v>
      </c>
      <c r="G795" s="2">
        <f t="shared" si="1"/>
        <v>250</v>
      </c>
    </row>
    <row r="796" ht="15.75" customHeight="1">
      <c r="A796" s="1">
        <f>IFERROR(__xludf.DUMMYFUNCTION("""COMPUTED_VALUE"""),45014.66666666667)</f>
        <v>45014.66667</v>
      </c>
      <c r="B796" s="2">
        <f>IFERROR(__xludf.DUMMYFUNCTION("""COMPUTED_VALUE"""),4525.0)</f>
        <v>4525</v>
      </c>
      <c r="C796" s="2">
        <f>IFERROR(__xludf.DUMMYFUNCTION("""COMPUTED_VALUE"""),4625.0)</f>
        <v>4625</v>
      </c>
      <c r="D796" s="2">
        <f>IFERROR(__xludf.DUMMYFUNCTION("""COMPUTED_VALUE"""),4512.5)</f>
        <v>4512.5</v>
      </c>
      <c r="E796" s="2">
        <f>IFERROR(__xludf.DUMMYFUNCTION("""COMPUTED_VALUE"""),4600.0)</f>
        <v>4600</v>
      </c>
      <c r="F796" s="2">
        <f>IFERROR(__xludf.DUMMYFUNCTION("""COMPUTED_VALUE"""),3.36916E7)</f>
        <v>33691600</v>
      </c>
      <c r="G796" s="2">
        <f t="shared" si="1"/>
        <v>112.5</v>
      </c>
    </row>
    <row r="797" ht="15.75" customHeight="1">
      <c r="A797" s="1">
        <f>IFERROR(__xludf.DUMMYFUNCTION("""COMPUTED_VALUE"""),45015.66666666667)</f>
        <v>45015.66667</v>
      </c>
      <c r="B797" s="2">
        <f>IFERROR(__xludf.DUMMYFUNCTION("""COMPUTED_VALUE"""),4650.0)</f>
        <v>4650</v>
      </c>
      <c r="C797" s="2">
        <f>IFERROR(__xludf.DUMMYFUNCTION("""COMPUTED_VALUE"""),4700.0)</f>
        <v>4700</v>
      </c>
      <c r="D797" s="2">
        <f>IFERROR(__xludf.DUMMYFUNCTION("""COMPUTED_VALUE"""),4625.0)</f>
        <v>4625</v>
      </c>
      <c r="E797" s="2">
        <f>IFERROR(__xludf.DUMMYFUNCTION("""COMPUTED_VALUE"""),4675.0)</f>
        <v>4675</v>
      </c>
      <c r="F797" s="2">
        <f>IFERROR(__xludf.DUMMYFUNCTION("""COMPUTED_VALUE"""),3.37612E7)</f>
        <v>33761200</v>
      </c>
      <c r="G797" s="2">
        <f t="shared" si="1"/>
        <v>100</v>
      </c>
    </row>
    <row r="798" ht="15.75" customHeight="1">
      <c r="A798" s="1">
        <f>IFERROR(__xludf.DUMMYFUNCTION("""COMPUTED_VALUE"""),45016.66666666667)</f>
        <v>45016.66667</v>
      </c>
      <c r="B798" s="2">
        <f>IFERROR(__xludf.DUMMYFUNCTION("""COMPUTED_VALUE"""),4675.0)</f>
        <v>4675</v>
      </c>
      <c r="C798" s="2">
        <f>IFERROR(__xludf.DUMMYFUNCTION("""COMPUTED_VALUE"""),4687.5)</f>
        <v>4687.5</v>
      </c>
      <c r="D798" s="2">
        <f>IFERROR(__xludf.DUMMYFUNCTION("""COMPUTED_VALUE"""),4612.5)</f>
        <v>4612.5</v>
      </c>
      <c r="E798" s="2">
        <f>IFERROR(__xludf.DUMMYFUNCTION("""COMPUTED_VALUE"""),4675.0)</f>
        <v>4675</v>
      </c>
      <c r="F798" s="2">
        <f>IFERROR(__xludf.DUMMYFUNCTION("""COMPUTED_VALUE"""),2.70325E7)</f>
        <v>27032500</v>
      </c>
      <c r="G798" s="2">
        <f t="shared" si="1"/>
        <v>75</v>
      </c>
    </row>
    <row r="799" ht="15.75" customHeight="1">
      <c r="A799" s="1">
        <f>IFERROR(__xludf.DUMMYFUNCTION("""COMPUTED_VALUE"""),45019.66666666667)</f>
        <v>45019.66667</v>
      </c>
      <c r="B799" s="2">
        <f>IFERROR(__xludf.DUMMYFUNCTION("""COMPUTED_VALUE"""),4675.0)</f>
        <v>4675</v>
      </c>
      <c r="C799" s="2">
        <f>IFERROR(__xludf.DUMMYFUNCTION("""COMPUTED_VALUE"""),4700.0)</f>
        <v>4700</v>
      </c>
      <c r="D799" s="2">
        <f>IFERROR(__xludf.DUMMYFUNCTION("""COMPUTED_VALUE"""),4637.5)</f>
        <v>4637.5</v>
      </c>
      <c r="E799" s="2">
        <f>IFERROR(__xludf.DUMMYFUNCTION("""COMPUTED_VALUE"""),4675.0)</f>
        <v>4675</v>
      </c>
      <c r="F799" s="2">
        <f>IFERROR(__xludf.DUMMYFUNCTION("""COMPUTED_VALUE"""),1.47603E7)</f>
        <v>14760300</v>
      </c>
      <c r="G799" s="2">
        <f t="shared" si="1"/>
        <v>62.5</v>
      </c>
    </row>
    <row r="800" ht="15.75" customHeight="1">
      <c r="A800" s="1">
        <f>IFERROR(__xludf.DUMMYFUNCTION("""COMPUTED_VALUE"""),45020.66666666667)</f>
        <v>45020.66667</v>
      </c>
      <c r="B800" s="2">
        <f>IFERROR(__xludf.DUMMYFUNCTION("""COMPUTED_VALUE"""),4675.0)</f>
        <v>4675</v>
      </c>
      <c r="C800" s="2">
        <f>IFERROR(__xludf.DUMMYFUNCTION("""COMPUTED_VALUE"""),4687.5)</f>
        <v>4687.5</v>
      </c>
      <c r="D800" s="2">
        <f>IFERROR(__xludf.DUMMYFUNCTION("""COMPUTED_VALUE"""),4600.0)</f>
        <v>4600</v>
      </c>
      <c r="E800" s="2">
        <f>IFERROR(__xludf.DUMMYFUNCTION("""COMPUTED_VALUE"""),4675.0)</f>
        <v>4675</v>
      </c>
      <c r="F800" s="2">
        <f>IFERROR(__xludf.DUMMYFUNCTION("""COMPUTED_VALUE"""),2.3461E7)</f>
        <v>23461000</v>
      </c>
      <c r="G800" s="2">
        <f t="shared" si="1"/>
        <v>87.5</v>
      </c>
    </row>
    <row r="801" ht="15.75" customHeight="1">
      <c r="A801" s="1">
        <f>IFERROR(__xludf.DUMMYFUNCTION("""COMPUTED_VALUE"""),45021.66666666667)</f>
        <v>45021.66667</v>
      </c>
      <c r="B801" s="2">
        <f>IFERROR(__xludf.DUMMYFUNCTION("""COMPUTED_VALUE"""),4675.0)</f>
        <v>4675</v>
      </c>
      <c r="C801" s="2">
        <f>IFERROR(__xludf.DUMMYFUNCTION("""COMPUTED_VALUE"""),4725.0)</f>
        <v>4725</v>
      </c>
      <c r="D801" s="2">
        <f>IFERROR(__xludf.DUMMYFUNCTION("""COMPUTED_VALUE"""),4637.5)</f>
        <v>4637.5</v>
      </c>
      <c r="E801" s="2">
        <f>IFERROR(__xludf.DUMMYFUNCTION("""COMPUTED_VALUE"""),4662.5)</f>
        <v>4662.5</v>
      </c>
      <c r="F801" s="2">
        <f>IFERROR(__xludf.DUMMYFUNCTION("""COMPUTED_VALUE"""),2.53494E7)</f>
        <v>25349400</v>
      </c>
      <c r="G801" s="2">
        <f t="shared" si="1"/>
        <v>87.5</v>
      </c>
    </row>
    <row r="802" ht="15.75" customHeight="1">
      <c r="A802" s="1">
        <f>IFERROR(__xludf.DUMMYFUNCTION("""COMPUTED_VALUE"""),45022.66666666667)</f>
        <v>45022.66667</v>
      </c>
      <c r="B802" s="2">
        <f>IFERROR(__xludf.DUMMYFUNCTION("""COMPUTED_VALUE"""),4662.5)</f>
        <v>4662.5</v>
      </c>
      <c r="C802" s="2">
        <f>IFERROR(__xludf.DUMMYFUNCTION("""COMPUTED_VALUE"""),4687.5)</f>
        <v>4687.5</v>
      </c>
      <c r="D802" s="2">
        <f>IFERROR(__xludf.DUMMYFUNCTION("""COMPUTED_VALUE"""),4662.5)</f>
        <v>4662.5</v>
      </c>
      <c r="E802" s="2">
        <f>IFERROR(__xludf.DUMMYFUNCTION("""COMPUTED_VALUE"""),4687.5)</f>
        <v>4687.5</v>
      </c>
      <c r="F802" s="2">
        <f>IFERROR(__xludf.DUMMYFUNCTION("""COMPUTED_VALUE"""),2.31045E7)</f>
        <v>23104500</v>
      </c>
      <c r="G802" s="2">
        <f t="shared" si="1"/>
        <v>25</v>
      </c>
    </row>
    <row r="803" ht="15.75" customHeight="1">
      <c r="A803" s="1">
        <f>IFERROR(__xludf.DUMMYFUNCTION("""COMPUTED_VALUE"""),45026.66666666667)</f>
        <v>45026.66667</v>
      </c>
      <c r="B803" s="2">
        <f>IFERROR(__xludf.DUMMYFUNCTION("""COMPUTED_VALUE"""),4675.0)</f>
        <v>4675</v>
      </c>
      <c r="C803" s="2">
        <f>IFERROR(__xludf.DUMMYFUNCTION("""COMPUTED_VALUE"""),4687.5)</f>
        <v>4687.5</v>
      </c>
      <c r="D803" s="2">
        <f>IFERROR(__xludf.DUMMYFUNCTION("""COMPUTED_VALUE"""),4625.0)</f>
        <v>4625</v>
      </c>
      <c r="E803" s="2">
        <f>IFERROR(__xludf.DUMMYFUNCTION("""COMPUTED_VALUE"""),4662.5)</f>
        <v>4662.5</v>
      </c>
      <c r="F803" s="2">
        <f>IFERROR(__xludf.DUMMYFUNCTION("""COMPUTED_VALUE"""),1.88382E7)</f>
        <v>18838200</v>
      </c>
      <c r="G803" s="2">
        <f t="shared" si="1"/>
        <v>62.5</v>
      </c>
    </row>
    <row r="804" ht="15.75" customHeight="1">
      <c r="A804" s="1">
        <f>IFERROR(__xludf.DUMMYFUNCTION("""COMPUTED_VALUE"""),45027.66666666667)</f>
        <v>45027.66667</v>
      </c>
      <c r="B804" s="2">
        <f>IFERROR(__xludf.DUMMYFUNCTION("""COMPUTED_VALUE"""),4650.0)</f>
        <v>4650</v>
      </c>
      <c r="C804" s="2">
        <f>IFERROR(__xludf.DUMMYFUNCTION("""COMPUTED_VALUE"""),4700.0)</f>
        <v>4700</v>
      </c>
      <c r="D804" s="2">
        <f>IFERROR(__xludf.DUMMYFUNCTION("""COMPUTED_VALUE"""),4650.0)</f>
        <v>4650</v>
      </c>
      <c r="E804" s="2">
        <f>IFERROR(__xludf.DUMMYFUNCTION("""COMPUTED_VALUE"""),4687.5)</f>
        <v>4687.5</v>
      </c>
      <c r="F804" s="2">
        <f>IFERROR(__xludf.DUMMYFUNCTION("""COMPUTED_VALUE"""),1.46789E7)</f>
        <v>14678900</v>
      </c>
      <c r="G804" s="2">
        <f t="shared" si="1"/>
        <v>50</v>
      </c>
    </row>
    <row r="805" ht="15.75" customHeight="1">
      <c r="A805" s="1">
        <f>IFERROR(__xludf.DUMMYFUNCTION("""COMPUTED_VALUE"""),45028.66666666667)</f>
        <v>45028.66667</v>
      </c>
      <c r="B805" s="2">
        <f>IFERROR(__xludf.DUMMYFUNCTION("""COMPUTED_VALUE"""),4700.0)</f>
        <v>4700</v>
      </c>
      <c r="C805" s="2">
        <f>IFERROR(__xludf.DUMMYFUNCTION("""COMPUTED_VALUE"""),4700.0)</f>
        <v>4700</v>
      </c>
      <c r="D805" s="2">
        <f>IFERROR(__xludf.DUMMYFUNCTION("""COMPUTED_VALUE"""),4675.0)</f>
        <v>4675</v>
      </c>
      <c r="E805" s="2">
        <f>IFERROR(__xludf.DUMMYFUNCTION("""COMPUTED_VALUE"""),4675.0)</f>
        <v>4675</v>
      </c>
      <c r="F805" s="2">
        <f>IFERROR(__xludf.DUMMYFUNCTION("""COMPUTED_VALUE"""),2.30485E7)</f>
        <v>23048500</v>
      </c>
      <c r="G805" s="2">
        <f t="shared" si="1"/>
        <v>25</v>
      </c>
    </row>
    <row r="806" ht="15.75" customHeight="1">
      <c r="A806" s="1">
        <f>IFERROR(__xludf.DUMMYFUNCTION("""COMPUTED_VALUE"""),45029.66666666667)</f>
        <v>45029.66667</v>
      </c>
      <c r="B806" s="2">
        <f>IFERROR(__xludf.DUMMYFUNCTION("""COMPUTED_VALUE"""),4725.0)</f>
        <v>4725</v>
      </c>
      <c r="C806" s="2">
        <f>IFERROR(__xludf.DUMMYFUNCTION("""COMPUTED_VALUE"""),4725.0)</f>
        <v>4725</v>
      </c>
      <c r="D806" s="2">
        <f>IFERROR(__xludf.DUMMYFUNCTION("""COMPUTED_VALUE"""),4675.0)</f>
        <v>4675</v>
      </c>
      <c r="E806" s="2">
        <f>IFERROR(__xludf.DUMMYFUNCTION("""COMPUTED_VALUE"""),4687.5)</f>
        <v>4687.5</v>
      </c>
      <c r="F806" s="2">
        <f>IFERROR(__xludf.DUMMYFUNCTION("""COMPUTED_VALUE"""),1.99621E7)</f>
        <v>19962100</v>
      </c>
      <c r="G806" s="2">
        <f t="shared" si="1"/>
        <v>50</v>
      </c>
    </row>
    <row r="807" ht="15.75" customHeight="1">
      <c r="A807" s="1">
        <f>IFERROR(__xludf.DUMMYFUNCTION("""COMPUTED_VALUE"""),45030.66666666667)</f>
        <v>45030.66667</v>
      </c>
      <c r="B807" s="2">
        <f>IFERROR(__xludf.DUMMYFUNCTION("""COMPUTED_VALUE"""),4712.5)</f>
        <v>4712.5</v>
      </c>
      <c r="C807" s="2">
        <f>IFERROR(__xludf.DUMMYFUNCTION("""COMPUTED_VALUE"""),4750.0)</f>
        <v>4750</v>
      </c>
      <c r="D807" s="2">
        <f>IFERROR(__xludf.DUMMYFUNCTION("""COMPUTED_VALUE"""),4687.5)</f>
        <v>4687.5</v>
      </c>
      <c r="E807" s="2">
        <f>IFERROR(__xludf.DUMMYFUNCTION("""COMPUTED_VALUE"""),4700.0)</f>
        <v>4700</v>
      </c>
      <c r="F807" s="2">
        <f>IFERROR(__xludf.DUMMYFUNCTION("""COMPUTED_VALUE"""),3.24999E7)</f>
        <v>32499900</v>
      </c>
      <c r="G807" s="2">
        <f t="shared" si="1"/>
        <v>62.5</v>
      </c>
    </row>
    <row r="808" ht="15.75" customHeight="1">
      <c r="A808" s="1">
        <f>IFERROR(__xludf.DUMMYFUNCTION("""COMPUTED_VALUE"""),45033.66666666667)</f>
        <v>45033.66667</v>
      </c>
      <c r="B808" s="2">
        <f>IFERROR(__xludf.DUMMYFUNCTION("""COMPUTED_VALUE"""),4712.5)</f>
        <v>4712.5</v>
      </c>
      <c r="C808" s="2">
        <f>IFERROR(__xludf.DUMMYFUNCTION("""COMPUTED_VALUE"""),4725.0)</f>
        <v>4725</v>
      </c>
      <c r="D808" s="2">
        <f>IFERROR(__xludf.DUMMYFUNCTION("""COMPUTED_VALUE"""),4687.5)</f>
        <v>4687.5</v>
      </c>
      <c r="E808" s="2">
        <f>IFERROR(__xludf.DUMMYFUNCTION("""COMPUTED_VALUE"""),4725.0)</f>
        <v>4725</v>
      </c>
      <c r="F808" s="2">
        <f>IFERROR(__xludf.DUMMYFUNCTION("""COMPUTED_VALUE"""),1.42692E7)</f>
        <v>14269200</v>
      </c>
      <c r="G808" s="2">
        <f t="shared" si="1"/>
        <v>37.5</v>
      </c>
    </row>
    <row r="809" ht="15.75" customHeight="1">
      <c r="A809" s="1">
        <f>IFERROR(__xludf.DUMMYFUNCTION("""COMPUTED_VALUE"""),45034.66666666667)</f>
        <v>45034.66667</v>
      </c>
      <c r="B809" s="2">
        <f>IFERROR(__xludf.DUMMYFUNCTION("""COMPUTED_VALUE"""),4725.0)</f>
        <v>4725</v>
      </c>
      <c r="C809" s="2">
        <f>IFERROR(__xludf.DUMMYFUNCTION("""COMPUTED_VALUE"""),4787.5)</f>
        <v>4787.5</v>
      </c>
      <c r="D809" s="2">
        <f>IFERROR(__xludf.DUMMYFUNCTION("""COMPUTED_VALUE"""),4700.0)</f>
        <v>4700</v>
      </c>
      <c r="E809" s="2">
        <f>IFERROR(__xludf.DUMMYFUNCTION("""COMPUTED_VALUE"""),4737.5)</f>
        <v>4737.5</v>
      </c>
      <c r="F809" s="2">
        <f>IFERROR(__xludf.DUMMYFUNCTION("""COMPUTED_VALUE"""),2.88207E7)</f>
        <v>28820700</v>
      </c>
      <c r="G809" s="2">
        <f t="shared" si="1"/>
        <v>87.5</v>
      </c>
    </row>
    <row r="810" ht="15.75" customHeight="1">
      <c r="A810" s="1">
        <f>IFERROR(__xludf.DUMMYFUNCTION("""COMPUTED_VALUE"""),45042.66666666667)</f>
        <v>45042.66667</v>
      </c>
      <c r="B810" s="2">
        <f>IFERROR(__xludf.DUMMYFUNCTION("""COMPUTED_VALUE"""),4775.0)</f>
        <v>4775</v>
      </c>
      <c r="C810" s="2">
        <f>IFERROR(__xludf.DUMMYFUNCTION("""COMPUTED_VALUE"""),4787.5)</f>
        <v>4787.5</v>
      </c>
      <c r="D810" s="2">
        <f>IFERROR(__xludf.DUMMYFUNCTION("""COMPUTED_VALUE"""),4712.5)</f>
        <v>4712.5</v>
      </c>
      <c r="E810" s="2">
        <f>IFERROR(__xludf.DUMMYFUNCTION("""COMPUTED_VALUE"""),4787.5)</f>
        <v>4787.5</v>
      </c>
      <c r="F810" s="2">
        <f>IFERROR(__xludf.DUMMYFUNCTION("""COMPUTED_VALUE"""),4.6614E7)</f>
        <v>46614000</v>
      </c>
      <c r="G810" s="2">
        <f t="shared" si="1"/>
        <v>75</v>
      </c>
    </row>
    <row r="811" ht="15.75" customHeight="1">
      <c r="A811" s="1">
        <f>IFERROR(__xludf.DUMMYFUNCTION("""COMPUTED_VALUE"""),45043.66666666667)</f>
        <v>45043.66667</v>
      </c>
      <c r="B811" s="2">
        <f>IFERROR(__xludf.DUMMYFUNCTION("""COMPUTED_VALUE"""),4775.0)</f>
        <v>4775</v>
      </c>
      <c r="C811" s="2">
        <f>IFERROR(__xludf.DUMMYFUNCTION("""COMPUTED_VALUE"""),4800.0)</f>
        <v>4800</v>
      </c>
      <c r="D811" s="2">
        <f>IFERROR(__xludf.DUMMYFUNCTION("""COMPUTED_VALUE"""),4737.5)</f>
        <v>4737.5</v>
      </c>
      <c r="E811" s="2">
        <f>IFERROR(__xludf.DUMMYFUNCTION("""COMPUTED_VALUE"""),4750.0)</f>
        <v>4750</v>
      </c>
      <c r="F811" s="2">
        <f>IFERROR(__xludf.DUMMYFUNCTION("""COMPUTED_VALUE"""),1.30685E7)</f>
        <v>13068500</v>
      </c>
      <c r="G811" s="2">
        <f t="shared" si="1"/>
        <v>62.5</v>
      </c>
    </row>
    <row r="812" ht="15.75" customHeight="1">
      <c r="A812" s="1">
        <f>IFERROR(__xludf.DUMMYFUNCTION("""COMPUTED_VALUE"""),45044.66666666667)</f>
        <v>45044.66667</v>
      </c>
      <c r="B812" s="2">
        <f>IFERROR(__xludf.DUMMYFUNCTION("""COMPUTED_VALUE"""),4787.5)</f>
        <v>4787.5</v>
      </c>
      <c r="C812" s="2">
        <f>IFERROR(__xludf.DUMMYFUNCTION("""COMPUTED_VALUE"""),4787.5)</f>
        <v>4787.5</v>
      </c>
      <c r="D812" s="2">
        <f>IFERROR(__xludf.DUMMYFUNCTION("""COMPUTED_VALUE"""),4712.5)</f>
        <v>4712.5</v>
      </c>
      <c r="E812" s="2">
        <f>IFERROR(__xludf.DUMMYFUNCTION("""COMPUTED_VALUE"""),4712.5)</f>
        <v>4712.5</v>
      </c>
      <c r="F812" s="2">
        <f>IFERROR(__xludf.DUMMYFUNCTION("""COMPUTED_VALUE"""),2.30664E7)</f>
        <v>23066400</v>
      </c>
      <c r="G812" s="2">
        <f t="shared" si="1"/>
        <v>75</v>
      </c>
    </row>
    <row r="813" ht="15.75" customHeight="1">
      <c r="A813" s="1">
        <f>IFERROR(__xludf.DUMMYFUNCTION("""COMPUTED_VALUE"""),45048.66666666667)</f>
        <v>45048.66667</v>
      </c>
      <c r="B813" s="2">
        <f>IFERROR(__xludf.DUMMYFUNCTION("""COMPUTED_VALUE"""),4725.0)</f>
        <v>4725</v>
      </c>
      <c r="C813" s="2">
        <f>IFERROR(__xludf.DUMMYFUNCTION("""COMPUTED_VALUE"""),4775.0)</f>
        <v>4775</v>
      </c>
      <c r="D813" s="2">
        <f>IFERROR(__xludf.DUMMYFUNCTION("""COMPUTED_VALUE"""),4712.5)</f>
        <v>4712.5</v>
      </c>
      <c r="E813" s="2">
        <f>IFERROR(__xludf.DUMMYFUNCTION("""COMPUTED_VALUE"""),4775.0)</f>
        <v>4775</v>
      </c>
      <c r="F813" s="2">
        <f>IFERROR(__xludf.DUMMYFUNCTION("""COMPUTED_VALUE"""),1.44542E7)</f>
        <v>14454200</v>
      </c>
      <c r="G813" s="2">
        <f t="shared" si="1"/>
        <v>62.5</v>
      </c>
    </row>
    <row r="814" ht="15.75" customHeight="1">
      <c r="A814" s="1">
        <f>IFERROR(__xludf.DUMMYFUNCTION("""COMPUTED_VALUE"""),45049.66666666667)</f>
        <v>45049.66667</v>
      </c>
      <c r="B814" s="2">
        <f>IFERROR(__xludf.DUMMYFUNCTION("""COMPUTED_VALUE"""),4775.0)</f>
        <v>4775</v>
      </c>
      <c r="C814" s="2">
        <f>IFERROR(__xludf.DUMMYFUNCTION("""COMPUTED_VALUE"""),4775.0)</f>
        <v>4775</v>
      </c>
      <c r="D814" s="2">
        <f>IFERROR(__xludf.DUMMYFUNCTION("""COMPUTED_VALUE"""),4700.0)</f>
        <v>4700</v>
      </c>
      <c r="E814" s="2">
        <f>IFERROR(__xludf.DUMMYFUNCTION("""COMPUTED_VALUE"""),4737.5)</f>
        <v>4737.5</v>
      </c>
      <c r="F814" s="2">
        <f>IFERROR(__xludf.DUMMYFUNCTION("""COMPUTED_VALUE"""),1.50891E7)</f>
        <v>15089100</v>
      </c>
      <c r="G814" s="2">
        <f t="shared" si="1"/>
        <v>75</v>
      </c>
    </row>
    <row r="815" ht="15.75" customHeight="1">
      <c r="A815" s="1">
        <f>IFERROR(__xludf.DUMMYFUNCTION("""COMPUTED_VALUE"""),45050.66666666667)</f>
        <v>45050.66667</v>
      </c>
      <c r="B815" s="2">
        <f>IFERROR(__xludf.DUMMYFUNCTION("""COMPUTED_VALUE"""),4700.0)</f>
        <v>4700</v>
      </c>
      <c r="C815" s="2">
        <f>IFERROR(__xludf.DUMMYFUNCTION("""COMPUTED_VALUE"""),4712.5)</f>
        <v>4712.5</v>
      </c>
      <c r="D815" s="2">
        <f>IFERROR(__xludf.DUMMYFUNCTION("""COMPUTED_VALUE"""),4637.5)</f>
        <v>4637.5</v>
      </c>
      <c r="E815" s="2">
        <f>IFERROR(__xludf.DUMMYFUNCTION("""COMPUTED_VALUE"""),4650.0)</f>
        <v>4650</v>
      </c>
      <c r="F815" s="2">
        <f>IFERROR(__xludf.DUMMYFUNCTION("""COMPUTED_VALUE"""),2.22267E7)</f>
        <v>22226700</v>
      </c>
      <c r="G815" s="2">
        <f t="shared" si="1"/>
        <v>100</v>
      </c>
    </row>
    <row r="816" ht="15.75" customHeight="1">
      <c r="A816" s="1">
        <f>IFERROR(__xludf.DUMMYFUNCTION("""COMPUTED_VALUE"""),45051.66666666667)</f>
        <v>45051.66667</v>
      </c>
      <c r="B816" s="2">
        <f>IFERROR(__xludf.DUMMYFUNCTION("""COMPUTED_VALUE"""),4650.0)</f>
        <v>4650</v>
      </c>
      <c r="C816" s="2">
        <f>IFERROR(__xludf.DUMMYFUNCTION("""COMPUTED_VALUE"""),4662.5)</f>
        <v>4662.5</v>
      </c>
      <c r="D816" s="2">
        <f>IFERROR(__xludf.DUMMYFUNCTION("""COMPUTED_VALUE"""),4575.0)</f>
        <v>4575</v>
      </c>
      <c r="E816" s="2">
        <f>IFERROR(__xludf.DUMMYFUNCTION("""COMPUTED_VALUE"""),4625.0)</f>
        <v>4625</v>
      </c>
      <c r="F816" s="2">
        <f>IFERROR(__xludf.DUMMYFUNCTION("""COMPUTED_VALUE"""),2.70646E7)</f>
        <v>27064600</v>
      </c>
      <c r="G816" s="2">
        <f t="shared" si="1"/>
        <v>87.5</v>
      </c>
    </row>
    <row r="817" ht="15.75" customHeight="1">
      <c r="A817" s="1">
        <f>IFERROR(__xludf.DUMMYFUNCTION("""COMPUTED_VALUE"""),45054.66666666667)</f>
        <v>45054.66667</v>
      </c>
      <c r="B817" s="2">
        <f>IFERROR(__xludf.DUMMYFUNCTION("""COMPUTED_VALUE"""),4637.5)</f>
        <v>4637.5</v>
      </c>
      <c r="C817" s="2">
        <f>IFERROR(__xludf.DUMMYFUNCTION("""COMPUTED_VALUE"""),4650.0)</f>
        <v>4650</v>
      </c>
      <c r="D817" s="2">
        <f>IFERROR(__xludf.DUMMYFUNCTION("""COMPUTED_VALUE"""),4575.0)</f>
        <v>4575</v>
      </c>
      <c r="E817" s="2">
        <f>IFERROR(__xludf.DUMMYFUNCTION("""COMPUTED_VALUE"""),4575.0)</f>
        <v>4575</v>
      </c>
      <c r="F817" s="2">
        <f>IFERROR(__xludf.DUMMYFUNCTION("""COMPUTED_VALUE"""),1.67997E7)</f>
        <v>16799700</v>
      </c>
      <c r="G817" s="2">
        <f t="shared" si="1"/>
        <v>75</v>
      </c>
    </row>
    <row r="818" ht="15.75" customHeight="1">
      <c r="A818" s="1">
        <f>IFERROR(__xludf.DUMMYFUNCTION("""COMPUTED_VALUE"""),45055.66666666667)</f>
        <v>45055.66667</v>
      </c>
      <c r="B818" s="2">
        <f>IFERROR(__xludf.DUMMYFUNCTION("""COMPUTED_VALUE"""),4562.5)</f>
        <v>4562.5</v>
      </c>
      <c r="C818" s="2">
        <f>IFERROR(__xludf.DUMMYFUNCTION("""COMPUTED_VALUE"""),4587.5)</f>
        <v>4587.5</v>
      </c>
      <c r="D818" s="2">
        <f>IFERROR(__xludf.DUMMYFUNCTION("""COMPUTED_VALUE"""),4525.0)</f>
        <v>4525</v>
      </c>
      <c r="E818" s="2">
        <f>IFERROR(__xludf.DUMMYFUNCTION("""COMPUTED_VALUE"""),4562.5)</f>
        <v>4562.5</v>
      </c>
      <c r="F818" s="2">
        <f>IFERROR(__xludf.DUMMYFUNCTION("""COMPUTED_VALUE"""),1.83641E7)</f>
        <v>18364100</v>
      </c>
      <c r="G818" s="2">
        <f t="shared" si="1"/>
        <v>62.5</v>
      </c>
    </row>
    <row r="819" ht="15.75" customHeight="1">
      <c r="A819" s="1">
        <f>IFERROR(__xludf.DUMMYFUNCTION("""COMPUTED_VALUE"""),45056.66666666667)</f>
        <v>45056.66667</v>
      </c>
      <c r="B819" s="2">
        <f>IFERROR(__xludf.DUMMYFUNCTION("""COMPUTED_VALUE"""),4612.5)</f>
        <v>4612.5</v>
      </c>
      <c r="C819" s="2">
        <f>IFERROR(__xludf.DUMMYFUNCTION("""COMPUTED_VALUE"""),4637.5)</f>
        <v>4637.5</v>
      </c>
      <c r="D819" s="2">
        <f>IFERROR(__xludf.DUMMYFUNCTION("""COMPUTED_VALUE"""),4587.5)</f>
        <v>4587.5</v>
      </c>
      <c r="E819" s="2">
        <f>IFERROR(__xludf.DUMMYFUNCTION("""COMPUTED_VALUE"""),4600.0)</f>
        <v>4600</v>
      </c>
      <c r="F819" s="2">
        <f>IFERROR(__xludf.DUMMYFUNCTION("""COMPUTED_VALUE"""),1.76918E7)</f>
        <v>17691800</v>
      </c>
      <c r="G819" s="2">
        <f t="shared" si="1"/>
        <v>75</v>
      </c>
    </row>
    <row r="820" ht="15.75" customHeight="1">
      <c r="A820" s="1">
        <f>IFERROR(__xludf.DUMMYFUNCTION("""COMPUTED_VALUE"""),45057.66666666667)</f>
        <v>45057.66667</v>
      </c>
      <c r="B820" s="2">
        <f>IFERROR(__xludf.DUMMYFUNCTION("""COMPUTED_VALUE"""),4575.0)</f>
        <v>4575</v>
      </c>
      <c r="C820" s="2">
        <f>IFERROR(__xludf.DUMMYFUNCTION("""COMPUTED_VALUE"""),4575.0)</f>
        <v>4575</v>
      </c>
      <c r="D820" s="2">
        <f>IFERROR(__xludf.DUMMYFUNCTION("""COMPUTED_VALUE"""),4525.0)</f>
        <v>4525</v>
      </c>
      <c r="E820" s="2">
        <f>IFERROR(__xludf.DUMMYFUNCTION("""COMPUTED_VALUE"""),4575.0)</f>
        <v>4575</v>
      </c>
      <c r="F820" s="2">
        <f>IFERROR(__xludf.DUMMYFUNCTION("""COMPUTED_VALUE"""),1.93453E7)</f>
        <v>19345300</v>
      </c>
      <c r="G820" s="2">
        <f t="shared" si="1"/>
        <v>75</v>
      </c>
    </row>
    <row r="821" ht="15.75" customHeight="1">
      <c r="A821" s="1">
        <f>IFERROR(__xludf.DUMMYFUNCTION("""COMPUTED_VALUE"""),45058.66666666667)</f>
        <v>45058.66667</v>
      </c>
      <c r="B821" s="2">
        <f>IFERROR(__xludf.DUMMYFUNCTION("""COMPUTED_VALUE"""),4562.5)</f>
        <v>4562.5</v>
      </c>
      <c r="C821" s="2">
        <f>IFERROR(__xludf.DUMMYFUNCTION("""COMPUTED_VALUE"""),4575.0)</f>
        <v>4575</v>
      </c>
      <c r="D821" s="2">
        <f>IFERROR(__xludf.DUMMYFUNCTION("""COMPUTED_VALUE"""),4487.5)</f>
        <v>4487.5</v>
      </c>
      <c r="E821" s="2">
        <f>IFERROR(__xludf.DUMMYFUNCTION("""COMPUTED_VALUE"""),4500.0)</f>
        <v>4500</v>
      </c>
      <c r="F821" s="2">
        <f>IFERROR(__xludf.DUMMYFUNCTION("""COMPUTED_VALUE"""),2.52494E7)</f>
        <v>25249400</v>
      </c>
      <c r="G821" s="2">
        <f t="shared" si="1"/>
        <v>87.5</v>
      </c>
    </row>
    <row r="822" ht="15.75" customHeight="1">
      <c r="A822" s="1">
        <f>IFERROR(__xludf.DUMMYFUNCTION("""COMPUTED_VALUE"""),45061.66666666667)</f>
        <v>45061.66667</v>
      </c>
      <c r="B822" s="2">
        <f>IFERROR(__xludf.DUMMYFUNCTION("""COMPUTED_VALUE"""),4500.0)</f>
        <v>4500</v>
      </c>
      <c r="C822" s="2">
        <f>IFERROR(__xludf.DUMMYFUNCTION("""COMPUTED_VALUE"""),4512.5)</f>
        <v>4512.5</v>
      </c>
      <c r="D822" s="2">
        <f>IFERROR(__xludf.DUMMYFUNCTION("""COMPUTED_VALUE"""),4425.0)</f>
        <v>4425</v>
      </c>
      <c r="E822" s="2">
        <f>IFERROR(__xludf.DUMMYFUNCTION("""COMPUTED_VALUE"""),4450.0)</f>
        <v>4450</v>
      </c>
      <c r="F822" s="2">
        <f>IFERROR(__xludf.DUMMYFUNCTION("""COMPUTED_VALUE"""),3.9082E7)</f>
        <v>39082000</v>
      </c>
      <c r="G822" s="2">
        <f t="shared" si="1"/>
        <v>87.5</v>
      </c>
    </row>
    <row r="823" ht="15.75" customHeight="1">
      <c r="A823" s="1">
        <f>IFERROR(__xludf.DUMMYFUNCTION("""COMPUTED_VALUE"""),45062.66666666667)</f>
        <v>45062.66667</v>
      </c>
      <c r="B823" s="2">
        <f>IFERROR(__xludf.DUMMYFUNCTION("""COMPUTED_VALUE"""),4475.0)</f>
        <v>4475</v>
      </c>
      <c r="C823" s="2">
        <f>IFERROR(__xludf.DUMMYFUNCTION("""COMPUTED_VALUE"""),4487.5)</f>
        <v>4487.5</v>
      </c>
      <c r="D823" s="2">
        <f>IFERROR(__xludf.DUMMYFUNCTION("""COMPUTED_VALUE"""),4350.0)</f>
        <v>4350</v>
      </c>
      <c r="E823" s="2">
        <f>IFERROR(__xludf.DUMMYFUNCTION("""COMPUTED_VALUE"""),4375.0)</f>
        <v>4375</v>
      </c>
      <c r="F823" s="2">
        <f>IFERROR(__xludf.DUMMYFUNCTION("""COMPUTED_VALUE"""),5.08087E7)</f>
        <v>50808700</v>
      </c>
      <c r="G823" s="2">
        <f t="shared" si="1"/>
        <v>137.5</v>
      </c>
    </row>
    <row r="824" ht="15.75" customHeight="1">
      <c r="A824" s="1">
        <f>IFERROR(__xludf.DUMMYFUNCTION("""COMPUTED_VALUE"""),45063.66666666667)</f>
        <v>45063.66667</v>
      </c>
      <c r="B824" s="2">
        <f>IFERROR(__xludf.DUMMYFUNCTION("""COMPUTED_VALUE"""),4362.5)</f>
        <v>4362.5</v>
      </c>
      <c r="C824" s="2">
        <f>IFERROR(__xludf.DUMMYFUNCTION("""COMPUTED_VALUE"""),4412.5)</f>
        <v>4412.5</v>
      </c>
      <c r="D824" s="2">
        <f>IFERROR(__xludf.DUMMYFUNCTION("""COMPUTED_VALUE"""),4325.0)</f>
        <v>4325</v>
      </c>
      <c r="E824" s="2">
        <f>IFERROR(__xludf.DUMMYFUNCTION("""COMPUTED_VALUE"""),4375.0)</f>
        <v>4375</v>
      </c>
      <c r="F824" s="2">
        <f>IFERROR(__xludf.DUMMYFUNCTION("""COMPUTED_VALUE"""),5.08337E7)</f>
        <v>50833700</v>
      </c>
      <c r="G824" s="2">
        <f t="shared" si="1"/>
        <v>87.5</v>
      </c>
    </row>
    <row r="825" ht="15.75" customHeight="1">
      <c r="A825" s="1">
        <f>IFERROR(__xludf.DUMMYFUNCTION("""COMPUTED_VALUE"""),45065.66666666667)</f>
        <v>45065.66667</v>
      </c>
      <c r="B825" s="2">
        <f>IFERROR(__xludf.DUMMYFUNCTION("""COMPUTED_VALUE"""),4400.0)</f>
        <v>4400</v>
      </c>
      <c r="C825" s="2">
        <f>IFERROR(__xludf.DUMMYFUNCTION("""COMPUTED_VALUE"""),4450.0)</f>
        <v>4450</v>
      </c>
      <c r="D825" s="2">
        <f>IFERROR(__xludf.DUMMYFUNCTION("""COMPUTED_VALUE"""),4375.0)</f>
        <v>4375</v>
      </c>
      <c r="E825" s="2">
        <f>IFERROR(__xludf.DUMMYFUNCTION("""COMPUTED_VALUE"""),4412.5)</f>
        <v>4412.5</v>
      </c>
      <c r="F825" s="2">
        <f>IFERROR(__xludf.DUMMYFUNCTION("""COMPUTED_VALUE"""),4.82224E7)</f>
        <v>48222400</v>
      </c>
      <c r="G825" s="2">
        <f t="shared" si="1"/>
        <v>75</v>
      </c>
    </row>
    <row r="826" ht="15.75" customHeight="1">
      <c r="A826" s="1">
        <f>IFERROR(__xludf.DUMMYFUNCTION("""COMPUTED_VALUE"""),45068.66666666667)</f>
        <v>45068.66667</v>
      </c>
      <c r="B826" s="2">
        <f>IFERROR(__xludf.DUMMYFUNCTION("""COMPUTED_VALUE"""),4412.5)</f>
        <v>4412.5</v>
      </c>
      <c r="C826" s="2">
        <f>IFERROR(__xludf.DUMMYFUNCTION("""COMPUTED_VALUE"""),4437.5)</f>
        <v>4437.5</v>
      </c>
      <c r="D826" s="2">
        <f>IFERROR(__xludf.DUMMYFUNCTION("""COMPUTED_VALUE"""),4387.5)</f>
        <v>4387.5</v>
      </c>
      <c r="E826" s="2">
        <f>IFERROR(__xludf.DUMMYFUNCTION("""COMPUTED_VALUE"""),4425.0)</f>
        <v>4425</v>
      </c>
      <c r="F826" s="2">
        <f>IFERROR(__xludf.DUMMYFUNCTION("""COMPUTED_VALUE"""),4.424E7)</f>
        <v>44240000</v>
      </c>
      <c r="G826" s="2">
        <f t="shared" si="1"/>
        <v>50</v>
      </c>
    </row>
    <row r="827" ht="15.75" customHeight="1">
      <c r="A827" s="1">
        <f>IFERROR(__xludf.DUMMYFUNCTION("""COMPUTED_VALUE"""),45069.66666666667)</f>
        <v>45069.66667</v>
      </c>
      <c r="B827" s="2">
        <f>IFERROR(__xludf.DUMMYFUNCTION("""COMPUTED_VALUE"""),4412.5)</f>
        <v>4412.5</v>
      </c>
      <c r="C827" s="2">
        <f>IFERROR(__xludf.DUMMYFUNCTION("""COMPUTED_VALUE"""),4500.0)</f>
        <v>4500</v>
      </c>
      <c r="D827" s="2">
        <f>IFERROR(__xludf.DUMMYFUNCTION("""COMPUTED_VALUE"""),4412.5)</f>
        <v>4412.5</v>
      </c>
      <c r="E827" s="2">
        <f>IFERROR(__xludf.DUMMYFUNCTION("""COMPUTED_VALUE"""),4475.0)</f>
        <v>4475</v>
      </c>
      <c r="F827" s="2">
        <f>IFERROR(__xludf.DUMMYFUNCTION("""COMPUTED_VALUE"""),5.36447E7)</f>
        <v>53644700</v>
      </c>
      <c r="G827" s="2">
        <f t="shared" si="1"/>
        <v>87.5</v>
      </c>
    </row>
    <row r="828" ht="15.75" customHeight="1">
      <c r="A828" s="1">
        <f>IFERROR(__xludf.DUMMYFUNCTION("""COMPUTED_VALUE"""),45070.66666666667)</f>
        <v>45070.66667</v>
      </c>
      <c r="B828" s="2">
        <f>IFERROR(__xludf.DUMMYFUNCTION("""COMPUTED_VALUE"""),4450.0)</f>
        <v>4450</v>
      </c>
      <c r="C828" s="2">
        <f>IFERROR(__xludf.DUMMYFUNCTION("""COMPUTED_VALUE"""),4475.0)</f>
        <v>4475</v>
      </c>
      <c r="D828" s="2">
        <f>IFERROR(__xludf.DUMMYFUNCTION("""COMPUTED_VALUE"""),4400.0)</f>
        <v>4400</v>
      </c>
      <c r="E828" s="2">
        <f>IFERROR(__xludf.DUMMYFUNCTION("""COMPUTED_VALUE"""),4412.5)</f>
        <v>4412.5</v>
      </c>
      <c r="F828" s="2">
        <f>IFERROR(__xludf.DUMMYFUNCTION("""COMPUTED_VALUE"""),6.65124E7)</f>
        <v>66512400</v>
      </c>
      <c r="G828" s="2">
        <f t="shared" si="1"/>
        <v>75</v>
      </c>
    </row>
    <row r="829" ht="15.75" customHeight="1">
      <c r="A829" s="1">
        <f>IFERROR(__xludf.DUMMYFUNCTION("""COMPUTED_VALUE"""),45071.66666666667)</f>
        <v>45071.66667</v>
      </c>
      <c r="B829" s="2">
        <f>IFERROR(__xludf.DUMMYFUNCTION("""COMPUTED_VALUE"""),4412.5)</f>
        <v>4412.5</v>
      </c>
      <c r="C829" s="2">
        <f>IFERROR(__xludf.DUMMYFUNCTION("""COMPUTED_VALUE"""),4512.5)</f>
        <v>4512.5</v>
      </c>
      <c r="D829" s="2">
        <f>IFERROR(__xludf.DUMMYFUNCTION("""COMPUTED_VALUE"""),4400.0)</f>
        <v>4400</v>
      </c>
      <c r="E829" s="2">
        <f>IFERROR(__xludf.DUMMYFUNCTION("""COMPUTED_VALUE"""),4500.0)</f>
        <v>4500</v>
      </c>
      <c r="F829" s="2">
        <f>IFERROR(__xludf.DUMMYFUNCTION("""COMPUTED_VALUE"""),3.70636E7)</f>
        <v>37063600</v>
      </c>
      <c r="G829" s="2">
        <f t="shared" si="1"/>
        <v>112.5</v>
      </c>
    </row>
    <row r="830" ht="15.75" customHeight="1">
      <c r="A830" s="1">
        <f>IFERROR(__xludf.DUMMYFUNCTION("""COMPUTED_VALUE"""),45072.66666666667)</f>
        <v>45072.66667</v>
      </c>
      <c r="B830" s="2">
        <f>IFERROR(__xludf.DUMMYFUNCTION("""COMPUTED_VALUE"""),4500.0)</f>
        <v>4500</v>
      </c>
      <c r="C830" s="2">
        <f>IFERROR(__xludf.DUMMYFUNCTION("""COMPUTED_VALUE"""),4537.5)</f>
        <v>4537.5</v>
      </c>
      <c r="D830" s="2">
        <f>IFERROR(__xludf.DUMMYFUNCTION("""COMPUTED_VALUE"""),4475.0)</f>
        <v>4475</v>
      </c>
      <c r="E830" s="2">
        <f>IFERROR(__xludf.DUMMYFUNCTION("""COMPUTED_VALUE"""),4475.0)</f>
        <v>4475</v>
      </c>
      <c r="F830" s="2">
        <f>IFERROR(__xludf.DUMMYFUNCTION("""COMPUTED_VALUE"""),2.17693E7)</f>
        <v>21769300</v>
      </c>
      <c r="G830" s="2">
        <f t="shared" si="1"/>
        <v>62.5</v>
      </c>
    </row>
    <row r="831" ht="15.75" customHeight="1">
      <c r="A831" s="1">
        <f>IFERROR(__xludf.DUMMYFUNCTION("""COMPUTED_VALUE"""),45075.66666666667)</f>
        <v>45075.66667</v>
      </c>
      <c r="B831" s="2">
        <f>IFERROR(__xludf.DUMMYFUNCTION("""COMPUTED_VALUE"""),4500.0)</f>
        <v>4500</v>
      </c>
      <c r="C831" s="2">
        <f>IFERROR(__xludf.DUMMYFUNCTION("""COMPUTED_VALUE"""),4525.0)</f>
        <v>4525</v>
      </c>
      <c r="D831" s="2">
        <f>IFERROR(__xludf.DUMMYFUNCTION("""COMPUTED_VALUE"""),4475.0)</f>
        <v>4475</v>
      </c>
      <c r="E831" s="2">
        <f>IFERROR(__xludf.DUMMYFUNCTION("""COMPUTED_VALUE"""),4525.0)</f>
        <v>4525</v>
      </c>
      <c r="F831" s="2">
        <f>IFERROR(__xludf.DUMMYFUNCTION("""COMPUTED_VALUE"""),1.3746E7)</f>
        <v>13746000</v>
      </c>
      <c r="G831" s="2">
        <f t="shared" si="1"/>
        <v>50</v>
      </c>
    </row>
    <row r="832" ht="15.75" customHeight="1">
      <c r="A832" s="1">
        <f>IFERROR(__xludf.DUMMYFUNCTION("""COMPUTED_VALUE"""),45076.66666666667)</f>
        <v>45076.66667</v>
      </c>
      <c r="B832" s="2">
        <f>IFERROR(__xludf.DUMMYFUNCTION("""COMPUTED_VALUE"""),4512.5)</f>
        <v>4512.5</v>
      </c>
      <c r="C832" s="2">
        <f>IFERROR(__xludf.DUMMYFUNCTION("""COMPUTED_VALUE"""),4550.0)</f>
        <v>4550</v>
      </c>
      <c r="D832" s="2">
        <f>IFERROR(__xludf.DUMMYFUNCTION("""COMPUTED_VALUE"""),4487.5)</f>
        <v>4487.5</v>
      </c>
      <c r="E832" s="2">
        <f>IFERROR(__xludf.DUMMYFUNCTION("""COMPUTED_VALUE"""),4512.5)</f>
        <v>4512.5</v>
      </c>
      <c r="F832" s="2">
        <f>IFERROR(__xludf.DUMMYFUNCTION("""COMPUTED_VALUE"""),2.08476E7)</f>
        <v>20847600</v>
      </c>
      <c r="G832" s="2">
        <f t="shared" si="1"/>
        <v>62.5</v>
      </c>
    </row>
    <row r="833" ht="15.75" customHeight="1">
      <c r="A833" s="1">
        <f>IFERROR(__xludf.DUMMYFUNCTION("""COMPUTED_VALUE"""),45077.66666666667)</f>
        <v>45077.66667</v>
      </c>
      <c r="B833" s="2">
        <f>IFERROR(__xludf.DUMMYFUNCTION("""COMPUTED_VALUE"""),4550.0)</f>
        <v>4550</v>
      </c>
      <c r="C833" s="2">
        <f>IFERROR(__xludf.DUMMYFUNCTION("""COMPUTED_VALUE"""),4562.5)</f>
        <v>4562.5</v>
      </c>
      <c r="D833" s="2">
        <f>IFERROR(__xludf.DUMMYFUNCTION("""COMPUTED_VALUE"""),4512.5)</f>
        <v>4512.5</v>
      </c>
      <c r="E833" s="2">
        <f>IFERROR(__xludf.DUMMYFUNCTION("""COMPUTED_VALUE"""),4525.0)</f>
        <v>4525</v>
      </c>
      <c r="F833" s="2">
        <f>IFERROR(__xludf.DUMMYFUNCTION("""COMPUTED_VALUE"""),1.390669E8)</f>
        <v>139066900</v>
      </c>
      <c r="G833" s="2">
        <f t="shared" si="1"/>
        <v>50</v>
      </c>
    </row>
    <row r="834" ht="15.75" customHeight="1">
      <c r="A834" s="1">
        <f>IFERROR(__xludf.DUMMYFUNCTION("""COMPUTED_VALUE"""),45082.66666666667)</f>
        <v>45082.66667</v>
      </c>
      <c r="B834" s="2">
        <f>IFERROR(__xludf.DUMMYFUNCTION("""COMPUTED_VALUE"""),4525.0)</f>
        <v>4525</v>
      </c>
      <c r="C834" s="2">
        <f>IFERROR(__xludf.DUMMYFUNCTION("""COMPUTED_VALUE"""),4562.5)</f>
        <v>4562.5</v>
      </c>
      <c r="D834" s="2">
        <f>IFERROR(__xludf.DUMMYFUNCTION("""COMPUTED_VALUE"""),4500.0)</f>
        <v>4500</v>
      </c>
      <c r="E834" s="2">
        <f>IFERROR(__xludf.DUMMYFUNCTION("""COMPUTED_VALUE"""),4500.0)</f>
        <v>4500</v>
      </c>
      <c r="F834" s="2">
        <f>IFERROR(__xludf.DUMMYFUNCTION("""COMPUTED_VALUE"""),2.65778E7)</f>
        <v>26577800</v>
      </c>
      <c r="G834" s="2">
        <f t="shared" si="1"/>
        <v>62.5</v>
      </c>
    </row>
    <row r="835" ht="15.75" customHeight="1">
      <c r="A835" s="1">
        <f>IFERROR(__xludf.DUMMYFUNCTION("""COMPUTED_VALUE"""),45083.66666666667)</f>
        <v>45083.66667</v>
      </c>
      <c r="B835" s="2">
        <f>IFERROR(__xludf.DUMMYFUNCTION("""COMPUTED_VALUE"""),4500.0)</f>
        <v>4500</v>
      </c>
      <c r="C835" s="2">
        <f>IFERROR(__xludf.DUMMYFUNCTION("""COMPUTED_VALUE"""),4625.0)</f>
        <v>4625</v>
      </c>
      <c r="D835" s="2">
        <f>IFERROR(__xludf.DUMMYFUNCTION("""COMPUTED_VALUE"""),4462.5)</f>
        <v>4462.5</v>
      </c>
      <c r="E835" s="2">
        <f>IFERROR(__xludf.DUMMYFUNCTION("""COMPUTED_VALUE"""),4600.0)</f>
        <v>4600</v>
      </c>
      <c r="F835" s="2">
        <f>IFERROR(__xludf.DUMMYFUNCTION("""COMPUTED_VALUE"""),4.11057E7)</f>
        <v>41105700</v>
      </c>
      <c r="G835" s="2">
        <f t="shared" si="1"/>
        <v>162.5</v>
      </c>
    </row>
    <row r="836" ht="15.75" customHeight="1">
      <c r="A836" s="1">
        <f>IFERROR(__xludf.DUMMYFUNCTION("""COMPUTED_VALUE"""),45084.66666666667)</f>
        <v>45084.66667</v>
      </c>
      <c r="B836" s="2">
        <f>IFERROR(__xludf.DUMMYFUNCTION("""COMPUTED_VALUE"""),4612.5)</f>
        <v>4612.5</v>
      </c>
      <c r="C836" s="2">
        <f>IFERROR(__xludf.DUMMYFUNCTION("""COMPUTED_VALUE"""),4625.0)</f>
        <v>4625</v>
      </c>
      <c r="D836" s="2">
        <f>IFERROR(__xludf.DUMMYFUNCTION("""COMPUTED_VALUE"""),4537.5)</f>
        <v>4537.5</v>
      </c>
      <c r="E836" s="2">
        <f>IFERROR(__xludf.DUMMYFUNCTION("""COMPUTED_VALUE"""),4575.0)</f>
        <v>4575</v>
      </c>
      <c r="F836" s="2">
        <f>IFERROR(__xludf.DUMMYFUNCTION("""COMPUTED_VALUE"""),3.12058E7)</f>
        <v>31205800</v>
      </c>
      <c r="G836" s="2">
        <f t="shared" si="1"/>
        <v>87.5</v>
      </c>
    </row>
    <row r="837" ht="15.75" customHeight="1">
      <c r="A837" s="1">
        <f>IFERROR(__xludf.DUMMYFUNCTION("""COMPUTED_VALUE"""),45085.66666666667)</f>
        <v>45085.66667</v>
      </c>
      <c r="B837" s="2">
        <f>IFERROR(__xludf.DUMMYFUNCTION("""COMPUTED_VALUE"""),4575.0)</f>
        <v>4575</v>
      </c>
      <c r="C837" s="2">
        <f>IFERROR(__xludf.DUMMYFUNCTION("""COMPUTED_VALUE"""),4600.0)</f>
        <v>4600</v>
      </c>
      <c r="D837" s="2">
        <f>IFERROR(__xludf.DUMMYFUNCTION("""COMPUTED_VALUE"""),4537.5)</f>
        <v>4537.5</v>
      </c>
      <c r="E837" s="2">
        <f>IFERROR(__xludf.DUMMYFUNCTION("""COMPUTED_VALUE"""),4600.0)</f>
        <v>4600</v>
      </c>
      <c r="F837" s="2">
        <f>IFERROR(__xludf.DUMMYFUNCTION("""COMPUTED_VALUE"""),1.71612E7)</f>
        <v>17161200</v>
      </c>
      <c r="G837" s="2">
        <f t="shared" si="1"/>
        <v>62.5</v>
      </c>
    </row>
    <row r="838" ht="15.75" customHeight="1">
      <c r="A838" s="1">
        <f>IFERROR(__xludf.DUMMYFUNCTION("""COMPUTED_VALUE"""),45086.66666666667)</f>
        <v>45086.66667</v>
      </c>
      <c r="B838" s="2">
        <f>IFERROR(__xludf.DUMMYFUNCTION("""COMPUTED_VALUE"""),4600.0)</f>
        <v>4600</v>
      </c>
      <c r="C838" s="2">
        <f>IFERROR(__xludf.DUMMYFUNCTION("""COMPUTED_VALUE"""),4612.5)</f>
        <v>4612.5</v>
      </c>
      <c r="D838" s="2">
        <f>IFERROR(__xludf.DUMMYFUNCTION("""COMPUTED_VALUE"""),4575.0)</f>
        <v>4575</v>
      </c>
      <c r="E838" s="2">
        <f>IFERROR(__xludf.DUMMYFUNCTION("""COMPUTED_VALUE"""),4612.5)</f>
        <v>4612.5</v>
      </c>
      <c r="F838" s="2">
        <f>IFERROR(__xludf.DUMMYFUNCTION("""COMPUTED_VALUE"""),1.79319E7)</f>
        <v>17931900</v>
      </c>
      <c r="G838" s="2">
        <f t="shared" si="1"/>
        <v>37.5</v>
      </c>
    </row>
    <row r="839" ht="15.75" customHeight="1">
      <c r="A839" s="1">
        <f>IFERROR(__xludf.DUMMYFUNCTION("""COMPUTED_VALUE"""),45089.66666666667)</f>
        <v>45089.66667</v>
      </c>
      <c r="B839" s="2">
        <f>IFERROR(__xludf.DUMMYFUNCTION("""COMPUTED_VALUE"""),4625.0)</f>
        <v>4625</v>
      </c>
      <c r="C839" s="2">
        <f>IFERROR(__xludf.DUMMYFUNCTION("""COMPUTED_VALUE"""),4650.0)</f>
        <v>4650</v>
      </c>
      <c r="D839" s="2">
        <f>IFERROR(__xludf.DUMMYFUNCTION("""COMPUTED_VALUE"""),4587.5)</f>
        <v>4587.5</v>
      </c>
      <c r="E839" s="2">
        <f>IFERROR(__xludf.DUMMYFUNCTION("""COMPUTED_VALUE"""),4650.0)</f>
        <v>4650</v>
      </c>
      <c r="F839" s="2">
        <f>IFERROR(__xludf.DUMMYFUNCTION("""COMPUTED_VALUE"""),1.71736E7)</f>
        <v>17173600</v>
      </c>
      <c r="G839" s="2">
        <f t="shared" si="1"/>
        <v>62.5</v>
      </c>
    </row>
    <row r="840" ht="15.75" customHeight="1">
      <c r="A840" s="1">
        <f>IFERROR(__xludf.DUMMYFUNCTION("""COMPUTED_VALUE"""),45090.66666666667)</f>
        <v>45090.66667</v>
      </c>
      <c r="B840" s="2">
        <f>IFERROR(__xludf.DUMMYFUNCTION("""COMPUTED_VALUE"""),4650.0)</f>
        <v>4650</v>
      </c>
      <c r="C840" s="2">
        <f>IFERROR(__xludf.DUMMYFUNCTION("""COMPUTED_VALUE"""),4650.0)</f>
        <v>4650</v>
      </c>
      <c r="D840" s="2">
        <f>IFERROR(__xludf.DUMMYFUNCTION("""COMPUTED_VALUE"""),4550.0)</f>
        <v>4550</v>
      </c>
      <c r="E840" s="2">
        <f>IFERROR(__xludf.DUMMYFUNCTION("""COMPUTED_VALUE"""),4562.5)</f>
        <v>4562.5</v>
      </c>
      <c r="F840" s="2">
        <f>IFERROR(__xludf.DUMMYFUNCTION("""COMPUTED_VALUE"""),2.0095E7)</f>
        <v>20095000</v>
      </c>
      <c r="G840" s="2">
        <f t="shared" si="1"/>
        <v>100</v>
      </c>
    </row>
    <row r="841" ht="15.75" customHeight="1">
      <c r="A841" s="1">
        <f>IFERROR(__xludf.DUMMYFUNCTION("""COMPUTED_VALUE"""),45091.66666666667)</f>
        <v>45091.66667</v>
      </c>
      <c r="B841" s="2">
        <f>IFERROR(__xludf.DUMMYFUNCTION("""COMPUTED_VALUE"""),4550.0)</f>
        <v>4550</v>
      </c>
      <c r="C841" s="2">
        <f>IFERROR(__xludf.DUMMYFUNCTION("""COMPUTED_VALUE"""),4550.0)</f>
        <v>4550</v>
      </c>
      <c r="D841" s="2">
        <f>IFERROR(__xludf.DUMMYFUNCTION("""COMPUTED_VALUE"""),4475.0)</f>
        <v>4475</v>
      </c>
      <c r="E841" s="2">
        <f>IFERROR(__xludf.DUMMYFUNCTION("""COMPUTED_VALUE"""),4487.5)</f>
        <v>4487.5</v>
      </c>
      <c r="F841" s="2">
        <f>IFERROR(__xludf.DUMMYFUNCTION("""COMPUTED_VALUE"""),4.57239E7)</f>
        <v>45723900</v>
      </c>
      <c r="G841" s="2">
        <f t="shared" si="1"/>
        <v>87.5</v>
      </c>
    </row>
    <row r="842" ht="15.75" customHeight="1">
      <c r="A842" s="1">
        <f>IFERROR(__xludf.DUMMYFUNCTION("""COMPUTED_VALUE"""),45092.66666666667)</f>
        <v>45092.66667</v>
      </c>
      <c r="B842" s="2">
        <f>IFERROR(__xludf.DUMMYFUNCTION("""COMPUTED_VALUE"""),4487.5)</f>
        <v>4487.5</v>
      </c>
      <c r="C842" s="2">
        <f>IFERROR(__xludf.DUMMYFUNCTION("""COMPUTED_VALUE"""),4550.0)</f>
        <v>4550</v>
      </c>
      <c r="D842" s="2">
        <f>IFERROR(__xludf.DUMMYFUNCTION("""COMPUTED_VALUE"""),4475.0)</f>
        <v>4475</v>
      </c>
      <c r="E842" s="2">
        <f>IFERROR(__xludf.DUMMYFUNCTION("""COMPUTED_VALUE"""),4550.0)</f>
        <v>4550</v>
      </c>
      <c r="F842" s="2">
        <f>IFERROR(__xludf.DUMMYFUNCTION("""COMPUTED_VALUE"""),1.76356E7)</f>
        <v>17635600</v>
      </c>
      <c r="G842" s="2">
        <f t="shared" si="1"/>
        <v>75</v>
      </c>
    </row>
    <row r="843" ht="15.75" customHeight="1">
      <c r="A843" s="1">
        <f>IFERROR(__xludf.DUMMYFUNCTION("""COMPUTED_VALUE"""),45093.66666666667)</f>
        <v>45093.66667</v>
      </c>
      <c r="B843" s="2">
        <f>IFERROR(__xludf.DUMMYFUNCTION("""COMPUTED_VALUE"""),4537.5)</f>
        <v>4537.5</v>
      </c>
      <c r="C843" s="2">
        <f>IFERROR(__xludf.DUMMYFUNCTION("""COMPUTED_VALUE"""),4537.5)</f>
        <v>4537.5</v>
      </c>
      <c r="D843" s="2">
        <f>IFERROR(__xludf.DUMMYFUNCTION("""COMPUTED_VALUE"""),4475.0)</f>
        <v>4475</v>
      </c>
      <c r="E843" s="2">
        <f>IFERROR(__xludf.DUMMYFUNCTION("""COMPUTED_VALUE"""),4512.5)</f>
        <v>4512.5</v>
      </c>
      <c r="F843" s="2">
        <f>IFERROR(__xludf.DUMMYFUNCTION("""COMPUTED_VALUE"""),2.66105E7)</f>
        <v>26610500</v>
      </c>
      <c r="G843" s="2">
        <f t="shared" si="1"/>
        <v>75</v>
      </c>
    </row>
    <row r="844" ht="15.75" customHeight="1">
      <c r="A844" s="1">
        <f>IFERROR(__xludf.DUMMYFUNCTION("""COMPUTED_VALUE"""),45096.66666666667)</f>
        <v>45096.66667</v>
      </c>
      <c r="B844" s="2">
        <f>IFERROR(__xludf.DUMMYFUNCTION("""COMPUTED_VALUE"""),4512.5)</f>
        <v>4512.5</v>
      </c>
      <c r="C844" s="2">
        <f>IFERROR(__xludf.DUMMYFUNCTION("""COMPUTED_VALUE"""),4525.0)</f>
        <v>4525</v>
      </c>
      <c r="D844" s="2">
        <f>IFERROR(__xludf.DUMMYFUNCTION("""COMPUTED_VALUE"""),4475.0)</f>
        <v>4475</v>
      </c>
      <c r="E844" s="2">
        <f>IFERROR(__xludf.DUMMYFUNCTION("""COMPUTED_VALUE"""),4525.0)</f>
        <v>4525</v>
      </c>
      <c r="F844" s="2">
        <f>IFERROR(__xludf.DUMMYFUNCTION("""COMPUTED_VALUE"""),1.41045E7)</f>
        <v>14104500</v>
      </c>
      <c r="G844" s="2">
        <f t="shared" si="1"/>
        <v>50</v>
      </c>
    </row>
    <row r="845" ht="15.75" customHeight="1">
      <c r="A845" s="1">
        <f>IFERROR(__xludf.DUMMYFUNCTION("""COMPUTED_VALUE"""),45097.66666666667)</f>
        <v>45097.66667</v>
      </c>
      <c r="B845" s="2">
        <f>IFERROR(__xludf.DUMMYFUNCTION("""COMPUTED_VALUE"""),4525.0)</f>
        <v>4525</v>
      </c>
      <c r="C845" s="2">
        <f>IFERROR(__xludf.DUMMYFUNCTION("""COMPUTED_VALUE"""),4537.5)</f>
        <v>4537.5</v>
      </c>
      <c r="D845" s="2">
        <f>IFERROR(__xludf.DUMMYFUNCTION("""COMPUTED_VALUE"""),4500.0)</f>
        <v>4500</v>
      </c>
      <c r="E845" s="2">
        <f>IFERROR(__xludf.DUMMYFUNCTION("""COMPUTED_VALUE"""),4537.5)</f>
        <v>4537.5</v>
      </c>
      <c r="F845" s="2">
        <f>IFERROR(__xludf.DUMMYFUNCTION("""COMPUTED_VALUE"""),1.35561E7)</f>
        <v>13556100</v>
      </c>
      <c r="G845" s="2">
        <f t="shared" si="1"/>
        <v>37.5</v>
      </c>
    </row>
    <row r="846" ht="15.75" customHeight="1">
      <c r="A846" s="1">
        <f>IFERROR(__xludf.DUMMYFUNCTION("""COMPUTED_VALUE"""),45098.66666666667)</f>
        <v>45098.66667</v>
      </c>
      <c r="B846" s="2">
        <f>IFERROR(__xludf.DUMMYFUNCTION("""COMPUTED_VALUE"""),4537.5)</f>
        <v>4537.5</v>
      </c>
      <c r="C846" s="2">
        <f>IFERROR(__xludf.DUMMYFUNCTION("""COMPUTED_VALUE"""),4550.0)</f>
        <v>4550</v>
      </c>
      <c r="D846" s="2">
        <f>IFERROR(__xludf.DUMMYFUNCTION("""COMPUTED_VALUE"""),4500.0)</f>
        <v>4500</v>
      </c>
      <c r="E846" s="2">
        <f>IFERROR(__xludf.DUMMYFUNCTION("""COMPUTED_VALUE"""),4550.0)</f>
        <v>4550</v>
      </c>
      <c r="F846" s="2">
        <f>IFERROR(__xludf.DUMMYFUNCTION("""COMPUTED_VALUE"""),1.07973E7)</f>
        <v>10797300</v>
      </c>
      <c r="G846" s="2">
        <f t="shared" si="1"/>
        <v>50</v>
      </c>
    </row>
    <row r="847" ht="15.75" customHeight="1">
      <c r="A847" s="1">
        <f>IFERROR(__xludf.DUMMYFUNCTION("""COMPUTED_VALUE"""),45099.66666666667)</f>
        <v>45099.66667</v>
      </c>
      <c r="B847" s="2">
        <f>IFERROR(__xludf.DUMMYFUNCTION("""COMPUTED_VALUE"""),4550.0)</f>
        <v>4550</v>
      </c>
      <c r="C847" s="2">
        <f>IFERROR(__xludf.DUMMYFUNCTION("""COMPUTED_VALUE"""),4612.5)</f>
        <v>4612.5</v>
      </c>
      <c r="D847" s="2">
        <f>IFERROR(__xludf.DUMMYFUNCTION("""COMPUTED_VALUE"""),4525.0)</f>
        <v>4525</v>
      </c>
      <c r="E847" s="2">
        <f>IFERROR(__xludf.DUMMYFUNCTION("""COMPUTED_VALUE"""),4525.0)</f>
        <v>4525</v>
      </c>
      <c r="F847" s="2">
        <f>IFERROR(__xludf.DUMMYFUNCTION("""COMPUTED_VALUE"""),2.08898E7)</f>
        <v>20889800</v>
      </c>
      <c r="G847" s="2">
        <f t="shared" si="1"/>
        <v>87.5</v>
      </c>
    </row>
    <row r="848" ht="15.75" customHeight="1">
      <c r="A848" s="1">
        <f>IFERROR(__xludf.DUMMYFUNCTION("""COMPUTED_VALUE"""),45100.66666666667)</f>
        <v>45100.66667</v>
      </c>
      <c r="B848" s="2">
        <f>IFERROR(__xludf.DUMMYFUNCTION("""COMPUTED_VALUE"""),4537.5)</f>
        <v>4537.5</v>
      </c>
      <c r="C848" s="2">
        <f>IFERROR(__xludf.DUMMYFUNCTION("""COMPUTED_VALUE"""),4550.0)</f>
        <v>4550</v>
      </c>
      <c r="D848" s="2">
        <f>IFERROR(__xludf.DUMMYFUNCTION("""COMPUTED_VALUE"""),4512.5)</f>
        <v>4512.5</v>
      </c>
      <c r="E848" s="2">
        <f>IFERROR(__xludf.DUMMYFUNCTION("""COMPUTED_VALUE"""),4512.5)</f>
        <v>4512.5</v>
      </c>
      <c r="F848" s="2">
        <f>IFERROR(__xludf.DUMMYFUNCTION("""COMPUTED_VALUE"""),1.11731E7)</f>
        <v>11173100</v>
      </c>
      <c r="G848" s="2">
        <f t="shared" si="1"/>
        <v>37.5</v>
      </c>
    </row>
    <row r="849" ht="15.75" customHeight="1">
      <c r="A849" s="1">
        <f>IFERROR(__xludf.DUMMYFUNCTION("""COMPUTED_VALUE"""),45103.66666666667)</f>
        <v>45103.66667</v>
      </c>
      <c r="B849" s="2">
        <f>IFERROR(__xludf.DUMMYFUNCTION("""COMPUTED_VALUE"""),4512.5)</f>
        <v>4512.5</v>
      </c>
      <c r="C849" s="2">
        <f>IFERROR(__xludf.DUMMYFUNCTION("""COMPUTED_VALUE"""),4562.5)</f>
        <v>4562.5</v>
      </c>
      <c r="D849" s="2">
        <f>IFERROR(__xludf.DUMMYFUNCTION("""COMPUTED_VALUE"""),4487.5)</f>
        <v>4487.5</v>
      </c>
      <c r="E849" s="2">
        <f>IFERROR(__xludf.DUMMYFUNCTION("""COMPUTED_VALUE"""),4562.5)</f>
        <v>4562.5</v>
      </c>
      <c r="F849" s="2">
        <f>IFERROR(__xludf.DUMMYFUNCTION("""COMPUTED_VALUE"""),1.38616E7)</f>
        <v>13861600</v>
      </c>
      <c r="G849" s="2">
        <f t="shared" si="1"/>
        <v>75</v>
      </c>
    </row>
    <row r="850" ht="15.75" customHeight="1">
      <c r="A850" s="1">
        <f>IFERROR(__xludf.DUMMYFUNCTION("""COMPUTED_VALUE"""),45104.66666666667)</f>
        <v>45104.66667</v>
      </c>
      <c r="B850" s="2">
        <f>IFERROR(__xludf.DUMMYFUNCTION("""COMPUTED_VALUE"""),4562.5)</f>
        <v>4562.5</v>
      </c>
      <c r="C850" s="2">
        <f>IFERROR(__xludf.DUMMYFUNCTION("""COMPUTED_VALUE"""),4587.5)</f>
        <v>4587.5</v>
      </c>
      <c r="D850" s="2">
        <f>IFERROR(__xludf.DUMMYFUNCTION("""COMPUTED_VALUE"""),4537.5)</f>
        <v>4537.5</v>
      </c>
      <c r="E850" s="2">
        <f>IFERROR(__xludf.DUMMYFUNCTION("""COMPUTED_VALUE"""),4575.0)</f>
        <v>4575</v>
      </c>
      <c r="F850" s="2">
        <f>IFERROR(__xludf.DUMMYFUNCTION("""COMPUTED_VALUE"""),1.69866E7)</f>
        <v>16986600</v>
      </c>
      <c r="G850" s="2">
        <f t="shared" si="1"/>
        <v>50</v>
      </c>
    </row>
    <row r="851" ht="15.75" customHeight="1">
      <c r="A851" s="1">
        <f>IFERROR(__xludf.DUMMYFUNCTION("""COMPUTED_VALUE"""),45110.66666666667)</f>
        <v>45110.66667</v>
      </c>
      <c r="B851" s="2">
        <f>IFERROR(__xludf.DUMMYFUNCTION("""COMPUTED_VALUE"""),4600.0)</f>
        <v>4600</v>
      </c>
      <c r="C851" s="2">
        <f>IFERROR(__xludf.DUMMYFUNCTION("""COMPUTED_VALUE"""),4625.0)</f>
        <v>4625</v>
      </c>
      <c r="D851" s="2">
        <f>IFERROR(__xludf.DUMMYFUNCTION("""COMPUTED_VALUE"""),4575.0)</f>
        <v>4575</v>
      </c>
      <c r="E851" s="2">
        <f>IFERROR(__xludf.DUMMYFUNCTION("""COMPUTED_VALUE"""),4612.5)</f>
        <v>4612.5</v>
      </c>
      <c r="F851" s="2">
        <f>IFERROR(__xludf.DUMMYFUNCTION("""COMPUTED_VALUE"""),3.15458E7)</f>
        <v>31545800</v>
      </c>
      <c r="G851" s="2">
        <f t="shared" si="1"/>
        <v>50</v>
      </c>
    </row>
    <row r="852" ht="15.75" customHeight="1">
      <c r="A852" s="1">
        <f>IFERROR(__xludf.DUMMYFUNCTION("""COMPUTED_VALUE"""),45111.66666666667)</f>
        <v>45111.66667</v>
      </c>
      <c r="B852" s="2">
        <f>IFERROR(__xludf.DUMMYFUNCTION("""COMPUTED_VALUE"""),4612.5)</f>
        <v>4612.5</v>
      </c>
      <c r="C852" s="2">
        <f>IFERROR(__xludf.DUMMYFUNCTION("""COMPUTED_VALUE"""),4612.5)</f>
        <v>4612.5</v>
      </c>
      <c r="D852" s="2">
        <f>IFERROR(__xludf.DUMMYFUNCTION("""COMPUTED_VALUE"""),4525.0)</f>
        <v>4525</v>
      </c>
      <c r="E852" s="2">
        <f>IFERROR(__xludf.DUMMYFUNCTION("""COMPUTED_VALUE"""),4550.0)</f>
        <v>4550</v>
      </c>
      <c r="F852" s="2">
        <f>IFERROR(__xludf.DUMMYFUNCTION("""COMPUTED_VALUE"""),1.59688E7)</f>
        <v>15968800</v>
      </c>
      <c r="G852" s="2">
        <f t="shared" si="1"/>
        <v>87.5</v>
      </c>
    </row>
    <row r="853" ht="15.75" customHeight="1">
      <c r="A853" s="1">
        <f>IFERROR(__xludf.DUMMYFUNCTION("""COMPUTED_VALUE"""),45112.66666666667)</f>
        <v>45112.66667</v>
      </c>
      <c r="B853" s="2">
        <f>IFERROR(__xludf.DUMMYFUNCTION("""COMPUTED_VALUE"""),4562.5)</f>
        <v>4562.5</v>
      </c>
      <c r="C853" s="2">
        <f>IFERROR(__xludf.DUMMYFUNCTION("""COMPUTED_VALUE"""),4575.0)</f>
        <v>4575</v>
      </c>
      <c r="D853" s="2">
        <f>IFERROR(__xludf.DUMMYFUNCTION("""COMPUTED_VALUE"""),4537.5)</f>
        <v>4537.5</v>
      </c>
      <c r="E853" s="2">
        <f>IFERROR(__xludf.DUMMYFUNCTION("""COMPUTED_VALUE"""),4575.0)</f>
        <v>4575</v>
      </c>
      <c r="F853" s="2">
        <f>IFERROR(__xludf.DUMMYFUNCTION("""COMPUTED_VALUE"""),8362100.0)</f>
        <v>8362100</v>
      </c>
      <c r="G853" s="2">
        <f t="shared" si="1"/>
        <v>37.5</v>
      </c>
    </row>
    <row r="854" ht="15.75" customHeight="1">
      <c r="A854" s="1">
        <f>IFERROR(__xludf.DUMMYFUNCTION("""COMPUTED_VALUE"""),45113.66666666667)</f>
        <v>45113.66667</v>
      </c>
      <c r="B854" s="2">
        <f>IFERROR(__xludf.DUMMYFUNCTION("""COMPUTED_VALUE"""),4575.0)</f>
        <v>4575</v>
      </c>
      <c r="C854" s="2">
        <f>IFERROR(__xludf.DUMMYFUNCTION("""COMPUTED_VALUE"""),4600.0)</f>
        <v>4600</v>
      </c>
      <c r="D854" s="2">
        <f>IFERROR(__xludf.DUMMYFUNCTION("""COMPUTED_VALUE"""),4537.5)</f>
        <v>4537.5</v>
      </c>
      <c r="E854" s="2">
        <f>IFERROR(__xludf.DUMMYFUNCTION("""COMPUTED_VALUE"""),4550.0)</f>
        <v>4550</v>
      </c>
      <c r="F854" s="2">
        <f>IFERROR(__xludf.DUMMYFUNCTION("""COMPUTED_VALUE"""),2.41463E7)</f>
        <v>24146300</v>
      </c>
      <c r="G854" s="2">
        <f t="shared" si="1"/>
        <v>62.5</v>
      </c>
    </row>
    <row r="855" ht="15.75" customHeight="1">
      <c r="A855" s="1">
        <f>IFERROR(__xludf.DUMMYFUNCTION("""COMPUTED_VALUE"""),45114.66666666667)</f>
        <v>45114.66667</v>
      </c>
      <c r="B855" s="2">
        <f>IFERROR(__xludf.DUMMYFUNCTION("""COMPUTED_VALUE"""),4550.0)</f>
        <v>4550</v>
      </c>
      <c r="C855" s="2">
        <f>IFERROR(__xludf.DUMMYFUNCTION("""COMPUTED_VALUE"""),4575.0)</f>
        <v>4575</v>
      </c>
      <c r="D855" s="2">
        <f>IFERROR(__xludf.DUMMYFUNCTION("""COMPUTED_VALUE"""),4537.5)</f>
        <v>4537.5</v>
      </c>
      <c r="E855" s="2">
        <f>IFERROR(__xludf.DUMMYFUNCTION("""COMPUTED_VALUE"""),4537.5)</f>
        <v>4537.5</v>
      </c>
      <c r="F855" s="2">
        <f>IFERROR(__xludf.DUMMYFUNCTION("""COMPUTED_VALUE"""),1.23567E7)</f>
        <v>12356700</v>
      </c>
      <c r="G855" s="2">
        <f t="shared" si="1"/>
        <v>37.5</v>
      </c>
    </row>
    <row r="856" ht="15.75" customHeight="1">
      <c r="A856" s="1">
        <f>IFERROR(__xludf.DUMMYFUNCTION("""COMPUTED_VALUE"""),45117.66666666667)</f>
        <v>45117.66667</v>
      </c>
      <c r="B856" s="2">
        <f>IFERROR(__xludf.DUMMYFUNCTION("""COMPUTED_VALUE"""),4537.5)</f>
        <v>4537.5</v>
      </c>
      <c r="C856" s="2">
        <f>IFERROR(__xludf.DUMMYFUNCTION("""COMPUTED_VALUE"""),4562.5)</f>
        <v>4562.5</v>
      </c>
      <c r="D856" s="2">
        <f>IFERROR(__xludf.DUMMYFUNCTION("""COMPUTED_VALUE"""),4525.0)</f>
        <v>4525</v>
      </c>
      <c r="E856" s="2">
        <f>IFERROR(__xludf.DUMMYFUNCTION("""COMPUTED_VALUE"""),4525.0)</f>
        <v>4525</v>
      </c>
      <c r="F856" s="2">
        <f>IFERROR(__xludf.DUMMYFUNCTION("""COMPUTED_VALUE"""),9916300.0)</f>
        <v>9916300</v>
      </c>
      <c r="G856" s="2">
        <f t="shared" si="1"/>
        <v>37.5</v>
      </c>
    </row>
    <row r="857" ht="15.75" customHeight="1">
      <c r="A857" s="1">
        <f>IFERROR(__xludf.DUMMYFUNCTION("""COMPUTED_VALUE"""),45118.66666666667)</f>
        <v>45118.66667</v>
      </c>
      <c r="B857" s="2">
        <f>IFERROR(__xludf.DUMMYFUNCTION("""COMPUTED_VALUE"""),4512.5)</f>
        <v>4512.5</v>
      </c>
      <c r="C857" s="2">
        <f>IFERROR(__xludf.DUMMYFUNCTION("""COMPUTED_VALUE"""),4537.5)</f>
        <v>4537.5</v>
      </c>
      <c r="D857" s="2">
        <f>IFERROR(__xludf.DUMMYFUNCTION("""COMPUTED_VALUE"""),4487.5)</f>
        <v>4487.5</v>
      </c>
      <c r="E857" s="2">
        <f>IFERROR(__xludf.DUMMYFUNCTION("""COMPUTED_VALUE"""),4487.5)</f>
        <v>4487.5</v>
      </c>
      <c r="F857" s="2">
        <f>IFERROR(__xludf.DUMMYFUNCTION("""COMPUTED_VALUE"""),2.30814E7)</f>
        <v>23081400</v>
      </c>
      <c r="G857" s="2">
        <f t="shared" si="1"/>
        <v>50</v>
      </c>
    </row>
    <row r="858" ht="15.75" customHeight="1">
      <c r="A858" s="1">
        <f>IFERROR(__xludf.DUMMYFUNCTION("""COMPUTED_VALUE"""),45119.66666666667)</f>
        <v>45119.66667</v>
      </c>
      <c r="B858" s="2">
        <f>IFERROR(__xludf.DUMMYFUNCTION("""COMPUTED_VALUE"""),4500.0)</f>
        <v>4500</v>
      </c>
      <c r="C858" s="2">
        <f>IFERROR(__xludf.DUMMYFUNCTION("""COMPUTED_VALUE"""),4512.5)</f>
        <v>4512.5</v>
      </c>
      <c r="D858" s="2">
        <f>IFERROR(__xludf.DUMMYFUNCTION("""COMPUTED_VALUE"""),4462.5)</f>
        <v>4462.5</v>
      </c>
      <c r="E858" s="2">
        <f>IFERROR(__xludf.DUMMYFUNCTION("""COMPUTED_VALUE"""),4475.0)</f>
        <v>4475</v>
      </c>
      <c r="F858" s="2">
        <f>IFERROR(__xludf.DUMMYFUNCTION("""COMPUTED_VALUE"""),4.19633E7)</f>
        <v>41963300</v>
      </c>
      <c r="G858" s="2">
        <f t="shared" si="1"/>
        <v>50</v>
      </c>
    </row>
    <row r="859" ht="15.75" customHeight="1">
      <c r="A859" s="1">
        <f>IFERROR(__xludf.DUMMYFUNCTION("""COMPUTED_VALUE"""),45120.66666666667)</f>
        <v>45120.66667</v>
      </c>
      <c r="B859" s="2">
        <f>IFERROR(__xludf.DUMMYFUNCTION("""COMPUTED_VALUE"""),4487.5)</f>
        <v>4487.5</v>
      </c>
      <c r="C859" s="2">
        <f>IFERROR(__xludf.DUMMYFUNCTION("""COMPUTED_VALUE"""),4512.5)</f>
        <v>4512.5</v>
      </c>
      <c r="D859" s="2">
        <f>IFERROR(__xludf.DUMMYFUNCTION("""COMPUTED_VALUE"""),4437.5)</f>
        <v>4437.5</v>
      </c>
      <c r="E859" s="2">
        <f>IFERROR(__xludf.DUMMYFUNCTION("""COMPUTED_VALUE"""),4450.0)</f>
        <v>4450</v>
      </c>
      <c r="F859" s="2">
        <f>IFERROR(__xludf.DUMMYFUNCTION("""COMPUTED_VALUE"""),5.79976E7)</f>
        <v>57997600</v>
      </c>
      <c r="G859" s="2">
        <f t="shared" si="1"/>
        <v>75</v>
      </c>
    </row>
    <row r="860" ht="15.75" customHeight="1">
      <c r="A860" s="1">
        <f>IFERROR(__xludf.DUMMYFUNCTION("""COMPUTED_VALUE"""),45121.66666666667)</f>
        <v>45121.66667</v>
      </c>
      <c r="B860" s="2">
        <f>IFERROR(__xludf.DUMMYFUNCTION("""COMPUTED_VALUE"""),4462.5)</f>
        <v>4462.5</v>
      </c>
      <c r="C860" s="2">
        <f>IFERROR(__xludf.DUMMYFUNCTION("""COMPUTED_VALUE"""),4487.5)</f>
        <v>4487.5</v>
      </c>
      <c r="D860" s="2">
        <f>IFERROR(__xludf.DUMMYFUNCTION("""COMPUTED_VALUE"""),4450.0)</f>
        <v>4450</v>
      </c>
      <c r="E860" s="2">
        <f>IFERROR(__xludf.DUMMYFUNCTION("""COMPUTED_VALUE"""),4462.5)</f>
        <v>4462.5</v>
      </c>
      <c r="F860" s="2">
        <f>IFERROR(__xludf.DUMMYFUNCTION("""COMPUTED_VALUE"""),2.17984E7)</f>
        <v>21798400</v>
      </c>
      <c r="G860" s="2">
        <f t="shared" si="1"/>
        <v>37.5</v>
      </c>
    </row>
    <row r="861" ht="15.75" customHeight="1">
      <c r="A861" s="1">
        <f>IFERROR(__xludf.DUMMYFUNCTION("""COMPUTED_VALUE"""),45124.66666666667)</f>
        <v>45124.66667</v>
      </c>
      <c r="B861" s="2">
        <f>IFERROR(__xludf.DUMMYFUNCTION("""COMPUTED_VALUE"""),4475.0)</f>
        <v>4475</v>
      </c>
      <c r="C861" s="2">
        <f>IFERROR(__xludf.DUMMYFUNCTION("""COMPUTED_VALUE"""),4512.5)</f>
        <v>4512.5</v>
      </c>
      <c r="D861" s="2">
        <f>IFERROR(__xludf.DUMMYFUNCTION("""COMPUTED_VALUE"""),4475.0)</f>
        <v>4475</v>
      </c>
      <c r="E861" s="2">
        <f>IFERROR(__xludf.DUMMYFUNCTION("""COMPUTED_VALUE"""),4475.0)</f>
        <v>4475</v>
      </c>
      <c r="F861" s="2">
        <f>IFERROR(__xludf.DUMMYFUNCTION("""COMPUTED_VALUE"""),3.00097E7)</f>
        <v>30009700</v>
      </c>
      <c r="G861" s="2">
        <f t="shared" si="1"/>
        <v>50</v>
      </c>
    </row>
    <row r="862" ht="15.75" customHeight="1">
      <c r="A862" s="1">
        <f>IFERROR(__xludf.DUMMYFUNCTION("""COMPUTED_VALUE"""),45125.66666666667)</f>
        <v>45125.66667</v>
      </c>
      <c r="B862" s="2">
        <f>IFERROR(__xludf.DUMMYFUNCTION("""COMPUTED_VALUE"""),4475.0)</f>
        <v>4475</v>
      </c>
      <c r="C862" s="2">
        <f>IFERROR(__xludf.DUMMYFUNCTION("""COMPUTED_VALUE"""),4500.0)</f>
        <v>4500</v>
      </c>
      <c r="D862" s="2">
        <f>IFERROR(__xludf.DUMMYFUNCTION("""COMPUTED_VALUE"""),4450.0)</f>
        <v>4450</v>
      </c>
      <c r="E862" s="2">
        <f>IFERROR(__xludf.DUMMYFUNCTION("""COMPUTED_VALUE"""),4450.0)</f>
        <v>4450</v>
      </c>
      <c r="F862" s="2">
        <f>IFERROR(__xludf.DUMMYFUNCTION("""COMPUTED_VALUE"""),3.25404E7)</f>
        <v>32540400</v>
      </c>
      <c r="G862" s="2">
        <f t="shared" si="1"/>
        <v>50</v>
      </c>
    </row>
    <row r="863" ht="15.75" customHeight="1">
      <c r="A863" s="1">
        <f>IFERROR(__xludf.DUMMYFUNCTION("""COMPUTED_VALUE"""),45127.66666666667)</f>
        <v>45127.66667</v>
      </c>
      <c r="B863" s="2">
        <f>IFERROR(__xludf.DUMMYFUNCTION("""COMPUTED_VALUE"""),4462.5)</f>
        <v>4462.5</v>
      </c>
      <c r="C863" s="2">
        <f>IFERROR(__xludf.DUMMYFUNCTION("""COMPUTED_VALUE"""),4525.0)</f>
        <v>4525</v>
      </c>
      <c r="D863" s="2">
        <f>IFERROR(__xludf.DUMMYFUNCTION("""COMPUTED_VALUE"""),4462.5)</f>
        <v>4462.5</v>
      </c>
      <c r="E863" s="2">
        <f>IFERROR(__xludf.DUMMYFUNCTION("""COMPUTED_VALUE"""),4525.0)</f>
        <v>4525</v>
      </c>
      <c r="F863" s="2">
        <f>IFERROR(__xludf.DUMMYFUNCTION("""COMPUTED_VALUE"""),3.12662E7)</f>
        <v>31266200</v>
      </c>
      <c r="G863" s="2">
        <f t="shared" si="1"/>
        <v>75</v>
      </c>
    </row>
    <row r="864" ht="15.75" customHeight="1">
      <c r="A864" s="1">
        <f>IFERROR(__xludf.DUMMYFUNCTION("""COMPUTED_VALUE"""),45128.66666666667)</f>
        <v>45128.66667</v>
      </c>
      <c r="B864" s="2">
        <f>IFERROR(__xludf.DUMMYFUNCTION("""COMPUTED_VALUE"""),4525.0)</f>
        <v>4525</v>
      </c>
      <c r="C864" s="2">
        <f>IFERROR(__xludf.DUMMYFUNCTION("""COMPUTED_VALUE"""),4525.0)</f>
        <v>4525</v>
      </c>
      <c r="D864" s="2">
        <f>IFERROR(__xludf.DUMMYFUNCTION("""COMPUTED_VALUE"""),4500.0)</f>
        <v>4500</v>
      </c>
      <c r="E864" s="2">
        <f>IFERROR(__xludf.DUMMYFUNCTION("""COMPUTED_VALUE"""),4525.0)</f>
        <v>4525</v>
      </c>
      <c r="F864" s="2">
        <f>IFERROR(__xludf.DUMMYFUNCTION("""COMPUTED_VALUE"""),9789100.0)</f>
        <v>9789100</v>
      </c>
      <c r="G864" s="2">
        <f t="shared" si="1"/>
        <v>25</v>
      </c>
    </row>
    <row r="865" ht="15.75" customHeight="1">
      <c r="A865" s="1">
        <f>IFERROR(__xludf.DUMMYFUNCTION("""COMPUTED_VALUE"""),45131.66666666667)</f>
        <v>45131.66667</v>
      </c>
      <c r="B865" s="2">
        <f>IFERROR(__xludf.DUMMYFUNCTION("""COMPUTED_VALUE"""),4500.0)</f>
        <v>4500</v>
      </c>
      <c r="C865" s="2">
        <f>IFERROR(__xludf.DUMMYFUNCTION("""COMPUTED_VALUE"""),4537.5)</f>
        <v>4537.5</v>
      </c>
      <c r="D865" s="2">
        <f>IFERROR(__xludf.DUMMYFUNCTION("""COMPUTED_VALUE"""),4500.0)</f>
        <v>4500</v>
      </c>
      <c r="E865" s="2">
        <f>IFERROR(__xludf.DUMMYFUNCTION("""COMPUTED_VALUE"""),4512.5)</f>
        <v>4512.5</v>
      </c>
      <c r="F865" s="2">
        <f>IFERROR(__xludf.DUMMYFUNCTION("""COMPUTED_VALUE"""),1.87427E7)</f>
        <v>18742700</v>
      </c>
      <c r="G865" s="2">
        <f t="shared" si="1"/>
        <v>37.5</v>
      </c>
    </row>
    <row r="866" ht="15.75" customHeight="1">
      <c r="A866" s="1">
        <f>IFERROR(__xludf.DUMMYFUNCTION("""COMPUTED_VALUE"""),45132.66666666667)</f>
        <v>45132.66667</v>
      </c>
      <c r="B866" s="2">
        <f>IFERROR(__xludf.DUMMYFUNCTION("""COMPUTED_VALUE"""),4525.0)</f>
        <v>4525</v>
      </c>
      <c r="C866" s="2">
        <f>IFERROR(__xludf.DUMMYFUNCTION("""COMPUTED_VALUE"""),4562.5)</f>
        <v>4562.5</v>
      </c>
      <c r="D866" s="2">
        <f>IFERROR(__xludf.DUMMYFUNCTION("""COMPUTED_VALUE"""),4512.5)</f>
        <v>4512.5</v>
      </c>
      <c r="E866" s="2">
        <f>IFERROR(__xludf.DUMMYFUNCTION("""COMPUTED_VALUE"""),4512.5)</f>
        <v>4512.5</v>
      </c>
      <c r="F866" s="2">
        <f>IFERROR(__xludf.DUMMYFUNCTION("""COMPUTED_VALUE"""),2.29795E7)</f>
        <v>22979500</v>
      </c>
      <c r="G866" s="2">
        <f t="shared" si="1"/>
        <v>50</v>
      </c>
    </row>
    <row r="867" ht="15.75" customHeight="1">
      <c r="A867" s="1">
        <f>IFERROR(__xludf.DUMMYFUNCTION("""COMPUTED_VALUE"""),45133.66666666667)</f>
        <v>45133.66667</v>
      </c>
      <c r="B867" s="2">
        <f>IFERROR(__xludf.DUMMYFUNCTION("""COMPUTED_VALUE"""),4512.5)</f>
        <v>4512.5</v>
      </c>
      <c r="C867" s="2">
        <f>IFERROR(__xludf.DUMMYFUNCTION("""COMPUTED_VALUE"""),4525.0)</f>
        <v>4525</v>
      </c>
      <c r="D867" s="2">
        <f>IFERROR(__xludf.DUMMYFUNCTION("""COMPUTED_VALUE"""),4462.5)</f>
        <v>4462.5</v>
      </c>
      <c r="E867" s="2">
        <f>IFERROR(__xludf.DUMMYFUNCTION("""COMPUTED_VALUE"""),4475.0)</f>
        <v>4475</v>
      </c>
      <c r="F867" s="2">
        <f>IFERROR(__xludf.DUMMYFUNCTION("""COMPUTED_VALUE"""),5.20037E7)</f>
        <v>52003700</v>
      </c>
      <c r="G867" s="2">
        <f t="shared" si="1"/>
        <v>62.5</v>
      </c>
    </row>
    <row r="868" ht="15.75" customHeight="1">
      <c r="A868" s="1">
        <f>IFERROR(__xludf.DUMMYFUNCTION("""COMPUTED_VALUE"""),45134.66666666667)</f>
        <v>45134.66667</v>
      </c>
      <c r="B868" s="2">
        <f>IFERROR(__xludf.DUMMYFUNCTION("""COMPUTED_VALUE"""),4462.5)</f>
        <v>4462.5</v>
      </c>
      <c r="C868" s="2">
        <f>IFERROR(__xludf.DUMMYFUNCTION("""COMPUTED_VALUE"""),4475.0)</f>
        <v>4475</v>
      </c>
      <c r="D868" s="2">
        <f>IFERROR(__xludf.DUMMYFUNCTION("""COMPUTED_VALUE"""),4450.0)</f>
        <v>4450</v>
      </c>
      <c r="E868" s="2">
        <f>IFERROR(__xludf.DUMMYFUNCTION("""COMPUTED_VALUE"""),4450.0)</f>
        <v>4450</v>
      </c>
      <c r="F868" s="2">
        <f>IFERROR(__xludf.DUMMYFUNCTION("""COMPUTED_VALUE"""),4.27864E7)</f>
        <v>42786400</v>
      </c>
      <c r="G868" s="2">
        <f t="shared" si="1"/>
        <v>25</v>
      </c>
    </row>
    <row r="869" ht="15.75" customHeight="1">
      <c r="A869" s="1">
        <f>IFERROR(__xludf.DUMMYFUNCTION("""COMPUTED_VALUE"""),45135.66666666667)</f>
        <v>45135.66667</v>
      </c>
      <c r="B869" s="2">
        <f>IFERROR(__xludf.DUMMYFUNCTION("""COMPUTED_VALUE"""),4450.0)</f>
        <v>4450</v>
      </c>
      <c r="C869" s="2">
        <f>IFERROR(__xludf.DUMMYFUNCTION("""COMPUTED_VALUE"""),4462.5)</f>
        <v>4462.5</v>
      </c>
      <c r="D869" s="2">
        <f>IFERROR(__xludf.DUMMYFUNCTION("""COMPUTED_VALUE"""),4400.0)</f>
        <v>4400</v>
      </c>
      <c r="E869" s="2">
        <f>IFERROR(__xludf.DUMMYFUNCTION("""COMPUTED_VALUE"""),4437.5)</f>
        <v>4437.5</v>
      </c>
      <c r="F869" s="2">
        <f>IFERROR(__xludf.DUMMYFUNCTION("""COMPUTED_VALUE"""),4.0624E7)</f>
        <v>40624000</v>
      </c>
      <c r="G869" s="2">
        <f t="shared" si="1"/>
        <v>62.5</v>
      </c>
    </row>
    <row r="870" ht="15.75" customHeight="1">
      <c r="A870" s="1">
        <f>IFERROR(__xludf.DUMMYFUNCTION("""COMPUTED_VALUE"""),45138.66666666667)</f>
        <v>45138.66667</v>
      </c>
      <c r="B870" s="2">
        <f>IFERROR(__xludf.DUMMYFUNCTION("""COMPUTED_VALUE"""),4450.0)</f>
        <v>4450</v>
      </c>
      <c r="C870" s="2">
        <f>IFERROR(__xludf.DUMMYFUNCTION("""COMPUTED_VALUE"""),4475.0)</f>
        <v>4475</v>
      </c>
      <c r="D870" s="2">
        <f>IFERROR(__xludf.DUMMYFUNCTION("""COMPUTED_VALUE"""),4412.5)</f>
        <v>4412.5</v>
      </c>
      <c r="E870" s="2">
        <f>IFERROR(__xludf.DUMMYFUNCTION("""COMPUTED_VALUE"""),4437.5)</f>
        <v>4437.5</v>
      </c>
      <c r="F870" s="2">
        <f>IFERROR(__xludf.DUMMYFUNCTION("""COMPUTED_VALUE"""),3.25087E7)</f>
        <v>32508700</v>
      </c>
      <c r="G870" s="2">
        <f t="shared" si="1"/>
        <v>62.5</v>
      </c>
    </row>
    <row r="871" ht="15.75" customHeight="1">
      <c r="A871" s="1">
        <f>IFERROR(__xludf.DUMMYFUNCTION("""COMPUTED_VALUE"""),45139.66666666667)</f>
        <v>45139.66667</v>
      </c>
      <c r="B871" s="2">
        <f>IFERROR(__xludf.DUMMYFUNCTION("""COMPUTED_VALUE"""),4412.5)</f>
        <v>4412.5</v>
      </c>
      <c r="C871" s="2">
        <f>IFERROR(__xludf.DUMMYFUNCTION("""COMPUTED_VALUE"""),4425.0)</f>
        <v>4425</v>
      </c>
      <c r="D871" s="2">
        <f>IFERROR(__xludf.DUMMYFUNCTION("""COMPUTED_VALUE"""),4312.5)</f>
        <v>4312.5</v>
      </c>
      <c r="E871" s="2">
        <f>IFERROR(__xludf.DUMMYFUNCTION("""COMPUTED_VALUE"""),4337.5)</f>
        <v>4337.5</v>
      </c>
      <c r="F871" s="2">
        <f>IFERROR(__xludf.DUMMYFUNCTION("""COMPUTED_VALUE"""),6.81433E7)</f>
        <v>68143300</v>
      </c>
      <c r="G871" s="2">
        <f t="shared" si="1"/>
        <v>125</v>
      </c>
    </row>
    <row r="872" ht="15.75" customHeight="1">
      <c r="A872" s="1">
        <f>IFERROR(__xludf.DUMMYFUNCTION("""COMPUTED_VALUE"""),45140.66666666667)</f>
        <v>45140.66667</v>
      </c>
      <c r="B872" s="2">
        <f>IFERROR(__xludf.DUMMYFUNCTION("""COMPUTED_VALUE"""),4350.0)</f>
        <v>4350</v>
      </c>
      <c r="C872" s="2">
        <f>IFERROR(__xludf.DUMMYFUNCTION("""COMPUTED_VALUE"""),4437.5)</f>
        <v>4437.5</v>
      </c>
      <c r="D872" s="2">
        <f>IFERROR(__xludf.DUMMYFUNCTION("""COMPUTED_VALUE"""),4350.0)</f>
        <v>4350</v>
      </c>
      <c r="E872" s="2">
        <f>IFERROR(__xludf.DUMMYFUNCTION("""COMPUTED_VALUE"""),4437.5)</f>
        <v>4437.5</v>
      </c>
      <c r="F872" s="2">
        <f>IFERROR(__xludf.DUMMYFUNCTION("""COMPUTED_VALUE"""),3.32263E7)</f>
        <v>33226300</v>
      </c>
      <c r="G872" s="2">
        <f t="shared" si="1"/>
        <v>100</v>
      </c>
    </row>
    <row r="873" ht="15.75" customHeight="1">
      <c r="A873" s="1">
        <f>IFERROR(__xludf.DUMMYFUNCTION("""COMPUTED_VALUE"""),45141.66666666667)</f>
        <v>45141.66667</v>
      </c>
      <c r="B873" s="2">
        <f>IFERROR(__xludf.DUMMYFUNCTION("""COMPUTED_VALUE"""),4437.5)</f>
        <v>4437.5</v>
      </c>
      <c r="C873" s="2">
        <f>IFERROR(__xludf.DUMMYFUNCTION("""COMPUTED_VALUE"""),4500.0)</f>
        <v>4500</v>
      </c>
      <c r="D873" s="2">
        <f>IFERROR(__xludf.DUMMYFUNCTION("""COMPUTED_VALUE"""),4425.0)</f>
        <v>4425</v>
      </c>
      <c r="E873" s="2">
        <f>IFERROR(__xludf.DUMMYFUNCTION("""COMPUTED_VALUE"""),4475.0)</f>
        <v>4475</v>
      </c>
      <c r="F873" s="2">
        <f>IFERROR(__xludf.DUMMYFUNCTION("""COMPUTED_VALUE"""),4.10844E7)</f>
        <v>41084400</v>
      </c>
      <c r="G873" s="2">
        <f t="shared" si="1"/>
        <v>75</v>
      </c>
    </row>
    <row r="874" ht="15.75" customHeight="1">
      <c r="A874" s="1">
        <f>IFERROR(__xludf.DUMMYFUNCTION("""COMPUTED_VALUE"""),45142.66666666667)</f>
        <v>45142.66667</v>
      </c>
      <c r="B874" s="2">
        <f>IFERROR(__xludf.DUMMYFUNCTION("""COMPUTED_VALUE"""),4475.0)</f>
        <v>4475</v>
      </c>
      <c r="C874" s="2">
        <f>IFERROR(__xludf.DUMMYFUNCTION("""COMPUTED_VALUE"""),4525.0)</f>
        <v>4525</v>
      </c>
      <c r="D874" s="2">
        <f>IFERROR(__xludf.DUMMYFUNCTION("""COMPUTED_VALUE"""),4462.5)</f>
        <v>4462.5</v>
      </c>
      <c r="E874" s="2">
        <f>IFERROR(__xludf.DUMMYFUNCTION("""COMPUTED_VALUE"""),4500.0)</f>
        <v>4500</v>
      </c>
      <c r="F874" s="2">
        <f>IFERROR(__xludf.DUMMYFUNCTION("""COMPUTED_VALUE"""),2.81124E7)</f>
        <v>28112400</v>
      </c>
      <c r="G874" s="2">
        <f t="shared" si="1"/>
        <v>62.5</v>
      </c>
    </row>
    <row r="875" ht="15.75" customHeight="1">
      <c r="A875" s="1">
        <f>IFERROR(__xludf.DUMMYFUNCTION("""COMPUTED_VALUE"""),45145.66666666667)</f>
        <v>45145.66667</v>
      </c>
      <c r="B875" s="2">
        <f>IFERROR(__xludf.DUMMYFUNCTION("""COMPUTED_VALUE"""),4500.0)</f>
        <v>4500</v>
      </c>
      <c r="C875" s="2">
        <f>IFERROR(__xludf.DUMMYFUNCTION("""COMPUTED_VALUE"""),4525.0)</f>
        <v>4525</v>
      </c>
      <c r="D875" s="2">
        <f>IFERROR(__xludf.DUMMYFUNCTION("""COMPUTED_VALUE"""),4500.0)</f>
        <v>4500</v>
      </c>
      <c r="E875" s="2">
        <f>IFERROR(__xludf.DUMMYFUNCTION("""COMPUTED_VALUE"""),4500.0)</f>
        <v>4500</v>
      </c>
      <c r="F875" s="2">
        <f>IFERROR(__xludf.DUMMYFUNCTION("""COMPUTED_VALUE"""),1.75214E7)</f>
        <v>17521400</v>
      </c>
      <c r="G875" s="2">
        <f t="shared" si="1"/>
        <v>25</v>
      </c>
    </row>
    <row r="876" ht="15.75" customHeight="1">
      <c r="A876" s="1">
        <f>IFERROR(__xludf.DUMMYFUNCTION("""COMPUTED_VALUE"""),45146.66666666667)</f>
        <v>45146.66667</v>
      </c>
      <c r="B876" s="2">
        <f>IFERROR(__xludf.DUMMYFUNCTION("""COMPUTED_VALUE"""),4500.0)</f>
        <v>4500</v>
      </c>
      <c r="C876" s="2">
        <f>IFERROR(__xludf.DUMMYFUNCTION("""COMPUTED_VALUE"""),4512.5)</f>
        <v>4512.5</v>
      </c>
      <c r="D876" s="2">
        <f>IFERROR(__xludf.DUMMYFUNCTION("""COMPUTED_VALUE"""),4450.0)</f>
        <v>4450</v>
      </c>
      <c r="E876" s="2">
        <f>IFERROR(__xludf.DUMMYFUNCTION("""COMPUTED_VALUE"""),4462.5)</f>
        <v>4462.5</v>
      </c>
      <c r="F876" s="2">
        <f>IFERROR(__xludf.DUMMYFUNCTION("""COMPUTED_VALUE"""),1.40008E7)</f>
        <v>14000800</v>
      </c>
      <c r="G876" s="2">
        <f t="shared" si="1"/>
        <v>62.5</v>
      </c>
    </row>
    <row r="877" ht="15.75" customHeight="1">
      <c r="A877" s="1">
        <f>IFERROR(__xludf.DUMMYFUNCTION("""COMPUTED_VALUE"""),45147.66666666667)</f>
        <v>45147.66667</v>
      </c>
      <c r="B877" s="2">
        <f>IFERROR(__xludf.DUMMYFUNCTION("""COMPUTED_VALUE"""),4462.5)</f>
        <v>4462.5</v>
      </c>
      <c r="C877" s="2">
        <f>IFERROR(__xludf.DUMMYFUNCTION("""COMPUTED_VALUE"""),4550.0)</f>
        <v>4550</v>
      </c>
      <c r="D877" s="2">
        <f>IFERROR(__xludf.DUMMYFUNCTION("""COMPUTED_VALUE"""),4462.5)</f>
        <v>4462.5</v>
      </c>
      <c r="E877" s="2">
        <f>IFERROR(__xludf.DUMMYFUNCTION("""COMPUTED_VALUE"""),4537.5)</f>
        <v>4537.5</v>
      </c>
      <c r="F877" s="2">
        <f>IFERROR(__xludf.DUMMYFUNCTION("""COMPUTED_VALUE"""),3.3841E7)</f>
        <v>33841000</v>
      </c>
      <c r="G877" s="2">
        <f t="shared" si="1"/>
        <v>87.5</v>
      </c>
    </row>
    <row r="878" ht="15.75" customHeight="1">
      <c r="A878" s="1">
        <f>IFERROR(__xludf.DUMMYFUNCTION("""COMPUTED_VALUE"""),45148.66666666667)</f>
        <v>45148.66667</v>
      </c>
      <c r="B878" s="2">
        <f>IFERROR(__xludf.DUMMYFUNCTION("""COMPUTED_VALUE"""),4550.0)</f>
        <v>4550</v>
      </c>
      <c r="C878" s="2">
        <f>IFERROR(__xludf.DUMMYFUNCTION("""COMPUTED_VALUE"""),4562.5)</f>
        <v>4562.5</v>
      </c>
      <c r="D878" s="2">
        <f>IFERROR(__xludf.DUMMYFUNCTION("""COMPUTED_VALUE"""),4525.0)</f>
        <v>4525</v>
      </c>
      <c r="E878" s="2">
        <f>IFERROR(__xludf.DUMMYFUNCTION("""COMPUTED_VALUE"""),4550.0)</f>
        <v>4550</v>
      </c>
      <c r="F878" s="2">
        <f>IFERROR(__xludf.DUMMYFUNCTION("""COMPUTED_VALUE"""),2.35928E7)</f>
        <v>23592800</v>
      </c>
      <c r="G878" s="2">
        <f t="shared" si="1"/>
        <v>37.5</v>
      </c>
    </row>
    <row r="879" ht="15.75" customHeight="1">
      <c r="A879" s="1">
        <f>IFERROR(__xludf.DUMMYFUNCTION("""COMPUTED_VALUE"""),45149.66666666667)</f>
        <v>45149.66667</v>
      </c>
      <c r="B879" s="2">
        <f>IFERROR(__xludf.DUMMYFUNCTION("""COMPUTED_VALUE"""),4550.0)</f>
        <v>4550</v>
      </c>
      <c r="C879" s="2">
        <f>IFERROR(__xludf.DUMMYFUNCTION("""COMPUTED_VALUE"""),4562.5)</f>
        <v>4562.5</v>
      </c>
      <c r="D879" s="2">
        <f>IFERROR(__xludf.DUMMYFUNCTION("""COMPUTED_VALUE"""),4525.0)</f>
        <v>4525</v>
      </c>
      <c r="E879" s="2">
        <f>IFERROR(__xludf.DUMMYFUNCTION("""COMPUTED_VALUE"""),4550.0)</f>
        <v>4550</v>
      </c>
      <c r="F879" s="2">
        <f>IFERROR(__xludf.DUMMYFUNCTION("""COMPUTED_VALUE"""),1.69813E7)</f>
        <v>16981300</v>
      </c>
      <c r="G879" s="2">
        <f t="shared" si="1"/>
        <v>37.5</v>
      </c>
    </row>
    <row r="880" ht="15.75" customHeight="1">
      <c r="A880" s="1">
        <f>IFERROR(__xludf.DUMMYFUNCTION("""COMPUTED_VALUE"""),45152.66666666667)</f>
        <v>45152.66667</v>
      </c>
      <c r="B880" s="2">
        <f>IFERROR(__xludf.DUMMYFUNCTION("""COMPUTED_VALUE"""),4562.5)</f>
        <v>4562.5</v>
      </c>
      <c r="C880" s="2">
        <f>IFERROR(__xludf.DUMMYFUNCTION("""COMPUTED_VALUE"""),4625.0)</f>
        <v>4625</v>
      </c>
      <c r="D880" s="2">
        <f>IFERROR(__xludf.DUMMYFUNCTION("""COMPUTED_VALUE"""),4550.0)</f>
        <v>4550</v>
      </c>
      <c r="E880" s="2">
        <f>IFERROR(__xludf.DUMMYFUNCTION("""COMPUTED_VALUE"""),4600.0)</f>
        <v>4600</v>
      </c>
      <c r="F880" s="2">
        <f>IFERROR(__xludf.DUMMYFUNCTION("""COMPUTED_VALUE"""),4.52167E7)</f>
        <v>45216700</v>
      </c>
      <c r="G880" s="2">
        <f t="shared" si="1"/>
        <v>75</v>
      </c>
    </row>
    <row r="881" ht="15.75" customHeight="1">
      <c r="A881" s="1">
        <f>IFERROR(__xludf.DUMMYFUNCTION("""COMPUTED_VALUE"""),45153.66666666667)</f>
        <v>45153.66667</v>
      </c>
      <c r="B881" s="2">
        <f>IFERROR(__xludf.DUMMYFUNCTION("""COMPUTED_VALUE"""),4600.0)</f>
        <v>4600</v>
      </c>
      <c r="C881" s="2">
        <f>IFERROR(__xludf.DUMMYFUNCTION("""COMPUTED_VALUE"""),4612.5)</f>
        <v>4612.5</v>
      </c>
      <c r="D881" s="2">
        <f>IFERROR(__xludf.DUMMYFUNCTION("""COMPUTED_VALUE"""),4550.0)</f>
        <v>4550</v>
      </c>
      <c r="E881" s="2">
        <f>IFERROR(__xludf.DUMMYFUNCTION("""COMPUTED_VALUE"""),4550.0)</f>
        <v>4550</v>
      </c>
      <c r="F881" s="2">
        <f>IFERROR(__xludf.DUMMYFUNCTION("""COMPUTED_VALUE"""),2.4366E7)</f>
        <v>24366000</v>
      </c>
      <c r="G881" s="2">
        <f t="shared" si="1"/>
        <v>62.5</v>
      </c>
    </row>
    <row r="882" ht="15.75" customHeight="1">
      <c r="A882" s="1">
        <f>IFERROR(__xludf.DUMMYFUNCTION("""COMPUTED_VALUE"""),45154.66666666667)</f>
        <v>45154.66667</v>
      </c>
      <c r="B882" s="2">
        <f>IFERROR(__xludf.DUMMYFUNCTION("""COMPUTED_VALUE"""),4550.0)</f>
        <v>4550</v>
      </c>
      <c r="C882" s="2">
        <f>IFERROR(__xludf.DUMMYFUNCTION("""COMPUTED_VALUE"""),4562.5)</f>
        <v>4562.5</v>
      </c>
      <c r="D882" s="2">
        <f>IFERROR(__xludf.DUMMYFUNCTION("""COMPUTED_VALUE"""),4475.0)</f>
        <v>4475</v>
      </c>
      <c r="E882" s="2">
        <f>IFERROR(__xludf.DUMMYFUNCTION("""COMPUTED_VALUE"""),4550.0)</f>
        <v>4550</v>
      </c>
      <c r="F882" s="2">
        <f>IFERROR(__xludf.DUMMYFUNCTION("""COMPUTED_VALUE"""),2.72625E7)</f>
        <v>27262500</v>
      </c>
      <c r="G882" s="2">
        <f t="shared" si="1"/>
        <v>87.5</v>
      </c>
    </row>
    <row r="883" ht="15.75" customHeight="1">
      <c r="A883" s="1">
        <f>IFERROR(__xludf.DUMMYFUNCTION("""COMPUTED_VALUE"""),45156.66666666667)</f>
        <v>45156.66667</v>
      </c>
      <c r="B883" s="2">
        <f>IFERROR(__xludf.DUMMYFUNCTION("""COMPUTED_VALUE"""),4537.5)</f>
        <v>4537.5</v>
      </c>
      <c r="C883" s="2">
        <f>IFERROR(__xludf.DUMMYFUNCTION("""COMPUTED_VALUE"""),4537.5)</f>
        <v>4537.5</v>
      </c>
      <c r="D883" s="2">
        <f>IFERROR(__xludf.DUMMYFUNCTION("""COMPUTED_VALUE"""),4487.5)</f>
        <v>4487.5</v>
      </c>
      <c r="E883" s="2">
        <f>IFERROR(__xludf.DUMMYFUNCTION("""COMPUTED_VALUE"""),4525.0)</f>
        <v>4525</v>
      </c>
      <c r="F883" s="2">
        <f>IFERROR(__xludf.DUMMYFUNCTION("""COMPUTED_VALUE"""),2.58322E7)</f>
        <v>25832200</v>
      </c>
      <c r="G883" s="2">
        <f t="shared" si="1"/>
        <v>62.5</v>
      </c>
    </row>
    <row r="884" ht="15.75" customHeight="1">
      <c r="A884" s="1">
        <f>IFERROR(__xludf.DUMMYFUNCTION("""COMPUTED_VALUE"""),45159.66666666667)</f>
        <v>45159.66667</v>
      </c>
      <c r="B884" s="2">
        <f>IFERROR(__xludf.DUMMYFUNCTION("""COMPUTED_VALUE"""),4537.5)</f>
        <v>4537.5</v>
      </c>
      <c r="C884" s="2">
        <f>IFERROR(__xludf.DUMMYFUNCTION("""COMPUTED_VALUE"""),4562.5)</f>
        <v>4562.5</v>
      </c>
      <c r="D884" s="2">
        <f>IFERROR(__xludf.DUMMYFUNCTION("""COMPUTED_VALUE"""),4525.0)</f>
        <v>4525</v>
      </c>
      <c r="E884" s="2">
        <f>IFERROR(__xludf.DUMMYFUNCTION("""COMPUTED_VALUE"""),4562.5)</f>
        <v>4562.5</v>
      </c>
      <c r="F884" s="2">
        <f>IFERROR(__xludf.DUMMYFUNCTION("""COMPUTED_VALUE"""),1.79773E7)</f>
        <v>17977300</v>
      </c>
      <c r="G884" s="2">
        <f t="shared" si="1"/>
        <v>37.5</v>
      </c>
    </row>
    <row r="885" ht="15.75" customHeight="1">
      <c r="A885" s="1">
        <f>IFERROR(__xludf.DUMMYFUNCTION("""COMPUTED_VALUE"""),45160.66666666667)</f>
        <v>45160.66667</v>
      </c>
      <c r="B885" s="2">
        <f>IFERROR(__xludf.DUMMYFUNCTION("""COMPUTED_VALUE"""),4562.5)</f>
        <v>4562.5</v>
      </c>
      <c r="C885" s="2">
        <f>IFERROR(__xludf.DUMMYFUNCTION("""COMPUTED_VALUE"""),4575.0)</f>
        <v>4575</v>
      </c>
      <c r="D885" s="2">
        <f>IFERROR(__xludf.DUMMYFUNCTION("""COMPUTED_VALUE"""),4537.5)</f>
        <v>4537.5</v>
      </c>
      <c r="E885" s="2">
        <f>IFERROR(__xludf.DUMMYFUNCTION("""COMPUTED_VALUE"""),4550.0)</f>
        <v>4550</v>
      </c>
      <c r="F885" s="2">
        <f>IFERROR(__xludf.DUMMYFUNCTION("""COMPUTED_VALUE"""),1.5363E7)</f>
        <v>15363000</v>
      </c>
      <c r="G885" s="2">
        <f t="shared" si="1"/>
        <v>37.5</v>
      </c>
    </row>
    <row r="886" ht="15.75" customHeight="1">
      <c r="A886" s="1">
        <f>IFERROR(__xludf.DUMMYFUNCTION("""COMPUTED_VALUE"""),45161.66666666667)</f>
        <v>45161.66667</v>
      </c>
      <c r="B886" s="2">
        <f>IFERROR(__xludf.DUMMYFUNCTION("""COMPUTED_VALUE"""),4550.0)</f>
        <v>4550</v>
      </c>
      <c r="C886" s="2">
        <f>IFERROR(__xludf.DUMMYFUNCTION("""COMPUTED_VALUE"""),4562.5)</f>
        <v>4562.5</v>
      </c>
      <c r="D886" s="2">
        <f>IFERROR(__xludf.DUMMYFUNCTION("""COMPUTED_VALUE"""),4537.5)</f>
        <v>4537.5</v>
      </c>
      <c r="E886" s="2">
        <f>IFERROR(__xludf.DUMMYFUNCTION("""COMPUTED_VALUE"""),4537.5)</f>
        <v>4537.5</v>
      </c>
      <c r="F886" s="2">
        <f>IFERROR(__xludf.DUMMYFUNCTION("""COMPUTED_VALUE"""),1.36713E7)</f>
        <v>13671300</v>
      </c>
      <c r="G886" s="2">
        <f t="shared" si="1"/>
        <v>25</v>
      </c>
    </row>
    <row r="887" ht="15.75" customHeight="1">
      <c r="A887" s="1">
        <f>IFERROR(__xludf.DUMMYFUNCTION("""COMPUTED_VALUE"""),45162.66666666667)</f>
        <v>45162.66667</v>
      </c>
      <c r="B887" s="2">
        <f>IFERROR(__xludf.DUMMYFUNCTION("""COMPUTED_VALUE"""),4537.5)</f>
        <v>4537.5</v>
      </c>
      <c r="C887" s="2">
        <f>IFERROR(__xludf.DUMMYFUNCTION("""COMPUTED_VALUE"""),4575.0)</f>
        <v>4575</v>
      </c>
      <c r="D887" s="2">
        <f>IFERROR(__xludf.DUMMYFUNCTION("""COMPUTED_VALUE"""),4537.5)</f>
        <v>4537.5</v>
      </c>
      <c r="E887" s="2">
        <f>IFERROR(__xludf.DUMMYFUNCTION("""COMPUTED_VALUE"""),4562.5)</f>
        <v>4562.5</v>
      </c>
      <c r="F887" s="2">
        <f>IFERROR(__xludf.DUMMYFUNCTION("""COMPUTED_VALUE"""),1.42471E7)</f>
        <v>14247100</v>
      </c>
      <c r="G887" s="2">
        <f t="shared" si="1"/>
        <v>37.5</v>
      </c>
    </row>
    <row r="888" ht="15.75" customHeight="1">
      <c r="A888" s="1">
        <f>IFERROR(__xludf.DUMMYFUNCTION("""COMPUTED_VALUE"""),45163.66666666667)</f>
        <v>45163.66667</v>
      </c>
      <c r="B888" s="2">
        <f>IFERROR(__xludf.DUMMYFUNCTION("""COMPUTED_VALUE"""),4550.0)</f>
        <v>4550</v>
      </c>
      <c r="C888" s="2">
        <f>IFERROR(__xludf.DUMMYFUNCTION("""COMPUTED_VALUE"""),4562.5)</f>
        <v>4562.5</v>
      </c>
      <c r="D888" s="2">
        <f>IFERROR(__xludf.DUMMYFUNCTION("""COMPUTED_VALUE"""),4525.0)</f>
        <v>4525</v>
      </c>
      <c r="E888" s="2">
        <f>IFERROR(__xludf.DUMMYFUNCTION("""COMPUTED_VALUE"""),4550.0)</f>
        <v>4550</v>
      </c>
      <c r="F888" s="2">
        <f>IFERROR(__xludf.DUMMYFUNCTION("""COMPUTED_VALUE"""),1.37266E7)</f>
        <v>13726600</v>
      </c>
      <c r="G888" s="2">
        <f t="shared" si="1"/>
        <v>37.5</v>
      </c>
    </row>
    <row r="889" ht="15.75" customHeight="1">
      <c r="A889" s="1">
        <f>IFERROR(__xludf.DUMMYFUNCTION("""COMPUTED_VALUE"""),45166.66666666667)</f>
        <v>45166.66667</v>
      </c>
      <c r="B889" s="2">
        <f>IFERROR(__xludf.DUMMYFUNCTION("""COMPUTED_VALUE"""),4550.0)</f>
        <v>4550</v>
      </c>
      <c r="C889" s="2">
        <f>IFERROR(__xludf.DUMMYFUNCTION("""COMPUTED_VALUE"""),4575.0)</f>
        <v>4575</v>
      </c>
      <c r="D889" s="2">
        <f>IFERROR(__xludf.DUMMYFUNCTION("""COMPUTED_VALUE"""),4537.5)</f>
        <v>4537.5</v>
      </c>
      <c r="E889" s="2">
        <f>IFERROR(__xludf.DUMMYFUNCTION("""COMPUTED_VALUE"""),4550.0)</f>
        <v>4550</v>
      </c>
      <c r="F889" s="2">
        <f>IFERROR(__xludf.DUMMYFUNCTION("""COMPUTED_VALUE"""),1.09722E7)</f>
        <v>10972200</v>
      </c>
      <c r="G889" s="2">
        <f t="shared" si="1"/>
        <v>37.5</v>
      </c>
    </row>
    <row r="890" ht="15.75" customHeight="1">
      <c r="A890" s="1">
        <f>IFERROR(__xludf.DUMMYFUNCTION("""COMPUTED_VALUE"""),45167.66666666667)</f>
        <v>45167.66667</v>
      </c>
      <c r="B890" s="2">
        <f>IFERROR(__xludf.DUMMYFUNCTION("""COMPUTED_VALUE"""),4550.0)</f>
        <v>4550</v>
      </c>
      <c r="C890" s="2">
        <f>IFERROR(__xludf.DUMMYFUNCTION("""COMPUTED_VALUE"""),4600.0)</f>
        <v>4600</v>
      </c>
      <c r="D890" s="2">
        <f>IFERROR(__xludf.DUMMYFUNCTION("""COMPUTED_VALUE"""),4550.0)</f>
        <v>4550</v>
      </c>
      <c r="E890" s="2">
        <f>IFERROR(__xludf.DUMMYFUNCTION("""COMPUTED_VALUE"""),4575.0)</f>
        <v>4575</v>
      </c>
      <c r="F890" s="2">
        <f>IFERROR(__xludf.DUMMYFUNCTION("""COMPUTED_VALUE"""),2.4894E7)</f>
        <v>24894000</v>
      </c>
      <c r="G890" s="2">
        <f t="shared" si="1"/>
        <v>50</v>
      </c>
    </row>
    <row r="891" ht="15.75" customHeight="1">
      <c r="A891" s="1">
        <f>IFERROR(__xludf.DUMMYFUNCTION("""COMPUTED_VALUE"""),45168.66666666667)</f>
        <v>45168.66667</v>
      </c>
      <c r="B891" s="2">
        <f>IFERROR(__xludf.DUMMYFUNCTION("""COMPUTED_VALUE"""),4587.5)</f>
        <v>4587.5</v>
      </c>
      <c r="C891" s="2">
        <f>IFERROR(__xludf.DUMMYFUNCTION("""COMPUTED_VALUE"""),4650.0)</f>
        <v>4650</v>
      </c>
      <c r="D891" s="2">
        <f>IFERROR(__xludf.DUMMYFUNCTION("""COMPUTED_VALUE"""),4587.5)</f>
        <v>4587.5</v>
      </c>
      <c r="E891" s="2">
        <f>IFERROR(__xludf.DUMMYFUNCTION("""COMPUTED_VALUE"""),4600.0)</f>
        <v>4600</v>
      </c>
      <c r="F891" s="2">
        <f>IFERROR(__xludf.DUMMYFUNCTION("""COMPUTED_VALUE"""),4.16259E7)</f>
        <v>41625900</v>
      </c>
      <c r="G891" s="2">
        <f t="shared" si="1"/>
        <v>75</v>
      </c>
    </row>
    <row r="892" ht="15.75" customHeight="1">
      <c r="A892" s="1">
        <f>IFERROR(__xludf.DUMMYFUNCTION("""COMPUTED_VALUE"""),45169.66666666667)</f>
        <v>45169.66667</v>
      </c>
      <c r="B892" s="2">
        <f>IFERROR(__xludf.DUMMYFUNCTION("""COMPUTED_VALUE"""),4600.0)</f>
        <v>4600</v>
      </c>
      <c r="C892" s="2">
        <f>IFERROR(__xludf.DUMMYFUNCTION("""COMPUTED_VALUE"""),4625.0)</f>
        <v>4625</v>
      </c>
      <c r="D892" s="2">
        <f>IFERROR(__xludf.DUMMYFUNCTION("""COMPUTED_VALUE"""),4587.5)</f>
        <v>4587.5</v>
      </c>
      <c r="E892" s="2">
        <f>IFERROR(__xludf.DUMMYFUNCTION("""COMPUTED_VALUE"""),4587.5)</f>
        <v>4587.5</v>
      </c>
      <c r="F892" s="2">
        <f>IFERROR(__xludf.DUMMYFUNCTION("""COMPUTED_VALUE"""),3.20036E7)</f>
        <v>32003600</v>
      </c>
      <c r="G892" s="2">
        <f t="shared" si="1"/>
        <v>37.5</v>
      </c>
    </row>
    <row r="893" ht="15.75" customHeight="1">
      <c r="A893" s="1">
        <f>IFERROR(__xludf.DUMMYFUNCTION("""COMPUTED_VALUE"""),45170.66666666667)</f>
        <v>45170.66667</v>
      </c>
      <c r="B893" s="2">
        <f>IFERROR(__xludf.DUMMYFUNCTION("""COMPUTED_VALUE"""),4600.0)</f>
        <v>4600</v>
      </c>
      <c r="C893" s="2">
        <f>IFERROR(__xludf.DUMMYFUNCTION("""COMPUTED_VALUE"""),4612.5)</f>
        <v>4612.5</v>
      </c>
      <c r="D893" s="2">
        <f>IFERROR(__xludf.DUMMYFUNCTION("""COMPUTED_VALUE"""),4587.5)</f>
        <v>4587.5</v>
      </c>
      <c r="E893" s="2">
        <f>IFERROR(__xludf.DUMMYFUNCTION("""COMPUTED_VALUE"""),4587.5)</f>
        <v>4587.5</v>
      </c>
      <c r="F893" s="2">
        <f>IFERROR(__xludf.DUMMYFUNCTION("""COMPUTED_VALUE"""),8351700.0)</f>
        <v>8351700</v>
      </c>
      <c r="G893" s="2">
        <f t="shared" si="1"/>
        <v>25</v>
      </c>
    </row>
    <row r="894" ht="15.75" customHeight="1">
      <c r="A894" s="1">
        <f>IFERROR(__xludf.DUMMYFUNCTION("""COMPUTED_VALUE"""),45173.66666666667)</f>
        <v>45173.66667</v>
      </c>
      <c r="B894" s="2">
        <f>IFERROR(__xludf.DUMMYFUNCTION("""COMPUTED_VALUE"""),4625.0)</f>
        <v>4625</v>
      </c>
      <c r="C894" s="2">
        <f>IFERROR(__xludf.DUMMYFUNCTION("""COMPUTED_VALUE"""),4762.5)</f>
        <v>4762.5</v>
      </c>
      <c r="D894" s="2">
        <f>IFERROR(__xludf.DUMMYFUNCTION("""COMPUTED_VALUE"""),4600.0)</f>
        <v>4600</v>
      </c>
      <c r="E894" s="2">
        <f>IFERROR(__xludf.DUMMYFUNCTION("""COMPUTED_VALUE"""),4725.0)</f>
        <v>4725</v>
      </c>
      <c r="F894" s="2">
        <f>IFERROR(__xludf.DUMMYFUNCTION("""COMPUTED_VALUE"""),7.34518E7)</f>
        <v>73451800</v>
      </c>
      <c r="G894" s="2">
        <f t="shared" si="1"/>
        <v>175</v>
      </c>
    </row>
    <row r="895" ht="15.75" customHeight="1">
      <c r="A895" s="1">
        <f>IFERROR(__xludf.DUMMYFUNCTION("""COMPUTED_VALUE"""),45174.66666666667)</f>
        <v>45174.66667</v>
      </c>
      <c r="B895" s="2">
        <f>IFERROR(__xludf.DUMMYFUNCTION("""COMPUTED_VALUE"""),4725.0)</f>
        <v>4725</v>
      </c>
      <c r="C895" s="2">
        <f>IFERROR(__xludf.DUMMYFUNCTION("""COMPUTED_VALUE"""),4850.0)</f>
        <v>4850</v>
      </c>
      <c r="D895" s="2">
        <f>IFERROR(__xludf.DUMMYFUNCTION("""COMPUTED_VALUE"""),4725.0)</f>
        <v>4725</v>
      </c>
      <c r="E895" s="2">
        <f>IFERROR(__xludf.DUMMYFUNCTION("""COMPUTED_VALUE"""),4812.5)</f>
        <v>4812.5</v>
      </c>
      <c r="F895" s="2">
        <f>IFERROR(__xludf.DUMMYFUNCTION("""COMPUTED_VALUE"""),5.03296E7)</f>
        <v>50329600</v>
      </c>
      <c r="G895" s="2">
        <f t="shared" si="1"/>
        <v>125</v>
      </c>
    </row>
    <row r="896" ht="15.75" customHeight="1">
      <c r="A896" s="1">
        <f>IFERROR(__xludf.DUMMYFUNCTION("""COMPUTED_VALUE"""),45175.66666666667)</f>
        <v>45175.66667</v>
      </c>
      <c r="B896" s="2">
        <f>IFERROR(__xludf.DUMMYFUNCTION("""COMPUTED_VALUE"""),4837.5)</f>
        <v>4837.5</v>
      </c>
      <c r="C896" s="2">
        <f>IFERROR(__xludf.DUMMYFUNCTION("""COMPUTED_VALUE"""),4837.5)</f>
        <v>4837.5</v>
      </c>
      <c r="D896" s="2">
        <f>IFERROR(__xludf.DUMMYFUNCTION("""COMPUTED_VALUE"""),4787.5)</f>
        <v>4787.5</v>
      </c>
      <c r="E896" s="2">
        <f>IFERROR(__xludf.DUMMYFUNCTION("""COMPUTED_VALUE"""),4787.5)</f>
        <v>4787.5</v>
      </c>
      <c r="F896" s="2">
        <f>IFERROR(__xludf.DUMMYFUNCTION("""COMPUTED_VALUE"""),3.02838E7)</f>
        <v>30283800</v>
      </c>
      <c r="G896" s="2">
        <f t="shared" si="1"/>
        <v>50</v>
      </c>
    </row>
    <row r="897" ht="15.75" customHeight="1">
      <c r="A897" s="1">
        <f>IFERROR(__xludf.DUMMYFUNCTION("""COMPUTED_VALUE"""),45176.66666666667)</f>
        <v>45176.66667</v>
      </c>
      <c r="B897" s="2">
        <f>IFERROR(__xludf.DUMMYFUNCTION("""COMPUTED_VALUE"""),4787.5)</f>
        <v>4787.5</v>
      </c>
      <c r="C897" s="2">
        <f>IFERROR(__xludf.DUMMYFUNCTION("""COMPUTED_VALUE"""),4787.5)</f>
        <v>4787.5</v>
      </c>
      <c r="D897" s="2">
        <f>IFERROR(__xludf.DUMMYFUNCTION("""COMPUTED_VALUE"""),4700.0)</f>
        <v>4700</v>
      </c>
      <c r="E897" s="2">
        <f>IFERROR(__xludf.DUMMYFUNCTION("""COMPUTED_VALUE"""),4750.0)</f>
        <v>4750</v>
      </c>
      <c r="F897" s="2">
        <f>IFERROR(__xludf.DUMMYFUNCTION("""COMPUTED_VALUE"""),2.62783E7)</f>
        <v>26278300</v>
      </c>
      <c r="G897" s="2">
        <f t="shared" si="1"/>
        <v>87.5</v>
      </c>
    </row>
    <row r="898" ht="15.75" customHeight="1">
      <c r="A898" s="1">
        <f>IFERROR(__xludf.DUMMYFUNCTION("""COMPUTED_VALUE"""),45177.66666666667)</f>
        <v>45177.66667</v>
      </c>
      <c r="B898" s="2">
        <f>IFERROR(__xludf.DUMMYFUNCTION("""COMPUTED_VALUE"""),4750.0)</f>
        <v>4750</v>
      </c>
      <c r="C898" s="2">
        <f>IFERROR(__xludf.DUMMYFUNCTION("""COMPUTED_VALUE"""),4750.0)</f>
        <v>4750</v>
      </c>
      <c r="D898" s="2">
        <f>IFERROR(__xludf.DUMMYFUNCTION("""COMPUTED_VALUE"""),4675.0)</f>
        <v>4675</v>
      </c>
      <c r="E898" s="2">
        <f>IFERROR(__xludf.DUMMYFUNCTION("""COMPUTED_VALUE"""),4687.5)</f>
        <v>4687.5</v>
      </c>
      <c r="F898" s="2">
        <f>IFERROR(__xludf.DUMMYFUNCTION("""COMPUTED_VALUE"""),2.49872E7)</f>
        <v>24987200</v>
      </c>
      <c r="G898" s="2">
        <f t="shared" si="1"/>
        <v>75</v>
      </c>
    </row>
    <row r="899" ht="15.75" customHeight="1">
      <c r="A899" s="1">
        <f>IFERROR(__xludf.DUMMYFUNCTION("""COMPUTED_VALUE"""),45180.66666666667)</f>
        <v>45180.66667</v>
      </c>
      <c r="B899" s="2">
        <f>IFERROR(__xludf.DUMMYFUNCTION("""COMPUTED_VALUE"""),4687.5)</f>
        <v>4687.5</v>
      </c>
      <c r="C899" s="2">
        <f>IFERROR(__xludf.DUMMYFUNCTION("""COMPUTED_VALUE"""),4750.0)</f>
        <v>4750</v>
      </c>
      <c r="D899" s="2">
        <f>IFERROR(__xludf.DUMMYFUNCTION("""COMPUTED_VALUE"""),4650.0)</f>
        <v>4650</v>
      </c>
      <c r="E899" s="2">
        <f>IFERROR(__xludf.DUMMYFUNCTION("""COMPUTED_VALUE"""),4725.0)</f>
        <v>4725</v>
      </c>
      <c r="F899" s="2">
        <f>IFERROR(__xludf.DUMMYFUNCTION("""COMPUTED_VALUE"""),2.74673E7)</f>
        <v>27467300</v>
      </c>
      <c r="G899" s="2">
        <f t="shared" si="1"/>
        <v>100</v>
      </c>
    </row>
    <row r="900" ht="15.75" customHeight="1">
      <c r="A900" s="1">
        <f>IFERROR(__xludf.DUMMYFUNCTION("""COMPUTED_VALUE"""),45181.66666666667)</f>
        <v>45181.66667</v>
      </c>
      <c r="B900" s="2">
        <f>IFERROR(__xludf.DUMMYFUNCTION("""COMPUTED_VALUE"""),4725.0)</f>
        <v>4725</v>
      </c>
      <c r="C900" s="2">
        <f>IFERROR(__xludf.DUMMYFUNCTION("""COMPUTED_VALUE"""),4725.0)</f>
        <v>4725</v>
      </c>
      <c r="D900" s="2">
        <f>IFERROR(__xludf.DUMMYFUNCTION("""COMPUTED_VALUE"""),4650.0)</f>
        <v>4650</v>
      </c>
      <c r="E900" s="2">
        <f>IFERROR(__xludf.DUMMYFUNCTION("""COMPUTED_VALUE"""),4650.0)</f>
        <v>4650</v>
      </c>
      <c r="F900" s="2">
        <f>IFERROR(__xludf.DUMMYFUNCTION("""COMPUTED_VALUE"""),2.65436E7)</f>
        <v>26543600</v>
      </c>
      <c r="G900" s="2">
        <f t="shared" si="1"/>
        <v>75</v>
      </c>
    </row>
    <row r="901" ht="15.75" customHeight="1">
      <c r="A901" s="1">
        <f>IFERROR(__xludf.DUMMYFUNCTION("""COMPUTED_VALUE"""),45182.66666666667)</f>
        <v>45182.66667</v>
      </c>
      <c r="B901" s="2">
        <f>IFERROR(__xludf.DUMMYFUNCTION("""COMPUTED_VALUE"""),4662.5)</f>
        <v>4662.5</v>
      </c>
      <c r="C901" s="2">
        <f>IFERROR(__xludf.DUMMYFUNCTION("""COMPUTED_VALUE"""),4687.5)</f>
        <v>4687.5</v>
      </c>
      <c r="D901" s="2">
        <f>IFERROR(__xludf.DUMMYFUNCTION("""COMPUTED_VALUE"""),4637.5)</f>
        <v>4637.5</v>
      </c>
      <c r="E901" s="2">
        <f>IFERROR(__xludf.DUMMYFUNCTION("""COMPUTED_VALUE"""),4675.0)</f>
        <v>4675</v>
      </c>
      <c r="F901" s="2">
        <f>IFERROR(__xludf.DUMMYFUNCTION("""COMPUTED_VALUE"""),2.24778E7)</f>
        <v>22477800</v>
      </c>
      <c r="G901" s="2">
        <f t="shared" si="1"/>
        <v>50</v>
      </c>
    </row>
    <row r="902" ht="15.75" customHeight="1">
      <c r="A902" s="1">
        <f>IFERROR(__xludf.DUMMYFUNCTION("""COMPUTED_VALUE"""),45183.66666666667)</f>
        <v>45183.66667</v>
      </c>
      <c r="B902" s="2">
        <f>IFERROR(__xludf.DUMMYFUNCTION("""COMPUTED_VALUE"""),4700.0)</f>
        <v>4700</v>
      </c>
      <c r="C902" s="2">
        <f>IFERROR(__xludf.DUMMYFUNCTION("""COMPUTED_VALUE"""),4750.0)</f>
        <v>4750</v>
      </c>
      <c r="D902" s="2">
        <f>IFERROR(__xludf.DUMMYFUNCTION("""COMPUTED_VALUE"""),4675.0)</f>
        <v>4675</v>
      </c>
      <c r="E902" s="2">
        <f>IFERROR(__xludf.DUMMYFUNCTION("""COMPUTED_VALUE"""),4725.0)</f>
        <v>4725</v>
      </c>
      <c r="F902" s="2">
        <f>IFERROR(__xludf.DUMMYFUNCTION("""COMPUTED_VALUE"""),2.86038E7)</f>
        <v>28603800</v>
      </c>
      <c r="G902" s="2">
        <f t="shared" si="1"/>
        <v>75</v>
      </c>
    </row>
    <row r="903" ht="15.75" customHeight="1">
      <c r="A903" s="1">
        <f>IFERROR(__xludf.DUMMYFUNCTION("""COMPUTED_VALUE"""),45184.66666666667)</f>
        <v>45184.66667</v>
      </c>
      <c r="B903" s="2">
        <f>IFERROR(__xludf.DUMMYFUNCTION("""COMPUTED_VALUE"""),4725.0)</f>
        <v>4725</v>
      </c>
      <c r="C903" s="2">
        <f>IFERROR(__xludf.DUMMYFUNCTION("""COMPUTED_VALUE"""),4762.5)</f>
        <v>4762.5</v>
      </c>
      <c r="D903" s="2">
        <f>IFERROR(__xludf.DUMMYFUNCTION("""COMPUTED_VALUE"""),4712.5)</f>
        <v>4712.5</v>
      </c>
      <c r="E903" s="2">
        <f>IFERROR(__xludf.DUMMYFUNCTION("""COMPUTED_VALUE"""),4737.5)</f>
        <v>4737.5</v>
      </c>
      <c r="F903" s="2">
        <f>IFERROR(__xludf.DUMMYFUNCTION("""COMPUTED_VALUE"""),3.66726E7)</f>
        <v>36672600</v>
      </c>
      <c r="G903" s="2">
        <f t="shared" si="1"/>
        <v>50</v>
      </c>
    </row>
    <row r="904" ht="15.75" customHeight="1">
      <c r="A904" s="1">
        <f>IFERROR(__xludf.DUMMYFUNCTION("""COMPUTED_VALUE"""),45187.66666666667)</f>
        <v>45187.66667</v>
      </c>
      <c r="B904" s="2">
        <f>IFERROR(__xludf.DUMMYFUNCTION("""COMPUTED_VALUE"""),4737.5)</f>
        <v>4737.5</v>
      </c>
      <c r="C904" s="2">
        <f>IFERROR(__xludf.DUMMYFUNCTION("""COMPUTED_VALUE"""),4750.0)</f>
        <v>4750</v>
      </c>
      <c r="D904" s="2">
        <f>IFERROR(__xludf.DUMMYFUNCTION("""COMPUTED_VALUE"""),4675.0)</f>
        <v>4675</v>
      </c>
      <c r="E904" s="2">
        <f>IFERROR(__xludf.DUMMYFUNCTION("""COMPUTED_VALUE"""),4675.0)</f>
        <v>4675</v>
      </c>
      <c r="F904" s="2">
        <f>IFERROR(__xludf.DUMMYFUNCTION("""COMPUTED_VALUE"""),1.6408E7)</f>
        <v>16408000</v>
      </c>
      <c r="G904" s="2">
        <f t="shared" si="1"/>
        <v>75</v>
      </c>
    </row>
    <row r="905" ht="15.75" customHeight="1">
      <c r="A905" s="1">
        <f>IFERROR(__xludf.DUMMYFUNCTION("""COMPUTED_VALUE"""),45188.66666666667)</f>
        <v>45188.66667</v>
      </c>
      <c r="B905" s="2">
        <f>IFERROR(__xludf.DUMMYFUNCTION("""COMPUTED_VALUE"""),4687.5)</f>
        <v>4687.5</v>
      </c>
      <c r="C905" s="2">
        <f>IFERROR(__xludf.DUMMYFUNCTION("""COMPUTED_VALUE"""),4762.5)</f>
        <v>4762.5</v>
      </c>
      <c r="D905" s="2">
        <f>IFERROR(__xludf.DUMMYFUNCTION("""COMPUTED_VALUE"""),4675.0)</f>
        <v>4675</v>
      </c>
      <c r="E905" s="2">
        <f>IFERROR(__xludf.DUMMYFUNCTION("""COMPUTED_VALUE"""),4725.0)</f>
        <v>4725</v>
      </c>
      <c r="F905" s="2">
        <f>IFERROR(__xludf.DUMMYFUNCTION("""COMPUTED_VALUE"""),1.32878E7)</f>
        <v>13287800</v>
      </c>
      <c r="G905" s="2">
        <f t="shared" si="1"/>
        <v>87.5</v>
      </c>
    </row>
    <row r="906" ht="15.75" customHeight="1">
      <c r="A906" s="1">
        <f>IFERROR(__xludf.DUMMYFUNCTION("""COMPUTED_VALUE"""),45189.66666666667)</f>
        <v>45189.66667</v>
      </c>
      <c r="B906" s="2">
        <f>IFERROR(__xludf.DUMMYFUNCTION("""COMPUTED_VALUE"""),4725.0)</f>
        <v>4725</v>
      </c>
      <c r="C906" s="2">
        <f>IFERROR(__xludf.DUMMYFUNCTION("""COMPUTED_VALUE"""),4837.5)</f>
        <v>4837.5</v>
      </c>
      <c r="D906" s="2">
        <f>IFERROR(__xludf.DUMMYFUNCTION("""COMPUTED_VALUE"""),4725.0)</f>
        <v>4725</v>
      </c>
      <c r="E906" s="2">
        <f>IFERROR(__xludf.DUMMYFUNCTION("""COMPUTED_VALUE"""),4787.5)</f>
        <v>4787.5</v>
      </c>
      <c r="F906" s="2">
        <f>IFERROR(__xludf.DUMMYFUNCTION("""COMPUTED_VALUE"""),4.11109E7)</f>
        <v>41110900</v>
      </c>
      <c r="G906" s="2">
        <f t="shared" si="1"/>
        <v>112.5</v>
      </c>
    </row>
    <row r="907" ht="15.75" customHeight="1">
      <c r="A907" s="1">
        <f>IFERROR(__xludf.DUMMYFUNCTION("""COMPUTED_VALUE"""),45190.66666666667)</f>
        <v>45190.66667</v>
      </c>
      <c r="B907" s="2">
        <f>IFERROR(__xludf.DUMMYFUNCTION("""COMPUTED_VALUE"""),4787.5)</f>
        <v>4787.5</v>
      </c>
      <c r="C907" s="2">
        <f>IFERROR(__xludf.DUMMYFUNCTION("""COMPUTED_VALUE"""),4837.5)</f>
        <v>4837.5</v>
      </c>
      <c r="D907" s="2">
        <f>IFERROR(__xludf.DUMMYFUNCTION("""COMPUTED_VALUE"""),4775.0)</f>
        <v>4775</v>
      </c>
      <c r="E907" s="2">
        <f>IFERROR(__xludf.DUMMYFUNCTION("""COMPUTED_VALUE"""),4800.0)</f>
        <v>4800</v>
      </c>
      <c r="F907" s="2">
        <f>IFERROR(__xludf.DUMMYFUNCTION("""COMPUTED_VALUE"""),2.80784E7)</f>
        <v>28078400</v>
      </c>
      <c r="G907" s="2">
        <f t="shared" si="1"/>
        <v>62.5</v>
      </c>
    </row>
    <row r="908" ht="15.75" customHeight="1">
      <c r="A908" s="1">
        <f>IFERROR(__xludf.DUMMYFUNCTION("""COMPUTED_VALUE"""),45191.66666666667)</f>
        <v>45191.66667</v>
      </c>
      <c r="B908" s="2">
        <f>IFERROR(__xludf.DUMMYFUNCTION("""COMPUTED_VALUE"""),4825.0)</f>
        <v>4825</v>
      </c>
      <c r="C908" s="2">
        <f>IFERROR(__xludf.DUMMYFUNCTION("""COMPUTED_VALUE"""),4937.5)</f>
        <v>4937.5</v>
      </c>
      <c r="D908" s="2">
        <f>IFERROR(__xludf.DUMMYFUNCTION("""COMPUTED_VALUE"""),4800.0)</f>
        <v>4800</v>
      </c>
      <c r="E908" s="2">
        <f>IFERROR(__xludf.DUMMYFUNCTION("""COMPUTED_VALUE"""),4875.0)</f>
        <v>4875</v>
      </c>
      <c r="F908" s="2">
        <f>IFERROR(__xludf.DUMMYFUNCTION("""COMPUTED_VALUE"""),4.66125E7)</f>
        <v>46612500</v>
      </c>
      <c r="G908" s="2">
        <f t="shared" si="1"/>
        <v>137.5</v>
      </c>
    </row>
    <row r="909" ht="15.75" customHeight="1">
      <c r="A909" s="1">
        <f>IFERROR(__xludf.DUMMYFUNCTION("""COMPUTED_VALUE"""),45194.66666666667)</f>
        <v>45194.66667</v>
      </c>
      <c r="B909" s="2">
        <f>IFERROR(__xludf.DUMMYFUNCTION("""COMPUTED_VALUE"""),4875.0)</f>
        <v>4875</v>
      </c>
      <c r="C909" s="2">
        <f>IFERROR(__xludf.DUMMYFUNCTION("""COMPUTED_VALUE"""),5025.0)</f>
        <v>5025</v>
      </c>
      <c r="D909" s="2">
        <f>IFERROR(__xludf.DUMMYFUNCTION("""COMPUTED_VALUE"""),4875.0)</f>
        <v>4875</v>
      </c>
      <c r="E909" s="2">
        <f>IFERROR(__xludf.DUMMYFUNCTION("""COMPUTED_VALUE"""),5025.0)</f>
        <v>5025</v>
      </c>
      <c r="F909" s="2">
        <f>IFERROR(__xludf.DUMMYFUNCTION("""COMPUTED_VALUE"""),5.54774E7)</f>
        <v>55477400</v>
      </c>
      <c r="G909" s="2">
        <f t="shared" si="1"/>
        <v>150</v>
      </c>
    </row>
    <row r="910" ht="15.75" customHeight="1">
      <c r="A910" s="1">
        <f>IFERROR(__xludf.DUMMYFUNCTION("""COMPUTED_VALUE"""),45195.66666666667)</f>
        <v>45195.66667</v>
      </c>
      <c r="B910" s="2">
        <f>IFERROR(__xludf.DUMMYFUNCTION("""COMPUTED_VALUE"""),5037.5)</f>
        <v>5037.5</v>
      </c>
      <c r="C910" s="2">
        <f>IFERROR(__xludf.DUMMYFUNCTION("""COMPUTED_VALUE"""),5050.0)</f>
        <v>5050</v>
      </c>
      <c r="D910" s="2">
        <f>IFERROR(__xludf.DUMMYFUNCTION("""COMPUTED_VALUE"""),4975.0)</f>
        <v>4975</v>
      </c>
      <c r="E910" s="2">
        <f>IFERROR(__xludf.DUMMYFUNCTION("""COMPUTED_VALUE"""),4987.5)</f>
        <v>4987.5</v>
      </c>
      <c r="F910" s="2">
        <f>IFERROR(__xludf.DUMMYFUNCTION("""COMPUTED_VALUE"""),6.35825E7)</f>
        <v>63582500</v>
      </c>
      <c r="G910" s="2">
        <f t="shared" si="1"/>
        <v>75</v>
      </c>
    </row>
    <row r="911" ht="15.75" customHeight="1">
      <c r="A911" s="1">
        <f>IFERROR(__xludf.DUMMYFUNCTION("""COMPUTED_VALUE"""),45196.66666666667)</f>
        <v>45196.66667</v>
      </c>
      <c r="B911" s="2">
        <f>IFERROR(__xludf.DUMMYFUNCTION("""COMPUTED_VALUE"""),4987.5)</f>
        <v>4987.5</v>
      </c>
      <c r="C911" s="2">
        <f>IFERROR(__xludf.DUMMYFUNCTION("""COMPUTED_VALUE"""),5112.5)</f>
        <v>5112.5</v>
      </c>
      <c r="D911" s="2">
        <f>IFERROR(__xludf.DUMMYFUNCTION("""COMPUTED_VALUE"""),4975.0)</f>
        <v>4975</v>
      </c>
      <c r="E911" s="2">
        <f>IFERROR(__xludf.DUMMYFUNCTION("""COMPUTED_VALUE"""),5062.5)</f>
        <v>5062.5</v>
      </c>
      <c r="F911" s="2">
        <f>IFERROR(__xludf.DUMMYFUNCTION("""COMPUTED_VALUE"""),4.6044E7)</f>
        <v>46044000</v>
      </c>
      <c r="G911" s="2">
        <f t="shared" si="1"/>
        <v>137.5</v>
      </c>
    </row>
    <row r="912" ht="15.75" customHeight="1">
      <c r="A912" s="1">
        <f>IFERROR(__xludf.DUMMYFUNCTION("""COMPUTED_VALUE"""),45198.66666666667)</f>
        <v>45198.66667</v>
      </c>
      <c r="B912" s="2">
        <f>IFERROR(__xludf.DUMMYFUNCTION("""COMPUTED_VALUE"""),5087.5)</f>
        <v>5087.5</v>
      </c>
      <c r="C912" s="2">
        <f>IFERROR(__xludf.DUMMYFUNCTION("""COMPUTED_VALUE"""),5212.5)</f>
        <v>5212.5</v>
      </c>
      <c r="D912" s="2">
        <f>IFERROR(__xludf.DUMMYFUNCTION("""COMPUTED_VALUE"""),5075.0)</f>
        <v>5075</v>
      </c>
      <c r="E912" s="2">
        <f>IFERROR(__xludf.DUMMYFUNCTION("""COMPUTED_VALUE"""),5162.5)</f>
        <v>5162.5</v>
      </c>
      <c r="F912" s="2">
        <f>IFERROR(__xludf.DUMMYFUNCTION("""COMPUTED_VALUE"""),3.84747E7)</f>
        <v>38474700</v>
      </c>
      <c r="G912" s="2">
        <f t="shared" si="1"/>
        <v>150</v>
      </c>
    </row>
    <row r="913" ht="15.75" customHeight="1">
      <c r="A913" s="1">
        <f>IFERROR(__xludf.DUMMYFUNCTION("""COMPUTED_VALUE"""),45201.66666666667)</f>
        <v>45201.66667</v>
      </c>
      <c r="B913" s="2">
        <f>IFERROR(__xludf.DUMMYFUNCTION("""COMPUTED_VALUE"""),5162.5)</f>
        <v>5162.5</v>
      </c>
      <c r="C913" s="2">
        <f>IFERROR(__xludf.DUMMYFUNCTION("""COMPUTED_VALUE"""),5250.0)</f>
        <v>5250</v>
      </c>
      <c r="D913" s="2">
        <f>IFERROR(__xludf.DUMMYFUNCTION("""COMPUTED_VALUE"""),5150.0)</f>
        <v>5150</v>
      </c>
      <c r="E913" s="2">
        <f>IFERROR(__xludf.DUMMYFUNCTION("""COMPUTED_VALUE"""),5150.0)</f>
        <v>5150</v>
      </c>
      <c r="F913" s="2">
        <f>IFERROR(__xludf.DUMMYFUNCTION("""COMPUTED_VALUE"""),2.62812E7)</f>
        <v>26281200</v>
      </c>
      <c r="G913" s="2">
        <f t="shared" si="1"/>
        <v>100</v>
      </c>
    </row>
    <row r="914" ht="15.75" customHeight="1">
      <c r="A914" s="1">
        <f>IFERROR(__xludf.DUMMYFUNCTION("""COMPUTED_VALUE"""),45202.66666666667)</f>
        <v>45202.66667</v>
      </c>
      <c r="B914" s="2">
        <f>IFERROR(__xludf.DUMMYFUNCTION("""COMPUTED_VALUE"""),5175.0)</f>
        <v>5175</v>
      </c>
      <c r="C914" s="2">
        <f>IFERROR(__xludf.DUMMYFUNCTION("""COMPUTED_VALUE"""),5225.0)</f>
        <v>5225</v>
      </c>
      <c r="D914" s="2">
        <f>IFERROR(__xludf.DUMMYFUNCTION("""COMPUTED_VALUE"""),5162.5)</f>
        <v>5162.5</v>
      </c>
      <c r="E914" s="2">
        <f>IFERROR(__xludf.DUMMYFUNCTION("""COMPUTED_VALUE"""),5212.5)</f>
        <v>5212.5</v>
      </c>
      <c r="F914" s="2">
        <f>IFERROR(__xludf.DUMMYFUNCTION("""COMPUTED_VALUE"""),2.47967E7)</f>
        <v>24796700</v>
      </c>
      <c r="G914" s="2">
        <f t="shared" si="1"/>
        <v>75</v>
      </c>
    </row>
    <row r="915" ht="15.75" customHeight="1">
      <c r="A915" s="1">
        <f>IFERROR(__xludf.DUMMYFUNCTION("""COMPUTED_VALUE"""),45203.66666666667)</f>
        <v>45203.66667</v>
      </c>
      <c r="B915" s="2">
        <f>IFERROR(__xludf.DUMMYFUNCTION("""COMPUTED_VALUE"""),5225.0)</f>
        <v>5225</v>
      </c>
      <c r="C915" s="2">
        <f>IFERROR(__xludf.DUMMYFUNCTION("""COMPUTED_VALUE"""),5237.5)</f>
        <v>5237.5</v>
      </c>
      <c r="D915" s="2">
        <f>IFERROR(__xludf.DUMMYFUNCTION("""COMPUTED_VALUE"""),5125.0)</f>
        <v>5125</v>
      </c>
      <c r="E915" s="2">
        <f>IFERROR(__xludf.DUMMYFUNCTION("""COMPUTED_VALUE"""),5187.5)</f>
        <v>5187.5</v>
      </c>
      <c r="F915" s="2">
        <f>IFERROR(__xludf.DUMMYFUNCTION("""COMPUTED_VALUE"""),2.89794E7)</f>
        <v>28979400</v>
      </c>
      <c r="G915" s="2">
        <f t="shared" si="1"/>
        <v>112.5</v>
      </c>
    </row>
    <row r="916" ht="15.75" customHeight="1">
      <c r="A916" s="1">
        <f>IFERROR(__xludf.DUMMYFUNCTION("""COMPUTED_VALUE"""),45204.66666666667)</f>
        <v>45204.66667</v>
      </c>
      <c r="B916" s="2">
        <f>IFERROR(__xludf.DUMMYFUNCTION("""COMPUTED_VALUE"""),5200.0)</f>
        <v>5200</v>
      </c>
      <c r="C916" s="2">
        <f>IFERROR(__xludf.DUMMYFUNCTION("""COMPUTED_VALUE"""),5200.0)</f>
        <v>5200</v>
      </c>
      <c r="D916" s="2">
        <f>IFERROR(__xludf.DUMMYFUNCTION("""COMPUTED_VALUE"""),5175.0)</f>
        <v>5175</v>
      </c>
      <c r="E916" s="2">
        <f>IFERROR(__xludf.DUMMYFUNCTION("""COMPUTED_VALUE"""),5187.5)</f>
        <v>5187.5</v>
      </c>
      <c r="F916" s="2">
        <f>IFERROR(__xludf.DUMMYFUNCTION("""COMPUTED_VALUE"""),3.48635E7)</f>
        <v>34863500</v>
      </c>
      <c r="G916" s="2">
        <f t="shared" si="1"/>
        <v>25</v>
      </c>
    </row>
    <row r="917" ht="15.75" customHeight="1">
      <c r="A917" s="1">
        <f>IFERROR(__xludf.DUMMYFUNCTION("""COMPUTED_VALUE"""),45205.66666666667)</f>
        <v>45205.66667</v>
      </c>
      <c r="B917" s="2">
        <f>IFERROR(__xludf.DUMMYFUNCTION("""COMPUTED_VALUE"""),5225.0)</f>
        <v>5225</v>
      </c>
      <c r="C917" s="2">
        <f>IFERROR(__xludf.DUMMYFUNCTION("""COMPUTED_VALUE"""),5225.0)</f>
        <v>5225</v>
      </c>
      <c r="D917" s="2">
        <f>IFERROR(__xludf.DUMMYFUNCTION("""COMPUTED_VALUE"""),5175.0)</f>
        <v>5175</v>
      </c>
      <c r="E917" s="2">
        <f>IFERROR(__xludf.DUMMYFUNCTION("""COMPUTED_VALUE"""),5200.0)</f>
        <v>5200</v>
      </c>
      <c r="F917" s="2">
        <f>IFERROR(__xludf.DUMMYFUNCTION("""COMPUTED_VALUE"""),4.18401E7)</f>
        <v>41840100</v>
      </c>
      <c r="G917" s="2">
        <f t="shared" si="1"/>
        <v>50</v>
      </c>
    </row>
    <row r="918" ht="15.75" customHeight="1">
      <c r="A918" s="1">
        <f>IFERROR(__xludf.DUMMYFUNCTION("""COMPUTED_VALUE"""),45208.66666666667)</f>
        <v>45208.66667</v>
      </c>
      <c r="B918" s="2">
        <f>IFERROR(__xludf.DUMMYFUNCTION("""COMPUTED_VALUE"""),5200.0)</f>
        <v>5200</v>
      </c>
      <c r="C918" s="2">
        <f>IFERROR(__xludf.DUMMYFUNCTION("""COMPUTED_VALUE"""),5200.0)</f>
        <v>5200</v>
      </c>
      <c r="D918" s="2">
        <f>IFERROR(__xludf.DUMMYFUNCTION("""COMPUTED_VALUE"""),5050.0)</f>
        <v>5050</v>
      </c>
      <c r="E918" s="2">
        <f>IFERROR(__xludf.DUMMYFUNCTION("""COMPUTED_VALUE"""),5100.0)</f>
        <v>5100</v>
      </c>
      <c r="F918" s="2">
        <f>IFERROR(__xludf.DUMMYFUNCTION("""COMPUTED_VALUE"""),5.58089E7)</f>
        <v>55808900</v>
      </c>
      <c r="G918" s="2">
        <f t="shared" si="1"/>
        <v>150</v>
      </c>
    </row>
    <row r="919" ht="15.75" customHeight="1">
      <c r="A919" s="1">
        <f>IFERROR(__xludf.DUMMYFUNCTION("""COMPUTED_VALUE"""),45209.66666666667)</f>
        <v>45209.66667</v>
      </c>
      <c r="B919" s="2">
        <f>IFERROR(__xludf.DUMMYFUNCTION("""COMPUTED_VALUE"""),5175.0)</f>
        <v>5175</v>
      </c>
      <c r="C919" s="2">
        <f>IFERROR(__xludf.DUMMYFUNCTION("""COMPUTED_VALUE"""),5200.0)</f>
        <v>5200</v>
      </c>
      <c r="D919" s="2">
        <f>IFERROR(__xludf.DUMMYFUNCTION("""COMPUTED_VALUE"""),5150.0)</f>
        <v>5150</v>
      </c>
      <c r="E919" s="2">
        <f>IFERROR(__xludf.DUMMYFUNCTION("""COMPUTED_VALUE"""),5200.0)</f>
        <v>5200</v>
      </c>
      <c r="F919" s="2">
        <f>IFERROR(__xludf.DUMMYFUNCTION("""COMPUTED_VALUE"""),2.70909E7)</f>
        <v>27090900</v>
      </c>
      <c r="G919" s="2">
        <f t="shared" si="1"/>
        <v>100</v>
      </c>
    </row>
    <row r="920" ht="15.75" customHeight="1">
      <c r="A920" s="1">
        <f>IFERROR(__xludf.DUMMYFUNCTION("""COMPUTED_VALUE"""),45210.66666666667)</f>
        <v>45210.66667</v>
      </c>
      <c r="B920" s="2">
        <f>IFERROR(__xludf.DUMMYFUNCTION("""COMPUTED_VALUE"""),5200.0)</f>
        <v>5200</v>
      </c>
      <c r="C920" s="2">
        <f>IFERROR(__xludf.DUMMYFUNCTION("""COMPUTED_VALUE"""),5200.0)</f>
        <v>5200</v>
      </c>
      <c r="D920" s="2">
        <f>IFERROR(__xludf.DUMMYFUNCTION("""COMPUTED_VALUE"""),5150.0)</f>
        <v>5150</v>
      </c>
      <c r="E920" s="2">
        <f>IFERROR(__xludf.DUMMYFUNCTION("""COMPUTED_VALUE"""),5175.0)</f>
        <v>5175</v>
      </c>
      <c r="F920" s="2">
        <f>IFERROR(__xludf.DUMMYFUNCTION("""COMPUTED_VALUE"""),6.37136E7)</f>
        <v>63713600</v>
      </c>
      <c r="G920" s="2">
        <f t="shared" si="1"/>
        <v>50</v>
      </c>
    </row>
    <row r="921" ht="15.75" customHeight="1">
      <c r="A921" s="1">
        <f>IFERROR(__xludf.DUMMYFUNCTION("""COMPUTED_VALUE"""),45211.66666666667)</f>
        <v>45211.66667</v>
      </c>
      <c r="B921" s="2">
        <f>IFERROR(__xludf.DUMMYFUNCTION("""COMPUTED_VALUE"""),5200.0)</f>
        <v>5200</v>
      </c>
      <c r="C921" s="2">
        <f>IFERROR(__xludf.DUMMYFUNCTION("""COMPUTED_VALUE"""),5425.0)</f>
        <v>5425</v>
      </c>
      <c r="D921" s="2">
        <f>IFERROR(__xludf.DUMMYFUNCTION("""COMPUTED_VALUE"""),5200.0)</f>
        <v>5200</v>
      </c>
      <c r="E921" s="2">
        <f>IFERROR(__xludf.DUMMYFUNCTION("""COMPUTED_VALUE"""),5325.0)</f>
        <v>5325</v>
      </c>
      <c r="F921" s="2">
        <f>IFERROR(__xludf.DUMMYFUNCTION("""COMPUTED_VALUE"""),7.14851E7)</f>
        <v>71485100</v>
      </c>
      <c r="G921" s="2">
        <f t="shared" si="1"/>
        <v>250</v>
      </c>
    </row>
    <row r="922" ht="15.75" customHeight="1">
      <c r="A922" s="1">
        <f>IFERROR(__xludf.DUMMYFUNCTION("""COMPUTED_VALUE"""),45212.66666666667)</f>
        <v>45212.66667</v>
      </c>
      <c r="B922" s="2">
        <f>IFERROR(__xludf.DUMMYFUNCTION("""COMPUTED_VALUE"""),5350.0)</f>
        <v>5350</v>
      </c>
      <c r="C922" s="2">
        <f>IFERROR(__xludf.DUMMYFUNCTION("""COMPUTED_VALUE"""),5375.0)</f>
        <v>5375</v>
      </c>
      <c r="D922" s="2">
        <f>IFERROR(__xludf.DUMMYFUNCTION("""COMPUTED_VALUE"""),5175.0)</f>
        <v>5175</v>
      </c>
      <c r="E922" s="2">
        <f>IFERROR(__xludf.DUMMYFUNCTION("""COMPUTED_VALUE"""),5175.0)</f>
        <v>5175</v>
      </c>
      <c r="F922" s="2">
        <f>IFERROR(__xludf.DUMMYFUNCTION("""COMPUTED_VALUE"""),4.91389E7)</f>
        <v>49138900</v>
      </c>
      <c r="G922" s="2">
        <f t="shared" si="1"/>
        <v>200</v>
      </c>
    </row>
    <row r="923" ht="15.75" customHeight="1">
      <c r="A923" s="1">
        <f>IFERROR(__xludf.DUMMYFUNCTION("""COMPUTED_VALUE"""),45215.66666666667)</f>
        <v>45215.66667</v>
      </c>
      <c r="B923" s="2">
        <f>IFERROR(__xludf.DUMMYFUNCTION("""COMPUTED_VALUE"""),5200.0)</f>
        <v>5200</v>
      </c>
      <c r="C923" s="2">
        <f>IFERROR(__xludf.DUMMYFUNCTION("""COMPUTED_VALUE"""),5275.0)</f>
        <v>5275</v>
      </c>
      <c r="D923" s="2">
        <f>IFERROR(__xludf.DUMMYFUNCTION("""COMPUTED_VALUE"""),5150.0)</f>
        <v>5150</v>
      </c>
      <c r="E923" s="2">
        <f>IFERROR(__xludf.DUMMYFUNCTION("""COMPUTED_VALUE"""),5200.0)</f>
        <v>5200</v>
      </c>
      <c r="F923" s="2">
        <f>IFERROR(__xludf.DUMMYFUNCTION("""COMPUTED_VALUE"""),3.50294E7)</f>
        <v>35029400</v>
      </c>
      <c r="G923" s="2">
        <f t="shared" si="1"/>
        <v>125</v>
      </c>
    </row>
    <row r="924" ht="15.75" customHeight="1">
      <c r="A924" s="1">
        <f>IFERROR(__xludf.DUMMYFUNCTION("""COMPUTED_VALUE"""),45216.66666666667)</f>
        <v>45216.66667</v>
      </c>
      <c r="B924" s="2">
        <f>IFERROR(__xludf.DUMMYFUNCTION("""COMPUTED_VALUE"""),5200.0)</f>
        <v>5200</v>
      </c>
      <c r="C924" s="2">
        <f>IFERROR(__xludf.DUMMYFUNCTION("""COMPUTED_VALUE"""),5225.0)</f>
        <v>5225</v>
      </c>
      <c r="D924" s="2">
        <f>IFERROR(__xludf.DUMMYFUNCTION("""COMPUTED_VALUE"""),5150.0)</f>
        <v>5150</v>
      </c>
      <c r="E924" s="2">
        <f>IFERROR(__xludf.DUMMYFUNCTION("""COMPUTED_VALUE"""),5200.0)</f>
        <v>5200</v>
      </c>
      <c r="F924" s="2">
        <f>IFERROR(__xludf.DUMMYFUNCTION("""COMPUTED_VALUE"""),2.9834E7)</f>
        <v>29834000</v>
      </c>
      <c r="G924" s="2">
        <f t="shared" si="1"/>
        <v>75</v>
      </c>
    </row>
    <row r="925" ht="15.75" customHeight="1">
      <c r="A925" s="1">
        <f>IFERROR(__xludf.DUMMYFUNCTION("""COMPUTED_VALUE"""),45217.66666666667)</f>
        <v>45217.66667</v>
      </c>
      <c r="B925" s="2">
        <f>IFERROR(__xludf.DUMMYFUNCTION("""COMPUTED_VALUE"""),5200.0)</f>
        <v>5200</v>
      </c>
      <c r="C925" s="2">
        <f>IFERROR(__xludf.DUMMYFUNCTION("""COMPUTED_VALUE"""),5225.0)</f>
        <v>5225</v>
      </c>
      <c r="D925" s="2">
        <f>IFERROR(__xludf.DUMMYFUNCTION("""COMPUTED_VALUE"""),5100.0)</f>
        <v>5100</v>
      </c>
      <c r="E925" s="2">
        <f>IFERROR(__xludf.DUMMYFUNCTION("""COMPUTED_VALUE"""),5125.0)</f>
        <v>5125</v>
      </c>
      <c r="F925" s="2">
        <f>IFERROR(__xludf.DUMMYFUNCTION("""COMPUTED_VALUE"""),4.60275E7)</f>
        <v>46027500</v>
      </c>
      <c r="G925" s="2">
        <f t="shared" si="1"/>
        <v>125</v>
      </c>
    </row>
    <row r="926" ht="15.75" customHeight="1">
      <c r="A926" s="1">
        <f>IFERROR(__xludf.DUMMYFUNCTION("""COMPUTED_VALUE"""),45218.66666666667)</f>
        <v>45218.66667</v>
      </c>
      <c r="B926" s="2">
        <f>IFERROR(__xludf.DUMMYFUNCTION("""COMPUTED_VALUE"""),5100.0)</f>
        <v>5100</v>
      </c>
      <c r="C926" s="2">
        <f>IFERROR(__xludf.DUMMYFUNCTION("""COMPUTED_VALUE"""),5100.0)</f>
        <v>5100</v>
      </c>
      <c r="D926" s="2">
        <f>IFERROR(__xludf.DUMMYFUNCTION("""COMPUTED_VALUE"""),4900.0)</f>
        <v>4900</v>
      </c>
      <c r="E926" s="2">
        <f>IFERROR(__xludf.DUMMYFUNCTION("""COMPUTED_VALUE"""),4940.0)</f>
        <v>4940</v>
      </c>
      <c r="F926" s="2">
        <f>IFERROR(__xludf.DUMMYFUNCTION("""COMPUTED_VALUE"""),9.67505E7)</f>
        <v>96750500</v>
      </c>
      <c r="G926" s="2">
        <f t="shared" si="1"/>
        <v>225</v>
      </c>
    </row>
    <row r="927" ht="15.75" customHeight="1">
      <c r="A927" s="1">
        <f>IFERROR(__xludf.DUMMYFUNCTION("""COMPUTED_VALUE"""),45219.66666666667)</f>
        <v>45219.66667</v>
      </c>
      <c r="B927" s="2">
        <f>IFERROR(__xludf.DUMMYFUNCTION("""COMPUTED_VALUE"""),4940.0)</f>
        <v>4940</v>
      </c>
      <c r="C927" s="2">
        <f>IFERROR(__xludf.DUMMYFUNCTION("""COMPUTED_VALUE"""),5025.0)</f>
        <v>5025</v>
      </c>
      <c r="D927" s="2">
        <f>IFERROR(__xludf.DUMMYFUNCTION("""COMPUTED_VALUE"""),4910.0)</f>
        <v>4910</v>
      </c>
      <c r="E927" s="2">
        <f>IFERROR(__xludf.DUMMYFUNCTION("""COMPUTED_VALUE"""),4970.0)</f>
        <v>4970</v>
      </c>
      <c r="F927" s="2">
        <f>IFERROR(__xludf.DUMMYFUNCTION("""COMPUTED_VALUE"""),4.85175E7)</f>
        <v>48517500</v>
      </c>
      <c r="G927" s="2">
        <f t="shared" si="1"/>
        <v>115</v>
      </c>
    </row>
    <row r="928" ht="15.75" customHeight="1">
      <c r="A928" s="1">
        <f>IFERROR(__xludf.DUMMYFUNCTION("""COMPUTED_VALUE"""),45222.66666666667)</f>
        <v>45222.66667</v>
      </c>
      <c r="B928" s="2">
        <f>IFERROR(__xludf.DUMMYFUNCTION("""COMPUTED_VALUE"""),4970.0)</f>
        <v>4970</v>
      </c>
      <c r="C928" s="2">
        <f>IFERROR(__xludf.DUMMYFUNCTION("""COMPUTED_VALUE"""),5050.0)</f>
        <v>5050</v>
      </c>
      <c r="D928" s="2">
        <f>IFERROR(__xludf.DUMMYFUNCTION("""COMPUTED_VALUE"""),4950.0)</f>
        <v>4950</v>
      </c>
      <c r="E928" s="2">
        <f>IFERROR(__xludf.DUMMYFUNCTION("""COMPUTED_VALUE"""),4990.0)</f>
        <v>4990</v>
      </c>
      <c r="F928" s="2">
        <f>IFERROR(__xludf.DUMMYFUNCTION("""COMPUTED_VALUE"""),3.65822E7)</f>
        <v>36582200</v>
      </c>
      <c r="G928" s="2">
        <f t="shared" si="1"/>
        <v>100</v>
      </c>
    </row>
    <row r="929" ht="15.75" customHeight="1">
      <c r="A929" s="1">
        <f>IFERROR(__xludf.DUMMYFUNCTION("""COMPUTED_VALUE"""),45223.66666666667)</f>
        <v>45223.66667</v>
      </c>
      <c r="B929" s="2">
        <f>IFERROR(__xludf.DUMMYFUNCTION("""COMPUTED_VALUE"""),5000.0)</f>
        <v>5000</v>
      </c>
      <c r="C929" s="2">
        <f>IFERROR(__xludf.DUMMYFUNCTION("""COMPUTED_VALUE"""),5075.0)</f>
        <v>5075</v>
      </c>
      <c r="D929" s="2">
        <f>IFERROR(__xludf.DUMMYFUNCTION("""COMPUTED_VALUE"""),4970.0)</f>
        <v>4970</v>
      </c>
      <c r="E929" s="2">
        <f>IFERROR(__xludf.DUMMYFUNCTION("""COMPUTED_VALUE"""),5000.0)</f>
        <v>5000</v>
      </c>
      <c r="F929" s="2">
        <f>IFERROR(__xludf.DUMMYFUNCTION("""COMPUTED_VALUE"""),4.36551E7)</f>
        <v>43655100</v>
      </c>
      <c r="G929" s="2">
        <f t="shared" si="1"/>
        <v>105</v>
      </c>
    </row>
    <row r="930" ht="15.75" customHeight="1">
      <c r="A930" s="1">
        <f>IFERROR(__xludf.DUMMYFUNCTION("""COMPUTED_VALUE"""),45224.66666666667)</f>
        <v>45224.66667</v>
      </c>
      <c r="B930" s="2">
        <f>IFERROR(__xludf.DUMMYFUNCTION("""COMPUTED_VALUE"""),5050.0)</f>
        <v>5050</v>
      </c>
      <c r="C930" s="2">
        <f>IFERROR(__xludf.DUMMYFUNCTION("""COMPUTED_VALUE"""),5050.0)</f>
        <v>5050</v>
      </c>
      <c r="D930" s="2">
        <f>IFERROR(__xludf.DUMMYFUNCTION("""COMPUTED_VALUE"""),4960.0)</f>
        <v>4960</v>
      </c>
      <c r="E930" s="2">
        <f>IFERROR(__xludf.DUMMYFUNCTION("""COMPUTED_VALUE"""),4970.0)</f>
        <v>4970</v>
      </c>
      <c r="F930" s="2">
        <f>IFERROR(__xludf.DUMMYFUNCTION("""COMPUTED_VALUE"""),4.9108E7)</f>
        <v>49108000</v>
      </c>
      <c r="G930" s="2">
        <f t="shared" si="1"/>
        <v>90</v>
      </c>
    </row>
    <row r="931" ht="15.75" customHeight="1">
      <c r="A931" s="1">
        <f>IFERROR(__xludf.DUMMYFUNCTION("""COMPUTED_VALUE"""),45225.66666666667)</f>
        <v>45225.66667</v>
      </c>
      <c r="B931" s="2">
        <f>IFERROR(__xludf.DUMMYFUNCTION("""COMPUTED_VALUE"""),4980.0)</f>
        <v>4980</v>
      </c>
      <c r="C931" s="2">
        <f>IFERROR(__xludf.DUMMYFUNCTION("""COMPUTED_VALUE"""),4990.0)</f>
        <v>4990</v>
      </c>
      <c r="D931" s="2">
        <f>IFERROR(__xludf.DUMMYFUNCTION("""COMPUTED_VALUE"""),4830.0)</f>
        <v>4830</v>
      </c>
      <c r="E931" s="2">
        <f>IFERROR(__xludf.DUMMYFUNCTION("""COMPUTED_VALUE"""),4880.0)</f>
        <v>4880</v>
      </c>
      <c r="F931" s="2">
        <f>IFERROR(__xludf.DUMMYFUNCTION("""COMPUTED_VALUE"""),7.70781E7)</f>
        <v>77078100</v>
      </c>
      <c r="G931" s="2">
        <f t="shared" si="1"/>
        <v>160</v>
      </c>
    </row>
    <row r="932" ht="15.75" customHeight="1">
      <c r="A932" s="1">
        <f>IFERROR(__xludf.DUMMYFUNCTION("""COMPUTED_VALUE"""),45226.66666666667)</f>
        <v>45226.66667</v>
      </c>
      <c r="B932" s="2">
        <f>IFERROR(__xludf.DUMMYFUNCTION("""COMPUTED_VALUE"""),4880.0)</f>
        <v>4880</v>
      </c>
      <c r="C932" s="2">
        <f>IFERROR(__xludf.DUMMYFUNCTION("""COMPUTED_VALUE"""),4900.0)</f>
        <v>4900</v>
      </c>
      <c r="D932" s="2">
        <f>IFERROR(__xludf.DUMMYFUNCTION("""COMPUTED_VALUE"""),4850.0)</f>
        <v>4850</v>
      </c>
      <c r="E932" s="2">
        <f>IFERROR(__xludf.DUMMYFUNCTION("""COMPUTED_VALUE"""),4850.0)</f>
        <v>4850</v>
      </c>
      <c r="F932" s="2">
        <f>IFERROR(__xludf.DUMMYFUNCTION("""COMPUTED_VALUE"""),3.93506E7)</f>
        <v>39350600</v>
      </c>
      <c r="G932" s="2">
        <f t="shared" si="1"/>
        <v>50</v>
      </c>
    </row>
    <row r="933" ht="15.75" customHeight="1">
      <c r="A933" s="1">
        <f>IFERROR(__xludf.DUMMYFUNCTION("""COMPUTED_VALUE"""),45229.66666666667)</f>
        <v>45229.66667</v>
      </c>
      <c r="B933" s="2">
        <f>IFERROR(__xludf.DUMMYFUNCTION("""COMPUTED_VALUE"""),4850.0)</f>
        <v>4850</v>
      </c>
      <c r="C933" s="2">
        <f>IFERROR(__xludf.DUMMYFUNCTION("""COMPUTED_VALUE"""),4860.0)</f>
        <v>4860</v>
      </c>
      <c r="D933" s="2">
        <f>IFERROR(__xludf.DUMMYFUNCTION("""COMPUTED_VALUE"""),4810.0)</f>
        <v>4810</v>
      </c>
      <c r="E933" s="2">
        <f>IFERROR(__xludf.DUMMYFUNCTION("""COMPUTED_VALUE"""),4850.0)</f>
        <v>4850</v>
      </c>
      <c r="F933" s="2">
        <f>IFERROR(__xludf.DUMMYFUNCTION("""COMPUTED_VALUE"""),3.43126E7)</f>
        <v>34312600</v>
      </c>
      <c r="G933" s="2">
        <f t="shared" si="1"/>
        <v>50</v>
      </c>
    </row>
    <row r="934" ht="15.75" customHeight="1">
      <c r="A934" s="1">
        <f>IFERROR(__xludf.DUMMYFUNCTION("""COMPUTED_VALUE"""),45230.66666666667)</f>
        <v>45230.66667</v>
      </c>
      <c r="B934" s="2">
        <f>IFERROR(__xludf.DUMMYFUNCTION("""COMPUTED_VALUE"""),4850.0)</f>
        <v>4850</v>
      </c>
      <c r="C934" s="2">
        <f>IFERROR(__xludf.DUMMYFUNCTION("""COMPUTED_VALUE"""),4850.0)</f>
        <v>4850</v>
      </c>
      <c r="D934" s="2">
        <f>IFERROR(__xludf.DUMMYFUNCTION("""COMPUTED_VALUE"""),4720.0)</f>
        <v>4720</v>
      </c>
      <c r="E934" s="2">
        <f>IFERROR(__xludf.DUMMYFUNCTION("""COMPUTED_VALUE"""),4790.0)</f>
        <v>4790</v>
      </c>
      <c r="F934" s="2">
        <f>IFERROR(__xludf.DUMMYFUNCTION("""COMPUTED_VALUE"""),6.20612E7)</f>
        <v>62061200</v>
      </c>
      <c r="G934" s="2">
        <f t="shared" si="1"/>
        <v>130</v>
      </c>
    </row>
    <row r="935" ht="15.75" customHeight="1">
      <c r="A935" s="1">
        <f>IFERROR(__xludf.DUMMYFUNCTION("""COMPUTED_VALUE"""),45231.66666666667)</f>
        <v>45231.66667</v>
      </c>
      <c r="B935" s="2">
        <f>IFERROR(__xludf.DUMMYFUNCTION("""COMPUTED_VALUE"""),4930.0)</f>
        <v>4930</v>
      </c>
      <c r="C935" s="2">
        <f>IFERROR(__xludf.DUMMYFUNCTION("""COMPUTED_VALUE"""),4930.0)</f>
        <v>4930</v>
      </c>
      <c r="D935" s="2">
        <f>IFERROR(__xludf.DUMMYFUNCTION("""COMPUTED_VALUE"""),4790.0)</f>
        <v>4790</v>
      </c>
      <c r="E935" s="2">
        <f>IFERROR(__xludf.DUMMYFUNCTION("""COMPUTED_VALUE"""),4820.0)</f>
        <v>4820</v>
      </c>
      <c r="F935" s="2">
        <f>IFERROR(__xludf.DUMMYFUNCTION("""COMPUTED_VALUE"""),5.80084E7)</f>
        <v>58008400</v>
      </c>
      <c r="G935" s="2">
        <f t="shared" si="1"/>
        <v>140</v>
      </c>
    </row>
    <row r="936" ht="15.75" customHeight="1">
      <c r="A936" s="1">
        <f>IFERROR(__xludf.DUMMYFUNCTION("""COMPUTED_VALUE"""),45232.66666666667)</f>
        <v>45232.66667</v>
      </c>
      <c r="B936" s="2">
        <f>IFERROR(__xludf.DUMMYFUNCTION("""COMPUTED_VALUE"""),4820.0)</f>
        <v>4820</v>
      </c>
      <c r="C936" s="2">
        <f>IFERROR(__xludf.DUMMYFUNCTION("""COMPUTED_VALUE"""),4920.0)</f>
        <v>4920</v>
      </c>
      <c r="D936" s="2">
        <f>IFERROR(__xludf.DUMMYFUNCTION("""COMPUTED_VALUE"""),4810.0)</f>
        <v>4810</v>
      </c>
      <c r="E936" s="2">
        <f>IFERROR(__xludf.DUMMYFUNCTION("""COMPUTED_VALUE"""),4870.0)</f>
        <v>4870</v>
      </c>
      <c r="F936" s="2">
        <f>IFERROR(__xludf.DUMMYFUNCTION("""COMPUTED_VALUE"""),6.15287E7)</f>
        <v>61528700</v>
      </c>
      <c r="G936" s="2">
        <f t="shared" si="1"/>
        <v>110</v>
      </c>
    </row>
    <row r="937" ht="15.75" customHeight="1">
      <c r="A937" s="1">
        <f>IFERROR(__xludf.DUMMYFUNCTION("""COMPUTED_VALUE"""),45233.66666666667)</f>
        <v>45233.66667</v>
      </c>
      <c r="B937" s="2">
        <f>IFERROR(__xludf.DUMMYFUNCTION("""COMPUTED_VALUE"""),4910.0)</f>
        <v>4910</v>
      </c>
      <c r="C937" s="2">
        <f>IFERROR(__xludf.DUMMYFUNCTION("""COMPUTED_VALUE"""),4940.0)</f>
        <v>4940</v>
      </c>
      <c r="D937" s="2">
        <f>IFERROR(__xludf.DUMMYFUNCTION("""COMPUTED_VALUE"""),4880.0)</f>
        <v>4880</v>
      </c>
      <c r="E937" s="2">
        <f>IFERROR(__xludf.DUMMYFUNCTION("""COMPUTED_VALUE"""),4890.0)</f>
        <v>4890</v>
      </c>
      <c r="F937" s="2">
        <f>IFERROR(__xludf.DUMMYFUNCTION("""COMPUTED_VALUE"""),3.73335E7)</f>
        <v>37333500</v>
      </c>
      <c r="G937" s="2">
        <f t="shared" si="1"/>
        <v>70</v>
      </c>
    </row>
    <row r="938" ht="15.75" customHeight="1">
      <c r="A938" s="1">
        <f>IFERROR(__xludf.DUMMYFUNCTION("""COMPUTED_VALUE"""),45236.66666666667)</f>
        <v>45236.66667</v>
      </c>
      <c r="B938" s="2">
        <f>IFERROR(__xludf.DUMMYFUNCTION("""COMPUTED_VALUE"""),4980.0)</f>
        <v>4980</v>
      </c>
      <c r="C938" s="2">
        <f>IFERROR(__xludf.DUMMYFUNCTION("""COMPUTED_VALUE"""),5000.0)</f>
        <v>5000</v>
      </c>
      <c r="D938" s="2">
        <f>IFERROR(__xludf.DUMMYFUNCTION("""COMPUTED_VALUE"""),4940.0)</f>
        <v>4940</v>
      </c>
      <c r="E938" s="2">
        <f>IFERROR(__xludf.DUMMYFUNCTION("""COMPUTED_VALUE"""),4970.0)</f>
        <v>4970</v>
      </c>
      <c r="F938" s="2">
        <f>IFERROR(__xludf.DUMMYFUNCTION("""COMPUTED_VALUE"""),5.42785E7)</f>
        <v>54278500</v>
      </c>
      <c r="G938" s="2">
        <f t="shared" si="1"/>
        <v>110</v>
      </c>
    </row>
    <row r="939" ht="15.75" customHeight="1">
      <c r="A939" s="1">
        <f>IFERROR(__xludf.DUMMYFUNCTION("""COMPUTED_VALUE"""),45237.66666666667)</f>
        <v>45237.66667</v>
      </c>
      <c r="B939" s="2">
        <f>IFERROR(__xludf.DUMMYFUNCTION("""COMPUTED_VALUE"""),4970.0)</f>
        <v>4970</v>
      </c>
      <c r="C939" s="2">
        <f>IFERROR(__xludf.DUMMYFUNCTION("""COMPUTED_VALUE"""),4970.0)</f>
        <v>4970</v>
      </c>
      <c r="D939" s="2">
        <f>IFERROR(__xludf.DUMMYFUNCTION("""COMPUTED_VALUE"""),4910.0)</f>
        <v>4910</v>
      </c>
      <c r="E939" s="2">
        <f>IFERROR(__xludf.DUMMYFUNCTION("""COMPUTED_VALUE"""),4940.0)</f>
        <v>4940</v>
      </c>
      <c r="F939" s="2">
        <f>IFERROR(__xludf.DUMMYFUNCTION("""COMPUTED_VALUE"""),3.82136E7)</f>
        <v>38213600</v>
      </c>
      <c r="G939" s="2">
        <f t="shared" si="1"/>
        <v>60</v>
      </c>
    </row>
    <row r="940" ht="15.75" customHeight="1">
      <c r="A940" s="1">
        <f>IFERROR(__xludf.DUMMYFUNCTION("""COMPUTED_VALUE"""),45238.66666666667)</f>
        <v>45238.66667</v>
      </c>
      <c r="B940" s="2">
        <f>IFERROR(__xludf.DUMMYFUNCTION("""COMPUTED_VALUE"""),4940.0)</f>
        <v>4940</v>
      </c>
      <c r="C940" s="2">
        <f>IFERROR(__xludf.DUMMYFUNCTION("""COMPUTED_VALUE"""),4950.0)</f>
        <v>4950</v>
      </c>
      <c r="D940" s="2">
        <f>IFERROR(__xludf.DUMMYFUNCTION("""COMPUTED_VALUE"""),4860.0)</f>
        <v>4860</v>
      </c>
      <c r="E940" s="2">
        <f>IFERROR(__xludf.DUMMYFUNCTION("""COMPUTED_VALUE"""),4880.0)</f>
        <v>4880</v>
      </c>
      <c r="F940" s="2">
        <f>IFERROR(__xludf.DUMMYFUNCTION("""COMPUTED_VALUE"""),3.06911E7)</f>
        <v>30691100</v>
      </c>
      <c r="G940" s="2">
        <f t="shared" si="1"/>
        <v>90</v>
      </c>
    </row>
    <row r="941" ht="15.75" customHeight="1">
      <c r="A941" s="1">
        <f>IFERROR(__xludf.DUMMYFUNCTION("""COMPUTED_VALUE"""),45239.66666666667)</f>
        <v>45239.66667</v>
      </c>
      <c r="B941" s="2">
        <f>IFERROR(__xludf.DUMMYFUNCTION("""COMPUTED_VALUE"""),4880.0)</f>
        <v>4880</v>
      </c>
      <c r="C941" s="2">
        <f>IFERROR(__xludf.DUMMYFUNCTION("""COMPUTED_VALUE"""),4950.0)</f>
        <v>4950</v>
      </c>
      <c r="D941" s="2">
        <f>IFERROR(__xludf.DUMMYFUNCTION("""COMPUTED_VALUE"""),4860.0)</f>
        <v>4860</v>
      </c>
      <c r="E941" s="2">
        <f>IFERROR(__xludf.DUMMYFUNCTION("""COMPUTED_VALUE"""),4860.0)</f>
        <v>4860</v>
      </c>
      <c r="F941" s="2">
        <f>IFERROR(__xludf.DUMMYFUNCTION("""COMPUTED_VALUE"""),3.29994E7)</f>
        <v>32999400</v>
      </c>
      <c r="G941" s="2">
        <f t="shared" si="1"/>
        <v>90</v>
      </c>
    </row>
    <row r="942" ht="15.75" customHeight="1">
      <c r="A942" s="1">
        <f>IFERROR(__xludf.DUMMYFUNCTION("""COMPUTED_VALUE"""),45240.66666666667)</f>
        <v>45240.66667</v>
      </c>
      <c r="B942" s="2">
        <f>IFERROR(__xludf.DUMMYFUNCTION("""COMPUTED_VALUE"""),4860.0)</f>
        <v>4860</v>
      </c>
      <c r="C942" s="2">
        <f>IFERROR(__xludf.DUMMYFUNCTION("""COMPUTED_VALUE"""),4870.0)</f>
        <v>4870</v>
      </c>
      <c r="D942" s="2">
        <f>IFERROR(__xludf.DUMMYFUNCTION("""COMPUTED_VALUE"""),4820.0)</f>
        <v>4820</v>
      </c>
      <c r="E942" s="2">
        <f>IFERROR(__xludf.DUMMYFUNCTION("""COMPUTED_VALUE"""),4860.0)</f>
        <v>4860</v>
      </c>
      <c r="F942" s="2">
        <f>IFERROR(__xludf.DUMMYFUNCTION("""COMPUTED_VALUE"""),3.77539E7)</f>
        <v>37753900</v>
      </c>
      <c r="G942" s="2">
        <f t="shared" si="1"/>
        <v>50</v>
      </c>
    </row>
    <row r="943" ht="15.75" customHeight="1">
      <c r="A943" s="1">
        <f>IFERROR(__xludf.DUMMYFUNCTION("""COMPUTED_VALUE"""),45243.66666666667)</f>
        <v>45243.66667</v>
      </c>
      <c r="B943" s="2">
        <f>IFERROR(__xludf.DUMMYFUNCTION("""COMPUTED_VALUE"""),4890.0)</f>
        <v>4890</v>
      </c>
      <c r="C943" s="2">
        <f>IFERROR(__xludf.DUMMYFUNCTION("""COMPUTED_VALUE"""),4910.0)</f>
        <v>4910</v>
      </c>
      <c r="D943" s="2">
        <f>IFERROR(__xludf.DUMMYFUNCTION("""COMPUTED_VALUE"""),4870.0)</f>
        <v>4870</v>
      </c>
      <c r="E943" s="2">
        <f>IFERROR(__xludf.DUMMYFUNCTION("""COMPUTED_VALUE"""),4890.0)</f>
        <v>4890</v>
      </c>
      <c r="F943" s="2">
        <f>IFERROR(__xludf.DUMMYFUNCTION("""COMPUTED_VALUE"""),1.71997E7)</f>
        <v>17199700</v>
      </c>
      <c r="G943" s="2">
        <f t="shared" si="1"/>
        <v>50</v>
      </c>
    </row>
    <row r="944" ht="15.75" customHeight="1">
      <c r="A944" s="1">
        <f>IFERROR(__xludf.DUMMYFUNCTION("""COMPUTED_VALUE"""),45244.66666666667)</f>
        <v>45244.66667</v>
      </c>
      <c r="B944" s="2">
        <f>IFERROR(__xludf.DUMMYFUNCTION("""COMPUTED_VALUE"""),4910.0)</f>
        <v>4910</v>
      </c>
      <c r="C944" s="2">
        <f>IFERROR(__xludf.DUMMYFUNCTION("""COMPUTED_VALUE"""),4940.0)</f>
        <v>4940</v>
      </c>
      <c r="D944" s="2">
        <f>IFERROR(__xludf.DUMMYFUNCTION("""COMPUTED_VALUE"""),4880.0)</f>
        <v>4880</v>
      </c>
      <c r="E944" s="2">
        <f>IFERROR(__xludf.DUMMYFUNCTION("""COMPUTED_VALUE"""),4880.0)</f>
        <v>4880</v>
      </c>
      <c r="F944" s="2">
        <f>IFERROR(__xludf.DUMMYFUNCTION("""COMPUTED_VALUE"""),2.79611E7)</f>
        <v>27961100</v>
      </c>
      <c r="G944" s="2">
        <f t="shared" si="1"/>
        <v>60</v>
      </c>
    </row>
    <row r="945" ht="15.75" customHeight="1">
      <c r="A945" s="1">
        <f>IFERROR(__xludf.DUMMYFUNCTION("""COMPUTED_VALUE"""),45245.66666666667)</f>
        <v>45245.66667</v>
      </c>
      <c r="B945" s="2">
        <f>IFERROR(__xludf.DUMMYFUNCTION("""COMPUTED_VALUE"""),4970.0)</f>
        <v>4970</v>
      </c>
      <c r="C945" s="2">
        <f>IFERROR(__xludf.DUMMYFUNCTION("""COMPUTED_VALUE"""),5025.0)</f>
        <v>5025</v>
      </c>
      <c r="D945" s="2">
        <f>IFERROR(__xludf.DUMMYFUNCTION("""COMPUTED_VALUE"""),4960.0)</f>
        <v>4960</v>
      </c>
      <c r="E945" s="2">
        <f>IFERROR(__xludf.DUMMYFUNCTION("""COMPUTED_VALUE"""),4980.0)</f>
        <v>4980</v>
      </c>
      <c r="F945" s="2">
        <f>IFERROR(__xludf.DUMMYFUNCTION("""COMPUTED_VALUE"""),9.33508E7)</f>
        <v>93350800</v>
      </c>
      <c r="G945" s="2">
        <f t="shared" si="1"/>
        <v>145</v>
      </c>
    </row>
    <row r="946" ht="15.75" customHeight="1">
      <c r="A946" s="1">
        <f>IFERROR(__xludf.DUMMYFUNCTION("""COMPUTED_VALUE"""),45246.66666666667)</f>
        <v>45246.66667</v>
      </c>
      <c r="B946" s="2">
        <f>IFERROR(__xludf.DUMMYFUNCTION("""COMPUTED_VALUE"""),4970.0)</f>
        <v>4970</v>
      </c>
      <c r="C946" s="2">
        <f>IFERROR(__xludf.DUMMYFUNCTION("""COMPUTED_VALUE"""),4990.0)</f>
        <v>4990</v>
      </c>
      <c r="D946" s="2">
        <f>IFERROR(__xludf.DUMMYFUNCTION("""COMPUTED_VALUE"""),4910.0)</f>
        <v>4910</v>
      </c>
      <c r="E946" s="2">
        <f>IFERROR(__xludf.DUMMYFUNCTION("""COMPUTED_VALUE"""),4950.0)</f>
        <v>4950</v>
      </c>
      <c r="F946" s="2">
        <f>IFERROR(__xludf.DUMMYFUNCTION("""COMPUTED_VALUE"""),3.81216E7)</f>
        <v>38121600</v>
      </c>
      <c r="G946" s="2">
        <f t="shared" si="1"/>
        <v>80</v>
      </c>
    </row>
    <row r="947" ht="15.75" customHeight="1">
      <c r="A947" s="1">
        <f>IFERROR(__xludf.DUMMYFUNCTION("""COMPUTED_VALUE"""),45247.66666666667)</f>
        <v>45247.66667</v>
      </c>
      <c r="B947" s="2">
        <f>IFERROR(__xludf.DUMMYFUNCTION("""COMPUTED_VALUE"""),4940.0)</f>
        <v>4940</v>
      </c>
      <c r="C947" s="2">
        <f>IFERROR(__xludf.DUMMYFUNCTION("""COMPUTED_VALUE"""),4990.0)</f>
        <v>4990</v>
      </c>
      <c r="D947" s="2">
        <f>IFERROR(__xludf.DUMMYFUNCTION("""COMPUTED_VALUE"""),4900.0)</f>
        <v>4900</v>
      </c>
      <c r="E947" s="2">
        <f>IFERROR(__xludf.DUMMYFUNCTION("""COMPUTED_VALUE"""),4980.0)</f>
        <v>4980</v>
      </c>
      <c r="F947" s="2">
        <f>IFERROR(__xludf.DUMMYFUNCTION("""COMPUTED_VALUE"""),4.84895E7)</f>
        <v>48489500</v>
      </c>
      <c r="G947" s="2">
        <f t="shared" si="1"/>
        <v>90</v>
      </c>
    </row>
    <row r="948" ht="15.75" customHeight="1">
      <c r="A948" s="1">
        <f>IFERROR(__xludf.DUMMYFUNCTION("""COMPUTED_VALUE"""),45250.66666666667)</f>
        <v>45250.66667</v>
      </c>
      <c r="B948" s="2">
        <f>IFERROR(__xludf.DUMMYFUNCTION("""COMPUTED_VALUE"""),5000.0)</f>
        <v>5000</v>
      </c>
      <c r="C948" s="2">
        <f>IFERROR(__xludf.DUMMYFUNCTION("""COMPUTED_VALUE"""),5025.0)</f>
        <v>5025</v>
      </c>
      <c r="D948" s="2">
        <f>IFERROR(__xludf.DUMMYFUNCTION("""COMPUTED_VALUE"""),4970.0)</f>
        <v>4970</v>
      </c>
      <c r="E948" s="2">
        <f>IFERROR(__xludf.DUMMYFUNCTION("""COMPUTED_VALUE"""),4980.0)</f>
        <v>4980</v>
      </c>
      <c r="F948" s="2">
        <f>IFERROR(__xludf.DUMMYFUNCTION("""COMPUTED_VALUE"""),5.21088E7)</f>
        <v>52108800</v>
      </c>
      <c r="G948" s="2">
        <f t="shared" si="1"/>
        <v>55</v>
      </c>
    </row>
    <row r="949" ht="15.75" customHeight="1">
      <c r="A949" s="1">
        <f>IFERROR(__xludf.DUMMYFUNCTION("""COMPUTED_VALUE"""),45251.66666666667)</f>
        <v>45251.66667</v>
      </c>
      <c r="B949" s="2">
        <f>IFERROR(__xludf.DUMMYFUNCTION("""COMPUTED_VALUE"""),5000.0)</f>
        <v>5000</v>
      </c>
      <c r="C949" s="2">
        <f>IFERROR(__xludf.DUMMYFUNCTION("""COMPUTED_VALUE"""),5100.0)</f>
        <v>5100</v>
      </c>
      <c r="D949" s="2">
        <f>IFERROR(__xludf.DUMMYFUNCTION("""COMPUTED_VALUE"""),4990.0)</f>
        <v>4990</v>
      </c>
      <c r="E949" s="2">
        <f>IFERROR(__xludf.DUMMYFUNCTION("""COMPUTED_VALUE"""),5075.0)</f>
        <v>5075</v>
      </c>
      <c r="F949" s="2">
        <f>IFERROR(__xludf.DUMMYFUNCTION("""COMPUTED_VALUE"""),1.294499E8)</f>
        <v>129449900</v>
      </c>
      <c r="G949" s="2">
        <f t="shared" si="1"/>
        <v>120</v>
      </c>
    </row>
    <row r="950" ht="15.75" customHeight="1">
      <c r="A950" s="1">
        <f>IFERROR(__xludf.DUMMYFUNCTION("""COMPUTED_VALUE"""),45252.66666666667)</f>
        <v>45252.66667</v>
      </c>
      <c r="B950" s="2">
        <f>IFERROR(__xludf.DUMMYFUNCTION("""COMPUTED_VALUE"""),5100.0)</f>
        <v>5100</v>
      </c>
      <c r="C950" s="2">
        <f>IFERROR(__xludf.DUMMYFUNCTION("""COMPUTED_VALUE"""),5100.0)</f>
        <v>5100</v>
      </c>
      <c r="D950" s="2">
        <f>IFERROR(__xludf.DUMMYFUNCTION("""COMPUTED_VALUE"""),5025.0)</f>
        <v>5025</v>
      </c>
      <c r="E950" s="2">
        <f>IFERROR(__xludf.DUMMYFUNCTION("""COMPUTED_VALUE"""),5075.0)</f>
        <v>5075</v>
      </c>
      <c r="F950" s="2">
        <f>IFERROR(__xludf.DUMMYFUNCTION("""COMPUTED_VALUE"""),2.88728E7)</f>
        <v>28872800</v>
      </c>
      <c r="G950" s="2">
        <f t="shared" si="1"/>
        <v>75</v>
      </c>
    </row>
    <row r="951" ht="15.75" customHeight="1">
      <c r="A951" s="1">
        <f>IFERROR(__xludf.DUMMYFUNCTION("""COMPUTED_VALUE"""),45253.66666666667)</f>
        <v>45253.66667</v>
      </c>
      <c r="B951" s="2">
        <f>IFERROR(__xludf.DUMMYFUNCTION("""COMPUTED_VALUE"""),5100.0)</f>
        <v>5100</v>
      </c>
      <c r="C951" s="2">
        <f>IFERROR(__xludf.DUMMYFUNCTION("""COMPUTED_VALUE"""),5175.0)</f>
        <v>5175</v>
      </c>
      <c r="D951" s="2">
        <f>IFERROR(__xludf.DUMMYFUNCTION("""COMPUTED_VALUE"""),5075.0)</f>
        <v>5075</v>
      </c>
      <c r="E951" s="2">
        <f>IFERROR(__xludf.DUMMYFUNCTION("""COMPUTED_VALUE"""),5150.0)</f>
        <v>5150</v>
      </c>
      <c r="F951" s="2">
        <f>IFERROR(__xludf.DUMMYFUNCTION("""COMPUTED_VALUE"""),8.0157E7)</f>
        <v>80157000</v>
      </c>
      <c r="G951" s="2">
        <f t="shared" si="1"/>
        <v>100</v>
      </c>
    </row>
    <row r="952" ht="15.75" customHeight="1">
      <c r="A952" s="1">
        <f>IFERROR(__xludf.DUMMYFUNCTION("""COMPUTED_VALUE"""),45254.66666666667)</f>
        <v>45254.66667</v>
      </c>
      <c r="B952" s="2">
        <f>IFERROR(__xludf.DUMMYFUNCTION("""COMPUTED_VALUE"""),5175.0)</f>
        <v>5175</v>
      </c>
      <c r="C952" s="2">
        <f>IFERROR(__xludf.DUMMYFUNCTION("""COMPUTED_VALUE"""),5250.0)</f>
        <v>5250</v>
      </c>
      <c r="D952" s="2">
        <f>IFERROR(__xludf.DUMMYFUNCTION("""COMPUTED_VALUE"""),5175.0)</f>
        <v>5175</v>
      </c>
      <c r="E952" s="2">
        <f>IFERROR(__xludf.DUMMYFUNCTION("""COMPUTED_VALUE"""),5200.0)</f>
        <v>5200</v>
      </c>
      <c r="F952" s="2">
        <f>IFERROR(__xludf.DUMMYFUNCTION("""COMPUTED_VALUE"""),6.12111E7)</f>
        <v>61211100</v>
      </c>
      <c r="G952" s="2">
        <f t="shared" si="1"/>
        <v>100</v>
      </c>
    </row>
    <row r="953" ht="15.75" customHeight="1">
      <c r="A953" s="1">
        <f>IFERROR(__xludf.DUMMYFUNCTION("""COMPUTED_VALUE"""),45257.66666666667)</f>
        <v>45257.66667</v>
      </c>
      <c r="B953" s="2">
        <f>IFERROR(__xludf.DUMMYFUNCTION("""COMPUTED_VALUE"""),5225.0)</f>
        <v>5225</v>
      </c>
      <c r="C953" s="2">
        <f>IFERROR(__xludf.DUMMYFUNCTION("""COMPUTED_VALUE"""),5350.0)</f>
        <v>5350</v>
      </c>
      <c r="D953" s="2">
        <f>IFERROR(__xludf.DUMMYFUNCTION("""COMPUTED_VALUE"""),5225.0)</f>
        <v>5225</v>
      </c>
      <c r="E953" s="2">
        <f>IFERROR(__xludf.DUMMYFUNCTION("""COMPUTED_VALUE"""),5275.0)</f>
        <v>5275</v>
      </c>
      <c r="F953" s="2">
        <f>IFERROR(__xludf.DUMMYFUNCTION("""COMPUTED_VALUE"""),7.9553E7)</f>
        <v>79553000</v>
      </c>
      <c r="G953" s="2">
        <f t="shared" si="1"/>
        <v>150</v>
      </c>
    </row>
    <row r="954" ht="15.75" customHeight="1">
      <c r="A954" s="1">
        <f>IFERROR(__xludf.DUMMYFUNCTION("""COMPUTED_VALUE"""),45258.66666666667)</f>
        <v>45258.66667</v>
      </c>
      <c r="B954" s="2">
        <f>IFERROR(__xludf.DUMMYFUNCTION("""COMPUTED_VALUE"""),5350.0)</f>
        <v>5350</v>
      </c>
      <c r="C954" s="2">
        <f>IFERROR(__xludf.DUMMYFUNCTION("""COMPUTED_VALUE"""),5350.0)</f>
        <v>5350</v>
      </c>
      <c r="D954" s="2">
        <f>IFERROR(__xludf.DUMMYFUNCTION("""COMPUTED_VALUE"""),5175.0)</f>
        <v>5175</v>
      </c>
      <c r="E954" s="2">
        <f>IFERROR(__xludf.DUMMYFUNCTION("""COMPUTED_VALUE"""),5175.0)</f>
        <v>5175</v>
      </c>
      <c r="F954" s="2">
        <f>IFERROR(__xludf.DUMMYFUNCTION("""COMPUTED_VALUE"""),4.3142E7)</f>
        <v>43142000</v>
      </c>
      <c r="G954" s="2">
        <f t="shared" si="1"/>
        <v>175</v>
      </c>
    </row>
    <row r="955" ht="15.75" customHeight="1">
      <c r="A955" s="1">
        <f>IFERROR(__xludf.DUMMYFUNCTION("""COMPUTED_VALUE"""),45259.66666666667)</f>
        <v>45259.66667</v>
      </c>
      <c r="B955" s="2">
        <f>IFERROR(__xludf.DUMMYFUNCTION("""COMPUTED_VALUE"""),5125.0)</f>
        <v>5125</v>
      </c>
      <c r="C955" s="2">
        <f>IFERROR(__xludf.DUMMYFUNCTION("""COMPUTED_VALUE"""),5225.0)</f>
        <v>5225</v>
      </c>
      <c r="D955" s="2">
        <f>IFERROR(__xludf.DUMMYFUNCTION("""COMPUTED_VALUE"""),5100.0)</f>
        <v>5100</v>
      </c>
      <c r="E955" s="2">
        <f>IFERROR(__xludf.DUMMYFUNCTION("""COMPUTED_VALUE"""),5225.0)</f>
        <v>5225</v>
      </c>
      <c r="F955" s="2">
        <f>IFERROR(__xludf.DUMMYFUNCTION("""COMPUTED_VALUE"""),4.80414E7)</f>
        <v>48041400</v>
      </c>
      <c r="G955" s="2">
        <f t="shared" si="1"/>
        <v>125</v>
      </c>
    </row>
    <row r="956" ht="15.75" customHeight="1">
      <c r="A956" s="1">
        <f>IFERROR(__xludf.DUMMYFUNCTION("""COMPUTED_VALUE"""),45260.66666666667)</f>
        <v>45260.66667</v>
      </c>
      <c r="B956" s="2">
        <f>IFERROR(__xludf.DUMMYFUNCTION("""COMPUTED_VALUE"""),5150.0)</f>
        <v>5150</v>
      </c>
      <c r="C956" s="2">
        <f>IFERROR(__xludf.DUMMYFUNCTION("""COMPUTED_VALUE"""),5275.0)</f>
        <v>5275</v>
      </c>
      <c r="D956" s="2">
        <f>IFERROR(__xludf.DUMMYFUNCTION("""COMPUTED_VALUE"""),5150.0)</f>
        <v>5150</v>
      </c>
      <c r="E956" s="2">
        <f>IFERROR(__xludf.DUMMYFUNCTION("""COMPUTED_VALUE"""),5275.0)</f>
        <v>5275</v>
      </c>
      <c r="F956" s="2">
        <f>IFERROR(__xludf.DUMMYFUNCTION("""COMPUTED_VALUE"""),1.275241E8)</f>
        <v>127524100</v>
      </c>
      <c r="G956" s="2">
        <f t="shared" si="1"/>
        <v>125</v>
      </c>
    </row>
    <row r="957" ht="15.75" customHeight="1">
      <c r="A957" s="1">
        <f>IFERROR(__xludf.DUMMYFUNCTION("""COMPUTED_VALUE"""),45261.66666666667)</f>
        <v>45261.66667</v>
      </c>
      <c r="B957" s="2">
        <f>IFERROR(__xludf.DUMMYFUNCTION("""COMPUTED_VALUE"""),5300.0)</f>
        <v>5300</v>
      </c>
      <c r="C957" s="2">
        <f>IFERROR(__xludf.DUMMYFUNCTION("""COMPUTED_VALUE"""),5300.0)</f>
        <v>5300</v>
      </c>
      <c r="D957" s="2">
        <f>IFERROR(__xludf.DUMMYFUNCTION("""COMPUTED_VALUE"""),5200.0)</f>
        <v>5200</v>
      </c>
      <c r="E957" s="2">
        <f>IFERROR(__xludf.DUMMYFUNCTION("""COMPUTED_VALUE"""),5250.0)</f>
        <v>5250</v>
      </c>
      <c r="F957" s="2">
        <f>IFERROR(__xludf.DUMMYFUNCTION("""COMPUTED_VALUE"""),3.12233E7)</f>
        <v>31223300</v>
      </c>
      <c r="G957" s="2">
        <f t="shared" si="1"/>
        <v>100</v>
      </c>
    </row>
    <row r="958" ht="15.75" customHeight="1">
      <c r="A958" s="1">
        <f>IFERROR(__xludf.DUMMYFUNCTION("""COMPUTED_VALUE"""),45264.66666666667)</f>
        <v>45264.66667</v>
      </c>
      <c r="B958" s="2">
        <f>IFERROR(__xludf.DUMMYFUNCTION("""COMPUTED_VALUE"""),5275.0)</f>
        <v>5275</v>
      </c>
      <c r="C958" s="2">
        <f>IFERROR(__xludf.DUMMYFUNCTION("""COMPUTED_VALUE"""),5350.0)</f>
        <v>5350</v>
      </c>
      <c r="D958" s="2">
        <f>IFERROR(__xludf.DUMMYFUNCTION("""COMPUTED_VALUE"""),5250.0)</f>
        <v>5250</v>
      </c>
      <c r="E958" s="2">
        <f>IFERROR(__xludf.DUMMYFUNCTION("""COMPUTED_VALUE"""),5300.0)</f>
        <v>5300</v>
      </c>
      <c r="F958" s="2">
        <f>IFERROR(__xludf.DUMMYFUNCTION("""COMPUTED_VALUE"""),3.41045E7)</f>
        <v>34104500</v>
      </c>
      <c r="G958" s="2">
        <f t="shared" si="1"/>
        <v>100</v>
      </c>
    </row>
    <row r="959" ht="15.75" customHeight="1">
      <c r="A959" s="1">
        <f>IFERROR(__xludf.DUMMYFUNCTION("""COMPUTED_VALUE"""),45265.66666666667)</f>
        <v>45265.66667</v>
      </c>
      <c r="B959" s="2">
        <f>IFERROR(__xludf.DUMMYFUNCTION("""COMPUTED_VALUE"""),5300.0)</f>
        <v>5300</v>
      </c>
      <c r="C959" s="2">
        <f>IFERROR(__xludf.DUMMYFUNCTION("""COMPUTED_VALUE"""),5325.0)</f>
        <v>5325</v>
      </c>
      <c r="D959" s="2">
        <f>IFERROR(__xludf.DUMMYFUNCTION("""COMPUTED_VALUE"""),5225.0)</f>
        <v>5225</v>
      </c>
      <c r="E959" s="2">
        <f>IFERROR(__xludf.DUMMYFUNCTION("""COMPUTED_VALUE"""),5300.0)</f>
        <v>5300</v>
      </c>
      <c r="F959" s="2">
        <f>IFERROR(__xludf.DUMMYFUNCTION("""COMPUTED_VALUE"""),2.97883E7)</f>
        <v>29788300</v>
      </c>
      <c r="G959" s="2">
        <f t="shared" si="1"/>
        <v>100</v>
      </c>
    </row>
    <row r="960" ht="15.75" customHeight="1">
      <c r="A960" s="1">
        <f>IFERROR(__xludf.DUMMYFUNCTION("""COMPUTED_VALUE"""),45266.66666666667)</f>
        <v>45266.66667</v>
      </c>
      <c r="B960" s="2">
        <f>IFERROR(__xludf.DUMMYFUNCTION("""COMPUTED_VALUE"""),5300.0)</f>
        <v>5300</v>
      </c>
      <c r="C960" s="2">
        <f>IFERROR(__xludf.DUMMYFUNCTION("""COMPUTED_VALUE"""),5325.0)</f>
        <v>5325</v>
      </c>
      <c r="D960" s="2">
        <f>IFERROR(__xludf.DUMMYFUNCTION("""COMPUTED_VALUE"""),5225.0)</f>
        <v>5225</v>
      </c>
      <c r="E960" s="2">
        <f>IFERROR(__xludf.DUMMYFUNCTION("""COMPUTED_VALUE"""),5225.0)</f>
        <v>5225</v>
      </c>
      <c r="F960" s="2">
        <f>IFERROR(__xludf.DUMMYFUNCTION("""COMPUTED_VALUE"""),3.24537E7)</f>
        <v>32453700</v>
      </c>
      <c r="G960" s="2">
        <f t="shared" si="1"/>
        <v>100</v>
      </c>
    </row>
    <row r="961" ht="15.75" customHeight="1">
      <c r="A961" s="1">
        <f>IFERROR(__xludf.DUMMYFUNCTION("""COMPUTED_VALUE"""),45267.66666666667)</f>
        <v>45267.66667</v>
      </c>
      <c r="B961" s="2">
        <f>IFERROR(__xludf.DUMMYFUNCTION("""COMPUTED_VALUE"""),5225.0)</f>
        <v>5225</v>
      </c>
      <c r="C961" s="2">
        <f>IFERROR(__xludf.DUMMYFUNCTION("""COMPUTED_VALUE"""),5300.0)</f>
        <v>5300</v>
      </c>
      <c r="D961" s="2">
        <f>IFERROR(__xludf.DUMMYFUNCTION("""COMPUTED_VALUE"""),5150.0)</f>
        <v>5150</v>
      </c>
      <c r="E961" s="2">
        <f>IFERROR(__xludf.DUMMYFUNCTION("""COMPUTED_VALUE"""),5275.0)</f>
        <v>5275</v>
      </c>
      <c r="F961" s="2">
        <f>IFERROR(__xludf.DUMMYFUNCTION("""COMPUTED_VALUE"""),3.6511E7)</f>
        <v>36511000</v>
      </c>
      <c r="G961" s="2">
        <f t="shared" si="1"/>
        <v>150</v>
      </c>
    </row>
    <row r="962" ht="15.75" customHeight="1">
      <c r="A962" s="1">
        <f>IFERROR(__xludf.DUMMYFUNCTION("""COMPUTED_VALUE"""),45268.66666666667)</f>
        <v>45268.66667</v>
      </c>
      <c r="B962" s="2">
        <f>IFERROR(__xludf.DUMMYFUNCTION("""COMPUTED_VALUE"""),5200.0)</f>
        <v>5200</v>
      </c>
      <c r="C962" s="2">
        <f>IFERROR(__xludf.DUMMYFUNCTION("""COMPUTED_VALUE"""),5225.0)</f>
        <v>5225</v>
      </c>
      <c r="D962" s="2">
        <f>IFERROR(__xludf.DUMMYFUNCTION("""COMPUTED_VALUE"""),5075.0)</f>
        <v>5075</v>
      </c>
      <c r="E962" s="2">
        <f>IFERROR(__xludf.DUMMYFUNCTION("""COMPUTED_VALUE"""),5075.0)</f>
        <v>5075</v>
      </c>
      <c r="F962" s="2">
        <f>IFERROR(__xludf.DUMMYFUNCTION("""COMPUTED_VALUE"""),4.78422E7)</f>
        <v>47842200</v>
      </c>
      <c r="G962" s="2">
        <f t="shared" si="1"/>
        <v>200</v>
      </c>
    </row>
    <row r="963" ht="15.75" customHeight="1">
      <c r="A963" s="1">
        <f>IFERROR(__xludf.DUMMYFUNCTION("""COMPUTED_VALUE"""),45271.66666666667)</f>
        <v>45271.66667</v>
      </c>
      <c r="B963" s="2">
        <f>IFERROR(__xludf.DUMMYFUNCTION("""COMPUTED_VALUE"""),5075.0)</f>
        <v>5075</v>
      </c>
      <c r="C963" s="2">
        <f>IFERROR(__xludf.DUMMYFUNCTION("""COMPUTED_VALUE"""),5200.0)</f>
        <v>5200</v>
      </c>
      <c r="D963" s="2">
        <f>IFERROR(__xludf.DUMMYFUNCTION("""COMPUTED_VALUE"""),5050.0)</f>
        <v>5050</v>
      </c>
      <c r="E963" s="2">
        <f>IFERROR(__xludf.DUMMYFUNCTION("""COMPUTED_VALUE"""),5175.0)</f>
        <v>5175</v>
      </c>
      <c r="F963" s="2">
        <f>IFERROR(__xludf.DUMMYFUNCTION("""COMPUTED_VALUE"""),3.63948E7)</f>
        <v>36394800</v>
      </c>
      <c r="G963" s="2">
        <f t="shared" si="1"/>
        <v>150</v>
      </c>
    </row>
    <row r="964" ht="15.75" customHeight="1">
      <c r="A964" s="1">
        <f>IFERROR(__xludf.DUMMYFUNCTION("""COMPUTED_VALUE"""),45272.66666666667)</f>
        <v>45272.66667</v>
      </c>
      <c r="B964" s="2">
        <f>IFERROR(__xludf.DUMMYFUNCTION("""COMPUTED_VALUE"""),5250.0)</f>
        <v>5250</v>
      </c>
      <c r="C964" s="2">
        <f>IFERROR(__xludf.DUMMYFUNCTION("""COMPUTED_VALUE"""),5300.0)</f>
        <v>5300</v>
      </c>
      <c r="D964" s="2">
        <f>IFERROR(__xludf.DUMMYFUNCTION("""COMPUTED_VALUE"""),5225.0)</f>
        <v>5225</v>
      </c>
      <c r="E964" s="2">
        <f>IFERROR(__xludf.DUMMYFUNCTION("""COMPUTED_VALUE"""),5275.0)</f>
        <v>5275</v>
      </c>
      <c r="F964" s="2">
        <f>IFERROR(__xludf.DUMMYFUNCTION("""COMPUTED_VALUE"""),4.05541E7)</f>
        <v>40554100</v>
      </c>
      <c r="G964" s="2">
        <f t="shared" si="1"/>
        <v>125</v>
      </c>
    </row>
    <row r="965" ht="15.75" customHeight="1">
      <c r="A965" s="1">
        <f>IFERROR(__xludf.DUMMYFUNCTION("""COMPUTED_VALUE"""),45273.66666666667)</f>
        <v>45273.66667</v>
      </c>
      <c r="B965" s="2">
        <f>IFERROR(__xludf.DUMMYFUNCTION("""COMPUTED_VALUE"""),5275.0)</f>
        <v>5275</v>
      </c>
      <c r="C965" s="2">
        <f>IFERROR(__xludf.DUMMYFUNCTION("""COMPUTED_VALUE"""),5275.0)</f>
        <v>5275</v>
      </c>
      <c r="D965" s="2">
        <f>IFERROR(__xludf.DUMMYFUNCTION("""COMPUTED_VALUE"""),5125.0)</f>
        <v>5125</v>
      </c>
      <c r="E965" s="2">
        <f>IFERROR(__xludf.DUMMYFUNCTION("""COMPUTED_VALUE"""),5175.0)</f>
        <v>5175</v>
      </c>
      <c r="F965" s="2">
        <f>IFERROR(__xludf.DUMMYFUNCTION("""COMPUTED_VALUE"""),3.92405E7)</f>
        <v>39240500</v>
      </c>
      <c r="G965" s="2">
        <f t="shared" si="1"/>
        <v>150</v>
      </c>
    </row>
    <row r="966" ht="15.75" customHeight="1">
      <c r="A966" s="1">
        <f>IFERROR(__xludf.DUMMYFUNCTION("""COMPUTED_VALUE"""),45274.66666666667)</f>
        <v>45274.66667</v>
      </c>
      <c r="B966" s="2">
        <f>IFERROR(__xludf.DUMMYFUNCTION("""COMPUTED_VALUE"""),5225.0)</f>
        <v>5225</v>
      </c>
      <c r="C966" s="2">
        <f>IFERROR(__xludf.DUMMYFUNCTION("""COMPUTED_VALUE"""),5400.0)</f>
        <v>5400</v>
      </c>
      <c r="D966" s="2">
        <f>IFERROR(__xludf.DUMMYFUNCTION("""COMPUTED_VALUE"""),5225.0)</f>
        <v>5225</v>
      </c>
      <c r="E966" s="2">
        <f>IFERROR(__xludf.DUMMYFUNCTION("""COMPUTED_VALUE"""),5350.0)</f>
        <v>5350</v>
      </c>
      <c r="F966" s="2">
        <f>IFERROR(__xludf.DUMMYFUNCTION("""COMPUTED_VALUE"""),8.50611E7)</f>
        <v>85061100</v>
      </c>
      <c r="G966" s="2">
        <f t="shared" si="1"/>
        <v>225</v>
      </c>
    </row>
    <row r="967" ht="15.75" customHeight="1">
      <c r="A967" s="1">
        <f>IFERROR(__xludf.DUMMYFUNCTION("""COMPUTED_VALUE"""),45275.66666666667)</f>
        <v>45275.66667</v>
      </c>
      <c r="B967" s="2">
        <f>IFERROR(__xludf.DUMMYFUNCTION("""COMPUTED_VALUE"""),5425.0)</f>
        <v>5425</v>
      </c>
      <c r="C967" s="2">
        <f>IFERROR(__xludf.DUMMYFUNCTION("""COMPUTED_VALUE"""),5425.0)</f>
        <v>5425</v>
      </c>
      <c r="D967" s="2">
        <f>IFERROR(__xludf.DUMMYFUNCTION("""COMPUTED_VALUE"""),5275.0)</f>
        <v>5275</v>
      </c>
      <c r="E967" s="2">
        <f>IFERROR(__xludf.DUMMYFUNCTION("""COMPUTED_VALUE"""),5275.0)</f>
        <v>5275</v>
      </c>
      <c r="F967" s="2">
        <f>IFERROR(__xludf.DUMMYFUNCTION("""COMPUTED_VALUE"""),5.84515E7)</f>
        <v>58451500</v>
      </c>
      <c r="G967" s="2">
        <f t="shared" si="1"/>
        <v>150</v>
      </c>
    </row>
    <row r="968" ht="15.75" customHeight="1">
      <c r="A968" s="1">
        <f>IFERROR(__xludf.DUMMYFUNCTION("""COMPUTED_VALUE"""),45278.66666666667)</f>
        <v>45278.66667</v>
      </c>
      <c r="B968" s="2">
        <f>IFERROR(__xludf.DUMMYFUNCTION("""COMPUTED_VALUE"""),5250.0)</f>
        <v>5250</v>
      </c>
      <c r="C968" s="2">
        <f>IFERROR(__xludf.DUMMYFUNCTION("""COMPUTED_VALUE"""),5300.0)</f>
        <v>5300</v>
      </c>
      <c r="D968" s="2">
        <f>IFERROR(__xludf.DUMMYFUNCTION("""COMPUTED_VALUE"""),5175.0)</f>
        <v>5175</v>
      </c>
      <c r="E968" s="2">
        <f>IFERROR(__xludf.DUMMYFUNCTION("""COMPUTED_VALUE"""),5200.0)</f>
        <v>5200</v>
      </c>
      <c r="F968" s="2">
        <f>IFERROR(__xludf.DUMMYFUNCTION("""COMPUTED_VALUE"""),5.15246E7)</f>
        <v>51524600</v>
      </c>
      <c r="G968" s="2">
        <f t="shared" si="1"/>
        <v>125</v>
      </c>
    </row>
    <row r="969" ht="15.75" customHeight="1">
      <c r="A969" s="1">
        <f>IFERROR(__xludf.DUMMYFUNCTION("""COMPUTED_VALUE"""),45279.66666666667)</f>
        <v>45279.66667</v>
      </c>
      <c r="B969" s="2">
        <f>IFERROR(__xludf.DUMMYFUNCTION("""COMPUTED_VALUE"""),5200.0)</f>
        <v>5200</v>
      </c>
      <c r="C969" s="2">
        <f>IFERROR(__xludf.DUMMYFUNCTION("""COMPUTED_VALUE"""),5250.0)</f>
        <v>5250</v>
      </c>
      <c r="D969" s="2">
        <f>IFERROR(__xludf.DUMMYFUNCTION("""COMPUTED_VALUE"""),5175.0)</f>
        <v>5175</v>
      </c>
      <c r="E969" s="2">
        <f>IFERROR(__xludf.DUMMYFUNCTION("""COMPUTED_VALUE"""),5200.0)</f>
        <v>5200</v>
      </c>
      <c r="F969" s="2">
        <f>IFERROR(__xludf.DUMMYFUNCTION("""COMPUTED_VALUE"""),4.26781E7)</f>
        <v>42678100</v>
      </c>
      <c r="G969" s="2">
        <f t="shared" si="1"/>
        <v>75</v>
      </c>
    </row>
    <row r="970" ht="15.75" customHeight="1">
      <c r="A970" s="1">
        <f>IFERROR(__xludf.DUMMYFUNCTION("""COMPUTED_VALUE"""),45280.66666666667)</f>
        <v>45280.66667</v>
      </c>
      <c r="B970" s="2">
        <f>IFERROR(__xludf.DUMMYFUNCTION("""COMPUTED_VALUE"""),5225.0)</f>
        <v>5225</v>
      </c>
      <c r="C970" s="2">
        <f>IFERROR(__xludf.DUMMYFUNCTION("""COMPUTED_VALUE"""),5250.0)</f>
        <v>5250</v>
      </c>
      <c r="D970" s="2">
        <f>IFERROR(__xludf.DUMMYFUNCTION("""COMPUTED_VALUE"""),5175.0)</f>
        <v>5175</v>
      </c>
      <c r="E970" s="2">
        <f>IFERROR(__xludf.DUMMYFUNCTION("""COMPUTED_VALUE"""),5200.0)</f>
        <v>5200</v>
      </c>
      <c r="F970" s="2">
        <f>IFERROR(__xludf.DUMMYFUNCTION("""COMPUTED_VALUE"""),5.4306E7)</f>
        <v>54306000</v>
      </c>
      <c r="G970" s="2">
        <f t="shared" si="1"/>
        <v>75</v>
      </c>
    </row>
    <row r="971" ht="15.75" customHeight="1">
      <c r="A971" s="1">
        <f>IFERROR(__xludf.DUMMYFUNCTION("""COMPUTED_VALUE"""),45281.66666666667)</f>
        <v>45281.66667</v>
      </c>
      <c r="B971" s="2">
        <f>IFERROR(__xludf.DUMMYFUNCTION("""COMPUTED_VALUE"""),5225.0)</f>
        <v>5225</v>
      </c>
      <c r="C971" s="2">
        <f>IFERROR(__xludf.DUMMYFUNCTION("""COMPUTED_VALUE"""),5225.0)</f>
        <v>5225</v>
      </c>
      <c r="D971" s="2">
        <f>IFERROR(__xludf.DUMMYFUNCTION("""COMPUTED_VALUE"""),5125.0)</f>
        <v>5125</v>
      </c>
      <c r="E971" s="2">
        <f>IFERROR(__xludf.DUMMYFUNCTION("""COMPUTED_VALUE"""),5150.0)</f>
        <v>5150</v>
      </c>
      <c r="F971" s="2">
        <f>IFERROR(__xludf.DUMMYFUNCTION("""COMPUTED_VALUE"""),4.87672E7)</f>
        <v>48767200</v>
      </c>
      <c r="G971" s="2">
        <f t="shared" si="1"/>
        <v>100</v>
      </c>
    </row>
    <row r="972" ht="15.75" customHeight="1">
      <c r="A972" s="1">
        <f>IFERROR(__xludf.DUMMYFUNCTION("""COMPUTED_VALUE"""),45282.66666666667)</f>
        <v>45282.66667</v>
      </c>
      <c r="B972" s="2">
        <f>IFERROR(__xludf.DUMMYFUNCTION("""COMPUTED_VALUE"""),5200.0)</f>
        <v>5200</v>
      </c>
      <c r="C972" s="2">
        <f>IFERROR(__xludf.DUMMYFUNCTION("""COMPUTED_VALUE"""),5250.0)</f>
        <v>5250</v>
      </c>
      <c r="D972" s="2">
        <f>IFERROR(__xludf.DUMMYFUNCTION("""COMPUTED_VALUE"""),5175.0)</f>
        <v>5175</v>
      </c>
      <c r="E972" s="2">
        <f>IFERROR(__xludf.DUMMYFUNCTION("""COMPUTED_VALUE"""),5250.0)</f>
        <v>5250</v>
      </c>
      <c r="F972" s="2">
        <f>IFERROR(__xludf.DUMMYFUNCTION("""COMPUTED_VALUE"""),3.52349E7)</f>
        <v>35234900</v>
      </c>
      <c r="G972" s="2">
        <f t="shared" si="1"/>
        <v>100</v>
      </c>
    </row>
    <row r="973" ht="15.75" customHeight="1">
      <c r="A973" s="1">
        <f>IFERROR(__xludf.DUMMYFUNCTION("""COMPUTED_VALUE"""),45287.66666666667)</f>
        <v>45287.66667</v>
      </c>
      <c r="B973" s="2">
        <f>IFERROR(__xludf.DUMMYFUNCTION("""COMPUTED_VALUE"""),5300.0)</f>
        <v>5300</v>
      </c>
      <c r="C973" s="2">
        <f>IFERROR(__xludf.DUMMYFUNCTION("""COMPUTED_VALUE"""),5325.0)</f>
        <v>5325</v>
      </c>
      <c r="D973" s="2">
        <f>IFERROR(__xludf.DUMMYFUNCTION("""COMPUTED_VALUE"""),5250.0)</f>
        <v>5250</v>
      </c>
      <c r="E973" s="2">
        <f>IFERROR(__xludf.DUMMYFUNCTION("""COMPUTED_VALUE"""),5275.0)</f>
        <v>5275</v>
      </c>
      <c r="F973" s="2">
        <f>IFERROR(__xludf.DUMMYFUNCTION("""COMPUTED_VALUE"""),3.12893E7)</f>
        <v>31289300</v>
      </c>
      <c r="G973" s="2">
        <f t="shared" si="1"/>
        <v>75</v>
      </c>
    </row>
    <row r="974" ht="15.75" customHeight="1">
      <c r="A974" s="1">
        <f>IFERROR(__xludf.DUMMYFUNCTION("""COMPUTED_VALUE"""),45288.66666666667)</f>
        <v>45288.66667</v>
      </c>
      <c r="B974" s="2">
        <f>IFERROR(__xludf.DUMMYFUNCTION("""COMPUTED_VALUE"""),5300.0)</f>
        <v>5300</v>
      </c>
      <c r="C974" s="2">
        <f>IFERROR(__xludf.DUMMYFUNCTION("""COMPUTED_VALUE"""),5400.0)</f>
        <v>5400</v>
      </c>
      <c r="D974" s="2">
        <f>IFERROR(__xludf.DUMMYFUNCTION("""COMPUTED_VALUE"""),5250.0)</f>
        <v>5250</v>
      </c>
      <c r="E974" s="2">
        <f>IFERROR(__xludf.DUMMYFUNCTION("""COMPUTED_VALUE"""),5350.0)</f>
        <v>5350</v>
      </c>
      <c r="F974" s="2">
        <f>IFERROR(__xludf.DUMMYFUNCTION("""COMPUTED_VALUE"""),3.75669E7)</f>
        <v>37566900</v>
      </c>
      <c r="G974" s="2">
        <f t="shared" si="1"/>
        <v>150</v>
      </c>
    </row>
    <row r="975" ht="15.75" customHeight="1">
      <c r="A975" s="1">
        <f>IFERROR(__xludf.DUMMYFUNCTION("""COMPUTED_VALUE"""),45289.66666666667)</f>
        <v>45289.66667</v>
      </c>
      <c r="B975" s="2">
        <f>IFERROR(__xludf.DUMMYFUNCTION("""COMPUTED_VALUE"""),5375.0)</f>
        <v>5375</v>
      </c>
      <c r="C975" s="2">
        <f>IFERROR(__xludf.DUMMYFUNCTION("""COMPUTED_VALUE"""),5400.0)</f>
        <v>5400</v>
      </c>
      <c r="D975" s="2">
        <f>IFERROR(__xludf.DUMMYFUNCTION("""COMPUTED_VALUE"""),5325.0)</f>
        <v>5325</v>
      </c>
      <c r="E975" s="2">
        <f>IFERROR(__xludf.DUMMYFUNCTION("""COMPUTED_VALUE"""),5375.0)</f>
        <v>5375</v>
      </c>
      <c r="F975" s="2">
        <f>IFERROR(__xludf.DUMMYFUNCTION("""COMPUTED_VALUE"""),3.84233E7)</f>
        <v>38423300</v>
      </c>
      <c r="G975" s="2">
        <f t="shared" si="1"/>
        <v>75</v>
      </c>
    </row>
    <row r="976" ht="15.75" customHeight="1">
      <c r="A976" s="1">
        <f>IFERROR(__xludf.DUMMYFUNCTION("""COMPUTED_VALUE"""),45293.66666666667)</f>
        <v>45293.66667</v>
      </c>
      <c r="B976" s="2">
        <f>IFERROR(__xludf.DUMMYFUNCTION("""COMPUTED_VALUE"""),5375.0)</f>
        <v>5375</v>
      </c>
      <c r="C976" s="2">
        <f>IFERROR(__xludf.DUMMYFUNCTION("""COMPUTED_VALUE"""),5375.0)</f>
        <v>5375</v>
      </c>
      <c r="D976" s="2">
        <f>IFERROR(__xludf.DUMMYFUNCTION("""COMPUTED_VALUE"""),5300.0)</f>
        <v>5300</v>
      </c>
      <c r="E976" s="2">
        <f>IFERROR(__xludf.DUMMYFUNCTION("""COMPUTED_VALUE"""),5375.0)</f>
        <v>5375</v>
      </c>
      <c r="F976" s="2">
        <f>IFERROR(__xludf.DUMMYFUNCTION("""COMPUTED_VALUE"""),2.01475E7)</f>
        <v>20147500</v>
      </c>
      <c r="G976" s="2">
        <f t="shared" si="1"/>
        <v>75</v>
      </c>
    </row>
    <row r="977" ht="15.75" customHeight="1">
      <c r="A977" s="1">
        <f>IFERROR(__xludf.DUMMYFUNCTION("""COMPUTED_VALUE"""),45294.66666666667)</f>
        <v>45294.66667</v>
      </c>
      <c r="B977" s="2">
        <f>IFERROR(__xludf.DUMMYFUNCTION("""COMPUTED_VALUE"""),5375.0)</f>
        <v>5375</v>
      </c>
      <c r="C977" s="2">
        <f>IFERROR(__xludf.DUMMYFUNCTION("""COMPUTED_VALUE"""),5400.0)</f>
        <v>5400</v>
      </c>
      <c r="D977" s="2">
        <f>IFERROR(__xludf.DUMMYFUNCTION("""COMPUTED_VALUE"""),5325.0)</f>
        <v>5325</v>
      </c>
      <c r="E977" s="2">
        <f>IFERROR(__xludf.DUMMYFUNCTION("""COMPUTED_VALUE"""),5350.0)</f>
        <v>5350</v>
      </c>
      <c r="F977" s="2">
        <f>IFERROR(__xludf.DUMMYFUNCTION("""COMPUTED_VALUE"""),2.75477E7)</f>
        <v>27547700</v>
      </c>
      <c r="G977" s="2">
        <f t="shared" si="1"/>
        <v>75</v>
      </c>
    </row>
    <row r="978" ht="15.75" customHeight="1">
      <c r="A978" s="1">
        <f>IFERROR(__xludf.DUMMYFUNCTION("""COMPUTED_VALUE"""),45295.66666666667)</f>
        <v>45295.66667</v>
      </c>
      <c r="B978" s="2">
        <f>IFERROR(__xludf.DUMMYFUNCTION("""COMPUTED_VALUE"""),5350.0)</f>
        <v>5350</v>
      </c>
      <c r="C978" s="2">
        <f>IFERROR(__xludf.DUMMYFUNCTION("""COMPUTED_VALUE"""),5675.0)</f>
        <v>5675</v>
      </c>
      <c r="D978" s="2">
        <f>IFERROR(__xludf.DUMMYFUNCTION("""COMPUTED_VALUE"""),5325.0)</f>
        <v>5325</v>
      </c>
      <c r="E978" s="2">
        <f>IFERROR(__xludf.DUMMYFUNCTION("""COMPUTED_VALUE"""),5600.0)</f>
        <v>5600</v>
      </c>
      <c r="F978" s="2">
        <f>IFERROR(__xludf.DUMMYFUNCTION("""COMPUTED_VALUE"""),7.71624E7)</f>
        <v>77162400</v>
      </c>
      <c r="G978" s="2">
        <f t="shared" si="1"/>
        <v>350</v>
      </c>
    </row>
    <row r="979" ht="15.75" customHeight="1">
      <c r="A979" s="1">
        <f>IFERROR(__xludf.DUMMYFUNCTION("""COMPUTED_VALUE"""),45296.66666666667)</f>
        <v>45296.66667</v>
      </c>
      <c r="B979" s="2">
        <f>IFERROR(__xludf.DUMMYFUNCTION("""COMPUTED_VALUE"""),5675.0)</f>
        <v>5675</v>
      </c>
      <c r="C979" s="2">
        <f>IFERROR(__xludf.DUMMYFUNCTION("""COMPUTED_VALUE"""),5750.0)</f>
        <v>5750</v>
      </c>
      <c r="D979" s="2">
        <f>IFERROR(__xludf.DUMMYFUNCTION("""COMPUTED_VALUE"""),5575.0)</f>
        <v>5575</v>
      </c>
      <c r="E979" s="2">
        <f>IFERROR(__xludf.DUMMYFUNCTION("""COMPUTED_VALUE"""),5575.0)</f>
        <v>5575</v>
      </c>
      <c r="F979" s="2">
        <f>IFERROR(__xludf.DUMMYFUNCTION("""COMPUTED_VALUE"""),6.94635E7)</f>
        <v>69463500</v>
      </c>
      <c r="G979" s="2">
        <f t="shared" si="1"/>
        <v>175</v>
      </c>
    </row>
    <row r="980" ht="15.75" customHeight="1">
      <c r="A980" s="1">
        <f>IFERROR(__xludf.DUMMYFUNCTION("""COMPUTED_VALUE"""),45299.66666666667)</f>
        <v>45299.66667</v>
      </c>
      <c r="B980" s="2">
        <f>IFERROR(__xludf.DUMMYFUNCTION("""COMPUTED_VALUE"""),5575.0)</f>
        <v>5575</v>
      </c>
      <c r="C980" s="2">
        <f>IFERROR(__xludf.DUMMYFUNCTION("""COMPUTED_VALUE"""),5650.0)</f>
        <v>5650</v>
      </c>
      <c r="D980" s="2">
        <f>IFERROR(__xludf.DUMMYFUNCTION("""COMPUTED_VALUE"""),5550.0)</f>
        <v>5550</v>
      </c>
      <c r="E980" s="2">
        <f>IFERROR(__xludf.DUMMYFUNCTION("""COMPUTED_VALUE"""),5575.0)</f>
        <v>5575</v>
      </c>
      <c r="F980" s="2">
        <f>IFERROR(__xludf.DUMMYFUNCTION("""COMPUTED_VALUE"""),6.06066E7)</f>
        <v>60606600</v>
      </c>
      <c r="G980" s="2">
        <f t="shared" si="1"/>
        <v>100</v>
      </c>
    </row>
    <row r="981" ht="15.75" customHeight="1">
      <c r="A981" s="1">
        <f>IFERROR(__xludf.DUMMYFUNCTION("""COMPUTED_VALUE"""),45300.66666666667)</f>
        <v>45300.66667</v>
      </c>
      <c r="B981" s="2">
        <f>IFERROR(__xludf.DUMMYFUNCTION("""COMPUTED_VALUE"""),5600.0)</f>
        <v>5600</v>
      </c>
      <c r="C981" s="2">
        <f>IFERROR(__xludf.DUMMYFUNCTION("""COMPUTED_VALUE"""),5650.0)</f>
        <v>5650</v>
      </c>
      <c r="D981" s="2">
        <f>IFERROR(__xludf.DUMMYFUNCTION("""COMPUTED_VALUE"""),5600.0)</f>
        <v>5600</v>
      </c>
      <c r="E981" s="2">
        <f>IFERROR(__xludf.DUMMYFUNCTION("""COMPUTED_VALUE"""),5650.0)</f>
        <v>5650</v>
      </c>
      <c r="F981" s="2">
        <f>IFERROR(__xludf.DUMMYFUNCTION("""COMPUTED_VALUE"""),3.4897E7)</f>
        <v>34897000</v>
      </c>
      <c r="G981" s="2">
        <f t="shared" si="1"/>
        <v>75</v>
      </c>
    </row>
    <row r="982" ht="15.75" customHeight="1">
      <c r="A982" s="1">
        <f>IFERROR(__xludf.DUMMYFUNCTION("""COMPUTED_VALUE"""),45301.66666666667)</f>
        <v>45301.66667</v>
      </c>
      <c r="B982" s="2">
        <f>IFERROR(__xludf.DUMMYFUNCTION("""COMPUTED_VALUE"""),5625.0)</f>
        <v>5625</v>
      </c>
      <c r="C982" s="2">
        <f>IFERROR(__xludf.DUMMYFUNCTION("""COMPUTED_VALUE"""),5675.0)</f>
        <v>5675</v>
      </c>
      <c r="D982" s="2">
        <f>IFERROR(__xludf.DUMMYFUNCTION("""COMPUTED_VALUE"""),5575.0)</f>
        <v>5575</v>
      </c>
      <c r="E982" s="2">
        <f>IFERROR(__xludf.DUMMYFUNCTION("""COMPUTED_VALUE"""),5600.0)</f>
        <v>5600</v>
      </c>
      <c r="F982" s="2">
        <f>IFERROR(__xludf.DUMMYFUNCTION("""COMPUTED_VALUE"""),3.79885E7)</f>
        <v>37988500</v>
      </c>
      <c r="G982" s="2">
        <f t="shared" si="1"/>
        <v>100</v>
      </c>
    </row>
    <row r="983" ht="15.75" customHeight="1">
      <c r="A983" s="1">
        <f>IFERROR(__xludf.DUMMYFUNCTION("""COMPUTED_VALUE"""),45302.66666666667)</f>
        <v>45302.66667</v>
      </c>
      <c r="B983" s="2">
        <f>IFERROR(__xludf.DUMMYFUNCTION("""COMPUTED_VALUE"""),5650.0)</f>
        <v>5650</v>
      </c>
      <c r="C983" s="2">
        <f>IFERROR(__xludf.DUMMYFUNCTION("""COMPUTED_VALUE"""),5700.0)</f>
        <v>5700</v>
      </c>
      <c r="D983" s="2">
        <f>IFERROR(__xludf.DUMMYFUNCTION("""COMPUTED_VALUE"""),5575.0)</f>
        <v>5575</v>
      </c>
      <c r="E983" s="2">
        <f>IFERROR(__xludf.DUMMYFUNCTION("""COMPUTED_VALUE"""),5600.0)</f>
        <v>5600</v>
      </c>
      <c r="F983" s="2">
        <f>IFERROR(__xludf.DUMMYFUNCTION("""COMPUTED_VALUE"""),2.28558E7)</f>
        <v>22855800</v>
      </c>
      <c r="G983" s="2">
        <f t="shared" si="1"/>
        <v>125</v>
      </c>
    </row>
    <row r="984" ht="15.75" customHeight="1">
      <c r="A984" s="1">
        <f>IFERROR(__xludf.DUMMYFUNCTION("""COMPUTED_VALUE"""),45303.66666666667)</f>
        <v>45303.66667</v>
      </c>
      <c r="B984" s="2">
        <f>IFERROR(__xludf.DUMMYFUNCTION("""COMPUTED_VALUE"""),5600.0)</f>
        <v>5600</v>
      </c>
      <c r="C984" s="2">
        <f>IFERROR(__xludf.DUMMYFUNCTION("""COMPUTED_VALUE"""),5650.0)</f>
        <v>5650</v>
      </c>
      <c r="D984" s="2">
        <f>IFERROR(__xludf.DUMMYFUNCTION("""COMPUTED_VALUE"""),5575.0)</f>
        <v>5575</v>
      </c>
      <c r="E984" s="2">
        <f>IFERROR(__xludf.DUMMYFUNCTION("""COMPUTED_VALUE"""),5600.0)</f>
        <v>5600</v>
      </c>
      <c r="F984" s="2">
        <f>IFERROR(__xludf.DUMMYFUNCTION("""COMPUTED_VALUE"""),4.09429E7)</f>
        <v>40942900</v>
      </c>
      <c r="G984" s="2">
        <f t="shared" si="1"/>
        <v>75</v>
      </c>
    </row>
    <row r="985" ht="15.75" customHeight="1">
      <c r="A985" s="1">
        <f>IFERROR(__xludf.DUMMYFUNCTION("""COMPUTED_VALUE"""),45306.66666666667)</f>
        <v>45306.66667</v>
      </c>
      <c r="B985" s="2">
        <f>IFERROR(__xludf.DUMMYFUNCTION("""COMPUTED_VALUE"""),5650.0)</f>
        <v>5650</v>
      </c>
      <c r="C985" s="2">
        <f>IFERROR(__xludf.DUMMYFUNCTION("""COMPUTED_VALUE"""),5675.0)</f>
        <v>5675</v>
      </c>
      <c r="D985" s="2">
        <f>IFERROR(__xludf.DUMMYFUNCTION("""COMPUTED_VALUE"""),5600.0)</f>
        <v>5600</v>
      </c>
      <c r="E985" s="2">
        <f>IFERROR(__xludf.DUMMYFUNCTION("""COMPUTED_VALUE"""),5625.0)</f>
        <v>5625</v>
      </c>
      <c r="F985" s="2">
        <f>IFERROR(__xludf.DUMMYFUNCTION("""COMPUTED_VALUE"""),5.14088E7)</f>
        <v>51408800</v>
      </c>
      <c r="G985" s="2">
        <f t="shared" si="1"/>
        <v>75</v>
      </c>
    </row>
    <row r="986" ht="15.75" customHeight="1">
      <c r="A986" s="1">
        <f>IFERROR(__xludf.DUMMYFUNCTION("""COMPUTED_VALUE"""),45307.66666666667)</f>
        <v>45307.66667</v>
      </c>
      <c r="B986" s="2">
        <f>IFERROR(__xludf.DUMMYFUNCTION("""COMPUTED_VALUE"""),5625.0)</f>
        <v>5625</v>
      </c>
      <c r="C986" s="2">
        <f>IFERROR(__xludf.DUMMYFUNCTION("""COMPUTED_VALUE"""),5625.0)</f>
        <v>5625</v>
      </c>
      <c r="D986" s="2">
        <f>IFERROR(__xludf.DUMMYFUNCTION("""COMPUTED_VALUE"""),5575.0)</f>
        <v>5575</v>
      </c>
      <c r="E986" s="2">
        <f>IFERROR(__xludf.DUMMYFUNCTION("""COMPUTED_VALUE"""),5600.0)</f>
        <v>5600</v>
      </c>
      <c r="F986" s="2">
        <f>IFERROR(__xludf.DUMMYFUNCTION("""COMPUTED_VALUE"""),3.77957E7)</f>
        <v>37795700</v>
      </c>
      <c r="G986" s="2">
        <f t="shared" si="1"/>
        <v>50</v>
      </c>
    </row>
    <row r="987" ht="15.75" customHeight="1">
      <c r="A987" s="1">
        <f>IFERROR(__xludf.DUMMYFUNCTION("""COMPUTED_VALUE"""),45308.66666666667)</f>
        <v>45308.66667</v>
      </c>
      <c r="B987" s="2">
        <f>IFERROR(__xludf.DUMMYFUNCTION("""COMPUTED_VALUE"""),5600.0)</f>
        <v>5600</v>
      </c>
      <c r="C987" s="2">
        <f>IFERROR(__xludf.DUMMYFUNCTION("""COMPUTED_VALUE"""),5625.0)</f>
        <v>5625</v>
      </c>
      <c r="D987" s="2">
        <f>IFERROR(__xludf.DUMMYFUNCTION("""COMPUTED_VALUE"""),5475.0)</f>
        <v>5475</v>
      </c>
      <c r="E987" s="2">
        <f>IFERROR(__xludf.DUMMYFUNCTION("""COMPUTED_VALUE"""),5550.0)</f>
        <v>5550</v>
      </c>
      <c r="F987" s="2">
        <f>IFERROR(__xludf.DUMMYFUNCTION("""COMPUTED_VALUE"""),6.14812E7)</f>
        <v>61481200</v>
      </c>
      <c r="G987" s="2">
        <f t="shared" si="1"/>
        <v>150</v>
      </c>
    </row>
    <row r="988" ht="15.75" customHeight="1">
      <c r="A988" s="1">
        <f>IFERROR(__xludf.DUMMYFUNCTION("""COMPUTED_VALUE"""),45309.66666666667)</f>
        <v>45309.66667</v>
      </c>
      <c r="B988" s="2">
        <f>IFERROR(__xludf.DUMMYFUNCTION("""COMPUTED_VALUE"""),5550.0)</f>
        <v>5550</v>
      </c>
      <c r="C988" s="2">
        <f>IFERROR(__xludf.DUMMYFUNCTION("""COMPUTED_VALUE"""),5600.0)</f>
        <v>5600</v>
      </c>
      <c r="D988" s="2">
        <f>IFERROR(__xludf.DUMMYFUNCTION("""COMPUTED_VALUE"""),5475.0)</f>
        <v>5475</v>
      </c>
      <c r="E988" s="2">
        <f>IFERROR(__xludf.DUMMYFUNCTION("""COMPUTED_VALUE"""),5550.0)</f>
        <v>5550</v>
      </c>
      <c r="F988" s="2">
        <f>IFERROR(__xludf.DUMMYFUNCTION("""COMPUTED_VALUE"""),3.32417E7)</f>
        <v>33241700</v>
      </c>
      <c r="G988" s="2">
        <f t="shared" si="1"/>
        <v>125</v>
      </c>
    </row>
    <row r="989" ht="15.75" customHeight="1">
      <c r="A989" s="1">
        <f>IFERROR(__xludf.DUMMYFUNCTION("""COMPUTED_VALUE"""),45310.66666666667)</f>
        <v>45310.66667</v>
      </c>
      <c r="B989" s="2">
        <f>IFERROR(__xludf.DUMMYFUNCTION("""COMPUTED_VALUE"""),5575.0)</f>
        <v>5575</v>
      </c>
      <c r="C989" s="2">
        <f>IFERROR(__xludf.DUMMYFUNCTION("""COMPUTED_VALUE"""),5575.0)</f>
        <v>5575</v>
      </c>
      <c r="D989" s="2">
        <f>IFERROR(__xludf.DUMMYFUNCTION("""COMPUTED_VALUE"""),5475.0)</f>
        <v>5475</v>
      </c>
      <c r="E989" s="2">
        <f>IFERROR(__xludf.DUMMYFUNCTION("""COMPUTED_VALUE"""),5500.0)</f>
        <v>5500</v>
      </c>
      <c r="F989" s="2">
        <f>IFERROR(__xludf.DUMMYFUNCTION("""COMPUTED_VALUE"""),2.97761E7)</f>
        <v>29776100</v>
      </c>
      <c r="G989" s="2">
        <f t="shared" si="1"/>
        <v>100</v>
      </c>
    </row>
    <row r="990" ht="15.75" customHeight="1">
      <c r="A990" s="1">
        <f>IFERROR(__xludf.DUMMYFUNCTION("""COMPUTED_VALUE"""),45313.66666666667)</f>
        <v>45313.66667</v>
      </c>
      <c r="B990" s="2">
        <f>IFERROR(__xludf.DUMMYFUNCTION("""COMPUTED_VALUE"""),5525.0)</f>
        <v>5525</v>
      </c>
      <c r="C990" s="2">
        <f>IFERROR(__xludf.DUMMYFUNCTION("""COMPUTED_VALUE"""),5600.0)</f>
        <v>5600</v>
      </c>
      <c r="D990" s="2">
        <f>IFERROR(__xludf.DUMMYFUNCTION("""COMPUTED_VALUE"""),5450.0)</f>
        <v>5450</v>
      </c>
      <c r="E990" s="2">
        <f>IFERROR(__xludf.DUMMYFUNCTION("""COMPUTED_VALUE"""),5525.0)</f>
        <v>5525</v>
      </c>
      <c r="F990" s="2">
        <f>IFERROR(__xludf.DUMMYFUNCTION("""COMPUTED_VALUE"""),3.09496E7)</f>
        <v>30949600</v>
      </c>
      <c r="G990" s="2">
        <f t="shared" si="1"/>
        <v>150</v>
      </c>
    </row>
    <row r="991" ht="15.75" customHeight="1">
      <c r="A991" s="1">
        <f>IFERROR(__xludf.DUMMYFUNCTION("""COMPUTED_VALUE"""),45314.66666666667)</f>
        <v>45314.66667</v>
      </c>
      <c r="B991" s="2">
        <f>IFERROR(__xludf.DUMMYFUNCTION("""COMPUTED_VALUE"""),5525.0)</f>
        <v>5525</v>
      </c>
      <c r="C991" s="2">
        <f>IFERROR(__xludf.DUMMYFUNCTION("""COMPUTED_VALUE"""),5525.0)</f>
        <v>5525</v>
      </c>
      <c r="D991" s="2">
        <f>IFERROR(__xludf.DUMMYFUNCTION("""COMPUTED_VALUE"""),5375.0)</f>
        <v>5375</v>
      </c>
      <c r="E991" s="2">
        <f>IFERROR(__xludf.DUMMYFUNCTION("""COMPUTED_VALUE"""),5425.0)</f>
        <v>5425</v>
      </c>
      <c r="F991" s="2">
        <f>IFERROR(__xludf.DUMMYFUNCTION("""COMPUTED_VALUE"""),4.88243E7)</f>
        <v>48824300</v>
      </c>
      <c r="G991" s="2">
        <f t="shared" si="1"/>
        <v>150</v>
      </c>
    </row>
    <row r="992" ht="15.75" customHeight="1">
      <c r="A992" s="1">
        <f>IFERROR(__xludf.DUMMYFUNCTION("""COMPUTED_VALUE"""),45315.66666666667)</f>
        <v>45315.66667</v>
      </c>
      <c r="B992" s="2">
        <f>IFERROR(__xludf.DUMMYFUNCTION("""COMPUTED_VALUE"""),5450.0)</f>
        <v>5450</v>
      </c>
      <c r="C992" s="2">
        <f>IFERROR(__xludf.DUMMYFUNCTION("""COMPUTED_VALUE"""),5500.0)</f>
        <v>5500</v>
      </c>
      <c r="D992" s="2">
        <f>IFERROR(__xludf.DUMMYFUNCTION("""COMPUTED_VALUE"""),5400.0)</f>
        <v>5400</v>
      </c>
      <c r="E992" s="2">
        <f>IFERROR(__xludf.DUMMYFUNCTION("""COMPUTED_VALUE"""),5475.0)</f>
        <v>5475</v>
      </c>
      <c r="F992" s="2">
        <f>IFERROR(__xludf.DUMMYFUNCTION("""COMPUTED_VALUE"""),4.24368E7)</f>
        <v>42436800</v>
      </c>
      <c r="G992" s="2">
        <f t="shared" si="1"/>
        <v>100</v>
      </c>
    </row>
    <row r="993" ht="15.75" customHeight="1">
      <c r="A993" s="1">
        <f>IFERROR(__xludf.DUMMYFUNCTION("""COMPUTED_VALUE"""),45316.66666666667)</f>
        <v>45316.66667</v>
      </c>
      <c r="B993" s="2">
        <f>IFERROR(__xludf.DUMMYFUNCTION("""COMPUTED_VALUE"""),5500.0)</f>
        <v>5500</v>
      </c>
      <c r="C993" s="2">
        <f>IFERROR(__xludf.DUMMYFUNCTION("""COMPUTED_VALUE"""),5525.0)</f>
        <v>5525</v>
      </c>
      <c r="D993" s="2">
        <f>IFERROR(__xludf.DUMMYFUNCTION("""COMPUTED_VALUE"""),5400.0)</f>
        <v>5400</v>
      </c>
      <c r="E993" s="2">
        <f>IFERROR(__xludf.DUMMYFUNCTION("""COMPUTED_VALUE"""),5400.0)</f>
        <v>5400</v>
      </c>
      <c r="F993" s="2">
        <f>IFERROR(__xludf.DUMMYFUNCTION("""COMPUTED_VALUE"""),4.79556E7)</f>
        <v>47955600</v>
      </c>
      <c r="G993" s="2">
        <f t="shared" si="1"/>
        <v>125</v>
      </c>
    </row>
    <row r="994" ht="15.75" customHeight="1">
      <c r="A994" s="1">
        <f>IFERROR(__xludf.DUMMYFUNCTION("""COMPUTED_VALUE"""),45317.66666666667)</f>
        <v>45317.66667</v>
      </c>
      <c r="B994" s="2">
        <f>IFERROR(__xludf.DUMMYFUNCTION("""COMPUTED_VALUE"""),5400.0)</f>
        <v>5400</v>
      </c>
      <c r="C994" s="2">
        <f>IFERROR(__xludf.DUMMYFUNCTION("""COMPUTED_VALUE"""),5425.0)</f>
        <v>5425</v>
      </c>
      <c r="D994" s="2">
        <f>IFERROR(__xludf.DUMMYFUNCTION("""COMPUTED_VALUE"""),5350.0)</f>
        <v>5350</v>
      </c>
      <c r="E994" s="2">
        <f>IFERROR(__xludf.DUMMYFUNCTION("""COMPUTED_VALUE"""),5425.0)</f>
        <v>5425</v>
      </c>
      <c r="F994" s="2">
        <f>IFERROR(__xludf.DUMMYFUNCTION("""COMPUTED_VALUE"""),3.05456E7)</f>
        <v>30545600</v>
      </c>
      <c r="G994" s="2">
        <f t="shared" si="1"/>
        <v>75</v>
      </c>
    </row>
    <row r="995" ht="15.75" customHeight="1">
      <c r="A995" s="1">
        <f>IFERROR(__xludf.DUMMYFUNCTION("""COMPUTED_VALUE"""),45320.66666666667)</f>
        <v>45320.66667</v>
      </c>
      <c r="B995" s="2">
        <f>IFERROR(__xludf.DUMMYFUNCTION("""COMPUTED_VALUE"""),5450.0)</f>
        <v>5450</v>
      </c>
      <c r="C995" s="2">
        <f>IFERROR(__xludf.DUMMYFUNCTION("""COMPUTED_VALUE"""),5575.0)</f>
        <v>5575</v>
      </c>
      <c r="D995" s="2">
        <f>IFERROR(__xludf.DUMMYFUNCTION("""COMPUTED_VALUE"""),5450.0)</f>
        <v>5450</v>
      </c>
      <c r="E995" s="2">
        <f>IFERROR(__xludf.DUMMYFUNCTION("""COMPUTED_VALUE"""),5575.0)</f>
        <v>5575</v>
      </c>
      <c r="F995" s="2">
        <f>IFERROR(__xludf.DUMMYFUNCTION("""COMPUTED_VALUE"""),6.30561E7)</f>
        <v>63056100</v>
      </c>
      <c r="G995" s="2">
        <f t="shared" si="1"/>
        <v>150</v>
      </c>
    </row>
    <row r="996" ht="15.75" customHeight="1">
      <c r="A996" s="1">
        <f>IFERROR(__xludf.DUMMYFUNCTION("""COMPUTED_VALUE"""),45321.66666666667)</f>
        <v>45321.66667</v>
      </c>
      <c r="B996" s="2">
        <f>IFERROR(__xludf.DUMMYFUNCTION("""COMPUTED_VALUE"""),5575.0)</f>
        <v>5575</v>
      </c>
      <c r="C996" s="2">
        <f>IFERROR(__xludf.DUMMYFUNCTION("""COMPUTED_VALUE"""),5675.0)</f>
        <v>5675</v>
      </c>
      <c r="D996" s="2">
        <f>IFERROR(__xludf.DUMMYFUNCTION("""COMPUTED_VALUE"""),5550.0)</f>
        <v>5550</v>
      </c>
      <c r="E996" s="2">
        <f>IFERROR(__xludf.DUMMYFUNCTION("""COMPUTED_VALUE"""),5650.0)</f>
        <v>5650</v>
      </c>
      <c r="F996" s="2">
        <f>IFERROR(__xludf.DUMMYFUNCTION("""COMPUTED_VALUE"""),5.50205E7)</f>
        <v>55020500</v>
      </c>
      <c r="G996" s="2">
        <f t="shared" si="1"/>
        <v>125</v>
      </c>
    </row>
    <row r="997" ht="15.75" customHeight="1">
      <c r="A997" s="1">
        <f>IFERROR(__xludf.DUMMYFUNCTION("""COMPUTED_VALUE"""),45322.66666666667)</f>
        <v>45322.66667</v>
      </c>
      <c r="B997" s="2">
        <f>IFERROR(__xludf.DUMMYFUNCTION("""COMPUTED_VALUE"""),5700.0)</f>
        <v>5700</v>
      </c>
      <c r="C997" s="2">
        <f>IFERROR(__xludf.DUMMYFUNCTION("""COMPUTED_VALUE"""),5800.0)</f>
        <v>5800</v>
      </c>
      <c r="D997" s="2">
        <f>IFERROR(__xludf.DUMMYFUNCTION("""COMPUTED_VALUE"""),5675.0)</f>
        <v>5675</v>
      </c>
      <c r="E997" s="2">
        <f>IFERROR(__xludf.DUMMYFUNCTION("""COMPUTED_VALUE"""),5750.0)</f>
        <v>5750</v>
      </c>
      <c r="F997" s="2">
        <f>IFERROR(__xludf.DUMMYFUNCTION("""COMPUTED_VALUE"""),7.00456E7)</f>
        <v>70045600</v>
      </c>
      <c r="G997" s="2">
        <f t="shared" si="1"/>
        <v>150</v>
      </c>
    </row>
    <row r="998" ht="15.75" customHeight="1">
      <c r="A998" s="1">
        <f>IFERROR(__xludf.DUMMYFUNCTION("""COMPUTED_VALUE"""),45323.66666666667)</f>
        <v>45323.66667</v>
      </c>
      <c r="B998" s="2">
        <f>IFERROR(__xludf.DUMMYFUNCTION("""COMPUTED_VALUE"""),5750.0)</f>
        <v>5750</v>
      </c>
      <c r="C998" s="2">
        <f>IFERROR(__xludf.DUMMYFUNCTION("""COMPUTED_VALUE"""),5750.0)</f>
        <v>5750</v>
      </c>
      <c r="D998" s="2">
        <f>IFERROR(__xludf.DUMMYFUNCTION("""COMPUTED_VALUE"""),5650.0)</f>
        <v>5650</v>
      </c>
      <c r="E998" s="2">
        <f>IFERROR(__xludf.DUMMYFUNCTION("""COMPUTED_VALUE"""),5725.0)</f>
        <v>5725</v>
      </c>
      <c r="F998" s="2">
        <f>IFERROR(__xludf.DUMMYFUNCTION("""COMPUTED_VALUE"""),4.91794E7)</f>
        <v>49179400</v>
      </c>
      <c r="G998" s="2">
        <f t="shared" si="1"/>
        <v>100</v>
      </c>
    </row>
    <row r="999" ht="15.75" customHeight="1">
      <c r="A999" s="1">
        <f>IFERROR(__xludf.DUMMYFUNCTION("""COMPUTED_VALUE"""),45324.66666666667)</f>
        <v>45324.66667</v>
      </c>
      <c r="B999" s="2">
        <f>IFERROR(__xludf.DUMMYFUNCTION("""COMPUTED_VALUE"""),5750.0)</f>
        <v>5750</v>
      </c>
      <c r="C999" s="2">
        <f>IFERROR(__xludf.DUMMYFUNCTION("""COMPUTED_VALUE"""),5825.0)</f>
        <v>5825</v>
      </c>
      <c r="D999" s="2">
        <f>IFERROR(__xludf.DUMMYFUNCTION("""COMPUTED_VALUE"""),5750.0)</f>
        <v>5750</v>
      </c>
      <c r="E999" s="2">
        <f>IFERROR(__xludf.DUMMYFUNCTION("""COMPUTED_VALUE"""),5775.0)</f>
        <v>5775</v>
      </c>
      <c r="F999" s="2">
        <f>IFERROR(__xludf.DUMMYFUNCTION("""COMPUTED_VALUE"""),4.40742E7)</f>
        <v>44074200</v>
      </c>
      <c r="G999" s="2">
        <f t="shared" si="1"/>
        <v>100</v>
      </c>
    </row>
    <row r="1000" ht="15.75" customHeight="1">
      <c r="A1000" s="1">
        <f>IFERROR(__xludf.DUMMYFUNCTION("""COMPUTED_VALUE"""),45327.66666666667)</f>
        <v>45327.66667</v>
      </c>
      <c r="B1000" s="2">
        <f>IFERROR(__xludf.DUMMYFUNCTION("""COMPUTED_VALUE"""),5775.0)</f>
        <v>5775</v>
      </c>
      <c r="C1000" s="2">
        <f>IFERROR(__xludf.DUMMYFUNCTION("""COMPUTED_VALUE"""),5825.0)</f>
        <v>5825</v>
      </c>
      <c r="D1000" s="2">
        <f>IFERROR(__xludf.DUMMYFUNCTION("""COMPUTED_VALUE"""),5725.0)</f>
        <v>5725</v>
      </c>
      <c r="E1000" s="2">
        <f>IFERROR(__xludf.DUMMYFUNCTION("""COMPUTED_VALUE"""),5750.0)</f>
        <v>5750</v>
      </c>
      <c r="F1000" s="2">
        <f>IFERROR(__xludf.DUMMYFUNCTION("""COMPUTED_VALUE"""),4.70964E7)</f>
        <v>47096400</v>
      </c>
      <c r="G1000" s="2">
        <f t="shared" si="1"/>
        <v>100</v>
      </c>
    </row>
    <row r="1001" ht="15.75" customHeight="1">
      <c r="A1001" s="1">
        <f>IFERROR(__xludf.DUMMYFUNCTION("""COMPUTED_VALUE"""),45328.66666666667)</f>
        <v>45328.66667</v>
      </c>
      <c r="B1001" s="2">
        <f>IFERROR(__xludf.DUMMYFUNCTION("""COMPUTED_VALUE"""),5775.0)</f>
        <v>5775</v>
      </c>
      <c r="C1001" s="2">
        <f>IFERROR(__xludf.DUMMYFUNCTION("""COMPUTED_VALUE"""),5825.0)</f>
        <v>5825</v>
      </c>
      <c r="D1001" s="2">
        <f>IFERROR(__xludf.DUMMYFUNCTION("""COMPUTED_VALUE"""),5750.0)</f>
        <v>5750</v>
      </c>
      <c r="E1001" s="2">
        <f>IFERROR(__xludf.DUMMYFUNCTION("""COMPUTED_VALUE"""),5775.0)</f>
        <v>5775</v>
      </c>
      <c r="F1001" s="2">
        <f>IFERROR(__xludf.DUMMYFUNCTION("""COMPUTED_VALUE"""),4.1834E7)</f>
        <v>41834000</v>
      </c>
      <c r="G1001" s="2">
        <f t="shared" si="1"/>
        <v>75</v>
      </c>
    </row>
    <row r="1002" ht="15.75" customHeight="1">
      <c r="A1002" s="1">
        <f>IFERROR(__xludf.DUMMYFUNCTION("""COMPUTED_VALUE"""),45329.66666666667)</f>
        <v>45329.66667</v>
      </c>
      <c r="B1002" s="2">
        <f>IFERROR(__xludf.DUMMYFUNCTION("""COMPUTED_VALUE"""),5775.0)</f>
        <v>5775</v>
      </c>
      <c r="C1002" s="2">
        <f>IFERROR(__xludf.DUMMYFUNCTION("""COMPUTED_VALUE"""),5825.0)</f>
        <v>5825</v>
      </c>
      <c r="D1002" s="2">
        <f>IFERROR(__xludf.DUMMYFUNCTION("""COMPUTED_VALUE"""),5750.0)</f>
        <v>5750</v>
      </c>
      <c r="E1002" s="2">
        <f>IFERROR(__xludf.DUMMYFUNCTION("""COMPUTED_VALUE"""),5750.0)</f>
        <v>5750</v>
      </c>
      <c r="F1002" s="2">
        <f>IFERROR(__xludf.DUMMYFUNCTION("""COMPUTED_VALUE"""),3.99069E7)</f>
        <v>39906900</v>
      </c>
      <c r="G1002" s="2">
        <f t="shared" si="1"/>
        <v>75</v>
      </c>
    </row>
    <row r="1003" ht="15.75" customHeight="1">
      <c r="A1003" s="1">
        <f>IFERROR(__xludf.DUMMYFUNCTION("""COMPUTED_VALUE"""),45334.66666666667)</f>
        <v>45334.66667</v>
      </c>
      <c r="B1003" s="2">
        <f>IFERROR(__xludf.DUMMYFUNCTION("""COMPUTED_VALUE"""),5775.0)</f>
        <v>5775</v>
      </c>
      <c r="C1003" s="2">
        <f>IFERROR(__xludf.DUMMYFUNCTION("""COMPUTED_VALUE"""),6000.0)</f>
        <v>6000</v>
      </c>
      <c r="D1003" s="2">
        <f>IFERROR(__xludf.DUMMYFUNCTION("""COMPUTED_VALUE"""),5750.0)</f>
        <v>5750</v>
      </c>
      <c r="E1003" s="2">
        <f>IFERROR(__xludf.DUMMYFUNCTION("""COMPUTED_VALUE"""),5950.0)</f>
        <v>5950</v>
      </c>
      <c r="F1003" s="2">
        <f>IFERROR(__xludf.DUMMYFUNCTION("""COMPUTED_VALUE"""),6.46158E7)</f>
        <v>64615800</v>
      </c>
      <c r="G1003" s="2">
        <f t="shared" si="1"/>
        <v>250</v>
      </c>
    </row>
    <row r="1004" ht="15.75" customHeight="1">
      <c r="A1004" s="1">
        <f>IFERROR(__xludf.DUMMYFUNCTION("""COMPUTED_VALUE"""),45335.66666666667)</f>
        <v>45335.66667</v>
      </c>
      <c r="B1004" s="2">
        <f>IFERROR(__xludf.DUMMYFUNCTION("""COMPUTED_VALUE"""),5975.0)</f>
        <v>5975</v>
      </c>
      <c r="C1004" s="2">
        <f>IFERROR(__xludf.DUMMYFUNCTION("""COMPUTED_VALUE"""),5975.0)</f>
        <v>5975</v>
      </c>
      <c r="D1004" s="2">
        <f>IFERROR(__xludf.DUMMYFUNCTION("""COMPUTED_VALUE"""),5850.0)</f>
        <v>5850</v>
      </c>
      <c r="E1004" s="2">
        <f>IFERROR(__xludf.DUMMYFUNCTION("""COMPUTED_VALUE"""),5875.0)</f>
        <v>5875</v>
      </c>
      <c r="F1004" s="2">
        <f>IFERROR(__xludf.DUMMYFUNCTION("""COMPUTED_VALUE"""),7.49762E7)</f>
        <v>74976200</v>
      </c>
      <c r="G1004" s="2">
        <f t="shared" si="1"/>
        <v>125</v>
      </c>
    </row>
    <row r="1005" ht="15.75" customHeight="1">
      <c r="A1005" s="1">
        <f>IFERROR(__xludf.DUMMYFUNCTION("""COMPUTED_VALUE"""),45337.66666666667)</f>
        <v>45337.66667</v>
      </c>
      <c r="B1005" s="2">
        <f>IFERROR(__xludf.DUMMYFUNCTION("""COMPUTED_VALUE"""),6150.0)</f>
        <v>6150</v>
      </c>
      <c r="C1005" s="2">
        <f>IFERROR(__xludf.DUMMYFUNCTION("""COMPUTED_VALUE"""),6225.0)</f>
        <v>6225</v>
      </c>
      <c r="D1005" s="2">
        <f>IFERROR(__xludf.DUMMYFUNCTION("""COMPUTED_VALUE"""),6000.0)</f>
        <v>6000</v>
      </c>
      <c r="E1005" s="2">
        <f>IFERROR(__xludf.DUMMYFUNCTION("""COMPUTED_VALUE"""),6000.0)</f>
        <v>6000</v>
      </c>
      <c r="F1005" s="2">
        <f>IFERROR(__xludf.DUMMYFUNCTION("""COMPUTED_VALUE"""),1.287925E8)</f>
        <v>128792500</v>
      </c>
      <c r="G1005" s="2">
        <f t="shared" si="1"/>
        <v>350</v>
      </c>
    </row>
    <row r="1006" ht="15.75" customHeight="1">
      <c r="A1006" s="1">
        <f>IFERROR(__xludf.DUMMYFUNCTION("""COMPUTED_VALUE"""),45338.66666666667)</f>
        <v>45338.66667</v>
      </c>
      <c r="B1006" s="2">
        <f>IFERROR(__xludf.DUMMYFUNCTION("""COMPUTED_VALUE"""),6025.0)</f>
        <v>6025</v>
      </c>
      <c r="C1006" s="2">
        <f>IFERROR(__xludf.DUMMYFUNCTION("""COMPUTED_VALUE"""),6125.0)</f>
        <v>6125</v>
      </c>
      <c r="D1006" s="2">
        <f>IFERROR(__xludf.DUMMYFUNCTION("""COMPUTED_VALUE"""),6000.0)</f>
        <v>6000</v>
      </c>
      <c r="E1006" s="2">
        <f>IFERROR(__xludf.DUMMYFUNCTION("""COMPUTED_VALUE"""),6000.0)</f>
        <v>6000</v>
      </c>
      <c r="F1006" s="2">
        <f>IFERROR(__xludf.DUMMYFUNCTION("""COMPUTED_VALUE"""),6.2601E7)</f>
        <v>62601000</v>
      </c>
      <c r="G1006" s="2">
        <f t="shared" si="1"/>
        <v>125</v>
      </c>
    </row>
    <row r="1007" ht="15.75" customHeight="1">
      <c r="A1007" s="1">
        <f>IFERROR(__xludf.DUMMYFUNCTION("""COMPUTED_VALUE"""),45341.66666666667)</f>
        <v>45341.66667</v>
      </c>
      <c r="B1007" s="2">
        <f>IFERROR(__xludf.DUMMYFUNCTION("""COMPUTED_VALUE"""),6025.0)</f>
        <v>6025</v>
      </c>
      <c r="C1007" s="2">
        <f>IFERROR(__xludf.DUMMYFUNCTION("""COMPUTED_VALUE"""),6050.0)</f>
        <v>6050</v>
      </c>
      <c r="D1007" s="2">
        <f>IFERROR(__xludf.DUMMYFUNCTION("""COMPUTED_VALUE"""),5875.0)</f>
        <v>5875</v>
      </c>
      <c r="E1007" s="2">
        <f>IFERROR(__xludf.DUMMYFUNCTION("""COMPUTED_VALUE"""),5875.0)</f>
        <v>5875</v>
      </c>
      <c r="F1007" s="2">
        <f>IFERROR(__xludf.DUMMYFUNCTION("""COMPUTED_VALUE"""),6.79501E7)</f>
        <v>67950100</v>
      </c>
      <c r="G1007" s="2">
        <f t="shared" si="1"/>
        <v>175</v>
      </c>
    </row>
    <row r="1008" ht="15.75" customHeight="1">
      <c r="A1008" s="1">
        <f>IFERROR(__xludf.DUMMYFUNCTION("""COMPUTED_VALUE"""),45342.66666666667)</f>
        <v>45342.66667</v>
      </c>
      <c r="B1008" s="2">
        <f>IFERROR(__xludf.DUMMYFUNCTION("""COMPUTED_VALUE"""),5900.0)</f>
        <v>5900</v>
      </c>
      <c r="C1008" s="2">
        <f>IFERROR(__xludf.DUMMYFUNCTION("""COMPUTED_VALUE"""),6025.0)</f>
        <v>6025</v>
      </c>
      <c r="D1008" s="2">
        <f>IFERROR(__xludf.DUMMYFUNCTION("""COMPUTED_VALUE"""),5900.0)</f>
        <v>5900</v>
      </c>
      <c r="E1008" s="2">
        <f>IFERROR(__xludf.DUMMYFUNCTION("""COMPUTED_VALUE"""),6025.0)</f>
        <v>6025</v>
      </c>
      <c r="F1008" s="2">
        <f>IFERROR(__xludf.DUMMYFUNCTION("""COMPUTED_VALUE"""),3.75541E7)</f>
        <v>37554100</v>
      </c>
      <c r="G1008" s="2">
        <f t="shared" si="1"/>
        <v>150</v>
      </c>
    </row>
    <row r="1009" ht="15.75" customHeight="1">
      <c r="A1009" s="1">
        <f>IFERROR(__xludf.DUMMYFUNCTION("""COMPUTED_VALUE"""),45343.66666666667)</f>
        <v>45343.66667</v>
      </c>
      <c r="B1009" s="2">
        <f>IFERROR(__xludf.DUMMYFUNCTION("""COMPUTED_VALUE"""),6025.0)</f>
        <v>6025</v>
      </c>
      <c r="C1009" s="2">
        <f>IFERROR(__xludf.DUMMYFUNCTION("""COMPUTED_VALUE"""),6050.0)</f>
        <v>6050</v>
      </c>
      <c r="D1009" s="2">
        <f>IFERROR(__xludf.DUMMYFUNCTION("""COMPUTED_VALUE"""),5925.0)</f>
        <v>5925</v>
      </c>
      <c r="E1009" s="2">
        <f>IFERROR(__xludf.DUMMYFUNCTION("""COMPUTED_VALUE"""),6000.0)</f>
        <v>6000</v>
      </c>
      <c r="F1009" s="2">
        <f>IFERROR(__xludf.DUMMYFUNCTION("""COMPUTED_VALUE"""),5.44764E7)</f>
        <v>54476400</v>
      </c>
      <c r="G1009" s="2">
        <f t="shared" si="1"/>
        <v>125</v>
      </c>
    </row>
    <row r="1010" ht="15.75" customHeight="1">
      <c r="A1010" s="1">
        <f>IFERROR(__xludf.DUMMYFUNCTION("""COMPUTED_VALUE"""),45344.66666666667)</f>
        <v>45344.66667</v>
      </c>
      <c r="B1010" s="2">
        <f>IFERROR(__xludf.DUMMYFUNCTION("""COMPUTED_VALUE"""),6000.0)</f>
        <v>6000</v>
      </c>
      <c r="C1010" s="2">
        <f>IFERROR(__xludf.DUMMYFUNCTION("""COMPUTED_VALUE"""),6025.0)</f>
        <v>6025</v>
      </c>
      <c r="D1010" s="2">
        <f>IFERROR(__xludf.DUMMYFUNCTION("""COMPUTED_VALUE"""),5900.0)</f>
        <v>5900</v>
      </c>
      <c r="E1010" s="2">
        <f>IFERROR(__xludf.DUMMYFUNCTION("""COMPUTED_VALUE"""),5950.0)</f>
        <v>5950</v>
      </c>
      <c r="F1010" s="2">
        <f>IFERROR(__xludf.DUMMYFUNCTION("""COMPUTED_VALUE"""),3.76761E7)</f>
        <v>37676100</v>
      </c>
      <c r="G1010" s="2">
        <f t="shared" si="1"/>
        <v>125</v>
      </c>
    </row>
    <row r="1011" ht="15.75" customHeight="1">
      <c r="A1011" s="1">
        <f>IFERROR(__xludf.DUMMYFUNCTION("""COMPUTED_VALUE"""),45345.66666666667)</f>
        <v>45345.66667</v>
      </c>
      <c r="B1011" s="2">
        <f>IFERROR(__xludf.DUMMYFUNCTION("""COMPUTED_VALUE"""),6000.0)</f>
        <v>6000</v>
      </c>
      <c r="C1011" s="2">
        <f>IFERROR(__xludf.DUMMYFUNCTION("""COMPUTED_VALUE"""),6000.0)</f>
        <v>6000</v>
      </c>
      <c r="D1011" s="2">
        <f>IFERROR(__xludf.DUMMYFUNCTION("""COMPUTED_VALUE"""),5825.0)</f>
        <v>5825</v>
      </c>
      <c r="E1011" s="2">
        <f>IFERROR(__xludf.DUMMYFUNCTION("""COMPUTED_VALUE"""),5900.0)</f>
        <v>5900</v>
      </c>
      <c r="F1011" s="2">
        <f>IFERROR(__xludf.DUMMYFUNCTION("""COMPUTED_VALUE"""),5.02166E7)</f>
        <v>50216600</v>
      </c>
      <c r="G1011" s="2">
        <f t="shared" si="1"/>
        <v>175</v>
      </c>
    </row>
    <row r="1012" ht="15.75" customHeight="1">
      <c r="A1012" s="1">
        <f>IFERROR(__xludf.DUMMYFUNCTION("""COMPUTED_VALUE"""),45348.66666666667)</f>
        <v>45348.66667</v>
      </c>
      <c r="B1012" s="2">
        <f>IFERROR(__xludf.DUMMYFUNCTION("""COMPUTED_VALUE"""),5900.0)</f>
        <v>5900</v>
      </c>
      <c r="C1012" s="2">
        <f>IFERROR(__xludf.DUMMYFUNCTION("""COMPUTED_VALUE"""),5925.0)</f>
        <v>5925</v>
      </c>
      <c r="D1012" s="2">
        <f>IFERROR(__xludf.DUMMYFUNCTION("""COMPUTED_VALUE"""),5800.0)</f>
        <v>5800</v>
      </c>
      <c r="E1012" s="2">
        <f>IFERROR(__xludf.DUMMYFUNCTION("""COMPUTED_VALUE"""),5900.0)</f>
        <v>5900</v>
      </c>
      <c r="F1012" s="2">
        <f>IFERROR(__xludf.DUMMYFUNCTION("""COMPUTED_VALUE"""),2.75E7)</f>
        <v>27500000</v>
      </c>
      <c r="G1012" s="2">
        <f t="shared" si="1"/>
        <v>125</v>
      </c>
    </row>
    <row r="1013" ht="15.75" customHeight="1">
      <c r="A1013" s="1">
        <f>IFERROR(__xludf.DUMMYFUNCTION("""COMPUTED_VALUE"""),45349.66666666667)</f>
        <v>45349.66667</v>
      </c>
      <c r="B1013" s="2">
        <f>IFERROR(__xludf.DUMMYFUNCTION("""COMPUTED_VALUE"""),5900.0)</f>
        <v>5900</v>
      </c>
      <c r="C1013" s="2">
        <f>IFERROR(__xludf.DUMMYFUNCTION("""COMPUTED_VALUE"""),6000.0)</f>
        <v>6000</v>
      </c>
      <c r="D1013" s="2">
        <f>IFERROR(__xludf.DUMMYFUNCTION("""COMPUTED_VALUE"""),5850.0)</f>
        <v>5850</v>
      </c>
      <c r="E1013" s="2">
        <f>IFERROR(__xludf.DUMMYFUNCTION("""COMPUTED_VALUE"""),6000.0)</f>
        <v>6000</v>
      </c>
      <c r="F1013" s="2">
        <f>IFERROR(__xludf.DUMMYFUNCTION("""COMPUTED_VALUE"""),3.86452E7)</f>
        <v>38645200</v>
      </c>
      <c r="G1013" s="2">
        <f t="shared" si="1"/>
        <v>150</v>
      </c>
    </row>
    <row r="1014" ht="15.75" customHeight="1">
      <c r="A1014" s="1">
        <f>IFERROR(__xludf.DUMMYFUNCTION("""COMPUTED_VALUE"""),45350.66666666667)</f>
        <v>45350.66667</v>
      </c>
      <c r="B1014" s="2">
        <f>IFERROR(__xludf.DUMMYFUNCTION("""COMPUTED_VALUE"""),5950.0)</f>
        <v>5950</v>
      </c>
      <c r="C1014" s="2">
        <f>IFERROR(__xludf.DUMMYFUNCTION("""COMPUTED_VALUE"""),6000.0)</f>
        <v>6000</v>
      </c>
      <c r="D1014" s="2">
        <f>IFERROR(__xludf.DUMMYFUNCTION("""COMPUTED_VALUE"""),5900.0)</f>
        <v>5900</v>
      </c>
      <c r="E1014" s="2">
        <f>IFERROR(__xludf.DUMMYFUNCTION("""COMPUTED_VALUE"""),5975.0)</f>
        <v>5975</v>
      </c>
      <c r="F1014" s="2">
        <f>IFERROR(__xludf.DUMMYFUNCTION("""COMPUTED_VALUE"""),2.72786E7)</f>
        <v>27278600</v>
      </c>
      <c r="G1014" s="2">
        <f t="shared" si="1"/>
        <v>100</v>
      </c>
    </row>
    <row r="1015" ht="15.75" customHeight="1">
      <c r="A1015" s="1">
        <f>IFERROR(__xludf.DUMMYFUNCTION("""COMPUTED_VALUE"""),45351.66666666667)</f>
        <v>45351.66667</v>
      </c>
      <c r="B1015" s="2">
        <f>IFERROR(__xludf.DUMMYFUNCTION("""COMPUTED_VALUE"""),5975.0)</f>
        <v>5975</v>
      </c>
      <c r="C1015" s="2">
        <f>IFERROR(__xludf.DUMMYFUNCTION("""COMPUTED_VALUE"""),6000.0)</f>
        <v>6000</v>
      </c>
      <c r="D1015" s="2">
        <f>IFERROR(__xludf.DUMMYFUNCTION("""COMPUTED_VALUE"""),5900.0)</f>
        <v>5900</v>
      </c>
      <c r="E1015" s="2">
        <f>IFERROR(__xludf.DUMMYFUNCTION("""COMPUTED_VALUE"""),6000.0)</f>
        <v>6000</v>
      </c>
      <c r="F1015" s="2">
        <f>IFERROR(__xludf.DUMMYFUNCTION("""COMPUTED_VALUE"""),4.8736E7)</f>
        <v>48736000</v>
      </c>
      <c r="G1015" s="2">
        <f t="shared" si="1"/>
        <v>100</v>
      </c>
    </row>
    <row r="1016" ht="15.75" customHeight="1">
      <c r="A1016" s="1">
        <f>IFERROR(__xludf.DUMMYFUNCTION("""COMPUTED_VALUE"""),45352.66666666667)</f>
        <v>45352.66667</v>
      </c>
      <c r="B1016" s="2">
        <f>IFERROR(__xludf.DUMMYFUNCTION("""COMPUTED_VALUE"""),5925.0)</f>
        <v>5925</v>
      </c>
      <c r="C1016" s="2">
        <f>IFERROR(__xludf.DUMMYFUNCTION("""COMPUTED_VALUE"""),5975.0)</f>
        <v>5975</v>
      </c>
      <c r="D1016" s="2">
        <f>IFERROR(__xludf.DUMMYFUNCTION("""COMPUTED_VALUE"""),5825.0)</f>
        <v>5825</v>
      </c>
      <c r="E1016" s="2">
        <f>IFERROR(__xludf.DUMMYFUNCTION("""COMPUTED_VALUE"""),5900.0)</f>
        <v>5900</v>
      </c>
      <c r="F1016" s="2">
        <f>IFERROR(__xludf.DUMMYFUNCTION("""COMPUTED_VALUE"""),7.17744E7)</f>
        <v>71774400</v>
      </c>
      <c r="G1016" s="2">
        <f t="shared" si="1"/>
        <v>175</v>
      </c>
    </row>
    <row r="1017" ht="15.75" customHeight="1">
      <c r="A1017" s="1">
        <f>IFERROR(__xludf.DUMMYFUNCTION("""COMPUTED_VALUE"""),45355.66666666667)</f>
        <v>45355.66667</v>
      </c>
      <c r="B1017" s="2">
        <f>IFERROR(__xludf.DUMMYFUNCTION("""COMPUTED_VALUE"""),5900.0)</f>
        <v>5900</v>
      </c>
      <c r="C1017" s="2">
        <f>IFERROR(__xludf.DUMMYFUNCTION("""COMPUTED_VALUE"""),5925.0)</f>
        <v>5925</v>
      </c>
      <c r="D1017" s="2">
        <f>IFERROR(__xludf.DUMMYFUNCTION("""COMPUTED_VALUE"""),5800.0)</f>
        <v>5800</v>
      </c>
      <c r="E1017" s="2">
        <f>IFERROR(__xludf.DUMMYFUNCTION("""COMPUTED_VALUE"""),5875.0)</f>
        <v>5875</v>
      </c>
      <c r="F1017" s="2">
        <f>IFERROR(__xludf.DUMMYFUNCTION("""COMPUTED_VALUE"""),3.56007E7)</f>
        <v>35600700</v>
      </c>
      <c r="G1017" s="2">
        <f t="shared" si="1"/>
        <v>125</v>
      </c>
    </row>
    <row r="1018" ht="15.75" customHeight="1">
      <c r="A1018" s="1">
        <f>IFERROR(__xludf.DUMMYFUNCTION("""COMPUTED_VALUE"""),45356.66666666667)</f>
        <v>45356.66667</v>
      </c>
      <c r="B1018" s="2">
        <f>IFERROR(__xludf.DUMMYFUNCTION("""COMPUTED_VALUE"""),5875.0)</f>
        <v>5875</v>
      </c>
      <c r="C1018" s="2">
        <f>IFERROR(__xludf.DUMMYFUNCTION("""COMPUTED_VALUE"""),5950.0)</f>
        <v>5950</v>
      </c>
      <c r="D1018" s="2">
        <f>IFERROR(__xludf.DUMMYFUNCTION("""COMPUTED_VALUE"""),5850.0)</f>
        <v>5850</v>
      </c>
      <c r="E1018" s="2">
        <f>IFERROR(__xludf.DUMMYFUNCTION("""COMPUTED_VALUE"""),5900.0)</f>
        <v>5900</v>
      </c>
      <c r="F1018" s="2">
        <f>IFERROR(__xludf.DUMMYFUNCTION("""COMPUTED_VALUE"""),4.97955E7)</f>
        <v>49795500</v>
      </c>
      <c r="G1018" s="2">
        <f t="shared" si="1"/>
        <v>100</v>
      </c>
    </row>
    <row r="1019" ht="15.75" customHeight="1">
      <c r="A1019" s="1">
        <f>IFERROR(__xludf.DUMMYFUNCTION("""COMPUTED_VALUE"""),45357.66666666667)</f>
        <v>45357.66667</v>
      </c>
      <c r="B1019" s="2">
        <f>IFERROR(__xludf.DUMMYFUNCTION("""COMPUTED_VALUE"""),5900.0)</f>
        <v>5900</v>
      </c>
      <c r="C1019" s="2">
        <f>IFERROR(__xludf.DUMMYFUNCTION("""COMPUTED_VALUE"""),5950.0)</f>
        <v>5950</v>
      </c>
      <c r="D1019" s="2">
        <f>IFERROR(__xludf.DUMMYFUNCTION("""COMPUTED_VALUE"""),5875.0)</f>
        <v>5875</v>
      </c>
      <c r="E1019" s="2">
        <f>IFERROR(__xludf.DUMMYFUNCTION("""COMPUTED_VALUE"""),5950.0)</f>
        <v>5950</v>
      </c>
      <c r="F1019" s="2">
        <f>IFERROR(__xludf.DUMMYFUNCTION("""COMPUTED_VALUE"""),2.89231E7)</f>
        <v>28923100</v>
      </c>
      <c r="G1019" s="2">
        <f t="shared" si="1"/>
        <v>75</v>
      </c>
    </row>
    <row r="1020" ht="15.75" customHeight="1">
      <c r="A1020" s="1">
        <f>IFERROR(__xludf.DUMMYFUNCTION("""COMPUTED_VALUE"""),45358.66666666667)</f>
        <v>45358.66667</v>
      </c>
      <c r="B1020" s="2">
        <f>IFERROR(__xludf.DUMMYFUNCTION("""COMPUTED_VALUE"""),5975.0)</f>
        <v>5975</v>
      </c>
      <c r="C1020" s="2">
        <f>IFERROR(__xludf.DUMMYFUNCTION("""COMPUTED_VALUE"""),6025.0)</f>
        <v>6025</v>
      </c>
      <c r="D1020" s="2">
        <f>IFERROR(__xludf.DUMMYFUNCTION("""COMPUTED_VALUE"""),5950.0)</f>
        <v>5950</v>
      </c>
      <c r="E1020" s="2">
        <f>IFERROR(__xludf.DUMMYFUNCTION("""COMPUTED_VALUE"""),5975.0)</f>
        <v>5975</v>
      </c>
      <c r="F1020" s="2">
        <f>IFERROR(__xludf.DUMMYFUNCTION("""COMPUTED_VALUE"""),4.74642E7)</f>
        <v>47464200</v>
      </c>
      <c r="G1020" s="2">
        <f t="shared" si="1"/>
        <v>75</v>
      </c>
    </row>
    <row r="1021" ht="15.75" customHeight="1">
      <c r="A1021" s="1">
        <f>IFERROR(__xludf.DUMMYFUNCTION("""COMPUTED_VALUE"""),45359.66666666667)</f>
        <v>45359.66667</v>
      </c>
      <c r="B1021" s="2">
        <f>IFERROR(__xludf.DUMMYFUNCTION("""COMPUTED_VALUE"""),6000.0)</f>
        <v>6000</v>
      </c>
      <c r="C1021" s="2">
        <f>IFERROR(__xludf.DUMMYFUNCTION("""COMPUTED_VALUE"""),6125.0)</f>
        <v>6125</v>
      </c>
      <c r="D1021" s="2">
        <f>IFERROR(__xludf.DUMMYFUNCTION("""COMPUTED_VALUE"""),5975.0)</f>
        <v>5975</v>
      </c>
      <c r="E1021" s="2">
        <f>IFERROR(__xludf.DUMMYFUNCTION("""COMPUTED_VALUE"""),6100.0)</f>
        <v>6100</v>
      </c>
      <c r="F1021" s="2">
        <f>IFERROR(__xludf.DUMMYFUNCTION("""COMPUTED_VALUE"""),7.3185E7)</f>
        <v>73185000</v>
      </c>
      <c r="G1021" s="2">
        <f t="shared" si="1"/>
        <v>150</v>
      </c>
    </row>
    <row r="1022" ht="15.75" customHeight="1">
      <c r="A1022" s="1">
        <f>IFERROR(__xludf.DUMMYFUNCTION("""COMPUTED_VALUE"""),45364.66666666667)</f>
        <v>45364.66667</v>
      </c>
      <c r="B1022" s="2">
        <f>IFERROR(__xludf.DUMMYFUNCTION("""COMPUTED_VALUE"""),6100.0)</f>
        <v>6100</v>
      </c>
      <c r="C1022" s="2">
        <f>IFERROR(__xludf.DUMMYFUNCTION("""COMPUTED_VALUE"""),6250.0)</f>
        <v>6250</v>
      </c>
      <c r="D1022" s="2">
        <f>IFERROR(__xludf.DUMMYFUNCTION("""COMPUTED_VALUE"""),6100.0)</f>
        <v>6100</v>
      </c>
      <c r="E1022" s="2">
        <f>IFERROR(__xludf.DUMMYFUNCTION("""COMPUTED_VALUE"""),6225.0)</f>
        <v>6225</v>
      </c>
      <c r="F1022" s="2">
        <f>IFERROR(__xludf.DUMMYFUNCTION("""COMPUTED_VALUE"""),8.78617E7)</f>
        <v>87861700</v>
      </c>
      <c r="G1022" s="2">
        <f t="shared" si="1"/>
        <v>150</v>
      </c>
    </row>
    <row r="1023" ht="15.75" customHeight="1">
      <c r="A1023" s="1">
        <f>IFERROR(__xludf.DUMMYFUNCTION("""COMPUTED_VALUE"""),45365.66666666667)</f>
        <v>45365.66667</v>
      </c>
      <c r="B1023" s="2">
        <f>IFERROR(__xludf.DUMMYFUNCTION("""COMPUTED_VALUE"""),6225.0)</f>
        <v>6225</v>
      </c>
      <c r="C1023" s="2">
        <f>IFERROR(__xludf.DUMMYFUNCTION("""COMPUTED_VALUE"""),6250.0)</f>
        <v>6250</v>
      </c>
      <c r="D1023" s="2">
        <f>IFERROR(__xludf.DUMMYFUNCTION("""COMPUTED_VALUE"""),6075.0)</f>
        <v>6075</v>
      </c>
      <c r="E1023" s="2">
        <f>IFERROR(__xludf.DUMMYFUNCTION("""COMPUTED_VALUE"""),6150.0)</f>
        <v>6150</v>
      </c>
      <c r="F1023" s="2">
        <f>IFERROR(__xludf.DUMMYFUNCTION("""COMPUTED_VALUE"""),8.81454E7)</f>
        <v>88145400</v>
      </c>
      <c r="G1023" s="2">
        <f t="shared" si="1"/>
        <v>175</v>
      </c>
    </row>
    <row r="1024" ht="15.75" customHeight="1">
      <c r="A1024" s="1">
        <f>IFERROR(__xludf.DUMMYFUNCTION("""COMPUTED_VALUE"""),45366.66666666667)</f>
        <v>45366.66667</v>
      </c>
      <c r="B1024" s="2">
        <f>IFERROR(__xludf.DUMMYFUNCTION("""COMPUTED_VALUE"""),5950.0)</f>
        <v>5950</v>
      </c>
      <c r="C1024" s="2">
        <f>IFERROR(__xludf.DUMMYFUNCTION("""COMPUTED_VALUE"""),5950.0)</f>
        <v>5950</v>
      </c>
      <c r="D1024" s="2">
        <f>IFERROR(__xludf.DUMMYFUNCTION("""COMPUTED_VALUE"""),5725.0)</f>
        <v>5725</v>
      </c>
      <c r="E1024" s="2">
        <f>IFERROR(__xludf.DUMMYFUNCTION("""COMPUTED_VALUE"""),5800.0)</f>
        <v>5800</v>
      </c>
      <c r="F1024" s="2">
        <f>IFERROR(__xludf.DUMMYFUNCTION("""COMPUTED_VALUE"""),1.444476E8)</f>
        <v>144447600</v>
      </c>
      <c r="G1024" s="2">
        <f t="shared" si="1"/>
        <v>425</v>
      </c>
    </row>
    <row r="1025" ht="15.75" customHeight="1">
      <c r="A1025" s="1">
        <f>IFERROR(__xludf.DUMMYFUNCTION("""COMPUTED_VALUE"""),45369.66666666667)</f>
        <v>45369.66667</v>
      </c>
      <c r="B1025" s="2">
        <f>IFERROR(__xludf.DUMMYFUNCTION("""COMPUTED_VALUE"""),5825.0)</f>
        <v>5825</v>
      </c>
      <c r="C1025" s="2">
        <f>IFERROR(__xludf.DUMMYFUNCTION("""COMPUTED_VALUE"""),5900.0)</f>
        <v>5900</v>
      </c>
      <c r="D1025" s="2">
        <f>IFERROR(__xludf.DUMMYFUNCTION("""COMPUTED_VALUE"""),5800.0)</f>
        <v>5800</v>
      </c>
      <c r="E1025" s="2">
        <f>IFERROR(__xludf.DUMMYFUNCTION("""COMPUTED_VALUE"""),5800.0)</f>
        <v>5800</v>
      </c>
      <c r="F1025" s="2">
        <f>IFERROR(__xludf.DUMMYFUNCTION("""COMPUTED_VALUE"""),4.89793E7)</f>
        <v>48979300</v>
      </c>
      <c r="G1025" s="2">
        <f t="shared" si="1"/>
        <v>100</v>
      </c>
    </row>
    <row r="1026" ht="15.75" customHeight="1">
      <c r="A1026" s="1">
        <f>IFERROR(__xludf.DUMMYFUNCTION("""COMPUTED_VALUE"""),45370.66666666667)</f>
        <v>45370.66667</v>
      </c>
      <c r="B1026" s="2">
        <f>IFERROR(__xludf.DUMMYFUNCTION("""COMPUTED_VALUE"""),5800.0)</f>
        <v>5800</v>
      </c>
      <c r="C1026" s="2">
        <f>IFERROR(__xludf.DUMMYFUNCTION("""COMPUTED_VALUE"""),5875.0)</f>
        <v>5875</v>
      </c>
      <c r="D1026" s="2">
        <f>IFERROR(__xludf.DUMMYFUNCTION("""COMPUTED_VALUE"""),5800.0)</f>
        <v>5800</v>
      </c>
      <c r="E1026" s="2">
        <f>IFERROR(__xludf.DUMMYFUNCTION("""COMPUTED_VALUE"""),5850.0)</f>
        <v>5850</v>
      </c>
      <c r="F1026" s="2">
        <f>IFERROR(__xludf.DUMMYFUNCTION("""COMPUTED_VALUE"""),3.41622E7)</f>
        <v>34162200</v>
      </c>
      <c r="G1026" s="2">
        <f t="shared" si="1"/>
        <v>75</v>
      </c>
    </row>
    <row r="1027" ht="15.75" customHeight="1">
      <c r="A1027" s="1">
        <f>IFERROR(__xludf.DUMMYFUNCTION("""COMPUTED_VALUE"""),45371.66666666667)</f>
        <v>45371.66667</v>
      </c>
      <c r="B1027" s="2">
        <f>IFERROR(__xludf.DUMMYFUNCTION("""COMPUTED_VALUE"""),5850.0)</f>
        <v>5850</v>
      </c>
      <c r="C1027" s="2">
        <f>IFERROR(__xludf.DUMMYFUNCTION("""COMPUTED_VALUE"""),5900.0)</f>
        <v>5900</v>
      </c>
      <c r="D1027" s="2">
        <f>IFERROR(__xludf.DUMMYFUNCTION("""COMPUTED_VALUE"""),5850.0)</f>
        <v>5850</v>
      </c>
      <c r="E1027" s="2">
        <f>IFERROR(__xludf.DUMMYFUNCTION("""COMPUTED_VALUE"""),5875.0)</f>
        <v>5875</v>
      </c>
      <c r="F1027" s="2">
        <f>IFERROR(__xludf.DUMMYFUNCTION("""COMPUTED_VALUE"""),3.27259E7)</f>
        <v>32725900</v>
      </c>
      <c r="G1027" s="2">
        <f t="shared" si="1"/>
        <v>50</v>
      </c>
    </row>
    <row r="1028" ht="15.75" customHeight="1">
      <c r="A1028" s="1">
        <f>IFERROR(__xludf.DUMMYFUNCTION("""COMPUTED_VALUE"""),45372.66666666667)</f>
        <v>45372.66667</v>
      </c>
      <c r="B1028" s="2">
        <f>IFERROR(__xludf.DUMMYFUNCTION("""COMPUTED_VALUE"""),5900.0)</f>
        <v>5900</v>
      </c>
      <c r="C1028" s="2">
        <f>IFERROR(__xludf.DUMMYFUNCTION("""COMPUTED_VALUE"""),5925.0)</f>
        <v>5925</v>
      </c>
      <c r="D1028" s="2">
        <f>IFERROR(__xludf.DUMMYFUNCTION("""COMPUTED_VALUE"""),5800.0)</f>
        <v>5800</v>
      </c>
      <c r="E1028" s="2">
        <f>IFERROR(__xludf.DUMMYFUNCTION("""COMPUTED_VALUE"""),5800.0)</f>
        <v>5800</v>
      </c>
      <c r="F1028" s="2">
        <f>IFERROR(__xludf.DUMMYFUNCTION("""COMPUTED_VALUE"""),5.0976E7)</f>
        <v>50976000</v>
      </c>
      <c r="G1028" s="2">
        <f t="shared" si="1"/>
        <v>125</v>
      </c>
    </row>
    <row r="1029" ht="15.75" customHeight="1">
      <c r="A1029" s="1">
        <f>IFERROR(__xludf.DUMMYFUNCTION("""COMPUTED_VALUE"""),45373.66666666667)</f>
        <v>45373.66667</v>
      </c>
      <c r="B1029" s="2">
        <f>IFERROR(__xludf.DUMMYFUNCTION("""COMPUTED_VALUE"""),5850.0)</f>
        <v>5850</v>
      </c>
      <c r="C1029" s="2">
        <f>IFERROR(__xludf.DUMMYFUNCTION("""COMPUTED_VALUE"""),5875.0)</f>
        <v>5875</v>
      </c>
      <c r="D1029" s="2">
        <f>IFERROR(__xludf.DUMMYFUNCTION("""COMPUTED_VALUE"""),5800.0)</f>
        <v>5800</v>
      </c>
      <c r="E1029" s="2">
        <f>IFERROR(__xludf.DUMMYFUNCTION("""COMPUTED_VALUE"""),5850.0)</f>
        <v>5850</v>
      </c>
      <c r="F1029" s="2">
        <f>IFERROR(__xludf.DUMMYFUNCTION("""COMPUTED_VALUE"""),2.99276E7)</f>
        <v>29927600</v>
      </c>
      <c r="G1029" s="2">
        <f t="shared" si="1"/>
        <v>75</v>
      </c>
    </row>
    <row r="1030" ht="15.75" customHeight="1">
      <c r="A1030" s="1">
        <f>IFERROR(__xludf.DUMMYFUNCTION("""COMPUTED_VALUE"""),45376.66666666667)</f>
        <v>45376.66667</v>
      </c>
      <c r="B1030" s="2">
        <f>IFERROR(__xludf.DUMMYFUNCTION("""COMPUTED_VALUE"""),5925.0)</f>
        <v>5925</v>
      </c>
      <c r="C1030" s="2">
        <f>IFERROR(__xludf.DUMMYFUNCTION("""COMPUTED_VALUE"""),5925.0)</f>
        <v>5925</v>
      </c>
      <c r="D1030" s="2">
        <f>IFERROR(__xludf.DUMMYFUNCTION("""COMPUTED_VALUE"""),5825.0)</f>
        <v>5825</v>
      </c>
      <c r="E1030" s="2">
        <f>IFERROR(__xludf.DUMMYFUNCTION("""COMPUTED_VALUE"""),5925.0)</f>
        <v>5925</v>
      </c>
      <c r="F1030" s="2">
        <f>IFERROR(__xludf.DUMMYFUNCTION("""COMPUTED_VALUE"""),4.3514E7)</f>
        <v>43514000</v>
      </c>
      <c r="G1030" s="2">
        <f t="shared" si="1"/>
        <v>100</v>
      </c>
    </row>
    <row r="1031" ht="15.75" customHeight="1">
      <c r="A1031" s="1">
        <f>IFERROR(__xludf.DUMMYFUNCTION("""COMPUTED_VALUE"""),45377.66666666667)</f>
        <v>45377.66667</v>
      </c>
      <c r="B1031" s="2">
        <f>IFERROR(__xludf.DUMMYFUNCTION("""COMPUTED_VALUE"""),5950.0)</f>
        <v>5950</v>
      </c>
      <c r="C1031" s="2">
        <f>IFERROR(__xludf.DUMMYFUNCTION("""COMPUTED_VALUE"""),5950.0)</f>
        <v>5950</v>
      </c>
      <c r="D1031" s="2">
        <f>IFERROR(__xludf.DUMMYFUNCTION("""COMPUTED_VALUE"""),5850.0)</f>
        <v>5850</v>
      </c>
      <c r="E1031" s="2">
        <f>IFERROR(__xludf.DUMMYFUNCTION("""COMPUTED_VALUE"""),5950.0)</f>
        <v>5950</v>
      </c>
      <c r="F1031" s="2">
        <f>IFERROR(__xludf.DUMMYFUNCTION("""COMPUTED_VALUE"""),2.93839E7)</f>
        <v>29383900</v>
      </c>
      <c r="G1031" s="2">
        <f t="shared" si="1"/>
        <v>100</v>
      </c>
    </row>
    <row r="1032" ht="15.75" customHeight="1">
      <c r="A1032" s="1">
        <f>IFERROR(__xludf.DUMMYFUNCTION("""COMPUTED_VALUE"""),45378.66666666667)</f>
        <v>45378.66667</v>
      </c>
      <c r="B1032" s="2">
        <f>IFERROR(__xludf.DUMMYFUNCTION("""COMPUTED_VALUE"""),5950.0)</f>
        <v>5950</v>
      </c>
      <c r="C1032" s="2">
        <f>IFERROR(__xludf.DUMMYFUNCTION("""COMPUTED_VALUE"""),5975.0)</f>
        <v>5975</v>
      </c>
      <c r="D1032" s="2">
        <f>IFERROR(__xludf.DUMMYFUNCTION("""COMPUTED_VALUE"""),5900.0)</f>
        <v>5900</v>
      </c>
      <c r="E1032" s="2">
        <f>IFERROR(__xludf.DUMMYFUNCTION("""COMPUTED_VALUE"""),5925.0)</f>
        <v>5925</v>
      </c>
      <c r="F1032" s="2">
        <f>IFERROR(__xludf.DUMMYFUNCTION("""COMPUTED_VALUE"""),1.96432E7)</f>
        <v>19643200</v>
      </c>
      <c r="G1032" s="2">
        <f t="shared" si="1"/>
        <v>75</v>
      </c>
    </row>
    <row r="1033" ht="15.75" customHeight="1">
      <c r="A1033" s="1">
        <f>IFERROR(__xludf.DUMMYFUNCTION("""COMPUTED_VALUE"""),45379.66666666667)</f>
        <v>45379.66667</v>
      </c>
      <c r="B1033" s="2">
        <f>IFERROR(__xludf.DUMMYFUNCTION("""COMPUTED_VALUE"""),5950.0)</f>
        <v>5950</v>
      </c>
      <c r="C1033" s="2">
        <f>IFERROR(__xludf.DUMMYFUNCTION("""COMPUTED_VALUE"""),5950.0)</f>
        <v>5950</v>
      </c>
      <c r="D1033" s="2">
        <f>IFERROR(__xludf.DUMMYFUNCTION("""COMPUTED_VALUE"""),5850.0)</f>
        <v>5850</v>
      </c>
      <c r="E1033" s="2">
        <f>IFERROR(__xludf.DUMMYFUNCTION("""COMPUTED_VALUE"""),5900.0)</f>
        <v>5900</v>
      </c>
      <c r="F1033" s="2">
        <f>IFERROR(__xludf.DUMMYFUNCTION("""COMPUTED_VALUE"""),4.00774E7)</f>
        <v>40077400</v>
      </c>
      <c r="G1033" s="2">
        <f t="shared" si="1"/>
        <v>100</v>
      </c>
    </row>
    <row r="1034" ht="15.75" customHeight="1">
      <c r="A1034" s="1">
        <f>IFERROR(__xludf.DUMMYFUNCTION("""COMPUTED_VALUE"""),45383.66666666667)</f>
        <v>45383.66667</v>
      </c>
      <c r="B1034" s="2">
        <f>IFERROR(__xludf.DUMMYFUNCTION("""COMPUTED_VALUE"""),5900.0)</f>
        <v>5900</v>
      </c>
      <c r="C1034" s="2">
        <f>IFERROR(__xludf.DUMMYFUNCTION("""COMPUTED_VALUE"""),5900.0)</f>
        <v>5900</v>
      </c>
      <c r="D1034" s="2">
        <f>IFERROR(__xludf.DUMMYFUNCTION("""COMPUTED_VALUE"""),5550.0)</f>
        <v>5550</v>
      </c>
      <c r="E1034" s="2">
        <f>IFERROR(__xludf.DUMMYFUNCTION("""COMPUTED_VALUE"""),5650.0)</f>
        <v>5650</v>
      </c>
      <c r="F1034" s="2">
        <f>IFERROR(__xludf.DUMMYFUNCTION("""COMPUTED_VALUE"""),1.001744E8)</f>
        <v>100174400</v>
      </c>
      <c r="G1034" s="2">
        <f t="shared" si="1"/>
        <v>350</v>
      </c>
    </row>
    <row r="1035" ht="15.75" customHeight="1">
      <c r="A1035" s="1">
        <f>IFERROR(__xludf.DUMMYFUNCTION("""COMPUTED_VALUE"""),45384.66666666667)</f>
        <v>45384.66667</v>
      </c>
      <c r="B1035" s="2">
        <f>IFERROR(__xludf.DUMMYFUNCTION("""COMPUTED_VALUE"""),5625.0)</f>
        <v>5625</v>
      </c>
      <c r="C1035" s="2">
        <f>IFERROR(__xludf.DUMMYFUNCTION("""COMPUTED_VALUE"""),5625.0)</f>
        <v>5625</v>
      </c>
      <c r="D1035" s="2">
        <f>IFERROR(__xludf.DUMMYFUNCTION("""COMPUTED_VALUE"""),5425.0)</f>
        <v>5425</v>
      </c>
      <c r="E1035" s="2">
        <f>IFERROR(__xludf.DUMMYFUNCTION("""COMPUTED_VALUE"""),5475.0)</f>
        <v>5475</v>
      </c>
      <c r="F1035" s="2">
        <f>IFERROR(__xludf.DUMMYFUNCTION("""COMPUTED_VALUE"""),1.211646E8)</f>
        <v>121164600</v>
      </c>
      <c r="G1035" s="2">
        <f t="shared" si="1"/>
        <v>225</v>
      </c>
    </row>
    <row r="1036" ht="15.75" customHeight="1">
      <c r="A1036" s="1">
        <f>IFERROR(__xludf.DUMMYFUNCTION("""COMPUTED_VALUE"""),45385.66666666667)</f>
        <v>45385.66667</v>
      </c>
      <c r="B1036" s="2">
        <f>IFERROR(__xludf.DUMMYFUNCTION("""COMPUTED_VALUE"""),5450.0)</f>
        <v>5450</v>
      </c>
      <c r="C1036" s="2">
        <f>IFERROR(__xludf.DUMMYFUNCTION("""COMPUTED_VALUE"""),5525.0)</f>
        <v>5525</v>
      </c>
      <c r="D1036" s="2">
        <f>IFERROR(__xludf.DUMMYFUNCTION("""COMPUTED_VALUE"""),5225.0)</f>
        <v>5225</v>
      </c>
      <c r="E1036" s="2">
        <f>IFERROR(__xludf.DUMMYFUNCTION("""COMPUTED_VALUE"""),5325.0)</f>
        <v>5325</v>
      </c>
      <c r="F1036" s="2">
        <f>IFERROR(__xludf.DUMMYFUNCTION("""COMPUTED_VALUE"""),1.269945E8)</f>
        <v>126994500</v>
      </c>
      <c r="G1036" s="2">
        <f t="shared" si="1"/>
        <v>300</v>
      </c>
    </row>
    <row r="1037" ht="15.75" customHeight="1">
      <c r="A1037" s="1">
        <f>IFERROR(__xludf.DUMMYFUNCTION("""COMPUTED_VALUE"""),45386.66666666667)</f>
        <v>45386.66667</v>
      </c>
      <c r="B1037" s="2">
        <f>IFERROR(__xludf.DUMMYFUNCTION("""COMPUTED_VALUE"""),5250.0)</f>
        <v>5250</v>
      </c>
      <c r="C1037" s="2">
        <f>IFERROR(__xludf.DUMMYFUNCTION("""COMPUTED_VALUE"""),5375.0)</f>
        <v>5375</v>
      </c>
      <c r="D1037" s="2">
        <f>IFERROR(__xludf.DUMMYFUNCTION("""COMPUTED_VALUE"""),5250.0)</f>
        <v>5250</v>
      </c>
      <c r="E1037" s="2">
        <f>IFERROR(__xludf.DUMMYFUNCTION("""COMPUTED_VALUE"""),5350.0)</f>
        <v>5350</v>
      </c>
      <c r="F1037" s="2">
        <f>IFERROR(__xludf.DUMMYFUNCTION("""COMPUTED_VALUE"""),1.631131E8)</f>
        <v>163113100</v>
      </c>
      <c r="G1037" s="2">
        <f t="shared" si="1"/>
        <v>125</v>
      </c>
    </row>
    <row r="1038" ht="15.75" customHeight="1">
      <c r="A1038" s="1">
        <f>IFERROR(__xludf.DUMMYFUNCTION("""COMPUTED_VALUE"""),45387.66666666667)</f>
        <v>45387.66667</v>
      </c>
      <c r="B1038" s="2">
        <f>IFERROR(__xludf.DUMMYFUNCTION("""COMPUTED_VALUE"""),5325.0)</f>
        <v>5325</v>
      </c>
      <c r="C1038" s="2">
        <f>IFERROR(__xludf.DUMMYFUNCTION("""COMPUTED_VALUE"""),5375.0)</f>
        <v>5375</v>
      </c>
      <c r="D1038" s="2">
        <f>IFERROR(__xludf.DUMMYFUNCTION("""COMPUTED_VALUE"""),5300.0)</f>
        <v>5300</v>
      </c>
      <c r="E1038" s="2">
        <f>IFERROR(__xludf.DUMMYFUNCTION("""COMPUTED_VALUE"""),5300.0)</f>
        <v>5300</v>
      </c>
      <c r="F1038" s="2">
        <f>IFERROR(__xludf.DUMMYFUNCTION("""COMPUTED_VALUE"""),3.68182E7)</f>
        <v>36818200</v>
      </c>
      <c r="G1038" s="2">
        <f t="shared" si="1"/>
        <v>75</v>
      </c>
    </row>
    <row r="1039" ht="15.75" customHeight="1">
      <c r="A1039" s="1">
        <f>IFERROR(__xludf.DUMMYFUNCTION("""COMPUTED_VALUE"""),45398.66666666667)</f>
        <v>45398.66667</v>
      </c>
      <c r="B1039" s="2">
        <f>IFERROR(__xludf.DUMMYFUNCTION("""COMPUTED_VALUE"""),5075.0)</f>
        <v>5075</v>
      </c>
      <c r="C1039" s="2">
        <f>IFERROR(__xludf.DUMMYFUNCTION("""COMPUTED_VALUE"""),5300.0)</f>
        <v>5300</v>
      </c>
      <c r="D1039" s="2">
        <f>IFERROR(__xludf.DUMMYFUNCTION("""COMPUTED_VALUE"""),5050.0)</f>
        <v>5050</v>
      </c>
      <c r="E1039" s="2">
        <f>IFERROR(__xludf.DUMMYFUNCTION("""COMPUTED_VALUE"""),5200.0)</f>
        <v>5200</v>
      </c>
      <c r="F1039" s="2">
        <f>IFERROR(__xludf.DUMMYFUNCTION("""COMPUTED_VALUE"""),1.641236E8)</f>
        <v>164123600</v>
      </c>
      <c r="G1039" s="2">
        <f t="shared" si="1"/>
        <v>250</v>
      </c>
    </row>
    <row r="1040" ht="15.75" customHeight="1">
      <c r="A1040" s="1">
        <f>IFERROR(__xludf.DUMMYFUNCTION("""COMPUTED_VALUE"""),45399.66666666667)</f>
        <v>45399.66667</v>
      </c>
      <c r="B1040" s="2">
        <f>IFERROR(__xludf.DUMMYFUNCTION("""COMPUTED_VALUE"""),5250.0)</f>
        <v>5250</v>
      </c>
      <c r="C1040" s="2">
        <f>IFERROR(__xludf.DUMMYFUNCTION("""COMPUTED_VALUE"""),5350.0)</f>
        <v>5350</v>
      </c>
      <c r="D1040" s="2">
        <f>IFERROR(__xludf.DUMMYFUNCTION("""COMPUTED_VALUE"""),5250.0)</f>
        <v>5250</v>
      </c>
      <c r="E1040" s="2">
        <f>IFERROR(__xludf.DUMMYFUNCTION("""COMPUTED_VALUE"""),5250.0)</f>
        <v>5250</v>
      </c>
      <c r="F1040" s="2">
        <f>IFERROR(__xludf.DUMMYFUNCTION("""COMPUTED_VALUE"""),6.8948E7)</f>
        <v>68948000</v>
      </c>
      <c r="G1040" s="2">
        <f t="shared" si="1"/>
        <v>150</v>
      </c>
    </row>
    <row r="1041" ht="15.75" customHeight="1">
      <c r="A1041" s="1">
        <f>IFERROR(__xludf.DUMMYFUNCTION("""COMPUTED_VALUE"""),45400.66666666667)</f>
        <v>45400.66667</v>
      </c>
      <c r="B1041" s="2">
        <f>IFERROR(__xludf.DUMMYFUNCTION("""COMPUTED_VALUE"""),5250.0)</f>
        <v>5250</v>
      </c>
      <c r="C1041" s="2">
        <f>IFERROR(__xludf.DUMMYFUNCTION("""COMPUTED_VALUE"""),5350.0)</f>
        <v>5350</v>
      </c>
      <c r="D1041" s="2">
        <f>IFERROR(__xludf.DUMMYFUNCTION("""COMPUTED_VALUE"""),5250.0)</f>
        <v>5250</v>
      </c>
      <c r="E1041" s="2">
        <f>IFERROR(__xludf.DUMMYFUNCTION("""COMPUTED_VALUE"""),5300.0)</f>
        <v>5300</v>
      </c>
      <c r="F1041" s="2">
        <f>IFERROR(__xludf.DUMMYFUNCTION("""COMPUTED_VALUE"""),5.77859E7)</f>
        <v>57785900</v>
      </c>
      <c r="G1041" s="2">
        <f t="shared" si="1"/>
        <v>100</v>
      </c>
    </row>
    <row r="1042" ht="15.75" customHeight="1">
      <c r="A1042" s="1">
        <f>IFERROR(__xludf.DUMMYFUNCTION("""COMPUTED_VALUE"""),45401.66666666667)</f>
        <v>45401.66667</v>
      </c>
      <c r="B1042" s="2">
        <f>IFERROR(__xludf.DUMMYFUNCTION("""COMPUTED_VALUE"""),5250.0)</f>
        <v>5250</v>
      </c>
      <c r="C1042" s="2">
        <f>IFERROR(__xludf.DUMMYFUNCTION("""COMPUTED_VALUE"""),5275.0)</f>
        <v>5275</v>
      </c>
      <c r="D1042" s="2">
        <f>IFERROR(__xludf.DUMMYFUNCTION("""COMPUTED_VALUE"""),5175.0)</f>
        <v>5175</v>
      </c>
      <c r="E1042" s="2">
        <f>IFERROR(__xludf.DUMMYFUNCTION("""COMPUTED_VALUE"""),5225.0)</f>
        <v>5225</v>
      </c>
      <c r="F1042" s="2">
        <f>IFERROR(__xludf.DUMMYFUNCTION("""COMPUTED_VALUE"""),5.25193E7)</f>
        <v>52519300</v>
      </c>
      <c r="G1042" s="2">
        <f t="shared" si="1"/>
        <v>125</v>
      </c>
    </row>
    <row r="1043" ht="15.75" customHeight="1">
      <c r="A1043" s="1">
        <f>IFERROR(__xludf.DUMMYFUNCTION("""COMPUTED_VALUE"""),45404.66666666667)</f>
        <v>45404.66667</v>
      </c>
      <c r="B1043" s="2">
        <f>IFERROR(__xludf.DUMMYFUNCTION("""COMPUTED_VALUE"""),5250.0)</f>
        <v>5250</v>
      </c>
      <c r="C1043" s="2">
        <f>IFERROR(__xludf.DUMMYFUNCTION("""COMPUTED_VALUE"""),5350.0)</f>
        <v>5350</v>
      </c>
      <c r="D1043" s="2">
        <f>IFERROR(__xludf.DUMMYFUNCTION("""COMPUTED_VALUE"""),5150.0)</f>
        <v>5150</v>
      </c>
      <c r="E1043" s="2">
        <f>IFERROR(__xludf.DUMMYFUNCTION("""COMPUTED_VALUE"""),5350.0)</f>
        <v>5350</v>
      </c>
      <c r="F1043" s="2">
        <f>IFERROR(__xludf.DUMMYFUNCTION("""COMPUTED_VALUE"""),6.25093E7)</f>
        <v>62509300</v>
      </c>
      <c r="G1043" s="2">
        <f t="shared" si="1"/>
        <v>200</v>
      </c>
    </row>
    <row r="1044" ht="15.75" customHeight="1">
      <c r="A1044" s="1">
        <f>IFERROR(__xludf.DUMMYFUNCTION("""COMPUTED_VALUE"""),45405.66666666667)</f>
        <v>45405.66667</v>
      </c>
      <c r="B1044" s="2">
        <f>IFERROR(__xludf.DUMMYFUNCTION("""COMPUTED_VALUE"""),5375.0)</f>
        <v>5375</v>
      </c>
      <c r="C1044" s="2">
        <f>IFERROR(__xludf.DUMMYFUNCTION("""COMPUTED_VALUE"""),5425.0)</f>
        <v>5425</v>
      </c>
      <c r="D1044" s="2">
        <f>IFERROR(__xludf.DUMMYFUNCTION("""COMPUTED_VALUE"""),5250.0)</f>
        <v>5250</v>
      </c>
      <c r="E1044" s="2">
        <f>IFERROR(__xludf.DUMMYFUNCTION("""COMPUTED_VALUE"""),5250.0)</f>
        <v>5250</v>
      </c>
      <c r="F1044" s="2">
        <f>IFERROR(__xludf.DUMMYFUNCTION("""COMPUTED_VALUE"""),4.53227E7)</f>
        <v>45322700</v>
      </c>
      <c r="G1044" s="2">
        <f t="shared" si="1"/>
        <v>175</v>
      </c>
    </row>
    <row r="1045" ht="15.75" customHeight="1">
      <c r="A1045" s="1">
        <f>IFERROR(__xludf.DUMMYFUNCTION("""COMPUTED_VALUE"""),45406.66666666667)</f>
        <v>45406.66667</v>
      </c>
      <c r="B1045" s="2">
        <f>IFERROR(__xludf.DUMMYFUNCTION("""COMPUTED_VALUE"""),5300.0)</f>
        <v>5300</v>
      </c>
      <c r="C1045" s="2">
        <f>IFERROR(__xludf.DUMMYFUNCTION("""COMPUTED_VALUE"""),5350.0)</f>
        <v>5350</v>
      </c>
      <c r="D1045" s="2">
        <f>IFERROR(__xludf.DUMMYFUNCTION("""COMPUTED_VALUE"""),5200.0)</f>
        <v>5200</v>
      </c>
      <c r="E1045" s="2">
        <f>IFERROR(__xludf.DUMMYFUNCTION("""COMPUTED_VALUE"""),5300.0)</f>
        <v>5300</v>
      </c>
      <c r="F1045" s="2">
        <f>IFERROR(__xludf.DUMMYFUNCTION("""COMPUTED_VALUE"""),4.47712E7)</f>
        <v>44771200</v>
      </c>
      <c r="G1045" s="2">
        <f t="shared" si="1"/>
        <v>150</v>
      </c>
    </row>
    <row r="1046" ht="15.75" customHeight="1">
      <c r="A1046" s="1">
        <f>IFERROR(__xludf.DUMMYFUNCTION("""COMPUTED_VALUE"""),45407.66666666667)</f>
        <v>45407.66667</v>
      </c>
      <c r="B1046" s="2">
        <f>IFERROR(__xludf.DUMMYFUNCTION("""COMPUTED_VALUE"""),5300.0)</f>
        <v>5300</v>
      </c>
      <c r="C1046" s="2">
        <f>IFERROR(__xludf.DUMMYFUNCTION("""COMPUTED_VALUE"""),5325.0)</f>
        <v>5325</v>
      </c>
      <c r="D1046" s="2">
        <f>IFERROR(__xludf.DUMMYFUNCTION("""COMPUTED_VALUE"""),5225.0)</f>
        <v>5225</v>
      </c>
      <c r="E1046" s="2">
        <f>IFERROR(__xludf.DUMMYFUNCTION("""COMPUTED_VALUE"""),5300.0)</f>
        <v>5300</v>
      </c>
      <c r="F1046" s="2">
        <f>IFERROR(__xludf.DUMMYFUNCTION("""COMPUTED_VALUE"""),3.59223E7)</f>
        <v>35922300</v>
      </c>
      <c r="G1046" s="2">
        <f t="shared" si="1"/>
        <v>100</v>
      </c>
    </row>
    <row r="1047" ht="15.75" customHeight="1">
      <c r="A1047" s="1">
        <f>IFERROR(__xludf.DUMMYFUNCTION("""COMPUTED_VALUE"""),45408.66666666667)</f>
        <v>45408.66667</v>
      </c>
      <c r="B1047" s="2">
        <f>IFERROR(__xludf.DUMMYFUNCTION("""COMPUTED_VALUE"""),5200.0)</f>
        <v>5200</v>
      </c>
      <c r="C1047" s="2">
        <f>IFERROR(__xludf.DUMMYFUNCTION("""COMPUTED_VALUE"""),5275.0)</f>
        <v>5275</v>
      </c>
      <c r="D1047" s="2">
        <f>IFERROR(__xludf.DUMMYFUNCTION("""COMPUTED_VALUE"""),5100.0)</f>
        <v>5100</v>
      </c>
      <c r="E1047" s="2">
        <f>IFERROR(__xludf.DUMMYFUNCTION("""COMPUTED_VALUE"""),5150.0)</f>
        <v>5150</v>
      </c>
      <c r="F1047" s="2">
        <f>IFERROR(__xludf.DUMMYFUNCTION("""COMPUTED_VALUE"""),8.04824E7)</f>
        <v>80482400</v>
      </c>
      <c r="G1047" s="2">
        <f t="shared" si="1"/>
        <v>200</v>
      </c>
    </row>
    <row r="1048" ht="15.75" customHeight="1">
      <c r="A1048" s="1">
        <f>IFERROR(__xludf.DUMMYFUNCTION("""COMPUTED_VALUE"""),45411.66666666667)</f>
        <v>45411.66667</v>
      </c>
      <c r="B1048" s="2">
        <f>IFERROR(__xludf.DUMMYFUNCTION("""COMPUTED_VALUE"""),5125.0)</f>
        <v>5125</v>
      </c>
      <c r="C1048" s="2">
        <f>IFERROR(__xludf.DUMMYFUNCTION("""COMPUTED_VALUE"""),5225.0)</f>
        <v>5225</v>
      </c>
      <c r="D1048" s="2">
        <f>IFERROR(__xludf.DUMMYFUNCTION("""COMPUTED_VALUE"""),5050.0)</f>
        <v>5050</v>
      </c>
      <c r="E1048" s="2">
        <f>IFERROR(__xludf.DUMMYFUNCTION("""COMPUTED_VALUE"""),5225.0)</f>
        <v>5225</v>
      </c>
      <c r="F1048" s="2">
        <f>IFERROR(__xludf.DUMMYFUNCTION("""COMPUTED_VALUE"""),4.10686E7)</f>
        <v>41068600</v>
      </c>
      <c r="G1048" s="2">
        <f t="shared" si="1"/>
        <v>175</v>
      </c>
    </row>
    <row r="1049" ht="15.75" customHeight="1">
      <c r="A1049" s="1">
        <f>IFERROR(__xludf.DUMMYFUNCTION("""COMPUTED_VALUE"""),45412.66666666667)</f>
        <v>45412.66667</v>
      </c>
      <c r="B1049" s="2">
        <f>IFERROR(__xludf.DUMMYFUNCTION("""COMPUTED_VALUE"""),5325.0)</f>
        <v>5325</v>
      </c>
      <c r="C1049" s="2">
        <f>IFERROR(__xludf.DUMMYFUNCTION("""COMPUTED_VALUE"""),5350.0)</f>
        <v>5350</v>
      </c>
      <c r="D1049" s="2">
        <f>IFERROR(__xludf.DUMMYFUNCTION("""COMPUTED_VALUE"""),5225.0)</f>
        <v>5225</v>
      </c>
      <c r="E1049" s="2">
        <f>IFERROR(__xludf.DUMMYFUNCTION("""COMPUTED_VALUE"""),5250.0)</f>
        <v>5250</v>
      </c>
      <c r="F1049" s="2">
        <f>IFERROR(__xludf.DUMMYFUNCTION("""COMPUTED_VALUE"""),7.36585E7)</f>
        <v>73658500</v>
      </c>
      <c r="G1049" s="2">
        <f t="shared" si="1"/>
        <v>125</v>
      </c>
    </row>
    <row r="1050" ht="15.75" customHeight="1">
      <c r="A1050" s="1">
        <f>IFERROR(__xludf.DUMMYFUNCTION("""COMPUTED_VALUE"""),45414.66666666667)</f>
        <v>45414.66667</v>
      </c>
      <c r="B1050" s="2">
        <f>IFERROR(__xludf.DUMMYFUNCTION("""COMPUTED_VALUE"""),5200.0)</f>
        <v>5200</v>
      </c>
      <c r="C1050" s="2">
        <f>IFERROR(__xludf.DUMMYFUNCTION("""COMPUTED_VALUE"""),5250.0)</f>
        <v>5250</v>
      </c>
      <c r="D1050" s="2">
        <f>IFERROR(__xludf.DUMMYFUNCTION("""COMPUTED_VALUE"""),4810.0)</f>
        <v>4810</v>
      </c>
      <c r="E1050" s="2">
        <f>IFERROR(__xludf.DUMMYFUNCTION("""COMPUTED_VALUE"""),4830.0)</f>
        <v>4830</v>
      </c>
      <c r="F1050" s="2">
        <f>IFERROR(__xludf.DUMMYFUNCTION("""COMPUTED_VALUE"""),1.834583E8)</f>
        <v>183458300</v>
      </c>
      <c r="G1050" s="2">
        <f t="shared" si="1"/>
        <v>440</v>
      </c>
    </row>
    <row r="1051" ht="15.75" customHeight="1">
      <c r="A1051" s="1">
        <f>IFERROR(__xludf.DUMMYFUNCTION("""COMPUTED_VALUE"""),45415.66666666667)</f>
        <v>45415.66667</v>
      </c>
      <c r="B1051" s="2">
        <f>IFERROR(__xludf.DUMMYFUNCTION("""COMPUTED_VALUE"""),4850.0)</f>
        <v>4850</v>
      </c>
      <c r="C1051" s="2">
        <f>IFERROR(__xludf.DUMMYFUNCTION("""COMPUTED_VALUE"""),4880.0)</f>
        <v>4880</v>
      </c>
      <c r="D1051" s="2">
        <f>IFERROR(__xludf.DUMMYFUNCTION("""COMPUTED_VALUE"""),4750.0)</f>
        <v>4750</v>
      </c>
      <c r="E1051" s="2">
        <f>IFERROR(__xludf.DUMMYFUNCTION("""COMPUTED_VALUE"""),4830.0)</f>
        <v>4830</v>
      </c>
      <c r="F1051" s="2">
        <f>IFERROR(__xludf.DUMMYFUNCTION("""COMPUTED_VALUE"""),8.90584E7)</f>
        <v>89058400</v>
      </c>
      <c r="G1051" s="2">
        <f t="shared" si="1"/>
        <v>130</v>
      </c>
    </row>
    <row r="1052" ht="15.75" customHeight="1">
      <c r="A1052" s="1">
        <f>IFERROR(__xludf.DUMMYFUNCTION("""COMPUTED_VALUE"""),45418.66666666667)</f>
        <v>45418.66667</v>
      </c>
      <c r="B1052" s="2">
        <f>IFERROR(__xludf.DUMMYFUNCTION("""COMPUTED_VALUE"""),4880.0)</f>
        <v>4880</v>
      </c>
      <c r="C1052" s="2">
        <f>IFERROR(__xludf.DUMMYFUNCTION("""COMPUTED_VALUE"""),4890.0)</f>
        <v>4890</v>
      </c>
      <c r="D1052" s="2">
        <f>IFERROR(__xludf.DUMMYFUNCTION("""COMPUTED_VALUE"""),4800.0)</f>
        <v>4800</v>
      </c>
      <c r="E1052" s="2">
        <f>IFERROR(__xludf.DUMMYFUNCTION("""COMPUTED_VALUE"""),4810.0)</f>
        <v>4810</v>
      </c>
      <c r="F1052" s="2">
        <f>IFERROR(__xludf.DUMMYFUNCTION("""COMPUTED_VALUE"""),8.1862E7)</f>
        <v>81862000</v>
      </c>
      <c r="G1052" s="2">
        <f t="shared" si="1"/>
        <v>90</v>
      </c>
    </row>
    <row r="1053" ht="15.75" customHeight="1">
      <c r="A1053" s="1">
        <f>IFERROR(__xludf.DUMMYFUNCTION("""COMPUTED_VALUE"""),45419.66666666667)</f>
        <v>45419.66667</v>
      </c>
      <c r="B1053" s="2">
        <f>IFERROR(__xludf.DUMMYFUNCTION("""COMPUTED_VALUE"""),4790.0)</f>
        <v>4790</v>
      </c>
      <c r="C1053" s="2">
        <f>IFERROR(__xludf.DUMMYFUNCTION("""COMPUTED_VALUE"""),4810.0)</f>
        <v>4810</v>
      </c>
      <c r="D1053" s="2">
        <f>IFERROR(__xludf.DUMMYFUNCTION("""COMPUTED_VALUE"""),4680.0)</f>
        <v>4680</v>
      </c>
      <c r="E1053" s="2">
        <f>IFERROR(__xludf.DUMMYFUNCTION("""COMPUTED_VALUE"""),4700.0)</f>
        <v>4700</v>
      </c>
      <c r="F1053" s="2">
        <f>IFERROR(__xludf.DUMMYFUNCTION("""COMPUTED_VALUE"""),8.25808E7)</f>
        <v>82580800</v>
      </c>
      <c r="G1053" s="2">
        <f t="shared" si="1"/>
        <v>130</v>
      </c>
    </row>
    <row r="1054" ht="15.75" customHeight="1">
      <c r="A1054" s="1">
        <f>IFERROR(__xludf.DUMMYFUNCTION("""COMPUTED_VALUE"""),45420.66666666667)</f>
        <v>45420.66667</v>
      </c>
      <c r="B1054" s="2">
        <f>IFERROR(__xludf.DUMMYFUNCTION("""COMPUTED_VALUE"""),4680.0)</f>
        <v>4680</v>
      </c>
      <c r="C1054" s="2">
        <f>IFERROR(__xludf.DUMMYFUNCTION("""COMPUTED_VALUE"""),4770.0)</f>
        <v>4770</v>
      </c>
      <c r="D1054" s="2">
        <f>IFERROR(__xludf.DUMMYFUNCTION("""COMPUTED_VALUE"""),4620.0)</f>
        <v>4620</v>
      </c>
      <c r="E1054" s="2">
        <f>IFERROR(__xludf.DUMMYFUNCTION("""COMPUTED_VALUE"""),4670.0)</f>
        <v>4670</v>
      </c>
      <c r="F1054" s="2">
        <f>IFERROR(__xludf.DUMMYFUNCTION("""COMPUTED_VALUE"""),5.85483E7)</f>
        <v>58548300</v>
      </c>
      <c r="G1054" s="2">
        <f t="shared" si="1"/>
        <v>150</v>
      </c>
    </row>
    <row r="1055" ht="15.75" customHeight="1">
      <c r="A1055" s="1">
        <f>IFERROR(__xludf.DUMMYFUNCTION("""COMPUTED_VALUE"""),45425.66666666667)</f>
        <v>45425.66667</v>
      </c>
      <c r="B1055" s="2">
        <f>IFERROR(__xludf.DUMMYFUNCTION("""COMPUTED_VALUE"""),4600.0)</f>
        <v>4600</v>
      </c>
      <c r="C1055" s="2">
        <f>IFERROR(__xludf.DUMMYFUNCTION("""COMPUTED_VALUE"""),4780.0)</f>
        <v>4780</v>
      </c>
      <c r="D1055" s="2">
        <f>IFERROR(__xludf.DUMMYFUNCTION("""COMPUTED_VALUE"""),4600.0)</f>
        <v>4600</v>
      </c>
      <c r="E1055" s="2">
        <f>IFERROR(__xludf.DUMMYFUNCTION("""COMPUTED_VALUE"""),4780.0)</f>
        <v>4780</v>
      </c>
      <c r="F1055" s="2">
        <f>IFERROR(__xludf.DUMMYFUNCTION("""COMPUTED_VALUE"""),5.43296E7)</f>
        <v>54329600</v>
      </c>
      <c r="G1055" s="2">
        <f t="shared" si="1"/>
        <v>180</v>
      </c>
    </row>
    <row r="1056" ht="15.75" customHeight="1">
      <c r="A1056" s="1">
        <f>IFERROR(__xludf.DUMMYFUNCTION("""COMPUTED_VALUE"""),45426.66666666667)</f>
        <v>45426.66667</v>
      </c>
      <c r="B1056" s="2">
        <f>IFERROR(__xludf.DUMMYFUNCTION("""COMPUTED_VALUE"""),4790.0)</f>
        <v>4790</v>
      </c>
      <c r="C1056" s="2">
        <f>IFERROR(__xludf.DUMMYFUNCTION("""COMPUTED_VALUE"""),4940.0)</f>
        <v>4940</v>
      </c>
      <c r="D1056" s="2">
        <f>IFERROR(__xludf.DUMMYFUNCTION("""COMPUTED_VALUE"""),4780.0)</f>
        <v>4780</v>
      </c>
      <c r="E1056" s="2">
        <f>IFERROR(__xludf.DUMMYFUNCTION("""COMPUTED_VALUE"""),4930.0)</f>
        <v>4930</v>
      </c>
      <c r="F1056" s="2">
        <f>IFERROR(__xludf.DUMMYFUNCTION("""COMPUTED_VALUE"""),7.00149E7)</f>
        <v>70014900</v>
      </c>
      <c r="G1056" s="2">
        <f t="shared" si="1"/>
        <v>160</v>
      </c>
    </row>
    <row r="1057" ht="15.75" customHeight="1">
      <c r="A1057" s="1">
        <f>IFERROR(__xludf.DUMMYFUNCTION("""COMPUTED_VALUE"""),45427.66666666667)</f>
        <v>45427.66667</v>
      </c>
      <c r="B1057" s="2">
        <f>IFERROR(__xludf.DUMMYFUNCTION("""COMPUTED_VALUE"""),4880.0)</f>
        <v>4880</v>
      </c>
      <c r="C1057" s="2">
        <f>IFERROR(__xludf.DUMMYFUNCTION("""COMPUTED_VALUE"""),5100.0)</f>
        <v>5100</v>
      </c>
      <c r="D1057" s="2">
        <f>IFERROR(__xludf.DUMMYFUNCTION("""COMPUTED_VALUE"""),4850.0)</f>
        <v>4850</v>
      </c>
      <c r="E1057" s="2">
        <f>IFERROR(__xludf.DUMMYFUNCTION("""COMPUTED_VALUE"""),5025.0)</f>
        <v>5025</v>
      </c>
      <c r="F1057" s="2">
        <f>IFERROR(__xludf.DUMMYFUNCTION("""COMPUTED_VALUE"""),8.57307E7)</f>
        <v>85730700</v>
      </c>
      <c r="G1057" s="2">
        <f t="shared" si="1"/>
        <v>250</v>
      </c>
    </row>
    <row r="1058" ht="15.75" customHeight="1">
      <c r="A1058" s="1">
        <f>IFERROR(__xludf.DUMMYFUNCTION("""COMPUTED_VALUE"""),45428.66666666667)</f>
        <v>45428.66667</v>
      </c>
      <c r="B1058" s="2">
        <f>IFERROR(__xludf.DUMMYFUNCTION("""COMPUTED_VALUE"""),5125.0)</f>
        <v>5125</v>
      </c>
      <c r="C1058" s="2">
        <f>IFERROR(__xludf.DUMMYFUNCTION("""COMPUTED_VALUE"""),5275.0)</f>
        <v>5275</v>
      </c>
      <c r="D1058" s="2">
        <f>IFERROR(__xludf.DUMMYFUNCTION("""COMPUTED_VALUE"""),5100.0)</f>
        <v>5100</v>
      </c>
      <c r="E1058" s="2">
        <f>IFERROR(__xludf.DUMMYFUNCTION("""COMPUTED_VALUE"""),5200.0)</f>
        <v>5200</v>
      </c>
      <c r="F1058" s="2">
        <f>IFERROR(__xludf.DUMMYFUNCTION("""COMPUTED_VALUE"""),1.183824E8)</f>
        <v>118382400</v>
      </c>
      <c r="G1058" s="2">
        <f t="shared" si="1"/>
        <v>250</v>
      </c>
    </row>
    <row r="1059" ht="15.75" customHeight="1">
      <c r="A1059" s="1">
        <f>IFERROR(__xludf.DUMMYFUNCTION("""COMPUTED_VALUE"""),45429.66666666667)</f>
        <v>45429.66667</v>
      </c>
      <c r="B1059" s="2">
        <f>IFERROR(__xludf.DUMMYFUNCTION("""COMPUTED_VALUE"""),5200.0)</f>
        <v>5200</v>
      </c>
      <c r="C1059" s="2">
        <f>IFERROR(__xludf.DUMMYFUNCTION("""COMPUTED_VALUE"""),5275.0)</f>
        <v>5275</v>
      </c>
      <c r="D1059" s="2">
        <f>IFERROR(__xludf.DUMMYFUNCTION("""COMPUTED_VALUE"""),5125.0)</f>
        <v>5125</v>
      </c>
      <c r="E1059" s="2">
        <f>IFERROR(__xludf.DUMMYFUNCTION("""COMPUTED_VALUE"""),5175.0)</f>
        <v>5175</v>
      </c>
      <c r="F1059" s="2">
        <f>IFERROR(__xludf.DUMMYFUNCTION("""COMPUTED_VALUE"""),6.76797E7)</f>
        <v>67679700</v>
      </c>
      <c r="G1059" s="2">
        <f t="shared" si="1"/>
        <v>150</v>
      </c>
    </row>
    <row r="1060" ht="15.75" customHeight="1">
      <c r="A1060" s="1">
        <f>IFERROR(__xludf.DUMMYFUNCTION("""COMPUTED_VALUE"""),45432.66666666667)</f>
        <v>45432.66667</v>
      </c>
      <c r="B1060" s="2">
        <f>IFERROR(__xludf.DUMMYFUNCTION("""COMPUTED_VALUE"""),5200.0)</f>
        <v>5200</v>
      </c>
      <c r="C1060" s="2">
        <f>IFERROR(__xludf.DUMMYFUNCTION("""COMPUTED_VALUE"""),5250.0)</f>
        <v>5250</v>
      </c>
      <c r="D1060" s="2">
        <f>IFERROR(__xludf.DUMMYFUNCTION("""COMPUTED_VALUE"""),4950.0)</f>
        <v>4950</v>
      </c>
      <c r="E1060" s="2">
        <f>IFERROR(__xludf.DUMMYFUNCTION("""COMPUTED_VALUE"""),4980.0)</f>
        <v>4980</v>
      </c>
      <c r="F1060" s="2">
        <f>IFERROR(__xludf.DUMMYFUNCTION("""COMPUTED_VALUE"""),7.66053E7)</f>
        <v>76605300</v>
      </c>
      <c r="G1060" s="2">
        <f t="shared" si="1"/>
        <v>300</v>
      </c>
    </row>
    <row r="1061" ht="15.75" customHeight="1">
      <c r="A1061" s="1">
        <f>IFERROR(__xludf.DUMMYFUNCTION("""COMPUTED_VALUE"""),45433.66666666667)</f>
        <v>45433.66667</v>
      </c>
      <c r="B1061" s="2">
        <f>IFERROR(__xludf.DUMMYFUNCTION("""COMPUTED_VALUE"""),4980.0)</f>
        <v>4980</v>
      </c>
      <c r="C1061" s="2">
        <f>IFERROR(__xludf.DUMMYFUNCTION("""COMPUTED_VALUE"""),4980.0)</f>
        <v>4980</v>
      </c>
      <c r="D1061" s="2">
        <f>IFERROR(__xludf.DUMMYFUNCTION("""COMPUTED_VALUE"""),4760.0)</f>
        <v>4760</v>
      </c>
      <c r="E1061" s="2">
        <f>IFERROR(__xludf.DUMMYFUNCTION("""COMPUTED_VALUE"""),4770.0)</f>
        <v>4770</v>
      </c>
      <c r="F1061" s="2">
        <f>IFERROR(__xludf.DUMMYFUNCTION("""COMPUTED_VALUE"""),8.75017E7)</f>
        <v>87501700</v>
      </c>
      <c r="G1061" s="2">
        <f t="shared" si="1"/>
        <v>220</v>
      </c>
    </row>
    <row r="1062" ht="15.75" customHeight="1">
      <c r="A1062" s="1">
        <f>IFERROR(__xludf.DUMMYFUNCTION("""COMPUTED_VALUE"""),45434.66666666667)</f>
        <v>45434.66667</v>
      </c>
      <c r="B1062" s="2">
        <f>IFERROR(__xludf.DUMMYFUNCTION("""COMPUTED_VALUE"""),4720.0)</f>
        <v>4720</v>
      </c>
      <c r="C1062" s="2">
        <f>IFERROR(__xludf.DUMMYFUNCTION("""COMPUTED_VALUE"""),4800.0)</f>
        <v>4800</v>
      </c>
      <c r="D1062" s="2">
        <f>IFERROR(__xludf.DUMMYFUNCTION("""COMPUTED_VALUE"""),4720.0)</f>
        <v>4720</v>
      </c>
      <c r="E1062" s="2">
        <f>IFERROR(__xludf.DUMMYFUNCTION("""COMPUTED_VALUE"""),4760.0)</f>
        <v>4760</v>
      </c>
      <c r="F1062" s="2">
        <f>IFERROR(__xludf.DUMMYFUNCTION("""COMPUTED_VALUE"""),6.08595E7)</f>
        <v>60859500</v>
      </c>
      <c r="G1062" s="2">
        <f t="shared" si="1"/>
        <v>80</v>
      </c>
    </row>
    <row r="1063" ht="15.75" customHeight="1">
      <c r="A1063" s="1">
        <f>IFERROR(__xludf.DUMMYFUNCTION("""COMPUTED_VALUE"""),45439.66666666667)</f>
        <v>45439.66667</v>
      </c>
      <c r="B1063" s="2">
        <f>IFERROR(__xludf.DUMMYFUNCTION("""COMPUTED_VALUE"""),4770.0)</f>
        <v>4770</v>
      </c>
      <c r="C1063" s="2">
        <f>IFERROR(__xludf.DUMMYFUNCTION("""COMPUTED_VALUE"""),4790.0)</f>
        <v>4790</v>
      </c>
      <c r="D1063" s="2">
        <f>IFERROR(__xludf.DUMMYFUNCTION("""COMPUTED_VALUE"""),4630.0)</f>
        <v>4630</v>
      </c>
      <c r="E1063" s="2">
        <f>IFERROR(__xludf.DUMMYFUNCTION("""COMPUTED_VALUE"""),4670.0)</f>
        <v>4670</v>
      </c>
      <c r="F1063" s="2">
        <f>IFERROR(__xludf.DUMMYFUNCTION("""COMPUTED_VALUE"""),6.04992E7)</f>
        <v>60499200</v>
      </c>
      <c r="G1063" s="2">
        <f t="shared" si="1"/>
        <v>160</v>
      </c>
    </row>
    <row r="1064" ht="15.75" customHeight="1">
      <c r="A1064" s="1">
        <f>IFERROR(__xludf.DUMMYFUNCTION("""COMPUTED_VALUE"""),45440.66666666667)</f>
        <v>45440.66667</v>
      </c>
      <c r="B1064" s="2">
        <f>IFERROR(__xludf.DUMMYFUNCTION("""COMPUTED_VALUE"""),4700.0)</f>
        <v>4700</v>
      </c>
      <c r="C1064" s="2">
        <f>IFERROR(__xludf.DUMMYFUNCTION("""COMPUTED_VALUE"""),4790.0)</f>
        <v>4790</v>
      </c>
      <c r="D1064" s="2">
        <f>IFERROR(__xludf.DUMMYFUNCTION("""COMPUTED_VALUE"""),4690.0)</f>
        <v>4690</v>
      </c>
      <c r="E1064" s="2">
        <f>IFERROR(__xludf.DUMMYFUNCTION("""COMPUTED_VALUE"""),4710.0)</f>
        <v>4710</v>
      </c>
      <c r="F1064" s="2">
        <f>IFERROR(__xludf.DUMMYFUNCTION("""COMPUTED_VALUE"""),2.57996E7)</f>
        <v>25799600</v>
      </c>
      <c r="G1064" s="2">
        <f t="shared" si="1"/>
        <v>120</v>
      </c>
    </row>
    <row r="1065" ht="15.75" customHeight="1">
      <c r="A1065" s="1">
        <f>IFERROR(__xludf.DUMMYFUNCTION("""COMPUTED_VALUE"""),45441.66666666667)</f>
        <v>45441.66667</v>
      </c>
      <c r="B1065" s="2">
        <f>IFERROR(__xludf.DUMMYFUNCTION("""COMPUTED_VALUE"""),4680.0)</f>
        <v>4680</v>
      </c>
      <c r="C1065" s="2">
        <f>IFERROR(__xludf.DUMMYFUNCTION("""COMPUTED_VALUE"""),4690.0)</f>
        <v>4690</v>
      </c>
      <c r="D1065" s="2">
        <f>IFERROR(__xludf.DUMMYFUNCTION("""COMPUTED_VALUE"""),4500.0)</f>
        <v>4500</v>
      </c>
      <c r="E1065" s="2">
        <f>IFERROR(__xludf.DUMMYFUNCTION("""COMPUTED_VALUE"""),4530.0)</f>
        <v>4530</v>
      </c>
      <c r="F1065" s="2">
        <f>IFERROR(__xludf.DUMMYFUNCTION("""COMPUTED_VALUE"""),1.118302E8)</f>
        <v>111830200</v>
      </c>
      <c r="G1065" s="2">
        <f t="shared" si="1"/>
        <v>210</v>
      </c>
    </row>
    <row r="1066" ht="15.75" customHeight="1">
      <c r="A1066" s="1">
        <f>IFERROR(__xludf.DUMMYFUNCTION("""COMPUTED_VALUE"""),45442.66666666667)</f>
        <v>45442.66667</v>
      </c>
      <c r="B1066" s="2">
        <f>IFERROR(__xludf.DUMMYFUNCTION("""COMPUTED_VALUE"""),4500.0)</f>
        <v>4500</v>
      </c>
      <c r="C1066" s="2">
        <f>IFERROR(__xludf.DUMMYFUNCTION("""COMPUTED_VALUE"""),4560.0)</f>
        <v>4560</v>
      </c>
      <c r="D1066" s="2">
        <f>IFERROR(__xludf.DUMMYFUNCTION("""COMPUTED_VALUE"""),4370.0)</f>
        <v>4370</v>
      </c>
      <c r="E1066" s="2">
        <f>IFERROR(__xludf.DUMMYFUNCTION("""COMPUTED_VALUE"""),4490.0)</f>
        <v>4490</v>
      </c>
      <c r="F1066" s="2">
        <f>IFERROR(__xludf.DUMMYFUNCTION("""COMPUTED_VALUE"""),8.16087E7)</f>
        <v>81608700</v>
      </c>
      <c r="G1066" s="2">
        <f t="shared" si="1"/>
        <v>190</v>
      </c>
    </row>
    <row r="1067" ht="15.75" customHeight="1">
      <c r="A1067" s="1">
        <f>IFERROR(__xludf.DUMMYFUNCTION("""COMPUTED_VALUE"""),45443.66666666667)</f>
        <v>45443.66667</v>
      </c>
      <c r="B1067" s="2">
        <f>IFERROR(__xludf.DUMMYFUNCTION("""COMPUTED_VALUE"""),4540.0)</f>
        <v>4540</v>
      </c>
      <c r="C1067" s="2">
        <f>IFERROR(__xludf.DUMMYFUNCTION("""COMPUTED_VALUE"""),4570.0)</f>
        <v>4570</v>
      </c>
      <c r="D1067" s="2">
        <f>IFERROR(__xludf.DUMMYFUNCTION("""COMPUTED_VALUE"""),4400.0)</f>
        <v>4400</v>
      </c>
      <c r="E1067" s="2">
        <f>IFERROR(__xludf.DUMMYFUNCTION("""COMPUTED_VALUE"""),4400.0)</f>
        <v>4400</v>
      </c>
      <c r="F1067" s="2">
        <f>IFERROR(__xludf.DUMMYFUNCTION("""COMPUTED_VALUE"""),1.459783E8)</f>
        <v>145978300</v>
      </c>
      <c r="G1067" s="2">
        <f t="shared" si="1"/>
        <v>170</v>
      </c>
    </row>
    <row r="1068" ht="15.75" customHeight="1">
      <c r="A1068" s="1">
        <f>IFERROR(__xludf.DUMMYFUNCTION("""COMPUTED_VALUE"""),45446.66666666667)</f>
        <v>45446.66667</v>
      </c>
      <c r="B1068" s="2">
        <f>IFERROR(__xludf.DUMMYFUNCTION("""COMPUTED_VALUE"""),4460.0)</f>
        <v>4460</v>
      </c>
      <c r="C1068" s="2">
        <f>IFERROR(__xludf.DUMMYFUNCTION("""COMPUTED_VALUE"""),4640.0)</f>
        <v>4640</v>
      </c>
      <c r="D1068" s="2">
        <f>IFERROR(__xludf.DUMMYFUNCTION("""COMPUTED_VALUE"""),4450.0)</f>
        <v>4450</v>
      </c>
      <c r="E1068" s="2">
        <f>IFERROR(__xludf.DUMMYFUNCTION("""COMPUTED_VALUE"""),4620.0)</f>
        <v>4620</v>
      </c>
      <c r="F1068" s="2">
        <f>IFERROR(__xludf.DUMMYFUNCTION("""COMPUTED_VALUE"""),5.38657E7)</f>
        <v>53865700</v>
      </c>
      <c r="G1068" s="2">
        <f t="shared" si="1"/>
        <v>240</v>
      </c>
    </row>
    <row r="1069" ht="15.75" customHeight="1">
      <c r="A1069" s="1">
        <f>IFERROR(__xludf.DUMMYFUNCTION("""COMPUTED_VALUE"""),45447.66666666667)</f>
        <v>45447.66667</v>
      </c>
      <c r="B1069" s="2">
        <f>IFERROR(__xludf.DUMMYFUNCTION("""COMPUTED_VALUE"""),4650.0)</f>
        <v>4650</v>
      </c>
      <c r="C1069" s="2">
        <f>IFERROR(__xludf.DUMMYFUNCTION("""COMPUTED_VALUE"""),4700.0)</f>
        <v>4700</v>
      </c>
      <c r="D1069" s="2">
        <f>IFERROR(__xludf.DUMMYFUNCTION("""COMPUTED_VALUE"""),4600.0)</f>
        <v>4600</v>
      </c>
      <c r="E1069" s="2">
        <f>IFERROR(__xludf.DUMMYFUNCTION("""COMPUTED_VALUE"""),4640.0)</f>
        <v>4640</v>
      </c>
      <c r="F1069" s="2">
        <f>IFERROR(__xludf.DUMMYFUNCTION("""COMPUTED_VALUE"""),5.28854E7)</f>
        <v>52885400</v>
      </c>
      <c r="G1069" s="2">
        <f t="shared" si="1"/>
        <v>100</v>
      </c>
    </row>
    <row r="1070" ht="15.75" customHeight="1">
      <c r="A1070" s="1">
        <f>IFERROR(__xludf.DUMMYFUNCTION("""COMPUTED_VALUE"""),45448.66666666667)</f>
        <v>45448.66667</v>
      </c>
      <c r="B1070" s="2">
        <f>IFERROR(__xludf.DUMMYFUNCTION("""COMPUTED_VALUE"""),4630.0)</f>
        <v>4630</v>
      </c>
      <c r="C1070" s="2">
        <f>IFERROR(__xludf.DUMMYFUNCTION("""COMPUTED_VALUE"""),4660.0)</f>
        <v>4660</v>
      </c>
      <c r="D1070" s="2">
        <f>IFERROR(__xludf.DUMMYFUNCTION("""COMPUTED_VALUE"""),4580.0)</f>
        <v>4580</v>
      </c>
      <c r="E1070" s="2">
        <f>IFERROR(__xludf.DUMMYFUNCTION("""COMPUTED_VALUE"""),4610.0)</f>
        <v>4610</v>
      </c>
      <c r="F1070" s="2">
        <f>IFERROR(__xludf.DUMMYFUNCTION("""COMPUTED_VALUE"""),4.65364E7)</f>
        <v>46536400</v>
      </c>
      <c r="G1070" s="2">
        <f t="shared" si="1"/>
        <v>80</v>
      </c>
    </row>
    <row r="1071" ht="15.75" customHeight="1">
      <c r="A1071" s="1">
        <f>IFERROR(__xludf.DUMMYFUNCTION("""COMPUTED_VALUE"""),45449.66666666667)</f>
        <v>45449.66667</v>
      </c>
      <c r="B1071" s="2">
        <f>IFERROR(__xludf.DUMMYFUNCTION("""COMPUTED_VALUE"""),4670.0)</f>
        <v>4670</v>
      </c>
      <c r="C1071" s="2">
        <f>IFERROR(__xludf.DUMMYFUNCTION("""COMPUTED_VALUE"""),4770.0)</f>
        <v>4770</v>
      </c>
      <c r="D1071" s="2">
        <f>IFERROR(__xludf.DUMMYFUNCTION("""COMPUTED_VALUE"""),4630.0)</f>
        <v>4630</v>
      </c>
      <c r="E1071" s="2">
        <f>IFERROR(__xludf.DUMMYFUNCTION("""COMPUTED_VALUE"""),4770.0)</f>
        <v>4770</v>
      </c>
      <c r="F1071" s="2">
        <f>IFERROR(__xludf.DUMMYFUNCTION("""COMPUTED_VALUE"""),6.91549E7)</f>
        <v>69154900</v>
      </c>
      <c r="G1071" s="2">
        <f t="shared" si="1"/>
        <v>160</v>
      </c>
    </row>
    <row r="1072" ht="15.75" customHeight="1">
      <c r="A1072" s="1">
        <f>IFERROR(__xludf.DUMMYFUNCTION("""COMPUTED_VALUE"""),45450.66666666667)</f>
        <v>45450.66667</v>
      </c>
      <c r="B1072" s="2">
        <f>IFERROR(__xludf.DUMMYFUNCTION("""COMPUTED_VALUE"""),4770.0)</f>
        <v>4770</v>
      </c>
      <c r="C1072" s="2">
        <f>IFERROR(__xludf.DUMMYFUNCTION("""COMPUTED_VALUE"""),4780.0)</f>
        <v>4780</v>
      </c>
      <c r="D1072" s="2">
        <f>IFERROR(__xludf.DUMMYFUNCTION("""COMPUTED_VALUE"""),4660.0)</f>
        <v>4660</v>
      </c>
      <c r="E1072" s="2">
        <f>IFERROR(__xludf.DUMMYFUNCTION("""COMPUTED_VALUE"""),4700.0)</f>
        <v>4700</v>
      </c>
      <c r="F1072" s="2">
        <f>IFERROR(__xludf.DUMMYFUNCTION("""COMPUTED_VALUE"""),4.55753E7)</f>
        <v>45575300</v>
      </c>
      <c r="G1072" s="2">
        <f t="shared" si="1"/>
        <v>120</v>
      </c>
    </row>
    <row r="1073" ht="15.75" customHeight="1">
      <c r="A1073" s="1">
        <f>IFERROR(__xludf.DUMMYFUNCTION("""COMPUTED_VALUE"""),45453.66666666667)</f>
        <v>45453.66667</v>
      </c>
      <c r="B1073" s="2">
        <f>IFERROR(__xludf.DUMMYFUNCTION("""COMPUTED_VALUE"""),4650.0)</f>
        <v>4650</v>
      </c>
      <c r="C1073" s="2">
        <f>IFERROR(__xludf.DUMMYFUNCTION("""COMPUTED_VALUE"""),4660.0)</f>
        <v>4660</v>
      </c>
      <c r="D1073" s="2">
        <f>IFERROR(__xludf.DUMMYFUNCTION("""COMPUTED_VALUE"""),4550.0)</f>
        <v>4550</v>
      </c>
      <c r="E1073" s="2">
        <f>IFERROR(__xludf.DUMMYFUNCTION("""COMPUTED_VALUE"""),4610.0)</f>
        <v>4610</v>
      </c>
      <c r="F1073" s="2">
        <f>IFERROR(__xludf.DUMMYFUNCTION("""COMPUTED_VALUE"""),6.57049E7)</f>
        <v>65704900</v>
      </c>
      <c r="G1073" s="2">
        <f t="shared" si="1"/>
        <v>150</v>
      </c>
    </row>
    <row r="1074" ht="15.75" customHeight="1">
      <c r="A1074" s="1">
        <f>IFERROR(__xludf.DUMMYFUNCTION("""COMPUTED_VALUE"""),45454.66666666667)</f>
        <v>45454.66667</v>
      </c>
      <c r="B1074" s="2">
        <f>IFERROR(__xludf.DUMMYFUNCTION("""COMPUTED_VALUE"""),4560.0)</f>
        <v>4560</v>
      </c>
      <c r="C1074" s="2">
        <f>IFERROR(__xludf.DUMMYFUNCTION("""COMPUTED_VALUE"""),4630.0)</f>
        <v>4630</v>
      </c>
      <c r="D1074" s="2">
        <f>IFERROR(__xludf.DUMMYFUNCTION("""COMPUTED_VALUE"""),4480.0)</f>
        <v>4480</v>
      </c>
      <c r="E1074" s="2">
        <f>IFERROR(__xludf.DUMMYFUNCTION("""COMPUTED_VALUE"""),4480.0)</f>
        <v>4480</v>
      </c>
      <c r="F1074" s="2">
        <f>IFERROR(__xludf.DUMMYFUNCTION("""COMPUTED_VALUE"""),9.52864E7)</f>
        <v>95286400</v>
      </c>
      <c r="G1074" s="2">
        <f t="shared" si="1"/>
        <v>150</v>
      </c>
    </row>
    <row r="1075" ht="15.75" customHeight="1">
      <c r="A1075" s="1">
        <f>IFERROR(__xludf.DUMMYFUNCTION("""COMPUTED_VALUE"""),45455.66666666667)</f>
        <v>45455.66667</v>
      </c>
      <c r="B1075" s="2">
        <f>IFERROR(__xludf.DUMMYFUNCTION("""COMPUTED_VALUE"""),4430.0)</f>
        <v>4430</v>
      </c>
      <c r="C1075" s="2">
        <f>IFERROR(__xludf.DUMMYFUNCTION("""COMPUTED_VALUE"""),4460.0)</f>
        <v>4460</v>
      </c>
      <c r="D1075" s="2">
        <f>IFERROR(__xludf.DUMMYFUNCTION("""COMPUTED_VALUE"""),4410.0)</f>
        <v>4410</v>
      </c>
      <c r="E1075" s="2">
        <f>IFERROR(__xludf.DUMMYFUNCTION("""COMPUTED_VALUE"""),4430.0)</f>
        <v>4430</v>
      </c>
      <c r="F1075" s="2">
        <f>IFERROR(__xludf.DUMMYFUNCTION("""COMPUTED_VALUE"""),1.127811E8)</f>
        <v>112781100</v>
      </c>
      <c r="G1075" s="2">
        <f t="shared" si="1"/>
        <v>70</v>
      </c>
    </row>
    <row r="1076" ht="15.75" customHeight="1">
      <c r="A1076" s="1">
        <f>IFERROR(__xludf.DUMMYFUNCTION("""COMPUTED_VALUE"""),45456.66666666667)</f>
        <v>45456.66667</v>
      </c>
      <c r="B1076" s="2">
        <f>IFERROR(__xludf.DUMMYFUNCTION("""COMPUTED_VALUE"""),4500.0)</f>
        <v>4500</v>
      </c>
      <c r="C1076" s="2">
        <f>IFERROR(__xludf.DUMMYFUNCTION("""COMPUTED_VALUE"""),4520.0)</f>
        <v>4520</v>
      </c>
      <c r="D1076" s="2">
        <f>IFERROR(__xludf.DUMMYFUNCTION("""COMPUTED_VALUE"""),4460.0)</f>
        <v>4460</v>
      </c>
      <c r="E1076" s="2">
        <f>IFERROR(__xludf.DUMMYFUNCTION("""COMPUTED_VALUE"""),4480.0)</f>
        <v>4480</v>
      </c>
      <c r="F1076" s="2">
        <f>IFERROR(__xludf.DUMMYFUNCTION("""COMPUTED_VALUE"""),4.77639E7)</f>
        <v>47763900</v>
      </c>
      <c r="G1076" s="2">
        <f t="shared" si="1"/>
        <v>90</v>
      </c>
    </row>
    <row r="1077" ht="15.75" customHeight="1">
      <c r="A1077" s="1">
        <f>IFERROR(__xludf.DUMMYFUNCTION("""COMPUTED_VALUE"""),45457.66666666667)</f>
        <v>45457.66667</v>
      </c>
      <c r="B1077" s="2">
        <f>IFERROR(__xludf.DUMMYFUNCTION("""COMPUTED_VALUE"""),4480.0)</f>
        <v>4480</v>
      </c>
      <c r="C1077" s="2">
        <f>IFERROR(__xludf.DUMMYFUNCTION("""COMPUTED_VALUE"""),4480.0)</f>
        <v>4480</v>
      </c>
      <c r="D1077" s="2">
        <f>IFERROR(__xludf.DUMMYFUNCTION("""COMPUTED_VALUE"""),4310.0)</f>
        <v>4310</v>
      </c>
      <c r="E1077" s="2">
        <f>IFERROR(__xludf.DUMMYFUNCTION("""COMPUTED_VALUE"""),4310.0)</f>
        <v>4310</v>
      </c>
      <c r="F1077" s="2">
        <f>IFERROR(__xludf.DUMMYFUNCTION("""COMPUTED_VALUE"""),6.50469E7)</f>
        <v>65046900</v>
      </c>
      <c r="G1077" s="2">
        <f t="shared" si="1"/>
        <v>170</v>
      </c>
    </row>
    <row r="1078" ht="15.75" customHeight="1">
      <c r="A1078" s="1">
        <f>IFERROR(__xludf.DUMMYFUNCTION("""COMPUTED_VALUE"""),45462.66666666667)</f>
        <v>45462.66667</v>
      </c>
      <c r="B1078" s="2">
        <f>IFERROR(__xludf.DUMMYFUNCTION("""COMPUTED_VALUE"""),4310.0)</f>
        <v>4310</v>
      </c>
      <c r="C1078" s="2">
        <f>IFERROR(__xludf.DUMMYFUNCTION("""COMPUTED_VALUE"""),4390.0)</f>
        <v>4390</v>
      </c>
      <c r="D1078" s="2">
        <f>IFERROR(__xludf.DUMMYFUNCTION("""COMPUTED_VALUE"""),4260.0)</f>
        <v>4260</v>
      </c>
      <c r="E1078" s="2">
        <f>IFERROR(__xludf.DUMMYFUNCTION("""COMPUTED_VALUE"""),4300.0)</f>
        <v>4300</v>
      </c>
      <c r="F1078" s="2">
        <f>IFERROR(__xludf.DUMMYFUNCTION("""COMPUTED_VALUE"""),6.03738E7)</f>
        <v>60373800</v>
      </c>
      <c r="G1078" s="2">
        <f t="shared" si="1"/>
        <v>130</v>
      </c>
    </row>
    <row r="1079" ht="15.75" customHeight="1">
      <c r="A1079" s="1">
        <f>IFERROR(__xludf.DUMMYFUNCTION("""COMPUTED_VALUE"""),45463.66666666667)</f>
        <v>45463.66667</v>
      </c>
      <c r="B1079" s="2">
        <f>IFERROR(__xludf.DUMMYFUNCTION("""COMPUTED_VALUE"""),4320.0)</f>
        <v>4320</v>
      </c>
      <c r="C1079" s="2">
        <f>IFERROR(__xludf.DUMMYFUNCTION("""COMPUTED_VALUE"""),4410.0)</f>
        <v>4410</v>
      </c>
      <c r="D1079" s="2">
        <f>IFERROR(__xludf.DUMMYFUNCTION("""COMPUTED_VALUE"""),4300.0)</f>
        <v>4300</v>
      </c>
      <c r="E1079" s="2">
        <f>IFERROR(__xludf.DUMMYFUNCTION("""COMPUTED_VALUE"""),4400.0)</f>
        <v>4400</v>
      </c>
      <c r="F1079" s="2">
        <f>IFERROR(__xludf.DUMMYFUNCTION("""COMPUTED_VALUE"""),5.05799E7)</f>
        <v>50579900</v>
      </c>
      <c r="G1079" s="2">
        <f t="shared" si="1"/>
        <v>110</v>
      </c>
    </row>
    <row r="1080" ht="15.75" customHeight="1">
      <c r="A1080" s="1">
        <f>IFERROR(__xludf.DUMMYFUNCTION("""COMPUTED_VALUE"""),45464.66666666667)</f>
        <v>45464.66667</v>
      </c>
      <c r="B1080" s="2">
        <f>IFERROR(__xludf.DUMMYFUNCTION("""COMPUTED_VALUE"""),4400.0)</f>
        <v>4400</v>
      </c>
      <c r="C1080" s="2">
        <f>IFERROR(__xludf.DUMMYFUNCTION("""COMPUTED_VALUE"""),4610.0)</f>
        <v>4610</v>
      </c>
      <c r="D1080" s="2">
        <f>IFERROR(__xludf.DUMMYFUNCTION("""COMPUTED_VALUE"""),4400.0)</f>
        <v>4400</v>
      </c>
      <c r="E1080" s="2">
        <f>IFERROR(__xludf.DUMMYFUNCTION("""COMPUTED_VALUE"""),4540.0)</f>
        <v>4540</v>
      </c>
      <c r="F1080" s="2">
        <f>IFERROR(__xludf.DUMMYFUNCTION("""COMPUTED_VALUE"""),1.089825E8)</f>
        <v>108982500</v>
      </c>
      <c r="G1080" s="2">
        <f t="shared" si="1"/>
        <v>210</v>
      </c>
    </row>
    <row r="1081" ht="15.75" customHeight="1">
      <c r="A1081" s="1">
        <f>IFERROR(__xludf.DUMMYFUNCTION("""COMPUTED_VALUE"""),45467.66666666667)</f>
        <v>45467.66667</v>
      </c>
      <c r="B1081" s="2">
        <f>IFERROR(__xludf.DUMMYFUNCTION("""COMPUTED_VALUE"""),4540.0)</f>
        <v>4540</v>
      </c>
      <c r="C1081" s="2">
        <f>IFERROR(__xludf.DUMMYFUNCTION("""COMPUTED_VALUE"""),4600.0)</f>
        <v>4600</v>
      </c>
      <c r="D1081" s="2">
        <f>IFERROR(__xludf.DUMMYFUNCTION("""COMPUTED_VALUE"""),4460.0)</f>
        <v>4460</v>
      </c>
      <c r="E1081" s="2">
        <f>IFERROR(__xludf.DUMMYFUNCTION("""COMPUTED_VALUE"""),4540.0)</f>
        <v>4540</v>
      </c>
      <c r="F1081" s="2">
        <f>IFERROR(__xludf.DUMMYFUNCTION("""COMPUTED_VALUE"""),4.91124E7)</f>
        <v>49112400</v>
      </c>
      <c r="G1081" s="2">
        <f t="shared" si="1"/>
        <v>140</v>
      </c>
    </row>
    <row r="1082" ht="15.75" customHeight="1">
      <c r="A1082" s="1">
        <f>IFERROR(__xludf.DUMMYFUNCTION("""COMPUTED_VALUE"""),45468.66666666667)</f>
        <v>45468.66667</v>
      </c>
      <c r="B1082" s="2">
        <f>IFERROR(__xludf.DUMMYFUNCTION("""COMPUTED_VALUE"""),4520.0)</f>
        <v>4520</v>
      </c>
      <c r="C1082" s="2">
        <f>IFERROR(__xludf.DUMMYFUNCTION("""COMPUTED_VALUE"""),4530.0)</f>
        <v>4530</v>
      </c>
      <c r="D1082" s="2">
        <f>IFERROR(__xludf.DUMMYFUNCTION("""COMPUTED_VALUE"""),4420.0)</f>
        <v>4420</v>
      </c>
      <c r="E1082" s="2">
        <f>IFERROR(__xludf.DUMMYFUNCTION("""COMPUTED_VALUE"""),4480.0)</f>
        <v>4480</v>
      </c>
      <c r="F1082" s="2">
        <f>IFERROR(__xludf.DUMMYFUNCTION("""COMPUTED_VALUE"""),4.48615E7)</f>
        <v>44861500</v>
      </c>
      <c r="G1082" s="2">
        <f t="shared" si="1"/>
        <v>120</v>
      </c>
    </row>
    <row r="1083" ht="15.75" customHeight="1">
      <c r="A1083" s="1">
        <f>IFERROR(__xludf.DUMMYFUNCTION("""COMPUTED_VALUE"""),45469.66666666667)</f>
        <v>45469.66667</v>
      </c>
      <c r="B1083" s="2">
        <f>IFERROR(__xludf.DUMMYFUNCTION("""COMPUTED_VALUE"""),4480.0)</f>
        <v>4480</v>
      </c>
      <c r="C1083" s="2">
        <f>IFERROR(__xludf.DUMMYFUNCTION("""COMPUTED_VALUE"""),4530.0)</f>
        <v>4530</v>
      </c>
      <c r="D1083" s="2">
        <f>IFERROR(__xludf.DUMMYFUNCTION("""COMPUTED_VALUE"""),4420.0)</f>
        <v>4420</v>
      </c>
      <c r="E1083" s="2">
        <f>IFERROR(__xludf.DUMMYFUNCTION("""COMPUTED_VALUE"""),4420.0)</f>
        <v>4420</v>
      </c>
      <c r="F1083" s="2">
        <f>IFERROR(__xludf.DUMMYFUNCTION("""COMPUTED_VALUE"""),3.40637E7)</f>
        <v>34063700</v>
      </c>
      <c r="G1083" s="2">
        <f t="shared" si="1"/>
        <v>110</v>
      </c>
    </row>
    <row r="1084" ht="15.75" customHeight="1">
      <c r="A1084" s="1">
        <f>IFERROR(__xludf.DUMMYFUNCTION("""COMPUTED_VALUE"""),45470.66666666667)</f>
        <v>45470.66667</v>
      </c>
      <c r="B1084" s="2">
        <f>IFERROR(__xludf.DUMMYFUNCTION("""COMPUTED_VALUE"""),4450.0)</f>
        <v>4450</v>
      </c>
      <c r="C1084" s="2">
        <f>IFERROR(__xludf.DUMMYFUNCTION("""COMPUTED_VALUE"""),4610.0)</f>
        <v>4610</v>
      </c>
      <c r="D1084" s="2">
        <f>IFERROR(__xludf.DUMMYFUNCTION("""COMPUTED_VALUE"""),4430.0)</f>
        <v>4430</v>
      </c>
      <c r="E1084" s="2">
        <f>IFERROR(__xludf.DUMMYFUNCTION("""COMPUTED_VALUE"""),4580.0)</f>
        <v>4580</v>
      </c>
      <c r="F1084" s="2">
        <f>IFERROR(__xludf.DUMMYFUNCTION("""COMPUTED_VALUE"""),8.54621E7)</f>
        <v>85462100</v>
      </c>
      <c r="G1084" s="2">
        <f t="shared" si="1"/>
        <v>190</v>
      </c>
    </row>
    <row r="1085" ht="15.75" customHeight="1">
      <c r="A1085" s="1">
        <f>IFERROR(__xludf.DUMMYFUNCTION("""COMPUTED_VALUE"""),45471.66666666667)</f>
        <v>45471.66667</v>
      </c>
      <c r="B1085" s="2">
        <f>IFERROR(__xludf.DUMMYFUNCTION("""COMPUTED_VALUE"""),4590.0)</f>
        <v>4590</v>
      </c>
      <c r="C1085" s="2">
        <f>IFERROR(__xludf.DUMMYFUNCTION("""COMPUTED_VALUE"""),4740.0)</f>
        <v>4740</v>
      </c>
      <c r="D1085" s="2">
        <f>IFERROR(__xludf.DUMMYFUNCTION("""COMPUTED_VALUE"""),4590.0)</f>
        <v>4590</v>
      </c>
      <c r="E1085" s="2">
        <f>IFERROR(__xludf.DUMMYFUNCTION("""COMPUTED_VALUE"""),4660.0)</f>
        <v>4660</v>
      </c>
      <c r="F1085" s="2">
        <f>IFERROR(__xludf.DUMMYFUNCTION("""COMPUTED_VALUE"""),9.53843E7)</f>
        <v>95384300</v>
      </c>
      <c r="G1085" s="2">
        <f t="shared" si="1"/>
        <v>160</v>
      </c>
    </row>
    <row r="1086" ht="15.75" customHeight="1">
      <c r="A1086" s="1">
        <f>IFERROR(__xludf.DUMMYFUNCTION("""COMPUTED_VALUE"""),45474.66666666667)</f>
        <v>45474.66667</v>
      </c>
      <c r="B1086" s="2">
        <f>IFERROR(__xludf.DUMMYFUNCTION("""COMPUTED_VALUE"""),4690.0)</f>
        <v>4690</v>
      </c>
      <c r="C1086" s="2">
        <f>IFERROR(__xludf.DUMMYFUNCTION("""COMPUTED_VALUE"""),4720.0)</f>
        <v>4720</v>
      </c>
      <c r="D1086" s="2">
        <f>IFERROR(__xludf.DUMMYFUNCTION("""COMPUTED_VALUE"""),4650.0)</f>
        <v>4650</v>
      </c>
      <c r="E1086" s="2">
        <f>IFERROR(__xludf.DUMMYFUNCTION("""COMPUTED_VALUE"""),4710.0)</f>
        <v>4710</v>
      </c>
      <c r="F1086" s="2">
        <f>IFERROR(__xludf.DUMMYFUNCTION("""COMPUTED_VALUE"""),4.32509E7)</f>
        <v>43250900</v>
      </c>
      <c r="G1086" s="2">
        <f t="shared" si="1"/>
        <v>70</v>
      </c>
    </row>
    <row r="1087" ht="15.75" customHeight="1">
      <c r="A1087" s="1">
        <f>IFERROR(__xludf.DUMMYFUNCTION("""COMPUTED_VALUE"""),45475.66666666667)</f>
        <v>45475.66667</v>
      </c>
      <c r="B1087" s="2">
        <f>IFERROR(__xludf.DUMMYFUNCTION("""COMPUTED_VALUE"""),4710.0)</f>
        <v>4710</v>
      </c>
      <c r="C1087" s="2">
        <f>IFERROR(__xludf.DUMMYFUNCTION("""COMPUTED_VALUE"""),4730.0)</f>
        <v>4730</v>
      </c>
      <c r="D1087" s="2">
        <f>IFERROR(__xludf.DUMMYFUNCTION("""COMPUTED_VALUE"""),4670.0)</f>
        <v>4670</v>
      </c>
      <c r="E1087" s="2">
        <f>IFERROR(__xludf.DUMMYFUNCTION("""COMPUTED_VALUE"""),4710.0)</f>
        <v>4710</v>
      </c>
      <c r="F1087" s="2">
        <f>IFERROR(__xludf.DUMMYFUNCTION("""COMPUTED_VALUE"""),3.51428E7)</f>
        <v>35142800</v>
      </c>
      <c r="G1087" s="2">
        <f t="shared" si="1"/>
        <v>60</v>
      </c>
    </row>
    <row r="1088" ht="15.75" customHeight="1">
      <c r="A1088" s="1">
        <f>IFERROR(__xludf.DUMMYFUNCTION("""COMPUTED_VALUE"""),45476.66666666667)</f>
        <v>45476.66667</v>
      </c>
      <c r="B1088" s="2">
        <f>IFERROR(__xludf.DUMMYFUNCTION("""COMPUTED_VALUE"""),4730.0)</f>
        <v>4730</v>
      </c>
      <c r="C1088" s="2">
        <f>IFERROR(__xludf.DUMMYFUNCTION("""COMPUTED_VALUE"""),4740.0)</f>
        <v>4740</v>
      </c>
      <c r="D1088" s="2">
        <f>IFERROR(__xludf.DUMMYFUNCTION("""COMPUTED_VALUE"""),4630.0)</f>
        <v>4630</v>
      </c>
      <c r="E1088" s="2">
        <f>IFERROR(__xludf.DUMMYFUNCTION("""COMPUTED_VALUE"""),4650.0)</f>
        <v>4650</v>
      </c>
      <c r="F1088" s="2">
        <f>IFERROR(__xludf.DUMMYFUNCTION("""COMPUTED_VALUE"""),4.15317E7)</f>
        <v>41531700</v>
      </c>
      <c r="G1088" s="2">
        <f t="shared" si="1"/>
        <v>110</v>
      </c>
    </row>
    <row r="1089" ht="15.75" customHeight="1">
      <c r="A1089" s="1">
        <f>IFERROR(__xludf.DUMMYFUNCTION("""COMPUTED_VALUE"""),45477.66666666667)</f>
        <v>45477.66667</v>
      </c>
      <c r="B1089" s="2">
        <f>IFERROR(__xludf.DUMMYFUNCTION("""COMPUTED_VALUE"""),4690.0)</f>
        <v>4690</v>
      </c>
      <c r="C1089" s="2">
        <f>IFERROR(__xludf.DUMMYFUNCTION("""COMPUTED_VALUE"""),4770.0)</f>
        <v>4770</v>
      </c>
      <c r="D1089" s="2">
        <f>IFERROR(__xludf.DUMMYFUNCTION("""COMPUTED_VALUE"""),4660.0)</f>
        <v>4660</v>
      </c>
      <c r="E1089" s="2">
        <f>IFERROR(__xludf.DUMMYFUNCTION("""COMPUTED_VALUE"""),4710.0)</f>
        <v>4710</v>
      </c>
      <c r="F1089" s="2">
        <f>IFERROR(__xludf.DUMMYFUNCTION("""COMPUTED_VALUE"""),6.14359E7)</f>
        <v>61435900</v>
      </c>
      <c r="G1089" s="2">
        <f t="shared" si="1"/>
        <v>120</v>
      </c>
    </row>
    <row r="1090" ht="15.75" customHeight="1">
      <c r="A1090" s="1">
        <f>IFERROR(__xludf.DUMMYFUNCTION("""COMPUTED_VALUE"""),45478.66666666667)</f>
        <v>45478.66667</v>
      </c>
      <c r="B1090" s="2">
        <f>IFERROR(__xludf.DUMMYFUNCTION("""COMPUTED_VALUE"""),4730.0)</f>
        <v>4730</v>
      </c>
      <c r="C1090" s="2">
        <f>IFERROR(__xludf.DUMMYFUNCTION("""COMPUTED_VALUE"""),4780.0)</f>
        <v>4780</v>
      </c>
      <c r="D1090" s="2">
        <f>IFERROR(__xludf.DUMMYFUNCTION("""COMPUTED_VALUE"""),4690.0)</f>
        <v>4690</v>
      </c>
      <c r="E1090" s="2">
        <f>IFERROR(__xludf.DUMMYFUNCTION("""COMPUTED_VALUE"""),4700.0)</f>
        <v>4700</v>
      </c>
      <c r="F1090" s="2">
        <f>IFERROR(__xludf.DUMMYFUNCTION("""COMPUTED_VALUE"""),6.75856E7)</f>
        <v>67585600</v>
      </c>
      <c r="G1090" s="2">
        <f t="shared" si="1"/>
        <v>90</v>
      </c>
    </row>
    <row r="1091" ht="15.75" customHeight="1">
      <c r="A1091" s="1">
        <f>IFERROR(__xludf.DUMMYFUNCTION("""COMPUTED_VALUE"""),45481.66666666667)</f>
        <v>45481.66667</v>
      </c>
      <c r="B1091" s="2">
        <f>IFERROR(__xludf.DUMMYFUNCTION("""COMPUTED_VALUE"""),4730.0)</f>
        <v>4730</v>
      </c>
      <c r="C1091" s="2">
        <f>IFERROR(__xludf.DUMMYFUNCTION("""COMPUTED_VALUE"""),4740.0)</f>
        <v>4740</v>
      </c>
      <c r="D1091" s="2">
        <f>IFERROR(__xludf.DUMMYFUNCTION("""COMPUTED_VALUE"""),4670.0)</f>
        <v>4670</v>
      </c>
      <c r="E1091" s="2">
        <f>IFERROR(__xludf.DUMMYFUNCTION("""COMPUTED_VALUE"""),4670.0)</f>
        <v>4670</v>
      </c>
      <c r="F1091" s="2">
        <f>IFERROR(__xludf.DUMMYFUNCTION("""COMPUTED_VALUE"""),3.60047E7)</f>
        <v>36004700</v>
      </c>
      <c r="G1091" s="2">
        <f t="shared" si="1"/>
        <v>70</v>
      </c>
    </row>
    <row r="1092" ht="15.75" customHeight="1">
      <c r="A1092" s="1">
        <f>IFERROR(__xludf.DUMMYFUNCTION("""COMPUTED_VALUE"""),45482.66666666667)</f>
        <v>45482.66667</v>
      </c>
      <c r="B1092" s="2">
        <f>IFERROR(__xludf.DUMMYFUNCTION("""COMPUTED_VALUE"""),4670.0)</f>
        <v>4670</v>
      </c>
      <c r="C1092" s="2">
        <f>IFERROR(__xludf.DUMMYFUNCTION("""COMPUTED_VALUE"""),4870.0)</f>
        <v>4870</v>
      </c>
      <c r="D1092" s="2">
        <f>IFERROR(__xludf.DUMMYFUNCTION("""COMPUTED_VALUE"""),4670.0)</f>
        <v>4670</v>
      </c>
      <c r="E1092" s="2">
        <f>IFERROR(__xludf.DUMMYFUNCTION("""COMPUTED_VALUE"""),4860.0)</f>
        <v>4860</v>
      </c>
      <c r="F1092" s="2">
        <f>IFERROR(__xludf.DUMMYFUNCTION("""COMPUTED_VALUE"""),8.74566E7)</f>
        <v>87456600</v>
      </c>
      <c r="G1092" s="2">
        <f t="shared" si="1"/>
        <v>200</v>
      </c>
    </row>
    <row r="1093" ht="15.75" customHeight="1">
      <c r="A1093" s="1">
        <f>IFERROR(__xludf.DUMMYFUNCTION("""COMPUTED_VALUE"""),45483.66666666667)</f>
        <v>45483.66667</v>
      </c>
      <c r="B1093" s="2">
        <f>IFERROR(__xludf.DUMMYFUNCTION("""COMPUTED_VALUE"""),4850.0)</f>
        <v>4850</v>
      </c>
      <c r="C1093" s="2">
        <f>IFERROR(__xludf.DUMMYFUNCTION("""COMPUTED_VALUE"""),4900.0)</f>
        <v>4900</v>
      </c>
      <c r="D1093" s="2">
        <f>IFERROR(__xludf.DUMMYFUNCTION("""COMPUTED_VALUE"""),4820.0)</f>
        <v>4820</v>
      </c>
      <c r="E1093" s="2">
        <f>IFERROR(__xludf.DUMMYFUNCTION("""COMPUTED_VALUE"""),4820.0)</f>
        <v>4820</v>
      </c>
      <c r="F1093" s="2">
        <f>IFERROR(__xludf.DUMMYFUNCTION("""COMPUTED_VALUE"""),4.87002E7)</f>
        <v>48700200</v>
      </c>
      <c r="G1093" s="2">
        <f t="shared" si="1"/>
        <v>80</v>
      </c>
    </row>
    <row r="1094" ht="15.75" customHeight="1">
      <c r="A1094" s="1">
        <f>IFERROR(__xludf.DUMMYFUNCTION("""COMPUTED_VALUE"""),45484.66666666667)</f>
        <v>45484.66667</v>
      </c>
      <c r="B1094" s="2">
        <f>IFERROR(__xludf.DUMMYFUNCTION("""COMPUTED_VALUE"""),4850.0)</f>
        <v>4850</v>
      </c>
      <c r="C1094" s="2">
        <f>IFERROR(__xludf.DUMMYFUNCTION("""COMPUTED_VALUE"""),4880.0)</f>
        <v>4880</v>
      </c>
      <c r="D1094" s="2">
        <f>IFERROR(__xludf.DUMMYFUNCTION("""COMPUTED_VALUE"""),4830.0)</f>
        <v>4830</v>
      </c>
      <c r="E1094" s="2">
        <f>IFERROR(__xludf.DUMMYFUNCTION("""COMPUTED_VALUE"""),4870.0)</f>
        <v>4870</v>
      </c>
      <c r="F1094" s="2">
        <f>IFERROR(__xludf.DUMMYFUNCTION("""COMPUTED_VALUE"""),3.75737E7)</f>
        <v>37573700</v>
      </c>
      <c r="G1094" s="2">
        <f t="shared" si="1"/>
        <v>60</v>
      </c>
    </row>
    <row r="1095" ht="15.75" customHeight="1">
      <c r="A1095" s="1">
        <f>IFERROR(__xludf.DUMMYFUNCTION("""COMPUTED_VALUE"""),45485.66666666667)</f>
        <v>45485.66667</v>
      </c>
      <c r="B1095" s="2">
        <f>IFERROR(__xludf.DUMMYFUNCTION("""COMPUTED_VALUE"""),4920.0)</f>
        <v>4920</v>
      </c>
      <c r="C1095" s="2">
        <f>IFERROR(__xludf.DUMMYFUNCTION("""COMPUTED_VALUE"""),5125.0)</f>
        <v>5125</v>
      </c>
      <c r="D1095" s="2">
        <f>IFERROR(__xludf.DUMMYFUNCTION("""COMPUTED_VALUE"""),4920.0)</f>
        <v>4920</v>
      </c>
      <c r="E1095" s="2">
        <f>IFERROR(__xludf.DUMMYFUNCTION("""COMPUTED_VALUE"""),5025.0)</f>
        <v>5025</v>
      </c>
      <c r="F1095" s="2">
        <f>IFERROR(__xludf.DUMMYFUNCTION("""COMPUTED_VALUE"""),1.515207E8)</f>
        <v>151520700</v>
      </c>
      <c r="G1095" s="2">
        <f t="shared" si="1"/>
        <v>255</v>
      </c>
    </row>
    <row r="1096" ht="15.75" customHeight="1">
      <c r="A1096" s="1">
        <f>IFERROR(__xludf.DUMMYFUNCTION("""COMPUTED_VALUE"""),45488.66666666667)</f>
        <v>45488.66667</v>
      </c>
      <c r="B1096" s="2">
        <f>IFERROR(__xludf.DUMMYFUNCTION("""COMPUTED_VALUE"""),5050.0)</f>
        <v>5050</v>
      </c>
      <c r="C1096" s="2">
        <f>IFERROR(__xludf.DUMMYFUNCTION("""COMPUTED_VALUE"""),5075.0)</f>
        <v>5075</v>
      </c>
      <c r="D1096" s="2">
        <f>IFERROR(__xludf.DUMMYFUNCTION("""COMPUTED_VALUE"""),4980.0)</f>
        <v>4980</v>
      </c>
      <c r="E1096" s="2">
        <f>IFERROR(__xludf.DUMMYFUNCTION("""COMPUTED_VALUE"""),5025.0)</f>
        <v>5025</v>
      </c>
      <c r="F1096" s="2">
        <f>IFERROR(__xludf.DUMMYFUNCTION("""COMPUTED_VALUE"""),9.47949E7)</f>
        <v>94794900</v>
      </c>
      <c r="G1096" s="2">
        <f t="shared" si="1"/>
        <v>95</v>
      </c>
    </row>
    <row r="1097" ht="15.75" customHeight="1">
      <c r="A1097" s="1">
        <f>IFERROR(__xludf.DUMMYFUNCTION("""COMPUTED_VALUE"""),45489.66666666667)</f>
        <v>45489.66667</v>
      </c>
      <c r="B1097" s="2">
        <f>IFERROR(__xludf.DUMMYFUNCTION("""COMPUTED_VALUE"""),5050.0)</f>
        <v>5050</v>
      </c>
      <c r="C1097" s="2">
        <f>IFERROR(__xludf.DUMMYFUNCTION("""COMPUTED_VALUE"""),5050.0)</f>
        <v>5050</v>
      </c>
      <c r="D1097" s="2">
        <f>IFERROR(__xludf.DUMMYFUNCTION("""COMPUTED_VALUE"""),4980.0)</f>
        <v>4980</v>
      </c>
      <c r="E1097" s="2">
        <f>IFERROR(__xludf.DUMMYFUNCTION("""COMPUTED_VALUE"""),4980.0)</f>
        <v>4980</v>
      </c>
      <c r="F1097" s="2">
        <f>IFERROR(__xludf.DUMMYFUNCTION("""COMPUTED_VALUE"""),6.63712E7)</f>
        <v>66371200</v>
      </c>
      <c r="G1097" s="2">
        <f t="shared" si="1"/>
        <v>70</v>
      </c>
    </row>
    <row r="1098" ht="15.75" customHeight="1">
      <c r="A1098" s="1">
        <f>IFERROR(__xludf.DUMMYFUNCTION("""COMPUTED_VALUE"""),45490.66666666667)</f>
        <v>45490.66667</v>
      </c>
      <c r="B1098" s="2">
        <f>IFERROR(__xludf.DUMMYFUNCTION("""COMPUTED_VALUE"""),5050.0)</f>
        <v>5050</v>
      </c>
      <c r="C1098" s="2">
        <f>IFERROR(__xludf.DUMMYFUNCTION("""COMPUTED_VALUE"""),5075.0)</f>
        <v>5075</v>
      </c>
      <c r="D1098" s="2">
        <f>IFERROR(__xludf.DUMMYFUNCTION("""COMPUTED_VALUE"""),5000.0)</f>
        <v>5000</v>
      </c>
      <c r="E1098" s="2">
        <f>IFERROR(__xludf.DUMMYFUNCTION("""COMPUTED_VALUE"""),5000.0)</f>
        <v>5000</v>
      </c>
      <c r="F1098" s="2">
        <f>IFERROR(__xludf.DUMMYFUNCTION("""COMPUTED_VALUE"""),5.96153E7)</f>
        <v>59615300</v>
      </c>
      <c r="G1098" s="2">
        <f t="shared" si="1"/>
        <v>95</v>
      </c>
    </row>
    <row r="1099" ht="15.75" customHeight="1">
      <c r="A1099" s="1">
        <f>IFERROR(__xludf.DUMMYFUNCTION("""COMPUTED_VALUE"""),45491.66666666667)</f>
        <v>45491.66667</v>
      </c>
      <c r="B1099" s="2">
        <f>IFERROR(__xludf.DUMMYFUNCTION("""COMPUTED_VALUE"""),4990.0)</f>
        <v>4990</v>
      </c>
      <c r="C1099" s="2">
        <f>IFERROR(__xludf.DUMMYFUNCTION("""COMPUTED_VALUE"""),5125.0)</f>
        <v>5125</v>
      </c>
      <c r="D1099" s="2">
        <f>IFERROR(__xludf.DUMMYFUNCTION("""COMPUTED_VALUE"""),4990.0)</f>
        <v>4990</v>
      </c>
      <c r="E1099" s="2">
        <f>IFERROR(__xludf.DUMMYFUNCTION("""COMPUTED_VALUE"""),5075.0)</f>
        <v>5075</v>
      </c>
      <c r="F1099" s="2">
        <f>IFERROR(__xludf.DUMMYFUNCTION("""COMPUTED_VALUE"""),8.61278E7)</f>
        <v>86127800</v>
      </c>
      <c r="G1099" s="2">
        <f t="shared" si="1"/>
        <v>135</v>
      </c>
    </row>
    <row r="1100" ht="15.75" customHeight="1">
      <c r="A1100" s="1">
        <f>IFERROR(__xludf.DUMMYFUNCTION("""COMPUTED_VALUE"""),45492.66666666667)</f>
        <v>45492.66667</v>
      </c>
      <c r="B1100" s="2">
        <f>IFERROR(__xludf.DUMMYFUNCTION("""COMPUTED_VALUE"""),5075.0)</f>
        <v>5075</v>
      </c>
      <c r="C1100" s="2">
        <f>IFERROR(__xludf.DUMMYFUNCTION("""COMPUTED_VALUE"""),5100.0)</f>
        <v>5100</v>
      </c>
      <c r="D1100" s="2">
        <f>IFERROR(__xludf.DUMMYFUNCTION("""COMPUTED_VALUE"""),5025.0)</f>
        <v>5025</v>
      </c>
      <c r="E1100" s="2">
        <f>IFERROR(__xludf.DUMMYFUNCTION("""COMPUTED_VALUE"""),5100.0)</f>
        <v>5100</v>
      </c>
      <c r="F1100" s="2">
        <f>IFERROR(__xludf.DUMMYFUNCTION("""COMPUTED_VALUE"""),6.69073E7)</f>
        <v>66907300</v>
      </c>
      <c r="G1100" s="2">
        <f t="shared" si="1"/>
        <v>75</v>
      </c>
    </row>
    <row r="1101" ht="15.75" customHeight="1">
      <c r="A1101" s="1">
        <f>IFERROR(__xludf.DUMMYFUNCTION("""COMPUTED_VALUE"""),45495.66666666667)</f>
        <v>45495.66667</v>
      </c>
      <c r="B1101" s="2">
        <f>IFERROR(__xludf.DUMMYFUNCTION("""COMPUTED_VALUE"""),5125.0)</f>
        <v>5125</v>
      </c>
      <c r="C1101" s="2">
        <f>IFERROR(__xludf.DUMMYFUNCTION("""COMPUTED_VALUE"""),5150.0)</f>
        <v>5150</v>
      </c>
      <c r="D1101" s="2">
        <f>IFERROR(__xludf.DUMMYFUNCTION("""COMPUTED_VALUE"""),5050.0)</f>
        <v>5050</v>
      </c>
      <c r="E1101" s="2">
        <f>IFERROR(__xludf.DUMMYFUNCTION("""COMPUTED_VALUE"""),5100.0)</f>
        <v>5100</v>
      </c>
      <c r="F1101" s="2">
        <f>IFERROR(__xludf.DUMMYFUNCTION("""COMPUTED_VALUE"""),3.2378E7)</f>
        <v>32378000</v>
      </c>
      <c r="G1101" s="2">
        <f t="shared" si="1"/>
        <v>100</v>
      </c>
    </row>
    <row r="1102" ht="15.75" customHeight="1">
      <c r="A1102" s="1">
        <f>IFERROR(__xludf.DUMMYFUNCTION("""COMPUTED_VALUE"""),45496.66666666667)</f>
        <v>45496.66667</v>
      </c>
      <c r="B1102" s="2">
        <f>IFERROR(__xludf.DUMMYFUNCTION("""COMPUTED_VALUE"""),5100.0)</f>
        <v>5100</v>
      </c>
      <c r="C1102" s="2">
        <f>IFERROR(__xludf.DUMMYFUNCTION("""COMPUTED_VALUE"""),5125.0)</f>
        <v>5125</v>
      </c>
      <c r="D1102" s="2">
        <f>IFERROR(__xludf.DUMMYFUNCTION("""COMPUTED_VALUE"""),5050.0)</f>
        <v>5050</v>
      </c>
      <c r="E1102" s="2">
        <f>IFERROR(__xludf.DUMMYFUNCTION("""COMPUTED_VALUE"""),5050.0)</f>
        <v>5050</v>
      </c>
      <c r="F1102" s="2">
        <f>IFERROR(__xludf.DUMMYFUNCTION("""COMPUTED_VALUE"""),3.05541E7)</f>
        <v>30554100</v>
      </c>
      <c r="G1102" s="2">
        <f t="shared" si="1"/>
        <v>75</v>
      </c>
    </row>
    <row r="1103" ht="15.75" customHeight="1">
      <c r="A1103" s="1">
        <f>IFERROR(__xludf.DUMMYFUNCTION("""COMPUTED_VALUE"""),45497.66666666667)</f>
        <v>45497.66667</v>
      </c>
      <c r="B1103" s="2">
        <f>IFERROR(__xludf.DUMMYFUNCTION("""COMPUTED_VALUE"""),5050.0)</f>
        <v>5050</v>
      </c>
      <c r="C1103" s="2">
        <f>IFERROR(__xludf.DUMMYFUNCTION("""COMPUTED_VALUE"""),5100.0)</f>
        <v>5100</v>
      </c>
      <c r="D1103" s="2">
        <f>IFERROR(__xludf.DUMMYFUNCTION("""COMPUTED_VALUE"""),5000.0)</f>
        <v>5000</v>
      </c>
      <c r="E1103" s="2">
        <f>IFERROR(__xludf.DUMMYFUNCTION("""COMPUTED_VALUE"""),5100.0)</f>
        <v>5100</v>
      </c>
      <c r="F1103" s="2">
        <f>IFERROR(__xludf.DUMMYFUNCTION("""COMPUTED_VALUE"""),2.34421E7)</f>
        <v>23442100</v>
      </c>
      <c r="G1103" s="2">
        <f t="shared" si="1"/>
        <v>100</v>
      </c>
    </row>
    <row r="1104" ht="15.75" customHeight="1">
      <c r="A1104" s="1">
        <f>IFERROR(__xludf.DUMMYFUNCTION("""COMPUTED_VALUE"""),45498.66666666667)</f>
        <v>45498.66667</v>
      </c>
      <c r="B1104" s="2">
        <f>IFERROR(__xludf.DUMMYFUNCTION("""COMPUTED_VALUE"""),5050.0)</f>
        <v>5050</v>
      </c>
      <c r="C1104" s="2">
        <f>IFERROR(__xludf.DUMMYFUNCTION("""COMPUTED_VALUE"""),5075.0)</f>
        <v>5075</v>
      </c>
      <c r="D1104" s="2">
        <f>IFERROR(__xludf.DUMMYFUNCTION("""COMPUTED_VALUE"""),4980.0)</f>
        <v>4980</v>
      </c>
      <c r="E1104" s="2">
        <f>IFERROR(__xludf.DUMMYFUNCTION("""COMPUTED_VALUE"""),5025.0)</f>
        <v>5025</v>
      </c>
      <c r="F1104" s="2">
        <f>IFERROR(__xludf.DUMMYFUNCTION("""COMPUTED_VALUE"""),5.24633E7)</f>
        <v>52463300</v>
      </c>
      <c r="G1104" s="2">
        <f t="shared" si="1"/>
        <v>120</v>
      </c>
    </row>
    <row r="1105" ht="15.75" customHeight="1">
      <c r="A1105" s="1">
        <f>IFERROR(__xludf.DUMMYFUNCTION("""COMPUTED_VALUE"""),45499.66666666667)</f>
        <v>45499.66667</v>
      </c>
      <c r="B1105" s="2">
        <f>IFERROR(__xludf.DUMMYFUNCTION("""COMPUTED_VALUE"""),5000.0)</f>
        <v>5000</v>
      </c>
      <c r="C1105" s="2">
        <f>IFERROR(__xludf.DUMMYFUNCTION("""COMPUTED_VALUE"""),5075.0)</f>
        <v>5075</v>
      </c>
      <c r="D1105" s="2">
        <f>IFERROR(__xludf.DUMMYFUNCTION("""COMPUTED_VALUE"""),4990.0)</f>
        <v>4990</v>
      </c>
      <c r="E1105" s="2">
        <f>IFERROR(__xludf.DUMMYFUNCTION("""COMPUTED_VALUE"""),5000.0)</f>
        <v>5000</v>
      </c>
      <c r="F1105" s="2">
        <f>IFERROR(__xludf.DUMMYFUNCTION("""COMPUTED_VALUE"""),4.19826E7)</f>
        <v>41982600</v>
      </c>
      <c r="G1105" s="2">
        <f t="shared" si="1"/>
        <v>85</v>
      </c>
    </row>
    <row r="1106" ht="15.75" customHeight="1">
      <c r="A1106" s="1">
        <f>IFERROR(__xludf.DUMMYFUNCTION("""COMPUTED_VALUE"""),45502.66666666667)</f>
        <v>45502.66667</v>
      </c>
      <c r="B1106" s="2">
        <f>IFERROR(__xludf.DUMMYFUNCTION("""COMPUTED_VALUE"""),5025.0)</f>
        <v>5025</v>
      </c>
      <c r="C1106" s="2">
        <f>IFERROR(__xludf.DUMMYFUNCTION("""COMPUTED_VALUE"""),5050.0)</f>
        <v>5050</v>
      </c>
      <c r="D1106" s="2">
        <f>IFERROR(__xludf.DUMMYFUNCTION("""COMPUTED_VALUE"""),5000.0)</f>
        <v>5000</v>
      </c>
      <c r="E1106" s="2">
        <f>IFERROR(__xludf.DUMMYFUNCTION("""COMPUTED_VALUE"""),5025.0)</f>
        <v>5025</v>
      </c>
      <c r="F1106" s="2">
        <f>IFERROR(__xludf.DUMMYFUNCTION("""COMPUTED_VALUE"""),1.98548E7)</f>
        <v>19854800</v>
      </c>
      <c r="G1106" s="2">
        <f t="shared" si="1"/>
        <v>50</v>
      </c>
    </row>
    <row r="1107" ht="15.75" customHeight="1">
      <c r="A1107" s="1">
        <f>IFERROR(__xludf.DUMMYFUNCTION("""COMPUTED_VALUE"""),45503.66666666667)</f>
        <v>45503.66667</v>
      </c>
      <c r="B1107" s="2">
        <f>IFERROR(__xludf.DUMMYFUNCTION("""COMPUTED_VALUE"""),5000.0)</f>
        <v>5000</v>
      </c>
      <c r="C1107" s="2">
        <f>IFERROR(__xludf.DUMMYFUNCTION("""COMPUTED_VALUE"""),5000.0)</f>
        <v>5000</v>
      </c>
      <c r="D1107" s="2">
        <f>IFERROR(__xludf.DUMMYFUNCTION("""COMPUTED_VALUE"""),4950.0)</f>
        <v>4950</v>
      </c>
      <c r="E1107" s="2">
        <f>IFERROR(__xludf.DUMMYFUNCTION("""COMPUTED_VALUE"""),4950.0)</f>
        <v>4950</v>
      </c>
      <c r="F1107" s="2">
        <f>IFERROR(__xludf.DUMMYFUNCTION("""COMPUTED_VALUE"""),3.62345E7)</f>
        <v>36234500</v>
      </c>
      <c r="G1107" s="2">
        <f t="shared" si="1"/>
        <v>75</v>
      </c>
    </row>
    <row r="1108" ht="15.75" customHeight="1">
      <c r="A1108" s="1">
        <f>IFERROR(__xludf.DUMMYFUNCTION("""COMPUTED_VALUE"""),45504.66666666667)</f>
        <v>45504.66667</v>
      </c>
      <c r="B1108" s="2">
        <f>IFERROR(__xludf.DUMMYFUNCTION("""COMPUTED_VALUE"""),4970.0)</f>
        <v>4970</v>
      </c>
      <c r="C1108" s="2">
        <f>IFERROR(__xludf.DUMMYFUNCTION("""COMPUTED_VALUE"""),5025.0)</f>
        <v>5025</v>
      </c>
      <c r="D1108" s="2">
        <f>IFERROR(__xludf.DUMMYFUNCTION("""COMPUTED_VALUE"""),4920.0)</f>
        <v>4920</v>
      </c>
      <c r="E1108" s="2">
        <f>IFERROR(__xludf.DUMMYFUNCTION("""COMPUTED_VALUE"""),4970.0)</f>
        <v>4970</v>
      </c>
      <c r="F1108" s="2">
        <f>IFERROR(__xludf.DUMMYFUNCTION("""COMPUTED_VALUE"""),3.4106E7)</f>
        <v>34106000</v>
      </c>
      <c r="G1108" s="2">
        <f t="shared" si="1"/>
        <v>105</v>
      </c>
    </row>
    <row r="1109" ht="15.75" customHeight="1">
      <c r="A1109" s="1">
        <f>IFERROR(__xludf.DUMMYFUNCTION("""COMPUTED_VALUE"""),45505.66666666667)</f>
        <v>45505.66667</v>
      </c>
      <c r="B1109" s="2">
        <f>IFERROR(__xludf.DUMMYFUNCTION("""COMPUTED_VALUE"""),4940.0)</f>
        <v>4940</v>
      </c>
      <c r="C1109" s="2">
        <f>IFERROR(__xludf.DUMMYFUNCTION("""COMPUTED_VALUE"""),5075.0)</f>
        <v>5075</v>
      </c>
      <c r="D1109" s="2">
        <f>IFERROR(__xludf.DUMMYFUNCTION("""COMPUTED_VALUE"""),4940.0)</f>
        <v>4940</v>
      </c>
      <c r="E1109" s="2">
        <f>IFERROR(__xludf.DUMMYFUNCTION("""COMPUTED_VALUE"""),5075.0)</f>
        <v>5075</v>
      </c>
      <c r="F1109" s="2">
        <f>IFERROR(__xludf.DUMMYFUNCTION("""COMPUTED_VALUE"""),5.42073E7)</f>
        <v>54207300</v>
      </c>
      <c r="G1109" s="2">
        <f t="shared" si="1"/>
        <v>135</v>
      </c>
    </row>
    <row r="1110" ht="15.75" customHeight="1">
      <c r="A1110" s="1">
        <f>IFERROR(__xludf.DUMMYFUNCTION("""COMPUTED_VALUE"""),45506.66666666667)</f>
        <v>45506.66667</v>
      </c>
      <c r="B1110" s="2">
        <f>IFERROR(__xludf.DUMMYFUNCTION("""COMPUTED_VALUE"""),5050.0)</f>
        <v>5050</v>
      </c>
      <c r="C1110" s="2">
        <f>IFERROR(__xludf.DUMMYFUNCTION("""COMPUTED_VALUE"""),5150.0)</f>
        <v>5150</v>
      </c>
      <c r="D1110" s="2">
        <f>IFERROR(__xludf.DUMMYFUNCTION("""COMPUTED_VALUE"""),5025.0)</f>
        <v>5025</v>
      </c>
      <c r="E1110" s="2">
        <f>IFERROR(__xludf.DUMMYFUNCTION("""COMPUTED_VALUE"""),5100.0)</f>
        <v>5100</v>
      </c>
      <c r="F1110" s="2">
        <f>IFERROR(__xludf.DUMMYFUNCTION("""COMPUTED_VALUE"""),7.59593E7)</f>
        <v>75959300</v>
      </c>
      <c r="G1110" s="2">
        <f t="shared" si="1"/>
        <v>125</v>
      </c>
    </row>
    <row r="1111" ht="15.75" customHeight="1">
      <c r="A1111" s="1">
        <f>IFERROR(__xludf.DUMMYFUNCTION("""COMPUTED_VALUE"""),45509.66666666667)</f>
        <v>45509.66667</v>
      </c>
      <c r="B1111" s="2">
        <f>IFERROR(__xludf.DUMMYFUNCTION("""COMPUTED_VALUE"""),5025.0)</f>
        <v>5025</v>
      </c>
      <c r="C1111" s="2">
        <f>IFERROR(__xludf.DUMMYFUNCTION("""COMPUTED_VALUE"""),5050.0)</f>
        <v>5050</v>
      </c>
      <c r="D1111" s="2">
        <f>IFERROR(__xludf.DUMMYFUNCTION("""COMPUTED_VALUE"""),4880.0)</f>
        <v>4880</v>
      </c>
      <c r="E1111" s="2">
        <f>IFERROR(__xludf.DUMMYFUNCTION("""COMPUTED_VALUE"""),4960.0)</f>
        <v>4960</v>
      </c>
      <c r="F1111" s="2">
        <f>IFERROR(__xludf.DUMMYFUNCTION("""COMPUTED_VALUE"""),6.54853E7)</f>
        <v>65485300</v>
      </c>
      <c r="G1111" s="2">
        <f t="shared" si="1"/>
        <v>220</v>
      </c>
    </row>
    <row r="1112" ht="15.75" customHeight="1">
      <c r="A1112" s="1">
        <f>IFERROR(__xludf.DUMMYFUNCTION("""COMPUTED_VALUE"""),45510.66666666667)</f>
        <v>45510.66667</v>
      </c>
      <c r="B1112" s="2">
        <f>IFERROR(__xludf.DUMMYFUNCTION("""COMPUTED_VALUE"""),5000.0)</f>
        <v>5000</v>
      </c>
      <c r="C1112" s="2">
        <f>IFERROR(__xludf.DUMMYFUNCTION("""COMPUTED_VALUE"""),5075.0)</f>
        <v>5075</v>
      </c>
      <c r="D1112" s="2">
        <f>IFERROR(__xludf.DUMMYFUNCTION("""COMPUTED_VALUE"""),4940.0)</f>
        <v>4940</v>
      </c>
      <c r="E1112" s="2">
        <f>IFERROR(__xludf.DUMMYFUNCTION("""COMPUTED_VALUE"""),5025.0)</f>
        <v>5025</v>
      </c>
      <c r="F1112" s="2">
        <f>IFERROR(__xludf.DUMMYFUNCTION("""COMPUTED_VALUE"""),5.18271E7)</f>
        <v>51827100</v>
      </c>
      <c r="G1112" s="2">
        <f t="shared" si="1"/>
        <v>135</v>
      </c>
    </row>
    <row r="1113" ht="15.75" customHeight="1">
      <c r="A1113" s="1">
        <f>IFERROR(__xludf.DUMMYFUNCTION("""COMPUTED_VALUE"""),45511.66666666667)</f>
        <v>45511.66667</v>
      </c>
      <c r="B1113" s="2">
        <f>IFERROR(__xludf.DUMMYFUNCTION("""COMPUTED_VALUE"""),5025.0)</f>
        <v>5025</v>
      </c>
      <c r="C1113" s="2">
        <f>IFERROR(__xludf.DUMMYFUNCTION("""COMPUTED_VALUE"""),5050.0)</f>
        <v>5050</v>
      </c>
      <c r="D1113" s="2">
        <f>IFERROR(__xludf.DUMMYFUNCTION("""COMPUTED_VALUE"""),4980.0)</f>
        <v>4980</v>
      </c>
      <c r="E1113" s="2">
        <f>IFERROR(__xludf.DUMMYFUNCTION("""COMPUTED_VALUE"""),5000.0)</f>
        <v>5000</v>
      </c>
      <c r="F1113" s="2">
        <f>IFERROR(__xludf.DUMMYFUNCTION("""COMPUTED_VALUE"""),3.25565E7)</f>
        <v>32556500</v>
      </c>
      <c r="G1113" s="2">
        <f t="shared" si="1"/>
        <v>70</v>
      </c>
    </row>
    <row r="1114" ht="15.75" customHeight="1">
      <c r="A1114" s="1">
        <f>IFERROR(__xludf.DUMMYFUNCTION("""COMPUTED_VALUE"""),45512.66666666667)</f>
        <v>45512.66667</v>
      </c>
      <c r="B1114" s="2">
        <f>IFERROR(__xludf.DUMMYFUNCTION("""COMPUTED_VALUE"""),5000.0)</f>
        <v>5000</v>
      </c>
      <c r="C1114" s="2">
        <f>IFERROR(__xludf.DUMMYFUNCTION("""COMPUTED_VALUE"""),5100.0)</f>
        <v>5100</v>
      </c>
      <c r="D1114" s="2">
        <f>IFERROR(__xludf.DUMMYFUNCTION("""COMPUTED_VALUE"""),4970.0)</f>
        <v>4970</v>
      </c>
      <c r="E1114" s="2">
        <f>IFERROR(__xludf.DUMMYFUNCTION("""COMPUTED_VALUE"""),5025.0)</f>
        <v>5025</v>
      </c>
      <c r="F1114" s="2">
        <f>IFERROR(__xludf.DUMMYFUNCTION("""COMPUTED_VALUE"""),5.14931E7)</f>
        <v>51493100</v>
      </c>
      <c r="G1114" s="2">
        <f t="shared" si="1"/>
        <v>130</v>
      </c>
    </row>
    <row r="1115" ht="15.75" customHeight="1">
      <c r="A1115" s="1">
        <f>IFERROR(__xludf.DUMMYFUNCTION("""COMPUTED_VALUE"""),45513.66666666667)</f>
        <v>45513.66667</v>
      </c>
      <c r="B1115" s="2">
        <f>IFERROR(__xludf.DUMMYFUNCTION("""COMPUTED_VALUE"""),5050.0)</f>
        <v>5050</v>
      </c>
      <c r="C1115" s="2">
        <f>IFERROR(__xludf.DUMMYFUNCTION("""COMPUTED_VALUE"""),5200.0)</f>
        <v>5200</v>
      </c>
      <c r="D1115" s="2">
        <f>IFERROR(__xludf.DUMMYFUNCTION("""COMPUTED_VALUE"""),5050.0)</f>
        <v>5050</v>
      </c>
      <c r="E1115" s="2">
        <f>IFERROR(__xludf.DUMMYFUNCTION("""COMPUTED_VALUE"""),5125.0)</f>
        <v>5125</v>
      </c>
      <c r="F1115" s="2">
        <f>IFERROR(__xludf.DUMMYFUNCTION("""COMPUTED_VALUE"""),3.30317E7)</f>
        <v>33031700</v>
      </c>
      <c r="G1115" s="2">
        <f t="shared" si="1"/>
        <v>175</v>
      </c>
    </row>
    <row r="1116" ht="15.75" customHeight="1">
      <c r="A1116" s="1">
        <f>IFERROR(__xludf.DUMMYFUNCTION("""COMPUTED_VALUE"""),45516.66666666667)</f>
        <v>45516.66667</v>
      </c>
      <c r="B1116" s="2">
        <f>IFERROR(__xludf.DUMMYFUNCTION("""COMPUTED_VALUE"""),5150.0)</f>
        <v>5150</v>
      </c>
      <c r="C1116" s="2">
        <f>IFERROR(__xludf.DUMMYFUNCTION("""COMPUTED_VALUE"""),5150.0)</f>
        <v>5150</v>
      </c>
      <c r="D1116" s="2">
        <f>IFERROR(__xludf.DUMMYFUNCTION("""COMPUTED_VALUE"""),5075.0)</f>
        <v>5075</v>
      </c>
      <c r="E1116" s="2">
        <f>IFERROR(__xludf.DUMMYFUNCTION("""COMPUTED_VALUE"""),5125.0)</f>
        <v>5125</v>
      </c>
      <c r="F1116" s="2">
        <f>IFERROR(__xludf.DUMMYFUNCTION("""COMPUTED_VALUE"""),1.4296E7)</f>
        <v>14296000</v>
      </c>
      <c r="G1116" s="2">
        <f t="shared" si="1"/>
        <v>75</v>
      </c>
    </row>
    <row r="1117" ht="15.75" customHeight="1">
      <c r="A1117" s="1">
        <f>IFERROR(__xludf.DUMMYFUNCTION("""COMPUTED_VALUE"""),45517.66666666667)</f>
        <v>45517.66667</v>
      </c>
      <c r="B1117" s="2">
        <f>IFERROR(__xludf.DUMMYFUNCTION("""COMPUTED_VALUE"""),5175.0)</f>
        <v>5175</v>
      </c>
      <c r="C1117" s="2">
        <f>IFERROR(__xludf.DUMMYFUNCTION("""COMPUTED_VALUE"""),5200.0)</f>
        <v>5200</v>
      </c>
      <c r="D1117" s="2">
        <f>IFERROR(__xludf.DUMMYFUNCTION("""COMPUTED_VALUE"""),5125.0)</f>
        <v>5125</v>
      </c>
      <c r="E1117" s="2">
        <f>IFERROR(__xludf.DUMMYFUNCTION("""COMPUTED_VALUE"""),5175.0)</f>
        <v>5175</v>
      </c>
      <c r="F1117" s="2">
        <f>IFERROR(__xludf.DUMMYFUNCTION("""COMPUTED_VALUE"""),2.61964E7)</f>
        <v>26196400</v>
      </c>
      <c r="G1117" s="2">
        <f t="shared" si="1"/>
        <v>75</v>
      </c>
    </row>
    <row r="1118" ht="15.75" customHeight="1">
      <c r="A1118" s="1">
        <f>IFERROR(__xludf.DUMMYFUNCTION("""COMPUTED_VALUE"""),45518.66666666667)</f>
        <v>45518.66667</v>
      </c>
      <c r="B1118" s="2">
        <f>IFERROR(__xludf.DUMMYFUNCTION("""COMPUTED_VALUE"""),5250.0)</f>
        <v>5250</v>
      </c>
      <c r="C1118" s="2">
        <f>IFERROR(__xludf.DUMMYFUNCTION("""COMPUTED_VALUE"""),5375.0)</f>
        <v>5375</v>
      </c>
      <c r="D1118" s="2">
        <f>IFERROR(__xludf.DUMMYFUNCTION("""COMPUTED_VALUE"""),5225.0)</f>
        <v>5225</v>
      </c>
      <c r="E1118" s="2">
        <f>IFERROR(__xludf.DUMMYFUNCTION("""COMPUTED_VALUE"""),5275.0)</f>
        <v>5275</v>
      </c>
      <c r="F1118" s="2">
        <f>IFERROR(__xludf.DUMMYFUNCTION("""COMPUTED_VALUE"""),9.31125E7)</f>
        <v>93112500</v>
      </c>
      <c r="G1118" s="2">
        <f t="shared" si="1"/>
        <v>200</v>
      </c>
    </row>
    <row r="1119" ht="15.75" customHeight="1">
      <c r="A1119" s="1">
        <f>IFERROR(__xludf.DUMMYFUNCTION("""COMPUTED_VALUE"""),45519.66666666667)</f>
        <v>45519.66667</v>
      </c>
      <c r="B1119" s="2">
        <f>IFERROR(__xludf.DUMMYFUNCTION("""COMPUTED_VALUE"""),5300.0)</f>
        <v>5300</v>
      </c>
      <c r="C1119" s="2">
        <f>IFERROR(__xludf.DUMMYFUNCTION("""COMPUTED_VALUE"""),5325.0)</f>
        <v>5325</v>
      </c>
      <c r="D1119" s="2">
        <f>IFERROR(__xludf.DUMMYFUNCTION("""COMPUTED_VALUE"""),5225.0)</f>
        <v>5225</v>
      </c>
      <c r="E1119" s="2">
        <f>IFERROR(__xludf.DUMMYFUNCTION("""COMPUTED_VALUE"""),5250.0)</f>
        <v>5250</v>
      </c>
      <c r="F1119" s="2">
        <f>IFERROR(__xludf.DUMMYFUNCTION("""COMPUTED_VALUE"""),3.30347E7)</f>
        <v>33034700</v>
      </c>
      <c r="G1119" s="2">
        <f t="shared" si="1"/>
        <v>100</v>
      </c>
    </row>
    <row r="1120" ht="15.75" customHeight="1">
      <c r="A1120" s="1">
        <f>IFERROR(__xludf.DUMMYFUNCTION("""COMPUTED_VALUE"""),45520.66666666667)</f>
        <v>45520.66667</v>
      </c>
      <c r="B1120" s="2">
        <f>IFERROR(__xludf.DUMMYFUNCTION("""COMPUTED_VALUE"""),5300.0)</f>
        <v>5300</v>
      </c>
      <c r="C1120" s="2">
        <f>IFERROR(__xludf.DUMMYFUNCTION("""COMPUTED_VALUE"""),5350.0)</f>
        <v>5350</v>
      </c>
      <c r="D1120" s="2">
        <f>IFERROR(__xludf.DUMMYFUNCTION("""COMPUTED_VALUE"""),5275.0)</f>
        <v>5275</v>
      </c>
      <c r="E1120" s="2">
        <f>IFERROR(__xludf.DUMMYFUNCTION("""COMPUTED_VALUE"""),5300.0)</f>
        <v>5300</v>
      </c>
      <c r="F1120" s="2">
        <f>IFERROR(__xludf.DUMMYFUNCTION("""COMPUTED_VALUE"""),3.36049E7)</f>
        <v>33604900</v>
      </c>
      <c r="G1120" s="2">
        <f t="shared" si="1"/>
        <v>100</v>
      </c>
    </row>
    <row r="1121" ht="15.75" customHeight="1">
      <c r="A1121" s="1">
        <f>IFERROR(__xludf.DUMMYFUNCTION("""COMPUTED_VALUE"""),45523.66666666667)</f>
        <v>45523.66667</v>
      </c>
      <c r="B1121" s="2">
        <f>IFERROR(__xludf.DUMMYFUNCTION("""COMPUTED_VALUE"""),5300.0)</f>
        <v>5300</v>
      </c>
      <c r="C1121" s="2">
        <f>IFERROR(__xludf.DUMMYFUNCTION("""COMPUTED_VALUE"""),5450.0)</f>
        <v>5450</v>
      </c>
      <c r="D1121" s="2">
        <f>IFERROR(__xludf.DUMMYFUNCTION("""COMPUTED_VALUE"""),5275.0)</f>
        <v>5275</v>
      </c>
      <c r="E1121" s="2">
        <f>IFERROR(__xludf.DUMMYFUNCTION("""COMPUTED_VALUE"""),5350.0)</f>
        <v>5350</v>
      </c>
      <c r="F1121" s="2">
        <f>IFERROR(__xludf.DUMMYFUNCTION("""COMPUTED_VALUE"""),5.56619E7)</f>
        <v>55661900</v>
      </c>
      <c r="G1121" s="2">
        <f t="shared" si="1"/>
        <v>175</v>
      </c>
    </row>
    <row r="1122" ht="15.75" customHeight="1">
      <c r="A1122" s="1">
        <f>IFERROR(__xludf.DUMMYFUNCTION("""COMPUTED_VALUE"""),45524.66666666667)</f>
        <v>45524.66667</v>
      </c>
      <c r="B1122" s="2">
        <f>IFERROR(__xludf.DUMMYFUNCTION("""COMPUTED_VALUE"""),5375.0)</f>
        <v>5375</v>
      </c>
      <c r="C1122" s="2">
        <f>IFERROR(__xludf.DUMMYFUNCTION("""COMPUTED_VALUE"""),5500.0)</f>
        <v>5500</v>
      </c>
      <c r="D1122" s="2">
        <f>IFERROR(__xludf.DUMMYFUNCTION("""COMPUTED_VALUE"""),5375.0)</f>
        <v>5375</v>
      </c>
      <c r="E1122" s="2">
        <f>IFERROR(__xludf.DUMMYFUNCTION("""COMPUTED_VALUE"""),5475.0)</f>
        <v>5475</v>
      </c>
      <c r="F1122" s="2">
        <f>IFERROR(__xludf.DUMMYFUNCTION("""COMPUTED_VALUE"""),6.99783E7)</f>
        <v>69978300</v>
      </c>
      <c r="G1122" s="2">
        <f t="shared" si="1"/>
        <v>150</v>
      </c>
    </row>
    <row r="1123" ht="15.75" customHeight="1">
      <c r="A1123" s="1">
        <f>IFERROR(__xludf.DUMMYFUNCTION("""COMPUTED_VALUE"""),45525.66666666667)</f>
        <v>45525.66667</v>
      </c>
      <c r="B1123" s="2">
        <f>IFERROR(__xludf.DUMMYFUNCTION("""COMPUTED_VALUE"""),5475.0)</f>
        <v>5475</v>
      </c>
      <c r="C1123" s="2">
        <f>IFERROR(__xludf.DUMMYFUNCTION("""COMPUTED_VALUE"""),5550.0)</f>
        <v>5550</v>
      </c>
      <c r="D1123" s="2">
        <f>IFERROR(__xludf.DUMMYFUNCTION("""COMPUTED_VALUE"""),5425.0)</f>
        <v>5425</v>
      </c>
      <c r="E1123" s="2">
        <f>IFERROR(__xludf.DUMMYFUNCTION("""COMPUTED_VALUE"""),5450.0)</f>
        <v>5450</v>
      </c>
      <c r="F1123" s="2">
        <f>IFERROR(__xludf.DUMMYFUNCTION("""COMPUTED_VALUE"""),9.27039E7)</f>
        <v>92703900</v>
      </c>
      <c r="G1123" s="2">
        <f t="shared" si="1"/>
        <v>125</v>
      </c>
    </row>
    <row r="1124" ht="15.75" customHeight="1">
      <c r="A1124" s="1">
        <f>IFERROR(__xludf.DUMMYFUNCTION("""COMPUTED_VALUE"""),45526.66666666667)</f>
        <v>45526.66667</v>
      </c>
      <c r="B1124" s="2">
        <f>IFERROR(__xludf.DUMMYFUNCTION("""COMPUTED_VALUE"""),5425.0)</f>
        <v>5425</v>
      </c>
      <c r="C1124" s="2">
        <f>IFERROR(__xludf.DUMMYFUNCTION("""COMPUTED_VALUE"""),5425.0)</f>
        <v>5425</v>
      </c>
      <c r="D1124" s="2">
        <f>IFERROR(__xludf.DUMMYFUNCTION("""COMPUTED_VALUE"""),5225.0)</f>
        <v>5225</v>
      </c>
      <c r="E1124" s="2">
        <f>IFERROR(__xludf.DUMMYFUNCTION("""COMPUTED_VALUE"""),5275.0)</f>
        <v>5275</v>
      </c>
      <c r="F1124" s="2">
        <f>IFERROR(__xludf.DUMMYFUNCTION("""COMPUTED_VALUE"""),7.26266E7)</f>
        <v>72626600</v>
      </c>
      <c r="G1124" s="2">
        <f t="shared" si="1"/>
        <v>225</v>
      </c>
    </row>
    <row r="1125" ht="15.75" customHeight="1">
      <c r="A1125" s="1">
        <f>IFERROR(__xludf.DUMMYFUNCTION("""COMPUTED_VALUE"""),45527.66666666667)</f>
        <v>45527.66667</v>
      </c>
      <c r="B1125" s="2">
        <f>IFERROR(__xludf.DUMMYFUNCTION("""COMPUTED_VALUE"""),5300.0)</f>
        <v>5300</v>
      </c>
      <c r="C1125" s="2">
        <f>IFERROR(__xludf.DUMMYFUNCTION("""COMPUTED_VALUE"""),5500.0)</f>
        <v>5500</v>
      </c>
      <c r="D1125" s="2">
        <f>IFERROR(__xludf.DUMMYFUNCTION("""COMPUTED_VALUE"""),5300.0)</f>
        <v>5300</v>
      </c>
      <c r="E1125" s="2">
        <f>IFERROR(__xludf.DUMMYFUNCTION("""COMPUTED_VALUE"""),5450.0)</f>
        <v>5450</v>
      </c>
      <c r="F1125" s="2">
        <f>IFERROR(__xludf.DUMMYFUNCTION("""COMPUTED_VALUE"""),6.99053E7)</f>
        <v>69905300</v>
      </c>
      <c r="G1125" s="2">
        <f t="shared" si="1"/>
        <v>225</v>
      </c>
    </row>
    <row r="1126" ht="15.75" customHeight="1">
      <c r="A1126" s="1">
        <f>IFERROR(__xludf.DUMMYFUNCTION("""COMPUTED_VALUE"""),45530.66666666667)</f>
        <v>45530.66667</v>
      </c>
      <c r="B1126" s="2">
        <f>IFERROR(__xludf.DUMMYFUNCTION("""COMPUTED_VALUE"""),5450.0)</f>
        <v>5450</v>
      </c>
      <c r="C1126" s="2">
        <f>IFERROR(__xludf.DUMMYFUNCTION("""COMPUTED_VALUE"""),5550.0)</f>
        <v>5550</v>
      </c>
      <c r="D1126" s="2">
        <f>IFERROR(__xludf.DUMMYFUNCTION("""COMPUTED_VALUE"""),5450.0)</f>
        <v>5450</v>
      </c>
      <c r="E1126" s="2">
        <f>IFERROR(__xludf.DUMMYFUNCTION("""COMPUTED_VALUE"""),5525.0)</f>
        <v>5525</v>
      </c>
      <c r="F1126" s="2">
        <f>IFERROR(__xludf.DUMMYFUNCTION("""COMPUTED_VALUE"""),6.84357E7)</f>
        <v>68435700</v>
      </c>
      <c r="G1126" s="2">
        <f t="shared" si="1"/>
        <v>100</v>
      </c>
    </row>
    <row r="1127" ht="15.75" customHeight="1">
      <c r="A1127" s="1">
        <f>IFERROR(__xludf.DUMMYFUNCTION("""COMPUTED_VALUE"""),45531.66666666667)</f>
        <v>45531.66667</v>
      </c>
      <c r="B1127" s="2">
        <f>IFERROR(__xludf.DUMMYFUNCTION("""COMPUTED_VALUE"""),5525.0)</f>
        <v>5525</v>
      </c>
      <c r="C1127" s="2">
        <f>IFERROR(__xludf.DUMMYFUNCTION("""COMPUTED_VALUE"""),5550.0)</f>
        <v>5550</v>
      </c>
      <c r="D1127" s="2">
        <f>IFERROR(__xludf.DUMMYFUNCTION("""COMPUTED_VALUE"""),5350.0)</f>
        <v>5350</v>
      </c>
      <c r="E1127" s="2">
        <f>IFERROR(__xludf.DUMMYFUNCTION("""COMPUTED_VALUE"""),5400.0)</f>
        <v>5400</v>
      </c>
      <c r="F1127" s="2">
        <f>IFERROR(__xludf.DUMMYFUNCTION("""COMPUTED_VALUE"""),5.71357E7)</f>
        <v>57135700</v>
      </c>
      <c r="G1127" s="2">
        <f t="shared" si="1"/>
        <v>200</v>
      </c>
    </row>
    <row r="1128" ht="15.75" customHeight="1">
      <c r="A1128" s="1">
        <f>IFERROR(__xludf.DUMMYFUNCTION("""COMPUTED_VALUE"""),45532.66666666667)</f>
        <v>45532.66667</v>
      </c>
      <c r="B1128" s="2">
        <f>IFERROR(__xludf.DUMMYFUNCTION("""COMPUTED_VALUE"""),5400.0)</f>
        <v>5400</v>
      </c>
      <c r="C1128" s="2">
        <f>IFERROR(__xludf.DUMMYFUNCTION("""COMPUTED_VALUE"""),5425.0)</f>
        <v>5425</v>
      </c>
      <c r="D1128" s="2">
        <f>IFERROR(__xludf.DUMMYFUNCTION("""COMPUTED_VALUE"""),5275.0)</f>
        <v>5275</v>
      </c>
      <c r="E1128" s="2">
        <f>IFERROR(__xludf.DUMMYFUNCTION("""COMPUTED_VALUE"""),5375.0)</f>
        <v>5375</v>
      </c>
      <c r="F1128" s="2">
        <f>IFERROR(__xludf.DUMMYFUNCTION("""COMPUTED_VALUE"""),4.84765E7)</f>
        <v>48476500</v>
      </c>
      <c r="G1128" s="2">
        <f t="shared" si="1"/>
        <v>150</v>
      </c>
    </row>
    <row r="1129" ht="15.75" customHeight="1">
      <c r="A1129" s="1">
        <f>IFERROR(__xludf.DUMMYFUNCTION("""COMPUTED_VALUE"""),45533.66666666667)</f>
        <v>45533.66667</v>
      </c>
      <c r="B1129" s="2">
        <f>IFERROR(__xludf.DUMMYFUNCTION("""COMPUTED_VALUE"""),5425.0)</f>
        <v>5425</v>
      </c>
      <c r="C1129" s="2">
        <f>IFERROR(__xludf.DUMMYFUNCTION("""COMPUTED_VALUE"""),5425.0)</f>
        <v>5425</v>
      </c>
      <c r="D1129" s="2">
        <f>IFERROR(__xludf.DUMMYFUNCTION("""COMPUTED_VALUE"""),5300.0)</f>
        <v>5300</v>
      </c>
      <c r="E1129" s="2">
        <f>IFERROR(__xludf.DUMMYFUNCTION("""COMPUTED_VALUE"""),5300.0)</f>
        <v>5300</v>
      </c>
      <c r="F1129" s="2">
        <f>IFERROR(__xludf.DUMMYFUNCTION("""COMPUTED_VALUE"""),4.07492E7)</f>
        <v>40749200</v>
      </c>
      <c r="G1129" s="2">
        <f t="shared" si="1"/>
        <v>125</v>
      </c>
    </row>
    <row r="1130" ht="15.75" customHeight="1">
      <c r="A1130" s="1">
        <f>IFERROR(__xludf.DUMMYFUNCTION("""COMPUTED_VALUE"""),45534.66666666667)</f>
        <v>45534.66667</v>
      </c>
      <c r="B1130" s="2">
        <f>IFERROR(__xludf.DUMMYFUNCTION("""COMPUTED_VALUE"""),5300.0)</f>
        <v>5300</v>
      </c>
      <c r="C1130" s="2">
        <f>IFERROR(__xludf.DUMMYFUNCTION("""COMPUTED_VALUE"""),5400.0)</f>
        <v>5400</v>
      </c>
      <c r="D1130" s="2">
        <f>IFERROR(__xludf.DUMMYFUNCTION("""COMPUTED_VALUE"""),5300.0)</f>
        <v>5300</v>
      </c>
      <c r="E1130" s="2">
        <f>IFERROR(__xludf.DUMMYFUNCTION("""COMPUTED_VALUE"""),5350.0)</f>
        <v>5350</v>
      </c>
      <c r="F1130" s="2">
        <f>IFERROR(__xludf.DUMMYFUNCTION("""COMPUTED_VALUE"""),8.67185E7)</f>
        <v>86718500</v>
      </c>
      <c r="G1130" s="2">
        <f t="shared" si="1"/>
        <v>100</v>
      </c>
    </row>
    <row r="1131" ht="15.75" customHeight="1">
      <c r="A1131" s="1">
        <f>IFERROR(__xludf.DUMMYFUNCTION("""COMPUTED_VALUE"""),45537.66666666667)</f>
        <v>45537.66667</v>
      </c>
      <c r="B1131" s="2">
        <f>IFERROR(__xludf.DUMMYFUNCTION("""COMPUTED_VALUE"""),5350.0)</f>
        <v>5350</v>
      </c>
      <c r="C1131" s="2">
        <f>IFERROR(__xludf.DUMMYFUNCTION("""COMPUTED_VALUE"""),5400.0)</f>
        <v>5400</v>
      </c>
      <c r="D1131" s="2">
        <f>IFERROR(__xludf.DUMMYFUNCTION("""COMPUTED_VALUE"""),5325.0)</f>
        <v>5325</v>
      </c>
      <c r="E1131" s="2">
        <f>IFERROR(__xludf.DUMMYFUNCTION("""COMPUTED_VALUE"""),5350.0)</f>
        <v>5350</v>
      </c>
      <c r="F1131" s="2">
        <f>IFERROR(__xludf.DUMMYFUNCTION("""COMPUTED_VALUE"""),2.29881E7)</f>
        <v>22988100</v>
      </c>
      <c r="G1131" s="2">
        <f t="shared" si="1"/>
        <v>75</v>
      </c>
    </row>
    <row r="1132" ht="15.75" customHeight="1">
      <c r="A1132" s="1">
        <f>IFERROR(__xludf.DUMMYFUNCTION("""COMPUTED_VALUE"""),45538.66666666667)</f>
        <v>45538.66667</v>
      </c>
      <c r="B1132" s="2">
        <f>IFERROR(__xludf.DUMMYFUNCTION("""COMPUTED_VALUE"""),5375.0)</f>
        <v>5375</v>
      </c>
      <c r="C1132" s="2">
        <f>IFERROR(__xludf.DUMMYFUNCTION("""COMPUTED_VALUE"""),5400.0)</f>
        <v>5400</v>
      </c>
      <c r="D1132" s="2">
        <f>IFERROR(__xludf.DUMMYFUNCTION("""COMPUTED_VALUE"""),5325.0)</f>
        <v>5325</v>
      </c>
      <c r="E1132" s="2">
        <f>IFERROR(__xludf.DUMMYFUNCTION("""COMPUTED_VALUE"""),5375.0)</f>
        <v>5375</v>
      </c>
      <c r="F1132" s="2">
        <f>IFERROR(__xludf.DUMMYFUNCTION("""COMPUTED_VALUE"""),2.02887E7)</f>
        <v>20288700</v>
      </c>
      <c r="G1132" s="2">
        <f t="shared" si="1"/>
        <v>75</v>
      </c>
    </row>
    <row r="1133" ht="15.75" customHeight="1">
      <c r="A1133" s="1">
        <f>IFERROR(__xludf.DUMMYFUNCTION("""COMPUTED_VALUE"""),45539.66666666667)</f>
        <v>45539.66667</v>
      </c>
      <c r="B1133" s="2">
        <f>IFERROR(__xludf.DUMMYFUNCTION("""COMPUTED_VALUE"""),5325.0)</f>
        <v>5325</v>
      </c>
      <c r="C1133" s="2">
        <f>IFERROR(__xludf.DUMMYFUNCTION("""COMPUTED_VALUE"""),5375.0)</f>
        <v>5375</v>
      </c>
      <c r="D1133" s="2">
        <f>IFERROR(__xludf.DUMMYFUNCTION("""COMPUTED_VALUE"""),5300.0)</f>
        <v>5300</v>
      </c>
      <c r="E1133" s="2">
        <f>IFERROR(__xludf.DUMMYFUNCTION("""COMPUTED_VALUE"""),5350.0)</f>
        <v>5350</v>
      </c>
      <c r="F1133" s="2">
        <f>IFERROR(__xludf.DUMMYFUNCTION("""COMPUTED_VALUE"""),4.72787E7)</f>
        <v>47278700</v>
      </c>
      <c r="G1133" s="2">
        <f t="shared" si="1"/>
        <v>75</v>
      </c>
    </row>
    <row r="1134" ht="15.75" customHeight="1">
      <c r="A1134" s="1">
        <f>IFERROR(__xludf.DUMMYFUNCTION("""COMPUTED_VALUE"""),45540.66666666667)</f>
        <v>45540.66667</v>
      </c>
      <c r="B1134" s="2">
        <f>IFERROR(__xludf.DUMMYFUNCTION("""COMPUTED_VALUE"""),5375.0)</f>
        <v>5375</v>
      </c>
      <c r="C1134" s="2">
        <f>IFERROR(__xludf.DUMMYFUNCTION("""COMPUTED_VALUE"""),5450.0)</f>
        <v>5450</v>
      </c>
      <c r="D1134" s="2">
        <f>IFERROR(__xludf.DUMMYFUNCTION("""COMPUTED_VALUE"""),5350.0)</f>
        <v>5350</v>
      </c>
      <c r="E1134" s="2">
        <f>IFERROR(__xludf.DUMMYFUNCTION("""COMPUTED_VALUE"""),5450.0)</f>
        <v>5450</v>
      </c>
      <c r="F1134" s="2">
        <f>IFERROR(__xludf.DUMMYFUNCTION("""COMPUTED_VALUE"""),6.22218E7)</f>
        <v>62221800</v>
      </c>
      <c r="G1134" s="2">
        <f t="shared" si="1"/>
        <v>100</v>
      </c>
    </row>
    <row r="1135" ht="15.75" customHeight="1">
      <c r="A1135" s="1">
        <f>IFERROR(__xludf.DUMMYFUNCTION("""COMPUTED_VALUE"""),45541.66666666667)</f>
        <v>45541.66667</v>
      </c>
      <c r="B1135" s="2">
        <f>IFERROR(__xludf.DUMMYFUNCTION("""COMPUTED_VALUE"""),5500.0)</f>
        <v>5500</v>
      </c>
      <c r="C1135" s="2">
        <f>IFERROR(__xludf.DUMMYFUNCTION("""COMPUTED_VALUE"""),5675.0)</f>
        <v>5675</v>
      </c>
      <c r="D1135" s="2">
        <f>IFERROR(__xludf.DUMMYFUNCTION("""COMPUTED_VALUE"""),5475.0)</f>
        <v>5475</v>
      </c>
      <c r="E1135" s="2">
        <f>IFERROR(__xludf.DUMMYFUNCTION("""COMPUTED_VALUE"""),5650.0)</f>
        <v>5650</v>
      </c>
      <c r="F1135" s="2">
        <f>IFERROR(__xludf.DUMMYFUNCTION("""COMPUTED_VALUE"""),1.393653E8)</f>
        <v>139365300</v>
      </c>
      <c r="G1135" s="2">
        <f t="shared" si="1"/>
        <v>225</v>
      </c>
    </row>
    <row r="1136" ht="15.75" customHeight="1">
      <c r="A1136" s="1">
        <f>IFERROR(__xludf.DUMMYFUNCTION("""COMPUTED_VALUE"""),45544.66666666667)</f>
        <v>45544.66667</v>
      </c>
      <c r="B1136" s="2">
        <f>IFERROR(__xludf.DUMMYFUNCTION("""COMPUTED_VALUE"""),5650.0)</f>
        <v>5650</v>
      </c>
      <c r="C1136" s="2">
        <f>IFERROR(__xludf.DUMMYFUNCTION("""COMPUTED_VALUE"""),5750.0)</f>
        <v>5750</v>
      </c>
      <c r="D1136" s="2">
        <f>IFERROR(__xludf.DUMMYFUNCTION("""COMPUTED_VALUE"""),5625.0)</f>
        <v>5625</v>
      </c>
      <c r="E1136" s="2">
        <f>IFERROR(__xludf.DUMMYFUNCTION("""COMPUTED_VALUE"""),5725.0)</f>
        <v>5725</v>
      </c>
      <c r="F1136" s="2">
        <f>IFERROR(__xludf.DUMMYFUNCTION("""COMPUTED_VALUE"""),7.88275E7)</f>
        <v>78827500</v>
      </c>
      <c r="G1136" s="2">
        <f t="shared" si="1"/>
        <v>125</v>
      </c>
    </row>
    <row r="1137" ht="15.75" customHeight="1">
      <c r="A1137" s="1">
        <f>IFERROR(__xludf.DUMMYFUNCTION("""COMPUTED_VALUE"""),45545.66666666667)</f>
        <v>45545.66667</v>
      </c>
      <c r="B1137" s="2">
        <f>IFERROR(__xludf.DUMMYFUNCTION("""COMPUTED_VALUE"""),5750.0)</f>
        <v>5750</v>
      </c>
      <c r="C1137" s="2">
        <f>IFERROR(__xludf.DUMMYFUNCTION("""COMPUTED_VALUE"""),5775.0)</f>
        <v>5775</v>
      </c>
      <c r="D1137" s="2">
        <f>IFERROR(__xludf.DUMMYFUNCTION("""COMPUTED_VALUE"""),5700.0)</f>
        <v>5700</v>
      </c>
      <c r="E1137" s="2">
        <f>IFERROR(__xludf.DUMMYFUNCTION("""COMPUTED_VALUE"""),5700.0)</f>
        <v>5700</v>
      </c>
      <c r="F1137" s="2">
        <f>IFERROR(__xludf.DUMMYFUNCTION("""COMPUTED_VALUE"""),5.50339E7)</f>
        <v>55033900</v>
      </c>
      <c r="G1137" s="2">
        <f t="shared" si="1"/>
        <v>75</v>
      </c>
    </row>
    <row r="1138" ht="15.75" customHeight="1">
      <c r="A1138" s="1">
        <f>IFERROR(__xludf.DUMMYFUNCTION("""COMPUTED_VALUE"""),45546.66666666667)</f>
        <v>45546.66667</v>
      </c>
      <c r="B1138" s="2">
        <f>IFERROR(__xludf.DUMMYFUNCTION("""COMPUTED_VALUE"""),5700.0)</f>
        <v>5700</v>
      </c>
      <c r="C1138" s="2">
        <f>IFERROR(__xludf.DUMMYFUNCTION("""COMPUTED_VALUE"""),5750.0)</f>
        <v>5750</v>
      </c>
      <c r="D1138" s="2">
        <f>IFERROR(__xludf.DUMMYFUNCTION("""COMPUTED_VALUE"""),5650.0)</f>
        <v>5650</v>
      </c>
      <c r="E1138" s="2">
        <f>IFERROR(__xludf.DUMMYFUNCTION("""COMPUTED_VALUE"""),5650.0)</f>
        <v>5650</v>
      </c>
      <c r="F1138" s="2">
        <f>IFERROR(__xludf.DUMMYFUNCTION("""COMPUTED_VALUE"""),3.37926E7)</f>
        <v>33792600</v>
      </c>
      <c r="G1138" s="2">
        <f t="shared" si="1"/>
        <v>100</v>
      </c>
    </row>
    <row r="1139" ht="15.75" customHeight="1">
      <c r="A1139" s="1">
        <f>IFERROR(__xludf.DUMMYFUNCTION("""COMPUTED_VALUE"""),45547.66666666667)</f>
        <v>45547.66667</v>
      </c>
      <c r="B1139" s="2">
        <f>IFERROR(__xludf.DUMMYFUNCTION("""COMPUTED_VALUE"""),5625.0)</f>
        <v>5625</v>
      </c>
      <c r="C1139" s="2">
        <f>IFERROR(__xludf.DUMMYFUNCTION("""COMPUTED_VALUE"""),5650.0)</f>
        <v>5650</v>
      </c>
      <c r="D1139" s="2">
        <f>IFERROR(__xludf.DUMMYFUNCTION("""COMPUTED_VALUE"""),5575.0)</f>
        <v>5575</v>
      </c>
      <c r="E1139" s="2">
        <f>IFERROR(__xludf.DUMMYFUNCTION("""COMPUTED_VALUE"""),5600.0)</f>
        <v>5600</v>
      </c>
      <c r="F1139" s="2">
        <f>IFERROR(__xludf.DUMMYFUNCTION("""COMPUTED_VALUE"""),4.33186E7)</f>
        <v>43318600</v>
      </c>
      <c r="G1139" s="2">
        <f t="shared" si="1"/>
        <v>75</v>
      </c>
    </row>
    <row r="1140" ht="15.75" customHeight="1">
      <c r="A1140" s="1">
        <f>IFERROR(__xludf.DUMMYFUNCTION("""COMPUTED_VALUE"""),45548.66666666667)</f>
        <v>45548.66667</v>
      </c>
      <c r="B1140" s="2">
        <f>IFERROR(__xludf.DUMMYFUNCTION("""COMPUTED_VALUE"""),5600.0)</f>
        <v>5600</v>
      </c>
      <c r="C1140" s="2">
        <f>IFERROR(__xludf.DUMMYFUNCTION("""COMPUTED_VALUE"""),5650.0)</f>
        <v>5650</v>
      </c>
      <c r="D1140" s="2">
        <f>IFERROR(__xludf.DUMMYFUNCTION("""COMPUTED_VALUE"""),5575.0)</f>
        <v>5575</v>
      </c>
      <c r="E1140" s="2">
        <f>IFERROR(__xludf.DUMMYFUNCTION("""COMPUTED_VALUE"""),5625.0)</f>
        <v>5625</v>
      </c>
      <c r="F1140" s="2">
        <f>IFERROR(__xludf.DUMMYFUNCTION("""COMPUTED_VALUE"""),3.43117E7)</f>
        <v>34311700</v>
      </c>
      <c r="G1140" s="2">
        <f t="shared" si="1"/>
        <v>75</v>
      </c>
    </row>
    <row r="1141" ht="15.75" customHeight="1">
      <c r="A1141" s="1">
        <f>IFERROR(__xludf.DUMMYFUNCTION("""COMPUTED_VALUE"""),45552.66666666667)</f>
        <v>45552.66667</v>
      </c>
      <c r="B1141" s="2">
        <f>IFERROR(__xludf.DUMMYFUNCTION("""COMPUTED_VALUE"""),5600.0)</f>
        <v>5600</v>
      </c>
      <c r="C1141" s="2">
        <f>IFERROR(__xludf.DUMMYFUNCTION("""COMPUTED_VALUE"""),5700.0)</f>
        <v>5700</v>
      </c>
      <c r="D1141" s="2">
        <f>IFERROR(__xludf.DUMMYFUNCTION("""COMPUTED_VALUE"""),5600.0)</f>
        <v>5600</v>
      </c>
      <c r="E1141" s="2">
        <f>IFERROR(__xludf.DUMMYFUNCTION("""COMPUTED_VALUE"""),5650.0)</f>
        <v>5650</v>
      </c>
      <c r="F1141" s="2">
        <f>IFERROR(__xludf.DUMMYFUNCTION("""COMPUTED_VALUE"""),4.07762E7)</f>
        <v>40776200</v>
      </c>
      <c r="G1141" s="2">
        <f t="shared" si="1"/>
        <v>100</v>
      </c>
    </row>
    <row r="1142" ht="15.75" customHeight="1">
      <c r="A1142" s="1">
        <f>IFERROR(__xludf.DUMMYFUNCTION("""COMPUTED_VALUE"""),45553.66666666667)</f>
        <v>45553.66667</v>
      </c>
      <c r="B1142" s="2">
        <f>IFERROR(__xludf.DUMMYFUNCTION("""COMPUTED_VALUE"""),5700.0)</f>
        <v>5700</v>
      </c>
      <c r="C1142" s="2">
        <f>IFERROR(__xludf.DUMMYFUNCTION("""COMPUTED_VALUE"""),5700.0)</f>
        <v>5700</v>
      </c>
      <c r="D1142" s="2">
        <f>IFERROR(__xludf.DUMMYFUNCTION("""COMPUTED_VALUE"""),5600.0)</f>
        <v>5600</v>
      </c>
      <c r="E1142" s="2">
        <f>IFERROR(__xludf.DUMMYFUNCTION("""COMPUTED_VALUE"""),5700.0)</f>
        <v>5700</v>
      </c>
      <c r="F1142" s="2">
        <f>IFERROR(__xludf.DUMMYFUNCTION("""COMPUTED_VALUE"""),6.44892E7)</f>
        <v>64489200</v>
      </c>
      <c r="G1142" s="2">
        <f t="shared" si="1"/>
        <v>100</v>
      </c>
    </row>
    <row r="1143" ht="15.75" customHeight="1">
      <c r="A1143" s="1">
        <f>IFERROR(__xludf.DUMMYFUNCTION("""COMPUTED_VALUE"""),45554.66666666667)</f>
        <v>45554.66667</v>
      </c>
      <c r="B1143" s="2">
        <f>IFERROR(__xludf.DUMMYFUNCTION("""COMPUTED_VALUE"""),5800.0)</f>
        <v>5800</v>
      </c>
      <c r="C1143" s="2">
        <f>IFERROR(__xludf.DUMMYFUNCTION("""COMPUTED_VALUE"""),5850.0)</f>
        <v>5850</v>
      </c>
      <c r="D1143" s="2">
        <f>IFERROR(__xludf.DUMMYFUNCTION("""COMPUTED_VALUE"""),5750.0)</f>
        <v>5750</v>
      </c>
      <c r="E1143" s="2">
        <f>IFERROR(__xludf.DUMMYFUNCTION("""COMPUTED_VALUE"""),5825.0)</f>
        <v>5825</v>
      </c>
      <c r="F1143" s="2">
        <f>IFERROR(__xludf.DUMMYFUNCTION("""COMPUTED_VALUE"""),9.38478E7)</f>
        <v>93847800</v>
      </c>
      <c r="G1143" s="2">
        <f t="shared" si="1"/>
        <v>150</v>
      </c>
    </row>
    <row r="1144" ht="15.75" customHeight="1">
      <c r="A1144" s="1">
        <f>IFERROR(__xludf.DUMMYFUNCTION("""COMPUTED_VALUE"""),45555.66666666667)</f>
        <v>45555.66667</v>
      </c>
      <c r="B1144" s="2">
        <f>IFERROR(__xludf.DUMMYFUNCTION("""COMPUTED_VALUE"""),5825.0)</f>
        <v>5825</v>
      </c>
      <c r="C1144" s="2">
        <f>IFERROR(__xludf.DUMMYFUNCTION("""COMPUTED_VALUE"""),5825.0)</f>
        <v>5825</v>
      </c>
      <c r="D1144" s="2">
        <f>IFERROR(__xludf.DUMMYFUNCTION("""COMPUTED_VALUE"""),5750.0)</f>
        <v>5750</v>
      </c>
      <c r="E1144" s="2">
        <f>IFERROR(__xludf.DUMMYFUNCTION("""COMPUTED_VALUE"""),5750.0)</f>
        <v>5750</v>
      </c>
      <c r="F1144" s="2">
        <f>IFERROR(__xludf.DUMMYFUNCTION("""COMPUTED_VALUE"""),4.76736E7)</f>
        <v>47673600</v>
      </c>
      <c r="G1144" s="2">
        <f t="shared" si="1"/>
        <v>75</v>
      </c>
    </row>
    <row r="1145" ht="15.75" customHeight="1">
      <c r="A1145" s="1">
        <f>IFERROR(__xludf.DUMMYFUNCTION("""COMPUTED_VALUE"""),45558.66666666667)</f>
        <v>45558.66667</v>
      </c>
      <c r="B1145" s="2">
        <f>IFERROR(__xludf.DUMMYFUNCTION("""COMPUTED_VALUE"""),5750.0)</f>
        <v>5750</v>
      </c>
      <c r="C1145" s="2">
        <f>IFERROR(__xludf.DUMMYFUNCTION("""COMPUTED_VALUE"""),5850.0)</f>
        <v>5850</v>
      </c>
      <c r="D1145" s="2">
        <f>IFERROR(__xludf.DUMMYFUNCTION("""COMPUTED_VALUE"""),5725.0)</f>
        <v>5725</v>
      </c>
      <c r="E1145" s="2">
        <f>IFERROR(__xludf.DUMMYFUNCTION("""COMPUTED_VALUE"""),5800.0)</f>
        <v>5800</v>
      </c>
      <c r="F1145" s="2">
        <f>IFERROR(__xludf.DUMMYFUNCTION("""COMPUTED_VALUE"""),4.80087E7)</f>
        <v>48008700</v>
      </c>
      <c r="G1145" s="2">
        <f t="shared" si="1"/>
        <v>125</v>
      </c>
    </row>
    <row r="1146" ht="15.75" customHeight="1">
      <c r="A1146" s="1">
        <f>IFERROR(__xludf.DUMMYFUNCTION("""COMPUTED_VALUE"""),45559.66666666667)</f>
        <v>45559.66667</v>
      </c>
      <c r="B1146" s="2">
        <f>IFERROR(__xludf.DUMMYFUNCTION("""COMPUTED_VALUE"""),5800.0)</f>
        <v>5800</v>
      </c>
      <c r="C1146" s="2">
        <f>IFERROR(__xludf.DUMMYFUNCTION("""COMPUTED_VALUE"""),5825.0)</f>
        <v>5825</v>
      </c>
      <c r="D1146" s="2">
        <f>IFERROR(__xludf.DUMMYFUNCTION("""COMPUTED_VALUE"""),5750.0)</f>
        <v>5750</v>
      </c>
      <c r="E1146" s="2">
        <f>IFERROR(__xludf.DUMMYFUNCTION("""COMPUTED_VALUE"""),5800.0)</f>
        <v>5800</v>
      </c>
      <c r="F1146" s="2">
        <f>IFERROR(__xludf.DUMMYFUNCTION("""COMPUTED_VALUE"""),3.99004E7)</f>
        <v>39900400</v>
      </c>
      <c r="G1146" s="2">
        <f t="shared" si="1"/>
        <v>75</v>
      </c>
    </row>
    <row r="1147" ht="15.75" customHeight="1">
      <c r="A1147" s="1">
        <f>IFERROR(__xludf.DUMMYFUNCTION("""COMPUTED_VALUE"""),45560.66666666667)</f>
        <v>45560.66667</v>
      </c>
      <c r="B1147" s="2">
        <f>IFERROR(__xludf.DUMMYFUNCTION("""COMPUTED_VALUE"""),5750.0)</f>
        <v>5750</v>
      </c>
      <c r="C1147" s="2">
        <f>IFERROR(__xludf.DUMMYFUNCTION("""COMPUTED_VALUE"""),5750.0)</f>
        <v>5750</v>
      </c>
      <c r="D1147" s="2">
        <f>IFERROR(__xludf.DUMMYFUNCTION("""COMPUTED_VALUE"""),5450.0)</f>
        <v>5450</v>
      </c>
      <c r="E1147" s="2">
        <f>IFERROR(__xludf.DUMMYFUNCTION("""COMPUTED_VALUE"""),5600.0)</f>
        <v>5600</v>
      </c>
      <c r="F1147" s="2">
        <f>IFERROR(__xludf.DUMMYFUNCTION("""COMPUTED_VALUE"""),1.208852E8)</f>
        <v>120885200</v>
      </c>
      <c r="G1147" s="2">
        <f t="shared" si="1"/>
        <v>350</v>
      </c>
    </row>
    <row r="1148" ht="15.75" customHeight="1">
      <c r="A1148" s="1">
        <f>IFERROR(__xludf.DUMMYFUNCTION("""COMPUTED_VALUE"""),45561.66666666667)</f>
        <v>45561.66667</v>
      </c>
      <c r="B1148" s="2">
        <f>IFERROR(__xludf.DUMMYFUNCTION("""COMPUTED_VALUE"""),5600.0)</f>
        <v>5600</v>
      </c>
      <c r="C1148" s="2">
        <f>IFERROR(__xludf.DUMMYFUNCTION("""COMPUTED_VALUE"""),5625.0)</f>
        <v>5625</v>
      </c>
      <c r="D1148" s="2">
        <f>IFERROR(__xludf.DUMMYFUNCTION("""COMPUTED_VALUE"""),5450.0)</f>
        <v>5450</v>
      </c>
      <c r="E1148" s="2">
        <f>IFERROR(__xludf.DUMMYFUNCTION("""COMPUTED_VALUE"""),5600.0)</f>
        <v>5600</v>
      </c>
      <c r="F1148" s="2">
        <f>IFERROR(__xludf.DUMMYFUNCTION("""COMPUTED_VALUE"""),5.93062E7)</f>
        <v>59306200</v>
      </c>
      <c r="G1148" s="2">
        <f t="shared" si="1"/>
        <v>175</v>
      </c>
    </row>
    <row r="1149" ht="15.75" customHeight="1">
      <c r="A1149" s="1">
        <f>IFERROR(__xludf.DUMMYFUNCTION("""COMPUTED_VALUE"""),45562.66666666667)</f>
        <v>45562.66667</v>
      </c>
      <c r="B1149" s="2">
        <f>IFERROR(__xludf.DUMMYFUNCTION("""COMPUTED_VALUE"""),5600.0)</f>
        <v>5600</v>
      </c>
      <c r="C1149" s="2">
        <f>IFERROR(__xludf.DUMMYFUNCTION("""COMPUTED_VALUE"""),5600.0)</f>
        <v>5600</v>
      </c>
      <c r="D1149" s="2">
        <f>IFERROR(__xludf.DUMMYFUNCTION("""COMPUTED_VALUE"""),5400.0)</f>
        <v>5400</v>
      </c>
      <c r="E1149" s="2">
        <f>IFERROR(__xludf.DUMMYFUNCTION("""COMPUTED_VALUE"""),5450.0)</f>
        <v>5450</v>
      </c>
      <c r="F1149" s="2">
        <f>IFERROR(__xludf.DUMMYFUNCTION("""COMPUTED_VALUE"""),7.97181E7)</f>
        <v>79718100</v>
      </c>
      <c r="G1149" s="2">
        <f t="shared" si="1"/>
        <v>200</v>
      </c>
    </row>
    <row r="1150" ht="15.75" customHeight="1">
      <c r="A1150" s="1">
        <f>IFERROR(__xludf.DUMMYFUNCTION("""COMPUTED_VALUE"""),45565.66666666667)</f>
        <v>45565.66667</v>
      </c>
      <c r="B1150" s="2">
        <f>IFERROR(__xludf.DUMMYFUNCTION("""COMPUTED_VALUE"""),5400.0)</f>
        <v>5400</v>
      </c>
      <c r="C1150" s="2">
        <f>IFERROR(__xludf.DUMMYFUNCTION("""COMPUTED_VALUE"""),5450.0)</f>
        <v>5450</v>
      </c>
      <c r="D1150" s="2">
        <f>IFERROR(__xludf.DUMMYFUNCTION("""COMPUTED_VALUE"""),5325.0)</f>
        <v>5325</v>
      </c>
      <c r="E1150" s="2">
        <f>IFERROR(__xludf.DUMMYFUNCTION("""COMPUTED_VALUE"""),5350.0)</f>
        <v>5350</v>
      </c>
      <c r="F1150" s="2">
        <f>IFERROR(__xludf.DUMMYFUNCTION("""COMPUTED_VALUE"""),6.94176E7)</f>
        <v>69417600</v>
      </c>
      <c r="G1150" s="2">
        <f t="shared" si="1"/>
        <v>125</v>
      </c>
    </row>
    <row r="1151" ht="15.75" customHeight="1">
      <c r="A1151" s="1">
        <f>IFERROR(__xludf.DUMMYFUNCTION("""COMPUTED_VALUE"""),45566.66666666667)</f>
        <v>45566.66667</v>
      </c>
      <c r="B1151" s="2">
        <f>IFERROR(__xludf.DUMMYFUNCTION("""COMPUTED_VALUE"""),5375.0)</f>
        <v>5375</v>
      </c>
      <c r="C1151" s="2">
        <f>IFERROR(__xludf.DUMMYFUNCTION("""COMPUTED_VALUE"""),5450.0)</f>
        <v>5450</v>
      </c>
      <c r="D1151" s="2">
        <f>IFERROR(__xludf.DUMMYFUNCTION("""COMPUTED_VALUE"""),5350.0)</f>
        <v>5350</v>
      </c>
      <c r="E1151" s="2">
        <f>IFERROR(__xludf.DUMMYFUNCTION("""COMPUTED_VALUE"""),5375.0)</f>
        <v>5375</v>
      </c>
      <c r="F1151" s="2">
        <f>IFERROR(__xludf.DUMMYFUNCTION("""COMPUTED_VALUE"""),4.00856E7)</f>
        <v>40085600</v>
      </c>
      <c r="G1151" s="2">
        <f t="shared" si="1"/>
        <v>100</v>
      </c>
    </row>
    <row r="1152" ht="15.75" customHeight="1">
      <c r="A1152" s="1">
        <f>IFERROR(__xludf.DUMMYFUNCTION("""COMPUTED_VALUE"""),45567.66666666667)</f>
        <v>45567.66667</v>
      </c>
      <c r="B1152" s="2">
        <f>IFERROR(__xludf.DUMMYFUNCTION("""COMPUTED_VALUE"""),5325.0)</f>
        <v>5325</v>
      </c>
      <c r="C1152" s="2">
        <f>IFERROR(__xludf.DUMMYFUNCTION("""COMPUTED_VALUE"""),5400.0)</f>
        <v>5400</v>
      </c>
      <c r="D1152" s="2">
        <f>IFERROR(__xludf.DUMMYFUNCTION("""COMPUTED_VALUE"""),5300.0)</f>
        <v>5300</v>
      </c>
      <c r="E1152" s="2">
        <f>IFERROR(__xludf.DUMMYFUNCTION("""COMPUTED_VALUE"""),5350.0)</f>
        <v>5350</v>
      </c>
      <c r="F1152" s="2">
        <f>IFERROR(__xludf.DUMMYFUNCTION("""COMPUTED_VALUE"""),2.77164E7)</f>
        <v>27716400</v>
      </c>
      <c r="G1152" s="2">
        <f t="shared" si="1"/>
        <v>100</v>
      </c>
    </row>
    <row r="1153" ht="15.75" customHeight="1">
      <c r="A1153" s="1">
        <f>IFERROR(__xludf.DUMMYFUNCTION("""COMPUTED_VALUE"""),45568.66666666667)</f>
        <v>45568.66667</v>
      </c>
      <c r="B1153" s="2">
        <f>IFERROR(__xludf.DUMMYFUNCTION("""COMPUTED_VALUE"""),5375.0)</f>
        <v>5375</v>
      </c>
      <c r="C1153" s="2">
        <f>IFERROR(__xludf.DUMMYFUNCTION("""COMPUTED_VALUE"""),5400.0)</f>
        <v>5400</v>
      </c>
      <c r="D1153" s="2">
        <f>IFERROR(__xludf.DUMMYFUNCTION("""COMPUTED_VALUE"""),5300.0)</f>
        <v>5300</v>
      </c>
      <c r="E1153" s="2">
        <f>IFERROR(__xludf.DUMMYFUNCTION("""COMPUTED_VALUE"""),5375.0)</f>
        <v>5375</v>
      </c>
      <c r="F1153" s="2">
        <f>IFERROR(__xludf.DUMMYFUNCTION("""COMPUTED_VALUE"""),4.2597E7)</f>
        <v>42597000</v>
      </c>
      <c r="G1153" s="2">
        <f t="shared" si="1"/>
        <v>100</v>
      </c>
    </row>
    <row r="1154" ht="15.75" customHeight="1">
      <c r="A1154" s="1">
        <f>IFERROR(__xludf.DUMMYFUNCTION("""COMPUTED_VALUE"""),45569.66666666667)</f>
        <v>45569.66667</v>
      </c>
      <c r="B1154" s="2">
        <f>IFERROR(__xludf.DUMMYFUNCTION("""COMPUTED_VALUE"""),5400.0)</f>
        <v>5400</v>
      </c>
      <c r="C1154" s="2">
        <f>IFERROR(__xludf.DUMMYFUNCTION("""COMPUTED_VALUE"""),5425.0)</f>
        <v>5425</v>
      </c>
      <c r="D1154" s="2">
        <f>IFERROR(__xludf.DUMMYFUNCTION("""COMPUTED_VALUE"""),5250.0)</f>
        <v>5250</v>
      </c>
      <c r="E1154" s="2">
        <f>IFERROR(__xludf.DUMMYFUNCTION("""COMPUTED_VALUE"""),5325.0)</f>
        <v>5325</v>
      </c>
      <c r="F1154" s="2">
        <f>IFERROR(__xludf.DUMMYFUNCTION("""COMPUTED_VALUE"""),3.58221E7)</f>
        <v>35822100</v>
      </c>
      <c r="G1154" s="2">
        <f t="shared" si="1"/>
        <v>175</v>
      </c>
    </row>
    <row r="1155" ht="15.75" customHeight="1">
      <c r="A1155" s="1">
        <f>IFERROR(__xludf.DUMMYFUNCTION("""COMPUTED_VALUE"""),45572.66666666667)</f>
        <v>45572.66667</v>
      </c>
      <c r="B1155" s="2">
        <f>IFERROR(__xludf.DUMMYFUNCTION("""COMPUTED_VALUE"""),5325.0)</f>
        <v>5325</v>
      </c>
      <c r="C1155" s="2">
        <f>IFERROR(__xludf.DUMMYFUNCTION("""COMPUTED_VALUE"""),5350.0)</f>
        <v>5350</v>
      </c>
      <c r="D1155" s="2">
        <f>IFERROR(__xludf.DUMMYFUNCTION("""COMPUTED_VALUE"""),5200.0)</f>
        <v>5200</v>
      </c>
      <c r="E1155" s="2">
        <f>IFERROR(__xludf.DUMMYFUNCTION("""COMPUTED_VALUE"""),5200.0)</f>
        <v>5200</v>
      </c>
      <c r="F1155" s="2">
        <f>IFERROR(__xludf.DUMMYFUNCTION("""COMPUTED_VALUE"""),5.2624E7)</f>
        <v>52624000</v>
      </c>
      <c r="G1155" s="2">
        <f t="shared" si="1"/>
        <v>150</v>
      </c>
    </row>
    <row r="1156" ht="15.75" customHeight="1">
      <c r="A1156" s="1">
        <f>IFERROR(__xludf.DUMMYFUNCTION("""COMPUTED_VALUE"""),45573.66666666667)</f>
        <v>45573.66667</v>
      </c>
      <c r="B1156" s="2">
        <f>IFERROR(__xludf.DUMMYFUNCTION("""COMPUTED_VALUE"""),5150.0)</f>
        <v>5150</v>
      </c>
      <c r="C1156" s="2">
        <f>IFERROR(__xludf.DUMMYFUNCTION("""COMPUTED_VALUE"""),5400.0)</f>
        <v>5400</v>
      </c>
      <c r="D1156" s="2">
        <f>IFERROR(__xludf.DUMMYFUNCTION("""COMPUTED_VALUE"""),5100.0)</f>
        <v>5100</v>
      </c>
      <c r="E1156" s="2">
        <f>IFERROR(__xludf.DUMMYFUNCTION("""COMPUTED_VALUE"""),5350.0)</f>
        <v>5350</v>
      </c>
      <c r="F1156" s="2">
        <f>IFERROR(__xludf.DUMMYFUNCTION("""COMPUTED_VALUE"""),9.06869E7)</f>
        <v>90686900</v>
      </c>
      <c r="G1156" s="2">
        <f t="shared" si="1"/>
        <v>300</v>
      </c>
    </row>
    <row r="1157" ht="15.75" customHeight="1">
      <c r="A1157" s="1">
        <f>IFERROR(__xludf.DUMMYFUNCTION("""COMPUTED_VALUE"""),45574.66666666667)</f>
        <v>45574.66667</v>
      </c>
      <c r="B1157" s="2">
        <f>IFERROR(__xludf.DUMMYFUNCTION("""COMPUTED_VALUE"""),5350.0)</f>
        <v>5350</v>
      </c>
      <c r="C1157" s="2">
        <f>IFERROR(__xludf.DUMMYFUNCTION("""COMPUTED_VALUE"""),5425.0)</f>
        <v>5425</v>
      </c>
      <c r="D1157" s="2">
        <f>IFERROR(__xludf.DUMMYFUNCTION("""COMPUTED_VALUE"""),5275.0)</f>
        <v>5275</v>
      </c>
      <c r="E1157" s="2">
        <f>IFERROR(__xludf.DUMMYFUNCTION("""COMPUTED_VALUE"""),5325.0)</f>
        <v>5325</v>
      </c>
      <c r="F1157" s="2">
        <f>IFERROR(__xludf.DUMMYFUNCTION("""COMPUTED_VALUE"""),7.08315E7)</f>
        <v>70831500</v>
      </c>
      <c r="G1157" s="2">
        <f t="shared" si="1"/>
        <v>150</v>
      </c>
    </row>
    <row r="1158" ht="15.75" customHeight="1">
      <c r="A1158" s="1">
        <f>IFERROR(__xludf.DUMMYFUNCTION("""COMPUTED_VALUE"""),45575.66666666667)</f>
        <v>45575.66667</v>
      </c>
      <c r="B1158" s="2">
        <f>IFERROR(__xludf.DUMMYFUNCTION("""COMPUTED_VALUE"""),5350.0)</f>
        <v>5350</v>
      </c>
      <c r="C1158" s="2">
        <f>IFERROR(__xludf.DUMMYFUNCTION("""COMPUTED_VALUE"""),5400.0)</f>
        <v>5400</v>
      </c>
      <c r="D1158" s="2">
        <f>IFERROR(__xludf.DUMMYFUNCTION("""COMPUTED_VALUE"""),5325.0)</f>
        <v>5325</v>
      </c>
      <c r="E1158" s="2">
        <f>IFERROR(__xludf.DUMMYFUNCTION("""COMPUTED_VALUE"""),5325.0)</f>
        <v>5325</v>
      </c>
      <c r="F1158" s="2">
        <f>IFERROR(__xludf.DUMMYFUNCTION("""COMPUTED_VALUE"""),2.58925E7)</f>
        <v>25892500</v>
      </c>
      <c r="G1158" s="2">
        <f t="shared" si="1"/>
        <v>75</v>
      </c>
    </row>
    <row r="1159" ht="15.75" customHeight="1">
      <c r="A1159" s="1">
        <f>IFERROR(__xludf.DUMMYFUNCTION("""COMPUTED_VALUE"""),45576.66666666667)</f>
        <v>45576.66667</v>
      </c>
      <c r="B1159" s="2">
        <f>IFERROR(__xludf.DUMMYFUNCTION("""COMPUTED_VALUE"""),5425.0)</f>
        <v>5425</v>
      </c>
      <c r="C1159" s="2">
        <f>IFERROR(__xludf.DUMMYFUNCTION("""COMPUTED_VALUE"""),5425.0)</f>
        <v>5425</v>
      </c>
      <c r="D1159" s="2">
        <f>IFERROR(__xludf.DUMMYFUNCTION("""COMPUTED_VALUE"""),5325.0)</f>
        <v>5325</v>
      </c>
      <c r="E1159" s="2">
        <f>IFERROR(__xludf.DUMMYFUNCTION("""COMPUTED_VALUE"""),5375.0)</f>
        <v>5375</v>
      </c>
      <c r="F1159" s="2">
        <f>IFERROR(__xludf.DUMMYFUNCTION("""COMPUTED_VALUE"""),1.44889E7)</f>
        <v>14488900</v>
      </c>
      <c r="G1159" s="2">
        <f t="shared" si="1"/>
        <v>100</v>
      </c>
    </row>
    <row r="1160" ht="15.75" customHeight="1">
      <c r="A1160" s="1">
        <f>IFERROR(__xludf.DUMMYFUNCTION("""COMPUTED_VALUE"""),45579.66666666667)</f>
        <v>45579.66667</v>
      </c>
      <c r="B1160" s="2">
        <f>IFERROR(__xludf.DUMMYFUNCTION("""COMPUTED_VALUE"""),5375.0)</f>
        <v>5375</v>
      </c>
      <c r="C1160" s="2">
        <f>IFERROR(__xludf.DUMMYFUNCTION("""COMPUTED_VALUE"""),5450.0)</f>
        <v>5450</v>
      </c>
      <c r="D1160" s="2">
        <f>IFERROR(__xludf.DUMMYFUNCTION("""COMPUTED_VALUE"""),5375.0)</f>
        <v>5375</v>
      </c>
      <c r="E1160" s="2">
        <f>IFERROR(__xludf.DUMMYFUNCTION("""COMPUTED_VALUE"""),5425.0)</f>
        <v>5425</v>
      </c>
      <c r="F1160" s="2">
        <f>IFERROR(__xludf.DUMMYFUNCTION("""COMPUTED_VALUE"""),3.68081E7)</f>
        <v>36808100</v>
      </c>
      <c r="G1160" s="2">
        <f t="shared" si="1"/>
        <v>75</v>
      </c>
    </row>
    <row r="1161" ht="15.75" customHeight="1">
      <c r="A1161" s="1">
        <f>IFERROR(__xludf.DUMMYFUNCTION("""COMPUTED_VALUE"""),45580.66666666667)</f>
        <v>45580.66667</v>
      </c>
      <c r="B1161" s="2">
        <f>IFERROR(__xludf.DUMMYFUNCTION("""COMPUTED_VALUE"""),5450.0)</f>
        <v>5450</v>
      </c>
      <c r="C1161" s="2">
        <f>IFERROR(__xludf.DUMMYFUNCTION("""COMPUTED_VALUE"""),5525.0)</f>
        <v>5525</v>
      </c>
      <c r="D1161" s="2">
        <f>IFERROR(__xludf.DUMMYFUNCTION("""COMPUTED_VALUE"""),5425.0)</f>
        <v>5425</v>
      </c>
      <c r="E1161" s="2">
        <f>IFERROR(__xludf.DUMMYFUNCTION("""COMPUTED_VALUE"""),5500.0)</f>
        <v>5500</v>
      </c>
      <c r="F1161" s="2">
        <f>IFERROR(__xludf.DUMMYFUNCTION("""COMPUTED_VALUE"""),4.42486E7)</f>
        <v>44248600</v>
      </c>
      <c r="G1161" s="2">
        <f t="shared" si="1"/>
        <v>100</v>
      </c>
    </row>
    <row r="1162" ht="15.75" customHeight="1">
      <c r="A1162" s="1">
        <f>IFERROR(__xludf.DUMMYFUNCTION("""COMPUTED_VALUE"""),45581.66666666667)</f>
        <v>45581.66667</v>
      </c>
      <c r="B1162" s="2">
        <f>IFERROR(__xludf.DUMMYFUNCTION("""COMPUTED_VALUE"""),5500.0)</f>
        <v>5500</v>
      </c>
      <c r="C1162" s="2">
        <f>IFERROR(__xludf.DUMMYFUNCTION("""COMPUTED_VALUE"""),5500.0)</f>
        <v>5500</v>
      </c>
      <c r="D1162" s="2">
        <f>IFERROR(__xludf.DUMMYFUNCTION("""COMPUTED_VALUE"""),5450.0)</f>
        <v>5450</v>
      </c>
      <c r="E1162" s="2">
        <f>IFERROR(__xludf.DUMMYFUNCTION("""COMPUTED_VALUE"""),5475.0)</f>
        <v>5475</v>
      </c>
      <c r="F1162" s="2">
        <f>IFERROR(__xludf.DUMMYFUNCTION("""COMPUTED_VALUE"""),2.66291E7)</f>
        <v>26629100</v>
      </c>
      <c r="G1162" s="2">
        <f t="shared" si="1"/>
        <v>50</v>
      </c>
    </row>
    <row r="1163" ht="15.75" customHeight="1">
      <c r="A1163" s="1">
        <f>IFERROR(__xludf.DUMMYFUNCTION("""COMPUTED_VALUE"""),45582.66666666667)</f>
        <v>45582.66667</v>
      </c>
      <c r="B1163" s="2">
        <f>IFERROR(__xludf.DUMMYFUNCTION("""COMPUTED_VALUE"""),5500.0)</f>
        <v>5500</v>
      </c>
      <c r="C1163" s="2">
        <f>IFERROR(__xludf.DUMMYFUNCTION("""COMPUTED_VALUE"""),5575.0)</f>
        <v>5575</v>
      </c>
      <c r="D1163" s="2">
        <f>IFERROR(__xludf.DUMMYFUNCTION("""COMPUTED_VALUE"""),5475.0)</f>
        <v>5475</v>
      </c>
      <c r="E1163" s="2">
        <f>IFERROR(__xludf.DUMMYFUNCTION("""COMPUTED_VALUE"""),5500.0)</f>
        <v>5500</v>
      </c>
      <c r="F1163" s="2">
        <f>IFERROR(__xludf.DUMMYFUNCTION("""COMPUTED_VALUE"""),4.85709E7)</f>
        <v>48570900</v>
      </c>
      <c r="G1163" s="2">
        <f t="shared" si="1"/>
        <v>100</v>
      </c>
    </row>
    <row r="1164" ht="15.75" customHeight="1">
      <c r="A1164" s="1">
        <f>IFERROR(__xludf.DUMMYFUNCTION("""COMPUTED_VALUE"""),45583.66666666667)</f>
        <v>45583.66667</v>
      </c>
      <c r="B1164" s="2">
        <f>IFERROR(__xludf.DUMMYFUNCTION("""COMPUTED_VALUE"""),5550.0)</f>
        <v>5550</v>
      </c>
      <c r="C1164" s="2">
        <f>IFERROR(__xludf.DUMMYFUNCTION("""COMPUTED_VALUE"""),5650.0)</f>
        <v>5650</v>
      </c>
      <c r="D1164" s="2">
        <f>IFERROR(__xludf.DUMMYFUNCTION("""COMPUTED_VALUE"""),5550.0)</f>
        <v>5550</v>
      </c>
      <c r="E1164" s="2">
        <f>IFERROR(__xludf.DUMMYFUNCTION("""COMPUTED_VALUE"""),5650.0)</f>
        <v>5650</v>
      </c>
      <c r="F1164" s="2">
        <f>IFERROR(__xludf.DUMMYFUNCTION("""COMPUTED_VALUE"""),5.88703E7)</f>
        <v>58870300</v>
      </c>
      <c r="G1164" s="2">
        <f t="shared" si="1"/>
        <v>150</v>
      </c>
    </row>
    <row r="1165" ht="15.75" customHeight="1">
      <c r="A1165" s="1">
        <f>IFERROR(__xludf.DUMMYFUNCTION("""COMPUTED_VALUE"""),45586.66666666667)</f>
        <v>45586.66667</v>
      </c>
      <c r="B1165" s="2">
        <f>IFERROR(__xludf.DUMMYFUNCTION("""COMPUTED_VALUE"""),5700.0)</f>
        <v>5700</v>
      </c>
      <c r="C1165" s="2">
        <f>IFERROR(__xludf.DUMMYFUNCTION("""COMPUTED_VALUE"""),5750.0)</f>
        <v>5750</v>
      </c>
      <c r="D1165" s="2">
        <f>IFERROR(__xludf.DUMMYFUNCTION("""COMPUTED_VALUE"""),5600.0)</f>
        <v>5600</v>
      </c>
      <c r="E1165" s="2">
        <f>IFERROR(__xludf.DUMMYFUNCTION("""COMPUTED_VALUE"""),5625.0)</f>
        <v>5625</v>
      </c>
      <c r="F1165" s="2">
        <f>IFERROR(__xludf.DUMMYFUNCTION("""COMPUTED_VALUE"""),5.09806E7)</f>
        <v>50980600</v>
      </c>
      <c r="G1165" s="2">
        <f t="shared" si="1"/>
        <v>150</v>
      </c>
    </row>
    <row r="1166" ht="15.75" customHeight="1">
      <c r="A1166" s="1">
        <f>IFERROR(__xludf.DUMMYFUNCTION("""COMPUTED_VALUE"""),45587.66666666667)</f>
        <v>45587.66667</v>
      </c>
      <c r="B1166" s="2">
        <f>IFERROR(__xludf.DUMMYFUNCTION("""COMPUTED_VALUE"""),5650.0)</f>
        <v>5650</v>
      </c>
      <c r="C1166" s="2">
        <f>IFERROR(__xludf.DUMMYFUNCTION("""COMPUTED_VALUE"""),5675.0)</f>
        <v>5675</v>
      </c>
      <c r="D1166" s="2">
        <f>IFERROR(__xludf.DUMMYFUNCTION("""COMPUTED_VALUE"""),5575.0)</f>
        <v>5575</v>
      </c>
      <c r="E1166" s="2">
        <f>IFERROR(__xludf.DUMMYFUNCTION("""COMPUTED_VALUE"""),5650.0)</f>
        <v>5650</v>
      </c>
      <c r="F1166" s="2">
        <f>IFERROR(__xludf.DUMMYFUNCTION("""COMPUTED_VALUE"""),5.99569E7)</f>
        <v>59956900</v>
      </c>
      <c r="G1166" s="2">
        <f t="shared" si="1"/>
        <v>100</v>
      </c>
    </row>
    <row r="1167" ht="15.75" customHeight="1">
      <c r="A1167" s="1">
        <f>IFERROR(__xludf.DUMMYFUNCTION("""COMPUTED_VALUE"""),45588.66666666667)</f>
        <v>45588.66667</v>
      </c>
      <c r="B1167" s="2">
        <f>IFERROR(__xludf.DUMMYFUNCTION("""COMPUTED_VALUE"""),5675.0)</f>
        <v>5675</v>
      </c>
      <c r="C1167" s="2">
        <f>IFERROR(__xludf.DUMMYFUNCTION("""COMPUTED_VALUE"""),5675.0)</f>
        <v>5675</v>
      </c>
      <c r="D1167" s="2">
        <f>IFERROR(__xludf.DUMMYFUNCTION("""COMPUTED_VALUE"""),5600.0)</f>
        <v>5600</v>
      </c>
      <c r="E1167" s="2">
        <f>IFERROR(__xludf.DUMMYFUNCTION("""COMPUTED_VALUE"""),5675.0)</f>
        <v>5675</v>
      </c>
      <c r="F1167" s="2">
        <f>IFERROR(__xludf.DUMMYFUNCTION("""COMPUTED_VALUE"""),6.31637E7)</f>
        <v>63163700</v>
      </c>
      <c r="G1167" s="2">
        <f t="shared" si="1"/>
        <v>75</v>
      </c>
    </row>
    <row r="1168" ht="15.75" customHeight="1">
      <c r="A1168" s="1">
        <f>IFERROR(__xludf.DUMMYFUNCTION("""COMPUTED_VALUE"""),45589.66666666667)</f>
        <v>45589.66667</v>
      </c>
      <c r="B1168" s="2">
        <f>IFERROR(__xludf.DUMMYFUNCTION("""COMPUTED_VALUE"""),5650.0)</f>
        <v>5650</v>
      </c>
      <c r="C1168" s="2">
        <f>IFERROR(__xludf.DUMMYFUNCTION("""COMPUTED_VALUE"""),5700.0)</f>
        <v>5700</v>
      </c>
      <c r="D1168" s="2">
        <f>IFERROR(__xludf.DUMMYFUNCTION("""COMPUTED_VALUE"""),5625.0)</f>
        <v>5625</v>
      </c>
      <c r="E1168" s="2">
        <f>IFERROR(__xludf.DUMMYFUNCTION("""COMPUTED_VALUE"""),5625.0)</f>
        <v>5625</v>
      </c>
      <c r="F1168" s="2">
        <f>IFERROR(__xludf.DUMMYFUNCTION("""COMPUTED_VALUE"""),2.64452E7)</f>
        <v>26445200</v>
      </c>
      <c r="G1168" s="2">
        <f t="shared" si="1"/>
        <v>75</v>
      </c>
    </row>
    <row r="1169" ht="15.75" customHeight="1">
      <c r="A1169" s="1">
        <f>IFERROR(__xludf.DUMMYFUNCTION("""COMPUTED_VALUE"""),45590.66666666667)</f>
        <v>45590.66667</v>
      </c>
      <c r="B1169" s="2">
        <f>IFERROR(__xludf.DUMMYFUNCTION("""COMPUTED_VALUE"""),5625.0)</f>
        <v>5625</v>
      </c>
      <c r="C1169" s="2">
        <f>IFERROR(__xludf.DUMMYFUNCTION("""COMPUTED_VALUE"""),5650.0)</f>
        <v>5650</v>
      </c>
      <c r="D1169" s="2">
        <f>IFERROR(__xludf.DUMMYFUNCTION("""COMPUTED_VALUE"""),5550.0)</f>
        <v>5550</v>
      </c>
      <c r="E1169" s="2">
        <f>IFERROR(__xludf.DUMMYFUNCTION("""COMPUTED_VALUE"""),5650.0)</f>
        <v>5650</v>
      </c>
      <c r="F1169" s="2">
        <f>IFERROR(__xludf.DUMMYFUNCTION("""COMPUTED_VALUE"""),2.02003E7)</f>
        <v>20200300</v>
      </c>
      <c r="G1169" s="2">
        <f t="shared" si="1"/>
        <v>100</v>
      </c>
    </row>
    <row r="1170" ht="15.75" customHeight="1">
      <c r="A1170" s="1">
        <f>IFERROR(__xludf.DUMMYFUNCTION("""COMPUTED_VALUE"""),45593.66666666667)</f>
        <v>45593.66667</v>
      </c>
      <c r="B1170" s="2">
        <f>IFERROR(__xludf.DUMMYFUNCTION("""COMPUTED_VALUE"""),5650.0)</f>
        <v>5650</v>
      </c>
      <c r="C1170" s="2">
        <f>IFERROR(__xludf.DUMMYFUNCTION("""COMPUTED_VALUE"""),5675.0)</f>
        <v>5675</v>
      </c>
      <c r="D1170" s="2">
        <f>IFERROR(__xludf.DUMMYFUNCTION("""COMPUTED_VALUE"""),5425.0)</f>
        <v>5425</v>
      </c>
      <c r="E1170" s="2">
        <f>IFERROR(__xludf.DUMMYFUNCTION("""COMPUTED_VALUE"""),5500.0)</f>
        <v>5500</v>
      </c>
      <c r="F1170" s="2">
        <f>IFERROR(__xludf.DUMMYFUNCTION("""COMPUTED_VALUE"""),4.8523E7)</f>
        <v>48523000</v>
      </c>
      <c r="G1170" s="2">
        <f t="shared" si="1"/>
        <v>250</v>
      </c>
    </row>
    <row r="1171" ht="15.75" customHeight="1">
      <c r="A1171" s="1">
        <f>IFERROR(__xludf.DUMMYFUNCTION("""COMPUTED_VALUE"""),45594.66666666667)</f>
        <v>45594.66667</v>
      </c>
      <c r="B1171" s="2">
        <f>IFERROR(__xludf.DUMMYFUNCTION("""COMPUTED_VALUE"""),5400.0)</f>
        <v>5400</v>
      </c>
      <c r="C1171" s="2">
        <f>IFERROR(__xludf.DUMMYFUNCTION("""COMPUTED_VALUE"""),5500.0)</f>
        <v>5500</v>
      </c>
      <c r="D1171" s="2">
        <f>IFERROR(__xludf.DUMMYFUNCTION("""COMPUTED_VALUE"""),5275.0)</f>
        <v>5275</v>
      </c>
      <c r="E1171" s="2">
        <f>IFERROR(__xludf.DUMMYFUNCTION("""COMPUTED_VALUE"""),5300.0)</f>
        <v>5300</v>
      </c>
      <c r="F1171" s="2">
        <f>IFERROR(__xludf.DUMMYFUNCTION("""COMPUTED_VALUE"""),7.70685E7)</f>
        <v>77068500</v>
      </c>
      <c r="G1171" s="2">
        <f t="shared" si="1"/>
        <v>225</v>
      </c>
    </row>
    <row r="1172" ht="15.75" customHeight="1">
      <c r="A1172" s="1">
        <f>IFERROR(__xludf.DUMMYFUNCTION("""COMPUTED_VALUE"""),45595.66666666667)</f>
        <v>45595.66667</v>
      </c>
      <c r="B1172" s="2">
        <f>IFERROR(__xludf.DUMMYFUNCTION("""COMPUTED_VALUE"""),5250.0)</f>
        <v>5250</v>
      </c>
      <c r="C1172" s="2">
        <f>IFERROR(__xludf.DUMMYFUNCTION("""COMPUTED_VALUE"""),5250.0)</f>
        <v>5250</v>
      </c>
      <c r="D1172" s="2">
        <f>IFERROR(__xludf.DUMMYFUNCTION("""COMPUTED_VALUE"""),5200.0)</f>
        <v>5200</v>
      </c>
      <c r="E1172" s="2">
        <f>IFERROR(__xludf.DUMMYFUNCTION("""COMPUTED_VALUE"""),5225.0)</f>
        <v>5225</v>
      </c>
      <c r="F1172" s="2">
        <f>IFERROR(__xludf.DUMMYFUNCTION("""COMPUTED_VALUE"""),1.42199E7)</f>
        <v>14219900</v>
      </c>
      <c r="G1172" s="2">
        <f t="shared" si="1"/>
        <v>100</v>
      </c>
    </row>
    <row r="1173" ht="15.75" customHeight="1">
      <c r="A1173" s="1">
        <f>IFERROR(__xludf.DUMMYFUNCTION("""COMPUTED_VALUE"""),45596.66666666667)</f>
        <v>45596.66667</v>
      </c>
      <c r="B1173" s="2">
        <f>IFERROR(__xludf.DUMMYFUNCTION("""COMPUTED_VALUE"""),5200.0)</f>
        <v>5200</v>
      </c>
      <c r="C1173" s="2">
        <f>IFERROR(__xludf.DUMMYFUNCTION("""COMPUTED_VALUE"""),5300.0)</f>
        <v>5300</v>
      </c>
      <c r="D1173" s="2">
        <f>IFERROR(__xludf.DUMMYFUNCTION("""COMPUTED_VALUE"""),5175.0)</f>
        <v>5175</v>
      </c>
      <c r="E1173" s="2">
        <f>IFERROR(__xludf.DUMMYFUNCTION("""COMPUTED_VALUE"""),5250.0)</f>
        <v>5250</v>
      </c>
      <c r="F1173" s="2">
        <f>IFERROR(__xludf.DUMMYFUNCTION("""COMPUTED_VALUE"""),5.00408E7)</f>
        <v>50040800</v>
      </c>
      <c r="G1173" s="2">
        <f t="shared" si="1"/>
        <v>125</v>
      </c>
    </row>
    <row r="1174" ht="15.75" customHeight="1">
      <c r="A1174" s="1">
        <f>IFERROR(__xludf.DUMMYFUNCTION("""COMPUTED_VALUE"""),45597.66666666667)</f>
        <v>45597.66667</v>
      </c>
      <c r="B1174" s="2">
        <f>IFERROR(__xludf.DUMMYFUNCTION("""COMPUTED_VALUE"""),5250.0)</f>
        <v>5250</v>
      </c>
      <c r="C1174" s="2">
        <f>IFERROR(__xludf.DUMMYFUNCTION("""COMPUTED_VALUE"""),5250.0)</f>
        <v>5250</v>
      </c>
      <c r="D1174" s="2">
        <f>IFERROR(__xludf.DUMMYFUNCTION("""COMPUTED_VALUE"""),5175.0)</f>
        <v>5175</v>
      </c>
      <c r="E1174" s="2">
        <f>IFERROR(__xludf.DUMMYFUNCTION("""COMPUTED_VALUE"""),5200.0)</f>
        <v>5200</v>
      </c>
      <c r="F1174" s="2">
        <f>IFERROR(__xludf.DUMMYFUNCTION("""COMPUTED_VALUE"""),2.18702E7)</f>
        <v>21870200</v>
      </c>
      <c r="G1174" s="2">
        <f t="shared" si="1"/>
        <v>75</v>
      </c>
    </row>
    <row r="1175" ht="15.75" customHeight="1">
      <c r="A1175" s="1">
        <f>IFERROR(__xludf.DUMMYFUNCTION("""COMPUTED_VALUE"""),45600.66666666667)</f>
        <v>45600.66667</v>
      </c>
      <c r="B1175" s="2">
        <f>IFERROR(__xludf.DUMMYFUNCTION("""COMPUTED_VALUE"""),5225.0)</f>
        <v>5225</v>
      </c>
      <c r="C1175" s="2">
        <f>IFERROR(__xludf.DUMMYFUNCTION("""COMPUTED_VALUE"""),5325.0)</f>
        <v>5325</v>
      </c>
      <c r="D1175" s="2">
        <f>IFERROR(__xludf.DUMMYFUNCTION("""COMPUTED_VALUE"""),5150.0)</f>
        <v>5150</v>
      </c>
      <c r="E1175" s="2">
        <f>IFERROR(__xludf.DUMMYFUNCTION("""COMPUTED_VALUE"""),5300.0)</f>
        <v>5300</v>
      </c>
      <c r="F1175" s="2">
        <f>IFERROR(__xludf.DUMMYFUNCTION("""COMPUTED_VALUE"""),3.16695E7)</f>
        <v>31669500</v>
      </c>
      <c r="G1175" s="2">
        <f t="shared" si="1"/>
        <v>175</v>
      </c>
    </row>
    <row r="1176" ht="15.75" customHeight="1">
      <c r="A1176" s="1">
        <f>IFERROR(__xludf.DUMMYFUNCTION("""COMPUTED_VALUE"""),45601.66666666667)</f>
        <v>45601.66667</v>
      </c>
      <c r="B1176" s="2">
        <f>IFERROR(__xludf.DUMMYFUNCTION("""COMPUTED_VALUE"""),5275.0)</f>
        <v>5275</v>
      </c>
      <c r="C1176" s="2">
        <f>IFERROR(__xludf.DUMMYFUNCTION("""COMPUTED_VALUE"""),5450.0)</f>
        <v>5450</v>
      </c>
      <c r="D1176" s="2">
        <f>IFERROR(__xludf.DUMMYFUNCTION("""COMPUTED_VALUE"""),5250.0)</f>
        <v>5250</v>
      </c>
      <c r="E1176" s="2">
        <f>IFERROR(__xludf.DUMMYFUNCTION("""COMPUTED_VALUE"""),5400.0)</f>
        <v>5400</v>
      </c>
      <c r="F1176" s="2">
        <f>IFERROR(__xludf.DUMMYFUNCTION("""COMPUTED_VALUE"""),3.24464E7)</f>
        <v>32446400</v>
      </c>
      <c r="G1176" s="2">
        <f t="shared" si="1"/>
        <v>200</v>
      </c>
    </row>
    <row r="1177" ht="15.75" customHeight="1">
      <c r="A1177" s="1">
        <f>IFERROR(__xludf.DUMMYFUNCTION("""COMPUTED_VALUE"""),45602.66666666667)</f>
        <v>45602.66667</v>
      </c>
      <c r="B1177" s="2">
        <f>IFERROR(__xludf.DUMMYFUNCTION("""COMPUTED_VALUE"""),5425.0)</f>
        <v>5425</v>
      </c>
      <c r="C1177" s="2">
        <f>IFERROR(__xludf.DUMMYFUNCTION("""COMPUTED_VALUE"""),5425.0)</f>
        <v>5425</v>
      </c>
      <c r="D1177" s="2">
        <f>IFERROR(__xludf.DUMMYFUNCTION("""COMPUTED_VALUE"""),5100.0)</f>
        <v>5100</v>
      </c>
      <c r="E1177" s="2">
        <f>IFERROR(__xludf.DUMMYFUNCTION("""COMPUTED_VALUE"""),5125.0)</f>
        <v>5125</v>
      </c>
      <c r="F1177" s="2">
        <f>IFERROR(__xludf.DUMMYFUNCTION("""COMPUTED_VALUE"""),6.72141E7)</f>
        <v>67214100</v>
      </c>
      <c r="G1177" s="2">
        <f t="shared" si="1"/>
        <v>325</v>
      </c>
    </row>
    <row r="1178" ht="15.75" customHeight="1">
      <c r="A1178" s="1">
        <f>IFERROR(__xludf.DUMMYFUNCTION("""COMPUTED_VALUE"""),45603.66666666667)</f>
        <v>45603.66667</v>
      </c>
      <c r="B1178" s="2">
        <f>IFERROR(__xludf.DUMMYFUNCTION("""COMPUTED_VALUE"""),5150.0)</f>
        <v>5150</v>
      </c>
      <c r="C1178" s="2">
        <f>IFERROR(__xludf.DUMMYFUNCTION("""COMPUTED_VALUE"""),5175.0)</f>
        <v>5175</v>
      </c>
      <c r="D1178" s="2">
        <f>IFERROR(__xludf.DUMMYFUNCTION("""COMPUTED_VALUE"""),5025.0)</f>
        <v>5025</v>
      </c>
      <c r="E1178" s="2">
        <f>IFERROR(__xludf.DUMMYFUNCTION("""COMPUTED_VALUE"""),5025.0)</f>
        <v>5025</v>
      </c>
      <c r="F1178" s="2">
        <f>IFERROR(__xludf.DUMMYFUNCTION("""COMPUTED_VALUE"""),6.37458E7)</f>
        <v>63745800</v>
      </c>
      <c r="G1178" s="2">
        <f t="shared" si="1"/>
        <v>150</v>
      </c>
    </row>
    <row r="1179" ht="15.75" customHeight="1">
      <c r="A1179" s="1">
        <f>IFERROR(__xludf.DUMMYFUNCTION("""COMPUTED_VALUE"""),45604.66666666667)</f>
        <v>45604.66667</v>
      </c>
      <c r="B1179" s="2">
        <f>IFERROR(__xludf.DUMMYFUNCTION("""COMPUTED_VALUE"""),5075.0)</f>
        <v>5075</v>
      </c>
      <c r="C1179" s="2">
        <f>IFERROR(__xludf.DUMMYFUNCTION("""COMPUTED_VALUE"""),5125.0)</f>
        <v>5125</v>
      </c>
      <c r="D1179" s="2">
        <f>IFERROR(__xludf.DUMMYFUNCTION("""COMPUTED_VALUE"""),4970.0)</f>
        <v>4970</v>
      </c>
      <c r="E1179" s="2">
        <f>IFERROR(__xludf.DUMMYFUNCTION("""COMPUTED_VALUE"""),4980.0)</f>
        <v>4980</v>
      </c>
      <c r="F1179" s="2">
        <f>IFERROR(__xludf.DUMMYFUNCTION("""COMPUTED_VALUE"""),5.11331E7)</f>
        <v>51133100</v>
      </c>
      <c r="G1179" s="2">
        <f t="shared" si="1"/>
        <v>155</v>
      </c>
    </row>
    <row r="1180" ht="15.75" customHeight="1">
      <c r="A1180" s="1">
        <f>IFERROR(__xludf.DUMMYFUNCTION("""COMPUTED_VALUE"""),45607.66666666667)</f>
        <v>45607.66667</v>
      </c>
      <c r="B1180" s="2">
        <f>IFERROR(__xludf.DUMMYFUNCTION("""COMPUTED_VALUE"""),4950.0)</f>
        <v>4950</v>
      </c>
      <c r="C1180" s="2">
        <f>IFERROR(__xludf.DUMMYFUNCTION("""COMPUTED_VALUE"""),5025.0)</f>
        <v>5025</v>
      </c>
      <c r="D1180" s="2">
        <f>IFERROR(__xludf.DUMMYFUNCTION("""COMPUTED_VALUE"""),4800.0)</f>
        <v>4800</v>
      </c>
      <c r="E1180" s="2">
        <f>IFERROR(__xludf.DUMMYFUNCTION("""COMPUTED_VALUE"""),4990.0)</f>
        <v>4990</v>
      </c>
      <c r="F1180" s="2">
        <f>IFERROR(__xludf.DUMMYFUNCTION("""COMPUTED_VALUE"""),4.40283E7)</f>
        <v>44028300</v>
      </c>
      <c r="G1180" s="2">
        <f t="shared" si="1"/>
        <v>225</v>
      </c>
    </row>
    <row r="1181" ht="15.75" customHeight="1">
      <c r="A1181" s="1">
        <f>IFERROR(__xludf.DUMMYFUNCTION("""COMPUTED_VALUE"""),45608.66666666667)</f>
        <v>45608.66667</v>
      </c>
      <c r="B1181" s="2">
        <f>IFERROR(__xludf.DUMMYFUNCTION("""COMPUTED_VALUE"""),4960.0)</f>
        <v>4960</v>
      </c>
      <c r="C1181" s="2">
        <f>IFERROR(__xludf.DUMMYFUNCTION("""COMPUTED_VALUE"""),5000.0)</f>
        <v>5000</v>
      </c>
      <c r="D1181" s="2">
        <f>IFERROR(__xludf.DUMMYFUNCTION("""COMPUTED_VALUE"""),4870.0)</f>
        <v>4870</v>
      </c>
      <c r="E1181" s="2">
        <f>IFERROR(__xludf.DUMMYFUNCTION("""COMPUTED_VALUE"""),4930.0)</f>
        <v>4930</v>
      </c>
      <c r="F1181" s="2">
        <f>IFERROR(__xludf.DUMMYFUNCTION("""COMPUTED_VALUE"""),7.02209E7)</f>
        <v>70220900</v>
      </c>
      <c r="G1181" s="2">
        <f t="shared" si="1"/>
        <v>130</v>
      </c>
    </row>
    <row r="1182" ht="15.75" customHeight="1">
      <c r="A1182" s="1">
        <f>IFERROR(__xludf.DUMMYFUNCTION("""COMPUTED_VALUE"""),45609.66666666667)</f>
        <v>45609.66667</v>
      </c>
      <c r="B1182" s="2">
        <f>IFERROR(__xludf.DUMMYFUNCTION("""COMPUTED_VALUE"""),4930.0)</f>
        <v>4930</v>
      </c>
      <c r="C1182" s="2">
        <f>IFERROR(__xludf.DUMMYFUNCTION("""COMPUTED_VALUE"""),5025.0)</f>
        <v>5025</v>
      </c>
      <c r="D1182" s="2">
        <f>IFERROR(__xludf.DUMMYFUNCTION("""COMPUTED_VALUE"""),4910.0)</f>
        <v>4910</v>
      </c>
      <c r="E1182" s="2">
        <f>IFERROR(__xludf.DUMMYFUNCTION("""COMPUTED_VALUE"""),4960.0)</f>
        <v>4960</v>
      </c>
      <c r="F1182" s="2">
        <f>IFERROR(__xludf.DUMMYFUNCTION("""COMPUTED_VALUE"""),6.45488E7)</f>
        <v>64548800</v>
      </c>
      <c r="G1182" s="2">
        <f t="shared" si="1"/>
        <v>115</v>
      </c>
    </row>
    <row r="1183" ht="15.75" customHeight="1">
      <c r="A1183" s="1">
        <f>IFERROR(__xludf.DUMMYFUNCTION("""COMPUTED_VALUE"""),45610.66666666667)</f>
        <v>45610.66667</v>
      </c>
      <c r="B1183" s="2">
        <f>IFERROR(__xludf.DUMMYFUNCTION("""COMPUTED_VALUE"""),4960.0)</f>
        <v>4960</v>
      </c>
      <c r="C1183" s="2">
        <f>IFERROR(__xludf.DUMMYFUNCTION("""COMPUTED_VALUE"""),4970.0)</f>
        <v>4970</v>
      </c>
      <c r="D1183" s="2">
        <f>IFERROR(__xludf.DUMMYFUNCTION("""COMPUTED_VALUE"""),4910.0)</f>
        <v>4910</v>
      </c>
      <c r="E1183" s="2">
        <f>IFERROR(__xludf.DUMMYFUNCTION("""COMPUTED_VALUE"""),4950.0)</f>
        <v>4950</v>
      </c>
      <c r="F1183" s="2">
        <f>IFERROR(__xludf.DUMMYFUNCTION("""COMPUTED_VALUE"""),3.34314E7)</f>
        <v>33431400</v>
      </c>
      <c r="G1183" s="2">
        <f t="shared" si="1"/>
        <v>60</v>
      </c>
    </row>
    <row r="1184" ht="15.75" customHeight="1">
      <c r="A1184" s="1">
        <f>IFERROR(__xludf.DUMMYFUNCTION("""COMPUTED_VALUE"""),45611.66666666667)</f>
        <v>45611.66667</v>
      </c>
      <c r="B1184" s="2">
        <f>IFERROR(__xludf.DUMMYFUNCTION("""COMPUTED_VALUE"""),4920.0)</f>
        <v>4920</v>
      </c>
      <c r="C1184" s="2">
        <f>IFERROR(__xludf.DUMMYFUNCTION("""COMPUTED_VALUE"""),4940.0)</f>
        <v>4940</v>
      </c>
      <c r="D1184" s="2">
        <f>IFERROR(__xludf.DUMMYFUNCTION("""COMPUTED_VALUE"""),4870.0)</f>
        <v>4870</v>
      </c>
      <c r="E1184" s="2">
        <f>IFERROR(__xludf.DUMMYFUNCTION("""COMPUTED_VALUE"""),4910.0)</f>
        <v>4910</v>
      </c>
      <c r="F1184" s="2">
        <f>IFERROR(__xludf.DUMMYFUNCTION("""COMPUTED_VALUE"""),3.27857E7)</f>
        <v>32785700</v>
      </c>
      <c r="G1184" s="2">
        <f t="shared" si="1"/>
        <v>80</v>
      </c>
    </row>
    <row r="1185" ht="15.75" customHeight="1">
      <c r="A1185" s="1">
        <f>IFERROR(__xludf.DUMMYFUNCTION("""COMPUTED_VALUE"""),45614.66666666667)</f>
        <v>45614.66667</v>
      </c>
      <c r="B1185" s="2">
        <f>IFERROR(__xludf.DUMMYFUNCTION("""COMPUTED_VALUE"""),4930.0)</f>
        <v>4930</v>
      </c>
      <c r="C1185" s="2">
        <f>IFERROR(__xludf.DUMMYFUNCTION("""COMPUTED_VALUE"""),4930.0)</f>
        <v>4930</v>
      </c>
      <c r="D1185" s="2">
        <f>IFERROR(__xludf.DUMMYFUNCTION("""COMPUTED_VALUE"""),4830.0)</f>
        <v>4830</v>
      </c>
      <c r="E1185" s="2">
        <f>IFERROR(__xludf.DUMMYFUNCTION("""COMPUTED_VALUE"""),4870.0)</f>
        <v>4870</v>
      </c>
      <c r="F1185" s="2">
        <f>IFERROR(__xludf.DUMMYFUNCTION("""COMPUTED_VALUE"""),2.22402E7)</f>
        <v>22240200</v>
      </c>
      <c r="G1185" s="2">
        <f t="shared" si="1"/>
        <v>100</v>
      </c>
    </row>
    <row r="1186" ht="15.75" customHeight="1">
      <c r="A1186" s="1">
        <f>IFERROR(__xludf.DUMMYFUNCTION("""COMPUTED_VALUE"""),45615.66666666667)</f>
        <v>45615.66667</v>
      </c>
      <c r="B1186" s="2">
        <f>IFERROR(__xludf.DUMMYFUNCTION("""COMPUTED_VALUE"""),4860.0)</f>
        <v>4860</v>
      </c>
      <c r="C1186" s="2">
        <f>IFERROR(__xludf.DUMMYFUNCTION("""COMPUTED_VALUE"""),4890.0)</f>
        <v>4890</v>
      </c>
      <c r="D1186" s="2">
        <f>IFERROR(__xludf.DUMMYFUNCTION("""COMPUTED_VALUE"""),4800.0)</f>
        <v>4800</v>
      </c>
      <c r="E1186" s="2">
        <f>IFERROR(__xludf.DUMMYFUNCTION("""COMPUTED_VALUE"""),4850.0)</f>
        <v>4850</v>
      </c>
      <c r="F1186" s="2">
        <f>IFERROR(__xludf.DUMMYFUNCTION("""COMPUTED_VALUE"""),2.82148E7)</f>
        <v>28214800</v>
      </c>
      <c r="G1186" s="2">
        <f t="shared" si="1"/>
        <v>90</v>
      </c>
    </row>
    <row r="1187" ht="15.75" customHeight="1">
      <c r="A1187" s="1">
        <f>IFERROR(__xludf.DUMMYFUNCTION("""COMPUTED_VALUE"""),45616.66666666667)</f>
        <v>45616.66667</v>
      </c>
      <c r="B1187" s="2">
        <f>IFERROR(__xludf.DUMMYFUNCTION("""COMPUTED_VALUE"""),4870.0)</f>
        <v>4870</v>
      </c>
      <c r="C1187" s="2">
        <f>IFERROR(__xludf.DUMMYFUNCTION("""COMPUTED_VALUE"""),4900.0)</f>
        <v>4900</v>
      </c>
      <c r="D1187" s="2">
        <f>IFERROR(__xludf.DUMMYFUNCTION("""COMPUTED_VALUE"""),4800.0)</f>
        <v>4800</v>
      </c>
      <c r="E1187" s="2">
        <f>IFERROR(__xludf.DUMMYFUNCTION("""COMPUTED_VALUE"""),4850.0)</f>
        <v>4850</v>
      </c>
      <c r="F1187" s="2">
        <f>IFERROR(__xludf.DUMMYFUNCTION("""COMPUTED_VALUE"""),2.46936E7)</f>
        <v>24693600</v>
      </c>
      <c r="G1187" s="2">
        <f t="shared" si="1"/>
        <v>100</v>
      </c>
    </row>
    <row r="1188" ht="15.75" customHeight="1">
      <c r="A1188" s="1">
        <f>IFERROR(__xludf.DUMMYFUNCTION("""COMPUTED_VALUE"""),45617.66666666667)</f>
        <v>45617.66667</v>
      </c>
      <c r="B1188" s="2">
        <f>IFERROR(__xludf.DUMMYFUNCTION("""COMPUTED_VALUE"""),4820.0)</f>
        <v>4820</v>
      </c>
      <c r="C1188" s="2">
        <f>IFERROR(__xludf.DUMMYFUNCTION("""COMPUTED_VALUE"""),4850.0)</f>
        <v>4850</v>
      </c>
      <c r="D1188" s="2">
        <f>IFERROR(__xludf.DUMMYFUNCTION("""COMPUTED_VALUE"""),4710.0)</f>
        <v>4710</v>
      </c>
      <c r="E1188" s="2">
        <f>IFERROR(__xludf.DUMMYFUNCTION("""COMPUTED_VALUE"""),4720.0)</f>
        <v>4720</v>
      </c>
      <c r="F1188" s="2">
        <f>IFERROR(__xludf.DUMMYFUNCTION("""COMPUTED_VALUE"""),4.57272E7)</f>
        <v>45727200</v>
      </c>
      <c r="G1188" s="2">
        <f t="shared" si="1"/>
        <v>140</v>
      </c>
    </row>
    <row r="1189" ht="15.75" customHeight="1">
      <c r="A1189" s="1">
        <f>IFERROR(__xludf.DUMMYFUNCTION("""COMPUTED_VALUE"""),45618.66666666667)</f>
        <v>45618.66667</v>
      </c>
      <c r="B1189" s="2">
        <f>IFERROR(__xludf.DUMMYFUNCTION("""COMPUTED_VALUE"""),4750.0)</f>
        <v>4750</v>
      </c>
      <c r="C1189" s="2">
        <f>IFERROR(__xludf.DUMMYFUNCTION("""COMPUTED_VALUE"""),4860.0)</f>
        <v>4860</v>
      </c>
      <c r="D1189" s="2">
        <f>IFERROR(__xludf.DUMMYFUNCTION("""COMPUTED_VALUE"""),4740.0)</f>
        <v>4740</v>
      </c>
      <c r="E1189" s="2">
        <f>IFERROR(__xludf.DUMMYFUNCTION("""COMPUTED_VALUE"""),4840.0)</f>
        <v>4840</v>
      </c>
      <c r="F1189" s="2">
        <f>IFERROR(__xludf.DUMMYFUNCTION("""COMPUTED_VALUE"""),5.02584E7)</f>
        <v>50258400</v>
      </c>
      <c r="G1189" s="2">
        <f t="shared" si="1"/>
        <v>140</v>
      </c>
    </row>
    <row r="1190" ht="15.75" customHeight="1">
      <c r="A1190" s="1">
        <f>IFERROR(__xludf.DUMMYFUNCTION("""COMPUTED_VALUE"""),45621.66666666667)</f>
        <v>45621.66667</v>
      </c>
      <c r="B1190" s="2">
        <f>IFERROR(__xludf.DUMMYFUNCTION("""COMPUTED_VALUE"""),4850.0)</f>
        <v>4850</v>
      </c>
      <c r="C1190" s="2">
        <f>IFERROR(__xludf.DUMMYFUNCTION("""COMPUTED_VALUE"""),5075.0)</f>
        <v>5075</v>
      </c>
      <c r="D1190" s="2">
        <f>IFERROR(__xludf.DUMMYFUNCTION("""COMPUTED_VALUE"""),4840.0)</f>
        <v>4840</v>
      </c>
      <c r="E1190" s="2">
        <f>IFERROR(__xludf.DUMMYFUNCTION("""COMPUTED_VALUE"""),4990.0)</f>
        <v>4990</v>
      </c>
      <c r="F1190" s="2">
        <f>IFERROR(__xludf.DUMMYFUNCTION("""COMPUTED_VALUE"""),9.84059E7)</f>
        <v>98405900</v>
      </c>
      <c r="G1190" s="2">
        <f t="shared" si="1"/>
        <v>235</v>
      </c>
    </row>
    <row r="1191" ht="15.75" customHeight="1">
      <c r="A1191" s="1">
        <f>IFERROR(__xludf.DUMMYFUNCTION("""COMPUTED_VALUE"""),45622.66666666667)</f>
        <v>45622.66667</v>
      </c>
      <c r="B1191" s="2">
        <f>IFERROR(__xludf.DUMMYFUNCTION("""COMPUTED_VALUE"""),5025.0)</f>
        <v>5025</v>
      </c>
      <c r="C1191" s="2">
        <f>IFERROR(__xludf.DUMMYFUNCTION("""COMPUTED_VALUE"""),5050.0)</f>
        <v>5050</v>
      </c>
      <c r="D1191" s="2">
        <f>IFERROR(__xludf.DUMMYFUNCTION("""COMPUTED_VALUE"""),4950.0)</f>
        <v>4950</v>
      </c>
      <c r="E1191" s="2">
        <f>IFERROR(__xludf.DUMMYFUNCTION("""COMPUTED_VALUE"""),4950.0)</f>
        <v>4950</v>
      </c>
      <c r="F1191" s="2">
        <f>IFERROR(__xludf.DUMMYFUNCTION("""COMPUTED_VALUE"""),3.73228E7)</f>
        <v>37322800</v>
      </c>
      <c r="G1191" s="2">
        <f t="shared" si="1"/>
        <v>100</v>
      </c>
    </row>
    <row r="1192" ht="15.75" customHeight="1">
      <c r="A1192" s="1">
        <f>IFERROR(__xludf.DUMMYFUNCTION("""COMPUTED_VALUE"""),45624.66666666667)</f>
        <v>45624.66667</v>
      </c>
      <c r="B1192" s="2">
        <f>IFERROR(__xludf.DUMMYFUNCTION("""COMPUTED_VALUE"""),5025.0)</f>
        <v>5025</v>
      </c>
      <c r="C1192" s="2">
        <f>IFERROR(__xludf.DUMMYFUNCTION("""COMPUTED_VALUE"""),5075.0)</f>
        <v>5075</v>
      </c>
      <c r="D1192" s="2">
        <f>IFERROR(__xludf.DUMMYFUNCTION("""COMPUTED_VALUE"""),4950.0)</f>
        <v>4950</v>
      </c>
      <c r="E1192" s="2">
        <f>IFERROR(__xludf.DUMMYFUNCTION("""COMPUTED_VALUE"""),5025.0)</f>
        <v>5025</v>
      </c>
      <c r="F1192" s="2">
        <f>IFERROR(__xludf.DUMMYFUNCTION("""COMPUTED_VALUE"""),2.8337E7)</f>
        <v>28337000</v>
      </c>
      <c r="G1192" s="2">
        <f t="shared" si="1"/>
        <v>125</v>
      </c>
    </row>
    <row r="1193" ht="15.75" customHeight="1">
      <c r="A1193" s="1">
        <f>IFERROR(__xludf.DUMMYFUNCTION("""COMPUTED_VALUE"""),45625.66666666667)</f>
        <v>45625.66667</v>
      </c>
      <c r="B1193" s="2">
        <f>IFERROR(__xludf.DUMMYFUNCTION("""COMPUTED_VALUE"""),5025.0)</f>
        <v>5025</v>
      </c>
      <c r="C1193" s="2">
        <f>IFERROR(__xludf.DUMMYFUNCTION("""COMPUTED_VALUE"""),5050.0)</f>
        <v>5050</v>
      </c>
      <c r="D1193" s="2">
        <f>IFERROR(__xludf.DUMMYFUNCTION("""COMPUTED_VALUE"""),4940.0)</f>
        <v>4940</v>
      </c>
      <c r="E1193" s="2">
        <f>IFERROR(__xludf.DUMMYFUNCTION("""COMPUTED_VALUE"""),4980.0)</f>
        <v>4980</v>
      </c>
      <c r="F1193" s="2">
        <f>IFERROR(__xludf.DUMMYFUNCTION("""COMPUTED_VALUE"""),4.88854E7)</f>
        <v>48885400</v>
      </c>
      <c r="G1193" s="2">
        <f t="shared" si="1"/>
        <v>110</v>
      </c>
    </row>
    <row r="1194" ht="15.75" customHeight="1">
      <c r="A1194" s="1">
        <f>IFERROR(__xludf.DUMMYFUNCTION("""COMPUTED_VALUE"""),45628.66666666667)</f>
        <v>45628.66667</v>
      </c>
      <c r="B1194" s="2">
        <f>IFERROR(__xludf.DUMMYFUNCTION("""COMPUTED_VALUE"""),4980.0)</f>
        <v>4980</v>
      </c>
      <c r="C1194" s="2">
        <f>IFERROR(__xludf.DUMMYFUNCTION("""COMPUTED_VALUE"""),5000.0)</f>
        <v>5000</v>
      </c>
      <c r="D1194" s="2">
        <f>IFERROR(__xludf.DUMMYFUNCTION("""COMPUTED_VALUE"""),4710.0)</f>
        <v>4710</v>
      </c>
      <c r="E1194" s="2">
        <f>IFERROR(__xludf.DUMMYFUNCTION("""COMPUTED_VALUE"""),4710.0)</f>
        <v>4710</v>
      </c>
      <c r="F1194" s="2">
        <f>IFERROR(__xludf.DUMMYFUNCTION("""COMPUTED_VALUE"""),4.93181E7)</f>
        <v>49318100</v>
      </c>
      <c r="G1194" s="2">
        <f t="shared" si="1"/>
        <v>290</v>
      </c>
    </row>
    <row r="1195" ht="15.75" customHeight="1">
      <c r="A1195" s="1">
        <f>IFERROR(__xludf.DUMMYFUNCTION("""COMPUTED_VALUE"""),45629.66666666667)</f>
        <v>45629.66667</v>
      </c>
      <c r="B1195" s="2">
        <f>IFERROR(__xludf.DUMMYFUNCTION("""COMPUTED_VALUE"""),4740.0)</f>
        <v>4740</v>
      </c>
      <c r="C1195" s="2">
        <f>IFERROR(__xludf.DUMMYFUNCTION("""COMPUTED_VALUE"""),4840.0)</f>
        <v>4840</v>
      </c>
      <c r="D1195" s="2">
        <f>IFERROR(__xludf.DUMMYFUNCTION("""COMPUTED_VALUE"""),4730.0)</f>
        <v>4730</v>
      </c>
      <c r="E1195" s="2">
        <f>IFERROR(__xludf.DUMMYFUNCTION("""COMPUTED_VALUE"""),4780.0)</f>
        <v>4780</v>
      </c>
      <c r="F1195" s="2">
        <f>IFERROR(__xludf.DUMMYFUNCTION("""COMPUTED_VALUE"""),6.01011E7)</f>
        <v>60101100</v>
      </c>
      <c r="G1195" s="2">
        <f t="shared" si="1"/>
        <v>130</v>
      </c>
    </row>
    <row r="1196" ht="15.75" customHeight="1">
      <c r="A1196" s="1">
        <f>IFERROR(__xludf.DUMMYFUNCTION("""COMPUTED_VALUE"""),45630.66666666667)</f>
        <v>45630.66667</v>
      </c>
      <c r="B1196" s="2">
        <f>IFERROR(__xludf.DUMMYFUNCTION("""COMPUTED_VALUE"""),4800.0)</f>
        <v>4800</v>
      </c>
      <c r="C1196" s="2">
        <f>IFERROR(__xludf.DUMMYFUNCTION("""COMPUTED_VALUE"""),4980.0)</f>
        <v>4980</v>
      </c>
      <c r="D1196" s="2">
        <f>IFERROR(__xludf.DUMMYFUNCTION("""COMPUTED_VALUE"""),4790.0)</f>
        <v>4790</v>
      </c>
      <c r="E1196" s="2">
        <f>IFERROR(__xludf.DUMMYFUNCTION("""COMPUTED_VALUE"""),4950.0)</f>
        <v>4950</v>
      </c>
      <c r="F1196" s="2">
        <f>IFERROR(__xludf.DUMMYFUNCTION("""COMPUTED_VALUE"""),4.69422E7)</f>
        <v>46942200</v>
      </c>
      <c r="G1196" s="2">
        <f t="shared" si="1"/>
        <v>200</v>
      </c>
    </row>
    <row r="1197" ht="15.75" customHeight="1">
      <c r="A1197" s="1">
        <f>IFERROR(__xludf.DUMMYFUNCTION("""COMPUTED_VALUE"""),45631.66666666667)</f>
        <v>45631.66667</v>
      </c>
      <c r="B1197" s="2">
        <f>IFERROR(__xludf.DUMMYFUNCTION("""COMPUTED_VALUE"""),4950.0)</f>
        <v>4950</v>
      </c>
      <c r="C1197" s="2">
        <f>IFERROR(__xludf.DUMMYFUNCTION("""COMPUTED_VALUE"""),4950.0)</f>
        <v>4950</v>
      </c>
      <c r="D1197" s="2">
        <f>IFERROR(__xludf.DUMMYFUNCTION("""COMPUTED_VALUE"""),4810.0)</f>
        <v>4810</v>
      </c>
      <c r="E1197" s="2">
        <f>IFERROR(__xludf.DUMMYFUNCTION("""COMPUTED_VALUE"""),4820.0)</f>
        <v>4820</v>
      </c>
      <c r="F1197" s="2">
        <f>IFERROR(__xludf.DUMMYFUNCTION("""COMPUTED_VALUE"""),3.35376E7)</f>
        <v>33537600</v>
      </c>
      <c r="G1197" s="2">
        <f t="shared" si="1"/>
        <v>140</v>
      </c>
    </row>
    <row r="1198" ht="15.75" customHeight="1">
      <c r="A1198" s="1">
        <f>IFERROR(__xludf.DUMMYFUNCTION("""COMPUTED_VALUE"""),45632.66666666667)</f>
        <v>45632.66667</v>
      </c>
      <c r="B1198" s="2">
        <f>IFERROR(__xludf.DUMMYFUNCTION("""COMPUTED_VALUE"""),4820.0)</f>
        <v>4820</v>
      </c>
      <c r="C1198" s="2">
        <f>IFERROR(__xludf.DUMMYFUNCTION("""COMPUTED_VALUE"""),4880.0)</f>
        <v>4880</v>
      </c>
      <c r="D1198" s="2">
        <f>IFERROR(__xludf.DUMMYFUNCTION("""COMPUTED_VALUE"""),4780.0)</f>
        <v>4780</v>
      </c>
      <c r="E1198" s="2">
        <f>IFERROR(__xludf.DUMMYFUNCTION("""COMPUTED_VALUE"""),4860.0)</f>
        <v>4860</v>
      </c>
      <c r="F1198" s="2">
        <f>IFERROR(__xludf.DUMMYFUNCTION("""COMPUTED_VALUE"""),2.57351E7)</f>
        <v>25735100</v>
      </c>
      <c r="G1198" s="2">
        <f t="shared" si="1"/>
        <v>100</v>
      </c>
    </row>
    <row r="1199" ht="15.75" customHeight="1">
      <c r="A1199" s="1">
        <f>IFERROR(__xludf.DUMMYFUNCTION("""COMPUTED_VALUE"""),45635.66666666667)</f>
        <v>45635.66667</v>
      </c>
      <c r="B1199" s="2">
        <f>IFERROR(__xludf.DUMMYFUNCTION("""COMPUTED_VALUE"""),4890.0)</f>
        <v>4890</v>
      </c>
      <c r="C1199" s="2">
        <f>IFERROR(__xludf.DUMMYFUNCTION("""COMPUTED_VALUE"""),5050.0)</f>
        <v>5050</v>
      </c>
      <c r="D1199" s="2">
        <f>IFERROR(__xludf.DUMMYFUNCTION("""COMPUTED_VALUE"""),4880.0)</f>
        <v>4880</v>
      </c>
      <c r="E1199" s="2">
        <f>IFERROR(__xludf.DUMMYFUNCTION("""COMPUTED_VALUE"""),5000.0)</f>
        <v>5000</v>
      </c>
      <c r="F1199" s="2">
        <f>IFERROR(__xludf.DUMMYFUNCTION("""COMPUTED_VALUE"""),4.39381E7)</f>
        <v>43938100</v>
      </c>
      <c r="G1199" s="2">
        <f t="shared" si="1"/>
        <v>190</v>
      </c>
    </row>
    <row r="1200" ht="15.75" customHeight="1">
      <c r="A1200" s="1">
        <f>IFERROR(__xludf.DUMMYFUNCTION("""COMPUTED_VALUE"""),45636.66666666667)</f>
        <v>45636.66667</v>
      </c>
      <c r="B1200" s="2">
        <f>IFERROR(__xludf.DUMMYFUNCTION("""COMPUTED_VALUE"""),4990.0)</f>
        <v>4990</v>
      </c>
      <c r="C1200" s="2">
        <f>IFERROR(__xludf.DUMMYFUNCTION("""COMPUTED_VALUE"""),5100.0)</f>
        <v>5100</v>
      </c>
      <c r="D1200" s="2">
        <f>IFERROR(__xludf.DUMMYFUNCTION("""COMPUTED_VALUE"""),4930.0)</f>
        <v>4930</v>
      </c>
      <c r="E1200" s="2">
        <f>IFERROR(__xludf.DUMMYFUNCTION("""COMPUTED_VALUE"""),5100.0)</f>
        <v>5100</v>
      </c>
      <c r="F1200" s="2">
        <f>IFERROR(__xludf.DUMMYFUNCTION("""COMPUTED_VALUE"""),3.91589E7)</f>
        <v>39158900</v>
      </c>
      <c r="G1200" s="2">
        <f t="shared" si="1"/>
        <v>170</v>
      </c>
    </row>
    <row r="1201" ht="15.75" customHeight="1">
      <c r="A1201" s="1">
        <f>IFERROR(__xludf.DUMMYFUNCTION("""COMPUTED_VALUE"""),45637.66666666667)</f>
        <v>45637.66667</v>
      </c>
      <c r="B1201" s="2">
        <f>IFERROR(__xludf.DUMMYFUNCTION("""COMPUTED_VALUE"""),5050.0)</f>
        <v>5050</v>
      </c>
      <c r="C1201" s="2">
        <f>IFERROR(__xludf.DUMMYFUNCTION("""COMPUTED_VALUE"""),5175.0)</f>
        <v>5175</v>
      </c>
      <c r="D1201" s="2">
        <f>IFERROR(__xludf.DUMMYFUNCTION("""COMPUTED_VALUE"""),5050.0)</f>
        <v>5050</v>
      </c>
      <c r="E1201" s="2">
        <f>IFERROR(__xludf.DUMMYFUNCTION("""COMPUTED_VALUE"""),5075.0)</f>
        <v>5075</v>
      </c>
      <c r="F1201" s="2">
        <f>IFERROR(__xludf.DUMMYFUNCTION("""COMPUTED_VALUE"""),3.97709E7)</f>
        <v>39770900</v>
      </c>
      <c r="G1201" s="2">
        <f t="shared" si="1"/>
        <v>125</v>
      </c>
    </row>
    <row r="1202" ht="15.75" customHeight="1">
      <c r="A1202" s="1">
        <f>IFERROR(__xludf.DUMMYFUNCTION("""COMPUTED_VALUE"""),45638.66666666667)</f>
        <v>45638.66667</v>
      </c>
      <c r="B1202" s="2">
        <f>IFERROR(__xludf.DUMMYFUNCTION("""COMPUTED_VALUE"""),5025.0)</f>
        <v>5025</v>
      </c>
      <c r="C1202" s="2">
        <f>IFERROR(__xludf.DUMMYFUNCTION("""COMPUTED_VALUE"""),5025.0)</f>
        <v>5025</v>
      </c>
      <c r="D1202" s="2">
        <f>IFERROR(__xludf.DUMMYFUNCTION("""COMPUTED_VALUE"""),4880.0)</f>
        <v>4880</v>
      </c>
      <c r="E1202" s="2">
        <f>IFERROR(__xludf.DUMMYFUNCTION("""COMPUTED_VALUE"""),4880.0)</f>
        <v>4880</v>
      </c>
      <c r="F1202" s="2">
        <f>IFERROR(__xludf.DUMMYFUNCTION("""COMPUTED_VALUE"""),4.59119E7)</f>
        <v>45911900</v>
      </c>
      <c r="G1202" s="2">
        <f t="shared" si="1"/>
        <v>195</v>
      </c>
    </row>
    <row r="1203" ht="15.75" customHeight="1">
      <c r="A1203" s="1">
        <f>IFERROR(__xludf.DUMMYFUNCTION("""COMPUTED_VALUE"""),45639.66666666667)</f>
        <v>45639.66667</v>
      </c>
      <c r="B1203" s="2">
        <f>IFERROR(__xludf.DUMMYFUNCTION("""COMPUTED_VALUE"""),4800.0)</f>
        <v>4800</v>
      </c>
      <c r="C1203" s="2">
        <f>IFERROR(__xludf.DUMMYFUNCTION("""COMPUTED_VALUE"""),4830.0)</f>
        <v>4830</v>
      </c>
      <c r="D1203" s="2">
        <f>IFERROR(__xludf.DUMMYFUNCTION("""COMPUTED_VALUE"""),4720.0)</f>
        <v>4720</v>
      </c>
      <c r="E1203" s="2">
        <f>IFERROR(__xludf.DUMMYFUNCTION("""COMPUTED_VALUE"""),4730.0)</f>
        <v>4730</v>
      </c>
      <c r="F1203" s="2">
        <f>IFERROR(__xludf.DUMMYFUNCTION("""COMPUTED_VALUE"""),7.2851E7)</f>
        <v>72851000</v>
      </c>
      <c r="G1203" s="2">
        <f t="shared" si="1"/>
        <v>160</v>
      </c>
    </row>
    <row r="1204" ht="15.75" customHeight="1">
      <c r="A1204" s="1">
        <f>IFERROR(__xludf.DUMMYFUNCTION("""COMPUTED_VALUE"""),45642.66666666667)</f>
        <v>45642.66667</v>
      </c>
      <c r="B1204" s="2">
        <f>IFERROR(__xludf.DUMMYFUNCTION("""COMPUTED_VALUE"""),4610.0)</f>
        <v>4610</v>
      </c>
      <c r="C1204" s="2">
        <f>IFERROR(__xludf.DUMMYFUNCTION("""COMPUTED_VALUE"""),4720.0)</f>
        <v>4720</v>
      </c>
      <c r="D1204" s="2">
        <f>IFERROR(__xludf.DUMMYFUNCTION("""COMPUTED_VALUE"""),4600.0)</f>
        <v>4600</v>
      </c>
      <c r="E1204" s="2">
        <f>IFERROR(__xludf.DUMMYFUNCTION("""COMPUTED_VALUE"""),4640.0)</f>
        <v>4640</v>
      </c>
      <c r="F1204" s="2">
        <f>IFERROR(__xludf.DUMMYFUNCTION("""COMPUTED_VALUE"""),8.37367E7)</f>
        <v>83736700</v>
      </c>
      <c r="G1204" s="2">
        <f t="shared" si="1"/>
        <v>130</v>
      </c>
    </row>
    <row r="1205" ht="15.75" customHeight="1">
      <c r="A1205" s="1">
        <f>IFERROR(__xludf.DUMMYFUNCTION("""COMPUTED_VALUE"""),45643.66666666667)</f>
        <v>45643.66667</v>
      </c>
      <c r="B1205" s="2">
        <f>IFERROR(__xludf.DUMMYFUNCTION("""COMPUTED_VALUE"""),4620.0)</f>
        <v>4620</v>
      </c>
      <c r="C1205" s="2">
        <f>IFERROR(__xludf.DUMMYFUNCTION("""COMPUTED_VALUE"""),4640.0)</f>
        <v>4640</v>
      </c>
      <c r="D1205" s="2">
        <f>IFERROR(__xludf.DUMMYFUNCTION("""COMPUTED_VALUE"""),4430.0)</f>
        <v>4430</v>
      </c>
      <c r="E1205" s="2">
        <f>IFERROR(__xludf.DUMMYFUNCTION("""COMPUTED_VALUE"""),4470.0)</f>
        <v>4470</v>
      </c>
      <c r="F1205" s="2">
        <f>IFERROR(__xludf.DUMMYFUNCTION("""COMPUTED_VALUE"""),1.198737E8)</f>
        <v>119873700</v>
      </c>
      <c r="G1205" s="2">
        <f t="shared" si="1"/>
        <v>210</v>
      </c>
    </row>
    <row r="1206" ht="15.75" customHeight="1">
      <c r="A1206" s="1">
        <f>IFERROR(__xludf.DUMMYFUNCTION("""COMPUTED_VALUE"""),45644.66666666667)</f>
        <v>45644.66667</v>
      </c>
      <c r="B1206" s="2">
        <f>IFERROR(__xludf.DUMMYFUNCTION("""COMPUTED_VALUE"""),4470.0)</f>
        <v>4470</v>
      </c>
      <c r="C1206" s="2">
        <f>IFERROR(__xludf.DUMMYFUNCTION("""COMPUTED_VALUE"""),4530.0)</f>
        <v>4530</v>
      </c>
      <c r="D1206" s="2">
        <f>IFERROR(__xludf.DUMMYFUNCTION("""COMPUTED_VALUE"""),4410.0)</f>
        <v>4410</v>
      </c>
      <c r="E1206" s="2">
        <f>IFERROR(__xludf.DUMMYFUNCTION("""COMPUTED_VALUE"""),4430.0)</f>
        <v>4430</v>
      </c>
      <c r="F1206" s="2">
        <f>IFERROR(__xludf.DUMMYFUNCTION("""COMPUTED_VALUE"""),5.64701E7)</f>
        <v>56470100</v>
      </c>
      <c r="G1206" s="2">
        <f t="shared" si="1"/>
        <v>120</v>
      </c>
    </row>
    <row r="1207" ht="15.75" customHeight="1">
      <c r="A1207" s="1">
        <f>IFERROR(__xludf.DUMMYFUNCTION("""COMPUTED_VALUE"""),45645.66666666667)</f>
        <v>45645.66667</v>
      </c>
      <c r="B1207" s="2">
        <f>IFERROR(__xludf.DUMMYFUNCTION("""COMPUTED_VALUE"""),4360.0)</f>
        <v>4360</v>
      </c>
      <c r="C1207" s="2">
        <f>IFERROR(__xludf.DUMMYFUNCTION("""COMPUTED_VALUE"""),4370.0)</f>
        <v>4370</v>
      </c>
      <c r="D1207" s="2">
        <f>IFERROR(__xludf.DUMMYFUNCTION("""COMPUTED_VALUE"""),4300.0)</f>
        <v>4300</v>
      </c>
      <c r="E1207" s="2">
        <f>IFERROR(__xludf.DUMMYFUNCTION("""COMPUTED_VALUE"""),4310.0)</f>
        <v>4310</v>
      </c>
      <c r="F1207" s="2">
        <f>IFERROR(__xludf.DUMMYFUNCTION("""COMPUTED_VALUE"""),7.1247E7)</f>
        <v>71247000</v>
      </c>
      <c r="G1207" s="2">
        <f t="shared" si="1"/>
        <v>130</v>
      </c>
    </row>
    <row r="1208" ht="15.75" customHeight="1">
      <c r="A1208" s="1">
        <f>IFERROR(__xludf.DUMMYFUNCTION("""COMPUTED_VALUE"""),45646.66666666667)</f>
        <v>45646.66667</v>
      </c>
      <c r="B1208" s="2">
        <f>IFERROR(__xludf.DUMMYFUNCTION("""COMPUTED_VALUE"""),4330.0)</f>
        <v>4330</v>
      </c>
      <c r="C1208" s="2">
        <f>IFERROR(__xludf.DUMMYFUNCTION("""COMPUTED_VALUE"""),4360.0)</f>
        <v>4360</v>
      </c>
      <c r="D1208" s="2">
        <f>IFERROR(__xludf.DUMMYFUNCTION("""COMPUTED_VALUE"""),4260.0)</f>
        <v>4260</v>
      </c>
      <c r="E1208" s="2">
        <f>IFERROR(__xludf.DUMMYFUNCTION("""COMPUTED_VALUE"""),4260.0)</f>
        <v>4260</v>
      </c>
      <c r="F1208" s="2">
        <f>IFERROR(__xludf.DUMMYFUNCTION("""COMPUTED_VALUE"""),8.38725E7)</f>
        <v>83872500</v>
      </c>
      <c r="G1208" s="2">
        <f t="shared" si="1"/>
        <v>100</v>
      </c>
    </row>
    <row r="1209" ht="15.75" customHeight="1">
      <c r="A1209" s="1">
        <f>IFERROR(__xludf.DUMMYFUNCTION("""COMPUTED_VALUE"""),45649.66666666667)</f>
        <v>45649.66667</v>
      </c>
      <c r="B1209" s="2">
        <f>IFERROR(__xludf.DUMMYFUNCTION("""COMPUTED_VALUE"""),4320.0)</f>
        <v>4320</v>
      </c>
      <c r="C1209" s="2">
        <f>IFERROR(__xludf.DUMMYFUNCTION("""COMPUTED_VALUE"""),4390.0)</f>
        <v>4390</v>
      </c>
      <c r="D1209" s="2">
        <f>IFERROR(__xludf.DUMMYFUNCTION("""COMPUTED_VALUE"""),4320.0)</f>
        <v>4320</v>
      </c>
      <c r="E1209" s="2">
        <f>IFERROR(__xludf.DUMMYFUNCTION("""COMPUTED_VALUE"""),4380.0)</f>
        <v>4380</v>
      </c>
      <c r="F1209" s="2">
        <f>IFERROR(__xludf.DUMMYFUNCTION("""COMPUTED_VALUE"""),4.36681E7)</f>
        <v>43668100</v>
      </c>
      <c r="G1209" s="2">
        <f t="shared" si="1"/>
        <v>130</v>
      </c>
    </row>
    <row r="1210" ht="15.75" customHeight="1">
      <c r="A1210" s="1">
        <f>IFERROR(__xludf.DUMMYFUNCTION("""COMPUTED_VALUE"""),45650.66666666667)</f>
        <v>45650.66667</v>
      </c>
      <c r="B1210" s="2">
        <f>IFERROR(__xludf.DUMMYFUNCTION("""COMPUTED_VALUE"""),4380.0)</f>
        <v>4380</v>
      </c>
      <c r="C1210" s="2">
        <f>IFERROR(__xludf.DUMMYFUNCTION("""COMPUTED_VALUE"""),4400.0)</f>
        <v>4400</v>
      </c>
      <c r="D1210" s="2">
        <f>IFERROR(__xludf.DUMMYFUNCTION("""COMPUTED_VALUE"""),4340.0)</f>
        <v>4340</v>
      </c>
      <c r="E1210" s="2">
        <f>IFERROR(__xludf.DUMMYFUNCTION("""COMPUTED_VALUE"""),4380.0)</f>
        <v>4380</v>
      </c>
      <c r="F1210" s="2">
        <f>IFERROR(__xludf.DUMMYFUNCTION("""COMPUTED_VALUE"""),2.14589E7)</f>
        <v>21458900</v>
      </c>
      <c r="G1210" s="2">
        <f t="shared" si="1"/>
        <v>60</v>
      </c>
    </row>
    <row r="1211" ht="15.75" customHeight="1">
      <c r="A1211" s="1">
        <f>IFERROR(__xludf.DUMMYFUNCTION("""COMPUTED_VALUE"""),45653.66666666667)</f>
        <v>45653.66667</v>
      </c>
      <c r="B1211" s="2">
        <f>IFERROR(__xludf.DUMMYFUNCTION("""COMPUTED_VALUE"""),4380.0)</f>
        <v>4380</v>
      </c>
      <c r="C1211" s="2">
        <f>IFERROR(__xludf.DUMMYFUNCTION("""COMPUTED_VALUE"""),4430.0)</f>
        <v>4430</v>
      </c>
      <c r="D1211" s="2">
        <f>IFERROR(__xludf.DUMMYFUNCTION("""COMPUTED_VALUE"""),4360.0)</f>
        <v>4360</v>
      </c>
      <c r="E1211" s="2">
        <f>IFERROR(__xludf.DUMMYFUNCTION("""COMPUTED_VALUE"""),4360.0)</f>
        <v>4360</v>
      </c>
      <c r="F1211" s="2">
        <f>IFERROR(__xludf.DUMMYFUNCTION("""COMPUTED_VALUE"""),2.28387E7)</f>
        <v>22838700</v>
      </c>
      <c r="G1211" s="2">
        <f t="shared" si="1"/>
        <v>70</v>
      </c>
    </row>
    <row r="1212" ht="15.75" customHeight="1">
      <c r="A1212" s="1">
        <f>IFERROR(__xludf.DUMMYFUNCTION("""COMPUTED_VALUE"""),45656.66666666667)</f>
        <v>45656.66667</v>
      </c>
      <c r="B1212" s="2">
        <f>IFERROR(__xludf.DUMMYFUNCTION("""COMPUTED_VALUE"""),4340.0)</f>
        <v>4340</v>
      </c>
      <c r="C1212" s="2">
        <f>IFERROR(__xludf.DUMMYFUNCTION("""COMPUTED_VALUE"""),4380.0)</f>
        <v>4380</v>
      </c>
      <c r="D1212" s="2">
        <f>IFERROR(__xludf.DUMMYFUNCTION("""COMPUTED_VALUE"""),4270.0)</f>
        <v>4270</v>
      </c>
      <c r="E1212" s="2">
        <f>IFERROR(__xludf.DUMMYFUNCTION("""COMPUTED_VALUE"""),4350.0)</f>
        <v>4350</v>
      </c>
      <c r="F1212" s="2">
        <f>IFERROR(__xludf.DUMMYFUNCTION("""COMPUTED_VALUE"""),4.38996E7)</f>
        <v>43899600</v>
      </c>
      <c r="G1212" s="2">
        <f t="shared" si="1"/>
        <v>110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7" width="12.63"/>
  </cols>
  <sheetData>
    <row r="1" ht="15.75" customHeight="1">
      <c r="A1" s="1" t="str">
        <f>IFERROR(__xludf.DUMMYFUNCTION("GOOGLEFINANCE(""IDX:BBRI"", ""all"", DATE(2020,1,1), DATE(2025,1,1), ""DAILY"")
"),"Date")</f>
        <v>Date</v>
      </c>
      <c r="B1" s="2" t="str">
        <f>IFERROR(__xludf.DUMMYFUNCTION("""COMPUTED_VALUE"""),"Open")</f>
        <v>Open</v>
      </c>
      <c r="C1" s="2" t="str">
        <f>IFERROR(__xludf.DUMMYFUNCTION("""COMPUTED_VALUE"""),"High")</f>
        <v>High</v>
      </c>
      <c r="D1" s="2" t="str">
        <f>IFERROR(__xludf.DUMMYFUNCTION("""COMPUTED_VALUE"""),"Low")</f>
        <v>Low</v>
      </c>
      <c r="E1" s="2" t="str">
        <f>IFERROR(__xludf.DUMMYFUNCTION("""COMPUTED_VALUE"""),"Close")</f>
        <v>Close</v>
      </c>
      <c r="F1" s="2" t="str">
        <f>IFERROR(__xludf.DUMMYFUNCTION("""COMPUTED_VALUE"""),"Volume")</f>
        <v>Volume</v>
      </c>
      <c r="G1" s="3" t="s">
        <v>0</v>
      </c>
    </row>
    <row r="2" ht="15.75" customHeight="1">
      <c r="A2" s="1">
        <f>IFERROR(__xludf.DUMMYFUNCTION("""COMPUTED_VALUE"""),43832.66666666667)</f>
        <v>43832.66667</v>
      </c>
      <c r="B2" s="2">
        <f>IFERROR(__xludf.DUMMYFUNCTION("""COMPUTED_VALUE"""),4293.0)</f>
        <v>4293</v>
      </c>
      <c r="C2" s="2">
        <f>IFERROR(__xludf.DUMMYFUNCTION("""COMPUTED_VALUE"""),4302.0)</f>
        <v>4302</v>
      </c>
      <c r="D2" s="2">
        <f>IFERROR(__xludf.DUMMYFUNCTION("""COMPUTED_VALUE"""),4254.0)</f>
        <v>4254</v>
      </c>
      <c r="E2" s="2">
        <f>IFERROR(__xludf.DUMMYFUNCTION("""COMPUTED_VALUE"""),4302.0)</f>
        <v>4302</v>
      </c>
      <c r="F2" s="2">
        <f>IFERROR(__xludf.DUMMYFUNCTION("""COMPUTED_VALUE"""),4.275744E7)</f>
        <v>42757440</v>
      </c>
      <c r="G2" s="2"/>
    </row>
    <row r="3" ht="15.75" customHeight="1">
      <c r="A3" s="1">
        <f>IFERROR(__xludf.DUMMYFUNCTION("""COMPUTED_VALUE"""),43833.66666666667)</f>
        <v>43833.66667</v>
      </c>
      <c r="B3" s="2">
        <f>IFERROR(__xludf.DUMMYFUNCTION("""COMPUTED_VALUE"""),4312.0)</f>
        <v>4312</v>
      </c>
      <c r="C3" s="2">
        <f>IFERROR(__xludf.DUMMYFUNCTION("""COMPUTED_VALUE"""),4332.0)</f>
        <v>4332</v>
      </c>
      <c r="D3" s="2">
        <f>IFERROR(__xludf.DUMMYFUNCTION("""COMPUTED_VALUE"""),4283.0)</f>
        <v>4283</v>
      </c>
      <c r="E3" s="2">
        <f>IFERROR(__xludf.DUMMYFUNCTION("""COMPUTED_VALUE"""),4312.0)</f>
        <v>4312</v>
      </c>
      <c r="F3" s="2">
        <f>IFERROR(__xludf.DUMMYFUNCTION("""COMPUTED_VALUE"""),8.4971727E7)</f>
        <v>84971727</v>
      </c>
      <c r="G3" s="2">
        <f t="shared" ref="G3:G1212" si="1">MAX(C3-D3, ABS(C3-E2), ABS(D3-E2))</f>
        <v>49</v>
      </c>
    </row>
    <row r="4" ht="15.75" customHeight="1">
      <c r="A4" s="1">
        <f>IFERROR(__xludf.DUMMYFUNCTION("""COMPUTED_VALUE"""),43836.66666666667)</f>
        <v>43836.66667</v>
      </c>
      <c r="B4" s="2">
        <f>IFERROR(__xludf.DUMMYFUNCTION("""COMPUTED_VALUE"""),4254.0)</f>
        <v>4254</v>
      </c>
      <c r="C4" s="2">
        <f>IFERROR(__xludf.DUMMYFUNCTION("""COMPUTED_VALUE"""),4283.0)</f>
        <v>4283</v>
      </c>
      <c r="D4" s="2">
        <f>IFERROR(__xludf.DUMMYFUNCTION("""COMPUTED_VALUE"""),4215.0)</f>
        <v>4215</v>
      </c>
      <c r="E4" s="2">
        <f>IFERROR(__xludf.DUMMYFUNCTION("""COMPUTED_VALUE"""),4263.0)</f>
        <v>4263</v>
      </c>
      <c r="F4" s="2">
        <f>IFERROR(__xludf.DUMMYFUNCTION("""COMPUTED_VALUE"""),4.5331244E7)</f>
        <v>45331244</v>
      </c>
      <c r="G4" s="2">
        <f t="shared" si="1"/>
        <v>97</v>
      </c>
    </row>
    <row r="5" ht="15.75" customHeight="1">
      <c r="A5" s="1">
        <f>IFERROR(__xludf.DUMMYFUNCTION("""COMPUTED_VALUE"""),43837.66666666667)</f>
        <v>43837.66667</v>
      </c>
      <c r="B5" s="2">
        <f>IFERROR(__xludf.DUMMYFUNCTION("""COMPUTED_VALUE"""),4302.0)</f>
        <v>4302</v>
      </c>
      <c r="C5" s="2">
        <f>IFERROR(__xludf.DUMMYFUNCTION("""COMPUTED_VALUE"""),4302.0)</f>
        <v>4302</v>
      </c>
      <c r="D5" s="2">
        <f>IFERROR(__xludf.DUMMYFUNCTION("""COMPUTED_VALUE"""),4273.0)</f>
        <v>4273</v>
      </c>
      <c r="E5" s="2">
        <f>IFERROR(__xludf.DUMMYFUNCTION("""COMPUTED_VALUE"""),4293.0)</f>
        <v>4293</v>
      </c>
      <c r="F5" s="2">
        <f>IFERROR(__xludf.DUMMYFUNCTION("""COMPUTED_VALUE"""),1.06548005E8)</f>
        <v>106548005</v>
      </c>
      <c r="G5" s="2">
        <f t="shared" si="1"/>
        <v>39</v>
      </c>
    </row>
    <row r="6" ht="15.75" customHeight="1">
      <c r="A6" s="1">
        <f>IFERROR(__xludf.DUMMYFUNCTION("""COMPUTED_VALUE"""),43838.66666666667)</f>
        <v>43838.66667</v>
      </c>
      <c r="B6" s="2">
        <f>IFERROR(__xludf.DUMMYFUNCTION("""COMPUTED_VALUE"""),4273.0)</f>
        <v>4273</v>
      </c>
      <c r="C6" s="2">
        <f>IFERROR(__xludf.DUMMYFUNCTION("""COMPUTED_VALUE"""),4293.0)</f>
        <v>4293</v>
      </c>
      <c r="D6" s="2">
        <f>IFERROR(__xludf.DUMMYFUNCTION("""COMPUTED_VALUE"""),4234.0)</f>
        <v>4234</v>
      </c>
      <c r="E6" s="2">
        <f>IFERROR(__xludf.DUMMYFUNCTION("""COMPUTED_VALUE"""),4273.0)</f>
        <v>4273</v>
      </c>
      <c r="F6" s="2">
        <f>IFERROR(__xludf.DUMMYFUNCTION("""COMPUTED_VALUE"""),1.7604698E8)</f>
        <v>176046980</v>
      </c>
      <c r="G6" s="2">
        <f t="shared" si="1"/>
        <v>59</v>
      </c>
    </row>
    <row r="7" ht="15.75" customHeight="1">
      <c r="A7" s="1">
        <f>IFERROR(__xludf.DUMMYFUNCTION("""COMPUTED_VALUE"""),43839.66666666667)</f>
        <v>43839.66667</v>
      </c>
      <c r="B7" s="2">
        <f>IFERROR(__xludf.DUMMYFUNCTION("""COMPUTED_VALUE"""),4293.0)</f>
        <v>4293</v>
      </c>
      <c r="C7" s="2">
        <f>IFERROR(__xludf.DUMMYFUNCTION("""COMPUTED_VALUE"""),4312.0)</f>
        <v>4312</v>
      </c>
      <c r="D7" s="2">
        <f>IFERROR(__xludf.DUMMYFUNCTION("""COMPUTED_VALUE"""),4263.0)</f>
        <v>4263</v>
      </c>
      <c r="E7" s="2">
        <f>IFERROR(__xludf.DUMMYFUNCTION("""COMPUTED_VALUE"""),4293.0)</f>
        <v>4293</v>
      </c>
      <c r="F7" s="2">
        <f>IFERROR(__xludf.DUMMYFUNCTION("""COMPUTED_VALUE"""),7.3874638E7)</f>
        <v>73874638</v>
      </c>
      <c r="G7" s="2">
        <f t="shared" si="1"/>
        <v>49</v>
      </c>
    </row>
    <row r="8" ht="15.75" customHeight="1">
      <c r="A8" s="1">
        <f>IFERROR(__xludf.DUMMYFUNCTION("""COMPUTED_VALUE"""),43840.66666666667)</f>
        <v>43840.66667</v>
      </c>
      <c r="B8" s="2">
        <f>IFERROR(__xludf.DUMMYFUNCTION("""COMPUTED_VALUE"""),4322.0)</f>
        <v>4322</v>
      </c>
      <c r="C8" s="2">
        <f>IFERROR(__xludf.DUMMYFUNCTION("""COMPUTED_VALUE"""),4322.0)</f>
        <v>4322</v>
      </c>
      <c r="D8" s="2">
        <f>IFERROR(__xludf.DUMMYFUNCTION("""COMPUTED_VALUE"""),4283.0)</f>
        <v>4283</v>
      </c>
      <c r="E8" s="2">
        <f>IFERROR(__xludf.DUMMYFUNCTION("""COMPUTED_VALUE"""),4302.0)</f>
        <v>4302</v>
      </c>
      <c r="F8" s="2">
        <f>IFERROR(__xludf.DUMMYFUNCTION("""COMPUTED_VALUE"""),1.27930884E8)</f>
        <v>127930884</v>
      </c>
      <c r="G8" s="2">
        <f t="shared" si="1"/>
        <v>39</v>
      </c>
    </row>
    <row r="9" ht="15.75" customHeight="1">
      <c r="A9" s="1">
        <f>IFERROR(__xludf.DUMMYFUNCTION("""COMPUTED_VALUE"""),43843.66666666667)</f>
        <v>43843.66667</v>
      </c>
      <c r="B9" s="2">
        <f>IFERROR(__xludf.DUMMYFUNCTION("""COMPUTED_VALUE"""),4322.0)</f>
        <v>4322</v>
      </c>
      <c r="C9" s="2">
        <f>IFERROR(__xludf.DUMMYFUNCTION("""COMPUTED_VALUE"""),4400.0)</f>
        <v>4400</v>
      </c>
      <c r="D9" s="2">
        <f>IFERROR(__xludf.DUMMYFUNCTION("""COMPUTED_VALUE"""),4312.0)</f>
        <v>4312</v>
      </c>
      <c r="E9" s="2">
        <f>IFERROR(__xludf.DUMMYFUNCTION("""COMPUTED_VALUE"""),4400.0)</f>
        <v>4400</v>
      </c>
      <c r="F9" s="2">
        <f>IFERROR(__xludf.DUMMYFUNCTION("""COMPUTED_VALUE"""),1.14136478E8)</f>
        <v>114136478</v>
      </c>
      <c r="G9" s="2">
        <f t="shared" si="1"/>
        <v>98</v>
      </c>
    </row>
    <row r="10" ht="15.75" customHeight="1">
      <c r="A10" s="1">
        <f>IFERROR(__xludf.DUMMYFUNCTION("""COMPUTED_VALUE"""),43844.66666666667)</f>
        <v>43844.66667</v>
      </c>
      <c r="B10" s="2">
        <f>IFERROR(__xludf.DUMMYFUNCTION("""COMPUTED_VALUE"""),4429.0)</f>
        <v>4429</v>
      </c>
      <c r="C10" s="2">
        <f>IFERROR(__xludf.DUMMYFUNCTION("""COMPUTED_VALUE"""),4488.0)</f>
        <v>4488</v>
      </c>
      <c r="D10" s="2">
        <f>IFERROR(__xludf.DUMMYFUNCTION("""COMPUTED_VALUE"""),4410.0)</f>
        <v>4410</v>
      </c>
      <c r="E10" s="2">
        <f>IFERROR(__xludf.DUMMYFUNCTION("""COMPUTED_VALUE"""),4458.0)</f>
        <v>4458</v>
      </c>
      <c r="F10" s="2">
        <f>IFERROR(__xludf.DUMMYFUNCTION("""COMPUTED_VALUE"""),1.623764E8)</f>
        <v>162376400</v>
      </c>
      <c r="G10" s="2">
        <f t="shared" si="1"/>
        <v>88</v>
      </c>
    </row>
    <row r="11" ht="15.75" customHeight="1">
      <c r="A11" s="1">
        <f>IFERROR(__xludf.DUMMYFUNCTION("""COMPUTED_VALUE"""),43845.66666666667)</f>
        <v>43845.66667</v>
      </c>
      <c r="B11" s="2">
        <f>IFERROR(__xludf.DUMMYFUNCTION("""COMPUTED_VALUE"""),4458.0)</f>
        <v>4458</v>
      </c>
      <c r="C11" s="2">
        <f>IFERROR(__xludf.DUMMYFUNCTION("""COMPUTED_VALUE"""),4468.0)</f>
        <v>4468</v>
      </c>
      <c r="D11" s="2">
        <f>IFERROR(__xludf.DUMMYFUNCTION("""COMPUTED_VALUE"""),4419.0)</f>
        <v>4419</v>
      </c>
      <c r="E11" s="2">
        <f>IFERROR(__xludf.DUMMYFUNCTION("""COMPUTED_VALUE"""),4468.0)</f>
        <v>4468</v>
      </c>
      <c r="F11" s="2">
        <f>IFERROR(__xludf.DUMMYFUNCTION("""COMPUTED_VALUE"""),1.05132063E8)</f>
        <v>105132063</v>
      </c>
      <c r="G11" s="2">
        <f t="shared" si="1"/>
        <v>49</v>
      </c>
    </row>
    <row r="12" ht="15.75" customHeight="1">
      <c r="A12" s="1">
        <f>IFERROR(__xludf.DUMMYFUNCTION("""COMPUTED_VALUE"""),43846.66666666667)</f>
        <v>43846.66667</v>
      </c>
      <c r="B12" s="2">
        <f>IFERROR(__xludf.DUMMYFUNCTION("""COMPUTED_VALUE"""),4458.0)</f>
        <v>4458</v>
      </c>
      <c r="C12" s="2">
        <f>IFERROR(__xludf.DUMMYFUNCTION("""COMPUTED_VALUE"""),4478.0)</f>
        <v>4478</v>
      </c>
      <c r="D12" s="2">
        <f>IFERROR(__xludf.DUMMYFUNCTION("""COMPUTED_VALUE"""),4400.0)</f>
        <v>4400</v>
      </c>
      <c r="E12" s="2">
        <f>IFERROR(__xludf.DUMMYFUNCTION("""COMPUTED_VALUE"""),4458.0)</f>
        <v>4458</v>
      </c>
      <c r="F12" s="2">
        <f>IFERROR(__xludf.DUMMYFUNCTION("""COMPUTED_VALUE"""),1.37337304E8)</f>
        <v>137337304</v>
      </c>
      <c r="G12" s="2">
        <f t="shared" si="1"/>
        <v>78</v>
      </c>
    </row>
    <row r="13" ht="15.75" customHeight="1">
      <c r="A13" s="1">
        <f>IFERROR(__xludf.DUMMYFUNCTION("""COMPUTED_VALUE"""),43847.66666666667)</f>
        <v>43847.66667</v>
      </c>
      <c r="B13" s="2">
        <f>IFERROR(__xludf.DUMMYFUNCTION("""COMPUTED_VALUE"""),4507.0)</f>
        <v>4507</v>
      </c>
      <c r="C13" s="2">
        <f>IFERROR(__xludf.DUMMYFUNCTION("""COMPUTED_VALUE"""),4527.0)</f>
        <v>4527</v>
      </c>
      <c r="D13" s="2">
        <f>IFERROR(__xludf.DUMMYFUNCTION("""COMPUTED_VALUE"""),4488.0)</f>
        <v>4488</v>
      </c>
      <c r="E13" s="2">
        <f>IFERROR(__xludf.DUMMYFUNCTION("""COMPUTED_VALUE"""),4517.0)</f>
        <v>4517</v>
      </c>
      <c r="F13" s="2">
        <f>IFERROR(__xludf.DUMMYFUNCTION("""COMPUTED_VALUE"""),1.24206305E8)</f>
        <v>124206305</v>
      </c>
      <c r="G13" s="2">
        <f t="shared" si="1"/>
        <v>69</v>
      </c>
    </row>
    <row r="14" ht="15.75" customHeight="1">
      <c r="A14" s="1">
        <f>IFERROR(__xludf.DUMMYFUNCTION("""COMPUTED_VALUE"""),43850.66666666667)</f>
        <v>43850.66667</v>
      </c>
      <c r="B14" s="2">
        <f>IFERROR(__xludf.DUMMYFUNCTION("""COMPUTED_VALUE"""),4576.0)</f>
        <v>4576</v>
      </c>
      <c r="C14" s="2">
        <f>IFERROR(__xludf.DUMMYFUNCTION("""COMPUTED_VALUE"""),4576.0)</f>
        <v>4576</v>
      </c>
      <c r="D14" s="2">
        <f>IFERROR(__xludf.DUMMYFUNCTION("""COMPUTED_VALUE"""),4517.0)</f>
        <v>4517</v>
      </c>
      <c r="E14" s="2">
        <f>IFERROR(__xludf.DUMMYFUNCTION("""COMPUTED_VALUE"""),4546.0)</f>
        <v>4546</v>
      </c>
      <c r="F14" s="2">
        <f>IFERROR(__xludf.DUMMYFUNCTION("""COMPUTED_VALUE"""),8.3884397E7)</f>
        <v>83884397</v>
      </c>
      <c r="G14" s="2">
        <f t="shared" si="1"/>
        <v>59</v>
      </c>
    </row>
    <row r="15" ht="15.75" customHeight="1">
      <c r="A15" s="1">
        <f>IFERROR(__xludf.DUMMYFUNCTION("""COMPUTED_VALUE"""),43851.66666666667)</f>
        <v>43851.66667</v>
      </c>
      <c r="B15" s="2">
        <f>IFERROR(__xludf.DUMMYFUNCTION("""COMPUTED_VALUE"""),4556.0)</f>
        <v>4556</v>
      </c>
      <c r="C15" s="2">
        <f>IFERROR(__xludf.DUMMYFUNCTION("""COMPUTED_VALUE"""),4566.0)</f>
        <v>4566</v>
      </c>
      <c r="D15" s="2">
        <f>IFERROR(__xludf.DUMMYFUNCTION("""COMPUTED_VALUE"""),4527.0)</f>
        <v>4527</v>
      </c>
      <c r="E15" s="2">
        <f>IFERROR(__xludf.DUMMYFUNCTION("""COMPUTED_VALUE"""),4556.0)</f>
        <v>4556</v>
      </c>
      <c r="F15" s="2">
        <f>IFERROR(__xludf.DUMMYFUNCTION("""COMPUTED_VALUE"""),7.5686451E7)</f>
        <v>75686451</v>
      </c>
      <c r="G15" s="2">
        <f t="shared" si="1"/>
        <v>39</v>
      </c>
    </row>
    <row r="16" ht="15.75" customHeight="1">
      <c r="A16" s="1">
        <f>IFERROR(__xludf.DUMMYFUNCTION("""COMPUTED_VALUE"""),43852.66666666667)</f>
        <v>43852.66667</v>
      </c>
      <c r="B16" s="2">
        <f>IFERROR(__xludf.DUMMYFUNCTION("""COMPUTED_VALUE"""),4566.0)</f>
        <v>4566</v>
      </c>
      <c r="C16" s="2">
        <f>IFERROR(__xludf.DUMMYFUNCTION("""COMPUTED_VALUE"""),4595.0)</f>
        <v>4595</v>
      </c>
      <c r="D16" s="2">
        <f>IFERROR(__xludf.DUMMYFUNCTION("""COMPUTED_VALUE"""),4556.0)</f>
        <v>4556</v>
      </c>
      <c r="E16" s="2">
        <f>IFERROR(__xludf.DUMMYFUNCTION("""COMPUTED_VALUE"""),4595.0)</f>
        <v>4595</v>
      </c>
      <c r="F16" s="2">
        <f>IFERROR(__xludf.DUMMYFUNCTION("""COMPUTED_VALUE"""),8.4430712E7)</f>
        <v>84430712</v>
      </c>
      <c r="G16" s="2">
        <f t="shared" si="1"/>
        <v>39</v>
      </c>
    </row>
    <row r="17" ht="15.75" customHeight="1">
      <c r="A17" s="1">
        <f>IFERROR(__xludf.DUMMYFUNCTION("""COMPUTED_VALUE"""),43853.66666666667)</f>
        <v>43853.66667</v>
      </c>
      <c r="B17" s="2">
        <f>IFERROR(__xludf.DUMMYFUNCTION("""COMPUTED_VALUE"""),4605.0)</f>
        <v>4605</v>
      </c>
      <c r="C17" s="2">
        <f>IFERROR(__xludf.DUMMYFUNCTION("""COMPUTED_VALUE"""),4644.0)</f>
        <v>4644</v>
      </c>
      <c r="D17" s="2">
        <f>IFERROR(__xludf.DUMMYFUNCTION("""COMPUTED_VALUE"""),4576.0)</f>
        <v>4576</v>
      </c>
      <c r="E17" s="2">
        <f>IFERROR(__xludf.DUMMYFUNCTION("""COMPUTED_VALUE"""),4624.0)</f>
        <v>4624</v>
      </c>
      <c r="F17" s="2">
        <f>IFERROR(__xludf.DUMMYFUNCTION("""COMPUTED_VALUE"""),1.43359359E8)</f>
        <v>143359359</v>
      </c>
      <c r="G17" s="2">
        <f t="shared" si="1"/>
        <v>68</v>
      </c>
    </row>
    <row r="18" ht="15.75" customHeight="1">
      <c r="A18" s="1">
        <f>IFERROR(__xludf.DUMMYFUNCTION("""COMPUTED_VALUE"""),43854.66666666667)</f>
        <v>43854.66667</v>
      </c>
      <c r="B18" s="2">
        <f>IFERROR(__xludf.DUMMYFUNCTION("""COMPUTED_VALUE"""),4615.0)</f>
        <v>4615</v>
      </c>
      <c r="C18" s="2">
        <f>IFERROR(__xludf.DUMMYFUNCTION("""COMPUTED_VALUE"""),4634.0)</f>
        <v>4634</v>
      </c>
      <c r="D18" s="2">
        <f>IFERROR(__xludf.DUMMYFUNCTION("""COMPUTED_VALUE"""),4566.0)</f>
        <v>4566</v>
      </c>
      <c r="E18" s="2">
        <f>IFERROR(__xludf.DUMMYFUNCTION("""COMPUTED_VALUE"""),4624.0)</f>
        <v>4624</v>
      </c>
      <c r="F18" s="2">
        <f>IFERROR(__xludf.DUMMYFUNCTION("""COMPUTED_VALUE"""),9.8418949E7)</f>
        <v>98418949</v>
      </c>
      <c r="G18" s="2">
        <f t="shared" si="1"/>
        <v>68</v>
      </c>
    </row>
    <row r="19" ht="15.75" customHeight="1">
      <c r="A19" s="1">
        <f>IFERROR(__xludf.DUMMYFUNCTION("""COMPUTED_VALUE"""),43857.66666666667)</f>
        <v>43857.66667</v>
      </c>
      <c r="B19" s="2">
        <f>IFERROR(__xludf.DUMMYFUNCTION("""COMPUTED_VALUE"""),4585.0)</f>
        <v>4585</v>
      </c>
      <c r="C19" s="2">
        <f>IFERROR(__xludf.DUMMYFUNCTION("""COMPUTED_VALUE"""),4585.0)</f>
        <v>4585</v>
      </c>
      <c r="D19" s="2">
        <f>IFERROR(__xludf.DUMMYFUNCTION("""COMPUTED_VALUE"""),4527.0)</f>
        <v>4527</v>
      </c>
      <c r="E19" s="2">
        <f>IFERROR(__xludf.DUMMYFUNCTION("""COMPUTED_VALUE"""),4537.0)</f>
        <v>4537</v>
      </c>
      <c r="F19" s="2">
        <f>IFERROR(__xludf.DUMMYFUNCTION("""COMPUTED_VALUE"""),9.6048307E7)</f>
        <v>96048307</v>
      </c>
      <c r="G19" s="2">
        <f t="shared" si="1"/>
        <v>97</v>
      </c>
    </row>
    <row r="20" ht="15.75" customHeight="1">
      <c r="A20" s="1">
        <f>IFERROR(__xludf.DUMMYFUNCTION("""COMPUTED_VALUE"""),43858.66666666667)</f>
        <v>43858.66667</v>
      </c>
      <c r="B20" s="2">
        <f>IFERROR(__xludf.DUMMYFUNCTION("""COMPUTED_VALUE"""),4468.0)</f>
        <v>4468</v>
      </c>
      <c r="C20" s="2">
        <f>IFERROR(__xludf.DUMMYFUNCTION("""COMPUTED_VALUE"""),4527.0)</f>
        <v>4527</v>
      </c>
      <c r="D20" s="2">
        <f>IFERROR(__xludf.DUMMYFUNCTION("""COMPUTED_VALUE"""),4458.0)</f>
        <v>4458</v>
      </c>
      <c r="E20" s="2">
        <f>IFERROR(__xludf.DUMMYFUNCTION("""COMPUTED_VALUE"""),4507.0)</f>
        <v>4507</v>
      </c>
      <c r="F20" s="2">
        <f>IFERROR(__xludf.DUMMYFUNCTION("""COMPUTED_VALUE"""),9.7780576E7)</f>
        <v>97780576</v>
      </c>
      <c r="G20" s="2">
        <f t="shared" si="1"/>
        <v>79</v>
      </c>
    </row>
    <row r="21" ht="15.75" customHeight="1">
      <c r="A21" s="1">
        <f>IFERROR(__xludf.DUMMYFUNCTION("""COMPUTED_VALUE"""),43859.66666666667)</f>
        <v>43859.66667</v>
      </c>
      <c r="B21" s="2">
        <f>IFERROR(__xludf.DUMMYFUNCTION("""COMPUTED_VALUE"""),4507.0)</f>
        <v>4507</v>
      </c>
      <c r="C21" s="2">
        <f>IFERROR(__xludf.DUMMYFUNCTION("""COMPUTED_VALUE"""),4546.0)</f>
        <v>4546</v>
      </c>
      <c r="D21" s="2">
        <f>IFERROR(__xludf.DUMMYFUNCTION("""COMPUTED_VALUE"""),4488.0)</f>
        <v>4488</v>
      </c>
      <c r="E21" s="2">
        <f>IFERROR(__xludf.DUMMYFUNCTION("""COMPUTED_VALUE"""),4507.0)</f>
        <v>4507</v>
      </c>
      <c r="F21" s="2">
        <f>IFERROR(__xludf.DUMMYFUNCTION("""COMPUTED_VALUE"""),1.99745873E8)</f>
        <v>199745873</v>
      </c>
      <c r="G21" s="2">
        <f t="shared" si="1"/>
        <v>58</v>
      </c>
    </row>
    <row r="22" ht="15.75" customHeight="1">
      <c r="A22" s="1">
        <f>IFERROR(__xludf.DUMMYFUNCTION("""COMPUTED_VALUE"""),43860.66666666667)</f>
        <v>43860.66667</v>
      </c>
      <c r="B22" s="2">
        <f>IFERROR(__xludf.DUMMYFUNCTION("""COMPUTED_VALUE"""),4585.0)</f>
        <v>4585</v>
      </c>
      <c r="C22" s="2">
        <f>IFERROR(__xludf.DUMMYFUNCTION("""COMPUTED_VALUE"""),4585.0)</f>
        <v>4585</v>
      </c>
      <c r="D22" s="2">
        <f>IFERROR(__xludf.DUMMYFUNCTION("""COMPUTED_VALUE"""),4468.0)</f>
        <v>4468</v>
      </c>
      <c r="E22" s="2">
        <f>IFERROR(__xludf.DUMMYFUNCTION("""COMPUTED_VALUE"""),4468.0)</f>
        <v>4468</v>
      </c>
      <c r="F22" s="2">
        <f>IFERROR(__xludf.DUMMYFUNCTION("""COMPUTED_VALUE"""),8.9920483E7)</f>
        <v>89920483</v>
      </c>
      <c r="G22" s="2">
        <f t="shared" si="1"/>
        <v>117</v>
      </c>
    </row>
    <row r="23" ht="15.75" customHeight="1">
      <c r="A23" s="1">
        <f>IFERROR(__xludf.DUMMYFUNCTION("""COMPUTED_VALUE"""),43861.66666666667)</f>
        <v>43861.66667</v>
      </c>
      <c r="B23" s="2">
        <f>IFERROR(__xludf.DUMMYFUNCTION("""COMPUTED_VALUE"""),4458.0)</f>
        <v>4458</v>
      </c>
      <c r="C23" s="2">
        <f>IFERROR(__xludf.DUMMYFUNCTION("""COMPUTED_VALUE"""),4468.0)</f>
        <v>4468</v>
      </c>
      <c r="D23" s="2">
        <f>IFERROR(__xludf.DUMMYFUNCTION("""COMPUTED_VALUE"""),4351.0)</f>
        <v>4351</v>
      </c>
      <c r="E23" s="2">
        <f>IFERROR(__xludf.DUMMYFUNCTION("""COMPUTED_VALUE"""),4351.0)</f>
        <v>4351</v>
      </c>
      <c r="F23" s="2">
        <f>IFERROR(__xludf.DUMMYFUNCTION("""COMPUTED_VALUE"""),1.40483481E8)</f>
        <v>140483481</v>
      </c>
      <c r="G23" s="2">
        <f t="shared" si="1"/>
        <v>117</v>
      </c>
    </row>
    <row r="24" ht="15.75" customHeight="1">
      <c r="A24" s="1">
        <f>IFERROR(__xludf.DUMMYFUNCTION("""COMPUTED_VALUE"""),43864.66666666667)</f>
        <v>43864.66667</v>
      </c>
      <c r="B24" s="2">
        <f>IFERROR(__xludf.DUMMYFUNCTION("""COMPUTED_VALUE"""),4351.0)</f>
        <v>4351</v>
      </c>
      <c r="C24" s="2">
        <f>IFERROR(__xludf.DUMMYFUNCTION("""COMPUTED_VALUE"""),4380.0)</f>
        <v>4380</v>
      </c>
      <c r="D24" s="2">
        <f>IFERROR(__xludf.DUMMYFUNCTION("""COMPUTED_VALUE"""),4341.0)</f>
        <v>4341</v>
      </c>
      <c r="E24" s="2">
        <f>IFERROR(__xludf.DUMMYFUNCTION("""COMPUTED_VALUE"""),4351.0)</f>
        <v>4351</v>
      </c>
      <c r="F24" s="2">
        <f>IFERROR(__xludf.DUMMYFUNCTION("""COMPUTED_VALUE"""),1.34875739E8)</f>
        <v>134875739</v>
      </c>
      <c r="G24" s="2">
        <f t="shared" si="1"/>
        <v>39</v>
      </c>
    </row>
    <row r="25" ht="15.75" customHeight="1">
      <c r="A25" s="1">
        <f>IFERROR(__xludf.DUMMYFUNCTION("""COMPUTED_VALUE"""),43865.66666666667)</f>
        <v>43865.66667</v>
      </c>
      <c r="B25" s="2">
        <f>IFERROR(__xludf.DUMMYFUNCTION("""COMPUTED_VALUE"""),4576.0)</f>
        <v>4576</v>
      </c>
      <c r="C25" s="2">
        <f>IFERROR(__xludf.DUMMYFUNCTION("""COMPUTED_VALUE"""),4576.0)</f>
        <v>4576</v>
      </c>
      <c r="D25" s="2">
        <f>IFERROR(__xludf.DUMMYFUNCTION("""COMPUTED_VALUE"""),4410.0)</f>
        <v>4410</v>
      </c>
      <c r="E25" s="2">
        <f>IFERROR(__xludf.DUMMYFUNCTION("""COMPUTED_VALUE"""),4449.0)</f>
        <v>4449</v>
      </c>
      <c r="F25" s="2">
        <f>IFERROR(__xludf.DUMMYFUNCTION("""COMPUTED_VALUE"""),1.1518814E8)</f>
        <v>115188140</v>
      </c>
      <c r="G25" s="2">
        <f t="shared" si="1"/>
        <v>225</v>
      </c>
    </row>
    <row r="26" ht="15.75" customHeight="1">
      <c r="A26" s="1">
        <f>IFERROR(__xludf.DUMMYFUNCTION("""COMPUTED_VALUE"""),43866.66666666667)</f>
        <v>43866.66667</v>
      </c>
      <c r="B26" s="2">
        <f>IFERROR(__xludf.DUMMYFUNCTION("""COMPUTED_VALUE"""),4458.0)</f>
        <v>4458</v>
      </c>
      <c r="C26" s="2">
        <f>IFERROR(__xludf.DUMMYFUNCTION("""COMPUTED_VALUE"""),4468.0)</f>
        <v>4468</v>
      </c>
      <c r="D26" s="2">
        <f>IFERROR(__xludf.DUMMYFUNCTION("""COMPUTED_VALUE"""),4400.0)</f>
        <v>4400</v>
      </c>
      <c r="E26" s="2">
        <f>IFERROR(__xludf.DUMMYFUNCTION("""COMPUTED_VALUE"""),4449.0)</f>
        <v>4449</v>
      </c>
      <c r="F26" s="2">
        <f>IFERROR(__xludf.DUMMYFUNCTION("""COMPUTED_VALUE"""),9.3550041E7)</f>
        <v>93550041</v>
      </c>
      <c r="G26" s="2">
        <f t="shared" si="1"/>
        <v>68</v>
      </c>
    </row>
    <row r="27" ht="15.75" customHeight="1">
      <c r="A27" s="1">
        <f>IFERROR(__xludf.DUMMYFUNCTION("""COMPUTED_VALUE"""),43867.66666666667)</f>
        <v>43867.66667</v>
      </c>
      <c r="B27" s="2">
        <f>IFERROR(__xludf.DUMMYFUNCTION("""COMPUTED_VALUE"""),4478.0)</f>
        <v>4478</v>
      </c>
      <c r="C27" s="2">
        <f>IFERROR(__xludf.DUMMYFUNCTION("""COMPUTED_VALUE"""),4478.0)</f>
        <v>4478</v>
      </c>
      <c r="D27" s="2">
        <f>IFERROR(__xludf.DUMMYFUNCTION("""COMPUTED_VALUE"""),4419.0)</f>
        <v>4419</v>
      </c>
      <c r="E27" s="2">
        <f>IFERROR(__xludf.DUMMYFUNCTION("""COMPUTED_VALUE"""),4439.0)</f>
        <v>4439</v>
      </c>
      <c r="F27" s="2">
        <f>IFERROR(__xludf.DUMMYFUNCTION("""COMPUTED_VALUE"""),9.7227999E7)</f>
        <v>97227999</v>
      </c>
      <c r="G27" s="2">
        <f t="shared" si="1"/>
        <v>59</v>
      </c>
    </row>
    <row r="28" ht="15.75" customHeight="1">
      <c r="A28" s="1">
        <f>IFERROR(__xludf.DUMMYFUNCTION("""COMPUTED_VALUE"""),43868.66666666667)</f>
        <v>43868.66667</v>
      </c>
      <c r="B28" s="2">
        <f>IFERROR(__xludf.DUMMYFUNCTION("""COMPUTED_VALUE"""),4468.0)</f>
        <v>4468</v>
      </c>
      <c r="C28" s="2">
        <f>IFERROR(__xludf.DUMMYFUNCTION("""COMPUTED_VALUE"""),4468.0)</f>
        <v>4468</v>
      </c>
      <c r="D28" s="2">
        <f>IFERROR(__xludf.DUMMYFUNCTION("""COMPUTED_VALUE"""),4429.0)</f>
        <v>4429</v>
      </c>
      <c r="E28" s="2">
        <f>IFERROR(__xludf.DUMMYFUNCTION("""COMPUTED_VALUE"""),4439.0)</f>
        <v>4439</v>
      </c>
      <c r="F28" s="2">
        <f>IFERROR(__xludf.DUMMYFUNCTION("""COMPUTED_VALUE"""),1.36370109E8)</f>
        <v>136370109</v>
      </c>
      <c r="G28" s="2">
        <f t="shared" si="1"/>
        <v>39</v>
      </c>
    </row>
    <row r="29" ht="15.75" customHeight="1">
      <c r="A29" s="1">
        <f>IFERROR(__xludf.DUMMYFUNCTION("""COMPUTED_VALUE"""),43871.66666666667)</f>
        <v>43871.66667</v>
      </c>
      <c r="B29" s="2">
        <f>IFERROR(__xludf.DUMMYFUNCTION("""COMPUTED_VALUE"""),4390.0)</f>
        <v>4390</v>
      </c>
      <c r="C29" s="2">
        <f>IFERROR(__xludf.DUMMYFUNCTION("""COMPUTED_VALUE"""),4419.0)</f>
        <v>4419</v>
      </c>
      <c r="D29" s="2">
        <f>IFERROR(__xludf.DUMMYFUNCTION("""COMPUTED_VALUE"""),4293.0)</f>
        <v>4293</v>
      </c>
      <c r="E29" s="2">
        <f>IFERROR(__xludf.DUMMYFUNCTION("""COMPUTED_VALUE"""),4390.0)</f>
        <v>4390</v>
      </c>
      <c r="F29" s="2">
        <f>IFERROR(__xludf.DUMMYFUNCTION("""COMPUTED_VALUE"""),1.75164846E8)</f>
        <v>175164846</v>
      </c>
      <c r="G29" s="2">
        <f t="shared" si="1"/>
        <v>146</v>
      </c>
    </row>
    <row r="30" ht="15.75" customHeight="1">
      <c r="A30" s="1">
        <f>IFERROR(__xludf.DUMMYFUNCTION("""COMPUTED_VALUE"""),43872.66666666667)</f>
        <v>43872.66667</v>
      </c>
      <c r="B30" s="2">
        <f>IFERROR(__xludf.DUMMYFUNCTION("""COMPUTED_VALUE"""),4429.0)</f>
        <v>4429</v>
      </c>
      <c r="C30" s="2">
        <f>IFERROR(__xludf.DUMMYFUNCTION("""COMPUTED_VALUE"""),4429.0)</f>
        <v>4429</v>
      </c>
      <c r="D30" s="2">
        <f>IFERROR(__xludf.DUMMYFUNCTION("""COMPUTED_VALUE"""),4371.0)</f>
        <v>4371</v>
      </c>
      <c r="E30" s="2">
        <f>IFERROR(__xludf.DUMMYFUNCTION("""COMPUTED_VALUE"""),4400.0)</f>
        <v>4400</v>
      </c>
      <c r="F30" s="2">
        <f>IFERROR(__xludf.DUMMYFUNCTION("""COMPUTED_VALUE"""),8.7279837E7)</f>
        <v>87279837</v>
      </c>
      <c r="G30" s="2">
        <f t="shared" si="1"/>
        <v>58</v>
      </c>
    </row>
    <row r="31" ht="15.75" customHeight="1">
      <c r="A31" s="1">
        <f>IFERROR(__xludf.DUMMYFUNCTION("""COMPUTED_VALUE"""),43873.66666666667)</f>
        <v>43873.66667</v>
      </c>
      <c r="B31" s="2">
        <f>IFERROR(__xludf.DUMMYFUNCTION("""COMPUTED_VALUE"""),4410.0)</f>
        <v>4410</v>
      </c>
      <c r="C31" s="2">
        <f>IFERROR(__xludf.DUMMYFUNCTION("""COMPUTED_VALUE"""),4449.0)</f>
        <v>4449</v>
      </c>
      <c r="D31" s="2">
        <f>IFERROR(__xludf.DUMMYFUNCTION("""COMPUTED_VALUE"""),4410.0)</f>
        <v>4410</v>
      </c>
      <c r="E31" s="2">
        <f>IFERROR(__xludf.DUMMYFUNCTION("""COMPUTED_VALUE"""),4419.0)</f>
        <v>4419</v>
      </c>
      <c r="F31" s="2">
        <f>IFERROR(__xludf.DUMMYFUNCTION("""COMPUTED_VALUE"""),1.33405671E8)</f>
        <v>133405671</v>
      </c>
      <c r="G31" s="2">
        <f t="shared" si="1"/>
        <v>49</v>
      </c>
    </row>
    <row r="32" ht="15.75" customHeight="1">
      <c r="A32" s="1">
        <f>IFERROR(__xludf.DUMMYFUNCTION("""COMPUTED_VALUE"""),43874.66666666667)</f>
        <v>43874.66667</v>
      </c>
      <c r="B32" s="2">
        <f>IFERROR(__xludf.DUMMYFUNCTION("""COMPUTED_VALUE"""),4468.0)</f>
        <v>4468</v>
      </c>
      <c r="C32" s="2">
        <f>IFERROR(__xludf.DUMMYFUNCTION("""COMPUTED_VALUE"""),4478.0)</f>
        <v>4478</v>
      </c>
      <c r="D32" s="2">
        <f>IFERROR(__xludf.DUMMYFUNCTION("""COMPUTED_VALUE"""),4429.0)</f>
        <v>4429</v>
      </c>
      <c r="E32" s="2">
        <f>IFERROR(__xludf.DUMMYFUNCTION("""COMPUTED_VALUE"""),4458.0)</f>
        <v>4458</v>
      </c>
      <c r="F32" s="2">
        <f>IFERROR(__xludf.DUMMYFUNCTION("""COMPUTED_VALUE"""),8.1704398E7)</f>
        <v>81704398</v>
      </c>
      <c r="G32" s="2">
        <f t="shared" si="1"/>
        <v>59</v>
      </c>
    </row>
    <row r="33" ht="15.75" customHeight="1">
      <c r="A33" s="1">
        <f>IFERROR(__xludf.DUMMYFUNCTION("""COMPUTED_VALUE"""),43875.66666666667)</f>
        <v>43875.66667</v>
      </c>
      <c r="B33" s="2">
        <f>IFERROR(__xludf.DUMMYFUNCTION("""COMPUTED_VALUE"""),4419.0)</f>
        <v>4419</v>
      </c>
      <c r="C33" s="2">
        <f>IFERROR(__xludf.DUMMYFUNCTION("""COMPUTED_VALUE"""),4478.0)</f>
        <v>4478</v>
      </c>
      <c r="D33" s="2">
        <f>IFERROR(__xludf.DUMMYFUNCTION("""COMPUTED_VALUE"""),4419.0)</f>
        <v>4419</v>
      </c>
      <c r="E33" s="2">
        <f>IFERROR(__xludf.DUMMYFUNCTION("""COMPUTED_VALUE"""),4439.0)</f>
        <v>4439</v>
      </c>
      <c r="F33" s="2">
        <f>IFERROR(__xludf.DUMMYFUNCTION("""COMPUTED_VALUE"""),1.30181497E8)</f>
        <v>130181497</v>
      </c>
      <c r="G33" s="2">
        <f t="shared" si="1"/>
        <v>59</v>
      </c>
    </row>
    <row r="34" ht="15.75" customHeight="1">
      <c r="A34" s="1">
        <f>IFERROR(__xludf.DUMMYFUNCTION("""COMPUTED_VALUE"""),43878.66666666667)</f>
        <v>43878.66667</v>
      </c>
      <c r="B34" s="2">
        <f>IFERROR(__xludf.DUMMYFUNCTION("""COMPUTED_VALUE"""),4371.0)</f>
        <v>4371</v>
      </c>
      <c r="C34" s="2">
        <f>IFERROR(__xludf.DUMMYFUNCTION("""COMPUTED_VALUE"""),4429.0)</f>
        <v>4429</v>
      </c>
      <c r="D34" s="2">
        <f>IFERROR(__xludf.DUMMYFUNCTION("""COMPUTED_VALUE"""),4361.0)</f>
        <v>4361</v>
      </c>
      <c r="E34" s="2">
        <f>IFERROR(__xludf.DUMMYFUNCTION("""COMPUTED_VALUE"""),4361.0)</f>
        <v>4361</v>
      </c>
      <c r="F34" s="2">
        <f>IFERROR(__xludf.DUMMYFUNCTION("""COMPUTED_VALUE"""),1.22755296E8)</f>
        <v>122755296</v>
      </c>
      <c r="G34" s="2">
        <f t="shared" si="1"/>
        <v>78</v>
      </c>
    </row>
    <row r="35" ht="15.75" customHeight="1">
      <c r="A35" s="1">
        <f>IFERROR(__xludf.DUMMYFUNCTION("""COMPUTED_VALUE"""),43879.66666666667)</f>
        <v>43879.66667</v>
      </c>
      <c r="B35" s="2">
        <f>IFERROR(__xludf.DUMMYFUNCTION("""COMPUTED_VALUE"""),4361.0)</f>
        <v>4361</v>
      </c>
      <c r="C35" s="2">
        <f>IFERROR(__xludf.DUMMYFUNCTION("""COMPUTED_VALUE"""),4390.0)</f>
        <v>4390</v>
      </c>
      <c r="D35" s="2">
        <f>IFERROR(__xludf.DUMMYFUNCTION("""COMPUTED_VALUE"""),4293.0)</f>
        <v>4293</v>
      </c>
      <c r="E35" s="2">
        <f>IFERROR(__xludf.DUMMYFUNCTION("""COMPUTED_VALUE"""),4293.0)</f>
        <v>4293</v>
      </c>
      <c r="F35" s="2">
        <f>IFERROR(__xludf.DUMMYFUNCTION("""COMPUTED_VALUE"""),9.0912886E7)</f>
        <v>90912886</v>
      </c>
      <c r="G35" s="2">
        <f t="shared" si="1"/>
        <v>97</v>
      </c>
    </row>
    <row r="36" ht="15.75" customHeight="1">
      <c r="A36" s="1">
        <f>IFERROR(__xludf.DUMMYFUNCTION("""COMPUTED_VALUE"""),43880.66666666667)</f>
        <v>43880.66667</v>
      </c>
      <c r="B36" s="2">
        <f>IFERROR(__xludf.DUMMYFUNCTION("""COMPUTED_VALUE"""),4351.0)</f>
        <v>4351</v>
      </c>
      <c r="C36" s="2">
        <f>IFERROR(__xludf.DUMMYFUNCTION("""COMPUTED_VALUE"""),4371.0)</f>
        <v>4371</v>
      </c>
      <c r="D36" s="2">
        <f>IFERROR(__xludf.DUMMYFUNCTION("""COMPUTED_VALUE"""),4341.0)</f>
        <v>4341</v>
      </c>
      <c r="E36" s="2">
        <f>IFERROR(__xludf.DUMMYFUNCTION("""COMPUTED_VALUE"""),4371.0)</f>
        <v>4371</v>
      </c>
      <c r="F36" s="2">
        <f>IFERROR(__xludf.DUMMYFUNCTION("""COMPUTED_VALUE"""),1.03332143E8)</f>
        <v>103332143</v>
      </c>
      <c r="G36" s="2">
        <f t="shared" si="1"/>
        <v>78</v>
      </c>
    </row>
    <row r="37" ht="15.75" customHeight="1">
      <c r="A37" s="1">
        <f>IFERROR(__xludf.DUMMYFUNCTION("""COMPUTED_VALUE"""),43881.66666666667)</f>
        <v>43881.66667</v>
      </c>
      <c r="B37" s="2">
        <f>IFERROR(__xludf.DUMMYFUNCTION("""COMPUTED_VALUE"""),4410.0)</f>
        <v>4410</v>
      </c>
      <c r="C37" s="2">
        <f>IFERROR(__xludf.DUMMYFUNCTION("""COMPUTED_VALUE"""),4468.0)</f>
        <v>4468</v>
      </c>
      <c r="D37" s="2">
        <f>IFERROR(__xludf.DUMMYFUNCTION("""COMPUTED_VALUE"""),4400.0)</f>
        <v>4400</v>
      </c>
      <c r="E37" s="2">
        <f>IFERROR(__xludf.DUMMYFUNCTION("""COMPUTED_VALUE"""),4449.0)</f>
        <v>4449</v>
      </c>
      <c r="F37" s="2">
        <f>IFERROR(__xludf.DUMMYFUNCTION("""COMPUTED_VALUE"""),1.0063605E8)</f>
        <v>100636050</v>
      </c>
      <c r="G37" s="2">
        <f t="shared" si="1"/>
        <v>97</v>
      </c>
    </row>
    <row r="38" ht="15.75" customHeight="1">
      <c r="A38" s="1">
        <f>IFERROR(__xludf.DUMMYFUNCTION("""COMPUTED_VALUE"""),43882.66666666667)</f>
        <v>43882.66667</v>
      </c>
      <c r="B38" s="2">
        <f>IFERROR(__xludf.DUMMYFUNCTION("""COMPUTED_VALUE"""),4449.0)</f>
        <v>4449</v>
      </c>
      <c r="C38" s="2">
        <f>IFERROR(__xludf.DUMMYFUNCTION("""COMPUTED_VALUE"""),4449.0)</f>
        <v>4449</v>
      </c>
      <c r="D38" s="2">
        <f>IFERROR(__xludf.DUMMYFUNCTION("""COMPUTED_VALUE"""),4400.0)</f>
        <v>4400</v>
      </c>
      <c r="E38" s="2">
        <f>IFERROR(__xludf.DUMMYFUNCTION("""COMPUTED_VALUE"""),4400.0)</f>
        <v>4400</v>
      </c>
      <c r="F38" s="2">
        <f>IFERROR(__xludf.DUMMYFUNCTION("""COMPUTED_VALUE"""),1.09635964E8)</f>
        <v>109635964</v>
      </c>
      <c r="G38" s="2">
        <f t="shared" si="1"/>
        <v>49</v>
      </c>
    </row>
    <row r="39" ht="15.75" customHeight="1">
      <c r="A39" s="1">
        <f>IFERROR(__xludf.DUMMYFUNCTION("""COMPUTED_VALUE"""),43885.66666666667)</f>
        <v>43885.66667</v>
      </c>
      <c r="B39" s="2">
        <f>IFERROR(__xludf.DUMMYFUNCTION("""COMPUTED_VALUE"""),4429.0)</f>
        <v>4429</v>
      </c>
      <c r="C39" s="2">
        <f>IFERROR(__xludf.DUMMYFUNCTION("""COMPUTED_VALUE"""),4429.0)</f>
        <v>4429</v>
      </c>
      <c r="D39" s="2">
        <f>IFERROR(__xludf.DUMMYFUNCTION("""COMPUTED_VALUE"""),4361.0)</f>
        <v>4361</v>
      </c>
      <c r="E39" s="2">
        <f>IFERROR(__xludf.DUMMYFUNCTION("""COMPUTED_VALUE"""),4380.0)</f>
        <v>4380</v>
      </c>
      <c r="F39" s="2">
        <f>IFERROR(__xludf.DUMMYFUNCTION("""COMPUTED_VALUE"""),1.05481897E8)</f>
        <v>105481897</v>
      </c>
      <c r="G39" s="2">
        <f t="shared" si="1"/>
        <v>68</v>
      </c>
    </row>
    <row r="40" ht="15.75" customHeight="1">
      <c r="A40" s="1">
        <f>IFERROR(__xludf.DUMMYFUNCTION("""COMPUTED_VALUE"""),43886.66666666667)</f>
        <v>43886.66667</v>
      </c>
      <c r="B40" s="2">
        <f>IFERROR(__xludf.DUMMYFUNCTION("""COMPUTED_VALUE"""),4351.0)</f>
        <v>4351</v>
      </c>
      <c r="C40" s="2">
        <f>IFERROR(__xludf.DUMMYFUNCTION("""COMPUTED_VALUE"""),4439.0)</f>
        <v>4439</v>
      </c>
      <c r="D40" s="2">
        <f>IFERROR(__xludf.DUMMYFUNCTION("""COMPUTED_VALUE"""),4351.0)</f>
        <v>4351</v>
      </c>
      <c r="E40" s="2">
        <f>IFERROR(__xludf.DUMMYFUNCTION("""COMPUTED_VALUE"""),4390.0)</f>
        <v>4390</v>
      </c>
      <c r="F40" s="2">
        <f>IFERROR(__xludf.DUMMYFUNCTION("""COMPUTED_VALUE"""),1.16779167E8)</f>
        <v>116779167</v>
      </c>
      <c r="G40" s="2">
        <f t="shared" si="1"/>
        <v>88</v>
      </c>
    </row>
    <row r="41" ht="15.75" customHeight="1">
      <c r="A41" s="1">
        <f>IFERROR(__xludf.DUMMYFUNCTION("""COMPUTED_VALUE"""),43887.66666666667)</f>
        <v>43887.66667</v>
      </c>
      <c r="B41" s="2">
        <f>IFERROR(__xludf.DUMMYFUNCTION("""COMPUTED_VALUE"""),4390.0)</f>
        <v>4390</v>
      </c>
      <c r="C41" s="2">
        <f>IFERROR(__xludf.DUMMYFUNCTION("""COMPUTED_VALUE"""),4400.0)</f>
        <v>4400</v>
      </c>
      <c r="D41" s="2">
        <f>IFERROR(__xludf.DUMMYFUNCTION("""COMPUTED_VALUE"""),4361.0)</f>
        <v>4361</v>
      </c>
      <c r="E41" s="2">
        <f>IFERROR(__xludf.DUMMYFUNCTION("""COMPUTED_VALUE"""),4371.0)</f>
        <v>4371</v>
      </c>
      <c r="F41" s="2">
        <f>IFERROR(__xludf.DUMMYFUNCTION("""COMPUTED_VALUE"""),1.52929269E8)</f>
        <v>152929269</v>
      </c>
      <c r="G41" s="2">
        <f t="shared" si="1"/>
        <v>39</v>
      </c>
    </row>
    <row r="42" ht="15.75" customHeight="1">
      <c r="A42" s="1">
        <f>IFERROR(__xludf.DUMMYFUNCTION("""COMPUTED_VALUE"""),43888.66666666667)</f>
        <v>43888.66667</v>
      </c>
      <c r="B42" s="2">
        <f>IFERROR(__xludf.DUMMYFUNCTION("""COMPUTED_VALUE"""),4273.0)</f>
        <v>4273</v>
      </c>
      <c r="C42" s="2">
        <f>IFERROR(__xludf.DUMMYFUNCTION("""COMPUTED_VALUE"""),4273.0)</f>
        <v>4273</v>
      </c>
      <c r="D42" s="2">
        <f>IFERROR(__xludf.DUMMYFUNCTION("""COMPUTED_VALUE"""),4019.0)</f>
        <v>4019</v>
      </c>
      <c r="E42" s="2">
        <f>IFERROR(__xludf.DUMMYFUNCTION("""COMPUTED_VALUE"""),4029.0)</f>
        <v>4029</v>
      </c>
      <c r="F42" s="2">
        <f>IFERROR(__xludf.DUMMYFUNCTION("""COMPUTED_VALUE"""),2.1233875E8)</f>
        <v>212338750</v>
      </c>
      <c r="G42" s="2">
        <f t="shared" si="1"/>
        <v>352</v>
      </c>
    </row>
    <row r="43" ht="15.75" customHeight="1">
      <c r="A43" s="1">
        <f>IFERROR(__xludf.DUMMYFUNCTION("""COMPUTED_VALUE"""),43889.66666666667)</f>
        <v>43889.66667</v>
      </c>
      <c r="B43" s="2">
        <f>IFERROR(__xludf.DUMMYFUNCTION("""COMPUTED_VALUE"""),3893.0)</f>
        <v>3893</v>
      </c>
      <c r="C43" s="2">
        <f>IFERROR(__xludf.DUMMYFUNCTION("""COMPUTED_VALUE"""),4088.0)</f>
        <v>4088</v>
      </c>
      <c r="D43" s="2">
        <f>IFERROR(__xludf.DUMMYFUNCTION("""COMPUTED_VALUE"""),3815.0)</f>
        <v>3815</v>
      </c>
      <c r="E43" s="2">
        <f>IFERROR(__xludf.DUMMYFUNCTION("""COMPUTED_VALUE"""),4088.0)</f>
        <v>4088</v>
      </c>
      <c r="F43" s="2">
        <f>IFERROR(__xludf.DUMMYFUNCTION("""COMPUTED_VALUE"""),1.96764002E8)</f>
        <v>196764002</v>
      </c>
      <c r="G43" s="2">
        <f t="shared" si="1"/>
        <v>273</v>
      </c>
    </row>
    <row r="44" ht="15.75" customHeight="1">
      <c r="A44" s="1">
        <f>IFERROR(__xludf.DUMMYFUNCTION("""COMPUTED_VALUE"""),43892.66666666667)</f>
        <v>43892.66667</v>
      </c>
      <c r="B44" s="2">
        <f>IFERROR(__xludf.DUMMYFUNCTION("""COMPUTED_VALUE"""),4088.0)</f>
        <v>4088</v>
      </c>
      <c r="C44" s="2">
        <f>IFERROR(__xludf.DUMMYFUNCTION("""COMPUTED_VALUE"""),4098.0)</f>
        <v>4098</v>
      </c>
      <c r="D44" s="2">
        <f>IFERROR(__xludf.DUMMYFUNCTION("""COMPUTED_VALUE"""),3883.0)</f>
        <v>3883</v>
      </c>
      <c r="E44" s="2">
        <f>IFERROR(__xludf.DUMMYFUNCTION("""COMPUTED_VALUE"""),3883.0)</f>
        <v>3883</v>
      </c>
      <c r="F44" s="2">
        <f>IFERROR(__xludf.DUMMYFUNCTION("""COMPUTED_VALUE"""),1.92352865E8)</f>
        <v>192352865</v>
      </c>
      <c r="G44" s="2">
        <f t="shared" si="1"/>
        <v>215</v>
      </c>
    </row>
    <row r="45" ht="15.75" customHeight="1">
      <c r="A45" s="1">
        <f>IFERROR(__xludf.DUMMYFUNCTION("""COMPUTED_VALUE"""),43893.66666666667)</f>
        <v>43893.66667</v>
      </c>
      <c r="B45" s="2">
        <f>IFERROR(__xludf.DUMMYFUNCTION("""COMPUTED_VALUE"""),3951.0)</f>
        <v>3951</v>
      </c>
      <c r="C45" s="2">
        <f>IFERROR(__xludf.DUMMYFUNCTION("""COMPUTED_VALUE"""),4078.0)</f>
        <v>4078</v>
      </c>
      <c r="D45" s="2">
        <f>IFERROR(__xludf.DUMMYFUNCTION("""COMPUTED_VALUE"""),3902.0)</f>
        <v>3902</v>
      </c>
      <c r="E45" s="2">
        <f>IFERROR(__xludf.DUMMYFUNCTION("""COMPUTED_VALUE"""),4000.0)</f>
        <v>4000</v>
      </c>
      <c r="F45" s="2">
        <f>IFERROR(__xludf.DUMMYFUNCTION("""COMPUTED_VALUE"""),2.03376048E8)</f>
        <v>203376048</v>
      </c>
      <c r="G45" s="2">
        <f t="shared" si="1"/>
        <v>195</v>
      </c>
    </row>
    <row r="46" ht="15.75" customHeight="1">
      <c r="A46" s="1">
        <f>IFERROR(__xludf.DUMMYFUNCTION("""COMPUTED_VALUE"""),43894.66666666667)</f>
        <v>43894.66667</v>
      </c>
      <c r="B46" s="2">
        <f>IFERROR(__xludf.DUMMYFUNCTION("""COMPUTED_VALUE"""),4039.0)</f>
        <v>4039</v>
      </c>
      <c r="C46" s="2">
        <f>IFERROR(__xludf.DUMMYFUNCTION("""COMPUTED_VALUE"""),4137.0)</f>
        <v>4137</v>
      </c>
      <c r="D46" s="2">
        <f>IFERROR(__xludf.DUMMYFUNCTION("""COMPUTED_VALUE"""),4029.0)</f>
        <v>4029</v>
      </c>
      <c r="E46" s="2">
        <f>IFERROR(__xludf.DUMMYFUNCTION("""COMPUTED_VALUE"""),4117.0)</f>
        <v>4117</v>
      </c>
      <c r="F46" s="2">
        <f>IFERROR(__xludf.DUMMYFUNCTION("""COMPUTED_VALUE"""),1.19214185E8)</f>
        <v>119214185</v>
      </c>
      <c r="G46" s="2">
        <f t="shared" si="1"/>
        <v>137</v>
      </c>
    </row>
    <row r="47" ht="15.75" customHeight="1">
      <c r="A47" s="1">
        <f>IFERROR(__xludf.DUMMYFUNCTION("""COMPUTED_VALUE"""),43895.66666666667)</f>
        <v>43895.66667</v>
      </c>
      <c r="B47" s="2">
        <f>IFERROR(__xludf.DUMMYFUNCTION("""COMPUTED_VALUE"""),4185.0)</f>
        <v>4185</v>
      </c>
      <c r="C47" s="2">
        <f>IFERROR(__xludf.DUMMYFUNCTION("""COMPUTED_VALUE"""),4195.0)</f>
        <v>4195</v>
      </c>
      <c r="D47" s="2">
        <f>IFERROR(__xludf.DUMMYFUNCTION("""COMPUTED_VALUE"""),4029.0)</f>
        <v>4029</v>
      </c>
      <c r="E47" s="2">
        <f>IFERROR(__xludf.DUMMYFUNCTION("""COMPUTED_VALUE"""),4049.0)</f>
        <v>4049</v>
      </c>
      <c r="F47" s="2">
        <f>IFERROR(__xludf.DUMMYFUNCTION("""COMPUTED_VALUE"""),1.36929461E8)</f>
        <v>136929461</v>
      </c>
      <c r="G47" s="2">
        <f t="shared" si="1"/>
        <v>166</v>
      </c>
    </row>
    <row r="48" ht="15.75" customHeight="1">
      <c r="A48" s="1">
        <f>IFERROR(__xludf.DUMMYFUNCTION("""COMPUTED_VALUE"""),43896.66666666667)</f>
        <v>43896.66667</v>
      </c>
      <c r="B48" s="2">
        <f>IFERROR(__xludf.DUMMYFUNCTION("""COMPUTED_VALUE"""),3941.0)</f>
        <v>3941</v>
      </c>
      <c r="C48" s="2">
        <f>IFERROR(__xludf.DUMMYFUNCTION("""COMPUTED_VALUE"""),3951.0)</f>
        <v>3951</v>
      </c>
      <c r="D48" s="2">
        <f>IFERROR(__xludf.DUMMYFUNCTION("""COMPUTED_VALUE"""),3902.0)</f>
        <v>3902</v>
      </c>
      <c r="E48" s="2">
        <f>IFERROR(__xludf.DUMMYFUNCTION("""COMPUTED_VALUE"""),3912.0)</f>
        <v>3912</v>
      </c>
      <c r="F48" s="2">
        <f>IFERROR(__xludf.DUMMYFUNCTION("""COMPUTED_VALUE"""),1.63378557E8)</f>
        <v>163378557</v>
      </c>
      <c r="G48" s="2">
        <f t="shared" si="1"/>
        <v>147</v>
      </c>
    </row>
    <row r="49" ht="15.75" customHeight="1">
      <c r="A49" s="1">
        <f>IFERROR(__xludf.DUMMYFUNCTION("""COMPUTED_VALUE"""),43899.66666666667)</f>
        <v>43899.66667</v>
      </c>
      <c r="B49" s="2">
        <f>IFERROR(__xludf.DUMMYFUNCTION("""COMPUTED_VALUE"""),3805.0)</f>
        <v>3805</v>
      </c>
      <c r="C49" s="2">
        <f>IFERROR(__xludf.DUMMYFUNCTION("""COMPUTED_VALUE"""),3854.0)</f>
        <v>3854</v>
      </c>
      <c r="D49" s="2">
        <f>IFERROR(__xludf.DUMMYFUNCTION("""COMPUTED_VALUE"""),3658.0)</f>
        <v>3658</v>
      </c>
      <c r="E49" s="2">
        <f>IFERROR(__xludf.DUMMYFUNCTION("""COMPUTED_VALUE"""),3658.0)</f>
        <v>3658</v>
      </c>
      <c r="F49" s="2">
        <f>IFERROR(__xludf.DUMMYFUNCTION("""COMPUTED_VALUE"""),1.52756153E8)</f>
        <v>152756153</v>
      </c>
      <c r="G49" s="2">
        <f t="shared" si="1"/>
        <v>254</v>
      </c>
    </row>
    <row r="50" ht="15.75" customHeight="1">
      <c r="A50" s="1">
        <f>IFERROR(__xludf.DUMMYFUNCTION("""COMPUTED_VALUE"""),43900.66666666667)</f>
        <v>43900.66667</v>
      </c>
      <c r="B50" s="2">
        <f>IFERROR(__xludf.DUMMYFUNCTION("""COMPUTED_VALUE"""),3688.0)</f>
        <v>3688</v>
      </c>
      <c r="C50" s="2">
        <f>IFERROR(__xludf.DUMMYFUNCTION("""COMPUTED_VALUE"""),3932.0)</f>
        <v>3932</v>
      </c>
      <c r="D50" s="2">
        <f>IFERROR(__xludf.DUMMYFUNCTION("""COMPUTED_VALUE"""),3688.0)</f>
        <v>3688</v>
      </c>
      <c r="E50" s="2">
        <f>IFERROR(__xludf.DUMMYFUNCTION("""COMPUTED_VALUE"""),3815.0)</f>
        <v>3815</v>
      </c>
      <c r="F50" s="2">
        <f>IFERROR(__xludf.DUMMYFUNCTION("""COMPUTED_VALUE"""),1.70126817E8)</f>
        <v>170126817</v>
      </c>
      <c r="G50" s="2">
        <f t="shared" si="1"/>
        <v>274</v>
      </c>
    </row>
    <row r="51" ht="15.75" customHeight="1">
      <c r="A51" s="1">
        <f>IFERROR(__xludf.DUMMYFUNCTION("""COMPUTED_VALUE"""),43901.66666666667)</f>
        <v>43901.66667</v>
      </c>
      <c r="B51" s="2">
        <f>IFERROR(__xludf.DUMMYFUNCTION("""COMPUTED_VALUE"""),3854.0)</f>
        <v>3854</v>
      </c>
      <c r="C51" s="2">
        <f>IFERROR(__xludf.DUMMYFUNCTION("""COMPUTED_VALUE"""),3932.0)</f>
        <v>3932</v>
      </c>
      <c r="D51" s="2">
        <f>IFERROR(__xludf.DUMMYFUNCTION("""COMPUTED_VALUE"""),3785.0)</f>
        <v>3785</v>
      </c>
      <c r="E51" s="2">
        <f>IFERROR(__xludf.DUMMYFUNCTION("""COMPUTED_VALUE"""),3815.0)</f>
        <v>3815</v>
      </c>
      <c r="F51" s="2">
        <f>IFERROR(__xludf.DUMMYFUNCTION("""COMPUTED_VALUE"""),1.81959968E8)</f>
        <v>181959968</v>
      </c>
      <c r="G51" s="2">
        <f t="shared" si="1"/>
        <v>147</v>
      </c>
    </row>
    <row r="52" ht="15.75" customHeight="1">
      <c r="A52" s="1">
        <f>IFERROR(__xludf.DUMMYFUNCTION("""COMPUTED_VALUE"""),43902.66666666667)</f>
        <v>43902.66667</v>
      </c>
      <c r="B52" s="2">
        <f>IFERROR(__xludf.DUMMYFUNCTION("""COMPUTED_VALUE"""),3727.0)</f>
        <v>3727</v>
      </c>
      <c r="C52" s="2">
        <f>IFERROR(__xludf.DUMMYFUNCTION("""COMPUTED_VALUE"""),3746.0)</f>
        <v>3746</v>
      </c>
      <c r="D52" s="2">
        <f>IFERROR(__xludf.DUMMYFUNCTION("""COMPUTED_VALUE"""),3512.0)</f>
        <v>3512</v>
      </c>
      <c r="E52" s="2">
        <f>IFERROR(__xludf.DUMMYFUNCTION("""COMPUTED_VALUE"""),3522.0)</f>
        <v>3522</v>
      </c>
      <c r="F52" s="2">
        <f>IFERROR(__xludf.DUMMYFUNCTION("""COMPUTED_VALUE"""),1.55740891E8)</f>
        <v>155740891</v>
      </c>
      <c r="G52" s="2">
        <f t="shared" si="1"/>
        <v>303</v>
      </c>
    </row>
    <row r="53" ht="15.75" customHeight="1">
      <c r="A53" s="1">
        <f>IFERROR(__xludf.DUMMYFUNCTION("""COMPUTED_VALUE"""),43903.66666666667)</f>
        <v>43903.66667</v>
      </c>
      <c r="B53" s="2">
        <f>IFERROR(__xludf.DUMMYFUNCTION("""COMPUTED_VALUE"""),3522.0)</f>
        <v>3522</v>
      </c>
      <c r="C53" s="2">
        <f>IFERROR(__xludf.DUMMYFUNCTION("""COMPUTED_VALUE"""),3678.0)</f>
        <v>3678</v>
      </c>
      <c r="D53" s="2">
        <f>IFERROR(__xludf.DUMMYFUNCTION("""COMPUTED_VALUE"""),3278.0)</f>
        <v>3278</v>
      </c>
      <c r="E53" s="2">
        <f>IFERROR(__xludf.DUMMYFUNCTION("""COMPUTED_VALUE"""),3629.0)</f>
        <v>3629</v>
      </c>
      <c r="F53" s="2">
        <f>IFERROR(__xludf.DUMMYFUNCTION("""COMPUTED_VALUE"""),2.7556105E8)</f>
        <v>275561050</v>
      </c>
      <c r="G53" s="2">
        <f t="shared" si="1"/>
        <v>400</v>
      </c>
    </row>
    <row r="54" ht="15.75" customHeight="1">
      <c r="A54" s="1">
        <f>IFERROR(__xludf.DUMMYFUNCTION("""COMPUTED_VALUE"""),43906.66666666667)</f>
        <v>43906.66667</v>
      </c>
      <c r="B54" s="2">
        <f>IFERROR(__xludf.DUMMYFUNCTION("""COMPUTED_VALUE"""),3658.0)</f>
        <v>3658</v>
      </c>
      <c r="C54" s="2">
        <f>IFERROR(__xludf.DUMMYFUNCTION("""COMPUTED_VALUE"""),3658.0)</f>
        <v>3658</v>
      </c>
      <c r="D54" s="2">
        <f>IFERROR(__xludf.DUMMYFUNCTION("""COMPUTED_VALUE"""),3376.0)</f>
        <v>3376</v>
      </c>
      <c r="E54" s="2">
        <f>IFERROR(__xludf.DUMMYFUNCTION("""COMPUTED_VALUE"""),3415.0)</f>
        <v>3415</v>
      </c>
      <c r="F54" s="2">
        <f>IFERROR(__xludf.DUMMYFUNCTION("""COMPUTED_VALUE"""),1.82883087E8)</f>
        <v>182883087</v>
      </c>
      <c r="G54" s="2">
        <f t="shared" si="1"/>
        <v>282</v>
      </c>
    </row>
    <row r="55" ht="15.75" customHeight="1">
      <c r="A55" s="1">
        <f>IFERROR(__xludf.DUMMYFUNCTION("""COMPUTED_VALUE"""),43907.66666666667)</f>
        <v>43907.66667</v>
      </c>
      <c r="B55" s="2">
        <f>IFERROR(__xludf.DUMMYFUNCTION("""COMPUTED_VALUE"""),3415.0)</f>
        <v>3415</v>
      </c>
      <c r="C55" s="2">
        <f>IFERROR(__xludf.DUMMYFUNCTION("""COMPUTED_VALUE"""),3483.0)</f>
        <v>3483</v>
      </c>
      <c r="D55" s="2">
        <f>IFERROR(__xludf.DUMMYFUNCTION("""COMPUTED_VALUE"""),3180.0)</f>
        <v>3180</v>
      </c>
      <c r="E55" s="2">
        <f>IFERROR(__xludf.DUMMYFUNCTION("""COMPUTED_VALUE"""),3180.0)</f>
        <v>3180</v>
      </c>
      <c r="F55" s="2">
        <f>IFERROR(__xludf.DUMMYFUNCTION("""COMPUTED_VALUE"""),2.13785249E8)</f>
        <v>213785249</v>
      </c>
      <c r="G55" s="2">
        <f t="shared" si="1"/>
        <v>303</v>
      </c>
    </row>
    <row r="56" ht="15.75" customHeight="1">
      <c r="A56" s="1">
        <f>IFERROR(__xludf.DUMMYFUNCTION("""COMPUTED_VALUE"""),43908.66666666667)</f>
        <v>43908.66667</v>
      </c>
      <c r="B56" s="2">
        <f>IFERROR(__xludf.DUMMYFUNCTION("""COMPUTED_VALUE"""),3190.0)</f>
        <v>3190</v>
      </c>
      <c r="C56" s="2">
        <f>IFERROR(__xludf.DUMMYFUNCTION("""COMPUTED_VALUE"""),3356.0)</f>
        <v>3356</v>
      </c>
      <c r="D56" s="2">
        <f>IFERROR(__xludf.DUMMYFUNCTION("""COMPUTED_VALUE"""),3015.0)</f>
        <v>3015</v>
      </c>
      <c r="E56" s="2">
        <f>IFERROR(__xludf.DUMMYFUNCTION("""COMPUTED_VALUE"""),3063.0)</f>
        <v>3063</v>
      </c>
      <c r="F56" s="2">
        <f>IFERROR(__xludf.DUMMYFUNCTION("""COMPUTED_VALUE"""),2.54309677E8)</f>
        <v>254309677</v>
      </c>
      <c r="G56" s="2">
        <f t="shared" si="1"/>
        <v>341</v>
      </c>
    </row>
    <row r="57" ht="15.75" customHeight="1">
      <c r="A57" s="1">
        <f>IFERROR(__xludf.DUMMYFUNCTION("""COMPUTED_VALUE"""),43909.66666666667)</f>
        <v>43909.66667</v>
      </c>
      <c r="B57" s="2">
        <f>IFERROR(__xludf.DUMMYFUNCTION("""COMPUTED_VALUE"""),3054.0)</f>
        <v>3054</v>
      </c>
      <c r="C57" s="2">
        <f>IFERROR(__xludf.DUMMYFUNCTION("""COMPUTED_VALUE"""),3063.0)</f>
        <v>3063</v>
      </c>
      <c r="D57" s="2">
        <f>IFERROR(__xludf.DUMMYFUNCTION("""COMPUTED_VALUE"""),2859.0)</f>
        <v>2859</v>
      </c>
      <c r="E57" s="2">
        <f>IFERROR(__xludf.DUMMYFUNCTION("""COMPUTED_VALUE"""),2859.0)</f>
        <v>2859</v>
      </c>
      <c r="F57" s="2">
        <f>IFERROR(__xludf.DUMMYFUNCTION("""COMPUTED_VALUE"""),1.41397167E8)</f>
        <v>141397167</v>
      </c>
      <c r="G57" s="2">
        <f t="shared" si="1"/>
        <v>204</v>
      </c>
    </row>
    <row r="58" ht="15.75" customHeight="1">
      <c r="A58" s="1">
        <f>IFERROR(__xludf.DUMMYFUNCTION("""COMPUTED_VALUE"""),43910.66666666667)</f>
        <v>43910.66667</v>
      </c>
      <c r="B58" s="2">
        <f>IFERROR(__xludf.DUMMYFUNCTION("""COMPUTED_VALUE"""),2859.0)</f>
        <v>2859</v>
      </c>
      <c r="C58" s="2">
        <f>IFERROR(__xludf.DUMMYFUNCTION("""COMPUTED_VALUE"""),2898.0)</f>
        <v>2898</v>
      </c>
      <c r="D58" s="2">
        <f>IFERROR(__xludf.DUMMYFUNCTION("""COMPUTED_VALUE"""),2663.0)</f>
        <v>2663</v>
      </c>
      <c r="E58" s="2">
        <f>IFERROR(__xludf.DUMMYFUNCTION("""COMPUTED_VALUE"""),2741.0)</f>
        <v>2741</v>
      </c>
      <c r="F58" s="2">
        <f>IFERROR(__xludf.DUMMYFUNCTION("""COMPUTED_VALUE"""),6.1332903E8)</f>
        <v>613329030</v>
      </c>
      <c r="G58" s="2">
        <f t="shared" si="1"/>
        <v>235</v>
      </c>
    </row>
    <row r="59" ht="15.75" customHeight="1">
      <c r="A59" s="1">
        <f>IFERROR(__xludf.DUMMYFUNCTION("""COMPUTED_VALUE"""),43913.66666666667)</f>
        <v>43913.66667</v>
      </c>
      <c r="B59" s="2">
        <f>IFERROR(__xludf.DUMMYFUNCTION("""COMPUTED_VALUE"""),2585.0)</f>
        <v>2585</v>
      </c>
      <c r="C59" s="2">
        <f>IFERROR(__xludf.DUMMYFUNCTION("""COMPUTED_VALUE"""),2634.0)</f>
        <v>2634</v>
      </c>
      <c r="D59" s="2">
        <f>IFERROR(__xludf.DUMMYFUNCTION("""COMPUTED_VALUE"""),2556.0)</f>
        <v>2556</v>
      </c>
      <c r="E59" s="2">
        <f>IFERROR(__xludf.DUMMYFUNCTION("""COMPUTED_VALUE"""),2556.0)</f>
        <v>2556</v>
      </c>
      <c r="F59" s="2">
        <f>IFERROR(__xludf.DUMMYFUNCTION("""COMPUTED_VALUE"""),1.68516636E8)</f>
        <v>168516636</v>
      </c>
      <c r="G59" s="2">
        <f t="shared" si="1"/>
        <v>185</v>
      </c>
    </row>
    <row r="60" ht="15.75" customHeight="1">
      <c r="A60" s="1">
        <f>IFERROR(__xludf.DUMMYFUNCTION("""COMPUTED_VALUE"""),43914.66666666667)</f>
        <v>43914.66667</v>
      </c>
      <c r="B60" s="2">
        <f>IFERROR(__xludf.DUMMYFUNCTION("""COMPUTED_VALUE"""),2517.0)</f>
        <v>2517</v>
      </c>
      <c r="C60" s="2">
        <f>IFERROR(__xludf.DUMMYFUNCTION("""COMPUTED_VALUE"""),2683.0)</f>
        <v>2683</v>
      </c>
      <c r="D60" s="2">
        <f>IFERROR(__xludf.DUMMYFUNCTION("""COMPUTED_VALUE"""),2380.0)</f>
        <v>2380</v>
      </c>
      <c r="E60" s="2">
        <f>IFERROR(__xludf.DUMMYFUNCTION("""COMPUTED_VALUE"""),2380.0)</f>
        <v>2380</v>
      </c>
      <c r="F60" s="2">
        <f>IFERROR(__xludf.DUMMYFUNCTION("""COMPUTED_VALUE"""),5.07513269E8)</f>
        <v>507513269</v>
      </c>
      <c r="G60" s="2">
        <f t="shared" si="1"/>
        <v>303</v>
      </c>
    </row>
    <row r="61" ht="15.75" customHeight="1">
      <c r="A61" s="1">
        <f>IFERROR(__xludf.DUMMYFUNCTION("""COMPUTED_VALUE"""),43916.66666666667)</f>
        <v>43916.66667</v>
      </c>
      <c r="B61" s="2">
        <f>IFERROR(__xludf.DUMMYFUNCTION("""COMPUTED_VALUE"""),2439.0)</f>
        <v>2439</v>
      </c>
      <c r="C61" s="2">
        <f>IFERROR(__xludf.DUMMYFUNCTION("""COMPUTED_VALUE"""),2927.0)</f>
        <v>2927</v>
      </c>
      <c r="D61" s="2">
        <f>IFERROR(__xludf.DUMMYFUNCTION("""COMPUTED_VALUE"""),2439.0)</f>
        <v>2439</v>
      </c>
      <c r="E61" s="2">
        <f>IFERROR(__xludf.DUMMYFUNCTION("""COMPUTED_VALUE"""),2868.0)</f>
        <v>2868</v>
      </c>
      <c r="F61" s="2">
        <f>IFERROR(__xludf.DUMMYFUNCTION("""COMPUTED_VALUE"""),6.50460333E8)</f>
        <v>650460333</v>
      </c>
      <c r="G61" s="2">
        <f t="shared" si="1"/>
        <v>547</v>
      </c>
    </row>
    <row r="62" ht="15.75" customHeight="1">
      <c r="A62" s="1">
        <f>IFERROR(__xludf.DUMMYFUNCTION("""COMPUTED_VALUE"""),43917.66666666667)</f>
        <v>43917.66667</v>
      </c>
      <c r="B62" s="2">
        <f>IFERROR(__xludf.DUMMYFUNCTION("""COMPUTED_VALUE"""),2927.0)</f>
        <v>2927</v>
      </c>
      <c r="C62" s="2">
        <f>IFERROR(__xludf.DUMMYFUNCTION("""COMPUTED_VALUE"""),3580.0)</f>
        <v>3580</v>
      </c>
      <c r="D62" s="2">
        <f>IFERROR(__xludf.DUMMYFUNCTION("""COMPUTED_VALUE"""),2927.0)</f>
        <v>2927</v>
      </c>
      <c r="E62" s="2">
        <f>IFERROR(__xludf.DUMMYFUNCTION("""COMPUTED_VALUE"""),3151.0)</f>
        <v>3151</v>
      </c>
      <c r="F62" s="2">
        <f>IFERROR(__xludf.DUMMYFUNCTION("""COMPUTED_VALUE"""),4.92959353E8)</f>
        <v>492959353</v>
      </c>
      <c r="G62" s="2">
        <f t="shared" si="1"/>
        <v>712</v>
      </c>
    </row>
    <row r="63" ht="15.75" customHeight="1">
      <c r="A63" s="1">
        <f>IFERROR(__xludf.DUMMYFUNCTION("""COMPUTED_VALUE"""),43920.66666666667)</f>
        <v>43920.66667</v>
      </c>
      <c r="B63" s="2">
        <f>IFERROR(__xludf.DUMMYFUNCTION("""COMPUTED_VALUE"""),3073.0)</f>
        <v>3073</v>
      </c>
      <c r="C63" s="2">
        <f>IFERROR(__xludf.DUMMYFUNCTION("""COMPUTED_VALUE"""),3073.0)</f>
        <v>3073</v>
      </c>
      <c r="D63" s="2">
        <f>IFERROR(__xludf.DUMMYFUNCTION("""COMPUTED_VALUE"""),2937.0)</f>
        <v>2937</v>
      </c>
      <c r="E63" s="2">
        <f>IFERROR(__xludf.DUMMYFUNCTION("""COMPUTED_VALUE"""),2937.0)</f>
        <v>2937</v>
      </c>
      <c r="F63" s="2">
        <f>IFERROR(__xludf.DUMMYFUNCTION("""COMPUTED_VALUE"""),2.22949462E8)</f>
        <v>222949462</v>
      </c>
      <c r="G63" s="2">
        <f t="shared" si="1"/>
        <v>214</v>
      </c>
    </row>
    <row r="64" ht="15.75" customHeight="1">
      <c r="A64" s="1">
        <f>IFERROR(__xludf.DUMMYFUNCTION("""COMPUTED_VALUE"""),43921.66666666667)</f>
        <v>43921.66667</v>
      </c>
      <c r="B64" s="2">
        <f>IFERROR(__xludf.DUMMYFUNCTION("""COMPUTED_VALUE"""),3024.0)</f>
        <v>3024</v>
      </c>
      <c r="C64" s="2">
        <f>IFERROR(__xludf.DUMMYFUNCTION("""COMPUTED_VALUE"""),3122.0)</f>
        <v>3122</v>
      </c>
      <c r="D64" s="2">
        <f>IFERROR(__xludf.DUMMYFUNCTION("""COMPUTED_VALUE"""),2898.0)</f>
        <v>2898</v>
      </c>
      <c r="E64" s="2">
        <f>IFERROR(__xludf.DUMMYFUNCTION("""COMPUTED_VALUE"""),2946.0)</f>
        <v>2946</v>
      </c>
      <c r="F64" s="2">
        <f>IFERROR(__xludf.DUMMYFUNCTION("""COMPUTED_VALUE"""),3.22875171E8)</f>
        <v>322875171</v>
      </c>
      <c r="G64" s="2">
        <f t="shared" si="1"/>
        <v>224</v>
      </c>
    </row>
    <row r="65" ht="15.75" customHeight="1">
      <c r="A65" s="1">
        <f>IFERROR(__xludf.DUMMYFUNCTION("""COMPUTED_VALUE"""),43922.66666666667)</f>
        <v>43922.66667</v>
      </c>
      <c r="B65" s="2">
        <f>IFERROR(__xludf.DUMMYFUNCTION("""COMPUTED_VALUE"""),2937.0)</f>
        <v>2937</v>
      </c>
      <c r="C65" s="2">
        <f>IFERROR(__xludf.DUMMYFUNCTION("""COMPUTED_VALUE"""),3005.0)</f>
        <v>3005</v>
      </c>
      <c r="D65" s="2">
        <f>IFERROR(__xludf.DUMMYFUNCTION("""COMPUTED_VALUE"""),2829.0)</f>
        <v>2829</v>
      </c>
      <c r="E65" s="2">
        <f>IFERROR(__xludf.DUMMYFUNCTION("""COMPUTED_VALUE"""),2859.0)</f>
        <v>2859</v>
      </c>
      <c r="F65" s="2">
        <f>IFERROR(__xludf.DUMMYFUNCTION("""COMPUTED_VALUE"""),2.78540375E8)</f>
        <v>278540375</v>
      </c>
      <c r="G65" s="2">
        <f t="shared" si="1"/>
        <v>176</v>
      </c>
    </row>
    <row r="66" ht="15.75" customHeight="1">
      <c r="A66" s="1">
        <f>IFERROR(__xludf.DUMMYFUNCTION("""COMPUTED_VALUE"""),43923.66666666667)</f>
        <v>43923.66667</v>
      </c>
      <c r="B66" s="2">
        <f>IFERROR(__xludf.DUMMYFUNCTION("""COMPUTED_VALUE"""),2780.0)</f>
        <v>2780</v>
      </c>
      <c r="C66" s="2">
        <f>IFERROR(__xludf.DUMMYFUNCTION("""COMPUTED_VALUE"""),2829.0)</f>
        <v>2829</v>
      </c>
      <c r="D66" s="2">
        <f>IFERROR(__xludf.DUMMYFUNCTION("""COMPUTED_VALUE"""),2732.0)</f>
        <v>2732</v>
      </c>
      <c r="E66" s="2">
        <f>IFERROR(__xludf.DUMMYFUNCTION("""COMPUTED_VALUE"""),2800.0)</f>
        <v>2800</v>
      </c>
      <c r="F66" s="2">
        <f>IFERROR(__xludf.DUMMYFUNCTION("""COMPUTED_VALUE"""),3.07382952E8)</f>
        <v>307382952</v>
      </c>
      <c r="G66" s="2">
        <f t="shared" si="1"/>
        <v>127</v>
      </c>
    </row>
    <row r="67" ht="15.75" customHeight="1">
      <c r="A67" s="1">
        <f>IFERROR(__xludf.DUMMYFUNCTION("""COMPUTED_VALUE"""),43924.66666666667)</f>
        <v>43924.66667</v>
      </c>
      <c r="B67" s="2">
        <f>IFERROR(__xludf.DUMMYFUNCTION("""COMPUTED_VALUE"""),2859.0)</f>
        <v>2859</v>
      </c>
      <c r="C67" s="2">
        <f>IFERROR(__xludf.DUMMYFUNCTION("""COMPUTED_VALUE"""),2878.0)</f>
        <v>2878</v>
      </c>
      <c r="D67" s="2">
        <f>IFERROR(__xludf.DUMMYFUNCTION("""COMPUTED_VALUE"""),2761.0)</f>
        <v>2761</v>
      </c>
      <c r="E67" s="2">
        <f>IFERROR(__xludf.DUMMYFUNCTION("""COMPUTED_VALUE"""),2819.0)</f>
        <v>2819</v>
      </c>
      <c r="F67" s="2">
        <f>IFERROR(__xludf.DUMMYFUNCTION("""COMPUTED_VALUE"""),3.00478986E8)</f>
        <v>300478986</v>
      </c>
      <c r="G67" s="2">
        <f t="shared" si="1"/>
        <v>117</v>
      </c>
    </row>
    <row r="68" ht="15.75" customHeight="1">
      <c r="A68" s="1">
        <f>IFERROR(__xludf.DUMMYFUNCTION("""COMPUTED_VALUE"""),43927.66666666667)</f>
        <v>43927.66667</v>
      </c>
      <c r="B68" s="2">
        <f>IFERROR(__xludf.DUMMYFUNCTION("""COMPUTED_VALUE"""),2878.0)</f>
        <v>2878</v>
      </c>
      <c r="C68" s="2">
        <f>IFERROR(__xludf.DUMMYFUNCTION("""COMPUTED_VALUE"""),2956.0)</f>
        <v>2956</v>
      </c>
      <c r="D68" s="2">
        <f>IFERROR(__xludf.DUMMYFUNCTION("""COMPUTED_VALUE"""),2839.0)</f>
        <v>2839</v>
      </c>
      <c r="E68" s="2">
        <f>IFERROR(__xludf.DUMMYFUNCTION("""COMPUTED_VALUE"""),2946.0)</f>
        <v>2946</v>
      </c>
      <c r="F68" s="2">
        <f>IFERROR(__xludf.DUMMYFUNCTION("""COMPUTED_VALUE"""),2.92230718E8)</f>
        <v>292230718</v>
      </c>
      <c r="G68" s="2">
        <f t="shared" si="1"/>
        <v>137</v>
      </c>
    </row>
    <row r="69" ht="15.75" customHeight="1">
      <c r="A69" s="1">
        <f>IFERROR(__xludf.DUMMYFUNCTION("""COMPUTED_VALUE"""),43928.66666666667)</f>
        <v>43928.66667</v>
      </c>
      <c r="B69" s="2">
        <f>IFERROR(__xludf.DUMMYFUNCTION("""COMPUTED_VALUE"""),3024.0)</f>
        <v>3024</v>
      </c>
      <c r="C69" s="2">
        <f>IFERROR(__xludf.DUMMYFUNCTION("""COMPUTED_VALUE"""),3161.0)</f>
        <v>3161</v>
      </c>
      <c r="D69" s="2">
        <f>IFERROR(__xludf.DUMMYFUNCTION("""COMPUTED_VALUE"""),2878.0)</f>
        <v>2878</v>
      </c>
      <c r="E69" s="2">
        <f>IFERROR(__xludf.DUMMYFUNCTION("""COMPUTED_VALUE"""),2956.0)</f>
        <v>2956</v>
      </c>
      <c r="F69" s="2">
        <f>IFERROR(__xludf.DUMMYFUNCTION("""COMPUTED_VALUE"""),4.1552863E8)</f>
        <v>415528630</v>
      </c>
      <c r="G69" s="2">
        <f t="shared" si="1"/>
        <v>283</v>
      </c>
    </row>
    <row r="70" ht="15.75" customHeight="1">
      <c r="A70" s="1">
        <f>IFERROR(__xludf.DUMMYFUNCTION("""COMPUTED_VALUE"""),43929.66666666667)</f>
        <v>43929.66667</v>
      </c>
      <c r="B70" s="2">
        <f>IFERROR(__xludf.DUMMYFUNCTION("""COMPUTED_VALUE"""),2927.0)</f>
        <v>2927</v>
      </c>
      <c r="C70" s="2">
        <f>IFERROR(__xludf.DUMMYFUNCTION("""COMPUTED_VALUE"""),2966.0)</f>
        <v>2966</v>
      </c>
      <c r="D70" s="2">
        <f>IFERROR(__xludf.DUMMYFUNCTION("""COMPUTED_VALUE"""),2751.0)</f>
        <v>2751</v>
      </c>
      <c r="E70" s="2">
        <f>IFERROR(__xludf.DUMMYFUNCTION("""COMPUTED_VALUE"""),2751.0)</f>
        <v>2751</v>
      </c>
      <c r="F70" s="2">
        <f>IFERROR(__xludf.DUMMYFUNCTION("""COMPUTED_VALUE"""),3.00273664E8)</f>
        <v>300273664</v>
      </c>
      <c r="G70" s="2">
        <f t="shared" si="1"/>
        <v>215</v>
      </c>
    </row>
    <row r="71" ht="15.75" customHeight="1">
      <c r="A71" s="1">
        <f>IFERROR(__xludf.DUMMYFUNCTION("""COMPUTED_VALUE"""),43930.66666666667)</f>
        <v>43930.66667</v>
      </c>
      <c r="B71" s="2">
        <f>IFERROR(__xludf.DUMMYFUNCTION("""COMPUTED_VALUE"""),2790.0)</f>
        <v>2790</v>
      </c>
      <c r="C71" s="2">
        <f>IFERROR(__xludf.DUMMYFUNCTION("""COMPUTED_VALUE"""),2839.0)</f>
        <v>2839</v>
      </c>
      <c r="D71" s="2">
        <f>IFERROR(__xludf.DUMMYFUNCTION("""COMPUTED_VALUE"""),2683.0)</f>
        <v>2683</v>
      </c>
      <c r="E71" s="2">
        <f>IFERROR(__xludf.DUMMYFUNCTION("""COMPUTED_VALUE"""),2722.0)</f>
        <v>2722</v>
      </c>
      <c r="F71" s="2">
        <f>IFERROR(__xludf.DUMMYFUNCTION("""COMPUTED_VALUE"""),2.72434765E8)</f>
        <v>272434765</v>
      </c>
      <c r="G71" s="2">
        <f t="shared" si="1"/>
        <v>156</v>
      </c>
    </row>
    <row r="72" ht="15.75" customHeight="1">
      <c r="A72" s="1">
        <f>IFERROR(__xludf.DUMMYFUNCTION("""COMPUTED_VALUE"""),43934.66666666667)</f>
        <v>43934.66667</v>
      </c>
      <c r="B72" s="2">
        <f>IFERROR(__xludf.DUMMYFUNCTION("""COMPUTED_VALUE"""),2722.0)</f>
        <v>2722</v>
      </c>
      <c r="C72" s="2">
        <f>IFERROR(__xludf.DUMMYFUNCTION("""COMPUTED_VALUE"""),2771.0)</f>
        <v>2771</v>
      </c>
      <c r="D72" s="2">
        <f>IFERROR(__xludf.DUMMYFUNCTION("""COMPUTED_VALUE"""),2634.0)</f>
        <v>2634</v>
      </c>
      <c r="E72" s="2">
        <f>IFERROR(__xludf.DUMMYFUNCTION("""COMPUTED_VALUE"""),2702.0)</f>
        <v>2702</v>
      </c>
      <c r="F72" s="2">
        <f>IFERROR(__xludf.DUMMYFUNCTION("""COMPUTED_VALUE"""),1.26826122E8)</f>
        <v>126826122</v>
      </c>
      <c r="G72" s="2">
        <f t="shared" si="1"/>
        <v>137</v>
      </c>
    </row>
    <row r="73" ht="15.75" customHeight="1">
      <c r="A73" s="1">
        <f>IFERROR(__xludf.DUMMYFUNCTION("""COMPUTED_VALUE"""),43935.66666666667)</f>
        <v>43935.66667</v>
      </c>
      <c r="B73" s="2">
        <f>IFERROR(__xludf.DUMMYFUNCTION("""COMPUTED_VALUE"""),2722.0)</f>
        <v>2722</v>
      </c>
      <c r="C73" s="2">
        <f>IFERROR(__xludf.DUMMYFUNCTION("""COMPUTED_VALUE"""),2829.0)</f>
        <v>2829</v>
      </c>
      <c r="D73" s="2">
        <f>IFERROR(__xludf.DUMMYFUNCTION("""COMPUTED_VALUE"""),2702.0)</f>
        <v>2702</v>
      </c>
      <c r="E73" s="2">
        <f>IFERROR(__xludf.DUMMYFUNCTION("""COMPUTED_VALUE"""),2829.0)</f>
        <v>2829</v>
      </c>
      <c r="F73" s="2">
        <f>IFERROR(__xludf.DUMMYFUNCTION("""COMPUTED_VALUE"""),2.25229905E8)</f>
        <v>225229905</v>
      </c>
      <c r="G73" s="2">
        <f t="shared" si="1"/>
        <v>127</v>
      </c>
    </row>
    <row r="74" ht="15.75" customHeight="1">
      <c r="A74" s="1">
        <f>IFERROR(__xludf.DUMMYFUNCTION("""COMPUTED_VALUE"""),43936.66666666667)</f>
        <v>43936.66667</v>
      </c>
      <c r="B74" s="2">
        <f>IFERROR(__xludf.DUMMYFUNCTION("""COMPUTED_VALUE"""),2829.0)</f>
        <v>2829</v>
      </c>
      <c r="C74" s="2">
        <f>IFERROR(__xludf.DUMMYFUNCTION("""COMPUTED_VALUE"""),2917.0)</f>
        <v>2917</v>
      </c>
      <c r="D74" s="2">
        <f>IFERROR(__xludf.DUMMYFUNCTION("""COMPUTED_VALUE"""),2663.0)</f>
        <v>2663</v>
      </c>
      <c r="E74" s="2">
        <f>IFERROR(__xludf.DUMMYFUNCTION("""COMPUTED_VALUE"""),2693.0)</f>
        <v>2693</v>
      </c>
      <c r="F74" s="2">
        <f>IFERROR(__xludf.DUMMYFUNCTION("""COMPUTED_VALUE"""),3.27076181E8)</f>
        <v>327076181</v>
      </c>
      <c r="G74" s="2">
        <f t="shared" si="1"/>
        <v>254</v>
      </c>
    </row>
    <row r="75" ht="15.75" customHeight="1">
      <c r="A75" s="1">
        <f>IFERROR(__xludf.DUMMYFUNCTION("""COMPUTED_VALUE"""),43937.66666666667)</f>
        <v>43937.66667</v>
      </c>
      <c r="B75" s="2">
        <f>IFERROR(__xludf.DUMMYFUNCTION("""COMPUTED_VALUE"""),2702.0)</f>
        <v>2702</v>
      </c>
      <c r="C75" s="2">
        <f>IFERROR(__xludf.DUMMYFUNCTION("""COMPUTED_VALUE"""),2702.0)</f>
        <v>2702</v>
      </c>
      <c r="D75" s="2">
        <f>IFERROR(__xludf.DUMMYFUNCTION("""COMPUTED_VALUE"""),2517.0)</f>
        <v>2517</v>
      </c>
      <c r="E75" s="2">
        <f>IFERROR(__xludf.DUMMYFUNCTION("""COMPUTED_VALUE"""),2546.0)</f>
        <v>2546</v>
      </c>
      <c r="F75" s="2">
        <f>IFERROR(__xludf.DUMMYFUNCTION("""COMPUTED_VALUE"""),3.76946807E8)</f>
        <v>376946807</v>
      </c>
      <c r="G75" s="2">
        <f t="shared" si="1"/>
        <v>185</v>
      </c>
    </row>
    <row r="76" ht="15.75" customHeight="1">
      <c r="A76" s="1">
        <f>IFERROR(__xludf.DUMMYFUNCTION("""COMPUTED_VALUE"""),43938.66666666667)</f>
        <v>43938.66667</v>
      </c>
      <c r="B76" s="2">
        <f>IFERROR(__xludf.DUMMYFUNCTION("""COMPUTED_VALUE"""),2605.0)</f>
        <v>2605</v>
      </c>
      <c r="C76" s="2">
        <f>IFERROR(__xludf.DUMMYFUNCTION("""COMPUTED_VALUE"""),2771.0)</f>
        <v>2771</v>
      </c>
      <c r="D76" s="2">
        <f>IFERROR(__xludf.DUMMYFUNCTION("""COMPUTED_VALUE"""),2595.0)</f>
        <v>2595</v>
      </c>
      <c r="E76" s="2">
        <f>IFERROR(__xludf.DUMMYFUNCTION("""COMPUTED_VALUE"""),2761.0)</f>
        <v>2761</v>
      </c>
      <c r="F76" s="2">
        <f>IFERROR(__xludf.DUMMYFUNCTION("""COMPUTED_VALUE"""),4.12388314E8)</f>
        <v>412388314</v>
      </c>
      <c r="G76" s="2">
        <f t="shared" si="1"/>
        <v>225</v>
      </c>
    </row>
    <row r="77" ht="15.75" customHeight="1">
      <c r="A77" s="1">
        <f>IFERROR(__xludf.DUMMYFUNCTION("""COMPUTED_VALUE"""),43941.66666666667)</f>
        <v>43941.66667</v>
      </c>
      <c r="B77" s="2">
        <f>IFERROR(__xludf.DUMMYFUNCTION("""COMPUTED_VALUE"""),2810.0)</f>
        <v>2810</v>
      </c>
      <c r="C77" s="2">
        <f>IFERROR(__xludf.DUMMYFUNCTION("""COMPUTED_VALUE"""),2829.0)</f>
        <v>2829</v>
      </c>
      <c r="D77" s="2">
        <f>IFERROR(__xludf.DUMMYFUNCTION("""COMPUTED_VALUE"""),2693.0)</f>
        <v>2693</v>
      </c>
      <c r="E77" s="2">
        <f>IFERROR(__xludf.DUMMYFUNCTION("""COMPUTED_VALUE"""),2712.0)</f>
        <v>2712</v>
      </c>
      <c r="F77" s="2">
        <f>IFERROR(__xludf.DUMMYFUNCTION("""COMPUTED_VALUE"""),2.27561293E8)</f>
        <v>227561293</v>
      </c>
      <c r="G77" s="2">
        <f t="shared" si="1"/>
        <v>136</v>
      </c>
    </row>
    <row r="78" ht="15.75" customHeight="1">
      <c r="A78" s="1">
        <f>IFERROR(__xludf.DUMMYFUNCTION("""COMPUTED_VALUE"""),43942.66666666667)</f>
        <v>43942.66667</v>
      </c>
      <c r="B78" s="2">
        <f>IFERROR(__xludf.DUMMYFUNCTION("""COMPUTED_VALUE"""),2683.0)</f>
        <v>2683</v>
      </c>
      <c r="C78" s="2">
        <f>IFERROR(__xludf.DUMMYFUNCTION("""COMPUTED_VALUE"""),2722.0)</f>
        <v>2722</v>
      </c>
      <c r="D78" s="2">
        <f>IFERROR(__xludf.DUMMYFUNCTION("""COMPUTED_VALUE"""),2624.0)</f>
        <v>2624</v>
      </c>
      <c r="E78" s="2">
        <f>IFERROR(__xludf.DUMMYFUNCTION("""COMPUTED_VALUE"""),2654.0)</f>
        <v>2654</v>
      </c>
      <c r="F78" s="2">
        <f>IFERROR(__xludf.DUMMYFUNCTION("""COMPUTED_VALUE"""),1.36196674E8)</f>
        <v>136196674</v>
      </c>
      <c r="G78" s="2">
        <f t="shared" si="1"/>
        <v>98</v>
      </c>
    </row>
    <row r="79" ht="15.75" customHeight="1">
      <c r="A79" s="1">
        <f>IFERROR(__xludf.DUMMYFUNCTION("""COMPUTED_VALUE"""),43943.66666666667)</f>
        <v>43943.66667</v>
      </c>
      <c r="B79" s="2">
        <f>IFERROR(__xludf.DUMMYFUNCTION("""COMPUTED_VALUE"""),2634.0)</f>
        <v>2634</v>
      </c>
      <c r="C79" s="2">
        <f>IFERROR(__xludf.DUMMYFUNCTION("""COMPUTED_VALUE"""),2761.0)</f>
        <v>2761</v>
      </c>
      <c r="D79" s="2">
        <f>IFERROR(__xludf.DUMMYFUNCTION("""COMPUTED_VALUE"""),2585.0)</f>
        <v>2585</v>
      </c>
      <c r="E79" s="2">
        <f>IFERROR(__xludf.DUMMYFUNCTION("""COMPUTED_VALUE"""),2722.0)</f>
        <v>2722</v>
      </c>
      <c r="F79" s="2">
        <f>IFERROR(__xludf.DUMMYFUNCTION("""COMPUTED_VALUE"""),1.84033967E8)</f>
        <v>184033967</v>
      </c>
      <c r="G79" s="2">
        <f t="shared" si="1"/>
        <v>176</v>
      </c>
    </row>
    <row r="80" ht="15.75" customHeight="1">
      <c r="A80" s="1">
        <f>IFERROR(__xludf.DUMMYFUNCTION("""COMPUTED_VALUE"""),43944.66666666667)</f>
        <v>43944.66667</v>
      </c>
      <c r="B80" s="2">
        <f>IFERROR(__xludf.DUMMYFUNCTION("""COMPUTED_VALUE"""),2761.0)</f>
        <v>2761</v>
      </c>
      <c r="C80" s="2">
        <f>IFERROR(__xludf.DUMMYFUNCTION("""COMPUTED_VALUE"""),2810.0)</f>
        <v>2810</v>
      </c>
      <c r="D80" s="2">
        <f>IFERROR(__xludf.DUMMYFUNCTION("""COMPUTED_VALUE"""),2722.0)</f>
        <v>2722</v>
      </c>
      <c r="E80" s="2">
        <f>IFERROR(__xludf.DUMMYFUNCTION("""COMPUTED_VALUE"""),2732.0)</f>
        <v>2732</v>
      </c>
      <c r="F80" s="2">
        <f>IFERROR(__xludf.DUMMYFUNCTION("""COMPUTED_VALUE"""),2.21577484E8)</f>
        <v>221577484</v>
      </c>
      <c r="G80" s="2">
        <f t="shared" si="1"/>
        <v>88</v>
      </c>
    </row>
    <row r="81" ht="15.75" customHeight="1">
      <c r="A81" s="1">
        <f>IFERROR(__xludf.DUMMYFUNCTION("""COMPUTED_VALUE"""),43945.66666666667)</f>
        <v>43945.66667</v>
      </c>
      <c r="B81" s="2">
        <f>IFERROR(__xludf.DUMMYFUNCTION("""COMPUTED_VALUE"""),2732.0)</f>
        <v>2732</v>
      </c>
      <c r="C81" s="2">
        <f>IFERROR(__xludf.DUMMYFUNCTION("""COMPUTED_VALUE"""),2732.0)</f>
        <v>2732</v>
      </c>
      <c r="D81" s="2">
        <f>IFERROR(__xludf.DUMMYFUNCTION("""COMPUTED_VALUE"""),2566.0)</f>
        <v>2566</v>
      </c>
      <c r="E81" s="2">
        <f>IFERROR(__xludf.DUMMYFUNCTION("""COMPUTED_VALUE"""),2566.0)</f>
        <v>2566</v>
      </c>
      <c r="F81" s="2">
        <f>IFERROR(__xludf.DUMMYFUNCTION("""COMPUTED_VALUE"""),3.01057477E8)</f>
        <v>301057477</v>
      </c>
      <c r="G81" s="2">
        <f t="shared" si="1"/>
        <v>166</v>
      </c>
    </row>
    <row r="82" ht="15.75" customHeight="1">
      <c r="A82" s="1">
        <f>IFERROR(__xludf.DUMMYFUNCTION("""COMPUTED_VALUE"""),43948.66666666667)</f>
        <v>43948.66667</v>
      </c>
      <c r="B82" s="2">
        <f>IFERROR(__xludf.DUMMYFUNCTION("""COMPUTED_VALUE"""),2615.0)</f>
        <v>2615</v>
      </c>
      <c r="C82" s="2">
        <f>IFERROR(__xludf.DUMMYFUNCTION("""COMPUTED_VALUE"""),2634.0)</f>
        <v>2634</v>
      </c>
      <c r="D82" s="2">
        <f>IFERROR(__xludf.DUMMYFUNCTION("""COMPUTED_VALUE"""),2546.0)</f>
        <v>2546</v>
      </c>
      <c r="E82" s="2">
        <f>IFERROR(__xludf.DUMMYFUNCTION("""COMPUTED_VALUE"""),2595.0)</f>
        <v>2595</v>
      </c>
      <c r="F82" s="2">
        <f>IFERROR(__xludf.DUMMYFUNCTION("""COMPUTED_VALUE"""),1.87175739E8)</f>
        <v>187175739</v>
      </c>
      <c r="G82" s="2">
        <f t="shared" si="1"/>
        <v>88</v>
      </c>
    </row>
    <row r="83" ht="15.75" customHeight="1">
      <c r="A83" s="1">
        <f>IFERROR(__xludf.DUMMYFUNCTION("""COMPUTED_VALUE"""),43949.66666666667)</f>
        <v>43949.66667</v>
      </c>
      <c r="B83" s="2">
        <f>IFERROR(__xludf.DUMMYFUNCTION("""COMPUTED_VALUE"""),2615.0)</f>
        <v>2615</v>
      </c>
      <c r="C83" s="2">
        <f>IFERROR(__xludf.DUMMYFUNCTION("""COMPUTED_VALUE"""),2624.0)</f>
        <v>2624</v>
      </c>
      <c r="D83" s="2">
        <f>IFERROR(__xludf.DUMMYFUNCTION("""COMPUTED_VALUE"""),2507.0)</f>
        <v>2507</v>
      </c>
      <c r="E83" s="2">
        <f>IFERROR(__xludf.DUMMYFUNCTION("""COMPUTED_VALUE"""),2527.0)</f>
        <v>2527</v>
      </c>
      <c r="F83" s="2">
        <f>IFERROR(__xludf.DUMMYFUNCTION("""COMPUTED_VALUE"""),2.75006615E8)</f>
        <v>275006615</v>
      </c>
      <c r="G83" s="2">
        <f t="shared" si="1"/>
        <v>117</v>
      </c>
    </row>
    <row r="84" ht="15.75" customHeight="1">
      <c r="A84" s="1">
        <f>IFERROR(__xludf.DUMMYFUNCTION("""COMPUTED_VALUE"""),43950.66666666667)</f>
        <v>43950.66667</v>
      </c>
      <c r="B84" s="2">
        <f>IFERROR(__xludf.DUMMYFUNCTION("""COMPUTED_VALUE"""),2537.0)</f>
        <v>2537</v>
      </c>
      <c r="C84" s="2">
        <f>IFERROR(__xludf.DUMMYFUNCTION("""COMPUTED_VALUE"""),2556.0)</f>
        <v>2556</v>
      </c>
      <c r="D84" s="2">
        <f>IFERROR(__xludf.DUMMYFUNCTION("""COMPUTED_VALUE"""),2498.0)</f>
        <v>2498</v>
      </c>
      <c r="E84" s="2">
        <f>IFERROR(__xludf.DUMMYFUNCTION("""COMPUTED_VALUE"""),2517.0)</f>
        <v>2517</v>
      </c>
      <c r="F84" s="2">
        <f>IFERROR(__xludf.DUMMYFUNCTION("""COMPUTED_VALUE"""),2.14367248E8)</f>
        <v>214367248</v>
      </c>
      <c r="G84" s="2">
        <f t="shared" si="1"/>
        <v>58</v>
      </c>
    </row>
    <row r="85" ht="15.75" customHeight="1">
      <c r="A85" s="1">
        <f>IFERROR(__xludf.DUMMYFUNCTION("""COMPUTED_VALUE"""),43951.66666666667)</f>
        <v>43951.66667</v>
      </c>
      <c r="B85" s="2">
        <f>IFERROR(__xludf.DUMMYFUNCTION("""COMPUTED_VALUE"""),2556.0)</f>
        <v>2556</v>
      </c>
      <c r="C85" s="2">
        <f>IFERROR(__xludf.DUMMYFUNCTION("""COMPUTED_VALUE"""),2673.0)</f>
        <v>2673</v>
      </c>
      <c r="D85" s="2">
        <f>IFERROR(__xludf.DUMMYFUNCTION("""COMPUTED_VALUE"""),2546.0)</f>
        <v>2546</v>
      </c>
      <c r="E85" s="2">
        <f>IFERROR(__xludf.DUMMYFUNCTION("""COMPUTED_VALUE"""),2663.0)</f>
        <v>2663</v>
      </c>
      <c r="F85" s="2">
        <f>IFERROR(__xludf.DUMMYFUNCTION("""COMPUTED_VALUE"""),4.42880776E8)</f>
        <v>442880776</v>
      </c>
      <c r="G85" s="2">
        <f t="shared" si="1"/>
        <v>156</v>
      </c>
    </row>
    <row r="86" ht="15.75" customHeight="1">
      <c r="A86" s="1">
        <f>IFERROR(__xludf.DUMMYFUNCTION("""COMPUTED_VALUE"""),43955.66666666667)</f>
        <v>43955.66667</v>
      </c>
      <c r="B86" s="2">
        <f>IFERROR(__xludf.DUMMYFUNCTION("""COMPUTED_VALUE"""),2605.0)</f>
        <v>2605</v>
      </c>
      <c r="C86" s="2">
        <f>IFERROR(__xludf.DUMMYFUNCTION("""COMPUTED_VALUE"""),2615.0)</f>
        <v>2615</v>
      </c>
      <c r="D86" s="2">
        <f>IFERROR(__xludf.DUMMYFUNCTION("""COMPUTED_VALUE"""),2537.0)</f>
        <v>2537</v>
      </c>
      <c r="E86" s="2">
        <f>IFERROR(__xludf.DUMMYFUNCTION("""COMPUTED_VALUE"""),2566.0)</f>
        <v>2566</v>
      </c>
      <c r="F86" s="2">
        <f>IFERROR(__xludf.DUMMYFUNCTION("""COMPUTED_VALUE"""),2.05626446E8)</f>
        <v>205626446</v>
      </c>
      <c r="G86" s="2">
        <f t="shared" si="1"/>
        <v>126</v>
      </c>
    </row>
    <row r="87" ht="15.75" customHeight="1">
      <c r="A87" s="1">
        <f>IFERROR(__xludf.DUMMYFUNCTION("""COMPUTED_VALUE"""),43956.66666666667)</f>
        <v>43956.66667</v>
      </c>
      <c r="B87" s="2">
        <f>IFERROR(__xludf.DUMMYFUNCTION("""COMPUTED_VALUE"""),2566.0)</f>
        <v>2566</v>
      </c>
      <c r="C87" s="2">
        <f>IFERROR(__xludf.DUMMYFUNCTION("""COMPUTED_VALUE"""),2615.0)</f>
        <v>2615</v>
      </c>
      <c r="D87" s="2">
        <f>IFERROR(__xludf.DUMMYFUNCTION("""COMPUTED_VALUE"""),2546.0)</f>
        <v>2546</v>
      </c>
      <c r="E87" s="2">
        <f>IFERROR(__xludf.DUMMYFUNCTION("""COMPUTED_VALUE"""),2566.0)</f>
        <v>2566</v>
      </c>
      <c r="F87" s="2">
        <f>IFERROR(__xludf.DUMMYFUNCTION("""COMPUTED_VALUE"""),1.89382686E8)</f>
        <v>189382686</v>
      </c>
      <c r="G87" s="2">
        <f t="shared" si="1"/>
        <v>69</v>
      </c>
    </row>
    <row r="88" ht="15.75" customHeight="1">
      <c r="A88" s="1">
        <f>IFERROR(__xludf.DUMMYFUNCTION("""COMPUTED_VALUE"""),43957.66666666667)</f>
        <v>43957.66667</v>
      </c>
      <c r="B88" s="2">
        <f>IFERROR(__xludf.DUMMYFUNCTION("""COMPUTED_VALUE"""),2566.0)</f>
        <v>2566</v>
      </c>
      <c r="C88" s="2">
        <f>IFERROR(__xludf.DUMMYFUNCTION("""COMPUTED_VALUE"""),2585.0)</f>
        <v>2585</v>
      </c>
      <c r="D88" s="2">
        <f>IFERROR(__xludf.DUMMYFUNCTION("""COMPUTED_VALUE"""),2537.0)</f>
        <v>2537</v>
      </c>
      <c r="E88" s="2">
        <f>IFERROR(__xludf.DUMMYFUNCTION("""COMPUTED_VALUE"""),2556.0)</f>
        <v>2556</v>
      </c>
      <c r="F88" s="2">
        <f>IFERROR(__xludf.DUMMYFUNCTION("""COMPUTED_VALUE"""),1.77381225E8)</f>
        <v>177381225</v>
      </c>
      <c r="G88" s="2">
        <f t="shared" si="1"/>
        <v>48</v>
      </c>
    </row>
    <row r="89" ht="15.75" customHeight="1">
      <c r="A89" s="1">
        <f>IFERROR(__xludf.DUMMYFUNCTION("""COMPUTED_VALUE"""),43959.66666666667)</f>
        <v>43959.66667</v>
      </c>
      <c r="B89" s="2">
        <f>IFERROR(__xludf.DUMMYFUNCTION("""COMPUTED_VALUE"""),2576.0)</f>
        <v>2576</v>
      </c>
      <c r="C89" s="2">
        <f>IFERROR(__xludf.DUMMYFUNCTION("""COMPUTED_VALUE"""),2595.0)</f>
        <v>2595</v>
      </c>
      <c r="D89" s="2">
        <f>IFERROR(__xludf.DUMMYFUNCTION("""COMPUTED_VALUE"""),2517.0)</f>
        <v>2517</v>
      </c>
      <c r="E89" s="2">
        <f>IFERROR(__xludf.DUMMYFUNCTION("""COMPUTED_VALUE"""),2527.0)</f>
        <v>2527</v>
      </c>
      <c r="F89" s="2">
        <f>IFERROR(__xludf.DUMMYFUNCTION("""COMPUTED_VALUE"""),2.10911405E8)</f>
        <v>210911405</v>
      </c>
      <c r="G89" s="2">
        <f t="shared" si="1"/>
        <v>78</v>
      </c>
    </row>
    <row r="90" ht="15.75" customHeight="1">
      <c r="A90" s="1">
        <f>IFERROR(__xludf.DUMMYFUNCTION("""COMPUTED_VALUE"""),43962.66666666667)</f>
        <v>43962.66667</v>
      </c>
      <c r="B90" s="2">
        <f>IFERROR(__xludf.DUMMYFUNCTION("""COMPUTED_VALUE"""),2566.0)</f>
        <v>2566</v>
      </c>
      <c r="C90" s="2">
        <f>IFERROR(__xludf.DUMMYFUNCTION("""COMPUTED_VALUE"""),2576.0)</f>
        <v>2576</v>
      </c>
      <c r="D90" s="2">
        <f>IFERROR(__xludf.DUMMYFUNCTION("""COMPUTED_VALUE"""),2537.0)</f>
        <v>2537</v>
      </c>
      <c r="E90" s="2">
        <f>IFERROR(__xludf.DUMMYFUNCTION("""COMPUTED_VALUE"""),2556.0)</f>
        <v>2556</v>
      </c>
      <c r="F90" s="2">
        <f>IFERROR(__xludf.DUMMYFUNCTION("""COMPUTED_VALUE"""),1.58465981E8)</f>
        <v>158465981</v>
      </c>
      <c r="G90" s="2">
        <f t="shared" si="1"/>
        <v>49</v>
      </c>
    </row>
    <row r="91" ht="15.75" customHeight="1">
      <c r="A91" s="1">
        <f>IFERROR(__xludf.DUMMYFUNCTION("""COMPUTED_VALUE"""),43963.66666666667)</f>
        <v>43963.66667</v>
      </c>
      <c r="B91" s="2">
        <f>IFERROR(__xludf.DUMMYFUNCTION("""COMPUTED_VALUE"""),2556.0)</f>
        <v>2556</v>
      </c>
      <c r="C91" s="2">
        <f>IFERROR(__xludf.DUMMYFUNCTION("""COMPUTED_VALUE"""),2566.0)</f>
        <v>2566</v>
      </c>
      <c r="D91" s="2">
        <f>IFERROR(__xludf.DUMMYFUNCTION("""COMPUTED_VALUE"""),2410.0)</f>
        <v>2410</v>
      </c>
      <c r="E91" s="2">
        <f>IFERROR(__xludf.DUMMYFUNCTION("""COMPUTED_VALUE"""),2429.0)</f>
        <v>2429</v>
      </c>
      <c r="F91" s="2">
        <f>IFERROR(__xludf.DUMMYFUNCTION("""COMPUTED_VALUE"""),3.77893823E8)</f>
        <v>377893823</v>
      </c>
      <c r="G91" s="2">
        <f t="shared" si="1"/>
        <v>156</v>
      </c>
    </row>
    <row r="92" ht="15.75" customHeight="1">
      <c r="A92" s="1">
        <f>IFERROR(__xludf.DUMMYFUNCTION("""COMPUTED_VALUE"""),43964.66666666667)</f>
        <v>43964.66667</v>
      </c>
      <c r="B92" s="2">
        <f>IFERROR(__xludf.DUMMYFUNCTION("""COMPUTED_VALUE"""),2400.0)</f>
        <v>2400</v>
      </c>
      <c r="C92" s="2">
        <f>IFERROR(__xludf.DUMMYFUNCTION("""COMPUTED_VALUE"""),2459.0)</f>
        <v>2459</v>
      </c>
      <c r="D92" s="2">
        <f>IFERROR(__xludf.DUMMYFUNCTION("""COMPUTED_VALUE"""),2380.0)</f>
        <v>2380</v>
      </c>
      <c r="E92" s="2">
        <f>IFERROR(__xludf.DUMMYFUNCTION("""COMPUTED_VALUE"""),2410.0)</f>
        <v>2410</v>
      </c>
      <c r="F92" s="2">
        <f>IFERROR(__xludf.DUMMYFUNCTION("""COMPUTED_VALUE"""),3.47060929E8)</f>
        <v>347060929</v>
      </c>
      <c r="G92" s="2">
        <f t="shared" si="1"/>
        <v>79</v>
      </c>
    </row>
    <row r="93" ht="15.75" customHeight="1">
      <c r="A93" s="1">
        <f>IFERROR(__xludf.DUMMYFUNCTION("""COMPUTED_VALUE"""),43965.66666666667)</f>
        <v>43965.66667</v>
      </c>
      <c r="B93" s="2">
        <f>IFERROR(__xludf.DUMMYFUNCTION("""COMPUTED_VALUE"""),2380.0)</f>
        <v>2380</v>
      </c>
      <c r="C93" s="2">
        <f>IFERROR(__xludf.DUMMYFUNCTION("""COMPUTED_VALUE"""),2419.0)</f>
        <v>2419</v>
      </c>
      <c r="D93" s="2">
        <f>IFERROR(__xludf.DUMMYFUNCTION("""COMPUTED_VALUE"""),2273.0)</f>
        <v>2273</v>
      </c>
      <c r="E93" s="2">
        <f>IFERROR(__xludf.DUMMYFUNCTION("""COMPUTED_VALUE"""),2293.0)</f>
        <v>2293</v>
      </c>
      <c r="F93" s="2">
        <f>IFERROR(__xludf.DUMMYFUNCTION("""COMPUTED_VALUE"""),4.8202722E8)</f>
        <v>482027220</v>
      </c>
      <c r="G93" s="2">
        <f t="shared" si="1"/>
        <v>146</v>
      </c>
    </row>
    <row r="94" ht="15.75" customHeight="1">
      <c r="A94" s="1">
        <f>IFERROR(__xludf.DUMMYFUNCTION("""COMPUTED_VALUE"""),43966.66666666667)</f>
        <v>43966.66667</v>
      </c>
      <c r="B94" s="2">
        <f>IFERROR(__xludf.DUMMYFUNCTION("""COMPUTED_VALUE"""),2322.0)</f>
        <v>2322</v>
      </c>
      <c r="C94" s="2">
        <f>IFERROR(__xludf.DUMMYFUNCTION("""COMPUTED_VALUE"""),2341.0)</f>
        <v>2341</v>
      </c>
      <c r="D94" s="2">
        <f>IFERROR(__xludf.DUMMYFUNCTION("""COMPUTED_VALUE"""),2156.0)</f>
        <v>2156</v>
      </c>
      <c r="E94" s="2">
        <f>IFERROR(__xludf.DUMMYFUNCTION("""COMPUTED_VALUE"""),2185.0)</f>
        <v>2185</v>
      </c>
      <c r="F94" s="2">
        <f>IFERROR(__xludf.DUMMYFUNCTION("""COMPUTED_VALUE"""),6.09531682E8)</f>
        <v>609531682</v>
      </c>
      <c r="G94" s="2">
        <f t="shared" si="1"/>
        <v>185</v>
      </c>
    </row>
    <row r="95" ht="15.75" customHeight="1">
      <c r="A95" s="1">
        <f>IFERROR(__xludf.DUMMYFUNCTION("""COMPUTED_VALUE"""),43969.66666666667)</f>
        <v>43969.66667</v>
      </c>
      <c r="B95" s="2">
        <f>IFERROR(__xludf.DUMMYFUNCTION("""COMPUTED_VALUE"""),2195.0)</f>
        <v>2195</v>
      </c>
      <c r="C95" s="2">
        <f>IFERROR(__xludf.DUMMYFUNCTION("""COMPUTED_VALUE"""),2215.0)</f>
        <v>2215</v>
      </c>
      <c r="D95" s="2">
        <f>IFERROR(__xludf.DUMMYFUNCTION("""COMPUTED_VALUE"""),2107.0)</f>
        <v>2107</v>
      </c>
      <c r="E95" s="2">
        <f>IFERROR(__xludf.DUMMYFUNCTION("""COMPUTED_VALUE"""),2117.0)</f>
        <v>2117</v>
      </c>
      <c r="F95" s="2">
        <f>IFERROR(__xludf.DUMMYFUNCTION("""COMPUTED_VALUE"""),4.66854453E8)</f>
        <v>466854453</v>
      </c>
      <c r="G95" s="2">
        <f t="shared" si="1"/>
        <v>108</v>
      </c>
    </row>
    <row r="96" ht="15.75" customHeight="1">
      <c r="A96" s="1">
        <f>IFERROR(__xludf.DUMMYFUNCTION("""COMPUTED_VALUE"""),43970.66666666667)</f>
        <v>43970.66667</v>
      </c>
      <c r="B96" s="2">
        <f>IFERROR(__xludf.DUMMYFUNCTION("""COMPUTED_VALUE"""),2195.0)</f>
        <v>2195</v>
      </c>
      <c r="C96" s="2">
        <f>IFERROR(__xludf.DUMMYFUNCTION("""COMPUTED_VALUE"""),2361.0)</f>
        <v>2361</v>
      </c>
      <c r="D96" s="2">
        <f>IFERROR(__xludf.DUMMYFUNCTION("""COMPUTED_VALUE"""),2195.0)</f>
        <v>2195</v>
      </c>
      <c r="E96" s="2">
        <f>IFERROR(__xludf.DUMMYFUNCTION("""COMPUTED_VALUE"""),2312.0)</f>
        <v>2312</v>
      </c>
      <c r="F96" s="2">
        <f>IFERROR(__xludf.DUMMYFUNCTION("""COMPUTED_VALUE"""),5.4459899E8)</f>
        <v>544598990</v>
      </c>
      <c r="G96" s="2">
        <f t="shared" si="1"/>
        <v>244</v>
      </c>
    </row>
    <row r="97" ht="15.75" customHeight="1">
      <c r="A97" s="1">
        <f>IFERROR(__xludf.DUMMYFUNCTION("""COMPUTED_VALUE"""),43971.66666666667)</f>
        <v>43971.66667</v>
      </c>
      <c r="B97" s="2">
        <f>IFERROR(__xludf.DUMMYFUNCTION("""COMPUTED_VALUE"""),2302.0)</f>
        <v>2302</v>
      </c>
      <c r="C97" s="2">
        <f>IFERROR(__xludf.DUMMYFUNCTION("""COMPUTED_VALUE"""),2439.0)</f>
        <v>2439</v>
      </c>
      <c r="D97" s="2">
        <f>IFERROR(__xludf.DUMMYFUNCTION("""COMPUTED_VALUE"""),2263.0)</f>
        <v>2263</v>
      </c>
      <c r="E97" s="2">
        <f>IFERROR(__xludf.DUMMYFUNCTION("""COMPUTED_VALUE"""),2419.0)</f>
        <v>2419</v>
      </c>
      <c r="F97" s="2">
        <f>IFERROR(__xludf.DUMMYFUNCTION("""COMPUTED_VALUE"""),4.04260388E8)</f>
        <v>404260388</v>
      </c>
      <c r="G97" s="2">
        <f t="shared" si="1"/>
        <v>176</v>
      </c>
    </row>
    <row r="98" ht="15.75" customHeight="1">
      <c r="A98" s="1">
        <f>IFERROR(__xludf.DUMMYFUNCTION("""COMPUTED_VALUE"""),43977.66666666667)</f>
        <v>43977.66667</v>
      </c>
      <c r="B98" s="2">
        <f>IFERROR(__xludf.DUMMYFUNCTION("""COMPUTED_VALUE"""),2488.0)</f>
        <v>2488</v>
      </c>
      <c r="C98" s="2">
        <f>IFERROR(__xludf.DUMMYFUNCTION("""COMPUTED_VALUE"""),2488.0)</f>
        <v>2488</v>
      </c>
      <c r="D98" s="2">
        <f>IFERROR(__xludf.DUMMYFUNCTION("""COMPUTED_VALUE"""),2410.0)</f>
        <v>2410</v>
      </c>
      <c r="E98" s="2">
        <f>IFERROR(__xludf.DUMMYFUNCTION("""COMPUTED_VALUE"""),2459.0)</f>
        <v>2459</v>
      </c>
      <c r="F98" s="2">
        <f>IFERROR(__xludf.DUMMYFUNCTION("""COMPUTED_VALUE"""),4.1420441E8)</f>
        <v>414204410</v>
      </c>
      <c r="G98" s="2">
        <f t="shared" si="1"/>
        <v>78</v>
      </c>
    </row>
    <row r="99" ht="15.75" customHeight="1">
      <c r="A99" s="1">
        <f>IFERROR(__xludf.DUMMYFUNCTION("""COMPUTED_VALUE"""),43978.66666666667)</f>
        <v>43978.66667</v>
      </c>
      <c r="B99" s="2">
        <f>IFERROR(__xludf.DUMMYFUNCTION("""COMPUTED_VALUE"""),2478.0)</f>
        <v>2478</v>
      </c>
      <c r="C99" s="2">
        <f>IFERROR(__xludf.DUMMYFUNCTION("""COMPUTED_VALUE"""),2566.0)</f>
        <v>2566</v>
      </c>
      <c r="D99" s="2">
        <f>IFERROR(__xludf.DUMMYFUNCTION("""COMPUTED_VALUE"""),2459.0)</f>
        <v>2459</v>
      </c>
      <c r="E99" s="2">
        <f>IFERROR(__xludf.DUMMYFUNCTION("""COMPUTED_VALUE"""),2566.0)</f>
        <v>2566</v>
      </c>
      <c r="F99" s="2">
        <f>IFERROR(__xludf.DUMMYFUNCTION("""COMPUTED_VALUE"""),4.43638356E8)</f>
        <v>443638356</v>
      </c>
      <c r="G99" s="2">
        <f t="shared" si="1"/>
        <v>107</v>
      </c>
    </row>
    <row r="100" ht="15.75" customHeight="1">
      <c r="A100" s="1">
        <f>IFERROR(__xludf.DUMMYFUNCTION("""COMPUTED_VALUE"""),43979.66666666667)</f>
        <v>43979.66667</v>
      </c>
      <c r="B100" s="2">
        <f>IFERROR(__xludf.DUMMYFUNCTION("""COMPUTED_VALUE"""),2576.0)</f>
        <v>2576</v>
      </c>
      <c r="C100" s="2">
        <f>IFERROR(__xludf.DUMMYFUNCTION("""COMPUTED_VALUE"""),2712.0)</f>
        <v>2712</v>
      </c>
      <c r="D100" s="2">
        <f>IFERROR(__xludf.DUMMYFUNCTION("""COMPUTED_VALUE"""),2576.0)</f>
        <v>2576</v>
      </c>
      <c r="E100" s="2">
        <f>IFERROR(__xludf.DUMMYFUNCTION("""COMPUTED_VALUE"""),2663.0)</f>
        <v>2663</v>
      </c>
      <c r="F100" s="2">
        <f>IFERROR(__xludf.DUMMYFUNCTION("""COMPUTED_VALUE"""),4.64731333E8)</f>
        <v>464731333</v>
      </c>
      <c r="G100" s="2">
        <f t="shared" si="1"/>
        <v>146</v>
      </c>
    </row>
    <row r="101" ht="15.75" customHeight="1">
      <c r="A101" s="1">
        <f>IFERROR(__xludf.DUMMYFUNCTION("""COMPUTED_VALUE"""),43980.66666666667)</f>
        <v>43980.66667</v>
      </c>
      <c r="B101" s="2">
        <f>IFERROR(__xludf.DUMMYFUNCTION("""COMPUTED_VALUE"""),2634.0)</f>
        <v>2634</v>
      </c>
      <c r="C101" s="2">
        <f>IFERROR(__xludf.DUMMYFUNCTION("""COMPUTED_VALUE"""),2878.0)</f>
        <v>2878</v>
      </c>
      <c r="D101" s="2">
        <f>IFERROR(__xludf.DUMMYFUNCTION("""COMPUTED_VALUE"""),2634.0)</f>
        <v>2634</v>
      </c>
      <c r="E101" s="2">
        <f>IFERROR(__xludf.DUMMYFUNCTION("""COMPUTED_VALUE"""),2878.0)</f>
        <v>2878</v>
      </c>
      <c r="F101" s="2">
        <f>IFERROR(__xludf.DUMMYFUNCTION("""COMPUTED_VALUE"""),8.94432638E8)</f>
        <v>894432638</v>
      </c>
      <c r="G101" s="2">
        <f t="shared" si="1"/>
        <v>244</v>
      </c>
    </row>
    <row r="102" ht="15.75" customHeight="1">
      <c r="A102" s="1">
        <f>IFERROR(__xludf.DUMMYFUNCTION("""COMPUTED_VALUE"""),43984.66666666667)</f>
        <v>43984.66667</v>
      </c>
      <c r="B102" s="2">
        <f>IFERROR(__xludf.DUMMYFUNCTION("""COMPUTED_VALUE"""),2878.0)</f>
        <v>2878</v>
      </c>
      <c r="C102" s="2">
        <f>IFERROR(__xludf.DUMMYFUNCTION("""COMPUTED_VALUE"""),3210.0)</f>
        <v>3210</v>
      </c>
      <c r="D102" s="2">
        <f>IFERROR(__xludf.DUMMYFUNCTION("""COMPUTED_VALUE"""),2878.0)</f>
        <v>2878</v>
      </c>
      <c r="E102" s="2">
        <f>IFERROR(__xludf.DUMMYFUNCTION("""COMPUTED_VALUE"""),3102.0)</f>
        <v>3102</v>
      </c>
      <c r="F102" s="2">
        <f>IFERROR(__xludf.DUMMYFUNCTION("""COMPUTED_VALUE"""),4.79152766E8)</f>
        <v>479152766</v>
      </c>
      <c r="G102" s="2">
        <f t="shared" si="1"/>
        <v>332</v>
      </c>
    </row>
    <row r="103" ht="15.75" customHeight="1">
      <c r="A103" s="1">
        <f>IFERROR(__xludf.DUMMYFUNCTION("""COMPUTED_VALUE"""),43985.66666666667)</f>
        <v>43985.66667</v>
      </c>
      <c r="B103" s="2">
        <f>IFERROR(__xludf.DUMMYFUNCTION("""COMPUTED_VALUE"""),3122.0)</f>
        <v>3122</v>
      </c>
      <c r="C103" s="2">
        <f>IFERROR(__xludf.DUMMYFUNCTION("""COMPUTED_VALUE"""),3200.0)</f>
        <v>3200</v>
      </c>
      <c r="D103" s="2">
        <f>IFERROR(__xludf.DUMMYFUNCTION("""COMPUTED_VALUE"""),2937.0)</f>
        <v>2937</v>
      </c>
      <c r="E103" s="2">
        <f>IFERROR(__xludf.DUMMYFUNCTION("""COMPUTED_VALUE"""),3024.0)</f>
        <v>3024</v>
      </c>
      <c r="F103" s="2">
        <f>IFERROR(__xludf.DUMMYFUNCTION("""COMPUTED_VALUE"""),4.49056568E8)</f>
        <v>449056568</v>
      </c>
      <c r="G103" s="2">
        <f t="shared" si="1"/>
        <v>263</v>
      </c>
    </row>
    <row r="104" ht="15.75" customHeight="1">
      <c r="A104" s="1">
        <f>IFERROR(__xludf.DUMMYFUNCTION("""COMPUTED_VALUE"""),43986.66666666667)</f>
        <v>43986.66667</v>
      </c>
      <c r="B104" s="2">
        <f>IFERROR(__xludf.DUMMYFUNCTION("""COMPUTED_VALUE"""),3044.0)</f>
        <v>3044</v>
      </c>
      <c r="C104" s="2">
        <f>IFERROR(__xludf.DUMMYFUNCTION("""COMPUTED_VALUE"""),3122.0)</f>
        <v>3122</v>
      </c>
      <c r="D104" s="2">
        <f>IFERROR(__xludf.DUMMYFUNCTION("""COMPUTED_VALUE"""),2956.0)</f>
        <v>2956</v>
      </c>
      <c r="E104" s="2">
        <f>IFERROR(__xludf.DUMMYFUNCTION("""COMPUTED_VALUE"""),2985.0)</f>
        <v>2985</v>
      </c>
      <c r="F104" s="2">
        <f>IFERROR(__xludf.DUMMYFUNCTION("""COMPUTED_VALUE"""),2.56399691E8)</f>
        <v>256399691</v>
      </c>
      <c r="G104" s="2">
        <f t="shared" si="1"/>
        <v>166</v>
      </c>
    </row>
    <row r="105" ht="15.75" customHeight="1">
      <c r="A105" s="1">
        <f>IFERROR(__xludf.DUMMYFUNCTION("""COMPUTED_VALUE"""),43987.66666666667)</f>
        <v>43987.66667</v>
      </c>
      <c r="B105" s="2">
        <f>IFERROR(__xludf.DUMMYFUNCTION("""COMPUTED_VALUE"""),2995.0)</f>
        <v>2995</v>
      </c>
      <c r="C105" s="2">
        <f>IFERROR(__xludf.DUMMYFUNCTION("""COMPUTED_VALUE"""),3054.0)</f>
        <v>3054</v>
      </c>
      <c r="D105" s="2">
        <f>IFERROR(__xludf.DUMMYFUNCTION("""COMPUTED_VALUE"""),2888.0)</f>
        <v>2888</v>
      </c>
      <c r="E105" s="2">
        <f>IFERROR(__xludf.DUMMYFUNCTION("""COMPUTED_VALUE"""),3034.0)</f>
        <v>3034</v>
      </c>
      <c r="F105" s="2">
        <f>IFERROR(__xludf.DUMMYFUNCTION("""COMPUTED_VALUE"""),2.7408135E8)</f>
        <v>274081350</v>
      </c>
      <c r="G105" s="2">
        <f t="shared" si="1"/>
        <v>166</v>
      </c>
    </row>
    <row r="106" ht="15.75" customHeight="1">
      <c r="A106" s="1">
        <f>IFERROR(__xludf.DUMMYFUNCTION("""COMPUTED_VALUE"""),43990.66666666667)</f>
        <v>43990.66667</v>
      </c>
      <c r="B106" s="2">
        <f>IFERROR(__xludf.DUMMYFUNCTION("""COMPUTED_VALUE"""),3102.0)</f>
        <v>3102</v>
      </c>
      <c r="C106" s="2">
        <f>IFERROR(__xludf.DUMMYFUNCTION("""COMPUTED_VALUE"""),3288.0)</f>
        <v>3288</v>
      </c>
      <c r="D106" s="2">
        <f>IFERROR(__xludf.DUMMYFUNCTION("""COMPUTED_VALUE"""),3093.0)</f>
        <v>3093</v>
      </c>
      <c r="E106" s="2">
        <f>IFERROR(__xludf.DUMMYFUNCTION("""COMPUTED_VALUE"""),3219.0)</f>
        <v>3219</v>
      </c>
      <c r="F106" s="2">
        <f>IFERROR(__xludf.DUMMYFUNCTION("""COMPUTED_VALUE"""),3.93944864E8)</f>
        <v>393944864</v>
      </c>
      <c r="G106" s="2">
        <f t="shared" si="1"/>
        <v>254</v>
      </c>
    </row>
    <row r="107" ht="15.75" customHeight="1">
      <c r="A107" s="1">
        <f>IFERROR(__xludf.DUMMYFUNCTION("""COMPUTED_VALUE"""),43991.66666666667)</f>
        <v>43991.66667</v>
      </c>
      <c r="B107" s="2">
        <f>IFERROR(__xludf.DUMMYFUNCTION("""COMPUTED_VALUE"""),3268.0)</f>
        <v>3268</v>
      </c>
      <c r="C107" s="2">
        <f>IFERROR(__xludf.DUMMYFUNCTION("""COMPUTED_VALUE"""),3278.0)</f>
        <v>3278</v>
      </c>
      <c r="D107" s="2">
        <f>IFERROR(__xludf.DUMMYFUNCTION("""COMPUTED_VALUE"""),3132.0)</f>
        <v>3132</v>
      </c>
      <c r="E107" s="2">
        <f>IFERROR(__xludf.DUMMYFUNCTION("""COMPUTED_VALUE"""),3132.0)</f>
        <v>3132</v>
      </c>
      <c r="F107" s="2">
        <f>IFERROR(__xludf.DUMMYFUNCTION("""COMPUTED_VALUE"""),2.608628E8)</f>
        <v>260862800</v>
      </c>
      <c r="G107" s="2">
        <f t="shared" si="1"/>
        <v>146</v>
      </c>
    </row>
    <row r="108" ht="15.75" customHeight="1">
      <c r="A108" s="1">
        <f>IFERROR(__xludf.DUMMYFUNCTION("""COMPUTED_VALUE"""),43992.66666666667)</f>
        <v>43992.66667</v>
      </c>
      <c r="B108" s="2">
        <f>IFERROR(__xludf.DUMMYFUNCTION("""COMPUTED_VALUE"""),3102.0)</f>
        <v>3102</v>
      </c>
      <c r="C108" s="2">
        <f>IFERROR(__xludf.DUMMYFUNCTION("""COMPUTED_VALUE"""),3102.0)</f>
        <v>3102</v>
      </c>
      <c r="D108" s="2">
        <f>IFERROR(__xludf.DUMMYFUNCTION("""COMPUTED_VALUE"""),2927.0)</f>
        <v>2927</v>
      </c>
      <c r="E108" s="2">
        <f>IFERROR(__xludf.DUMMYFUNCTION("""COMPUTED_VALUE"""),2956.0)</f>
        <v>2956</v>
      </c>
      <c r="F108" s="2">
        <f>IFERROR(__xludf.DUMMYFUNCTION("""COMPUTED_VALUE"""),4.54317215E8)</f>
        <v>454317215</v>
      </c>
      <c r="G108" s="2">
        <f t="shared" si="1"/>
        <v>205</v>
      </c>
    </row>
    <row r="109" ht="15.75" customHeight="1">
      <c r="A109" s="1">
        <f>IFERROR(__xludf.DUMMYFUNCTION("""COMPUTED_VALUE"""),43993.66666666667)</f>
        <v>43993.66667</v>
      </c>
      <c r="B109" s="2">
        <f>IFERROR(__xludf.DUMMYFUNCTION("""COMPUTED_VALUE"""),3054.0)</f>
        <v>3054</v>
      </c>
      <c r="C109" s="2">
        <f>IFERROR(__xludf.DUMMYFUNCTION("""COMPUTED_VALUE"""),3054.0)</f>
        <v>3054</v>
      </c>
      <c r="D109" s="2">
        <f>IFERROR(__xludf.DUMMYFUNCTION("""COMPUTED_VALUE"""),2829.0)</f>
        <v>2829</v>
      </c>
      <c r="E109" s="2">
        <f>IFERROR(__xludf.DUMMYFUNCTION("""COMPUTED_VALUE"""),2898.0)</f>
        <v>2898</v>
      </c>
      <c r="F109" s="2">
        <f>IFERROR(__xludf.DUMMYFUNCTION("""COMPUTED_VALUE"""),3.81660548E8)</f>
        <v>381660548</v>
      </c>
      <c r="G109" s="2">
        <f t="shared" si="1"/>
        <v>225</v>
      </c>
    </row>
    <row r="110" ht="15.75" customHeight="1">
      <c r="A110" s="1">
        <f>IFERROR(__xludf.DUMMYFUNCTION("""COMPUTED_VALUE"""),43994.66666666667)</f>
        <v>43994.66667</v>
      </c>
      <c r="B110" s="2">
        <f>IFERROR(__xludf.DUMMYFUNCTION("""COMPUTED_VALUE"""),2829.0)</f>
        <v>2829</v>
      </c>
      <c r="C110" s="2">
        <f>IFERROR(__xludf.DUMMYFUNCTION("""COMPUTED_VALUE"""),2966.0)</f>
        <v>2966</v>
      </c>
      <c r="D110" s="2">
        <f>IFERROR(__xludf.DUMMYFUNCTION("""COMPUTED_VALUE"""),2732.0)</f>
        <v>2732</v>
      </c>
      <c r="E110" s="2">
        <f>IFERROR(__xludf.DUMMYFUNCTION("""COMPUTED_VALUE"""),2956.0)</f>
        <v>2956</v>
      </c>
      <c r="F110" s="2">
        <f>IFERROR(__xludf.DUMMYFUNCTION("""COMPUTED_VALUE"""),4.83937073E8)</f>
        <v>483937073</v>
      </c>
      <c r="G110" s="2">
        <f t="shared" si="1"/>
        <v>234</v>
      </c>
    </row>
    <row r="111" ht="15.75" customHeight="1">
      <c r="A111" s="1">
        <f>IFERROR(__xludf.DUMMYFUNCTION("""COMPUTED_VALUE"""),43997.66666666667)</f>
        <v>43997.66667</v>
      </c>
      <c r="B111" s="2">
        <f>IFERROR(__xludf.DUMMYFUNCTION("""COMPUTED_VALUE"""),2966.0)</f>
        <v>2966</v>
      </c>
      <c r="C111" s="2">
        <f>IFERROR(__xludf.DUMMYFUNCTION("""COMPUTED_VALUE"""),2976.0)</f>
        <v>2976</v>
      </c>
      <c r="D111" s="2">
        <f>IFERROR(__xludf.DUMMYFUNCTION("""COMPUTED_VALUE"""),2819.0)</f>
        <v>2819</v>
      </c>
      <c r="E111" s="2">
        <f>IFERROR(__xludf.DUMMYFUNCTION("""COMPUTED_VALUE"""),2829.0)</f>
        <v>2829</v>
      </c>
      <c r="F111" s="2">
        <f>IFERROR(__xludf.DUMMYFUNCTION("""COMPUTED_VALUE"""),2.36538553E8)</f>
        <v>236538553</v>
      </c>
      <c r="G111" s="2">
        <f t="shared" si="1"/>
        <v>157</v>
      </c>
    </row>
    <row r="112" ht="15.75" customHeight="1">
      <c r="A112" s="1">
        <f>IFERROR(__xludf.DUMMYFUNCTION("""COMPUTED_VALUE"""),43998.66666666667)</f>
        <v>43998.66667</v>
      </c>
      <c r="B112" s="2">
        <f>IFERROR(__xludf.DUMMYFUNCTION("""COMPUTED_VALUE"""),2898.0)</f>
        <v>2898</v>
      </c>
      <c r="C112" s="2">
        <f>IFERROR(__xludf.DUMMYFUNCTION("""COMPUTED_VALUE"""),3073.0)</f>
        <v>3073</v>
      </c>
      <c r="D112" s="2">
        <f>IFERROR(__xludf.DUMMYFUNCTION("""COMPUTED_VALUE"""),2888.0)</f>
        <v>2888</v>
      </c>
      <c r="E112" s="2">
        <f>IFERROR(__xludf.DUMMYFUNCTION("""COMPUTED_VALUE"""),3054.0)</f>
        <v>3054</v>
      </c>
      <c r="F112" s="2">
        <f>IFERROR(__xludf.DUMMYFUNCTION("""COMPUTED_VALUE"""),3.47152955E8)</f>
        <v>347152955</v>
      </c>
      <c r="G112" s="2">
        <f t="shared" si="1"/>
        <v>244</v>
      </c>
    </row>
    <row r="113" ht="15.75" customHeight="1">
      <c r="A113" s="1">
        <f>IFERROR(__xludf.DUMMYFUNCTION("""COMPUTED_VALUE"""),43999.66666666667)</f>
        <v>43999.66667</v>
      </c>
      <c r="B113" s="2">
        <f>IFERROR(__xludf.DUMMYFUNCTION("""COMPUTED_VALUE"""),3122.0)</f>
        <v>3122</v>
      </c>
      <c r="C113" s="2">
        <f>IFERROR(__xludf.DUMMYFUNCTION("""COMPUTED_VALUE"""),3122.0)</f>
        <v>3122</v>
      </c>
      <c r="D113" s="2">
        <f>IFERROR(__xludf.DUMMYFUNCTION("""COMPUTED_VALUE"""),3005.0)</f>
        <v>3005</v>
      </c>
      <c r="E113" s="2">
        <f>IFERROR(__xludf.DUMMYFUNCTION("""COMPUTED_VALUE"""),3024.0)</f>
        <v>3024</v>
      </c>
      <c r="F113" s="2">
        <f>IFERROR(__xludf.DUMMYFUNCTION("""COMPUTED_VALUE"""),2.23637853E8)</f>
        <v>223637853</v>
      </c>
      <c r="G113" s="2">
        <f t="shared" si="1"/>
        <v>117</v>
      </c>
    </row>
    <row r="114" ht="15.75" customHeight="1">
      <c r="A114" s="1">
        <f>IFERROR(__xludf.DUMMYFUNCTION("""COMPUTED_VALUE"""),44000.66666666667)</f>
        <v>44000.66667</v>
      </c>
      <c r="B114" s="2">
        <f>IFERROR(__xludf.DUMMYFUNCTION("""COMPUTED_VALUE"""),2976.0)</f>
        <v>2976</v>
      </c>
      <c r="C114" s="2">
        <f>IFERROR(__xludf.DUMMYFUNCTION("""COMPUTED_VALUE"""),3044.0)</f>
        <v>3044</v>
      </c>
      <c r="D114" s="2">
        <f>IFERROR(__xludf.DUMMYFUNCTION("""COMPUTED_VALUE"""),2966.0)</f>
        <v>2966</v>
      </c>
      <c r="E114" s="2">
        <f>IFERROR(__xludf.DUMMYFUNCTION("""COMPUTED_VALUE"""),2976.0)</f>
        <v>2976</v>
      </c>
      <c r="F114" s="2">
        <f>IFERROR(__xludf.DUMMYFUNCTION("""COMPUTED_VALUE"""),1.3421769E8)</f>
        <v>134217690</v>
      </c>
      <c r="G114" s="2">
        <f t="shared" si="1"/>
        <v>78</v>
      </c>
    </row>
    <row r="115" ht="15.75" customHeight="1">
      <c r="A115" s="1">
        <f>IFERROR(__xludf.DUMMYFUNCTION("""COMPUTED_VALUE"""),44001.66666666667)</f>
        <v>44001.66667</v>
      </c>
      <c r="B115" s="2">
        <f>IFERROR(__xludf.DUMMYFUNCTION("""COMPUTED_VALUE"""),3005.0)</f>
        <v>3005</v>
      </c>
      <c r="C115" s="2">
        <f>IFERROR(__xludf.DUMMYFUNCTION("""COMPUTED_VALUE"""),3034.0)</f>
        <v>3034</v>
      </c>
      <c r="D115" s="2">
        <f>IFERROR(__xludf.DUMMYFUNCTION("""COMPUTED_VALUE"""),2985.0)</f>
        <v>2985</v>
      </c>
      <c r="E115" s="2">
        <f>IFERROR(__xludf.DUMMYFUNCTION("""COMPUTED_VALUE"""),3024.0)</f>
        <v>3024</v>
      </c>
      <c r="F115" s="2">
        <f>IFERROR(__xludf.DUMMYFUNCTION("""COMPUTED_VALUE"""),1.71107241E8)</f>
        <v>171107241</v>
      </c>
      <c r="G115" s="2">
        <f t="shared" si="1"/>
        <v>58</v>
      </c>
    </row>
    <row r="116" ht="15.75" customHeight="1">
      <c r="A116" s="1">
        <f>IFERROR(__xludf.DUMMYFUNCTION("""COMPUTED_VALUE"""),44004.66666666667)</f>
        <v>44004.66667</v>
      </c>
      <c r="B116" s="2">
        <f>IFERROR(__xludf.DUMMYFUNCTION("""COMPUTED_VALUE"""),3024.0)</f>
        <v>3024</v>
      </c>
      <c r="C116" s="2">
        <f>IFERROR(__xludf.DUMMYFUNCTION("""COMPUTED_VALUE"""),3034.0)</f>
        <v>3034</v>
      </c>
      <c r="D116" s="2">
        <f>IFERROR(__xludf.DUMMYFUNCTION("""COMPUTED_VALUE"""),2956.0)</f>
        <v>2956</v>
      </c>
      <c r="E116" s="2">
        <f>IFERROR(__xludf.DUMMYFUNCTION("""COMPUTED_VALUE"""),2985.0)</f>
        <v>2985</v>
      </c>
      <c r="F116" s="2">
        <f>IFERROR(__xludf.DUMMYFUNCTION("""COMPUTED_VALUE"""),9.7762534E7)</f>
        <v>97762534</v>
      </c>
      <c r="G116" s="2">
        <f t="shared" si="1"/>
        <v>78</v>
      </c>
    </row>
    <row r="117" ht="15.75" customHeight="1">
      <c r="A117" s="1">
        <f>IFERROR(__xludf.DUMMYFUNCTION("""COMPUTED_VALUE"""),44005.66666666667)</f>
        <v>44005.66667</v>
      </c>
      <c r="B117" s="2">
        <f>IFERROR(__xludf.DUMMYFUNCTION("""COMPUTED_VALUE"""),2946.0)</f>
        <v>2946</v>
      </c>
      <c r="C117" s="2">
        <f>IFERROR(__xludf.DUMMYFUNCTION("""COMPUTED_VALUE"""),2985.0)</f>
        <v>2985</v>
      </c>
      <c r="D117" s="2">
        <f>IFERROR(__xludf.DUMMYFUNCTION("""COMPUTED_VALUE"""),2907.0)</f>
        <v>2907</v>
      </c>
      <c r="E117" s="2">
        <f>IFERROR(__xludf.DUMMYFUNCTION("""COMPUTED_VALUE"""),2937.0)</f>
        <v>2937</v>
      </c>
      <c r="F117" s="2">
        <f>IFERROR(__xludf.DUMMYFUNCTION("""COMPUTED_VALUE"""),1.7570903E8)</f>
        <v>175709030</v>
      </c>
      <c r="G117" s="2">
        <f t="shared" si="1"/>
        <v>78</v>
      </c>
    </row>
    <row r="118" ht="15.75" customHeight="1">
      <c r="A118" s="1">
        <f>IFERROR(__xludf.DUMMYFUNCTION("""COMPUTED_VALUE"""),44006.66666666667)</f>
        <v>44006.66667</v>
      </c>
      <c r="B118" s="2">
        <f>IFERROR(__xludf.DUMMYFUNCTION("""COMPUTED_VALUE"""),2976.0)</f>
        <v>2976</v>
      </c>
      <c r="C118" s="2">
        <f>IFERROR(__xludf.DUMMYFUNCTION("""COMPUTED_VALUE"""),3063.0)</f>
        <v>3063</v>
      </c>
      <c r="D118" s="2">
        <f>IFERROR(__xludf.DUMMYFUNCTION("""COMPUTED_VALUE"""),2937.0)</f>
        <v>2937</v>
      </c>
      <c r="E118" s="2">
        <f>IFERROR(__xludf.DUMMYFUNCTION("""COMPUTED_VALUE"""),3044.0)</f>
        <v>3044</v>
      </c>
      <c r="F118" s="2">
        <f>IFERROR(__xludf.DUMMYFUNCTION("""COMPUTED_VALUE"""),3.16199974E8)</f>
        <v>316199974</v>
      </c>
      <c r="G118" s="2">
        <f t="shared" si="1"/>
        <v>126</v>
      </c>
    </row>
    <row r="119" ht="15.75" customHeight="1">
      <c r="A119" s="1">
        <f>IFERROR(__xludf.DUMMYFUNCTION("""COMPUTED_VALUE"""),44007.66666666667)</f>
        <v>44007.66667</v>
      </c>
      <c r="B119" s="2">
        <f>IFERROR(__xludf.DUMMYFUNCTION("""COMPUTED_VALUE"""),3024.0)</f>
        <v>3024</v>
      </c>
      <c r="C119" s="2">
        <f>IFERROR(__xludf.DUMMYFUNCTION("""COMPUTED_VALUE"""),3034.0)</f>
        <v>3034</v>
      </c>
      <c r="D119" s="2">
        <f>IFERROR(__xludf.DUMMYFUNCTION("""COMPUTED_VALUE"""),2966.0)</f>
        <v>2966</v>
      </c>
      <c r="E119" s="2">
        <f>IFERROR(__xludf.DUMMYFUNCTION("""COMPUTED_VALUE"""),2985.0)</f>
        <v>2985</v>
      </c>
      <c r="F119" s="2">
        <f>IFERROR(__xludf.DUMMYFUNCTION("""COMPUTED_VALUE"""),1.62166369E8)</f>
        <v>162166369</v>
      </c>
      <c r="G119" s="2">
        <f t="shared" si="1"/>
        <v>78</v>
      </c>
    </row>
    <row r="120" ht="15.75" customHeight="1">
      <c r="A120" s="1">
        <f>IFERROR(__xludf.DUMMYFUNCTION("""COMPUTED_VALUE"""),44008.66666666667)</f>
        <v>44008.66667</v>
      </c>
      <c r="B120" s="2">
        <f>IFERROR(__xludf.DUMMYFUNCTION("""COMPUTED_VALUE"""),3024.0)</f>
        <v>3024</v>
      </c>
      <c r="C120" s="2">
        <f>IFERROR(__xludf.DUMMYFUNCTION("""COMPUTED_VALUE"""),3044.0)</f>
        <v>3044</v>
      </c>
      <c r="D120" s="2">
        <f>IFERROR(__xludf.DUMMYFUNCTION("""COMPUTED_VALUE"""),2946.0)</f>
        <v>2946</v>
      </c>
      <c r="E120" s="2">
        <f>IFERROR(__xludf.DUMMYFUNCTION("""COMPUTED_VALUE"""),2956.0)</f>
        <v>2956</v>
      </c>
      <c r="F120" s="2">
        <f>IFERROR(__xludf.DUMMYFUNCTION("""COMPUTED_VALUE"""),1.50990571E8)</f>
        <v>150990571</v>
      </c>
      <c r="G120" s="2">
        <f t="shared" si="1"/>
        <v>98</v>
      </c>
    </row>
    <row r="121" ht="15.75" customHeight="1">
      <c r="A121" s="1">
        <f>IFERROR(__xludf.DUMMYFUNCTION("""COMPUTED_VALUE"""),44011.66666666667)</f>
        <v>44011.66667</v>
      </c>
      <c r="B121" s="2">
        <f>IFERROR(__xludf.DUMMYFUNCTION("""COMPUTED_VALUE"""),2966.0)</f>
        <v>2966</v>
      </c>
      <c r="C121" s="2">
        <f>IFERROR(__xludf.DUMMYFUNCTION("""COMPUTED_VALUE"""),2985.0)</f>
        <v>2985</v>
      </c>
      <c r="D121" s="2">
        <f>IFERROR(__xludf.DUMMYFUNCTION("""COMPUTED_VALUE"""),2907.0)</f>
        <v>2907</v>
      </c>
      <c r="E121" s="2">
        <f>IFERROR(__xludf.DUMMYFUNCTION("""COMPUTED_VALUE"""),2966.0)</f>
        <v>2966</v>
      </c>
      <c r="F121" s="2">
        <f>IFERROR(__xludf.DUMMYFUNCTION("""COMPUTED_VALUE"""),1.21781535E8)</f>
        <v>121781535</v>
      </c>
      <c r="G121" s="2">
        <f t="shared" si="1"/>
        <v>78</v>
      </c>
    </row>
    <row r="122" ht="15.75" customHeight="1">
      <c r="A122" s="1">
        <f>IFERROR(__xludf.DUMMYFUNCTION("""COMPUTED_VALUE"""),44012.66666666667)</f>
        <v>44012.66667</v>
      </c>
      <c r="B122" s="2">
        <f>IFERROR(__xludf.DUMMYFUNCTION("""COMPUTED_VALUE"""),2995.0)</f>
        <v>2995</v>
      </c>
      <c r="C122" s="2">
        <f>IFERROR(__xludf.DUMMYFUNCTION("""COMPUTED_VALUE"""),3034.0)</f>
        <v>3034</v>
      </c>
      <c r="D122" s="2">
        <f>IFERROR(__xludf.DUMMYFUNCTION("""COMPUTED_VALUE"""),2956.0)</f>
        <v>2956</v>
      </c>
      <c r="E122" s="2">
        <f>IFERROR(__xludf.DUMMYFUNCTION("""COMPUTED_VALUE"""),2956.0)</f>
        <v>2956</v>
      </c>
      <c r="F122" s="2">
        <f>IFERROR(__xludf.DUMMYFUNCTION("""COMPUTED_VALUE"""),1.37366629E8)</f>
        <v>137366629</v>
      </c>
      <c r="G122" s="2">
        <f t="shared" si="1"/>
        <v>78</v>
      </c>
    </row>
    <row r="123" ht="15.75" customHeight="1">
      <c r="A123" s="1">
        <f>IFERROR(__xludf.DUMMYFUNCTION("""COMPUTED_VALUE"""),44013.66666666667)</f>
        <v>44013.66667</v>
      </c>
      <c r="B123" s="2">
        <f>IFERROR(__xludf.DUMMYFUNCTION("""COMPUTED_VALUE"""),2966.0)</f>
        <v>2966</v>
      </c>
      <c r="C123" s="2">
        <f>IFERROR(__xludf.DUMMYFUNCTION("""COMPUTED_VALUE"""),2995.0)</f>
        <v>2995</v>
      </c>
      <c r="D123" s="2">
        <f>IFERROR(__xludf.DUMMYFUNCTION("""COMPUTED_VALUE"""),2956.0)</f>
        <v>2956</v>
      </c>
      <c r="E123" s="2">
        <f>IFERROR(__xludf.DUMMYFUNCTION("""COMPUTED_VALUE"""),2985.0)</f>
        <v>2985</v>
      </c>
      <c r="F123" s="2">
        <f>IFERROR(__xludf.DUMMYFUNCTION("""COMPUTED_VALUE"""),1.03824148E8)</f>
        <v>103824148</v>
      </c>
      <c r="G123" s="2">
        <f t="shared" si="1"/>
        <v>39</v>
      </c>
    </row>
    <row r="124" ht="15.75" customHeight="1">
      <c r="A124" s="1">
        <f>IFERROR(__xludf.DUMMYFUNCTION("""COMPUTED_VALUE"""),44014.66666666667)</f>
        <v>44014.66667</v>
      </c>
      <c r="B124" s="2">
        <f>IFERROR(__xludf.DUMMYFUNCTION("""COMPUTED_VALUE"""),3015.0)</f>
        <v>3015</v>
      </c>
      <c r="C124" s="2">
        <f>IFERROR(__xludf.DUMMYFUNCTION("""COMPUTED_VALUE"""),3015.0)</f>
        <v>3015</v>
      </c>
      <c r="D124" s="2">
        <f>IFERROR(__xludf.DUMMYFUNCTION("""COMPUTED_VALUE"""),2966.0)</f>
        <v>2966</v>
      </c>
      <c r="E124" s="2">
        <f>IFERROR(__xludf.DUMMYFUNCTION("""COMPUTED_VALUE"""),2985.0)</f>
        <v>2985</v>
      </c>
      <c r="F124" s="2">
        <f>IFERROR(__xludf.DUMMYFUNCTION("""COMPUTED_VALUE"""),1.73723695E8)</f>
        <v>173723695</v>
      </c>
      <c r="G124" s="2">
        <f t="shared" si="1"/>
        <v>49</v>
      </c>
    </row>
    <row r="125" ht="15.75" customHeight="1">
      <c r="A125" s="1">
        <f>IFERROR(__xludf.DUMMYFUNCTION("""COMPUTED_VALUE"""),44015.66666666667)</f>
        <v>44015.66667</v>
      </c>
      <c r="B125" s="2">
        <f>IFERROR(__xludf.DUMMYFUNCTION("""COMPUTED_VALUE"""),2985.0)</f>
        <v>2985</v>
      </c>
      <c r="C125" s="2">
        <f>IFERROR(__xludf.DUMMYFUNCTION("""COMPUTED_VALUE"""),3015.0)</f>
        <v>3015</v>
      </c>
      <c r="D125" s="2">
        <f>IFERROR(__xludf.DUMMYFUNCTION("""COMPUTED_VALUE"""),2966.0)</f>
        <v>2966</v>
      </c>
      <c r="E125" s="2">
        <f>IFERROR(__xludf.DUMMYFUNCTION("""COMPUTED_VALUE"""),2976.0)</f>
        <v>2976</v>
      </c>
      <c r="F125" s="2">
        <f>IFERROR(__xludf.DUMMYFUNCTION("""COMPUTED_VALUE"""),5.0710197E7)</f>
        <v>50710197</v>
      </c>
      <c r="G125" s="2">
        <f t="shared" si="1"/>
        <v>49</v>
      </c>
    </row>
    <row r="126" ht="15.75" customHeight="1">
      <c r="A126" s="1">
        <f>IFERROR(__xludf.DUMMYFUNCTION("""COMPUTED_VALUE"""),44018.66666666667)</f>
        <v>44018.66667</v>
      </c>
      <c r="B126" s="2">
        <f>IFERROR(__xludf.DUMMYFUNCTION("""COMPUTED_VALUE"""),2995.0)</f>
        <v>2995</v>
      </c>
      <c r="C126" s="2">
        <f>IFERROR(__xludf.DUMMYFUNCTION("""COMPUTED_VALUE"""),3024.0)</f>
        <v>3024</v>
      </c>
      <c r="D126" s="2">
        <f>IFERROR(__xludf.DUMMYFUNCTION("""COMPUTED_VALUE"""),2956.0)</f>
        <v>2956</v>
      </c>
      <c r="E126" s="2">
        <f>IFERROR(__xludf.DUMMYFUNCTION("""COMPUTED_VALUE"""),2966.0)</f>
        <v>2966</v>
      </c>
      <c r="F126" s="2">
        <f>IFERROR(__xludf.DUMMYFUNCTION("""COMPUTED_VALUE"""),1.38046211E8)</f>
        <v>138046211</v>
      </c>
      <c r="G126" s="2">
        <f t="shared" si="1"/>
        <v>68</v>
      </c>
    </row>
    <row r="127" ht="15.75" customHeight="1">
      <c r="A127" s="1">
        <f>IFERROR(__xludf.DUMMYFUNCTION("""COMPUTED_VALUE"""),44019.66666666667)</f>
        <v>44019.66667</v>
      </c>
      <c r="B127" s="2">
        <f>IFERROR(__xludf.DUMMYFUNCTION("""COMPUTED_VALUE"""),2995.0)</f>
        <v>2995</v>
      </c>
      <c r="C127" s="2">
        <f>IFERROR(__xludf.DUMMYFUNCTION("""COMPUTED_VALUE"""),3005.0)</f>
        <v>3005</v>
      </c>
      <c r="D127" s="2">
        <f>IFERROR(__xludf.DUMMYFUNCTION("""COMPUTED_VALUE"""),2956.0)</f>
        <v>2956</v>
      </c>
      <c r="E127" s="2">
        <f>IFERROR(__xludf.DUMMYFUNCTION("""COMPUTED_VALUE"""),2956.0)</f>
        <v>2956</v>
      </c>
      <c r="F127" s="2">
        <f>IFERROR(__xludf.DUMMYFUNCTION("""COMPUTED_VALUE"""),2.12558406E8)</f>
        <v>212558406</v>
      </c>
      <c r="G127" s="2">
        <f t="shared" si="1"/>
        <v>49</v>
      </c>
    </row>
    <row r="128" ht="15.75" customHeight="1">
      <c r="A128" s="1">
        <f>IFERROR(__xludf.DUMMYFUNCTION("""COMPUTED_VALUE"""),44020.66666666667)</f>
        <v>44020.66667</v>
      </c>
      <c r="B128" s="2">
        <f>IFERROR(__xludf.DUMMYFUNCTION("""COMPUTED_VALUE"""),2966.0)</f>
        <v>2966</v>
      </c>
      <c r="C128" s="2">
        <f>IFERROR(__xludf.DUMMYFUNCTION("""COMPUTED_VALUE"""),3122.0)</f>
        <v>3122</v>
      </c>
      <c r="D128" s="2">
        <f>IFERROR(__xludf.DUMMYFUNCTION("""COMPUTED_VALUE"""),2956.0)</f>
        <v>2956</v>
      </c>
      <c r="E128" s="2">
        <f>IFERROR(__xludf.DUMMYFUNCTION("""COMPUTED_VALUE"""),3112.0)</f>
        <v>3112</v>
      </c>
      <c r="F128" s="2">
        <f>IFERROR(__xludf.DUMMYFUNCTION("""COMPUTED_VALUE"""),3.48163232E8)</f>
        <v>348163232</v>
      </c>
      <c r="G128" s="2">
        <f t="shared" si="1"/>
        <v>166</v>
      </c>
    </row>
    <row r="129" ht="15.75" customHeight="1">
      <c r="A129" s="1">
        <f>IFERROR(__xludf.DUMMYFUNCTION("""COMPUTED_VALUE"""),44021.66666666667)</f>
        <v>44021.66667</v>
      </c>
      <c r="B129" s="2">
        <f>IFERROR(__xludf.DUMMYFUNCTION("""COMPUTED_VALUE"""),3112.0)</f>
        <v>3112</v>
      </c>
      <c r="C129" s="2">
        <f>IFERROR(__xludf.DUMMYFUNCTION("""COMPUTED_VALUE"""),3151.0)</f>
        <v>3151</v>
      </c>
      <c r="D129" s="2">
        <f>IFERROR(__xludf.DUMMYFUNCTION("""COMPUTED_VALUE"""),3063.0)</f>
        <v>3063</v>
      </c>
      <c r="E129" s="2">
        <f>IFERROR(__xludf.DUMMYFUNCTION("""COMPUTED_VALUE"""),3063.0)</f>
        <v>3063</v>
      </c>
      <c r="F129" s="2">
        <f>IFERROR(__xludf.DUMMYFUNCTION("""COMPUTED_VALUE"""),1.96989089E8)</f>
        <v>196989089</v>
      </c>
      <c r="G129" s="2">
        <f t="shared" si="1"/>
        <v>88</v>
      </c>
    </row>
    <row r="130" ht="15.75" customHeight="1">
      <c r="A130" s="1">
        <f>IFERROR(__xludf.DUMMYFUNCTION("""COMPUTED_VALUE"""),44022.66666666667)</f>
        <v>44022.66667</v>
      </c>
      <c r="B130" s="2">
        <f>IFERROR(__xludf.DUMMYFUNCTION("""COMPUTED_VALUE"""),3054.0)</f>
        <v>3054</v>
      </c>
      <c r="C130" s="2">
        <f>IFERROR(__xludf.DUMMYFUNCTION("""COMPUTED_VALUE"""),3073.0)</f>
        <v>3073</v>
      </c>
      <c r="D130" s="2">
        <f>IFERROR(__xludf.DUMMYFUNCTION("""COMPUTED_VALUE"""),3024.0)</f>
        <v>3024</v>
      </c>
      <c r="E130" s="2">
        <f>IFERROR(__xludf.DUMMYFUNCTION("""COMPUTED_VALUE"""),3034.0)</f>
        <v>3034</v>
      </c>
      <c r="F130" s="2">
        <f>IFERROR(__xludf.DUMMYFUNCTION("""COMPUTED_VALUE"""),1.09795354E8)</f>
        <v>109795354</v>
      </c>
      <c r="G130" s="2">
        <f t="shared" si="1"/>
        <v>49</v>
      </c>
    </row>
    <row r="131" ht="15.75" customHeight="1">
      <c r="A131" s="1">
        <f>IFERROR(__xludf.DUMMYFUNCTION("""COMPUTED_VALUE"""),44025.66666666667)</f>
        <v>44025.66667</v>
      </c>
      <c r="B131" s="2">
        <f>IFERROR(__xludf.DUMMYFUNCTION("""COMPUTED_VALUE"""),3054.0)</f>
        <v>3054</v>
      </c>
      <c r="C131" s="2">
        <f>IFERROR(__xludf.DUMMYFUNCTION("""COMPUTED_VALUE"""),3102.0)</f>
        <v>3102</v>
      </c>
      <c r="D131" s="2">
        <f>IFERROR(__xludf.DUMMYFUNCTION("""COMPUTED_VALUE"""),2976.0)</f>
        <v>2976</v>
      </c>
      <c r="E131" s="2">
        <f>IFERROR(__xludf.DUMMYFUNCTION("""COMPUTED_VALUE"""),3083.0)</f>
        <v>3083</v>
      </c>
      <c r="F131" s="2">
        <f>IFERROR(__xludf.DUMMYFUNCTION("""COMPUTED_VALUE"""),9.8261402E7)</f>
        <v>98261402</v>
      </c>
      <c r="G131" s="2">
        <f t="shared" si="1"/>
        <v>126</v>
      </c>
    </row>
    <row r="132" ht="15.75" customHeight="1">
      <c r="A132" s="1">
        <f>IFERROR(__xludf.DUMMYFUNCTION("""COMPUTED_VALUE"""),44026.66666666667)</f>
        <v>44026.66667</v>
      </c>
      <c r="B132" s="2">
        <f>IFERROR(__xludf.DUMMYFUNCTION("""COMPUTED_VALUE"""),3083.0)</f>
        <v>3083</v>
      </c>
      <c r="C132" s="2">
        <f>IFERROR(__xludf.DUMMYFUNCTION("""COMPUTED_VALUE"""),3171.0)</f>
        <v>3171</v>
      </c>
      <c r="D132" s="2">
        <f>IFERROR(__xludf.DUMMYFUNCTION("""COMPUTED_VALUE"""),3054.0)</f>
        <v>3054</v>
      </c>
      <c r="E132" s="2">
        <f>IFERROR(__xludf.DUMMYFUNCTION("""COMPUTED_VALUE"""),3093.0)</f>
        <v>3093</v>
      </c>
      <c r="F132" s="2">
        <f>IFERROR(__xludf.DUMMYFUNCTION("""COMPUTED_VALUE"""),2.16521101E8)</f>
        <v>216521101</v>
      </c>
      <c r="G132" s="2">
        <f t="shared" si="1"/>
        <v>117</v>
      </c>
    </row>
    <row r="133" ht="15.75" customHeight="1">
      <c r="A133" s="1">
        <f>IFERROR(__xludf.DUMMYFUNCTION("""COMPUTED_VALUE"""),44027.66666666667)</f>
        <v>44027.66667</v>
      </c>
      <c r="B133" s="2">
        <f>IFERROR(__xludf.DUMMYFUNCTION("""COMPUTED_VALUE"""),3122.0)</f>
        <v>3122</v>
      </c>
      <c r="C133" s="2">
        <f>IFERROR(__xludf.DUMMYFUNCTION("""COMPUTED_VALUE"""),3161.0)</f>
        <v>3161</v>
      </c>
      <c r="D133" s="2">
        <f>IFERROR(__xludf.DUMMYFUNCTION("""COMPUTED_VALUE"""),3054.0)</f>
        <v>3054</v>
      </c>
      <c r="E133" s="2">
        <f>IFERROR(__xludf.DUMMYFUNCTION("""COMPUTED_VALUE"""),3054.0)</f>
        <v>3054</v>
      </c>
      <c r="F133" s="2">
        <f>IFERROR(__xludf.DUMMYFUNCTION("""COMPUTED_VALUE"""),1.6986616E8)</f>
        <v>169866160</v>
      </c>
      <c r="G133" s="2">
        <f t="shared" si="1"/>
        <v>107</v>
      </c>
    </row>
    <row r="134" ht="15.75" customHeight="1">
      <c r="A134" s="1">
        <f>IFERROR(__xludf.DUMMYFUNCTION("""COMPUTED_VALUE"""),44028.66666666667)</f>
        <v>44028.66667</v>
      </c>
      <c r="B134" s="2">
        <f>IFERROR(__xludf.DUMMYFUNCTION("""COMPUTED_VALUE"""),3054.0)</f>
        <v>3054</v>
      </c>
      <c r="C134" s="2">
        <f>IFERROR(__xludf.DUMMYFUNCTION("""COMPUTED_VALUE"""),3083.0)</f>
        <v>3083</v>
      </c>
      <c r="D134" s="2">
        <f>IFERROR(__xludf.DUMMYFUNCTION("""COMPUTED_VALUE"""),3054.0)</f>
        <v>3054</v>
      </c>
      <c r="E134" s="2">
        <f>IFERROR(__xludf.DUMMYFUNCTION("""COMPUTED_VALUE"""),3063.0)</f>
        <v>3063</v>
      </c>
      <c r="F134" s="2">
        <f>IFERROR(__xludf.DUMMYFUNCTION("""COMPUTED_VALUE"""),1.20025995E8)</f>
        <v>120025995</v>
      </c>
      <c r="G134" s="2">
        <f t="shared" si="1"/>
        <v>29</v>
      </c>
    </row>
    <row r="135" ht="15.75" customHeight="1">
      <c r="A135" s="1">
        <f>IFERROR(__xludf.DUMMYFUNCTION("""COMPUTED_VALUE"""),44029.66666666667)</f>
        <v>44029.66667</v>
      </c>
      <c r="B135" s="2">
        <f>IFERROR(__xludf.DUMMYFUNCTION("""COMPUTED_VALUE"""),3063.0)</f>
        <v>3063</v>
      </c>
      <c r="C135" s="2">
        <f>IFERROR(__xludf.DUMMYFUNCTION("""COMPUTED_VALUE"""),3073.0)</f>
        <v>3073</v>
      </c>
      <c r="D135" s="2">
        <f>IFERROR(__xludf.DUMMYFUNCTION("""COMPUTED_VALUE"""),3024.0)</f>
        <v>3024</v>
      </c>
      <c r="E135" s="2">
        <f>IFERROR(__xludf.DUMMYFUNCTION("""COMPUTED_VALUE"""),3024.0)</f>
        <v>3024</v>
      </c>
      <c r="F135" s="2">
        <f>IFERROR(__xludf.DUMMYFUNCTION("""COMPUTED_VALUE"""),1.22578778E8)</f>
        <v>122578778</v>
      </c>
      <c r="G135" s="2">
        <f t="shared" si="1"/>
        <v>49</v>
      </c>
    </row>
    <row r="136" ht="15.75" customHeight="1">
      <c r="A136" s="1">
        <f>IFERROR(__xludf.DUMMYFUNCTION("""COMPUTED_VALUE"""),44032.66666666667)</f>
        <v>44032.66667</v>
      </c>
      <c r="B136" s="2">
        <f>IFERROR(__xludf.DUMMYFUNCTION("""COMPUTED_VALUE"""),3024.0)</f>
        <v>3024</v>
      </c>
      <c r="C136" s="2">
        <f>IFERROR(__xludf.DUMMYFUNCTION("""COMPUTED_VALUE"""),3054.0)</f>
        <v>3054</v>
      </c>
      <c r="D136" s="2">
        <f>IFERROR(__xludf.DUMMYFUNCTION("""COMPUTED_VALUE"""),2956.0)</f>
        <v>2956</v>
      </c>
      <c r="E136" s="2">
        <f>IFERROR(__xludf.DUMMYFUNCTION("""COMPUTED_VALUE"""),2976.0)</f>
        <v>2976</v>
      </c>
      <c r="F136" s="2">
        <f>IFERROR(__xludf.DUMMYFUNCTION("""COMPUTED_VALUE"""),1.39964008E8)</f>
        <v>139964008</v>
      </c>
      <c r="G136" s="2">
        <f t="shared" si="1"/>
        <v>98</v>
      </c>
    </row>
    <row r="137" ht="15.75" customHeight="1">
      <c r="A137" s="1">
        <f>IFERROR(__xludf.DUMMYFUNCTION("""COMPUTED_VALUE"""),44033.66666666667)</f>
        <v>44033.66667</v>
      </c>
      <c r="B137" s="2">
        <f>IFERROR(__xludf.DUMMYFUNCTION("""COMPUTED_VALUE"""),2976.0)</f>
        <v>2976</v>
      </c>
      <c r="C137" s="2">
        <f>IFERROR(__xludf.DUMMYFUNCTION("""COMPUTED_VALUE"""),3102.0)</f>
        <v>3102</v>
      </c>
      <c r="D137" s="2">
        <f>IFERROR(__xludf.DUMMYFUNCTION("""COMPUTED_VALUE"""),2976.0)</f>
        <v>2976</v>
      </c>
      <c r="E137" s="2">
        <f>IFERROR(__xludf.DUMMYFUNCTION("""COMPUTED_VALUE"""),3073.0)</f>
        <v>3073</v>
      </c>
      <c r="F137" s="2">
        <f>IFERROR(__xludf.DUMMYFUNCTION("""COMPUTED_VALUE"""),2.09263282E8)</f>
        <v>209263282</v>
      </c>
      <c r="G137" s="2">
        <f t="shared" si="1"/>
        <v>126</v>
      </c>
    </row>
    <row r="138" ht="15.75" customHeight="1">
      <c r="A138" s="1">
        <f>IFERROR(__xludf.DUMMYFUNCTION("""COMPUTED_VALUE"""),44034.66666666667)</f>
        <v>44034.66667</v>
      </c>
      <c r="B138" s="2">
        <f>IFERROR(__xludf.DUMMYFUNCTION("""COMPUTED_VALUE"""),3083.0)</f>
        <v>3083</v>
      </c>
      <c r="C138" s="2">
        <f>IFERROR(__xludf.DUMMYFUNCTION("""COMPUTED_VALUE"""),3093.0)</f>
        <v>3093</v>
      </c>
      <c r="D138" s="2">
        <f>IFERROR(__xludf.DUMMYFUNCTION("""COMPUTED_VALUE"""),3015.0)</f>
        <v>3015</v>
      </c>
      <c r="E138" s="2">
        <f>IFERROR(__xludf.DUMMYFUNCTION("""COMPUTED_VALUE"""),3024.0)</f>
        <v>3024</v>
      </c>
      <c r="F138" s="2">
        <f>IFERROR(__xludf.DUMMYFUNCTION("""COMPUTED_VALUE"""),1.77898455E8)</f>
        <v>177898455</v>
      </c>
      <c r="G138" s="2">
        <f t="shared" si="1"/>
        <v>78</v>
      </c>
    </row>
    <row r="139" ht="15.75" customHeight="1">
      <c r="A139" s="1">
        <f>IFERROR(__xludf.DUMMYFUNCTION("""COMPUTED_VALUE"""),44035.66666666667)</f>
        <v>44035.66667</v>
      </c>
      <c r="B139" s="2">
        <f>IFERROR(__xludf.DUMMYFUNCTION("""COMPUTED_VALUE"""),3044.0)</f>
        <v>3044</v>
      </c>
      <c r="C139" s="2">
        <f>IFERROR(__xludf.DUMMYFUNCTION("""COMPUTED_VALUE"""),3083.0)</f>
        <v>3083</v>
      </c>
      <c r="D139" s="2">
        <f>IFERROR(__xludf.DUMMYFUNCTION("""COMPUTED_VALUE"""),3024.0)</f>
        <v>3024</v>
      </c>
      <c r="E139" s="2">
        <f>IFERROR(__xludf.DUMMYFUNCTION("""COMPUTED_VALUE"""),3063.0)</f>
        <v>3063</v>
      </c>
      <c r="F139" s="2">
        <f>IFERROR(__xludf.DUMMYFUNCTION("""COMPUTED_VALUE"""),1.51555865E8)</f>
        <v>151555865</v>
      </c>
      <c r="G139" s="2">
        <f t="shared" si="1"/>
        <v>59</v>
      </c>
    </row>
    <row r="140" ht="15.75" customHeight="1">
      <c r="A140" s="1">
        <f>IFERROR(__xludf.DUMMYFUNCTION("""COMPUTED_VALUE"""),44036.66666666667)</f>
        <v>44036.66667</v>
      </c>
      <c r="B140" s="2">
        <f>IFERROR(__xludf.DUMMYFUNCTION("""COMPUTED_VALUE"""),3054.0)</f>
        <v>3054</v>
      </c>
      <c r="C140" s="2">
        <f>IFERROR(__xludf.DUMMYFUNCTION("""COMPUTED_VALUE"""),3063.0)</f>
        <v>3063</v>
      </c>
      <c r="D140" s="2">
        <f>IFERROR(__xludf.DUMMYFUNCTION("""COMPUTED_VALUE"""),3015.0)</f>
        <v>3015</v>
      </c>
      <c r="E140" s="2">
        <f>IFERROR(__xludf.DUMMYFUNCTION("""COMPUTED_VALUE"""),3015.0)</f>
        <v>3015</v>
      </c>
      <c r="F140" s="2">
        <f>IFERROR(__xludf.DUMMYFUNCTION("""COMPUTED_VALUE"""),9.7176845E7)</f>
        <v>97176845</v>
      </c>
      <c r="G140" s="2">
        <f t="shared" si="1"/>
        <v>48</v>
      </c>
    </row>
    <row r="141" ht="15.75" customHeight="1">
      <c r="A141" s="1">
        <f>IFERROR(__xludf.DUMMYFUNCTION("""COMPUTED_VALUE"""),44039.66666666667)</f>
        <v>44039.66667</v>
      </c>
      <c r="B141" s="2">
        <f>IFERROR(__xludf.DUMMYFUNCTION("""COMPUTED_VALUE"""),3015.0)</f>
        <v>3015</v>
      </c>
      <c r="C141" s="2">
        <f>IFERROR(__xludf.DUMMYFUNCTION("""COMPUTED_VALUE"""),3073.0)</f>
        <v>3073</v>
      </c>
      <c r="D141" s="2">
        <f>IFERROR(__xludf.DUMMYFUNCTION("""COMPUTED_VALUE"""),3015.0)</f>
        <v>3015</v>
      </c>
      <c r="E141" s="2">
        <f>IFERROR(__xludf.DUMMYFUNCTION("""COMPUTED_VALUE"""),3073.0)</f>
        <v>3073</v>
      </c>
      <c r="F141" s="2">
        <f>IFERROR(__xludf.DUMMYFUNCTION("""COMPUTED_VALUE"""),9.688092E7)</f>
        <v>96880920</v>
      </c>
      <c r="G141" s="2">
        <f t="shared" si="1"/>
        <v>58</v>
      </c>
    </row>
    <row r="142" ht="15.75" customHeight="1">
      <c r="A142" s="1">
        <f>IFERROR(__xludf.DUMMYFUNCTION("""COMPUTED_VALUE"""),44040.66666666667)</f>
        <v>44040.66667</v>
      </c>
      <c r="B142" s="2">
        <f>IFERROR(__xludf.DUMMYFUNCTION("""COMPUTED_VALUE"""),3083.0)</f>
        <v>3083</v>
      </c>
      <c r="C142" s="2">
        <f>IFERROR(__xludf.DUMMYFUNCTION("""COMPUTED_VALUE"""),3093.0)</f>
        <v>3093</v>
      </c>
      <c r="D142" s="2">
        <f>IFERROR(__xludf.DUMMYFUNCTION("""COMPUTED_VALUE"""),3024.0)</f>
        <v>3024</v>
      </c>
      <c r="E142" s="2">
        <f>IFERROR(__xludf.DUMMYFUNCTION("""COMPUTED_VALUE"""),3063.0)</f>
        <v>3063</v>
      </c>
      <c r="F142" s="2">
        <f>IFERROR(__xludf.DUMMYFUNCTION("""COMPUTED_VALUE"""),1.06006495E8)</f>
        <v>106006495</v>
      </c>
      <c r="G142" s="2">
        <f t="shared" si="1"/>
        <v>69</v>
      </c>
    </row>
    <row r="143" ht="15.75" customHeight="1">
      <c r="A143" s="1">
        <f>IFERROR(__xludf.DUMMYFUNCTION("""COMPUTED_VALUE"""),44041.66666666667)</f>
        <v>44041.66667</v>
      </c>
      <c r="B143" s="2">
        <f>IFERROR(__xludf.DUMMYFUNCTION("""COMPUTED_VALUE"""),3063.0)</f>
        <v>3063</v>
      </c>
      <c r="C143" s="2">
        <f>IFERROR(__xludf.DUMMYFUNCTION("""COMPUTED_VALUE"""),3073.0)</f>
        <v>3073</v>
      </c>
      <c r="D143" s="2">
        <f>IFERROR(__xludf.DUMMYFUNCTION("""COMPUTED_VALUE"""),3024.0)</f>
        <v>3024</v>
      </c>
      <c r="E143" s="2">
        <f>IFERROR(__xludf.DUMMYFUNCTION("""COMPUTED_VALUE"""),3044.0)</f>
        <v>3044</v>
      </c>
      <c r="F143" s="2">
        <f>IFERROR(__xludf.DUMMYFUNCTION("""COMPUTED_VALUE"""),6.8856902E7)</f>
        <v>68856902</v>
      </c>
      <c r="G143" s="2">
        <f t="shared" si="1"/>
        <v>49</v>
      </c>
    </row>
    <row r="144" ht="15.75" customHeight="1">
      <c r="A144" s="1">
        <f>IFERROR(__xludf.DUMMYFUNCTION("""COMPUTED_VALUE"""),44042.66666666667)</f>
        <v>44042.66667</v>
      </c>
      <c r="B144" s="2">
        <f>IFERROR(__xludf.DUMMYFUNCTION("""COMPUTED_VALUE"""),3054.0)</f>
        <v>3054</v>
      </c>
      <c r="C144" s="2">
        <f>IFERROR(__xludf.DUMMYFUNCTION("""COMPUTED_VALUE"""),3093.0)</f>
        <v>3093</v>
      </c>
      <c r="D144" s="2">
        <f>IFERROR(__xludf.DUMMYFUNCTION("""COMPUTED_VALUE"""),3034.0)</f>
        <v>3034</v>
      </c>
      <c r="E144" s="2">
        <f>IFERROR(__xludf.DUMMYFUNCTION("""COMPUTED_VALUE"""),3083.0)</f>
        <v>3083</v>
      </c>
      <c r="F144" s="2">
        <f>IFERROR(__xludf.DUMMYFUNCTION("""COMPUTED_VALUE"""),8.0441583E7)</f>
        <v>80441583</v>
      </c>
      <c r="G144" s="2">
        <f t="shared" si="1"/>
        <v>59</v>
      </c>
    </row>
    <row r="145" ht="15.75" customHeight="1">
      <c r="A145" s="1">
        <f>IFERROR(__xludf.DUMMYFUNCTION("""COMPUTED_VALUE"""),44046.66666666667)</f>
        <v>44046.66667</v>
      </c>
      <c r="B145" s="2">
        <f>IFERROR(__xludf.DUMMYFUNCTION("""COMPUTED_VALUE"""),3093.0)</f>
        <v>3093</v>
      </c>
      <c r="C145" s="2">
        <f>IFERROR(__xludf.DUMMYFUNCTION("""COMPUTED_VALUE"""),3102.0)</f>
        <v>3102</v>
      </c>
      <c r="D145" s="2">
        <f>IFERROR(__xludf.DUMMYFUNCTION("""COMPUTED_VALUE"""),2898.0)</f>
        <v>2898</v>
      </c>
      <c r="E145" s="2">
        <f>IFERROR(__xludf.DUMMYFUNCTION("""COMPUTED_VALUE"""),2917.0)</f>
        <v>2917</v>
      </c>
      <c r="F145" s="2">
        <f>IFERROR(__xludf.DUMMYFUNCTION("""COMPUTED_VALUE"""),3.47765881E8)</f>
        <v>347765881</v>
      </c>
      <c r="G145" s="2">
        <f t="shared" si="1"/>
        <v>204</v>
      </c>
    </row>
    <row r="146" ht="15.75" customHeight="1">
      <c r="A146" s="1">
        <f>IFERROR(__xludf.DUMMYFUNCTION("""COMPUTED_VALUE"""),44047.66666666667)</f>
        <v>44047.66667</v>
      </c>
      <c r="B146" s="2">
        <f>IFERROR(__xludf.DUMMYFUNCTION("""COMPUTED_VALUE"""),2927.0)</f>
        <v>2927</v>
      </c>
      <c r="C146" s="2">
        <f>IFERROR(__xludf.DUMMYFUNCTION("""COMPUTED_VALUE"""),3005.0)</f>
        <v>3005</v>
      </c>
      <c r="D146" s="2">
        <f>IFERROR(__xludf.DUMMYFUNCTION("""COMPUTED_VALUE"""),2927.0)</f>
        <v>2927</v>
      </c>
      <c r="E146" s="2">
        <f>IFERROR(__xludf.DUMMYFUNCTION("""COMPUTED_VALUE"""),3005.0)</f>
        <v>3005</v>
      </c>
      <c r="F146" s="2">
        <f>IFERROR(__xludf.DUMMYFUNCTION("""COMPUTED_VALUE"""),1.60197017E8)</f>
        <v>160197017</v>
      </c>
      <c r="G146" s="2">
        <f t="shared" si="1"/>
        <v>88</v>
      </c>
    </row>
    <row r="147" ht="15.75" customHeight="1">
      <c r="A147" s="1">
        <f>IFERROR(__xludf.DUMMYFUNCTION("""COMPUTED_VALUE"""),44048.66666666667)</f>
        <v>44048.66667</v>
      </c>
      <c r="B147" s="2">
        <f>IFERROR(__xludf.DUMMYFUNCTION("""COMPUTED_VALUE"""),3024.0)</f>
        <v>3024</v>
      </c>
      <c r="C147" s="2">
        <f>IFERROR(__xludf.DUMMYFUNCTION("""COMPUTED_VALUE"""),3034.0)</f>
        <v>3034</v>
      </c>
      <c r="D147" s="2">
        <f>IFERROR(__xludf.DUMMYFUNCTION("""COMPUTED_VALUE"""),2966.0)</f>
        <v>2966</v>
      </c>
      <c r="E147" s="2">
        <f>IFERROR(__xludf.DUMMYFUNCTION("""COMPUTED_VALUE"""),3005.0)</f>
        <v>3005</v>
      </c>
      <c r="F147" s="2">
        <f>IFERROR(__xludf.DUMMYFUNCTION("""COMPUTED_VALUE"""),1.65535278E8)</f>
        <v>165535278</v>
      </c>
      <c r="G147" s="2">
        <f t="shared" si="1"/>
        <v>68</v>
      </c>
    </row>
    <row r="148" ht="15.75" customHeight="1">
      <c r="A148" s="1">
        <f>IFERROR(__xludf.DUMMYFUNCTION("""COMPUTED_VALUE"""),44049.66666666667)</f>
        <v>44049.66667</v>
      </c>
      <c r="B148" s="2">
        <f>IFERROR(__xludf.DUMMYFUNCTION("""COMPUTED_VALUE"""),3024.0)</f>
        <v>3024</v>
      </c>
      <c r="C148" s="2">
        <f>IFERROR(__xludf.DUMMYFUNCTION("""COMPUTED_VALUE"""),3054.0)</f>
        <v>3054</v>
      </c>
      <c r="D148" s="2">
        <f>IFERROR(__xludf.DUMMYFUNCTION("""COMPUTED_VALUE"""),3015.0)</f>
        <v>3015</v>
      </c>
      <c r="E148" s="2">
        <f>IFERROR(__xludf.DUMMYFUNCTION("""COMPUTED_VALUE"""),3034.0)</f>
        <v>3034</v>
      </c>
      <c r="F148" s="2">
        <f>IFERROR(__xludf.DUMMYFUNCTION("""COMPUTED_VALUE"""),1.17468791E8)</f>
        <v>117468791</v>
      </c>
      <c r="G148" s="2">
        <f t="shared" si="1"/>
        <v>49</v>
      </c>
    </row>
    <row r="149" ht="15.75" customHeight="1">
      <c r="A149" s="1">
        <f>IFERROR(__xludf.DUMMYFUNCTION("""COMPUTED_VALUE"""),44050.66666666667)</f>
        <v>44050.66667</v>
      </c>
      <c r="B149" s="2">
        <f>IFERROR(__xludf.DUMMYFUNCTION("""COMPUTED_VALUE"""),3034.0)</f>
        <v>3034</v>
      </c>
      <c r="C149" s="2">
        <f>IFERROR(__xludf.DUMMYFUNCTION("""COMPUTED_VALUE"""),3054.0)</f>
        <v>3054</v>
      </c>
      <c r="D149" s="2">
        <f>IFERROR(__xludf.DUMMYFUNCTION("""COMPUTED_VALUE"""),2985.0)</f>
        <v>2985</v>
      </c>
      <c r="E149" s="2">
        <f>IFERROR(__xludf.DUMMYFUNCTION("""COMPUTED_VALUE"""),3034.0)</f>
        <v>3034</v>
      </c>
      <c r="F149" s="2">
        <f>IFERROR(__xludf.DUMMYFUNCTION("""COMPUTED_VALUE"""),9.2166275E7)</f>
        <v>92166275</v>
      </c>
      <c r="G149" s="2">
        <f t="shared" si="1"/>
        <v>69</v>
      </c>
    </row>
    <row r="150" ht="15.75" customHeight="1">
      <c r="A150" s="1">
        <f>IFERROR(__xludf.DUMMYFUNCTION("""COMPUTED_VALUE"""),44053.66666666667)</f>
        <v>44053.66667</v>
      </c>
      <c r="B150" s="2">
        <f>IFERROR(__xludf.DUMMYFUNCTION("""COMPUTED_VALUE"""),3034.0)</f>
        <v>3034</v>
      </c>
      <c r="C150" s="2">
        <f>IFERROR(__xludf.DUMMYFUNCTION("""COMPUTED_VALUE"""),3073.0)</f>
        <v>3073</v>
      </c>
      <c r="D150" s="2">
        <f>IFERROR(__xludf.DUMMYFUNCTION("""COMPUTED_VALUE"""),3024.0)</f>
        <v>3024</v>
      </c>
      <c r="E150" s="2">
        <f>IFERROR(__xludf.DUMMYFUNCTION("""COMPUTED_VALUE"""),3054.0)</f>
        <v>3054</v>
      </c>
      <c r="F150" s="2">
        <f>IFERROR(__xludf.DUMMYFUNCTION("""COMPUTED_VALUE"""),9.3752897E7)</f>
        <v>93752897</v>
      </c>
      <c r="G150" s="2">
        <f t="shared" si="1"/>
        <v>49</v>
      </c>
    </row>
    <row r="151" ht="15.75" customHeight="1">
      <c r="A151" s="1">
        <f>IFERROR(__xludf.DUMMYFUNCTION("""COMPUTED_VALUE"""),44054.66666666667)</f>
        <v>44054.66667</v>
      </c>
      <c r="B151" s="2">
        <f>IFERROR(__xludf.DUMMYFUNCTION("""COMPUTED_VALUE"""),3054.0)</f>
        <v>3054</v>
      </c>
      <c r="C151" s="2">
        <f>IFERROR(__xludf.DUMMYFUNCTION("""COMPUTED_VALUE"""),3141.0)</f>
        <v>3141</v>
      </c>
      <c r="D151" s="2">
        <f>IFERROR(__xludf.DUMMYFUNCTION("""COMPUTED_VALUE"""),3054.0)</f>
        <v>3054</v>
      </c>
      <c r="E151" s="2">
        <f>IFERROR(__xludf.DUMMYFUNCTION("""COMPUTED_VALUE"""),3112.0)</f>
        <v>3112</v>
      </c>
      <c r="F151" s="2">
        <f>IFERROR(__xludf.DUMMYFUNCTION("""COMPUTED_VALUE"""),1.76772592E8)</f>
        <v>176772592</v>
      </c>
      <c r="G151" s="2">
        <f t="shared" si="1"/>
        <v>87</v>
      </c>
    </row>
    <row r="152" ht="15.75" customHeight="1">
      <c r="A152" s="1">
        <f>IFERROR(__xludf.DUMMYFUNCTION("""COMPUTED_VALUE"""),44055.66666666667)</f>
        <v>44055.66667</v>
      </c>
      <c r="B152" s="2">
        <f>IFERROR(__xludf.DUMMYFUNCTION("""COMPUTED_VALUE"""),3112.0)</f>
        <v>3112</v>
      </c>
      <c r="C152" s="2">
        <f>IFERROR(__xludf.DUMMYFUNCTION("""COMPUTED_VALUE"""),3288.0)</f>
        <v>3288</v>
      </c>
      <c r="D152" s="2">
        <f>IFERROR(__xludf.DUMMYFUNCTION("""COMPUTED_VALUE"""),3112.0)</f>
        <v>3112</v>
      </c>
      <c r="E152" s="2">
        <f>IFERROR(__xludf.DUMMYFUNCTION("""COMPUTED_VALUE"""),3268.0)</f>
        <v>3268</v>
      </c>
      <c r="F152" s="2">
        <f>IFERROR(__xludf.DUMMYFUNCTION("""COMPUTED_VALUE"""),4.70910008E8)</f>
        <v>470910008</v>
      </c>
      <c r="G152" s="2">
        <f t="shared" si="1"/>
        <v>176</v>
      </c>
    </row>
    <row r="153" ht="15.75" customHeight="1">
      <c r="A153" s="1">
        <f>IFERROR(__xludf.DUMMYFUNCTION("""COMPUTED_VALUE"""),44056.66666666667)</f>
        <v>44056.66667</v>
      </c>
      <c r="B153" s="2">
        <f>IFERROR(__xludf.DUMMYFUNCTION("""COMPUTED_VALUE"""),3268.0)</f>
        <v>3268</v>
      </c>
      <c r="C153" s="2">
        <f>IFERROR(__xludf.DUMMYFUNCTION("""COMPUTED_VALUE"""),3366.0)</f>
        <v>3366</v>
      </c>
      <c r="D153" s="2">
        <f>IFERROR(__xludf.DUMMYFUNCTION("""COMPUTED_VALUE"""),3219.0)</f>
        <v>3219</v>
      </c>
      <c r="E153" s="2">
        <f>IFERROR(__xludf.DUMMYFUNCTION("""COMPUTED_VALUE"""),3249.0)</f>
        <v>3249</v>
      </c>
      <c r="F153" s="2">
        <f>IFERROR(__xludf.DUMMYFUNCTION("""COMPUTED_VALUE"""),2.19580649E8)</f>
        <v>219580649</v>
      </c>
      <c r="G153" s="2">
        <f t="shared" si="1"/>
        <v>147</v>
      </c>
    </row>
    <row r="154" ht="15.75" customHeight="1">
      <c r="A154" s="1">
        <f>IFERROR(__xludf.DUMMYFUNCTION("""COMPUTED_VALUE"""),44057.66666666667)</f>
        <v>44057.66667</v>
      </c>
      <c r="B154" s="2">
        <f>IFERROR(__xludf.DUMMYFUNCTION("""COMPUTED_VALUE"""),3249.0)</f>
        <v>3249</v>
      </c>
      <c r="C154" s="2">
        <f>IFERROR(__xludf.DUMMYFUNCTION("""COMPUTED_VALUE"""),3268.0)</f>
        <v>3268</v>
      </c>
      <c r="D154" s="2">
        <f>IFERROR(__xludf.DUMMYFUNCTION("""COMPUTED_VALUE"""),3200.0)</f>
        <v>3200</v>
      </c>
      <c r="E154" s="2">
        <f>IFERROR(__xludf.DUMMYFUNCTION("""COMPUTED_VALUE"""),3258.0)</f>
        <v>3258</v>
      </c>
      <c r="F154" s="2">
        <f>IFERROR(__xludf.DUMMYFUNCTION("""COMPUTED_VALUE"""),1.01632161E8)</f>
        <v>101632161</v>
      </c>
      <c r="G154" s="2">
        <f t="shared" si="1"/>
        <v>68</v>
      </c>
    </row>
    <row r="155" ht="15.75" customHeight="1">
      <c r="A155" s="1">
        <f>IFERROR(__xludf.DUMMYFUNCTION("""COMPUTED_VALUE"""),44061.66666666667)</f>
        <v>44061.66667</v>
      </c>
      <c r="B155" s="2">
        <f>IFERROR(__xludf.DUMMYFUNCTION("""COMPUTED_VALUE"""),3258.0)</f>
        <v>3258</v>
      </c>
      <c r="C155" s="2">
        <f>IFERROR(__xludf.DUMMYFUNCTION("""COMPUTED_VALUE"""),3444.0)</f>
        <v>3444</v>
      </c>
      <c r="D155" s="2">
        <f>IFERROR(__xludf.DUMMYFUNCTION("""COMPUTED_VALUE"""),3258.0)</f>
        <v>3258</v>
      </c>
      <c r="E155" s="2">
        <f>IFERROR(__xludf.DUMMYFUNCTION("""COMPUTED_VALUE"""),3434.0)</f>
        <v>3434</v>
      </c>
      <c r="F155" s="2">
        <f>IFERROR(__xludf.DUMMYFUNCTION("""COMPUTED_VALUE"""),2.68554054E8)</f>
        <v>268554054</v>
      </c>
      <c r="G155" s="2">
        <f t="shared" si="1"/>
        <v>186</v>
      </c>
    </row>
    <row r="156" ht="15.75" customHeight="1">
      <c r="A156" s="1">
        <f>IFERROR(__xludf.DUMMYFUNCTION("""COMPUTED_VALUE"""),44062.66666666667)</f>
        <v>44062.66667</v>
      </c>
      <c r="B156" s="2">
        <f>IFERROR(__xludf.DUMMYFUNCTION("""COMPUTED_VALUE"""),3434.0)</f>
        <v>3434</v>
      </c>
      <c r="C156" s="2">
        <f>IFERROR(__xludf.DUMMYFUNCTION("""COMPUTED_VALUE"""),3551.0)</f>
        <v>3551</v>
      </c>
      <c r="D156" s="2">
        <f>IFERROR(__xludf.DUMMYFUNCTION("""COMPUTED_VALUE"""),3434.0)</f>
        <v>3434</v>
      </c>
      <c r="E156" s="2">
        <f>IFERROR(__xludf.DUMMYFUNCTION("""COMPUTED_VALUE"""),3473.0)</f>
        <v>3473</v>
      </c>
      <c r="F156" s="2">
        <f>IFERROR(__xludf.DUMMYFUNCTION("""COMPUTED_VALUE"""),2.22973838E8)</f>
        <v>222973838</v>
      </c>
      <c r="G156" s="2">
        <f t="shared" si="1"/>
        <v>117</v>
      </c>
    </row>
    <row r="157" ht="15.75" customHeight="1">
      <c r="A157" s="1">
        <f>IFERROR(__xludf.DUMMYFUNCTION("""COMPUTED_VALUE"""),44067.66666666667)</f>
        <v>44067.66667</v>
      </c>
      <c r="B157" s="2">
        <f>IFERROR(__xludf.DUMMYFUNCTION("""COMPUTED_VALUE"""),3444.0)</f>
        <v>3444</v>
      </c>
      <c r="C157" s="2">
        <f>IFERROR(__xludf.DUMMYFUNCTION("""COMPUTED_VALUE"""),3561.0)</f>
        <v>3561</v>
      </c>
      <c r="D157" s="2">
        <f>IFERROR(__xludf.DUMMYFUNCTION("""COMPUTED_VALUE"""),3434.0)</f>
        <v>3434</v>
      </c>
      <c r="E157" s="2">
        <f>IFERROR(__xludf.DUMMYFUNCTION("""COMPUTED_VALUE"""),3551.0)</f>
        <v>3551</v>
      </c>
      <c r="F157" s="2">
        <f>IFERROR(__xludf.DUMMYFUNCTION("""COMPUTED_VALUE"""),1.99848871E8)</f>
        <v>199848871</v>
      </c>
      <c r="G157" s="2">
        <f t="shared" si="1"/>
        <v>127</v>
      </c>
    </row>
    <row r="158" ht="15.75" customHeight="1">
      <c r="A158" s="1">
        <f>IFERROR(__xludf.DUMMYFUNCTION("""COMPUTED_VALUE"""),44068.66666666667)</f>
        <v>44068.66667</v>
      </c>
      <c r="B158" s="2">
        <f>IFERROR(__xludf.DUMMYFUNCTION("""COMPUTED_VALUE"""),3580.0)</f>
        <v>3580</v>
      </c>
      <c r="C158" s="2">
        <f>IFERROR(__xludf.DUMMYFUNCTION("""COMPUTED_VALUE"""),3707.0)</f>
        <v>3707</v>
      </c>
      <c r="D158" s="2">
        <f>IFERROR(__xludf.DUMMYFUNCTION("""COMPUTED_VALUE"""),3551.0)</f>
        <v>3551</v>
      </c>
      <c r="E158" s="2">
        <f>IFERROR(__xludf.DUMMYFUNCTION("""COMPUTED_VALUE"""),3707.0)</f>
        <v>3707</v>
      </c>
      <c r="F158" s="2">
        <f>IFERROR(__xludf.DUMMYFUNCTION("""COMPUTED_VALUE"""),1.83784585E8)</f>
        <v>183784585</v>
      </c>
      <c r="G158" s="2">
        <f t="shared" si="1"/>
        <v>156</v>
      </c>
    </row>
    <row r="159" ht="15.75" customHeight="1">
      <c r="A159" s="1">
        <f>IFERROR(__xludf.DUMMYFUNCTION("""COMPUTED_VALUE"""),44069.66666666667)</f>
        <v>44069.66667</v>
      </c>
      <c r="B159" s="2">
        <f>IFERROR(__xludf.DUMMYFUNCTION("""COMPUTED_VALUE"""),3707.0)</f>
        <v>3707</v>
      </c>
      <c r="C159" s="2">
        <f>IFERROR(__xludf.DUMMYFUNCTION("""COMPUTED_VALUE"""),3727.0)</f>
        <v>3727</v>
      </c>
      <c r="D159" s="2">
        <f>IFERROR(__xludf.DUMMYFUNCTION("""COMPUTED_VALUE"""),3610.0)</f>
        <v>3610</v>
      </c>
      <c r="E159" s="2">
        <f>IFERROR(__xludf.DUMMYFUNCTION("""COMPUTED_VALUE"""),3649.0)</f>
        <v>3649</v>
      </c>
      <c r="F159" s="2">
        <f>IFERROR(__xludf.DUMMYFUNCTION("""COMPUTED_VALUE"""),1.6601375E8)</f>
        <v>166013750</v>
      </c>
      <c r="G159" s="2">
        <f t="shared" si="1"/>
        <v>117</v>
      </c>
    </row>
    <row r="160" ht="15.75" customHeight="1">
      <c r="A160" s="1">
        <f>IFERROR(__xludf.DUMMYFUNCTION("""COMPUTED_VALUE"""),44070.66666666667)</f>
        <v>44070.66667</v>
      </c>
      <c r="B160" s="2">
        <f>IFERROR(__xludf.DUMMYFUNCTION("""COMPUTED_VALUE"""),3649.0)</f>
        <v>3649</v>
      </c>
      <c r="C160" s="2">
        <f>IFERROR(__xludf.DUMMYFUNCTION("""COMPUTED_VALUE"""),3688.0)</f>
        <v>3688</v>
      </c>
      <c r="D160" s="2">
        <f>IFERROR(__xludf.DUMMYFUNCTION("""COMPUTED_VALUE"""),3571.0)</f>
        <v>3571</v>
      </c>
      <c r="E160" s="2">
        <f>IFERROR(__xludf.DUMMYFUNCTION("""COMPUTED_VALUE"""),3610.0)</f>
        <v>3610</v>
      </c>
      <c r="F160" s="2">
        <f>IFERROR(__xludf.DUMMYFUNCTION("""COMPUTED_VALUE"""),1.92686699E8)</f>
        <v>192686699</v>
      </c>
      <c r="G160" s="2">
        <f t="shared" si="1"/>
        <v>117</v>
      </c>
    </row>
    <row r="161" ht="15.75" customHeight="1">
      <c r="A161" s="1">
        <f>IFERROR(__xludf.DUMMYFUNCTION("""COMPUTED_VALUE"""),44071.66666666667)</f>
        <v>44071.66667</v>
      </c>
      <c r="B161" s="2">
        <f>IFERROR(__xludf.DUMMYFUNCTION("""COMPUTED_VALUE"""),3619.0)</f>
        <v>3619</v>
      </c>
      <c r="C161" s="2">
        <f>IFERROR(__xludf.DUMMYFUNCTION("""COMPUTED_VALUE"""),3649.0)</f>
        <v>3649</v>
      </c>
      <c r="D161" s="2">
        <f>IFERROR(__xludf.DUMMYFUNCTION("""COMPUTED_VALUE"""),3561.0)</f>
        <v>3561</v>
      </c>
      <c r="E161" s="2">
        <f>IFERROR(__xludf.DUMMYFUNCTION("""COMPUTED_VALUE"""),3600.0)</f>
        <v>3600</v>
      </c>
      <c r="F161" s="2">
        <f>IFERROR(__xludf.DUMMYFUNCTION("""COMPUTED_VALUE"""),7.9836314E7)</f>
        <v>79836314</v>
      </c>
      <c r="G161" s="2">
        <f t="shared" si="1"/>
        <v>88</v>
      </c>
    </row>
    <row r="162" ht="15.75" customHeight="1">
      <c r="A162" s="1">
        <f>IFERROR(__xludf.DUMMYFUNCTION("""COMPUTED_VALUE"""),44074.66666666667)</f>
        <v>44074.66667</v>
      </c>
      <c r="B162" s="2">
        <f>IFERROR(__xludf.DUMMYFUNCTION("""COMPUTED_VALUE"""),3610.0)</f>
        <v>3610</v>
      </c>
      <c r="C162" s="2">
        <f>IFERROR(__xludf.DUMMYFUNCTION("""COMPUTED_VALUE"""),3649.0)</f>
        <v>3649</v>
      </c>
      <c r="D162" s="2">
        <f>IFERROR(__xludf.DUMMYFUNCTION("""COMPUTED_VALUE"""),3415.0)</f>
        <v>3415</v>
      </c>
      <c r="E162" s="2">
        <f>IFERROR(__xludf.DUMMYFUNCTION("""COMPUTED_VALUE"""),3424.0)</f>
        <v>3424</v>
      </c>
      <c r="F162" s="2">
        <f>IFERROR(__xludf.DUMMYFUNCTION("""COMPUTED_VALUE"""),2.72696559E8)</f>
        <v>272696559</v>
      </c>
      <c r="G162" s="2">
        <f t="shared" si="1"/>
        <v>234</v>
      </c>
    </row>
    <row r="163" ht="15.75" customHeight="1">
      <c r="A163" s="1">
        <f>IFERROR(__xludf.DUMMYFUNCTION("""COMPUTED_VALUE"""),44075.66666666667)</f>
        <v>44075.66667</v>
      </c>
      <c r="B163" s="2">
        <f>IFERROR(__xludf.DUMMYFUNCTION("""COMPUTED_VALUE"""),3463.0)</f>
        <v>3463</v>
      </c>
      <c r="C163" s="2">
        <f>IFERROR(__xludf.DUMMYFUNCTION("""COMPUTED_VALUE"""),3541.0)</f>
        <v>3541</v>
      </c>
      <c r="D163" s="2">
        <f>IFERROR(__xludf.DUMMYFUNCTION("""COMPUTED_VALUE"""),3395.0)</f>
        <v>3395</v>
      </c>
      <c r="E163" s="2">
        <f>IFERROR(__xludf.DUMMYFUNCTION("""COMPUTED_VALUE"""),3522.0)</f>
        <v>3522</v>
      </c>
      <c r="F163" s="2">
        <f>IFERROR(__xludf.DUMMYFUNCTION("""COMPUTED_VALUE"""),2.01885569E8)</f>
        <v>201885569</v>
      </c>
      <c r="G163" s="2">
        <f t="shared" si="1"/>
        <v>146</v>
      </c>
    </row>
    <row r="164" ht="15.75" customHeight="1">
      <c r="A164" s="1">
        <f>IFERROR(__xludf.DUMMYFUNCTION("""COMPUTED_VALUE"""),44076.66666666667)</f>
        <v>44076.66667</v>
      </c>
      <c r="B164" s="2">
        <f>IFERROR(__xludf.DUMMYFUNCTION("""COMPUTED_VALUE"""),3532.0)</f>
        <v>3532</v>
      </c>
      <c r="C164" s="2">
        <f>IFERROR(__xludf.DUMMYFUNCTION("""COMPUTED_VALUE"""),3571.0)</f>
        <v>3571</v>
      </c>
      <c r="D164" s="2">
        <f>IFERROR(__xludf.DUMMYFUNCTION("""COMPUTED_VALUE"""),3502.0)</f>
        <v>3502</v>
      </c>
      <c r="E164" s="2">
        <f>IFERROR(__xludf.DUMMYFUNCTION("""COMPUTED_VALUE"""),3571.0)</f>
        <v>3571</v>
      </c>
      <c r="F164" s="2">
        <f>IFERROR(__xludf.DUMMYFUNCTION("""COMPUTED_VALUE"""),1.0959896E8)</f>
        <v>109598960</v>
      </c>
      <c r="G164" s="2">
        <f t="shared" si="1"/>
        <v>69</v>
      </c>
    </row>
    <row r="165" ht="15.75" customHeight="1">
      <c r="A165" s="1">
        <f>IFERROR(__xludf.DUMMYFUNCTION("""COMPUTED_VALUE"""),44077.66666666667)</f>
        <v>44077.66667</v>
      </c>
      <c r="B165" s="2">
        <f>IFERROR(__xludf.DUMMYFUNCTION("""COMPUTED_VALUE"""),3571.0)</f>
        <v>3571</v>
      </c>
      <c r="C165" s="2">
        <f>IFERROR(__xludf.DUMMYFUNCTION("""COMPUTED_VALUE"""),3600.0)</f>
        <v>3600</v>
      </c>
      <c r="D165" s="2">
        <f>IFERROR(__xludf.DUMMYFUNCTION("""COMPUTED_VALUE"""),3463.0)</f>
        <v>3463</v>
      </c>
      <c r="E165" s="2">
        <f>IFERROR(__xludf.DUMMYFUNCTION("""COMPUTED_VALUE"""),3493.0)</f>
        <v>3493</v>
      </c>
      <c r="F165" s="2">
        <f>IFERROR(__xludf.DUMMYFUNCTION("""COMPUTED_VALUE"""),1.84104804E8)</f>
        <v>184104804</v>
      </c>
      <c r="G165" s="2">
        <f t="shared" si="1"/>
        <v>137</v>
      </c>
    </row>
    <row r="166" ht="15.75" customHeight="1">
      <c r="A166" s="1">
        <f>IFERROR(__xludf.DUMMYFUNCTION("""COMPUTED_VALUE"""),44078.66666666667)</f>
        <v>44078.66667</v>
      </c>
      <c r="B166" s="2">
        <f>IFERROR(__xludf.DUMMYFUNCTION("""COMPUTED_VALUE"""),3522.0)</f>
        <v>3522</v>
      </c>
      <c r="C166" s="2">
        <f>IFERROR(__xludf.DUMMYFUNCTION("""COMPUTED_VALUE"""),3522.0)</f>
        <v>3522</v>
      </c>
      <c r="D166" s="2">
        <f>IFERROR(__xludf.DUMMYFUNCTION("""COMPUTED_VALUE"""),3395.0)</f>
        <v>3395</v>
      </c>
      <c r="E166" s="2">
        <f>IFERROR(__xludf.DUMMYFUNCTION("""COMPUTED_VALUE"""),3463.0)</f>
        <v>3463</v>
      </c>
      <c r="F166" s="2">
        <f>IFERROR(__xludf.DUMMYFUNCTION("""COMPUTED_VALUE"""),1.3792116E8)</f>
        <v>137921160</v>
      </c>
      <c r="G166" s="2">
        <f t="shared" si="1"/>
        <v>127</v>
      </c>
    </row>
    <row r="167" ht="15.75" customHeight="1">
      <c r="A167" s="1">
        <f>IFERROR(__xludf.DUMMYFUNCTION("""COMPUTED_VALUE"""),44081.66666666667)</f>
        <v>44081.66667</v>
      </c>
      <c r="B167" s="2">
        <f>IFERROR(__xludf.DUMMYFUNCTION("""COMPUTED_VALUE"""),3463.0)</f>
        <v>3463</v>
      </c>
      <c r="C167" s="2">
        <f>IFERROR(__xludf.DUMMYFUNCTION("""COMPUTED_VALUE"""),3483.0)</f>
        <v>3483</v>
      </c>
      <c r="D167" s="2">
        <f>IFERROR(__xludf.DUMMYFUNCTION("""COMPUTED_VALUE"""),3415.0)</f>
        <v>3415</v>
      </c>
      <c r="E167" s="2">
        <f>IFERROR(__xludf.DUMMYFUNCTION("""COMPUTED_VALUE"""),3424.0)</f>
        <v>3424</v>
      </c>
      <c r="F167" s="2">
        <f>IFERROR(__xludf.DUMMYFUNCTION("""COMPUTED_VALUE"""),9.7185661E7)</f>
        <v>97185661</v>
      </c>
      <c r="G167" s="2">
        <f t="shared" si="1"/>
        <v>68</v>
      </c>
    </row>
    <row r="168" ht="15.75" customHeight="1">
      <c r="A168" s="1">
        <f>IFERROR(__xludf.DUMMYFUNCTION("""COMPUTED_VALUE"""),44082.66666666667)</f>
        <v>44082.66667</v>
      </c>
      <c r="B168" s="2">
        <f>IFERROR(__xludf.DUMMYFUNCTION("""COMPUTED_VALUE"""),3424.0)</f>
        <v>3424</v>
      </c>
      <c r="C168" s="2">
        <f>IFERROR(__xludf.DUMMYFUNCTION("""COMPUTED_VALUE"""),3483.0)</f>
        <v>3483</v>
      </c>
      <c r="D168" s="2">
        <f>IFERROR(__xludf.DUMMYFUNCTION("""COMPUTED_VALUE"""),3424.0)</f>
        <v>3424</v>
      </c>
      <c r="E168" s="2">
        <f>IFERROR(__xludf.DUMMYFUNCTION("""COMPUTED_VALUE"""),3434.0)</f>
        <v>3434</v>
      </c>
      <c r="F168" s="2">
        <f>IFERROR(__xludf.DUMMYFUNCTION("""COMPUTED_VALUE"""),8.34174E7)</f>
        <v>83417400</v>
      </c>
      <c r="G168" s="2">
        <f t="shared" si="1"/>
        <v>59</v>
      </c>
    </row>
    <row r="169" ht="15.75" customHeight="1">
      <c r="A169" s="1">
        <f>IFERROR(__xludf.DUMMYFUNCTION("""COMPUTED_VALUE"""),44083.66666666667)</f>
        <v>44083.66667</v>
      </c>
      <c r="B169" s="2">
        <f>IFERROR(__xludf.DUMMYFUNCTION("""COMPUTED_VALUE"""),3395.0)</f>
        <v>3395</v>
      </c>
      <c r="C169" s="2">
        <f>IFERROR(__xludf.DUMMYFUNCTION("""COMPUTED_VALUE"""),3405.0)</f>
        <v>3405</v>
      </c>
      <c r="D169" s="2">
        <f>IFERROR(__xludf.DUMMYFUNCTION("""COMPUTED_VALUE"""),3298.0)</f>
        <v>3298</v>
      </c>
      <c r="E169" s="2">
        <f>IFERROR(__xludf.DUMMYFUNCTION("""COMPUTED_VALUE"""),3327.0)</f>
        <v>3327</v>
      </c>
      <c r="F169" s="2">
        <f>IFERROR(__xludf.DUMMYFUNCTION("""COMPUTED_VALUE"""),1.82898462E8)</f>
        <v>182898462</v>
      </c>
      <c r="G169" s="2">
        <f t="shared" si="1"/>
        <v>136</v>
      </c>
    </row>
    <row r="170" ht="15.75" customHeight="1">
      <c r="A170" s="1">
        <f>IFERROR(__xludf.DUMMYFUNCTION("""COMPUTED_VALUE"""),44084.66666666667)</f>
        <v>44084.66667</v>
      </c>
      <c r="B170" s="2">
        <f>IFERROR(__xludf.DUMMYFUNCTION("""COMPUTED_VALUE"""),3219.0)</f>
        <v>3219</v>
      </c>
      <c r="C170" s="2">
        <f>IFERROR(__xludf.DUMMYFUNCTION("""COMPUTED_VALUE"""),3219.0)</f>
        <v>3219</v>
      </c>
      <c r="D170" s="2">
        <f>IFERROR(__xludf.DUMMYFUNCTION("""COMPUTED_VALUE"""),3102.0)</f>
        <v>3102</v>
      </c>
      <c r="E170" s="2">
        <f>IFERROR(__xludf.DUMMYFUNCTION("""COMPUTED_VALUE"""),3102.0)</f>
        <v>3102</v>
      </c>
      <c r="F170" s="2">
        <f>IFERROR(__xludf.DUMMYFUNCTION("""COMPUTED_VALUE"""),2.84797334E8)</f>
        <v>284797334</v>
      </c>
      <c r="G170" s="2">
        <f t="shared" si="1"/>
        <v>225</v>
      </c>
    </row>
    <row r="171" ht="15.75" customHeight="1">
      <c r="A171" s="1">
        <f>IFERROR(__xludf.DUMMYFUNCTION("""COMPUTED_VALUE"""),44085.66666666667)</f>
        <v>44085.66667</v>
      </c>
      <c r="B171" s="2">
        <f>IFERROR(__xludf.DUMMYFUNCTION("""COMPUTED_VALUE"""),2946.0)</f>
        <v>2946</v>
      </c>
      <c r="C171" s="2">
        <f>IFERROR(__xludf.DUMMYFUNCTION("""COMPUTED_VALUE"""),3229.0)</f>
        <v>3229</v>
      </c>
      <c r="D171" s="2">
        <f>IFERROR(__xludf.DUMMYFUNCTION("""COMPUTED_VALUE"""),2937.0)</f>
        <v>2937</v>
      </c>
      <c r="E171" s="2">
        <f>IFERROR(__xludf.DUMMYFUNCTION("""COMPUTED_VALUE"""),3171.0)</f>
        <v>3171</v>
      </c>
      <c r="F171" s="2">
        <f>IFERROR(__xludf.DUMMYFUNCTION("""COMPUTED_VALUE"""),5.98091848E8)</f>
        <v>598091848</v>
      </c>
      <c r="G171" s="2">
        <f t="shared" si="1"/>
        <v>292</v>
      </c>
    </row>
    <row r="172" ht="15.75" customHeight="1">
      <c r="A172" s="1">
        <f>IFERROR(__xludf.DUMMYFUNCTION("""COMPUTED_VALUE"""),44088.66666666667)</f>
        <v>44088.66667</v>
      </c>
      <c r="B172" s="2">
        <f>IFERROR(__xludf.DUMMYFUNCTION("""COMPUTED_VALUE"""),3219.0)</f>
        <v>3219</v>
      </c>
      <c r="C172" s="2">
        <f>IFERROR(__xludf.DUMMYFUNCTION("""COMPUTED_VALUE"""),3366.0)</f>
        <v>3366</v>
      </c>
      <c r="D172" s="2">
        <f>IFERROR(__xludf.DUMMYFUNCTION("""COMPUTED_VALUE"""),3219.0)</f>
        <v>3219</v>
      </c>
      <c r="E172" s="2">
        <f>IFERROR(__xludf.DUMMYFUNCTION("""COMPUTED_VALUE"""),3356.0)</f>
        <v>3356</v>
      </c>
      <c r="F172" s="2">
        <f>IFERROR(__xludf.DUMMYFUNCTION("""COMPUTED_VALUE"""),2.82789144E8)</f>
        <v>282789144</v>
      </c>
      <c r="G172" s="2">
        <f t="shared" si="1"/>
        <v>195</v>
      </c>
    </row>
    <row r="173" ht="15.75" customHeight="1">
      <c r="A173" s="1">
        <f>IFERROR(__xludf.DUMMYFUNCTION("""COMPUTED_VALUE"""),44089.66666666667)</f>
        <v>44089.66667</v>
      </c>
      <c r="B173" s="2">
        <f>IFERROR(__xludf.DUMMYFUNCTION("""COMPUTED_VALUE"""),3356.0)</f>
        <v>3356</v>
      </c>
      <c r="C173" s="2">
        <f>IFERROR(__xludf.DUMMYFUNCTION("""COMPUTED_VALUE"""),3376.0)</f>
        <v>3376</v>
      </c>
      <c r="D173" s="2">
        <f>IFERROR(__xludf.DUMMYFUNCTION("""COMPUTED_VALUE"""),3229.0)</f>
        <v>3229</v>
      </c>
      <c r="E173" s="2">
        <f>IFERROR(__xludf.DUMMYFUNCTION("""COMPUTED_VALUE"""),3249.0)</f>
        <v>3249</v>
      </c>
      <c r="F173" s="2">
        <f>IFERROR(__xludf.DUMMYFUNCTION("""COMPUTED_VALUE"""),2.0042166E8)</f>
        <v>200421660</v>
      </c>
      <c r="G173" s="2">
        <f t="shared" si="1"/>
        <v>147</v>
      </c>
    </row>
    <row r="174" ht="15.75" customHeight="1">
      <c r="A174" s="1">
        <f>IFERROR(__xludf.DUMMYFUNCTION("""COMPUTED_VALUE"""),44090.66666666667)</f>
        <v>44090.66667</v>
      </c>
      <c r="B174" s="2">
        <f>IFERROR(__xludf.DUMMYFUNCTION("""COMPUTED_VALUE"""),3288.0)</f>
        <v>3288</v>
      </c>
      <c r="C174" s="2">
        <f>IFERROR(__xludf.DUMMYFUNCTION("""COMPUTED_VALUE"""),3307.0)</f>
        <v>3307</v>
      </c>
      <c r="D174" s="2">
        <f>IFERROR(__xludf.DUMMYFUNCTION("""COMPUTED_VALUE"""),3161.0)</f>
        <v>3161</v>
      </c>
      <c r="E174" s="2">
        <f>IFERROR(__xludf.DUMMYFUNCTION("""COMPUTED_VALUE"""),3180.0)</f>
        <v>3180</v>
      </c>
      <c r="F174" s="2">
        <f>IFERROR(__xludf.DUMMYFUNCTION("""COMPUTED_VALUE"""),1.4199414E8)</f>
        <v>141994140</v>
      </c>
      <c r="G174" s="2">
        <f t="shared" si="1"/>
        <v>146</v>
      </c>
    </row>
    <row r="175" ht="15.75" customHeight="1">
      <c r="A175" s="1">
        <f>IFERROR(__xludf.DUMMYFUNCTION("""COMPUTED_VALUE"""),44091.66666666667)</f>
        <v>44091.66667</v>
      </c>
      <c r="B175" s="2">
        <f>IFERROR(__xludf.DUMMYFUNCTION("""COMPUTED_VALUE"""),3190.0)</f>
        <v>3190</v>
      </c>
      <c r="C175" s="2">
        <f>IFERROR(__xludf.DUMMYFUNCTION("""COMPUTED_VALUE"""),3229.0)</f>
        <v>3229</v>
      </c>
      <c r="D175" s="2">
        <f>IFERROR(__xludf.DUMMYFUNCTION("""COMPUTED_VALUE"""),3093.0)</f>
        <v>3093</v>
      </c>
      <c r="E175" s="2">
        <f>IFERROR(__xludf.DUMMYFUNCTION("""COMPUTED_VALUE"""),3122.0)</f>
        <v>3122</v>
      </c>
      <c r="F175" s="2">
        <f>IFERROR(__xludf.DUMMYFUNCTION("""COMPUTED_VALUE"""),1.71803624E8)</f>
        <v>171803624</v>
      </c>
      <c r="G175" s="2">
        <f t="shared" si="1"/>
        <v>136</v>
      </c>
    </row>
    <row r="176" ht="15.75" customHeight="1">
      <c r="A176" s="1">
        <f>IFERROR(__xludf.DUMMYFUNCTION("""COMPUTED_VALUE"""),44092.66666666667)</f>
        <v>44092.66667</v>
      </c>
      <c r="B176" s="2">
        <f>IFERROR(__xludf.DUMMYFUNCTION("""COMPUTED_VALUE"""),3122.0)</f>
        <v>3122</v>
      </c>
      <c r="C176" s="2">
        <f>IFERROR(__xludf.DUMMYFUNCTION("""COMPUTED_VALUE"""),3190.0)</f>
        <v>3190</v>
      </c>
      <c r="D176" s="2">
        <f>IFERROR(__xludf.DUMMYFUNCTION("""COMPUTED_VALUE"""),3112.0)</f>
        <v>3112</v>
      </c>
      <c r="E176" s="2">
        <f>IFERROR(__xludf.DUMMYFUNCTION("""COMPUTED_VALUE"""),3141.0)</f>
        <v>3141</v>
      </c>
      <c r="F176" s="2">
        <f>IFERROR(__xludf.DUMMYFUNCTION("""COMPUTED_VALUE"""),2.07954871E8)</f>
        <v>207954871</v>
      </c>
      <c r="G176" s="2">
        <f t="shared" si="1"/>
        <v>78</v>
      </c>
    </row>
    <row r="177" ht="15.75" customHeight="1">
      <c r="A177" s="1">
        <f>IFERROR(__xludf.DUMMYFUNCTION("""COMPUTED_VALUE"""),44095.66666666667)</f>
        <v>44095.66667</v>
      </c>
      <c r="B177" s="2">
        <f>IFERROR(__xludf.DUMMYFUNCTION("""COMPUTED_VALUE"""),3122.0)</f>
        <v>3122</v>
      </c>
      <c r="C177" s="2">
        <f>IFERROR(__xludf.DUMMYFUNCTION("""COMPUTED_VALUE"""),3171.0)</f>
        <v>3171</v>
      </c>
      <c r="D177" s="2">
        <f>IFERROR(__xludf.DUMMYFUNCTION("""COMPUTED_VALUE"""),3073.0)</f>
        <v>3073</v>
      </c>
      <c r="E177" s="2">
        <f>IFERROR(__xludf.DUMMYFUNCTION("""COMPUTED_VALUE"""),3112.0)</f>
        <v>3112</v>
      </c>
      <c r="F177" s="2">
        <f>IFERROR(__xludf.DUMMYFUNCTION("""COMPUTED_VALUE"""),1.17024344E8)</f>
        <v>117024344</v>
      </c>
      <c r="G177" s="2">
        <f t="shared" si="1"/>
        <v>98</v>
      </c>
    </row>
    <row r="178" ht="15.75" customHeight="1">
      <c r="A178" s="1">
        <f>IFERROR(__xludf.DUMMYFUNCTION("""COMPUTED_VALUE"""),44096.66666666667)</f>
        <v>44096.66667</v>
      </c>
      <c r="B178" s="2">
        <f>IFERROR(__xludf.DUMMYFUNCTION("""COMPUTED_VALUE"""),3034.0)</f>
        <v>3034</v>
      </c>
      <c r="C178" s="2">
        <f>IFERROR(__xludf.DUMMYFUNCTION("""COMPUTED_VALUE"""),3112.0)</f>
        <v>3112</v>
      </c>
      <c r="D178" s="2">
        <f>IFERROR(__xludf.DUMMYFUNCTION("""COMPUTED_VALUE"""),3024.0)</f>
        <v>3024</v>
      </c>
      <c r="E178" s="2">
        <f>IFERROR(__xludf.DUMMYFUNCTION("""COMPUTED_VALUE"""),3054.0)</f>
        <v>3054</v>
      </c>
      <c r="F178" s="2">
        <f>IFERROR(__xludf.DUMMYFUNCTION("""COMPUTED_VALUE"""),1.37951702E8)</f>
        <v>137951702</v>
      </c>
      <c r="G178" s="2">
        <f t="shared" si="1"/>
        <v>88</v>
      </c>
    </row>
    <row r="179" ht="15.75" customHeight="1">
      <c r="A179" s="1">
        <f>IFERROR(__xludf.DUMMYFUNCTION("""COMPUTED_VALUE"""),44097.66666666667)</f>
        <v>44097.66667</v>
      </c>
      <c r="B179" s="2">
        <f>IFERROR(__xludf.DUMMYFUNCTION("""COMPUTED_VALUE"""),3093.0)</f>
        <v>3093</v>
      </c>
      <c r="C179" s="2">
        <f>IFERROR(__xludf.DUMMYFUNCTION("""COMPUTED_VALUE"""),3102.0)</f>
        <v>3102</v>
      </c>
      <c r="D179" s="2">
        <f>IFERROR(__xludf.DUMMYFUNCTION("""COMPUTED_VALUE"""),2976.0)</f>
        <v>2976</v>
      </c>
      <c r="E179" s="2">
        <f>IFERROR(__xludf.DUMMYFUNCTION("""COMPUTED_VALUE"""),3005.0)</f>
        <v>3005</v>
      </c>
      <c r="F179" s="2">
        <f>IFERROR(__xludf.DUMMYFUNCTION("""COMPUTED_VALUE"""),1.23624506E8)</f>
        <v>123624506</v>
      </c>
      <c r="G179" s="2">
        <f t="shared" si="1"/>
        <v>126</v>
      </c>
    </row>
    <row r="180" ht="15.75" customHeight="1">
      <c r="A180" s="1">
        <f>IFERROR(__xludf.DUMMYFUNCTION("""COMPUTED_VALUE"""),44098.66666666667)</f>
        <v>44098.66667</v>
      </c>
      <c r="B180" s="2">
        <f>IFERROR(__xludf.DUMMYFUNCTION("""COMPUTED_VALUE"""),2956.0)</f>
        <v>2956</v>
      </c>
      <c r="C180" s="2">
        <f>IFERROR(__xludf.DUMMYFUNCTION("""COMPUTED_VALUE"""),3005.0)</f>
        <v>3005</v>
      </c>
      <c r="D180" s="2">
        <f>IFERROR(__xludf.DUMMYFUNCTION("""COMPUTED_VALUE"""),2937.0)</f>
        <v>2937</v>
      </c>
      <c r="E180" s="2">
        <f>IFERROR(__xludf.DUMMYFUNCTION("""COMPUTED_VALUE"""),2956.0)</f>
        <v>2956</v>
      </c>
      <c r="F180" s="2">
        <f>IFERROR(__xludf.DUMMYFUNCTION("""COMPUTED_VALUE"""),1.68256988E8)</f>
        <v>168256988</v>
      </c>
      <c r="G180" s="2">
        <f t="shared" si="1"/>
        <v>68</v>
      </c>
    </row>
    <row r="181" ht="15.75" customHeight="1">
      <c r="A181" s="1">
        <f>IFERROR(__xludf.DUMMYFUNCTION("""COMPUTED_VALUE"""),44099.66666666667)</f>
        <v>44099.66667</v>
      </c>
      <c r="B181" s="2">
        <f>IFERROR(__xludf.DUMMYFUNCTION("""COMPUTED_VALUE"""),2985.0)</f>
        <v>2985</v>
      </c>
      <c r="C181" s="2">
        <f>IFERROR(__xludf.DUMMYFUNCTION("""COMPUTED_VALUE"""),3102.0)</f>
        <v>3102</v>
      </c>
      <c r="D181" s="2">
        <f>IFERROR(__xludf.DUMMYFUNCTION("""COMPUTED_VALUE"""),2966.0)</f>
        <v>2966</v>
      </c>
      <c r="E181" s="2">
        <f>IFERROR(__xludf.DUMMYFUNCTION("""COMPUTED_VALUE"""),3083.0)</f>
        <v>3083</v>
      </c>
      <c r="F181" s="2">
        <f>IFERROR(__xludf.DUMMYFUNCTION("""COMPUTED_VALUE"""),1.73655516E8)</f>
        <v>173655516</v>
      </c>
      <c r="G181" s="2">
        <f t="shared" si="1"/>
        <v>146</v>
      </c>
    </row>
    <row r="182" ht="15.75" customHeight="1">
      <c r="A182" s="1">
        <f>IFERROR(__xludf.DUMMYFUNCTION("""COMPUTED_VALUE"""),44102.66666666667)</f>
        <v>44102.66667</v>
      </c>
      <c r="B182" s="2">
        <f>IFERROR(__xludf.DUMMYFUNCTION("""COMPUTED_VALUE"""),3102.0)</f>
        <v>3102</v>
      </c>
      <c r="C182" s="2">
        <f>IFERROR(__xludf.DUMMYFUNCTION("""COMPUTED_VALUE"""),3151.0)</f>
        <v>3151</v>
      </c>
      <c r="D182" s="2">
        <f>IFERROR(__xludf.DUMMYFUNCTION("""COMPUTED_VALUE"""),3005.0)</f>
        <v>3005</v>
      </c>
      <c r="E182" s="2">
        <f>IFERROR(__xludf.DUMMYFUNCTION("""COMPUTED_VALUE"""),3015.0)</f>
        <v>3015</v>
      </c>
      <c r="F182" s="2">
        <f>IFERROR(__xludf.DUMMYFUNCTION("""COMPUTED_VALUE"""),1.38854017E8)</f>
        <v>138854017</v>
      </c>
      <c r="G182" s="2">
        <f t="shared" si="1"/>
        <v>146</v>
      </c>
    </row>
    <row r="183" ht="15.75" customHeight="1">
      <c r="A183" s="1">
        <f>IFERROR(__xludf.DUMMYFUNCTION("""COMPUTED_VALUE"""),44103.66666666667)</f>
        <v>44103.66667</v>
      </c>
      <c r="B183" s="2">
        <f>IFERROR(__xludf.DUMMYFUNCTION("""COMPUTED_VALUE"""),3044.0)</f>
        <v>3044</v>
      </c>
      <c r="C183" s="2">
        <f>IFERROR(__xludf.DUMMYFUNCTION("""COMPUTED_VALUE"""),3083.0)</f>
        <v>3083</v>
      </c>
      <c r="D183" s="2">
        <f>IFERROR(__xludf.DUMMYFUNCTION("""COMPUTED_VALUE"""),2946.0)</f>
        <v>2946</v>
      </c>
      <c r="E183" s="2">
        <f>IFERROR(__xludf.DUMMYFUNCTION("""COMPUTED_VALUE"""),2966.0)</f>
        <v>2966</v>
      </c>
      <c r="F183" s="2">
        <f>IFERROR(__xludf.DUMMYFUNCTION("""COMPUTED_VALUE"""),1.87266661E8)</f>
        <v>187266661</v>
      </c>
      <c r="G183" s="2">
        <f t="shared" si="1"/>
        <v>137</v>
      </c>
    </row>
    <row r="184" ht="15.75" customHeight="1">
      <c r="A184" s="1">
        <f>IFERROR(__xludf.DUMMYFUNCTION("""COMPUTED_VALUE"""),44104.66666666667)</f>
        <v>44104.66667</v>
      </c>
      <c r="B184" s="2">
        <f>IFERROR(__xludf.DUMMYFUNCTION("""COMPUTED_VALUE"""),2985.0)</f>
        <v>2985</v>
      </c>
      <c r="C184" s="2">
        <f>IFERROR(__xludf.DUMMYFUNCTION("""COMPUTED_VALUE"""),3005.0)</f>
        <v>3005</v>
      </c>
      <c r="D184" s="2">
        <f>IFERROR(__xludf.DUMMYFUNCTION("""COMPUTED_VALUE"""),2927.0)</f>
        <v>2927</v>
      </c>
      <c r="E184" s="2">
        <f>IFERROR(__xludf.DUMMYFUNCTION("""COMPUTED_VALUE"""),2966.0)</f>
        <v>2966</v>
      </c>
      <c r="F184" s="2">
        <f>IFERROR(__xludf.DUMMYFUNCTION("""COMPUTED_VALUE"""),1.72033547E8)</f>
        <v>172033547</v>
      </c>
      <c r="G184" s="2">
        <f t="shared" si="1"/>
        <v>78</v>
      </c>
    </row>
    <row r="185" ht="15.75" customHeight="1">
      <c r="A185" s="1">
        <f>IFERROR(__xludf.DUMMYFUNCTION("""COMPUTED_VALUE"""),44105.66666666667)</f>
        <v>44105.66667</v>
      </c>
      <c r="B185" s="2">
        <f>IFERROR(__xludf.DUMMYFUNCTION("""COMPUTED_VALUE"""),3015.0)</f>
        <v>3015</v>
      </c>
      <c r="C185" s="2">
        <f>IFERROR(__xludf.DUMMYFUNCTION("""COMPUTED_VALUE"""),3093.0)</f>
        <v>3093</v>
      </c>
      <c r="D185" s="2">
        <f>IFERROR(__xludf.DUMMYFUNCTION("""COMPUTED_VALUE"""),2985.0)</f>
        <v>2985</v>
      </c>
      <c r="E185" s="2">
        <f>IFERROR(__xludf.DUMMYFUNCTION("""COMPUTED_VALUE"""),3083.0)</f>
        <v>3083</v>
      </c>
      <c r="F185" s="2">
        <f>IFERROR(__xludf.DUMMYFUNCTION("""COMPUTED_VALUE"""),1.33283287E8)</f>
        <v>133283287</v>
      </c>
      <c r="G185" s="2">
        <f t="shared" si="1"/>
        <v>127</v>
      </c>
    </row>
    <row r="186" ht="15.75" customHeight="1">
      <c r="A186" s="1">
        <f>IFERROR(__xludf.DUMMYFUNCTION("""COMPUTED_VALUE"""),44106.66666666667)</f>
        <v>44106.66667</v>
      </c>
      <c r="B186" s="2">
        <f>IFERROR(__xludf.DUMMYFUNCTION("""COMPUTED_VALUE"""),3102.0)</f>
        <v>3102</v>
      </c>
      <c r="C186" s="2">
        <f>IFERROR(__xludf.DUMMYFUNCTION("""COMPUTED_VALUE"""),3132.0)</f>
        <v>3132</v>
      </c>
      <c r="D186" s="2">
        <f>IFERROR(__xludf.DUMMYFUNCTION("""COMPUTED_VALUE"""),2985.0)</f>
        <v>2985</v>
      </c>
      <c r="E186" s="2">
        <f>IFERROR(__xludf.DUMMYFUNCTION("""COMPUTED_VALUE"""),3024.0)</f>
        <v>3024</v>
      </c>
      <c r="F186" s="2">
        <f>IFERROR(__xludf.DUMMYFUNCTION("""COMPUTED_VALUE"""),1.6099201E8)</f>
        <v>160992010</v>
      </c>
      <c r="G186" s="2">
        <f t="shared" si="1"/>
        <v>147</v>
      </c>
    </row>
    <row r="187" ht="15.75" customHeight="1">
      <c r="A187" s="1">
        <f>IFERROR(__xludf.DUMMYFUNCTION("""COMPUTED_VALUE"""),44109.66666666667)</f>
        <v>44109.66667</v>
      </c>
      <c r="B187" s="2">
        <f>IFERROR(__xludf.DUMMYFUNCTION("""COMPUTED_VALUE"""),3083.0)</f>
        <v>3083</v>
      </c>
      <c r="C187" s="2">
        <f>IFERROR(__xludf.DUMMYFUNCTION("""COMPUTED_VALUE"""),3093.0)</f>
        <v>3093</v>
      </c>
      <c r="D187" s="2">
        <f>IFERROR(__xludf.DUMMYFUNCTION("""COMPUTED_VALUE"""),3034.0)</f>
        <v>3034</v>
      </c>
      <c r="E187" s="2">
        <f>IFERROR(__xludf.DUMMYFUNCTION("""COMPUTED_VALUE"""),3083.0)</f>
        <v>3083</v>
      </c>
      <c r="F187" s="2">
        <f>IFERROR(__xludf.DUMMYFUNCTION("""COMPUTED_VALUE"""),9.5042049E7)</f>
        <v>95042049</v>
      </c>
      <c r="G187" s="2">
        <f t="shared" si="1"/>
        <v>69</v>
      </c>
    </row>
    <row r="188" ht="15.75" customHeight="1">
      <c r="A188" s="1">
        <f>IFERROR(__xludf.DUMMYFUNCTION("""COMPUTED_VALUE"""),44110.66666666667)</f>
        <v>44110.66667</v>
      </c>
      <c r="B188" s="2">
        <f>IFERROR(__xludf.DUMMYFUNCTION("""COMPUTED_VALUE"""),3141.0)</f>
        <v>3141</v>
      </c>
      <c r="C188" s="2">
        <f>IFERROR(__xludf.DUMMYFUNCTION("""COMPUTED_VALUE"""),3161.0)</f>
        <v>3161</v>
      </c>
      <c r="D188" s="2">
        <f>IFERROR(__xludf.DUMMYFUNCTION("""COMPUTED_VALUE"""),3102.0)</f>
        <v>3102</v>
      </c>
      <c r="E188" s="2">
        <f>IFERROR(__xludf.DUMMYFUNCTION("""COMPUTED_VALUE"""),3112.0)</f>
        <v>3112</v>
      </c>
      <c r="F188" s="2">
        <f>IFERROR(__xludf.DUMMYFUNCTION("""COMPUTED_VALUE"""),1.23838622E8)</f>
        <v>123838622</v>
      </c>
      <c r="G188" s="2">
        <f t="shared" si="1"/>
        <v>78</v>
      </c>
    </row>
    <row r="189" ht="15.75" customHeight="1">
      <c r="A189" s="1">
        <f>IFERROR(__xludf.DUMMYFUNCTION("""COMPUTED_VALUE"""),44111.66666666667)</f>
        <v>44111.66667</v>
      </c>
      <c r="B189" s="2">
        <f>IFERROR(__xludf.DUMMYFUNCTION("""COMPUTED_VALUE"""),3083.0)</f>
        <v>3083</v>
      </c>
      <c r="C189" s="2">
        <f>IFERROR(__xludf.DUMMYFUNCTION("""COMPUTED_VALUE"""),3093.0)</f>
        <v>3093</v>
      </c>
      <c r="D189" s="2">
        <f>IFERROR(__xludf.DUMMYFUNCTION("""COMPUTED_VALUE"""),3005.0)</f>
        <v>3005</v>
      </c>
      <c r="E189" s="2">
        <f>IFERROR(__xludf.DUMMYFUNCTION("""COMPUTED_VALUE"""),3044.0)</f>
        <v>3044</v>
      </c>
      <c r="F189" s="2">
        <f>IFERROR(__xludf.DUMMYFUNCTION("""COMPUTED_VALUE"""),2.95961953E8)</f>
        <v>295961953</v>
      </c>
      <c r="G189" s="2">
        <f t="shared" si="1"/>
        <v>107</v>
      </c>
    </row>
    <row r="190" ht="15.75" customHeight="1">
      <c r="A190" s="1">
        <f>IFERROR(__xludf.DUMMYFUNCTION("""COMPUTED_VALUE"""),44112.66666666667)</f>
        <v>44112.66667</v>
      </c>
      <c r="B190" s="2">
        <f>IFERROR(__xludf.DUMMYFUNCTION("""COMPUTED_VALUE"""),3073.0)</f>
        <v>3073</v>
      </c>
      <c r="C190" s="2">
        <f>IFERROR(__xludf.DUMMYFUNCTION("""COMPUTED_VALUE"""),3093.0)</f>
        <v>3093</v>
      </c>
      <c r="D190" s="2">
        <f>IFERROR(__xludf.DUMMYFUNCTION("""COMPUTED_VALUE"""),3034.0)</f>
        <v>3034</v>
      </c>
      <c r="E190" s="2">
        <f>IFERROR(__xludf.DUMMYFUNCTION("""COMPUTED_VALUE"""),3073.0)</f>
        <v>3073</v>
      </c>
      <c r="F190" s="2">
        <f>IFERROR(__xludf.DUMMYFUNCTION("""COMPUTED_VALUE"""),1.27023541E8)</f>
        <v>127023541</v>
      </c>
      <c r="G190" s="2">
        <f t="shared" si="1"/>
        <v>59</v>
      </c>
    </row>
    <row r="191" ht="15.75" customHeight="1">
      <c r="A191" s="1">
        <f>IFERROR(__xludf.DUMMYFUNCTION("""COMPUTED_VALUE"""),44113.66666666667)</f>
        <v>44113.66667</v>
      </c>
      <c r="B191" s="2">
        <f>IFERROR(__xludf.DUMMYFUNCTION("""COMPUTED_VALUE"""),3073.0)</f>
        <v>3073</v>
      </c>
      <c r="C191" s="2">
        <f>IFERROR(__xludf.DUMMYFUNCTION("""COMPUTED_VALUE"""),3093.0)</f>
        <v>3093</v>
      </c>
      <c r="D191" s="2">
        <f>IFERROR(__xludf.DUMMYFUNCTION("""COMPUTED_VALUE"""),3044.0)</f>
        <v>3044</v>
      </c>
      <c r="E191" s="2">
        <f>IFERROR(__xludf.DUMMYFUNCTION("""COMPUTED_VALUE"""),3073.0)</f>
        <v>3073</v>
      </c>
      <c r="F191" s="2">
        <f>IFERROR(__xludf.DUMMYFUNCTION("""COMPUTED_VALUE"""),8.3156526E7)</f>
        <v>83156526</v>
      </c>
      <c r="G191" s="2">
        <f t="shared" si="1"/>
        <v>49</v>
      </c>
    </row>
    <row r="192" ht="15.75" customHeight="1">
      <c r="A192" s="1">
        <f>IFERROR(__xludf.DUMMYFUNCTION("""COMPUTED_VALUE"""),44116.66666666667)</f>
        <v>44116.66667</v>
      </c>
      <c r="B192" s="2">
        <f>IFERROR(__xludf.DUMMYFUNCTION("""COMPUTED_VALUE"""),3083.0)</f>
        <v>3083</v>
      </c>
      <c r="C192" s="2">
        <f>IFERROR(__xludf.DUMMYFUNCTION("""COMPUTED_VALUE"""),3132.0)</f>
        <v>3132</v>
      </c>
      <c r="D192" s="2">
        <f>IFERROR(__xludf.DUMMYFUNCTION("""COMPUTED_VALUE"""),3073.0)</f>
        <v>3073</v>
      </c>
      <c r="E192" s="2">
        <f>IFERROR(__xludf.DUMMYFUNCTION("""COMPUTED_VALUE"""),3112.0)</f>
        <v>3112</v>
      </c>
      <c r="F192" s="2">
        <f>IFERROR(__xludf.DUMMYFUNCTION("""COMPUTED_VALUE"""),1.60434515E8)</f>
        <v>160434515</v>
      </c>
      <c r="G192" s="2">
        <f t="shared" si="1"/>
        <v>59</v>
      </c>
    </row>
    <row r="193" ht="15.75" customHeight="1">
      <c r="A193" s="1">
        <f>IFERROR(__xludf.DUMMYFUNCTION("""COMPUTED_VALUE"""),44117.66666666667)</f>
        <v>44117.66667</v>
      </c>
      <c r="B193" s="2">
        <f>IFERROR(__xludf.DUMMYFUNCTION("""COMPUTED_VALUE"""),3112.0)</f>
        <v>3112</v>
      </c>
      <c r="C193" s="2">
        <f>IFERROR(__xludf.DUMMYFUNCTION("""COMPUTED_VALUE"""),3219.0)</f>
        <v>3219</v>
      </c>
      <c r="D193" s="2">
        <f>IFERROR(__xludf.DUMMYFUNCTION("""COMPUTED_VALUE"""),3073.0)</f>
        <v>3073</v>
      </c>
      <c r="E193" s="2">
        <f>IFERROR(__xludf.DUMMYFUNCTION("""COMPUTED_VALUE"""),3200.0)</f>
        <v>3200</v>
      </c>
      <c r="F193" s="2">
        <f>IFERROR(__xludf.DUMMYFUNCTION("""COMPUTED_VALUE"""),2.09551535E8)</f>
        <v>209551535</v>
      </c>
      <c r="G193" s="2">
        <f t="shared" si="1"/>
        <v>146</v>
      </c>
    </row>
    <row r="194" ht="15.75" customHeight="1">
      <c r="A194" s="1">
        <f>IFERROR(__xludf.DUMMYFUNCTION("""COMPUTED_VALUE"""),44118.66666666667)</f>
        <v>44118.66667</v>
      </c>
      <c r="B194" s="2">
        <f>IFERROR(__xludf.DUMMYFUNCTION("""COMPUTED_VALUE"""),3219.0)</f>
        <v>3219</v>
      </c>
      <c r="C194" s="2">
        <f>IFERROR(__xludf.DUMMYFUNCTION("""COMPUTED_VALUE"""),3298.0)</f>
        <v>3298</v>
      </c>
      <c r="D194" s="2">
        <f>IFERROR(__xludf.DUMMYFUNCTION("""COMPUTED_VALUE"""),3210.0)</f>
        <v>3210</v>
      </c>
      <c r="E194" s="2">
        <f>IFERROR(__xludf.DUMMYFUNCTION("""COMPUTED_VALUE"""),3278.0)</f>
        <v>3278</v>
      </c>
      <c r="F194" s="2">
        <f>IFERROR(__xludf.DUMMYFUNCTION("""COMPUTED_VALUE"""),1.9872895E8)</f>
        <v>198728950</v>
      </c>
      <c r="G194" s="2">
        <f t="shared" si="1"/>
        <v>98</v>
      </c>
    </row>
    <row r="195" ht="15.75" customHeight="1">
      <c r="A195" s="1">
        <f>IFERROR(__xludf.DUMMYFUNCTION("""COMPUTED_VALUE"""),44119.66666666667)</f>
        <v>44119.66667</v>
      </c>
      <c r="B195" s="2">
        <f>IFERROR(__xludf.DUMMYFUNCTION("""COMPUTED_VALUE"""),3278.0)</f>
        <v>3278</v>
      </c>
      <c r="C195" s="2">
        <f>IFERROR(__xludf.DUMMYFUNCTION("""COMPUTED_VALUE"""),3298.0)</f>
        <v>3298</v>
      </c>
      <c r="D195" s="2">
        <f>IFERROR(__xludf.DUMMYFUNCTION("""COMPUTED_VALUE"""),3229.0)</f>
        <v>3229</v>
      </c>
      <c r="E195" s="2">
        <f>IFERROR(__xludf.DUMMYFUNCTION("""COMPUTED_VALUE"""),3229.0)</f>
        <v>3229</v>
      </c>
      <c r="F195" s="2">
        <f>IFERROR(__xludf.DUMMYFUNCTION("""COMPUTED_VALUE"""),1.87879298E8)</f>
        <v>187879298</v>
      </c>
      <c r="G195" s="2">
        <f t="shared" si="1"/>
        <v>69</v>
      </c>
    </row>
    <row r="196" ht="15.75" customHeight="1">
      <c r="A196" s="1">
        <f>IFERROR(__xludf.DUMMYFUNCTION("""COMPUTED_VALUE"""),44120.66666666667)</f>
        <v>44120.66667</v>
      </c>
      <c r="B196" s="2">
        <f>IFERROR(__xludf.DUMMYFUNCTION("""COMPUTED_VALUE"""),3258.0)</f>
        <v>3258</v>
      </c>
      <c r="C196" s="2">
        <f>IFERROR(__xludf.DUMMYFUNCTION("""COMPUTED_VALUE"""),3278.0)</f>
        <v>3278</v>
      </c>
      <c r="D196" s="2">
        <f>IFERROR(__xludf.DUMMYFUNCTION("""COMPUTED_VALUE"""),3132.0)</f>
        <v>3132</v>
      </c>
      <c r="E196" s="2">
        <f>IFERROR(__xludf.DUMMYFUNCTION("""COMPUTED_VALUE"""),3171.0)</f>
        <v>3171</v>
      </c>
      <c r="F196" s="2">
        <f>IFERROR(__xludf.DUMMYFUNCTION("""COMPUTED_VALUE"""),1.43956317E8)</f>
        <v>143956317</v>
      </c>
      <c r="G196" s="2">
        <f t="shared" si="1"/>
        <v>146</v>
      </c>
    </row>
    <row r="197" ht="15.75" customHeight="1">
      <c r="A197" s="1">
        <f>IFERROR(__xludf.DUMMYFUNCTION("""COMPUTED_VALUE"""),44123.66666666667)</f>
        <v>44123.66667</v>
      </c>
      <c r="B197" s="2">
        <f>IFERROR(__xludf.DUMMYFUNCTION("""COMPUTED_VALUE"""),3180.0)</f>
        <v>3180</v>
      </c>
      <c r="C197" s="2">
        <f>IFERROR(__xludf.DUMMYFUNCTION("""COMPUTED_VALUE"""),3210.0)</f>
        <v>3210</v>
      </c>
      <c r="D197" s="2">
        <f>IFERROR(__xludf.DUMMYFUNCTION("""COMPUTED_VALUE"""),3151.0)</f>
        <v>3151</v>
      </c>
      <c r="E197" s="2">
        <f>IFERROR(__xludf.DUMMYFUNCTION("""COMPUTED_VALUE"""),3200.0)</f>
        <v>3200</v>
      </c>
      <c r="F197" s="2">
        <f>IFERROR(__xludf.DUMMYFUNCTION("""COMPUTED_VALUE"""),9.8605398E7)</f>
        <v>98605398</v>
      </c>
      <c r="G197" s="2">
        <f t="shared" si="1"/>
        <v>59</v>
      </c>
    </row>
    <row r="198" ht="15.75" customHeight="1">
      <c r="A198" s="1">
        <f>IFERROR(__xludf.DUMMYFUNCTION("""COMPUTED_VALUE"""),44124.66666666667)</f>
        <v>44124.66667</v>
      </c>
      <c r="B198" s="2">
        <f>IFERROR(__xludf.DUMMYFUNCTION("""COMPUTED_VALUE"""),3200.0)</f>
        <v>3200</v>
      </c>
      <c r="C198" s="2">
        <f>IFERROR(__xludf.DUMMYFUNCTION("""COMPUTED_VALUE"""),3210.0)</f>
        <v>3210</v>
      </c>
      <c r="D198" s="2">
        <f>IFERROR(__xludf.DUMMYFUNCTION("""COMPUTED_VALUE"""),3132.0)</f>
        <v>3132</v>
      </c>
      <c r="E198" s="2">
        <f>IFERROR(__xludf.DUMMYFUNCTION("""COMPUTED_VALUE"""),3171.0)</f>
        <v>3171</v>
      </c>
      <c r="F198" s="2">
        <f>IFERROR(__xludf.DUMMYFUNCTION("""COMPUTED_VALUE"""),1.37390813E8)</f>
        <v>137390813</v>
      </c>
      <c r="G198" s="2">
        <f t="shared" si="1"/>
        <v>78</v>
      </c>
    </row>
    <row r="199" ht="15.75" customHeight="1">
      <c r="A199" s="1">
        <f>IFERROR(__xludf.DUMMYFUNCTION("""COMPUTED_VALUE"""),44125.66666666667)</f>
        <v>44125.66667</v>
      </c>
      <c r="B199" s="2">
        <f>IFERROR(__xludf.DUMMYFUNCTION("""COMPUTED_VALUE"""),3200.0)</f>
        <v>3200</v>
      </c>
      <c r="C199" s="2">
        <f>IFERROR(__xludf.DUMMYFUNCTION("""COMPUTED_VALUE"""),3229.0)</f>
        <v>3229</v>
      </c>
      <c r="D199" s="2">
        <f>IFERROR(__xludf.DUMMYFUNCTION("""COMPUTED_VALUE"""),3151.0)</f>
        <v>3151</v>
      </c>
      <c r="E199" s="2">
        <f>IFERROR(__xludf.DUMMYFUNCTION("""COMPUTED_VALUE"""),3161.0)</f>
        <v>3161</v>
      </c>
      <c r="F199" s="2">
        <f>IFERROR(__xludf.DUMMYFUNCTION("""COMPUTED_VALUE"""),1.19907702E8)</f>
        <v>119907702</v>
      </c>
      <c r="G199" s="2">
        <f t="shared" si="1"/>
        <v>78</v>
      </c>
    </row>
    <row r="200" ht="15.75" customHeight="1">
      <c r="A200" s="1">
        <f>IFERROR(__xludf.DUMMYFUNCTION("""COMPUTED_VALUE"""),44126.66666666667)</f>
        <v>44126.66667</v>
      </c>
      <c r="B200" s="2">
        <f>IFERROR(__xludf.DUMMYFUNCTION("""COMPUTED_VALUE"""),3141.0)</f>
        <v>3141</v>
      </c>
      <c r="C200" s="2">
        <f>IFERROR(__xludf.DUMMYFUNCTION("""COMPUTED_VALUE"""),3219.0)</f>
        <v>3219</v>
      </c>
      <c r="D200" s="2">
        <f>IFERROR(__xludf.DUMMYFUNCTION("""COMPUTED_VALUE"""),3122.0)</f>
        <v>3122</v>
      </c>
      <c r="E200" s="2">
        <f>IFERROR(__xludf.DUMMYFUNCTION("""COMPUTED_VALUE"""),3219.0)</f>
        <v>3219</v>
      </c>
      <c r="F200" s="2">
        <f>IFERROR(__xludf.DUMMYFUNCTION("""COMPUTED_VALUE"""),1.64141886E8)</f>
        <v>164141886</v>
      </c>
      <c r="G200" s="2">
        <f t="shared" si="1"/>
        <v>97</v>
      </c>
    </row>
    <row r="201" ht="15.75" customHeight="1">
      <c r="A201" s="1">
        <f>IFERROR(__xludf.DUMMYFUNCTION("""COMPUTED_VALUE"""),44127.66666666667)</f>
        <v>44127.66667</v>
      </c>
      <c r="B201" s="2">
        <f>IFERROR(__xludf.DUMMYFUNCTION("""COMPUTED_VALUE"""),3268.0)</f>
        <v>3268</v>
      </c>
      <c r="C201" s="2">
        <f>IFERROR(__xludf.DUMMYFUNCTION("""COMPUTED_VALUE"""),3268.0)</f>
        <v>3268</v>
      </c>
      <c r="D201" s="2">
        <f>IFERROR(__xludf.DUMMYFUNCTION("""COMPUTED_VALUE"""),3190.0)</f>
        <v>3190</v>
      </c>
      <c r="E201" s="2">
        <f>IFERROR(__xludf.DUMMYFUNCTION("""COMPUTED_VALUE"""),3210.0)</f>
        <v>3210</v>
      </c>
      <c r="F201" s="2">
        <f>IFERROR(__xludf.DUMMYFUNCTION("""COMPUTED_VALUE"""),1.20179018E8)</f>
        <v>120179018</v>
      </c>
      <c r="G201" s="2">
        <f t="shared" si="1"/>
        <v>78</v>
      </c>
    </row>
    <row r="202" ht="15.75" customHeight="1">
      <c r="A202" s="1">
        <f>IFERROR(__xludf.DUMMYFUNCTION("""COMPUTED_VALUE"""),44130.66666666667)</f>
        <v>44130.66667</v>
      </c>
      <c r="B202" s="2">
        <f>IFERROR(__xludf.DUMMYFUNCTION("""COMPUTED_VALUE"""),3219.0)</f>
        <v>3219</v>
      </c>
      <c r="C202" s="2">
        <f>IFERROR(__xludf.DUMMYFUNCTION("""COMPUTED_VALUE"""),3278.0)</f>
        <v>3278</v>
      </c>
      <c r="D202" s="2">
        <f>IFERROR(__xludf.DUMMYFUNCTION("""COMPUTED_VALUE"""),3210.0)</f>
        <v>3210</v>
      </c>
      <c r="E202" s="2">
        <f>IFERROR(__xludf.DUMMYFUNCTION("""COMPUTED_VALUE"""),3258.0)</f>
        <v>3258</v>
      </c>
      <c r="F202" s="2">
        <f>IFERROR(__xludf.DUMMYFUNCTION("""COMPUTED_VALUE"""),1.03754231E8)</f>
        <v>103754231</v>
      </c>
      <c r="G202" s="2">
        <f t="shared" si="1"/>
        <v>68</v>
      </c>
    </row>
    <row r="203" ht="15.75" customHeight="1">
      <c r="A203" s="1">
        <f>IFERROR(__xludf.DUMMYFUNCTION("""COMPUTED_VALUE"""),44131.66666666667)</f>
        <v>44131.66667</v>
      </c>
      <c r="B203" s="2">
        <f>IFERROR(__xludf.DUMMYFUNCTION("""COMPUTED_VALUE"""),3258.0)</f>
        <v>3258</v>
      </c>
      <c r="C203" s="2">
        <f>IFERROR(__xludf.DUMMYFUNCTION("""COMPUTED_VALUE"""),3317.0)</f>
        <v>3317</v>
      </c>
      <c r="D203" s="2">
        <f>IFERROR(__xludf.DUMMYFUNCTION("""COMPUTED_VALUE"""),3249.0)</f>
        <v>3249</v>
      </c>
      <c r="E203" s="2">
        <f>IFERROR(__xludf.DUMMYFUNCTION("""COMPUTED_VALUE"""),3278.0)</f>
        <v>3278</v>
      </c>
      <c r="F203" s="2">
        <f>IFERROR(__xludf.DUMMYFUNCTION("""COMPUTED_VALUE"""),1.87890877E8)</f>
        <v>187890877</v>
      </c>
      <c r="G203" s="2">
        <f t="shared" si="1"/>
        <v>68</v>
      </c>
    </row>
    <row r="204" ht="15.75" customHeight="1">
      <c r="A204" s="1">
        <f>IFERROR(__xludf.DUMMYFUNCTION("""COMPUTED_VALUE"""),44137.66666666667)</f>
        <v>44137.66667</v>
      </c>
      <c r="B204" s="2">
        <f>IFERROR(__xludf.DUMMYFUNCTION("""COMPUTED_VALUE"""),3278.0)</f>
        <v>3278</v>
      </c>
      <c r="C204" s="2">
        <f>IFERROR(__xludf.DUMMYFUNCTION("""COMPUTED_VALUE"""),3307.0)</f>
        <v>3307</v>
      </c>
      <c r="D204" s="2">
        <f>IFERROR(__xludf.DUMMYFUNCTION("""COMPUTED_VALUE"""),3219.0)</f>
        <v>3219</v>
      </c>
      <c r="E204" s="2">
        <f>IFERROR(__xludf.DUMMYFUNCTION("""COMPUTED_VALUE"""),3298.0)</f>
        <v>3298</v>
      </c>
      <c r="F204" s="2">
        <f>IFERROR(__xludf.DUMMYFUNCTION("""COMPUTED_VALUE"""),1.60705423E8)</f>
        <v>160705423</v>
      </c>
      <c r="G204" s="2">
        <f t="shared" si="1"/>
        <v>88</v>
      </c>
    </row>
    <row r="205" ht="15.75" customHeight="1">
      <c r="A205" s="1">
        <f>IFERROR(__xludf.DUMMYFUNCTION("""COMPUTED_VALUE"""),44138.66666666667)</f>
        <v>44138.66667</v>
      </c>
      <c r="B205" s="2">
        <f>IFERROR(__xludf.DUMMYFUNCTION("""COMPUTED_VALUE"""),3307.0)</f>
        <v>3307</v>
      </c>
      <c r="C205" s="2">
        <f>IFERROR(__xludf.DUMMYFUNCTION("""COMPUTED_VALUE"""),3317.0)</f>
        <v>3317</v>
      </c>
      <c r="D205" s="2">
        <f>IFERROR(__xludf.DUMMYFUNCTION("""COMPUTED_VALUE"""),3278.0)</f>
        <v>3278</v>
      </c>
      <c r="E205" s="2">
        <f>IFERROR(__xludf.DUMMYFUNCTION("""COMPUTED_VALUE"""),3298.0)</f>
        <v>3298</v>
      </c>
      <c r="F205" s="2">
        <f>IFERROR(__xludf.DUMMYFUNCTION("""COMPUTED_VALUE"""),1.24493909E8)</f>
        <v>124493909</v>
      </c>
      <c r="G205" s="2">
        <f t="shared" si="1"/>
        <v>39</v>
      </c>
    </row>
    <row r="206" ht="15.75" customHeight="1">
      <c r="A206" s="1">
        <f>IFERROR(__xludf.DUMMYFUNCTION("""COMPUTED_VALUE"""),44139.66666666667)</f>
        <v>44139.66667</v>
      </c>
      <c r="B206" s="2">
        <f>IFERROR(__xludf.DUMMYFUNCTION("""COMPUTED_VALUE"""),3337.0)</f>
        <v>3337</v>
      </c>
      <c r="C206" s="2">
        <f>IFERROR(__xludf.DUMMYFUNCTION("""COMPUTED_VALUE"""),3337.0)</f>
        <v>3337</v>
      </c>
      <c r="D206" s="2">
        <f>IFERROR(__xludf.DUMMYFUNCTION("""COMPUTED_VALUE"""),3210.0)</f>
        <v>3210</v>
      </c>
      <c r="E206" s="2">
        <f>IFERROR(__xludf.DUMMYFUNCTION("""COMPUTED_VALUE"""),3210.0)</f>
        <v>3210</v>
      </c>
      <c r="F206" s="2">
        <f>IFERROR(__xludf.DUMMYFUNCTION("""COMPUTED_VALUE"""),1.41687454E8)</f>
        <v>141687454</v>
      </c>
      <c r="G206" s="2">
        <f t="shared" si="1"/>
        <v>127</v>
      </c>
    </row>
    <row r="207" ht="15.75" customHeight="1">
      <c r="A207" s="1">
        <f>IFERROR(__xludf.DUMMYFUNCTION("""COMPUTED_VALUE"""),44140.66666666667)</f>
        <v>44140.66667</v>
      </c>
      <c r="B207" s="2">
        <f>IFERROR(__xludf.DUMMYFUNCTION("""COMPUTED_VALUE"""),3288.0)</f>
        <v>3288</v>
      </c>
      <c r="C207" s="2">
        <f>IFERROR(__xludf.DUMMYFUNCTION("""COMPUTED_VALUE"""),3405.0)</f>
        <v>3405</v>
      </c>
      <c r="D207" s="2">
        <f>IFERROR(__xludf.DUMMYFUNCTION("""COMPUTED_VALUE"""),3278.0)</f>
        <v>3278</v>
      </c>
      <c r="E207" s="2">
        <f>IFERROR(__xludf.DUMMYFUNCTION("""COMPUTED_VALUE"""),3405.0)</f>
        <v>3405</v>
      </c>
      <c r="F207" s="2">
        <f>IFERROR(__xludf.DUMMYFUNCTION("""COMPUTED_VALUE"""),2.40665154E8)</f>
        <v>240665154</v>
      </c>
      <c r="G207" s="2">
        <f t="shared" si="1"/>
        <v>195</v>
      </c>
    </row>
    <row r="208" ht="15.75" customHeight="1">
      <c r="A208" s="1">
        <f>IFERROR(__xludf.DUMMYFUNCTION("""COMPUTED_VALUE"""),44141.66666666667)</f>
        <v>44141.66667</v>
      </c>
      <c r="B208" s="2">
        <f>IFERROR(__xludf.DUMMYFUNCTION("""COMPUTED_VALUE"""),3424.0)</f>
        <v>3424</v>
      </c>
      <c r="C208" s="2">
        <f>IFERROR(__xludf.DUMMYFUNCTION("""COMPUTED_VALUE"""),3512.0)</f>
        <v>3512</v>
      </c>
      <c r="D208" s="2">
        <f>IFERROR(__xludf.DUMMYFUNCTION("""COMPUTED_VALUE"""),3385.0)</f>
        <v>3385</v>
      </c>
      <c r="E208" s="2">
        <f>IFERROR(__xludf.DUMMYFUNCTION("""COMPUTED_VALUE"""),3473.0)</f>
        <v>3473</v>
      </c>
      <c r="F208" s="2">
        <f>IFERROR(__xludf.DUMMYFUNCTION("""COMPUTED_VALUE"""),2.75490132E8)</f>
        <v>275490132</v>
      </c>
      <c r="G208" s="2">
        <f t="shared" si="1"/>
        <v>127</v>
      </c>
    </row>
    <row r="209" ht="15.75" customHeight="1">
      <c r="A209" s="1">
        <f>IFERROR(__xludf.DUMMYFUNCTION("""COMPUTED_VALUE"""),44144.66666666667)</f>
        <v>44144.66667</v>
      </c>
      <c r="B209" s="2">
        <f>IFERROR(__xludf.DUMMYFUNCTION("""COMPUTED_VALUE"""),3590.0)</f>
        <v>3590</v>
      </c>
      <c r="C209" s="2">
        <f>IFERROR(__xludf.DUMMYFUNCTION("""COMPUTED_VALUE"""),3600.0)</f>
        <v>3600</v>
      </c>
      <c r="D209" s="2">
        <f>IFERROR(__xludf.DUMMYFUNCTION("""COMPUTED_VALUE"""),3493.0)</f>
        <v>3493</v>
      </c>
      <c r="E209" s="2">
        <f>IFERROR(__xludf.DUMMYFUNCTION("""COMPUTED_VALUE"""),3600.0)</f>
        <v>3600</v>
      </c>
      <c r="F209" s="2">
        <f>IFERROR(__xludf.DUMMYFUNCTION("""COMPUTED_VALUE"""),2.63894769E8)</f>
        <v>263894769</v>
      </c>
      <c r="G209" s="2">
        <f t="shared" si="1"/>
        <v>127</v>
      </c>
    </row>
    <row r="210" ht="15.75" customHeight="1">
      <c r="A210" s="1">
        <f>IFERROR(__xludf.DUMMYFUNCTION("""COMPUTED_VALUE"""),44145.66666666667)</f>
        <v>44145.66667</v>
      </c>
      <c r="B210" s="2">
        <f>IFERROR(__xludf.DUMMYFUNCTION("""COMPUTED_VALUE"""),3707.0)</f>
        <v>3707</v>
      </c>
      <c r="C210" s="2">
        <f>IFERROR(__xludf.DUMMYFUNCTION("""COMPUTED_VALUE"""),3912.0)</f>
        <v>3912</v>
      </c>
      <c r="D210" s="2">
        <f>IFERROR(__xludf.DUMMYFUNCTION("""COMPUTED_VALUE"""),3678.0)</f>
        <v>3678</v>
      </c>
      <c r="E210" s="2">
        <f>IFERROR(__xludf.DUMMYFUNCTION("""COMPUTED_VALUE"""),3902.0)</f>
        <v>3902</v>
      </c>
      <c r="F210" s="2">
        <f>IFERROR(__xludf.DUMMYFUNCTION("""COMPUTED_VALUE"""),5.79707752E8)</f>
        <v>579707752</v>
      </c>
      <c r="G210" s="2">
        <f t="shared" si="1"/>
        <v>312</v>
      </c>
    </row>
    <row r="211" ht="15.75" customHeight="1">
      <c r="A211" s="1">
        <f>IFERROR(__xludf.DUMMYFUNCTION("""COMPUTED_VALUE"""),44146.66666666667)</f>
        <v>44146.66667</v>
      </c>
      <c r="B211" s="2">
        <f>IFERROR(__xludf.DUMMYFUNCTION("""COMPUTED_VALUE"""),3873.0)</f>
        <v>3873</v>
      </c>
      <c r="C211" s="2">
        <f>IFERROR(__xludf.DUMMYFUNCTION("""COMPUTED_VALUE"""),4088.0)</f>
        <v>4088</v>
      </c>
      <c r="D211" s="2">
        <f>IFERROR(__xludf.DUMMYFUNCTION("""COMPUTED_VALUE"""),3854.0)</f>
        <v>3854</v>
      </c>
      <c r="E211" s="2">
        <f>IFERROR(__xludf.DUMMYFUNCTION("""COMPUTED_VALUE"""),4019.0)</f>
        <v>4019</v>
      </c>
      <c r="F211" s="2">
        <f>IFERROR(__xludf.DUMMYFUNCTION("""COMPUTED_VALUE"""),3.66029569E8)</f>
        <v>366029569</v>
      </c>
      <c r="G211" s="2">
        <f t="shared" si="1"/>
        <v>234</v>
      </c>
    </row>
    <row r="212" ht="15.75" customHeight="1">
      <c r="A212" s="1">
        <f>IFERROR(__xludf.DUMMYFUNCTION("""COMPUTED_VALUE"""),44147.66666666667)</f>
        <v>44147.66667</v>
      </c>
      <c r="B212" s="2">
        <f>IFERROR(__xludf.DUMMYFUNCTION("""COMPUTED_VALUE"""),4000.0)</f>
        <v>4000</v>
      </c>
      <c r="C212" s="2">
        <f>IFERROR(__xludf.DUMMYFUNCTION("""COMPUTED_VALUE"""),4000.0)</f>
        <v>4000</v>
      </c>
      <c r="D212" s="2">
        <f>IFERROR(__xludf.DUMMYFUNCTION("""COMPUTED_VALUE"""),3824.0)</f>
        <v>3824</v>
      </c>
      <c r="E212" s="2">
        <f>IFERROR(__xludf.DUMMYFUNCTION("""COMPUTED_VALUE"""),3854.0)</f>
        <v>3854</v>
      </c>
      <c r="F212" s="2">
        <f>IFERROR(__xludf.DUMMYFUNCTION("""COMPUTED_VALUE"""),3.41633812E8)</f>
        <v>341633812</v>
      </c>
      <c r="G212" s="2">
        <f t="shared" si="1"/>
        <v>195</v>
      </c>
    </row>
    <row r="213" ht="15.75" customHeight="1">
      <c r="A213" s="1">
        <f>IFERROR(__xludf.DUMMYFUNCTION("""COMPUTED_VALUE"""),44148.66666666667)</f>
        <v>44148.66667</v>
      </c>
      <c r="B213" s="2">
        <f>IFERROR(__xludf.DUMMYFUNCTION("""COMPUTED_VALUE"""),3873.0)</f>
        <v>3873</v>
      </c>
      <c r="C213" s="2">
        <f>IFERROR(__xludf.DUMMYFUNCTION("""COMPUTED_VALUE"""),3980.0)</f>
        <v>3980</v>
      </c>
      <c r="D213" s="2">
        <f>IFERROR(__xludf.DUMMYFUNCTION("""COMPUTED_VALUE"""),3863.0)</f>
        <v>3863</v>
      </c>
      <c r="E213" s="2">
        <f>IFERROR(__xludf.DUMMYFUNCTION("""COMPUTED_VALUE"""),3902.0)</f>
        <v>3902</v>
      </c>
      <c r="F213" s="2">
        <f>IFERROR(__xludf.DUMMYFUNCTION("""COMPUTED_VALUE"""),2.4331111E8)</f>
        <v>243311110</v>
      </c>
      <c r="G213" s="2">
        <f t="shared" si="1"/>
        <v>126</v>
      </c>
    </row>
    <row r="214" ht="15.75" customHeight="1">
      <c r="A214" s="1">
        <f>IFERROR(__xludf.DUMMYFUNCTION("""COMPUTED_VALUE"""),44151.66666666667)</f>
        <v>44151.66667</v>
      </c>
      <c r="B214" s="2">
        <f>IFERROR(__xludf.DUMMYFUNCTION("""COMPUTED_VALUE"""),3951.0)</f>
        <v>3951</v>
      </c>
      <c r="C214" s="2">
        <f>IFERROR(__xludf.DUMMYFUNCTION("""COMPUTED_VALUE"""),3971.0)</f>
        <v>3971</v>
      </c>
      <c r="D214" s="2">
        <f>IFERROR(__xludf.DUMMYFUNCTION("""COMPUTED_VALUE"""),3834.0)</f>
        <v>3834</v>
      </c>
      <c r="E214" s="2">
        <f>IFERROR(__xludf.DUMMYFUNCTION("""COMPUTED_VALUE"""),3863.0)</f>
        <v>3863</v>
      </c>
      <c r="F214" s="2">
        <f>IFERROR(__xludf.DUMMYFUNCTION("""COMPUTED_VALUE"""),1.9784989E8)</f>
        <v>197849890</v>
      </c>
      <c r="G214" s="2">
        <f t="shared" si="1"/>
        <v>137</v>
      </c>
    </row>
    <row r="215" ht="15.75" customHeight="1">
      <c r="A215" s="1">
        <f>IFERROR(__xludf.DUMMYFUNCTION("""COMPUTED_VALUE"""),44152.66666666667)</f>
        <v>44152.66667</v>
      </c>
      <c r="B215" s="2">
        <f>IFERROR(__xludf.DUMMYFUNCTION("""COMPUTED_VALUE"""),3902.0)</f>
        <v>3902</v>
      </c>
      <c r="C215" s="2">
        <f>IFERROR(__xludf.DUMMYFUNCTION("""COMPUTED_VALUE"""),3922.0)</f>
        <v>3922</v>
      </c>
      <c r="D215" s="2">
        <f>IFERROR(__xludf.DUMMYFUNCTION("""COMPUTED_VALUE"""),3834.0)</f>
        <v>3834</v>
      </c>
      <c r="E215" s="2">
        <f>IFERROR(__xludf.DUMMYFUNCTION("""COMPUTED_VALUE"""),3863.0)</f>
        <v>3863</v>
      </c>
      <c r="F215" s="2">
        <f>IFERROR(__xludf.DUMMYFUNCTION("""COMPUTED_VALUE"""),1.85374489E8)</f>
        <v>185374489</v>
      </c>
      <c r="G215" s="2">
        <f t="shared" si="1"/>
        <v>88</v>
      </c>
    </row>
    <row r="216" ht="15.75" customHeight="1">
      <c r="A216" s="1">
        <f>IFERROR(__xludf.DUMMYFUNCTION("""COMPUTED_VALUE"""),44153.66666666667)</f>
        <v>44153.66667</v>
      </c>
      <c r="B216" s="2">
        <f>IFERROR(__xludf.DUMMYFUNCTION("""COMPUTED_VALUE"""),3883.0)</f>
        <v>3883</v>
      </c>
      <c r="C216" s="2">
        <f>IFERROR(__xludf.DUMMYFUNCTION("""COMPUTED_VALUE"""),3951.0)</f>
        <v>3951</v>
      </c>
      <c r="D216" s="2">
        <f>IFERROR(__xludf.DUMMYFUNCTION("""COMPUTED_VALUE"""),3873.0)</f>
        <v>3873</v>
      </c>
      <c r="E216" s="2">
        <f>IFERROR(__xludf.DUMMYFUNCTION("""COMPUTED_VALUE"""),3941.0)</f>
        <v>3941</v>
      </c>
      <c r="F216" s="2">
        <f>IFERROR(__xludf.DUMMYFUNCTION("""COMPUTED_VALUE"""),1.87225853E8)</f>
        <v>187225853</v>
      </c>
      <c r="G216" s="2">
        <f t="shared" si="1"/>
        <v>88</v>
      </c>
    </row>
    <row r="217" ht="15.75" customHeight="1">
      <c r="A217" s="1">
        <f>IFERROR(__xludf.DUMMYFUNCTION("""COMPUTED_VALUE"""),44154.66666666667)</f>
        <v>44154.66667</v>
      </c>
      <c r="B217" s="2">
        <f>IFERROR(__xludf.DUMMYFUNCTION("""COMPUTED_VALUE"""),3912.0)</f>
        <v>3912</v>
      </c>
      <c r="C217" s="2">
        <f>IFERROR(__xludf.DUMMYFUNCTION("""COMPUTED_VALUE"""),4029.0)</f>
        <v>4029</v>
      </c>
      <c r="D217" s="2">
        <f>IFERROR(__xludf.DUMMYFUNCTION("""COMPUTED_VALUE"""),3883.0)</f>
        <v>3883</v>
      </c>
      <c r="E217" s="2">
        <f>IFERROR(__xludf.DUMMYFUNCTION("""COMPUTED_VALUE"""),3941.0)</f>
        <v>3941</v>
      </c>
      <c r="F217" s="2">
        <f>IFERROR(__xludf.DUMMYFUNCTION("""COMPUTED_VALUE"""),2.04695639E8)</f>
        <v>204695639</v>
      </c>
      <c r="G217" s="2">
        <f t="shared" si="1"/>
        <v>146</v>
      </c>
    </row>
    <row r="218" ht="15.75" customHeight="1">
      <c r="A218" s="1">
        <f>IFERROR(__xludf.DUMMYFUNCTION("""COMPUTED_VALUE"""),44155.66666666667)</f>
        <v>44155.66667</v>
      </c>
      <c r="B218" s="2">
        <f>IFERROR(__xludf.DUMMYFUNCTION("""COMPUTED_VALUE"""),3941.0)</f>
        <v>3941</v>
      </c>
      <c r="C218" s="2">
        <f>IFERROR(__xludf.DUMMYFUNCTION("""COMPUTED_VALUE"""),3980.0)</f>
        <v>3980</v>
      </c>
      <c r="D218" s="2">
        <f>IFERROR(__xludf.DUMMYFUNCTION("""COMPUTED_VALUE"""),3893.0)</f>
        <v>3893</v>
      </c>
      <c r="E218" s="2">
        <f>IFERROR(__xludf.DUMMYFUNCTION("""COMPUTED_VALUE"""),3922.0)</f>
        <v>3922</v>
      </c>
      <c r="F218" s="2">
        <f>IFERROR(__xludf.DUMMYFUNCTION("""COMPUTED_VALUE"""),1.27906484E8)</f>
        <v>127906484</v>
      </c>
      <c r="G218" s="2">
        <f t="shared" si="1"/>
        <v>87</v>
      </c>
    </row>
    <row r="219" ht="15.75" customHeight="1">
      <c r="A219" s="1">
        <f>IFERROR(__xludf.DUMMYFUNCTION("""COMPUTED_VALUE"""),44158.66666666667)</f>
        <v>44158.66667</v>
      </c>
      <c r="B219" s="2">
        <f>IFERROR(__xludf.DUMMYFUNCTION("""COMPUTED_VALUE"""),3912.0)</f>
        <v>3912</v>
      </c>
      <c r="C219" s="2">
        <f>IFERROR(__xludf.DUMMYFUNCTION("""COMPUTED_VALUE"""),4000.0)</f>
        <v>4000</v>
      </c>
      <c r="D219" s="2">
        <f>IFERROR(__xludf.DUMMYFUNCTION("""COMPUTED_VALUE"""),3912.0)</f>
        <v>3912</v>
      </c>
      <c r="E219" s="2">
        <f>IFERROR(__xludf.DUMMYFUNCTION("""COMPUTED_VALUE"""),3980.0)</f>
        <v>3980</v>
      </c>
      <c r="F219" s="2">
        <f>IFERROR(__xludf.DUMMYFUNCTION("""COMPUTED_VALUE"""),1.26600107E8)</f>
        <v>126600107</v>
      </c>
      <c r="G219" s="2">
        <f t="shared" si="1"/>
        <v>88</v>
      </c>
    </row>
    <row r="220" ht="15.75" customHeight="1">
      <c r="A220" s="1">
        <f>IFERROR(__xludf.DUMMYFUNCTION("""COMPUTED_VALUE"""),44159.66666666667)</f>
        <v>44159.66667</v>
      </c>
      <c r="B220" s="2">
        <f>IFERROR(__xludf.DUMMYFUNCTION("""COMPUTED_VALUE"""),4019.0)</f>
        <v>4019</v>
      </c>
      <c r="C220" s="2">
        <f>IFERROR(__xludf.DUMMYFUNCTION("""COMPUTED_VALUE"""),4127.0)</f>
        <v>4127</v>
      </c>
      <c r="D220" s="2">
        <f>IFERROR(__xludf.DUMMYFUNCTION("""COMPUTED_VALUE"""),3980.0)</f>
        <v>3980</v>
      </c>
      <c r="E220" s="2">
        <f>IFERROR(__xludf.DUMMYFUNCTION("""COMPUTED_VALUE"""),4098.0)</f>
        <v>4098</v>
      </c>
      <c r="F220" s="2">
        <f>IFERROR(__xludf.DUMMYFUNCTION("""COMPUTED_VALUE"""),2.11320913E8)</f>
        <v>211320913</v>
      </c>
      <c r="G220" s="2">
        <f t="shared" si="1"/>
        <v>147</v>
      </c>
    </row>
    <row r="221" ht="15.75" customHeight="1">
      <c r="A221" s="1">
        <f>IFERROR(__xludf.DUMMYFUNCTION("""COMPUTED_VALUE"""),44160.66666666667)</f>
        <v>44160.66667</v>
      </c>
      <c r="B221" s="2">
        <f>IFERROR(__xludf.DUMMYFUNCTION("""COMPUTED_VALUE"""),4215.0)</f>
        <v>4215</v>
      </c>
      <c r="C221" s="2">
        <f>IFERROR(__xludf.DUMMYFUNCTION("""COMPUTED_VALUE"""),4283.0)</f>
        <v>4283</v>
      </c>
      <c r="D221" s="2">
        <f>IFERROR(__xludf.DUMMYFUNCTION("""COMPUTED_VALUE"""),4146.0)</f>
        <v>4146</v>
      </c>
      <c r="E221" s="2">
        <f>IFERROR(__xludf.DUMMYFUNCTION("""COMPUTED_VALUE"""),4215.0)</f>
        <v>4215</v>
      </c>
      <c r="F221" s="2">
        <f>IFERROR(__xludf.DUMMYFUNCTION("""COMPUTED_VALUE"""),2.90424519E8)</f>
        <v>290424519</v>
      </c>
      <c r="G221" s="2">
        <f t="shared" si="1"/>
        <v>185</v>
      </c>
    </row>
    <row r="222" ht="15.75" customHeight="1">
      <c r="A222" s="1">
        <f>IFERROR(__xludf.DUMMYFUNCTION("""COMPUTED_VALUE"""),44161.66666666667)</f>
        <v>44161.66667</v>
      </c>
      <c r="B222" s="2">
        <f>IFERROR(__xludf.DUMMYFUNCTION("""COMPUTED_VALUE"""),4117.0)</f>
        <v>4117</v>
      </c>
      <c r="C222" s="2">
        <f>IFERROR(__xludf.DUMMYFUNCTION("""COMPUTED_VALUE"""),4215.0)</f>
        <v>4215</v>
      </c>
      <c r="D222" s="2">
        <f>IFERROR(__xludf.DUMMYFUNCTION("""COMPUTED_VALUE"""),4117.0)</f>
        <v>4117</v>
      </c>
      <c r="E222" s="2">
        <f>IFERROR(__xludf.DUMMYFUNCTION("""COMPUTED_VALUE"""),4185.0)</f>
        <v>4185</v>
      </c>
      <c r="F222" s="2">
        <f>IFERROR(__xludf.DUMMYFUNCTION("""COMPUTED_VALUE"""),1.39940834E8)</f>
        <v>139940834</v>
      </c>
      <c r="G222" s="2">
        <f t="shared" si="1"/>
        <v>98</v>
      </c>
    </row>
    <row r="223" ht="15.75" customHeight="1">
      <c r="A223" s="1">
        <f>IFERROR(__xludf.DUMMYFUNCTION("""COMPUTED_VALUE"""),44162.66666666667)</f>
        <v>44162.66667</v>
      </c>
      <c r="B223" s="2">
        <f>IFERROR(__xludf.DUMMYFUNCTION("""COMPUTED_VALUE"""),4224.0)</f>
        <v>4224</v>
      </c>
      <c r="C223" s="2">
        <f>IFERROR(__xludf.DUMMYFUNCTION("""COMPUTED_VALUE"""),4263.0)</f>
        <v>4263</v>
      </c>
      <c r="D223" s="2">
        <f>IFERROR(__xludf.DUMMYFUNCTION("""COMPUTED_VALUE"""),4166.0)</f>
        <v>4166</v>
      </c>
      <c r="E223" s="2">
        <f>IFERROR(__xludf.DUMMYFUNCTION("""COMPUTED_VALUE"""),4166.0)</f>
        <v>4166</v>
      </c>
      <c r="F223" s="2">
        <f>IFERROR(__xludf.DUMMYFUNCTION("""COMPUTED_VALUE"""),1.17815653E8)</f>
        <v>117815653</v>
      </c>
      <c r="G223" s="2">
        <f t="shared" si="1"/>
        <v>97</v>
      </c>
    </row>
    <row r="224" ht="15.75" customHeight="1">
      <c r="A224" s="1">
        <f>IFERROR(__xludf.DUMMYFUNCTION("""COMPUTED_VALUE"""),44165.66666666667)</f>
        <v>44165.66667</v>
      </c>
      <c r="B224" s="2">
        <f>IFERROR(__xludf.DUMMYFUNCTION("""COMPUTED_VALUE"""),4146.0)</f>
        <v>4146</v>
      </c>
      <c r="C224" s="2">
        <f>IFERROR(__xludf.DUMMYFUNCTION("""COMPUTED_VALUE"""),4176.0)</f>
        <v>4176</v>
      </c>
      <c r="D224" s="2">
        <f>IFERROR(__xludf.DUMMYFUNCTION("""COMPUTED_VALUE"""),3893.0)</f>
        <v>3893</v>
      </c>
      <c r="E224" s="2">
        <f>IFERROR(__xludf.DUMMYFUNCTION("""COMPUTED_VALUE"""),3990.0)</f>
        <v>3990</v>
      </c>
      <c r="F224" s="2">
        <f>IFERROR(__xludf.DUMMYFUNCTION("""COMPUTED_VALUE"""),4.6002448E8)</f>
        <v>460024480</v>
      </c>
      <c r="G224" s="2">
        <f t="shared" si="1"/>
        <v>283</v>
      </c>
    </row>
    <row r="225" ht="15.75" customHeight="1">
      <c r="A225" s="1">
        <f>IFERROR(__xludf.DUMMYFUNCTION("""COMPUTED_VALUE"""),44166.66666666667)</f>
        <v>44166.66667</v>
      </c>
      <c r="B225" s="2">
        <f>IFERROR(__xludf.DUMMYFUNCTION("""COMPUTED_VALUE"""),4029.0)</f>
        <v>4029</v>
      </c>
      <c r="C225" s="2">
        <f>IFERROR(__xludf.DUMMYFUNCTION("""COMPUTED_VALUE"""),4156.0)</f>
        <v>4156</v>
      </c>
      <c r="D225" s="2">
        <f>IFERROR(__xludf.DUMMYFUNCTION("""COMPUTED_VALUE"""),3971.0)</f>
        <v>3971</v>
      </c>
      <c r="E225" s="2">
        <f>IFERROR(__xludf.DUMMYFUNCTION("""COMPUTED_VALUE"""),4137.0)</f>
        <v>4137</v>
      </c>
      <c r="F225" s="2">
        <f>IFERROR(__xludf.DUMMYFUNCTION("""COMPUTED_VALUE"""),2.3412558E8)</f>
        <v>234125580</v>
      </c>
      <c r="G225" s="2">
        <f t="shared" si="1"/>
        <v>185</v>
      </c>
    </row>
    <row r="226" ht="15.75" customHeight="1">
      <c r="A226" s="1">
        <f>IFERROR(__xludf.DUMMYFUNCTION("""COMPUTED_VALUE"""),44167.66666666667)</f>
        <v>44167.66667</v>
      </c>
      <c r="B226" s="2">
        <f>IFERROR(__xludf.DUMMYFUNCTION("""COMPUTED_VALUE"""),4215.0)</f>
        <v>4215</v>
      </c>
      <c r="C226" s="2">
        <f>IFERROR(__xludf.DUMMYFUNCTION("""COMPUTED_VALUE"""),4234.0)</f>
        <v>4234</v>
      </c>
      <c r="D226" s="2">
        <f>IFERROR(__xludf.DUMMYFUNCTION("""COMPUTED_VALUE"""),4146.0)</f>
        <v>4146</v>
      </c>
      <c r="E226" s="2">
        <f>IFERROR(__xludf.DUMMYFUNCTION("""COMPUTED_VALUE"""),4195.0)</f>
        <v>4195</v>
      </c>
      <c r="F226" s="2">
        <f>IFERROR(__xludf.DUMMYFUNCTION("""COMPUTED_VALUE"""),1.39758701E8)</f>
        <v>139758701</v>
      </c>
      <c r="G226" s="2">
        <f t="shared" si="1"/>
        <v>97</v>
      </c>
    </row>
    <row r="227" ht="15.75" customHeight="1">
      <c r="A227" s="1">
        <f>IFERROR(__xludf.DUMMYFUNCTION("""COMPUTED_VALUE"""),44168.66666666667)</f>
        <v>44168.66667</v>
      </c>
      <c r="B227" s="2">
        <f>IFERROR(__xludf.DUMMYFUNCTION("""COMPUTED_VALUE"""),4244.0)</f>
        <v>4244</v>
      </c>
      <c r="C227" s="2">
        <f>IFERROR(__xludf.DUMMYFUNCTION("""COMPUTED_VALUE"""),4293.0)</f>
        <v>4293</v>
      </c>
      <c r="D227" s="2">
        <f>IFERROR(__xludf.DUMMYFUNCTION("""COMPUTED_VALUE"""),4195.0)</f>
        <v>4195</v>
      </c>
      <c r="E227" s="2">
        <f>IFERROR(__xludf.DUMMYFUNCTION("""COMPUTED_VALUE"""),4293.0)</f>
        <v>4293</v>
      </c>
      <c r="F227" s="2">
        <f>IFERROR(__xludf.DUMMYFUNCTION("""COMPUTED_VALUE"""),2.03962451E8)</f>
        <v>203962451</v>
      </c>
      <c r="G227" s="2">
        <f t="shared" si="1"/>
        <v>98</v>
      </c>
    </row>
    <row r="228" ht="15.75" customHeight="1">
      <c r="A228" s="1">
        <f>IFERROR(__xludf.DUMMYFUNCTION("""COMPUTED_VALUE"""),44169.66666666667)</f>
        <v>44169.66667</v>
      </c>
      <c r="B228" s="2">
        <f>IFERROR(__xludf.DUMMYFUNCTION("""COMPUTED_VALUE"""),4293.0)</f>
        <v>4293</v>
      </c>
      <c r="C228" s="2">
        <f>IFERROR(__xludf.DUMMYFUNCTION("""COMPUTED_VALUE"""),4293.0)</f>
        <v>4293</v>
      </c>
      <c r="D228" s="2">
        <f>IFERROR(__xludf.DUMMYFUNCTION("""COMPUTED_VALUE"""),4166.0)</f>
        <v>4166</v>
      </c>
      <c r="E228" s="2">
        <f>IFERROR(__xludf.DUMMYFUNCTION("""COMPUTED_VALUE"""),4195.0)</f>
        <v>4195</v>
      </c>
      <c r="F228" s="2">
        <f>IFERROR(__xludf.DUMMYFUNCTION("""COMPUTED_VALUE"""),1.54140944E8)</f>
        <v>154140944</v>
      </c>
      <c r="G228" s="2">
        <f t="shared" si="1"/>
        <v>127</v>
      </c>
    </row>
    <row r="229" ht="15.75" customHeight="1">
      <c r="A229" s="1">
        <f>IFERROR(__xludf.DUMMYFUNCTION("""COMPUTED_VALUE"""),44172.66666666667)</f>
        <v>44172.66667</v>
      </c>
      <c r="B229" s="2">
        <f>IFERROR(__xludf.DUMMYFUNCTION("""COMPUTED_VALUE"""),4244.0)</f>
        <v>4244</v>
      </c>
      <c r="C229" s="2">
        <f>IFERROR(__xludf.DUMMYFUNCTION("""COMPUTED_VALUE"""),4312.0)</f>
        <v>4312</v>
      </c>
      <c r="D229" s="2">
        <f>IFERROR(__xludf.DUMMYFUNCTION("""COMPUTED_VALUE"""),4244.0)</f>
        <v>4244</v>
      </c>
      <c r="E229" s="2">
        <f>IFERROR(__xludf.DUMMYFUNCTION("""COMPUTED_VALUE"""),4293.0)</f>
        <v>4293</v>
      </c>
      <c r="F229" s="2">
        <f>IFERROR(__xludf.DUMMYFUNCTION("""COMPUTED_VALUE"""),1.44372471E8)</f>
        <v>144372471</v>
      </c>
      <c r="G229" s="2">
        <f t="shared" si="1"/>
        <v>117</v>
      </c>
    </row>
    <row r="230" ht="15.75" customHeight="1">
      <c r="A230" s="1">
        <f>IFERROR(__xludf.DUMMYFUNCTION("""COMPUTED_VALUE"""),44173.66666666667)</f>
        <v>44173.66667</v>
      </c>
      <c r="B230" s="2">
        <f>IFERROR(__xludf.DUMMYFUNCTION("""COMPUTED_VALUE"""),4293.0)</f>
        <v>4293</v>
      </c>
      <c r="C230" s="2">
        <f>IFERROR(__xludf.DUMMYFUNCTION("""COMPUTED_VALUE"""),4293.0)</f>
        <v>4293</v>
      </c>
      <c r="D230" s="2">
        <f>IFERROR(__xludf.DUMMYFUNCTION("""COMPUTED_VALUE"""),4234.0)</f>
        <v>4234</v>
      </c>
      <c r="E230" s="2">
        <f>IFERROR(__xludf.DUMMYFUNCTION("""COMPUTED_VALUE"""),4293.0)</f>
        <v>4293</v>
      </c>
      <c r="F230" s="2">
        <f>IFERROR(__xludf.DUMMYFUNCTION("""COMPUTED_VALUE"""),8.3304745E7)</f>
        <v>83304745</v>
      </c>
      <c r="G230" s="2">
        <f t="shared" si="1"/>
        <v>59</v>
      </c>
    </row>
    <row r="231" ht="15.75" customHeight="1">
      <c r="A231" s="1">
        <f>IFERROR(__xludf.DUMMYFUNCTION("""COMPUTED_VALUE"""),44175.66666666667)</f>
        <v>44175.66667</v>
      </c>
      <c r="B231" s="2">
        <f>IFERROR(__xludf.DUMMYFUNCTION("""COMPUTED_VALUE"""),4341.0)</f>
        <v>4341</v>
      </c>
      <c r="C231" s="2">
        <f>IFERROR(__xludf.DUMMYFUNCTION("""COMPUTED_VALUE"""),4341.0)</f>
        <v>4341</v>
      </c>
      <c r="D231" s="2">
        <f>IFERROR(__xludf.DUMMYFUNCTION("""COMPUTED_VALUE"""),4224.0)</f>
        <v>4224</v>
      </c>
      <c r="E231" s="2">
        <f>IFERROR(__xludf.DUMMYFUNCTION("""COMPUTED_VALUE"""),4224.0)</f>
        <v>4224</v>
      </c>
      <c r="F231" s="2">
        <f>IFERROR(__xludf.DUMMYFUNCTION("""COMPUTED_VALUE"""),1.9847361E8)</f>
        <v>198473610</v>
      </c>
      <c r="G231" s="2">
        <f t="shared" si="1"/>
        <v>117</v>
      </c>
    </row>
    <row r="232" ht="15.75" customHeight="1">
      <c r="A232" s="1">
        <f>IFERROR(__xludf.DUMMYFUNCTION("""COMPUTED_VALUE"""),44176.66666666667)</f>
        <v>44176.66667</v>
      </c>
      <c r="B232" s="2">
        <f>IFERROR(__xludf.DUMMYFUNCTION("""COMPUTED_VALUE"""),4293.0)</f>
        <v>4293</v>
      </c>
      <c r="C232" s="2">
        <f>IFERROR(__xludf.DUMMYFUNCTION("""COMPUTED_VALUE"""),4293.0)</f>
        <v>4293</v>
      </c>
      <c r="D232" s="2">
        <f>IFERROR(__xludf.DUMMYFUNCTION("""COMPUTED_VALUE"""),4156.0)</f>
        <v>4156</v>
      </c>
      <c r="E232" s="2">
        <f>IFERROR(__xludf.DUMMYFUNCTION("""COMPUTED_VALUE"""),4176.0)</f>
        <v>4176</v>
      </c>
      <c r="F232" s="2">
        <f>IFERROR(__xludf.DUMMYFUNCTION("""COMPUTED_VALUE"""),1.78810091E8)</f>
        <v>178810091</v>
      </c>
      <c r="G232" s="2">
        <f t="shared" si="1"/>
        <v>137</v>
      </c>
    </row>
    <row r="233" ht="15.75" customHeight="1">
      <c r="A233" s="1">
        <f>IFERROR(__xludf.DUMMYFUNCTION("""COMPUTED_VALUE"""),44179.66666666667)</f>
        <v>44179.66667</v>
      </c>
      <c r="B233" s="2">
        <f>IFERROR(__xludf.DUMMYFUNCTION("""COMPUTED_VALUE"""),4195.0)</f>
        <v>4195</v>
      </c>
      <c r="C233" s="2">
        <f>IFERROR(__xludf.DUMMYFUNCTION("""COMPUTED_VALUE"""),4205.0)</f>
        <v>4205</v>
      </c>
      <c r="D233" s="2">
        <f>IFERROR(__xludf.DUMMYFUNCTION("""COMPUTED_VALUE"""),4166.0)</f>
        <v>4166</v>
      </c>
      <c r="E233" s="2">
        <f>IFERROR(__xludf.DUMMYFUNCTION("""COMPUTED_VALUE"""),4176.0)</f>
        <v>4176</v>
      </c>
      <c r="F233" s="2">
        <f>IFERROR(__xludf.DUMMYFUNCTION("""COMPUTED_VALUE"""),1.30571314E8)</f>
        <v>130571314</v>
      </c>
      <c r="G233" s="2">
        <f t="shared" si="1"/>
        <v>39</v>
      </c>
    </row>
    <row r="234" ht="15.75" customHeight="1">
      <c r="A234" s="1">
        <f>IFERROR(__xludf.DUMMYFUNCTION("""COMPUTED_VALUE"""),44180.66666666667)</f>
        <v>44180.66667</v>
      </c>
      <c r="B234" s="2">
        <f>IFERROR(__xludf.DUMMYFUNCTION("""COMPUTED_VALUE"""),4176.0)</f>
        <v>4176</v>
      </c>
      <c r="C234" s="2">
        <f>IFERROR(__xludf.DUMMYFUNCTION("""COMPUTED_VALUE"""),4185.0)</f>
        <v>4185</v>
      </c>
      <c r="D234" s="2">
        <f>IFERROR(__xludf.DUMMYFUNCTION("""COMPUTED_VALUE"""),4137.0)</f>
        <v>4137</v>
      </c>
      <c r="E234" s="2">
        <f>IFERROR(__xludf.DUMMYFUNCTION("""COMPUTED_VALUE"""),4176.0)</f>
        <v>4176</v>
      </c>
      <c r="F234" s="2">
        <f>IFERROR(__xludf.DUMMYFUNCTION("""COMPUTED_VALUE"""),1.37056355E8)</f>
        <v>137056355</v>
      </c>
      <c r="G234" s="2">
        <f t="shared" si="1"/>
        <v>48</v>
      </c>
    </row>
    <row r="235" ht="15.75" customHeight="1">
      <c r="A235" s="1">
        <f>IFERROR(__xludf.DUMMYFUNCTION("""COMPUTED_VALUE"""),44181.66666666667)</f>
        <v>44181.66667</v>
      </c>
      <c r="B235" s="2">
        <f>IFERROR(__xludf.DUMMYFUNCTION("""COMPUTED_VALUE"""),4234.0)</f>
        <v>4234</v>
      </c>
      <c r="C235" s="2">
        <f>IFERROR(__xludf.DUMMYFUNCTION("""COMPUTED_VALUE"""),4244.0)</f>
        <v>4244</v>
      </c>
      <c r="D235" s="2">
        <f>IFERROR(__xludf.DUMMYFUNCTION("""COMPUTED_VALUE"""),4195.0)</f>
        <v>4195</v>
      </c>
      <c r="E235" s="2">
        <f>IFERROR(__xludf.DUMMYFUNCTION("""COMPUTED_VALUE"""),4215.0)</f>
        <v>4215</v>
      </c>
      <c r="F235" s="2">
        <f>IFERROR(__xludf.DUMMYFUNCTION("""COMPUTED_VALUE"""),1.33297429E8)</f>
        <v>133297429</v>
      </c>
      <c r="G235" s="2">
        <f t="shared" si="1"/>
        <v>68</v>
      </c>
    </row>
    <row r="236" ht="15.75" customHeight="1">
      <c r="A236" s="1">
        <f>IFERROR(__xludf.DUMMYFUNCTION("""COMPUTED_VALUE"""),44182.66666666667)</f>
        <v>44182.66667</v>
      </c>
      <c r="B236" s="2">
        <f>IFERROR(__xludf.DUMMYFUNCTION("""COMPUTED_VALUE"""),4254.0)</f>
        <v>4254</v>
      </c>
      <c r="C236" s="2">
        <f>IFERROR(__xludf.DUMMYFUNCTION("""COMPUTED_VALUE"""),4254.0)</f>
        <v>4254</v>
      </c>
      <c r="D236" s="2">
        <f>IFERROR(__xludf.DUMMYFUNCTION("""COMPUTED_VALUE"""),4205.0)</f>
        <v>4205</v>
      </c>
      <c r="E236" s="2">
        <f>IFERROR(__xludf.DUMMYFUNCTION("""COMPUTED_VALUE"""),4224.0)</f>
        <v>4224</v>
      </c>
      <c r="F236" s="2">
        <f>IFERROR(__xludf.DUMMYFUNCTION("""COMPUTED_VALUE"""),1.45271935E8)</f>
        <v>145271935</v>
      </c>
      <c r="G236" s="2">
        <f t="shared" si="1"/>
        <v>49</v>
      </c>
    </row>
    <row r="237" ht="15.75" customHeight="1">
      <c r="A237" s="1">
        <f>IFERROR(__xludf.DUMMYFUNCTION("""COMPUTED_VALUE"""),44183.66666666667)</f>
        <v>44183.66667</v>
      </c>
      <c r="B237" s="2">
        <f>IFERROR(__xludf.DUMMYFUNCTION("""COMPUTED_VALUE"""),4166.0)</f>
        <v>4166</v>
      </c>
      <c r="C237" s="2">
        <f>IFERROR(__xludf.DUMMYFUNCTION("""COMPUTED_VALUE"""),4195.0)</f>
        <v>4195</v>
      </c>
      <c r="D237" s="2">
        <f>IFERROR(__xludf.DUMMYFUNCTION("""COMPUTED_VALUE"""),4166.0)</f>
        <v>4166</v>
      </c>
      <c r="E237" s="2">
        <f>IFERROR(__xludf.DUMMYFUNCTION("""COMPUTED_VALUE"""),4176.0)</f>
        <v>4176</v>
      </c>
      <c r="F237" s="2">
        <f>IFERROR(__xludf.DUMMYFUNCTION("""COMPUTED_VALUE"""),2.12598382E8)</f>
        <v>212598382</v>
      </c>
      <c r="G237" s="2">
        <f t="shared" si="1"/>
        <v>58</v>
      </c>
    </row>
    <row r="238" ht="15.75" customHeight="1">
      <c r="A238" s="1">
        <f>IFERROR(__xludf.DUMMYFUNCTION("""COMPUTED_VALUE"""),44186.66666666667)</f>
        <v>44186.66667</v>
      </c>
      <c r="B238" s="2">
        <f>IFERROR(__xludf.DUMMYFUNCTION("""COMPUTED_VALUE"""),4224.0)</f>
        <v>4224</v>
      </c>
      <c r="C238" s="2">
        <f>IFERROR(__xludf.DUMMYFUNCTION("""COMPUTED_VALUE"""),4234.0)</f>
        <v>4234</v>
      </c>
      <c r="D238" s="2">
        <f>IFERROR(__xludf.DUMMYFUNCTION("""COMPUTED_VALUE"""),4107.0)</f>
        <v>4107</v>
      </c>
      <c r="E238" s="2">
        <f>IFERROR(__xludf.DUMMYFUNCTION("""COMPUTED_VALUE"""),4107.0)</f>
        <v>4107</v>
      </c>
      <c r="F238" s="2">
        <f>IFERROR(__xludf.DUMMYFUNCTION("""COMPUTED_VALUE"""),2.24445659E8)</f>
        <v>224445659</v>
      </c>
      <c r="G238" s="2">
        <f t="shared" si="1"/>
        <v>127</v>
      </c>
    </row>
    <row r="239" ht="15.75" customHeight="1">
      <c r="A239" s="1">
        <f>IFERROR(__xludf.DUMMYFUNCTION("""COMPUTED_VALUE"""),44187.66666666667)</f>
        <v>44187.66667</v>
      </c>
      <c r="B239" s="2">
        <f>IFERROR(__xludf.DUMMYFUNCTION("""COMPUTED_VALUE"""),4137.0)</f>
        <v>4137</v>
      </c>
      <c r="C239" s="2">
        <f>IFERROR(__xludf.DUMMYFUNCTION("""COMPUTED_VALUE"""),4176.0)</f>
        <v>4176</v>
      </c>
      <c r="D239" s="2">
        <f>IFERROR(__xludf.DUMMYFUNCTION("""COMPUTED_VALUE"""),4019.0)</f>
        <v>4019</v>
      </c>
      <c r="E239" s="2">
        <f>IFERROR(__xludf.DUMMYFUNCTION("""COMPUTED_VALUE"""),4029.0)</f>
        <v>4029</v>
      </c>
      <c r="F239" s="2">
        <f>IFERROR(__xludf.DUMMYFUNCTION("""COMPUTED_VALUE"""),1.75773094E8)</f>
        <v>175773094</v>
      </c>
      <c r="G239" s="2">
        <f t="shared" si="1"/>
        <v>157</v>
      </c>
    </row>
    <row r="240" ht="15.75" customHeight="1">
      <c r="A240" s="1">
        <f>IFERROR(__xludf.DUMMYFUNCTION("""COMPUTED_VALUE"""),44188.66666666667)</f>
        <v>44188.66667</v>
      </c>
      <c r="B240" s="2">
        <f>IFERROR(__xludf.DUMMYFUNCTION("""COMPUTED_VALUE"""),4049.0)</f>
        <v>4049</v>
      </c>
      <c r="C240" s="2">
        <f>IFERROR(__xludf.DUMMYFUNCTION("""COMPUTED_VALUE"""),4078.0)</f>
        <v>4078</v>
      </c>
      <c r="D240" s="2">
        <f>IFERROR(__xludf.DUMMYFUNCTION("""COMPUTED_VALUE"""),3854.0)</f>
        <v>3854</v>
      </c>
      <c r="E240" s="2">
        <f>IFERROR(__xludf.DUMMYFUNCTION("""COMPUTED_VALUE"""),4058.0)</f>
        <v>4058</v>
      </c>
      <c r="F240" s="2">
        <f>IFERROR(__xludf.DUMMYFUNCTION("""COMPUTED_VALUE"""),1.74412792E8)</f>
        <v>174412792</v>
      </c>
      <c r="G240" s="2">
        <f t="shared" si="1"/>
        <v>224</v>
      </c>
    </row>
    <row r="241" ht="15.75" customHeight="1">
      <c r="A241" s="1">
        <f>IFERROR(__xludf.DUMMYFUNCTION("""COMPUTED_VALUE"""),44193.66666666667)</f>
        <v>44193.66667</v>
      </c>
      <c r="B241" s="2">
        <f>IFERROR(__xludf.DUMMYFUNCTION("""COMPUTED_VALUE"""),4146.0)</f>
        <v>4146</v>
      </c>
      <c r="C241" s="2">
        <f>IFERROR(__xludf.DUMMYFUNCTION("""COMPUTED_VALUE"""),4156.0)</f>
        <v>4156</v>
      </c>
      <c r="D241" s="2">
        <f>IFERROR(__xludf.DUMMYFUNCTION("""COMPUTED_VALUE"""),4058.0)</f>
        <v>4058</v>
      </c>
      <c r="E241" s="2">
        <f>IFERROR(__xludf.DUMMYFUNCTION("""COMPUTED_VALUE"""),4146.0)</f>
        <v>4146</v>
      </c>
      <c r="F241" s="2">
        <f>IFERROR(__xludf.DUMMYFUNCTION("""COMPUTED_VALUE"""),8.8270926E7)</f>
        <v>88270926</v>
      </c>
      <c r="G241" s="2">
        <f t="shared" si="1"/>
        <v>98</v>
      </c>
    </row>
    <row r="242" ht="15.75" customHeight="1">
      <c r="A242" s="1">
        <f>IFERROR(__xludf.DUMMYFUNCTION("""COMPUTED_VALUE"""),44194.66666666667)</f>
        <v>44194.66667</v>
      </c>
      <c r="B242" s="2">
        <f>IFERROR(__xludf.DUMMYFUNCTION("""COMPUTED_VALUE"""),4146.0)</f>
        <v>4146</v>
      </c>
      <c r="C242" s="2">
        <f>IFERROR(__xludf.DUMMYFUNCTION("""COMPUTED_VALUE"""),4176.0)</f>
        <v>4176</v>
      </c>
      <c r="D242" s="2">
        <f>IFERROR(__xludf.DUMMYFUNCTION("""COMPUTED_VALUE"""),4068.0)</f>
        <v>4068</v>
      </c>
      <c r="E242" s="2">
        <f>IFERROR(__xludf.DUMMYFUNCTION("""COMPUTED_VALUE"""),4078.0)</f>
        <v>4078</v>
      </c>
      <c r="F242" s="2">
        <f>IFERROR(__xludf.DUMMYFUNCTION("""COMPUTED_VALUE"""),7.7084567E7)</f>
        <v>77084567</v>
      </c>
      <c r="G242" s="2">
        <f t="shared" si="1"/>
        <v>108</v>
      </c>
    </row>
    <row r="243" ht="15.75" customHeight="1">
      <c r="A243" s="1">
        <f>IFERROR(__xludf.DUMMYFUNCTION("""COMPUTED_VALUE"""),44195.66666666667)</f>
        <v>44195.66667</v>
      </c>
      <c r="B243" s="2">
        <f>IFERROR(__xludf.DUMMYFUNCTION("""COMPUTED_VALUE"""),4088.0)</f>
        <v>4088</v>
      </c>
      <c r="C243" s="2">
        <f>IFERROR(__xludf.DUMMYFUNCTION("""COMPUTED_VALUE"""),4107.0)</f>
        <v>4107</v>
      </c>
      <c r="D243" s="2">
        <f>IFERROR(__xludf.DUMMYFUNCTION("""COMPUTED_VALUE"""),4029.0)</f>
        <v>4029</v>
      </c>
      <c r="E243" s="2">
        <f>IFERROR(__xludf.DUMMYFUNCTION("""COMPUTED_VALUE"""),4068.0)</f>
        <v>4068</v>
      </c>
      <c r="F243" s="2">
        <f>IFERROR(__xludf.DUMMYFUNCTION("""COMPUTED_VALUE"""),9.2272467E7)</f>
        <v>92272467</v>
      </c>
      <c r="G243" s="2">
        <f t="shared" si="1"/>
        <v>78</v>
      </c>
    </row>
    <row r="244" ht="15.75" customHeight="1">
      <c r="A244" s="1">
        <f>IFERROR(__xludf.DUMMYFUNCTION("""COMPUTED_VALUE"""),44200.625)</f>
        <v>44200.625</v>
      </c>
      <c r="B244" s="2">
        <f>IFERROR(__xludf.DUMMYFUNCTION("""COMPUTED_VALUE"""),4049.0)</f>
        <v>4049</v>
      </c>
      <c r="C244" s="2">
        <f>IFERROR(__xludf.DUMMYFUNCTION("""COMPUTED_VALUE"""),4215.0)</f>
        <v>4215</v>
      </c>
      <c r="D244" s="2">
        <f>IFERROR(__xludf.DUMMYFUNCTION("""COMPUTED_VALUE"""),4049.0)</f>
        <v>4049</v>
      </c>
      <c r="E244" s="2">
        <f>IFERROR(__xludf.DUMMYFUNCTION("""COMPUTED_VALUE"""),4205.0)</f>
        <v>4205</v>
      </c>
      <c r="F244" s="2">
        <f>IFERROR(__xludf.DUMMYFUNCTION("""COMPUTED_VALUE"""),9.8983531E7)</f>
        <v>98983531</v>
      </c>
      <c r="G244" s="2">
        <f t="shared" si="1"/>
        <v>166</v>
      </c>
    </row>
    <row r="245" ht="15.75" customHeight="1">
      <c r="A245" s="1">
        <f>IFERROR(__xludf.DUMMYFUNCTION("""COMPUTED_VALUE"""),44201.625)</f>
        <v>44201.625</v>
      </c>
      <c r="B245" s="2">
        <f>IFERROR(__xludf.DUMMYFUNCTION("""COMPUTED_VALUE"""),4195.0)</f>
        <v>4195</v>
      </c>
      <c r="C245" s="2">
        <f>IFERROR(__xludf.DUMMYFUNCTION("""COMPUTED_VALUE"""),4195.0)</f>
        <v>4195</v>
      </c>
      <c r="D245" s="2">
        <f>IFERROR(__xludf.DUMMYFUNCTION("""COMPUTED_VALUE"""),4137.0)</f>
        <v>4137</v>
      </c>
      <c r="E245" s="2">
        <f>IFERROR(__xludf.DUMMYFUNCTION("""COMPUTED_VALUE"""),4166.0)</f>
        <v>4166</v>
      </c>
      <c r="F245" s="2">
        <f>IFERROR(__xludf.DUMMYFUNCTION("""COMPUTED_VALUE"""),9.967121E7)</f>
        <v>99671210</v>
      </c>
      <c r="G245" s="2">
        <f t="shared" si="1"/>
        <v>68</v>
      </c>
    </row>
    <row r="246" ht="15.75" customHeight="1">
      <c r="A246" s="1">
        <f>IFERROR(__xludf.DUMMYFUNCTION("""COMPUTED_VALUE"""),44202.625)</f>
        <v>44202.625</v>
      </c>
      <c r="B246" s="2">
        <f>IFERROR(__xludf.DUMMYFUNCTION("""COMPUTED_VALUE"""),4176.0)</f>
        <v>4176</v>
      </c>
      <c r="C246" s="2">
        <f>IFERROR(__xludf.DUMMYFUNCTION("""COMPUTED_VALUE"""),4195.0)</f>
        <v>4195</v>
      </c>
      <c r="D246" s="2">
        <f>IFERROR(__xludf.DUMMYFUNCTION("""COMPUTED_VALUE"""),4058.0)</f>
        <v>4058</v>
      </c>
      <c r="E246" s="2">
        <f>IFERROR(__xludf.DUMMYFUNCTION("""COMPUTED_VALUE"""),4098.0)</f>
        <v>4098</v>
      </c>
      <c r="F246" s="2">
        <f>IFERROR(__xludf.DUMMYFUNCTION("""COMPUTED_VALUE"""),1.19551206E8)</f>
        <v>119551206</v>
      </c>
      <c r="G246" s="2">
        <f t="shared" si="1"/>
        <v>137</v>
      </c>
    </row>
    <row r="247" ht="15.75" customHeight="1">
      <c r="A247" s="1">
        <f>IFERROR(__xludf.DUMMYFUNCTION("""COMPUTED_VALUE"""),44203.66666666667)</f>
        <v>44203.66667</v>
      </c>
      <c r="B247" s="2">
        <f>IFERROR(__xludf.DUMMYFUNCTION("""COMPUTED_VALUE"""),4156.0)</f>
        <v>4156</v>
      </c>
      <c r="C247" s="2">
        <f>IFERROR(__xludf.DUMMYFUNCTION("""COMPUTED_VALUE"""),4185.0)</f>
        <v>4185</v>
      </c>
      <c r="D247" s="2">
        <f>IFERROR(__xludf.DUMMYFUNCTION("""COMPUTED_VALUE"""),4107.0)</f>
        <v>4107</v>
      </c>
      <c r="E247" s="2">
        <f>IFERROR(__xludf.DUMMYFUNCTION("""COMPUTED_VALUE"""),4176.0)</f>
        <v>4176</v>
      </c>
      <c r="F247" s="2">
        <f>IFERROR(__xludf.DUMMYFUNCTION("""COMPUTED_VALUE"""),1.32129532E8)</f>
        <v>132129532</v>
      </c>
      <c r="G247" s="2">
        <f t="shared" si="1"/>
        <v>87</v>
      </c>
    </row>
    <row r="248" ht="15.75" customHeight="1">
      <c r="A248" s="1">
        <f>IFERROR(__xludf.DUMMYFUNCTION("""COMPUTED_VALUE"""),44204.66666666667)</f>
        <v>44204.66667</v>
      </c>
      <c r="B248" s="2">
        <f>IFERROR(__xludf.DUMMYFUNCTION("""COMPUTED_VALUE"""),4224.0)</f>
        <v>4224</v>
      </c>
      <c r="C248" s="2">
        <f>IFERROR(__xludf.DUMMYFUNCTION("""COMPUTED_VALUE"""),4283.0)</f>
        <v>4283</v>
      </c>
      <c r="D248" s="2">
        <f>IFERROR(__xludf.DUMMYFUNCTION("""COMPUTED_VALUE"""),4195.0)</f>
        <v>4195</v>
      </c>
      <c r="E248" s="2">
        <f>IFERROR(__xludf.DUMMYFUNCTION("""COMPUTED_VALUE"""),4283.0)</f>
        <v>4283</v>
      </c>
      <c r="F248" s="2">
        <f>IFERROR(__xludf.DUMMYFUNCTION("""COMPUTED_VALUE"""),1.9103233E8)</f>
        <v>191032330</v>
      </c>
      <c r="G248" s="2">
        <f t="shared" si="1"/>
        <v>107</v>
      </c>
    </row>
    <row r="249" ht="15.75" customHeight="1">
      <c r="A249" s="1">
        <f>IFERROR(__xludf.DUMMYFUNCTION("""COMPUTED_VALUE"""),44207.625)</f>
        <v>44207.625</v>
      </c>
      <c r="B249" s="2">
        <f>IFERROR(__xludf.DUMMYFUNCTION("""COMPUTED_VALUE"""),4312.0)</f>
        <v>4312</v>
      </c>
      <c r="C249" s="2">
        <f>IFERROR(__xludf.DUMMYFUNCTION("""COMPUTED_VALUE"""),4546.0)</f>
        <v>4546</v>
      </c>
      <c r="D249" s="2">
        <f>IFERROR(__xludf.DUMMYFUNCTION("""COMPUTED_VALUE"""),4302.0)</f>
        <v>4302</v>
      </c>
      <c r="E249" s="2">
        <f>IFERROR(__xludf.DUMMYFUNCTION("""COMPUTED_VALUE"""),4537.0)</f>
        <v>4537</v>
      </c>
      <c r="F249" s="2">
        <f>IFERROR(__xludf.DUMMYFUNCTION("""COMPUTED_VALUE"""),3.93311823E8)</f>
        <v>393311823</v>
      </c>
      <c r="G249" s="2">
        <f t="shared" si="1"/>
        <v>263</v>
      </c>
    </row>
    <row r="250" ht="15.75" customHeight="1">
      <c r="A250" s="1">
        <f>IFERROR(__xludf.DUMMYFUNCTION("""COMPUTED_VALUE"""),44208.625)</f>
        <v>44208.625</v>
      </c>
      <c r="B250" s="2">
        <f>IFERROR(__xludf.DUMMYFUNCTION("""COMPUTED_VALUE"""),4566.0)</f>
        <v>4566</v>
      </c>
      <c r="C250" s="2">
        <f>IFERROR(__xludf.DUMMYFUNCTION("""COMPUTED_VALUE"""),4654.0)</f>
        <v>4654</v>
      </c>
      <c r="D250" s="2">
        <f>IFERROR(__xludf.DUMMYFUNCTION("""COMPUTED_VALUE"""),4556.0)</f>
        <v>4556</v>
      </c>
      <c r="E250" s="2">
        <f>IFERROR(__xludf.DUMMYFUNCTION("""COMPUTED_VALUE"""),4605.0)</f>
        <v>4605</v>
      </c>
      <c r="F250" s="2">
        <f>IFERROR(__xludf.DUMMYFUNCTION("""COMPUTED_VALUE"""),2.42635114E8)</f>
        <v>242635114</v>
      </c>
      <c r="G250" s="2">
        <f t="shared" si="1"/>
        <v>117</v>
      </c>
    </row>
    <row r="251" ht="15.75" customHeight="1">
      <c r="A251" s="1">
        <f>IFERROR(__xludf.DUMMYFUNCTION("""COMPUTED_VALUE"""),44209.625)</f>
        <v>44209.625</v>
      </c>
      <c r="B251" s="2">
        <f>IFERROR(__xludf.DUMMYFUNCTION("""COMPUTED_VALUE"""),4654.0)</f>
        <v>4654</v>
      </c>
      <c r="C251" s="2">
        <f>IFERROR(__xludf.DUMMYFUNCTION("""COMPUTED_VALUE"""),4722.0)</f>
        <v>4722</v>
      </c>
      <c r="D251" s="2">
        <f>IFERROR(__xludf.DUMMYFUNCTION("""COMPUTED_VALUE"""),4634.0)</f>
        <v>4634</v>
      </c>
      <c r="E251" s="2">
        <f>IFERROR(__xludf.DUMMYFUNCTION("""COMPUTED_VALUE"""),4673.0)</f>
        <v>4673</v>
      </c>
      <c r="F251" s="2">
        <f>IFERROR(__xludf.DUMMYFUNCTION("""COMPUTED_VALUE"""),2.15417884E8)</f>
        <v>215417884</v>
      </c>
      <c r="G251" s="2">
        <f t="shared" si="1"/>
        <v>117</v>
      </c>
    </row>
    <row r="252" ht="15.75" customHeight="1">
      <c r="A252" s="1">
        <f>IFERROR(__xludf.DUMMYFUNCTION("""COMPUTED_VALUE"""),44210.625)</f>
        <v>44210.625</v>
      </c>
      <c r="B252" s="2">
        <f>IFERROR(__xludf.DUMMYFUNCTION("""COMPUTED_VALUE"""),4702.0)</f>
        <v>4702</v>
      </c>
      <c r="C252" s="2">
        <f>IFERROR(__xludf.DUMMYFUNCTION("""COMPUTED_VALUE"""),4712.0)</f>
        <v>4712</v>
      </c>
      <c r="D252" s="2">
        <f>IFERROR(__xludf.DUMMYFUNCTION("""COMPUTED_VALUE"""),4605.0)</f>
        <v>4605</v>
      </c>
      <c r="E252" s="2">
        <f>IFERROR(__xludf.DUMMYFUNCTION("""COMPUTED_VALUE"""),4654.0)</f>
        <v>4654</v>
      </c>
      <c r="F252" s="2">
        <f>IFERROR(__xludf.DUMMYFUNCTION("""COMPUTED_VALUE"""),1.36958562E8)</f>
        <v>136958562</v>
      </c>
      <c r="G252" s="2">
        <f t="shared" si="1"/>
        <v>107</v>
      </c>
    </row>
    <row r="253" ht="15.75" customHeight="1">
      <c r="A253" s="1">
        <f>IFERROR(__xludf.DUMMYFUNCTION("""COMPUTED_VALUE"""),44211.625)</f>
        <v>44211.625</v>
      </c>
      <c r="B253" s="2">
        <f>IFERROR(__xludf.DUMMYFUNCTION("""COMPUTED_VALUE"""),4654.0)</f>
        <v>4654</v>
      </c>
      <c r="C253" s="2">
        <f>IFERROR(__xludf.DUMMYFUNCTION("""COMPUTED_VALUE"""),4654.0)</f>
        <v>4654</v>
      </c>
      <c r="D253" s="2">
        <f>IFERROR(__xludf.DUMMYFUNCTION("""COMPUTED_VALUE"""),4439.0)</f>
        <v>4439</v>
      </c>
      <c r="E253" s="2">
        <f>IFERROR(__xludf.DUMMYFUNCTION("""COMPUTED_VALUE"""),4468.0)</f>
        <v>4468</v>
      </c>
      <c r="F253" s="2">
        <f>IFERROR(__xludf.DUMMYFUNCTION("""COMPUTED_VALUE"""),2.09834742E8)</f>
        <v>209834742</v>
      </c>
      <c r="G253" s="2">
        <f t="shared" si="1"/>
        <v>215</v>
      </c>
    </row>
    <row r="254" ht="15.75" customHeight="1">
      <c r="A254" s="1">
        <f>IFERROR(__xludf.DUMMYFUNCTION("""COMPUTED_VALUE"""),44214.625)</f>
        <v>44214.625</v>
      </c>
      <c r="B254" s="2">
        <f>IFERROR(__xludf.DUMMYFUNCTION("""COMPUTED_VALUE"""),4468.0)</f>
        <v>4468</v>
      </c>
      <c r="C254" s="2">
        <f>IFERROR(__xludf.DUMMYFUNCTION("""COMPUTED_VALUE"""),4537.0)</f>
        <v>4537</v>
      </c>
      <c r="D254" s="2">
        <f>IFERROR(__xludf.DUMMYFUNCTION("""COMPUTED_VALUE"""),4429.0)</f>
        <v>4429</v>
      </c>
      <c r="E254" s="2">
        <f>IFERROR(__xludf.DUMMYFUNCTION("""COMPUTED_VALUE"""),4507.0)</f>
        <v>4507</v>
      </c>
      <c r="F254" s="2">
        <f>IFERROR(__xludf.DUMMYFUNCTION("""COMPUTED_VALUE"""),1.7011985E8)</f>
        <v>170119850</v>
      </c>
      <c r="G254" s="2">
        <f t="shared" si="1"/>
        <v>108</v>
      </c>
    </row>
    <row r="255" ht="15.75" customHeight="1">
      <c r="A255" s="1">
        <f>IFERROR(__xludf.DUMMYFUNCTION("""COMPUTED_VALUE"""),44215.625)</f>
        <v>44215.625</v>
      </c>
      <c r="B255" s="2">
        <f>IFERROR(__xludf.DUMMYFUNCTION("""COMPUTED_VALUE"""),4585.0)</f>
        <v>4585</v>
      </c>
      <c r="C255" s="2">
        <f>IFERROR(__xludf.DUMMYFUNCTION("""COMPUTED_VALUE"""),4585.0)</f>
        <v>4585</v>
      </c>
      <c r="D255" s="2">
        <f>IFERROR(__xludf.DUMMYFUNCTION("""COMPUTED_VALUE"""),4498.0)</f>
        <v>4498</v>
      </c>
      <c r="E255" s="2">
        <f>IFERROR(__xludf.DUMMYFUNCTION("""COMPUTED_VALUE"""),4507.0)</f>
        <v>4507</v>
      </c>
      <c r="F255" s="2">
        <f>IFERROR(__xludf.DUMMYFUNCTION("""COMPUTED_VALUE"""),1.42036374E8)</f>
        <v>142036374</v>
      </c>
      <c r="G255" s="2">
        <f t="shared" si="1"/>
        <v>87</v>
      </c>
    </row>
    <row r="256" ht="15.75" customHeight="1">
      <c r="A256" s="1">
        <f>IFERROR(__xludf.DUMMYFUNCTION("""COMPUTED_VALUE"""),44216.625)</f>
        <v>44216.625</v>
      </c>
      <c r="B256" s="2">
        <f>IFERROR(__xludf.DUMMYFUNCTION("""COMPUTED_VALUE"""),4556.0)</f>
        <v>4556</v>
      </c>
      <c r="C256" s="2">
        <f>IFERROR(__xludf.DUMMYFUNCTION("""COMPUTED_VALUE"""),4800.0)</f>
        <v>4800</v>
      </c>
      <c r="D256" s="2">
        <f>IFERROR(__xludf.DUMMYFUNCTION("""COMPUTED_VALUE"""),4537.0)</f>
        <v>4537</v>
      </c>
      <c r="E256" s="2">
        <f>IFERROR(__xludf.DUMMYFUNCTION("""COMPUTED_VALUE"""),4771.0)</f>
        <v>4771</v>
      </c>
      <c r="F256" s="2">
        <f>IFERROR(__xludf.DUMMYFUNCTION("""COMPUTED_VALUE"""),2.58786223E8)</f>
        <v>258786223</v>
      </c>
      <c r="G256" s="2">
        <f t="shared" si="1"/>
        <v>293</v>
      </c>
    </row>
    <row r="257" ht="15.75" customHeight="1">
      <c r="A257" s="1">
        <f>IFERROR(__xludf.DUMMYFUNCTION("""COMPUTED_VALUE"""),44217.625)</f>
        <v>44217.625</v>
      </c>
      <c r="B257" s="2">
        <f>IFERROR(__xludf.DUMMYFUNCTION("""COMPUTED_VALUE"""),4800.0)</f>
        <v>4800</v>
      </c>
      <c r="C257" s="2">
        <f>IFERROR(__xludf.DUMMYFUNCTION("""COMPUTED_VALUE"""),4829.0)</f>
        <v>4829</v>
      </c>
      <c r="D257" s="2">
        <f>IFERROR(__xludf.DUMMYFUNCTION("""COMPUTED_VALUE"""),4654.0)</f>
        <v>4654</v>
      </c>
      <c r="E257" s="2">
        <f>IFERROR(__xludf.DUMMYFUNCTION("""COMPUTED_VALUE"""),4673.0)</f>
        <v>4673</v>
      </c>
      <c r="F257" s="2">
        <f>IFERROR(__xludf.DUMMYFUNCTION("""COMPUTED_VALUE"""),1.65187494E8)</f>
        <v>165187494</v>
      </c>
      <c r="G257" s="2">
        <f t="shared" si="1"/>
        <v>175</v>
      </c>
    </row>
    <row r="258" ht="15.75" customHeight="1">
      <c r="A258" s="1">
        <f>IFERROR(__xludf.DUMMYFUNCTION("""COMPUTED_VALUE"""),44218.625)</f>
        <v>44218.625</v>
      </c>
      <c r="B258" s="2">
        <f>IFERROR(__xludf.DUMMYFUNCTION("""COMPUTED_VALUE"""),4741.0)</f>
        <v>4741</v>
      </c>
      <c r="C258" s="2">
        <f>IFERROR(__xludf.DUMMYFUNCTION("""COMPUTED_VALUE"""),4741.0)</f>
        <v>4741</v>
      </c>
      <c r="D258" s="2">
        <f>IFERROR(__xludf.DUMMYFUNCTION("""COMPUTED_VALUE"""),4566.0)</f>
        <v>4566</v>
      </c>
      <c r="E258" s="2">
        <f>IFERROR(__xludf.DUMMYFUNCTION("""COMPUTED_VALUE"""),4605.0)</f>
        <v>4605</v>
      </c>
      <c r="F258" s="2">
        <f>IFERROR(__xludf.DUMMYFUNCTION("""COMPUTED_VALUE"""),1.70831208E8)</f>
        <v>170831208</v>
      </c>
      <c r="G258" s="2">
        <f t="shared" si="1"/>
        <v>175</v>
      </c>
    </row>
    <row r="259" ht="15.75" customHeight="1">
      <c r="A259" s="1">
        <f>IFERROR(__xludf.DUMMYFUNCTION("""COMPUTED_VALUE"""),44221.625)</f>
        <v>44221.625</v>
      </c>
      <c r="B259" s="2">
        <f>IFERROR(__xludf.DUMMYFUNCTION("""COMPUTED_VALUE"""),4673.0)</f>
        <v>4673</v>
      </c>
      <c r="C259" s="2">
        <f>IFERROR(__xludf.DUMMYFUNCTION("""COMPUTED_VALUE"""),4673.0)</f>
        <v>4673</v>
      </c>
      <c r="D259" s="2">
        <f>IFERROR(__xludf.DUMMYFUNCTION("""COMPUTED_VALUE"""),4498.0)</f>
        <v>4498</v>
      </c>
      <c r="E259" s="2">
        <f>IFERROR(__xludf.DUMMYFUNCTION("""COMPUTED_VALUE"""),4663.0)</f>
        <v>4663</v>
      </c>
      <c r="F259" s="2">
        <f>IFERROR(__xludf.DUMMYFUNCTION("""COMPUTED_VALUE"""),1.54008814E8)</f>
        <v>154008814</v>
      </c>
      <c r="G259" s="2">
        <f t="shared" si="1"/>
        <v>175</v>
      </c>
    </row>
    <row r="260" ht="15.75" customHeight="1">
      <c r="A260" s="1">
        <f>IFERROR(__xludf.DUMMYFUNCTION("""COMPUTED_VALUE"""),44222.625)</f>
        <v>44222.625</v>
      </c>
      <c r="B260" s="2">
        <f>IFERROR(__xludf.DUMMYFUNCTION("""COMPUTED_VALUE"""),4663.0)</f>
        <v>4663</v>
      </c>
      <c r="C260" s="2">
        <f>IFERROR(__xludf.DUMMYFUNCTION("""COMPUTED_VALUE"""),4673.0)</f>
        <v>4673</v>
      </c>
      <c r="D260" s="2">
        <f>IFERROR(__xludf.DUMMYFUNCTION("""COMPUTED_VALUE"""),4507.0)</f>
        <v>4507</v>
      </c>
      <c r="E260" s="2">
        <f>IFERROR(__xludf.DUMMYFUNCTION("""COMPUTED_VALUE"""),4537.0)</f>
        <v>4537</v>
      </c>
      <c r="F260" s="2">
        <f>IFERROR(__xludf.DUMMYFUNCTION("""COMPUTED_VALUE"""),1.52678044E8)</f>
        <v>152678044</v>
      </c>
      <c r="G260" s="2">
        <f t="shared" si="1"/>
        <v>166</v>
      </c>
    </row>
    <row r="261" ht="15.75" customHeight="1">
      <c r="A261" s="1">
        <f>IFERROR(__xludf.DUMMYFUNCTION("""COMPUTED_VALUE"""),44223.625)</f>
        <v>44223.625</v>
      </c>
      <c r="B261" s="2">
        <f>IFERROR(__xludf.DUMMYFUNCTION("""COMPUTED_VALUE"""),4537.0)</f>
        <v>4537</v>
      </c>
      <c r="C261" s="2">
        <f>IFERROR(__xludf.DUMMYFUNCTION("""COMPUTED_VALUE"""),4605.0)</f>
        <v>4605</v>
      </c>
      <c r="D261" s="2">
        <f>IFERROR(__xludf.DUMMYFUNCTION("""COMPUTED_VALUE"""),4390.0)</f>
        <v>4390</v>
      </c>
      <c r="E261" s="2">
        <f>IFERROR(__xludf.DUMMYFUNCTION("""COMPUTED_VALUE"""),4507.0)</f>
        <v>4507</v>
      </c>
      <c r="F261" s="2">
        <f>IFERROR(__xludf.DUMMYFUNCTION("""COMPUTED_VALUE"""),1.85144054E8)</f>
        <v>185144054</v>
      </c>
      <c r="G261" s="2">
        <f t="shared" si="1"/>
        <v>215</v>
      </c>
    </row>
    <row r="262" ht="15.75" customHeight="1">
      <c r="A262" s="1">
        <f>IFERROR(__xludf.DUMMYFUNCTION("""COMPUTED_VALUE"""),44224.625)</f>
        <v>44224.625</v>
      </c>
      <c r="B262" s="2">
        <f>IFERROR(__xludf.DUMMYFUNCTION("""COMPUTED_VALUE"""),4468.0)</f>
        <v>4468</v>
      </c>
      <c r="C262" s="2">
        <f>IFERROR(__xludf.DUMMYFUNCTION("""COMPUTED_VALUE"""),4537.0)</f>
        <v>4537</v>
      </c>
      <c r="D262" s="2">
        <f>IFERROR(__xludf.DUMMYFUNCTION("""COMPUTED_VALUE"""),4312.0)</f>
        <v>4312</v>
      </c>
      <c r="E262" s="2">
        <f>IFERROR(__xludf.DUMMYFUNCTION("""COMPUTED_VALUE"""),4361.0)</f>
        <v>4361</v>
      </c>
      <c r="F262" s="2">
        <f>IFERROR(__xludf.DUMMYFUNCTION("""COMPUTED_VALUE"""),1.64250954E8)</f>
        <v>164250954</v>
      </c>
      <c r="G262" s="2">
        <f t="shared" si="1"/>
        <v>225</v>
      </c>
    </row>
    <row r="263" ht="15.75" customHeight="1">
      <c r="A263" s="1">
        <f>IFERROR(__xludf.DUMMYFUNCTION("""COMPUTED_VALUE"""),44225.625)</f>
        <v>44225.625</v>
      </c>
      <c r="B263" s="2">
        <f>IFERROR(__xludf.DUMMYFUNCTION("""COMPUTED_VALUE"""),4458.0)</f>
        <v>4458</v>
      </c>
      <c r="C263" s="2">
        <f>IFERROR(__xludf.DUMMYFUNCTION("""COMPUTED_VALUE"""),4498.0)</f>
        <v>4498</v>
      </c>
      <c r="D263" s="2">
        <f>IFERROR(__xludf.DUMMYFUNCTION("""COMPUTED_VALUE"""),4078.0)</f>
        <v>4078</v>
      </c>
      <c r="E263" s="2">
        <f>IFERROR(__xludf.DUMMYFUNCTION("""COMPUTED_VALUE"""),4078.0)</f>
        <v>4078</v>
      </c>
      <c r="F263" s="2">
        <f>IFERROR(__xludf.DUMMYFUNCTION("""COMPUTED_VALUE"""),2.87209699E8)</f>
        <v>287209699</v>
      </c>
      <c r="G263" s="2">
        <f t="shared" si="1"/>
        <v>420</v>
      </c>
    </row>
    <row r="264" ht="15.75" customHeight="1">
      <c r="A264" s="1">
        <f>IFERROR(__xludf.DUMMYFUNCTION("""COMPUTED_VALUE"""),44228.625)</f>
        <v>44228.625</v>
      </c>
      <c r="B264" s="2">
        <f>IFERROR(__xludf.DUMMYFUNCTION("""COMPUTED_VALUE"""),4078.0)</f>
        <v>4078</v>
      </c>
      <c r="C264" s="2">
        <f>IFERROR(__xludf.DUMMYFUNCTION("""COMPUTED_VALUE"""),4332.0)</f>
        <v>4332</v>
      </c>
      <c r="D264" s="2">
        <f>IFERROR(__xludf.DUMMYFUNCTION("""COMPUTED_VALUE"""),3863.0)</f>
        <v>3863</v>
      </c>
      <c r="E264" s="2">
        <f>IFERROR(__xludf.DUMMYFUNCTION("""COMPUTED_VALUE"""),4293.0)</f>
        <v>4293</v>
      </c>
      <c r="F264" s="2">
        <f>IFERROR(__xludf.DUMMYFUNCTION("""COMPUTED_VALUE"""),3.30899474E8)</f>
        <v>330899474</v>
      </c>
      <c r="G264" s="2">
        <f t="shared" si="1"/>
        <v>469</v>
      </c>
    </row>
    <row r="265" ht="15.75" customHeight="1">
      <c r="A265" s="1">
        <f>IFERROR(__xludf.DUMMYFUNCTION("""COMPUTED_VALUE"""),44229.625)</f>
        <v>44229.625</v>
      </c>
      <c r="B265" s="2">
        <f>IFERROR(__xludf.DUMMYFUNCTION("""COMPUTED_VALUE"""),4380.0)</f>
        <v>4380</v>
      </c>
      <c r="C265" s="2">
        <f>IFERROR(__xludf.DUMMYFUNCTION("""COMPUTED_VALUE"""),4380.0)</f>
        <v>4380</v>
      </c>
      <c r="D265" s="2">
        <f>IFERROR(__xludf.DUMMYFUNCTION("""COMPUTED_VALUE"""),4156.0)</f>
        <v>4156</v>
      </c>
      <c r="E265" s="2">
        <f>IFERROR(__xludf.DUMMYFUNCTION("""COMPUTED_VALUE"""),4254.0)</f>
        <v>4254</v>
      </c>
      <c r="F265" s="2">
        <f>IFERROR(__xludf.DUMMYFUNCTION("""COMPUTED_VALUE"""),1.56104546E8)</f>
        <v>156104546</v>
      </c>
      <c r="G265" s="2">
        <f t="shared" si="1"/>
        <v>224</v>
      </c>
    </row>
    <row r="266" ht="15.75" customHeight="1">
      <c r="A266" s="1">
        <f>IFERROR(__xludf.DUMMYFUNCTION("""COMPUTED_VALUE"""),44230.625)</f>
        <v>44230.625</v>
      </c>
      <c r="B266" s="2">
        <f>IFERROR(__xludf.DUMMYFUNCTION("""COMPUTED_VALUE"""),4371.0)</f>
        <v>4371</v>
      </c>
      <c r="C266" s="2">
        <f>IFERROR(__xludf.DUMMYFUNCTION("""COMPUTED_VALUE"""),4371.0)</f>
        <v>4371</v>
      </c>
      <c r="D266" s="2">
        <f>IFERROR(__xludf.DUMMYFUNCTION("""COMPUTED_VALUE"""),4254.0)</f>
        <v>4254</v>
      </c>
      <c r="E266" s="2">
        <f>IFERROR(__xludf.DUMMYFUNCTION("""COMPUTED_VALUE"""),4273.0)</f>
        <v>4273</v>
      </c>
      <c r="F266" s="2">
        <f>IFERROR(__xludf.DUMMYFUNCTION("""COMPUTED_VALUE"""),1.1576953E8)</f>
        <v>115769530</v>
      </c>
      <c r="G266" s="2">
        <f t="shared" si="1"/>
        <v>117</v>
      </c>
    </row>
    <row r="267" ht="15.75" customHeight="1">
      <c r="A267" s="1">
        <f>IFERROR(__xludf.DUMMYFUNCTION("""COMPUTED_VALUE"""),44231.625)</f>
        <v>44231.625</v>
      </c>
      <c r="B267" s="2">
        <f>IFERROR(__xludf.DUMMYFUNCTION("""COMPUTED_VALUE"""),4341.0)</f>
        <v>4341</v>
      </c>
      <c r="C267" s="2">
        <f>IFERROR(__xludf.DUMMYFUNCTION("""COMPUTED_VALUE"""),4468.0)</f>
        <v>4468</v>
      </c>
      <c r="D267" s="2">
        <f>IFERROR(__xludf.DUMMYFUNCTION("""COMPUTED_VALUE"""),4263.0)</f>
        <v>4263</v>
      </c>
      <c r="E267" s="2">
        <f>IFERROR(__xludf.DUMMYFUNCTION("""COMPUTED_VALUE"""),4380.0)</f>
        <v>4380</v>
      </c>
      <c r="F267" s="2">
        <f>IFERROR(__xludf.DUMMYFUNCTION("""COMPUTED_VALUE"""),1.51438181E8)</f>
        <v>151438181</v>
      </c>
      <c r="G267" s="2">
        <f t="shared" si="1"/>
        <v>205</v>
      </c>
    </row>
    <row r="268" ht="15.75" customHeight="1">
      <c r="A268" s="1">
        <f>IFERROR(__xludf.DUMMYFUNCTION("""COMPUTED_VALUE"""),44232.625)</f>
        <v>44232.625</v>
      </c>
      <c r="B268" s="2">
        <f>IFERROR(__xludf.DUMMYFUNCTION("""COMPUTED_VALUE"""),4429.0)</f>
        <v>4429</v>
      </c>
      <c r="C268" s="2">
        <f>IFERROR(__xludf.DUMMYFUNCTION("""COMPUTED_VALUE"""),4429.0)</f>
        <v>4429</v>
      </c>
      <c r="D268" s="2">
        <f>IFERROR(__xludf.DUMMYFUNCTION("""COMPUTED_VALUE"""),4312.0)</f>
        <v>4312</v>
      </c>
      <c r="E268" s="2">
        <f>IFERROR(__xludf.DUMMYFUNCTION("""COMPUTED_VALUE"""),4361.0)</f>
        <v>4361</v>
      </c>
      <c r="F268" s="2">
        <f>IFERROR(__xludf.DUMMYFUNCTION("""COMPUTED_VALUE"""),9.2254226E7)</f>
        <v>92254226</v>
      </c>
      <c r="G268" s="2">
        <f t="shared" si="1"/>
        <v>117</v>
      </c>
    </row>
    <row r="269" ht="15.75" customHeight="1">
      <c r="A269" s="1">
        <f>IFERROR(__xludf.DUMMYFUNCTION("""COMPUTED_VALUE"""),44235.625)</f>
        <v>44235.625</v>
      </c>
      <c r="B269" s="2">
        <f>IFERROR(__xludf.DUMMYFUNCTION("""COMPUTED_VALUE"""),4419.0)</f>
        <v>4419</v>
      </c>
      <c r="C269" s="2">
        <f>IFERROR(__xludf.DUMMYFUNCTION("""COMPUTED_VALUE"""),4419.0)</f>
        <v>4419</v>
      </c>
      <c r="D269" s="2">
        <f>IFERROR(__xludf.DUMMYFUNCTION("""COMPUTED_VALUE"""),4341.0)</f>
        <v>4341</v>
      </c>
      <c r="E269" s="2">
        <f>IFERROR(__xludf.DUMMYFUNCTION("""COMPUTED_VALUE"""),4351.0)</f>
        <v>4351</v>
      </c>
      <c r="F269" s="2">
        <f>IFERROR(__xludf.DUMMYFUNCTION("""COMPUTED_VALUE"""),1.12021567E8)</f>
        <v>112021567</v>
      </c>
      <c r="G269" s="2">
        <f t="shared" si="1"/>
        <v>78</v>
      </c>
    </row>
    <row r="270" ht="15.75" customHeight="1">
      <c r="A270" s="1">
        <f>IFERROR(__xludf.DUMMYFUNCTION("""COMPUTED_VALUE"""),44236.625)</f>
        <v>44236.625</v>
      </c>
      <c r="B270" s="2">
        <f>IFERROR(__xludf.DUMMYFUNCTION("""COMPUTED_VALUE"""),4390.0)</f>
        <v>4390</v>
      </c>
      <c r="C270" s="2">
        <f>IFERROR(__xludf.DUMMYFUNCTION("""COMPUTED_VALUE"""),4654.0)</f>
        <v>4654</v>
      </c>
      <c r="D270" s="2">
        <f>IFERROR(__xludf.DUMMYFUNCTION("""COMPUTED_VALUE"""),4390.0)</f>
        <v>4390</v>
      </c>
      <c r="E270" s="2">
        <f>IFERROR(__xludf.DUMMYFUNCTION("""COMPUTED_VALUE"""),4507.0)</f>
        <v>4507</v>
      </c>
      <c r="F270" s="2">
        <f>IFERROR(__xludf.DUMMYFUNCTION("""COMPUTED_VALUE"""),4.32702892E8)</f>
        <v>432702892</v>
      </c>
      <c r="G270" s="2">
        <f t="shared" si="1"/>
        <v>303</v>
      </c>
    </row>
    <row r="271" ht="15.75" customHeight="1">
      <c r="A271" s="1">
        <f>IFERROR(__xludf.DUMMYFUNCTION("""COMPUTED_VALUE"""),44237.625)</f>
        <v>44237.625</v>
      </c>
      <c r="B271" s="2">
        <f>IFERROR(__xludf.DUMMYFUNCTION("""COMPUTED_VALUE"""),4517.0)</f>
        <v>4517</v>
      </c>
      <c r="C271" s="2">
        <f>IFERROR(__xludf.DUMMYFUNCTION("""COMPUTED_VALUE"""),4595.0)</f>
        <v>4595</v>
      </c>
      <c r="D271" s="2">
        <f>IFERROR(__xludf.DUMMYFUNCTION("""COMPUTED_VALUE"""),4488.0)</f>
        <v>4488</v>
      </c>
      <c r="E271" s="2">
        <f>IFERROR(__xludf.DUMMYFUNCTION("""COMPUTED_VALUE"""),4537.0)</f>
        <v>4537</v>
      </c>
      <c r="F271" s="2">
        <f>IFERROR(__xludf.DUMMYFUNCTION("""COMPUTED_VALUE"""),1.883714E8)</f>
        <v>188371400</v>
      </c>
      <c r="G271" s="2">
        <f t="shared" si="1"/>
        <v>107</v>
      </c>
    </row>
    <row r="272" ht="15.75" customHeight="1">
      <c r="A272" s="1">
        <f>IFERROR(__xludf.DUMMYFUNCTION("""COMPUTED_VALUE"""),44238.625)</f>
        <v>44238.625</v>
      </c>
      <c r="B272" s="2">
        <f>IFERROR(__xludf.DUMMYFUNCTION("""COMPUTED_VALUE"""),4585.0)</f>
        <v>4585</v>
      </c>
      <c r="C272" s="2">
        <f>IFERROR(__xludf.DUMMYFUNCTION("""COMPUTED_VALUE"""),4595.0)</f>
        <v>4595</v>
      </c>
      <c r="D272" s="2">
        <f>IFERROR(__xludf.DUMMYFUNCTION("""COMPUTED_VALUE"""),4517.0)</f>
        <v>4517</v>
      </c>
      <c r="E272" s="2">
        <f>IFERROR(__xludf.DUMMYFUNCTION("""COMPUTED_VALUE"""),4566.0)</f>
        <v>4566</v>
      </c>
      <c r="F272" s="2">
        <f>IFERROR(__xludf.DUMMYFUNCTION("""COMPUTED_VALUE"""),9.2884912E7)</f>
        <v>92884912</v>
      </c>
      <c r="G272" s="2">
        <f t="shared" si="1"/>
        <v>78</v>
      </c>
    </row>
    <row r="273" ht="15.75" customHeight="1">
      <c r="A273" s="1">
        <f>IFERROR(__xludf.DUMMYFUNCTION("""COMPUTED_VALUE"""),44242.625)</f>
        <v>44242.625</v>
      </c>
      <c r="B273" s="2">
        <f>IFERROR(__xludf.DUMMYFUNCTION("""COMPUTED_VALUE"""),4595.0)</f>
        <v>4595</v>
      </c>
      <c r="C273" s="2">
        <f>IFERROR(__xludf.DUMMYFUNCTION("""COMPUTED_VALUE"""),4663.0)</f>
        <v>4663</v>
      </c>
      <c r="D273" s="2">
        <f>IFERROR(__xludf.DUMMYFUNCTION("""COMPUTED_VALUE"""),4585.0)</f>
        <v>4585</v>
      </c>
      <c r="E273" s="2">
        <f>IFERROR(__xludf.DUMMYFUNCTION("""COMPUTED_VALUE"""),4595.0)</f>
        <v>4595</v>
      </c>
      <c r="F273" s="2">
        <f>IFERROR(__xludf.DUMMYFUNCTION("""COMPUTED_VALUE"""),8.6805977E7)</f>
        <v>86805977</v>
      </c>
      <c r="G273" s="2">
        <f t="shared" si="1"/>
        <v>97</v>
      </c>
    </row>
    <row r="274" ht="15.75" customHeight="1">
      <c r="A274" s="1">
        <f>IFERROR(__xludf.DUMMYFUNCTION("""COMPUTED_VALUE"""),44243.625)</f>
        <v>44243.625</v>
      </c>
      <c r="B274" s="2">
        <f>IFERROR(__xludf.DUMMYFUNCTION("""COMPUTED_VALUE"""),4624.0)</f>
        <v>4624</v>
      </c>
      <c r="C274" s="2">
        <f>IFERROR(__xludf.DUMMYFUNCTION("""COMPUTED_VALUE"""),4624.0)</f>
        <v>4624</v>
      </c>
      <c r="D274" s="2">
        <f>IFERROR(__xludf.DUMMYFUNCTION("""COMPUTED_VALUE"""),4546.0)</f>
        <v>4546</v>
      </c>
      <c r="E274" s="2">
        <f>IFERROR(__xludf.DUMMYFUNCTION("""COMPUTED_VALUE"""),4556.0)</f>
        <v>4556</v>
      </c>
      <c r="F274" s="2">
        <f>IFERROR(__xludf.DUMMYFUNCTION("""COMPUTED_VALUE"""),6.6739841E7)</f>
        <v>66739841</v>
      </c>
      <c r="G274" s="2">
        <f t="shared" si="1"/>
        <v>78</v>
      </c>
    </row>
    <row r="275" ht="15.75" customHeight="1">
      <c r="A275" s="1">
        <f>IFERROR(__xludf.DUMMYFUNCTION("""COMPUTED_VALUE"""),44244.625)</f>
        <v>44244.625</v>
      </c>
      <c r="B275" s="2">
        <f>IFERROR(__xludf.DUMMYFUNCTION("""COMPUTED_VALUE"""),4595.0)</f>
        <v>4595</v>
      </c>
      <c r="C275" s="2">
        <f>IFERROR(__xludf.DUMMYFUNCTION("""COMPUTED_VALUE"""),4615.0)</f>
        <v>4615</v>
      </c>
      <c r="D275" s="2">
        <f>IFERROR(__xludf.DUMMYFUNCTION("""COMPUTED_VALUE"""),4507.0)</f>
        <v>4507</v>
      </c>
      <c r="E275" s="2">
        <f>IFERROR(__xludf.DUMMYFUNCTION("""COMPUTED_VALUE"""),4517.0)</f>
        <v>4517</v>
      </c>
      <c r="F275" s="2">
        <f>IFERROR(__xludf.DUMMYFUNCTION("""COMPUTED_VALUE"""),9.4606523E7)</f>
        <v>94606523</v>
      </c>
      <c r="G275" s="2">
        <f t="shared" si="1"/>
        <v>108</v>
      </c>
    </row>
    <row r="276" ht="15.75" customHeight="1">
      <c r="A276" s="1">
        <f>IFERROR(__xludf.DUMMYFUNCTION("""COMPUTED_VALUE"""),44245.625)</f>
        <v>44245.625</v>
      </c>
      <c r="B276" s="2">
        <f>IFERROR(__xludf.DUMMYFUNCTION("""COMPUTED_VALUE"""),4585.0)</f>
        <v>4585</v>
      </c>
      <c r="C276" s="2">
        <f>IFERROR(__xludf.DUMMYFUNCTION("""COMPUTED_VALUE"""),4654.0)</f>
        <v>4654</v>
      </c>
      <c r="D276" s="2">
        <f>IFERROR(__xludf.DUMMYFUNCTION("""COMPUTED_VALUE"""),4537.0)</f>
        <v>4537</v>
      </c>
      <c r="E276" s="2">
        <f>IFERROR(__xludf.DUMMYFUNCTION("""COMPUTED_VALUE"""),4556.0)</f>
        <v>4556</v>
      </c>
      <c r="F276" s="2">
        <f>IFERROR(__xludf.DUMMYFUNCTION("""COMPUTED_VALUE"""),1.41718732E8)</f>
        <v>141718732</v>
      </c>
      <c r="G276" s="2">
        <f t="shared" si="1"/>
        <v>137</v>
      </c>
    </row>
    <row r="277" ht="15.75" customHeight="1">
      <c r="A277" s="1">
        <f>IFERROR(__xludf.DUMMYFUNCTION("""COMPUTED_VALUE"""),44246.625)</f>
        <v>44246.625</v>
      </c>
      <c r="B277" s="2">
        <f>IFERROR(__xludf.DUMMYFUNCTION("""COMPUTED_VALUE"""),4488.0)</f>
        <v>4488</v>
      </c>
      <c r="C277" s="2">
        <f>IFERROR(__xludf.DUMMYFUNCTION("""COMPUTED_VALUE"""),4673.0)</f>
        <v>4673</v>
      </c>
      <c r="D277" s="2">
        <f>IFERROR(__xludf.DUMMYFUNCTION("""COMPUTED_VALUE"""),4488.0)</f>
        <v>4488</v>
      </c>
      <c r="E277" s="2">
        <f>IFERROR(__xludf.DUMMYFUNCTION("""COMPUTED_VALUE"""),4673.0)</f>
        <v>4673</v>
      </c>
      <c r="F277" s="2">
        <f>IFERROR(__xludf.DUMMYFUNCTION("""COMPUTED_VALUE"""),1.02391895E8)</f>
        <v>102391895</v>
      </c>
      <c r="G277" s="2">
        <f t="shared" si="1"/>
        <v>185</v>
      </c>
    </row>
    <row r="278" ht="15.75" customHeight="1">
      <c r="A278" s="1">
        <f>IFERROR(__xludf.DUMMYFUNCTION("""COMPUTED_VALUE"""),44249.625)</f>
        <v>44249.625</v>
      </c>
      <c r="B278" s="2">
        <f>IFERROR(__xludf.DUMMYFUNCTION("""COMPUTED_VALUE"""),4732.0)</f>
        <v>4732</v>
      </c>
      <c r="C278" s="2">
        <f>IFERROR(__xludf.DUMMYFUNCTION("""COMPUTED_VALUE"""),4751.0)</f>
        <v>4751</v>
      </c>
      <c r="D278" s="2">
        <f>IFERROR(__xludf.DUMMYFUNCTION("""COMPUTED_VALUE"""),4644.0)</f>
        <v>4644</v>
      </c>
      <c r="E278" s="2">
        <f>IFERROR(__xludf.DUMMYFUNCTION("""COMPUTED_VALUE"""),4673.0)</f>
        <v>4673</v>
      </c>
      <c r="F278" s="2">
        <f>IFERROR(__xludf.DUMMYFUNCTION("""COMPUTED_VALUE"""),1.46871962E8)</f>
        <v>146871962</v>
      </c>
      <c r="G278" s="2">
        <f t="shared" si="1"/>
        <v>107</v>
      </c>
    </row>
    <row r="279" ht="15.75" customHeight="1">
      <c r="A279" s="1">
        <f>IFERROR(__xludf.DUMMYFUNCTION("""COMPUTED_VALUE"""),44250.66666666667)</f>
        <v>44250.66667</v>
      </c>
      <c r="B279" s="2">
        <f>IFERROR(__xludf.DUMMYFUNCTION("""COMPUTED_VALUE"""),4693.0)</f>
        <v>4693</v>
      </c>
      <c r="C279" s="2">
        <f>IFERROR(__xludf.DUMMYFUNCTION("""COMPUTED_VALUE"""),4712.0)</f>
        <v>4712</v>
      </c>
      <c r="D279" s="2">
        <f>IFERROR(__xludf.DUMMYFUNCTION("""COMPUTED_VALUE"""),4624.0)</f>
        <v>4624</v>
      </c>
      <c r="E279" s="2">
        <f>IFERROR(__xludf.DUMMYFUNCTION("""COMPUTED_VALUE"""),4673.0)</f>
        <v>4673</v>
      </c>
      <c r="F279" s="2">
        <f>IFERROR(__xludf.DUMMYFUNCTION("""COMPUTED_VALUE"""),1.00459436E8)</f>
        <v>100459436</v>
      </c>
      <c r="G279" s="2">
        <f t="shared" si="1"/>
        <v>88</v>
      </c>
    </row>
    <row r="280" ht="15.75" customHeight="1">
      <c r="A280" s="1">
        <f>IFERROR(__xludf.DUMMYFUNCTION("""COMPUTED_VALUE"""),44251.625)</f>
        <v>44251.625</v>
      </c>
      <c r="B280" s="2">
        <f>IFERROR(__xludf.DUMMYFUNCTION("""COMPUTED_VALUE"""),4673.0)</f>
        <v>4673</v>
      </c>
      <c r="C280" s="2">
        <f>IFERROR(__xludf.DUMMYFUNCTION("""COMPUTED_VALUE"""),4702.0)</f>
        <v>4702</v>
      </c>
      <c r="D280" s="2">
        <f>IFERROR(__xludf.DUMMYFUNCTION("""COMPUTED_VALUE"""),4595.0)</f>
        <v>4595</v>
      </c>
      <c r="E280" s="2">
        <f>IFERROR(__xludf.DUMMYFUNCTION("""COMPUTED_VALUE"""),4615.0)</f>
        <v>4615</v>
      </c>
      <c r="F280" s="2">
        <f>IFERROR(__xludf.DUMMYFUNCTION("""COMPUTED_VALUE"""),9.8382666E7)</f>
        <v>98382666</v>
      </c>
      <c r="G280" s="2">
        <f t="shared" si="1"/>
        <v>107</v>
      </c>
    </row>
    <row r="281" ht="15.75" customHeight="1">
      <c r="A281" s="1">
        <f>IFERROR(__xludf.DUMMYFUNCTION("""COMPUTED_VALUE"""),44252.625)</f>
        <v>44252.625</v>
      </c>
      <c r="B281" s="2">
        <f>IFERROR(__xludf.DUMMYFUNCTION("""COMPUTED_VALUE"""),4654.0)</f>
        <v>4654</v>
      </c>
      <c r="C281" s="2">
        <f>IFERROR(__xludf.DUMMYFUNCTION("""COMPUTED_VALUE"""),4654.0)</f>
        <v>4654</v>
      </c>
      <c r="D281" s="2">
        <f>IFERROR(__xludf.DUMMYFUNCTION("""COMPUTED_VALUE"""),4556.0)</f>
        <v>4556</v>
      </c>
      <c r="E281" s="2">
        <f>IFERROR(__xludf.DUMMYFUNCTION("""COMPUTED_VALUE"""),4615.0)</f>
        <v>4615</v>
      </c>
      <c r="F281" s="2">
        <f>IFERROR(__xludf.DUMMYFUNCTION("""COMPUTED_VALUE"""),1.22659546E8)</f>
        <v>122659546</v>
      </c>
      <c r="G281" s="2">
        <f t="shared" si="1"/>
        <v>98</v>
      </c>
    </row>
    <row r="282" ht="15.75" customHeight="1">
      <c r="A282" s="1">
        <f>IFERROR(__xludf.DUMMYFUNCTION("""COMPUTED_VALUE"""),44253.625)</f>
        <v>44253.625</v>
      </c>
      <c r="B282" s="2">
        <f>IFERROR(__xludf.DUMMYFUNCTION("""COMPUTED_VALUE"""),4615.0)</f>
        <v>4615</v>
      </c>
      <c r="C282" s="2">
        <f>IFERROR(__xludf.DUMMYFUNCTION("""COMPUTED_VALUE"""),4634.0)</f>
        <v>4634</v>
      </c>
      <c r="D282" s="2">
        <f>IFERROR(__xludf.DUMMYFUNCTION("""COMPUTED_VALUE"""),4585.0)</f>
        <v>4585</v>
      </c>
      <c r="E282" s="2">
        <f>IFERROR(__xludf.DUMMYFUNCTION("""COMPUTED_VALUE"""),4595.0)</f>
        <v>4595</v>
      </c>
      <c r="F282" s="2">
        <f>IFERROR(__xludf.DUMMYFUNCTION("""COMPUTED_VALUE"""),1.50763947E8)</f>
        <v>150763947</v>
      </c>
      <c r="G282" s="2">
        <f t="shared" si="1"/>
        <v>49</v>
      </c>
    </row>
    <row r="283" ht="15.75" customHeight="1">
      <c r="A283" s="1">
        <f>IFERROR(__xludf.DUMMYFUNCTION("""COMPUTED_VALUE"""),44256.625)</f>
        <v>44256.625</v>
      </c>
      <c r="B283" s="2">
        <f>IFERROR(__xludf.DUMMYFUNCTION("""COMPUTED_VALUE"""),4683.0)</f>
        <v>4683</v>
      </c>
      <c r="C283" s="2">
        <f>IFERROR(__xludf.DUMMYFUNCTION("""COMPUTED_VALUE"""),4712.0)</f>
        <v>4712</v>
      </c>
      <c r="D283" s="2">
        <f>IFERROR(__xludf.DUMMYFUNCTION("""COMPUTED_VALUE"""),4605.0)</f>
        <v>4605</v>
      </c>
      <c r="E283" s="2">
        <f>IFERROR(__xludf.DUMMYFUNCTION("""COMPUTED_VALUE"""),4712.0)</f>
        <v>4712</v>
      </c>
      <c r="F283" s="2">
        <f>IFERROR(__xludf.DUMMYFUNCTION("""COMPUTED_VALUE"""),1.18359222E8)</f>
        <v>118359222</v>
      </c>
      <c r="G283" s="2">
        <f t="shared" si="1"/>
        <v>117</v>
      </c>
    </row>
    <row r="284" ht="15.75" customHeight="1">
      <c r="A284" s="1">
        <f>IFERROR(__xludf.DUMMYFUNCTION("""COMPUTED_VALUE"""),44257.625)</f>
        <v>44257.625</v>
      </c>
      <c r="B284" s="2">
        <f>IFERROR(__xludf.DUMMYFUNCTION("""COMPUTED_VALUE"""),4751.0)</f>
        <v>4751</v>
      </c>
      <c r="C284" s="2">
        <f>IFERROR(__xludf.DUMMYFUNCTION("""COMPUTED_VALUE"""),4761.0)</f>
        <v>4761</v>
      </c>
      <c r="D284" s="2">
        <f>IFERROR(__xludf.DUMMYFUNCTION("""COMPUTED_VALUE"""),4683.0)</f>
        <v>4683</v>
      </c>
      <c r="E284" s="2">
        <f>IFERROR(__xludf.DUMMYFUNCTION("""COMPUTED_VALUE"""),4683.0)</f>
        <v>4683</v>
      </c>
      <c r="F284" s="2">
        <f>IFERROR(__xludf.DUMMYFUNCTION("""COMPUTED_VALUE"""),7.0068362E7)</f>
        <v>70068362</v>
      </c>
      <c r="G284" s="2">
        <f t="shared" si="1"/>
        <v>78</v>
      </c>
    </row>
    <row r="285" ht="15.75" customHeight="1">
      <c r="A285" s="1">
        <f>IFERROR(__xludf.DUMMYFUNCTION("""COMPUTED_VALUE"""),44258.625)</f>
        <v>44258.625</v>
      </c>
      <c r="B285" s="2">
        <f>IFERROR(__xludf.DUMMYFUNCTION("""COMPUTED_VALUE"""),4683.0)</f>
        <v>4683</v>
      </c>
      <c r="C285" s="2">
        <f>IFERROR(__xludf.DUMMYFUNCTION("""COMPUTED_VALUE"""),4732.0)</f>
        <v>4732</v>
      </c>
      <c r="D285" s="2">
        <f>IFERROR(__xludf.DUMMYFUNCTION("""COMPUTED_VALUE"""),4624.0)</f>
        <v>4624</v>
      </c>
      <c r="E285" s="2">
        <f>IFERROR(__xludf.DUMMYFUNCTION("""COMPUTED_VALUE"""),4732.0)</f>
        <v>4732</v>
      </c>
      <c r="F285" s="2">
        <f>IFERROR(__xludf.DUMMYFUNCTION("""COMPUTED_VALUE"""),7.9228986E7)</f>
        <v>79228986</v>
      </c>
      <c r="G285" s="2">
        <f t="shared" si="1"/>
        <v>108</v>
      </c>
    </row>
    <row r="286" ht="15.75" customHeight="1">
      <c r="A286" s="1">
        <f>IFERROR(__xludf.DUMMYFUNCTION("""COMPUTED_VALUE"""),44259.625)</f>
        <v>44259.625</v>
      </c>
      <c r="B286" s="2">
        <f>IFERROR(__xludf.DUMMYFUNCTION("""COMPUTED_VALUE"""),4732.0)</f>
        <v>4732</v>
      </c>
      <c r="C286" s="2">
        <f>IFERROR(__xludf.DUMMYFUNCTION("""COMPUTED_VALUE"""),4732.0)</f>
        <v>4732</v>
      </c>
      <c r="D286" s="2">
        <f>IFERROR(__xludf.DUMMYFUNCTION("""COMPUTED_VALUE"""),4615.0)</f>
        <v>4615</v>
      </c>
      <c r="E286" s="2">
        <f>IFERROR(__xludf.DUMMYFUNCTION("""COMPUTED_VALUE"""),4644.0)</f>
        <v>4644</v>
      </c>
      <c r="F286" s="2">
        <f>IFERROR(__xludf.DUMMYFUNCTION("""COMPUTED_VALUE"""),1.09858079E8)</f>
        <v>109858079</v>
      </c>
      <c r="G286" s="2">
        <f t="shared" si="1"/>
        <v>117</v>
      </c>
    </row>
    <row r="287" ht="15.75" customHeight="1">
      <c r="A287" s="1">
        <f>IFERROR(__xludf.DUMMYFUNCTION("""COMPUTED_VALUE"""),44260.625)</f>
        <v>44260.625</v>
      </c>
      <c r="B287" s="2">
        <f>IFERROR(__xludf.DUMMYFUNCTION("""COMPUTED_VALUE"""),4624.0)</f>
        <v>4624</v>
      </c>
      <c r="C287" s="2">
        <f>IFERROR(__xludf.DUMMYFUNCTION("""COMPUTED_VALUE"""),4654.0)</f>
        <v>4654</v>
      </c>
      <c r="D287" s="2">
        <f>IFERROR(__xludf.DUMMYFUNCTION("""COMPUTED_VALUE"""),4585.0)</f>
        <v>4585</v>
      </c>
      <c r="E287" s="2">
        <f>IFERROR(__xludf.DUMMYFUNCTION("""COMPUTED_VALUE"""),4654.0)</f>
        <v>4654</v>
      </c>
      <c r="F287" s="2">
        <f>IFERROR(__xludf.DUMMYFUNCTION("""COMPUTED_VALUE"""),6.6334245E7)</f>
        <v>66334245</v>
      </c>
      <c r="G287" s="2">
        <f t="shared" si="1"/>
        <v>69</v>
      </c>
    </row>
    <row r="288" ht="15.75" customHeight="1">
      <c r="A288" s="1">
        <f>IFERROR(__xludf.DUMMYFUNCTION("""COMPUTED_VALUE"""),44263.66666666667)</f>
        <v>44263.66667</v>
      </c>
      <c r="B288" s="2">
        <f>IFERROR(__xludf.DUMMYFUNCTION("""COMPUTED_VALUE"""),4683.0)</f>
        <v>4683</v>
      </c>
      <c r="C288" s="2">
        <f>IFERROR(__xludf.DUMMYFUNCTION("""COMPUTED_VALUE"""),4702.0)</f>
        <v>4702</v>
      </c>
      <c r="D288" s="2">
        <f>IFERROR(__xludf.DUMMYFUNCTION("""COMPUTED_VALUE"""),4615.0)</f>
        <v>4615</v>
      </c>
      <c r="E288" s="2">
        <f>IFERROR(__xludf.DUMMYFUNCTION("""COMPUTED_VALUE"""),4615.0)</f>
        <v>4615</v>
      </c>
      <c r="F288" s="2">
        <f>IFERROR(__xludf.DUMMYFUNCTION("""COMPUTED_VALUE"""),6.5150147E7)</f>
        <v>65150147</v>
      </c>
      <c r="G288" s="2">
        <f t="shared" si="1"/>
        <v>87</v>
      </c>
    </row>
    <row r="289" ht="15.75" customHeight="1">
      <c r="A289" s="1">
        <f>IFERROR(__xludf.DUMMYFUNCTION("""COMPUTED_VALUE"""),44264.625)</f>
        <v>44264.625</v>
      </c>
      <c r="B289" s="2">
        <f>IFERROR(__xludf.DUMMYFUNCTION("""COMPUTED_VALUE"""),4634.0)</f>
        <v>4634</v>
      </c>
      <c r="C289" s="2">
        <f>IFERROR(__xludf.DUMMYFUNCTION("""COMPUTED_VALUE"""),4634.0)</f>
        <v>4634</v>
      </c>
      <c r="D289" s="2">
        <f>IFERROR(__xludf.DUMMYFUNCTION("""COMPUTED_VALUE"""),4449.0)</f>
        <v>4449</v>
      </c>
      <c r="E289" s="2">
        <f>IFERROR(__xludf.DUMMYFUNCTION("""COMPUTED_VALUE"""),4468.0)</f>
        <v>4468</v>
      </c>
      <c r="F289" s="2">
        <f>IFERROR(__xludf.DUMMYFUNCTION("""COMPUTED_VALUE"""),1.54240274E8)</f>
        <v>154240274</v>
      </c>
      <c r="G289" s="2">
        <f t="shared" si="1"/>
        <v>185</v>
      </c>
    </row>
    <row r="290" ht="15.75" customHeight="1">
      <c r="A290" s="1">
        <f>IFERROR(__xludf.DUMMYFUNCTION("""COMPUTED_VALUE"""),44265.625)</f>
        <v>44265.625</v>
      </c>
      <c r="B290" s="2">
        <f>IFERROR(__xludf.DUMMYFUNCTION("""COMPUTED_VALUE"""),4537.0)</f>
        <v>4537</v>
      </c>
      <c r="C290" s="2">
        <f>IFERROR(__xludf.DUMMYFUNCTION("""COMPUTED_VALUE"""),4546.0)</f>
        <v>4546</v>
      </c>
      <c r="D290" s="2">
        <f>IFERROR(__xludf.DUMMYFUNCTION("""COMPUTED_VALUE"""),4478.0)</f>
        <v>4478</v>
      </c>
      <c r="E290" s="2">
        <f>IFERROR(__xludf.DUMMYFUNCTION("""COMPUTED_VALUE"""),4517.0)</f>
        <v>4517</v>
      </c>
      <c r="F290" s="2">
        <f>IFERROR(__xludf.DUMMYFUNCTION("""COMPUTED_VALUE"""),7.212781E7)</f>
        <v>72127810</v>
      </c>
      <c r="G290" s="2">
        <f t="shared" si="1"/>
        <v>78</v>
      </c>
    </row>
    <row r="291" ht="15.75" customHeight="1">
      <c r="A291" s="1">
        <f>IFERROR(__xludf.DUMMYFUNCTION("""COMPUTED_VALUE"""),44267.625)</f>
        <v>44267.625</v>
      </c>
      <c r="B291" s="2">
        <f>IFERROR(__xludf.DUMMYFUNCTION("""COMPUTED_VALUE"""),4576.0)</f>
        <v>4576</v>
      </c>
      <c r="C291" s="2">
        <f>IFERROR(__xludf.DUMMYFUNCTION("""COMPUTED_VALUE"""),4576.0)</f>
        <v>4576</v>
      </c>
      <c r="D291" s="2">
        <f>IFERROR(__xludf.DUMMYFUNCTION("""COMPUTED_VALUE"""),4429.0)</f>
        <v>4429</v>
      </c>
      <c r="E291" s="2">
        <f>IFERROR(__xludf.DUMMYFUNCTION("""COMPUTED_VALUE"""),4468.0)</f>
        <v>4468</v>
      </c>
      <c r="F291" s="2">
        <f>IFERROR(__xludf.DUMMYFUNCTION("""COMPUTED_VALUE"""),1.41971077E8)</f>
        <v>141971077</v>
      </c>
      <c r="G291" s="2">
        <f t="shared" si="1"/>
        <v>147</v>
      </c>
    </row>
    <row r="292" ht="15.75" customHeight="1">
      <c r="A292" s="1">
        <f>IFERROR(__xludf.DUMMYFUNCTION("""COMPUTED_VALUE"""),44270.625)</f>
        <v>44270.625</v>
      </c>
      <c r="B292" s="2">
        <f>IFERROR(__xludf.DUMMYFUNCTION("""COMPUTED_VALUE"""),4468.0)</f>
        <v>4468</v>
      </c>
      <c r="C292" s="2">
        <f>IFERROR(__xludf.DUMMYFUNCTION("""COMPUTED_VALUE"""),4517.0)</f>
        <v>4517</v>
      </c>
      <c r="D292" s="2">
        <f>IFERROR(__xludf.DUMMYFUNCTION("""COMPUTED_VALUE"""),4449.0)</f>
        <v>4449</v>
      </c>
      <c r="E292" s="2">
        <f>IFERROR(__xludf.DUMMYFUNCTION("""COMPUTED_VALUE"""),4458.0)</f>
        <v>4458</v>
      </c>
      <c r="F292" s="2">
        <f>IFERROR(__xludf.DUMMYFUNCTION("""COMPUTED_VALUE"""),8.8972339E7)</f>
        <v>88972339</v>
      </c>
      <c r="G292" s="2">
        <f t="shared" si="1"/>
        <v>68</v>
      </c>
    </row>
    <row r="293" ht="15.75" customHeight="1">
      <c r="A293" s="1">
        <f>IFERROR(__xludf.DUMMYFUNCTION("""COMPUTED_VALUE"""),44271.625)</f>
        <v>44271.625</v>
      </c>
      <c r="B293" s="2">
        <f>IFERROR(__xludf.DUMMYFUNCTION("""COMPUTED_VALUE"""),4546.0)</f>
        <v>4546</v>
      </c>
      <c r="C293" s="2">
        <f>IFERROR(__xludf.DUMMYFUNCTION("""COMPUTED_VALUE"""),4654.0)</f>
        <v>4654</v>
      </c>
      <c r="D293" s="2">
        <f>IFERROR(__xludf.DUMMYFUNCTION("""COMPUTED_VALUE"""),4498.0)</f>
        <v>4498</v>
      </c>
      <c r="E293" s="2">
        <f>IFERROR(__xludf.DUMMYFUNCTION("""COMPUTED_VALUE"""),4605.0)</f>
        <v>4605</v>
      </c>
      <c r="F293" s="2">
        <f>IFERROR(__xludf.DUMMYFUNCTION("""COMPUTED_VALUE"""),1.40730621E8)</f>
        <v>140730621</v>
      </c>
      <c r="G293" s="2">
        <f t="shared" si="1"/>
        <v>196</v>
      </c>
    </row>
    <row r="294" ht="15.75" customHeight="1">
      <c r="A294" s="1">
        <f>IFERROR(__xludf.DUMMYFUNCTION("""COMPUTED_VALUE"""),44272.625)</f>
        <v>44272.625</v>
      </c>
      <c r="B294" s="2">
        <f>IFERROR(__xludf.DUMMYFUNCTION("""COMPUTED_VALUE"""),4566.0)</f>
        <v>4566</v>
      </c>
      <c r="C294" s="2">
        <f>IFERROR(__xludf.DUMMYFUNCTION("""COMPUTED_VALUE"""),4585.0)</f>
        <v>4585</v>
      </c>
      <c r="D294" s="2">
        <f>IFERROR(__xludf.DUMMYFUNCTION("""COMPUTED_VALUE"""),4488.0)</f>
        <v>4488</v>
      </c>
      <c r="E294" s="2">
        <f>IFERROR(__xludf.DUMMYFUNCTION("""COMPUTED_VALUE"""),4556.0)</f>
        <v>4556</v>
      </c>
      <c r="F294" s="2">
        <f>IFERROR(__xludf.DUMMYFUNCTION("""COMPUTED_VALUE"""),1.08319337E8)</f>
        <v>108319337</v>
      </c>
      <c r="G294" s="2">
        <f t="shared" si="1"/>
        <v>117</v>
      </c>
    </row>
    <row r="295" ht="15.75" customHeight="1">
      <c r="A295" s="1">
        <f>IFERROR(__xludf.DUMMYFUNCTION("""COMPUTED_VALUE"""),44273.625)</f>
        <v>44273.625</v>
      </c>
      <c r="B295" s="2">
        <f>IFERROR(__xludf.DUMMYFUNCTION("""COMPUTED_VALUE"""),4595.0)</f>
        <v>4595</v>
      </c>
      <c r="C295" s="2">
        <f>IFERROR(__xludf.DUMMYFUNCTION("""COMPUTED_VALUE"""),4654.0)</f>
        <v>4654</v>
      </c>
      <c r="D295" s="2">
        <f>IFERROR(__xludf.DUMMYFUNCTION("""COMPUTED_VALUE"""),4576.0)</f>
        <v>4576</v>
      </c>
      <c r="E295" s="2">
        <f>IFERROR(__xludf.DUMMYFUNCTION("""COMPUTED_VALUE"""),4644.0)</f>
        <v>4644</v>
      </c>
      <c r="F295" s="2">
        <f>IFERROR(__xludf.DUMMYFUNCTION("""COMPUTED_VALUE"""),8.9114415E7)</f>
        <v>89114415</v>
      </c>
      <c r="G295" s="2">
        <f t="shared" si="1"/>
        <v>98</v>
      </c>
    </row>
    <row r="296" ht="15.75" customHeight="1">
      <c r="A296" s="1">
        <f>IFERROR(__xludf.DUMMYFUNCTION("""COMPUTED_VALUE"""),44274.625)</f>
        <v>44274.625</v>
      </c>
      <c r="B296" s="2">
        <f>IFERROR(__xludf.DUMMYFUNCTION("""COMPUTED_VALUE"""),4634.0)</f>
        <v>4634</v>
      </c>
      <c r="C296" s="2">
        <f>IFERROR(__xludf.DUMMYFUNCTION("""COMPUTED_VALUE"""),4634.0)</f>
        <v>4634</v>
      </c>
      <c r="D296" s="2">
        <f>IFERROR(__xludf.DUMMYFUNCTION("""COMPUTED_VALUE"""),4556.0)</f>
        <v>4556</v>
      </c>
      <c r="E296" s="2">
        <f>IFERROR(__xludf.DUMMYFUNCTION("""COMPUTED_VALUE"""),4556.0)</f>
        <v>4556</v>
      </c>
      <c r="F296" s="2">
        <f>IFERROR(__xludf.DUMMYFUNCTION("""COMPUTED_VALUE"""),1.55051763E8)</f>
        <v>155051763</v>
      </c>
      <c r="G296" s="2">
        <f t="shared" si="1"/>
        <v>88</v>
      </c>
    </row>
    <row r="297" ht="15.75" customHeight="1">
      <c r="A297" s="1">
        <f>IFERROR(__xludf.DUMMYFUNCTION("""COMPUTED_VALUE"""),44277.625)</f>
        <v>44277.625</v>
      </c>
      <c r="B297" s="2">
        <f>IFERROR(__xludf.DUMMYFUNCTION("""COMPUTED_VALUE"""),4585.0)</f>
        <v>4585</v>
      </c>
      <c r="C297" s="2">
        <f>IFERROR(__xludf.DUMMYFUNCTION("""COMPUTED_VALUE"""),4585.0)</f>
        <v>4585</v>
      </c>
      <c r="D297" s="2">
        <f>IFERROR(__xludf.DUMMYFUNCTION("""COMPUTED_VALUE"""),4507.0)</f>
        <v>4507</v>
      </c>
      <c r="E297" s="2">
        <f>IFERROR(__xludf.DUMMYFUNCTION("""COMPUTED_VALUE"""),4517.0)</f>
        <v>4517</v>
      </c>
      <c r="F297" s="2">
        <f>IFERROR(__xludf.DUMMYFUNCTION("""COMPUTED_VALUE"""),6.2524888E7)</f>
        <v>62524888</v>
      </c>
      <c r="G297" s="2">
        <f t="shared" si="1"/>
        <v>78</v>
      </c>
    </row>
    <row r="298" ht="15.75" customHeight="1">
      <c r="A298" s="1">
        <f>IFERROR(__xludf.DUMMYFUNCTION("""COMPUTED_VALUE"""),44278.625)</f>
        <v>44278.625</v>
      </c>
      <c r="B298" s="2">
        <f>IFERROR(__xludf.DUMMYFUNCTION("""COMPUTED_VALUE"""),4605.0)</f>
        <v>4605</v>
      </c>
      <c r="C298" s="2">
        <f>IFERROR(__xludf.DUMMYFUNCTION("""COMPUTED_VALUE"""),4605.0)</f>
        <v>4605</v>
      </c>
      <c r="D298" s="2">
        <f>IFERROR(__xludf.DUMMYFUNCTION("""COMPUTED_VALUE"""),4537.0)</f>
        <v>4537</v>
      </c>
      <c r="E298" s="2">
        <f>IFERROR(__xludf.DUMMYFUNCTION("""COMPUTED_VALUE"""),4556.0)</f>
        <v>4556</v>
      </c>
      <c r="F298" s="2">
        <f>IFERROR(__xludf.DUMMYFUNCTION("""COMPUTED_VALUE"""),1.07192337E8)</f>
        <v>107192337</v>
      </c>
      <c r="G298" s="2">
        <f t="shared" si="1"/>
        <v>88</v>
      </c>
    </row>
    <row r="299" ht="15.75" customHeight="1">
      <c r="A299" s="1">
        <f>IFERROR(__xludf.DUMMYFUNCTION("""COMPUTED_VALUE"""),44279.625)</f>
        <v>44279.625</v>
      </c>
      <c r="B299" s="2">
        <f>IFERROR(__xludf.DUMMYFUNCTION("""COMPUTED_VALUE"""),4615.0)</f>
        <v>4615</v>
      </c>
      <c r="C299" s="2">
        <f>IFERROR(__xludf.DUMMYFUNCTION("""COMPUTED_VALUE"""),4615.0)</f>
        <v>4615</v>
      </c>
      <c r="D299" s="2">
        <f>IFERROR(__xludf.DUMMYFUNCTION("""COMPUTED_VALUE"""),4537.0)</f>
        <v>4537</v>
      </c>
      <c r="E299" s="2">
        <f>IFERROR(__xludf.DUMMYFUNCTION("""COMPUTED_VALUE"""),4556.0)</f>
        <v>4556</v>
      </c>
      <c r="F299" s="2">
        <f>IFERROR(__xludf.DUMMYFUNCTION("""COMPUTED_VALUE"""),1.12296791E8)</f>
        <v>112296791</v>
      </c>
      <c r="G299" s="2">
        <f t="shared" si="1"/>
        <v>78</v>
      </c>
    </row>
    <row r="300" ht="15.75" customHeight="1">
      <c r="A300" s="1">
        <f>IFERROR(__xludf.DUMMYFUNCTION("""COMPUTED_VALUE"""),44280.625)</f>
        <v>44280.625</v>
      </c>
      <c r="B300" s="2">
        <f>IFERROR(__xludf.DUMMYFUNCTION("""COMPUTED_VALUE"""),4585.0)</f>
        <v>4585</v>
      </c>
      <c r="C300" s="2">
        <f>IFERROR(__xludf.DUMMYFUNCTION("""COMPUTED_VALUE"""),4585.0)</f>
        <v>4585</v>
      </c>
      <c r="D300" s="2">
        <f>IFERROR(__xludf.DUMMYFUNCTION("""COMPUTED_VALUE"""),4468.0)</f>
        <v>4468</v>
      </c>
      <c r="E300" s="2">
        <f>IFERROR(__xludf.DUMMYFUNCTION("""COMPUTED_VALUE"""),4507.0)</f>
        <v>4507</v>
      </c>
      <c r="F300" s="2">
        <f>IFERROR(__xludf.DUMMYFUNCTION("""COMPUTED_VALUE"""),8.8657356E7)</f>
        <v>88657356</v>
      </c>
      <c r="G300" s="2">
        <f t="shared" si="1"/>
        <v>117</v>
      </c>
    </row>
    <row r="301" ht="15.75" customHeight="1">
      <c r="A301" s="1">
        <f>IFERROR(__xludf.DUMMYFUNCTION("""COMPUTED_VALUE"""),44281.625)</f>
        <v>44281.625</v>
      </c>
      <c r="B301" s="2">
        <f>IFERROR(__xludf.DUMMYFUNCTION("""COMPUTED_VALUE"""),4517.0)</f>
        <v>4517</v>
      </c>
      <c r="C301" s="2">
        <f>IFERROR(__xludf.DUMMYFUNCTION("""COMPUTED_VALUE"""),4605.0)</f>
        <v>4605</v>
      </c>
      <c r="D301" s="2">
        <f>IFERROR(__xludf.DUMMYFUNCTION("""COMPUTED_VALUE"""),4507.0)</f>
        <v>4507</v>
      </c>
      <c r="E301" s="2">
        <f>IFERROR(__xludf.DUMMYFUNCTION("""COMPUTED_VALUE"""),4605.0)</f>
        <v>4605</v>
      </c>
      <c r="F301" s="2">
        <f>IFERROR(__xludf.DUMMYFUNCTION("""COMPUTED_VALUE"""),9.968351E7)</f>
        <v>99683510</v>
      </c>
      <c r="G301" s="2">
        <f t="shared" si="1"/>
        <v>98</v>
      </c>
    </row>
    <row r="302" ht="15.75" customHeight="1">
      <c r="A302" s="1">
        <f>IFERROR(__xludf.DUMMYFUNCTION("""COMPUTED_VALUE"""),44284.625)</f>
        <v>44284.625</v>
      </c>
      <c r="B302" s="2">
        <f>IFERROR(__xludf.DUMMYFUNCTION("""COMPUTED_VALUE"""),4663.0)</f>
        <v>4663</v>
      </c>
      <c r="C302" s="2">
        <f>IFERROR(__xludf.DUMMYFUNCTION("""COMPUTED_VALUE"""),4663.0)</f>
        <v>4663</v>
      </c>
      <c r="D302" s="2">
        <f>IFERROR(__xludf.DUMMYFUNCTION("""COMPUTED_VALUE"""),4605.0)</f>
        <v>4605</v>
      </c>
      <c r="E302" s="2">
        <f>IFERROR(__xludf.DUMMYFUNCTION("""COMPUTED_VALUE"""),4605.0)</f>
        <v>4605</v>
      </c>
      <c r="F302" s="2">
        <f>IFERROR(__xludf.DUMMYFUNCTION("""COMPUTED_VALUE"""),9.9524625E7)</f>
        <v>99524625</v>
      </c>
      <c r="G302" s="2">
        <f t="shared" si="1"/>
        <v>58</v>
      </c>
    </row>
    <row r="303" ht="15.75" customHeight="1">
      <c r="A303" s="1">
        <f>IFERROR(__xludf.DUMMYFUNCTION("""COMPUTED_VALUE"""),44285.625)</f>
        <v>44285.625</v>
      </c>
      <c r="B303" s="2">
        <f>IFERROR(__xludf.DUMMYFUNCTION("""COMPUTED_VALUE"""),4585.0)</f>
        <v>4585</v>
      </c>
      <c r="C303" s="2">
        <f>IFERROR(__xludf.DUMMYFUNCTION("""COMPUTED_VALUE"""),4585.0)</f>
        <v>4585</v>
      </c>
      <c r="D303" s="2">
        <f>IFERROR(__xludf.DUMMYFUNCTION("""COMPUTED_VALUE"""),4371.0)</f>
        <v>4371</v>
      </c>
      <c r="E303" s="2">
        <f>IFERROR(__xludf.DUMMYFUNCTION("""COMPUTED_VALUE"""),4390.0)</f>
        <v>4390</v>
      </c>
      <c r="F303" s="2">
        <f>IFERROR(__xludf.DUMMYFUNCTION("""COMPUTED_VALUE"""),2.00244734E8)</f>
        <v>200244734</v>
      </c>
      <c r="G303" s="2">
        <f t="shared" si="1"/>
        <v>234</v>
      </c>
    </row>
    <row r="304" ht="15.75" customHeight="1">
      <c r="A304" s="1">
        <f>IFERROR(__xludf.DUMMYFUNCTION("""COMPUTED_VALUE"""),44286.625)</f>
        <v>44286.625</v>
      </c>
      <c r="B304" s="2">
        <f>IFERROR(__xludf.DUMMYFUNCTION("""COMPUTED_VALUE"""),4341.0)</f>
        <v>4341</v>
      </c>
      <c r="C304" s="2">
        <f>IFERROR(__xludf.DUMMYFUNCTION("""COMPUTED_VALUE"""),4371.0)</f>
        <v>4371</v>
      </c>
      <c r="D304" s="2">
        <f>IFERROR(__xludf.DUMMYFUNCTION("""COMPUTED_VALUE"""),4156.0)</f>
        <v>4156</v>
      </c>
      <c r="E304" s="2">
        <f>IFERROR(__xludf.DUMMYFUNCTION("""COMPUTED_VALUE"""),4293.0)</f>
        <v>4293</v>
      </c>
      <c r="F304" s="2">
        <f>IFERROR(__xludf.DUMMYFUNCTION("""COMPUTED_VALUE"""),3.01105685E8)</f>
        <v>301105685</v>
      </c>
      <c r="G304" s="2">
        <f t="shared" si="1"/>
        <v>234</v>
      </c>
    </row>
    <row r="305" ht="15.75" customHeight="1">
      <c r="A305" s="1">
        <f>IFERROR(__xludf.DUMMYFUNCTION("""COMPUTED_VALUE"""),44287.625)</f>
        <v>44287.625</v>
      </c>
      <c r="B305" s="2">
        <f>IFERROR(__xludf.DUMMYFUNCTION("""COMPUTED_VALUE"""),4244.0)</f>
        <v>4244</v>
      </c>
      <c r="C305" s="2">
        <f>IFERROR(__xludf.DUMMYFUNCTION("""COMPUTED_VALUE"""),4263.0)</f>
        <v>4263</v>
      </c>
      <c r="D305" s="2">
        <f>IFERROR(__xludf.DUMMYFUNCTION("""COMPUTED_VALUE"""),4107.0)</f>
        <v>4107</v>
      </c>
      <c r="E305" s="2">
        <f>IFERROR(__xludf.DUMMYFUNCTION("""COMPUTED_VALUE"""),4185.0)</f>
        <v>4185</v>
      </c>
      <c r="F305" s="2">
        <f>IFERROR(__xludf.DUMMYFUNCTION("""COMPUTED_VALUE"""),3.16987632E8)</f>
        <v>316987632</v>
      </c>
      <c r="G305" s="2">
        <f t="shared" si="1"/>
        <v>186</v>
      </c>
    </row>
    <row r="306" ht="15.75" customHeight="1">
      <c r="A306" s="1">
        <f>IFERROR(__xludf.DUMMYFUNCTION("""COMPUTED_VALUE"""),44291.625)</f>
        <v>44291.625</v>
      </c>
      <c r="B306" s="2">
        <f>IFERROR(__xludf.DUMMYFUNCTION("""COMPUTED_VALUE"""),4215.0)</f>
        <v>4215</v>
      </c>
      <c r="C306" s="2">
        <f>IFERROR(__xludf.DUMMYFUNCTION("""COMPUTED_VALUE"""),4224.0)</f>
        <v>4224</v>
      </c>
      <c r="D306" s="2">
        <f>IFERROR(__xludf.DUMMYFUNCTION("""COMPUTED_VALUE"""),4058.0)</f>
        <v>4058</v>
      </c>
      <c r="E306" s="2">
        <f>IFERROR(__xludf.DUMMYFUNCTION("""COMPUTED_VALUE"""),4098.0)</f>
        <v>4098</v>
      </c>
      <c r="F306" s="2">
        <f>IFERROR(__xludf.DUMMYFUNCTION("""COMPUTED_VALUE"""),3.2197284E8)</f>
        <v>321972840</v>
      </c>
      <c r="G306" s="2">
        <f t="shared" si="1"/>
        <v>166</v>
      </c>
    </row>
    <row r="307" ht="15.75" customHeight="1">
      <c r="A307" s="1">
        <f>IFERROR(__xludf.DUMMYFUNCTION("""COMPUTED_VALUE"""),44292.625)</f>
        <v>44292.625</v>
      </c>
      <c r="B307" s="2">
        <f>IFERROR(__xludf.DUMMYFUNCTION("""COMPUTED_VALUE"""),4068.0)</f>
        <v>4068</v>
      </c>
      <c r="C307" s="2">
        <f>IFERROR(__xludf.DUMMYFUNCTION("""COMPUTED_VALUE"""),4127.0)</f>
        <v>4127</v>
      </c>
      <c r="D307" s="2">
        <f>IFERROR(__xludf.DUMMYFUNCTION("""COMPUTED_VALUE"""),4049.0)</f>
        <v>4049</v>
      </c>
      <c r="E307" s="2">
        <f>IFERROR(__xludf.DUMMYFUNCTION("""COMPUTED_VALUE"""),4098.0)</f>
        <v>4098</v>
      </c>
      <c r="F307" s="2">
        <f>IFERROR(__xludf.DUMMYFUNCTION("""COMPUTED_VALUE"""),1.5591021E8)</f>
        <v>155910210</v>
      </c>
      <c r="G307" s="2">
        <f t="shared" si="1"/>
        <v>78</v>
      </c>
    </row>
    <row r="308" ht="15.75" customHeight="1">
      <c r="A308" s="1">
        <f>IFERROR(__xludf.DUMMYFUNCTION("""COMPUTED_VALUE"""),44293.625)</f>
        <v>44293.625</v>
      </c>
      <c r="B308" s="2">
        <f>IFERROR(__xludf.DUMMYFUNCTION("""COMPUTED_VALUE"""),4127.0)</f>
        <v>4127</v>
      </c>
      <c r="C308" s="2">
        <f>IFERROR(__xludf.DUMMYFUNCTION("""COMPUTED_VALUE"""),4137.0)</f>
        <v>4137</v>
      </c>
      <c r="D308" s="2">
        <f>IFERROR(__xludf.DUMMYFUNCTION("""COMPUTED_VALUE"""),4058.0)</f>
        <v>4058</v>
      </c>
      <c r="E308" s="2">
        <f>IFERROR(__xludf.DUMMYFUNCTION("""COMPUTED_VALUE"""),4098.0)</f>
        <v>4098</v>
      </c>
      <c r="F308" s="2">
        <f>IFERROR(__xludf.DUMMYFUNCTION("""COMPUTED_VALUE"""),1.08979028E8)</f>
        <v>108979028</v>
      </c>
      <c r="G308" s="2">
        <f t="shared" si="1"/>
        <v>79</v>
      </c>
    </row>
    <row r="309" ht="15.75" customHeight="1">
      <c r="A309" s="1">
        <f>IFERROR(__xludf.DUMMYFUNCTION("""COMPUTED_VALUE"""),44294.625)</f>
        <v>44294.625</v>
      </c>
      <c r="B309" s="2">
        <f>IFERROR(__xludf.DUMMYFUNCTION("""COMPUTED_VALUE"""),4146.0)</f>
        <v>4146</v>
      </c>
      <c r="C309" s="2">
        <f>IFERROR(__xludf.DUMMYFUNCTION("""COMPUTED_VALUE"""),4254.0)</f>
        <v>4254</v>
      </c>
      <c r="D309" s="2">
        <f>IFERROR(__xludf.DUMMYFUNCTION("""COMPUTED_VALUE"""),4127.0)</f>
        <v>4127</v>
      </c>
      <c r="E309" s="2">
        <f>IFERROR(__xludf.DUMMYFUNCTION("""COMPUTED_VALUE"""),4244.0)</f>
        <v>4244</v>
      </c>
      <c r="F309" s="2">
        <f>IFERROR(__xludf.DUMMYFUNCTION("""COMPUTED_VALUE"""),1.47759942E8)</f>
        <v>147759942</v>
      </c>
      <c r="G309" s="2">
        <f t="shared" si="1"/>
        <v>156</v>
      </c>
    </row>
    <row r="310" ht="15.75" customHeight="1">
      <c r="A310" s="1">
        <f>IFERROR(__xludf.DUMMYFUNCTION("""COMPUTED_VALUE"""),44295.625)</f>
        <v>44295.625</v>
      </c>
      <c r="B310" s="2">
        <f>IFERROR(__xludf.DUMMYFUNCTION("""COMPUTED_VALUE"""),4273.0)</f>
        <v>4273</v>
      </c>
      <c r="C310" s="2">
        <f>IFERROR(__xludf.DUMMYFUNCTION("""COMPUTED_VALUE"""),4293.0)</f>
        <v>4293</v>
      </c>
      <c r="D310" s="2">
        <f>IFERROR(__xludf.DUMMYFUNCTION("""COMPUTED_VALUE"""),4244.0)</f>
        <v>4244</v>
      </c>
      <c r="E310" s="2">
        <f>IFERROR(__xludf.DUMMYFUNCTION("""COMPUTED_VALUE"""),4244.0)</f>
        <v>4244</v>
      </c>
      <c r="F310" s="2">
        <f>IFERROR(__xludf.DUMMYFUNCTION("""COMPUTED_VALUE"""),1.16735291E8)</f>
        <v>116735291</v>
      </c>
      <c r="G310" s="2">
        <f t="shared" si="1"/>
        <v>49</v>
      </c>
    </row>
    <row r="311" ht="15.75" customHeight="1">
      <c r="A311" s="1">
        <f>IFERROR(__xludf.DUMMYFUNCTION("""COMPUTED_VALUE"""),44298.625)</f>
        <v>44298.625</v>
      </c>
      <c r="B311" s="2">
        <f>IFERROR(__xludf.DUMMYFUNCTION("""COMPUTED_VALUE"""),4283.0)</f>
        <v>4283</v>
      </c>
      <c r="C311" s="2">
        <f>IFERROR(__xludf.DUMMYFUNCTION("""COMPUTED_VALUE"""),4283.0)</f>
        <v>4283</v>
      </c>
      <c r="D311" s="2">
        <f>IFERROR(__xludf.DUMMYFUNCTION("""COMPUTED_VALUE"""),4098.0)</f>
        <v>4098</v>
      </c>
      <c r="E311" s="2">
        <f>IFERROR(__xludf.DUMMYFUNCTION("""COMPUTED_VALUE"""),4107.0)</f>
        <v>4107</v>
      </c>
      <c r="F311" s="2">
        <f>IFERROR(__xludf.DUMMYFUNCTION("""COMPUTED_VALUE"""),1.07269421E8)</f>
        <v>107269421</v>
      </c>
      <c r="G311" s="2">
        <f t="shared" si="1"/>
        <v>185</v>
      </c>
    </row>
    <row r="312" ht="15.75" customHeight="1">
      <c r="A312" s="1">
        <f>IFERROR(__xludf.DUMMYFUNCTION("""COMPUTED_VALUE"""),44299.625)</f>
        <v>44299.625</v>
      </c>
      <c r="B312" s="2">
        <f>IFERROR(__xludf.DUMMYFUNCTION("""COMPUTED_VALUE"""),4107.0)</f>
        <v>4107</v>
      </c>
      <c r="C312" s="2">
        <f>IFERROR(__xludf.DUMMYFUNCTION("""COMPUTED_VALUE"""),4156.0)</f>
        <v>4156</v>
      </c>
      <c r="D312" s="2">
        <f>IFERROR(__xludf.DUMMYFUNCTION("""COMPUTED_VALUE"""),4019.0)</f>
        <v>4019</v>
      </c>
      <c r="E312" s="2">
        <f>IFERROR(__xludf.DUMMYFUNCTION("""COMPUTED_VALUE"""),4058.0)</f>
        <v>4058</v>
      </c>
      <c r="F312" s="2">
        <f>IFERROR(__xludf.DUMMYFUNCTION("""COMPUTED_VALUE"""),1.11991441E8)</f>
        <v>111991441</v>
      </c>
      <c r="G312" s="2">
        <f t="shared" si="1"/>
        <v>137</v>
      </c>
    </row>
    <row r="313" ht="15.75" customHeight="1">
      <c r="A313" s="1">
        <f>IFERROR(__xludf.DUMMYFUNCTION("""COMPUTED_VALUE"""),44300.625)</f>
        <v>44300.625</v>
      </c>
      <c r="B313" s="2">
        <f>IFERROR(__xludf.DUMMYFUNCTION("""COMPUTED_VALUE"""),4176.0)</f>
        <v>4176</v>
      </c>
      <c r="C313" s="2">
        <f>IFERROR(__xludf.DUMMYFUNCTION("""COMPUTED_VALUE"""),4244.0)</f>
        <v>4244</v>
      </c>
      <c r="D313" s="2">
        <f>IFERROR(__xludf.DUMMYFUNCTION("""COMPUTED_VALUE"""),4117.0)</f>
        <v>4117</v>
      </c>
      <c r="E313" s="2">
        <f>IFERROR(__xludf.DUMMYFUNCTION("""COMPUTED_VALUE"""),4244.0)</f>
        <v>4244</v>
      </c>
      <c r="F313" s="2">
        <f>IFERROR(__xludf.DUMMYFUNCTION("""COMPUTED_VALUE"""),1.05790217E8)</f>
        <v>105790217</v>
      </c>
      <c r="G313" s="2">
        <f t="shared" si="1"/>
        <v>186</v>
      </c>
    </row>
    <row r="314" ht="15.75" customHeight="1">
      <c r="A314" s="1">
        <f>IFERROR(__xludf.DUMMYFUNCTION("""COMPUTED_VALUE"""),44301.625)</f>
        <v>44301.625</v>
      </c>
      <c r="B314" s="2">
        <f>IFERROR(__xludf.DUMMYFUNCTION("""COMPUTED_VALUE"""),4283.0)</f>
        <v>4283</v>
      </c>
      <c r="C314" s="2">
        <f>IFERROR(__xludf.DUMMYFUNCTION("""COMPUTED_VALUE"""),4302.0)</f>
        <v>4302</v>
      </c>
      <c r="D314" s="2">
        <f>IFERROR(__xludf.DUMMYFUNCTION("""COMPUTED_VALUE"""),4176.0)</f>
        <v>4176</v>
      </c>
      <c r="E314" s="2">
        <f>IFERROR(__xludf.DUMMYFUNCTION("""COMPUTED_VALUE"""),4302.0)</f>
        <v>4302</v>
      </c>
      <c r="F314" s="2">
        <f>IFERROR(__xludf.DUMMYFUNCTION("""COMPUTED_VALUE"""),8.0389516E7)</f>
        <v>80389516</v>
      </c>
      <c r="G314" s="2">
        <f t="shared" si="1"/>
        <v>126</v>
      </c>
    </row>
    <row r="315" ht="15.75" customHeight="1">
      <c r="A315" s="1">
        <f>IFERROR(__xludf.DUMMYFUNCTION("""COMPUTED_VALUE"""),44302.625)</f>
        <v>44302.625</v>
      </c>
      <c r="B315" s="2">
        <f>IFERROR(__xludf.DUMMYFUNCTION("""COMPUTED_VALUE"""),4341.0)</f>
        <v>4341</v>
      </c>
      <c r="C315" s="2">
        <f>IFERROR(__xludf.DUMMYFUNCTION("""COMPUTED_VALUE"""),4351.0)</f>
        <v>4351</v>
      </c>
      <c r="D315" s="2">
        <f>IFERROR(__xludf.DUMMYFUNCTION("""COMPUTED_VALUE"""),4205.0)</f>
        <v>4205</v>
      </c>
      <c r="E315" s="2">
        <f>IFERROR(__xludf.DUMMYFUNCTION("""COMPUTED_VALUE"""),4234.0)</f>
        <v>4234</v>
      </c>
      <c r="F315" s="2">
        <f>IFERROR(__xludf.DUMMYFUNCTION("""COMPUTED_VALUE"""),6.9416046E7)</f>
        <v>69416046</v>
      </c>
      <c r="G315" s="2">
        <f t="shared" si="1"/>
        <v>146</v>
      </c>
    </row>
    <row r="316" ht="15.75" customHeight="1">
      <c r="A316" s="1">
        <f>IFERROR(__xludf.DUMMYFUNCTION("""COMPUTED_VALUE"""),44305.625)</f>
        <v>44305.625</v>
      </c>
      <c r="B316" s="2">
        <f>IFERROR(__xludf.DUMMYFUNCTION("""COMPUTED_VALUE"""),4254.0)</f>
        <v>4254</v>
      </c>
      <c r="C316" s="2">
        <f>IFERROR(__xludf.DUMMYFUNCTION("""COMPUTED_VALUE"""),4273.0)</f>
        <v>4273</v>
      </c>
      <c r="D316" s="2">
        <f>IFERROR(__xludf.DUMMYFUNCTION("""COMPUTED_VALUE"""),4205.0)</f>
        <v>4205</v>
      </c>
      <c r="E316" s="2">
        <f>IFERROR(__xludf.DUMMYFUNCTION("""COMPUTED_VALUE"""),4273.0)</f>
        <v>4273</v>
      </c>
      <c r="F316" s="2">
        <f>IFERROR(__xludf.DUMMYFUNCTION("""COMPUTED_VALUE"""),5.7945341E7)</f>
        <v>57945341</v>
      </c>
      <c r="G316" s="2">
        <f t="shared" si="1"/>
        <v>68</v>
      </c>
    </row>
    <row r="317" ht="15.75" customHeight="1">
      <c r="A317" s="1">
        <f>IFERROR(__xludf.DUMMYFUNCTION("""COMPUTED_VALUE"""),44306.625)</f>
        <v>44306.625</v>
      </c>
      <c r="B317" s="2">
        <f>IFERROR(__xludf.DUMMYFUNCTION("""COMPUTED_VALUE"""),4185.0)</f>
        <v>4185</v>
      </c>
      <c r="C317" s="2">
        <f>IFERROR(__xludf.DUMMYFUNCTION("""COMPUTED_VALUE"""),4224.0)</f>
        <v>4224</v>
      </c>
      <c r="D317" s="2">
        <f>IFERROR(__xludf.DUMMYFUNCTION("""COMPUTED_VALUE"""),4117.0)</f>
        <v>4117</v>
      </c>
      <c r="E317" s="2">
        <f>IFERROR(__xludf.DUMMYFUNCTION("""COMPUTED_VALUE"""),4205.0)</f>
        <v>4205</v>
      </c>
      <c r="F317" s="2">
        <f>IFERROR(__xludf.DUMMYFUNCTION("""COMPUTED_VALUE"""),9.151898E7)</f>
        <v>91518980</v>
      </c>
      <c r="G317" s="2">
        <f t="shared" si="1"/>
        <v>156</v>
      </c>
    </row>
    <row r="318" ht="15.75" customHeight="1">
      <c r="A318" s="1">
        <f>IFERROR(__xludf.DUMMYFUNCTION("""COMPUTED_VALUE"""),44307.625)</f>
        <v>44307.625</v>
      </c>
      <c r="B318" s="2">
        <f>IFERROR(__xludf.DUMMYFUNCTION("""COMPUTED_VALUE"""),4137.0)</f>
        <v>4137</v>
      </c>
      <c r="C318" s="2">
        <f>IFERROR(__xludf.DUMMYFUNCTION("""COMPUTED_VALUE"""),4185.0)</f>
        <v>4185</v>
      </c>
      <c r="D318" s="2">
        <f>IFERROR(__xludf.DUMMYFUNCTION("""COMPUTED_VALUE"""),4127.0)</f>
        <v>4127</v>
      </c>
      <c r="E318" s="2">
        <f>IFERROR(__xludf.DUMMYFUNCTION("""COMPUTED_VALUE"""),4127.0)</f>
        <v>4127</v>
      </c>
      <c r="F318" s="2">
        <f>IFERROR(__xludf.DUMMYFUNCTION("""COMPUTED_VALUE"""),4.8411404E7)</f>
        <v>48411404</v>
      </c>
      <c r="G318" s="2">
        <f t="shared" si="1"/>
        <v>78</v>
      </c>
    </row>
    <row r="319" ht="15.75" customHeight="1">
      <c r="A319" s="1">
        <f>IFERROR(__xludf.DUMMYFUNCTION("""COMPUTED_VALUE"""),44308.625)</f>
        <v>44308.625</v>
      </c>
      <c r="B319" s="2">
        <f>IFERROR(__xludf.DUMMYFUNCTION("""COMPUTED_VALUE"""),4127.0)</f>
        <v>4127</v>
      </c>
      <c r="C319" s="2">
        <f>IFERROR(__xludf.DUMMYFUNCTION("""COMPUTED_VALUE"""),4156.0)</f>
        <v>4156</v>
      </c>
      <c r="D319" s="2">
        <f>IFERROR(__xludf.DUMMYFUNCTION("""COMPUTED_VALUE"""),4098.0)</f>
        <v>4098</v>
      </c>
      <c r="E319" s="2">
        <f>IFERROR(__xludf.DUMMYFUNCTION("""COMPUTED_VALUE"""),4098.0)</f>
        <v>4098</v>
      </c>
      <c r="F319" s="2">
        <f>IFERROR(__xludf.DUMMYFUNCTION("""COMPUTED_VALUE"""),1.10712227E8)</f>
        <v>110712227</v>
      </c>
      <c r="G319" s="2">
        <f t="shared" si="1"/>
        <v>58</v>
      </c>
    </row>
    <row r="320" ht="15.75" customHeight="1">
      <c r="A320" s="1">
        <f>IFERROR(__xludf.DUMMYFUNCTION("""COMPUTED_VALUE"""),44309.625)</f>
        <v>44309.625</v>
      </c>
      <c r="B320" s="2">
        <f>IFERROR(__xludf.DUMMYFUNCTION("""COMPUTED_VALUE"""),4098.0)</f>
        <v>4098</v>
      </c>
      <c r="C320" s="2">
        <f>IFERROR(__xludf.DUMMYFUNCTION("""COMPUTED_VALUE"""),4176.0)</f>
        <v>4176</v>
      </c>
      <c r="D320" s="2">
        <f>IFERROR(__xludf.DUMMYFUNCTION("""COMPUTED_VALUE"""),4088.0)</f>
        <v>4088</v>
      </c>
      <c r="E320" s="2">
        <f>IFERROR(__xludf.DUMMYFUNCTION("""COMPUTED_VALUE"""),4146.0)</f>
        <v>4146</v>
      </c>
      <c r="F320" s="2">
        <f>IFERROR(__xludf.DUMMYFUNCTION("""COMPUTED_VALUE"""),1.12295966E8)</f>
        <v>112295966</v>
      </c>
      <c r="G320" s="2">
        <f t="shared" si="1"/>
        <v>88</v>
      </c>
    </row>
    <row r="321" ht="15.75" customHeight="1">
      <c r="A321" s="1">
        <f>IFERROR(__xludf.DUMMYFUNCTION("""COMPUTED_VALUE"""),44312.625)</f>
        <v>44312.625</v>
      </c>
      <c r="B321" s="2">
        <f>IFERROR(__xludf.DUMMYFUNCTION("""COMPUTED_VALUE"""),4137.0)</f>
        <v>4137</v>
      </c>
      <c r="C321" s="2">
        <f>IFERROR(__xludf.DUMMYFUNCTION("""COMPUTED_VALUE"""),4146.0)</f>
        <v>4146</v>
      </c>
      <c r="D321" s="2">
        <f>IFERROR(__xludf.DUMMYFUNCTION("""COMPUTED_VALUE"""),4029.0)</f>
        <v>4029</v>
      </c>
      <c r="E321" s="2">
        <f>IFERROR(__xludf.DUMMYFUNCTION("""COMPUTED_VALUE"""),4039.0)</f>
        <v>4039</v>
      </c>
      <c r="F321" s="2">
        <f>IFERROR(__xludf.DUMMYFUNCTION("""COMPUTED_VALUE"""),1.46636834E8)</f>
        <v>146636834</v>
      </c>
      <c r="G321" s="2">
        <f t="shared" si="1"/>
        <v>117</v>
      </c>
    </row>
    <row r="322" ht="15.75" customHeight="1">
      <c r="A322" s="1">
        <f>IFERROR(__xludf.DUMMYFUNCTION("""COMPUTED_VALUE"""),44313.625)</f>
        <v>44313.625</v>
      </c>
      <c r="B322" s="2">
        <f>IFERROR(__xludf.DUMMYFUNCTION("""COMPUTED_VALUE"""),4098.0)</f>
        <v>4098</v>
      </c>
      <c r="C322" s="2">
        <f>IFERROR(__xludf.DUMMYFUNCTION("""COMPUTED_VALUE"""),4098.0)</f>
        <v>4098</v>
      </c>
      <c r="D322" s="2">
        <f>IFERROR(__xludf.DUMMYFUNCTION("""COMPUTED_VALUE"""),4049.0)</f>
        <v>4049</v>
      </c>
      <c r="E322" s="2">
        <f>IFERROR(__xludf.DUMMYFUNCTION("""COMPUTED_VALUE"""),4068.0)</f>
        <v>4068</v>
      </c>
      <c r="F322" s="2">
        <f>IFERROR(__xludf.DUMMYFUNCTION("""COMPUTED_VALUE"""),1.36121128E8)</f>
        <v>136121128</v>
      </c>
      <c r="G322" s="2">
        <f t="shared" si="1"/>
        <v>59</v>
      </c>
    </row>
    <row r="323" ht="15.75" customHeight="1">
      <c r="A323" s="1">
        <f>IFERROR(__xludf.DUMMYFUNCTION("""COMPUTED_VALUE"""),44314.625)</f>
        <v>44314.625</v>
      </c>
      <c r="B323" s="2">
        <f>IFERROR(__xludf.DUMMYFUNCTION("""COMPUTED_VALUE"""),4068.0)</f>
        <v>4068</v>
      </c>
      <c r="C323" s="2">
        <f>IFERROR(__xludf.DUMMYFUNCTION("""COMPUTED_VALUE"""),4117.0)</f>
        <v>4117</v>
      </c>
      <c r="D323" s="2">
        <f>IFERROR(__xludf.DUMMYFUNCTION("""COMPUTED_VALUE"""),4029.0)</f>
        <v>4029</v>
      </c>
      <c r="E323" s="2">
        <f>IFERROR(__xludf.DUMMYFUNCTION("""COMPUTED_VALUE"""),4029.0)</f>
        <v>4029</v>
      </c>
      <c r="F323" s="2">
        <f>IFERROR(__xludf.DUMMYFUNCTION("""COMPUTED_VALUE"""),1.17954551E8)</f>
        <v>117954551</v>
      </c>
      <c r="G323" s="2">
        <f t="shared" si="1"/>
        <v>88</v>
      </c>
    </row>
    <row r="324" ht="15.75" customHeight="1">
      <c r="A324" s="1">
        <f>IFERROR(__xludf.DUMMYFUNCTION("""COMPUTED_VALUE"""),44315.625)</f>
        <v>44315.625</v>
      </c>
      <c r="B324" s="2">
        <f>IFERROR(__xludf.DUMMYFUNCTION("""COMPUTED_VALUE"""),4088.0)</f>
        <v>4088</v>
      </c>
      <c r="C324" s="2">
        <f>IFERROR(__xludf.DUMMYFUNCTION("""COMPUTED_VALUE"""),4098.0)</f>
        <v>4098</v>
      </c>
      <c r="D324" s="2">
        <f>IFERROR(__xludf.DUMMYFUNCTION("""COMPUTED_VALUE"""),4039.0)</f>
        <v>4039</v>
      </c>
      <c r="E324" s="2">
        <f>IFERROR(__xludf.DUMMYFUNCTION("""COMPUTED_VALUE"""),4058.0)</f>
        <v>4058</v>
      </c>
      <c r="F324" s="2">
        <f>IFERROR(__xludf.DUMMYFUNCTION("""COMPUTED_VALUE"""),1.16207618E8)</f>
        <v>116207618</v>
      </c>
      <c r="G324" s="2">
        <f t="shared" si="1"/>
        <v>69</v>
      </c>
    </row>
    <row r="325" ht="15.75" customHeight="1">
      <c r="A325" s="1">
        <f>IFERROR(__xludf.DUMMYFUNCTION("""COMPUTED_VALUE"""),44316.625)</f>
        <v>44316.625</v>
      </c>
      <c r="B325" s="2">
        <f>IFERROR(__xludf.DUMMYFUNCTION("""COMPUTED_VALUE"""),4049.0)</f>
        <v>4049</v>
      </c>
      <c r="C325" s="2">
        <f>IFERROR(__xludf.DUMMYFUNCTION("""COMPUTED_VALUE"""),4058.0)</f>
        <v>4058</v>
      </c>
      <c r="D325" s="2">
        <f>IFERROR(__xludf.DUMMYFUNCTION("""COMPUTED_VALUE"""),3951.0)</f>
        <v>3951</v>
      </c>
      <c r="E325" s="2">
        <f>IFERROR(__xludf.DUMMYFUNCTION("""COMPUTED_VALUE"""),3951.0)</f>
        <v>3951</v>
      </c>
      <c r="F325" s="2">
        <f>IFERROR(__xludf.DUMMYFUNCTION("""COMPUTED_VALUE"""),2.39939735E8)</f>
        <v>239939735</v>
      </c>
      <c r="G325" s="2">
        <f t="shared" si="1"/>
        <v>107</v>
      </c>
    </row>
    <row r="326" ht="15.75" customHeight="1">
      <c r="A326" s="1">
        <f>IFERROR(__xludf.DUMMYFUNCTION("""COMPUTED_VALUE"""),44319.66666666667)</f>
        <v>44319.66667</v>
      </c>
      <c r="B326" s="2">
        <f>IFERROR(__xludf.DUMMYFUNCTION("""COMPUTED_VALUE"""),3961.0)</f>
        <v>3961</v>
      </c>
      <c r="C326" s="2">
        <f>IFERROR(__xludf.DUMMYFUNCTION("""COMPUTED_VALUE"""),3971.0)</f>
        <v>3971</v>
      </c>
      <c r="D326" s="2">
        <f>IFERROR(__xludf.DUMMYFUNCTION("""COMPUTED_VALUE"""),3902.0)</f>
        <v>3902</v>
      </c>
      <c r="E326" s="2">
        <f>IFERROR(__xludf.DUMMYFUNCTION("""COMPUTED_VALUE"""),3912.0)</f>
        <v>3912</v>
      </c>
      <c r="F326" s="2">
        <f>IFERROR(__xludf.DUMMYFUNCTION("""COMPUTED_VALUE"""),1.15764405E8)</f>
        <v>115764405</v>
      </c>
      <c r="G326" s="2">
        <f t="shared" si="1"/>
        <v>69</v>
      </c>
    </row>
    <row r="327" ht="15.75" customHeight="1">
      <c r="A327" s="1">
        <f>IFERROR(__xludf.DUMMYFUNCTION("""COMPUTED_VALUE"""),44320.66666666667)</f>
        <v>44320.66667</v>
      </c>
      <c r="B327" s="2">
        <f>IFERROR(__xludf.DUMMYFUNCTION("""COMPUTED_VALUE"""),3922.0)</f>
        <v>3922</v>
      </c>
      <c r="C327" s="2">
        <f>IFERROR(__xludf.DUMMYFUNCTION("""COMPUTED_VALUE"""),3971.0)</f>
        <v>3971</v>
      </c>
      <c r="D327" s="2">
        <f>IFERROR(__xludf.DUMMYFUNCTION("""COMPUTED_VALUE"""),3912.0)</f>
        <v>3912</v>
      </c>
      <c r="E327" s="2">
        <f>IFERROR(__xludf.DUMMYFUNCTION("""COMPUTED_VALUE"""),3961.0)</f>
        <v>3961</v>
      </c>
      <c r="F327" s="2">
        <f>IFERROR(__xludf.DUMMYFUNCTION("""COMPUTED_VALUE"""),7.8540283E7)</f>
        <v>78540283</v>
      </c>
      <c r="G327" s="2">
        <f t="shared" si="1"/>
        <v>59</v>
      </c>
    </row>
    <row r="328" ht="15.75" customHeight="1">
      <c r="A328" s="1">
        <f>IFERROR(__xludf.DUMMYFUNCTION("""COMPUTED_VALUE"""),44321.625)</f>
        <v>44321.625</v>
      </c>
      <c r="B328" s="2">
        <f>IFERROR(__xludf.DUMMYFUNCTION("""COMPUTED_VALUE"""),4010.0)</f>
        <v>4010</v>
      </c>
      <c r="C328" s="2">
        <f>IFERROR(__xludf.DUMMYFUNCTION("""COMPUTED_VALUE"""),4029.0)</f>
        <v>4029</v>
      </c>
      <c r="D328" s="2">
        <f>IFERROR(__xludf.DUMMYFUNCTION("""COMPUTED_VALUE"""),3980.0)</f>
        <v>3980</v>
      </c>
      <c r="E328" s="2">
        <f>IFERROR(__xludf.DUMMYFUNCTION("""COMPUTED_VALUE"""),3990.0)</f>
        <v>3990</v>
      </c>
      <c r="F328" s="2">
        <f>IFERROR(__xludf.DUMMYFUNCTION("""COMPUTED_VALUE"""),1.09321687E8)</f>
        <v>109321687</v>
      </c>
      <c r="G328" s="2">
        <f t="shared" si="1"/>
        <v>68</v>
      </c>
    </row>
    <row r="329" ht="15.75" customHeight="1">
      <c r="A329" s="1">
        <f>IFERROR(__xludf.DUMMYFUNCTION("""COMPUTED_VALUE"""),44322.625)</f>
        <v>44322.625</v>
      </c>
      <c r="B329" s="2">
        <f>IFERROR(__xludf.DUMMYFUNCTION("""COMPUTED_VALUE"""),4029.0)</f>
        <v>4029</v>
      </c>
      <c r="C329" s="2">
        <f>IFERROR(__xludf.DUMMYFUNCTION("""COMPUTED_VALUE"""),4029.0)</f>
        <v>4029</v>
      </c>
      <c r="D329" s="2">
        <f>IFERROR(__xludf.DUMMYFUNCTION("""COMPUTED_VALUE"""),3971.0)</f>
        <v>3971</v>
      </c>
      <c r="E329" s="2">
        <f>IFERROR(__xludf.DUMMYFUNCTION("""COMPUTED_VALUE"""),4010.0)</f>
        <v>4010</v>
      </c>
      <c r="F329" s="2">
        <f>IFERROR(__xludf.DUMMYFUNCTION("""COMPUTED_VALUE"""),8.0346658E7)</f>
        <v>80346658</v>
      </c>
      <c r="G329" s="2">
        <f t="shared" si="1"/>
        <v>58</v>
      </c>
    </row>
    <row r="330" ht="15.75" customHeight="1">
      <c r="A330" s="1">
        <f>IFERROR(__xludf.DUMMYFUNCTION("""COMPUTED_VALUE"""),44323.625)</f>
        <v>44323.625</v>
      </c>
      <c r="B330" s="2">
        <f>IFERROR(__xludf.DUMMYFUNCTION("""COMPUTED_VALUE"""),4039.0)</f>
        <v>4039</v>
      </c>
      <c r="C330" s="2">
        <f>IFERROR(__xludf.DUMMYFUNCTION("""COMPUTED_VALUE"""),4039.0)</f>
        <v>4039</v>
      </c>
      <c r="D330" s="2">
        <f>IFERROR(__xludf.DUMMYFUNCTION("""COMPUTED_VALUE"""),3941.0)</f>
        <v>3941</v>
      </c>
      <c r="E330" s="2">
        <f>IFERROR(__xludf.DUMMYFUNCTION("""COMPUTED_VALUE"""),3951.0)</f>
        <v>3951</v>
      </c>
      <c r="F330" s="2">
        <f>IFERROR(__xludf.DUMMYFUNCTION("""COMPUTED_VALUE"""),7.7674252E7)</f>
        <v>77674252</v>
      </c>
      <c r="G330" s="2">
        <f t="shared" si="1"/>
        <v>98</v>
      </c>
    </row>
    <row r="331" ht="15.75" customHeight="1">
      <c r="A331" s="1">
        <f>IFERROR(__xludf.DUMMYFUNCTION("""COMPUTED_VALUE"""),44326.66666666667)</f>
        <v>44326.66667</v>
      </c>
      <c r="B331" s="2">
        <f>IFERROR(__xludf.DUMMYFUNCTION("""COMPUTED_VALUE"""),3951.0)</f>
        <v>3951</v>
      </c>
      <c r="C331" s="2">
        <f>IFERROR(__xludf.DUMMYFUNCTION("""COMPUTED_VALUE"""),3990.0)</f>
        <v>3990</v>
      </c>
      <c r="D331" s="2">
        <f>IFERROR(__xludf.DUMMYFUNCTION("""COMPUTED_VALUE"""),3951.0)</f>
        <v>3951</v>
      </c>
      <c r="E331" s="2">
        <f>IFERROR(__xludf.DUMMYFUNCTION("""COMPUTED_VALUE"""),3951.0)</f>
        <v>3951</v>
      </c>
      <c r="F331" s="2">
        <f>IFERROR(__xludf.DUMMYFUNCTION("""COMPUTED_VALUE"""),7.5828815E7)</f>
        <v>75828815</v>
      </c>
      <c r="G331" s="2">
        <f t="shared" si="1"/>
        <v>39</v>
      </c>
    </row>
    <row r="332" ht="15.75" customHeight="1">
      <c r="A332" s="1">
        <f>IFERROR(__xludf.DUMMYFUNCTION("""COMPUTED_VALUE"""),44327.66666666667)</f>
        <v>44327.66667</v>
      </c>
      <c r="B332" s="2">
        <f>IFERROR(__xludf.DUMMYFUNCTION("""COMPUTED_VALUE"""),3932.0)</f>
        <v>3932</v>
      </c>
      <c r="C332" s="2">
        <f>IFERROR(__xludf.DUMMYFUNCTION("""COMPUTED_VALUE"""),3941.0)</f>
        <v>3941</v>
      </c>
      <c r="D332" s="2">
        <f>IFERROR(__xludf.DUMMYFUNCTION("""COMPUTED_VALUE"""),3883.0)</f>
        <v>3883</v>
      </c>
      <c r="E332" s="2">
        <f>IFERROR(__xludf.DUMMYFUNCTION("""COMPUTED_VALUE"""),3893.0)</f>
        <v>3893</v>
      </c>
      <c r="F332" s="2">
        <f>IFERROR(__xludf.DUMMYFUNCTION("""COMPUTED_VALUE"""),1.55642058E8)</f>
        <v>155642058</v>
      </c>
      <c r="G332" s="2">
        <f t="shared" si="1"/>
        <v>68</v>
      </c>
    </row>
    <row r="333" ht="15.75" customHeight="1">
      <c r="A333" s="1">
        <f>IFERROR(__xludf.DUMMYFUNCTION("""COMPUTED_VALUE"""),44333.625)</f>
        <v>44333.625</v>
      </c>
      <c r="B333" s="2">
        <f>IFERROR(__xludf.DUMMYFUNCTION("""COMPUTED_VALUE"""),3863.0)</f>
        <v>3863</v>
      </c>
      <c r="C333" s="2">
        <f>IFERROR(__xludf.DUMMYFUNCTION("""COMPUTED_VALUE"""),3902.0)</f>
        <v>3902</v>
      </c>
      <c r="D333" s="2">
        <f>IFERROR(__xludf.DUMMYFUNCTION("""COMPUTED_VALUE"""),3805.0)</f>
        <v>3805</v>
      </c>
      <c r="E333" s="2">
        <f>IFERROR(__xludf.DUMMYFUNCTION("""COMPUTED_VALUE"""),3805.0)</f>
        <v>3805</v>
      </c>
      <c r="F333" s="2">
        <f>IFERROR(__xludf.DUMMYFUNCTION("""COMPUTED_VALUE"""),2.00176474E8)</f>
        <v>200176474</v>
      </c>
      <c r="G333" s="2">
        <f t="shared" si="1"/>
        <v>97</v>
      </c>
    </row>
    <row r="334" ht="15.75" customHeight="1">
      <c r="A334" s="1">
        <f>IFERROR(__xludf.DUMMYFUNCTION("""COMPUTED_VALUE"""),44334.625)</f>
        <v>44334.625</v>
      </c>
      <c r="B334" s="2">
        <f>IFERROR(__xludf.DUMMYFUNCTION("""COMPUTED_VALUE"""),3863.0)</f>
        <v>3863</v>
      </c>
      <c r="C334" s="2">
        <f>IFERROR(__xludf.DUMMYFUNCTION("""COMPUTED_VALUE"""),3863.0)</f>
        <v>3863</v>
      </c>
      <c r="D334" s="2">
        <f>IFERROR(__xludf.DUMMYFUNCTION("""COMPUTED_VALUE"""),3795.0)</f>
        <v>3795</v>
      </c>
      <c r="E334" s="2">
        <f>IFERROR(__xludf.DUMMYFUNCTION("""COMPUTED_VALUE"""),3805.0)</f>
        <v>3805</v>
      </c>
      <c r="F334" s="2">
        <f>IFERROR(__xludf.DUMMYFUNCTION("""COMPUTED_VALUE"""),1.18598042E8)</f>
        <v>118598042</v>
      </c>
      <c r="G334" s="2">
        <f t="shared" si="1"/>
        <v>68</v>
      </c>
    </row>
    <row r="335" ht="15.75" customHeight="1">
      <c r="A335" s="1">
        <f>IFERROR(__xludf.DUMMYFUNCTION("""COMPUTED_VALUE"""),44335.625)</f>
        <v>44335.625</v>
      </c>
      <c r="B335" s="2">
        <f>IFERROR(__xludf.DUMMYFUNCTION("""COMPUTED_VALUE"""),3756.0)</f>
        <v>3756</v>
      </c>
      <c r="C335" s="2">
        <f>IFERROR(__xludf.DUMMYFUNCTION("""COMPUTED_VALUE"""),3844.0)</f>
        <v>3844</v>
      </c>
      <c r="D335" s="2">
        <f>IFERROR(__xludf.DUMMYFUNCTION("""COMPUTED_VALUE"""),3756.0)</f>
        <v>3756</v>
      </c>
      <c r="E335" s="2">
        <f>IFERROR(__xludf.DUMMYFUNCTION("""COMPUTED_VALUE"""),3776.0)</f>
        <v>3776</v>
      </c>
      <c r="F335" s="2">
        <f>IFERROR(__xludf.DUMMYFUNCTION("""COMPUTED_VALUE"""),1.2608166E8)</f>
        <v>126081660</v>
      </c>
      <c r="G335" s="2">
        <f t="shared" si="1"/>
        <v>88</v>
      </c>
    </row>
    <row r="336" ht="15.75" customHeight="1">
      <c r="A336" s="1">
        <f>IFERROR(__xludf.DUMMYFUNCTION("""COMPUTED_VALUE"""),44336.625)</f>
        <v>44336.625</v>
      </c>
      <c r="B336" s="2">
        <f>IFERROR(__xludf.DUMMYFUNCTION("""COMPUTED_VALUE"""),3746.0)</f>
        <v>3746</v>
      </c>
      <c r="C336" s="2">
        <f>IFERROR(__xludf.DUMMYFUNCTION("""COMPUTED_VALUE"""),3834.0)</f>
        <v>3834</v>
      </c>
      <c r="D336" s="2">
        <f>IFERROR(__xludf.DUMMYFUNCTION("""COMPUTED_VALUE"""),3727.0)</f>
        <v>3727</v>
      </c>
      <c r="E336" s="2">
        <f>IFERROR(__xludf.DUMMYFUNCTION("""COMPUTED_VALUE"""),3785.0)</f>
        <v>3785</v>
      </c>
      <c r="F336" s="2">
        <f>IFERROR(__xludf.DUMMYFUNCTION("""COMPUTED_VALUE"""),1.53593172E8)</f>
        <v>153593172</v>
      </c>
      <c r="G336" s="2">
        <f t="shared" si="1"/>
        <v>107</v>
      </c>
    </row>
    <row r="337" ht="15.75" customHeight="1">
      <c r="A337" s="1">
        <f>IFERROR(__xludf.DUMMYFUNCTION("""COMPUTED_VALUE"""),44337.625)</f>
        <v>44337.625</v>
      </c>
      <c r="B337" s="2">
        <f>IFERROR(__xludf.DUMMYFUNCTION("""COMPUTED_VALUE"""),3824.0)</f>
        <v>3824</v>
      </c>
      <c r="C337" s="2">
        <f>IFERROR(__xludf.DUMMYFUNCTION("""COMPUTED_VALUE"""),3854.0)</f>
        <v>3854</v>
      </c>
      <c r="D337" s="2">
        <f>IFERROR(__xludf.DUMMYFUNCTION("""COMPUTED_VALUE"""),3766.0)</f>
        <v>3766</v>
      </c>
      <c r="E337" s="2">
        <f>IFERROR(__xludf.DUMMYFUNCTION("""COMPUTED_VALUE"""),3795.0)</f>
        <v>3795</v>
      </c>
      <c r="F337" s="2">
        <f>IFERROR(__xludf.DUMMYFUNCTION("""COMPUTED_VALUE"""),1.12865463E8)</f>
        <v>112865463</v>
      </c>
      <c r="G337" s="2">
        <f t="shared" si="1"/>
        <v>88</v>
      </c>
    </row>
    <row r="338" ht="15.75" customHeight="1">
      <c r="A338" s="1">
        <f>IFERROR(__xludf.DUMMYFUNCTION("""COMPUTED_VALUE"""),44340.625)</f>
        <v>44340.625</v>
      </c>
      <c r="B338" s="2">
        <f>IFERROR(__xludf.DUMMYFUNCTION("""COMPUTED_VALUE"""),3873.0)</f>
        <v>3873</v>
      </c>
      <c r="C338" s="2">
        <f>IFERROR(__xludf.DUMMYFUNCTION("""COMPUTED_VALUE"""),3961.0)</f>
        <v>3961</v>
      </c>
      <c r="D338" s="2">
        <f>IFERROR(__xludf.DUMMYFUNCTION("""COMPUTED_VALUE"""),3815.0)</f>
        <v>3815</v>
      </c>
      <c r="E338" s="2">
        <f>IFERROR(__xludf.DUMMYFUNCTION("""COMPUTED_VALUE"""),3941.0)</f>
        <v>3941</v>
      </c>
      <c r="F338" s="2">
        <f>IFERROR(__xludf.DUMMYFUNCTION("""COMPUTED_VALUE"""),1.37153619E8)</f>
        <v>137153619</v>
      </c>
      <c r="G338" s="2">
        <f t="shared" si="1"/>
        <v>166</v>
      </c>
    </row>
    <row r="339" ht="15.75" customHeight="1">
      <c r="A339" s="1">
        <f>IFERROR(__xludf.DUMMYFUNCTION("""COMPUTED_VALUE"""),44341.625)</f>
        <v>44341.625</v>
      </c>
      <c r="B339" s="2">
        <f>IFERROR(__xludf.DUMMYFUNCTION("""COMPUTED_VALUE"""),3971.0)</f>
        <v>3971</v>
      </c>
      <c r="C339" s="2">
        <f>IFERROR(__xludf.DUMMYFUNCTION("""COMPUTED_VALUE"""),4039.0)</f>
        <v>4039</v>
      </c>
      <c r="D339" s="2">
        <f>IFERROR(__xludf.DUMMYFUNCTION("""COMPUTED_VALUE"""),3941.0)</f>
        <v>3941</v>
      </c>
      <c r="E339" s="2">
        <f>IFERROR(__xludf.DUMMYFUNCTION("""COMPUTED_VALUE"""),3961.0)</f>
        <v>3961</v>
      </c>
      <c r="F339" s="2">
        <f>IFERROR(__xludf.DUMMYFUNCTION("""COMPUTED_VALUE"""),1.57175186E8)</f>
        <v>157175186</v>
      </c>
      <c r="G339" s="2">
        <f t="shared" si="1"/>
        <v>98</v>
      </c>
    </row>
    <row r="340" ht="15.75" customHeight="1">
      <c r="A340" s="1">
        <f>IFERROR(__xludf.DUMMYFUNCTION("""COMPUTED_VALUE"""),44343.625)</f>
        <v>44343.625</v>
      </c>
      <c r="B340" s="2">
        <f>IFERROR(__xludf.DUMMYFUNCTION("""COMPUTED_VALUE"""),4039.0)</f>
        <v>4039</v>
      </c>
      <c r="C340" s="2">
        <f>IFERROR(__xludf.DUMMYFUNCTION("""COMPUTED_VALUE"""),4088.0)</f>
        <v>4088</v>
      </c>
      <c r="D340" s="2">
        <f>IFERROR(__xludf.DUMMYFUNCTION("""COMPUTED_VALUE"""),3854.0)</f>
        <v>3854</v>
      </c>
      <c r="E340" s="2">
        <f>IFERROR(__xludf.DUMMYFUNCTION("""COMPUTED_VALUE"""),3854.0)</f>
        <v>3854</v>
      </c>
      <c r="F340" s="2">
        <f>IFERROR(__xludf.DUMMYFUNCTION("""COMPUTED_VALUE"""),5.80232943E8)</f>
        <v>580232943</v>
      </c>
      <c r="G340" s="2">
        <f t="shared" si="1"/>
        <v>234</v>
      </c>
    </row>
    <row r="341" ht="15.75" customHeight="1">
      <c r="A341" s="1">
        <f>IFERROR(__xludf.DUMMYFUNCTION("""COMPUTED_VALUE"""),44344.625)</f>
        <v>44344.625</v>
      </c>
      <c r="B341" s="2">
        <f>IFERROR(__xludf.DUMMYFUNCTION("""COMPUTED_VALUE"""),3941.0)</f>
        <v>3941</v>
      </c>
      <c r="C341" s="2">
        <f>IFERROR(__xludf.DUMMYFUNCTION("""COMPUTED_VALUE"""),4068.0)</f>
        <v>4068</v>
      </c>
      <c r="D341" s="2">
        <f>IFERROR(__xludf.DUMMYFUNCTION("""COMPUTED_VALUE"""),3922.0)</f>
        <v>3922</v>
      </c>
      <c r="E341" s="2">
        <f>IFERROR(__xludf.DUMMYFUNCTION("""COMPUTED_VALUE"""),3971.0)</f>
        <v>3971</v>
      </c>
      <c r="F341" s="2">
        <f>IFERROR(__xludf.DUMMYFUNCTION("""COMPUTED_VALUE"""),2.55409305E8)</f>
        <v>255409305</v>
      </c>
      <c r="G341" s="2">
        <f t="shared" si="1"/>
        <v>214</v>
      </c>
    </row>
    <row r="342" ht="15.75" customHeight="1">
      <c r="A342" s="1">
        <f>IFERROR(__xludf.DUMMYFUNCTION("""COMPUTED_VALUE"""),44347.625)</f>
        <v>44347.625</v>
      </c>
      <c r="B342" s="2">
        <f>IFERROR(__xludf.DUMMYFUNCTION("""COMPUTED_VALUE"""),4029.0)</f>
        <v>4029</v>
      </c>
      <c r="C342" s="2">
        <f>IFERROR(__xludf.DUMMYFUNCTION("""COMPUTED_VALUE"""),4176.0)</f>
        <v>4176</v>
      </c>
      <c r="D342" s="2">
        <f>IFERROR(__xludf.DUMMYFUNCTION("""COMPUTED_VALUE"""),4010.0)</f>
        <v>4010</v>
      </c>
      <c r="E342" s="2">
        <f>IFERROR(__xludf.DUMMYFUNCTION("""COMPUTED_VALUE"""),4156.0)</f>
        <v>4156</v>
      </c>
      <c r="F342" s="2">
        <f>IFERROR(__xludf.DUMMYFUNCTION("""COMPUTED_VALUE"""),3.04272844E8)</f>
        <v>304272844</v>
      </c>
      <c r="G342" s="2">
        <f t="shared" si="1"/>
        <v>205</v>
      </c>
    </row>
    <row r="343" ht="15.75" customHeight="1">
      <c r="A343" s="1">
        <f>IFERROR(__xludf.DUMMYFUNCTION("""COMPUTED_VALUE"""),44349.625)</f>
        <v>44349.625</v>
      </c>
      <c r="B343" s="2">
        <f>IFERROR(__xludf.DUMMYFUNCTION("""COMPUTED_VALUE"""),4244.0)</f>
        <v>4244</v>
      </c>
      <c r="C343" s="2">
        <f>IFERROR(__xludf.DUMMYFUNCTION("""COMPUTED_VALUE"""),4273.0)</f>
        <v>4273</v>
      </c>
      <c r="D343" s="2">
        <f>IFERROR(__xludf.DUMMYFUNCTION("""COMPUTED_VALUE"""),4127.0)</f>
        <v>4127</v>
      </c>
      <c r="E343" s="2">
        <f>IFERROR(__xludf.DUMMYFUNCTION("""COMPUTED_VALUE"""),4156.0)</f>
        <v>4156</v>
      </c>
      <c r="F343" s="2">
        <f>IFERROR(__xludf.DUMMYFUNCTION("""COMPUTED_VALUE"""),2.90965341E8)</f>
        <v>290965341</v>
      </c>
      <c r="G343" s="2">
        <f t="shared" si="1"/>
        <v>146</v>
      </c>
    </row>
    <row r="344" ht="15.75" customHeight="1">
      <c r="A344" s="1">
        <f>IFERROR(__xludf.DUMMYFUNCTION("""COMPUTED_VALUE"""),44350.625)</f>
        <v>44350.625</v>
      </c>
      <c r="B344" s="2">
        <f>IFERROR(__xludf.DUMMYFUNCTION("""COMPUTED_VALUE"""),4166.0)</f>
        <v>4166</v>
      </c>
      <c r="C344" s="2">
        <f>IFERROR(__xludf.DUMMYFUNCTION("""COMPUTED_VALUE"""),4254.0)</f>
        <v>4254</v>
      </c>
      <c r="D344" s="2">
        <f>IFERROR(__xludf.DUMMYFUNCTION("""COMPUTED_VALUE"""),4117.0)</f>
        <v>4117</v>
      </c>
      <c r="E344" s="2">
        <f>IFERROR(__xludf.DUMMYFUNCTION("""COMPUTED_VALUE"""),4254.0)</f>
        <v>4254</v>
      </c>
      <c r="F344" s="2">
        <f>IFERROR(__xludf.DUMMYFUNCTION("""COMPUTED_VALUE"""),1.61617988E8)</f>
        <v>161617988</v>
      </c>
      <c r="G344" s="2">
        <f t="shared" si="1"/>
        <v>137</v>
      </c>
    </row>
    <row r="345" ht="15.75" customHeight="1">
      <c r="A345" s="1">
        <f>IFERROR(__xludf.DUMMYFUNCTION("""COMPUTED_VALUE"""),44351.625)</f>
        <v>44351.625</v>
      </c>
      <c r="B345" s="2">
        <f>IFERROR(__xludf.DUMMYFUNCTION("""COMPUTED_VALUE"""),4273.0)</f>
        <v>4273</v>
      </c>
      <c r="C345" s="2">
        <f>IFERROR(__xludf.DUMMYFUNCTION("""COMPUTED_VALUE"""),4283.0)</f>
        <v>4283</v>
      </c>
      <c r="D345" s="2">
        <f>IFERROR(__xludf.DUMMYFUNCTION("""COMPUTED_VALUE"""),4185.0)</f>
        <v>4185</v>
      </c>
      <c r="E345" s="2">
        <f>IFERROR(__xludf.DUMMYFUNCTION("""COMPUTED_VALUE"""),4234.0)</f>
        <v>4234</v>
      </c>
      <c r="F345" s="2">
        <f>IFERROR(__xludf.DUMMYFUNCTION("""COMPUTED_VALUE"""),1.28724556E8)</f>
        <v>128724556</v>
      </c>
      <c r="G345" s="2">
        <f t="shared" si="1"/>
        <v>98</v>
      </c>
    </row>
    <row r="346" ht="15.75" customHeight="1">
      <c r="A346" s="1">
        <f>IFERROR(__xludf.DUMMYFUNCTION("""COMPUTED_VALUE"""),44354.625)</f>
        <v>44354.625</v>
      </c>
      <c r="B346" s="2">
        <f>IFERROR(__xludf.DUMMYFUNCTION("""COMPUTED_VALUE"""),4234.0)</f>
        <v>4234</v>
      </c>
      <c r="C346" s="2">
        <f>IFERROR(__xludf.DUMMYFUNCTION("""COMPUTED_VALUE"""),4244.0)</f>
        <v>4244</v>
      </c>
      <c r="D346" s="2">
        <f>IFERROR(__xludf.DUMMYFUNCTION("""COMPUTED_VALUE"""),4107.0)</f>
        <v>4107</v>
      </c>
      <c r="E346" s="2">
        <f>IFERROR(__xludf.DUMMYFUNCTION("""COMPUTED_VALUE"""),4146.0)</f>
        <v>4146</v>
      </c>
      <c r="F346" s="2">
        <f>IFERROR(__xludf.DUMMYFUNCTION("""COMPUTED_VALUE"""),1.42339777E8)</f>
        <v>142339777</v>
      </c>
      <c r="G346" s="2">
        <f t="shared" si="1"/>
        <v>137</v>
      </c>
    </row>
    <row r="347" ht="15.75" customHeight="1">
      <c r="A347" s="1">
        <f>IFERROR(__xludf.DUMMYFUNCTION("""COMPUTED_VALUE"""),44355.625)</f>
        <v>44355.625</v>
      </c>
      <c r="B347" s="2">
        <f>IFERROR(__xludf.DUMMYFUNCTION("""COMPUTED_VALUE"""),4176.0)</f>
        <v>4176</v>
      </c>
      <c r="C347" s="2">
        <f>IFERROR(__xludf.DUMMYFUNCTION("""COMPUTED_VALUE"""),4176.0)</f>
        <v>4176</v>
      </c>
      <c r="D347" s="2">
        <f>IFERROR(__xludf.DUMMYFUNCTION("""COMPUTED_VALUE"""),4088.0)</f>
        <v>4088</v>
      </c>
      <c r="E347" s="2">
        <f>IFERROR(__xludf.DUMMYFUNCTION("""COMPUTED_VALUE"""),4098.0)</f>
        <v>4098</v>
      </c>
      <c r="F347" s="2">
        <f>IFERROR(__xludf.DUMMYFUNCTION("""COMPUTED_VALUE"""),1.01463755E8)</f>
        <v>101463755</v>
      </c>
      <c r="G347" s="2">
        <f t="shared" si="1"/>
        <v>88</v>
      </c>
    </row>
    <row r="348" ht="15.75" customHeight="1">
      <c r="A348" s="1">
        <f>IFERROR(__xludf.DUMMYFUNCTION("""COMPUTED_VALUE"""),44356.625)</f>
        <v>44356.625</v>
      </c>
      <c r="B348" s="2">
        <f>IFERROR(__xludf.DUMMYFUNCTION("""COMPUTED_VALUE"""),4000.0)</f>
        <v>4000</v>
      </c>
      <c r="C348" s="2">
        <f>IFERROR(__xludf.DUMMYFUNCTION("""COMPUTED_VALUE"""),4166.0)</f>
        <v>4166</v>
      </c>
      <c r="D348" s="2">
        <f>IFERROR(__xludf.DUMMYFUNCTION("""COMPUTED_VALUE"""),4000.0)</f>
        <v>4000</v>
      </c>
      <c r="E348" s="2">
        <f>IFERROR(__xludf.DUMMYFUNCTION("""COMPUTED_VALUE"""),4117.0)</f>
        <v>4117</v>
      </c>
      <c r="F348" s="2">
        <f>IFERROR(__xludf.DUMMYFUNCTION("""COMPUTED_VALUE"""),1.00108169E8)</f>
        <v>100108169</v>
      </c>
      <c r="G348" s="2">
        <f t="shared" si="1"/>
        <v>166</v>
      </c>
    </row>
    <row r="349" ht="15.75" customHeight="1">
      <c r="A349" s="1">
        <f>IFERROR(__xludf.DUMMYFUNCTION("""COMPUTED_VALUE"""),44357.625)</f>
        <v>44357.625</v>
      </c>
      <c r="B349" s="2">
        <f>IFERROR(__xludf.DUMMYFUNCTION("""COMPUTED_VALUE"""),4176.0)</f>
        <v>4176</v>
      </c>
      <c r="C349" s="2">
        <f>IFERROR(__xludf.DUMMYFUNCTION("""COMPUTED_VALUE"""),4215.0)</f>
        <v>4215</v>
      </c>
      <c r="D349" s="2">
        <f>IFERROR(__xludf.DUMMYFUNCTION("""COMPUTED_VALUE"""),4156.0)</f>
        <v>4156</v>
      </c>
      <c r="E349" s="2">
        <f>IFERROR(__xludf.DUMMYFUNCTION("""COMPUTED_VALUE"""),4195.0)</f>
        <v>4195</v>
      </c>
      <c r="F349" s="2">
        <f>IFERROR(__xludf.DUMMYFUNCTION("""COMPUTED_VALUE"""),9.968986E7)</f>
        <v>99689860</v>
      </c>
      <c r="G349" s="2">
        <f t="shared" si="1"/>
        <v>98</v>
      </c>
    </row>
    <row r="350" ht="15.75" customHeight="1">
      <c r="A350" s="1">
        <f>IFERROR(__xludf.DUMMYFUNCTION("""COMPUTED_VALUE"""),44358.625)</f>
        <v>44358.625</v>
      </c>
      <c r="B350" s="2">
        <f>IFERROR(__xludf.DUMMYFUNCTION("""COMPUTED_VALUE"""),4244.0)</f>
        <v>4244</v>
      </c>
      <c r="C350" s="2">
        <f>IFERROR(__xludf.DUMMYFUNCTION("""COMPUTED_VALUE"""),4244.0)</f>
        <v>4244</v>
      </c>
      <c r="D350" s="2">
        <f>IFERROR(__xludf.DUMMYFUNCTION("""COMPUTED_VALUE"""),4176.0)</f>
        <v>4176</v>
      </c>
      <c r="E350" s="2">
        <f>IFERROR(__xludf.DUMMYFUNCTION("""COMPUTED_VALUE"""),4176.0)</f>
        <v>4176</v>
      </c>
      <c r="F350" s="2">
        <f>IFERROR(__xludf.DUMMYFUNCTION("""COMPUTED_VALUE"""),5.3867541E7)</f>
        <v>53867541</v>
      </c>
      <c r="G350" s="2">
        <f t="shared" si="1"/>
        <v>68</v>
      </c>
    </row>
    <row r="351" ht="15.75" customHeight="1">
      <c r="A351" s="1">
        <f>IFERROR(__xludf.DUMMYFUNCTION("""COMPUTED_VALUE"""),44361.66666666667)</f>
        <v>44361.66667</v>
      </c>
      <c r="B351" s="2">
        <f>IFERROR(__xludf.DUMMYFUNCTION("""COMPUTED_VALUE"""),4224.0)</f>
        <v>4224</v>
      </c>
      <c r="C351" s="2">
        <f>IFERROR(__xludf.DUMMYFUNCTION("""COMPUTED_VALUE"""),4244.0)</f>
        <v>4244</v>
      </c>
      <c r="D351" s="2">
        <f>IFERROR(__xludf.DUMMYFUNCTION("""COMPUTED_VALUE"""),4176.0)</f>
        <v>4176</v>
      </c>
      <c r="E351" s="2">
        <f>IFERROR(__xludf.DUMMYFUNCTION("""COMPUTED_VALUE"""),4244.0)</f>
        <v>4244</v>
      </c>
      <c r="F351" s="2">
        <f>IFERROR(__xludf.DUMMYFUNCTION("""COMPUTED_VALUE"""),1.24269743E8)</f>
        <v>124269743</v>
      </c>
      <c r="G351" s="2">
        <f t="shared" si="1"/>
        <v>68</v>
      </c>
    </row>
    <row r="352" ht="15.75" customHeight="1">
      <c r="A352" s="1">
        <f>IFERROR(__xludf.DUMMYFUNCTION("""COMPUTED_VALUE"""),44362.625)</f>
        <v>44362.625</v>
      </c>
      <c r="B352" s="2">
        <f>IFERROR(__xludf.DUMMYFUNCTION("""COMPUTED_VALUE"""),4244.0)</f>
        <v>4244</v>
      </c>
      <c r="C352" s="2">
        <f>IFERROR(__xludf.DUMMYFUNCTION("""COMPUTED_VALUE"""),4244.0)</f>
        <v>4244</v>
      </c>
      <c r="D352" s="2">
        <f>IFERROR(__xludf.DUMMYFUNCTION("""COMPUTED_VALUE"""),4107.0)</f>
        <v>4107</v>
      </c>
      <c r="E352" s="2">
        <f>IFERROR(__xludf.DUMMYFUNCTION("""COMPUTED_VALUE"""),4127.0)</f>
        <v>4127</v>
      </c>
      <c r="F352" s="2">
        <f>IFERROR(__xludf.DUMMYFUNCTION("""COMPUTED_VALUE"""),1.87027529E8)</f>
        <v>187027529</v>
      </c>
      <c r="G352" s="2">
        <f t="shared" si="1"/>
        <v>137</v>
      </c>
    </row>
    <row r="353" ht="15.75" customHeight="1">
      <c r="A353" s="1">
        <f>IFERROR(__xludf.DUMMYFUNCTION("""COMPUTED_VALUE"""),44363.625)</f>
        <v>44363.625</v>
      </c>
      <c r="B353" s="2">
        <f>IFERROR(__xludf.DUMMYFUNCTION("""COMPUTED_VALUE"""),4049.0)</f>
        <v>4049</v>
      </c>
      <c r="C353" s="2">
        <f>IFERROR(__xludf.DUMMYFUNCTION("""COMPUTED_VALUE"""),4068.0)</f>
        <v>4068</v>
      </c>
      <c r="D353" s="2">
        <f>IFERROR(__xludf.DUMMYFUNCTION("""COMPUTED_VALUE"""),3912.0)</f>
        <v>3912</v>
      </c>
      <c r="E353" s="2">
        <f>IFERROR(__xludf.DUMMYFUNCTION("""COMPUTED_VALUE"""),3912.0)</f>
        <v>3912</v>
      </c>
      <c r="F353" s="2">
        <f>IFERROR(__xludf.DUMMYFUNCTION("""COMPUTED_VALUE"""),4.48204367E8)</f>
        <v>448204367</v>
      </c>
      <c r="G353" s="2">
        <f t="shared" si="1"/>
        <v>215</v>
      </c>
    </row>
    <row r="354" ht="15.75" customHeight="1">
      <c r="A354" s="1">
        <f>IFERROR(__xludf.DUMMYFUNCTION("""COMPUTED_VALUE"""),44364.625)</f>
        <v>44364.625</v>
      </c>
      <c r="B354" s="2">
        <f>IFERROR(__xludf.DUMMYFUNCTION("""COMPUTED_VALUE"""),3883.0)</f>
        <v>3883</v>
      </c>
      <c r="C354" s="2">
        <f>IFERROR(__xludf.DUMMYFUNCTION("""COMPUTED_VALUE"""),3971.0)</f>
        <v>3971</v>
      </c>
      <c r="D354" s="2">
        <f>IFERROR(__xludf.DUMMYFUNCTION("""COMPUTED_VALUE"""),3834.0)</f>
        <v>3834</v>
      </c>
      <c r="E354" s="2">
        <f>IFERROR(__xludf.DUMMYFUNCTION("""COMPUTED_VALUE"""),3932.0)</f>
        <v>3932</v>
      </c>
      <c r="F354" s="2">
        <f>IFERROR(__xludf.DUMMYFUNCTION("""COMPUTED_VALUE"""),3.13325265E8)</f>
        <v>313325265</v>
      </c>
      <c r="G354" s="2">
        <f t="shared" si="1"/>
        <v>137</v>
      </c>
    </row>
    <row r="355" ht="15.75" customHeight="1">
      <c r="A355" s="1">
        <f>IFERROR(__xludf.DUMMYFUNCTION("""COMPUTED_VALUE"""),44365.625)</f>
        <v>44365.625</v>
      </c>
      <c r="B355" s="2">
        <f>IFERROR(__xludf.DUMMYFUNCTION("""COMPUTED_VALUE"""),3961.0)</f>
        <v>3961</v>
      </c>
      <c r="C355" s="2">
        <f>IFERROR(__xludf.DUMMYFUNCTION("""COMPUTED_VALUE"""),3961.0)</f>
        <v>3961</v>
      </c>
      <c r="D355" s="2">
        <f>IFERROR(__xludf.DUMMYFUNCTION("""COMPUTED_VALUE"""),3815.0)</f>
        <v>3815</v>
      </c>
      <c r="E355" s="2">
        <f>IFERROR(__xludf.DUMMYFUNCTION("""COMPUTED_VALUE"""),3815.0)</f>
        <v>3815</v>
      </c>
      <c r="F355" s="2">
        <f>IFERROR(__xludf.DUMMYFUNCTION("""COMPUTED_VALUE"""),3.03403729E8)</f>
        <v>303403729</v>
      </c>
      <c r="G355" s="2">
        <f t="shared" si="1"/>
        <v>146</v>
      </c>
    </row>
    <row r="356" ht="15.75" customHeight="1">
      <c r="A356" s="1">
        <f>IFERROR(__xludf.DUMMYFUNCTION("""COMPUTED_VALUE"""),44368.66666666667)</f>
        <v>44368.66667</v>
      </c>
      <c r="B356" s="2">
        <f>IFERROR(__xludf.DUMMYFUNCTION("""COMPUTED_VALUE"""),3785.0)</f>
        <v>3785</v>
      </c>
      <c r="C356" s="2">
        <f>IFERROR(__xludf.DUMMYFUNCTION("""COMPUTED_VALUE"""),3873.0)</f>
        <v>3873</v>
      </c>
      <c r="D356" s="2">
        <f>IFERROR(__xludf.DUMMYFUNCTION("""COMPUTED_VALUE"""),3766.0)</f>
        <v>3766</v>
      </c>
      <c r="E356" s="2">
        <f>IFERROR(__xludf.DUMMYFUNCTION("""COMPUTED_VALUE"""),3844.0)</f>
        <v>3844</v>
      </c>
      <c r="F356" s="2">
        <f>IFERROR(__xludf.DUMMYFUNCTION("""COMPUTED_VALUE"""),1.48665844E8)</f>
        <v>148665844</v>
      </c>
      <c r="G356" s="2">
        <f t="shared" si="1"/>
        <v>107</v>
      </c>
    </row>
    <row r="357" ht="15.75" customHeight="1">
      <c r="A357" s="1">
        <f>IFERROR(__xludf.DUMMYFUNCTION("""COMPUTED_VALUE"""),44369.625)</f>
        <v>44369.625</v>
      </c>
      <c r="B357" s="2">
        <f>IFERROR(__xludf.DUMMYFUNCTION("""COMPUTED_VALUE"""),3844.0)</f>
        <v>3844</v>
      </c>
      <c r="C357" s="2">
        <f>IFERROR(__xludf.DUMMYFUNCTION("""COMPUTED_VALUE"""),3971.0)</f>
        <v>3971</v>
      </c>
      <c r="D357" s="2">
        <f>IFERROR(__xludf.DUMMYFUNCTION("""COMPUTED_VALUE"""),3824.0)</f>
        <v>3824</v>
      </c>
      <c r="E357" s="2">
        <f>IFERROR(__xludf.DUMMYFUNCTION("""COMPUTED_VALUE"""),3941.0)</f>
        <v>3941</v>
      </c>
      <c r="F357" s="2">
        <f>IFERROR(__xludf.DUMMYFUNCTION("""COMPUTED_VALUE"""),1.23775279E8)</f>
        <v>123775279</v>
      </c>
      <c r="G357" s="2">
        <f t="shared" si="1"/>
        <v>147</v>
      </c>
    </row>
    <row r="358" ht="15.75" customHeight="1">
      <c r="A358" s="1">
        <f>IFERROR(__xludf.DUMMYFUNCTION("""COMPUTED_VALUE"""),44370.625)</f>
        <v>44370.625</v>
      </c>
      <c r="B358" s="2">
        <f>IFERROR(__xludf.DUMMYFUNCTION("""COMPUTED_VALUE"""),3951.0)</f>
        <v>3951</v>
      </c>
      <c r="C358" s="2">
        <f>IFERROR(__xludf.DUMMYFUNCTION("""COMPUTED_VALUE"""),3971.0)</f>
        <v>3971</v>
      </c>
      <c r="D358" s="2">
        <f>IFERROR(__xludf.DUMMYFUNCTION("""COMPUTED_VALUE"""),3844.0)</f>
        <v>3844</v>
      </c>
      <c r="E358" s="2">
        <f>IFERROR(__xludf.DUMMYFUNCTION("""COMPUTED_VALUE"""),3844.0)</f>
        <v>3844</v>
      </c>
      <c r="F358" s="2">
        <f>IFERROR(__xludf.DUMMYFUNCTION("""COMPUTED_VALUE"""),1.66563156E8)</f>
        <v>166563156</v>
      </c>
      <c r="G358" s="2">
        <f t="shared" si="1"/>
        <v>127</v>
      </c>
    </row>
    <row r="359" ht="15.75" customHeight="1">
      <c r="A359" s="1">
        <f>IFERROR(__xludf.DUMMYFUNCTION("""COMPUTED_VALUE"""),44371.625)</f>
        <v>44371.625</v>
      </c>
      <c r="B359" s="2">
        <f>IFERROR(__xludf.DUMMYFUNCTION("""COMPUTED_VALUE"""),3902.0)</f>
        <v>3902</v>
      </c>
      <c r="C359" s="2">
        <f>IFERROR(__xludf.DUMMYFUNCTION("""COMPUTED_VALUE"""),3912.0)</f>
        <v>3912</v>
      </c>
      <c r="D359" s="2">
        <f>IFERROR(__xludf.DUMMYFUNCTION("""COMPUTED_VALUE"""),3863.0)</f>
        <v>3863</v>
      </c>
      <c r="E359" s="2">
        <f>IFERROR(__xludf.DUMMYFUNCTION("""COMPUTED_VALUE"""),3893.0)</f>
        <v>3893</v>
      </c>
      <c r="F359" s="2">
        <f>IFERROR(__xludf.DUMMYFUNCTION("""COMPUTED_VALUE"""),5.1642136E7)</f>
        <v>51642136</v>
      </c>
      <c r="G359" s="2">
        <f t="shared" si="1"/>
        <v>68</v>
      </c>
    </row>
    <row r="360" ht="15.75" customHeight="1">
      <c r="A360" s="1">
        <f>IFERROR(__xludf.DUMMYFUNCTION("""COMPUTED_VALUE"""),44372.625)</f>
        <v>44372.625</v>
      </c>
      <c r="B360" s="2">
        <f>IFERROR(__xludf.DUMMYFUNCTION("""COMPUTED_VALUE"""),3932.0)</f>
        <v>3932</v>
      </c>
      <c r="C360" s="2">
        <f>IFERROR(__xludf.DUMMYFUNCTION("""COMPUTED_VALUE"""),3941.0)</f>
        <v>3941</v>
      </c>
      <c r="D360" s="2">
        <f>IFERROR(__xludf.DUMMYFUNCTION("""COMPUTED_VALUE"""),3893.0)</f>
        <v>3893</v>
      </c>
      <c r="E360" s="2">
        <f>IFERROR(__xludf.DUMMYFUNCTION("""COMPUTED_VALUE"""),3893.0)</f>
        <v>3893</v>
      </c>
      <c r="F360" s="2">
        <f>IFERROR(__xludf.DUMMYFUNCTION("""COMPUTED_VALUE"""),7.7480421E7)</f>
        <v>77480421</v>
      </c>
      <c r="G360" s="2">
        <f t="shared" si="1"/>
        <v>48</v>
      </c>
    </row>
    <row r="361" ht="15.75" customHeight="1">
      <c r="A361" s="1">
        <f>IFERROR(__xludf.DUMMYFUNCTION("""COMPUTED_VALUE"""),44375.66666666667)</f>
        <v>44375.66667</v>
      </c>
      <c r="B361" s="2">
        <f>IFERROR(__xludf.DUMMYFUNCTION("""COMPUTED_VALUE"""),3883.0)</f>
        <v>3883</v>
      </c>
      <c r="C361" s="2">
        <f>IFERROR(__xludf.DUMMYFUNCTION("""COMPUTED_VALUE"""),3893.0)</f>
        <v>3893</v>
      </c>
      <c r="D361" s="2">
        <f>IFERROR(__xludf.DUMMYFUNCTION("""COMPUTED_VALUE"""),3834.0)</f>
        <v>3834</v>
      </c>
      <c r="E361" s="2">
        <f>IFERROR(__xludf.DUMMYFUNCTION("""COMPUTED_VALUE"""),3834.0)</f>
        <v>3834</v>
      </c>
      <c r="F361" s="2">
        <f>IFERROR(__xludf.DUMMYFUNCTION("""COMPUTED_VALUE"""),1.44764249E8)</f>
        <v>144764249</v>
      </c>
      <c r="G361" s="2">
        <f t="shared" si="1"/>
        <v>59</v>
      </c>
    </row>
    <row r="362" ht="15.75" customHeight="1">
      <c r="A362" s="1">
        <f>IFERROR(__xludf.DUMMYFUNCTION("""COMPUTED_VALUE"""),44376.625)</f>
        <v>44376.625</v>
      </c>
      <c r="B362" s="2">
        <f>IFERROR(__xludf.DUMMYFUNCTION("""COMPUTED_VALUE"""),3766.0)</f>
        <v>3766</v>
      </c>
      <c r="C362" s="2">
        <f>IFERROR(__xludf.DUMMYFUNCTION("""COMPUTED_VALUE"""),3815.0)</f>
        <v>3815</v>
      </c>
      <c r="D362" s="2">
        <f>IFERROR(__xludf.DUMMYFUNCTION("""COMPUTED_VALUE"""),3766.0)</f>
        <v>3766</v>
      </c>
      <c r="E362" s="2">
        <f>IFERROR(__xludf.DUMMYFUNCTION("""COMPUTED_VALUE"""),3805.0)</f>
        <v>3805</v>
      </c>
      <c r="F362" s="2">
        <f>IFERROR(__xludf.DUMMYFUNCTION("""COMPUTED_VALUE"""),1.24818533E8)</f>
        <v>124818533</v>
      </c>
      <c r="G362" s="2">
        <f t="shared" si="1"/>
        <v>68</v>
      </c>
    </row>
    <row r="363" ht="15.75" customHeight="1">
      <c r="A363" s="1">
        <f>IFERROR(__xludf.DUMMYFUNCTION("""COMPUTED_VALUE"""),44377.625)</f>
        <v>44377.625</v>
      </c>
      <c r="B363" s="2">
        <f>IFERROR(__xludf.DUMMYFUNCTION("""COMPUTED_VALUE"""),3805.0)</f>
        <v>3805</v>
      </c>
      <c r="C363" s="2">
        <f>IFERROR(__xludf.DUMMYFUNCTION("""COMPUTED_VALUE"""),3873.0)</f>
        <v>3873</v>
      </c>
      <c r="D363" s="2">
        <f>IFERROR(__xludf.DUMMYFUNCTION("""COMPUTED_VALUE"""),3795.0)</f>
        <v>3795</v>
      </c>
      <c r="E363" s="2">
        <f>IFERROR(__xludf.DUMMYFUNCTION("""COMPUTED_VALUE"""),3844.0)</f>
        <v>3844</v>
      </c>
      <c r="F363" s="2">
        <f>IFERROR(__xludf.DUMMYFUNCTION("""COMPUTED_VALUE"""),1.15669592E8)</f>
        <v>115669592</v>
      </c>
      <c r="G363" s="2">
        <f t="shared" si="1"/>
        <v>78</v>
      </c>
    </row>
    <row r="364" ht="15.75" customHeight="1">
      <c r="A364" s="1">
        <f>IFERROR(__xludf.DUMMYFUNCTION("""COMPUTED_VALUE"""),44378.625)</f>
        <v>44378.625</v>
      </c>
      <c r="B364" s="2">
        <f>IFERROR(__xludf.DUMMYFUNCTION("""COMPUTED_VALUE"""),3844.0)</f>
        <v>3844</v>
      </c>
      <c r="C364" s="2">
        <f>IFERROR(__xludf.DUMMYFUNCTION("""COMPUTED_VALUE"""),3873.0)</f>
        <v>3873</v>
      </c>
      <c r="D364" s="2">
        <f>IFERROR(__xludf.DUMMYFUNCTION("""COMPUTED_VALUE"""),3815.0)</f>
        <v>3815</v>
      </c>
      <c r="E364" s="2">
        <f>IFERROR(__xludf.DUMMYFUNCTION("""COMPUTED_VALUE"""),3844.0)</f>
        <v>3844</v>
      </c>
      <c r="F364" s="2">
        <f>IFERROR(__xludf.DUMMYFUNCTION("""COMPUTED_VALUE"""),9.8064816E7)</f>
        <v>98064816</v>
      </c>
      <c r="G364" s="2">
        <f t="shared" si="1"/>
        <v>58</v>
      </c>
    </row>
    <row r="365" ht="15.75" customHeight="1">
      <c r="A365" s="1">
        <f>IFERROR(__xludf.DUMMYFUNCTION("""COMPUTED_VALUE"""),44379.625)</f>
        <v>44379.625</v>
      </c>
      <c r="B365" s="2">
        <f>IFERROR(__xludf.DUMMYFUNCTION("""COMPUTED_VALUE"""),3902.0)</f>
        <v>3902</v>
      </c>
      <c r="C365" s="2">
        <f>IFERROR(__xludf.DUMMYFUNCTION("""COMPUTED_VALUE"""),3932.0)</f>
        <v>3932</v>
      </c>
      <c r="D365" s="2">
        <f>IFERROR(__xludf.DUMMYFUNCTION("""COMPUTED_VALUE"""),3873.0)</f>
        <v>3873</v>
      </c>
      <c r="E365" s="2">
        <f>IFERROR(__xludf.DUMMYFUNCTION("""COMPUTED_VALUE"""),3893.0)</f>
        <v>3893</v>
      </c>
      <c r="F365" s="2">
        <f>IFERROR(__xludf.DUMMYFUNCTION("""COMPUTED_VALUE"""),8.7434725E7)</f>
        <v>87434725</v>
      </c>
      <c r="G365" s="2">
        <f t="shared" si="1"/>
        <v>88</v>
      </c>
    </row>
    <row r="366" ht="15.75" customHeight="1">
      <c r="A366" s="1">
        <f>IFERROR(__xludf.DUMMYFUNCTION("""COMPUTED_VALUE"""),44382.625)</f>
        <v>44382.625</v>
      </c>
      <c r="B366" s="2">
        <f>IFERROR(__xludf.DUMMYFUNCTION("""COMPUTED_VALUE"""),3834.0)</f>
        <v>3834</v>
      </c>
      <c r="C366" s="2">
        <f>IFERROR(__xludf.DUMMYFUNCTION("""COMPUTED_VALUE"""),3863.0)</f>
        <v>3863</v>
      </c>
      <c r="D366" s="2">
        <f>IFERROR(__xludf.DUMMYFUNCTION("""COMPUTED_VALUE"""),3785.0)</f>
        <v>3785</v>
      </c>
      <c r="E366" s="2">
        <f>IFERROR(__xludf.DUMMYFUNCTION("""COMPUTED_VALUE"""),3805.0)</f>
        <v>3805</v>
      </c>
      <c r="F366" s="2">
        <f>IFERROR(__xludf.DUMMYFUNCTION("""COMPUTED_VALUE"""),8.7093501E7)</f>
        <v>87093501</v>
      </c>
      <c r="G366" s="2">
        <f t="shared" si="1"/>
        <v>108</v>
      </c>
    </row>
    <row r="367" ht="15.75" customHeight="1">
      <c r="A367" s="1">
        <f>IFERROR(__xludf.DUMMYFUNCTION("""COMPUTED_VALUE"""),44383.625)</f>
        <v>44383.625</v>
      </c>
      <c r="B367" s="2">
        <f>IFERROR(__xludf.DUMMYFUNCTION("""COMPUTED_VALUE"""),3854.0)</f>
        <v>3854</v>
      </c>
      <c r="C367" s="2">
        <f>IFERROR(__xludf.DUMMYFUNCTION("""COMPUTED_VALUE"""),3854.0)</f>
        <v>3854</v>
      </c>
      <c r="D367" s="2">
        <f>IFERROR(__xludf.DUMMYFUNCTION("""COMPUTED_VALUE"""),3795.0)</f>
        <v>3795</v>
      </c>
      <c r="E367" s="2">
        <f>IFERROR(__xludf.DUMMYFUNCTION("""COMPUTED_VALUE"""),3795.0)</f>
        <v>3795</v>
      </c>
      <c r="F367" s="2">
        <f>IFERROR(__xludf.DUMMYFUNCTION("""COMPUTED_VALUE"""),5.6700568E7)</f>
        <v>56700568</v>
      </c>
      <c r="G367" s="2">
        <f t="shared" si="1"/>
        <v>59</v>
      </c>
    </row>
    <row r="368" ht="15.75" customHeight="1">
      <c r="A368" s="1">
        <f>IFERROR(__xludf.DUMMYFUNCTION("""COMPUTED_VALUE"""),44384.625)</f>
        <v>44384.625</v>
      </c>
      <c r="B368" s="2">
        <f>IFERROR(__xludf.DUMMYFUNCTION("""COMPUTED_VALUE"""),3824.0)</f>
        <v>3824</v>
      </c>
      <c r="C368" s="2">
        <f>IFERROR(__xludf.DUMMYFUNCTION("""COMPUTED_VALUE"""),3844.0)</f>
        <v>3844</v>
      </c>
      <c r="D368" s="2">
        <f>IFERROR(__xludf.DUMMYFUNCTION("""COMPUTED_VALUE"""),3717.0)</f>
        <v>3717</v>
      </c>
      <c r="E368" s="2">
        <f>IFERROR(__xludf.DUMMYFUNCTION("""COMPUTED_VALUE"""),3727.0)</f>
        <v>3727</v>
      </c>
      <c r="F368" s="2">
        <f>IFERROR(__xludf.DUMMYFUNCTION("""COMPUTED_VALUE"""),1.52443636E8)</f>
        <v>152443636</v>
      </c>
      <c r="G368" s="2">
        <f t="shared" si="1"/>
        <v>127</v>
      </c>
    </row>
    <row r="369" ht="15.75" customHeight="1">
      <c r="A369" s="1">
        <f>IFERROR(__xludf.DUMMYFUNCTION("""COMPUTED_VALUE"""),44385.625)</f>
        <v>44385.625</v>
      </c>
      <c r="B369" s="2">
        <f>IFERROR(__xludf.DUMMYFUNCTION("""COMPUTED_VALUE"""),3795.0)</f>
        <v>3795</v>
      </c>
      <c r="C369" s="2">
        <f>IFERROR(__xludf.DUMMYFUNCTION("""COMPUTED_VALUE"""),3805.0)</f>
        <v>3805</v>
      </c>
      <c r="D369" s="2">
        <f>IFERROR(__xludf.DUMMYFUNCTION("""COMPUTED_VALUE"""),3727.0)</f>
        <v>3727</v>
      </c>
      <c r="E369" s="2">
        <f>IFERROR(__xludf.DUMMYFUNCTION("""COMPUTED_VALUE"""),3776.0)</f>
        <v>3776</v>
      </c>
      <c r="F369" s="2">
        <f>IFERROR(__xludf.DUMMYFUNCTION("""COMPUTED_VALUE"""),1.51279E8)</f>
        <v>151279000</v>
      </c>
      <c r="G369" s="2">
        <f t="shared" si="1"/>
        <v>78</v>
      </c>
    </row>
    <row r="370" ht="15.75" customHeight="1">
      <c r="A370" s="1">
        <f>IFERROR(__xludf.DUMMYFUNCTION("""COMPUTED_VALUE"""),44386.625)</f>
        <v>44386.625</v>
      </c>
      <c r="B370" s="2">
        <f>IFERROR(__xludf.DUMMYFUNCTION("""COMPUTED_VALUE"""),3766.0)</f>
        <v>3766</v>
      </c>
      <c r="C370" s="2">
        <f>IFERROR(__xludf.DUMMYFUNCTION("""COMPUTED_VALUE"""),3776.0)</f>
        <v>3776</v>
      </c>
      <c r="D370" s="2">
        <f>IFERROR(__xludf.DUMMYFUNCTION("""COMPUTED_VALUE"""),3688.0)</f>
        <v>3688</v>
      </c>
      <c r="E370" s="2">
        <f>IFERROR(__xludf.DUMMYFUNCTION("""COMPUTED_VALUE"""),3707.0)</f>
        <v>3707</v>
      </c>
      <c r="F370" s="2">
        <f>IFERROR(__xludf.DUMMYFUNCTION("""COMPUTED_VALUE"""),1.31023641E8)</f>
        <v>131023641</v>
      </c>
      <c r="G370" s="2">
        <f t="shared" si="1"/>
        <v>88</v>
      </c>
    </row>
    <row r="371" ht="15.75" customHeight="1">
      <c r="A371" s="1">
        <f>IFERROR(__xludf.DUMMYFUNCTION("""COMPUTED_VALUE"""),44389.625)</f>
        <v>44389.625</v>
      </c>
      <c r="B371" s="2">
        <f>IFERROR(__xludf.DUMMYFUNCTION("""COMPUTED_VALUE"""),3707.0)</f>
        <v>3707</v>
      </c>
      <c r="C371" s="2">
        <f>IFERROR(__xludf.DUMMYFUNCTION("""COMPUTED_VALUE"""),3727.0)</f>
        <v>3727</v>
      </c>
      <c r="D371" s="2">
        <f>IFERROR(__xludf.DUMMYFUNCTION("""COMPUTED_VALUE"""),3658.0)</f>
        <v>3658</v>
      </c>
      <c r="E371" s="2">
        <f>IFERROR(__xludf.DUMMYFUNCTION("""COMPUTED_VALUE"""),3668.0)</f>
        <v>3668</v>
      </c>
      <c r="F371" s="2">
        <f>IFERROR(__xludf.DUMMYFUNCTION("""COMPUTED_VALUE"""),1.22721775E8)</f>
        <v>122721775</v>
      </c>
      <c r="G371" s="2">
        <f t="shared" si="1"/>
        <v>69</v>
      </c>
    </row>
    <row r="372" ht="15.75" customHeight="1">
      <c r="A372" s="1">
        <f>IFERROR(__xludf.DUMMYFUNCTION("""COMPUTED_VALUE"""),44390.625)</f>
        <v>44390.625</v>
      </c>
      <c r="B372" s="2">
        <f>IFERROR(__xludf.DUMMYFUNCTION("""COMPUTED_VALUE"""),3707.0)</f>
        <v>3707</v>
      </c>
      <c r="C372" s="2">
        <f>IFERROR(__xludf.DUMMYFUNCTION("""COMPUTED_VALUE"""),3707.0)</f>
        <v>3707</v>
      </c>
      <c r="D372" s="2">
        <f>IFERROR(__xludf.DUMMYFUNCTION("""COMPUTED_VALUE"""),3668.0)</f>
        <v>3668</v>
      </c>
      <c r="E372" s="2">
        <f>IFERROR(__xludf.DUMMYFUNCTION("""COMPUTED_VALUE"""),3688.0)</f>
        <v>3688</v>
      </c>
      <c r="F372" s="2">
        <f>IFERROR(__xludf.DUMMYFUNCTION("""COMPUTED_VALUE"""),1.63704094E8)</f>
        <v>163704094</v>
      </c>
      <c r="G372" s="2">
        <f t="shared" si="1"/>
        <v>39</v>
      </c>
    </row>
    <row r="373" ht="15.75" customHeight="1">
      <c r="A373" s="1">
        <f>IFERROR(__xludf.DUMMYFUNCTION("""COMPUTED_VALUE"""),44391.625)</f>
        <v>44391.625</v>
      </c>
      <c r="B373" s="2">
        <f>IFERROR(__xludf.DUMMYFUNCTION("""COMPUTED_VALUE"""),3688.0)</f>
        <v>3688</v>
      </c>
      <c r="C373" s="2">
        <f>IFERROR(__xludf.DUMMYFUNCTION("""COMPUTED_VALUE"""),3707.0)</f>
        <v>3707</v>
      </c>
      <c r="D373" s="2">
        <f>IFERROR(__xludf.DUMMYFUNCTION("""COMPUTED_VALUE"""),3610.0)</f>
        <v>3610</v>
      </c>
      <c r="E373" s="2">
        <f>IFERROR(__xludf.DUMMYFUNCTION("""COMPUTED_VALUE"""),3619.0)</f>
        <v>3619</v>
      </c>
      <c r="F373" s="2">
        <f>IFERROR(__xludf.DUMMYFUNCTION("""COMPUTED_VALUE"""),1.07814919E8)</f>
        <v>107814919</v>
      </c>
      <c r="G373" s="2">
        <f t="shared" si="1"/>
        <v>97</v>
      </c>
    </row>
    <row r="374" ht="15.75" customHeight="1">
      <c r="A374" s="1">
        <f>IFERROR(__xludf.DUMMYFUNCTION("""COMPUTED_VALUE"""),44392.625)</f>
        <v>44392.625</v>
      </c>
      <c r="B374" s="2">
        <f>IFERROR(__xludf.DUMMYFUNCTION("""COMPUTED_VALUE"""),3658.0)</f>
        <v>3658</v>
      </c>
      <c r="C374" s="2">
        <f>IFERROR(__xludf.DUMMYFUNCTION("""COMPUTED_VALUE"""),3746.0)</f>
        <v>3746</v>
      </c>
      <c r="D374" s="2">
        <f>IFERROR(__xludf.DUMMYFUNCTION("""COMPUTED_VALUE"""),3639.0)</f>
        <v>3639</v>
      </c>
      <c r="E374" s="2">
        <f>IFERROR(__xludf.DUMMYFUNCTION("""COMPUTED_VALUE"""),3717.0)</f>
        <v>3717</v>
      </c>
      <c r="F374" s="2">
        <f>IFERROR(__xludf.DUMMYFUNCTION("""COMPUTED_VALUE"""),1.30319058E8)</f>
        <v>130319058</v>
      </c>
      <c r="G374" s="2">
        <f t="shared" si="1"/>
        <v>127</v>
      </c>
    </row>
    <row r="375" ht="15.75" customHeight="1">
      <c r="A375" s="1">
        <f>IFERROR(__xludf.DUMMYFUNCTION("""COMPUTED_VALUE"""),44393.625)</f>
        <v>44393.625</v>
      </c>
      <c r="B375" s="2">
        <f>IFERROR(__xludf.DUMMYFUNCTION("""COMPUTED_VALUE"""),3756.0)</f>
        <v>3756</v>
      </c>
      <c r="C375" s="2">
        <f>IFERROR(__xludf.DUMMYFUNCTION("""COMPUTED_VALUE"""),3766.0)</f>
        <v>3766</v>
      </c>
      <c r="D375" s="2">
        <f>IFERROR(__xludf.DUMMYFUNCTION("""COMPUTED_VALUE"""),3717.0)</f>
        <v>3717</v>
      </c>
      <c r="E375" s="2">
        <f>IFERROR(__xludf.DUMMYFUNCTION("""COMPUTED_VALUE"""),3746.0)</f>
        <v>3746</v>
      </c>
      <c r="F375" s="2">
        <f>IFERROR(__xludf.DUMMYFUNCTION("""COMPUTED_VALUE"""),1.00949503E8)</f>
        <v>100949503</v>
      </c>
      <c r="G375" s="2">
        <f t="shared" si="1"/>
        <v>49</v>
      </c>
    </row>
    <row r="376" ht="15.75" customHeight="1">
      <c r="A376" s="1">
        <f>IFERROR(__xludf.DUMMYFUNCTION("""COMPUTED_VALUE"""),44396.625)</f>
        <v>44396.625</v>
      </c>
      <c r="B376" s="2">
        <f>IFERROR(__xludf.DUMMYFUNCTION("""COMPUTED_VALUE"""),3756.0)</f>
        <v>3756</v>
      </c>
      <c r="C376" s="2">
        <f>IFERROR(__xludf.DUMMYFUNCTION("""COMPUTED_VALUE"""),3756.0)</f>
        <v>3756</v>
      </c>
      <c r="D376" s="2">
        <f>IFERROR(__xludf.DUMMYFUNCTION("""COMPUTED_VALUE"""),3688.0)</f>
        <v>3688</v>
      </c>
      <c r="E376" s="2">
        <f>IFERROR(__xludf.DUMMYFUNCTION("""COMPUTED_VALUE"""),3688.0)</f>
        <v>3688</v>
      </c>
      <c r="F376" s="2">
        <f>IFERROR(__xludf.DUMMYFUNCTION("""COMPUTED_VALUE"""),6.4599308E7)</f>
        <v>64599308</v>
      </c>
      <c r="G376" s="2">
        <f t="shared" si="1"/>
        <v>68</v>
      </c>
    </row>
    <row r="377" ht="15.75" customHeight="1">
      <c r="A377" s="1">
        <f>IFERROR(__xludf.DUMMYFUNCTION("""COMPUTED_VALUE"""),44398.625)</f>
        <v>44398.625</v>
      </c>
      <c r="B377" s="2">
        <f>IFERROR(__xludf.DUMMYFUNCTION("""COMPUTED_VALUE"""),3756.0)</f>
        <v>3756</v>
      </c>
      <c r="C377" s="2">
        <f>IFERROR(__xludf.DUMMYFUNCTION("""COMPUTED_VALUE"""),3785.0)</f>
        <v>3785</v>
      </c>
      <c r="D377" s="2">
        <f>IFERROR(__xludf.DUMMYFUNCTION("""COMPUTED_VALUE"""),3717.0)</f>
        <v>3717</v>
      </c>
      <c r="E377" s="2">
        <f>IFERROR(__xludf.DUMMYFUNCTION("""COMPUTED_VALUE"""),3727.0)</f>
        <v>3727</v>
      </c>
      <c r="F377" s="2">
        <f>IFERROR(__xludf.DUMMYFUNCTION("""COMPUTED_VALUE"""),1.03439353E8)</f>
        <v>103439353</v>
      </c>
      <c r="G377" s="2">
        <f t="shared" si="1"/>
        <v>97</v>
      </c>
    </row>
    <row r="378" ht="15.75" customHeight="1">
      <c r="A378" s="1">
        <f>IFERROR(__xludf.DUMMYFUNCTION("""COMPUTED_VALUE"""),44399.625)</f>
        <v>44399.625</v>
      </c>
      <c r="B378" s="2">
        <f>IFERROR(__xludf.DUMMYFUNCTION("""COMPUTED_VALUE"""),3776.0)</f>
        <v>3776</v>
      </c>
      <c r="C378" s="2">
        <f>IFERROR(__xludf.DUMMYFUNCTION("""COMPUTED_VALUE"""),3815.0)</f>
        <v>3815</v>
      </c>
      <c r="D378" s="2">
        <f>IFERROR(__xludf.DUMMYFUNCTION("""COMPUTED_VALUE"""),3746.0)</f>
        <v>3746</v>
      </c>
      <c r="E378" s="2">
        <f>IFERROR(__xludf.DUMMYFUNCTION("""COMPUTED_VALUE"""),3805.0)</f>
        <v>3805</v>
      </c>
      <c r="F378" s="2">
        <f>IFERROR(__xludf.DUMMYFUNCTION("""COMPUTED_VALUE"""),8.7443334E7)</f>
        <v>87443334</v>
      </c>
      <c r="G378" s="2">
        <f t="shared" si="1"/>
        <v>88</v>
      </c>
    </row>
    <row r="379" ht="15.75" customHeight="1">
      <c r="A379" s="1">
        <f>IFERROR(__xludf.DUMMYFUNCTION("""COMPUTED_VALUE"""),44400.625)</f>
        <v>44400.625</v>
      </c>
      <c r="B379" s="2">
        <f>IFERROR(__xludf.DUMMYFUNCTION("""COMPUTED_VALUE"""),3844.0)</f>
        <v>3844</v>
      </c>
      <c r="C379" s="2">
        <f>IFERROR(__xludf.DUMMYFUNCTION("""COMPUTED_VALUE"""),3854.0)</f>
        <v>3854</v>
      </c>
      <c r="D379" s="2">
        <f>IFERROR(__xludf.DUMMYFUNCTION("""COMPUTED_VALUE"""),3737.0)</f>
        <v>3737</v>
      </c>
      <c r="E379" s="2">
        <f>IFERROR(__xludf.DUMMYFUNCTION("""COMPUTED_VALUE"""),3776.0)</f>
        <v>3776</v>
      </c>
      <c r="F379" s="2">
        <f>IFERROR(__xludf.DUMMYFUNCTION("""COMPUTED_VALUE"""),8.9416994E7)</f>
        <v>89416994</v>
      </c>
      <c r="G379" s="2">
        <f t="shared" si="1"/>
        <v>117</v>
      </c>
    </row>
    <row r="380" ht="15.75" customHeight="1">
      <c r="A380" s="1">
        <f>IFERROR(__xludf.DUMMYFUNCTION("""COMPUTED_VALUE"""),44403.625)</f>
        <v>44403.625</v>
      </c>
      <c r="B380" s="2">
        <f>IFERROR(__xludf.DUMMYFUNCTION("""COMPUTED_VALUE"""),3805.0)</f>
        <v>3805</v>
      </c>
      <c r="C380" s="2">
        <f>IFERROR(__xludf.DUMMYFUNCTION("""COMPUTED_VALUE"""),3805.0)</f>
        <v>3805</v>
      </c>
      <c r="D380" s="2">
        <f>IFERROR(__xludf.DUMMYFUNCTION("""COMPUTED_VALUE"""),3727.0)</f>
        <v>3727</v>
      </c>
      <c r="E380" s="2">
        <f>IFERROR(__xludf.DUMMYFUNCTION("""COMPUTED_VALUE"""),3737.0)</f>
        <v>3737</v>
      </c>
      <c r="F380" s="2">
        <f>IFERROR(__xludf.DUMMYFUNCTION("""COMPUTED_VALUE"""),8.404767E7)</f>
        <v>84047670</v>
      </c>
      <c r="G380" s="2">
        <f t="shared" si="1"/>
        <v>78</v>
      </c>
    </row>
    <row r="381" ht="15.75" customHeight="1">
      <c r="A381" s="1">
        <f>IFERROR(__xludf.DUMMYFUNCTION("""COMPUTED_VALUE"""),44404.625)</f>
        <v>44404.625</v>
      </c>
      <c r="B381" s="2">
        <f>IFERROR(__xludf.DUMMYFUNCTION("""COMPUTED_VALUE"""),3766.0)</f>
        <v>3766</v>
      </c>
      <c r="C381" s="2">
        <f>IFERROR(__xludf.DUMMYFUNCTION("""COMPUTED_VALUE"""),3766.0)</f>
        <v>3766</v>
      </c>
      <c r="D381" s="2">
        <f>IFERROR(__xludf.DUMMYFUNCTION("""COMPUTED_VALUE"""),3678.0)</f>
        <v>3678</v>
      </c>
      <c r="E381" s="2">
        <f>IFERROR(__xludf.DUMMYFUNCTION("""COMPUTED_VALUE"""),3707.0)</f>
        <v>3707</v>
      </c>
      <c r="F381" s="2">
        <f>IFERROR(__xludf.DUMMYFUNCTION("""COMPUTED_VALUE"""),9.2940575E7)</f>
        <v>92940575</v>
      </c>
      <c r="G381" s="2">
        <f t="shared" si="1"/>
        <v>88</v>
      </c>
    </row>
    <row r="382" ht="15.75" customHeight="1">
      <c r="A382" s="1">
        <f>IFERROR(__xludf.DUMMYFUNCTION("""COMPUTED_VALUE"""),44405.625)</f>
        <v>44405.625</v>
      </c>
      <c r="B382" s="2">
        <f>IFERROR(__xludf.DUMMYFUNCTION("""COMPUTED_VALUE"""),3707.0)</f>
        <v>3707</v>
      </c>
      <c r="C382" s="2">
        <f>IFERROR(__xludf.DUMMYFUNCTION("""COMPUTED_VALUE"""),3717.0)</f>
        <v>3717</v>
      </c>
      <c r="D382" s="2">
        <f>IFERROR(__xludf.DUMMYFUNCTION("""COMPUTED_VALUE"""),3629.0)</f>
        <v>3629</v>
      </c>
      <c r="E382" s="2">
        <f>IFERROR(__xludf.DUMMYFUNCTION("""COMPUTED_VALUE"""),3639.0)</f>
        <v>3639</v>
      </c>
      <c r="F382" s="2">
        <f>IFERROR(__xludf.DUMMYFUNCTION("""COMPUTED_VALUE"""),7.2473855E7)</f>
        <v>72473855</v>
      </c>
      <c r="G382" s="2">
        <f t="shared" si="1"/>
        <v>88</v>
      </c>
    </row>
    <row r="383" ht="15.75" customHeight="1">
      <c r="A383" s="1">
        <f>IFERROR(__xludf.DUMMYFUNCTION("""COMPUTED_VALUE"""),44406.625)</f>
        <v>44406.625</v>
      </c>
      <c r="B383" s="2">
        <f>IFERROR(__xludf.DUMMYFUNCTION("""COMPUTED_VALUE"""),3668.0)</f>
        <v>3668</v>
      </c>
      <c r="C383" s="2">
        <f>IFERROR(__xludf.DUMMYFUNCTION("""COMPUTED_VALUE"""),3746.0)</f>
        <v>3746</v>
      </c>
      <c r="D383" s="2">
        <f>IFERROR(__xludf.DUMMYFUNCTION("""COMPUTED_VALUE"""),3658.0)</f>
        <v>3658</v>
      </c>
      <c r="E383" s="2">
        <f>IFERROR(__xludf.DUMMYFUNCTION("""COMPUTED_VALUE"""),3678.0)</f>
        <v>3678</v>
      </c>
      <c r="F383" s="2">
        <f>IFERROR(__xludf.DUMMYFUNCTION("""COMPUTED_VALUE"""),9.580702E7)</f>
        <v>95807020</v>
      </c>
      <c r="G383" s="2">
        <f t="shared" si="1"/>
        <v>107</v>
      </c>
    </row>
    <row r="384" ht="15.75" customHeight="1">
      <c r="A384" s="1">
        <f>IFERROR(__xludf.DUMMYFUNCTION("""COMPUTED_VALUE"""),44407.625)</f>
        <v>44407.625</v>
      </c>
      <c r="B384" s="2">
        <f>IFERROR(__xludf.DUMMYFUNCTION("""COMPUTED_VALUE"""),3737.0)</f>
        <v>3737</v>
      </c>
      <c r="C384" s="2">
        <f>IFERROR(__xludf.DUMMYFUNCTION("""COMPUTED_VALUE"""),3737.0)</f>
        <v>3737</v>
      </c>
      <c r="D384" s="2">
        <f>IFERROR(__xludf.DUMMYFUNCTION("""COMPUTED_VALUE"""),3619.0)</f>
        <v>3619</v>
      </c>
      <c r="E384" s="2">
        <f>IFERROR(__xludf.DUMMYFUNCTION("""COMPUTED_VALUE"""),3619.0)</f>
        <v>3619</v>
      </c>
      <c r="F384" s="2">
        <f>IFERROR(__xludf.DUMMYFUNCTION("""COMPUTED_VALUE"""),1.05884831E8)</f>
        <v>105884831</v>
      </c>
      <c r="G384" s="2">
        <f t="shared" si="1"/>
        <v>118</v>
      </c>
    </row>
    <row r="385" ht="15.75" customHeight="1">
      <c r="A385" s="1">
        <f>IFERROR(__xludf.DUMMYFUNCTION("""COMPUTED_VALUE"""),44410.625)</f>
        <v>44410.625</v>
      </c>
      <c r="B385" s="2">
        <f>IFERROR(__xludf.DUMMYFUNCTION("""COMPUTED_VALUE"""),3678.0)</f>
        <v>3678</v>
      </c>
      <c r="C385" s="2">
        <f>IFERROR(__xludf.DUMMYFUNCTION("""COMPUTED_VALUE"""),3678.0)</f>
        <v>3678</v>
      </c>
      <c r="D385" s="2">
        <f>IFERROR(__xludf.DUMMYFUNCTION("""COMPUTED_VALUE"""),3610.0)</f>
        <v>3610</v>
      </c>
      <c r="E385" s="2">
        <f>IFERROR(__xludf.DUMMYFUNCTION("""COMPUTED_VALUE"""),3649.0)</f>
        <v>3649</v>
      </c>
      <c r="F385" s="2">
        <f>IFERROR(__xludf.DUMMYFUNCTION("""COMPUTED_VALUE"""),9.8592898E7)</f>
        <v>98592898</v>
      </c>
      <c r="G385" s="2">
        <f t="shared" si="1"/>
        <v>68</v>
      </c>
    </row>
    <row r="386" ht="15.75" customHeight="1">
      <c r="A386" s="1">
        <f>IFERROR(__xludf.DUMMYFUNCTION("""COMPUTED_VALUE"""),44411.625)</f>
        <v>44411.625</v>
      </c>
      <c r="B386" s="2">
        <f>IFERROR(__xludf.DUMMYFUNCTION("""COMPUTED_VALUE"""),3649.0)</f>
        <v>3649</v>
      </c>
      <c r="C386" s="2">
        <f>IFERROR(__xludf.DUMMYFUNCTION("""COMPUTED_VALUE"""),3688.0)</f>
        <v>3688</v>
      </c>
      <c r="D386" s="2">
        <f>IFERROR(__xludf.DUMMYFUNCTION("""COMPUTED_VALUE"""),3629.0)</f>
        <v>3629</v>
      </c>
      <c r="E386" s="2">
        <f>IFERROR(__xludf.DUMMYFUNCTION("""COMPUTED_VALUE"""),3658.0)</f>
        <v>3658</v>
      </c>
      <c r="F386" s="2">
        <f>IFERROR(__xludf.DUMMYFUNCTION("""COMPUTED_VALUE"""),8.1871371E7)</f>
        <v>81871371</v>
      </c>
      <c r="G386" s="2">
        <f t="shared" si="1"/>
        <v>59</v>
      </c>
    </row>
    <row r="387" ht="15.75" customHeight="1">
      <c r="A387" s="1">
        <f>IFERROR(__xludf.DUMMYFUNCTION("""COMPUTED_VALUE"""),44412.625)</f>
        <v>44412.625</v>
      </c>
      <c r="B387" s="2">
        <f>IFERROR(__xludf.DUMMYFUNCTION("""COMPUTED_VALUE"""),3698.0)</f>
        <v>3698</v>
      </c>
      <c r="C387" s="2">
        <f>IFERROR(__xludf.DUMMYFUNCTION("""COMPUTED_VALUE"""),3756.0)</f>
        <v>3756</v>
      </c>
      <c r="D387" s="2">
        <f>IFERROR(__xludf.DUMMYFUNCTION("""COMPUTED_VALUE"""),3678.0)</f>
        <v>3678</v>
      </c>
      <c r="E387" s="2">
        <f>IFERROR(__xludf.DUMMYFUNCTION("""COMPUTED_VALUE"""),3756.0)</f>
        <v>3756</v>
      </c>
      <c r="F387" s="2">
        <f>IFERROR(__xludf.DUMMYFUNCTION("""COMPUTED_VALUE"""),8.5584579E7)</f>
        <v>85584579</v>
      </c>
      <c r="G387" s="2">
        <f t="shared" si="1"/>
        <v>98</v>
      </c>
    </row>
    <row r="388" ht="15.75" customHeight="1">
      <c r="A388" s="1">
        <f>IFERROR(__xludf.DUMMYFUNCTION("""COMPUTED_VALUE"""),44413.625)</f>
        <v>44413.625</v>
      </c>
      <c r="B388" s="2">
        <f>IFERROR(__xludf.DUMMYFUNCTION("""COMPUTED_VALUE"""),3805.0)</f>
        <v>3805</v>
      </c>
      <c r="C388" s="2">
        <f>IFERROR(__xludf.DUMMYFUNCTION("""COMPUTED_VALUE"""),3990.0)</f>
        <v>3990</v>
      </c>
      <c r="D388" s="2">
        <f>IFERROR(__xludf.DUMMYFUNCTION("""COMPUTED_VALUE"""),3805.0)</f>
        <v>3805</v>
      </c>
      <c r="E388" s="2">
        <f>IFERROR(__xludf.DUMMYFUNCTION("""COMPUTED_VALUE"""),3951.0)</f>
        <v>3951</v>
      </c>
      <c r="F388" s="2">
        <f>IFERROR(__xludf.DUMMYFUNCTION("""COMPUTED_VALUE"""),2.74092305E8)</f>
        <v>274092305</v>
      </c>
      <c r="G388" s="2">
        <f t="shared" si="1"/>
        <v>234</v>
      </c>
    </row>
    <row r="389" ht="15.75" customHeight="1">
      <c r="A389" s="1">
        <f>IFERROR(__xludf.DUMMYFUNCTION("""COMPUTED_VALUE"""),44414.625)</f>
        <v>44414.625</v>
      </c>
      <c r="B389" s="2">
        <f>IFERROR(__xludf.DUMMYFUNCTION("""COMPUTED_VALUE"""),3951.0)</f>
        <v>3951</v>
      </c>
      <c r="C389" s="2">
        <f>IFERROR(__xludf.DUMMYFUNCTION("""COMPUTED_VALUE"""),3961.0)</f>
        <v>3961</v>
      </c>
      <c r="D389" s="2">
        <f>IFERROR(__xludf.DUMMYFUNCTION("""COMPUTED_VALUE"""),3805.0)</f>
        <v>3805</v>
      </c>
      <c r="E389" s="2">
        <f>IFERROR(__xludf.DUMMYFUNCTION("""COMPUTED_VALUE"""),3834.0)</f>
        <v>3834</v>
      </c>
      <c r="F389" s="2">
        <f>IFERROR(__xludf.DUMMYFUNCTION("""COMPUTED_VALUE"""),1.42061278E8)</f>
        <v>142061278</v>
      </c>
      <c r="G389" s="2">
        <f t="shared" si="1"/>
        <v>156</v>
      </c>
    </row>
    <row r="390" ht="15.75" customHeight="1">
      <c r="A390" s="1">
        <f>IFERROR(__xludf.DUMMYFUNCTION("""COMPUTED_VALUE"""),44417.625)</f>
        <v>44417.625</v>
      </c>
      <c r="B390" s="2">
        <f>IFERROR(__xludf.DUMMYFUNCTION("""COMPUTED_VALUE"""),3844.0)</f>
        <v>3844</v>
      </c>
      <c r="C390" s="2">
        <f>IFERROR(__xludf.DUMMYFUNCTION("""COMPUTED_VALUE"""),3854.0)</f>
        <v>3854</v>
      </c>
      <c r="D390" s="2">
        <f>IFERROR(__xludf.DUMMYFUNCTION("""COMPUTED_VALUE"""),3727.0)</f>
        <v>3727</v>
      </c>
      <c r="E390" s="2">
        <f>IFERROR(__xludf.DUMMYFUNCTION("""COMPUTED_VALUE"""),3756.0)</f>
        <v>3756</v>
      </c>
      <c r="F390" s="2">
        <f>IFERROR(__xludf.DUMMYFUNCTION("""COMPUTED_VALUE"""),9.5421512E7)</f>
        <v>95421512</v>
      </c>
      <c r="G390" s="2">
        <f t="shared" si="1"/>
        <v>127</v>
      </c>
    </row>
    <row r="391" ht="15.75" customHeight="1">
      <c r="A391" s="1">
        <f>IFERROR(__xludf.DUMMYFUNCTION("""COMPUTED_VALUE"""),44418.625)</f>
        <v>44418.625</v>
      </c>
      <c r="B391" s="2">
        <f>IFERROR(__xludf.DUMMYFUNCTION("""COMPUTED_VALUE"""),3795.0)</f>
        <v>3795</v>
      </c>
      <c r="C391" s="2">
        <f>IFERROR(__xludf.DUMMYFUNCTION("""COMPUTED_VALUE"""),3795.0)</f>
        <v>3795</v>
      </c>
      <c r="D391" s="2">
        <f>IFERROR(__xludf.DUMMYFUNCTION("""COMPUTED_VALUE"""),3717.0)</f>
        <v>3717</v>
      </c>
      <c r="E391" s="2">
        <f>IFERROR(__xludf.DUMMYFUNCTION("""COMPUTED_VALUE"""),3727.0)</f>
        <v>3727</v>
      </c>
      <c r="F391" s="2">
        <f>IFERROR(__xludf.DUMMYFUNCTION("""COMPUTED_VALUE"""),8.7916481E7)</f>
        <v>87916481</v>
      </c>
      <c r="G391" s="2">
        <f t="shared" si="1"/>
        <v>78</v>
      </c>
    </row>
    <row r="392" ht="15.75" customHeight="1">
      <c r="A392" s="1">
        <f>IFERROR(__xludf.DUMMYFUNCTION("""COMPUTED_VALUE"""),44420.625)</f>
        <v>44420.625</v>
      </c>
      <c r="B392" s="2">
        <f>IFERROR(__xludf.DUMMYFUNCTION("""COMPUTED_VALUE"""),3756.0)</f>
        <v>3756</v>
      </c>
      <c r="C392" s="2">
        <f>IFERROR(__xludf.DUMMYFUNCTION("""COMPUTED_VALUE"""),3756.0)</f>
        <v>3756</v>
      </c>
      <c r="D392" s="2">
        <f>IFERROR(__xludf.DUMMYFUNCTION("""COMPUTED_VALUE"""),3707.0)</f>
        <v>3707</v>
      </c>
      <c r="E392" s="2">
        <f>IFERROR(__xludf.DUMMYFUNCTION("""COMPUTED_VALUE"""),3717.0)</f>
        <v>3717</v>
      </c>
      <c r="F392" s="2">
        <f>IFERROR(__xludf.DUMMYFUNCTION("""COMPUTED_VALUE"""),8.8022769E7)</f>
        <v>88022769</v>
      </c>
      <c r="G392" s="2">
        <f t="shared" si="1"/>
        <v>49</v>
      </c>
    </row>
    <row r="393" ht="15.75" customHeight="1">
      <c r="A393" s="1">
        <f>IFERROR(__xludf.DUMMYFUNCTION("""COMPUTED_VALUE"""),44421.625)</f>
        <v>44421.625</v>
      </c>
      <c r="B393" s="2">
        <f>IFERROR(__xludf.DUMMYFUNCTION("""COMPUTED_VALUE"""),3727.0)</f>
        <v>3727</v>
      </c>
      <c r="C393" s="2">
        <f>IFERROR(__xludf.DUMMYFUNCTION("""COMPUTED_VALUE"""),3785.0)</f>
        <v>3785</v>
      </c>
      <c r="D393" s="2">
        <f>IFERROR(__xludf.DUMMYFUNCTION("""COMPUTED_VALUE"""),3727.0)</f>
        <v>3727</v>
      </c>
      <c r="E393" s="2">
        <f>IFERROR(__xludf.DUMMYFUNCTION("""COMPUTED_VALUE"""),3776.0)</f>
        <v>3776</v>
      </c>
      <c r="F393" s="2">
        <f>IFERROR(__xludf.DUMMYFUNCTION("""COMPUTED_VALUE"""),9.7681871E7)</f>
        <v>97681871</v>
      </c>
      <c r="G393" s="2">
        <f t="shared" si="1"/>
        <v>68</v>
      </c>
    </row>
    <row r="394" ht="15.75" customHeight="1">
      <c r="A394" s="1">
        <f>IFERROR(__xludf.DUMMYFUNCTION("""COMPUTED_VALUE"""),44424.625)</f>
        <v>44424.625</v>
      </c>
      <c r="B394" s="2">
        <f>IFERROR(__xludf.DUMMYFUNCTION("""COMPUTED_VALUE"""),3776.0)</f>
        <v>3776</v>
      </c>
      <c r="C394" s="2">
        <f>IFERROR(__xludf.DUMMYFUNCTION("""COMPUTED_VALUE"""),3834.0)</f>
        <v>3834</v>
      </c>
      <c r="D394" s="2">
        <f>IFERROR(__xludf.DUMMYFUNCTION("""COMPUTED_VALUE"""),3746.0)</f>
        <v>3746</v>
      </c>
      <c r="E394" s="2">
        <f>IFERROR(__xludf.DUMMYFUNCTION("""COMPUTED_VALUE"""),3834.0)</f>
        <v>3834</v>
      </c>
      <c r="F394" s="2">
        <f>IFERROR(__xludf.DUMMYFUNCTION("""COMPUTED_VALUE"""),6.530472E7)</f>
        <v>65304720</v>
      </c>
      <c r="G394" s="2">
        <f t="shared" si="1"/>
        <v>88</v>
      </c>
    </row>
    <row r="395" ht="15.75" customHeight="1">
      <c r="A395" s="1">
        <f>IFERROR(__xludf.DUMMYFUNCTION("""COMPUTED_VALUE"""),44426.625)</f>
        <v>44426.625</v>
      </c>
      <c r="B395" s="2">
        <f>IFERROR(__xludf.DUMMYFUNCTION("""COMPUTED_VALUE"""),3893.0)</f>
        <v>3893</v>
      </c>
      <c r="C395" s="2">
        <f>IFERROR(__xludf.DUMMYFUNCTION("""COMPUTED_VALUE"""),3990.0)</f>
        <v>3990</v>
      </c>
      <c r="D395" s="2">
        <f>IFERROR(__xludf.DUMMYFUNCTION("""COMPUTED_VALUE"""),3834.0)</f>
        <v>3834</v>
      </c>
      <c r="E395" s="2">
        <f>IFERROR(__xludf.DUMMYFUNCTION("""COMPUTED_VALUE"""),3971.0)</f>
        <v>3971</v>
      </c>
      <c r="F395" s="2">
        <f>IFERROR(__xludf.DUMMYFUNCTION("""COMPUTED_VALUE"""),2.30485123E8)</f>
        <v>230485123</v>
      </c>
      <c r="G395" s="2">
        <f t="shared" si="1"/>
        <v>156</v>
      </c>
    </row>
    <row r="396" ht="15.75" customHeight="1">
      <c r="A396" s="1">
        <f>IFERROR(__xludf.DUMMYFUNCTION("""COMPUTED_VALUE"""),44427.625)</f>
        <v>44427.625</v>
      </c>
      <c r="B396" s="2">
        <f>IFERROR(__xludf.DUMMYFUNCTION("""COMPUTED_VALUE"""),3902.0)</f>
        <v>3902</v>
      </c>
      <c r="C396" s="2">
        <f>IFERROR(__xludf.DUMMYFUNCTION("""COMPUTED_VALUE"""),3922.0)</f>
        <v>3922</v>
      </c>
      <c r="D396" s="2">
        <f>IFERROR(__xludf.DUMMYFUNCTION("""COMPUTED_VALUE"""),3766.0)</f>
        <v>3766</v>
      </c>
      <c r="E396" s="2">
        <f>IFERROR(__xludf.DUMMYFUNCTION("""COMPUTED_VALUE"""),3785.0)</f>
        <v>3785</v>
      </c>
      <c r="F396" s="2">
        <f>IFERROR(__xludf.DUMMYFUNCTION("""COMPUTED_VALUE"""),2.0333524E8)</f>
        <v>203335240</v>
      </c>
      <c r="G396" s="2">
        <f t="shared" si="1"/>
        <v>205</v>
      </c>
    </row>
    <row r="397" ht="15.75" customHeight="1">
      <c r="A397" s="1">
        <f>IFERROR(__xludf.DUMMYFUNCTION("""COMPUTED_VALUE"""),44428.625)</f>
        <v>44428.625</v>
      </c>
      <c r="B397" s="2">
        <f>IFERROR(__xludf.DUMMYFUNCTION("""COMPUTED_VALUE"""),3785.0)</f>
        <v>3785</v>
      </c>
      <c r="C397" s="2">
        <f>IFERROR(__xludf.DUMMYFUNCTION("""COMPUTED_VALUE"""),3844.0)</f>
        <v>3844</v>
      </c>
      <c r="D397" s="2">
        <f>IFERROR(__xludf.DUMMYFUNCTION("""COMPUTED_VALUE"""),3737.0)</f>
        <v>3737</v>
      </c>
      <c r="E397" s="2">
        <f>IFERROR(__xludf.DUMMYFUNCTION("""COMPUTED_VALUE"""),3834.0)</f>
        <v>3834</v>
      </c>
      <c r="F397" s="2">
        <f>IFERROR(__xludf.DUMMYFUNCTION("""COMPUTED_VALUE"""),8.2307513E7)</f>
        <v>82307513</v>
      </c>
      <c r="G397" s="2">
        <f t="shared" si="1"/>
        <v>107</v>
      </c>
    </row>
    <row r="398" ht="15.75" customHeight="1">
      <c r="A398" s="1">
        <f>IFERROR(__xludf.DUMMYFUNCTION("""COMPUTED_VALUE"""),44431.66666666667)</f>
        <v>44431.66667</v>
      </c>
      <c r="B398" s="2">
        <f>IFERROR(__xludf.DUMMYFUNCTION("""COMPUTED_VALUE"""),3883.0)</f>
        <v>3883</v>
      </c>
      <c r="C398" s="2">
        <f>IFERROR(__xludf.DUMMYFUNCTION("""COMPUTED_VALUE"""),3893.0)</f>
        <v>3893</v>
      </c>
      <c r="D398" s="2">
        <f>IFERROR(__xludf.DUMMYFUNCTION("""COMPUTED_VALUE"""),3834.0)</f>
        <v>3834</v>
      </c>
      <c r="E398" s="2">
        <f>IFERROR(__xludf.DUMMYFUNCTION("""COMPUTED_VALUE"""),3863.0)</f>
        <v>3863</v>
      </c>
      <c r="F398" s="2">
        <f>IFERROR(__xludf.DUMMYFUNCTION("""COMPUTED_VALUE"""),6.3487991E7)</f>
        <v>63487991</v>
      </c>
      <c r="G398" s="2">
        <f t="shared" si="1"/>
        <v>59</v>
      </c>
    </row>
    <row r="399" ht="15.75" customHeight="1">
      <c r="A399" s="1">
        <f>IFERROR(__xludf.DUMMYFUNCTION("""COMPUTED_VALUE"""),44432.66666666667)</f>
        <v>44432.66667</v>
      </c>
      <c r="B399" s="2">
        <f>IFERROR(__xludf.DUMMYFUNCTION("""COMPUTED_VALUE"""),3854.0)</f>
        <v>3854</v>
      </c>
      <c r="C399" s="2">
        <f>IFERROR(__xludf.DUMMYFUNCTION("""COMPUTED_VALUE"""),3863.0)</f>
        <v>3863</v>
      </c>
      <c r="D399" s="2">
        <f>IFERROR(__xludf.DUMMYFUNCTION("""COMPUTED_VALUE"""),3737.0)</f>
        <v>3737</v>
      </c>
      <c r="E399" s="2">
        <f>IFERROR(__xludf.DUMMYFUNCTION("""COMPUTED_VALUE"""),3795.0)</f>
        <v>3795</v>
      </c>
      <c r="F399" s="2">
        <f>IFERROR(__xludf.DUMMYFUNCTION("""COMPUTED_VALUE"""),1.40593782E8)</f>
        <v>140593782</v>
      </c>
      <c r="G399" s="2">
        <f t="shared" si="1"/>
        <v>126</v>
      </c>
    </row>
    <row r="400" ht="15.75" customHeight="1">
      <c r="A400" s="1">
        <f>IFERROR(__xludf.DUMMYFUNCTION("""COMPUTED_VALUE"""),44433.625)</f>
        <v>44433.625</v>
      </c>
      <c r="B400" s="2">
        <f>IFERROR(__xludf.DUMMYFUNCTION("""COMPUTED_VALUE"""),3756.0)</f>
        <v>3756</v>
      </c>
      <c r="C400" s="2">
        <f>IFERROR(__xludf.DUMMYFUNCTION("""COMPUTED_VALUE"""),3805.0)</f>
        <v>3805</v>
      </c>
      <c r="D400" s="2">
        <f>IFERROR(__xludf.DUMMYFUNCTION("""COMPUTED_VALUE"""),3756.0)</f>
        <v>3756</v>
      </c>
      <c r="E400" s="2">
        <f>IFERROR(__xludf.DUMMYFUNCTION("""COMPUTED_VALUE"""),3795.0)</f>
        <v>3795</v>
      </c>
      <c r="F400" s="2">
        <f>IFERROR(__xludf.DUMMYFUNCTION("""COMPUTED_VALUE"""),8.0668415E7)</f>
        <v>80668415</v>
      </c>
      <c r="G400" s="2">
        <f t="shared" si="1"/>
        <v>49</v>
      </c>
    </row>
    <row r="401" ht="15.75" customHeight="1">
      <c r="A401" s="1">
        <f>IFERROR(__xludf.DUMMYFUNCTION("""COMPUTED_VALUE"""),44434.625)</f>
        <v>44434.625</v>
      </c>
      <c r="B401" s="2">
        <f>IFERROR(__xludf.DUMMYFUNCTION("""COMPUTED_VALUE"""),3795.0)</f>
        <v>3795</v>
      </c>
      <c r="C401" s="2">
        <f>IFERROR(__xludf.DUMMYFUNCTION("""COMPUTED_VALUE"""),3805.0)</f>
        <v>3805</v>
      </c>
      <c r="D401" s="2">
        <f>IFERROR(__xludf.DUMMYFUNCTION("""COMPUTED_VALUE"""),3746.0)</f>
        <v>3746</v>
      </c>
      <c r="E401" s="2">
        <f>IFERROR(__xludf.DUMMYFUNCTION("""COMPUTED_VALUE"""),3776.0)</f>
        <v>3776</v>
      </c>
      <c r="F401" s="2">
        <f>IFERROR(__xludf.DUMMYFUNCTION("""COMPUTED_VALUE"""),6.4429564E7)</f>
        <v>64429564</v>
      </c>
      <c r="G401" s="2">
        <f t="shared" si="1"/>
        <v>59</v>
      </c>
    </row>
    <row r="402" ht="15.75" customHeight="1">
      <c r="A402" s="1">
        <f>IFERROR(__xludf.DUMMYFUNCTION("""COMPUTED_VALUE"""),44435.625)</f>
        <v>44435.625</v>
      </c>
      <c r="B402" s="2">
        <f>IFERROR(__xludf.DUMMYFUNCTION("""COMPUTED_VALUE"""),3795.0)</f>
        <v>3795</v>
      </c>
      <c r="C402" s="2">
        <f>IFERROR(__xludf.DUMMYFUNCTION("""COMPUTED_VALUE"""),3795.0)</f>
        <v>3795</v>
      </c>
      <c r="D402" s="2">
        <f>IFERROR(__xludf.DUMMYFUNCTION("""COMPUTED_VALUE"""),3737.0)</f>
        <v>3737</v>
      </c>
      <c r="E402" s="2">
        <f>IFERROR(__xludf.DUMMYFUNCTION("""COMPUTED_VALUE"""),3746.0)</f>
        <v>3746</v>
      </c>
      <c r="F402" s="2">
        <f>IFERROR(__xludf.DUMMYFUNCTION("""COMPUTED_VALUE"""),7.4078095E7)</f>
        <v>74078095</v>
      </c>
      <c r="G402" s="2">
        <f t="shared" si="1"/>
        <v>58</v>
      </c>
    </row>
    <row r="403" ht="15.75" customHeight="1">
      <c r="A403" s="1">
        <f>IFERROR(__xludf.DUMMYFUNCTION("""COMPUTED_VALUE"""),44438.625)</f>
        <v>44438.625</v>
      </c>
      <c r="B403" s="2">
        <f>IFERROR(__xludf.DUMMYFUNCTION("""COMPUTED_VALUE"""),3756.0)</f>
        <v>3756</v>
      </c>
      <c r="C403" s="2">
        <f>IFERROR(__xludf.DUMMYFUNCTION("""COMPUTED_VALUE"""),3844.0)</f>
        <v>3844</v>
      </c>
      <c r="D403" s="2">
        <f>IFERROR(__xludf.DUMMYFUNCTION("""COMPUTED_VALUE"""),3746.0)</f>
        <v>3746</v>
      </c>
      <c r="E403" s="2">
        <f>IFERROR(__xludf.DUMMYFUNCTION("""COMPUTED_VALUE"""),3844.0)</f>
        <v>3844</v>
      </c>
      <c r="F403" s="2">
        <f>IFERROR(__xludf.DUMMYFUNCTION("""COMPUTED_VALUE"""),1.19775067E8)</f>
        <v>119775067</v>
      </c>
      <c r="G403" s="2">
        <f t="shared" si="1"/>
        <v>98</v>
      </c>
    </row>
    <row r="404" ht="15.75" customHeight="1">
      <c r="A404" s="1">
        <f>IFERROR(__xludf.DUMMYFUNCTION("""COMPUTED_VALUE"""),44439.625)</f>
        <v>44439.625</v>
      </c>
      <c r="B404" s="2">
        <f>IFERROR(__xludf.DUMMYFUNCTION("""COMPUTED_VALUE"""),3844.0)</f>
        <v>3844</v>
      </c>
      <c r="C404" s="2">
        <f>IFERROR(__xludf.DUMMYFUNCTION("""COMPUTED_VALUE"""),3854.0)</f>
        <v>3854</v>
      </c>
      <c r="D404" s="2">
        <f>IFERROR(__xludf.DUMMYFUNCTION("""COMPUTED_VALUE"""),3776.0)</f>
        <v>3776</v>
      </c>
      <c r="E404" s="2">
        <f>IFERROR(__xludf.DUMMYFUNCTION("""COMPUTED_VALUE"""),3834.0)</f>
        <v>3834</v>
      </c>
      <c r="F404" s="2">
        <f>IFERROR(__xludf.DUMMYFUNCTION("""COMPUTED_VALUE"""),1.25682418E8)</f>
        <v>125682418</v>
      </c>
      <c r="G404" s="2">
        <f t="shared" si="1"/>
        <v>78</v>
      </c>
    </row>
    <row r="405" ht="15.75" customHeight="1">
      <c r="A405" s="1">
        <f>IFERROR(__xludf.DUMMYFUNCTION("""COMPUTED_VALUE"""),44440.625)</f>
        <v>44440.625</v>
      </c>
      <c r="B405" s="2">
        <f>IFERROR(__xludf.DUMMYFUNCTION("""COMPUTED_VALUE"""),3834.0)</f>
        <v>3834</v>
      </c>
      <c r="C405" s="2">
        <f>IFERROR(__xludf.DUMMYFUNCTION("""COMPUTED_VALUE"""),3834.0)</f>
        <v>3834</v>
      </c>
      <c r="D405" s="2">
        <f>IFERROR(__xludf.DUMMYFUNCTION("""COMPUTED_VALUE"""),3785.0)</f>
        <v>3785</v>
      </c>
      <c r="E405" s="2">
        <f>IFERROR(__xludf.DUMMYFUNCTION("""COMPUTED_VALUE"""),3795.0)</f>
        <v>3795</v>
      </c>
      <c r="F405" s="2">
        <f>IFERROR(__xludf.DUMMYFUNCTION("""COMPUTED_VALUE"""),9.1030153E7)</f>
        <v>91030153</v>
      </c>
      <c r="G405" s="2">
        <f t="shared" si="1"/>
        <v>49</v>
      </c>
    </row>
    <row r="406" ht="15.75" customHeight="1">
      <c r="A406" s="1">
        <f>IFERROR(__xludf.DUMMYFUNCTION("""COMPUTED_VALUE"""),44441.625)</f>
        <v>44441.625</v>
      </c>
      <c r="B406" s="2">
        <f>IFERROR(__xludf.DUMMYFUNCTION("""COMPUTED_VALUE"""),3766.0)</f>
        <v>3766</v>
      </c>
      <c r="C406" s="2">
        <f>IFERROR(__xludf.DUMMYFUNCTION("""COMPUTED_VALUE"""),3795.0)</f>
        <v>3795</v>
      </c>
      <c r="D406" s="2">
        <f>IFERROR(__xludf.DUMMYFUNCTION("""COMPUTED_VALUE"""),3746.0)</f>
        <v>3746</v>
      </c>
      <c r="E406" s="2">
        <f>IFERROR(__xludf.DUMMYFUNCTION("""COMPUTED_VALUE"""),3776.0)</f>
        <v>3776</v>
      </c>
      <c r="F406" s="2">
        <f>IFERROR(__xludf.DUMMYFUNCTION("""COMPUTED_VALUE"""),7.5702642E7)</f>
        <v>75702642</v>
      </c>
      <c r="G406" s="2">
        <f t="shared" si="1"/>
        <v>49</v>
      </c>
    </row>
    <row r="407" ht="15.75" customHeight="1">
      <c r="A407" s="1">
        <f>IFERROR(__xludf.DUMMYFUNCTION("""COMPUTED_VALUE"""),44442.625)</f>
        <v>44442.625</v>
      </c>
      <c r="B407" s="2">
        <f>IFERROR(__xludf.DUMMYFUNCTION("""COMPUTED_VALUE"""),3756.0)</f>
        <v>3756</v>
      </c>
      <c r="C407" s="2">
        <f>IFERROR(__xludf.DUMMYFUNCTION("""COMPUTED_VALUE"""),3834.0)</f>
        <v>3834</v>
      </c>
      <c r="D407" s="2">
        <f>IFERROR(__xludf.DUMMYFUNCTION("""COMPUTED_VALUE"""),3717.0)</f>
        <v>3717</v>
      </c>
      <c r="E407" s="2">
        <f>IFERROR(__xludf.DUMMYFUNCTION("""COMPUTED_VALUE"""),3834.0)</f>
        <v>3834</v>
      </c>
      <c r="F407" s="2">
        <f>IFERROR(__xludf.DUMMYFUNCTION("""COMPUTED_VALUE"""),1.53802081E8)</f>
        <v>153802081</v>
      </c>
      <c r="G407" s="2">
        <f t="shared" si="1"/>
        <v>117</v>
      </c>
    </row>
    <row r="408" ht="15.75" customHeight="1">
      <c r="A408" s="1">
        <f>IFERROR(__xludf.DUMMYFUNCTION("""COMPUTED_VALUE"""),44445.625)</f>
        <v>44445.625</v>
      </c>
      <c r="B408" s="2">
        <f>IFERROR(__xludf.DUMMYFUNCTION("""COMPUTED_VALUE"""),3854.0)</f>
        <v>3854</v>
      </c>
      <c r="C408" s="2">
        <f>IFERROR(__xludf.DUMMYFUNCTION("""COMPUTED_VALUE"""),3883.0)</f>
        <v>3883</v>
      </c>
      <c r="D408" s="2">
        <f>IFERROR(__xludf.DUMMYFUNCTION("""COMPUTED_VALUE"""),3756.0)</f>
        <v>3756</v>
      </c>
      <c r="E408" s="2">
        <f>IFERROR(__xludf.DUMMYFUNCTION("""COMPUTED_VALUE"""),3756.0)</f>
        <v>3756</v>
      </c>
      <c r="F408" s="2">
        <f>IFERROR(__xludf.DUMMYFUNCTION("""COMPUTED_VALUE"""),1.76047076E8)</f>
        <v>176047076</v>
      </c>
      <c r="G408" s="2">
        <f t="shared" si="1"/>
        <v>127</v>
      </c>
    </row>
    <row r="409" ht="15.75" customHeight="1">
      <c r="A409" s="1">
        <f>IFERROR(__xludf.DUMMYFUNCTION("""COMPUTED_VALUE"""),44446.625)</f>
        <v>44446.625</v>
      </c>
      <c r="B409" s="2">
        <f>IFERROR(__xludf.DUMMYFUNCTION("""COMPUTED_VALUE"""),3795.0)</f>
        <v>3795</v>
      </c>
      <c r="C409" s="2">
        <f>IFERROR(__xludf.DUMMYFUNCTION("""COMPUTED_VALUE"""),3824.0)</f>
        <v>3824</v>
      </c>
      <c r="D409" s="2">
        <f>IFERROR(__xludf.DUMMYFUNCTION("""COMPUTED_VALUE"""),3776.0)</f>
        <v>3776</v>
      </c>
      <c r="E409" s="2">
        <f>IFERROR(__xludf.DUMMYFUNCTION("""COMPUTED_VALUE"""),3815.0)</f>
        <v>3815</v>
      </c>
      <c r="F409" s="2">
        <f>IFERROR(__xludf.DUMMYFUNCTION("""COMPUTED_VALUE"""),1.30808196E8)</f>
        <v>130808196</v>
      </c>
      <c r="G409" s="2">
        <f t="shared" si="1"/>
        <v>68</v>
      </c>
    </row>
    <row r="410" ht="15.75" customHeight="1">
      <c r="A410" s="1">
        <f>IFERROR(__xludf.DUMMYFUNCTION("""COMPUTED_VALUE"""),44447.625)</f>
        <v>44447.625</v>
      </c>
      <c r="B410" s="2">
        <f>IFERROR(__xludf.DUMMYFUNCTION("""COMPUTED_VALUE"""),4158.85)</f>
        <v>4158.85</v>
      </c>
      <c r="C410" s="2">
        <f>IFERROR(__xludf.DUMMYFUNCTION("""COMPUTED_VALUE"""),4224.18)</f>
        <v>4224.18</v>
      </c>
      <c r="D410" s="2">
        <f>IFERROR(__xludf.DUMMYFUNCTION("""COMPUTED_VALUE"""),4049.98)</f>
        <v>4049.98</v>
      </c>
      <c r="E410" s="2">
        <f>IFERROR(__xludf.DUMMYFUNCTION("""COMPUTED_VALUE"""),4060.87)</f>
        <v>4060.87</v>
      </c>
      <c r="F410" s="2">
        <f>IFERROR(__xludf.DUMMYFUNCTION("""COMPUTED_VALUE"""),2.28087906E8)</f>
        <v>228087906</v>
      </c>
      <c r="G410" s="2">
        <f t="shared" si="1"/>
        <v>409.18</v>
      </c>
    </row>
    <row r="411" ht="15.75" customHeight="1">
      <c r="A411" s="1">
        <f>IFERROR(__xludf.DUMMYFUNCTION("""COMPUTED_VALUE"""),44448.625)</f>
        <v>44448.625</v>
      </c>
      <c r="B411" s="2">
        <f>IFERROR(__xludf.DUMMYFUNCTION("""COMPUTED_VALUE"""),3700.0)</f>
        <v>3700</v>
      </c>
      <c r="C411" s="2">
        <f>IFERROR(__xludf.DUMMYFUNCTION("""COMPUTED_VALUE"""),3770.0)</f>
        <v>3770</v>
      </c>
      <c r="D411" s="2">
        <f>IFERROR(__xludf.DUMMYFUNCTION("""COMPUTED_VALUE"""),3650.0)</f>
        <v>3650</v>
      </c>
      <c r="E411" s="2">
        <f>IFERROR(__xludf.DUMMYFUNCTION("""COMPUTED_VALUE"""),3730.0)</f>
        <v>3730</v>
      </c>
      <c r="F411" s="2">
        <f>IFERROR(__xludf.DUMMYFUNCTION("""COMPUTED_VALUE"""),3.06319625E8)</f>
        <v>306319625</v>
      </c>
      <c r="G411" s="2">
        <f t="shared" si="1"/>
        <v>410.87</v>
      </c>
    </row>
    <row r="412" ht="15.75" customHeight="1">
      <c r="A412" s="1">
        <f>IFERROR(__xludf.DUMMYFUNCTION("""COMPUTED_VALUE"""),44449.625)</f>
        <v>44449.625</v>
      </c>
      <c r="B412" s="2">
        <f>IFERROR(__xludf.DUMMYFUNCTION("""COMPUTED_VALUE"""),3710.0)</f>
        <v>3710</v>
      </c>
      <c r="C412" s="2">
        <f>IFERROR(__xludf.DUMMYFUNCTION("""COMPUTED_VALUE"""),3790.0)</f>
        <v>3790</v>
      </c>
      <c r="D412" s="2">
        <f>IFERROR(__xludf.DUMMYFUNCTION("""COMPUTED_VALUE"""),3670.0)</f>
        <v>3670</v>
      </c>
      <c r="E412" s="2">
        <f>IFERROR(__xludf.DUMMYFUNCTION("""COMPUTED_VALUE"""),3780.0)</f>
        <v>3780</v>
      </c>
      <c r="F412" s="2">
        <f>IFERROR(__xludf.DUMMYFUNCTION("""COMPUTED_VALUE"""),1.77032984E8)</f>
        <v>177032984</v>
      </c>
      <c r="G412" s="2">
        <f t="shared" si="1"/>
        <v>120</v>
      </c>
    </row>
    <row r="413" ht="15.75" customHeight="1">
      <c r="A413" s="1">
        <f>IFERROR(__xludf.DUMMYFUNCTION("""COMPUTED_VALUE"""),44452.625)</f>
        <v>44452.625</v>
      </c>
      <c r="B413" s="2">
        <f>IFERROR(__xludf.DUMMYFUNCTION("""COMPUTED_VALUE"""),3710.0)</f>
        <v>3710</v>
      </c>
      <c r="C413" s="2">
        <f>IFERROR(__xludf.DUMMYFUNCTION("""COMPUTED_VALUE"""),3750.0)</f>
        <v>3750</v>
      </c>
      <c r="D413" s="2">
        <f>IFERROR(__xludf.DUMMYFUNCTION("""COMPUTED_VALUE"""),3660.0)</f>
        <v>3660</v>
      </c>
      <c r="E413" s="2">
        <f>IFERROR(__xludf.DUMMYFUNCTION("""COMPUTED_VALUE"""),3700.0)</f>
        <v>3700</v>
      </c>
      <c r="F413" s="2">
        <f>IFERROR(__xludf.DUMMYFUNCTION("""COMPUTED_VALUE"""),1.69824984E8)</f>
        <v>169824984</v>
      </c>
      <c r="G413" s="2">
        <f t="shared" si="1"/>
        <v>120</v>
      </c>
    </row>
    <row r="414" ht="15.75" customHeight="1">
      <c r="A414" s="1">
        <f>IFERROR(__xludf.DUMMYFUNCTION("""COMPUTED_VALUE"""),44453.625)</f>
        <v>44453.625</v>
      </c>
      <c r="B414" s="2">
        <f>IFERROR(__xludf.DUMMYFUNCTION("""COMPUTED_VALUE"""),3720.0)</f>
        <v>3720</v>
      </c>
      <c r="C414" s="2">
        <f>IFERROR(__xludf.DUMMYFUNCTION("""COMPUTED_VALUE"""),3730.0)</f>
        <v>3730</v>
      </c>
      <c r="D414" s="2">
        <f>IFERROR(__xludf.DUMMYFUNCTION("""COMPUTED_VALUE"""),3660.0)</f>
        <v>3660</v>
      </c>
      <c r="E414" s="2">
        <f>IFERROR(__xludf.DUMMYFUNCTION("""COMPUTED_VALUE"""),3700.0)</f>
        <v>3700</v>
      </c>
      <c r="F414" s="2">
        <f>IFERROR(__xludf.DUMMYFUNCTION("""COMPUTED_VALUE"""),2.16363391E8)</f>
        <v>216363391</v>
      </c>
      <c r="G414" s="2">
        <f t="shared" si="1"/>
        <v>70</v>
      </c>
    </row>
    <row r="415" ht="15.75" customHeight="1">
      <c r="A415" s="1">
        <f>IFERROR(__xludf.DUMMYFUNCTION("""COMPUTED_VALUE"""),44454.625)</f>
        <v>44454.625</v>
      </c>
      <c r="B415" s="2">
        <f>IFERROR(__xludf.DUMMYFUNCTION("""COMPUTED_VALUE"""),3670.0)</f>
        <v>3670</v>
      </c>
      <c r="C415" s="2">
        <f>IFERROR(__xludf.DUMMYFUNCTION("""COMPUTED_VALUE"""),3670.0)</f>
        <v>3670</v>
      </c>
      <c r="D415" s="2">
        <f>IFERROR(__xludf.DUMMYFUNCTION("""COMPUTED_VALUE"""),3620.0)</f>
        <v>3620</v>
      </c>
      <c r="E415" s="2">
        <f>IFERROR(__xludf.DUMMYFUNCTION("""COMPUTED_VALUE"""),3660.0)</f>
        <v>3660</v>
      </c>
      <c r="F415" s="2">
        <f>IFERROR(__xludf.DUMMYFUNCTION("""COMPUTED_VALUE"""),2.63544E8)</f>
        <v>263544000</v>
      </c>
      <c r="G415" s="2">
        <f t="shared" si="1"/>
        <v>80</v>
      </c>
    </row>
    <row r="416" ht="15.75" customHeight="1">
      <c r="A416" s="1">
        <f>IFERROR(__xludf.DUMMYFUNCTION("""COMPUTED_VALUE"""),44455.625)</f>
        <v>44455.625</v>
      </c>
      <c r="B416" s="2">
        <f>IFERROR(__xludf.DUMMYFUNCTION("""COMPUTED_VALUE"""),3650.0)</f>
        <v>3650</v>
      </c>
      <c r="C416" s="2">
        <f>IFERROR(__xludf.DUMMYFUNCTION("""COMPUTED_VALUE"""),3660.0)</f>
        <v>3660</v>
      </c>
      <c r="D416" s="2">
        <f>IFERROR(__xludf.DUMMYFUNCTION("""COMPUTED_VALUE"""),3610.0)</f>
        <v>3610</v>
      </c>
      <c r="E416" s="2">
        <f>IFERROR(__xludf.DUMMYFUNCTION("""COMPUTED_VALUE"""),3640.0)</f>
        <v>3640</v>
      </c>
      <c r="F416" s="2">
        <f>IFERROR(__xludf.DUMMYFUNCTION("""COMPUTED_VALUE"""),1.94782797E8)</f>
        <v>194782797</v>
      </c>
      <c r="G416" s="2">
        <f t="shared" si="1"/>
        <v>50</v>
      </c>
    </row>
    <row r="417" ht="15.75" customHeight="1">
      <c r="A417" s="1">
        <f>IFERROR(__xludf.DUMMYFUNCTION("""COMPUTED_VALUE"""),44456.625)</f>
        <v>44456.625</v>
      </c>
      <c r="B417" s="2">
        <f>IFERROR(__xludf.DUMMYFUNCTION("""COMPUTED_VALUE"""),3630.0)</f>
        <v>3630</v>
      </c>
      <c r="C417" s="2">
        <f>IFERROR(__xludf.DUMMYFUNCTION("""COMPUTED_VALUE"""),3640.0)</f>
        <v>3640</v>
      </c>
      <c r="D417" s="2">
        <f>IFERROR(__xludf.DUMMYFUNCTION("""COMPUTED_VALUE"""),3570.0)</f>
        <v>3570</v>
      </c>
      <c r="E417" s="2">
        <f>IFERROR(__xludf.DUMMYFUNCTION("""COMPUTED_VALUE"""),3610.0)</f>
        <v>3610</v>
      </c>
      <c r="F417" s="2">
        <f>IFERROR(__xludf.DUMMYFUNCTION("""COMPUTED_VALUE"""),3.46529125E8)</f>
        <v>346529125</v>
      </c>
      <c r="G417" s="2">
        <f t="shared" si="1"/>
        <v>70</v>
      </c>
    </row>
    <row r="418" ht="15.75" customHeight="1">
      <c r="A418" s="1">
        <f>IFERROR(__xludf.DUMMYFUNCTION("""COMPUTED_VALUE"""),44459.625)</f>
        <v>44459.625</v>
      </c>
      <c r="B418" s="2">
        <f>IFERROR(__xludf.DUMMYFUNCTION("""COMPUTED_VALUE"""),3590.0)</f>
        <v>3590</v>
      </c>
      <c r="C418" s="2">
        <f>IFERROR(__xludf.DUMMYFUNCTION("""COMPUTED_VALUE"""),3590.0)</f>
        <v>3590</v>
      </c>
      <c r="D418" s="2">
        <f>IFERROR(__xludf.DUMMYFUNCTION("""COMPUTED_VALUE"""),3510.0)</f>
        <v>3510</v>
      </c>
      <c r="E418" s="2">
        <f>IFERROR(__xludf.DUMMYFUNCTION("""COMPUTED_VALUE"""),3590.0)</f>
        <v>3590</v>
      </c>
      <c r="F418" s="2">
        <f>IFERROR(__xludf.DUMMYFUNCTION("""COMPUTED_VALUE"""),3.5797125E8)</f>
        <v>357971250</v>
      </c>
      <c r="G418" s="2">
        <f t="shared" si="1"/>
        <v>100</v>
      </c>
    </row>
    <row r="419" ht="15.75" customHeight="1">
      <c r="A419" s="1">
        <f>IFERROR(__xludf.DUMMYFUNCTION("""COMPUTED_VALUE"""),44460.625)</f>
        <v>44460.625</v>
      </c>
      <c r="B419" s="2">
        <f>IFERROR(__xludf.DUMMYFUNCTION("""COMPUTED_VALUE"""),3510.0)</f>
        <v>3510</v>
      </c>
      <c r="C419" s="2">
        <f>IFERROR(__xludf.DUMMYFUNCTION("""COMPUTED_VALUE"""),3580.0)</f>
        <v>3580</v>
      </c>
      <c r="D419" s="2">
        <f>IFERROR(__xludf.DUMMYFUNCTION("""COMPUTED_VALUE"""),3500.0)</f>
        <v>3500</v>
      </c>
      <c r="E419" s="2">
        <f>IFERROR(__xludf.DUMMYFUNCTION("""COMPUTED_VALUE"""),3570.0)</f>
        <v>3570</v>
      </c>
      <c r="F419" s="2">
        <f>IFERROR(__xludf.DUMMYFUNCTION("""COMPUTED_VALUE"""),4.10533906E8)</f>
        <v>410533906</v>
      </c>
      <c r="G419" s="2">
        <f t="shared" si="1"/>
        <v>90</v>
      </c>
    </row>
    <row r="420" ht="15.75" customHeight="1">
      <c r="A420" s="1">
        <f>IFERROR(__xludf.DUMMYFUNCTION("""COMPUTED_VALUE"""),44461.625)</f>
        <v>44461.625</v>
      </c>
      <c r="B420" s="2">
        <f>IFERROR(__xludf.DUMMYFUNCTION("""COMPUTED_VALUE"""),3520.0)</f>
        <v>3520</v>
      </c>
      <c r="C420" s="2">
        <f>IFERROR(__xludf.DUMMYFUNCTION("""COMPUTED_VALUE"""),3650.0)</f>
        <v>3650</v>
      </c>
      <c r="D420" s="2">
        <f>IFERROR(__xludf.DUMMYFUNCTION("""COMPUTED_VALUE"""),3520.0)</f>
        <v>3520</v>
      </c>
      <c r="E420" s="2">
        <f>IFERROR(__xludf.DUMMYFUNCTION("""COMPUTED_VALUE"""),3610.0)</f>
        <v>3610</v>
      </c>
      <c r="F420" s="2">
        <f>IFERROR(__xludf.DUMMYFUNCTION("""COMPUTED_VALUE"""),4.16087281E8)</f>
        <v>416087281</v>
      </c>
      <c r="G420" s="2">
        <f t="shared" si="1"/>
        <v>130</v>
      </c>
    </row>
    <row r="421" ht="15.75" customHeight="1">
      <c r="A421" s="1">
        <f>IFERROR(__xludf.DUMMYFUNCTION("""COMPUTED_VALUE"""),44462.625)</f>
        <v>44462.625</v>
      </c>
      <c r="B421" s="2">
        <f>IFERROR(__xludf.DUMMYFUNCTION("""COMPUTED_VALUE"""),3600.0)</f>
        <v>3600</v>
      </c>
      <c r="C421" s="2">
        <f>IFERROR(__xludf.DUMMYFUNCTION("""COMPUTED_VALUE"""),3770.0)</f>
        <v>3770</v>
      </c>
      <c r="D421" s="2">
        <f>IFERROR(__xludf.DUMMYFUNCTION("""COMPUTED_VALUE"""),3590.0)</f>
        <v>3590</v>
      </c>
      <c r="E421" s="2">
        <f>IFERROR(__xludf.DUMMYFUNCTION("""COMPUTED_VALUE"""),3770.0)</f>
        <v>3770</v>
      </c>
      <c r="F421" s="2">
        <f>IFERROR(__xludf.DUMMYFUNCTION("""COMPUTED_VALUE"""),4.32390781E8)</f>
        <v>432390781</v>
      </c>
      <c r="G421" s="2">
        <f t="shared" si="1"/>
        <v>180</v>
      </c>
    </row>
    <row r="422" ht="15.75" customHeight="1">
      <c r="A422" s="1">
        <f>IFERROR(__xludf.DUMMYFUNCTION("""COMPUTED_VALUE"""),44463.625)</f>
        <v>44463.625</v>
      </c>
      <c r="B422" s="2">
        <f>IFERROR(__xludf.DUMMYFUNCTION("""COMPUTED_VALUE"""),3790.0)</f>
        <v>3790</v>
      </c>
      <c r="C422" s="2">
        <f>IFERROR(__xludf.DUMMYFUNCTION("""COMPUTED_VALUE"""),3860.0)</f>
        <v>3860</v>
      </c>
      <c r="D422" s="2">
        <f>IFERROR(__xludf.DUMMYFUNCTION("""COMPUTED_VALUE"""),3770.0)</f>
        <v>3770</v>
      </c>
      <c r="E422" s="2">
        <f>IFERROR(__xludf.DUMMYFUNCTION("""COMPUTED_VALUE"""),3820.0)</f>
        <v>3820</v>
      </c>
      <c r="F422" s="2">
        <f>IFERROR(__xludf.DUMMYFUNCTION("""COMPUTED_VALUE"""),6.34549625E8)</f>
        <v>634549625</v>
      </c>
      <c r="G422" s="2">
        <f t="shared" si="1"/>
        <v>90</v>
      </c>
    </row>
    <row r="423" ht="15.75" customHeight="1">
      <c r="A423" s="1">
        <f>IFERROR(__xludf.DUMMYFUNCTION("""COMPUTED_VALUE"""),44466.625)</f>
        <v>44466.625</v>
      </c>
      <c r="B423" s="2">
        <f>IFERROR(__xludf.DUMMYFUNCTION("""COMPUTED_VALUE"""),3770.0)</f>
        <v>3770</v>
      </c>
      <c r="C423" s="2">
        <f>IFERROR(__xludf.DUMMYFUNCTION("""COMPUTED_VALUE"""),3800.0)</f>
        <v>3800</v>
      </c>
      <c r="D423" s="2">
        <f>IFERROR(__xludf.DUMMYFUNCTION("""COMPUTED_VALUE"""),3730.0)</f>
        <v>3730</v>
      </c>
      <c r="E423" s="2">
        <f>IFERROR(__xludf.DUMMYFUNCTION("""COMPUTED_VALUE"""),3750.0)</f>
        <v>3750</v>
      </c>
      <c r="F423" s="2">
        <f>IFERROR(__xludf.DUMMYFUNCTION("""COMPUTED_VALUE"""),3.80151188E8)</f>
        <v>380151188</v>
      </c>
      <c r="G423" s="2">
        <f t="shared" si="1"/>
        <v>90</v>
      </c>
    </row>
    <row r="424" ht="15.75" customHeight="1">
      <c r="A424" s="1">
        <f>IFERROR(__xludf.DUMMYFUNCTION("""COMPUTED_VALUE"""),44467.625)</f>
        <v>44467.625</v>
      </c>
      <c r="B424" s="2">
        <f>IFERROR(__xludf.DUMMYFUNCTION("""COMPUTED_VALUE"""),3770.0)</f>
        <v>3770</v>
      </c>
      <c r="C424" s="2">
        <f>IFERROR(__xludf.DUMMYFUNCTION("""COMPUTED_VALUE"""),3770.0)</f>
        <v>3770</v>
      </c>
      <c r="D424" s="2">
        <f>IFERROR(__xludf.DUMMYFUNCTION("""COMPUTED_VALUE"""),3690.0)</f>
        <v>3690</v>
      </c>
      <c r="E424" s="2">
        <f>IFERROR(__xludf.DUMMYFUNCTION("""COMPUTED_VALUE"""),3720.0)</f>
        <v>3720</v>
      </c>
      <c r="F424" s="2">
        <f>IFERROR(__xludf.DUMMYFUNCTION("""COMPUTED_VALUE"""),3.06827406E8)</f>
        <v>306827406</v>
      </c>
      <c r="G424" s="2">
        <f t="shared" si="1"/>
        <v>80</v>
      </c>
    </row>
    <row r="425" ht="15.75" customHeight="1">
      <c r="A425" s="1">
        <f>IFERROR(__xludf.DUMMYFUNCTION("""COMPUTED_VALUE"""),44468.625)</f>
        <v>44468.625</v>
      </c>
      <c r="B425" s="2">
        <f>IFERROR(__xludf.DUMMYFUNCTION("""COMPUTED_VALUE"""),3720.0)</f>
        <v>3720</v>
      </c>
      <c r="C425" s="2">
        <f>IFERROR(__xludf.DUMMYFUNCTION("""COMPUTED_VALUE"""),3750.0)</f>
        <v>3750</v>
      </c>
      <c r="D425" s="2">
        <f>IFERROR(__xludf.DUMMYFUNCTION("""COMPUTED_VALUE"""),3690.0)</f>
        <v>3690</v>
      </c>
      <c r="E425" s="2">
        <f>IFERROR(__xludf.DUMMYFUNCTION("""COMPUTED_VALUE"""),3740.0)</f>
        <v>3740</v>
      </c>
      <c r="F425" s="2">
        <f>IFERROR(__xludf.DUMMYFUNCTION("""COMPUTED_VALUE"""),1.43081797E8)</f>
        <v>143081797</v>
      </c>
      <c r="G425" s="2">
        <f t="shared" si="1"/>
        <v>60</v>
      </c>
    </row>
    <row r="426" ht="15.75" customHeight="1">
      <c r="A426" s="1">
        <f>IFERROR(__xludf.DUMMYFUNCTION("""COMPUTED_VALUE"""),44469.625)</f>
        <v>44469.625</v>
      </c>
      <c r="B426" s="2">
        <f>IFERROR(__xludf.DUMMYFUNCTION("""COMPUTED_VALUE"""),3760.0)</f>
        <v>3760</v>
      </c>
      <c r="C426" s="2">
        <f>IFERROR(__xludf.DUMMYFUNCTION("""COMPUTED_VALUE"""),3870.0)</f>
        <v>3870</v>
      </c>
      <c r="D426" s="2">
        <f>IFERROR(__xludf.DUMMYFUNCTION("""COMPUTED_VALUE"""),3750.0)</f>
        <v>3750</v>
      </c>
      <c r="E426" s="2">
        <f>IFERROR(__xludf.DUMMYFUNCTION("""COMPUTED_VALUE"""),3850.0)</f>
        <v>3850</v>
      </c>
      <c r="F426" s="2">
        <f>IFERROR(__xludf.DUMMYFUNCTION("""COMPUTED_VALUE"""),4.16099E8)</f>
        <v>416099000</v>
      </c>
      <c r="G426" s="2">
        <f t="shared" si="1"/>
        <v>130</v>
      </c>
    </row>
    <row r="427" ht="15.75" customHeight="1">
      <c r="A427" s="1">
        <f>IFERROR(__xludf.DUMMYFUNCTION("""COMPUTED_VALUE"""),44470.625)</f>
        <v>44470.625</v>
      </c>
      <c r="B427" s="2">
        <f>IFERROR(__xludf.DUMMYFUNCTION("""COMPUTED_VALUE"""),3850.0)</f>
        <v>3850</v>
      </c>
      <c r="C427" s="2">
        <f>IFERROR(__xludf.DUMMYFUNCTION("""COMPUTED_VALUE"""),3920.0)</f>
        <v>3920</v>
      </c>
      <c r="D427" s="2">
        <f>IFERROR(__xludf.DUMMYFUNCTION("""COMPUTED_VALUE"""),3830.0)</f>
        <v>3830</v>
      </c>
      <c r="E427" s="2">
        <f>IFERROR(__xludf.DUMMYFUNCTION("""COMPUTED_VALUE"""),3900.0)</f>
        <v>3900</v>
      </c>
      <c r="F427" s="2">
        <f>IFERROR(__xludf.DUMMYFUNCTION("""COMPUTED_VALUE"""),3.59864719E8)</f>
        <v>359864719</v>
      </c>
      <c r="G427" s="2">
        <f t="shared" si="1"/>
        <v>90</v>
      </c>
    </row>
    <row r="428" ht="15.75" customHeight="1">
      <c r="A428" s="1">
        <f>IFERROR(__xludf.DUMMYFUNCTION("""COMPUTED_VALUE"""),44473.625)</f>
        <v>44473.625</v>
      </c>
      <c r="B428" s="2">
        <f>IFERROR(__xludf.DUMMYFUNCTION("""COMPUTED_VALUE"""),3900.0)</f>
        <v>3900</v>
      </c>
      <c r="C428" s="2">
        <f>IFERROR(__xludf.DUMMYFUNCTION("""COMPUTED_VALUE"""),4010.0)</f>
        <v>4010</v>
      </c>
      <c r="D428" s="2">
        <f>IFERROR(__xludf.DUMMYFUNCTION("""COMPUTED_VALUE"""),3890.0)</f>
        <v>3890</v>
      </c>
      <c r="E428" s="2">
        <f>IFERROR(__xludf.DUMMYFUNCTION("""COMPUTED_VALUE"""),3970.0)</f>
        <v>3970</v>
      </c>
      <c r="F428" s="2">
        <f>IFERROR(__xludf.DUMMYFUNCTION("""COMPUTED_VALUE"""),3.35762594E8)</f>
        <v>335762594</v>
      </c>
      <c r="G428" s="2">
        <f t="shared" si="1"/>
        <v>120</v>
      </c>
    </row>
    <row r="429" ht="15.75" customHeight="1">
      <c r="A429" s="1">
        <f>IFERROR(__xludf.DUMMYFUNCTION("""COMPUTED_VALUE"""),44474.625)</f>
        <v>44474.625</v>
      </c>
      <c r="B429" s="2">
        <f>IFERROR(__xludf.DUMMYFUNCTION("""COMPUTED_VALUE"""),3950.0)</f>
        <v>3950</v>
      </c>
      <c r="C429" s="2">
        <f>IFERROR(__xludf.DUMMYFUNCTION("""COMPUTED_VALUE"""),3980.0)</f>
        <v>3980</v>
      </c>
      <c r="D429" s="2">
        <f>IFERROR(__xludf.DUMMYFUNCTION("""COMPUTED_VALUE"""),3910.0)</f>
        <v>3910</v>
      </c>
      <c r="E429" s="2">
        <f>IFERROR(__xludf.DUMMYFUNCTION("""COMPUTED_VALUE"""),3930.0)</f>
        <v>3930</v>
      </c>
      <c r="F429" s="2">
        <f>IFERROR(__xludf.DUMMYFUNCTION("""COMPUTED_VALUE"""),2.36562703E8)</f>
        <v>236562703</v>
      </c>
      <c r="G429" s="2">
        <f t="shared" si="1"/>
        <v>70</v>
      </c>
    </row>
    <row r="430" ht="15.75" customHeight="1">
      <c r="A430" s="1">
        <f>IFERROR(__xludf.DUMMYFUNCTION("""COMPUTED_VALUE"""),44475.625)</f>
        <v>44475.625</v>
      </c>
      <c r="B430" s="2">
        <f>IFERROR(__xludf.DUMMYFUNCTION("""COMPUTED_VALUE"""),3920.0)</f>
        <v>3920</v>
      </c>
      <c r="C430" s="2">
        <f>IFERROR(__xludf.DUMMYFUNCTION("""COMPUTED_VALUE"""),4150.0)</f>
        <v>4150</v>
      </c>
      <c r="D430" s="2">
        <f>IFERROR(__xludf.DUMMYFUNCTION("""COMPUTED_VALUE"""),3920.0)</f>
        <v>3920</v>
      </c>
      <c r="E430" s="2">
        <f>IFERROR(__xludf.DUMMYFUNCTION("""COMPUTED_VALUE"""),4120.0)</f>
        <v>4120</v>
      </c>
      <c r="F430" s="2">
        <f>IFERROR(__xludf.DUMMYFUNCTION("""COMPUTED_VALUE"""),4.46708812E8)</f>
        <v>446708812</v>
      </c>
      <c r="G430" s="2">
        <f t="shared" si="1"/>
        <v>230</v>
      </c>
    </row>
    <row r="431" ht="15.75" customHeight="1">
      <c r="A431" s="1">
        <f>IFERROR(__xludf.DUMMYFUNCTION("""COMPUTED_VALUE"""),44476.625)</f>
        <v>44476.625</v>
      </c>
      <c r="B431" s="2">
        <f>IFERROR(__xludf.DUMMYFUNCTION("""COMPUTED_VALUE"""),4150.0)</f>
        <v>4150</v>
      </c>
      <c r="C431" s="2">
        <f>IFERROR(__xludf.DUMMYFUNCTION("""COMPUTED_VALUE"""),4170.0)</f>
        <v>4170</v>
      </c>
      <c r="D431" s="2">
        <f>IFERROR(__xludf.DUMMYFUNCTION("""COMPUTED_VALUE"""),4070.0)</f>
        <v>4070</v>
      </c>
      <c r="E431" s="2">
        <f>IFERROR(__xludf.DUMMYFUNCTION("""COMPUTED_VALUE"""),4120.0)</f>
        <v>4120</v>
      </c>
      <c r="F431" s="2">
        <f>IFERROR(__xludf.DUMMYFUNCTION("""COMPUTED_VALUE"""),2.64905406E8)</f>
        <v>264905406</v>
      </c>
      <c r="G431" s="2">
        <f t="shared" si="1"/>
        <v>100</v>
      </c>
    </row>
    <row r="432" ht="15.75" customHeight="1">
      <c r="A432" s="1">
        <f>IFERROR(__xludf.DUMMYFUNCTION("""COMPUTED_VALUE"""),44477.625)</f>
        <v>44477.625</v>
      </c>
      <c r="B432" s="2">
        <f>IFERROR(__xludf.DUMMYFUNCTION("""COMPUTED_VALUE"""),4190.0)</f>
        <v>4190</v>
      </c>
      <c r="C432" s="2">
        <f>IFERROR(__xludf.DUMMYFUNCTION("""COMPUTED_VALUE"""),4240.0)</f>
        <v>4240</v>
      </c>
      <c r="D432" s="2">
        <f>IFERROR(__xludf.DUMMYFUNCTION("""COMPUTED_VALUE"""),4130.0)</f>
        <v>4130</v>
      </c>
      <c r="E432" s="2">
        <f>IFERROR(__xludf.DUMMYFUNCTION("""COMPUTED_VALUE"""),4160.0)</f>
        <v>4160</v>
      </c>
      <c r="F432" s="2">
        <f>IFERROR(__xludf.DUMMYFUNCTION("""COMPUTED_VALUE"""),1.96631594E8)</f>
        <v>196631594</v>
      </c>
      <c r="G432" s="2">
        <f t="shared" si="1"/>
        <v>120</v>
      </c>
    </row>
    <row r="433" ht="15.75" customHeight="1">
      <c r="A433" s="1">
        <f>IFERROR(__xludf.DUMMYFUNCTION("""COMPUTED_VALUE"""),44480.625)</f>
        <v>44480.625</v>
      </c>
      <c r="B433" s="2">
        <f>IFERROR(__xludf.DUMMYFUNCTION("""COMPUTED_VALUE"""),4160.0)</f>
        <v>4160</v>
      </c>
      <c r="C433" s="2">
        <f>IFERROR(__xludf.DUMMYFUNCTION("""COMPUTED_VALUE"""),4200.0)</f>
        <v>4200</v>
      </c>
      <c r="D433" s="2">
        <f>IFERROR(__xludf.DUMMYFUNCTION("""COMPUTED_VALUE"""),4130.0)</f>
        <v>4130</v>
      </c>
      <c r="E433" s="2">
        <f>IFERROR(__xludf.DUMMYFUNCTION("""COMPUTED_VALUE"""),4180.0)</f>
        <v>4180</v>
      </c>
      <c r="F433" s="2">
        <f>IFERROR(__xludf.DUMMYFUNCTION("""COMPUTED_VALUE"""),1.46720094E8)</f>
        <v>146720094</v>
      </c>
      <c r="G433" s="2">
        <f t="shared" si="1"/>
        <v>70</v>
      </c>
    </row>
    <row r="434" ht="15.75" customHeight="1">
      <c r="A434" s="1">
        <f>IFERROR(__xludf.DUMMYFUNCTION("""COMPUTED_VALUE"""),44481.66666666667)</f>
        <v>44481.66667</v>
      </c>
      <c r="B434" s="2">
        <f>IFERROR(__xludf.DUMMYFUNCTION("""COMPUTED_VALUE"""),4180.0)</f>
        <v>4180</v>
      </c>
      <c r="C434" s="2">
        <f>IFERROR(__xludf.DUMMYFUNCTION("""COMPUTED_VALUE"""),4240.0)</f>
        <v>4240</v>
      </c>
      <c r="D434" s="2">
        <f>IFERROR(__xludf.DUMMYFUNCTION("""COMPUTED_VALUE"""),4180.0)</f>
        <v>4180</v>
      </c>
      <c r="E434" s="2">
        <f>IFERROR(__xludf.DUMMYFUNCTION("""COMPUTED_VALUE"""),4220.0)</f>
        <v>4220</v>
      </c>
      <c r="F434" s="2">
        <f>IFERROR(__xludf.DUMMYFUNCTION("""COMPUTED_VALUE"""),2.41196E8)</f>
        <v>241196000</v>
      </c>
      <c r="G434" s="2">
        <f t="shared" si="1"/>
        <v>60</v>
      </c>
    </row>
    <row r="435" ht="15.75" customHeight="1">
      <c r="A435" s="1">
        <f>IFERROR(__xludf.DUMMYFUNCTION("""COMPUTED_VALUE"""),44482.625)</f>
        <v>44482.625</v>
      </c>
      <c r="B435" s="2">
        <f>IFERROR(__xludf.DUMMYFUNCTION("""COMPUTED_VALUE"""),4230.0)</f>
        <v>4230</v>
      </c>
      <c r="C435" s="2">
        <f>IFERROR(__xludf.DUMMYFUNCTION("""COMPUTED_VALUE"""),4300.0)</f>
        <v>4300</v>
      </c>
      <c r="D435" s="2">
        <f>IFERROR(__xludf.DUMMYFUNCTION("""COMPUTED_VALUE"""),4220.0)</f>
        <v>4220</v>
      </c>
      <c r="E435" s="2">
        <f>IFERROR(__xludf.DUMMYFUNCTION("""COMPUTED_VALUE"""),4280.0)</f>
        <v>4280</v>
      </c>
      <c r="F435" s="2">
        <f>IFERROR(__xludf.DUMMYFUNCTION("""COMPUTED_VALUE"""),2.64629406E8)</f>
        <v>264629406</v>
      </c>
      <c r="G435" s="2">
        <f t="shared" si="1"/>
        <v>80</v>
      </c>
    </row>
    <row r="436" ht="15.75" customHeight="1">
      <c r="A436" s="1">
        <f>IFERROR(__xludf.DUMMYFUNCTION("""COMPUTED_VALUE"""),44483.66666666667)</f>
        <v>44483.66667</v>
      </c>
      <c r="B436" s="2">
        <f>IFERROR(__xludf.DUMMYFUNCTION("""COMPUTED_VALUE"""),4280.0)</f>
        <v>4280</v>
      </c>
      <c r="C436" s="2">
        <f>IFERROR(__xludf.DUMMYFUNCTION("""COMPUTED_VALUE"""),4350.0)</f>
        <v>4350</v>
      </c>
      <c r="D436" s="2">
        <f>IFERROR(__xludf.DUMMYFUNCTION("""COMPUTED_VALUE"""),4230.0)</f>
        <v>4230</v>
      </c>
      <c r="E436" s="2">
        <f>IFERROR(__xludf.DUMMYFUNCTION("""COMPUTED_VALUE"""),4250.0)</f>
        <v>4250</v>
      </c>
      <c r="F436" s="2">
        <f>IFERROR(__xludf.DUMMYFUNCTION("""COMPUTED_VALUE"""),1.969895E8)</f>
        <v>196989500</v>
      </c>
      <c r="G436" s="2">
        <f t="shared" si="1"/>
        <v>120</v>
      </c>
    </row>
    <row r="437" ht="15.75" customHeight="1">
      <c r="A437" s="1">
        <f>IFERROR(__xludf.DUMMYFUNCTION("""COMPUTED_VALUE"""),44484.66666666667)</f>
        <v>44484.66667</v>
      </c>
      <c r="B437" s="2">
        <f>IFERROR(__xludf.DUMMYFUNCTION("""COMPUTED_VALUE"""),4250.0)</f>
        <v>4250</v>
      </c>
      <c r="C437" s="2">
        <f>IFERROR(__xludf.DUMMYFUNCTION("""COMPUTED_VALUE"""),4330.0)</f>
        <v>4330</v>
      </c>
      <c r="D437" s="2">
        <f>IFERROR(__xludf.DUMMYFUNCTION("""COMPUTED_VALUE"""),4220.0)</f>
        <v>4220</v>
      </c>
      <c r="E437" s="2">
        <f>IFERROR(__xludf.DUMMYFUNCTION("""COMPUTED_VALUE"""),4320.0)</f>
        <v>4320</v>
      </c>
      <c r="F437" s="2">
        <f>IFERROR(__xludf.DUMMYFUNCTION("""COMPUTED_VALUE"""),3.18189594E8)</f>
        <v>318189594</v>
      </c>
      <c r="G437" s="2">
        <f t="shared" si="1"/>
        <v>110</v>
      </c>
    </row>
    <row r="438" ht="15.75" customHeight="1">
      <c r="A438" s="1">
        <f>IFERROR(__xludf.DUMMYFUNCTION("""COMPUTED_VALUE"""),44487.625)</f>
        <v>44487.625</v>
      </c>
      <c r="B438" s="2">
        <f>IFERROR(__xludf.DUMMYFUNCTION("""COMPUTED_VALUE"""),4350.0)</f>
        <v>4350</v>
      </c>
      <c r="C438" s="2">
        <f>IFERROR(__xludf.DUMMYFUNCTION("""COMPUTED_VALUE"""),4410.0)</f>
        <v>4410</v>
      </c>
      <c r="D438" s="2">
        <f>IFERROR(__xludf.DUMMYFUNCTION("""COMPUTED_VALUE"""),4340.0)</f>
        <v>4340</v>
      </c>
      <c r="E438" s="2">
        <f>IFERROR(__xludf.DUMMYFUNCTION("""COMPUTED_VALUE"""),4410.0)</f>
        <v>4410</v>
      </c>
      <c r="F438" s="2">
        <f>IFERROR(__xludf.DUMMYFUNCTION("""COMPUTED_VALUE"""),2.86829E8)</f>
        <v>286829000</v>
      </c>
      <c r="G438" s="2">
        <f t="shared" si="1"/>
        <v>90</v>
      </c>
    </row>
    <row r="439" ht="15.75" customHeight="1">
      <c r="A439" s="1">
        <f>IFERROR(__xludf.DUMMYFUNCTION("""COMPUTED_VALUE"""),44488.625)</f>
        <v>44488.625</v>
      </c>
      <c r="B439" s="2">
        <f>IFERROR(__xludf.DUMMYFUNCTION("""COMPUTED_VALUE"""),4450.0)</f>
        <v>4450</v>
      </c>
      <c r="C439" s="2">
        <f>IFERROR(__xludf.DUMMYFUNCTION("""COMPUTED_VALUE"""),4450.0)</f>
        <v>4450</v>
      </c>
      <c r="D439" s="2">
        <f>IFERROR(__xludf.DUMMYFUNCTION("""COMPUTED_VALUE"""),4360.0)</f>
        <v>4360</v>
      </c>
      <c r="E439" s="2">
        <f>IFERROR(__xludf.DUMMYFUNCTION("""COMPUTED_VALUE"""),4400.0)</f>
        <v>4400</v>
      </c>
      <c r="F439" s="2">
        <f>IFERROR(__xludf.DUMMYFUNCTION("""COMPUTED_VALUE"""),1.61256297E8)</f>
        <v>161256297</v>
      </c>
      <c r="G439" s="2">
        <f t="shared" si="1"/>
        <v>90</v>
      </c>
    </row>
    <row r="440" ht="15.75" customHeight="1">
      <c r="A440" s="1">
        <f>IFERROR(__xludf.DUMMYFUNCTION("""COMPUTED_VALUE"""),44490.625)</f>
        <v>44490.625</v>
      </c>
      <c r="B440" s="2">
        <f>IFERROR(__xludf.DUMMYFUNCTION("""COMPUTED_VALUE"""),4450.0)</f>
        <v>4450</v>
      </c>
      <c r="C440" s="2">
        <f>IFERROR(__xludf.DUMMYFUNCTION("""COMPUTED_VALUE"""),4460.0)</f>
        <v>4460</v>
      </c>
      <c r="D440" s="2">
        <f>IFERROR(__xludf.DUMMYFUNCTION("""COMPUTED_VALUE"""),4320.0)</f>
        <v>4320</v>
      </c>
      <c r="E440" s="2">
        <f>IFERROR(__xludf.DUMMYFUNCTION("""COMPUTED_VALUE"""),4360.0)</f>
        <v>4360</v>
      </c>
      <c r="F440" s="2">
        <f>IFERROR(__xludf.DUMMYFUNCTION("""COMPUTED_VALUE"""),3.19230219E8)</f>
        <v>319230219</v>
      </c>
      <c r="G440" s="2">
        <f t="shared" si="1"/>
        <v>140</v>
      </c>
    </row>
    <row r="441" ht="15.75" customHeight="1">
      <c r="A441" s="1">
        <f>IFERROR(__xludf.DUMMYFUNCTION("""COMPUTED_VALUE"""),44491.625)</f>
        <v>44491.625</v>
      </c>
      <c r="B441" s="2">
        <f>IFERROR(__xludf.DUMMYFUNCTION("""COMPUTED_VALUE"""),4340.0)</f>
        <v>4340</v>
      </c>
      <c r="C441" s="2">
        <f>IFERROR(__xludf.DUMMYFUNCTION("""COMPUTED_VALUE"""),4400.0)</f>
        <v>4400</v>
      </c>
      <c r="D441" s="2">
        <f>IFERROR(__xludf.DUMMYFUNCTION("""COMPUTED_VALUE"""),4320.0)</f>
        <v>4320</v>
      </c>
      <c r="E441" s="2">
        <f>IFERROR(__xludf.DUMMYFUNCTION("""COMPUTED_VALUE"""),4400.0)</f>
        <v>4400</v>
      </c>
      <c r="F441" s="2">
        <f>IFERROR(__xludf.DUMMYFUNCTION("""COMPUTED_VALUE"""),1.60459297E8)</f>
        <v>160459297</v>
      </c>
      <c r="G441" s="2">
        <f t="shared" si="1"/>
        <v>80</v>
      </c>
    </row>
    <row r="442" ht="15.75" customHeight="1">
      <c r="A442" s="1">
        <f>IFERROR(__xludf.DUMMYFUNCTION("""COMPUTED_VALUE"""),44494.625)</f>
        <v>44494.625</v>
      </c>
      <c r="B442" s="2">
        <f>IFERROR(__xludf.DUMMYFUNCTION("""COMPUTED_VALUE"""),4330.0)</f>
        <v>4330</v>
      </c>
      <c r="C442" s="2">
        <f>IFERROR(__xludf.DUMMYFUNCTION("""COMPUTED_VALUE"""),4370.0)</f>
        <v>4370</v>
      </c>
      <c r="D442" s="2">
        <f>IFERROR(__xludf.DUMMYFUNCTION("""COMPUTED_VALUE"""),4300.0)</f>
        <v>4300</v>
      </c>
      <c r="E442" s="2">
        <f>IFERROR(__xludf.DUMMYFUNCTION("""COMPUTED_VALUE"""),4300.0)</f>
        <v>4300</v>
      </c>
      <c r="F442" s="2">
        <f>IFERROR(__xludf.DUMMYFUNCTION("""COMPUTED_VALUE"""),1.28240094E8)</f>
        <v>128240094</v>
      </c>
      <c r="G442" s="2">
        <f t="shared" si="1"/>
        <v>100</v>
      </c>
    </row>
    <row r="443" ht="15.75" customHeight="1">
      <c r="A443" s="1">
        <f>IFERROR(__xludf.DUMMYFUNCTION("""COMPUTED_VALUE"""),44495.625)</f>
        <v>44495.625</v>
      </c>
      <c r="B443" s="2">
        <f>IFERROR(__xludf.DUMMYFUNCTION("""COMPUTED_VALUE"""),4280.0)</f>
        <v>4280</v>
      </c>
      <c r="C443" s="2">
        <f>IFERROR(__xludf.DUMMYFUNCTION("""COMPUTED_VALUE"""),4370.0)</f>
        <v>4370</v>
      </c>
      <c r="D443" s="2">
        <f>IFERROR(__xludf.DUMMYFUNCTION("""COMPUTED_VALUE"""),4270.0)</f>
        <v>4270</v>
      </c>
      <c r="E443" s="2">
        <f>IFERROR(__xludf.DUMMYFUNCTION("""COMPUTED_VALUE"""),4350.0)</f>
        <v>4350</v>
      </c>
      <c r="F443" s="2">
        <f>IFERROR(__xludf.DUMMYFUNCTION("""COMPUTED_VALUE"""),1.08782398E8)</f>
        <v>108782398</v>
      </c>
      <c r="G443" s="2">
        <f t="shared" si="1"/>
        <v>100</v>
      </c>
    </row>
    <row r="444" ht="15.75" customHeight="1">
      <c r="A444" s="1">
        <f>IFERROR(__xludf.DUMMYFUNCTION("""COMPUTED_VALUE"""),44496.625)</f>
        <v>44496.625</v>
      </c>
      <c r="B444" s="2">
        <f>IFERROR(__xludf.DUMMYFUNCTION("""COMPUTED_VALUE"""),4330.0)</f>
        <v>4330</v>
      </c>
      <c r="C444" s="2">
        <f>IFERROR(__xludf.DUMMYFUNCTION("""COMPUTED_VALUE"""),4340.0)</f>
        <v>4340</v>
      </c>
      <c r="D444" s="2">
        <f>IFERROR(__xludf.DUMMYFUNCTION("""COMPUTED_VALUE"""),4260.0)</f>
        <v>4260</v>
      </c>
      <c r="E444" s="2">
        <f>IFERROR(__xludf.DUMMYFUNCTION("""COMPUTED_VALUE"""),4290.0)</f>
        <v>4290</v>
      </c>
      <c r="F444" s="2">
        <f>IFERROR(__xludf.DUMMYFUNCTION("""COMPUTED_VALUE"""),2.58038297E8)</f>
        <v>258038297</v>
      </c>
      <c r="G444" s="2">
        <f t="shared" si="1"/>
        <v>90</v>
      </c>
    </row>
    <row r="445" ht="15.75" customHeight="1">
      <c r="A445" s="1">
        <f>IFERROR(__xludf.DUMMYFUNCTION("""COMPUTED_VALUE"""),44497.625)</f>
        <v>44497.625</v>
      </c>
      <c r="B445" s="2">
        <f>IFERROR(__xludf.DUMMYFUNCTION("""COMPUTED_VALUE"""),4210.0)</f>
        <v>4210</v>
      </c>
      <c r="C445" s="2">
        <f>IFERROR(__xludf.DUMMYFUNCTION("""COMPUTED_VALUE"""),4300.0)</f>
        <v>4300</v>
      </c>
      <c r="D445" s="2">
        <f>IFERROR(__xludf.DUMMYFUNCTION("""COMPUTED_VALUE"""),4200.0)</f>
        <v>4200</v>
      </c>
      <c r="E445" s="2">
        <f>IFERROR(__xludf.DUMMYFUNCTION("""COMPUTED_VALUE"""),4240.0)</f>
        <v>4240</v>
      </c>
      <c r="F445" s="2">
        <f>IFERROR(__xludf.DUMMYFUNCTION("""COMPUTED_VALUE"""),1.59645203E8)</f>
        <v>159645203</v>
      </c>
      <c r="G445" s="2">
        <f t="shared" si="1"/>
        <v>100</v>
      </c>
    </row>
    <row r="446" ht="15.75" customHeight="1">
      <c r="A446" s="1">
        <f>IFERROR(__xludf.DUMMYFUNCTION("""COMPUTED_VALUE"""),44498.625)</f>
        <v>44498.625</v>
      </c>
      <c r="B446" s="2">
        <f>IFERROR(__xludf.DUMMYFUNCTION("""COMPUTED_VALUE"""),4300.0)</f>
        <v>4300</v>
      </c>
      <c r="C446" s="2">
        <f>IFERROR(__xludf.DUMMYFUNCTION("""COMPUTED_VALUE"""),4300.0)</f>
        <v>4300</v>
      </c>
      <c r="D446" s="2">
        <f>IFERROR(__xludf.DUMMYFUNCTION("""COMPUTED_VALUE"""),4220.0)</f>
        <v>4220</v>
      </c>
      <c r="E446" s="2">
        <f>IFERROR(__xludf.DUMMYFUNCTION("""COMPUTED_VALUE"""),4250.0)</f>
        <v>4250</v>
      </c>
      <c r="F446" s="2">
        <f>IFERROR(__xludf.DUMMYFUNCTION("""COMPUTED_VALUE"""),1.55011109E8)</f>
        <v>155011109</v>
      </c>
      <c r="G446" s="2">
        <f t="shared" si="1"/>
        <v>80</v>
      </c>
    </row>
    <row r="447" ht="15.75" customHeight="1">
      <c r="A447" s="1">
        <f>IFERROR(__xludf.DUMMYFUNCTION("""COMPUTED_VALUE"""),44501.625)</f>
        <v>44501.625</v>
      </c>
      <c r="B447" s="2">
        <f>IFERROR(__xludf.DUMMYFUNCTION("""COMPUTED_VALUE"""),4330.0)</f>
        <v>4330</v>
      </c>
      <c r="C447" s="2">
        <f>IFERROR(__xludf.DUMMYFUNCTION("""COMPUTED_VALUE"""),4330.0)</f>
        <v>4330</v>
      </c>
      <c r="D447" s="2">
        <f>IFERROR(__xludf.DUMMYFUNCTION("""COMPUTED_VALUE"""),4220.0)</f>
        <v>4220</v>
      </c>
      <c r="E447" s="2">
        <f>IFERROR(__xludf.DUMMYFUNCTION("""COMPUTED_VALUE"""),4230.0)</f>
        <v>4230</v>
      </c>
      <c r="F447" s="2">
        <f>IFERROR(__xludf.DUMMYFUNCTION("""COMPUTED_VALUE"""),1.02079297E8)</f>
        <v>102079297</v>
      </c>
      <c r="G447" s="2">
        <f t="shared" si="1"/>
        <v>110</v>
      </c>
    </row>
    <row r="448" ht="15.75" customHeight="1">
      <c r="A448" s="1">
        <f>IFERROR(__xludf.DUMMYFUNCTION("""COMPUTED_VALUE"""),44502.625)</f>
        <v>44502.625</v>
      </c>
      <c r="B448" s="2">
        <f>IFERROR(__xludf.DUMMYFUNCTION("""COMPUTED_VALUE"""),4270.0)</f>
        <v>4270</v>
      </c>
      <c r="C448" s="2">
        <f>IFERROR(__xludf.DUMMYFUNCTION("""COMPUTED_VALUE"""),4270.0)</f>
        <v>4270</v>
      </c>
      <c r="D448" s="2">
        <f>IFERROR(__xludf.DUMMYFUNCTION("""COMPUTED_VALUE"""),4210.0)</f>
        <v>4210</v>
      </c>
      <c r="E448" s="2">
        <f>IFERROR(__xludf.DUMMYFUNCTION("""COMPUTED_VALUE"""),4210.0)</f>
        <v>4210</v>
      </c>
      <c r="F448" s="2">
        <f>IFERROR(__xludf.DUMMYFUNCTION("""COMPUTED_VALUE"""),1.24799695E8)</f>
        <v>124799695</v>
      </c>
      <c r="G448" s="2">
        <f t="shared" si="1"/>
        <v>60</v>
      </c>
    </row>
    <row r="449" ht="15.75" customHeight="1">
      <c r="A449" s="1">
        <f>IFERROR(__xludf.DUMMYFUNCTION("""COMPUTED_VALUE"""),44503.625)</f>
        <v>44503.625</v>
      </c>
      <c r="B449" s="2">
        <f>IFERROR(__xludf.DUMMYFUNCTION("""COMPUTED_VALUE"""),4250.0)</f>
        <v>4250</v>
      </c>
      <c r="C449" s="2">
        <f>IFERROR(__xludf.DUMMYFUNCTION("""COMPUTED_VALUE"""),4300.0)</f>
        <v>4300</v>
      </c>
      <c r="D449" s="2">
        <f>IFERROR(__xludf.DUMMYFUNCTION("""COMPUTED_VALUE"""),4210.0)</f>
        <v>4210</v>
      </c>
      <c r="E449" s="2">
        <f>IFERROR(__xludf.DUMMYFUNCTION("""COMPUTED_VALUE"""),4290.0)</f>
        <v>4290</v>
      </c>
      <c r="F449" s="2">
        <f>IFERROR(__xludf.DUMMYFUNCTION("""COMPUTED_VALUE"""),1.00486305E8)</f>
        <v>100486305</v>
      </c>
      <c r="G449" s="2">
        <f t="shared" si="1"/>
        <v>90</v>
      </c>
    </row>
    <row r="450" ht="15.75" customHeight="1">
      <c r="A450" s="1">
        <f>IFERROR(__xludf.DUMMYFUNCTION("""COMPUTED_VALUE"""),44504.66666666667)</f>
        <v>44504.66667</v>
      </c>
      <c r="B450" s="2">
        <f>IFERROR(__xludf.DUMMYFUNCTION("""COMPUTED_VALUE"""),4330.0)</f>
        <v>4330</v>
      </c>
      <c r="C450" s="2">
        <f>IFERROR(__xludf.DUMMYFUNCTION("""COMPUTED_VALUE"""),4340.0)</f>
        <v>4340</v>
      </c>
      <c r="D450" s="2">
        <f>IFERROR(__xludf.DUMMYFUNCTION("""COMPUTED_VALUE"""),4250.0)</f>
        <v>4250</v>
      </c>
      <c r="E450" s="2">
        <f>IFERROR(__xludf.DUMMYFUNCTION("""COMPUTED_VALUE"""),4250.0)</f>
        <v>4250</v>
      </c>
      <c r="F450" s="2">
        <f>IFERROR(__xludf.DUMMYFUNCTION("""COMPUTED_VALUE"""),1.19591102E8)</f>
        <v>119591102</v>
      </c>
      <c r="G450" s="2">
        <f t="shared" si="1"/>
        <v>90</v>
      </c>
    </row>
    <row r="451" ht="15.75" customHeight="1">
      <c r="A451" s="1">
        <f>IFERROR(__xludf.DUMMYFUNCTION("""COMPUTED_VALUE"""),44505.625)</f>
        <v>44505.625</v>
      </c>
      <c r="B451" s="2">
        <f>IFERROR(__xludf.DUMMYFUNCTION("""COMPUTED_VALUE"""),4270.0)</f>
        <v>4270</v>
      </c>
      <c r="C451" s="2">
        <f>IFERROR(__xludf.DUMMYFUNCTION("""COMPUTED_VALUE"""),4270.0)</f>
        <v>4270</v>
      </c>
      <c r="D451" s="2">
        <f>IFERROR(__xludf.DUMMYFUNCTION("""COMPUTED_VALUE"""),4210.0)</f>
        <v>4210</v>
      </c>
      <c r="E451" s="2">
        <f>IFERROR(__xludf.DUMMYFUNCTION("""COMPUTED_VALUE"""),4240.0)</f>
        <v>4240</v>
      </c>
      <c r="F451" s="2">
        <f>IFERROR(__xludf.DUMMYFUNCTION("""COMPUTED_VALUE"""),7.4347E7)</f>
        <v>74347000</v>
      </c>
      <c r="G451" s="2">
        <f t="shared" si="1"/>
        <v>60</v>
      </c>
    </row>
    <row r="452" ht="15.75" customHeight="1">
      <c r="A452" s="1">
        <f>IFERROR(__xludf.DUMMYFUNCTION("""COMPUTED_VALUE"""),44508.625)</f>
        <v>44508.625</v>
      </c>
      <c r="B452" s="2">
        <f>IFERROR(__xludf.DUMMYFUNCTION("""COMPUTED_VALUE"""),4250.0)</f>
        <v>4250</v>
      </c>
      <c r="C452" s="2">
        <f>IFERROR(__xludf.DUMMYFUNCTION("""COMPUTED_VALUE"""),4260.0)</f>
        <v>4260</v>
      </c>
      <c r="D452" s="2">
        <f>IFERROR(__xludf.DUMMYFUNCTION("""COMPUTED_VALUE"""),4220.0)</f>
        <v>4220</v>
      </c>
      <c r="E452" s="2">
        <f>IFERROR(__xludf.DUMMYFUNCTION("""COMPUTED_VALUE"""),4230.0)</f>
        <v>4230</v>
      </c>
      <c r="F452" s="2">
        <f>IFERROR(__xludf.DUMMYFUNCTION("""COMPUTED_VALUE"""),7.9465602E7)</f>
        <v>79465602</v>
      </c>
      <c r="G452" s="2">
        <f t="shared" si="1"/>
        <v>40</v>
      </c>
    </row>
    <row r="453" ht="15.75" customHeight="1">
      <c r="A453" s="1">
        <f>IFERROR(__xludf.DUMMYFUNCTION("""COMPUTED_VALUE"""),44509.625)</f>
        <v>44509.625</v>
      </c>
      <c r="B453" s="2">
        <f>IFERROR(__xludf.DUMMYFUNCTION("""COMPUTED_VALUE"""),4230.0)</f>
        <v>4230</v>
      </c>
      <c r="C453" s="2">
        <f>IFERROR(__xludf.DUMMYFUNCTION("""COMPUTED_VALUE"""),4250.0)</f>
        <v>4250</v>
      </c>
      <c r="D453" s="2">
        <f>IFERROR(__xludf.DUMMYFUNCTION("""COMPUTED_VALUE"""),4220.0)</f>
        <v>4220</v>
      </c>
      <c r="E453" s="2">
        <f>IFERROR(__xludf.DUMMYFUNCTION("""COMPUTED_VALUE"""),4250.0)</f>
        <v>4250</v>
      </c>
      <c r="F453" s="2">
        <f>IFERROR(__xludf.DUMMYFUNCTION("""COMPUTED_VALUE"""),9.2453203E7)</f>
        <v>92453203</v>
      </c>
      <c r="G453" s="2">
        <f t="shared" si="1"/>
        <v>30</v>
      </c>
    </row>
    <row r="454" ht="15.75" customHeight="1">
      <c r="A454" s="1">
        <f>IFERROR(__xludf.DUMMYFUNCTION("""COMPUTED_VALUE"""),44510.625)</f>
        <v>44510.625</v>
      </c>
      <c r="B454" s="2">
        <f>IFERROR(__xludf.DUMMYFUNCTION("""COMPUTED_VALUE"""),4230.0)</f>
        <v>4230</v>
      </c>
      <c r="C454" s="2">
        <f>IFERROR(__xludf.DUMMYFUNCTION("""COMPUTED_VALUE"""),4260.0)</f>
        <v>4260</v>
      </c>
      <c r="D454" s="2">
        <f>IFERROR(__xludf.DUMMYFUNCTION("""COMPUTED_VALUE"""),4210.0)</f>
        <v>4210</v>
      </c>
      <c r="E454" s="2">
        <f>IFERROR(__xludf.DUMMYFUNCTION("""COMPUTED_VALUE"""),4250.0)</f>
        <v>4250</v>
      </c>
      <c r="F454" s="2">
        <f>IFERROR(__xludf.DUMMYFUNCTION("""COMPUTED_VALUE"""),6.9475398E7)</f>
        <v>69475398</v>
      </c>
      <c r="G454" s="2">
        <f t="shared" si="1"/>
        <v>50</v>
      </c>
    </row>
    <row r="455" ht="15.75" customHeight="1">
      <c r="A455" s="1">
        <f>IFERROR(__xludf.DUMMYFUNCTION("""COMPUTED_VALUE"""),44511.625)</f>
        <v>44511.625</v>
      </c>
      <c r="B455" s="2">
        <f>IFERROR(__xludf.DUMMYFUNCTION("""COMPUTED_VALUE"""),4290.0)</f>
        <v>4290</v>
      </c>
      <c r="C455" s="2">
        <f>IFERROR(__xludf.DUMMYFUNCTION("""COMPUTED_VALUE"""),4300.0)</f>
        <v>4300</v>
      </c>
      <c r="D455" s="2">
        <f>IFERROR(__xludf.DUMMYFUNCTION("""COMPUTED_VALUE"""),4230.0)</f>
        <v>4230</v>
      </c>
      <c r="E455" s="2">
        <f>IFERROR(__xludf.DUMMYFUNCTION("""COMPUTED_VALUE"""),4250.0)</f>
        <v>4250</v>
      </c>
      <c r="F455" s="2">
        <f>IFERROR(__xludf.DUMMYFUNCTION("""COMPUTED_VALUE"""),1.49637703E8)</f>
        <v>149637703</v>
      </c>
      <c r="G455" s="2">
        <f t="shared" si="1"/>
        <v>70</v>
      </c>
    </row>
    <row r="456" ht="15.75" customHeight="1">
      <c r="A456" s="1">
        <f>IFERROR(__xludf.DUMMYFUNCTION("""COMPUTED_VALUE"""),44512.625)</f>
        <v>44512.625</v>
      </c>
      <c r="B456" s="2">
        <f>IFERROR(__xludf.DUMMYFUNCTION("""COMPUTED_VALUE"""),4270.0)</f>
        <v>4270</v>
      </c>
      <c r="C456" s="2">
        <f>IFERROR(__xludf.DUMMYFUNCTION("""COMPUTED_VALUE"""),4290.0)</f>
        <v>4290</v>
      </c>
      <c r="D456" s="2">
        <f>IFERROR(__xludf.DUMMYFUNCTION("""COMPUTED_VALUE"""),4210.0)</f>
        <v>4210</v>
      </c>
      <c r="E456" s="2">
        <f>IFERROR(__xludf.DUMMYFUNCTION("""COMPUTED_VALUE"""),4220.0)</f>
        <v>4220</v>
      </c>
      <c r="F456" s="2">
        <f>IFERROR(__xludf.DUMMYFUNCTION("""COMPUTED_VALUE"""),8.0234398E7)</f>
        <v>80234398</v>
      </c>
      <c r="G456" s="2">
        <f t="shared" si="1"/>
        <v>80</v>
      </c>
    </row>
    <row r="457" ht="15.75" customHeight="1">
      <c r="A457" s="1">
        <f>IFERROR(__xludf.DUMMYFUNCTION("""COMPUTED_VALUE"""),44515.625)</f>
        <v>44515.625</v>
      </c>
      <c r="B457" s="2">
        <f>IFERROR(__xludf.DUMMYFUNCTION("""COMPUTED_VALUE"""),4220.0)</f>
        <v>4220</v>
      </c>
      <c r="C457" s="2">
        <f>IFERROR(__xludf.DUMMYFUNCTION("""COMPUTED_VALUE"""),4220.0)</f>
        <v>4220</v>
      </c>
      <c r="D457" s="2">
        <f>IFERROR(__xludf.DUMMYFUNCTION("""COMPUTED_VALUE"""),4140.0)</f>
        <v>4140</v>
      </c>
      <c r="E457" s="2">
        <f>IFERROR(__xludf.DUMMYFUNCTION("""COMPUTED_VALUE"""),4160.0)</f>
        <v>4160</v>
      </c>
      <c r="F457" s="2">
        <f>IFERROR(__xludf.DUMMYFUNCTION("""COMPUTED_VALUE"""),2.20142297E8)</f>
        <v>220142297</v>
      </c>
      <c r="G457" s="2">
        <f t="shared" si="1"/>
        <v>80</v>
      </c>
    </row>
    <row r="458" ht="15.75" customHeight="1">
      <c r="A458" s="1">
        <f>IFERROR(__xludf.DUMMYFUNCTION("""COMPUTED_VALUE"""),44516.625)</f>
        <v>44516.625</v>
      </c>
      <c r="B458" s="2">
        <f>IFERROR(__xludf.DUMMYFUNCTION("""COMPUTED_VALUE"""),4120.0)</f>
        <v>4120</v>
      </c>
      <c r="C458" s="2">
        <f>IFERROR(__xludf.DUMMYFUNCTION("""COMPUTED_VALUE"""),4170.0)</f>
        <v>4170</v>
      </c>
      <c r="D458" s="2">
        <f>IFERROR(__xludf.DUMMYFUNCTION("""COMPUTED_VALUE"""),4120.0)</f>
        <v>4120</v>
      </c>
      <c r="E458" s="2">
        <f>IFERROR(__xludf.DUMMYFUNCTION("""COMPUTED_VALUE"""),4130.0)</f>
        <v>4130</v>
      </c>
      <c r="F458" s="2">
        <f>IFERROR(__xludf.DUMMYFUNCTION("""COMPUTED_VALUE"""),1.63555016E8)</f>
        <v>163555016</v>
      </c>
      <c r="G458" s="2">
        <f t="shared" si="1"/>
        <v>50</v>
      </c>
    </row>
    <row r="459" ht="15.75" customHeight="1">
      <c r="A459" s="1">
        <f>IFERROR(__xludf.DUMMYFUNCTION("""COMPUTED_VALUE"""),44517.625)</f>
        <v>44517.625</v>
      </c>
      <c r="B459" s="2">
        <f>IFERROR(__xludf.DUMMYFUNCTION("""COMPUTED_VALUE"""),4170.0)</f>
        <v>4170</v>
      </c>
      <c r="C459" s="2">
        <f>IFERROR(__xludf.DUMMYFUNCTION("""COMPUTED_VALUE"""),4200.0)</f>
        <v>4200</v>
      </c>
      <c r="D459" s="2">
        <f>IFERROR(__xludf.DUMMYFUNCTION("""COMPUTED_VALUE"""),4160.0)</f>
        <v>4160</v>
      </c>
      <c r="E459" s="2">
        <f>IFERROR(__xludf.DUMMYFUNCTION("""COMPUTED_VALUE"""),4200.0)</f>
        <v>4200</v>
      </c>
      <c r="F459" s="2">
        <f>IFERROR(__xludf.DUMMYFUNCTION("""COMPUTED_VALUE"""),1.26523695E8)</f>
        <v>126523695</v>
      </c>
      <c r="G459" s="2">
        <f t="shared" si="1"/>
        <v>70</v>
      </c>
    </row>
    <row r="460" ht="15.75" customHeight="1">
      <c r="A460" s="1">
        <f>IFERROR(__xludf.DUMMYFUNCTION("""COMPUTED_VALUE"""),44518.625)</f>
        <v>44518.625</v>
      </c>
      <c r="B460" s="2">
        <f>IFERROR(__xludf.DUMMYFUNCTION("""COMPUTED_VALUE"""),4150.0)</f>
        <v>4150</v>
      </c>
      <c r="C460" s="2">
        <f>IFERROR(__xludf.DUMMYFUNCTION("""COMPUTED_VALUE"""),4190.0)</f>
        <v>4190</v>
      </c>
      <c r="D460" s="2">
        <f>IFERROR(__xludf.DUMMYFUNCTION("""COMPUTED_VALUE"""),4140.0)</f>
        <v>4140</v>
      </c>
      <c r="E460" s="2">
        <f>IFERROR(__xludf.DUMMYFUNCTION("""COMPUTED_VALUE"""),4180.0)</f>
        <v>4180</v>
      </c>
      <c r="F460" s="2">
        <f>IFERROR(__xludf.DUMMYFUNCTION("""COMPUTED_VALUE"""),1.14881203E8)</f>
        <v>114881203</v>
      </c>
      <c r="G460" s="2">
        <f t="shared" si="1"/>
        <v>60</v>
      </c>
    </row>
    <row r="461" ht="15.75" customHeight="1">
      <c r="A461" s="1">
        <f>IFERROR(__xludf.DUMMYFUNCTION("""COMPUTED_VALUE"""),44519.625)</f>
        <v>44519.625</v>
      </c>
      <c r="B461" s="2">
        <f>IFERROR(__xludf.DUMMYFUNCTION("""COMPUTED_VALUE"""),4220.0)</f>
        <v>4220</v>
      </c>
      <c r="C461" s="2">
        <f>IFERROR(__xludf.DUMMYFUNCTION("""COMPUTED_VALUE"""),4290.0)</f>
        <v>4290</v>
      </c>
      <c r="D461" s="2">
        <f>IFERROR(__xludf.DUMMYFUNCTION("""COMPUTED_VALUE"""),4220.0)</f>
        <v>4220</v>
      </c>
      <c r="E461" s="2">
        <f>IFERROR(__xludf.DUMMYFUNCTION("""COMPUTED_VALUE"""),4280.0)</f>
        <v>4280</v>
      </c>
      <c r="F461" s="2">
        <f>IFERROR(__xludf.DUMMYFUNCTION("""COMPUTED_VALUE"""),1.82167703E8)</f>
        <v>182167703</v>
      </c>
      <c r="G461" s="2">
        <f t="shared" si="1"/>
        <v>110</v>
      </c>
    </row>
    <row r="462" ht="15.75" customHeight="1">
      <c r="A462" s="1">
        <f>IFERROR(__xludf.DUMMYFUNCTION("""COMPUTED_VALUE"""),44522.625)</f>
        <v>44522.625</v>
      </c>
      <c r="B462" s="2">
        <f>IFERROR(__xludf.DUMMYFUNCTION("""COMPUTED_VALUE"""),4310.0)</f>
        <v>4310</v>
      </c>
      <c r="C462" s="2">
        <f>IFERROR(__xludf.DUMMYFUNCTION("""COMPUTED_VALUE"""),4310.0)</f>
        <v>4310</v>
      </c>
      <c r="D462" s="2">
        <f>IFERROR(__xludf.DUMMYFUNCTION("""COMPUTED_VALUE"""),4250.0)</f>
        <v>4250</v>
      </c>
      <c r="E462" s="2">
        <f>IFERROR(__xludf.DUMMYFUNCTION("""COMPUTED_VALUE"""),4280.0)</f>
        <v>4280</v>
      </c>
      <c r="F462" s="2">
        <f>IFERROR(__xludf.DUMMYFUNCTION("""COMPUTED_VALUE"""),1.51514E8)</f>
        <v>151514000</v>
      </c>
      <c r="G462" s="2">
        <f t="shared" si="1"/>
        <v>60</v>
      </c>
    </row>
    <row r="463" ht="15.75" customHeight="1">
      <c r="A463" s="1">
        <f>IFERROR(__xludf.DUMMYFUNCTION("""COMPUTED_VALUE"""),44523.625)</f>
        <v>44523.625</v>
      </c>
      <c r="B463" s="2">
        <f>IFERROR(__xludf.DUMMYFUNCTION("""COMPUTED_VALUE"""),4280.0)</f>
        <v>4280</v>
      </c>
      <c r="C463" s="2">
        <f>IFERROR(__xludf.DUMMYFUNCTION("""COMPUTED_VALUE"""),4280.0)</f>
        <v>4280</v>
      </c>
      <c r="D463" s="2">
        <f>IFERROR(__xludf.DUMMYFUNCTION("""COMPUTED_VALUE"""),4200.0)</f>
        <v>4200</v>
      </c>
      <c r="E463" s="2">
        <f>IFERROR(__xludf.DUMMYFUNCTION("""COMPUTED_VALUE"""),4210.0)</f>
        <v>4210</v>
      </c>
      <c r="F463" s="2">
        <f>IFERROR(__xludf.DUMMYFUNCTION("""COMPUTED_VALUE"""),1.04294203E8)</f>
        <v>104294203</v>
      </c>
      <c r="G463" s="2">
        <f t="shared" si="1"/>
        <v>80</v>
      </c>
    </row>
    <row r="464" ht="15.75" customHeight="1">
      <c r="A464" s="1">
        <f>IFERROR(__xludf.DUMMYFUNCTION("""COMPUTED_VALUE"""),44524.625)</f>
        <v>44524.625</v>
      </c>
      <c r="B464" s="2">
        <f>IFERROR(__xludf.DUMMYFUNCTION("""COMPUTED_VALUE"""),4200.0)</f>
        <v>4200</v>
      </c>
      <c r="C464" s="2">
        <f>IFERROR(__xludf.DUMMYFUNCTION("""COMPUTED_VALUE"""),4230.0)</f>
        <v>4230</v>
      </c>
      <c r="D464" s="2">
        <f>IFERROR(__xludf.DUMMYFUNCTION("""COMPUTED_VALUE"""),4190.0)</f>
        <v>4190</v>
      </c>
      <c r="E464" s="2">
        <f>IFERROR(__xludf.DUMMYFUNCTION("""COMPUTED_VALUE"""),4210.0)</f>
        <v>4210</v>
      </c>
      <c r="F464" s="2">
        <f>IFERROR(__xludf.DUMMYFUNCTION("""COMPUTED_VALUE"""),1.11072797E8)</f>
        <v>111072797</v>
      </c>
      <c r="G464" s="2">
        <f t="shared" si="1"/>
        <v>40</v>
      </c>
    </row>
    <row r="465" ht="15.75" customHeight="1">
      <c r="A465" s="1">
        <f>IFERROR(__xludf.DUMMYFUNCTION("""COMPUTED_VALUE"""),44525.625)</f>
        <v>44525.625</v>
      </c>
      <c r="B465" s="2">
        <f>IFERROR(__xludf.DUMMYFUNCTION("""COMPUTED_VALUE"""),4180.0)</f>
        <v>4180</v>
      </c>
      <c r="C465" s="2">
        <f>IFERROR(__xludf.DUMMYFUNCTION("""COMPUTED_VALUE"""),4250.0)</f>
        <v>4250</v>
      </c>
      <c r="D465" s="2">
        <f>IFERROR(__xludf.DUMMYFUNCTION("""COMPUTED_VALUE"""),4180.0)</f>
        <v>4180</v>
      </c>
      <c r="E465" s="2">
        <f>IFERROR(__xludf.DUMMYFUNCTION("""COMPUTED_VALUE"""),4220.0)</f>
        <v>4220</v>
      </c>
      <c r="F465" s="2">
        <f>IFERROR(__xludf.DUMMYFUNCTION("""COMPUTED_VALUE"""),1.23609398E8)</f>
        <v>123609398</v>
      </c>
      <c r="G465" s="2">
        <f t="shared" si="1"/>
        <v>70</v>
      </c>
    </row>
    <row r="466" ht="15.75" customHeight="1">
      <c r="A466" s="1">
        <f>IFERROR(__xludf.DUMMYFUNCTION("""COMPUTED_VALUE"""),44526.625)</f>
        <v>44526.625</v>
      </c>
      <c r="B466" s="2">
        <f>IFERROR(__xludf.DUMMYFUNCTION("""COMPUTED_VALUE"""),4190.0)</f>
        <v>4190</v>
      </c>
      <c r="C466" s="2">
        <f>IFERROR(__xludf.DUMMYFUNCTION("""COMPUTED_VALUE"""),4220.0)</f>
        <v>4220</v>
      </c>
      <c r="D466" s="2">
        <f>IFERROR(__xludf.DUMMYFUNCTION("""COMPUTED_VALUE"""),4150.0)</f>
        <v>4150</v>
      </c>
      <c r="E466" s="2">
        <f>IFERROR(__xludf.DUMMYFUNCTION("""COMPUTED_VALUE"""),4160.0)</f>
        <v>4160</v>
      </c>
      <c r="F466" s="2">
        <f>IFERROR(__xludf.DUMMYFUNCTION("""COMPUTED_VALUE"""),1.486525E8)</f>
        <v>148652500</v>
      </c>
      <c r="G466" s="2">
        <f t="shared" si="1"/>
        <v>70</v>
      </c>
    </row>
    <row r="467" ht="15.75" customHeight="1">
      <c r="A467" s="1">
        <f>IFERROR(__xludf.DUMMYFUNCTION("""COMPUTED_VALUE"""),44529.625)</f>
        <v>44529.625</v>
      </c>
      <c r="B467" s="2">
        <f>IFERROR(__xludf.DUMMYFUNCTION("""COMPUTED_VALUE"""),4150.0)</f>
        <v>4150</v>
      </c>
      <c r="C467" s="2">
        <f>IFERROR(__xludf.DUMMYFUNCTION("""COMPUTED_VALUE"""),4190.0)</f>
        <v>4190</v>
      </c>
      <c r="D467" s="2">
        <f>IFERROR(__xludf.DUMMYFUNCTION("""COMPUTED_VALUE"""),4080.0)</f>
        <v>4080</v>
      </c>
      <c r="E467" s="2">
        <f>IFERROR(__xludf.DUMMYFUNCTION("""COMPUTED_VALUE"""),4170.0)</f>
        <v>4170</v>
      </c>
      <c r="F467" s="2">
        <f>IFERROR(__xludf.DUMMYFUNCTION("""COMPUTED_VALUE"""),1.64312797E8)</f>
        <v>164312797</v>
      </c>
      <c r="G467" s="2">
        <f t="shared" si="1"/>
        <v>110</v>
      </c>
    </row>
    <row r="468" ht="15.75" customHeight="1">
      <c r="A468" s="1">
        <f>IFERROR(__xludf.DUMMYFUNCTION("""COMPUTED_VALUE"""),44530.625)</f>
        <v>44530.625</v>
      </c>
      <c r="B468" s="2">
        <f>IFERROR(__xludf.DUMMYFUNCTION("""COMPUTED_VALUE"""),4150.0)</f>
        <v>4150</v>
      </c>
      <c r="C468" s="2">
        <f>IFERROR(__xludf.DUMMYFUNCTION("""COMPUTED_VALUE"""),4220.0)</f>
        <v>4220</v>
      </c>
      <c r="D468" s="2">
        <f>IFERROR(__xludf.DUMMYFUNCTION("""COMPUTED_VALUE"""),4090.0)</f>
        <v>4090</v>
      </c>
      <c r="E468" s="2">
        <f>IFERROR(__xludf.DUMMYFUNCTION("""COMPUTED_VALUE"""),4090.0)</f>
        <v>4090</v>
      </c>
      <c r="F468" s="2">
        <f>IFERROR(__xludf.DUMMYFUNCTION("""COMPUTED_VALUE"""),3.16653188E8)</f>
        <v>316653188</v>
      </c>
      <c r="G468" s="2">
        <f t="shared" si="1"/>
        <v>130</v>
      </c>
    </row>
    <row r="469" ht="15.75" customHeight="1">
      <c r="A469" s="1">
        <f>IFERROR(__xludf.DUMMYFUNCTION("""COMPUTED_VALUE"""),44531.66666666667)</f>
        <v>44531.66667</v>
      </c>
      <c r="B469" s="2">
        <f>IFERROR(__xludf.DUMMYFUNCTION("""COMPUTED_VALUE"""),4090.0)</f>
        <v>4090</v>
      </c>
      <c r="C469" s="2">
        <f>IFERROR(__xludf.DUMMYFUNCTION("""COMPUTED_VALUE"""),4180.0)</f>
        <v>4180</v>
      </c>
      <c r="D469" s="2">
        <f>IFERROR(__xludf.DUMMYFUNCTION("""COMPUTED_VALUE"""),4070.0)</f>
        <v>4070</v>
      </c>
      <c r="E469" s="2">
        <f>IFERROR(__xludf.DUMMYFUNCTION("""COMPUTED_VALUE"""),4080.0)</f>
        <v>4080</v>
      </c>
      <c r="F469" s="2">
        <f>IFERROR(__xludf.DUMMYFUNCTION("""COMPUTED_VALUE"""),1.63457906E8)</f>
        <v>163457906</v>
      </c>
      <c r="G469" s="2">
        <f t="shared" si="1"/>
        <v>110</v>
      </c>
    </row>
    <row r="470" ht="15.75" customHeight="1">
      <c r="A470" s="1">
        <f>IFERROR(__xludf.DUMMYFUNCTION("""COMPUTED_VALUE"""),44532.66666666667)</f>
        <v>44532.66667</v>
      </c>
      <c r="B470" s="2">
        <f>IFERROR(__xludf.DUMMYFUNCTION("""COMPUTED_VALUE"""),4060.0)</f>
        <v>4060</v>
      </c>
      <c r="C470" s="2">
        <f>IFERROR(__xludf.DUMMYFUNCTION("""COMPUTED_VALUE"""),4220.0)</f>
        <v>4220</v>
      </c>
      <c r="D470" s="2">
        <f>IFERROR(__xludf.DUMMYFUNCTION("""COMPUTED_VALUE"""),4060.0)</f>
        <v>4060</v>
      </c>
      <c r="E470" s="2">
        <f>IFERROR(__xludf.DUMMYFUNCTION("""COMPUTED_VALUE"""),4200.0)</f>
        <v>4200</v>
      </c>
      <c r="F470" s="2">
        <f>IFERROR(__xludf.DUMMYFUNCTION("""COMPUTED_VALUE"""),1.39281797E8)</f>
        <v>139281797</v>
      </c>
      <c r="G470" s="2">
        <f t="shared" si="1"/>
        <v>160</v>
      </c>
    </row>
    <row r="471" ht="15.75" customHeight="1">
      <c r="A471" s="1">
        <f>IFERROR(__xludf.DUMMYFUNCTION("""COMPUTED_VALUE"""),44533.66666666667)</f>
        <v>44533.66667</v>
      </c>
      <c r="B471" s="2">
        <f>IFERROR(__xludf.DUMMYFUNCTION("""COMPUTED_VALUE"""),4210.0)</f>
        <v>4210</v>
      </c>
      <c r="C471" s="2">
        <f>IFERROR(__xludf.DUMMYFUNCTION("""COMPUTED_VALUE"""),4220.0)</f>
        <v>4220</v>
      </c>
      <c r="D471" s="2">
        <f>IFERROR(__xludf.DUMMYFUNCTION("""COMPUTED_VALUE"""),4170.0)</f>
        <v>4170</v>
      </c>
      <c r="E471" s="2">
        <f>IFERROR(__xludf.DUMMYFUNCTION("""COMPUTED_VALUE"""),4170.0)</f>
        <v>4170</v>
      </c>
      <c r="F471" s="2">
        <f>IFERROR(__xludf.DUMMYFUNCTION("""COMPUTED_VALUE"""),9.3227102E7)</f>
        <v>93227102</v>
      </c>
      <c r="G471" s="2">
        <f t="shared" si="1"/>
        <v>50</v>
      </c>
    </row>
    <row r="472" ht="15.75" customHeight="1">
      <c r="A472" s="1">
        <f>IFERROR(__xludf.DUMMYFUNCTION("""COMPUTED_VALUE"""),44536.66666666667)</f>
        <v>44536.66667</v>
      </c>
      <c r="B472" s="2">
        <f>IFERROR(__xludf.DUMMYFUNCTION("""COMPUTED_VALUE"""),4200.0)</f>
        <v>4200</v>
      </c>
      <c r="C472" s="2">
        <f>IFERROR(__xludf.DUMMYFUNCTION("""COMPUTED_VALUE"""),4220.0)</f>
        <v>4220</v>
      </c>
      <c r="D472" s="2">
        <f>IFERROR(__xludf.DUMMYFUNCTION("""COMPUTED_VALUE"""),4110.0)</f>
        <v>4110</v>
      </c>
      <c r="E472" s="2">
        <f>IFERROR(__xludf.DUMMYFUNCTION("""COMPUTED_VALUE"""),4110.0)</f>
        <v>4110</v>
      </c>
      <c r="F472" s="2">
        <f>IFERROR(__xludf.DUMMYFUNCTION("""COMPUTED_VALUE"""),1.0661E8)</f>
        <v>106610000</v>
      </c>
      <c r="G472" s="2">
        <f t="shared" si="1"/>
        <v>110</v>
      </c>
    </row>
    <row r="473" ht="15.75" customHeight="1">
      <c r="A473" s="1">
        <f>IFERROR(__xludf.DUMMYFUNCTION("""COMPUTED_VALUE"""),44537.66666666667)</f>
        <v>44537.66667</v>
      </c>
      <c r="B473" s="2">
        <f>IFERROR(__xludf.DUMMYFUNCTION("""COMPUTED_VALUE"""),4190.0)</f>
        <v>4190</v>
      </c>
      <c r="C473" s="2">
        <f>IFERROR(__xludf.DUMMYFUNCTION("""COMPUTED_VALUE"""),4230.0)</f>
        <v>4230</v>
      </c>
      <c r="D473" s="2">
        <f>IFERROR(__xludf.DUMMYFUNCTION("""COMPUTED_VALUE"""),4160.0)</f>
        <v>4160</v>
      </c>
      <c r="E473" s="2">
        <f>IFERROR(__xludf.DUMMYFUNCTION("""COMPUTED_VALUE"""),4230.0)</f>
        <v>4230</v>
      </c>
      <c r="F473" s="2">
        <f>IFERROR(__xludf.DUMMYFUNCTION("""COMPUTED_VALUE"""),1.82048E8)</f>
        <v>182048000</v>
      </c>
      <c r="G473" s="2">
        <f t="shared" si="1"/>
        <v>120</v>
      </c>
    </row>
    <row r="474" ht="15.75" customHeight="1">
      <c r="A474" s="1">
        <f>IFERROR(__xludf.DUMMYFUNCTION("""COMPUTED_VALUE"""),44538.66666666667)</f>
        <v>44538.66667</v>
      </c>
      <c r="B474" s="2">
        <f>IFERROR(__xludf.DUMMYFUNCTION("""COMPUTED_VALUE"""),4250.0)</f>
        <v>4250</v>
      </c>
      <c r="C474" s="2">
        <f>IFERROR(__xludf.DUMMYFUNCTION("""COMPUTED_VALUE"""),4250.0)</f>
        <v>4250</v>
      </c>
      <c r="D474" s="2">
        <f>IFERROR(__xludf.DUMMYFUNCTION("""COMPUTED_VALUE"""),4170.0)</f>
        <v>4170</v>
      </c>
      <c r="E474" s="2">
        <f>IFERROR(__xludf.DUMMYFUNCTION("""COMPUTED_VALUE"""),4210.0)</f>
        <v>4210</v>
      </c>
      <c r="F474" s="2">
        <f>IFERROR(__xludf.DUMMYFUNCTION("""COMPUTED_VALUE"""),1.43230203E8)</f>
        <v>143230203</v>
      </c>
      <c r="G474" s="2">
        <f t="shared" si="1"/>
        <v>80</v>
      </c>
    </row>
    <row r="475" ht="15.75" customHeight="1">
      <c r="A475" s="1">
        <f>IFERROR(__xludf.DUMMYFUNCTION("""COMPUTED_VALUE"""),44539.66666666667)</f>
        <v>44539.66667</v>
      </c>
      <c r="B475" s="2">
        <f>IFERROR(__xludf.DUMMYFUNCTION("""COMPUTED_VALUE"""),4220.0)</f>
        <v>4220</v>
      </c>
      <c r="C475" s="2">
        <f>IFERROR(__xludf.DUMMYFUNCTION("""COMPUTED_VALUE"""),4220.0)</f>
        <v>4220</v>
      </c>
      <c r="D475" s="2">
        <f>IFERROR(__xludf.DUMMYFUNCTION("""COMPUTED_VALUE"""),4160.0)</f>
        <v>4160</v>
      </c>
      <c r="E475" s="2">
        <f>IFERROR(__xludf.DUMMYFUNCTION("""COMPUTED_VALUE"""),4190.0)</f>
        <v>4190</v>
      </c>
      <c r="F475" s="2">
        <f>IFERROR(__xludf.DUMMYFUNCTION("""COMPUTED_VALUE"""),9.0471508E7)</f>
        <v>90471508</v>
      </c>
      <c r="G475" s="2">
        <f t="shared" si="1"/>
        <v>60</v>
      </c>
    </row>
    <row r="476" ht="15.75" customHeight="1">
      <c r="A476" s="1">
        <f>IFERROR(__xludf.DUMMYFUNCTION("""COMPUTED_VALUE"""),44540.66666666667)</f>
        <v>44540.66667</v>
      </c>
      <c r="B476" s="2">
        <f>IFERROR(__xludf.DUMMYFUNCTION("""COMPUTED_VALUE"""),4130.0)</f>
        <v>4130</v>
      </c>
      <c r="C476" s="2">
        <f>IFERROR(__xludf.DUMMYFUNCTION("""COMPUTED_VALUE"""),4160.0)</f>
        <v>4160</v>
      </c>
      <c r="D476" s="2">
        <f>IFERROR(__xludf.DUMMYFUNCTION("""COMPUTED_VALUE"""),4130.0)</f>
        <v>4130</v>
      </c>
      <c r="E476" s="2">
        <f>IFERROR(__xludf.DUMMYFUNCTION("""COMPUTED_VALUE"""),4130.0)</f>
        <v>4130</v>
      </c>
      <c r="F476" s="2">
        <f>IFERROR(__xludf.DUMMYFUNCTION("""COMPUTED_VALUE"""),1.22999203E8)</f>
        <v>122999203</v>
      </c>
      <c r="G476" s="2">
        <f t="shared" si="1"/>
        <v>60</v>
      </c>
    </row>
    <row r="477" ht="15.75" customHeight="1">
      <c r="A477" s="1">
        <f>IFERROR(__xludf.DUMMYFUNCTION("""COMPUTED_VALUE"""),44543.66666666667)</f>
        <v>44543.66667</v>
      </c>
      <c r="B477" s="2">
        <f>IFERROR(__xludf.DUMMYFUNCTION("""COMPUTED_VALUE"""),4170.0)</f>
        <v>4170</v>
      </c>
      <c r="C477" s="2">
        <f>IFERROR(__xludf.DUMMYFUNCTION("""COMPUTED_VALUE"""),4200.0)</f>
        <v>4200</v>
      </c>
      <c r="D477" s="2">
        <f>IFERROR(__xludf.DUMMYFUNCTION("""COMPUTED_VALUE"""),4160.0)</f>
        <v>4160</v>
      </c>
      <c r="E477" s="2">
        <f>IFERROR(__xludf.DUMMYFUNCTION("""COMPUTED_VALUE"""),4160.0)</f>
        <v>4160</v>
      </c>
      <c r="F477" s="2">
        <f>IFERROR(__xludf.DUMMYFUNCTION("""COMPUTED_VALUE"""),8.6848898E7)</f>
        <v>86848898</v>
      </c>
      <c r="G477" s="2">
        <f t="shared" si="1"/>
        <v>70</v>
      </c>
    </row>
    <row r="478" ht="15.75" customHeight="1">
      <c r="A478" s="1">
        <f>IFERROR(__xludf.DUMMYFUNCTION("""COMPUTED_VALUE"""),44544.66666666667)</f>
        <v>44544.66667</v>
      </c>
      <c r="B478" s="2">
        <f>IFERROR(__xludf.DUMMYFUNCTION("""COMPUTED_VALUE"""),4150.0)</f>
        <v>4150</v>
      </c>
      <c r="C478" s="2">
        <f>IFERROR(__xludf.DUMMYFUNCTION("""COMPUTED_VALUE"""),4160.0)</f>
        <v>4160</v>
      </c>
      <c r="D478" s="2">
        <f>IFERROR(__xludf.DUMMYFUNCTION("""COMPUTED_VALUE"""),4130.0)</f>
        <v>4130</v>
      </c>
      <c r="E478" s="2">
        <f>IFERROR(__xludf.DUMMYFUNCTION("""COMPUTED_VALUE"""),4130.0)</f>
        <v>4130</v>
      </c>
      <c r="F478" s="2">
        <f>IFERROR(__xludf.DUMMYFUNCTION("""COMPUTED_VALUE"""),1.0011E8)</f>
        <v>100110000</v>
      </c>
      <c r="G478" s="2">
        <f t="shared" si="1"/>
        <v>30</v>
      </c>
    </row>
    <row r="479" ht="15.75" customHeight="1">
      <c r="A479" s="1">
        <f>IFERROR(__xludf.DUMMYFUNCTION("""COMPUTED_VALUE"""),44545.66666666667)</f>
        <v>44545.66667</v>
      </c>
      <c r="B479" s="2">
        <f>IFERROR(__xludf.DUMMYFUNCTION("""COMPUTED_VALUE"""),4150.0)</f>
        <v>4150</v>
      </c>
      <c r="C479" s="2">
        <f>IFERROR(__xludf.DUMMYFUNCTION("""COMPUTED_VALUE"""),4230.0)</f>
        <v>4230</v>
      </c>
      <c r="D479" s="2">
        <f>IFERROR(__xludf.DUMMYFUNCTION("""COMPUTED_VALUE"""),4140.0)</f>
        <v>4140</v>
      </c>
      <c r="E479" s="2">
        <f>IFERROR(__xludf.DUMMYFUNCTION("""COMPUTED_VALUE"""),4200.0)</f>
        <v>4200</v>
      </c>
      <c r="F479" s="2">
        <f>IFERROR(__xludf.DUMMYFUNCTION("""COMPUTED_VALUE"""),1.24522797E8)</f>
        <v>124522797</v>
      </c>
      <c r="G479" s="2">
        <f t="shared" si="1"/>
        <v>100</v>
      </c>
    </row>
    <row r="480" ht="15.75" customHeight="1">
      <c r="A480" s="1">
        <f>IFERROR(__xludf.DUMMYFUNCTION("""COMPUTED_VALUE"""),44546.66666666667)</f>
        <v>44546.66667</v>
      </c>
      <c r="B480" s="2">
        <f>IFERROR(__xludf.DUMMYFUNCTION("""COMPUTED_VALUE"""),4220.0)</f>
        <v>4220</v>
      </c>
      <c r="C480" s="2">
        <f>IFERROR(__xludf.DUMMYFUNCTION("""COMPUTED_VALUE"""),4220.0)</f>
        <v>4220</v>
      </c>
      <c r="D480" s="2">
        <f>IFERROR(__xludf.DUMMYFUNCTION("""COMPUTED_VALUE"""),4120.0)</f>
        <v>4120</v>
      </c>
      <c r="E480" s="2">
        <f>IFERROR(__xludf.DUMMYFUNCTION("""COMPUTED_VALUE"""),4140.0)</f>
        <v>4140</v>
      </c>
      <c r="F480" s="2">
        <f>IFERROR(__xludf.DUMMYFUNCTION("""COMPUTED_VALUE"""),1.36646594E8)</f>
        <v>136646594</v>
      </c>
      <c r="G480" s="2">
        <f t="shared" si="1"/>
        <v>100</v>
      </c>
    </row>
    <row r="481" ht="15.75" customHeight="1">
      <c r="A481" s="1">
        <f>IFERROR(__xludf.DUMMYFUNCTION("""COMPUTED_VALUE"""),44547.66666666667)</f>
        <v>44547.66667</v>
      </c>
      <c r="B481" s="2">
        <f>IFERROR(__xludf.DUMMYFUNCTION("""COMPUTED_VALUE"""),4090.0)</f>
        <v>4090</v>
      </c>
      <c r="C481" s="2">
        <f>IFERROR(__xludf.DUMMYFUNCTION("""COMPUTED_VALUE"""),4140.0)</f>
        <v>4140</v>
      </c>
      <c r="D481" s="2">
        <f>IFERROR(__xludf.DUMMYFUNCTION("""COMPUTED_VALUE"""),4090.0)</f>
        <v>4090</v>
      </c>
      <c r="E481" s="2">
        <f>IFERROR(__xludf.DUMMYFUNCTION("""COMPUTED_VALUE"""),4110.0)</f>
        <v>4110</v>
      </c>
      <c r="F481" s="2">
        <f>IFERROR(__xludf.DUMMYFUNCTION("""COMPUTED_VALUE"""),1.53165406E8)</f>
        <v>153165406</v>
      </c>
      <c r="G481" s="2">
        <f t="shared" si="1"/>
        <v>50</v>
      </c>
    </row>
    <row r="482" ht="15.75" customHeight="1">
      <c r="A482" s="1">
        <f>IFERROR(__xludf.DUMMYFUNCTION("""COMPUTED_VALUE"""),44550.66666666667)</f>
        <v>44550.66667</v>
      </c>
      <c r="B482" s="2">
        <f>IFERROR(__xludf.DUMMYFUNCTION("""COMPUTED_VALUE"""),4070.0)</f>
        <v>4070</v>
      </c>
      <c r="C482" s="2">
        <f>IFERROR(__xludf.DUMMYFUNCTION("""COMPUTED_VALUE"""),4130.0)</f>
        <v>4130</v>
      </c>
      <c r="D482" s="2">
        <f>IFERROR(__xludf.DUMMYFUNCTION("""COMPUTED_VALUE"""),4060.0)</f>
        <v>4060</v>
      </c>
      <c r="E482" s="2">
        <f>IFERROR(__xludf.DUMMYFUNCTION("""COMPUTED_VALUE"""),4120.0)</f>
        <v>4120</v>
      </c>
      <c r="F482" s="2">
        <f>IFERROR(__xludf.DUMMYFUNCTION("""COMPUTED_VALUE"""),8.9198898E7)</f>
        <v>89198898</v>
      </c>
      <c r="G482" s="2">
        <f t="shared" si="1"/>
        <v>70</v>
      </c>
    </row>
    <row r="483" ht="15.75" customHeight="1">
      <c r="A483" s="1">
        <f>IFERROR(__xludf.DUMMYFUNCTION("""COMPUTED_VALUE"""),44551.66666666667)</f>
        <v>44551.66667</v>
      </c>
      <c r="B483" s="2">
        <f>IFERROR(__xludf.DUMMYFUNCTION("""COMPUTED_VALUE"""),4100.0)</f>
        <v>4100</v>
      </c>
      <c r="C483" s="2">
        <f>IFERROR(__xludf.DUMMYFUNCTION("""COMPUTED_VALUE"""),4120.0)</f>
        <v>4120</v>
      </c>
      <c r="D483" s="2">
        <f>IFERROR(__xludf.DUMMYFUNCTION("""COMPUTED_VALUE"""),4080.0)</f>
        <v>4080</v>
      </c>
      <c r="E483" s="2">
        <f>IFERROR(__xludf.DUMMYFUNCTION("""COMPUTED_VALUE"""),4080.0)</f>
        <v>4080</v>
      </c>
      <c r="F483" s="2">
        <f>IFERROR(__xludf.DUMMYFUNCTION("""COMPUTED_VALUE"""),1.09561797E8)</f>
        <v>109561797</v>
      </c>
      <c r="G483" s="2">
        <f t="shared" si="1"/>
        <v>40</v>
      </c>
    </row>
    <row r="484" ht="15.75" customHeight="1">
      <c r="A484" s="1">
        <f>IFERROR(__xludf.DUMMYFUNCTION("""COMPUTED_VALUE"""),44552.66666666667)</f>
        <v>44552.66667</v>
      </c>
      <c r="B484" s="2">
        <f>IFERROR(__xludf.DUMMYFUNCTION("""COMPUTED_VALUE"""),4100.0)</f>
        <v>4100</v>
      </c>
      <c r="C484" s="2">
        <f>IFERROR(__xludf.DUMMYFUNCTION("""COMPUTED_VALUE"""),4110.0)</f>
        <v>4110</v>
      </c>
      <c r="D484" s="2">
        <f>IFERROR(__xludf.DUMMYFUNCTION("""COMPUTED_VALUE"""),4050.0)</f>
        <v>4050</v>
      </c>
      <c r="E484" s="2">
        <f>IFERROR(__xludf.DUMMYFUNCTION("""COMPUTED_VALUE"""),4050.0)</f>
        <v>4050</v>
      </c>
      <c r="F484" s="2">
        <f>IFERROR(__xludf.DUMMYFUNCTION("""COMPUTED_VALUE"""),1.04738E8)</f>
        <v>104738000</v>
      </c>
      <c r="G484" s="2">
        <f t="shared" si="1"/>
        <v>60</v>
      </c>
    </row>
    <row r="485" ht="15.75" customHeight="1">
      <c r="A485" s="1">
        <f>IFERROR(__xludf.DUMMYFUNCTION("""COMPUTED_VALUE"""),44553.66666666667)</f>
        <v>44553.66667</v>
      </c>
      <c r="B485" s="2">
        <f>IFERROR(__xludf.DUMMYFUNCTION("""COMPUTED_VALUE"""),4090.0)</f>
        <v>4090</v>
      </c>
      <c r="C485" s="2">
        <f>IFERROR(__xludf.DUMMYFUNCTION("""COMPUTED_VALUE"""),4110.0)</f>
        <v>4110</v>
      </c>
      <c r="D485" s="2">
        <f>IFERROR(__xludf.DUMMYFUNCTION("""COMPUTED_VALUE"""),4060.0)</f>
        <v>4060</v>
      </c>
      <c r="E485" s="2">
        <f>IFERROR(__xludf.DUMMYFUNCTION("""COMPUTED_VALUE"""),4100.0)</f>
        <v>4100</v>
      </c>
      <c r="F485" s="2">
        <f>IFERROR(__xludf.DUMMYFUNCTION("""COMPUTED_VALUE"""),7.2736797E7)</f>
        <v>72736797</v>
      </c>
      <c r="G485" s="2">
        <f t="shared" si="1"/>
        <v>60</v>
      </c>
    </row>
    <row r="486" ht="15.75" customHeight="1">
      <c r="A486" s="1">
        <f>IFERROR(__xludf.DUMMYFUNCTION("""COMPUTED_VALUE"""),44554.66666666667)</f>
        <v>44554.66667</v>
      </c>
      <c r="B486" s="2">
        <f>IFERROR(__xludf.DUMMYFUNCTION("""COMPUTED_VALUE"""),4100.0)</f>
        <v>4100</v>
      </c>
      <c r="C486" s="2">
        <f>IFERROR(__xludf.DUMMYFUNCTION("""COMPUTED_VALUE"""),4120.0)</f>
        <v>4120</v>
      </c>
      <c r="D486" s="2">
        <f>IFERROR(__xludf.DUMMYFUNCTION("""COMPUTED_VALUE"""),4050.0)</f>
        <v>4050</v>
      </c>
      <c r="E486" s="2">
        <f>IFERROR(__xludf.DUMMYFUNCTION("""COMPUTED_VALUE"""),4070.0)</f>
        <v>4070</v>
      </c>
      <c r="F486" s="2">
        <f>IFERROR(__xludf.DUMMYFUNCTION("""COMPUTED_VALUE"""),5.9795E7)</f>
        <v>59795000</v>
      </c>
      <c r="G486" s="2">
        <f t="shared" si="1"/>
        <v>70</v>
      </c>
    </row>
    <row r="487" ht="15.75" customHeight="1">
      <c r="A487" s="1">
        <f>IFERROR(__xludf.DUMMYFUNCTION("""COMPUTED_VALUE"""),44557.66666666667)</f>
        <v>44557.66667</v>
      </c>
      <c r="B487" s="2">
        <f>IFERROR(__xludf.DUMMYFUNCTION("""COMPUTED_VALUE"""),4070.0)</f>
        <v>4070</v>
      </c>
      <c r="C487" s="2">
        <f>IFERROR(__xludf.DUMMYFUNCTION("""COMPUTED_VALUE"""),4110.0)</f>
        <v>4110</v>
      </c>
      <c r="D487" s="2">
        <f>IFERROR(__xludf.DUMMYFUNCTION("""COMPUTED_VALUE"""),4060.0)</f>
        <v>4060</v>
      </c>
      <c r="E487" s="2">
        <f>IFERROR(__xludf.DUMMYFUNCTION("""COMPUTED_VALUE"""),4060.0)</f>
        <v>4060</v>
      </c>
      <c r="F487" s="2">
        <f>IFERROR(__xludf.DUMMYFUNCTION("""COMPUTED_VALUE"""),6.5491199E7)</f>
        <v>65491199</v>
      </c>
      <c r="G487" s="2">
        <f t="shared" si="1"/>
        <v>50</v>
      </c>
    </row>
    <row r="488" ht="15.75" customHeight="1">
      <c r="A488" s="1">
        <f>IFERROR(__xludf.DUMMYFUNCTION("""COMPUTED_VALUE"""),44558.66666666667)</f>
        <v>44558.66667</v>
      </c>
      <c r="B488" s="2">
        <f>IFERROR(__xludf.DUMMYFUNCTION("""COMPUTED_VALUE"""),4090.0)</f>
        <v>4090</v>
      </c>
      <c r="C488" s="2">
        <f>IFERROR(__xludf.DUMMYFUNCTION("""COMPUTED_VALUE"""),4110.0)</f>
        <v>4110</v>
      </c>
      <c r="D488" s="2">
        <f>IFERROR(__xludf.DUMMYFUNCTION("""COMPUTED_VALUE"""),4070.0)</f>
        <v>4070</v>
      </c>
      <c r="E488" s="2">
        <f>IFERROR(__xludf.DUMMYFUNCTION("""COMPUTED_VALUE"""),4090.0)</f>
        <v>4090</v>
      </c>
      <c r="F488" s="2">
        <f>IFERROR(__xludf.DUMMYFUNCTION("""COMPUTED_VALUE"""),5.29525E7)</f>
        <v>52952500</v>
      </c>
      <c r="G488" s="2">
        <f t="shared" si="1"/>
        <v>50</v>
      </c>
    </row>
    <row r="489" ht="15.75" customHeight="1">
      <c r="A489" s="1">
        <f>IFERROR(__xludf.DUMMYFUNCTION("""COMPUTED_VALUE"""),44559.66666666667)</f>
        <v>44559.66667</v>
      </c>
      <c r="B489" s="2">
        <f>IFERROR(__xludf.DUMMYFUNCTION("""COMPUTED_VALUE"""),4090.0)</f>
        <v>4090</v>
      </c>
      <c r="C489" s="2">
        <f>IFERROR(__xludf.DUMMYFUNCTION("""COMPUTED_VALUE"""),4100.0)</f>
        <v>4100</v>
      </c>
      <c r="D489" s="2">
        <f>IFERROR(__xludf.DUMMYFUNCTION("""COMPUTED_VALUE"""),4070.0)</f>
        <v>4070</v>
      </c>
      <c r="E489" s="2">
        <f>IFERROR(__xludf.DUMMYFUNCTION("""COMPUTED_VALUE"""),4080.0)</f>
        <v>4080</v>
      </c>
      <c r="F489" s="2">
        <f>IFERROR(__xludf.DUMMYFUNCTION("""COMPUTED_VALUE"""),2.76765E7)</f>
        <v>27676500</v>
      </c>
      <c r="G489" s="2">
        <f t="shared" si="1"/>
        <v>30</v>
      </c>
    </row>
    <row r="490" ht="15.75" customHeight="1">
      <c r="A490" s="1">
        <f>IFERROR(__xludf.DUMMYFUNCTION("""COMPUTED_VALUE"""),44560.66666666667)</f>
        <v>44560.66667</v>
      </c>
      <c r="B490" s="2">
        <f>IFERROR(__xludf.DUMMYFUNCTION("""COMPUTED_VALUE"""),4080.0)</f>
        <v>4080</v>
      </c>
      <c r="C490" s="2">
        <f>IFERROR(__xludf.DUMMYFUNCTION("""COMPUTED_VALUE"""),4140.0)</f>
        <v>4140</v>
      </c>
      <c r="D490" s="2">
        <f>IFERROR(__xludf.DUMMYFUNCTION("""COMPUTED_VALUE"""),4060.0)</f>
        <v>4060</v>
      </c>
      <c r="E490" s="2">
        <f>IFERROR(__xludf.DUMMYFUNCTION("""COMPUTED_VALUE"""),4110.0)</f>
        <v>4110</v>
      </c>
      <c r="F490" s="2">
        <f>IFERROR(__xludf.DUMMYFUNCTION("""COMPUTED_VALUE"""),1.46989406E8)</f>
        <v>146989406</v>
      </c>
      <c r="G490" s="2">
        <f t="shared" si="1"/>
        <v>80</v>
      </c>
    </row>
    <row r="491" ht="15.75" customHeight="1">
      <c r="A491" s="1">
        <f>IFERROR(__xludf.DUMMYFUNCTION("""COMPUTED_VALUE"""),44564.66666666667)</f>
        <v>44564.66667</v>
      </c>
      <c r="B491" s="2">
        <f>IFERROR(__xludf.DUMMYFUNCTION("""COMPUTED_VALUE"""),4120.0)</f>
        <v>4120</v>
      </c>
      <c r="C491" s="2">
        <f>IFERROR(__xludf.DUMMYFUNCTION("""COMPUTED_VALUE"""),4190.0)</f>
        <v>4190</v>
      </c>
      <c r="D491" s="2">
        <f>IFERROR(__xludf.DUMMYFUNCTION("""COMPUTED_VALUE"""),4090.0)</f>
        <v>4090</v>
      </c>
      <c r="E491" s="2">
        <f>IFERROR(__xludf.DUMMYFUNCTION("""COMPUTED_VALUE"""),4180.0)</f>
        <v>4180</v>
      </c>
      <c r="F491" s="2">
        <f>IFERROR(__xludf.DUMMYFUNCTION("""COMPUTED_VALUE"""),9.08425E7)</f>
        <v>90842500</v>
      </c>
      <c r="G491" s="2">
        <f t="shared" si="1"/>
        <v>100</v>
      </c>
    </row>
    <row r="492" ht="15.75" customHeight="1">
      <c r="A492" s="1">
        <f>IFERROR(__xludf.DUMMYFUNCTION("""COMPUTED_VALUE"""),44565.66666666667)</f>
        <v>44565.66667</v>
      </c>
      <c r="B492" s="2">
        <f>IFERROR(__xludf.DUMMYFUNCTION("""COMPUTED_VALUE"""),4200.0)</f>
        <v>4200</v>
      </c>
      <c r="C492" s="2">
        <f>IFERROR(__xludf.DUMMYFUNCTION("""COMPUTED_VALUE"""),4210.0)</f>
        <v>4210</v>
      </c>
      <c r="D492" s="2">
        <f>IFERROR(__xludf.DUMMYFUNCTION("""COMPUTED_VALUE"""),4160.0)</f>
        <v>4160</v>
      </c>
      <c r="E492" s="2">
        <f>IFERROR(__xludf.DUMMYFUNCTION("""COMPUTED_VALUE"""),4160.0)</f>
        <v>4160</v>
      </c>
      <c r="F492" s="2">
        <f>IFERROR(__xludf.DUMMYFUNCTION("""COMPUTED_VALUE"""),9.395E7)</f>
        <v>93950000</v>
      </c>
      <c r="G492" s="2">
        <f t="shared" si="1"/>
        <v>50</v>
      </c>
    </row>
    <row r="493" ht="15.75" customHeight="1">
      <c r="A493" s="1">
        <f>IFERROR(__xludf.DUMMYFUNCTION("""COMPUTED_VALUE"""),44566.66666666667)</f>
        <v>44566.66667</v>
      </c>
      <c r="B493" s="2">
        <f>IFERROR(__xludf.DUMMYFUNCTION("""COMPUTED_VALUE"""),4180.0)</f>
        <v>4180</v>
      </c>
      <c r="C493" s="2">
        <f>IFERROR(__xludf.DUMMYFUNCTION("""COMPUTED_VALUE"""),4230.0)</f>
        <v>4230</v>
      </c>
      <c r="D493" s="2">
        <f>IFERROR(__xludf.DUMMYFUNCTION("""COMPUTED_VALUE"""),4130.0)</f>
        <v>4130</v>
      </c>
      <c r="E493" s="2">
        <f>IFERROR(__xludf.DUMMYFUNCTION("""COMPUTED_VALUE"""),4210.0)</f>
        <v>4210</v>
      </c>
      <c r="F493" s="2">
        <f>IFERROR(__xludf.DUMMYFUNCTION("""COMPUTED_VALUE"""),1.743764E8)</f>
        <v>174376400</v>
      </c>
      <c r="G493" s="2">
        <f t="shared" si="1"/>
        <v>100</v>
      </c>
    </row>
    <row r="494" ht="15.75" customHeight="1">
      <c r="A494" s="1">
        <f>IFERROR(__xludf.DUMMYFUNCTION("""COMPUTED_VALUE"""),44567.66666666667)</f>
        <v>44567.66667</v>
      </c>
      <c r="B494" s="2">
        <f>IFERROR(__xludf.DUMMYFUNCTION("""COMPUTED_VALUE"""),4240.0)</f>
        <v>4240</v>
      </c>
      <c r="C494" s="2">
        <f>IFERROR(__xludf.DUMMYFUNCTION("""COMPUTED_VALUE"""),4240.0)</f>
        <v>4240</v>
      </c>
      <c r="D494" s="2">
        <f>IFERROR(__xludf.DUMMYFUNCTION("""COMPUTED_VALUE"""),4140.0)</f>
        <v>4140</v>
      </c>
      <c r="E494" s="2">
        <f>IFERROR(__xludf.DUMMYFUNCTION("""COMPUTED_VALUE"""),4160.0)</f>
        <v>4160</v>
      </c>
      <c r="F494" s="2">
        <f>IFERROR(__xludf.DUMMYFUNCTION("""COMPUTED_VALUE"""),1.3728E8)</f>
        <v>137280000</v>
      </c>
      <c r="G494" s="2">
        <f t="shared" si="1"/>
        <v>100</v>
      </c>
    </row>
    <row r="495" ht="15.75" customHeight="1">
      <c r="A495" s="1">
        <f>IFERROR(__xludf.DUMMYFUNCTION("""COMPUTED_VALUE"""),44568.66666666667)</f>
        <v>44568.66667</v>
      </c>
      <c r="B495" s="2">
        <f>IFERROR(__xludf.DUMMYFUNCTION("""COMPUTED_VALUE"""),4170.0)</f>
        <v>4170</v>
      </c>
      <c r="C495" s="2">
        <f>IFERROR(__xludf.DUMMYFUNCTION("""COMPUTED_VALUE"""),4200.0)</f>
        <v>4200</v>
      </c>
      <c r="D495" s="2">
        <f>IFERROR(__xludf.DUMMYFUNCTION("""COMPUTED_VALUE"""),4150.0)</f>
        <v>4150</v>
      </c>
      <c r="E495" s="2">
        <f>IFERROR(__xludf.DUMMYFUNCTION("""COMPUTED_VALUE"""),4190.0)</f>
        <v>4190</v>
      </c>
      <c r="F495" s="2">
        <f>IFERROR(__xludf.DUMMYFUNCTION("""COMPUTED_VALUE"""),1.01275E8)</f>
        <v>101275000</v>
      </c>
      <c r="G495" s="2">
        <f t="shared" si="1"/>
        <v>50</v>
      </c>
    </row>
    <row r="496" ht="15.75" customHeight="1">
      <c r="A496" s="1">
        <f>IFERROR(__xludf.DUMMYFUNCTION("""COMPUTED_VALUE"""),44571.66666666667)</f>
        <v>44571.66667</v>
      </c>
      <c r="B496" s="2">
        <f>IFERROR(__xludf.DUMMYFUNCTION("""COMPUTED_VALUE"""),4190.0)</f>
        <v>4190</v>
      </c>
      <c r="C496" s="2">
        <f>IFERROR(__xludf.DUMMYFUNCTION("""COMPUTED_VALUE"""),4210.0)</f>
        <v>4210</v>
      </c>
      <c r="D496" s="2">
        <f>IFERROR(__xludf.DUMMYFUNCTION("""COMPUTED_VALUE"""),4180.0)</f>
        <v>4180</v>
      </c>
      <c r="E496" s="2">
        <f>IFERROR(__xludf.DUMMYFUNCTION("""COMPUTED_VALUE"""),4180.0)</f>
        <v>4180</v>
      </c>
      <c r="F496" s="2">
        <f>IFERROR(__xludf.DUMMYFUNCTION("""COMPUTED_VALUE"""),7.07226E7)</f>
        <v>70722600</v>
      </c>
      <c r="G496" s="2">
        <f t="shared" si="1"/>
        <v>30</v>
      </c>
    </row>
    <row r="497" ht="15.75" customHeight="1">
      <c r="A497" s="1">
        <f>IFERROR(__xludf.DUMMYFUNCTION("""COMPUTED_VALUE"""),44572.66666666667)</f>
        <v>44572.66667</v>
      </c>
      <c r="B497" s="2">
        <f>IFERROR(__xludf.DUMMYFUNCTION("""COMPUTED_VALUE"""),4180.0)</f>
        <v>4180</v>
      </c>
      <c r="C497" s="2">
        <f>IFERROR(__xludf.DUMMYFUNCTION("""COMPUTED_VALUE"""),4180.0)</f>
        <v>4180</v>
      </c>
      <c r="D497" s="2">
        <f>IFERROR(__xludf.DUMMYFUNCTION("""COMPUTED_VALUE"""),4130.0)</f>
        <v>4130</v>
      </c>
      <c r="E497" s="2">
        <f>IFERROR(__xludf.DUMMYFUNCTION("""COMPUTED_VALUE"""),4150.0)</f>
        <v>4150</v>
      </c>
      <c r="F497" s="2">
        <f>IFERROR(__xludf.DUMMYFUNCTION("""COMPUTED_VALUE"""),9.94049E7)</f>
        <v>99404900</v>
      </c>
      <c r="G497" s="2">
        <f t="shared" si="1"/>
        <v>50</v>
      </c>
    </row>
    <row r="498" ht="15.75" customHeight="1">
      <c r="A498" s="1">
        <f>IFERROR(__xludf.DUMMYFUNCTION("""COMPUTED_VALUE"""),44573.66666666667)</f>
        <v>44573.66667</v>
      </c>
      <c r="B498" s="2">
        <f>IFERROR(__xludf.DUMMYFUNCTION("""COMPUTED_VALUE"""),4170.0)</f>
        <v>4170</v>
      </c>
      <c r="C498" s="2">
        <f>IFERROR(__xludf.DUMMYFUNCTION("""COMPUTED_VALUE"""),4180.0)</f>
        <v>4180</v>
      </c>
      <c r="D498" s="2">
        <f>IFERROR(__xludf.DUMMYFUNCTION("""COMPUTED_VALUE"""),4130.0)</f>
        <v>4130</v>
      </c>
      <c r="E498" s="2">
        <f>IFERROR(__xludf.DUMMYFUNCTION("""COMPUTED_VALUE"""),4160.0)</f>
        <v>4160</v>
      </c>
      <c r="F498" s="2">
        <f>IFERROR(__xludf.DUMMYFUNCTION("""COMPUTED_VALUE"""),6.5907E7)</f>
        <v>65907000</v>
      </c>
      <c r="G498" s="2">
        <f t="shared" si="1"/>
        <v>50</v>
      </c>
    </row>
    <row r="499" ht="15.75" customHeight="1">
      <c r="A499" s="1">
        <f>IFERROR(__xludf.DUMMYFUNCTION("""COMPUTED_VALUE"""),44574.66666666667)</f>
        <v>44574.66667</v>
      </c>
      <c r="B499" s="2">
        <f>IFERROR(__xludf.DUMMYFUNCTION("""COMPUTED_VALUE"""),4180.0)</f>
        <v>4180</v>
      </c>
      <c r="C499" s="2">
        <f>IFERROR(__xludf.DUMMYFUNCTION("""COMPUTED_VALUE"""),4190.0)</f>
        <v>4190</v>
      </c>
      <c r="D499" s="2">
        <f>IFERROR(__xludf.DUMMYFUNCTION("""COMPUTED_VALUE"""),4170.0)</f>
        <v>4170</v>
      </c>
      <c r="E499" s="2">
        <f>IFERROR(__xludf.DUMMYFUNCTION("""COMPUTED_VALUE"""),4190.0)</f>
        <v>4190</v>
      </c>
      <c r="F499" s="2">
        <f>IFERROR(__xludf.DUMMYFUNCTION("""COMPUTED_VALUE"""),1.035224E8)</f>
        <v>103522400</v>
      </c>
      <c r="G499" s="2">
        <f t="shared" si="1"/>
        <v>30</v>
      </c>
    </row>
    <row r="500" ht="15.75" customHeight="1">
      <c r="A500" s="1">
        <f>IFERROR(__xludf.DUMMYFUNCTION("""COMPUTED_VALUE"""),44575.66666666667)</f>
        <v>44575.66667</v>
      </c>
      <c r="B500" s="2">
        <f>IFERROR(__xludf.DUMMYFUNCTION("""COMPUTED_VALUE"""),4190.0)</f>
        <v>4190</v>
      </c>
      <c r="C500" s="2">
        <f>IFERROR(__xludf.DUMMYFUNCTION("""COMPUTED_VALUE"""),4210.0)</f>
        <v>4210</v>
      </c>
      <c r="D500" s="2">
        <f>IFERROR(__xludf.DUMMYFUNCTION("""COMPUTED_VALUE"""),4160.0)</f>
        <v>4160</v>
      </c>
      <c r="E500" s="2">
        <f>IFERROR(__xludf.DUMMYFUNCTION("""COMPUTED_VALUE"""),4180.0)</f>
        <v>4180</v>
      </c>
      <c r="F500" s="2">
        <f>IFERROR(__xludf.DUMMYFUNCTION("""COMPUTED_VALUE"""),1.102138E8)</f>
        <v>110213800</v>
      </c>
      <c r="G500" s="2">
        <f t="shared" si="1"/>
        <v>50</v>
      </c>
    </row>
    <row r="501" ht="15.75" customHeight="1">
      <c r="A501" s="1">
        <f>IFERROR(__xludf.DUMMYFUNCTION("""COMPUTED_VALUE"""),44578.66666666667)</f>
        <v>44578.66667</v>
      </c>
      <c r="B501" s="2">
        <f>IFERROR(__xludf.DUMMYFUNCTION("""COMPUTED_VALUE"""),4200.0)</f>
        <v>4200</v>
      </c>
      <c r="C501" s="2">
        <f>IFERROR(__xludf.DUMMYFUNCTION("""COMPUTED_VALUE"""),4210.0)</f>
        <v>4210</v>
      </c>
      <c r="D501" s="2">
        <f>IFERROR(__xludf.DUMMYFUNCTION("""COMPUTED_VALUE"""),4180.0)</f>
        <v>4180</v>
      </c>
      <c r="E501" s="2">
        <f>IFERROR(__xludf.DUMMYFUNCTION("""COMPUTED_VALUE"""),4210.0)</f>
        <v>4210</v>
      </c>
      <c r="F501" s="2">
        <f>IFERROR(__xludf.DUMMYFUNCTION("""COMPUTED_VALUE"""),1.029571E8)</f>
        <v>102957100</v>
      </c>
      <c r="G501" s="2">
        <f t="shared" si="1"/>
        <v>30</v>
      </c>
    </row>
    <row r="502" ht="15.75" customHeight="1">
      <c r="A502" s="1">
        <f>IFERROR(__xludf.DUMMYFUNCTION("""COMPUTED_VALUE"""),44579.66666666667)</f>
        <v>44579.66667</v>
      </c>
      <c r="B502" s="2">
        <f>IFERROR(__xludf.DUMMYFUNCTION("""COMPUTED_VALUE"""),4240.0)</f>
        <v>4240</v>
      </c>
      <c r="C502" s="2">
        <f>IFERROR(__xludf.DUMMYFUNCTION("""COMPUTED_VALUE"""),4240.0)</f>
        <v>4240</v>
      </c>
      <c r="D502" s="2">
        <f>IFERROR(__xludf.DUMMYFUNCTION("""COMPUTED_VALUE"""),4140.0)</f>
        <v>4140</v>
      </c>
      <c r="E502" s="2">
        <f>IFERROR(__xludf.DUMMYFUNCTION("""COMPUTED_VALUE"""),4190.0)</f>
        <v>4190</v>
      </c>
      <c r="F502" s="2">
        <f>IFERROR(__xludf.DUMMYFUNCTION("""COMPUTED_VALUE"""),1.20275E8)</f>
        <v>120275000</v>
      </c>
      <c r="G502" s="2">
        <f t="shared" si="1"/>
        <v>100</v>
      </c>
    </row>
    <row r="503" ht="15.75" customHeight="1">
      <c r="A503" s="1">
        <f>IFERROR(__xludf.DUMMYFUNCTION("""COMPUTED_VALUE"""),44580.66666666667)</f>
        <v>44580.66667</v>
      </c>
      <c r="B503" s="2">
        <f>IFERROR(__xludf.DUMMYFUNCTION("""COMPUTED_VALUE"""),4210.0)</f>
        <v>4210</v>
      </c>
      <c r="C503" s="2">
        <f>IFERROR(__xludf.DUMMYFUNCTION("""COMPUTED_VALUE"""),4210.0)</f>
        <v>4210</v>
      </c>
      <c r="D503" s="2">
        <f>IFERROR(__xludf.DUMMYFUNCTION("""COMPUTED_VALUE"""),4130.0)</f>
        <v>4130</v>
      </c>
      <c r="E503" s="2">
        <f>IFERROR(__xludf.DUMMYFUNCTION("""COMPUTED_VALUE"""),4130.0)</f>
        <v>4130</v>
      </c>
      <c r="F503" s="2">
        <f>IFERROR(__xludf.DUMMYFUNCTION("""COMPUTED_VALUE"""),1.099547E8)</f>
        <v>109954700</v>
      </c>
      <c r="G503" s="2">
        <f t="shared" si="1"/>
        <v>80</v>
      </c>
    </row>
    <row r="504" ht="15.75" customHeight="1">
      <c r="A504" s="1">
        <f>IFERROR(__xludf.DUMMYFUNCTION("""COMPUTED_VALUE"""),44581.66666666667)</f>
        <v>44581.66667</v>
      </c>
      <c r="B504" s="2">
        <f>IFERROR(__xludf.DUMMYFUNCTION("""COMPUTED_VALUE"""),4130.0)</f>
        <v>4130</v>
      </c>
      <c r="C504" s="2">
        <f>IFERROR(__xludf.DUMMYFUNCTION("""COMPUTED_VALUE"""),4160.0)</f>
        <v>4160</v>
      </c>
      <c r="D504" s="2">
        <f>IFERROR(__xludf.DUMMYFUNCTION("""COMPUTED_VALUE"""),4110.0)</f>
        <v>4110</v>
      </c>
      <c r="E504" s="2">
        <f>IFERROR(__xludf.DUMMYFUNCTION("""COMPUTED_VALUE"""),4130.0)</f>
        <v>4130</v>
      </c>
      <c r="F504" s="2">
        <f>IFERROR(__xludf.DUMMYFUNCTION("""COMPUTED_VALUE"""),8.63946E7)</f>
        <v>86394600</v>
      </c>
      <c r="G504" s="2">
        <f t="shared" si="1"/>
        <v>50</v>
      </c>
    </row>
    <row r="505" ht="15.75" customHeight="1">
      <c r="A505" s="1">
        <f>IFERROR(__xludf.DUMMYFUNCTION("""COMPUTED_VALUE"""),44582.66666666667)</f>
        <v>44582.66667</v>
      </c>
      <c r="B505" s="2">
        <f>IFERROR(__xludf.DUMMYFUNCTION("""COMPUTED_VALUE"""),4130.0)</f>
        <v>4130</v>
      </c>
      <c r="C505" s="2">
        <f>IFERROR(__xludf.DUMMYFUNCTION("""COMPUTED_VALUE"""),4170.0)</f>
        <v>4170</v>
      </c>
      <c r="D505" s="2">
        <f>IFERROR(__xludf.DUMMYFUNCTION("""COMPUTED_VALUE"""),4110.0)</f>
        <v>4110</v>
      </c>
      <c r="E505" s="2">
        <f>IFERROR(__xludf.DUMMYFUNCTION("""COMPUTED_VALUE"""),4170.0)</f>
        <v>4170</v>
      </c>
      <c r="F505" s="2">
        <f>IFERROR(__xludf.DUMMYFUNCTION("""COMPUTED_VALUE"""),8.49725E7)</f>
        <v>84972500</v>
      </c>
      <c r="G505" s="2">
        <f t="shared" si="1"/>
        <v>60</v>
      </c>
    </row>
    <row r="506" ht="15.75" customHeight="1">
      <c r="A506" s="1">
        <f>IFERROR(__xludf.DUMMYFUNCTION("""COMPUTED_VALUE"""),44585.66666666667)</f>
        <v>44585.66667</v>
      </c>
      <c r="B506" s="2">
        <f>IFERROR(__xludf.DUMMYFUNCTION("""COMPUTED_VALUE"""),4140.0)</f>
        <v>4140</v>
      </c>
      <c r="C506" s="2">
        <f>IFERROR(__xludf.DUMMYFUNCTION("""COMPUTED_VALUE"""),4160.0)</f>
        <v>4160</v>
      </c>
      <c r="D506" s="2">
        <f>IFERROR(__xludf.DUMMYFUNCTION("""COMPUTED_VALUE"""),4100.0)</f>
        <v>4100</v>
      </c>
      <c r="E506" s="2">
        <f>IFERROR(__xludf.DUMMYFUNCTION("""COMPUTED_VALUE"""),4120.0)</f>
        <v>4120</v>
      </c>
      <c r="F506" s="2">
        <f>IFERROR(__xludf.DUMMYFUNCTION("""COMPUTED_VALUE"""),7.67099E7)</f>
        <v>76709900</v>
      </c>
      <c r="G506" s="2">
        <f t="shared" si="1"/>
        <v>70</v>
      </c>
    </row>
    <row r="507" ht="15.75" customHeight="1">
      <c r="A507" s="1">
        <f>IFERROR(__xludf.DUMMYFUNCTION("""COMPUTED_VALUE"""),44586.66666666667)</f>
        <v>44586.66667</v>
      </c>
      <c r="B507" s="2">
        <f>IFERROR(__xludf.DUMMYFUNCTION("""COMPUTED_VALUE"""),4100.0)</f>
        <v>4100</v>
      </c>
      <c r="C507" s="2">
        <f>IFERROR(__xludf.DUMMYFUNCTION("""COMPUTED_VALUE"""),4110.0)</f>
        <v>4110</v>
      </c>
      <c r="D507" s="2">
        <f>IFERROR(__xludf.DUMMYFUNCTION("""COMPUTED_VALUE"""),4000.0)</f>
        <v>4000</v>
      </c>
      <c r="E507" s="2">
        <f>IFERROR(__xludf.DUMMYFUNCTION("""COMPUTED_VALUE"""),4070.0)</f>
        <v>4070</v>
      </c>
      <c r="F507" s="2">
        <f>IFERROR(__xludf.DUMMYFUNCTION("""COMPUTED_VALUE"""),1.850078E8)</f>
        <v>185007800</v>
      </c>
      <c r="G507" s="2">
        <f t="shared" si="1"/>
        <v>120</v>
      </c>
    </row>
    <row r="508" ht="15.75" customHeight="1">
      <c r="A508" s="1">
        <f>IFERROR(__xludf.DUMMYFUNCTION("""COMPUTED_VALUE"""),44587.66666666667)</f>
        <v>44587.66667</v>
      </c>
      <c r="B508" s="2">
        <f>IFERROR(__xludf.DUMMYFUNCTION("""COMPUTED_VALUE"""),4030.0)</f>
        <v>4030</v>
      </c>
      <c r="C508" s="2">
        <f>IFERROR(__xludf.DUMMYFUNCTION("""COMPUTED_VALUE"""),4100.0)</f>
        <v>4100</v>
      </c>
      <c r="D508" s="2">
        <f>IFERROR(__xludf.DUMMYFUNCTION("""COMPUTED_VALUE"""),4030.0)</f>
        <v>4030</v>
      </c>
      <c r="E508" s="2">
        <f>IFERROR(__xludf.DUMMYFUNCTION("""COMPUTED_VALUE"""),4090.0)</f>
        <v>4090</v>
      </c>
      <c r="F508" s="2">
        <f>IFERROR(__xludf.DUMMYFUNCTION("""COMPUTED_VALUE"""),9.75895E7)</f>
        <v>97589500</v>
      </c>
      <c r="G508" s="2">
        <f t="shared" si="1"/>
        <v>70</v>
      </c>
    </row>
    <row r="509" ht="15.75" customHeight="1">
      <c r="A509" s="1">
        <f>IFERROR(__xludf.DUMMYFUNCTION("""COMPUTED_VALUE"""),44588.66666666667)</f>
        <v>44588.66667</v>
      </c>
      <c r="B509" s="2">
        <f>IFERROR(__xludf.DUMMYFUNCTION("""COMPUTED_VALUE"""),4070.0)</f>
        <v>4070</v>
      </c>
      <c r="C509" s="2">
        <f>IFERROR(__xludf.DUMMYFUNCTION("""COMPUTED_VALUE"""),4140.0)</f>
        <v>4140</v>
      </c>
      <c r="D509" s="2">
        <f>IFERROR(__xludf.DUMMYFUNCTION("""COMPUTED_VALUE"""),4060.0)</f>
        <v>4060</v>
      </c>
      <c r="E509" s="2">
        <f>IFERROR(__xludf.DUMMYFUNCTION("""COMPUTED_VALUE"""),4140.0)</f>
        <v>4140</v>
      </c>
      <c r="F509" s="2">
        <f>IFERROR(__xludf.DUMMYFUNCTION("""COMPUTED_VALUE"""),8.06829E7)</f>
        <v>80682900</v>
      </c>
      <c r="G509" s="2">
        <f t="shared" si="1"/>
        <v>80</v>
      </c>
    </row>
    <row r="510" ht="15.75" customHeight="1">
      <c r="A510" s="1">
        <f>IFERROR(__xludf.DUMMYFUNCTION("""COMPUTED_VALUE"""),44589.66666666667)</f>
        <v>44589.66667</v>
      </c>
      <c r="B510" s="2">
        <f>IFERROR(__xludf.DUMMYFUNCTION("""COMPUTED_VALUE"""),4170.0)</f>
        <v>4170</v>
      </c>
      <c r="C510" s="2">
        <f>IFERROR(__xludf.DUMMYFUNCTION("""COMPUTED_VALUE"""),4170.0)</f>
        <v>4170</v>
      </c>
      <c r="D510" s="2">
        <f>IFERROR(__xludf.DUMMYFUNCTION("""COMPUTED_VALUE"""),4090.0)</f>
        <v>4090</v>
      </c>
      <c r="E510" s="2">
        <f>IFERROR(__xludf.DUMMYFUNCTION("""COMPUTED_VALUE"""),4140.0)</f>
        <v>4140</v>
      </c>
      <c r="F510" s="2">
        <f>IFERROR(__xludf.DUMMYFUNCTION("""COMPUTED_VALUE"""),8.48121E7)</f>
        <v>84812100</v>
      </c>
      <c r="G510" s="2">
        <f t="shared" si="1"/>
        <v>80</v>
      </c>
    </row>
    <row r="511" ht="15.75" customHeight="1">
      <c r="A511" s="1">
        <f>IFERROR(__xludf.DUMMYFUNCTION("""COMPUTED_VALUE"""),44592.66666666667)</f>
        <v>44592.66667</v>
      </c>
      <c r="B511" s="2">
        <f>IFERROR(__xludf.DUMMYFUNCTION("""COMPUTED_VALUE"""),4170.0)</f>
        <v>4170</v>
      </c>
      <c r="C511" s="2">
        <f>IFERROR(__xludf.DUMMYFUNCTION("""COMPUTED_VALUE"""),4170.0)</f>
        <v>4170</v>
      </c>
      <c r="D511" s="2">
        <f>IFERROR(__xludf.DUMMYFUNCTION("""COMPUTED_VALUE"""),4070.0)</f>
        <v>4070</v>
      </c>
      <c r="E511" s="2">
        <f>IFERROR(__xludf.DUMMYFUNCTION("""COMPUTED_VALUE"""),4070.0)</f>
        <v>4070</v>
      </c>
      <c r="F511" s="2">
        <f>IFERROR(__xludf.DUMMYFUNCTION("""COMPUTED_VALUE"""),7.84985E7)</f>
        <v>78498500</v>
      </c>
      <c r="G511" s="2">
        <f t="shared" si="1"/>
        <v>100</v>
      </c>
    </row>
    <row r="512" ht="15.75" customHeight="1">
      <c r="A512" s="1">
        <f>IFERROR(__xludf.DUMMYFUNCTION("""COMPUTED_VALUE"""),44594.66666666667)</f>
        <v>44594.66667</v>
      </c>
      <c r="B512" s="2">
        <f>IFERROR(__xludf.DUMMYFUNCTION("""COMPUTED_VALUE"""),4120.0)</f>
        <v>4120</v>
      </c>
      <c r="C512" s="2">
        <f>IFERROR(__xludf.DUMMYFUNCTION("""COMPUTED_VALUE"""),4120.0)</f>
        <v>4120</v>
      </c>
      <c r="D512" s="2">
        <f>IFERROR(__xludf.DUMMYFUNCTION("""COMPUTED_VALUE"""),4060.0)</f>
        <v>4060</v>
      </c>
      <c r="E512" s="2">
        <f>IFERROR(__xludf.DUMMYFUNCTION("""COMPUTED_VALUE"""),4070.0)</f>
        <v>4070</v>
      </c>
      <c r="F512" s="2">
        <f>IFERROR(__xludf.DUMMYFUNCTION("""COMPUTED_VALUE"""),8.15463E7)</f>
        <v>81546300</v>
      </c>
      <c r="G512" s="2">
        <f t="shared" si="1"/>
        <v>60</v>
      </c>
    </row>
    <row r="513" ht="15.75" customHeight="1">
      <c r="A513" s="1">
        <f>IFERROR(__xludf.DUMMYFUNCTION("""COMPUTED_VALUE"""),44595.66666666667)</f>
        <v>44595.66667</v>
      </c>
      <c r="B513" s="2">
        <f>IFERROR(__xludf.DUMMYFUNCTION("""COMPUTED_VALUE"""),4180.0)</f>
        <v>4180</v>
      </c>
      <c r="C513" s="2">
        <f>IFERROR(__xludf.DUMMYFUNCTION("""COMPUTED_VALUE"""),4180.0)</f>
        <v>4180</v>
      </c>
      <c r="D513" s="2">
        <f>IFERROR(__xludf.DUMMYFUNCTION("""COMPUTED_VALUE"""),4130.0)</f>
        <v>4130</v>
      </c>
      <c r="E513" s="2">
        <f>IFERROR(__xludf.DUMMYFUNCTION("""COMPUTED_VALUE"""),4130.0)</f>
        <v>4130</v>
      </c>
      <c r="F513" s="2">
        <f>IFERROR(__xludf.DUMMYFUNCTION("""COMPUTED_VALUE"""),1.578988E8)</f>
        <v>157898800</v>
      </c>
      <c r="G513" s="2">
        <f t="shared" si="1"/>
        <v>110</v>
      </c>
    </row>
    <row r="514" ht="15.75" customHeight="1">
      <c r="A514" s="1">
        <f>IFERROR(__xludf.DUMMYFUNCTION("""COMPUTED_VALUE"""),44596.66666666667)</f>
        <v>44596.66667</v>
      </c>
      <c r="B514" s="2">
        <f>IFERROR(__xludf.DUMMYFUNCTION("""COMPUTED_VALUE"""),4170.0)</f>
        <v>4170</v>
      </c>
      <c r="C514" s="2">
        <f>IFERROR(__xludf.DUMMYFUNCTION("""COMPUTED_VALUE"""),4210.0)</f>
        <v>4210</v>
      </c>
      <c r="D514" s="2">
        <f>IFERROR(__xludf.DUMMYFUNCTION("""COMPUTED_VALUE"""),4150.0)</f>
        <v>4150</v>
      </c>
      <c r="E514" s="2">
        <f>IFERROR(__xludf.DUMMYFUNCTION("""COMPUTED_VALUE"""),4210.0)</f>
        <v>4210</v>
      </c>
      <c r="F514" s="2">
        <f>IFERROR(__xludf.DUMMYFUNCTION("""COMPUTED_VALUE"""),2.366029E8)</f>
        <v>236602900</v>
      </c>
      <c r="G514" s="2">
        <f t="shared" si="1"/>
        <v>80</v>
      </c>
    </row>
    <row r="515" ht="15.75" customHeight="1">
      <c r="A515" s="1">
        <f>IFERROR(__xludf.DUMMYFUNCTION("""COMPUTED_VALUE"""),44599.66666666667)</f>
        <v>44599.66667</v>
      </c>
      <c r="B515" s="2">
        <f>IFERROR(__xludf.DUMMYFUNCTION("""COMPUTED_VALUE"""),4240.0)</f>
        <v>4240</v>
      </c>
      <c r="C515" s="2">
        <f>IFERROR(__xludf.DUMMYFUNCTION("""COMPUTED_VALUE"""),4410.0)</f>
        <v>4410</v>
      </c>
      <c r="D515" s="2">
        <f>IFERROR(__xludf.DUMMYFUNCTION("""COMPUTED_VALUE"""),4220.0)</f>
        <v>4220</v>
      </c>
      <c r="E515" s="2">
        <f>IFERROR(__xludf.DUMMYFUNCTION("""COMPUTED_VALUE"""),4400.0)</f>
        <v>4400</v>
      </c>
      <c r="F515" s="2">
        <f>IFERROR(__xludf.DUMMYFUNCTION("""COMPUTED_VALUE"""),4.680166E8)</f>
        <v>468016600</v>
      </c>
      <c r="G515" s="2">
        <f t="shared" si="1"/>
        <v>200</v>
      </c>
    </row>
    <row r="516" ht="15.75" customHeight="1">
      <c r="A516" s="1">
        <f>IFERROR(__xludf.DUMMYFUNCTION("""COMPUTED_VALUE"""),44600.66666666667)</f>
        <v>44600.66667</v>
      </c>
      <c r="B516" s="2">
        <f>IFERROR(__xludf.DUMMYFUNCTION("""COMPUTED_VALUE"""),4450.0)</f>
        <v>4450</v>
      </c>
      <c r="C516" s="2">
        <f>IFERROR(__xludf.DUMMYFUNCTION("""COMPUTED_VALUE"""),4550.0)</f>
        <v>4550</v>
      </c>
      <c r="D516" s="2">
        <f>IFERROR(__xludf.DUMMYFUNCTION("""COMPUTED_VALUE"""),4400.0)</f>
        <v>4400</v>
      </c>
      <c r="E516" s="2">
        <f>IFERROR(__xludf.DUMMYFUNCTION("""COMPUTED_VALUE"""),4440.0)</f>
        <v>4440</v>
      </c>
      <c r="F516" s="2">
        <f>IFERROR(__xludf.DUMMYFUNCTION("""COMPUTED_VALUE"""),3.108781E8)</f>
        <v>310878100</v>
      </c>
      <c r="G516" s="2">
        <f t="shared" si="1"/>
        <v>150</v>
      </c>
    </row>
    <row r="517" ht="15.75" customHeight="1">
      <c r="A517" s="1">
        <f>IFERROR(__xludf.DUMMYFUNCTION("""COMPUTED_VALUE"""),44601.66666666667)</f>
        <v>44601.66667</v>
      </c>
      <c r="B517" s="2">
        <f>IFERROR(__xludf.DUMMYFUNCTION("""COMPUTED_VALUE"""),4400.0)</f>
        <v>4400</v>
      </c>
      <c r="C517" s="2">
        <f>IFERROR(__xludf.DUMMYFUNCTION("""COMPUTED_VALUE"""),4500.0)</f>
        <v>4500</v>
      </c>
      <c r="D517" s="2">
        <f>IFERROR(__xludf.DUMMYFUNCTION("""COMPUTED_VALUE"""),4380.0)</f>
        <v>4380</v>
      </c>
      <c r="E517" s="2">
        <f>IFERROR(__xludf.DUMMYFUNCTION("""COMPUTED_VALUE"""),4450.0)</f>
        <v>4450</v>
      </c>
      <c r="F517" s="2">
        <f>IFERROR(__xludf.DUMMYFUNCTION("""COMPUTED_VALUE"""),1.490001E8)</f>
        <v>149000100</v>
      </c>
      <c r="G517" s="2">
        <f t="shared" si="1"/>
        <v>120</v>
      </c>
    </row>
    <row r="518" ht="15.75" customHeight="1">
      <c r="A518" s="1">
        <f>IFERROR(__xludf.DUMMYFUNCTION("""COMPUTED_VALUE"""),44602.66666666667)</f>
        <v>44602.66667</v>
      </c>
      <c r="B518" s="2">
        <f>IFERROR(__xludf.DUMMYFUNCTION("""COMPUTED_VALUE"""),4500.0)</f>
        <v>4500</v>
      </c>
      <c r="C518" s="2">
        <f>IFERROR(__xludf.DUMMYFUNCTION("""COMPUTED_VALUE"""),4500.0)</f>
        <v>4500</v>
      </c>
      <c r="D518" s="2">
        <f>IFERROR(__xludf.DUMMYFUNCTION("""COMPUTED_VALUE"""),4450.0)</f>
        <v>4450</v>
      </c>
      <c r="E518" s="2">
        <f>IFERROR(__xludf.DUMMYFUNCTION("""COMPUTED_VALUE"""),4470.0)</f>
        <v>4470</v>
      </c>
      <c r="F518" s="2">
        <f>IFERROR(__xludf.DUMMYFUNCTION("""COMPUTED_VALUE"""),1.125216E8)</f>
        <v>112521600</v>
      </c>
      <c r="G518" s="2">
        <f t="shared" si="1"/>
        <v>50</v>
      </c>
    </row>
    <row r="519" ht="15.75" customHeight="1">
      <c r="A519" s="1">
        <f>IFERROR(__xludf.DUMMYFUNCTION("""COMPUTED_VALUE"""),44603.66666666667)</f>
        <v>44603.66667</v>
      </c>
      <c r="B519" s="2">
        <f>IFERROR(__xludf.DUMMYFUNCTION("""COMPUTED_VALUE"""),4420.0)</f>
        <v>4420</v>
      </c>
      <c r="C519" s="2">
        <f>IFERROR(__xludf.DUMMYFUNCTION("""COMPUTED_VALUE"""),4450.0)</f>
        <v>4450</v>
      </c>
      <c r="D519" s="2">
        <f>IFERROR(__xludf.DUMMYFUNCTION("""COMPUTED_VALUE"""),4380.0)</f>
        <v>4380</v>
      </c>
      <c r="E519" s="2">
        <f>IFERROR(__xludf.DUMMYFUNCTION("""COMPUTED_VALUE"""),4450.0)</f>
        <v>4450</v>
      </c>
      <c r="F519" s="2">
        <f>IFERROR(__xludf.DUMMYFUNCTION("""COMPUTED_VALUE"""),1.034182E8)</f>
        <v>103418200</v>
      </c>
      <c r="G519" s="2">
        <f t="shared" si="1"/>
        <v>90</v>
      </c>
    </row>
    <row r="520" ht="15.75" customHeight="1">
      <c r="A520" s="1">
        <f>IFERROR(__xludf.DUMMYFUNCTION("""COMPUTED_VALUE"""),44606.66666666667)</f>
        <v>44606.66667</v>
      </c>
      <c r="B520" s="2">
        <f>IFERROR(__xludf.DUMMYFUNCTION("""COMPUTED_VALUE"""),4450.0)</f>
        <v>4450</v>
      </c>
      <c r="C520" s="2">
        <f>IFERROR(__xludf.DUMMYFUNCTION("""COMPUTED_VALUE"""),4450.0)</f>
        <v>4450</v>
      </c>
      <c r="D520" s="2">
        <f>IFERROR(__xludf.DUMMYFUNCTION("""COMPUTED_VALUE"""),4380.0)</f>
        <v>4380</v>
      </c>
      <c r="E520" s="2">
        <f>IFERROR(__xludf.DUMMYFUNCTION("""COMPUTED_VALUE"""),4410.0)</f>
        <v>4410</v>
      </c>
      <c r="F520" s="2">
        <f>IFERROR(__xludf.DUMMYFUNCTION("""COMPUTED_VALUE"""),1.0526E8)</f>
        <v>105260000</v>
      </c>
      <c r="G520" s="2">
        <f t="shared" si="1"/>
        <v>70</v>
      </c>
    </row>
    <row r="521" ht="15.75" customHeight="1">
      <c r="A521" s="1">
        <f>IFERROR(__xludf.DUMMYFUNCTION("""COMPUTED_VALUE"""),44607.66666666667)</f>
        <v>44607.66667</v>
      </c>
      <c r="B521" s="2">
        <f>IFERROR(__xludf.DUMMYFUNCTION("""COMPUTED_VALUE"""),4440.0)</f>
        <v>4440</v>
      </c>
      <c r="C521" s="2">
        <f>IFERROR(__xludf.DUMMYFUNCTION("""COMPUTED_VALUE"""),4450.0)</f>
        <v>4450</v>
      </c>
      <c r="D521" s="2">
        <f>IFERROR(__xludf.DUMMYFUNCTION("""COMPUTED_VALUE"""),4390.0)</f>
        <v>4390</v>
      </c>
      <c r="E521" s="2">
        <f>IFERROR(__xludf.DUMMYFUNCTION("""COMPUTED_VALUE"""),4430.0)</f>
        <v>4430</v>
      </c>
      <c r="F521" s="2">
        <f>IFERROR(__xludf.DUMMYFUNCTION("""COMPUTED_VALUE"""),9.66585E7)</f>
        <v>96658500</v>
      </c>
      <c r="G521" s="2">
        <f t="shared" si="1"/>
        <v>60</v>
      </c>
    </row>
    <row r="522" ht="15.75" customHeight="1">
      <c r="A522" s="1">
        <f>IFERROR(__xludf.DUMMYFUNCTION("""COMPUTED_VALUE"""),44608.66666666667)</f>
        <v>44608.66667</v>
      </c>
      <c r="B522" s="2">
        <f>IFERROR(__xludf.DUMMYFUNCTION("""COMPUTED_VALUE"""),4470.0)</f>
        <v>4470</v>
      </c>
      <c r="C522" s="2">
        <f>IFERROR(__xludf.DUMMYFUNCTION("""COMPUTED_VALUE"""),4470.0)</f>
        <v>4470</v>
      </c>
      <c r="D522" s="2">
        <f>IFERROR(__xludf.DUMMYFUNCTION("""COMPUTED_VALUE"""),4410.0)</f>
        <v>4410</v>
      </c>
      <c r="E522" s="2">
        <f>IFERROR(__xludf.DUMMYFUNCTION("""COMPUTED_VALUE"""),4420.0)</f>
        <v>4420</v>
      </c>
      <c r="F522" s="2">
        <f>IFERROR(__xludf.DUMMYFUNCTION("""COMPUTED_VALUE"""),8.96363E7)</f>
        <v>89636300</v>
      </c>
      <c r="G522" s="2">
        <f t="shared" si="1"/>
        <v>60</v>
      </c>
    </row>
    <row r="523" ht="15.75" customHeight="1">
      <c r="A523" s="1">
        <f>IFERROR(__xludf.DUMMYFUNCTION("""COMPUTED_VALUE"""),44609.66666666667)</f>
        <v>44609.66667</v>
      </c>
      <c r="B523" s="2">
        <f>IFERROR(__xludf.DUMMYFUNCTION("""COMPUTED_VALUE"""),4390.0)</f>
        <v>4390</v>
      </c>
      <c r="C523" s="2">
        <f>IFERROR(__xludf.DUMMYFUNCTION("""COMPUTED_VALUE"""),4410.0)</f>
        <v>4410</v>
      </c>
      <c r="D523" s="2">
        <f>IFERROR(__xludf.DUMMYFUNCTION("""COMPUTED_VALUE"""),4340.0)</f>
        <v>4340</v>
      </c>
      <c r="E523" s="2">
        <f>IFERROR(__xludf.DUMMYFUNCTION("""COMPUTED_VALUE"""),4400.0)</f>
        <v>4400</v>
      </c>
      <c r="F523" s="2">
        <f>IFERROR(__xludf.DUMMYFUNCTION("""COMPUTED_VALUE"""),1.183051E8)</f>
        <v>118305100</v>
      </c>
      <c r="G523" s="2">
        <f t="shared" si="1"/>
        <v>80</v>
      </c>
    </row>
    <row r="524" ht="15.75" customHeight="1">
      <c r="A524" s="1">
        <f>IFERROR(__xludf.DUMMYFUNCTION("""COMPUTED_VALUE"""),44610.66666666667)</f>
        <v>44610.66667</v>
      </c>
      <c r="B524" s="2">
        <f>IFERROR(__xludf.DUMMYFUNCTION("""COMPUTED_VALUE"""),4400.0)</f>
        <v>4400</v>
      </c>
      <c r="C524" s="2">
        <f>IFERROR(__xludf.DUMMYFUNCTION("""COMPUTED_VALUE"""),4440.0)</f>
        <v>4440</v>
      </c>
      <c r="D524" s="2">
        <f>IFERROR(__xludf.DUMMYFUNCTION("""COMPUTED_VALUE"""),4370.0)</f>
        <v>4370</v>
      </c>
      <c r="E524" s="2">
        <f>IFERROR(__xludf.DUMMYFUNCTION("""COMPUTED_VALUE"""),4430.0)</f>
        <v>4430</v>
      </c>
      <c r="F524" s="2">
        <f>IFERROR(__xludf.DUMMYFUNCTION("""COMPUTED_VALUE"""),1.27058E8)</f>
        <v>127058000</v>
      </c>
      <c r="G524" s="2">
        <f t="shared" si="1"/>
        <v>70</v>
      </c>
    </row>
    <row r="525" ht="15.75" customHeight="1">
      <c r="A525" s="1">
        <f>IFERROR(__xludf.DUMMYFUNCTION("""COMPUTED_VALUE"""),44613.66666666667)</f>
        <v>44613.66667</v>
      </c>
      <c r="B525" s="2">
        <f>IFERROR(__xludf.DUMMYFUNCTION("""COMPUTED_VALUE"""),4460.0)</f>
        <v>4460</v>
      </c>
      <c r="C525" s="2">
        <f>IFERROR(__xludf.DUMMYFUNCTION("""COMPUTED_VALUE"""),4490.0)</f>
        <v>4490</v>
      </c>
      <c r="D525" s="2">
        <f>IFERROR(__xludf.DUMMYFUNCTION("""COMPUTED_VALUE"""),4440.0)</f>
        <v>4440</v>
      </c>
      <c r="E525" s="2">
        <f>IFERROR(__xludf.DUMMYFUNCTION("""COMPUTED_VALUE"""),4490.0)</f>
        <v>4490</v>
      </c>
      <c r="F525" s="2">
        <f>IFERROR(__xludf.DUMMYFUNCTION("""COMPUTED_VALUE"""),1.337173E8)</f>
        <v>133717300</v>
      </c>
      <c r="G525" s="2">
        <f t="shared" si="1"/>
        <v>60</v>
      </c>
    </row>
    <row r="526" ht="15.75" customHeight="1">
      <c r="A526" s="1">
        <f>IFERROR(__xludf.DUMMYFUNCTION("""COMPUTED_VALUE"""),44614.66666666667)</f>
        <v>44614.66667</v>
      </c>
      <c r="B526" s="2">
        <f>IFERROR(__xludf.DUMMYFUNCTION("""COMPUTED_VALUE"""),4440.0)</f>
        <v>4440</v>
      </c>
      <c r="C526" s="2">
        <f>IFERROR(__xludf.DUMMYFUNCTION("""COMPUTED_VALUE"""),4470.0)</f>
        <v>4470</v>
      </c>
      <c r="D526" s="2">
        <f>IFERROR(__xludf.DUMMYFUNCTION("""COMPUTED_VALUE"""),4420.0)</f>
        <v>4420</v>
      </c>
      <c r="E526" s="2">
        <f>IFERROR(__xludf.DUMMYFUNCTION("""COMPUTED_VALUE"""),4430.0)</f>
        <v>4430</v>
      </c>
      <c r="F526" s="2">
        <f>IFERROR(__xludf.DUMMYFUNCTION("""COMPUTED_VALUE"""),1.090609E8)</f>
        <v>109060900</v>
      </c>
      <c r="G526" s="2">
        <f t="shared" si="1"/>
        <v>70</v>
      </c>
    </row>
    <row r="527" ht="15.75" customHeight="1">
      <c r="A527" s="1">
        <f>IFERROR(__xludf.DUMMYFUNCTION("""COMPUTED_VALUE"""),44615.66666666667)</f>
        <v>44615.66667</v>
      </c>
      <c r="B527" s="2">
        <f>IFERROR(__xludf.DUMMYFUNCTION("""COMPUTED_VALUE"""),4520.0)</f>
        <v>4520</v>
      </c>
      <c r="C527" s="2">
        <f>IFERROR(__xludf.DUMMYFUNCTION("""COMPUTED_VALUE"""),4520.0)</f>
        <v>4520</v>
      </c>
      <c r="D527" s="2">
        <f>IFERROR(__xludf.DUMMYFUNCTION("""COMPUTED_VALUE"""),4460.0)</f>
        <v>4460</v>
      </c>
      <c r="E527" s="2">
        <f>IFERROR(__xludf.DUMMYFUNCTION("""COMPUTED_VALUE"""),4480.0)</f>
        <v>4480</v>
      </c>
      <c r="F527" s="2">
        <f>IFERROR(__xludf.DUMMYFUNCTION("""COMPUTED_VALUE"""),1.608278E8)</f>
        <v>160827800</v>
      </c>
      <c r="G527" s="2">
        <f t="shared" si="1"/>
        <v>90</v>
      </c>
    </row>
    <row r="528" ht="15.75" customHeight="1">
      <c r="A528" s="1">
        <f>IFERROR(__xludf.DUMMYFUNCTION("""COMPUTED_VALUE"""),44616.66666666667)</f>
        <v>44616.66667</v>
      </c>
      <c r="B528" s="2">
        <f>IFERROR(__xludf.DUMMYFUNCTION("""COMPUTED_VALUE"""),4470.0)</f>
        <v>4470</v>
      </c>
      <c r="C528" s="2">
        <f>IFERROR(__xludf.DUMMYFUNCTION("""COMPUTED_VALUE"""),4470.0)</f>
        <v>4470</v>
      </c>
      <c r="D528" s="2">
        <f>IFERROR(__xludf.DUMMYFUNCTION("""COMPUTED_VALUE"""),4370.0)</f>
        <v>4370</v>
      </c>
      <c r="E528" s="2">
        <f>IFERROR(__xludf.DUMMYFUNCTION("""COMPUTED_VALUE"""),4390.0)</f>
        <v>4390</v>
      </c>
      <c r="F528" s="2">
        <f>IFERROR(__xludf.DUMMYFUNCTION("""COMPUTED_VALUE"""),2.175236E8)</f>
        <v>217523600</v>
      </c>
      <c r="G528" s="2">
        <f t="shared" si="1"/>
        <v>110</v>
      </c>
    </row>
    <row r="529" ht="15.75" customHeight="1">
      <c r="A529" s="1">
        <f>IFERROR(__xludf.DUMMYFUNCTION("""COMPUTED_VALUE"""),44617.66666666667)</f>
        <v>44617.66667</v>
      </c>
      <c r="B529" s="2">
        <f>IFERROR(__xludf.DUMMYFUNCTION("""COMPUTED_VALUE"""),4450.0)</f>
        <v>4450</v>
      </c>
      <c r="C529" s="2">
        <f>IFERROR(__xludf.DUMMYFUNCTION("""COMPUTED_VALUE"""),4550.0)</f>
        <v>4550</v>
      </c>
      <c r="D529" s="2">
        <f>IFERROR(__xludf.DUMMYFUNCTION("""COMPUTED_VALUE"""),4410.0)</f>
        <v>4410</v>
      </c>
      <c r="E529" s="2">
        <f>IFERROR(__xludf.DUMMYFUNCTION("""COMPUTED_VALUE"""),4550.0)</f>
        <v>4550</v>
      </c>
      <c r="F529" s="2">
        <f>IFERROR(__xludf.DUMMYFUNCTION("""COMPUTED_VALUE"""),3.013464E8)</f>
        <v>301346400</v>
      </c>
      <c r="G529" s="2">
        <f t="shared" si="1"/>
        <v>160</v>
      </c>
    </row>
    <row r="530" ht="15.75" customHeight="1">
      <c r="A530" s="1">
        <f>IFERROR(__xludf.DUMMYFUNCTION("""COMPUTED_VALUE"""),44621.66666666667)</f>
        <v>44621.66667</v>
      </c>
      <c r="B530" s="2">
        <f>IFERROR(__xludf.DUMMYFUNCTION("""COMPUTED_VALUE"""),4850.0)</f>
        <v>4850</v>
      </c>
      <c r="C530" s="2">
        <f>IFERROR(__xludf.DUMMYFUNCTION("""COMPUTED_VALUE"""),4860.0)</f>
        <v>4860</v>
      </c>
      <c r="D530" s="2">
        <f>IFERROR(__xludf.DUMMYFUNCTION("""COMPUTED_VALUE"""),4630.0)</f>
        <v>4630</v>
      </c>
      <c r="E530" s="2">
        <f>IFERROR(__xludf.DUMMYFUNCTION("""COMPUTED_VALUE"""),4630.0)</f>
        <v>4630</v>
      </c>
      <c r="F530" s="2">
        <f>IFERROR(__xludf.DUMMYFUNCTION("""COMPUTED_VALUE"""),4.946578E8)</f>
        <v>494657800</v>
      </c>
      <c r="G530" s="2">
        <f t="shared" si="1"/>
        <v>310</v>
      </c>
    </row>
    <row r="531" ht="15.75" customHeight="1">
      <c r="A531" s="1">
        <f>IFERROR(__xludf.DUMMYFUNCTION("""COMPUTED_VALUE"""),44622.66666666667)</f>
        <v>44622.66667</v>
      </c>
      <c r="B531" s="2">
        <f>IFERROR(__xludf.DUMMYFUNCTION("""COMPUTED_VALUE"""),4680.0)</f>
        <v>4680</v>
      </c>
      <c r="C531" s="2">
        <f>IFERROR(__xludf.DUMMYFUNCTION("""COMPUTED_VALUE"""),4690.0)</f>
        <v>4690</v>
      </c>
      <c r="D531" s="2">
        <f>IFERROR(__xludf.DUMMYFUNCTION("""COMPUTED_VALUE"""),4550.0)</f>
        <v>4550</v>
      </c>
      <c r="E531" s="2">
        <f>IFERROR(__xludf.DUMMYFUNCTION("""COMPUTED_VALUE"""),4560.0)</f>
        <v>4560</v>
      </c>
      <c r="F531" s="2">
        <f>IFERROR(__xludf.DUMMYFUNCTION("""COMPUTED_VALUE"""),1.866352E8)</f>
        <v>186635200</v>
      </c>
      <c r="G531" s="2">
        <f t="shared" si="1"/>
        <v>140</v>
      </c>
    </row>
    <row r="532" ht="15.75" customHeight="1">
      <c r="A532" s="1">
        <f>IFERROR(__xludf.DUMMYFUNCTION("""COMPUTED_VALUE"""),44624.66666666667)</f>
        <v>44624.66667</v>
      </c>
      <c r="B532" s="2">
        <f>IFERROR(__xludf.DUMMYFUNCTION("""COMPUTED_VALUE"""),4720.0)</f>
        <v>4720</v>
      </c>
      <c r="C532" s="2">
        <f>IFERROR(__xludf.DUMMYFUNCTION("""COMPUTED_VALUE"""),4730.0)</f>
        <v>4730</v>
      </c>
      <c r="D532" s="2">
        <f>IFERROR(__xludf.DUMMYFUNCTION("""COMPUTED_VALUE"""),4610.0)</f>
        <v>4610</v>
      </c>
      <c r="E532" s="2">
        <f>IFERROR(__xludf.DUMMYFUNCTION("""COMPUTED_VALUE"""),4670.0)</f>
        <v>4670</v>
      </c>
      <c r="F532" s="2">
        <f>IFERROR(__xludf.DUMMYFUNCTION("""COMPUTED_VALUE"""),2.920226E8)</f>
        <v>292022600</v>
      </c>
      <c r="G532" s="2">
        <f t="shared" si="1"/>
        <v>170</v>
      </c>
    </row>
    <row r="533" ht="15.75" customHeight="1">
      <c r="A533" s="1">
        <f>IFERROR(__xludf.DUMMYFUNCTION("""COMPUTED_VALUE"""),44627.66666666667)</f>
        <v>44627.66667</v>
      </c>
      <c r="B533" s="2">
        <f>IFERROR(__xludf.DUMMYFUNCTION("""COMPUTED_VALUE"""),4580.0)</f>
        <v>4580</v>
      </c>
      <c r="C533" s="2">
        <f>IFERROR(__xludf.DUMMYFUNCTION("""COMPUTED_VALUE"""),4630.0)</f>
        <v>4630</v>
      </c>
      <c r="D533" s="2">
        <f>IFERROR(__xludf.DUMMYFUNCTION("""COMPUTED_VALUE"""),4520.0)</f>
        <v>4520</v>
      </c>
      <c r="E533" s="2">
        <f>IFERROR(__xludf.DUMMYFUNCTION("""COMPUTED_VALUE"""),4520.0)</f>
        <v>4520</v>
      </c>
      <c r="F533" s="2">
        <f>IFERROR(__xludf.DUMMYFUNCTION("""COMPUTED_VALUE"""),2.245158E8)</f>
        <v>224515800</v>
      </c>
      <c r="G533" s="2">
        <f t="shared" si="1"/>
        <v>150</v>
      </c>
    </row>
    <row r="534" ht="15.75" customHeight="1">
      <c r="A534" s="1">
        <f>IFERROR(__xludf.DUMMYFUNCTION("""COMPUTED_VALUE"""),44628.66666666667)</f>
        <v>44628.66667</v>
      </c>
      <c r="B534" s="2">
        <f>IFERROR(__xludf.DUMMYFUNCTION("""COMPUTED_VALUE"""),4500.0)</f>
        <v>4500</v>
      </c>
      <c r="C534" s="2">
        <f>IFERROR(__xludf.DUMMYFUNCTION("""COMPUTED_VALUE"""),4560.0)</f>
        <v>4560</v>
      </c>
      <c r="D534" s="2">
        <f>IFERROR(__xludf.DUMMYFUNCTION("""COMPUTED_VALUE"""),4430.0)</f>
        <v>4430</v>
      </c>
      <c r="E534" s="2">
        <f>IFERROR(__xludf.DUMMYFUNCTION("""COMPUTED_VALUE"""),4430.0)</f>
        <v>4430</v>
      </c>
      <c r="F534" s="2">
        <f>IFERROR(__xludf.DUMMYFUNCTION("""COMPUTED_VALUE"""),2.148702E8)</f>
        <v>214870200</v>
      </c>
      <c r="G534" s="2">
        <f t="shared" si="1"/>
        <v>130</v>
      </c>
    </row>
    <row r="535" ht="15.75" customHeight="1">
      <c r="A535" s="1">
        <f>IFERROR(__xludf.DUMMYFUNCTION("""COMPUTED_VALUE"""),44629.66666666667)</f>
        <v>44629.66667</v>
      </c>
      <c r="B535" s="2">
        <f>IFERROR(__xludf.DUMMYFUNCTION("""COMPUTED_VALUE"""),4530.0)</f>
        <v>4530</v>
      </c>
      <c r="C535" s="2">
        <f>IFERROR(__xludf.DUMMYFUNCTION("""COMPUTED_VALUE"""),4590.0)</f>
        <v>4590</v>
      </c>
      <c r="D535" s="2">
        <f>IFERROR(__xludf.DUMMYFUNCTION("""COMPUTED_VALUE"""),4500.0)</f>
        <v>4500</v>
      </c>
      <c r="E535" s="2">
        <f>IFERROR(__xludf.DUMMYFUNCTION("""COMPUTED_VALUE"""),4570.0)</f>
        <v>4570</v>
      </c>
      <c r="F535" s="2">
        <f>IFERROR(__xludf.DUMMYFUNCTION("""COMPUTED_VALUE"""),1.919671E8)</f>
        <v>191967100</v>
      </c>
      <c r="G535" s="2">
        <f t="shared" si="1"/>
        <v>160</v>
      </c>
    </row>
    <row r="536" ht="15.75" customHeight="1">
      <c r="A536" s="1">
        <f>IFERROR(__xludf.DUMMYFUNCTION("""COMPUTED_VALUE"""),44630.66666666667)</f>
        <v>44630.66667</v>
      </c>
      <c r="B536" s="2">
        <f>IFERROR(__xludf.DUMMYFUNCTION("""COMPUTED_VALUE"""),4640.0)</f>
        <v>4640</v>
      </c>
      <c r="C536" s="2">
        <f>IFERROR(__xludf.DUMMYFUNCTION("""COMPUTED_VALUE"""),4640.0)</f>
        <v>4640</v>
      </c>
      <c r="D536" s="2">
        <f>IFERROR(__xludf.DUMMYFUNCTION("""COMPUTED_VALUE"""),4510.0)</f>
        <v>4510</v>
      </c>
      <c r="E536" s="2">
        <f>IFERROR(__xludf.DUMMYFUNCTION("""COMPUTED_VALUE"""),4570.0)</f>
        <v>4570</v>
      </c>
      <c r="F536" s="2">
        <f>IFERROR(__xludf.DUMMYFUNCTION("""COMPUTED_VALUE"""),2.255758E8)</f>
        <v>225575800</v>
      </c>
      <c r="G536" s="2">
        <f t="shared" si="1"/>
        <v>130</v>
      </c>
    </row>
    <row r="537" ht="15.75" customHeight="1">
      <c r="A537" s="1">
        <f>IFERROR(__xludf.DUMMYFUNCTION("""COMPUTED_VALUE"""),44631.66666666667)</f>
        <v>44631.66667</v>
      </c>
      <c r="B537" s="2">
        <f>IFERROR(__xludf.DUMMYFUNCTION("""COMPUTED_VALUE"""),4400.0)</f>
        <v>4400</v>
      </c>
      <c r="C537" s="2">
        <f>IFERROR(__xludf.DUMMYFUNCTION("""COMPUTED_VALUE"""),4440.0)</f>
        <v>4440</v>
      </c>
      <c r="D537" s="2">
        <f>IFERROR(__xludf.DUMMYFUNCTION("""COMPUTED_VALUE"""),4370.0)</f>
        <v>4370</v>
      </c>
      <c r="E537" s="2">
        <f>IFERROR(__xludf.DUMMYFUNCTION("""COMPUTED_VALUE"""),4400.0)</f>
        <v>4400</v>
      </c>
      <c r="F537" s="2">
        <f>IFERROR(__xludf.DUMMYFUNCTION("""COMPUTED_VALUE"""),2.759653E8)</f>
        <v>275965300</v>
      </c>
      <c r="G537" s="2">
        <f t="shared" si="1"/>
        <v>200</v>
      </c>
    </row>
    <row r="538" ht="15.75" customHeight="1">
      <c r="A538" s="1">
        <f>IFERROR(__xludf.DUMMYFUNCTION("""COMPUTED_VALUE"""),44634.66666666667)</f>
        <v>44634.66667</v>
      </c>
      <c r="B538" s="2">
        <f>IFERROR(__xludf.DUMMYFUNCTION("""COMPUTED_VALUE"""),4440.0)</f>
        <v>4440</v>
      </c>
      <c r="C538" s="2">
        <f>IFERROR(__xludf.DUMMYFUNCTION("""COMPUTED_VALUE"""),4540.0)</f>
        <v>4540</v>
      </c>
      <c r="D538" s="2">
        <f>IFERROR(__xludf.DUMMYFUNCTION("""COMPUTED_VALUE"""),4410.0)</f>
        <v>4410</v>
      </c>
      <c r="E538" s="2">
        <f>IFERROR(__xludf.DUMMYFUNCTION("""COMPUTED_VALUE"""),4520.0)</f>
        <v>4520</v>
      </c>
      <c r="F538" s="2">
        <f>IFERROR(__xludf.DUMMYFUNCTION("""COMPUTED_VALUE"""),2.120521E8)</f>
        <v>212052100</v>
      </c>
      <c r="G538" s="2">
        <f t="shared" si="1"/>
        <v>140</v>
      </c>
    </row>
    <row r="539" ht="15.75" customHeight="1">
      <c r="A539" s="1">
        <f>IFERROR(__xludf.DUMMYFUNCTION("""COMPUTED_VALUE"""),44635.66666666667)</f>
        <v>44635.66667</v>
      </c>
      <c r="B539" s="2">
        <f>IFERROR(__xludf.DUMMYFUNCTION("""COMPUTED_VALUE"""),4550.0)</f>
        <v>4550</v>
      </c>
      <c r="C539" s="2">
        <f>IFERROR(__xludf.DUMMYFUNCTION("""COMPUTED_VALUE"""),4640.0)</f>
        <v>4640</v>
      </c>
      <c r="D539" s="2">
        <f>IFERROR(__xludf.DUMMYFUNCTION("""COMPUTED_VALUE"""),4530.0)</f>
        <v>4530</v>
      </c>
      <c r="E539" s="2">
        <f>IFERROR(__xludf.DUMMYFUNCTION("""COMPUTED_VALUE"""),4610.0)</f>
        <v>4610</v>
      </c>
      <c r="F539" s="2">
        <f>IFERROR(__xludf.DUMMYFUNCTION("""COMPUTED_VALUE"""),3.577557E8)</f>
        <v>357755700</v>
      </c>
      <c r="G539" s="2">
        <f t="shared" si="1"/>
        <v>120</v>
      </c>
    </row>
    <row r="540" ht="15.75" customHeight="1">
      <c r="A540" s="1">
        <f>IFERROR(__xludf.DUMMYFUNCTION("""COMPUTED_VALUE"""),44636.66666666667)</f>
        <v>44636.66667</v>
      </c>
      <c r="B540" s="2">
        <f>IFERROR(__xludf.DUMMYFUNCTION("""COMPUTED_VALUE"""),4650.0)</f>
        <v>4650</v>
      </c>
      <c r="C540" s="2">
        <f>IFERROR(__xludf.DUMMYFUNCTION("""COMPUTED_VALUE"""),4660.0)</f>
        <v>4660</v>
      </c>
      <c r="D540" s="2">
        <f>IFERROR(__xludf.DUMMYFUNCTION("""COMPUTED_VALUE"""),4610.0)</f>
        <v>4610</v>
      </c>
      <c r="E540" s="2">
        <f>IFERROR(__xludf.DUMMYFUNCTION("""COMPUTED_VALUE"""),4650.0)</f>
        <v>4650</v>
      </c>
      <c r="F540" s="2">
        <f>IFERROR(__xludf.DUMMYFUNCTION("""COMPUTED_VALUE"""),2.26817E8)</f>
        <v>226817000</v>
      </c>
      <c r="G540" s="2">
        <f t="shared" si="1"/>
        <v>50</v>
      </c>
    </row>
    <row r="541" ht="15.75" customHeight="1">
      <c r="A541" s="1">
        <f>IFERROR(__xludf.DUMMYFUNCTION("""COMPUTED_VALUE"""),44637.66666666667)</f>
        <v>44637.66667</v>
      </c>
      <c r="B541" s="2">
        <f>IFERROR(__xludf.DUMMYFUNCTION("""COMPUTED_VALUE"""),4690.0)</f>
        <v>4690</v>
      </c>
      <c r="C541" s="2">
        <f>IFERROR(__xludf.DUMMYFUNCTION("""COMPUTED_VALUE"""),4700.0)</f>
        <v>4700</v>
      </c>
      <c r="D541" s="2">
        <f>IFERROR(__xludf.DUMMYFUNCTION("""COMPUTED_VALUE"""),4610.0)</f>
        <v>4610</v>
      </c>
      <c r="E541" s="2">
        <f>IFERROR(__xludf.DUMMYFUNCTION("""COMPUTED_VALUE"""),4650.0)</f>
        <v>4650</v>
      </c>
      <c r="F541" s="2">
        <f>IFERROR(__xludf.DUMMYFUNCTION("""COMPUTED_VALUE"""),2.24068E8)</f>
        <v>224068000</v>
      </c>
      <c r="G541" s="2">
        <f t="shared" si="1"/>
        <v>90</v>
      </c>
    </row>
    <row r="542" ht="15.75" customHeight="1">
      <c r="A542" s="1">
        <f>IFERROR(__xludf.DUMMYFUNCTION("""COMPUTED_VALUE"""),44638.66666666667)</f>
        <v>44638.66667</v>
      </c>
      <c r="B542" s="2">
        <f>IFERROR(__xludf.DUMMYFUNCTION("""COMPUTED_VALUE"""),4700.0)</f>
        <v>4700</v>
      </c>
      <c r="C542" s="2">
        <f>IFERROR(__xludf.DUMMYFUNCTION("""COMPUTED_VALUE"""),4700.0)</f>
        <v>4700</v>
      </c>
      <c r="D542" s="2">
        <f>IFERROR(__xludf.DUMMYFUNCTION("""COMPUTED_VALUE"""),4580.0)</f>
        <v>4580</v>
      </c>
      <c r="E542" s="2">
        <f>IFERROR(__xludf.DUMMYFUNCTION("""COMPUTED_VALUE"""),4580.0)</f>
        <v>4580</v>
      </c>
      <c r="F542" s="2">
        <f>IFERROR(__xludf.DUMMYFUNCTION("""COMPUTED_VALUE"""),2.578634E8)</f>
        <v>257863400</v>
      </c>
      <c r="G542" s="2">
        <f t="shared" si="1"/>
        <v>120</v>
      </c>
    </row>
    <row r="543" ht="15.75" customHeight="1">
      <c r="A543" s="1">
        <f>IFERROR(__xludf.DUMMYFUNCTION("""COMPUTED_VALUE"""),44641.66666666667)</f>
        <v>44641.66667</v>
      </c>
      <c r="B543" s="2">
        <f>IFERROR(__xludf.DUMMYFUNCTION("""COMPUTED_VALUE"""),4600.0)</f>
        <v>4600</v>
      </c>
      <c r="C543" s="2">
        <f>IFERROR(__xludf.DUMMYFUNCTION("""COMPUTED_VALUE"""),4630.0)</f>
        <v>4630</v>
      </c>
      <c r="D543" s="2">
        <f>IFERROR(__xludf.DUMMYFUNCTION("""COMPUTED_VALUE"""),4560.0)</f>
        <v>4560</v>
      </c>
      <c r="E543" s="2">
        <f>IFERROR(__xludf.DUMMYFUNCTION("""COMPUTED_VALUE"""),4590.0)</f>
        <v>4590</v>
      </c>
      <c r="F543" s="2">
        <f>IFERROR(__xludf.DUMMYFUNCTION("""COMPUTED_VALUE"""),1.187919E8)</f>
        <v>118791900</v>
      </c>
      <c r="G543" s="2">
        <f t="shared" si="1"/>
        <v>70</v>
      </c>
    </row>
    <row r="544" ht="15.75" customHeight="1">
      <c r="A544" s="1">
        <f>IFERROR(__xludf.DUMMYFUNCTION("""COMPUTED_VALUE"""),44642.66666666667)</f>
        <v>44642.66667</v>
      </c>
      <c r="B544" s="2">
        <f>IFERROR(__xludf.DUMMYFUNCTION("""COMPUTED_VALUE"""),4690.0)</f>
        <v>4690</v>
      </c>
      <c r="C544" s="2">
        <f>IFERROR(__xludf.DUMMYFUNCTION("""COMPUTED_VALUE"""),4710.0)</f>
        <v>4710</v>
      </c>
      <c r="D544" s="2">
        <f>IFERROR(__xludf.DUMMYFUNCTION("""COMPUTED_VALUE"""),4640.0)</f>
        <v>4640</v>
      </c>
      <c r="E544" s="2">
        <f>IFERROR(__xludf.DUMMYFUNCTION("""COMPUTED_VALUE"""),4640.0)</f>
        <v>4640</v>
      </c>
      <c r="F544" s="2">
        <f>IFERROR(__xludf.DUMMYFUNCTION("""COMPUTED_VALUE"""),1.777585E8)</f>
        <v>177758500</v>
      </c>
      <c r="G544" s="2">
        <f t="shared" si="1"/>
        <v>120</v>
      </c>
    </row>
    <row r="545" ht="15.75" customHeight="1">
      <c r="A545" s="1">
        <f>IFERROR(__xludf.DUMMYFUNCTION("""COMPUTED_VALUE"""),44643.66666666667)</f>
        <v>44643.66667</v>
      </c>
      <c r="B545" s="2">
        <f>IFERROR(__xludf.DUMMYFUNCTION("""COMPUTED_VALUE"""),4680.0)</f>
        <v>4680</v>
      </c>
      <c r="C545" s="2">
        <f>IFERROR(__xludf.DUMMYFUNCTION("""COMPUTED_VALUE"""),4690.0)</f>
        <v>4690</v>
      </c>
      <c r="D545" s="2">
        <f>IFERROR(__xludf.DUMMYFUNCTION("""COMPUTED_VALUE"""),4620.0)</f>
        <v>4620</v>
      </c>
      <c r="E545" s="2">
        <f>IFERROR(__xludf.DUMMYFUNCTION("""COMPUTED_VALUE"""),4650.0)</f>
        <v>4650</v>
      </c>
      <c r="F545" s="2">
        <f>IFERROR(__xludf.DUMMYFUNCTION("""COMPUTED_VALUE"""),1.465451E8)</f>
        <v>146545100</v>
      </c>
      <c r="G545" s="2">
        <f t="shared" si="1"/>
        <v>70</v>
      </c>
    </row>
    <row r="546" ht="15.75" customHeight="1">
      <c r="A546" s="1">
        <f>IFERROR(__xludf.DUMMYFUNCTION("""COMPUTED_VALUE"""),44644.66666666667)</f>
        <v>44644.66667</v>
      </c>
      <c r="B546" s="2">
        <f>IFERROR(__xludf.DUMMYFUNCTION("""COMPUTED_VALUE"""),4640.0)</f>
        <v>4640</v>
      </c>
      <c r="C546" s="2">
        <f>IFERROR(__xludf.DUMMYFUNCTION("""COMPUTED_VALUE"""),4730.0)</f>
        <v>4730</v>
      </c>
      <c r="D546" s="2">
        <f>IFERROR(__xludf.DUMMYFUNCTION("""COMPUTED_VALUE"""),4620.0)</f>
        <v>4620</v>
      </c>
      <c r="E546" s="2">
        <f>IFERROR(__xludf.DUMMYFUNCTION("""COMPUTED_VALUE"""),4730.0)</f>
        <v>4730</v>
      </c>
      <c r="F546" s="2">
        <f>IFERROR(__xludf.DUMMYFUNCTION("""COMPUTED_VALUE"""),2.062716E8)</f>
        <v>206271600</v>
      </c>
      <c r="G546" s="2">
        <f t="shared" si="1"/>
        <v>110</v>
      </c>
    </row>
    <row r="547" ht="15.75" customHeight="1">
      <c r="A547" s="1">
        <f>IFERROR(__xludf.DUMMYFUNCTION("""COMPUTED_VALUE"""),44645.66666666667)</f>
        <v>44645.66667</v>
      </c>
      <c r="B547" s="2">
        <f>IFERROR(__xludf.DUMMYFUNCTION("""COMPUTED_VALUE"""),4760.0)</f>
        <v>4760</v>
      </c>
      <c r="C547" s="2">
        <f>IFERROR(__xludf.DUMMYFUNCTION("""COMPUTED_VALUE"""),4760.0)</f>
        <v>4760</v>
      </c>
      <c r="D547" s="2">
        <f>IFERROR(__xludf.DUMMYFUNCTION("""COMPUTED_VALUE"""),4650.0)</f>
        <v>4650</v>
      </c>
      <c r="E547" s="2">
        <f>IFERROR(__xludf.DUMMYFUNCTION("""COMPUTED_VALUE"""),4710.0)</f>
        <v>4710</v>
      </c>
      <c r="F547" s="2">
        <f>IFERROR(__xludf.DUMMYFUNCTION("""COMPUTED_VALUE"""),1.371048E8)</f>
        <v>137104800</v>
      </c>
      <c r="G547" s="2">
        <f t="shared" si="1"/>
        <v>110</v>
      </c>
    </row>
    <row r="548" ht="15.75" customHeight="1">
      <c r="A548" s="1">
        <f>IFERROR(__xludf.DUMMYFUNCTION("""COMPUTED_VALUE"""),44648.66666666667)</f>
        <v>44648.66667</v>
      </c>
      <c r="B548" s="2">
        <f>IFERROR(__xludf.DUMMYFUNCTION("""COMPUTED_VALUE"""),4730.0)</f>
        <v>4730</v>
      </c>
      <c r="C548" s="2">
        <f>IFERROR(__xludf.DUMMYFUNCTION("""COMPUTED_VALUE"""),4740.0)</f>
        <v>4740</v>
      </c>
      <c r="D548" s="2">
        <f>IFERROR(__xludf.DUMMYFUNCTION("""COMPUTED_VALUE"""),4670.0)</f>
        <v>4670</v>
      </c>
      <c r="E548" s="2">
        <f>IFERROR(__xludf.DUMMYFUNCTION("""COMPUTED_VALUE"""),4730.0)</f>
        <v>4730</v>
      </c>
      <c r="F548" s="2">
        <f>IFERROR(__xludf.DUMMYFUNCTION("""COMPUTED_VALUE"""),1.068018E8)</f>
        <v>106801800</v>
      </c>
      <c r="G548" s="2">
        <f t="shared" si="1"/>
        <v>70</v>
      </c>
    </row>
    <row r="549" ht="15.75" customHeight="1">
      <c r="A549" s="1">
        <f>IFERROR(__xludf.DUMMYFUNCTION("""COMPUTED_VALUE"""),44649.66666666667)</f>
        <v>44649.66667</v>
      </c>
      <c r="B549" s="2">
        <f>IFERROR(__xludf.DUMMYFUNCTION("""COMPUTED_VALUE"""),4750.0)</f>
        <v>4750</v>
      </c>
      <c r="C549" s="2">
        <f>IFERROR(__xludf.DUMMYFUNCTION("""COMPUTED_VALUE"""),4750.0)</f>
        <v>4750</v>
      </c>
      <c r="D549" s="2">
        <f>IFERROR(__xludf.DUMMYFUNCTION("""COMPUTED_VALUE"""),4670.0)</f>
        <v>4670</v>
      </c>
      <c r="E549" s="2">
        <f>IFERROR(__xludf.DUMMYFUNCTION("""COMPUTED_VALUE"""),4690.0)</f>
        <v>4690</v>
      </c>
      <c r="F549" s="2">
        <f>IFERROR(__xludf.DUMMYFUNCTION("""COMPUTED_VALUE"""),9.31551E7)</f>
        <v>93155100</v>
      </c>
      <c r="G549" s="2">
        <f t="shared" si="1"/>
        <v>80</v>
      </c>
    </row>
    <row r="550" ht="15.75" customHeight="1">
      <c r="A550" s="1">
        <f>IFERROR(__xludf.DUMMYFUNCTION("""COMPUTED_VALUE"""),44650.66666666667)</f>
        <v>44650.66667</v>
      </c>
      <c r="B550" s="2">
        <f>IFERROR(__xludf.DUMMYFUNCTION("""COMPUTED_VALUE"""),4740.0)</f>
        <v>4740</v>
      </c>
      <c r="C550" s="2">
        <f>IFERROR(__xludf.DUMMYFUNCTION("""COMPUTED_VALUE"""),4740.0)</f>
        <v>4740</v>
      </c>
      <c r="D550" s="2">
        <f>IFERROR(__xludf.DUMMYFUNCTION("""COMPUTED_VALUE"""),4690.0)</f>
        <v>4690</v>
      </c>
      <c r="E550" s="2">
        <f>IFERROR(__xludf.DUMMYFUNCTION("""COMPUTED_VALUE"""),4710.0)</f>
        <v>4710</v>
      </c>
      <c r="F550" s="2">
        <f>IFERROR(__xludf.DUMMYFUNCTION("""COMPUTED_VALUE"""),8.33644E7)</f>
        <v>83364400</v>
      </c>
      <c r="G550" s="2">
        <f t="shared" si="1"/>
        <v>50</v>
      </c>
    </row>
    <row r="551" ht="15.75" customHeight="1">
      <c r="A551" s="1">
        <f>IFERROR(__xludf.DUMMYFUNCTION("""COMPUTED_VALUE"""),44651.66666666667)</f>
        <v>44651.66667</v>
      </c>
      <c r="B551" s="2">
        <f>IFERROR(__xludf.DUMMYFUNCTION("""COMPUTED_VALUE"""),4700.0)</f>
        <v>4700</v>
      </c>
      <c r="C551" s="2">
        <f>IFERROR(__xludf.DUMMYFUNCTION("""COMPUTED_VALUE"""),4750.0)</f>
        <v>4750</v>
      </c>
      <c r="D551" s="2">
        <f>IFERROR(__xludf.DUMMYFUNCTION("""COMPUTED_VALUE"""),4660.0)</f>
        <v>4660</v>
      </c>
      <c r="E551" s="2">
        <f>IFERROR(__xludf.DUMMYFUNCTION("""COMPUTED_VALUE"""),4660.0)</f>
        <v>4660</v>
      </c>
      <c r="F551" s="2">
        <f>IFERROR(__xludf.DUMMYFUNCTION("""COMPUTED_VALUE"""),1.5865E8)</f>
        <v>158650000</v>
      </c>
      <c r="G551" s="2">
        <f t="shared" si="1"/>
        <v>90</v>
      </c>
    </row>
    <row r="552" ht="15.75" customHeight="1">
      <c r="A552" s="1">
        <f>IFERROR(__xludf.DUMMYFUNCTION("""COMPUTED_VALUE"""),44652.66666666667)</f>
        <v>44652.66667</v>
      </c>
      <c r="B552" s="2">
        <f>IFERROR(__xludf.DUMMYFUNCTION("""COMPUTED_VALUE"""),4690.0)</f>
        <v>4690</v>
      </c>
      <c r="C552" s="2">
        <f>IFERROR(__xludf.DUMMYFUNCTION("""COMPUTED_VALUE"""),4730.0)</f>
        <v>4730</v>
      </c>
      <c r="D552" s="2">
        <f>IFERROR(__xludf.DUMMYFUNCTION("""COMPUTED_VALUE"""),4630.0)</f>
        <v>4630</v>
      </c>
      <c r="E552" s="2">
        <f>IFERROR(__xludf.DUMMYFUNCTION("""COMPUTED_VALUE"""),4730.0)</f>
        <v>4730</v>
      </c>
      <c r="F552" s="2">
        <f>IFERROR(__xludf.DUMMYFUNCTION("""COMPUTED_VALUE"""),1.45105E8)</f>
        <v>145105000</v>
      </c>
      <c r="G552" s="2">
        <f t="shared" si="1"/>
        <v>100</v>
      </c>
    </row>
    <row r="553" ht="15.75" customHeight="1">
      <c r="A553" s="1">
        <f>IFERROR(__xludf.DUMMYFUNCTION("""COMPUTED_VALUE"""),44655.66666666667)</f>
        <v>44655.66667</v>
      </c>
      <c r="B553" s="2">
        <f>IFERROR(__xludf.DUMMYFUNCTION("""COMPUTED_VALUE"""),4730.0)</f>
        <v>4730</v>
      </c>
      <c r="C553" s="2">
        <f>IFERROR(__xludf.DUMMYFUNCTION("""COMPUTED_VALUE"""),4730.0)</f>
        <v>4730</v>
      </c>
      <c r="D553" s="2">
        <f>IFERROR(__xludf.DUMMYFUNCTION("""COMPUTED_VALUE"""),4660.0)</f>
        <v>4660</v>
      </c>
      <c r="E553" s="2">
        <f>IFERROR(__xludf.DUMMYFUNCTION("""COMPUTED_VALUE"""),4700.0)</f>
        <v>4700</v>
      </c>
      <c r="F553" s="2">
        <f>IFERROR(__xludf.DUMMYFUNCTION("""COMPUTED_VALUE"""),1.03902E8)</f>
        <v>103902000</v>
      </c>
      <c r="G553" s="2">
        <f t="shared" si="1"/>
        <v>70</v>
      </c>
    </row>
    <row r="554" ht="15.75" customHeight="1">
      <c r="A554" s="1">
        <f>IFERROR(__xludf.DUMMYFUNCTION("""COMPUTED_VALUE"""),44656.66666666667)</f>
        <v>44656.66667</v>
      </c>
      <c r="B554" s="2">
        <f>IFERROR(__xludf.DUMMYFUNCTION("""COMPUTED_VALUE"""),4730.0)</f>
        <v>4730</v>
      </c>
      <c r="C554" s="2">
        <f>IFERROR(__xludf.DUMMYFUNCTION("""COMPUTED_VALUE"""),4740.0)</f>
        <v>4740</v>
      </c>
      <c r="D554" s="2">
        <f>IFERROR(__xludf.DUMMYFUNCTION("""COMPUTED_VALUE"""),4670.0)</f>
        <v>4670</v>
      </c>
      <c r="E554" s="2">
        <f>IFERROR(__xludf.DUMMYFUNCTION("""COMPUTED_VALUE"""),4700.0)</f>
        <v>4700</v>
      </c>
      <c r="F554" s="2">
        <f>IFERROR(__xludf.DUMMYFUNCTION("""COMPUTED_VALUE"""),7.61543E7)</f>
        <v>76154300</v>
      </c>
      <c r="G554" s="2">
        <f t="shared" si="1"/>
        <v>70</v>
      </c>
    </row>
    <row r="555" ht="15.75" customHeight="1">
      <c r="A555" s="1">
        <f>IFERROR(__xludf.DUMMYFUNCTION("""COMPUTED_VALUE"""),44657.66666666667)</f>
        <v>44657.66667</v>
      </c>
      <c r="B555" s="2">
        <f>IFERROR(__xludf.DUMMYFUNCTION("""COMPUTED_VALUE"""),4690.0)</f>
        <v>4690</v>
      </c>
      <c r="C555" s="2">
        <f>IFERROR(__xludf.DUMMYFUNCTION("""COMPUTED_VALUE"""),4690.0)</f>
        <v>4690</v>
      </c>
      <c r="D555" s="2">
        <f>IFERROR(__xludf.DUMMYFUNCTION("""COMPUTED_VALUE"""),4600.0)</f>
        <v>4600</v>
      </c>
      <c r="E555" s="2">
        <f>IFERROR(__xludf.DUMMYFUNCTION("""COMPUTED_VALUE"""),4600.0)</f>
        <v>4600</v>
      </c>
      <c r="F555" s="2">
        <f>IFERROR(__xludf.DUMMYFUNCTION("""COMPUTED_VALUE"""),1.110098E8)</f>
        <v>111009800</v>
      </c>
      <c r="G555" s="2">
        <f t="shared" si="1"/>
        <v>100</v>
      </c>
    </row>
    <row r="556" ht="15.75" customHeight="1">
      <c r="A556" s="1">
        <f>IFERROR(__xludf.DUMMYFUNCTION("""COMPUTED_VALUE"""),44658.66666666667)</f>
        <v>44658.66667</v>
      </c>
      <c r="B556" s="2">
        <f>IFERROR(__xludf.DUMMYFUNCTION("""COMPUTED_VALUE"""),4670.0)</f>
        <v>4670</v>
      </c>
      <c r="C556" s="2">
        <f>IFERROR(__xludf.DUMMYFUNCTION("""COMPUTED_VALUE"""),4670.0)</f>
        <v>4670</v>
      </c>
      <c r="D556" s="2">
        <f>IFERROR(__xludf.DUMMYFUNCTION("""COMPUTED_VALUE"""),4620.0)</f>
        <v>4620</v>
      </c>
      <c r="E556" s="2">
        <f>IFERROR(__xludf.DUMMYFUNCTION("""COMPUTED_VALUE"""),4630.0)</f>
        <v>4630</v>
      </c>
      <c r="F556" s="2">
        <f>IFERROR(__xludf.DUMMYFUNCTION("""COMPUTED_VALUE"""),9.19425E7)</f>
        <v>91942500</v>
      </c>
      <c r="G556" s="2">
        <f t="shared" si="1"/>
        <v>70</v>
      </c>
    </row>
    <row r="557" ht="15.75" customHeight="1">
      <c r="A557" s="1">
        <f>IFERROR(__xludf.DUMMYFUNCTION("""COMPUTED_VALUE"""),44659.66666666667)</f>
        <v>44659.66667</v>
      </c>
      <c r="B557" s="2">
        <f>IFERROR(__xludf.DUMMYFUNCTION("""COMPUTED_VALUE"""),4630.0)</f>
        <v>4630</v>
      </c>
      <c r="C557" s="2">
        <f>IFERROR(__xludf.DUMMYFUNCTION("""COMPUTED_VALUE"""),4650.0)</f>
        <v>4650</v>
      </c>
      <c r="D557" s="2">
        <f>IFERROR(__xludf.DUMMYFUNCTION("""COMPUTED_VALUE"""),4600.0)</f>
        <v>4600</v>
      </c>
      <c r="E557" s="2">
        <f>IFERROR(__xludf.DUMMYFUNCTION("""COMPUTED_VALUE"""),4610.0)</f>
        <v>4610</v>
      </c>
      <c r="F557" s="2">
        <f>IFERROR(__xludf.DUMMYFUNCTION("""COMPUTED_VALUE"""),1.256579E8)</f>
        <v>125657900</v>
      </c>
      <c r="G557" s="2">
        <f t="shared" si="1"/>
        <v>50</v>
      </c>
    </row>
    <row r="558" ht="15.75" customHeight="1">
      <c r="A558" s="1">
        <f>IFERROR(__xludf.DUMMYFUNCTION("""COMPUTED_VALUE"""),44662.66666666667)</f>
        <v>44662.66667</v>
      </c>
      <c r="B558" s="2">
        <f>IFERROR(__xludf.DUMMYFUNCTION("""COMPUTED_VALUE"""),4600.0)</f>
        <v>4600</v>
      </c>
      <c r="C558" s="2">
        <f>IFERROR(__xludf.DUMMYFUNCTION("""COMPUTED_VALUE"""),4620.0)</f>
        <v>4620</v>
      </c>
      <c r="D558" s="2">
        <f>IFERROR(__xludf.DUMMYFUNCTION("""COMPUTED_VALUE"""),4570.0)</f>
        <v>4570</v>
      </c>
      <c r="E558" s="2">
        <f>IFERROR(__xludf.DUMMYFUNCTION("""COMPUTED_VALUE"""),4570.0)</f>
        <v>4570</v>
      </c>
      <c r="F558" s="2">
        <f>IFERROR(__xludf.DUMMYFUNCTION("""COMPUTED_VALUE"""),1.098611E8)</f>
        <v>109861100</v>
      </c>
      <c r="G558" s="2">
        <f t="shared" si="1"/>
        <v>50</v>
      </c>
    </row>
    <row r="559" ht="15.75" customHeight="1">
      <c r="A559" s="1">
        <f>IFERROR(__xludf.DUMMYFUNCTION("""COMPUTED_VALUE"""),44663.66666666667)</f>
        <v>44663.66667</v>
      </c>
      <c r="B559" s="2">
        <f>IFERROR(__xludf.DUMMYFUNCTION("""COMPUTED_VALUE"""),4550.0)</f>
        <v>4550</v>
      </c>
      <c r="C559" s="2">
        <f>IFERROR(__xludf.DUMMYFUNCTION("""COMPUTED_VALUE"""),4610.0)</f>
        <v>4610</v>
      </c>
      <c r="D559" s="2">
        <f>IFERROR(__xludf.DUMMYFUNCTION("""COMPUTED_VALUE"""),4550.0)</f>
        <v>4550</v>
      </c>
      <c r="E559" s="2">
        <f>IFERROR(__xludf.DUMMYFUNCTION("""COMPUTED_VALUE"""),4610.0)</f>
        <v>4610</v>
      </c>
      <c r="F559" s="2">
        <f>IFERROR(__xludf.DUMMYFUNCTION("""COMPUTED_VALUE"""),9.69612E7)</f>
        <v>96961200</v>
      </c>
      <c r="G559" s="2">
        <f t="shared" si="1"/>
        <v>60</v>
      </c>
    </row>
    <row r="560" ht="15.75" customHeight="1">
      <c r="A560" s="1">
        <f>IFERROR(__xludf.DUMMYFUNCTION("""COMPUTED_VALUE"""),44664.66666666667)</f>
        <v>44664.66667</v>
      </c>
      <c r="B560" s="2">
        <f>IFERROR(__xludf.DUMMYFUNCTION("""COMPUTED_VALUE"""),4640.0)</f>
        <v>4640</v>
      </c>
      <c r="C560" s="2">
        <f>IFERROR(__xludf.DUMMYFUNCTION("""COMPUTED_VALUE"""),4640.0)</f>
        <v>4640</v>
      </c>
      <c r="D560" s="2">
        <f>IFERROR(__xludf.DUMMYFUNCTION("""COMPUTED_VALUE"""),4590.0)</f>
        <v>4590</v>
      </c>
      <c r="E560" s="2">
        <f>IFERROR(__xludf.DUMMYFUNCTION("""COMPUTED_VALUE"""),4610.0)</f>
        <v>4610</v>
      </c>
      <c r="F560" s="2">
        <f>IFERROR(__xludf.DUMMYFUNCTION("""COMPUTED_VALUE"""),1.123276E8)</f>
        <v>112327600</v>
      </c>
      <c r="G560" s="2">
        <f t="shared" si="1"/>
        <v>50</v>
      </c>
    </row>
    <row r="561" ht="15.75" customHeight="1">
      <c r="A561" s="1">
        <f>IFERROR(__xludf.DUMMYFUNCTION("""COMPUTED_VALUE"""),44665.66666666667)</f>
        <v>44665.66667</v>
      </c>
      <c r="B561" s="2">
        <f>IFERROR(__xludf.DUMMYFUNCTION("""COMPUTED_VALUE"""),4600.0)</f>
        <v>4600</v>
      </c>
      <c r="C561" s="2">
        <f>IFERROR(__xludf.DUMMYFUNCTION("""COMPUTED_VALUE"""),4610.0)</f>
        <v>4610</v>
      </c>
      <c r="D561" s="2">
        <f>IFERROR(__xludf.DUMMYFUNCTION("""COMPUTED_VALUE"""),4530.0)</f>
        <v>4530</v>
      </c>
      <c r="E561" s="2">
        <f>IFERROR(__xludf.DUMMYFUNCTION("""COMPUTED_VALUE"""),4540.0)</f>
        <v>4540</v>
      </c>
      <c r="F561" s="2">
        <f>IFERROR(__xludf.DUMMYFUNCTION("""COMPUTED_VALUE"""),1.506596E8)</f>
        <v>150659600</v>
      </c>
      <c r="G561" s="2">
        <f t="shared" si="1"/>
        <v>80</v>
      </c>
    </row>
    <row r="562" ht="15.75" customHeight="1">
      <c r="A562" s="1">
        <f>IFERROR(__xludf.DUMMYFUNCTION("""COMPUTED_VALUE"""),44669.66666666667)</f>
        <v>44669.66667</v>
      </c>
      <c r="B562" s="2">
        <f>IFERROR(__xludf.DUMMYFUNCTION("""COMPUTED_VALUE"""),4550.0)</f>
        <v>4550</v>
      </c>
      <c r="C562" s="2">
        <f>IFERROR(__xludf.DUMMYFUNCTION("""COMPUTED_VALUE"""),4580.0)</f>
        <v>4580</v>
      </c>
      <c r="D562" s="2">
        <f>IFERROR(__xludf.DUMMYFUNCTION("""COMPUTED_VALUE"""),4540.0)</f>
        <v>4540</v>
      </c>
      <c r="E562" s="2">
        <f>IFERROR(__xludf.DUMMYFUNCTION("""COMPUTED_VALUE"""),4550.0)</f>
        <v>4550</v>
      </c>
      <c r="F562" s="2">
        <f>IFERROR(__xludf.DUMMYFUNCTION("""COMPUTED_VALUE"""),8.27951E7)</f>
        <v>82795100</v>
      </c>
      <c r="G562" s="2">
        <f t="shared" si="1"/>
        <v>40</v>
      </c>
    </row>
    <row r="563" ht="15.75" customHeight="1">
      <c r="A563" s="1">
        <f>IFERROR(__xludf.DUMMYFUNCTION("""COMPUTED_VALUE"""),44670.66666666667)</f>
        <v>44670.66667</v>
      </c>
      <c r="B563" s="2">
        <f>IFERROR(__xludf.DUMMYFUNCTION("""COMPUTED_VALUE"""),4550.0)</f>
        <v>4550</v>
      </c>
      <c r="C563" s="2">
        <f>IFERROR(__xludf.DUMMYFUNCTION("""COMPUTED_VALUE"""),4600.0)</f>
        <v>4600</v>
      </c>
      <c r="D563" s="2">
        <f>IFERROR(__xludf.DUMMYFUNCTION("""COMPUTED_VALUE"""),4540.0)</f>
        <v>4540</v>
      </c>
      <c r="E563" s="2">
        <f>IFERROR(__xludf.DUMMYFUNCTION("""COMPUTED_VALUE"""),4570.0)</f>
        <v>4570</v>
      </c>
      <c r="F563" s="2">
        <f>IFERROR(__xludf.DUMMYFUNCTION("""COMPUTED_VALUE"""),1.484756E8)</f>
        <v>148475600</v>
      </c>
      <c r="G563" s="2">
        <f t="shared" si="1"/>
        <v>60</v>
      </c>
    </row>
    <row r="564" ht="15.75" customHeight="1">
      <c r="A564" s="1">
        <f>IFERROR(__xludf.DUMMYFUNCTION("""COMPUTED_VALUE"""),44671.66666666667)</f>
        <v>44671.66667</v>
      </c>
      <c r="B564" s="2">
        <f>IFERROR(__xludf.DUMMYFUNCTION("""COMPUTED_VALUE"""),4610.0)</f>
        <v>4610</v>
      </c>
      <c r="C564" s="2">
        <f>IFERROR(__xludf.DUMMYFUNCTION("""COMPUTED_VALUE"""),4870.0)</f>
        <v>4870</v>
      </c>
      <c r="D564" s="2">
        <f>IFERROR(__xludf.DUMMYFUNCTION("""COMPUTED_VALUE"""),4600.0)</f>
        <v>4600</v>
      </c>
      <c r="E564" s="2">
        <f>IFERROR(__xludf.DUMMYFUNCTION("""COMPUTED_VALUE"""),4850.0)</f>
        <v>4850</v>
      </c>
      <c r="F564" s="2">
        <f>IFERROR(__xludf.DUMMYFUNCTION("""COMPUTED_VALUE"""),4.043831E8)</f>
        <v>404383100</v>
      </c>
      <c r="G564" s="2">
        <f t="shared" si="1"/>
        <v>300</v>
      </c>
    </row>
    <row r="565" ht="15.75" customHeight="1">
      <c r="A565" s="1">
        <f>IFERROR(__xludf.DUMMYFUNCTION("""COMPUTED_VALUE"""),44672.66666666667)</f>
        <v>44672.66667</v>
      </c>
      <c r="B565" s="2">
        <f>IFERROR(__xludf.DUMMYFUNCTION("""COMPUTED_VALUE"""),4850.0)</f>
        <v>4850</v>
      </c>
      <c r="C565" s="2">
        <f>IFERROR(__xludf.DUMMYFUNCTION("""COMPUTED_VALUE"""),4850.0)</f>
        <v>4850</v>
      </c>
      <c r="D565" s="2">
        <f>IFERROR(__xludf.DUMMYFUNCTION("""COMPUTED_VALUE"""),4760.0)</f>
        <v>4760</v>
      </c>
      <c r="E565" s="2">
        <f>IFERROR(__xludf.DUMMYFUNCTION("""COMPUTED_VALUE"""),4800.0)</f>
        <v>4800</v>
      </c>
      <c r="F565" s="2">
        <f>IFERROR(__xludf.DUMMYFUNCTION("""COMPUTED_VALUE"""),2.082533E8)</f>
        <v>208253300</v>
      </c>
      <c r="G565" s="2">
        <f t="shared" si="1"/>
        <v>90</v>
      </c>
    </row>
    <row r="566" ht="15.75" customHeight="1">
      <c r="A566" s="1">
        <f>IFERROR(__xludf.DUMMYFUNCTION("""COMPUTED_VALUE"""),44673.66666666667)</f>
        <v>44673.66667</v>
      </c>
      <c r="B566" s="2">
        <f>IFERROR(__xludf.DUMMYFUNCTION("""COMPUTED_VALUE"""),4750.0)</f>
        <v>4750</v>
      </c>
      <c r="C566" s="2">
        <f>IFERROR(__xludf.DUMMYFUNCTION("""COMPUTED_VALUE"""),4850.0)</f>
        <v>4850</v>
      </c>
      <c r="D566" s="2">
        <f>IFERROR(__xludf.DUMMYFUNCTION("""COMPUTED_VALUE"""),4720.0)</f>
        <v>4720</v>
      </c>
      <c r="E566" s="2">
        <f>IFERROR(__xludf.DUMMYFUNCTION("""COMPUTED_VALUE"""),4750.0)</f>
        <v>4750</v>
      </c>
      <c r="F566" s="2">
        <f>IFERROR(__xludf.DUMMYFUNCTION("""COMPUTED_VALUE"""),1.743495E8)</f>
        <v>174349500</v>
      </c>
      <c r="G566" s="2">
        <f t="shared" si="1"/>
        <v>130</v>
      </c>
    </row>
    <row r="567" ht="15.75" customHeight="1">
      <c r="A567" s="1">
        <f>IFERROR(__xludf.DUMMYFUNCTION("""COMPUTED_VALUE"""),44676.66666666667)</f>
        <v>44676.66667</v>
      </c>
      <c r="B567" s="2">
        <f>IFERROR(__xludf.DUMMYFUNCTION("""COMPUTED_VALUE"""),4700.0)</f>
        <v>4700</v>
      </c>
      <c r="C567" s="2">
        <f>IFERROR(__xludf.DUMMYFUNCTION("""COMPUTED_VALUE"""),4850.0)</f>
        <v>4850</v>
      </c>
      <c r="D567" s="2">
        <f>IFERROR(__xludf.DUMMYFUNCTION("""COMPUTED_VALUE"""),4670.0)</f>
        <v>4670</v>
      </c>
      <c r="E567" s="2">
        <f>IFERROR(__xludf.DUMMYFUNCTION("""COMPUTED_VALUE"""),4840.0)</f>
        <v>4840</v>
      </c>
      <c r="F567" s="2">
        <f>IFERROR(__xludf.DUMMYFUNCTION("""COMPUTED_VALUE"""),2.357524E8)</f>
        <v>235752400</v>
      </c>
      <c r="G567" s="2">
        <f t="shared" si="1"/>
        <v>180</v>
      </c>
    </row>
    <row r="568" ht="15.75" customHeight="1">
      <c r="A568" s="1">
        <f>IFERROR(__xludf.DUMMYFUNCTION("""COMPUTED_VALUE"""),44677.66666666667)</f>
        <v>44677.66667</v>
      </c>
      <c r="B568" s="2">
        <f>IFERROR(__xludf.DUMMYFUNCTION("""COMPUTED_VALUE"""),4840.0)</f>
        <v>4840</v>
      </c>
      <c r="C568" s="2">
        <f>IFERROR(__xludf.DUMMYFUNCTION("""COMPUTED_VALUE"""),4980.0)</f>
        <v>4980</v>
      </c>
      <c r="D568" s="2">
        <f>IFERROR(__xludf.DUMMYFUNCTION("""COMPUTED_VALUE"""),4830.0)</f>
        <v>4830</v>
      </c>
      <c r="E568" s="2">
        <f>IFERROR(__xludf.DUMMYFUNCTION("""COMPUTED_VALUE"""),4940.0)</f>
        <v>4940</v>
      </c>
      <c r="F568" s="2">
        <f>IFERROR(__xludf.DUMMYFUNCTION("""COMPUTED_VALUE"""),2.627343E8)</f>
        <v>262734300</v>
      </c>
      <c r="G568" s="2">
        <f t="shared" si="1"/>
        <v>150</v>
      </c>
    </row>
    <row r="569" ht="15.75" customHeight="1">
      <c r="A569" s="1">
        <f>IFERROR(__xludf.DUMMYFUNCTION("""COMPUTED_VALUE"""),44678.66666666667)</f>
        <v>44678.66667</v>
      </c>
      <c r="B569" s="2">
        <f>IFERROR(__xludf.DUMMYFUNCTION("""COMPUTED_VALUE"""),4900.0)</f>
        <v>4900</v>
      </c>
      <c r="C569" s="2">
        <f>IFERROR(__xludf.DUMMYFUNCTION("""COMPUTED_VALUE"""),4930.0)</f>
        <v>4930</v>
      </c>
      <c r="D569" s="2">
        <f>IFERROR(__xludf.DUMMYFUNCTION("""COMPUTED_VALUE"""),4850.0)</f>
        <v>4850</v>
      </c>
      <c r="E569" s="2">
        <f>IFERROR(__xludf.DUMMYFUNCTION("""COMPUTED_VALUE"""),4850.0)</f>
        <v>4850</v>
      </c>
      <c r="F569" s="2">
        <f>IFERROR(__xludf.DUMMYFUNCTION("""COMPUTED_VALUE"""),1.919551E8)</f>
        <v>191955100</v>
      </c>
      <c r="G569" s="2">
        <f t="shared" si="1"/>
        <v>90</v>
      </c>
    </row>
    <row r="570" ht="15.75" customHeight="1">
      <c r="A570" s="1">
        <f>IFERROR(__xludf.DUMMYFUNCTION("""COMPUTED_VALUE"""),44679.66666666667)</f>
        <v>44679.66667</v>
      </c>
      <c r="B570" s="2">
        <f>IFERROR(__xludf.DUMMYFUNCTION("""COMPUTED_VALUE"""),4870.0)</f>
        <v>4870</v>
      </c>
      <c r="C570" s="2">
        <f>IFERROR(__xludf.DUMMYFUNCTION("""COMPUTED_VALUE"""),4930.0)</f>
        <v>4930</v>
      </c>
      <c r="D570" s="2">
        <f>IFERROR(__xludf.DUMMYFUNCTION("""COMPUTED_VALUE"""),4860.0)</f>
        <v>4860</v>
      </c>
      <c r="E570" s="2">
        <f>IFERROR(__xludf.DUMMYFUNCTION("""COMPUTED_VALUE"""),4870.0)</f>
        <v>4870</v>
      </c>
      <c r="F570" s="2">
        <f>IFERROR(__xludf.DUMMYFUNCTION("""COMPUTED_VALUE"""),1.938212E8)</f>
        <v>193821200</v>
      </c>
      <c r="G570" s="2">
        <f t="shared" si="1"/>
        <v>80</v>
      </c>
    </row>
    <row r="571" ht="15.75" customHeight="1">
      <c r="A571" s="1">
        <f>IFERROR(__xludf.DUMMYFUNCTION("""COMPUTED_VALUE"""),44690.66666666667)</f>
        <v>44690.66667</v>
      </c>
      <c r="B571" s="2">
        <f>IFERROR(__xludf.DUMMYFUNCTION("""COMPUTED_VALUE"""),4750.0)</f>
        <v>4750</v>
      </c>
      <c r="C571" s="2">
        <f>IFERROR(__xludf.DUMMYFUNCTION("""COMPUTED_VALUE"""),4760.0)</f>
        <v>4760</v>
      </c>
      <c r="D571" s="2">
        <f>IFERROR(__xludf.DUMMYFUNCTION("""COMPUTED_VALUE"""),4530.0)</f>
        <v>4530</v>
      </c>
      <c r="E571" s="2">
        <f>IFERROR(__xludf.DUMMYFUNCTION("""COMPUTED_VALUE"""),4530.0)</f>
        <v>4530</v>
      </c>
      <c r="F571" s="2">
        <f>IFERROR(__xludf.DUMMYFUNCTION("""COMPUTED_VALUE"""),5.616004E8)</f>
        <v>561600400</v>
      </c>
      <c r="G571" s="2">
        <f t="shared" si="1"/>
        <v>340</v>
      </c>
    </row>
    <row r="572" ht="15.75" customHeight="1">
      <c r="A572" s="1">
        <f>IFERROR(__xludf.DUMMYFUNCTION("""COMPUTED_VALUE"""),44691.66666666667)</f>
        <v>44691.66667</v>
      </c>
      <c r="B572" s="2">
        <f>IFERROR(__xludf.DUMMYFUNCTION("""COMPUTED_VALUE"""),4260.0)</f>
        <v>4260</v>
      </c>
      <c r="C572" s="2">
        <f>IFERROR(__xludf.DUMMYFUNCTION("""COMPUTED_VALUE"""),4530.0)</f>
        <v>4530</v>
      </c>
      <c r="D572" s="2">
        <f>IFERROR(__xludf.DUMMYFUNCTION("""COMPUTED_VALUE"""),4260.0)</f>
        <v>4260</v>
      </c>
      <c r="E572" s="2">
        <f>IFERROR(__xludf.DUMMYFUNCTION("""COMPUTED_VALUE"""),4530.0)</f>
        <v>4530</v>
      </c>
      <c r="F572" s="2">
        <f>IFERROR(__xludf.DUMMYFUNCTION("""COMPUTED_VALUE"""),4.357828E8)</f>
        <v>435782800</v>
      </c>
      <c r="G572" s="2">
        <f t="shared" si="1"/>
        <v>270</v>
      </c>
    </row>
    <row r="573" ht="15.75" customHeight="1">
      <c r="A573" s="1">
        <f>IFERROR(__xludf.DUMMYFUNCTION("""COMPUTED_VALUE"""),44692.66666666667)</f>
        <v>44692.66667</v>
      </c>
      <c r="B573" s="2">
        <f>IFERROR(__xludf.DUMMYFUNCTION("""COMPUTED_VALUE"""),4550.0)</f>
        <v>4550</v>
      </c>
      <c r="C573" s="2">
        <f>IFERROR(__xludf.DUMMYFUNCTION("""COMPUTED_VALUE"""),4580.0)</f>
        <v>4580</v>
      </c>
      <c r="D573" s="2">
        <f>IFERROR(__xludf.DUMMYFUNCTION("""COMPUTED_VALUE"""),4480.0)</f>
        <v>4480</v>
      </c>
      <c r="E573" s="2">
        <f>IFERROR(__xludf.DUMMYFUNCTION("""COMPUTED_VALUE"""),4490.0)</f>
        <v>4490</v>
      </c>
      <c r="F573" s="2">
        <f>IFERROR(__xludf.DUMMYFUNCTION("""COMPUTED_VALUE"""),2.052338E8)</f>
        <v>205233800</v>
      </c>
      <c r="G573" s="2">
        <f t="shared" si="1"/>
        <v>100</v>
      </c>
    </row>
    <row r="574" ht="15.75" customHeight="1">
      <c r="A574" s="1">
        <f>IFERROR(__xludf.DUMMYFUNCTION("""COMPUTED_VALUE"""),44693.66666666667)</f>
        <v>44693.66667</v>
      </c>
      <c r="B574" s="2">
        <f>IFERROR(__xludf.DUMMYFUNCTION("""COMPUTED_VALUE"""),4490.0)</f>
        <v>4490</v>
      </c>
      <c r="C574" s="2">
        <f>IFERROR(__xludf.DUMMYFUNCTION("""COMPUTED_VALUE"""),4490.0)</f>
        <v>4490</v>
      </c>
      <c r="D574" s="2">
        <f>IFERROR(__xludf.DUMMYFUNCTION("""COMPUTED_VALUE"""),4300.0)</f>
        <v>4300</v>
      </c>
      <c r="E574" s="2">
        <f>IFERROR(__xludf.DUMMYFUNCTION("""COMPUTED_VALUE"""),4320.0)</f>
        <v>4320</v>
      </c>
      <c r="F574" s="2">
        <f>IFERROR(__xludf.DUMMYFUNCTION("""COMPUTED_VALUE"""),2.073736E8)</f>
        <v>207373600</v>
      </c>
      <c r="G574" s="2">
        <f t="shared" si="1"/>
        <v>190</v>
      </c>
    </row>
    <row r="575" ht="15.75" customHeight="1">
      <c r="A575" s="1">
        <f>IFERROR(__xludf.DUMMYFUNCTION("""COMPUTED_VALUE"""),44694.66666666667)</f>
        <v>44694.66667</v>
      </c>
      <c r="B575" s="2">
        <f>IFERROR(__xludf.DUMMYFUNCTION("""COMPUTED_VALUE"""),4250.0)</f>
        <v>4250</v>
      </c>
      <c r="C575" s="2">
        <f>IFERROR(__xludf.DUMMYFUNCTION("""COMPUTED_VALUE"""),4360.0)</f>
        <v>4360</v>
      </c>
      <c r="D575" s="2">
        <f>IFERROR(__xludf.DUMMYFUNCTION("""COMPUTED_VALUE"""),4250.0)</f>
        <v>4250</v>
      </c>
      <c r="E575" s="2">
        <f>IFERROR(__xludf.DUMMYFUNCTION("""COMPUTED_VALUE"""),4250.0)</f>
        <v>4250</v>
      </c>
      <c r="F575" s="2">
        <f>IFERROR(__xludf.DUMMYFUNCTION("""COMPUTED_VALUE"""),3.367113E8)</f>
        <v>336711300</v>
      </c>
      <c r="G575" s="2">
        <f t="shared" si="1"/>
        <v>110</v>
      </c>
    </row>
    <row r="576" ht="15.75" customHeight="1">
      <c r="A576" s="1">
        <f>IFERROR(__xludf.DUMMYFUNCTION("""COMPUTED_VALUE"""),44698.66666666667)</f>
        <v>44698.66667</v>
      </c>
      <c r="B576" s="2">
        <f>IFERROR(__xludf.DUMMYFUNCTION("""COMPUTED_VALUE"""),4270.0)</f>
        <v>4270</v>
      </c>
      <c r="C576" s="2">
        <f>IFERROR(__xludf.DUMMYFUNCTION("""COMPUTED_VALUE"""),4520.0)</f>
        <v>4520</v>
      </c>
      <c r="D576" s="2">
        <f>IFERROR(__xludf.DUMMYFUNCTION("""COMPUTED_VALUE"""),4270.0)</f>
        <v>4270</v>
      </c>
      <c r="E576" s="2">
        <f>IFERROR(__xludf.DUMMYFUNCTION("""COMPUTED_VALUE"""),4450.0)</f>
        <v>4450</v>
      </c>
      <c r="F576" s="2">
        <f>IFERROR(__xludf.DUMMYFUNCTION("""COMPUTED_VALUE"""),2.726504E8)</f>
        <v>272650400</v>
      </c>
      <c r="G576" s="2">
        <f t="shared" si="1"/>
        <v>270</v>
      </c>
    </row>
    <row r="577" ht="15.75" customHeight="1">
      <c r="A577" s="1">
        <f>IFERROR(__xludf.DUMMYFUNCTION("""COMPUTED_VALUE"""),44699.66666666667)</f>
        <v>44699.66667</v>
      </c>
      <c r="B577" s="2">
        <f>IFERROR(__xludf.DUMMYFUNCTION("""COMPUTED_VALUE"""),4500.0)</f>
        <v>4500</v>
      </c>
      <c r="C577" s="2">
        <f>IFERROR(__xludf.DUMMYFUNCTION("""COMPUTED_VALUE"""),4530.0)</f>
        <v>4530</v>
      </c>
      <c r="D577" s="2">
        <f>IFERROR(__xludf.DUMMYFUNCTION("""COMPUTED_VALUE"""),4430.0)</f>
        <v>4430</v>
      </c>
      <c r="E577" s="2">
        <f>IFERROR(__xludf.DUMMYFUNCTION("""COMPUTED_VALUE"""),4450.0)</f>
        <v>4450</v>
      </c>
      <c r="F577" s="2">
        <f>IFERROR(__xludf.DUMMYFUNCTION("""COMPUTED_VALUE"""),1.297165E8)</f>
        <v>129716500</v>
      </c>
      <c r="G577" s="2">
        <f t="shared" si="1"/>
        <v>100</v>
      </c>
    </row>
    <row r="578" ht="15.75" customHeight="1">
      <c r="A578" s="1">
        <f>IFERROR(__xludf.DUMMYFUNCTION("""COMPUTED_VALUE"""),44700.66666666667)</f>
        <v>44700.66667</v>
      </c>
      <c r="B578" s="2">
        <f>IFERROR(__xludf.DUMMYFUNCTION("""COMPUTED_VALUE"""),4350.0)</f>
        <v>4350</v>
      </c>
      <c r="C578" s="2">
        <f>IFERROR(__xludf.DUMMYFUNCTION("""COMPUTED_VALUE"""),4460.0)</f>
        <v>4460</v>
      </c>
      <c r="D578" s="2">
        <f>IFERROR(__xludf.DUMMYFUNCTION("""COMPUTED_VALUE"""),4300.0)</f>
        <v>4300</v>
      </c>
      <c r="E578" s="2">
        <f>IFERROR(__xludf.DUMMYFUNCTION("""COMPUTED_VALUE"""),4440.0)</f>
        <v>4440</v>
      </c>
      <c r="F578" s="2">
        <f>IFERROR(__xludf.DUMMYFUNCTION("""COMPUTED_VALUE"""),1.326149E8)</f>
        <v>132614900</v>
      </c>
      <c r="G578" s="2">
        <f t="shared" si="1"/>
        <v>160</v>
      </c>
    </row>
    <row r="579" ht="15.75" customHeight="1">
      <c r="A579" s="1">
        <f>IFERROR(__xludf.DUMMYFUNCTION("""COMPUTED_VALUE"""),44701.66666666667)</f>
        <v>44701.66667</v>
      </c>
      <c r="B579" s="2">
        <f>IFERROR(__xludf.DUMMYFUNCTION("""COMPUTED_VALUE"""),4440.0)</f>
        <v>4440</v>
      </c>
      <c r="C579" s="2">
        <f>IFERROR(__xludf.DUMMYFUNCTION("""COMPUTED_VALUE"""),4490.0)</f>
        <v>4490</v>
      </c>
      <c r="D579" s="2">
        <f>IFERROR(__xludf.DUMMYFUNCTION("""COMPUTED_VALUE"""),4410.0)</f>
        <v>4410</v>
      </c>
      <c r="E579" s="2">
        <f>IFERROR(__xludf.DUMMYFUNCTION("""COMPUTED_VALUE"""),4430.0)</f>
        <v>4430</v>
      </c>
      <c r="F579" s="2">
        <f>IFERROR(__xludf.DUMMYFUNCTION("""COMPUTED_VALUE"""),1.22101E8)</f>
        <v>122101000</v>
      </c>
      <c r="G579" s="2">
        <f t="shared" si="1"/>
        <v>80</v>
      </c>
    </row>
    <row r="580" ht="15.75" customHeight="1">
      <c r="A580" s="1">
        <f>IFERROR(__xludf.DUMMYFUNCTION("""COMPUTED_VALUE"""),44704.66666666667)</f>
        <v>44704.66667</v>
      </c>
      <c r="B580" s="2">
        <f>IFERROR(__xludf.DUMMYFUNCTION("""COMPUTED_VALUE"""),4410.0)</f>
        <v>4410</v>
      </c>
      <c r="C580" s="2">
        <f>IFERROR(__xludf.DUMMYFUNCTION("""COMPUTED_VALUE"""),4440.0)</f>
        <v>4440</v>
      </c>
      <c r="D580" s="2">
        <f>IFERROR(__xludf.DUMMYFUNCTION("""COMPUTED_VALUE"""),4320.0)</f>
        <v>4320</v>
      </c>
      <c r="E580" s="2">
        <f>IFERROR(__xludf.DUMMYFUNCTION("""COMPUTED_VALUE"""),4330.0)</f>
        <v>4330</v>
      </c>
      <c r="F580" s="2">
        <f>IFERROR(__xludf.DUMMYFUNCTION("""COMPUTED_VALUE"""),1.75709E8)</f>
        <v>175709000</v>
      </c>
      <c r="G580" s="2">
        <f t="shared" si="1"/>
        <v>120</v>
      </c>
    </row>
    <row r="581" ht="15.75" customHeight="1">
      <c r="A581" s="1">
        <f>IFERROR(__xludf.DUMMYFUNCTION("""COMPUTED_VALUE"""),44705.66666666667)</f>
        <v>44705.66667</v>
      </c>
      <c r="B581" s="2">
        <f>IFERROR(__xludf.DUMMYFUNCTION("""COMPUTED_VALUE"""),4320.0)</f>
        <v>4320</v>
      </c>
      <c r="C581" s="2">
        <f>IFERROR(__xludf.DUMMYFUNCTION("""COMPUTED_VALUE"""),4500.0)</f>
        <v>4500</v>
      </c>
      <c r="D581" s="2">
        <f>IFERROR(__xludf.DUMMYFUNCTION("""COMPUTED_VALUE"""),4320.0)</f>
        <v>4320</v>
      </c>
      <c r="E581" s="2">
        <f>IFERROR(__xludf.DUMMYFUNCTION("""COMPUTED_VALUE"""),4460.0)</f>
        <v>4460</v>
      </c>
      <c r="F581" s="2">
        <f>IFERROR(__xludf.DUMMYFUNCTION("""COMPUTED_VALUE"""),1.657586E8)</f>
        <v>165758600</v>
      </c>
      <c r="G581" s="2">
        <f t="shared" si="1"/>
        <v>180</v>
      </c>
    </row>
    <row r="582" ht="15.75" customHeight="1">
      <c r="A582" s="1">
        <f>IFERROR(__xludf.DUMMYFUNCTION("""COMPUTED_VALUE"""),44706.66666666667)</f>
        <v>44706.66667</v>
      </c>
      <c r="B582" s="2">
        <f>IFERROR(__xludf.DUMMYFUNCTION("""COMPUTED_VALUE"""),4430.0)</f>
        <v>4430</v>
      </c>
      <c r="C582" s="2">
        <f>IFERROR(__xludf.DUMMYFUNCTION("""COMPUTED_VALUE"""),4450.0)</f>
        <v>4450</v>
      </c>
      <c r="D582" s="2">
        <f>IFERROR(__xludf.DUMMYFUNCTION("""COMPUTED_VALUE"""),4350.0)</f>
        <v>4350</v>
      </c>
      <c r="E582" s="2">
        <f>IFERROR(__xludf.DUMMYFUNCTION("""COMPUTED_VALUE"""),4350.0)</f>
        <v>4350</v>
      </c>
      <c r="F582" s="2">
        <f>IFERROR(__xludf.DUMMYFUNCTION("""COMPUTED_VALUE"""),1.389617E8)</f>
        <v>138961700</v>
      </c>
      <c r="G582" s="2">
        <f t="shared" si="1"/>
        <v>110</v>
      </c>
    </row>
    <row r="583" ht="15.75" customHeight="1">
      <c r="A583" s="1">
        <f>IFERROR(__xludf.DUMMYFUNCTION("""COMPUTED_VALUE"""),44708.66666666667)</f>
        <v>44708.66667</v>
      </c>
      <c r="B583" s="2">
        <f>IFERROR(__xludf.DUMMYFUNCTION("""COMPUTED_VALUE"""),4500.0)</f>
        <v>4500</v>
      </c>
      <c r="C583" s="2">
        <f>IFERROR(__xludf.DUMMYFUNCTION("""COMPUTED_VALUE"""),4540.0)</f>
        <v>4540</v>
      </c>
      <c r="D583" s="2">
        <f>IFERROR(__xludf.DUMMYFUNCTION("""COMPUTED_VALUE"""),4440.0)</f>
        <v>4440</v>
      </c>
      <c r="E583" s="2">
        <f>IFERROR(__xludf.DUMMYFUNCTION("""COMPUTED_VALUE"""),4540.0)</f>
        <v>4540</v>
      </c>
      <c r="F583" s="2">
        <f>IFERROR(__xludf.DUMMYFUNCTION("""COMPUTED_VALUE"""),2.099621E8)</f>
        <v>209962100</v>
      </c>
      <c r="G583" s="2">
        <f t="shared" si="1"/>
        <v>190</v>
      </c>
    </row>
    <row r="584" ht="15.75" customHeight="1">
      <c r="A584" s="1">
        <f>IFERROR(__xludf.DUMMYFUNCTION("""COMPUTED_VALUE"""),44711.66666666667)</f>
        <v>44711.66667</v>
      </c>
      <c r="B584" s="2">
        <f>IFERROR(__xludf.DUMMYFUNCTION("""COMPUTED_VALUE"""),4540.0)</f>
        <v>4540</v>
      </c>
      <c r="C584" s="2">
        <f>IFERROR(__xludf.DUMMYFUNCTION("""COMPUTED_VALUE"""),4540.0)</f>
        <v>4540</v>
      </c>
      <c r="D584" s="2">
        <f>IFERROR(__xludf.DUMMYFUNCTION("""COMPUTED_VALUE"""),4390.0)</f>
        <v>4390</v>
      </c>
      <c r="E584" s="2">
        <f>IFERROR(__xludf.DUMMYFUNCTION("""COMPUTED_VALUE"""),4430.0)</f>
        <v>4430</v>
      </c>
      <c r="F584" s="2">
        <f>IFERROR(__xludf.DUMMYFUNCTION("""COMPUTED_VALUE"""),1.937245E8)</f>
        <v>193724500</v>
      </c>
      <c r="G584" s="2">
        <f t="shared" si="1"/>
        <v>150</v>
      </c>
    </row>
    <row r="585" ht="15.75" customHeight="1">
      <c r="A585" s="1">
        <f>IFERROR(__xludf.DUMMYFUNCTION("""COMPUTED_VALUE"""),44712.66666666667)</f>
        <v>44712.66667</v>
      </c>
      <c r="B585" s="2">
        <f>IFERROR(__xludf.DUMMYFUNCTION("""COMPUTED_VALUE"""),4470.0)</f>
        <v>4470</v>
      </c>
      <c r="C585" s="2">
        <f>IFERROR(__xludf.DUMMYFUNCTION("""COMPUTED_VALUE"""),4630.0)</f>
        <v>4630</v>
      </c>
      <c r="D585" s="2">
        <f>IFERROR(__xludf.DUMMYFUNCTION("""COMPUTED_VALUE"""),4450.0)</f>
        <v>4450</v>
      </c>
      <c r="E585" s="2">
        <f>IFERROR(__xludf.DUMMYFUNCTION("""COMPUTED_VALUE"""),4630.0)</f>
        <v>4630</v>
      </c>
      <c r="F585" s="2">
        <f>IFERROR(__xludf.DUMMYFUNCTION("""COMPUTED_VALUE"""),3.796265E8)</f>
        <v>379626500</v>
      </c>
      <c r="G585" s="2">
        <f t="shared" si="1"/>
        <v>200</v>
      </c>
    </row>
    <row r="586" ht="15.75" customHeight="1">
      <c r="A586" s="1">
        <f>IFERROR(__xludf.DUMMYFUNCTION("""COMPUTED_VALUE"""),44714.66666666667)</f>
        <v>44714.66667</v>
      </c>
      <c r="B586" s="2">
        <f>IFERROR(__xludf.DUMMYFUNCTION("""COMPUTED_VALUE"""),4540.0)</f>
        <v>4540</v>
      </c>
      <c r="C586" s="2">
        <f>IFERROR(__xludf.DUMMYFUNCTION("""COMPUTED_VALUE"""),4600.0)</f>
        <v>4600</v>
      </c>
      <c r="D586" s="2">
        <f>IFERROR(__xludf.DUMMYFUNCTION("""COMPUTED_VALUE"""),4480.0)</f>
        <v>4480</v>
      </c>
      <c r="E586" s="2">
        <f>IFERROR(__xludf.DUMMYFUNCTION("""COMPUTED_VALUE"""),4480.0)</f>
        <v>4480</v>
      </c>
      <c r="F586" s="2">
        <f>IFERROR(__xludf.DUMMYFUNCTION("""COMPUTED_VALUE"""),2.256975E8)</f>
        <v>225697500</v>
      </c>
      <c r="G586" s="2">
        <f t="shared" si="1"/>
        <v>150</v>
      </c>
    </row>
    <row r="587" ht="15.75" customHeight="1">
      <c r="A587" s="1">
        <f>IFERROR(__xludf.DUMMYFUNCTION("""COMPUTED_VALUE"""),44715.66666666667)</f>
        <v>44715.66667</v>
      </c>
      <c r="B587" s="2">
        <f>IFERROR(__xludf.DUMMYFUNCTION("""COMPUTED_VALUE"""),4530.0)</f>
        <v>4530</v>
      </c>
      <c r="C587" s="2">
        <f>IFERROR(__xludf.DUMMYFUNCTION("""COMPUTED_VALUE"""),4570.0)</f>
        <v>4570</v>
      </c>
      <c r="D587" s="2">
        <f>IFERROR(__xludf.DUMMYFUNCTION("""COMPUTED_VALUE"""),4510.0)</f>
        <v>4510</v>
      </c>
      <c r="E587" s="2">
        <f>IFERROR(__xludf.DUMMYFUNCTION("""COMPUTED_VALUE"""),4520.0)</f>
        <v>4520</v>
      </c>
      <c r="F587" s="2">
        <f>IFERROR(__xludf.DUMMYFUNCTION("""COMPUTED_VALUE"""),1.176433E8)</f>
        <v>117643300</v>
      </c>
      <c r="G587" s="2">
        <f t="shared" si="1"/>
        <v>90</v>
      </c>
    </row>
    <row r="588" ht="15.75" customHeight="1">
      <c r="A588" s="1">
        <f>IFERROR(__xludf.DUMMYFUNCTION("""COMPUTED_VALUE"""),44718.66666666667)</f>
        <v>44718.66667</v>
      </c>
      <c r="B588" s="2">
        <f>IFERROR(__xludf.DUMMYFUNCTION("""COMPUTED_VALUE"""),4470.0)</f>
        <v>4470</v>
      </c>
      <c r="C588" s="2">
        <f>IFERROR(__xludf.DUMMYFUNCTION("""COMPUTED_VALUE"""),4510.0)</f>
        <v>4510</v>
      </c>
      <c r="D588" s="2">
        <f>IFERROR(__xludf.DUMMYFUNCTION("""COMPUTED_VALUE"""),4400.0)</f>
        <v>4400</v>
      </c>
      <c r="E588" s="2">
        <f>IFERROR(__xludf.DUMMYFUNCTION("""COMPUTED_VALUE"""),4430.0)</f>
        <v>4430</v>
      </c>
      <c r="F588" s="2">
        <f>IFERROR(__xludf.DUMMYFUNCTION("""COMPUTED_VALUE"""),1.572777E8)</f>
        <v>157277700</v>
      </c>
      <c r="G588" s="2">
        <f t="shared" si="1"/>
        <v>120</v>
      </c>
    </row>
    <row r="589" ht="15.75" customHeight="1">
      <c r="A589" s="1">
        <f>IFERROR(__xludf.DUMMYFUNCTION("""COMPUTED_VALUE"""),44719.66666666667)</f>
        <v>44719.66667</v>
      </c>
      <c r="B589" s="2">
        <f>IFERROR(__xludf.DUMMYFUNCTION("""COMPUTED_VALUE"""),4460.0)</f>
        <v>4460</v>
      </c>
      <c r="C589" s="2">
        <f>IFERROR(__xludf.DUMMYFUNCTION("""COMPUTED_VALUE"""),4460.0)</f>
        <v>4460</v>
      </c>
      <c r="D589" s="2">
        <f>IFERROR(__xludf.DUMMYFUNCTION("""COMPUTED_VALUE"""),4400.0)</f>
        <v>4400</v>
      </c>
      <c r="E589" s="2">
        <f>IFERROR(__xludf.DUMMYFUNCTION("""COMPUTED_VALUE"""),4400.0)</f>
        <v>4400</v>
      </c>
      <c r="F589" s="2">
        <f>IFERROR(__xludf.DUMMYFUNCTION("""COMPUTED_VALUE"""),1.333224E8)</f>
        <v>133322400</v>
      </c>
      <c r="G589" s="2">
        <f t="shared" si="1"/>
        <v>60</v>
      </c>
    </row>
    <row r="590" ht="15.75" customHeight="1">
      <c r="A590" s="1">
        <f>IFERROR(__xludf.DUMMYFUNCTION("""COMPUTED_VALUE"""),44720.66666666667)</f>
        <v>44720.66667</v>
      </c>
      <c r="B590" s="2">
        <f>IFERROR(__xludf.DUMMYFUNCTION("""COMPUTED_VALUE"""),4400.0)</f>
        <v>4400</v>
      </c>
      <c r="C590" s="2">
        <f>IFERROR(__xludf.DUMMYFUNCTION("""COMPUTED_VALUE"""),4470.0)</f>
        <v>4470</v>
      </c>
      <c r="D590" s="2">
        <f>IFERROR(__xludf.DUMMYFUNCTION("""COMPUTED_VALUE"""),4380.0)</f>
        <v>4380</v>
      </c>
      <c r="E590" s="2">
        <f>IFERROR(__xludf.DUMMYFUNCTION("""COMPUTED_VALUE"""),4470.0)</f>
        <v>4470</v>
      </c>
      <c r="F590" s="2">
        <f>IFERROR(__xludf.DUMMYFUNCTION("""COMPUTED_VALUE"""),1.50604E8)</f>
        <v>150604000</v>
      </c>
      <c r="G590" s="2">
        <f t="shared" si="1"/>
        <v>90</v>
      </c>
    </row>
    <row r="591" ht="15.75" customHeight="1">
      <c r="A591" s="1">
        <f>IFERROR(__xludf.DUMMYFUNCTION("""COMPUTED_VALUE"""),44721.66666666667)</f>
        <v>44721.66667</v>
      </c>
      <c r="B591" s="2">
        <f>IFERROR(__xludf.DUMMYFUNCTION("""COMPUTED_VALUE"""),4500.0)</f>
        <v>4500</v>
      </c>
      <c r="C591" s="2">
        <f>IFERROR(__xludf.DUMMYFUNCTION("""COMPUTED_VALUE"""),4520.0)</f>
        <v>4520</v>
      </c>
      <c r="D591" s="2">
        <f>IFERROR(__xludf.DUMMYFUNCTION("""COMPUTED_VALUE"""),4480.0)</f>
        <v>4480</v>
      </c>
      <c r="E591" s="2">
        <f>IFERROR(__xludf.DUMMYFUNCTION("""COMPUTED_VALUE"""),4490.0)</f>
        <v>4490</v>
      </c>
      <c r="F591" s="2">
        <f>IFERROR(__xludf.DUMMYFUNCTION("""COMPUTED_VALUE"""),1.617688E8)</f>
        <v>161768800</v>
      </c>
      <c r="G591" s="2">
        <f t="shared" si="1"/>
        <v>50</v>
      </c>
    </row>
    <row r="592" ht="15.75" customHeight="1">
      <c r="A592" s="1">
        <f>IFERROR(__xludf.DUMMYFUNCTION("""COMPUTED_VALUE"""),44722.66666666667)</f>
        <v>44722.66667</v>
      </c>
      <c r="B592" s="2">
        <f>IFERROR(__xludf.DUMMYFUNCTION("""COMPUTED_VALUE"""),4470.0)</f>
        <v>4470</v>
      </c>
      <c r="C592" s="2">
        <f>IFERROR(__xludf.DUMMYFUNCTION("""COMPUTED_VALUE"""),4470.0)</f>
        <v>4470</v>
      </c>
      <c r="D592" s="2">
        <f>IFERROR(__xludf.DUMMYFUNCTION("""COMPUTED_VALUE"""),4360.0)</f>
        <v>4360</v>
      </c>
      <c r="E592" s="2">
        <f>IFERROR(__xludf.DUMMYFUNCTION("""COMPUTED_VALUE"""),4400.0)</f>
        <v>4400</v>
      </c>
      <c r="F592" s="2">
        <f>IFERROR(__xludf.DUMMYFUNCTION("""COMPUTED_VALUE"""),2.224104E8)</f>
        <v>222410400</v>
      </c>
      <c r="G592" s="2">
        <f t="shared" si="1"/>
        <v>130</v>
      </c>
    </row>
    <row r="593" ht="15.75" customHeight="1">
      <c r="A593" s="1">
        <f>IFERROR(__xludf.DUMMYFUNCTION("""COMPUTED_VALUE"""),44725.66666666667)</f>
        <v>44725.66667</v>
      </c>
      <c r="B593" s="2">
        <f>IFERROR(__xludf.DUMMYFUNCTION("""COMPUTED_VALUE"""),4260.0)</f>
        <v>4260</v>
      </c>
      <c r="C593" s="2">
        <f>IFERROR(__xludf.DUMMYFUNCTION("""COMPUTED_VALUE"""),4350.0)</f>
        <v>4350</v>
      </c>
      <c r="D593" s="2">
        <f>IFERROR(__xludf.DUMMYFUNCTION("""COMPUTED_VALUE"""),4260.0)</f>
        <v>4260</v>
      </c>
      <c r="E593" s="2">
        <f>IFERROR(__xludf.DUMMYFUNCTION("""COMPUTED_VALUE"""),4340.0)</f>
        <v>4340</v>
      </c>
      <c r="F593" s="2">
        <f>IFERROR(__xludf.DUMMYFUNCTION("""COMPUTED_VALUE"""),1.640172E8)</f>
        <v>164017200</v>
      </c>
      <c r="G593" s="2">
        <f t="shared" si="1"/>
        <v>140</v>
      </c>
    </row>
    <row r="594" ht="15.75" customHeight="1">
      <c r="A594" s="1">
        <f>IFERROR(__xludf.DUMMYFUNCTION("""COMPUTED_VALUE"""),44726.66666666667)</f>
        <v>44726.66667</v>
      </c>
      <c r="B594" s="2">
        <f>IFERROR(__xludf.DUMMYFUNCTION("""COMPUTED_VALUE"""),4300.0)</f>
        <v>4300</v>
      </c>
      <c r="C594" s="2">
        <f>IFERROR(__xludf.DUMMYFUNCTION("""COMPUTED_VALUE"""),4410.0)</f>
        <v>4410</v>
      </c>
      <c r="D594" s="2">
        <f>IFERROR(__xludf.DUMMYFUNCTION("""COMPUTED_VALUE"""),4300.0)</f>
        <v>4300</v>
      </c>
      <c r="E594" s="2">
        <f>IFERROR(__xludf.DUMMYFUNCTION("""COMPUTED_VALUE"""),4360.0)</f>
        <v>4360</v>
      </c>
      <c r="F594" s="2">
        <f>IFERROR(__xludf.DUMMYFUNCTION("""COMPUTED_VALUE"""),1.503818E8)</f>
        <v>150381800</v>
      </c>
      <c r="G594" s="2">
        <f t="shared" si="1"/>
        <v>110</v>
      </c>
    </row>
    <row r="595" ht="15.75" customHeight="1">
      <c r="A595" s="1">
        <f>IFERROR(__xludf.DUMMYFUNCTION("""COMPUTED_VALUE"""),44727.66666666667)</f>
        <v>44727.66667</v>
      </c>
      <c r="B595" s="2">
        <f>IFERROR(__xludf.DUMMYFUNCTION("""COMPUTED_VALUE"""),4360.0)</f>
        <v>4360</v>
      </c>
      <c r="C595" s="2">
        <f>IFERROR(__xludf.DUMMYFUNCTION("""COMPUTED_VALUE"""),4450.0)</f>
        <v>4450</v>
      </c>
      <c r="D595" s="2">
        <f>IFERROR(__xludf.DUMMYFUNCTION("""COMPUTED_VALUE"""),4360.0)</f>
        <v>4360</v>
      </c>
      <c r="E595" s="2">
        <f>IFERROR(__xludf.DUMMYFUNCTION("""COMPUTED_VALUE"""),4450.0)</f>
        <v>4450</v>
      </c>
      <c r="F595" s="2">
        <f>IFERROR(__xludf.DUMMYFUNCTION("""COMPUTED_VALUE"""),1.607299E8)</f>
        <v>160729900</v>
      </c>
      <c r="G595" s="2">
        <f t="shared" si="1"/>
        <v>90</v>
      </c>
    </row>
    <row r="596" ht="15.75" customHeight="1">
      <c r="A596" s="1">
        <f>IFERROR(__xludf.DUMMYFUNCTION("""COMPUTED_VALUE"""),44728.66666666667)</f>
        <v>44728.66667</v>
      </c>
      <c r="B596" s="2">
        <f>IFERROR(__xludf.DUMMYFUNCTION("""COMPUTED_VALUE"""),4420.0)</f>
        <v>4420</v>
      </c>
      <c r="C596" s="2">
        <f>IFERROR(__xludf.DUMMYFUNCTION("""COMPUTED_VALUE"""),4530.0)</f>
        <v>4530</v>
      </c>
      <c r="D596" s="2">
        <f>IFERROR(__xludf.DUMMYFUNCTION("""COMPUTED_VALUE"""),4410.0)</f>
        <v>4410</v>
      </c>
      <c r="E596" s="2">
        <f>IFERROR(__xludf.DUMMYFUNCTION("""COMPUTED_VALUE"""),4430.0)</f>
        <v>4430</v>
      </c>
      <c r="F596" s="2">
        <f>IFERROR(__xludf.DUMMYFUNCTION("""COMPUTED_VALUE"""),2.400741E8)</f>
        <v>240074100</v>
      </c>
      <c r="G596" s="2">
        <f t="shared" si="1"/>
        <v>120</v>
      </c>
    </row>
    <row r="597" ht="15.75" customHeight="1">
      <c r="A597" s="1">
        <f>IFERROR(__xludf.DUMMYFUNCTION("""COMPUTED_VALUE"""),44729.66666666667)</f>
        <v>44729.66667</v>
      </c>
      <c r="B597" s="2">
        <f>IFERROR(__xludf.DUMMYFUNCTION("""COMPUTED_VALUE"""),4370.0)</f>
        <v>4370</v>
      </c>
      <c r="C597" s="2">
        <f>IFERROR(__xludf.DUMMYFUNCTION("""COMPUTED_VALUE"""),4400.0)</f>
        <v>4400</v>
      </c>
      <c r="D597" s="2">
        <f>IFERROR(__xludf.DUMMYFUNCTION("""COMPUTED_VALUE"""),4350.0)</f>
        <v>4350</v>
      </c>
      <c r="E597" s="2">
        <f>IFERROR(__xludf.DUMMYFUNCTION("""COMPUTED_VALUE"""),4370.0)</f>
        <v>4370</v>
      </c>
      <c r="F597" s="2">
        <f>IFERROR(__xludf.DUMMYFUNCTION("""COMPUTED_VALUE"""),1.857631E8)</f>
        <v>185763100</v>
      </c>
      <c r="G597" s="2">
        <f t="shared" si="1"/>
        <v>80</v>
      </c>
    </row>
    <row r="598" ht="15.75" customHeight="1">
      <c r="A598" s="1">
        <f>IFERROR(__xludf.DUMMYFUNCTION("""COMPUTED_VALUE"""),44732.66666666667)</f>
        <v>44732.66667</v>
      </c>
      <c r="B598" s="2">
        <f>IFERROR(__xludf.DUMMYFUNCTION("""COMPUTED_VALUE"""),4400.0)</f>
        <v>4400</v>
      </c>
      <c r="C598" s="2">
        <f>IFERROR(__xludf.DUMMYFUNCTION("""COMPUTED_VALUE"""),4410.0)</f>
        <v>4410</v>
      </c>
      <c r="D598" s="2">
        <f>IFERROR(__xludf.DUMMYFUNCTION("""COMPUTED_VALUE"""),4340.0)</f>
        <v>4340</v>
      </c>
      <c r="E598" s="2">
        <f>IFERROR(__xludf.DUMMYFUNCTION("""COMPUTED_VALUE"""),4400.0)</f>
        <v>4400</v>
      </c>
      <c r="F598" s="2">
        <f>IFERROR(__xludf.DUMMYFUNCTION("""COMPUTED_VALUE"""),9.50588E7)</f>
        <v>95058800</v>
      </c>
      <c r="G598" s="2">
        <f t="shared" si="1"/>
        <v>70</v>
      </c>
    </row>
    <row r="599" ht="15.75" customHeight="1">
      <c r="A599" s="1">
        <f>IFERROR(__xludf.DUMMYFUNCTION("""COMPUTED_VALUE"""),44733.66666666667)</f>
        <v>44733.66667</v>
      </c>
      <c r="B599" s="2">
        <f>IFERROR(__xludf.DUMMYFUNCTION("""COMPUTED_VALUE"""),4430.0)</f>
        <v>4430</v>
      </c>
      <c r="C599" s="2">
        <f>IFERROR(__xludf.DUMMYFUNCTION("""COMPUTED_VALUE"""),4430.0)</f>
        <v>4430</v>
      </c>
      <c r="D599" s="2">
        <f>IFERROR(__xludf.DUMMYFUNCTION("""COMPUTED_VALUE"""),4380.0)</f>
        <v>4380</v>
      </c>
      <c r="E599" s="2">
        <f>IFERROR(__xludf.DUMMYFUNCTION("""COMPUTED_VALUE"""),4380.0)</f>
        <v>4380</v>
      </c>
      <c r="F599" s="2">
        <f>IFERROR(__xludf.DUMMYFUNCTION("""COMPUTED_VALUE"""),1.039646E8)</f>
        <v>103964600</v>
      </c>
      <c r="G599" s="2">
        <f t="shared" si="1"/>
        <v>50</v>
      </c>
    </row>
    <row r="600" ht="15.75" customHeight="1">
      <c r="A600" s="1">
        <f>IFERROR(__xludf.DUMMYFUNCTION("""COMPUTED_VALUE"""),44734.66666666667)</f>
        <v>44734.66667</v>
      </c>
      <c r="B600" s="2">
        <f>IFERROR(__xludf.DUMMYFUNCTION("""COMPUTED_VALUE"""),4410.0)</f>
        <v>4410</v>
      </c>
      <c r="C600" s="2">
        <f>IFERROR(__xludf.DUMMYFUNCTION("""COMPUTED_VALUE"""),4410.0)</f>
        <v>4410</v>
      </c>
      <c r="D600" s="2">
        <f>IFERROR(__xludf.DUMMYFUNCTION("""COMPUTED_VALUE"""),4310.0)</f>
        <v>4310</v>
      </c>
      <c r="E600" s="2">
        <f>IFERROR(__xludf.DUMMYFUNCTION("""COMPUTED_VALUE"""),4320.0)</f>
        <v>4320</v>
      </c>
      <c r="F600" s="2">
        <f>IFERROR(__xludf.DUMMYFUNCTION("""COMPUTED_VALUE"""),1.062085E8)</f>
        <v>106208500</v>
      </c>
      <c r="G600" s="2">
        <f t="shared" si="1"/>
        <v>100</v>
      </c>
    </row>
    <row r="601" ht="15.75" customHeight="1">
      <c r="A601" s="1">
        <f>IFERROR(__xludf.DUMMYFUNCTION("""COMPUTED_VALUE"""),44735.66666666667)</f>
        <v>44735.66667</v>
      </c>
      <c r="B601" s="2">
        <f>IFERROR(__xludf.DUMMYFUNCTION("""COMPUTED_VALUE"""),4300.0)</f>
        <v>4300</v>
      </c>
      <c r="C601" s="2">
        <f>IFERROR(__xludf.DUMMYFUNCTION("""COMPUTED_VALUE"""),4360.0)</f>
        <v>4360</v>
      </c>
      <c r="D601" s="2">
        <f>IFERROR(__xludf.DUMMYFUNCTION("""COMPUTED_VALUE"""),4300.0)</f>
        <v>4300</v>
      </c>
      <c r="E601" s="2">
        <f>IFERROR(__xludf.DUMMYFUNCTION("""COMPUTED_VALUE"""),4310.0)</f>
        <v>4310</v>
      </c>
      <c r="F601" s="2">
        <f>IFERROR(__xludf.DUMMYFUNCTION("""COMPUTED_VALUE"""),1.276007E8)</f>
        <v>127600700</v>
      </c>
      <c r="G601" s="2">
        <f t="shared" si="1"/>
        <v>60</v>
      </c>
    </row>
    <row r="602" ht="15.75" customHeight="1">
      <c r="A602" s="1">
        <f>IFERROR(__xludf.DUMMYFUNCTION("""COMPUTED_VALUE"""),44736.66666666667)</f>
        <v>44736.66667</v>
      </c>
      <c r="B602" s="2">
        <f>IFERROR(__xludf.DUMMYFUNCTION("""COMPUTED_VALUE"""),4320.0)</f>
        <v>4320</v>
      </c>
      <c r="C602" s="2">
        <f>IFERROR(__xludf.DUMMYFUNCTION("""COMPUTED_VALUE"""),4350.0)</f>
        <v>4350</v>
      </c>
      <c r="D602" s="2">
        <f>IFERROR(__xludf.DUMMYFUNCTION("""COMPUTED_VALUE"""),4310.0)</f>
        <v>4310</v>
      </c>
      <c r="E602" s="2">
        <f>IFERROR(__xludf.DUMMYFUNCTION("""COMPUTED_VALUE"""),4340.0)</f>
        <v>4340</v>
      </c>
      <c r="F602" s="2">
        <f>IFERROR(__xludf.DUMMYFUNCTION("""COMPUTED_VALUE"""),6.60839E7)</f>
        <v>66083900</v>
      </c>
      <c r="G602" s="2">
        <f t="shared" si="1"/>
        <v>40</v>
      </c>
    </row>
    <row r="603" ht="15.75" customHeight="1">
      <c r="A603" s="1">
        <f>IFERROR(__xludf.DUMMYFUNCTION("""COMPUTED_VALUE"""),44739.66666666667)</f>
        <v>44739.66667</v>
      </c>
      <c r="B603" s="2">
        <f>IFERROR(__xludf.DUMMYFUNCTION("""COMPUTED_VALUE"""),4310.0)</f>
        <v>4310</v>
      </c>
      <c r="C603" s="2">
        <f>IFERROR(__xludf.DUMMYFUNCTION("""COMPUTED_VALUE"""),4330.0)</f>
        <v>4330</v>
      </c>
      <c r="D603" s="2">
        <f>IFERROR(__xludf.DUMMYFUNCTION("""COMPUTED_VALUE"""),4270.0)</f>
        <v>4270</v>
      </c>
      <c r="E603" s="2">
        <f>IFERROR(__xludf.DUMMYFUNCTION("""COMPUTED_VALUE"""),4280.0)</f>
        <v>4280</v>
      </c>
      <c r="F603" s="2">
        <f>IFERROR(__xludf.DUMMYFUNCTION("""COMPUTED_VALUE"""),1.523061E8)</f>
        <v>152306100</v>
      </c>
      <c r="G603" s="2">
        <f t="shared" si="1"/>
        <v>70</v>
      </c>
    </row>
    <row r="604" ht="15.75" customHeight="1">
      <c r="A604" s="1">
        <f>IFERROR(__xludf.DUMMYFUNCTION("""COMPUTED_VALUE"""),44740.66666666667)</f>
        <v>44740.66667</v>
      </c>
      <c r="B604" s="2">
        <f>IFERROR(__xludf.DUMMYFUNCTION("""COMPUTED_VALUE"""),4320.0)</f>
        <v>4320</v>
      </c>
      <c r="C604" s="2">
        <f>IFERROR(__xludf.DUMMYFUNCTION("""COMPUTED_VALUE"""),4330.0)</f>
        <v>4330</v>
      </c>
      <c r="D604" s="2">
        <f>IFERROR(__xludf.DUMMYFUNCTION("""COMPUTED_VALUE"""),4280.0)</f>
        <v>4280</v>
      </c>
      <c r="E604" s="2">
        <f>IFERROR(__xludf.DUMMYFUNCTION("""COMPUTED_VALUE"""),4300.0)</f>
        <v>4300</v>
      </c>
      <c r="F604" s="2">
        <f>IFERROR(__xludf.DUMMYFUNCTION("""COMPUTED_VALUE"""),1.785358E8)</f>
        <v>178535800</v>
      </c>
      <c r="G604" s="2">
        <f t="shared" si="1"/>
        <v>50</v>
      </c>
    </row>
    <row r="605" ht="15.75" customHeight="1">
      <c r="A605" s="1">
        <f>IFERROR(__xludf.DUMMYFUNCTION("""COMPUTED_VALUE"""),44741.66666666667)</f>
        <v>44741.66667</v>
      </c>
      <c r="B605" s="2">
        <f>IFERROR(__xludf.DUMMYFUNCTION("""COMPUTED_VALUE"""),4280.0)</f>
        <v>4280</v>
      </c>
      <c r="C605" s="2">
        <f>IFERROR(__xludf.DUMMYFUNCTION("""COMPUTED_VALUE"""),4310.0)</f>
        <v>4310</v>
      </c>
      <c r="D605" s="2">
        <f>IFERROR(__xludf.DUMMYFUNCTION("""COMPUTED_VALUE"""),4180.0)</f>
        <v>4180</v>
      </c>
      <c r="E605" s="2">
        <f>IFERROR(__xludf.DUMMYFUNCTION("""COMPUTED_VALUE"""),4180.0)</f>
        <v>4180</v>
      </c>
      <c r="F605" s="2">
        <f>IFERROR(__xludf.DUMMYFUNCTION("""COMPUTED_VALUE"""),2.285361E8)</f>
        <v>228536100</v>
      </c>
      <c r="G605" s="2">
        <f t="shared" si="1"/>
        <v>130</v>
      </c>
    </row>
    <row r="606" ht="15.75" customHeight="1">
      <c r="A606" s="1">
        <f>IFERROR(__xludf.DUMMYFUNCTION("""COMPUTED_VALUE"""),44742.66666666667)</f>
        <v>44742.66667</v>
      </c>
      <c r="B606" s="2">
        <f>IFERROR(__xludf.DUMMYFUNCTION("""COMPUTED_VALUE"""),4120.0)</f>
        <v>4120</v>
      </c>
      <c r="C606" s="2">
        <f>IFERROR(__xludf.DUMMYFUNCTION("""COMPUTED_VALUE"""),4220.0)</f>
        <v>4220</v>
      </c>
      <c r="D606" s="2">
        <f>IFERROR(__xludf.DUMMYFUNCTION("""COMPUTED_VALUE"""),4120.0)</f>
        <v>4120</v>
      </c>
      <c r="E606" s="2">
        <f>IFERROR(__xludf.DUMMYFUNCTION("""COMPUTED_VALUE"""),4150.0)</f>
        <v>4150</v>
      </c>
      <c r="F606" s="2">
        <f>IFERROR(__xludf.DUMMYFUNCTION("""COMPUTED_VALUE"""),2.399391E8)</f>
        <v>239939100</v>
      </c>
      <c r="G606" s="2">
        <f t="shared" si="1"/>
        <v>100</v>
      </c>
    </row>
    <row r="607" ht="15.75" customHeight="1">
      <c r="A607" s="1">
        <f>IFERROR(__xludf.DUMMYFUNCTION("""COMPUTED_VALUE"""),44743.66666666667)</f>
        <v>44743.66667</v>
      </c>
      <c r="B607" s="2">
        <f>IFERROR(__xludf.DUMMYFUNCTION("""COMPUTED_VALUE"""),4150.0)</f>
        <v>4150</v>
      </c>
      <c r="C607" s="2">
        <f>IFERROR(__xludf.DUMMYFUNCTION("""COMPUTED_VALUE"""),4200.0)</f>
        <v>4200</v>
      </c>
      <c r="D607" s="2">
        <f>IFERROR(__xludf.DUMMYFUNCTION("""COMPUTED_VALUE"""),4110.0)</f>
        <v>4110</v>
      </c>
      <c r="E607" s="2">
        <f>IFERROR(__xludf.DUMMYFUNCTION("""COMPUTED_VALUE"""),4140.0)</f>
        <v>4140</v>
      </c>
      <c r="F607" s="2">
        <f>IFERROR(__xludf.DUMMYFUNCTION("""COMPUTED_VALUE"""),1.546595E8)</f>
        <v>154659500</v>
      </c>
      <c r="G607" s="2">
        <f t="shared" si="1"/>
        <v>90</v>
      </c>
    </row>
    <row r="608" ht="15.75" customHeight="1">
      <c r="A608" s="1">
        <f>IFERROR(__xludf.DUMMYFUNCTION("""COMPUTED_VALUE"""),44746.66666666667)</f>
        <v>44746.66667</v>
      </c>
      <c r="B608" s="2">
        <f>IFERROR(__xludf.DUMMYFUNCTION("""COMPUTED_VALUE"""),4090.0)</f>
        <v>4090</v>
      </c>
      <c r="C608" s="2">
        <f>IFERROR(__xludf.DUMMYFUNCTION("""COMPUTED_VALUE"""),4120.0)</f>
        <v>4120</v>
      </c>
      <c r="D608" s="2">
        <f>IFERROR(__xludf.DUMMYFUNCTION("""COMPUTED_VALUE"""),3960.0)</f>
        <v>3960</v>
      </c>
      <c r="E608" s="2">
        <f>IFERROR(__xludf.DUMMYFUNCTION("""COMPUTED_VALUE"""),4040.0)</f>
        <v>4040</v>
      </c>
      <c r="F608" s="2">
        <f>IFERROR(__xludf.DUMMYFUNCTION("""COMPUTED_VALUE"""),2.468536E8)</f>
        <v>246853600</v>
      </c>
      <c r="G608" s="2">
        <f t="shared" si="1"/>
        <v>180</v>
      </c>
    </row>
    <row r="609" ht="15.75" customHeight="1">
      <c r="A609" s="1">
        <f>IFERROR(__xludf.DUMMYFUNCTION("""COMPUTED_VALUE"""),44747.66666666667)</f>
        <v>44747.66667</v>
      </c>
      <c r="B609" s="2">
        <f>IFERROR(__xludf.DUMMYFUNCTION("""COMPUTED_VALUE"""),4040.0)</f>
        <v>4040</v>
      </c>
      <c r="C609" s="2">
        <f>IFERROR(__xludf.DUMMYFUNCTION("""COMPUTED_VALUE"""),4160.0)</f>
        <v>4160</v>
      </c>
      <c r="D609" s="2">
        <f>IFERROR(__xludf.DUMMYFUNCTION("""COMPUTED_VALUE"""),4040.0)</f>
        <v>4040</v>
      </c>
      <c r="E609" s="2">
        <f>IFERROR(__xludf.DUMMYFUNCTION("""COMPUTED_VALUE"""),4090.0)</f>
        <v>4090</v>
      </c>
      <c r="F609" s="2">
        <f>IFERROR(__xludf.DUMMYFUNCTION("""COMPUTED_VALUE"""),1.806484E8)</f>
        <v>180648400</v>
      </c>
      <c r="G609" s="2">
        <f t="shared" si="1"/>
        <v>120</v>
      </c>
    </row>
    <row r="610" ht="15.75" customHeight="1">
      <c r="A610" s="1">
        <f>IFERROR(__xludf.DUMMYFUNCTION("""COMPUTED_VALUE"""),44748.66666666667)</f>
        <v>44748.66667</v>
      </c>
      <c r="B610" s="2">
        <f>IFERROR(__xludf.DUMMYFUNCTION("""COMPUTED_VALUE"""),4050.0)</f>
        <v>4050</v>
      </c>
      <c r="C610" s="2">
        <f>IFERROR(__xludf.DUMMYFUNCTION("""COMPUTED_VALUE"""),4100.0)</f>
        <v>4100</v>
      </c>
      <c r="D610" s="2">
        <f>IFERROR(__xludf.DUMMYFUNCTION("""COMPUTED_VALUE"""),4020.0)</f>
        <v>4020</v>
      </c>
      <c r="E610" s="2">
        <f>IFERROR(__xludf.DUMMYFUNCTION("""COMPUTED_VALUE"""),4080.0)</f>
        <v>4080</v>
      </c>
      <c r="F610" s="2">
        <f>IFERROR(__xludf.DUMMYFUNCTION("""COMPUTED_VALUE"""),1.253091E8)</f>
        <v>125309100</v>
      </c>
      <c r="G610" s="2">
        <f t="shared" si="1"/>
        <v>80</v>
      </c>
    </row>
    <row r="611" ht="15.75" customHeight="1">
      <c r="A611" s="1">
        <f>IFERROR(__xludf.DUMMYFUNCTION("""COMPUTED_VALUE"""),44749.66666666667)</f>
        <v>44749.66667</v>
      </c>
      <c r="B611" s="2">
        <f>IFERROR(__xludf.DUMMYFUNCTION("""COMPUTED_VALUE"""),4040.0)</f>
        <v>4040</v>
      </c>
      <c r="C611" s="2">
        <f>IFERROR(__xludf.DUMMYFUNCTION("""COMPUTED_VALUE"""),4110.0)</f>
        <v>4110</v>
      </c>
      <c r="D611" s="2">
        <f>IFERROR(__xludf.DUMMYFUNCTION("""COMPUTED_VALUE"""),4040.0)</f>
        <v>4040</v>
      </c>
      <c r="E611" s="2">
        <f>IFERROR(__xludf.DUMMYFUNCTION("""COMPUTED_VALUE"""),4050.0)</f>
        <v>4050</v>
      </c>
      <c r="F611" s="2">
        <f>IFERROR(__xludf.DUMMYFUNCTION("""COMPUTED_VALUE"""),1.721275E8)</f>
        <v>172127500</v>
      </c>
      <c r="G611" s="2">
        <f t="shared" si="1"/>
        <v>70</v>
      </c>
    </row>
    <row r="612" ht="15.75" customHeight="1">
      <c r="A612" s="1">
        <f>IFERROR(__xludf.DUMMYFUNCTION("""COMPUTED_VALUE"""),44750.66666666667)</f>
        <v>44750.66667</v>
      </c>
      <c r="B612" s="2">
        <f>IFERROR(__xludf.DUMMYFUNCTION("""COMPUTED_VALUE"""),4090.0)</f>
        <v>4090</v>
      </c>
      <c r="C612" s="2">
        <f>IFERROR(__xludf.DUMMYFUNCTION("""COMPUTED_VALUE"""),4200.0)</f>
        <v>4200</v>
      </c>
      <c r="D612" s="2">
        <f>IFERROR(__xludf.DUMMYFUNCTION("""COMPUTED_VALUE"""),4050.0)</f>
        <v>4050</v>
      </c>
      <c r="E612" s="2">
        <f>IFERROR(__xludf.DUMMYFUNCTION("""COMPUTED_VALUE"""),4200.0)</f>
        <v>4200</v>
      </c>
      <c r="F612" s="2">
        <f>IFERROR(__xludf.DUMMYFUNCTION("""COMPUTED_VALUE"""),1.12914E8)</f>
        <v>112914000</v>
      </c>
      <c r="G612" s="2">
        <f t="shared" si="1"/>
        <v>150</v>
      </c>
    </row>
    <row r="613" ht="15.75" customHeight="1">
      <c r="A613" s="1">
        <f>IFERROR(__xludf.DUMMYFUNCTION("""COMPUTED_VALUE"""),44753.66666666667)</f>
        <v>44753.66667</v>
      </c>
      <c r="B613" s="2">
        <f>IFERROR(__xludf.DUMMYFUNCTION("""COMPUTED_VALUE"""),4150.0)</f>
        <v>4150</v>
      </c>
      <c r="C613" s="2">
        <f>IFERROR(__xludf.DUMMYFUNCTION("""COMPUTED_VALUE"""),4170.0)</f>
        <v>4170</v>
      </c>
      <c r="D613" s="2">
        <f>IFERROR(__xludf.DUMMYFUNCTION("""COMPUTED_VALUE"""),4100.0)</f>
        <v>4100</v>
      </c>
      <c r="E613" s="2">
        <f>IFERROR(__xludf.DUMMYFUNCTION("""COMPUTED_VALUE"""),4120.0)</f>
        <v>4120</v>
      </c>
      <c r="F613" s="2">
        <f>IFERROR(__xludf.DUMMYFUNCTION("""COMPUTED_VALUE"""),8.08677E7)</f>
        <v>80867700</v>
      </c>
      <c r="G613" s="2">
        <f t="shared" si="1"/>
        <v>100</v>
      </c>
    </row>
    <row r="614" ht="15.75" customHeight="1">
      <c r="A614" s="1">
        <f>IFERROR(__xludf.DUMMYFUNCTION("""COMPUTED_VALUE"""),44754.66666666667)</f>
        <v>44754.66667</v>
      </c>
      <c r="B614" s="2">
        <f>IFERROR(__xludf.DUMMYFUNCTION("""COMPUTED_VALUE"""),4120.0)</f>
        <v>4120</v>
      </c>
      <c r="C614" s="2">
        <f>IFERROR(__xludf.DUMMYFUNCTION("""COMPUTED_VALUE"""),4140.0)</f>
        <v>4140</v>
      </c>
      <c r="D614" s="2">
        <f>IFERROR(__xludf.DUMMYFUNCTION("""COMPUTED_VALUE"""),4100.0)</f>
        <v>4100</v>
      </c>
      <c r="E614" s="2">
        <f>IFERROR(__xludf.DUMMYFUNCTION("""COMPUTED_VALUE"""),4110.0)</f>
        <v>4110</v>
      </c>
      <c r="F614" s="2">
        <f>IFERROR(__xludf.DUMMYFUNCTION("""COMPUTED_VALUE"""),5.60852E7)</f>
        <v>56085200</v>
      </c>
      <c r="G614" s="2">
        <f t="shared" si="1"/>
        <v>40</v>
      </c>
    </row>
    <row r="615" ht="15.75" customHeight="1">
      <c r="A615" s="1">
        <f>IFERROR(__xludf.DUMMYFUNCTION("""COMPUTED_VALUE"""),44755.66666666667)</f>
        <v>44755.66667</v>
      </c>
      <c r="B615" s="2">
        <f>IFERROR(__xludf.DUMMYFUNCTION("""COMPUTED_VALUE"""),4110.0)</f>
        <v>4110</v>
      </c>
      <c r="C615" s="2">
        <f>IFERROR(__xludf.DUMMYFUNCTION("""COMPUTED_VALUE"""),4130.0)</f>
        <v>4130</v>
      </c>
      <c r="D615" s="2">
        <f>IFERROR(__xludf.DUMMYFUNCTION("""COMPUTED_VALUE"""),4030.0)</f>
        <v>4030</v>
      </c>
      <c r="E615" s="2">
        <f>IFERROR(__xludf.DUMMYFUNCTION("""COMPUTED_VALUE"""),4060.0)</f>
        <v>4060</v>
      </c>
      <c r="F615" s="2">
        <f>IFERROR(__xludf.DUMMYFUNCTION("""COMPUTED_VALUE"""),1.657452E8)</f>
        <v>165745200</v>
      </c>
      <c r="G615" s="2">
        <f t="shared" si="1"/>
        <v>100</v>
      </c>
    </row>
    <row r="616" ht="15.75" customHeight="1">
      <c r="A616" s="1">
        <f>IFERROR(__xludf.DUMMYFUNCTION("""COMPUTED_VALUE"""),44756.66666666667)</f>
        <v>44756.66667</v>
      </c>
      <c r="B616" s="2">
        <f>IFERROR(__xludf.DUMMYFUNCTION("""COMPUTED_VALUE"""),4010.0)</f>
        <v>4010</v>
      </c>
      <c r="C616" s="2">
        <f>IFERROR(__xludf.DUMMYFUNCTION("""COMPUTED_VALUE"""),4090.0)</f>
        <v>4090</v>
      </c>
      <c r="D616" s="2">
        <f>IFERROR(__xludf.DUMMYFUNCTION("""COMPUTED_VALUE"""),4010.0)</f>
        <v>4010</v>
      </c>
      <c r="E616" s="2">
        <f>IFERROR(__xludf.DUMMYFUNCTION("""COMPUTED_VALUE"""),4070.0)</f>
        <v>4070</v>
      </c>
      <c r="F616" s="2">
        <f>IFERROR(__xludf.DUMMYFUNCTION("""COMPUTED_VALUE"""),1.887297E8)</f>
        <v>188729700</v>
      </c>
      <c r="G616" s="2">
        <f t="shared" si="1"/>
        <v>80</v>
      </c>
    </row>
    <row r="617" ht="15.75" customHeight="1">
      <c r="A617" s="1">
        <f>IFERROR(__xludf.DUMMYFUNCTION("""COMPUTED_VALUE"""),44757.66666666667)</f>
        <v>44757.66667</v>
      </c>
      <c r="B617" s="2">
        <f>IFERROR(__xludf.DUMMYFUNCTION("""COMPUTED_VALUE"""),4060.0)</f>
        <v>4060</v>
      </c>
      <c r="C617" s="2">
        <f>IFERROR(__xludf.DUMMYFUNCTION("""COMPUTED_VALUE"""),4120.0)</f>
        <v>4120</v>
      </c>
      <c r="D617" s="2">
        <f>IFERROR(__xludf.DUMMYFUNCTION("""COMPUTED_VALUE"""),4050.0)</f>
        <v>4050</v>
      </c>
      <c r="E617" s="2">
        <f>IFERROR(__xludf.DUMMYFUNCTION("""COMPUTED_VALUE"""),4110.0)</f>
        <v>4110</v>
      </c>
      <c r="F617" s="2">
        <f>IFERROR(__xludf.DUMMYFUNCTION("""COMPUTED_VALUE"""),9.13628E7)</f>
        <v>91362800</v>
      </c>
      <c r="G617" s="2">
        <f t="shared" si="1"/>
        <v>70</v>
      </c>
    </row>
    <row r="618" ht="15.75" customHeight="1">
      <c r="A618" s="1">
        <f>IFERROR(__xludf.DUMMYFUNCTION("""COMPUTED_VALUE"""),44760.66666666667)</f>
        <v>44760.66667</v>
      </c>
      <c r="B618" s="2">
        <f>IFERROR(__xludf.DUMMYFUNCTION("""COMPUTED_VALUE"""),4110.0)</f>
        <v>4110</v>
      </c>
      <c r="C618" s="2">
        <f>IFERROR(__xludf.DUMMYFUNCTION("""COMPUTED_VALUE"""),4140.0)</f>
        <v>4140</v>
      </c>
      <c r="D618" s="2">
        <f>IFERROR(__xludf.DUMMYFUNCTION("""COMPUTED_VALUE"""),4080.0)</f>
        <v>4080</v>
      </c>
      <c r="E618" s="2">
        <f>IFERROR(__xludf.DUMMYFUNCTION("""COMPUTED_VALUE"""),4140.0)</f>
        <v>4140</v>
      </c>
      <c r="F618" s="2">
        <f>IFERROR(__xludf.DUMMYFUNCTION("""COMPUTED_VALUE"""),1.352845E8)</f>
        <v>135284500</v>
      </c>
      <c r="G618" s="2">
        <f t="shared" si="1"/>
        <v>60</v>
      </c>
    </row>
    <row r="619" ht="15.75" customHeight="1">
      <c r="A619" s="1">
        <f>IFERROR(__xludf.DUMMYFUNCTION("""COMPUTED_VALUE"""),44761.66666666667)</f>
        <v>44761.66667</v>
      </c>
      <c r="B619" s="2">
        <f>IFERROR(__xludf.DUMMYFUNCTION("""COMPUTED_VALUE"""),4150.0)</f>
        <v>4150</v>
      </c>
      <c r="C619" s="2">
        <f>IFERROR(__xludf.DUMMYFUNCTION("""COMPUTED_VALUE"""),4150.0)</f>
        <v>4150</v>
      </c>
      <c r="D619" s="2">
        <f>IFERROR(__xludf.DUMMYFUNCTION("""COMPUTED_VALUE"""),4110.0)</f>
        <v>4110</v>
      </c>
      <c r="E619" s="2">
        <f>IFERROR(__xludf.DUMMYFUNCTION("""COMPUTED_VALUE"""),4110.0)</f>
        <v>4110</v>
      </c>
      <c r="F619" s="2">
        <f>IFERROR(__xludf.DUMMYFUNCTION("""COMPUTED_VALUE"""),1.229059E8)</f>
        <v>122905900</v>
      </c>
      <c r="G619" s="2">
        <f t="shared" si="1"/>
        <v>40</v>
      </c>
    </row>
    <row r="620" ht="15.75" customHeight="1">
      <c r="A620" s="1">
        <f>IFERROR(__xludf.DUMMYFUNCTION("""COMPUTED_VALUE"""),44762.66666666667)</f>
        <v>44762.66667</v>
      </c>
      <c r="B620" s="2">
        <f>IFERROR(__xludf.DUMMYFUNCTION("""COMPUTED_VALUE"""),4180.0)</f>
        <v>4180</v>
      </c>
      <c r="C620" s="2">
        <f>IFERROR(__xludf.DUMMYFUNCTION("""COMPUTED_VALUE"""),4300.0)</f>
        <v>4300</v>
      </c>
      <c r="D620" s="2">
        <f>IFERROR(__xludf.DUMMYFUNCTION("""COMPUTED_VALUE"""),4160.0)</f>
        <v>4160</v>
      </c>
      <c r="E620" s="2">
        <f>IFERROR(__xludf.DUMMYFUNCTION("""COMPUTED_VALUE"""),4300.0)</f>
        <v>4300</v>
      </c>
      <c r="F620" s="2">
        <f>IFERROR(__xludf.DUMMYFUNCTION("""COMPUTED_VALUE"""),2.202236E8)</f>
        <v>220223600</v>
      </c>
      <c r="G620" s="2">
        <f t="shared" si="1"/>
        <v>190</v>
      </c>
    </row>
    <row r="621" ht="15.75" customHeight="1">
      <c r="A621" s="1">
        <f>IFERROR(__xludf.DUMMYFUNCTION("""COMPUTED_VALUE"""),44763.66666666667)</f>
        <v>44763.66667</v>
      </c>
      <c r="B621" s="2">
        <f>IFERROR(__xludf.DUMMYFUNCTION("""COMPUTED_VALUE"""),4300.0)</f>
        <v>4300</v>
      </c>
      <c r="C621" s="2">
        <f>IFERROR(__xludf.DUMMYFUNCTION("""COMPUTED_VALUE"""),4310.0)</f>
        <v>4310</v>
      </c>
      <c r="D621" s="2">
        <f>IFERROR(__xludf.DUMMYFUNCTION("""COMPUTED_VALUE"""),4230.0)</f>
        <v>4230</v>
      </c>
      <c r="E621" s="2">
        <f>IFERROR(__xludf.DUMMYFUNCTION("""COMPUTED_VALUE"""),4310.0)</f>
        <v>4310</v>
      </c>
      <c r="F621" s="2">
        <f>IFERROR(__xludf.DUMMYFUNCTION("""COMPUTED_VALUE"""),1.304054E8)</f>
        <v>130405400</v>
      </c>
      <c r="G621" s="2">
        <f t="shared" si="1"/>
        <v>80</v>
      </c>
    </row>
    <row r="622" ht="15.75" customHeight="1">
      <c r="A622" s="1">
        <f>IFERROR(__xludf.DUMMYFUNCTION("""COMPUTED_VALUE"""),44764.66666666667)</f>
        <v>44764.66667</v>
      </c>
      <c r="B622" s="2">
        <f>IFERROR(__xludf.DUMMYFUNCTION("""COMPUTED_VALUE"""),4330.0)</f>
        <v>4330</v>
      </c>
      <c r="C622" s="2">
        <f>IFERROR(__xludf.DUMMYFUNCTION("""COMPUTED_VALUE"""),4330.0)</f>
        <v>4330</v>
      </c>
      <c r="D622" s="2">
        <f>IFERROR(__xludf.DUMMYFUNCTION("""COMPUTED_VALUE"""),4270.0)</f>
        <v>4270</v>
      </c>
      <c r="E622" s="2">
        <f>IFERROR(__xludf.DUMMYFUNCTION("""COMPUTED_VALUE"""),4270.0)</f>
        <v>4270</v>
      </c>
      <c r="F622" s="2">
        <f>IFERROR(__xludf.DUMMYFUNCTION("""COMPUTED_VALUE"""),8.65611E7)</f>
        <v>86561100</v>
      </c>
      <c r="G622" s="2">
        <f t="shared" si="1"/>
        <v>60</v>
      </c>
    </row>
    <row r="623" ht="15.75" customHeight="1">
      <c r="A623" s="1">
        <f>IFERROR(__xludf.DUMMYFUNCTION("""COMPUTED_VALUE"""),44767.66666666667)</f>
        <v>44767.66667</v>
      </c>
      <c r="B623" s="2">
        <f>IFERROR(__xludf.DUMMYFUNCTION("""COMPUTED_VALUE"""),4250.0)</f>
        <v>4250</v>
      </c>
      <c r="C623" s="2">
        <f>IFERROR(__xludf.DUMMYFUNCTION("""COMPUTED_VALUE"""),4300.0)</f>
        <v>4300</v>
      </c>
      <c r="D623" s="2">
        <f>IFERROR(__xludf.DUMMYFUNCTION("""COMPUTED_VALUE"""),4250.0)</f>
        <v>4250</v>
      </c>
      <c r="E623" s="2">
        <f>IFERROR(__xludf.DUMMYFUNCTION("""COMPUTED_VALUE"""),4250.0)</f>
        <v>4250</v>
      </c>
      <c r="F623" s="2">
        <f>IFERROR(__xludf.DUMMYFUNCTION("""COMPUTED_VALUE"""),6.09528E7)</f>
        <v>60952800</v>
      </c>
      <c r="G623" s="2">
        <f t="shared" si="1"/>
        <v>50</v>
      </c>
    </row>
    <row r="624" ht="15.75" customHeight="1">
      <c r="A624" s="1">
        <f>IFERROR(__xludf.DUMMYFUNCTION("""COMPUTED_VALUE"""),44768.66666666667)</f>
        <v>44768.66667</v>
      </c>
      <c r="B624" s="2">
        <f>IFERROR(__xludf.DUMMYFUNCTION("""COMPUTED_VALUE"""),4270.0)</f>
        <v>4270</v>
      </c>
      <c r="C624" s="2">
        <f>IFERROR(__xludf.DUMMYFUNCTION("""COMPUTED_VALUE"""),4350.0)</f>
        <v>4350</v>
      </c>
      <c r="D624" s="2">
        <f>IFERROR(__xludf.DUMMYFUNCTION("""COMPUTED_VALUE"""),4260.0)</f>
        <v>4260</v>
      </c>
      <c r="E624" s="2">
        <f>IFERROR(__xludf.DUMMYFUNCTION("""COMPUTED_VALUE"""),4330.0)</f>
        <v>4330</v>
      </c>
      <c r="F624" s="2">
        <f>IFERROR(__xludf.DUMMYFUNCTION("""COMPUTED_VALUE"""),9.77098E7)</f>
        <v>97709800</v>
      </c>
      <c r="G624" s="2">
        <f t="shared" si="1"/>
        <v>100</v>
      </c>
    </row>
    <row r="625" ht="15.75" customHeight="1">
      <c r="A625" s="1">
        <f>IFERROR(__xludf.DUMMYFUNCTION("""COMPUTED_VALUE"""),44769.66666666667)</f>
        <v>44769.66667</v>
      </c>
      <c r="B625" s="2">
        <f>IFERROR(__xludf.DUMMYFUNCTION("""COMPUTED_VALUE"""),4380.0)</f>
        <v>4380</v>
      </c>
      <c r="C625" s="2">
        <f>IFERROR(__xludf.DUMMYFUNCTION("""COMPUTED_VALUE"""),4380.0)</f>
        <v>4380</v>
      </c>
      <c r="D625" s="2">
        <f>IFERROR(__xludf.DUMMYFUNCTION("""COMPUTED_VALUE"""),4300.0)</f>
        <v>4300</v>
      </c>
      <c r="E625" s="2">
        <f>IFERROR(__xludf.DUMMYFUNCTION("""COMPUTED_VALUE"""),4320.0)</f>
        <v>4320</v>
      </c>
      <c r="F625" s="2">
        <f>IFERROR(__xludf.DUMMYFUNCTION("""COMPUTED_VALUE"""),8.85708E7)</f>
        <v>88570800</v>
      </c>
      <c r="G625" s="2">
        <f t="shared" si="1"/>
        <v>80</v>
      </c>
    </row>
    <row r="626" ht="15.75" customHeight="1">
      <c r="A626" s="1">
        <f>IFERROR(__xludf.DUMMYFUNCTION("""COMPUTED_VALUE"""),44770.66666666667)</f>
        <v>44770.66667</v>
      </c>
      <c r="B626" s="2">
        <f>IFERROR(__xludf.DUMMYFUNCTION("""COMPUTED_VALUE"""),4340.0)</f>
        <v>4340</v>
      </c>
      <c r="C626" s="2">
        <f>IFERROR(__xludf.DUMMYFUNCTION("""COMPUTED_VALUE"""),4400.0)</f>
        <v>4400</v>
      </c>
      <c r="D626" s="2">
        <f>IFERROR(__xludf.DUMMYFUNCTION("""COMPUTED_VALUE"""),4340.0)</f>
        <v>4340</v>
      </c>
      <c r="E626" s="2">
        <f>IFERROR(__xludf.DUMMYFUNCTION("""COMPUTED_VALUE"""),4360.0)</f>
        <v>4360</v>
      </c>
      <c r="F626" s="2">
        <f>IFERROR(__xludf.DUMMYFUNCTION("""COMPUTED_VALUE"""),1.364214E8)</f>
        <v>136421400</v>
      </c>
      <c r="G626" s="2">
        <f t="shared" si="1"/>
        <v>80</v>
      </c>
    </row>
    <row r="627" ht="15.75" customHeight="1">
      <c r="A627" s="1">
        <f>IFERROR(__xludf.DUMMYFUNCTION("""COMPUTED_VALUE"""),44771.66666666667)</f>
        <v>44771.66667</v>
      </c>
      <c r="B627" s="2">
        <f>IFERROR(__xludf.DUMMYFUNCTION("""COMPUTED_VALUE"""),4390.0)</f>
        <v>4390</v>
      </c>
      <c r="C627" s="2">
        <f>IFERROR(__xludf.DUMMYFUNCTION("""COMPUTED_VALUE"""),4430.0)</f>
        <v>4430</v>
      </c>
      <c r="D627" s="2">
        <f>IFERROR(__xludf.DUMMYFUNCTION("""COMPUTED_VALUE"""),4340.0)</f>
        <v>4340</v>
      </c>
      <c r="E627" s="2">
        <f>IFERROR(__xludf.DUMMYFUNCTION("""COMPUTED_VALUE"""),4360.0)</f>
        <v>4360</v>
      </c>
      <c r="F627" s="2">
        <f>IFERROR(__xludf.DUMMYFUNCTION("""COMPUTED_VALUE"""),2.286683E8)</f>
        <v>228668300</v>
      </c>
      <c r="G627" s="2">
        <f t="shared" si="1"/>
        <v>90</v>
      </c>
    </row>
    <row r="628" ht="15.75" customHeight="1">
      <c r="A628" s="1">
        <f>IFERROR(__xludf.DUMMYFUNCTION("""COMPUTED_VALUE"""),44774.66666666667)</f>
        <v>44774.66667</v>
      </c>
      <c r="B628" s="2">
        <f>IFERROR(__xludf.DUMMYFUNCTION("""COMPUTED_VALUE"""),4390.0)</f>
        <v>4390</v>
      </c>
      <c r="C628" s="2">
        <f>IFERROR(__xludf.DUMMYFUNCTION("""COMPUTED_VALUE"""),4410.0)</f>
        <v>4410</v>
      </c>
      <c r="D628" s="2">
        <f>IFERROR(__xludf.DUMMYFUNCTION("""COMPUTED_VALUE"""),4330.0)</f>
        <v>4330</v>
      </c>
      <c r="E628" s="2">
        <f>IFERROR(__xludf.DUMMYFUNCTION("""COMPUTED_VALUE"""),4360.0)</f>
        <v>4360</v>
      </c>
      <c r="F628" s="2">
        <f>IFERROR(__xludf.DUMMYFUNCTION("""COMPUTED_VALUE"""),2.007917E8)</f>
        <v>200791700</v>
      </c>
      <c r="G628" s="2">
        <f t="shared" si="1"/>
        <v>80</v>
      </c>
    </row>
    <row r="629" ht="15.75" customHeight="1">
      <c r="A629" s="1">
        <f>IFERROR(__xludf.DUMMYFUNCTION("""COMPUTED_VALUE"""),44775.66666666667)</f>
        <v>44775.66667</v>
      </c>
      <c r="B629" s="2">
        <f>IFERROR(__xludf.DUMMYFUNCTION("""COMPUTED_VALUE"""),4360.0)</f>
        <v>4360</v>
      </c>
      <c r="C629" s="2">
        <f>IFERROR(__xludf.DUMMYFUNCTION("""COMPUTED_VALUE"""),4400.0)</f>
        <v>4400</v>
      </c>
      <c r="D629" s="2">
        <f>IFERROR(__xludf.DUMMYFUNCTION("""COMPUTED_VALUE"""),4300.0)</f>
        <v>4300</v>
      </c>
      <c r="E629" s="2">
        <f>IFERROR(__xludf.DUMMYFUNCTION("""COMPUTED_VALUE"""),4400.0)</f>
        <v>4400</v>
      </c>
      <c r="F629" s="2">
        <f>IFERROR(__xludf.DUMMYFUNCTION("""COMPUTED_VALUE"""),1.73931E8)</f>
        <v>173931000</v>
      </c>
      <c r="G629" s="2">
        <f t="shared" si="1"/>
        <v>100</v>
      </c>
    </row>
    <row r="630" ht="15.75" customHeight="1">
      <c r="A630" s="1">
        <f>IFERROR(__xludf.DUMMYFUNCTION("""COMPUTED_VALUE"""),44776.66666666667)</f>
        <v>44776.66667</v>
      </c>
      <c r="B630" s="2">
        <f>IFERROR(__xludf.DUMMYFUNCTION("""COMPUTED_VALUE"""),4410.0)</f>
        <v>4410</v>
      </c>
      <c r="C630" s="2">
        <f>IFERROR(__xludf.DUMMYFUNCTION("""COMPUTED_VALUE"""),4420.0)</f>
        <v>4420</v>
      </c>
      <c r="D630" s="2">
        <f>IFERROR(__xludf.DUMMYFUNCTION("""COMPUTED_VALUE"""),4350.0)</f>
        <v>4350</v>
      </c>
      <c r="E630" s="2">
        <f>IFERROR(__xludf.DUMMYFUNCTION("""COMPUTED_VALUE"""),4380.0)</f>
        <v>4380</v>
      </c>
      <c r="F630" s="2">
        <f>IFERROR(__xludf.DUMMYFUNCTION("""COMPUTED_VALUE"""),1.034123E8)</f>
        <v>103412300</v>
      </c>
      <c r="G630" s="2">
        <f t="shared" si="1"/>
        <v>70</v>
      </c>
    </row>
    <row r="631" ht="15.75" customHeight="1">
      <c r="A631" s="1">
        <f>IFERROR(__xludf.DUMMYFUNCTION("""COMPUTED_VALUE"""),44777.66666666667)</f>
        <v>44777.66667</v>
      </c>
      <c r="B631" s="2">
        <f>IFERROR(__xludf.DUMMYFUNCTION("""COMPUTED_VALUE"""),4380.0)</f>
        <v>4380</v>
      </c>
      <c r="C631" s="2">
        <f>IFERROR(__xludf.DUMMYFUNCTION("""COMPUTED_VALUE"""),4390.0)</f>
        <v>4390</v>
      </c>
      <c r="D631" s="2">
        <f>IFERROR(__xludf.DUMMYFUNCTION("""COMPUTED_VALUE"""),4350.0)</f>
        <v>4350</v>
      </c>
      <c r="E631" s="2">
        <f>IFERROR(__xludf.DUMMYFUNCTION("""COMPUTED_VALUE"""),4360.0)</f>
        <v>4360</v>
      </c>
      <c r="F631" s="2">
        <f>IFERROR(__xludf.DUMMYFUNCTION("""COMPUTED_VALUE"""),1.201757E8)</f>
        <v>120175700</v>
      </c>
      <c r="G631" s="2">
        <f t="shared" si="1"/>
        <v>40</v>
      </c>
    </row>
    <row r="632" ht="15.75" customHeight="1">
      <c r="A632" s="1">
        <f>IFERROR(__xludf.DUMMYFUNCTION("""COMPUTED_VALUE"""),44778.66666666667)</f>
        <v>44778.66667</v>
      </c>
      <c r="B632" s="2">
        <f>IFERROR(__xludf.DUMMYFUNCTION("""COMPUTED_VALUE"""),4360.0)</f>
        <v>4360</v>
      </c>
      <c r="C632" s="2">
        <f>IFERROR(__xludf.DUMMYFUNCTION("""COMPUTED_VALUE"""),4400.0)</f>
        <v>4400</v>
      </c>
      <c r="D632" s="2">
        <f>IFERROR(__xludf.DUMMYFUNCTION("""COMPUTED_VALUE"""),4320.0)</f>
        <v>4320</v>
      </c>
      <c r="E632" s="2">
        <f>IFERROR(__xludf.DUMMYFUNCTION("""COMPUTED_VALUE"""),4360.0)</f>
        <v>4360</v>
      </c>
      <c r="F632" s="2">
        <f>IFERROR(__xludf.DUMMYFUNCTION("""COMPUTED_VALUE"""),1.688794E8)</f>
        <v>168879400</v>
      </c>
      <c r="G632" s="2">
        <f t="shared" si="1"/>
        <v>80</v>
      </c>
    </row>
    <row r="633" ht="15.75" customHeight="1">
      <c r="A633" s="1">
        <f>IFERROR(__xludf.DUMMYFUNCTION("""COMPUTED_VALUE"""),44781.66666666667)</f>
        <v>44781.66667</v>
      </c>
      <c r="B633" s="2">
        <f>IFERROR(__xludf.DUMMYFUNCTION("""COMPUTED_VALUE"""),4360.0)</f>
        <v>4360</v>
      </c>
      <c r="C633" s="2">
        <f>IFERROR(__xludf.DUMMYFUNCTION("""COMPUTED_VALUE"""),4400.0)</f>
        <v>4400</v>
      </c>
      <c r="D633" s="2">
        <f>IFERROR(__xludf.DUMMYFUNCTION("""COMPUTED_VALUE"""),4340.0)</f>
        <v>4340</v>
      </c>
      <c r="E633" s="2">
        <f>IFERROR(__xludf.DUMMYFUNCTION("""COMPUTED_VALUE"""),4370.0)</f>
        <v>4370</v>
      </c>
      <c r="F633" s="2">
        <f>IFERROR(__xludf.DUMMYFUNCTION("""COMPUTED_VALUE"""),1.072426E8)</f>
        <v>107242600</v>
      </c>
      <c r="G633" s="2">
        <f t="shared" si="1"/>
        <v>60</v>
      </c>
    </row>
    <row r="634" ht="15.75" customHeight="1">
      <c r="A634" s="1">
        <f>IFERROR(__xludf.DUMMYFUNCTION("""COMPUTED_VALUE"""),44782.66666666667)</f>
        <v>44782.66667</v>
      </c>
      <c r="B634" s="2">
        <f>IFERROR(__xludf.DUMMYFUNCTION("""COMPUTED_VALUE"""),4400.0)</f>
        <v>4400</v>
      </c>
      <c r="C634" s="2">
        <f>IFERROR(__xludf.DUMMYFUNCTION("""COMPUTED_VALUE"""),4470.0)</f>
        <v>4470</v>
      </c>
      <c r="D634" s="2">
        <f>IFERROR(__xludf.DUMMYFUNCTION("""COMPUTED_VALUE"""),4390.0)</f>
        <v>4390</v>
      </c>
      <c r="E634" s="2">
        <f>IFERROR(__xludf.DUMMYFUNCTION("""COMPUTED_VALUE"""),4410.0)</f>
        <v>4410</v>
      </c>
      <c r="F634" s="2">
        <f>IFERROR(__xludf.DUMMYFUNCTION("""COMPUTED_VALUE"""),1.817471E8)</f>
        <v>181747100</v>
      </c>
      <c r="G634" s="2">
        <f t="shared" si="1"/>
        <v>100</v>
      </c>
    </row>
    <row r="635" ht="15.75" customHeight="1">
      <c r="A635" s="1">
        <f>IFERROR(__xludf.DUMMYFUNCTION("""COMPUTED_VALUE"""),44783.66666666667)</f>
        <v>44783.66667</v>
      </c>
      <c r="B635" s="2">
        <f>IFERROR(__xludf.DUMMYFUNCTION("""COMPUTED_VALUE"""),4350.0)</f>
        <v>4350</v>
      </c>
      <c r="C635" s="2">
        <f>IFERROR(__xludf.DUMMYFUNCTION("""COMPUTED_VALUE"""),4370.0)</f>
        <v>4370</v>
      </c>
      <c r="D635" s="2">
        <f>IFERROR(__xludf.DUMMYFUNCTION("""COMPUTED_VALUE"""),4300.0)</f>
        <v>4300</v>
      </c>
      <c r="E635" s="2">
        <f>IFERROR(__xludf.DUMMYFUNCTION("""COMPUTED_VALUE"""),4310.0)</f>
        <v>4310</v>
      </c>
      <c r="F635" s="2">
        <f>IFERROR(__xludf.DUMMYFUNCTION("""COMPUTED_VALUE"""),2.053411E8)</f>
        <v>205341100</v>
      </c>
      <c r="G635" s="2">
        <f t="shared" si="1"/>
        <v>110</v>
      </c>
    </row>
    <row r="636" ht="15.75" customHeight="1">
      <c r="A636" s="1">
        <f>IFERROR(__xludf.DUMMYFUNCTION("""COMPUTED_VALUE"""),44784.66666666667)</f>
        <v>44784.66667</v>
      </c>
      <c r="B636" s="2">
        <f>IFERROR(__xludf.DUMMYFUNCTION("""COMPUTED_VALUE"""),4380.0)</f>
        <v>4380</v>
      </c>
      <c r="C636" s="2">
        <f>IFERROR(__xludf.DUMMYFUNCTION("""COMPUTED_VALUE"""),4410.0)</f>
        <v>4410</v>
      </c>
      <c r="D636" s="2">
        <f>IFERROR(__xludf.DUMMYFUNCTION("""COMPUTED_VALUE"""),4340.0)</f>
        <v>4340</v>
      </c>
      <c r="E636" s="2">
        <f>IFERROR(__xludf.DUMMYFUNCTION("""COMPUTED_VALUE"""),4350.0)</f>
        <v>4350</v>
      </c>
      <c r="F636" s="2">
        <f>IFERROR(__xludf.DUMMYFUNCTION("""COMPUTED_VALUE"""),1.93329E8)</f>
        <v>193329000</v>
      </c>
      <c r="G636" s="2">
        <f t="shared" si="1"/>
        <v>100</v>
      </c>
    </row>
    <row r="637" ht="15.75" customHeight="1">
      <c r="A637" s="1">
        <f>IFERROR(__xludf.DUMMYFUNCTION("""COMPUTED_VALUE"""),44785.66666666667)</f>
        <v>44785.66667</v>
      </c>
      <c r="B637" s="2">
        <f>IFERROR(__xludf.DUMMYFUNCTION("""COMPUTED_VALUE"""),4340.0)</f>
        <v>4340</v>
      </c>
      <c r="C637" s="2">
        <f>IFERROR(__xludf.DUMMYFUNCTION("""COMPUTED_VALUE"""),4350.0)</f>
        <v>4350</v>
      </c>
      <c r="D637" s="2">
        <f>IFERROR(__xludf.DUMMYFUNCTION("""COMPUTED_VALUE"""),4320.0)</f>
        <v>4320</v>
      </c>
      <c r="E637" s="2">
        <f>IFERROR(__xludf.DUMMYFUNCTION("""COMPUTED_VALUE"""),4320.0)</f>
        <v>4320</v>
      </c>
      <c r="F637" s="2">
        <f>IFERROR(__xludf.DUMMYFUNCTION("""COMPUTED_VALUE"""),1.039167E8)</f>
        <v>103916700</v>
      </c>
      <c r="G637" s="2">
        <f t="shared" si="1"/>
        <v>30</v>
      </c>
    </row>
    <row r="638" ht="15.75" customHeight="1">
      <c r="A638" s="1">
        <f>IFERROR(__xludf.DUMMYFUNCTION("""COMPUTED_VALUE"""),44788.66666666667)</f>
        <v>44788.66667</v>
      </c>
      <c r="B638" s="2">
        <f>IFERROR(__xludf.DUMMYFUNCTION("""COMPUTED_VALUE"""),4330.0)</f>
        <v>4330</v>
      </c>
      <c r="C638" s="2">
        <f>IFERROR(__xludf.DUMMYFUNCTION("""COMPUTED_VALUE"""),4350.0)</f>
        <v>4350</v>
      </c>
      <c r="D638" s="2">
        <f>IFERROR(__xludf.DUMMYFUNCTION("""COMPUTED_VALUE"""),4300.0)</f>
        <v>4300</v>
      </c>
      <c r="E638" s="2">
        <f>IFERROR(__xludf.DUMMYFUNCTION("""COMPUTED_VALUE"""),4300.0)</f>
        <v>4300</v>
      </c>
      <c r="F638" s="2">
        <f>IFERROR(__xludf.DUMMYFUNCTION("""COMPUTED_VALUE"""),1.350994E8)</f>
        <v>135099400</v>
      </c>
      <c r="G638" s="2">
        <f t="shared" si="1"/>
        <v>50</v>
      </c>
    </row>
    <row r="639" ht="15.75" customHeight="1">
      <c r="A639" s="1">
        <f>IFERROR(__xludf.DUMMYFUNCTION("""COMPUTED_VALUE"""),44789.66666666667)</f>
        <v>44789.66667</v>
      </c>
      <c r="B639" s="2">
        <f>IFERROR(__xludf.DUMMYFUNCTION("""COMPUTED_VALUE"""),4350.0)</f>
        <v>4350</v>
      </c>
      <c r="C639" s="2">
        <f>IFERROR(__xludf.DUMMYFUNCTION("""COMPUTED_VALUE"""),4350.0)</f>
        <v>4350</v>
      </c>
      <c r="D639" s="2">
        <f>IFERROR(__xludf.DUMMYFUNCTION("""COMPUTED_VALUE"""),4270.0)</f>
        <v>4270</v>
      </c>
      <c r="E639" s="2">
        <f>IFERROR(__xludf.DUMMYFUNCTION("""COMPUTED_VALUE"""),4280.0)</f>
        <v>4280</v>
      </c>
      <c r="F639" s="2">
        <f>IFERROR(__xludf.DUMMYFUNCTION("""COMPUTED_VALUE"""),2.054324E8)</f>
        <v>205432400</v>
      </c>
      <c r="G639" s="2">
        <f t="shared" si="1"/>
        <v>80</v>
      </c>
    </row>
    <row r="640" ht="15.75" customHeight="1">
      <c r="A640" s="1">
        <f>IFERROR(__xludf.DUMMYFUNCTION("""COMPUTED_VALUE"""),44791.66666666667)</f>
        <v>44791.66667</v>
      </c>
      <c r="B640" s="2">
        <f>IFERROR(__xludf.DUMMYFUNCTION("""COMPUTED_VALUE"""),4330.0)</f>
        <v>4330</v>
      </c>
      <c r="C640" s="2">
        <f>IFERROR(__xludf.DUMMYFUNCTION("""COMPUTED_VALUE"""),4340.0)</f>
        <v>4340</v>
      </c>
      <c r="D640" s="2">
        <f>IFERROR(__xludf.DUMMYFUNCTION("""COMPUTED_VALUE"""),4310.0)</f>
        <v>4310</v>
      </c>
      <c r="E640" s="2">
        <f>IFERROR(__xludf.DUMMYFUNCTION("""COMPUTED_VALUE"""),4330.0)</f>
        <v>4330</v>
      </c>
      <c r="F640" s="2">
        <f>IFERROR(__xludf.DUMMYFUNCTION("""COMPUTED_VALUE"""),1.387953E8)</f>
        <v>138795300</v>
      </c>
      <c r="G640" s="2">
        <f t="shared" si="1"/>
        <v>60</v>
      </c>
    </row>
    <row r="641" ht="15.75" customHeight="1">
      <c r="A641" s="1">
        <f>IFERROR(__xludf.DUMMYFUNCTION("""COMPUTED_VALUE"""),44792.66666666667)</f>
        <v>44792.66667</v>
      </c>
      <c r="B641" s="2">
        <f>IFERROR(__xludf.DUMMYFUNCTION("""COMPUTED_VALUE"""),4340.0)</f>
        <v>4340</v>
      </c>
      <c r="C641" s="2">
        <f>IFERROR(__xludf.DUMMYFUNCTION("""COMPUTED_VALUE"""),4340.0)</f>
        <v>4340</v>
      </c>
      <c r="D641" s="2">
        <f>IFERROR(__xludf.DUMMYFUNCTION("""COMPUTED_VALUE"""),4300.0)</f>
        <v>4300</v>
      </c>
      <c r="E641" s="2">
        <f>IFERROR(__xludf.DUMMYFUNCTION("""COMPUTED_VALUE"""),4300.0)</f>
        <v>4300</v>
      </c>
      <c r="F641" s="2">
        <f>IFERROR(__xludf.DUMMYFUNCTION("""COMPUTED_VALUE"""),8.45521E7)</f>
        <v>84552100</v>
      </c>
      <c r="G641" s="2">
        <f t="shared" si="1"/>
        <v>40</v>
      </c>
    </row>
    <row r="642" ht="15.75" customHeight="1">
      <c r="A642" s="1">
        <f>IFERROR(__xludf.DUMMYFUNCTION("""COMPUTED_VALUE"""),44795.66666666667)</f>
        <v>44795.66667</v>
      </c>
      <c r="B642" s="2">
        <f>IFERROR(__xludf.DUMMYFUNCTION("""COMPUTED_VALUE"""),4320.0)</f>
        <v>4320</v>
      </c>
      <c r="C642" s="2">
        <f>IFERROR(__xludf.DUMMYFUNCTION("""COMPUTED_VALUE"""),4330.0)</f>
        <v>4330</v>
      </c>
      <c r="D642" s="2">
        <f>IFERROR(__xludf.DUMMYFUNCTION("""COMPUTED_VALUE"""),4270.0)</f>
        <v>4270</v>
      </c>
      <c r="E642" s="2">
        <f>IFERROR(__xludf.DUMMYFUNCTION("""COMPUTED_VALUE"""),4270.0)</f>
        <v>4270</v>
      </c>
      <c r="F642" s="2">
        <f>IFERROR(__xludf.DUMMYFUNCTION("""COMPUTED_VALUE"""),1.211244E8)</f>
        <v>121124400</v>
      </c>
      <c r="G642" s="2">
        <f t="shared" si="1"/>
        <v>60</v>
      </c>
    </row>
    <row r="643" ht="15.75" customHeight="1">
      <c r="A643" s="1">
        <f>IFERROR(__xludf.DUMMYFUNCTION("""COMPUTED_VALUE"""),44796.66666666667)</f>
        <v>44796.66667</v>
      </c>
      <c r="B643" s="2">
        <f>IFERROR(__xludf.DUMMYFUNCTION("""COMPUTED_VALUE"""),4260.0)</f>
        <v>4260</v>
      </c>
      <c r="C643" s="2">
        <f>IFERROR(__xludf.DUMMYFUNCTION("""COMPUTED_VALUE"""),4310.0)</f>
        <v>4310</v>
      </c>
      <c r="D643" s="2">
        <f>IFERROR(__xludf.DUMMYFUNCTION("""COMPUTED_VALUE"""),4260.0)</f>
        <v>4260</v>
      </c>
      <c r="E643" s="2">
        <f>IFERROR(__xludf.DUMMYFUNCTION("""COMPUTED_VALUE"""),4300.0)</f>
        <v>4300</v>
      </c>
      <c r="F643" s="2">
        <f>IFERROR(__xludf.DUMMYFUNCTION("""COMPUTED_VALUE"""),1.077995E8)</f>
        <v>107799500</v>
      </c>
      <c r="G643" s="2">
        <f t="shared" si="1"/>
        <v>50</v>
      </c>
    </row>
    <row r="644" ht="15.75" customHeight="1">
      <c r="A644" s="1">
        <f>IFERROR(__xludf.DUMMYFUNCTION("""COMPUTED_VALUE"""),44797.66666666667)</f>
        <v>44797.66667</v>
      </c>
      <c r="B644" s="2">
        <f>IFERROR(__xludf.DUMMYFUNCTION("""COMPUTED_VALUE"""),4300.0)</f>
        <v>4300</v>
      </c>
      <c r="C644" s="2">
        <f>IFERROR(__xludf.DUMMYFUNCTION("""COMPUTED_VALUE"""),4330.0)</f>
        <v>4330</v>
      </c>
      <c r="D644" s="2">
        <f>IFERROR(__xludf.DUMMYFUNCTION("""COMPUTED_VALUE"""),4280.0)</f>
        <v>4280</v>
      </c>
      <c r="E644" s="2">
        <f>IFERROR(__xludf.DUMMYFUNCTION("""COMPUTED_VALUE"""),4290.0)</f>
        <v>4290</v>
      </c>
      <c r="F644" s="2">
        <f>IFERROR(__xludf.DUMMYFUNCTION("""COMPUTED_VALUE"""),7.50559E7)</f>
        <v>75055900</v>
      </c>
      <c r="G644" s="2">
        <f t="shared" si="1"/>
        <v>50</v>
      </c>
    </row>
    <row r="645" ht="15.75" customHeight="1">
      <c r="A645" s="1">
        <f>IFERROR(__xludf.DUMMYFUNCTION("""COMPUTED_VALUE"""),44798.66666666667)</f>
        <v>44798.66667</v>
      </c>
      <c r="B645" s="2">
        <f>IFERROR(__xludf.DUMMYFUNCTION("""COMPUTED_VALUE"""),4280.0)</f>
        <v>4280</v>
      </c>
      <c r="C645" s="2">
        <f>IFERROR(__xludf.DUMMYFUNCTION("""COMPUTED_VALUE"""),4300.0)</f>
        <v>4300</v>
      </c>
      <c r="D645" s="2">
        <f>IFERROR(__xludf.DUMMYFUNCTION("""COMPUTED_VALUE"""),4270.0)</f>
        <v>4270</v>
      </c>
      <c r="E645" s="2">
        <f>IFERROR(__xludf.DUMMYFUNCTION("""COMPUTED_VALUE"""),4270.0)</f>
        <v>4270</v>
      </c>
      <c r="F645" s="2">
        <f>IFERROR(__xludf.DUMMYFUNCTION("""COMPUTED_VALUE"""),1.176538E8)</f>
        <v>117653800</v>
      </c>
      <c r="G645" s="2">
        <f t="shared" si="1"/>
        <v>30</v>
      </c>
    </row>
    <row r="646" ht="15.75" customHeight="1">
      <c r="A646" s="1">
        <f>IFERROR(__xludf.DUMMYFUNCTION("""COMPUTED_VALUE"""),44799.66666666667)</f>
        <v>44799.66667</v>
      </c>
      <c r="B646" s="2">
        <f>IFERROR(__xludf.DUMMYFUNCTION("""COMPUTED_VALUE"""),4280.0)</f>
        <v>4280</v>
      </c>
      <c r="C646" s="2">
        <f>IFERROR(__xludf.DUMMYFUNCTION("""COMPUTED_VALUE"""),4290.0)</f>
        <v>4290</v>
      </c>
      <c r="D646" s="2">
        <f>IFERROR(__xludf.DUMMYFUNCTION("""COMPUTED_VALUE"""),4270.0)</f>
        <v>4270</v>
      </c>
      <c r="E646" s="2">
        <f>IFERROR(__xludf.DUMMYFUNCTION("""COMPUTED_VALUE"""),4270.0)</f>
        <v>4270</v>
      </c>
      <c r="F646" s="2">
        <f>IFERROR(__xludf.DUMMYFUNCTION("""COMPUTED_VALUE"""),8.73752E7)</f>
        <v>87375200</v>
      </c>
      <c r="G646" s="2">
        <f t="shared" si="1"/>
        <v>20</v>
      </c>
    </row>
    <row r="647" ht="15.75" customHeight="1">
      <c r="A647" s="1">
        <f>IFERROR(__xludf.DUMMYFUNCTION("""COMPUTED_VALUE"""),44802.66666666667)</f>
        <v>44802.66667</v>
      </c>
      <c r="B647" s="2">
        <f>IFERROR(__xludf.DUMMYFUNCTION("""COMPUTED_VALUE"""),4250.0)</f>
        <v>4250</v>
      </c>
      <c r="C647" s="2">
        <f>IFERROR(__xludf.DUMMYFUNCTION("""COMPUTED_VALUE"""),4270.0)</f>
        <v>4270</v>
      </c>
      <c r="D647" s="2">
        <f>IFERROR(__xludf.DUMMYFUNCTION("""COMPUTED_VALUE"""),4220.0)</f>
        <v>4220</v>
      </c>
      <c r="E647" s="2">
        <f>IFERROR(__xludf.DUMMYFUNCTION("""COMPUTED_VALUE"""),4250.0)</f>
        <v>4250</v>
      </c>
      <c r="F647" s="2">
        <f>IFERROR(__xludf.DUMMYFUNCTION("""COMPUTED_VALUE"""),8.84098E7)</f>
        <v>88409800</v>
      </c>
      <c r="G647" s="2">
        <f t="shared" si="1"/>
        <v>50</v>
      </c>
    </row>
    <row r="648" ht="15.75" customHeight="1">
      <c r="A648" s="1">
        <f>IFERROR(__xludf.DUMMYFUNCTION("""COMPUTED_VALUE"""),44803.66666666667)</f>
        <v>44803.66667</v>
      </c>
      <c r="B648" s="2">
        <f>IFERROR(__xludf.DUMMYFUNCTION("""COMPUTED_VALUE"""),4250.0)</f>
        <v>4250</v>
      </c>
      <c r="C648" s="2">
        <f>IFERROR(__xludf.DUMMYFUNCTION("""COMPUTED_VALUE"""),4300.0)</f>
        <v>4300</v>
      </c>
      <c r="D648" s="2">
        <f>IFERROR(__xludf.DUMMYFUNCTION("""COMPUTED_VALUE"""),4250.0)</f>
        <v>4250</v>
      </c>
      <c r="E648" s="2">
        <f>IFERROR(__xludf.DUMMYFUNCTION("""COMPUTED_VALUE"""),4260.0)</f>
        <v>4260</v>
      </c>
      <c r="F648" s="2">
        <f>IFERROR(__xludf.DUMMYFUNCTION("""COMPUTED_VALUE"""),1.572195E8)</f>
        <v>157219500</v>
      </c>
      <c r="G648" s="2">
        <f t="shared" si="1"/>
        <v>50</v>
      </c>
    </row>
    <row r="649" ht="15.75" customHeight="1">
      <c r="A649" s="1">
        <f>IFERROR(__xludf.DUMMYFUNCTION("""COMPUTED_VALUE"""),44804.66666666667)</f>
        <v>44804.66667</v>
      </c>
      <c r="B649" s="2">
        <f>IFERROR(__xludf.DUMMYFUNCTION("""COMPUTED_VALUE"""),4250.0)</f>
        <v>4250</v>
      </c>
      <c r="C649" s="2">
        <f>IFERROR(__xludf.DUMMYFUNCTION("""COMPUTED_VALUE"""),4350.0)</f>
        <v>4350</v>
      </c>
      <c r="D649" s="2">
        <f>IFERROR(__xludf.DUMMYFUNCTION("""COMPUTED_VALUE"""),4240.0)</f>
        <v>4240</v>
      </c>
      <c r="E649" s="2">
        <f>IFERROR(__xludf.DUMMYFUNCTION("""COMPUTED_VALUE"""),4340.0)</f>
        <v>4340</v>
      </c>
      <c r="F649" s="2">
        <f>IFERROR(__xludf.DUMMYFUNCTION("""COMPUTED_VALUE"""),1.914757E8)</f>
        <v>191475700</v>
      </c>
      <c r="G649" s="2">
        <f t="shared" si="1"/>
        <v>110</v>
      </c>
    </row>
    <row r="650" ht="15.75" customHeight="1">
      <c r="A650" s="1">
        <f>IFERROR(__xludf.DUMMYFUNCTION("""COMPUTED_VALUE"""),44805.625)</f>
        <v>44805.625</v>
      </c>
      <c r="B650" s="2">
        <f>IFERROR(__xludf.DUMMYFUNCTION("""COMPUTED_VALUE"""),4320.0)</f>
        <v>4320</v>
      </c>
      <c r="C650" s="2">
        <f>IFERROR(__xludf.DUMMYFUNCTION("""COMPUTED_VALUE"""),4390.0)</f>
        <v>4390</v>
      </c>
      <c r="D650" s="2">
        <f>IFERROR(__xludf.DUMMYFUNCTION("""COMPUTED_VALUE"""),4310.0)</f>
        <v>4310</v>
      </c>
      <c r="E650" s="2">
        <f>IFERROR(__xludf.DUMMYFUNCTION("""COMPUTED_VALUE"""),4390.0)</f>
        <v>4390</v>
      </c>
      <c r="F650" s="2">
        <f>IFERROR(__xludf.DUMMYFUNCTION("""COMPUTED_VALUE"""),1.399293E8)</f>
        <v>139929300</v>
      </c>
      <c r="G650" s="2">
        <f t="shared" si="1"/>
        <v>80</v>
      </c>
    </row>
    <row r="651" ht="15.75" customHeight="1">
      <c r="A651" s="1">
        <f>IFERROR(__xludf.DUMMYFUNCTION("""COMPUTED_VALUE"""),44806.625)</f>
        <v>44806.625</v>
      </c>
      <c r="B651" s="2">
        <f>IFERROR(__xludf.DUMMYFUNCTION("""COMPUTED_VALUE"""),4410.0)</f>
        <v>4410</v>
      </c>
      <c r="C651" s="2">
        <f>IFERROR(__xludf.DUMMYFUNCTION("""COMPUTED_VALUE"""),4450.0)</f>
        <v>4450</v>
      </c>
      <c r="D651" s="2">
        <f>IFERROR(__xludf.DUMMYFUNCTION("""COMPUTED_VALUE"""),4380.0)</f>
        <v>4380</v>
      </c>
      <c r="E651" s="2">
        <f>IFERROR(__xludf.DUMMYFUNCTION("""COMPUTED_VALUE"""),4450.0)</f>
        <v>4450</v>
      </c>
      <c r="F651" s="2">
        <f>IFERROR(__xludf.DUMMYFUNCTION("""COMPUTED_VALUE"""),2.206166E8)</f>
        <v>220616600</v>
      </c>
      <c r="G651" s="2">
        <f t="shared" si="1"/>
        <v>70</v>
      </c>
    </row>
    <row r="652" ht="15.75" customHeight="1">
      <c r="A652" s="1">
        <f>IFERROR(__xludf.DUMMYFUNCTION("""COMPUTED_VALUE"""),44809.66666666667)</f>
        <v>44809.66667</v>
      </c>
      <c r="B652" s="2">
        <f>IFERROR(__xludf.DUMMYFUNCTION("""COMPUTED_VALUE"""),4430.0)</f>
        <v>4430</v>
      </c>
      <c r="C652" s="2">
        <f>IFERROR(__xludf.DUMMYFUNCTION("""COMPUTED_VALUE"""),4600.0)</f>
        <v>4600</v>
      </c>
      <c r="D652" s="2">
        <f>IFERROR(__xludf.DUMMYFUNCTION("""COMPUTED_VALUE"""),4420.0)</f>
        <v>4420</v>
      </c>
      <c r="E652" s="2">
        <f>IFERROR(__xludf.DUMMYFUNCTION("""COMPUTED_VALUE"""),4590.0)</f>
        <v>4590</v>
      </c>
      <c r="F652" s="2">
        <f>IFERROR(__xludf.DUMMYFUNCTION("""COMPUTED_VALUE"""),2.611266E8)</f>
        <v>261126600</v>
      </c>
      <c r="G652" s="2">
        <f t="shared" si="1"/>
        <v>180</v>
      </c>
    </row>
    <row r="653" ht="15.75" customHeight="1">
      <c r="A653" s="1">
        <f>IFERROR(__xludf.DUMMYFUNCTION("""COMPUTED_VALUE"""),44810.66666666667)</f>
        <v>44810.66667</v>
      </c>
      <c r="B653" s="2">
        <f>IFERROR(__xludf.DUMMYFUNCTION("""COMPUTED_VALUE"""),4670.0)</f>
        <v>4670</v>
      </c>
      <c r="C653" s="2">
        <f>IFERROR(__xludf.DUMMYFUNCTION("""COMPUTED_VALUE"""),4690.0)</f>
        <v>4690</v>
      </c>
      <c r="D653" s="2">
        <f>IFERROR(__xludf.DUMMYFUNCTION("""COMPUTED_VALUE"""),4550.0)</f>
        <v>4550</v>
      </c>
      <c r="E653" s="2">
        <f>IFERROR(__xludf.DUMMYFUNCTION("""COMPUTED_VALUE"""),4560.0)</f>
        <v>4560</v>
      </c>
      <c r="F653" s="2">
        <f>IFERROR(__xludf.DUMMYFUNCTION("""COMPUTED_VALUE"""),1.880427E8)</f>
        <v>188042700</v>
      </c>
      <c r="G653" s="2">
        <f t="shared" si="1"/>
        <v>140</v>
      </c>
    </row>
    <row r="654" ht="15.75" customHeight="1">
      <c r="A654" s="1">
        <f>IFERROR(__xludf.DUMMYFUNCTION("""COMPUTED_VALUE"""),44811.66666666667)</f>
        <v>44811.66667</v>
      </c>
      <c r="B654" s="2">
        <f>IFERROR(__xludf.DUMMYFUNCTION("""COMPUTED_VALUE"""),4510.0)</f>
        <v>4510</v>
      </c>
      <c r="C654" s="2">
        <f>IFERROR(__xludf.DUMMYFUNCTION("""COMPUTED_VALUE"""),4550.0)</f>
        <v>4550</v>
      </c>
      <c r="D654" s="2">
        <f>IFERROR(__xludf.DUMMYFUNCTION("""COMPUTED_VALUE"""),4460.0)</f>
        <v>4460</v>
      </c>
      <c r="E654" s="2">
        <f>IFERROR(__xludf.DUMMYFUNCTION("""COMPUTED_VALUE"""),4460.0)</f>
        <v>4460</v>
      </c>
      <c r="F654" s="2">
        <f>IFERROR(__xludf.DUMMYFUNCTION("""COMPUTED_VALUE"""),2.319367E8)</f>
        <v>231936700</v>
      </c>
      <c r="G654" s="2">
        <f t="shared" si="1"/>
        <v>100</v>
      </c>
    </row>
    <row r="655" ht="15.75" customHeight="1">
      <c r="A655" s="1">
        <f>IFERROR(__xludf.DUMMYFUNCTION("""COMPUTED_VALUE"""),44812.66666666667)</f>
        <v>44812.66667</v>
      </c>
      <c r="B655" s="2">
        <f>IFERROR(__xludf.DUMMYFUNCTION("""COMPUTED_VALUE"""),4480.0)</f>
        <v>4480</v>
      </c>
      <c r="C655" s="2">
        <f>IFERROR(__xludf.DUMMYFUNCTION("""COMPUTED_VALUE"""),4620.0)</f>
        <v>4620</v>
      </c>
      <c r="D655" s="2">
        <f>IFERROR(__xludf.DUMMYFUNCTION("""COMPUTED_VALUE"""),4480.0)</f>
        <v>4480</v>
      </c>
      <c r="E655" s="2">
        <f>IFERROR(__xludf.DUMMYFUNCTION("""COMPUTED_VALUE"""),4600.0)</f>
        <v>4600</v>
      </c>
      <c r="F655" s="2">
        <f>IFERROR(__xludf.DUMMYFUNCTION("""COMPUTED_VALUE"""),2.503732E8)</f>
        <v>250373200</v>
      </c>
      <c r="G655" s="2">
        <f t="shared" si="1"/>
        <v>160</v>
      </c>
    </row>
    <row r="656" ht="15.75" customHeight="1">
      <c r="A656" s="1">
        <f>IFERROR(__xludf.DUMMYFUNCTION("""COMPUTED_VALUE"""),44813.66666666667)</f>
        <v>44813.66667</v>
      </c>
      <c r="B656" s="2">
        <f>IFERROR(__xludf.DUMMYFUNCTION("""COMPUTED_VALUE"""),4640.0)</f>
        <v>4640</v>
      </c>
      <c r="C656" s="2">
        <f>IFERROR(__xludf.DUMMYFUNCTION("""COMPUTED_VALUE"""),4640.0)</f>
        <v>4640</v>
      </c>
      <c r="D656" s="2">
        <f>IFERROR(__xludf.DUMMYFUNCTION("""COMPUTED_VALUE"""),4570.0)</f>
        <v>4570</v>
      </c>
      <c r="E656" s="2">
        <f>IFERROR(__xludf.DUMMYFUNCTION("""COMPUTED_VALUE"""),4610.0)</f>
        <v>4610</v>
      </c>
      <c r="F656" s="2">
        <f>IFERROR(__xludf.DUMMYFUNCTION("""COMPUTED_VALUE"""),1.192867E8)</f>
        <v>119286700</v>
      </c>
      <c r="G656" s="2">
        <f t="shared" si="1"/>
        <v>70</v>
      </c>
    </row>
    <row r="657" ht="15.75" customHeight="1">
      <c r="A657" s="1">
        <f>IFERROR(__xludf.DUMMYFUNCTION("""COMPUTED_VALUE"""),44816.66666666667)</f>
        <v>44816.66667</v>
      </c>
      <c r="B657" s="2">
        <f>IFERROR(__xludf.DUMMYFUNCTION("""COMPUTED_VALUE"""),4610.0)</f>
        <v>4610</v>
      </c>
      <c r="C657" s="2">
        <f>IFERROR(__xludf.DUMMYFUNCTION("""COMPUTED_VALUE"""),4630.0)</f>
        <v>4630</v>
      </c>
      <c r="D657" s="2">
        <f>IFERROR(__xludf.DUMMYFUNCTION("""COMPUTED_VALUE"""),4560.0)</f>
        <v>4560</v>
      </c>
      <c r="E657" s="2">
        <f>IFERROR(__xludf.DUMMYFUNCTION("""COMPUTED_VALUE"""),4560.0)</f>
        <v>4560</v>
      </c>
      <c r="F657" s="2">
        <f>IFERROR(__xludf.DUMMYFUNCTION("""COMPUTED_VALUE"""),9.7988E7)</f>
        <v>97988000</v>
      </c>
      <c r="G657" s="2">
        <f t="shared" si="1"/>
        <v>70</v>
      </c>
    </row>
    <row r="658" ht="15.75" customHeight="1">
      <c r="A658" s="1">
        <f>IFERROR(__xludf.DUMMYFUNCTION("""COMPUTED_VALUE"""),44817.66666666667)</f>
        <v>44817.66667</v>
      </c>
      <c r="B658" s="2">
        <f>IFERROR(__xludf.DUMMYFUNCTION("""COMPUTED_VALUE"""),4560.0)</f>
        <v>4560</v>
      </c>
      <c r="C658" s="2">
        <f>IFERROR(__xludf.DUMMYFUNCTION("""COMPUTED_VALUE"""),4640.0)</f>
        <v>4640</v>
      </c>
      <c r="D658" s="2">
        <f>IFERROR(__xludf.DUMMYFUNCTION("""COMPUTED_VALUE"""),4560.0)</f>
        <v>4560</v>
      </c>
      <c r="E658" s="2">
        <f>IFERROR(__xludf.DUMMYFUNCTION("""COMPUTED_VALUE"""),4580.0)</f>
        <v>4580</v>
      </c>
      <c r="F658" s="2">
        <f>IFERROR(__xludf.DUMMYFUNCTION("""COMPUTED_VALUE"""),1.418288E8)</f>
        <v>141828800</v>
      </c>
      <c r="G658" s="2">
        <f t="shared" si="1"/>
        <v>80</v>
      </c>
    </row>
    <row r="659" ht="15.75" customHeight="1">
      <c r="A659" s="1">
        <f>IFERROR(__xludf.DUMMYFUNCTION("""COMPUTED_VALUE"""),44818.66666666667)</f>
        <v>44818.66667</v>
      </c>
      <c r="B659" s="2">
        <f>IFERROR(__xludf.DUMMYFUNCTION("""COMPUTED_VALUE"""),4520.0)</f>
        <v>4520</v>
      </c>
      <c r="C659" s="2">
        <f>IFERROR(__xludf.DUMMYFUNCTION("""COMPUTED_VALUE"""),4610.0)</f>
        <v>4610</v>
      </c>
      <c r="D659" s="2">
        <f>IFERROR(__xludf.DUMMYFUNCTION("""COMPUTED_VALUE"""),4510.0)</f>
        <v>4510</v>
      </c>
      <c r="E659" s="2">
        <f>IFERROR(__xludf.DUMMYFUNCTION("""COMPUTED_VALUE"""),4580.0)</f>
        <v>4580</v>
      </c>
      <c r="F659" s="2">
        <f>IFERROR(__xludf.DUMMYFUNCTION("""COMPUTED_VALUE"""),1.499606E8)</f>
        <v>149960600</v>
      </c>
      <c r="G659" s="2">
        <f t="shared" si="1"/>
        <v>100</v>
      </c>
    </row>
    <row r="660" ht="15.75" customHeight="1">
      <c r="A660" s="1">
        <f>IFERROR(__xludf.DUMMYFUNCTION("""COMPUTED_VALUE"""),44819.66666666667)</f>
        <v>44819.66667</v>
      </c>
      <c r="B660" s="2">
        <f>IFERROR(__xludf.DUMMYFUNCTION("""COMPUTED_VALUE"""),4600.0)</f>
        <v>4600</v>
      </c>
      <c r="C660" s="2">
        <f>IFERROR(__xludf.DUMMYFUNCTION("""COMPUTED_VALUE"""),4700.0)</f>
        <v>4700</v>
      </c>
      <c r="D660" s="2">
        <f>IFERROR(__xludf.DUMMYFUNCTION("""COMPUTED_VALUE"""),4590.0)</f>
        <v>4590</v>
      </c>
      <c r="E660" s="2">
        <f>IFERROR(__xludf.DUMMYFUNCTION("""COMPUTED_VALUE"""),4610.0)</f>
        <v>4610</v>
      </c>
      <c r="F660" s="2">
        <f>IFERROR(__xludf.DUMMYFUNCTION("""COMPUTED_VALUE"""),2.956641E8)</f>
        <v>295664100</v>
      </c>
      <c r="G660" s="2">
        <f t="shared" si="1"/>
        <v>120</v>
      </c>
    </row>
    <row r="661" ht="15.75" customHeight="1">
      <c r="A661" s="1">
        <f>IFERROR(__xludf.DUMMYFUNCTION("""COMPUTED_VALUE"""),44820.66666666667)</f>
        <v>44820.66667</v>
      </c>
      <c r="B661" s="2">
        <f>IFERROR(__xludf.DUMMYFUNCTION("""COMPUTED_VALUE"""),4610.0)</f>
        <v>4610</v>
      </c>
      <c r="C661" s="2">
        <f>IFERROR(__xludf.DUMMYFUNCTION("""COMPUTED_VALUE"""),4620.0)</f>
        <v>4620</v>
      </c>
      <c r="D661" s="2">
        <f>IFERROR(__xludf.DUMMYFUNCTION("""COMPUTED_VALUE"""),4500.0)</f>
        <v>4500</v>
      </c>
      <c r="E661" s="2">
        <f>IFERROR(__xludf.DUMMYFUNCTION("""COMPUTED_VALUE"""),4500.0)</f>
        <v>4500</v>
      </c>
      <c r="F661" s="2">
        <f>IFERROR(__xludf.DUMMYFUNCTION("""COMPUTED_VALUE"""),2.824922E8)</f>
        <v>282492200</v>
      </c>
      <c r="G661" s="2">
        <f t="shared" si="1"/>
        <v>120</v>
      </c>
    </row>
    <row r="662" ht="15.75" customHeight="1">
      <c r="A662" s="1">
        <f>IFERROR(__xludf.DUMMYFUNCTION("""COMPUTED_VALUE"""),44823.66666666667)</f>
        <v>44823.66667</v>
      </c>
      <c r="B662" s="2">
        <f>IFERROR(__xludf.DUMMYFUNCTION("""COMPUTED_VALUE"""),4520.0)</f>
        <v>4520</v>
      </c>
      <c r="C662" s="2">
        <f>IFERROR(__xludf.DUMMYFUNCTION("""COMPUTED_VALUE"""),4600.0)</f>
        <v>4600</v>
      </c>
      <c r="D662" s="2">
        <f>IFERROR(__xludf.DUMMYFUNCTION("""COMPUTED_VALUE"""),4500.0)</f>
        <v>4500</v>
      </c>
      <c r="E662" s="2">
        <f>IFERROR(__xludf.DUMMYFUNCTION("""COMPUTED_VALUE"""),4570.0)</f>
        <v>4570</v>
      </c>
      <c r="F662" s="2">
        <f>IFERROR(__xludf.DUMMYFUNCTION("""COMPUTED_VALUE"""),1.34432E8)</f>
        <v>134432000</v>
      </c>
      <c r="G662" s="2">
        <f t="shared" si="1"/>
        <v>100</v>
      </c>
    </row>
    <row r="663" ht="15.75" customHeight="1">
      <c r="A663" s="1">
        <f>IFERROR(__xludf.DUMMYFUNCTION("""COMPUTED_VALUE"""),44824.66666666667)</f>
        <v>44824.66667</v>
      </c>
      <c r="B663" s="2">
        <f>IFERROR(__xludf.DUMMYFUNCTION("""COMPUTED_VALUE"""),4570.0)</f>
        <v>4570</v>
      </c>
      <c r="C663" s="2">
        <f>IFERROR(__xludf.DUMMYFUNCTION("""COMPUTED_VALUE"""),4600.0)</f>
        <v>4600</v>
      </c>
      <c r="D663" s="2">
        <f>IFERROR(__xludf.DUMMYFUNCTION("""COMPUTED_VALUE"""),4490.0)</f>
        <v>4490</v>
      </c>
      <c r="E663" s="2">
        <f>IFERROR(__xludf.DUMMYFUNCTION("""COMPUTED_VALUE"""),4490.0)</f>
        <v>4490</v>
      </c>
      <c r="F663" s="2">
        <f>IFERROR(__xludf.DUMMYFUNCTION("""COMPUTED_VALUE"""),1.386955E8)</f>
        <v>138695500</v>
      </c>
      <c r="G663" s="2">
        <f t="shared" si="1"/>
        <v>110</v>
      </c>
    </row>
    <row r="664" ht="15.75" customHeight="1">
      <c r="A664" s="1">
        <f>IFERROR(__xludf.DUMMYFUNCTION("""COMPUTED_VALUE"""),44825.66666666667)</f>
        <v>44825.66667</v>
      </c>
      <c r="B664" s="2">
        <f>IFERROR(__xludf.DUMMYFUNCTION("""COMPUTED_VALUE"""),4490.0)</f>
        <v>4490</v>
      </c>
      <c r="C664" s="2">
        <f>IFERROR(__xludf.DUMMYFUNCTION("""COMPUTED_VALUE"""),4550.0)</f>
        <v>4550</v>
      </c>
      <c r="D664" s="2">
        <f>IFERROR(__xludf.DUMMYFUNCTION("""COMPUTED_VALUE"""),4470.0)</f>
        <v>4470</v>
      </c>
      <c r="E664" s="2">
        <f>IFERROR(__xludf.DUMMYFUNCTION("""COMPUTED_VALUE"""),4550.0)</f>
        <v>4550</v>
      </c>
      <c r="F664" s="2">
        <f>IFERROR(__xludf.DUMMYFUNCTION("""COMPUTED_VALUE"""),1.599769E8)</f>
        <v>159976900</v>
      </c>
      <c r="G664" s="2">
        <f t="shared" si="1"/>
        <v>80</v>
      </c>
    </row>
    <row r="665" ht="15.75" customHeight="1">
      <c r="A665" s="1">
        <f>IFERROR(__xludf.DUMMYFUNCTION("""COMPUTED_VALUE"""),44826.66666666667)</f>
        <v>44826.66667</v>
      </c>
      <c r="B665" s="2">
        <f>IFERROR(__xludf.DUMMYFUNCTION("""COMPUTED_VALUE"""),4500.0)</f>
        <v>4500</v>
      </c>
      <c r="C665" s="2">
        <f>IFERROR(__xludf.DUMMYFUNCTION("""COMPUTED_VALUE"""),4580.0)</f>
        <v>4580</v>
      </c>
      <c r="D665" s="2">
        <f>IFERROR(__xludf.DUMMYFUNCTION("""COMPUTED_VALUE"""),4500.0)</f>
        <v>4500</v>
      </c>
      <c r="E665" s="2">
        <f>IFERROR(__xludf.DUMMYFUNCTION("""COMPUTED_VALUE"""),4560.0)</f>
        <v>4560</v>
      </c>
      <c r="F665" s="2">
        <f>IFERROR(__xludf.DUMMYFUNCTION("""COMPUTED_VALUE"""),1.004253E8)</f>
        <v>100425300</v>
      </c>
      <c r="G665" s="2">
        <f t="shared" si="1"/>
        <v>80</v>
      </c>
    </row>
    <row r="666" ht="15.75" customHeight="1">
      <c r="A666" s="1">
        <f>IFERROR(__xludf.DUMMYFUNCTION("""COMPUTED_VALUE"""),44827.66666666667)</f>
        <v>44827.66667</v>
      </c>
      <c r="B666" s="2">
        <f>IFERROR(__xludf.DUMMYFUNCTION("""COMPUTED_VALUE"""),4540.0)</f>
        <v>4540</v>
      </c>
      <c r="C666" s="2">
        <f>IFERROR(__xludf.DUMMYFUNCTION("""COMPUTED_VALUE"""),4560.0)</f>
        <v>4560</v>
      </c>
      <c r="D666" s="2">
        <f>IFERROR(__xludf.DUMMYFUNCTION("""COMPUTED_VALUE"""),4480.0)</f>
        <v>4480</v>
      </c>
      <c r="E666" s="2">
        <f>IFERROR(__xludf.DUMMYFUNCTION("""COMPUTED_VALUE"""),4480.0)</f>
        <v>4480</v>
      </c>
      <c r="F666" s="2">
        <f>IFERROR(__xludf.DUMMYFUNCTION("""COMPUTED_VALUE"""),1.39074E8)</f>
        <v>139074000</v>
      </c>
      <c r="G666" s="2">
        <f t="shared" si="1"/>
        <v>80</v>
      </c>
    </row>
    <row r="667" ht="15.75" customHeight="1">
      <c r="A667" s="1">
        <f>IFERROR(__xludf.DUMMYFUNCTION("""COMPUTED_VALUE"""),44830.66666666667)</f>
        <v>44830.66667</v>
      </c>
      <c r="B667" s="2">
        <f>IFERROR(__xludf.DUMMYFUNCTION("""COMPUTED_VALUE"""),4480.0)</f>
        <v>4480</v>
      </c>
      <c r="C667" s="2">
        <f>IFERROR(__xludf.DUMMYFUNCTION("""COMPUTED_VALUE"""),4540.0)</f>
        <v>4540</v>
      </c>
      <c r="D667" s="2">
        <f>IFERROR(__xludf.DUMMYFUNCTION("""COMPUTED_VALUE"""),4410.0)</f>
        <v>4410</v>
      </c>
      <c r="E667" s="2">
        <f>IFERROR(__xludf.DUMMYFUNCTION("""COMPUTED_VALUE"""),4540.0)</f>
        <v>4540</v>
      </c>
      <c r="F667" s="2">
        <f>IFERROR(__xludf.DUMMYFUNCTION("""COMPUTED_VALUE"""),2.807475E8)</f>
        <v>280747500</v>
      </c>
      <c r="G667" s="2">
        <f t="shared" si="1"/>
        <v>130</v>
      </c>
    </row>
    <row r="668" ht="15.75" customHeight="1">
      <c r="A668" s="1">
        <f>IFERROR(__xludf.DUMMYFUNCTION("""COMPUTED_VALUE"""),44831.66666666667)</f>
        <v>44831.66667</v>
      </c>
      <c r="B668" s="2">
        <f>IFERROR(__xludf.DUMMYFUNCTION("""COMPUTED_VALUE"""),4500.0)</f>
        <v>4500</v>
      </c>
      <c r="C668" s="2">
        <f>IFERROR(__xludf.DUMMYFUNCTION("""COMPUTED_VALUE"""),4550.0)</f>
        <v>4550</v>
      </c>
      <c r="D668" s="2">
        <f>IFERROR(__xludf.DUMMYFUNCTION("""COMPUTED_VALUE"""),4480.0)</f>
        <v>4480</v>
      </c>
      <c r="E668" s="2">
        <f>IFERROR(__xludf.DUMMYFUNCTION("""COMPUTED_VALUE"""),4530.0)</f>
        <v>4530</v>
      </c>
      <c r="F668" s="2">
        <f>IFERROR(__xludf.DUMMYFUNCTION("""COMPUTED_VALUE"""),2.137046E8)</f>
        <v>213704600</v>
      </c>
      <c r="G668" s="2">
        <f t="shared" si="1"/>
        <v>70</v>
      </c>
    </row>
    <row r="669" ht="15.75" customHeight="1">
      <c r="A669" s="1">
        <f>IFERROR(__xludf.DUMMYFUNCTION("""COMPUTED_VALUE"""),44832.66666666667)</f>
        <v>44832.66667</v>
      </c>
      <c r="B669" s="2">
        <f>IFERROR(__xludf.DUMMYFUNCTION("""COMPUTED_VALUE"""),4510.0)</f>
        <v>4510</v>
      </c>
      <c r="C669" s="2">
        <f>IFERROR(__xludf.DUMMYFUNCTION("""COMPUTED_VALUE"""),4560.0)</f>
        <v>4560</v>
      </c>
      <c r="D669" s="2">
        <f>IFERROR(__xludf.DUMMYFUNCTION("""COMPUTED_VALUE"""),4480.0)</f>
        <v>4480</v>
      </c>
      <c r="E669" s="2">
        <f>IFERROR(__xludf.DUMMYFUNCTION("""COMPUTED_VALUE"""),4520.0)</f>
        <v>4520</v>
      </c>
      <c r="F669" s="2">
        <f>IFERROR(__xludf.DUMMYFUNCTION("""COMPUTED_VALUE"""),1.618153E8)</f>
        <v>161815300</v>
      </c>
      <c r="G669" s="2">
        <f t="shared" si="1"/>
        <v>80</v>
      </c>
    </row>
    <row r="670" ht="15.75" customHeight="1">
      <c r="A670" s="1">
        <f>IFERROR(__xludf.DUMMYFUNCTION("""COMPUTED_VALUE"""),44833.66666666667)</f>
        <v>44833.66667</v>
      </c>
      <c r="B670" s="2">
        <f>IFERROR(__xludf.DUMMYFUNCTION("""COMPUTED_VALUE"""),4520.0)</f>
        <v>4520</v>
      </c>
      <c r="C670" s="2">
        <f>IFERROR(__xludf.DUMMYFUNCTION("""COMPUTED_VALUE"""),4540.0)</f>
        <v>4540</v>
      </c>
      <c r="D670" s="2">
        <f>IFERROR(__xludf.DUMMYFUNCTION("""COMPUTED_VALUE"""),4460.0)</f>
        <v>4460</v>
      </c>
      <c r="E670" s="2">
        <f>IFERROR(__xludf.DUMMYFUNCTION("""COMPUTED_VALUE"""),4480.0)</f>
        <v>4480</v>
      </c>
      <c r="F670" s="2">
        <f>IFERROR(__xludf.DUMMYFUNCTION("""COMPUTED_VALUE"""),1.693686E8)</f>
        <v>169368600</v>
      </c>
      <c r="G670" s="2">
        <f t="shared" si="1"/>
        <v>80</v>
      </c>
    </row>
    <row r="671" ht="15.75" customHeight="1">
      <c r="A671" s="1">
        <f>IFERROR(__xludf.DUMMYFUNCTION("""COMPUTED_VALUE"""),44834.66666666667)</f>
        <v>44834.66667</v>
      </c>
      <c r="B671" s="2">
        <f>IFERROR(__xludf.DUMMYFUNCTION("""COMPUTED_VALUE"""),4450.0)</f>
        <v>4450</v>
      </c>
      <c r="C671" s="2">
        <f>IFERROR(__xludf.DUMMYFUNCTION("""COMPUTED_VALUE"""),4510.0)</f>
        <v>4510</v>
      </c>
      <c r="D671" s="2">
        <f>IFERROR(__xludf.DUMMYFUNCTION("""COMPUTED_VALUE"""),4410.0)</f>
        <v>4410</v>
      </c>
      <c r="E671" s="2">
        <f>IFERROR(__xludf.DUMMYFUNCTION("""COMPUTED_VALUE"""),4490.0)</f>
        <v>4490</v>
      </c>
      <c r="F671" s="2">
        <f>IFERROR(__xludf.DUMMYFUNCTION("""COMPUTED_VALUE"""),2.242292E8)</f>
        <v>224229200</v>
      </c>
      <c r="G671" s="2">
        <f t="shared" si="1"/>
        <v>100</v>
      </c>
    </row>
    <row r="672" ht="15.75" customHeight="1">
      <c r="A672" s="1">
        <f>IFERROR(__xludf.DUMMYFUNCTION("""COMPUTED_VALUE"""),44837.66666666667)</f>
        <v>44837.66667</v>
      </c>
      <c r="B672" s="2">
        <f>IFERROR(__xludf.DUMMYFUNCTION("""COMPUTED_VALUE"""),4500.0)</f>
        <v>4500</v>
      </c>
      <c r="C672" s="2">
        <f>IFERROR(__xludf.DUMMYFUNCTION("""COMPUTED_VALUE"""),4550.0)</f>
        <v>4550</v>
      </c>
      <c r="D672" s="2">
        <f>IFERROR(__xludf.DUMMYFUNCTION("""COMPUTED_VALUE"""),4480.0)</f>
        <v>4480</v>
      </c>
      <c r="E672" s="2">
        <f>IFERROR(__xludf.DUMMYFUNCTION("""COMPUTED_VALUE"""),4530.0)</f>
        <v>4530</v>
      </c>
      <c r="F672" s="2">
        <f>IFERROR(__xludf.DUMMYFUNCTION("""COMPUTED_VALUE"""),1.595596E8)</f>
        <v>159559600</v>
      </c>
      <c r="G672" s="2">
        <f t="shared" si="1"/>
        <v>70</v>
      </c>
    </row>
    <row r="673" ht="15.75" customHeight="1">
      <c r="A673" s="1">
        <f>IFERROR(__xludf.DUMMYFUNCTION("""COMPUTED_VALUE"""),44838.66666666667)</f>
        <v>44838.66667</v>
      </c>
      <c r="B673" s="2">
        <f>IFERROR(__xludf.DUMMYFUNCTION("""COMPUTED_VALUE"""),4560.0)</f>
        <v>4560</v>
      </c>
      <c r="C673" s="2">
        <f>IFERROR(__xludf.DUMMYFUNCTION("""COMPUTED_VALUE"""),4650.0)</f>
        <v>4650</v>
      </c>
      <c r="D673" s="2">
        <f>IFERROR(__xludf.DUMMYFUNCTION("""COMPUTED_VALUE"""),4560.0)</f>
        <v>4560</v>
      </c>
      <c r="E673" s="2">
        <f>IFERROR(__xludf.DUMMYFUNCTION("""COMPUTED_VALUE"""),4640.0)</f>
        <v>4640</v>
      </c>
      <c r="F673" s="2">
        <f>IFERROR(__xludf.DUMMYFUNCTION("""COMPUTED_VALUE"""),2.563671E8)</f>
        <v>256367100</v>
      </c>
      <c r="G673" s="2">
        <f t="shared" si="1"/>
        <v>120</v>
      </c>
    </row>
    <row r="674" ht="15.75" customHeight="1">
      <c r="A674" s="1">
        <f>IFERROR(__xludf.DUMMYFUNCTION("""COMPUTED_VALUE"""),44839.66666666667)</f>
        <v>44839.66667</v>
      </c>
      <c r="B674" s="2">
        <f>IFERROR(__xludf.DUMMYFUNCTION("""COMPUTED_VALUE"""),4660.0)</f>
        <v>4660</v>
      </c>
      <c r="C674" s="2">
        <f>IFERROR(__xludf.DUMMYFUNCTION("""COMPUTED_VALUE"""),4660.0)</f>
        <v>4660</v>
      </c>
      <c r="D674" s="2">
        <f>IFERROR(__xludf.DUMMYFUNCTION("""COMPUTED_VALUE"""),4540.0)</f>
        <v>4540</v>
      </c>
      <c r="E674" s="2">
        <f>IFERROR(__xludf.DUMMYFUNCTION("""COMPUTED_VALUE"""),4540.0)</f>
        <v>4540</v>
      </c>
      <c r="F674" s="2">
        <f>IFERROR(__xludf.DUMMYFUNCTION("""COMPUTED_VALUE"""),1.822462E8)</f>
        <v>182246200</v>
      </c>
      <c r="G674" s="2">
        <f t="shared" si="1"/>
        <v>120</v>
      </c>
    </row>
    <row r="675" ht="15.75" customHeight="1">
      <c r="A675" s="1">
        <f>IFERROR(__xludf.DUMMYFUNCTION("""COMPUTED_VALUE"""),44840.66666666667)</f>
        <v>44840.66667</v>
      </c>
      <c r="B675" s="2">
        <f>IFERROR(__xludf.DUMMYFUNCTION("""COMPUTED_VALUE"""),4540.0)</f>
        <v>4540</v>
      </c>
      <c r="C675" s="2">
        <f>IFERROR(__xludf.DUMMYFUNCTION("""COMPUTED_VALUE"""),4570.0)</f>
        <v>4570</v>
      </c>
      <c r="D675" s="2">
        <f>IFERROR(__xludf.DUMMYFUNCTION("""COMPUTED_VALUE"""),4510.0)</f>
        <v>4510</v>
      </c>
      <c r="E675" s="2">
        <f>IFERROR(__xludf.DUMMYFUNCTION("""COMPUTED_VALUE"""),4510.0)</f>
        <v>4510</v>
      </c>
      <c r="F675" s="2">
        <f>IFERROR(__xludf.DUMMYFUNCTION("""COMPUTED_VALUE"""),1.233462E8)</f>
        <v>123346200</v>
      </c>
      <c r="G675" s="2">
        <f t="shared" si="1"/>
        <v>60</v>
      </c>
    </row>
    <row r="676" ht="15.75" customHeight="1">
      <c r="A676" s="1">
        <f>IFERROR(__xludf.DUMMYFUNCTION("""COMPUTED_VALUE"""),44841.66666666667)</f>
        <v>44841.66667</v>
      </c>
      <c r="B676" s="2">
        <f>IFERROR(__xludf.DUMMYFUNCTION("""COMPUTED_VALUE"""),4480.0)</f>
        <v>4480</v>
      </c>
      <c r="C676" s="2">
        <f>IFERROR(__xludf.DUMMYFUNCTION("""COMPUTED_VALUE"""),4490.0)</f>
        <v>4490</v>
      </c>
      <c r="D676" s="2">
        <f>IFERROR(__xludf.DUMMYFUNCTION("""COMPUTED_VALUE"""),4430.0)</f>
        <v>4430</v>
      </c>
      <c r="E676" s="2">
        <f>IFERROR(__xludf.DUMMYFUNCTION("""COMPUTED_VALUE"""),4440.0)</f>
        <v>4440</v>
      </c>
      <c r="F676" s="2">
        <f>IFERROR(__xludf.DUMMYFUNCTION("""COMPUTED_VALUE"""),1.336786E8)</f>
        <v>133678600</v>
      </c>
      <c r="G676" s="2">
        <f t="shared" si="1"/>
        <v>80</v>
      </c>
    </row>
    <row r="677" ht="15.75" customHeight="1">
      <c r="A677" s="1">
        <f>IFERROR(__xludf.DUMMYFUNCTION("""COMPUTED_VALUE"""),44844.66666666667)</f>
        <v>44844.66667</v>
      </c>
      <c r="B677" s="2">
        <f>IFERROR(__xludf.DUMMYFUNCTION("""COMPUTED_VALUE"""),4420.0)</f>
        <v>4420</v>
      </c>
      <c r="C677" s="2">
        <f>IFERROR(__xludf.DUMMYFUNCTION("""COMPUTED_VALUE"""),4430.0)</f>
        <v>4430</v>
      </c>
      <c r="D677" s="2">
        <f>IFERROR(__xludf.DUMMYFUNCTION("""COMPUTED_VALUE"""),4340.0)</f>
        <v>4340</v>
      </c>
      <c r="E677" s="2">
        <f>IFERROR(__xludf.DUMMYFUNCTION("""COMPUTED_VALUE"""),4370.0)</f>
        <v>4370</v>
      </c>
      <c r="F677" s="2">
        <f>IFERROR(__xludf.DUMMYFUNCTION("""COMPUTED_VALUE"""),1.939236E8)</f>
        <v>193923600</v>
      </c>
      <c r="G677" s="2">
        <f t="shared" si="1"/>
        <v>100</v>
      </c>
    </row>
    <row r="678" ht="15.75" customHeight="1">
      <c r="A678" s="1">
        <f>IFERROR(__xludf.DUMMYFUNCTION("""COMPUTED_VALUE"""),44845.66666666667)</f>
        <v>44845.66667</v>
      </c>
      <c r="B678" s="2">
        <f>IFERROR(__xludf.DUMMYFUNCTION("""COMPUTED_VALUE"""),4390.0)</f>
        <v>4390</v>
      </c>
      <c r="C678" s="2">
        <f>IFERROR(__xludf.DUMMYFUNCTION("""COMPUTED_VALUE"""),4430.0)</f>
        <v>4430</v>
      </c>
      <c r="D678" s="2">
        <f>IFERROR(__xludf.DUMMYFUNCTION("""COMPUTED_VALUE"""),4370.0)</f>
        <v>4370</v>
      </c>
      <c r="E678" s="2">
        <f>IFERROR(__xludf.DUMMYFUNCTION("""COMPUTED_VALUE"""),4430.0)</f>
        <v>4430</v>
      </c>
      <c r="F678" s="2">
        <f>IFERROR(__xludf.DUMMYFUNCTION("""COMPUTED_VALUE"""),1.337422E8)</f>
        <v>133742200</v>
      </c>
      <c r="G678" s="2">
        <f t="shared" si="1"/>
        <v>60</v>
      </c>
    </row>
    <row r="679" ht="15.75" customHeight="1">
      <c r="A679" s="1">
        <f>IFERROR(__xludf.DUMMYFUNCTION("""COMPUTED_VALUE"""),44846.66666666667)</f>
        <v>44846.66667</v>
      </c>
      <c r="B679" s="2">
        <f>IFERROR(__xludf.DUMMYFUNCTION("""COMPUTED_VALUE"""),4470.0)</f>
        <v>4470</v>
      </c>
      <c r="C679" s="2">
        <f>IFERROR(__xludf.DUMMYFUNCTION("""COMPUTED_VALUE"""),4470.0)</f>
        <v>4470</v>
      </c>
      <c r="D679" s="2">
        <f>IFERROR(__xludf.DUMMYFUNCTION("""COMPUTED_VALUE"""),4400.0)</f>
        <v>4400</v>
      </c>
      <c r="E679" s="2">
        <f>IFERROR(__xludf.DUMMYFUNCTION("""COMPUTED_VALUE"""),4400.0)</f>
        <v>4400</v>
      </c>
      <c r="F679" s="2">
        <f>IFERROR(__xludf.DUMMYFUNCTION("""COMPUTED_VALUE"""),1.287418E8)</f>
        <v>128741800</v>
      </c>
      <c r="G679" s="2">
        <f t="shared" si="1"/>
        <v>70</v>
      </c>
    </row>
    <row r="680" ht="15.75" customHeight="1">
      <c r="A680" s="1">
        <f>IFERROR(__xludf.DUMMYFUNCTION("""COMPUTED_VALUE"""),44847.66666666667)</f>
        <v>44847.66667</v>
      </c>
      <c r="B680" s="2">
        <f>IFERROR(__xludf.DUMMYFUNCTION("""COMPUTED_VALUE"""),4390.0)</f>
        <v>4390</v>
      </c>
      <c r="C680" s="2">
        <f>IFERROR(__xludf.DUMMYFUNCTION("""COMPUTED_VALUE"""),4420.0)</f>
        <v>4420</v>
      </c>
      <c r="D680" s="2">
        <f>IFERROR(__xludf.DUMMYFUNCTION("""COMPUTED_VALUE"""),4350.0)</f>
        <v>4350</v>
      </c>
      <c r="E680" s="2">
        <f>IFERROR(__xludf.DUMMYFUNCTION("""COMPUTED_VALUE"""),4350.0)</f>
        <v>4350</v>
      </c>
      <c r="F680" s="2">
        <f>IFERROR(__xludf.DUMMYFUNCTION("""COMPUTED_VALUE"""),1.042699E8)</f>
        <v>104269900</v>
      </c>
      <c r="G680" s="2">
        <f t="shared" si="1"/>
        <v>70</v>
      </c>
    </row>
    <row r="681" ht="15.75" customHeight="1">
      <c r="A681" s="1">
        <f>IFERROR(__xludf.DUMMYFUNCTION("""COMPUTED_VALUE"""),44848.66666666667)</f>
        <v>44848.66667</v>
      </c>
      <c r="B681" s="2">
        <f>IFERROR(__xludf.DUMMYFUNCTION("""COMPUTED_VALUE"""),4380.0)</f>
        <v>4380</v>
      </c>
      <c r="C681" s="2">
        <f>IFERROR(__xludf.DUMMYFUNCTION("""COMPUTED_VALUE"""),4390.0)</f>
        <v>4390</v>
      </c>
      <c r="D681" s="2">
        <f>IFERROR(__xludf.DUMMYFUNCTION("""COMPUTED_VALUE"""),4270.0)</f>
        <v>4270</v>
      </c>
      <c r="E681" s="2">
        <f>IFERROR(__xludf.DUMMYFUNCTION("""COMPUTED_VALUE"""),4270.0)</f>
        <v>4270</v>
      </c>
      <c r="F681" s="2">
        <f>IFERROR(__xludf.DUMMYFUNCTION("""COMPUTED_VALUE"""),1.808411E8)</f>
        <v>180841100</v>
      </c>
      <c r="G681" s="2">
        <f t="shared" si="1"/>
        <v>120</v>
      </c>
    </row>
    <row r="682" ht="15.75" customHeight="1">
      <c r="A682" s="1">
        <f>IFERROR(__xludf.DUMMYFUNCTION("""COMPUTED_VALUE"""),44851.66666666667)</f>
        <v>44851.66667</v>
      </c>
      <c r="B682" s="2">
        <f>IFERROR(__xludf.DUMMYFUNCTION("""COMPUTED_VALUE"""),4270.0)</f>
        <v>4270</v>
      </c>
      <c r="C682" s="2">
        <f>IFERROR(__xludf.DUMMYFUNCTION("""COMPUTED_VALUE"""),4320.0)</f>
        <v>4320</v>
      </c>
      <c r="D682" s="2">
        <f>IFERROR(__xludf.DUMMYFUNCTION("""COMPUTED_VALUE"""),4260.0)</f>
        <v>4260</v>
      </c>
      <c r="E682" s="2">
        <f>IFERROR(__xludf.DUMMYFUNCTION("""COMPUTED_VALUE"""),4300.0)</f>
        <v>4300</v>
      </c>
      <c r="F682" s="2">
        <f>IFERROR(__xludf.DUMMYFUNCTION("""COMPUTED_VALUE"""),1.45506E8)</f>
        <v>145506000</v>
      </c>
      <c r="G682" s="2">
        <f t="shared" si="1"/>
        <v>60</v>
      </c>
    </row>
    <row r="683" ht="15.75" customHeight="1">
      <c r="A683" s="1">
        <f>IFERROR(__xludf.DUMMYFUNCTION("""COMPUTED_VALUE"""),44852.66666666667)</f>
        <v>44852.66667</v>
      </c>
      <c r="B683" s="2">
        <f>IFERROR(__xludf.DUMMYFUNCTION("""COMPUTED_VALUE"""),4280.0)</f>
        <v>4280</v>
      </c>
      <c r="C683" s="2">
        <f>IFERROR(__xludf.DUMMYFUNCTION("""COMPUTED_VALUE"""),4340.0)</f>
        <v>4340</v>
      </c>
      <c r="D683" s="2">
        <f>IFERROR(__xludf.DUMMYFUNCTION("""COMPUTED_VALUE"""),4280.0)</f>
        <v>4280</v>
      </c>
      <c r="E683" s="2">
        <f>IFERROR(__xludf.DUMMYFUNCTION("""COMPUTED_VALUE"""),4290.0)</f>
        <v>4290</v>
      </c>
      <c r="F683" s="2">
        <f>IFERROR(__xludf.DUMMYFUNCTION("""COMPUTED_VALUE"""),1.614441E8)</f>
        <v>161444100</v>
      </c>
      <c r="G683" s="2">
        <f t="shared" si="1"/>
        <v>60</v>
      </c>
    </row>
    <row r="684" ht="15.75" customHeight="1">
      <c r="A684" s="1">
        <f>IFERROR(__xludf.DUMMYFUNCTION("""COMPUTED_VALUE"""),44853.66666666667)</f>
        <v>44853.66667</v>
      </c>
      <c r="B684" s="2">
        <f>IFERROR(__xludf.DUMMYFUNCTION("""COMPUTED_VALUE"""),4280.0)</f>
        <v>4280</v>
      </c>
      <c r="C684" s="2">
        <f>IFERROR(__xludf.DUMMYFUNCTION("""COMPUTED_VALUE"""),4340.0)</f>
        <v>4340</v>
      </c>
      <c r="D684" s="2">
        <f>IFERROR(__xludf.DUMMYFUNCTION("""COMPUTED_VALUE"""),4280.0)</f>
        <v>4280</v>
      </c>
      <c r="E684" s="2">
        <f>IFERROR(__xludf.DUMMYFUNCTION("""COMPUTED_VALUE"""),4300.0)</f>
        <v>4300</v>
      </c>
      <c r="F684" s="2">
        <f>IFERROR(__xludf.DUMMYFUNCTION("""COMPUTED_VALUE"""),8.16823E7)</f>
        <v>81682300</v>
      </c>
      <c r="G684" s="2">
        <f t="shared" si="1"/>
        <v>60</v>
      </c>
    </row>
    <row r="685" ht="15.75" customHeight="1">
      <c r="A685" s="1">
        <f>IFERROR(__xludf.DUMMYFUNCTION("""COMPUTED_VALUE"""),44854.66666666667)</f>
        <v>44854.66667</v>
      </c>
      <c r="B685" s="2">
        <f>IFERROR(__xludf.DUMMYFUNCTION("""COMPUTED_VALUE"""),4280.0)</f>
        <v>4280</v>
      </c>
      <c r="C685" s="2">
        <f>IFERROR(__xludf.DUMMYFUNCTION("""COMPUTED_VALUE"""),4400.0)</f>
        <v>4400</v>
      </c>
      <c r="D685" s="2">
        <f>IFERROR(__xludf.DUMMYFUNCTION("""COMPUTED_VALUE"""),4280.0)</f>
        <v>4280</v>
      </c>
      <c r="E685" s="2">
        <f>IFERROR(__xludf.DUMMYFUNCTION("""COMPUTED_VALUE"""),4390.0)</f>
        <v>4390</v>
      </c>
      <c r="F685" s="2">
        <f>IFERROR(__xludf.DUMMYFUNCTION("""COMPUTED_VALUE"""),1.495217E8)</f>
        <v>149521700</v>
      </c>
      <c r="G685" s="2">
        <f t="shared" si="1"/>
        <v>120</v>
      </c>
    </row>
    <row r="686" ht="15.75" customHeight="1">
      <c r="A686" s="1">
        <f>IFERROR(__xludf.DUMMYFUNCTION("""COMPUTED_VALUE"""),44855.66666666667)</f>
        <v>44855.66667</v>
      </c>
      <c r="B686" s="2">
        <f>IFERROR(__xludf.DUMMYFUNCTION("""COMPUTED_VALUE"""),4360.0)</f>
        <v>4360</v>
      </c>
      <c r="C686" s="2">
        <f>IFERROR(__xludf.DUMMYFUNCTION("""COMPUTED_VALUE"""),4460.0)</f>
        <v>4460</v>
      </c>
      <c r="D686" s="2">
        <f>IFERROR(__xludf.DUMMYFUNCTION("""COMPUTED_VALUE"""),4360.0)</f>
        <v>4360</v>
      </c>
      <c r="E686" s="2">
        <f>IFERROR(__xludf.DUMMYFUNCTION("""COMPUTED_VALUE"""),4430.0)</f>
        <v>4430</v>
      </c>
      <c r="F686" s="2">
        <f>IFERROR(__xludf.DUMMYFUNCTION("""COMPUTED_VALUE"""),1.650522E8)</f>
        <v>165052200</v>
      </c>
      <c r="G686" s="2">
        <f t="shared" si="1"/>
        <v>100</v>
      </c>
    </row>
    <row r="687" ht="15.75" customHeight="1">
      <c r="A687" s="1">
        <f>IFERROR(__xludf.DUMMYFUNCTION("""COMPUTED_VALUE"""),44858.66666666667)</f>
        <v>44858.66667</v>
      </c>
      <c r="B687" s="2">
        <f>IFERROR(__xludf.DUMMYFUNCTION("""COMPUTED_VALUE"""),4430.0)</f>
        <v>4430</v>
      </c>
      <c r="C687" s="2">
        <f>IFERROR(__xludf.DUMMYFUNCTION("""COMPUTED_VALUE"""),4540.0)</f>
        <v>4540</v>
      </c>
      <c r="D687" s="2">
        <f>IFERROR(__xludf.DUMMYFUNCTION("""COMPUTED_VALUE"""),4430.0)</f>
        <v>4430</v>
      </c>
      <c r="E687" s="2">
        <f>IFERROR(__xludf.DUMMYFUNCTION("""COMPUTED_VALUE"""),4500.0)</f>
        <v>4500</v>
      </c>
      <c r="F687" s="2">
        <f>IFERROR(__xludf.DUMMYFUNCTION("""COMPUTED_VALUE"""),1.869977E8)</f>
        <v>186997700</v>
      </c>
      <c r="G687" s="2">
        <f t="shared" si="1"/>
        <v>110</v>
      </c>
    </row>
    <row r="688" ht="15.75" customHeight="1">
      <c r="A688" s="1">
        <f>IFERROR(__xludf.DUMMYFUNCTION("""COMPUTED_VALUE"""),44859.66666666667)</f>
        <v>44859.66667</v>
      </c>
      <c r="B688" s="2">
        <f>IFERROR(__xludf.DUMMYFUNCTION("""COMPUTED_VALUE"""),4560.0)</f>
        <v>4560</v>
      </c>
      <c r="C688" s="2">
        <f>IFERROR(__xludf.DUMMYFUNCTION("""COMPUTED_VALUE"""),4610.0)</f>
        <v>4610</v>
      </c>
      <c r="D688" s="2">
        <f>IFERROR(__xludf.DUMMYFUNCTION("""COMPUTED_VALUE"""),4550.0)</f>
        <v>4550</v>
      </c>
      <c r="E688" s="2">
        <f>IFERROR(__xludf.DUMMYFUNCTION("""COMPUTED_VALUE"""),4590.0)</f>
        <v>4590</v>
      </c>
      <c r="F688" s="2">
        <f>IFERROR(__xludf.DUMMYFUNCTION("""COMPUTED_VALUE"""),2.339488E8)</f>
        <v>233948800</v>
      </c>
      <c r="G688" s="2">
        <f t="shared" si="1"/>
        <v>110</v>
      </c>
    </row>
    <row r="689" ht="15.75" customHeight="1">
      <c r="A689" s="1">
        <f>IFERROR(__xludf.DUMMYFUNCTION("""COMPUTED_VALUE"""),44860.66666666667)</f>
        <v>44860.66667</v>
      </c>
      <c r="B689" s="2">
        <f>IFERROR(__xludf.DUMMYFUNCTION("""COMPUTED_VALUE"""),4600.0)</f>
        <v>4600</v>
      </c>
      <c r="C689" s="2">
        <f>IFERROR(__xludf.DUMMYFUNCTION("""COMPUTED_VALUE"""),4610.0)</f>
        <v>4610</v>
      </c>
      <c r="D689" s="2">
        <f>IFERROR(__xludf.DUMMYFUNCTION("""COMPUTED_VALUE"""),4500.0)</f>
        <v>4500</v>
      </c>
      <c r="E689" s="2">
        <f>IFERROR(__xludf.DUMMYFUNCTION("""COMPUTED_VALUE"""),4530.0)</f>
        <v>4530</v>
      </c>
      <c r="F689" s="2">
        <f>IFERROR(__xludf.DUMMYFUNCTION("""COMPUTED_VALUE"""),1.782985E8)</f>
        <v>178298500</v>
      </c>
      <c r="G689" s="2">
        <f t="shared" si="1"/>
        <v>110</v>
      </c>
    </row>
    <row r="690" ht="15.75" customHeight="1">
      <c r="A690" s="1">
        <f>IFERROR(__xludf.DUMMYFUNCTION("""COMPUTED_VALUE"""),44861.66666666667)</f>
        <v>44861.66667</v>
      </c>
      <c r="B690" s="2">
        <f>IFERROR(__xludf.DUMMYFUNCTION("""COMPUTED_VALUE"""),4550.0)</f>
        <v>4550</v>
      </c>
      <c r="C690" s="2">
        <f>IFERROR(__xludf.DUMMYFUNCTION("""COMPUTED_VALUE"""),4600.0)</f>
        <v>4600</v>
      </c>
      <c r="D690" s="2">
        <f>IFERROR(__xludf.DUMMYFUNCTION("""COMPUTED_VALUE"""),4530.0)</f>
        <v>4530</v>
      </c>
      <c r="E690" s="2">
        <f>IFERROR(__xludf.DUMMYFUNCTION("""COMPUTED_VALUE"""),4600.0)</f>
        <v>4600</v>
      </c>
      <c r="F690" s="2">
        <f>IFERROR(__xludf.DUMMYFUNCTION("""COMPUTED_VALUE"""),1.313853E8)</f>
        <v>131385300</v>
      </c>
      <c r="G690" s="2">
        <f t="shared" si="1"/>
        <v>70</v>
      </c>
    </row>
    <row r="691" ht="15.75" customHeight="1">
      <c r="A691" s="1">
        <f>IFERROR(__xludf.DUMMYFUNCTION("""COMPUTED_VALUE"""),44862.66666666667)</f>
        <v>44862.66667</v>
      </c>
      <c r="B691" s="2">
        <f>IFERROR(__xludf.DUMMYFUNCTION("""COMPUTED_VALUE"""),4600.0)</f>
        <v>4600</v>
      </c>
      <c r="C691" s="2">
        <f>IFERROR(__xludf.DUMMYFUNCTION("""COMPUTED_VALUE"""),4630.0)</f>
        <v>4630</v>
      </c>
      <c r="D691" s="2">
        <f>IFERROR(__xludf.DUMMYFUNCTION("""COMPUTED_VALUE"""),4560.0)</f>
        <v>4560</v>
      </c>
      <c r="E691" s="2">
        <f>IFERROR(__xludf.DUMMYFUNCTION("""COMPUTED_VALUE"""),4630.0)</f>
        <v>4630</v>
      </c>
      <c r="F691" s="2">
        <f>IFERROR(__xludf.DUMMYFUNCTION("""COMPUTED_VALUE"""),2.272564E8)</f>
        <v>227256400</v>
      </c>
      <c r="G691" s="2">
        <f t="shared" si="1"/>
        <v>70</v>
      </c>
    </row>
    <row r="692" ht="15.75" customHeight="1">
      <c r="A692" s="1">
        <f>IFERROR(__xludf.DUMMYFUNCTION("""COMPUTED_VALUE"""),44865.66666666667)</f>
        <v>44865.66667</v>
      </c>
      <c r="B692" s="2">
        <f>IFERROR(__xludf.DUMMYFUNCTION("""COMPUTED_VALUE"""),4630.0)</f>
        <v>4630</v>
      </c>
      <c r="C692" s="2">
        <f>IFERROR(__xludf.DUMMYFUNCTION("""COMPUTED_VALUE"""),4680.0)</f>
        <v>4680</v>
      </c>
      <c r="D692" s="2">
        <f>IFERROR(__xludf.DUMMYFUNCTION("""COMPUTED_VALUE"""),4630.0)</f>
        <v>4630</v>
      </c>
      <c r="E692" s="2">
        <f>IFERROR(__xludf.DUMMYFUNCTION("""COMPUTED_VALUE"""),4650.0)</f>
        <v>4650</v>
      </c>
      <c r="F692" s="2">
        <f>IFERROR(__xludf.DUMMYFUNCTION("""COMPUTED_VALUE"""),2.75184E8)</f>
        <v>275184000</v>
      </c>
      <c r="G692" s="2">
        <f t="shared" si="1"/>
        <v>50</v>
      </c>
    </row>
    <row r="693" ht="15.75" customHeight="1">
      <c r="A693" s="1">
        <f>IFERROR(__xludf.DUMMYFUNCTION("""COMPUTED_VALUE"""),44866.625)</f>
        <v>44866.625</v>
      </c>
      <c r="B693" s="2">
        <f>IFERROR(__xludf.DUMMYFUNCTION("""COMPUTED_VALUE"""),4690.0)</f>
        <v>4690</v>
      </c>
      <c r="C693" s="2">
        <f>IFERROR(__xludf.DUMMYFUNCTION("""COMPUTED_VALUE"""),4700.0)</f>
        <v>4700</v>
      </c>
      <c r="D693" s="2">
        <f>IFERROR(__xludf.DUMMYFUNCTION("""COMPUTED_VALUE"""),4630.0)</f>
        <v>4630</v>
      </c>
      <c r="E693" s="2">
        <f>IFERROR(__xludf.DUMMYFUNCTION("""COMPUTED_VALUE"""),4660.0)</f>
        <v>4660</v>
      </c>
      <c r="F693" s="2">
        <f>IFERROR(__xludf.DUMMYFUNCTION("""COMPUTED_VALUE"""),2.305902E8)</f>
        <v>230590200</v>
      </c>
      <c r="G693" s="2">
        <f t="shared" si="1"/>
        <v>70</v>
      </c>
    </row>
    <row r="694" ht="15.75" customHeight="1">
      <c r="A694" s="1">
        <f>IFERROR(__xludf.DUMMYFUNCTION("""COMPUTED_VALUE"""),44867.625)</f>
        <v>44867.625</v>
      </c>
      <c r="B694" s="2">
        <f>IFERROR(__xludf.DUMMYFUNCTION("""COMPUTED_VALUE"""),4680.0)</f>
        <v>4680</v>
      </c>
      <c r="C694" s="2">
        <f>IFERROR(__xludf.DUMMYFUNCTION("""COMPUTED_VALUE"""),4680.0)</f>
        <v>4680</v>
      </c>
      <c r="D694" s="2">
        <f>IFERROR(__xludf.DUMMYFUNCTION("""COMPUTED_VALUE"""),4570.0)</f>
        <v>4570</v>
      </c>
      <c r="E694" s="2">
        <f>IFERROR(__xludf.DUMMYFUNCTION("""COMPUTED_VALUE"""),4610.0)</f>
        <v>4610</v>
      </c>
      <c r="F694" s="2">
        <f>IFERROR(__xludf.DUMMYFUNCTION("""COMPUTED_VALUE"""),1.638169E8)</f>
        <v>163816900</v>
      </c>
      <c r="G694" s="2">
        <f t="shared" si="1"/>
        <v>110</v>
      </c>
    </row>
    <row r="695" ht="15.75" customHeight="1">
      <c r="A695" s="1">
        <f>IFERROR(__xludf.DUMMYFUNCTION("""COMPUTED_VALUE"""),44868.66666666667)</f>
        <v>44868.66667</v>
      </c>
      <c r="B695" s="2">
        <f>IFERROR(__xludf.DUMMYFUNCTION("""COMPUTED_VALUE"""),4630.0)</f>
        <v>4630</v>
      </c>
      <c r="C695" s="2">
        <f>IFERROR(__xludf.DUMMYFUNCTION("""COMPUTED_VALUE"""),4660.0)</f>
        <v>4660</v>
      </c>
      <c r="D695" s="2">
        <f>IFERROR(__xludf.DUMMYFUNCTION("""COMPUTED_VALUE"""),4590.0)</f>
        <v>4590</v>
      </c>
      <c r="E695" s="2">
        <f>IFERROR(__xludf.DUMMYFUNCTION("""COMPUTED_VALUE"""),4650.0)</f>
        <v>4650</v>
      </c>
      <c r="F695" s="2">
        <f>IFERROR(__xludf.DUMMYFUNCTION("""COMPUTED_VALUE"""),1.74423E8)</f>
        <v>174423000</v>
      </c>
      <c r="G695" s="2">
        <f t="shared" si="1"/>
        <v>70</v>
      </c>
    </row>
    <row r="696" ht="15.75" customHeight="1">
      <c r="A696" s="1">
        <f>IFERROR(__xludf.DUMMYFUNCTION("""COMPUTED_VALUE"""),44869.66666666667)</f>
        <v>44869.66667</v>
      </c>
      <c r="B696" s="2">
        <f>IFERROR(__xludf.DUMMYFUNCTION("""COMPUTED_VALUE"""),4650.0)</f>
        <v>4650</v>
      </c>
      <c r="C696" s="2">
        <f>IFERROR(__xludf.DUMMYFUNCTION("""COMPUTED_VALUE"""),4660.0)</f>
        <v>4660</v>
      </c>
      <c r="D696" s="2">
        <f>IFERROR(__xludf.DUMMYFUNCTION("""COMPUTED_VALUE"""),4610.0)</f>
        <v>4610</v>
      </c>
      <c r="E696" s="2">
        <f>IFERROR(__xludf.DUMMYFUNCTION("""COMPUTED_VALUE"""),4650.0)</f>
        <v>4650</v>
      </c>
      <c r="F696" s="2">
        <f>IFERROR(__xludf.DUMMYFUNCTION("""COMPUTED_VALUE"""),8.52923E7)</f>
        <v>85292300</v>
      </c>
      <c r="G696" s="2">
        <f t="shared" si="1"/>
        <v>50</v>
      </c>
    </row>
    <row r="697" ht="15.75" customHeight="1">
      <c r="A697" s="1">
        <f>IFERROR(__xludf.DUMMYFUNCTION("""COMPUTED_VALUE"""),44872.66666666667)</f>
        <v>44872.66667</v>
      </c>
      <c r="B697" s="2">
        <f>IFERROR(__xludf.DUMMYFUNCTION("""COMPUTED_VALUE"""),4650.0)</f>
        <v>4650</v>
      </c>
      <c r="C697" s="2">
        <f>IFERROR(__xludf.DUMMYFUNCTION("""COMPUTED_VALUE"""),4690.0)</f>
        <v>4690</v>
      </c>
      <c r="D697" s="2">
        <f>IFERROR(__xludf.DUMMYFUNCTION("""COMPUTED_VALUE"""),4610.0)</f>
        <v>4610</v>
      </c>
      <c r="E697" s="2">
        <f>IFERROR(__xludf.DUMMYFUNCTION("""COMPUTED_VALUE"""),4690.0)</f>
        <v>4690</v>
      </c>
      <c r="F697" s="2">
        <f>IFERROR(__xludf.DUMMYFUNCTION("""COMPUTED_VALUE"""),1.120705E8)</f>
        <v>112070500</v>
      </c>
      <c r="G697" s="2">
        <f t="shared" si="1"/>
        <v>80</v>
      </c>
    </row>
    <row r="698" ht="15.75" customHeight="1">
      <c r="A698" s="1">
        <f>IFERROR(__xludf.DUMMYFUNCTION("""COMPUTED_VALUE"""),44873.66666666667)</f>
        <v>44873.66667</v>
      </c>
      <c r="B698" s="2">
        <f>IFERROR(__xludf.DUMMYFUNCTION("""COMPUTED_VALUE"""),4690.0)</f>
        <v>4690</v>
      </c>
      <c r="C698" s="2">
        <f>IFERROR(__xludf.DUMMYFUNCTION("""COMPUTED_VALUE"""),4690.0)</f>
        <v>4690</v>
      </c>
      <c r="D698" s="2">
        <f>IFERROR(__xludf.DUMMYFUNCTION("""COMPUTED_VALUE"""),4610.0)</f>
        <v>4610</v>
      </c>
      <c r="E698" s="2">
        <f>IFERROR(__xludf.DUMMYFUNCTION("""COMPUTED_VALUE"""),4620.0)</f>
        <v>4620</v>
      </c>
      <c r="F698" s="2">
        <f>IFERROR(__xludf.DUMMYFUNCTION("""COMPUTED_VALUE"""),8.09163E7)</f>
        <v>80916300</v>
      </c>
      <c r="G698" s="2">
        <f t="shared" si="1"/>
        <v>80</v>
      </c>
    </row>
    <row r="699" ht="15.75" customHeight="1">
      <c r="A699" s="1">
        <f>IFERROR(__xludf.DUMMYFUNCTION("""COMPUTED_VALUE"""),44874.66666666667)</f>
        <v>44874.66667</v>
      </c>
      <c r="B699" s="2">
        <f>IFERROR(__xludf.DUMMYFUNCTION("""COMPUTED_VALUE"""),4600.0)</f>
        <v>4600</v>
      </c>
      <c r="C699" s="2">
        <f>IFERROR(__xludf.DUMMYFUNCTION("""COMPUTED_VALUE"""),4650.0)</f>
        <v>4650</v>
      </c>
      <c r="D699" s="2">
        <f>IFERROR(__xludf.DUMMYFUNCTION("""COMPUTED_VALUE"""),4600.0)</f>
        <v>4600</v>
      </c>
      <c r="E699" s="2">
        <f>IFERROR(__xludf.DUMMYFUNCTION("""COMPUTED_VALUE"""),4650.0)</f>
        <v>4650</v>
      </c>
      <c r="F699" s="2">
        <f>IFERROR(__xludf.DUMMYFUNCTION("""COMPUTED_VALUE"""),1.264939E8)</f>
        <v>126493900</v>
      </c>
      <c r="G699" s="2">
        <f t="shared" si="1"/>
        <v>50</v>
      </c>
    </row>
    <row r="700" ht="15.75" customHeight="1">
      <c r="A700" s="1">
        <f>IFERROR(__xludf.DUMMYFUNCTION("""COMPUTED_VALUE"""),44875.66666666667)</f>
        <v>44875.66667</v>
      </c>
      <c r="B700" s="2">
        <f>IFERROR(__xludf.DUMMYFUNCTION("""COMPUTED_VALUE"""),4560.0)</f>
        <v>4560</v>
      </c>
      <c r="C700" s="2">
        <f>IFERROR(__xludf.DUMMYFUNCTION("""COMPUTED_VALUE"""),4580.0)</f>
        <v>4580</v>
      </c>
      <c r="D700" s="2">
        <f>IFERROR(__xludf.DUMMYFUNCTION("""COMPUTED_VALUE"""),4520.0)</f>
        <v>4520</v>
      </c>
      <c r="E700" s="2">
        <f>IFERROR(__xludf.DUMMYFUNCTION("""COMPUTED_VALUE"""),4530.0)</f>
        <v>4530</v>
      </c>
      <c r="F700" s="2">
        <f>IFERROR(__xludf.DUMMYFUNCTION("""COMPUTED_VALUE"""),1.962774E8)</f>
        <v>196277400</v>
      </c>
      <c r="G700" s="2">
        <f t="shared" si="1"/>
        <v>130</v>
      </c>
    </row>
    <row r="701" ht="15.75" customHeight="1">
      <c r="A701" s="1">
        <f>IFERROR(__xludf.DUMMYFUNCTION("""COMPUTED_VALUE"""),44876.66666666667)</f>
        <v>44876.66667</v>
      </c>
      <c r="B701" s="2">
        <f>IFERROR(__xludf.DUMMYFUNCTION("""COMPUTED_VALUE"""),4620.0)</f>
        <v>4620</v>
      </c>
      <c r="C701" s="2">
        <f>IFERROR(__xludf.DUMMYFUNCTION("""COMPUTED_VALUE"""),4650.0)</f>
        <v>4650</v>
      </c>
      <c r="D701" s="2">
        <f>IFERROR(__xludf.DUMMYFUNCTION("""COMPUTED_VALUE"""),4590.0)</f>
        <v>4590</v>
      </c>
      <c r="E701" s="2">
        <f>IFERROR(__xludf.DUMMYFUNCTION("""COMPUTED_VALUE"""),4650.0)</f>
        <v>4650</v>
      </c>
      <c r="F701" s="2">
        <f>IFERROR(__xludf.DUMMYFUNCTION("""COMPUTED_VALUE"""),1.532385E8)</f>
        <v>153238500</v>
      </c>
      <c r="G701" s="2">
        <f t="shared" si="1"/>
        <v>120</v>
      </c>
    </row>
    <row r="702" ht="15.75" customHeight="1">
      <c r="A702" s="1">
        <f>IFERROR(__xludf.DUMMYFUNCTION("""COMPUTED_VALUE"""),44879.66666666667)</f>
        <v>44879.66667</v>
      </c>
      <c r="B702" s="2">
        <f>IFERROR(__xludf.DUMMYFUNCTION("""COMPUTED_VALUE"""),4620.0)</f>
        <v>4620</v>
      </c>
      <c r="C702" s="2">
        <f>IFERROR(__xludf.DUMMYFUNCTION("""COMPUTED_VALUE"""),4640.0)</f>
        <v>4640</v>
      </c>
      <c r="D702" s="2">
        <f>IFERROR(__xludf.DUMMYFUNCTION("""COMPUTED_VALUE"""),4550.0)</f>
        <v>4550</v>
      </c>
      <c r="E702" s="2">
        <f>IFERROR(__xludf.DUMMYFUNCTION("""COMPUTED_VALUE"""),4580.0)</f>
        <v>4580</v>
      </c>
      <c r="F702" s="2">
        <f>IFERROR(__xludf.DUMMYFUNCTION("""COMPUTED_VALUE"""),1.401876E8)</f>
        <v>140187600</v>
      </c>
      <c r="G702" s="2">
        <f t="shared" si="1"/>
        <v>100</v>
      </c>
    </row>
    <row r="703" ht="15.75" customHeight="1">
      <c r="A703" s="1">
        <f>IFERROR(__xludf.DUMMYFUNCTION("""COMPUTED_VALUE"""),44880.66666666667)</f>
        <v>44880.66667</v>
      </c>
      <c r="B703" s="2">
        <f>IFERROR(__xludf.DUMMYFUNCTION("""COMPUTED_VALUE"""),4580.0)</f>
        <v>4580</v>
      </c>
      <c r="C703" s="2">
        <f>IFERROR(__xludf.DUMMYFUNCTION("""COMPUTED_VALUE"""),4610.0)</f>
        <v>4610</v>
      </c>
      <c r="D703" s="2">
        <f>IFERROR(__xludf.DUMMYFUNCTION("""COMPUTED_VALUE"""),4560.0)</f>
        <v>4560</v>
      </c>
      <c r="E703" s="2">
        <f>IFERROR(__xludf.DUMMYFUNCTION("""COMPUTED_VALUE"""),4580.0)</f>
        <v>4580</v>
      </c>
      <c r="F703" s="2">
        <f>IFERROR(__xludf.DUMMYFUNCTION("""COMPUTED_VALUE"""),8.79863E7)</f>
        <v>87986300</v>
      </c>
      <c r="G703" s="2">
        <f t="shared" si="1"/>
        <v>50</v>
      </c>
    </row>
    <row r="704" ht="15.75" customHeight="1">
      <c r="A704" s="1">
        <f>IFERROR(__xludf.DUMMYFUNCTION("""COMPUTED_VALUE"""),44881.66666666667)</f>
        <v>44881.66667</v>
      </c>
      <c r="B704" s="2">
        <f>IFERROR(__xludf.DUMMYFUNCTION("""COMPUTED_VALUE"""),4590.0)</f>
        <v>4590</v>
      </c>
      <c r="C704" s="2">
        <f>IFERROR(__xludf.DUMMYFUNCTION("""COMPUTED_VALUE"""),4610.0)</f>
        <v>4610</v>
      </c>
      <c r="D704" s="2">
        <f>IFERROR(__xludf.DUMMYFUNCTION("""COMPUTED_VALUE"""),4490.0)</f>
        <v>4490</v>
      </c>
      <c r="E704" s="2">
        <f>IFERROR(__xludf.DUMMYFUNCTION("""COMPUTED_VALUE"""),4520.0)</f>
        <v>4520</v>
      </c>
      <c r="F704" s="2">
        <f>IFERROR(__xludf.DUMMYFUNCTION("""COMPUTED_VALUE"""),2.457892E8)</f>
        <v>245789200</v>
      </c>
      <c r="G704" s="2">
        <f t="shared" si="1"/>
        <v>120</v>
      </c>
    </row>
    <row r="705" ht="15.75" customHeight="1">
      <c r="A705" s="1">
        <f>IFERROR(__xludf.DUMMYFUNCTION("""COMPUTED_VALUE"""),44882.66666666667)</f>
        <v>44882.66667</v>
      </c>
      <c r="B705" s="2">
        <f>IFERROR(__xludf.DUMMYFUNCTION("""COMPUTED_VALUE"""),4520.0)</f>
        <v>4520</v>
      </c>
      <c r="C705" s="2">
        <f>IFERROR(__xludf.DUMMYFUNCTION("""COMPUTED_VALUE"""),4670.0)</f>
        <v>4670</v>
      </c>
      <c r="D705" s="2">
        <f>IFERROR(__xludf.DUMMYFUNCTION("""COMPUTED_VALUE"""),4500.0)</f>
        <v>4500</v>
      </c>
      <c r="E705" s="2">
        <f>IFERROR(__xludf.DUMMYFUNCTION("""COMPUTED_VALUE"""),4670.0)</f>
        <v>4670</v>
      </c>
      <c r="F705" s="2">
        <f>IFERROR(__xludf.DUMMYFUNCTION("""COMPUTED_VALUE"""),2.145146E8)</f>
        <v>214514600</v>
      </c>
      <c r="G705" s="2">
        <f t="shared" si="1"/>
        <v>170</v>
      </c>
    </row>
    <row r="706" ht="15.75" customHeight="1">
      <c r="A706" s="1">
        <f>IFERROR(__xludf.DUMMYFUNCTION("""COMPUTED_VALUE"""),44883.66666666667)</f>
        <v>44883.66667</v>
      </c>
      <c r="B706" s="2">
        <f>IFERROR(__xludf.DUMMYFUNCTION("""COMPUTED_VALUE"""),4670.0)</f>
        <v>4670</v>
      </c>
      <c r="C706" s="2">
        <f>IFERROR(__xludf.DUMMYFUNCTION("""COMPUTED_VALUE"""),4680.0)</f>
        <v>4680</v>
      </c>
      <c r="D706" s="2">
        <f>IFERROR(__xludf.DUMMYFUNCTION("""COMPUTED_VALUE"""),4610.0)</f>
        <v>4610</v>
      </c>
      <c r="E706" s="2">
        <f>IFERROR(__xludf.DUMMYFUNCTION("""COMPUTED_VALUE"""),4610.0)</f>
        <v>4610</v>
      </c>
      <c r="F706" s="2">
        <f>IFERROR(__xludf.DUMMYFUNCTION("""COMPUTED_VALUE"""),1.053132E8)</f>
        <v>105313200</v>
      </c>
      <c r="G706" s="2">
        <f t="shared" si="1"/>
        <v>70</v>
      </c>
    </row>
    <row r="707" ht="15.75" customHeight="1">
      <c r="A707" s="1">
        <f>IFERROR(__xludf.DUMMYFUNCTION("""COMPUTED_VALUE"""),44886.66666666667)</f>
        <v>44886.66667</v>
      </c>
      <c r="B707" s="2">
        <f>IFERROR(__xludf.DUMMYFUNCTION("""COMPUTED_VALUE"""),4620.0)</f>
        <v>4620</v>
      </c>
      <c r="C707" s="2">
        <f>IFERROR(__xludf.DUMMYFUNCTION("""COMPUTED_VALUE"""),4630.0)</f>
        <v>4630</v>
      </c>
      <c r="D707" s="2">
        <f>IFERROR(__xludf.DUMMYFUNCTION("""COMPUTED_VALUE"""),4560.0)</f>
        <v>4560</v>
      </c>
      <c r="E707" s="2">
        <f>IFERROR(__xludf.DUMMYFUNCTION("""COMPUTED_VALUE"""),4590.0)</f>
        <v>4590</v>
      </c>
      <c r="F707" s="2">
        <f>IFERROR(__xludf.DUMMYFUNCTION("""COMPUTED_VALUE"""),8.22793E7)</f>
        <v>82279300</v>
      </c>
      <c r="G707" s="2">
        <f t="shared" si="1"/>
        <v>70</v>
      </c>
    </row>
    <row r="708" ht="15.75" customHeight="1">
      <c r="A708" s="1">
        <f>IFERROR(__xludf.DUMMYFUNCTION("""COMPUTED_VALUE"""),44887.66666666667)</f>
        <v>44887.66667</v>
      </c>
      <c r="B708" s="2">
        <f>IFERROR(__xludf.DUMMYFUNCTION("""COMPUTED_VALUE"""),4570.0)</f>
        <v>4570</v>
      </c>
      <c r="C708" s="2">
        <f>IFERROR(__xludf.DUMMYFUNCTION("""COMPUTED_VALUE"""),4670.0)</f>
        <v>4670</v>
      </c>
      <c r="D708" s="2">
        <f>IFERROR(__xludf.DUMMYFUNCTION("""COMPUTED_VALUE"""),4570.0)</f>
        <v>4570</v>
      </c>
      <c r="E708" s="2">
        <f>IFERROR(__xludf.DUMMYFUNCTION("""COMPUTED_VALUE"""),4590.0)</f>
        <v>4590</v>
      </c>
      <c r="F708" s="2">
        <f>IFERROR(__xludf.DUMMYFUNCTION("""COMPUTED_VALUE"""),1.54866E8)</f>
        <v>154866000</v>
      </c>
      <c r="G708" s="2">
        <f t="shared" si="1"/>
        <v>100</v>
      </c>
    </row>
    <row r="709" ht="15.75" customHeight="1">
      <c r="A709" s="1">
        <f>IFERROR(__xludf.DUMMYFUNCTION("""COMPUTED_VALUE"""),44888.66666666667)</f>
        <v>44888.66667</v>
      </c>
      <c r="B709" s="2">
        <f>IFERROR(__xludf.DUMMYFUNCTION("""COMPUTED_VALUE"""),4640.0)</f>
        <v>4640</v>
      </c>
      <c r="C709" s="2">
        <f>IFERROR(__xludf.DUMMYFUNCTION("""COMPUTED_VALUE"""),4670.0)</f>
        <v>4670</v>
      </c>
      <c r="D709" s="2">
        <f>IFERROR(__xludf.DUMMYFUNCTION("""COMPUTED_VALUE"""),4630.0)</f>
        <v>4630</v>
      </c>
      <c r="E709" s="2">
        <f>IFERROR(__xludf.DUMMYFUNCTION("""COMPUTED_VALUE"""),4670.0)</f>
        <v>4670</v>
      </c>
      <c r="F709" s="2">
        <f>IFERROR(__xludf.DUMMYFUNCTION("""COMPUTED_VALUE"""),1.472806E8)</f>
        <v>147280600</v>
      </c>
      <c r="G709" s="2">
        <f t="shared" si="1"/>
        <v>80</v>
      </c>
    </row>
    <row r="710" ht="15.75" customHeight="1">
      <c r="A710" s="1">
        <f>IFERROR(__xludf.DUMMYFUNCTION("""COMPUTED_VALUE"""),44889.66666666667)</f>
        <v>44889.66667</v>
      </c>
      <c r="B710" s="2">
        <f>IFERROR(__xludf.DUMMYFUNCTION("""COMPUTED_VALUE"""),4700.0)</f>
        <v>4700</v>
      </c>
      <c r="C710" s="2">
        <f>IFERROR(__xludf.DUMMYFUNCTION("""COMPUTED_VALUE"""),4740.0)</f>
        <v>4740</v>
      </c>
      <c r="D710" s="2">
        <f>IFERROR(__xludf.DUMMYFUNCTION("""COMPUTED_VALUE"""),4670.0)</f>
        <v>4670</v>
      </c>
      <c r="E710" s="2">
        <f>IFERROR(__xludf.DUMMYFUNCTION("""COMPUTED_VALUE"""),4720.0)</f>
        <v>4720</v>
      </c>
      <c r="F710" s="2">
        <f>IFERROR(__xludf.DUMMYFUNCTION("""COMPUTED_VALUE"""),1.567357E8)</f>
        <v>156735700</v>
      </c>
      <c r="G710" s="2">
        <f t="shared" si="1"/>
        <v>70</v>
      </c>
    </row>
    <row r="711" ht="15.75" customHeight="1">
      <c r="A711" s="1">
        <f>IFERROR(__xludf.DUMMYFUNCTION("""COMPUTED_VALUE"""),44890.66666666667)</f>
        <v>44890.66667</v>
      </c>
      <c r="B711" s="2">
        <f>IFERROR(__xludf.DUMMYFUNCTION("""COMPUTED_VALUE"""),4700.0)</f>
        <v>4700</v>
      </c>
      <c r="C711" s="2">
        <f>IFERROR(__xludf.DUMMYFUNCTION("""COMPUTED_VALUE"""),4750.0)</f>
        <v>4750</v>
      </c>
      <c r="D711" s="2">
        <f>IFERROR(__xludf.DUMMYFUNCTION("""COMPUTED_VALUE"""),4690.0)</f>
        <v>4690</v>
      </c>
      <c r="E711" s="2">
        <f>IFERROR(__xludf.DUMMYFUNCTION("""COMPUTED_VALUE"""),4750.0)</f>
        <v>4750</v>
      </c>
      <c r="F711" s="2">
        <f>IFERROR(__xludf.DUMMYFUNCTION("""COMPUTED_VALUE"""),1.778611E8)</f>
        <v>177861100</v>
      </c>
      <c r="G711" s="2">
        <f t="shared" si="1"/>
        <v>60</v>
      </c>
    </row>
    <row r="712" ht="15.75" customHeight="1">
      <c r="A712" s="1">
        <f>IFERROR(__xludf.DUMMYFUNCTION("""COMPUTED_VALUE"""),44893.66666666667)</f>
        <v>44893.66667</v>
      </c>
      <c r="B712" s="2">
        <f>IFERROR(__xludf.DUMMYFUNCTION("""COMPUTED_VALUE"""),4730.0)</f>
        <v>4730</v>
      </c>
      <c r="C712" s="2">
        <f>IFERROR(__xludf.DUMMYFUNCTION("""COMPUTED_VALUE"""),4830.0)</f>
        <v>4830</v>
      </c>
      <c r="D712" s="2">
        <f>IFERROR(__xludf.DUMMYFUNCTION("""COMPUTED_VALUE"""),4730.0)</f>
        <v>4730</v>
      </c>
      <c r="E712" s="2">
        <f>IFERROR(__xludf.DUMMYFUNCTION("""COMPUTED_VALUE"""),4820.0)</f>
        <v>4820</v>
      </c>
      <c r="F712" s="2">
        <f>IFERROR(__xludf.DUMMYFUNCTION("""COMPUTED_VALUE"""),2.146116E8)</f>
        <v>214611600</v>
      </c>
      <c r="G712" s="2">
        <f t="shared" si="1"/>
        <v>100</v>
      </c>
    </row>
    <row r="713" ht="15.75" customHeight="1">
      <c r="A713" s="1">
        <f>IFERROR(__xludf.DUMMYFUNCTION("""COMPUTED_VALUE"""),44894.66666666667)</f>
        <v>44894.66667</v>
      </c>
      <c r="B713" s="2">
        <f>IFERROR(__xludf.DUMMYFUNCTION("""COMPUTED_VALUE"""),4820.0)</f>
        <v>4820</v>
      </c>
      <c r="C713" s="2">
        <f>IFERROR(__xludf.DUMMYFUNCTION("""COMPUTED_VALUE"""),4860.0)</f>
        <v>4860</v>
      </c>
      <c r="D713" s="2">
        <f>IFERROR(__xludf.DUMMYFUNCTION("""COMPUTED_VALUE"""),4790.0)</f>
        <v>4790</v>
      </c>
      <c r="E713" s="2">
        <f>IFERROR(__xludf.DUMMYFUNCTION("""COMPUTED_VALUE"""),4850.0)</f>
        <v>4850</v>
      </c>
      <c r="F713" s="2">
        <f>IFERROR(__xludf.DUMMYFUNCTION("""COMPUTED_VALUE"""),1.849163E8)</f>
        <v>184916300</v>
      </c>
      <c r="G713" s="2">
        <f t="shared" si="1"/>
        <v>70</v>
      </c>
    </row>
    <row r="714" ht="15.75" customHeight="1">
      <c r="A714" s="1">
        <f>IFERROR(__xludf.DUMMYFUNCTION("""COMPUTED_VALUE"""),44895.66666666667)</f>
        <v>44895.66667</v>
      </c>
      <c r="B714" s="2">
        <f>IFERROR(__xludf.DUMMYFUNCTION("""COMPUTED_VALUE"""),4810.0)</f>
        <v>4810</v>
      </c>
      <c r="C714" s="2">
        <f>IFERROR(__xludf.DUMMYFUNCTION("""COMPUTED_VALUE"""),4980.0)</f>
        <v>4980</v>
      </c>
      <c r="D714" s="2">
        <f>IFERROR(__xludf.DUMMYFUNCTION("""COMPUTED_VALUE"""),4800.0)</f>
        <v>4800</v>
      </c>
      <c r="E714" s="2">
        <f>IFERROR(__xludf.DUMMYFUNCTION("""COMPUTED_VALUE"""),4980.0)</f>
        <v>4980</v>
      </c>
      <c r="F714" s="2">
        <f>IFERROR(__xludf.DUMMYFUNCTION("""COMPUTED_VALUE"""),5.606398E8)</f>
        <v>560639800</v>
      </c>
      <c r="G714" s="2">
        <f t="shared" si="1"/>
        <v>180</v>
      </c>
    </row>
    <row r="715" ht="15.75" customHeight="1">
      <c r="A715" s="1">
        <f>IFERROR(__xludf.DUMMYFUNCTION("""COMPUTED_VALUE"""),44896.66666666667)</f>
        <v>44896.66667</v>
      </c>
      <c r="B715" s="2">
        <f>IFERROR(__xludf.DUMMYFUNCTION("""COMPUTED_VALUE"""),5000.0)</f>
        <v>5000</v>
      </c>
      <c r="C715" s="2">
        <f>IFERROR(__xludf.DUMMYFUNCTION("""COMPUTED_VALUE"""),5025.0)</f>
        <v>5025</v>
      </c>
      <c r="D715" s="2">
        <f>IFERROR(__xludf.DUMMYFUNCTION("""COMPUTED_VALUE"""),4900.0)</f>
        <v>4900</v>
      </c>
      <c r="E715" s="2">
        <f>IFERROR(__xludf.DUMMYFUNCTION("""COMPUTED_VALUE"""),4940.0)</f>
        <v>4940</v>
      </c>
      <c r="F715" s="2">
        <f>IFERROR(__xludf.DUMMYFUNCTION("""COMPUTED_VALUE"""),2.673826E8)</f>
        <v>267382600</v>
      </c>
      <c r="G715" s="2">
        <f t="shared" si="1"/>
        <v>125</v>
      </c>
    </row>
    <row r="716" ht="15.75" customHeight="1">
      <c r="A716" s="1">
        <f>IFERROR(__xludf.DUMMYFUNCTION("""COMPUTED_VALUE"""),44897.66666666667)</f>
        <v>44897.66667</v>
      </c>
      <c r="B716" s="2">
        <f>IFERROR(__xludf.DUMMYFUNCTION("""COMPUTED_VALUE"""),4900.0)</f>
        <v>4900</v>
      </c>
      <c r="C716" s="2">
        <f>IFERROR(__xludf.DUMMYFUNCTION("""COMPUTED_VALUE"""),4930.0)</f>
        <v>4930</v>
      </c>
      <c r="D716" s="2">
        <f>IFERROR(__xludf.DUMMYFUNCTION("""COMPUTED_VALUE"""),4860.0)</f>
        <v>4860</v>
      </c>
      <c r="E716" s="2">
        <f>IFERROR(__xludf.DUMMYFUNCTION("""COMPUTED_VALUE"""),4890.0)</f>
        <v>4890</v>
      </c>
      <c r="F716" s="2">
        <f>IFERROR(__xludf.DUMMYFUNCTION("""COMPUTED_VALUE"""),1.999814E8)</f>
        <v>199981400</v>
      </c>
      <c r="G716" s="2">
        <f t="shared" si="1"/>
        <v>80</v>
      </c>
    </row>
    <row r="717" ht="15.75" customHeight="1">
      <c r="A717" s="1">
        <f>IFERROR(__xludf.DUMMYFUNCTION("""COMPUTED_VALUE"""),44900.66666666667)</f>
        <v>44900.66667</v>
      </c>
      <c r="B717" s="2">
        <f>IFERROR(__xludf.DUMMYFUNCTION("""COMPUTED_VALUE"""),4910.0)</f>
        <v>4910</v>
      </c>
      <c r="C717" s="2">
        <f>IFERROR(__xludf.DUMMYFUNCTION("""COMPUTED_VALUE"""),4930.0)</f>
        <v>4930</v>
      </c>
      <c r="D717" s="2">
        <f>IFERROR(__xludf.DUMMYFUNCTION("""COMPUTED_VALUE"""),4860.0)</f>
        <v>4860</v>
      </c>
      <c r="E717" s="2">
        <f>IFERROR(__xludf.DUMMYFUNCTION("""COMPUTED_VALUE"""),4890.0)</f>
        <v>4890</v>
      </c>
      <c r="F717" s="2">
        <f>IFERROR(__xludf.DUMMYFUNCTION("""COMPUTED_VALUE"""),8.8463E7)</f>
        <v>88463000</v>
      </c>
      <c r="G717" s="2">
        <f t="shared" si="1"/>
        <v>70</v>
      </c>
    </row>
    <row r="718" ht="15.75" customHeight="1">
      <c r="A718" s="1">
        <f>IFERROR(__xludf.DUMMYFUNCTION("""COMPUTED_VALUE"""),44901.66666666667)</f>
        <v>44901.66667</v>
      </c>
      <c r="B718" s="2">
        <f>IFERROR(__xludf.DUMMYFUNCTION("""COMPUTED_VALUE"""),4860.0)</f>
        <v>4860</v>
      </c>
      <c r="C718" s="2">
        <f>IFERROR(__xludf.DUMMYFUNCTION("""COMPUTED_VALUE"""),4890.0)</f>
        <v>4890</v>
      </c>
      <c r="D718" s="2">
        <f>IFERROR(__xludf.DUMMYFUNCTION("""COMPUTED_VALUE"""),4800.0)</f>
        <v>4800</v>
      </c>
      <c r="E718" s="2">
        <f>IFERROR(__xludf.DUMMYFUNCTION("""COMPUTED_VALUE"""),4860.0)</f>
        <v>4860</v>
      </c>
      <c r="F718" s="2">
        <f>IFERROR(__xludf.DUMMYFUNCTION("""COMPUTED_VALUE"""),1.513253E8)</f>
        <v>151325300</v>
      </c>
      <c r="G718" s="2">
        <f t="shared" si="1"/>
        <v>90</v>
      </c>
    </row>
    <row r="719" ht="15.75" customHeight="1">
      <c r="A719" s="1">
        <f>IFERROR(__xludf.DUMMYFUNCTION("""COMPUTED_VALUE"""),44902.66666666667)</f>
        <v>44902.66667</v>
      </c>
      <c r="B719" s="2">
        <f>IFERROR(__xludf.DUMMYFUNCTION("""COMPUTED_VALUE"""),4840.0)</f>
        <v>4840</v>
      </c>
      <c r="C719" s="2">
        <f>IFERROR(__xludf.DUMMYFUNCTION("""COMPUTED_VALUE"""),4840.0)</f>
        <v>4840</v>
      </c>
      <c r="D719" s="2">
        <f>IFERROR(__xludf.DUMMYFUNCTION("""COMPUTED_VALUE"""),4740.0)</f>
        <v>4740</v>
      </c>
      <c r="E719" s="2">
        <f>IFERROR(__xludf.DUMMYFUNCTION("""COMPUTED_VALUE"""),4760.0)</f>
        <v>4760</v>
      </c>
      <c r="F719" s="2">
        <f>IFERROR(__xludf.DUMMYFUNCTION("""COMPUTED_VALUE"""),2.533301E8)</f>
        <v>253330100</v>
      </c>
      <c r="G719" s="2">
        <f t="shared" si="1"/>
        <v>120</v>
      </c>
    </row>
    <row r="720" ht="15.75" customHeight="1">
      <c r="A720" s="1">
        <f>IFERROR(__xludf.DUMMYFUNCTION("""COMPUTED_VALUE"""),44903.66666666667)</f>
        <v>44903.66667</v>
      </c>
      <c r="B720" s="2">
        <f>IFERROR(__xludf.DUMMYFUNCTION("""COMPUTED_VALUE"""),4760.0)</f>
        <v>4760</v>
      </c>
      <c r="C720" s="2">
        <f>IFERROR(__xludf.DUMMYFUNCTION("""COMPUTED_VALUE"""),4840.0)</f>
        <v>4840</v>
      </c>
      <c r="D720" s="2">
        <f>IFERROR(__xludf.DUMMYFUNCTION("""COMPUTED_VALUE"""),4710.0)</f>
        <v>4710</v>
      </c>
      <c r="E720" s="2">
        <f>IFERROR(__xludf.DUMMYFUNCTION("""COMPUTED_VALUE"""),4840.0)</f>
        <v>4840</v>
      </c>
      <c r="F720" s="2">
        <f>IFERROR(__xludf.DUMMYFUNCTION("""COMPUTED_VALUE"""),1.543139E8)</f>
        <v>154313900</v>
      </c>
      <c r="G720" s="2">
        <f t="shared" si="1"/>
        <v>130</v>
      </c>
    </row>
    <row r="721" ht="15.75" customHeight="1">
      <c r="A721" s="1">
        <f>IFERROR(__xludf.DUMMYFUNCTION("""COMPUTED_VALUE"""),44904.66666666667)</f>
        <v>44904.66667</v>
      </c>
      <c r="B721" s="2">
        <f>IFERROR(__xludf.DUMMYFUNCTION("""COMPUTED_VALUE"""),4830.0)</f>
        <v>4830</v>
      </c>
      <c r="C721" s="2">
        <f>IFERROR(__xludf.DUMMYFUNCTION("""COMPUTED_VALUE"""),4840.0)</f>
        <v>4840</v>
      </c>
      <c r="D721" s="2">
        <f>IFERROR(__xludf.DUMMYFUNCTION("""COMPUTED_VALUE"""),4760.0)</f>
        <v>4760</v>
      </c>
      <c r="E721" s="2">
        <f>IFERROR(__xludf.DUMMYFUNCTION("""COMPUTED_VALUE"""),4800.0)</f>
        <v>4800</v>
      </c>
      <c r="F721" s="2">
        <f>IFERROR(__xludf.DUMMYFUNCTION("""COMPUTED_VALUE"""),2.035848E8)</f>
        <v>203584800</v>
      </c>
      <c r="G721" s="2">
        <f t="shared" si="1"/>
        <v>80</v>
      </c>
    </row>
    <row r="722" ht="15.75" customHeight="1">
      <c r="A722" s="1">
        <f>IFERROR(__xludf.DUMMYFUNCTION("""COMPUTED_VALUE"""),44907.66666666667)</f>
        <v>44907.66667</v>
      </c>
      <c r="B722" s="2">
        <f>IFERROR(__xludf.DUMMYFUNCTION("""COMPUTED_VALUE"""),4800.0)</f>
        <v>4800</v>
      </c>
      <c r="C722" s="2">
        <f>IFERROR(__xludf.DUMMYFUNCTION("""COMPUTED_VALUE"""),4850.0)</f>
        <v>4850</v>
      </c>
      <c r="D722" s="2">
        <f>IFERROR(__xludf.DUMMYFUNCTION("""COMPUTED_VALUE"""),4760.0)</f>
        <v>4760</v>
      </c>
      <c r="E722" s="2">
        <f>IFERROR(__xludf.DUMMYFUNCTION("""COMPUTED_VALUE"""),4850.0)</f>
        <v>4850</v>
      </c>
      <c r="F722" s="2">
        <f>IFERROR(__xludf.DUMMYFUNCTION("""COMPUTED_VALUE"""),1.395824E8)</f>
        <v>139582400</v>
      </c>
      <c r="G722" s="2">
        <f t="shared" si="1"/>
        <v>90</v>
      </c>
    </row>
    <row r="723" ht="15.75" customHeight="1">
      <c r="A723" s="1">
        <f>IFERROR(__xludf.DUMMYFUNCTION("""COMPUTED_VALUE"""),44908.66666666667)</f>
        <v>44908.66667</v>
      </c>
      <c r="B723" s="2">
        <f>IFERROR(__xludf.DUMMYFUNCTION("""COMPUTED_VALUE"""),4870.0)</f>
        <v>4870</v>
      </c>
      <c r="C723" s="2">
        <f>IFERROR(__xludf.DUMMYFUNCTION("""COMPUTED_VALUE"""),4980.0)</f>
        <v>4980</v>
      </c>
      <c r="D723" s="2">
        <f>IFERROR(__xludf.DUMMYFUNCTION("""COMPUTED_VALUE"""),4840.0)</f>
        <v>4840</v>
      </c>
      <c r="E723" s="2">
        <f>IFERROR(__xludf.DUMMYFUNCTION("""COMPUTED_VALUE"""),4970.0)</f>
        <v>4970</v>
      </c>
      <c r="F723" s="2">
        <f>IFERROR(__xludf.DUMMYFUNCTION("""COMPUTED_VALUE"""),1.942332E8)</f>
        <v>194233200</v>
      </c>
      <c r="G723" s="2">
        <f t="shared" si="1"/>
        <v>140</v>
      </c>
    </row>
    <row r="724" ht="15.75" customHeight="1">
      <c r="A724" s="1">
        <f>IFERROR(__xludf.DUMMYFUNCTION("""COMPUTED_VALUE"""),44909.66666666667)</f>
        <v>44909.66667</v>
      </c>
      <c r="B724" s="2">
        <f>IFERROR(__xludf.DUMMYFUNCTION("""COMPUTED_VALUE"""),5000.0)</f>
        <v>5000</v>
      </c>
      <c r="C724" s="2">
        <f>IFERROR(__xludf.DUMMYFUNCTION("""COMPUTED_VALUE"""),5000.0)</f>
        <v>5000</v>
      </c>
      <c r="D724" s="2">
        <f>IFERROR(__xludf.DUMMYFUNCTION("""COMPUTED_VALUE"""),4870.0)</f>
        <v>4870</v>
      </c>
      <c r="E724" s="2">
        <f>IFERROR(__xludf.DUMMYFUNCTION("""COMPUTED_VALUE"""),4980.0)</f>
        <v>4980</v>
      </c>
      <c r="F724" s="2">
        <f>IFERROR(__xludf.DUMMYFUNCTION("""COMPUTED_VALUE"""),2.012758E8)</f>
        <v>201275800</v>
      </c>
      <c r="G724" s="2">
        <f t="shared" si="1"/>
        <v>130</v>
      </c>
    </row>
    <row r="725" ht="15.75" customHeight="1">
      <c r="A725" s="1">
        <f>IFERROR(__xludf.DUMMYFUNCTION("""COMPUTED_VALUE"""),44910.66666666667)</f>
        <v>44910.66667</v>
      </c>
      <c r="B725" s="2">
        <f>IFERROR(__xludf.DUMMYFUNCTION("""COMPUTED_VALUE"""),4900.0)</f>
        <v>4900</v>
      </c>
      <c r="C725" s="2">
        <f>IFERROR(__xludf.DUMMYFUNCTION("""COMPUTED_VALUE"""),4940.0)</f>
        <v>4940</v>
      </c>
      <c r="D725" s="2">
        <f>IFERROR(__xludf.DUMMYFUNCTION("""COMPUTED_VALUE"""),4880.0)</f>
        <v>4880</v>
      </c>
      <c r="E725" s="2">
        <f>IFERROR(__xludf.DUMMYFUNCTION("""COMPUTED_VALUE"""),4910.0)</f>
        <v>4910</v>
      </c>
      <c r="F725" s="2">
        <f>IFERROR(__xludf.DUMMYFUNCTION("""COMPUTED_VALUE"""),1.707023E8)</f>
        <v>170702300</v>
      </c>
      <c r="G725" s="2">
        <f t="shared" si="1"/>
        <v>100</v>
      </c>
    </row>
    <row r="726" ht="15.75" customHeight="1">
      <c r="A726" s="1">
        <f>IFERROR(__xludf.DUMMYFUNCTION("""COMPUTED_VALUE"""),44911.66666666667)</f>
        <v>44911.66667</v>
      </c>
      <c r="B726" s="2">
        <f>IFERROR(__xludf.DUMMYFUNCTION("""COMPUTED_VALUE"""),4820.0)</f>
        <v>4820</v>
      </c>
      <c r="C726" s="2">
        <f>IFERROR(__xludf.DUMMYFUNCTION("""COMPUTED_VALUE"""),4980.0)</f>
        <v>4980</v>
      </c>
      <c r="D726" s="2">
        <f>IFERROR(__xludf.DUMMYFUNCTION("""COMPUTED_VALUE"""),4820.0)</f>
        <v>4820</v>
      </c>
      <c r="E726" s="2">
        <f>IFERROR(__xludf.DUMMYFUNCTION("""COMPUTED_VALUE"""),4980.0)</f>
        <v>4980</v>
      </c>
      <c r="F726" s="2">
        <f>IFERROR(__xludf.DUMMYFUNCTION("""COMPUTED_VALUE"""),5.946019E8)</f>
        <v>594601900</v>
      </c>
      <c r="G726" s="2">
        <f t="shared" si="1"/>
        <v>160</v>
      </c>
    </row>
    <row r="727" ht="15.75" customHeight="1">
      <c r="A727" s="1">
        <f>IFERROR(__xludf.DUMMYFUNCTION("""COMPUTED_VALUE"""),44914.66666666667)</f>
        <v>44914.66667</v>
      </c>
      <c r="B727" s="2">
        <f>IFERROR(__xludf.DUMMYFUNCTION("""COMPUTED_VALUE"""),4970.0)</f>
        <v>4970</v>
      </c>
      <c r="C727" s="2">
        <f>IFERROR(__xludf.DUMMYFUNCTION("""COMPUTED_VALUE"""),4980.0)</f>
        <v>4980</v>
      </c>
      <c r="D727" s="2">
        <f>IFERROR(__xludf.DUMMYFUNCTION("""COMPUTED_VALUE"""),4920.0)</f>
        <v>4920</v>
      </c>
      <c r="E727" s="2">
        <f>IFERROR(__xludf.DUMMYFUNCTION("""COMPUTED_VALUE"""),4970.0)</f>
        <v>4970</v>
      </c>
      <c r="F727" s="2">
        <f>IFERROR(__xludf.DUMMYFUNCTION("""COMPUTED_VALUE"""),8.29598E7)</f>
        <v>82959800</v>
      </c>
      <c r="G727" s="2">
        <f t="shared" si="1"/>
        <v>60</v>
      </c>
    </row>
    <row r="728" ht="15.75" customHeight="1">
      <c r="A728" s="1">
        <f>IFERROR(__xludf.DUMMYFUNCTION("""COMPUTED_VALUE"""),44915.66666666667)</f>
        <v>44915.66667</v>
      </c>
      <c r="B728" s="2">
        <f>IFERROR(__xludf.DUMMYFUNCTION("""COMPUTED_VALUE"""),4930.0)</f>
        <v>4930</v>
      </c>
      <c r="C728" s="2">
        <f>IFERROR(__xludf.DUMMYFUNCTION("""COMPUTED_VALUE"""),4970.0)</f>
        <v>4970</v>
      </c>
      <c r="D728" s="2">
        <f>IFERROR(__xludf.DUMMYFUNCTION("""COMPUTED_VALUE"""),4890.0)</f>
        <v>4890</v>
      </c>
      <c r="E728" s="2">
        <f>IFERROR(__xludf.DUMMYFUNCTION("""COMPUTED_VALUE"""),4910.0)</f>
        <v>4910</v>
      </c>
      <c r="F728" s="2">
        <f>IFERROR(__xludf.DUMMYFUNCTION("""COMPUTED_VALUE"""),7.86716E7)</f>
        <v>78671600</v>
      </c>
      <c r="G728" s="2">
        <f t="shared" si="1"/>
        <v>80</v>
      </c>
    </row>
    <row r="729" ht="15.75" customHeight="1">
      <c r="A729" s="1">
        <f>IFERROR(__xludf.DUMMYFUNCTION("""COMPUTED_VALUE"""),44916.66666666667)</f>
        <v>44916.66667</v>
      </c>
      <c r="B729" s="2">
        <f>IFERROR(__xludf.DUMMYFUNCTION("""COMPUTED_VALUE"""),4910.0)</f>
        <v>4910</v>
      </c>
      <c r="C729" s="2">
        <f>IFERROR(__xludf.DUMMYFUNCTION("""COMPUTED_VALUE"""),4940.0)</f>
        <v>4940</v>
      </c>
      <c r="D729" s="2">
        <f>IFERROR(__xludf.DUMMYFUNCTION("""COMPUTED_VALUE"""),4870.0)</f>
        <v>4870</v>
      </c>
      <c r="E729" s="2">
        <f>IFERROR(__xludf.DUMMYFUNCTION("""COMPUTED_VALUE"""),4890.0)</f>
        <v>4890</v>
      </c>
      <c r="F729" s="2">
        <f>IFERROR(__xludf.DUMMYFUNCTION("""COMPUTED_VALUE"""),7.12778E7)</f>
        <v>71277800</v>
      </c>
      <c r="G729" s="2">
        <f t="shared" si="1"/>
        <v>70</v>
      </c>
    </row>
    <row r="730" ht="15.75" customHeight="1">
      <c r="A730" s="1">
        <f>IFERROR(__xludf.DUMMYFUNCTION("""COMPUTED_VALUE"""),44917.66666666667)</f>
        <v>44917.66667</v>
      </c>
      <c r="B730" s="2">
        <f>IFERROR(__xludf.DUMMYFUNCTION("""COMPUTED_VALUE"""),4910.0)</f>
        <v>4910</v>
      </c>
      <c r="C730" s="2">
        <f>IFERROR(__xludf.DUMMYFUNCTION("""COMPUTED_VALUE"""),4970.0)</f>
        <v>4970</v>
      </c>
      <c r="D730" s="2">
        <f>IFERROR(__xludf.DUMMYFUNCTION("""COMPUTED_VALUE"""),4900.0)</f>
        <v>4900</v>
      </c>
      <c r="E730" s="2">
        <f>IFERROR(__xludf.DUMMYFUNCTION("""COMPUTED_VALUE"""),4960.0)</f>
        <v>4960</v>
      </c>
      <c r="F730" s="2">
        <f>IFERROR(__xludf.DUMMYFUNCTION("""COMPUTED_VALUE"""),8.73214E7)</f>
        <v>87321400</v>
      </c>
      <c r="G730" s="2">
        <f t="shared" si="1"/>
        <v>80</v>
      </c>
    </row>
    <row r="731" ht="15.75" customHeight="1">
      <c r="A731" s="1">
        <f>IFERROR(__xludf.DUMMYFUNCTION("""COMPUTED_VALUE"""),44918.66666666667)</f>
        <v>44918.66667</v>
      </c>
      <c r="B731" s="2">
        <f>IFERROR(__xludf.DUMMYFUNCTION("""COMPUTED_VALUE"""),4920.0)</f>
        <v>4920</v>
      </c>
      <c r="C731" s="2">
        <f>IFERROR(__xludf.DUMMYFUNCTION("""COMPUTED_VALUE"""),4940.0)</f>
        <v>4940</v>
      </c>
      <c r="D731" s="2">
        <f>IFERROR(__xludf.DUMMYFUNCTION("""COMPUTED_VALUE"""),4880.0)</f>
        <v>4880</v>
      </c>
      <c r="E731" s="2">
        <f>IFERROR(__xludf.DUMMYFUNCTION("""COMPUTED_VALUE"""),4880.0)</f>
        <v>4880</v>
      </c>
      <c r="F731" s="2">
        <f>IFERROR(__xludf.DUMMYFUNCTION("""COMPUTED_VALUE"""),5.33506E7)</f>
        <v>53350600</v>
      </c>
      <c r="G731" s="2">
        <f t="shared" si="1"/>
        <v>80</v>
      </c>
    </row>
    <row r="732" ht="15.75" customHeight="1">
      <c r="A732" s="1">
        <f>IFERROR(__xludf.DUMMYFUNCTION("""COMPUTED_VALUE"""),44921.66666666667)</f>
        <v>44921.66667</v>
      </c>
      <c r="B732" s="2">
        <f>IFERROR(__xludf.DUMMYFUNCTION("""COMPUTED_VALUE"""),4900.0)</f>
        <v>4900</v>
      </c>
      <c r="C732" s="2">
        <f>IFERROR(__xludf.DUMMYFUNCTION("""COMPUTED_VALUE"""),4930.0)</f>
        <v>4930</v>
      </c>
      <c r="D732" s="2">
        <f>IFERROR(__xludf.DUMMYFUNCTION("""COMPUTED_VALUE"""),4890.0)</f>
        <v>4890</v>
      </c>
      <c r="E732" s="2">
        <f>IFERROR(__xludf.DUMMYFUNCTION("""COMPUTED_VALUE"""),4930.0)</f>
        <v>4930</v>
      </c>
      <c r="F732" s="2">
        <f>IFERROR(__xludf.DUMMYFUNCTION("""COMPUTED_VALUE"""),4.35811E7)</f>
        <v>43581100</v>
      </c>
      <c r="G732" s="2">
        <f t="shared" si="1"/>
        <v>50</v>
      </c>
    </row>
    <row r="733" ht="15.75" customHeight="1">
      <c r="A733" s="1">
        <f>IFERROR(__xludf.DUMMYFUNCTION("""COMPUTED_VALUE"""),44922.66666666667)</f>
        <v>44922.66667</v>
      </c>
      <c r="B733" s="2">
        <f>IFERROR(__xludf.DUMMYFUNCTION("""COMPUTED_VALUE"""),4930.0)</f>
        <v>4930</v>
      </c>
      <c r="C733" s="2">
        <f>IFERROR(__xludf.DUMMYFUNCTION("""COMPUTED_VALUE"""),4950.0)</f>
        <v>4950</v>
      </c>
      <c r="D733" s="2">
        <f>IFERROR(__xludf.DUMMYFUNCTION("""COMPUTED_VALUE"""),4860.0)</f>
        <v>4860</v>
      </c>
      <c r="E733" s="2">
        <f>IFERROR(__xludf.DUMMYFUNCTION("""COMPUTED_VALUE"""),4870.0)</f>
        <v>4870</v>
      </c>
      <c r="F733" s="2">
        <f>IFERROR(__xludf.DUMMYFUNCTION("""COMPUTED_VALUE"""),7.41238E7)</f>
        <v>74123800</v>
      </c>
      <c r="G733" s="2">
        <f t="shared" si="1"/>
        <v>90</v>
      </c>
    </row>
    <row r="734" ht="15.75" customHeight="1">
      <c r="A734" s="1">
        <f>IFERROR(__xludf.DUMMYFUNCTION("""COMPUTED_VALUE"""),44923.66666666667)</f>
        <v>44923.66667</v>
      </c>
      <c r="B734" s="2">
        <f>IFERROR(__xludf.DUMMYFUNCTION("""COMPUTED_VALUE"""),4870.0)</f>
        <v>4870</v>
      </c>
      <c r="C734" s="2">
        <f>IFERROR(__xludf.DUMMYFUNCTION("""COMPUTED_VALUE"""),4880.0)</f>
        <v>4880</v>
      </c>
      <c r="D734" s="2">
        <f>IFERROR(__xludf.DUMMYFUNCTION("""COMPUTED_VALUE"""),4810.0)</f>
        <v>4810</v>
      </c>
      <c r="E734" s="2">
        <f>IFERROR(__xludf.DUMMYFUNCTION("""COMPUTED_VALUE"""),4820.0)</f>
        <v>4820</v>
      </c>
      <c r="F734" s="2">
        <f>IFERROR(__xludf.DUMMYFUNCTION("""COMPUTED_VALUE"""),1.179125E8)</f>
        <v>117912500</v>
      </c>
      <c r="G734" s="2">
        <f t="shared" si="1"/>
        <v>70</v>
      </c>
    </row>
    <row r="735" ht="15.75" customHeight="1">
      <c r="A735" s="1">
        <f>IFERROR(__xludf.DUMMYFUNCTION("""COMPUTED_VALUE"""),44924.66666666667)</f>
        <v>44924.66667</v>
      </c>
      <c r="B735" s="2">
        <f>IFERROR(__xludf.DUMMYFUNCTION("""COMPUTED_VALUE"""),4820.0)</f>
        <v>4820</v>
      </c>
      <c r="C735" s="2">
        <f>IFERROR(__xludf.DUMMYFUNCTION("""COMPUTED_VALUE"""),4870.0)</f>
        <v>4870</v>
      </c>
      <c r="D735" s="2">
        <f>IFERROR(__xludf.DUMMYFUNCTION("""COMPUTED_VALUE"""),4800.0)</f>
        <v>4800</v>
      </c>
      <c r="E735" s="2">
        <f>IFERROR(__xludf.DUMMYFUNCTION("""COMPUTED_VALUE"""),4870.0)</f>
        <v>4870</v>
      </c>
      <c r="F735" s="2">
        <f>IFERROR(__xludf.DUMMYFUNCTION("""COMPUTED_VALUE"""),1.066907E8)</f>
        <v>106690700</v>
      </c>
      <c r="G735" s="2">
        <f t="shared" si="1"/>
        <v>70</v>
      </c>
    </row>
    <row r="736" ht="15.75" customHeight="1">
      <c r="A736" s="1">
        <f>IFERROR(__xludf.DUMMYFUNCTION("""COMPUTED_VALUE"""),44925.66666666667)</f>
        <v>44925.66667</v>
      </c>
      <c r="B736" s="2">
        <f>IFERROR(__xludf.DUMMYFUNCTION("""COMPUTED_VALUE"""),4870.0)</f>
        <v>4870</v>
      </c>
      <c r="C736" s="2">
        <f>IFERROR(__xludf.DUMMYFUNCTION("""COMPUTED_VALUE"""),4950.0)</f>
        <v>4950</v>
      </c>
      <c r="D736" s="2">
        <f>IFERROR(__xludf.DUMMYFUNCTION("""COMPUTED_VALUE"""),4870.0)</f>
        <v>4870</v>
      </c>
      <c r="E736" s="2">
        <f>IFERROR(__xludf.DUMMYFUNCTION("""COMPUTED_VALUE"""),4940.0)</f>
        <v>4940</v>
      </c>
      <c r="F736" s="2">
        <f>IFERROR(__xludf.DUMMYFUNCTION("""COMPUTED_VALUE"""),1.820915E8)</f>
        <v>182091500</v>
      </c>
      <c r="G736" s="2">
        <f t="shared" si="1"/>
        <v>80</v>
      </c>
    </row>
    <row r="737" ht="15.75" customHeight="1">
      <c r="A737" s="1">
        <f>IFERROR(__xludf.DUMMYFUNCTION("""COMPUTED_VALUE"""),44928.66666666667)</f>
        <v>44928.66667</v>
      </c>
      <c r="B737" s="2">
        <f>IFERROR(__xludf.DUMMYFUNCTION("""COMPUTED_VALUE"""),4910.0)</f>
        <v>4910</v>
      </c>
      <c r="C737" s="2">
        <f>IFERROR(__xludf.DUMMYFUNCTION("""COMPUTED_VALUE"""),4920.0)</f>
        <v>4920</v>
      </c>
      <c r="D737" s="2">
        <f>IFERROR(__xludf.DUMMYFUNCTION("""COMPUTED_VALUE"""),4820.0)</f>
        <v>4820</v>
      </c>
      <c r="E737" s="2">
        <f>IFERROR(__xludf.DUMMYFUNCTION("""COMPUTED_VALUE"""),4870.0)</f>
        <v>4870</v>
      </c>
      <c r="F737" s="2">
        <f>IFERROR(__xludf.DUMMYFUNCTION("""COMPUTED_VALUE"""),1.002001E8)</f>
        <v>100200100</v>
      </c>
      <c r="G737" s="2">
        <f t="shared" si="1"/>
        <v>120</v>
      </c>
    </row>
    <row r="738" ht="15.75" customHeight="1">
      <c r="A738" s="1">
        <f>IFERROR(__xludf.DUMMYFUNCTION("""COMPUTED_VALUE"""),44929.66666666667)</f>
        <v>44929.66667</v>
      </c>
      <c r="B738" s="2">
        <f>IFERROR(__xludf.DUMMYFUNCTION("""COMPUTED_VALUE"""),4830.0)</f>
        <v>4830</v>
      </c>
      <c r="C738" s="2">
        <f>IFERROR(__xludf.DUMMYFUNCTION("""COMPUTED_VALUE"""),4900.0)</f>
        <v>4900</v>
      </c>
      <c r="D738" s="2">
        <f>IFERROR(__xludf.DUMMYFUNCTION("""COMPUTED_VALUE"""),4830.0)</f>
        <v>4830</v>
      </c>
      <c r="E738" s="2">
        <f>IFERROR(__xludf.DUMMYFUNCTION("""COMPUTED_VALUE"""),4850.0)</f>
        <v>4850</v>
      </c>
      <c r="F738" s="2">
        <f>IFERROR(__xludf.DUMMYFUNCTION("""COMPUTED_VALUE"""),9.51365E7)</f>
        <v>95136500</v>
      </c>
      <c r="G738" s="2">
        <f t="shared" si="1"/>
        <v>70</v>
      </c>
    </row>
    <row r="739" ht="15.75" customHeight="1">
      <c r="A739" s="1">
        <f>IFERROR(__xludf.DUMMYFUNCTION("""COMPUTED_VALUE"""),44930.66666666667)</f>
        <v>44930.66667</v>
      </c>
      <c r="B739" s="2">
        <f>IFERROR(__xludf.DUMMYFUNCTION("""COMPUTED_VALUE"""),4850.0)</f>
        <v>4850</v>
      </c>
      <c r="C739" s="2">
        <f>IFERROR(__xludf.DUMMYFUNCTION("""COMPUTED_VALUE"""),4850.0)</f>
        <v>4850</v>
      </c>
      <c r="D739" s="2">
        <f>IFERROR(__xludf.DUMMYFUNCTION("""COMPUTED_VALUE"""),4770.0)</f>
        <v>4770</v>
      </c>
      <c r="E739" s="2">
        <f>IFERROR(__xludf.DUMMYFUNCTION("""COMPUTED_VALUE"""),4770.0)</f>
        <v>4770</v>
      </c>
      <c r="F739" s="2">
        <f>IFERROR(__xludf.DUMMYFUNCTION("""COMPUTED_VALUE"""),1.88071E8)</f>
        <v>188071000</v>
      </c>
      <c r="G739" s="2">
        <f t="shared" si="1"/>
        <v>80</v>
      </c>
    </row>
    <row r="740" ht="15.75" customHeight="1">
      <c r="A740" s="1">
        <f>IFERROR(__xludf.DUMMYFUNCTION("""COMPUTED_VALUE"""),44931.66666666667)</f>
        <v>44931.66667</v>
      </c>
      <c r="B740" s="2">
        <f>IFERROR(__xludf.DUMMYFUNCTION("""COMPUTED_VALUE"""),4750.0)</f>
        <v>4750</v>
      </c>
      <c r="C740" s="2">
        <f>IFERROR(__xludf.DUMMYFUNCTION("""COMPUTED_VALUE"""),4760.0)</f>
        <v>4760</v>
      </c>
      <c r="D740" s="2">
        <f>IFERROR(__xludf.DUMMYFUNCTION("""COMPUTED_VALUE"""),4570.0)</f>
        <v>4570</v>
      </c>
      <c r="E740" s="2">
        <f>IFERROR(__xludf.DUMMYFUNCTION("""COMPUTED_VALUE"""),4640.0)</f>
        <v>4640</v>
      </c>
      <c r="F740" s="2">
        <f>IFERROR(__xludf.DUMMYFUNCTION("""COMPUTED_VALUE"""),2.92142E8)</f>
        <v>292142000</v>
      </c>
      <c r="G740" s="2">
        <f t="shared" si="1"/>
        <v>200</v>
      </c>
    </row>
    <row r="741" ht="15.75" customHeight="1">
      <c r="A741" s="1">
        <f>IFERROR(__xludf.DUMMYFUNCTION("""COMPUTED_VALUE"""),44932.66666666667)</f>
        <v>44932.66667</v>
      </c>
      <c r="B741" s="2">
        <f>IFERROR(__xludf.DUMMYFUNCTION("""COMPUTED_VALUE"""),4550.0)</f>
        <v>4550</v>
      </c>
      <c r="C741" s="2">
        <f>IFERROR(__xludf.DUMMYFUNCTION("""COMPUTED_VALUE"""),4640.0)</f>
        <v>4640</v>
      </c>
      <c r="D741" s="2">
        <f>IFERROR(__xludf.DUMMYFUNCTION("""COMPUTED_VALUE"""),4550.0)</f>
        <v>4550</v>
      </c>
      <c r="E741" s="2">
        <f>IFERROR(__xludf.DUMMYFUNCTION("""COMPUTED_VALUE"""),4620.0)</f>
        <v>4620</v>
      </c>
      <c r="F741" s="2">
        <f>IFERROR(__xludf.DUMMYFUNCTION("""COMPUTED_VALUE"""),1.75932E8)</f>
        <v>175932000</v>
      </c>
      <c r="G741" s="2">
        <f t="shared" si="1"/>
        <v>90</v>
      </c>
    </row>
    <row r="742" ht="15.75" customHeight="1">
      <c r="A742" s="1">
        <f>IFERROR(__xludf.DUMMYFUNCTION("""COMPUTED_VALUE"""),44935.66666666667)</f>
        <v>44935.66667</v>
      </c>
      <c r="B742" s="2">
        <f>IFERROR(__xludf.DUMMYFUNCTION("""COMPUTED_VALUE"""),4580.0)</f>
        <v>4580</v>
      </c>
      <c r="C742" s="2">
        <f>IFERROR(__xludf.DUMMYFUNCTION("""COMPUTED_VALUE"""),4640.0)</f>
        <v>4640</v>
      </c>
      <c r="D742" s="2">
        <f>IFERROR(__xludf.DUMMYFUNCTION("""COMPUTED_VALUE"""),4550.0)</f>
        <v>4550</v>
      </c>
      <c r="E742" s="2">
        <f>IFERROR(__xludf.DUMMYFUNCTION("""COMPUTED_VALUE"""),4590.0)</f>
        <v>4590</v>
      </c>
      <c r="F742" s="2">
        <f>IFERROR(__xludf.DUMMYFUNCTION("""COMPUTED_VALUE"""),1.661649E8)</f>
        <v>166164900</v>
      </c>
      <c r="G742" s="2">
        <f t="shared" si="1"/>
        <v>90</v>
      </c>
    </row>
    <row r="743" ht="15.75" customHeight="1">
      <c r="A743" s="1">
        <f>IFERROR(__xludf.DUMMYFUNCTION("""COMPUTED_VALUE"""),44936.66666666667)</f>
        <v>44936.66667</v>
      </c>
      <c r="B743" s="2">
        <f>IFERROR(__xludf.DUMMYFUNCTION("""COMPUTED_VALUE"""),4550.0)</f>
        <v>4550</v>
      </c>
      <c r="C743" s="2">
        <f>IFERROR(__xludf.DUMMYFUNCTION("""COMPUTED_VALUE"""),4570.0)</f>
        <v>4570</v>
      </c>
      <c r="D743" s="2">
        <f>IFERROR(__xludf.DUMMYFUNCTION("""COMPUTED_VALUE"""),4410.0)</f>
        <v>4410</v>
      </c>
      <c r="E743" s="2">
        <f>IFERROR(__xludf.DUMMYFUNCTION("""COMPUTED_VALUE"""),4430.0)</f>
        <v>4430</v>
      </c>
      <c r="F743" s="2">
        <f>IFERROR(__xludf.DUMMYFUNCTION("""COMPUTED_VALUE"""),2.8251E8)</f>
        <v>282510000</v>
      </c>
      <c r="G743" s="2">
        <f t="shared" si="1"/>
        <v>180</v>
      </c>
    </row>
    <row r="744" ht="15.75" customHeight="1">
      <c r="A744" s="1">
        <f>IFERROR(__xludf.DUMMYFUNCTION("""COMPUTED_VALUE"""),44937.66666666667)</f>
        <v>44937.66667</v>
      </c>
      <c r="B744" s="2">
        <f>IFERROR(__xludf.DUMMYFUNCTION("""COMPUTED_VALUE"""),4410.0)</f>
        <v>4410</v>
      </c>
      <c r="C744" s="2">
        <f>IFERROR(__xludf.DUMMYFUNCTION("""COMPUTED_VALUE"""),4430.0)</f>
        <v>4430</v>
      </c>
      <c r="D744" s="2">
        <f>IFERROR(__xludf.DUMMYFUNCTION("""COMPUTED_VALUE"""),4360.0)</f>
        <v>4360</v>
      </c>
      <c r="E744" s="2">
        <f>IFERROR(__xludf.DUMMYFUNCTION("""COMPUTED_VALUE"""),4380.0)</f>
        <v>4380</v>
      </c>
      <c r="F744" s="2">
        <f>IFERROR(__xludf.DUMMYFUNCTION("""COMPUTED_VALUE"""),2.116101E8)</f>
        <v>211610100</v>
      </c>
      <c r="G744" s="2">
        <f t="shared" si="1"/>
        <v>70</v>
      </c>
    </row>
    <row r="745" ht="15.75" customHeight="1">
      <c r="A745" s="1">
        <f>IFERROR(__xludf.DUMMYFUNCTION("""COMPUTED_VALUE"""),44938.66666666667)</f>
        <v>44938.66667</v>
      </c>
      <c r="B745" s="2">
        <f>IFERROR(__xludf.DUMMYFUNCTION("""COMPUTED_VALUE"""),4480.0)</f>
        <v>4480</v>
      </c>
      <c r="C745" s="2">
        <f>IFERROR(__xludf.DUMMYFUNCTION("""COMPUTED_VALUE"""),4520.0)</f>
        <v>4520</v>
      </c>
      <c r="D745" s="2">
        <f>IFERROR(__xludf.DUMMYFUNCTION("""COMPUTED_VALUE"""),4410.0)</f>
        <v>4410</v>
      </c>
      <c r="E745" s="2">
        <f>IFERROR(__xludf.DUMMYFUNCTION("""COMPUTED_VALUE"""),4500.0)</f>
        <v>4500</v>
      </c>
      <c r="F745" s="2">
        <f>IFERROR(__xludf.DUMMYFUNCTION("""COMPUTED_VALUE"""),2.108878E8)</f>
        <v>210887800</v>
      </c>
      <c r="G745" s="2">
        <f t="shared" si="1"/>
        <v>140</v>
      </c>
    </row>
    <row r="746" ht="15.75" customHeight="1">
      <c r="A746" s="1">
        <f>IFERROR(__xludf.DUMMYFUNCTION("""COMPUTED_VALUE"""),44939.66666666667)</f>
        <v>44939.66667</v>
      </c>
      <c r="B746" s="2">
        <f>IFERROR(__xludf.DUMMYFUNCTION("""COMPUTED_VALUE"""),4510.0)</f>
        <v>4510</v>
      </c>
      <c r="C746" s="2">
        <f>IFERROR(__xludf.DUMMYFUNCTION("""COMPUTED_VALUE"""),4530.0)</f>
        <v>4530</v>
      </c>
      <c r="D746" s="2">
        <f>IFERROR(__xludf.DUMMYFUNCTION("""COMPUTED_VALUE"""),4420.0)</f>
        <v>4420</v>
      </c>
      <c r="E746" s="2">
        <f>IFERROR(__xludf.DUMMYFUNCTION("""COMPUTED_VALUE"""),4480.0)</f>
        <v>4480</v>
      </c>
      <c r="F746" s="2">
        <f>IFERROR(__xludf.DUMMYFUNCTION("""COMPUTED_VALUE"""),1.345921E8)</f>
        <v>134592100</v>
      </c>
      <c r="G746" s="2">
        <f t="shared" si="1"/>
        <v>110</v>
      </c>
    </row>
    <row r="747" ht="15.75" customHeight="1">
      <c r="A747" s="1">
        <f>IFERROR(__xludf.DUMMYFUNCTION("""COMPUTED_VALUE"""),44942.66666666667)</f>
        <v>44942.66667</v>
      </c>
      <c r="B747" s="2">
        <f>IFERROR(__xludf.DUMMYFUNCTION("""COMPUTED_VALUE"""),4430.0)</f>
        <v>4430</v>
      </c>
      <c r="C747" s="2">
        <f>IFERROR(__xludf.DUMMYFUNCTION("""COMPUTED_VALUE"""),4530.0)</f>
        <v>4530</v>
      </c>
      <c r="D747" s="2">
        <f>IFERROR(__xludf.DUMMYFUNCTION("""COMPUTED_VALUE"""),4420.0)</f>
        <v>4420</v>
      </c>
      <c r="E747" s="2">
        <f>IFERROR(__xludf.DUMMYFUNCTION("""COMPUTED_VALUE"""),4520.0)</f>
        <v>4520</v>
      </c>
      <c r="F747" s="2">
        <f>IFERROR(__xludf.DUMMYFUNCTION("""COMPUTED_VALUE"""),1.721709E8)</f>
        <v>172170900</v>
      </c>
      <c r="G747" s="2">
        <f t="shared" si="1"/>
        <v>110</v>
      </c>
    </row>
    <row r="748" ht="15.75" customHeight="1">
      <c r="A748" s="1">
        <f>IFERROR(__xludf.DUMMYFUNCTION("""COMPUTED_VALUE"""),44943.66666666667)</f>
        <v>44943.66667</v>
      </c>
      <c r="B748" s="2">
        <f>IFERROR(__xludf.DUMMYFUNCTION("""COMPUTED_VALUE"""),4520.0)</f>
        <v>4520</v>
      </c>
      <c r="C748" s="2">
        <f>IFERROR(__xludf.DUMMYFUNCTION("""COMPUTED_VALUE"""),4580.0)</f>
        <v>4580</v>
      </c>
      <c r="D748" s="2">
        <f>IFERROR(__xludf.DUMMYFUNCTION("""COMPUTED_VALUE"""),4510.0)</f>
        <v>4510</v>
      </c>
      <c r="E748" s="2">
        <f>IFERROR(__xludf.DUMMYFUNCTION("""COMPUTED_VALUE"""),4560.0)</f>
        <v>4560</v>
      </c>
      <c r="F748" s="2">
        <f>IFERROR(__xludf.DUMMYFUNCTION("""COMPUTED_VALUE"""),1.505774E8)</f>
        <v>150577400</v>
      </c>
      <c r="G748" s="2">
        <f t="shared" si="1"/>
        <v>70</v>
      </c>
    </row>
    <row r="749" ht="15.75" customHeight="1">
      <c r="A749" s="1">
        <f>IFERROR(__xludf.DUMMYFUNCTION("""COMPUTED_VALUE"""),44944.66666666667)</f>
        <v>44944.66667</v>
      </c>
      <c r="B749" s="2">
        <f>IFERROR(__xludf.DUMMYFUNCTION("""COMPUTED_VALUE"""),4560.0)</f>
        <v>4560</v>
      </c>
      <c r="C749" s="2">
        <f>IFERROR(__xludf.DUMMYFUNCTION("""COMPUTED_VALUE"""),4620.0)</f>
        <v>4620</v>
      </c>
      <c r="D749" s="2">
        <f>IFERROR(__xludf.DUMMYFUNCTION("""COMPUTED_VALUE"""),4560.0)</f>
        <v>4560</v>
      </c>
      <c r="E749" s="2">
        <f>IFERROR(__xludf.DUMMYFUNCTION("""COMPUTED_VALUE"""),4600.0)</f>
        <v>4600</v>
      </c>
      <c r="F749" s="2">
        <f>IFERROR(__xludf.DUMMYFUNCTION("""COMPUTED_VALUE"""),1.78026E8)</f>
        <v>178026000</v>
      </c>
      <c r="G749" s="2">
        <f t="shared" si="1"/>
        <v>60</v>
      </c>
    </row>
    <row r="750" ht="15.75" customHeight="1">
      <c r="A750" s="1">
        <f>IFERROR(__xludf.DUMMYFUNCTION("""COMPUTED_VALUE"""),44945.66666666667)</f>
        <v>44945.66667</v>
      </c>
      <c r="B750" s="2">
        <f>IFERROR(__xludf.DUMMYFUNCTION("""COMPUTED_VALUE"""),4590.0)</f>
        <v>4590</v>
      </c>
      <c r="C750" s="2">
        <f>IFERROR(__xludf.DUMMYFUNCTION("""COMPUTED_VALUE"""),4630.0)</f>
        <v>4630</v>
      </c>
      <c r="D750" s="2">
        <f>IFERROR(__xludf.DUMMYFUNCTION("""COMPUTED_VALUE"""),4580.0)</f>
        <v>4580</v>
      </c>
      <c r="E750" s="2">
        <f>IFERROR(__xludf.DUMMYFUNCTION("""COMPUTED_VALUE"""),4610.0)</f>
        <v>4610</v>
      </c>
      <c r="F750" s="2">
        <f>IFERROR(__xludf.DUMMYFUNCTION("""COMPUTED_VALUE"""),1.172041E8)</f>
        <v>117204100</v>
      </c>
      <c r="G750" s="2">
        <f t="shared" si="1"/>
        <v>50</v>
      </c>
    </row>
    <row r="751" ht="15.75" customHeight="1">
      <c r="A751" s="1">
        <f>IFERROR(__xludf.DUMMYFUNCTION("""COMPUTED_VALUE"""),44946.66666666667)</f>
        <v>44946.66667</v>
      </c>
      <c r="B751" s="2">
        <f>IFERROR(__xludf.DUMMYFUNCTION("""COMPUTED_VALUE"""),4630.0)</f>
        <v>4630</v>
      </c>
      <c r="C751" s="2">
        <f>IFERROR(__xludf.DUMMYFUNCTION("""COMPUTED_VALUE"""),4670.0)</f>
        <v>4670</v>
      </c>
      <c r="D751" s="2">
        <f>IFERROR(__xludf.DUMMYFUNCTION("""COMPUTED_VALUE"""),4620.0)</f>
        <v>4620</v>
      </c>
      <c r="E751" s="2">
        <f>IFERROR(__xludf.DUMMYFUNCTION("""COMPUTED_VALUE"""),4650.0)</f>
        <v>4650</v>
      </c>
      <c r="F751" s="2">
        <f>IFERROR(__xludf.DUMMYFUNCTION("""COMPUTED_VALUE"""),1.160383E8)</f>
        <v>116038300</v>
      </c>
      <c r="G751" s="2">
        <f t="shared" si="1"/>
        <v>60</v>
      </c>
    </row>
    <row r="752" ht="15.75" customHeight="1">
      <c r="A752" s="1">
        <f>IFERROR(__xludf.DUMMYFUNCTION("""COMPUTED_VALUE"""),44950.66666666667)</f>
        <v>44950.66667</v>
      </c>
      <c r="B752" s="2">
        <f>IFERROR(__xludf.DUMMYFUNCTION("""COMPUTED_VALUE"""),4660.0)</f>
        <v>4660</v>
      </c>
      <c r="C752" s="2">
        <f>IFERROR(__xludf.DUMMYFUNCTION("""COMPUTED_VALUE"""),4680.0)</f>
        <v>4680</v>
      </c>
      <c r="D752" s="2">
        <f>IFERROR(__xludf.DUMMYFUNCTION("""COMPUTED_VALUE"""),4590.0)</f>
        <v>4590</v>
      </c>
      <c r="E752" s="2">
        <f>IFERROR(__xludf.DUMMYFUNCTION("""COMPUTED_VALUE"""),4620.0)</f>
        <v>4620</v>
      </c>
      <c r="F752" s="2">
        <f>IFERROR(__xludf.DUMMYFUNCTION("""COMPUTED_VALUE"""),8.19647E7)</f>
        <v>81964700</v>
      </c>
      <c r="G752" s="2">
        <f t="shared" si="1"/>
        <v>90</v>
      </c>
    </row>
    <row r="753" ht="15.75" customHeight="1">
      <c r="A753" s="1">
        <f>IFERROR(__xludf.DUMMYFUNCTION("""COMPUTED_VALUE"""),44951.66666666667)</f>
        <v>44951.66667</v>
      </c>
      <c r="B753" s="2">
        <f>IFERROR(__xludf.DUMMYFUNCTION("""COMPUTED_VALUE"""),4620.0)</f>
        <v>4620</v>
      </c>
      <c r="C753" s="2">
        <f>IFERROR(__xludf.DUMMYFUNCTION("""COMPUTED_VALUE"""),4620.0)</f>
        <v>4620</v>
      </c>
      <c r="D753" s="2">
        <f>IFERROR(__xludf.DUMMYFUNCTION("""COMPUTED_VALUE"""),4550.0)</f>
        <v>4550</v>
      </c>
      <c r="E753" s="2">
        <f>IFERROR(__xludf.DUMMYFUNCTION("""COMPUTED_VALUE"""),4560.0)</f>
        <v>4560</v>
      </c>
      <c r="F753" s="2">
        <f>IFERROR(__xludf.DUMMYFUNCTION("""COMPUTED_VALUE"""),8.40093E7)</f>
        <v>84009300</v>
      </c>
      <c r="G753" s="2">
        <f t="shared" si="1"/>
        <v>70</v>
      </c>
    </row>
    <row r="754" ht="15.75" customHeight="1">
      <c r="A754" s="1">
        <f>IFERROR(__xludf.DUMMYFUNCTION("""COMPUTED_VALUE"""),44952.66666666667)</f>
        <v>44952.66667</v>
      </c>
      <c r="B754" s="2">
        <f>IFERROR(__xludf.DUMMYFUNCTION("""COMPUTED_VALUE"""),4560.0)</f>
        <v>4560</v>
      </c>
      <c r="C754" s="2">
        <f>IFERROR(__xludf.DUMMYFUNCTION("""COMPUTED_VALUE"""),4620.0)</f>
        <v>4620</v>
      </c>
      <c r="D754" s="2">
        <f>IFERROR(__xludf.DUMMYFUNCTION("""COMPUTED_VALUE"""),4550.0)</f>
        <v>4550</v>
      </c>
      <c r="E754" s="2">
        <f>IFERROR(__xludf.DUMMYFUNCTION("""COMPUTED_VALUE"""),4590.0)</f>
        <v>4590</v>
      </c>
      <c r="F754" s="2">
        <f>IFERROR(__xludf.DUMMYFUNCTION("""COMPUTED_VALUE"""),1.138404E8)</f>
        <v>113840400</v>
      </c>
      <c r="G754" s="2">
        <f t="shared" si="1"/>
        <v>70</v>
      </c>
    </row>
    <row r="755" ht="15.75" customHeight="1">
      <c r="A755" s="1">
        <f>IFERROR(__xludf.DUMMYFUNCTION("""COMPUTED_VALUE"""),44953.66666666667)</f>
        <v>44953.66667</v>
      </c>
      <c r="B755" s="2">
        <f>IFERROR(__xludf.DUMMYFUNCTION("""COMPUTED_VALUE"""),4600.0)</f>
        <v>4600</v>
      </c>
      <c r="C755" s="2">
        <f>IFERROR(__xludf.DUMMYFUNCTION("""COMPUTED_VALUE"""),4680.0)</f>
        <v>4680</v>
      </c>
      <c r="D755" s="2">
        <f>IFERROR(__xludf.DUMMYFUNCTION("""COMPUTED_VALUE"""),4600.0)</f>
        <v>4600</v>
      </c>
      <c r="E755" s="2">
        <f>IFERROR(__xludf.DUMMYFUNCTION("""COMPUTED_VALUE"""),4640.0)</f>
        <v>4640</v>
      </c>
      <c r="F755" s="2">
        <f>IFERROR(__xludf.DUMMYFUNCTION("""COMPUTED_VALUE"""),1.782826E8)</f>
        <v>178282600</v>
      </c>
      <c r="G755" s="2">
        <f t="shared" si="1"/>
        <v>90</v>
      </c>
    </row>
    <row r="756" ht="15.75" customHeight="1">
      <c r="A756" s="1">
        <f>IFERROR(__xludf.DUMMYFUNCTION("""COMPUTED_VALUE"""),44956.66666666667)</f>
        <v>44956.66667</v>
      </c>
      <c r="B756" s="2">
        <f>IFERROR(__xludf.DUMMYFUNCTION("""COMPUTED_VALUE"""),4650.0)</f>
        <v>4650</v>
      </c>
      <c r="C756" s="2">
        <f>IFERROR(__xludf.DUMMYFUNCTION("""COMPUTED_VALUE"""),4680.0)</f>
        <v>4680</v>
      </c>
      <c r="D756" s="2">
        <f>IFERROR(__xludf.DUMMYFUNCTION("""COMPUTED_VALUE"""),4570.0)</f>
        <v>4570</v>
      </c>
      <c r="E756" s="2">
        <f>IFERROR(__xludf.DUMMYFUNCTION("""COMPUTED_VALUE"""),4610.0)</f>
        <v>4610</v>
      </c>
      <c r="F756" s="2">
        <f>IFERROR(__xludf.DUMMYFUNCTION("""COMPUTED_VALUE"""),1.859724E8)</f>
        <v>185972400</v>
      </c>
      <c r="G756" s="2">
        <f t="shared" si="1"/>
        <v>110</v>
      </c>
    </row>
    <row r="757" ht="15.75" customHeight="1">
      <c r="A757" s="1">
        <f>IFERROR(__xludf.DUMMYFUNCTION("""COMPUTED_VALUE"""),44957.66666666667)</f>
        <v>44957.66667</v>
      </c>
      <c r="B757" s="2">
        <f>IFERROR(__xludf.DUMMYFUNCTION("""COMPUTED_VALUE"""),4610.0)</f>
        <v>4610</v>
      </c>
      <c r="C757" s="2">
        <f>IFERROR(__xludf.DUMMYFUNCTION("""COMPUTED_VALUE"""),4620.0)</f>
        <v>4620</v>
      </c>
      <c r="D757" s="2">
        <f>IFERROR(__xludf.DUMMYFUNCTION("""COMPUTED_VALUE"""),4570.0)</f>
        <v>4570</v>
      </c>
      <c r="E757" s="2">
        <f>IFERROR(__xludf.DUMMYFUNCTION("""COMPUTED_VALUE"""),4580.0)</f>
        <v>4580</v>
      </c>
      <c r="F757" s="2">
        <f>IFERROR(__xludf.DUMMYFUNCTION("""COMPUTED_VALUE"""),2.800392E8)</f>
        <v>280039200</v>
      </c>
      <c r="G757" s="2">
        <f t="shared" si="1"/>
        <v>50</v>
      </c>
    </row>
    <row r="758" ht="15.75" customHeight="1">
      <c r="A758" s="1">
        <f>IFERROR(__xludf.DUMMYFUNCTION("""COMPUTED_VALUE"""),44958.66666666667)</f>
        <v>44958.66667</v>
      </c>
      <c r="B758" s="2">
        <f>IFERROR(__xludf.DUMMYFUNCTION("""COMPUTED_VALUE"""),4630.0)</f>
        <v>4630</v>
      </c>
      <c r="C758" s="2">
        <f>IFERROR(__xludf.DUMMYFUNCTION("""COMPUTED_VALUE"""),4690.0)</f>
        <v>4690</v>
      </c>
      <c r="D758" s="2">
        <f>IFERROR(__xludf.DUMMYFUNCTION("""COMPUTED_VALUE"""),4620.0)</f>
        <v>4620</v>
      </c>
      <c r="E758" s="2">
        <f>IFERROR(__xludf.DUMMYFUNCTION("""COMPUTED_VALUE"""),4680.0)</f>
        <v>4680</v>
      </c>
      <c r="F758" s="2">
        <f>IFERROR(__xludf.DUMMYFUNCTION("""COMPUTED_VALUE"""),1.818493E8)</f>
        <v>181849300</v>
      </c>
      <c r="G758" s="2">
        <f t="shared" si="1"/>
        <v>110</v>
      </c>
    </row>
    <row r="759" ht="15.75" customHeight="1">
      <c r="A759" s="1">
        <f>IFERROR(__xludf.DUMMYFUNCTION("""COMPUTED_VALUE"""),44959.66666666667)</f>
        <v>44959.66667</v>
      </c>
      <c r="B759" s="2">
        <f>IFERROR(__xludf.DUMMYFUNCTION("""COMPUTED_VALUE"""),4650.0)</f>
        <v>4650</v>
      </c>
      <c r="C759" s="2">
        <f>IFERROR(__xludf.DUMMYFUNCTION("""COMPUTED_VALUE"""),4680.0)</f>
        <v>4680</v>
      </c>
      <c r="D759" s="2">
        <f>IFERROR(__xludf.DUMMYFUNCTION("""COMPUTED_VALUE"""),4600.0)</f>
        <v>4600</v>
      </c>
      <c r="E759" s="2">
        <f>IFERROR(__xludf.DUMMYFUNCTION("""COMPUTED_VALUE"""),4600.0)</f>
        <v>4600</v>
      </c>
      <c r="F759" s="2">
        <f>IFERROR(__xludf.DUMMYFUNCTION("""COMPUTED_VALUE"""),1.454134E8)</f>
        <v>145413400</v>
      </c>
      <c r="G759" s="2">
        <f t="shared" si="1"/>
        <v>80</v>
      </c>
    </row>
    <row r="760" ht="15.75" customHeight="1">
      <c r="A760" s="1">
        <f>IFERROR(__xludf.DUMMYFUNCTION("""COMPUTED_VALUE"""),44960.66666666667)</f>
        <v>44960.66667</v>
      </c>
      <c r="B760" s="2">
        <f>IFERROR(__xludf.DUMMYFUNCTION("""COMPUTED_VALUE"""),4650.0)</f>
        <v>4650</v>
      </c>
      <c r="C760" s="2">
        <f>IFERROR(__xludf.DUMMYFUNCTION("""COMPUTED_VALUE"""),4780.0)</f>
        <v>4780</v>
      </c>
      <c r="D760" s="2">
        <f>IFERROR(__xludf.DUMMYFUNCTION("""COMPUTED_VALUE"""),4630.0)</f>
        <v>4630</v>
      </c>
      <c r="E760" s="2">
        <f>IFERROR(__xludf.DUMMYFUNCTION("""COMPUTED_VALUE"""),4750.0)</f>
        <v>4750</v>
      </c>
      <c r="F760" s="2">
        <f>IFERROR(__xludf.DUMMYFUNCTION("""COMPUTED_VALUE"""),1.984799E8)</f>
        <v>198479900</v>
      </c>
      <c r="G760" s="2">
        <f t="shared" si="1"/>
        <v>180</v>
      </c>
    </row>
    <row r="761" ht="15.75" customHeight="1">
      <c r="A761" s="1">
        <f>IFERROR(__xludf.DUMMYFUNCTION("""COMPUTED_VALUE"""),44963.66666666667)</f>
        <v>44963.66667</v>
      </c>
      <c r="B761" s="2">
        <f>IFERROR(__xludf.DUMMYFUNCTION("""COMPUTED_VALUE"""),4780.0)</f>
        <v>4780</v>
      </c>
      <c r="C761" s="2">
        <f>IFERROR(__xludf.DUMMYFUNCTION("""COMPUTED_VALUE"""),4810.0)</f>
        <v>4810</v>
      </c>
      <c r="D761" s="2">
        <f>IFERROR(__xludf.DUMMYFUNCTION("""COMPUTED_VALUE"""),4680.0)</f>
        <v>4680</v>
      </c>
      <c r="E761" s="2">
        <f>IFERROR(__xludf.DUMMYFUNCTION("""COMPUTED_VALUE"""),4740.0)</f>
        <v>4740</v>
      </c>
      <c r="F761" s="2">
        <f>IFERROR(__xludf.DUMMYFUNCTION("""COMPUTED_VALUE"""),1.413663E8)</f>
        <v>141366300</v>
      </c>
      <c r="G761" s="2">
        <f t="shared" si="1"/>
        <v>130</v>
      </c>
    </row>
    <row r="762" ht="15.75" customHeight="1">
      <c r="A762" s="1">
        <f>IFERROR(__xludf.DUMMYFUNCTION("""COMPUTED_VALUE"""),44964.66666666667)</f>
        <v>44964.66667</v>
      </c>
      <c r="B762" s="2">
        <f>IFERROR(__xludf.DUMMYFUNCTION("""COMPUTED_VALUE"""),4740.0)</f>
        <v>4740</v>
      </c>
      <c r="C762" s="2">
        <f>IFERROR(__xludf.DUMMYFUNCTION("""COMPUTED_VALUE"""),4790.0)</f>
        <v>4790</v>
      </c>
      <c r="D762" s="2">
        <f>IFERROR(__xludf.DUMMYFUNCTION("""COMPUTED_VALUE"""),4720.0)</f>
        <v>4720</v>
      </c>
      <c r="E762" s="2">
        <f>IFERROR(__xludf.DUMMYFUNCTION("""COMPUTED_VALUE"""),4750.0)</f>
        <v>4750</v>
      </c>
      <c r="F762" s="2">
        <f>IFERROR(__xludf.DUMMYFUNCTION("""COMPUTED_VALUE"""),1.409231E8)</f>
        <v>140923100</v>
      </c>
      <c r="G762" s="2">
        <f t="shared" si="1"/>
        <v>70</v>
      </c>
    </row>
    <row r="763" ht="15.75" customHeight="1">
      <c r="A763" s="1">
        <f>IFERROR(__xludf.DUMMYFUNCTION("""COMPUTED_VALUE"""),44965.66666666667)</f>
        <v>44965.66667</v>
      </c>
      <c r="B763" s="2">
        <f>IFERROR(__xludf.DUMMYFUNCTION("""COMPUTED_VALUE"""),4710.0)</f>
        <v>4710</v>
      </c>
      <c r="C763" s="2">
        <f>IFERROR(__xludf.DUMMYFUNCTION("""COMPUTED_VALUE"""),4790.0)</f>
        <v>4790</v>
      </c>
      <c r="D763" s="2">
        <f>IFERROR(__xludf.DUMMYFUNCTION("""COMPUTED_VALUE"""),4710.0)</f>
        <v>4710</v>
      </c>
      <c r="E763" s="2">
        <f>IFERROR(__xludf.DUMMYFUNCTION("""COMPUTED_VALUE"""),4790.0)</f>
        <v>4790</v>
      </c>
      <c r="F763" s="2">
        <f>IFERROR(__xludf.DUMMYFUNCTION("""COMPUTED_VALUE"""),1.685995E8)</f>
        <v>168599500</v>
      </c>
      <c r="G763" s="2">
        <f t="shared" si="1"/>
        <v>80</v>
      </c>
    </row>
    <row r="764" ht="15.75" customHeight="1">
      <c r="A764" s="1">
        <f>IFERROR(__xludf.DUMMYFUNCTION("""COMPUTED_VALUE"""),44966.66666666667)</f>
        <v>44966.66667</v>
      </c>
      <c r="B764" s="2">
        <f>IFERROR(__xludf.DUMMYFUNCTION("""COMPUTED_VALUE"""),4790.0)</f>
        <v>4790</v>
      </c>
      <c r="C764" s="2">
        <f>IFERROR(__xludf.DUMMYFUNCTION("""COMPUTED_VALUE"""),4840.0)</f>
        <v>4840</v>
      </c>
      <c r="D764" s="2">
        <f>IFERROR(__xludf.DUMMYFUNCTION("""COMPUTED_VALUE"""),4770.0)</f>
        <v>4770</v>
      </c>
      <c r="E764" s="2">
        <f>IFERROR(__xludf.DUMMYFUNCTION("""COMPUTED_VALUE"""),4810.0)</f>
        <v>4810</v>
      </c>
      <c r="F764" s="2">
        <f>IFERROR(__xludf.DUMMYFUNCTION("""COMPUTED_VALUE"""),1.774007E8)</f>
        <v>177400700</v>
      </c>
      <c r="G764" s="2">
        <f t="shared" si="1"/>
        <v>70</v>
      </c>
    </row>
    <row r="765" ht="15.75" customHeight="1">
      <c r="A765" s="1">
        <f>IFERROR(__xludf.DUMMYFUNCTION("""COMPUTED_VALUE"""),44967.66666666667)</f>
        <v>44967.66667</v>
      </c>
      <c r="B765" s="2">
        <f>IFERROR(__xludf.DUMMYFUNCTION("""COMPUTED_VALUE"""),4840.0)</f>
        <v>4840</v>
      </c>
      <c r="C765" s="2">
        <f>IFERROR(__xludf.DUMMYFUNCTION("""COMPUTED_VALUE"""),4880.0)</f>
        <v>4880</v>
      </c>
      <c r="D765" s="2">
        <f>IFERROR(__xludf.DUMMYFUNCTION("""COMPUTED_VALUE"""),4770.0)</f>
        <v>4770</v>
      </c>
      <c r="E765" s="2">
        <f>IFERROR(__xludf.DUMMYFUNCTION("""COMPUTED_VALUE"""),4860.0)</f>
        <v>4860</v>
      </c>
      <c r="F765" s="2">
        <f>IFERROR(__xludf.DUMMYFUNCTION("""COMPUTED_VALUE"""),1.811466E8)</f>
        <v>181146600</v>
      </c>
      <c r="G765" s="2">
        <f t="shared" si="1"/>
        <v>110</v>
      </c>
    </row>
    <row r="766" ht="15.75" customHeight="1">
      <c r="A766" s="1">
        <f>IFERROR(__xludf.DUMMYFUNCTION("""COMPUTED_VALUE"""),44970.66666666667)</f>
        <v>44970.66667</v>
      </c>
      <c r="B766" s="2">
        <f>IFERROR(__xludf.DUMMYFUNCTION("""COMPUTED_VALUE"""),4900.0)</f>
        <v>4900</v>
      </c>
      <c r="C766" s="2">
        <f>IFERROR(__xludf.DUMMYFUNCTION("""COMPUTED_VALUE"""),4900.0)</f>
        <v>4900</v>
      </c>
      <c r="D766" s="2">
        <f>IFERROR(__xludf.DUMMYFUNCTION("""COMPUTED_VALUE"""),4800.0)</f>
        <v>4800</v>
      </c>
      <c r="E766" s="2">
        <f>IFERROR(__xludf.DUMMYFUNCTION("""COMPUTED_VALUE"""),4800.0)</f>
        <v>4800</v>
      </c>
      <c r="F766" s="2">
        <f>IFERROR(__xludf.DUMMYFUNCTION("""COMPUTED_VALUE"""),1.445694E8)</f>
        <v>144569400</v>
      </c>
      <c r="G766" s="2">
        <f t="shared" si="1"/>
        <v>100</v>
      </c>
    </row>
    <row r="767" ht="15.75" customHeight="1">
      <c r="A767" s="1">
        <f>IFERROR(__xludf.DUMMYFUNCTION("""COMPUTED_VALUE"""),44971.66666666667)</f>
        <v>44971.66667</v>
      </c>
      <c r="B767" s="2">
        <f>IFERROR(__xludf.DUMMYFUNCTION("""COMPUTED_VALUE"""),4820.0)</f>
        <v>4820</v>
      </c>
      <c r="C767" s="2">
        <f>IFERROR(__xludf.DUMMYFUNCTION("""COMPUTED_VALUE"""),4870.0)</f>
        <v>4870</v>
      </c>
      <c r="D767" s="2">
        <f>IFERROR(__xludf.DUMMYFUNCTION("""COMPUTED_VALUE"""),4810.0)</f>
        <v>4810</v>
      </c>
      <c r="E767" s="2">
        <f>IFERROR(__xludf.DUMMYFUNCTION("""COMPUTED_VALUE"""),4870.0)</f>
        <v>4870</v>
      </c>
      <c r="F767" s="2">
        <f>IFERROR(__xludf.DUMMYFUNCTION("""COMPUTED_VALUE"""),1.209952E8)</f>
        <v>120995200</v>
      </c>
      <c r="G767" s="2">
        <f t="shared" si="1"/>
        <v>70</v>
      </c>
    </row>
    <row r="768" ht="15.75" customHeight="1">
      <c r="A768" s="1">
        <f>IFERROR(__xludf.DUMMYFUNCTION("""COMPUTED_VALUE"""),44972.66666666667)</f>
        <v>44972.66667</v>
      </c>
      <c r="B768" s="2">
        <f>IFERROR(__xludf.DUMMYFUNCTION("""COMPUTED_VALUE"""),4890.0)</f>
        <v>4890</v>
      </c>
      <c r="C768" s="2">
        <f>IFERROR(__xludf.DUMMYFUNCTION("""COMPUTED_VALUE"""),4890.0)</f>
        <v>4890</v>
      </c>
      <c r="D768" s="2">
        <f>IFERROR(__xludf.DUMMYFUNCTION("""COMPUTED_VALUE"""),4810.0)</f>
        <v>4810</v>
      </c>
      <c r="E768" s="2">
        <f>IFERROR(__xludf.DUMMYFUNCTION("""COMPUTED_VALUE"""),4870.0)</f>
        <v>4870</v>
      </c>
      <c r="F768" s="2">
        <f>IFERROR(__xludf.DUMMYFUNCTION("""COMPUTED_VALUE"""),8.45754E7)</f>
        <v>84575400</v>
      </c>
      <c r="G768" s="2">
        <f t="shared" si="1"/>
        <v>80</v>
      </c>
    </row>
    <row r="769" ht="15.75" customHeight="1">
      <c r="A769" s="1">
        <f>IFERROR(__xludf.DUMMYFUNCTION("""COMPUTED_VALUE"""),44973.66666666667)</f>
        <v>44973.66667</v>
      </c>
      <c r="B769" s="2">
        <f>IFERROR(__xludf.DUMMYFUNCTION("""COMPUTED_VALUE"""),4890.0)</f>
        <v>4890</v>
      </c>
      <c r="C769" s="2">
        <f>IFERROR(__xludf.DUMMYFUNCTION("""COMPUTED_VALUE"""),4890.0)</f>
        <v>4890</v>
      </c>
      <c r="D769" s="2">
        <f>IFERROR(__xludf.DUMMYFUNCTION("""COMPUTED_VALUE"""),4850.0)</f>
        <v>4850</v>
      </c>
      <c r="E769" s="2">
        <f>IFERROR(__xludf.DUMMYFUNCTION("""COMPUTED_VALUE"""),4870.0)</f>
        <v>4870</v>
      </c>
      <c r="F769" s="2">
        <f>IFERROR(__xludf.DUMMYFUNCTION("""COMPUTED_VALUE"""),6.99662E7)</f>
        <v>69966200</v>
      </c>
      <c r="G769" s="2">
        <f t="shared" si="1"/>
        <v>40</v>
      </c>
    </row>
    <row r="770" ht="15.75" customHeight="1">
      <c r="A770" s="1">
        <f>IFERROR(__xludf.DUMMYFUNCTION("""COMPUTED_VALUE"""),44974.66666666667)</f>
        <v>44974.66667</v>
      </c>
      <c r="B770" s="2">
        <f>IFERROR(__xludf.DUMMYFUNCTION("""COMPUTED_VALUE"""),4890.0)</f>
        <v>4890</v>
      </c>
      <c r="C770" s="2">
        <f>IFERROR(__xludf.DUMMYFUNCTION("""COMPUTED_VALUE"""),4890.0)</f>
        <v>4890</v>
      </c>
      <c r="D770" s="2">
        <f>IFERROR(__xludf.DUMMYFUNCTION("""COMPUTED_VALUE"""),4830.0)</f>
        <v>4830</v>
      </c>
      <c r="E770" s="2">
        <f>IFERROR(__xludf.DUMMYFUNCTION("""COMPUTED_VALUE"""),4880.0)</f>
        <v>4880</v>
      </c>
      <c r="F770" s="2">
        <f>IFERROR(__xludf.DUMMYFUNCTION("""COMPUTED_VALUE"""),1.040193E8)</f>
        <v>104019300</v>
      </c>
      <c r="G770" s="2">
        <f t="shared" si="1"/>
        <v>60</v>
      </c>
    </row>
    <row r="771" ht="15.75" customHeight="1">
      <c r="A771" s="1">
        <f>IFERROR(__xludf.DUMMYFUNCTION("""COMPUTED_VALUE"""),44977.66666666667)</f>
        <v>44977.66667</v>
      </c>
      <c r="B771" s="2">
        <f>IFERROR(__xludf.DUMMYFUNCTION("""COMPUTED_VALUE"""),4900.0)</f>
        <v>4900</v>
      </c>
      <c r="C771" s="2">
        <f>IFERROR(__xludf.DUMMYFUNCTION("""COMPUTED_VALUE"""),4900.0)</f>
        <v>4900</v>
      </c>
      <c r="D771" s="2">
        <f>IFERROR(__xludf.DUMMYFUNCTION("""COMPUTED_VALUE"""),4840.0)</f>
        <v>4840</v>
      </c>
      <c r="E771" s="2">
        <f>IFERROR(__xludf.DUMMYFUNCTION("""COMPUTED_VALUE"""),4880.0)</f>
        <v>4880</v>
      </c>
      <c r="F771" s="2">
        <f>IFERROR(__xludf.DUMMYFUNCTION("""COMPUTED_VALUE"""),8.84325E7)</f>
        <v>88432500</v>
      </c>
      <c r="G771" s="2">
        <f t="shared" si="1"/>
        <v>60</v>
      </c>
    </row>
    <row r="772" ht="15.75" customHeight="1">
      <c r="A772" s="1">
        <f>IFERROR(__xludf.DUMMYFUNCTION("""COMPUTED_VALUE"""),44978.66666666667)</f>
        <v>44978.66667</v>
      </c>
      <c r="B772" s="2">
        <f>IFERROR(__xludf.DUMMYFUNCTION("""COMPUTED_VALUE"""),4880.0)</f>
        <v>4880</v>
      </c>
      <c r="C772" s="2">
        <f>IFERROR(__xludf.DUMMYFUNCTION("""COMPUTED_VALUE"""),4880.0)</f>
        <v>4880</v>
      </c>
      <c r="D772" s="2">
        <f>IFERROR(__xludf.DUMMYFUNCTION("""COMPUTED_VALUE"""),4820.0)</f>
        <v>4820</v>
      </c>
      <c r="E772" s="2">
        <f>IFERROR(__xludf.DUMMYFUNCTION("""COMPUTED_VALUE"""),4820.0)</f>
        <v>4820</v>
      </c>
      <c r="F772" s="2">
        <f>IFERROR(__xludf.DUMMYFUNCTION("""COMPUTED_VALUE"""),5.93191E7)</f>
        <v>59319100</v>
      </c>
      <c r="G772" s="2">
        <f t="shared" si="1"/>
        <v>60</v>
      </c>
    </row>
    <row r="773" ht="15.75" customHeight="1">
      <c r="A773" s="1">
        <f>IFERROR(__xludf.DUMMYFUNCTION("""COMPUTED_VALUE"""),44979.66666666667)</f>
        <v>44979.66667</v>
      </c>
      <c r="B773" s="2">
        <f>IFERROR(__xludf.DUMMYFUNCTION("""COMPUTED_VALUE"""),4790.0)</f>
        <v>4790</v>
      </c>
      <c r="C773" s="2">
        <f>IFERROR(__xludf.DUMMYFUNCTION("""COMPUTED_VALUE"""),4810.0)</f>
        <v>4810</v>
      </c>
      <c r="D773" s="2">
        <f>IFERROR(__xludf.DUMMYFUNCTION("""COMPUTED_VALUE"""),4730.0)</f>
        <v>4730</v>
      </c>
      <c r="E773" s="2">
        <f>IFERROR(__xludf.DUMMYFUNCTION("""COMPUTED_VALUE"""),4760.0)</f>
        <v>4760</v>
      </c>
      <c r="F773" s="2">
        <f>IFERROR(__xludf.DUMMYFUNCTION("""COMPUTED_VALUE"""),1.073279E8)</f>
        <v>107327900</v>
      </c>
      <c r="G773" s="2">
        <f t="shared" si="1"/>
        <v>90</v>
      </c>
    </row>
    <row r="774" ht="15.75" customHeight="1">
      <c r="A774" s="1">
        <f>IFERROR(__xludf.DUMMYFUNCTION("""COMPUTED_VALUE"""),44980.66666666667)</f>
        <v>44980.66667</v>
      </c>
      <c r="B774" s="2">
        <f>IFERROR(__xludf.DUMMYFUNCTION("""COMPUTED_VALUE"""),4810.0)</f>
        <v>4810</v>
      </c>
      <c r="C774" s="2">
        <f>IFERROR(__xludf.DUMMYFUNCTION("""COMPUTED_VALUE"""),4810.0)</f>
        <v>4810</v>
      </c>
      <c r="D774" s="2">
        <f>IFERROR(__xludf.DUMMYFUNCTION("""COMPUTED_VALUE"""),4730.0)</f>
        <v>4730</v>
      </c>
      <c r="E774" s="2">
        <f>IFERROR(__xludf.DUMMYFUNCTION("""COMPUTED_VALUE"""),4800.0)</f>
        <v>4800</v>
      </c>
      <c r="F774" s="2">
        <f>IFERROR(__xludf.DUMMYFUNCTION("""COMPUTED_VALUE"""),1.391445E8)</f>
        <v>139144500</v>
      </c>
      <c r="G774" s="2">
        <f t="shared" si="1"/>
        <v>80</v>
      </c>
    </row>
    <row r="775" ht="15.75" customHeight="1">
      <c r="A775" s="1">
        <f>IFERROR(__xludf.DUMMYFUNCTION("""COMPUTED_VALUE"""),44981.66666666667)</f>
        <v>44981.66667</v>
      </c>
      <c r="B775" s="2">
        <f>IFERROR(__xludf.DUMMYFUNCTION("""COMPUTED_VALUE"""),4800.0)</f>
        <v>4800</v>
      </c>
      <c r="C775" s="2">
        <f>IFERROR(__xludf.DUMMYFUNCTION("""COMPUTED_VALUE"""),4840.0)</f>
        <v>4840</v>
      </c>
      <c r="D775" s="2">
        <f>IFERROR(__xludf.DUMMYFUNCTION("""COMPUTED_VALUE"""),4760.0)</f>
        <v>4760</v>
      </c>
      <c r="E775" s="2">
        <f>IFERROR(__xludf.DUMMYFUNCTION("""COMPUTED_VALUE"""),4760.0)</f>
        <v>4760</v>
      </c>
      <c r="F775" s="2">
        <f>IFERROR(__xludf.DUMMYFUNCTION("""COMPUTED_VALUE"""),4.64093E7)</f>
        <v>46409300</v>
      </c>
      <c r="G775" s="2">
        <f t="shared" si="1"/>
        <v>80</v>
      </c>
    </row>
    <row r="776" ht="15.75" customHeight="1">
      <c r="A776" s="1">
        <f>IFERROR(__xludf.DUMMYFUNCTION("""COMPUTED_VALUE"""),44984.66666666667)</f>
        <v>44984.66667</v>
      </c>
      <c r="B776" s="2">
        <f>IFERROR(__xludf.DUMMYFUNCTION("""COMPUTED_VALUE"""),4780.0)</f>
        <v>4780</v>
      </c>
      <c r="C776" s="2">
        <f>IFERROR(__xludf.DUMMYFUNCTION("""COMPUTED_VALUE"""),4810.0)</f>
        <v>4810</v>
      </c>
      <c r="D776" s="2">
        <f>IFERROR(__xludf.DUMMYFUNCTION("""COMPUTED_VALUE"""),4760.0)</f>
        <v>4760</v>
      </c>
      <c r="E776" s="2">
        <f>IFERROR(__xludf.DUMMYFUNCTION("""COMPUTED_VALUE"""),4810.0)</f>
        <v>4810</v>
      </c>
      <c r="F776" s="2">
        <f>IFERROR(__xludf.DUMMYFUNCTION("""COMPUTED_VALUE"""),8.99188E7)</f>
        <v>89918800</v>
      </c>
      <c r="G776" s="2">
        <f t="shared" si="1"/>
        <v>50</v>
      </c>
    </row>
    <row r="777" ht="15.75" customHeight="1">
      <c r="A777" s="1">
        <f>IFERROR(__xludf.DUMMYFUNCTION("""COMPUTED_VALUE"""),44985.66666666667)</f>
        <v>44985.66667</v>
      </c>
      <c r="B777" s="2">
        <f>IFERROR(__xludf.DUMMYFUNCTION("""COMPUTED_VALUE"""),4760.0)</f>
        <v>4760</v>
      </c>
      <c r="C777" s="2">
        <f>IFERROR(__xludf.DUMMYFUNCTION("""COMPUTED_VALUE"""),4790.0)</f>
        <v>4790</v>
      </c>
      <c r="D777" s="2">
        <f>IFERROR(__xludf.DUMMYFUNCTION("""COMPUTED_VALUE"""),4670.0)</f>
        <v>4670</v>
      </c>
      <c r="E777" s="2">
        <f>IFERROR(__xludf.DUMMYFUNCTION("""COMPUTED_VALUE"""),4670.0)</f>
        <v>4670</v>
      </c>
      <c r="F777" s="2">
        <f>IFERROR(__xludf.DUMMYFUNCTION("""COMPUTED_VALUE"""),2.731255E8)</f>
        <v>273125500</v>
      </c>
      <c r="G777" s="2">
        <f t="shared" si="1"/>
        <v>140</v>
      </c>
    </row>
    <row r="778" ht="15.75" customHeight="1">
      <c r="A778" s="1">
        <f>IFERROR(__xludf.DUMMYFUNCTION("""COMPUTED_VALUE"""),44986.66666666667)</f>
        <v>44986.66667</v>
      </c>
      <c r="B778" s="2">
        <f>IFERROR(__xludf.DUMMYFUNCTION("""COMPUTED_VALUE"""),4730.0)</f>
        <v>4730</v>
      </c>
      <c r="C778" s="2">
        <f>IFERROR(__xludf.DUMMYFUNCTION("""COMPUTED_VALUE"""),4750.0)</f>
        <v>4750</v>
      </c>
      <c r="D778" s="2">
        <f>IFERROR(__xludf.DUMMYFUNCTION("""COMPUTED_VALUE"""),4700.0)</f>
        <v>4700</v>
      </c>
      <c r="E778" s="2">
        <f>IFERROR(__xludf.DUMMYFUNCTION("""COMPUTED_VALUE"""),4720.0)</f>
        <v>4720</v>
      </c>
      <c r="F778" s="2">
        <f>IFERROR(__xludf.DUMMYFUNCTION("""COMPUTED_VALUE"""),1.155786E8)</f>
        <v>115578600</v>
      </c>
      <c r="G778" s="2">
        <f t="shared" si="1"/>
        <v>80</v>
      </c>
    </row>
    <row r="779" ht="15.75" customHeight="1">
      <c r="A779" s="1">
        <f>IFERROR(__xludf.DUMMYFUNCTION("""COMPUTED_VALUE"""),44987.66666666667)</f>
        <v>44987.66667</v>
      </c>
      <c r="B779" s="2">
        <f>IFERROR(__xludf.DUMMYFUNCTION("""COMPUTED_VALUE"""),4750.0)</f>
        <v>4750</v>
      </c>
      <c r="C779" s="2">
        <f>IFERROR(__xludf.DUMMYFUNCTION("""COMPUTED_VALUE"""),4780.0)</f>
        <v>4780</v>
      </c>
      <c r="D779" s="2">
        <f>IFERROR(__xludf.DUMMYFUNCTION("""COMPUTED_VALUE"""),4720.0)</f>
        <v>4720</v>
      </c>
      <c r="E779" s="2">
        <f>IFERROR(__xludf.DUMMYFUNCTION("""COMPUTED_VALUE"""),4780.0)</f>
        <v>4780</v>
      </c>
      <c r="F779" s="2">
        <f>IFERROR(__xludf.DUMMYFUNCTION("""COMPUTED_VALUE"""),5.93779E7)</f>
        <v>59377900</v>
      </c>
      <c r="G779" s="2">
        <f t="shared" si="1"/>
        <v>60</v>
      </c>
    </row>
    <row r="780" ht="15.75" customHeight="1">
      <c r="A780" s="1">
        <f>IFERROR(__xludf.DUMMYFUNCTION("""COMPUTED_VALUE"""),44988.66666666667)</f>
        <v>44988.66667</v>
      </c>
      <c r="B780" s="2">
        <f>IFERROR(__xludf.DUMMYFUNCTION("""COMPUTED_VALUE"""),4800.0)</f>
        <v>4800</v>
      </c>
      <c r="C780" s="2">
        <f>IFERROR(__xludf.DUMMYFUNCTION("""COMPUTED_VALUE"""),4800.0)</f>
        <v>4800</v>
      </c>
      <c r="D780" s="2">
        <f>IFERROR(__xludf.DUMMYFUNCTION("""COMPUTED_VALUE"""),4730.0)</f>
        <v>4730</v>
      </c>
      <c r="E780" s="2">
        <f>IFERROR(__xludf.DUMMYFUNCTION("""COMPUTED_VALUE"""),4760.0)</f>
        <v>4760</v>
      </c>
      <c r="F780" s="2">
        <f>IFERROR(__xludf.DUMMYFUNCTION("""COMPUTED_VALUE"""),8.4777E7)</f>
        <v>84777000</v>
      </c>
      <c r="G780" s="2">
        <f t="shared" si="1"/>
        <v>70</v>
      </c>
    </row>
    <row r="781" ht="15.75" customHeight="1">
      <c r="A781" s="1">
        <f>IFERROR(__xludf.DUMMYFUNCTION("""COMPUTED_VALUE"""),44991.66666666667)</f>
        <v>44991.66667</v>
      </c>
      <c r="B781" s="2">
        <f>IFERROR(__xludf.DUMMYFUNCTION("""COMPUTED_VALUE"""),4790.0)</f>
        <v>4790</v>
      </c>
      <c r="C781" s="2">
        <f>IFERROR(__xludf.DUMMYFUNCTION("""COMPUTED_VALUE"""),4800.0)</f>
        <v>4800</v>
      </c>
      <c r="D781" s="2">
        <f>IFERROR(__xludf.DUMMYFUNCTION("""COMPUTED_VALUE"""),4780.0)</f>
        <v>4780</v>
      </c>
      <c r="E781" s="2">
        <f>IFERROR(__xludf.DUMMYFUNCTION("""COMPUTED_VALUE"""),4790.0)</f>
        <v>4790</v>
      </c>
      <c r="F781" s="2">
        <f>IFERROR(__xludf.DUMMYFUNCTION("""COMPUTED_VALUE"""),7.8292E7)</f>
        <v>78292000</v>
      </c>
      <c r="G781" s="2">
        <f t="shared" si="1"/>
        <v>40</v>
      </c>
    </row>
    <row r="782" ht="15.75" customHeight="1">
      <c r="A782" s="1">
        <f>IFERROR(__xludf.DUMMYFUNCTION("""COMPUTED_VALUE"""),44992.66666666667)</f>
        <v>44992.66667</v>
      </c>
      <c r="B782" s="2">
        <f>IFERROR(__xludf.DUMMYFUNCTION("""COMPUTED_VALUE"""),4770.0)</f>
        <v>4770</v>
      </c>
      <c r="C782" s="2">
        <f>IFERROR(__xludf.DUMMYFUNCTION("""COMPUTED_VALUE"""),4850.0)</f>
        <v>4850</v>
      </c>
      <c r="D782" s="2">
        <f>IFERROR(__xludf.DUMMYFUNCTION("""COMPUTED_VALUE"""),4770.0)</f>
        <v>4770</v>
      </c>
      <c r="E782" s="2">
        <f>IFERROR(__xludf.DUMMYFUNCTION("""COMPUTED_VALUE"""),4840.0)</f>
        <v>4840</v>
      </c>
      <c r="F782" s="2">
        <f>IFERROR(__xludf.DUMMYFUNCTION("""COMPUTED_VALUE"""),1.119537E8)</f>
        <v>111953700</v>
      </c>
      <c r="G782" s="2">
        <f t="shared" si="1"/>
        <v>80</v>
      </c>
    </row>
    <row r="783" ht="15.75" customHeight="1">
      <c r="A783" s="1">
        <f>IFERROR(__xludf.DUMMYFUNCTION("""COMPUTED_VALUE"""),44993.66666666667)</f>
        <v>44993.66667</v>
      </c>
      <c r="B783" s="2">
        <f>IFERROR(__xludf.DUMMYFUNCTION("""COMPUTED_VALUE"""),4850.0)</f>
        <v>4850</v>
      </c>
      <c r="C783" s="2">
        <f>IFERROR(__xludf.DUMMYFUNCTION("""COMPUTED_VALUE"""),4850.0)</f>
        <v>4850</v>
      </c>
      <c r="D783" s="2">
        <f>IFERROR(__xludf.DUMMYFUNCTION("""COMPUTED_VALUE"""),4820.0)</f>
        <v>4820</v>
      </c>
      <c r="E783" s="2">
        <f>IFERROR(__xludf.DUMMYFUNCTION("""COMPUTED_VALUE"""),4840.0)</f>
        <v>4840</v>
      </c>
      <c r="F783" s="2">
        <f>IFERROR(__xludf.DUMMYFUNCTION("""COMPUTED_VALUE"""),1.257661E8)</f>
        <v>125766100</v>
      </c>
      <c r="G783" s="2">
        <f t="shared" si="1"/>
        <v>30</v>
      </c>
    </row>
    <row r="784" ht="15.75" customHeight="1">
      <c r="A784" s="1">
        <f>IFERROR(__xludf.DUMMYFUNCTION("""COMPUTED_VALUE"""),44994.66666666667)</f>
        <v>44994.66667</v>
      </c>
      <c r="B784" s="2">
        <f>IFERROR(__xludf.DUMMYFUNCTION("""COMPUTED_VALUE"""),4860.0)</f>
        <v>4860</v>
      </c>
      <c r="C784" s="2">
        <f>IFERROR(__xludf.DUMMYFUNCTION("""COMPUTED_VALUE"""),4870.0)</f>
        <v>4870</v>
      </c>
      <c r="D784" s="2">
        <f>IFERROR(__xludf.DUMMYFUNCTION("""COMPUTED_VALUE"""),4810.0)</f>
        <v>4810</v>
      </c>
      <c r="E784" s="2">
        <f>IFERROR(__xludf.DUMMYFUNCTION("""COMPUTED_VALUE"""),4810.0)</f>
        <v>4810</v>
      </c>
      <c r="F784" s="2">
        <f>IFERROR(__xludf.DUMMYFUNCTION("""COMPUTED_VALUE"""),7.95397E7)</f>
        <v>79539700</v>
      </c>
      <c r="G784" s="2">
        <f t="shared" si="1"/>
        <v>60</v>
      </c>
    </row>
    <row r="785" ht="15.75" customHeight="1">
      <c r="A785" s="1">
        <f>IFERROR(__xludf.DUMMYFUNCTION("""COMPUTED_VALUE"""),44995.66666666667)</f>
        <v>44995.66667</v>
      </c>
      <c r="B785" s="2">
        <f>IFERROR(__xludf.DUMMYFUNCTION("""COMPUTED_VALUE"""),4820.0)</f>
        <v>4820</v>
      </c>
      <c r="C785" s="2">
        <f>IFERROR(__xludf.DUMMYFUNCTION("""COMPUTED_VALUE"""),4830.0)</f>
        <v>4830</v>
      </c>
      <c r="D785" s="2">
        <f>IFERROR(__xludf.DUMMYFUNCTION("""COMPUTED_VALUE"""),4800.0)</f>
        <v>4800</v>
      </c>
      <c r="E785" s="2">
        <f>IFERROR(__xludf.DUMMYFUNCTION("""COMPUTED_VALUE"""),4820.0)</f>
        <v>4820</v>
      </c>
      <c r="F785" s="2">
        <f>IFERROR(__xludf.DUMMYFUNCTION("""COMPUTED_VALUE"""),1.251405E8)</f>
        <v>125140500</v>
      </c>
      <c r="G785" s="2">
        <f t="shared" si="1"/>
        <v>30</v>
      </c>
    </row>
    <row r="786" ht="15.75" customHeight="1">
      <c r="A786" s="1">
        <f>IFERROR(__xludf.DUMMYFUNCTION("""COMPUTED_VALUE"""),44998.66666666667)</f>
        <v>44998.66667</v>
      </c>
      <c r="B786" s="2">
        <f>IFERROR(__xludf.DUMMYFUNCTION("""COMPUTED_VALUE"""),4810.0)</f>
        <v>4810</v>
      </c>
      <c r="C786" s="2">
        <f>IFERROR(__xludf.DUMMYFUNCTION("""COMPUTED_VALUE"""),4870.0)</f>
        <v>4870</v>
      </c>
      <c r="D786" s="2">
        <f>IFERROR(__xludf.DUMMYFUNCTION("""COMPUTED_VALUE"""),4770.0)</f>
        <v>4770</v>
      </c>
      <c r="E786" s="2">
        <f>IFERROR(__xludf.DUMMYFUNCTION("""COMPUTED_VALUE"""),4830.0)</f>
        <v>4830</v>
      </c>
      <c r="F786" s="2">
        <f>IFERROR(__xludf.DUMMYFUNCTION("""COMPUTED_VALUE"""),1.067693E8)</f>
        <v>106769300</v>
      </c>
      <c r="G786" s="2">
        <f t="shared" si="1"/>
        <v>100</v>
      </c>
    </row>
    <row r="787" ht="15.75" customHeight="1">
      <c r="A787" s="1">
        <f>IFERROR(__xludf.DUMMYFUNCTION("""COMPUTED_VALUE"""),44999.66666666667)</f>
        <v>44999.66667</v>
      </c>
      <c r="B787" s="2">
        <f>IFERROR(__xludf.DUMMYFUNCTION("""COMPUTED_VALUE"""),4770.0)</f>
        <v>4770</v>
      </c>
      <c r="C787" s="2">
        <f>IFERROR(__xludf.DUMMYFUNCTION("""COMPUTED_VALUE"""),4790.0)</f>
        <v>4790</v>
      </c>
      <c r="D787" s="2">
        <f>IFERROR(__xludf.DUMMYFUNCTION("""COMPUTED_VALUE"""),4690.0)</f>
        <v>4690</v>
      </c>
      <c r="E787" s="2">
        <f>IFERROR(__xludf.DUMMYFUNCTION("""COMPUTED_VALUE"""),4710.0)</f>
        <v>4710</v>
      </c>
      <c r="F787" s="2">
        <f>IFERROR(__xludf.DUMMYFUNCTION("""COMPUTED_VALUE"""),1.924444E8)</f>
        <v>192444400</v>
      </c>
      <c r="G787" s="2">
        <f t="shared" si="1"/>
        <v>140</v>
      </c>
    </row>
    <row r="788" ht="15.75" customHeight="1">
      <c r="A788" s="1">
        <f>IFERROR(__xludf.DUMMYFUNCTION("""COMPUTED_VALUE"""),45000.66666666667)</f>
        <v>45000.66667</v>
      </c>
      <c r="B788" s="2">
        <f>IFERROR(__xludf.DUMMYFUNCTION("""COMPUTED_VALUE"""),4760.0)</f>
        <v>4760</v>
      </c>
      <c r="C788" s="2">
        <f>IFERROR(__xludf.DUMMYFUNCTION("""COMPUTED_VALUE"""),4770.0)</f>
        <v>4770</v>
      </c>
      <c r="D788" s="2">
        <f>IFERROR(__xludf.DUMMYFUNCTION("""COMPUTED_VALUE"""),4700.0)</f>
        <v>4700</v>
      </c>
      <c r="E788" s="2">
        <f>IFERROR(__xludf.DUMMYFUNCTION("""COMPUTED_VALUE"""),4700.0)</f>
        <v>4700</v>
      </c>
      <c r="F788" s="2">
        <f>IFERROR(__xludf.DUMMYFUNCTION("""COMPUTED_VALUE"""),1.077612E8)</f>
        <v>107761200</v>
      </c>
      <c r="G788" s="2">
        <f t="shared" si="1"/>
        <v>70</v>
      </c>
    </row>
    <row r="789" ht="15.75" customHeight="1">
      <c r="A789" s="1">
        <f>IFERROR(__xludf.DUMMYFUNCTION("""COMPUTED_VALUE"""),45001.66666666667)</f>
        <v>45001.66667</v>
      </c>
      <c r="B789" s="2">
        <f>IFERROR(__xludf.DUMMYFUNCTION("""COMPUTED_VALUE"""),4700.0)</f>
        <v>4700</v>
      </c>
      <c r="C789" s="2">
        <f>IFERROR(__xludf.DUMMYFUNCTION("""COMPUTED_VALUE"""),4750.0)</f>
        <v>4750</v>
      </c>
      <c r="D789" s="2">
        <f>IFERROR(__xludf.DUMMYFUNCTION("""COMPUTED_VALUE"""),4640.0)</f>
        <v>4640</v>
      </c>
      <c r="E789" s="2">
        <f>IFERROR(__xludf.DUMMYFUNCTION("""COMPUTED_VALUE"""),4730.0)</f>
        <v>4730</v>
      </c>
      <c r="F789" s="2">
        <f>IFERROR(__xludf.DUMMYFUNCTION("""COMPUTED_VALUE"""),1.559845E8)</f>
        <v>155984500</v>
      </c>
      <c r="G789" s="2">
        <f t="shared" si="1"/>
        <v>110</v>
      </c>
    </row>
    <row r="790" ht="15.75" customHeight="1">
      <c r="A790" s="1">
        <f>IFERROR(__xludf.DUMMYFUNCTION("""COMPUTED_VALUE"""),45002.66666666667)</f>
        <v>45002.66667</v>
      </c>
      <c r="B790" s="2">
        <f>IFERROR(__xludf.DUMMYFUNCTION("""COMPUTED_VALUE"""),4770.0)</f>
        <v>4770</v>
      </c>
      <c r="C790" s="2">
        <f>IFERROR(__xludf.DUMMYFUNCTION("""COMPUTED_VALUE"""),4900.0)</f>
        <v>4900</v>
      </c>
      <c r="D790" s="2">
        <f>IFERROR(__xludf.DUMMYFUNCTION("""COMPUTED_VALUE"""),4750.0)</f>
        <v>4750</v>
      </c>
      <c r="E790" s="2">
        <f>IFERROR(__xludf.DUMMYFUNCTION("""COMPUTED_VALUE"""),4900.0)</f>
        <v>4900</v>
      </c>
      <c r="F790" s="2">
        <f>IFERROR(__xludf.DUMMYFUNCTION("""COMPUTED_VALUE"""),2.677533E8)</f>
        <v>267753300</v>
      </c>
      <c r="G790" s="2">
        <f t="shared" si="1"/>
        <v>170</v>
      </c>
    </row>
    <row r="791" ht="15.75" customHeight="1">
      <c r="A791" s="1">
        <f>IFERROR(__xludf.DUMMYFUNCTION("""COMPUTED_VALUE"""),45005.66666666667)</f>
        <v>45005.66667</v>
      </c>
      <c r="B791" s="2">
        <f>IFERROR(__xludf.DUMMYFUNCTION("""COMPUTED_VALUE"""),4840.0)</f>
        <v>4840</v>
      </c>
      <c r="C791" s="2">
        <f>IFERROR(__xludf.DUMMYFUNCTION("""COMPUTED_VALUE"""),4880.0)</f>
        <v>4880</v>
      </c>
      <c r="D791" s="2">
        <f>IFERROR(__xludf.DUMMYFUNCTION("""COMPUTED_VALUE"""),4820.0)</f>
        <v>4820</v>
      </c>
      <c r="E791" s="2">
        <f>IFERROR(__xludf.DUMMYFUNCTION("""COMPUTED_VALUE"""),4880.0)</f>
        <v>4880</v>
      </c>
      <c r="F791" s="2">
        <f>IFERROR(__xludf.DUMMYFUNCTION("""COMPUTED_VALUE"""),1.138294E8)</f>
        <v>113829400</v>
      </c>
      <c r="G791" s="2">
        <f t="shared" si="1"/>
        <v>80</v>
      </c>
    </row>
    <row r="792" ht="15.75" customHeight="1">
      <c r="A792" s="1">
        <f>IFERROR(__xludf.DUMMYFUNCTION("""COMPUTED_VALUE"""),45006.66666666667)</f>
        <v>45006.66667</v>
      </c>
      <c r="B792" s="2">
        <f>IFERROR(__xludf.DUMMYFUNCTION("""COMPUTED_VALUE"""),4870.0)</f>
        <v>4870</v>
      </c>
      <c r="C792" s="2">
        <f>IFERROR(__xludf.DUMMYFUNCTION("""COMPUTED_VALUE"""),4920.0)</f>
        <v>4920</v>
      </c>
      <c r="D792" s="2">
        <f>IFERROR(__xludf.DUMMYFUNCTION("""COMPUTED_VALUE"""),4840.0)</f>
        <v>4840</v>
      </c>
      <c r="E792" s="2">
        <f>IFERROR(__xludf.DUMMYFUNCTION("""COMPUTED_VALUE"""),4900.0)</f>
        <v>4900</v>
      </c>
      <c r="F792" s="2">
        <f>IFERROR(__xludf.DUMMYFUNCTION("""COMPUTED_VALUE"""),2.146393E8)</f>
        <v>214639300</v>
      </c>
      <c r="G792" s="2">
        <f t="shared" si="1"/>
        <v>80</v>
      </c>
    </row>
    <row r="793" ht="15.75" customHeight="1">
      <c r="A793" s="1">
        <f>IFERROR(__xludf.DUMMYFUNCTION("""COMPUTED_VALUE"""),45009.66666666667)</f>
        <v>45009.66667</v>
      </c>
      <c r="B793" s="2">
        <f>IFERROR(__xludf.DUMMYFUNCTION("""COMPUTED_VALUE"""),4750.0)</f>
        <v>4750</v>
      </c>
      <c r="C793" s="2">
        <f>IFERROR(__xludf.DUMMYFUNCTION("""COMPUTED_VALUE"""),4820.0)</f>
        <v>4820</v>
      </c>
      <c r="D793" s="2">
        <f>IFERROR(__xludf.DUMMYFUNCTION("""COMPUTED_VALUE"""),4720.0)</f>
        <v>4720</v>
      </c>
      <c r="E793" s="2">
        <f>IFERROR(__xludf.DUMMYFUNCTION("""COMPUTED_VALUE"""),4770.0)</f>
        <v>4770</v>
      </c>
      <c r="F793" s="2">
        <f>IFERROR(__xludf.DUMMYFUNCTION("""COMPUTED_VALUE"""),2.661039E8)</f>
        <v>266103900</v>
      </c>
      <c r="G793" s="2">
        <f t="shared" si="1"/>
        <v>180</v>
      </c>
    </row>
    <row r="794" ht="15.75" customHeight="1">
      <c r="A794" s="1">
        <f>IFERROR(__xludf.DUMMYFUNCTION("""COMPUTED_VALUE"""),45012.66666666667)</f>
        <v>45012.66667</v>
      </c>
      <c r="B794" s="2">
        <f>IFERROR(__xludf.DUMMYFUNCTION("""COMPUTED_VALUE"""),4750.0)</f>
        <v>4750</v>
      </c>
      <c r="C794" s="2">
        <f>IFERROR(__xludf.DUMMYFUNCTION("""COMPUTED_VALUE"""),4790.0)</f>
        <v>4790</v>
      </c>
      <c r="D794" s="2">
        <f>IFERROR(__xludf.DUMMYFUNCTION("""COMPUTED_VALUE"""),4720.0)</f>
        <v>4720</v>
      </c>
      <c r="E794" s="2">
        <f>IFERROR(__xludf.DUMMYFUNCTION("""COMPUTED_VALUE"""),4740.0)</f>
        <v>4740</v>
      </c>
      <c r="F794" s="2">
        <f>IFERROR(__xludf.DUMMYFUNCTION("""COMPUTED_VALUE"""),1.449252E8)</f>
        <v>144925200</v>
      </c>
      <c r="G794" s="2">
        <f t="shared" si="1"/>
        <v>70</v>
      </c>
    </row>
    <row r="795" ht="15.75" customHeight="1">
      <c r="A795" s="1">
        <f>IFERROR(__xludf.DUMMYFUNCTION("""COMPUTED_VALUE"""),45013.66666666667)</f>
        <v>45013.66667</v>
      </c>
      <c r="B795" s="2">
        <f>IFERROR(__xludf.DUMMYFUNCTION("""COMPUTED_VALUE"""),4740.0)</f>
        <v>4740</v>
      </c>
      <c r="C795" s="2">
        <f>IFERROR(__xludf.DUMMYFUNCTION("""COMPUTED_VALUE"""),4780.0)</f>
        <v>4780</v>
      </c>
      <c r="D795" s="2">
        <f>IFERROR(__xludf.DUMMYFUNCTION("""COMPUTED_VALUE"""),4740.0)</f>
        <v>4740</v>
      </c>
      <c r="E795" s="2">
        <f>IFERROR(__xludf.DUMMYFUNCTION("""COMPUTED_VALUE"""),4770.0)</f>
        <v>4770</v>
      </c>
      <c r="F795" s="2">
        <f>IFERROR(__xludf.DUMMYFUNCTION("""COMPUTED_VALUE"""),1.052171E8)</f>
        <v>105217100</v>
      </c>
      <c r="G795" s="2">
        <f t="shared" si="1"/>
        <v>40</v>
      </c>
    </row>
    <row r="796" ht="15.75" customHeight="1">
      <c r="A796" s="1">
        <f>IFERROR(__xludf.DUMMYFUNCTION("""COMPUTED_VALUE"""),45014.66666666667)</f>
        <v>45014.66667</v>
      </c>
      <c r="B796" s="2">
        <f>IFERROR(__xludf.DUMMYFUNCTION("""COMPUTED_VALUE"""),4800.0)</f>
        <v>4800</v>
      </c>
      <c r="C796" s="2">
        <f>IFERROR(__xludf.DUMMYFUNCTION("""COMPUTED_VALUE"""),4820.0)</f>
        <v>4820</v>
      </c>
      <c r="D796" s="2">
        <f>IFERROR(__xludf.DUMMYFUNCTION("""COMPUTED_VALUE"""),4770.0)</f>
        <v>4770</v>
      </c>
      <c r="E796" s="2">
        <f>IFERROR(__xludf.DUMMYFUNCTION("""COMPUTED_VALUE"""),4810.0)</f>
        <v>4810</v>
      </c>
      <c r="F796" s="2">
        <f>IFERROR(__xludf.DUMMYFUNCTION("""COMPUTED_VALUE"""),1.418005E8)</f>
        <v>141800500</v>
      </c>
      <c r="G796" s="2">
        <f t="shared" si="1"/>
        <v>50</v>
      </c>
    </row>
    <row r="797" ht="15.75" customHeight="1">
      <c r="A797" s="1">
        <f>IFERROR(__xludf.DUMMYFUNCTION("""COMPUTED_VALUE"""),45015.66666666667)</f>
        <v>45015.66667</v>
      </c>
      <c r="B797" s="2">
        <f>IFERROR(__xludf.DUMMYFUNCTION("""COMPUTED_VALUE"""),4810.0)</f>
        <v>4810</v>
      </c>
      <c r="C797" s="2">
        <f>IFERROR(__xludf.DUMMYFUNCTION("""COMPUTED_VALUE"""),4810.0)</f>
        <v>4810</v>
      </c>
      <c r="D797" s="2">
        <f>IFERROR(__xludf.DUMMYFUNCTION("""COMPUTED_VALUE"""),4740.0)</f>
        <v>4740</v>
      </c>
      <c r="E797" s="2">
        <f>IFERROR(__xludf.DUMMYFUNCTION("""COMPUTED_VALUE"""),4750.0)</f>
        <v>4750</v>
      </c>
      <c r="F797" s="2">
        <f>IFERROR(__xludf.DUMMYFUNCTION("""COMPUTED_VALUE"""),9.88472E7)</f>
        <v>98847200</v>
      </c>
      <c r="G797" s="2">
        <f t="shared" si="1"/>
        <v>70</v>
      </c>
    </row>
    <row r="798" ht="15.75" customHeight="1">
      <c r="A798" s="1">
        <f>IFERROR(__xludf.DUMMYFUNCTION("""COMPUTED_VALUE"""),45016.66666666667)</f>
        <v>45016.66667</v>
      </c>
      <c r="B798" s="2">
        <f>IFERROR(__xludf.DUMMYFUNCTION("""COMPUTED_VALUE"""),4730.0)</f>
        <v>4730</v>
      </c>
      <c r="C798" s="2">
        <f>IFERROR(__xludf.DUMMYFUNCTION("""COMPUTED_VALUE"""),4750.0)</f>
        <v>4750</v>
      </c>
      <c r="D798" s="2">
        <f>IFERROR(__xludf.DUMMYFUNCTION("""COMPUTED_VALUE"""),4710.0)</f>
        <v>4710</v>
      </c>
      <c r="E798" s="2">
        <f>IFERROR(__xludf.DUMMYFUNCTION("""COMPUTED_VALUE"""),4730.0)</f>
        <v>4730</v>
      </c>
      <c r="F798" s="2">
        <f>IFERROR(__xludf.DUMMYFUNCTION("""COMPUTED_VALUE"""),1.615618E8)</f>
        <v>161561800</v>
      </c>
      <c r="G798" s="2">
        <f t="shared" si="1"/>
        <v>40</v>
      </c>
    </row>
    <row r="799" ht="15.75" customHeight="1">
      <c r="A799" s="1">
        <f>IFERROR(__xludf.DUMMYFUNCTION("""COMPUTED_VALUE"""),45019.66666666667)</f>
        <v>45019.66667</v>
      </c>
      <c r="B799" s="2">
        <f>IFERROR(__xludf.DUMMYFUNCTION("""COMPUTED_VALUE"""),4770.0)</f>
        <v>4770</v>
      </c>
      <c r="C799" s="2">
        <f>IFERROR(__xludf.DUMMYFUNCTION("""COMPUTED_VALUE"""),4800.0)</f>
        <v>4800</v>
      </c>
      <c r="D799" s="2">
        <f>IFERROR(__xludf.DUMMYFUNCTION("""COMPUTED_VALUE"""),4760.0)</f>
        <v>4760</v>
      </c>
      <c r="E799" s="2">
        <f>IFERROR(__xludf.DUMMYFUNCTION("""COMPUTED_VALUE"""),4800.0)</f>
        <v>4800</v>
      </c>
      <c r="F799" s="2">
        <f>IFERROR(__xludf.DUMMYFUNCTION("""COMPUTED_VALUE"""),1.335117E8)</f>
        <v>133511700</v>
      </c>
      <c r="G799" s="2">
        <f t="shared" si="1"/>
        <v>70</v>
      </c>
    </row>
    <row r="800" ht="15.75" customHeight="1">
      <c r="A800" s="1">
        <f>IFERROR(__xludf.DUMMYFUNCTION("""COMPUTED_VALUE"""),45020.66666666667)</f>
        <v>45020.66667</v>
      </c>
      <c r="B800" s="2">
        <f>IFERROR(__xludf.DUMMYFUNCTION("""COMPUTED_VALUE"""),4800.0)</f>
        <v>4800</v>
      </c>
      <c r="C800" s="2">
        <f>IFERROR(__xludf.DUMMYFUNCTION("""COMPUTED_VALUE"""),4820.0)</f>
        <v>4820</v>
      </c>
      <c r="D800" s="2">
        <f>IFERROR(__xludf.DUMMYFUNCTION("""COMPUTED_VALUE"""),4760.0)</f>
        <v>4760</v>
      </c>
      <c r="E800" s="2">
        <f>IFERROR(__xludf.DUMMYFUNCTION("""COMPUTED_VALUE"""),4820.0)</f>
        <v>4820</v>
      </c>
      <c r="F800" s="2">
        <f>IFERROR(__xludf.DUMMYFUNCTION("""COMPUTED_VALUE"""),8.80978E7)</f>
        <v>88097800</v>
      </c>
      <c r="G800" s="2">
        <f t="shared" si="1"/>
        <v>60</v>
      </c>
    </row>
    <row r="801" ht="15.75" customHeight="1">
      <c r="A801" s="1">
        <f>IFERROR(__xludf.DUMMYFUNCTION("""COMPUTED_VALUE"""),45021.66666666667)</f>
        <v>45021.66667</v>
      </c>
      <c r="B801" s="2">
        <f>IFERROR(__xludf.DUMMYFUNCTION("""COMPUTED_VALUE"""),4810.0)</f>
        <v>4810</v>
      </c>
      <c r="C801" s="2">
        <f>IFERROR(__xludf.DUMMYFUNCTION("""COMPUTED_VALUE"""),4880.0)</f>
        <v>4880</v>
      </c>
      <c r="D801" s="2">
        <f>IFERROR(__xludf.DUMMYFUNCTION("""COMPUTED_VALUE"""),4800.0)</f>
        <v>4800</v>
      </c>
      <c r="E801" s="2">
        <f>IFERROR(__xludf.DUMMYFUNCTION("""COMPUTED_VALUE"""),4830.0)</f>
        <v>4830</v>
      </c>
      <c r="F801" s="2">
        <f>IFERROR(__xludf.DUMMYFUNCTION("""COMPUTED_VALUE"""),1.193165E8)</f>
        <v>119316500</v>
      </c>
      <c r="G801" s="2">
        <f t="shared" si="1"/>
        <v>80</v>
      </c>
    </row>
    <row r="802" ht="15.75" customHeight="1">
      <c r="A802" s="1">
        <f>IFERROR(__xludf.DUMMYFUNCTION("""COMPUTED_VALUE"""),45022.66666666667)</f>
        <v>45022.66667</v>
      </c>
      <c r="B802" s="2">
        <f>IFERROR(__xludf.DUMMYFUNCTION("""COMPUTED_VALUE"""),4860.0)</f>
        <v>4860</v>
      </c>
      <c r="C802" s="2">
        <f>IFERROR(__xludf.DUMMYFUNCTION("""COMPUTED_VALUE"""),4860.0)</f>
        <v>4860</v>
      </c>
      <c r="D802" s="2">
        <f>IFERROR(__xludf.DUMMYFUNCTION("""COMPUTED_VALUE"""),4820.0)</f>
        <v>4820</v>
      </c>
      <c r="E802" s="2">
        <f>IFERROR(__xludf.DUMMYFUNCTION("""COMPUTED_VALUE"""),4840.0)</f>
        <v>4840</v>
      </c>
      <c r="F802" s="2">
        <f>IFERROR(__xludf.DUMMYFUNCTION("""COMPUTED_VALUE"""),8.80123E7)</f>
        <v>88012300</v>
      </c>
      <c r="G802" s="2">
        <f t="shared" si="1"/>
        <v>40</v>
      </c>
    </row>
    <row r="803" ht="15.75" customHeight="1">
      <c r="A803" s="1">
        <f>IFERROR(__xludf.DUMMYFUNCTION("""COMPUTED_VALUE"""),45026.66666666667)</f>
        <v>45026.66667</v>
      </c>
      <c r="B803" s="2">
        <f>IFERROR(__xludf.DUMMYFUNCTION("""COMPUTED_VALUE"""),4860.0)</f>
        <v>4860</v>
      </c>
      <c r="C803" s="2">
        <f>IFERROR(__xludf.DUMMYFUNCTION("""COMPUTED_VALUE"""),4860.0)</f>
        <v>4860</v>
      </c>
      <c r="D803" s="2">
        <f>IFERROR(__xludf.DUMMYFUNCTION("""COMPUTED_VALUE"""),4820.0)</f>
        <v>4820</v>
      </c>
      <c r="E803" s="2">
        <f>IFERROR(__xludf.DUMMYFUNCTION("""COMPUTED_VALUE"""),4860.0)</f>
        <v>4860</v>
      </c>
      <c r="F803" s="2">
        <f>IFERROR(__xludf.DUMMYFUNCTION("""COMPUTED_VALUE"""),5.88868E7)</f>
        <v>58886800</v>
      </c>
      <c r="G803" s="2">
        <f t="shared" si="1"/>
        <v>40</v>
      </c>
    </row>
    <row r="804" ht="15.75" customHeight="1">
      <c r="A804" s="1">
        <f>IFERROR(__xludf.DUMMYFUNCTION("""COMPUTED_VALUE"""),45027.66666666667)</f>
        <v>45027.66667</v>
      </c>
      <c r="B804" s="2">
        <f>IFERROR(__xludf.DUMMYFUNCTION("""COMPUTED_VALUE"""),4860.0)</f>
        <v>4860</v>
      </c>
      <c r="C804" s="2">
        <f>IFERROR(__xludf.DUMMYFUNCTION("""COMPUTED_VALUE"""),4890.0)</f>
        <v>4890</v>
      </c>
      <c r="D804" s="2">
        <f>IFERROR(__xludf.DUMMYFUNCTION("""COMPUTED_VALUE"""),4830.0)</f>
        <v>4830</v>
      </c>
      <c r="E804" s="2">
        <f>IFERROR(__xludf.DUMMYFUNCTION("""COMPUTED_VALUE"""),4880.0)</f>
        <v>4880</v>
      </c>
      <c r="F804" s="2">
        <f>IFERROR(__xludf.DUMMYFUNCTION("""COMPUTED_VALUE"""),6.72756E7)</f>
        <v>67275600</v>
      </c>
      <c r="G804" s="2">
        <f t="shared" si="1"/>
        <v>60</v>
      </c>
    </row>
    <row r="805" ht="15.75" customHeight="1">
      <c r="A805" s="1">
        <f>IFERROR(__xludf.DUMMYFUNCTION("""COMPUTED_VALUE"""),45028.66666666667)</f>
        <v>45028.66667</v>
      </c>
      <c r="B805" s="2">
        <f>IFERROR(__xludf.DUMMYFUNCTION("""COMPUTED_VALUE"""),4950.0)</f>
        <v>4950</v>
      </c>
      <c r="C805" s="2">
        <f>IFERROR(__xludf.DUMMYFUNCTION("""COMPUTED_VALUE"""),4950.0)</f>
        <v>4950</v>
      </c>
      <c r="D805" s="2">
        <f>IFERROR(__xludf.DUMMYFUNCTION("""COMPUTED_VALUE"""),4890.0)</f>
        <v>4890</v>
      </c>
      <c r="E805" s="2">
        <f>IFERROR(__xludf.DUMMYFUNCTION("""COMPUTED_VALUE"""),4930.0)</f>
        <v>4930</v>
      </c>
      <c r="F805" s="2">
        <f>IFERROR(__xludf.DUMMYFUNCTION("""COMPUTED_VALUE"""),1.948399E8)</f>
        <v>194839900</v>
      </c>
      <c r="G805" s="2">
        <f t="shared" si="1"/>
        <v>70</v>
      </c>
    </row>
    <row r="806" ht="15.75" customHeight="1">
      <c r="A806" s="1">
        <f>IFERROR(__xludf.DUMMYFUNCTION("""COMPUTED_VALUE"""),45029.66666666667)</f>
        <v>45029.66667</v>
      </c>
      <c r="B806" s="2">
        <f>IFERROR(__xludf.DUMMYFUNCTION("""COMPUTED_VALUE"""),4950.0)</f>
        <v>4950</v>
      </c>
      <c r="C806" s="2">
        <f>IFERROR(__xludf.DUMMYFUNCTION("""COMPUTED_VALUE"""),5000.0)</f>
        <v>5000</v>
      </c>
      <c r="D806" s="2">
        <f>IFERROR(__xludf.DUMMYFUNCTION("""COMPUTED_VALUE"""),4930.0)</f>
        <v>4930</v>
      </c>
      <c r="E806" s="2">
        <f>IFERROR(__xludf.DUMMYFUNCTION("""COMPUTED_VALUE"""),4980.0)</f>
        <v>4980</v>
      </c>
      <c r="F806" s="2">
        <f>IFERROR(__xludf.DUMMYFUNCTION("""COMPUTED_VALUE"""),1.412798E8)</f>
        <v>141279800</v>
      </c>
      <c r="G806" s="2">
        <f t="shared" si="1"/>
        <v>70</v>
      </c>
    </row>
    <row r="807" ht="15.75" customHeight="1">
      <c r="A807" s="1">
        <f>IFERROR(__xludf.DUMMYFUNCTION("""COMPUTED_VALUE"""),45030.66666666667)</f>
        <v>45030.66667</v>
      </c>
      <c r="B807" s="2">
        <f>IFERROR(__xludf.DUMMYFUNCTION("""COMPUTED_VALUE"""),5050.0)</f>
        <v>5050</v>
      </c>
      <c r="C807" s="2">
        <f>IFERROR(__xludf.DUMMYFUNCTION("""COMPUTED_VALUE"""),5100.0)</f>
        <v>5100</v>
      </c>
      <c r="D807" s="2">
        <f>IFERROR(__xludf.DUMMYFUNCTION("""COMPUTED_VALUE"""),5000.0)</f>
        <v>5000</v>
      </c>
      <c r="E807" s="2">
        <f>IFERROR(__xludf.DUMMYFUNCTION("""COMPUTED_VALUE"""),5075.0)</f>
        <v>5075</v>
      </c>
      <c r="F807" s="2">
        <f>IFERROR(__xludf.DUMMYFUNCTION("""COMPUTED_VALUE"""),1.900972E8)</f>
        <v>190097200</v>
      </c>
      <c r="G807" s="2">
        <f t="shared" si="1"/>
        <v>120</v>
      </c>
    </row>
    <row r="808" ht="15.75" customHeight="1">
      <c r="A808" s="1">
        <f>IFERROR(__xludf.DUMMYFUNCTION("""COMPUTED_VALUE"""),45033.66666666667)</f>
        <v>45033.66667</v>
      </c>
      <c r="B808" s="2">
        <f>IFERROR(__xludf.DUMMYFUNCTION("""COMPUTED_VALUE"""),5075.0)</f>
        <v>5075</v>
      </c>
      <c r="C808" s="2">
        <f>IFERROR(__xludf.DUMMYFUNCTION("""COMPUTED_VALUE"""),5075.0)</f>
        <v>5075</v>
      </c>
      <c r="D808" s="2">
        <f>IFERROR(__xludf.DUMMYFUNCTION("""COMPUTED_VALUE"""),4960.0)</f>
        <v>4960</v>
      </c>
      <c r="E808" s="2">
        <f>IFERROR(__xludf.DUMMYFUNCTION("""COMPUTED_VALUE"""),4990.0)</f>
        <v>4990</v>
      </c>
      <c r="F808" s="2">
        <f>IFERROR(__xludf.DUMMYFUNCTION("""COMPUTED_VALUE"""),1.212313E8)</f>
        <v>121231300</v>
      </c>
      <c r="G808" s="2">
        <f t="shared" si="1"/>
        <v>115</v>
      </c>
    </row>
    <row r="809" ht="15.75" customHeight="1">
      <c r="A809" s="1">
        <f>IFERROR(__xludf.DUMMYFUNCTION("""COMPUTED_VALUE"""),45034.66666666667)</f>
        <v>45034.66667</v>
      </c>
      <c r="B809" s="2">
        <f>IFERROR(__xludf.DUMMYFUNCTION("""COMPUTED_VALUE"""),4990.0)</f>
        <v>4990</v>
      </c>
      <c r="C809" s="2">
        <f>IFERROR(__xludf.DUMMYFUNCTION("""COMPUTED_VALUE"""),5025.0)</f>
        <v>5025</v>
      </c>
      <c r="D809" s="2">
        <f>IFERROR(__xludf.DUMMYFUNCTION("""COMPUTED_VALUE"""),4950.0)</f>
        <v>4950</v>
      </c>
      <c r="E809" s="2">
        <f>IFERROR(__xludf.DUMMYFUNCTION("""COMPUTED_VALUE"""),4950.0)</f>
        <v>4950</v>
      </c>
      <c r="F809" s="2">
        <f>IFERROR(__xludf.DUMMYFUNCTION("""COMPUTED_VALUE"""),9.57477E7)</f>
        <v>95747700</v>
      </c>
      <c r="G809" s="2">
        <f t="shared" si="1"/>
        <v>75</v>
      </c>
    </row>
    <row r="810" ht="15.75" customHeight="1">
      <c r="A810" s="1">
        <f>IFERROR(__xludf.DUMMYFUNCTION("""COMPUTED_VALUE"""),45042.66666666667)</f>
        <v>45042.66667</v>
      </c>
      <c r="B810" s="2">
        <f>IFERROR(__xludf.DUMMYFUNCTION("""COMPUTED_VALUE"""),5150.0)</f>
        <v>5150</v>
      </c>
      <c r="C810" s="2">
        <f>IFERROR(__xludf.DUMMYFUNCTION("""COMPUTED_VALUE"""),5150.0)</f>
        <v>5150</v>
      </c>
      <c r="D810" s="2">
        <f>IFERROR(__xludf.DUMMYFUNCTION("""COMPUTED_VALUE"""),4930.0)</f>
        <v>4930</v>
      </c>
      <c r="E810" s="2">
        <f>IFERROR(__xludf.DUMMYFUNCTION("""COMPUTED_VALUE"""),5025.0)</f>
        <v>5025</v>
      </c>
      <c r="F810" s="2">
        <f>IFERROR(__xludf.DUMMYFUNCTION("""COMPUTED_VALUE"""),2.73336E8)</f>
        <v>273336000</v>
      </c>
      <c r="G810" s="2">
        <f t="shared" si="1"/>
        <v>220</v>
      </c>
    </row>
    <row r="811" ht="15.75" customHeight="1">
      <c r="A811" s="1">
        <f>IFERROR(__xludf.DUMMYFUNCTION("""COMPUTED_VALUE"""),45043.66666666667)</f>
        <v>45043.66667</v>
      </c>
      <c r="B811" s="2">
        <f>IFERROR(__xludf.DUMMYFUNCTION("""COMPUTED_VALUE"""),4990.0)</f>
        <v>4990</v>
      </c>
      <c r="C811" s="2">
        <f>IFERROR(__xludf.DUMMYFUNCTION("""COMPUTED_VALUE"""),5150.0)</f>
        <v>5150</v>
      </c>
      <c r="D811" s="2">
        <f>IFERROR(__xludf.DUMMYFUNCTION("""COMPUTED_VALUE"""),4990.0)</f>
        <v>4990</v>
      </c>
      <c r="E811" s="2">
        <f>IFERROR(__xludf.DUMMYFUNCTION("""COMPUTED_VALUE"""),5150.0)</f>
        <v>5150</v>
      </c>
      <c r="F811" s="2">
        <f>IFERROR(__xludf.DUMMYFUNCTION("""COMPUTED_VALUE"""),1.259472E8)</f>
        <v>125947200</v>
      </c>
      <c r="G811" s="2">
        <f t="shared" si="1"/>
        <v>160</v>
      </c>
    </row>
    <row r="812" ht="15.75" customHeight="1">
      <c r="A812" s="1">
        <f>IFERROR(__xludf.DUMMYFUNCTION("""COMPUTED_VALUE"""),45044.66666666667)</f>
        <v>45044.66667</v>
      </c>
      <c r="B812" s="2">
        <f>IFERROR(__xludf.DUMMYFUNCTION("""COMPUTED_VALUE"""),5175.0)</f>
        <v>5175</v>
      </c>
      <c r="C812" s="2">
        <f>IFERROR(__xludf.DUMMYFUNCTION("""COMPUTED_VALUE"""),5275.0)</f>
        <v>5275</v>
      </c>
      <c r="D812" s="2">
        <f>IFERROR(__xludf.DUMMYFUNCTION("""COMPUTED_VALUE"""),5100.0)</f>
        <v>5100</v>
      </c>
      <c r="E812" s="2">
        <f>IFERROR(__xludf.DUMMYFUNCTION("""COMPUTED_VALUE"""),5100.0)</f>
        <v>5100</v>
      </c>
      <c r="F812" s="2">
        <f>IFERROR(__xludf.DUMMYFUNCTION("""COMPUTED_VALUE"""),2.51912E8)</f>
        <v>251912000</v>
      </c>
      <c r="G812" s="2">
        <f t="shared" si="1"/>
        <v>175</v>
      </c>
    </row>
    <row r="813" ht="15.75" customHeight="1">
      <c r="A813" s="1">
        <f>IFERROR(__xludf.DUMMYFUNCTION("""COMPUTED_VALUE"""),45048.66666666667)</f>
        <v>45048.66667</v>
      </c>
      <c r="B813" s="2">
        <f>IFERROR(__xludf.DUMMYFUNCTION("""COMPUTED_VALUE"""),5175.0)</f>
        <v>5175</v>
      </c>
      <c r="C813" s="2">
        <f>IFERROR(__xludf.DUMMYFUNCTION("""COMPUTED_VALUE"""),5175.0)</f>
        <v>5175</v>
      </c>
      <c r="D813" s="2">
        <f>IFERROR(__xludf.DUMMYFUNCTION("""COMPUTED_VALUE"""),5050.0)</f>
        <v>5050</v>
      </c>
      <c r="E813" s="2">
        <f>IFERROR(__xludf.DUMMYFUNCTION("""COMPUTED_VALUE"""),5150.0)</f>
        <v>5150</v>
      </c>
      <c r="F813" s="2">
        <f>IFERROR(__xludf.DUMMYFUNCTION("""COMPUTED_VALUE"""),8.42461E7)</f>
        <v>84246100</v>
      </c>
      <c r="G813" s="2">
        <f t="shared" si="1"/>
        <v>125</v>
      </c>
    </row>
    <row r="814" ht="15.75" customHeight="1">
      <c r="A814" s="1">
        <f>IFERROR(__xludf.DUMMYFUNCTION("""COMPUTED_VALUE"""),45049.66666666667)</f>
        <v>45049.66667</v>
      </c>
      <c r="B814" s="2">
        <f>IFERROR(__xludf.DUMMYFUNCTION("""COMPUTED_VALUE"""),5225.0)</f>
        <v>5225</v>
      </c>
      <c r="C814" s="2">
        <f>IFERROR(__xludf.DUMMYFUNCTION("""COMPUTED_VALUE"""),5225.0)</f>
        <v>5225</v>
      </c>
      <c r="D814" s="2">
        <f>IFERROR(__xludf.DUMMYFUNCTION("""COMPUTED_VALUE"""),5050.0)</f>
        <v>5050</v>
      </c>
      <c r="E814" s="2">
        <f>IFERROR(__xludf.DUMMYFUNCTION("""COMPUTED_VALUE"""),5100.0)</f>
        <v>5100</v>
      </c>
      <c r="F814" s="2">
        <f>IFERROR(__xludf.DUMMYFUNCTION("""COMPUTED_VALUE"""),1.835247E8)</f>
        <v>183524700</v>
      </c>
      <c r="G814" s="2">
        <f t="shared" si="1"/>
        <v>175</v>
      </c>
    </row>
    <row r="815" ht="15.75" customHeight="1">
      <c r="A815" s="1">
        <f>IFERROR(__xludf.DUMMYFUNCTION("""COMPUTED_VALUE"""),45050.66666666667)</f>
        <v>45050.66667</v>
      </c>
      <c r="B815" s="2">
        <f>IFERROR(__xludf.DUMMYFUNCTION("""COMPUTED_VALUE"""),5150.0)</f>
        <v>5150</v>
      </c>
      <c r="C815" s="2">
        <f>IFERROR(__xludf.DUMMYFUNCTION("""COMPUTED_VALUE"""),5175.0)</f>
        <v>5175</v>
      </c>
      <c r="D815" s="2">
        <f>IFERROR(__xludf.DUMMYFUNCTION("""COMPUTED_VALUE"""),5075.0)</f>
        <v>5075</v>
      </c>
      <c r="E815" s="2">
        <f>IFERROR(__xludf.DUMMYFUNCTION("""COMPUTED_VALUE"""),5150.0)</f>
        <v>5150</v>
      </c>
      <c r="F815" s="2">
        <f>IFERROR(__xludf.DUMMYFUNCTION("""COMPUTED_VALUE"""),1.40482E8)</f>
        <v>140482000</v>
      </c>
      <c r="G815" s="2">
        <f t="shared" si="1"/>
        <v>100</v>
      </c>
    </row>
    <row r="816" ht="15.75" customHeight="1">
      <c r="A816" s="1">
        <f>IFERROR(__xludf.DUMMYFUNCTION("""COMPUTED_VALUE"""),45051.66666666667)</f>
        <v>45051.66667</v>
      </c>
      <c r="B816" s="2">
        <f>IFERROR(__xludf.DUMMYFUNCTION("""COMPUTED_VALUE"""),5225.0)</f>
        <v>5225</v>
      </c>
      <c r="C816" s="2">
        <f>IFERROR(__xludf.DUMMYFUNCTION("""COMPUTED_VALUE"""),5250.0)</f>
        <v>5250</v>
      </c>
      <c r="D816" s="2">
        <f>IFERROR(__xludf.DUMMYFUNCTION("""COMPUTED_VALUE"""),5125.0)</f>
        <v>5125</v>
      </c>
      <c r="E816" s="2">
        <f>IFERROR(__xludf.DUMMYFUNCTION("""COMPUTED_VALUE"""),5225.0)</f>
        <v>5225</v>
      </c>
      <c r="F816" s="2">
        <f>IFERROR(__xludf.DUMMYFUNCTION("""COMPUTED_VALUE"""),1.825996E8)</f>
        <v>182599600</v>
      </c>
      <c r="G816" s="2">
        <f t="shared" si="1"/>
        <v>125</v>
      </c>
    </row>
    <row r="817" ht="15.75" customHeight="1">
      <c r="A817" s="1">
        <f>IFERROR(__xludf.DUMMYFUNCTION("""COMPUTED_VALUE"""),45054.66666666667)</f>
        <v>45054.66667</v>
      </c>
      <c r="B817" s="2">
        <f>IFERROR(__xludf.DUMMYFUNCTION("""COMPUTED_VALUE"""),5250.0)</f>
        <v>5250</v>
      </c>
      <c r="C817" s="2">
        <f>IFERROR(__xludf.DUMMYFUNCTION("""COMPUTED_VALUE"""),5250.0)</f>
        <v>5250</v>
      </c>
      <c r="D817" s="2">
        <f>IFERROR(__xludf.DUMMYFUNCTION("""COMPUTED_VALUE"""),5050.0)</f>
        <v>5050</v>
      </c>
      <c r="E817" s="2">
        <f>IFERROR(__xludf.DUMMYFUNCTION("""COMPUTED_VALUE"""),5100.0)</f>
        <v>5100</v>
      </c>
      <c r="F817" s="2">
        <f>IFERROR(__xludf.DUMMYFUNCTION("""COMPUTED_VALUE"""),1.078042E8)</f>
        <v>107804200</v>
      </c>
      <c r="G817" s="2">
        <f t="shared" si="1"/>
        <v>200</v>
      </c>
    </row>
    <row r="818" ht="15.75" customHeight="1">
      <c r="A818" s="1">
        <f>IFERROR(__xludf.DUMMYFUNCTION("""COMPUTED_VALUE"""),45055.66666666667)</f>
        <v>45055.66667</v>
      </c>
      <c r="B818" s="2">
        <f>IFERROR(__xludf.DUMMYFUNCTION("""COMPUTED_VALUE"""),5050.0)</f>
        <v>5050</v>
      </c>
      <c r="C818" s="2">
        <f>IFERROR(__xludf.DUMMYFUNCTION("""COMPUTED_VALUE"""),5125.0)</f>
        <v>5125</v>
      </c>
      <c r="D818" s="2">
        <f>IFERROR(__xludf.DUMMYFUNCTION("""COMPUTED_VALUE"""),5025.0)</f>
        <v>5025</v>
      </c>
      <c r="E818" s="2">
        <f>IFERROR(__xludf.DUMMYFUNCTION("""COMPUTED_VALUE"""),5125.0)</f>
        <v>5125</v>
      </c>
      <c r="F818" s="2">
        <f>IFERROR(__xludf.DUMMYFUNCTION("""COMPUTED_VALUE"""),1.029873E8)</f>
        <v>102987300</v>
      </c>
      <c r="G818" s="2">
        <f t="shared" si="1"/>
        <v>100</v>
      </c>
    </row>
    <row r="819" ht="15.75" customHeight="1">
      <c r="A819" s="1">
        <f>IFERROR(__xludf.DUMMYFUNCTION("""COMPUTED_VALUE"""),45056.66666666667)</f>
        <v>45056.66667</v>
      </c>
      <c r="B819" s="2">
        <f>IFERROR(__xludf.DUMMYFUNCTION("""COMPUTED_VALUE"""),5075.0)</f>
        <v>5075</v>
      </c>
      <c r="C819" s="2">
        <f>IFERROR(__xludf.DUMMYFUNCTION("""COMPUTED_VALUE"""),5150.0)</f>
        <v>5150</v>
      </c>
      <c r="D819" s="2">
        <f>IFERROR(__xludf.DUMMYFUNCTION("""COMPUTED_VALUE"""),5050.0)</f>
        <v>5050</v>
      </c>
      <c r="E819" s="2">
        <f>IFERROR(__xludf.DUMMYFUNCTION("""COMPUTED_VALUE"""),5150.0)</f>
        <v>5150</v>
      </c>
      <c r="F819" s="2">
        <f>IFERROR(__xludf.DUMMYFUNCTION("""COMPUTED_VALUE"""),1.083696E8)</f>
        <v>108369600</v>
      </c>
      <c r="G819" s="2">
        <f t="shared" si="1"/>
        <v>100</v>
      </c>
    </row>
    <row r="820" ht="15.75" customHeight="1">
      <c r="A820" s="1">
        <f>IFERROR(__xludf.DUMMYFUNCTION("""COMPUTED_VALUE"""),45057.66666666667)</f>
        <v>45057.66667</v>
      </c>
      <c r="B820" s="2">
        <f>IFERROR(__xludf.DUMMYFUNCTION("""COMPUTED_VALUE"""),5175.0)</f>
        <v>5175</v>
      </c>
      <c r="C820" s="2">
        <f>IFERROR(__xludf.DUMMYFUNCTION("""COMPUTED_VALUE"""),5175.0)</f>
        <v>5175</v>
      </c>
      <c r="D820" s="2">
        <f>IFERROR(__xludf.DUMMYFUNCTION("""COMPUTED_VALUE"""),5100.0)</f>
        <v>5100</v>
      </c>
      <c r="E820" s="2">
        <f>IFERROR(__xludf.DUMMYFUNCTION("""COMPUTED_VALUE"""),5150.0)</f>
        <v>5150</v>
      </c>
      <c r="F820" s="2">
        <f>IFERROR(__xludf.DUMMYFUNCTION("""COMPUTED_VALUE"""),8.56188E7)</f>
        <v>85618800</v>
      </c>
      <c r="G820" s="2">
        <f t="shared" si="1"/>
        <v>75</v>
      </c>
    </row>
    <row r="821" ht="15.75" customHeight="1">
      <c r="A821" s="1">
        <f>IFERROR(__xludf.DUMMYFUNCTION("""COMPUTED_VALUE"""),45058.66666666667)</f>
        <v>45058.66667</v>
      </c>
      <c r="B821" s="2">
        <f>IFERROR(__xludf.DUMMYFUNCTION("""COMPUTED_VALUE"""),5100.0)</f>
        <v>5100</v>
      </c>
      <c r="C821" s="2">
        <f>IFERROR(__xludf.DUMMYFUNCTION("""COMPUTED_VALUE"""),5175.0)</f>
        <v>5175</v>
      </c>
      <c r="D821" s="2">
        <f>IFERROR(__xludf.DUMMYFUNCTION("""COMPUTED_VALUE"""),5100.0)</f>
        <v>5100</v>
      </c>
      <c r="E821" s="2">
        <f>IFERROR(__xludf.DUMMYFUNCTION("""COMPUTED_VALUE"""),5150.0)</f>
        <v>5150</v>
      </c>
      <c r="F821" s="2">
        <f>IFERROR(__xludf.DUMMYFUNCTION("""COMPUTED_VALUE"""),9.26258E7)</f>
        <v>92625800</v>
      </c>
      <c r="G821" s="2">
        <f t="shared" si="1"/>
        <v>75</v>
      </c>
    </row>
    <row r="822" ht="15.75" customHeight="1">
      <c r="A822" s="1">
        <f>IFERROR(__xludf.DUMMYFUNCTION("""COMPUTED_VALUE"""),45061.66666666667)</f>
        <v>45061.66667</v>
      </c>
      <c r="B822" s="2">
        <f>IFERROR(__xludf.DUMMYFUNCTION("""COMPUTED_VALUE"""),5150.0)</f>
        <v>5150</v>
      </c>
      <c r="C822" s="2">
        <f>IFERROR(__xludf.DUMMYFUNCTION("""COMPUTED_VALUE"""),5175.0)</f>
        <v>5175</v>
      </c>
      <c r="D822" s="2">
        <f>IFERROR(__xludf.DUMMYFUNCTION("""COMPUTED_VALUE"""),5025.0)</f>
        <v>5025</v>
      </c>
      <c r="E822" s="2">
        <f>IFERROR(__xludf.DUMMYFUNCTION("""COMPUTED_VALUE"""),5150.0)</f>
        <v>5150</v>
      </c>
      <c r="F822" s="2">
        <f>IFERROR(__xludf.DUMMYFUNCTION("""COMPUTED_VALUE"""),1.637326E8)</f>
        <v>163732600</v>
      </c>
      <c r="G822" s="2">
        <f t="shared" si="1"/>
        <v>150</v>
      </c>
    </row>
    <row r="823" ht="15.75" customHeight="1">
      <c r="A823" s="1">
        <f>IFERROR(__xludf.DUMMYFUNCTION("""COMPUTED_VALUE"""),45062.66666666667)</f>
        <v>45062.66667</v>
      </c>
      <c r="B823" s="2">
        <f>IFERROR(__xludf.DUMMYFUNCTION("""COMPUTED_VALUE"""),5175.0)</f>
        <v>5175</v>
      </c>
      <c r="C823" s="2">
        <f>IFERROR(__xludf.DUMMYFUNCTION("""COMPUTED_VALUE"""),5200.0)</f>
        <v>5200</v>
      </c>
      <c r="D823" s="2">
        <f>IFERROR(__xludf.DUMMYFUNCTION("""COMPUTED_VALUE"""),5100.0)</f>
        <v>5100</v>
      </c>
      <c r="E823" s="2">
        <f>IFERROR(__xludf.DUMMYFUNCTION("""COMPUTED_VALUE"""),5200.0)</f>
        <v>5200</v>
      </c>
      <c r="F823" s="2">
        <f>IFERROR(__xludf.DUMMYFUNCTION("""COMPUTED_VALUE"""),7.36112E7)</f>
        <v>73611200</v>
      </c>
      <c r="G823" s="2">
        <f t="shared" si="1"/>
        <v>100</v>
      </c>
    </row>
    <row r="824" ht="15.75" customHeight="1">
      <c r="A824" s="1">
        <f>IFERROR(__xludf.DUMMYFUNCTION("""COMPUTED_VALUE"""),45063.66666666667)</f>
        <v>45063.66667</v>
      </c>
      <c r="B824" s="2">
        <f>IFERROR(__xludf.DUMMYFUNCTION("""COMPUTED_VALUE"""),5250.0)</f>
        <v>5250</v>
      </c>
      <c r="C824" s="2">
        <f>IFERROR(__xludf.DUMMYFUNCTION("""COMPUTED_VALUE"""),5250.0)</f>
        <v>5250</v>
      </c>
      <c r="D824" s="2">
        <f>IFERROR(__xludf.DUMMYFUNCTION("""COMPUTED_VALUE"""),5175.0)</f>
        <v>5175</v>
      </c>
      <c r="E824" s="2">
        <f>IFERROR(__xludf.DUMMYFUNCTION("""COMPUTED_VALUE"""),5200.0)</f>
        <v>5200</v>
      </c>
      <c r="F824" s="2">
        <f>IFERROR(__xludf.DUMMYFUNCTION("""COMPUTED_VALUE"""),1.158345E8)</f>
        <v>115834500</v>
      </c>
      <c r="G824" s="2">
        <f t="shared" si="1"/>
        <v>75</v>
      </c>
    </row>
    <row r="825" ht="15.75" customHeight="1">
      <c r="A825" s="1">
        <f>IFERROR(__xludf.DUMMYFUNCTION("""COMPUTED_VALUE"""),45065.66666666667)</f>
        <v>45065.66667</v>
      </c>
      <c r="B825" s="2">
        <f>IFERROR(__xludf.DUMMYFUNCTION("""COMPUTED_VALUE"""),5225.0)</f>
        <v>5225</v>
      </c>
      <c r="C825" s="2">
        <f>IFERROR(__xludf.DUMMYFUNCTION("""COMPUTED_VALUE"""),5450.0)</f>
        <v>5450</v>
      </c>
      <c r="D825" s="2">
        <f>IFERROR(__xludf.DUMMYFUNCTION("""COMPUTED_VALUE"""),5200.0)</f>
        <v>5200</v>
      </c>
      <c r="E825" s="2">
        <f>IFERROR(__xludf.DUMMYFUNCTION("""COMPUTED_VALUE"""),5400.0)</f>
        <v>5400</v>
      </c>
      <c r="F825" s="2">
        <f>IFERROR(__xludf.DUMMYFUNCTION("""COMPUTED_VALUE"""),1.856722E8)</f>
        <v>185672200</v>
      </c>
      <c r="G825" s="2">
        <f t="shared" si="1"/>
        <v>250</v>
      </c>
    </row>
    <row r="826" ht="15.75" customHeight="1">
      <c r="A826" s="1">
        <f>IFERROR(__xludf.DUMMYFUNCTION("""COMPUTED_VALUE"""),45068.66666666667)</f>
        <v>45068.66667</v>
      </c>
      <c r="B826" s="2">
        <f>IFERROR(__xludf.DUMMYFUNCTION("""COMPUTED_VALUE"""),5300.0)</f>
        <v>5300</v>
      </c>
      <c r="C826" s="2">
        <f>IFERROR(__xludf.DUMMYFUNCTION("""COMPUTED_VALUE"""),5500.0)</f>
        <v>5500</v>
      </c>
      <c r="D826" s="2">
        <f>IFERROR(__xludf.DUMMYFUNCTION("""COMPUTED_VALUE"""),5300.0)</f>
        <v>5300</v>
      </c>
      <c r="E826" s="2">
        <f>IFERROR(__xludf.DUMMYFUNCTION("""COMPUTED_VALUE"""),5425.0)</f>
        <v>5425</v>
      </c>
      <c r="F826" s="2">
        <f>IFERROR(__xludf.DUMMYFUNCTION("""COMPUTED_VALUE"""),1.626559E8)</f>
        <v>162655900</v>
      </c>
      <c r="G826" s="2">
        <f t="shared" si="1"/>
        <v>200</v>
      </c>
    </row>
    <row r="827" ht="15.75" customHeight="1">
      <c r="A827" s="1">
        <f>IFERROR(__xludf.DUMMYFUNCTION("""COMPUTED_VALUE"""),45069.66666666667)</f>
        <v>45069.66667</v>
      </c>
      <c r="B827" s="2">
        <f>IFERROR(__xludf.DUMMYFUNCTION("""COMPUTED_VALUE"""),5475.0)</f>
        <v>5475</v>
      </c>
      <c r="C827" s="2">
        <f>IFERROR(__xludf.DUMMYFUNCTION("""COMPUTED_VALUE"""),5600.0)</f>
        <v>5600</v>
      </c>
      <c r="D827" s="2">
        <f>IFERROR(__xludf.DUMMYFUNCTION("""COMPUTED_VALUE"""),5475.0)</f>
        <v>5475</v>
      </c>
      <c r="E827" s="2">
        <f>IFERROR(__xludf.DUMMYFUNCTION("""COMPUTED_VALUE"""),5500.0)</f>
        <v>5500</v>
      </c>
      <c r="F827" s="2">
        <f>IFERROR(__xludf.DUMMYFUNCTION("""COMPUTED_VALUE"""),2.552516E8)</f>
        <v>255251600</v>
      </c>
      <c r="G827" s="2">
        <f t="shared" si="1"/>
        <v>175</v>
      </c>
    </row>
    <row r="828" ht="15.75" customHeight="1">
      <c r="A828" s="1">
        <f>IFERROR(__xludf.DUMMYFUNCTION("""COMPUTED_VALUE"""),45070.66666666667)</f>
        <v>45070.66667</v>
      </c>
      <c r="B828" s="2">
        <f>IFERROR(__xludf.DUMMYFUNCTION("""COMPUTED_VALUE"""),5525.0)</f>
        <v>5525</v>
      </c>
      <c r="C828" s="2">
        <f>IFERROR(__xludf.DUMMYFUNCTION("""COMPUTED_VALUE"""),5600.0)</f>
        <v>5600</v>
      </c>
      <c r="D828" s="2">
        <f>IFERROR(__xludf.DUMMYFUNCTION("""COMPUTED_VALUE"""),5450.0)</f>
        <v>5450</v>
      </c>
      <c r="E828" s="2">
        <f>IFERROR(__xludf.DUMMYFUNCTION("""COMPUTED_VALUE"""),5600.0)</f>
        <v>5600</v>
      </c>
      <c r="F828" s="2">
        <f>IFERROR(__xludf.DUMMYFUNCTION("""COMPUTED_VALUE"""),1.874361E8)</f>
        <v>187436100</v>
      </c>
      <c r="G828" s="2">
        <f t="shared" si="1"/>
        <v>150</v>
      </c>
    </row>
    <row r="829" ht="15.75" customHeight="1">
      <c r="A829" s="1">
        <f>IFERROR(__xludf.DUMMYFUNCTION("""COMPUTED_VALUE"""),45071.66666666667)</f>
        <v>45071.66667</v>
      </c>
      <c r="B829" s="2">
        <f>IFERROR(__xludf.DUMMYFUNCTION("""COMPUTED_VALUE"""),5500.0)</f>
        <v>5500</v>
      </c>
      <c r="C829" s="2">
        <f>IFERROR(__xludf.DUMMYFUNCTION("""COMPUTED_VALUE"""),5575.0)</f>
        <v>5575</v>
      </c>
      <c r="D829" s="2">
        <f>IFERROR(__xludf.DUMMYFUNCTION("""COMPUTED_VALUE"""),5450.0)</f>
        <v>5450</v>
      </c>
      <c r="E829" s="2">
        <f>IFERROR(__xludf.DUMMYFUNCTION("""COMPUTED_VALUE"""),5475.0)</f>
        <v>5475</v>
      </c>
      <c r="F829" s="2">
        <f>IFERROR(__xludf.DUMMYFUNCTION("""COMPUTED_VALUE"""),2.243919E8)</f>
        <v>224391900</v>
      </c>
      <c r="G829" s="2">
        <f t="shared" si="1"/>
        <v>150</v>
      </c>
    </row>
    <row r="830" ht="15.75" customHeight="1">
      <c r="A830" s="1">
        <f>IFERROR(__xludf.DUMMYFUNCTION("""COMPUTED_VALUE"""),45072.66666666667)</f>
        <v>45072.66667</v>
      </c>
      <c r="B830" s="2">
        <f>IFERROR(__xludf.DUMMYFUNCTION("""COMPUTED_VALUE"""),5425.0)</f>
        <v>5425</v>
      </c>
      <c r="C830" s="2">
        <f>IFERROR(__xludf.DUMMYFUNCTION("""COMPUTED_VALUE"""),5600.0)</f>
        <v>5600</v>
      </c>
      <c r="D830" s="2">
        <f>IFERROR(__xludf.DUMMYFUNCTION("""COMPUTED_VALUE"""),5425.0)</f>
        <v>5425</v>
      </c>
      <c r="E830" s="2">
        <f>IFERROR(__xludf.DUMMYFUNCTION("""COMPUTED_VALUE"""),5600.0)</f>
        <v>5600</v>
      </c>
      <c r="F830" s="2">
        <f>IFERROR(__xludf.DUMMYFUNCTION("""COMPUTED_VALUE"""),1.540031E8)</f>
        <v>154003100</v>
      </c>
      <c r="G830" s="2">
        <f t="shared" si="1"/>
        <v>175</v>
      </c>
    </row>
    <row r="831" ht="15.75" customHeight="1">
      <c r="A831" s="1">
        <f>IFERROR(__xludf.DUMMYFUNCTION("""COMPUTED_VALUE"""),45075.66666666667)</f>
        <v>45075.66667</v>
      </c>
      <c r="B831" s="2">
        <f>IFERROR(__xludf.DUMMYFUNCTION("""COMPUTED_VALUE"""),5600.0)</f>
        <v>5600</v>
      </c>
      <c r="C831" s="2">
        <f>IFERROR(__xludf.DUMMYFUNCTION("""COMPUTED_VALUE"""),5625.0)</f>
        <v>5625</v>
      </c>
      <c r="D831" s="2">
        <f>IFERROR(__xludf.DUMMYFUNCTION("""COMPUTED_VALUE"""),5475.0)</f>
        <v>5475</v>
      </c>
      <c r="E831" s="2">
        <f>IFERROR(__xludf.DUMMYFUNCTION("""COMPUTED_VALUE"""),5550.0)</f>
        <v>5550</v>
      </c>
      <c r="F831" s="2">
        <f>IFERROR(__xludf.DUMMYFUNCTION("""COMPUTED_VALUE"""),1.250491E8)</f>
        <v>125049100</v>
      </c>
      <c r="G831" s="2">
        <f t="shared" si="1"/>
        <v>150</v>
      </c>
    </row>
    <row r="832" ht="15.75" customHeight="1">
      <c r="A832" s="1">
        <f>IFERROR(__xludf.DUMMYFUNCTION("""COMPUTED_VALUE"""),45076.66666666667)</f>
        <v>45076.66667</v>
      </c>
      <c r="B832" s="2">
        <f>IFERROR(__xludf.DUMMYFUNCTION("""COMPUTED_VALUE"""),5500.0)</f>
        <v>5500</v>
      </c>
      <c r="C832" s="2">
        <f>IFERROR(__xludf.DUMMYFUNCTION("""COMPUTED_VALUE"""),5600.0)</f>
        <v>5600</v>
      </c>
      <c r="D832" s="2">
        <f>IFERROR(__xludf.DUMMYFUNCTION("""COMPUTED_VALUE"""),5500.0)</f>
        <v>5500</v>
      </c>
      <c r="E832" s="2">
        <f>IFERROR(__xludf.DUMMYFUNCTION("""COMPUTED_VALUE"""),5500.0)</f>
        <v>5500</v>
      </c>
      <c r="F832" s="2">
        <f>IFERROR(__xludf.DUMMYFUNCTION("""COMPUTED_VALUE"""),6.73632E7)</f>
        <v>67363200</v>
      </c>
      <c r="G832" s="2">
        <f t="shared" si="1"/>
        <v>100</v>
      </c>
    </row>
    <row r="833" ht="15.75" customHeight="1">
      <c r="A833" s="1">
        <f>IFERROR(__xludf.DUMMYFUNCTION("""COMPUTED_VALUE"""),45077.66666666667)</f>
        <v>45077.66667</v>
      </c>
      <c r="B833" s="2">
        <f>IFERROR(__xludf.DUMMYFUNCTION("""COMPUTED_VALUE"""),5575.0)</f>
        <v>5575</v>
      </c>
      <c r="C833" s="2">
        <f>IFERROR(__xludf.DUMMYFUNCTION("""COMPUTED_VALUE"""),5575.0)</f>
        <v>5575</v>
      </c>
      <c r="D833" s="2">
        <f>IFERROR(__xludf.DUMMYFUNCTION("""COMPUTED_VALUE"""),5375.0)</f>
        <v>5375</v>
      </c>
      <c r="E833" s="2">
        <f>IFERROR(__xludf.DUMMYFUNCTION("""COMPUTED_VALUE"""),5575.0)</f>
        <v>5575</v>
      </c>
      <c r="F833" s="2">
        <f>IFERROR(__xludf.DUMMYFUNCTION("""COMPUTED_VALUE"""),8.984537E8)</f>
        <v>898453700</v>
      </c>
      <c r="G833" s="2">
        <f t="shared" si="1"/>
        <v>200</v>
      </c>
    </row>
    <row r="834" ht="15.75" customHeight="1">
      <c r="A834" s="1">
        <f>IFERROR(__xludf.DUMMYFUNCTION("""COMPUTED_VALUE"""),45082.66666666667)</f>
        <v>45082.66667</v>
      </c>
      <c r="B834" s="2">
        <f>IFERROR(__xludf.DUMMYFUNCTION("""COMPUTED_VALUE"""),5600.0)</f>
        <v>5600</v>
      </c>
      <c r="C834" s="2">
        <f>IFERROR(__xludf.DUMMYFUNCTION("""COMPUTED_VALUE"""),5600.0)</f>
        <v>5600</v>
      </c>
      <c r="D834" s="2">
        <f>IFERROR(__xludf.DUMMYFUNCTION("""COMPUTED_VALUE"""),5425.0)</f>
        <v>5425</v>
      </c>
      <c r="E834" s="2">
        <f>IFERROR(__xludf.DUMMYFUNCTION("""COMPUTED_VALUE"""),5425.0)</f>
        <v>5425</v>
      </c>
      <c r="F834" s="2">
        <f>IFERROR(__xludf.DUMMYFUNCTION("""COMPUTED_VALUE"""),2.554726E8)</f>
        <v>255472600</v>
      </c>
      <c r="G834" s="2">
        <f t="shared" si="1"/>
        <v>175</v>
      </c>
    </row>
    <row r="835" ht="15.75" customHeight="1">
      <c r="A835" s="1">
        <f>IFERROR(__xludf.DUMMYFUNCTION("""COMPUTED_VALUE"""),45083.66666666667)</f>
        <v>45083.66667</v>
      </c>
      <c r="B835" s="2">
        <f>IFERROR(__xludf.DUMMYFUNCTION("""COMPUTED_VALUE"""),5400.0)</f>
        <v>5400</v>
      </c>
      <c r="C835" s="2">
        <f>IFERROR(__xludf.DUMMYFUNCTION("""COMPUTED_VALUE"""),5500.0)</f>
        <v>5500</v>
      </c>
      <c r="D835" s="2">
        <f>IFERROR(__xludf.DUMMYFUNCTION("""COMPUTED_VALUE"""),5350.0)</f>
        <v>5350</v>
      </c>
      <c r="E835" s="2">
        <f>IFERROR(__xludf.DUMMYFUNCTION("""COMPUTED_VALUE"""),5450.0)</f>
        <v>5450</v>
      </c>
      <c r="F835" s="2">
        <f>IFERROR(__xludf.DUMMYFUNCTION("""COMPUTED_VALUE"""),9.20193E7)</f>
        <v>92019300</v>
      </c>
      <c r="G835" s="2">
        <f t="shared" si="1"/>
        <v>150</v>
      </c>
    </row>
    <row r="836" ht="15.75" customHeight="1">
      <c r="A836" s="1">
        <f>IFERROR(__xludf.DUMMYFUNCTION("""COMPUTED_VALUE"""),45084.66666666667)</f>
        <v>45084.66667</v>
      </c>
      <c r="B836" s="2">
        <f>IFERROR(__xludf.DUMMYFUNCTION("""COMPUTED_VALUE"""),5475.0)</f>
        <v>5475</v>
      </c>
      <c r="C836" s="2">
        <f>IFERROR(__xludf.DUMMYFUNCTION("""COMPUTED_VALUE"""),5475.0)</f>
        <v>5475</v>
      </c>
      <c r="D836" s="2">
        <f>IFERROR(__xludf.DUMMYFUNCTION("""COMPUTED_VALUE"""),5350.0)</f>
        <v>5350</v>
      </c>
      <c r="E836" s="2">
        <f>IFERROR(__xludf.DUMMYFUNCTION("""COMPUTED_VALUE"""),5400.0)</f>
        <v>5400</v>
      </c>
      <c r="F836" s="2">
        <f>IFERROR(__xludf.DUMMYFUNCTION("""COMPUTED_VALUE"""),1.50377E8)</f>
        <v>150377000</v>
      </c>
      <c r="G836" s="2">
        <f t="shared" si="1"/>
        <v>125</v>
      </c>
    </row>
    <row r="837" ht="15.75" customHeight="1">
      <c r="A837" s="1">
        <f>IFERROR(__xludf.DUMMYFUNCTION("""COMPUTED_VALUE"""),45085.66666666667)</f>
        <v>45085.66667</v>
      </c>
      <c r="B837" s="2">
        <f>IFERROR(__xludf.DUMMYFUNCTION("""COMPUTED_VALUE"""),5375.0)</f>
        <v>5375</v>
      </c>
      <c r="C837" s="2">
        <f>IFERROR(__xludf.DUMMYFUNCTION("""COMPUTED_VALUE"""),5475.0)</f>
        <v>5475</v>
      </c>
      <c r="D837" s="2">
        <f>IFERROR(__xludf.DUMMYFUNCTION("""COMPUTED_VALUE"""),5350.0)</f>
        <v>5350</v>
      </c>
      <c r="E837" s="2">
        <f>IFERROR(__xludf.DUMMYFUNCTION("""COMPUTED_VALUE"""),5475.0)</f>
        <v>5475</v>
      </c>
      <c r="F837" s="2">
        <f>IFERROR(__xludf.DUMMYFUNCTION("""COMPUTED_VALUE"""),9.27941E7)</f>
        <v>92794100</v>
      </c>
      <c r="G837" s="2">
        <f t="shared" si="1"/>
        <v>125</v>
      </c>
    </row>
    <row r="838" ht="15.75" customHeight="1">
      <c r="A838" s="1">
        <f>IFERROR(__xludf.DUMMYFUNCTION("""COMPUTED_VALUE"""),45086.66666666667)</f>
        <v>45086.66667</v>
      </c>
      <c r="B838" s="2">
        <f>IFERROR(__xludf.DUMMYFUNCTION("""COMPUTED_VALUE"""),5425.0)</f>
        <v>5425</v>
      </c>
      <c r="C838" s="2">
        <f>IFERROR(__xludf.DUMMYFUNCTION("""COMPUTED_VALUE"""),5450.0)</f>
        <v>5450</v>
      </c>
      <c r="D838" s="2">
        <f>IFERROR(__xludf.DUMMYFUNCTION("""COMPUTED_VALUE"""),5375.0)</f>
        <v>5375</v>
      </c>
      <c r="E838" s="2">
        <f>IFERROR(__xludf.DUMMYFUNCTION("""COMPUTED_VALUE"""),5425.0)</f>
        <v>5425</v>
      </c>
      <c r="F838" s="2">
        <f>IFERROR(__xludf.DUMMYFUNCTION("""COMPUTED_VALUE"""),7.7251E7)</f>
        <v>77251000</v>
      </c>
      <c r="G838" s="2">
        <f t="shared" si="1"/>
        <v>100</v>
      </c>
    </row>
    <row r="839" ht="15.75" customHeight="1">
      <c r="A839" s="1">
        <f>IFERROR(__xludf.DUMMYFUNCTION("""COMPUTED_VALUE"""),45089.66666666667)</f>
        <v>45089.66667</v>
      </c>
      <c r="B839" s="2">
        <f>IFERROR(__xludf.DUMMYFUNCTION("""COMPUTED_VALUE"""),5400.0)</f>
        <v>5400</v>
      </c>
      <c r="C839" s="2">
        <f>IFERROR(__xludf.DUMMYFUNCTION("""COMPUTED_VALUE"""),5400.0)</f>
        <v>5400</v>
      </c>
      <c r="D839" s="2">
        <f>IFERROR(__xludf.DUMMYFUNCTION("""COMPUTED_VALUE"""),5375.0)</f>
        <v>5375</v>
      </c>
      <c r="E839" s="2">
        <f>IFERROR(__xludf.DUMMYFUNCTION("""COMPUTED_VALUE"""),5400.0)</f>
        <v>5400</v>
      </c>
      <c r="F839" s="2">
        <f>IFERROR(__xludf.DUMMYFUNCTION("""COMPUTED_VALUE"""),9.23142E7)</f>
        <v>92314200</v>
      </c>
      <c r="G839" s="2">
        <f t="shared" si="1"/>
        <v>50</v>
      </c>
    </row>
    <row r="840" ht="15.75" customHeight="1">
      <c r="A840" s="1">
        <f>IFERROR(__xludf.DUMMYFUNCTION("""COMPUTED_VALUE"""),45090.66666666667)</f>
        <v>45090.66667</v>
      </c>
      <c r="B840" s="2">
        <f>IFERROR(__xludf.DUMMYFUNCTION("""COMPUTED_VALUE"""),5400.0)</f>
        <v>5400</v>
      </c>
      <c r="C840" s="2">
        <f>IFERROR(__xludf.DUMMYFUNCTION("""COMPUTED_VALUE"""),5550.0)</f>
        <v>5550</v>
      </c>
      <c r="D840" s="2">
        <f>IFERROR(__xludf.DUMMYFUNCTION("""COMPUTED_VALUE"""),5400.0)</f>
        <v>5400</v>
      </c>
      <c r="E840" s="2">
        <f>IFERROR(__xludf.DUMMYFUNCTION("""COMPUTED_VALUE"""),5550.0)</f>
        <v>5550</v>
      </c>
      <c r="F840" s="2">
        <f>IFERROR(__xludf.DUMMYFUNCTION("""COMPUTED_VALUE"""),1.088314E8)</f>
        <v>108831400</v>
      </c>
      <c r="G840" s="2">
        <f t="shared" si="1"/>
        <v>150</v>
      </c>
    </row>
    <row r="841" ht="15.75" customHeight="1">
      <c r="A841" s="1">
        <f>IFERROR(__xludf.DUMMYFUNCTION("""COMPUTED_VALUE"""),45091.66666666667)</f>
        <v>45091.66667</v>
      </c>
      <c r="B841" s="2">
        <f>IFERROR(__xludf.DUMMYFUNCTION("""COMPUTED_VALUE"""),5575.0)</f>
        <v>5575</v>
      </c>
      <c r="C841" s="2">
        <f>IFERROR(__xludf.DUMMYFUNCTION("""COMPUTED_VALUE"""),5575.0)</f>
        <v>5575</v>
      </c>
      <c r="D841" s="2">
        <f>IFERROR(__xludf.DUMMYFUNCTION("""COMPUTED_VALUE"""),5475.0)</f>
        <v>5475</v>
      </c>
      <c r="E841" s="2">
        <f>IFERROR(__xludf.DUMMYFUNCTION("""COMPUTED_VALUE"""),5550.0)</f>
        <v>5550</v>
      </c>
      <c r="F841" s="2">
        <f>IFERROR(__xludf.DUMMYFUNCTION("""COMPUTED_VALUE"""),7.91376E7)</f>
        <v>79137600</v>
      </c>
      <c r="G841" s="2">
        <f t="shared" si="1"/>
        <v>100</v>
      </c>
    </row>
    <row r="842" ht="15.75" customHeight="1">
      <c r="A842" s="1">
        <f>IFERROR(__xludf.DUMMYFUNCTION("""COMPUTED_VALUE"""),45092.66666666667)</f>
        <v>45092.66667</v>
      </c>
      <c r="B842" s="2">
        <f>IFERROR(__xludf.DUMMYFUNCTION("""COMPUTED_VALUE"""),5475.0)</f>
        <v>5475</v>
      </c>
      <c r="C842" s="2">
        <f>IFERROR(__xludf.DUMMYFUNCTION("""COMPUTED_VALUE"""),5525.0)</f>
        <v>5525</v>
      </c>
      <c r="D842" s="2">
        <f>IFERROR(__xludf.DUMMYFUNCTION("""COMPUTED_VALUE"""),5450.0)</f>
        <v>5450</v>
      </c>
      <c r="E842" s="2">
        <f>IFERROR(__xludf.DUMMYFUNCTION("""COMPUTED_VALUE"""),5525.0)</f>
        <v>5525</v>
      </c>
      <c r="F842" s="2">
        <f>IFERROR(__xludf.DUMMYFUNCTION("""COMPUTED_VALUE"""),7.43884E7)</f>
        <v>74388400</v>
      </c>
      <c r="G842" s="2">
        <f t="shared" si="1"/>
        <v>100</v>
      </c>
    </row>
    <row r="843" ht="15.75" customHeight="1">
      <c r="A843" s="1">
        <f>IFERROR(__xludf.DUMMYFUNCTION("""COMPUTED_VALUE"""),45093.66666666667)</f>
        <v>45093.66667</v>
      </c>
      <c r="B843" s="2">
        <f>IFERROR(__xludf.DUMMYFUNCTION("""COMPUTED_VALUE"""),5475.0)</f>
        <v>5475</v>
      </c>
      <c r="C843" s="2">
        <f>IFERROR(__xludf.DUMMYFUNCTION("""COMPUTED_VALUE"""),5550.0)</f>
        <v>5550</v>
      </c>
      <c r="D843" s="2">
        <f>IFERROR(__xludf.DUMMYFUNCTION("""COMPUTED_VALUE"""),5400.0)</f>
        <v>5400</v>
      </c>
      <c r="E843" s="2">
        <f>IFERROR(__xludf.DUMMYFUNCTION("""COMPUTED_VALUE"""),5550.0)</f>
        <v>5550</v>
      </c>
      <c r="F843" s="2">
        <f>IFERROR(__xludf.DUMMYFUNCTION("""COMPUTED_VALUE"""),1.890626E8)</f>
        <v>189062600</v>
      </c>
      <c r="G843" s="2">
        <f t="shared" si="1"/>
        <v>150</v>
      </c>
    </row>
    <row r="844" ht="15.75" customHeight="1">
      <c r="A844" s="1">
        <f>IFERROR(__xludf.DUMMYFUNCTION("""COMPUTED_VALUE"""),45096.66666666667)</f>
        <v>45096.66667</v>
      </c>
      <c r="B844" s="2">
        <f>IFERROR(__xludf.DUMMYFUNCTION("""COMPUTED_VALUE"""),5500.0)</f>
        <v>5500</v>
      </c>
      <c r="C844" s="2">
        <f>IFERROR(__xludf.DUMMYFUNCTION("""COMPUTED_VALUE"""),5525.0)</f>
        <v>5525</v>
      </c>
      <c r="D844" s="2">
        <f>IFERROR(__xludf.DUMMYFUNCTION("""COMPUTED_VALUE"""),5450.0)</f>
        <v>5450</v>
      </c>
      <c r="E844" s="2">
        <f>IFERROR(__xludf.DUMMYFUNCTION("""COMPUTED_VALUE"""),5525.0)</f>
        <v>5525</v>
      </c>
      <c r="F844" s="2">
        <f>IFERROR(__xludf.DUMMYFUNCTION("""COMPUTED_VALUE"""),5.51442E7)</f>
        <v>55144200</v>
      </c>
      <c r="G844" s="2">
        <f t="shared" si="1"/>
        <v>100</v>
      </c>
    </row>
    <row r="845" ht="15.75" customHeight="1">
      <c r="A845" s="1">
        <f>IFERROR(__xludf.DUMMYFUNCTION("""COMPUTED_VALUE"""),45097.66666666667)</f>
        <v>45097.66667</v>
      </c>
      <c r="B845" s="2">
        <f>IFERROR(__xludf.DUMMYFUNCTION("""COMPUTED_VALUE"""),5475.0)</f>
        <v>5475</v>
      </c>
      <c r="C845" s="2">
        <f>IFERROR(__xludf.DUMMYFUNCTION("""COMPUTED_VALUE"""),5550.0)</f>
        <v>5550</v>
      </c>
      <c r="D845" s="2">
        <f>IFERROR(__xludf.DUMMYFUNCTION("""COMPUTED_VALUE"""),5475.0)</f>
        <v>5475</v>
      </c>
      <c r="E845" s="2">
        <f>IFERROR(__xludf.DUMMYFUNCTION("""COMPUTED_VALUE"""),5550.0)</f>
        <v>5550</v>
      </c>
      <c r="F845" s="2">
        <f>IFERROR(__xludf.DUMMYFUNCTION("""COMPUTED_VALUE"""),1.029268E8)</f>
        <v>102926800</v>
      </c>
      <c r="G845" s="2">
        <f t="shared" si="1"/>
        <v>75</v>
      </c>
    </row>
    <row r="846" ht="15.75" customHeight="1">
      <c r="A846" s="1">
        <f>IFERROR(__xludf.DUMMYFUNCTION("""COMPUTED_VALUE"""),45098.66666666667)</f>
        <v>45098.66667</v>
      </c>
      <c r="B846" s="2">
        <f>IFERROR(__xludf.DUMMYFUNCTION("""COMPUTED_VALUE"""),5500.0)</f>
        <v>5500</v>
      </c>
      <c r="C846" s="2">
        <f>IFERROR(__xludf.DUMMYFUNCTION("""COMPUTED_VALUE"""),5575.0)</f>
        <v>5575</v>
      </c>
      <c r="D846" s="2">
        <f>IFERROR(__xludf.DUMMYFUNCTION("""COMPUTED_VALUE"""),5500.0)</f>
        <v>5500</v>
      </c>
      <c r="E846" s="2">
        <f>IFERROR(__xludf.DUMMYFUNCTION("""COMPUTED_VALUE"""),5575.0)</f>
        <v>5575</v>
      </c>
      <c r="F846" s="2">
        <f>IFERROR(__xludf.DUMMYFUNCTION("""COMPUTED_VALUE"""),8.46054E7)</f>
        <v>84605400</v>
      </c>
      <c r="G846" s="2">
        <f t="shared" si="1"/>
        <v>75</v>
      </c>
    </row>
    <row r="847" ht="15.75" customHeight="1">
      <c r="A847" s="1">
        <f>IFERROR(__xludf.DUMMYFUNCTION("""COMPUTED_VALUE"""),45099.66666666667)</f>
        <v>45099.66667</v>
      </c>
      <c r="B847" s="2">
        <f>IFERROR(__xludf.DUMMYFUNCTION("""COMPUTED_VALUE"""),5550.0)</f>
        <v>5550</v>
      </c>
      <c r="C847" s="2">
        <f>IFERROR(__xludf.DUMMYFUNCTION("""COMPUTED_VALUE"""),5600.0)</f>
        <v>5600</v>
      </c>
      <c r="D847" s="2">
        <f>IFERROR(__xludf.DUMMYFUNCTION("""COMPUTED_VALUE"""),5475.0)</f>
        <v>5475</v>
      </c>
      <c r="E847" s="2">
        <f>IFERROR(__xludf.DUMMYFUNCTION("""COMPUTED_VALUE"""),5475.0)</f>
        <v>5475</v>
      </c>
      <c r="F847" s="2">
        <f>IFERROR(__xludf.DUMMYFUNCTION("""COMPUTED_VALUE"""),9.41432E7)</f>
        <v>94143200</v>
      </c>
      <c r="G847" s="2">
        <f t="shared" si="1"/>
        <v>125</v>
      </c>
    </row>
    <row r="848" ht="15.75" customHeight="1">
      <c r="A848" s="1">
        <f>IFERROR(__xludf.DUMMYFUNCTION("""COMPUTED_VALUE"""),45100.66666666667)</f>
        <v>45100.66667</v>
      </c>
      <c r="B848" s="2">
        <f>IFERROR(__xludf.DUMMYFUNCTION("""COMPUTED_VALUE"""),5425.0)</f>
        <v>5425</v>
      </c>
      <c r="C848" s="2">
        <f>IFERROR(__xludf.DUMMYFUNCTION("""COMPUTED_VALUE"""),5475.0)</f>
        <v>5475</v>
      </c>
      <c r="D848" s="2">
        <f>IFERROR(__xludf.DUMMYFUNCTION("""COMPUTED_VALUE"""),5400.0)</f>
        <v>5400</v>
      </c>
      <c r="E848" s="2">
        <f>IFERROR(__xludf.DUMMYFUNCTION("""COMPUTED_VALUE"""),5400.0)</f>
        <v>5400</v>
      </c>
      <c r="F848" s="2">
        <f>IFERROR(__xludf.DUMMYFUNCTION("""COMPUTED_VALUE"""),1.233503E8)</f>
        <v>123350300</v>
      </c>
      <c r="G848" s="2">
        <f t="shared" si="1"/>
        <v>75</v>
      </c>
    </row>
    <row r="849" ht="15.75" customHeight="1">
      <c r="A849" s="1">
        <f>IFERROR(__xludf.DUMMYFUNCTION("""COMPUTED_VALUE"""),45103.66666666667)</f>
        <v>45103.66667</v>
      </c>
      <c r="B849" s="2">
        <f>IFERROR(__xludf.DUMMYFUNCTION("""COMPUTED_VALUE"""),5425.0)</f>
        <v>5425</v>
      </c>
      <c r="C849" s="2">
        <f>IFERROR(__xludf.DUMMYFUNCTION("""COMPUTED_VALUE"""),5475.0)</f>
        <v>5475</v>
      </c>
      <c r="D849" s="2">
        <f>IFERROR(__xludf.DUMMYFUNCTION("""COMPUTED_VALUE"""),5375.0)</f>
        <v>5375</v>
      </c>
      <c r="E849" s="2">
        <f>IFERROR(__xludf.DUMMYFUNCTION("""COMPUTED_VALUE"""),5450.0)</f>
        <v>5450</v>
      </c>
      <c r="F849" s="2">
        <f>IFERROR(__xludf.DUMMYFUNCTION("""COMPUTED_VALUE"""),8.54721E7)</f>
        <v>85472100</v>
      </c>
      <c r="G849" s="2">
        <f t="shared" si="1"/>
        <v>100</v>
      </c>
    </row>
    <row r="850" ht="15.75" customHeight="1">
      <c r="A850" s="1">
        <f>IFERROR(__xludf.DUMMYFUNCTION("""COMPUTED_VALUE"""),45104.66666666667)</f>
        <v>45104.66667</v>
      </c>
      <c r="B850" s="2">
        <f>IFERROR(__xludf.DUMMYFUNCTION("""COMPUTED_VALUE"""),5450.0)</f>
        <v>5450</v>
      </c>
      <c r="C850" s="2">
        <f>IFERROR(__xludf.DUMMYFUNCTION("""COMPUTED_VALUE"""),5500.0)</f>
        <v>5500</v>
      </c>
      <c r="D850" s="2">
        <f>IFERROR(__xludf.DUMMYFUNCTION("""COMPUTED_VALUE"""),5425.0)</f>
        <v>5425</v>
      </c>
      <c r="E850" s="2">
        <f>IFERROR(__xludf.DUMMYFUNCTION("""COMPUTED_VALUE"""),5425.0)</f>
        <v>5425</v>
      </c>
      <c r="F850" s="2">
        <f>IFERROR(__xludf.DUMMYFUNCTION("""COMPUTED_VALUE"""),1.107165E8)</f>
        <v>110716500</v>
      </c>
      <c r="G850" s="2">
        <f t="shared" si="1"/>
        <v>75</v>
      </c>
    </row>
    <row r="851" ht="15.75" customHeight="1">
      <c r="A851" s="1">
        <f>IFERROR(__xludf.DUMMYFUNCTION("""COMPUTED_VALUE"""),45110.66666666667)</f>
        <v>45110.66667</v>
      </c>
      <c r="B851" s="2">
        <f>IFERROR(__xludf.DUMMYFUNCTION("""COMPUTED_VALUE"""),5500.0)</f>
        <v>5500</v>
      </c>
      <c r="C851" s="2">
        <f>IFERROR(__xludf.DUMMYFUNCTION("""COMPUTED_VALUE"""),5550.0)</f>
        <v>5550</v>
      </c>
      <c r="D851" s="2">
        <f>IFERROR(__xludf.DUMMYFUNCTION("""COMPUTED_VALUE"""),5450.0)</f>
        <v>5450</v>
      </c>
      <c r="E851" s="2">
        <f>IFERROR(__xludf.DUMMYFUNCTION("""COMPUTED_VALUE"""),5475.0)</f>
        <v>5475</v>
      </c>
      <c r="F851" s="2">
        <f>IFERROR(__xludf.DUMMYFUNCTION("""COMPUTED_VALUE"""),1.685598E8)</f>
        <v>168559800</v>
      </c>
      <c r="G851" s="2">
        <f t="shared" si="1"/>
        <v>125</v>
      </c>
    </row>
    <row r="852" ht="15.75" customHeight="1">
      <c r="A852" s="1">
        <f>IFERROR(__xludf.DUMMYFUNCTION("""COMPUTED_VALUE"""),45111.66666666667)</f>
        <v>45111.66667</v>
      </c>
      <c r="B852" s="2">
        <f>IFERROR(__xludf.DUMMYFUNCTION("""COMPUTED_VALUE"""),5500.0)</f>
        <v>5500</v>
      </c>
      <c r="C852" s="2">
        <f>IFERROR(__xludf.DUMMYFUNCTION("""COMPUTED_VALUE"""),5500.0)</f>
        <v>5500</v>
      </c>
      <c r="D852" s="2">
        <f>IFERROR(__xludf.DUMMYFUNCTION("""COMPUTED_VALUE"""),5425.0)</f>
        <v>5425</v>
      </c>
      <c r="E852" s="2">
        <f>IFERROR(__xludf.DUMMYFUNCTION("""COMPUTED_VALUE"""),5450.0)</f>
        <v>5450</v>
      </c>
      <c r="F852" s="2">
        <f>IFERROR(__xludf.DUMMYFUNCTION("""COMPUTED_VALUE"""),9.44626E7)</f>
        <v>94462600</v>
      </c>
      <c r="G852" s="2">
        <f t="shared" si="1"/>
        <v>75</v>
      </c>
    </row>
    <row r="853" ht="15.75" customHeight="1">
      <c r="A853" s="1">
        <f>IFERROR(__xludf.DUMMYFUNCTION("""COMPUTED_VALUE"""),45112.66666666667)</f>
        <v>45112.66667</v>
      </c>
      <c r="B853" s="2">
        <f>IFERROR(__xludf.DUMMYFUNCTION("""COMPUTED_VALUE"""),5400.0)</f>
        <v>5400</v>
      </c>
      <c r="C853" s="2">
        <f>IFERROR(__xludf.DUMMYFUNCTION("""COMPUTED_VALUE"""),5450.0)</f>
        <v>5450</v>
      </c>
      <c r="D853" s="2">
        <f>IFERROR(__xludf.DUMMYFUNCTION("""COMPUTED_VALUE"""),5400.0)</f>
        <v>5400</v>
      </c>
      <c r="E853" s="2">
        <f>IFERROR(__xludf.DUMMYFUNCTION("""COMPUTED_VALUE"""),5450.0)</f>
        <v>5450</v>
      </c>
      <c r="F853" s="2">
        <f>IFERROR(__xludf.DUMMYFUNCTION("""COMPUTED_VALUE"""),1.096328E8)</f>
        <v>109632800</v>
      </c>
      <c r="G853" s="2">
        <f t="shared" si="1"/>
        <v>50</v>
      </c>
    </row>
    <row r="854" ht="15.75" customHeight="1">
      <c r="A854" s="1">
        <f>IFERROR(__xludf.DUMMYFUNCTION("""COMPUTED_VALUE"""),45113.66666666667)</f>
        <v>45113.66667</v>
      </c>
      <c r="B854" s="2">
        <f>IFERROR(__xludf.DUMMYFUNCTION("""COMPUTED_VALUE"""),5450.0)</f>
        <v>5450</v>
      </c>
      <c r="C854" s="2">
        <f>IFERROR(__xludf.DUMMYFUNCTION("""COMPUTED_VALUE"""),5475.0)</f>
        <v>5475</v>
      </c>
      <c r="D854" s="2">
        <f>IFERROR(__xludf.DUMMYFUNCTION("""COMPUTED_VALUE"""),5400.0)</f>
        <v>5400</v>
      </c>
      <c r="E854" s="2">
        <f>IFERROR(__xludf.DUMMYFUNCTION("""COMPUTED_VALUE"""),5425.0)</f>
        <v>5425</v>
      </c>
      <c r="F854" s="2">
        <f>IFERROR(__xludf.DUMMYFUNCTION("""COMPUTED_VALUE"""),1.094462E8)</f>
        <v>109446200</v>
      </c>
      <c r="G854" s="2">
        <f t="shared" si="1"/>
        <v>75</v>
      </c>
    </row>
    <row r="855" ht="15.75" customHeight="1">
      <c r="A855" s="1">
        <f>IFERROR(__xludf.DUMMYFUNCTION("""COMPUTED_VALUE"""),45114.66666666667)</f>
        <v>45114.66667</v>
      </c>
      <c r="B855" s="2">
        <f>IFERROR(__xludf.DUMMYFUNCTION("""COMPUTED_VALUE"""),5400.0)</f>
        <v>5400</v>
      </c>
      <c r="C855" s="2">
        <f>IFERROR(__xludf.DUMMYFUNCTION("""COMPUTED_VALUE"""),5425.0)</f>
        <v>5425</v>
      </c>
      <c r="D855" s="2">
        <f>IFERROR(__xludf.DUMMYFUNCTION("""COMPUTED_VALUE"""),5375.0)</f>
        <v>5375</v>
      </c>
      <c r="E855" s="2">
        <f>IFERROR(__xludf.DUMMYFUNCTION("""COMPUTED_VALUE"""),5375.0)</f>
        <v>5375</v>
      </c>
      <c r="F855" s="2">
        <f>IFERROR(__xludf.DUMMYFUNCTION("""COMPUTED_VALUE"""),1.140438E8)</f>
        <v>114043800</v>
      </c>
      <c r="G855" s="2">
        <f t="shared" si="1"/>
        <v>50</v>
      </c>
    </row>
    <row r="856" ht="15.75" customHeight="1">
      <c r="A856" s="1">
        <f>IFERROR(__xludf.DUMMYFUNCTION("""COMPUTED_VALUE"""),45117.66666666667)</f>
        <v>45117.66667</v>
      </c>
      <c r="B856" s="2">
        <f>IFERROR(__xludf.DUMMYFUNCTION("""COMPUTED_VALUE"""),5425.0)</f>
        <v>5425</v>
      </c>
      <c r="C856" s="2">
        <f>IFERROR(__xludf.DUMMYFUNCTION("""COMPUTED_VALUE"""),5500.0)</f>
        <v>5500</v>
      </c>
      <c r="D856" s="2">
        <f>IFERROR(__xludf.DUMMYFUNCTION("""COMPUTED_VALUE"""),5400.0)</f>
        <v>5400</v>
      </c>
      <c r="E856" s="2">
        <f>IFERROR(__xludf.DUMMYFUNCTION("""COMPUTED_VALUE"""),5400.0)</f>
        <v>5400</v>
      </c>
      <c r="F856" s="2">
        <f>IFERROR(__xludf.DUMMYFUNCTION("""COMPUTED_VALUE"""),7.89721E7)</f>
        <v>78972100</v>
      </c>
      <c r="G856" s="2">
        <f t="shared" si="1"/>
        <v>125</v>
      </c>
    </row>
    <row r="857" ht="15.75" customHeight="1">
      <c r="A857" s="1">
        <f>IFERROR(__xludf.DUMMYFUNCTION("""COMPUTED_VALUE"""),45118.66666666667)</f>
        <v>45118.66667</v>
      </c>
      <c r="B857" s="2">
        <f>IFERROR(__xludf.DUMMYFUNCTION("""COMPUTED_VALUE"""),5375.0)</f>
        <v>5375</v>
      </c>
      <c r="C857" s="2">
        <f>IFERROR(__xludf.DUMMYFUNCTION("""COMPUTED_VALUE"""),5450.0)</f>
        <v>5450</v>
      </c>
      <c r="D857" s="2">
        <f>IFERROR(__xludf.DUMMYFUNCTION("""COMPUTED_VALUE"""),5375.0)</f>
        <v>5375</v>
      </c>
      <c r="E857" s="2">
        <f>IFERROR(__xludf.DUMMYFUNCTION("""COMPUTED_VALUE"""),5425.0)</f>
        <v>5425</v>
      </c>
      <c r="F857" s="2">
        <f>IFERROR(__xludf.DUMMYFUNCTION("""COMPUTED_VALUE"""),1.220947E8)</f>
        <v>122094700</v>
      </c>
      <c r="G857" s="2">
        <f t="shared" si="1"/>
        <v>75</v>
      </c>
    </row>
    <row r="858" ht="15.75" customHeight="1">
      <c r="A858" s="1">
        <f>IFERROR(__xludf.DUMMYFUNCTION("""COMPUTED_VALUE"""),45119.66666666667)</f>
        <v>45119.66667</v>
      </c>
      <c r="B858" s="2">
        <f>IFERROR(__xludf.DUMMYFUNCTION("""COMPUTED_VALUE"""),5450.0)</f>
        <v>5450</v>
      </c>
      <c r="C858" s="2">
        <f>IFERROR(__xludf.DUMMYFUNCTION("""COMPUTED_VALUE"""),5475.0)</f>
        <v>5475</v>
      </c>
      <c r="D858" s="2">
        <f>IFERROR(__xludf.DUMMYFUNCTION("""COMPUTED_VALUE"""),5425.0)</f>
        <v>5425</v>
      </c>
      <c r="E858" s="2">
        <f>IFERROR(__xludf.DUMMYFUNCTION("""COMPUTED_VALUE"""),5450.0)</f>
        <v>5450</v>
      </c>
      <c r="F858" s="2">
        <f>IFERROR(__xludf.DUMMYFUNCTION("""COMPUTED_VALUE"""),1.049937E8)</f>
        <v>104993700</v>
      </c>
      <c r="G858" s="2">
        <f t="shared" si="1"/>
        <v>50</v>
      </c>
    </row>
    <row r="859" ht="15.75" customHeight="1">
      <c r="A859" s="1">
        <f>IFERROR(__xludf.DUMMYFUNCTION("""COMPUTED_VALUE"""),45120.66666666667)</f>
        <v>45120.66667</v>
      </c>
      <c r="B859" s="2">
        <f>IFERROR(__xludf.DUMMYFUNCTION("""COMPUTED_VALUE"""),5425.0)</f>
        <v>5425</v>
      </c>
      <c r="C859" s="2">
        <f>IFERROR(__xludf.DUMMYFUNCTION("""COMPUTED_VALUE"""),5475.0)</f>
        <v>5475</v>
      </c>
      <c r="D859" s="2">
        <f>IFERROR(__xludf.DUMMYFUNCTION("""COMPUTED_VALUE"""),5425.0)</f>
        <v>5425</v>
      </c>
      <c r="E859" s="2">
        <f>IFERROR(__xludf.DUMMYFUNCTION("""COMPUTED_VALUE"""),5450.0)</f>
        <v>5450</v>
      </c>
      <c r="F859" s="2">
        <f>IFERROR(__xludf.DUMMYFUNCTION("""COMPUTED_VALUE"""),1.349057E8)</f>
        <v>134905700</v>
      </c>
      <c r="G859" s="2">
        <f t="shared" si="1"/>
        <v>50</v>
      </c>
    </row>
    <row r="860" ht="15.75" customHeight="1">
      <c r="A860" s="1">
        <f>IFERROR(__xludf.DUMMYFUNCTION("""COMPUTED_VALUE"""),45121.66666666667)</f>
        <v>45121.66667</v>
      </c>
      <c r="B860" s="2">
        <f>IFERROR(__xludf.DUMMYFUNCTION("""COMPUTED_VALUE"""),5450.0)</f>
        <v>5450</v>
      </c>
      <c r="C860" s="2">
        <f>IFERROR(__xludf.DUMMYFUNCTION("""COMPUTED_VALUE"""),5525.0)</f>
        <v>5525</v>
      </c>
      <c r="D860" s="2">
        <f>IFERROR(__xludf.DUMMYFUNCTION("""COMPUTED_VALUE"""),5425.0)</f>
        <v>5425</v>
      </c>
      <c r="E860" s="2">
        <f>IFERROR(__xludf.DUMMYFUNCTION("""COMPUTED_VALUE"""),5525.0)</f>
        <v>5525</v>
      </c>
      <c r="F860" s="2">
        <f>IFERROR(__xludf.DUMMYFUNCTION("""COMPUTED_VALUE"""),1.278142E8)</f>
        <v>127814200</v>
      </c>
      <c r="G860" s="2">
        <f t="shared" si="1"/>
        <v>100</v>
      </c>
    </row>
    <row r="861" ht="15.75" customHeight="1">
      <c r="A861" s="1">
        <f>IFERROR(__xludf.DUMMYFUNCTION("""COMPUTED_VALUE"""),45124.66666666667)</f>
        <v>45124.66667</v>
      </c>
      <c r="B861" s="2">
        <f>IFERROR(__xludf.DUMMYFUNCTION("""COMPUTED_VALUE"""),5550.0)</f>
        <v>5550</v>
      </c>
      <c r="C861" s="2">
        <f>IFERROR(__xludf.DUMMYFUNCTION("""COMPUTED_VALUE"""),5625.0)</f>
        <v>5625</v>
      </c>
      <c r="D861" s="2">
        <f>IFERROR(__xludf.DUMMYFUNCTION("""COMPUTED_VALUE"""),5525.0)</f>
        <v>5525</v>
      </c>
      <c r="E861" s="2">
        <f>IFERROR(__xludf.DUMMYFUNCTION("""COMPUTED_VALUE"""),5575.0)</f>
        <v>5575</v>
      </c>
      <c r="F861" s="2">
        <f>IFERROR(__xludf.DUMMYFUNCTION("""COMPUTED_VALUE"""),1.669513E8)</f>
        <v>166951300</v>
      </c>
      <c r="G861" s="2">
        <f t="shared" si="1"/>
        <v>100</v>
      </c>
    </row>
    <row r="862" ht="15.75" customHeight="1">
      <c r="A862" s="1">
        <f>IFERROR(__xludf.DUMMYFUNCTION("""COMPUTED_VALUE"""),45125.66666666667)</f>
        <v>45125.66667</v>
      </c>
      <c r="B862" s="2">
        <f>IFERROR(__xludf.DUMMYFUNCTION("""COMPUTED_VALUE"""),5625.0)</f>
        <v>5625</v>
      </c>
      <c r="C862" s="2">
        <f>IFERROR(__xludf.DUMMYFUNCTION("""COMPUTED_VALUE"""),5700.0)</f>
        <v>5700</v>
      </c>
      <c r="D862" s="2">
        <f>IFERROR(__xludf.DUMMYFUNCTION("""COMPUTED_VALUE"""),5600.0)</f>
        <v>5600</v>
      </c>
      <c r="E862" s="2">
        <f>IFERROR(__xludf.DUMMYFUNCTION("""COMPUTED_VALUE"""),5625.0)</f>
        <v>5625</v>
      </c>
      <c r="F862" s="2">
        <f>IFERROR(__xludf.DUMMYFUNCTION("""COMPUTED_VALUE"""),1.208103E8)</f>
        <v>120810300</v>
      </c>
      <c r="G862" s="2">
        <f t="shared" si="1"/>
        <v>125</v>
      </c>
    </row>
    <row r="863" ht="15.75" customHeight="1">
      <c r="A863" s="1">
        <f>IFERROR(__xludf.DUMMYFUNCTION("""COMPUTED_VALUE"""),45127.66666666667)</f>
        <v>45127.66667</v>
      </c>
      <c r="B863" s="2">
        <f>IFERROR(__xludf.DUMMYFUNCTION("""COMPUTED_VALUE"""),5575.0)</f>
        <v>5575</v>
      </c>
      <c r="C863" s="2">
        <f>IFERROR(__xludf.DUMMYFUNCTION("""COMPUTED_VALUE"""),5650.0)</f>
        <v>5650</v>
      </c>
      <c r="D863" s="2">
        <f>IFERROR(__xludf.DUMMYFUNCTION("""COMPUTED_VALUE"""),5550.0)</f>
        <v>5550</v>
      </c>
      <c r="E863" s="2">
        <f>IFERROR(__xludf.DUMMYFUNCTION("""COMPUTED_VALUE"""),5625.0)</f>
        <v>5625</v>
      </c>
      <c r="F863" s="2">
        <f>IFERROR(__xludf.DUMMYFUNCTION("""COMPUTED_VALUE"""),1.111173E8)</f>
        <v>111117300</v>
      </c>
      <c r="G863" s="2">
        <f t="shared" si="1"/>
        <v>100</v>
      </c>
    </row>
    <row r="864" ht="15.75" customHeight="1">
      <c r="A864" s="1">
        <f>IFERROR(__xludf.DUMMYFUNCTION("""COMPUTED_VALUE"""),45128.66666666667)</f>
        <v>45128.66667</v>
      </c>
      <c r="B864" s="2">
        <f>IFERROR(__xludf.DUMMYFUNCTION("""COMPUTED_VALUE"""),5600.0)</f>
        <v>5600</v>
      </c>
      <c r="C864" s="2">
        <f>IFERROR(__xludf.DUMMYFUNCTION("""COMPUTED_VALUE"""),5625.0)</f>
        <v>5625</v>
      </c>
      <c r="D864" s="2">
        <f>IFERROR(__xludf.DUMMYFUNCTION("""COMPUTED_VALUE"""),5575.0)</f>
        <v>5575</v>
      </c>
      <c r="E864" s="2">
        <f>IFERROR(__xludf.DUMMYFUNCTION("""COMPUTED_VALUE"""),5625.0)</f>
        <v>5625</v>
      </c>
      <c r="F864" s="2">
        <f>IFERROR(__xludf.DUMMYFUNCTION("""COMPUTED_VALUE"""),6.30946E7)</f>
        <v>63094600</v>
      </c>
      <c r="G864" s="2">
        <f t="shared" si="1"/>
        <v>50</v>
      </c>
    </row>
    <row r="865" ht="15.75" customHeight="1">
      <c r="A865" s="1">
        <f>IFERROR(__xludf.DUMMYFUNCTION("""COMPUTED_VALUE"""),45131.66666666667)</f>
        <v>45131.66667</v>
      </c>
      <c r="B865" s="2">
        <f>IFERROR(__xludf.DUMMYFUNCTION("""COMPUTED_VALUE"""),5600.0)</f>
        <v>5600</v>
      </c>
      <c r="C865" s="2">
        <f>IFERROR(__xludf.DUMMYFUNCTION("""COMPUTED_VALUE"""),5650.0)</f>
        <v>5650</v>
      </c>
      <c r="D865" s="2">
        <f>IFERROR(__xludf.DUMMYFUNCTION("""COMPUTED_VALUE"""),5600.0)</f>
        <v>5600</v>
      </c>
      <c r="E865" s="2">
        <f>IFERROR(__xludf.DUMMYFUNCTION("""COMPUTED_VALUE"""),5600.0)</f>
        <v>5600</v>
      </c>
      <c r="F865" s="2">
        <f>IFERROR(__xludf.DUMMYFUNCTION("""COMPUTED_VALUE"""),6.29625E7)</f>
        <v>62962500</v>
      </c>
      <c r="G865" s="2">
        <f t="shared" si="1"/>
        <v>50</v>
      </c>
    </row>
    <row r="866" ht="15.75" customHeight="1">
      <c r="A866" s="1">
        <f>IFERROR(__xludf.DUMMYFUNCTION("""COMPUTED_VALUE"""),45132.66666666667)</f>
        <v>45132.66667</v>
      </c>
      <c r="B866" s="2">
        <f>IFERROR(__xludf.DUMMYFUNCTION("""COMPUTED_VALUE"""),5625.0)</f>
        <v>5625</v>
      </c>
      <c r="C866" s="2">
        <f>IFERROR(__xludf.DUMMYFUNCTION("""COMPUTED_VALUE"""),5700.0)</f>
        <v>5700</v>
      </c>
      <c r="D866" s="2">
        <f>IFERROR(__xludf.DUMMYFUNCTION("""COMPUTED_VALUE"""),5625.0)</f>
        <v>5625</v>
      </c>
      <c r="E866" s="2">
        <f>IFERROR(__xludf.DUMMYFUNCTION("""COMPUTED_VALUE"""),5650.0)</f>
        <v>5650</v>
      </c>
      <c r="F866" s="2">
        <f>IFERROR(__xludf.DUMMYFUNCTION("""COMPUTED_VALUE"""),1.112481E8)</f>
        <v>111248100</v>
      </c>
      <c r="G866" s="2">
        <f t="shared" si="1"/>
        <v>100</v>
      </c>
    </row>
    <row r="867" ht="15.75" customHeight="1">
      <c r="A867" s="1">
        <f>IFERROR(__xludf.DUMMYFUNCTION("""COMPUTED_VALUE"""),45133.66666666667)</f>
        <v>45133.66667</v>
      </c>
      <c r="B867" s="2">
        <f>IFERROR(__xludf.DUMMYFUNCTION("""COMPUTED_VALUE"""),5700.0)</f>
        <v>5700</v>
      </c>
      <c r="C867" s="2">
        <f>IFERROR(__xludf.DUMMYFUNCTION("""COMPUTED_VALUE"""),5700.0)</f>
        <v>5700</v>
      </c>
      <c r="D867" s="2">
        <f>IFERROR(__xludf.DUMMYFUNCTION("""COMPUTED_VALUE"""),5650.0)</f>
        <v>5650</v>
      </c>
      <c r="E867" s="2">
        <f>IFERROR(__xludf.DUMMYFUNCTION("""COMPUTED_VALUE"""),5675.0)</f>
        <v>5675</v>
      </c>
      <c r="F867" s="2">
        <f>IFERROR(__xludf.DUMMYFUNCTION("""COMPUTED_VALUE"""),7.62003E7)</f>
        <v>76200300</v>
      </c>
      <c r="G867" s="2">
        <f t="shared" si="1"/>
        <v>50</v>
      </c>
    </row>
    <row r="868" ht="15.75" customHeight="1">
      <c r="A868" s="1">
        <f>IFERROR(__xludf.DUMMYFUNCTION("""COMPUTED_VALUE"""),45134.66666666667)</f>
        <v>45134.66667</v>
      </c>
      <c r="B868" s="2">
        <f>IFERROR(__xludf.DUMMYFUNCTION("""COMPUTED_VALUE"""),5675.0)</f>
        <v>5675</v>
      </c>
      <c r="C868" s="2">
        <f>IFERROR(__xludf.DUMMYFUNCTION("""COMPUTED_VALUE"""),5750.0)</f>
        <v>5750</v>
      </c>
      <c r="D868" s="2">
        <f>IFERROR(__xludf.DUMMYFUNCTION("""COMPUTED_VALUE"""),5650.0)</f>
        <v>5650</v>
      </c>
      <c r="E868" s="2">
        <f>IFERROR(__xludf.DUMMYFUNCTION("""COMPUTED_VALUE"""),5650.0)</f>
        <v>5650</v>
      </c>
      <c r="F868" s="2">
        <f>IFERROR(__xludf.DUMMYFUNCTION("""COMPUTED_VALUE"""),1.098592E8)</f>
        <v>109859200</v>
      </c>
      <c r="G868" s="2">
        <f t="shared" si="1"/>
        <v>100</v>
      </c>
    </row>
    <row r="869" ht="15.75" customHeight="1">
      <c r="A869" s="1">
        <f>IFERROR(__xludf.DUMMYFUNCTION("""COMPUTED_VALUE"""),45135.66666666667)</f>
        <v>45135.66667</v>
      </c>
      <c r="B869" s="2">
        <f>IFERROR(__xludf.DUMMYFUNCTION("""COMPUTED_VALUE"""),5625.0)</f>
        <v>5625</v>
      </c>
      <c r="C869" s="2">
        <f>IFERROR(__xludf.DUMMYFUNCTION("""COMPUTED_VALUE"""),5700.0)</f>
        <v>5700</v>
      </c>
      <c r="D869" s="2">
        <f>IFERROR(__xludf.DUMMYFUNCTION("""COMPUTED_VALUE"""),5625.0)</f>
        <v>5625</v>
      </c>
      <c r="E869" s="2">
        <f>IFERROR(__xludf.DUMMYFUNCTION("""COMPUTED_VALUE"""),5700.0)</f>
        <v>5700</v>
      </c>
      <c r="F869" s="2">
        <f>IFERROR(__xludf.DUMMYFUNCTION("""COMPUTED_VALUE"""),7.40367E7)</f>
        <v>74036700</v>
      </c>
      <c r="G869" s="2">
        <f t="shared" si="1"/>
        <v>75</v>
      </c>
    </row>
    <row r="870" ht="15.75" customHeight="1">
      <c r="A870" s="1">
        <f>IFERROR(__xludf.DUMMYFUNCTION("""COMPUTED_VALUE"""),45138.66666666667)</f>
        <v>45138.66667</v>
      </c>
      <c r="B870" s="2">
        <f>IFERROR(__xludf.DUMMYFUNCTION("""COMPUTED_VALUE"""),5700.0)</f>
        <v>5700</v>
      </c>
      <c r="C870" s="2">
        <f>IFERROR(__xludf.DUMMYFUNCTION("""COMPUTED_VALUE"""),5700.0)</f>
        <v>5700</v>
      </c>
      <c r="D870" s="2">
        <f>IFERROR(__xludf.DUMMYFUNCTION("""COMPUTED_VALUE"""),5650.0)</f>
        <v>5650</v>
      </c>
      <c r="E870" s="2">
        <f>IFERROR(__xludf.DUMMYFUNCTION("""COMPUTED_VALUE"""),5650.0)</f>
        <v>5650</v>
      </c>
      <c r="F870" s="2">
        <f>IFERROR(__xludf.DUMMYFUNCTION("""COMPUTED_VALUE"""),1.867274E8)</f>
        <v>186727400</v>
      </c>
      <c r="G870" s="2">
        <f t="shared" si="1"/>
        <v>50</v>
      </c>
    </row>
    <row r="871" ht="15.75" customHeight="1">
      <c r="A871" s="1">
        <f>IFERROR(__xludf.DUMMYFUNCTION("""COMPUTED_VALUE"""),45139.66666666667)</f>
        <v>45139.66667</v>
      </c>
      <c r="B871" s="2">
        <f>IFERROR(__xludf.DUMMYFUNCTION("""COMPUTED_VALUE"""),5650.0)</f>
        <v>5650</v>
      </c>
      <c r="C871" s="2">
        <f>IFERROR(__xludf.DUMMYFUNCTION("""COMPUTED_VALUE"""),5750.0)</f>
        <v>5750</v>
      </c>
      <c r="D871" s="2">
        <f>IFERROR(__xludf.DUMMYFUNCTION("""COMPUTED_VALUE"""),5650.0)</f>
        <v>5650</v>
      </c>
      <c r="E871" s="2">
        <f>IFERROR(__xludf.DUMMYFUNCTION("""COMPUTED_VALUE"""),5700.0)</f>
        <v>5700</v>
      </c>
      <c r="F871" s="2">
        <f>IFERROR(__xludf.DUMMYFUNCTION("""COMPUTED_VALUE"""),1.001375E8)</f>
        <v>100137500</v>
      </c>
      <c r="G871" s="2">
        <f t="shared" si="1"/>
        <v>100</v>
      </c>
    </row>
    <row r="872" ht="15.75" customHeight="1">
      <c r="A872" s="1">
        <f>IFERROR(__xludf.DUMMYFUNCTION("""COMPUTED_VALUE"""),45140.66666666667)</f>
        <v>45140.66667</v>
      </c>
      <c r="B872" s="2">
        <f>IFERROR(__xludf.DUMMYFUNCTION("""COMPUTED_VALUE"""),5650.0)</f>
        <v>5650</v>
      </c>
      <c r="C872" s="2">
        <f>IFERROR(__xludf.DUMMYFUNCTION("""COMPUTED_VALUE"""),5725.0)</f>
        <v>5725</v>
      </c>
      <c r="D872" s="2">
        <f>IFERROR(__xludf.DUMMYFUNCTION("""COMPUTED_VALUE"""),5650.0)</f>
        <v>5650</v>
      </c>
      <c r="E872" s="2">
        <f>IFERROR(__xludf.DUMMYFUNCTION("""COMPUTED_VALUE"""),5700.0)</f>
        <v>5700</v>
      </c>
      <c r="F872" s="2">
        <f>IFERROR(__xludf.DUMMYFUNCTION("""COMPUTED_VALUE"""),9.06113E7)</f>
        <v>90611300</v>
      </c>
      <c r="G872" s="2">
        <f t="shared" si="1"/>
        <v>75</v>
      </c>
    </row>
    <row r="873" ht="15.75" customHeight="1">
      <c r="A873" s="1">
        <f>IFERROR(__xludf.DUMMYFUNCTION("""COMPUTED_VALUE"""),45141.66666666667)</f>
        <v>45141.66667</v>
      </c>
      <c r="B873" s="2">
        <f>IFERROR(__xludf.DUMMYFUNCTION("""COMPUTED_VALUE"""),5675.0)</f>
        <v>5675</v>
      </c>
      <c r="C873" s="2">
        <f>IFERROR(__xludf.DUMMYFUNCTION("""COMPUTED_VALUE"""),5750.0)</f>
        <v>5750</v>
      </c>
      <c r="D873" s="2">
        <f>IFERROR(__xludf.DUMMYFUNCTION("""COMPUTED_VALUE"""),5650.0)</f>
        <v>5650</v>
      </c>
      <c r="E873" s="2">
        <f>IFERROR(__xludf.DUMMYFUNCTION("""COMPUTED_VALUE"""),5700.0)</f>
        <v>5700</v>
      </c>
      <c r="F873" s="2">
        <f>IFERROR(__xludf.DUMMYFUNCTION("""COMPUTED_VALUE"""),8.2775E7)</f>
        <v>82775000</v>
      </c>
      <c r="G873" s="2">
        <f t="shared" si="1"/>
        <v>100</v>
      </c>
    </row>
    <row r="874" ht="15.75" customHeight="1">
      <c r="A874" s="1">
        <f>IFERROR(__xludf.DUMMYFUNCTION("""COMPUTED_VALUE"""),45142.66666666667)</f>
        <v>45142.66667</v>
      </c>
      <c r="B874" s="2">
        <f>IFERROR(__xludf.DUMMYFUNCTION("""COMPUTED_VALUE"""),5700.0)</f>
        <v>5700</v>
      </c>
      <c r="C874" s="2">
        <f>IFERROR(__xludf.DUMMYFUNCTION("""COMPUTED_VALUE"""),5725.0)</f>
        <v>5725</v>
      </c>
      <c r="D874" s="2">
        <f>IFERROR(__xludf.DUMMYFUNCTION("""COMPUTED_VALUE"""),5575.0)</f>
        <v>5575</v>
      </c>
      <c r="E874" s="2">
        <f>IFERROR(__xludf.DUMMYFUNCTION("""COMPUTED_VALUE"""),5575.0)</f>
        <v>5575</v>
      </c>
      <c r="F874" s="2">
        <f>IFERROR(__xludf.DUMMYFUNCTION("""COMPUTED_VALUE"""),1.507385E8)</f>
        <v>150738500</v>
      </c>
      <c r="G874" s="2">
        <f t="shared" si="1"/>
        <v>150</v>
      </c>
    </row>
    <row r="875" ht="15.75" customHeight="1">
      <c r="A875" s="1">
        <f>IFERROR(__xludf.DUMMYFUNCTION("""COMPUTED_VALUE"""),45145.66666666667)</f>
        <v>45145.66667</v>
      </c>
      <c r="B875" s="2">
        <f>IFERROR(__xludf.DUMMYFUNCTION("""COMPUTED_VALUE"""),5600.0)</f>
        <v>5600</v>
      </c>
      <c r="C875" s="2">
        <f>IFERROR(__xludf.DUMMYFUNCTION("""COMPUTED_VALUE"""),5725.0)</f>
        <v>5725</v>
      </c>
      <c r="D875" s="2">
        <f>IFERROR(__xludf.DUMMYFUNCTION("""COMPUTED_VALUE"""),5575.0)</f>
        <v>5575</v>
      </c>
      <c r="E875" s="2">
        <f>IFERROR(__xludf.DUMMYFUNCTION("""COMPUTED_VALUE"""),5700.0)</f>
        <v>5700</v>
      </c>
      <c r="F875" s="2">
        <f>IFERROR(__xludf.DUMMYFUNCTION("""COMPUTED_VALUE"""),8.81049E7)</f>
        <v>88104900</v>
      </c>
      <c r="G875" s="2">
        <f t="shared" si="1"/>
        <v>150</v>
      </c>
    </row>
    <row r="876" ht="15.75" customHeight="1">
      <c r="A876" s="1">
        <f>IFERROR(__xludf.DUMMYFUNCTION("""COMPUTED_VALUE"""),45146.66666666667)</f>
        <v>45146.66667</v>
      </c>
      <c r="B876" s="2">
        <f>IFERROR(__xludf.DUMMYFUNCTION("""COMPUTED_VALUE"""),5700.0)</f>
        <v>5700</v>
      </c>
      <c r="C876" s="2">
        <f>IFERROR(__xludf.DUMMYFUNCTION("""COMPUTED_VALUE"""),5750.0)</f>
        <v>5750</v>
      </c>
      <c r="D876" s="2">
        <f>IFERROR(__xludf.DUMMYFUNCTION("""COMPUTED_VALUE"""),5600.0)</f>
        <v>5600</v>
      </c>
      <c r="E876" s="2">
        <f>IFERROR(__xludf.DUMMYFUNCTION("""COMPUTED_VALUE"""),5625.0)</f>
        <v>5625</v>
      </c>
      <c r="F876" s="2">
        <f>IFERROR(__xludf.DUMMYFUNCTION("""COMPUTED_VALUE"""),8.91896E7)</f>
        <v>89189600</v>
      </c>
      <c r="G876" s="2">
        <f t="shared" si="1"/>
        <v>150</v>
      </c>
    </row>
    <row r="877" ht="15.75" customHeight="1">
      <c r="A877" s="1">
        <f>IFERROR(__xludf.DUMMYFUNCTION("""COMPUTED_VALUE"""),45147.66666666667)</f>
        <v>45147.66667</v>
      </c>
      <c r="B877" s="2">
        <f>IFERROR(__xludf.DUMMYFUNCTION("""COMPUTED_VALUE"""),5650.0)</f>
        <v>5650</v>
      </c>
      <c r="C877" s="2">
        <f>IFERROR(__xludf.DUMMYFUNCTION("""COMPUTED_VALUE"""),5725.0)</f>
        <v>5725</v>
      </c>
      <c r="D877" s="2">
        <f>IFERROR(__xludf.DUMMYFUNCTION("""COMPUTED_VALUE"""),5625.0)</f>
        <v>5625</v>
      </c>
      <c r="E877" s="2">
        <f>IFERROR(__xludf.DUMMYFUNCTION("""COMPUTED_VALUE"""),5700.0)</f>
        <v>5700</v>
      </c>
      <c r="F877" s="2">
        <f>IFERROR(__xludf.DUMMYFUNCTION("""COMPUTED_VALUE"""),9.193E7)</f>
        <v>91930000</v>
      </c>
      <c r="G877" s="2">
        <f t="shared" si="1"/>
        <v>100</v>
      </c>
    </row>
    <row r="878" ht="15.75" customHeight="1">
      <c r="A878" s="1">
        <f>IFERROR(__xludf.DUMMYFUNCTION("""COMPUTED_VALUE"""),45148.66666666667)</f>
        <v>45148.66667</v>
      </c>
      <c r="B878" s="2">
        <f>IFERROR(__xludf.DUMMYFUNCTION("""COMPUTED_VALUE"""),5675.0)</f>
        <v>5675</v>
      </c>
      <c r="C878" s="2">
        <f>IFERROR(__xludf.DUMMYFUNCTION("""COMPUTED_VALUE"""),5725.0)</f>
        <v>5725</v>
      </c>
      <c r="D878" s="2">
        <f>IFERROR(__xludf.DUMMYFUNCTION("""COMPUTED_VALUE"""),5675.0)</f>
        <v>5675</v>
      </c>
      <c r="E878" s="2">
        <f>IFERROR(__xludf.DUMMYFUNCTION("""COMPUTED_VALUE"""),5700.0)</f>
        <v>5700</v>
      </c>
      <c r="F878" s="2">
        <f>IFERROR(__xludf.DUMMYFUNCTION("""COMPUTED_VALUE"""),8.54742E7)</f>
        <v>85474200</v>
      </c>
      <c r="G878" s="2">
        <f t="shared" si="1"/>
        <v>50</v>
      </c>
    </row>
    <row r="879" ht="15.75" customHeight="1">
      <c r="A879" s="1">
        <f>IFERROR(__xludf.DUMMYFUNCTION("""COMPUTED_VALUE"""),45149.66666666667)</f>
        <v>45149.66667</v>
      </c>
      <c r="B879" s="2">
        <f>IFERROR(__xludf.DUMMYFUNCTION("""COMPUTED_VALUE"""),5675.0)</f>
        <v>5675</v>
      </c>
      <c r="C879" s="2">
        <f>IFERROR(__xludf.DUMMYFUNCTION("""COMPUTED_VALUE"""),5700.0)</f>
        <v>5700</v>
      </c>
      <c r="D879" s="2">
        <f>IFERROR(__xludf.DUMMYFUNCTION("""COMPUTED_VALUE"""),5650.0)</f>
        <v>5650</v>
      </c>
      <c r="E879" s="2">
        <f>IFERROR(__xludf.DUMMYFUNCTION("""COMPUTED_VALUE"""),5650.0)</f>
        <v>5650</v>
      </c>
      <c r="F879" s="2">
        <f>IFERROR(__xludf.DUMMYFUNCTION("""COMPUTED_VALUE"""),7.4321E7)</f>
        <v>74321000</v>
      </c>
      <c r="G879" s="2">
        <f t="shared" si="1"/>
        <v>50</v>
      </c>
    </row>
    <row r="880" ht="15.75" customHeight="1">
      <c r="A880" s="1">
        <f>IFERROR(__xludf.DUMMYFUNCTION("""COMPUTED_VALUE"""),45152.66666666667)</f>
        <v>45152.66667</v>
      </c>
      <c r="B880" s="2">
        <f>IFERROR(__xludf.DUMMYFUNCTION("""COMPUTED_VALUE"""),5650.0)</f>
        <v>5650</v>
      </c>
      <c r="C880" s="2">
        <f>IFERROR(__xludf.DUMMYFUNCTION("""COMPUTED_VALUE"""),5675.0)</f>
        <v>5675</v>
      </c>
      <c r="D880" s="2">
        <f>IFERROR(__xludf.DUMMYFUNCTION("""COMPUTED_VALUE"""),5575.0)</f>
        <v>5575</v>
      </c>
      <c r="E880" s="2">
        <f>IFERROR(__xludf.DUMMYFUNCTION("""COMPUTED_VALUE"""),5650.0)</f>
        <v>5650</v>
      </c>
      <c r="F880" s="2">
        <f>IFERROR(__xludf.DUMMYFUNCTION("""COMPUTED_VALUE"""),1.273584E8)</f>
        <v>127358400</v>
      </c>
      <c r="G880" s="2">
        <f t="shared" si="1"/>
        <v>100</v>
      </c>
    </row>
    <row r="881" ht="15.75" customHeight="1">
      <c r="A881" s="1">
        <f>IFERROR(__xludf.DUMMYFUNCTION("""COMPUTED_VALUE"""),45153.66666666667)</f>
        <v>45153.66667</v>
      </c>
      <c r="B881" s="2">
        <f>IFERROR(__xludf.DUMMYFUNCTION("""COMPUTED_VALUE"""),5650.0)</f>
        <v>5650</v>
      </c>
      <c r="C881" s="2">
        <f>IFERROR(__xludf.DUMMYFUNCTION("""COMPUTED_VALUE"""),5675.0)</f>
        <v>5675</v>
      </c>
      <c r="D881" s="2">
        <f>IFERROR(__xludf.DUMMYFUNCTION("""COMPUTED_VALUE"""),5575.0)</f>
        <v>5575</v>
      </c>
      <c r="E881" s="2">
        <f>IFERROR(__xludf.DUMMYFUNCTION("""COMPUTED_VALUE"""),5575.0)</f>
        <v>5575</v>
      </c>
      <c r="F881" s="2">
        <f>IFERROR(__xludf.DUMMYFUNCTION("""COMPUTED_VALUE"""),8.95973E7)</f>
        <v>89597300</v>
      </c>
      <c r="G881" s="2">
        <f t="shared" si="1"/>
        <v>100</v>
      </c>
    </row>
    <row r="882" ht="15.75" customHeight="1">
      <c r="A882" s="1">
        <f>IFERROR(__xludf.DUMMYFUNCTION("""COMPUTED_VALUE"""),45154.66666666667)</f>
        <v>45154.66667</v>
      </c>
      <c r="B882" s="2">
        <f>IFERROR(__xludf.DUMMYFUNCTION("""COMPUTED_VALUE"""),5550.0)</f>
        <v>5550</v>
      </c>
      <c r="C882" s="2">
        <f>IFERROR(__xludf.DUMMYFUNCTION("""COMPUTED_VALUE"""),5575.0)</f>
        <v>5575</v>
      </c>
      <c r="D882" s="2">
        <f>IFERROR(__xludf.DUMMYFUNCTION("""COMPUTED_VALUE"""),5450.0)</f>
        <v>5450</v>
      </c>
      <c r="E882" s="2">
        <f>IFERROR(__xludf.DUMMYFUNCTION("""COMPUTED_VALUE"""),5525.0)</f>
        <v>5525</v>
      </c>
      <c r="F882" s="2">
        <f>IFERROR(__xludf.DUMMYFUNCTION("""COMPUTED_VALUE"""),1.881919E8)</f>
        <v>188191900</v>
      </c>
      <c r="G882" s="2">
        <f t="shared" si="1"/>
        <v>125</v>
      </c>
    </row>
    <row r="883" ht="15.75" customHeight="1">
      <c r="A883" s="1">
        <f>IFERROR(__xludf.DUMMYFUNCTION("""COMPUTED_VALUE"""),45156.66666666667)</f>
        <v>45156.66667</v>
      </c>
      <c r="B883" s="2">
        <f>IFERROR(__xludf.DUMMYFUNCTION("""COMPUTED_VALUE"""),5500.0)</f>
        <v>5500</v>
      </c>
      <c r="C883" s="2">
        <f>IFERROR(__xludf.DUMMYFUNCTION("""COMPUTED_VALUE"""),5600.0)</f>
        <v>5600</v>
      </c>
      <c r="D883" s="2">
        <f>IFERROR(__xludf.DUMMYFUNCTION("""COMPUTED_VALUE"""),5500.0)</f>
        <v>5500</v>
      </c>
      <c r="E883" s="2">
        <f>IFERROR(__xludf.DUMMYFUNCTION("""COMPUTED_VALUE"""),5575.0)</f>
        <v>5575</v>
      </c>
      <c r="F883" s="2">
        <f>IFERROR(__xludf.DUMMYFUNCTION("""COMPUTED_VALUE"""),1.215612E8)</f>
        <v>121561200</v>
      </c>
      <c r="G883" s="2">
        <f t="shared" si="1"/>
        <v>100</v>
      </c>
    </row>
    <row r="884" ht="15.75" customHeight="1">
      <c r="A884" s="1">
        <f>IFERROR(__xludf.DUMMYFUNCTION("""COMPUTED_VALUE"""),45159.66666666667)</f>
        <v>45159.66667</v>
      </c>
      <c r="B884" s="2">
        <f>IFERROR(__xludf.DUMMYFUNCTION("""COMPUTED_VALUE"""),5550.0)</f>
        <v>5550</v>
      </c>
      <c r="C884" s="2">
        <f>IFERROR(__xludf.DUMMYFUNCTION("""COMPUTED_VALUE"""),5575.0)</f>
        <v>5575</v>
      </c>
      <c r="D884" s="2">
        <f>IFERROR(__xludf.DUMMYFUNCTION("""COMPUTED_VALUE"""),5500.0)</f>
        <v>5500</v>
      </c>
      <c r="E884" s="2">
        <f>IFERROR(__xludf.DUMMYFUNCTION("""COMPUTED_VALUE"""),5500.0)</f>
        <v>5500</v>
      </c>
      <c r="F884" s="2">
        <f>IFERROR(__xludf.DUMMYFUNCTION("""COMPUTED_VALUE"""),9.164E7)</f>
        <v>91640000</v>
      </c>
      <c r="G884" s="2">
        <f t="shared" si="1"/>
        <v>75</v>
      </c>
    </row>
    <row r="885" ht="15.75" customHeight="1">
      <c r="A885" s="1">
        <f>IFERROR(__xludf.DUMMYFUNCTION("""COMPUTED_VALUE"""),45160.66666666667)</f>
        <v>45160.66667</v>
      </c>
      <c r="B885" s="2">
        <f>IFERROR(__xludf.DUMMYFUNCTION("""COMPUTED_VALUE"""),5500.0)</f>
        <v>5500</v>
      </c>
      <c r="C885" s="2">
        <f>IFERROR(__xludf.DUMMYFUNCTION("""COMPUTED_VALUE"""),5625.0)</f>
        <v>5625</v>
      </c>
      <c r="D885" s="2">
        <f>IFERROR(__xludf.DUMMYFUNCTION("""COMPUTED_VALUE"""),5500.0)</f>
        <v>5500</v>
      </c>
      <c r="E885" s="2">
        <f>IFERROR(__xludf.DUMMYFUNCTION("""COMPUTED_VALUE"""),5575.0)</f>
        <v>5575</v>
      </c>
      <c r="F885" s="2">
        <f>IFERROR(__xludf.DUMMYFUNCTION("""COMPUTED_VALUE"""),1.012215E8)</f>
        <v>101221500</v>
      </c>
      <c r="G885" s="2">
        <f t="shared" si="1"/>
        <v>125</v>
      </c>
    </row>
    <row r="886" ht="15.75" customHeight="1">
      <c r="A886" s="1">
        <f>IFERROR(__xludf.DUMMYFUNCTION("""COMPUTED_VALUE"""),45161.66666666667)</f>
        <v>45161.66667</v>
      </c>
      <c r="B886" s="2">
        <f>IFERROR(__xludf.DUMMYFUNCTION("""COMPUTED_VALUE"""),5600.0)</f>
        <v>5600</v>
      </c>
      <c r="C886" s="2">
        <f>IFERROR(__xludf.DUMMYFUNCTION("""COMPUTED_VALUE"""),5625.0)</f>
        <v>5625</v>
      </c>
      <c r="D886" s="2">
        <f>IFERROR(__xludf.DUMMYFUNCTION("""COMPUTED_VALUE"""),5575.0)</f>
        <v>5575</v>
      </c>
      <c r="E886" s="2">
        <f>IFERROR(__xludf.DUMMYFUNCTION("""COMPUTED_VALUE"""),5600.0)</f>
        <v>5600</v>
      </c>
      <c r="F886" s="2">
        <f>IFERROR(__xludf.DUMMYFUNCTION("""COMPUTED_VALUE"""),7.86869E7)</f>
        <v>78686900</v>
      </c>
      <c r="G886" s="2">
        <f t="shared" si="1"/>
        <v>50</v>
      </c>
    </row>
    <row r="887" ht="15.75" customHeight="1">
      <c r="A887" s="1">
        <f>IFERROR(__xludf.DUMMYFUNCTION("""COMPUTED_VALUE"""),45162.66666666667)</f>
        <v>45162.66667</v>
      </c>
      <c r="B887" s="2">
        <f>IFERROR(__xludf.DUMMYFUNCTION("""COMPUTED_VALUE"""),5625.0)</f>
        <v>5625</v>
      </c>
      <c r="C887" s="2">
        <f>IFERROR(__xludf.DUMMYFUNCTION("""COMPUTED_VALUE"""),5625.0)</f>
        <v>5625</v>
      </c>
      <c r="D887" s="2">
        <f>IFERROR(__xludf.DUMMYFUNCTION("""COMPUTED_VALUE"""),5550.0)</f>
        <v>5550</v>
      </c>
      <c r="E887" s="2">
        <f>IFERROR(__xludf.DUMMYFUNCTION("""COMPUTED_VALUE"""),5550.0)</f>
        <v>5550</v>
      </c>
      <c r="F887" s="2">
        <f>IFERROR(__xludf.DUMMYFUNCTION("""COMPUTED_VALUE"""),7.44075E7)</f>
        <v>74407500</v>
      </c>
      <c r="G887" s="2">
        <f t="shared" si="1"/>
        <v>75</v>
      </c>
    </row>
    <row r="888" ht="15.75" customHeight="1">
      <c r="A888" s="1">
        <f>IFERROR(__xludf.DUMMYFUNCTION("""COMPUTED_VALUE"""),45163.66666666667)</f>
        <v>45163.66667</v>
      </c>
      <c r="B888" s="2">
        <f>IFERROR(__xludf.DUMMYFUNCTION("""COMPUTED_VALUE"""),5550.0)</f>
        <v>5550</v>
      </c>
      <c r="C888" s="2">
        <f>IFERROR(__xludf.DUMMYFUNCTION("""COMPUTED_VALUE"""),5600.0)</f>
        <v>5600</v>
      </c>
      <c r="D888" s="2">
        <f>IFERROR(__xludf.DUMMYFUNCTION("""COMPUTED_VALUE"""),5525.0)</f>
        <v>5525</v>
      </c>
      <c r="E888" s="2">
        <f>IFERROR(__xludf.DUMMYFUNCTION("""COMPUTED_VALUE"""),5600.0)</f>
        <v>5600</v>
      </c>
      <c r="F888" s="2">
        <f>IFERROR(__xludf.DUMMYFUNCTION("""COMPUTED_VALUE"""),6.50965E7)</f>
        <v>65096500</v>
      </c>
      <c r="G888" s="2">
        <f t="shared" si="1"/>
        <v>75</v>
      </c>
    </row>
    <row r="889" ht="15.75" customHeight="1">
      <c r="A889" s="1">
        <f>IFERROR(__xludf.DUMMYFUNCTION("""COMPUTED_VALUE"""),45166.66666666667)</f>
        <v>45166.66667</v>
      </c>
      <c r="B889" s="2">
        <f>IFERROR(__xludf.DUMMYFUNCTION("""COMPUTED_VALUE"""),5600.0)</f>
        <v>5600</v>
      </c>
      <c r="C889" s="2">
        <f>IFERROR(__xludf.DUMMYFUNCTION("""COMPUTED_VALUE"""),5625.0)</f>
        <v>5625</v>
      </c>
      <c r="D889" s="2">
        <f>IFERROR(__xludf.DUMMYFUNCTION("""COMPUTED_VALUE"""),5550.0)</f>
        <v>5550</v>
      </c>
      <c r="E889" s="2">
        <f>IFERROR(__xludf.DUMMYFUNCTION("""COMPUTED_VALUE"""),5550.0)</f>
        <v>5550</v>
      </c>
      <c r="F889" s="2">
        <f>IFERROR(__xludf.DUMMYFUNCTION("""COMPUTED_VALUE"""),3.71266E7)</f>
        <v>37126600</v>
      </c>
      <c r="G889" s="2">
        <f t="shared" si="1"/>
        <v>75</v>
      </c>
    </row>
    <row r="890" ht="15.75" customHeight="1">
      <c r="A890" s="1">
        <f>IFERROR(__xludf.DUMMYFUNCTION("""COMPUTED_VALUE"""),45167.66666666667)</f>
        <v>45167.66667</v>
      </c>
      <c r="B890" s="2">
        <f>IFERROR(__xludf.DUMMYFUNCTION("""COMPUTED_VALUE"""),5525.0)</f>
        <v>5525</v>
      </c>
      <c r="C890" s="2">
        <f>IFERROR(__xludf.DUMMYFUNCTION("""COMPUTED_VALUE"""),5600.0)</f>
        <v>5600</v>
      </c>
      <c r="D890" s="2">
        <f>IFERROR(__xludf.DUMMYFUNCTION("""COMPUTED_VALUE"""),5525.0)</f>
        <v>5525</v>
      </c>
      <c r="E890" s="2">
        <f>IFERROR(__xludf.DUMMYFUNCTION("""COMPUTED_VALUE"""),5600.0)</f>
        <v>5600</v>
      </c>
      <c r="F890" s="2">
        <f>IFERROR(__xludf.DUMMYFUNCTION("""COMPUTED_VALUE"""),5.75472E7)</f>
        <v>57547200</v>
      </c>
      <c r="G890" s="2">
        <f t="shared" si="1"/>
        <v>75</v>
      </c>
    </row>
    <row r="891" ht="15.75" customHeight="1">
      <c r="A891" s="1">
        <f>IFERROR(__xludf.DUMMYFUNCTION("""COMPUTED_VALUE"""),45168.66666666667)</f>
        <v>45168.66667</v>
      </c>
      <c r="B891" s="2">
        <f>IFERROR(__xludf.DUMMYFUNCTION("""COMPUTED_VALUE"""),5600.0)</f>
        <v>5600</v>
      </c>
      <c r="C891" s="2">
        <f>IFERROR(__xludf.DUMMYFUNCTION("""COMPUTED_VALUE"""),5600.0)</f>
        <v>5600</v>
      </c>
      <c r="D891" s="2">
        <f>IFERROR(__xludf.DUMMYFUNCTION("""COMPUTED_VALUE"""),5500.0)</f>
        <v>5500</v>
      </c>
      <c r="E891" s="2">
        <f>IFERROR(__xludf.DUMMYFUNCTION("""COMPUTED_VALUE"""),5525.0)</f>
        <v>5525</v>
      </c>
      <c r="F891" s="2">
        <f>IFERROR(__xludf.DUMMYFUNCTION("""COMPUTED_VALUE"""),1.712827E8)</f>
        <v>171282700</v>
      </c>
      <c r="G891" s="2">
        <f t="shared" si="1"/>
        <v>100</v>
      </c>
    </row>
    <row r="892" ht="15.75" customHeight="1">
      <c r="A892" s="1">
        <f>IFERROR(__xludf.DUMMYFUNCTION("""COMPUTED_VALUE"""),45169.66666666667)</f>
        <v>45169.66667</v>
      </c>
      <c r="B892" s="2">
        <f>IFERROR(__xludf.DUMMYFUNCTION("""COMPUTED_VALUE"""),5525.0)</f>
        <v>5525</v>
      </c>
      <c r="C892" s="2">
        <f>IFERROR(__xludf.DUMMYFUNCTION("""COMPUTED_VALUE"""),5550.0)</f>
        <v>5550</v>
      </c>
      <c r="D892" s="2">
        <f>IFERROR(__xludf.DUMMYFUNCTION("""COMPUTED_VALUE"""),5475.0)</f>
        <v>5475</v>
      </c>
      <c r="E892" s="2">
        <f>IFERROR(__xludf.DUMMYFUNCTION("""COMPUTED_VALUE"""),5550.0)</f>
        <v>5550</v>
      </c>
      <c r="F892" s="2">
        <f>IFERROR(__xludf.DUMMYFUNCTION("""COMPUTED_VALUE"""),1.750882E8)</f>
        <v>175088200</v>
      </c>
      <c r="G892" s="2">
        <f t="shared" si="1"/>
        <v>75</v>
      </c>
    </row>
    <row r="893" ht="15.75" customHeight="1">
      <c r="A893" s="1">
        <f>IFERROR(__xludf.DUMMYFUNCTION("""COMPUTED_VALUE"""),45170.66666666667)</f>
        <v>45170.66667</v>
      </c>
      <c r="B893" s="2">
        <f>IFERROR(__xludf.DUMMYFUNCTION("""COMPUTED_VALUE"""),5600.0)</f>
        <v>5600</v>
      </c>
      <c r="C893" s="2">
        <f>IFERROR(__xludf.DUMMYFUNCTION("""COMPUTED_VALUE"""),5600.0)</f>
        <v>5600</v>
      </c>
      <c r="D893" s="2">
        <f>IFERROR(__xludf.DUMMYFUNCTION("""COMPUTED_VALUE"""),5525.0)</f>
        <v>5525</v>
      </c>
      <c r="E893" s="2">
        <f>IFERROR(__xludf.DUMMYFUNCTION("""COMPUTED_VALUE"""),5575.0)</f>
        <v>5575</v>
      </c>
      <c r="F893" s="2">
        <f>IFERROR(__xludf.DUMMYFUNCTION("""COMPUTED_VALUE"""),8.73661E7)</f>
        <v>87366100</v>
      </c>
      <c r="G893" s="2">
        <f t="shared" si="1"/>
        <v>75</v>
      </c>
    </row>
    <row r="894" ht="15.75" customHeight="1">
      <c r="A894" s="1">
        <f>IFERROR(__xludf.DUMMYFUNCTION("""COMPUTED_VALUE"""),45173.66666666667)</f>
        <v>45173.66667</v>
      </c>
      <c r="B894" s="2">
        <f>IFERROR(__xludf.DUMMYFUNCTION("""COMPUTED_VALUE"""),5600.0)</f>
        <v>5600</v>
      </c>
      <c r="C894" s="2">
        <f>IFERROR(__xludf.DUMMYFUNCTION("""COMPUTED_VALUE"""),5625.0)</f>
        <v>5625</v>
      </c>
      <c r="D894" s="2">
        <f>IFERROR(__xludf.DUMMYFUNCTION("""COMPUTED_VALUE"""),5575.0)</f>
        <v>5575</v>
      </c>
      <c r="E894" s="2">
        <f>IFERROR(__xludf.DUMMYFUNCTION("""COMPUTED_VALUE"""),5625.0)</f>
        <v>5625</v>
      </c>
      <c r="F894" s="2">
        <f>IFERROR(__xludf.DUMMYFUNCTION("""COMPUTED_VALUE"""),4.38982E7)</f>
        <v>43898200</v>
      </c>
      <c r="G894" s="2">
        <f t="shared" si="1"/>
        <v>50</v>
      </c>
    </row>
    <row r="895" ht="15.75" customHeight="1">
      <c r="A895" s="1">
        <f>IFERROR(__xludf.DUMMYFUNCTION("""COMPUTED_VALUE"""),45174.66666666667)</f>
        <v>45174.66667</v>
      </c>
      <c r="B895" s="2">
        <f>IFERROR(__xludf.DUMMYFUNCTION("""COMPUTED_VALUE"""),5625.0)</f>
        <v>5625</v>
      </c>
      <c r="C895" s="2">
        <f>IFERROR(__xludf.DUMMYFUNCTION("""COMPUTED_VALUE"""),5650.0)</f>
        <v>5650</v>
      </c>
      <c r="D895" s="2">
        <f>IFERROR(__xludf.DUMMYFUNCTION("""COMPUTED_VALUE"""),5600.0)</f>
        <v>5600</v>
      </c>
      <c r="E895" s="2">
        <f>IFERROR(__xludf.DUMMYFUNCTION("""COMPUTED_VALUE"""),5625.0)</f>
        <v>5625</v>
      </c>
      <c r="F895" s="2">
        <f>IFERROR(__xludf.DUMMYFUNCTION("""COMPUTED_VALUE"""),7.24643E7)</f>
        <v>72464300</v>
      </c>
      <c r="G895" s="2">
        <f t="shared" si="1"/>
        <v>50</v>
      </c>
    </row>
    <row r="896" ht="15.75" customHeight="1">
      <c r="A896" s="1">
        <f>IFERROR(__xludf.DUMMYFUNCTION("""COMPUTED_VALUE"""),45175.66666666667)</f>
        <v>45175.66667</v>
      </c>
      <c r="B896" s="2">
        <f>IFERROR(__xludf.DUMMYFUNCTION("""COMPUTED_VALUE"""),5625.0)</f>
        <v>5625</v>
      </c>
      <c r="C896" s="2">
        <f>IFERROR(__xludf.DUMMYFUNCTION("""COMPUTED_VALUE"""),5650.0)</f>
        <v>5650</v>
      </c>
      <c r="D896" s="2">
        <f>IFERROR(__xludf.DUMMYFUNCTION("""COMPUTED_VALUE"""),5575.0)</f>
        <v>5575</v>
      </c>
      <c r="E896" s="2">
        <f>IFERROR(__xludf.DUMMYFUNCTION("""COMPUTED_VALUE"""),5575.0)</f>
        <v>5575</v>
      </c>
      <c r="F896" s="2">
        <f>IFERROR(__xludf.DUMMYFUNCTION("""COMPUTED_VALUE"""),1.063678E8)</f>
        <v>106367800</v>
      </c>
      <c r="G896" s="2">
        <f t="shared" si="1"/>
        <v>75</v>
      </c>
    </row>
    <row r="897" ht="15.75" customHeight="1">
      <c r="A897" s="1">
        <f>IFERROR(__xludf.DUMMYFUNCTION("""COMPUTED_VALUE"""),45176.66666666667)</f>
        <v>45176.66667</v>
      </c>
      <c r="B897" s="2">
        <f>IFERROR(__xludf.DUMMYFUNCTION("""COMPUTED_VALUE"""),5525.0)</f>
        <v>5525</v>
      </c>
      <c r="C897" s="2">
        <f>IFERROR(__xludf.DUMMYFUNCTION("""COMPUTED_VALUE"""),5550.0)</f>
        <v>5550</v>
      </c>
      <c r="D897" s="2">
        <f>IFERROR(__xludf.DUMMYFUNCTION("""COMPUTED_VALUE"""),5450.0)</f>
        <v>5450</v>
      </c>
      <c r="E897" s="2">
        <f>IFERROR(__xludf.DUMMYFUNCTION("""COMPUTED_VALUE"""),5450.0)</f>
        <v>5450</v>
      </c>
      <c r="F897" s="2">
        <f>IFERROR(__xludf.DUMMYFUNCTION("""COMPUTED_VALUE"""),1.579986E8)</f>
        <v>157998600</v>
      </c>
      <c r="G897" s="2">
        <f t="shared" si="1"/>
        <v>125</v>
      </c>
    </row>
    <row r="898" ht="15.75" customHeight="1">
      <c r="A898" s="1">
        <f>IFERROR(__xludf.DUMMYFUNCTION("""COMPUTED_VALUE"""),45177.66666666667)</f>
        <v>45177.66667</v>
      </c>
      <c r="B898" s="2">
        <f>IFERROR(__xludf.DUMMYFUNCTION("""COMPUTED_VALUE"""),5425.0)</f>
        <v>5425</v>
      </c>
      <c r="C898" s="2">
        <f>IFERROR(__xludf.DUMMYFUNCTION("""COMPUTED_VALUE"""),5450.0)</f>
        <v>5450</v>
      </c>
      <c r="D898" s="2">
        <f>IFERROR(__xludf.DUMMYFUNCTION("""COMPUTED_VALUE"""),5300.0)</f>
        <v>5300</v>
      </c>
      <c r="E898" s="2">
        <f>IFERROR(__xludf.DUMMYFUNCTION("""COMPUTED_VALUE"""),5350.0)</f>
        <v>5350</v>
      </c>
      <c r="F898" s="2">
        <f>IFERROR(__xludf.DUMMYFUNCTION("""COMPUTED_VALUE"""),2.433245E8)</f>
        <v>243324500</v>
      </c>
      <c r="G898" s="2">
        <f t="shared" si="1"/>
        <v>150</v>
      </c>
    </row>
    <row r="899" ht="15.75" customHeight="1">
      <c r="A899" s="1">
        <f>IFERROR(__xludf.DUMMYFUNCTION("""COMPUTED_VALUE"""),45180.66666666667)</f>
        <v>45180.66667</v>
      </c>
      <c r="B899" s="2">
        <f>IFERROR(__xludf.DUMMYFUNCTION("""COMPUTED_VALUE"""),5350.0)</f>
        <v>5350</v>
      </c>
      <c r="C899" s="2">
        <f>IFERROR(__xludf.DUMMYFUNCTION("""COMPUTED_VALUE"""),5425.0)</f>
        <v>5425</v>
      </c>
      <c r="D899" s="2">
        <f>IFERROR(__xludf.DUMMYFUNCTION("""COMPUTED_VALUE"""),5300.0)</f>
        <v>5300</v>
      </c>
      <c r="E899" s="2">
        <f>IFERROR(__xludf.DUMMYFUNCTION("""COMPUTED_VALUE"""),5425.0)</f>
        <v>5425</v>
      </c>
      <c r="F899" s="2">
        <f>IFERROR(__xludf.DUMMYFUNCTION("""COMPUTED_VALUE"""),8.04741E7)</f>
        <v>80474100</v>
      </c>
      <c r="G899" s="2">
        <f t="shared" si="1"/>
        <v>125</v>
      </c>
    </row>
    <row r="900" ht="15.75" customHeight="1">
      <c r="A900" s="1">
        <f>IFERROR(__xludf.DUMMYFUNCTION("""COMPUTED_VALUE"""),45181.66666666667)</f>
        <v>45181.66667</v>
      </c>
      <c r="B900" s="2">
        <f>IFERROR(__xludf.DUMMYFUNCTION("""COMPUTED_VALUE"""),5450.0)</f>
        <v>5450</v>
      </c>
      <c r="C900" s="2">
        <f>IFERROR(__xludf.DUMMYFUNCTION("""COMPUTED_VALUE"""),5475.0)</f>
        <v>5475</v>
      </c>
      <c r="D900" s="2">
        <f>IFERROR(__xludf.DUMMYFUNCTION("""COMPUTED_VALUE"""),5375.0)</f>
        <v>5375</v>
      </c>
      <c r="E900" s="2">
        <f>IFERROR(__xludf.DUMMYFUNCTION("""COMPUTED_VALUE"""),5375.0)</f>
        <v>5375</v>
      </c>
      <c r="F900" s="2">
        <f>IFERROR(__xludf.DUMMYFUNCTION("""COMPUTED_VALUE"""),1.216544E8)</f>
        <v>121654400</v>
      </c>
      <c r="G900" s="2">
        <f t="shared" si="1"/>
        <v>100</v>
      </c>
    </row>
    <row r="901" ht="15.75" customHeight="1">
      <c r="A901" s="1">
        <f>IFERROR(__xludf.DUMMYFUNCTION("""COMPUTED_VALUE"""),45182.66666666667)</f>
        <v>45182.66667</v>
      </c>
      <c r="B901" s="2">
        <f>IFERROR(__xludf.DUMMYFUNCTION("""COMPUTED_VALUE"""),5350.0)</f>
        <v>5350</v>
      </c>
      <c r="C901" s="2">
        <f>IFERROR(__xludf.DUMMYFUNCTION("""COMPUTED_VALUE"""),5425.0)</f>
        <v>5425</v>
      </c>
      <c r="D901" s="2">
        <f>IFERROR(__xludf.DUMMYFUNCTION("""COMPUTED_VALUE"""),5350.0)</f>
        <v>5350</v>
      </c>
      <c r="E901" s="2">
        <f>IFERROR(__xludf.DUMMYFUNCTION("""COMPUTED_VALUE"""),5400.0)</f>
        <v>5400</v>
      </c>
      <c r="F901" s="2">
        <f>IFERROR(__xludf.DUMMYFUNCTION("""COMPUTED_VALUE"""),5.9408E7)</f>
        <v>59408000</v>
      </c>
      <c r="G901" s="2">
        <f t="shared" si="1"/>
        <v>75</v>
      </c>
    </row>
    <row r="902" ht="15.75" customHeight="1">
      <c r="A902" s="1">
        <f>IFERROR(__xludf.DUMMYFUNCTION("""COMPUTED_VALUE"""),45183.66666666667)</f>
        <v>45183.66667</v>
      </c>
      <c r="B902" s="2">
        <f>IFERROR(__xludf.DUMMYFUNCTION("""COMPUTED_VALUE"""),5325.0)</f>
        <v>5325</v>
      </c>
      <c r="C902" s="2">
        <f>IFERROR(__xludf.DUMMYFUNCTION("""COMPUTED_VALUE"""),5425.0)</f>
        <v>5425</v>
      </c>
      <c r="D902" s="2">
        <f>IFERROR(__xludf.DUMMYFUNCTION("""COMPUTED_VALUE"""),5325.0)</f>
        <v>5325</v>
      </c>
      <c r="E902" s="2">
        <f>IFERROR(__xludf.DUMMYFUNCTION("""COMPUTED_VALUE"""),5425.0)</f>
        <v>5425</v>
      </c>
      <c r="F902" s="2">
        <f>IFERROR(__xludf.DUMMYFUNCTION("""COMPUTED_VALUE"""),7.68317E7)</f>
        <v>76831700</v>
      </c>
      <c r="G902" s="2">
        <f t="shared" si="1"/>
        <v>100</v>
      </c>
    </row>
    <row r="903" ht="15.75" customHeight="1">
      <c r="A903" s="1">
        <f>IFERROR(__xludf.DUMMYFUNCTION("""COMPUTED_VALUE"""),45184.66666666667)</f>
        <v>45184.66667</v>
      </c>
      <c r="B903" s="2">
        <f>IFERROR(__xludf.DUMMYFUNCTION("""COMPUTED_VALUE"""),5400.0)</f>
        <v>5400</v>
      </c>
      <c r="C903" s="2">
        <f>IFERROR(__xludf.DUMMYFUNCTION("""COMPUTED_VALUE"""),5450.0)</f>
        <v>5450</v>
      </c>
      <c r="D903" s="2">
        <f>IFERROR(__xludf.DUMMYFUNCTION("""COMPUTED_VALUE"""),5375.0)</f>
        <v>5375</v>
      </c>
      <c r="E903" s="2">
        <f>IFERROR(__xludf.DUMMYFUNCTION("""COMPUTED_VALUE"""),5375.0)</f>
        <v>5375</v>
      </c>
      <c r="F903" s="2">
        <f>IFERROR(__xludf.DUMMYFUNCTION("""COMPUTED_VALUE"""),1.414554E8)</f>
        <v>141455400</v>
      </c>
      <c r="G903" s="2">
        <f t="shared" si="1"/>
        <v>75</v>
      </c>
    </row>
    <row r="904" ht="15.75" customHeight="1">
      <c r="A904" s="1">
        <f>IFERROR(__xludf.DUMMYFUNCTION("""COMPUTED_VALUE"""),45187.66666666667)</f>
        <v>45187.66667</v>
      </c>
      <c r="B904" s="2">
        <f>IFERROR(__xludf.DUMMYFUNCTION("""COMPUTED_VALUE"""),5350.0)</f>
        <v>5350</v>
      </c>
      <c r="C904" s="2">
        <f>IFERROR(__xludf.DUMMYFUNCTION("""COMPUTED_VALUE"""),5400.0)</f>
        <v>5400</v>
      </c>
      <c r="D904" s="2">
        <f>IFERROR(__xludf.DUMMYFUNCTION("""COMPUTED_VALUE"""),5300.0)</f>
        <v>5300</v>
      </c>
      <c r="E904" s="2">
        <f>IFERROR(__xludf.DUMMYFUNCTION("""COMPUTED_VALUE"""),5325.0)</f>
        <v>5325</v>
      </c>
      <c r="F904" s="2">
        <f>IFERROR(__xludf.DUMMYFUNCTION("""COMPUTED_VALUE"""),6.1329E7)</f>
        <v>61329000</v>
      </c>
      <c r="G904" s="2">
        <f t="shared" si="1"/>
        <v>100</v>
      </c>
    </row>
    <row r="905" ht="15.75" customHeight="1">
      <c r="A905" s="1">
        <f>IFERROR(__xludf.DUMMYFUNCTION("""COMPUTED_VALUE"""),45188.66666666667)</f>
        <v>45188.66667</v>
      </c>
      <c r="B905" s="2">
        <f>IFERROR(__xludf.DUMMYFUNCTION("""COMPUTED_VALUE"""),5325.0)</f>
        <v>5325</v>
      </c>
      <c r="C905" s="2">
        <f>IFERROR(__xludf.DUMMYFUNCTION("""COMPUTED_VALUE"""),5375.0)</f>
        <v>5375</v>
      </c>
      <c r="D905" s="2">
        <f>IFERROR(__xludf.DUMMYFUNCTION("""COMPUTED_VALUE"""),5300.0)</f>
        <v>5300</v>
      </c>
      <c r="E905" s="2">
        <f>IFERROR(__xludf.DUMMYFUNCTION("""COMPUTED_VALUE"""),5375.0)</f>
        <v>5375</v>
      </c>
      <c r="F905" s="2">
        <f>IFERROR(__xludf.DUMMYFUNCTION("""COMPUTED_VALUE"""),5.06127E7)</f>
        <v>50612700</v>
      </c>
      <c r="G905" s="2">
        <f t="shared" si="1"/>
        <v>75</v>
      </c>
    </row>
    <row r="906" ht="15.75" customHeight="1">
      <c r="A906" s="1">
        <f>IFERROR(__xludf.DUMMYFUNCTION("""COMPUTED_VALUE"""),45189.66666666667)</f>
        <v>45189.66667</v>
      </c>
      <c r="B906" s="2">
        <f>IFERROR(__xludf.DUMMYFUNCTION("""COMPUTED_VALUE"""),5350.0)</f>
        <v>5350</v>
      </c>
      <c r="C906" s="2">
        <f>IFERROR(__xludf.DUMMYFUNCTION("""COMPUTED_VALUE"""),5450.0)</f>
        <v>5450</v>
      </c>
      <c r="D906" s="2">
        <f>IFERROR(__xludf.DUMMYFUNCTION("""COMPUTED_VALUE"""),5350.0)</f>
        <v>5350</v>
      </c>
      <c r="E906" s="2">
        <f>IFERROR(__xludf.DUMMYFUNCTION("""COMPUTED_VALUE"""),5375.0)</f>
        <v>5375</v>
      </c>
      <c r="F906" s="2">
        <f>IFERROR(__xludf.DUMMYFUNCTION("""COMPUTED_VALUE"""),9.87101E7)</f>
        <v>98710100</v>
      </c>
      <c r="G906" s="2">
        <f t="shared" si="1"/>
        <v>100</v>
      </c>
    </row>
    <row r="907" ht="15.75" customHeight="1">
      <c r="A907" s="1">
        <f>IFERROR(__xludf.DUMMYFUNCTION("""COMPUTED_VALUE"""),45190.66666666667)</f>
        <v>45190.66667</v>
      </c>
      <c r="B907" s="2">
        <f>IFERROR(__xludf.DUMMYFUNCTION("""COMPUTED_VALUE"""),5425.0)</f>
        <v>5425</v>
      </c>
      <c r="C907" s="2">
        <f>IFERROR(__xludf.DUMMYFUNCTION("""COMPUTED_VALUE"""),5425.0)</f>
        <v>5425</v>
      </c>
      <c r="D907" s="2">
        <f>IFERROR(__xludf.DUMMYFUNCTION("""COMPUTED_VALUE"""),5350.0)</f>
        <v>5350</v>
      </c>
      <c r="E907" s="2">
        <f>IFERROR(__xludf.DUMMYFUNCTION("""COMPUTED_VALUE"""),5350.0)</f>
        <v>5350</v>
      </c>
      <c r="F907" s="2">
        <f>IFERROR(__xludf.DUMMYFUNCTION("""COMPUTED_VALUE"""),6.85849E7)</f>
        <v>68584900</v>
      </c>
      <c r="G907" s="2">
        <f t="shared" si="1"/>
        <v>75</v>
      </c>
    </row>
    <row r="908" ht="15.75" customHeight="1">
      <c r="A908" s="1">
        <f>IFERROR(__xludf.DUMMYFUNCTION("""COMPUTED_VALUE"""),45191.66666666667)</f>
        <v>45191.66667</v>
      </c>
      <c r="B908" s="2">
        <f>IFERROR(__xludf.DUMMYFUNCTION("""COMPUTED_VALUE"""),5350.0)</f>
        <v>5350</v>
      </c>
      <c r="C908" s="2">
        <f>IFERROR(__xludf.DUMMYFUNCTION("""COMPUTED_VALUE"""),5425.0)</f>
        <v>5425</v>
      </c>
      <c r="D908" s="2">
        <f>IFERROR(__xludf.DUMMYFUNCTION("""COMPUTED_VALUE"""),5350.0)</f>
        <v>5350</v>
      </c>
      <c r="E908" s="2">
        <f>IFERROR(__xludf.DUMMYFUNCTION("""COMPUTED_VALUE"""),5350.0)</f>
        <v>5350</v>
      </c>
      <c r="F908" s="2">
        <f>IFERROR(__xludf.DUMMYFUNCTION("""COMPUTED_VALUE"""),8.31841E7)</f>
        <v>83184100</v>
      </c>
      <c r="G908" s="2">
        <f t="shared" si="1"/>
        <v>75</v>
      </c>
    </row>
    <row r="909" ht="15.75" customHeight="1">
      <c r="A909" s="1">
        <f>IFERROR(__xludf.DUMMYFUNCTION("""COMPUTED_VALUE"""),45194.66666666667)</f>
        <v>45194.66667</v>
      </c>
      <c r="B909" s="2">
        <f>IFERROR(__xludf.DUMMYFUNCTION("""COMPUTED_VALUE"""),5325.0)</f>
        <v>5325</v>
      </c>
      <c r="C909" s="2">
        <f>IFERROR(__xludf.DUMMYFUNCTION("""COMPUTED_VALUE"""),5350.0)</f>
        <v>5350</v>
      </c>
      <c r="D909" s="2">
        <f>IFERROR(__xludf.DUMMYFUNCTION("""COMPUTED_VALUE"""),5200.0)</f>
        <v>5200</v>
      </c>
      <c r="E909" s="2">
        <f>IFERROR(__xludf.DUMMYFUNCTION("""COMPUTED_VALUE"""),5300.0)</f>
        <v>5300</v>
      </c>
      <c r="F909" s="2">
        <f>IFERROR(__xludf.DUMMYFUNCTION("""COMPUTED_VALUE"""),1.201967E8)</f>
        <v>120196700</v>
      </c>
      <c r="G909" s="2">
        <f t="shared" si="1"/>
        <v>150</v>
      </c>
    </row>
    <row r="910" ht="15.75" customHeight="1">
      <c r="A910" s="1">
        <f>IFERROR(__xludf.DUMMYFUNCTION("""COMPUTED_VALUE"""),45195.66666666667)</f>
        <v>45195.66667</v>
      </c>
      <c r="B910" s="2">
        <f>IFERROR(__xludf.DUMMYFUNCTION("""COMPUTED_VALUE"""),5250.0)</f>
        <v>5250</v>
      </c>
      <c r="C910" s="2">
        <f>IFERROR(__xludf.DUMMYFUNCTION("""COMPUTED_VALUE"""),5275.0)</f>
        <v>5275</v>
      </c>
      <c r="D910" s="2">
        <f>IFERROR(__xludf.DUMMYFUNCTION("""COMPUTED_VALUE"""),5200.0)</f>
        <v>5200</v>
      </c>
      <c r="E910" s="2">
        <f>IFERROR(__xludf.DUMMYFUNCTION("""COMPUTED_VALUE"""),5200.0)</f>
        <v>5200</v>
      </c>
      <c r="F910" s="2">
        <f>IFERROR(__xludf.DUMMYFUNCTION("""COMPUTED_VALUE"""),1.802806E8)</f>
        <v>180280600</v>
      </c>
      <c r="G910" s="2">
        <f t="shared" si="1"/>
        <v>100</v>
      </c>
    </row>
    <row r="911" ht="15.75" customHeight="1">
      <c r="A911" s="1">
        <f>IFERROR(__xludf.DUMMYFUNCTION("""COMPUTED_VALUE"""),45196.66666666667)</f>
        <v>45196.66667</v>
      </c>
      <c r="B911" s="2">
        <f>IFERROR(__xludf.DUMMYFUNCTION("""COMPUTED_VALUE"""),5175.0)</f>
        <v>5175</v>
      </c>
      <c r="C911" s="2">
        <f>IFERROR(__xludf.DUMMYFUNCTION("""COMPUTED_VALUE"""),5300.0)</f>
        <v>5300</v>
      </c>
      <c r="D911" s="2">
        <f>IFERROR(__xludf.DUMMYFUNCTION("""COMPUTED_VALUE"""),5175.0)</f>
        <v>5175</v>
      </c>
      <c r="E911" s="2">
        <f>IFERROR(__xludf.DUMMYFUNCTION("""COMPUTED_VALUE"""),5225.0)</f>
        <v>5225</v>
      </c>
      <c r="F911" s="2">
        <f>IFERROR(__xludf.DUMMYFUNCTION("""COMPUTED_VALUE"""),1.197747E8)</f>
        <v>119774700</v>
      </c>
      <c r="G911" s="2">
        <f t="shared" si="1"/>
        <v>125</v>
      </c>
    </row>
    <row r="912" ht="15.75" customHeight="1">
      <c r="A912" s="1">
        <f>IFERROR(__xludf.DUMMYFUNCTION("""COMPUTED_VALUE"""),45198.66666666667)</f>
        <v>45198.66667</v>
      </c>
      <c r="B912" s="2">
        <f>IFERROR(__xludf.DUMMYFUNCTION("""COMPUTED_VALUE"""),5300.0)</f>
        <v>5300</v>
      </c>
      <c r="C912" s="2">
        <f>IFERROR(__xludf.DUMMYFUNCTION("""COMPUTED_VALUE"""),5325.0)</f>
        <v>5325</v>
      </c>
      <c r="D912" s="2">
        <f>IFERROR(__xludf.DUMMYFUNCTION("""COMPUTED_VALUE"""),5225.0)</f>
        <v>5225</v>
      </c>
      <c r="E912" s="2">
        <f>IFERROR(__xludf.DUMMYFUNCTION("""COMPUTED_VALUE"""),5225.0)</f>
        <v>5225</v>
      </c>
      <c r="F912" s="2">
        <f>IFERROR(__xludf.DUMMYFUNCTION("""COMPUTED_VALUE"""),1.403311E8)</f>
        <v>140331100</v>
      </c>
      <c r="G912" s="2">
        <f t="shared" si="1"/>
        <v>100</v>
      </c>
    </row>
    <row r="913" ht="15.75" customHeight="1">
      <c r="A913" s="1">
        <f>IFERROR(__xludf.DUMMYFUNCTION("""COMPUTED_VALUE"""),45201.66666666667)</f>
        <v>45201.66667</v>
      </c>
      <c r="B913" s="2">
        <f>IFERROR(__xludf.DUMMYFUNCTION("""COMPUTED_VALUE"""),5250.0)</f>
        <v>5250</v>
      </c>
      <c r="C913" s="2">
        <f>IFERROR(__xludf.DUMMYFUNCTION("""COMPUTED_VALUE"""),5300.0)</f>
        <v>5300</v>
      </c>
      <c r="D913" s="2">
        <f>IFERROR(__xludf.DUMMYFUNCTION("""COMPUTED_VALUE"""),5250.0)</f>
        <v>5250</v>
      </c>
      <c r="E913" s="2">
        <f>IFERROR(__xludf.DUMMYFUNCTION("""COMPUTED_VALUE"""),5250.0)</f>
        <v>5250</v>
      </c>
      <c r="F913" s="2">
        <f>IFERROR(__xludf.DUMMYFUNCTION("""COMPUTED_VALUE"""),8.16746E7)</f>
        <v>81674600</v>
      </c>
      <c r="G913" s="2">
        <f t="shared" si="1"/>
        <v>75</v>
      </c>
    </row>
    <row r="914" ht="15.75" customHeight="1">
      <c r="A914" s="1">
        <f>IFERROR(__xludf.DUMMYFUNCTION("""COMPUTED_VALUE"""),45202.66666666667)</f>
        <v>45202.66667</v>
      </c>
      <c r="B914" s="2">
        <f>IFERROR(__xludf.DUMMYFUNCTION("""COMPUTED_VALUE"""),5250.0)</f>
        <v>5250</v>
      </c>
      <c r="C914" s="2">
        <f>IFERROR(__xludf.DUMMYFUNCTION("""COMPUTED_VALUE"""),5300.0)</f>
        <v>5300</v>
      </c>
      <c r="D914" s="2">
        <f>IFERROR(__xludf.DUMMYFUNCTION("""COMPUTED_VALUE"""),5250.0)</f>
        <v>5250</v>
      </c>
      <c r="E914" s="2">
        <f>IFERROR(__xludf.DUMMYFUNCTION("""COMPUTED_VALUE"""),5275.0)</f>
        <v>5275</v>
      </c>
      <c r="F914" s="2">
        <f>IFERROR(__xludf.DUMMYFUNCTION("""COMPUTED_VALUE"""),5.44627E7)</f>
        <v>54462700</v>
      </c>
      <c r="G914" s="2">
        <f t="shared" si="1"/>
        <v>50</v>
      </c>
    </row>
    <row r="915" ht="15.75" customHeight="1">
      <c r="A915" s="1">
        <f>IFERROR(__xludf.DUMMYFUNCTION("""COMPUTED_VALUE"""),45203.66666666667)</f>
        <v>45203.66667</v>
      </c>
      <c r="B915" s="2">
        <f>IFERROR(__xludf.DUMMYFUNCTION("""COMPUTED_VALUE"""),5250.0)</f>
        <v>5250</v>
      </c>
      <c r="C915" s="2">
        <f>IFERROR(__xludf.DUMMYFUNCTION("""COMPUTED_VALUE"""),5275.0)</f>
        <v>5275</v>
      </c>
      <c r="D915" s="2">
        <f>IFERROR(__xludf.DUMMYFUNCTION("""COMPUTED_VALUE"""),5200.0)</f>
        <v>5200</v>
      </c>
      <c r="E915" s="2">
        <f>IFERROR(__xludf.DUMMYFUNCTION("""COMPUTED_VALUE"""),5250.0)</f>
        <v>5250</v>
      </c>
      <c r="F915" s="2">
        <f>IFERROR(__xludf.DUMMYFUNCTION("""COMPUTED_VALUE"""),1.21445E8)</f>
        <v>121445000</v>
      </c>
      <c r="G915" s="2">
        <f t="shared" si="1"/>
        <v>75</v>
      </c>
    </row>
    <row r="916" ht="15.75" customHeight="1">
      <c r="A916" s="1">
        <f>IFERROR(__xludf.DUMMYFUNCTION("""COMPUTED_VALUE"""),45204.66666666667)</f>
        <v>45204.66667</v>
      </c>
      <c r="B916" s="2">
        <f>IFERROR(__xludf.DUMMYFUNCTION("""COMPUTED_VALUE"""),5250.0)</f>
        <v>5250</v>
      </c>
      <c r="C916" s="2">
        <f>IFERROR(__xludf.DUMMYFUNCTION("""COMPUTED_VALUE"""),5275.0)</f>
        <v>5275</v>
      </c>
      <c r="D916" s="2">
        <f>IFERROR(__xludf.DUMMYFUNCTION("""COMPUTED_VALUE"""),5175.0)</f>
        <v>5175</v>
      </c>
      <c r="E916" s="2">
        <f>IFERROR(__xludf.DUMMYFUNCTION("""COMPUTED_VALUE"""),5175.0)</f>
        <v>5175</v>
      </c>
      <c r="F916" s="2">
        <f>IFERROR(__xludf.DUMMYFUNCTION("""COMPUTED_VALUE"""),1.168148E8)</f>
        <v>116814800</v>
      </c>
      <c r="G916" s="2">
        <f t="shared" si="1"/>
        <v>100</v>
      </c>
    </row>
    <row r="917" ht="15.75" customHeight="1">
      <c r="A917" s="1">
        <f>IFERROR(__xludf.DUMMYFUNCTION("""COMPUTED_VALUE"""),45205.66666666667)</f>
        <v>45205.66667</v>
      </c>
      <c r="B917" s="2">
        <f>IFERROR(__xludf.DUMMYFUNCTION("""COMPUTED_VALUE"""),5200.0)</f>
        <v>5200</v>
      </c>
      <c r="C917" s="2">
        <f>IFERROR(__xludf.DUMMYFUNCTION("""COMPUTED_VALUE"""),5250.0)</f>
        <v>5250</v>
      </c>
      <c r="D917" s="2">
        <f>IFERROR(__xludf.DUMMYFUNCTION("""COMPUTED_VALUE"""),5175.0)</f>
        <v>5175</v>
      </c>
      <c r="E917" s="2">
        <f>IFERROR(__xludf.DUMMYFUNCTION("""COMPUTED_VALUE"""),5175.0)</f>
        <v>5175</v>
      </c>
      <c r="F917" s="2">
        <f>IFERROR(__xludf.DUMMYFUNCTION("""COMPUTED_VALUE"""),7.02023E7)</f>
        <v>70202300</v>
      </c>
      <c r="G917" s="2">
        <f t="shared" si="1"/>
        <v>75</v>
      </c>
    </row>
    <row r="918" ht="15.75" customHeight="1">
      <c r="A918" s="1">
        <f>IFERROR(__xludf.DUMMYFUNCTION("""COMPUTED_VALUE"""),45208.66666666667)</f>
        <v>45208.66667</v>
      </c>
      <c r="B918" s="2">
        <f>IFERROR(__xludf.DUMMYFUNCTION("""COMPUTED_VALUE"""),5200.0)</f>
        <v>5200</v>
      </c>
      <c r="C918" s="2">
        <f>IFERROR(__xludf.DUMMYFUNCTION("""COMPUTED_VALUE"""),5225.0)</f>
        <v>5225</v>
      </c>
      <c r="D918" s="2">
        <f>IFERROR(__xludf.DUMMYFUNCTION("""COMPUTED_VALUE"""),5125.0)</f>
        <v>5125</v>
      </c>
      <c r="E918" s="2">
        <f>IFERROR(__xludf.DUMMYFUNCTION("""COMPUTED_VALUE"""),5125.0)</f>
        <v>5125</v>
      </c>
      <c r="F918" s="2">
        <f>IFERROR(__xludf.DUMMYFUNCTION("""COMPUTED_VALUE"""),1.44477E8)</f>
        <v>144477000</v>
      </c>
      <c r="G918" s="2">
        <f t="shared" si="1"/>
        <v>100</v>
      </c>
    </row>
    <row r="919" ht="15.75" customHeight="1">
      <c r="A919" s="1">
        <f>IFERROR(__xludf.DUMMYFUNCTION("""COMPUTED_VALUE"""),45209.66666666667)</f>
        <v>45209.66667</v>
      </c>
      <c r="B919" s="2">
        <f>IFERROR(__xludf.DUMMYFUNCTION("""COMPUTED_VALUE"""),5125.0)</f>
        <v>5125</v>
      </c>
      <c r="C919" s="2">
        <f>IFERROR(__xludf.DUMMYFUNCTION("""COMPUTED_VALUE"""),5250.0)</f>
        <v>5250</v>
      </c>
      <c r="D919" s="2">
        <f>IFERROR(__xludf.DUMMYFUNCTION("""COMPUTED_VALUE"""),5125.0)</f>
        <v>5125</v>
      </c>
      <c r="E919" s="2">
        <f>IFERROR(__xludf.DUMMYFUNCTION("""COMPUTED_VALUE"""),5175.0)</f>
        <v>5175</v>
      </c>
      <c r="F919" s="2">
        <f>IFERROR(__xludf.DUMMYFUNCTION("""COMPUTED_VALUE"""),9.8457E7)</f>
        <v>98457000</v>
      </c>
      <c r="G919" s="2">
        <f t="shared" si="1"/>
        <v>125</v>
      </c>
    </row>
    <row r="920" ht="15.75" customHeight="1">
      <c r="A920" s="1">
        <f>IFERROR(__xludf.DUMMYFUNCTION("""COMPUTED_VALUE"""),45210.66666666667)</f>
        <v>45210.66667</v>
      </c>
      <c r="B920" s="2">
        <f>IFERROR(__xludf.DUMMYFUNCTION("""COMPUTED_VALUE"""),5150.0)</f>
        <v>5150</v>
      </c>
      <c r="C920" s="2">
        <f>IFERROR(__xludf.DUMMYFUNCTION("""COMPUTED_VALUE"""),5275.0)</f>
        <v>5275</v>
      </c>
      <c r="D920" s="2">
        <f>IFERROR(__xludf.DUMMYFUNCTION("""COMPUTED_VALUE"""),5150.0)</f>
        <v>5150</v>
      </c>
      <c r="E920" s="2">
        <f>IFERROR(__xludf.DUMMYFUNCTION("""COMPUTED_VALUE"""),5250.0)</f>
        <v>5250</v>
      </c>
      <c r="F920" s="2">
        <f>IFERROR(__xludf.DUMMYFUNCTION("""COMPUTED_VALUE"""),1.003948E8)</f>
        <v>100394800</v>
      </c>
      <c r="G920" s="2">
        <f t="shared" si="1"/>
        <v>125</v>
      </c>
    </row>
    <row r="921" ht="15.75" customHeight="1">
      <c r="A921" s="1">
        <f>IFERROR(__xludf.DUMMYFUNCTION("""COMPUTED_VALUE"""),45211.66666666667)</f>
        <v>45211.66667</v>
      </c>
      <c r="B921" s="2">
        <f>IFERROR(__xludf.DUMMYFUNCTION("""COMPUTED_VALUE"""),5300.0)</f>
        <v>5300</v>
      </c>
      <c r="C921" s="2">
        <f>IFERROR(__xludf.DUMMYFUNCTION("""COMPUTED_VALUE"""),5375.0)</f>
        <v>5375</v>
      </c>
      <c r="D921" s="2">
        <f>IFERROR(__xludf.DUMMYFUNCTION("""COMPUTED_VALUE"""),5275.0)</f>
        <v>5275</v>
      </c>
      <c r="E921" s="2">
        <f>IFERROR(__xludf.DUMMYFUNCTION("""COMPUTED_VALUE"""),5300.0)</f>
        <v>5300</v>
      </c>
      <c r="F921" s="2">
        <f>IFERROR(__xludf.DUMMYFUNCTION("""COMPUTED_VALUE"""),1.740224E8)</f>
        <v>174022400</v>
      </c>
      <c r="G921" s="2">
        <f t="shared" si="1"/>
        <v>125</v>
      </c>
    </row>
    <row r="922" ht="15.75" customHeight="1">
      <c r="A922" s="1">
        <f>IFERROR(__xludf.DUMMYFUNCTION("""COMPUTED_VALUE"""),45212.66666666667)</f>
        <v>45212.66667</v>
      </c>
      <c r="B922" s="2">
        <f>IFERROR(__xludf.DUMMYFUNCTION("""COMPUTED_VALUE"""),5275.0)</f>
        <v>5275</v>
      </c>
      <c r="C922" s="2">
        <f>IFERROR(__xludf.DUMMYFUNCTION("""COMPUTED_VALUE"""),5325.0)</f>
        <v>5325</v>
      </c>
      <c r="D922" s="2">
        <f>IFERROR(__xludf.DUMMYFUNCTION("""COMPUTED_VALUE"""),5250.0)</f>
        <v>5250</v>
      </c>
      <c r="E922" s="2">
        <f>IFERROR(__xludf.DUMMYFUNCTION("""COMPUTED_VALUE"""),5275.0)</f>
        <v>5275</v>
      </c>
      <c r="F922" s="2">
        <f>IFERROR(__xludf.DUMMYFUNCTION("""COMPUTED_VALUE"""),8.46488E7)</f>
        <v>84648800</v>
      </c>
      <c r="G922" s="2">
        <f t="shared" si="1"/>
        <v>75</v>
      </c>
    </row>
    <row r="923" ht="15.75" customHeight="1">
      <c r="A923" s="1">
        <f>IFERROR(__xludf.DUMMYFUNCTION("""COMPUTED_VALUE"""),45215.66666666667)</f>
        <v>45215.66667</v>
      </c>
      <c r="B923" s="2">
        <f>IFERROR(__xludf.DUMMYFUNCTION("""COMPUTED_VALUE"""),5325.0)</f>
        <v>5325</v>
      </c>
      <c r="C923" s="2">
        <f>IFERROR(__xludf.DUMMYFUNCTION("""COMPUTED_VALUE"""),5325.0)</f>
        <v>5325</v>
      </c>
      <c r="D923" s="2">
        <f>IFERROR(__xludf.DUMMYFUNCTION("""COMPUTED_VALUE"""),5250.0)</f>
        <v>5250</v>
      </c>
      <c r="E923" s="2">
        <f>IFERROR(__xludf.DUMMYFUNCTION("""COMPUTED_VALUE"""),5250.0)</f>
        <v>5250</v>
      </c>
      <c r="F923" s="2">
        <f>IFERROR(__xludf.DUMMYFUNCTION("""COMPUTED_VALUE"""),4.57823E7)</f>
        <v>45782300</v>
      </c>
      <c r="G923" s="2">
        <f t="shared" si="1"/>
        <v>75</v>
      </c>
    </row>
    <row r="924" ht="15.75" customHeight="1">
      <c r="A924" s="1">
        <f>IFERROR(__xludf.DUMMYFUNCTION("""COMPUTED_VALUE"""),45216.66666666667)</f>
        <v>45216.66667</v>
      </c>
      <c r="B924" s="2">
        <f>IFERROR(__xludf.DUMMYFUNCTION("""COMPUTED_VALUE"""),5250.0)</f>
        <v>5250</v>
      </c>
      <c r="C924" s="2">
        <f>IFERROR(__xludf.DUMMYFUNCTION("""COMPUTED_VALUE"""),5275.0)</f>
        <v>5275</v>
      </c>
      <c r="D924" s="2">
        <f>IFERROR(__xludf.DUMMYFUNCTION("""COMPUTED_VALUE"""),5150.0)</f>
        <v>5150</v>
      </c>
      <c r="E924" s="2">
        <f>IFERROR(__xludf.DUMMYFUNCTION("""COMPUTED_VALUE"""),5150.0)</f>
        <v>5150</v>
      </c>
      <c r="F924" s="2">
        <f>IFERROR(__xludf.DUMMYFUNCTION("""COMPUTED_VALUE"""),1.272872E8)</f>
        <v>127287200</v>
      </c>
      <c r="G924" s="2">
        <f t="shared" si="1"/>
        <v>125</v>
      </c>
    </row>
    <row r="925" ht="15.75" customHeight="1">
      <c r="A925" s="1">
        <f>IFERROR(__xludf.DUMMYFUNCTION("""COMPUTED_VALUE"""),45217.66666666667)</f>
        <v>45217.66667</v>
      </c>
      <c r="B925" s="2">
        <f>IFERROR(__xludf.DUMMYFUNCTION("""COMPUTED_VALUE"""),5125.0)</f>
        <v>5125</v>
      </c>
      <c r="C925" s="2">
        <f>IFERROR(__xludf.DUMMYFUNCTION("""COMPUTED_VALUE"""),5225.0)</f>
        <v>5225</v>
      </c>
      <c r="D925" s="2">
        <f>IFERROR(__xludf.DUMMYFUNCTION("""COMPUTED_VALUE"""),5125.0)</f>
        <v>5125</v>
      </c>
      <c r="E925" s="2">
        <f>IFERROR(__xludf.DUMMYFUNCTION("""COMPUTED_VALUE"""),5150.0)</f>
        <v>5150</v>
      </c>
      <c r="F925" s="2">
        <f>IFERROR(__xludf.DUMMYFUNCTION("""COMPUTED_VALUE"""),7.72176E7)</f>
        <v>77217600</v>
      </c>
      <c r="G925" s="2">
        <f t="shared" si="1"/>
        <v>100</v>
      </c>
    </row>
    <row r="926" ht="15.75" customHeight="1">
      <c r="A926" s="1">
        <f>IFERROR(__xludf.DUMMYFUNCTION("""COMPUTED_VALUE"""),45218.66666666667)</f>
        <v>45218.66667</v>
      </c>
      <c r="B926" s="2">
        <f>IFERROR(__xludf.DUMMYFUNCTION("""COMPUTED_VALUE"""),5100.0)</f>
        <v>5100</v>
      </c>
      <c r="C926" s="2">
        <f>IFERROR(__xludf.DUMMYFUNCTION("""COMPUTED_VALUE"""),5150.0)</f>
        <v>5150</v>
      </c>
      <c r="D926" s="2">
        <f>IFERROR(__xludf.DUMMYFUNCTION("""COMPUTED_VALUE"""),5000.0)</f>
        <v>5000</v>
      </c>
      <c r="E926" s="2">
        <f>IFERROR(__xludf.DUMMYFUNCTION("""COMPUTED_VALUE"""),5000.0)</f>
        <v>5000</v>
      </c>
      <c r="F926" s="2">
        <f>IFERROR(__xludf.DUMMYFUNCTION("""COMPUTED_VALUE"""),1.958314E8)</f>
        <v>195831400</v>
      </c>
      <c r="G926" s="2">
        <f t="shared" si="1"/>
        <v>150</v>
      </c>
    </row>
    <row r="927" ht="15.75" customHeight="1">
      <c r="A927" s="1">
        <f>IFERROR(__xludf.DUMMYFUNCTION("""COMPUTED_VALUE"""),45219.66666666667)</f>
        <v>45219.66667</v>
      </c>
      <c r="B927" s="2">
        <f>IFERROR(__xludf.DUMMYFUNCTION("""COMPUTED_VALUE"""),4980.0)</f>
        <v>4980</v>
      </c>
      <c r="C927" s="2">
        <f>IFERROR(__xludf.DUMMYFUNCTION("""COMPUTED_VALUE"""),5100.0)</f>
        <v>5100</v>
      </c>
      <c r="D927" s="2">
        <f>IFERROR(__xludf.DUMMYFUNCTION("""COMPUTED_VALUE"""),4960.0)</f>
        <v>4960</v>
      </c>
      <c r="E927" s="2">
        <f>IFERROR(__xludf.DUMMYFUNCTION("""COMPUTED_VALUE"""),5050.0)</f>
        <v>5050</v>
      </c>
      <c r="F927" s="2">
        <f>IFERROR(__xludf.DUMMYFUNCTION("""COMPUTED_VALUE"""),1.733536E8)</f>
        <v>173353600</v>
      </c>
      <c r="G927" s="2">
        <f t="shared" si="1"/>
        <v>140</v>
      </c>
    </row>
    <row r="928" ht="15.75" customHeight="1">
      <c r="A928" s="1">
        <f>IFERROR(__xludf.DUMMYFUNCTION("""COMPUTED_VALUE"""),45222.66666666667)</f>
        <v>45222.66667</v>
      </c>
      <c r="B928" s="2">
        <f>IFERROR(__xludf.DUMMYFUNCTION("""COMPUTED_VALUE"""),5000.0)</f>
        <v>5000</v>
      </c>
      <c r="C928" s="2">
        <f>IFERROR(__xludf.DUMMYFUNCTION("""COMPUTED_VALUE"""),5075.0)</f>
        <v>5075</v>
      </c>
      <c r="D928" s="2">
        <f>IFERROR(__xludf.DUMMYFUNCTION("""COMPUTED_VALUE"""),4990.0)</f>
        <v>4990</v>
      </c>
      <c r="E928" s="2">
        <f>IFERROR(__xludf.DUMMYFUNCTION("""COMPUTED_VALUE"""),5000.0)</f>
        <v>5000</v>
      </c>
      <c r="F928" s="2">
        <f>IFERROR(__xludf.DUMMYFUNCTION("""COMPUTED_VALUE"""),8.27561E7)</f>
        <v>82756100</v>
      </c>
      <c r="G928" s="2">
        <f t="shared" si="1"/>
        <v>85</v>
      </c>
    </row>
    <row r="929" ht="15.75" customHeight="1">
      <c r="A929" s="1">
        <f>IFERROR(__xludf.DUMMYFUNCTION("""COMPUTED_VALUE"""),45223.66666666667)</f>
        <v>45223.66667</v>
      </c>
      <c r="B929" s="2">
        <f>IFERROR(__xludf.DUMMYFUNCTION("""COMPUTED_VALUE"""),5000.0)</f>
        <v>5000</v>
      </c>
      <c r="C929" s="2">
        <f>IFERROR(__xludf.DUMMYFUNCTION("""COMPUTED_VALUE"""),5100.0)</f>
        <v>5100</v>
      </c>
      <c r="D929" s="2">
        <f>IFERROR(__xludf.DUMMYFUNCTION("""COMPUTED_VALUE"""),4950.0)</f>
        <v>4950</v>
      </c>
      <c r="E929" s="2">
        <f>IFERROR(__xludf.DUMMYFUNCTION("""COMPUTED_VALUE"""),5100.0)</f>
        <v>5100</v>
      </c>
      <c r="F929" s="2">
        <f>IFERROR(__xludf.DUMMYFUNCTION("""COMPUTED_VALUE"""),1.040215E8)</f>
        <v>104021500</v>
      </c>
      <c r="G929" s="2">
        <f t="shared" si="1"/>
        <v>150</v>
      </c>
    </row>
    <row r="930" ht="15.75" customHeight="1">
      <c r="A930" s="1">
        <f>IFERROR(__xludf.DUMMYFUNCTION("""COMPUTED_VALUE"""),45224.66666666667)</f>
        <v>45224.66667</v>
      </c>
      <c r="B930" s="2">
        <f>IFERROR(__xludf.DUMMYFUNCTION("""COMPUTED_VALUE"""),5100.0)</f>
        <v>5100</v>
      </c>
      <c r="C930" s="2">
        <f>IFERROR(__xludf.DUMMYFUNCTION("""COMPUTED_VALUE"""),5200.0)</f>
        <v>5200</v>
      </c>
      <c r="D930" s="2">
        <f>IFERROR(__xludf.DUMMYFUNCTION("""COMPUTED_VALUE"""),5100.0)</f>
        <v>5100</v>
      </c>
      <c r="E930" s="2">
        <f>IFERROR(__xludf.DUMMYFUNCTION("""COMPUTED_VALUE"""),5175.0)</f>
        <v>5175</v>
      </c>
      <c r="F930" s="2">
        <f>IFERROR(__xludf.DUMMYFUNCTION("""COMPUTED_VALUE"""),1.42215E8)</f>
        <v>142215000</v>
      </c>
      <c r="G930" s="2">
        <f t="shared" si="1"/>
        <v>100</v>
      </c>
    </row>
    <row r="931" ht="15.75" customHeight="1">
      <c r="A931" s="1">
        <f>IFERROR(__xludf.DUMMYFUNCTION("""COMPUTED_VALUE"""),45225.66666666667)</f>
        <v>45225.66667</v>
      </c>
      <c r="B931" s="2">
        <f>IFERROR(__xludf.DUMMYFUNCTION("""COMPUTED_VALUE"""),5175.0)</f>
        <v>5175</v>
      </c>
      <c r="C931" s="2">
        <f>IFERROR(__xludf.DUMMYFUNCTION("""COMPUTED_VALUE"""),5175.0)</f>
        <v>5175</v>
      </c>
      <c r="D931" s="2">
        <f>IFERROR(__xludf.DUMMYFUNCTION("""COMPUTED_VALUE"""),4920.0)</f>
        <v>4920</v>
      </c>
      <c r="E931" s="2">
        <f>IFERROR(__xludf.DUMMYFUNCTION("""COMPUTED_VALUE"""),4920.0)</f>
        <v>4920</v>
      </c>
      <c r="F931" s="2">
        <f>IFERROR(__xludf.DUMMYFUNCTION("""COMPUTED_VALUE"""),3.306188E8)</f>
        <v>330618800</v>
      </c>
      <c r="G931" s="2">
        <f t="shared" si="1"/>
        <v>255</v>
      </c>
    </row>
    <row r="932" ht="15.75" customHeight="1">
      <c r="A932" s="1">
        <f>IFERROR(__xludf.DUMMYFUNCTION("""COMPUTED_VALUE"""),45226.66666666667)</f>
        <v>45226.66667</v>
      </c>
      <c r="B932" s="2">
        <f>IFERROR(__xludf.DUMMYFUNCTION("""COMPUTED_VALUE"""),4950.0)</f>
        <v>4950</v>
      </c>
      <c r="C932" s="2">
        <f>IFERROR(__xludf.DUMMYFUNCTION("""COMPUTED_VALUE"""),5050.0)</f>
        <v>5050</v>
      </c>
      <c r="D932" s="2">
        <f>IFERROR(__xludf.DUMMYFUNCTION("""COMPUTED_VALUE"""),4940.0)</f>
        <v>4940</v>
      </c>
      <c r="E932" s="2">
        <f>IFERROR(__xludf.DUMMYFUNCTION("""COMPUTED_VALUE"""),5000.0)</f>
        <v>5000</v>
      </c>
      <c r="F932" s="2">
        <f>IFERROR(__xludf.DUMMYFUNCTION("""COMPUTED_VALUE"""),1.295998E8)</f>
        <v>129599800</v>
      </c>
      <c r="G932" s="2">
        <f t="shared" si="1"/>
        <v>130</v>
      </c>
    </row>
    <row r="933" ht="15.75" customHeight="1">
      <c r="A933" s="1">
        <f>IFERROR(__xludf.DUMMYFUNCTION("""COMPUTED_VALUE"""),45229.66666666667)</f>
        <v>45229.66667</v>
      </c>
      <c r="B933" s="2">
        <f>IFERROR(__xludf.DUMMYFUNCTION("""COMPUTED_VALUE"""),4980.0)</f>
        <v>4980</v>
      </c>
      <c r="C933" s="2">
        <f>IFERROR(__xludf.DUMMYFUNCTION("""COMPUTED_VALUE"""),5025.0)</f>
        <v>5025</v>
      </c>
      <c r="D933" s="2">
        <f>IFERROR(__xludf.DUMMYFUNCTION("""COMPUTED_VALUE"""),4970.0)</f>
        <v>4970</v>
      </c>
      <c r="E933" s="2">
        <f>IFERROR(__xludf.DUMMYFUNCTION("""COMPUTED_VALUE"""),5000.0)</f>
        <v>5000</v>
      </c>
      <c r="F933" s="2">
        <f>IFERROR(__xludf.DUMMYFUNCTION("""COMPUTED_VALUE"""),1.085237E8)</f>
        <v>108523700</v>
      </c>
      <c r="G933" s="2">
        <f t="shared" si="1"/>
        <v>55</v>
      </c>
    </row>
    <row r="934" ht="15.75" customHeight="1">
      <c r="A934" s="1">
        <f>IFERROR(__xludf.DUMMYFUNCTION("""COMPUTED_VALUE"""),45230.66666666667)</f>
        <v>45230.66667</v>
      </c>
      <c r="B934" s="2">
        <f>IFERROR(__xludf.DUMMYFUNCTION("""COMPUTED_VALUE"""),4980.0)</f>
        <v>4980</v>
      </c>
      <c r="C934" s="2">
        <f>IFERROR(__xludf.DUMMYFUNCTION("""COMPUTED_VALUE"""),5000.0)</f>
        <v>5000</v>
      </c>
      <c r="D934" s="2">
        <f>IFERROR(__xludf.DUMMYFUNCTION("""COMPUTED_VALUE"""),4960.0)</f>
        <v>4960</v>
      </c>
      <c r="E934" s="2">
        <f>IFERROR(__xludf.DUMMYFUNCTION("""COMPUTED_VALUE"""),4960.0)</f>
        <v>4960</v>
      </c>
      <c r="F934" s="2">
        <f>IFERROR(__xludf.DUMMYFUNCTION("""COMPUTED_VALUE"""),1.067603E8)</f>
        <v>106760300</v>
      </c>
      <c r="G934" s="2">
        <f t="shared" si="1"/>
        <v>40</v>
      </c>
    </row>
    <row r="935" ht="15.75" customHeight="1">
      <c r="A935" s="1">
        <f>IFERROR(__xludf.DUMMYFUNCTION("""COMPUTED_VALUE"""),45231.66666666667)</f>
        <v>45231.66667</v>
      </c>
      <c r="B935" s="2">
        <f>IFERROR(__xludf.DUMMYFUNCTION("""COMPUTED_VALUE"""),4920.0)</f>
        <v>4920</v>
      </c>
      <c r="C935" s="2">
        <f>IFERROR(__xludf.DUMMYFUNCTION("""COMPUTED_VALUE"""),4960.0)</f>
        <v>4960</v>
      </c>
      <c r="D935" s="2">
        <f>IFERROR(__xludf.DUMMYFUNCTION("""COMPUTED_VALUE"""),4830.0)</f>
        <v>4830</v>
      </c>
      <c r="E935" s="2">
        <f>IFERROR(__xludf.DUMMYFUNCTION("""COMPUTED_VALUE"""),4830.0)</f>
        <v>4830</v>
      </c>
      <c r="F935" s="2">
        <f>IFERROR(__xludf.DUMMYFUNCTION("""COMPUTED_VALUE"""),1.915672E8)</f>
        <v>191567200</v>
      </c>
      <c r="G935" s="2">
        <f t="shared" si="1"/>
        <v>130</v>
      </c>
    </row>
    <row r="936" ht="15.75" customHeight="1">
      <c r="A936" s="1">
        <f>IFERROR(__xludf.DUMMYFUNCTION("""COMPUTED_VALUE"""),45232.66666666667)</f>
        <v>45232.66667</v>
      </c>
      <c r="B936" s="2">
        <f>IFERROR(__xludf.DUMMYFUNCTION("""COMPUTED_VALUE"""),4940.0)</f>
        <v>4940</v>
      </c>
      <c r="C936" s="2">
        <f>IFERROR(__xludf.DUMMYFUNCTION("""COMPUTED_VALUE"""),5075.0)</f>
        <v>5075</v>
      </c>
      <c r="D936" s="2">
        <f>IFERROR(__xludf.DUMMYFUNCTION("""COMPUTED_VALUE"""),4910.0)</f>
        <v>4910</v>
      </c>
      <c r="E936" s="2">
        <f>IFERROR(__xludf.DUMMYFUNCTION("""COMPUTED_VALUE"""),5000.0)</f>
        <v>5000</v>
      </c>
      <c r="F936" s="2">
        <f>IFERROR(__xludf.DUMMYFUNCTION("""COMPUTED_VALUE"""),2.080754E8)</f>
        <v>208075400</v>
      </c>
      <c r="G936" s="2">
        <f t="shared" si="1"/>
        <v>245</v>
      </c>
    </row>
    <row r="937" ht="15.75" customHeight="1">
      <c r="A937" s="1">
        <f>IFERROR(__xludf.DUMMYFUNCTION("""COMPUTED_VALUE"""),45233.66666666667)</f>
        <v>45233.66667</v>
      </c>
      <c r="B937" s="2">
        <f>IFERROR(__xludf.DUMMYFUNCTION("""COMPUTED_VALUE"""),5025.0)</f>
        <v>5025</v>
      </c>
      <c r="C937" s="2">
        <f>IFERROR(__xludf.DUMMYFUNCTION("""COMPUTED_VALUE"""),5175.0)</f>
        <v>5175</v>
      </c>
      <c r="D937" s="2">
        <f>IFERROR(__xludf.DUMMYFUNCTION("""COMPUTED_VALUE"""),5025.0)</f>
        <v>5025</v>
      </c>
      <c r="E937" s="2">
        <f>IFERROR(__xludf.DUMMYFUNCTION("""COMPUTED_VALUE"""),5100.0)</f>
        <v>5100</v>
      </c>
      <c r="F937" s="2">
        <f>IFERROR(__xludf.DUMMYFUNCTION("""COMPUTED_VALUE"""),1.25504E8)</f>
        <v>125504000</v>
      </c>
      <c r="G937" s="2">
        <f t="shared" si="1"/>
        <v>175</v>
      </c>
    </row>
    <row r="938" ht="15.75" customHeight="1">
      <c r="A938" s="1">
        <f>IFERROR(__xludf.DUMMYFUNCTION("""COMPUTED_VALUE"""),45236.66666666667)</f>
        <v>45236.66667</v>
      </c>
      <c r="B938" s="2">
        <f>IFERROR(__xludf.DUMMYFUNCTION("""COMPUTED_VALUE"""),5100.0)</f>
        <v>5100</v>
      </c>
      <c r="C938" s="2">
        <f>IFERROR(__xludf.DUMMYFUNCTION("""COMPUTED_VALUE"""),5200.0)</f>
        <v>5200</v>
      </c>
      <c r="D938" s="2">
        <f>IFERROR(__xludf.DUMMYFUNCTION("""COMPUTED_VALUE"""),5100.0)</f>
        <v>5100</v>
      </c>
      <c r="E938" s="2">
        <f>IFERROR(__xludf.DUMMYFUNCTION("""COMPUTED_VALUE"""),5200.0)</f>
        <v>5200</v>
      </c>
      <c r="F938" s="2">
        <f>IFERROR(__xludf.DUMMYFUNCTION("""COMPUTED_VALUE"""),1.223338E8)</f>
        <v>122333800</v>
      </c>
      <c r="G938" s="2">
        <f t="shared" si="1"/>
        <v>100</v>
      </c>
    </row>
    <row r="939" ht="15.75" customHeight="1">
      <c r="A939" s="1">
        <f>IFERROR(__xludf.DUMMYFUNCTION("""COMPUTED_VALUE"""),45237.66666666667)</f>
        <v>45237.66667</v>
      </c>
      <c r="B939" s="2">
        <f>IFERROR(__xludf.DUMMYFUNCTION("""COMPUTED_VALUE"""),5225.0)</f>
        <v>5225</v>
      </c>
      <c r="C939" s="2">
        <f>IFERROR(__xludf.DUMMYFUNCTION("""COMPUTED_VALUE"""),5275.0)</f>
        <v>5275</v>
      </c>
      <c r="D939" s="2">
        <f>IFERROR(__xludf.DUMMYFUNCTION("""COMPUTED_VALUE"""),5175.0)</f>
        <v>5175</v>
      </c>
      <c r="E939" s="2">
        <f>IFERROR(__xludf.DUMMYFUNCTION("""COMPUTED_VALUE"""),5250.0)</f>
        <v>5250</v>
      </c>
      <c r="F939" s="2">
        <f>IFERROR(__xludf.DUMMYFUNCTION("""COMPUTED_VALUE"""),1.370394E8)</f>
        <v>137039400</v>
      </c>
      <c r="G939" s="2">
        <f t="shared" si="1"/>
        <v>100</v>
      </c>
    </row>
    <row r="940" ht="15.75" customHeight="1">
      <c r="A940" s="1">
        <f>IFERROR(__xludf.DUMMYFUNCTION("""COMPUTED_VALUE"""),45238.66666666667)</f>
        <v>45238.66667</v>
      </c>
      <c r="B940" s="2">
        <f>IFERROR(__xludf.DUMMYFUNCTION("""COMPUTED_VALUE"""),5200.0)</f>
        <v>5200</v>
      </c>
      <c r="C940" s="2">
        <f>IFERROR(__xludf.DUMMYFUNCTION("""COMPUTED_VALUE"""),5250.0)</f>
        <v>5250</v>
      </c>
      <c r="D940" s="2">
        <f>IFERROR(__xludf.DUMMYFUNCTION("""COMPUTED_VALUE"""),5175.0)</f>
        <v>5175</v>
      </c>
      <c r="E940" s="2">
        <f>IFERROR(__xludf.DUMMYFUNCTION("""COMPUTED_VALUE"""),5225.0)</f>
        <v>5225</v>
      </c>
      <c r="F940" s="2">
        <f>IFERROR(__xludf.DUMMYFUNCTION("""COMPUTED_VALUE"""),8.67137E7)</f>
        <v>86713700</v>
      </c>
      <c r="G940" s="2">
        <f t="shared" si="1"/>
        <v>75</v>
      </c>
    </row>
    <row r="941" ht="15.75" customHeight="1">
      <c r="A941" s="1">
        <f>IFERROR(__xludf.DUMMYFUNCTION("""COMPUTED_VALUE"""),45239.66666666667)</f>
        <v>45239.66667</v>
      </c>
      <c r="B941" s="2">
        <f>IFERROR(__xludf.DUMMYFUNCTION("""COMPUTED_VALUE"""),5225.0)</f>
        <v>5225</v>
      </c>
      <c r="C941" s="2">
        <f>IFERROR(__xludf.DUMMYFUNCTION("""COMPUTED_VALUE"""),5275.0)</f>
        <v>5275</v>
      </c>
      <c r="D941" s="2">
        <f>IFERROR(__xludf.DUMMYFUNCTION("""COMPUTED_VALUE"""),5200.0)</f>
        <v>5200</v>
      </c>
      <c r="E941" s="2">
        <f>IFERROR(__xludf.DUMMYFUNCTION("""COMPUTED_VALUE"""),5200.0)</f>
        <v>5200</v>
      </c>
      <c r="F941" s="2">
        <f>IFERROR(__xludf.DUMMYFUNCTION("""COMPUTED_VALUE"""),6.62364E7)</f>
        <v>66236400</v>
      </c>
      <c r="G941" s="2">
        <f t="shared" si="1"/>
        <v>75</v>
      </c>
    </row>
    <row r="942" ht="15.75" customHeight="1">
      <c r="A942" s="1">
        <f>IFERROR(__xludf.DUMMYFUNCTION("""COMPUTED_VALUE"""),45240.66666666667)</f>
        <v>45240.66667</v>
      </c>
      <c r="B942" s="2">
        <f>IFERROR(__xludf.DUMMYFUNCTION("""COMPUTED_VALUE"""),5150.0)</f>
        <v>5150</v>
      </c>
      <c r="C942" s="2">
        <f>IFERROR(__xludf.DUMMYFUNCTION("""COMPUTED_VALUE"""),5150.0)</f>
        <v>5150</v>
      </c>
      <c r="D942" s="2">
        <f>IFERROR(__xludf.DUMMYFUNCTION("""COMPUTED_VALUE"""),5050.0)</f>
        <v>5050</v>
      </c>
      <c r="E942" s="2">
        <f>IFERROR(__xludf.DUMMYFUNCTION("""COMPUTED_VALUE"""),5075.0)</f>
        <v>5075</v>
      </c>
      <c r="F942" s="2">
        <f>IFERROR(__xludf.DUMMYFUNCTION("""COMPUTED_VALUE"""),1.138119E8)</f>
        <v>113811900</v>
      </c>
      <c r="G942" s="2">
        <f t="shared" si="1"/>
        <v>150</v>
      </c>
    </row>
    <row r="943" ht="15.75" customHeight="1">
      <c r="A943" s="1">
        <f>IFERROR(__xludf.DUMMYFUNCTION("""COMPUTED_VALUE"""),45243.66666666667)</f>
        <v>45243.66667</v>
      </c>
      <c r="B943" s="2">
        <f>IFERROR(__xludf.DUMMYFUNCTION("""COMPUTED_VALUE"""),5075.0)</f>
        <v>5075</v>
      </c>
      <c r="C943" s="2">
        <f>IFERROR(__xludf.DUMMYFUNCTION("""COMPUTED_VALUE"""),5125.0)</f>
        <v>5125</v>
      </c>
      <c r="D943" s="2">
        <f>IFERROR(__xludf.DUMMYFUNCTION("""COMPUTED_VALUE"""),5025.0)</f>
        <v>5025</v>
      </c>
      <c r="E943" s="2">
        <f>IFERROR(__xludf.DUMMYFUNCTION("""COMPUTED_VALUE"""),5025.0)</f>
        <v>5025</v>
      </c>
      <c r="F943" s="2">
        <f>IFERROR(__xludf.DUMMYFUNCTION("""COMPUTED_VALUE"""),6.31269E7)</f>
        <v>63126900</v>
      </c>
      <c r="G943" s="2">
        <f t="shared" si="1"/>
        <v>100</v>
      </c>
    </row>
    <row r="944" ht="15.75" customHeight="1">
      <c r="A944" s="1">
        <f>IFERROR(__xludf.DUMMYFUNCTION("""COMPUTED_VALUE"""),45244.66666666667)</f>
        <v>45244.66667</v>
      </c>
      <c r="B944" s="2">
        <f>IFERROR(__xludf.DUMMYFUNCTION("""COMPUTED_VALUE"""),5075.0)</f>
        <v>5075</v>
      </c>
      <c r="C944" s="2">
        <f>IFERROR(__xludf.DUMMYFUNCTION("""COMPUTED_VALUE"""),5125.0)</f>
        <v>5125</v>
      </c>
      <c r="D944" s="2">
        <f>IFERROR(__xludf.DUMMYFUNCTION("""COMPUTED_VALUE"""),5050.0)</f>
        <v>5050</v>
      </c>
      <c r="E944" s="2">
        <f>IFERROR(__xludf.DUMMYFUNCTION("""COMPUTED_VALUE"""),5075.0)</f>
        <v>5075</v>
      </c>
      <c r="F944" s="2">
        <f>IFERROR(__xludf.DUMMYFUNCTION("""COMPUTED_VALUE"""),8.54195E7)</f>
        <v>85419500</v>
      </c>
      <c r="G944" s="2">
        <f t="shared" si="1"/>
        <v>100</v>
      </c>
    </row>
    <row r="945" ht="15.75" customHeight="1">
      <c r="A945" s="1">
        <f>IFERROR(__xludf.DUMMYFUNCTION("""COMPUTED_VALUE"""),45245.66666666667)</f>
        <v>45245.66667</v>
      </c>
      <c r="B945" s="2">
        <f>IFERROR(__xludf.DUMMYFUNCTION("""COMPUTED_VALUE"""),5200.0)</f>
        <v>5200</v>
      </c>
      <c r="C945" s="2">
        <f>IFERROR(__xludf.DUMMYFUNCTION("""COMPUTED_VALUE"""),5300.0)</f>
        <v>5300</v>
      </c>
      <c r="D945" s="2">
        <f>IFERROR(__xludf.DUMMYFUNCTION("""COMPUTED_VALUE"""),5175.0)</f>
        <v>5175</v>
      </c>
      <c r="E945" s="2">
        <f>IFERROR(__xludf.DUMMYFUNCTION("""COMPUTED_VALUE"""),5250.0)</f>
        <v>5250</v>
      </c>
      <c r="F945" s="2">
        <f>IFERROR(__xludf.DUMMYFUNCTION("""COMPUTED_VALUE"""),1.937904E8)</f>
        <v>193790400</v>
      </c>
      <c r="G945" s="2">
        <f t="shared" si="1"/>
        <v>225</v>
      </c>
    </row>
    <row r="946" ht="15.75" customHeight="1">
      <c r="A946" s="1">
        <f>IFERROR(__xludf.DUMMYFUNCTION("""COMPUTED_VALUE"""),45246.66666666667)</f>
        <v>45246.66667</v>
      </c>
      <c r="B946" s="2">
        <f>IFERROR(__xludf.DUMMYFUNCTION("""COMPUTED_VALUE"""),5275.0)</f>
        <v>5275</v>
      </c>
      <c r="C946" s="2">
        <f>IFERROR(__xludf.DUMMYFUNCTION("""COMPUTED_VALUE"""),5275.0)</f>
        <v>5275</v>
      </c>
      <c r="D946" s="2">
        <f>IFERROR(__xludf.DUMMYFUNCTION("""COMPUTED_VALUE"""),5175.0)</f>
        <v>5175</v>
      </c>
      <c r="E946" s="2">
        <f>IFERROR(__xludf.DUMMYFUNCTION("""COMPUTED_VALUE"""),5250.0)</f>
        <v>5250</v>
      </c>
      <c r="F946" s="2">
        <f>IFERROR(__xludf.DUMMYFUNCTION("""COMPUTED_VALUE"""),9.96442E7)</f>
        <v>99644200</v>
      </c>
      <c r="G946" s="2">
        <f t="shared" si="1"/>
        <v>100</v>
      </c>
    </row>
    <row r="947" ht="15.75" customHeight="1">
      <c r="A947" s="1">
        <f>IFERROR(__xludf.DUMMYFUNCTION("""COMPUTED_VALUE"""),45247.66666666667)</f>
        <v>45247.66667</v>
      </c>
      <c r="B947" s="2">
        <f>IFERROR(__xludf.DUMMYFUNCTION("""COMPUTED_VALUE"""),5175.0)</f>
        <v>5175</v>
      </c>
      <c r="C947" s="2">
        <f>IFERROR(__xludf.DUMMYFUNCTION("""COMPUTED_VALUE"""),5250.0)</f>
        <v>5250</v>
      </c>
      <c r="D947" s="2">
        <f>IFERROR(__xludf.DUMMYFUNCTION("""COMPUTED_VALUE"""),5175.0)</f>
        <v>5175</v>
      </c>
      <c r="E947" s="2">
        <f>IFERROR(__xludf.DUMMYFUNCTION("""COMPUTED_VALUE"""),5225.0)</f>
        <v>5225</v>
      </c>
      <c r="F947" s="2">
        <f>IFERROR(__xludf.DUMMYFUNCTION("""COMPUTED_VALUE"""),7.07275E7)</f>
        <v>70727500</v>
      </c>
      <c r="G947" s="2">
        <f t="shared" si="1"/>
        <v>75</v>
      </c>
    </row>
    <row r="948" ht="15.75" customHeight="1">
      <c r="A948" s="1">
        <f>IFERROR(__xludf.DUMMYFUNCTION("""COMPUTED_VALUE"""),45250.66666666667)</f>
        <v>45250.66667</v>
      </c>
      <c r="B948" s="2">
        <f>IFERROR(__xludf.DUMMYFUNCTION("""COMPUTED_VALUE"""),5175.0)</f>
        <v>5175</v>
      </c>
      <c r="C948" s="2">
        <f>IFERROR(__xludf.DUMMYFUNCTION("""COMPUTED_VALUE"""),5275.0)</f>
        <v>5275</v>
      </c>
      <c r="D948" s="2">
        <f>IFERROR(__xludf.DUMMYFUNCTION("""COMPUTED_VALUE"""),5175.0)</f>
        <v>5175</v>
      </c>
      <c r="E948" s="2">
        <f>IFERROR(__xludf.DUMMYFUNCTION("""COMPUTED_VALUE"""),5250.0)</f>
        <v>5250</v>
      </c>
      <c r="F948" s="2">
        <f>IFERROR(__xludf.DUMMYFUNCTION("""COMPUTED_VALUE"""),5.41236E7)</f>
        <v>54123600</v>
      </c>
      <c r="G948" s="2">
        <f t="shared" si="1"/>
        <v>100</v>
      </c>
    </row>
    <row r="949" ht="15.75" customHeight="1">
      <c r="A949" s="1">
        <f>IFERROR(__xludf.DUMMYFUNCTION("""COMPUTED_VALUE"""),45251.66666666667)</f>
        <v>45251.66667</v>
      </c>
      <c r="B949" s="2">
        <f>IFERROR(__xludf.DUMMYFUNCTION("""COMPUTED_VALUE"""),5225.0)</f>
        <v>5225</v>
      </c>
      <c r="C949" s="2">
        <f>IFERROR(__xludf.DUMMYFUNCTION("""COMPUTED_VALUE"""),5250.0)</f>
        <v>5250</v>
      </c>
      <c r="D949" s="2">
        <f>IFERROR(__xludf.DUMMYFUNCTION("""COMPUTED_VALUE"""),5175.0)</f>
        <v>5175</v>
      </c>
      <c r="E949" s="2">
        <f>IFERROR(__xludf.DUMMYFUNCTION("""COMPUTED_VALUE"""),5200.0)</f>
        <v>5200</v>
      </c>
      <c r="F949" s="2">
        <f>IFERROR(__xludf.DUMMYFUNCTION("""COMPUTED_VALUE"""),1.041105E8)</f>
        <v>104110500</v>
      </c>
      <c r="G949" s="2">
        <f t="shared" si="1"/>
        <v>75</v>
      </c>
    </row>
    <row r="950" ht="15.75" customHeight="1">
      <c r="A950" s="1">
        <f>IFERROR(__xludf.DUMMYFUNCTION("""COMPUTED_VALUE"""),45252.66666666667)</f>
        <v>45252.66667</v>
      </c>
      <c r="B950" s="2">
        <f>IFERROR(__xludf.DUMMYFUNCTION("""COMPUTED_VALUE"""),5175.0)</f>
        <v>5175</v>
      </c>
      <c r="C950" s="2">
        <f>IFERROR(__xludf.DUMMYFUNCTION("""COMPUTED_VALUE"""),5300.0)</f>
        <v>5300</v>
      </c>
      <c r="D950" s="2">
        <f>IFERROR(__xludf.DUMMYFUNCTION("""COMPUTED_VALUE"""),5175.0)</f>
        <v>5175</v>
      </c>
      <c r="E950" s="2">
        <f>IFERROR(__xludf.DUMMYFUNCTION("""COMPUTED_VALUE"""),5275.0)</f>
        <v>5275</v>
      </c>
      <c r="F950" s="2">
        <f>IFERROR(__xludf.DUMMYFUNCTION("""COMPUTED_VALUE"""),1.035855E8)</f>
        <v>103585500</v>
      </c>
      <c r="G950" s="2">
        <f t="shared" si="1"/>
        <v>125</v>
      </c>
    </row>
    <row r="951" ht="15.75" customHeight="1">
      <c r="A951" s="1">
        <f>IFERROR(__xludf.DUMMYFUNCTION("""COMPUTED_VALUE"""),45253.66666666667)</f>
        <v>45253.66667</v>
      </c>
      <c r="B951" s="2">
        <f>IFERROR(__xludf.DUMMYFUNCTION("""COMPUTED_VALUE"""),5325.0)</f>
        <v>5325</v>
      </c>
      <c r="C951" s="2">
        <f>IFERROR(__xludf.DUMMYFUNCTION("""COMPUTED_VALUE"""),5400.0)</f>
        <v>5400</v>
      </c>
      <c r="D951" s="2">
        <f>IFERROR(__xludf.DUMMYFUNCTION("""COMPUTED_VALUE"""),5300.0)</f>
        <v>5300</v>
      </c>
      <c r="E951" s="2">
        <f>IFERROR(__xludf.DUMMYFUNCTION("""COMPUTED_VALUE"""),5350.0)</f>
        <v>5350</v>
      </c>
      <c r="F951" s="2">
        <f>IFERROR(__xludf.DUMMYFUNCTION("""COMPUTED_VALUE"""),1.745724E8)</f>
        <v>174572400</v>
      </c>
      <c r="G951" s="2">
        <f t="shared" si="1"/>
        <v>125</v>
      </c>
    </row>
    <row r="952" ht="15.75" customHeight="1">
      <c r="A952" s="1">
        <f>IFERROR(__xludf.DUMMYFUNCTION("""COMPUTED_VALUE"""),45254.66666666667)</f>
        <v>45254.66667</v>
      </c>
      <c r="B952" s="2">
        <f>IFERROR(__xludf.DUMMYFUNCTION("""COMPUTED_VALUE"""),5400.0)</f>
        <v>5400</v>
      </c>
      <c r="C952" s="2">
        <f>IFERROR(__xludf.DUMMYFUNCTION("""COMPUTED_VALUE"""),5450.0)</f>
        <v>5450</v>
      </c>
      <c r="D952" s="2">
        <f>IFERROR(__xludf.DUMMYFUNCTION("""COMPUTED_VALUE"""),5375.0)</f>
        <v>5375</v>
      </c>
      <c r="E952" s="2">
        <f>IFERROR(__xludf.DUMMYFUNCTION("""COMPUTED_VALUE"""),5400.0)</f>
        <v>5400</v>
      </c>
      <c r="F952" s="2">
        <f>IFERROR(__xludf.DUMMYFUNCTION("""COMPUTED_VALUE"""),9.25714E7)</f>
        <v>92571400</v>
      </c>
      <c r="G952" s="2">
        <f t="shared" si="1"/>
        <v>100</v>
      </c>
    </row>
    <row r="953" ht="15.75" customHeight="1">
      <c r="A953" s="1">
        <f>IFERROR(__xludf.DUMMYFUNCTION("""COMPUTED_VALUE"""),45257.66666666667)</f>
        <v>45257.66667</v>
      </c>
      <c r="B953" s="2">
        <f>IFERROR(__xludf.DUMMYFUNCTION("""COMPUTED_VALUE"""),5425.0)</f>
        <v>5425</v>
      </c>
      <c r="C953" s="2">
        <f>IFERROR(__xludf.DUMMYFUNCTION("""COMPUTED_VALUE"""),5450.0)</f>
        <v>5450</v>
      </c>
      <c r="D953" s="2">
        <f>IFERROR(__xludf.DUMMYFUNCTION("""COMPUTED_VALUE"""),5350.0)</f>
        <v>5350</v>
      </c>
      <c r="E953" s="2">
        <f>IFERROR(__xludf.DUMMYFUNCTION("""COMPUTED_VALUE"""),5350.0)</f>
        <v>5350</v>
      </c>
      <c r="F953" s="2">
        <f>IFERROR(__xludf.DUMMYFUNCTION("""COMPUTED_VALUE"""),7.60191E7)</f>
        <v>76019100</v>
      </c>
      <c r="G953" s="2">
        <f t="shared" si="1"/>
        <v>100</v>
      </c>
    </row>
    <row r="954" ht="15.75" customHeight="1">
      <c r="A954" s="1">
        <f>IFERROR(__xludf.DUMMYFUNCTION("""COMPUTED_VALUE"""),45258.66666666667)</f>
        <v>45258.66667</v>
      </c>
      <c r="B954" s="2">
        <f>IFERROR(__xludf.DUMMYFUNCTION("""COMPUTED_VALUE"""),5325.0)</f>
        <v>5325</v>
      </c>
      <c r="C954" s="2">
        <f>IFERROR(__xludf.DUMMYFUNCTION("""COMPUTED_VALUE"""),5425.0)</f>
        <v>5425</v>
      </c>
      <c r="D954" s="2">
        <f>IFERROR(__xludf.DUMMYFUNCTION("""COMPUTED_VALUE"""),5325.0)</f>
        <v>5325</v>
      </c>
      <c r="E954" s="2">
        <f>IFERROR(__xludf.DUMMYFUNCTION("""COMPUTED_VALUE"""),5350.0)</f>
        <v>5350</v>
      </c>
      <c r="F954" s="2">
        <f>IFERROR(__xludf.DUMMYFUNCTION("""COMPUTED_VALUE"""),1.479934E8)</f>
        <v>147993400</v>
      </c>
      <c r="G954" s="2">
        <f t="shared" si="1"/>
        <v>100</v>
      </c>
    </row>
    <row r="955" ht="15.75" customHeight="1">
      <c r="A955" s="1">
        <f>IFERROR(__xludf.DUMMYFUNCTION("""COMPUTED_VALUE"""),45259.66666666667)</f>
        <v>45259.66667</v>
      </c>
      <c r="B955" s="2">
        <f>IFERROR(__xludf.DUMMYFUNCTION("""COMPUTED_VALUE"""),5350.0)</f>
        <v>5350</v>
      </c>
      <c r="C955" s="2">
        <f>IFERROR(__xludf.DUMMYFUNCTION("""COMPUTED_VALUE"""),5375.0)</f>
        <v>5375</v>
      </c>
      <c r="D955" s="2">
        <f>IFERROR(__xludf.DUMMYFUNCTION("""COMPUTED_VALUE"""),5300.0)</f>
        <v>5300</v>
      </c>
      <c r="E955" s="2">
        <f>IFERROR(__xludf.DUMMYFUNCTION("""COMPUTED_VALUE"""),5300.0)</f>
        <v>5300</v>
      </c>
      <c r="F955" s="2">
        <f>IFERROR(__xludf.DUMMYFUNCTION("""COMPUTED_VALUE"""),1.061978E8)</f>
        <v>106197800</v>
      </c>
      <c r="G955" s="2">
        <f t="shared" si="1"/>
        <v>75</v>
      </c>
    </row>
    <row r="956" ht="15.75" customHeight="1">
      <c r="A956" s="1">
        <f>IFERROR(__xludf.DUMMYFUNCTION("""COMPUTED_VALUE"""),45260.66666666667)</f>
        <v>45260.66667</v>
      </c>
      <c r="B956" s="2">
        <f>IFERROR(__xludf.DUMMYFUNCTION("""COMPUTED_VALUE"""),5375.0)</f>
        <v>5375</v>
      </c>
      <c r="C956" s="2">
        <f>IFERROR(__xludf.DUMMYFUNCTION("""COMPUTED_VALUE"""),5375.0)</f>
        <v>5375</v>
      </c>
      <c r="D956" s="2">
        <f>IFERROR(__xludf.DUMMYFUNCTION("""COMPUTED_VALUE"""),5275.0)</f>
        <v>5275</v>
      </c>
      <c r="E956" s="2">
        <f>IFERROR(__xludf.DUMMYFUNCTION("""COMPUTED_VALUE"""),5275.0)</f>
        <v>5275</v>
      </c>
      <c r="F956" s="2">
        <f>IFERROR(__xludf.DUMMYFUNCTION("""COMPUTED_VALUE"""),2.244264E8)</f>
        <v>224426400</v>
      </c>
      <c r="G956" s="2">
        <f t="shared" si="1"/>
        <v>100</v>
      </c>
    </row>
    <row r="957" ht="15.75" customHeight="1">
      <c r="A957" s="1">
        <f>IFERROR(__xludf.DUMMYFUNCTION("""COMPUTED_VALUE"""),45261.66666666667)</f>
        <v>45261.66667</v>
      </c>
      <c r="B957" s="2">
        <f>IFERROR(__xludf.DUMMYFUNCTION("""COMPUTED_VALUE"""),5275.0)</f>
        <v>5275</v>
      </c>
      <c r="C957" s="2">
        <f>IFERROR(__xludf.DUMMYFUNCTION("""COMPUTED_VALUE"""),5375.0)</f>
        <v>5375</v>
      </c>
      <c r="D957" s="2">
        <f>IFERROR(__xludf.DUMMYFUNCTION("""COMPUTED_VALUE"""),5275.0)</f>
        <v>5275</v>
      </c>
      <c r="E957" s="2">
        <f>IFERROR(__xludf.DUMMYFUNCTION("""COMPUTED_VALUE"""),5350.0)</f>
        <v>5350</v>
      </c>
      <c r="F957" s="2">
        <f>IFERROR(__xludf.DUMMYFUNCTION("""COMPUTED_VALUE"""),9.94995E7)</f>
        <v>99499500</v>
      </c>
      <c r="G957" s="2">
        <f t="shared" si="1"/>
        <v>100</v>
      </c>
    </row>
    <row r="958" ht="15.75" customHeight="1">
      <c r="A958" s="1">
        <f>IFERROR(__xludf.DUMMYFUNCTION("""COMPUTED_VALUE"""),45264.66666666667)</f>
        <v>45264.66667</v>
      </c>
      <c r="B958" s="2">
        <f>IFERROR(__xludf.DUMMYFUNCTION("""COMPUTED_VALUE"""),5450.0)</f>
        <v>5450</v>
      </c>
      <c r="C958" s="2">
        <f>IFERROR(__xludf.DUMMYFUNCTION("""COMPUTED_VALUE"""),5575.0)</f>
        <v>5575</v>
      </c>
      <c r="D958" s="2">
        <f>IFERROR(__xludf.DUMMYFUNCTION("""COMPUTED_VALUE"""),5450.0)</f>
        <v>5450</v>
      </c>
      <c r="E958" s="2">
        <f>IFERROR(__xludf.DUMMYFUNCTION("""COMPUTED_VALUE"""),5500.0)</f>
        <v>5500</v>
      </c>
      <c r="F958" s="2">
        <f>IFERROR(__xludf.DUMMYFUNCTION("""COMPUTED_VALUE"""),2.355957E8)</f>
        <v>235595700</v>
      </c>
      <c r="G958" s="2">
        <f t="shared" si="1"/>
        <v>225</v>
      </c>
    </row>
    <row r="959" ht="15.75" customHeight="1">
      <c r="A959" s="1">
        <f>IFERROR(__xludf.DUMMYFUNCTION("""COMPUTED_VALUE"""),45265.66666666667)</f>
        <v>45265.66667</v>
      </c>
      <c r="B959" s="2">
        <f>IFERROR(__xludf.DUMMYFUNCTION("""COMPUTED_VALUE"""),5425.0)</f>
        <v>5425</v>
      </c>
      <c r="C959" s="2">
        <f>IFERROR(__xludf.DUMMYFUNCTION("""COMPUTED_VALUE"""),5500.0)</f>
        <v>5500</v>
      </c>
      <c r="D959" s="2">
        <f>IFERROR(__xludf.DUMMYFUNCTION("""COMPUTED_VALUE"""),5425.0)</f>
        <v>5425</v>
      </c>
      <c r="E959" s="2">
        <f>IFERROR(__xludf.DUMMYFUNCTION("""COMPUTED_VALUE"""),5450.0)</f>
        <v>5450</v>
      </c>
      <c r="F959" s="2">
        <f>IFERROR(__xludf.DUMMYFUNCTION("""COMPUTED_VALUE"""),1.146899E8)</f>
        <v>114689900</v>
      </c>
      <c r="G959" s="2">
        <f t="shared" si="1"/>
        <v>75</v>
      </c>
    </row>
    <row r="960" ht="15.75" customHeight="1">
      <c r="A960" s="1">
        <f>IFERROR(__xludf.DUMMYFUNCTION("""COMPUTED_VALUE"""),45266.66666666667)</f>
        <v>45266.66667</v>
      </c>
      <c r="B960" s="2">
        <f>IFERROR(__xludf.DUMMYFUNCTION("""COMPUTED_VALUE"""),5425.0)</f>
        <v>5425</v>
      </c>
      <c r="C960" s="2">
        <f>IFERROR(__xludf.DUMMYFUNCTION("""COMPUTED_VALUE"""),5450.0)</f>
        <v>5450</v>
      </c>
      <c r="D960" s="2">
        <f>IFERROR(__xludf.DUMMYFUNCTION("""COMPUTED_VALUE"""),5400.0)</f>
        <v>5400</v>
      </c>
      <c r="E960" s="2">
        <f>IFERROR(__xludf.DUMMYFUNCTION("""COMPUTED_VALUE"""),5425.0)</f>
        <v>5425</v>
      </c>
      <c r="F960" s="2">
        <f>IFERROR(__xludf.DUMMYFUNCTION("""COMPUTED_VALUE"""),1.197167E8)</f>
        <v>119716700</v>
      </c>
      <c r="G960" s="2">
        <f t="shared" si="1"/>
        <v>50</v>
      </c>
    </row>
    <row r="961" ht="15.75" customHeight="1">
      <c r="A961" s="1">
        <f>IFERROR(__xludf.DUMMYFUNCTION("""COMPUTED_VALUE"""),45267.66666666667)</f>
        <v>45267.66667</v>
      </c>
      <c r="B961" s="2">
        <f>IFERROR(__xludf.DUMMYFUNCTION("""COMPUTED_VALUE"""),5400.0)</f>
        <v>5400</v>
      </c>
      <c r="C961" s="2">
        <f>IFERROR(__xludf.DUMMYFUNCTION("""COMPUTED_VALUE"""),5475.0)</f>
        <v>5475</v>
      </c>
      <c r="D961" s="2">
        <f>IFERROR(__xludf.DUMMYFUNCTION("""COMPUTED_VALUE"""),5400.0)</f>
        <v>5400</v>
      </c>
      <c r="E961" s="2">
        <f>IFERROR(__xludf.DUMMYFUNCTION("""COMPUTED_VALUE"""),5475.0)</f>
        <v>5475</v>
      </c>
      <c r="F961" s="2">
        <f>IFERROR(__xludf.DUMMYFUNCTION("""COMPUTED_VALUE"""),1.021266E8)</f>
        <v>102126600</v>
      </c>
      <c r="G961" s="2">
        <f t="shared" si="1"/>
        <v>75</v>
      </c>
    </row>
    <row r="962" ht="15.75" customHeight="1">
      <c r="A962" s="1">
        <f>IFERROR(__xludf.DUMMYFUNCTION("""COMPUTED_VALUE"""),45268.66666666667)</f>
        <v>45268.66667</v>
      </c>
      <c r="B962" s="2">
        <f>IFERROR(__xludf.DUMMYFUNCTION("""COMPUTED_VALUE"""),5425.0)</f>
        <v>5425</v>
      </c>
      <c r="C962" s="2">
        <f>IFERROR(__xludf.DUMMYFUNCTION("""COMPUTED_VALUE"""),5450.0)</f>
        <v>5450</v>
      </c>
      <c r="D962" s="2">
        <f>IFERROR(__xludf.DUMMYFUNCTION("""COMPUTED_VALUE"""),5375.0)</f>
        <v>5375</v>
      </c>
      <c r="E962" s="2">
        <f>IFERROR(__xludf.DUMMYFUNCTION("""COMPUTED_VALUE"""),5375.0)</f>
        <v>5375</v>
      </c>
      <c r="F962" s="2">
        <f>IFERROR(__xludf.DUMMYFUNCTION("""COMPUTED_VALUE"""),1.305426E8)</f>
        <v>130542600</v>
      </c>
      <c r="G962" s="2">
        <f t="shared" si="1"/>
        <v>100</v>
      </c>
    </row>
    <row r="963" ht="15.75" customHeight="1">
      <c r="A963" s="1">
        <f>IFERROR(__xludf.DUMMYFUNCTION("""COMPUTED_VALUE"""),45271.66666666667)</f>
        <v>45271.66667</v>
      </c>
      <c r="B963" s="2">
        <f>IFERROR(__xludf.DUMMYFUNCTION("""COMPUTED_VALUE"""),5325.0)</f>
        <v>5325</v>
      </c>
      <c r="C963" s="2">
        <f>IFERROR(__xludf.DUMMYFUNCTION("""COMPUTED_VALUE"""),5375.0)</f>
        <v>5375</v>
      </c>
      <c r="D963" s="2">
        <f>IFERROR(__xludf.DUMMYFUNCTION("""COMPUTED_VALUE"""),5300.0)</f>
        <v>5300</v>
      </c>
      <c r="E963" s="2">
        <f>IFERROR(__xludf.DUMMYFUNCTION("""COMPUTED_VALUE"""),5300.0)</f>
        <v>5300</v>
      </c>
      <c r="F963" s="2">
        <f>IFERROR(__xludf.DUMMYFUNCTION("""COMPUTED_VALUE"""),1.244686E8)</f>
        <v>124468600</v>
      </c>
      <c r="G963" s="2">
        <f t="shared" si="1"/>
        <v>75</v>
      </c>
    </row>
    <row r="964" ht="15.75" customHeight="1">
      <c r="A964" s="1">
        <f>IFERROR(__xludf.DUMMYFUNCTION("""COMPUTED_VALUE"""),45272.66666666667)</f>
        <v>45272.66667</v>
      </c>
      <c r="B964" s="2">
        <f>IFERROR(__xludf.DUMMYFUNCTION("""COMPUTED_VALUE"""),5375.0)</f>
        <v>5375</v>
      </c>
      <c r="C964" s="2">
        <f>IFERROR(__xludf.DUMMYFUNCTION("""COMPUTED_VALUE"""),5400.0)</f>
        <v>5400</v>
      </c>
      <c r="D964" s="2">
        <f>IFERROR(__xludf.DUMMYFUNCTION("""COMPUTED_VALUE"""),5325.0)</f>
        <v>5325</v>
      </c>
      <c r="E964" s="2">
        <f>IFERROR(__xludf.DUMMYFUNCTION("""COMPUTED_VALUE"""),5325.0)</f>
        <v>5325</v>
      </c>
      <c r="F964" s="2">
        <f>IFERROR(__xludf.DUMMYFUNCTION("""COMPUTED_VALUE"""),1.345016E8)</f>
        <v>134501600</v>
      </c>
      <c r="G964" s="2">
        <f t="shared" si="1"/>
        <v>100</v>
      </c>
    </row>
    <row r="965" ht="15.75" customHeight="1">
      <c r="A965" s="1">
        <f>IFERROR(__xludf.DUMMYFUNCTION("""COMPUTED_VALUE"""),45273.66666666667)</f>
        <v>45273.66667</v>
      </c>
      <c r="B965" s="2">
        <f>IFERROR(__xludf.DUMMYFUNCTION("""COMPUTED_VALUE"""),5300.0)</f>
        <v>5300</v>
      </c>
      <c r="C965" s="2">
        <f>IFERROR(__xludf.DUMMYFUNCTION("""COMPUTED_VALUE"""),5350.0)</f>
        <v>5350</v>
      </c>
      <c r="D965" s="2">
        <f>IFERROR(__xludf.DUMMYFUNCTION("""COMPUTED_VALUE"""),5275.0)</f>
        <v>5275</v>
      </c>
      <c r="E965" s="2">
        <f>IFERROR(__xludf.DUMMYFUNCTION("""COMPUTED_VALUE"""),5300.0)</f>
        <v>5300</v>
      </c>
      <c r="F965" s="2">
        <f>IFERROR(__xludf.DUMMYFUNCTION("""COMPUTED_VALUE"""),9.88816E7)</f>
        <v>98881600</v>
      </c>
      <c r="G965" s="2">
        <f t="shared" si="1"/>
        <v>75</v>
      </c>
    </row>
    <row r="966" ht="15.75" customHeight="1">
      <c r="A966" s="1">
        <f>IFERROR(__xludf.DUMMYFUNCTION("""COMPUTED_VALUE"""),45274.66666666667)</f>
        <v>45274.66667</v>
      </c>
      <c r="B966" s="2">
        <f>IFERROR(__xludf.DUMMYFUNCTION("""COMPUTED_VALUE"""),5450.0)</f>
        <v>5450</v>
      </c>
      <c r="C966" s="2">
        <f>IFERROR(__xludf.DUMMYFUNCTION("""COMPUTED_VALUE"""),5550.0)</f>
        <v>5550</v>
      </c>
      <c r="D966" s="2">
        <f>IFERROR(__xludf.DUMMYFUNCTION("""COMPUTED_VALUE"""),5425.0)</f>
        <v>5425</v>
      </c>
      <c r="E966" s="2">
        <f>IFERROR(__xludf.DUMMYFUNCTION("""COMPUTED_VALUE"""),5550.0)</f>
        <v>5550</v>
      </c>
      <c r="F966" s="2">
        <f>IFERROR(__xludf.DUMMYFUNCTION("""COMPUTED_VALUE"""),2.392617E8)</f>
        <v>239261700</v>
      </c>
      <c r="G966" s="2">
        <f t="shared" si="1"/>
        <v>250</v>
      </c>
    </row>
    <row r="967" ht="15.75" customHeight="1">
      <c r="A967" s="1">
        <f>IFERROR(__xludf.DUMMYFUNCTION("""COMPUTED_VALUE"""),45275.66666666667)</f>
        <v>45275.66667</v>
      </c>
      <c r="B967" s="2">
        <f>IFERROR(__xludf.DUMMYFUNCTION("""COMPUTED_VALUE"""),5575.0)</f>
        <v>5575</v>
      </c>
      <c r="C967" s="2">
        <f>IFERROR(__xludf.DUMMYFUNCTION("""COMPUTED_VALUE"""),5600.0)</f>
        <v>5600</v>
      </c>
      <c r="D967" s="2">
        <f>IFERROR(__xludf.DUMMYFUNCTION("""COMPUTED_VALUE"""),5550.0)</f>
        <v>5550</v>
      </c>
      <c r="E967" s="2">
        <f>IFERROR(__xludf.DUMMYFUNCTION("""COMPUTED_VALUE"""),5550.0)</f>
        <v>5550</v>
      </c>
      <c r="F967" s="2">
        <f>IFERROR(__xludf.DUMMYFUNCTION("""COMPUTED_VALUE"""),2.524488E8)</f>
        <v>252448800</v>
      </c>
      <c r="G967" s="2">
        <f t="shared" si="1"/>
        <v>50</v>
      </c>
    </row>
    <row r="968" ht="15.75" customHeight="1">
      <c r="A968" s="1">
        <f>IFERROR(__xludf.DUMMYFUNCTION("""COMPUTED_VALUE"""),45278.66666666667)</f>
        <v>45278.66667</v>
      </c>
      <c r="B968" s="2">
        <f>IFERROR(__xludf.DUMMYFUNCTION("""COMPUTED_VALUE"""),5575.0)</f>
        <v>5575</v>
      </c>
      <c r="C968" s="2">
        <f>IFERROR(__xludf.DUMMYFUNCTION("""COMPUTED_VALUE"""),5575.0)</f>
        <v>5575</v>
      </c>
      <c r="D968" s="2">
        <f>IFERROR(__xludf.DUMMYFUNCTION("""COMPUTED_VALUE"""),5500.0)</f>
        <v>5500</v>
      </c>
      <c r="E968" s="2">
        <f>IFERROR(__xludf.DUMMYFUNCTION("""COMPUTED_VALUE"""),5500.0)</f>
        <v>5500</v>
      </c>
      <c r="F968" s="2">
        <f>IFERROR(__xludf.DUMMYFUNCTION("""COMPUTED_VALUE"""),1.027809E8)</f>
        <v>102780900</v>
      </c>
      <c r="G968" s="2">
        <f t="shared" si="1"/>
        <v>75</v>
      </c>
    </row>
    <row r="969" ht="15.75" customHeight="1">
      <c r="A969" s="1">
        <f>IFERROR(__xludf.DUMMYFUNCTION("""COMPUTED_VALUE"""),45279.66666666667)</f>
        <v>45279.66667</v>
      </c>
      <c r="B969" s="2">
        <f>IFERROR(__xludf.DUMMYFUNCTION("""COMPUTED_VALUE"""),5450.0)</f>
        <v>5450</v>
      </c>
      <c r="C969" s="2">
        <f>IFERROR(__xludf.DUMMYFUNCTION("""COMPUTED_VALUE"""),5550.0)</f>
        <v>5550</v>
      </c>
      <c r="D969" s="2">
        <f>IFERROR(__xludf.DUMMYFUNCTION("""COMPUTED_VALUE"""),5450.0)</f>
        <v>5450</v>
      </c>
      <c r="E969" s="2">
        <f>IFERROR(__xludf.DUMMYFUNCTION("""COMPUTED_VALUE"""),5550.0)</f>
        <v>5550</v>
      </c>
      <c r="F969" s="2">
        <f>IFERROR(__xludf.DUMMYFUNCTION("""COMPUTED_VALUE"""),1.352073E8)</f>
        <v>135207300</v>
      </c>
      <c r="G969" s="2">
        <f t="shared" si="1"/>
        <v>100</v>
      </c>
    </row>
    <row r="970" ht="15.75" customHeight="1">
      <c r="A970" s="1">
        <f>IFERROR(__xludf.DUMMYFUNCTION("""COMPUTED_VALUE"""),45280.66666666667)</f>
        <v>45280.66667</v>
      </c>
      <c r="B970" s="2">
        <f>IFERROR(__xludf.DUMMYFUNCTION("""COMPUTED_VALUE"""),5700.0)</f>
        <v>5700</v>
      </c>
      <c r="C970" s="2">
        <f>IFERROR(__xludf.DUMMYFUNCTION("""COMPUTED_VALUE"""),5700.0)</f>
        <v>5700</v>
      </c>
      <c r="D970" s="2">
        <f>IFERROR(__xludf.DUMMYFUNCTION("""COMPUTED_VALUE"""),5550.0)</f>
        <v>5550</v>
      </c>
      <c r="E970" s="2">
        <f>IFERROR(__xludf.DUMMYFUNCTION("""COMPUTED_VALUE"""),5550.0)</f>
        <v>5550</v>
      </c>
      <c r="F970" s="2">
        <f>IFERROR(__xludf.DUMMYFUNCTION("""COMPUTED_VALUE"""),1.384709E8)</f>
        <v>138470900</v>
      </c>
      <c r="G970" s="2">
        <f t="shared" si="1"/>
        <v>150</v>
      </c>
    </row>
    <row r="971" ht="15.75" customHeight="1">
      <c r="A971" s="1">
        <f>IFERROR(__xludf.DUMMYFUNCTION("""COMPUTED_VALUE"""),45281.66666666667)</f>
        <v>45281.66667</v>
      </c>
      <c r="B971" s="2">
        <f>IFERROR(__xludf.DUMMYFUNCTION("""COMPUTED_VALUE"""),5550.0)</f>
        <v>5550</v>
      </c>
      <c r="C971" s="2">
        <f>IFERROR(__xludf.DUMMYFUNCTION("""COMPUTED_VALUE"""),5600.0)</f>
        <v>5600</v>
      </c>
      <c r="D971" s="2">
        <f>IFERROR(__xludf.DUMMYFUNCTION("""COMPUTED_VALUE"""),5525.0)</f>
        <v>5525</v>
      </c>
      <c r="E971" s="2">
        <f>IFERROR(__xludf.DUMMYFUNCTION("""COMPUTED_VALUE"""),5575.0)</f>
        <v>5575</v>
      </c>
      <c r="F971" s="2">
        <f>IFERROR(__xludf.DUMMYFUNCTION("""COMPUTED_VALUE"""),9.90496E7)</f>
        <v>99049600</v>
      </c>
      <c r="G971" s="2">
        <f t="shared" si="1"/>
        <v>75</v>
      </c>
    </row>
    <row r="972" ht="15.75" customHeight="1">
      <c r="A972" s="1">
        <f>IFERROR(__xludf.DUMMYFUNCTION("""COMPUTED_VALUE"""),45282.66666666667)</f>
        <v>45282.66667</v>
      </c>
      <c r="B972" s="2">
        <f>IFERROR(__xludf.DUMMYFUNCTION("""COMPUTED_VALUE"""),5650.0)</f>
        <v>5650</v>
      </c>
      <c r="C972" s="2">
        <f>IFERROR(__xludf.DUMMYFUNCTION("""COMPUTED_VALUE"""),5700.0)</f>
        <v>5700</v>
      </c>
      <c r="D972" s="2">
        <f>IFERROR(__xludf.DUMMYFUNCTION("""COMPUTED_VALUE"""),5600.0)</f>
        <v>5600</v>
      </c>
      <c r="E972" s="2">
        <f>IFERROR(__xludf.DUMMYFUNCTION("""COMPUTED_VALUE"""),5675.0)</f>
        <v>5675</v>
      </c>
      <c r="F972" s="2">
        <f>IFERROR(__xludf.DUMMYFUNCTION("""COMPUTED_VALUE"""),1.094113E8)</f>
        <v>109411300</v>
      </c>
      <c r="G972" s="2">
        <f t="shared" si="1"/>
        <v>125</v>
      </c>
    </row>
    <row r="973" ht="15.75" customHeight="1">
      <c r="A973" s="1">
        <f>IFERROR(__xludf.DUMMYFUNCTION("""COMPUTED_VALUE"""),45287.66666666667)</f>
        <v>45287.66667</v>
      </c>
      <c r="B973" s="2">
        <f>IFERROR(__xludf.DUMMYFUNCTION("""COMPUTED_VALUE"""),5700.0)</f>
        <v>5700</v>
      </c>
      <c r="C973" s="2">
        <f>IFERROR(__xludf.DUMMYFUNCTION("""COMPUTED_VALUE"""),5725.0)</f>
        <v>5725</v>
      </c>
      <c r="D973" s="2">
        <f>IFERROR(__xludf.DUMMYFUNCTION("""COMPUTED_VALUE"""),5625.0)</f>
        <v>5625</v>
      </c>
      <c r="E973" s="2">
        <f>IFERROR(__xludf.DUMMYFUNCTION("""COMPUTED_VALUE"""),5625.0)</f>
        <v>5625</v>
      </c>
      <c r="F973" s="2">
        <f>IFERROR(__xludf.DUMMYFUNCTION("""COMPUTED_VALUE"""),1.222367E8)</f>
        <v>122236700</v>
      </c>
      <c r="G973" s="2">
        <f t="shared" si="1"/>
        <v>100</v>
      </c>
    </row>
    <row r="974" ht="15.75" customHeight="1">
      <c r="A974" s="1">
        <f>IFERROR(__xludf.DUMMYFUNCTION("""COMPUTED_VALUE"""),45288.66666666667)</f>
        <v>45288.66667</v>
      </c>
      <c r="B974" s="2">
        <f>IFERROR(__xludf.DUMMYFUNCTION("""COMPUTED_VALUE"""),5700.0)</f>
        <v>5700</v>
      </c>
      <c r="C974" s="2">
        <f>IFERROR(__xludf.DUMMYFUNCTION("""COMPUTED_VALUE"""),5750.0)</f>
        <v>5750</v>
      </c>
      <c r="D974" s="2">
        <f>IFERROR(__xludf.DUMMYFUNCTION("""COMPUTED_VALUE"""),5675.0)</f>
        <v>5675</v>
      </c>
      <c r="E974" s="2">
        <f>IFERROR(__xludf.DUMMYFUNCTION("""COMPUTED_VALUE"""),5725.0)</f>
        <v>5725</v>
      </c>
      <c r="F974" s="2">
        <f>IFERROR(__xludf.DUMMYFUNCTION("""COMPUTED_VALUE"""),1.214346E8)</f>
        <v>121434600</v>
      </c>
      <c r="G974" s="2">
        <f t="shared" si="1"/>
        <v>125</v>
      </c>
    </row>
    <row r="975" ht="15.75" customHeight="1">
      <c r="A975" s="1">
        <f>IFERROR(__xludf.DUMMYFUNCTION("""COMPUTED_VALUE"""),45289.66666666667)</f>
        <v>45289.66667</v>
      </c>
      <c r="B975" s="2">
        <f>IFERROR(__xludf.DUMMYFUNCTION("""COMPUTED_VALUE"""),5750.0)</f>
        <v>5750</v>
      </c>
      <c r="C975" s="2">
        <f>IFERROR(__xludf.DUMMYFUNCTION("""COMPUTED_VALUE"""),5750.0)</f>
        <v>5750</v>
      </c>
      <c r="D975" s="2">
        <f>IFERROR(__xludf.DUMMYFUNCTION("""COMPUTED_VALUE"""),5675.0)</f>
        <v>5675</v>
      </c>
      <c r="E975" s="2">
        <f>IFERROR(__xludf.DUMMYFUNCTION("""COMPUTED_VALUE"""),5725.0)</f>
        <v>5725</v>
      </c>
      <c r="F975" s="2">
        <f>IFERROR(__xludf.DUMMYFUNCTION("""COMPUTED_VALUE"""),9.3126E7)</f>
        <v>93126000</v>
      </c>
      <c r="G975" s="2">
        <f t="shared" si="1"/>
        <v>75</v>
      </c>
    </row>
    <row r="976" ht="15.75" customHeight="1">
      <c r="A976" s="1">
        <f>IFERROR(__xludf.DUMMYFUNCTION("""COMPUTED_VALUE"""),45293.66666666667)</f>
        <v>45293.66667</v>
      </c>
      <c r="B976" s="2">
        <f>IFERROR(__xludf.DUMMYFUNCTION("""COMPUTED_VALUE"""),5650.0)</f>
        <v>5650</v>
      </c>
      <c r="C976" s="2">
        <f>IFERROR(__xludf.DUMMYFUNCTION("""COMPUTED_VALUE"""),5675.0)</f>
        <v>5675</v>
      </c>
      <c r="D976" s="2">
        <f>IFERROR(__xludf.DUMMYFUNCTION("""COMPUTED_VALUE"""),5625.0)</f>
        <v>5625</v>
      </c>
      <c r="E976" s="2">
        <f>IFERROR(__xludf.DUMMYFUNCTION("""COMPUTED_VALUE"""),5675.0)</f>
        <v>5675</v>
      </c>
      <c r="F976" s="2">
        <f>IFERROR(__xludf.DUMMYFUNCTION("""COMPUTED_VALUE"""),9.11431E7)</f>
        <v>91143100</v>
      </c>
      <c r="G976" s="2">
        <f t="shared" si="1"/>
        <v>100</v>
      </c>
    </row>
    <row r="977" ht="15.75" customHeight="1">
      <c r="A977" s="1">
        <f>IFERROR(__xludf.DUMMYFUNCTION("""COMPUTED_VALUE"""),45294.66666666667)</f>
        <v>45294.66667</v>
      </c>
      <c r="B977" s="2">
        <f>IFERROR(__xludf.DUMMYFUNCTION("""COMPUTED_VALUE"""),5625.0)</f>
        <v>5625</v>
      </c>
      <c r="C977" s="2">
        <f>IFERROR(__xludf.DUMMYFUNCTION("""COMPUTED_VALUE"""),5650.0)</f>
        <v>5650</v>
      </c>
      <c r="D977" s="2">
        <f>IFERROR(__xludf.DUMMYFUNCTION("""COMPUTED_VALUE"""),5600.0)</f>
        <v>5600</v>
      </c>
      <c r="E977" s="2">
        <f>IFERROR(__xludf.DUMMYFUNCTION("""COMPUTED_VALUE"""),5600.0)</f>
        <v>5600</v>
      </c>
      <c r="F977" s="2">
        <f>IFERROR(__xludf.DUMMYFUNCTION("""COMPUTED_VALUE"""),8.36597E7)</f>
        <v>83659700</v>
      </c>
      <c r="G977" s="2">
        <f t="shared" si="1"/>
        <v>75</v>
      </c>
    </row>
    <row r="978" ht="15.75" customHeight="1">
      <c r="A978" s="1">
        <f>IFERROR(__xludf.DUMMYFUNCTION("""COMPUTED_VALUE"""),45295.66666666667)</f>
        <v>45295.66667</v>
      </c>
      <c r="B978" s="2">
        <f>IFERROR(__xludf.DUMMYFUNCTION("""COMPUTED_VALUE"""),5600.0)</f>
        <v>5600</v>
      </c>
      <c r="C978" s="2">
        <f>IFERROR(__xludf.DUMMYFUNCTION("""COMPUTED_VALUE"""),5700.0)</f>
        <v>5700</v>
      </c>
      <c r="D978" s="2">
        <f>IFERROR(__xludf.DUMMYFUNCTION("""COMPUTED_VALUE"""),5575.0)</f>
        <v>5575</v>
      </c>
      <c r="E978" s="2">
        <f>IFERROR(__xludf.DUMMYFUNCTION("""COMPUTED_VALUE"""),5700.0)</f>
        <v>5700</v>
      </c>
      <c r="F978" s="2">
        <f>IFERROR(__xludf.DUMMYFUNCTION("""COMPUTED_VALUE"""),9.26835E7)</f>
        <v>92683500</v>
      </c>
      <c r="G978" s="2">
        <f t="shared" si="1"/>
        <v>125</v>
      </c>
    </row>
    <row r="979" ht="15.75" customHeight="1">
      <c r="A979" s="1">
        <f>IFERROR(__xludf.DUMMYFUNCTION("""COMPUTED_VALUE"""),45296.66666666667)</f>
        <v>45296.66667</v>
      </c>
      <c r="B979" s="2">
        <f>IFERROR(__xludf.DUMMYFUNCTION("""COMPUTED_VALUE"""),5725.0)</f>
        <v>5725</v>
      </c>
      <c r="C979" s="2">
        <f>IFERROR(__xludf.DUMMYFUNCTION("""COMPUTED_VALUE"""),5850.0)</f>
        <v>5850</v>
      </c>
      <c r="D979" s="2">
        <f>IFERROR(__xludf.DUMMYFUNCTION("""COMPUTED_VALUE"""),5700.0)</f>
        <v>5700</v>
      </c>
      <c r="E979" s="2">
        <f>IFERROR(__xludf.DUMMYFUNCTION("""COMPUTED_VALUE"""),5750.0)</f>
        <v>5750</v>
      </c>
      <c r="F979" s="2">
        <f>IFERROR(__xludf.DUMMYFUNCTION("""COMPUTED_VALUE"""),1.349296E8)</f>
        <v>134929600</v>
      </c>
      <c r="G979" s="2">
        <f t="shared" si="1"/>
        <v>150</v>
      </c>
    </row>
    <row r="980" ht="15.75" customHeight="1">
      <c r="A980" s="1">
        <f>IFERROR(__xludf.DUMMYFUNCTION("""COMPUTED_VALUE"""),45299.66666666667)</f>
        <v>45299.66667</v>
      </c>
      <c r="B980" s="2">
        <f>IFERROR(__xludf.DUMMYFUNCTION("""COMPUTED_VALUE"""),5750.0)</f>
        <v>5750</v>
      </c>
      <c r="C980" s="2">
        <f>IFERROR(__xludf.DUMMYFUNCTION("""COMPUTED_VALUE"""),5800.0)</f>
        <v>5800</v>
      </c>
      <c r="D980" s="2">
        <f>IFERROR(__xludf.DUMMYFUNCTION("""COMPUTED_VALUE"""),5625.0)</f>
        <v>5625</v>
      </c>
      <c r="E980" s="2">
        <f>IFERROR(__xludf.DUMMYFUNCTION("""COMPUTED_VALUE"""),5625.0)</f>
        <v>5625</v>
      </c>
      <c r="F980" s="2">
        <f>IFERROR(__xludf.DUMMYFUNCTION("""COMPUTED_VALUE"""),1.52015E8)</f>
        <v>152015000</v>
      </c>
      <c r="G980" s="2">
        <f t="shared" si="1"/>
        <v>175</v>
      </c>
    </row>
    <row r="981" ht="15.75" customHeight="1">
      <c r="A981" s="1">
        <f>IFERROR(__xludf.DUMMYFUNCTION("""COMPUTED_VALUE"""),45300.66666666667)</f>
        <v>45300.66667</v>
      </c>
      <c r="B981" s="2">
        <f>IFERROR(__xludf.DUMMYFUNCTION("""COMPUTED_VALUE"""),5625.0)</f>
        <v>5625</v>
      </c>
      <c r="C981" s="2">
        <f>IFERROR(__xludf.DUMMYFUNCTION("""COMPUTED_VALUE"""),5700.0)</f>
        <v>5700</v>
      </c>
      <c r="D981" s="2">
        <f>IFERROR(__xludf.DUMMYFUNCTION("""COMPUTED_VALUE"""),5625.0)</f>
        <v>5625</v>
      </c>
      <c r="E981" s="2">
        <f>IFERROR(__xludf.DUMMYFUNCTION("""COMPUTED_VALUE"""),5700.0)</f>
        <v>5700</v>
      </c>
      <c r="F981" s="2">
        <f>IFERROR(__xludf.DUMMYFUNCTION("""COMPUTED_VALUE"""),1.056662E8)</f>
        <v>105666200</v>
      </c>
      <c r="G981" s="2">
        <f t="shared" si="1"/>
        <v>75</v>
      </c>
    </row>
    <row r="982" ht="15.75" customHeight="1">
      <c r="A982" s="1">
        <f>IFERROR(__xludf.DUMMYFUNCTION("""COMPUTED_VALUE"""),45301.66666666667)</f>
        <v>45301.66667</v>
      </c>
      <c r="B982" s="2">
        <f>IFERROR(__xludf.DUMMYFUNCTION("""COMPUTED_VALUE"""),5625.0)</f>
        <v>5625</v>
      </c>
      <c r="C982" s="2">
        <f>IFERROR(__xludf.DUMMYFUNCTION("""COMPUTED_VALUE"""),5700.0)</f>
        <v>5700</v>
      </c>
      <c r="D982" s="2">
        <f>IFERROR(__xludf.DUMMYFUNCTION("""COMPUTED_VALUE"""),5625.0)</f>
        <v>5625</v>
      </c>
      <c r="E982" s="2">
        <f>IFERROR(__xludf.DUMMYFUNCTION("""COMPUTED_VALUE"""),5700.0)</f>
        <v>5700</v>
      </c>
      <c r="F982" s="2">
        <f>IFERROR(__xludf.DUMMYFUNCTION("""COMPUTED_VALUE"""),8.26264E7)</f>
        <v>82626400</v>
      </c>
      <c r="G982" s="2">
        <f t="shared" si="1"/>
        <v>75</v>
      </c>
    </row>
    <row r="983" ht="15.75" customHeight="1">
      <c r="A983" s="1">
        <f>IFERROR(__xludf.DUMMYFUNCTION("""COMPUTED_VALUE"""),45302.66666666667)</f>
        <v>45302.66667</v>
      </c>
      <c r="B983" s="2">
        <f>IFERROR(__xludf.DUMMYFUNCTION("""COMPUTED_VALUE"""),5750.0)</f>
        <v>5750</v>
      </c>
      <c r="C983" s="2">
        <f>IFERROR(__xludf.DUMMYFUNCTION("""COMPUTED_VALUE"""),5800.0)</f>
        <v>5800</v>
      </c>
      <c r="D983" s="2">
        <f>IFERROR(__xludf.DUMMYFUNCTION("""COMPUTED_VALUE"""),5700.0)</f>
        <v>5700</v>
      </c>
      <c r="E983" s="2">
        <f>IFERROR(__xludf.DUMMYFUNCTION("""COMPUTED_VALUE"""),5750.0)</f>
        <v>5750</v>
      </c>
      <c r="F983" s="2">
        <f>IFERROR(__xludf.DUMMYFUNCTION("""COMPUTED_VALUE"""),1.168044E8)</f>
        <v>116804400</v>
      </c>
      <c r="G983" s="2">
        <f t="shared" si="1"/>
        <v>100</v>
      </c>
    </row>
    <row r="984" ht="15.75" customHeight="1">
      <c r="A984" s="1">
        <f>IFERROR(__xludf.DUMMYFUNCTION("""COMPUTED_VALUE"""),45303.66666666667)</f>
        <v>45303.66667</v>
      </c>
      <c r="B984" s="2">
        <f>IFERROR(__xludf.DUMMYFUNCTION("""COMPUTED_VALUE"""),5800.0)</f>
        <v>5800</v>
      </c>
      <c r="C984" s="2">
        <f>IFERROR(__xludf.DUMMYFUNCTION("""COMPUTED_VALUE"""),5850.0)</f>
        <v>5850</v>
      </c>
      <c r="D984" s="2">
        <f>IFERROR(__xludf.DUMMYFUNCTION("""COMPUTED_VALUE"""),5775.0)</f>
        <v>5775</v>
      </c>
      <c r="E984" s="2">
        <f>IFERROR(__xludf.DUMMYFUNCTION("""COMPUTED_VALUE"""),5850.0)</f>
        <v>5850</v>
      </c>
      <c r="F984" s="2">
        <f>IFERROR(__xludf.DUMMYFUNCTION("""COMPUTED_VALUE"""),1.097157E8)</f>
        <v>109715700</v>
      </c>
      <c r="G984" s="2">
        <f t="shared" si="1"/>
        <v>100</v>
      </c>
    </row>
    <row r="985" ht="15.75" customHeight="1">
      <c r="A985" s="1">
        <f>IFERROR(__xludf.DUMMYFUNCTION("""COMPUTED_VALUE"""),45306.66666666667)</f>
        <v>45306.66667</v>
      </c>
      <c r="B985" s="2">
        <f>IFERROR(__xludf.DUMMYFUNCTION("""COMPUTED_VALUE"""),5850.0)</f>
        <v>5850</v>
      </c>
      <c r="C985" s="2">
        <f>IFERROR(__xludf.DUMMYFUNCTION("""COMPUTED_VALUE"""),5900.0)</f>
        <v>5900</v>
      </c>
      <c r="D985" s="2">
        <f>IFERROR(__xludf.DUMMYFUNCTION("""COMPUTED_VALUE"""),5775.0)</f>
        <v>5775</v>
      </c>
      <c r="E985" s="2">
        <f>IFERROR(__xludf.DUMMYFUNCTION("""COMPUTED_VALUE"""),5825.0)</f>
        <v>5825</v>
      </c>
      <c r="F985" s="2">
        <f>IFERROR(__xludf.DUMMYFUNCTION("""COMPUTED_VALUE"""),1.151267E8)</f>
        <v>115126700</v>
      </c>
      <c r="G985" s="2">
        <f t="shared" si="1"/>
        <v>125</v>
      </c>
    </row>
    <row r="986" ht="15.75" customHeight="1">
      <c r="A986" s="1">
        <f>IFERROR(__xludf.DUMMYFUNCTION("""COMPUTED_VALUE"""),45307.66666666667)</f>
        <v>45307.66667</v>
      </c>
      <c r="B986" s="2">
        <f>IFERROR(__xludf.DUMMYFUNCTION("""COMPUTED_VALUE"""),5825.0)</f>
        <v>5825</v>
      </c>
      <c r="C986" s="2">
        <f>IFERROR(__xludf.DUMMYFUNCTION("""COMPUTED_VALUE"""),5875.0)</f>
        <v>5875</v>
      </c>
      <c r="D986" s="2">
        <f>IFERROR(__xludf.DUMMYFUNCTION("""COMPUTED_VALUE"""),5775.0)</f>
        <v>5775</v>
      </c>
      <c r="E986" s="2">
        <f>IFERROR(__xludf.DUMMYFUNCTION("""COMPUTED_VALUE"""),5825.0)</f>
        <v>5825</v>
      </c>
      <c r="F986" s="2">
        <f>IFERROR(__xludf.DUMMYFUNCTION("""COMPUTED_VALUE"""),9.70743E7)</f>
        <v>97074300</v>
      </c>
      <c r="G986" s="2">
        <f t="shared" si="1"/>
        <v>100</v>
      </c>
    </row>
    <row r="987" ht="15.75" customHeight="1">
      <c r="A987" s="1">
        <f>IFERROR(__xludf.DUMMYFUNCTION("""COMPUTED_VALUE"""),45308.66666666667)</f>
        <v>45308.66667</v>
      </c>
      <c r="B987" s="2">
        <f>IFERROR(__xludf.DUMMYFUNCTION("""COMPUTED_VALUE"""),5825.0)</f>
        <v>5825</v>
      </c>
      <c r="C987" s="2">
        <f>IFERROR(__xludf.DUMMYFUNCTION("""COMPUTED_VALUE"""),5825.0)</f>
        <v>5825</v>
      </c>
      <c r="D987" s="2">
        <f>IFERROR(__xludf.DUMMYFUNCTION("""COMPUTED_VALUE"""),5750.0)</f>
        <v>5750</v>
      </c>
      <c r="E987" s="2">
        <f>IFERROR(__xludf.DUMMYFUNCTION("""COMPUTED_VALUE"""),5775.0)</f>
        <v>5775</v>
      </c>
      <c r="F987" s="2">
        <f>IFERROR(__xludf.DUMMYFUNCTION("""COMPUTED_VALUE"""),1.079416E8)</f>
        <v>107941600</v>
      </c>
      <c r="G987" s="2">
        <f t="shared" si="1"/>
        <v>75</v>
      </c>
    </row>
    <row r="988" ht="15.75" customHeight="1">
      <c r="A988" s="1">
        <f>IFERROR(__xludf.DUMMYFUNCTION("""COMPUTED_VALUE"""),45309.66666666667)</f>
        <v>45309.66667</v>
      </c>
      <c r="B988" s="2">
        <f>IFERROR(__xludf.DUMMYFUNCTION("""COMPUTED_VALUE"""),5800.0)</f>
        <v>5800</v>
      </c>
      <c r="C988" s="2">
        <f>IFERROR(__xludf.DUMMYFUNCTION("""COMPUTED_VALUE"""),5800.0)</f>
        <v>5800</v>
      </c>
      <c r="D988" s="2">
        <f>IFERROR(__xludf.DUMMYFUNCTION("""COMPUTED_VALUE"""),5700.0)</f>
        <v>5700</v>
      </c>
      <c r="E988" s="2">
        <f>IFERROR(__xludf.DUMMYFUNCTION("""COMPUTED_VALUE"""),5750.0)</f>
        <v>5750</v>
      </c>
      <c r="F988" s="2">
        <f>IFERROR(__xludf.DUMMYFUNCTION("""COMPUTED_VALUE"""),8.72591E7)</f>
        <v>87259100</v>
      </c>
      <c r="G988" s="2">
        <f t="shared" si="1"/>
        <v>100</v>
      </c>
    </row>
    <row r="989" ht="15.75" customHeight="1">
      <c r="A989" s="1">
        <f>IFERROR(__xludf.DUMMYFUNCTION("""COMPUTED_VALUE"""),45310.66666666667)</f>
        <v>45310.66667</v>
      </c>
      <c r="B989" s="2">
        <f>IFERROR(__xludf.DUMMYFUNCTION("""COMPUTED_VALUE"""),5750.0)</f>
        <v>5750</v>
      </c>
      <c r="C989" s="2">
        <f>IFERROR(__xludf.DUMMYFUNCTION("""COMPUTED_VALUE"""),5800.0)</f>
        <v>5800</v>
      </c>
      <c r="D989" s="2">
        <f>IFERROR(__xludf.DUMMYFUNCTION("""COMPUTED_VALUE"""),5700.0)</f>
        <v>5700</v>
      </c>
      <c r="E989" s="2">
        <f>IFERROR(__xludf.DUMMYFUNCTION("""COMPUTED_VALUE"""),5800.0)</f>
        <v>5800</v>
      </c>
      <c r="F989" s="2">
        <f>IFERROR(__xludf.DUMMYFUNCTION("""COMPUTED_VALUE"""),7.53707E7)</f>
        <v>75370700</v>
      </c>
      <c r="G989" s="2">
        <f t="shared" si="1"/>
        <v>100</v>
      </c>
    </row>
    <row r="990" ht="15.75" customHeight="1">
      <c r="A990" s="1">
        <f>IFERROR(__xludf.DUMMYFUNCTION("""COMPUTED_VALUE"""),45313.66666666667)</f>
        <v>45313.66667</v>
      </c>
      <c r="B990" s="2">
        <f>IFERROR(__xludf.DUMMYFUNCTION("""COMPUTED_VALUE"""),5775.0)</f>
        <v>5775</v>
      </c>
      <c r="C990" s="2">
        <f>IFERROR(__xludf.DUMMYFUNCTION("""COMPUTED_VALUE"""),5800.0)</f>
        <v>5800</v>
      </c>
      <c r="D990" s="2">
        <f>IFERROR(__xludf.DUMMYFUNCTION("""COMPUTED_VALUE"""),5700.0)</f>
        <v>5700</v>
      </c>
      <c r="E990" s="2">
        <f>IFERROR(__xludf.DUMMYFUNCTION("""COMPUTED_VALUE"""),5775.0)</f>
        <v>5775</v>
      </c>
      <c r="F990" s="2">
        <f>IFERROR(__xludf.DUMMYFUNCTION("""COMPUTED_VALUE"""),9.75456E7)</f>
        <v>97545600</v>
      </c>
      <c r="G990" s="2">
        <f t="shared" si="1"/>
        <v>100</v>
      </c>
    </row>
    <row r="991" ht="15.75" customHeight="1">
      <c r="A991" s="1">
        <f>IFERROR(__xludf.DUMMYFUNCTION("""COMPUTED_VALUE"""),45314.66666666667)</f>
        <v>45314.66667</v>
      </c>
      <c r="B991" s="2">
        <f>IFERROR(__xludf.DUMMYFUNCTION("""COMPUTED_VALUE"""),5700.0)</f>
        <v>5700</v>
      </c>
      <c r="C991" s="2">
        <f>IFERROR(__xludf.DUMMYFUNCTION("""COMPUTED_VALUE"""),5750.0)</f>
        <v>5750</v>
      </c>
      <c r="D991" s="2">
        <f>IFERROR(__xludf.DUMMYFUNCTION("""COMPUTED_VALUE"""),5650.0)</f>
        <v>5650</v>
      </c>
      <c r="E991" s="2">
        <f>IFERROR(__xludf.DUMMYFUNCTION("""COMPUTED_VALUE"""),5700.0)</f>
        <v>5700</v>
      </c>
      <c r="F991" s="2">
        <f>IFERROR(__xludf.DUMMYFUNCTION("""COMPUTED_VALUE"""),1.229997E8)</f>
        <v>122999700</v>
      </c>
      <c r="G991" s="2">
        <f t="shared" si="1"/>
        <v>125</v>
      </c>
    </row>
    <row r="992" ht="15.75" customHeight="1">
      <c r="A992" s="1">
        <f>IFERROR(__xludf.DUMMYFUNCTION("""COMPUTED_VALUE"""),45315.66666666667)</f>
        <v>45315.66667</v>
      </c>
      <c r="B992" s="2">
        <f>IFERROR(__xludf.DUMMYFUNCTION("""COMPUTED_VALUE"""),5675.0)</f>
        <v>5675</v>
      </c>
      <c r="C992" s="2">
        <f>IFERROR(__xludf.DUMMYFUNCTION("""COMPUTED_VALUE"""),5700.0)</f>
        <v>5700</v>
      </c>
      <c r="D992" s="2">
        <f>IFERROR(__xludf.DUMMYFUNCTION("""COMPUTED_VALUE"""),5575.0)</f>
        <v>5575</v>
      </c>
      <c r="E992" s="2">
        <f>IFERROR(__xludf.DUMMYFUNCTION("""COMPUTED_VALUE"""),5650.0)</f>
        <v>5650</v>
      </c>
      <c r="F992" s="2">
        <f>IFERROR(__xludf.DUMMYFUNCTION("""COMPUTED_VALUE"""),1.04225E8)</f>
        <v>104225000</v>
      </c>
      <c r="G992" s="2">
        <f t="shared" si="1"/>
        <v>125</v>
      </c>
    </row>
    <row r="993" ht="15.75" customHeight="1">
      <c r="A993" s="1">
        <f>IFERROR(__xludf.DUMMYFUNCTION("""COMPUTED_VALUE"""),45316.66666666667)</f>
        <v>45316.66667</v>
      </c>
      <c r="B993" s="2">
        <f>IFERROR(__xludf.DUMMYFUNCTION("""COMPUTED_VALUE"""),5575.0)</f>
        <v>5575</v>
      </c>
      <c r="C993" s="2">
        <f>IFERROR(__xludf.DUMMYFUNCTION("""COMPUTED_VALUE"""),5650.0)</f>
        <v>5650</v>
      </c>
      <c r="D993" s="2">
        <f>IFERROR(__xludf.DUMMYFUNCTION("""COMPUTED_VALUE"""),5525.0)</f>
        <v>5525</v>
      </c>
      <c r="E993" s="2">
        <f>IFERROR(__xludf.DUMMYFUNCTION("""COMPUTED_VALUE"""),5525.0)</f>
        <v>5525</v>
      </c>
      <c r="F993" s="2">
        <f>IFERROR(__xludf.DUMMYFUNCTION("""COMPUTED_VALUE"""),1.204788E8)</f>
        <v>120478800</v>
      </c>
      <c r="G993" s="2">
        <f t="shared" si="1"/>
        <v>125</v>
      </c>
    </row>
    <row r="994" ht="15.75" customHeight="1">
      <c r="A994" s="1">
        <f>IFERROR(__xludf.DUMMYFUNCTION("""COMPUTED_VALUE"""),45317.66666666667)</f>
        <v>45317.66667</v>
      </c>
      <c r="B994" s="2">
        <f>IFERROR(__xludf.DUMMYFUNCTION("""COMPUTED_VALUE"""),5450.0)</f>
        <v>5450</v>
      </c>
      <c r="C994" s="2">
        <f>IFERROR(__xludf.DUMMYFUNCTION("""COMPUTED_VALUE"""),5475.0)</f>
        <v>5475</v>
      </c>
      <c r="D994" s="2">
        <f>IFERROR(__xludf.DUMMYFUNCTION("""COMPUTED_VALUE"""),5400.0)</f>
        <v>5400</v>
      </c>
      <c r="E994" s="2">
        <f>IFERROR(__xludf.DUMMYFUNCTION("""COMPUTED_VALUE"""),5425.0)</f>
        <v>5425</v>
      </c>
      <c r="F994" s="2">
        <f>IFERROR(__xludf.DUMMYFUNCTION("""COMPUTED_VALUE"""),1.852444E8)</f>
        <v>185244400</v>
      </c>
      <c r="G994" s="2">
        <f t="shared" si="1"/>
        <v>125</v>
      </c>
    </row>
    <row r="995" ht="15.75" customHeight="1">
      <c r="A995" s="1">
        <f>IFERROR(__xludf.DUMMYFUNCTION("""COMPUTED_VALUE"""),45320.66666666667)</f>
        <v>45320.66667</v>
      </c>
      <c r="B995" s="2">
        <f>IFERROR(__xludf.DUMMYFUNCTION("""COMPUTED_VALUE"""),5400.0)</f>
        <v>5400</v>
      </c>
      <c r="C995" s="2">
        <f>IFERROR(__xludf.DUMMYFUNCTION("""COMPUTED_VALUE"""),5575.0)</f>
        <v>5575</v>
      </c>
      <c r="D995" s="2">
        <f>IFERROR(__xludf.DUMMYFUNCTION("""COMPUTED_VALUE"""),5400.0)</f>
        <v>5400</v>
      </c>
      <c r="E995" s="2">
        <f>IFERROR(__xludf.DUMMYFUNCTION("""COMPUTED_VALUE"""),5575.0)</f>
        <v>5575</v>
      </c>
      <c r="F995" s="2">
        <f>IFERROR(__xludf.DUMMYFUNCTION("""COMPUTED_VALUE"""),1.456296E8)</f>
        <v>145629600</v>
      </c>
      <c r="G995" s="2">
        <f t="shared" si="1"/>
        <v>175</v>
      </c>
    </row>
    <row r="996" ht="15.75" customHeight="1">
      <c r="A996" s="1">
        <f>IFERROR(__xludf.DUMMYFUNCTION("""COMPUTED_VALUE"""),45321.66666666667)</f>
        <v>45321.66667</v>
      </c>
      <c r="B996" s="2">
        <f>IFERROR(__xludf.DUMMYFUNCTION("""COMPUTED_VALUE"""),5525.0)</f>
        <v>5525</v>
      </c>
      <c r="C996" s="2">
        <f>IFERROR(__xludf.DUMMYFUNCTION("""COMPUTED_VALUE"""),5650.0)</f>
        <v>5650</v>
      </c>
      <c r="D996" s="2">
        <f>IFERROR(__xludf.DUMMYFUNCTION("""COMPUTED_VALUE"""),5475.0)</f>
        <v>5475</v>
      </c>
      <c r="E996" s="2">
        <f>IFERROR(__xludf.DUMMYFUNCTION("""COMPUTED_VALUE"""),5625.0)</f>
        <v>5625</v>
      </c>
      <c r="F996" s="2">
        <f>IFERROR(__xludf.DUMMYFUNCTION("""COMPUTED_VALUE"""),1.505137E8)</f>
        <v>150513700</v>
      </c>
      <c r="G996" s="2">
        <f t="shared" si="1"/>
        <v>175</v>
      </c>
    </row>
    <row r="997" ht="15.75" customHeight="1">
      <c r="A997" s="1">
        <f>IFERROR(__xludf.DUMMYFUNCTION("""COMPUTED_VALUE"""),45322.66666666667)</f>
        <v>45322.66667</v>
      </c>
      <c r="B997" s="2">
        <f>IFERROR(__xludf.DUMMYFUNCTION("""COMPUTED_VALUE"""),5725.0)</f>
        <v>5725</v>
      </c>
      <c r="C997" s="2">
        <f>IFERROR(__xludf.DUMMYFUNCTION("""COMPUTED_VALUE"""),5775.0)</f>
        <v>5775</v>
      </c>
      <c r="D997" s="2">
        <f>IFERROR(__xludf.DUMMYFUNCTION("""COMPUTED_VALUE"""),5675.0)</f>
        <v>5675</v>
      </c>
      <c r="E997" s="2">
        <f>IFERROR(__xludf.DUMMYFUNCTION("""COMPUTED_VALUE"""),5700.0)</f>
        <v>5700</v>
      </c>
      <c r="F997" s="2">
        <f>IFERROR(__xludf.DUMMYFUNCTION("""COMPUTED_VALUE"""),2.451172E8)</f>
        <v>245117200</v>
      </c>
      <c r="G997" s="2">
        <f t="shared" si="1"/>
        <v>150</v>
      </c>
    </row>
    <row r="998" ht="15.75" customHeight="1">
      <c r="A998" s="1">
        <f>IFERROR(__xludf.DUMMYFUNCTION("""COMPUTED_VALUE"""),45323.66666666667)</f>
        <v>45323.66667</v>
      </c>
      <c r="B998" s="2">
        <f>IFERROR(__xludf.DUMMYFUNCTION("""COMPUTED_VALUE"""),5775.0)</f>
        <v>5775</v>
      </c>
      <c r="C998" s="2">
        <f>IFERROR(__xludf.DUMMYFUNCTION("""COMPUTED_VALUE"""),5800.0)</f>
        <v>5800</v>
      </c>
      <c r="D998" s="2">
        <f>IFERROR(__xludf.DUMMYFUNCTION("""COMPUTED_VALUE"""),5725.0)</f>
        <v>5725</v>
      </c>
      <c r="E998" s="2">
        <f>IFERROR(__xludf.DUMMYFUNCTION("""COMPUTED_VALUE"""),5750.0)</f>
        <v>5750</v>
      </c>
      <c r="F998" s="2">
        <f>IFERROR(__xludf.DUMMYFUNCTION("""COMPUTED_VALUE"""),1.566339E8)</f>
        <v>156633900</v>
      </c>
      <c r="G998" s="2">
        <f t="shared" si="1"/>
        <v>100</v>
      </c>
    </row>
    <row r="999" ht="15.75" customHeight="1">
      <c r="A999" s="1">
        <f>IFERROR(__xludf.DUMMYFUNCTION("""COMPUTED_VALUE"""),45324.66666666667)</f>
        <v>45324.66667</v>
      </c>
      <c r="B999" s="2">
        <f>IFERROR(__xludf.DUMMYFUNCTION("""COMPUTED_VALUE"""),5800.0)</f>
        <v>5800</v>
      </c>
      <c r="C999" s="2">
        <f>IFERROR(__xludf.DUMMYFUNCTION("""COMPUTED_VALUE"""),5850.0)</f>
        <v>5850</v>
      </c>
      <c r="D999" s="2">
        <f>IFERROR(__xludf.DUMMYFUNCTION("""COMPUTED_VALUE"""),5750.0)</f>
        <v>5750</v>
      </c>
      <c r="E999" s="2">
        <f>IFERROR(__xludf.DUMMYFUNCTION("""COMPUTED_VALUE"""),5850.0)</f>
        <v>5850</v>
      </c>
      <c r="F999" s="2">
        <f>IFERROR(__xludf.DUMMYFUNCTION("""COMPUTED_VALUE"""),1.772097E8)</f>
        <v>177209700</v>
      </c>
      <c r="G999" s="2">
        <f t="shared" si="1"/>
        <v>100</v>
      </c>
    </row>
    <row r="1000" ht="15.75" customHeight="1">
      <c r="A1000" s="1">
        <f>IFERROR(__xludf.DUMMYFUNCTION("""COMPUTED_VALUE"""),45327.66666666667)</f>
        <v>45327.66667</v>
      </c>
      <c r="B1000" s="2">
        <f>IFERROR(__xludf.DUMMYFUNCTION("""COMPUTED_VALUE"""),5800.0)</f>
        <v>5800</v>
      </c>
      <c r="C1000" s="2">
        <f>IFERROR(__xludf.DUMMYFUNCTION("""COMPUTED_VALUE"""),5825.0)</f>
        <v>5825</v>
      </c>
      <c r="D1000" s="2">
        <f>IFERROR(__xludf.DUMMYFUNCTION("""COMPUTED_VALUE"""),5750.0)</f>
        <v>5750</v>
      </c>
      <c r="E1000" s="2">
        <f>IFERROR(__xludf.DUMMYFUNCTION("""COMPUTED_VALUE"""),5775.0)</f>
        <v>5775</v>
      </c>
      <c r="F1000" s="2">
        <f>IFERROR(__xludf.DUMMYFUNCTION("""COMPUTED_VALUE"""),1.1376E8)</f>
        <v>113760000</v>
      </c>
      <c r="G1000" s="2">
        <f t="shared" si="1"/>
        <v>100</v>
      </c>
    </row>
    <row r="1001" ht="15.75" customHeight="1">
      <c r="A1001" s="1">
        <f>IFERROR(__xludf.DUMMYFUNCTION("""COMPUTED_VALUE"""),45328.66666666667)</f>
        <v>45328.66667</v>
      </c>
      <c r="B1001" s="2">
        <f>IFERROR(__xludf.DUMMYFUNCTION("""COMPUTED_VALUE"""),5900.0)</f>
        <v>5900</v>
      </c>
      <c r="C1001" s="2">
        <f>IFERROR(__xludf.DUMMYFUNCTION("""COMPUTED_VALUE"""),5900.0)</f>
        <v>5900</v>
      </c>
      <c r="D1001" s="2">
        <f>IFERROR(__xludf.DUMMYFUNCTION("""COMPUTED_VALUE"""),5800.0)</f>
        <v>5800</v>
      </c>
      <c r="E1001" s="2">
        <f>IFERROR(__xludf.DUMMYFUNCTION("""COMPUTED_VALUE"""),5825.0)</f>
        <v>5825</v>
      </c>
      <c r="F1001" s="2">
        <f>IFERROR(__xludf.DUMMYFUNCTION("""COMPUTED_VALUE"""),1.267043E8)</f>
        <v>126704300</v>
      </c>
      <c r="G1001" s="2">
        <f t="shared" si="1"/>
        <v>125</v>
      </c>
    </row>
    <row r="1002" ht="15.75" customHeight="1">
      <c r="A1002" s="1">
        <f>IFERROR(__xludf.DUMMYFUNCTION("""COMPUTED_VALUE"""),45329.66666666667)</f>
        <v>45329.66667</v>
      </c>
      <c r="B1002" s="2">
        <f>IFERROR(__xludf.DUMMYFUNCTION("""COMPUTED_VALUE"""),5850.0)</f>
        <v>5850</v>
      </c>
      <c r="C1002" s="2">
        <f>IFERROR(__xludf.DUMMYFUNCTION("""COMPUTED_VALUE"""),5900.0)</f>
        <v>5900</v>
      </c>
      <c r="D1002" s="2">
        <f>IFERROR(__xludf.DUMMYFUNCTION("""COMPUTED_VALUE"""),5825.0)</f>
        <v>5825</v>
      </c>
      <c r="E1002" s="2">
        <f>IFERROR(__xludf.DUMMYFUNCTION("""COMPUTED_VALUE"""),5850.0)</f>
        <v>5850</v>
      </c>
      <c r="F1002" s="2">
        <f>IFERROR(__xludf.DUMMYFUNCTION("""COMPUTED_VALUE"""),1.470053E8)</f>
        <v>147005300</v>
      </c>
      <c r="G1002" s="2">
        <f t="shared" si="1"/>
        <v>75</v>
      </c>
    </row>
    <row r="1003" ht="15.75" customHeight="1">
      <c r="A1003" s="1">
        <f>IFERROR(__xludf.DUMMYFUNCTION("""COMPUTED_VALUE"""),45334.66666666667)</f>
        <v>45334.66667</v>
      </c>
      <c r="B1003" s="2">
        <f>IFERROR(__xludf.DUMMYFUNCTION("""COMPUTED_VALUE"""),5875.0)</f>
        <v>5875</v>
      </c>
      <c r="C1003" s="2">
        <f>IFERROR(__xludf.DUMMYFUNCTION("""COMPUTED_VALUE"""),6025.0)</f>
        <v>6025</v>
      </c>
      <c r="D1003" s="2">
        <f>IFERROR(__xludf.DUMMYFUNCTION("""COMPUTED_VALUE"""),5850.0)</f>
        <v>5850</v>
      </c>
      <c r="E1003" s="2">
        <f>IFERROR(__xludf.DUMMYFUNCTION("""COMPUTED_VALUE"""),6025.0)</f>
        <v>6025</v>
      </c>
      <c r="F1003" s="2">
        <f>IFERROR(__xludf.DUMMYFUNCTION("""COMPUTED_VALUE"""),1.715146E8)</f>
        <v>171514600</v>
      </c>
      <c r="G1003" s="2">
        <f t="shared" si="1"/>
        <v>175</v>
      </c>
    </row>
    <row r="1004" ht="15.75" customHeight="1">
      <c r="A1004" s="1">
        <f>IFERROR(__xludf.DUMMYFUNCTION("""COMPUTED_VALUE"""),45335.66666666667)</f>
        <v>45335.66667</v>
      </c>
      <c r="B1004" s="2">
        <f>IFERROR(__xludf.DUMMYFUNCTION("""COMPUTED_VALUE"""),6050.0)</f>
        <v>6050</v>
      </c>
      <c r="C1004" s="2">
        <f>IFERROR(__xludf.DUMMYFUNCTION("""COMPUTED_VALUE"""),6050.0)</f>
        <v>6050</v>
      </c>
      <c r="D1004" s="2">
        <f>IFERROR(__xludf.DUMMYFUNCTION("""COMPUTED_VALUE"""),5950.0)</f>
        <v>5950</v>
      </c>
      <c r="E1004" s="2">
        <f>IFERROR(__xludf.DUMMYFUNCTION("""COMPUTED_VALUE"""),6000.0)</f>
        <v>6000</v>
      </c>
      <c r="F1004" s="2">
        <f>IFERROR(__xludf.DUMMYFUNCTION("""COMPUTED_VALUE"""),1.458522E8)</f>
        <v>145852200</v>
      </c>
      <c r="G1004" s="2">
        <f t="shared" si="1"/>
        <v>100</v>
      </c>
    </row>
    <row r="1005" ht="15.75" customHeight="1">
      <c r="A1005" s="1">
        <f>IFERROR(__xludf.DUMMYFUNCTION("""COMPUTED_VALUE"""),45337.66666666667)</f>
        <v>45337.66667</v>
      </c>
      <c r="B1005" s="2">
        <f>IFERROR(__xludf.DUMMYFUNCTION("""COMPUTED_VALUE"""),6275.0)</f>
        <v>6275</v>
      </c>
      <c r="C1005" s="2">
        <f>IFERROR(__xludf.DUMMYFUNCTION("""COMPUTED_VALUE"""),6275.0)</f>
        <v>6275</v>
      </c>
      <c r="D1005" s="2">
        <f>IFERROR(__xludf.DUMMYFUNCTION("""COMPUTED_VALUE"""),6100.0)</f>
        <v>6100</v>
      </c>
      <c r="E1005" s="2">
        <f>IFERROR(__xludf.DUMMYFUNCTION("""COMPUTED_VALUE"""),6125.0)</f>
        <v>6125</v>
      </c>
      <c r="F1005" s="2">
        <f>IFERROR(__xludf.DUMMYFUNCTION("""COMPUTED_VALUE"""),3.086851E8)</f>
        <v>308685100</v>
      </c>
      <c r="G1005" s="2">
        <f t="shared" si="1"/>
        <v>275</v>
      </c>
    </row>
    <row r="1006" ht="15.75" customHeight="1">
      <c r="A1006" s="1">
        <f>IFERROR(__xludf.DUMMYFUNCTION("""COMPUTED_VALUE"""),45338.66666666667)</f>
        <v>45338.66667</v>
      </c>
      <c r="B1006" s="2">
        <f>IFERROR(__xludf.DUMMYFUNCTION("""COMPUTED_VALUE"""),6150.0)</f>
        <v>6150</v>
      </c>
      <c r="C1006" s="2">
        <f>IFERROR(__xludf.DUMMYFUNCTION("""COMPUTED_VALUE"""),6200.0)</f>
        <v>6200</v>
      </c>
      <c r="D1006" s="2">
        <f>IFERROR(__xludf.DUMMYFUNCTION("""COMPUTED_VALUE"""),6125.0)</f>
        <v>6125</v>
      </c>
      <c r="E1006" s="2">
        <f>IFERROR(__xludf.DUMMYFUNCTION("""COMPUTED_VALUE"""),6150.0)</f>
        <v>6150</v>
      </c>
      <c r="F1006" s="2">
        <f>IFERROR(__xludf.DUMMYFUNCTION("""COMPUTED_VALUE"""),1.308144E8)</f>
        <v>130814400</v>
      </c>
      <c r="G1006" s="2">
        <f t="shared" si="1"/>
        <v>75</v>
      </c>
    </row>
    <row r="1007" ht="15.75" customHeight="1">
      <c r="A1007" s="1">
        <f>IFERROR(__xludf.DUMMYFUNCTION("""COMPUTED_VALUE"""),45341.66666666667)</f>
        <v>45341.66667</v>
      </c>
      <c r="B1007" s="2">
        <f>IFERROR(__xludf.DUMMYFUNCTION("""COMPUTED_VALUE"""),6125.0)</f>
        <v>6125</v>
      </c>
      <c r="C1007" s="2">
        <f>IFERROR(__xludf.DUMMYFUNCTION("""COMPUTED_VALUE"""),6175.0)</f>
        <v>6175</v>
      </c>
      <c r="D1007" s="2">
        <f>IFERROR(__xludf.DUMMYFUNCTION("""COMPUTED_VALUE"""),6075.0)</f>
        <v>6075</v>
      </c>
      <c r="E1007" s="2">
        <f>IFERROR(__xludf.DUMMYFUNCTION("""COMPUTED_VALUE"""),6100.0)</f>
        <v>6100</v>
      </c>
      <c r="F1007" s="2">
        <f>IFERROR(__xludf.DUMMYFUNCTION("""COMPUTED_VALUE"""),1.113829E8)</f>
        <v>111382900</v>
      </c>
      <c r="G1007" s="2">
        <f t="shared" si="1"/>
        <v>100</v>
      </c>
    </row>
    <row r="1008" ht="15.75" customHeight="1">
      <c r="A1008" s="1">
        <f>IFERROR(__xludf.DUMMYFUNCTION("""COMPUTED_VALUE"""),45342.66666666667)</f>
        <v>45342.66667</v>
      </c>
      <c r="B1008" s="2">
        <f>IFERROR(__xludf.DUMMYFUNCTION("""COMPUTED_VALUE"""),6175.0)</f>
        <v>6175</v>
      </c>
      <c r="C1008" s="2">
        <f>IFERROR(__xludf.DUMMYFUNCTION("""COMPUTED_VALUE"""),6300.0)</f>
        <v>6300</v>
      </c>
      <c r="D1008" s="2">
        <f>IFERROR(__xludf.DUMMYFUNCTION("""COMPUTED_VALUE"""),6175.0)</f>
        <v>6175</v>
      </c>
      <c r="E1008" s="2">
        <f>IFERROR(__xludf.DUMMYFUNCTION("""COMPUTED_VALUE"""),6300.0)</f>
        <v>6300</v>
      </c>
      <c r="F1008" s="2">
        <f>IFERROR(__xludf.DUMMYFUNCTION("""COMPUTED_VALUE"""),1.608726E8)</f>
        <v>160872600</v>
      </c>
      <c r="G1008" s="2">
        <f t="shared" si="1"/>
        <v>200</v>
      </c>
    </row>
    <row r="1009" ht="15.75" customHeight="1">
      <c r="A1009" s="1">
        <f>IFERROR(__xludf.DUMMYFUNCTION("""COMPUTED_VALUE"""),45343.66666666667)</f>
        <v>45343.66667</v>
      </c>
      <c r="B1009" s="2">
        <f>IFERROR(__xludf.DUMMYFUNCTION("""COMPUTED_VALUE"""),6325.0)</f>
        <v>6325</v>
      </c>
      <c r="C1009" s="2">
        <f>IFERROR(__xludf.DUMMYFUNCTION("""COMPUTED_VALUE"""),6375.0)</f>
        <v>6375</v>
      </c>
      <c r="D1009" s="2">
        <f>IFERROR(__xludf.DUMMYFUNCTION("""COMPUTED_VALUE"""),6225.0)</f>
        <v>6225</v>
      </c>
      <c r="E1009" s="2">
        <f>IFERROR(__xludf.DUMMYFUNCTION("""COMPUTED_VALUE"""),6300.0)</f>
        <v>6300</v>
      </c>
      <c r="F1009" s="2">
        <f>IFERROR(__xludf.DUMMYFUNCTION("""COMPUTED_VALUE"""),1.68423E8)</f>
        <v>168423000</v>
      </c>
      <c r="G1009" s="2">
        <f t="shared" si="1"/>
        <v>150</v>
      </c>
    </row>
    <row r="1010" ht="15.75" customHeight="1">
      <c r="A1010" s="1">
        <f>IFERROR(__xludf.DUMMYFUNCTION("""COMPUTED_VALUE"""),45344.66666666667)</f>
        <v>45344.66667</v>
      </c>
      <c r="B1010" s="2">
        <f>IFERROR(__xludf.DUMMYFUNCTION("""COMPUTED_VALUE"""),6250.0)</f>
        <v>6250</v>
      </c>
      <c r="C1010" s="2">
        <f>IFERROR(__xludf.DUMMYFUNCTION("""COMPUTED_VALUE"""),6300.0)</f>
        <v>6300</v>
      </c>
      <c r="D1010" s="2">
        <f>IFERROR(__xludf.DUMMYFUNCTION("""COMPUTED_VALUE"""),6225.0)</f>
        <v>6225</v>
      </c>
      <c r="E1010" s="2">
        <f>IFERROR(__xludf.DUMMYFUNCTION("""COMPUTED_VALUE"""),6250.0)</f>
        <v>6250</v>
      </c>
      <c r="F1010" s="2">
        <f>IFERROR(__xludf.DUMMYFUNCTION("""COMPUTED_VALUE"""),1.00256E8)</f>
        <v>100256000</v>
      </c>
      <c r="G1010" s="2">
        <f t="shared" si="1"/>
        <v>75</v>
      </c>
    </row>
    <row r="1011" ht="15.75" customHeight="1">
      <c r="A1011" s="1">
        <f>IFERROR(__xludf.DUMMYFUNCTION("""COMPUTED_VALUE"""),45345.66666666667)</f>
        <v>45345.66667</v>
      </c>
      <c r="B1011" s="2">
        <f>IFERROR(__xludf.DUMMYFUNCTION("""COMPUTED_VALUE"""),6125.0)</f>
        <v>6125</v>
      </c>
      <c r="C1011" s="2">
        <f>IFERROR(__xludf.DUMMYFUNCTION("""COMPUTED_VALUE"""),6175.0)</f>
        <v>6175</v>
      </c>
      <c r="D1011" s="2">
        <f>IFERROR(__xludf.DUMMYFUNCTION("""COMPUTED_VALUE"""),6050.0)</f>
        <v>6050</v>
      </c>
      <c r="E1011" s="2">
        <f>IFERROR(__xludf.DUMMYFUNCTION("""COMPUTED_VALUE"""),6125.0)</f>
        <v>6125</v>
      </c>
      <c r="F1011" s="2">
        <f>IFERROR(__xludf.DUMMYFUNCTION("""COMPUTED_VALUE"""),1.48643E8)</f>
        <v>148643000</v>
      </c>
      <c r="G1011" s="2">
        <f t="shared" si="1"/>
        <v>200</v>
      </c>
    </row>
    <row r="1012" ht="15.75" customHeight="1">
      <c r="A1012" s="1">
        <f>IFERROR(__xludf.DUMMYFUNCTION("""COMPUTED_VALUE"""),45348.66666666667)</f>
        <v>45348.66667</v>
      </c>
      <c r="B1012" s="2">
        <f>IFERROR(__xludf.DUMMYFUNCTION("""COMPUTED_VALUE"""),6100.0)</f>
        <v>6100</v>
      </c>
      <c r="C1012" s="2">
        <f>IFERROR(__xludf.DUMMYFUNCTION("""COMPUTED_VALUE"""),6200.0)</f>
        <v>6200</v>
      </c>
      <c r="D1012" s="2">
        <f>IFERROR(__xludf.DUMMYFUNCTION("""COMPUTED_VALUE"""),6075.0)</f>
        <v>6075</v>
      </c>
      <c r="E1012" s="2">
        <f>IFERROR(__xludf.DUMMYFUNCTION("""COMPUTED_VALUE"""),6175.0)</f>
        <v>6175</v>
      </c>
      <c r="F1012" s="2">
        <f>IFERROR(__xludf.DUMMYFUNCTION("""COMPUTED_VALUE"""),9.89208E7)</f>
        <v>98920800</v>
      </c>
      <c r="G1012" s="2">
        <f t="shared" si="1"/>
        <v>125</v>
      </c>
    </row>
    <row r="1013" ht="15.75" customHeight="1">
      <c r="A1013" s="1">
        <f>IFERROR(__xludf.DUMMYFUNCTION("""COMPUTED_VALUE"""),45349.66666666667)</f>
        <v>45349.66667</v>
      </c>
      <c r="B1013" s="2">
        <f>IFERROR(__xludf.DUMMYFUNCTION("""COMPUTED_VALUE"""),6125.0)</f>
        <v>6125</v>
      </c>
      <c r="C1013" s="2">
        <f>IFERROR(__xludf.DUMMYFUNCTION("""COMPUTED_VALUE"""),6200.0)</f>
        <v>6200</v>
      </c>
      <c r="D1013" s="2">
        <f>IFERROR(__xludf.DUMMYFUNCTION("""COMPUTED_VALUE"""),6125.0)</f>
        <v>6125</v>
      </c>
      <c r="E1013" s="2">
        <f>IFERROR(__xludf.DUMMYFUNCTION("""COMPUTED_VALUE"""),6125.0)</f>
        <v>6125</v>
      </c>
      <c r="F1013" s="2">
        <f>IFERROR(__xludf.DUMMYFUNCTION("""COMPUTED_VALUE"""),9.91875E7)</f>
        <v>99187500</v>
      </c>
      <c r="G1013" s="2">
        <f t="shared" si="1"/>
        <v>75</v>
      </c>
    </row>
    <row r="1014" ht="15.75" customHeight="1">
      <c r="A1014" s="1">
        <f>IFERROR(__xludf.DUMMYFUNCTION("""COMPUTED_VALUE"""),45350.66666666667)</f>
        <v>45350.66667</v>
      </c>
      <c r="B1014" s="2">
        <f>IFERROR(__xludf.DUMMYFUNCTION("""COMPUTED_VALUE"""),6100.0)</f>
        <v>6100</v>
      </c>
      <c r="C1014" s="2">
        <f>IFERROR(__xludf.DUMMYFUNCTION("""COMPUTED_VALUE"""),6225.0)</f>
        <v>6225</v>
      </c>
      <c r="D1014" s="2">
        <f>IFERROR(__xludf.DUMMYFUNCTION("""COMPUTED_VALUE"""),6100.0)</f>
        <v>6100</v>
      </c>
      <c r="E1014" s="2">
        <f>IFERROR(__xludf.DUMMYFUNCTION("""COMPUTED_VALUE"""),6225.0)</f>
        <v>6225</v>
      </c>
      <c r="F1014" s="2">
        <f>IFERROR(__xludf.DUMMYFUNCTION("""COMPUTED_VALUE"""),9.72367E7)</f>
        <v>97236700</v>
      </c>
      <c r="G1014" s="2">
        <f t="shared" si="1"/>
        <v>125</v>
      </c>
    </row>
    <row r="1015" ht="15.75" customHeight="1">
      <c r="A1015" s="1">
        <f>IFERROR(__xludf.DUMMYFUNCTION("""COMPUTED_VALUE"""),45351.66666666667)</f>
        <v>45351.66667</v>
      </c>
      <c r="B1015" s="2">
        <f>IFERROR(__xludf.DUMMYFUNCTION("""COMPUTED_VALUE"""),6150.0)</f>
        <v>6150</v>
      </c>
      <c r="C1015" s="2">
        <f>IFERROR(__xludf.DUMMYFUNCTION("""COMPUTED_VALUE"""),6200.0)</f>
        <v>6200</v>
      </c>
      <c r="D1015" s="2">
        <f>IFERROR(__xludf.DUMMYFUNCTION("""COMPUTED_VALUE"""),6125.0)</f>
        <v>6125</v>
      </c>
      <c r="E1015" s="2">
        <f>IFERROR(__xludf.DUMMYFUNCTION("""COMPUTED_VALUE"""),6125.0)</f>
        <v>6125</v>
      </c>
      <c r="F1015" s="2">
        <f>IFERROR(__xludf.DUMMYFUNCTION("""COMPUTED_VALUE"""),1.737746E8)</f>
        <v>173774600</v>
      </c>
      <c r="G1015" s="2">
        <f t="shared" si="1"/>
        <v>100</v>
      </c>
    </row>
    <row r="1016" ht="15.75" customHeight="1">
      <c r="A1016" s="1">
        <f>IFERROR(__xludf.DUMMYFUNCTION("""COMPUTED_VALUE"""),45352.66666666667)</f>
        <v>45352.66667</v>
      </c>
      <c r="B1016" s="2">
        <f>IFERROR(__xludf.DUMMYFUNCTION("""COMPUTED_VALUE"""),6175.0)</f>
        <v>6175</v>
      </c>
      <c r="C1016" s="2">
        <f>IFERROR(__xludf.DUMMYFUNCTION("""COMPUTED_VALUE"""),6175.0)</f>
        <v>6175</v>
      </c>
      <c r="D1016" s="2">
        <f>IFERROR(__xludf.DUMMYFUNCTION("""COMPUTED_VALUE"""),6075.0)</f>
        <v>6075</v>
      </c>
      <c r="E1016" s="2">
        <f>IFERROR(__xludf.DUMMYFUNCTION("""COMPUTED_VALUE"""),6125.0)</f>
        <v>6125</v>
      </c>
      <c r="F1016" s="2">
        <f>IFERROR(__xludf.DUMMYFUNCTION("""COMPUTED_VALUE"""),7.62864E7)</f>
        <v>76286400</v>
      </c>
      <c r="G1016" s="2">
        <f t="shared" si="1"/>
        <v>100</v>
      </c>
    </row>
    <row r="1017" ht="15.75" customHeight="1">
      <c r="A1017" s="1">
        <f>IFERROR(__xludf.DUMMYFUNCTION("""COMPUTED_VALUE"""),45355.66666666667)</f>
        <v>45355.66667</v>
      </c>
      <c r="B1017" s="2">
        <f>IFERROR(__xludf.DUMMYFUNCTION("""COMPUTED_VALUE"""),6125.0)</f>
        <v>6125</v>
      </c>
      <c r="C1017" s="2">
        <f>IFERROR(__xludf.DUMMYFUNCTION("""COMPUTED_VALUE"""),6125.0)</f>
        <v>6125</v>
      </c>
      <c r="D1017" s="2">
        <f>IFERROR(__xludf.DUMMYFUNCTION("""COMPUTED_VALUE"""),6050.0)</f>
        <v>6050</v>
      </c>
      <c r="E1017" s="2">
        <f>IFERROR(__xludf.DUMMYFUNCTION("""COMPUTED_VALUE"""),6050.0)</f>
        <v>6050</v>
      </c>
      <c r="F1017" s="2">
        <f>IFERROR(__xludf.DUMMYFUNCTION("""COMPUTED_VALUE"""),7.03549E7)</f>
        <v>70354900</v>
      </c>
      <c r="G1017" s="2">
        <f t="shared" si="1"/>
        <v>75</v>
      </c>
    </row>
    <row r="1018" ht="15.75" customHeight="1">
      <c r="A1018" s="1">
        <f>IFERROR(__xludf.DUMMYFUNCTION("""COMPUTED_VALUE"""),45356.66666666667)</f>
        <v>45356.66667</v>
      </c>
      <c r="B1018" s="2">
        <f>IFERROR(__xludf.DUMMYFUNCTION("""COMPUTED_VALUE"""),6100.0)</f>
        <v>6100</v>
      </c>
      <c r="C1018" s="2">
        <f>IFERROR(__xludf.DUMMYFUNCTION("""COMPUTED_VALUE"""),6175.0)</f>
        <v>6175</v>
      </c>
      <c r="D1018" s="2">
        <f>IFERROR(__xludf.DUMMYFUNCTION("""COMPUTED_VALUE"""),6075.0)</f>
        <v>6075</v>
      </c>
      <c r="E1018" s="2">
        <f>IFERROR(__xludf.DUMMYFUNCTION("""COMPUTED_VALUE"""),6125.0)</f>
        <v>6125</v>
      </c>
      <c r="F1018" s="2">
        <f>IFERROR(__xludf.DUMMYFUNCTION("""COMPUTED_VALUE"""),1.150846E8)</f>
        <v>115084600</v>
      </c>
      <c r="G1018" s="2">
        <f t="shared" si="1"/>
        <v>125</v>
      </c>
    </row>
    <row r="1019" ht="15.75" customHeight="1">
      <c r="A1019" s="1">
        <f>IFERROR(__xludf.DUMMYFUNCTION("""COMPUTED_VALUE"""),45357.66666666667)</f>
        <v>45357.66667</v>
      </c>
      <c r="B1019" s="2">
        <f>IFERROR(__xludf.DUMMYFUNCTION("""COMPUTED_VALUE"""),6100.0)</f>
        <v>6100</v>
      </c>
      <c r="C1019" s="2">
        <f>IFERROR(__xludf.DUMMYFUNCTION("""COMPUTED_VALUE"""),6200.0)</f>
        <v>6200</v>
      </c>
      <c r="D1019" s="2">
        <f>IFERROR(__xludf.DUMMYFUNCTION("""COMPUTED_VALUE"""),6100.0)</f>
        <v>6100</v>
      </c>
      <c r="E1019" s="2">
        <f>IFERROR(__xludf.DUMMYFUNCTION("""COMPUTED_VALUE"""),6200.0)</f>
        <v>6200</v>
      </c>
      <c r="F1019" s="2">
        <f>IFERROR(__xludf.DUMMYFUNCTION("""COMPUTED_VALUE"""),8.41088E7)</f>
        <v>84108800</v>
      </c>
      <c r="G1019" s="2">
        <f t="shared" si="1"/>
        <v>100</v>
      </c>
    </row>
    <row r="1020" ht="15.75" customHeight="1">
      <c r="A1020" s="1">
        <f>IFERROR(__xludf.DUMMYFUNCTION("""COMPUTED_VALUE"""),45358.66666666667)</f>
        <v>45358.66667</v>
      </c>
      <c r="B1020" s="2">
        <f>IFERROR(__xludf.DUMMYFUNCTION("""COMPUTED_VALUE"""),6200.0)</f>
        <v>6200</v>
      </c>
      <c r="C1020" s="2">
        <f>IFERROR(__xludf.DUMMYFUNCTION("""COMPUTED_VALUE"""),6275.0)</f>
        <v>6275</v>
      </c>
      <c r="D1020" s="2">
        <f>IFERROR(__xludf.DUMMYFUNCTION("""COMPUTED_VALUE"""),6200.0)</f>
        <v>6200</v>
      </c>
      <c r="E1020" s="2">
        <f>IFERROR(__xludf.DUMMYFUNCTION("""COMPUTED_VALUE"""),6225.0)</f>
        <v>6225</v>
      </c>
      <c r="F1020" s="2">
        <f>IFERROR(__xludf.DUMMYFUNCTION("""COMPUTED_VALUE"""),1.177247E8)</f>
        <v>117724700</v>
      </c>
      <c r="G1020" s="2">
        <f t="shared" si="1"/>
        <v>75</v>
      </c>
    </row>
    <row r="1021" ht="15.75" customHeight="1">
      <c r="A1021" s="1">
        <f>IFERROR(__xludf.DUMMYFUNCTION("""COMPUTED_VALUE"""),45359.66666666667)</f>
        <v>45359.66667</v>
      </c>
      <c r="B1021" s="2">
        <f>IFERROR(__xludf.DUMMYFUNCTION("""COMPUTED_VALUE"""),6275.0)</f>
        <v>6275</v>
      </c>
      <c r="C1021" s="2">
        <f>IFERROR(__xludf.DUMMYFUNCTION("""COMPUTED_VALUE"""),6400.0)</f>
        <v>6400</v>
      </c>
      <c r="D1021" s="2">
        <f>IFERROR(__xludf.DUMMYFUNCTION("""COMPUTED_VALUE"""),6250.0)</f>
        <v>6250</v>
      </c>
      <c r="E1021" s="2">
        <f>IFERROR(__xludf.DUMMYFUNCTION("""COMPUTED_VALUE"""),6350.0)</f>
        <v>6350</v>
      </c>
      <c r="F1021" s="2">
        <f>IFERROR(__xludf.DUMMYFUNCTION("""COMPUTED_VALUE"""),1.6306E8)</f>
        <v>163060000</v>
      </c>
      <c r="G1021" s="2">
        <f t="shared" si="1"/>
        <v>175</v>
      </c>
    </row>
    <row r="1022" ht="15.75" customHeight="1">
      <c r="A1022" s="1">
        <f>IFERROR(__xludf.DUMMYFUNCTION("""COMPUTED_VALUE"""),45364.66666666667)</f>
        <v>45364.66667</v>
      </c>
      <c r="B1022" s="2">
        <f>IFERROR(__xludf.DUMMYFUNCTION("""COMPUTED_VALUE"""),6350.0)</f>
        <v>6350</v>
      </c>
      <c r="C1022" s="2">
        <f>IFERROR(__xludf.DUMMYFUNCTION("""COMPUTED_VALUE"""),6450.0)</f>
        <v>6450</v>
      </c>
      <c r="D1022" s="2">
        <f>IFERROR(__xludf.DUMMYFUNCTION("""COMPUTED_VALUE"""),6350.0)</f>
        <v>6350</v>
      </c>
      <c r="E1022" s="2">
        <f>IFERROR(__xludf.DUMMYFUNCTION("""COMPUTED_VALUE"""),6400.0)</f>
        <v>6400</v>
      </c>
      <c r="F1022" s="2">
        <f>IFERROR(__xludf.DUMMYFUNCTION("""COMPUTED_VALUE"""),1.951731E8)</f>
        <v>195173100</v>
      </c>
      <c r="G1022" s="2">
        <f t="shared" si="1"/>
        <v>100</v>
      </c>
    </row>
    <row r="1023" ht="15.75" customHeight="1">
      <c r="A1023" s="1">
        <f>IFERROR(__xludf.DUMMYFUNCTION("""COMPUTED_VALUE"""),45365.66666666667)</f>
        <v>45365.66667</v>
      </c>
      <c r="B1023" s="2">
        <f>IFERROR(__xludf.DUMMYFUNCTION("""COMPUTED_VALUE"""),6175.0)</f>
        <v>6175</v>
      </c>
      <c r="C1023" s="2">
        <f>IFERROR(__xludf.DUMMYFUNCTION("""COMPUTED_VALUE"""),6200.0)</f>
        <v>6200</v>
      </c>
      <c r="D1023" s="2">
        <f>IFERROR(__xludf.DUMMYFUNCTION("""COMPUTED_VALUE"""),6050.0)</f>
        <v>6050</v>
      </c>
      <c r="E1023" s="2">
        <f>IFERROR(__xludf.DUMMYFUNCTION("""COMPUTED_VALUE"""),6150.0)</f>
        <v>6150</v>
      </c>
      <c r="F1023" s="2">
        <f>IFERROR(__xludf.DUMMYFUNCTION("""COMPUTED_VALUE"""),2.71254E8)</f>
        <v>271254000</v>
      </c>
      <c r="G1023" s="2">
        <f t="shared" si="1"/>
        <v>350</v>
      </c>
    </row>
    <row r="1024" ht="15.75" customHeight="1">
      <c r="A1024" s="1">
        <f>IFERROR(__xludf.DUMMYFUNCTION("""COMPUTED_VALUE"""),45366.66666666667)</f>
        <v>45366.66667</v>
      </c>
      <c r="B1024" s="2">
        <f>IFERROR(__xludf.DUMMYFUNCTION("""COMPUTED_VALUE"""),6000.0)</f>
        <v>6000</v>
      </c>
      <c r="C1024" s="2">
        <f>IFERROR(__xludf.DUMMYFUNCTION("""COMPUTED_VALUE"""),6075.0)</f>
        <v>6075</v>
      </c>
      <c r="D1024" s="2">
        <f>IFERROR(__xludf.DUMMYFUNCTION("""COMPUTED_VALUE"""),5950.0)</f>
        <v>5950</v>
      </c>
      <c r="E1024" s="2">
        <f>IFERROR(__xludf.DUMMYFUNCTION("""COMPUTED_VALUE"""),5975.0)</f>
        <v>5975</v>
      </c>
      <c r="F1024" s="2">
        <f>IFERROR(__xludf.DUMMYFUNCTION("""COMPUTED_VALUE"""),3.059958E8)</f>
        <v>305995800</v>
      </c>
      <c r="G1024" s="2">
        <f t="shared" si="1"/>
        <v>200</v>
      </c>
    </row>
    <row r="1025" ht="15.75" customHeight="1">
      <c r="A1025" s="1">
        <f>IFERROR(__xludf.DUMMYFUNCTION("""COMPUTED_VALUE"""),45369.66666666667)</f>
        <v>45369.66667</v>
      </c>
      <c r="B1025" s="2">
        <f>IFERROR(__xludf.DUMMYFUNCTION("""COMPUTED_VALUE"""),6000.0)</f>
        <v>6000</v>
      </c>
      <c r="C1025" s="2">
        <f>IFERROR(__xludf.DUMMYFUNCTION("""COMPUTED_VALUE"""),6100.0)</f>
        <v>6100</v>
      </c>
      <c r="D1025" s="2">
        <f>IFERROR(__xludf.DUMMYFUNCTION("""COMPUTED_VALUE"""),5975.0)</f>
        <v>5975</v>
      </c>
      <c r="E1025" s="2">
        <f>IFERROR(__xludf.DUMMYFUNCTION("""COMPUTED_VALUE"""),6000.0)</f>
        <v>6000</v>
      </c>
      <c r="F1025" s="2">
        <f>IFERROR(__xludf.DUMMYFUNCTION("""COMPUTED_VALUE"""),1.105647E8)</f>
        <v>110564700</v>
      </c>
      <c r="G1025" s="2">
        <f t="shared" si="1"/>
        <v>125</v>
      </c>
    </row>
    <row r="1026" ht="15.75" customHeight="1">
      <c r="A1026" s="1">
        <f>IFERROR(__xludf.DUMMYFUNCTION("""COMPUTED_VALUE"""),45370.66666666667)</f>
        <v>45370.66667</v>
      </c>
      <c r="B1026" s="2">
        <f>IFERROR(__xludf.DUMMYFUNCTION("""COMPUTED_VALUE"""),6000.0)</f>
        <v>6000</v>
      </c>
      <c r="C1026" s="2">
        <f>IFERROR(__xludf.DUMMYFUNCTION("""COMPUTED_VALUE"""),6050.0)</f>
        <v>6050</v>
      </c>
      <c r="D1026" s="2">
        <f>IFERROR(__xludf.DUMMYFUNCTION("""COMPUTED_VALUE"""),5975.0)</f>
        <v>5975</v>
      </c>
      <c r="E1026" s="2">
        <f>IFERROR(__xludf.DUMMYFUNCTION("""COMPUTED_VALUE"""),6000.0)</f>
        <v>6000</v>
      </c>
      <c r="F1026" s="2">
        <f>IFERROR(__xludf.DUMMYFUNCTION("""COMPUTED_VALUE"""),1.143386E8)</f>
        <v>114338600</v>
      </c>
      <c r="G1026" s="2">
        <f t="shared" si="1"/>
        <v>75</v>
      </c>
    </row>
    <row r="1027" ht="15.75" customHeight="1">
      <c r="A1027" s="1">
        <f>IFERROR(__xludf.DUMMYFUNCTION("""COMPUTED_VALUE"""),45371.66666666667)</f>
        <v>45371.66667</v>
      </c>
      <c r="B1027" s="2">
        <f>IFERROR(__xludf.DUMMYFUNCTION("""COMPUTED_VALUE"""),6000.0)</f>
        <v>6000</v>
      </c>
      <c r="C1027" s="2">
        <f>IFERROR(__xludf.DUMMYFUNCTION("""COMPUTED_VALUE"""),6100.0)</f>
        <v>6100</v>
      </c>
      <c r="D1027" s="2">
        <f>IFERROR(__xludf.DUMMYFUNCTION("""COMPUTED_VALUE"""),6000.0)</f>
        <v>6000</v>
      </c>
      <c r="E1027" s="2">
        <f>IFERROR(__xludf.DUMMYFUNCTION("""COMPUTED_VALUE"""),6100.0)</f>
        <v>6100</v>
      </c>
      <c r="F1027" s="2">
        <f>IFERROR(__xludf.DUMMYFUNCTION("""COMPUTED_VALUE"""),1.208854E8)</f>
        <v>120885400</v>
      </c>
      <c r="G1027" s="2">
        <f t="shared" si="1"/>
        <v>100</v>
      </c>
    </row>
    <row r="1028" ht="15.75" customHeight="1">
      <c r="A1028" s="1">
        <f>IFERROR(__xludf.DUMMYFUNCTION("""COMPUTED_VALUE"""),45372.66666666667)</f>
        <v>45372.66667</v>
      </c>
      <c r="B1028" s="2">
        <f>IFERROR(__xludf.DUMMYFUNCTION("""COMPUTED_VALUE"""),6175.0)</f>
        <v>6175</v>
      </c>
      <c r="C1028" s="2">
        <f>IFERROR(__xludf.DUMMYFUNCTION("""COMPUTED_VALUE"""),6200.0)</f>
        <v>6200</v>
      </c>
      <c r="D1028" s="2">
        <f>IFERROR(__xludf.DUMMYFUNCTION("""COMPUTED_VALUE"""),6100.0)</f>
        <v>6100</v>
      </c>
      <c r="E1028" s="2">
        <f>IFERROR(__xludf.DUMMYFUNCTION("""COMPUTED_VALUE"""),6100.0)</f>
        <v>6100</v>
      </c>
      <c r="F1028" s="2">
        <f>IFERROR(__xludf.DUMMYFUNCTION("""COMPUTED_VALUE"""),1.3602E8)</f>
        <v>136020000</v>
      </c>
      <c r="G1028" s="2">
        <f t="shared" si="1"/>
        <v>100</v>
      </c>
    </row>
    <row r="1029" ht="15.75" customHeight="1">
      <c r="A1029" s="1">
        <f>IFERROR(__xludf.DUMMYFUNCTION("""COMPUTED_VALUE"""),45373.66666666667)</f>
        <v>45373.66667</v>
      </c>
      <c r="B1029" s="2">
        <f>IFERROR(__xludf.DUMMYFUNCTION("""COMPUTED_VALUE"""),6050.0)</f>
        <v>6050</v>
      </c>
      <c r="C1029" s="2">
        <f>IFERROR(__xludf.DUMMYFUNCTION("""COMPUTED_VALUE"""),6125.0)</f>
        <v>6125</v>
      </c>
      <c r="D1029" s="2">
        <f>IFERROR(__xludf.DUMMYFUNCTION("""COMPUTED_VALUE"""),6050.0)</f>
        <v>6050</v>
      </c>
      <c r="E1029" s="2">
        <f>IFERROR(__xludf.DUMMYFUNCTION("""COMPUTED_VALUE"""),6125.0)</f>
        <v>6125</v>
      </c>
      <c r="F1029" s="2">
        <f>IFERROR(__xludf.DUMMYFUNCTION("""COMPUTED_VALUE"""),4.65292E7)</f>
        <v>46529200</v>
      </c>
      <c r="G1029" s="2">
        <f t="shared" si="1"/>
        <v>75</v>
      </c>
    </row>
    <row r="1030" ht="15.75" customHeight="1">
      <c r="A1030" s="1">
        <f>IFERROR(__xludf.DUMMYFUNCTION("""COMPUTED_VALUE"""),45376.66666666667)</f>
        <v>45376.66667</v>
      </c>
      <c r="B1030" s="2">
        <f>IFERROR(__xludf.DUMMYFUNCTION("""COMPUTED_VALUE"""),6250.0)</f>
        <v>6250</v>
      </c>
      <c r="C1030" s="2">
        <f>IFERROR(__xludf.DUMMYFUNCTION("""COMPUTED_VALUE"""),6250.0)</f>
        <v>6250</v>
      </c>
      <c r="D1030" s="2">
        <f>IFERROR(__xludf.DUMMYFUNCTION("""COMPUTED_VALUE"""),6125.0)</f>
        <v>6125</v>
      </c>
      <c r="E1030" s="2">
        <f>IFERROR(__xludf.DUMMYFUNCTION("""COMPUTED_VALUE"""),6250.0)</f>
        <v>6250</v>
      </c>
      <c r="F1030" s="2">
        <f>IFERROR(__xludf.DUMMYFUNCTION("""COMPUTED_VALUE"""),1.157296E8)</f>
        <v>115729600</v>
      </c>
      <c r="G1030" s="2">
        <f t="shared" si="1"/>
        <v>125</v>
      </c>
    </row>
    <row r="1031" ht="15.75" customHeight="1">
      <c r="A1031" s="1">
        <f>IFERROR(__xludf.DUMMYFUNCTION("""COMPUTED_VALUE"""),45377.66666666667)</f>
        <v>45377.66667</v>
      </c>
      <c r="B1031" s="2">
        <f>IFERROR(__xludf.DUMMYFUNCTION("""COMPUTED_VALUE"""),6300.0)</f>
        <v>6300</v>
      </c>
      <c r="C1031" s="2">
        <f>IFERROR(__xludf.DUMMYFUNCTION("""COMPUTED_VALUE"""),6300.0)</f>
        <v>6300</v>
      </c>
      <c r="D1031" s="2">
        <f>IFERROR(__xludf.DUMMYFUNCTION("""COMPUTED_VALUE"""),6200.0)</f>
        <v>6200</v>
      </c>
      <c r="E1031" s="2">
        <f>IFERROR(__xludf.DUMMYFUNCTION("""COMPUTED_VALUE"""),6300.0)</f>
        <v>6300</v>
      </c>
      <c r="F1031" s="2">
        <f>IFERROR(__xludf.DUMMYFUNCTION("""COMPUTED_VALUE"""),1.207484E8)</f>
        <v>120748400</v>
      </c>
      <c r="G1031" s="2">
        <f t="shared" si="1"/>
        <v>100</v>
      </c>
    </row>
    <row r="1032" ht="15.75" customHeight="1">
      <c r="A1032" s="1">
        <f>IFERROR(__xludf.DUMMYFUNCTION("""COMPUTED_VALUE"""),45378.66666666667)</f>
        <v>45378.66667</v>
      </c>
      <c r="B1032" s="2">
        <f>IFERROR(__xludf.DUMMYFUNCTION("""COMPUTED_VALUE"""),6300.0)</f>
        <v>6300</v>
      </c>
      <c r="C1032" s="2">
        <f>IFERROR(__xludf.DUMMYFUNCTION("""COMPUTED_VALUE"""),6325.0)</f>
        <v>6325</v>
      </c>
      <c r="D1032" s="2">
        <f>IFERROR(__xludf.DUMMYFUNCTION("""COMPUTED_VALUE"""),6225.0)</f>
        <v>6225</v>
      </c>
      <c r="E1032" s="2">
        <f>IFERROR(__xludf.DUMMYFUNCTION("""COMPUTED_VALUE"""),6250.0)</f>
        <v>6250</v>
      </c>
      <c r="F1032" s="2">
        <f>IFERROR(__xludf.DUMMYFUNCTION("""COMPUTED_VALUE"""),7.33089E7)</f>
        <v>73308900</v>
      </c>
      <c r="G1032" s="2">
        <f t="shared" si="1"/>
        <v>100</v>
      </c>
    </row>
    <row r="1033" ht="15.75" customHeight="1">
      <c r="A1033" s="1">
        <f>IFERROR(__xludf.DUMMYFUNCTION("""COMPUTED_VALUE"""),45379.66666666667)</f>
        <v>45379.66667</v>
      </c>
      <c r="B1033" s="2">
        <f>IFERROR(__xludf.DUMMYFUNCTION("""COMPUTED_VALUE"""),6100.0)</f>
        <v>6100</v>
      </c>
      <c r="C1033" s="2">
        <f>IFERROR(__xludf.DUMMYFUNCTION("""COMPUTED_VALUE"""),6200.0)</f>
        <v>6200</v>
      </c>
      <c r="D1033" s="2">
        <f>IFERROR(__xludf.DUMMYFUNCTION("""COMPUTED_VALUE"""),6025.0)</f>
        <v>6025</v>
      </c>
      <c r="E1033" s="2">
        <f>IFERROR(__xludf.DUMMYFUNCTION("""COMPUTED_VALUE"""),6050.0)</f>
        <v>6050</v>
      </c>
      <c r="F1033" s="2">
        <f>IFERROR(__xludf.DUMMYFUNCTION("""COMPUTED_VALUE"""),2.889269E8)</f>
        <v>288926900</v>
      </c>
      <c r="G1033" s="2">
        <f t="shared" si="1"/>
        <v>225</v>
      </c>
    </row>
    <row r="1034" ht="15.75" customHeight="1">
      <c r="A1034" s="1">
        <f>IFERROR(__xludf.DUMMYFUNCTION("""COMPUTED_VALUE"""),45383.66666666667)</f>
        <v>45383.66667</v>
      </c>
      <c r="B1034" s="2">
        <f>IFERROR(__xludf.DUMMYFUNCTION("""COMPUTED_VALUE"""),6000.0)</f>
        <v>6000</v>
      </c>
      <c r="C1034" s="2">
        <f>IFERROR(__xludf.DUMMYFUNCTION("""COMPUTED_VALUE"""),6025.0)</f>
        <v>6025</v>
      </c>
      <c r="D1034" s="2">
        <f>IFERROR(__xludf.DUMMYFUNCTION("""COMPUTED_VALUE"""),5825.0)</f>
        <v>5825</v>
      </c>
      <c r="E1034" s="2">
        <f>IFERROR(__xludf.DUMMYFUNCTION("""COMPUTED_VALUE"""),5925.0)</f>
        <v>5925</v>
      </c>
      <c r="F1034" s="2">
        <f>IFERROR(__xludf.DUMMYFUNCTION("""COMPUTED_VALUE"""),2.172078E8)</f>
        <v>217207800</v>
      </c>
      <c r="G1034" s="2">
        <f t="shared" si="1"/>
        <v>225</v>
      </c>
    </row>
    <row r="1035" ht="15.75" customHeight="1">
      <c r="A1035" s="1">
        <f>IFERROR(__xludf.DUMMYFUNCTION("""COMPUTED_VALUE"""),45384.66666666667)</f>
        <v>45384.66667</v>
      </c>
      <c r="B1035" s="2">
        <f>IFERROR(__xludf.DUMMYFUNCTION("""COMPUTED_VALUE"""),5850.0)</f>
        <v>5850</v>
      </c>
      <c r="C1035" s="2">
        <f>IFERROR(__xludf.DUMMYFUNCTION("""COMPUTED_VALUE"""),5950.0)</f>
        <v>5950</v>
      </c>
      <c r="D1035" s="2">
        <f>IFERROR(__xludf.DUMMYFUNCTION("""COMPUTED_VALUE"""),5625.0)</f>
        <v>5625</v>
      </c>
      <c r="E1035" s="2">
        <f>IFERROR(__xludf.DUMMYFUNCTION("""COMPUTED_VALUE"""),5675.0)</f>
        <v>5675</v>
      </c>
      <c r="F1035" s="2">
        <f>IFERROR(__xludf.DUMMYFUNCTION("""COMPUTED_VALUE"""),4.121809E8)</f>
        <v>412180900</v>
      </c>
      <c r="G1035" s="2">
        <f t="shared" si="1"/>
        <v>325</v>
      </c>
    </row>
    <row r="1036" ht="15.75" customHeight="1">
      <c r="A1036" s="1">
        <f>IFERROR(__xludf.DUMMYFUNCTION("""COMPUTED_VALUE"""),45385.66666666667)</f>
        <v>45385.66667</v>
      </c>
      <c r="B1036" s="2">
        <f>IFERROR(__xludf.DUMMYFUNCTION("""COMPUTED_VALUE"""),5575.0)</f>
        <v>5575</v>
      </c>
      <c r="C1036" s="2">
        <f>IFERROR(__xludf.DUMMYFUNCTION("""COMPUTED_VALUE"""),5675.0)</f>
        <v>5675</v>
      </c>
      <c r="D1036" s="2">
        <f>IFERROR(__xludf.DUMMYFUNCTION("""COMPUTED_VALUE"""),5525.0)</f>
        <v>5525</v>
      </c>
      <c r="E1036" s="2">
        <f>IFERROR(__xludf.DUMMYFUNCTION("""COMPUTED_VALUE"""),5625.0)</f>
        <v>5625</v>
      </c>
      <c r="F1036" s="2">
        <f>IFERROR(__xludf.DUMMYFUNCTION("""COMPUTED_VALUE"""),3.335187E8)</f>
        <v>333518700</v>
      </c>
      <c r="G1036" s="2">
        <f t="shared" si="1"/>
        <v>150</v>
      </c>
    </row>
    <row r="1037" ht="15.75" customHeight="1">
      <c r="A1037" s="1">
        <f>IFERROR(__xludf.DUMMYFUNCTION("""COMPUTED_VALUE"""),45386.66666666667)</f>
        <v>45386.66667</v>
      </c>
      <c r="B1037" s="2">
        <f>IFERROR(__xludf.DUMMYFUNCTION("""COMPUTED_VALUE"""),5650.0)</f>
        <v>5650</v>
      </c>
      <c r="C1037" s="2">
        <f>IFERROR(__xludf.DUMMYFUNCTION("""COMPUTED_VALUE"""),5750.0)</f>
        <v>5750</v>
      </c>
      <c r="D1037" s="2">
        <f>IFERROR(__xludf.DUMMYFUNCTION("""COMPUTED_VALUE"""),5650.0)</f>
        <v>5650</v>
      </c>
      <c r="E1037" s="2">
        <f>IFERROR(__xludf.DUMMYFUNCTION("""COMPUTED_VALUE"""),5700.0)</f>
        <v>5700</v>
      </c>
      <c r="F1037" s="2">
        <f>IFERROR(__xludf.DUMMYFUNCTION("""COMPUTED_VALUE"""),1.319361E8)</f>
        <v>131936100</v>
      </c>
      <c r="G1037" s="2">
        <f t="shared" si="1"/>
        <v>125</v>
      </c>
    </row>
    <row r="1038" ht="15.75" customHeight="1">
      <c r="A1038" s="1">
        <f>IFERROR(__xludf.DUMMYFUNCTION("""COMPUTED_VALUE"""),45387.66666666667)</f>
        <v>45387.66667</v>
      </c>
      <c r="B1038" s="2">
        <f>IFERROR(__xludf.DUMMYFUNCTION("""COMPUTED_VALUE"""),5625.0)</f>
        <v>5625</v>
      </c>
      <c r="C1038" s="2">
        <f>IFERROR(__xludf.DUMMYFUNCTION("""COMPUTED_VALUE"""),5700.0)</f>
        <v>5700</v>
      </c>
      <c r="D1038" s="2">
        <f>IFERROR(__xludf.DUMMYFUNCTION("""COMPUTED_VALUE"""),5625.0)</f>
        <v>5625</v>
      </c>
      <c r="E1038" s="2">
        <f>IFERROR(__xludf.DUMMYFUNCTION("""COMPUTED_VALUE"""),5650.0)</f>
        <v>5650</v>
      </c>
      <c r="F1038" s="2">
        <f>IFERROR(__xludf.DUMMYFUNCTION("""COMPUTED_VALUE"""),1.788178E8)</f>
        <v>178817800</v>
      </c>
      <c r="G1038" s="2">
        <f t="shared" si="1"/>
        <v>75</v>
      </c>
    </row>
    <row r="1039" ht="15.75" customHeight="1">
      <c r="A1039" s="1">
        <f>IFERROR(__xludf.DUMMYFUNCTION("""COMPUTED_VALUE"""),45398.66666666667)</f>
        <v>45398.66667</v>
      </c>
      <c r="B1039" s="2">
        <f>IFERROR(__xludf.DUMMYFUNCTION("""COMPUTED_VALUE"""),5375.0)</f>
        <v>5375</v>
      </c>
      <c r="C1039" s="2">
        <f>IFERROR(__xludf.DUMMYFUNCTION("""COMPUTED_VALUE"""),5575.0)</f>
        <v>5575</v>
      </c>
      <c r="D1039" s="2">
        <f>IFERROR(__xludf.DUMMYFUNCTION("""COMPUTED_VALUE"""),5350.0)</f>
        <v>5350</v>
      </c>
      <c r="E1039" s="2">
        <f>IFERROR(__xludf.DUMMYFUNCTION("""COMPUTED_VALUE"""),5350.0)</f>
        <v>5350</v>
      </c>
      <c r="F1039" s="2">
        <f>IFERROR(__xludf.DUMMYFUNCTION("""COMPUTED_VALUE"""),6.007175E8)</f>
        <v>600717500</v>
      </c>
      <c r="G1039" s="2">
        <f t="shared" si="1"/>
        <v>300</v>
      </c>
    </row>
    <row r="1040" ht="15.75" customHeight="1">
      <c r="A1040" s="1">
        <f>IFERROR(__xludf.DUMMYFUNCTION("""COMPUTED_VALUE"""),45399.66666666667)</f>
        <v>45399.66667</v>
      </c>
      <c r="B1040" s="2">
        <f>IFERROR(__xludf.DUMMYFUNCTION("""COMPUTED_VALUE"""),5475.0)</f>
        <v>5475</v>
      </c>
      <c r="C1040" s="2">
        <f>IFERROR(__xludf.DUMMYFUNCTION("""COMPUTED_VALUE"""),5500.0)</f>
        <v>5500</v>
      </c>
      <c r="D1040" s="2">
        <f>IFERROR(__xludf.DUMMYFUNCTION("""COMPUTED_VALUE"""),5300.0)</f>
        <v>5300</v>
      </c>
      <c r="E1040" s="2">
        <f>IFERROR(__xludf.DUMMYFUNCTION("""COMPUTED_VALUE"""),5300.0)</f>
        <v>5300</v>
      </c>
      <c r="F1040" s="2">
        <f>IFERROR(__xludf.DUMMYFUNCTION("""COMPUTED_VALUE"""),2.44002E8)</f>
        <v>244002000</v>
      </c>
      <c r="G1040" s="2">
        <f t="shared" si="1"/>
        <v>200</v>
      </c>
    </row>
    <row r="1041" ht="15.75" customHeight="1">
      <c r="A1041" s="1">
        <f>IFERROR(__xludf.DUMMYFUNCTION("""COMPUTED_VALUE"""),45400.66666666667)</f>
        <v>45400.66667</v>
      </c>
      <c r="B1041" s="2">
        <f>IFERROR(__xludf.DUMMYFUNCTION("""COMPUTED_VALUE"""),5300.0)</f>
        <v>5300</v>
      </c>
      <c r="C1041" s="2">
        <f>IFERROR(__xludf.DUMMYFUNCTION("""COMPUTED_VALUE"""),5500.0)</f>
        <v>5500</v>
      </c>
      <c r="D1041" s="2">
        <f>IFERROR(__xludf.DUMMYFUNCTION("""COMPUTED_VALUE"""),5300.0)</f>
        <v>5300</v>
      </c>
      <c r="E1041" s="2">
        <f>IFERROR(__xludf.DUMMYFUNCTION("""COMPUTED_VALUE"""),5475.0)</f>
        <v>5475</v>
      </c>
      <c r="F1041" s="2">
        <f>IFERROR(__xludf.DUMMYFUNCTION("""COMPUTED_VALUE"""),2.474107E8)</f>
        <v>247410700</v>
      </c>
      <c r="G1041" s="2">
        <f t="shared" si="1"/>
        <v>200</v>
      </c>
    </row>
    <row r="1042" ht="15.75" customHeight="1">
      <c r="A1042" s="1">
        <f>IFERROR(__xludf.DUMMYFUNCTION("""COMPUTED_VALUE"""),45401.66666666667)</f>
        <v>45401.66667</v>
      </c>
      <c r="B1042" s="2">
        <f>IFERROR(__xludf.DUMMYFUNCTION("""COMPUTED_VALUE"""),5350.0)</f>
        <v>5350</v>
      </c>
      <c r="C1042" s="2">
        <f>IFERROR(__xludf.DUMMYFUNCTION("""COMPUTED_VALUE"""),5375.0)</f>
        <v>5375</v>
      </c>
      <c r="D1042" s="2">
        <f>IFERROR(__xludf.DUMMYFUNCTION("""COMPUTED_VALUE"""),5250.0)</f>
        <v>5250</v>
      </c>
      <c r="E1042" s="2">
        <f>IFERROR(__xludf.DUMMYFUNCTION("""COMPUTED_VALUE"""),5275.0)</f>
        <v>5275</v>
      </c>
      <c r="F1042" s="2">
        <f>IFERROR(__xludf.DUMMYFUNCTION("""COMPUTED_VALUE"""),2.582115E8)</f>
        <v>258211500</v>
      </c>
      <c r="G1042" s="2">
        <f t="shared" si="1"/>
        <v>225</v>
      </c>
    </row>
    <row r="1043" ht="15.75" customHeight="1">
      <c r="A1043" s="1">
        <f>IFERROR(__xludf.DUMMYFUNCTION("""COMPUTED_VALUE"""),45404.66666666667)</f>
        <v>45404.66667</v>
      </c>
      <c r="B1043" s="2">
        <f>IFERROR(__xludf.DUMMYFUNCTION("""COMPUTED_VALUE"""),5200.0)</f>
        <v>5200</v>
      </c>
      <c r="C1043" s="2">
        <f>IFERROR(__xludf.DUMMYFUNCTION("""COMPUTED_VALUE"""),5325.0)</f>
        <v>5325</v>
      </c>
      <c r="D1043" s="2">
        <f>IFERROR(__xludf.DUMMYFUNCTION("""COMPUTED_VALUE"""),5150.0)</f>
        <v>5150</v>
      </c>
      <c r="E1043" s="2">
        <f>IFERROR(__xludf.DUMMYFUNCTION("""COMPUTED_VALUE"""),5300.0)</f>
        <v>5300</v>
      </c>
      <c r="F1043" s="2">
        <f>IFERROR(__xludf.DUMMYFUNCTION("""COMPUTED_VALUE"""),3.422828E8)</f>
        <v>342282800</v>
      </c>
      <c r="G1043" s="2">
        <f t="shared" si="1"/>
        <v>175</v>
      </c>
    </row>
    <row r="1044" ht="15.75" customHeight="1">
      <c r="A1044" s="1">
        <f>IFERROR(__xludf.DUMMYFUNCTION("""COMPUTED_VALUE"""),45405.66666666667)</f>
        <v>45405.66667</v>
      </c>
      <c r="B1044" s="2">
        <f>IFERROR(__xludf.DUMMYFUNCTION("""COMPUTED_VALUE"""),5350.0)</f>
        <v>5350</v>
      </c>
      <c r="C1044" s="2">
        <f>IFERROR(__xludf.DUMMYFUNCTION("""COMPUTED_VALUE"""),5400.0)</f>
        <v>5400</v>
      </c>
      <c r="D1044" s="2">
        <f>IFERROR(__xludf.DUMMYFUNCTION("""COMPUTED_VALUE"""),5225.0)</f>
        <v>5225</v>
      </c>
      <c r="E1044" s="2">
        <f>IFERROR(__xludf.DUMMYFUNCTION("""COMPUTED_VALUE"""),5300.0)</f>
        <v>5300</v>
      </c>
      <c r="F1044" s="2">
        <f>IFERROR(__xludf.DUMMYFUNCTION("""COMPUTED_VALUE"""),2.814031E8)</f>
        <v>281403100</v>
      </c>
      <c r="G1044" s="2">
        <f t="shared" si="1"/>
        <v>175</v>
      </c>
    </row>
    <row r="1045" ht="15.75" customHeight="1">
      <c r="A1045" s="1">
        <f>IFERROR(__xludf.DUMMYFUNCTION("""COMPUTED_VALUE"""),45406.66666666667)</f>
        <v>45406.66667</v>
      </c>
      <c r="B1045" s="2">
        <f>IFERROR(__xludf.DUMMYFUNCTION("""COMPUTED_VALUE"""),5250.0)</f>
        <v>5250</v>
      </c>
      <c r="C1045" s="2">
        <f>IFERROR(__xludf.DUMMYFUNCTION("""COMPUTED_VALUE"""),5350.0)</f>
        <v>5350</v>
      </c>
      <c r="D1045" s="2">
        <f>IFERROR(__xludf.DUMMYFUNCTION("""COMPUTED_VALUE"""),5150.0)</f>
        <v>5150</v>
      </c>
      <c r="E1045" s="2">
        <f>IFERROR(__xludf.DUMMYFUNCTION("""COMPUTED_VALUE"""),5225.0)</f>
        <v>5225</v>
      </c>
      <c r="F1045" s="2">
        <f>IFERROR(__xludf.DUMMYFUNCTION("""COMPUTED_VALUE"""),4.712414E8)</f>
        <v>471241400</v>
      </c>
      <c r="G1045" s="2">
        <f t="shared" si="1"/>
        <v>200</v>
      </c>
    </row>
    <row r="1046" ht="15.75" customHeight="1">
      <c r="A1046" s="1">
        <f>IFERROR(__xludf.DUMMYFUNCTION("""COMPUTED_VALUE"""),45407.66666666667)</f>
        <v>45407.66667</v>
      </c>
      <c r="B1046" s="2">
        <f>IFERROR(__xludf.DUMMYFUNCTION("""COMPUTED_VALUE"""),5125.0)</f>
        <v>5125</v>
      </c>
      <c r="C1046" s="2">
        <f>IFERROR(__xludf.DUMMYFUNCTION("""COMPUTED_VALUE"""),5200.0)</f>
        <v>5200</v>
      </c>
      <c r="D1046" s="2">
        <f>IFERROR(__xludf.DUMMYFUNCTION("""COMPUTED_VALUE"""),5050.0)</f>
        <v>5050</v>
      </c>
      <c r="E1046" s="2">
        <f>IFERROR(__xludf.DUMMYFUNCTION("""COMPUTED_VALUE"""),5150.0)</f>
        <v>5150</v>
      </c>
      <c r="F1046" s="2">
        <f>IFERROR(__xludf.DUMMYFUNCTION("""COMPUTED_VALUE"""),4.791709E8)</f>
        <v>479170900</v>
      </c>
      <c r="G1046" s="2">
        <f t="shared" si="1"/>
        <v>175</v>
      </c>
    </row>
    <row r="1047" ht="15.75" customHeight="1">
      <c r="A1047" s="1">
        <f>IFERROR(__xludf.DUMMYFUNCTION("""COMPUTED_VALUE"""),45408.66666666667)</f>
        <v>45408.66667</v>
      </c>
      <c r="B1047" s="2">
        <f>IFERROR(__xludf.DUMMYFUNCTION("""COMPUTED_VALUE"""),5050.0)</f>
        <v>5050</v>
      </c>
      <c r="C1047" s="2">
        <f>IFERROR(__xludf.DUMMYFUNCTION("""COMPUTED_VALUE"""),5100.0)</f>
        <v>5100</v>
      </c>
      <c r="D1047" s="2">
        <f>IFERROR(__xludf.DUMMYFUNCTION("""COMPUTED_VALUE"""),4830.0)</f>
        <v>4830</v>
      </c>
      <c r="E1047" s="2">
        <f>IFERROR(__xludf.DUMMYFUNCTION("""COMPUTED_VALUE"""),4830.0)</f>
        <v>4830</v>
      </c>
      <c r="F1047" s="2">
        <f>IFERROR(__xludf.DUMMYFUNCTION("""COMPUTED_VALUE"""),7.825899E8)</f>
        <v>782589900</v>
      </c>
      <c r="G1047" s="2">
        <f t="shared" si="1"/>
        <v>320</v>
      </c>
    </row>
    <row r="1048" ht="15.75" customHeight="1">
      <c r="A1048" s="1">
        <f>IFERROR(__xludf.DUMMYFUNCTION("""COMPUTED_VALUE"""),45411.66666666667)</f>
        <v>45411.66667</v>
      </c>
      <c r="B1048" s="2">
        <f>IFERROR(__xludf.DUMMYFUNCTION("""COMPUTED_VALUE"""),4700.0)</f>
        <v>4700</v>
      </c>
      <c r="C1048" s="2">
        <f>IFERROR(__xludf.DUMMYFUNCTION("""COMPUTED_VALUE"""),4890.0)</f>
        <v>4890</v>
      </c>
      <c r="D1048" s="2">
        <f>IFERROR(__xludf.DUMMYFUNCTION("""COMPUTED_VALUE"""),4680.0)</f>
        <v>4680</v>
      </c>
      <c r="E1048" s="2">
        <f>IFERROR(__xludf.DUMMYFUNCTION("""COMPUTED_VALUE"""),4770.0)</f>
        <v>4770</v>
      </c>
      <c r="F1048" s="2">
        <f>IFERROR(__xludf.DUMMYFUNCTION("""COMPUTED_VALUE"""),7.006448E8)</f>
        <v>700644800</v>
      </c>
      <c r="G1048" s="2">
        <f t="shared" si="1"/>
        <v>210</v>
      </c>
    </row>
    <row r="1049" ht="15.75" customHeight="1">
      <c r="A1049" s="1">
        <f>IFERROR(__xludf.DUMMYFUNCTION("""COMPUTED_VALUE"""),45412.66666666667)</f>
        <v>45412.66667</v>
      </c>
      <c r="B1049" s="2">
        <f>IFERROR(__xludf.DUMMYFUNCTION("""COMPUTED_VALUE"""),4850.0)</f>
        <v>4850</v>
      </c>
      <c r="C1049" s="2">
        <f>IFERROR(__xludf.DUMMYFUNCTION("""COMPUTED_VALUE"""),5050.0)</f>
        <v>5050</v>
      </c>
      <c r="D1049" s="2">
        <f>IFERROR(__xludf.DUMMYFUNCTION("""COMPUTED_VALUE"""),4820.0)</f>
        <v>4820</v>
      </c>
      <c r="E1049" s="2">
        <f>IFERROR(__xludf.DUMMYFUNCTION("""COMPUTED_VALUE"""),4940.0)</f>
        <v>4940</v>
      </c>
      <c r="F1049" s="2">
        <f>IFERROR(__xludf.DUMMYFUNCTION("""COMPUTED_VALUE"""),5.656092E8)</f>
        <v>565609200</v>
      </c>
      <c r="G1049" s="2">
        <f t="shared" si="1"/>
        <v>280</v>
      </c>
    </row>
    <row r="1050" ht="15.75" customHeight="1">
      <c r="A1050" s="1">
        <f>IFERROR(__xludf.DUMMYFUNCTION("""COMPUTED_VALUE"""),45414.66666666667)</f>
        <v>45414.66667</v>
      </c>
      <c r="B1050" s="2">
        <f>IFERROR(__xludf.DUMMYFUNCTION("""COMPUTED_VALUE"""),4910.0)</f>
        <v>4910</v>
      </c>
      <c r="C1050" s="2">
        <f>IFERROR(__xludf.DUMMYFUNCTION("""COMPUTED_VALUE"""),4920.0)</f>
        <v>4920</v>
      </c>
      <c r="D1050" s="2">
        <f>IFERROR(__xludf.DUMMYFUNCTION("""COMPUTED_VALUE"""),4700.0)</f>
        <v>4700</v>
      </c>
      <c r="E1050" s="2">
        <f>IFERROR(__xludf.DUMMYFUNCTION("""COMPUTED_VALUE"""),4760.0)</f>
        <v>4760</v>
      </c>
      <c r="F1050" s="2">
        <f>IFERROR(__xludf.DUMMYFUNCTION("""COMPUTED_VALUE"""),6.369221E8)</f>
        <v>636922100</v>
      </c>
      <c r="G1050" s="2">
        <f t="shared" si="1"/>
        <v>240</v>
      </c>
    </row>
    <row r="1051" ht="15.75" customHeight="1">
      <c r="A1051" s="1">
        <f>IFERROR(__xludf.DUMMYFUNCTION("""COMPUTED_VALUE"""),45415.66666666667)</f>
        <v>45415.66667</v>
      </c>
      <c r="B1051" s="2">
        <f>IFERROR(__xludf.DUMMYFUNCTION("""COMPUTED_VALUE"""),4760.0)</f>
        <v>4760</v>
      </c>
      <c r="C1051" s="2">
        <f>IFERROR(__xludf.DUMMYFUNCTION("""COMPUTED_VALUE"""),4830.0)</f>
        <v>4830</v>
      </c>
      <c r="D1051" s="2">
        <f>IFERROR(__xludf.DUMMYFUNCTION("""COMPUTED_VALUE"""),4710.0)</f>
        <v>4710</v>
      </c>
      <c r="E1051" s="2">
        <f>IFERROR(__xludf.DUMMYFUNCTION("""COMPUTED_VALUE"""),4750.0)</f>
        <v>4750</v>
      </c>
      <c r="F1051" s="2">
        <f>IFERROR(__xludf.DUMMYFUNCTION("""COMPUTED_VALUE"""),3.216972E8)</f>
        <v>321697200</v>
      </c>
      <c r="G1051" s="2">
        <f t="shared" si="1"/>
        <v>120</v>
      </c>
    </row>
    <row r="1052" ht="15.75" customHeight="1">
      <c r="A1052" s="1">
        <f>IFERROR(__xludf.DUMMYFUNCTION("""COMPUTED_VALUE"""),45418.66666666667)</f>
        <v>45418.66667</v>
      </c>
      <c r="B1052" s="2">
        <f>IFERROR(__xludf.DUMMYFUNCTION("""COMPUTED_VALUE"""),4800.0)</f>
        <v>4800</v>
      </c>
      <c r="C1052" s="2">
        <f>IFERROR(__xludf.DUMMYFUNCTION("""COMPUTED_VALUE"""),4840.0)</f>
        <v>4840</v>
      </c>
      <c r="D1052" s="2">
        <f>IFERROR(__xludf.DUMMYFUNCTION("""COMPUTED_VALUE"""),4730.0)</f>
        <v>4730</v>
      </c>
      <c r="E1052" s="2">
        <f>IFERROR(__xludf.DUMMYFUNCTION("""COMPUTED_VALUE"""),4790.0)</f>
        <v>4790</v>
      </c>
      <c r="F1052" s="2">
        <f>IFERROR(__xludf.DUMMYFUNCTION("""COMPUTED_VALUE"""),2.627074E8)</f>
        <v>262707400</v>
      </c>
      <c r="G1052" s="2">
        <f t="shared" si="1"/>
        <v>110</v>
      </c>
    </row>
    <row r="1053" ht="15.75" customHeight="1">
      <c r="A1053" s="1">
        <f>IFERROR(__xludf.DUMMYFUNCTION("""COMPUTED_VALUE"""),45419.66666666667)</f>
        <v>45419.66667</v>
      </c>
      <c r="B1053" s="2">
        <f>IFERROR(__xludf.DUMMYFUNCTION("""COMPUTED_VALUE"""),4770.0)</f>
        <v>4770</v>
      </c>
      <c r="C1053" s="2">
        <f>IFERROR(__xludf.DUMMYFUNCTION("""COMPUTED_VALUE"""),4780.0)</f>
        <v>4780</v>
      </c>
      <c r="D1053" s="2">
        <f>IFERROR(__xludf.DUMMYFUNCTION("""COMPUTED_VALUE"""),4670.0)</f>
        <v>4670</v>
      </c>
      <c r="E1053" s="2">
        <f>IFERROR(__xludf.DUMMYFUNCTION("""COMPUTED_VALUE"""),4670.0)</f>
        <v>4670</v>
      </c>
      <c r="F1053" s="2">
        <f>IFERROR(__xludf.DUMMYFUNCTION("""COMPUTED_VALUE"""),3.040136E8)</f>
        <v>304013600</v>
      </c>
      <c r="G1053" s="2">
        <f t="shared" si="1"/>
        <v>120</v>
      </c>
    </row>
    <row r="1054" ht="15.75" customHeight="1">
      <c r="A1054" s="1">
        <f>IFERROR(__xludf.DUMMYFUNCTION("""COMPUTED_VALUE"""),45420.66666666667)</f>
        <v>45420.66667</v>
      </c>
      <c r="B1054" s="2">
        <f>IFERROR(__xludf.DUMMYFUNCTION("""COMPUTED_VALUE"""),4650.0)</f>
        <v>4650</v>
      </c>
      <c r="C1054" s="2">
        <f>IFERROR(__xludf.DUMMYFUNCTION("""COMPUTED_VALUE"""),4740.0)</f>
        <v>4740</v>
      </c>
      <c r="D1054" s="2">
        <f>IFERROR(__xludf.DUMMYFUNCTION("""COMPUTED_VALUE"""),4570.0)</f>
        <v>4570</v>
      </c>
      <c r="E1054" s="2">
        <f>IFERROR(__xludf.DUMMYFUNCTION("""COMPUTED_VALUE"""),4680.0)</f>
        <v>4680</v>
      </c>
      <c r="F1054" s="2">
        <f>IFERROR(__xludf.DUMMYFUNCTION("""COMPUTED_VALUE"""),5.722758E8)</f>
        <v>572275800</v>
      </c>
      <c r="G1054" s="2">
        <f t="shared" si="1"/>
        <v>170</v>
      </c>
    </row>
    <row r="1055" ht="15.75" customHeight="1">
      <c r="A1055" s="1">
        <f>IFERROR(__xludf.DUMMYFUNCTION("""COMPUTED_VALUE"""),45425.66666666667)</f>
        <v>45425.66667</v>
      </c>
      <c r="B1055" s="2">
        <f>IFERROR(__xludf.DUMMYFUNCTION("""COMPUTED_VALUE"""),4650.0)</f>
        <v>4650</v>
      </c>
      <c r="C1055" s="2">
        <f>IFERROR(__xludf.DUMMYFUNCTION("""COMPUTED_VALUE"""),4700.0)</f>
        <v>4700</v>
      </c>
      <c r="D1055" s="2">
        <f>IFERROR(__xludf.DUMMYFUNCTION("""COMPUTED_VALUE"""),4630.0)</f>
        <v>4630</v>
      </c>
      <c r="E1055" s="2">
        <f>IFERROR(__xludf.DUMMYFUNCTION("""COMPUTED_VALUE"""),4680.0)</f>
        <v>4680</v>
      </c>
      <c r="F1055" s="2">
        <f>IFERROR(__xludf.DUMMYFUNCTION("""COMPUTED_VALUE"""),3.200671E8)</f>
        <v>320067100</v>
      </c>
      <c r="G1055" s="2">
        <f t="shared" si="1"/>
        <v>70</v>
      </c>
    </row>
    <row r="1056" ht="15.75" customHeight="1">
      <c r="A1056" s="1">
        <f>IFERROR(__xludf.DUMMYFUNCTION("""COMPUTED_VALUE"""),45426.66666666667)</f>
        <v>45426.66667</v>
      </c>
      <c r="B1056" s="2">
        <f>IFERROR(__xludf.DUMMYFUNCTION("""COMPUTED_VALUE"""),4720.0)</f>
        <v>4720</v>
      </c>
      <c r="C1056" s="2">
        <f>IFERROR(__xludf.DUMMYFUNCTION("""COMPUTED_VALUE"""),4810.0)</f>
        <v>4810</v>
      </c>
      <c r="D1056" s="2">
        <f>IFERROR(__xludf.DUMMYFUNCTION("""COMPUTED_VALUE"""),4700.0)</f>
        <v>4700</v>
      </c>
      <c r="E1056" s="2">
        <f>IFERROR(__xludf.DUMMYFUNCTION("""COMPUTED_VALUE"""),4730.0)</f>
        <v>4730</v>
      </c>
      <c r="F1056" s="2">
        <f>IFERROR(__xludf.DUMMYFUNCTION("""COMPUTED_VALUE"""),3.414589E8)</f>
        <v>341458900</v>
      </c>
      <c r="G1056" s="2">
        <f t="shared" si="1"/>
        <v>130</v>
      </c>
    </row>
    <row r="1057" ht="15.75" customHeight="1">
      <c r="A1057" s="1">
        <f>IFERROR(__xludf.DUMMYFUNCTION("""COMPUTED_VALUE"""),45427.66666666667)</f>
        <v>45427.66667</v>
      </c>
      <c r="B1057" s="2">
        <f>IFERROR(__xludf.DUMMYFUNCTION("""COMPUTED_VALUE"""),4780.0)</f>
        <v>4780</v>
      </c>
      <c r="C1057" s="2">
        <f>IFERROR(__xludf.DUMMYFUNCTION("""COMPUTED_VALUE"""),4870.0)</f>
        <v>4870</v>
      </c>
      <c r="D1057" s="2">
        <f>IFERROR(__xludf.DUMMYFUNCTION("""COMPUTED_VALUE"""),4760.0)</f>
        <v>4760</v>
      </c>
      <c r="E1057" s="2">
        <f>IFERROR(__xludf.DUMMYFUNCTION("""COMPUTED_VALUE"""),4820.0)</f>
        <v>4820</v>
      </c>
      <c r="F1057" s="2">
        <f>IFERROR(__xludf.DUMMYFUNCTION("""COMPUTED_VALUE"""),2.989903E8)</f>
        <v>298990300</v>
      </c>
      <c r="G1057" s="2">
        <f t="shared" si="1"/>
        <v>140</v>
      </c>
    </row>
    <row r="1058" ht="15.75" customHeight="1">
      <c r="A1058" s="1">
        <f>IFERROR(__xludf.DUMMYFUNCTION("""COMPUTED_VALUE"""),45428.66666666667)</f>
        <v>45428.66667</v>
      </c>
      <c r="B1058" s="2">
        <f>IFERROR(__xludf.DUMMYFUNCTION("""COMPUTED_VALUE"""),4930.0)</f>
        <v>4930</v>
      </c>
      <c r="C1058" s="2">
        <f>IFERROR(__xludf.DUMMYFUNCTION("""COMPUTED_VALUE"""),4960.0)</f>
        <v>4960</v>
      </c>
      <c r="D1058" s="2">
        <f>IFERROR(__xludf.DUMMYFUNCTION("""COMPUTED_VALUE"""),4840.0)</f>
        <v>4840</v>
      </c>
      <c r="E1058" s="2">
        <f>IFERROR(__xludf.DUMMYFUNCTION("""COMPUTED_VALUE"""),4840.0)</f>
        <v>4840</v>
      </c>
      <c r="F1058" s="2">
        <f>IFERROR(__xludf.DUMMYFUNCTION("""COMPUTED_VALUE"""),3.71295E8)</f>
        <v>371295000</v>
      </c>
      <c r="G1058" s="2">
        <f t="shared" si="1"/>
        <v>140</v>
      </c>
    </row>
    <row r="1059" ht="15.75" customHeight="1">
      <c r="A1059" s="1">
        <f>IFERROR(__xludf.DUMMYFUNCTION("""COMPUTED_VALUE"""),45429.66666666667)</f>
        <v>45429.66667</v>
      </c>
      <c r="B1059" s="2">
        <f>IFERROR(__xludf.DUMMYFUNCTION("""COMPUTED_VALUE"""),4840.0)</f>
        <v>4840</v>
      </c>
      <c r="C1059" s="2">
        <f>IFERROR(__xludf.DUMMYFUNCTION("""COMPUTED_VALUE"""),4960.0)</f>
        <v>4960</v>
      </c>
      <c r="D1059" s="2">
        <f>IFERROR(__xludf.DUMMYFUNCTION("""COMPUTED_VALUE"""),4820.0)</f>
        <v>4820</v>
      </c>
      <c r="E1059" s="2">
        <f>IFERROR(__xludf.DUMMYFUNCTION("""COMPUTED_VALUE"""),4920.0)</f>
        <v>4920</v>
      </c>
      <c r="F1059" s="2">
        <f>IFERROR(__xludf.DUMMYFUNCTION("""COMPUTED_VALUE"""),2.089918E8)</f>
        <v>208991800</v>
      </c>
      <c r="G1059" s="2">
        <f t="shared" si="1"/>
        <v>140</v>
      </c>
    </row>
    <row r="1060" ht="15.75" customHeight="1">
      <c r="A1060" s="1">
        <f>IFERROR(__xludf.DUMMYFUNCTION("""COMPUTED_VALUE"""),45432.66666666667)</f>
        <v>45432.66667</v>
      </c>
      <c r="B1060" s="2">
        <f>IFERROR(__xludf.DUMMYFUNCTION("""COMPUTED_VALUE"""),4990.0)</f>
        <v>4990</v>
      </c>
      <c r="C1060" s="2">
        <f>IFERROR(__xludf.DUMMYFUNCTION("""COMPUTED_VALUE"""),5050.0)</f>
        <v>5050</v>
      </c>
      <c r="D1060" s="2">
        <f>IFERROR(__xludf.DUMMYFUNCTION("""COMPUTED_VALUE"""),4820.0)</f>
        <v>4820</v>
      </c>
      <c r="E1060" s="2">
        <f>IFERROR(__xludf.DUMMYFUNCTION("""COMPUTED_VALUE"""),4820.0)</f>
        <v>4820</v>
      </c>
      <c r="F1060" s="2">
        <f>IFERROR(__xludf.DUMMYFUNCTION("""COMPUTED_VALUE"""),3.351507E8)</f>
        <v>335150700</v>
      </c>
      <c r="G1060" s="2">
        <f t="shared" si="1"/>
        <v>230</v>
      </c>
    </row>
    <row r="1061" ht="15.75" customHeight="1">
      <c r="A1061" s="1">
        <f>IFERROR(__xludf.DUMMYFUNCTION("""COMPUTED_VALUE"""),45433.66666666667)</f>
        <v>45433.66667</v>
      </c>
      <c r="B1061" s="2">
        <f>IFERROR(__xludf.DUMMYFUNCTION("""COMPUTED_VALUE"""),4810.0)</f>
        <v>4810</v>
      </c>
      <c r="C1061" s="2">
        <f>IFERROR(__xludf.DUMMYFUNCTION("""COMPUTED_VALUE"""),4870.0)</f>
        <v>4870</v>
      </c>
      <c r="D1061" s="2">
        <f>IFERROR(__xludf.DUMMYFUNCTION("""COMPUTED_VALUE"""),4680.0)</f>
        <v>4680</v>
      </c>
      <c r="E1061" s="2">
        <f>IFERROR(__xludf.DUMMYFUNCTION("""COMPUTED_VALUE"""),4680.0)</f>
        <v>4680</v>
      </c>
      <c r="F1061" s="2">
        <f>IFERROR(__xludf.DUMMYFUNCTION("""COMPUTED_VALUE"""),2.715688E8)</f>
        <v>271568800</v>
      </c>
      <c r="G1061" s="2">
        <f t="shared" si="1"/>
        <v>190</v>
      </c>
    </row>
    <row r="1062" ht="15.75" customHeight="1">
      <c r="A1062" s="1">
        <f>IFERROR(__xludf.DUMMYFUNCTION("""COMPUTED_VALUE"""),45434.66666666667)</f>
        <v>45434.66667</v>
      </c>
      <c r="B1062" s="2">
        <f>IFERROR(__xludf.DUMMYFUNCTION("""COMPUTED_VALUE"""),4650.0)</f>
        <v>4650</v>
      </c>
      <c r="C1062" s="2">
        <f>IFERROR(__xludf.DUMMYFUNCTION("""COMPUTED_VALUE"""),4770.0)</f>
        <v>4770</v>
      </c>
      <c r="D1062" s="2">
        <f>IFERROR(__xludf.DUMMYFUNCTION("""COMPUTED_VALUE"""),4650.0)</f>
        <v>4650</v>
      </c>
      <c r="E1062" s="2">
        <f>IFERROR(__xludf.DUMMYFUNCTION("""COMPUTED_VALUE"""),4720.0)</f>
        <v>4720</v>
      </c>
      <c r="F1062" s="2">
        <f>IFERROR(__xludf.DUMMYFUNCTION("""COMPUTED_VALUE"""),2.15066E8)</f>
        <v>215066000</v>
      </c>
      <c r="G1062" s="2">
        <f t="shared" si="1"/>
        <v>120</v>
      </c>
    </row>
    <row r="1063" ht="15.75" customHeight="1">
      <c r="A1063" s="1">
        <f>IFERROR(__xludf.DUMMYFUNCTION("""COMPUTED_VALUE"""),45439.66666666667)</f>
        <v>45439.66667</v>
      </c>
      <c r="B1063" s="2">
        <f>IFERROR(__xludf.DUMMYFUNCTION("""COMPUTED_VALUE"""),4700.0)</f>
        <v>4700</v>
      </c>
      <c r="C1063" s="2">
        <f>IFERROR(__xludf.DUMMYFUNCTION("""COMPUTED_VALUE"""),4720.0)</f>
        <v>4720</v>
      </c>
      <c r="D1063" s="2">
        <f>IFERROR(__xludf.DUMMYFUNCTION("""COMPUTED_VALUE"""),4550.0)</f>
        <v>4550</v>
      </c>
      <c r="E1063" s="2">
        <f>IFERROR(__xludf.DUMMYFUNCTION("""COMPUTED_VALUE"""),4550.0)</f>
        <v>4550</v>
      </c>
      <c r="F1063" s="2">
        <f>IFERROR(__xludf.DUMMYFUNCTION("""COMPUTED_VALUE"""),3.637193E8)</f>
        <v>363719300</v>
      </c>
      <c r="G1063" s="2">
        <f t="shared" si="1"/>
        <v>170</v>
      </c>
    </row>
    <row r="1064" ht="15.75" customHeight="1">
      <c r="A1064" s="1">
        <f>IFERROR(__xludf.DUMMYFUNCTION("""COMPUTED_VALUE"""),45440.66666666667)</f>
        <v>45440.66667</v>
      </c>
      <c r="B1064" s="2">
        <f>IFERROR(__xludf.DUMMYFUNCTION("""COMPUTED_VALUE"""),4580.0)</f>
        <v>4580</v>
      </c>
      <c r="C1064" s="2">
        <f>IFERROR(__xludf.DUMMYFUNCTION("""COMPUTED_VALUE"""),4630.0)</f>
        <v>4630</v>
      </c>
      <c r="D1064" s="2">
        <f>IFERROR(__xludf.DUMMYFUNCTION("""COMPUTED_VALUE"""),4520.0)</f>
        <v>4520</v>
      </c>
      <c r="E1064" s="2">
        <f>IFERROR(__xludf.DUMMYFUNCTION("""COMPUTED_VALUE"""),4530.0)</f>
        <v>4530</v>
      </c>
      <c r="F1064" s="2">
        <f>IFERROR(__xludf.DUMMYFUNCTION("""COMPUTED_VALUE"""),2.580702E8)</f>
        <v>258070200</v>
      </c>
      <c r="G1064" s="2">
        <f t="shared" si="1"/>
        <v>110</v>
      </c>
    </row>
    <row r="1065" ht="15.75" customHeight="1">
      <c r="A1065" s="1">
        <f>IFERROR(__xludf.DUMMYFUNCTION("""COMPUTED_VALUE"""),45441.66666666667)</f>
        <v>45441.66667</v>
      </c>
      <c r="B1065" s="2">
        <f>IFERROR(__xludf.DUMMYFUNCTION("""COMPUTED_VALUE"""),4480.0)</f>
        <v>4480</v>
      </c>
      <c r="C1065" s="2">
        <f>IFERROR(__xludf.DUMMYFUNCTION("""COMPUTED_VALUE"""),4500.0)</f>
        <v>4500</v>
      </c>
      <c r="D1065" s="2">
        <f>IFERROR(__xludf.DUMMYFUNCTION("""COMPUTED_VALUE"""),4400.0)</f>
        <v>4400</v>
      </c>
      <c r="E1065" s="2">
        <f>IFERROR(__xludf.DUMMYFUNCTION("""COMPUTED_VALUE"""),4410.0)</f>
        <v>4410</v>
      </c>
      <c r="F1065" s="2">
        <f>IFERROR(__xludf.DUMMYFUNCTION("""COMPUTED_VALUE"""),4.650085E8)</f>
        <v>465008500</v>
      </c>
      <c r="G1065" s="2">
        <f t="shared" si="1"/>
        <v>130</v>
      </c>
    </row>
    <row r="1066" ht="15.75" customHeight="1">
      <c r="A1066" s="1">
        <f>IFERROR(__xludf.DUMMYFUNCTION("""COMPUTED_VALUE"""),45442.66666666667)</f>
        <v>45442.66667</v>
      </c>
      <c r="B1066" s="2">
        <f>IFERROR(__xludf.DUMMYFUNCTION("""COMPUTED_VALUE"""),4400.0)</f>
        <v>4400</v>
      </c>
      <c r="C1066" s="2">
        <f>IFERROR(__xludf.DUMMYFUNCTION("""COMPUTED_VALUE"""),4480.0)</f>
        <v>4480</v>
      </c>
      <c r="D1066" s="2">
        <f>IFERROR(__xludf.DUMMYFUNCTION("""COMPUTED_VALUE"""),4310.0)</f>
        <v>4310</v>
      </c>
      <c r="E1066" s="2">
        <f>IFERROR(__xludf.DUMMYFUNCTION("""COMPUTED_VALUE"""),4380.0)</f>
        <v>4380</v>
      </c>
      <c r="F1066" s="2">
        <f>IFERROR(__xludf.DUMMYFUNCTION("""COMPUTED_VALUE"""),5.029278E8)</f>
        <v>502927800</v>
      </c>
      <c r="G1066" s="2">
        <f t="shared" si="1"/>
        <v>170</v>
      </c>
    </row>
    <row r="1067" ht="15.75" customHeight="1">
      <c r="A1067" s="1">
        <f>IFERROR(__xludf.DUMMYFUNCTION("""COMPUTED_VALUE"""),45443.66666666667)</f>
        <v>45443.66667</v>
      </c>
      <c r="B1067" s="2">
        <f>IFERROR(__xludf.DUMMYFUNCTION("""COMPUTED_VALUE"""),4430.0)</f>
        <v>4430</v>
      </c>
      <c r="C1067" s="2">
        <f>IFERROR(__xludf.DUMMYFUNCTION("""COMPUTED_VALUE"""),4470.0)</f>
        <v>4470</v>
      </c>
      <c r="D1067" s="2">
        <f>IFERROR(__xludf.DUMMYFUNCTION("""COMPUTED_VALUE"""),4330.0)</f>
        <v>4330</v>
      </c>
      <c r="E1067" s="2">
        <f>IFERROR(__xludf.DUMMYFUNCTION("""COMPUTED_VALUE"""),4340.0)</f>
        <v>4340</v>
      </c>
      <c r="F1067" s="2">
        <f>IFERROR(__xludf.DUMMYFUNCTION("""COMPUTED_VALUE"""),6.551441E8)</f>
        <v>655144100</v>
      </c>
      <c r="G1067" s="2">
        <f t="shared" si="1"/>
        <v>140</v>
      </c>
    </row>
    <row r="1068" ht="15.75" customHeight="1">
      <c r="A1068" s="1">
        <f>IFERROR(__xludf.DUMMYFUNCTION("""COMPUTED_VALUE"""),45446.66666666667)</f>
        <v>45446.66667</v>
      </c>
      <c r="B1068" s="2">
        <f>IFERROR(__xludf.DUMMYFUNCTION("""COMPUTED_VALUE"""),4430.0)</f>
        <v>4430</v>
      </c>
      <c r="C1068" s="2">
        <f>IFERROR(__xludf.DUMMYFUNCTION("""COMPUTED_VALUE"""),4560.0)</f>
        <v>4560</v>
      </c>
      <c r="D1068" s="2">
        <f>IFERROR(__xludf.DUMMYFUNCTION("""COMPUTED_VALUE"""),4400.0)</f>
        <v>4400</v>
      </c>
      <c r="E1068" s="2">
        <f>IFERROR(__xludf.DUMMYFUNCTION("""COMPUTED_VALUE"""),4530.0)</f>
        <v>4530</v>
      </c>
      <c r="F1068" s="2">
        <f>IFERROR(__xludf.DUMMYFUNCTION("""COMPUTED_VALUE"""),3.457701E8)</f>
        <v>345770100</v>
      </c>
      <c r="G1068" s="2">
        <f t="shared" si="1"/>
        <v>220</v>
      </c>
    </row>
    <row r="1069" ht="15.75" customHeight="1">
      <c r="A1069" s="1">
        <f>IFERROR(__xludf.DUMMYFUNCTION("""COMPUTED_VALUE"""),45447.66666666667)</f>
        <v>45447.66667</v>
      </c>
      <c r="B1069" s="2">
        <f>IFERROR(__xludf.DUMMYFUNCTION("""COMPUTED_VALUE"""),4560.0)</f>
        <v>4560</v>
      </c>
      <c r="C1069" s="2">
        <f>IFERROR(__xludf.DUMMYFUNCTION("""COMPUTED_VALUE"""),4590.0)</f>
        <v>4590</v>
      </c>
      <c r="D1069" s="2">
        <f>IFERROR(__xludf.DUMMYFUNCTION("""COMPUTED_VALUE"""),4450.0)</f>
        <v>4450</v>
      </c>
      <c r="E1069" s="2">
        <f>IFERROR(__xludf.DUMMYFUNCTION("""COMPUTED_VALUE"""),4450.0)</f>
        <v>4450</v>
      </c>
      <c r="F1069" s="2">
        <f>IFERROR(__xludf.DUMMYFUNCTION("""COMPUTED_VALUE"""),3.329022E8)</f>
        <v>332902200</v>
      </c>
      <c r="G1069" s="2">
        <f t="shared" si="1"/>
        <v>140</v>
      </c>
    </row>
    <row r="1070" ht="15.75" customHeight="1">
      <c r="A1070" s="1">
        <f>IFERROR(__xludf.DUMMYFUNCTION("""COMPUTED_VALUE"""),45448.66666666667)</f>
        <v>45448.66667</v>
      </c>
      <c r="B1070" s="2">
        <f>IFERROR(__xludf.DUMMYFUNCTION("""COMPUTED_VALUE"""),4500.0)</f>
        <v>4500</v>
      </c>
      <c r="C1070" s="2">
        <f>IFERROR(__xludf.DUMMYFUNCTION("""COMPUTED_VALUE"""),4500.0)</f>
        <v>4500</v>
      </c>
      <c r="D1070" s="2">
        <f>IFERROR(__xludf.DUMMYFUNCTION("""COMPUTED_VALUE"""),4400.0)</f>
        <v>4400</v>
      </c>
      <c r="E1070" s="2">
        <f>IFERROR(__xludf.DUMMYFUNCTION("""COMPUTED_VALUE"""),4400.0)</f>
        <v>4400</v>
      </c>
      <c r="F1070" s="2">
        <f>IFERROR(__xludf.DUMMYFUNCTION("""COMPUTED_VALUE"""),2.407885E8)</f>
        <v>240788500</v>
      </c>
      <c r="G1070" s="2">
        <f t="shared" si="1"/>
        <v>100</v>
      </c>
    </row>
    <row r="1071" ht="15.75" customHeight="1">
      <c r="A1071" s="1">
        <f>IFERROR(__xludf.DUMMYFUNCTION("""COMPUTED_VALUE"""),45449.66666666667)</f>
        <v>45449.66667</v>
      </c>
      <c r="B1071" s="2">
        <f>IFERROR(__xludf.DUMMYFUNCTION("""COMPUTED_VALUE"""),4450.0)</f>
        <v>4450</v>
      </c>
      <c r="C1071" s="2">
        <f>IFERROR(__xludf.DUMMYFUNCTION("""COMPUTED_VALUE"""),4500.0)</f>
        <v>4500</v>
      </c>
      <c r="D1071" s="2">
        <f>IFERROR(__xludf.DUMMYFUNCTION("""COMPUTED_VALUE"""),4390.0)</f>
        <v>4390</v>
      </c>
      <c r="E1071" s="2">
        <f>IFERROR(__xludf.DUMMYFUNCTION("""COMPUTED_VALUE"""),4500.0)</f>
        <v>4500</v>
      </c>
      <c r="F1071" s="2">
        <f>IFERROR(__xludf.DUMMYFUNCTION("""COMPUTED_VALUE"""),2.815342E8)</f>
        <v>281534200</v>
      </c>
      <c r="G1071" s="2">
        <f t="shared" si="1"/>
        <v>110</v>
      </c>
    </row>
    <row r="1072" ht="15.75" customHeight="1">
      <c r="A1072" s="1">
        <f>IFERROR(__xludf.DUMMYFUNCTION("""COMPUTED_VALUE"""),45450.66666666667)</f>
        <v>45450.66667</v>
      </c>
      <c r="B1072" s="2">
        <f>IFERROR(__xludf.DUMMYFUNCTION("""COMPUTED_VALUE"""),4490.0)</f>
        <v>4490</v>
      </c>
      <c r="C1072" s="2">
        <f>IFERROR(__xludf.DUMMYFUNCTION("""COMPUTED_VALUE"""),4500.0)</f>
        <v>4500</v>
      </c>
      <c r="D1072" s="2">
        <f>IFERROR(__xludf.DUMMYFUNCTION("""COMPUTED_VALUE"""),4350.0)</f>
        <v>4350</v>
      </c>
      <c r="E1072" s="2">
        <f>IFERROR(__xludf.DUMMYFUNCTION("""COMPUTED_VALUE"""),4350.0)</f>
        <v>4350</v>
      </c>
      <c r="F1072" s="2">
        <f>IFERROR(__xludf.DUMMYFUNCTION("""COMPUTED_VALUE"""),3.754396E8)</f>
        <v>375439600</v>
      </c>
      <c r="G1072" s="2">
        <f t="shared" si="1"/>
        <v>150</v>
      </c>
    </row>
    <row r="1073" ht="15.75" customHeight="1">
      <c r="A1073" s="1">
        <f>IFERROR(__xludf.DUMMYFUNCTION("""COMPUTED_VALUE"""),45453.66666666667)</f>
        <v>45453.66667</v>
      </c>
      <c r="B1073" s="2">
        <f>IFERROR(__xludf.DUMMYFUNCTION("""COMPUTED_VALUE"""),4350.0)</f>
        <v>4350</v>
      </c>
      <c r="C1073" s="2">
        <f>IFERROR(__xludf.DUMMYFUNCTION("""COMPUTED_VALUE"""),4430.0)</f>
        <v>4430</v>
      </c>
      <c r="D1073" s="2">
        <f>IFERROR(__xludf.DUMMYFUNCTION("""COMPUTED_VALUE"""),4320.0)</f>
        <v>4320</v>
      </c>
      <c r="E1073" s="2">
        <f>IFERROR(__xludf.DUMMYFUNCTION("""COMPUTED_VALUE"""),4400.0)</f>
        <v>4400</v>
      </c>
      <c r="F1073" s="2">
        <f>IFERROR(__xludf.DUMMYFUNCTION("""COMPUTED_VALUE"""),1.81387E8)</f>
        <v>181387000</v>
      </c>
      <c r="G1073" s="2">
        <f t="shared" si="1"/>
        <v>110</v>
      </c>
    </row>
    <row r="1074" ht="15.75" customHeight="1">
      <c r="A1074" s="1">
        <f>IFERROR(__xludf.DUMMYFUNCTION("""COMPUTED_VALUE"""),45454.66666666667)</f>
        <v>45454.66667</v>
      </c>
      <c r="B1074" s="2">
        <f>IFERROR(__xludf.DUMMYFUNCTION("""COMPUTED_VALUE"""),4380.0)</f>
        <v>4380</v>
      </c>
      <c r="C1074" s="2">
        <f>IFERROR(__xludf.DUMMYFUNCTION("""COMPUTED_VALUE"""),4440.0)</f>
        <v>4440</v>
      </c>
      <c r="D1074" s="2">
        <f>IFERROR(__xludf.DUMMYFUNCTION("""COMPUTED_VALUE"""),4340.0)</f>
        <v>4340</v>
      </c>
      <c r="E1074" s="2">
        <f>IFERROR(__xludf.DUMMYFUNCTION("""COMPUTED_VALUE"""),4340.0)</f>
        <v>4340</v>
      </c>
      <c r="F1074" s="2">
        <f>IFERROR(__xludf.DUMMYFUNCTION("""COMPUTED_VALUE"""),1.978544E8)</f>
        <v>197854400</v>
      </c>
      <c r="G1074" s="2">
        <f t="shared" si="1"/>
        <v>100</v>
      </c>
    </row>
    <row r="1075" ht="15.75" customHeight="1">
      <c r="A1075" s="1">
        <f>IFERROR(__xludf.DUMMYFUNCTION("""COMPUTED_VALUE"""),45455.66666666667)</f>
        <v>45455.66667</v>
      </c>
      <c r="B1075" s="2">
        <f>IFERROR(__xludf.DUMMYFUNCTION("""COMPUTED_VALUE"""),4340.0)</f>
        <v>4340</v>
      </c>
      <c r="C1075" s="2">
        <f>IFERROR(__xludf.DUMMYFUNCTION("""COMPUTED_VALUE"""),4360.0)</f>
        <v>4360</v>
      </c>
      <c r="D1075" s="2">
        <f>IFERROR(__xludf.DUMMYFUNCTION("""COMPUTED_VALUE"""),4310.0)</f>
        <v>4310</v>
      </c>
      <c r="E1075" s="2">
        <f>IFERROR(__xludf.DUMMYFUNCTION("""COMPUTED_VALUE"""),4350.0)</f>
        <v>4350</v>
      </c>
      <c r="F1075" s="2">
        <f>IFERROR(__xludf.DUMMYFUNCTION("""COMPUTED_VALUE"""),1.873325E8)</f>
        <v>187332500</v>
      </c>
      <c r="G1075" s="2">
        <f t="shared" si="1"/>
        <v>50</v>
      </c>
    </row>
    <row r="1076" ht="15.75" customHeight="1">
      <c r="A1076" s="1">
        <f>IFERROR(__xludf.DUMMYFUNCTION("""COMPUTED_VALUE"""),45456.66666666667)</f>
        <v>45456.66667</v>
      </c>
      <c r="B1076" s="2">
        <f>IFERROR(__xludf.DUMMYFUNCTION("""COMPUTED_VALUE"""),4400.0)</f>
        <v>4400</v>
      </c>
      <c r="C1076" s="2">
        <f>IFERROR(__xludf.DUMMYFUNCTION("""COMPUTED_VALUE"""),4420.0)</f>
        <v>4420</v>
      </c>
      <c r="D1076" s="2">
        <f>IFERROR(__xludf.DUMMYFUNCTION("""COMPUTED_VALUE"""),4300.0)</f>
        <v>4300</v>
      </c>
      <c r="E1076" s="2">
        <f>IFERROR(__xludf.DUMMYFUNCTION("""COMPUTED_VALUE"""),4310.0)</f>
        <v>4310</v>
      </c>
      <c r="F1076" s="2">
        <f>IFERROR(__xludf.DUMMYFUNCTION("""COMPUTED_VALUE"""),2.383496E8)</f>
        <v>238349600</v>
      </c>
      <c r="G1076" s="2">
        <f t="shared" si="1"/>
        <v>120</v>
      </c>
    </row>
    <row r="1077" ht="15.75" customHeight="1">
      <c r="A1077" s="1">
        <f>IFERROR(__xludf.DUMMYFUNCTION("""COMPUTED_VALUE"""),45457.66666666667)</f>
        <v>45457.66667</v>
      </c>
      <c r="B1077" s="2">
        <f>IFERROR(__xludf.DUMMYFUNCTION("""COMPUTED_VALUE"""),4300.0)</f>
        <v>4300</v>
      </c>
      <c r="C1077" s="2">
        <f>IFERROR(__xludf.DUMMYFUNCTION("""COMPUTED_VALUE"""),4320.0)</f>
        <v>4320</v>
      </c>
      <c r="D1077" s="2">
        <f>IFERROR(__xludf.DUMMYFUNCTION("""COMPUTED_VALUE"""),4170.0)</f>
        <v>4170</v>
      </c>
      <c r="E1077" s="2">
        <f>IFERROR(__xludf.DUMMYFUNCTION("""COMPUTED_VALUE"""),4180.0)</f>
        <v>4180</v>
      </c>
      <c r="F1077" s="2">
        <f>IFERROR(__xludf.DUMMYFUNCTION("""COMPUTED_VALUE"""),3.588932E8)</f>
        <v>358893200</v>
      </c>
      <c r="G1077" s="2">
        <f t="shared" si="1"/>
        <v>150</v>
      </c>
    </row>
    <row r="1078" ht="15.75" customHeight="1">
      <c r="A1078" s="1">
        <f>IFERROR(__xludf.DUMMYFUNCTION("""COMPUTED_VALUE"""),45462.66666666667)</f>
        <v>45462.66667</v>
      </c>
      <c r="B1078" s="2">
        <f>IFERROR(__xludf.DUMMYFUNCTION("""COMPUTED_VALUE"""),4100.0)</f>
        <v>4100</v>
      </c>
      <c r="C1078" s="2">
        <f>IFERROR(__xludf.DUMMYFUNCTION("""COMPUTED_VALUE"""),4240.0)</f>
        <v>4240</v>
      </c>
      <c r="D1078" s="2">
        <f>IFERROR(__xludf.DUMMYFUNCTION("""COMPUTED_VALUE"""),4090.0)</f>
        <v>4090</v>
      </c>
      <c r="E1078" s="2">
        <f>IFERROR(__xludf.DUMMYFUNCTION("""COMPUTED_VALUE"""),4100.0)</f>
        <v>4100</v>
      </c>
      <c r="F1078" s="2">
        <f>IFERROR(__xludf.DUMMYFUNCTION("""COMPUTED_VALUE"""),4.103384E8)</f>
        <v>410338400</v>
      </c>
      <c r="G1078" s="2">
        <f t="shared" si="1"/>
        <v>150</v>
      </c>
    </row>
    <row r="1079" ht="15.75" customHeight="1">
      <c r="A1079" s="1">
        <f>IFERROR(__xludf.DUMMYFUNCTION("""COMPUTED_VALUE"""),45463.66666666667)</f>
        <v>45463.66667</v>
      </c>
      <c r="B1079" s="2">
        <f>IFERROR(__xludf.DUMMYFUNCTION("""COMPUTED_VALUE"""),4130.0)</f>
        <v>4130</v>
      </c>
      <c r="C1079" s="2">
        <f>IFERROR(__xludf.DUMMYFUNCTION("""COMPUTED_VALUE"""),4270.0)</f>
        <v>4270</v>
      </c>
      <c r="D1079" s="2">
        <f>IFERROR(__xludf.DUMMYFUNCTION("""COMPUTED_VALUE"""),4130.0)</f>
        <v>4130</v>
      </c>
      <c r="E1079" s="2">
        <f>IFERROR(__xludf.DUMMYFUNCTION("""COMPUTED_VALUE"""),4270.0)</f>
        <v>4270</v>
      </c>
      <c r="F1079" s="2">
        <f>IFERROR(__xludf.DUMMYFUNCTION("""COMPUTED_VALUE"""),3.871334E8)</f>
        <v>387133400</v>
      </c>
      <c r="G1079" s="2">
        <f t="shared" si="1"/>
        <v>170</v>
      </c>
    </row>
    <row r="1080" ht="15.75" customHeight="1">
      <c r="A1080" s="1">
        <f>IFERROR(__xludf.DUMMYFUNCTION("""COMPUTED_VALUE"""),45464.66666666667)</f>
        <v>45464.66667</v>
      </c>
      <c r="B1080" s="2">
        <f>IFERROR(__xludf.DUMMYFUNCTION("""COMPUTED_VALUE"""),4280.0)</f>
        <v>4280</v>
      </c>
      <c r="C1080" s="2">
        <f>IFERROR(__xludf.DUMMYFUNCTION("""COMPUTED_VALUE"""),4490.0)</f>
        <v>4490</v>
      </c>
      <c r="D1080" s="2">
        <f>IFERROR(__xludf.DUMMYFUNCTION("""COMPUTED_VALUE"""),4260.0)</f>
        <v>4260</v>
      </c>
      <c r="E1080" s="2">
        <f>IFERROR(__xludf.DUMMYFUNCTION("""COMPUTED_VALUE"""),4440.0)</f>
        <v>4440</v>
      </c>
      <c r="F1080" s="2">
        <f>IFERROR(__xludf.DUMMYFUNCTION("""COMPUTED_VALUE"""),5.327133E8)</f>
        <v>532713300</v>
      </c>
      <c r="G1080" s="2">
        <f t="shared" si="1"/>
        <v>230</v>
      </c>
    </row>
    <row r="1081" ht="15.75" customHeight="1">
      <c r="A1081" s="1">
        <f>IFERROR(__xludf.DUMMYFUNCTION("""COMPUTED_VALUE"""),45467.66666666667)</f>
        <v>45467.66667</v>
      </c>
      <c r="B1081" s="2">
        <f>IFERROR(__xludf.DUMMYFUNCTION("""COMPUTED_VALUE"""),4440.0)</f>
        <v>4440</v>
      </c>
      <c r="C1081" s="2">
        <f>IFERROR(__xludf.DUMMYFUNCTION("""COMPUTED_VALUE"""),4510.0)</f>
        <v>4510</v>
      </c>
      <c r="D1081" s="2">
        <f>IFERROR(__xludf.DUMMYFUNCTION("""COMPUTED_VALUE"""),4400.0)</f>
        <v>4400</v>
      </c>
      <c r="E1081" s="2">
        <f>IFERROR(__xludf.DUMMYFUNCTION("""COMPUTED_VALUE"""),4400.0)</f>
        <v>4400</v>
      </c>
      <c r="F1081" s="2">
        <f>IFERROR(__xludf.DUMMYFUNCTION("""COMPUTED_VALUE"""),3.038308E8)</f>
        <v>303830800</v>
      </c>
      <c r="G1081" s="2">
        <f t="shared" si="1"/>
        <v>110</v>
      </c>
    </row>
    <row r="1082" ht="15.75" customHeight="1">
      <c r="A1082" s="1">
        <f>IFERROR(__xludf.DUMMYFUNCTION("""COMPUTED_VALUE"""),45468.66666666667)</f>
        <v>45468.66667</v>
      </c>
      <c r="B1082" s="2">
        <f>IFERROR(__xludf.DUMMYFUNCTION("""COMPUTED_VALUE"""),4320.0)</f>
        <v>4320</v>
      </c>
      <c r="C1082" s="2">
        <f>IFERROR(__xludf.DUMMYFUNCTION("""COMPUTED_VALUE"""),4400.0)</f>
        <v>4400</v>
      </c>
      <c r="D1082" s="2">
        <f>IFERROR(__xludf.DUMMYFUNCTION("""COMPUTED_VALUE"""),4280.0)</f>
        <v>4280</v>
      </c>
      <c r="E1082" s="2">
        <f>IFERROR(__xludf.DUMMYFUNCTION("""COMPUTED_VALUE"""),4380.0)</f>
        <v>4380</v>
      </c>
      <c r="F1082" s="2">
        <f>IFERROR(__xludf.DUMMYFUNCTION("""COMPUTED_VALUE"""),3.835725E8)</f>
        <v>383572500</v>
      </c>
      <c r="G1082" s="2">
        <f t="shared" si="1"/>
        <v>120</v>
      </c>
    </row>
    <row r="1083" ht="15.75" customHeight="1">
      <c r="A1083" s="1">
        <f>IFERROR(__xludf.DUMMYFUNCTION("""COMPUTED_VALUE"""),45469.66666666667)</f>
        <v>45469.66667</v>
      </c>
      <c r="B1083" s="2">
        <f>IFERROR(__xludf.DUMMYFUNCTION("""COMPUTED_VALUE"""),4390.0)</f>
        <v>4390</v>
      </c>
      <c r="C1083" s="2">
        <f>IFERROR(__xludf.DUMMYFUNCTION("""COMPUTED_VALUE"""),4430.0)</f>
        <v>4430</v>
      </c>
      <c r="D1083" s="2">
        <f>IFERROR(__xludf.DUMMYFUNCTION("""COMPUTED_VALUE"""),4350.0)</f>
        <v>4350</v>
      </c>
      <c r="E1083" s="2">
        <f>IFERROR(__xludf.DUMMYFUNCTION("""COMPUTED_VALUE"""),4370.0)</f>
        <v>4370</v>
      </c>
      <c r="F1083" s="2">
        <f>IFERROR(__xludf.DUMMYFUNCTION("""COMPUTED_VALUE"""),1.503034E8)</f>
        <v>150303400</v>
      </c>
      <c r="G1083" s="2">
        <f t="shared" si="1"/>
        <v>80</v>
      </c>
    </row>
    <row r="1084" ht="15.75" customHeight="1">
      <c r="A1084" s="1">
        <f>IFERROR(__xludf.DUMMYFUNCTION("""COMPUTED_VALUE"""),45470.66666666667)</f>
        <v>45470.66667</v>
      </c>
      <c r="B1084" s="2">
        <f>IFERROR(__xludf.DUMMYFUNCTION("""COMPUTED_VALUE"""),4410.0)</f>
        <v>4410</v>
      </c>
      <c r="C1084" s="2">
        <f>IFERROR(__xludf.DUMMYFUNCTION("""COMPUTED_VALUE"""),4500.0)</f>
        <v>4500</v>
      </c>
      <c r="D1084" s="2">
        <f>IFERROR(__xludf.DUMMYFUNCTION("""COMPUTED_VALUE"""),4380.0)</f>
        <v>4380</v>
      </c>
      <c r="E1084" s="2">
        <f>IFERROR(__xludf.DUMMYFUNCTION("""COMPUTED_VALUE"""),4460.0)</f>
        <v>4460</v>
      </c>
      <c r="F1084" s="2">
        <f>IFERROR(__xludf.DUMMYFUNCTION("""COMPUTED_VALUE"""),2.994306E8)</f>
        <v>299430600</v>
      </c>
      <c r="G1084" s="2">
        <f t="shared" si="1"/>
        <v>130</v>
      </c>
    </row>
    <row r="1085" ht="15.75" customHeight="1">
      <c r="A1085" s="1">
        <f>IFERROR(__xludf.DUMMYFUNCTION("""COMPUTED_VALUE"""),45471.66666666667)</f>
        <v>45471.66667</v>
      </c>
      <c r="B1085" s="2">
        <f>IFERROR(__xludf.DUMMYFUNCTION("""COMPUTED_VALUE"""),4590.0)</f>
        <v>4590</v>
      </c>
      <c r="C1085" s="2">
        <f>IFERROR(__xludf.DUMMYFUNCTION("""COMPUTED_VALUE"""),4640.0)</f>
        <v>4640</v>
      </c>
      <c r="D1085" s="2">
        <f>IFERROR(__xludf.DUMMYFUNCTION("""COMPUTED_VALUE"""),4580.0)</f>
        <v>4580</v>
      </c>
      <c r="E1085" s="2">
        <f>IFERROR(__xludf.DUMMYFUNCTION("""COMPUTED_VALUE"""),4600.0)</f>
        <v>4600</v>
      </c>
      <c r="F1085" s="2">
        <f>IFERROR(__xludf.DUMMYFUNCTION("""COMPUTED_VALUE"""),5.813193E8)</f>
        <v>581319300</v>
      </c>
      <c r="G1085" s="2">
        <f t="shared" si="1"/>
        <v>180</v>
      </c>
    </row>
    <row r="1086" ht="15.75" customHeight="1">
      <c r="A1086" s="1">
        <f>IFERROR(__xludf.DUMMYFUNCTION("""COMPUTED_VALUE"""),45474.66666666667)</f>
        <v>45474.66667</v>
      </c>
      <c r="B1086" s="2">
        <f>IFERROR(__xludf.DUMMYFUNCTION("""COMPUTED_VALUE"""),4630.0)</f>
        <v>4630</v>
      </c>
      <c r="C1086" s="2">
        <f>IFERROR(__xludf.DUMMYFUNCTION("""COMPUTED_VALUE"""),4670.0)</f>
        <v>4670</v>
      </c>
      <c r="D1086" s="2">
        <f>IFERROR(__xludf.DUMMYFUNCTION("""COMPUTED_VALUE"""),4560.0)</f>
        <v>4560</v>
      </c>
      <c r="E1086" s="2">
        <f>IFERROR(__xludf.DUMMYFUNCTION("""COMPUTED_VALUE"""),4630.0)</f>
        <v>4630</v>
      </c>
      <c r="F1086" s="2">
        <f>IFERROR(__xludf.DUMMYFUNCTION("""COMPUTED_VALUE"""),2.614212E8)</f>
        <v>261421200</v>
      </c>
      <c r="G1086" s="2">
        <f t="shared" si="1"/>
        <v>110</v>
      </c>
    </row>
    <row r="1087" ht="15.75" customHeight="1">
      <c r="A1087" s="1">
        <f>IFERROR(__xludf.DUMMYFUNCTION("""COMPUTED_VALUE"""),45475.66666666667)</f>
        <v>45475.66667</v>
      </c>
      <c r="B1087" s="2">
        <f>IFERROR(__xludf.DUMMYFUNCTION("""COMPUTED_VALUE"""),4610.0)</f>
        <v>4610</v>
      </c>
      <c r="C1087" s="2">
        <f>IFERROR(__xludf.DUMMYFUNCTION("""COMPUTED_VALUE"""),4630.0)</f>
        <v>4630</v>
      </c>
      <c r="D1087" s="2">
        <f>IFERROR(__xludf.DUMMYFUNCTION("""COMPUTED_VALUE"""),4570.0)</f>
        <v>4570</v>
      </c>
      <c r="E1087" s="2">
        <f>IFERROR(__xludf.DUMMYFUNCTION("""COMPUTED_VALUE"""),4570.0)</f>
        <v>4570</v>
      </c>
      <c r="F1087" s="2">
        <f>IFERROR(__xludf.DUMMYFUNCTION("""COMPUTED_VALUE"""),2.344031E8)</f>
        <v>234403100</v>
      </c>
      <c r="G1087" s="2">
        <f t="shared" si="1"/>
        <v>60</v>
      </c>
    </row>
    <row r="1088" ht="15.75" customHeight="1">
      <c r="A1088" s="1">
        <f>IFERROR(__xludf.DUMMYFUNCTION("""COMPUTED_VALUE"""),45476.66666666667)</f>
        <v>45476.66667</v>
      </c>
      <c r="B1088" s="2">
        <f>IFERROR(__xludf.DUMMYFUNCTION("""COMPUTED_VALUE"""),4630.0)</f>
        <v>4630</v>
      </c>
      <c r="C1088" s="2">
        <f>IFERROR(__xludf.DUMMYFUNCTION("""COMPUTED_VALUE"""),4640.0)</f>
        <v>4640</v>
      </c>
      <c r="D1088" s="2">
        <f>IFERROR(__xludf.DUMMYFUNCTION("""COMPUTED_VALUE"""),4560.0)</f>
        <v>4560</v>
      </c>
      <c r="E1088" s="2">
        <f>IFERROR(__xludf.DUMMYFUNCTION("""COMPUTED_VALUE"""),4600.0)</f>
        <v>4600</v>
      </c>
      <c r="F1088" s="2">
        <f>IFERROR(__xludf.DUMMYFUNCTION("""COMPUTED_VALUE"""),1.763104E8)</f>
        <v>176310400</v>
      </c>
      <c r="G1088" s="2">
        <f t="shared" si="1"/>
        <v>80</v>
      </c>
    </row>
    <row r="1089" ht="15.75" customHeight="1">
      <c r="A1089" s="1">
        <f>IFERROR(__xludf.DUMMYFUNCTION("""COMPUTED_VALUE"""),45477.66666666667)</f>
        <v>45477.66667</v>
      </c>
      <c r="B1089" s="2">
        <f>IFERROR(__xludf.DUMMYFUNCTION("""COMPUTED_VALUE"""),4680.0)</f>
        <v>4680</v>
      </c>
      <c r="C1089" s="2">
        <f>IFERROR(__xludf.DUMMYFUNCTION("""COMPUTED_VALUE"""),4830.0)</f>
        <v>4830</v>
      </c>
      <c r="D1089" s="2">
        <f>IFERROR(__xludf.DUMMYFUNCTION("""COMPUTED_VALUE"""),4660.0)</f>
        <v>4660</v>
      </c>
      <c r="E1089" s="2">
        <f>IFERROR(__xludf.DUMMYFUNCTION("""COMPUTED_VALUE"""),4790.0)</f>
        <v>4790</v>
      </c>
      <c r="F1089" s="2">
        <f>IFERROR(__xludf.DUMMYFUNCTION("""COMPUTED_VALUE"""),4.222615E8)</f>
        <v>422261500</v>
      </c>
      <c r="G1089" s="2">
        <f t="shared" si="1"/>
        <v>230</v>
      </c>
    </row>
    <row r="1090" ht="15.75" customHeight="1">
      <c r="A1090" s="1">
        <f>IFERROR(__xludf.DUMMYFUNCTION("""COMPUTED_VALUE"""),45478.66666666667)</f>
        <v>45478.66667</v>
      </c>
      <c r="B1090" s="2">
        <f>IFERROR(__xludf.DUMMYFUNCTION("""COMPUTED_VALUE"""),4850.0)</f>
        <v>4850</v>
      </c>
      <c r="C1090" s="2">
        <f>IFERROR(__xludf.DUMMYFUNCTION("""COMPUTED_VALUE"""),4870.0)</f>
        <v>4870</v>
      </c>
      <c r="D1090" s="2">
        <f>IFERROR(__xludf.DUMMYFUNCTION("""COMPUTED_VALUE"""),4790.0)</f>
        <v>4790</v>
      </c>
      <c r="E1090" s="2">
        <f>IFERROR(__xludf.DUMMYFUNCTION("""COMPUTED_VALUE"""),4800.0)</f>
        <v>4800</v>
      </c>
      <c r="F1090" s="2">
        <f>IFERROR(__xludf.DUMMYFUNCTION("""COMPUTED_VALUE"""),2.18278E8)</f>
        <v>218278000</v>
      </c>
      <c r="G1090" s="2">
        <f t="shared" si="1"/>
        <v>80</v>
      </c>
    </row>
    <row r="1091" ht="15.75" customHeight="1">
      <c r="A1091" s="1">
        <f>IFERROR(__xludf.DUMMYFUNCTION("""COMPUTED_VALUE"""),45481.66666666667)</f>
        <v>45481.66667</v>
      </c>
      <c r="B1091" s="2">
        <f>IFERROR(__xludf.DUMMYFUNCTION("""COMPUTED_VALUE"""),4800.0)</f>
        <v>4800</v>
      </c>
      <c r="C1091" s="2">
        <f>IFERROR(__xludf.DUMMYFUNCTION("""COMPUTED_VALUE"""),4830.0)</f>
        <v>4830</v>
      </c>
      <c r="D1091" s="2">
        <f>IFERROR(__xludf.DUMMYFUNCTION("""COMPUTED_VALUE"""),4740.0)</f>
        <v>4740</v>
      </c>
      <c r="E1091" s="2">
        <f>IFERROR(__xludf.DUMMYFUNCTION("""COMPUTED_VALUE"""),4750.0)</f>
        <v>4750</v>
      </c>
      <c r="F1091" s="2">
        <f>IFERROR(__xludf.DUMMYFUNCTION("""COMPUTED_VALUE"""),2.220421E8)</f>
        <v>222042100</v>
      </c>
      <c r="G1091" s="2">
        <f t="shared" si="1"/>
        <v>90</v>
      </c>
    </row>
    <row r="1092" ht="15.75" customHeight="1">
      <c r="A1092" s="1">
        <f>IFERROR(__xludf.DUMMYFUNCTION("""COMPUTED_VALUE"""),45482.66666666667)</f>
        <v>45482.66667</v>
      </c>
      <c r="B1092" s="2">
        <f>IFERROR(__xludf.DUMMYFUNCTION("""COMPUTED_VALUE"""),4780.0)</f>
        <v>4780</v>
      </c>
      <c r="C1092" s="2">
        <f>IFERROR(__xludf.DUMMYFUNCTION("""COMPUTED_VALUE"""),4930.0)</f>
        <v>4930</v>
      </c>
      <c r="D1092" s="2">
        <f>IFERROR(__xludf.DUMMYFUNCTION("""COMPUTED_VALUE"""),4750.0)</f>
        <v>4750</v>
      </c>
      <c r="E1092" s="2">
        <f>IFERROR(__xludf.DUMMYFUNCTION("""COMPUTED_VALUE"""),4870.0)</f>
        <v>4870</v>
      </c>
      <c r="F1092" s="2">
        <f>IFERROR(__xludf.DUMMYFUNCTION("""COMPUTED_VALUE"""),2.913204E8)</f>
        <v>291320400</v>
      </c>
      <c r="G1092" s="2">
        <f t="shared" si="1"/>
        <v>180</v>
      </c>
    </row>
    <row r="1093" ht="15.75" customHeight="1">
      <c r="A1093" s="1">
        <f>IFERROR(__xludf.DUMMYFUNCTION("""COMPUTED_VALUE"""),45483.66666666667)</f>
        <v>45483.66667</v>
      </c>
      <c r="B1093" s="2">
        <f>IFERROR(__xludf.DUMMYFUNCTION("""COMPUTED_VALUE"""),4870.0)</f>
        <v>4870</v>
      </c>
      <c r="C1093" s="2">
        <f>IFERROR(__xludf.DUMMYFUNCTION("""COMPUTED_VALUE"""),4920.0)</f>
        <v>4920</v>
      </c>
      <c r="D1093" s="2">
        <f>IFERROR(__xludf.DUMMYFUNCTION("""COMPUTED_VALUE"""),4840.0)</f>
        <v>4840</v>
      </c>
      <c r="E1093" s="2">
        <f>IFERROR(__xludf.DUMMYFUNCTION("""COMPUTED_VALUE"""),4850.0)</f>
        <v>4850</v>
      </c>
      <c r="F1093" s="2">
        <f>IFERROR(__xludf.DUMMYFUNCTION("""COMPUTED_VALUE"""),1.676197E8)</f>
        <v>167619700</v>
      </c>
      <c r="G1093" s="2">
        <f t="shared" si="1"/>
        <v>80</v>
      </c>
    </row>
    <row r="1094" ht="15.75" customHeight="1">
      <c r="A1094" s="1">
        <f>IFERROR(__xludf.DUMMYFUNCTION("""COMPUTED_VALUE"""),45484.66666666667)</f>
        <v>45484.66667</v>
      </c>
      <c r="B1094" s="2">
        <f>IFERROR(__xludf.DUMMYFUNCTION("""COMPUTED_VALUE"""),4910.0)</f>
        <v>4910</v>
      </c>
      <c r="C1094" s="2">
        <f>IFERROR(__xludf.DUMMYFUNCTION("""COMPUTED_VALUE"""),4920.0)</f>
        <v>4920</v>
      </c>
      <c r="D1094" s="2">
        <f>IFERROR(__xludf.DUMMYFUNCTION("""COMPUTED_VALUE"""),4840.0)</f>
        <v>4840</v>
      </c>
      <c r="E1094" s="2">
        <f>IFERROR(__xludf.DUMMYFUNCTION("""COMPUTED_VALUE"""),4840.0)</f>
        <v>4840</v>
      </c>
      <c r="F1094" s="2">
        <f>IFERROR(__xludf.DUMMYFUNCTION("""COMPUTED_VALUE"""),1.704613E8)</f>
        <v>170461300</v>
      </c>
      <c r="G1094" s="2">
        <f t="shared" si="1"/>
        <v>80</v>
      </c>
    </row>
    <row r="1095" ht="15.75" customHeight="1">
      <c r="A1095" s="1">
        <f>IFERROR(__xludf.DUMMYFUNCTION("""COMPUTED_VALUE"""),45485.66666666667)</f>
        <v>45485.66667</v>
      </c>
      <c r="B1095" s="2">
        <f>IFERROR(__xludf.DUMMYFUNCTION("""COMPUTED_VALUE"""),4970.0)</f>
        <v>4970</v>
      </c>
      <c r="C1095" s="2">
        <f>IFERROR(__xludf.DUMMYFUNCTION("""COMPUTED_VALUE"""),4980.0)</f>
        <v>4980</v>
      </c>
      <c r="D1095" s="2">
        <f>IFERROR(__xludf.DUMMYFUNCTION("""COMPUTED_VALUE"""),4880.0)</f>
        <v>4880</v>
      </c>
      <c r="E1095" s="2">
        <f>IFERROR(__xludf.DUMMYFUNCTION("""COMPUTED_VALUE"""),4900.0)</f>
        <v>4900</v>
      </c>
      <c r="F1095" s="2">
        <f>IFERROR(__xludf.DUMMYFUNCTION("""COMPUTED_VALUE"""),3.011254E8)</f>
        <v>301125400</v>
      </c>
      <c r="G1095" s="2">
        <f t="shared" si="1"/>
        <v>140</v>
      </c>
    </row>
    <row r="1096" ht="15.75" customHeight="1">
      <c r="A1096" s="1">
        <f>IFERROR(__xludf.DUMMYFUNCTION("""COMPUTED_VALUE"""),45488.66666666667)</f>
        <v>45488.66667</v>
      </c>
      <c r="B1096" s="2">
        <f>IFERROR(__xludf.DUMMYFUNCTION("""COMPUTED_VALUE"""),4920.0)</f>
        <v>4920</v>
      </c>
      <c r="C1096" s="2">
        <f>IFERROR(__xludf.DUMMYFUNCTION("""COMPUTED_VALUE"""),4930.0)</f>
        <v>4930</v>
      </c>
      <c r="D1096" s="2">
        <f>IFERROR(__xludf.DUMMYFUNCTION("""COMPUTED_VALUE"""),4810.0)</f>
        <v>4810</v>
      </c>
      <c r="E1096" s="2">
        <f>IFERROR(__xludf.DUMMYFUNCTION("""COMPUTED_VALUE"""),4820.0)</f>
        <v>4820</v>
      </c>
      <c r="F1096" s="2">
        <f>IFERROR(__xludf.DUMMYFUNCTION("""COMPUTED_VALUE"""),1.88713E8)</f>
        <v>188713000</v>
      </c>
      <c r="G1096" s="2">
        <f t="shared" si="1"/>
        <v>120</v>
      </c>
    </row>
    <row r="1097" ht="15.75" customHeight="1">
      <c r="A1097" s="1">
        <f>IFERROR(__xludf.DUMMYFUNCTION("""COMPUTED_VALUE"""),45489.66666666667)</f>
        <v>45489.66667</v>
      </c>
      <c r="B1097" s="2">
        <f>IFERROR(__xludf.DUMMYFUNCTION("""COMPUTED_VALUE"""),4820.0)</f>
        <v>4820</v>
      </c>
      <c r="C1097" s="2">
        <f>IFERROR(__xludf.DUMMYFUNCTION("""COMPUTED_VALUE"""),4840.0)</f>
        <v>4840</v>
      </c>
      <c r="D1097" s="2">
        <f>IFERROR(__xludf.DUMMYFUNCTION("""COMPUTED_VALUE"""),4730.0)</f>
        <v>4730</v>
      </c>
      <c r="E1097" s="2">
        <f>IFERROR(__xludf.DUMMYFUNCTION("""COMPUTED_VALUE"""),4730.0)</f>
        <v>4730</v>
      </c>
      <c r="F1097" s="2">
        <f>IFERROR(__xludf.DUMMYFUNCTION("""COMPUTED_VALUE"""),1.892714E8)</f>
        <v>189271400</v>
      </c>
      <c r="G1097" s="2">
        <f t="shared" si="1"/>
        <v>110</v>
      </c>
    </row>
    <row r="1098" ht="15.75" customHeight="1">
      <c r="A1098" s="1">
        <f>IFERROR(__xludf.DUMMYFUNCTION("""COMPUTED_VALUE"""),45490.66666666667)</f>
        <v>45490.66667</v>
      </c>
      <c r="B1098" s="2">
        <f>IFERROR(__xludf.DUMMYFUNCTION("""COMPUTED_VALUE"""),4750.0)</f>
        <v>4750</v>
      </c>
      <c r="C1098" s="2">
        <f>IFERROR(__xludf.DUMMYFUNCTION("""COMPUTED_VALUE"""),4810.0)</f>
        <v>4810</v>
      </c>
      <c r="D1098" s="2">
        <f>IFERROR(__xludf.DUMMYFUNCTION("""COMPUTED_VALUE"""),4720.0)</f>
        <v>4720</v>
      </c>
      <c r="E1098" s="2">
        <f>IFERROR(__xludf.DUMMYFUNCTION("""COMPUTED_VALUE"""),4760.0)</f>
        <v>4760</v>
      </c>
      <c r="F1098" s="2">
        <f>IFERROR(__xludf.DUMMYFUNCTION("""COMPUTED_VALUE"""),2.633254E8)</f>
        <v>263325400</v>
      </c>
      <c r="G1098" s="2">
        <f t="shared" si="1"/>
        <v>90</v>
      </c>
    </row>
    <row r="1099" ht="15.75" customHeight="1">
      <c r="A1099" s="1">
        <f>IFERROR(__xludf.DUMMYFUNCTION("""COMPUTED_VALUE"""),45491.66666666667)</f>
        <v>45491.66667</v>
      </c>
      <c r="B1099" s="2">
        <f>IFERROR(__xludf.DUMMYFUNCTION("""COMPUTED_VALUE"""),4760.0)</f>
        <v>4760</v>
      </c>
      <c r="C1099" s="2">
        <f>IFERROR(__xludf.DUMMYFUNCTION("""COMPUTED_VALUE"""),4890.0)</f>
        <v>4890</v>
      </c>
      <c r="D1099" s="2">
        <f>IFERROR(__xludf.DUMMYFUNCTION("""COMPUTED_VALUE"""),4750.0)</f>
        <v>4750</v>
      </c>
      <c r="E1099" s="2">
        <f>IFERROR(__xludf.DUMMYFUNCTION("""COMPUTED_VALUE"""),4890.0)</f>
        <v>4890</v>
      </c>
      <c r="F1099" s="2">
        <f>IFERROR(__xludf.DUMMYFUNCTION("""COMPUTED_VALUE"""),2.966149E8)</f>
        <v>296614900</v>
      </c>
      <c r="G1099" s="2">
        <f t="shared" si="1"/>
        <v>140</v>
      </c>
    </row>
    <row r="1100" ht="15.75" customHeight="1">
      <c r="A1100" s="1">
        <f>IFERROR(__xludf.DUMMYFUNCTION("""COMPUTED_VALUE"""),45492.66666666667)</f>
        <v>45492.66667</v>
      </c>
      <c r="B1100" s="2">
        <f>IFERROR(__xludf.DUMMYFUNCTION("""COMPUTED_VALUE"""),4870.0)</f>
        <v>4870</v>
      </c>
      <c r="C1100" s="2">
        <f>IFERROR(__xludf.DUMMYFUNCTION("""COMPUTED_VALUE"""),4910.0)</f>
        <v>4910</v>
      </c>
      <c r="D1100" s="2">
        <f>IFERROR(__xludf.DUMMYFUNCTION("""COMPUTED_VALUE"""),4850.0)</f>
        <v>4850</v>
      </c>
      <c r="E1100" s="2">
        <f>IFERROR(__xludf.DUMMYFUNCTION("""COMPUTED_VALUE"""),4900.0)</f>
        <v>4900</v>
      </c>
      <c r="F1100" s="2">
        <f>IFERROR(__xludf.DUMMYFUNCTION("""COMPUTED_VALUE"""),1.351048E8)</f>
        <v>135104800</v>
      </c>
      <c r="G1100" s="2">
        <f t="shared" si="1"/>
        <v>60</v>
      </c>
    </row>
    <row r="1101" ht="15.75" customHeight="1">
      <c r="A1101" s="1">
        <f>IFERROR(__xludf.DUMMYFUNCTION("""COMPUTED_VALUE"""),45495.66666666667)</f>
        <v>45495.66667</v>
      </c>
      <c r="B1101" s="2">
        <f>IFERROR(__xludf.DUMMYFUNCTION("""COMPUTED_VALUE"""),4920.0)</f>
        <v>4920</v>
      </c>
      <c r="C1101" s="2">
        <f>IFERROR(__xludf.DUMMYFUNCTION("""COMPUTED_VALUE"""),4940.0)</f>
        <v>4940</v>
      </c>
      <c r="D1101" s="2">
        <f>IFERROR(__xludf.DUMMYFUNCTION("""COMPUTED_VALUE"""),4880.0)</f>
        <v>4880</v>
      </c>
      <c r="E1101" s="2">
        <f>IFERROR(__xludf.DUMMYFUNCTION("""COMPUTED_VALUE"""),4910.0)</f>
        <v>4910</v>
      </c>
      <c r="F1101" s="2">
        <f>IFERROR(__xludf.DUMMYFUNCTION("""COMPUTED_VALUE"""),1.401283E8)</f>
        <v>140128300</v>
      </c>
      <c r="G1101" s="2">
        <f t="shared" si="1"/>
        <v>60</v>
      </c>
    </row>
    <row r="1102" ht="15.75" customHeight="1">
      <c r="A1102" s="1">
        <f>IFERROR(__xludf.DUMMYFUNCTION("""COMPUTED_VALUE"""),45496.66666666667)</f>
        <v>45496.66667</v>
      </c>
      <c r="B1102" s="2">
        <f>IFERROR(__xludf.DUMMYFUNCTION("""COMPUTED_VALUE"""),4900.0)</f>
        <v>4900</v>
      </c>
      <c r="C1102" s="2">
        <f>IFERROR(__xludf.DUMMYFUNCTION("""COMPUTED_VALUE"""),4910.0)</f>
        <v>4910</v>
      </c>
      <c r="D1102" s="2">
        <f>IFERROR(__xludf.DUMMYFUNCTION("""COMPUTED_VALUE"""),4780.0)</f>
        <v>4780</v>
      </c>
      <c r="E1102" s="2">
        <f>IFERROR(__xludf.DUMMYFUNCTION("""COMPUTED_VALUE"""),4790.0)</f>
        <v>4790</v>
      </c>
      <c r="F1102" s="2">
        <f>IFERROR(__xludf.DUMMYFUNCTION("""COMPUTED_VALUE"""),1.709195E8)</f>
        <v>170919500</v>
      </c>
      <c r="G1102" s="2">
        <f t="shared" si="1"/>
        <v>130</v>
      </c>
    </row>
    <row r="1103" ht="15.75" customHeight="1">
      <c r="A1103" s="1">
        <f>IFERROR(__xludf.DUMMYFUNCTION("""COMPUTED_VALUE"""),45497.66666666667)</f>
        <v>45497.66667</v>
      </c>
      <c r="B1103" s="2">
        <f>IFERROR(__xludf.DUMMYFUNCTION("""COMPUTED_VALUE"""),4770.0)</f>
        <v>4770</v>
      </c>
      <c r="C1103" s="2">
        <f>IFERROR(__xludf.DUMMYFUNCTION("""COMPUTED_VALUE"""),4800.0)</f>
        <v>4800</v>
      </c>
      <c r="D1103" s="2">
        <f>IFERROR(__xludf.DUMMYFUNCTION("""COMPUTED_VALUE"""),4760.0)</f>
        <v>4760</v>
      </c>
      <c r="E1103" s="2">
        <f>IFERROR(__xludf.DUMMYFUNCTION("""COMPUTED_VALUE"""),4780.0)</f>
        <v>4780</v>
      </c>
      <c r="F1103" s="2">
        <f>IFERROR(__xludf.DUMMYFUNCTION("""COMPUTED_VALUE"""),1.160376E8)</f>
        <v>116037600</v>
      </c>
      <c r="G1103" s="2">
        <f t="shared" si="1"/>
        <v>40</v>
      </c>
    </row>
    <row r="1104" ht="15.75" customHeight="1">
      <c r="A1104" s="1">
        <f>IFERROR(__xludf.DUMMYFUNCTION("""COMPUTED_VALUE"""),45498.66666666667)</f>
        <v>45498.66667</v>
      </c>
      <c r="B1104" s="2">
        <f>IFERROR(__xludf.DUMMYFUNCTION("""COMPUTED_VALUE"""),4760.0)</f>
        <v>4760</v>
      </c>
      <c r="C1104" s="2">
        <f>IFERROR(__xludf.DUMMYFUNCTION("""COMPUTED_VALUE"""),4760.0)</f>
        <v>4760</v>
      </c>
      <c r="D1104" s="2">
        <f>IFERROR(__xludf.DUMMYFUNCTION("""COMPUTED_VALUE"""),4660.0)</f>
        <v>4660</v>
      </c>
      <c r="E1104" s="2">
        <f>IFERROR(__xludf.DUMMYFUNCTION("""COMPUTED_VALUE"""),4700.0)</f>
        <v>4700</v>
      </c>
      <c r="F1104" s="2">
        <f>IFERROR(__xludf.DUMMYFUNCTION("""COMPUTED_VALUE"""),2.743977E8)</f>
        <v>274397700</v>
      </c>
      <c r="G1104" s="2">
        <f t="shared" si="1"/>
        <v>120</v>
      </c>
    </row>
    <row r="1105" ht="15.75" customHeight="1">
      <c r="A1105" s="1">
        <f>IFERROR(__xludf.DUMMYFUNCTION("""COMPUTED_VALUE"""),45499.66666666667)</f>
        <v>45499.66667</v>
      </c>
      <c r="B1105" s="2">
        <f>IFERROR(__xludf.DUMMYFUNCTION("""COMPUTED_VALUE"""),4760.0)</f>
        <v>4760</v>
      </c>
      <c r="C1105" s="2">
        <f>IFERROR(__xludf.DUMMYFUNCTION("""COMPUTED_VALUE"""),4810.0)</f>
        <v>4810</v>
      </c>
      <c r="D1105" s="2">
        <f>IFERROR(__xludf.DUMMYFUNCTION("""COMPUTED_VALUE"""),4740.0)</f>
        <v>4740</v>
      </c>
      <c r="E1105" s="2">
        <f>IFERROR(__xludf.DUMMYFUNCTION("""COMPUTED_VALUE"""),4760.0)</f>
        <v>4760</v>
      </c>
      <c r="F1105" s="2">
        <f>IFERROR(__xludf.DUMMYFUNCTION("""COMPUTED_VALUE"""),1.922673E8)</f>
        <v>192267300</v>
      </c>
      <c r="G1105" s="2">
        <f t="shared" si="1"/>
        <v>110</v>
      </c>
    </row>
    <row r="1106" ht="15.75" customHeight="1">
      <c r="A1106" s="1">
        <f>IFERROR(__xludf.DUMMYFUNCTION("""COMPUTED_VALUE"""),45502.66666666667)</f>
        <v>45502.66667</v>
      </c>
      <c r="B1106" s="2">
        <f>IFERROR(__xludf.DUMMYFUNCTION("""COMPUTED_VALUE"""),4800.0)</f>
        <v>4800</v>
      </c>
      <c r="C1106" s="2">
        <f>IFERROR(__xludf.DUMMYFUNCTION("""COMPUTED_VALUE"""),4800.0)</f>
        <v>4800</v>
      </c>
      <c r="D1106" s="2">
        <f>IFERROR(__xludf.DUMMYFUNCTION("""COMPUTED_VALUE"""),4760.0)</f>
        <v>4760</v>
      </c>
      <c r="E1106" s="2">
        <f>IFERROR(__xludf.DUMMYFUNCTION("""COMPUTED_VALUE"""),4780.0)</f>
        <v>4780</v>
      </c>
      <c r="F1106" s="2">
        <f>IFERROR(__xludf.DUMMYFUNCTION("""COMPUTED_VALUE"""),1.261099E8)</f>
        <v>126109900</v>
      </c>
      <c r="G1106" s="2">
        <f t="shared" si="1"/>
        <v>40</v>
      </c>
    </row>
    <row r="1107" ht="15.75" customHeight="1">
      <c r="A1107" s="1">
        <f>IFERROR(__xludf.DUMMYFUNCTION("""COMPUTED_VALUE"""),45503.66666666667)</f>
        <v>45503.66667</v>
      </c>
      <c r="B1107" s="2">
        <f>IFERROR(__xludf.DUMMYFUNCTION("""COMPUTED_VALUE"""),4720.0)</f>
        <v>4720</v>
      </c>
      <c r="C1107" s="2">
        <f>IFERROR(__xludf.DUMMYFUNCTION("""COMPUTED_VALUE"""),4740.0)</f>
        <v>4740</v>
      </c>
      <c r="D1107" s="2">
        <f>IFERROR(__xludf.DUMMYFUNCTION("""COMPUTED_VALUE"""),4670.0)</f>
        <v>4670</v>
      </c>
      <c r="E1107" s="2">
        <f>IFERROR(__xludf.DUMMYFUNCTION("""COMPUTED_VALUE"""),4670.0)</f>
        <v>4670</v>
      </c>
      <c r="F1107" s="2">
        <f>IFERROR(__xludf.DUMMYFUNCTION("""COMPUTED_VALUE"""),2.018357E8)</f>
        <v>201835700</v>
      </c>
      <c r="G1107" s="2">
        <f t="shared" si="1"/>
        <v>110</v>
      </c>
    </row>
    <row r="1108" ht="15.75" customHeight="1">
      <c r="A1108" s="1">
        <f>IFERROR(__xludf.DUMMYFUNCTION("""COMPUTED_VALUE"""),45504.66666666667)</f>
        <v>45504.66667</v>
      </c>
      <c r="B1108" s="2">
        <f>IFERROR(__xludf.DUMMYFUNCTION("""COMPUTED_VALUE"""),4650.0)</f>
        <v>4650</v>
      </c>
      <c r="C1108" s="2">
        <f>IFERROR(__xludf.DUMMYFUNCTION("""COMPUTED_VALUE"""),4710.0)</f>
        <v>4710</v>
      </c>
      <c r="D1108" s="2">
        <f>IFERROR(__xludf.DUMMYFUNCTION("""COMPUTED_VALUE"""),4650.0)</f>
        <v>4650</v>
      </c>
      <c r="E1108" s="2">
        <f>IFERROR(__xludf.DUMMYFUNCTION("""COMPUTED_VALUE"""),4670.0)</f>
        <v>4670</v>
      </c>
      <c r="F1108" s="2">
        <f>IFERROR(__xludf.DUMMYFUNCTION("""COMPUTED_VALUE"""),1.684903E8)</f>
        <v>168490300</v>
      </c>
      <c r="G1108" s="2">
        <f t="shared" si="1"/>
        <v>60</v>
      </c>
    </row>
    <row r="1109" ht="15.75" customHeight="1">
      <c r="A1109" s="1">
        <f>IFERROR(__xludf.DUMMYFUNCTION("""COMPUTED_VALUE"""),45505.66666666667)</f>
        <v>45505.66667</v>
      </c>
      <c r="B1109" s="2">
        <f>IFERROR(__xludf.DUMMYFUNCTION("""COMPUTED_VALUE"""),4710.0)</f>
        <v>4710</v>
      </c>
      <c r="C1109" s="2">
        <f>IFERROR(__xludf.DUMMYFUNCTION("""COMPUTED_VALUE"""),4750.0)</f>
        <v>4750</v>
      </c>
      <c r="D1109" s="2">
        <f>IFERROR(__xludf.DUMMYFUNCTION("""COMPUTED_VALUE"""),4690.0)</f>
        <v>4690</v>
      </c>
      <c r="E1109" s="2">
        <f>IFERROR(__xludf.DUMMYFUNCTION("""COMPUTED_VALUE"""),4750.0)</f>
        <v>4750</v>
      </c>
      <c r="F1109" s="2">
        <f>IFERROR(__xludf.DUMMYFUNCTION("""COMPUTED_VALUE"""),1.696367E8)</f>
        <v>169636700</v>
      </c>
      <c r="G1109" s="2">
        <f t="shared" si="1"/>
        <v>80</v>
      </c>
    </row>
    <row r="1110" ht="15.75" customHeight="1">
      <c r="A1110" s="1">
        <f>IFERROR(__xludf.DUMMYFUNCTION("""COMPUTED_VALUE"""),45506.66666666667)</f>
        <v>45506.66667</v>
      </c>
      <c r="B1110" s="2">
        <f>IFERROR(__xludf.DUMMYFUNCTION("""COMPUTED_VALUE"""),4730.0)</f>
        <v>4730</v>
      </c>
      <c r="C1110" s="2">
        <f>IFERROR(__xludf.DUMMYFUNCTION("""COMPUTED_VALUE"""),4750.0)</f>
        <v>4750</v>
      </c>
      <c r="D1110" s="2">
        <f>IFERROR(__xludf.DUMMYFUNCTION("""COMPUTED_VALUE"""),4690.0)</f>
        <v>4690</v>
      </c>
      <c r="E1110" s="2">
        <f>IFERROR(__xludf.DUMMYFUNCTION("""COMPUTED_VALUE"""),4710.0)</f>
        <v>4710</v>
      </c>
      <c r="F1110" s="2">
        <f>IFERROR(__xludf.DUMMYFUNCTION("""COMPUTED_VALUE"""),1.133284E8)</f>
        <v>113328400</v>
      </c>
      <c r="G1110" s="2">
        <f t="shared" si="1"/>
        <v>60</v>
      </c>
    </row>
    <row r="1111" ht="15.75" customHeight="1">
      <c r="A1111" s="1">
        <f>IFERROR(__xludf.DUMMYFUNCTION("""COMPUTED_VALUE"""),45509.66666666667)</f>
        <v>45509.66667</v>
      </c>
      <c r="B1111" s="2">
        <f>IFERROR(__xludf.DUMMYFUNCTION("""COMPUTED_VALUE"""),4660.0)</f>
        <v>4660</v>
      </c>
      <c r="C1111" s="2">
        <f>IFERROR(__xludf.DUMMYFUNCTION("""COMPUTED_VALUE"""),4670.0)</f>
        <v>4670</v>
      </c>
      <c r="D1111" s="2">
        <f>IFERROR(__xludf.DUMMYFUNCTION("""COMPUTED_VALUE"""),4510.0)</f>
        <v>4510</v>
      </c>
      <c r="E1111" s="2">
        <f>IFERROR(__xludf.DUMMYFUNCTION("""COMPUTED_VALUE"""),4530.0)</f>
        <v>4530</v>
      </c>
      <c r="F1111" s="2">
        <f>IFERROR(__xludf.DUMMYFUNCTION("""COMPUTED_VALUE"""),3.294309E8)</f>
        <v>329430900</v>
      </c>
      <c r="G1111" s="2">
        <f t="shared" si="1"/>
        <v>200</v>
      </c>
    </row>
    <row r="1112" ht="15.75" customHeight="1">
      <c r="A1112" s="1">
        <f>IFERROR(__xludf.DUMMYFUNCTION("""COMPUTED_VALUE"""),45510.66666666667)</f>
        <v>45510.66667</v>
      </c>
      <c r="B1112" s="2">
        <f>IFERROR(__xludf.DUMMYFUNCTION("""COMPUTED_VALUE"""),4550.0)</f>
        <v>4550</v>
      </c>
      <c r="C1112" s="2">
        <f>IFERROR(__xludf.DUMMYFUNCTION("""COMPUTED_VALUE"""),4650.0)</f>
        <v>4650</v>
      </c>
      <c r="D1112" s="2">
        <f>IFERROR(__xludf.DUMMYFUNCTION("""COMPUTED_VALUE"""),4520.0)</f>
        <v>4520</v>
      </c>
      <c r="E1112" s="2">
        <f>IFERROR(__xludf.DUMMYFUNCTION("""COMPUTED_VALUE"""),4600.0)</f>
        <v>4600</v>
      </c>
      <c r="F1112" s="2">
        <f>IFERROR(__xludf.DUMMYFUNCTION("""COMPUTED_VALUE"""),2.380518E8)</f>
        <v>238051800</v>
      </c>
      <c r="G1112" s="2">
        <f t="shared" si="1"/>
        <v>130</v>
      </c>
    </row>
    <row r="1113" ht="15.75" customHeight="1">
      <c r="A1113" s="1">
        <f>IFERROR(__xludf.DUMMYFUNCTION("""COMPUTED_VALUE"""),45511.66666666667)</f>
        <v>45511.66667</v>
      </c>
      <c r="B1113" s="2">
        <f>IFERROR(__xludf.DUMMYFUNCTION("""COMPUTED_VALUE"""),4640.0)</f>
        <v>4640</v>
      </c>
      <c r="C1113" s="2">
        <f>IFERROR(__xludf.DUMMYFUNCTION("""COMPUTED_VALUE"""),4640.0)</f>
        <v>4640</v>
      </c>
      <c r="D1113" s="2">
        <f>IFERROR(__xludf.DUMMYFUNCTION("""COMPUTED_VALUE"""),4590.0)</f>
        <v>4590</v>
      </c>
      <c r="E1113" s="2">
        <f>IFERROR(__xludf.DUMMYFUNCTION("""COMPUTED_VALUE"""),4620.0)</f>
        <v>4620</v>
      </c>
      <c r="F1113" s="2">
        <f>IFERROR(__xludf.DUMMYFUNCTION("""COMPUTED_VALUE"""),1.259841E8)</f>
        <v>125984100</v>
      </c>
      <c r="G1113" s="2">
        <f t="shared" si="1"/>
        <v>50</v>
      </c>
    </row>
    <row r="1114" ht="15.75" customHeight="1">
      <c r="A1114" s="1">
        <f>IFERROR(__xludf.DUMMYFUNCTION("""COMPUTED_VALUE"""),45512.66666666667)</f>
        <v>45512.66667</v>
      </c>
      <c r="B1114" s="2">
        <f>IFERROR(__xludf.DUMMYFUNCTION("""COMPUTED_VALUE"""),4600.0)</f>
        <v>4600</v>
      </c>
      <c r="C1114" s="2">
        <f>IFERROR(__xludf.DUMMYFUNCTION("""COMPUTED_VALUE"""),4690.0)</f>
        <v>4690</v>
      </c>
      <c r="D1114" s="2">
        <f>IFERROR(__xludf.DUMMYFUNCTION("""COMPUTED_VALUE"""),4590.0)</f>
        <v>4590</v>
      </c>
      <c r="E1114" s="2">
        <f>IFERROR(__xludf.DUMMYFUNCTION("""COMPUTED_VALUE"""),4660.0)</f>
        <v>4660</v>
      </c>
      <c r="F1114" s="2">
        <f>IFERROR(__xludf.DUMMYFUNCTION("""COMPUTED_VALUE"""),1.313434E8)</f>
        <v>131343400</v>
      </c>
      <c r="G1114" s="2">
        <f t="shared" si="1"/>
        <v>100</v>
      </c>
    </row>
    <row r="1115" ht="15.75" customHeight="1">
      <c r="A1115" s="1">
        <f>IFERROR(__xludf.DUMMYFUNCTION("""COMPUTED_VALUE"""),45513.66666666667)</f>
        <v>45513.66667</v>
      </c>
      <c r="B1115" s="2">
        <f>IFERROR(__xludf.DUMMYFUNCTION("""COMPUTED_VALUE"""),4700.0)</f>
        <v>4700</v>
      </c>
      <c r="C1115" s="2">
        <f>IFERROR(__xludf.DUMMYFUNCTION("""COMPUTED_VALUE"""),4730.0)</f>
        <v>4730</v>
      </c>
      <c r="D1115" s="2">
        <f>IFERROR(__xludf.DUMMYFUNCTION("""COMPUTED_VALUE"""),4670.0)</f>
        <v>4670</v>
      </c>
      <c r="E1115" s="2">
        <f>IFERROR(__xludf.DUMMYFUNCTION("""COMPUTED_VALUE"""),4670.0)</f>
        <v>4670</v>
      </c>
      <c r="F1115" s="2">
        <f>IFERROR(__xludf.DUMMYFUNCTION("""COMPUTED_VALUE"""),9.87309E7)</f>
        <v>98730900</v>
      </c>
      <c r="G1115" s="2">
        <f t="shared" si="1"/>
        <v>70</v>
      </c>
    </row>
    <row r="1116" ht="15.75" customHeight="1">
      <c r="A1116" s="1">
        <f>IFERROR(__xludf.DUMMYFUNCTION("""COMPUTED_VALUE"""),45516.66666666667)</f>
        <v>45516.66667</v>
      </c>
      <c r="B1116" s="2">
        <f>IFERROR(__xludf.DUMMYFUNCTION("""COMPUTED_VALUE"""),4720.0)</f>
        <v>4720</v>
      </c>
      <c r="C1116" s="2">
        <f>IFERROR(__xludf.DUMMYFUNCTION("""COMPUTED_VALUE"""),4720.0)</f>
        <v>4720</v>
      </c>
      <c r="D1116" s="2">
        <f>IFERROR(__xludf.DUMMYFUNCTION("""COMPUTED_VALUE"""),4650.0)</f>
        <v>4650</v>
      </c>
      <c r="E1116" s="2">
        <f>IFERROR(__xludf.DUMMYFUNCTION("""COMPUTED_VALUE"""),4680.0)</f>
        <v>4680</v>
      </c>
      <c r="F1116" s="2">
        <f>IFERROR(__xludf.DUMMYFUNCTION("""COMPUTED_VALUE"""),8.35528E7)</f>
        <v>83552800</v>
      </c>
      <c r="G1116" s="2">
        <f t="shared" si="1"/>
        <v>70</v>
      </c>
    </row>
    <row r="1117" ht="15.75" customHeight="1">
      <c r="A1117" s="1">
        <f>IFERROR(__xludf.DUMMYFUNCTION("""COMPUTED_VALUE"""),45517.66666666667)</f>
        <v>45517.66667</v>
      </c>
      <c r="B1117" s="2">
        <f>IFERROR(__xludf.DUMMYFUNCTION("""COMPUTED_VALUE"""),4700.0)</f>
        <v>4700</v>
      </c>
      <c r="C1117" s="2">
        <f>IFERROR(__xludf.DUMMYFUNCTION("""COMPUTED_VALUE"""),4750.0)</f>
        <v>4750</v>
      </c>
      <c r="D1117" s="2">
        <f>IFERROR(__xludf.DUMMYFUNCTION("""COMPUTED_VALUE"""),4690.0)</f>
        <v>4690</v>
      </c>
      <c r="E1117" s="2">
        <f>IFERROR(__xludf.DUMMYFUNCTION("""COMPUTED_VALUE"""),4720.0)</f>
        <v>4720</v>
      </c>
      <c r="F1117" s="2">
        <f>IFERROR(__xludf.DUMMYFUNCTION("""COMPUTED_VALUE"""),1.095334E8)</f>
        <v>109533400</v>
      </c>
      <c r="G1117" s="2">
        <f t="shared" si="1"/>
        <v>70</v>
      </c>
    </row>
    <row r="1118" ht="15.75" customHeight="1">
      <c r="A1118" s="1">
        <f>IFERROR(__xludf.DUMMYFUNCTION("""COMPUTED_VALUE"""),45518.66666666667)</f>
        <v>45518.66667</v>
      </c>
      <c r="B1118" s="2">
        <f>IFERROR(__xludf.DUMMYFUNCTION("""COMPUTED_VALUE"""),4770.0)</f>
        <v>4770</v>
      </c>
      <c r="C1118" s="2">
        <f>IFERROR(__xludf.DUMMYFUNCTION("""COMPUTED_VALUE"""),4840.0)</f>
        <v>4840</v>
      </c>
      <c r="D1118" s="2">
        <f>IFERROR(__xludf.DUMMYFUNCTION("""COMPUTED_VALUE"""),4760.0)</f>
        <v>4760</v>
      </c>
      <c r="E1118" s="2">
        <f>IFERROR(__xludf.DUMMYFUNCTION("""COMPUTED_VALUE"""),4820.0)</f>
        <v>4820</v>
      </c>
      <c r="F1118" s="2">
        <f>IFERROR(__xludf.DUMMYFUNCTION("""COMPUTED_VALUE"""),2.627165E8)</f>
        <v>262716500</v>
      </c>
      <c r="G1118" s="2">
        <f t="shared" si="1"/>
        <v>120</v>
      </c>
    </row>
    <row r="1119" ht="15.75" customHeight="1">
      <c r="A1119" s="1">
        <f>IFERROR(__xludf.DUMMYFUNCTION("""COMPUTED_VALUE"""),45519.66666666667)</f>
        <v>45519.66667</v>
      </c>
      <c r="B1119" s="2">
        <f>IFERROR(__xludf.DUMMYFUNCTION("""COMPUTED_VALUE"""),4850.0)</f>
        <v>4850</v>
      </c>
      <c r="C1119" s="2">
        <f>IFERROR(__xludf.DUMMYFUNCTION("""COMPUTED_VALUE"""),4870.0)</f>
        <v>4870</v>
      </c>
      <c r="D1119" s="2">
        <f>IFERROR(__xludf.DUMMYFUNCTION("""COMPUTED_VALUE"""),4790.0)</f>
        <v>4790</v>
      </c>
      <c r="E1119" s="2">
        <f>IFERROR(__xludf.DUMMYFUNCTION("""COMPUTED_VALUE"""),4830.0)</f>
        <v>4830</v>
      </c>
      <c r="F1119" s="2">
        <f>IFERROR(__xludf.DUMMYFUNCTION("""COMPUTED_VALUE"""),2.143949E8)</f>
        <v>214394900</v>
      </c>
      <c r="G1119" s="2">
        <f t="shared" si="1"/>
        <v>80</v>
      </c>
    </row>
    <row r="1120" ht="15.75" customHeight="1">
      <c r="A1120" s="1">
        <f>IFERROR(__xludf.DUMMYFUNCTION("""COMPUTED_VALUE"""),45520.66666666667)</f>
        <v>45520.66667</v>
      </c>
      <c r="B1120" s="2">
        <f>IFERROR(__xludf.DUMMYFUNCTION("""COMPUTED_VALUE"""),4850.0)</f>
        <v>4850</v>
      </c>
      <c r="C1120" s="2">
        <f>IFERROR(__xludf.DUMMYFUNCTION("""COMPUTED_VALUE"""),4870.0)</f>
        <v>4870</v>
      </c>
      <c r="D1120" s="2">
        <f>IFERROR(__xludf.DUMMYFUNCTION("""COMPUTED_VALUE"""),4830.0)</f>
        <v>4830</v>
      </c>
      <c r="E1120" s="2">
        <f>IFERROR(__xludf.DUMMYFUNCTION("""COMPUTED_VALUE"""),4830.0)</f>
        <v>4830</v>
      </c>
      <c r="F1120" s="2">
        <f>IFERROR(__xludf.DUMMYFUNCTION("""COMPUTED_VALUE"""),1.497017E8)</f>
        <v>149701700</v>
      </c>
      <c r="G1120" s="2">
        <f t="shared" si="1"/>
        <v>40</v>
      </c>
    </row>
    <row r="1121" ht="15.75" customHeight="1">
      <c r="A1121" s="1">
        <f>IFERROR(__xludf.DUMMYFUNCTION("""COMPUTED_VALUE"""),45523.66666666667)</f>
        <v>45523.66667</v>
      </c>
      <c r="B1121" s="2">
        <f>IFERROR(__xludf.DUMMYFUNCTION("""COMPUTED_VALUE"""),4820.0)</f>
        <v>4820</v>
      </c>
      <c r="C1121" s="2">
        <f>IFERROR(__xludf.DUMMYFUNCTION("""COMPUTED_VALUE"""),4820.0)</f>
        <v>4820</v>
      </c>
      <c r="D1121" s="2">
        <f>IFERROR(__xludf.DUMMYFUNCTION("""COMPUTED_VALUE"""),4750.0)</f>
        <v>4750</v>
      </c>
      <c r="E1121" s="2">
        <f>IFERROR(__xludf.DUMMYFUNCTION("""COMPUTED_VALUE"""),4820.0)</f>
        <v>4820</v>
      </c>
      <c r="F1121" s="2">
        <f>IFERROR(__xludf.DUMMYFUNCTION("""COMPUTED_VALUE"""),1.962032E8)</f>
        <v>196203200</v>
      </c>
      <c r="G1121" s="2">
        <f t="shared" si="1"/>
        <v>80</v>
      </c>
    </row>
    <row r="1122" ht="15.75" customHeight="1">
      <c r="A1122" s="1">
        <f>IFERROR(__xludf.DUMMYFUNCTION("""COMPUTED_VALUE"""),45524.66666666667)</f>
        <v>45524.66667</v>
      </c>
      <c r="B1122" s="2">
        <f>IFERROR(__xludf.DUMMYFUNCTION("""COMPUTED_VALUE"""),4860.0)</f>
        <v>4860</v>
      </c>
      <c r="C1122" s="2">
        <f>IFERROR(__xludf.DUMMYFUNCTION("""COMPUTED_VALUE"""),4950.0)</f>
        <v>4950</v>
      </c>
      <c r="D1122" s="2">
        <f>IFERROR(__xludf.DUMMYFUNCTION("""COMPUTED_VALUE"""),4840.0)</f>
        <v>4840</v>
      </c>
      <c r="E1122" s="2">
        <f>IFERROR(__xludf.DUMMYFUNCTION("""COMPUTED_VALUE"""),4950.0)</f>
        <v>4950</v>
      </c>
      <c r="F1122" s="2">
        <f>IFERROR(__xludf.DUMMYFUNCTION("""COMPUTED_VALUE"""),3.100855E8)</f>
        <v>310085500</v>
      </c>
      <c r="G1122" s="2">
        <f t="shared" si="1"/>
        <v>130</v>
      </c>
    </row>
    <row r="1123" ht="15.75" customHeight="1">
      <c r="A1123" s="1">
        <f>IFERROR(__xludf.DUMMYFUNCTION("""COMPUTED_VALUE"""),45525.66666666667)</f>
        <v>45525.66667</v>
      </c>
      <c r="B1123" s="2">
        <f>IFERROR(__xludf.DUMMYFUNCTION("""COMPUTED_VALUE"""),4990.0)</f>
        <v>4990</v>
      </c>
      <c r="C1123" s="2">
        <f>IFERROR(__xludf.DUMMYFUNCTION("""COMPUTED_VALUE"""),5100.0)</f>
        <v>5100</v>
      </c>
      <c r="D1123" s="2">
        <f>IFERROR(__xludf.DUMMYFUNCTION("""COMPUTED_VALUE"""),4980.0)</f>
        <v>4980</v>
      </c>
      <c r="E1123" s="2">
        <f>IFERROR(__xludf.DUMMYFUNCTION("""COMPUTED_VALUE"""),5100.0)</f>
        <v>5100</v>
      </c>
      <c r="F1123" s="2">
        <f>IFERROR(__xludf.DUMMYFUNCTION("""COMPUTED_VALUE"""),3.90307E8)</f>
        <v>390307000</v>
      </c>
      <c r="G1123" s="2">
        <f t="shared" si="1"/>
        <v>150</v>
      </c>
    </row>
    <row r="1124" ht="15.75" customHeight="1">
      <c r="A1124" s="1">
        <f>IFERROR(__xludf.DUMMYFUNCTION("""COMPUTED_VALUE"""),45526.66666666667)</f>
        <v>45526.66667</v>
      </c>
      <c r="B1124" s="2">
        <f>IFERROR(__xludf.DUMMYFUNCTION("""COMPUTED_VALUE"""),5125.0)</f>
        <v>5125</v>
      </c>
      <c r="C1124" s="2">
        <f>IFERROR(__xludf.DUMMYFUNCTION("""COMPUTED_VALUE"""),5150.0)</f>
        <v>5150</v>
      </c>
      <c r="D1124" s="2">
        <f>IFERROR(__xludf.DUMMYFUNCTION("""COMPUTED_VALUE"""),5025.0)</f>
        <v>5025</v>
      </c>
      <c r="E1124" s="2">
        <f>IFERROR(__xludf.DUMMYFUNCTION("""COMPUTED_VALUE"""),5050.0)</f>
        <v>5050</v>
      </c>
      <c r="F1124" s="2">
        <f>IFERROR(__xludf.DUMMYFUNCTION("""COMPUTED_VALUE"""),4.740431E8)</f>
        <v>474043100</v>
      </c>
      <c r="G1124" s="2">
        <f t="shared" si="1"/>
        <v>125</v>
      </c>
    </row>
    <row r="1125" ht="15.75" customHeight="1">
      <c r="A1125" s="1">
        <f>IFERROR(__xludf.DUMMYFUNCTION("""COMPUTED_VALUE"""),45527.66666666667)</f>
        <v>45527.66667</v>
      </c>
      <c r="B1125" s="2">
        <f>IFERROR(__xludf.DUMMYFUNCTION("""COMPUTED_VALUE"""),5150.0)</f>
        <v>5150</v>
      </c>
      <c r="C1125" s="2">
        <f>IFERROR(__xludf.DUMMYFUNCTION("""COMPUTED_VALUE"""),5200.0)</f>
        <v>5200</v>
      </c>
      <c r="D1125" s="2">
        <f>IFERROR(__xludf.DUMMYFUNCTION("""COMPUTED_VALUE"""),5125.0)</f>
        <v>5125</v>
      </c>
      <c r="E1125" s="2">
        <f>IFERROR(__xludf.DUMMYFUNCTION("""COMPUTED_VALUE"""),5150.0)</f>
        <v>5150</v>
      </c>
      <c r="F1125" s="2">
        <f>IFERROR(__xludf.DUMMYFUNCTION("""COMPUTED_VALUE"""),2.177593E8)</f>
        <v>217759300</v>
      </c>
      <c r="G1125" s="2">
        <f t="shared" si="1"/>
        <v>150</v>
      </c>
    </row>
    <row r="1126" ht="15.75" customHeight="1">
      <c r="A1126" s="1">
        <f>IFERROR(__xludf.DUMMYFUNCTION("""COMPUTED_VALUE"""),45530.66666666667)</f>
        <v>45530.66667</v>
      </c>
      <c r="B1126" s="2">
        <f>IFERROR(__xludf.DUMMYFUNCTION("""COMPUTED_VALUE"""),5200.0)</f>
        <v>5200</v>
      </c>
      <c r="C1126" s="2">
        <f>IFERROR(__xludf.DUMMYFUNCTION("""COMPUTED_VALUE"""),5325.0)</f>
        <v>5325</v>
      </c>
      <c r="D1126" s="2">
        <f>IFERROR(__xludf.DUMMYFUNCTION("""COMPUTED_VALUE"""),5200.0)</f>
        <v>5200</v>
      </c>
      <c r="E1126" s="2">
        <f>IFERROR(__xludf.DUMMYFUNCTION("""COMPUTED_VALUE"""),5300.0)</f>
        <v>5300</v>
      </c>
      <c r="F1126" s="2">
        <f>IFERROR(__xludf.DUMMYFUNCTION("""COMPUTED_VALUE"""),3.611698E8)</f>
        <v>361169800</v>
      </c>
      <c r="G1126" s="2">
        <f t="shared" si="1"/>
        <v>175</v>
      </c>
    </row>
    <row r="1127" ht="15.75" customHeight="1">
      <c r="A1127" s="1">
        <f>IFERROR(__xludf.DUMMYFUNCTION("""COMPUTED_VALUE"""),45531.66666666667)</f>
        <v>45531.66667</v>
      </c>
      <c r="B1127" s="2">
        <f>IFERROR(__xludf.DUMMYFUNCTION("""COMPUTED_VALUE"""),5250.0)</f>
        <v>5250</v>
      </c>
      <c r="C1127" s="2">
        <f>IFERROR(__xludf.DUMMYFUNCTION("""COMPUTED_VALUE"""),5275.0)</f>
        <v>5275</v>
      </c>
      <c r="D1127" s="2">
        <f>IFERROR(__xludf.DUMMYFUNCTION("""COMPUTED_VALUE"""),5100.0)</f>
        <v>5100</v>
      </c>
      <c r="E1127" s="2">
        <f>IFERROR(__xludf.DUMMYFUNCTION("""COMPUTED_VALUE"""),5175.0)</f>
        <v>5175</v>
      </c>
      <c r="F1127" s="2">
        <f>IFERROR(__xludf.DUMMYFUNCTION("""COMPUTED_VALUE"""),2.710887E8)</f>
        <v>271088700</v>
      </c>
      <c r="G1127" s="2">
        <f t="shared" si="1"/>
        <v>200</v>
      </c>
    </row>
    <row r="1128" ht="15.75" customHeight="1">
      <c r="A1128" s="1">
        <f>IFERROR(__xludf.DUMMYFUNCTION("""COMPUTED_VALUE"""),45532.66666666667)</f>
        <v>45532.66667</v>
      </c>
      <c r="B1128" s="2">
        <f>IFERROR(__xludf.DUMMYFUNCTION("""COMPUTED_VALUE"""),5100.0)</f>
        <v>5100</v>
      </c>
      <c r="C1128" s="2">
        <f>IFERROR(__xludf.DUMMYFUNCTION("""COMPUTED_VALUE"""),5175.0)</f>
        <v>5175</v>
      </c>
      <c r="D1128" s="2">
        <f>IFERROR(__xludf.DUMMYFUNCTION("""COMPUTED_VALUE"""),5025.0)</f>
        <v>5025</v>
      </c>
      <c r="E1128" s="2">
        <f>IFERROR(__xludf.DUMMYFUNCTION("""COMPUTED_VALUE"""),5150.0)</f>
        <v>5150</v>
      </c>
      <c r="F1128" s="2">
        <f>IFERROR(__xludf.DUMMYFUNCTION("""COMPUTED_VALUE"""),2.775617E8)</f>
        <v>277561700</v>
      </c>
      <c r="G1128" s="2">
        <f t="shared" si="1"/>
        <v>150</v>
      </c>
    </row>
    <row r="1129" ht="15.75" customHeight="1">
      <c r="A1129" s="1">
        <f>IFERROR(__xludf.DUMMYFUNCTION("""COMPUTED_VALUE"""),45533.66666666667)</f>
        <v>45533.66667</v>
      </c>
      <c r="B1129" s="2">
        <f>IFERROR(__xludf.DUMMYFUNCTION("""COMPUTED_VALUE"""),5125.0)</f>
        <v>5125</v>
      </c>
      <c r="C1129" s="2">
        <f>IFERROR(__xludf.DUMMYFUNCTION("""COMPUTED_VALUE"""),5175.0)</f>
        <v>5175</v>
      </c>
      <c r="D1129" s="2">
        <f>IFERROR(__xludf.DUMMYFUNCTION("""COMPUTED_VALUE"""),5100.0)</f>
        <v>5100</v>
      </c>
      <c r="E1129" s="2">
        <f>IFERROR(__xludf.DUMMYFUNCTION("""COMPUTED_VALUE"""),5125.0)</f>
        <v>5125</v>
      </c>
      <c r="F1129" s="2">
        <f>IFERROR(__xludf.DUMMYFUNCTION("""COMPUTED_VALUE"""),1.600419E8)</f>
        <v>160041900</v>
      </c>
      <c r="G1129" s="2">
        <f t="shared" si="1"/>
        <v>75</v>
      </c>
    </row>
    <row r="1130" ht="15.75" customHeight="1">
      <c r="A1130" s="1">
        <f>IFERROR(__xludf.DUMMYFUNCTION("""COMPUTED_VALUE"""),45534.66666666667)</f>
        <v>45534.66667</v>
      </c>
      <c r="B1130" s="2">
        <f>IFERROR(__xludf.DUMMYFUNCTION("""COMPUTED_VALUE"""),5175.0)</f>
        <v>5175</v>
      </c>
      <c r="C1130" s="2">
        <f>IFERROR(__xludf.DUMMYFUNCTION("""COMPUTED_VALUE"""),5175.0)</f>
        <v>5175</v>
      </c>
      <c r="D1130" s="2">
        <f>IFERROR(__xludf.DUMMYFUNCTION("""COMPUTED_VALUE"""),5125.0)</f>
        <v>5125</v>
      </c>
      <c r="E1130" s="2">
        <f>IFERROR(__xludf.DUMMYFUNCTION("""COMPUTED_VALUE"""),5150.0)</f>
        <v>5150</v>
      </c>
      <c r="F1130" s="2">
        <f>IFERROR(__xludf.DUMMYFUNCTION("""COMPUTED_VALUE"""),2.75298E8)</f>
        <v>275298000</v>
      </c>
      <c r="G1130" s="2">
        <f t="shared" si="1"/>
        <v>50</v>
      </c>
    </row>
    <row r="1131" ht="15.75" customHeight="1">
      <c r="A1131" s="1">
        <f>IFERROR(__xludf.DUMMYFUNCTION("""COMPUTED_VALUE"""),45537.66666666667)</f>
        <v>45537.66667</v>
      </c>
      <c r="B1131" s="2">
        <f>IFERROR(__xludf.DUMMYFUNCTION("""COMPUTED_VALUE"""),5150.0)</f>
        <v>5150</v>
      </c>
      <c r="C1131" s="2">
        <f>IFERROR(__xludf.DUMMYFUNCTION("""COMPUTED_VALUE"""),5225.0)</f>
        <v>5225</v>
      </c>
      <c r="D1131" s="2">
        <f>IFERROR(__xludf.DUMMYFUNCTION("""COMPUTED_VALUE"""),5150.0)</f>
        <v>5150</v>
      </c>
      <c r="E1131" s="2">
        <f>IFERROR(__xludf.DUMMYFUNCTION("""COMPUTED_VALUE"""),5175.0)</f>
        <v>5175</v>
      </c>
      <c r="F1131" s="2">
        <f>IFERROR(__xludf.DUMMYFUNCTION("""COMPUTED_VALUE"""),1.367172E8)</f>
        <v>136717200</v>
      </c>
      <c r="G1131" s="2">
        <f t="shared" si="1"/>
        <v>75</v>
      </c>
    </row>
    <row r="1132" ht="15.75" customHeight="1">
      <c r="A1132" s="1">
        <f>IFERROR(__xludf.DUMMYFUNCTION("""COMPUTED_VALUE"""),45538.66666666667)</f>
        <v>45538.66667</v>
      </c>
      <c r="B1132" s="2">
        <f>IFERROR(__xludf.DUMMYFUNCTION("""COMPUTED_VALUE"""),5225.0)</f>
        <v>5225</v>
      </c>
      <c r="C1132" s="2">
        <f>IFERROR(__xludf.DUMMYFUNCTION("""COMPUTED_VALUE"""),5250.0)</f>
        <v>5250</v>
      </c>
      <c r="D1132" s="2">
        <f>IFERROR(__xludf.DUMMYFUNCTION("""COMPUTED_VALUE"""),5150.0)</f>
        <v>5150</v>
      </c>
      <c r="E1132" s="2">
        <f>IFERROR(__xludf.DUMMYFUNCTION("""COMPUTED_VALUE"""),5175.0)</f>
        <v>5175</v>
      </c>
      <c r="F1132" s="2">
        <f>IFERROR(__xludf.DUMMYFUNCTION("""COMPUTED_VALUE"""),1.660339E8)</f>
        <v>166033900</v>
      </c>
      <c r="G1132" s="2">
        <f t="shared" si="1"/>
        <v>100</v>
      </c>
    </row>
    <row r="1133" ht="15.75" customHeight="1">
      <c r="A1133" s="1">
        <f>IFERROR(__xludf.DUMMYFUNCTION("""COMPUTED_VALUE"""),45539.66666666667)</f>
        <v>45539.66667</v>
      </c>
      <c r="B1133" s="2">
        <f>IFERROR(__xludf.DUMMYFUNCTION("""COMPUTED_VALUE"""),5100.0)</f>
        <v>5100</v>
      </c>
      <c r="C1133" s="2">
        <f>IFERROR(__xludf.DUMMYFUNCTION("""COMPUTED_VALUE"""),5175.0)</f>
        <v>5175</v>
      </c>
      <c r="D1133" s="2">
        <f>IFERROR(__xludf.DUMMYFUNCTION("""COMPUTED_VALUE"""),5100.0)</f>
        <v>5100</v>
      </c>
      <c r="E1133" s="2">
        <f>IFERROR(__xludf.DUMMYFUNCTION("""COMPUTED_VALUE"""),5100.0)</f>
        <v>5100</v>
      </c>
      <c r="F1133" s="2">
        <f>IFERROR(__xludf.DUMMYFUNCTION("""COMPUTED_VALUE"""),1.418904E8)</f>
        <v>141890400</v>
      </c>
      <c r="G1133" s="2">
        <f t="shared" si="1"/>
        <v>75</v>
      </c>
    </row>
    <row r="1134" ht="15.75" customHeight="1">
      <c r="A1134" s="1">
        <f>IFERROR(__xludf.DUMMYFUNCTION("""COMPUTED_VALUE"""),45540.66666666667)</f>
        <v>45540.66667</v>
      </c>
      <c r="B1134" s="2">
        <f>IFERROR(__xludf.DUMMYFUNCTION("""COMPUTED_VALUE"""),5125.0)</f>
        <v>5125</v>
      </c>
      <c r="C1134" s="2">
        <f>IFERROR(__xludf.DUMMYFUNCTION("""COMPUTED_VALUE"""),5150.0)</f>
        <v>5150</v>
      </c>
      <c r="D1134" s="2">
        <f>IFERROR(__xludf.DUMMYFUNCTION("""COMPUTED_VALUE"""),5075.0)</f>
        <v>5075</v>
      </c>
      <c r="E1134" s="2">
        <f>IFERROR(__xludf.DUMMYFUNCTION("""COMPUTED_VALUE"""),5150.0)</f>
        <v>5150</v>
      </c>
      <c r="F1134" s="2">
        <f>IFERROR(__xludf.DUMMYFUNCTION("""COMPUTED_VALUE"""),1.664368E8)</f>
        <v>166436800</v>
      </c>
      <c r="G1134" s="2">
        <f t="shared" si="1"/>
        <v>75</v>
      </c>
    </row>
    <row r="1135" ht="15.75" customHeight="1">
      <c r="A1135" s="1">
        <f>IFERROR(__xludf.DUMMYFUNCTION("""COMPUTED_VALUE"""),45541.66666666667)</f>
        <v>45541.66667</v>
      </c>
      <c r="B1135" s="2">
        <f>IFERROR(__xludf.DUMMYFUNCTION("""COMPUTED_VALUE"""),5200.0)</f>
        <v>5200</v>
      </c>
      <c r="C1135" s="2">
        <f>IFERROR(__xludf.DUMMYFUNCTION("""COMPUTED_VALUE"""),5250.0)</f>
        <v>5250</v>
      </c>
      <c r="D1135" s="2">
        <f>IFERROR(__xludf.DUMMYFUNCTION("""COMPUTED_VALUE"""),5150.0)</f>
        <v>5150</v>
      </c>
      <c r="E1135" s="2">
        <f>IFERROR(__xludf.DUMMYFUNCTION("""COMPUTED_VALUE"""),5225.0)</f>
        <v>5225</v>
      </c>
      <c r="F1135" s="2">
        <f>IFERROR(__xludf.DUMMYFUNCTION("""COMPUTED_VALUE"""),1.705207E8)</f>
        <v>170520700</v>
      </c>
      <c r="G1135" s="2">
        <f t="shared" si="1"/>
        <v>100</v>
      </c>
    </row>
    <row r="1136" ht="15.75" customHeight="1">
      <c r="A1136" s="1">
        <f>IFERROR(__xludf.DUMMYFUNCTION("""COMPUTED_VALUE"""),45544.66666666667)</f>
        <v>45544.66667</v>
      </c>
      <c r="B1136" s="2">
        <f>IFERROR(__xludf.DUMMYFUNCTION("""COMPUTED_VALUE"""),5275.0)</f>
        <v>5275</v>
      </c>
      <c r="C1136" s="2">
        <f>IFERROR(__xludf.DUMMYFUNCTION("""COMPUTED_VALUE"""),5300.0)</f>
        <v>5300</v>
      </c>
      <c r="D1136" s="2">
        <f>IFERROR(__xludf.DUMMYFUNCTION("""COMPUTED_VALUE"""),5150.0)</f>
        <v>5150</v>
      </c>
      <c r="E1136" s="2">
        <f>IFERROR(__xludf.DUMMYFUNCTION("""COMPUTED_VALUE"""),5175.0)</f>
        <v>5175</v>
      </c>
      <c r="F1136" s="2">
        <f>IFERROR(__xludf.DUMMYFUNCTION("""COMPUTED_VALUE"""),2.014487E8)</f>
        <v>201448700</v>
      </c>
      <c r="G1136" s="2">
        <f t="shared" si="1"/>
        <v>150</v>
      </c>
    </row>
    <row r="1137" ht="15.75" customHeight="1">
      <c r="A1137" s="1">
        <f>IFERROR(__xludf.DUMMYFUNCTION("""COMPUTED_VALUE"""),45545.66666666667)</f>
        <v>45545.66667</v>
      </c>
      <c r="B1137" s="2">
        <f>IFERROR(__xludf.DUMMYFUNCTION("""COMPUTED_VALUE"""),5200.0)</f>
        <v>5200</v>
      </c>
      <c r="C1137" s="2">
        <f>IFERROR(__xludf.DUMMYFUNCTION("""COMPUTED_VALUE"""),5250.0)</f>
        <v>5250</v>
      </c>
      <c r="D1137" s="2">
        <f>IFERROR(__xludf.DUMMYFUNCTION("""COMPUTED_VALUE"""),5125.0)</f>
        <v>5125</v>
      </c>
      <c r="E1137" s="2">
        <f>IFERROR(__xludf.DUMMYFUNCTION("""COMPUTED_VALUE"""),5250.0)</f>
        <v>5250</v>
      </c>
      <c r="F1137" s="2">
        <f>IFERROR(__xludf.DUMMYFUNCTION("""COMPUTED_VALUE"""),2.023264E8)</f>
        <v>202326400</v>
      </c>
      <c r="G1137" s="2">
        <f t="shared" si="1"/>
        <v>125</v>
      </c>
    </row>
    <row r="1138" ht="15.75" customHeight="1">
      <c r="A1138" s="1">
        <f>IFERROR(__xludf.DUMMYFUNCTION("""COMPUTED_VALUE"""),45546.66666666667)</f>
        <v>45546.66667</v>
      </c>
      <c r="B1138" s="2">
        <f>IFERROR(__xludf.DUMMYFUNCTION("""COMPUTED_VALUE"""),5225.0)</f>
        <v>5225</v>
      </c>
      <c r="C1138" s="2">
        <f>IFERROR(__xludf.DUMMYFUNCTION("""COMPUTED_VALUE"""),5250.0)</f>
        <v>5250</v>
      </c>
      <c r="D1138" s="2">
        <f>IFERROR(__xludf.DUMMYFUNCTION("""COMPUTED_VALUE"""),5125.0)</f>
        <v>5125</v>
      </c>
      <c r="E1138" s="2">
        <f>IFERROR(__xludf.DUMMYFUNCTION("""COMPUTED_VALUE"""),5175.0)</f>
        <v>5175</v>
      </c>
      <c r="F1138" s="2">
        <f>IFERROR(__xludf.DUMMYFUNCTION("""COMPUTED_VALUE"""),1.652849E8)</f>
        <v>165284900</v>
      </c>
      <c r="G1138" s="2">
        <f t="shared" si="1"/>
        <v>125</v>
      </c>
    </row>
    <row r="1139" ht="15.75" customHeight="1">
      <c r="A1139" s="1">
        <f>IFERROR(__xludf.DUMMYFUNCTION("""COMPUTED_VALUE"""),45547.66666666667)</f>
        <v>45547.66667</v>
      </c>
      <c r="B1139" s="2">
        <f>IFERROR(__xludf.DUMMYFUNCTION("""COMPUTED_VALUE"""),5175.0)</f>
        <v>5175</v>
      </c>
      <c r="C1139" s="2">
        <f>IFERROR(__xludf.DUMMYFUNCTION("""COMPUTED_VALUE"""),5225.0)</f>
        <v>5225</v>
      </c>
      <c r="D1139" s="2">
        <f>IFERROR(__xludf.DUMMYFUNCTION("""COMPUTED_VALUE"""),5150.0)</f>
        <v>5150</v>
      </c>
      <c r="E1139" s="2">
        <f>IFERROR(__xludf.DUMMYFUNCTION("""COMPUTED_VALUE"""),5175.0)</f>
        <v>5175</v>
      </c>
      <c r="F1139" s="2">
        <f>IFERROR(__xludf.DUMMYFUNCTION("""COMPUTED_VALUE"""),1.385421E8)</f>
        <v>138542100</v>
      </c>
      <c r="G1139" s="2">
        <f t="shared" si="1"/>
        <v>75</v>
      </c>
    </row>
    <row r="1140" ht="15.75" customHeight="1">
      <c r="A1140" s="1">
        <f>IFERROR(__xludf.DUMMYFUNCTION("""COMPUTED_VALUE"""),45548.66666666667)</f>
        <v>45548.66667</v>
      </c>
      <c r="B1140" s="2">
        <f>IFERROR(__xludf.DUMMYFUNCTION("""COMPUTED_VALUE"""),5200.0)</f>
        <v>5200</v>
      </c>
      <c r="C1140" s="2">
        <f>IFERROR(__xludf.DUMMYFUNCTION("""COMPUTED_VALUE"""),5300.0)</f>
        <v>5300</v>
      </c>
      <c r="D1140" s="2">
        <f>IFERROR(__xludf.DUMMYFUNCTION("""COMPUTED_VALUE"""),5175.0)</f>
        <v>5175</v>
      </c>
      <c r="E1140" s="2">
        <f>IFERROR(__xludf.DUMMYFUNCTION("""COMPUTED_VALUE"""),5300.0)</f>
        <v>5300</v>
      </c>
      <c r="F1140" s="2">
        <f>IFERROR(__xludf.DUMMYFUNCTION("""COMPUTED_VALUE"""),2.597226E8)</f>
        <v>259722600</v>
      </c>
      <c r="G1140" s="2">
        <f t="shared" si="1"/>
        <v>125</v>
      </c>
    </row>
    <row r="1141" ht="15.75" customHeight="1">
      <c r="A1141" s="1">
        <f>IFERROR(__xludf.DUMMYFUNCTION("""COMPUTED_VALUE"""),45552.66666666667)</f>
        <v>45552.66667</v>
      </c>
      <c r="B1141" s="2">
        <f>IFERROR(__xludf.DUMMYFUNCTION("""COMPUTED_VALUE"""),5350.0)</f>
        <v>5350</v>
      </c>
      <c r="C1141" s="2">
        <f>IFERROR(__xludf.DUMMYFUNCTION("""COMPUTED_VALUE"""),5350.0)</f>
        <v>5350</v>
      </c>
      <c r="D1141" s="2">
        <f>IFERROR(__xludf.DUMMYFUNCTION("""COMPUTED_VALUE"""),5250.0)</f>
        <v>5250</v>
      </c>
      <c r="E1141" s="2">
        <f>IFERROR(__xludf.DUMMYFUNCTION("""COMPUTED_VALUE"""),5300.0)</f>
        <v>5300</v>
      </c>
      <c r="F1141" s="2">
        <f>IFERROR(__xludf.DUMMYFUNCTION("""COMPUTED_VALUE"""),2.013316E8)</f>
        <v>201331600</v>
      </c>
      <c r="G1141" s="2">
        <f t="shared" si="1"/>
        <v>100</v>
      </c>
    </row>
    <row r="1142" ht="15.75" customHeight="1">
      <c r="A1142" s="1">
        <f>IFERROR(__xludf.DUMMYFUNCTION("""COMPUTED_VALUE"""),45553.66666666667)</f>
        <v>45553.66667</v>
      </c>
      <c r="B1142" s="2">
        <f>IFERROR(__xludf.DUMMYFUNCTION("""COMPUTED_VALUE"""),5350.0)</f>
        <v>5350</v>
      </c>
      <c r="C1142" s="2">
        <f>IFERROR(__xludf.DUMMYFUNCTION("""COMPUTED_VALUE"""),5375.0)</f>
        <v>5375</v>
      </c>
      <c r="D1142" s="2">
        <f>IFERROR(__xludf.DUMMYFUNCTION("""COMPUTED_VALUE"""),5325.0)</f>
        <v>5325</v>
      </c>
      <c r="E1142" s="2">
        <f>IFERROR(__xludf.DUMMYFUNCTION("""COMPUTED_VALUE"""),5350.0)</f>
        <v>5350</v>
      </c>
      <c r="F1142" s="2">
        <f>IFERROR(__xludf.DUMMYFUNCTION("""COMPUTED_VALUE"""),1.868773E8)</f>
        <v>186877300</v>
      </c>
      <c r="G1142" s="2">
        <f t="shared" si="1"/>
        <v>75</v>
      </c>
    </row>
    <row r="1143" ht="15.75" customHeight="1">
      <c r="A1143" s="1">
        <f>IFERROR(__xludf.DUMMYFUNCTION("""COMPUTED_VALUE"""),45554.66666666667)</f>
        <v>45554.66667</v>
      </c>
      <c r="B1143" s="2">
        <f>IFERROR(__xludf.DUMMYFUNCTION("""COMPUTED_VALUE"""),5425.0)</f>
        <v>5425</v>
      </c>
      <c r="C1143" s="2">
        <f>IFERROR(__xludf.DUMMYFUNCTION("""COMPUTED_VALUE"""),5500.0)</f>
        <v>5500</v>
      </c>
      <c r="D1143" s="2">
        <f>IFERROR(__xludf.DUMMYFUNCTION("""COMPUTED_VALUE"""),5400.0)</f>
        <v>5400</v>
      </c>
      <c r="E1143" s="2">
        <f>IFERROR(__xludf.DUMMYFUNCTION("""COMPUTED_VALUE"""),5400.0)</f>
        <v>5400</v>
      </c>
      <c r="F1143" s="2">
        <f>IFERROR(__xludf.DUMMYFUNCTION("""COMPUTED_VALUE"""),3.329411E8)</f>
        <v>332941100</v>
      </c>
      <c r="G1143" s="2">
        <f t="shared" si="1"/>
        <v>150</v>
      </c>
    </row>
    <row r="1144" ht="15.75" customHeight="1">
      <c r="A1144" s="1">
        <f>IFERROR(__xludf.DUMMYFUNCTION("""COMPUTED_VALUE"""),45555.66666666667)</f>
        <v>45555.66667</v>
      </c>
      <c r="B1144" s="2">
        <f>IFERROR(__xludf.DUMMYFUNCTION("""COMPUTED_VALUE"""),5400.0)</f>
        <v>5400</v>
      </c>
      <c r="C1144" s="2">
        <f>IFERROR(__xludf.DUMMYFUNCTION("""COMPUTED_VALUE"""),5450.0)</f>
        <v>5450</v>
      </c>
      <c r="D1144" s="2">
        <f>IFERROR(__xludf.DUMMYFUNCTION("""COMPUTED_VALUE"""),5375.0)</f>
        <v>5375</v>
      </c>
      <c r="E1144" s="2">
        <f>IFERROR(__xludf.DUMMYFUNCTION("""COMPUTED_VALUE"""),5375.0)</f>
        <v>5375</v>
      </c>
      <c r="F1144" s="2">
        <f>IFERROR(__xludf.DUMMYFUNCTION("""COMPUTED_VALUE"""),2.604374E8)</f>
        <v>260437400</v>
      </c>
      <c r="G1144" s="2">
        <f t="shared" si="1"/>
        <v>75</v>
      </c>
    </row>
    <row r="1145" ht="15.75" customHeight="1">
      <c r="A1145" s="1">
        <f>IFERROR(__xludf.DUMMYFUNCTION("""COMPUTED_VALUE"""),45558.66666666667)</f>
        <v>45558.66667</v>
      </c>
      <c r="B1145" s="2">
        <f>IFERROR(__xludf.DUMMYFUNCTION("""COMPUTED_VALUE"""),5350.0)</f>
        <v>5350</v>
      </c>
      <c r="C1145" s="2">
        <f>IFERROR(__xludf.DUMMYFUNCTION("""COMPUTED_VALUE"""),5500.0)</f>
        <v>5500</v>
      </c>
      <c r="D1145" s="2">
        <f>IFERROR(__xludf.DUMMYFUNCTION("""COMPUTED_VALUE"""),5350.0)</f>
        <v>5350</v>
      </c>
      <c r="E1145" s="2">
        <f>IFERROR(__xludf.DUMMYFUNCTION("""COMPUTED_VALUE"""),5500.0)</f>
        <v>5500</v>
      </c>
      <c r="F1145" s="2">
        <f>IFERROR(__xludf.DUMMYFUNCTION("""COMPUTED_VALUE"""),2.45292E8)</f>
        <v>245292000</v>
      </c>
      <c r="G1145" s="2">
        <f t="shared" si="1"/>
        <v>150</v>
      </c>
    </row>
    <row r="1146" ht="15.75" customHeight="1">
      <c r="A1146" s="1">
        <f>IFERROR(__xludf.DUMMYFUNCTION("""COMPUTED_VALUE"""),45559.66666666667)</f>
        <v>45559.66667</v>
      </c>
      <c r="B1146" s="2">
        <f>IFERROR(__xludf.DUMMYFUNCTION("""COMPUTED_VALUE"""),5550.0)</f>
        <v>5550</v>
      </c>
      <c r="C1146" s="2">
        <f>IFERROR(__xludf.DUMMYFUNCTION("""COMPUTED_VALUE"""),5575.0)</f>
        <v>5575</v>
      </c>
      <c r="D1146" s="2">
        <f>IFERROR(__xludf.DUMMYFUNCTION("""COMPUTED_VALUE"""),5525.0)</f>
        <v>5525</v>
      </c>
      <c r="E1146" s="2">
        <f>IFERROR(__xludf.DUMMYFUNCTION("""COMPUTED_VALUE"""),5525.0)</f>
        <v>5525</v>
      </c>
      <c r="F1146" s="2">
        <f>IFERROR(__xludf.DUMMYFUNCTION("""COMPUTED_VALUE"""),1.954157E8)</f>
        <v>195415700</v>
      </c>
      <c r="G1146" s="2">
        <f t="shared" si="1"/>
        <v>75</v>
      </c>
    </row>
    <row r="1147" ht="15.75" customHeight="1">
      <c r="A1147" s="1">
        <f>IFERROR(__xludf.DUMMYFUNCTION("""COMPUTED_VALUE"""),45560.66666666667)</f>
        <v>45560.66667</v>
      </c>
      <c r="B1147" s="2">
        <f>IFERROR(__xludf.DUMMYFUNCTION("""COMPUTED_VALUE"""),5400.0)</f>
        <v>5400</v>
      </c>
      <c r="C1147" s="2">
        <f>IFERROR(__xludf.DUMMYFUNCTION("""COMPUTED_VALUE"""),5425.0)</f>
        <v>5425</v>
      </c>
      <c r="D1147" s="2">
        <f>IFERROR(__xludf.DUMMYFUNCTION("""COMPUTED_VALUE"""),5200.0)</f>
        <v>5200</v>
      </c>
      <c r="E1147" s="2">
        <f>IFERROR(__xludf.DUMMYFUNCTION("""COMPUTED_VALUE"""),5325.0)</f>
        <v>5325</v>
      </c>
      <c r="F1147" s="2">
        <f>IFERROR(__xludf.DUMMYFUNCTION("""COMPUTED_VALUE"""),6.070659E8)</f>
        <v>607065900</v>
      </c>
      <c r="G1147" s="2">
        <f t="shared" si="1"/>
        <v>325</v>
      </c>
    </row>
    <row r="1148" ht="15.75" customHeight="1">
      <c r="A1148" s="1">
        <f>IFERROR(__xludf.DUMMYFUNCTION("""COMPUTED_VALUE"""),45561.66666666667)</f>
        <v>45561.66667</v>
      </c>
      <c r="B1148" s="2">
        <f>IFERROR(__xludf.DUMMYFUNCTION("""COMPUTED_VALUE"""),5150.0)</f>
        <v>5150</v>
      </c>
      <c r="C1148" s="2">
        <f>IFERROR(__xludf.DUMMYFUNCTION("""COMPUTED_VALUE"""),5200.0)</f>
        <v>5200</v>
      </c>
      <c r="D1148" s="2">
        <f>IFERROR(__xludf.DUMMYFUNCTION("""COMPUTED_VALUE"""),5025.0)</f>
        <v>5025</v>
      </c>
      <c r="E1148" s="2">
        <f>IFERROR(__xludf.DUMMYFUNCTION("""COMPUTED_VALUE"""),5050.0)</f>
        <v>5050</v>
      </c>
      <c r="F1148" s="2">
        <f>IFERROR(__xludf.DUMMYFUNCTION("""COMPUTED_VALUE"""),8.552668E8)</f>
        <v>855266800</v>
      </c>
      <c r="G1148" s="2">
        <f t="shared" si="1"/>
        <v>300</v>
      </c>
    </row>
    <row r="1149" ht="15.75" customHeight="1">
      <c r="A1149" s="1">
        <f>IFERROR(__xludf.DUMMYFUNCTION("""COMPUTED_VALUE"""),45562.66666666667)</f>
        <v>45562.66667</v>
      </c>
      <c r="B1149" s="2">
        <f>IFERROR(__xludf.DUMMYFUNCTION("""COMPUTED_VALUE"""),5050.0)</f>
        <v>5050</v>
      </c>
      <c r="C1149" s="2">
        <f>IFERROR(__xludf.DUMMYFUNCTION("""COMPUTED_VALUE"""),5150.0)</f>
        <v>5150</v>
      </c>
      <c r="D1149" s="2">
        <f>IFERROR(__xludf.DUMMYFUNCTION("""COMPUTED_VALUE"""),5000.0)</f>
        <v>5000</v>
      </c>
      <c r="E1149" s="2">
        <f>IFERROR(__xludf.DUMMYFUNCTION("""COMPUTED_VALUE"""),5100.0)</f>
        <v>5100</v>
      </c>
      <c r="F1149" s="2">
        <f>IFERROR(__xludf.DUMMYFUNCTION("""COMPUTED_VALUE"""),3.046943E8)</f>
        <v>304694300</v>
      </c>
      <c r="G1149" s="2">
        <f t="shared" si="1"/>
        <v>150</v>
      </c>
    </row>
    <row r="1150" ht="15.75" customHeight="1">
      <c r="A1150" s="1">
        <f>IFERROR(__xludf.DUMMYFUNCTION("""COMPUTED_VALUE"""),45565.66666666667)</f>
        <v>45565.66667</v>
      </c>
      <c r="B1150" s="2">
        <f>IFERROR(__xludf.DUMMYFUNCTION("""COMPUTED_VALUE"""),5050.0)</f>
        <v>5050</v>
      </c>
      <c r="C1150" s="2">
        <f>IFERROR(__xludf.DUMMYFUNCTION("""COMPUTED_VALUE"""),5050.0)</f>
        <v>5050</v>
      </c>
      <c r="D1150" s="2">
        <f>IFERROR(__xludf.DUMMYFUNCTION("""COMPUTED_VALUE"""),4950.0)</f>
        <v>4950</v>
      </c>
      <c r="E1150" s="2">
        <f>IFERROR(__xludf.DUMMYFUNCTION("""COMPUTED_VALUE"""),4950.0)</f>
        <v>4950</v>
      </c>
      <c r="F1150" s="2">
        <f>IFERROR(__xludf.DUMMYFUNCTION("""COMPUTED_VALUE"""),5.391699E8)</f>
        <v>539169900</v>
      </c>
      <c r="G1150" s="2">
        <f t="shared" si="1"/>
        <v>150</v>
      </c>
    </row>
    <row r="1151" ht="15.75" customHeight="1">
      <c r="A1151" s="1">
        <f>IFERROR(__xludf.DUMMYFUNCTION("""COMPUTED_VALUE"""),45566.66666666667)</f>
        <v>45566.66667</v>
      </c>
      <c r="B1151" s="2">
        <f>IFERROR(__xludf.DUMMYFUNCTION("""COMPUTED_VALUE"""),4970.0)</f>
        <v>4970</v>
      </c>
      <c r="C1151" s="2">
        <f>IFERROR(__xludf.DUMMYFUNCTION("""COMPUTED_VALUE"""),5075.0)</f>
        <v>5075</v>
      </c>
      <c r="D1151" s="2">
        <f>IFERROR(__xludf.DUMMYFUNCTION("""COMPUTED_VALUE"""),4970.0)</f>
        <v>4970</v>
      </c>
      <c r="E1151" s="2">
        <f>IFERROR(__xludf.DUMMYFUNCTION("""COMPUTED_VALUE"""),5075.0)</f>
        <v>5075</v>
      </c>
      <c r="F1151" s="2">
        <f>IFERROR(__xludf.DUMMYFUNCTION("""COMPUTED_VALUE"""),1.970693E8)</f>
        <v>197069300</v>
      </c>
      <c r="G1151" s="2">
        <f t="shared" si="1"/>
        <v>125</v>
      </c>
    </row>
    <row r="1152" ht="15.75" customHeight="1">
      <c r="A1152" s="1">
        <f>IFERROR(__xludf.DUMMYFUNCTION("""COMPUTED_VALUE"""),45567.66666666667)</f>
        <v>45567.66667</v>
      </c>
      <c r="B1152" s="2">
        <f>IFERROR(__xludf.DUMMYFUNCTION("""COMPUTED_VALUE"""),5000.0)</f>
        <v>5000</v>
      </c>
      <c r="C1152" s="2">
        <f>IFERROR(__xludf.DUMMYFUNCTION("""COMPUTED_VALUE"""),5075.0)</f>
        <v>5075</v>
      </c>
      <c r="D1152" s="2">
        <f>IFERROR(__xludf.DUMMYFUNCTION("""COMPUTED_VALUE"""),4900.0)</f>
        <v>4900</v>
      </c>
      <c r="E1152" s="2">
        <f>IFERROR(__xludf.DUMMYFUNCTION("""COMPUTED_VALUE"""),4940.0)</f>
        <v>4940</v>
      </c>
      <c r="F1152" s="2">
        <f>IFERROR(__xludf.DUMMYFUNCTION("""COMPUTED_VALUE"""),3.074876E8)</f>
        <v>307487600</v>
      </c>
      <c r="G1152" s="2">
        <f t="shared" si="1"/>
        <v>175</v>
      </c>
    </row>
    <row r="1153" ht="15.75" customHeight="1">
      <c r="A1153" s="1">
        <f>IFERROR(__xludf.DUMMYFUNCTION("""COMPUTED_VALUE"""),45568.66666666667)</f>
        <v>45568.66667</v>
      </c>
      <c r="B1153" s="2">
        <f>IFERROR(__xludf.DUMMYFUNCTION("""COMPUTED_VALUE"""),4900.0)</f>
        <v>4900</v>
      </c>
      <c r="C1153" s="2">
        <f>IFERROR(__xludf.DUMMYFUNCTION("""COMPUTED_VALUE"""),4960.0)</f>
        <v>4960</v>
      </c>
      <c r="D1153" s="2">
        <f>IFERROR(__xludf.DUMMYFUNCTION("""COMPUTED_VALUE"""),4860.0)</f>
        <v>4860</v>
      </c>
      <c r="E1153" s="2">
        <f>IFERROR(__xludf.DUMMYFUNCTION("""COMPUTED_VALUE"""),4920.0)</f>
        <v>4920</v>
      </c>
      <c r="F1153" s="2">
        <f>IFERROR(__xludf.DUMMYFUNCTION("""COMPUTED_VALUE"""),3.548148E8)</f>
        <v>354814800</v>
      </c>
      <c r="G1153" s="2">
        <f t="shared" si="1"/>
        <v>100</v>
      </c>
    </row>
    <row r="1154" ht="15.75" customHeight="1">
      <c r="A1154" s="1">
        <f>IFERROR(__xludf.DUMMYFUNCTION("""COMPUTED_VALUE"""),45569.66666666667)</f>
        <v>45569.66667</v>
      </c>
      <c r="B1154" s="2">
        <f>IFERROR(__xludf.DUMMYFUNCTION("""COMPUTED_VALUE"""),4870.0)</f>
        <v>4870</v>
      </c>
      <c r="C1154" s="2">
        <f>IFERROR(__xludf.DUMMYFUNCTION("""COMPUTED_VALUE"""),4920.0)</f>
        <v>4920</v>
      </c>
      <c r="D1154" s="2">
        <f>IFERROR(__xludf.DUMMYFUNCTION("""COMPUTED_VALUE"""),4850.0)</f>
        <v>4850</v>
      </c>
      <c r="E1154" s="2">
        <f>IFERROR(__xludf.DUMMYFUNCTION("""COMPUTED_VALUE"""),4860.0)</f>
        <v>4860</v>
      </c>
      <c r="F1154" s="2">
        <f>IFERROR(__xludf.DUMMYFUNCTION("""COMPUTED_VALUE"""),2.899607E8)</f>
        <v>289960700</v>
      </c>
      <c r="G1154" s="2">
        <f t="shared" si="1"/>
        <v>70</v>
      </c>
    </row>
    <row r="1155" ht="15.75" customHeight="1">
      <c r="A1155" s="1">
        <f>IFERROR(__xludf.DUMMYFUNCTION("""COMPUTED_VALUE"""),45572.66666666667)</f>
        <v>45572.66667</v>
      </c>
      <c r="B1155" s="2">
        <f>IFERROR(__xludf.DUMMYFUNCTION("""COMPUTED_VALUE"""),4860.0)</f>
        <v>4860</v>
      </c>
      <c r="C1155" s="2">
        <f>IFERROR(__xludf.DUMMYFUNCTION("""COMPUTED_VALUE"""),4930.0)</f>
        <v>4930</v>
      </c>
      <c r="D1155" s="2">
        <f>IFERROR(__xludf.DUMMYFUNCTION("""COMPUTED_VALUE"""),4810.0)</f>
        <v>4810</v>
      </c>
      <c r="E1155" s="2">
        <f>IFERROR(__xludf.DUMMYFUNCTION("""COMPUTED_VALUE"""),4820.0)</f>
        <v>4820</v>
      </c>
      <c r="F1155" s="2">
        <f>IFERROR(__xludf.DUMMYFUNCTION("""COMPUTED_VALUE"""),3.084522E8)</f>
        <v>308452200</v>
      </c>
      <c r="G1155" s="2">
        <f t="shared" si="1"/>
        <v>120</v>
      </c>
    </row>
    <row r="1156" ht="15.75" customHeight="1">
      <c r="A1156" s="1">
        <f>IFERROR(__xludf.DUMMYFUNCTION("""COMPUTED_VALUE"""),45573.66666666667)</f>
        <v>45573.66667</v>
      </c>
      <c r="B1156" s="2">
        <f>IFERROR(__xludf.DUMMYFUNCTION("""COMPUTED_VALUE"""),4800.0)</f>
        <v>4800</v>
      </c>
      <c r="C1156" s="2">
        <f>IFERROR(__xludf.DUMMYFUNCTION("""COMPUTED_VALUE"""),5050.0)</f>
        <v>5050</v>
      </c>
      <c r="D1156" s="2">
        <f>IFERROR(__xludf.DUMMYFUNCTION("""COMPUTED_VALUE"""),4760.0)</f>
        <v>4760</v>
      </c>
      <c r="E1156" s="2">
        <f>IFERROR(__xludf.DUMMYFUNCTION("""COMPUTED_VALUE"""),5000.0)</f>
        <v>5000</v>
      </c>
      <c r="F1156" s="2">
        <f>IFERROR(__xludf.DUMMYFUNCTION("""COMPUTED_VALUE"""),5.274744E8)</f>
        <v>527474400</v>
      </c>
      <c r="G1156" s="2">
        <f t="shared" si="1"/>
        <v>290</v>
      </c>
    </row>
    <row r="1157" ht="15.75" customHeight="1">
      <c r="A1157" s="1">
        <f>IFERROR(__xludf.DUMMYFUNCTION("""COMPUTED_VALUE"""),45574.66666666667)</f>
        <v>45574.66667</v>
      </c>
      <c r="B1157" s="2">
        <f>IFERROR(__xludf.DUMMYFUNCTION("""COMPUTED_VALUE"""),5000.0)</f>
        <v>5000</v>
      </c>
      <c r="C1157" s="2">
        <f>IFERROR(__xludf.DUMMYFUNCTION("""COMPUTED_VALUE"""),5075.0)</f>
        <v>5075</v>
      </c>
      <c r="D1157" s="2">
        <f>IFERROR(__xludf.DUMMYFUNCTION("""COMPUTED_VALUE"""),4930.0)</f>
        <v>4930</v>
      </c>
      <c r="E1157" s="2">
        <f>IFERROR(__xludf.DUMMYFUNCTION("""COMPUTED_VALUE"""),4930.0)</f>
        <v>4930</v>
      </c>
      <c r="F1157" s="2">
        <f>IFERROR(__xludf.DUMMYFUNCTION("""COMPUTED_VALUE"""),3.093366E8)</f>
        <v>309336600</v>
      </c>
      <c r="G1157" s="2">
        <f t="shared" si="1"/>
        <v>145</v>
      </c>
    </row>
    <row r="1158" ht="15.75" customHeight="1">
      <c r="A1158" s="1">
        <f>IFERROR(__xludf.DUMMYFUNCTION("""COMPUTED_VALUE"""),45575.66666666667)</f>
        <v>45575.66667</v>
      </c>
      <c r="B1158" s="2">
        <f>IFERROR(__xludf.DUMMYFUNCTION("""COMPUTED_VALUE"""),4920.0)</f>
        <v>4920</v>
      </c>
      <c r="C1158" s="2">
        <f>IFERROR(__xludf.DUMMYFUNCTION("""COMPUTED_VALUE"""),4970.0)</f>
        <v>4970</v>
      </c>
      <c r="D1158" s="2">
        <f>IFERROR(__xludf.DUMMYFUNCTION("""COMPUTED_VALUE"""),4860.0)</f>
        <v>4860</v>
      </c>
      <c r="E1158" s="2">
        <f>IFERROR(__xludf.DUMMYFUNCTION("""COMPUTED_VALUE"""),4860.0)</f>
        <v>4860</v>
      </c>
      <c r="F1158" s="2">
        <f>IFERROR(__xludf.DUMMYFUNCTION("""COMPUTED_VALUE"""),2.265647E8)</f>
        <v>226564700</v>
      </c>
      <c r="G1158" s="2">
        <f t="shared" si="1"/>
        <v>110</v>
      </c>
    </row>
    <row r="1159" ht="15.75" customHeight="1">
      <c r="A1159" s="1">
        <f>IFERROR(__xludf.DUMMYFUNCTION("""COMPUTED_VALUE"""),45576.66666666667)</f>
        <v>45576.66667</v>
      </c>
      <c r="B1159" s="2">
        <f>IFERROR(__xludf.DUMMYFUNCTION("""COMPUTED_VALUE"""),4910.0)</f>
        <v>4910</v>
      </c>
      <c r="C1159" s="2">
        <f>IFERROR(__xludf.DUMMYFUNCTION("""COMPUTED_VALUE"""),4940.0)</f>
        <v>4940</v>
      </c>
      <c r="D1159" s="2">
        <f>IFERROR(__xludf.DUMMYFUNCTION("""COMPUTED_VALUE"""),4890.0)</f>
        <v>4890</v>
      </c>
      <c r="E1159" s="2">
        <f>IFERROR(__xludf.DUMMYFUNCTION("""COMPUTED_VALUE"""),4900.0)</f>
        <v>4900</v>
      </c>
      <c r="F1159" s="2">
        <f>IFERROR(__xludf.DUMMYFUNCTION("""COMPUTED_VALUE"""),1.048753E8)</f>
        <v>104875300</v>
      </c>
      <c r="G1159" s="2">
        <f t="shared" si="1"/>
        <v>80</v>
      </c>
    </row>
    <row r="1160" ht="15.75" customHeight="1">
      <c r="A1160" s="1">
        <f>IFERROR(__xludf.DUMMYFUNCTION("""COMPUTED_VALUE"""),45579.66666666667)</f>
        <v>45579.66667</v>
      </c>
      <c r="B1160" s="2">
        <f>IFERROR(__xludf.DUMMYFUNCTION("""COMPUTED_VALUE"""),4900.0)</f>
        <v>4900</v>
      </c>
      <c r="C1160" s="2">
        <f>IFERROR(__xludf.DUMMYFUNCTION("""COMPUTED_VALUE"""),4930.0)</f>
        <v>4930</v>
      </c>
      <c r="D1160" s="2">
        <f>IFERROR(__xludf.DUMMYFUNCTION("""COMPUTED_VALUE"""),4870.0)</f>
        <v>4870</v>
      </c>
      <c r="E1160" s="2">
        <f>IFERROR(__xludf.DUMMYFUNCTION("""COMPUTED_VALUE"""),4900.0)</f>
        <v>4900</v>
      </c>
      <c r="F1160" s="2">
        <f>IFERROR(__xludf.DUMMYFUNCTION("""COMPUTED_VALUE"""),1.254144E8)</f>
        <v>125414400</v>
      </c>
      <c r="G1160" s="2">
        <f t="shared" si="1"/>
        <v>60</v>
      </c>
    </row>
    <row r="1161" ht="15.75" customHeight="1">
      <c r="A1161" s="1">
        <f>IFERROR(__xludf.DUMMYFUNCTION("""COMPUTED_VALUE"""),45580.66666666667)</f>
        <v>45580.66667</v>
      </c>
      <c r="B1161" s="2">
        <f>IFERROR(__xludf.DUMMYFUNCTION("""COMPUTED_VALUE"""),4930.0)</f>
        <v>4930</v>
      </c>
      <c r="C1161" s="2">
        <f>IFERROR(__xludf.DUMMYFUNCTION("""COMPUTED_VALUE"""),4990.0)</f>
        <v>4990</v>
      </c>
      <c r="D1161" s="2">
        <f>IFERROR(__xludf.DUMMYFUNCTION("""COMPUTED_VALUE"""),4920.0)</f>
        <v>4920</v>
      </c>
      <c r="E1161" s="2">
        <f>IFERROR(__xludf.DUMMYFUNCTION("""COMPUTED_VALUE"""),4920.0)</f>
        <v>4920</v>
      </c>
      <c r="F1161" s="2">
        <f>IFERROR(__xludf.DUMMYFUNCTION("""COMPUTED_VALUE"""),1.423722E8)</f>
        <v>142372200</v>
      </c>
      <c r="G1161" s="2">
        <f t="shared" si="1"/>
        <v>90</v>
      </c>
    </row>
    <row r="1162" ht="15.75" customHeight="1">
      <c r="A1162" s="1">
        <f>IFERROR(__xludf.DUMMYFUNCTION("""COMPUTED_VALUE"""),45581.66666666667)</f>
        <v>45581.66667</v>
      </c>
      <c r="B1162" s="2">
        <f>IFERROR(__xludf.DUMMYFUNCTION("""COMPUTED_VALUE"""),4950.0)</f>
        <v>4950</v>
      </c>
      <c r="C1162" s="2">
        <f>IFERROR(__xludf.DUMMYFUNCTION("""COMPUTED_VALUE"""),4970.0)</f>
        <v>4970</v>
      </c>
      <c r="D1162" s="2">
        <f>IFERROR(__xludf.DUMMYFUNCTION("""COMPUTED_VALUE"""),4920.0)</f>
        <v>4920</v>
      </c>
      <c r="E1162" s="2">
        <f>IFERROR(__xludf.DUMMYFUNCTION("""COMPUTED_VALUE"""),4950.0)</f>
        <v>4950</v>
      </c>
      <c r="F1162" s="2">
        <f>IFERROR(__xludf.DUMMYFUNCTION("""COMPUTED_VALUE"""),1.180143E8)</f>
        <v>118014300</v>
      </c>
      <c r="G1162" s="2">
        <f t="shared" si="1"/>
        <v>50</v>
      </c>
    </row>
    <row r="1163" ht="15.75" customHeight="1">
      <c r="A1163" s="1">
        <f>IFERROR(__xludf.DUMMYFUNCTION("""COMPUTED_VALUE"""),45582.66666666667)</f>
        <v>45582.66667</v>
      </c>
      <c r="B1163" s="2">
        <f>IFERROR(__xludf.DUMMYFUNCTION("""COMPUTED_VALUE"""),4960.0)</f>
        <v>4960</v>
      </c>
      <c r="C1163" s="2">
        <f>IFERROR(__xludf.DUMMYFUNCTION("""COMPUTED_VALUE"""),5050.0)</f>
        <v>5050</v>
      </c>
      <c r="D1163" s="2">
        <f>IFERROR(__xludf.DUMMYFUNCTION("""COMPUTED_VALUE"""),4940.0)</f>
        <v>4940</v>
      </c>
      <c r="E1163" s="2">
        <f>IFERROR(__xludf.DUMMYFUNCTION("""COMPUTED_VALUE"""),4980.0)</f>
        <v>4980</v>
      </c>
      <c r="F1163" s="2">
        <f>IFERROR(__xludf.DUMMYFUNCTION("""COMPUTED_VALUE"""),1.881277E8)</f>
        <v>188127700</v>
      </c>
      <c r="G1163" s="2">
        <f t="shared" si="1"/>
        <v>110</v>
      </c>
    </row>
    <row r="1164" ht="15.75" customHeight="1">
      <c r="A1164" s="1">
        <f>IFERROR(__xludf.DUMMYFUNCTION("""COMPUTED_VALUE"""),45583.66666666667)</f>
        <v>45583.66667</v>
      </c>
      <c r="B1164" s="2">
        <f>IFERROR(__xludf.DUMMYFUNCTION("""COMPUTED_VALUE"""),5025.0)</f>
        <v>5025</v>
      </c>
      <c r="C1164" s="2">
        <f>IFERROR(__xludf.DUMMYFUNCTION("""COMPUTED_VALUE"""),5050.0)</f>
        <v>5050</v>
      </c>
      <c r="D1164" s="2">
        <f>IFERROR(__xludf.DUMMYFUNCTION("""COMPUTED_VALUE"""),4960.0)</f>
        <v>4960</v>
      </c>
      <c r="E1164" s="2">
        <f>IFERROR(__xludf.DUMMYFUNCTION("""COMPUTED_VALUE"""),4970.0)</f>
        <v>4970</v>
      </c>
      <c r="F1164" s="2">
        <f>IFERROR(__xludf.DUMMYFUNCTION("""COMPUTED_VALUE"""),1.57113E8)</f>
        <v>157113000</v>
      </c>
      <c r="G1164" s="2">
        <f t="shared" si="1"/>
        <v>90</v>
      </c>
    </row>
    <row r="1165" ht="15.75" customHeight="1">
      <c r="A1165" s="1">
        <f>IFERROR(__xludf.DUMMYFUNCTION("""COMPUTED_VALUE"""),45586.66666666667)</f>
        <v>45586.66667</v>
      </c>
      <c r="B1165" s="2">
        <f>IFERROR(__xludf.DUMMYFUNCTION("""COMPUTED_VALUE"""),4980.0)</f>
        <v>4980</v>
      </c>
      <c r="C1165" s="2">
        <f>IFERROR(__xludf.DUMMYFUNCTION("""COMPUTED_VALUE"""),5025.0)</f>
        <v>5025</v>
      </c>
      <c r="D1165" s="2">
        <f>IFERROR(__xludf.DUMMYFUNCTION("""COMPUTED_VALUE"""),4970.0)</f>
        <v>4970</v>
      </c>
      <c r="E1165" s="2">
        <f>IFERROR(__xludf.DUMMYFUNCTION("""COMPUTED_VALUE"""),4990.0)</f>
        <v>4990</v>
      </c>
      <c r="F1165" s="2">
        <f>IFERROR(__xludf.DUMMYFUNCTION("""COMPUTED_VALUE"""),1.107082E8)</f>
        <v>110708200</v>
      </c>
      <c r="G1165" s="2">
        <f t="shared" si="1"/>
        <v>55</v>
      </c>
    </row>
    <row r="1166" ht="15.75" customHeight="1">
      <c r="A1166" s="1">
        <f>IFERROR(__xludf.DUMMYFUNCTION("""COMPUTED_VALUE"""),45587.66666666667)</f>
        <v>45587.66667</v>
      </c>
      <c r="B1166" s="2">
        <f>IFERROR(__xludf.DUMMYFUNCTION("""COMPUTED_VALUE"""),4960.0)</f>
        <v>4960</v>
      </c>
      <c r="C1166" s="2">
        <f>IFERROR(__xludf.DUMMYFUNCTION("""COMPUTED_VALUE"""),4970.0)</f>
        <v>4970</v>
      </c>
      <c r="D1166" s="2">
        <f>IFERROR(__xludf.DUMMYFUNCTION("""COMPUTED_VALUE"""),4900.0)</f>
        <v>4900</v>
      </c>
      <c r="E1166" s="2">
        <f>IFERROR(__xludf.DUMMYFUNCTION("""COMPUTED_VALUE"""),4900.0)</f>
        <v>4900</v>
      </c>
      <c r="F1166" s="2">
        <f>IFERROR(__xludf.DUMMYFUNCTION("""COMPUTED_VALUE"""),1.997075E8)</f>
        <v>199707500</v>
      </c>
      <c r="G1166" s="2">
        <f t="shared" si="1"/>
        <v>90</v>
      </c>
    </row>
    <row r="1167" ht="15.75" customHeight="1">
      <c r="A1167" s="1">
        <f>IFERROR(__xludf.DUMMYFUNCTION("""COMPUTED_VALUE"""),45588.66666666667)</f>
        <v>45588.66667</v>
      </c>
      <c r="B1167" s="2">
        <f>IFERROR(__xludf.DUMMYFUNCTION("""COMPUTED_VALUE"""),4830.0)</f>
        <v>4830</v>
      </c>
      <c r="C1167" s="2">
        <f>IFERROR(__xludf.DUMMYFUNCTION("""COMPUTED_VALUE"""),4890.0)</f>
        <v>4890</v>
      </c>
      <c r="D1167" s="2">
        <f>IFERROR(__xludf.DUMMYFUNCTION("""COMPUTED_VALUE"""),4810.0)</f>
        <v>4810</v>
      </c>
      <c r="E1167" s="2">
        <f>IFERROR(__xludf.DUMMYFUNCTION("""COMPUTED_VALUE"""),4860.0)</f>
        <v>4860</v>
      </c>
      <c r="F1167" s="2">
        <f>IFERROR(__xludf.DUMMYFUNCTION("""COMPUTED_VALUE"""),2.221473E8)</f>
        <v>222147300</v>
      </c>
      <c r="G1167" s="2">
        <f t="shared" si="1"/>
        <v>90</v>
      </c>
    </row>
    <row r="1168" ht="15.75" customHeight="1">
      <c r="A1168" s="1">
        <f>IFERROR(__xludf.DUMMYFUNCTION("""COMPUTED_VALUE"""),45589.66666666667)</f>
        <v>45589.66667</v>
      </c>
      <c r="B1168" s="2">
        <f>IFERROR(__xludf.DUMMYFUNCTION("""COMPUTED_VALUE"""),4820.0)</f>
        <v>4820</v>
      </c>
      <c r="C1168" s="2">
        <f>IFERROR(__xludf.DUMMYFUNCTION("""COMPUTED_VALUE"""),4900.0)</f>
        <v>4900</v>
      </c>
      <c r="D1168" s="2">
        <f>IFERROR(__xludf.DUMMYFUNCTION("""COMPUTED_VALUE"""),4810.0)</f>
        <v>4810</v>
      </c>
      <c r="E1168" s="2">
        <f>IFERROR(__xludf.DUMMYFUNCTION("""COMPUTED_VALUE"""),4820.0)</f>
        <v>4820</v>
      </c>
      <c r="F1168" s="2">
        <f>IFERROR(__xludf.DUMMYFUNCTION("""COMPUTED_VALUE"""),2.181621E8)</f>
        <v>218162100</v>
      </c>
      <c r="G1168" s="2">
        <f t="shared" si="1"/>
        <v>90</v>
      </c>
    </row>
    <row r="1169" ht="15.75" customHeight="1">
      <c r="A1169" s="1">
        <f>IFERROR(__xludf.DUMMYFUNCTION("""COMPUTED_VALUE"""),45590.66666666667)</f>
        <v>45590.66667</v>
      </c>
      <c r="B1169" s="2">
        <f>IFERROR(__xludf.DUMMYFUNCTION("""COMPUTED_VALUE"""),4820.0)</f>
        <v>4820</v>
      </c>
      <c r="C1169" s="2">
        <f>IFERROR(__xludf.DUMMYFUNCTION("""COMPUTED_VALUE"""),4860.0)</f>
        <v>4860</v>
      </c>
      <c r="D1169" s="2">
        <f>IFERROR(__xludf.DUMMYFUNCTION("""COMPUTED_VALUE"""),4770.0)</f>
        <v>4770</v>
      </c>
      <c r="E1169" s="2">
        <f>IFERROR(__xludf.DUMMYFUNCTION("""COMPUTED_VALUE"""),4770.0)</f>
        <v>4770</v>
      </c>
      <c r="F1169" s="2">
        <f>IFERROR(__xludf.DUMMYFUNCTION("""COMPUTED_VALUE"""),1.956478E8)</f>
        <v>195647800</v>
      </c>
      <c r="G1169" s="2">
        <f t="shared" si="1"/>
        <v>90</v>
      </c>
    </row>
    <row r="1170" ht="15.75" customHeight="1">
      <c r="A1170" s="1">
        <f>IFERROR(__xludf.DUMMYFUNCTION("""COMPUTED_VALUE"""),45593.66666666667)</f>
        <v>45593.66667</v>
      </c>
      <c r="B1170" s="2">
        <f>IFERROR(__xludf.DUMMYFUNCTION("""COMPUTED_VALUE"""),4770.0)</f>
        <v>4770</v>
      </c>
      <c r="C1170" s="2">
        <f>IFERROR(__xludf.DUMMYFUNCTION("""COMPUTED_VALUE"""),4800.0)</f>
        <v>4800</v>
      </c>
      <c r="D1170" s="2">
        <f>IFERROR(__xludf.DUMMYFUNCTION("""COMPUTED_VALUE"""),4710.0)</f>
        <v>4710</v>
      </c>
      <c r="E1170" s="2">
        <f>IFERROR(__xludf.DUMMYFUNCTION("""COMPUTED_VALUE"""),4760.0)</f>
        <v>4760</v>
      </c>
      <c r="F1170" s="2">
        <f>IFERROR(__xludf.DUMMYFUNCTION("""COMPUTED_VALUE"""),1.91211E8)</f>
        <v>191211000</v>
      </c>
      <c r="G1170" s="2">
        <f t="shared" si="1"/>
        <v>90</v>
      </c>
    </row>
    <row r="1171" ht="15.75" customHeight="1">
      <c r="A1171" s="1">
        <f>IFERROR(__xludf.DUMMYFUNCTION("""COMPUTED_VALUE"""),45594.66666666667)</f>
        <v>45594.66667</v>
      </c>
      <c r="B1171" s="2">
        <f>IFERROR(__xludf.DUMMYFUNCTION("""COMPUTED_VALUE"""),4730.0)</f>
        <v>4730</v>
      </c>
      <c r="C1171" s="2">
        <f>IFERROR(__xludf.DUMMYFUNCTION("""COMPUTED_VALUE"""),4780.0)</f>
        <v>4780</v>
      </c>
      <c r="D1171" s="2">
        <f>IFERROR(__xludf.DUMMYFUNCTION("""COMPUTED_VALUE"""),4700.0)</f>
        <v>4700</v>
      </c>
      <c r="E1171" s="2">
        <f>IFERROR(__xludf.DUMMYFUNCTION("""COMPUTED_VALUE"""),4700.0)</f>
        <v>4700</v>
      </c>
      <c r="F1171" s="2">
        <f>IFERROR(__xludf.DUMMYFUNCTION("""COMPUTED_VALUE"""),2.036586E8)</f>
        <v>203658600</v>
      </c>
      <c r="G1171" s="2">
        <f t="shared" si="1"/>
        <v>80</v>
      </c>
    </row>
    <row r="1172" ht="15.75" customHeight="1">
      <c r="A1172" s="1">
        <f>IFERROR(__xludf.DUMMYFUNCTION("""COMPUTED_VALUE"""),45595.66666666667)</f>
        <v>45595.66667</v>
      </c>
      <c r="B1172" s="2">
        <f>IFERROR(__xludf.DUMMYFUNCTION("""COMPUTED_VALUE"""),4630.0)</f>
        <v>4630</v>
      </c>
      <c r="C1172" s="2">
        <f>IFERROR(__xludf.DUMMYFUNCTION("""COMPUTED_VALUE"""),4750.0)</f>
        <v>4750</v>
      </c>
      <c r="D1172" s="2">
        <f>IFERROR(__xludf.DUMMYFUNCTION("""COMPUTED_VALUE"""),4630.0)</f>
        <v>4630</v>
      </c>
      <c r="E1172" s="2">
        <f>IFERROR(__xludf.DUMMYFUNCTION("""COMPUTED_VALUE"""),4710.0)</f>
        <v>4710</v>
      </c>
      <c r="F1172" s="2">
        <f>IFERROR(__xludf.DUMMYFUNCTION("""COMPUTED_VALUE"""),2.963145E8)</f>
        <v>296314500</v>
      </c>
      <c r="G1172" s="2">
        <f t="shared" si="1"/>
        <v>120</v>
      </c>
    </row>
    <row r="1173" ht="15.75" customHeight="1">
      <c r="A1173" s="1">
        <f>IFERROR(__xludf.DUMMYFUNCTION("""COMPUTED_VALUE"""),45596.66666666667)</f>
        <v>45596.66667</v>
      </c>
      <c r="B1173" s="2">
        <f>IFERROR(__xludf.DUMMYFUNCTION("""COMPUTED_VALUE"""),4710.0)</f>
        <v>4710</v>
      </c>
      <c r="C1173" s="2">
        <f>IFERROR(__xludf.DUMMYFUNCTION("""COMPUTED_VALUE"""),4870.0)</f>
        <v>4870</v>
      </c>
      <c r="D1173" s="2">
        <f>IFERROR(__xludf.DUMMYFUNCTION("""COMPUTED_VALUE"""),4710.0)</f>
        <v>4710</v>
      </c>
      <c r="E1173" s="2">
        <f>IFERROR(__xludf.DUMMYFUNCTION("""COMPUTED_VALUE"""),4800.0)</f>
        <v>4800</v>
      </c>
      <c r="F1173" s="2">
        <f>IFERROR(__xludf.DUMMYFUNCTION("""COMPUTED_VALUE"""),3.071104E8)</f>
        <v>307110400</v>
      </c>
      <c r="G1173" s="2">
        <f t="shared" si="1"/>
        <v>160</v>
      </c>
    </row>
    <row r="1174" ht="15.75" customHeight="1">
      <c r="A1174" s="1">
        <f>IFERROR(__xludf.DUMMYFUNCTION("""COMPUTED_VALUE"""),45597.66666666667)</f>
        <v>45597.66667</v>
      </c>
      <c r="B1174" s="2">
        <f>IFERROR(__xludf.DUMMYFUNCTION("""COMPUTED_VALUE"""),4770.0)</f>
        <v>4770</v>
      </c>
      <c r="C1174" s="2">
        <f>IFERROR(__xludf.DUMMYFUNCTION("""COMPUTED_VALUE"""),4820.0)</f>
        <v>4820</v>
      </c>
      <c r="D1174" s="2">
        <f>IFERROR(__xludf.DUMMYFUNCTION("""COMPUTED_VALUE"""),4700.0)</f>
        <v>4700</v>
      </c>
      <c r="E1174" s="2">
        <f>IFERROR(__xludf.DUMMYFUNCTION("""COMPUTED_VALUE"""),4700.0)</f>
        <v>4700</v>
      </c>
      <c r="F1174" s="2">
        <f>IFERROR(__xludf.DUMMYFUNCTION("""COMPUTED_VALUE"""),2.356564E8)</f>
        <v>235656400</v>
      </c>
      <c r="G1174" s="2">
        <f t="shared" si="1"/>
        <v>120</v>
      </c>
    </row>
    <row r="1175" ht="15.75" customHeight="1">
      <c r="A1175" s="1">
        <f>IFERROR(__xludf.DUMMYFUNCTION("""COMPUTED_VALUE"""),45600.66666666667)</f>
        <v>45600.66667</v>
      </c>
      <c r="B1175" s="2">
        <f>IFERROR(__xludf.DUMMYFUNCTION("""COMPUTED_VALUE"""),4710.0)</f>
        <v>4710</v>
      </c>
      <c r="C1175" s="2">
        <f>IFERROR(__xludf.DUMMYFUNCTION("""COMPUTED_VALUE"""),4770.0)</f>
        <v>4770</v>
      </c>
      <c r="D1175" s="2">
        <f>IFERROR(__xludf.DUMMYFUNCTION("""COMPUTED_VALUE"""),4650.0)</f>
        <v>4650</v>
      </c>
      <c r="E1175" s="2">
        <f>IFERROR(__xludf.DUMMYFUNCTION("""COMPUTED_VALUE"""),4720.0)</f>
        <v>4720</v>
      </c>
      <c r="F1175" s="2">
        <f>IFERROR(__xludf.DUMMYFUNCTION("""COMPUTED_VALUE"""),2.098315E8)</f>
        <v>209831500</v>
      </c>
      <c r="G1175" s="2">
        <f t="shared" si="1"/>
        <v>120</v>
      </c>
    </row>
    <row r="1176" ht="15.75" customHeight="1">
      <c r="A1176" s="1">
        <f>IFERROR(__xludf.DUMMYFUNCTION("""COMPUTED_VALUE"""),45601.66666666667)</f>
        <v>45601.66667</v>
      </c>
      <c r="B1176" s="2">
        <f>IFERROR(__xludf.DUMMYFUNCTION("""COMPUTED_VALUE"""),4690.0)</f>
        <v>4690</v>
      </c>
      <c r="C1176" s="2">
        <f>IFERROR(__xludf.DUMMYFUNCTION("""COMPUTED_VALUE"""),4740.0)</f>
        <v>4740</v>
      </c>
      <c r="D1176" s="2">
        <f>IFERROR(__xludf.DUMMYFUNCTION("""COMPUTED_VALUE"""),4680.0)</f>
        <v>4680</v>
      </c>
      <c r="E1176" s="2">
        <f>IFERROR(__xludf.DUMMYFUNCTION("""COMPUTED_VALUE"""),4710.0)</f>
        <v>4710</v>
      </c>
      <c r="F1176" s="2">
        <f>IFERROR(__xludf.DUMMYFUNCTION("""COMPUTED_VALUE"""),1.994993E8)</f>
        <v>199499300</v>
      </c>
      <c r="G1176" s="2">
        <f t="shared" si="1"/>
        <v>60</v>
      </c>
    </row>
    <row r="1177" ht="15.75" customHeight="1">
      <c r="A1177" s="1">
        <f>IFERROR(__xludf.DUMMYFUNCTION("""COMPUTED_VALUE"""),45602.66666666667)</f>
        <v>45602.66667</v>
      </c>
      <c r="B1177" s="2">
        <f>IFERROR(__xludf.DUMMYFUNCTION("""COMPUTED_VALUE"""),4710.0)</f>
        <v>4710</v>
      </c>
      <c r="C1177" s="2">
        <f>IFERROR(__xludf.DUMMYFUNCTION("""COMPUTED_VALUE"""),4730.0)</f>
        <v>4730</v>
      </c>
      <c r="D1177" s="2">
        <f>IFERROR(__xludf.DUMMYFUNCTION("""COMPUTED_VALUE"""),4600.0)</f>
        <v>4600</v>
      </c>
      <c r="E1177" s="2">
        <f>IFERROR(__xludf.DUMMYFUNCTION("""COMPUTED_VALUE"""),4600.0)</f>
        <v>4600</v>
      </c>
      <c r="F1177" s="2">
        <f>IFERROR(__xludf.DUMMYFUNCTION("""COMPUTED_VALUE"""),2.490595E8)</f>
        <v>249059500</v>
      </c>
      <c r="G1177" s="2">
        <f t="shared" si="1"/>
        <v>130</v>
      </c>
    </row>
    <row r="1178" ht="15.75" customHeight="1">
      <c r="A1178" s="1">
        <f>IFERROR(__xludf.DUMMYFUNCTION("""COMPUTED_VALUE"""),45603.66666666667)</f>
        <v>45603.66667</v>
      </c>
      <c r="B1178" s="2">
        <f>IFERROR(__xludf.DUMMYFUNCTION("""COMPUTED_VALUE"""),4610.0)</f>
        <v>4610</v>
      </c>
      <c r="C1178" s="2">
        <f>IFERROR(__xludf.DUMMYFUNCTION("""COMPUTED_VALUE"""),4640.0)</f>
        <v>4640</v>
      </c>
      <c r="D1178" s="2">
        <f>IFERROR(__xludf.DUMMYFUNCTION("""COMPUTED_VALUE"""),4550.0)</f>
        <v>4550</v>
      </c>
      <c r="E1178" s="2">
        <f>IFERROR(__xludf.DUMMYFUNCTION("""COMPUTED_VALUE"""),4550.0)</f>
        <v>4550</v>
      </c>
      <c r="F1178" s="2">
        <f>IFERROR(__xludf.DUMMYFUNCTION("""COMPUTED_VALUE"""),2.962186E8)</f>
        <v>296218600</v>
      </c>
      <c r="G1178" s="2">
        <f t="shared" si="1"/>
        <v>90</v>
      </c>
    </row>
    <row r="1179" ht="15.75" customHeight="1">
      <c r="A1179" s="1">
        <f>IFERROR(__xludf.DUMMYFUNCTION("""COMPUTED_VALUE"""),45604.66666666667)</f>
        <v>45604.66667</v>
      </c>
      <c r="B1179" s="2">
        <f>IFERROR(__xludf.DUMMYFUNCTION("""COMPUTED_VALUE"""),4600.0)</f>
        <v>4600</v>
      </c>
      <c r="C1179" s="2">
        <f>IFERROR(__xludf.DUMMYFUNCTION("""COMPUTED_VALUE"""),4640.0)</f>
        <v>4640</v>
      </c>
      <c r="D1179" s="2">
        <f>IFERROR(__xludf.DUMMYFUNCTION("""COMPUTED_VALUE"""),4520.0)</f>
        <v>4520</v>
      </c>
      <c r="E1179" s="2">
        <f>IFERROR(__xludf.DUMMYFUNCTION("""COMPUTED_VALUE"""),4520.0)</f>
        <v>4520</v>
      </c>
      <c r="F1179" s="2">
        <f>IFERROR(__xludf.DUMMYFUNCTION("""COMPUTED_VALUE"""),2.138626E8)</f>
        <v>213862600</v>
      </c>
      <c r="G1179" s="2">
        <f t="shared" si="1"/>
        <v>120</v>
      </c>
    </row>
    <row r="1180" ht="15.75" customHeight="1">
      <c r="A1180" s="1">
        <f>IFERROR(__xludf.DUMMYFUNCTION("""COMPUTED_VALUE"""),45607.66666666667)</f>
        <v>45607.66667</v>
      </c>
      <c r="B1180" s="2">
        <f>IFERROR(__xludf.DUMMYFUNCTION("""COMPUTED_VALUE"""),4470.0)</f>
        <v>4470</v>
      </c>
      <c r="C1180" s="2">
        <f>IFERROR(__xludf.DUMMYFUNCTION("""COMPUTED_VALUE"""),4540.0)</f>
        <v>4540</v>
      </c>
      <c r="D1180" s="2">
        <f>IFERROR(__xludf.DUMMYFUNCTION("""COMPUTED_VALUE"""),4370.0)</f>
        <v>4370</v>
      </c>
      <c r="E1180" s="2">
        <f>IFERROR(__xludf.DUMMYFUNCTION("""COMPUTED_VALUE"""),4460.0)</f>
        <v>4460</v>
      </c>
      <c r="F1180" s="2">
        <f>IFERROR(__xludf.DUMMYFUNCTION("""COMPUTED_VALUE"""),5.071923E8)</f>
        <v>507192300</v>
      </c>
      <c r="G1180" s="2">
        <f t="shared" si="1"/>
        <v>170</v>
      </c>
    </row>
    <row r="1181" ht="15.75" customHeight="1">
      <c r="A1181" s="1">
        <f>IFERROR(__xludf.DUMMYFUNCTION("""COMPUTED_VALUE"""),45608.66666666667)</f>
        <v>45608.66667</v>
      </c>
      <c r="B1181" s="2">
        <f>IFERROR(__xludf.DUMMYFUNCTION("""COMPUTED_VALUE"""),4430.0)</f>
        <v>4430</v>
      </c>
      <c r="C1181" s="2">
        <f>IFERROR(__xludf.DUMMYFUNCTION("""COMPUTED_VALUE"""),4520.0)</f>
        <v>4520</v>
      </c>
      <c r="D1181" s="2">
        <f>IFERROR(__xludf.DUMMYFUNCTION("""COMPUTED_VALUE"""),4430.0)</f>
        <v>4430</v>
      </c>
      <c r="E1181" s="2">
        <f>IFERROR(__xludf.DUMMYFUNCTION("""COMPUTED_VALUE"""),4500.0)</f>
        <v>4500</v>
      </c>
      <c r="F1181" s="2">
        <f>IFERROR(__xludf.DUMMYFUNCTION("""COMPUTED_VALUE"""),2.523801E8)</f>
        <v>252380100</v>
      </c>
      <c r="G1181" s="2">
        <f t="shared" si="1"/>
        <v>90</v>
      </c>
    </row>
    <row r="1182" ht="15.75" customHeight="1">
      <c r="A1182" s="1">
        <f>IFERROR(__xludf.DUMMYFUNCTION("""COMPUTED_VALUE"""),45609.66666666667)</f>
        <v>45609.66667</v>
      </c>
      <c r="B1182" s="2">
        <f>IFERROR(__xludf.DUMMYFUNCTION("""COMPUTED_VALUE"""),4470.0)</f>
        <v>4470</v>
      </c>
      <c r="C1182" s="2">
        <f>IFERROR(__xludf.DUMMYFUNCTION("""COMPUTED_VALUE"""),4610.0)</f>
        <v>4610</v>
      </c>
      <c r="D1182" s="2">
        <f>IFERROR(__xludf.DUMMYFUNCTION("""COMPUTED_VALUE"""),4460.0)</f>
        <v>4460</v>
      </c>
      <c r="E1182" s="2">
        <f>IFERROR(__xludf.DUMMYFUNCTION("""COMPUTED_VALUE"""),4580.0)</f>
        <v>4580</v>
      </c>
      <c r="F1182" s="2">
        <f>IFERROR(__xludf.DUMMYFUNCTION("""COMPUTED_VALUE"""),2.096272E8)</f>
        <v>209627200</v>
      </c>
      <c r="G1182" s="2">
        <f t="shared" si="1"/>
        <v>150</v>
      </c>
    </row>
    <row r="1183" ht="15.75" customHeight="1">
      <c r="A1183" s="1">
        <f>IFERROR(__xludf.DUMMYFUNCTION("""COMPUTED_VALUE"""),45610.66666666667)</f>
        <v>45610.66667</v>
      </c>
      <c r="B1183" s="2">
        <f>IFERROR(__xludf.DUMMYFUNCTION("""COMPUTED_VALUE"""),4570.0)</f>
        <v>4570</v>
      </c>
      <c r="C1183" s="2">
        <f>IFERROR(__xludf.DUMMYFUNCTION("""COMPUTED_VALUE"""),4590.0)</f>
        <v>4590</v>
      </c>
      <c r="D1183" s="2">
        <f>IFERROR(__xludf.DUMMYFUNCTION("""COMPUTED_VALUE"""),4500.0)</f>
        <v>4500</v>
      </c>
      <c r="E1183" s="2">
        <f>IFERROR(__xludf.DUMMYFUNCTION("""COMPUTED_VALUE"""),4500.0)</f>
        <v>4500</v>
      </c>
      <c r="F1183" s="2">
        <f>IFERROR(__xludf.DUMMYFUNCTION("""COMPUTED_VALUE"""),1.598718E8)</f>
        <v>159871800</v>
      </c>
      <c r="G1183" s="2">
        <f t="shared" si="1"/>
        <v>90</v>
      </c>
    </row>
    <row r="1184" ht="15.75" customHeight="1">
      <c r="A1184" s="1">
        <f>IFERROR(__xludf.DUMMYFUNCTION("""COMPUTED_VALUE"""),45611.66666666667)</f>
        <v>45611.66667</v>
      </c>
      <c r="B1184" s="2">
        <f>IFERROR(__xludf.DUMMYFUNCTION("""COMPUTED_VALUE"""),4450.0)</f>
        <v>4450</v>
      </c>
      <c r="C1184" s="2">
        <f>IFERROR(__xludf.DUMMYFUNCTION("""COMPUTED_VALUE"""),4510.0)</f>
        <v>4510</v>
      </c>
      <c r="D1184" s="2">
        <f>IFERROR(__xludf.DUMMYFUNCTION("""COMPUTED_VALUE"""),4450.0)</f>
        <v>4450</v>
      </c>
      <c r="E1184" s="2">
        <f>IFERROR(__xludf.DUMMYFUNCTION("""COMPUTED_VALUE"""),4470.0)</f>
        <v>4470</v>
      </c>
      <c r="F1184" s="2">
        <f>IFERROR(__xludf.DUMMYFUNCTION("""COMPUTED_VALUE"""),1.063656E8)</f>
        <v>106365600</v>
      </c>
      <c r="G1184" s="2">
        <f t="shared" si="1"/>
        <v>60</v>
      </c>
    </row>
    <row r="1185" ht="15.75" customHeight="1">
      <c r="A1185" s="1">
        <f>IFERROR(__xludf.DUMMYFUNCTION("""COMPUTED_VALUE"""),45614.66666666667)</f>
        <v>45614.66667</v>
      </c>
      <c r="B1185" s="2">
        <f>IFERROR(__xludf.DUMMYFUNCTION("""COMPUTED_VALUE"""),4440.0)</f>
        <v>4440</v>
      </c>
      <c r="C1185" s="2">
        <f>IFERROR(__xludf.DUMMYFUNCTION("""COMPUTED_VALUE"""),4460.0)</f>
        <v>4460</v>
      </c>
      <c r="D1185" s="2">
        <f>IFERROR(__xludf.DUMMYFUNCTION("""COMPUTED_VALUE"""),4350.0)</f>
        <v>4350</v>
      </c>
      <c r="E1185" s="2">
        <f>IFERROR(__xludf.DUMMYFUNCTION("""COMPUTED_VALUE"""),4350.0)</f>
        <v>4350</v>
      </c>
      <c r="F1185" s="2">
        <f>IFERROR(__xludf.DUMMYFUNCTION("""COMPUTED_VALUE"""),2.532723E8)</f>
        <v>253272300</v>
      </c>
      <c r="G1185" s="2">
        <f t="shared" si="1"/>
        <v>120</v>
      </c>
    </row>
    <row r="1186" ht="15.75" customHeight="1">
      <c r="A1186" s="1">
        <f>IFERROR(__xludf.DUMMYFUNCTION("""COMPUTED_VALUE"""),45615.66666666667)</f>
        <v>45615.66667</v>
      </c>
      <c r="B1186" s="2">
        <f>IFERROR(__xludf.DUMMYFUNCTION("""COMPUTED_VALUE"""),4350.0)</f>
        <v>4350</v>
      </c>
      <c r="C1186" s="2">
        <f>IFERROR(__xludf.DUMMYFUNCTION("""COMPUTED_VALUE"""),4410.0)</f>
        <v>4410</v>
      </c>
      <c r="D1186" s="2">
        <f>IFERROR(__xludf.DUMMYFUNCTION("""COMPUTED_VALUE"""),4350.0)</f>
        <v>4350</v>
      </c>
      <c r="E1186" s="2">
        <f>IFERROR(__xludf.DUMMYFUNCTION("""COMPUTED_VALUE"""),4360.0)</f>
        <v>4360</v>
      </c>
      <c r="F1186" s="2">
        <f>IFERROR(__xludf.DUMMYFUNCTION("""COMPUTED_VALUE"""),2.948387E8)</f>
        <v>294838700</v>
      </c>
      <c r="G1186" s="2">
        <f t="shared" si="1"/>
        <v>60</v>
      </c>
    </row>
    <row r="1187" ht="15.75" customHeight="1">
      <c r="A1187" s="1">
        <f>IFERROR(__xludf.DUMMYFUNCTION("""COMPUTED_VALUE"""),45616.66666666667)</f>
        <v>45616.66667</v>
      </c>
      <c r="B1187" s="2">
        <f>IFERROR(__xludf.DUMMYFUNCTION("""COMPUTED_VALUE"""),4400.0)</f>
        <v>4400</v>
      </c>
      <c r="C1187" s="2">
        <f>IFERROR(__xludf.DUMMYFUNCTION("""COMPUTED_VALUE"""),4440.0)</f>
        <v>4440</v>
      </c>
      <c r="D1187" s="2">
        <f>IFERROR(__xludf.DUMMYFUNCTION("""COMPUTED_VALUE"""),4330.0)</f>
        <v>4330</v>
      </c>
      <c r="E1187" s="2">
        <f>IFERROR(__xludf.DUMMYFUNCTION("""COMPUTED_VALUE"""),4330.0)</f>
        <v>4330</v>
      </c>
      <c r="F1187" s="2">
        <f>IFERROR(__xludf.DUMMYFUNCTION("""COMPUTED_VALUE"""),2.987346E8)</f>
        <v>298734600</v>
      </c>
      <c r="G1187" s="2">
        <f t="shared" si="1"/>
        <v>110</v>
      </c>
    </row>
    <row r="1188" ht="15.75" customHeight="1">
      <c r="A1188" s="1">
        <f>IFERROR(__xludf.DUMMYFUNCTION("""COMPUTED_VALUE"""),45617.66666666667)</f>
        <v>45617.66667</v>
      </c>
      <c r="B1188" s="2">
        <f>IFERROR(__xludf.DUMMYFUNCTION("""COMPUTED_VALUE"""),4280.0)</f>
        <v>4280</v>
      </c>
      <c r="C1188" s="2">
        <f>IFERROR(__xludf.DUMMYFUNCTION("""COMPUTED_VALUE"""),4320.0)</f>
        <v>4320</v>
      </c>
      <c r="D1188" s="2">
        <f>IFERROR(__xludf.DUMMYFUNCTION("""COMPUTED_VALUE"""),4250.0)</f>
        <v>4250</v>
      </c>
      <c r="E1188" s="2">
        <f>IFERROR(__xludf.DUMMYFUNCTION("""COMPUTED_VALUE"""),4250.0)</f>
        <v>4250</v>
      </c>
      <c r="F1188" s="2">
        <f>IFERROR(__xludf.DUMMYFUNCTION("""COMPUTED_VALUE"""),3.767884E8)</f>
        <v>376788400</v>
      </c>
      <c r="G1188" s="2">
        <f t="shared" si="1"/>
        <v>80</v>
      </c>
    </row>
    <row r="1189" ht="15.75" customHeight="1">
      <c r="A1189" s="1">
        <f>IFERROR(__xludf.DUMMYFUNCTION("""COMPUTED_VALUE"""),45618.66666666667)</f>
        <v>45618.66667</v>
      </c>
      <c r="B1189" s="2">
        <f>IFERROR(__xludf.DUMMYFUNCTION("""COMPUTED_VALUE"""),4250.0)</f>
        <v>4250</v>
      </c>
      <c r="C1189" s="2">
        <f>IFERROR(__xludf.DUMMYFUNCTION("""COMPUTED_VALUE"""),4420.0)</f>
        <v>4420</v>
      </c>
      <c r="D1189" s="2">
        <f>IFERROR(__xludf.DUMMYFUNCTION("""COMPUTED_VALUE"""),4250.0)</f>
        <v>4250</v>
      </c>
      <c r="E1189" s="2">
        <f>IFERROR(__xludf.DUMMYFUNCTION("""COMPUTED_VALUE"""),4400.0)</f>
        <v>4400</v>
      </c>
      <c r="F1189" s="2">
        <f>IFERROR(__xludf.DUMMYFUNCTION("""COMPUTED_VALUE"""),2.801881E8)</f>
        <v>280188100</v>
      </c>
      <c r="G1189" s="2">
        <f t="shared" si="1"/>
        <v>170</v>
      </c>
    </row>
    <row r="1190" ht="15.75" customHeight="1">
      <c r="A1190" s="1">
        <f>IFERROR(__xludf.DUMMYFUNCTION("""COMPUTED_VALUE"""),45621.66666666667)</f>
        <v>45621.66667</v>
      </c>
      <c r="B1190" s="2">
        <f>IFERROR(__xludf.DUMMYFUNCTION("""COMPUTED_VALUE"""),4420.0)</f>
        <v>4420</v>
      </c>
      <c r="C1190" s="2">
        <f>IFERROR(__xludf.DUMMYFUNCTION("""COMPUTED_VALUE"""),4530.0)</f>
        <v>4530</v>
      </c>
      <c r="D1190" s="2">
        <f>IFERROR(__xludf.DUMMYFUNCTION("""COMPUTED_VALUE"""),4420.0)</f>
        <v>4420</v>
      </c>
      <c r="E1190" s="2">
        <f>IFERROR(__xludf.DUMMYFUNCTION("""COMPUTED_VALUE"""),4470.0)</f>
        <v>4470</v>
      </c>
      <c r="F1190" s="2">
        <f>IFERROR(__xludf.DUMMYFUNCTION("""COMPUTED_VALUE"""),4.014464E8)</f>
        <v>401446400</v>
      </c>
      <c r="G1190" s="2">
        <f t="shared" si="1"/>
        <v>130</v>
      </c>
    </row>
    <row r="1191" ht="15.75" customHeight="1">
      <c r="A1191" s="1">
        <f>IFERROR(__xludf.DUMMYFUNCTION("""COMPUTED_VALUE"""),45622.66666666667)</f>
        <v>45622.66667</v>
      </c>
      <c r="B1191" s="2">
        <f>IFERROR(__xludf.DUMMYFUNCTION("""COMPUTED_VALUE"""),4450.0)</f>
        <v>4450</v>
      </c>
      <c r="C1191" s="2">
        <f>IFERROR(__xludf.DUMMYFUNCTION("""COMPUTED_VALUE"""),4470.0)</f>
        <v>4470</v>
      </c>
      <c r="D1191" s="2">
        <f>IFERROR(__xludf.DUMMYFUNCTION("""COMPUTED_VALUE"""),4380.0)</f>
        <v>4380</v>
      </c>
      <c r="E1191" s="2">
        <f>IFERROR(__xludf.DUMMYFUNCTION("""COMPUTED_VALUE"""),4400.0)</f>
        <v>4400</v>
      </c>
      <c r="F1191" s="2">
        <f>IFERROR(__xludf.DUMMYFUNCTION("""COMPUTED_VALUE"""),2.666775E8)</f>
        <v>266677500</v>
      </c>
      <c r="G1191" s="2">
        <f t="shared" si="1"/>
        <v>90</v>
      </c>
    </row>
    <row r="1192" ht="15.75" customHeight="1">
      <c r="A1192" s="1">
        <f>IFERROR(__xludf.DUMMYFUNCTION("""COMPUTED_VALUE"""),45624.66666666667)</f>
        <v>45624.66667</v>
      </c>
      <c r="B1192" s="2">
        <f>IFERROR(__xludf.DUMMYFUNCTION("""COMPUTED_VALUE"""),4350.0)</f>
        <v>4350</v>
      </c>
      <c r="C1192" s="2">
        <f>IFERROR(__xludf.DUMMYFUNCTION("""COMPUTED_VALUE"""),4390.0)</f>
        <v>4390</v>
      </c>
      <c r="D1192" s="2">
        <f>IFERROR(__xludf.DUMMYFUNCTION("""COMPUTED_VALUE"""),4330.0)</f>
        <v>4330</v>
      </c>
      <c r="E1192" s="2">
        <f>IFERROR(__xludf.DUMMYFUNCTION("""COMPUTED_VALUE"""),4330.0)</f>
        <v>4330</v>
      </c>
      <c r="F1192" s="2">
        <f>IFERROR(__xludf.DUMMYFUNCTION("""COMPUTED_VALUE"""),2.770818E8)</f>
        <v>277081800</v>
      </c>
      <c r="G1192" s="2">
        <f t="shared" si="1"/>
        <v>70</v>
      </c>
    </row>
    <row r="1193" ht="15.75" customHeight="1">
      <c r="A1193" s="1">
        <f>IFERROR(__xludf.DUMMYFUNCTION("""COMPUTED_VALUE"""),45625.66666666667)</f>
        <v>45625.66667</v>
      </c>
      <c r="B1193" s="2">
        <f>IFERROR(__xludf.DUMMYFUNCTION("""COMPUTED_VALUE"""),4280.0)</f>
        <v>4280</v>
      </c>
      <c r="C1193" s="2">
        <f>IFERROR(__xludf.DUMMYFUNCTION("""COMPUTED_VALUE"""),4300.0)</f>
        <v>4300</v>
      </c>
      <c r="D1193" s="2">
        <f>IFERROR(__xludf.DUMMYFUNCTION("""COMPUTED_VALUE"""),4250.0)</f>
        <v>4250</v>
      </c>
      <c r="E1193" s="2">
        <f>IFERROR(__xludf.DUMMYFUNCTION("""COMPUTED_VALUE"""),4250.0)</f>
        <v>4250</v>
      </c>
      <c r="F1193" s="2">
        <f>IFERROR(__xludf.DUMMYFUNCTION("""COMPUTED_VALUE"""),4.125198E8)</f>
        <v>412519800</v>
      </c>
      <c r="G1193" s="2">
        <f t="shared" si="1"/>
        <v>80</v>
      </c>
    </row>
    <row r="1194" ht="15.75" customHeight="1">
      <c r="A1194" s="1">
        <f>IFERROR(__xludf.DUMMYFUNCTION("""COMPUTED_VALUE"""),45628.66666666667)</f>
        <v>45628.66667</v>
      </c>
      <c r="B1194" s="2">
        <f>IFERROR(__xludf.DUMMYFUNCTION("""COMPUTED_VALUE"""),4270.0)</f>
        <v>4270</v>
      </c>
      <c r="C1194" s="2">
        <f>IFERROR(__xludf.DUMMYFUNCTION("""COMPUTED_VALUE"""),4280.0)</f>
        <v>4280</v>
      </c>
      <c r="D1194" s="2">
        <f>IFERROR(__xludf.DUMMYFUNCTION("""COMPUTED_VALUE"""),4160.0)</f>
        <v>4160</v>
      </c>
      <c r="E1194" s="2">
        <f>IFERROR(__xludf.DUMMYFUNCTION("""COMPUTED_VALUE"""),4170.0)</f>
        <v>4170</v>
      </c>
      <c r="F1194" s="2">
        <f>IFERROR(__xludf.DUMMYFUNCTION("""COMPUTED_VALUE"""),3.371889E8)</f>
        <v>337188900</v>
      </c>
      <c r="G1194" s="2">
        <f t="shared" si="1"/>
        <v>120</v>
      </c>
    </row>
    <row r="1195" ht="15.75" customHeight="1">
      <c r="A1195" s="1">
        <f>IFERROR(__xludf.DUMMYFUNCTION("""COMPUTED_VALUE"""),45629.66666666667)</f>
        <v>45629.66667</v>
      </c>
      <c r="B1195" s="2">
        <f>IFERROR(__xludf.DUMMYFUNCTION("""COMPUTED_VALUE"""),4240.0)</f>
        <v>4240</v>
      </c>
      <c r="C1195" s="2">
        <f>IFERROR(__xludf.DUMMYFUNCTION("""COMPUTED_VALUE"""),4250.0)</f>
        <v>4250</v>
      </c>
      <c r="D1195" s="2">
        <f>IFERROR(__xludf.DUMMYFUNCTION("""COMPUTED_VALUE"""),4210.0)</f>
        <v>4210</v>
      </c>
      <c r="E1195" s="2">
        <f>IFERROR(__xludf.DUMMYFUNCTION("""COMPUTED_VALUE"""),4240.0)</f>
        <v>4240</v>
      </c>
      <c r="F1195" s="2">
        <f>IFERROR(__xludf.DUMMYFUNCTION("""COMPUTED_VALUE"""),3.841467E8)</f>
        <v>384146700</v>
      </c>
      <c r="G1195" s="2">
        <f t="shared" si="1"/>
        <v>80</v>
      </c>
    </row>
    <row r="1196" ht="15.75" customHeight="1">
      <c r="A1196" s="1">
        <f>IFERROR(__xludf.DUMMYFUNCTION("""COMPUTED_VALUE"""),45630.66666666667)</f>
        <v>45630.66667</v>
      </c>
      <c r="B1196" s="2">
        <f>IFERROR(__xludf.DUMMYFUNCTION("""COMPUTED_VALUE"""),4240.0)</f>
        <v>4240</v>
      </c>
      <c r="C1196" s="2">
        <f>IFERROR(__xludf.DUMMYFUNCTION("""COMPUTED_VALUE"""),4370.0)</f>
        <v>4370</v>
      </c>
      <c r="D1196" s="2">
        <f>IFERROR(__xludf.DUMMYFUNCTION("""COMPUTED_VALUE"""),4220.0)</f>
        <v>4220</v>
      </c>
      <c r="E1196" s="2">
        <f>IFERROR(__xludf.DUMMYFUNCTION("""COMPUTED_VALUE"""),4350.0)</f>
        <v>4350</v>
      </c>
      <c r="F1196" s="2">
        <f>IFERROR(__xludf.DUMMYFUNCTION("""COMPUTED_VALUE"""),3.457622E8)</f>
        <v>345762200</v>
      </c>
      <c r="G1196" s="2">
        <f t="shared" si="1"/>
        <v>150</v>
      </c>
    </row>
    <row r="1197" ht="15.75" customHeight="1">
      <c r="A1197" s="1">
        <f>IFERROR(__xludf.DUMMYFUNCTION("""COMPUTED_VALUE"""),45631.66666666667)</f>
        <v>45631.66667</v>
      </c>
      <c r="B1197" s="2">
        <f>IFERROR(__xludf.DUMMYFUNCTION("""COMPUTED_VALUE"""),4310.0)</f>
        <v>4310</v>
      </c>
      <c r="C1197" s="2">
        <f>IFERROR(__xludf.DUMMYFUNCTION("""COMPUTED_VALUE"""),4340.0)</f>
        <v>4340</v>
      </c>
      <c r="D1197" s="2">
        <f>IFERROR(__xludf.DUMMYFUNCTION("""COMPUTED_VALUE"""),4250.0)</f>
        <v>4250</v>
      </c>
      <c r="E1197" s="2">
        <f>IFERROR(__xludf.DUMMYFUNCTION("""COMPUTED_VALUE"""),4260.0)</f>
        <v>4260</v>
      </c>
      <c r="F1197" s="2">
        <f>IFERROR(__xludf.DUMMYFUNCTION("""COMPUTED_VALUE"""),1.832493E8)</f>
        <v>183249300</v>
      </c>
      <c r="G1197" s="2">
        <f t="shared" si="1"/>
        <v>100</v>
      </c>
    </row>
    <row r="1198" ht="15.75" customHeight="1">
      <c r="A1198" s="1">
        <f>IFERROR(__xludf.DUMMYFUNCTION("""COMPUTED_VALUE"""),45632.66666666667)</f>
        <v>45632.66667</v>
      </c>
      <c r="B1198" s="2">
        <f>IFERROR(__xludf.DUMMYFUNCTION("""COMPUTED_VALUE"""),4250.0)</f>
        <v>4250</v>
      </c>
      <c r="C1198" s="2">
        <f>IFERROR(__xludf.DUMMYFUNCTION("""COMPUTED_VALUE"""),4310.0)</f>
        <v>4310</v>
      </c>
      <c r="D1198" s="2">
        <f>IFERROR(__xludf.DUMMYFUNCTION("""COMPUTED_VALUE"""),4220.0)</f>
        <v>4220</v>
      </c>
      <c r="E1198" s="2">
        <f>IFERROR(__xludf.DUMMYFUNCTION("""COMPUTED_VALUE"""),4310.0)</f>
        <v>4310</v>
      </c>
      <c r="F1198" s="2">
        <f>IFERROR(__xludf.DUMMYFUNCTION("""COMPUTED_VALUE"""),1.51433E8)</f>
        <v>151433000</v>
      </c>
      <c r="G1198" s="2">
        <f t="shared" si="1"/>
        <v>90</v>
      </c>
    </row>
    <row r="1199" ht="15.75" customHeight="1">
      <c r="A1199" s="1">
        <f>IFERROR(__xludf.DUMMYFUNCTION("""COMPUTED_VALUE"""),45635.66666666667)</f>
        <v>45635.66667</v>
      </c>
      <c r="B1199" s="2">
        <f>IFERROR(__xludf.DUMMYFUNCTION("""COMPUTED_VALUE"""),4310.0)</f>
        <v>4310</v>
      </c>
      <c r="C1199" s="2">
        <f>IFERROR(__xludf.DUMMYFUNCTION("""COMPUTED_VALUE"""),4390.0)</f>
        <v>4390</v>
      </c>
      <c r="D1199" s="2">
        <f>IFERROR(__xludf.DUMMYFUNCTION("""COMPUTED_VALUE"""),4300.0)</f>
        <v>4300</v>
      </c>
      <c r="E1199" s="2">
        <f>IFERROR(__xludf.DUMMYFUNCTION("""COMPUTED_VALUE"""),4390.0)</f>
        <v>4390</v>
      </c>
      <c r="F1199" s="2">
        <f>IFERROR(__xludf.DUMMYFUNCTION("""COMPUTED_VALUE"""),1.588972E8)</f>
        <v>158897200</v>
      </c>
      <c r="G1199" s="2">
        <f t="shared" si="1"/>
        <v>90</v>
      </c>
    </row>
    <row r="1200" ht="15.75" customHeight="1">
      <c r="A1200" s="1">
        <f>IFERROR(__xludf.DUMMYFUNCTION("""COMPUTED_VALUE"""),45636.66666666667)</f>
        <v>45636.66667</v>
      </c>
      <c r="B1200" s="2">
        <f>IFERROR(__xludf.DUMMYFUNCTION("""COMPUTED_VALUE"""),4360.0)</f>
        <v>4360</v>
      </c>
      <c r="C1200" s="2">
        <f>IFERROR(__xludf.DUMMYFUNCTION("""COMPUTED_VALUE"""),4380.0)</f>
        <v>4380</v>
      </c>
      <c r="D1200" s="2">
        <f>IFERROR(__xludf.DUMMYFUNCTION("""COMPUTED_VALUE"""),4290.0)</f>
        <v>4290</v>
      </c>
      <c r="E1200" s="2">
        <f>IFERROR(__xludf.DUMMYFUNCTION("""COMPUTED_VALUE"""),4360.0)</f>
        <v>4360</v>
      </c>
      <c r="F1200" s="2">
        <f>IFERROR(__xludf.DUMMYFUNCTION("""COMPUTED_VALUE"""),1.961609E8)</f>
        <v>196160900</v>
      </c>
      <c r="G1200" s="2">
        <f t="shared" si="1"/>
        <v>100</v>
      </c>
    </row>
    <row r="1201" ht="15.75" customHeight="1">
      <c r="A1201" s="1">
        <f>IFERROR(__xludf.DUMMYFUNCTION("""COMPUTED_VALUE"""),45637.66666666667)</f>
        <v>45637.66667</v>
      </c>
      <c r="B1201" s="2">
        <f>IFERROR(__xludf.DUMMYFUNCTION("""COMPUTED_VALUE"""),4340.0)</f>
        <v>4340</v>
      </c>
      <c r="C1201" s="2">
        <f>IFERROR(__xludf.DUMMYFUNCTION("""COMPUTED_VALUE"""),4430.0)</f>
        <v>4430</v>
      </c>
      <c r="D1201" s="2">
        <f>IFERROR(__xludf.DUMMYFUNCTION("""COMPUTED_VALUE"""),4340.0)</f>
        <v>4340</v>
      </c>
      <c r="E1201" s="2">
        <f>IFERROR(__xludf.DUMMYFUNCTION("""COMPUTED_VALUE"""),4380.0)</f>
        <v>4380</v>
      </c>
      <c r="F1201" s="2">
        <f>IFERROR(__xludf.DUMMYFUNCTION("""COMPUTED_VALUE"""),2.039803E8)</f>
        <v>203980300</v>
      </c>
      <c r="G1201" s="2">
        <f t="shared" si="1"/>
        <v>90</v>
      </c>
    </row>
    <row r="1202" ht="15.75" customHeight="1">
      <c r="A1202" s="1">
        <f>IFERROR(__xludf.DUMMYFUNCTION("""COMPUTED_VALUE"""),45638.66666666667)</f>
        <v>45638.66667</v>
      </c>
      <c r="B1202" s="2">
        <f>IFERROR(__xludf.DUMMYFUNCTION("""COMPUTED_VALUE"""),4340.0)</f>
        <v>4340</v>
      </c>
      <c r="C1202" s="2">
        <f>IFERROR(__xludf.DUMMYFUNCTION("""COMPUTED_VALUE"""),4360.0)</f>
        <v>4360</v>
      </c>
      <c r="D1202" s="2">
        <f>IFERROR(__xludf.DUMMYFUNCTION("""COMPUTED_VALUE"""),4260.0)</f>
        <v>4260</v>
      </c>
      <c r="E1202" s="2">
        <f>IFERROR(__xludf.DUMMYFUNCTION("""COMPUTED_VALUE"""),4260.0)</f>
        <v>4260</v>
      </c>
      <c r="F1202" s="2">
        <f>IFERROR(__xludf.DUMMYFUNCTION("""COMPUTED_VALUE"""),2.266989E8)</f>
        <v>226698900</v>
      </c>
      <c r="G1202" s="2">
        <f t="shared" si="1"/>
        <v>120</v>
      </c>
    </row>
    <row r="1203" ht="15.75" customHeight="1">
      <c r="A1203" s="1">
        <f>IFERROR(__xludf.DUMMYFUNCTION("""COMPUTED_VALUE"""),45639.66666666667)</f>
        <v>45639.66667</v>
      </c>
      <c r="B1203" s="2">
        <f>IFERROR(__xludf.DUMMYFUNCTION("""COMPUTED_VALUE"""),4230.0)</f>
        <v>4230</v>
      </c>
      <c r="C1203" s="2">
        <f>IFERROR(__xludf.DUMMYFUNCTION("""COMPUTED_VALUE"""),4280.0)</f>
        <v>4280</v>
      </c>
      <c r="D1203" s="2">
        <f>IFERROR(__xludf.DUMMYFUNCTION("""COMPUTED_VALUE"""),4170.0)</f>
        <v>4170</v>
      </c>
      <c r="E1203" s="2">
        <f>IFERROR(__xludf.DUMMYFUNCTION("""COMPUTED_VALUE"""),4170.0)</f>
        <v>4170</v>
      </c>
      <c r="F1203" s="2">
        <f>IFERROR(__xludf.DUMMYFUNCTION("""COMPUTED_VALUE"""),2.878381E8)</f>
        <v>287838100</v>
      </c>
      <c r="G1203" s="2">
        <f t="shared" si="1"/>
        <v>110</v>
      </c>
    </row>
    <row r="1204" ht="15.75" customHeight="1">
      <c r="A1204" s="1">
        <f>IFERROR(__xludf.DUMMYFUNCTION("""COMPUTED_VALUE"""),45642.66666666667)</f>
        <v>45642.66667</v>
      </c>
      <c r="B1204" s="2">
        <f>IFERROR(__xludf.DUMMYFUNCTION("""COMPUTED_VALUE"""),4150.0)</f>
        <v>4150</v>
      </c>
      <c r="C1204" s="2">
        <f>IFERROR(__xludf.DUMMYFUNCTION("""COMPUTED_VALUE"""),4280.0)</f>
        <v>4280</v>
      </c>
      <c r="D1204" s="2">
        <f>IFERROR(__xludf.DUMMYFUNCTION("""COMPUTED_VALUE"""),4150.0)</f>
        <v>4150</v>
      </c>
      <c r="E1204" s="2">
        <f>IFERROR(__xludf.DUMMYFUNCTION("""COMPUTED_VALUE"""),4250.0)</f>
        <v>4250</v>
      </c>
      <c r="F1204" s="2">
        <f>IFERROR(__xludf.DUMMYFUNCTION("""COMPUTED_VALUE"""),3.254419E8)</f>
        <v>325441900</v>
      </c>
      <c r="G1204" s="2">
        <f t="shared" si="1"/>
        <v>130</v>
      </c>
    </row>
    <row r="1205" ht="15.75" customHeight="1">
      <c r="A1205" s="1">
        <f>IFERROR(__xludf.DUMMYFUNCTION("""COMPUTED_VALUE"""),45643.66666666667)</f>
        <v>45643.66667</v>
      </c>
      <c r="B1205" s="2">
        <f>IFERROR(__xludf.DUMMYFUNCTION("""COMPUTED_VALUE"""),4250.0)</f>
        <v>4250</v>
      </c>
      <c r="C1205" s="2">
        <f>IFERROR(__xludf.DUMMYFUNCTION("""COMPUTED_VALUE"""),4290.0)</f>
        <v>4290</v>
      </c>
      <c r="D1205" s="2">
        <f>IFERROR(__xludf.DUMMYFUNCTION("""COMPUTED_VALUE"""),4150.0)</f>
        <v>4150</v>
      </c>
      <c r="E1205" s="2">
        <f>IFERROR(__xludf.DUMMYFUNCTION("""COMPUTED_VALUE"""),4150.0)</f>
        <v>4150</v>
      </c>
      <c r="F1205" s="2">
        <f>IFERROR(__xludf.DUMMYFUNCTION("""COMPUTED_VALUE"""),3.27919E8)</f>
        <v>327919000</v>
      </c>
      <c r="G1205" s="2">
        <f t="shared" si="1"/>
        <v>140</v>
      </c>
    </row>
    <row r="1206" ht="15.75" customHeight="1">
      <c r="A1206" s="1">
        <f>IFERROR(__xludf.DUMMYFUNCTION("""COMPUTED_VALUE"""),45644.66666666667)</f>
        <v>45644.66667</v>
      </c>
      <c r="B1206" s="2">
        <f>IFERROR(__xludf.DUMMYFUNCTION("""COMPUTED_VALUE"""),4170.0)</f>
        <v>4170</v>
      </c>
      <c r="C1206" s="2">
        <f>IFERROR(__xludf.DUMMYFUNCTION("""COMPUTED_VALUE"""),4210.0)</f>
        <v>4210</v>
      </c>
      <c r="D1206" s="2">
        <f>IFERROR(__xludf.DUMMYFUNCTION("""COMPUTED_VALUE"""),4130.0)</f>
        <v>4130</v>
      </c>
      <c r="E1206" s="2">
        <f>IFERROR(__xludf.DUMMYFUNCTION("""COMPUTED_VALUE"""),4150.0)</f>
        <v>4150</v>
      </c>
      <c r="F1206" s="2">
        <f>IFERROR(__xludf.DUMMYFUNCTION("""COMPUTED_VALUE"""),2.050555E8)</f>
        <v>205055500</v>
      </c>
      <c r="G1206" s="2">
        <f t="shared" si="1"/>
        <v>80</v>
      </c>
    </row>
    <row r="1207" ht="15.75" customHeight="1">
      <c r="A1207" s="1">
        <f>IFERROR(__xludf.DUMMYFUNCTION("""COMPUTED_VALUE"""),45645.66666666667)</f>
        <v>45645.66667</v>
      </c>
      <c r="B1207" s="2">
        <f>IFERROR(__xludf.DUMMYFUNCTION("""COMPUTED_VALUE"""),4090.0)</f>
        <v>4090</v>
      </c>
      <c r="C1207" s="2">
        <f>IFERROR(__xludf.DUMMYFUNCTION("""COMPUTED_VALUE"""),4110.0)</f>
        <v>4110</v>
      </c>
      <c r="D1207" s="2">
        <f>IFERROR(__xludf.DUMMYFUNCTION("""COMPUTED_VALUE"""),4050.0)</f>
        <v>4050</v>
      </c>
      <c r="E1207" s="2">
        <f>IFERROR(__xludf.DUMMYFUNCTION("""COMPUTED_VALUE"""),4090.0)</f>
        <v>4090</v>
      </c>
      <c r="F1207" s="2">
        <f>IFERROR(__xludf.DUMMYFUNCTION("""COMPUTED_VALUE"""),3.819863E8)</f>
        <v>381986300</v>
      </c>
      <c r="G1207" s="2">
        <f t="shared" si="1"/>
        <v>100</v>
      </c>
    </row>
    <row r="1208" ht="15.75" customHeight="1">
      <c r="A1208" s="1">
        <f>IFERROR(__xludf.DUMMYFUNCTION("""COMPUTED_VALUE"""),45646.66666666667)</f>
        <v>45646.66667</v>
      </c>
      <c r="B1208" s="2">
        <f>IFERROR(__xludf.DUMMYFUNCTION("""COMPUTED_VALUE"""),4070.0)</f>
        <v>4070</v>
      </c>
      <c r="C1208" s="2">
        <f>IFERROR(__xludf.DUMMYFUNCTION("""COMPUTED_VALUE"""),4120.0)</f>
        <v>4120</v>
      </c>
      <c r="D1208" s="2">
        <f>IFERROR(__xludf.DUMMYFUNCTION("""COMPUTED_VALUE"""),4050.0)</f>
        <v>4050</v>
      </c>
      <c r="E1208" s="2">
        <f>IFERROR(__xludf.DUMMYFUNCTION("""COMPUTED_VALUE"""),4060.0)</f>
        <v>4060</v>
      </c>
      <c r="F1208" s="2">
        <f>IFERROR(__xludf.DUMMYFUNCTION("""COMPUTED_VALUE"""),2.526896E8)</f>
        <v>252689600</v>
      </c>
      <c r="G1208" s="2">
        <f t="shared" si="1"/>
        <v>70</v>
      </c>
    </row>
    <row r="1209" ht="15.75" customHeight="1">
      <c r="A1209" s="1">
        <f>IFERROR(__xludf.DUMMYFUNCTION("""COMPUTED_VALUE"""),45649.66666666667)</f>
        <v>45649.66667</v>
      </c>
      <c r="B1209" s="2">
        <f>IFERROR(__xludf.DUMMYFUNCTION("""COMPUTED_VALUE"""),4130.0)</f>
        <v>4130</v>
      </c>
      <c r="C1209" s="2">
        <f>IFERROR(__xludf.DUMMYFUNCTION("""COMPUTED_VALUE"""),4210.0)</f>
        <v>4210</v>
      </c>
      <c r="D1209" s="2">
        <f>IFERROR(__xludf.DUMMYFUNCTION("""COMPUTED_VALUE"""),4110.0)</f>
        <v>4110</v>
      </c>
      <c r="E1209" s="2">
        <f>IFERROR(__xludf.DUMMYFUNCTION("""COMPUTED_VALUE"""),4210.0)</f>
        <v>4210</v>
      </c>
      <c r="F1209" s="2">
        <f>IFERROR(__xludf.DUMMYFUNCTION("""COMPUTED_VALUE"""),1.676898E8)</f>
        <v>167689800</v>
      </c>
      <c r="G1209" s="2">
        <f t="shared" si="1"/>
        <v>150</v>
      </c>
    </row>
    <row r="1210" ht="15.75" customHeight="1">
      <c r="A1210" s="1">
        <f>IFERROR(__xludf.DUMMYFUNCTION("""COMPUTED_VALUE"""),45650.66666666667)</f>
        <v>45650.66667</v>
      </c>
      <c r="B1210" s="2">
        <f>IFERROR(__xludf.DUMMYFUNCTION("""COMPUTED_VALUE"""),4220.0)</f>
        <v>4220</v>
      </c>
      <c r="C1210" s="2">
        <f>IFERROR(__xludf.DUMMYFUNCTION("""COMPUTED_VALUE"""),4250.0)</f>
        <v>4250</v>
      </c>
      <c r="D1210" s="2">
        <f>IFERROR(__xludf.DUMMYFUNCTION("""COMPUTED_VALUE"""),4170.0)</f>
        <v>4170</v>
      </c>
      <c r="E1210" s="2">
        <f>IFERROR(__xludf.DUMMYFUNCTION("""COMPUTED_VALUE"""),4200.0)</f>
        <v>4200</v>
      </c>
      <c r="F1210" s="2">
        <f>IFERROR(__xludf.DUMMYFUNCTION("""COMPUTED_VALUE"""),1.995361E8)</f>
        <v>199536100</v>
      </c>
      <c r="G1210" s="2">
        <f t="shared" si="1"/>
        <v>80</v>
      </c>
    </row>
    <row r="1211" ht="15.75" customHeight="1">
      <c r="A1211" s="1">
        <f>IFERROR(__xludf.DUMMYFUNCTION("""COMPUTED_VALUE"""),45653.66666666667)</f>
        <v>45653.66667</v>
      </c>
      <c r="B1211" s="2">
        <f>IFERROR(__xludf.DUMMYFUNCTION("""COMPUTED_VALUE"""),4100.0)</f>
        <v>4100</v>
      </c>
      <c r="C1211" s="2">
        <f>IFERROR(__xludf.DUMMYFUNCTION("""COMPUTED_VALUE"""),4120.0)</f>
        <v>4120</v>
      </c>
      <c r="D1211" s="2">
        <f>IFERROR(__xludf.DUMMYFUNCTION("""COMPUTED_VALUE"""),4080.0)</f>
        <v>4080</v>
      </c>
      <c r="E1211" s="2">
        <f>IFERROR(__xludf.DUMMYFUNCTION("""COMPUTED_VALUE"""),4100.0)</f>
        <v>4100</v>
      </c>
      <c r="F1211" s="2">
        <f>IFERROR(__xludf.DUMMYFUNCTION("""COMPUTED_VALUE"""),1.431044E8)</f>
        <v>143104400</v>
      </c>
      <c r="G1211" s="2">
        <f t="shared" si="1"/>
        <v>120</v>
      </c>
    </row>
    <row r="1212" ht="15.75" customHeight="1">
      <c r="A1212" s="1">
        <f>IFERROR(__xludf.DUMMYFUNCTION("""COMPUTED_VALUE"""),45656.66666666667)</f>
        <v>45656.66667</v>
      </c>
      <c r="B1212" s="2">
        <f>IFERROR(__xludf.DUMMYFUNCTION("""COMPUTED_VALUE"""),4080.0)</f>
        <v>4080</v>
      </c>
      <c r="C1212" s="2">
        <f>IFERROR(__xludf.DUMMYFUNCTION("""COMPUTED_VALUE"""),4120.0)</f>
        <v>4120</v>
      </c>
      <c r="D1212" s="2">
        <f>IFERROR(__xludf.DUMMYFUNCTION("""COMPUTED_VALUE"""),4070.0)</f>
        <v>4070</v>
      </c>
      <c r="E1212" s="2">
        <f>IFERROR(__xludf.DUMMYFUNCTION("""COMPUTED_VALUE"""),4080.0)</f>
        <v>4080</v>
      </c>
      <c r="F1212" s="2">
        <f>IFERROR(__xludf.DUMMYFUNCTION("""COMPUTED_VALUE"""),1.539347E8)</f>
        <v>153934700</v>
      </c>
      <c r="G1212" s="2">
        <f t="shared" si="1"/>
        <v>50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7" width="12.63"/>
  </cols>
  <sheetData>
    <row r="1" ht="15.75" customHeight="1">
      <c r="A1" s="1" t="str">
        <f>IFERROR(__xludf.DUMMYFUNCTION("GOOGLEFINANCE(""IDX:BBTN"", ""all"", DATE(2020,1,1), DATE(2025,1,1), ""DAILY"")
"),"Date")</f>
        <v>Date</v>
      </c>
      <c r="B1" s="2" t="str">
        <f>IFERROR(__xludf.DUMMYFUNCTION("""COMPUTED_VALUE"""),"Open")</f>
        <v>Open</v>
      </c>
      <c r="C1" s="2" t="str">
        <f>IFERROR(__xludf.DUMMYFUNCTION("""COMPUTED_VALUE"""),"High")</f>
        <v>High</v>
      </c>
      <c r="D1" s="2" t="str">
        <f>IFERROR(__xludf.DUMMYFUNCTION("""COMPUTED_VALUE"""),"Low")</f>
        <v>Low</v>
      </c>
      <c r="E1" s="2" t="str">
        <f>IFERROR(__xludf.DUMMYFUNCTION("""COMPUTED_VALUE"""),"Close")</f>
        <v>Close</v>
      </c>
      <c r="F1" s="2" t="str">
        <f>IFERROR(__xludf.DUMMYFUNCTION("""COMPUTED_VALUE"""),"Volume")</f>
        <v>Volume</v>
      </c>
      <c r="G1" s="3" t="s">
        <v>0</v>
      </c>
    </row>
    <row r="2" ht="15.75" customHeight="1">
      <c r="A2" s="1">
        <f>IFERROR(__xludf.DUMMYFUNCTION("""COMPUTED_VALUE"""),43832.66666666667)</f>
        <v>43832.66667</v>
      </c>
      <c r="B2" s="2">
        <f>IFERROR(__xludf.DUMMYFUNCTION("""COMPUTED_VALUE"""),1920.13)</f>
        <v>1920.13</v>
      </c>
      <c r="C2" s="2">
        <f>IFERROR(__xludf.DUMMYFUNCTION("""COMPUTED_VALUE"""),1920.13)</f>
        <v>1920.13</v>
      </c>
      <c r="D2" s="2">
        <f>IFERROR(__xludf.DUMMYFUNCTION("""COMPUTED_VALUE"""),1884.41)</f>
        <v>1884.41</v>
      </c>
      <c r="E2" s="2">
        <f>IFERROR(__xludf.DUMMYFUNCTION("""COMPUTED_VALUE"""),1902.27)</f>
        <v>1902.27</v>
      </c>
      <c r="F2" s="2">
        <f>IFERROR(__xludf.DUMMYFUNCTION("""COMPUTED_VALUE"""),5433500.0)</f>
        <v>5433500</v>
      </c>
      <c r="G2" s="2"/>
    </row>
    <row r="3" ht="15.75" customHeight="1">
      <c r="A3" s="1">
        <f>IFERROR(__xludf.DUMMYFUNCTION("""COMPUTED_VALUE"""),43833.66666666667)</f>
        <v>43833.66667</v>
      </c>
      <c r="B3" s="2">
        <f>IFERROR(__xludf.DUMMYFUNCTION("""COMPUTED_VALUE"""),1920.13)</f>
        <v>1920.13</v>
      </c>
      <c r="C3" s="2">
        <f>IFERROR(__xludf.DUMMYFUNCTION("""COMPUTED_VALUE"""),1920.13)</f>
        <v>1920.13</v>
      </c>
      <c r="D3" s="2">
        <f>IFERROR(__xludf.DUMMYFUNCTION("""COMPUTED_VALUE"""),1884.41)</f>
        <v>1884.41</v>
      </c>
      <c r="E3" s="2">
        <f>IFERROR(__xludf.DUMMYFUNCTION("""COMPUTED_VALUE"""),1920.13)</f>
        <v>1920.13</v>
      </c>
      <c r="F3" s="2">
        <f>IFERROR(__xludf.DUMMYFUNCTION("""COMPUTED_VALUE"""),8274400.0)</f>
        <v>8274400</v>
      </c>
      <c r="G3" s="2">
        <f t="shared" ref="G3:G1212" si="1">MAX(C3-D3, ABS(C3-E2), ABS(D3-E2))</f>
        <v>35.72</v>
      </c>
    </row>
    <row r="4" ht="15.75" customHeight="1">
      <c r="A4" s="1">
        <f>IFERROR(__xludf.DUMMYFUNCTION("""COMPUTED_VALUE"""),43836.66666666667)</f>
        <v>43836.66667</v>
      </c>
      <c r="B4" s="2">
        <f>IFERROR(__xludf.DUMMYFUNCTION("""COMPUTED_VALUE"""),1902.27)</f>
        <v>1902.27</v>
      </c>
      <c r="C4" s="2">
        <f>IFERROR(__xludf.DUMMYFUNCTION("""COMPUTED_VALUE"""),1920.13)</f>
        <v>1920.13</v>
      </c>
      <c r="D4" s="2">
        <f>IFERROR(__xludf.DUMMYFUNCTION("""COMPUTED_VALUE"""),1884.41)</f>
        <v>1884.41</v>
      </c>
      <c r="E4" s="2">
        <f>IFERROR(__xludf.DUMMYFUNCTION("""COMPUTED_VALUE"""),1902.27)</f>
        <v>1902.27</v>
      </c>
      <c r="F4" s="2">
        <f>IFERROR(__xludf.DUMMYFUNCTION("""COMPUTED_VALUE"""),1.08049E7)</f>
        <v>10804900</v>
      </c>
      <c r="G4" s="2">
        <f t="shared" si="1"/>
        <v>35.72</v>
      </c>
    </row>
    <row r="5" ht="15.75" customHeight="1">
      <c r="A5" s="1">
        <f>IFERROR(__xludf.DUMMYFUNCTION("""COMPUTED_VALUE"""),43837.66666666667)</f>
        <v>43837.66667</v>
      </c>
      <c r="B5" s="2">
        <f>IFERROR(__xludf.DUMMYFUNCTION("""COMPUTED_VALUE"""),1884.41)</f>
        <v>1884.41</v>
      </c>
      <c r="C5" s="2">
        <f>IFERROR(__xludf.DUMMYFUNCTION("""COMPUTED_VALUE"""),1911.2)</f>
        <v>1911.2</v>
      </c>
      <c r="D5" s="2">
        <f>IFERROR(__xludf.DUMMYFUNCTION("""COMPUTED_VALUE"""),1875.48)</f>
        <v>1875.48</v>
      </c>
      <c r="E5" s="2">
        <f>IFERROR(__xludf.DUMMYFUNCTION("""COMPUTED_VALUE"""),1893.34)</f>
        <v>1893.34</v>
      </c>
      <c r="F5" s="2">
        <f>IFERROR(__xludf.DUMMYFUNCTION("""COMPUTED_VALUE"""),1.86366E7)</f>
        <v>18636600</v>
      </c>
      <c r="G5" s="2">
        <f t="shared" si="1"/>
        <v>35.72</v>
      </c>
    </row>
    <row r="6" ht="15.75" customHeight="1">
      <c r="A6" s="1">
        <f>IFERROR(__xludf.DUMMYFUNCTION("""COMPUTED_VALUE"""),43838.66666666667)</f>
        <v>43838.66667</v>
      </c>
      <c r="B6" s="2">
        <f>IFERROR(__xludf.DUMMYFUNCTION("""COMPUTED_VALUE"""),1875.48)</f>
        <v>1875.48</v>
      </c>
      <c r="C6" s="2">
        <f>IFERROR(__xludf.DUMMYFUNCTION("""COMPUTED_VALUE"""),1893.34)</f>
        <v>1893.34</v>
      </c>
      <c r="D6" s="2">
        <f>IFERROR(__xludf.DUMMYFUNCTION("""COMPUTED_VALUE"""),1848.69)</f>
        <v>1848.69</v>
      </c>
      <c r="E6" s="2">
        <f>IFERROR(__xludf.DUMMYFUNCTION("""COMPUTED_VALUE"""),1848.69)</f>
        <v>1848.69</v>
      </c>
      <c r="F6" s="2">
        <f>IFERROR(__xludf.DUMMYFUNCTION("""COMPUTED_VALUE"""),1.27274E7)</f>
        <v>12727400</v>
      </c>
      <c r="G6" s="2">
        <f t="shared" si="1"/>
        <v>44.65</v>
      </c>
    </row>
    <row r="7" ht="15.75" customHeight="1">
      <c r="A7" s="1">
        <f>IFERROR(__xludf.DUMMYFUNCTION("""COMPUTED_VALUE"""),43839.66666666667)</f>
        <v>43839.66667</v>
      </c>
      <c r="B7" s="2">
        <f>IFERROR(__xludf.DUMMYFUNCTION("""COMPUTED_VALUE"""),1848.69)</f>
        <v>1848.69</v>
      </c>
      <c r="C7" s="2">
        <f>IFERROR(__xludf.DUMMYFUNCTION("""COMPUTED_VALUE"""),1893.34)</f>
        <v>1893.34</v>
      </c>
      <c r="D7" s="2">
        <f>IFERROR(__xludf.DUMMYFUNCTION("""COMPUTED_VALUE"""),1839.76)</f>
        <v>1839.76</v>
      </c>
      <c r="E7" s="2">
        <f>IFERROR(__xludf.DUMMYFUNCTION("""COMPUTED_VALUE"""),1884.41)</f>
        <v>1884.41</v>
      </c>
      <c r="F7" s="2">
        <f>IFERROR(__xludf.DUMMYFUNCTION("""COMPUTED_VALUE"""),9070400.0)</f>
        <v>9070400</v>
      </c>
      <c r="G7" s="2">
        <f t="shared" si="1"/>
        <v>53.58</v>
      </c>
    </row>
    <row r="8" ht="15.75" customHeight="1">
      <c r="A8" s="1">
        <f>IFERROR(__xludf.DUMMYFUNCTION("""COMPUTED_VALUE"""),43840.66666666667)</f>
        <v>43840.66667</v>
      </c>
      <c r="B8" s="2">
        <f>IFERROR(__xludf.DUMMYFUNCTION("""COMPUTED_VALUE"""),1902.27)</f>
        <v>1902.27</v>
      </c>
      <c r="C8" s="2">
        <f>IFERROR(__xludf.DUMMYFUNCTION("""COMPUTED_VALUE"""),1938.0)</f>
        <v>1938</v>
      </c>
      <c r="D8" s="2">
        <f>IFERROR(__xludf.DUMMYFUNCTION("""COMPUTED_VALUE"""),1884.41)</f>
        <v>1884.41</v>
      </c>
      <c r="E8" s="2">
        <f>IFERROR(__xludf.DUMMYFUNCTION("""COMPUTED_VALUE"""),1929.07)</f>
        <v>1929.07</v>
      </c>
      <c r="F8" s="2">
        <f>IFERROR(__xludf.DUMMYFUNCTION("""COMPUTED_VALUE"""),1.81748E7)</f>
        <v>18174800</v>
      </c>
      <c r="G8" s="2">
        <f t="shared" si="1"/>
        <v>53.59</v>
      </c>
    </row>
    <row r="9" ht="15.75" customHeight="1">
      <c r="A9" s="1">
        <f>IFERROR(__xludf.DUMMYFUNCTION("""COMPUTED_VALUE"""),43843.66666666667)</f>
        <v>43843.66667</v>
      </c>
      <c r="B9" s="2">
        <f>IFERROR(__xludf.DUMMYFUNCTION("""COMPUTED_VALUE"""),1938.0)</f>
        <v>1938</v>
      </c>
      <c r="C9" s="2">
        <f>IFERROR(__xludf.DUMMYFUNCTION("""COMPUTED_VALUE"""),1946.93)</f>
        <v>1946.93</v>
      </c>
      <c r="D9" s="2">
        <f>IFERROR(__xludf.DUMMYFUNCTION("""COMPUTED_VALUE"""),1893.34)</f>
        <v>1893.34</v>
      </c>
      <c r="E9" s="2">
        <f>IFERROR(__xludf.DUMMYFUNCTION("""COMPUTED_VALUE"""),1920.13)</f>
        <v>1920.13</v>
      </c>
      <c r="F9" s="2">
        <f>IFERROR(__xludf.DUMMYFUNCTION("""COMPUTED_VALUE"""),1.03759E7)</f>
        <v>10375900</v>
      </c>
      <c r="G9" s="2">
        <f t="shared" si="1"/>
        <v>53.59</v>
      </c>
    </row>
    <row r="10" ht="15.75" customHeight="1">
      <c r="A10" s="1">
        <f>IFERROR(__xludf.DUMMYFUNCTION("""COMPUTED_VALUE"""),43844.66666666667)</f>
        <v>43844.66667</v>
      </c>
      <c r="B10" s="2">
        <f>IFERROR(__xludf.DUMMYFUNCTION("""COMPUTED_VALUE"""),1929.07)</f>
        <v>1929.07</v>
      </c>
      <c r="C10" s="2">
        <f>IFERROR(__xludf.DUMMYFUNCTION("""COMPUTED_VALUE"""),1938.0)</f>
        <v>1938</v>
      </c>
      <c r="D10" s="2">
        <f>IFERROR(__xludf.DUMMYFUNCTION("""COMPUTED_VALUE"""),1902.27)</f>
        <v>1902.27</v>
      </c>
      <c r="E10" s="2">
        <f>IFERROR(__xludf.DUMMYFUNCTION("""COMPUTED_VALUE"""),1929.07)</f>
        <v>1929.07</v>
      </c>
      <c r="F10" s="2">
        <f>IFERROR(__xludf.DUMMYFUNCTION("""COMPUTED_VALUE"""),1.59717E7)</f>
        <v>15971700</v>
      </c>
      <c r="G10" s="2">
        <f t="shared" si="1"/>
        <v>35.73</v>
      </c>
    </row>
    <row r="11" ht="15.75" customHeight="1">
      <c r="A11" s="1">
        <f>IFERROR(__xludf.DUMMYFUNCTION("""COMPUTED_VALUE"""),43845.66666666667)</f>
        <v>43845.66667</v>
      </c>
      <c r="B11" s="2">
        <f>IFERROR(__xludf.DUMMYFUNCTION("""COMPUTED_VALUE"""),1938.0)</f>
        <v>1938</v>
      </c>
      <c r="C11" s="2">
        <f>IFERROR(__xludf.DUMMYFUNCTION("""COMPUTED_VALUE"""),1946.93)</f>
        <v>1946.93</v>
      </c>
      <c r="D11" s="2">
        <f>IFERROR(__xludf.DUMMYFUNCTION("""COMPUTED_VALUE"""),1893.34)</f>
        <v>1893.34</v>
      </c>
      <c r="E11" s="2">
        <f>IFERROR(__xludf.DUMMYFUNCTION("""COMPUTED_VALUE"""),1911.2)</f>
        <v>1911.2</v>
      </c>
      <c r="F11" s="2">
        <f>IFERROR(__xludf.DUMMYFUNCTION("""COMPUTED_VALUE"""),8917400.0)</f>
        <v>8917400</v>
      </c>
      <c r="G11" s="2">
        <f t="shared" si="1"/>
        <v>53.59</v>
      </c>
    </row>
    <row r="12" ht="15.75" customHeight="1">
      <c r="A12" s="1">
        <f>IFERROR(__xludf.DUMMYFUNCTION("""COMPUTED_VALUE"""),43846.66666666667)</f>
        <v>43846.66667</v>
      </c>
      <c r="B12" s="2">
        <f>IFERROR(__xludf.DUMMYFUNCTION("""COMPUTED_VALUE"""),1893.34)</f>
        <v>1893.34</v>
      </c>
      <c r="C12" s="2">
        <f>IFERROR(__xludf.DUMMYFUNCTION("""COMPUTED_VALUE"""),1902.27)</f>
        <v>1902.27</v>
      </c>
      <c r="D12" s="2">
        <f>IFERROR(__xludf.DUMMYFUNCTION("""COMPUTED_VALUE"""),1875.48)</f>
        <v>1875.48</v>
      </c>
      <c r="E12" s="2">
        <f>IFERROR(__xludf.DUMMYFUNCTION("""COMPUTED_VALUE"""),1902.27)</f>
        <v>1902.27</v>
      </c>
      <c r="F12" s="2">
        <f>IFERROR(__xludf.DUMMYFUNCTION("""COMPUTED_VALUE"""),1.59058E7)</f>
        <v>15905800</v>
      </c>
      <c r="G12" s="2">
        <f t="shared" si="1"/>
        <v>35.72</v>
      </c>
    </row>
    <row r="13" ht="15.75" customHeight="1">
      <c r="A13" s="1">
        <f>IFERROR(__xludf.DUMMYFUNCTION("""COMPUTED_VALUE"""),43847.66666666667)</f>
        <v>43847.66667</v>
      </c>
      <c r="B13" s="2">
        <f>IFERROR(__xludf.DUMMYFUNCTION("""COMPUTED_VALUE"""),1893.34)</f>
        <v>1893.34</v>
      </c>
      <c r="C13" s="2">
        <f>IFERROR(__xludf.DUMMYFUNCTION("""COMPUTED_VALUE"""),1920.13)</f>
        <v>1920.13</v>
      </c>
      <c r="D13" s="2">
        <f>IFERROR(__xludf.DUMMYFUNCTION("""COMPUTED_VALUE"""),1884.41)</f>
        <v>1884.41</v>
      </c>
      <c r="E13" s="2">
        <f>IFERROR(__xludf.DUMMYFUNCTION("""COMPUTED_VALUE"""),1920.13)</f>
        <v>1920.13</v>
      </c>
      <c r="F13" s="2">
        <f>IFERROR(__xludf.DUMMYFUNCTION("""COMPUTED_VALUE"""),7900900.0)</f>
        <v>7900900</v>
      </c>
      <c r="G13" s="2">
        <f t="shared" si="1"/>
        <v>35.72</v>
      </c>
    </row>
    <row r="14" ht="15.75" customHeight="1">
      <c r="A14" s="1">
        <f>IFERROR(__xludf.DUMMYFUNCTION("""COMPUTED_VALUE"""),43850.66666666667)</f>
        <v>43850.66667</v>
      </c>
      <c r="B14" s="2">
        <f>IFERROR(__xludf.DUMMYFUNCTION("""COMPUTED_VALUE"""),1920.13)</f>
        <v>1920.13</v>
      </c>
      <c r="C14" s="2">
        <f>IFERROR(__xludf.DUMMYFUNCTION("""COMPUTED_VALUE"""),1920.13)</f>
        <v>1920.13</v>
      </c>
      <c r="D14" s="2">
        <f>IFERROR(__xludf.DUMMYFUNCTION("""COMPUTED_VALUE"""),1866.55)</f>
        <v>1866.55</v>
      </c>
      <c r="E14" s="2">
        <f>IFERROR(__xludf.DUMMYFUNCTION("""COMPUTED_VALUE"""),1875.48)</f>
        <v>1875.48</v>
      </c>
      <c r="F14" s="2">
        <f>IFERROR(__xludf.DUMMYFUNCTION("""COMPUTED_VALUE"""),7483900.0)</f>
        <v>7483900</v>
      </c>
      <c r="G14" s="2">
        <f t="shared" si="1"/>
        <v>53.58</v>
      </c>
    </row>
    <row r="15" ht="15.75" customHeight="1">
      <c r="A15" s="1">
        <f>IFERROR(__xludf.DUMMYFUNCTION("""COMPUTED_VALUE"""),43851.66666666667)</f>
        <v>43851.66667</v>
      </c>
      <c r="B15" s="2">
        <f>IFERROR(__xludf.DUMMYFUNCTION("""COMPUTED_VALUE"""),1884.41)</f>
        <v>1884.41</v>
      </c>
      <c r="C15" s="2">
        <f>IFERROR(__xludf.DUMMYFUNCTION("""COMPUTED_VALUE"""),1884.41)</f>
        <v>1884.41</v>
      </c>
      <c r="D15" s="2">
        <f>IFERROR(__xludf.DUMMYFUNCTION("""COMPUTED_VALUE"""),1839.76)</f>
        <v>1839.76</v>
      </c>
      <c r="E15" s="2">
        <f>IFERROR(__xludf.DUMMYFUNCTION("""COMPUTED_VALUE"""),1857.62)</f>
        <v>1857.62</v>
      </c>
      <c r="F15" s="2">
        <f>IFERROR(__xludf.DUMMYFUNCTION("""COMPUTED_VALUE"""),6406600.0)</f>
        <v>6406600</v>
      </c>
      <c r="G15" s="2">
        <f t="shared" si="1"/>
        <v>44.65</v>
      </c>
    </row>
    <row r="16" ht="15.75" customHeight="1">
      <c r="A16" s="1">
        <f>IFERROR(__xludf.DUMMYFUNCTION("""COMPUTED_VALUE"""),43852.66666666667)</f>
        <v>43852.66667</v>
      </c>
      <c r="B16" s="2">
        <f>IFERROR(__xludf.DUMMYFUNCTION("""COMPUTED_VALUE"""),1857.62)</f>
        <v>1857.62</v>
      </c>
      <c r="C16" s="2">
        <f>IFERROR(__xludf.DUMMYFUNCTION("""COMPUTED_VALUE"""),1875.48)</f>
        <v>1875.48</v>
      </c>
      <c r="D16" s="2">
        <f>IFERROR(__xludf.DUMMYFUNCTION("""COMPUTED_VALUE"""),1804.03)</f>
        <v>1804.03</v>
      </c>
      <c r="E16" s="2">
        <f>IFERROR(__xludf.DUMMYFUNCTION("""COMPUTED_VALUE"""),1830.83)</f>
        <v>1830.83</v>
      </c>
      <c r="F16" s="2">
        <f>IFERROR(__xludf.DUMMYFUNCTION("""COMPUTED_VALUE"""),9877700.0)</f>
        <v>9877700</v>
      </c>
      <c r="G16" s="2">
        <f t="shared" si="1"/>
        <v>71.45</v>
      </c>
    </row>
    <row r="17" ht="15.75" customHeight="1">
      <c r="A17" s="1">
        <f>IFERROR(__xludf.DUMMYFUNCTION("""COMPUTED_VALUE"""),43853.66666666667)</f>
        <v>43853.66667</v>
      </c>
      <c r="B17" s="2">
        <f>IFERROR(__xludf.DUMMYFUNCTION("""COMPUTED_VALUE"""),1830.83)</f>
        <v>1830.83</v>
      </c>
      <c r="C17" s="2">
        <f>IFERROR(__xludf.DUMMYFUNCTION("""COMPUTED_VALUE"""),1839.76)</f>
        <v>1839.76</v>
      </c>
      <c r="D17" s="2">
        <f>IFERROR(__xludf.DUMMYFUNCTION("""COMPUTED_VALUE"""),1786.17)</f>
        <v>1786.17</v>
      </c>
      <c r="E17" s="2">
        <f>IFERROR(__xludf.DUMMYFUNCTION("""COMPUTED_VALUE"""),1812.96)</f>
        <v>1812.96</v>
      </c>
      <c r="F17" s="2">
        <f>IFERROR(__xludf.DUMMYFUNCTION("""COMPUTED_VALUE"""),6867600.0)</f>
        <v>6867600</v>
      </c>
      <c r="G17" s="2">
        <f t="shared" si="1"/>
        <v>53.59</v>
      </c>
    </row>
    <row r="18" ht="15.75" customHeight="1">
      <c r="A18" s="1">
        <f>IFERROR(__xludf.DUMMYFUNCTION("""COMPUTED_VALUE"""),43854.66666666667)</f>
        <v>43854.66667</v>
      </c>
      <c r="B18" s="2">
        <f>IFERROR(__xludf.DUMMYFUNCTION("""COMPUTED_VALUE"""),1821.9)</f>
        <v>1821.9</v>
      </c>
      <c r="C18" s="2">
        <f>IFERROR(__xludf.DUMMYFUNCTION("""COMPUTED_VALUE"""),1866.55)</f>
        <v>1866.55</v>
      </c>
      <c r="D18" s="2">
        <f>IFERROR(__xludf.DUMMYFUNCTION("""COMPUTED_VALUE"""),1804.03)</f>
        <v>1804.03</v>
      </c>
      <c r="E18" s="2">
        <f>IFERROR(__xludf.DUMMYFUNCTION("""COMPUTED_VALUE"""),1848.69)</f>
        <v>1848.69</v>
      </c>
      <c r="F18" s="2">
        <f>IFERROR(__xludf.DUMMYFUNCTION("""COMPUTED_VALUE"""),1.32318E7)</f>
        <v>13231800</v>
      </c>
      <c r="G18" s="2">
        <f t="shared" si="1"/>
        <v>62.52</v>
      </c>
    </row>
    <row r="19" ht="15.75" customHeight="1">
      <c r="A19" s="1">
        <f>IFERROR(__xludf.DUMMYFUNCTION("""COMPUTED_VALUE"""),43857.66666666667)</f>
        <v>43857.66667</v>
      </c>
      <c r="B19" s="2">
        <f>IFERROR(__xludf.DUMMYFUNCTION("""COMPUTED_VALUE"""),1830.83)</f>
        <v>1830.83</v>
      </c>
      <c r="C19" s="2">
        <f>IFERROR(__xludf.DUMMYFUNCTION("""COMPUTED_VALUE"""),1830.83)</f>
        <v>1830.83</v>
      </c>
      <c r="D19" s="2">
        <f>IFERROR(__xludf.DUMMYFUNCTION("""COMPUTED_VALUE"""),1768.31)</f>
        <v>1768.31</v>
      </c>
      <c r="E19" s="2">
        <f>IFERROR(__xludf.DUMMYFUNCTION("""COMPUTED_VALUE"""),1777.24)</f>
        <v>1777.24</v>
      </c>
      <c r="F19" s="2">
        <f>IFERROR(__xludf.DUMMYFUNCTION("""COMPUTED_VALUE"""),8707300.0)</f>
        <v>8707300</v>
      </c>
      <c r="G19" s="2">
        <f t="shared" si="1"/>
        <v>80.38</v>
      </c>
    </row>
    <row r="20" ht="15.75" customHeight="1">
      <c r="A20" s="1">
        <f>IFERROR(__xludf.DUMMYFUNCTION("""COMPUTED_VALUE"""),43858.66666666667)</f>
        <v>43858.66667</v>
      </c>
      <c r="B20" s="2">
        <f>IFERROR(__xludf.DUMMYFUNCTION("""COMPUTED_VALUE"""),1741.52)</f>
        <v>1741.52</v>
      </c>
      <c r="C20" s="2">
        <f>IFERROR(__xludf.DUMMYFUNCTION("""COMPUTED_VALUE"""),1777.24)</f>
        <v>1777.24</v>
      </c>
      <c r="D20" s="2">
        <f>IFERROR(__xludf.DUMMYFUNCTION("""COMPUTED_VALUE"""),1719.19)</f>
        <v>1719.19</v>
      </c>
      <c r="E20" s="2">
        <f>IFERROR(__xludf.DUMMYFUNCTION("""COMPUTED_VALUE"""),1745.98)</f>
        <v>1745.98</v>
      </c>
      <c r="F20" s="2">
        <f>IFERROR(__xludf.DUMMYFUNCTION("""COMPUTED_VALUE"""),1.6119E7)</f>
        <v>16119000</v>
      </c>
      <c r="G20" s="2">
        <f t="shared" si="1"/>
        <v>58.05</v>
      </c>
    </row>
    <row r="21" ht="15.75" customHeight="1">
      <c r="A21" s="1">
        <f>IFERROR(__xludf.DUMMYFUNCTION("""COMPUTED_VALUE"""),43859.66666666667)</f>
        <v>43859.66667</v>
      </c>
      <c r="B21" s="2">
        <f>IFERROR(__xludf.DUMMYFUNCTION("""COMPUTED_VALUE"""),1759.38)</f>
        <v>1759.38</v>
      </c>
      <c r="C21" s="2">
        <f>IFERROR(__xludf.DUMMYFUNCTION("""COMPUTED_VALUE"""),1768.31)</f>
        <v>1768.31</v>
      </c>
      <c r="D21" s="2">
        <f>IFERROR(__xludf.DUMMYFUNCTION("""COMPUTED_VALUE"""),1723.66)</f>
        <v>1723.66</v>
      </c>
      <c r="E21" s="2">
        <f>IFERROR(__xludf.DUMMYFUNCTION("""COMPUTED_VALUE"""),1723.66)</f>
        <v>1723.66</v>
      </c>
      <c r="F21" s="2">
        <f>IFERROR(__xludf.DUMMYFUNCTION("""COMPUTED_VALUE"""),1.02824E7)</f>
        <v>10282400</v>
      </c>
      <c r="G21" s="2">
        <f t="shared" si="1"/>
        <v>44.65</v>
      </c>
    </row>
    <row r="22" ht="15.75" customHeight="1">
      <c r="A22" s="1">
        <f>IFERROR(__xludf.DUMMYFUNCTION("""COMPUTED_VALUE"""),43860.66666666667)</f>
        <v>43860.66667</v>
      </c>
      <c r="B22" s="2">
        <f>IFERROR(__xludf.DUMMYFUNCTION("""COMPUTED_VALUE"""),1745.98)</f>
        <v>1745.98</v>
      </c>
      <c r="C22" s="2">
        <f>IFERROR(__xludf.DUMMYFUNCTION("""COMPUTED_VALUE"""),1745.98)</f>
        <v>1745.98</v>
      </c>
      <c r="D22" s="2">
        <f>IFERROR(__xludf.DUMMYFUNCTION("""COMPUTED_VALUE"""),1705.79)</f>
        <v>1705.79</v>
      </c>
      <c r="E22" s="2">
        <f>IFERROR(__xludf.DUMMYFUNCTION("""COMPUTED_VALUE"""),1723.66)</f>
        <v>1723.66</v>
      </c>
      <c r="F22" s="2">
        <f>IFERROR(__xludf.DUMMYFUNCTION("""COMPUTED_VALUE"""),8218500.0)</f>
        <v>8218500</v>
      </c>
      <c r="G22" s="2">
        <f t="shared" si="1"/>
        <v>40.19</v>
      </c>
    </row>
    <row r="23" ht="15.75" customHeight="1">
      <c r="A23" s="1">
        <f>IFERROR(__xludf.DUMMYFUNCTION("""COMPUTED_VALUE"""),43861.66666666667)</f>
        <v>43861.66667</v>
      </c>
      <c r="B23" s="2">
        <f>IFERROR(__xludf.DUMMYFUNCTION("""COMPUTED_VALUE"""),1732.59)</f>
        <v>1732.59</v>
      </c>
      <c r="C23" s="2">
        <f>IFERROR(__xludf.DUMMYFUNCTION("""COMPUTED_VALUE"""),1737.05)</f>
        <v>1737.05</v>
      </c>
      <c r="D23" s="2">
        <f>IFERROR(__xludf.DUMMYFUNCTION("""COMPUTED_VALUE"""),1656.67)</f>
        <v>1656.67</v>
      </c>
      <c r="E23" s="2">
        <f>IFERROR(__xludf.DUMMYFUNCTION("""COMPUTED_VALUE"""),1670.07)</f>
        <v>1670.07</v>
      </c>
      <c r="F23" s="2">
        <f>IFERROR(__xludf.DUMMYFUNCTION("""COMPUTED_VALUE"""),1.85616E7)</f>
        <v>18561600</v>
      </c>
      <c r="G23" s="2">
        <f t="shared" si="1"/>
        <v>80.38</v>
      </c>
    </row>
    <row r="24" ht="15.75" customHeight="1">
      <c r="A24" s="1">
        <f>IFERROR(__xludf.DUMMYFUNCTION("""COMPUTED_VALUE"""),43864.66666666667)</f>
        <v>43864.66667</v>
      </c>
      <c r="B24" s="2">
        <f>IFERROR(__xludf.DUMMYFUNCTION("""COMPUTED_VALUE"""),1665.61)</f>
        <v>1665.61</v>
      </c>
      <c r="C24" s="2">
        <f>IFERROR(__xludf.DUMMYFUNCTION("""COMPUTED_VALUE"""),1665.61)</f>
        <v>1665.61</v>
      </c>
      <c r="D24" s="2">
        <f>IFERROR(__xludf.DUMMYFUNCTION("""COMPUTED_VALUE"""),1612.02)</f>
        <v>1612.02</v>
      </c>
      <c r="E24" s="2">
        <f>IFERROR(__xludf.DUMMYFUNCTION("""COMPUTED_VALUE"""),1616.49)</f>
        <v>1616.49</v>
      </c>
      <c r="F24" s="2">
        <f>IFERROR(__xludf.DUMMYFUNCTION("""COMPUTED_VALUE"""),1.73148E7)</f>
        <v>17314800</v>
      </c>
      <c r="G24" s="2">
        <f t="shared" si="1"/>
        <v>58.05</v>
      </c>
    </row>
    <row r="25" ht="15.75" customHeight="1">
      <c r="A25" s="1">
        <f>IFERROR(__xludf.DUMMYFUNCTION("""COMPUTED_VALUE"""),43865.66666666667)</f>
        <v>43865.66667</v>
      </c>
      <c r="B25" s="2">
        <f>IFERROR(__xludf.DUMMYFUNCTION("""COMPUTED_VALUE"""),1620.95)</f>
        <v>1620.95</v>
      </c>
      <c r="C25" s="2">
        <f>IFERROR(__xludf.DUMMYFUNCTION("""COMPUTED_VALUE"""),1661.14)</f>
        <v>1661.14</v>
      </c>
      <c r="D25" s="2">
        <f>IFERROR(__xludf.DUMMYFUNCTION("""COMPUTED_VALUE"""),1558.43)</f>
        <v>1558.43</v>
      </c>
      <c r="E25" s="2">
        <f>IFERROR(__xludf.DUMMYFUNCTION("""COMPUTED_VALUE"""),1643.28)</f>
        <v>1643.28</v>
      </c>
      <c r="F25" s="2">
        <f>IFERROR(__xludf.DUMMYFUNCTION("""COMPUTED_VALUE"""),3.25165E7)</f>
        <v>32516500</v>
      </c>
      <c r="G25" s="2">
        <f t="shared" si="1"/>
        <v>102.71</v>
      </c>
    </row>
    <row r="26" ht="15.75" customHeight="1">
      <c r="A26" s="1">
        <f>IFERROR(__xludf.DUMMYFUNCTION("""COMPUTED_VALUE"""),43866.66666666667)</f>
        <v>43866.66667</v>
      </c>
      <c r="B26" s="2">
        <f>IFERROR(__xludf.DUMMYFUNCTION("""COMPUTED_VALUE"""),1656.67)</f>
        <v>1656.67</v>
      </c>
      <c r="C26" s="2">
        <f>IFERROR(__xludf.DUMMYFUNCTION("""COMPUTED_VALUE"""),1665.61)</f>
        <v>1665.61</v>
      </c>
      <c r="D26" s="2">
        <f>IFERROR(__xludf.DUMMYFUNCTION("""COMPUTED_VALUE"""),1603.09)</f>
        <v>1603.09</v>
      </c>
      <c r="E26" s="2">
        <f>IFERROR(__xludf.DUMMYFUNCTION("""COMPUTED_VALUE"""),1612.02)</f>
        <v>1612.02</v>
      </c>
      <c r="F26" s="2">
        <f>IFERROR(__xludf.DUMMYFUNCTION("""COMPUTED_VALUE"""),1.44602E7)</f>
        <v>14460200</v>
      </c>
      <c r="G26" s="2">
        <f t="shared" si="1"/>
        <v>62.52</v>
      </c>
    </row>
    <row r="27" ht="15.75" customHeight="1">
      <c r="A27" s="1">
        <f>IFERROR(__xludf.DUMMYFUNCTION("""COMPUTED_VALUE"""),43867.66666666667)</f>
        <v>43867.66667</v>
      </c>
      <c r="B27" s="2">
        <f>IFERROR(__xludf.DUMMYFUNCTION("""COMPUTED_VALUE"""),1643.28)</f>
        <v>1643.28</v>
      </c>
      <c r="C27" s="2">
        <f>IFERROR(__xludf.DUMMYFUNCTION("""COMPUTED_VALUE"""),1683.47)</f>
        <v>1683.47</v>
      </c>
      <c r="D27" s="2">
        <f>IFERROR(__xludf.DUMMYFUNCTION("""COMPUTED_VALUE"""),1616.49)</f>
        <v>1616.49</v>
      </c>
      <c r="E27" s="2">
        <f>IFERROR(__xludf.DUMMYFUNCTION("""COMPUTED_VALUE"""),1652.21)</f>
        <v>1652.21</v>
      </c>
      <c r="F27" s="2">
        <f>IFERROR(__xludf.DUMMYFUNCTION("""COMPUTED_VALUE"""),3.65893E7)</f>
        <v>36589300</v>
      </c>
      <c r="G27" s="2">
        <f t="shared" si="1"/>
        <v>71.45</v>
      </c>
    </row>
    <row r="28" ht="15.75" customHeight="1">
      <c r="A28" s="1">
        <f>IFERROR(__xludf.DUMMYFUNCTION("""COMPUTED_VALUE"""),43868.66666666667)</f>
        <v>43868.66667</v>
      </c>
      <c r="B28" s="2">
        <f>IFERROR(__xludf.DUMMYFUNCTION("""COMPUTED_VALUE"""),1652.21)</f>
        <v>1652.21</v>
      </c>
      <c r="C28" s="2">
        <f>IFERROR(__xludf.DUMMYFUNCTION("""COMPUTED_VALUE"""),1670.07)</f>
        <v>1670.07</v>
      </c>
      <c r="D28" s="2">
        <f>IFERROR(__xludf.DUMMYFUNCTION("""COMPUTED_VALUE"""),1634.35)</f>
        <v>1634.35</v>
      </c>
      <c r="E28" s="2">
        <f>IFERROR(__xludf.DUMMYFUNCTION("""COMPUTED_VALUE"""),1647.74)</f>
        <v>1647.74</v>
      </c>
      <c r="F28" s="2">
        <f>IFERROR(__xludf.DUMMYFUNCTION("""COMPUTED_VALUE"""),2.00207E7)</f>
        <v>20020700</v>
      </c>
      <c r="G28" s="2">
        <f t="shared" si="1"/>
        <v>35.72</v>
      </c>
    </row>
    <row r="29" ht="15.75" customHeight="1">
      <c r="A29" s="1">
        <f>IFERROR(__xludf.DUMMYFUNCTION("""COMPUTED_VALUE"""),43871.66666666667)</f>
        <v>43871.66667</v>
      </c>
      <c r="B29" s="2">
        <f>IFERROR(__xludf.DUMMYFUNCTION("""COMPUTED_VALUE"""),1634.35)</f>
        <v>1634.35</v>
      </c>
      <c r="C29" s="2">
        <f>IFERROR(__xludf.DUMMYFUNCTION("""COMPUTED_VALUE"""),1647.74)</f>
        <v>1647.74</v>
      </c>
      <c r="D29" s="2">
        <f>IFERROR(__xludf.DUMMYFUNCTION("""COMPUTED_VALUE"""),1620.95)</f>
        <v>1620.95</v>
      </c>
      <c r="E29" s="2">
        <f>IFERROR(__xludf.DUMMYFUNCTION("""COMPUTED_VALUE"""),1638.81)</f>
        <v>1638.81</v>
      </c>
      <c r="F29" s="2">
        <f>IFERROR(__xludf.DUMMYFUNCTION("""COMPUTED_VALUE"""),1.1125E7)</f>
        <v>11125000</v>
      </c>
      <c r="G29" s="2">
        <f t="shared" si="1"/>
        <v>26.79</v>
      </c>
    </row>
    <row r="30" ht="15.75" customHeight="1">
      <c r="A30" s="1">
        <f>IFERROR(__xludf.DUMMYFUNCTION("""COMPUTED_VALUE"""),43872.66666666667)</f>
        <v>43872.66667</v>
      </c>
      <c r="B30" s="2">
        <f>IFERROR(__xludf.DUMMYFUNCTION("""COMPUTED_VALUE"""),1638.81)</f>
        <v>1638.81</v>
      </c>
      <c r="C30" s="2">
        <f>IFERROR(__xludf.DUMMYFUNCTION("""COMPUTED_VALUE"""),1647.74)</f>
        <v>1647.74</v>
      </c>
      <c r="D30" s="2">
        <f>IFERROR(__xludf.DUMMYFUNCTION("""COMPUTED_VALUE"""),1589.69)</f>
        <v>1589.69</v>
      </c>
      <c r="E30" s="2">
        <f>IFERROR(__xludf.DUMMYFUNCTION("""COMPUTED_VALUE"""),1607.55)</f>
        <v>1607.55</v>
      </c>
      <c r="F30" s="2">
        <f>IFERROR(__xludf.DUMMYFUNCTION("""COMPUTED_VALUE"""),1.05808E7)</f>
        <v>10580800</v>
      </c>
      <c r="G30" s="2">
        <f t="shared" si="1"/>
        <v>58.05</v>
      </c>
    </row>
    <row r="31" ht="15.75" customHeight="1">
      <c r="A31" s="1">
        <f>IFERROR(__xludf.DUMMYFUNCTION("""COMPUTED_VALUE"""),43873.66666666667)</f>
        <v>43873.66667</v>
      </c>
      <c r="B31" s="2">
        <f>IFERROR(__xludf.DUMMYFUNCTION("""COMPUTED_VALUE"""),1607.55)</f>
        <v>1607.55</v>
      </c>
      <c r="C31" s="2">
        <f>IFERROR(__xludf.DUMMYFUNCTION("""COMPUTED_VALUE"""),1616.49)</f>
        <v>1616.49</v>
      </c>
      <c r="D31" s="2">
        <f>IFERROR(__xludf.DUMMYFUNCTION("""COMPUTED_VALUE"""),1571.83)</f>
        <v>1571.83</v>
      </c>
      <c r="E31" s="2">
        <f>IFERROR(__xludf.DUMMYFUNCTION("""COMPUTED_VALUE"""),1589.69)</f>
        <v>1589.69</v>
      </c>
      <c r="F31" s="2">
        <f>IFERROR(__xludf.DUMMYFUNCTION("""COMPUTED_VALUE"""),1.51606E7)</f>
        <v>15160600</v>
      </c>
      <c r="G31" s="2">
        <f t="shared" si="1"/>
        <v>44.66</v>
      </c>
    </row>
    <row r="32" ht="15.75" customHeight="1">
      <c r="A32" s="1">
        <f>IFERROR(__xludf.DUMMYFUNCTION("""COMPUTED_VALUE"""),43874.66666666667)</f>
        <v>43874.66667</v>
      </c>
      <c r="B32" s="2">
        <f>IFERROR(__xludf.DUMMYFUNCTION("""COMPUTED_VALUE"""),1589.69)</f>
        <v>1589.69</v>
      </c>
      <c r="C32" s="2">
        <f>IFERROR(__xludf.DUMMYFUNCTION("""COMPUTED_VALUE"""),1594.16)</f>
        <v>1594.16</v>
      </c>
      <c r="D32" s="2">
        <f>IFERROR(__xludf.DUMMYFUNCTION("""COMPUTED_VALUE"""),1545.04)</f>
        <v>1545.04</v>
      </c>
      <c r="E32" s="2">
        <f>IFERROR(__xludf.DUMMYFUNCTION("""COMPUTED_VALUE"""),1562.9)</f>
        <v>1562.9</v>
      </c>
      <c r="F32" s="2">
        <f>IFERROR(__xludf.DUMMYFUNCTION("""COMPUTED_VALUE"""),1.32661E7)</f>
        <v>13266100</v>
      </c>
      <c r="G32" s="2">
        <f t="shared" si="1"/>
        <v>49.12</v>
      </c>
    </row>
    <row r="33" ht="15.75" customHeight="1">
      <c r="A33" s="1">
        <f>IFERROR(__xludf.DUMMYFUNCTION("""COMPUTED_VALUE"""),43875.66666666667)</f>
        <v>43875.66667</v>
      </c>
      <c r="B33" s="2">
        <f>IFERROR(__xludf.DUMMYFUNCTION("""COMPUTED_VALUE"""),1562.9)</f>
        <v>1562.9</v>
      </c>
      <c r="C33" s="2">
        <f>IFERROR(__xludf.DUMMYFUNCTION("""COMPUTED_VALUE"""),1580.76)</f>
        <v>1580.76</v>
      </c>
      <c r="D33" s="2">
        <f>IFERROR(__xludf.DUMMYFUNCTION("""COMPUTED_VALUE"""),1545.04)</f>
        <v>1545.04</v>
      </c>
      <c r="E33" s="2">
        <f>IFERROR(__xludf.DUMMYFUNCTION("""COMPUTED_VALUE"""),1576.3)</f>
        <v>1576.3</v>
      </c>
      <c r="F33" s="2">
        <f>IFERROR(__xludf.DUMMYFUNCTION("""COMPUTED_VALUE"""),1.40214E7)</f>
        <v>14021400</v>
      </c>
      <c r="G33" s="2">
        <f t="shared" si="1"/>
        <v>35.72</v>
      </c>
    </row>
    <row r="34" ht="15.75" customHeight="1">
      <c r="A34" s="1">
        <f>IFERROR(__xludf.DUMMYFUNCTION("""COMPUTED_VALUE"""),43878.66666666667)</f>
        <v>43878.66667</v>
      </c>
      <c r="B34" s="2">
        <f>IFERROR(__xludf.DUMMYFUNCTION("""COMPUTED_VALUE"""),1545.04)</f>
        <v>1545.04</v>
      </c>
      <c r="C34" s="2">
        <f>IFERROR(__xludf.DUMMYFUNCTION("""COMPUTED_VALUE"""),1616.49)</f>
        <v>1616.49</v>
      </c>
      <c r="D34" s="2">
        <f>IFERROR(__xludf.DUMMYFUNCTION("""COMPUTED_VALUE"""),1495.92)</f>
        <v>1495.92</v>
      </c>
      <c r="E34" s="2">
        <f>IFERROR(__xludf.DUMMYFUNCTION("""COMPUTED_VALUE"""),1603.09)</f>
        <v>1603.09</v>
      </c>
      <c r="F34" s="2">
        <f>IFERROR(__xludf.DUMMYFUNCTION("""COMPUTED_VALUE"""),3.50713E7)</f>
        <v>35071300</v>
      </c>
      <c r="G34" s="2">
        <f t="shared" si="1"/>
        <v>120.57</v>
      </c>
    </row>
    <row r="35" ht="15.75" customHeight="1">
      <c r="A35" s="1">
        <f>IFERROR(__xludf.DUMMYFUNCTION("""COMPUTED_VALUE"""),43879.66666666667)</f>
        <v>43879.66667</v>
      </c>
      <c r="B35" s="2">
        <f>IFERROR(__xludf.DUMMYFUNCTION("""COMPUTED_VALUE"""),1603.09)</f>
        <v>1603.09</v>
      </c>
      <c r="C35" s="2">
        <f>IFERROR(__xludf.DUMMYFUNCTION("""COMPUTED_VALUE"""),1701.33)</f>
        <v>1701.33</v>
      </c>
      <c r="D35" s="2">
        <f>IFERROR(__xludf.DUMMYFUNCTION("""COMPUTED_VALUE"""),1589.69)</f>
        <v>1589.69</v>
      </c>
      <c r="E35" s="2">
        <f>IFERROR(__xludf.DUMMYFUNCTION("""COMPUTED_VALUE"""),1692.4)</f>
        <v>1692.4</v>
      </c>
      <c r="F35" s="2">
        <f>IFERROR(__xludf.DUMMYFUNCTION("""COMPUTED_VALUE"""),3.1694E7)</f>
        <v>31694000</v>
      </c>
      <c r="G35" s="2">
        <f t="shared" si="1"/>
        <v>111.64</v>
      </c>
    </row>
    <row r="36" ht="15.75" customHeight="1">
      <c r="A36" s="1">
        <f>IFERROR(__xludf.DUMMYFUNCTION("""COMPUTED_VALUE"""),43880.66666666667)</f>
        <v>43880.66667</v>
      </c>
      <c r="B36" s="2">
        <f>IFERROR(__xludf.DUMMYFUNCTION("""COMPUTED_VALUE"""),1692.4)</f>
        <v>1692.4</v>
      </c>
      <c r="C36" s="2">
        <f>IFERROR(__xludf.DUMMYFUNCTION("""COMPUTED_VALUE"""),1705.79)</f>
        <v>1705.79</v>
      </c>
      <c r="D36" s="2">
        <f>IFERROR(__xludf.DUMMYFUNCTION("""COMPUTED_VALUE"""),1670.07)</f>
        <v>1670.07</v>
      </c>
      <c r="E36" s="2">
        <f>IFERROR(__xludf.DUMMYFUNCTION("""COMPUTED_VALUE"""),1692.4)</f>
        <v>1692.4</v>
      </c>
      <c r="F36" s="2">
        <f>IFERROR(__xludf.DUMMYFUNCTION("""COMPUTED_VALUE"""),1.75729E7)</f>
        <v>17572900</v>
      </c>
      <c r="G36" s="2">
        <f t="shared" si="1"/>
        <v>35.72</v>
      </c>
    </row>
    <row r="37" ht="15.75" customHeight="1">
      <c r="A37" s="1">
        <f>IFERROR(__xludf.DUMMYFUNCTION("""COMPUTED_VALUE"""),43881.66666666667)</f>
        <v>43881.66667</v>
      </c>
      <c r="B37" s="2">
        <f>IFERROR(__xludf.DUMMYFUNCTION("""COMPUTED_VALUE"""),1705.79)</f>
        <v>1705.79</v>
      </c>
      <c r="C37" s="2">
        <f>IFERROR(__xludf.DUMMYFUNCTION("""COMPUTED_VALUE"""),1728.12)</f>
        <v>1728.12</v>
      </c>
      <c r="D37" s="2">
        <f>IFERROR(__xludf.DUMMYFUNCTION("""COMPUTED_VALUE"""),1679.0)</f>
        <v>1679</v>
      </c>
      <c r="E37" s="2">
        <f>IFERROR(__xludf.DUMMYFUNCTION("""COMPUTED_VALUE"""),1714.73)</f>
        <v>1714.73</v>
      </c>
      <c r="F37" s="2">
        <f>IFERROR(__xludf.DUMMYFUNCTION("""COMPUTED_VALUE"""),2.3199E7)</f>
        <v>23199000</v>
      </c>
      <c r="G37" s="2">
        <f t="shared" si="1"/>
        <v>49.12</v>
      </c>
    </row>
    <row r="38" ht="15.75" customHeight="1">
      <c r="A38" s="1">
        <f>IFERROR(__xludf.DUMMYFUNCTION("""COMPUTED_VALUE"""),43882.66666666667)</f>
        <v>43882.66667</v>
      </c>
      <c r="B38" s="2">
        <f>IFERROR(__xludf.DUMMYFUNCTION("""COMPUTED_VALUE"""),1710.26)</f>
        <v>1710.26</v>
      </c>
      <c r="C38" s="2">
        <f>IFERROR(__xludf.DUMMYFUNCTION("""COMPUTED_VALUE"""),1719.19)</f>
        <v>1719.19</v>
      </c>
      <c r="D38" s="2">
        <f>IFERROR(__xludf.DUMMYFUNCTION("""COMPUTED_VALUE"""),1670.07)</f>
        <v>1670.07</v>
      </c>
      <c r="E38" s="2">
        <f>IFERROR(__xludf.DUMMYFUNCTION("""COMPUTED_VALUE"""),1670.07)</f>
        <v>1670.07</v>
      </c>
      <c r="F38" s="2">
        <f>IFERROR(__xludf.DUMMYFUNCTION("""COMPUTED_VALUE"""),1.50095E7)</f>
        <v>15009500</v>
      </c>
      <c r="G38" s="2">
        <f t="shared" si="1"/>
        <v>49.12</v>
      </c>
    </row>
    <row r="39" ht="15.75" customHeight="1">
      <c r="A39" s="1">
        <f>IFERROR(__xludf.DUMMYFUNCTION("""COMPUTED_VALUE"""),43885.66666666667)</f>
        <v>43885.66667</v>
      </c>
      <c r="B39" s="2">
        <f>IFERROR(__xludf.DUMMYFUNCTION("""COMPUTED_VALUE"""),1634.35)</f>
        <v>1634.35</v>
      </c>
      <c r="C39" s="2">
        <f>IFERROR(__xludf.DUMMYFUNCTION("""COMPUTED_VALUE"""),1665.61)</f>
        <v>1665.61</v>
      </c>
      <c r="D39" s="2">
        <f>IFERROR(__xludf.DUMMYFUNCTION("""COMPUTED_VALUE"""),1612.02)</f>
        <v>1612.02</v>
      </c>
      <c r="E39" s="2">
        <f>IFERROR(__xludf.DUMMYFUNCTION("""COMPUTED_VALUE"""),1625.42)</f>
        <v>1625.42</v>
      </c>
      <c r="F39" s="2">
        <f>IFERROR(__xludf.DUMMYFUNCTION("""COMPUTED_VALUE"""),1.73392E7)</f>
        <v>17339200</v>
      </c>
      <c r="G39" s="2">
        <f t="shared" si="1"/>
        <v>58.05</v>
      </c>
    </row>
    <row r="40" ht="15.75" customHeight="1">
      <c r="A40" s="1">
        <f>IFERROR(__xludf.DUMMYFUNCTION("""COMPUTED_VALUE"""),43886.66666666667)</f>
        <v>43886.66667</v>
      </c>
      <c r="B40" s="2">
        <f>IFERROR(__xludf.DUMMYFUNCTION("""COMPUTED_VALUE"""),1620.95)</f>
        <v>1620.95</v>
      </c>
      <c r="C40" s="2">
        <f>IFERROR(__xludf.DUMMYFUNCTION("""COMPUTED_VALUE"""),1638.81)</f>
        <v>1638.81</v>
      </c>
      <c r="D40" s="2">
        <f>IFERROR(__xludf.DUMMYFUNCTION("""COMPUTED_VALUE"""),1589.69)</f>
        <v>1589.69</v>
      </c>
      <c r="E40" s="2">
        <f>IFERROR(__xludf.DUMMYFUNCTION("""COMPUTED_VALUE"""),1625.42)</f>
        <v>1625.42</v>
      </c>
      <c r="F40" s="2">
        <f>IFERROR(__xludf.DUMMYFUNCTION("""COMPUTED_VALUE"""),1.65782E7)</f>
        <v>16578200</v>
      </c>
      <c r="G40" s="2">
        <f t="shared" si="1"/>
        <v>49.12</v>
      </c>
    </row>
    <row r="41" ht="15.75" customHeight="1">
      <c r="A41" s="1">
        <f>IFERROR(__xludf.DUMMYFUNCTION("""COMPUTED_VALUE"""),43887.66666666667)</f>
        <v>43887.66667</v>
      </c>
      <c r="B41" s="2">
        <f>IFERROR(__xludf.DUMMYFUNCTION("""COMPUTED_VALUE"""),1598.62)</f>
        <v>1598.62</v>
      </c>
      <c r="C41" s="2">
        <f>IFERROR(__xludf.DUMMYFUNCTION("""COMPUTED_VALUE"""),1625.42)</f>
        <v>1625.42</v>
      </c>
      <c r="D41" s="2">
        <f>IFERROR(__xludf.DUMMYFUNCTION("""COMPUTED_VALUE"""),1589.69)</f>
        <v>1589.69</v>
      </c>
      <c r="E41" s="2">
        <f>IFERROR(__xludf.DUMMYFUNCTION("""COMPUTED_VALUE"""),1603.09)</f>
        <v>1603.09</v>
      </c>
      <c r="F41" s="2">
        <f>IFERROR(__xludf.DUMMYFUNCTION("""COMPUTED_VALUE"""),1.96227E7)</f>
        <v>19622700</v>
      </c>
      <c r="G41" s="2">
        <f t="shared" si="1"/>
        <v>35.73</v>
      </c>
    </row>
    <row r="42" ht="15.75" customHeight="1">
      <c r="A42" s="1">
        <f>IFERROR(__xludf.DUMMYFUNCTION("""COMPUTED_VALUE"""),43888.66666666667)</f>
        <v>43888.66667</v>
      </c>
      <c r="B42" s="2">
        <f>IFERROR(__xludf.DUMMYFUNCTION("""COMPUTED_VALUE"""),1607.55)</f>
        <v>1607.55</v>
      </c>
      <c r="C42" s="2">
        <f>IFERROR(__xludf.DUMMYFUNCTION("""COMPUTED_VALUE"""),1607.55)</f>
        <v>1607.55</v>
      </c>
      <c r="D42" s="2">
        <f>IFERROR(__xludf.DUMMYFUNCTION("""COMPUTED_VALUE"""),1549.5)</f>
        <v>1549.5</v>
      </c>
      <c r="E42" s="2">
        <f>IFERROR(__xludf.DUMMYFUNCTION("""COMPUTED_VALUE"""),1562.9)</f>
        <v>1562.9</v>
      </c>
      <c r="F42" s="2">
        <f>IFERROR(__xludf.DUMMYFUNCTION("""COMPUTED_VALUE"""),1.07663E7)</f>
        <v>10766300</v>
      </c>
      <c r="G42" s="2">
        <f t="shared" si="1"/>
        <v>58.05</v>
      </c>
    </row>
    <row r="43" ht="15.75" customHeight="1">
      <c r="A43" s="1">
        <f>IFERROR(__xludf.DUMMYFUNCTION("""COMPUTED_VALUE"""),43889.66666666667)</f>
        <v>43889.66667</v>
      </c>
      <c r="B43" s="2">
        <f>IFERROR(__xludf.DUMMYFUNCTION("""COMPUTED_VALUE"""),1518.25)</f>
        <v>1518.25</v>
      </c>
      <c r="C43" s="2">
        <f>IFERROR(__xludf.DUMMYFUNCTION("""COMPUTED_VALUE"""),1545.04)</f>
        <v>1545.04</v>
      </c>
      <c r="D43" s="2">
        <f>IFERROR(__xludf.DUMMYFUNCTION("""COMPUTED_VALUE"""),1446.8)</f>
        <v>1446.8</v>
      </c>
      <c r="E43" s="2">
        <f>IFERROR(__xludf.DUMMYFUNCTION("""COMPUTED_VALUE"""),1518.25)</f>
        <v>1518.25</v>
      </c>
      <c r="F43" s="2">
        <f>IFERROR(__xludf.DUMMYFUNCTION("""COMPUTED_VALUE"""),1.98873E7)</f>
        <v>19887300</v>
      </c>
      <c r="G43" s="2">
        <f t="shared" si="1"/>
        <v>116.1</v>
      </c>
    </row>
    <row r="44" ht="15.75" customHeight="1">
      <c r="A44" s="1">
        <f>IFERROR(__xludf.DUMMYFUNCTION("""COMPUTED_VALUE"""),43892.66666666667)</f>
        <v>43892.66667</v>
      </c>
      <c r="B44" s="2">
        <f>IFERROR(__xludf.DUMMYFUNCTION("""COMPUTED_VALUE"""),1504.85)</f>
        <v>1504.85</v>
      </c>
      <c r="C44" s="2">
        <f>IFERROR(__xludf.DUMMYFUNCTION("""COMPUTED_VALUE"""),1536.11)</f>
        <v>1536.11</v>
      </c>
      <c r="D44" s="2">
        <f>IFERROR(__xludf.DUMMYFUNCTION("""COMPUTED_VALUE"""),1460.2)</f>
        <v>1460.2</v>
      </c>
      <c r="E44" s="2">
        <f>IFERROR(__xludf.DUMMYFUNCTION("""COMPUTED_VALUE"""),1473.59)</f>
        <v>1473.59</v>
      </c>
      <c r="F44" s="2">
        <f>IFERROR(__xludf.DUMMYFUNCTION("""COMPUTED_VALUE"""),8770100.0)</f>
        <v>8770100</v>
      </c>
      <c r="G44" s="2">
        <f t="shared" si="1"/>
        <v>75.91</v>
      </c>
    </row>
    <row r="45" ht="15.75" customHeight="1">
      <c r="A45" s="1">
        <f>IFERROR(__xludf.DUMMYFUNCTION("""COMPUTED_VALUE"""),43893.66666666667)</f>
        <v>43893.66667</v>
      </c>
      <c r="B45" s="2">
        <f>IFERROR(__xludf.DUMMYFUNCTION("""COMPUTED_VALUE"""),1491.45)</f>
        <v>1491.45</v>
      </c>
      <c r="C45" s="2">
        <f>IFERROR(__xludf.DUMMYFUNCTION("""COMPUTED_VALUE"""),1540.57)</f>
        <v>1540.57</v>
      </c>
      <c r="D45" s="2">
        <f>IFERROR(__xludf.DUMMYFUNCTION("""COMPUTED_VALUE"""),1486.99)</f>
        <v>1486.99</v>
      </c>
      <c r="E45" s="2">
        <f>IFERROR(__xludf.DUMMYFUNCTION("""COMPUTED_VALUE"""),1509.32)</f>
        <v>1509.32</v>
      </c>
      <c r="F45" s="2">
        <f>IFERROR(__xludf.DUMMYFUNCTION("""COMPUTED_VALUE"""),1.12837E7)</f>
        <v>11283700</v>
      </c>
      <c r="G45" s="2">
        <f t="shared" si="1"/>
        <v>66.98</v>
      </c>
    </row>
    <row r="46" ht="15.75" customHeight="1">
      <c r="A46" s="1">
        <f>IFERROR(__xludf.DUMMYFUNCTION("""COMPUTED_VALUE"""),43894.66666666667)</f>
        <v>43894.66667</v>
      </c>
      <c r="B46" s="2">
        <f>IFERROR(__xludf.DUMMYFUNCTION("""COMPUTED_VALUE"""),1509.32)</f>
        <v>1509.32</v>
      </c>
      <c r="C46" s="2">
        <f>IFERROR(__xludf.DUMMYFUNCTION("""COMPUTED_VALUE"""),1585.23)</f>
        <v>1585.23</v>
      </c>
      <c r="D46" s="2">
        <f>IFERROR(__xludf.DUMMYFUNCTION("""COMPUTED_VALUE"""),1495.92)</f>
        <v>1495.92</v>
      </c>
      <c r="E46" s="2">
        <f>IFERROR(__xludf.DUMMYFUNCTION("""COMPUTED_VALUE"""),1562.9)</f>
        <v>1562.9</v>
      </c>
      <c r="F46" s="2">
        <f>IFERROR(__xludf.DUMMYFUNCTION("""COMPUTED_VALUE"""),2.43912E7)</f>
        <v>24391200</v>
      </c>
      <c r="G46" s="2">
        <f t="shared" si="1"/>
        <v>89.31</v>
      </c>
    </row>
    <row r="47" ht="15.75" customHeight="1">
      <c r="A47" s="1">
        <f>IFERROR(__xludf.DUMMYFUNCTION("""COMPUTED_VALUE"""),43895.66666666667)</f>
        <v>43895.66667</v>
      </c>
      <c r="B47" s="2">
        <f>IFERROR(__xludf.DUMMYFUNCTION("""COMPUTED_VALUE"""),1580.76)</f>
        <v>1580.76</v>
      </c>
      <c r="C47" s="2">
        <f>IFERROR(__xludf.DUMMYFUNCTION("""COMPUTED_VALUE"""),1603.09)</f>
        <v>1603.09</v>
      </c>
      <c r="D47" s="2">
        <f>IFERROR(__xludf.DUMMYFUNCTION("""COMPUTED_VALUE"""),1527.18)</f>
        <v>1527.18</v>
      </c>
      <c r="E47" s="2">
        <f>IFERROR(__xludf.DUMMYFUNCTION("""COMPUTED_VALUE"""),1536.11)</f>
        <v>1536.11</v>
      </c>
      <c r="F47" s="2">
        <f>IFERROR(__xludf.DUMMYFUNCTION("""COMPUTED_VALUE"""),1.15142E7)</f>
        <v>11514200</v>
      </c>
      <c r="G47" s="2">
        <f t="shared" si="1"/>
        <v>75.91</v>
      </c>
    </row>
    <row r="48" ht="15.75" customHeight="1">
      <c r="A48" s="1">
        <f>IFERROR(__xludf.DUMMYFUNCTION("""COMPUTED_VALUE"""),43896.66666666667)</f>
        <v>43896.66667</v>
      </c>
      <c r="B48" s="2">
        <f>IFERROR(__xludf.DUMMYFUNCTION("""COMPUTED_VALUE"""),1518.25)</f>
        <v>1518.25</v>
      </c>
      <c r="C48" s="2">
        <f>IFERROR(__xludf.DUMMYFUNCTION("""COMPUTED_VALUE"""),1518.25)</f>
        <v>1518.25</v>
      </c>
      <c r="D48" s="2">
        <f>IFERROR(__xludf.DUMMYFUNCTION("""COMPUTED_VALUE"""),1473.59)</f>
        <v>1473.59</v>
      </c>
      <c r="E48" s="2">
        <f>IFERROR(__xludf.DUMMYFUNCTION("""COMPUTED_VALUE"""),1482.52)</f>
        <v>1482.52</v>
      </c>
      <c r="F48" s="2">
        <f>IFERROR(__xludf.DUMMYFUNCTION("""COMPUTED_VALUE"""),5865700.0)</f>
        <v>5865700</v>
      </c>
      <c r="G48" s="2">
        <f t="shared" si="1"/>
        <v>62.52</v>
      </c>
    </row>
    <row r="49" ht="15.75" customHeight="1">
      <c r="A49" s="1">
        <f>IFERROR(__xludf.DUMMYFUNCTION("""COMPUTED_VALUE"""),43899.66666666667)</f>
        <v>43899.66667</v>
      </c>
      <c r="B49" s="2">
        <f>IFERROR(__xludf.DUMMYFUNCTION("""COMPUTED_VALUE"""),1451.26)</f>
        <v>1451.26</v>
      </c>
      <c r="C49" s="2">
        <f>IFERROR(__xludf.DUMMYFUNCTION("""COMPUTED_VALUE"""),1455.73)</f>
        <v>1455.73</v>
      </c>
      <c r="D49" s="2">
        <f>IFERROR(__xludf.DUMMYFUNCTION("""COMPUTED_VALUE"""),1250.32)</f>
        <v>1250.32</v>
      </c>
      <c r="E49" s="2">
        <f>IFERROR(__xludf.DUMMYFUNCTION("""COMPUTED_VALUE"""),1294.97)</f>
        <v>1294.97</v>
      </c>
      <c r="F49" s="2">
        <f>IFERROR(__xludf.DUMMYFUNCTION("""COMPUTED_VALUE"""),1.87622E7)</f>
        <v>18762200</v>
      </c>
      <c r="G49" s="2">
        <f t="shared" si="1"/>
        <v>232.2</v>
      </c>
    </row>
    <row r="50" ht="15.75" customHeight="1">
      <c r="A50" s="1">
        <f>IFERROR(__xludf.DUMMYFUNCTION("""COMPUTED_VALUE"""),43900.66666666667)</f>
        <v>43900.66667</v>
      </c>
      <c r="B50" s="2">
        <f>IFERROR(__xludf.DUMMYFUNCTION("""COMPUTED_VALUE"""),1277.11)</f>
        <v>1277.11</v>
      </c>
      <c r="C50" s="2">
        <f>IFERROR(__xludf.DUMMYFUNCTION("""COMPUTED_VALUE"""),1361.96)</f>
        <v>1361.96</v>
      </c>
      <c r="D50" s="2">
        <f>IFERROR(__xludf.DUMMYFUNCTION("""COMPUTED_VALUE"""),1277.11)</f>
        <v>1277.11</v>
      </c>
      <c r="E50" s="2">
        <f>IFERROR(__xludf.DUMMYFUNCTION("""COMPUTED_VALUE"""),1339.63)</f>
        <v>1339.63</v>
      </c>
      <c r="F50" s="2">
        <f>IFERROR(__xludf.DUMMYFUNCTION("""COMPUTED_VALUE"""),3.61797E7)</f>
        <v>36179700</v>
      </c>
      <c r="G50" s="2">
        <f t="shared" si="1"/>
        <v>84.85</v>
      </c>
    </row>
    <row r="51" ht="15.75" customHeight="1">
      <c r="A51" s="1">
        <f>IFERROR(__xludf.DUMMYFUNCTION("""COMPUTED_VALUE"""),43901.66666666667)</f>
        <v>43901.66667</v>
      </c>
      <c r="B51" s="2">
        <f>IFERROR(__xludf.DUMMYFUNCTION("""COMPUTED_VALUE"""),1339.63)</f>
        <v>1339.63</v>
      </c>
      <c r="C51" s="2">
        <f>IFERROR(__xludf.DUMMYFUNCTION("""COMPUTED_VALUE"""),1379.82)</f>
        <v>1379.82</v>
      </c>
      <c r="D51" s="2">
        <f>IFERROR(__xludf.DUMMYFUNCTION("""COMPUTED_VALUE"""),1321.77)</f>
        <v>1321.77</v>
      </c>
      <c r="E51" s="2">
        <f>IFERROR(__xludf.DUMMYFUNCTION("""COMPUTED_VALUE"""),1330.7)</f>
        <v>1330.7</v>
      </c>
      <c r="F51" s="2">
        <f>IFERROR(__xludf.DUMMYFUNCTION("""COMPUTED_VALUE"""),2.81418E7)</f>
        <v>28141800</v>
      </c>
      <c r="G51" s="2">
        <f t="shared" si="1"/>
        <v>58.05</v>
      </c>
    </row>
    <row r="52" ht="15.75" customHeight="1">
      <c r="A52" s="1">
        <f>IFERROR(__xludf.DUMMYFUNCTION("""COMPUTED_VALUE"""),43902.66666666667)</f>
        <v>43902.66667</v>
      </c>
      <c r="B52" s="2">
        <f>IFERROR(__xludf.DUMMYFUNCTION("""COMPUTED_VALUE"""),1294.97)</f>
        <v>1294.97</v>
      </c>
      <c r="C52" s="2">
        <f>IFERROR(__xludf.DUMMYFUNCTION("""COMPUTED_VALUE"""),1294.97)</f>
        <v>1294.97</v>
      </c>
      <c r="D52" s="2">
        <f>IFERROR(__xludf.DUMMYFUNCTION("""COMPUTED_VALUE"""),1165.48)</f>
        <v>1165.48</v>
      </c>
      <c r="E52" s="2">
        <f>IFERROR(__xludf.DUMMYFUNCTION("""COMPUTED_VALUE"""),1165.48)</f>
        <v>1165.48</v>
      </c>
      <c r="F52" s="2">
        <f>IFERROR(__xludf.DUMMYFUNCTION("""COMPUTED_VALUE"""),2.16532E7)</f>
        <v>21653200</v>
      </c>
      <c r="G52" s="2">
        <f t="shared" si="1"/>
        <v>165.22</v>
      </c>
    </row>
    <row r="53" ht="15.75" customHeight="1">
      <c r="A53" s="1">
        <f>IFERROR(__xludf.DUMMYFUNCTION("""COMPUTED_VALUE"""),43903.66666666667)</f>
        <v>43903.66667</v>
      </c>
      <c r="B53" s="2">
        <f>IFERROR(__xludf.DUMMYFUNCTION("""COMPUTED_VALUE"""),1161.01)</f>
        <v>1161.01</v>
      </c>
      <c r="C53" s="2">
        <f>IFERROR(__xludf.DUMMYFUNCTION("""COMPUTED_VALUE"""),1241.39)</f>
        <v>1241.39</v>
      </c>
      <c r="D53" s="2">
        <f>IFERROR(__xludf.DUMMYFUNCTION("""COMPUTED_VALUE"""),1085.1)</f>
        <v>1085.1</v>
      </c>
      <c r="E53" s="2">
        <f>IFERROR(__xludf.DUMMYFUNCTION("""COMPUTED_VALUE"""),1192.27)</f>
        <v>1192.27</v>
      </c>
      <c r="F53" s="2">
        <f>IFERROR(__xludf.DUMMYFUNCTION("""COMPUTED_VALUE"""),2.83673E7)</f>
        <v>28367300</v>
      </c>
      <c r="G53" s="2">
        <f t="shared" si="1"/>
        <v>156.29</v>
      </c>
    </row>
    <row r="54" ht="15.75" customHeight="1">
      <c r="A54" s="1">
        <f>IFERROR(__xludf.DUMMYFUNCTION("""COMPUTED_VALUE"""),43906.66666666667)</f>
        <v>43906.66667</v>
      </c>
      <c r="B54" s="2">
        <f>IFERROR(__xludf.DUMMYFUNCTION("""COMPUTED_VALUE"""),1161.01)</f>
        <v>1161.01</v>
      </c>
      <c r="C54" s="2">
        <f>IFERROR(__xludf.DUMMYFUNCTION("""COMPUTED_VALUE"""),1169.94)</f>
        <v>1169.94</v>
      </c>
      <c r="D54" s="2">
        <f>IFERROR(__xludf.DUMMYFUNCTION("""COMPUTED_VALUE"""),1111.89)</f>
        <v>1111.89</v>
      </c>
      <c r="E54" s="2">
        <f>IFERROR(__xludf.DUMMYFUNCTION("""COMPUTED_VALUE"""),1111.89)</f>
        <v>1111.89</v>
      </c>
      <c r="F54" s="2">
        <f>IFERROR(__xludf.DUMMYFUNCTION("""COMPUTED_VALUE"""),1.4903E7)</f>
        <v>14903000</v>
      </c>
      <c r="G54" s="2">
        <f t="shared" si="1"/>
        <v>80.38</v>
      </c>
    </row>
    <row r="55" ht="15.75" customHeight="1">
      <c r="A55" s="1">
        <f>IFERROR(__xludf.DUMMYFUNCTION("""COMPUTED_VALUE"""),43907.66666666667)</f>
        <v>43907.66667</v>
      </c>
      <c r="B55" s="2">
        <f>IFERROR(__xludf.DUMMYFUNCTION("""COMPUTED_VALUE"""),1058.31)</f>
        <v>1058.31</v>
      </c>
      <c r="C55" s="2">
        <f>IFERROR(__xludf.DUMMYFUNCTION("""COMPUTED_VALUE"""),1071.7)</f>
        <v>1071.7</v>
      </c>
      <c r="D55" s="2">
        <f>IFERROR(__xludf.DUMMYFUNCTION("""COMPUTED_VALUE"""),1035.98)</f>
        <v>1035.98</v>
      </c>
      <c r="E55" s="2">
        <f>IFERROR(__xludf.DUMMYFUNCTION("""COMPUTED_VALUE"""),1035.98)</f>
        <v>1035.98</v>
      </c>
      <c r="F55" s="2">
        <f>IFERROR(__xludf.DUMMYFUNCTION("""COMPUTED_VALUE"""),6.36026E7)</f>
        <v>63602600</v>
      </c>
      <c r="G55" s="2">
        <f t="shared" si="1"/>
        <v>75.91</v>
      </c>
    </row>
    <row r="56" ht="15.75" customHeight="1">
      <c r="A56" s="1">
        <f>IFERROR(__xludf.DUMMYFUNCTION("""COMPUTED_VALUE"""),43908.66666666667)</f>
        <v>43908.66667</v>
      </c>
      <c r="B56" s="2">
        <f>IFERROR(__xludf.DUMMYFUNCTION("""COMPUTED_VALUE"""),1000.26)</f>
        <v>1000.26</v>
      </c>
      <c r="C56" s="2">
        <f>IFERROR(__xludf.DUMMYFUNCTION("""COMPUTED_VALUE"""),1035.98)</f>
        <v>1035.98</v>
      </c>
      <c r="D56" s="2">
        <f>IFERROR(__xludf.DUMMYFUNCTION("""COMPUTED_VALUE"""),964.53)</f>
        <v>964.53</v>
      </c>
      <c r="E56" s="2">
        <f>IFERROR(__xludf.DUMMYFUNCTION("""COMPUTED_VALUE"""),964.53)</f>
        <v>964.53</v>
      </c>
      <c r="F56" s="2">
        <f>IFERROR(__xludf.DUMMYFUNCTION("""COMPUTED_VALUE"""),4.84956E7)</f>
        <v>48495600</v>
      </c>
      <c r="G56" s="2">
        <f t="shared" si="1"/>
        <v>71.45</v>
      </c>
    </row>
    <row r="57" ht="15.75" customHeight="1">
      <c r="A57" s="1">
        <f>IFERROR(__xludf.DUMMYFUNCTION("""COMPUTED_VALUE"""),43909.66666666667)</f>
        <v>43909.66667</v>
      </c>
      <c r="B57" s="2">
        <f>IFERROR(__xludf.DUMMYFUNCTION("""COMPUTED_VALUE"""),902.02)</f>
        <v>902.02</v>
      </c>
      <c r="C57" s="2">
        <f>IFERROR(__xludf.DUMMYFUNCTION("""COMPUTED_VALUE"""),937.74)</f>
        <v>937.74</v>
      </c>
      <c r="D57" s="2">
        <f>IFERROR(__xludf.DUMMYFUNCTION("""COMPUTED_VALUE"""),897.55)</f>
        <v>897.55</v>
      </c>
      <c r="E57" s="2">
        <f>IFERROR(__xludf.DUMMYFUNCTION("""COMPUTED_VALUE"""),897.55)</f>
        <v>897.55</v>
      </c>
      <c r="F57" s="2">
        <f>IFERROR(__xludf.DUMMYFUNCTION("""COMPUTED_VALUE"""),4.8347E7)</f>
        <v>48347000</v>
      </c>
      <c r="G57" s="2">
        <f t="shared" si="1"/>
        <v>66.98</v>
      </c>
    </row>
    <row r="58" ht="15.75" customHeight="1">
      <c r="A58" s="1">
        <f>IFERROR(__xludf.DUMMYFUNCTION("""COMPUTED_VALUE"""),43910.66666666667)</f>
        <v>43910.66667</v>
      </c>
      <c r="B58" s="2">
        <f>IFERROR(__xludf.DUMMYFUNCTION("""COMPUTED_VALUE"""),852.9)</f>
        <v>852.9</v>
      </c>
      <c r="C58" s="2">
        <f>IFERROR(__xludf.DUMMYFUNCTION("""COMPUTED_VALUE"""),870.76)</f>
        <v>870.76</v>
      </c>
      <c r="D58" s="2">
        <f>IFERROR(__xludf.DUMMYFUNCTION("""COMPUTED_VALUE"""),835.04)</f>
        <v>835.04</v>
      </c>
      <c r="E58" s="2">
        <f>IFERROR(__xludf.DUMMYFUNCTION("""COMPUTED_VALUE"""),843.97)</f>
        <v>843.97</v>
      </c>
      <c r="F58" s="2">
        <f>IFERROR(__xludf.DUMMYFUNCTION("""COMPUTED_VALUE"""),5.53118E7)</f>
        <v>55311800</v>
      </c>
      <c r="G58" s="2">
        <f t="shared" si="1"/>
        <v>62.51</v>
      </c>
    </row>
    <row r="59" ht="15.75" customHeight="1">
      <c r="A59" s="1">
        <f>IFERROR(__xludf.DUMMYFUNCTION("""COMPUTED_VALUE"""),43913.66666666667)</f>
        <v>43913.66667</v>
      </c>
      <c r="B59" s="2">
        <f>IFERROR(__xludf.DUMMYFUNCTION("""COMPUTED_VALUE"""),803.78)</f>
        <v>803.78</v>
      </c>
      <c r="C59" s="2">
        <f>IFERROR(__xludf.DUMMYFUNCTION("""COMPUTED_VALUE"""),803.78)</f>
        <v>803.78</v>
      </c>
      <c r="D59" s="2">
        <f>IFERROR(__xludf.DUMMYFUNCTION("""COMPUTED_VALUE"""),785.92)</f>
        <v>785.92</v>
      </c>
      <c r="E59" s="2">
        <f>IFERROR(__xludf.DUMMYFUNCTION("""COMPUTED_VALUE"""),785.92)</f>
        <v>785.92</v>
      </c>
      <c r="F59" s="2">
        <f>IFERROR(__xludf.DUMMYFUNCTION("""COMPUTED_VALUE"""),1.23719E7)</f>
        <v>12371900</v>
      </c>
      <c r="G59" s="2">
        <f t="shared" si="1"/>
        <v>58.05</v>
      </c>
    </row>
    <row r="60" ht="15.75" customHeight="1">
      <c r="A60" s="1">
        <f>IFERROR(__xludf.DUMMYFUNCTION("""COMPUTED_VALUE"""),43914.66666666667)</f>
        <v>43914.66667</v>
      </c>
      <c r="B60" s="2">
        <f>IFERROR(__xludf.DUMMYFUNCTION("""COMPUTED_VALUE"""),803.78)</f>
        <v>803.78</v>
      </c>
      <c r="C60" s="2">
        <f>IFERROR(__xludf.DUMMYFUNCTION("""COMPUTED_VALUE"""),835.04)</f>
        <v>835.04</v>
      </c>
      <c r="D60" s="2">
        <f>IFERROR(__xludf.DUMMYFUNCTION("""COMPUTED_VALUE"""),732.33)</f>
        <v>732.33</v>
      </c>
      <c r="E60" s="2">
        <f>IFERROR(__xludf.DUMMYFUNCTION("""COMPUTED_VALUE"""),732.33)</f>
        <v>732.33</v>
      </c>
      <c r="F60" s="2">
        <f>IFERROR(__xludf.DUMMYFUNCTION("""COMPUTED_VALUE"""),2.38679E7)</f>
        <v>23867900</v>
      </c>
      <c r="G60" s="2">
        <f t="shared" si="1"/>
        <v>102.71</v>
      </c>
    </row>
    <row r="61" ht="15.75" customHeight="1">
      <c r="A61" s="1">
        <f>IFERROR(__xludf.DUMMYFUNCTION("""COMPUTED_VALUE"""),43916.66666666667)</f>
        <v>43916.66667</v>
      </c>
      <c r="B61" s="2">
        <f>IFERROR(__xludf.DUMMYFUNCTION("""COMPUTED_VALUE"""),750.19)</f>
        <v>750.19</v>
      </c>
      <c r="C61" s="2">
        <f>IFERROR(__xludf.DUMMYFUNCTION("""COMPUTED_VALUE"""),812.71)</f>
        <v>812.71</v>
      </c>
      <c r="D61" s="2">
        <f>IFERROR(__xludf.DUMMYFUNCTION("""COMPUTED_VALUE"""),727.87)</f>
        <v>727.87</v>
      </c>
      <c r="E61" s="2">
        <f>IFERROR(__xludf.DUMMYFUNCTION("""COMPUTED_VALUE"""),732.33)</f>
        <v>732.33</v>
      </c>
      <c r="F61" s="2">
        <f>IFERROR(__xludf.DUMMYFUNCTION("""COMPUTED_VALUE"""),1.246081E8)</f>
        <v>124608100</v>
      </c>
      <c r="G61" s="2">
        <f t="shared" si="1"/>
        <v>84.84</v>
      </c>
    </row>
    <row r="62" ht="15.75" customHeight="1">
      <c r="A62" s="1">
        <f>IFERROR(__xludf.DUMMYFUNCTION("""COMPUTED_VALUE"""),43917.66666666667)</f>
        <v>43917.66667</v>
      </c>
      <c r="B62" s="2">
        <f>IFERROR(__xludf.DUMMYFUNCTION("""COMPUTED_VALUE"""),768.05)</f>
        <v>768.05</v>
      </c>
      <c r="C62" s="2">
        <f>IFERROR(__xludf.DUMMYFUNCTION("""COMPUTED_VALUE"""),884.16)</f>
        <v>884.16</v>
      </c>
      <c r="D62" s="2">
        <f>IFERROR(__xludf.DUMMYFUNCTION("""COMPUTED_VALUE"""),759.12)</f>
        <v>759.12</v>
      </c>
      <c r="E62" s="2">
        <f>IFERROR(__xludf.DUMMYFUNCTION("""COMPUTED_VALUE"""),794.85)</f>
        <v>794.85</v>
      </c>
      <c r="F62" s="2">
        <f>IFERROR(__xludf.DUMMYFUNCTION("""COMPUTED_VALUE"""),1.376542E8)</f>
        <v>137654200</v>
      </c>
      <c r="G62" s="2">
        <f t="shared" si="1"/>
        <v>151.83</v>
      </c>
    </row>
    <row r="63" ht="15.75" customHeight="1">
      <c r="A63" s="1">
        <f>IFERROR(__xludf.DUMMYFUNCTION("""COMPUTED_VALUE"""),43920.66666666667)</f>
        <v>43920.66667</v>
      </c>
      <c r="B63" s="2">
        <f>IFERROR(__xludf.DUMMYFUNCTION("""COMPUTED_VALUE"""),794.85)</f>
        <v>794.85</v>
      </c>
      <c r="C63" s="2">
        <f>IFERROR(__xludf.DUMMYFUNCTION("""COMPUTED_VALUE"""),794.85)</f>
        <v>794.85</v>
      </c>
      <c r="D63" s="2">
        <f>IFERROR(__xludf.DUMMYFUNCTION("""COMPUTED_VALUE"""),741.26)</f>
        <v>741.26</v>
      </c>
      <c r="E63" s="2">
        <f>IFERROR(__xludf.DUMMYFUNCTION("""COMPUTED_VALUE"""),741.26)</f>
        <v>741.26</v>
      </c>
      <c r="F63" s="2">
        <f>IFERROR(__xludf.DUMMYFUNCTION("""COMPUTED_VALUE"""),4.14727E7)</f>
        <v>41472700</v>
      </c>
      <c r="G63" s="2">
        <f t="shared" si="1"/>
        <v>53.59</v>
      </c>
    </row>
    <row r="64" ht="15.75" customHeight="1">
      <c r="A64" s="1">
        <f>IFERROR(__xludf.DUMMYFUNCTION("""COMPUTED_VALUE"""),43921.66666666667)</f>
        <v>43921.66667</v>
      </c>
      <c r="B64" s="2">
        <f>IFERROR(__xludf.DUMMYFUNCTION("""COMPUTED_VALUE"""),768.05)</f>
        <v>768.05</v>
      </c>
      <c r="C64" s="2">
        <f>IFERROR(__xludf.DUMMYFUNCTION("""COMPUTED_VALUE"""),776.98)</f>
        <v>776.98</v>
      </c>
      <c r="D64" s="2">
        <f>IFERROR(__xludf.DUMMYFUNCTION("""COMPUTED_VALUE"""),732.33)</f>
        <v>732.33</v>
      </c>
      <c r="E64" s="2">
        <f>IFERROR(__xludf.DUMMYFUNCTION("""COMPUTED_VALUE"""),750.19)</f>
        <v>750.19</v>
      </c>
      <c r="F64" s="2">
        <f>IFERROR(__xludf.DUMMYFUNCTION("""COMPUTED_VALUE"""),5.08943E7)</f>
        <v>50894300</v>
      </c>
      <c r="G64" s="2">
        <f t="shared" si="1"/>
        <v>44.65</v>
      </c>
    </row>
    <row r="65" ht="15.75" customHeight="1">
      <c r="A65" s="1">
        <f>IFERROR(__xludf.DUMMYFUNCTION("""COMPUTED_VALUE"""),43922.66666666667)</f>
        <v>43922.66667</v>
      </c>
      <c r="B65" s="2">
        <f>IFERROR(__xludf.DUMMYFUNCTION("""COMPUTED_VALUE"""),750.19)</f>
        <v>750.19</v>
      </c>
      <c r="C65" s="2">
        <f>IFERROR(__xludf.DUMMYFUNCTION("""COMPUTED_VALUE"""),785.92)</f>
        <v>785.92</v>
      </c>
      <c r="D65" s="2">
        <f>IFERROR(__xludf.DUMMYFUNCTION("""COMPUTED_VALUE"""),714.47)</f>
        <v>714.47</v>
      </c>
      <c r="E65" s="2">
        <f>IFERROR(__xludf.DUMMYFUNCTION("""COMPUTED_VALUE"""),745.73)</f>
        <v>745.73</v>
      </c>
      <c r="F65" s="2">
        <f>IFERROR(__xludf.DUMMYFUNCTION("""COMPUTED_VALUE"""),4.40909E7)</f>
        <v>44090900</v>
      </c>
      <c r="G65" s="2">
        <f t="shared" si="1"/>
        <v>71.45</v>
      </c>
    </row>
    <row r="66" ht="15.75" customHeight="1">
      <c r="A66" s="1">
        <f>IFERROR(__xludf.DUMMYFUNCTION("""COMPUTED_VALUE"""),43923.66666666667)</f>
        <v>43923.66667</v>
      </c>
      <c r="B66" s="2">
        <f>IFERROR(__xludf.DUMMYFUNCTION("""COMPUTED_VALUE"""),741.26)</f>
        <v>741.26</v>
      </c>
      <c r="C66" s="2">
        <f>IFERROR(__xludf.DUMMYFUNCTION("""COMPUTED_VALUE"""),763.59)</f>
        <v>763.59</v>
      </c>
      <c r="D66" s="2">
        <f>IFERROR(__xludf.DUMMYFUNCTION("""COMPUTED_VALUE"""),710.0)</f>
        <v>710</v>
      </c>
      <c r="E66" s="2">
        <f>IFERROR(__xludf.DUMMYFUNCTION("""COMPUTED_VALUE"""),754.66)</f>
        <v>754.66</v>
      </c>
      <c r="F66" s="2">
        <f>IFERROR(__xludf.DUMMYFUNCTION("""COMPUTED_VALUE"""),4.37953E7)</f>
        <v>43795300</v>
      </c>
      <c r="G66" s="2">
        <f t="shared" si="1"/>
        <v>53.59</v>
      </c>
    </row>
    <row r="67" ht="15.75" customHeight="1">
      <c r="A67" s="1">
        <f>IFERROR(__xludf.DUMMYFUNCTION("""COMPUTED_VALUE"""),43924.66666666667)</f>
        <v>43924.66667</v>
      </c>
      <c r="B67" s="2">
        <f>IFERROR(__xludf.DUMMYFUNCTION("""COMPUTED_VALUE"""),759.12)</f>
        <v>759.12</v>
      </c>
      <c r="C67" s="2">
        <f>IFERROR(__xludf.DUMMYFUNCTION("""COMPUTED_VALUE"""),835.04)</f>
        <v>835.04</v>
      </c>
      <c r="D67" s="2">
        <f>IFERROR(__xludf.DUMMYFUNCTION("""COMPUTED_VALUE"""),759.12)</f>
        <v>759.12</v>
      </c>
      <c r="E67" s="2">
        <f>IFERROR(__xludf.DUMMYFUNCTION("""COMPUTED_VALUE"""),821.64)</f>
        <v>821.64</v>
      </c>
      <c r="F67" s="2">
        <f>IFERROR(__xludf.DUMMYFUNCTION("""COMPUTED_VALUE"""),5.73116E7)</f>
        <v>57311600</v>
      </c>
      <c r="G67" s="2">
        <f t="shared" si="1"/>
        <v>80.38</v>
      </c>
    </row>
    <row r="68" ht="15.75" customHeight="1">
      <c r="A68" s="1">
        <f>IFERROR(__xludf.DUMMYFUNCTION("""COMPUTED_VALUE"""),43927.66666666667)</f>
        <v>43927.66667</v>
      </c>
      <c r="B68" s="2">
        <f>IFERROR(__xludf.DUMMYFUNCTION("""COMPUTED_VALUE"""),821.64)</f>
        <v>821.64</v>
      </c>
      <c r="C68" s="2">
        <f>IFERROR(__xludf.DUMMYFUNCTION("""COMPUTED_VALUE"""),902.02)</f>
        <v>902.02</v>
      </c>
      <c r="D68" s="2">
        <f>IFERROR(__xludf.DUMMYFUNCTION("""COMPUTED_VALUE"""),803.78)</f>
        <v>803.78</v>
      </c>
      <c r="E68" s="2">
        <f>IFERROR(__xludf.DUMMYFUNCTION("""COMPUTED_VALUE"""),897.55)</f>
        <v>897.55</v>
      </c>
      <c r="F68" s="2">
        <f>IFERROR(__xludf.DUMMYFUNCTION("""COMPUTED_VALUE"""),7.08803E7)</f>
        <v>70880300</v>
      </c>
      <c r="G68" s="2">
        <f t="shared" si="1"/>
        <v>98.24</v>
      </c>
    </row>
    <row r="69" ht="15.75" customHeight="1">
      <c r="A69" s="1">
        <f>IFERROR(__xludf.DUMMYFUNCTION("""COMPUTED_VALUE"""),43928.66666666667)</f>
        <v>43928.66667</v>
      </c>
      <c r="B69" s="2">
        <f>IFERROR(__xludf.DUMMYFUNCTION("""COMPUTED_VALUE"""),933.27)</f>
        <v>933.27</v>
      </c>
      <c r="C69" s="2">
        <f>IFERROR(__xludf.DUMMYFUNCTION("""COMPUTED_VALUE"""),982.39)</f>
        <v>982.39</v>
      </c>
      <c r="D69" s="2">
        <f>IFERROR(__xludf.DUMMYFUNCTION("""COMPUTED_VALUE"""),870.76)</f>
        <v>870.76</v>
      </c>
      <c r="E69" s="2">
        <f>IFERROR(__xludf.DUMMYFUNCTION("""COMPUTED_VALUE"""),902.02)</f>
        <v>902.02</v>
      </c>
      <c r="F69" s="2">
        <f>IFERROR(__xludf.DUMMYFUNCTION("""COMPUTED_VALUE"""),8.13959E7)</f>
        <v>81395900</v>
      </c>
      <c r="G69" s="2">
        <f t="shared" si="1"/>
        <v>111.63</v>
      </c>
    </row>
    <row r="70" ht="15.75" customHeight="1">
      <c r="A70" s="1">
        <f>IFERROR(__xludf.DUMMYFUNCTION("""COMPUTED_VALUE"""),43929.66666666667)</f>
        <v>43929.66667</v>
      </c>
      <c r="B70" s="2">
        <f>IFERROR(__xludf.DUMMYFUNCTION("""COMPUTED_VALUE"""),928.81)</f>
        <v>928.81</v>
      </c>
      <c r="C70" s="2">
        <f>IFERROR(__xludf.DUMMYFUNCTION("""COMPUTED_VALUE"""),928.81)</f>
        <v>928.81</v>
      </c>
      <c r="D70" s="2">
        <f>IFERROR(__xludf.DUMMYFUNCTION("""COMPUTED_VALUE"""),839.5)</f>
        <v>839.5</v>
      </c>
      <c r="E70" s="2">
        <f>IFERROR(__xludf.DUMMYFUNCTION("""COMPUTED_VALUE"""),839.5)</f>
        <v>839.5</v>
      </c>
      <c r="F70" s="2">
        <f>IFERROR(__xludf.DUMMYFUNCTION("""COMPUTED_VALUE"""),4.29564E7)</f>
        <v>42956400</v>
      </c>
      <c r="G70" s="2">
        <f t="shared" si="1"/>
        <v>89.31</v>
      </c>
    </row>
    <row r="71" ht="15.75" customHeight="1">
      <c r="A71" s="1">
        <f>IFERROR(__xludf.DUMMYFUNCTION("""COMPUTED_VALUE"""),43930.66666666667)</f>
        <v>43930.66667</v>
      </c>
      <c r="B71" s="2">
        <f>IFERROR(__xludf.DUMMYFUNCTION("""COMPUTED_VALUE"""),879.69)</f>
        <v>879.69</v>
      </c>
      <c r="C71" s="2">
        <f>IFERROR(__xludf.DUMMYFUNCTION("""COMPUTED_VALUE"""),879.69)</f>
        <v>879.69</v>
      </c>
      <c r="D71" s="2">
        <f>IFERROR(__xludf.DUMMYFUNCTION("""COMPUTED_VALUE"""),812.71)</f>
        <v>812.71</v>
      </c>
      <c r="E71" s="2">
        <f>IFERROR(__xludf.DUMMYFUNCTION("""COMPUTED_VALUE"""),821.64)</f>
        <v>821.64</v>
      </c>
      <c r="F71" s="2">
        <f>IFERROR(__xludf.DUMMYFUNCTION("""COMPUTED_VALUE"""),4.37042E7)</f>
        <v>43704200</v>
      </c>
      <c r="G71" s="2">
        <f t="shared" si="1"/>
        <v>66.98</v>
      </c>
    </row>
    <row r="72" ht="15.75" customHeight="1">
      <c r="A72" s="1">
        <f>IFERROR(__xludf.DUMMYFUNCTION("""COMPUTED_VALUE"""),43934.66666666667)</f>
        <v>43934.66667</v>
      </c>
      <c r="B72" s="2">
        <f>IFERROR(__xludf.DUMMYFUNCTION("""COMPUTED_VALUE"""),830.57)</f>
        <v>830.57</v>
      </c>
      <c r="C72" s="2">
        <f>IFERROR(__xludf.DUMMYFUNCTION("""COMPUTED_VALUE"""),843.97)</f>
        <v>843.97</v>
      </c>
      <c r="D72" s="2">
        <f>IFERROR(__xludf.DUMMYFUNCTION("""COMPUTED_VALUE"""),812.71)</f>
        <v>812.71</v>
      </c>
      <c r="E72" s="2">
        <f>IFERROR(__xludf.DUMMYFUNCTION("""COMPUTED_VALUE"""),821.64)</f>
        <v>821.64</v>
      </c>
      <c r="F72" s="2">
        <f>IFERROR(__xludf.DUMMYFUNCTION("""COMPUTED_VALUE"""),2.77552E7)</f>
        <v>27755200</v>
      </c>
      <c r="G72" s="2">
        <f t="shared" si="1"/>
        <v>31.26</v>
      </c>
    </row>
    <row r="73" ht="15.75" customHeight="1">
      <c r="A73" s="1">
        <f>IFERROR(__xludf.DUMMYFUNCTION("""COMPUTED_VALUE"""),43935.66666666667)</f>
        <v>43935.66667</v>
      </c>
      <c r="B73" s="2">
        <f>IFERROR(__xludf.DUMMYFUNCTION("""COMPUTED_VALUE"""),826.1)</f>
        <v>826.1</v>
      </c>
      <c r="C73" s="2">
        <f>IFERROR(__xludf.DUMMYFUNCTION("""COMPUTED_VALUE"""),888.62)</f>
        <v>888.62</v>
      </c>
      <c r="D73" s="2">
        <f>IFERROR(__xludf.DUMMYFUNCTION("""COMPUTED_VALUE"""),826.1)</f>
        <v>826.1</v>
      </c>
      <c r="E73" s="2">
        <f>IFERROR(__xludf.DUMMYFUNCTION("""COMPUTED_VALUE"""),884.16)</f>
        <v>884.16</v>
      </c>
      <c r="F73" s="2">
        <f>IFERROR(__xludf.DUMMYFUNCTION("""COMPUTED_VALUE"""),4.67963E7)</f>
        <v>46796300</v>
      </c>
      <c r="G73" s="2">
        <f t="shared" si="1"/>
        <v>66.98</v>
      </c>
    </row>
    <row r="74" ht="15.75" customHeight="1">
      <c r="A74" s="1">
        <f>IFERROR(__xludf.DUMMYFUNCTION("""COMPUTED_VALUE"""),43936.66666666667)</f>
        <v>43936.66667</v>
      </c>
      <c r="B74" s="2">
        <f>IFERROR(__xludf.DUMMYFUNCTION("""COMPUTED_VALUE"""),884.16)</f>
        <v>884.16</v>
      </c>
      <c r="C74" s="2">
        <f>IFERROR(__xludf.DUMMYFUNCTION("""COMPUTED_VALUE"""),910.95)</f>
        <v>910.95</v>
      </c>
      <c r="D74" s="2">
        <f>IFERROR(__xludf.DUMMYFUNCTION("""COMPUTED_VALUE"""),843.97)</f>
        <v>843.97</v>
      </c>
      <c r="E74" s="2">
        <f>IFERROR(__xludf.DUMMYFUNCTION("""COMPUTED_VALUE"""),857.36)</f>
        <v>857.36</v>
      </c>
      <c r="F74" s="2">
        <f>IFERROR(__xludf.DUMMYFUNCTION("""COMPUTED_VALUE"""),5.03948E7)</f>
        <v>50394800</v>
      </c>
      <c r="G74" s="2">
        <f t="shared" si="1"/>
        <v>66.98</v>
      </c>
    </row>
    <row r="75" ht="15.75" customHeight="1">
      <c r="A75" s="1">
        <f>IFERROR(__xludf.DUMMYFUNCTION("""COMPUTED_VALUE"""),43937.66666666667)</f>
        <v>43937.66667</v>
      </c>
      <c r="B75" s="2">
        <f>IFERROR(__xludf.DUMMYFUNCTION("""COMPUTED_VALUE"""),848.43)</f>
        <v>848.43</v>
      </c>
      <c r="C75" s="2">
        <f>IFERROR(__xludf.DUMMYFUNCTION("""COMPUTED_VALUE"""),852.9)</f>
        <v>852.9</v>
      </c>
      <c r="D75" s="2">
        <f>IFERROR(__xludf.DUMMYFUNCTION("""COMPUTED_VALUE"""),799.31)</f>
        <v>799.31</v>
      </c>
      <c r="E75" s="2">
        <f>IFERROR(__xludf.DUMMYFUNCTION("""COMPUTED_VALUE"""),803.78)</f>
        <v>803.78</v>
      </c>
      <c r="F75" s="2">
        <f>IFERROR(__xludf.DUMMYFUNCTION("""COMPUTED_VALUE"""),3.04841E7)</f>
        <v>30484100</v>
      </c>
      <c r="G75" s="2">
        <f t="shared" si="1"/>
        <v>58.05</v>
      </c>
    </row>
    <row r="76" ht="15.75" customHeight="1">
      <c r="A76" s="1">
        <f>IFERROR(__xludf.DUMMYFUNCTION("""COMPUTED_VALUE"""),43938.66666666667)</f>
        <v>43938.66667</v>
      </c>
      <c r="B76" s="2">
        <f>IFERROR(__xludf.DUMMYFUNCTION("""COMPUTED_VALUE"""),835.04)</f>
        <v>835.04</v>
      </c>
      <c r="C76" s="2">
        <f>IFERROR(__xludf.DUMMYFUNCTION("""COMPUTED_VALUE"""),866.29)</f>
        <v>866.29</v>
      </c>
      <c r="D76" s="2">
        <f>IFERROR(__xludf.DUMMYFUNCTION("""COMPUTED_VALUE"""),826.1)</f>
        <v>826.1</v>
      </c>
      <c r="E76" s="2">
        <f>IFERROR(__xludf.DUMMYFUNCTION("""COMPUTED_VALUE"""),857.36)</f>
        <v>857.36</v>
      </c>
      <c r="F76" s="2">
        <f>IFERROR(__xludf.DUMMYFUNCTION("""COMPUTED_VALUE"""),4.35652E7)</f>
        <v>43565200</v>
      </c>
      <c r="G76" s="2">
        <f t="shared" si="1"/>
        <v>62.51</v>
      </c>
    </row>
    <row r="77" ht="15.75" customHeight="1">
      <c r="A77" s="1">
        <f>IFERROR(__xludf.DUMMYFUNCTION("""COMPUTED_VALUE"""),43941.66666666667)</f>
        <v>43941.66667</v>
      </c>
      <c r="B77" s="2">
        <f>IFERROR(__xludf.DUMMYFUNCTION("""COMPUTED_VALUE"""),857.36)</f>
        <v>857.36</v>
      </c>
      <c r="C77" s="2">
        <f>IFERROR(__xludf.DUMMYFUNCTION("""COMPUTED_VALUE"""),861.83)</f>
        <v>861.83</v>
      </c>
      <c r="D77" s="2">
        <f>IFERROR(__xludf.DUMMYFUNCTION("""COMPUTED_VALUE"""),808.24)</f>
        <v>808.24</v>
      </c>
      <c r="E77" s="2">
        <f>IFERROR(__xludf.DUMMYFUNCTION("""COMPUTED_VALUE"""),817.17)</f>
        <v>817.17</v>
      </c>
      <c r="F77" s="2">
        <f>IFERROR(__xludf.DUMMYFUNCTION("""COMPUTED_VALUE"""),3.93169E7)</f>
        <v>39316900</v>
      </c>
      <c r="G77" s="2">
        <f t="shared" si="1"/>
        <v>53.59</v>
      </c>
    </row>
    <row r="78" ht="15.75" customHeight="1">
      <c r="A78" s="1">
        <f>IFERROR(__xludf.DUMMYFUNCTION("""COMPUTED_VALUE"""),43942.66666666667)</f>
        <v>43942.66667</v>
      </c>
      <c r="B78" s="2">
        <f>IFERROR(__xludf.DUMMYFUNCTION("""COMPUTED_VALUE"""),821.64)</f>
        <v>821.64</v>
      </c>
      <c r="C78" s="2">
        <f>IFERROR(__xludf.DUMMYFUNCTION("""COMPUTED_VALUE"""),821.64)</f>
        <v>821.64</v>
      </c>
      <c r="D78" s="2">
        <f>IFERROR(__xludf.DUMMYFUNCTION("""COMPUTED_VALUE"""),776.98)</f>
        <v>776.98</v>
      </c>
      <c r="E78" s="2">
        <f>IFERROR(__xludf.DUMMYFUNCTION("""COMPUTED_VALUE"""),785.92)</f>
        <v>785.92</v>
      </c>
      <c r="F78" s="2">
        <f>IFERROR(__xludf.DUMMYFUNCTION("""COMPUTED_VALUE"""),3.26119E7)</f>
        <v>32611900</v>
      </c>
      <c r="G78" s="2">
        <f t="shared" si="1"/>
        <v>44.66</v>
      </c>
    </row>
    <row r="79" ht="15.75" customHeight="1">
      <c r="A79" s="1">
        <f>IFERROR(__xludf.DUMMYFUNCTION("""COMPUTED_VALUE"""),43943.66666666667)</f>
        <v>43943.66667</v>
      </c>
      <c r="B79" s="2">
        <f>IFERROR(__xludf.DUMMYFUNCTION("""COMPUTED_VALUE"""),781.45)</f>
        <v>781.45</v>
      </c>
      <c r="C79" s="2">
        <f>IFERROR(__xludf.DUMMYFUNCTION("""COMPUTED_VALUE"""),803.78)</f>
        <v>803.78</v>
      </c>
      <c r="D79" s="2">
        <f>IFERROR(__xludf.DUMMYFUNCTION("""COMPUTED_VALUE"""),763.59)</f>
        <v>763.59</v>
      </c>
      <c r="E79" s="2">
        <f>IFERROR(__xludf.DUMMYFUNCTION("""COMPUTED_VALUE"""),803.78)</f>
        <v>803.78</v>
      </c>
      <c r="F79" s="2">
        <f>IFERROR(__xludf.DUMMYFUNCTION("""COMPUTED_VALUE"""),2.53081E7)</f>
        <v>25308100</v>
      </c>
      <c r="G79" s="2">
        <f t="shared" si="1"/>
        <v>40.19</v>
      </c>
    </row>
    <row r="80" ht="15.75" customHeight="1">
      <c r="A80" s="1">
        <f>IFERROR(__xludf.DUMMYFUNCTION("""COMPUTED_VALUE"""),43944.66666666667)</f>
        <v>43944.66667</v>
      </c>
      <c r="B80" s="2">
        <f>IFERROR(__xludf.DUMMYFUNCTION("""COMPUTED_VALUE"""),803.78)</f>
        <v>803.78</v>
      </c>
      <c r="C80" s="2">
        <f>IFERROR(__xludf.DUMMYFUNCTION("""COMPUTED_VALUE"""),817.17)</f>
        <v>817.17</v>
      </c>
      <c r="D80" s="2">
        <f>IFERROR(__xludf.DUMMYFUNCTION("""COMPUTED_VALUE"""),785.92)</f>
        <v>785.92</v>
      </c>
      <c r="E80" s="2">
        <f>IFERROR(__xludf.DUMMYFUNCTION("""COMPUTED_VALUE"""),785.92)</f>
        <v>785.92</v>
      </c>
      <c r="F80" s="2">
        <f>IFERROR(__xludf.DUMMYFUNCTION("""COMPUTED_VALUE"""),4.70715E7)</f>
        <v>47071500</v>
      </c>
      <c r="G80" s="2">
        <f t="shared" si="1"/>
        <v>31.25</v>
      </c>
    </row>
    <row r="81" ht="15.75" customHeight="1">
      <c r="A81" s="1">
        <f>IFERROR(__xludf.DUMMYFUNCTION("""COMPUTED_VALUE"""),43945.66666666667)</f>
        <v>43945.66667</v>
      </c>
      <c r="B81" s="2">
        <f>IFERROR(__xludf.DUMMYFUNCTION("""COMPUTED_VALUE"""),785.92)</f>
        <v>785.92</v>
      </c>
      <c r="C81" s="2">
        <f>IFERROR(__xludf.DUMMYFUNCTION("""COMPUTED_VALUE"""),785.92)</f>
        <v>785.92</v>
      </c>
      <c r="D81" s="2">
        <f>IFERROR(__xludf.DUMMYFUNCTION("""COMPUTED_VALUE"""),736.8)</f>
        <v>736.8</v>
      </c>
      <c r="E81" s="2">
        <f>IFERROR(__xludf.DUMMYFUNCTION("""COMPUTED_VALUE"""),741.26)</f>
        <v>741.26</v>
      </c>
      <c r="F81" s="2">
        <f>IFERROR(__xludf.DUMMYFUNCTION("""COMPUTED_VALUE"""),6.25219E7)</f>
        <v>62521900</v>
      </c>
      <c r="G81" s="2">
        <f t="shared" si="1"/>
        <v>49.12</v>
      </c>
    </row>
    <row r="82" ht="15.75" customHeight="1">
      <c r="A82" s="1">
        <f>IFERROR(__xludf.DUMMYFUNCTION("""COMPUTED_VALUE"""),43948.66666666667)</f>
        <v>43948.66667</v>
      </c>
      <c r="B82" s="2">
        <f>IFERROR(__xludf.DUMMYFUNCTION("""COMPUTED_VALUE"""),741.26)</f>
        <v>741.26</v>
      </c>
      <c r="C82" s="2">
        <f>IFERROR(__xludf.DUMMYFUNCTION("""COMPUTED_VALUE"""),759.12)</f>
        <v>759.12</v>
      </c>
      <c r="D82" s="2">
        <f>IFERROR(__xludf.DUMMYFUNCTION("""COMPUTED_VALUE"""),718.93)</f>
        <v>718.93</v>
      </c>
      <c r="E82" s="2">
        <f>IFERROR(__xludf.DUMMYFUNCTION("""COMPUTED_VALUE"""),732.33)</f>
        <v>732.33</v>
      </c>
      <c r="F82" s="2">
        <f>IFERROR(__xludf.DUMMYFUNCTION("""COMPUTED_VALUE"""),3.70751E7)</f>
        <v>37075100</v>
      </c>
      <c r="G82" s="2">
        <f t="shared" si="1"/>
        <v>40.19</v>
      </c>
    </row>
    <row r="83" ht="15.75" customHeight="1">
      <c r="A83" s="1">
        <f>IFERROR(__xludf.DUMMYFUNCTION("""COMPUTED_VALUE"""),43949.66666666667)</f>
        <v>43949.66667</v>
      </c>
      <c r="B83" s="2">
        <f>IFERROR(__xludf.DUMMYFUNCTION("""COMPUTED_VALUE"""),732.33)</f>
        <v>732.33</v>
      </c>
      <c r="C83" s="2">
        <f>IFERROR(__xludf.DUMMYFUNCTION("""COMPUTED_VALUE"""),763.59)</f>
        <v>763.59</v>
      </c>
      <c r="D83" s="2">
        <f>IFERROR(__xludf.DUMMYFUNCTION("""COMPUTED_VALUE"""),723.4)</f>
        <v>723.4</v>
      </c>
      <c r="E83" s="2">
        <f>IFERROR(__xludf.DUMMYFUNCTION("""COMPUTED_VALUE"""),745.73)</f>
        <v>745.73</v>
      </c>
      <c r="F83" s="2">
        <f>IFERROR(__xludf.DUMMYFUNCTION("""COMPUTED_VALUE"""),4.09779E7)</f>
        <v>40977900</v>
      </c>
      <c r="G83" s="2">
        <f t="shared" si="1"/>
        <v>40.19</v>
      </c>
    </row>
    <row r="84" ht="15.75" customHeight="1">
      <c r="A84" s="1">
        <f>IFERROR(__xludf.DUMMYFUNCTION("""COMPUTED_VALUE"""),43950.66666666667)</f>
        <v>43950.66667</v>
      </c>
      <c r="B84" s="2">
        <f>IFERROR(__xludf.DUMMYFUNCTION("""COMPUTED_VALUE"""),745.73)</f>
        <v>745.73</v>
      </c>
      <c r="C84" s="2">
        <f>IFERROR(__xludf.DUMMYFUNCTION("""COMPUTED_VALUE"""),759.12)</f>
        <v>759.12</v>
      </c>
      <c r="D84" s="2">
        <f>IFERROR(__xludf.DUMMYFUNCTION("""COMPUTED_VALUE"""),727.87)</f>
        <v>727.87</v>
      </c>
      <c r="E84" s="2">
        <f>IFERROR(__xludf.DUMMYFUNCTION("""COMPUTED_VALUE"""),736.8)</f>
        <v>736.8</v>
      </c>
      <c r="F84" s="2">
        <f>IFERROR(__xludf.DUMMYFUNCTION("""COMPUTED_VALUE"""),2.67516E7)</f>
        <v>26751600</v>
      </c>
      <c r="G84" s="2">
        <f t="shared" si="1"/>
        <v>31.25</v>
      </c>
    </row>
    <row r="85" ht="15.75" customHeight="1">
      <c r="A85" s="1">
        <f>IFERROR(__xludf.DUMMYFUNCTION("""COMPUTED_VALUE"""),43951.66666666667)</f>
        <v>43951.66667</v>
      </c>
      <c r="B85" s="2">
        <f>IFERROR(__xludf.DUMMYFUNCTION("""COMPUTED_VALUE"""),745.73)</f>
        <v>745.73</v>
      </c>
      <c r="C85" s="2">
        <f>IFERROR(__xludf.DUMMYFUNCTION("""COMPUTED_VALUE"""),794.85)</f>
        <v>794.85</v>
      </c>
      <c r="D85" s="2">
        <f>IFERROR(__xludf.DUMMYFUNCTION("""COMPUTED_VALUE"""),741.26)</f>
        <v>741.26</v>
      </c>
      <c r="E85" s="2">
        <f>IFERROR(__xludf.DUMMYFUNCTION("""COMPUTED_VALUE"""),785.92)</f>
        <v>785.92</v>
      </c>
      <c r="F85" s="2">
        <f>IFERROR(__xludf.DUMMYFUNCTION("""COMPUTED_VALUE"""),7.2846E7)</f>
        <v>72846000</v>
      </c>
      <c r="G85" s="2">
        <f t="shared" si="1"/>
        <v>58.05</v>
      </c>
    </row>
    <row r="86" ht="15.75" customHeight="1">
      <c r="A86" s="1">
        <f>IFERROR(__xludf.DUMMYFUNCTION("""COMPUTED_VALUE"""),43955.66666666667)</f>
        <v>43955.66667</v>
      </c>
      <c r="B86" s="2">
        <f>IFERROR(__xludf.DUMMYFUNCTION("""COMPUTED_VALUE"""),759.12)</f>
        <v>759.12</v>
      </c>
      <c r="C86" s="2">
        <f>IFERROR(__xludf.DUMMYFUNCTION("""COMPUTED_VALUE"""),776.98)</f>
        <v>776.98</v>
      </c>
      <c r="D86" s="2">
        <f>IFERROR(__xludf.DUMMYFUNCTION("""COMPUTED_VALUE"""),750.19)</f>
        <v>750.19</v>
      </c>
      <c r="E86" s="2">
        <f>IFERROR(__xludf.DUMMYFUNCTION("""COMPUTED_VALUE"""),776.98)</f>
        <v>776.98</v>
      </c>
      <c r="F86" s="2">
        <f>IFERROR(__xludf.DUMMYFUNCTION("""COMPUTED_VALUE"""),4.83312E7)</f>
        <v>48331200</v>
      </c>
      <c r="G86" s="2">
        <f t="shared" si="1"/>
        <v>35.73</v>
      </c>
    </row>
    <row r="87" ht="15.75" customHeight="1">
      <c r="A87" s="1">
        <f>IFERROR(__xludf.DUMMYFUNCTION("""COMPUTED_VALUE"""),43956.66666666667)</f>
        <v>43956.66667</v>
      </c>
      <c r="B87" s="2">
        <f>IFERROR(__xludf.DUMMYFUNCTION("""COMPUTED_VALUE"""),785.92)</f>
        <v>785.92</v>
      </c>
      <c r="C87" s="2">
        <f>IFERROR(__xludf.DUMMYFUNCTION("""COMPUTED_VALUE"""),803.78)</f>
        <v>803.78</v>
      </c>
      <c r="D87" s="2">
        <f>IFERROR(__xludf.DUMMYFUNCTION("""COMPUTED_VALUE"""),772.52)</f>
        <v>772.52</v>
      </c>
      <c r="E87" s="2">
        <f>IFERROR(__xludf.DUMMYFUNCTION("""COMPUTED_VALUE"""),781.45)</f>
        <v>781.45</v>
      </c>
      <c r="F87" s="2">
        <f>IFERROR(__xludf.DUMMYFUNCTION("""COMPUTED_VALUE"""),3.53503E7)</f>
        <v>35350300</v>
      </c>
      <c r="G87" s="2">
        <f t="shared" si="1"/>
        <v>31.26</v>
      </c>
    </row>
    <row r="88" ht="15.75" customHeight="1">
      <c r="A88" s="1">
        <f>IFERROR(__xludf.DUMMYFUNCTION("""COMPUTED_VALUE"""),43957.66666666667)</f>
        <v>43957.66667</v>
      </c>
      <c r="B88" s="2">
        <f>IFERROR(__xludf.DUMMYFUNCTION("""COMPUTED_VALUE"""),785.92)</f>
        <v>785.92</v>
      </c>
      <c r="C88" s="2">
        <f>IFERROR(__xludf.DUMMYFUNCTION("""COMPUTED_VALUE"""),794.85)</f>
        <v>794.85</v>
      </c>
      <c r="D88" s="2">
        <f>IFERROR(__xludf.DUMMYFUNCTION("""COMPUTED_VALUE"""),776.98)</f>
        <v>776.98</v>
      </c>
      <c r="E88" s="2">
        <f>IFERROR(__xludf.DUMMYFUNCTION("""COMPUTED_VALUE"""),781.45)</f>
        <v>781.45</v>
      </c>
      <c r="F88" s="2">
        <f>IFERROR(__xludf.DUMMYFUNCTION("""COMPUTED_VALUE"""),1.78302E7)</f>
        <v>17830200</v>
      </c>
      <c r="G88" s="2">
        <f t="shared" si="1"/>
        <v>17.87</v>
      </c>
    </row>
    <row r="89" ht="15.75" customHeight="1">
      <c r="A89" s="1">
        <f>IFERROR(__xludf.DUMMYFUNCTION("""COMPUTED_VALUE"""),43959.66666666667)</f>
        <v>43959.66667</v>
      </c>
      <c r="B89" s="2">
        <f>IFERROR(__xludf.DUMMYFUNCTION("""COMPUTED_VALUE"""),785.92)</f>
        <v>785.92</v>
      </c>
      <c r="C89" s="2">
        <f>IFERROR(__xludf.DUMMYFUNCTION("""COMPUTED_VALUE"""),785.92)</f>
        <v>785.92</v>
      </c>
      <c r="D89" s="2">
        <f>IFERROR(__xludf.DUMMYFUNCTION("""COMPUTED_VALUE"""),750.19)</f>
        <v>750.19</v>
      </c>
      <c r="E89" s="2">
        <f>IFERROR(__xludf.DUMMYFUNCTION("""COMPUTED_VALUE"""),754.66)</f>
        <v>754.66</v>
      </c>
      <c r="F89" s="2">
        <f>IFERROR(__xludf.DUMMYFUNCTION("""COMPUTED_VALUE"""),4.31332E7)</f>
        <v>43133200</v>
      </c>
      <c r="G89" s="2">
        <f t="shared" si="1"/>
        <v>35.73</v>
      </c>
    </row>
    <row r="90" ht="15.75" customHeight="1">
      <c r="A90" s="1">
        <f>IFERROR(__xludf.DUMMYFUNCTION("""COMPUTED_VALUE"""),43962.66666666667)</f>
        <v>43962.66667</v>
      </c>
      <c r="B90" s="2">
        <f>IFERROR(__xludf.DUMMYFUNCTION("""COMPUTED_VALUE"""),772.52)</f>
        <v>772.52</v>
      </c>
      <c r="C90" s="2">
        <f>IFERROR(__xludf.DUMMYFUNCTION("""COMPUTED_VALUE"""),776.98)</f>
        <v>776.98</v>
      </c>
      <c r="D90" s="2">
        <f>IFERROR(__xludf.DUMMYFUNCTION("""COMPUTED_VALUE"""),763.59)</f>
        <v>763.59</v>
      </c>
      <c r="E90" s="2">
        <f>IFERROR(__xludf.DUMMYFUNCTION("""COMPUTED_VALUE"""),768.05)</f>
        <v>768.05</v>
      </c>
      <c r="F90" s="2">
        <f>IFERROR(__xludf.DUMMYFUNCTION("""COMPUTED_VALUE"""),1.9697E7)</f>
        <v>19697000</v>
      </c>
      <c r="G90" s="2">
        <f t="shared" si="1"/>
        <v>22.32</v>
      </c>
    </row>
    <row r="91" ht="15.75" customHeight="1">
      <c r="A91" s="1">
        <f>IFERROR(__xludf.DUMMYFUNCTION("""COMPUTED_VALUE"""),43963.66666666667)</f>
        <v>43963.66667</v>
      </c>
      <c r="B91" s="2">
        <f>IFERROR(__xludf.DUMMYFUNCTION("""COMPUTED_VALUE"""),772.52)</f>
        <v>772.52</v>
      </c>
      <c r="C91" s="2">
        <f>IFERROR(__xludf.DUMMYFUNCTION("""COMPUTED_VALUE"""),772.52)</f>
        <v>772.52</v>
      </c>
      <c r="D91" s="2">
        <f>IFERROR(__xludf.DUMMYFUNCTION("""COMPUTED_VALUE"""),727.87)</f>
        <v>727.87</v>
      </c>
      <c r="E91" s="2">
        <f>IFERROR(__xludf.DUMMYFUNCTION("""COMPUTED_VALUE"""),736.8)</f>
        <v>736.8</v>
      </c>
      <c r="F91" s="2">
        <f>IFERROR(__xludf.DUMMYFUNCTION("""COMPUTED_VALUE"""),3.49874E7)</f>
        <v>34987400</v>
      </c>
      <c r="G91" s="2">
        <f t="shared" si="1"/>
        <v>44.65</v>
      </c>
    </row>
    <row r="92" ht="15.75" customHeight="1">
      <c r="A92" s="1">
        <f>IFERROR(__xludf.DUMMYFUNCTION("""COMPUTED_VALUE"""),43964.66666666667)</f>
        <v>43964.66667</v>
      </c>
      <c r="B92" s="2">
        <f>IFERROR(__xludf.DUMMYFUNCTION("""COMPUTED_VALUE"""),736.8)</f>
        <v>736.8</v>
      </c>
      <c r="C92" s="2">
        <f>IFERROR(__xludf.DUMMYFUNCTION("""COMPUTED_VALUE"""),736.8)</f>
        <v>736.8</v>
      </c>
      <c r="D92" s="2">
        <f>IFERROR(__xludf.DUMMYFUNCTION("""COMPUTED_VALUE"""),687.68)</f>
        <v>687.68</v>
      </c>
      <c r="E92" s="2">
        <f>IFERROR(__xludf.DUMMYFUNCTION("""COMPUTED_VALUE"""),696.61)</f>
        <v>696.61</v>
      </c>
      <c r="F92" s="2">
        <f>IFERROR(__xludf.DUMMYFUNCTION("""COMPUTED_VALUE"""),1.073323E8)</f>
        <v>107332300</v>
      </c>
      <c r="G92" s="2">
        <f t="shared" si="1"/>
        <v>49.12</v>
      </c>
    </row>
    <row r="93" ht="15.75" customHeight="1">
      <c r="A93" s="1">
        <f>IFERROR(__xludf.DUMMYFUNCTION("""COMPUTED_VALUE"""),43965.66666666667)</f>
        <v>43965.66667</v>
      </c>
      <c r="B93" s="2">
        <f>IFERROR(__xludf.DUMMYFUNCTION("""COMPUTED_VALUE"""),696.61)</f>
        <v>696.61</v>
      </c>
      <c r="C93" s="2">
        <f>IFERROR(__xludf.DUMMYFUNCTION("""COMPUTED_VALUE"""),696.61)</f>
        <v>696.61</v>
      </c>
      <c r="D93" s="2">
        <f>IFERROR(__xludf.DUMMYFUNCTION("""COMPUTED_VALUE"""),660.88)</f>
        <v>660.88</v>
      </c>
      <c r="E93" s="2">
        <f>IFERROR(__xludf.DUMMYFUNCTION("""COMPUTED_VALUE"""),665.35)</f>
        <v>665.35</v>
      </c>
      <c r="F93" s="2">
        <f>IFERROR(__xludf.DUMMYFUNCTION("""COMPUTED_VALUE"""),4.88204E7)</f>
        <v>48820400</v>
      </c>
      <c r="G93" s="2">
        <f t="shared" si="1"/>
        <v>35.73</v>
      </c>
    </row>
    <row r="94" ht="15.75" customHeight="1">
      <c r="A94" s="1">
        <f>IFERROR(__xludf.DUMMYFUNCTION("""COMPUTED_VALUE"""),43966.66666666667)</f>
        <v>43966.66667</v>
      </c>
      <c r="B94" s="2">
        <f>IFERROR(__xludf.DUMMYFUNCTION("""COMPUTED_VALUE"""),678.75)</f>
        <v>678.75</v>
      </c>
      <c r="C94" s="2">
        <f>IFERROR(__xludf.DUMMYFUNCTION("""COMPUTED_VALUE"""),683.21)</f>
        <v>683.21</v>
      </c>
      <c r="D94" s="2">
        <f>IFERROR(__xludf.DUMMYFUNCTION("""COMPUTED_VALUE"""),647.49)</f>
        <v>647.49</v>
      </c>
      <c r="E94" s="2">
        <f>IFERROR(__xludf.DUMMYFUNCTION("""COMPUTED_VALUE"""),665.35)</f>
        <v>665.35</v>
      </c>
      <c r="F94" s="2">
        <f>IFERROR(__xludf.DUMMYFUNCTION("""COMPUTED_VALUE"""),3.57984E7)</f>
        <v>35798400</v>
      </c>
      <c r="G94" s="2">
        <f t="shared" si="1"/>
        <v>35.72</v>
      </c>
    </row>
    <row r="95" ht="15.75" customHeight="1">
      <c r="A95" s="1">
        <f>IFERROR(__xludf.DUMMYFUNCTION("""COMPUTED_VALUE"""),43969.66666666667)</f>
        <v>43969.66667</v>
      </c>
      <c r="B95" s="2">
        <f>IFERROR(__xludf.DUMMYFUNCTION("""COMPUTED_VALUE"""),669.81)</f>
        <v>669.81</v>
      </c>
      <c r="C95" s="2">
        <f>IFERROR(__xludf.DUMMYFUNCTION("""COMPUTED_VALUE"""),678.75)</f>
        <v>678.75</v>
      </c>
      <c r="D95" s="2">
        <f>IFERROR(__xludf.DUMMYFUNCTION("""COMPUTED_VALUE"""),643.02)</f>
        <v>643.02</v>
      </c>
      <c r="E95" s="2">
        <f>IFERROR(__xludf.DUMMYFUNCTION("""COMPUTED_VALUE"""),678.75)</f>
        <v>678.75</v>
      </c>
      <c r="F95" s="2">
        <f>IFERROR(__xludf.DUMMYFUNCTION("""COMPUTED_VALUE"""),2.39676E7)</f>
        <v>23967600</v>
      </c>
      <c r="G95" s="2">
        <f t="shared" si="1"/>
        <v>35.73</v>
      </c>
    </row>
    <row r="96" ht="15.75" customHeight="1">
      <c r="A96" s="1">
        <f>IFERROR(__xludf.DUMMYFUNCTION("""COMPUTED_VALUE"""),43970.66666666667)</f>
        <v>43970.66667</v>
      </c>
      <c r="B96" s="2">
        <f>IFERROR(__xludf.DUMMYFUNCTION("""COMPUTED_VALUE"""),683.21)</f>
        <v>683.21</v>
      </c>
      <c r="C96" s="2">
        <f>IFERROR(__xludf.DUMMYFUNCTION("""COMPUTED_VALUE"""),714.47)</f>
        <v>714.47</v>
      </c>
      <c r="D96" s="2">
        <f>IFERROR(__xludf.DUMMYFUNCTION("""COMPUTED_VALUE"""),678.75)</f>
        <v>678.75</v>
      </c>
      <c r="E96" s="2">
        <f>IFERROR(__xludf.DUMMYFUNCTION("""COMPUTED_VALUE"""),678.75)</f>
        <v>678.75</v>
      </c>
      <c r="F96" s="2">
        <f>IFERROR(__xludf.DUMMYFUNCTION("""COMPUTED_VALUE"""),6.55515E7)</f>
        <v>65551500</v>
      </c>
      <c r="G96" s="2">
        <f t="shared" si="1"/>
        <v>35.72</v>
      </c>
    </row>
    <row r="97" ht="15.75" customHeight="1">
      <c r="A97" s="1">
        <f>IFERROR(__xludf.DUMMYFUNCTION("""COMPUTED_VALUE"""),43971.66666666667)</f>
        <v>43971.66667</v>
      </c>
      <c r="B97" s="2">
        <f>IFERROR(__xludf.DUMMYFUNCTION("""COMPUTED_VALUE"""),683.21)</f>
        <v>683.21</v>
      </c>
      <c r="C97" s="2">
        <f>IFERROR(__xludf.DUMMYFUNCTION("""COMPUTED_VALUE"""),696.61)</f>
        <v>696.61</v>
      </c>
      <c r="D97" s="2">
        <f>IFERROR(__xludf.DUMMYFUNCTION("""COMPUTED_VALUE"""),669.81)</f>
        <v>669.81</v>
      </c>
      <c r="E97" s="2">
        <f>IFERROR(__xludf.DUMMYFUNCTION("""COMPUTED_VALUE"""),687.68)</f>
        <v>687.68</v>
      </c>
      <c r="F97" s="2">
        <f>IFERROR(__xludf.DUMMYFUNCTION("""COMPUTED_VALUE"""),3.58852E7)</f>
        <v>35885200</v>
      </c>
      <c r="G97" s="2">
        <f t="shared" si="1"/>
        <v>26.8</v>
      </c>
    </row>
    <row r="98" ht="15.75" customHeight="1">
      <c r="A98" s="1">
        <f>IFERROR(__xludf.DUMMYFUNCTION("""COMPUTED_VALUE"""),43977.66666666667)</f>
        <v>43977.66667</v>
      </c>
      <c r="B98" s="2">
        <f>IFERROR(__xludf.DUMMYFUNCTION("""COMPUTED_VALUE"""),705.54)</f>
        <v>705.54</v>
      </c>
      <c r="C98" s="2">
        <f>IFERROR(__xludf.DUMMYFUNCTION("""COMPUTED_VALUE"""),705.54)</f>
        <v>705.54</v>
      </c>
      <c r="D98" s="2">
        <f>IFERROR(__xludf.DUMMYFUNCTION("""COMPUTED_VALUE"""),683.21)</f>
        <v>683.21</v>
      </c>
      <c r="E98" s="2">
        <f>IFERROR(__xludf.DUMMYFUNCTION("""COMPUTED_VALUE"""),683.21)</f>
        <v>683.21</v>
      </c>
      <c r="F98" s="2">
        <f>IFERROR(__xludf.DUMMYFUNCTION("""COMPUTED_VALUE"""),4.0198E7)</f>
        <v>40198000</v>
      </c>
      <c r="G98" s="2">
        <f t="shared" si="1"/>
        <v>22.33</v>
      </c>
    </row>
    <row r="99" ht="15.75" customHeight="1">
      <c r="A99" s="1">
        <f>IFERROR(__xludf.DUMMYFUNCTION("""COMPUTED_VALUE"""),43978.66666666667)</f>
        <v>43978.66667</v>
      </c>
      <c r="B99" s="2">
        <f>IFERROR(__xludf.DUMMYFUNCTION("""COMPUTED_VALUE"""),692.14)</f>
        <v>692.14</v>
      </c>
      <c r="C99" s="2">
        <f>IFERROR(__xludf.DUMMYFUNCTION("""COMPUTED_VALUE"""),710.0)</f>
        <v>710</v>
      </c>
      <c r="D99" s="2">
        <f>IFERROR(__xludf.DUMMYFUNCTION("""COMPUTED_VALUE"""),687.68)</f>
        <v>687.68</v>
      </c>
      <c r="E99" s="2">
        <f>IFERROR(__xludf.DUMMYFUNCTION("""COMPUTED_VALUE"""),696.61)</f>
        <v>696.61</v>
      </c>
      <c r="F99" s="2">
        <f>IFERROR(__xludf.DUMMYFUNCTION("""COMPUTED_VALUE"""),6.83198E7)</f>
        <v>68319800</v>
      </c>
      <c r="G99" s="2">
        <f t="shared" si="1"/>
        <v>26.79</v>
      </c>
    </row>
    <row r="100" ht="15.75" customHeight="1">
      <c r="A100" s="1">
        <f>IFERROR(__xludf.DUMMYFUNCTION("""COMPUTED_VALUE"""),43979.66666666667)</f>
        <v>43979.66667</v>
      </c>
      <c r="B100" s="2">
        <f>IFERROR(__xludf.DUMMYFUNCTION("""COMPUTED_VALUE"""),714.47)</f>
        <v>714.47</v>
      </c>
      <c r="C100" s="2">
        <f>IFERROR(__xludf.DUMMYFUNCTION("""COMPUTED_VALUE"""),732.33)</f>
        <v>732.33</v>
      </c>
      <c r="D100" s="2">
        <f>IFERROR(__xludf.DUMMYFUNCTION("""COMPUTED_VALUE"""),701.07)</f>
        <v>701.07</v>
      </c>
      <c r="E100" s="2">
        <f>IFERROR(__xludf.DUMMYFUNCTION("""COMPUTED_VALUE"""),723.4)</f>
        <v>723.4</v>
      </c>
      <c r="F100" s="2">
        <f>IFERROR(__xludf.DUMMYFUNCTION("""COMPUTED_VALUE"""),1.140314E8)</f>
        <v>114031400</v>
      </c>
      <c r="G100" s="2">
        <f t="shared" si="1"/>
        <v>35.72</v>
      </c>
    </row>
    <row r="101" ht="15.75" customHeight="1">
      <c r="A101" s="1">
        <f>IFERROR(__xludf.DUMMYFUNCTION("""COMPUTED_VALUE"""),43980.66666666667)</f>
        <v>43980.66667</v>
      </c>
      <c r="B101" s="2">
        <f>IFERROR(__xludf.DUMMYFUNCTION("""COMPUTED_VALUE"""),723.4)</f>
        <v>723.4</v>
      </c>
      <c r="C101" s="2">
        <f>IFERROR(__xludf.DUMMYFUNCTION("""COMPUTED_VALUE"""),723.4)</f>
        <v>723.4</v>
      </c>
      <c r="D101" s="2">
        <f>IFERROR(__xludf.DUMMYFUNCTION("""COMPUTED_VALUE"""),678.75)</f>
        <v>678.75</v>
      </c>
      <c r="E101" s="2">
        <f>IFERROR(__xludf.DUMMYFUNCTION("""COMPUTED_VALUE"""),678.75)</f>
        <v>678.75</v>
      </c>
      <c r="F101" s="2">
        <f>IFERROR(__xludf.DUMMYFUNCTION("""COMPUTED_VALUE"""),4.800312E8)</f>
        <v>480031200</v>
      </c>
      <c r="G101" s="2">
        <f t="shared" si="1"/>
        <v>44.65</v>
      </c>
    </row>
    <row r="102" ht="15.75" customHeight="1">
      <c r="A102" s="1">
        <f>IFERROR(__xludf.DUMMYFUNCTION("""COMPUTED_VALUE"""),43984.66666666667)</f>
        <v>43984.66667</v>
      </c>
      <c r="B102" s="2">
        <f>IFERROR(__xludf.DUMMYFUNCTION("""COMPUTED_VALUE"""),687.68)</f>
        <v>687.68</v>
      </c>
      <c r="C102" s="2">
        <f>IFERROR(__xludf.DUMMYFUNCTION("""COMPUTED_VALUE"""),839.5)</f>
        <v>839.5</v>
      </c>
      <c r="D102" s="2">
        <f>IFERROR(__xludf.DUMMYFUNCTION("""COMPUTED_VALUE"""),678.75)</f>
        <v>678.75</v>
      </c>
      <c r="E102" s="2">
        <f>IFERROR(__xludf.DUMMYFUNCTION("""COMPUTED_VALUE"""),826.1)</f>
        <v>826.1</v>
      </c>
      <c r="F102" s="2">
        <f>IFERROR(__xludf.DUMMYFUNCTION("""COMPUTED_VALUE"""),5.252108E8)</f>
        <v>525210800</v>
      </c>
      <c r="G102" s="2">
        <f t="shared" si="1"/>
        <v>160.75</v>
      </c>
    </row>
    <row r="103" ht="15.75" customHeight="1">
      <c r="A103" s="1">
        <f>IFERROR(__xludf.DUMMYFUNCTION("""COMPUTED_VALUE"""),43985.66666666667)</f>
        <v>43985.66667</v>
      </c>
      <c r="B103" s="2">
        <f>IFERROR(__xludf.DUMMYFUNCTION("""COMPUTED_VALUE"""),848.43)</f>
        <v>848.43</v>
      </c>
      <c r="C103" s="2">
        <f>IFERROR(__xludf.DUMMYFUNCTION("""COMPUTED_VALUE"""),969.0)</f>
        <v>969</v>
      </c>
      <c r="D103" s="2">
        <f>IFERROR(__xludf.DUMMYFUNCTION("""COMPUTED_VALUE"""),848.43)</f>
        <v>848.43</v>
      </c>
      <c r="E103" s="2">
        <f>IFERROR(__xludf.DUMMYFUNCTION("""COMPUTED_VALUE"""),902.02)</f>
        <v>902.02</v>
      </c>
      <c r="F103" s="2">
        <f>IFERROR(__xludf.DUMMYFUNCTION("""COMPUTED_VALUE"""),6.027398E8)</f>
        <v>602739800</v>
      </c>
      <c r="G103" s="2">
        <f t="shared" si="1"/>
        <v>142.9</v>
      </c>
    </row>
    <row r="104" ht="15.75" customHeight="1">
      <c r="A104" s="1">
        <f>IFERROR(__xludf.DUMMYFUNCTION("""COMPUTED_VALUE"""),43986.66666666667)</f>
        <v>43986.66667</v>
      </c>
      <c r="B104" s="2">
        <f>IFERROR(__xludf.DUMMYFUNCTION("""COMPUTED_VALUE"""),919.88)</f>
        <v>919.88</v>
      </c>
      <c r="C104" s="2">
        <f>IFERROR(__xludf.DUMMYFUNCTION("""COMPUTED_VALUE"""),942.21)</f>
        <v>942.21</v>
      </c>
      <c r="D104" s="2">
        <f>IFERROR(__xludf.DUMMYFUNCTION("""COMPUTED_VALUE"""),866.29)</f>
        <v>866.29</v>
      </c>
      <c r="E104" s="2">
        <f>IFERROR(__xludf.DUMMYFUNCTION("""COMPUTED_VALUE"""),870.76)</f>
        <v>870.76</v>
      </c>
      <c r="F104" s="2">
        <f>IFERROR(__xludf.DUMMYFUNCTION("""COMPUTED_VALUE"""),2.568034E8)</f>
        <v>256803400</v>
      </c>
      <c r="G104" s="2">
        <f t="shared" si="1"/>
        <v>75.92</v>
      </c>
    </row>
    <row r="105" ht="15.75" customHeight="1">
      <c r="A105" s="1">
        <f>IFERROR(__xludf.DUMMYFUNCTION("""COMPUTED_VALUE"""),43987.66666666667)</f>
        <v>43987.66667</v>
      </c>
      <c r="B105" s="2">
        <f>IFERROR(__xludf.DUMMYFUNCTION("""COMPUTED_VALUE"""),870.76)</f>
        <v>870.76</v>
      </c>
      <c r="C105" s="2">
        <f>IFERROR(__xludf.DUMMYFUNCTION("""COMPUTED_VALUE"""),946.67)</f>
        <v>946.67</v>
      </c>
      <c r="D105" s="2">
        <f>IFERROR(__xludf.DUMMYFUNCTION("""COMPUTED_VALUE"""),848.43)</f>
        <v>848.43</v>
      </c>
      <c r="E105" s="2">
        <f>IFERROR(__xludf.DUMMYFUNCTION("""COMPUTED_VALUE"""),942.21)</f>
        <v>942.21</v>
      </c>
      <c r="F105" s="2">
        <f>IFERROR(__xludf.DUMMYFUNCTION("""COMPUTED_VALUE"""),3.101938E8)</f>
        <v>310193800</v>
      </c>
      <c r="G105" s="2">
        <f t="shared" si="1"/>
        <v>98.24</v>
      </c>
    </row>
    <row r="106" ht="15.75" customHeight="1">
      <c r="A106" s="1">
        <f>IFERROR(__xludf.DUMMYFUNCTION("""COMPUTED_VALUE"""),43990.66666666667)</f>
        <v>43990.66667</v>
      </c>
      <c r="B106" s="2">
        <f>IFERROR(__xludf.DUMMYFUNCTION("""COMPUTED_VALUE"""),960.07)</f>
        <v>960.07</v>
      </c>
      <c r="C106" s="2">
        <f>IFERROR(__xludf.DUMMYFUNCTION("""COMPUTED_VALUE"""),1067.24)</f>
        <v>1067.24</v>
      </c>
      <c r="D106" s="2">
        <f>IFERROR(__xludf.DUMMYFUNCTION("""COMPUTED_VALUE"""),960.07)</f>
        <v>960.07</v>
      </c>
      <c r="E106" s="2">
        <f>IFERROR(__xludf.DUMMYFUNCTION("""COMPUTED_VALUE"""),1049.38)</f>
        <v>1049.38</v>
      </c>
      <c r="F106" s="2">
        <f>IFERROR(__xludf.DUMMYFUNCTION("""COMPUTED_VALUE"""),3.494864E8)</f>
        <v>349486400</v>
      </c>
      <c r="G106" s="2">
        <f t="shared" si="1"/>
        <v>125.03</v>
      </c>
    </row>
    <row r="107" ht="15.75" customHeight="1">
      <c r="A107" s="1">
        <f>IFERROR(__xludf.DUMMYFUNCTION("""COMPUTED_VALUE"""),43991.66666666667)</f>
        <v>43991.66667</v>
      </c>
      <c r="B107" s="2">
        <f>IFERROR(__xludf.DUMMYFUNCTION("""COMPUTED_VALUE"""),1071.7)</f>
        <v>1071.7</v>
      </c>
      <c r="C107" s="2">
        <f>IFERROR(__xludf.DUMMYFUNCTION("""COMPUTED_VALUE"""),1138.68)</f>
        <v>1138.68</v>
      </c>
      <c r="D107" s="2">
        <f>IFERROR(__xludf.DUMMYFUNCTION("""COMPUTED_VALUE"""),1035.98)</f>
        <v>1035.98</v>
      </c>
      <c r="E107" s="2">
        <f>IFERROR(__xludf.DUMMYFUNCTION("""COMPUTED_VALUE"""),1044.91)</f>
        <v>1044.91</v>
      </c>
      <c r="F107" s="2">
        <f>IFERROR(__xludf.DUMMYFUNCTION("""COMPUTED_VALUE"""),3.267079E8)</f>
        <v>326707900</v>
      </c>
      <c r="G107" s="2">
        <f t="shared" si="1"/>
        <v>102.7</v>
      </c>
    </row>
    <row r="108" ht="15.75" customHeight="1">
      <c r="A108" s="1">
        <f>IFERROR(__xludf.DUMMYFUNCTION("""COMPUTED_VALUE"""),43992.66666666667)</f>
        <v>43992.66667</v>
      </c>
      <c r="B108" s="2">
        <f>IFERROR(__xludf.DUMMYFUNCTION("""COMPUTED_VALUE"""),1040.45)</f>
        <v>1040.45</v>
      </c>
      <c r="C108" s="2">
        <f>IFERROR(__xludf.DUMMYFUNCTION("""COMPUTED_VALUE"""),1071.7)</f>
        <v>1071.7</v>
      </c>
      <c r="D108" s="2">
        <f>IFERROR(__xludf.DUMMYFUNCTION("""COMPUTED_VALUE"""),973.46)</f>
        <v>973.46</v>
      </c>
      <c r="E108" s="2">
        <f>IFERROR(__xludf.DUMMYFUNCTION("""COMPUTED_VALUE"""),973.46)</f>
        <v>973.46</v>
      </c>
      <c r="F108" s="2">
        <f>IFERROR(__xludf.DUMMYFUNCTION("""COMPUTED_VALUE"""),2.227137E8)</f>
        <v>222713700</v>
      </c>
      <c r="G108" s="2">
        <f t="shared" si="1"/>
        <v>98.24</v>
      </c>
    </row>
    <row r="109" ht="15.75" customHeight="1">
      <c r="A109" s="1">
        <f>IFERROR(__xludf.DUMMYFUNCTION("""COMPUTED_VALUE"""),43993.66666666667)</f>
        <v>43993.66667</v>
      </c>
      <c r="B109" s="2">
        <f>IFERROR(__xludf.DUMMYFUNCTION("""COMPUTED_VALUE"""),977.93)</f>
        <v>977.93</v>
      </c>
      <c r="C109" s="2">
        <f>IFERROR(__xludf.DUMMYFUNCTION("""COMPUTED_VALUE"""),1000.26)</f>
        <v>1000.26</v>
      </c>
      <c r="D109" s="2">
        <f>IFERROR(__xludf.DUMMYFUNCTION("""COMPUTED_VALUE"""),906.48)</f>
        <v>906.48</v>
      </c>
      <c r="E109" s="2">
        <f>IFERROR(__xludf.DUMMYFUNCTION("""COMPUTED_VALUE"""),915.41)</f>
        <v>915.41</v>
      </c>
      <c r="F109" s="2">
        <f>IFERROR(__xludf.DUMMYFUNCTION("""COMPUTED_VALUE"""),2.088258E8)</f>
        <v>208825800</v>
      </c>
      <c r="G109" s="2">
        <f t="shared" si="1"/>
        <v>93.78</v>
      </c>
    </row>
    <row r="110" ht="15.75" customHeight="1">
      <c r="A110" s="1">
        <f>IFERROR(__xludf.DUMMYFUNCTION("""COMPUTED_VALUE"""),43994.66666666667)</f>
        <v>43994.66667</v>
      </c>
      <c r="B110" s="2">
        <f>IFERROR(__xludf.DUMMYFUNCTION("""COMPUTED_VALUE"""),888.62)</f>
        <v>888.62</v>
      </c>
      <c r="C110" s="2">
        <f>IFERROR(__xludf.DUMMYFUNCTION("""COMPUTED_VALUE"""),1013.65)</f>
        <v>1013.65</v>
      </c>
      <c r="D110" s="2">
        <f>IFERROR(__xludf.DUMMYFUNCTION("""COMPUTED_VALUE"""),857.36)</f>
        <v>857.36</v>
      </c>
      <c r="E110" s="2">
        <f>IFERROR(__xludf.DUMMYFUNCTION("""COMPUTED_VALUE"""),1004.72)</f>
        <v>1004.72</v>
      </c>
      <c r="F110" s="2">
        <f>IFERROR(__xludf.DUMMYFUNCTION("""COMPUTED_VALUE"""),3.048119E8)</f>
        <v>304811900</v>
      </c>
      <c r="G110" s="2">
        <f t="shared" si="1"/>
        <v>156.29</v>
      </c>
    </row>
    <row r="111" ht="15.75" customHeight="1">
      <c r="A111" s="1">
        <f>IFERROR(__xludf.DUMMYFUNCTION("""COMPUTED_VALUE"""),43997.66666666667)</f>
        <v>43997.66667</v>
      </c>
      <c r="B111" s="2">
        <f>IFERROR(__xludf.DUMMYFUNCTION("""COMPUTED_VALUE"""),1004.72)</f>
        <v>1004.72</v>
      </c>
      <c r="C111" s="2">
        <f>IFERROR(__xludf.DUMMYFUNCTION("""COMPUTED_VALUE"""),1058.31)</f>
        <v>1058.31</v>
      </c>
      <c r="D111" s="2">
        <f>IFERROR(__xludf.DUMMYFUNCTION("""COMPUTED_VALUE"""),946.67)</f>
        <v>946.67</v>
      </c>
      <c r="E111" s="2">
        <f>IFERROR(__xludf.DUMMYFUNCTION("""COMPUTED_VALUE"""),946.67)</f>
        <v>946.67</v>
      </c>
      <c r="F111" s="2">
        <f>IFERROR(__xludf.DUMMYFUNCTION("""COMPUTED_VALUE"""),2.77874E8)</f>
        <v>277874000</v>
      </c>
      <c r="G111" s="2">
        <f t="shared" si="1"/>
        <v>111.64</v>
      </c>
    </row>
    <row r="112" ht="15.75" customHeight="1">
      <c r="A112" s="1">
        <f>IFERROR(__xludf.DUMMYFUNCTION("""COMPUTED_VALUE"""),43998.66666666667)</f>
        <v>43998.66667</v>
      </c>
      <c r="B112" s="2">
        <f>IFERROR(__xludf.DUMMYFUNCTION("""COMPUTED_VALUE"""),982.39)</f>
        <v>982.39</v>
      </c>
      <c r="C112" s="2">
        <f>IFERROR(__xludf.DUMMYFUNCTION("""COMPUTED_VALUE"""),1035.98)</f>
        <v>1035.98</v>
      </c>
      <c r="D112" s="2">
        <f>IFERROR(__xludf.DUMMYFUNCTION("""COMPUTED_VALUE"""),982.39)</f>
        <v>982.39</v>
      </c>
      <c r="E112" s="2">
        <f>IFERROR(__xludf.DUMMYFUNCTION("""COMPUTED_VALUE"""),1022.58)</f>
        <v>1022.58</v>
      </c>
      <c r="F112" s="2">
        <f>IFERROR(__xludf.DUMMYFUNCTION("""COMPUTED_VALUE"""),2.216522E8)</f>
        <v>221652200</v>
      </c>
      <c r="G112" s="2">
        <f t="shared" si="1"/>
        <v>89.31</v>
      </c>
    </row>
    <row r="113" ht="15.75" customHeight="1">
      <c r="A113" s="1">
        <f>IFERROR(__xludf.DUMMYFUNCTION("""COMPUTED_VALUE"""),43999.66666666667)</f>
        <v>43999.66667</v>
      </c>
      <c r="B113" s="2">
        <f>IFERROR(__xludf.DUMMYFUNCTION("""COMPUTED_VALUE"""),1053.84)</f>
        <v>1053.84</v>
      </c>
      <c r="C113" s="2">
        <f>IFERROR(__xludf.DUMMYFUNCTION("""COMPUTED_VALUE"""),1058.31)</f>
        <v>1058.31</v>
      </c>
      <c r="D113" s="2">
        <f>IFERROR(__xludf.DUMMYFUNCTION("""COMPUTED_VALUE"""),1004.72)</f>
        <v>1004.72</v>
      </c>
      <c r="E113" s="2">
        <f>IFERROR(__xludf.DUMMYFUNCTION("""COMPUTED_VALUE"""),1018.12)</f>
        <v>1018.12</v>
      </c>
      <c r="F113" s="2">
        <f>IFERROR(__xludf.DUMMYFUNCTION("""COMPUTED_VALUE"""),1.512522E8)</f>
        <v>151252200</v>
      </c>
      <c r="G113" s="2">
        <f t="shared" si="1"/>
        <v>53.59</v>
      </c>
    </row>
    <row r="114" ht="15.75" customHeight="1">
      <c r="A114" s="1">
        <f>IFERROR(__xludf.DUMMYFUNCTION("""COMPUTED_VALUE"""),44000.66666666667)</f>
        <v>44000.66667</v>
      </c>
      <c r="B114" s="2">
        <f>IFERROR(__xludf.DUMMYFUNCTION("""COMPUTED_VALUE"""),1004.72)</f>
        <v>1004.72</v>
      </c>
      <c r="C114" s="2">
        <f>IFERROR(__xludf.DUMMYFUNCTION("""COMPUTED_VALUE"""),1035.98)</f>
        <v>1035.98</v>
      </c>
      <c r="D114" s="2">
        <f>IFERROR(__xludf.DUMMYFUNCTION("""COMPUTED_VALUE"""),982.39)</f>
        <v>982.39</v>
      </c>
      <c r="E114" s="2">
        <f>IFERROR(__xludf.DUMMYFUNCTION("""COMPUTED_VALUE"""),1013.65)</f>
        <v>1013.65</v>
      </c>
      <c r="F114" s="2">
        <f>IFERROR(__xludf.DUMMYFUNCTION("""COMPUTED_VALUE"""),1.124067E8)</f>
        <v>112406700</v>
      </c>
      <c r="G114" s="2">
        <f t="shared" si="1"/>
        <v>53.59</v>
      </c>
    </row>
    <row r="115" ht="15.75" customHeight="1">
      <c r="A115" s="1">
        <f>IFERROR(__xludf.DUMMYFUNCTION("""COMPUTED_VALUE"""),44001.66666666667)</f>
        <v>44001.66667</v>
      </c>
      <c r="B115" s="2">
        <f>IFERROR(__xludf.DUMMYFUNCTION("""COMPUTED_VALUE"""),1018.12)</f>
        <v>1018.12</v>
      </c>
      <c r="C115" s="2">
        <f>IFERROR(__xludf.DUMMYFUNCTION("""COMPUTED_VALUE"""),1022.58)</f>
        <v>1022.58</v>
      </c>
      <c r="D115" s="2">
        <f>IFERROR(__xludf.DUMMYFUNCTION("""COMPUTED_VALUE"""),986.86)</f>
        <v>986.86</v>
      </c>
      <c r="E115" s="2">
        <f>IFERROR(__xludf.DUMMYFUNCTION("""COMPUTED_VALUE"""),995.79)</f>
        <v>995.79</v>
      </c>
      <c r="F115" s="2">
        <f>IFERROR(__xludf.DUMMYFUNCTION("""COMPUTED_VALUE"""),1.501009E8)</f>
        <v>150100900</v>
      </c>
      <c r="G115" s="2">
        <f t="shared" si="1"/>
        <v>35.72</v>
      </c>
    </row>
    <row r="116" ht="15.75" customHeight="1">
      <c r="A116" s="1">
        <f>IFERROR(__xludf.DUMMYFUNCTION("""COMPUTED_VALUE"""),44004.66666666667)</f>
        <v>44004.66667</v>
      </c>
      <c r="B116" s="2">
        <f>IFERROR(__xludf.DUMMYFUNCTION("""COMPUTED_VALUE"""),995.79)</f>
        <v>995.79</v>
      </c>
      <c r="C116" s="2">
        <f>IFERROR(__xludf.DUMMYFUNCTION("""COMPUTED_VALUE"""),1004.72)</f>
        <v>1004.72</v>
      </c>
      <c r="D116" s="2">
        <f>IFERROR(__xludf.DUMMYFUNCTION("""COMPUTED_VALUE"""),982.39)</f>
        <v>982.39</v>
      </c>
      <c r="E116" s="2">
        <f>IFERROR(__xludf.DUMMYFUNCTION("""COMPUTED_VALUE"""),982.39)</f>
        <v>982.39</v>
      </c>
      <c r="F116" s="2">
        <f>IFERROR(__xludf.DUMMYFUNCTION("""COMPUTED_VALUE"""),4.96093E7)</f>
        <v>49609300</v>
      </c>
      <c r="G116" s="2">
        <f t="shared" si="1"/>
        <v>22.33</v>
      </c>
    </row>
    <row r="117" ht="15.75" customHeight="1">
      <c r="A117" s="1">
        <f>IFERROR(__xludf.DUMMYFUNCTION("""COMPUTED_VALUE"""),44005.66666666667)</f>
        <v>44005.66667</v>
      </c>
      <c r="B117" s="2">
        <f>IFERROR(__xludf.DUMMYFUNCTION("""COMPUTED_VALUE"""),986.86)</f>
        <v>986.86</v>
      </c>
      <c r="C117" s="2">
        <f>IFERROR(__xludf.DUMMYFUNCTION("""COMPUTED_VALUE"""),995.79)</f>
        <v>995.79</v>
      </c>
      <c r="D117" s="2">
        <f>IFERROR(__xludf.DUMMYFUNCTION("""COMPUTED_VALUE"""),951.14)</f>
        <v>951.14</v>
      </c>
      <c r="E117" s="2">
        <f>IFERROR(__xludf.DUMMYFUNCTION("""COMPUTED_VALUE"""),969.0)</f>
        <v>969</v>
      </c>
      <c r="F117" s="2">
        <f>IFERROR(__xludf.DUMMYFUNCTION("""COMPUTED_VALUE"""),5.66807E7)</f>
        <v>56680700</v>
      </c>
      <c r="G117" s="2">
        <f t="shared" si="1"/>
        <v>44.65</v>
      </c>
    </row>
    <row r="118" ht="15.75" customHeight="1">
      <c r="A118" s="1">
        <f>IFERROR(__xludf.DUMMYFUNCTION("""COMPUTED_VALUE"""),44006.66666666667)</f>
        <v>44006.66667</v>
      </c>
      <c r="B118" s="2">
        <f>IFERROR(__xludf.DUMMYFUNCTION("""COMPUTED_VALUE"""),982.39)</f>
        <v>982.39</v>
      </c>
      <c r="C118" s="2">
        <f>IFERROR(__xludf.DUMMYFUNCTION("""COMPUTED_VALUE"""),1102.96)</f>
        <v>1102.96</v>
      </c>
      <c r="D118" s="2">
        <f>IFERROR(__xludf.DUMMYFUNCTION("""COMPUTED_VALUE"""),969.0)</f>
        <v>969</v>
      </c>
      <c r="E118" s="2">
        <f>IFERROR(__xludf.DUMMYFUNCTION("""COMPUTED_VALUE"""),1085.1)</f>
        <v>1085.1</v>
      </c>
      <c r="F118" s="2">
        <f>IFERROR(__xludf.DUMMYFUNCTION("""COMPUTED_VALUE"""),4.297369E8)</f>
        <v>429736900</v>
      </c>
      <c r="G118" s="2">
        <f t="shared" si="1"/>
        <v>133.96</v>
      </c>
    </row>
    <row r="119" ht="15.75" customHeight="1">
      <c r="A119" s="1">
        <f>IFERROR(__xludf.DUMMYFUNCTION("""COMPUTED_VALUE"""),44007.66666666667)</f>
        <v>44007.66667</v>
      </c>
      <c r="B119" s="2">
        <f>IFERROR(__xludf.DUMMYFUNCTION("""COMPUTED_VALUE"""),1044.91)</f>
        <v>1044.91</v>
      </c>
      <c r="C119" s="2">
        <f>IFERROR(__xludf.DUMMYFUNCTION("""COMPUTED_VALUE"""),1098.5)</f>
        <v>1098.5</v>
      </c>
      <c r="D119" s="2">
        <f>IFERROR(__xludf.DUMMYFUNCTION("""COMPUTED_VALUE"""),1035.98)</f>
        <v>1035.98</v>
      </c>
      <c r="E119" s="2">
        <f>IFERROR(__xludf.DUMMYFUNCTION("""COMPUTED_VALUE"""),1053.84)</f>
        <v>1053.84</v>
      </c>
      <c r="F119" s="2">
        <f>IFERROR(__xludf.DUMMYFUNCTION("""COMPUTED_VALUE"""),2.249087E8)</f>
        <v>224908700</v>
      </c>
      <c r="G119" s="2">
        <f t="shared" si="1"/>
        <v>62.52</v>
      </c>
    </row>
    <row r="120" ht="15.75" customHeight="1">
      <c r="A120" s="1">
        <f>IFERROR(__xludf.DUMMYFUNCTION("""COMPUTED_VALUE"""),44008.66666666667)</f>
        <v>44008.66667</v>
      </c>
      <c r="B120" s="2">
        <f>IFERROR(__xludf.DUMMYFUNCTION("""COMPUTED_VALUE"""),1080.63)</f>
        <v>1080.63</v>
      </c>
      <c r="C120" s="2">
        <f>IFERROR(__xludf.DUMMYFUNCTION("""COMPUTED_VALUE"""),1125.29)</f>
        <v>1125.29</v>
      </c>
      <c r="D120" s="2">
        <f>IFERROR(__xludf.DUMMYFUNCTION("""COMPUTED_VALUE"""),1067.24)</f>
        <v>1067.24</v>
      </c>
      <c r="E120" s="2">
        <f>IFERROR(__xludf.DUMMYFUNCTION("""COMPUTED_VALUE"""),1080.63)</f>
        <v>1080.63</v>
      </c>
      <c r="F120" s="2">
        <f>IFERROR(__xludf.DUMMYFUNCTION("""COMPUTED_VALUE"""),2.604674E8)</f>
        <v>260467400</v>
      </c>
      <c r="G120" s="2">
        <f t="shared" si="1"/>
        <v>71.45</v>
      </c>
    </row>
    <row r="121" ht="15.75" customHeight="1">
      <c r="A121" s="1">
        <f>IFERROR(__xludf.DUMMYFUNCTION("""COMPUTED_VALUE"""),44011.66666666667)</f>
        <v>44011.66667</v>
      </c>
      <c r="B121" s="2">
        <f>IFERROR(__xludf.DUMMYFUNCTION("""COMPUTED_VALUE"""),1071.7)</f>
        <v>1071.7</v>
      </c>
      <c r="C121" s="2">
        <f>IFERROR(__xludf.DUMMYFUNCTION("""COMPUTED_VALUE"""),1107.43)</f>
        <v>1107.43</v>
      </c>
      <c r="D121" s="2">
        <f>IFERROR(__xludf.DUMMYFUNCTION("""COMPUTED_VALUE"""),1058.31)</f>
        <v>1058.31</v>
      </c>
      <c r="E121" s="2">
        <f>IFERROR(__xludf.DUMMYFUNCTION("""COMPUTED_VALUE"""),1107.43)</f>
        <v>1107.43</v>
      </c>
      <c r="F121" s="2">
        <f>IFERROR(__xludf.DUMMYFUNCTION("""COMPUTED_VALUE"""),1.289358E8)</f>
        <v>128935800</v>
      </c>
      <c r="G121" s="2">
        <f t="shared" si="1"/>
        <v>49.12</v>
      </c>
    </row>
    <row r="122" ht="15.75" customHeight="1">
      <c r="A122" s="1">
        <f>IFERROR(__xludf.DUMMYFUNCTION("""COMPUTED_VALUE"""),44012.66666666667)</f>
        <v>44012.66667</v>
      </c>
      <c r="B122" s="2">
        <f>IFERROR(__xludf.DUMMYFUNCTION("""COMPUTED_VALUE"""),1129.75)</f>
        <v>1129.75</v>
      </c>
      <c r="C122" s="2">
        <f>IFERROR(__xludf.DUMMYFUNCTION("""COMPUTED_VALUE"""),1156.55)</f>
        <v>1156.55</v>
      </c>
      <c r="D122" s="2">
        <f>IFERROR(__xludf.DUMMYFUNCTION("""COMPUTED_VALUE"""),1107.43)</f>
        <v>1107.43</v>
      </c>
      <c r="E122" s="2">
        <f>IFERROR(__xludf.DUMMYFUNCTION("""COMPUTED_VALUE"""),1111.89)</f>
        <v>1111.89</v>
      </c>
      <c r="F122" s="2">
        <f>IFERROR(__xludf.DUMMYFUNCTION("""COMPUTED_VALUE"""),1.630305E8)</f>
        <v>163030500</v>
      </c>
      <c r="G122" s="2">
        <f t="shared" si="1"/>
        <v>49.12</v>
      </c>
    </row>
    <row r="123" ht="15.75" customHeight="1">
      <c r="A123" s="1">
        <f>IFERROR(__xludf.DUMMYFUNCTION("""COMPUTED_VALUE"""),44013.66666666667)</f>
        <v>44013.66667</v>
      </c>
      <c r="B123" s="2">
        <f>IFERROR(__xludf.DUMMYFUNCTION("""COMPUTED_VALUE"""),1116.36)</f>
        <v>1116.36</v>
      </c>
      <c r="C123" s="2">
        <f>IFERROR(__xludf.DUMMYFUNCTION("""COMPUTED_VALUE"""),1129.75)</f>
        <v>1129.75</v>
      </c>
      <c r="D123" s="2">
        <f>IFERROR(__xludf.DUMMYFUNCTION("""COMPUTED_VALUE"""),1102.96)</f>
        <v>1102.96</v>
      </c>
      <c r="E123" s="2">
        <f>IFERROR(__xludf.DUMMYFUNCTION("""COMPUTED_VALUE"""),1116.36)</f>
        <v>1116.36</v>
      </c>
      <c r="F123" s="2">
        <f>IFERROR(__xludf.DUMMYFUNCTION("""COMPUTED_VALUE"""),7.60207E7)</f>
        <v>76020700</v>
      </c>
      <c r="G123" s="2">
        <f t="shared" si="1"/>
        <v>26.79</v>
      </c>
    </row>
    <row r="124" ht="15.75" customHeight="1">
      <c r="A124" s="1">
        <f>IFERROR(__xludf.DUMMYFUNCTION("""COMPUTED_VALUE"""),44014.66666666667)</f>
        <v>44014.66667</v>
      </c>
      <c r="B124" s="2">
        <f>IFERROR(__xludf.DUMMYFUNCTION("""COMPUTED_VALUE"""),1125.29)</f>
        <v>1125.29</v>
      </c>
      <c r="C124" s="2">
        <f>IFERROR(__xludf.DUMMYFUNCTION("""COMPUTED_VALUE"""),1134.22)</f>
        <v>1134.22</v>
      </c>
      <c r="D124" s="2">
        <f>IFERROR(__xludf.DUMMYFUNCTION("""COMPUTED_VALUE"""),1107.43)</f>
        <v>1107.43</v>
      </c>
      <c r="E124" s="2">
        <f>IFERROR(__xludf.DUMMYFUNCTION("""COMPUTED_VALUE"""),1116.36)</f>
        <v>1116.36</v>
      </c>
      <c r="F124" s="2">
        <f>IFERROR(__xludf.DUMMYFUNCTION("""COMPUTED_VALUE"""),5.38229E7)</f>
        <v>53822900</v>
      </c>
      <c r="G124" s="2">
        <f t="shared" si="1"/>
        <v>26.79</v>
      </c>
    </row>
    <row r="125" ht="15.75" customHeight="1">
      <c r="A125" s="1">
        <f>IFERROR(__xludf.DUMMYFUNCTION("""COMPUTED_VALUE"""),44015.66666666667)</f>
        <v>44015.66667</v>
      </c>
      <c r="B125" s="2">
        <f>IFERROR(__xludf.DUMMYFUNCTION("""COMPUTED_VALUE"""),1125.29)</f>
        <v>1125.29</v>
      </c>
      <c r="C125" s="2">
        <f>IFERROR(__xludf.DUMMYFUNCTION("""COMPUTED_VALUE"""),1129.75)</f>
        <v>1129.75</v>
      </c>
      <c r="D125" s="2">
        <f>IFERROR(__xludf.DUMMYFUNCTION("""COMPUTED_VALUE"""),1098.5)</f>
        <v>1098.5</v>
      </c>
      <c r="E125" s="2">
        <f>IFERROR(__xludf.DUMMYFUNCTION("""COMPUTED_VALUE"""),1098.5)</f>
        <v>1098.5</v>
      </c>
      <c r="F125" s="2">
        <f>IFERROR(__xludf.DUMMYFUNCTION("""COMPUTED_VALUE"""),5.27544E7)</f>
        <v>52754400</v>
      </c>
      <c r="G125" s="2">
        <f t="shared" si="1"/>
        <v>31.25</v>
      </c>
    </row>
    <row r="126" ht="15.75" customHeight="1">
      <c r="A126" s="1">
        <f>IFERROR(__xludf.DUMMYFUNCTION("""COMPUTED_VALUE"""),44018.66666666667)</f>
        <v>44018.66667</v>
      </c>
      <c r="B126" s="2">
        <f>IFERROR(__xludf.DUMMYFUNCTION("""COMPUTED_VALUE"""),1098.5)</f>
        <v>1098.5</v>
      </c>
      <c r="C126" s="2">
        <f>IFERROR(__xludf.DUMMYFUNCTION("""COMPUTED_VALUE"""),1125.29)</f>
        <v>1125.29</v>
      </c>
      <c r="D126" s="2">
        <f>IFERROR(__xludf.DUMMYFUNCTION("""COMPUTED_VALUE"""),1089.56)</f>
        <v>1089.56</v>
      </c>
      <c r="E126" s="2">
        <f>IFERROR(__xludf.DUMMYFUNCTION("""COMPUTED_VALUE"""),1107.43)</f>
        <v>1107.43</v>
      </c>
      <c r="F126" s="2">
        <f>IFERROR(__xludf.DUMMYFUNCTION("""COMPUTED_VALUE"""),4.54447E7)</f>
        <v>45444700</v>
      </c>
      <c r="G126" s="2">
        <f t="shared" si="1"/>
        <v>35.73</v>
      </c>
    </row>
    <row r="127" ht="15.75" customHeight="1">
      <c r="A127" s="1">
        <f>IFERROR(__xludf.DUMMYFUNCTION("""COMPUTED_VALUE"""),44019.66666666667)</f>
        <v>44019.66667</v>
      </c>
      <c r="B127" s="2">
        <f>IFERROR(__xludf.DUMMYFUNCTION("""COMPUTED_VALUE"""),1116.36)</f>
        <v>1116.36</v>
      </c>
      <c r="C127" s="2">
        <f>IFERROR(__xludf.DUMMYFUNCTION("""COMPUTED_VALUE"""),1129.75)</f>
        <v>1129.75</v>
      </c>
      <c r="D127" s="2">
        <f>IFERROR(__xludf.DUMMYFUNCTION("""COMPUTED_VALUE"""),1094.03)</f>
        <v>1094.03</v>
      </c>
      <c r="E127" s="2">
        <f>IFERROR(__xludf.DUMMYFUNCTION("""COMPUTED_VALUE"""),1094.03)</f>
        <v>1094.03</v>
      </c>
      <c r="F127" s="2">
        <f>IFERROR(__xludf.DUMMYFUNCTION("""COMPUTED_VALUE"""),4.62017E7)</f>
        <v>46201700</v>
      </c>
      <c r="G127" s="2">
        <f t="shared" si="1"/>
        <v>35.72</v>
      </c>
    </row>
    <row r="128" ht="15.75" customHeight="1">
      <c r="A128" s="1">
        <f>IFERROR(__xludf.DUMMYFUNCTION("""COMPUTED_VALUE"""),44020.66666666667)</f>
        <v>44020.66667</v>
      </c>
      <c r="B128" s="2">
        <f>IFERROR(__xludf.DUMMYFUNCTION("""COMPUTED_VALUE"""),1098.5)</f>
        <v>1098.5</v>
      </c>
      <c r="C128" s="2">
        <f>IFERROR(__xludf.DUMMYFUNCTION("""COMPUTED_VALUE"""),1201.2)</f>
        <v>1201.2</v>
      </c>
      <c r="D128" s="2">
        <f>IFERROR(__xludf.DUMMYFUNCTION("""COMPUTED_VALUE"""),1094.03)</f>
        <v>1094.03</v>
      </c>
      <c r="E128" s="2">
        <f>IFERROR(__xludf.DUMMYFUNCTION("""COMPUTED_VALUE"""),1196.74)</f>
        <v>1196.74</v>
      </c>
      <c r="F128" s="2">
        <f>IFERROR(__xludf.DUMMYFUNCTION("""COMPUTED_VALUE"""),3.195415E8)</f>
        <v>319541500</v>
      </c>
      <c r="G128" s="2">
        <f t="shared" si="1"/>
        <v>107.17</v>
      </c>
    </row>
    <row r="129" ht="15.75" customHeight="1">
      <c r="A129" s="1">
        <f>IFERROR(__xludf.DUMMYFUNCTION("""COMPUTED_VALUE"""),44021.66666666667)</f>
        <v>44021.66667</v>
      </c>
      <c r="B129" s="2">
        <f>IFERROR(__xludf.DUMMYFUNCTION("""COMPUTED_VALUE"""),1205.67)</f>
        <v>1205.67</v>
      </c>
      <c r="C129" s="2">
        <f>IFERROR(__xludf.DUMMYFUNCTION("""COMPUTED_VALUE"""),1219.06)</f>
        <v>1219.06</v>
      </c>
      <c r="D129" s="2">
        <f>IFERROR(__xludf.DUMMYFUNCTION("""COMPUTED_VALUE"""),1165.48)</f>
        <v>1165.48</v>
      </c>
      <c r="E129" s="2">
        <f>IFERROR(__xludf.DUMMYFUNCTION("""COMPUTED_VALUE"""),1174.41)</f>
        <v>1174.41</v>
      </c>
      <c r="F129" s="2">
        <f>IFERROR(__xludf.DUMMYFUNCTION("""COMPUTED_VALUE"""),1.624279E8)</f>
        <v>162427900</v>
      </c>
      <c r="G129" s="2">
        <f t="shared" si="1"/>
        <v>53.58</v>
      </c>
    </row>
    <row r="130" ht="15.75" customHeight="1">
      <c r="A130" s="1">
        <f>IFERROR(__xludf.DUMMYFUNCTION("""COMPUTED_VALUE"""),44022.66666666667)</f>
        <v>44022.66667</v>
      </c>
      <c r="B130" s="2">
        <f>IFERROR(__xludf.DUMMYFUNCTION("""COMPUTED_VALUE"""),1165.48)</f>
        <v>1165.48</v>
      </c>
      <c r="C130" s="2">
        <f>IFERROR(__xludf.DUMMYFUNCTION("""COMPUTED_VALUE"""),1183.34)</f>
        <v>1183.34</v>
      </c>
      <c r="D130" s="2">
        <f>IFERROR(__xludf.DUMMYFUNCTION("""COMPUTED_VALUE"""),1147.62)</f>
        <v>1147.62</v>
      </c>
      <c r="E130" s="2">
        <f>IFERROR(__xludf.DUMMYFUNCTION("""COMPUTED_VALUE"""),1156.55)</f>
        <v>1156.55</v>
      </c>
      <c r="F130" s="2">
        <f>IFERROR(__xludf.DUMMYFUNCTION("""COMPUTED_VALUE"""),1.269935E8)</f>
        <v>126993500</v>
      </c>
      <c r="G130" s="2">
        <f t="shared" si="1"/>
        <v>35.72</v>
      </c>
    </row>
    <row r="131" ht="15.75" customHeight="1">
      <c r="A131" s="1">
        <f>IFERROR(__xludf.DUMMYFUNCTION("""COMPUTED_VALUE"""),44025.66666666667)</f>
        <v>44025.66667</v>
      </c>
      <c r="B131" s="2">
        <f>IFERROR(__xludf.DUMMYFUNCTION("""COMPUTED_VALUE"""),1165.48)</f>
        <v>1165.48</v>
      </c>
      <c r="C131" s="2">
        <f>IFERROR(__xludf.DUMMYFUNCTION("""COMPUTED_VALUE"""),1192.27)</f>
        <v>1192.27</v>
      </c>
      <c r="D131" s="2">
        <f>IFERROR(__xludf.DUMMYFUNCTION("""COMPUTED_VALUE"""),1165.48)</f>
        <v>1165.48</v>
      </c>
      <c r="E131" s="2">
        <f>IFERROR(__xludf.DUMMYFUNCTION("""COMPUTED_VALUE"""),1183.34)</f>
        <v>1183.34</v>
      </c>
      <c r="F131" s="2">
        <f>IFERROR(__xludf.DUMMYFUNCTION("""COMPUTED_VALUE"""),6.53228E7)</f>
        <v>65322800</v>
      </c>
      <c r="G131" s="2">
        <f t="shared" si="1"/>
        <v>35.72</v>
      </c>
    </row>
    <row r="132" ht="15.75" customHeight="1">
      <c r="A132" s="1">
        <f>IFERROR(__xludf.DUMMYFUNCTION("""COMPUTED_VALUE"""),44026.66666666667)</f>
        <v>44026.66667</v>
      </c>
      <c r="B132" s="2">
        <f>IFERROR(__xludf.DUMMYFUNCTION("""COMPUTED_VALUE"""),1138.68)</f>
        <v>1138.68</v>
      </c>
      <c r="C132" s="2">
        <f>IFERROR(__xludf.DUMMYFUNCTION("""COMPUTED_VALUE"""),1205.67)</f>
        <v>1205.67</v>
      </c>
      <c r="D132" s="2">
        <f>IFERROR(__xludf.DUMMYFUNCTION("""COMPUTED_VALUE"""),1138.68)</f>
        <v>1138.68</v>
      </c>
      <c r="E132" s="2">
        <f>IFERROR(__xludf.DUMMYFUNCTION("""COMPUTED_VALUE"""),1178.87)</f>
        <v>1178.87</v>
      </c>
      <c r="F132" s="2">
        <f>IFERROR(__xludf.DUMMYFUNCTION("""COMPUTED_VALUE"""),8.9328E7)</f>
        <v>89328000</v>
      </c>
      <c r="G132" s="2">
        <f t="shared" si="1"/>
        <v>66.99</v>
      </c>
    </row>
    <row r="133" ht="15.75" customHeight="1">
      <c r="A133" s="1">
        <f>IFERROR(__xludf.DUMMYFUNCTION("""COMPUTED_VALUE"""),44027.66666666667)</f>
        <v>44027.66667</v>
      </c>
      <c r="B133" s="2">
        <f>IFERROR(__xludf.DUMMYFUNCTION("""COMPUTED_VALUE"""),1192.27)</f>
        <v>1192.27</v>
      </c>
      <c r="C133" s="2">
        <f>IFERROR(__xludf.DUMMYFUNCTION("""COMPUTED_VALUE"""),1210.13)</f>
        <v>1210.13</v>
      </c>
      <c r="D133" s="2">
        <f>IFERROR(__xludf.DUMMYFUNCTION("""COMPUTED_VALUE"""),1169.94)</f>
        <v>1169.94</v>
      </c>
      <c r="E133" s="2">
        <f>IFERROR(__xludf.DUMMYFUNCTION("""COMPUTED_VALUE"""),1178.87)</f>
        <v>1178.87</v>
      </c>
      <c r="F133" s="2">
        <f>IFERROR(__xludf.DUMMYFUNCTION("""COMPUTED_VALUE"""),6.75242E7)</f>
        <v>67524200</v>
      </c>
      <c r="G133" s="2">
        <f t="shared" si="1"/>
        <v>40.19</v>
      </c>
    </row>
    <row r="134" ht="15.75" customHeight="1">
      <c r="A134" s="1">
        <f>IFERROR(__xludf.DUMMYFUNCTION("""COMPUTED_VALUE"""),44028.66666666667)</f>
        <v>44028.66667</v>
      </c>
      <c r="B134" s="2">
        <f>IFERROR(__xludf.DUMMYFUNCTION("""COMPUTED_VALUE"""),1178.87)</f>
        <v>1178.87</v>
      </c>
      <c r="C134" s="2">
        <f>IFERROR(__xludf.DUMMYFUNCTION("""COMPUTED_VALUE"""),1192.27)</f>
        <v>1192.27</v>
      </c>
      <c r="D134" s="2">
        <f>IFERROR(__xludf.DUMMYFUNCTION("""COMPUTED_VALUE"""),1169.94)</f>
        <v>1169.94</v>
      </c>
      <c r="E134" s="2">
        <f>IFERROR(__xludf.DUMMYFUNCTION("""COMPUTED_VALUE"""),1174.41)</f>
        <v>1174.41</v>
      </c>
      <c r="F134" s="2">
        <f>IFERROR(__xludf.DUMMYFUNCTION("""COMPUTED_VALUE"""),3.97452E7)</f>
        <v>39745200</v>
      </c>
      <c r="G134" s="2">
        <f t="shared" si="1"/>
        <v>22.33</v>
      </c>
    </row>
    <row r="135" ht="15.75" customHeight="1">
      <c r="A135" s="1">
        <f>IFERROR(__xludf.DUMMYFUNCTION("""COMPUTED_VALUE"""),44029.66666666667)</f>
        <v>44029.66667</v>
      </c>
      <c r="B135" s="2">
        <f>IFERROR(__xludf.DUMMYFUNCTION("""COMPUTED_VALUE"""),1161.01)</f>
        <v>1161.01</v>
      </c>
      <c r="C135" s="2">
        <f>IFERROR(__xludf.DUMMYFUNCTION("""COMPUTED_VALUE"""),1187.8)</f>
        <v>1187.8</v>
      </c>
      <c r="D135" s="2">
        <f>IFERROR(__xludf.DUMMYFUNCTION("""COMPUTED_VALUE"""),1161.01)</f>
        <v>1161.01</v>
      </c>
      <c r="E135" s="2">
        <f>IFERROR(__xludf.DUMMYFUNCTION("""COMPUTED_VALUE"""),1165.48)</f>
        <v>1165.48</v>
      </c>
      <c r="F135" s="2">
        <f>IFERROR(__xludf.DUMMYFUNCTION("""COMPUTED_VALUE"""),2.44996E7)</f>
        <v>24499600</v>
      </c>
      <c r="G135" s="2">
        <f t="shared" si="1"/>
        <v>26.79</v>
      </c>
    </row>
    <row r="136" ht="15.75" customHeight="1">
      <c r="A136" s="1">
        <f>IFERROR(__xludf.DUMMYFUNCTION("""COMPUTED_VALUE"""),44032.66666666667)</f>
        <v>44032.66667</v>
      </c>
      <c r="B136" s="2">
        <f>IFERROR(__xludf.DUMMYFUNCTION("""COMPUTED_VALUE"""),1169.94)</f>
        <v>1169.94</v>
      </c>
      <c r="C136" s="2">
        <f>IFERROR(__xludf.DUMMYFUNCTION("""COMPUTED_VALUE"""),1169.94)</f>
        <v>1169.94</v>
      </c>
      <c r="D136" s="2">
        <f>IFERROR(__xludf.DUMMYFUNCTION("""COMPUTED_VALUE"""),1102.96)</f>
        <v>1102.96</v>
      </c>
      <c r="E136" s="2">
        <f>IFERROR(__xludf.DUMMYFUNCTION("""COMPUTED_VALUE"""),1107.43)</f>
        <v>1107.43</v>
      </c>
      <c r="F136" s="2">
        <f>IFERROR(__xludf.DUMMYFUNCTION("""COMPUTED_VALUE"""),1.141608E8)</f>
        <v>114160800</v>
      </c>
      <c r="G136" s="2">
        <f t="shared" si="1"/>
        <v>66.98</v>
      </c>
    </row>
    <row r="137" ht="15.75" customHeight="1">
      <c r="A137" s="1">
        <f>IFERROR(__xludf.DUMMYFUNCTION("""COMPUTED_VALUE"""),44033.66666666667)</f>
        <v>44033.66667</v>
      </c>
      <c r="B137" s="2">
        <f>IFERROR(__xludf.DUMMYFUNCTION("""COMPUTED_VALUE"""),1120.82)</f>
        <v>1120.82</v>
      </c>
      <c r="C137" s="2">
        <f>IFERROR(__xludf.DUMMYFUNCTION("""COMPUTED_VALUE"""),1174.41)</f>
        <v>1174.41</v>
      </c>
      <c r="D137" s="2">
        <f>IFERROR(__xludf.DUMMYFUNCTION("""COMPUTED_VALUE"""),1120.82)</f>
        <v>1120.82</v>
      </c>
      <c r="E137" s="2">
        <f>IFERROR(__xludf.DUMMYFUNCTION("""COMPUTED_VALUE"""),1169.94)</f>
        <v>1169.94</v>
      </c>
      <c r="F137" s="2">
        <f>IFERROR(__xludf.DUMMYFUNCTION("""COMPUTED_VALUE"""),9.84406E7)</f>
        <v>98440600</v>
      </c>
      <c r="G137" s="2">
        <f t="shared" si="1"/>
        <v>66.98</v>
      </c>
    </row>
    <row r="138" ht="15.75" customHeight="1">
      <c r="A138" s="1">
        <f>IFERROR(__xludf.DUMMYFUNCTION("""COMPUTED_VALUE"""),44034.66666666667)</f>
        <v>44034.66667</v>
      </c>
      <c r="B138" s="2">
        <f>IFERROR(__xludf.DUMMYFUNCTION("""COMPUTED_VALUE"""),1169.94)</f>
        <v>1169.94</v>
      </c>
      <c r="C138" s="2">
        <f>IFERROR(__xludf.DUMMYFUNCTION("""COMPUTED_VALUE"""),1178.87)</f>
        <v>1178.87</v>
      </c>
      <c r="D138" s="2">
        <f>IFERROR(__xludf.DUMMYFUNCTION("""COMPUTED_VALUE"""),1143.15)</f>
        <v>1143.15</v>
      </c>
      <c r="E138" s="2">
        <f>IFERROR(__xludf.DUMMYFUNCTION("""COMPUTED_VALUE"""),1147.62)</f>
        <v>1147.62</v>
      </c>
      <c r="F138" s="2">
        <f>IFERROR(__xludf.DUMMYFUNCTION("""COMPUTED_VALUE"""),6.13189E7)</f>
        <v>61318900</v>
      </c>
      <c r="G138" s="2">
        <f t="shared" si="1"/>
        <v>35.72</v>
      </c>
    </row>
    <row r="139" ht="15.75" customHeight="1">
      <c r="A139" s="1">
        <f>IFERROR(__xludf.DUMMYFUNCTION("""COMPUTED_VALUE"""),44035.66666666667)</f>
        <v>44035.66667</v>
      </c>
      <c r="B139" s="2">
        <f>IFERROR(__xludf.DUMMYFUNCTION("""COMPUTED_VALUE"""),1156.55)</f>
        <v>1156.55</v>
      </c>
      <c r="C139" s="2">
        <f>IFERROR(__xludf.DUMMYFUNCTION("""COMPUTED_VALUE"""),1183.34)</f>
        <v>1183.34</v>
      </c>
      <c r="D139" s="2">
        <f>IFERROR(__xludf.DUMMYFUNCTION("""COMPUTED_VALUE"""),1152.08)</f>
        <v>1152.08</v>
      </c>
      <c r="E139" s="2">
        <f>IFERROR(__xludf.DUMMYFUNCTION("""COMPUTED_VALUE"""),1156.55)</f>
        <v>1156.55</v>
      </c>
      <c r="F139" s="2">
        <f>IFERROR(__xludf.DUMMYFUNCTION("""COMPUTED_VALUE"""),6.66549E7)</f>
        <v>66654900</v>
      </c>
      <c r="G139" s="2">
        <f t="shared" si="1"/>
        <v>35.72</v>
      </c>
    </row>
    <row r="140" ht="15.75" customHeight="1">
      <c r="A140" s="1">
        <f>IFERROR(__xludf.DUMMYFUNCTION("""COMPUTED_VALUE"""),44036.66666666667)</f>
        <v>44036.66667</v>
      </c>
      <c r="B140" s="2">
        <f>IFERROR(__xludf.DUMMYFUNCTION("""COMPUTED_VALUE"""),1156.55)</f>
        <v>1156.55</v>
      </c>
      <c r="C140" s="2">
        <f>IFERROR(__xludf.DUMMYFUNCTION("""COMPUTED_VALUE"""),1156.55)</f>
        <v>1156.55</v>
      </c>
      <c r="D140" s="2">
        <f>IFERROR(__xludf.DUMMYFUNCTION("""COMPUTED_VALUE"""),1129.75)</f>
        <v>1129.75</v>
      </c>
      <c r="E140" s="2">
        <f>IFERROR(__xludf.DUMMYFUNCTION("""COMPUTED_VALUE"""),1138.68)</f>
        <v>1138.68</v>
      </c>
      <c r="F140" s="2">
        <f>IFERROR(__xludf.DUMMYFUNCTION("""COMPUTED_VALUE"""),4.24952E7)</f>
        <v>42495200</v>
      </c>
      <c r="G140" s="2">
        <f t="shared" si="1"/>
        <v>26.8</v>
      </c>
    </row>
    <row r="141" ht="15.75" customHeight="1">
      <c r="A141" s="1">
        <f>IFERROR(__xludf.DUMMYFUNCTION("""COMPUTED_VALUE"""),44039.66666666667)</f>
        <v>44039.66667</v>
      </c>
      <c r="B141" s="2">
        <f>IFERROR(__xludf.DUMMYFUNCTION("""COMPUTED_VALUE"""),1138.68)</f>
        <v>1138.68</v>
      </c>
      <c r="C141" s="2">
        <f>IFERROR(__xludf.DUMMYFUNCTION("""COMPUTED_VALUE"""),1156.55)</f>
        <v>1156.55</v>
      </c>
      <c r="D141" s="2">
        <f>IFERROR(__xludf.DUMMYFUNCTION("""COMPUTED_VALUE"""),1129.75)</f>
        <v>1129.75</v>
      </c>
      <c r="E141" s="2">
        <f>IFERROR(__xludf.DUMMYFUNCTION("""COMPUTED_VALUE"""),1143.15)</f>
        <v>1143.15</v>
      </c>
      <c r="F141" s="2">
        <f>IFERROR(__xludf.DUMMYFUNCTION("""COMPUTED_VALUE"""),2.44486E7)</f>
        <v>24448600</v>
      </c>
      <c r="G141" s="2">
        <f t="shared" si="1"/>
        <v>26.8</v>
      </c>
    </row>
    <row r="142" ht="15.75" customHeight="1">
      <c r="A142" s="1">
        <f>IFERROR(__xludf.DUMMYFUNCTION("""COMPUTED_VALUE"""),44040.66666666667)</f>
        <v>44040.66667</v>
      </c>
      <c r="B142" s="2">
        <f>IFERROR(__xludf.DUMMYFUNCTION("""COMPUTED_VALUE"""),1152.08)</f>
        <v>1152.08</v>
      </c>
      <c r="C142" s="2">
        <f>IFERROR(__xludf.DUMMYFUNCTION("""COMPUTED_VALUE"""),1156.55)</f>
        <v>1156.55</v>
      </c>
      <c r="D142" s="2">
        <f>IFERROR(__xludf.DUMMYFUNCTION("""COMPUTED_VALUE"""),1129.75)</f>
        <v>1129.75</v>
      </c>
      <c r="E142" s="2">
        <f>IFERROR(__xludf.DUMMYFUNCTION("""COMPUTED_VALUE"""),1129.75)</f>
        <v>1129.75</v>
      </c>
      <c r="F142" s="2">
        <f>IFERROR(__xludf.DUMMYFUNCTION("""COMPUTED_VALUE"""),2.58048E7)</f>
        <v>25804800</v>
      </c>
      <c r="G142" s="2">
        <f t="shared" si="1"/>
        <v>26.8</v>
      </c>
    </row>
    <row r="143" ht="15.75" customHeight="1">
      <c r="A143" s="1">
        <f>IFERROR(__xludf.DUMMYFUNCTION("""COMPUTED_VALUE"""),44041.66666666667)</f>
        <v>44041.66667</v>
      </c>
      <c r="B143" s="2">
        <f>IFERROR(__xludf.DUMMYFUNCTION("""COMPUTED_VALUE"""),1129.75)</f>
        <v>1129.75</v>
      </c>
      <c r="C143" s="2">
        <f>IFERROR(__xludf.DUMMYFUNCTION("""COMPUTED_VALUE"""),1152.08)</f>
        <v>1152.08</v>
      </c>
      <c r="D143" s="2">
        <f>IFERROR(__xludf.DUMMYFUNCTION("""COMPUTED_VALUE"""),1125.29)</f>
        <v>1125.29</v>
      </c>
      <c r="E143" s="2">
        <f>IFERROR(__xludf.DUMMYFUNCTION("""COMPUTED_VALUE"""),1147.62)</f>
        <v>1147.62</v>
      </c>
      <c r="F143" s="2">
        <f>IFERROR(__xludf.DUMMYFUNCTION("""COMPUTED_VALUE"""),3.14772E7)</f>
        <v>31477200</v>
      </c>
      <c r="G143" s="2">
        <f t="shared" si="1"/>
        <v>26.79</v>
      </c>
    </row>
    <row r="144" ht="15.75" customHeight="1">
      <c r="A144" s="1">
        <f>IFERROR(__xludf.DUMMYFUNCTION("""COMPUTED_VALUE"""),44042.66666666667)</f>
        <v>44042.66667</v>
      </c>
      <c r="B144" s="2">
        <f>IFERROR(__xludf.DUMMYFUNCTION("""COMPUTED_VALUE"""),1152.08)</f>
        <v>1152.08</v>
      </c>
      <c r="C144" s="2">
        <f>IFERROR(__xludf.DUMMYFUNCTION("""COMPUTED_VALUE"""),1165.48)</f>
        <v>1165.48</v>
      </c>
      <c r="D144" s="2">
        <f>IFERROR(__xludf.DUMMYFUNCTION("""COMPUTED_VALUE"""),1129.75)</f>
        <v>1129.75</v>
      </c>
      <c r="E144" s="2">
        <f>IFERROR(__xludf.DUMMYFUNCTION("""COMPUTED_VALUE"""),1129.75)</f>
        <v>1129.75</v>
      </c>
      <c r="F144" s="2">
        <f>IFERROR(__xludf.DUMMYFUNCTION("""COMPUTED_VALUE"""),7.88462E7)</f>
        <v>78846200</v>
      </c>
      <c r="G144" s="2">
        <f t="shared" si="1"/>
        <v>35.73</v>
      </c>
    </row>
    <row r="145" ht="15.75" customHeight="1">
      <c r="A145" s="1">
        <f>IFERROR(__xludf.DUMMYFUNCTION("""COMPUTED_VALUE"""),44046.66666666667)</f>
        <v>44046.66667</v>
      </c>
      <c r="B145" s="2">
        <f>IFERROR(__xludf.DUMMYFUNCTION("""COMPUTED_VALUE"""),1138.68)</f>
        <v>1138.68</v>
      </c>
      <c r="C145" s="2">
        <f>IFERROR(__xludf.DUMMYFUNCTION("""COMPUTED_VALUE"""),1143.15)</f>
        <v>1143.15</v>
      </c>
      <c r="D145" s="2">
        <f>IFERROR(__xludf.DUMMYFUNCTION("""COMPUTED_VALUE"""),1053.84)</f>
        <v>1053.84</v>
      </c>
      <c r="E145" s="2">
        <f>IFERROR(__xludf.DUMMYFUNCTION("""COMPUTED_VALUE"""),1080.63)</f>
        <v>1080.63</v>
      </c>
      <c r="F145" s="2">
        <f>IFERROR(__xludf.DUMMYFUNCTION("""COMPUTED_VALUE"""),8.89104E7)</f>
        <v>88910400</v>
      </c>
      <c r="G145" s="2">
        <f t="shared" si="1"/>
        <v>89.31</v>
      </c>
    </row>
    <row r="146" ht="15.75" customHeight="1">
      <c r="A146" s="1">
        <f>IFERROR(__xludf.DUMMYFUNCTION("""COMPUTED_VALUE"""),44047.66666666667)</f>
        <v>44047.66667</v>
      </c>
      <c r="B146" s="2">
        <f>IFERROR(__xludf.DUMMYFUNCTION("""COMPUTED_VALUE"""),1094.03)</f>
        <v>1094.03</v>
      </c>
      <c r="C146" s="2">
        <f>IFERROR(__xludf.DUMMYFUNCTION("""COMPUTED_VALUE"""),1147.62)</f>
        <v>1147.62</v>
      </c>
      <c r="D146" s="2">
        <f>IFERROR(__xludf.DUMMYFUNCTION("""COMPUTED_VALUE"""),1089.56)</f>
        <v>1089.56</v>
      </c>
      <c r="E146" s="2">
        <f>IFERROR(__xludf.DUMMYFUNCTION("""COMPUTED_VALUE"""),1143.15)</f>
        <v>1143.15</v>
      </c>
      <c r="F146" s="2">
        <f>IFERROR(__xludf.DUMMYFUNCTION("""COMPUTED_VALUE"""),6.83398E7)</f>
        <v>68339800</v>
      </c>
      <c r="G146" s="2">
        <f t="shared" si="1"/>
        <v>66.99</v>
      </c>
    </row>
    <row r="147" ht="15.75" customHeight="1">
      <c r="A147" s="1">
        <f>IFERROR(__xludf.DUMMYFUNCTION("""COMPUTED_VALUE"""),44048.66666666667)</f>
        <v>44048.66667</v>
      </c>
      <c r="B147" s="2">
        <f>IFERROR(__xludf.DUMMYFUNCTION("""COMPUTED_VALUE"""),1152.08)</f>
        <v>1152.08</v>
      </c>
      <c r="C147" s="2">
        <f>IFERROR(__xludf.DUMMYFUNCTION("""COMPUTED_VALUE"""),1187.8)</f>
        <v>1187.8</v>
      </c>
      <c r="D147" s="2">
        <f>IFERROR(__xludf.DUMMYFUNCTION("""COMPUTED_VALUE"""),1129.75)</f>
        <v>1129.75</v>
      </c>
      <c r="E147" s="2">
        <f>IFERROR(__xludf.DUMMYFUNCTION("""COMPUTED_VALUE"""),1178.87)</f>
        <v>1178.87</v>
      </c>
      <c r="F147" s="2">
        <f>IFERROR(__xludf.DUMMYFUNCTION("""COMPUTED_VALUE"""),1.323553E8)</f>
        <v>132355300</v>
      </c>
      <c r="G147" s="2">
        <f t="shared" si="1"/>
        <v>58.05</v>
      </c>
    </row>
    <row r="148" ht="15.75" customHeight="1">
      <c r="A148" s="1">
        <f>IFERROR(__xludf.DUMMYFUNCTION("""COMPUTED_VALUE"""),44049.66666666667)</f>
        <v>44049.66667</v>
      </c>
      <c r="B148" s="2">
        <f>IFERROR(__xludf.DUMMYFUNCTION("""COMPUTED_VALUE"""),1183.34)</f>
        <v>1183.34</v>
      </c>
      <c r="C148" s="2">
        <f>IFERROR(__xludf.DUMMYFUNCTION("""COMPUTED_VALUE"""),1205.67)</f>
        <v>1205.67</v>
      </c>
      <c r="D148" s="2">
        <f>IFERROR(__xludf.DUMMYFUNCTION("""COMPUTED_VALUE"""),1174.41)</f>
        <v>1174.41</v>
      </c>
      <c r="E148" s="2">
        <f>IFERROR(__xludf.DUMMYFUNCTION("""COMPUTED_VALUE"""),1196.74)</f>
        <v>1196.74</v>
      </c>
      <c r="F148" s="2">
        <f>IFERROR(__xludf.DUMMYFUNCTION("""COMPUTED_VALUE"""),7.97704E7)</f>
        <v>79770400</v>
      </c>
      <c r="G148" s="2">
        <f t="shared" si="1"/>
        <v>31.26</v>
      </c>
    </row>
    <row r="149" ht="15.75" customHeight="1">
      <c r="A149" s="1">
        <f>IFERROR(__xludf.DUMMYFUNCTION("""COMPUTED_VALUE"""),44050.66666666667)</f>
        <v>44050.66667</v>
      </c>
      <c r="B149" s="2">
        <f>IFERROR(__xludf.DUMMYFUNCTION("""COMPUTED_VALUE"""),1196.74)</f>
        <v>1196.74</v>
      </c>
      <c r="C149" s="2">
        <f>IFERROR(__xludf.DUMMYFUNCTION("""COMPUTED_VALUE"""),1205.67)</f>
        <v>1205.67</v>
      </c>
      <c r="D149" s="2">
        <f>IFERROR(__xludf.DUMMYFUNCTION("""COMPUTED_VALUE"""),1169.94)</f>
        <v>1169.94</v>
      </c>
      <c r="E149" s="2">
        <f>IFERROR(__xludf.DUMMYFUNCTION("""COMPUTED_VALUE"""),1187.8)</f>
        <v>1187.8</v>
      </c>
      <c r="F149" s="2">
        <f>IFERROR(__xludf.DUMMYFUNCTION("""COMPUTED_VALUE"""),3.5807E7)</f>
        <v>35807000</v>
      </c>
      <c r="G149" s="2">
        <f t="shared" si="1"/>
        <v>35.73</v>
      </c>
    </row>
    <row r="150" ht="15.75" customHeight="1">
      <c r="A150" s="1">
        <f>IFERROR(__xludf.DUMMYFUNCTION("""COMPUTED_VALUE"""),44053.66666666667)</f>
        <v>44053.66667</v>
      </c>
      <c r="B150" s="2">
        <f>IFERROR(__xludf.DUMMYFUNCTION("""COMPUTED_VALUE"""),1192.27)</f>
        <v>1192.27</v>
      </c>
      <c r="C150" s="2">
        <f>IFERROR(__xludf.DUMMYFUNCTION("""COMPUTED_VALUE"""),1196.74)</f>
        <v>1196.74</v>
      </c>
      <c r="D150" s="2">
        <f>IFERROR(__xludf.DUMMYFUNCTION("""COMPUTED_VALUE"""),1174.41)</f>
        <v>1174.41</v>
      </c>
      <c r="E150" s="2">
        <f>IFERROR(__xludf.DUMMYFUNCTION("""COMPUTED_VALUE"""),1192.27)</f>
        <v>1192.27</v>
      </c>
      <c r="F150" s="2">
        <f>IFERROR(__xludf.DUMMYFUNCTION("""COMPUTED_VALUE"""),2.15867E7)</f>
        <v>21586700</v>
      </c>
      <c r="G150" s="2">
        <f t="shared" si="1"/>
        <v>22.33</v>
      </c>
    </row>
    <row r="151" ht="15.75" customHeight="1">
      <c r="A151" s="1">
        <f>IFERROR(__xludf.DUMMYFUNCTION("""COMPUTED_VALUE"""),44054.66666666667)</f>
        <v>44054.66667</v>
      </c>
      <c r="B151" s="2">
        <f>IFERROR(__xludf.DUMMYFUNCTION("""COMPUTED_VALUE"""),1196.74)</f>
        <v>1196.74</v>
      </c>
      <c r="C151" s="2">
        <f>IFERROR(__xludf.DUMMYFUNCTION("""COMPUTED_VALUE"""),1294.97)</f>
        <v>1294.97</v>
      </c>
      <c r="D151" s="2">
        <f>IFERROR(__xludf.DUMMYFUNCTION("""COMPUTED_VALUE"""),1192.27)</f>
        <v>1192.27</v>
      </c>
      <c r="E151" s="2">
        <f>IFERROR(__xludf.DUMMYFUNCTION("""COMPUTED_VALUE"""),1259.25)</f>
        <v>1259.25</v>
      </c>
      <c r="F151" s="2">
        <f>IFERROR(__xludf.DUMMYFUNCTION("""COMPUTED_VALUE"""),1.759458E8)</f>
        <v>175945800</v>
      </c>
      <c r="G151" s="2">
        <f t="shared" si="1"/>
        <v>102.7</v>
      </c>
    </row>
    <row r="152" ht="15.75" customHeight="1">
      <c r="A152" s="1">
        <f>IFERROR(__xludf.DUMMYFUNCTION("""COMPUTED_VALUE"""),44055.66666666667)</f>
        <v>44055.66667</v>
      </c>
      <c r="B152" s="2">
        <f>IFERROR(__xludf.DUMMYFUNCTION("""COMPUTED_VALUE"""),1259.25)</f>
        <v>1259.25</v>
      </c>
      <c r="C152" s="2">
        <f>IFERROR(__xludf.DUMMYFUNCTION("""COMPUTED_VALUE"""),1330.7)</f>
        <v>1330.7</v>
      </c>
      <c r="D152" s="2">
        <f>IFERROR(__xludf.DUMMYFUNCTION("""COMPUTED_VALUE"""),1245.85)</f>
        <v>1245.85</v>
      </c>
      <c r="E152" s="2">
        <f>IFERROR(__xludf.DUMMYFUNCTION("""COMPUTED_VALUE"""),1308.37)</f>
        <v>1308.37</v>
      </c>
      <c r="F152" s="2">
        <f>IFERROR(__xludf.DUMMYFUNCTION("""COMPUTED_VALUE"""),1.386334E8)</f>
        <v>138633400</v>
      </c>
      <c r="G152" s="2">
        <f t="shared" si="1"/>
        <v>84.85</v>
      </c>
    </row>
    <row r="153" ht="15.75" customHeight="1">
      <c r="A153" s="1">
        <f>IFERROR(__xludf.DUMMYFUNCTION("""COMPUTED_VALUE"""),44056.66666666667)</f>
        <v>44056.66667</v>
      </c>
      <c r="B153" s="2">
        <f>IFERROR(__xludf.DUMMYFUNCTION("""COMPUTED_VALUE"""),1308.37)</f>
        <v>1308.37</v>
      </c>
      <c r="C153" s="2">
        <f>IFERROR(__xludf.DUMMYFUNCTION("""COMPUTED_VALUE"""),1353.03)</f>
        <v>1353.03</v>
      </c>
      <c r="D153" s="2">
        <f>IFERROR(__xludf.DUMMYFUNCTION("""COMPUTED_VALUE"""),1299.44)</f>
        <v>1299.44</v>
      </c>
      <c r="E153" s="2">
        <f>IFERROR(__xludf.DUMMYFUNCTION("""COMPUTED_VALUE"""),1299.44)</f>
        <v>1299.44</v>
      </c>
      <c r="F153" s="2">
        <f>IFERROR(__xludf.DUMMYFUNCTION("""COMPUTED_VALUE"""),6.5193E7)</f>
        <v>65193000</v>
      </c>
      <c r="G153" s="2">
        <f t="shared" si="1"/>
        <v>53.59</v>
      </c>
    </row>
    <row r="154" ht="15.75" customHeight="1">
      <c r="A154" s="1">
        <f>IFERROR(__xludf.DUMMYFUNCTION("""COMPUTED_VALUE"""),44057.66666666667)</f>
        <v>44057.66667</v>
      </c>
      <c r="B154" s="2">
        <f>IFERROR(__xludf.DUMMYFUNCTION("""COMPUTED_VALUE"""),1299.44)</f>
        <v>1299.44</v>
      </c>
      <c r="C154" s="2">
        <f>IFERROR(__xludf.DUMMYFUNCTION("""COMPUTED_VALUE"""),1312.84)</f>
        <v>1312.84</v>
      </c>
      <c r="D154" s="2">
        <f>IFERROR(__xludf.DUMMYFUNCTION("""COMPUTED_VALUE"""),1281.58)</f>
        <v>1281.58</v>
      </c>
      <c r="E154" s="2">
        <f>IFERROR(__xludf.DUMMYFUNCTION("""COMPUTED_VALUE"""),1294.97)</f>
        <v>1294.97</v>
      </c>
      <c r="F154" s="2">
        <f>IFERROR(__xludf.DUMMYFUNCTION("""COMPUTED_VALUE"""),2.70896E7)</f>
        <v>27089600</v>
      </c>
      <c r="G154" s="2">
        <f t="shared" si="1"/>
        <v>31.26</v>
      </c>
    </row>
    <row r="155" ht="15.75" customHeight="1">
      <c r="A155" s="1">
        <f>IFERROR(__xludf.DUMMYFUNCTION("""COMPUTED_VALUE"""),44061.66666666667)</f>
        <v>44061.66667</v>
      </c>
      <c r="B155" s="2">
        <f>IFERROR(__xludf.DUMMYFUNCTION("""COMPUTED_VALUE"""),1294.97)</f>
        <v>1294.97</v>
      </c>
      <c r="C155" s="2">
        <f>IFERROR(__xludf.DUMMYFUNCTION("""COMPUTED_VALUE"""),1370.89)</f>
        <v>1370.89</v>
      </c>
      <c r="D155" s="2">
        <f>IFERROR(__xludf.DUMMYFUNCTION("""COMPUTED_VALUE"""),1294.97)</f>
        <v>1294.97</v>
      </c>
      <c r="E155" s="2">
        <f>IFERROR(__xludf.DUMMYFUNCTION("""COMPUTED_VALUE"""),1344.09)</f>
        <v>1344.09</v>
      </c>
      <c r="F155" s="2">
        <f>IFERROR(__xludf.DUMMYFUNCTION("""COMPUTED_VALUE"""),7.36557E7)</f>
        <v>73655700</v>
      </c>
      <c r="G155" s="2">
        <f t="shared" si="1"/>
        <v>75.92</v>
      </c>
    </row>
    <row r="156" ht="15.75" customHeight="1">
      <c r="A156" s="1">
        <f>IFERROR(__xludf.DUMMYFUNCTION("""COMPUTED_VALUE"""),44062.66666666667)</f>
        <v>44062.66667</v>
      </c>
      <c r="B156" s="2">
        <f>IFERROR(__xludf.DUMMYFUNCTION("""COMPUTED_VALUE"""),1348.56)</f>
        <v>1348.56</v>
      </c>
      <c r="C156" s="2">
        <f>IFERROR(__xludf.DUMMYFUNCTION("""COMPUTED_VALUE"""),1393.21)</f>
        <v>1393.21</v>
      </c>
      <c r="D156" s="2">
        <f>IFERROR(__xludf.DUMMYFUNCTION("""COMPUTED_VALUE"""),1339.63)</f>
        <v>1339.63</v>
      </c>
      <c r="E156" s="2">
        <f>IFERROR(__xludf.DUMMYFUNCTION("""COMPUTED_VALUE"""),1348.56)</f>
        <v>1348.56</v>
      </c>
      <c r="F156" s="2">
        <f>IFERROR(__xludf.DUMMYFUNCTION("""COMPUTED_VALUE"""),7.26304E7)</f>
        <v>72630400</v>
      </c>
      <c r="G156" s="2">
        <f t="shared" si="1"/>
        <v>53.58</v>
      </c>
    </row>
    <row r="157" ht="15.75" customHeight="1">
      <c r="A157" s="1">
        <f>IFERROR(__xludf.DUMMYFUNCTION("""COMPUTED_VALUE"""),44067.66666666667)</f>
        <v>44067.66667</v>
      </c>
      <c r="B157" s="2">
        <f>IFERROR(__xludf.DUMMYFUNCTION("""COMPUTED_VALUE"""),1353.03)</f>
        <v>1353.03</v>
      </c>
      <c r="C157" s="2">
        <f>IFERROR(__xludf.DUMMYFUNCTION("""COMPUTED_VALUE"""),1375.35)</f>
        <v>1375.35</v>
      </c>
      <c r="D157" s="2">
        <f>IFERROR(__xludf.DUMMYFUNCTION("""COMPUTED_VALUE"""),1335.16)</f>
        <v>1335.16</v>
      </c>
      <c r="E157" s="2">
        <f>IFERROR(__xludf.DUMMYFUNCTION("""COMPUTED_VALUE"""),1361.96)</f>
        <v>1361.96</v>
      </c>
      <c r="F157" s="2">
        <f>IFERROR(__xludf.DUMMYFUNCTION("""COMPUTED_VALUE"""),4.02204E7)</f>
        <v>40220400</v>
      </c>
      <c r="G157" s="2">
        <f t="shared" si="1"/>
        <v>40.19</v>
      </c>
    </row>
    <row r="158" ht="15.75" customHeight="1">
      <c r="A158" s="1">
        <f>IFERROR(__xludf.DUMMYFUNCTION("""COMPUTED_VALUE"""),44068.66666666667)</f>
        <v>44068.66667</v>
      </c>
      <c r="B158" s="2">
        <f>IFERROR(__xludf.DUMMYFUNCTION("""COMPUTED_VALUE"""),1370.89)</f>
        <v>1370.89</v>
      </c>
      <c r="C158" s="2">
        <f>IFERROR(__xludf.DUMMYFUNCTION("""COMPUTED_VALUE"""),1402.14)</f>
        <v>1402.14</v>
      </c>
      <c r="D158" s="2">
        <f>IFERROR(__xludf.DUMMYFUNCTION("""COMPUTED_VALUE"""),1361.96)</f>
        <v>1361.96</v>
      </c>
      <c r="E158" s="2">
        <f>IFERROR(__xludf.DUMMYFUNCTION("""COMPUTED_VALUE"""),1402.14)</f>
        <v>1402.14</v>
      </c>
      <c r="F158" s="2">
        <f>IFERROR(__xludf.DUMMYFUNCTION("""COMPUTED_VALUE"""),5.34642E7)</f>
        <v>53464200</v>
      </c>
      <c r="G158" s="2">
        <f t="shared" si="1"/>
        <v>40.18</v>
      </c>
    </row>
    <row r="159" ht="15.75" customHeight="1">
      <c r="A159" s="1">
        <f>IFERROR(__xludf.DUMMYFUNCTION("""COMPUTED_VALUE"""),44069.66666666667)</f>
        <v>44069.66667</v>
      </c>
      <c r="B159" s="2">
        <f>IFERROR(__xludf.DUMMYFUNCTION("""COMPUTED_VALUE"""),1411.08)</f>
        <v>1411.08</v>
      </c>
      <c r="C159" s="2">
        <f>IFERROR(__xludf.DUMMYFUNCTION("""COMPUTED_VALUE"""),1411.08)</f>
        <v>1411.08</v>
      </c>
      <c r="D159" s="2">
        <f>IFERROR(__xludf.DUMMYFUNCTION("""COMPUTED_VALUE"""),1384.28)</f>
        <v>1384.28</v>
      </c>
      <c r="E159" s="2">
        <f>IFERROR(__xludf.DUMMYFUNCTION("""COMPUTED_VALUE"""),1397.68)</f>
        <v>1397.68</v>
      </c>
      <c r="F159" s="2">
        <f>IFERROR(__xludf.DUMMYFUNCTION("""COMPUTED_VALUE"""),2.81513E7)</f>
        <v>28151300</v>
      </c>
      <c r="G159" s="2">
        <f t="shared" si="1"/>
        <v>26.8</v>
      </c>
    </row>
    <row r="160" ht="15.75" customHeight="1">
      <c r="A160" s="1">
        <f>IFERROR(__xludf.DUMMYFUNCTION("""COMPUTED_VALUE"""),44070.66666666667)</f>
        <v>44070.66667</v>
      </c>
      <c r="B160" s="2">
        <f>IFERROR(__xludf.DUMMYFUNCTION("""COMPUTED_VALUE"""),1397.68)</f>
        <v>1397.68</v>
      </c>
      <c r="C160" s="2">
        <f>IFERROR(__xludf.DUMMYFUNCTION("""COMPUTED_VALUE"""),1446.8)</f>
        <v>1446.8</v>
      </c>
      <c r="D160" s="2">
        <f>IFERROR(__xludf.DUMMYFUNCTION("""COMPUTED_VALUE"""),1397.68)</f>
        <v>1397.68</v>
      </c>
      <c r="E160" s="2">
        <f>IFERROR(__xludf.DUMMYFUNCTION("""COMPUTED_VALUE"""),1415.54)</f>
        <v>1415.54</v>
      </c>
      <c r="F160" s="2">
        <f>IFERROR(__xludf.DUMMYFUNCTION("""COMPUTED_VALUE"""),4.72082E7)</f>
        <v>47208200</v>
      </c>
      <c r="G160" s="2">
        <f t="shared" si="1"/>
        <v>49.12</v>
      </c>
    </row>
    <row r="161" ht="15.75" customHeight="1">
      <c r="A161" s="1">
        <f>IFERROR(__xludf.DUMMYFUNCTION("""COMPUTED_VALUE"""),44071.66666666667)</f>
        <v>44071.66667</v>
      </c>
      <c r="B161" s="2">
        <f>IFERROR(__xludf.DUMMYFUNCTION("""COMPUTED_VALUE"""),1424.47)</f>
        <v>1424.47</v>
      </c>
      <c r="C161" s="2">
        <f>IFERROR(__xludf.DUMMYFUNCTION("""COMPUTED_VALUE"""),1428.94)</f>
        <v>1428.94</v>
      </c>
      <c r="D161" s="2">
        <f>IFERROR(__xludf.DUMMYFUNCTION("""COMPUTED_VALUE"""),1388.75)</f>
        <v>1388.75</v>
      </c>
      <c r="E161" s="2">
        <f>IFERROR(__xludf.DUMMYFUNCTION("""COMPUTED_VALUE"""),1420.01)</f>
        <v>1420.01</v>
      </c>
      <c r="F161" s="2">
        <f>IFERROR(__xludf.DUMMYFUNCTION("""COMPUTED_VALUE"""),2.32426E7)</f>
        <v>23242600</v>
      </c>
      <c r="G161" s="2">
        <f t="shared" si="1"/>
        <v>40.19</v>
      </c>
    </row>
    <row r="162" ht="15.75" customHeight="1">
      <c r="A162" s="1">
        <f>IFERROR(__xludf.DUMMYFUNCTION("""COMPUTED_VALUE"""),44074.66666666667)</f>
        <v>44074.66667</v>
      </c>
      <c r="B162" s="2">
        <f>IFERROR(__xludf.DUMMYFUNCTION("""COMPUTED_VALUE"""),1420.01)</f>
        <v>1420.01</v>
      </c>
      <c r="C162" s="2">
        <f>IFERROR(__xludf.DUMMYFUNCTION("""COMPUTED_VALUE"""),1437.87)</f>
        <v>1437.87</v>
      </c>
      <c r="D162" s="2">
        <f>IFERROR(__xludf.DUMMYFUNCTION("""COMPUTED_VALUE"""),1379.82)</f>
        <v>1379.82</v>
      </c>
      <c r="E162" s="2">
        <f>IFERROR(__xludf.DUMMYFUNCTION("""COMPUTED_VALUE"""),1406.61)</f>
        <v>1406.61</v>
      </c>
      <c r="F162" s="2">
        <f>IFERROR(__xludf.DUMMYFUNCTION("""COMPUTED_VALUE"""),3.84186E7)</f>
        <v>38418600</v>
      </c>
      <c r="G162" s="2">
        <f t="shared" si="1"/>
        <v>58.05</v>
      </c>
    </row>
    <row r="163" ht="15.75" customHeight="1">
      <c r="A163" s="1">
        <f>IFERROR(__xludf.DUMMYFUNCTION("""COMPUTED_VALUE"""),44075.66666666667)</f>
        <v>44075.66667</v>
      </c>
      <c r="B163" s="2">
        <f>IFERROR(__xludf.DUMMYFUNCTION("""COMPUTED_VALUE"""),1366.42)</f>
        <v>1366.42</v>
      </c>
      <c r="C163" s="2">
        <f>IFERROR(__xludf.DUMMYFUNCTION("""COMPUTED_VALUE"""),1424.47)</f>
        <v>1424.47</v>
      </c>
      <c r="D163" s="2">
        <f>IFERROR(__xludf.DUMMYFUNCTION("""COMPUTED_VALUE"""),1366.42)</f>
        <v>1366.42</v>
      </c>
      <c r="E163" s="2">
        <f>IFERROR(__xludf.DUMMYFUNCTION("""COMPUTED_VALUE"""),1411.08)</f>
        <v>1411.08</v>
      </c>
      <c r="F163" s="2">
        <f>IFERROR(__xludf.DUMMYFUNCTION("""COMPUTED_VALUE"""),2.08068E7)</f>
        <v>20806800</v>
      </c>
      <c r="G163" s="2">
        <f t="shared" si="1"/>
        <v>58.05</v>
      </c>
    </row>
    <row r="164" ht="15.75" customHeight="1">
      <c r="A164" s="1">
        <f>IFERROR(__xludf.DUMMYFUNCTION("""COMPUTED_VALUE"""),44076.66666666667)</f>
        <v>44076.66667</v>
      </c>
      <c r="B164" s="2">
        <f>IFERROR(__xludf.DUMMYFUNCTION("""COMPUTED_VALUE"""),1420.01)</f>
        <v>1420.01</v>
      </c>
      <c r="C164" s="2">
        <f>IFERROR(__xludf.DUMMYFUNCTION("""COMPUTED_VALUE"""),1420.01)</f>
        <v>1420.01</v>
      </c>
      <c r="D164" s="2">
        <f>IFERROR(__xludf.DUMMYFUNCTION("""COMPUTED_VALUE"""),1397.68)</f>
        <v>1397.68</v>
      </c>
      <c r="E164" s="2">
        <f>IFERROR(__xludf.DUMMYFUNCTION("""COMPUTED_VALUE"""),1415.54)</f>
        <v>1415.54</v>
      </c>
      <c r="F164" s="2">
        <f>IFERROR(__xludf.DUMMYFUNCTION("""COMPUTED_VALUE"""),2.08352E7)</f>
        <v>20835200</v>
      </c>
      <c r="G164" s="2">
        <f t="shared" si="1"/>
        <v>22.33</v>
      </c>
    </row>
    <row r="165" ht="15.75" customHeight="1">
      <c r="A165" s="1">
        <f>IFERROR(__xludf.DUMMYFUNCTION("""COMPUTED_VALUE"""),44077.66666666667)</f>
        <v>44077.66667</v>
      </c>
      <c r="B165" s="2">
        <f>IFERROR(__xludf.DUMMYFUNCTION("""COMPUTED_VALUE"""),1420.01)</f>
        <v>1420.01</v>
      </c>
      <c r="C165" s="2">
        <f>IFERROR(__xludf.DUMMYFUNCTION("""COMPUTED_VALUE"""),1428.94)</f>
        <v>1428.94</v>
      </c>
      <c r="D165" s="2">
        <f>IFERROR(__xludf.DUMMYFUNCTION("""COMPUTED_VALUE"""),1397.68)</f>
        <v>1397.68</v>
      </c>
      <c r="E165" s="2">
        <f>IFERROR(__xludf.DUMMYFUNCTION("""COMPUTED_VALUE"""),1397.68)</f>
        <v>1397.68</v>
      </c>
      <c r="F165" s="2">
        <f>IFERROR(__xludf.DUMMYFUNCTION("""COMPUTED_VALUE"""),2.50744E7)</f>
        <v>25074400</v>
      </c>
      <c r="G165" s="2">
        <f t="shared" si="1"/>
        <v>31.26</v>
      </c>
    </row>
    <row r="166" ht="15.75" customHeight="1">
      <c r="A166" s="1">
        <f>IFERROR(__xludf.DUMMYFUNCTION("""COMPUTED_VALUE"""),44078.66666666667)</f>
        <v>44078.66667</v>
      </c>
      <c r="B166" s="2">
        <f>IFERROR(__xludf.DUMMYFUNCTION("""COMPUTED_VALUE"""),1375.35)</f>
        <v>1375.35</v>
      </c>
      <c r="C166" s="2">
        <f>IFERROR(__xludf.DUMMYFUNCTION("""COMPUTED_VALUE"""),1397.68)</f>
        <v>1397.68</v>
      </c>
      <c r="D166" s="2">
        <f>IFERROR(__xludf.DUMMYFUNCTION("""COMPUTED_VALUE"""),1353.03)</f>
        <v>1353.03</v>
      </c>
      <c r="E166" s="2">
        <f>IFERROR(__xludf.DUMMYFUNCTION("""COMPUTED_VALUE"""),1388.75)</f>
        <v>1388.75</v>
      </c>
      <c r="F166" s="2">
        <f>IFERROR(__xludf.DUMMYFUNCTION("""COMPUTED_VALUE"""),1.84187E7)</f>
        <v>18418700</v>
      </c>
      <c r="G166" s="2">
        <f t="shared" si="1"/>
        <v>44.65</v>
      </c>
    </row>
    <row r="167" ht="15.75" customHeight="1">
      <c r="A167" s="1">
        <f>IFERROR(__xludf.DUMMYFUNCTION("""COMPUTED_VALUE"""),44081.66666666667)</f>
        <v>44081.66667</v>
      </c>
      <c r="B167" s="2">
        <f>IFERROR(__xludf.DUMMYFUNCTION("""COMPUTED_VALUE"""),1393.21)</f>
        <v>1393.21</v>
      </c>
      <c r="C167" s="2">
        <f>IFERROR(__xludf.DUMMYFUNCTION("""COMPUTED_VALUE"""),1397.68)</f>
        <v>1397.68</v>
      </c>
      <c r="D167" s="2">
        <f>IFERROR(__xludf.DUMMYFUNCTION("""COMPUTED_VALUE"""),1370.89)</f>
        <v>1370.89</v>
      </c>
      <c r="E167" s="2">
        <f>IFERROR(__xludf.DUMMYFUNCTION("""COMPUTED_VALUE"""),1379.82)</f>
        <v>1379.82</v>
      </c>
      <c r="F167" s="2">
        <f>IFERROR(__xludf.DUMMYFUNCTION("""COMPUTED_VALUE"""),1.39567E7)</f>
        <v>13956700</v>
      </c>
      <c r="G167" s="2">
        <f t="shared" si="1"/>
        <v>26.79</v>
      </c>
    </row>
    <row r="168" ht="15.75" customHeight="1">
      <c r="A168" s="1">
        <f>IFERROR(__xludf.DUMMYFUNCTION("""COMPUTED_VALUE"""),44082.66666666667)</f>
        <v>44082.66667</v>
      </c>
      <c r="B168" s="2">
        <f>IFERROR(__xludf.DUMMYFUNCTION("""COMPUTED_VALUE"""),1384.28)</f>
        <v>1384.28</v>
      </c>
      <c r="C168" s="2">
        <f>IFERROR(__xludf.DUMMYFUNCTION("""COMPUTED_VALUE"""),1397.68)</f>
        <v>1397.68</v>
      </c>
      <c r="D168" s="2">
        <f>IFERROR(__xludf.DUMMYFUNCTION("""COMPUTED_VALUE"""),1339.63)</f>
        <v>1339.63</v>
      </c>
      <c r="E168" s="2">
        <f>IFERROR(__xludf.DUMMYFUNCTION("""COMPUTED_VALUE"""),1339.63)</f>
        <v>1339.63</v>
      </c>
      <c r="F168" s="2">
        <f>IFERROR(__xludf.DUMMYFUNCTION("""COMPUTED_VALUE"""),3.04651E7)</f>
        <v>30465100</v>
      </c>
      <c r="G168" s="2">
        <f t="shared" si="1"/>
        <v>58.05</v>
      </c>
    </row>
    <row r="169" ht="15.75" customHeight="1">
      <c r="A169" s="1">
        <f>IFERROR(__xludf.DUMMYFUNCTION("""COMPUTED_VALUE"""),44083.66666666667)</f>
        <v>44083.66667</v>
      </c>
      <c r="B169" s="2">
        <f>IFERROR(__xludf.DUMMYFUNCTION("""COMPUTED_VALUE"""),1321.77)</f>
        <v>1321.77</v>
      </c>
      <c r="C169" s="2">
        <f>IFERROR(__xludf.DUMMYFUNCTION("""COMPUTED_VALUE"""),1321.77)</f>
        <v>1321.77</v>
      </c>
      <c r="D169" s="2">
        <f>IFERROR(__xludf.DUMMYFUNCTION("""COMPUTED_VALUE"""),1254.79)</f>
        <v>1254.79</v>
      </c>
      <c r="E169" s="2">
        <f>IFERROR(__xludf.DUMMYFUNCTION("""COMPUTED_VALUE"""),1259.25)</f>
        <v>1259.25</v>
      </c>
      <c r="F169" s="2">
        <f>IFERROR(__xludf.DUMMYFUNCTION("""COMPUTED_VALUE"""),7.91215E7)</f>
        <v>79121500</v>
      </c>
      <c r="G169" s="2">
        <f t="shared" si="1"/>
        <v>84.84</v>
      </c>
    </row>
    <row r="170" ht="15.75" customHeight="1">
      <c r="A170" s="1">
        <f>IFERROR(__xludf.DUMMYFUNCTION("""COMPUTED_VALUE"""),44084.66666666667)</f>
        <v>44084.66667</v>
      </c>
      <c r="B170" s="2">
        <f>IFERROR(__xludf.DUMMYFUNCTION("""COMPUTED_VALUE"""),1214.6)</f>
        <v>1214.6</v>
      </c>
      <c r="C170" s="2">
        <f>IFERROR(__xludf.DUMMYFUNCTION("""COMPUTED_VALUE"""),1219.06)</f>
        <v>1219.06</v>
      </c>
      <c r="D170" s="2">
        <f>IFERROR(__xludf.DUMMYFUNCTION("""COMPUTED_VALUE"""),1174.41)</f>
        <v>1174.41</v>
      </c>
      <c r="E170" s="2">
        <f>IFERROR(__xludf.DUMMYFUNCTION("""COMPUTED_VALUE"""),1174.41)</f>
        <v>1174.41</v>
      </c>
      <c r="F170" s="2">
        <f>IFERROR(__xludf.DUMMYFUNCTION("""COMPUTED_VALUE"""),5.48209E7)</f>
        <v>54820900</v>
      </c>
      <c r="G170" s="2">
        <f t="shared" si="1"/>
        <v>84.84</v>
      </c>
    </row>
    <row r="171" ht="15.75" customHeight="1">
      <c r="A171" s="1">
        <f>IFERROR(__xludf.DUMMYFUNCTION("""COMPUTED_VALUE"""),44085.66666666667)</f>
        <v>44085.66667</v>
      </c>
      <c r="B171" s="2">
        <f>IFERROR(__xludf.DUMMYFUNCTION("""COMPUTED_VALUE"""),1098.5)</f>
        <v>1098.5</v>
      </c>
      <c r="C171" s="2">
        <f>IFERROR(__xludf.DUMMYFUNCTION("""COMPUTED_VALUE"""),1223.53)</f>
        <v>1223.53</v>
      </c>
      <c r="D171" s="2">
        <f>IFERROR(__xludf.DUMMYFUNCTION("""COMPUTED_VALUE"""),1094.03)</f>
        <v>1094.03</v>
      </c>
      <c r="E171" s="2">
        <f>IFERROR(__xludf.DUMMYFUNCTION("""COMPUTED_VALUE"""),1187.8)</f>
        <v>1187.8</v>
      </c>
      <c r="F171" s="2">
        <f>IFERROR(__xludf.DUMMYFUNCTION("""COMPUTED_VALUE"""),1.604844E8)</f>
        <v>160484400</v>
      </c>
      <c r="G171" s="2">
        <f t="shared" si="1"/>
        <v>129.5</v>
      </c>
    </row>
    <row r="172" ht="15.75" customHeight="1">
      <c r="A172" s="1">
        <f>IFERROR(__xludf.DUMMYFUNCTION("""COMPUTED_VALUE"""),44088.66666666667)</f>
        <v>44088.66667</v>
      </c>
      <c r="B172" s="2">
        <f>IFERROR(__xludf.DUMMYFUNCTION("""COMPUTED_VALUE"""),1205.67)</f>
        <v>1205.67</v>
      </c>
      <c r="C172" s="2">
        <f>IFERROR(__xludf.DUMMYFUNCTION("""COMPUTED_VALUE"""),1245.85)</f>
        <v>1245.85</v>
      </c>
      <c r="D172" s="2">
        <f>IFERROR(__xludf.DUMMYFUNCTION("""COMPUTED_VALUE"""),1192.27)</f>
        <v>1192.27</v>
      </c>
      <c r="E172" s="2">
        <f>IFERROR(__xludf.DUMMYFUNCTION("""COMPUTED_VALUE"""),1232.46)</f>
        <v>1232.46</v>
      </c>
      <c r="F172" s="2">
        <f>IFERROR(__xludf.DUMMYFUNCTION("""COMPUTED_VALUE"""),9.12907E7)</f>
        <v>91290700</v>
      </c>
      <c r="G172" s="2">
        <f t="shared" si="1"/>
        <v>58.05</v>
      </c>
    </row>
    <row r="173" ht="15.75" customHeight="1">
      <c r="A173" s="1">
        <f>IFERROR(__xludf.DUMMYFUNCTION("""COMPUTED_VALUE"""),44089.66666666667)</f>
        <v>44089.66667</v>
      </c>
      <c r="B173" s="2">
        <f>IFERROR(__xludf.DUMMYFUNCTION("""COMPUTED_VALUE"""),1245.85)</f>
        <v>1245.85</v>
      </c>
      <c r="C173" s="2">
        <f>IFERROR(__xludf.DUMMYFUNCTION("""COMPUTED_VALUE"""),1259.25)</f>
        <v>1259.25</v>
      </c>
      <c r="D173" s="2">
        <f>IFERROR(__xludf.DUMMYFUNCTION("""COMPUTED_VALUE"""),1214.6)</f>
        <v>1214.6</v>
      </c>
      <c r="E173" s="2">
        <f>IFERROR(__xludf.DUMMYFUNCTION("""COMPUTED_VALUE"""),1232.46)</f>
        <v>1232.46</v>
      </c>
      <c r="F173" s="2">
        <f>IFERROR(__xludf.DUMMYFUNCTION("""COMPUTED_VALUE"""),5.30066E7)</f>
        <v>53006600</v>
      </c>
      <c r="G173" s="2">
        <f t="shared" si="1"/>
        <v>44.65</v>
      </c>
    </row>
    <row r="174" ht="15.75" customHeight="1">
      <c r="A174" s="1">
        <f>IFERROR(__xludf.DUMMYFUNCTION("""COMPUTED_VALUE"""),44090.66666666667)</f>
        <v>44090.66667</v>
      </c>
      <c r="B174" s="2">
        <f>IFERROR(__xludf.DUMMYFUNCTION("""COMPUTED_VALUE"""),1232.46)</f>
        <v>1232.46</v>
      </c>
      <c r="C174" s="2">
        <f>IFERROR(__xludf.DUMMYFUNCTION("""COMPUTED_VALUE"""),1250.32)</f>
        <v>1250.32</v>
      </c>
      <c r="D174" s="2">
        <f>IFERROR(__xludf.DUMMYFUNCTION("""COMPUTED_VALUE"""),1187.8)</f>
        <v>1187.8</v>
      </c>
      <c r="E174" s="2">
        <f>IFERROR(__xludf.DUMMYFUNCTION("""COMPUTED_VALUE"""),1196.74)</f>
        <v>1196.74</v>
      </c>
      <c r="F174" s="2">
        <f>IFERROR(__xludf.DUMMYFUNCTION("""COMPUTED_VALUE"""),2.55982E7)</f>
        <v>25598200</v>
      </c>
      <c r="G174" s="2">
        <f t="shared" si="1"/>
        <v>62.52</v>
      </c>
    </row>
    <row r="175" ht="15.75" customHeight="1">
      <c r="A175" s="1">
        <f>IFERROR(__xludf.DUMMYFUNCTION("""COMPUTED_VALUE"""),44091.66666666667)</f>
        <v>44091.66667</v>
      </c>
      <c r="B175" s="2">
        <f>IFERROR(__xludf.DUMMYFUNCTION("""COMPUTED_VALUE"""),1187.8)</f>
        <v>1187.8</v>
      </c>
      <c r="C175" s="2">
        <f>IFERROR(__xludf.DUMMYFUNCTION("""COMPUTED_VALUE"""),1214.6)</f>
        <v>1214.6</v>
      </c>
      <c r="D175" s="2">
        <f>IFERROR(__xludf.DUMMYFUNCTION("""COMPUTED_VALUE"""),1152.08)</f>
        <v>1152.08</v>
      </c>
      <c r="E175" s="2">
        <f>IFERROR(__xludf.DUMMYFUNCTION("""COMPUTED_VALUE"""),1161.01)</f>
        <v>1161.01</v>
      </c>
      <c r="F175" s="2">
        <f>IFERROR(__xludf.DUMMYFUNCTION("""COMPUTED_VALUE"""),3.07029E7)</f>
        <v>30702900</v>
      </c>
      <c r="G175" s="2">
        <f t="shared" si="1"/>
        <v>62.52</v>
      </c>
    </row>
    <row r="176" ht="15.75" customHeight="1">
      <c r="A176" s="1">
        <f>IFERROR(__xludf.DUMMYFUNCTION("""COMPUTED_VALUE"""),44092.66666666667)</f>
        <v>44092.66667</v>
      </c>
      <c r="B176" s="2">
        <f>IFERROR(__xludf.DUMMYFUNCTION("""COMPUTED_VALUE"""),1161.01)</f>
        <v>1161.01</v>
      </c>
      <c r="C176" s="2">
        <f>IFERROR(__xludf.DUMMYFUNCTION("""COMPUTED_VALUE"""),1192.27)</f>
        <v>1192.27</v>
      </c>
      <c r="D176" s="2">
        <f>IFERROR(__xludf.DUMMYFUNCTION("""COMPUTED_VALUE"""),1147.62)</f>
        <v>1147.62</v>
      </c>
      <c r="E176" s="2">
        <f>IFERROR(__xludf.DUMMYFUNCTION("""COMPUTED_VALUE"""),1174.41)</f>
        <v>1174.41</v>
      </c>
      <c r="F176" s="2">
        <f>IFERROR(__xludf.DUMMYFUNCTION("""COMPUTED_VALUE"""),3.32239E7)</f>
        <v>33223900</v>
      </c>
      <c r="G176" s="2">
        <f t="shared" si="1"/>
        <v>44.65</v>
      </c>
    </row>
    <row r="177" ht="15.75" customHeight="1">
      <c r="A177" s="1">
        <f>IFERROR(__xludf.DUMMYFUNCTION("""COMPUTED_VALUE"""),44095.66666666667)</f>
        <v>44095.66667</v>
      </c>
      <c r="B177" s="2">
        <f>IFERROR(__xludf.DUMMYFUNCTION("""COMPUTED_VALUE"""),1174.41)</f>
        <v>1174.41</v>
      </c>
      <c r="C177" s="2">
        <f>IFERROR(__xludf.DUMMYFUNCTION("""COMPUTED_VALUE"""),1178.87)</f>
        <v>1178.87</v>
      </c>
      <c r="D177" s="2">
        <f>IFERROR(__xludf.DUMMYFUNCTION("""COMPUTED_VALUE"""),1107.43)</f>
        <v>1107.43</v>
      </c>
      <c r="E177" s="2">
        <f>IFERROR(__xludf.DUMMYFUNCTION("""COMPUTED_VALUE"""),1116.36)</f>
        <v>1116.36</v>
      </c>
      <c r="F177" s="2">
        <f>IFERROR(__xludf.DUMMYFUNCTION("""COMPUTED_VALUE"""),4.0026E7)</f>
        <v>40026000</v>
      </c>
      <c r="G177" s="2">
        <f t="shared" si="1"/>
        <v>71.44</v>
      </c>
    </row>
    <row r="178" ht="15.75" customHeight="1">
      <c r="A178" s="1">
        <f>IFERROR(__xludf.DUMMYFUNCTION("""COMPUTED_VALUE"""),44096.66666666667)</f>
        <v>44096.66667</v>
      </c>
      <c r="B178" s="2">
        <f>IFERROR(__xludf.DUMMYFUNCTION("""COMPUTED_VALUE"""),1094.03)</f>
        <v>1094.03</v>
      </c>
      <c r="C178" s="2">
        <f>IFERROR(__xludf.DUMMYFUNCTION("""COMPUTED_VALUE"""),1107.43)</f>
        <v>1107.43</v>
      </c>
      <c r="D178" s="2">
        <f>IFERROR(__xludf.DUMMYFUNCTION("""COMPUTED_VALUE"""),1062.77)</f>
        <v>1062.77</v>
      </c>
      <c r="E178" s="2">
        <f>IFERROR(__xludf.DUMMYFUNCTION("""COMPUTED_VALUE"""),1071.7)</f>
        <v>1071.7</v>
      </c>
      <c r="F178" s="2">
        <f>IFERROR(__xludf.DUMMYFUNCTION("""COMPUTED_VALUE"""),5.82487E7)</f>
        <v>58248700</v>
      </c>
      <c r="G178" s="2">
        <f t="shared" si="1"/>
        <v>53.59</v>
      </c>
    </row>
    <row r="179" ht="15.75" customHeight="1">
      <c r="A179" s="1">
        <f>IFERROR(__xludf.DUMMYFUNCTION("""COMPUTED_VALUE"""),44097.66666666667)</f>
        <v>44097.66667</v>
      </c>
      <c r="B179" s="2">
        <f>IFERROR(__xludf.DUMMYFUNCTION("""COMPUTED_VALUE"""),1080.63)</f>
        <v>1080.63</v>
      </c>
      <c r="C179" s="2">
        <f>IFERROR(__xludf.DUMMYFUNCTION("""COMPUTED_VALUE"""),1098.5)</f>
        <v>1098.5</v>
      </c>
      <c r="D179" s="2">
        <f>IFERROR(__xludf.DUMMYFUNCTION("""COMPUTED_VALUE"""),1018.12)</f>
        <v>1018.12</v>
      </c>
      <c r="E179" s="2">
        <f>IFERROR(__xludf.DUMMYFUNCTION("""COMPUTED_VALUE"""),1049.38)</f>
        <v>1049.38</v>
      </c>
      <c r="F179" s="2">
        <f>IFERROR(__xludf.DUMMYFUNCTION("""COMPUTED_VALUE"""),3.83134E7)</f>
        <v>38313400</v>
      </c>
      <c r="G179" s="2">
        <f t="shared" si="1"/>
        <v>80.38</v>
      </c>
    </row>
    <row r="180" ht="15.75" customHeight="1">
      <c r="A180" s="1">
        <f>IFERROR(__xludf.DUMMYFUNCTION("""COMPUTED_VALUE"""),44098.66666666667)</f>
        <v>44098.66667</v>
      </c>
      <c r="B180" s="2">
        <f>IFERROR(__xludf.DUMMYFUNCTION("""COMPUTED_VALUE"""),1040.45)</f>
        <v>1040.45</v>
      </c>
      <c r="C180" s="2">
        <f>IFERROR(__xludf.DUMMYFUNCTION("""COMPUTED_VALUE"""),1044.91)</f>
        <v>1044.91</v>
      </c>
      <c r="D180" s="2">
        <f>IFERROR(__xludf.DUMMYFUNCTION("""COMPUTED_VALUE"""),1009.19)</f>
        <v>1009.19</v>
      </c>
      <c r="E180" s="2">
        <f>IFERROR(__xludf.DUMMYFUNCTION("""COMPUTED_VALUE"""),1022.58)</f>
        <v>1022.58</v>
      </c>
      <c r="F180" s="2">
        <f>IFERROR(__xludf.DUMMYFUNCTION("""COMPUTED_VALUE"""),3.06874E7)</f>
        <v>30687400</v>
      </c>
      <c r="G180" s="2">
        <f t="shared" si="1"/>
        <v>40.19</v>
      </c>
    </row>
    <row r="181" ht="15.75" customHeight="1">
      <c r="A181" s="1">
        <f>IFERROR(__xludf.DUMMYFUNCTION("""COMPUTED_VALUE"""),44099.66666666667)</f>
        <v>44099.66667</v>
      </c>
      <c r="B181" s="2">
        <f>IFERROR(__xludf.DUMMYFUNCTION("""COMPUTED_VALUE"""),1027.05)</f>
        <v>1027.05</v>
      </c>
      <c r="C181" s="2">
        <f>IFERROR(__xludf.DUMMYFUNCTION("""COMPUTED_VALUE"""),1125.29)</f>
        <v>1125.29</v>
      </c>
      <c r="D181" s="2">
        <f>IFERROR(__xludf.DUMMYFUNCTION("""COMPUTED_VALUE"""),1022.58)</f>
        <v>1022.58</v>
      </c>
      <c r="E181" s="2">
        <f>IFERROR(__xludf.DUMMYFUNCTION("""COMPUTED_VALUE"""),1102.96)</f>
        <v>1102.96</v>
      </c>
      <c r="F181" s="2">
        <f>IFERROR(__xludf.DUMMYFUNCTION("""COMPUTED_VALUE"""),9.27926E7)</f>
        <v>92792600</v>
      </c>
      <c r="G181" s="2">
        <f t="shared" si="1"/>
        <v>102.71</v>
      </c>
    </row>
    <row r="182" ht="15.75" customHeight="1">
      <c r="A182" s="1">
        <f>IFERROR(__xludf.DUMMYFUNCTION("""COMPUTED_VALUE"""),44102.66666666667)</f>
        <v>44102.66667</v>
      </c>
      <c r="B182" s="2">
        <f>IFERROR(__xludf.DUMMYFUNCTION("""COMPUTED_VALUE"""),1116.36)</f>
        <v>1116.36</v>
      </c>
      <c r="C182" s="2">
        <f>IFERROR(__xludf.DUMMYFUNCTION("""COMPUTED_VALUE"""),1138.68)</f>
        <v>1138.68</v>
      </c>
      <c r="D182" s="2">
        <f>IFERROR(__xludf.DUMMYFUNCTION("""COMPUTED_VALUE"""),1058.31)</f>
        <v>1058.31</v>
      </c>
      <c r="E182" s="2">
        <f>IFERROR(__xludf.DUMMYFUNCTION("""COMPUTED_VALUE"""),1071.7)</f>
        <v>1071.7</v>
      </c>
      <c r="F182" s="2">
        <f>IFERROR(__xludf.DUMMYFUNCTION("""COMPUTED_VALUE"""),7.37048E7)</f>
        <v>73704800</v>
      </c>
      <c r="G182" s="2">
        <f t="shared" si="1"/>
        <v>80.37</v>
      </c>
    </row>
    <row r="183" ht="15.75" customHeight="1">
      <c r="A183" s="1">
        <f>IFERROR(__xludf.DUMMYFUNCTION("""COMPUTED_VALUE"""),44103.66666666667)</f>
        <v>44103.66667</v>
      </c>
      <c r="B183" s="2">
        <f>IFERROR(__xludf.DUMMYFUNCTION("""COMPUTED_VALUE"""),1085.1)</f>
        <v>1085.1</v>
      </c>
      <c r="C183" s="2">
        <f>IFERROR(__xludf.DUMMYFUNCTION("""COMPUTED_VALUE"""),1102.96)</f>
        <v>1102.96</v>
      </c>
      <c r="D183" s="2">
        <f>IFERROR(__xludf.DUMMYFUNCTION("""COMPUTED_VALUE"""),1058.31)</f>
        <v>1058.31</v>
      </c>
      <c r="E183" s="2">
        <f>IFERROR(__xludf.DUMMYFUNCTION("""COMPUTED_VALUE"""),1067.24)</f>
        <v>1067.24</v>
      </c>
      <c r="F183" s="2">
        <f>IFERROR(__xludf.DUMMYFUNCTION("""COMPUTED_VALUE"""),5.77094E7)</f>
        <v>57709400</v>
      </c>
      <c r="G183" s="2">
        <f t="shared" si="1"/>
        <v>44.65</v>
      </c>
    </row>
    <row r="184" ht="15.75" customHeight="1">
      <c r="A184" s="1">
        <f>IFERROR(__xludf.DUMMYFUNCTION("""COMPUTED_VALUE"""),44104.66666666667)</f>
        <v>44104.66667</v>
      </c>
      <c r="B184" s="2">
        <f>IFERROR(__xludf.DUMMYFUNCTION("""COMPUTED_VALUE"""),1089.56)</f>
        <v>1089.56</v>
      </c>
      <c r="C184" s="2">
        <f>IFERROR(__xludf.DUMMYFUNCTION("""COMPUTED_VALUE"""),1098.5)</f>
        <v>1098.5</v>
      </c>
      <c r="D184" s="2">
        <f>IFERROR(__xludf.DUMMYFUNCTION("""COMPUTED_VALUE"""),1040.45)</f>
        <v>1040.45</v>
      </c>
      <c r="E184" s="2">
        <f>IFERROR(__xludf.DUMMYFUNCTION("""COMPUTED_VALUE"""),1071.7)</f>
        <v>1071.7</v>
      </c>
      <c r="F184" s="2">
        <f>IFERROR(__xludf.DUMMYFUNCTION("""COMPUTED_VALUE"""),4.18945E7)</f>
        <v>41894500</v>
      </c>
      <c r="G184" s="2">
        <f t="shared" si="1"/>
        <v>58.05</v>
      </c>
    </row>
    <row r="185" ht="15.75" customHeight="1">
      <c r="A185" s="1">
        <f>IFERROR(__xludf.DUMMYFUNCTION("""COMPUTED_VALUE"""),44105.66666666667)</f>
        <v>44105.66667</v>
      </c>
      <c r="B185" s="2">
        <f>IFERROR(__xludf.DUMMYFUNCTION("""COMPUTED_VALUE"""),1089.56)</f>
        <v>1089.56</v>
      </c>
      <c r="C185" s="2">
        <f>IFERROR(__xludf.DUMMYFUNCTION("""COMPUTED_VALUE"""),1107.43)</f>
        <v>1107.43</v>
      </c>
      <c r="D185" s="2">
        <f>IFERROR(__xludf.DUMMYFUNCTION("""COMPUTED_VALUE"""),1076.17)</f>
        <v>1076.17</v>
      </c>
      <c r="E185" s="2">
        <f>IFERROR(__xludf.DUMMYFUNCTION("""COMPUTED_VALUE"""),1102.96)</f>
        <v>1102.96</v>
      </c>
      <c r="F185" s="2">
        <f>IFERROR(__xludf.DUMMYFUNCTION("""COMPUTED_VALUE"""),4.97174E7)</f>
        <v>49717400</v>
      </c>
      <c r="G185" s="2">
        <f t="shared" si="1"/>
        <v>35.73</v>
      </c>
    </row>
    <row r="186" ht="15.75" customHeight="1">
      <c r="A186" s="1">
        <f>IFERROR(__xludf.DUMMYFUNCTION("""COMPUTED_VALUE"""),44106.66666666667)</f>
        <v>44106.66667</v>
      </c>
      <c r="B186" s="2">
        <f>IFERROR(__xludf.DUMMYFUNCTION("""COMPUTED_VALUE"""),1102.96)</f>
        <v>1102.96</v>
      </c>
      <c r="C186" s="2">
        <f>IFERROR(__xludf.DUMMYFUNCTION("""COMPUTED_VALUE"""),1107.43)</f>
        <v>1107.43</v>
      </c>
      <c r="D186" s="2">
        <f>IFERROR(__xludf.DUMMYFUNCTION("""COMPUTED_VALUE"""),1053.84)</f>
        <v>1053.84</v>
      </c>
      <c r="E186" s="2">
        <f>IFERROR(__xludf.DUMMYFUNCTION("""COMPUTED_VALUE"""),1080.63)</f>
        <v>1080.63</v>
      </c>
      <c r="F186" s="2">
        <f>IFERROR(__xludf.DUMMYFUNCTION("""COMPUTED_VALUE"""),3.41108E7)</f>
        <v>34110800</v>
      </c>
      <c r="G186" s="2">
        <f t="shared" si="1"/>
        <v>53.59</v>
      </c>
    </row>
    <row r="187" ht="15.75" customHeight="1">
      <c r="A187" s="1">
        <f>IFERROR(__xludf.DUMMYFUNCTION("""COMPUTED_VALUE"""),44109.66666666667)</f>
        <v>44109.66667</v>
      </c>
      <c r="B187" s="2">
        <f>IFERROR(__xludf.DUMMYFUNCTION("""COMPUTED_VALUE"""),1094.03)</f>
        <v>1094.03</v>
      </c>
      <c r="C187" s="2">
        <f>IFERROR(__xludf.DUMMYFUNCTION("""COMPUTED_VALUE"""),1107.43)</f>
        <v>1107.43</v>
      </c>
      <c r="D187" s="2">
        <f>IFERROR(__xludf.DUMMYFUNCTION("""COMPUTED_VALUE"""),1076.17)</f>
        <v>1076.17</v>
      </c>
      <c r="E187" s="2">
        <f>IFERROR(__xludf.DUMMYFUNCTION("""COMPUTED_VALUE"""),1107.43)</f>
        <v>1107.43</v>
      </c>
      <c r="F187" s="2">
        <f>IFERROR(__xludf.DUMMYFUNCTION("""COMPUTED_VALUE"""),3.13003E7)</f>
        <v>31300300</v>
      </c>
      <c r="G187" s="2">
        <f t="shared" si="1"/>
        <v>31.26</v>
      </c>
    </row>
    <row r="188" ht="15.75" customHeight="1">
      <c r="A188" s="1">
        <f>IFERROR(__xludf.DUMMYFUNCTION("""COMPUTED_VALUE"""),44110.66666666667)</f>
        <v>44110.66667</v>
      </c>
      <c r="B188" s="2">
        <f>IFERROR(__xludf.DUMMYFUNCTION("""COMPUTED_VALUE"""),1125.29)</f>
        <v>1125.29</v>
      </c>
      <c r="C188" s="2">
        <f>IFERROR(__xludf.DUMMYFUNCTION("""COMPUTED_VALUE"""),1134.22)</f>
        <v>1134.22</v>
      </c>
      <c r="D188" s="2">
        <f>IFERROR(__xludf.DUMMYFUNCTION("""COMPUTED_VALUE"""),1107.43)</f>
        <v>1107.43</v>
      </c>
      <c r="E188" s="2">
        <f>IFERROR(__xludf.DUMMYFUNCTION("""COMPUTED_VALUE"""),1111.89)</f>
        <v>1111.89</v>
      </c>
      <c r="F188" s="2">
        <f>IFERROR(__xludf.DUMMYFUNCTION("""COMPUTED_VALUE"""),5.21767E7)</f>
        <v>52176700</v>
      </c>
      <c r="G188" s="2">
        <f t="shared" si="1"/>
        <v>26.79</v>
      </c>
    </row>
    <row r="189" ht="15.75" customHeight="1">
      <c r="A189" s="1">
        <f>IFERROR(__xludf.DUMMYFUNCTION("""COMPUTED_VALUE"""),44111.66666666667)</f>
        <v>44111.66667</v>
      </c>
      <c r="B189" s="2">
        <f>IFERROR(__xludf.DUMMYFUNCTION("""COMPUTED_VALUE"""),1102.96)</f>
        <v>1102.96</v>
      </c>
      <c r="C189" s="2">
        <f>IFERROR(__xludf.DUMMYFUNCTION("""COMPUTED_VALUE"""),1111.89)</f>
        <v>1111.89</v>
      </c>
      <c r="D189" s="2">
        <f>IFERROR(__xludf.DUMMYFUNCTION("""COMPUTED_VALUE"""),1089.56)</f>
        <v>1089.56</v>
      </c>
      <c r="E189" s="2">
        <f>IFERROR(__xludf.DUMMYFUNCTION("""COMPUTED_VALUE"""),1094.03)</f>
        <v>1094.03</v>
      </c>
      <c r="F189" s="2">
        <f>IFERROR(__xludf.DUMMYFUNCTION("""COMPUTED_VALUE"""),2.35272E7)</f>
        <v>23527200</v>
      </c>
      <c r="G189" s="2">
        <f t="shared" si="1"/>
        <v>22.33</v>
      </c>
    </row>
    <row r="190" ht="15.75" customHeight="1">
      <c r="A190" s="1">
        <f>IFERROR(__xludf.DUMMYFUNCTION("""COMPUTED_VALUE"""),44112.66666666667)</f>
        <v>44112.66667</v>
      </c>
      <c r="B190" s="2">
        <f>IFERROR(__xludf.DUMMYFUNCTION("""COMPUTED_VALUE"""),1107.43)</f>
        <v>1107.43</v>
      </c>
      <c r="C190" s="2">
        <f>IFERROR(__xludf.DUMMYFUNCTION("""COMPUTED_VALUE"""),1111.89)</f>
        <v>1111.89</v>
      </c>
      <c r="D190" s="2">
        <f>IFERROR(__xludf.DUMMYFUNCTION("""COMPUTED_VALUE"""),1089.56)</f>
        <v>1089.56</v>
      </c>
      <c r="E190" s="2">
        <f>IFERROR(__xludf.DUMMYFUNCTION("""COMPUTED_VALUE"""),1102.96)</f>
        <v>1102.96</v>
      </c>
      <c r="F190" s="2">
        <f>IFERROR(__xludf.DUMMYFUNCTION("""COMPUTED_VALUE"""),1.67918E7)</f>
        <v>16791800</v>
      </c>
      <c r="G190" s="2">
        <f t="shared" si="1"/>
        <v>22.33</v>
      </c>
    </row>
    <row r="191" ht="15.75" customHeight="1">
      <c r="A191" s="1">
        <f>IFERROR(__xludf.DUMMYFUNCTION("""COMPUTED_VALUE"""),44113.66666666667)</f>
        <v>44113.66667</v>
      </c>
      <c r="B191" s="2">
        <f>IFERROR(__xludf.DUMMYFUNCTION("""COMPUTED_VALUE"""),1107.43)</f>
        <v>1107.43</v>
      </c>
      <c r="C191" s="2">
        <f>IFERROR(__xludf.DUMMYFUNCTION("""COMPUTED_VALUE"""),1111.89)</f>
        <v>1111.89</v>
      </c>
      <c r="D191" s="2">
        <f>IFERROR(__xludf.DUMMYFUNCTION("""COMPUTED_VALUE"""),1089.56)</f>
        <v>1089.56</v>
      </c>
      <c r="E191" s="2">
        <f>IFERROR(__xludf.DUMMYFUNCTION("""COMPUTED_VALUE"""),1098.5)</f>
        <v>1098.5</v>
      </c>
      <c r="F191" s="2">
        <f>IFERROR(__xludf.DUMMYFUNCTION("""COMPUTED_VALUE"""),2.24631E7)</f>
        <v>22463100</v>
      </c>
      <c r="G191" s="2">
        <f t="shared" si="1"/>
        <v>22.33</v>
      </c>
    </row>
    <row r="192" ht="15.75" customHeight="1">
      <c r="A192" s="1">
        <f>IFERROR(__xludf.DUMMYFUNCTION("""COMPUTED_VALUE"""),44116.66666666667)</f>
        <v>44116.66667</v>
      </c>
      <c r="B192" s="2">
        <f>IFERROR(__xludf.DUMMYFUNCTION("""COMPUTED_VALUE"""),1107.43)</f>
        <v>1107.43</v>
      </c>
      <c r="C192" s="2">
        <f>IFERROR(__xludf.DUMMYFUNCTION("""COMPUTED_VALUE"""),1147.62)</f>
        <v>1147.62</v>
      </c>
      <c r="D192" s="2">
        <f>IFERROR(__xludf.DUMMYFUNCTION("""COMPUTED_VALUE"""),1107.43)</f>
        <v>1107.43</v>
      </c>
      <c r="E192" s="2">
        <f>IFERROR(__xludf.DUMMYFUNCTION("""COMPUTED_VALUE"""),1125.29)</f>
        <v>1125.29</v>
      </c>
      <c r="F192" s="2">
        <f>IFERROR(__xludf.DUMMYFUNCTION("""COMPUTED_VALUE"""),5.98954E7)</f>
        <v>59895400</v>
      </c>
      <c r="G192" s="2">
        <f t="shared" si="1"/>
        <v>49.12</v>
      </c>
    </row>
    <row r="193" ht="15.75" customHeight="1">
      <c r="A193" s="1">
        <f>IFERROR(__xludf.DUMMYFUNCTION("""COMPUTED_VALUE"""),44117.66666666667)</f>
        <v>44117.66667</v>
      </c>
      <c r="B193" s="2">
        <f>IFERROR(__xludf.DUMMYFUNCTION("""COMPUTED_VALUE"""),1134.22)</f>
        <v>1134.22</v>
      </c>
      <c r="C193" s="2">
        <f>IFERROR(__xludf.DUMMYFUNCTION("""COMPUTED_VALUE"""),1187.8)</f>
        <v>1187.8</v>
      </c>
      <c r="D193" s="2">
        <f>IFERROR(__xludf.DUMMYFUNCTION("""COMPUTED_VALUE"""),1107.43)</f>
        <v>1107.43</v>
      </c>
      <c r="E193" s="2">
        <f>IFERROR(__xludf.DUMMYFUNCTION("""COMPUTED_VALUE"""),1183.34)</f>
        <v>1183.34</v>
      </c>
      <c r="F193" s="2">
        <f>IFERROR(__xludf.DUMMYFUNCTION("""COMPUTED_VALUE"""),9.0496E7)</f>
        <v>90496000</v>
      </c>
      <c r="G193" s="2">
        <f t="shared" si="1"/>
        <v>80.37</v>
      </c>
    </row>
    <row r="194" ht="15.75" customHeight="1">
      <c r="A194" s="1">
        <f>IFERROR(__xludf.DUMMYFUNCTION("""COMPUTED_VALUE"""),44118.66666666667)</f>
        <v>44118.66667</v>
      </c>
      <c r="B194" s="2">
        <f>IFERROR(__xludf.DUMMYFUNCTION("""COMPUTED_VALUE"""),1183.34)</f>
        <v>1183.34</v>
      </c>
      <c r="C194" s="2">
        <f>IFERROR(__xludf.DUMMYFUNCTION("""COMPUTED_VALUE"""),1223.53)</f>
        <v>1223.53</v>
      </c>
      <c r="D194" s="2">
        <f>IFERROR(__xludf.DUMMYFUNCTION("""COMPUTED_VALUE"""),1169.94)</f>
        <v>1169.94</v>
      </c>
      <c r="E194" s="2">
        <f>IFERROR(__xludf.DUMMYFUNCTION("""COMPUTED_VALUE"""),1205.67)</f>
        <v>1205.67</v>
      </c>
      <c r="F194" s="2">
        <f>IFERROR(__xludf.DUMMYFUNCTION("""COMPUTED_VALUE"""),5.8978E7)</f>
        <v>58978000</v>
      </c>
      <c r="G194" s="2">
        <f t="shared" si="1"/>
        <v>53.59</v>
      </c>
    </row>
    <row r="195" ht="15.75" customHeight="1">
      <c r="A195" s="1">
        <f>IFERROR(__xludf.DUMMYFUNCTION("""COMPUTED_VALUE"""),44119.66666666667)</f>
        <v>44119.66667</v>
      </c>
      <c r="B195" s="2">
        <f>IFERROR(__xludf.DUMMYFUNCTION("""COMPUTED_VALUE"""),1201.2)</f>
        <v>1201.2</v>
      </c>
      <c r="C195" s="2">
        <f>IFERROR(__xludf.DUMMYFUNCTION("""COMPUTED_VALUE"""),1219.06)</f>
        <v>1219.06</v>
      </c>
      <c r="D195" s="2">
        <f>IFERROR(__xludf.DUMMYFUNCTION("""COMPUTED_VALUE"""),1169.94)</f>
        <v>1169.94</v>
      </c>
      <c r="E195" s="2">
        <f>IFERROR(__xludf.DUMMYFUNCTION("""COMPUTED_VALUE"""),1174.41)</f>
        <v>1174.41</v>
      </c>
      <c r="F195" s="2">
        <f>IFERROR(__xludf.DUMMYFUNCTION("""COMPUTED_VALUE"""),3.34138E7)</f>
        <v>33413800</v>
      </c>
      <c r="G195" s="2">
        <f t="shared" si="1"/>
        <v>49.12</v>
      </c>
    </row>
    <row r="196" ht="15.75" customHeight="1">
      <c r="A196" s="1">
        <f>IFERROR(__xludf.DUMMYFUNCTION("""COMPUTED_VALUE"""),44120.66666666667)</f>
        <v>44120.66667</v>
      </c>
      <c r="B196" s="2">
        <f>IFERROR(__xludf.DUMMYFUNCTION("""COMPUTED_VALUE"""),1178.87)</f>
        <v>1178.87</v>
      </c>
      <c r="C196" s="2">
        <f>IFERROR(__xludf.DUMMYFUNCTION("""COMPUTED_VALUE"""),1187.8)</f>
        <v>1187.8</v>
      </c>
      <c r="D196" s="2">
        <f>IFERROR(__xludf.DUMMYFUNCTION("""COMPUTED_VALUE"""),1138.68)</f>
        <v>1138.68</v>
      </c>
      <c r="E196" s="2">
        <f>IFERROR(__xludf.DUMMYFUNCTION("""COMPUTED_VALUE"""),1147.62)</f>
        <v>1147.62</v>
      </c>
      <c r="F196" s="2">
        <f>IFERROR(__xludf.DUMMYFUNCTION("""COMPUTED_VALUE"""),5.67859E7)</f>
        <v>56785900</v>
      </c>
      <c r="G196" s="2">
        <f t="shared" si="1"/>
        <v>49.12</v>
      </c>
    </row>
    <row r="197" ht="15.75" customHeight="1">
      <c r="A197" s="1">
        <f>IFERROR(__xludf.DUMMYFUNCTION("""COMPUTED_VALUE"""),44123.66666666667)</f>
        <v>44123.66667</v>
      </c>
      <c r="B197" s="2">
        <f>IFERROR(__xludf.DUMMYFUNCTION("""COMPUTED_VALUE"""),1156.55)</f>
        <v>1156.55</v>
      </c>
      <c r="C197" s="2">
        <f>IFERROR(__xludf.DUMMYFUNCTION("""COMPUTED_VALUE"""),1169.94)</f>
        <v>1169.94</v>
      </c>
      <c r="D197" s="2">
        <f>IFERROR(__xludf.DUMMYFUNCTION("""COMPUTED_VALUE"""),1147.62)</f>
        <v>1147.62</v>
      </c>
      <c r="E197" s="2">
        <f>IFERROR(__xludf.DUMMYFUNCTION("""COMPUTED_VALUE"""),1169.94)</f>
        <v>1169.94</v>
      </c>
      <c r="F197" s="2">
        <f>IFERROR(__xludf.DUMMYFUNCTION("""COMPUTED_VALUE"""),3.13191E7)</f>
        <v>31319100</v>
      </c>
      <c r="G197" s="2">
        <f t="shared" si="1"/>
        <v>22.32</v>
      </c>
    </row>
    <row r="198" ht="15.75" customHeight="1">
      <c r="A198" s="1">
        <f>IFERROR(__xludf.DUMMYFUNCTION("""COMPUTED_VALUE"""),44124.66666666667)</f>
        <v>44124.66667</v>
      </c>
      <c r="B198" s="2">
        <f>IFERROR(__xludf.DUMMYFUNCTION("""COMPUTED_VALUE"""),1161.01)</f>
        <v>1161.01</v>
      </c>
      <c r="C198" s="2">
        <f>IFERROR(__xludf.DUMMYFUNCTION("""COMPUTED_VALUE"""),1169.94)</f>
        <v>1169.94</v>
      </c>
      <c r="D198" s="2">
        <f>IFERROR(__xludf.DUMMYFUNCTION("""COMPUTED_VALUE"""),1147.62)</f>
        <v>1147.62</v>
      </c>
      <c r="E198" s="2">
        <f>IFERROR(__xludf.DUMMYFUNCTION("""COMPUTED_VALUE"""),1152.08)</f>
        <v>1152.08</v>
      </c>
      <c r="F198" s="2">
        <f>IFERROR(__xludf.DUMMYFUNCTION("""COMPUTED_VALUE"""),3.36535E7)</f>
        <v>33653500</v>
      </c>
      <c r="G198" s="2">
        <f t="shared" si="1"/>
        <v>22.32</v>
      </c>
    </row>
    <row r="199" ht="15.75" customHeight="1">
      <c r="A199" s="1">
        <f>IFERROR(__xludf.DUMMYFUNCTION("""COMPUTED_VALUE"""),44125.66666666667)</f>
        <v>44125.66667</v>
      </c>
      <c r="B199" s="2">
        <f>IFERROR(__xludf.DUMMYFUNCTION("""COMPUTED_VALUE"""),1161.01)</f>
        <v>1161.01</v>
      </c>
      <c r="C199" s="2">
        <f>IFERROR(__xludf.DUMMYFUNCTION("""COMPUTED_VALUE"""),1169.94)</f>
        <v>1169.94</v>
      </c>
      <c r="D199" s="2">
        <f>IFERROR(__xludf.DUMMYFUNCTION("""COMPUTED_VALUE"""),1143.15)</f>
        <v>1143.15</v>
      </c>
      <c r="E199" s="2">
        <f>IFERROR(__xludf.DUMMYFUNCTION("""COMPUTED_VALUE"""),1147.62)</f>
        <v>1147.62</v>
      </c>
      <c r="F199" s="2">
        <f>IFERROR(__xludf.DUMMYFUNCTION("""COMPUTED_VALUE"""),2.88369E7)</f>
        <v>28836900</v>
      </c>
      <c r="G199" s="2">
        <f t="shared" si="1"/>
        <v>26.79</v>
      </c>
    </row>
    <row r="200" ht="15.75" customHeight="1">
      <c r="A200" s="1">
        <f>IFERROR(__xludf.DUMMYFUNCTION("""COMPUTED_VALUE"""),44126.66666666667)</f>
        <v>44126.66667</v>
      </c>
      <c r="B200" s="2">
        <f>IFERROR(__xludf.DUMMYFUNCTION("""COMPUTED_VALUE"""),1138.68)</f>
        <v>1138.68</v>
      </c>
      <c r="C200" s="2">
        <f>IFERROR(__xludf.DUMMYFUNCTION("""COMPUTED_VALUE"""),1152.08)</f>
        <v>1152.08</v>
      </c>
      <c r="D200" s="2">
        <f>IFERROR(__xludf.DUMMYFUNCTION("""COMPUTED_VALUE"""),1125.29)</f>
        <v>1125.29</v>
      </c>
      <c r="E200" s="2">
        <f>IFERROR(__xludf.DUMMYFUNCTION("""COMPUTED_VALUE"""),1125.29)</f>
        <v>1125.29</v>
      </c>
      <c r="F200" s="2">
        <f>IFERROR(__xludf.DUMMYFUNCTION("""COMPUTED_VALUE"""),2.64948E7)</f>
        <v>26494800</v>
      </c>
      <c r="G200" s="2">
        <f t="shared" si="1"/>
        <v>26.79</v>
      </c>
    </row>
    <row r="201" ht="15.75" customHeight="1">
      <c r="A201" s="1">
        <f>IFERROR(__xludf.DUMMYFUNCTION("""COMPUTED_VALUE"""),44127.66666666667)</f>
        <v>44127.66667</v>
      </c>
      <c r="B201" s="2">
        <f>IFERROR(__xludf.DUMMYFUNCTION("""COMPUTED_VALUE"""),1178.87)</f>
        <v>1178.87</v>
      </c>
      <c r="C201" s="2">
        <f>IFERROR(__xludf.DUMMYFUNCTION("""COMPUTED_VALUE"""),1330.7)</f>
        <v>1330.7</v>
      </c>
      <c r="D201" s="2">
        <f>IFERROR(__xludf.DUMMYFUNCTION("""COMPUTED_VALUE"""),1178.87)</f>
        <v>1178.87</v>
      </c>
      <c r="E201" s="2">
        <f>IFERROR(__xludf.DUMMYFUNCTION("""COMPUTED_VALUE"""),1277.11)</f>
        <v>1277.11</v>
      </c>
      <c r="F201" s="2">
        <f>IFERROR(__xludf.DUMMYFUNCTION("""COMPUTED_VALUE"""),3.260839E8)</f>
        <v>326083900</v>
      </c>
      <c r="G201" s="2">
        <f t="shared" si="1"/>
        <v>205.41</v>
      </c>
    </row>
    <row r="202" ht="15.75" customHeight="1">
      <c r="A202" s="1">
        <f>IFERROR(__xludf.DUMMYFUNCTION("""COMPUTED_VALUE"""),44130.66666666667)</f>
        <v>44130.66667</v>
      </c>
      <c r="B202" s="2">
        <f>IFERROR(__xludf.DUMMYFUNCTION("""COMPUTED_VALUE"""),1286.04)</f>
        <v>1286.04</v>
      </c>
      <c r="C202" s="2">
        <f>IFERROR(__xludf.DUMMYFUNCTION("""COMPUTED_VALUE"""),1290.51)</f>
        <v>1290.51</v>
      </c>
      <c r="D202" s="2">
        <f>IFERROR(__xludf.DUMMYFUNCTION("""COMPUTED_VALUE"""),1236.92)</f>
        <v>1236.92</v>
      </c>
      <c r="E202" s="2">
        <f>IFERROR(__xludf.DUMMYFUNCTION("""COMPUTED_VALUE"""),1241.39)</f>
        <v>1241.39</v>
      </c>
      <c r="F202" s="2">
        <f>IFERROR(__xludf.DUMMYFUNCTION("""COMPUTED_VALUE"""),9.07498E7)</f>
        <v>90749800</v>
      </c>
      <c r="G202" s="2">
        <f t="shared" si="1"/>
        <v>53.59</v>
      </c>
    </row>
    <row r="203" ht="15.75" customHeight="1">
      <c r="A203" s="1">
        <f>IFERROR(__xludf.DUMMYFUNCTION("""COMPUTED_VALUE"""),44131.66666666667)</f>
        <v>44131.66667</v>
      </c>
      <c r="B203" s="2">
        <f>IFERROR(__xludf.DUMMYFUNCTION("""COMPUTED_VALUE"""),1232.46)</f>
        <v>1232.46</v>
      </c>
      <c r="C203" s="2">
        <f>IFERROR(__xludf.DUMMYFUNCTION("""COMPUTED_VALUE"""),1263.72)</f>
        <v>1263.72</v>
      </c>
      <c r="D203" s="2">
        <f>IFERROR(__xludf.DUMMYFUNCTION("""COMPUTED_VALUE"""),1223.53)</f>
        <v>1223.53</v>
      </c>
      <c r="E203" s="2">
        <f>IFERROR(__xludf.DUMMYFUNCTION("""COMPUTED_VALUE"""),1241.39)</f>
        <v>1241.39</v>
      </c>
      <c r="F203" s="2">
        <f>IFERROR(__xludf.DUMMYFUNCTION("""COMPUTED_VALUE"""),6.25357E7)</f>
        <v>62535700</v>
      </c>
      <c r="G203" s="2">
        <f t="shared" si="1"/>
        <v>40.19</v>
      </c>
    </row>
    <row r="204" ht="15.75" customHeight="1">
      <c r="A204" s="1">
        <f>IFERROR(__xludf.DUMMYFUNCTION("""COMPUTED_VALUE"""),44137.66666666667)</f>
        <v>44137.66667</v>
      </c>
      <c r="B204" s="2">
        <f>IFERROR(__xludf.DUMMYFUNCTION("""COMPUTED_VALUE"""),1227.99)</f>
        <v>1227.99</v>
      </c>
      <c r="C204" s="2">
        <f>IFERROR(__xludf.DUMMYFUNCTION("""COMPUTED_VALUE"""),1259.25)</f>
        <v>1259.25</v>
      </c>
      <c r="D204" s="2">
        <f>IFERROR(__xludf.DUMMYFUNCTION("""COMPUTED_VALUE"""),1223.53)</f>
        <v>1223.53</v>
      </c>
      <c r="E204" s="2">
        <f>IFERROR(__xludf.DUMMYFUNCTION("""COMPUTED_VALUE"""),1241.39)</f>
        <v>1241.39</v>
      </c>
      <c r="F204" s="2">
        <f>IFERROR(__xludf.DUMMYFUNCTION("""COMPUTED_VALUE"""),2.91099E7)</f>
        <v>29109900</v>
      </c>
      <c r="G204" s="2">
        <f t="shared" si="1"/>
        <v>35.72</v>
      </c>
    </row>
    <row r="205" ht="15.75" customHeight="1">
      <c r="A205" s="1">
        <f>IFERROR(__xludf.DUMMYFUNCTION("""COMPUTED_VALUE"""),44138.66666666667)</f>
        <v>44138.66667</v>
      </c>
      <c r="B205" s="2">
        <f>IFERROR(__xludf.DUMMYFUNCTION("""COMPUTED_VALUE"""),1250.32)</f>
        <v>1250.32</v>
      </c>
      <c r="C205" s="2">
        <f>IFERROR(__xludf.DUMMYFUNCTION("""COMPUTED_VALUE"""),1263.72)</f>
        <v>1263.72</v>
      </c>
      <c r="D205" s="2">
        <f>IFERROR(__xludf.DUMMYFUNCTION("""COMPUTED_VALUE"""),1245.85)</f>
        <v>1245.85</v>
      </c>
      <c r="E205" s="2">
        <f>IFERROR(__xludf.DUMMYFUNCTION("""COMPUTED_VALUE"""),1250.32)</f>
        <v>1250.32</v>
      </c>
      <c r="F205" s="2">
        <f>IFERROR(__xludf.DUMMYFUNCTION("""COMPUTED_VALUE"""),2.76414E7)</f>
        <v>27641400</v>
      </c>
      <c r="G205" s="2">
        <f t="shared" si="1"/>
        <v>22.33</v>
      </c>
    </row>
    <row r="206" ht="15.75" customHeight="1">
      <c r="A206" s="1">
        <f>IFERROR(__xludf.DUMMYFUNCTION("""COMPUTED_VALUE"""),44139.66666666667)</f>
        <v>44139.66667</v>
      </c>
      <c r="B206" s="2">
        <f>IFERROR(__xludf.DUMMYFUNCTION("""COMPUTED_VALUE"""),1259.25)</f>
        <v>1259.25</v>
      </c>
      <c r="C206" s="2">
        <f>IFERROR(__xludf.DUMMYFUNCTION("""COMPUTED_VALUE"""),1272.65)</f>
        <v>1272.65</v>
      </c>
      <c r="D206" s="2">
        <f>IFERROR(__xludf.DUMMYFUNCTION("""COMPUTED_VALUE"""),1223.53)</f>
        <v>1223.53</v>
      </c>
      <c r="E206" s="2">
        <f>IFERROR(__xludf.DUMMYFUNCTION("""COMPUTED_VALUE"""),1223.53)</f>
        <v>1223.53</v>
      </c>
      <c r="F206" s="2">
        <f>IFERROR(__xludf.DUMMYFUNCTION("""COMPUTED_VALUE"""),4.48109E7)</f>
        <v>44810900</v>
      </c>
      <c r="G206" s="2">
        <f t="shared" si="1"/>
        <v>49.12</v>
      </c>
    </row>
    <row r="207" ht="15.75" customHeight="1">
      <c r="A207" s="1">
        <f>IFERROR(__xludf.DUMMYFUNCTION("""COMPUTED_VALUE"""),44140.66666666667)</f>
        <v>44140.66667</v>
      </c>
      <c r="B207" s="2">
        <f>IFERROR(__xludf.DUMMYFUNCTION("""COMPUTED_VALUE"""),1259.25)</f>
        <v>1259.25</v>
      </c>
      <c r="C207" s="2">
        <f>IFERROR(__xludf.DUMMYFUNCTION("""COMPUTED_VALUE"""),1286.04)</f>
        <v>1286.04</v>
      </c>
      <c r="D207" s="2">
        <f>IFERROR(__xludf.DUMMYFUNCTION("""COMPUTED_VALUE"""),1241.39)</f>
        <v>1241.39</v>
      </c>
      <c r="E207" s="2">
        <f>IFERROR(__xludf.DUMMYFUNCTION("""COMPUTED_VALUE"""),1281.58)</f>
        <v>1281.58</v>
      </c>
      <c r="F207" s="2">
        <f>IFERROR(__xludf.DUMMYFUNCTION("""COMPUTED_VALUE"""),9.01447E7)</f>
        <v>90144700</v>
      </c>
      <c r="G207" s="2">
        <f t="shared" si="1"/>
        <v>62.51</v>
      </c>
    </row>
    <row r="208" ht="15.75" customHeight="1">
      <c r="A208" s="1">
        <f>IFERROR(__xludf.DUMMYFUNCTION("""COMPUTED_VALUE"""),44141.66666666667)</f>
        <v>44141.66667</v>
      </c>
      <c r="B208" s="2">
        <f>IFERROR(__xludf.DUMMYFUNCTION("""COMPUTED_VALUE"""),1294.97)</f>
        <v>1294.97</v>
      </c>
      <c r="C208" s="2">
        <f>IFERROR(__xludf.DUMMYFUNCTION("""COMPUTED_VALUE"""),1384.28)</f>
        <v>1384.28</v>
      </c>
      <c r="D208" s="2">
        <f>IFERROR(__xludf.DUMMYFUNCTION("""COMPUTED_VALUE"""),1272.65)</f>
        <v>1272.65</v>
      </c>
      <c r="E208" s="2">
        <f>IFERROR(__xludf.DUMMYFUNCTION("""COMPUTED_VALUE"""),1370.89)</f>
        <v>1370.89</v>
      </c>
      <c r="F208" s="2">
        <f>IFERROR(__xludf.DUMMYFUNCTION("""COMPUTED_VALUE"""),2.068541E8)</f>
        <v>206854100</v>
      </c>
      <c r="G208" s="2">
        <f t="shared" si="1"/>
        <v>111.63</v>
      </c>
    </row>
    <row r="209" ht="15.75" customHeight="1">
      <c r="A209" s="1">
        <f>IFERROR(__xludf.DUMMYFUNCTION("""COMPUTED_VALUE"""),44144.66666666667)</f>
        <v>44144.66667</v>
      </c>
      <c r="B209" s="2">
        <f>IFERROR(__xludf.DUMMYFUNCTION("""COMPUTED_VALUE"""),1415.54)</f>
        <v>1415.54</v>
      </c>
      <c r="C209" s="2">
        <f>IFERROR(__xludf.DUMMYFUNCTION("""COMPUTED_VALUE"""),1433.4)</f>
        <v>1433.4</v>
      </c>
      <c r="D209" s="2">
        <f>IFERROR(__xludf.DUMMYFUNCTION("""COMPUTED_VALUE"""),1370.89)</f>
        <v>1370.89</v>
      </c>
      <c r="E209" s="2">
        <f>IFERROR(__xludf.DUMMYFUNCTION("""COMPUTED_VALUE"""),1397.68)</f>
        <v>1397.68</v>
      </c>
      <c r="F209" s="2">
        <f>IFERROR(__xludf.DUMMYFUNCTION("""COMPUTED_VALUE"""),1.369177E8)</f>
        <v>136917700</v>
      </c>
      <c r="G209" s="2">
        <f t="shared" si="1"/>
        <v>62.51</v>
      </c>
    </row>
    <row r="210" ht="15.75" customHeight="1">
      <c r="A210" s="1">
        <f>IFERROR(__xludf.DUMMYFUNCTION("""COMPUTED_VALUE"""),44145.66666666667)</f>
        <v>44145.66667</v>
      </c>
      <c r="B210" s="2">
        <f>IFERROR(__xludf.DUMMYFUNCTION("""COMPUTED_VALUE"""),1424.47)</f>
        <v>1424.47</v>
      </c>
      <c r="C210" s="2">
        <f>IFERROR(__xludf.DUMMYFUNCTION("""COMPUTED_VALUE"""),1437.87)</f>
        <v>1437.87</v>
      </c>
      <c r="D210" s="2">
        <f>IFERROR(__xludf.DUMMYFUNCTION("""COMPUTED_VALUE"""),1406.61)</f>
        <v>1406.61</v>
      </c>
      <c r="E210" s="2">
        <f>IFERROR(__xludf.DUMMYFUNCTION("""COMPUTED_VALUE"""),1437.87)</f>
        <v>1437.87</v>
      </c>
      <c r="F210" s="2">
        <f>IFERROR(__xludf.DUMMYFUNCTION("""COMPUTED_VALUE"""),1.323748E8)</f>
        <v>132374800</v>
      </c>
      <c r="G210" s="2">
        <f t="shared" si="1"/>
        <v>40.19</v>
      </c>
    </row>
    <row r="211" ht="15.75" customHeight="1">
      <c r="A211" s="1">
        <f>IFERROR(__xludf.DUMMYFUNCTION("""COMPUTED_VALUE"""),44146.66666666667)</f>
        <v>44146.66667</v>
      </c>
      <c r="B211" s="2">
        <f>IFERROR(__xludf.DUMMYFUNCTION("""COMPUTED_VALUE"""),1437.87)</f>
        <v>1437.87</v>
      </c>
      <c r="C211" s="2">
        <f>IFERROR(__xludf.DUMMYFUNCTION("""COMPUTED_VALUE"""),1464.66)</f>
        <v>1464.66</v>
      </c>
      <c r="D211" s="2">
        <f>IFERROR(__xludf.DUMMYFUNCTION("""COMPUTED_VALUE"""),1424.47)</f>
        <v>1424.47</v>
      </c>
      <c r="E211" s="2">
        <f>IFERROR(__xludf.DUMMYFUNCTION("""COMPUTED_VALUE"""),1428.94)</f>
        <v>1428.94</v>
      </c>
      <c r="F211" s="2">
        <f>IFERROR(__xludf.DUMMYFUNCTION("""COMPUTED_VALUE"""),8.60369E7)</f>
        <v>86036900</v>
      </c>
      <c r="G211" s="2">
        <f t="shared" si="1"/>
        <v>40.19</v>
      </c>
    </row>
    <row r="212" ht="15.75" customHeight="1">
      <c r="A212" s="1">
        <f>IFERROR(__xludf.DUMMYFUNCTION("""COMPUTED_VALUE"""),44147.66666666667)</f>
        <v>44147.66667</v>
      </c>
      <c r="B212" s="2">
        <f>IFERROR(__xludf.DUMMYFUNCTION("""COMPUTED_VALUE"""),1428.94)</f>
        <v>1428.94</v>
      </c>
      <c r="C212" s="2">
        <f>IFERROR(__xludf.DUMMYFUNCTION("""COMPUTED_VALUE"""),1433.4)</f>
        <v>1433.4</v>
      </c>
      <c r="D212" s="2">
        <f>IFERROR(__xludf.DUMMYFUNCTION("""COMPUTED_VALUE"""),1397.68)</f>
        <v>1397.68</v>
      </c>
      <c r="E212" s="2">
        <f>IFERROR(__xludf.DUMMYFUNCTION("""COMPUTED_VALUE"""),1420.01)</f>
        <v>1420.01</v>
      </c>
      <c r="F212" s="2">
        <f>IFERROR(__xludf.DUMMYFUNCTION("""COMPUTED_VALUE"""),4.64012E7)</f>
        <v>46401200</v>
      </c>
      <c r="G212" s="2">
        <f t="shared" si="1"/>
        <v>35.72</v>
      </c>
    </row>
    <row r="213" ht="15.75" customHeight="1">
      <c r="A213" s="1">
        <f>IFERROR(__xludf.DUMMYFUNCTION("""COMPUTED_VALUE"""),44148.66666666667)</f>
        <v>44148.66667</v>
      </c>
      <c r="B213" s="2">
        <f>IFERROR(__xludf.DUMMYFUNCTION("""COMPUTED_VALUE"""),1411.08)</f>
        <v>1411.08</v>
      </c>
      <c r="C213" s="2">
        <f>IFERROR(__xludf.DUMMYFUNCTION("""COMPUTED_VALUE"""),1446.8)</f>
        <v>1446.8</v>
      </c>
      <c r="D213" s="2">
        <f>IFERROR(__xludf.DUMMYFUNCTION("""COMPUTED_VALUE"""),1402.14)</f>
        <v>1402.14</v>
      </c>
      <c r="E213" s="2">
        <f>IFERROR(__xludf.DUMMYFUNCTION("""COMPUTED_VALUE"""),1442.33)</f>
        <v>1442.33</v>
      </c>
      <c r="F213" s="2">
        <f>IFERROR(__xludf.DUMMYFUNCTION("""COMPUTED_VALUE"""),4.16686E7)</f>
        <v>41668600</v>
      </c>
      <c r="G213" s="2">
        <f t="shared" si="1"/>
        <v>44.66</v>
      </c>
    </row>
    <row r="214" ht="15.75" customHeight="1">
      <c r="A214" s="1">
        <f>IFERROR(__xludf.DUMMYFUNCTION("""COMPUTED_VALUE"""),44151.66666666667)</f>
        <v>44151.66667</v>
      </c>
      <c r="B214" s="2">
        <f>IFERROR(__xludf.DUMMYFUNCTION("""COMPUTED_VALUE"""),1464.66)</f>
        <v>1464.66</v>
      </c>
      <c r="C214" s="2">
        <f>IFERROR(__xludf.DUMMYFUNCTION("""COMPUTED_VALUE"""),1500.38)</f>
        <v>1500.38</v>
      </c>
      <c r="D214" s="2">
        <f>IFERROR(__xludf.DUMMYFUNCTION("""COMPUTED_VALUE"""),1455.73)</f>
        <v>1455.73</v>
      </c>
      <c r="E214" s="2">
        <f>IFERROR(__xludf.DUMMYFUNCTION("""COMPUTED_VALUE"""),1473.59)</f>
        <v>1473.59</v>
      </c>
      <c r="F214" s="2">
        <f>IFERROR(__xludf.DUMMYFUNCTION("""COMPUTED_VALUE"""),7.10132E7)</f>
        <v>71013200</v>
      </c>
      <c r="G214" s="2">
        <f t="shared" si="1"/>
        <v>58.05</v>
      </c>
    </row>
    <row r="215" ht="15.75" customHeight="1">
      <c r="A215" s="1">
        <f>IFERROR(__xludf.DUMMYFUNCTION("""COMPUTED_VALUE"""),44152.66666666667)</f>
        <v>44152.66667</v>
      </c>
      <c r="B215" s="2">
        <f>IFERROR(__xludf.DUMMYFUNCTION("""COMPUTED_VALUE"""),1486.99)</f>
        <v>1486.99</v>
      </c>
      <c r="C215" s="2">
        <f>IFERROR(__xludf.DUMMYFUNCTION("""COMPUTED_VALUE"""),1495.92)</f>
        <v>1495.92</v>
      </c>
      <c r="D215" s="2">
        <f>IFERROR(__xludf.DUMMYFUNCTION("""COMPUTED_VALUE"""),1464.66)</f>
        <v>1464.66</v>
      </c>
      <c r="E215" s="2">
        <f>IFERROR(__xludf.DUMMYFUNCTION("""COMPUTED_VALUE"""),1473.59)</f>
        <v>1473.59</v>
      </c>
      <c r="F215" s="2">
        <f>IFERROR(__xludf.DUMMYFUNCTION("""COMPUTED_VALUE"""),4.08939E7)</f>
        <v>40893900</v>
      </c>
      <c r="G215" s="2">
        <f t="shared" si="1"/>
        <v>31.26</v>
      </c>
    </row>
    <row r="216" ht="15.75" customHeight="1">
      <c r="A216" s="1">
        <f>IFERROR(__xludf.DUMMYFUNCTION("""COMPUTED_VALUE"""),44153.66666666667)</f>
        <v>44153.66667</v>
      </c>
      <c r="B216" s="2">
        <f>IFERROR(__xludf.DUMMYFUNCTION("""COMPUTED_VALUE"""),1473.59)</f>
        <v>1473.59</v>
      </c>
      <c r="C216" s="2">
        <f>IFERROR(__xludf.DUMMYFUNCTION("""COMPUTED_VALUE"""),1527.18)</f>
        <v>1527.18</v>
      </c>
      <c r="D216" s="2">
        <f>IFERROR(__xludf.DUMMYFUNCTION("""COMPUTED_VALUE"""),1469.13)</f>
        <v>1469.13</v>
      </c>
      <c r="E216" s="2">
        <f>IFERROR(__xludf.DUMMYFUNCTION("""COMPUTED_VALUE"""),1518.25)</f>
        <v>1518.25</v>
      </c>
      <c r="F216" s="2">
        <f>IFERROR(__xludf.DUMMYFUNCTION("""COMPUTED_VALUE"""),5.92922E7)</f>
        <v>59292200</v>
      </c>
      <c r="G216" s="2">
        <f t="shared" si="1"/>
        <v>58.05</v>
      </c>
    </row>
    <row r="217" ht="15.75" customHeight="1">
      <c r="A217" s="1">
        <f>IFERROR(__xludf.DUMMYFUNCTION("""COMPUTED_VALUE"""),44154.66666666667)</f>
        <v>44154.66667</v>
      </c>
      <c r="B217" s="2">
        <f>IFERROR(__xludf.DUMMYFUNCTION("""COMPUTED_VALUE"""),1518.25)</f>
        <v>1518.25</v>
      </c>
      <c r="C217" s="2">
        <f>IFERROR(__xludf.DUMMYFUNCTION("""COMPUTED_VALUE"""),1545.04)</f>
        <v>1545.04</v>
      </c>
      <c r="D217" s="2">
        <f>IFERROR(__xludf.DUMMYFUNCTION("""COMPUTED_VALUE"""),1500.38)</f>
        <v>1500.38</v>
      </c>
      <c r="E217" s="2">
        <f>IFERROR(__xludf.DUMMYFUNCTION("""COMPUTED_VALUE"""),1522.71)</f>
        <v>1522.71</v>
      </c>
      <c r="F217" s="2">
        <f>IFERROR(__xludf.DUMMYFUNCTION("""COMPUTED_VALUE"""),6.95429E7)</f>
        <v>69542900</v>
      </c>
      <c r="G217" s="2">
        <f t="shared" si="1"/>
        <v>44.66</v>
      </c>
    </row>
    <row r="218" ht="15.75" customHeight="1">
      <c r="A218" s="1">
        <f>IFERROR(__xludf.DUMMYFUNCTION("""COMPUTED_VALUE"""),44155.66666666667)</f>
        <v>44155.66667</v>
      </c>
      <c r="B218" s="2">
        <f>IFERROR(__xludf.DUMMYFUNCTION("""COMPUTED_VALUE"""),1522.71)</f>
        <v>1522.71</v>
      </c>
      <c r="C218" s="2">
        <f>IFERROR(__xludf.DUMMYFUNCTION("""COMPUTED_VALUE"""),1531.64)</f>
        <v>1531.64</v>
      </c>
      <c r="D218" s="2">
        <f>IFERROR(__xludf.DUMMYFUNCTION("""COMPUTED_VALUE"""),1482.52)</f>
        <v>1482.52</v>
      </c>
      <c r="E218" s="2">
        <f>IFERROR(__xludf.DUMMYFUNCTION("""COMPUTED_VALUE"""),1500.38)</f>
        <v>1500.38</v>
      </c>
      <c r="F218" s="2">
        <f>IFERROR(__xludf.DUMMYFUNCTION("""COMPUTED_VALUE"""),3.5605E7)</f>
        <v>35605000</v>
      </c>
      <c r="G218" s="2">
        <f t="shared" si="1"/>
        <v>49.12</v>
      </c>
    </row>
    <row r="219" ht="15.75" customHeight="1">
      <c r="A219" s="1">
        <f>IFERROR(__xludf.DUMMYFUNCTION("""COMPUTED_VALUE"""),44158.66666666667)</f>
        <v>44158.66667</v>
      </c>
      <c r="B219" s="2">
        <f>IFERROR(__xludf.DUMMYFUNCTION("""COMPUTED_VALUE"""),1504.85)</f>
        <v>1504.85</v>
      </c>
      <c r="C219" s="2">
        <f>IFERROR(__xludf.DUMMYFUNCTION("""COMPUTED_VALUE"""),1536.11)</f>
        <v>1536.11</v>
      </c>
      <c r="D219" s="2">
        <f>IFERROR(__xludf.DUMMYFUNCTION("""COMPUTED_VALUE"""),1500.38)</f>
        <v>1500.38</v>
      </c>
      <c r="E219" s="2">
        <f>IFERROR(__xludf.DUMMYFUNCTION("""COMPUTED_VALUE"""),1527.18)</f>
        <v>1527.18</v>
      </c>
      <c r="F219" s="2">
        <f>IFERROR(__xludf.DUMMYFUNCTION("""COMPUTED_VALUE"""),4.00407E7)</f>
        <v>40040700</v>
      </c>
      <c r="G219" s="2">
        <f t="shared" si="1"/>
        <v>35.73</v>
      </c>
    </row>
    <row r="220" ht="15.75" customHeight="1">
      <c r="A220" s="1">
        <f>IFERROR(__xludf.DUMMYFUNCTION("""COMPUTED_VALUE"""),44159.66666666667)</f>
        <v>44159.66667</v>
      </c>
      <c r="B220" s="2">
        <f>IFERROR(__xludf.DUMMYFUNCTION("""COMPUTED_VALUE"""),1536.11)</f>
        <v>1536.11</v>
      </c>
      <c r="C220" s="2">
        <f>IFERROR(__xludf.DUMMYFUNCTION("""COMPUTED_VALUE"""),1545.04)</f>
        <v>1545.04</v>
      </c>
      <c r="D220" s="2">
        <f>IFERROR(__xludf.DUMMYFUNCTION("""COMPUTED_VALUE"""),1522.71)</f>
        <v>1522.71</v>
      </c>
      <c r="E220" s="2">
        <f>IFERROR(__xludf.DUMMYFUNCTION("""COMPUTED_VALUE"""),1540.57)</f>
        <v>1540.57</v>
      </c>
      <c r="F220" s="2">
        <f>IFERROR(__xludf.DUMMYFUNCTION("""COMPUTED_VALUE"""),4.4713E7)</f>
        <v>44713000</v>
      </c>
      <c r="G220" s="2">
        <f t="shared" si="1"/>
        <v>22.33</v>
      </c>
    </row>
    <row r="221" ht="15.75" customHeight="1">
      <c r="A221" s="1">
        <f>IFERROR(__xludf.DUMMYFUNCTION("""COMPUTED_VALUE"""),44160.66666666667)</f>
        <v>44160.66667</v>
      </c>
      <c r="B221" s="2">
        <f>IFERROR(__xludf.DUMMYFUNCTION("""COMPUTED_VALUE"""),1549.5)</f>
        <v>1549.5</v>
      </c>
      <c r="C221" s="2">
        <f>IFERROR(__xludf.DUMMYFUNCTION("""COMPUTED_VALUE"""),1580.76)</f>
        <v>1580.76</v>
      </c>
      <c r="D221" s="2">
        <f>IFERROR(__xludf.DUMMYFUNCTION("""COMPUTED_VALUE"""),1518.25)</f>
        <v>1518.25</v>
      </c>
      <c r="E221" s="2">
        <f>IFERROR(__xludf.DUMMYFUNCTION("""COMPUTED_VALUE"""),1540.57)</f>
        <v>1540.57</v>
      </c>
      <c r="F221" s="2">
        <f>IFERROR(__xludf.DUMMYFUNCTION("""COMPUTED_VALUE"""),6.07195E7)</f>
        <v>60719500</v>
      </c>
      <c r="G221" s="2">
        <f t="shared" si="1"/>
        <v>62.51</v>
      </c>
    </row>
    <row r="222" ht="15.75" customHeight="1">
      <c r="A222" s="1">
        <f>IFERROR(__xludf.DUMMYFUNCTION("""COMPUTED_VALUE"""),44161.66666666667)</f>
        <v>44161.66667</v>
      </c>
      <c r="B222" s="2">
        <f>IFERROR(__xludf.DUMMYFUNCTION("""COMPUTED_VALUE"""),1531.64)</f>
        <v>1531.64</v>
      </c>
      <c r="C222" s="2">
        <f>IFERROR(__xludf.DUMMYFUNCTION("""COMPUTED_VALUE"""),1562.9)</f>
        <v>1562.9</v>
      </c>
      <c r="D222" s="2">
        <f>IFERROR(__xludf.DUMMYFUNCTION("""COMPUTED_VALUE"""),1527.18)</f>
        <v>1527.18</v>
      </c>
      <c r="E222" s="2">
        <f>IFERROR(__xludf.DUMMYFUNCTION("""COMPUTED_VALUE"""),1562.9)</f>
        <v>1562.9</v>
      </c>
      <c r="F222" s="2">
        <f>IFERROR(__xludf.DUMMYFUNCTION("""COMPUTED_VALUE"""),4.01121E7)</f>
        <v>40112100</v>
      </c>
      <c r="G222" s="2">
        <f t="shared" si="1"/>
        <v>35.72</v>
      </c>
    </row>
    <row r="223" ht="15.75" customHeight="1">
      <c r="A223" s="1">
        <f>IFERROR(__xludf.DUMMYFUNCTION("""COMPUTED_VALUE"""),44162.66666666667)</f>
        <v>44162.66667</v>
      </c>
      <c r="B223" s="2">
        <f>IFERROR(__xludf.DUMMYFUNCTION("""COMPUTED_VALUE"""),1571.83)</f>
        <v>1571.83</v>
      </c>
      <c r="C223" s="2">
        <f>IFERROR(__xludf.DUMMYFUNCTION("""COMPUTED_VALUE"""),1580.76)</f>
        <v>1580.76</v>
      </c>
      <c r="D223" s="2">
        <f>IFERROR(__xludf.DUMMYFUNCTION("""COMPUTED_VALUE"""),1549.5)</f>
        <v>1549.5</v>
      </c>
      <c r="E223" s="2">
        <f>IFERROR(__xludf.DUMMYFUNCTION("""COMPUTED_VALUE"""),1553.97)</f>
        <v>1553.97</v>
      </c>
      <c r="F223" s="2">
        <f>IFERROR(__xludf.DUMMYFUNCTION("""COMPUTED_VALUE"""),3.07913E7)</f>
        <v>30791300</v>
      </c>
      <c r="G223" s="2">
        <f t="shared" si="1"/>
        <v>31.26</v>
      </c>
    </row>
    <row r="224" ht="15.75" customHeight="1">
      <c r="A224" s="1">
        <f>IFERROR(__xludf.DUMMYFUNCTION("""COMPUTED_VALUE"""),44165.66666666667)</f>
        <v>44165.66667</v>
      </c>
      <c r="B224" s="2">
        <f>IFERROR(__xludf.DUMMYFUNCTION("""COMPUTED_VALUE"""),1567.37)</f>
        <v>1567.37</v>
      </c>
      <c r="C224" s="2">
        <f>IFERROR(__xludf.DUMMYFUNCTION("""COMPUTED_VALUE"""),1567.37)</f>
        <v>1567.37</v>
      </c>
      <c r="D224" s="2">
        <f>IFERROR(__xludf.DUMMYFUNCTION("""COMPUTED_VALUE"""),1446.8)</f>
        <v>1446.8</v>
      </c>
      <c r="E224" s="2">
        <f>IFERROR(__xludf.DUMMYFUNCTION("""COMPUTED_VALUE"""),1469.13)</f>
        <v>1469.13</v>
      </c>
      <c r="F224" s="2">
        <f>IFERROR(__xludf.DUMMYFUNCTION("""COMPUTED_VALUE"""),8.04576E7)</f>
        <v>80457600</v>
      </c>
      <c r="G224" s="2">
        <f t="shared" si="1"/>
        <v>120.57</v>
      </c>
    </row>
    <row r="225" ht="15.75" customHeight="1">
      <c r="A225" s="1">
        <f>IFERROR(__xludf.DUMMYFUNCTION("""COMPUTED_VALUE"""),44166.66666666667)</f>
        <v>44166.66667</v>
      </c>
      <c r="B225" s="2">
        <f>IFERROR(__xludf.DUMMYFUNCTION("""COMPUTED_VALUE"""),1478.06)</f>
        <v>1478.06</v>
      </c>
      <c r="C225" s="2">
        <f>IFERROR(__xludf.DUMMYFUNCTION("""COMPUTED_VALUE"""),1545.04)</f>
        <v>1545.04</v>
      </c>
      <c r="D225" s="2">
        <f>IFERROR(__xludf.DUMMYFUNCTION("""COMPUTED_VALUE"""),1469.13)</f>
        <v>1469.13</v>
      </c>
      <c r="E225" s="2">
        <f>IFERROR(__xludf.DUMMYFUNCTION("""COMPUTED_VALUE"""),1536.11)</f>
        <v>1536.11</v>
      </c>
      <c r="F225" s="2">
        <f>IFERROR(__xludf.DUMMYFUNCTION("""COMPUTED_VALUE"""),7.43189E7)</f>
        <v>74318900</v>
      </c>
      <c r="G225" s="2">
        <f t="shared" si="1"/>
        <v>75.91</v>
      </c>
    </row>
    <row r="226" ht="15.75" customHeight="1">
      <c r="A226" s="1">
        <f>IFERROR(__xludf.DUMMYFUNCTION("""COMPUTED_VALUE"""),44167.66666666667)</f>
        <v>44167.66667</v>
      </c>
      <c r="B226" s="2">
        <f>IFERROR(__xludf.DUMMYFUNCTION("""COMPUTED_VALUE"""),1545.04)</f>
        <v>1545.04</v>
      </c>
      <c r="C226" s="2">
        <f>IFERROR(__xludf.DUMMYFUNCTION("""COMPUTED_VALUE"""),1558.43)</f>
        <v>1558.43</v>
      </c>
      <c r="D226" s="2">
        <f>IFERROR(__xludf.DUMMYFUNCTION("""COMPUTED_VALUE"""),1536.11)</f>
        <v>1536.11</v>
      </c>
      <c r="E226" s="2">
        <f>IFERROR(__xludf.DUMMYFUNCTION("""COMPUTED_VALUE"""),1553.97)</f>
        <v>1553.97</v>
      </c>
      <c r="F226" s="2">
        <f>IFERROR(__xludf.DUMMYFUNCTION("""COMPUTED_VALUE"""),4.22339E7)</f>
        <v>42233900</v>
      </c>
      <c r="G226" s="2">
        <f t="shared" si="1"/>
        <v>22.32</v>
      </c>
    </row>
    <row r="227" ht="15.75" customHeight="1">
      <c r="A227" s="1">
        <f>IFERROR(__xludf.DUMMYFUNCTION("""COMPUTED_VALUE"""),44168.66666666667)</f>
        <v>44168.66667</v>
      </c>
      <c r="B227" s="2">
        <f>IFERROR(__xludf.DUMMYFUNCTION("""COMPUTED_VALUE"""),1562.9)</f>
        <v>1562.9</v>
      </c>
      <c r="C227" s="2">
        <f>IFERROR(__xludf.DUMMYFUNCTION("""COMPUTED_VALUE"""),1576.3)</f>
        <v>1576.3</v>
      </c>
      <c r="D227" s="2">
        <f>IFERROR(__xludf.DUMMYFUNCTION("""COMPUTED_VALUE"""),1531.64)</f>
        <v>1531.64</v>
      </c>
      <c r="E227" s="2">
        <f>IFERROR(__xludf.DUMMYFUNCTION("""COMPUTED_VALUE"""),1536.11)</f>
        <v>1536.11</v>
      </c>
      <c r="F227" s="2">
        <f>IFERROR(__xludf.DUMMYFUNCTION("""COMPUTED_VALUE"""),7.67326E7)</f>
        <v>76732600</v>
      </c>
      <c r="G227" s="2">
        <f t="shared" si="1"/>
        <v>44.66</v>
      </c>
    </row>
    <row r="228" ht="15.75" customHeight="1">
      <c r="A228" s="1">
        <f>IFERROR(__xludf.DUMMYFUNCTION("""COMPUTED_VALUE"""),44169.66666666667)</f>
        <v>44169.66667</v>
      </c>
      <c r="B228" s="2">
        <f>IFERROR(__xludf.DUMMYFUNCTION("""COMPUTED_VALUE"""),1536.11)</f>
        <v>1536.11</v>
      </c>
      <c r="C228" s="2">
        <f>IFERROR(__xludf.DUMMYFUNCTION("""COMPUTED_VALUE"""),1545.04)</f>
        <v>1545.04</v>
      </c>
      <c r="D228" s="2">
        <f>IFERROR(__xludf.DUMMYFUNCTION("""COMPUTED_VALUE"""),1518.25)</f>
        <v>1518.25</v>
      </c>
      <c r="E228" s="2">
        <f>IFERROR(__xludf.DUMMYFUNCTION("""COMPUTED_VALUE"""),1536.11)</f>
        <v>1536.11</v>
      </c>
      <c r="F228" s="2">
        <f>IFERROR(__xludf.DUMMYFUNCTION("""COMPUTED_VALUE"""),2.973E7)</f>
        <v>29730000</v>
      </c>
      <c r="G228" s="2">
        <f t="shared" si="1"/>
        <v>26.79</v>
      </c>
    </row>
    <row r="229" ht="15.75" customHeight="1">
      <c r="A229" s="1">
        <f>IFERROR(__xludf.DUMMYFUNCTION("""COMPUTED_VALUE"""),44172.66666666667)</f>
        <v>44172.66667</v>
      </c>
      <c r="B229" s="2">
        <f>IFERROR(__xludf.DUMMYFUNCTION("""COMPUTED_VALUE"""),1553.97)</f>
        <v>1553.97</v>
      </c>
      <c r="C229" s="2">
        <f>IFERROR(__xludf.DUMMYFUNCTION("""COMPUTED_VALUE"""),1567.37)</f>
        <v>1567.37</v>
      </c>
      <c r="D229" s="2">
        <f>IFERROR(__xludf.DUMMYFUNCTION("""COMPUTED_VALUE"""),1536.11)</f>
        <v>1536.11</v>
      </c>
      <c r="E229" s="2">
        <f>IFERROR(__xludf.DUMMYFUNCTION("""COMPUTED_VALUE"""),1549.5)</f>
        <v>1549.5</v>
      </c>
      <c r="F229" s="2">
        <f>IFERROR(__xludf.DUMMYFUNCTION("""COMPUTED_VALUE"""),5.72038E7)</f>
        <v>57203800</v>
      </c>
      <c r="G229" s="2">
        <f t="shared" si="1"/>
        <v>31.26</v>
      </c>
    </row>
    <row r="230" ht="15.75" customHeight="1">
      <c r="A230" s="1">
        <f>IFERROR(__xludf.DUMMYFUNCTION("""COMPUTED_VALUE"""),44173.66666666667)</f>
        <v>44173.66667</v>
      </c>
      <c r="B230" s="2">
        <f>IFERROR(__xludf.DUMMYFUNCTION("""COMPUTED_VALUE"""),1553.97)</f>
        <v>1553.97</v>
      </c>
      <c r="C230" s="2">
        <f>IFERROR(__xludf.DUMMYFUNCTION("""COMPUTED_VALUE"""),1558.43)</f>
        <v>1558.43</v>
      </c>
      <c r="D230" s="2">
        <f>IFERROR(__xludf.DUMMYFUNCTION("""COMPUTED_VALUE"""),1527.18)</f>
        <v>1527.18</v>
      </c>
      <c r="E230" s="2">
        <f>IFERROR(__xludf.DUMMYFUNCTION("""COMPUTED_VALUE"""),1531.64)</f>
        <v>1531.64</v>
      </c>
      <c r="F230" s="2">
        <f>IFERROR(__xludf.DUMMYFUNCTION("""COMPUTED_VALUE"""),3.81426E7)</f>
        <v>38142600</v>
      </c>
      <c r="G230" s="2">
        <f t="shared" si="1"/>
        <v>31.25</v>
      </c>
    </row>
    <row r="231" ht="15.75" customHeight="1">
      <c r="A231" s="1">
        <f>IFERROR(__xludf.DUMMYFUNCTION("""COMPUTED_VALUE"""),44175.66666666667)</f>
        <v>44175.66667</v>
      </c>
      <c r="B231" s="2">
        <f>IFERROR(__xludf.DUMMYFUNCTION("""COMPUTED_VALUE"""),1545.04)</f>
        <v>1545.04</v>
      </c>
      <c r="C231" s="2">
        <f>IFERROR(__xludf.DUMMYFUNCTION("""COMPUTED_VALUE"""),1553.97)</f>
        <v>1553.97</v>
      </c>
      <c r="D231" s="2">
        <f>IFERROR(__xludf.DUMMYFUNCTION("""COMPUTED_VALUE"""),1522.71)</f>
        <v>1522.71</v>
      </c>
      <c r="E231" s="2">
        <f>IFERROR(__xludf.DUMMYFUNCTION("""COMPUTED_VALUE"""),1527.18)</f>
        <v>1527.18</v>
      </c>
      <c r="F231" s="2">
        <f>IFERROR(__xludf.DUMMYFUNCTION("""COMPUTED_VALUE"""),4.2215E7)</f>
        <v>42215000</v>
      </c>
      <c r="G231" s="2">
        <f t="shared" si="1"/>
        <v>31.26</v>
      </c>
    </row>
    <row r="232" ht="15.75" customHeight="1">
      <c r="A232" s="1">
        <f>IFERROR(__xludf.DUMMYFUNCTION("""COMPUTED_VALUE"""),44176.66666666667)</f>
        <v>44176.66667</v>
      </c>
      <c r="B232" s="2">
        <f>IFERROR(__xludf.DUMMYFUNCTION("""COMPUTED_VALUE"""),1527.18)</f>
        <v>1527.18</v>
      </c>
      <c r="C232" s="2">
        <f>IFERROR(__xludf.DUMMYFUNCTION("""COMPUTED_VALUE"""),1540.57)</f>
        <v>1540.57</v>
      </c>
      <c r="D232" s="2">
        <f>IFERROR(__xludf.DUMMYFUNCTION("""COMPUTED_VALUE"""),1518.25)</f>
        <v>1518.25</v>
      </c>
      <c r="E232" s="2">
        <f>IFERROR(__xludf.DUMMYFUNCTION("""COMPUTED_VALUE"""),1522.71)</f>
        <v>1522.71</v>
      </c>
      <c r="F232" s="2">
        <f>IFERROR(__xludf.DUMMYFUNCTION("""COMPUTED_VALUE"""),2.87686E7)</f>
        <v>28768600</v>
      </c>
      <c r="G232" s="2">
        <f t="shared" si="1"/>
        <v>22.32</v>
      </c>
    </row>
    <row r="233" ht="15.75" customHeight="1">
      <c r="A233" s="1">
        <f>IFERROR(__xludf.DUMMYFUNCTION("""COMPUTED_VALUE"""),44179.66666666667)</f>
        <v>44179.66667</v>
      </c>
      <c r="B233" s="2">
        <f>IFERROR(__xludf.DUMMYFUNCTION("""COMPUTED_VALUE"""),1545.04)</f>
        <v>1545.04</v>
      </c>
      <c r="C233" s="2">
        <f>IFERROR(__xludf.DUMMYFUNCTION("""COMPUTED_VALUE"""),1652.21)</f>
        <v>1652.21</v>
      </c>
      <c r="D233" s="2">
        <f>IFERROR(__xludf.DUMMYFUNCTION("""COMPUTED_VALUE"""),1531.64)</f>
        <v>1531.64</v>
      </c>
      <c r="E233" s="2">
        <f>IFERROR(__xludf.DUMMYFUNCTION("""COMPUTED_VALUE"""),1643.28)</f>
        <v>1643.28</v>
      </c>
      <c r="F233" s="2">
        <f>IFERROR(__xludf.DUMMYFUNCTION("""COMPUTED_VALUE"""),2.057299E8)</f>
        <v>205729900</v>
      </c>
      <c r="G233" s="2">
        <f t="shared" si="1"/>
        <v>129.5</v>
      </c>
    </row>
    <row r="234" ht="15.75" customHeight="1">
      <c r="A234" s="1">
        <f>IFERROR(__xludf.DUMMYFUNCTION("""COMPUTED_VALUE"""),44180.66666666667)</f>
        <v>44180.66667</v>
      </c>
      <c r="B234" s="2">
        <f>IFERROR(__xludf.DUMMYFUNCTION("""COMPUTED_VALUE"""),1647.74)</f>
        <v>1647.74</v>
      </c>
      <c r="C234" s="2">
        <f>IFERROR(__xludf.DUMMYFUNCTION("""COMPUTED_VALUE"""),1692.4)</f>
        <v>1692.4</v>
      </c>
      <c r="D234" s="2">
        <f>IFERROR(__xludf.DUMMYFUNCTION("""COMPUTED_VALUE"""),1629.88)</f>
        <v>1629.88</v>
      </c>
      <c r="E234" s="2">
        <f>IFERROR(__xludf.DUMMYFUNCTION("""COMPUTED_VALUE"""),1638.81)</f>
        <v>1638.81</v>
      </c>
      <c r="F234" s="2">
        <f>IFERROR(__xludf.DUMMYFUNCTION("""COMPUTED_VALUE"""),1.244256E8)</f>
        <v>124425600</v>
      </c>
      <c r="G234" s="2">
        <f t="shared" si="1"/>
        <v>62.52</v>
      </c>
    </row>
    <row r="235" ht="15.75" customHeight="1">
      <c r="A235" s="1">
        <f>IFERROR(__xludf.DUMMYFUNCTION("""COMPUTED_VALUE"""),44181.66666666667)</f>
        <v>44181.66667</v>
      </c>
      <c r="B235" s="2">
        <f>IFERROR(__xludf.DUMMYFUNCTION("""COMPUTED_VALUE"""),1652.21)</f>
        <v>1652.21</v>
      </c>
      <c r="C235" s="2">
        <f>IFERROR(__xludf.DUMMYFUNCTION("""COMPUTED_VALUE"""),1759.38)</f>
        <v>1759.38</v>
      </c>
      <c r="D235" s="2">
        <f>IFERROR(__xludf.DUMMYFUNCTION("""COMPUTED_VALUE"""),1647.74)</f>
        <v>1647.74</v>
      </c>
      <c r="E235" s="2">
        <f>IFERROR(__xludf.DUMMYFUNCTION("""COMPUTED_VALUE"""),1705.79)</f>
        <v>1705.79</v>
      </c>
      <c r="F235" s="2">
        <f>IFERROR(__xludf.DUMMYFUNCTION("""COMPUTED_VALUE"""),1.002949E8)</f>
        <v>100294900</v>
      </c>
      <c r="G235" s="2">
        <f t="shared" si="1"/>
        <v>120.57</v>
      </c>
    </row>
    <row r="236" ht="15.75" customHeight="1">
      <c r="A236" s="1">
        <f>IFERROR(__xludf.DUMMYFUNCTION("""COMPUTED_VALUE"""),44182.66666666667)</f>
        <v>44182.66667</v>
      </c>
      <c r="B236" s="2">
        <f>IFERROR(__xludf.DUMMYFUNCTION("""COMPUTED_VALUE"""),1710.26)</f>
        <v>1710.26</v>
      </c>
      <c r="C236" s="2">
        <f>IFERROR(__xludf.DUMMYFUNCTION("""COMPUTED_VALUE"""),1732.59)</f>
        <v>1732.59</v>
      </c>
      <c r="D236" s="2">
        <f>IFERROR(__xludf.DUMMYFUNCTION("""COMPUTED_VALUE"""),1683.47)</f>
        <v>1683.47</v>
      </c>
      <c r="E236" s="2">
        <f>IFERROR(__xludf.DUMMYFUNCTION("""COMPUTED_VALUE"""),1714.73)</f>
        <v>1714.73</v>
      </c>
      <c r="F236" s="2">
        <f>IFERROR(__xludf.DUMMYFUNCTION("""COMPUTED_VALUE"""),6.22162E7)</f>
        <v>62216200</v>
      </c>
      <c r="G236" s="2">
        <f t="shared" si="1"/>
        <v>49.12</v>
      </c>
    </row>
    <row r="237" ht="15.75" customHeight="1">
      <c r="A237" s="1">
        <f>IFERROR(__xludf.DUMMYFUNCTION("""COMPUTED_VALUE"""),44183.66666666667)</f>
        <v>44183.66667</v>
      </c>
      <c r="B237" s="2">
        <f>IFERROR(__xludf.DUMMYFUNCTION("""COMPUTED_VALUE"""),1714.73)</f>
        <v>1714.73</v>
      </c>
      <c r="C237" s="2">
        <f>IFERROR(__xludf.DUMMYFUNCTION("""COMPUTED_VALUE"""),1741.52)</f>
        <v>1741.52</v>
      </c>
      <c r="D237" s="2">
        <f>IFERROR(__xludf.DUMMYFUNCTION("""COMPUTED_VALUE"""),1701.33)</f>
        <v>1701.33</v>
      </c>
      <c r="E237" s="2">
        <f>IFERROR(__xludf.DUMMYFUNCTION("""COMPUTED_VALUE"""),1732.59)</f>
        <v>1732.59</v>
      </c>
      <c r="F237" s="2">
        <f>IFERROR(__xludf.DUMMYFUNCTION("""COMPUTED_VALUE"""),4.66147E7)</f>
        <v>46614700</v>
      </c>
      <c r="G237" s="2">
        <f t="shared" si="1"/>
        <v>40.19</v>
      </c>
    </row>
    <row r="238" ht="15.75" customHeight="1">
      <c r="A238" s="1">
        <f>IFERROR(__xludf.DUMMYFUNCTION("""COMPUTED_VALUE"""),44186.66666666667)</f>
        <v>44186.66667</v>
      </c>
      <c r="B238" s="2">
        <f>IFERROR(__xludf.DUMMYFUNCTION("""COMPUTED_VALUE"""),1741.52)</f>
        <v>1741.52</v>
      </c>
      <c r="C238" s="2">
        <f>IFERROR(__xludf.DUMMYFUNCTION("""COMPUTED_VALUE"""),1786.17)</f>
        <v>1786.17</v>
      </c>
      <c r="D238" s="2">
        <f>IFERROR(__xludf.DUMMYFUNCTION("""COMPUTED_VALUE"""),1737.05)</f>
        <v>1737.05</v>
      </c>
      <c r="E238" s="2">
        <f>IFERROR(__xludf.DUMMYFUNCTION("""COMPUTED_VALUE"""),1786.17)</f>
        <v>1786.17</v>
      </c>
      <c r="F238" s="2">
        <f>IFERROR(__xludf.DUMMYFUNCTION("""COMPUTED_VALUE"""),5.25512E7)</f>
        <v>52551200</v>
      </c>
      <c r="G238" s="2">
        <f t="shared" si="1"/>
        <v>53.58</v>
      </c>
    </row>
    <row r="239" ht="15.75" customHeight="1">
      <c r="A239" s="1">
        <f>IFERROR(__xludf.DUMMYFUNCTION("""COMPUTED_VALUE"""),44187.66666666667)</f>
        <v>44187.66667</v>
      </c>
      <c r="B239" s="2">
        <f>IFERROR(__xludf.DUMMYFUNCTION("""COMPUTED_VALUE"""),1786.17)</f>
        <v>1786.17</v>
      </c>
      <c r="C239" s="2">
        <f>IFERROR(__xludf.DUMMYFUNCTION("""COMPUTED_VALUE"""),1786.17)</f>
        <v>1786.17</v>
      </c>
      <c r="D239" s="2">
        <f>IFERROR(__xludf.DUMMYFUNCTION("""COMPUTED_VALUE"""),1661.14)</f>
        <v>1661.14</v>
      </c>
      <c r="E239" s="2">
        <f>IFERROR(__xludf.DUMMYFUNCTION("""COMPUTED_VALUE"""),1665.61)</f>
        <v>1665.61</v>
      </c>
      <c r="F239" s="2">
        <f>IFERROR(__xludf.DUMMYFUNCTION("""COMPUTED_VALUE"""),1.018328E8)</f>
        <v>101832800</v>
      </c>
      <c r="G239" s="2">
        <f t="shared" si="1"/>
        <v>125.03</v>
      </c>
    </row>
    <row r="240" ht="15.75" customHeight="1">
      <c r="A240" s="1">
        <f>IFERROR(__xludf.DUMMYFUNCTION("""COMPUTED_VALUE"""),44188.66666666667)</f>
        <v>44188.66667</v>
      </c>
      <c r="B240" s="2">
        <f>IFERROR(__xludf.DUMMYFUNCTION("""COMPUTED_VALUE"""),1674.54)</f>
        <v>1674.54</v>
      </c>
      <c r="C240" s="2">
        <f>IFERROR(__xludf.DUMMYFUNCTION("""COMPUTED_VALUE"""),1696.86)</f>
        <v>1696.86</v>
      </c>
      <c r="D240" s="2">
        <f>IFERROR(__xludf.DUMMYFUNCTION("""COMPUTED_VALUE"""),1549.5)</f>
        <v>1549.5</v>
      </c>
      <c r="E240" s="2">
        <f>IFERROR(__xludf.DUMMYFUNCTION("""COMPUTED_VALUE"""),1607.55)</f>
        <v>1607.55</v>
      </c>
      <c r="F240" s="2">
        <f>IFERROR(__xludf.DUMMYFUNCTION("""COMPUTED_VALUE"""),1.517601E8)</f>
        <v>151760100</v>
      </c>
      <c r="G240" s="2">
        <f t="shared" si="1"/>
        <v>147.36</v>
      </c>
    </row>
    <row r="241" ht="15.75" customHeight="1">
      <c r="A241" s="1">
        <f>IFERROR(__xludf.DUMMYFUNCTION("""COMPUTED_VALUE"""),44193.66666666667)</f>
        <v>44193.66667</v>
      </c>
      <c r="B241" s="2">
        <f>IFERROR(__xludf.DUMMYFUNCTION("""COMPUTED_VALUE"""),1629.88)</f>
        <v>1629.88</v>
      </c>
      <c r="C241" s="2">
        <f>IFERROR(__xludf.DUMMYFUNCTION("""COMPUTED_VALUE"""),1665.61)</f>
        <v>1665.61</v>
      </c>
      <c r="D241" s="2">
        <f>IFERROR(__xludf.DUMMYFUNCTION("""COMPUTED_VALUE"""),1576.3)</f>
        <v>1576.3</v>
      </c>
      <c r="E241" s="2">
        <f>IFERROR(__xludf.DUMMYFUNCTION("""COMPUTED_VALUE"""),1625.42)</f>
        <v>1625.42</v>
      </c>
      <c r="F241" s="2">
        <f>IFERROR(__xludf.DUMMYFUNCTION("""COMPUTED_VALUE"""),5.68218E7)</f>
        <v>56821800</v>
      </c>
      <c r="G241" s="2">
        <f t="shared" si="1"/>
        <v>89.31</v>
      </c>
    </row>
    <row r="242" ht="15.75" customHeight="1">
      <c r="A242" s="1">
        <f>IFERROR(__xludf.DUMMYFUNCTION("""COMPUTED_VALUE"""),44194.66666666667)</f>
        <v>44194.66667</v>
      </c>
      <c r="B242" s="2">
        <f>IFERROR(__xludf.DUMMYFUNCTION("""COMPUTED_VALUE"""),1652.21)</f>
        <v>1652.21</v>
      </c>
      <c r="C242" s="2">
        <f>IFERROR(__xludf.DUMMYFUNCTION("""COMPUTED_VALUE"""),1652.21)</f>
        <v>1652.21</v>
      </c>
      <c r="D242" s="2">
        <f>IFERROR(__xludf.DUMMYFUNCTION("""COMPUTED_VALUE"""),1567.37)</f>
        <v>1567.37</v>
      </c>
      <c r="E242" s="2">
        <f>IFERROR(__xludf.DUMMYFUNCTION("""COMPUTED_VALUE"""),1580.76)</f>
        <v>1580.76</v>
      </c>
      <c r="F242" s="2">
        <f>IFERROR(__xludf.DUMMYFUNCTION("""COMPUTED_VALUE"""),8.07226E7)</f>
        <v>80722600</v>
      </c>
      <c r="G242" s="2">
        <f t="shared" si="1"/>
        <v>84.84</v>
      </c>
    </row>
    <row r="243" ht="15.75" customHeight="1">
      <c r="A243" s="1">
        <f>IFERROR(__xludf.DUMMYFUNCTION("""COMPUTED_VALUE"""),44195.66666666667)</f>
        <v>44195.66667</v>
      </c>
      <c r="B243" s="2">
        <f>IFERROR(__xludf.DUMMYFUNCTION("""COMPUTED_VALUE"""),1580.76)</f>
        <v>1580.76</v>
      </c>
      <c r="C243" s="2">
        <f>IFERROR(__xludf.DUMMYFUNCTION("""COMPUTED_VALUE"""),1589.69)</f>
        <v>1589.69</v>
      </c>
      <c r="D243" s="2">
        <f>IFERROR(__xludf.DUMMYFUNCTION("""COMPUTED_VALUE"""),1513.78)</f>
        <v>1513.78</v>
      </c>
      <c r="E243" s="2">
        <f>IFERROR(__xludf.DUMMYFUNCTION("""COMPUTED_VALUE"""),1540.57)</f>
        <v>1540.57</v>
      </c>
      <c r="F243" s="2">
        <f>IFERROR(__xludf.DUMMYFUNCTION("""COMPUTED_VALUE"""),7.16653E7)</f>
        <v>71665300</v>
      </c>
      <c r="G243" s="2">
        <f t="shared" si="1"/>
        <v>75.91</v>
      </c>
    </row>
    <row r="244" ht="15.75" customHeight="1">
      <c r="A244" s="1">
        <f>IFERROR(__xludf.DUMMYFUNCTION("""COMPUTED_VALUE"""),44200.625)</f>
        <v>44200.625</v>
      </c>
      <c r="B244" s="2">
        <f>IFERROR(__xludf.DUMMYFUNCTION("""COMPUTED_VALUE"""),1549.5)</f>
        <v>1549.5</v>
      </c>
      <c r="C244" s="2">
        <f>IFERROR(__xludf.DUMMYFUNCTION("""COMPUTED_VALUE"""),1634.35)</f>
        <v>1634.35</v>
      </c>
      <c r="D244" s="2">
        <f>IFERROR(__xludf.DUMMYFUNCTION("""COMPUTED_VALUE"""),1522.71)</f>
        <v>1522.71</v>
      </c>
      <c r="E244" s="2">
        <f>IFERROR(__xludf.DUMMYFUNCTION("""COMPUTED_VALUE"""),1625.42)</f>
        <v>1625.42</v>
      </c>
      <c r="F244" s="2">
        <f>IFERROR(__xludf.DUMMYFUNCTION("""COMPUTED_VALUE"""),6.63932E7)</f>
        <v>66393200</v>
      </c>
      <c r="G244" s="2">
        <f t="shared" si="1"/>
        <v>111.64</v>
      </c>
    </row>
    <row r="245" ht="15.75" customHeight="1">
      <c r="A245" s="1">
        <f>IFERROR(__xludf.DUMMYFUNCTION("""COMPUTED_VALUE"""),44201.625)</f>
        <v>44201.625</v>
      </c>
      <c r="B245" s="2">
        <f>IFERROR(__xludf.DUMMYFUNCTION("""COMPUTED_VALUE"""),1629.88)</f>
        <v>1629.88</v>
      </c>
      <c r="C245" s="2">
        <f>IFERROR(__xludf.DUMMYFUNCTION("""COMPUTED_VALUE"""),1638.81)</f>
        <v>1638.81</v>
      </c>
      <c r="D245" s="2">
        <f>IFERROR(__xludf.DUMMYFUNCTION("""COMPUTED_VALUE"""),1598.62)</f>
        <v>1598.62</v>
      </c>
      <c r="E245" s="2">
        <f>IFERROR(__xludf.DUMMYFUNCTION("""COMPUTED_VALUE"""),1616.49)</f>
        <v>1616.49</v>
      </c>
      <c r="F245" s="2">
        <f>IFERROR(__xludf.DUMMYFUNCTION("""COMPUTED_VALUE"""),3.36433E7)</f>
        <v>33643300</v>
      </c>
      <c r="G245" s="2">
        <f t="shared" si="1"/>
        <v>40.19</v>
      </c>
    </row>
    <row r="246" ht="15.75" customHeight="1">
      <c r="A246" s="1">
        <f>IFERROR(__xludf.DUMMYFUNCTION("""COMPUTED_VALUE"""),44202.625)</f>
        <v>44202.625</v>
      </c>
      <c r="B246" s="2">
        <f>IFERROR(__xludf.DUMMYFUNCTION("""COMPUTED_VALUE"""),1638.81)</f>
        <v>1638.81</v>
      </c>
      <c r="C246" s="2">
        <f>IFERROR(__xludf.DUMMYFUNCTION("""COMPUTED_VALUE"""),1652.21)</f>
        <v>1652.21</v>
      </c>
      <c r="D246" s="2">
        <f>IFERROR(__xludf.DUMMYFUNCTION("""COMPUTED_VALUE"""),1545.04)</f>
        <v>1545.04</v>
      </c>
      <c r="E246" s="2">
        <f>IFERROR(__xludf.DUMMYFUNCTION("""COMPUTED_VALUE"""),1612.02)</f>
        <v>1612.02</v>
      </c>
      <c r="F246" s="2">
        <f>IFERROR(__xludf.DUMMYFUNCTION("""COMPUTED_VALUE"""),6.89916E7)</f>
        <v>68991600</v>
      </c>
      <c r="G246" s="2">
        <f t="shared" si="1"/>
        <v>107.17</v>
      </c>
    </row>
    <row r="247" ht="15.75" customHeight="1">
      <c r="A247" s="1">
        <f>IFERROR(__xludf.DUMMYFUNCTION("""COMPUTED_VALUE"""),44203.66666666667)</f>
        <v>44203.66667</v>
      </c>
      <c r="B247" s="2">
        <f>IFERROR(__xludf.DUMMYFUNCTION("""COMPUTED_VALUE"""),1643.28)</f>
        <v>1643.28</v>
      </c>
      <c r="C247" s="2">
        <f>IFERROR(__xludf.DUMMYFUNCTION("""COMPUTED_VALUE"""),1643.28)</f>
        <v>1643.28</v>
      </c>
      <c r="D247" s="2">
        <f>IFERROR(__xludf.DUMMYFUNCTION("""COMPUTED_VALUE"""),1612.02)</f>
        <v>1612.02</v>
      </c>
      <c r="E247" s="2">
        <f>IFERROR(__xludf.DUMMYFUNCTION("""COMPUTED_VALUE"""),1616.49)</f>
        <v>1616.49</v>
      </c>
      <c r="F247" s="2">
        <f>IFERROR(__xludf.DUMMYFUNCTION("""COMPUTED_VALUE"""),3.17393E7)</f>
        <v>31739300</v>
      </c>
      <c r="G247" s="2">
        <f t="shared" si="1"/>
        <v>31.26</v>
      </c>
    </row>
    <row r="248" ht="15.75" customHeight="1">
      <c r="A248" s="1">
        <f>IFERROR(__xludf.DUMMYFUNCTION("""COMPUTED_VALUE"""),44204.66666666667)</f>
        <v>44204.66667</v>
      </c>
      <c r="B248" s="2">
        <f>IFERROR(__xludf.DUMMYFUNCTION("""COMPUTED_VALUE"""),1625.42)</f>
        <v>1625.42</v>
      </c>
      <c r="C248" s="2">
        <f>IFERROR(__xludf.DUMMYFUNCTION("""COMPUTED_VALUE"""),1679.0)</f>
        <v>1679</v>
      </c>
      <c r="D248" s="2">
        <f>IFERROR(__xludf.DUMMYFUNCTION("""COMPUTED_VALUE"""),1625.42)</f>
        <v>1625.42</v>
      </c>
      <c r="E248" s="2">
        <f>IFERROR(__xludf.DUMMYFUNCTION("""COMPUTED_VALUE"""),1656.67)</f>
        <v>1656.67</v>
      </c>
      <c r="F248" s="2">
        <f>IFERROR(__xludf.DUMMYFUNCTION("""COMPUTED_VALUE"""),6.86013E7)</f>
        <v>68601300</v>
      </c>
      <c r="G248" s="2">
        <f t="shared" si="1"/>
        <v>62.51</v>
      </c>
    </row>
    <row r="249" ht="15.75" customHeight="1">
      <c r="A249" s="1">
        <f>IFERROR(__xludf.DUMMYFUNCTION("""COMPUTED_VALUE"""),44207.625)</f>
        <v>44207.625</v>
      </c>
      <c r="B249" s="2">
        <f>IFERROR(__xludf.DUMMYFUNCTION("""COMPUTED_VALUE"""),1652.21)</f>
        <v>1652.21</v>
      </c>
      <c r="C249" s="2">
        <f>IFERROR(__xludf.DUMMYFUNCTION("""COMPUTED_VALUE"""),1723.66)</f>
        <v>1723.66</v>
      </c>
      <c r="D249" s="2">
        <f>IFERROR(__xludf.DUMMYFUNCTION("""COMPUTED_VALUE"""),1652.21)</f>
        <v>1652.21</v>
      </c>
      <c r="E249" s="2">
        <f>IFERROR(__xludf.DUMMYFUNCTION("""COMPUTED_VALUE"""),1705.79)</f>
        <v>1705.79</v>
      </c>
      <c r="F249" s="2">
        <f>IFERROR(__xludf.DUMMYFUNCTION("""COMPUTED_VALUE"""),8.14807E7)</f>
        <v>81480700</v>
      </c>
      <c r="G249" s="2">
        <f t="shared" si="1"/>
        <v>71.45</v>
      </c>
    </row>
    <row r="250" ht="15.75" customHeight="1">
      <c r="A250" s="1">
        <f>IFERROR(__xludf.DUMMYFUNCTION("""COMPUTED_VALUE"""),44208.625)</f>
        <v>44208.625</v>
      </c>
      <c r="B250" s="2">
        <f>IFERROR(__xludf.DUMMYFUNCTION("""COMPUTED_VALUE"""),1710.26)</f>
        <v>1710.26</v>
      </c>
      <c r="C250" s="2">
        <f>IFERROR(__xludf.DUMMYFUNCTION("""COMPUTED_VALUE"""),1732.59)</f>
        <v>1732.59</v>
      </c>
      <c r="D250" s="2">
        <f>IFERROR(__xludf.DUMMYFUNCTION("""COMPUTED_VALUE"""),1683.47)</f>
        <v>1683.47</v>
      </c>
      <c r="E250" s="2">
        <f>IFERROR(__xludf.DUMMYFUNCTION("""COMPUTED_VALUE"""),1701.33)</f>
        <v>1701.33</v>
      </c>
      <c r="F250" s="2">
        <f>IFERROR(__xludf.DUMMYFUNCTION("""COMPUTED_VALUE"""),5.36038E7)</f>
        <v>53603800</v>
      </c>
      <c r="G250" s="2">
        <f t="shared" si="1"/>
        <v>49.12</v>
      </c>
    </row>
    <row r="251" ht="15.75" customHeight="1">
      <c r="A251" s="1">
        <f>IFERROR(__xludf.DUMMYFUNCTION("""COMPUTED_VALUE"""),44209.625)</f>
        <v>44209.625</v>
      </c>
      <c r="B251" s="2">
        <f>IFERROR(__xludf.DUMMYFUNCTION("""COMPUTED_VALUE"""),1701.33)</f>
        <v>1701.33</v>
      </c>
      <c r="C251" s="2">
        <f>IFERROR(__xludf.DUMMYFUNCTION("""COMPUTED_VALUE"""),1719.19)</f>
        <v>1719.19</v>
      </c>
      <c r="D251" s="2">
        <f>IFERROR(__xludf.DUMMYFUNCTION("""COMPUTED_VALUE"""),1665.61)</f>
        <v>1665.61</v>
      </c>
      <c r="E251" s="2">
        <f>IFERROR(__xludf.DUMMYFUNCTION("""COMPUTED_VALUE"""),1670.07)</f>
        <v>1670.07</v>
      </c>
      <c r="F251" s="2">
        <f>IFERROR(__xludf.DUMMYFUNCTION("""COMPUTED_VALUE"""),4.99074E7)</f>
        <v>49907400</v>
      </c>
      <c r="G251" s="2">
        <f t="shared" si="1"/>
        <v>53.58</v>
      </c>
    </row>
    <row r="252" ht="15.75" customHeight="1">
      <c r="A252" s="1">
        <f>IFERROR(__xludf.DUMMYFUNCTION("""COMPUTED_VALUE"""),44210.625)</f>
        <v>44210.625</v>
      </c>
      <c r="B252" s="2">
        <f>IFERROR(__xludf.DUMMYFUNCTION("""COMPUTED_VALUE"""),1670.07)</f>
        <v>1670.07</v>
      </c>
      <c r="C252" s="2">
        <f>IFERROR(__xludf.DUMMYFUNCTION("""COMPUTED_VALUE"""),1741.52)</f>
        <v>1741.52</v>
      </c>
      <c r="D252" s="2">
        <f>IFERROR(__xludf.DUMMYFUNCTION("""COMPUTED_VALUE"""),1661.14)</f>
        <v>1661.14</v>
      </c>
      <c r="E252" s="2">
        <f>IFERROR(__xludf.DUMMYFUNCTION("""COMPUTED_VALUE"""),1701.33)</f>
        <v>1701.33</v>
      </c>
      <c r="F252" s="2">
        <f>IFERROR(__xludf.DUMMYFUNCTION("""COMPUTED_VALUE"""),6.7757E7)</f>
        <v>67757000</v>
      </c>
      <c r="G252" s="2">
        <f t="shared" si="1"/>
        <v>80.38</v>
      </c>
    </row>
    <row r="253" ht="15.75" customHeight="1">
      <c r="A253" s="1">
        <f>IFERROR(__xludf.DUMMYFUNCTION("""COMPUTED_VALUE"""),44211.625)</f>
        <v>44211.625</v>
      </c>
      <c r="B253" s="2">
        <f>IFERROR(__xludf.DUMMYFUNCTION("""COMPUTED_VALUE"""),1705.79)</f>
        <v>1705.79</v>
      </c>
      <c r="C253" s="2">
        <f>IFERROR(__xludf.DUMMYFUNCTION("""COMPUTED_VALUE"""),1719.19)</f>
        <v>1719.19</v>
      </c>
      <c r="D253" s="2">
        <f>IFERROR(__xludf.DUMMYFUNCTION("""COMPUTED_VALUE"""),1634.35)</f>
        <v>1634.35</v>
      </c>
      <c r="E253" s="2">
        <f>IFERROR(__xludf.DUMMYFUNCTION("""COMPUTED_VALUE"""),1656.67)</f>
        <v>1656.67</v>
      </c>
      <c r="F253" s="2">
        <f>IFERROR(__xludf.DUMMYFUNCTION("""COMPUTED_VALUE"""),4.9971E7)</f>
        <v>49971000</v>
      </c>
      <c r="G253" s="2">
        <f t="shared" si="1"/>
        <v>84.84</v>
      </c>
    </row>
    <row r="254" ht="15.75" customHeight="1">
      <c r="A254" s="1">
        <f>IFERROR(__xludf.DUMMYFUNCTION("""COMPUTED_VALUE"""),44214.625)</f>
        <v>44214.625</v>
      </c>
      <c r="B254" s="2">
        <f>IFERROR(__xludf.DUMMYFUNCTION("""COMPUTED_VALUE"""),1625.42)</f>
        <v>1625.42</v>
      </c>
      <c r="C254" s="2">
        <f>IFERROR(__xludf.DUMMYFUNCTION("""COMPUTED_VALUE"""),1679.0)</f>
        <v>1679</v>
      </c>
      <c r="D254" s="2">
        <f>IFERROR(__xludf.DUMMYFUNCTION("""COMPUTED_VALUE"""),1616.49)</f>
        <v>1616.49</v>
      </c>
      <c r="E254" s="2">
        <f>IFERROR(__xludf.DUMMYFUNCTION("""COMPUTED_VALUE"""),1634.35)</f>
        <v>1634.35</v>
      </c>
      <c r="F254" s="2">
        <f>IFERROR(__xludf.DUMMYFUNCTION("""COMPUTED_VALUE"""),4.07205E7)</f>
        <v>40720500</v>
      </c>
      <c r="G254" s="2">
        <f t="shared" si="1"/>
        <v>62.51</v>
      </c>
    </row>
    <row r="255" ht="15.75" customHeight="1">
      <c r="A255" s="1">
        <f>IFERROR(__xludf.DUMMYFUNCTION("""COMPUTED_VALUE"""),44215.625)</f>
        <v>44215.625</v>
      </c>
      <c r="B255" s="2">
        <f>IFERROR(__xludf.DUMMYFUNCTION("""COMPUTED_VALUE"""),1652.21)</f>
        <v>1652.21</v>
      </c>
      <c r="C255" s="2">
        <f>IFERROR(__xludf.DUMMYFUNCTION("""COMPUTED_VALUE"""),1656.67)</f>
        <v>1656.67</v>
      </c>
      <c r="D255" s="2">
        <f>IFERROR(__xludf.DUMMYFUNCTION("""COMPUTED_VALUE"""),1589.69)</f>
        <v>1589.69</v>
      </c>
      <c r="E255" s="2">
        <f>IFERROR(__xludf.DUMMYFUNCTION("""COMPUTED_VALUE"""),1607.55)</f>
        <v>1607.55</v>
      </c>
      <c r="F255" s="2">
        <f>IFERROR(__xludf.DUMMYFUNCTION("""COMPUTED_VALUE"""),3.98462E7)</f>
        <v>39846200</v>
      </c>
      <c r="G255" s="2">
        <f t="shared" si="1"/>
        <v>66.98</v>
      </c>
    </row>
    <row r="256" ht="15.75" customHeight="1">
      <c r="A256" s="1">
        <f>IFERROR(__xludf.DUMMYFUNCTION("""COMPUTED_VALUE"""),44216.625)</f>
        <v>44216.625</v>
      </c>
      <c r="B256" s="2">
        <f>IFERROR(__xludf.DUMMYFUNCTION("""COMPUTED_VALUE"""),1612.02)</f>
        <v>1612.02</v>
      </c>
      <c r="C256" s="2">
        <f>IFERROR(__xludf.DUMMYFUNCTION("""COMPUTED_VALUE"""),1670.07)</f>
        <v>1670.07</v>
      </c>
      <c r="D256" s="2">
        <f>IFERROR(__xludf.DUMMYFUNCTION("""COMPUTED_VALUE"""),1585.23)</f>
        <v>1585.23</v>
      </c>
      <c r="E256" s="2">
        <f>IFERROR(__xludf.DUMMYFUNCTION("""COMPUTED_VALUE"""),1665.61)</f>
        <v>1665.61</v>
      </c>
      <c r="F256" s="2">
        <f>IFERROR(__xludf.DUMMYFUNCTION("""COMPUTED_VALUE"""),5.7291E7)</f>
        <v>57291000</v>
      </c>
      <c r="G256" s="2">
        <f t="shared" si="1"/>
        <v>84.84</v>
      </c>
    </row>
    <row r="257" ht="15.75" customHeight="1">
      <c r="A257" s="1">
        <f>IFERROR(__xludf.DUMMYFUNCTION("""COMPUTED_VALUE"""),44217.625)</f>
        <v>44217.625</v>
      </c>
      <c r="B257" s="2">
        <f>IFERROR(__xludf.DUMMYFUNCTION("""COMPUTED_VALUE"""),1687.93)</f>
        <v>1687.93</v>
      </c>
      <c r="C257" s="2">
        <f>IFERROR(__xludf.DUMMYFUNCTION("""COMPUTED_VALUE"""),1696.86)</f>
        <v>1696.86</v>
      </c>
      <c r="D257" s="2">
        <f>IFERROR(__xludf.DUMMYFUNCTION("""COMPUTED_VALUE"""),1643.28)</f>
        <v>1643.28</v>
      </c>
      <c r="E257" s="2">
        <f>IFERROR(__xludf.DUMMYFUNCTION("""COMPUTED_VALUE"""),1661.14)</f>
        <v>1661.14</v>
      </c>
      <c r="F257" s="2">
        <f>IFERROR(__xludf.DUMMYFUNCTION("""COMPUTED_VALUE"""),5.32499E7)</f>
        <v>53249900</v>
      </c>
      <c r="G257" s="2">
        <f t="shared" si="1"/>
        <v>53.58</v>
      </c>
    </row>
    <row r="258" ht="15.75" customHeight="1">
      <c r="A258" s="1">
        <f>IFERROR(__xludf.DUMMYFUNCTION("""COMPUTED_VALUE"""),44218.625)</f>
        <v>44218.625</v>
      </c>
      <c r="B258" s="2">
        <f>IFERROR(__xludf.DUMMYFUNCTION("""COMPUTED_VALUE"""),1661.14)</f>
        <v>1661.14</v>
      </c>
      <c r="C258" s="2">
        <f>IFERROR(__xludf.DUMMYFUNCTION("""COMPUTED_VALUE"""),1670.07)</f>
        <v>1670.07</v>
      </c>
      <c r="D258" s="2">
        <f>IFERROR(__xludf.DUMMYFUNCTION("""COMPUTED_VALUE"""),1594.16)</f>
        <v>1594.16</v>
      </c>
      <c r="E258" s="2">
        <f>IFERROR(__xludf.DUMMYFUNCTION("""COMPUTED_VALUE"""),1607.55)</f>
        <v>1607.55</v>
      </c>
      <c r="F258" s="2">
        <f>IFERROR(__xludf.DUMMYFUNCTION("""COMPUTED_VALUE"""),3.71778E7)</f>
        <v>37177800</v>
      </c>
      <c r="G258" s="2">
        <f t="shared" si="1"/>
        <v>75.91</v>
      </c>
    </row>
    <row r="259" ht="15.75" customHeight="1">
      <c r="A259" s="1">
        <f>IFERROR(__xludf.DUMMYFUNCTION("""COMPUTED_VALUE"""),44221.625)</f>
        <v>44221.625</v>
      </c>
      <c r="B259" s="2">
        <f>IFERROR(__xludf.DUMMYFUNCTION("""COMPUTED_VALUE"""),1607.55)</f>
        <v>1607.55</v>
      </c>
      <c r="C259" s="2">
        <f>IFERROR(__xludf.DUMMYFUNCTION("""COMPUTED_VALUE"""),1620.95)</f>
        <v>1620.95</v>
      </c>
      <c r="D259" s="2">
        <f>IFERROR(__xludf.DUMMYFUNCTION("""COMPUTED_VALUE"""),1553.97)</f>
        <v>1553.97</v>
      </c>
      <c r="E259" s="2">
        <f>IFERROR(__xludf.DUMMYFUNCTION("""COMPUTED_VALUE"""),1589.69)</f>
        <v>1589.69</v>
      </c>
      <c r="F259" s="2">
        <f>IFERROR(__xludf.DUMMYFUNCTION("""COMPUTED_VALUE"""),2.7564E7)</f>
        <v>27564000</v>
      </c>
      <c r="G259" s="2">
        <f t="shared" si="1"/>
        <v>66.98</v>
      </c>
    </row>
    <row r="260" ht="15.75" customHeight="1">
      <c r="A260" s="1">
        <f>IFERROR(__xludf.DUMMYFUNCTION("""COMPUTED_VALUE"""),44222.625)</f>
        <v>44222.625</v>
      </c>
      <c r="B260" s="2">
        <f>IFERROR(__xludf.DUMMYFUNCTION("""COMPUTED_VALUE"""),1589.69)</f>
        <v>1589.69</v>
      </c>
      <c r="C260" s="2">
        <f>IFERROR(__xludf.DUMMYFUNCTION("""COMPUTED_VALUE"""),1603.09)</f>
        <v>1603.09</v>
      </c>
      <c r="D260" s="2">
        <f>IFERROR(__xludf.DUMMYFUNCTION("""COMPUTED_VALUE"""),1491.45)</f>
        <v>1491.45</v>
      </c>
      <c r="E260" s="2">
        <f>IFERROR(__xludf.DUMMYFUNCTION("""COMPUTED_VALUE"""),1527.18)</f>
        <v>1527.18</v>
      </c>
      <c r="F260" s="2">
        <f>IFERROR(__xludf.DUMMYFUNCTION("""COMPUTED_VALUE"""),3.89377E7)</f>
        <v>38937700</v>
      </c>
      <c r="G260" s="2">
        <f t="shared" si="1"/>
        <v>111.64</v>
      </c>
    </row>
    <row r="261" ht="15.75" customHeight="1">
      <c r="A261" s="1">
        <f>IFERROR(__xludf.DUMMYFUNCTION("""COMPUTED_VALUE"""),44223.625)</f>
        <v>44223.625</v>
      </c>
      <c r="B261" s="2">
        <f>IFERROR(__xludf.DUMMYFUNCTION("""COMPUTED_VALUE"""),1527.18)</f>
        <v>1527.18</v>
      </c>
      <c r="C261" s="2">
        <f>IFERROR(__xludf.DUMMYFUNCTION("""COMPUTED_VALUE"""),1545.04)</f>
        <v>1545.04</v>
      </c>
      <c r="D261" s="2">
        <f>IFERROR(__xludf.DUMMYFUNCTION("""COMPUTED_VALUE"""),1455.73)</f>
        <v>1455.73</v>
      </c>
      <c r="E261" s="2">
        <f>IFERROR(__xludf.DUMMYFUNCTION("""COMPUTED_VALUE"""),1518.25)</f>
        <v>1518.25</v>
      </c>
      <c r="F261" s="2">
        <f>IFERROR(__xludf.DUMMYFUNCTION("""COMPUTED_VALUE"""),3.80793E7)</f>
        <v>38079300</v>
      </c>
      <c r="G261" s="2">
        <f t="shared" si="1"/>
        <v>89.31</v>
      </c>
    </row>
    <row r="262" ht="15.75" customHeight="1">
      <c r="A262" s="1">
        <f>IFERROR(__xludf.DUMMYFUNCTION("""COMPUTED_VALUE"""),44224.625)</f>
        <v>44224.625</v>
      </c>
      <c r="B262" s="2">
        <f>IFERROR(__xludf.DUMMYFUNCTION("""COMPUTED_VALUE"""),1455.73)</f>
        <v>1455.73</v>
      </c>
      <c r="C262" s="2">
        <f>IFERROR(__xludf.DUMMYFUNCTION("""COMPUTED_VALUE"""),1518.25)</f>
        <v>1518.25</v>
      </c>
      <c r="D262" s="2">
        <f>IFERROR(__xludf.DUMMYFUNCTION("""COMPUTED_VALUE"""),1424.47)</f>
        <v>1424.47</v>
      </c>
      <c r="E262" s="2">
        <f>IFERROR(__xludf.DUMMYFUNCTION("""COMPUTED_VALUE"""),1451.26)</f>
        <v>1451.26</v>
      </c>
      <c r="F262" s="2">
        <f>IFERROR(__xludf.DUMMYFUNCTION("""COMPUTED_VALUE"""),4.23219E7)</f>
        <v>42321900</v>
      </c>
      <c r="G262" s="2">
        <f t="shared" si="1"/>
        <v>93.78</v>
      </c>
    </row>
    <row r="263" ht="15.75" customHeight="1">
      <c r="A263" s="1">
        <f>IFERROR(__xludf.DUMMYFUNCTION("""COMPUTED_VALUE"""),44225.625)</f>
        <v>44225.625</v>
      </c>
      <c r="B263" s="2">
        <f>IFERROR(__xludf.DUMMYFUNCTION("""COMPUTED_VALUE"""),1464.66)</f>
        <v>1464.66</v>
      </c>
      <c r="C263" s="2">
        <f>IFERROR(__xludf.DUMMYFUNCTION("""COMPUTED_VALUE"""),1491.45)</f>
        <v>1491.45</v>
      </c>
      <c r="D263" s="2">
        <f>IFERROR(__xludf.DUMMYFUNCTION("""COMPUTED_VALUE"""),1353.03)</f>
        <v>1353.03</v>
      </c>
      <c r="E263" s="2">
        <f>IFERROR(__xludf.DUMMYFUNCTION("""COMPUTED_VALUE"""),1402.14)</f>
        <v>1402.14</v>
      </c>
      <c r="F263" s="2">
        <f>IFERROR(__xludf.DUMMYFUNCTION("""COMPUTED_VALUE"""),7.0634E7)</f>
        <v>70634000</v>
      </c>
      <c r="G263" s="2">
        <f t="shared" si="1"/>
        <v>138.42</v>
      </c>
    </row>
    <row r="264" ht="15.75" customHeight="1">
      <c r="A264" s="1">
        <f>IFERROR(__xludf.DUMMYFUNCTION("""COMPUTED_VALUE"""),44228.625)</f>
        <v>44228.625</v>
      </c>
      <c r="B264" s="2">
        <f>IFERROR(__xludf.DUMMYFUNCTION("""COMPUTED_VALUE"""),1384.28)</f>
        <v>1384.28</v>
      </c>
      <c r="C264" s="2">
        <f>IFERROR(__xludf.DUMMYFUNCTION("""COMPUTED_VALUE"""),1495.92)</f>
        <v>1495.92</v>
      </c>
      <c r="D264" s="2">
        <f>IFERROR(__xludf.DUMMYFUNCTION("""COMPUTED_VALUE"""),1344.09)</f>
        <v>1344.09</v>
      </c>
      <c r="E264" s="2">
        <f>IFERROR(__xludf.DUMMYFUNCTION("""COMPUTED_VALUE"""),1495.92)</f>
        <v>1495.92</v>
      </c>
      <c r="F264" s="2">
        <f>IFERROR(__xludf.DUMMYFUNCTION("""COMPUTED_VALUE"""),6.2191E7)</f>
        <v>62191000</v>
      </c>
      <c r="G264" s="2">
        <f t="shared" si="1"/>
        <v>151.83</v>
      </c>
    </row>
    <row r="265" ht="15.75" customHeight="1">
      <c r="A265" s="1">
        <f>IFERROR(__xludf.DUMMYFUNCTION("""COMPUTED_VALUE"""),44229.625)</f>
        <v>44229.625</v>
      </c>
      <c r="B265" s="2">
        <f>IFERROR(__xludf.DUMMYFUNCTION("""COMPUTED_VALUE"""),1509.32)</f>
        <v>1509.32</v>
      </c>
      <c r="C265" s="2">
        <f>IFERROR(__xludf.DUMMYFUNCTION("""COMPUTED_VALUE"""),1589.69)</f>
        <v>1589.69</v>
      </c>
      <c r="D265" s="2">
        <f>IFERROR(__xludf.DUMMYFUNCTION("""COMPUTED_VALUE"""),1478.06)</f>
        <v>1478.06</v>
      </c>
      <c r="E265" s="2">
        <f>IFERROR(__xludf.DUMMYFUNCTION("""COMPUTED_VALUE"""),1553.97)</f>
        <v>1553.97</v>
      </c>
      <c r="F265" s="2">
        <f>IFERROR(__xludf.DUMMYFUNCTION("""COMPUTED_VALUE"""),1.157896E8)</f>
        <v>115789600</v>
      </c>
      <c r="G265" s="2">
        <f t="shared" si="1"/>
        <v>111.63</v>
      </c>
    </row>
    <row r="266" ht="15.75" customHeight="1">
      <c r="A266" s="1">
        <f>IFERROR(__xludf.DUMMYFUNCTION("""COMPUTED_VALUE"""),44230.625)</f>
        <v>44230.625</v>
      </c>
      <c r="B266" s="2">
        <f>IFERROR(__xludf.DUMMYFUNCTION("""COMPUTED_VALUE"""),1589.69)</f>
        <v>1589.69</v>
      </c>
      <c r="C266" s="2">
        <f>IFERROR(__xludf.DUMMYFUNCTION("""COMPUTED_VALUE"""),1607.55)</f>
        <v>1607.55</v>
      </c>
      <c r="D266" s="2">
        <f>IFERROR(__xludf.DUMMYFUNCTION("""COMPUTED_VALUE"""),1527.18)</f>
        <v>1527.18</v>
      </c>
      <c r="E266" s="2">
        <f>IFERROR(__xludf.DUMMYFUNCTION("""COMPUTED_VALUE"""),1545.04)</f>
        <v>1545.04</v>
      </c>
      <c r="F266" s="2">
        <f>IFERROR(__xludf.DUMMYFUNCTION("""COMPUTED_VALUE"""),8.7229E7)</f>
        <v>87229000</v>
      </c>
      <c r="G266" s="2">
        <f t="shared" si="1"/>
        <v>80.37</v>
      </c>
    </row>
    <row r="267" ht="15.75" customHeight="1">
      <c r="A267" s="1">
        <f>IFERROR(__xludf.DUMMYFUNCTION("""COMPUTED_VALUE"""),44231.625)</f>
        <v>44231.625</v>
      </c>
      <c r="B267" s="2">
        <f>IFERROR(__xludf.DUMMYFUNCTION("""COMPUTED_VALUE"""),1545.04)</f>
        <v>1545.04</v>
      </c>
      <c r="C267" s="2">
        <f>IFERROR(__xludf.DUMMYFUNCTION("""COMPUTED_VALUE"""),1589.69)</f>
        <v>1589.69</v>
      </c>
      <c r="D267" s="2">
        <f>IFERROR(__xludf.DUMMYFUNCTION("""COMPUTED_VALUE"""),1527.18)</f>
        <v>1527.18</v>
      </c>
      <c r="E267" s="2">
        <f>IFERROR(__xludf.DUMMYFUNCTION("""COMPUTED_VALUE"""),1562.9)</f>
        <v>1562.9</v>
      </c>
      <c r="F267" s="2">
        <f>IFERROR(__xludf.DUMMYFUNCTION("""COMPUTED_VALUE"""),6.06265E7)</f>
        <v>60626500</v>
      </c>
      <c r="G267" s="2">
        <f t="shared" si="1"/>
        <v>62.51</v>
      </c>
    </row>
    <row r="268" ht="15.75" customHeight="1">
      <c r="A268" s="1">
        <f>IFERROR(__xludf.DUMMYFUNCTION("""COMPUTED_VALUE"""),44232.625)</f>
        <v>44232.625</v>
      </c>
      <c r="B268" s="2">
        <f>IFERROR(__xludf.DUMMYFUNCTION("""COMPUTED_VALUE"""),1576.3)</f>
        <v>1576.3</v>
      </c>
      <c r="C268" s="2">
        <f>IFERROR(__xludf.DUMMYFUNCTION("""COMPUTED_VALUE"""),1598.62)</f>
        <v>1598.62</v>
      </c>
      <c r="D268" s="2">
        <f>IFERROR(__xludf.DUMMYFUNCTION("""COMPUTED_VALUE"""),1558.43)</f>
        <v>1558.43</v>
      </c>
      <c r="E268" s="2">
        <f>IFERROR(__xludf.DUMMYFUNCTION("""COMPUTED_VALUE"""),1598.62)</f>
        <v>1598.62</v>
      </c>
      <c r="F268" s="2">
        <f>IFERROR(__xludf.DUMMYFUNCTION("""COMPUTED_VALUE"""),5.05832E7)</f>
        <v>50583200</v>
      </c>
      <c r="G268" s="2">
        <f t="shared" si="1"/>
        <v>40.19</v>
      </c>
    </row>
    <row r="269" ht="15.75" customHeight="1">
      <c r="A269" s="1">
        <f>IFERROR(__xludf.DUMMYFUNCTION("""COMPUTED_VALUE"""),44235.625)</f>
        <v>44235.625</v>
      </c>
      <c r="B269" s="2">
        <f>IFERROR(__xludf.DUMMYFUNCTION("""COMPUTED_VALUE"""),1612.02)</f>
        <v>1612.02</v>
      </c>
      <c r="C269" s="2">
        <f>IFERROR(__xludf.DUMMYFUNCTION("""COMPUTED_VALUE"""),1634.35)</f>
        <v>1634.35</v>
      </c>
      <c r="D269" s="2">
        <f>IFERROR(__xludf.DUMMYFUNCTION("""COMPUTED_VALUE"""),1598.62)</f>
        <v>1598.62</v>
      </c>
      <c r="E269" s="2">
        <f>IFERROR(__xludf.DUMMYFUNCTION("""COMPUTED_VALUE"""),1598.62)</f>
        <v>1598.62</v>
      </c>
      <c r="F269" s="2">
        <f>IFERROR(__xludf.DUMMYFUNCTION("""COMPUTED_VALUE"""),4.20347E7)</f>
        <v>42034700</v>
      </c>
      <c r="G269" s="2">
        <f t="shared" si="1"/>
        <v>35.73</v>
      </c>
    </row>
    <row r="270" ht="15.75" customHeight="1">
      <c r="A270" s="1">
        <f>IFERROR(__xludf.DUMMYFUNCTION("""COMPUTED_VALUE"""),44236.625)</f>
        <v>44236.625</v>
      </c>
      <c r="B270" s="2">
        <f>IFERROR(__xludf.DUMMYFUNCTION("""COMPUTED_VALUE"""),1603.09)</f>
        <v>1603.09</v>
      </c>
      <c r="C270" s="2">
        <f>IFERROR(__xludf.DUMMYFUNCTION("""COMPUTED_VALUE"""),1625.42)</f>
        <v>1625.42</v>
      </c>
      <c r="D270" s="2">
        <f>IFERROR(__xludf.DUMMYFUNCTION("""COMPUTED_VALUE"""),1549.5)</f>
        <v>1549.5</v>
      </c>
      <c r="E270" s="2">
        <f>IFERROR(__xludf.DUMMYFUNCTION("""COMPUTED_VALUE"""),1549.5)</f>
        <v>1549.5</v>
      </c>
      <c r="F270" s="2">
        <f>IFERROR(__xludf.DUMMYFUNCTION("""COMPUTED_VALUE"""),4.61087E7)</f>
        <v>46108700</v>
      </c>
      <c r="G270" s="2">
        <f t="shared" si="1"/>
        <v>75.92</v>
      </c>
    </row>
    <row r="271" ht="15.75" customHeight="1">
      <c r="A271" s="1">
        <f>IFERROR(__xludf.DUMMYFUNCTION("""COMPUTED_VALUE"""),44237.625)</f>
        <v>44237.625</v>
      </c>
      <c r="B271" s="2">
        <f>IFERROR(__xludf.DUMMYFUNCTION("""COMPUTED_VALUE"""),1549.5)</f>
        <v>1549.5</v>
      </c>
      <c r="C271" s="2">
        <f>IFERROR(__xludf.DUMMYFUNCTION("""COMPUTED_VALUE"""),1567.37)</f>
        <v>1567.37</v>
      </c>
      <c r="D271" s="2">
        <f>IFERROR(__xludf.DUMMYFUNCTION("""COMPUTED_VALUE"""),1540.57)</f>
        <v>1540.57</v>
      </c>
      <c r="E271" s="2">
        <f>IFERROR(__xludf.DUMMYFUNCTION("""COMPUTED_VALUE"""),1553.97)</f>
        <v>1553.97</v>
      </c>
      <c r="F271" s="2">
        <f>IFERROR(__xludf.DUMMYFUNCTION("""COMPUTED_VALUE"""),1.88034E7)</f>
        <v>18803400</v>
      </c>
      <c r="G271" s="2">
        <f t="shared" si="1"/>
        <v>26.8</v>
      </c>
    </row>
    <row r="272" ht="15.75" customHeight="1">
      <c r="A272" s="1">
        <f>IFERROR(__xludf.DUMMYFUNCTION("""COMPUTED_VALUE"""),44238.625)</f>
        <v>44238.625</v>
      </c>
      <c r="B272" s="2">
        <f>IFERROR(__xludf.DUMMYFUNCTION("""COMPUTED_VALUE"""),1562.9)</f>
        <v>1562.9</v>
      </c>
      <c r="C272" s="2">
        <f>IFERROR(__xludf.DUMMYFUNCTION("""COMPUTED_VALUE"""),1567.37)</f>
        <v>1567.37</v>
      </c>
      <c r="D272" s="2">
        <f>IFERROR(__xludf.DUMMYFUNCTION("""COMPUTED_VALUE"""),1540.57)</f>
        <v>1540.57</v>
      </c>
      <c r="E272" s="2">
        <f>IFERROR(__xludf.DUMMYFUNCTION("""COMPUTED_VALUE"""),1545.04)</f>
        <v>1545.04</v>
      </c>
      <c r="F272" s="2">
        <f>IFERROR(__xludf.DUMMYFUNCTION("""COMPUTED_VALUE"""),1.13479E7)</f>
        <v>11347900</v>
      </c>
      <c r="G272" s="2">
        <f t="shared" si="1"/>
        <v>26.8</v>
      </c>
    </row>
    <row r="273" ht="15.75" customHeight="1">
      <c r="A273" s="1">
        <f>IFERROR(__xludf.DUMMYFUNCTION("""COMPUTED_VALUE"""),44242.625)</f>
        <v>44242.625</v>
      </c>
      <c r="B273" s="2">
        <f>IFERROR(__xludf.DUMMYFUNCTION("""COMPUTED_VALUE"""),1562.9)</f>
        <v>1562.9</v>
      </c>
      <c r="C273" s="2">
        <f>IFERROR(__xludf.DUMMYFUNCTION("""COMPUTED_VALUE"""),1670.07)</f>
        <v>1670.07</v>
      </c>
      <c r="D273" s="2">
        <f>IFERROR(__xludf.DUMMYFUNCTION("""COMPUTED_VALUE"""),1553.97)</f>
        <v>1553.97</v>
      </c>
      <c r="E273" s="2">
        <f>IFERROR(__xludf.DUMMYFUNCTION("""COMPUTED_VALUE"""),1656.67)</f>
        <v>1656.67</v>
      </c>
      <c r="F273" s="2">
        <f>IFERROR(__xludf.DUMMYFUNCTION("""COMPUTED_VALUE"""),7.90064E7)</f>
        <v>79006400</v>
      </c>
      <c r="G273" s="2">
        <f t="shared" si="1"/>
        <v>125.03</v>
      </c>
    </row>
    <row r="274" ht="15.75" customHeight="1">
      <c r="A274" s="1">
        <f>IFERROR(__xludf.DUMMYFUNCTION("""COMPUTED_VALUE"""),44243.625)</f>
        <v>44243.625</v>
      </c>
      <c r="B274" s="2">
        <f>IFERROR(__xludf.DUMMYFUNCTION("""COMPUTED_VALUE"""),1665.61)</f>
        <v>1665.61</v>
      </c>
      <c r="C274" s="2">
        <f>IFERROR(__xludf.DUMMYFUNCTION("""COMPUTED_VALUE"""),1737.05)</f>
        <v>1737.05</v>
      </c>
      <c r="D274" s="2">
        <f>IFERROR(__xludf.DUMMYFUNCTION("""COMPUTED_VALUE"""),1661.14)</f>
        <v>1661.14</v>
      </c>
      <c r="E274" s="2">
        <f>IFERROR(__xludf.DUMMYFUNCTION("""COMPUTED_VALUE"""),1723.66)</f>
        <v>1723.66</v>
      </c>
      <c r="F274" s="2">
        <f>IFERROR(__xludf.DUMMYFUNCTION("""COMPUTED_VALUE"""),2.116647E8)</f>
        <v>211664700</v>
      </c>
      <c r="G274" s="2">
        <f t="shared" si="1"/>
        <v>80.38</v>
      </c>
    </row>
    <row r="275" ht="15.75" customHeight="1">
      <c r="A275" s="1">
        <f>IFERROR(__xludf.DUMMYFUNCTION("""COMPUTED_VALUE"""),44244.625)</f>
        <v>44244.625</v>
      </c>
      <c r="B275" s="2">
        <f>IFERROR(__xludf.DUMMYFUNCTION("""COMPUTED_VALUE"""),1723.66)</f>
        <v>1723.66</v>
      </c>
      <c r="C275" s="2">
        <f>IFERROR(__xludf.DUMMYFUNCTION("""COMPUTED_VALUE"""),1737.05)</f>
        <v>1737.05</v>
      </c>
      <c r="D275" s="2">
        <f>IFERROR(__xludf.DUMMYFUNCTION("""COMPUTED_VALUE"""),1665.61)</f>
        <v>1665.61</v>
      </c>
      <c r="E275" s="2">
        <f>IFERROR(__xludf.DUMMYFUNCTION("""COMPUTED_VALUE"""),1674.54)</f>
        <v>1674.54</v>
      </c>
      <c r="F275" s="2">
        <f>IFERROR(__xludf.DUMMYFUNCTION("""COMPUTED_VALUE"""),1.109337E8)</f>
        <v>110933700</v>
      </c>
      <c r="G275" s="2">
        <f t="shared" si="1"/>
        <v>71.44</v>
      </c>
    </row>
    <row r="276" ht="15.75" customHeight="1">
      <c r="A276" s="1">
        <f>IFERROR(__xludf.DUMMYFUNCTION("""COMPUTED_VALUE"""),44245.625)</f>
        <v>44245.625</v>
      </c>
      <c r="B276" s="2">
        <f>IFERROR(__xludf.DUMMYFUNCTION("""COMPUTED_VALUE"""),1674.54)</f>
        <v>1674.54</v>
      </c>
      <c r="C276" s="2">
        <f>IFERROR(__xludf.DUMMYFUNCTION("""COMPUTED_VALUE"""),1705.79)</f>
        <v>1705.79</v>
      </c>
      <c r="D276" s="2">
        <f>IFERROR(__xludf.DUMMYFUNCTION("""COMPUTED_VALUE"""),1647.74)</f>
        <v>1647.74</v>
      </c>
      <c r="E276" s="2">
        <f>IFERROR(__xludf.DUMMYFUNCTION("""COMPUTED_VALUE"""),1661.14)</f>
        <v>1661.14</v>
      </c>
      <c r="F276" s="2">
        <f>IFERROR(__xludf.DUMMYFUNCTION("""COMPUTED_VALUE"""),9.75256E7)</f>
        <v>97525600</v>
      </c>
      <c r="G276" s="2">
        <f t="shared" si="1"/>
        <v>58.05</v>
      </c>
    </row>
    <row r="277" ht="15.75" customHeight="1">
      <c r="A277" s="1">
        <f>IFERROR(__xludf.DUMMYFUNCTION("""COMPUTED_VALUE"""),44246.625)</f>
        <v>44246.625</v>
      </c>
      <c r="B277" s="2">
        <f>IFERROR(__xludf.DUMMYFUNCTION("""COMPUTED_VALUE"""),1661.14)</f>
        <v>1661.14</v>
      </c>
      <c r="C277" s="2">
        <f>IFERROR(__xludf.DUMMYFUNCTION("""COMPUTED_VALUE"""),1683.47)</f>
        <v>1683.47</v>
      </c>
      <c r="D277" s="2">
        <f>IFERROR(__xludf.DUMMYFUNCTION("""COMPUTED_VALUE"""),1638.81)</f>
        <v>1638.81</v>
      </c>
      <c r="E277" s="2">
        <f>IFERROR(__xludf.DUMMYFUNCTION("""COMPUTED_VALUE"""),1679.0)</f>
        <v>1679</v>
      </c>
      <c r="F277" s="2">
        <f>IFERROR(__xludf.DUMMYFUNCTION("""COMPUTED_VALUE"""),4.25975E7)</f>
        <v>42597500</v>
      </c>
      <c r="G277" s="2">
        <f t="shared" si="1"/>
        <v>44.66</v>
      </c>
    </row>
    <row r="278" ht="15.75" customHeight="1">
      <c r="A278" s="1">
        <f>IFERROR(__xludf.DUMMYFUNCTION("""COMPUTED_VALUE"""),44249.625)</f>
        <v>44249.625</v>
      </c>
      <c r="B278" s="2">
        <f>IFERROR(__xludf.DUMMYFUNCTION("""COMPUTED_VALUE"""),1687.93)</f>
        <v>1687.93</v>
      </c>
      <c r="C278" s="2">
        <f>IFERROR(__xludf.DUMMYFUNCTION("""COMPUTED_VALUE"""),1732.59)</f>
        <v>1732.59</v>
      </c>
      <c r="D278" s="2">
        <f>IFERROR(__xludf.DUMMYFUNCTION("""COMPUTED_VALUE"""),1687.93)</f>
        <v>1687.93</v>
      </c>
      <c r="E278" s="2">
        <f>IFERROR(__xludf.DUMMYFUNCTION("""COMPUTED_VALUE"""),1723.66)</f>
        <v>1723.66</v>
      </c>
      <c r="F278" s="2">
        <f>IFERROR(__xludf.DUMMYFUNCTION("""COMPUTED_VALUE"""),8.51769E7)</f>
        <v>85176900</v>
      </c>
      <c r="G278" s="2">
        <f t="shared" si="1"/>
        <v>53.59</v>
      </c>
    </row>
    <row r="279" ht="15.75" customHeight="1">
      <c r="A279" s="1">
        <f>IFERROR(__xludf.DUMMYFUNCTION("""COMPUTED_VALUE"""),44250.66666666667)</f>
        <v>44250.66667</v>
      </c>
      <c r="B279" s="2">
        <f>IFERROR(__xludf.DUMMYFUNCTION("""COMPUTED_VALUE"""),1732.59)</f>
        <v>1732.59</v>
      </c>
      <c r="C279" s="2">
        <f>IFERROR(__xludf.DUMMYFUNCTION("""COMPUTED_VALUE"""),1804.03)</f>
        <v>1804.03</v>
      </c>
      <c r="D279" s="2">
        <f>IFERROR(__xludf.DUMMYFUNCTION("""COMPUTED_VALUE"""),1728.12)</f>
        <v>1728.12</v>
      </c>
      <c r="E279" s="2">
        <f>IFERROR(__xludf.DUMMYFUNCTION("""COMPUTED_VALUE"""),1786.17)</f>
        <v>1786.17</v>
      </c>
      <c r="F279" s="2">
        <f>IFERROR(__xludf.DUMMYFUNCTION("""COMPUTED_VALUE"""),1.981599E8)</f>
        <v>198159900</v>
      </c>
      <c r="G279" s="2">
        <f t="shared" si="1"/>
        <v>80.37</v>
      </c>
    </row>
    <row r="280" ht="15.75" customHeight="1">
      <c r="A280" s="1">
        <f>IFERROR(__xludf.DUMMYFUNCTION("""COMPUTED_VALUE"""),44251.625)</f>
        <v>44251.625</v>
      </c>
      <c r="B280" s="2">
        <f>IFERROR(__xludf.DUMMYFUNCTION("""COMPUTED_VALUE"""),1795.1)</f>
        <v>1795.1</v>
      </c>
      <c r="C280" s="2">
        <f>IFERROR(__xludf.DUMMYFUNCTION("""COMPUTED_VALUE"""),1893.34)</f>
        <v>1893.34</v>
      </c>
      <c r="D280" s="2">
        <f>IFERROR(__xludf.DUMMYFUNCTION("""COMPUTED_VALUE"""),1768.31)</f>
        <v>1768.31</v>
      </c>
      <c r="E280" s="2">
        <f>IFERROR(__xludf.DUMMYFUNCTION("""COMPUTED_VALUE"""),1875.48)</f>
        <v>1875.48</v>
      </c>
      <c r="F280" s="2">
        <f>IFERROR(__xludf.DUMMYFUNCTION("""COMPUTED_VALUE"""),2.093038E8)</f>
        <v>209303800</v>
      </c>
      <c r="G280" s="2">
        <f t="shared" si="1"/>
        <v>125.03</v>
      </c>
    </row>
    <row r="281" ht="15.75" customHeight="1">
      <c r="A281" s="1">
        <f>IFERROR(__xludf.DUMMYFUNCTION("""COMPUTED_VALUE"""),44252.625)</f>
        <v>44252.625</v>
      </c>
      <c r="B281" s="2">
        <f>IFERROR(__xludf.DUMMYFUNCTION("""COMPUTED_VALUE"""),1893.34)</f>
        <v>1893.34</v>
      </c>
      <c r="C281" s="2">
        <f>IFERROR(__xludf.DUMMYFUNCTION("""COMPUTED_VALUE"""),1920.13)</f>
        <v>1920.13</v>
      </c>
      <c r="D281" s="2">
        <f>IFERROR(__xludf.DUMMYFUNCTION("""COMPUTED_VALUE"""),1866.55)</f>
        <v>1866.55</v>
      </c>
      <c r="E281" s="2">
        <f>IFERROR(__xludf.DUMMYFUNCTION("""COMPUTED_VALUE"""),1884.41)</f>
        <v>1884.41</v>
      </c>
      <c r="F281" s="2">
        <f>IFERROR(__xludf.DUMMYFUNCTION("""COMPUTED_VALUE"""),1.001365E8)</f>
        <v>100136500</v>
      </c>
      <c r="G281" s="2">
        <f t="shared" si="1"/>
        <v>53.58</v>
      </c>
    </row>
    <row r="282" ht="15.75" customHeight="1">
      <c r="A282" s="1">
        <f>IFERROR(__xludf.DUMMYFUNCTION("""COMPUTED_VALUE"""),44253.625)</f>
        <v>44253.625</v>
      </c>
      <c r="B282" s="2">
        <f>IFERROR(__xludf.DUMMYFUNCTION("""COMPUTED_VALUE"""),1830.83)</f>
        <v>1830.83</v>
      </c>
      <c r="C282" s="2">
        <f>IFERROR(__xludf.DUMMYFUNCTION("""COMPUTED_VALUE"""),1920.13)</f>
        <v>1920.13</v>
      </c>
      <c r="D282" s="2">
        <f>IFERROR(__xludf.DUMMYFUNCTION("""COMPUTED_VALUE"""),1804.03)</f>
        <v>1804.03</v>
      </c>
      <c r="E282" s="2">
        <f>IFERROR(__xludf.DUMMYFUNCTION("""COMPUTED_VALUE"""),1848.69)</f>
        <v>1848.69</v>
      </c>
      <c r="F282" s="2">
        <f>IFERROR(__xludf.DUMMYFUNCTION("""COMPUTED_VALUE"""),8.91613E7)</f>
        <v>89161300</v>
      </c>
      <c r="G282" s="2">
        <f t="shared" si="1"/>
        <v>116.1</v>
      </c>
    </row>
    <row r="283" ht="15.75" customHeight="1">
      <c r="A283" s="1">
        <f>IFERROR(__xludf.DUMMYFUNCTION("""COMPUTED_VALUE"""),44256.625)</f>
        <v>44256.625</v>
      </c>
      <c r="B283" s="2">
        <f>IFERROR(__xludf.DUMMYFUNCTION("""COMPUTED_VALUE"""),1875.48)</f>
        <v>1875.48</v>
      </c>
      <c r="C283" s="2">
        <f>IFERROR(__xludf.DUMMYFUNCTION("""COMPUTED_VALUE"""),1902.27)</f>
        <v>1902.27</v>
      </c>
      <c r="D283" s="2">
        <f>IFERROR(__xludf.DUMMYFUNCTION("""COMPUTED_VALUE"""),1839.76)</f>
        <v>1839.76</v>
      </c>
      <c r="E283" s="2">
        <f>IFERROR(__xludf.DUMMYFUNCTION("""COMPUTED_VALUE"""),1902.27)</f>
        <v>1902.27</v>
      </c>
      <c r="F283" s="2">
        <f>IFERROR(__xludf.DUMMYFUNCTION("""COMPUTED_VALUE"""),6.57953E7)</f>
        <v>65795300</v>
      </c>
      <c r="G283" s="2">
        <f t="shared" si="1"/>
        <v>62.51</v>
      </c>
    </row>
    <row r="284" ht="15.75" customHeight="1">
      <c r="A284" s="1">
        <f>IFERROR(__xludf.DUMMYFUNCTION("""COMPUTED_VALUE"""),44257.625)</f>
        <v>44257.625</v>
      </c>
      <c r="B284" s="2">
        <f>IFERROR(__xludf.DUMMYFUNCTION("""COMPUTED_VALUE"""),1920.13)</f>
        <v>1920.13</v>
      </c>
      <c r="C284" s="2">
        <f>IFERROR(__xludf.DUMMYFUNCTION("""COMPUTED_VALUE"""),1946.93)</f>
        <v>1946.93</v>
      </c>
      <c r="D284" s="2">
        <f>IFERROR(__xludf.DUMMYFUNCTION("""COMPUTED_VALUE"""),1902.27)</f>
        <v>1902.27</v>
      </c>
      <c r="E284" s="2">
        <f>IFERROR(__xludf.DUMMYFUNCTION("""COMPUTED_VALUE"""),1920.13)</f>
        <v>1920.13</v>
      </c>
      <c r="F284" s="2">
        <f>IFERROR(__xludf.DUMMYFUNCTION("""COMPUTED_VALUE"""),4.28692E7)</f>
        <v>42869200</v>
      </c>
      <c r="G284" s="2">
        <f t="shared" si="1"/>
        <v>44.66</v>
      </c>
    </row>
    <row r="285" ht="15.75" customHeight="1">
      <c r="A285" s="1">
        <f>IFERROR(__xludf.DUMMYFUNCTION("""COMPUTED_VALUE"""),44258.625)</f>
        <v>44258.625</v>
      </c>
      <c r="B285" s="2">
        <f>IFERROR(__xludf.DUMMYFUNCTION("""COMPUTED_VALUE"""),1929.07)</f>
        <v>1929.07</v>
      </c>
      <c r="C285" s="2">
        <f>IFERROR(__xludf.DUMMYFUNCTION("""COMPUTED_VALUE"""),1929.07)</f>
        <v>1929.07</v>
      </c>
      <c r="D285" s="2">
        <f>IFERROR(__xludf.DUMMYFUNCTION("""COMPUTED_VALUE"""),1866.55)</f>
        <v>1866.55</v>
      </c>
      <c r="E285" s="2">
        <f>IFERROR(__xludf.DUMMYFUNCTION("""COMPUTED_VALUE"""),1893.34)</f>
        <v>1893.34</v>
      </c>
      <c r="F285" s="2">
        <f>IFERROR(__xludf.DUMMYFUNCTION("""COMPUTED_VALUE"""),2.52673E7)</f>
        <v>25267300</v>
      </c>
      <c r="G285" s="2">
        <f t="shared" si="1"/>
        <v>62.52</v>
      </c>
    </row>
    <row r="286" ht="15.75" customHeight="1">
      <c r="A286" s="1">
        <f>IFERROR(__xludf.DUMMYFUNCTION("""COMPUTED_VALUE"""),44259.625)</f>
        <v>44259.625</v>
      </c>
      <c r="B286" s="2">
        <f>IFERROR(__xludf.DUMMYFUNCTION("""COMPUTED_VALUE"""),1893.34)</f>
        <v>1893.34</v>
      </c>
      <c r="C286" s="2">
        <f>IFERROR(__xludf.DUMMYFUNCTION("""COMPUTED_VALUE"""),1938.0)</f>
        <v>1938</v>
      </c>
      <c r="D286" s="2">
        <f>IFERROR(__xludf.DUMMYFUNCTION("""COMPUTED_VALUE"""),1839.76)</f>
        <v>1839.76</v>
      </c>
      <c r="E286" s="2">
        <f>IFERROR(__xludf.DUMMYFUNCTION("""COMPUTED_VALUE"""),1902.27)</f>
        <v>1902.27</v>
      </c>
      <c r="F286" s="2">
        <f>IFERROR(__xludf.DUMMYFUNCTION("""COMPUTED_VALUE"""),4.66883E7)</f>
        <v>46688300</v>
      </c>
      <c r="G286" s="2">
        <f t="shared" si="1"/>
        <v>98.24</v>
      </c>
    </row>
    <row r="287" ht="15.75" customHeight="1">
      <c r="A287" s="1">
        <f>IFERROR(__xludf.DUMMYFUNCTION("""COMPUTED_VALUE"""),44260.625)</f>
        <v>44260.625</v>
      </c>
      <c r="B287" s="2">
        <f>IFERROR(__xludf.DUMMYFUNCTION("""COMPUTED_VALUE"""),1875.48)</f>
        <v>1875.48</v>
      </c>
      <c r="C287" s="2">
        <f>IFERROR(__xludf.DUMMYFUNCTION("""COMPUTED_VALUE"""),1929.07)</f>
        <v>1929.07</v>
      </c>
      <c r="D287" s="2">
        <f>IFERROR(__xludf.DUMMYFUNCTION("""COMPUTED_VALUE"""),1857.62)</f>
        <v>1857.62</v>
      </c>
      <c r="E287" s="2">
        <f>IFERROR(__xludf.DUMMYFUNCTION("""COMPUTED_VALUE"""),1884.41)</f>
        <v>1884.41</v>
      </c>
      <c r="F287" s="2">
        <f>IFERROR(__xludf.DUMMYFUNCTION("""COMPUTED_VALUE"""),3.8309E7)</f>
        <v>38309000</v>
      </c>
      <c r="G287" s="2">
        <f t="shared" si="1"/>
        <v>71.45</v>
      </c>
    </row>
    <row r="288" ht="15.75" customHeight="1">
      <c r="A288" s="1">
        <f>IFERROR(__xludf.DUMMYFUNCTION("""COMPUTED_VALUE"""),44263.66666666667)</f>
        <v>44263.66667</v>
      </c>
      <c r="B288" s="2">
        <f>IFERROR(__xludf.DUMMYFUNCTION("""COMPUTED_VALUE"""),1902.27)</f>
        <v>1902.27</v>
      </c>
      <c r="C288" s="2">
        <f>IFERROR(__xludf.DUMMYFUNCTION("""COMPUTED_VALUE"""),1938.0)</f>
        <v>1938</v>
      </c>
      <c r="D288" s="2">
        <f>IFERROR(__xludf.DUMMYFUNCTION("""COMPUTED_VALUE"""),1893.34)</f>
        <v>1893.34</v>
      </c>
      <c r="E288" s="2">
        <f>IFERROR(__xludf.DUMMYFUNCTION("""COMPUTED_VALUE"""),1920.13)</f>
        <v>1920.13</v>
      </c>
      <c r="F288" s="2">
        <f>IFERROR(__xludf.DUMMYFUNCTION("""COMPUTED_VALUE"""),3.98196E7)</f>
        <v>39819600</v>
      </c>
      <c r="G288" s="2">
        <f t="shared" si="1"/>
        <v>53.59</v>
      </c>
    </row>
    <row r="289" ht="15.75" customHeight="1">
      <c r="A289" s="1">
        <f>IFERROR(__xludf.DUMMYFUNCTION("""COMPUTED_VALUE"""),44264.625)</f>
        <v>44264.625</v>
      </c>
      <c r="B289" s="2">
        <f>IFERROR(__xludf.DUMMYFUNCTION("""COMPUTED_VALUE"""),1920.13)</f>
        <v>1920.13</v>
      </c>
      <c r="C289" s="2">
        <f>IFERROR(__xludf.DUMMYFUNCTION("""COMPUTED_VALUE"""),1920.13)</f>
        <v>1920.13</v>
      </c>
      <c r="D289" s="2">
        <f>IFERROR(__xludf.DUMMYFUNCTION("""COMPUTED_VALUE"""),1786.17)</f>
        <v>1786.17</v>
      </c>
      <c r="E289" s="2">
        <f>IFERROR(__xludf.DUMMYFUNCTION("""COMPUTED_VALUE"""),1786.17)</f>
        <v>1786.17</v>
      </c>
      <c r="F289" s="2">
        <f>IFERROR(__xludf.DUMMYFUNCTION("""COMPUTED_VALUE"""),7.46383E7)</f>
        <v>74638300</v>
      </c>
      <c r="G289" s="2">
        <f t="shared" si="1"/>
        <v>133.96</v>
      </c>
    </row>
    <row r="290" ht="15.75" customHeight="1">
      <c r="A290" s="1">
        <f>IFERROR(__xludf.DUMMYFUNCTION("""COMPUTED_VALUE"""),44265.625)</f>
        <v>44265.625</v>
      </c>
      <c r="B290" s="2">
        <f>IFERROR(__xludf.DUMMYFUNCTION("""COMPUTED_VALUE"""),1745.98)</f>
        <v>1745.98</v>
      </c>
      <c r="C290" s="2">
        <f>IFERROR(__xludf.DUMMYFUNCTION("""COMPUTED_VALUE"""),1812.96)</f>
        <v>1812.96</v>
      </c>
      <c r="D290" s="2">
        <f>IFERROR(__xludf.DUMMYFUNCTION("""COMPUTED_VALUE"""),1701.33)</f>
        <v>1701.33</v>
      </c>
      <c r="E290" s="2">
        <f>IFERROR(__xludf.DUMMYFUNCTION("""COMPUTED_VALUE"""),1777.24)</f>
        <v>1777.24</v>
      </c>
      <c r="F290" s="2">
        <f>IFERROR(__xludf.DUMMYFUNCTION("""COMPUTED_VALUE"""),1.052713E8)</f>
        <v>105271300</v>
      </c>
      <c r="G290" s="2">
        <f t="shared" si="1"/>
        <v>111.63</v>
      </c>
    </row>
    <row r="291" ht="15.75" customHeight="1">
      <c r="A291" s="1">
        <f>IFERROR(__xludf.DUMMYFUNCTION("""COMPUTED_VALUE"""),44267.625)</f>
        <v>44267.625</v>
      </c>
      <c r="B291" s="2">
        <f>IFERROR(__xludf.DUMMYFUNCTION("""COMPUTED_VALUE"""),1777.24)</f>
        <v>1777.24</v>
      </c>
      <c r="C291" s="2">
        <f>IFERROR(__xludf.DUMMYFUNCTION("""COMPUTED_VALUE"""),1795.1)</f>
        <v>1795.1</v>
      </c>
      <c r="D291" s="2">
        <f>IFERROR(__xludf.DUMMYFUNCTION("""COMPUTED_VALUE"""),1737.05)</f>
        <v>1737.05</v>
      </c>
      <c r="E291" s="2">
        <f>IFERROR(__xludf.DUMMYFUNCTION("""COMPUTED_VALUE"""),1763.84)</f>
        <v>1763.84</v>
      </c>
      <c r="F291" s="2">
        <f>IFERROR(__xludf.DUMMYFUNCTION("""COMPUTED_VALUE"""),6.92362E7)</f>
        <v>69236200</v>
      </c>
      <c r="G291" s="2">
        <f t="shared" si="1"/>
        <v>58.05</v>
      </c>
    </row>
    <row r="292" ht="15.75" customHeight="1">
      <c r="A292" s="1">
        <f>IFERROR(__xludf.DUMMYFUNCTION("""COMPUTED_VALUE"""),44270.625)</f>
        <v>44270.625</v>
      </c>
      <c r="B292" s="2">
        <f>IFERROR(__xludf.DUMMYFUNCTION("""COMPUTED_VALUE"""),1768.31)</f>
        <v>1768.31</v>
      </c>
      <c r="C292" s="2">
        <f>IFERROR(__xludf.DUMMYFUNCTION("""COMPUTED_VALUE"""),1804.03)</f>
        <v>1804.03</v>
      </c>
      <c r="D292" s="2">
        <f>IFERROR(__xludf.DUMMYFUNCTION("""COMPUTED_VALUE"""),1754.91)</f>
        <v>1754.91</v>
      </c>
      <c r="E292" s="2">
        <f>IFERROR(__xludf.DUMMYFUNCTION("""COMPUTED_VALUE"""),1759.38)</f>
        <v>1759.38</v>
      </c>
      <c r="F292" s="2">
        <f>IFERROR(__xludf.DUMMYFUNCTION("""COMPUTED_VALUE"""),2.98515E7)</f>
        <v>29851500</v>
      </c>
      <c r="G292" s="2">
        <f t="shared" si="1"/>
        <v>49.12</v>
      </c>
    </row>
    <row r="293" ht="15.75" customHeight="1">
      <c r="A293" s="1">
        <f>IFERROR(__xludf.DUMMYFUNCTION("""COMPUTED_VALUE"""),44271.625)</f>
        <v>44271.625</v>
      </c>
      <c r="B293" s="2">
        <f>IFERROR(__xludf.DUMMYFUNCTION("""COMPUTED_VALUE"""),1763.84)</f>
        <v>1763.84</v>
      </c>
      <c r="C293" s="2">
        <f>IFERROR(__xludf.DUMMYFUNCTION("""COMPUTED_VALUE"""),1795.1)</f>
        <v>1795.1</v>
      </c>
      <c r="D293" s="2">
        <f>IFERROR(__xludf.DUMMYFUNCTION("""COMPUTED_VALUE"""),1745.98)</f>
        <v>1745.98</v>
      </c>
      <c r="E293" s="2">
        <f>IFERROR(__xludf.DUMMYFUNCTION("""COMPUTED_VALUE"""),1754.91)</f>
        <v>1754.91</v>
      </c>
      <c r="F293" s="2">
        <f>IFERROR(__xludf.DUMMYFUNCTION("""COMPUTED_VALUE"""),3.99251E7)</f>
        <v>39925100</v>
      </c>
      <c r="G293" s="2">
        <f t="shared" si="1"/>
        <v>49.12</v>
      </c>
    </row>
    <row r="294" ht="15.75" customHeight="1">
      <c r="A294" s="1">
        <f>IFERROR(__xludf.DUMMYFUNCTION("""COMPUTED_VALUE"""),44272.625)</f>
        <v>44272.625</v>
      </c>
      <c r="B294" s="2">
        <f>IFERROR(__xludf.DUMMYFUNCTION("""COMPUTED_VALUE"""),1763.84)</f>
        <v>1763.84</v>
      </c>
      <c r="C294" s="2">
        <f>IFERROR(__xludf.DUMMYFUNCTION("""COMPUTED_VALUE"""),1768.31)</f>
        <v>1768.31</v>
      </c>
      <c r="D294" s="2">
        <f>IFERROR(__xludf.DUMMYFUNCTION("""COMPUTED_VALUE"""),1714.73)</f>
        <v>1714.73</v>
      </c>
      <c r="E294" s="2">
        <f>IFERROR(__xludf.DUMMYFUNCTION("""COMPUTED_VALUE"""),1719.19)</f>
        <v>1719.19</v>
      </c>
      <c r="F294" s="2">
        <f>IFERROR(__xludf.DUMMYFUNCTION("""COMPUTED_VALUE"""),2.52256E7)</f>
        <v>25225600</v>
      </c>
      <c r="G294" s="2">
        <f t="shared" si="1"/>
        <v>53.58</v>
      </c>
    </row>
    <row r="295" ht="15.75" customHeight="1">
      <c r="A295" s="1">
        <f>IFERROR(__xludf.DUMMYFUNCTION("""COMPUTED_VALUE"""),44273.625)</f>
        <v>44273.625</v>
      </c>
      <c r="B295" s="2">
        <f>IFERROR(__xludf.DUMMYFUNCTION("""COMPUTED_VALUE"""),1723.66)</f>
        <v>1723.66</v>
      </c>
      <c r="C295" s="2">
        <f>IFERROR(__xludf.DUMMYFUNCTION("""COMPUTED_VALUE"""),1741.52)</f>
        <v>1741.52</v>
      </c>
      <c r="D295" s="2">
        <f>IFERROR(__xludf.DUMMYFUNCTION("""COMPUTED_VALUE"""),1687.93)</f>
        <v>1687.93</v>
      </c>
      <c r="E295" s="2">
        <f>IFERROR(__xludf.DUMMYFUNCTION("""COMPUTED_VALUE"""),1728.12)</f>
        <v>1728.12</v>
      </c>
      <c r="F295" s="2">
        <f>IFERROR(__xludf.DUMMYFUNCTION("""COMPUTED_VALUE"""),4.44067E7)</f>
        <v>44406700</v>
      </c>
      <c r="G295" s="2">
        <f t="shared" si="1"/>
        <v>53.59</v>
      </c>
    </row>
    <row r="296" ht="15.75" customHeight="1">
      <c r="A296" s="1">
        <f>IFERROR(__xludf.DUMMYFUNCTION("""COMPUTED_VALUE"""),44274.625)</f>
        <v>44274.625</v>
      </c>
      <c r="B296" s="2">
        <f>IFERROR(__xludf.DUMMYFUNCTION("""COMPUTED_VALUE"""),1728.12)</f>
        <v>1728.12</v>
      </c>
      <c r="C296" s="2">
        <f>IFERROR(__xludf.DUMMYFUNCTION("""COMPUTED_VALUE"""),1732.59)</f>
        <v>1732.59</v>
      </c>
      <c r="D296" s="2">
        <f>IFERROR(__xludf.DUMMYFUNCTION("""COMPUTED_VALUE"""),1705.79)</f>
        <v>1705.79</v>
      </c>
      <c r="E296" s="2">
        <f>IFERROR(__xludf.DUMMYFUNCTION("""COMPUTED_VALUE"""),1714.73)</f>
        <v>1714.73</v>
      </c>
      <c r="F296" s="2">
        <f>IFERROR(__xludf.DUMMYFUNCTION("""COMPUTED_VALUE"""),1.90394E7)</f>
        <v>19039400</v>
      </c>
      <c r="G296" s="2">
        <f t="shared" si="1"/>
        <v>26.8</v>
      </c>
    </row>
    <row r="297" ht="15.75" customHeight="1">
      <c r="A297" s="1">
        <f>IFERROR(__xludf.DUMMYFUNCTION("""COMPUTED_VALUE"""),44277.625)</f>
        <v>44277.625</v>
      </c>
      <c r="B297" s="2">
        <f>IFERROR(__xludf.DUMMYFUNCTION("""COMPUTED_VALUE"""),1732.59)</f>
        <v>1732.59</v>
      </c>
      <c r="C297" s="2">
        <f>IFERROR(__xludf.DUMMYFUNCTION("""COMPUTED_VALUE"""),1732.59)</f>
        <v>1732.59</v>
      </c>
      <c r="D297" s="2">
        <f>IFERROR(__xludf.DUMMYFUNCTION("""COMPUTED_VALUE"""),1674.54)</f>
        <v>1674.54</v>
      </c>
      <c r="E297" s="2">
        <f>IFERROR(__xludf.DUMMYFUNCTION("""COMPUTED_VALUE"""),1687.93)</f>
        <v>1687.93</v>
      </c>
      <c r="F297" s="2">
        <f>IFERROR(__xludf.DUMMYFUNCTION("""COMPUTED_VALUE"""),2.82686E7)</f>
        <v>28268600</v>
      </c>
      <c r="G297" s="2">
        <f t="shared" si="1"/>
        <v>58.05</v>
      </c>
    </row>
    <row r="298" ht="15.75" customHeight="1">
      <c r="A298" s="1">
        <f>IFERROR(__xludf.DUMMYFUNCTION("""COMPUTED_VALUE"""),44278.625)</f>
        <v>44278.625</v>
      </c>
      <c r="B298" s="2">
        <f>IFERROR(__xludf.DUMMYFUNCTION("""COMPUTED_VALUE"""),1687.93)</f>
        <v>1687.93</v>
      </c>
      <c r="C298" s="2">
        <f>IFERROR(__xludf.DUMMYFUNCTION("""COMPUTED_VALUE"""),1701.33)</f>
        <v>1701.33</v>
      </c>
      <c r="D298" s="2">
        <f>IFERROR(__xludf.DUMMYFUNCTION("""COMPUTED_VALUE"""),1620.95)</f>
        <v>1620.95</v>
      </c>
      <c r="E298" s="2">
        <f>IFERROR(__xludf.DUMMYFUNCTION("""COMPUTED_VALUE"""),1634.35)</f>
        <v>1634.35</v>
      </c>
      <c r="F298" s="2">
        <f>IFERROR(__xludf.DUMMYFUNCTION("""COMPUTED_VALUE"""),5.75899E7)</f>
        <v>57589900</v>
      </c>
      <c r="G298" s="2">
        <f t="shared" si="1"/>
        <v>80.38</v>
      </c>
    </row>
    <row r="299" ht="15.75" customHeight="1">
      <c r="A299" s="1">
        <f>IFERROR(__xludf.DUMMYFUNCTION("""COMPUTED_VALUE"""),44279.625)</f>
        <v>44279.625</v>
      </c>
      <c r="B299" s="2">
        <f>IFERROR(__xludf.DUMMYFUNCTION("""COMPUTED_VALUE"""),1634.35)</f>
        <v>1634.35</v>
      </c>
      <c r="C299" s="2">
        <f>IFERROR(__xludf.DUMMYFUNCTION("""COMPUTED_VALUE"""),1647.74)</f>
        <v>1647.74</v>
      </c>
      <c r="D299" s="2">
        <f>IFERROR(__xludf.DUMMYFUNCTION("""COMPUTED_VALUE"""),1589.69)</f>
        <v>1589.69</v>
      </c>
      <c r="E299" s="2">
        <f>IFERROR(__xludf.DUMMYFUNCTION("""COMPUTED_VALUE"""),1598.62)</f>
        <v>1598.62</v>
      </c>
      <c r="F299" s="2">
        <f>IFERROR(__xludf.DUMMYFUNCTION("""COMPUTED_VALUE"""),5.0356E7)</f>
        <v>50356000</v>
      </c>
      <c r="G299" s="2">
        <f t="shared" si="1"/>
        <v>58.05</v>
      </c>
    </row>
    <row r="300" ht="15.75" customHeight="1">
      <c r="A300" s="1">
        <f>IFERROR(__xludf.DUMMYFUNCTION("""COMPUTED_VALUE"""),44280.625)</f>
        <v>44280.625</v>
      </c>
      <c r="B300" s="2">
        <f>IFERROR(__xludf.DUMMYFUNCTION("""COMPUTED_VALUE"""),1598.62)</f>
        <v>1598.62</v>
      </c>
      <c r="C300" s="2">
        <f>IFERROR(__xludf.DUMMYFUNCTION("""COMPUTED_VALUE"""),1638.81)</f>
        <v>1638.81</v>
      </c>
      <c r="D300" s="2">
        <f>IFERROR(__xludf.DUMMYFUNCTION("""COMPUTED_VALUE"""),1576.3)</f>
        <v>1576.3</v>
      </c>
      <c r="E300" s="2">
        <f>IFERROR(__xludf.DUMMYFUNCTION("""COMPUTED_VALUE"""),1594.16)</f>
        <v>1594.16</v>
      </c>
      <c r="F300" s="2">
        <f>IFERROR(__xludf.DUMMYFUNCTION("""COMPUTED_VALUE"""),3.78793E7)</f>
        <v>37879300</v>
      </c>
      <c r="G300" s="2">
        <f t="shared" si="1"/>
        <v>62.51</v>
      </c>
    </row>
    <row r="301" ht="15.75" customHeight="1">
      <c r="A301" s="1">
        <f>IFERROR(__xludf.DUMMYFUNCTION("""COMPUTED_VALUE"""),44281.625)</f>
        <v>44281.625</v>
      </c>
      <c r="B301" s="2">
        <f>IFERROR(__xludf.DUMMYFUNCTION("""COMPUTED_VALUE"""),1625.42)</f>
        <v>1625.42</v>
      </c>
      <c r="C301" s="2">
        <f>IFERROR(__xludf.DUMMYFUNCTION("""COMPUTED_VALUE"""),1652.21)</f>
        <v>1652.21</v>
      </c>
      <c r="D301" s="2">
        <f>IFERROR(__xludf.DUMMYFUNCTION("""COMPUTED_VALUE"""),1598.62)</f>
        <v>1598.62</v>
      </c>
      <c r="E301" s="2">
        <f>IFERROR(__xludf.DUMMYFUNCTION("""COMPUTED_VALUE"""),1647.74)</f>
        <v>1647.74</v>
      </c>
      <c r="F301" s="2">
        <f>IFERROR(__xludf.DUMMYFUNCTION("""COMPUTED_VALUE"""),6.04112E7)</f>
        <v>60411200</v>
      </c>
      <c r="G301" s="2">
        <f t="shared" si="1"/>
        <v>58.05</v>
      </c>
    </row>
    <row r="302" ht="15.75" customHeight="1">
      <c r="A302" s="1">
        <f>IFERROR(__xludf.DUMMYFUNCTION("""COMPUTED_VALUE"""),44284.625)</f>
        <v>44284.625</v>
      </c>
      <c r="B302" s="2">
        <f>IFERROR(__xludf.DUMMYFUNCTION("""COMPUTED_VALUE"""),1652.21)</f>
        <v>1652.21</v>
      </c>
      <c r="C302" s="2">
        <f>IFERROR(__xludf.DUMMYFUNCTION("""COMPUTED_VALUE"""),1674.54)</f>
        <v>1674.54</v>
      </c>
      <c r="D302" s="2">
        <f>IFERROR(__xludf.DUMMYFUNCTION("""COMPUTED_VALUE"""),1594.16)</f>
        <v>1594.16</v>
      </c>
      <c r="E302" s="2">
        <f>IFERROR(__xludf.DUMMYFUNCTION("""COMPUTED_VALUE"""),1607.55)</f>
        <v>1607.55</v>
      </c>
      <c r="F302" s="2">
        <f>IFERROR(__xludf.DUMMYFUNCTION("""COMPUTED_VALUE"""),5.65736E7)</f>
        <v>56573600</v>
      </c>
      <c r="G302" s="2">
        <f t="shared" si="1"/>
        <v>80.38</v>
      </c>
    </row>
    <row r="303" ht="15.75" customHeight="1">
      <c r="A303" s="1">
        <f>IFERROR(__xludf.DUMMYFUNCTION("""COMPUTED_VALUE"""),44285.625)</f>
        <v>44285.625</v>
      </c>
      <c r="B303" s="2">
        <f>IFERROR(__xludf.DUMMYFUNCTION("""COMPUTED_VALUE"""),1607.55)</f>
        <v>1607.55</v>
      </c>
      <c r="C303" s="2">
        <f>IFERROR(__xludf.DUMMYFUNCTION("""COMPUTED_VALUE"""),1616.49)</f>
        <v>1616.49</v>
      </c>
      <c r="D303" s="2">
        <f>IFERROR(__xludf.DUMMYFUNCTION("""COMPUTED_VALUE"""),1549.5)</f>
        <v>1549.5</v>
      </c>
      <c r="E303" s="2">
        <f>IFERROR(__xludf.DUMMYFUNCTION("""COMPUTED_VALUE"""),1553.97)</f>
        <v>1553.97</v>
      </c>
      <c r="F303" s="2">
        <f>IFERROR(__xludf.DUMMYFUNCTION("""COMPUTED_VALUE"""),4.32712E7)</f>
        <v>43271200</v>
      </c>
      <c r="G303" s="2">
        <f t="shared" si="1"/>
        <v>66.99</v>
      </c>
    </row>
    <row r="304" ht="15.75" customHeight="1">
      <c r="A304" s="1">
        <f>IFERROR(__xludf.DUMMYFUNCTION("""COMPUTED_VALUE"""),44286.625)</f>
        <v>44286.625</v>
      </c>
      <c r="B304" s="2">
        <f>IFERROR(__xludf.DUMMYFUNCTION("""COMPUTED_VALUE"""),1562.9)</f>
        <v>1562.9</v>
      </c>
      <c r="C304" s="2">
        <f>IFERROR(__xludf.DUMMYFUNCTION("""COMPUTED_VALUE"""),1580.76)</f>
        <v>1580.76</v>
      </c>
      <c r="D304" s="2">
        <f>IFERROR(__xludf.DUMMYFUNCTION("""COMPUTED_VALUE"""),1522.71)</f>
        <v>1522.71</v>
      </c>
      <c r="E304" s="2">
        <f>IFERROR(__xludf.DUMMYFUNCTION("""COMPUTED_VALUE"""),1536.11)</f>
        <v>1536.11</v>
      </c>
      <c r="F304" s="2">
        <f>IFERROR(__xludf.DUMMYFUNCTION("""COMPUTED_VALUE"""),4.60235E7)</f>
        <v>46023500</v>
      </c>
      <c r="G304" s="2">
        <f t="shared" si="1"/>
        <v>58.05</v>
      </c>
    </row>
    <row r="305" ht="15.75" customHeight="1">
      <c r="A305" s="1">
        <f>IFERROR(__xludf.DUMMYFUNCTION("""COMPUTED_VALUE"""),44287.625)</f>
        <v>44287.625</v>
      </c>
      <c r="B305" s="2">
        <f>IFERROR(__xludf.DUMMYFUNCTION("""COMPUTED_VALUE"""),1562.9)</f>
        <v>1562.9</v>
      </c>
      <c r="C305" s="2">
        <f>IFERROR(__xludf.DUMMYFUNCTION("""COMPUTED_VALUE"""),1567.37)</f>
        <v>1567.37</v>
      </c>
      <c r="D305" s="2">
        <f>IFERROR(__xludf.DUMMYFUNCTION("""COMPUTED_VALUE"""),1518.25)</f>
        <v>1518.25</v>
      </c>
      <c r="E305" s="2">
        <f>IFERROR(__xludf.DUMMYFUNCTION("""COMPUTED_VALUE"""),1540.57)</f>
        <v>1540.57</v>
      </c>
      <c r="F305" s="2">
        <f>IFERROR(__xludf.DUMMYFUNCTION("""COMPUTED_VALUE"""),2.40708E7)</f>
        <v>24070800</v>
      </c>
      <c r="G305" s="2">
        <f t="shared" si="1"/>
        <v>49.12</v>
      </c>
    </row>
    <row r="306" ht="15.75" customHeight="1">
      <c r="A306" s="1">
        <f>IFERROR(__xludf.DUMMYFUNCTION("""COMPUTED_VALUE"""),44291.625)</f>
        <v>44291.625</v>
      </c>
      <c r="B306" s="2">
        <f>IFERROR(__xludf.DUMMYFUNCTION("""COMPUTED_VALUE"""),1549.5)</f>
        <v>1549.5</v>
      </c>
      <c r="C306" s="2">
        <f>IFERROR(__xludf.DUMMYFUNCTION("""COMPUTED_VALUE"""),1558.43)</f>
        <v>1558.43</v>
      </c>
      <c r="D306" s="2">
        <f>IFERROR(__xludf.DUMMYFUNCTION("""COMPUTED_VALUE"""),1522.71)</f>
        <v>1522.71</v>
      </c>
      <c r="E306" s="2">
        <f>IFERROR(__xludf.DUMMYFUNCTION("""COMPUTED_VALUE"""),1527.18)</f>
        <v>1527.18</v>
      </c>
      <c r="F306" s="2">
        <f>IFERROR(__xludf.DUMMYFUNCTION("""COMPUTED_VALUE"""),1.8469E7)</f>
        <v>18469000</v>
      </c>
      <c r="G306" s="2">
        <f t="shared" si="1"/>
        <v>35.72</v>
      </c>
    </row>
    <row r="307" ht="15.75" customHeight="1">
      <c r="A307" s="1">
        <f>IFERROR(__xludf.DUMMYFUNCTION("""COMPUTED_VALUE"""),44292.625)</f>
        <v>44292.625</v>
      </c>
      <c r="B307" s="2">
        <f>IFERROR(__xludf.DUMMYFUNCTION("""COMPUTED_VALUE"""),1527.18)</f>
        <v>1527.18</v>
      </c>
      <c r="C307" s="2">
        <f>IFERROR(__xludf.DUMMYFUNCTION("""COMPUTED_VALUE"""),1549.5)</f>
        <v>1549.5</v>
      </c>
      <c r="D307" s="2">
        <f>IFERROR(__xludf.DUMMYFUNCTION("""COMPUTED_VALUE"""),1518.25)</f>
        <v>1518.25</v>
      </c>
      <c r="E307" s="2">
        <f>IFERROR(__xludf.DUMMYFUNCTION("""COMPUTED_VALUE"""),1549.5)</f>
        <v>1549.5</v>
      </c>
      <c r="F307" s="2">
        <f>IFERROR(__xludf.DUMMYFUNCTION("""COMPUTED_VALUE"""),2.04718E7)</f>
        <v>20471800</v>
      </c>
      <c r="G307" s="2">
        <f t="shared" si="1"/>
        <v>31.25</v>
      </c>
    </row>
    <row r="308" ht="15.75" customHeight="1">
      <c r="A308" s="1">
        <f>IFERROR(__xludf.DUMMYFUNCTION("""COMPUTED_VALUE"""),44293.625)</f>
        <v>44293.625</v>
      </c>
      <c r="B308" s="2">
        <f>IFERROR(__xludf.DUMMYFUNCTION("""COMPUTED_VALUE"""),1549.5)</f>
        <v>1549.5</v>
      </c>
      <c r="C308" s="2">
        <f>IFERROR(__xludf.DUMMYFUNCTION("""COMPUTED_VALUE"""),1553.97)</f>
        <v>1553.97</v>
      </c>
      <c r="D308" s="2">
        <f>IFERROR(__xludf.DUMMYFUNCTION("""COMPUTED_VALUE"""),1486.99)</f>
        <v>1486.99</v>
      </c>
      <c r="E308" s="2">
        <f>IFERROR(__xludf.DUMMYFUNCTION("""COMPUTED_VALUE"""),1518.25)</f>
        <v>1518.25</v>
      </c>
      <c r="F308" s="2">
        <f>IFERROR(__xludf.DUMMYFUNCTION("""COMPUTED_VALUE"""),4.63529E7)</f>
        <v>46352900</v>
      </c>
      <c r="G308" s="2">
        <f t="shared" si="1"/>
        <v>66.98</v>
      </c>
    </row>
    <row r="309" ht="15.75" customHeight="1">
      <c r="A309" s="1">
        <f>IFERROR(__xludf.DUMMYFUNCTION("""COMPUTED_VALUE"""),44294.625)</f>
        <v>44294.625</v>
      </c>
      <c r="B309" s="2">
        <f>IFERROR(__xludf.DUMMYFUNCTION("""COMPUTED_VALUE"""),1500.38)</f>
        <v>1500.38</v>
      </c>
      <c r="C309" s="2">
        <f>IFERROR(__xludf.DUMMYFUNCTION("""COMPUTED_VALUE"""),1527.18)</f>
        <v>1527.18</v>
      </c>
      <c r="D309" s="2">
        <f>IFERROR(__xludf.DUMMYFUNCTION("""COMPUTED_VALUE"""),1500.38)</f>
        <v>1500.38</v>
      </c>
      <c r="E309" s="2">
        <f>IFERROR(__xludf.DUMMYFUNCTION("""COMPUTED_VALUE"""),1513.78)</f>
        <v>1513.78</v>
      </c>
      <c r="F309" s="2">
        <f>IFERROR(__xludf.DUMMYFUNCTION("""COMPUTED_VALUE"""),4.7831E7)</f>
        <v>47831000</v>
      </c>
      <c r="G309" s="2">
        <f t="shared" si="1"/>
        <v>26.8</v>
      </c>
    </row>
    <row r="310" ht="15.75" customHeight="1">
      <c r="A310" s="1">
        <f>IFERROR(__xludf.DUMMYFUNCTION("""COMPUTED_VALUE"""),44295.625)</f>
        <v>44295.625</v>
      </c>
      <c r="B310" s="2">
        <f>IFERROR(__xludf.DUMMYFUNCTION("""COMPUTED_VALUE"""),1513.78)</f>
        <v>1513.78</v>
      </c>
      <c r="C310" s="2">
        <f>IFERROR(__xludf.DUMMYFUNCTION("""COMPUTED_VALUE"""),1580.76)</f>
        <v>1580.76</v>
      </c>
      <c r="D310" s="2">
        <f>IFERROR(__xludf.DUMMYFUNCTION("""COMPUTED_VALUE"""),1509.32)</f>
        <v>1509.32</v>
      </c>
      <c r="E310" s="2">
        <f>IFERROR(__xludf.DUMMYFUNCTION("""COMPUTED_VALUE"""),1549.5)</f>
        <v>1549.5</v>
      </c>
      <c r="F310" s="2">
        <f>IFERROR(__xludf.DUMMYFUNCTION("""COMPUTED_VALUE"""),1.086953E8)</f>
        <v>108695300</v>
      </c>
      <c r="G310" s="2">
        <f t="shared" si="1"/>
        <v>71.44</v>
      </c>
    </row>
    <row r="311" ht="15.75" customHeight="1">
      <c r="A311" s="1">
        <f>IFERROR(__xludf.DUMMYFUNCTION("""COMPUTED_VALUE"""),44298.625)</f>
        <v>44298.625</v>
      </c>
      <c r="B311" s="2">
        <f>IFERROR(__xludf.DUMMYFUNCTION("""COMPUTED_VALUE"""),1549.5)</f>
        <v>1549.5</v>
      </c>
      <c r="C311" s="2">
        <f>IFERROR(__xludf.DUMMYFUNCTION("""COMPUTED_VALUE"""),1549.5)</f>
        <v>1549.5</v>
      </c>
      <c r="D311" s="2">
        <f>IFERROR(__xludf.DUMMYFUNCTION("""COMPUTED_VALUE"""),1442.33)</f>
        <v>1442.33</v>
      </c>
      <c r="E311" s="2">
        <f>IFERROR(__xludf.DUMMYFUNCTION("""COMPUTED_VALUE"""),1442.33)</f>
        <v>1442.33</v>
      </c>
      <c r="F311" s="2">
        <f>IFERROR(__xludf.DUMMYFUNCTION("""COMPUTED_VALUE"""),1.588228E8)</f>
        <v>158822800</v>
      </c>
      <c r="G311" s="2">
        <f t="shared" si="1"/>
        <v>107.17</v>
      </c>
    </row>
    <row r="312" ht="15.75" customHeight="1">
      <c r="A312" s="1">
        <f>IFERROR(__xludf.DUMMYFUNCTION("""COMPUTED_VALUE"""),44299.625)</f>
        <v>44299.625</v>
      </c>
      <c r="B312" s="2">
        <f>IFERROR(__xludf.DUMMYFUNCTION("""COMPUTED_VALUE"""),1446.8)</f>
        <v>1446.8</v>
      </c>
      <c r="C312" s="2">
        <f>IFERROR(__xludf.DUMMYFUNCTION("""COMPUTED_VALUE"""),1455.73)</f>
        <v>1455.73</v>
      </c>
      <c r="D312" s="2">
        <f>IFERROR(__xludf.DUMMYFUNCTION("""COMPUTED_VALUE"""),1402.14)</f>
        <v>1402.14</v>
      </c>
      <c r="E312" s="2">
        <f>IFERROR(__xludf.DUMMYFUNCTION("""COMPUTED_VALUE"""),1433.4)</f>
        <v>1433.4</v>
      </c>
      <c r="F312" s="2">
        <f>IFERROR(__xludf.DUMMYFUNCTION("""COMPUTED_VALUE"""),7.47604E7)</f>
        <v>74760400</v>
      </c>
      <c r="G312" s="2">
        <f t="shared" si="1"/>
        <v>53.59</v>
      </c>
    </row>
    <row r="313" ht="15.75" customHeight="1">
      <c r="A313" s="1">
        <f>IFERROR(__xludf.DUMMYFUNCTION("""COMPUTED_VALUE"""),44300.625)</f>
        <v>44300.625</v>
      </c>
      <c r="B313" s="2">
        <f>IFERROR(__xludf.DUMMYFUNCTION("""COMPUTED_VALUE"""),1446.8)</f>
        <v>1446.8</v>
      </c>
      <c r="C313" s="2">
        <f>IFERROR(__xludf.DUMMYFUNCTION("""COMPUTED_VALUE"""),1495.92)</f>
        <v>1495.92</v>
      </c>
      <c r="D313" s="2">
        <f>IFERROR(__xludf.DUMMYFUNCTION("""COMPUTED_VALUE"""),1446.8)</f>
        <v>1446.8</v>
      </c>
      <c r="E313" s="2">
        <f>IFERROR(__xludf.DUMMYFUNCTION("""COMPUTED_VALUE"""),1486.99)</f>
        <v>1486.99</v>
      </c>
      <c r="F313" s="2">
        <f>IFERROR(__xludf.DUMMYFUNCTION("""COMPUTED_VALUE"""),7.6671E7)</f>
        <v>76671000</v>
      </c>
      <c r="G313" s="2">
        <f t="shared" si="1"/>
        <v>62.52</v>
      </c>
    </row>
    <row r="314" ht="15.75" customHeight="1">
      <c r="A314" s="1">
        <f>IFERROR(__xludf.DUMMYFUNCTION("""COMPUTED_VALUE"""),44301.625)</f>
        <v>44301.625</v>
      </c>
      <c r="B314" s="2">
        <f>IFERROR(__xludf.DUMMYFUNCTION("""COMPUTED_VALUE"""),1486.99)</f>
        <v>1486.99</v>
      </c>
      <c r="C314" s="2">
        <f>IFERROR(__xludf.DUMMYFUNCTION("""COMPUTED_VALUE"""),1491.45)</f>
        <v>1491.45</v>
      </c>
      <c r="D314" s="2">
        <f>IFERROR(__xludf.DUMMYFUNCTION("""COMPUTED_VALUE"""),1446.8)</f>
        <v>1446.8</v>
      </c>
      <c r="E314" s="2">
        <f>IFERROR(__xludf.DUMMYFUNCTION("""COMPUTED_VALUE"""),1451.26)</f>
        <v>1451.26</v>
      </c>
      <c r="F314" s="2">
        <f>IFERROR(__xludf.DUMMYFUNCTION("""COMPUTED_VALUE"""),3.7442E7)</f>
        <v>37442000</v>
      </c>
      <c r="G314" s="2">
        <f t="shared" si="1"/>
        <v>44.65</v>
      </c>
    </row>
    <row r="315" ht="15.75" customHeight="1">
      <c r="A315" s="1">
        <f>IFERROR(__xludf.DUMMYFUNCTION("""COMPUTED_VALUE"""),44302.625)</f>
        <v>44302.625</v>
      </c>
      <c r="B315" s="2">
        <f>IFERROR(__xludf.DUMMYFUNCTION("""COMPUTED_VALUE"""),1455.73)</f>
        <v>1455.73</v>
      </c>
      <c r="C315" s="2">
        <f>IFERROR(__xludf.DUMMYFUNCTION("""COMPUTED_VALUE"""),1469.13)</f>
        <v>1469.13</v>
      </c>
      <c r="D315" s="2">
        <f>IFERROR(__xludf.DUMMYFUNCTION("""COMPUTED_VALUE"""),1406.61)</f>
        <v>1406.61</v>
      </c>
      <c r="E315" s="2">
        <f>IFERROR(__xludf.DUMMYFUNCTION("""COMPUTED_VALUE"""),1411.08)</f>
        <v>1411.08</v>
      </c>
      <c r="F315" s="2">
        <f>IFERROR(__xludf.DUMMYFUNCTION("""COMPUTED_VALUE"""),1.03871E8)</f>
        <v>103871000</v>
      </c>
      <c r="G315" s="2">
        <f t="shared" si="1"/>
        <v>62.52</v>
      </c>
    </row>
    <row r="316" ht="15.75" customHeight="1">
      <c r="A316" s="1">
        <f>IFERROR(__xludf.DUMMYFUNCTION("""COMPUTED_VALUE"""),44305.625)</f>
        <v>44305.625</v>
      </c>
      <c r="B316" s="2">
        <f>IFERROR(__xludf.DUMMYFUNCTION("""COMPUTED_VALUE"""),1424.47)</f>
        <v>1424.47</v>
      </c>
      <c r="C316" s="2">
        <f>IFERROR(__xludf.DUMMYFUNCTION("""COMPUTED_VALUE"""),1478.06)</f>
        <v>1478.06</v>
      </c>
      <c r="D316" s="2">
        <f>IFERROR(__xludf.DUMMYFUNCTION("""COMPUTED_VALUE"""),1424.47)</f>
        <v>1424.47</v>
      </c>
      <c r="E316" s="2">
        <f>IFERROR(__xludf.DUMMYFUNCTION("""COMPUTED_VALUE"""),1473.59)</f>
        <v>1473.59</v>
      </c>
      <c r="F316" s="2">
        <f>IFERROR(__xludf.DUMMYFUNCTION("""COMPUTED_VALUE"""),8.95924E7)</f>
        <v>89592400</v>
      </c>
      <c r="G316" s="2">
        <f t="shared" si="1"/>
        <v>66.98</v>
      </c>
    </row>
    <row r="317" ht="15.75" customHeight="1">
      <c r="A317" s="1">
        <f>IFERROR(__xludf.DUMMYFUNCTION("""COMPUTED_VALUE"""),44306.625)</f>
        <v>44306.625</v>
      </c>
      <c r="B317" s="2">
        <f>IFERROR(__xludf.DUMMYFUNCTION("""COMPUTED_VALUE"""),1473.59)</f>
        <v>1473.59</v>
      </c>
      <c r="C317" s="2">
        <f>IFERROR(__xludf.DUMMYFUNCTION("""COMPUTED_VALUE"""),1478.06)</f>
        <v>1478.06</v>
      </c>
      <c r="D317" s="2">
        <f>IFERROR(__xludf.DUMMYFUNCTION("""COMPUTED_VALUE"""),1437.87)</f>
        <v>1437.87</v>
      </c>
      <c r="E317" s="2">
        <f>IFERROR(__xludf.DUMMYFUNCTION("""COMPUTED_VALUE"""),1446.8)</f>
        <v>1446.8</v>
      </c>
      <c r="F317" s="2">
        <f>IFERROR(__xludf.DUMMYFUNCTION("""COMPUTED_VALUE"""),2.84838E7)</f>
        <v>28483800</v>
      </c>
      <c r="G317" s="2">
        <f t="shared" si="1"/>
        <v>40.19</v>
      </c>
    </row>
    <row r="318" ht="15.75" customHeight="1">
      <c r="A318" s="1">
        <f>IFERROR(__xludf.DUMMYFUNCTION("""COMPUTED_VALUE"""),44307.625)</f>
        <v>44307.625</v>
      </c>
      <c r="B318" s="2">
        <f>IFERROR(__xludf.DUMMYFUNCTION("""COMPUTED_VALUE"""),1433.4)</f>
        <v>1433.4</v>
      </c>
      <c r="C318" s="2">
        <f>IFERROR(__xludf.DUMMYFUNCTION("""COMPUTED_VALUE"""),1455.73)</f>
        <v>1455.73</v>
      </c>
      <c r="D318" s="2">
        <f>IFERROR(__xludf.DUMMYFUNCTION("""COMPUTED_VALUE"""),1428.94)</f>
        <v>1428.94</v>
      </c>
      <c r="E318" s="2">
        <f>IFERROR(__xludf.DUMMYFUNCTION("""COMPUTED_VALUE"""),1437.87)</f>
        <v>1437.87</v>
      </c>
      <c r="F318" s="2">
        <f>IFERROR(__xludf.DUMMYFUNCTION("""COMPUTED_VALUE"""),1.92893E7)</f>
        <v>19289300</v>
      </c>
      <c r="G318" s="2">
        <f t="shared" si="1"/>
        <v>26.79</v>
      </c>
    </row>
    <row r="319" ht="15.75" customHeight="1">
      <c r="A319" s="1">
        <f>IFERROR(__xludf.DUMMYFUNCTION("""COMPUTED_VALUE"""),44308.625)</f>
        <v>44308.625</v>
      </c>
      <c r="B319" s="2">
        <f>IFERROR(__xludf.DUMMYFUNCTION("""COMPUTED_VALUE"""),1437.87)</f>
        <v>1437.87</v>
      </c>
      <c r="C319" s="2">
        <f>IFERROR(__xludf.DUMMYFUNCTION("""COMPUTED_VALUE"""),1531.64)</f>
        <v>1531.64</v>
      </c>
      <c r="D319" s="2">
        <f>IFERROR(__xludf.DUMMYFUNCTION("""COMPUTED_VALUE"""),1420.01)</f>
        <v>1420.01</v>
      </c>
      <c r="E319" s="2">
        <f>IFERROR(__xludf.DUMMYFUNCTION("""COMPUTED_VALUE"""),1518.25)</f>
        <v>1518.25</v>
      </c>
      <c r="F319" s="2">
        <f>IFERROR(__xludf.DUMMYFUNCTION("""COMPUTED_VALUE"""),1.326932E8)</f>
        <v>132693200</v>
      </c>
      <c r="G319" s="2">
        <f t="shared" si="1"/>
        <v>111.63</v>
      </c>
    </row>
    <row r="320" ht="15.75" customHeight="1">
      <c r="A320" s="1">
        <f>IFERROR(__xludf.DUMMYFUNCTION("""COMPUTED_VALUE"""),44309.625)</f>
        <v>44309.625</v>
      </c>
      <c r="B320" s="2">
        <f>IFERROR(__xludf.DUMMYFUNCTION("""COMPUTED_VALUE"""),1518.25)</f>
        <v>1518.25</v>
      </c>
      <c r="C320" s="2">
        <f>IFERROR(__xludf.DUMMYFUNCTION("""COMPUTED_VALUE"""),1522.71)</f>
        <v>1522.71</v>
      </c>
      <c r="D320" s="2">
        <f>IFERROR(__xludf.DUMMYFUNCTION("""COMPUTED_VALUE"""),1451.26)</f>
        <v>1451.26</v>
      </c>
      <c r="E320" s="2">
        <f>IFERROR(__xludf.DUMMYFUNCTION("""COMPUTED_VALUE"""),1455.73)</f>
        <v>1455.73</v>
      </c>
      <c r="F320" s="2">
        <f>IFERROR(__xludf.DUMMYFUNCTION("""COMPUTED_VALUE"""),1.14335E8)</f>
        <v>114335000</v>
      </c>
      <c r="G320" s="2">
        <f t="shared" si="1"/>
        <v>71.45</v>
      </c>
    </row>
    <row r="321" ht="15.75" customHeight="1">
      <c r="A321" s="1">
        <f>IFERROR(__xludf.DUMMYFUNCTION("""COMPUTED_VALUE"""),44312.625)</f>
        <v>44312.625</v>
      </c>
      <c r="B321" s="2">
        <f>IFERROR(__xludf.DUMMYFUNCTION("""COMPUTED_VALUE"""),1455.73)</f>
        <v>1455.73</v>
      </c>
      <c r="C321" s="2">
        <f>IFERROR(__xludf.DUMMYFUNCTION("""COMPUTED_VALUE"""),1460.2)</f>
        <v>1460.2</v>
      </c>
      <c r="D321" s="2">
        <f>IFERROR(__xludf.DUMMYFUNCTION("""COMPUTED_VALUE"""),1402.14)</f>
        <v>1402.14</v>
      </c>
      <c r="E321" s="2">
        <f>IFERROR(__xludf.DUMMYFUNCTION("""COMPUTED_VALUE"""),1406.61)</f>
        <v>1406.61</v>
      </c>
      <c r="F321" s="2">
        <f>IFERROR(__xludf.DUMMYFUNCTION("""COMPUTED_VALUE"""),1.131347E8)</f>
        <v>113134700</v>
      </c>
      <c r="G321" s="2">
        <f t="shared" si="1"/>
        <v>58.06</v>
      </c>
    </row>
    <row r="322" ht="15.75" customHeight="1">
      <c r="A322" s="1">
        <f>IFERROR(__xludf.DUMMYFUNCTION("""COMPUTED_VALUE"""),44313.625)</f>
        <v>44313.625</v>
      </c>
      <c r="B322" s="2">
        <f>IFERROR(__xludf.DUMMYFUNCTION("""COMPUTED_VALUE"""),1406.61)</f>
        <v>1406.61</v>
      </c>
      <c r="C322" s="2">
        <f>IFERROR(__xludf.DUMMYFUNCTION("""COMPUTED_VALUE"""),1433.4)</f>
        <v>1433.4</v>
      </c>
      <c r="D322" s="2">
        <f>IFERROR(__xludf.DUMMYFUNCTION("""COMPUTED_VALUE"""),1406.61)</f>
        <v>1406.61</v>
      </c>
      <c r="E322" s="2">
        <f>IFERROR(__xludf.DUMMYFUNCTION("""COMPUTED_VALUE"""),1415.54)</f>
        <v>1415.54</v>
      </c>
      <c r="F322" s="2">
        <f>IFERROR(__xludf.DUMMYFUNCTION("""COMPUTED_VALUE"""),5.77609E7)</f>
        <v>57760900</v>
      </c>
      <c r="G322" s="2">
        <f t="shared" si="1"/>
        <v>26.79</v>
      </c>
    </row>
    <row r="323" ht="15.75" customHeight="1">
      <c r="A323" s="1">
        <f>IFERROR(__xludf.DUMMYFUNCTION("""COMPUTED_VALUE"""),44314.625)</f>
        <v>44314.625</v>
      </c>
      <c r="B323" s="2">
        <f>IFERROR(__xludf.DUMMYFUNCTION("""COMPUTED_VALUE"""),1415.54)</f>
        <v>1415.54</v>
      </c>
      <c r="C323" s="2">
        <f>IFERROR(__xludf.DUMMYFUNCTION("""COMPUTED_VALUE"""),1428.94)</f>
        <v>1428.94</v>
      </c>
      <c r="D323" s="2">
        <f>IFERROR(__xludf.DUMMYFUNCTION("""COMPUTED_VALUE"""),1411.08)</f>
        <v>1411.08</v>
      </c>
      <c r="E323" s="2">
        <f>IFERROR(__xludf.DUMMYFUNCTION("""COMPUTED_VALUE"""),1415.54)</f>
        <v>1415.54</v>
      </c>
      <c r="F323" s="2">
        <f>IFERROR(__xludf.DUMMYFUNCTION("""COMPUTED_VALUE"""),3.58999E7)</f>
        <v>35899900</v>
      </c>
      <c r="G323" s="2">
        <f t="shared" si="1"/>
        <v>17.86</v>
      </c>
    </row>
    <row r="324" ht="15.75" customHeight="1">
      <c r="A324" s="1">
        <f>IFERROR(__xludf.DUMMYFUNCTION("""COMPUTED_VALUE"""),44315.625)</f>
        <v>44315.625</v>
      </c>
      <c r="B324" s="2">
        <f>IFERROR(__xludf.DUMMYFUNCTION("""COMPUTED_VALUE"""),1420.01)</f>
        <v>1420.01</v>
      </c>
      <c r="C324" s="2">
        <f>IFERROR(__xludf.DUMMYFUNCTION("""COMPUTED_VALUE"""),1451.26)</f>
        <v>1451.26</v>
      </c>
      <c r="D324" s="2">
        <f>IFERROR(__xludf.DUMMYFUNCTION("""COMPUTED_VALUE"""),1420.01)</f>
        <v>1420.01</v>
      </c>
      <c r="E324" s="2">
        <f>IFERROR(__xludf.DUMMYFUNCTION("""COMPUTED_VALUE"""),1442.33)</f>
        <v>1442.33</v>
      </c>
      <c r="F324" s="2">
        <f>IFERROR(__xludf.DUMMYFUNCTION("""COMPUTED_VALUE"""),5.54348E7)</f>
        <v>55434800</v>
      </c>
      <c r="G324" s="2">
        <f t="shared" si="1"/>
        <v>35.72</v>
      </c>
    </row>
    <row r="325" ht="15.75" customHeight="1">
      <c r="A325" s="1">
        <f>IFERROR(__xludf.DUMMYFUNCTION("""COMPUTED_VALUE"""),44316.625)</f>
        <v>44316.625</v>
      </c>
      <c r="B325" s="2">
        <f>IFERROR(__xludf.DUMMYFUNCTION("""COMPUTED_VALUE"""),1442.33)</f>
        <v>1442.33</v>
      </c>
      <c r="C325" s="2">
        <f>IFERROR(__xludf.DUMMYFUNCTION("""COMPUTED_VALUE"""),1446.8)</f>
        <v>1446.8</v>
      </c>
      <c r="D325" s="2">
        <f>IFERROR(__xludf.DUMMYFUNCTION("""COMPUTED_VALUE"""),1420.01)</f>
        <v>1420.01</v>
      </c>
      <c r="E325" s="2">
        <f>IFERROR(__xludf.DUMMYFUNCTION("""COMPUTED_VALUE"""),1420.01)</f>
        <v>1420.01</v>
      </c>
      <c r="F325" s="2">
        <f>IFERROR(__xludf.DUMMYFUNCTION("""COMPUTED_VALUE"""),2.45245E7)</f>
        <v>24524500</v>
      </c>
      <c r="G325" s="2">
        <f t="shared" si="1"/>
        <v>26.79</v>
      </c>
    </row>
    <row r="326" ht="15.75" customHeight="1">
      <c r="A326" s="1">
        <f>IFERROR(__xludf.DUMMYFUNCTION("""COMPUTED_VALUE"""),44319.66666666667)</f>
        <v>44319.66667</v>
      </c>
      <c r="B326" s="2">
        <f>IFERROR(__xludf.DUMMYFUNCTION("""COMPUTED_VALUE"""),1428.94)</f>
        <v>1428.94</v>
      </c>
      <c r="C326" s="2">
        <f>IFERROR(__xludf.DUMMYFUNCTION("""COMPUTED_VALUE"""),1437.87)</f>
        <v>1437.87</v>
      </c>
      <c r="D326" s="2">
        <f>IFERROR(__xludf.DUMMYFUNCTION("""COMPUTED_VALUE"""),1420.01)</f>
        <v>1420.01</v>
      </c>
      <c r="E326" s="2">
        <f>IFERROR(__xludf.DUMMYFUNCTION("""COMPUTED_VALUE"""),1433.4)</f>
        <v>1433.4</v>
      </c>
      <c r="F326" s="2">
        <f>IFERROR(__xludf.DUMMYFUNCTION("""COMPUTED_VALUE"""),2.95156E7)</f>
        <v>29515600</v>
      </c>
      <c r="G326" s="2">
        <f t="shared" si="1"/>
        <v>17.86</v>
      </c>
    </row>
    <row r="327" ht="15.75" customHeight="1">
      <c r="A327" s="1">
        <f>IFERROR(__xludf.DUMMYFUNCTION("""COMPUTED_VALUE"""),44320.66666666667)</f>
        <v>44320.66667</v>
      </c>
      <c r="B327" s="2">
        <f>IFERROR(__xludf.DUMMYFUNCTION("""COMPUTED_VALUE"""),1437.87)</f>
        <v>1437.87</v>
      </c>
      <c r="C327" s="2">
        <f>IFERROR(__xludf.DUMMYFUNCTION("""COMPUTED_VALUE"""),1442.33)</f>
        <v>1442.33</v>
      </c>
      <c r="D327" s="2">
        <f>IFERROR(__xludf.DUMMYFUNCTION("""COMPUTED_VALUE"""),1411.08)</f>
        <v>1411.08</v>
      </c>
      <c r="E327" s="2">
        <f>IFERROR(__xludf.DUMMYFUNCTION("""COMPUTED_VALUE"""),1428.94)</f>
        <v>1428.94</v>
      </c>
      <c r="F327" s="2">
        <f>IFERROR(__xludf.DUMMYFUNCTION("""COMPUTED_VALUE"""),3.66619E7)</f>
        <v>36661900</v>
      </c>
      <c r="G327" s="2">
        <f t="shared" si="1"/>
        <v>31.25</v>
      </c>
    </row>
    <row r="328" ht="15.75" customHeight="1">
      <c r="A328" s="1">
        <f>IFERROR(__xludf.DUMMYFUNCTION("""COMPUTED_VALUE"""),44321.625)</f>
        <v>44321.625</v>
      </c>
      <c r="B328" s="2">
        <f>IFERROR(__xludf.DUMMYFUNCTION("""COMPUTED_VALUE"""),1420.01)</f>
        <v>1420.01</v>
      </c>
      <c r="C328" s="2">
        <f>IFERROR(__xludf.DUMMYFUNCTION("""COMPUTED_VALUE"""),1469.13)</f>
        <v>1469.13</v>
      </c>
      <c r="D328" s="2">
        <f>IFERROR(__xludf.DUMMYFUNCTION("""COMPUTED_VALUE"""),1420.01)</f>
        <v>1420.01</v>
      </c>
      <c r="E328" s="2">
        <f>IFERROR(__xludf.DUMMYFUNCTION("""COMPUTED_VALUE"""),1469.13)</f>
        <v>1469.13</v>
      </c>
      <c r="F328" s="2">
        <f>IFERROR(__xludf.DUMMYFUNCTION("""COMPUTED_VALUE"""),7.95619E7)</f>
        <v>79561900</v>
      </c>
      <c r="G328" s="2">
        <f t="shared" si="1"/>
        <v>49.12</v>
      </c>
    </row>
    <row r="329" ht="15.75" customHeight="1">
      <c r="A329" s="1">
        <f>IFERROR(__xludf.DUMMYFUNCTION("""COMPUTED_VALUE"""),44322.625)</f>
        <v>44322.625</v>
      </c>
      <c r="B329" s="2">
        <f>IFERROR(__xludf.DUMMYFUNCTION("""COMPUTED_VALUE"""),1478.06)</f>
        <v>1478.06</v>
      </c>
      <c r="C329" s="2">
        <f>IFERROR(__xludf.DUMMYFUNCTION("""COMPUTED_VALUE"""),1482.52)</f>
        <v>1482.52</v>
      </c>
      <c r="D329" s="2">
        <f>IFERROR(__xludf.DUMMYFUNCTION("""COMPUTED_VALUE"""),1442.33)</f>
        <v>1442.33</v>
      </c>
      <c r="E329" s="2">
        <f>IFERROR(__xludf.DUMMYFUNCTION("""COMPUTED_VALUE"""),1455.73)</f>
        <v>1455.73</v>
      </c>
      <c r="F329" s="2">
        <f>IFERROR(__xludf.DUMMYFUNCTION("""COMPUTED_VALUE"""),3.5415E7)</f>
        <v>35415000</v>
      </c>
      <c r="G329" s="2">
        <f t="shared" si="1"/>
        <v>40.19</v>
      </c>
    </row>
    <row r="330" ht="15.75" customHeight="1">
      <c r="A330" s="1">
        <f>IFERROR(__xludf.DUMMYFUNCTION("""COMPUTED_VALUE"""),44323.625)</f>
        <v>44323.625</v>
      </c>
      <c r="B330" s="2">
        <f>IFERROR(__xludf.DUMMYFUNCTION("""COMPUTED_VALUE"""),1469.13)</f>
        <v>1469.13</v>
      </c>
      <c r="C330" s="2">
        <f>IFERROR(__xludf.DUMMYFUNCTION("""COMPUTED_VALUE"""),1469.13)</f>
        <v>1469.13</v>
      </c>
      <c r="D330" s="2">
        <f>IFERROR(__xludf.DUMMYFUNCTION("""COMPUTED_VALUE"""),1437.87)</f>
        <v>1437.87</v>
      </c>
      <c r="E330" s="2">
        <f>IFERROR(__xludf.DUMMYFUNCTION("""COMPUTED_VALUE"""),1442.33)</f>
        <v>1442.33</v>
      </c>
      <c r="F330" s="2">
        <f>IFERROR(__xludf.DUMMYFUNCTION("""COMPUTED_VALUE"""),2.70038E7)</f>
        <v>27003800</v>
      </c>
      <c r="G330" s="2">
        <f t="shared" si="1"/>
        <v>31.26</v>
      </c>
    </row>
    <row r="331" ht="15.75" customHeight="1">
      <c r="A331" s="1">
        <f>IFERROR(__xludf.DUMMYFUNCTION("""COMPUTED_VALUE"""),44326.66666666667)</f>
        <v>44326.66667</v>
      </c>
      <c r="B331" s="2">
        <f>IFERROR(__xludf.DUMMYFUNCTION("""COMPUTED_VALUE"""),1446.8)</f>
        <v>1446.8</v>
      </c>
      <c r="C331" s="2">
        <f>IFERROR(__xludf.DUMMYFUNCTION("""COMPUTED_VALUE"""),1473.59)</f>
        <v>1473.59</v>
      </c>
      <c r="D331" s="2">
        <f>IFERROR(__xludf.DUMMYFUNCTION("""COMPUTED_VALUE"""),1446.8)</f>
        <v>1446.8</v>
      </c>
      <c r="E331" s="2">
        <f>IFERROR(__xludf.DUMMYFUNCTION("""COMPUTED_VALUE"""),1464.66)</f>
        <v>1464.66</v>
      </c>
      <c r="F331" s="2">
        <f>IFERROR(__xludf.DUMMYFUNCTION("""COMPUTED_VALUE"""),3.12781E7)</f>
        <v>31278100</v>
      </c>
      <c r="G331" s="2">
        <f t="shared" si="1"/>
        <v>31.26</v>
      </c>
    </row>
    <row r="332" ht="15.75" customHeight="1">
      <c r="A332" s="1">
        <f>IFERROR(__xludf.DUMMYFUNCTION("""COMPUTED_VALUE"""),44327.66666666667)</f>
        <v>44327.66667</v>
      </c>
      <c r="B332" s="2">
        <f>IFERROR(__xludf.DUMMYFUNCTION("""COMPUTED_VALUE"""),1460.2)</f>
        <v>1460.2</v>
      </c>
      <c r="C332" s="2">
        <f>IFERROR(__xludf.DUMMYFUNCTION("""COMPUTED_VALUE"""),1460.2)</f>
        <v>1460.2</v>
      </c>
      <c r="D332" s="2">
        <f>IFERROR(__xludf.DUMMYFUNCTION("""COMPUTED_VALUE"""),1442.33)</f>
        <v>1442.33</v>
      </c>
      <c r="E332" s="2">
        <f>IFERROR(__xludf.DUMMYFUNCTION("""COMPUTED_VALUE"""),1455.73)</f>
        <v>1455.73</v>
      </c>
      <c r="F332" s="2">
        <f>IFERROR(__xludf.DUMMYFUNCTION("""COMPUTED_VALUE"""),2.1454E7)</f>
        <v>21454000</v>
      </c>
      <c r="G332" s="2">
        <f t="shared" si="1"/>
        <v>22.33</v>
      </c>
    </row>
    <row r="333" ht="15.75" customHeight="1">
      <c r="A333" s="1">
        <f>IFERROR(__xludf.DUMMYFUNCTION("""COMPUTED_VALUE"""),44333.625)</f>
        <v>44333.625</v>
      </c>
      <c r="B333" s="2">
        <f>IFERROR(__xludf.DUMMYFUNCTION("""COMPUTED_VALUE"""),1446.8)</f>
        <v>1446.8</v>
      </c>
      <c r="C333" s="2">
        <f>IFERROR(__xludf.DUMMYFUNCTION("""COMPUTED_VALUE"""),1455.73)</f>
        <v>1455.73</v>
      </c>
      <c r="D333" s="2">
        <f>IFERROR(__xludf.DUMMYFUNCTION("""COMPUTED_VALUE"""),1415.54)</f>
        <v>1415.54</v>
      </c>
      <c r="E333" s="2">
        <f>IFERROR(__xludf.DUMMYFUNCTION("""COMPUTED_VALUE"""),1415.54)</f>
        <v>1415.54</v>
      </c>
      <c r="F333" s="2">
        <f>IFERROR(__xludf.DUMMYFUNCTION("""COMPUTED_VALUE"""),2.75303E7)</f>
        <v>27530300</v>
      </c>
      <c r="G333" s="2">
        <f t="shared" si="1"/>
        <v>40.19</v>
      </c>
    </row>
    <row r="334" ht="15.75" customHeight="1">
      <c r="A334" s="1">
        <f>IFERROR(__xludf.DUMMYFUNCTION("""COMPUTED_VALUE"""),44334.625)</f>
        <v>44334.625</v>
      </c>
      <c r="B334" s="2">
        <f>IFERROR(__xludf.DUMMYFUNCTION("""COMPUTED_VALUE"""),1420.01)</f>
        <v>1420.01</v>
      </c>
      <c r="C334" s="2">
        <f>IFERROR(__xludf.DUMMYFUNCTION("""COMPUTED_VALUE"""),1424.47)</f>
        <v>1424.47</v>
      </c>
      <c r="D334" s="2">
        <f>IFERROR(__xludf.DUMMYFUNCTION("""COMPUTED_VALUE"""),1384.28)</f>
        <v>1384.28</v>
      </c>
      <c r="E334" s="2">
        <f>IFERROR(__xludf.DUMMYFUNCTION("""COMPUTED_VALUE"""),1406.61)</f>
        <v>1406.61</v>
      </c>
      <c r="F334" s="2">
        <f>IFERROR(__xludf.DUMMYFUNCTION("""COMPUTED_VALUE"""),4.01352E7)</f>
        <v>40135200</v>
      </c>
      <c r="G334" s="2">
        <f t="shared" si="1"/>
        <v>40.19</v>
      </c>
    </row>
    <row r="335" ht="15.75" customHeight="1">
      <c r="A335" s="1">
        <f>IFERROR(__xludf.DUMMYFUNCTION("""COMPUTED_VALUE"""),44335.625)</f>
        <v>44335.625</v>
      </c>
      <c r="B335" s="2">
        <f>IFERROR(__xludf.DUMMYFUNCTION("""COMPUTED_VALUE"""),1406.61)</f>
        <v>1406.61</v>
      </c>
      <c r="C335" s="2">
        <f>IFERROR(__xludf.DUMMYFUNCTION("""COMPUTED_VALUE"""),1406.61)</f>
        <v>1406.61</v>
      </c>
      <c r="D335" s="2">
        <f>IFERROR(__xludf.DUMMYFUNCTION("""COMPUTED_VALUE"""),1384.28)</f>
        <v>1384.28</v>
      </c>
      <c r="E335" s="2">
        <f>IFERROR(__xludf.DUMMYFUNCTION("""COMPUTED_VALUE"""),1384.28)</f>
        <v>1384.28</v>
      </c>
      <c r="F335" s="2">
        <f>IFERROR(__xludf.DUMMYFUNCTION("""COMPUTED_VALUE"""),1.99641E7)</f>
        <v>19964100</v>
      </c>
      <c r="G335" s="2">
        <f t="shared" si="1"/>
        <v>22.33</v>
      </c>
    </row>
    <row r="336" ht="15.75" customHeight="1">
      <c r="A336" s="1">
        <f>IFERROR(__xludf.DUMMYFUNCTION("""COMPUTED_VALUE"""),44336.625)</f>
        <v>44336.625</v>
      </c>
      <c r="B336" s="2">
        <f>IFERROR(__xludf.DUMMYFUNCTION("""COMPUTED_VALUE"""),1361.96)</f>
        <v>1361.96</v>
      </c>
      <c r="C336" s="2">
        <f>IFERROR(__xludf.DUMMYFUNCTION("""COMPUTED_VALUE"""),1397.68)</f>
        <v>1397.68</v>
      </c>
      <c r="D336" s="2">
        <f>IFERROR(__xludf.DUMMYFUNCTION("""COMPUTED_VALUE"""),1361.96)</f>
        <v>1361.96</v>
      </c>
      <c r="E336" s="2">
        <f>IFERROR(__xludf.DUMMYFUNCTION("""COMPUTED_VALUE"""),1384.28)</f>
        <v>1384.28</v>
      </c>
      <c r="F336" s="2">
        <f>IFERROR(__xludf.DUMMYFUNCTION("""COMPUTED_VALUE"""),3.26092E7)</f>
        <v>32609200</v>
      </c>
      <c r="G336" s="2">
        <f t="shared" si="1"/>
        <v>35.72</v>
      </c>
    </row>
    <row r="337" ht="15.75" customHeight="1">
      <c r="A337" s="1">
        <f>IFERROR(__xludf.DUMMYFUNCTION("""COMPUTED_VALUE"""),44337.625)</f>
        <v>44337.625</v>
      </c>
      <c r="B337" s="2">
        <f>IFERROR(__xludf.DUMMYFUNCTION("""COMPUTED_VALUE"""),1397.68)</f>
        <v>1397.68</v>
      </c>
      <c r="C337" s="2">
        <f>IFERROR(__xludf.DUMMYFUNCTION("""COMPUTED_VALUE"""),1406.61)</f>
        <v>1406.61</v>
      </c>
      <c r="D337" s="2">
        <f>IFERROR(__xludf.DUMMYFUNCTION("""COMPUTED_VALUE"""),1379.82)</f>
        <v>1379.82</v>
      </c>
      <c r="E337" s="2">
        <f>IFERROR(__xludf.DUMMYFUNCTION("""COMPUTED_VALUE"""),1388.75)</f>
        <v>1388.75</v>
      </c>
      <c r="F337" s="2">
        <f>IFERROR(__xludf.DUMMYFUNCTION("""COMPUTED_VALUE"""),2.76056E7)</f>
        <v>27605600</v>
      </c>
      <c r="G337" s="2">
        <f t="shared" si="1"/>
        <v>26.79</v>
      </c>
    </row>
    <row r="338" ht="15.75" customHeight="1">
      <c r="A338" s="1">
        <f>IFERROR(__xludf.DUMMYFUNCTION("""COMPUTED_VALUE"""),44340.625)</f>
        <v>44340.625</v>
      </c>
      <c r="B338" s="2">
        <f>IFERROR(__xludf.DUMMYFUNCTION("""COMPUTED_VALUE"""),1384.28)</f>
        <v>1384.28</v>
      </c>
      <c r="C338" s="2">
        <f>IFERROR(__xludf.DUMMYFUNCTION("""COMPUTED_VALUE"""),1397.68)</f>
        <v>1397.68</v>
      </c>
      <c r="D338" s="2">
        <f>IFERROR(__xludf.DUMMYFUNCTION("""COMPUTED_VALUE"""),1366.42)</f>
        <v>1366.42</v>
      </c>
      <c r="E338" s="2">
        <f>IFERROR(__xludf.DUMMYFUNCTION("""COMPUTED_VALUE"""),1370.89)</f>
        <v>1370.89</v>
      </c>
      <c r="F338" s="2">
        <f>IFERROR(__xludf.DUMMYFUNCTION("""COMPUTED_VALUE"""),2.44427E7)</f>
        <v>24442700</v>
      </c>
      <c r="G338" s="2">
        <f t="shared" si="1"/>
        <v>31.26</v>
      </c>
    </row>
    <row r="339" ht="15.75" customHeight="1">
      <c r="A339" s="1">
        <f>IFERROR(__xludf.DUMMYFUNCTION("""COMPUTED_VALUE"""),44341.625)</f>
        <v>44341.625</v>
      </c>
      <c r="B339" s="2">
        <f>IFERROR(__xludf.DUMMYFUNCTION("""COMPUTED_VALUE"""),1370.89)</f>
        <v>1370.89</v>
      </c>
      <c r="C339" s="2">
        <f>IFERROR(__xludf.DUMMYFUNCTION("""COMPUTED_VALUE"""),1433.4)</f>
        <v>1433.4</v>
      </c>
      <c r="D339" s="2">
        <f>IFERROR(__xludf.DUMMYFUNCTION("""COMPUTED_VALUE"""),1370.89)</f>
        <v>1370.89</v>
      </c>
      <c r="E339" s="2">
        <f>IFERROR(__xludf.DUMMYFUNCTION("""COMPUTED_VALUE"""),1406.61)</f>
        <v>1406.61</v>
      </c>
      <c r="F339" s="2">
        <f>IFERROR(__xludf.DUMMYFUNCTION("""COMPUTED_VALUE"""),6.48264E7)</f>
        <v>64826400</v>
      </c>
      <c r="G339" s="2">
        <f t="shared" si="1"/>
        <v>62.51</v>
      </c>
    </row>
    <row r="340" ht="15.75" customHeight="1">
      <c r="A340" s="1">
        <f>IFERROR(__xludf.DUMMYFUNCTION("""COMPUTED_VALUE"""),44343.625)</f>
        <v>44343.625</v>
      </c>
      <c r="B340" s="2">
        <f>IFERROR(__xludf.DUMMYFUNCTION("""COMPUTED_VALUE"""),1420.01)</f>
        <v>1420.01</v>
      </c>
      <c r="C340" s="2">
        <f>IFERROR(__xludf.DUMMYFUNCTION("""COMPUTED_VALUE"""),1451.26)</f>
        <v>1451.26</v>
      </c>
      <c r="D340" s="2">
        <f>IFERROR(__xludf.DUMMYFUNCTION("""COMPUTED_VALUE"""),1420.01)</f>
        <v>1420.01</v>
      </c>
      <c r="E340" s="2">
        <f>IFERROR(__xludf.DUMMYFUNCTION("""COMPUTED_VALUE"""),1424.47)</f>
        <v>1424.47</v>
      </c>
      <c r="F340" s="2">
        <f>IFERROR(__xludf.DUMMYFUNCTION("""COMPUTED_VALUE"""),3.01008E7)</f>
        <v>30100800</v>
      </c>
      <c r="G340" s="2">
        <f t="shared" si="1"/>
        <v>44.65</v>
      </c>
    </row>
    <row r="341" ht="15.75" customHeight="1">
      <c r="A341" s="1">
        <f>IFERROR(__xludf.DUMMYFUNCTION("""COMPUTED_VALUE"""),44344.625)</f>
        <v>44344.625</v>
      </c>
      <c r="B341" s="2">
        <f>IFERROR(__xludf.DUMMYFUNCTION("""COMPUTED_VALUE"""),1428.94)</f>
        <v>1428.94</v>
      </c>
      <c r="C341" s="2">
        <f>IFERROR(__xludf.DUMMYFUNCTION("""COMPUTED_VALUE"""),1437.87)</f>
        <v>1437.87</v>
      </c>
      <c r="D341" s="2">
        <f>IFERROR(__xludf.DUMMYFUNCTION("""COMPUTED_VALUE"""),1406.61)</f>
        <v>1406.61</v>
      </c>
      <c r="E341" s="2">
        <f>IFERROR(__xludf.DUMMYFUNCTION("""COMPUTED_VALUE"""),1420.01)</f>
        <v>1420.01</v>
      </c>
      <c r="F341" s="2">
        <f>IFERROR(__xludf.DUMMYFUNCTION("""COMPUTED_VALUE"""),2.63384E7)</f>
        <v>26338400</v>
      </c>
      <c r="G341" s="2">
        <f t="shared" si="1"/>
        <v>31.26</v>
      </c>
    </row>
    <row r="342" ht="15.75" customHeight="1">
      <c r="A342" s="1">
        <f>IFERROR(__xludf.DUMMYFUNCTION("""COMPUTED_VALUE"""),44347.625)</f>
        <v>44347.625</v>
      </c>
      <c r="B342" s="2">
        <f>IFERROR(__xludf.DUMMYFUNCTION("""COMPUTED_VALUE"""),1420.01)</f>
        <v>1420.01</v>
      </c>
      <c r="C342" s="2">
        <f>IFERROR(__xludf.DUMMYFUNCTION("""COMPUTED_VALUE"""),1464.66)</f>
        <v>1464.66</v>
      </c>
      <c r="D342" s="2">
        <f>IFERROR(__xludf.DUMMYFUNCTION("""COMPUTED_VALUE"""),1420.01)</f>
        <v>1420.01</v>
      </c>
      <c r="E342" s="2">
        <f>IFERROR(__xludf.DUMMYFUNCTION("""COMPUTED_VALUE"""),1460.2)</f>
        <v>1460.2</v>
      </c>
      <c r="F342" s="2">
        <f>IFERROR(__xludf.DUMMYFUNCTION("""COMPUTED_VALUE"""),3.49616E7)</f>
        <v>34961600</v>
      </c>
      <c r="G342" s="2">
        <f t="shared" si="1"/>
        <v>44.65</v>
      </c>
    </row>
    <row r="343" ht="15.75" customHeight="1">
      <c r="A343" s="1">
        <f>IFERROR(__xludf.DUMMYFUNCTION("""COMPUTED_VALUE"""),44349.625)</f>
        <v>44349.625</v>
      </c>
      <c r="B343" s="2">
        <f>IFERROR(__xludf.DUMMYFUNCTION("""COMPUTED_VALUE"""),1473.59)</f>
        <v>1473.59</v>
      </c>
      <c r="C343" s="2">
        <f>IFERROR(__xludf.DUMMYFUNCTION("""COMPUTED_VALUE"""),1482.52)</f>
        <v>1482.52</v>
      </c>
      <c r="D343" s="2">
        <f>IFERROR(__xludf.DUMMYFUNCTION("""COMPUTED_VALUE"""),1451.26)</f>
        <v>1451.26</v>
      </c>
      <c r="E343" s="2">
        <f>IFERROR(__xludf.DUMMYFUNCTION("""COMPUTED_VALUE"""),1464.66)</f>
        <v>1464.66</v>
      </c>
      <c r="F343" s="2">
        <f>IFERROR(__xludf.DUMMYFUNCTION("""COMPUTED_VALUE"""),3.99973E7)</f>
        <v>39997300</v>
      </c>
      <c r="G343" s="2">
        <f t="shared" si="1"/>
        <v>31.26</v>
      </c>
    </row>
    <row r="344" ht="15.75" customHeight="1">
      <c r="A344" s="1">
        <f>IFERROR(__xludf.DUMMYFUNCTION("""COMPUTED_VALUE"""),44350.625)</f>
        <v>44350.625</v>
      </c>
      <c r="B344" s="2">
        <f>IFERROR(__xludf.DUMMYFUNCTION("""COMPUTED_VALUE"""),1473.59)</f>
        <v>1473.59</v>
      </c>
      <c r="C344" s="2">
        <f>IFERROR(__xludf.DUMMYFUNCTION("""COMPUTED_VALUE"""),1478.06)</f>
        <v>1478.06</v>
      </c>
      <c r="D344" s="2">
        <f>IFERROR(__xludf.DUMMYFUNCTION("""COMPUTED_VALUE"""),1455.73)</f>
        <v>1455.73</v>
      </c>
      <c r="E344" s="2">
        <f>IFERROR(__xludf.DUMMYFUNCTION("""COMPUTED_VALUE"""),1469.13)</f>
        <v>1469.13</v>
      </c>
      <c r="F344" s="2">
        <f>IFERROR(__xludf.DUMMYFUNCTION("""COMPUTED_VALUE"""),2.5518E7)</f>
        <v>25518000</v>
      </c>
      <c r="G344" s="2">
        <f t="shared" si="1"/>
        <v>22.33</v>
      </c>
    </row>
    <row r="345" ht="15.75" customHeight="1">
      <c r="A345" s="1">
        <f>IFERROR(__xludf.DUMMYFUNCTION("""COMPUTED_VALUE"""),44351.625)</f>
        <v>44351.625</v>
      </c>
      <c r="B345" s="2">
        <f>IFERROR(__xludf.DUMMYFUNCTION("""COMPUTED_VALUE"""),1473.59)</f>
        <v>1473.59</v>
      </c>
      <c r="C345" s="2">
        <f>IFERROR(__xludf.DUMMYFUNCTION("""COMPUTED_VALUE"""),1495.92)</f>
        <v>1495.92</v>
      </c>
      <c r="D345" s="2">
        <f>IFERROR(__xludf.DUMMYFUNCTION("""COMPUTED_VALUE"""),1460.2)</f>
        <v>1460.2</v>
      </c>
      <c r="E345" s="2">
        <f>IFERROR(__xludf.DUMMYFUNCTION("""COMPUTED_VALUE"""),1464.66)</f>
        <v>1464.66</v>
      </c>
      <c r="F345" s="2">
        <f>IFERROR(__xludf.DUMMYFUNCTION("""COMPUTED_VALUE"""),4.38064E7)</f>
        <v>43806400</v>
      </c>
      <c r="G345" s="2">
        <f t="shared" si="1"/>
        <v>35.72</v>
      </c>
    </row>
    <row r="346" ht="15.75" customHeight="1">
      <c r="A346" s="1">
        <f>IFERROR(__xludf.DUMMYFUNCTION("""COMPUTED_VALUE"""),44354.625)</f>
        <v>44354.625</v>
      </c>
      <c r="B346" s="2">
        <f>IFERROR(__xludf.DUMMYFUNCTION("""COMPUTED_VALUE"""),1473.59)</f>
        <v>1473.59</v>
      </c>
      <c r="C346" s="2">
        <f>IFERROR(__xludf.DUMMYFUNCTION("""COMPUTED_VALUE"""),1478.06)</f>
        <v>1478.06</v>
      </c>
      <c r="D346" s="2">
        <f>IFERROR(__xludf.DUMMYFUNCTION("""COMPUTED_VALUE"""),1424.47)</f>
        <v>1424.47</v>
      </c>
      <c r="E346" s="2">
        <f>IFERROR(__xludf.DUMMYFUNCTION("""COMPUTED_VALUE"""),1433.4)</f>
        <v>1433.4</v>
      </c>
      <c r="F346" s="2">
        <f>IFERROR(__xludf.DUMMYFUNCTION("""COMPUTED_VALUE"""),3.48912E7)</f>
        <v>34891200</v>
      </c>
      <c r="G346" s="2">
        <f t="shared" si="1"/>
        <v>53.59</v>
      </c>
    </row>
    <row r="347" ht="15.75" customHeight="1">
      <c r="A347" s="1">
        <f>IFERROR(__xludf.DUMMYFUNCTION("""COMPUTED_VALUE"""),44355.625)</f>
        <v>44355.625</v>
      </c>
      <c r="B347" s="2">
        <f>IFERROR(__xludf.DUMMYFUNCTION("""COMPUTED_VALUE"""),1433.4)</f>
        <v>1433.4</v>
      </c>
      <c r="C347" s="2">
        <f>IFERROR(__xludf.DUMMYFUNCTION("""COMPUTED_VALUE"""),1446.8)</f>
        <v>1446.8</v>
      </c>
      <c r="D347" s="2">
        <f>IFERROR(__xludf.DUMMYFUNCTION("""COMPUTED_VALUE"""),1424.47)</f>
        <v>1424.47</v>
      </c>
      <c r="E347" s="2">
        <f>IFERROR(__xludf.DUMMYFUNCTION("""COMPUTED_VALUE"""),1428.94)</f>
        <v>1428.94</v>
      </c>
      <c r="F347" s="2">
        <f>IFERROR(__xludf.DUMMYFUNCTION("""COMPUTED_VALUE"""),1.67263E7)</f>
        <v>16726300</v>
      </c>
      <c r="G347" s="2">
        <f t="shared" si="1"/>
        <v>22.33</v>
      </c>
    </row>
    <row r="348" ht="15.75" customHeight="1">
      <c r="A348" s="1">
        <f>IFERROR(__xludf.DUMMYFUNCTION("""COMPUTED_VALUE"""),44356.625)</f>
        <v>44356.625</v>
      </c>
      <c r="B348" s="2">
        <f>IFERROR(__xludf.DUMMYFUNCTION("""COMPUTED_VALUE"""),1428.94)</f>
        <v>1428.94</v>
      </c>
      <c r="C348" s="2">
        <f>IFERROR(__xludf.DUMMYFUNCTION("""COMPUTED_VALUE"""),1451.26)</f>
        <v>1451.26</v>
      </c>
      <c r="D348" s="2">
        <f>IFERROR(__xludf.DUMMYFUNCTION("""COMPUTED_VALUE"""),1420.01)</f>
        <v>1420.01</v>
      </c>
      <c r="E348" s="2">
        <f>IFERROR(__xludf.DUMMYFUNCTION("""COMPUTED_VALUE"""),1433.4)</f>
        <v>1433.4</v>
      </c>
      <c r="F348" s="2">
        <f>IFERROR(__xludf.DUMMYFUNCTION("""COMPUTED_VALUE"""),1.68475E7)</f>
        <v>16847500</v>
      </c>
      <c r="G348" s="2">
        <f t="shared" si="1"/>
        <v>31.25</v>
      </c>
    </row>
    <row r="349" ht="15.75" customHeight="1">
      <c r="A349" s="1">
        <f>IFERROR(__xludf.DUMMYFUNCTION("""COMPUTED_VALUE"""),44357.625)</f>
        <v>44357.625</v>
      </c>
      <c r="B349" s="2">
        <f>IFERROR(__xludf.DUMMYFUNCTION("""COMPUTED_VALUE"""),1424.47)</f>
        <v>1424.47</v>
      </c>
      <c r="C349" s="2">
        <f>IFERROR(__xludf.DUMMYFUNCTION("""COMPUTED_VALUE"""),1437.87)</f>
        <v>1437.87</v>
      </c>
      <c r="D349" s="2">
        <f>IFERROR(__xludf.DUMMYFUNCTION("""COMPUTED_VALUE"""),1388.75)</f>
        <v>1388.75</v>
      </c>
      <c r="E349" s="2">
        <f>IFERROR(__xludf.DUMMYFUNCTION("""COMPUTED_VALUE"""),1420.01)</f>
        <v>1420.01</v>
      </c>
      <c r="F349" s="2">
        <f>IFERROR(__xludf.DUMMYFUNCTION("""COMPUTED_VALUE"""),4.4613E7)</f>
        <v>44613000</v>
      </c>
      <c r="G349" s="2">
        <f t="shared" si="1"/>
        <v>49.12</v>
      </c>
    </row>
    <row r="350" ht="15.75" customHeight="1">
      <c r="A350" s="1">
        <f>IFERROR(__xludf.DUMMYFUNCTION("""COMPUTED_VALUE"""),44358.625)</f>
        <v>44358.625</v>
      </c>
      <c r="B350" s="2">
        <f>IFERROR(__xludf.DUMMYFUNCTION("""COMPUTED_VALUE"""),1415.54)</f>
        <v>1415.54</v>
      </c>
      <c r="C350" s="2">
        <f>IFERROR(__xludf.DUMMYFUNCTION("""COMPUTED_VALUE"""),1446.8)</f>
        <v>1446.8</v>
      </c>
      <c r="D350" s="2">
        <f>IFERROR(__xludf.DUMMYFUNCTION("""COMPUTED_VALUE"""),1415.54)</f>
        <v>1415.54</v>
      </c>
      <c r="E350" s="2">
        <f>IFERROR(__xludf.DUMMYFUNCTION("""COMPUTED_VALUE"""),1428.94)</f>
        <v>1428.94</v>
      </c>
      <c r="F350" s="2">
        <f>IFERROR(__xludf.DUMMYFUNCTION("""COMPUTED_VALUE"""),3.03693E7)</f>
        <v>30369300</v>
      </c>
      <c r="G350" s="2">
        <f t="shared" si="1"/>
        <v>31.26</v>
      </c>
    </row>
    <row r="351" ht="15.75" customHeight="1">
      <c r="A351" s="1">
        <f>IFERROR(__xludf.DUMMYFUNCTION("""COMPUTED_VALUE"""),44361.66666666667)</f>
        <v>44361.66667</v>
      </c>
      <c r="B351" s="2">
        <f>IFERROR(__xludf.DUMMYFUNCTION("""COMPUTED_VALUE"""),1442.33)</f>
        <v>1442.33</v>
      </c>
      <c r="C351" s="2">
        <f>IFERROR(__xludf.DUMMYFUNCTION("""COMPUTED_VALUE"""),1446.8)</f>
        <v>1446.8</v>
      </c>
      <c r="D351" s="2">
        <f>IFERROR(__xludf.DUMMYFUNCTION("""COMPUTED_VALUE"""),1402.14)</f>
        <v>1402.14</v>
      </c>
      <c r="E351" s="2">
        <f>IFERROR(__xludf.DUMMYFUNCTION("""COMPUTED_VALUE"""),1402.14)</f>
        <v>1402.14</v>
      </c>
      <c r="F351" s="2">
        <f>IFERROR(__xludf.DUMMYFUNCTION("""COMPUTED_VALUE"""),4.24705E7)</f>
        <v>42470500</v>
      </c>
      <c r="G351" s="2">
        <f t="shared" si="1"/>
        <v>44.66</v>
      </c>
    </row>
    <row r="352" ht="15.75" customHeight="1">
      <c r="A352" s="1">
        <f>IFERROR(__xludf.DUMMYFUNCTION("""COMPUTED_VALUE"""),44362.625)</f>
        <v>44362.625</v>
      </c>
      <c r="B352" s="2">
        <f>IFERROR(__xludf.DUMMYFUNCTION("""COMPUTED_VALUE"""),1402.14)</f>
        <v>1402.14</v>
      </c>
      <c r="C352" s="2">
        <f>IFERROR(__xludf.DUMMYFUNCTION("""COMPUTED_VALUE"""),1402.14)</f>
        <v>1402.14</v>
      </c>
      <c r="D352" s="2">
        <f>IFERROR(__xludf.DUMMYFUNCTION("""COMPUTED_VALUE"""),1384.28)</f>
        <v>1384.28</v>
      </c>
      <c r="E352" s="2">
        <f>IFERROR(__xludf.DUMMYFUNCTION("""COMPUTED_VALUE"""),1388.75)</f>
        <v>1388.75</v>
      </c>
      <c r="F352" s="2">
        <f>IFERROR(__xludf.DUMMYFUNCTION("""COMPUTED_VALUE"""),2.88108E7)</f>
        <v>28810800</v>
      </c>
      <c r="G352" s="2">
        <f t="shared" si="1"/>
        <v>17.86</v>
      </c>
    </row>
    <row r="353" ht="15.75" customHeight="1">
      <c r="A353" s="1">
        <f>IFERROR(__xludf.DUMMYFUNCTION("""COMPUTED_VALUE"""),44363.625)</f>
        <v>44363.625</v>
      </c>
      <c r="B353" s="2">
        <f>IFERROR(__xludf.DUMMYFUNCTION("""COMPUTED_VALUE"""),1388.75)</f>
        <v>1388.75</v>
      </c>
      <c r="C353" s="2">
        <f>IFERROR(__xludf.DUMMYFUNCTION("""COMPUTED_VALUE"""),1393.21)</f>
        <v>1393.21</v>
      </c>
      <c r="D353" s="2">
        <f>IFERROR(__xludf.DUMMYFUNCTION("""COMPUTED_VALUE"""),1384.28)</f>
        <v>1384.28</v>
      </c>
      <c r="E353" s="2">
        <f>IFERROR(__xludf.DUMMYFUNCTION("""COMPUTED_VALUE"""),1388.75)</f>
        <v>1388.75</v>
      </c>
      <c r="F353" s="2">
        <f>IFERROR(__xludf.DUMMYFUNCTION("""COMPUTED_VALUE"""),2.60257E7)</f>
        <v>26025700</v>
      </c>
      <c r="G353" s="2">
        <f t="shared" si="1"/>
        <v>8.93</v>
      </c>
    </row>
    <row r="354" ht="15.75" customHeight="1">
      <c r="A354" s="1">
        <f>IFERROR(__xludf.DUMMYFUNCTION("""COMPUTED_VALUE"""),44364.625)</f>
        <v>44364.625</v>
      </c>
      <c r="B354" s="2">
        <f>IFERROR(__xludf.DUMMYFUNCTION("""COMPUTED_VALUE"""),1384.28)</f>
        <v>1384.28</v>
      </c>
      <c r="C354" s="2">
        <f>IFERROR(__xludf.DUMMYFUNCTION("""COMPUTED_VALUE"""),1384.28)</f>
        <v>1384.28</v>
      </c>
      <c r="D354" s="2">
        <f>IFERROR(__xludf.DUMMYFUNCTION("""COMPUTED_VALUE"""),1361.96)</f>
        <v>1361.96</v>
      </c>
      <c r="E354" s="2">
        <f>IFERROR(__xludf.DUMMYFUNCTION("""COMPUTED_VALUE"""),1375.35)</f>
        <v>1375.35</v>
      </c>
      <c r="F354" s="2">
        <f>IFERROR(__xludf.DUMMYFUNCTION("""COMPUTED_VALUE"""),2.36547E7)</f>
        <v>23654700</v>
      </c>
      <c r="G354" s="2">
        <f t="shared" si="1"/>
        <v>26.79</v>
      </c>
    </row>
    <row r="355" ht="15.75" customHeight="1">
      <c r="A355" s="1">
        <f>IFERROR(__xludf.DUMMYFUNCTION("""COMPUTED_VALUE"""),44365.625)</f>
        <v>44365.625</v>
      </c>
      <c r="B355" s="2">
        <f>IFERROR(__xludf.DUMMYFUNCTION("""COMPUTED_VALUE"""),1375.35)</f>
        <v>1375.35</v>
      </c>
      <c r="C355" s="2">
        <f>IFERROR(__xludf.DUMMYFUNCTION("""COMPUTED_VALUE"""),1375.35)</f>
        <v>1375.35</v>
      </c>
      <c r="D355" s="2">
        <f>IFERROR(__xludf.DUMMYFUNCTION("""COMPUTED_VALUE"""),1290.51)</f>
        <v>1290.51</v>
      </c>
      <c r="E355" s="2">
        <f>IFERROR(__xludf.DUMMYFUNCTION("""COMPUTED_VALUE"""),1312.84)</f>
        <v>1312.84</v>
      </c>
      <c r="F355" s="2">
        <f>IFERROR(__xludf.DUMMYFUNCTION("""COMPUTED_VALUE"""),6.89747E7)</f>
        <v>68974700</v>
      </c>
      <c r="G355" s="2">
        <f t="shared" si="1"/>
        <v>84.84</v>
      </c>
    </row>
    <row r="356" ht="15.75" customHeight="1">
      <c r="A356" s="1">
        <f>IFERROR(__xludf.DUMMYFUNCTION("""COMPUTED_VALUE"""),44368.66666666667)</f>
        <v>44368.66667</v>
      </c>
      <c r="B356" s="2">
        <f>IFERROR(__xludf.DUMMYFUNCTION("""COMPUTED_VALUE"""),1250.32)</f>
        <v>1250.32</v>
      </c>
      <c r="C356" s="2">
        <f>IFERROR(__xludf.DUMMYFUNCTION("""COMPUTED_VALUE"""),1281.58)</f>
        <v>1281.58</v>
      </c>
      <c r="D356" s="2">
        <f>IFERROR(__xludf.DUMMYFUNCTION("""COMPUTED_VALUE"""),1241.39)</f>
        <v>1241.39</v>
      </c>
      <c r="E356" s="2">
        <f>IFERROR(__xludf.DUMMYFUNCTION("""COMPUTED_VALUE"""),1259.25)</f>
        <v>1259.25</v>
      </c>
      <c r="F356" s="2">
        <f>IFERROR(__xludf.DUMMYFUNCTION("""COMPUTED_VALUE"""),4.97258E7)</f>
        <v>49725800</v>
      </c>
      <c r="G356" s="2">
        <f t="shared" si="1"/>
        <v>71.45</v>
      </c>
    </row>
    <row r="357" ht="15.75" customHeight="1">
      <c r="A357" s="1">
        <f>IFERROR(__xludf.DUMMYFUNCTION("""COMPUTED_VALUE"""),44369.625)</f>
        <v>44369.625</v>
      </c>
      <c r="B357" s="2">
        <f>IFERROR(__xludf.DUMMYFUNCTION("""COMPUTED_VALUE"""),1272.65)</f>
        <v>1272.65</v>
      </c>
      <c r="C357" s="2">
        <f>IFERROR(__xludf.DUMMYFUNCTION("""COMPUTED_VALUE"""),1308.37)</f>
        <v>1308.37</v>
      </c>
      <c r="D357" s="2">
        <f>IFERROR(__xludf.DUMMYFUNCTION("""COMPUTED_VALUE"""),1254.79)</f>
        <v>1254.79</v>
      </c>
      <c r="E357" s="2">
        <f>IFERROR(__xludf.DUMMYFUNCTION("""COMPUTED_VALUE"""),1299.44)</f>
        <v>1299.44</v>
      </c>
      <c r="F357" s="2">
        <f>IFERROR(__xludf.DUMMYFUNCTION("""COMPUTED_VALUE"""),3.65858E7)</f>
        <v>36585800</v>
      </c>
      <c r="G357" s="2">
        <f t="shared" si="1"/>
        <v>53.58</v>
      </c>
    </row>
    <row r="358" ht="15.75" customHeight="1">
      <c r="A358" s="1">
        <f>IFERROR(__xludf.DUMMYFUNCTION("""COMPUTED_VALUE"""),44370.625)</f>
        <v>44370.625</v>
      </c>
      <c r="B358" s="2">
        <f>IFERROR(__xludf.DUMMYFUNCTION("""COMPUTED_VALUE"""),1299.44)</f>
        <v>1299.44</v>
      </c>
      <c r="C358" s="2">
        <f>IFERROR(__xludf.DUMMYFUNCTION("""COMPUTED_VALUE"""),1303.91)</f>
        <v>1303.91</v>
      </c>
      <c r="D358" s="2">
        <f>IFERROR(__xludf.DUMMYFUNCTION("""COMPUTED_VALUE"""),1268.18)</f>
        <v>1268.18</v>
      </c>
      <c r="E358" s="2">
        <f>IFERROR(__xludf.DUMMYFUNCTION("""COMPUTED_VALUE"""),1272.65)</f>
        <v>1272.65</v>
      </c>
      <c r="F358" s="2">
        <f>IFERROR(__xludf.DUMMYFUNCTION("""COMPUTED_VALUE"""),2.08432E7)</f>
        <v>20843200</v>
      </c>
      <c r="G358" s="2">
        <f t="shared" si="1"/>
        <v>35.73</v>
      </c>
    </row>
    <row r="359" ht="15.75" customHeight="1">
      <c r="A359" s="1">
        <f>IFERROR(__xludf.DUMMYFUNCTION("""COMPUTED_VALUE"""),44371.625)</f>
        <v>44371.625</v>
      </c>
      <c r="B359" s="2">
        <f>IFERROR(__xludf.DUMMYFUNCTION("""COMPUTED_VALUE"""),1272.65)</f>
        <v>1272.65</v>
      </c>
      <c r="C359" s="2">
        <f>IFERROR(__xludf.DUMMYFUNCTION("""COMPUTED_VALUE"""),1281.58)</f>
        <v>1281.58</v>
      </c>
      <c r="D359" s="2">
        <f>IFERROR(__xludf.DUMMYFUNCTION("""COMPUTED_VALUE"""),1259.25)</f>
        <v>1259.25</v>
      </c>
      <c r="E359" s="2">
        <f>IFERROR(__xludf.DUMMYFUNCTION("""COMPUTED_VALUE"""),1263.72)</f>
        <v>1263.72</v>
      </c>
      <c r="F359" s="2">
        <f>IFERROR(__xludf.DUMMYFUNCTION("""COMPUTED_VALUE"""),2.22089E7)</f>
        <v>22208900</v>
      </c>
      <c r="G359" s="2">
        <f t="shared" si="1"/>
        <v>22.33</v>
      </c>
    </row>
    <row r="360" ht="15.75" customHeight="1">
      <c r="A360" s="1">
        <f>IFERROR(__xludf.DUMMYFUNCTION("""COMPUTED_VALUE"""),44372.625)</f>
        <v>44372.625</v>
      </c>
      <c r="B360" s="2">
        <f>IFERROR(__xludf.DUMMYFUNCTION("""COMPUTED_VALUE"""),1263.72)</f>
        <v>1263.72</v>
      </c>
      <c r="C360" s="2">
        <f>IFERROR(__xludf.DUMMYFUNCTION("""COMPUTED_VALUE"""),1281.58)</f>
        <v>1281.58</v>
      </c>
      <c r="D360" s="2">
        <f>IFERROR(__xludf.DUMMYFUNCTION("""COMPUTED_VALUE"""),1232.46)</f>
        <v>1232.46</v>
      </c>
      <c r="E360" s="2">
        <f>IFERROR(__xludf.DUMMYFUNCTION("""COMPUTED_VALUE"""),1232.46)</f>
        <v>1232.46</v>
      </c>
      <c r="F360" s="2">
        <f>IFERROR(__xludf.DUMMYFUNCTION("""COMPUTED_VALUE"""),2.56087E7)</f>
        <v>25608700</v>
      </c>
      <c r="G360" s="2">
        <f t="shared" si="1"/>
        <v>49.12</v>
      </c>
    </row>
    <row r="361" ht="15.75" customHeight="1">
      <c r="A361" s="1">
        <f>IFERROR(__xludf.DUMMYFUNCTION("""COMPUTED_VALUE"""),44375.66666666667)</f>
        <v>44375.66667</v>
      </c>
      <c r="B361" s="2">
        <f>IFERROR(__xludf.DUMMYFUNCTION("""COMPUTED_VALUE"""),1236.92)</f>
        <v>1236.92</v>
      </c>
      <c r="C361" s="2">
        <f>IFERROR(__xludf.DUMMYFUNCTION("""COMPUTED_VALUE"""),1245.85)</f>
        <v>1245.85</v>
      </c>
      <c r="D361" s="2">
        <f>IFERROR(__xludf.DUMMYFUNCTION("""COMPUTED_VALUE"""),1192.27)</f>
        <v>1192.27</v>
      </c>
      <c r="E361" s="2">
        <f>IFERROR(__xludf.DUMMYFUNCTION("""COMPUTED_VALUE"""),1192.27)</f>
        <v>1192.27</v>
      </c>
      <c r="F361" s="2">
        <f>IFERROR(__xludf.DUMMYFUNCTION("""COMPUTED_VALUE"""),1.86603E7)</f>
        <v>18660300</v>
      </c>
      <c r="G361" s="2">
        <f t="shared" si="1"/>
        <v>53.58</v>
      </c>
    </row>
    <row r="362" ht="15.75" customHeight="1">
      <c r="A362" s="1">
        <f>IFERROR(__xludf.DUMMYFUNCTION("""COMPUTED_VALUE"""),44376.625)</f>
        <v>44376.625</v>
      </c>
      <c r="B362" s="2">
        <f>IFERROR(__xludf.DUMMYFUNCTION("""COMPUTED_VALUE"""),1192.27)</f>
        <v>1192.27</v>
      </c>
      <c r="C362" s="2">
        <f>IFERROR(__xludf.DUMMYFUNCTION("""COMPUTED_VALUE"""),1223.53)</f>
        <v>1223.53</v>
      </c>
      <c r="D362" s="2">
        <f>IFERROR(__xludf.DUMMYFUNCTION("""COMPUTED_VALUE"""),1183.34)</f>
        <v>1183.34</v>
      </c>
      <c r="E362" s="2">
        <f>IFERROR(__xludf.DUMMYFUNCTION("""COMPUTED_VALUE"""),1187.8)</f>
        <v>1187.8</v>
      </c>
      <c r="F362" s="2">
        <f>IFERROR(__xludf.DUMMYFUNCTION("""COMPUTED_VALUE"""),2.37205E7)</f>
        <v>23720500</v>
      </c>
      <c r="G362" s="2">
        <f t="shared" si="1"/>
        <v>40.19</v>
      </c>
    </row>
    <row r="363" ht="15.75" customHeight="1">
      <c r="A363" s="1">
        <f>IFERROR(__xludf.DUMMYFUNCTION("""COMPUTED_VALUE"""),44377.625)</f>
        <v>44377.625</v>
      </c>
      <c r="B363" s="2">
        <f>IFERROR(__xludf.DUMMYFUNCTION("""COMPUTED_VALUE"""),1196.74)</f>
        <v>1196.74</v>
      </c>
      <c r="C363" s="2">
        <f>IFERROR(__xludf.DUMMYFUNCTION("""COMPUTED_VALUE"""),1232.46)</f>
        <v>1232.46</v>
      </c>
      <c r="D363" s="2">
        <f>IFERROR(__xludf.DUMMYFUNCTION("""COMPUTED_VALUE"""),1192.27)</f>
        <v>1192.27</v>
      </c>
      <c r="E363" s="2">
        <f>IFERROR(__xludf.DUMMYFUNCTION("""COMPUTED_VALUE"""),1223.53)</f>
        <v>1223.53</v>
      </c>
      <c r="F363" s="2">
        <f>IFERROR(__xludf.DUMMYFUNCTION("""COMPUTED_VALUE"""),2.01429E7)</f>
        <v>20142900</v>
      </c>
      <c r="G363" s="2">
        <f t="shared" si="1"/>
        <v>44.66</v>
      </c>
    </row>
    <row r="364" ht="15.75" customHeight="1">
      <c r="A364" s="1">
        <f>IFERROR(__xludf.DUMMYFUNCTION("""COMPUTED_VALUE"""),44378.625)</f>
        <v>44378.625</v>
      </c>
      <c r="B364" s="2">
        <f>IFERROR(__xludf.DUMMYFUNCTION("""COMPUTED_VALUE"""),1232.46)</f>
        <v>1232.46</v>
      </c>
      <c r="C364" s="2">
        <f>IFERROR(__xludf.DUMMYFUNCTION("""COMPUTED_VALUE"""),1259.25)</f>
        <v>1259.25</v>
      </c>
      <c r="D364" s="2">
        <f>IFERROR(__xludf.DUMMYFUNCTION("""COMPUTED_VALUE"""),1214.6)</f>
        <v>1214.6</v>
      </c>
      <c r="E364" s="2">
        <f>IFERROR(__xludf.DUMMYFUNCTION("""COMPUTED_VALUE"""),1214.6)</f>
        <v>1214.6</v>
      </c>
      <c r="F364" s="2">
        <f>IFERROR(__xludf.DUMMYFUNCTION("""COMPUTED_VALUE"""),1.9738E7)</f>
        <v>19738000</v>
      </c>
      <c r="G364" s="2">
        <f t="shared" si="1"/>
        <v>44.65</v>
      </c>
    </row>
    <row r="365" ht="15.75" customHeight="1">
      <c r="A365" s="1">
        <f>IFERROR(__xludf.DUMMYFUNCTION("""COMPUTED_VALUE"""),44379.625)</f>
        <v>44379.625</v>
      </c>
      <c r="B365" s="2">
        <f>IFERROR(__xludf.DUMMYFUNCTION("""COMPUTED_VALUE"""),1214.6)</f>
        <v>1214.6</v>
      </c>
      <c r="C365" s="2">
        <f>IFERROR(__xludf.DUMMYFUNCTION("""COMPUTED_VALUE"""),1241.39)</f>
        <v>1241.39</v>
      </c>
      <c r="D365" s="2">
        <f>IFERROR(__xludf.DUMMYFUNCTION("""COMPUTED_VALUE"""),1214.6)</f>
        <v>1214.6</v>
      </c>
      <c r="E365" s="2">
        <f>IFERROR(__xludf.DUMMYFUNCTION("""COMPUTED_VALUE"""),1232.46)</f>
        <v>1232.46</v>
      </c>
      <c r="F365" s="2">
        <f>IFERROR(__xludf.DUMMYFUNCTION("""COMPUTED_VALUE"""),1.39741E7)</f>
        <v>13974100</v>
      </c>
      <c r="G365" s="2">
        <f t="shared" si="1"/>
        <v>26.79</v>
      </c>
    </row>
    <row r="366" ht="15.75" customHeight="1">
      <c r="A366" s="1">
        <f>IFERROR(__xludf.DUMMYFUNCTION("""COMPUTED_VALUE"""),44382.625)</f>
        <v>44382.625</v>
      </c>
      <c r="B366" s="2">
        <f>IFERROR(__xludf.DUMMYFUNCTION("""COMPUTED_VALUE"""),1241.39)</f>
        <v>1241.39</v>
      </c>
      <c r="C366" s="2">
        <f>IFERROR(__xludf.DUMMYFUNCTION("""COMPUTED_VALUE"""),1245.85)</f>
        <v>1245.85</v>
      </c>
      <c r="D366" s="2">
        <f>IFERROR(__xludf.DUMMYFUNCTION("""COMPUTED_VALUE"""),1205.67)</f>
        <v>1205.67</v>
      </c>
      <c r="E366" s="2">
        <f>IFERROR(__xludf.DUMMYFUNCTION("""COMPUTED_VALUE"""),1210.13)</f>
        <v>1210.13</v>
      </c>
      <c r="F366" s="2">
        <f>IFERROR(__xludf.DUMMYFUNCTION("""COMPUTED_VALUE"""),1.07696E7)</f>
        <v>10769600</v>
      </c>
      <c r="G366" s="2">
        <f t="shared" si="1"/>
        <v>40.18</v>
      </c>
    </row>
    <row r="367" ht="15.75" customHeight="1">
      <c r="A367" s="1">
        <f>IFERROR(__xludf.DUMMYFUNCTION("""COMPUTED_VALUE"""),44383.625)</f>
        <v>44383.625</v>
      </c>
      <c r="B367" s="2">
        <f>IFERROR(__xludf.DUMMYFUNCTION("""COMPUTED_VALUE"""),1210.13)</f>
        <v>1210.13</v>
      </c>
      <c r="C367" s="2">
        <f>IFERROR(__xludf.DUMMYFUNCTION("""COMPUTED_VALUE"""),1223.53)</f>
        <v>1223.53</v>
      </c>
      <c r="D367" s="2">
        <f>IFERROR(__xludf.DUMMYFUNCTION("""COMPUTED_VALUE"""),1205.67)</f>
        <v>1205.67</v>
      </c>
      <c r="E367" s="2">
        <f>IFERROR(__xludf.DUMMYFUNCTION("""COMPUTED_VALUE"""),1205.67)</f>
        <v>1205.67</v>
      </c>
      <c r="F367" s="2">
        <f>IFERROR(__xludf.DUMMYFUNCTION("""COMPUTED_VALUE"""),1.02909E7)</f>
        <v>10290900</v>
      </c>
      <c r="G367" s="2">
        <f t="shared" si="1"/>
        <v>17.86</v>
      </c>
    </row>
    <row r="368" ht="15.75" customHeight="1">
      <c r="A368" s="1">
        <f>IFERROR(__xludf.DUMMYFUNCTION("""COMPUTED_VALUE"""),44384.625)</f>
        <v>44384.625</v>
      </c>
      <c r="B368" s="2">
        <f>IFERROR(__xludf.DUMMYFUNCTION("""COMPUTED_VALUE"""),1210.13)</f>
        <v>1210.13</v>
      </c>
      <c r="C368" s="2">
        <f>IFERROR(__xludf.DUMMYFUNCTION("""COMPUTED_VALUE"""),1223.53)</f>
        <v>1223.53</v>
      </c>
      <c r="D368" s="2">
        <f>IFERROR(__xludf.DUMMYFUNCTION("""COMPUTED_VALUE"""),1196.74)</f>
        <v>1196.74</v>
      </c>
      <c r="E368" s="2">
        <f>IFERROR(__xludf.DUMMYFUNCTION("""COMPUTED_VALUE"""),1201.2)</f>
        <v>1201.2</v>
      </c>
      <c r="F368" s="2">
        <f>IFERROR(__xludf.DUMMYFUNCTION("""COMPUTED_VALUE"""),7150000.0)</f>
        <v>7150000</v>
      </c>
      <c r="G368" s="2">
        <f t="shared" si="1"/>
        <v>26.79</v>
      </c>
    </row>
    <row r="369" ht="15.75" customHeight="1">
      <c r="A369" s="1">
        <f>IFERROR(__xludf.DUMMYFUNCTION("""COMPUTED_VALUE"""),44385.625)</f>
        <v>44385.625</v>
      </c>
      <c r="B369" s="2">
        <f>IFERROR(__xludf.DUMMYFUNCTION("""COMPUTED_VALUE"""),1214.6)</f>
        <v>1214.6</v>
      </c>
      <c r="C369" s="2">
        <f>IFERROR(__xludf.DUMMYFUNCTION("""COMPUTED_VALUE"""),1227.99)</f>
        <v>1227.99</v>
      </c>
      <c r="D369" s="2">
        <f>IFERROR(__xludf.DUMMYFUNCTION("""COMPUTED_VALUE"""),1196.74)</f>
        <v>1196.74</v>
      </c>
      <c r="E369" s="2">
        <f>IFERROR(__xludf.DUMMYFUNCTION("""COMPUTED_VALUE"""),1201.2)</f>
        <v>1201.2</v>
      </c>
      <c r="F369" s="2">
        <f>IFERROR(__xludf.DUMMYFUNCTION("""COMPUTED_VALUE"""),1.2573E7)</f>
        <v>12573000</v>
      </c>
      <c r="G369" s="2">
        <f t="shared" si="1"/>
        <v>31.25</v>
      </c>
    </row>
    <row r="370" ht="15.75" customHeight="1">
      <c r="A370" s="1">
        <f>IFERROR(__xludf.DUMMYFUNCTION("""COMPUTED_VALUE"""),44386.625)</f>
        <v>44386.625</v>
      </c>
      <c r="B370" s="2">
        <f>IFERROR(__xludf.DUMMYFUNCTION("""COMPUTED_VALUE"""),1214.6)</f>
        <v>1214.6</v>
      </c>
      <c r="C370" s="2">
        <f>IFERROR(__xludf.DUMMYFUNCTION("""COMPUTED_VALUE"""),1219.06)</f>
        <v>1219.06</v>
      </c>
      <c r="D370" s="2">
        <f>IFERROR(__xludf.DUMMYFUNCTION("""COMPUTED_VALUE"""),1183.34)</f>
        <v>1183.34</v>
      </c>
      <c r="E370" s="2">
        <f>IFERROR(__xludf.DUMMYFUNCTION("""COMPUTED_VALUE"""),1192.27)</f>
        <v>1192.27</v>
      </c>
      <c r="F370" s="2">
        <f>IFERROR(__xludf.DUMMYFUNCTION("""COMPUTED_VALUE"""),2.06134E7)</f>
        <v>20613400</v>
      </c>
      <c r="G370" s="2">
        <f t="shared" si="1"/>
        <v>35.72</v>
      </c>
    </row>
    <row r="371" ht="15.75" customHeight="1">
      <c r="A371" s="1">
        <f>IFERROR(__xludf.DUMMYFUNCTION("""COMPUTED_VALUE"""),44389.625)</f>
        <v>44389.625</v>
      </c>
      <c r="B371" s="2">
        <f>IFERROR(__xludf.DUMMYFUNCTION("""COMPUTED_VALUE"""),1196.74)</f>
        <v>1196.74</v>
      </c>
      <c r="C371" s="2">
        <f>IFERROR(__xludf.DUMMYFUNCTION("""COMPUTED_VALUE"""),1205.67)</f>
        <v>1205.67</v>
      </c>
      <c r="D371" s="2">
        <f>IFERROR(__xludf.DUMMYFUNCTION("""COMPUTED_VALUE"""),1152.08)</f>
        <v>1152.08</v>
      </c>
      <c r="E371" s="2">
        <f>IFERROR(__xludf.DUMMYFUNCTION("""COMPUTED_VALUE"""),1156.55)</f>
        <v>1156.55</v>
      </c>
      <c r="F371" s="2">
        <f>IFERROR(__xludf.DUMMYFUNCTION("""COMPUTED_VALUE"""),4.36067E7)</f>
        <v>43606700</v>
      </c>
      <c r="G371" s="2">
        <f t="shared" si="1"/>
        <v>53.59</v>
      </c>
    </row>
    <row r="372" ht="15.75" customHeight="1">
      <c r="A372" s="1">
        <f>IFERROR(__xludf.DUMMYFUNCTION("""COMPUTED_VALUE"""),44390.625)</f>
        <v>44390.625</v>
      </c>
      <c r="B372" s="2">
        <f>IFERROR(__xludf.DUMMYFUNCTION("""COMPUTED_VALUE"""),1156.55)</f>
        <v>1156.55</v>
      </c>
      <c r="C372" s="2">
        <f>IFERROR(__xludf.DUMMYFUNCTION("""COMPUTED_VALUE"""),1178.87)</f>
        <v>1178.87</v>
      </c>
      <c r="D372" s="2">
        <f>IFERROR(__xludf.DUMMYFUNCTION("""COMPUTED_VALUE"""),1134.22)</f>
        <v>1134.22</v>
      </c>
      <c r="E372" s="2">
        <f>IFERROR(__xludf.DUMMYFUNCTION("""COMPUTED_VALUE"""),1138.68)</f>
        <v>1138.68</v>
      </c>
      <c r="F372" s="2">
        <f>IFERROR(__xludf.DUMMYFUNCTION("""COMPUTED_VALUE"""),2.76435E7)</f>
        <v>27643500</v>
      </c>
      <c r="G372" s="2">
        <f t="shared" si="1"/>
        <v>44.65</v>
      </c>
    </row>
    <row r="373" ht="15.75" customHeight="1">
      <c r="A373" s="1">
        <f>IFERROR(__xludf.DUMMYFUNCTION("""COMPUTED_VALUE"""),44391.625)</f>
        <v>44391.625</v>
      </c>
      <c r="B373" s="2">
        <f>IFERROR(__xludf.DUMMYFUNCTION("""COMPUTED_VALUE"""),1138.68)</f>
        <v>1138.68</v>
      </c>
      <c r="C373" s="2">
        <f>IFERROR(__xludf.DUMMYFUNCTION("""COMPUTED_VALUE"""),1143.15)</f>
        <v>1143.15</v>
      </c>
      <c r="D373" s="2">
        <f>IFERROR(__xludf.DUMMYFUNCTION("""COMPUTED_VALUE"""),1089.56)</f>
        <v>1089.56</v>
      </c>
      <c r="E373" s="2">
        <f>IFERROR(__xludf.DUMMYFUNCTION("""COMPUTED_VALUE"""),1098.5)</f>
        <v>1098.5</v>
      </c>
      <c r="F373" s="2">
        <f>IFERROR(__xludf.DUMMYFUNCTION("""COMPUTED_VALUE"""),3.99717E7)</f>
        <v>39971700</v>
      </c>
      <c r="G373" s="2">
        <f t="shared" si="1"/>
        <v>53.59</v>
      </c>
    </row>
    <row r="374" ht="15.75" customHeight="1">
      <c r="A374" s="1">
        <f>IFERROR(__xludf.DUMMYFUNCTION("""COMPUTED_VALUE"""),44392.625)</f>
        <v>44392.625</v>
      </c>
      <c r="B374" s="2">
        <f>IFERROR(__xludf.DUMMYFUNCTION("""COMPUTED_VALUE"""),1102.96)</f>
        <v>1102.96</v>
      </c>
      <c r="C374" s="2">
        <f>IFERROR(__xludf.DUMMYFUNCTION("""COMPUTED_VALUE"""),1183.34)</f>
        <v>1183.34</v>
      </c>
      <c r="D374" s="2">
        <f>IFERROR(__xludf.DUMMYFUNCTION("""COMPUTED_VALUE"""),1102.96)</f>
        <v>1102.96</v>
      </c>
      <c r="E374" s="2">
        <f>IFERROR(__xludf.DUMMYFUNCTION("""COMPUTED_VALUE"""),1147.62)</f>
        <v>1147.62</v>
      </c>
      <c r="F374" s="2">
        <f>IFERROR(__xludf.DUMMYFUNCTION("""COMPUTED_VALUE"""),6.90551E7)</f>
        <v>69055100</v>
      </c>
      <c r="G374" s="2">
        <f t="shared" si="1"/>
        <v>84.84</v>
      </c>
    </row>
    <row r="375" ht="15.75" customHeight="1">
      <c r="A375" s="1">
        <f>IFERROR(__xludf.DUMMYFUNCTION("""COMPUTED_VALUE"""),44393.625)</f>
        <v>44393.625</v>
      </c>
      <c r="B375" s="2">
        <f>IFERROR(__xludf.DUMMYFUNCTION("""COMPUTED_VALUE"""),1161.01)</f>
        <v>1161.01</v>
      </c>
      <c r="C375" s="2">
        <f>IFERROR(__xludf.DUMMYFUNCTION("""COMPUTED_VALUE"""),1187.8)</f>
        <v>1187.8</v>
      </c>
      <c r="D375" s="2">
        <f>IFERROR(__xludf.DUMMYFUNCTION("""COMPUTED_VALUE"""),1152.08)</f>
        <v>1152.08</v>
      </c>
      <c r="E375" s="2">
        <f>IFERROR(__xludf.DUMMYFUNCTION("""COMPUTED_VALUE"""),1174.41)</f>
        <v>1174.41</v>
      </c>
      <c r="F375" s="2">
        <f>IFERROR(__xludf.DUMMYFUNCTION("""COMPUTED_VALUE"""),4.52188E7)</f>
        <v>45218800</v>
      </c>
      <c r="G375" s="2">
        <f t="shared" si="1"/>
        <v>40.18</v>
      </c>
    </row>
    <row r="376" ht="15.75" customHeight="1">
      <c r="A376" s="1">
        <f>IFERROR(__xludf.DUMMYFUNCTION("""COMPUTED_VALUE"""),44396.625)</f>
        <v>44396.625</v>
      </c>
      <c r="B376" s="2">
        <f>IFERROR(__xludf.DUMMYFUNCTION("""COMPUTED_VALUE"""),1169.94)</f>
        <v>1169.94</v>
      </c>
      <c r="C376" s="2">
        <f>IFERROR(__xludf.DUMMYFUNCTION("""COMPUTED_VALUE"""),1183.34)</f>
        <v>1183.34</v>
      </c>
      <c r="D376" s="2">
        <f>IFERROR(__xludf.DUMMYFUNCTION("""COMPUTED_VALUE"""),1138.68)</f>
        <v>1138.68</v>
      </c>
      <c r="E376" s="2">
        <f>IFERROR(__xludf.DUMMYFUNCTION("""COMPUTED_VALUE"""),1152.08)</f>
        <v>1152.08</v>
      </c>
      <c r="F376" s="2">
        <f>IFERROR(__xludf.DUMMYFUNCTION("""COMPUTED_VALUE"""),2.63626E7)</f>
        <v>26362600</v>
      </c>
      <c r="G376" s="2">
        <f t="shared" si="1"/>
        <v>44.66</v>
      </c>
    </row>
    <row r="377" ht="15.75" customHeight="1">
      <c r="A377" s="1">
        <f>IFERROR(__xludf.DUMMYFUNCTION("""COMPUTED_VALUE"""),44398.625)</f>
        <v>44398.625</v>
      </c>
      <c r="B377" s="2">
        <f>IFERROR(__xludf.DUMMYFUNCTION("""COMPUTED_VALUE"""),1161.01)</f>
        <v>1161.01</v>
      </c>
      <c r="C377" s="2">
        <f>IFERROR(__xludf.DUMMYFUNCTION("""COMPUTED_VALUE"""),1214.6)</f>
        <v>1214.6</v>
      </c>
      <c r="D377" s="2">
        <f>IFERROR(__xludf.DUMMYFUNCTION("""COMPUTED_VALUE"""),1156.55)</f>
        <v>1156.55</v>
      </c>
      <c r="E377" s="2">
        <f>IFERROR(__xludf.DUMMYFUNCTION("""COMPUTED_VALUE"""),1178.87)</f>
        <v>1178.87</v>
      </c>
      <c r="F377" s="2">
        <f>IFERROR(__xludf.DUMMYFUNCTION("""COMPUTED_VALUE"""),6.576E7)</f>
        <v>65760000</v>
      </c>
      <c r="G377" s="2">
        <f t="shared" si="1"/>
        <v>62.52</v>
      </c>
    </row>
    <row r="378" ht="15.75" customHeight="1">
      <c r="A378" s="1">
        <f>IFERROR(__xludf.DUMMYFUNCTION("""COMPUTED_VALUE"""),44399.625)</f>
        <v>44399.625</v>
      </c>
      <c r="B378" s="2">
        <f>IFERROR(__xludf.DUMMYFUNCTION("""COMPUTED_VALUE"""),1187.8)</f>
        <v>1187.8</v>
      </c>
      <c r="C378" s="2">
        <f>IFERROR(__xludf.DUMMYFUNCTION("""COMPUTED_VALUE"""),1232.46)</f>
        <v>1232.46</v>
      </c>
      <c r="D378" s="2">
        <f>IFERROR(__xludf.DUMMYFUNCTION("""COMPUTED_VALUE"""),1187.8)</f>
        <v>1187.8</v>
      </c>
      <c r="E378" s="2">
        <f>IFERROR(__xludf.DUMMYFUNCTION("""COMPUTED_VALUE"""),1219.06)</f>
        <v>1219.06</v>
      </c>
      <c r="F378" s="2">
        <f>IFERROR(__xludf.DUMMYFUNCTION("""COMPUTED_VALUE"""),5.71432E7)</f>
        <v>57143200</v>
      </c>
      <c r="G378" s="2">
        <f t="shared" si="1"/>
        <v>53.59</v>
      </c>
    </row>
    <row r="379" ht="15.75" customHeight="1">
      <c r="A379" s="1">
        <f>IFERROR(__xludf.DUMMYFUNCTION("""COMPUTED_VALUE"""),44400.625)</f>
        <v>44400.625</v>
      </c>
      <c r="B379" s="2">
        <f>IFERROR(__xludf.DUMMYFUNCTION("""COMPUTED_VALUE"""),1223.53)</f>
        <v>1223.53</v>
      </c>
      <c r="C379" s="2">
        <f>IFERROR(__xludf.DUMMYFUNCTION("""COMPUTED_VALUE"""),1227.99)</f>
        <v>1227.99</v>
      </c>
      <c r="D379" s="2">
        <f>IFERROR(__xludf.DUMMYFUNCTION("""COMPUTED_VALUE"""),1196.74)</f>
        <v>1196.74</v>
      </c>
      <c r="E379" s="2">
        <f>IFERROR(__xludf.DUMMYFUNCTION("""COMPUTED_VALUE"""),1210.13)</f>
        <v>1210.13</v>
      </c>
      <c r="F379" s="2">
        <f>IFERROR(__xludf.DUMMYFUNCTION("""COMPUTED_VALUE"""),2.37515E7)</f>
        <v>23751500</v>
      </c>
      <c r="G379" s="2">
        <f t="shared" si="1"/>
        <v>31.25</v>
      </c>
    </row>
    <row r="380" ht="15.75" customHeight="1">
      <c r="A380" s="1">
        <f>IFERROR(__xludf.DUMMYFUNCTION("""COMPUTED_VALUE"""),44403.625)</f>
        <v>44403.625</v>
      </c>
      <c r="B380" s="2">
        <f>IFERROR(__xludf.DUMMYFUNCTION("""COMPUTED_VALUE"""),1214.6)</f>
        <v>1214.6</v>
      </c>
      <c r="C380" s="2">
        <f>IFERROR(__xludf.DUMMYFUNCTION("""COMPUTED_VALUE"""),1227.99)</f>
        <v>1227.99</v>
      </c>
      <c r="D380" s="2">
        <f>IFERROR(__xludf.DUMMYFUNCTION("""COMPUTED_VALUE"""),1196.74)</f>
        <v>1196.74</v>
      </c>
      <c r="E380" s="2">
        <f>IFERROR(__xludf.DUMMYFUNCTION("""COMPUTED_VALUE"""),1210.13)</f>
        <v>1210.13</v>
      </c>
      <c r="F380" s="2">
        <f>IFERROR(__xludf.DUMMYFUNCTION("""COMPUTED_VALUE"""),1.9823E7)</f>
        <v>19823000</v>
      </c>
      <c r="G380" s="2">
        <f t="shared" si="1"/>
        <v>31.25</v>
      </c>
    </row>
    <row r="381" ht="15.75" customHeight="1">
      <c r="A381" s="1">
        <f>IFERROR(__xludf.DUMMYFUNCTION("""COMPUTED_VALUE"""),44404.625)</f>
        <v>44404.625</v>
      </c>
      <c r="B381" s="2">
        <f>IFERROR(__xludf.DUMMYFUNCTION("""COMPUTED_VALUE"""),1219.06)</f>
        <v>1219.06</v>
      </c>
      <c r="C381" s="2">
        <f>IFERROR(__xludf.DUMMYFUNCTION("""COMPUTED_VALUE"""),1227.99)</f>
        <v>1227.99</v>
      </c>
      <c r="D381" s="2">
        <f>IFERROR(__xludf.DUMMYFUNCTION("""COMPUTED_VALUE"""),1192.27)</f>
        <v>1192.27</v>
      </c>
      <c r="E381" s="2">
        <f>IFERROR(__xludf.DUMMYFUNCTION("""COMPUTED_VALUE"""),1196.74)</f>
        <v>1196.74</v>
      </c>
      <c r="F381" s="2">
        <f>IFERROR(__xludf.DUMMYFUNCTION("""COMPUTED_VALUE"""),2.38443E7)</f>
        <v>23844300</v>
      </c>
      <c r="G381" s="2">
        <f t="shared" si="1"/>
        <v>35.72</v>
      </c>
    </row>
    <row r="382" ht="15.75" customHeight="1">
      <c r="A382" s="1">
        <f>IFERROR(__xludf.DUMMYFUNCTION("""COMPUTED_VALUE"""),44405.625)</f>
        <v>44405.625</v>
      </c>
      <c r="B382" s="2">
        <f>IFERROR(__xludf.DUMMYFUNCTION("""COMPUTED_VALUE"""),1196.74)</f>
        <v>1196.74</v>
      </c>
      <c r="C382" s="2">
        <f>IFERROR(__xludf.DUMMYFUNCTION("""COMPUTED_VALUE"""),1205.67)</f>
        <v>1205.67</v>
      </c>
      <c r="D382" s="2">
        <f>IFERROR(__xludf.DUMMYFUNCTION("""COMPUTED_VALUE"""),1161.01)</f>
        <v>1161.01</v>
      </c>
      <c r="E382" s="2">
        <f>IFERROR(__xludf.DUMMYFUNCTION("""COMPUTED_VALUE"""),1169.94)</f>
        <v>1169.94</v>
      </c>
      <c r="F382" s="2">
        <f>IFERROR(__xludf.DUMMYFUNCTION("""COMPUTED_VALUE"""),2.34661E7)</f>
        <v>23466100</v>
      </c>
      <c r="G382" s="2">
        <f t="shared" si="1"/>
        <v>44.66</v>
      </c>
    </row>
    <row r="383" ht="15.75" customHeight="1">
      <c r="A383" s="1">
        <f>IFERROR(__xludf.DUMMYFUNCTION("""COMPUTED_VALUE"""),44406.625)</f>
        <v>44406.625</v>
      </c>
      <c r="B383" s="2">
        <f>IFERROR(__xludf.DUMMYFUNCTION("""COMPUTED_VALUE"""),1187.8)</f>
        <v>1187.8</v>
      </c>
      <c r="C383" s="2">
        <f>IFERROR(__xludf.DUMMYFUNCTION("""COMPUTED_VALUE"""),1219.06)</f>
        <v>1219.06</v>
      </c>
      <c r="D383" s="2">
        <f>IFERROR(__xludf.DUMMYFUNCTION("""COMPUTED_VALUE"""),1178.87)</f>
        <v>1178.87</v>
      </c>
      <c r="E383" s="2">
        <f>IFERROR(__xludf.DUMMYFUNCTION("""COMPUTED_VALUE"""),1205.67)</f>
        <v>1205.67</v>
      </c>
      <c r="F383" s="2">
        <f>IFERROR(__xludf.DUMMYFUNCTION("""COMPUTED_VALUE"""),4.04086E7)</f>
        <v>40408600</v>
      </c>
      <c r="G383" s="2">
        <f t="shared" si="1"/>
        <v>49.12</v>
      </c>
    </row>
    <row r="384" ht="15.75" customHeight="1">
      <c r="A384" s="1">
        <f>IFERROR(__xludf.DUMMYFUNCTION("""COMPUTED_VALUE"""),44407.625)</f>
        <v>44407.625</v>
      </c>
      <c r="B384" s="2">
        <f>IFERROR(__xludf.DUMMYFUNCTION("""COMPUTED_VALUE"""),1219.06)</f>
        <v>1219.06</v>
      </c>
      <c r="C384" s="2">
        <f>IFERROR(__xludf.DUMMYFUNCTION("""COMPUTED_VALUE"""),1219.06)</f>
        <v>1219.06</v>
      </c>
      <c r="D384" s="2">
        <f>IFERROR(__xludf.DUMMYFUNCTION("""COMPUTED_VALUE"""),1161.01)</f>
        <v>1161.01</v>
      </c>
      <c r="E384" s="2">
        <f>IFERROR(__xludf.DUMMYFUNCTION("""COMPUTED_VALUE"""),1174.41)</f>
        <v>1174.41</v>
      </c>
      <c r="F384" s="2">
        <f>IFERROR(__xludf.DUMMYFUNCTION("""COMPUTED_VALUE"""),2.59462E7)</f>
        <v>25946200</v>
      </c>
      <c r="G384" s="2">
        <f t="shared" si="1"/>
        <v>58.05</v>
      </c>
    </row>
    <row r="385" ht="15.75" customHeight="1">
      <c r="A385" s="1">
        <f>IFERROR(__xludf.DUMMYFUNCTION("""COMPUTED_VALUE"""),44410.625)</f>
        <v>44410.625</v>
      </c>
      <c r="B385" s="2">
        <f>IFERROR(__xludf.DUMMYFUNCTION("""COMPUTED_VALUE"""),1178.87)</f>
        <v>1178.87</v>
      </c>
      <c r="C385" s="2">
        <f>IFERROR(__xludf.DUMMYFUNCTION("""COMPUTED_VALUE"""),1187.8)</f>
        <v>1187.8</v>
      </c>
      <c r="D385" s="2">
        <f>IFERROR(__xludf.DUMMYFUNCTION("""COMPUTED_VALUE"""),1134.22)</f>
        <v>1134.22</v>
      </c>
      <c r="E385" s="2">
        <f>IFERROR(__xludf.DUMMYFUNCTION("""COMPUTED_VALUE"""),1147.62)</f>
        <v>1147.62</v>
      </c>
      <c r="F385" s="2">
        <f>IFERROR(__xludf.DUMMYFUNCTION("""COMPUTED_VALUE"""),3.39881E7)</f>
        <v>33988100</v>
      </c>
      <c r="G385" s="2">
        <f t="shared" si="1"/>
        <v>53.58</v>
      </c>
    </row>
    <row r="386" ht="15.75" customHeight="1">
      <c r="A386" s="1">
        <f>IFERROR(__xludf.DUMMYFUNCTION("""COMPUTED_VALUE"""),44411.625)</f>
        <v>44411.625</v>
      </c>
      <c r="B386" s="2">
        <f>IFERROR(__xludf.DUMMYFUNCTION("""COMPUTED_VALUE"""),1147.62)</f>
        <v>1147.62</v>
      </c>
      <c r="C386" s="2">
        <f>IFERROR(__xludf.DUMMYFUNCTION("""COMPUTED_VALUE"""),1183.34)</f>
        <v>1183.34</v>
      </c>
      <c r="D386" s="2">
        <f>IFERROR(__xludf.DUMMYFUNCTION("""COMPUTED_VALUE"""),1138.68)</f>
        <v>1138.68</v>
      </c>
      <c r="E386" s="2">
        <f>IFERROR(__xludf.DUMMYFUNCTION("""COMPUTED_VALUE"""),1174.41)</f>
        <v>1174.41</v>
      </c>
      <c r="F386" s="2">
        <f>IFERROR(__xludf.DUMMYFUNCTION("""COMPUTED_VALUE"""),2.75908E7)</f>
        <v>27590800</v>
      </c>
      <c r="G386" s="2">
        <f t="shared" si="1"/>
        <v>44.66</v>
      </c>
    </row>
    <row r="387" ht="15.75" customHeight="1">
      <c r="A387" s="1">
        <f>IFERROR(__xludf.DUMMYFUNCTION("""COMPUTED_VALUE"""),44412.625)</f>
        <v>44412.625</v>
      </c>
      <c r="B387" s="2">
        <f>IFERROR(__xludf.DUMMYFUNCTION("""COMPUTED_VALUE"""),1183.34)</f>
        <v>1183.34</v>
      </c>
      <c r="C387" s="2">
        <f>IFERROR(__xludf.DUMMYFUNCTION("""COMPUTED_VALUE"""),1219.06)</f>
        <v>1219.06</v>
      </c>
      <c r="D387" s="2">
        <f>IFERROR(__xludf.DUMMYFUNCTION("""COMPUTED_VALUE"""),1178.87)</f>
        <v>1178.87</v>
      </c>
      <c r="E387" s="2">
        <f>IFERROR(__xludf.DUMMYFUNCTION("""COMPUTED_VALUE"""),1196.74)</f>
        <v>1196.74</v>
      </c>
      <c r="F387" s="2">
        <f>IFERROR(__xludf.DUMMYFUNCTION("""COMPUTED_VALUE"""),3.15974E7)</f>
        <v>31597400</v>
      </c>
      <c r="G387" s="2">
        <f t="shared" si="1"/>
        <v>44.65</v>
      </c>
    </row>
    <row r="388" ht="15.75" customHeight="1">
      <c r="A388" s="1">
        <f>IFERROR(__xludf.DUMMYFUNCTION("""COMPUTED_VALUE"""),44413.625)</f>
        <v>44413.625</v>
      </c>
      <c r="B388" s="2">
        <f>IFERROR(__xludf.DUMMYFUNCTION("""COMPUTED_VALUE"""),1205.67)</f>
        <v>1205.67</v>
      </c>
      <c r="C388" s="2">
        <f>IFERROR(__xludf.DUMMYFUNCTION("""COMPUTED_VALUE"""),1277.11)</f>
        <v>1277.11</v>
      </c>
      <c r="D388" s="2">
        <f>IFERROR(__xludf.DUMMYFUNCTION("""COMPUTED_VALUE"""),1201.2)</f>
        <v>1201.2</v>
      </c>
      <c r="E388" s="2">
        <f>IFERROR(__xludf.DUMMYFUNCTION("""COMPUTED_VALUE"""),1272.65)</f>
        <v>1272.65</v>
      </c>
      <c r="F388" s="2">
        <f>IFERROR(__xludf.DUMMYFUNCTION("""COMPUTED_VALUE"""),1.253043E8)</f>
        <v>125304300</v>
      </c>
      <c r="G388" s="2">
        <f t="shared" si="1"/>
        <v>80.37</v>
      </c>
    </row>
    <row r="389" ht="15.75" customHeight="1">
      <c r="A389" s="1">
        <f>IFERROR(__xludf.DUMMYFUNCTION("""COMPUTED_VALUE"""),44414.625)</f>
        <v>44414.625</v>
      </c>
      <c r="B389" s="2">
        <f>IFERROR(__xludf.DUMMYFUNCTION("""COMPUTED_VALUE"""),1286.04)</f>
        <v>1286.04</v>
      </c>
      <c r="C389" s="2">
        <f>IFERROR(__xludf.DUMMYFUNCTION("""COMPUTED_VALUE"""),1294.97)</f>
        <v>1294.97</v>
      </c>
      <c r="D389" s="2">
        <f>IFERROR(__xludf.DUMMYFUNCTION("""COMPUTED_VALUE"""),1232.46)</f>
        <v>1232.46</v>
      </c>
      <c r="E389" s="2">
        <f>IFERROR(__xludf.DUMMYFUNCTION("""COMPUTED_VALUE"""),1241.39)</f>
        <v>1241.39</v>
      </c>
      <c r="F389" s="2">
        <f>IFERROR(__xludf.DUMMYFUNCTION("""COMPUTED_VALUE"""),4.92177E7)</f>
        <v>49217700</v>
      </c>
      <c r="G389" s="2">
        <f t="shared" si="1"/>
        <v>62.51</v>
      </c>
    </row>
    <row r="390" ht="15.75" customHeight="1">
      <c r="A390" s="1">
        <f>IFERROR(__xludf.DUMMYFUNCTION("""COMPUTED_VALUE"""),44417.625)</f>
        <v>44417.625</v>
      </c>
      <c r="B390" s="2">
        <f>IFERROR(__xludf.DUMMYFUNCTION("""COMPUTED_VALUE"""),1241.39)</f>
        <v>1241.39</v>
      </c>
      <c r="C390" s="2">
        <f>IFERROR(__xludf.DUMMYFUNCTION("""COMPUTED_VALUE"""),1250.32)</f>
        <v>1250.32</v>
      </c>
      <c r="D390" s="2">
        <f>IFERROR(__xludf.DUMMYFUNCTION("""COMPUTED_VALUE"""),1214.6)</f>
        <v>1214.6</v>
      </c>
      <c r="E390" s="2">
        <f>IFERROR(__xludf.DUMMYFUNCTION("""COMPUTED_VALUE"""),1219.06)</f>
        <v>1219.06</v>
      </c>
      <c r="F390" s="2">
        <f>IFERROR(__xludf.DUMMYFUNCTION("""COMPUTED_VALUE"""),3.14713E7)</f>
        <v>31471300</v>
      </c>
      <c r="G390" s="2">
        <f t="shared" si="1"/>
        <v>35.72</v>
      </c>
    </row>
    <row r="391" ht="15.75" customHeight="1">
      <c r="A391" s="1">
        <f>IFERROR(__xludf.DUMMYFUNCTION("""COMPUTED_VALUE"""),44418.625)</f>
        <v>44418.625</v>
      </c>
      <c r="B391" s="2">
        <f>IFERROR(__xludf.DUMMYFUNCTION("""COMPUTED_VALUE"""),1219.06)</f>
        <v>1219.06</v>
      </c>
      <c r="C391" s="2">
        <f>IFERROR(__xludf.DUMMYFUNCTION("""COMPUTED_VALUE"""),1236.92)</f>
        <v>1236.92</v>
      </c>
      <c r="D391" s="2">
        <f>IFERROR(__xludf.DUMMYFUNCTION("""COMPUTED_VALUE"""),1201.2)</f>
        <v>1201.2</v>
      </c>
      <c r="E391" s="2">
        <f>IFERROR(__xludf.DUMMYFUNCTION("""COMPUTED_VALUE"""),1227.99)</f>
        <v>1227.99</v>
      </c>
      <c r="F391" s="2">
        <f>IFERROR(__xludf.DUMMYFUNCTION("""COMPUTED_VALUE"""),2.37556E7)</f>
        <v>23755600</v>
      </c>
      <c r="G391" s="2">
        <f t="shared" si="1"/>
        <v>35.72</v>
      </c>
    </row>
    <row r="392" ht="15.75" customHeight="1">
      <c r="A392" s="1">
        <f>IFERROR(__xludf.DUMMYFUNCTION("""COMPUTED_VALUE"""),44420.625)</f>
        <v>44420.625</v>
      </c>
      <c r="B392" s="2">
        <f>IFERROR(__xludf.DUMMYFUNCTION("""COMPUTED_VALUE"""),1241.39)</f>
        <v>1241.39</v>
      </c>
      <c r="C392" s="2">
        <f>IFERROR(__xludf.DUMMYFUNCTION("""COMPUTED_VALUE"""),1241.39)</f>
        <v>1241.39</v>
      </c>
      <c r="D392" s="2">
        <f>IFERROR(__xludf.DUMMYFUNCTION("""COMPUTED_VALUE"""),1223.53)</f>
        <v>1223.53</v>
      </c>
      <c r="E392" s="2">
        <f>IFERROR(__xludf.DUMMYFUNCTION("""COMPUTED_VALUE"""),1223.53)</f>
        <v>1223.53</v>
      </c>
      <c r="F392" s="2">
        <f>IFERROR(__xludf.DUMMYFUNCTION("""COMPUTED_VALUE"""),1.65212E7)</f>
        <v>16521200</v>
      </c>
      <c r="G392" s="2">
        <f t="shared" si="1"/>
        <v>17.86</v>
      </c>
    </row>
    <row r="393" ht="15.75" customHeight="1">
      <c r="A393" s="1">
        <f>IFERROR(__xludf.DUMMYFUNCTION("""COMPUTED_VALUE"""),44421.625)</f>
        <v>44421.625</v>
      </c>
      <c r="B393" s="2">
        <f>IFERROR(__xludf.DUMMYFUNCTION("""COMPUTED_VALUE"""),1232.46)</f>
        <v>1232.46</v>
      </c>
      <c r="C393" s="2">
        <f>IFERROR(__xludf.DUMMYFUNCTION("""COMPUTED_VALUE"""),1236.92)</f>
        <v>1236.92</v>
      </c>
      <c r="D393" s="2">
        <f>IFERROR(__xludf.DUMMYFUNCTION("""COMPUTED_VALUE"""),1205.67)</f>
        <v>1205.67</v>
      </c>
      <c r="E393" s="2">
        <f>IFERROR(__xludf.DUMMYFUNCTION("""COMPUTED_VALUE"""),1223.53)</f>
        <v>1223.53</v>
      </c>
      <c r="F393" s="2">
        <f>IFERROR(__xludf.DUMMYFUNCTION("""COMPUTED_VALUE"""),1.7852E7)</f>
        <v>17852000</v>
      </c>
      <c r="G393" s="2">
        <f t="shared" si="1"/>
        <v>31.25</v>
      </c>
    </row>
    <row r="394" ht="15.75" customHeight="1">
      <c r="A394" s="1">
        <f>IFERROR(__xludf.DUMMYFUNCTION("""COMPUTED_VALUE"""),44424.625)</f>
        <v>44424.625</v>
      </c>
      <c r="B394" s="2">
        <f>IFERROR(__xludf.DUMMYFUNCTION("""COMPUTED_VALUE"""),1223.53)</f>
        <v>1223.53</v>
      </c>
      <c r="C394" s="2">
        <f>IFERROR(__xludf.DUMMYFUNCTION("""COMPUTED_VALUE"""),1236.92)</f>
        <v>1236.92</v>
      </c>
      <c r="D394" s="2">
        <f>IFERROR(__xludf.DUMMYFUNCTION("""COMPUTED_VALUE"""),1187.8)</f>
        <v>1187.8</v>
      </c>
      <c r="E394" s="2">
        <f>IFERROR(__xludf.DUMMYFUNCTION("""COMPUTED_VALUE"""),1227.99)</f>
        <v>1227.99</v>
      </c>
      <c r="F394" s="2">
        <f>IFERROR(__xludf.DUMMYFUNCTION("""COMPUTED_VALUE"""),2.70505E7)</f>
        <v>27050500</v>
      </c>
      <c r="G394" s="2">
        <f t="shared" si="1"/>
        <v>49.12</v>
      </c>
    </row>
    <row r="395" ht="15.75" customHeight="1">
      <c r="A395" s="1">
        <f>IFERROR(__xludf.DUMMYFUNCTION("""COMPUTED_VALUE"""),44426.625)</f>
        <v>44426.625</v>
      </c>
      <c r="B395" s="2">
        <f>IFERROR(__xludf.DUMMYFUNCTION("""COMPUTED_VALUE"""),1227.99)</f>
        <v>1227.99</v>
      </c>
      <c r="C395" s="2">
        <f>IFERROR(__xludf.DUMMYFUNCTION("""COMPUTED_VALUE"""),1308.37)</f>
        <v>1308.37</v>
      </c>
      <c r="D395" s="2">
        <f>IFERROR(__xludf.DUMMYFUNCTION("""COMPUTED_VALUE"""),1223.53)</f>
        <v>1223.53</v>
      </c>
      <c r="E395" s="2">
        <f>IFERROR(__xludf.DUMMYFUNCTION("""COMPUTED_VALUE"""),1272.65)</f>
        <v>1272.65</v>
      </c>
      <c r="F395" s="2">
        <f>IFERROR(__xludf.DUMMYFUNCTION("""COMPUTED_VALUE"""),1.31893E8)</f>
        <v>131893000</v>
      </c>
      <c r="G395" s="2">
        <f t="shared" si="1"/>
        <v>84.84</v>
      </c>
    </row>
    <row r="396" ht="15.75" customHeight="1">
      <c r="A396" s="1">
        <f>IFERROR(__xludf.DUMMYFUNCTION("""COMPUTED_VALUE"""),44427.625)</f>
        <v>44427.625</v>
      </c>
      <c r="B396" s="2">
        <f>IFERROR(__xludf.DUMMYFUNCTION("""COMPUTED_VALUE"""),1272.65)</f>
        <v>1272.65</v>
      </c>
      <c r="C396" s="2">
        <f>IFERROR(__xludf.DUMMYFUNCTION("""COMPUTED_VALUE"""),1277.11)</f>
        <v>1277.11</v>
      </c>
      <c r="D396" s="2">
        <f>IFERROR(__xludf.DUMMYFUNCTION("""COMPUTED_VALUE"""),1192.27)</f>
        <v>1192.27</v>
      </c>
      <c r="E396" s="2">
        <f>IFERROR(__xludf.DUMMYFUNCTION("""COMPUTED_VALUE"""),1223.53)</f>
        <v>1223.53</v>
      </c>
      <c r="F396" s="2">
        <f>IFERROR(__xludf.DUMMYFUNCTION("""COMPUTED_VALUE"""),7.11275E7)</f>
        <v>71127500</v>
      </c>
      <c r="G396" s="2">
        <f t="shared" si="1"/>
        <v>84.84</v>
      </c>
    </row>
    <row r="397" ht="15.75" customHeight="1">
      <c r="A397" s="1">
        <f>IFERROR(__xludf.DUMMYFUNCTION("""COMPUTED_VALUE"""),44428.625)</f>
        <v>44428.625</v>
      </c>
      <c r="B397" s="2">
        <f>IFERROR(__xludf.DUMMYFUNCTION("""COMPUTED_VALUE"""),1219.06)</f>
        <v>1219.06</v>
      </c>
      <c r="C397" s="2">
        <f>IFERROR(__xludf.DUMMYFUNCTION("""COMPUTED_VALUE"""),1245.85)</f>
        <v>1245.85</v>
      </c>
      <c r="D397" s="2">
        <f>IFERROR(__xludf.DUMMYFUNCTION("""COMPUTED_VALUE"""),1205.67)</f>
        <v>1205.67</v>
      </c>
      <c r="E397" s="2">
        <f>IFERROR(__xludf.DUMMYFUNCTION("""COMPUTED_VALUE"""),1245.85)</f>
        <v>1245.85</v>
      </c>
      <c r="F397" s="2">
        <f>IFERROR(__xludf.DUMMYFUNCTION("""COMPUTED_VALUE"""),2.5092E7)</f>
        <v>25092000</v>
      </c>
      <c r="G397" s="2">
        <f t="shared" si="1"/>
        <v>40.18</v>
      </c>
    </row>
    <row r="398" ht="15.75" customHeight="1">
      <c r="A398" s="1">
        <f>IFERROR(__xludf.DUMMYFUNCTION("""COMPUTED_VALUE"""),44431.66666666667)</f>
        <v>44431.66667</v>
      </c>
      <c r="B398" s="2">
        <f>IFERROR(__xludf.DUMMYFUNCTION("""COMPUTED_VALUE"""),1254.79)</f>
        <v>1254.79</v>
      </c>
      <c r="C398" s="2">
        <f>IFERROR(__xludf.DUMMYFUNCTION("""COMPUTED_VALUE"""),1277.11)</f>
        <v>1277.11</v>
      </c>
      <c r="D398" s="2">
        <f>IFERROR(__xludf.DUMMYFUNCTION("""COMPUTED_VALUE"""),1250.32)</f>
        <v>1250.32</v>
      </c>
      <c r="E398" s="2">
        <f>IFERROR(__xludf.DUMMYFUNCTION("""COMPUTED_VALUE"""),1277.11)</f>
        <v>1277.11</v>
      </c>
      <c r="F398" s="2">
        <f>IFERROR(__xludf.DUMMYFUNCTION("""COMPUTED_VALUE"""),3.63683E7)</f>
        <v>36368300</v>
      </c>
      <c r="G398" s="2">
        <f t="shared" si="1"/>
        <v>31.26</v>
      </c>
    </row>
    <row r="399" ht="15.75" customHeight="1">
      <c r="A399" s="1">
        <f>IFERROR(__xludf.DUMMYFUNCTION("""COMPUTED_VALUE"""),44432.66666666667)</f>
        <v>44432.66667</v>
      </c>
      <c r="B399" s="2">
        <f>IFERROR(__xludf.DUMMYFUNCTION("""COMPUTED_VALUE"""),1286.04)</f>
        <v>1286.04</v>
      </c>
      <c r="C399" s="2">
        <f>IFERROR(__xludf.DUMMYFUNCTION("""COMPUTED_VALUE"""),1286.04)</f>
        <v>1286.04</v>
      </c>
      <c r="D399" s="2">
        <f>IFERROR(__xludf.DUMMYFUNCTION("""COMPUTED_VALUE"""),1245.85)</f>
        <v>1245.85</v>
      </c>
      <c r="E399" s="2">
        <f>IFERROR(__xludf.DUMMYFUNCTION("""COMPUTED_VALUE"""),1254.79)</f>
        <v>1254.79</v>
      </c>
      <c r="F399" s="2">
        <f>IFERROR(__xludf.DUMMYFUNCTION("""COMPUTED_VALUE"""),2.07853E7)</f>
        <v>20785300</v>
      </c>
      <c r="G399" s="2">
        <f t="shared" si="1"/>
        <v>40.19</v>
      </c>
    </row>
    <row r="400" ht="15.75" customHeight="1">
      <c r="A400" s="1">
        <f>IFERROR(__xludf.DUMMYFUNCTION("""COMPUTED_VALUE"""),44433.625)</f>
        <v>44433.625</v>
      </c>
      <c r="B400" s="2">
        <f>IFERROR(__xludf.DUMMYFUNCTION("""COMPUTED_VALUE"""),1259.25)</f>
        <v>1259.25</v>
      </c>
      <c r="C400" s="2">
        <f>IFERROR(__xludf.DUMMYFUNCTION("""COMPUTED_VALUE"""),1263.72)</f>
        <v>1263.72</v>
      </c>
      <c r="D400" s="2">
        <f>IFERROR(__xludf.DUMMYFUNCTION("""COMPUTED_VALUE"""),1245.85)</f>
        <v>1245.85</v>
      </c>
      <c r="E400" s="2">
        <f>IFERROR(__xludf.DUMMYFUNCTION("""COMPUTED_VALUE"""),1250.32)</f>
        <v>1250.32</v>
      </c>
      <c r="F400" s="2">
        <f>IFERROR(__xludf.DUMMYFUNCTION("""COMPUTED_VALUE"""),1.25131E7)</f>
        <v>12513100</v>
      </c>
      <c r="G400" s="2">
        <f t="shared" si="1"/>
        <v>17.87</v>
      </c>
    </row>
    <row r="401" ht="15.75" customHeight="1">
      <c r="A401" s="1">
        <f>IFERROR(__xludf.DUMMYFUNCTION("""COMPUTED_VALUE"""),44434.625)</f>
        <v>44434.625</v>
      </c>
      <c r="B401" s="2">
        <f>IFERROR(__xludf.DUMMYFUNCTION("""COMPUTED_VALUE"""),1250.32)</f>
        <v>1250.32</v>
      </c>
      <c r="C401" s="2">
        <f>IFERROR(__xludf.DUMMYFUNCTION("""COMPUTED_VALUE"""),1250.32)</f>
        <v>1250.32</v>
      </c>
      <c r="D401" s="2">
        <f>IFERROR(__xludf.DUMMYFUNCTION("""COMPUTED_VALUE"""),1223.53)</f>
        <v>1223.53</v>
      </c>
      <c r="E401" s="2">
        <f>IFERROR(__xludf.DUMMYFUNCTION("""COMPUTED_VALUE"""),1241.39)</f>
        <v>1241.39</v>
      </c>
      <c r="F401" s="2">
        <f>IFERROR(__xludf.DUMMYFUNCTION("""COMPUTED_VALUE"""),2.56874E7)</f>
        <v>25687400</v>
      </c>
      <c r="G401" s="2">
        <f t="shared" si="1"/>
        <v>26.79</v>
      </c>
    </row>
    <row r="402" ht="15.75" customHeight="1">
      <c r="A402" s="1">
        <f>IFERROR(__xludf.DUMMYFUNCTION("""COMPUTED_VALUE"""),44435.625)</f>
        <v>44435.625</v>
      </c>
      <c r="B402" s="2">
        <f>IFERROR(__xludf.DUMMYFUNCTION("""COMPUTED_VALUE"""),1232.46)</f>
        <v>1232.46</v>
      </c>
      <c r="C402" s="2">
        <f>IFERROR(__xludf.DUMMYFUNCTION("""COMPUTED_VALUE"""),1259.25)</f>
        <v>1259.25</v>
      </c>
      <c r="D402" s="2">
        <f>IFERROR(__xludf.DUMMYFUNCTION("""COMPUTED_VALUE"""),1232.46)</f>
        <v>1232.46</v>
      </c>
      <c r="E402" s="2">
        <f>IFERROR(__xludf.DUMMYFUNCTION("""COMPUTED_VALUE"""),1250.32)</f>
        <v>1250.32</v>
      </c>
      <c r="F402" s="2">
        <f>IFERROR(__xludf.DUMMYFUNCTION("""COMPUTED_VALUE"""),1.84517E7)</f>
        <v>18451700</v>
      </c>
      <c r="G402" s="2">
        <f t="shared" si="1"/>
        <v>26.79</v>
      </c>
    </row>
    <row r="403" ht="15.75" customHeight="1">
      <c r="A403" s="1">
        <f>IFERROR(__xludf.DUMMYFUNCTION("""COMPUTED_VALUE"""),44438.625)</f>
        <v>44438.625</v>
      </c>
      <c r="B403" s="2">
        <f>IFERROR(__xludf.DUMMYFUNCTION("""COMPUTED_VALUE"""),1268.18)</f>
        <v>1268.18</v>
      </c>
      <c r="C403" s="2">
        <f>IFERROR(__xludf.DUMMYFUNCTION("""COMPUTED_VALUE"""),1272.65)</f>
        <v>1272.65</v>
      </c>
      <c r="D403" s="2">
        <f>IFERROR(__xludf.DUMMYFUNCTION("""COMPUTED_VALUE"""),1250.32)</f>
        <v>1250.32</v>
      </c>
      <c r="E403" s="2">
        <f>IFERROR(__xludf.DUMMYFUNCTION("""COMPUTED_VALUE"""),1268.18)</f>
        <v>1268.18</v>
      </c>
      <c r="F403" s="2">
        <f>IFERROR(__xludf.DUMMYFUNCTION("""COMPUTED_VALUE"""),3.39675E7)</f>
        <v>33967500</v>
      </c>
      <c r="G403" s="2">
        <f t="shared" si="1"/>
        <v>22.33</v>
      </c>
    </row>
    <row r="404" ht="15.75" customHeight="1">
      <c r="A404" s="1">
        <f>IFERROR(__xludf.DUMMYFUNCTION("""COMPUTED_VALUE"""),44439.625)</f>
        <v>44439.625</v>
      </c>
      <c r="B404" s="2">
        <f>IFERROR(__xludf.DUMMYFUNCTION("""COMPUTED_VALUE"""),1268.18)</f>
        <v>1268.18</v>
      </c>
      <c r="C404" s="2">
        <f>IFERROR(__xludf.DUMMYFUNCTION("""COMPUTED_VALUE"""),1272.65)</f>
        <v>1272.65</v>
      </c>
      <c r="D404" s="2">
        <f>IFERROR(__xludf.DUMMYFUNCTION("""COMPUTED_VALUE"""),1241.39)</f>
        <v>1241.39</v>
      </c>
      <c r="E404" s="2">
        <f>IFERROR(__xludf.DUMMYFUNCTION("""COMPUTED_VALUE"""),1254.79)</f>
        <v>1254.79</v>
      </c>
      <c r="F404" s="2">
        <f>IFERROR(__xludf.DUMMYFUNCTION("""COMPUTED_VALUE"""),2.88123E7)</f>
        <v>28812300</v>
      </c>
      <c r="G404" s="2">
        <f t="shared" si="1"/>
        <v>31.26</v>
      </c>
    </row>
    <row r="405" ht="15.75" customHeight="1">
      <c r="A405" s="1">
        <f>IFERROR(__xludf.DUMMYFUNCTION("""COMPUTED_VALUE"""),44440.625)</f>
        <v>44440.625</v>
      </c>
      <c r="B405" s="2">
        <f>IFERROR(__xludf.DUMMYFUNCTION("""COMPUTED_VALUE"""),1268.18)</f>
        <v>1268.18</v>
      </c>
      <c r="C405" s="2">
        <f>IFERROR(__xludf.DUMMYFUNCTION("""COMPUTED_VALUE"""),1268.18)</f>
        <v>1268.18</v>
      </c>
      <c r="D405" s="2">
        <f>IFERROR(__xludf.DUMMYFUNCTION("""COMPUTED_VALUE"""),1245.85)</f>
        <v>1245.85</v>
      </c>
      <c r="E405" s="2">
        <f>IFERROR(__xludf.DUMMYFUNCTION("""COMPUTED_VALUE"""),1254.79)</f>
        <v>1254.79</v>
      </c>
      <c r="F405" s="2">
        <f>IFERROR(__xludf.DUMMYFUNCTION("""COMPUTED_VALUE"""),1.43497E7)</f>
        <v>14349700</v>
      </c>
      <c r="G405" s="2">
        <f t="shared" si="1"/>
        <v>22.33</v>
      </c>
    </row>
    <row r="406" ht="15.75" customHeight="1">
      <c r="A406" s="1">
        <f>IFERROR(__xludf.DUMMYFUNCTION("""COMPUTED_VALUE"""),44441.625)</f>
        <v>44441.625</v>
      </c>
      <c r="B406" s="2">
        <f>IFERROR(__xludf.DUMMYFUNCTION("""COMPUTED_VALUE"""),1254.79)</f>
        <v>1254.79</v>
      </c>
      <c r="C406" s="2">
        <f>IFERROR(__xludf.DUMMYFUNCTION("""COMPUTED_VALUE"""),1286.04)</f>
        <v>1286.04</v>
      </c>
      <c r="D406" s="2">
        <f>IFERROR(__xludf.DUMMYFUNCTION("""COMPUTED_VALUE"""),1250.32)</f>
        <v>1250.32</v>
      </c>
      <c r="E406" s="2">
        <f>IFERROR(__xludf.DUMMYFUNCTION("""COMPUTED_VALUE"""),1272.65)</f>
        <v>1272.65</v>
      </c>
      <c r="F406" s="2">
        <f>IFERROR(__xludf.DUMMYFUNCTION("""COMPUTED_VALUE"""),2.75816E7)</f>
        <v>27581600</v>
      </c>
      <c r="G406" s="2">
        <f t="shared" si="1"/>
        <v>35.72</v>
      </c>
    </row>
    <row r="407" ht="15.75" customHeight="1">
      <c r="A407" s="1">
        <f>IFERROR(__xludf.DUMMYFUNCTION("""COMPUTED_VALUE"""),44442.625)</f>
        <v>44442.625</v>
      </c>
      <c r="B407" s="2">
        <f>IFERROR(__xludf.DUMMYFUNCTION("""COMPUTED_VALUE"""),1281.58)</f>
        <v>1281.58</v>
      </c>
      <c r="C407" s="2">
        <f>IFERROR(__xludf.DUMMYFUNCTION("""COMPUTED_VALUE"""),1286.04)</f>
        <v>1286.04</v>
      </c>
      <c r="D407" s="2">
        <f>IFERROR(__xludf.DUMMYFUNCTION("""COMPUTED_VALUE"""),1259.25)</f>
        <v>1259.25</v>
      </c>
      <c r="E407" s="2">
        <f>IFERROR(__xludf.DUMMYFUNCTION("""COMPUTED_VALUE"""),1281.58)</f>
        <v>1281.58</v>
      </c>
      <c r="F407" s="2">
        <f>IFERROR(__xludf.DUMMYFUNCTION("""COMPUTED_VALUE"""),2.01777E7)</f>
        <v>20177700</v>
      </c>
      <c r="G407" s="2">
        <f t="shared" si="1"/>
        <v>26.79</v>
      </c>
    </row>
    <row r="408" ht="15.75" customHeight="1">
      <c r="A408" s="1">
        <f>IFERROR(__xludf.DUMMYFUNCTION("""COMPUTED_VALUE"""),44445.625)</f>
        <v>44445.625</v>
      </c>
      <c r="B408" s="2">
        <f>IFERROR(__xludf.DUMMYFUNCTION("""COMPUTED_VALUE"""),1286.04)</f>
        <v>1286.04</v>
      </c>
      <c r="C408" s="2">
        <f>IFERROR(__xludf.DUMMYFUNCTION("""COMPUTED_VALUE"""),1317.3)</f>
        <v>1317.3</v>
      </c>
      <c r="D408" s="2">
        <f>IFERROR(__xludf.DUMMYFUNCTION("""COMPUTED_VALUE"""),1281.58)</f>
        <v>1281.58</v>
      </c>
      <c r="E408" s="2">
        <f>IFERROR(__xludf.DUMMYFUNCTION("""COMPUTED_VALUE"""),1303.91)</f>
        <v>1303.91</v>
      </c>
      <c r="F408" s="2">
        <f>IFERROR(__xludf.DUMMYFUNCTION("""COMPUTED_VALUE"""),5.36514E7)</f>
        <v>53651400</v>
      </c>
      <c r="G408" s="2">
        <f t="shared" si="1"/>
        <v>35.72</v>
      </c>
    </row>
    <row r="409" ht="15.75" customHeight="1">
      <c r="A409" s="1">
        <f>IFERROR(__xludf.DUMMYFUNCTION("""COMPUTED_VALUE"""),44446.625)</f>
        <v>44446.625</v>
      </c>
      <c r="B409" s="2">
        <f>IFERROR(__xludf.DUMMYFUNCTION("""COMPUTED_VALUE"""),1308.37)</f>
        <v>1308.37</v>
      </c>
      <c r="C409" s="2">
        <f>IFERROR(__xludf.DUMMYFUNCTION("""COMPUTED_VALUE"""),1312.84)</f>
        <v>1312.84</v>
      </c>
      <c r="D409" s="2">
        <f>IFERROR(__xludf.DUMMYFUNCTION("""COMPUTED_VALUE"""),1277.11)</f>
        <v>1277.11</v>
      </c>
      <c r="E409" s="2">
        <f>IFERROR(__xludf.DUMMYFUNCTION("""COMPUTED_VALUE"""),1286.04)</f>
        <v>1286.04</v>
      </c>
      <c r="F409" s="2">
        <f>IFERROR(__xludf.DUMMYFUNCTION("""COMPUTED_VALUE"""),2.38266E7)</f>
        <v>23826600</v>
      </c>
      <c r="G409" s="2">
        <f t="shared" si="1"/>
        <v>35.73</v>
      </c>
    </row>
    <row r="410" ht="15.75" customHeight="1">
      <c r="A410" s="1">
        <f>IFERROR(__xludf.DUMMYFUNCTION("""COMPUTED_VALUE"""),44447.625)</f>
        <v>44447.625</v>
      </c>
      <c r="B410" s="2">
        <f>IFERROR(__xludf.DUMMYFUNCTION("""COMPUTED_VALUE"""),1286.04)</f>
        <v>1286.04</v>
      </c>
      <c r="C410" s="2">
        <f>IFERROR(__xludf.DUMMYFUNCTION("""COMPUTED_VALUE"""),1290.51)</f>
        <v>1290.51</v>
      </c>
      <c r="D410" s="2">
        <f>IFERROR(__xludf.DUMMYFUNCTION("""COMPUTED_VALUE"""),1250.32)</f>
        <v>1250.32</v>
      </c>
      <c r="E410" s="2">
        <f>IFERROR(__xludf.DUMMYFUNCTION("""COMPUTED_VALUE"""),1259.25)</f>
        <v>1259.25</v>
      </c>
      <c r="F410" s="2">
        <f>IFERROR(__xludf.DUMMYFUNCTION("""COMPUTED_VALUE"""),3.05377E7)</f>
        <v>30537700</v>
      </c>
      <c r="G410" s="2">
        <f t="shared" si="1"/>
        <v>40.19</v>
      </c>
    </row>
    <row r="411" ht="15.75" customHeight="1">
      <c r="A411" s="1">
        <f>IFERROR(__xludf.DUMMYFUNCTION("""COMPUTED_VALUE"""),44448.625)</f>
        <v>44448.625</v>
      </c>
      <c r="B411" s="2">
        <f>IFERROR(__xludf.DUMMYFUNCTION("""COMPUTED_VALUE"""),1259.25)</f>
        <v>1259.25</v>
      </c>
      <c r="C411" s="2">
        <f>IFERROR(__xludf.DUMMYFUNCTION("""COMPUTED_VALUE"""),1268.18)</f>
        <v>1268.18</v>
      </c>
      <c r="D411" s="2">
        <f>IFERROR(__xludf.DUMMYFUNCTION("""COMPUTED_VALUE"""),1227.99)</f>
        <v>1227.99</v>
      </c>
      <c r="E411" s="2">
        <f>IFERROR(__xludf.DUMMYFUNCTION("""COMPUTED_VALUE"""),1263.72)</f>
        <v>1263.72</v>
      </c>
      <c r="F411" s="2">
        <f>IFERROR(__xludf.DUMMYFUNCTION("""COMPUTED_VALUE"""),2.91636E7)</f>
        <v>29163600</v>
      </c>
      <c r="G411" s="2">
        <f t="shared" si="1"/>
        <v>40.19</v>
      </c>
    </row>
    <row r="412" ht="15.75" customHeight="1">
      <c r="A412" s="1">
        <f>IFERROR(__xludf.DUMMYFUNCTION("""COMPUTED_VALUE"""),44449.625)</f>
        <v>44449.625</v>
      </c>
      <c r="B412" s="2">
        <f>IFERROR(__xludf.DUMMYFUNCTION("""COMPUTED_VALUE"""),1272.65)</f>
        <v>1272.65</v>
      </c>
      <c r="C412" s="2">
        <f>IFERROR(__xludf.DUMMYFUNCTION("""COMPUTED_VALUE"""),1290.51)</f>
        <v>1290.51</v>
      </c>
      <c r="D412" s="2">
        <f>IFERROR(__xludf.DUMMYFUNCTION("""COMPUTED_VALUE"""),1259.25)</f>
        <v>1259.25</v>
      </c>
      <c r="E412" s="2">
        <f>IFERROR(__xludf.DUMMYFUNCTION("""COMPUTED_VALUE"""),1281.58)</f>
        <v>1281.58</v>
      </c>
      <c r="F412" s="2">
        <f>IFERROR(__xludf.DUMMYFUNCTION("""COMPUTED_VALUE"""),3.3638E7)</f>
        <v>33638000</v>
      </c>
      <c r="G412" s="2">
        <f t="shared" si="1"/>
        <v>31.26</v>
      </c>
    </row>
    <row r="413" ht="15.75" customHeight="1">
      <c r="A413" s="1">
        <f>IFERROR(__xludf.DUMMYFUNCTION("""COMPUTED_VALUE"""),44452.625)</f>
        <v>44452.625</v>
      </c>
      <c r="B413" s="2">
        <f>IFERROR(__xludf.DUMMYFUNCTION("""COMPUTED_VALUE"""),1281.58)</f>
        <v>1281.58</v>
      </c>
      <c r="C413" s="2">
        <f>IFERROR(__xludf.DUMMYFUNCTION("""COMPUTED_VALUE"""),1290.51)</f>
        <v>1290.51</v>
      </c>
      <c r="D413" s="2">
        <f>IFERROR(__xludf.DUMMYFUNCTION("""COMPUTED_VALUE"""),1263.72)</f>
        <v>1263.72</v>
      </c>
      <c r="E413" s="2">
        <f>IFERROR(__xludf.DUMMYFUNCTION("""COMPUTED_VALUE"""),1286.04)</f>
        <v>1286.04</v>
      </c>
      <c r="F413" s="2">
        <f>IFERROR(__xludf.DUMMYFUNCTION("""COMPUTED_VALUE"""),1.10284E7)</f>
        <v>11028400</v>
      </c>
      <c r="G413" s="2">
        <f t="shared" si="1"/>
        <v>26.79</v>
      </c>
    </row>
    <row r="414" ht="15.75" customHeight="1">
      <c r="A414" s="1">
        <f>IFERROR(__xludf.DUMMYFUNCTION("""COMPUTED_VALUE"""),44453.625)</f>
        <v>44453.625</v>
      </c>
      <c r="B414" s="2">
        <f>IFERROR(__xludf.DUMMYFUNCTION("""COMPUTED_VALUE"""),1294.97)</f>
        <v>1294.97</v>
      </c>
      <c r="C414" s="2">
        <f>IFERROR(__xludf.DUMMYFUNCTION("""COMPUTED_VALUE"""),1294.97)</f>
        <v>1294.97</v>
      </c>
      <c r="D414" s="2">
        <f>IFERROR(__xludf.DUMMYFUNCTION("""COMPUTED_VALUE"""),1254.79)</f>
        <v>1254.79</v>
      </c>
      <c r="E414" s="2">
        <f>IFERROR(__xludf.DUMMYFUNCTION("""COMPUTED_VALUE"""),1263.72)</f>
        <v>1263.72</v>
      </c>
      <c r="F414" s="2">
        <f>IFERROR(__xludf.DUMMYFUNCTION("""COMPUTED_VALUE"""),2.06253E7)</f>
        <v>20625300</v>
      </c>
      <c r="G414" s="2">
        <f t="shared" si="1"/>
        <v>40.18</v>
      </c>
    </row>
    <row r="415" ht="15.75" customHeight="1">
      <c r="A415" s="1">
        <f>IFERROR(__xludf.DUMMYFUNCTION("""COMPUTED_VALUE"""),44454.625)</f>
        <v>44454.625</v>
      </c>
      <c r="B415" s="2">
        <f>IFERROR(__xludf.DUMMYFUNCTION("""COMPUTED_VALUE"""),1259.25)</f>
        <v>1259.25</v>
      </c>
      <c r="C415" s="2">
        <f>IFERROR(__xludf.DUMMYFUNCTION("""COMPUTED_VALUE"""),1263.72)</f>
        <v>1263.72</v>
      </c>
      <c r="D415" s="2">
        <f>IFERROR(__xludf.DUMMYFUNCTION("""COMPUTED_VALUE"""),1241.39)</f>
        <v>1241.39</v>
      </c>
      <c r="E415" s="2">
        <f>IFERROR(__xludf.DUMMYFUNCTION("""COMPUTED_VALUE"""),1245.85)</f>
        <v>1245.85</v>
      </c>
      <c r="F415" s="2">
        <f>IFERROR(__xludf.DUMMYFUNCTION("""COMPUTED_VALUE"""),2.89776E7)</f>
        <v>28977600</v>
      </c>
      <c r="G415" s="2">
        <f t="shared" si="1"/>
        <v>22.33</v>
      </c>
    </row>
    <row r="416" ht="15.75" customHeight="1">
      <c r="A416" s="1">
        <f>IFERROR(__xludf.DUMMYFUNCTION("""COMPUTED_VALUE"""),44455.625)</f>
        <v>44455.625</v>
      </c>
      <c r="B416" s="2">
        <f>IFERROR(__xludf.DUMMYFUNCTION("""COMPUTED_VALUE"""),1245.85)</f>
        <v>1245.85</v>
      </c>
      <c r="C416" s="2">
        <f>IFERROR(__xludf.DUMMYFUNCTION("""COMPUTED_VALUE"""),1259.25)</f>
        <v>1259.25</v>
      </c>
      <c r="D416" s="2">
        <f>IFERROR(__xludf.DUMMYFUNCTION("""COMPUTED_VALUE"""),1241.39)</f>
        <v>1241.39</v>
      </c>
      <c r="E416" s="2">
        <f>IFERROR(__xludf.DUMMYFUNCTION("""COMPUTED_VALUE"""),1245.85)</f>
        <v>1245.85</v>
      </c>
      <c r="F416" s="2">
        <f>IFERROR(__xludf.DUMMYFUNCTION("""COMPUTED_VALUE"""),1.1858E7)</f>
        <v>11858000</v>
      </c>
      <c r="G416" s="2">
        <f t="shared" si="1"/>
        <v>17.86</v>
      </c>
    </row>
    <row r="417" ht="15.75" customHeight="1">
      <c r="A417" s="1">
        <f>IFERROR(__xludf.DUMMYFUNCTION("""COMPUTED_VALUE"""),44456.625)</f>
        <v>44456.625</v>
      </c>
      <c r="B417" s="2">
        <f>IFERROR(__xludf.DUMMYFUNCTION("""COMPUTED_VALUE"""),1245.85)</f>
        <v>1245.85</v>
      </c>
      <c r="C417" s="2">
        <f>IFERROR(__xludf.DUMMYFUNCTION("""COMPUTED_VALUE"""),1254.79)</f>
        <v>1254.79</v>
      </c>
      <c r="D417" s="2">
        <f>IFERROR(__xludf.DUMMYFUNCTION("""COMPUTED_VALUE"""),1236.92)</f>
        <v>1236.92</v>
      </c>
      <c r="E417" s="2">
        <f>IFERROR(__xludf.DUMMYFUNCTION("""COMPUTED_VALUE"""),1245.85)</f>
        <v>1245.85</v>
      </c>
      <c r="F417" s="2">
        <f>IFERROR(__xludf.DUMMYFUNCTION("""COMPUTED_VALUE"""),2.18788E7)</f>
        <v>21878800</v>
      </c>
      <c r="G417" s="2">
        <f t="shared" si="1"/>
        <v>17.87</v>
      </c>
    </row>
    <row r="418" ht="15.75" customHeight="1">
      <c r="A418" s="1">
        <f>IFERROR(__xludf.DUMMYFUNCTION("""COMPUTED_VALUE"""),44459.625)</f>
        <v>44459.625</v>
      </c>
      <c r="B418" s="2">
        <f>IFERROR(__xludf.DUMMYFUNCTION("""COMPUTED_VALUE"""),1241.39)</f>
        <v>1241.39</v>
      </c>
      <c r="C418" s="2">
        <f>IFERROR(__xludf.DUMMYFUNCTION("""COMPUTED_VALUE"""),1245.85)</f>
        <v>1245.85</v>
      </c>
      <c r="D418" s="2">
        <f>IFERROR(__xludf.DUMMYFUNCTION("""COMPUTED_VALUE"""),1210.13)</f>
        <v>1210.13</v>
      </c>
      <c r="E418" s="2">
        <f>IFERROR(__xludf.DUMMYFUNCTION("""COMPUTED_VALUE"""),1210.13)</f>
        <v>1210.13</v>
      </c>
      <c r="F418" s="2">
        <f>IFERROR(__xludf.DUMMYFUNCTION("""COMPUTED_VALUE"""),1.83021E7)</f>
        <v>18302100</v>
      </c>
      <c r="G418" s="2">
        <f t="shared" si="1"/>
        <v>35.72</v>
      </c>
    </row>
    <row r="419" ht="15.75" customHeight="1">
      <c r="A419" s="1">
        <f>IFERROR(__xludf.DUMMYFUNCTION("""COMPUTED_VALUE"""),44460.625)</f>
        <v>44460.625</v>
      </c>
      <c r="B419" s="2">
        <f>IFERROR(__xludf.DUMMYFUNCTION("""COMPUTED_VALUE"""),1205.67)</f>
        <v>1205.67</v>
      </c>
      <c r="C419" s="2">
        <f>IFERROR(__xludf.DUMMYFUNCTION("""COMPUTED_VALUE"""),1205.67)</f>
        <v>1205.67</v>
      </c>
      <c r="D419" s="2">
        <f>IFERROR(__xludf.DUMMYFUNCTION("""COMPUTED_VALUE"""),1178.87)</f>
        <v>1178.87</v>
      </c>
      <c r="E419" s="2">
        <f>IFERROR(__xludf.DUMMYFUNCTION("""COMPUTED_VALUE"""),1201.2)</f>
        <v>1201.2</v>
      </c>
      <c r="F419" s="2">
        <f>IFERROR(__xludf.DUMMYFUNCTION("""COMPUTED_VALUE"""),2.93125E7)</f>
        <v>29312500</v>
      </c>
      <c r="G419" s="2">
        <f t="shared" si="1"/>
        <v>31.26</v>
      </c>
    </row>
    <row r="420" ht="15.75" customHeight="1">
      <c r="A420" s="1">
        <f>IFERROR(__xludf.DUMMYFUNCTION("""COMPUTED_VALUE"""),44461.625)</f>
        <v>44461.625</v>
      </c>
      <c r="B420" s="2">
        <f>IFERROR(__xludf.DUMMYFUNCTION("""COMPUTED_VALUE"""),1201.2)</f>
        <v>1201.2</v>
      </c>
      <c r="C420" s="2">
        <f>IFERROR(__xludf.DUMMYFUNCTION("""COMPUTED_VALUE"""),1223.53)</f>
        <v>1223.53</v>
      </c>
      <c r="D420" s="2">
        <f>IFERROR(__xludf.DUMMYFUNCTION("""COMPUTED_VALUE"""),1201.2)</f>
        <v>1201.2</v>
      </c>
      <c r="E420" s="2">
        <f>IFERROR(__xludf.DUMMYFUNCTION("""COMPUTED_VALUE"""),1214.6)</f>
        <v>1214.6</v>
      </c>
      <c r="F420" s="2">
        <f>IFERROR(__xludf.DUMMYFUNCTION("""COMPUTED_VALUE"""),1.77778E7)</f>
        <v>17777800</v>
      </c>
      <c r="G420" s="2">
        <f t="shared" si="1"/>
        <v>22.33</v>
      </c>
    </row>
    <row r="421" ht="15.75" customHeight="1">
      <c r="A421" s="1">
        <f>IFERROR(__xludf.DUMMYFUNCTION("""COMPUTED_VALUE"""),44462.625)</f>
        <v>44462.625</v>
      </c>
      <c r="B421" s="2">
        <f>IFERROR(__xludf.DUMMYFUNCTION("""COMPUTED_VALUE"""),1236.92)</f>
        <v>1236.92</v>
      </c>
      <c r="C421" s="2">
        <f>IFERROR(__xludf.DUMMYFUNCTION("""COMPUTED_VALUE"""),1236.92)</f>
        <v>1236.92</v>
      </c>
      <c r="D421" s="2">
        <f>IFERROR(__xludf.DUMMYFUNCTION("""COMPUTED_VALUE"""),1214.6)</f>
        <v>1214.6</v>
      </c>
      <c r="E421" s="2">
        <f>IFERROR(__xludf.DUMMYFUNCTION("""COMPUTED_VALUE"""),1227.99)</f>
        <v>1227.99</v>
      </c>
      <c r="F421" s="2">
        <f>IFERROR(__xludf.DUMMYFUNCTION("""COMPUTED_VALUE"""),1.91164E7)</f>
        <v>19116400</v>
      </c>
      <c r="G421" s="2">
        <f t="shared" si="1"/>
        <v>22.32</v>
      </c>
    </row>
    <row r="422" ht="15.75" customHeight="1">
      <c r="A422" s="1">
        <f>IFERROR(__xludf.DUMMYFUNCTION("""COMPUTED_VALUE"""),44463.625)</f>
        <v>44463.625</v>
      </c>
      <c r="B422" s="2">
        <f>IFERROR(__xludf.DUMMYFUNCTION("""COMPUTED_VALUE"""),1232.46)</f>
        <v>1232.46</v>
      </c>
      <c r="C422" s="2">
        <f>IFERROR(__xludf.DUMMYFUNCTION("""COMPUTED_VALUE"""),1241.39)</f>
        <v>1241.39</v>
      </c>
      <c r="D422" s="2">
        <f>IFERROR(__xludf.DUMMYFUNCTION("""COMPUTED_VALUE"""),1214.6)</f>
        <v>1214.6</v>
      </c>
      <c r="E422" s="2">
        <f>IFERROR(__xludf.DUMMYFUNCTION("""COMPUTED_VALUE"""),1219.06)</f>
        <v>1219.06</v>
      </c>
      <c r="F422" s="2">
        <f>IFERROR(__xludf.DUMMYFUNCTION("""COMPUTED_VALUE"""),1.56562E7)</f>
        <v>15656200</v>
      </c>
      <c r="G422" s="2">
        <f t="shared" si="1"/>
        <v>26.79</v>
      </c>
    </row>
    <row r="423" ht="15.75" customHeight="1">
      <c r="A423" s="1">
        <f>IFERROR(__xludf.DUMMYFUNCTION("""COMPUTED_VALUE"""),44466.625)</f>
        <v>44466.625</v>
      </c>
      <c r="B423" s="2">
        <f>IFERROR(__xludf.DUMMYFUNCTION("""COMPUTED_VALUE"""),1227.99)</f>
        <v>1227.99</v>
      </c>
      <c r="C423" s="2">
        <f>IFERROR(__xludf.DUMMYFUNCTION("""COMPUTED_VALUE"""),1232.46)</f>
        <v>1232.46</v>
      </c>
      <c r="D423" s="2">
        <f>IFERROR(__xludf.DUMMYFUNCTION("""COMPUTED_VALUE"""),1210.13)</f>
        <v>1210.13</v>
      </c>
      <c r="E423" s="2">
        <f>IFERROR(__xludf.DUMMYFUNCTION("""COMPUTED_VALUE"""),1214.6)</f>
        <v>1214.6</v>
      </c>
      <c r="F423" s="2">
        <f>IFERROR(__xludf.DUMMYFUNCTION("""COMPUTED_VALUE"""),8936500.0)</f>
        <v>8936500</v>
      </c>
      <c r="G423" s="2">
        <f t="shared" si="1"/>
        <v>22.33</v>
      </c>
    </row>
    <row r="424" ht="15.75" customHeight="1">
      <c r="A424" s="1">
        <f>IFERROR(__xludf.DUMMYFUNCTION("""COMPUTED_VALUE"""),44467.625)</f>
        <v>44467.625</v>
      </c>
      <c r="B424" s="2">
        <f>IFERROR(__xludf.DUMMYFUNCTION("""COMPUTED_VALUE"""),1214.6)</f>
        <v>1214.6</v>
      </c>
      <c r="C424" s="2">
        <f>IFERROR(__xludf.DUMMYFUNCTION("""COMPUTED_VALUE"""),1219.06)</f>
        <v>1219.06</v>
      </c>
      <c r="D424" s="2">
        <f>IFERROR(__xludf.DUMMYFUNCTION("""COMPUTED_VALUE"""),1201.2)</f>
        <v>1201.2</v>
      </c>
      <c r="E424" s="2">
        <f>IFERROR(__xludf.DUMMYFUNCTION("""COMPUTED_VALUE"""),1205.67)</f>
        <v>1205.67</v>
      </c>
      <c r="F424" s="2">
        <f>IFERROR(__xludf.DUMMYFUNCTION("""COMPUTED_VALUE"""),1.27283E7)</f>
        <v>12728300</v>
      </c>
      <c r="G424" s="2">
        <f t="shared" si="1"/>
        <v>17.86</v>
      </c>
    </row>
    <row r="425" ht="15.75" customHeight="1">
      <c r="A425" s="1">
        <f>IFERROR(__xludf.DUMMYFUNCTION("""COMPUTED_VALUE"""),44468.625)</f>
        <v>44468.625</v>
      </c>
      <c r="B425" s="2">
        <f>IFERROR(__xludf.DUMMYFUNCTION("""COMPUTED_VALUE"""),1201.2)</f>
        <v>1201.2</v>
      </c>
      <c r="C425" s="2">
        <f>IFERROR(__xludf.DUMMYFUNCTION("""COMPUTED_VALUE"""),1250.32)</f>
        <v>1250.32</v>
      </c>
      <c r="D425" s="2">
        <f>IFERROR(__xludf.DUMMYFUNCTION("""COMPUTED_VALUE"""),1192.27)</f>
        <v>1192.27</v>
      </c>
      <c r="E425" s="2">
        <f>IFERROR(__xludf.DUMMYFUNCTION("""COMPUTED_VALUE"""),1245.85)</f>
        <v>1245.85</v>
      </c>
      <c r="F425" s="2">
        <f>IFERROR(__xludf.DUMMYFUNCTION("""COMPUTED_VALUE"""),2.44385E7)</f>
        <v>24438500</v>
      </c>
      <c r="G425" s="2">
        <f t="shared" si="1"/>
        <v>58.05</v>
      </c>
    </row>
    <row r="426" ht="15.75" customHeight="1">
      <c r="A426" s="1">
        <f>IFERROR(__xludf.DUMMYFUNCTION("""COMPUTED_VALUE"""),44469.625)</f>
        <v>44469.625</v>
      </c>
      <c r="B426" s="2">
        <f>IFERROR(__xludf.DUMMYFUNCTION("""COMPUTED_VALUE"""),1250.32)</f>
        <v>1250.32</v>
      </c>
      <c r="C426" s="2">
        <f>IFERROR(__xludf.DUMMYFUNCTION("""COMPUTED_VALUE"""),1277.11)</f>
        <v>1277.11</v>
      </c>
      <c r="D426" s="2">
        <f>IFERROR(__xludf.DUMMYFUNCTION("""COMPUTED_VALUE"""),1241.39)</f>
        <v>1241.39</v>
      </c>
      <c r="E426" s="2">
        <f>IFERROR(__xludf.DUMMYFUNCTION("""COMPUTED_VALUE"""),1268.18)</f>
        <v>1268.18</v>
      </c>
      <c r="F426" s="2">
        <f>IFERROR(__xludf.DUMMYFUNCTION("""COMPUTED_VALUE"""),4.77599E7)</f>
        <v>47759900</v>
      </c>
      <c r="G426" s="2">
        <f t="shared" si="1"/>
        <v>35.72</v>
      </c>
    </row>
    <row r="427" ht="15.75" customHeight="1">
      <c r="A427" s="1">
        <f>IFERROR(__xludf.DUMMYFUNCTION("""COMPUTED_VALUE"""),44470.625)</f>
        <v>44470.625</v>
      </c>
      <c r="B427" s="2">
        <f>IFERROR(__xludf.DUMMYFUNCTION("""COMPUTED_VALUE"""),1254.79)</f>
        <v>1254.79</v>
      </c>
      <c r="C427" s="2">
        <f>IFERROR(__xludf.DUMMYFUNCTION("""COMPUTED_VALUE"""),1348.56)</f>
        <v>1348.56</v>
      </c>
      <c r="D427" s="2">
        <f>IFERROR(__xludf.DUMMYFUNCTION("""COMPUTED_VALUE"""),1250.32)</f>
        <v>1250.32</v>
      </c>
      <c r="E427" s="2">
        <f>IFERROR(__xludf.DUMMYFUNCTION("""COMPUTED_VALUE"""),1326.23)</f>
        <v>1326.23</v>
      </c>
      <c r="F427" s="2">
        <f>IFERROR(__xludf.DUMMYFUNCTION("""COMPUTED_VALUE"""),1.079439E8)</f>
        <v>107943900</v>
      </c>
      <c r="G427" s="2">
        <f t="shared" si="1"/>
        <v>98.24</v>
      </c>
    </row>
    <row r="428" ht="15.75" customHeight="1">
      <c r="A428" s="1">
        <f>IFERROR(__xludf.DUMMYFUNCTION("""COMPUTED_VALUE"""),44473.625)</f>
        <v>44473.625</v>
      </c>
      <c r="B428" s="2">
        <f>IFERROR(__xludf.DUMMYFUNCTION("""COMPUTED_VALUE"""),1335.16)</f>
        <v>1335.16</v>
      </c>
      <c r="C428" s="2">
        <f>IFERROR(__xludf.DUMMYFUNCTION("""COMPUTED_VALUE"""),1402.14)</f>
        <v>1402.14</v>
      </c>
      <c r="D428" s="2">
        <f>IFERROR(__xludf.DUMMYFUNCTION("""COMPUTED_VALUE"""),1326.23)</f>
        <v>1326.23</v>
      </c>
      <c r="E428" s="2">
        <f>IFERROR(__xludf.DUMMYFUNCTION("""COMPUTED_VALUE"""),1366.42)</f>
        <v>1366.42</v>
      </c>
      <c r="F428" s="2">
        <f>IFERROR(__xludf.DUMMYFUNCTION("""COMPUTED_VALUE"""),8.41793E7)</f>
        <v>84179300</v>
      </c>
      <c r="G428" s="2">
        <f t="shared" si="1"/>
        <v>75.91</v>
      </c>
    </row>
    <row r="429" ht="15.75" customHeight="1">
      <c r="A429" s="1">
        <f>IFERROR(__xludf.DUMMYFUNCTION("""COMPUTED_VALUE"""),44474.625)</f>
        <v>44474.625</v>
      </c>
      <c r="B429" s="2">
        <f>IFERROR(__xludf.DUMMYFUNCTION("""COMPUTED_VALUE"""),1361.96)</f>
        <v>1361.96</v>
      </c>
      <c r="C429" s="2">
        <f>IFERROR(__xludf.DUMMYFUNCTION("""COMPUTED_VALUE"""),1375.35)</f>
        <v>1375.35</v>
      </c>
      <c r="D429" s="2">
        <f>IFERROR(__xludf.DUMMYFUNCTION("""COMPUTED_VALUE"""),1348.56)</f>
        <v>1348.56</v>
      </c>
      <c r="E429" s="2">
        <f>IFERROR(__xludf.DUMMYFUNCTION("""COMPUTED_VALUE"""),1361.96)</f>
        <v>1361.96</v>
      </c>
      <c r="F429" s="2">
        <f>IFERROR(__xludf.DUMMYFUNCTION("""COMPUTED_VALUE"""),4.41176E7)</f>
        <v>44117600</v>
      </c>
      <c r="G429" s="2">
        <f t="shared" si="1"/>
        <v>26.79</v>
      </c>
    </row>
    <row r="430" ht="15.75" customHeight="1">
      <c r="A430" s="1">
        <f>IFERROR(__xludf.DUMMYFUNCTION("""COMPUTED_VALUE"""),44475.625)</f>
        <v>44475.625</v>
      </c>
      <c r="B430" s="2">
        <f>IFERROR(__xludf.DUMMYFUNCTION("""COMPUTED_VALUE"""),1370.89)</f>
        <v>1370.89</v>
      </c>
      <c r="C430" s="2">
        <f>IFERROR(__xludf.DUMMYFUNCTION("""COMPUTED_VALUE"""),1442.33)</f>
        <v>1442.33</v>
      </c>
      <c r="D430" s="2">
        <f>IFERROR(__xludf.DUMMYFUNCTION("""COMPUTED_VALUE"""),1370.89)</f>
        <v>1370.89</v>
      </c>
      <c r="E430" s="2">
        <f>IFERROR(__xludf.DUMMYFUNCTION("""COMPUTED_VALUE"""),1415.54)</f>
        <v>1415.54</v>
      </c>
      <c r="F430" s="2">
        <f>IFERROR(__xludf.DUMMYFUNCTION("""COMPUTED_VALUE"""),1.303038E8)</f>
        <v>130303800</v>
      </c>
      <c r="G430" s="2">
        <f t="shared" si="1"/>
        <v>80.37</v>
      </c>
    </row>
    <row r="431" ht="15.75" customHeight="1">
      <c r="A431" s="1">
        <f>IFERROR(__xludf.DUMMYFUNCTION("""COMPUTED_VALUE"""),44476.625)</f>
        <v>44476.625</v>
      </c>
      <c r="B431" s="2">
        <f>IFERROR(__xludf.DUMMYFUNCTION("""COMPUTED_VALUE"""),1420.01)</f>
        <v>1420.01</v>
      </c>
      <c r="C431" s="2">
        <f>IFERROR(__xludf.DUMMYFUNCTION("""COMPUTED_VALUE"""),1433.4)</f>
        <v>1433.4</v>
      </c>
      <c r="D431" s="2">
        <f>IFERROR(__xludf.DUMMYFUNCTION("""COMPUTED_VALUE"""),1388.75)</f>
        <v>1388.75</v>
      </c>
      <c r="E431" s="2">
        <f>IFERROR(__xludf.DUMMYFUNCTION("""COMPUTED_VALUE"""),1397.68)</f>
        <v>1397.68</v>
      </c>
      <c r="F431" s="2">
        <f>IFERROR(__xludf.DUMMYFUNCTION("""COMPUTED_VALUE"""),5.1764E7)</f>
        <v>51764000</v>
      </c>
      <c r="G431" s="2">
        <f t="shared" si="1"/>
        <v>44.65</v>
      </c>
    </row>
    <row r="432" ht="15.75" customHeight="1">
      <c r="A432" s="1">
        <f>IFERROR(__xludf.DUMMYFUNCTION("""COMPUTED_VALUE"""),44477.625)</f>
        <v>44477.625</v>
      </c>
      <c r="B432" s="2">
        <f>IFERROR(__xludf.DUMMYFUNCTION("""COMPUTED_VALUE"""),1411.08)</f>
        <v>1411.08</v>
      </c>
      <c r="C432" s="2">
        <f>IFERROR(__xludf.DUMMYFUNCTION("""COMPUTED_VALUE"""),1451.26)</f>
        <v>1451.26</v>
      </c>
      <c r="D432" s="2">
        <f>IFERROR(__xludf.DUMMYFUNCTION("""COMPUTED_VALUE"""),1406.61)</f>
        <v>1406.61</v>
      </c>
      <c r="E432" s="2">
        <f>IFERROR(__xludf.DUMMYFUNCTION("""COMPUTED_VALUE"""),1415.54)</f>
        <v>1415.54</v>
      </c>
      <c r="F432" s="2">
        <f>IFERROR(__xludf.DUMMYFUNCTION("""COMPUTED_VALUE"""),4.6113E7)</f>
        <v>46113000</v>
      </c>
      <c r="G432" s="2">
        <f t="shared" si="1"/>
        <v>53.58</v>
      </c>
    </row>
    <row r="433" ht="15.75" customHeight="1">
      <c r="A433" s="1">
        <f>IFERROR(__xludf.DUMMYFUNCTION("""COMPUTED_VALUE"""),44480.625)</f>
        <v>44480.625</v>
      </c>
      <c r="B433" s="2">
        <f>IFERROR(__xludf.DUMMYFUNCTION("""COMPUTED_VALUE"""),1420.01)</f>
        <v>1420.01</v>
      </c>
      <c r="C433" s="2">
        <f>IFERROR(__xludf.DUMMYFUNCTION("""COMPUTED_VALUE"""),1433.4)</f>
        <v>1433.4</v>
      </c>
      <c r="D433" s="2">
        <f>IFERROR(__xludf.DUMMYFUNCTION("""COMPUTED_VALUE"""),1411.08)</f>
        <v>1411.08</v>
      </c>
      <c r="E433" s="2">
        <f>IFERROR(__xludf.DUMMYFUNCTION("""COMPUTED_VALUE"""),1420.01)</f>
        <v>1420.01</v>
      </c>
      <c r="F433" s="2">
        <f>IFERROR(__xludf.DUMMYFUNCTION("""COMPUTED_VALUE"""),2.64669E7)</f>
        <v>26466900</v>
      </c>
      <c r="G433" s="2">
        <f t="shared" si="1"/>
        <v>22.32</v>
      </c>
    </row>
    <row r="434" ht="15.75" customHeight="1">
      <c r="A434" s="1">
        <f>IFERROR(__xludf.DUMMYFUNCTION("""COMPUTED_VALUE"""),44481.66666666667)</f>
        <v>44481.66667</v>
      </c>
      <c r="B434" s="2">
        <f>IFERROR(__xludf.DUMMYFUNCTION("""COMPUTED_VALUE"""),1420.01)</f>
        <v>1420.01</v>
      </c>
      <c r="C434" s="2">
        <f>IFERROR(__xludf.DUMMYFUNCTION("""COMPUTED_VALUE"""),1446.8)</f>
        <v>1446.8</v>
      </c>
      <c r="D434" s="2">
        <f>IFERROR(__xludf.DUMMYFUNCTION("""COMPUTED_VALUE"""),1415.54)</f>
        <v>1415.54</v>
      </c>
      <c r="E434" s="2">
        <f>IFERROR(__xludf.DUMMYFUNCTION("""COMPUTED_VALUE"""),1442.33)</f>
        <v>1442.33</v>
      </c>
      <c r="F434" s="2">
        <f>IFERROR(__xludf.DUMMYFUNCTION("""COMPUTED_VALUE"""),7.66933E7)</f>
        <v>76693300</v>
      </c>
      <c r="G434" s="2">
        <f t="shared" si="1"/>
        <v>31.26</v>
      </c>
    </row>
    <row r="435" ht="15.75" customHeight="1">
      <c r="A435" s="1">
        <f>IFERROR(__xludf.DUMMYFUNCTION("""COMPUTED_VALUE"""),44482.625)</f>
        <v>44482.625</v>
      </c>
      <c r="B435" s="2">
        <f>IFERROR(__xludf.DUMMYFUNCTION("""COMPUTED_VALUE"""),1442.33)</f>
        <v>1442.33</v>
      </c>
      <c r="C435" s="2">
        <f>IFERROR(__xludf.DUMMYFUNCTION("""COMPUTED_VALUE"""),1500.38)</f>
        <v>1500.38</v>
      </c>
      <c r="D435" s="2">
        <f>IFERROR(__xludf.DUMMYFUNCTION("""COMPUTED_VALUE"""),1411.08)</f>
        <v>1411.08</v>
      </c>
      <c r="E435" s="2">
        <f>IFERROR(__xludf.DUMMYFUNCTION("""COMPUTED_VALUE"""),1495.92)</f>
        <v>1495.92</v>
      </c>
      <c r="F435" s="2">
        <f>IFERROR(__xludf.DUMMYFUNCTION("""COMPUTED_VALUE"""),1.261356E8)</f>
        <v>126135600</v>
      </c>
      <c r="G435" s="2">
        <f t="shared" si="1"/>
        <v>89.3</v>
      </c>
    </row>
    <row r="436" ht="15.75" customHeight="1">
      <c r="A436" s="1">
        <f>IFERROR(__xludf.DUMMYFUNCTION("""COMPUTED_VALUE"""),44483.66666666667)</f>
        <v>44483.66667</v>
      </c>
      <c r="B436" s="2">
        <f>IFERROR(__xludf.DUMMYFUNCTION("""COMPUTED_VALUE"""),1504.85)</f>
        <v>1504.85</v>
      </c>
      <c r="C436" s="2">
        <f>IFERROR(__xludf.DUMMYFUNCTION("""COMPUTED_VALUE"""),1549.5)</f>
        <v>1549.5</v>
      </c>
      <c r="D436" s="2">
        <f>IFERROR(__xludf.DUMMYFUNCTION("""COMPUTED_VALUE"""),1504.85)</f>
        <v>1504.85</v>
      </c>
      <c r="E436" s="2">
        <f>IFERROR(__xludf.DUMMYFUNCTION("""COMPUTED_VALUE"""),1522.71)</f>
        <v>1522.71</v>
      </c>
      <c r="F436" s="2">
        <f>IFERROR(__xludf.DUMMYFUNCTION("""COMPUTED_VALUE"""),9.0029E7)</f>
        <v>90029000</v>
      </c>
      <c r="G436" s="2">
        <f t="shared" si="1"/>
        <v>53.58</v>
      </c>
    </row>
    <row r="437" ht="15.75" customHeight="1">
      <c r="A437" s="1">
        <f>IFERROR(__xludf.DUMMYFUNCTION("""COMPUTED_VALUE"""),44484.66666666667)</f>
        <v>44484.66667</v>
      </c>
      <c r="B437" s="2">
        <f>IFERROR(__xludf.DUMMYFUNCTION("""COMPUTED_VALUE"""),1536.11)</f>
        <v>1536.11</v>
      </c>
      <c r="C437" s="2">
        <f>IFERROR(__xludf.DUMMYFUNCTION("""COMPUTED_VALUE"""),1540.57)</f>
        <v>1540.57</v>
      </c>
      <c r="D437" s="2">
        <f>IFERROR(__xludf.DUMMYFUNCTION("""COMPUTED_VALUE"""),1504.85)</f>
        <v>1504.85</v>
      </c>
      <c r="E437" s="2">
        <f>IFERROR(__xludf.DUMMYFUNCTION("""COMPUTED_VALUE"""),1527.18)</f>
        <v>1527.18</v>
      </c>
      <c r="F437" s="2">
        <f>IFERROR(__xludf.DUMMYFUNCTION("""COMPUTED_VALUE"""),4.72045E7)</f>
        <v>47204500</v>
      </c>
      <c r="G437" s="2">
        <f t="shared" si="1"/>
        <v>35.72</v>
      </c>
    </row>
    <row r="438" ht="15.75" customHeight="1">
      <c r="A438" s="1">
        <f>IFERROR(__xludf.DUMMYFUNCTION("""COMPUTED_VALUE"""),44487.625)</f>
        <v>44487.625</v>
      </c>
      <c r="B438" s="2">
        <f>IFERROR(__xludf.DUMMYFUNCTION("""COMPUTED_VALUE"""),1531.64)</f>
        <v>1531.64</v>
      </c>
      <c r="C438" s="2">
        <f>IFERROR(__xludf.DUMMYFUNCTION("""COMPUTED_VALUE"""),1652.21)</f>
        <v>1652.21</v>
      </c>
      <c r="D438" s="2">
        <f>IFERROR(__xludf.DUMMYFUNCTION("""COMPUTED_VALUE"""),1527.18)</f>
        <v>1527.18</v>
      </c>
      <c r="E438" s="2">
        <f>IFERROR(__xludf.DUMMYFUNCTION("""COMPUTED_VALUE"""),1643.28)</f>
        <v>1643.28</v>
      </c>
      <c r="F438" s="2">
        <f>IFERROR(__xludf.DUMMYFUNCTION("""COMPUTED_VALUE"""),9.48657E7)</f>
        <v>94865700</v>
      </c>
      <c r="G438" s="2">
        <f t="shared" si="1"/>
        <v>125.03</v>
      </c>
    </row>
    <row r="439" ht="15.75" customHeight="1">
      <c r="A439" s="1">
        <f>IFERROR(__xludf.DUMMYFUNCTION("""COMPUTED_VALUE"""),44488.625)</f>
        <v>44488.625</v>
      </c>
      <c r="B439" s="2">
        <f>IFERROR(__xludf.DUMMYFUNCTION("""COMPUTED_VALUE"""),1643.28)</f>
        <v>1643.28</v>
      </c>
      <c r="C439" s="2">
        <f>IFERROR(__xludf.DUMMYFUNCTION("""COMPUTED_VALUE"""),1643.28)</f>
        <v>1643.28</v>
      </c>
      <c r="D439" s="2">
        <f>IFERROR(__xludf.DUMMYFUNCTION("""COMPUTED_VALUE"""),1603.09)</f>
        <v>1603.09</v>
      </c>
      <c r="E439" s="2">
        <f>IFERROR(__xludf.DUMMYFUNCTION("""COMPUTED_VALUE"""),1616.49)</f>
        <v>1616.49</v>
      </c>
      <c r="F439" s="2">
        <f>IFERROR(__xludf.DUMMYFUNCTION("""COMPUTED_VALUE"""),6.19363E7)</f>
        <v>61936300</v>
      </c>
      <c r="G439" s="2">
        <f t="shared" si="1"/>
        <v>40.19</v>
      </c>
    </row>
    <row r="440" ht="15.75" customHeight="1">
      <c r="A440" s="1">
        <f>IFERROR(__xludf.DUMMYFUNCTION("""COMPUTED_VALUE"""),44490.625)</f>
        <v>44490.625</v>
      </c>
      <c r="B440" s="2">
        <f>IFERROR(__xludf.DUMMYFUNCTION("""COMPUTED_VALUE"""),1634.35)</f>
        <v>1634.35</v>
      </c>
      <c r="C440" s="2">
        <f>IFERROR(__xludf.DUMMYFUNCTION("""COMPUTED_VALUE"""),1643.28)</f>
        <v>1643.28</v>
      </c>
      <c r="D440" s="2">
        <f>IFERROR(__xludf.DUMMYFUNCTION("""COMPUTED_VALUE"""),1580.76)</f>
        <v>1580.76</v>
      </c>
      <c r="E440" s="2">
        <f>IFERROR(__xludf.DUMMYFUNCTION("""COMPUTED_VALUE"""),1603.09)</f>
        <v>1603.09</v>
      </c>
      <c r="F440" s="2">
        <f>IFERROR(__xludf.DUMMYFUNCTION("""COMPUTED_VALUE"""),6.76624E7)</f>
        <v>67662400</v>
      </c>
      <c r="G440" s="2">
        <f t="shared" si="1"/>
        <v>62.52</v>
      </c>
    </row>
    <row r="441" ht="15.75" customHeight="1">
      <c r="A441" s="1">
        <f>IFERROR(__xludf.DUMMYFUNCTION("""COMPUTED_VALUE"""),44491.625)</f>
        <v>44491.625</v>
      </c>
      <c r="B441" s="2">
        <f>IFERROR(__xludf.DUMMYFUNCTION("""COMPUTED_VALUE"""),1607.55)</f>
        <v>1607.55</v>
      </c>
      <c r="C441" s="2">
        <f>IFERROR(__xludf.DUMMYFUNCTION("""COMPUTED_VALUE"""),1634.35)</f>
        <v>1634.35</v>
      </c>
      <c r="D441" s="2">
        <f>IFERROR(__xludf.DUMMYFUNCTION("""COMPUTED_VALUE"""),1585.23)</f>
        <v>1585.23</v>
      </c>
      <c r="E441" s="2">
        <f>IFERROR(__xludf.DUMMYFUNCTION("""COMPUTED_VALUE"""),1625.42)</f>
        <v>1625.42</v>
      </c>
      <c r="F441" s="2">
        <f>IFERROR(__xludf.DUMMYFUNCTION("""COMPUTED_VALUE"""),4.92903E7)</f>
        <v>49290300</v>
      </c>
      <c r="G441" s="2">
        <f t="shared" si="1"/>
        <v>49.12</v>
      </c>
    </row>
    <row r="442" ht="15.75" customHeight="1">
      <c r="A442" s="1">
        <f>IFERROR(__xludf.DUMMYFUNCTION("""COMPUTED_VALUE"""),44494.625)</f>
        <v>44494.625</v>
      </c>
      <c r="B442" s="2">
        <f>IFERROR(__xludf.DUMMYFUNCTION("""COMPUTED_VALUE"""),1625.42)</f>
        <v>1625.42</v>
      </c>
      <c r="C442" s="2">
        <f>IFERROR(__xludf.DUMMYFUNCTION("""COMPUTED_VALUE"""),1638.81)</f>
        <v>1638.81</v>
      </c>
      <c r="D442" s="2">
        <f>IFERROR(__xludf.DUMMYFUNCTION("""COMPUTED_VALUE"""),1603.09)</f>
        <v>1603.09</v>
      </c>
      <c r="E442" s="2">
        <f>IFERROR(__xludf.DUMMYFUNCTION("""COMPUTED_VALUE"""),1612.02)</f>
        <v>1612.02</v>
      </c>
      <c r="F442" s="2">
        <f>IFERROR(__xludf.DUMMYFUNCTION("""COMPUTED_VALUE"""),4.5537E7)</f>
        <v>45537000</v>
      </c>
      <c r="G442" s="2">
        <f t="shared" si="1"/>
        <v>35.72</v>
      </c>
    </row>
    <row r="443" ht="15.75" customHeight="1">
      <c r="A443" s="1">
        <f>IFERROR(__xludf.DUMMYFUNCTION("""COMPUTED_VALUE"""),44495.625)</f>
        <v>44495.625</v>
      </c>
      <c r="B443" s="2">
        <f>IFERROR(__xludf.DUMMYFUNCTION("""COMPUTED_VALUE"""),1616.49)</f>
        <v>1616.49</v>
      </c>
      <c r="C443" s="2">
        <f>IFERROR(__xludf.DUMMYFUNCTION("""COMPUTED_VALUE"""),1620.95)</f>
        <v>1620.95</v>
      </c>
      <c r="D443" s="2">
        <f>IFERROR(__xludf.DUMMYFUNCTION("""COMPUTED_VALUE"""),1589.69)</f>
        <v>1589.69</v>
      </c>
      <c r="E443" s="2">
        <f>IFERROR(__xludf.DUMMYFUNCTION("""COMPUTED_VALUE"""),1589.69)</f>
        <v>1589.69</v>
      </c>
      <c r="F443" s="2">
        <f>IFERROR(__xludf.DUMMYFUNCTION("""COMPUTED_VALUE"""),2.34584E7)</f>
        <v>23458400</v>
      </c>
      <c r="G443" s="2">
        <f t="shared" si="1"/>
        <v>31.26</v>
      </c>
    </row>
    <row r="444" ht="15.75" customHeight="1">
      <c r="A444" s="1">
        <f>IFERROR(__xludf.DUMMYFUNCTION("""COMPUTED_VALUE"""),44496.625)</f>
        <v>44496.625</v>
      </c>
      <c r="B444" s="2">
        <f>IFERROR(__xludf.DUMMYFUNCTION("""COMPUTED_VALUE"""),1589.69)</f>
        <v>1589.69</v>
      </c>
      <c r="C444" s="2">
        <f>IFERROR(__xludf.DUMMYFUNCTION("""COMPUTED_VALUE"""),1598.62)</f>
        <v>1598.62</v>
      </c>
      <c r="D444" s="2">
        <f>IFERROR(__xludf.DUMMYFUNCTION("""COMPUTED_VALUE"""),1545.04)</f>
        <v>1545.04</v>
      </c>
      <c r="E444" s="2">
        <f>IFERROR(__xludf.DUMMYFUNCTION("""COMPUTED_VALUE"""),1553.97)</f>
        <v>1553.97</v>
      </c>
      <c r="F444" s="2">
        <f>IFERROR(__xludf.DUMMYFUNCTION("""COMPUTED_VALUE"""),4.10381E7)</f>
        <v>41038100</v>
      </c>
      <c r="G444" s="2">
        <f t="shared" si="1"/>
        <v>53.58</v>
      </c>
    </row>
    <row r="445" ht="15.75" customHeight="1">
      <c r="A445" s="1">
        <f>IFERROR(__xludf.DUMMYFUNCTION("""COMPUTED_VALUE"""),44497.625)</f>
        <v>44497.625</v>
      </c>
      <c r="B445" s="2">
        <f>IFERROR(__xludf.DUMMYFUNCTION("""COMPUTED_VALUE"""),1553.97)</f>
        <v>1553.97</v>
      </c>
      <c r="C445" s="2">
        <f>IFERROR(__xludf.DUMMYFUNCTION("""COMPUTED_VALUE"""),1562.9)</f>
        <v>1562.9</v>
      </c>
      <c r="D445" s="2">
        <f>IFERROR(__xludf.DUMMYFUNCTION("""COMPUTED_VALUE"""),1495.92)</f>
        <v>1495.92</v>
      </c>
      <c r="E445" s="2">
        <f>IFERROR(__xludf.DUMMYFUNCTION("""COMPUTED_VALUE"""),1558.43)</f>
        <v>1558.43</v>
      </c>
      <c r="F445" s="2">
        <f>IFERROR(__xludf.DUMMYFUNCTION("""COMPUTED_VALUE"""),5.61923E7)</f>
        <v>56192300</v>
      </c>
      <c r="G445" s="2">
        <f t="shared" si="1"/>
        <v>66.98</v>
      </c>
    </row>
    <row r="446" ht="15.75" customHeight="1">
      <c r="A446" s="1">
        <f>IFERROR(__xludf.DUMMYFUNCTION("""COMPUTED_VALUE"""),44498.625)</f>
        <v>44498.625</v>
      </c>
      <c r="B446" s="2">
        <f>IFERROR(__xludf.DUMMYFUNCTION("""COMPUTED_VALUE"""),1571.83)</f>
        <v>1571.83</v>
      </c>
      <c r="C446" s="2">
        <f>IFERROR(__xludf.DUMMYFUNCTION("""COMPUTED_VALUE"""),1594.16)</f>
        <v>1594.16</v>
      </c>
      <c r="D446" s="2">
        <f>IFERROR(__xludf.DUMMYFUNCTION("""COMPUTED_VALUE"""),1549.5)</f>
        <v>1549.5</v>
      </c>
      <c r="E446" s="2">
        <f>IFERROR(__xludf.DUMMYFUNCTION("""COMPUTED_VALUE"""),1589.69)</f>
        <v>1589.69</v>
      </c>
      <c r="F446" s="2">
        <f>IFERROR(__xludf.DUMMYFUNCTION("""COMPUTED_VALUE"""),5.6675E7)</f>
        <v>56675000</v>
      </c>
      <c r="G446" s="2">
        <f t="shared" si="1"/>
        <v>44.66</v>
      </c>
    </row>
    <row r="447" ht="15.75" customHeight="1">
      <c r="A447" s="1">
        <f>IFERROR(__xludf.DUMMYFUNCTION("""COMPUTED_VALUE"""),44501.625)</f>
        <v>44501.625</v>
      </c>
      <c r="B447" s="2">
        <f>IFERROR(__xludf.DUMMYFUNCTION("""COMPUTED_VALUE"""),1603.09)</f>
        <v>1603.09</v>
      </c>
      <c r="C447" s="2">
        <f>IFERROR(__xludf.DUMMYFUNCTION("""COMPUTED_VALUE"""),1616.49)</f>
        <v>1616.49</v>
      </c>
      <c r="D447" s="2">
        <f>IFERROR(__xludf.DUMMYFUNCTION("""COMPUTED_VALUE"""),1589.69)</f>
        <v>1589.69</v>
      </c>
      <c r="E447" s="2">
        <f>IFERROR(__xludf.DUMMYFUNCTION("""COMPUTED_VALUE"""),1598.62)</f>
        <v>1598.62</v>
      </c>
      <c r="F447" s="2">
        <f>IFERROR(__xludf.DUMMYFUNCTION("""COMPUTED_VALUE"""),3.9097E7)</f>
        <v>39097000</v>
      </c>
      <c r="G447" s="2">
        <f t="shared" si="1"/>
        <v>26.8</v>
      </c>
    </row>
    <row r="448" ht="15.75" customHeight="1">
      <c r="A448" s="1">
        <f>IFERROR(__xludf.DUMMYFUNCTION("""COMPUTED_VALUE"""),44502.625)</f>
        <v>44502.625</v>
      </c>
      <c r="B448" s="2">
        <f>IFERROR(__xludf.DUMMYFUNCTION("""COMPUTED_VALUE"""),1598.62)</f>
        <v>1598.62</v>
      </c>
      <c r="C448" s="2">
        <f>IFERROR(__xludf.DUMMYFUNCTION("""COMPUTED_VALUE"""),1598.62)</f>
        <v>1598.62</v>
      </c>
      <c r="D448" s="2">
        <f>IFERROR(__xludf.DUMMYFUNCTION("""COMPUTED_VALUE"""),1531.64)</f>
        <v>1531.64</v>
      </c>
      <c r="E448" s="2">
        <f>IFERROR(__xludf.DUMMYFUNCTION("""COMPUTED_VALUE"""),1536.11)</f>
        <v>1536.11</v>
      </c>
      <c r="F448" s="2">
        <f>IFERROR(__xludf.DUMMYFUNCTION("""COMPUTED_VALUE"""),2.91475E7)</f>
        <v>29147500</v>
      </c>
      <c r="G448" s="2">
        <f t="shared" si="1"/>
        <v>66.98</v>
      </c>
    </row>
    <row r="449" ht="15.75" customHeight="1">
      <c r="A449" s="1">
        <f>IFERROR(__xludf.DUMMYFUNCTION("""COMPUTED_VALUE"""),44503.625)</f>
        <v>44503.625</v>
      </c>
      <c r="B449" s="2">
        <f>IFERROR(__xludf.DUMMYFUNCTION("""COMPUTED_VALUE"""),1553.97)</f>
        <v>1553.97</v>
      </c>
      <c r="C449" s="2">
        <f>IFERROR(__xludf.DUMMYFUNCTION("""COMPUTED_VALUE"""),1585.23)</f>
        <v>1585.23</v>
      </c>
      <c r="D449" s="2">
        <f>IFERROR(__xludf.DUMMYFUNCTION("""COMPUTED_VALUE"""),1536.11)</f>
        <v>1536.11</v>
      </c>
      <c r="E449" s="2">
        <f>IFERROR(__xludf.DUMMYFUNCTION("""COMPUTED_VALUE"""),1576.3)</f>
        <v>1576.3</v>
      </c>
      <c r="F449" s="2">
        <f>IFERROR(__xludf.DUMMYFUNCTION("""COMPUTED_VALUE"""),2.69464E7)</f>
        <v>26946400</v>
      </c>
      <c r="G449" s="2">
        <f t="shared" si="1"/>
        <v>49.12</v>
      </c>
    </row>
    <row r="450" ht="15.75" customHeight="1">
      <c r="A450" s="1">
        <f>IFERROR(__xludf.DUMMYFUNCTION("""COMPUTED_VALUE"""),44504.66666666667)</f>
        <v>44504.66667</v>
      </c>
      <c r="B450" s="2">
        <f>IFERROR(__xludf.DUMMYFUNCTION("""COMPUTED_VALUE"""),1585.23)</f>
        <v>1585.23</v>
      </c>
      <c r="C450" s="2">
        <f>IFERROR(__xludf.DUMMYFUNCTION("""COMPUTED_VALUE"""),1598.62)</f>
        <v>1598.62</v>
      </c>
      <c r="D450" s="2">
        <f>IFERROR(__xludf.DUMMYFUNCTION("""COMPUTED_VALUE"""),1562.9)</f>
        <v>1562.9</v>
      </c>
      <c r="E450" s="2">
        <f>IFERROR(__xludf.DUMMYFUNCTION("""COMPUTED_VALUE"""),1576.3)</f>
        <v>1576.3</v>
      </c>
      <c r="F450" s="2">
        <f>IFERROR(__xludf.DUMMYFUNCTION("""COMPUTED_VALUE"""),3.63686E7)</f>
        <v>36368600</v>
      </c>
      <c r="G450" s="2">
        <f t="shared" si="1"/>
        <v>35.72</v>
      </c>
    </row>
    <row r="451" ht="15.75" customHeight="1">
      <c r="A451" s="1">
        <f>IFERROR(__xludf.DUMMYFUNCTION("""COMPUTED_VALUE"""),44505.625)</f>
        <v>44505.625</v>
      </c>
      <c r="B451" s="2">
        <f>IFERROR(__xludf.DUMMYFUNCTION("""COMPUTED_VALUE"""),1576.3)</f>
        <v>1576.3</v>
      </c>
      <c r="C451" s="2">
        <f>IFERROR(__xludf.DUMMYFUNCTION("""COMPUTED_VALUE"""),1585.23)</f>
        <v>1585.23</v>
      </c>
      <c r="D451" s="2">
        <f>IFERROR(__xludf.DUMMYFUNCTION("""COMPUTED_VALUE"""),1518.25)</f>
        <v>1518.25</v>
      </c>
      <c r="E451" s="2">
        <f>IFERROR(__xludf.DUMMYFUNCTION("""COMPUTED_VALUE"""),1571.83)</f>
        <v>1571.83</v>
      </c>
      <c r="F451" s="2">
        <f>IFERROR(__xludf.DUMMYFUNCTION("""COMPUTED_VALUE"""),3.43541E7)</f>
        <v>34354100</v>
      </c>
      <c r="G451" s="2">
        <f t="shared" si="1"/>
        <v>66.98</v>
      </c>
    </row>
    <row r="452" ht="15.75" customHeight="1">
      <c r="A452" s="1">
        <f>IFERROR(__xludf.DUMMYFUNCTION("""COMPUTED_VALUE"""),44508.625)</f>
        <v>44508.625</v>
      </c>
      <c r="B452" s="2">
        <f>IFERROR(__xludf.DUMMYFUNCTION("""COMPUTED_VALUE"""),1576.3)</f>
        <v>1576.3</v>
      </c>
      <c r="C452" s="2">
        <f>IFERROR(__xludf.DUMMYFUNCTION("""COMPUTED_VALUE"""),1607.55)</f>
        <v>1607.55</v>
      </c>
      <c r="D452" s="2">
        <f>IFERROR(__xludf.DUMMYFUNCTION("""COMPUTED_VALUE"""),1571.83)</f>
        <v>1571.83</v>
      </c>
      <c r="E452" s="2">
        <f>IFERROR(__xludf.DUMMYFUNCTION("""COMPUTED_VALUE"""),1603.09)</f>
        <v>1603.09</v>
      </c>
      <c r="F452" s="2">
        <f>IFERROR(__xludf.DUMMYFUNCTION("""COMPUTED_VALUE"""),3.89093E7)</f>
        <v>38909300</v>
      </c>
      <c r="G452" s="2">
        <f t="shared" si="1"/>
        <v>35.72</v>
      </c>
    </row>
    <row r="453" ht="15.75" customHeight="1">
      <c r="A453" s="1">
        <f>IFERROR(__xludf.DUMMYFUNCTION("""COMPUTED_VALUE"""),44509.625)</f>
        <v>44509.625</v>
      </c>
      <c r="B453" s="2">
        <f>IFERROR(__xludf.DUMMYFUNCTION("""COMPUTED_VALUE"""),1607.55)</f>
        <v>1607.55</v>
      </c>
      <c r="C453" s="2">
        <f>IFERROR(__xludf.DUMMYFUNCTION("""COMPUTED_VALUE"""),1607.55)</f>
        <v>1607.55</v>
      </c>
      <c r="D453" s="2">
        <f>IFERROR(__xludf.DUMMYFUNCTION("""COMPUTED_VALUE"""),1576.3)</f>
        <v>1576.3</v>
      </c>
      <c r="E453" s="2">
        <f>IFERROR(__xludf.DUMMYFUNCTION("""COMPUTED_VALUE"""),1580.76)</f>
        <v>1580.76</v>
      </c>
      <c r="F453" s="2">
        <f>IFERROR(__xludf.DUMMYFUNCTION("""COMPUTED_VALUE"""),1.65043E7)</f>
        <v>16504300</v>
      </c>
      <c r="G453" s="2">
        <f t="shared" si="1"/>
        <v>31.25</v>
      </c>
    </row>
    <row r="454" ht="15.75" customHeight="1">
      <c r="A454" s="1">
        <f>IFERROR(__xludf.DUMMYFUNCTION("""COMPUTED_VALUE"""),44510.625)</f>
        <v>44510.625</v>
      </c>
      <c r="B454" s="2">
        <f>IFERROR(__xludf.DUMMYFUNCTION("""COMPUTED_VALUE"""),1571.83)</f>
        <v>1571.83</v>
      </c>
      <c r="C454" s="2">
        <f>IFERROR(__xludf.DUMMYFUNCTION("""COMPUTED_VALUE"""),1603.09)</f>
        <v>1603.09</v>
      </c>
      <c r="D454" s="2">
        <f>IFERROR(__xludf.DUMMYFUNCTION("""COMPUTED_VALUE"""),1567.37)</f>
        <v>1567.37</v>
      </c>
      <c r="E454" s="2">
        <f>IFERROR(__xludf.DUMMYFUNCTION("""COMPUTED_VALUE"""),1585.23)</f>
        <v>1585.23</v>
      </c>
      <c r="F454" s="2">
        <f>IFERROR(__xludf.DUMMYFUNCTION("""COMPUTED_VALUE"""),3.6462E7)</f>
        <v>36462000</v>
      </c>
      <c r="G454" s="2">
        <f t="shared" si="1"/>
        <v>35.72</v>
      </c>
    </row>
    <row r="455" ht="15.75" customHeight="1">
      <c r="A455" s="1">
        <f>IFERROR(__xludf.DUMMYFUNCTION("""COMPUTED_VALUE"""),44511.625)</f>
        <v>44511.625</v>
      </c>
      <c r="B455" s="2">
        <f>IFERROR(__xludf.DUMMYFUNCTION("""COMPUTED_VALUE"""),1585.23)</f>
        <v>1585.23</v>
      </c>
      <c r="C455" s="2">
        <f>IFERROR(__xludf.DUMMYFUNCTION("""COMPUTED_VALUE"""),1603.09)</f>
        <v>1603.09</v>
      </c>
      <c r="D455" s="2">
        <f>IFERROR(__xludf.DUMMYFUNCTION("""COMPUTED_VALUE"""),1580.76)</f>
        <v>1580.76</v>
      </c>
      <c r="E455" s="2">
        <f>IFERROR(__xludf.DUMMYFUNCTION("""COMPUTED_VALUE"""),1598.62)</f>
        <v>1598.62</v>
      </c>
      <c r="F455" s="2">
        <f>IFERROR(__xludf.DUMMYFUNCTION("""COMPUTED_VALUE"""),1.91556E7)</f>
        <v>19155600</v>
      </c>
      <c r="G455" s="2">
        <f t="shared" si="1"/>
        <v>22.33</v>
      </c>
    </row>
    <row r="456" ht="15.75" customHeight="1">
      <c r="A456" s="1">
        <f>IFERROR(__xludf.DUMMYFUNCTION("""COMPUTED_VALUE"""),44512.625)</f>
        <v>44512.625</v>
      </c>
      <c r="B456" s="2">
        <f>IFERROR(__xludf.DUMMYFUNCTION("""COMPUTED_VALUE"""),1607.55)</f>
        <v>1607.55</v>
      </c>
      <c r="C456" s="2">
        <f>IFERROR(__xludf.DUMMYFUNCTION("""COMPUTED_VALUE"""),1634.35)</f>
        <v>1634.35</v>
      </c>
      <c r="D456" s="2">
        <f>IFERROR(__xludf.DUMMYFUNCTION("""COMPUTED_VALUE"""),1594.16)</f>
        <v>1594.16</v>
      </c>
      <c r="E456" s="2">
        <f>IFERROR(__xludf.DUMMYFUNCTION("""COMPUTED_VALUE"""),1598.62)</f>
        <v>1598.62</v>
      </c>
      <c r="F456" s="2">
        <f>IFERROR(__xludf.DUMMYFUNCTION("""COMPUTED_VALUE"""),3.97272E7)</f>
        <v>39727200</v>
      </c>
      <c r="G456" s="2">
        <f t="shared" si="1"/>
        <v>40.19</v>
      </c>
    </row>
    <row r="457" ht="15.75" customHeight="1">
      <c r="A457" s="1">
        <f>IFERROR(__xludf.DUMMYFUNCTION("""COMPUTED_VALUE"""),44515.625)</f>
        <v>44515.625</v>
      </c>
      <c r="B457" s="2">
        <f>IFERROR(__xludf.DUMMYFUNCTION("""COMPUTED_VALUE"""),1598.62)</f>
        <v>1598.62</v>
      </c>
      <c r="C457" s="2">
        <f>IFERROR(__xludf.DUMMYFUNCTION("""COMPUTED_VALUE"""),1607.55)</f>
        <v>1607.55</v>
      </c>
      <c r="D457" s="2">
        <f>IFERROR(__xludf.DUMMYFUNCTION("""COMPUTED_VALUE"""),1545.04)</f>
        <v>1545.04</v>
      </c>
      <c r="E457" s="2">
        <f>IFERROR(__xludf.DUMMYFUNCTION("""COMPUTED_VALUE"""),1562.9)</f>
        <v>1562.9</v>
      </c>
      <c r="F457" s="2">
        <f>IFERROR(__xludf.DUMMYFUNCTION("""COMPUTED_VALUE"""),3.74372E7)</f>
        <v>37437200</v>
      </c>
      <c r="G457" s="2">
        <f t="shared" si="1"/>
        <v>62.51</v>
      </c>
    </row>
    <row r="458" ht="15.75" customHeight="1">
      <c r="A458" s="1">
        <f>IFERROR(__xludf.DUMMYFUNCTION("""COMPUTED_VALUE"""),44516.625)</f>
        <v>44516.625</v>
      </c>
      <c r="B458" s="2">
        <f>IFERROR(__xludf.DUMMYFUNCTION("""COMPUTED_VALUE"""),1562.9)</f>
        <v>1562.9</v>
      </c>
      <c r="C458" s="2">
        <f>IFERROR(__xludf.DUMMYFUNCTION("""COMPUTED_VALUE"""),1576.3)</f>
        <v>1576.3</v>
      </c>
      <c r="D458" s="2">
        <f>IFERROR(__xludf.DUMMYFUNCTION("""COMPUTED_VALUE"""),1558.43)</f>
        <v>1558.43</v>
      </c>
      <c r="E458" s="2">
        <f>IFERROR(__xludf.DUMMYFUNCTION("""COMPUTED_VALUE"""),1562.9)</f>
        <v>1562.9</v>
      </c>
      <c r="F458" s="2">
        <f>IFERROR(__xludf.DUMMYFUNCTION("""COMPUTED_VALUE"""),1.77474E7)</f>
        <v>17747400</v>
      </c>
      <c r="G458" s="2">
        <f t="shared" si="1"/>
        <v>17.87</v>
      </c>
    </row>
    <row r="459" ht="15.75" customHeight="1">
      <c r="A459" s="1">
        <f>IFERROR(__xludf.DUMMYFUNCTION("""COMPUTED_VALUE"""),44517.625)</f>
        <v>44517.625</v>
      </c>
      <c r="B459" s="2">
        <f>IFERROR(__xludf.DUMMYFUNCTION("""COMPUTED_VALUE"""),1567.37)</f>
        <v>1567.37</v>
      </c>
      <c r="C459" s="2">
        <f>IFERROR(__xludf.DUMMYFUNCTION("""COMPUTED_VALUE"""),1585.23)</f>
        <v>1585.23</v>
      </c>
      <c r="D459" s="2">
        <f>IFERROR(__xludf.DUMMYFUNCTION("""COMPUTED_VALUE"""),1562.9)</f>
        <v>1562.9</v>
      </c>
      <c r="E459" s="2">
        <f>IFERROR(__xludf.DUMMYFUNCTION("""COMPUTED_VALUE"""),1576.3)</f>
        <v>1576.3</v>
      </c>
      <c r="F459" s="2">
        <f>IFERROR(__xludf.DUMMYFUNCTION("""COMPUTED_VALUE"""),9119000.0)</f>
        <v>9119000</v>
      </c>
      <c r="G459" s="2">
        <f t="shared" si="1"/>
        <v>22.33</v>
      </c>
    </row>
    <row r="460" ht="15.75" customHeight="1">
      <c r="A460" s="1">
        <f>IFERROR(__xludf.DUMMYFUNCTION("""COMPUTED_VALUE"""),44518.625)</f>
        <v>44518.625</v>
      </c>
      <c r="B460" s="2">
        <f>IFERROR(__xludf.DUMMYFUNCTION("""COMPUTED_VALUE"""),1585.23)</f>
        <v>1585.23</v>
      </c>
      <c r="C460" s="2">
        <f>IFERROR(__xludf.DUMMYFUNCTION("""COMPUTED_VALUE"""),1585.23)</f>
        <v>1585.23</v>
      </c>
      <c r="D460" s="2">
        <f>IFERROR(__xludf.DUMMYFUNCTION("""COMPUTED_VALUE"""),1567.37)</f>
        <v>1567.37</v>
      </c>
      <c r="E460" s="2">
        <f>IFERROR(__xludf.DUMMYFUNCTION("""COMPUTED_VALUE"""),1585.23)</f>
        <v>1585.23</v>
      </c>
      <c r="F460" s="2">
        <f>IFERROR(__xludf.DUMMYFUNCTION("""COMPUTED_VALUE"""),1.59725E7)</f>
        <v>15972500</v>
      </c>
      <c r="G460" s="2">
        <f t="shared" si="1"/>
        <v>17.86</v>
      </c>
    </row>
    <row r="461" ht="15.75" customHeight="1">
      <c r="A461" s="1">
        <f>IFERROR(__xludf.DUMMYFUNCTION("""COMPUTED_VALUE"""),44519.625)</f>
        <v>44519.625</v>
      </c>
      <c r="B461" s="2">
        <f>IFERROR(__xludf.DUMMYFUNCTION("""COMPUTED_VALUE"""),1585.23)</f>
        <v>1585.23</v>
      </c>
      <c r="C461" s="2">
        <f>IFERROR(__xludf.DUMMYFUNCTION("""COMPUTED_VALUE"""),1607.55)</f>
        <v>1607.55</v>
      </c>
      <c r="D461" s="2">
        <f>IFERROR(__xludf.DUMMYFUNCTION("""COMPUTED_VALUE"""),1580.76)</f>
        <v>1580.76</v>
      </c>
      <c r="E461" s="2">
        <f>IFERROR(__xludf.DUMMYFUNCTION("""COMPUTED_VALUE"""),1603.09)</f>
        <v>1603.09</v>
      </c>
      <c r="F461" s="2">
        <f>IFERROR(__xludf.DUMMYFUNCTION("""COMPUTED_VALUE"""),1.65258E7)</f>
        <v>16525800</v>
      </c>
      <c r="G461" s="2">
        <f t="shared" si="1"/>
        <v>26.79</v>
      </c>
    </row>
    <row r="462" ht="15.75" customHeight="1">
      <c r="A462" s="1">
        <f>IFERROR(__xludf.DUMMYFUNCTION("""COMPUTED_VALUE"""),44522.625)</f>
        <v>44522.625</v>
      </c>
      <c r="B462" s="2">
        <f>IFERROR(__xludf.DUMMYFUNCTION("""COMPUTED_VALUE"""),1607.55)</f>
        <v>1607.55</v>
      </c>
      <c r="C462" s="2">
        <f>IFERROR(__xludf.DUMMYFUNCTION("""COMPUTED_VALUE"""),1679.0)</f>
        <v>1679</v>
      </c>
      <c r="D462" s="2">
        <f>IFERROR(__xludf.DUMMYFUNCTION("""COMPUTED_VALUE"""),1607.55)</f>
        <v>1607.55</v>
      </c>
      <c r="E462" s="2">
        <f>IFERROR(__xludf.DUMMYFUNCTION("""COMPUTED_VALUE"""),1661.14)</f>
        <v>1661.14</v>
      </c>
      <c r="F462" s="2">
        <f>IFERROR(__xludf.DUMMYFUNCTION("""COMPUTED_VALUE"""),1.014695E8)</f>
        <v>101469500</v>
      </c>
      <c r="G462" s="2">
        <f t="shared" si="1"/>
        <v>75.91</v>
      </c>
    </row>
    <row r="463" ht="15.75" customHeight="1">
      <c r="A463" s="1">
        <f>IFERROR(__xludf.DUMMYFUNCTION("""COMPUTED_VALUE"""),44523.625)</f>
        <v>44523.625</v>
      </c>
      <c r="B463" s="2">
        <f>IFERROR(__xludf.DUMMYFUNCTION("""COMPUTED_VALUE"""),1661.14)</f>
        <v>1661.14</v>
      </c>
      <c r="C463" s="2">
        <f>IFERROR(__xludf.DUMMYFUNCTION("""COMPUTED_VALUE"""),1670.07)</f>
        <v>1670.07</v>
      </c>
      <c r="D463" s="2">
        <f>IFERROR(__xludf.DUMMYFUNCTION("""COMPUTED_VALUE"""),1616.49)</f>
        <v>1616.49</v>
      </c>
      <c r="E463" s="2">
        <f>IFERROR(__xludf.DUMMYFUNCTION("""COMPUTED_VALUE"""),1620.95)</f>
        <v>1620.95</v>
      </c>
      <c r="F463" s="2">
        <f>IFERROR(__xludf.DUMMYFUNCTION("""COMPUTED_VALUE"""),4.70833E7)</f>
        <v>47083300</v>
      </c>
      <c r="G463" s="2">
        <f t="shared" si="1"/>
        <v>53.58</v>
      </c>
    </row>
    <row r="464" ht="15.75" customHeight="1">
      <c r="A464" s="1">
        <f>IFERROR(__xludf.DUMMYFUNCTION("""COMPUTED_VALUE"""),44524.625)</f>
        <v>44524.625</v>
      </c>
      <c r="B464" s="2">
        <f>IFERROR(__xludf.DUMMYFUNCTION("""COMPUTED_VALUE"""),1625.42)</f>
        <v>1625.42</v>
      </c>
      <c r="C464" s="2">
        <f>IFERROR(__xludf.DUMMYFUNCTION("""COMPUTED_VALUE"""),1634.35)</f>
        <v>1634.35</v>
      </c>
      <c r="D464" s="2">
        <f>IFERROR(__xludf.DUMMYFUNCTION("""COMPUTED_VALUE"""),1616.49)</f>
        <v>1616.49</v>
      </c>
      <c r="E464" s="2">
        <f>IFERROR(__xludf.DUMMYFUNCTION("""COMPUTED_VALUE"""),1620.95)</f>
        <v>1620.95</v>
      </c>
      <c r="F464" s="2">
        <f>IFERROR(__xludf.DUMMYFUNCTION("""COMPUTED_VALUE"""),1.79474E7)</f>
        <v>17947400</v>
      </c>
      <c r="G464" s="2">
        <f t="shared" si="1"/>
        <v>17.86</v>
      </c>
    </row>
    <row r="465" ht="15.75" customHeight="1">
      <c r="A465" s="1">
        <f>IFERROR(__xludf.DUMMYFUNCTION("""COMPUTED_VALUE"""),44525.625)</f>
        <v>44525.625</v>
      </c>
      <c r="B465" s="2">
        <f>IFERROR(__xludf.DUMMYFUNCTION("""COMPUTED_VALUE"""),1629.88)</f>
        <v>1629.88</v>
      </c>
      <c r="C465" s="2">
        <f>IFERROR(__xludf.DUMMYFUNCTION("""COMPUTED_VALUE"""),1656.67)</f>
        <v>1656.67</v>
      </c>
      <c r="D465" s="2">
        <f>IFERROR(__xludf.DUMMYFUNCTION("""COMPUTED_VALUE"""),1616.49)</f>
        <v>1616.49</v>
      </c>
      <c r="E465" s="2">
        <f>IFERROR(__xludf.DUMMYFUNCTION("""COMPUTED_VALUE"""),1625.42)</f>
        <v>1625.42</v>
      </c>
      <c r="F465" s="2">
        <f>IFERROR(__xludf.DUMMYFUNCTION("""COMPUTED_VALUE"""),3.47235E7)</f>
        <v>34723500</v>
      </c>
      <c r="G465" s="2">
        <f t="shared" si="1"/>
        <v>40.18</v>
      </c>
    </row>
    <row r="466" ht="15.75" customHeight="1">
      <c r="A466" s="1">
        <f>IFERROR(__xludf.DUMMYFUNCTION("""COMPUTED_VALUE"""),44526.625)</f>
        <v>44526.625</v>
      </c>
      <c r="B466" s="2">
        <f>IFERROR(__xludf.DUMMYFUNCTION("""COMPUTED_VALUE"""),1625.42)</f>
        <v>1625.42</v>
      </c>
      <c r="C466" s="2">
        <f>IFERROR(__xludf.DUMMYFUNCTION("""COMPUTED_VALUE"""),1634.35)</f>
        <v>1634.35</v>
      </c>
      <c r="D466" s="2">
        <f>IFERROR(__xludf.DUMMYFUNCTION("""COMPUTED_VALUE"""),1589.69)</f>
        <v>1589.69</v>
      </c>
      <c r="E466" s="2">
        <f>IFERROR(__xludf.DUMMYFUNCTION("""COMPUTED_VALUE"""),1598.62)</f>
        <v>1598.62</v>
      </c>
      <c r="F466" s="2">
        <f>IFERROR(__xludf.DUMMYFUNCTION("""COMPUTED_VALUE"""),4.2468E7)</f>
        <v>42468000</v>
      </c>
      <c r="G466" s="2">
        <f t="shared" si="1"/>
        <v>44.66</v>
      </c>
    </row>
    <row r="467" ht="15.75" customHeight="1">
      <c r="A467" s="1">
        <f>IFERROR(__xludf.DUMMYFUNCTION("""COMPUTED_VALUE"""),44529.625)</f>
        <v>44529.625</v>
      </c>
      <c r="B467" s="2">
        <f>IFERROR(__xludf.DUMMYFUNCTION("""COMPUTED_VALUE"""),1589.69)</f>
        <v>1589.69</v>
      </c>
      <c r="C467" s="2">
        <f>IFERROR(__xludf.DUMMYFUNCTION("""COMPUTED_VALUE"""),1589.69)</f>
        <v>1589.69</v>
      </c>
      <c r="D467" s="2">
        <f>IFERROR(__xludf.DUMMYFUNCTION("""COMPUTED_VALUE"""),1518.25)</f>
        <v>1518.25</v>
      </c>
      <c r="E467" s="2">
        <f>IFERROR(__xludf.DUMMYFUNCTION("""COMPUTED_VALUE"""),1562.9)</f>
        <v>1562.9</v>
      </c>
      <c r="F467" s="2">
        <f>IFERROR(__xludf.DUMMYFUNCTION("""COMPUTED_VALUE"""),8.33387E7)</f>
        <v>83338700</v>
      </c>
      <c r="G467" s="2">
        <f t="shared" si="1"/>
        <v>80.37</v>
      </c>
    </row>
    <row r="468" ht="15.75" customHeight="1">
      <c r="A468" s="1">
        <f>IFERROR(__xludf.DUMMYFUNCTION("""COMPUTED_VALUE"""),44530.625)</f>
        <v>44530.625</v>
      </c>
      <c r="B468" s="2">
        <f>IFERROR(__xludf.DUMMYFUNCTION("""COMPUTED_VALUE"""),1562.9)</f>
        <v>1562.9</v>
      </c>
      <c r="C468" s="2">
        <f>IFERROR(__xludf.DUMMYFUNCTION("""COMPUTED_VALUE"""),1576.3)</f>
        <v>1576.3</v>
      </c>
      <c r="D468" s="2">
        <f>IFERROR(__xludf.DUMMYFUNCTION("""COMPUTED_VALUE"""),1509.32)</f>
        <v>1509.32</v>
      </c>
      <c r="E468" s="2">
        <f>IFERROR(__xludf.DUMMYFUNCTION("""COMPUTED_VALUE"""),1527.18)</f>
        <v>1527.18</v>
      </c>
      <c r="F468" s="2">
        <f>IFERROR(__xludf.DUMMYFUNCTION("""COMPUTED_VALUE"""),7.54508E7)</f>
        <v>75450800</v>
      </c>
      <c r="G468" s="2">
        <f t="shared" si="1"/>
        <v>66.98</v>
      </c>
    </row>
    <row r="469" ht="15.75" customHeight="1">
      <c r="A469" s="1">
        <f>IFERROR(__xludf.DUMMYFUNCTION("""COMPUTED_VALUE"""),44531.66666666667)</f>
        <v>44531.66667</v>
      </c>
      <c r="B469" s="2">
        <f>IFERROR(__xludf.DUMMYFUNCTION("""COMPUTED_VALUE"""),1531.64)</f>
        <v>1531.64</v>
      </c>
      <c r="C469" s="2">
        <f>IFERROR(__xludf.DUMMYFUNCTION("""COMPUTED_VALUE"""),1545.04)</f>
        <v>1545.04</v>
      </c>
      <c r="D469" s="2">
        <f>IFERROR(__xludf.DUMMYFUNCTION("""COMPUTED_VALUE"""),1482.52)</f>
        <v>1482.52</v>
      </c>
      <c r="E469" s="2">
        <f>IFERROR(__xludf.DUMMYFUNCTION("""COMPUTED_VALUE"""),1504.85)</f>
        <v>1504.85</v>
      </c>
      <c r="F469" s="2">
        <f>IFERROR(__xludf.DUMMYFUNCTION("""COMPUTED_VALUE"""),3.17041E7)</f>
        <v>31704100</v>
      </c>
      <c r="G469" s="2">
        <f t="shared" si="1"/>
        <v>62.52</v>
      </c>
    </row>
    <row r="470" ht="15.75" customHeight="1">
      <c r="A470" s="1">
        <f>IFERROR(__xludf.DUMMYFUNCTION("""COMPUTED_VALUE"""),44532.66666666667)</f>
        <v>44532.66667</v>
      </c>
      <c r="B470" s="2">
        <f>IFERROR(__xludf.DUMMYFUNCTION("""COMPUTED_VALUE"""),1500.38)</f>
        <v>1500.38</v>
      </c>
      <c r="C470" s="2">
        <f>IFERROR(__xludf.DUMMYFUNCTION("""COMPUTED_VALUE"""),1536.11)</f>
        <v>1536.11</v>
      </c>
      <c r="D470" s="2">
        <f>IFERROR(__xludf.DUMMYFUNCTION("""COMPUTED_VALUE"""),1482.52)</f>
        <v>1482.52</v>
      </c>
      <c r="E470" s="2">
        <f>IFERROR(__xludf.DUMMYFUNCTION("""COMPUTED_VALUE"""),1527.18)</f>
        <v>1527.18</v>
      </c>
      <c r="F470" s="2">
        <f>IFERROR(__xludf.DUMMYFUNCTION("""COMPUTED_VALUE"""),3.10709E7)</f>
        <v>31070900</v>
      </c>
      <c r="G470" s="2">
        <f t="shared" si="1"/>
        <v>53.59</v>
      </c>
    </row>
    <row r="471" ht="15.75" customHeight="1">
      <c r="A471" s="1">
        <f>IFERROR(__xludf.DUMMYFUNCTION("""COMPUTED_VALUE"""),44533.66666666667)</f>
        <v>44533.66667</v>
      </c>
      <c r="B471" s="2">
        <f>IFERROR(__xludf.DUMMYFUNCTION("""COMPUTED_VALUE"""),1536.11)</f>
        <v>1536.11</v>
      </c>
      <c r="C471" s="2">
        <f>IFERROR(__xludf.DUMMYFUNCTION("""COMPUTED_VALUE"""),1567.37)</f>
        <v>1567.37</v>
      </c>
      <c r="D471" s="2">
        <f>IFERROR(__xludf.DUMMYFUNCTION("""COMPUTED_VALUE"""),1518.25)</f>
        <v>1518.25</v>
      </c>
      <c r="E471" s="2">
        <f>IFERROR(__xludf.DUMMYFUNCTION("""COMPUTED_VALUE"""),1549.5)</f>
        <v>1549.5</v>
      </c>
      <c r="F471" s="2">
        <f>IFERROR(__xludf.DUMMYFUNCTION("""COMPUTED_VALUE"""),3.34756E7)</f>
        <v>33475600</v>
      </c>
      <c r="G471" s="2">
        <f t="shared" si="1"/>
        <v>49.12</v>
      </c>
    </row>
    <row r="472" ht="15.75" customHeight="1">
      <c r="A472" s="1">
        <f>IFERROR(__xludf.DUMMYFUNCTION("""COMPUTED_VALUE"""),44536.66666666667)</f>
        <v>44536.66667</v>
      </c>
      <c r="B472" s="2">
        <f>IFERROR(__xludf.DUMMYFUNCTION("""COMPUTED_VALUE"""),1553.97)</f>
        <v>1553.97</v>
      </c>
      <c r="C472" s="2">
        <f>IFERROR(__xludf.DUMMYFUNCTION("""COMPUTED_VALUE"""),1571.83)</f>
        <v>1571.83</v>
      </c>
      <c r="D472" s="2">
        <f>IFERROR(__xludf.DUMMYFUNCTION("""COMPUTED_VALUE"""),1536.11)</f>
        <v>1536.11</v>
      </c>
      <c r="E472" s="2">
        <f>IFERROR(__xludf.DUMMYFUNCTION("""COMPUTED_VALUE"""),1562.9)</f>
        <v>1562.9</v>
      </c>
      <c r="F472" s="2">
        <f>IFERROR(__xludf.DUMMYFUNCTION("""COMPUTED_VALUE"""),2.82627E7)</f>
        <v>28262700</v>
      </c>
      <c r="G472" s="2">
        <f t="shared" si="1"/>
        <v>35.72</v>
      </c>
    </row>
    <row r="473" ht="15.75" customHeight="1">
      <c r="A473" s="1">
        <f>IFERROR(__xludf.DUMMYFUNCTION("""COMPUTED_VALUE"""),44537.66666666667)</f>
        <v>44537.66667</v>
      </c>
      <c r="B473" s="2">
        <f>IFERROR(__xludf.DUMMYFUNCTION("""COMPUTED_VALUE"""),1580.76)</f>
        <v>1580.76</v>
      </c>
      <c r="C473" s="2">
        <f>IFERROR(__xludf.DUMMYFUNCTION("""COMPUTED_VALUE"""),1585.23)</f>
        <v>1585.23</v>
      </c>
      <c r="D473" s="2">
        <f>IFERROR(__xludf.DUMMYFUNCTION("""COMPUTED_VALUE"""),1553.97)</f>
        <v>1553.97</v>
      </c>
      <c r="E473" s="2">
        <f>IFERROR(__xludf.DUMMYFUNCTION("""COMPUTED_VALUE"""),1562.9)</f>
        <v>1562.9</v>
      </c>
      <c r="F473" s="2">
        <f>IFERROR(__xludf.DUMMYFUNCTION("""COMPUTED_VALUE"""),1.36047E7)</f>
        <v>13604700</v>
      </c>
      <c r="G473" s="2">
        <f t="shared" si="1"/>
        <v>31.26</v>
      </c>
    </row>
    <row r="474" ht="15.75" customHeight="1">
      <c r="A474" s="1">
        <f>IFERROR(__xludf.DUMMYFUNCTION("""COMPUTED_VALUE"""),44538.66666666667)</f>
        <v>44538.66667</v>
      </c>
      <c r="B474" s="2">
        <f>IFERROR(__xludf.DUMMYFUNCTION("""COMPUTED_VALUE"""),1580.76)</f>
        <v>1580.76</v>
      </c>
      <c r="C474" s="2">
        <f>IFERROR(__xludf.DUMMYFUNCTION("""COMPUTED_VALUE"""),1580.76)</f>
        <v>1580.76</v>
      </c>
      <c r="D474" s="2">
        <f>IFERROR(__xludf.DUMMYFUNCTION("""COMPUTED_VALUE"""),1549.5)</f>
        <v>1549.5</v>
      </c>
      <c r="E474" s="2">
        <f>IFERROR(__xludf.DUMMYFUNCTION("""COMPUTED_VALUE"""),1562.9)</f>
        <v>1562.9</v>
      </c>
      <c r="F474" s="2">
        <f>IFERROR(__xludf.DUMMYFUNCTION("""COMPUTED_VALUE"""),2.23026E7)</f>
        <v>22302600</v>
      </c>
      <c r="G474" s="2">
        <f t="shared" si="1"/>
        <v>31.26</v>
      </c>
    </row>
    <row r="475" ht="15.75" customHeight="1">
      <c r="A475" s="1">
        <f>IFERROR(__xludf.DUMMYFUNCTION("""COMPUTED_VALUE"""),44539.66666666667)</f>
        <v>44539.66667</v>
      </c>
      <c r="B475" s="2">
        <f>IFERROR(__xludf.DUMMYFUNCTION("""COMPUTED_VALUE"""),1567.37)</f>
        <v>1567.37</v>
      </c>
      <c r="C475" s="2">
        <f>IFERROR(__xludf.DUMMYFUNCTION("""COMPUTED_VALUE"""),1571.83)</f>
        <v>1571.83</v>
      </c>
      <c r="D475" s="2">
        <f>IFERROR(__xludf.DUMMYFUNCTION("""COMPUTED_VALUE"""),1553.97)</f>
        <v>1553.97</v>
      </c>
      <c r="E475" s="2">
        <f>IFERROR(__xludf.DUMMYFUNCTION("""COMPUTED_VALUE"""),1562.9)</f>
        <v>1562.9</v>
      </c>
      <c r="F475" s="2">
        <f>IFERROR(__xludf.DUMMYFUNCTION("""COMPUTED_VALUE"""),7971800.0)</f>
        <v>7971800</v>
      </c>
      <c r="G475" s="2">
        <f t="shared" si="1"/>
        <v>17.86</v>
      </c>
    </row>
    <row r="476" ht="15.75" customHeight="1">
      <c r="A476" s="1">
        <f>IFERROR(__xludf.DUMMYFUNCTION("""COMPUTED_VALUE"""),44540.66666666667)</f>
        <v>44540.66667</v>
      </c>
      <c r="B476" s="2">
        <f>IFERROR(__xludf.DUMMYFUNCTION("""COMPUTED_VALUE"""),1558.43)</f>
        <v>1558.43</v>
      </c>
      <c r="C476" s="2">
        <f>IFERROR(__xludf.DUMMYFUNCTION("""COMPUTED_VALUE"""),1571.83)</f>
        <v>1571.83</v>
      </c>
      <c r="D476" s="2">
        <f>IFERROR(__xludf.DUMMYFUNCTION("""COMPUTED_VALUE"""),1549.5)</f>
        <v>1549.5</v>
      </c>
      <c r="E476" s="2">
        <f>IFERROR(__xludf.DUMMYFUNCTION("""COMPUTED_VALUE"""),1562.9)</f>
        <v>1562.9</v>
      </c>
      <c r="F476" s="2">
        <f>IFERROR(__xludf.DUMMYFUNCTION("""COMPUTED_VALUE"""),9045800.0)</f>
        <v>9045800</v>
      </c>
      <c r="G476" s="2">
        <f t="shared" si="1"/>
        <v>22.33</v>
      </c>
    </row>
    <row r="477" ht="15.75" customHeight="1">
      <c r="A477" s="1">
        <f>IFERROR(__xludf.DUMMYFUNCTION("""COMPUTED_VALUE"""),44543.66666666667)</f>
        <v>44543.66667</v>
      </c>
      <c r="B477" s="2">
        <f>IFERROR(__xludf.DUMMYFUNCTION("""COMPUTED_VALUE"""),1589.69)</f>
        <v>1589.69</v>
      </c>
      <c r="C477" s="2">
        <f>IFERROR(__xludf.DUMMYFUNCTION("""COMPUTED_VALUE"""),1589.69)</f>
        <v>1589.69</v>
      </c>
      <c r="D477" s="2">
        <f>IFERROR(__xludf.DUMMYFUNCTION("""COMPUTED_VALUE"""),1571.83)</f>
        <v>1571.83</v>
      </c>
      <c r="E477" s="2">
        <f>IFERROR(__xludf.DUMMYFUNCTION("""COMPUTED_VALUE"""),1576.3)</f>
        <v>1576.3</v>
      </c>
      <c r="F477" s="2">
        <f>IFERROR(__xludf.DUMMYFUNCTION("""COMPUTED_VALUE"""),1.73981E7)</f>
        <v>17398100</v>
      </c>
      <c r="G477" s="2">
        <f t="shared" si="1"/>
        <v>26.79</v>
      </c>
    </row>
    <row r="478" ht="15.75" customHeight="1">
      <c r="A478" s="1">
        <f>IFERROR(__xludf.DUMMYFUNCTION("""COMPUTED_VALUE"""),44544.66666666667)</f>
        <v>44544.66667</v>
      </c>
      <c r="B478" s="2">
        <f>IFERROR(__xludf.DUMMYFUNCTION("""COMPUTED_VALUE"""),1576.3)</f>
        <v>1576.3</v>
      </c>
      <c r="C478" s="2">
        <f>IFERROR(__xludf.DUMMYFUNCTION("""COMPUTED_VALUE"""),1576.3)</f>
        <v>1576.3</v>
      </c>
      <c r="D478" s="2">
        <f>IFERROR(__xludf.DUMMYFUNCTION("""COMPUTED_VALUE"""),1540.57)</f>
        <v>1540.57</v>
      </c>
      <c r="E478" s="2">
        <f>IFERROR(__xludf.DUMMYFUNCTION("""COMPUTED_VALUE"""),1562.9)</f>
        <v>1562.9</v>
      </c>
      <c r="F478" s="2">
        <f>IFERROR(__xludf.DUMMYFUNCTION("""COMPUTED_VALUE"""),1.87749E7)</f>
        <v>18774900</v>
      </c>
      <c r="G478" s="2">
        <f t="shared" si="1"/>
        <v>35.73</v>
      </c>
    </row>
    <row r="479" ht="15.75" customHeight="1">
      <c r="A479" s="1">
        <f>IFERROR(__xludf.DUMMYFUNCTION("""COMPUTED_VALUE"""),44545.66666666667)</f>
        <v>44545.66667</v>
      </c>
      <c r="B479" s="2">
        <f>IFERROR(__xludf.DUMMYFUNCTION("""COMPUTED_VALUE"""),1562.9)</f>
        <v>1562.9</v>
      </c>
      <c r="C479" s="2">
        <f>IFERROR(__xludf.DUMMYFUNCTION("""COMPUTED_VALUE"""),1598.62)</f>
        <v>1598.62</v>
      </c>
      <c r="D479" s="2">
        <f>IFERROR(__xludf.DUMMYFUNCTION("""COMPUTED_VALUE"""),1553.97)</f>
        <v>1553.97</v>
      </c>
      <c r="E479" s="2">
        <f>IFERROR(__xludf.DUMMYFUNCTION("""COMPUTED_VALUE"""),1571.83)</f>
        <v>1571.83</v>
      </c>
      <c r="F479" s="2">
        <f>IFERROR(__xludf.DUMMYFUNCTION("""COMPUTED_VALUE"""),1.73198E7)</f>
        <v>17319800</v>
      </c>
      <c r="G479" s="2">
        <f t="shared" si="1"/>
        <v>44.65</v>
      </c>
    </row>
    <row r="480" ht="15.75" customHeight="1">
      <c r="A480" s="1">
        <f>IFERROR(__xludf.DUMMYFUNCTION("""COMPUTED_VALUE"""),44546.66666666667)</f>
        <v>44546.66667</v>
      </c>
      <c r="B480" s="2">
        <f>IFERROR(__xludf.DUMMYFUNCTION("""COMPUTED_VALUE"""),1585.23)</f>
        <v>1585.23</v>
      </c>
      <c r="C480" s="2">
        <f>IFERROR(__xludf.DUMMYFUNCTION("""COMPUTED_VALUE"""),1598.62)</f>
        <v>1598.62</v>
      </c>
      <c r="D480" s="2">
        <f>IFERROR(__xludf.DUMMYFUNCTION("""COMPUTED_VALUE"""),1540.57)</f>
        <v>1540.57</v>
      </c>
      <c r="E480" s="2">
        <f>IFERROR(__xludf.DUMMYFUNCTION("""COMPUTED_VALUE"""),1540.57)</f>
        <v>1540.57</v>
      </c>
      <c r="F480" s="2">
        <f>IFERROR(__xludf.DUMMYFUNCTION("""COMPUTED_VALUE"""),1.85935E7)</f>
        <v>18593500</v>
      </c>
      <c r="G480" s="2">
        <f t="shared" si="1"/>
        <v>58.05</v>
      </c>
    </row>
    <row r="481" ht="15.75" customHeight="1">
      <c r="A481" s="1">
        <f>IFERROR(__xludf.DUMMYFUNCTION("""COMPUTED_VALUE"""),44547.66666666667)</f>
        <v>44547.66667</v>
      </c>
      <c r="B481" s="2">
        <f>IFERROR(__xludf.DUMMYFUNCTION("""COMPUTED_VALUE"""),1540.57)</f>
        <v>1540.57</v>
      </c>
      <c r="C481" s="2">
        <f>IFERROR(__xludf.DUMMYFUNCTION("""COMPUTED_VALUE"""),1567.37)</f>
        <v>1567.37</v>
      </c>
      <c r="D481" s="2">
        <f>IFERROR(__xludf.DUMMYFUNCTION("""COMPUTED_VALUE"""),1540.57)</f>
        <v>1540.57</v>
      </c>
      <c r="E481" s="2">
        <f>IFERROR(__xludf.DUMMYFUNCTION("""COMPUTED_VALUE"""),1540.57)</f>
        <v>1540.57</v>
      </c>
      <c r="F481" s="2">
        <f>IFERROR(__xludf.DUMMYFUNCTION("""COMPUTED_VALUE"""),9047900.0)</f>
        <v>9047900</v>
      </c>
      <c r="G481" s="2">
        <f t="shared" si="1"/>
        <v>26.8</v>
      </c>
    </row>
    <row r="482" ht="15.75" customHeight="1">
      <c r="A482" s="1">
        <f>IFERROR(__xludf.DUMMYFUNCTION("""COMPUTED_VALUE"""),44550.66666666667)</f>
        <v>44550.66667</v>
      </c>
      <c r="B482" s="2">
        <f>IFERROR(__xludf.DUMMYFUNCTION("""COMPUTED_VALUE"""),1536.11)</f>
        <v>1536.11</v>
      </c>
      <c r="C482" s="2">
        <f>IFERROR(__xludf.DUMMYFUNCTION("""COMPUTED_VALUE"""),1545.04)</f>
        <v>1545.04</v>
      </c>
      <c r="D482" s="2">
        <f>IFERROR(__xludf.DUMMYFUNCTION("""COMPUTED_VALUE"""),1527.18)</f>
        <v>1527.18</v>
      </c>
      <c r="E482" s="2">
        <f>IFERROR(__xludf.DUMMYFUNCTION("""COMPUTED_VALUE"""),1536.11)</f>
        <v>1536.11</v>
      </c>
      <c r="F482" s="2">
        <f>IFERROR(__xludf.DUMMYFUNCTION("""COMPUTED_VALUE"""),1.60459E7)</f>
        <v>16045900</v>
      </c>
      <c r="G482" s="2">
        <f t="shared" si="1"/>
        <v>17.86</v>
      </c>
    </row>
    <row r="483" ht="15.75" customHeight="1">
      <c r="A483" s="1">
        <f>IFERROR(__xludf.DUMMYFUNCTION("""COMPUTED_VALUE"""),44551.66666666667)</f>
        <v>44551.66667</v>
      </c>
      <c r="B483" s="2">
        <f>IFERROR(__xludf.DUMMYFUNCTION("""COMPUTED_VALUE"""),1536.11)</f>
        <v>1536.11</v>
      </c>
      <c r="C483" s="2">
        <f>IFERROR(__xludf.DUMMYFUNCTION("""COMPUTED_VALUE"""),1549.5)</f>
        <v>1549.5</v>
      </c>
      <c r="D483" s="2">
        <f>IFERROR(__xludf.DUMMYFUNCTION("""COMPUTED_VALUE"""),1504.85)</f>
        <v>1504.85</v>
      </c>
      <c r="E483" s="2">
        <f>IFERROR(__xludf.DUMMYFUNCTION("""COMPUTED_VALUE"""),1536.11)</f>
        <v>1536.11</v>
      </c>
      <c r="F483" s="2">
        <f>IFERROR(__xludf.DUMMYFUNCTION("""COMPUTED_VALUE"""),1.38566E7)</f>
        <v>13856600</v>
      </c>
      <c r="G483" s="2">
        <f t="shared" si="1"/>
        <v>44.65</v>
      </c>
    </row>
    <row r="484" ht="15.75" customHeight="1">
      <c r="A484" s="1">
        <f>IFERROR(__xludf.DUMMYFUNCTION("""COMPUTED_VALUE"""),44552.66666666667)</f>
        <v>44552.66667</v>
      </c>
      <c r="B484" s="2">
        <f>IFERROR(__xludf.DUMMYFUNCTION("""COMPUTED_VALUE"""),1536.11)</f>
        <v>1536.11</v>
      </c>
      <c r="C484" s="2">
        <f>IFERROR(__xludf.DUMMYFUNCTION("""COMPUTED_VALUE"""),1553.97)</f>
        <v>1553.97</v>
      </c>
      <c r="D484" s="2">
        <f>IFERROR(__xludf.DUMMYFUNCTION("""COMPUTED_VALUE"""),1531.64)</f>
        <v>1531.64</v>
      </c>
      <c r="E484" s="2">
        <f>IFERROR(__xludf.DUMMYFUNCTION("""COMPUTED_VALUE"""),1536.11)</f>
        <v>1536.11</v>
      </c>
      <c r="F484" s="2">
        <f>IFERROR(__xludf.DUMMYFUNCTION("""COMPUTED_VALUE"""),8763200.0)</f>
        <v>8763200</v>
      </c>
      <c r="G484" s="2">
        <f t="shared" si="1"/>
        <v>22.33</v>
      </c>
    </row>
    <row r="485" ht="15.75" customHeight="1">
      <c r="A485" s="1">
        <f>IFERROR(__xludf.DUMMYFUNCTION("""COMPUTED_VALUE"""),44553.66666666667)</f>
        <v>44553.66667</v>
      </c>
      <c r="B485" s="2">
        <f>IFERROR(__xludf.DUMMYFUNCTION("""COMPUTED_VALUE"""),1536.11)</f>
        <v>1536.11</v>
      </c>
      <c r="C485" s="2">
        <f>IFERROR(__xludf.DUMMYFUNCTION("""COMPUTED_VALUE"""),1549.5)</f>
        <v>1549.5</v>
      </c>
      <c r="D485" s="2">
        <f>IFERROR(__xludf.DUMMYFUNCTION("""COMPUTED_VALUE"""),1522.71)</f>
        <v>1522.71</v>
      </c>
      <c r="E485" s="2">
        <f>IFERROR(__xludf.DUMMYFUNCTION("""COMPUTED_VALUE"""),1540.57)</f>
        <v>1540.57</v>
      </c>
      <c r="F485" s="2">
        <f>IFERROR(__xludf.DUMMYFUNCTION("""COMPUTED_VALUE"""),5072600.0)</f>
        <v>5072600</v>
      </c>
      <c r="G485" s="2">
        <f t="shared" si="1"/>
        <v>26.79</v>
      </c>
    </row>
    <row r="486" ht="15.75" customHeight="1">
      <c r="A486" s="1">
        <f>IFERROR(__xludf.DUMMYFUNCTION("""COMPUTED_VALUE"""),44554.66666666667)</f>
        <v>44554.66667</v>
      </c>
      <c r="B486" s="2">
        <f>IFERROR(__xludf.DUMMYFUNCTION("""COMPUTED_VALUE"""),1540.57)</f>
        <v>1540.57</v>
      </c>
      <c r="C486" s="2">
        <f>IFERROR(__xludf.DUMMYFUNCTION("""COMPUTED_VALUE"""),1545.04)</f>
        <v>1545.04</v>
      </c>
      <c r="D486" s="2">
        <f>IFERROR(__xludf.DUMMYFUNCTION("""COMPUTED_VALUE"""),1522.71)</f>
        <v>1522.71</v>
      </c>
      <c r="E486" s="2">
        <f>IFERROR(__xludf.DUMMYFUNCTION("""COMPUTED_VALUE"""),1527.18)</f>
        <v>1527.18</v>
      </c>
      <c r="F486" s="2">
        <f>IFERROR(__xludf.DUMMYFUNCTION("""COMPUTED_VALUE"""),5722300.0)</f>
        <v>5722300</v>
      </c>
      <c r="G486" s="2">
        <f t="shared" si="1"/>
        <v>22.33</v>
      </c>
    </row>
    <row r="487" ht="15.75" customHeight="1">
      <c r="A487" s="1">
        <f>IFERROR(__xludf.DUMMYFUNCTION("""COMPUTED_VALUE"""),44557.66666666667)</f>
        <v>44557.66667</v>
      </c>
      <c r="B487" s="2">
        <f>IFERROR(__xludf.DUMMYFUNCTION("""COMPUTED_VALUE"""),1527.18)</f>
        <v>1527.18</v>
      </c>
      <c r="C487" s="2">
        <f>IFERROR(__xludf.DUMMYFUNCTION("""COMPUTED_VALUE"""),1527.18)</f>
        <v>1527.18</v>
      </c>
      <c r="D487" s="2">
        <f>IFERROR(__xludf.DUMMYFUNCTION("""COMPUTED_VALUE"""),1518.25)</f>
        <v>1518.25</v>
      </c>
      <c r="E487" s="2">
        <f>IFERROR(__xludf.DUMMYFUNCTION("""COMPUTED_VALUE"""),1527.18)</f>
        <v>1527.18</v>
      </c>
      <c r="F487" s="2">
        <f>IFERROR(__xludf.DUMMYFUNCTION("""COMPUTED_VALUE"""),7402800.0)</f>
        <v>7402800</v>
      </c>
      <c r="G487" s="2">
        <f t="shared" si="1"/>
        <v>8.93</v>
      </c>
    </row>
    <row r="488" ht="15.75" customHeight="1">
      <c r="A488" s="1">
        <f>IFERROR(__xludf.DUMMYFUNCTION("""COMPUTED_VALUE"""),44558.66666666667)</f>
        <v>44558.66667</v>
      </c>
      <c r="B488" s="2">
        <f>IFERROR(__xludf.DUMMYFUNCTION("""COMPUTED_VALUE"""),1527.18)</f>
        <v>1527.18</v>
      </c>
      <c r="C488" s="2">
        <f>IFERROR(__xludf.DUMMYFUNCTION("""COMPUTED_VALUE"""),1571.83)</f>
        <v>1571.83</v>
      </c>
      <c r="D488" s="2">
        <f>IFERROR(__xludf.DUMMYFUNCTION("""COMPUTED_VALUE"""),1518.25)</f>
        <v>1518.25</v>
      </c>
      <c r="E488" s="2">
        <f>IFERROR(__xludf.DUMMYFUNCTION("""COMPUTED_VALUE"""),1567.37)</f>
        <v>1567.37</v>
      </c>
      <c r="F488" s="2">
        <f>IFERROR(__xludf.DUMMYFUNCTION("""COMPUTED_VALUE"""),2.51453E7)</f>
        <v>25145300</v>
      </c>
      <c r="G488" s="2">
        <f t="shared" si="1"/>
        <v>53.58</v>
      </c>
    </row>
    <row r="489" ht="15.75" customHeight="1">
      <c r="A489" s="1">
        <f>IFERROR(__xludf.DUMMYFUNCTION("""COMPUTED_VALUE"""),44559.66666666667)</f>
        <v>44559.66667</v>
      </c>
      <c r="B489" s="2">
        <f>IFERROR(__xludf.DUMMYFUNCTION("""COMPUTED_VALUE"""),1567.37)</f>
        <v>1567.37</v>
      </c>
      <c r="C489" s="2">
        <f>IFERROR(__xludf.DUMMYFUNCTION("""COMPUTED_VALUE"""),1571.83)</f>
        <v>1571.83</v>
      </c>
      <c r="D489" s="2">
        <f>IFERROR(__xludf.DUMMYFUNCTION("""COMPUTED_VALUE"""),1536.11)</f>
        <v>1536.11</v>
      </c>
      <c r="E489" s="2">
        <f>IFERROR(__xludf.DUMMYFUNCTION("""COMPUTED_VALUE"""),1562.9)</f>
        <v>1562.9</v>
      </c>
      <c r="F489" s="2">
        <f>IFERROR(__xludf.DUMMYFUNCTION("""COMPUTED_VALUE"""),9161500.0)</f>
        <v>9161500</v>
      </c>
      <c r="G489" s="2">
        <f t="shared" si="1"/>
        <v>35.72</v>
      </c>
    </row>
    <row r="490" ht="15.75" customHeight="1">
      <c r="A490" s="1">
        <f>IFERROR(__xludf.DUMMYFUNCTION("""COMPUTED_VALUE"""),44560.66666666667)</f>
        <v>44560.66667</v>
      </c>
      <c r="B490" s="2">
        <f>IFERROR(__xludf.DUMMYFUNCTION("""COMPUTED_VALUE"""),1562.9)</f>
        <v>1562.9</v>
      </c>
      <c r="C490" s="2">
        <f>IFERROR(__xludf.DUMMYFUNCTION("""COMPUTED_VALUE"""),1567.37)</f>
        <v>1567.37</v>
      </c>
      <c r="D490" s="2">
        <f>IFERROR(__xludf.DUMMYFUNCTION("""COMPUTED_VALUE"""),1540.57)</f>
        <v>1540.57</v>
      </c>
      <c r="E490" s="2">
        <f>IFERROR(__xludf.DUMMYFUNCTION("""COMPUTED_VALUE"""),1545.04)</f>
        <v>1545.04</v>
      </c>
      <c r="F490" s="2">
        <f>IFERROR(__xludf.DUMMYFUNCTION("""COMPUTED_VALUE"""),7689600.0)</f>
        <v>7689600</v>
      </c>
      <c r="G490" s="2">
        <f t="shared" si="1"/>
        <v>26.8</v>
      </c>
    </row>
    <row r="491" ht="15.75" customHeight="1">
      <c r="A491" s="1">
        <f>IFERROR(__xludf.DUMMYFUNCTION("""COMPUTED_VALUE"""),44564.66666666667)</f>
        <v>44564.66667</v>
      </c>
      <c r="B491" s="2">
        <f>IFERROR(__xludf.DUMMYFUNCTION("""COMPUTED_VALUE"""),1545.04)</f>
        <v>1545.04</v>
      </c>
      <c r="C491" s="2">
        <f>IFERROR(__xludf.DUMMYFUNCTION("""COMPUTED_VALUE"""),1620.95)</f>
        <v>1620.95</v>
      </c>
      <c r="D491" s="2">
        <f>IFERROR(__xludf.DUMMYFUNCTION("""COMPUTED_VALUE"""),1536.11)</f>
        <v>1536.11</v>
      </c>
      <c r="E491" s="2">
        <f>IFERROR(__xludf.DUMMYFUNCTION("""COMPUTED_VALUE"""),1607.55)</f>
        <v>1607.55</v>
      </c>
      <c r="F491" s="2">
        <f>IFERROR(__xludf.DUMMYFUNCTION("""COMPUTED_VALUE"""),3.08382E7)</f>
        <v>30838200</v>
      </c>
      <c r="G491" s="2">
        <f t="shared" si="1"/>
        <v>84.84</v>
      </c>
    </row>
    <row r="492" ht="15.75" customHeight="1">
      <c r="A492" s="1">
        <f>IFERROR(__xludf.DUMMYFUNCTION("""COMPUTED_VALUE"""),44565.66666666667)</f>
        <v>44565.66667</v>
      </c>
      <c r="B492" s="2">
        <f>IFERROR(__xludf.DUMMYFUNCTION("""COMPUTED_VALUE"""),1620.95)</f>
        <v>1620.95</v>
      </c>
      <c r="C492" s="2">
        <f>IFERROR(__xludf.DUMMYFUNCTION("""COMPUTED_VALUE"""),1620.95)</f>
        <v>1620.95</v>
      </c>
      <c r="D492" s="2">
        <f>IFERROR(__xludf.DUMMYFUNCTION("""COMPUTED_VALUE"""),1598.62)</f>
        <v>1598.62</v>
      </c>
      <c r="E492" s="2">
        <f>IFERROR(__xludf.DUMMYFUNCTION("""COMPUTED_VALUE"""),1598.62)</f>
        <v>1598.62</v>
      </c>
      <c r="F492" s="2">
        <f>IFERROR(__xludf.DUMMYFUNCTION("""COMPUTED_VALUE"""),1.56302E7)</f>
        <v>15630200</v>
      </c>
      <c r="G492" s="2">
        <f t="shared" si="1"/>
        <v>22.33</v>
      </c>
    </row>
    <row r="493" ht="15.75" customHeight="1">
      <c r="A493" s="1">
        <f>IFERROR(__xludf.DUMMYFUNCTION("""COMPUTED_VALUE"""),44566.66666666667)</f>
        <v>44566.66667</v>
      </c>
      <c r="B493" s="2">
        <f>IFERROR(__xludf.DUMMYFUNCTION("""COMPUTED_VALUE"""),1589.69)</f>
        <v>1589.69</v>
      </c>
      <c r="C493" s="2">
        <f>IFERROR(__xludf.DUMMYFUNCTION("""COMPUTED_VALUE"""),1616.49)</f>
        <v>1616.49</v>
      </c>
      <c r="D493" s="2">
        <f>IFERROR(__xludf.DUMMYFUNCTION("""COMPUTED_VALUE"""),1540.57)</f>
        <v>1540.57</v>
      </c>
      <c r="E493" s="2">
        <f>IFERROR(__xludf.DUMMYFUNCTION("""COMPUTED_VALUE"""),1545.04)</f>
        <v>1545.04</v>
      </c>
      <c r="F493" s="2">
        <f>IFERROR(__xludf.DUMMYFUNCTION("""COMPUTED_VALUE"""),2.02785E7)</f>
        <v>20278500</v>
      </c>
      <c r="G493" s="2">
        <f t="shared" si="1"/>
        <v>75.92</v>
      </c>
    </row>
    <row r="494" ht="15.75" customHeight="1">
      <c r="A494" s="1">
        <f>IFERROR(__xludf.DUMMYFUNCTION("""COMPUTED_VALUE"""),44567.66666666667)</f>
        <v>44567.66667</v>
      </c>
      <c r="B494" s="2">
        <f>IFERROR(__xludf.DUMMYFUNCTION("""COMPUTED_VALUE"""),1531.64)</f>
        <v>1531.64</v>
      </c>
      <c r="C494" s="2">
        <f>IFERROR(__xludf.DUMMYFUNCTION("""COMPUTED_VALUE"""),1540.57)</f>
        <v>1540.57</v>
      </c>
      <c r="D494" s="2">
        <f>IFERROR(__xludf.DUMMYFUNCTION("""COMPUTED_VALUE"""),1509.32)</f>
        <v>1509.32</v>
      </c>
      <c r="E494" s="2">
        <f>IFERROR(__xludf.DUMMYFUNCTION("""COMPUTED_VALUE"""),1518.25)</f>
        <v>1518.25</v>
      </c>
      <c r="F494" s="2">
        <f>IFERROR(__xludf.DUMMYFUNCTION("""COMPUTED_VALUE"""),3.1229E7)</f>
        <v>31229000</v>
      </c>
      <c r="G494" s="2">
        <f t="shared" si="1"/>
        <v>35.72</v>
      </c>
    </row>
    <row r="495" ht="15.75" customHeight="1">
      <c r="A495" s="1">
        <f>IFERROR(__xludf.DUMMYFUNCTION("""COMPUTED_VALUE"""),44568.66666666667)</f>
        <v>44568.66667</v>
      </c>
      <c r="B495" s="2">
        <f>IFERROR(__xludf.DUMMYFUNCTION("""COMPUTED_VALUE"""),1527.18)</f>
        <v>1527.18</v>
      </c>
      <c r="C495" s="2">
        <f>IFERROR(__xludf.DUMMYFUNCTION("""COMPUTED_VALUE"""),1540.57)</f>
        <v>1540.57</v>
      </c>
      <c r="D495" s="2">
        <f>IFERROR(__xludf.DUMMYFUNCTION("""COMPUTED_VALUE"""),1518.25)</f>
        <v>1518.25</v>
      </c>
      <c r="E495" s="2">
        <f>IFERROR(__xludf.DUMMYFUNCTION("""COMPUTED_VALUE"""),1536.11)</f>
        <v>1536.11</v>
      </c>
      <c r="F495" s="2">
        <f>IFERROR(__xludf.DUMMYFUNCTION("""COMPUTED_VALUE"""),1.7526E7)</f>
        <v>17526000</v>
      </c>
      <c r="G495" s="2">
        <f t="shared" si="1"/>
        <v>22.32</v>
      </c>
    </row>
    <row r="496" ht="15.75" customHeight="1">
      <c r="A496" s="1">
        <f>IFERROR(__xludf.DUMMYFUNCTION("""COMPUTED_VALUE"""),44571.66666666667)</f>
        <v>44571.66667</v>
      </c>
      <c r="B496" s="2">
        <f>IFERROR(__xludf.DUMMYFUNCTION("""COMPUTED_VALUE"""),1536.11)</f>
        <v>1536.11</v>
      </c>
      <c r="C496" s="2">
        <f>IFERROR(__xludf.DUMMYFUNCTION("""COMPUTED_VALUE"""),1540.57)</f>
        <v>1540.57</v>
      </c>
      <c r="D496" s="2">
        <f>IFERROR(__xludf.DUMMYFUNCTION("""COMPUTED_VALUE"""),1518.25)</f>
        <v>1518.25</v>
      </c>
      <c r="E496" s="2">
        <f>IFERROR(__xludf.DUMMYFUNCTION("""COMPUTED_VALUE"""),1527.18)</f>
        <v>1527.18</v>
      </c>
      <c r="F496" s="2">
        <f>IFERROR(__xludf.DUMMYFUNCTION("""COMPUTED_VALUE"""),1.42335E7)</f>
        <v>14233500</v>
      </c>
      <c r="G496" s="2">
        <f t="shared" si="1"/>
        <v>22.32</v>
      </c>
    </row>
    <row r="497" ht="15.75" customHeight="1">
      <c r="A497" s="1">
        <f>IFERROR(__xludf.DUMMYFUNCTION("""COMPUTED_VALUE"""),44572.66666666667)</f>
        <v>44572.66667</v>
      </c>
      <c r="B497" s="2">
        <f>IFERROR(__xludf.DUMMYFUNCTION("""COMPUTED_VALUE"""),1518.25)</f>
        <v>1518.25</v>
      </c>
      <c r="C497" s="2">
        <f>IFERROR(__xludf.DUMMYFUNCTION("""COMPUTED_VALUE"""),1527.18)</f>
        <v>1527.18</v>
      </c>
      <c r="D497" s="2">
        <f>IFERROR(__xludf.DUMMYFUNCTION("""COMPUTED_VALUE"""),1513.78)</f>
        <v>1513.78</v>
      </c>
      <c r="E497" s="2">
        <f>IFERROR(__xludf.DUMMYFUNCTION("""COMPUTED_VALUE"""),1518.25)</f>
        <v>1518.25</v>
      </c>
      <c r="F497" s="2">
        <f>IFERROR(__xludf.DUMMYFUNCTION("""COMPUTED_VALUE"""),2.68082E7)</f>
        <v>26808200</v>
      </c>
      <c r="G497" s="2">
        <f t="shared" si="1"/>
        <v>13.4</v>
      </c>
    </row>
    <row r="498" ht="15.75" customHeight="1">
      <c r="A498" s="1">
        <f>IFERROR(__xludf.DUMMYFUNCTION("""COMPUTED_VALUE"""),44573.66666666667)</f>
        <v>44573.66667</v>
      </c>
      <c r="B498" s="2">
        <f>IFERROR(__xludf.DUMMYFUNCTION("""COMPUTED_VALUE"""),1522.71)</f>
        <v>1522.71</v>
      </c>
      <c r="C498" s="2">
        <f>IFERROR(__xludf.DUMMYFUNCTION("""COMPUTED_VALUE"""),1531.64)</f>
        <v>1531.64</v>
      </c>
      <c r="D498" s="2">
        <f>IFERROR(__xludf.DUMMYFUNCTION("""COMPUTED_VALUE"""),1504.85)</f>
        <v>1504.85</v>
      </c>
      <c r="E498" s="2">
        <f>IFERROR(__xludf.DUMMYFUNCTION("""COMPUTED_VALUE"""),1522.71)</f>
        <v>1522.71</v>
      </c>
      <c r="F498" s="2">
        <f>IFERROR(__xludf.DUMMYFUNCTION("""COMPUTED_VALUE"""),1.53798E7)</f>
        <v>15379800</v>
      </c>
      <c r="G498" s="2">
        <f t="shared" si="1"/>
        <v>26.79</v>
      </c>
    </row>
    <row r="499" ht="15.75" customHeight="1">
      <c r="A499" s="1">
        <f>IFERROR(__xludf.DUMMYFUNCTION("""COMPUTED_VALUE"""),44574.66666666667)</f>
        <v>44574.66667</v>
      </c>
      <c r="B499" s="2">
        <f>IFERROR(__xludf.DUMMYFUNCTION("""COMPUTED_VALUE"""),1536.11)</f>
        <v>1536.11</v>
      </c>
      <c r="C499" s="2">
        <f>IFERROR(__xludf.DUMMYFUNCTION("""COMPUTED_VALUE"""),1536.11)</f>
        <v>1536.11</v>
      </c>
      <c r="D499" s="2">
        <f>IFERROR(__xludf.DUMMYFUNCTION("""COMPUTED_VALUE"""),1513.78)</f>
        <v>1513.78</v>
      </c>
      <c r="E499" s="2">
        <f>IFERROR(__xludf.DUMMYFUNCTION("""COMPUTED_VALUE"""),1518.25)</f>
        <v>1518.25</v>
      </c>
      <c r="F499" s="2">
        <f>IFERROR(__xludf.DUMMYFUNCTION("""COMPUTED_VALUE"""),9942400.0)</f>
        <v>9942400</v>
      </c>
      <c r="G499" s="2">
        <f t="shared" si="1"/>
        <v>22.33</v>
      </c>
    </row>
    <row r="500" ht="15.75" customHeight="1">
      <c r="A500" s="1">
        <f>IFERROR(__xludf.DUMMYFUNCTION("""COMPUTED_VALUE"""),44575.66666666667)</f>
        <v>44575.66667</v>
      </c>
      <c r="B500" s="2">
        <f>IFERROR(__xludf.DUMMYFUNCTION("""COMPUTED_VALUE"""),1522.71)</f>
        <v>1522.71</v>
      </c>
      <c r="C500" s="2">
        <f>IFERROR(__xludf.DUMMYFUNCTION("""COMPUTED_VALUE"""),1545.04)</f>
        <v>1545.04</v>
      </c>
      <c r="D500" s="2">
        <f>IFERROR(__xludf.DUMMYFUNCTION("""COMPUTED_VALUE"""),1509.32)</f>
        <v>1509.32</v>
      </c>
      <c r="E500" s="2">
        <f>IFERROR(__xludf.DUMMYFUNCTION("""COMPUTED_VALUE"""),1536.11)</f>
        <v>1536.11</v>
      </c>
      <c r="F500" s="2">
        <f>IFERROR(__xludf.DUMMYFUNCTION("""COMPUTED_VALUE"""),9284400.0)</f>
        <v>9284400</v>
      </c>
      <c r="G500" s="2">
        <f t="shared" si="1"/>
        <v>35.72</v>
      </c>
    </row>
    <row r="501" ht="15.75" customHeight="1">
      <c r="A501" s="1">
        <f>IFERROR(__xludf.DUMMYFUNCTION("""COMPUTED_VALUE"""),44578.66666666667)</f>
        <v>44578.66667</v>
      </c>
      <c r="B501" s="2">
        <f>IFERROR(__xludf.DUMMYFUNCTION("""COMPUTED_VALUE"""),1536.11)</f>
        <v>1536.11</v>
      </c>
      <c r="C501" s="2">
        <f>IFERROR(__xludf.DUMMYFUNCTION("""COMPUTED_VALUE"""),1540.57)</f>
        <v>1540.57</v>
      </c>
      <c r="D501" s="2">
        <f>IFERROR(__xludf.DUMMYFUNCTION("""COMPUTED_VALUE"""),1509.32)</f>
        <v>1509.32</v>
      </c>
      <c r="E501" s="2">
        <f>IFERROR(__xludf.DUMMYFUNCTION("""COMPUTED_VALUE"""),1518.25)</f>
        <v>1518.25</v>
      </c>
      <c r="F501" s="2">
        <f>IFERROR(__xludf.DUMMYFUNCTION("""COMPUTED_VALUE"""),9770900.0)</f>
        <v>9770900</v>
      </c>
      <c r="G501" s="2">
        <f t="shared" si="1"/>
        <v>31.25</v>
      </c>
    </row>
    <row r="502" ht="15.75" customHeight="1">
      <c r="A502" s="1">
        <f>IFERROR(__xludf.DUMMYFUNCTION("""COMPUTED_VALUE"""),44579.66666666667)</f>
        <v>44579.66667</v>
      </c>
      <c r="B502" s="2">
        <f>IFERROR(__xludf.DUMMYFUNCTION("""COMPUTED_VALUE"""),1518.25)</f>
        <v>1518.25</v>
      </c>
      <c r="C502" s="2">
        <f>IFERROR(__xludf.DUMMYFUNCTION("""COMPUTED_VALUE"""),1522.71)</f>
        <v>1522.71</v>
      </c>
      <c r="D502" s="2">
        <f>IFERROR(__xludf.DUMMYFUNCTION("""COMPUTED_VALUE"""),1482.52)</f>
        <v>1482.52</v>
      </c>
      <c r="E502" s="2">
        <f>IFERROR(__xludf.DUMMYFUNCTION("""COMPUTED_VALUE"""),1518.25)</f>
        <v>1518.25</v>
      </c>
      <c r="F502" s="2">
        <f>IFERROR(__xludf.DUMMYFUNCTION("""COMPUTED_VALUE"""),2.41654E7)</f>
        <v>24165400</v>
      </c>
      <c r="G502" s="2">
        <f t="shared" si="1"/>
        <v>40.19</v>
      </c>
    </row>
    <row r="503" ht="15.75" customHeight="1">
      <c r="A503" s="1">
        <f>IFERROR(__xludf.DUMMYFUNCTION("""COMPUTED_VALUE"""),44580.66666666667)</f>
        <v>44580.66667</v>
      </c>
      <c r="B503" s="2">
        <f>IFERROR(__xludf.DUMMYFUNCTION("""COMPUTED_VALUE"""),1518.25)</f>
        <v>1518.25</v>
      </c>
      <c r="C503" s="2">
        <f>IFERROR(__xludf.DUMMYFUNCTION("""COMPUTED_VALUE"""),1522.71)</f>
        <v>1522.71</v>
      </c>
      <c r="D503" s="2">
        <f>IFERROR(__xludf.DUMMYFUNCTION("""COMPUTED_VALUE"""),1486.99)</f>
        <v>1486.99</v>
      </c>
      <c r="E503" s="2">
        <f>IFERROR(__xludf.DUMMYFUNCTION("""COMPUTED_VALUE"""),1500.38)</f>
        <v>1500.38</v>
      </c>
      <c r="F503" s="2">
        <f>IFERROR(__xludf.DUMMYFUNCTION("""COMPUTED_VALUE"""),3.60328E7)</f>
        <v>36032800</v>
      </c>
      <c r="G503" s="2">
        <f t="shared" si="1"/>
        <v>35.72</v>
      </c>
    </row>
    <row r="504" ht="15.75" customHeight="1">
      <c r="A504" s="1">
        <f>IFERROR(__xludf.DUMMYFUNCTION("""COMPUTED_VALUE"""),44581.66666666667)</f>
        <v>44581.66667</v>
      </c>
      <c r="B504" s="2">
        <f>IFERROR(__xludf.DUMMYFUNCTION("""COMPUTED_VALUE"""),1491.45)</f>
        <v>1491.45</v>
      </c>
      <c r="C504" s="2">
        <f>IFERROR(__xludf.DUMMYFUNCTION("""COMPUTED_VALUE"""),1518.25)</f>
        <v>1518.25</v>
      </c>
      <c r="D504" s="2">
        <f>IFERROR(__xludf.DUMMYFUNCTION("""COMPUTED_VALUE"""),1491.45)</f>
        <v>1491.45</v>
      </c>
      <c r="E504" s="2">
        <f>IFERROR(__xludf.DUMMYFUNCTION("""COMPUTED_VALUE"""),1500.38)</f>
        <v>1500.38</v>
      </c>
      <c r="F504" s="2">
        <f>IFERROR(__xludf.DUMMYFUNCTION("""COMPUTED_VALUE"""),1.45675E7)</f>
        <v>14567500</v>
      </c>
      <c r="G504" s="2">
        <f t="shared" si="1"/>
        <v>26.8</v>
      </c>
    </row>
    <row r="505" ht="15.75" customHeight="1">
      <c r="A505" s="1">
        <f>IFERROR(__xludf.DUMMYFUNCTION("""COMPUTED_VALUE"""),44582.66666666667)</f>
        <v>44582.66667</v>
      </c>
      <c r="B505" s="2">
        <f>IFERROR(__xludf.DUMMYFUNCTION("""COMPUTED_VALUE"""),1500.38)</f>
        <v>1500.38</v>
      </c>
      <c r="C505" s="2">
        <f>IFERROR(__xludf.DUMMYFUNCTION("""COMPUTED_VALUE"""),1509.32)</f>
        <v>1509.32</v>
      </c>
      <c r="D505" s="2">
        <f>IFERROR(__xludf.DUMMYFUNCTION("""COMPUTED_VALUE"""),1482.52)</f>
        <v>1482.52</v>
      </c>
      <c r="E505" s="2">
        <f>IFERROR(__xludf.DUMMYFUNCTION("""COMPUTED_VALUE"""),1491.45)</f>
        <v>1491.45</v>
      </c>
      <c r="F505" s="2">
        <f>IFERROR(__xludf.DUMMYFUNCTION("""COMPUTED_VALUE"""),1.87488E7)</f>
        <v>18748800</v>
      </c>
      <c r="G505" s="2">
        <f t="shared" si="1"/>
        <v>26.8</v>
      </c>
    </row>
    <row r="506" ht="15.75" customHeight="1">
      <c r="A506" s="1">
        <f>IFERROR(__xludf.DUMMYFUNCTION("""COMPUTED_VALUE"""),44585.66666666667)</f>
        <v>44585.66667</v>
      </c>
      <c r="B506" s="2">
        <f>IFERROR(__xludf.DUMMYFUNCTION("""COMPUTED_VALUE"""),1491.45)</f>
        <v>1491.45</v>
      </c>
      <c r="C506" s="2">
        <f>IFERROR(__xludf.DUMMYFUNCTION("""COMPUTED_VALUE"""),1509.32)</f>
        <v>1509.32</v>
      </c>
      <c r="D506" s="2">
        <f>IFERROR(__xludf.DUMMYFUNCTION("""COMPUTED_VALUE"""),1455.73)</f>
        <v>1455.73</v>
      </c>
      <c r="E506" s="2">
        <f>IFERROR(__xludf.DUMMYFUNCTION("""COMPUTED_VALUE"""),1482.52)</f>
        <v>1482.52</v>
      </c>
      <c r="F506" s="2">
        <f>IFERROR(__xludf.DUMMYFUNCTION("""COMPUTED_VALUE"""),2.71604E7)</f>
        <v>27160400</v>
      </c>
      <c r="G506" s="2">
        <f t="shared" si="1"/>
        <v>53.59</v>
      </c>
    </row>
    <row r="507" ht="15.75" customHeight="1">
      <c r="A507" s="1">
        <f>IFERROR(__xludf.DUMMYFUNCTION("""COMPUTED_VALUE"""),44586.66666666667)</f>
        <v>44586.66667</v>
      </c>
      <c r="B507" s="2">
        <f>IFERROR(__xludf.DUMMYFUNCTION("""COMPUTED_VALUE"""),1469.13)</f>
        <v>1469.13</v>
      </c>
      <c r="C507" s="2">
        <f>IFERROR(__xludf.DUMMYFUNCTION("""COMPUTED_VALUE"""),1495.92)</f>
        <v>1495.92</v>
      </c>
      <c r="D507" s="2">
        <f>IFERROR(__xludf.DUMMYFUNCTION("""COMPUTED_VALUE"""),1397.68)</f>
        <v>1397.68</v>
      </c>
      <c r="E507" s="2">
        <f>IFERROR(__xludf.DUMMYFUNCTION("""COMPUTED_VALUE"""),1397.68)</f>
        <v>1397.68</v>
      </c>
      <c r="F507" s="2">
        <f>IFERROR(__xludf.DUMMYFUNCTION("""COMPUTED_VALUE"""),4.66268E7)</f>
        <v>46626800</v>
      </c>
      <c r="G507" s="2">
        <f t="shared" si="1"/>
        <v>98.24</v>
      </c>
    </row>
    <row r="508" ht="15.75" customHeight="1">
      <c r="A508" s="1">
        <f>IFERROR(__xludf.DUMMYFUNCTION("""COMPUTED_VALUE"""),44587.66666666667)</f>
        <v>44587.66667</v>
      </c>
      <c r="B508" s="2">
        <f>IFERROR(__xludf.DUMMYFUNCTION("""COMPUTED_VALUE"""),1393.21)</f>
        <v>1393.21</v>
      </c>
      <c r="C508" s="2">
        <f>IFERROR(__xludf.DUMMYFUNCTION("""COMPUTED_VALUE"""),1433.4)</f>
        <v>1433.4</v>
      </c>
      <c r="D508" s="2">
        <f>IFERROR(__xludf.DUMMYFUNCTION("""COMPUTED_VALUE"""),1384.28)</f>
        <v>1384.28</v>
      </c>
      <c r="E508" s="2">
        <f>IFERROR(__xludf.DUMMYFUNCTION("""COMPUTED_VALUE"""),1424.47)</f>
        <v>1424.47</v>
      </c>
      <c r="F508" s="2">
        <f>IFERROR(__xludf.DUMMYFUNCTION("""COMPUTED_VALUE"""),3.39719E7)</f>
        <v>33971900</v>
      </c>
      <c r="G508" s="2">
        <f t="shared" si="1"/>
        <v>49.12</v>
      </c>
    </row>
    <row r="509" ht="15.75" customHeight="1">
      <c r="A509" s="1">
        <f>IFERROR(__xludf.DUMMYFUNCTION("""COMPUTED_VALUE"""),44588.66666666667)</f>
        <v>44588.66667</v>
      </c>
      <c r="B509" s="2">
        <f>IFERROR(__xludf.DUMMYFUNCTION("""COMPUTED_VALUE"""),1411.08)</f>
        <v>1411.08</v>
      </c>
      <c r="C509" s="2">
        <f>IFERROR(__xludf.DUMMYFUNCTION("""COMPUTED_VALUE"""),1437.87)</f>
        <v>1437.87</v>
      </c>
      <c r="D509" s="2">
        <f>IFERROR(__xludf.DUMMYFUNCTION("""COMPUTED_VALUE"""),1388.75)</f>
        <v>1388.75</v>
      </c>
      <c r="E509" s="2">
        <f>IFERROR(__xludf.DUMMYFUNCTION("""COMPUTED_VALUE"""),1388.75)</f>
        <v>1388.75</v>
      </c>
      <c r="F509" s="2">
        <f>IFERROR(__xludf.DUMMYFUNCTION("""COMPUTED_VALUE"""),2.32439E7)</f>
        <v>23243900</v>
      </c>
      <c r="G509" s="2">
        <f t="shared" si="1"/>
        <v>49.12</v>
      </c>
    </row>
    <row r="510" ht="15.75" customHeight="1">
      <c r="A510" s="1">
        <f>IFERROR(__xludf.DUMMYFUNCTION("""COMPUTED_VALUE"""),44589.66666666667)</f>
        <v>44589.66667</v>
      </c>
      <c r="B510" s="2">
        <f>IFERROR(__xludf.DUMMYFUNCTION("""COMPUTED_VALUE"""),1397.68)</f>
        <v>1397.68</v>
      </c>
      <c r="C510" s="2">
        <f>IFERROR(__xludf.DUMMYFUNCTION("""COMPUTED_VALUE"""),1558.43)</f>
        <v>1558.43</v>
      </c>
      <c r="D510" s="2">
        <f>IFERROR(__xludf.DUMMYFUNCTION("""COMPUTED_VALUE"""),1397.68)</f>
        <v>1397.68</v>
      </c>
      <c r="E510" s="2">
        <f>IFERROR(__xludf.DUMMYFUNCTION("""COMPUTED_VALUE"""),1549.5)</f>
        <v>1549.5</v>
      </c>
      <c r="F510" s="2">
        <f>IFERROR(__xludf.DUMMYFUNCTION("""COMPUTED_VALUE"""),5.69076E7)</f>
        <v>56907600</v>
      </c>
      <c r="G510" s="2">
        <f t="shared" si="1"/>
        <v>169.68</v>
      </c>
    </row>
    <row r="511" ht="15.75" customHeight="1">
      <c r="A511" s="1">
        <f>IFERROR(__xludf.DUMMYFUNCTION("""COMPUTED_VALUE"""),44592.66666666667)</f>
        <v>44592.66667</v>
      </c>
      <c r="B511" s="2">
        <f>IFERROR(__xludf.DUMMYFUNCTION("""COMPUTED_VALUE"""),1540.57)</f>
        <v>1540.57</v>
      </c>
      <c r="C511" s="2">
        <f>IFERROR(__xludf.DUMMYFUNCTION("""COMPUTED_VALUE"""),1545.04)</f>
        <v>1545.04</v>
      </c>
      <c r="D511" s="2">
        <f>IFERROR(__xludf.DUMMYFUNCTION("""COMPUTED_VALUE"""),1500.38)</f>
        <v>1500.38</v>
      </c>
      <c r="E511" s="2">
        <f>IFERROR(__xludf.DUMMYFUNCTION("""COMPUTED_VALUE"""),1509.32)</f>
        <v>1509.32</v>
      </c>
      <c r="F511" s="2">
        <f>IFERROR(__xludf.DUMMYFUNCTION("""COMPUTED_VALUE"""),3.12851E7)</f>
        <v>31285100</v>
      </c>
      <c r="G511" s="2">
        <f t="shared" si="1"/>
        <v>49.12</v>
      </c>
    </row>
    <row r="512" ht="15.75" customHeight="1">
      <c r="A512" s="1">
        <f>IFERROR(__xludf.DUMMYFUNCTION("""COMPUTED_VALUE"""),44594.66666666667)</f>
        <v>44594.66667</v>
      </c>
      <c r="B512" s="2">
        <f>IFERROR(__xludf.DUMMYFUNCTION("""COMPUTED_VALUE"""),1518.25)</f>
        <v>1518.25</v>
      </c>
      <c r="C512" s="2">
        <f>IFERROR(__xludf.DUMMYFUNCTION("""COMPUTED_VALUE"""),1522.71)</f>
        <v>1522.71</v>
      </c>
      <c r="D512" s="2">
        <f>IFERROR(__xludf.DUMMYFUNCTION("""COMPUTED_VALUE"""),1491.45)</f>
        <v>1491.45</v>
      </c>
      <c r="E512" s="2">
        <f>IFERROR(__xludf.DUMMYFUNCTION("""COMPUTED_VALUE"""),1491.45)</f>
        <v>1491.45</v>
      </c>
      <c r="F512" s="2">
        <f>IFERROR(__xludf.DUMMYFUNCTION("""COMPUTED_VALUE"""),1.33721E7)</f>
        <v>13372100</v>
      </c>
      <c r="G512" s="2">
        <f t="shared" si="1"/>
        <v>31.26</v>
      </c>
    </row>
    <row r="513" ht="15.75" customHeight="1">
      <c r="A513" s="1">
        <f>IFERROR(__xludf.DUMMYFUNCTION("""COMPUTED_VALUE"""),44595.66666666667)</f>
        <v>44595.66667</v>
      </c>
      <c r="B513" s="2">
        <f>IFERROR(__xludf.DUMMYFUNCTION("""COMPUTED_VALUE"""),1495.92)</f>
        <v>1495.92</v>
      </c>
      <c r="C513" s="2">
        <f>IFERROR(__xludf.DUMMYFUNCTION("""COMPUTED_VALUE"""),1495.92)</f>
        <v>1495.92</v>
      </c>
      <c r="D513" s="2">
        <f>IFERROR(__xludf.DUMMYFUNCTION("""COMPUTED_VALUE"""),1473.59)</f>
        <v>1473.59</v>
      </c>
      <c r="E513" s="2">
        <f>IFERROR(__xludf.DUMMYFUNCTION("""COMPUTED_VALUE"""),1482.52)</f>
        <v>1482.52</v>
      </c>
      <c r="F513" s="2">
        <f>IFERROR(__xludf.DUMMYFUNCTION("""COMPUTED_VALUE"""),1.38272E7)</f>
        <v>13827200</v>
      </c>
      <c r="G513" s="2">
        <f t="shared" si="1"/>
        <v>22.33</v>
      </c>
    </row>
    <row r="514" ht="15.75" customHeight="1">
      <c r="A514" s="1">
        <f>IFERROR(__xludf.DUMMYFUNCTION("""COMPUTED_VALUE"""),44596.66666666667)</f>
        <v>44596.66667</v>
      </c>
      <c r="B514" s="2">
        <f>IFERROR(__xludf.DUMMYFUNCTION("""COMPUTED_VALUE"""),1482.52)</f>
        <v>1482.52</v>
      </c>
      <c r="C514" s="2">
        <f>IFERROR(__xludf.DUMMYFUNCTION("""COMPUTED_VALUE"""),1536.11)</f>
        <v>1536.11</v>
      </c>
      <c r="D514" s="2">
        <f>IFERROR(__xludf.DUMMYFUNCTION("""COMPUTED_VALUE"""),1478.06)</f>
        <v>1478.06</v>
      </c>
      <c r="E514" s="2">
        <f>IFERROR(__xludf.DUMMYFUNCTION("""COMPUTED_VALUE"""),1522.71)</f>
        <v>1522.71</v>
      </c>
      <c r="F514" s="2">
        <f>IFERROR(__xludf.DUMMYFUNCTION("""COMPUTED_VALUE"""),1.84721E7)</f>
        <v>18472100</v>
      </c>
      <c r="G514" s="2">
        <f t="shared" si="1"/>
        <v>58.05</v>
      </c>
    </row>
    <row r="515" ht="15.75" customHeight="1">
      <c r="A515" s="1">
        <f>IFERROR(__xludf.DUMMYFUNCTION("""COMPUTED_VALUE"""),44599.66666666667)</f>
        <v>44599.66667</v>
      </c>
      <c r="B515" s="2">
        <f>IFERROR(__xludf.DUMMYFUNCTION("""COMPUTED_VALUE"""),1527.18)</f>
        <v>1527.18</v>
      </c>
      <c r="C515" s="2">
        <f>IFERROR(__xludf.DUMMYFUNCTION("""COMPUTED_VALUE"""),1576.3)</f>
        <v>1576.3</v>
      </c>
      <c r="D515" s="2">
        <f>IFERROR(__xludf.DUMMYFUNCTION("""COMPUTED_VALUE"""),1522.71)</f>
        <v>1522.71</v>
      </c>
      <c r="E515" s="2">
        <f>IFERROR(__xludf.DUMMYFUNCTION("""COMPUTED_VALUE"""),1567.37)</f>
        <v>1567.37</v>
      </c>
      <c r="F515" s="2">
        <f>IFERROR(__xludf.DUMMYFUNCTION("""COMPUTED_VALUE"""),4.10083E7)</f>
        <v>41008300</v>
      </c>
      <c r="G515" s="2">
        <f t="shared" si="1"/>
        <v>53.59</v>
      </c>
    </row>
    <row r="516" ht="15.75" customHeight="1">
      <c r="A516" s="1">
        <f>IFERROR(__xludf.DUMMYFUNCTION("""COMPUTED_VALUE"""),44600.66666666667)</f>
        <v>44600.66667</v>
      </c>
      <c r="B516" s="2">
        <f>IFERROR(__xludf.DUMMYFUNCTION("""COMPUTED_VALUE"""),1589.69)</f>
        <v>1589.69</v>
      </c>
      <c r="C516" s="2">
        <f>IFERROR(__xludf.DUMMYFUNCTION("""COMPUTED_VALUE"""),1598.62)</f>
        <v>1598.62</v>
      </c>
      <c r="D516" s="2">
        <f>IFERROR(__xludf.DUMMYFUNCTION("""COMPUTED_VALUE"""),1553.97)</f>
        <v>1553.97</v>
      </c>
      <c r="E516" s="2">
        <f>IFERROR(__xludf.DUMMYFUNCTION("""COMPUTED_VALUE"""),1562.9)</f>
        <v>1562.9</v>
      </c>
      <c r="F516" s="2">
        <f>IFERROR(__xludf.DUMMYFUNCTION("""COMPUTED_VALUE"""),5.59555E7)</f>
        <v>55955500</v>
      </c>
      <c r="G516" s="2">
        <f t="shared" si="1"/>
        <v>44.65</v>
      </c>
    </row>
    <row r="517" ht="15.75" customHeight="1">
      <c r="A517" s="1">
        <f>IFERROR(__xludf.DUMMYFUNCTION("""COMPUTED_VALUE"""),44601.66666666667)</f>
        <v>44601.66667</v>
      </c>
      <c r="B517" s="2">
        <f>IFERROR(__xludf.DUMMYFUNCTION("""COMPUTED_VALUE"""),1580.76)</f>
        <v>1580.76</v>
      </c>
      <c r="C517" s="2">
        <f>IFERROR(__xludf.DUMMYFUNCTION("""COMPUTED_VALUE"""),1607.55)</f>
        <v>1607.55</v>
      </c>
      <c r="D517" s="2">
        <f>IFERROR(__xludf.DUMMYFUNCTION("""COMPUTED_VALUE"""),1580.76)</f>
        <v>1580.76</v>
      </c>
      <c r="E517" s="2">
        <f>IFERROR(__xludf.DUMMYFUNCTION("""COMPUTED_VALUE"""),1585.23)</f>
        <v>1585.23</v>
      </c>
      <c r="F517" s="2">
        <f>IFERROR(__xludf.DUMMYFUNCTION("""COMPUTED_VALUE"""),6.83047E7)</f>
        <v>68304700</v>
      </c>
      <c r="G517" s="2">
        <f t="shared" si="1"/>
        <v>44.65</v>
      </c>
    </row>
    <row r="518" ht="15.75" customHeight="1">
      <c r="A518" s="1">
        <f>IFERROR(__xludf.DUMMYFUNCTION("""COMPUTED_VALUE"""),44602.66666666667)</f>
        <v>44602.66667</v>
      </c>
      <c r="B518" s="2">
        <f>IFERROR(__xludf.DUMMYFUNCTION("""COMPUTED_VALUE"""),1594.16)</f>
        <v>1594.16</v>
      </c>
      <c r="C518" s="2">
        <f>IFERROR(__xludf.DUMMYFUNCTION("""COMPUTED_VALUE"""),1603.09)</f>
        <v>1603.09</v>
      </c>
      <c r="D518" s="2">
        <f>IFERROR(__xludf.DUMMYFUNCTION("""COMPUTED_VALUE"""),1567.37)</f>
        <v>1567.37</v>
      </c>
      <c r="E518" s="2">
        <f>IFERROR(__xludf.DUMMYFUNCTION("""COMPUTED_VALUE"""),1580.76)</f>
        <v>1580.76</v>
      </c>
      <c r="F518" s="2">
        <f>IFERROR(__xludf.DUMMYFUNCTION("""COMPUTED_VALUE"""),3.4065E7)</f>
        <v>34065000</v>
      </c>
      <c r="G518" s="2">
        <f t="shared" si="1"/>
        <v>35.72</v>
      </c>
    </row>
    <row r="519" ht="15.75" customHeight="1">
      <c r="A519" s="1">
        <f>IFERROR(__xludf.DUMMYFUNCTION("""COMPUTED_VALUE"""),44603.66666666667)</f>
        <v>44603.66667</v>
      </c>
      <c r="B519" s="2">
        <f>IFERROR(__xludf.DUMMYFUNCTION("""COMPUTED_VALUE"""),1580.76)</f>
        <v>1580.76</v>
      </c>
      <c r="C519" s="2">
        <f>IFERROR(__xludf.DUMMYFUNCTION("""COMPUTED_VALUE"""),1589.69)</f>
        <v>1589.69</v>
      </c>
      <c r="D519" s="2">
        <f>IFERROR(__xludf.DUMMYFUNCTION("""COMPUTED_VALUE"""),1567.37)</f>
        <v>1567.37</v>
      </c>
      <c r="E519" s="2">
        <f>IFERROR(__xludf.DUMMYFUNCTION("""COMPUTED_VALUE"""),1580.76)</f>
        <v>1580.76</v>
      </c>
      <c r="F519" s="2">
        <f>IFERROR(__xludf.DUMMYFUNCTION("""COMPUTED_VALUE"""),2.19735E7)</f>
        <v>21973500</v>
      </c>
      <c r="G519" s="2">
        <f t="shared" si="1"/>
        <v>22.32</v>
      </c>
    </row>
    <row r="520" ht="15.75" customHeight="1">
      <c r="A520" s="1">
        <f>IFERROR(__xludf.DUMMYFUNCTION("""COMPUTED_VALUE"""),44606.66666666667)</f>
        <v>44606.66667</v>
      </c>
      <c r="B520" s="2">
        <f>IFERROR(__xludf.DUMMYFUNCTION("""COMPUTED_VALUE"""),1580.76)</f>
        <v>1580.76</v>
      </c>
      <c r="C520" s="2">
        <f>IFERROR(__xludf.DUMMYFUNCTION("""COMPUTED_VALUE"""),1580.76)</f>
        <v>1580.76</v>
      </c>
      <c r="D520" s="2">
        <f>IFERROR(__xludf.DUMMYFUNCTION("""COMPUTED_VALUE"""),1553.97)</f>
        <v>1553.97</v>
      </c>
      <c r="E520" s="2">
        <f>IFERROR(__xludf.DUMMYFUNCTION("""COMPUTED_VALUE"""),1580.76)</f>
        <v>1580.76</v>
      </c>
      <c r="F520" s="2">
        <f>IFERROR(__xludf.DUMMYFUNCTION("""COMPUTED_VALUE"""),2.28034E7)</f>
        <v>22803400</v>
      </c>
      <c r="G520" s="2">
        <f t="shared" si="1"/>
        <v>26.79</v>
      </c>
    </row>
    <row r="521" ht="15.75" customHeight="1">
      <c r="A521" s="1">
        <f>IFERROR(__xludf.DUMMYFUNCTION("""COMPUTED_VALUE"""),44607.66666666667)</f>
        <v>44607.66667</v>
      </c>
      <c r="B521" s="2">
        <f>IFERROR(__xludf.DUMMYFUNCTION("""COMPUTED_VALUE"""),1580.76)</f>
        <v>1580.76</v>
      </c>
      <c r="C521" s="2">
        <f>IFERROR(__xludf.DUMMYFUNCTION("""COMPUTED_VALUE"""),1625.42)</f>
        <v>1625.42</v>
      </c>
      <c r="D521" s="2">
        <f>IFERROR(__xludf.DUMMYFUNCTION("""COMPUTED_VALUE"""),1576.3)</f>
        <v>1576.3</v>
      </c>
      <c r="E521" s="2">
        <f>IFERROR(__xludf.DUMMYFUNCTION("""COMPUTED_VALUE"""),1620.95)</f>
        <v>1620.95</v>
      </c>
      <c r="F521" s="2">
        <f>IFERROR(__xludf.DUMMYFUNCTION("""COMPUTED_VALUE"""),7.65325E7)</f>
        <v>76532500</v>
      </c>
      <c r="G521" s="2">
        <f t="shared" si="1"/>
        <v>49.12</v>
      </c>
    </row>
    <row r="522" ht="15.75" customHeight="1">
      <c r="A522" s="1">
        <f>IFERROR(__xludf.DUMMYFUNCTION("""COMPUTED_VALUE"""),44608.66666666667)</f>
        <v>44608.66667</v>
      </c>
      <c r="B522" s="2">
        <f>IFERROR(__xludf.DUMMYFUNCTION("""COMPUTED_VALUE"""),1629.88)</f>
        <v>1629.88</v>
      </c>
      <c r="C522" s="2">
        <f>IFERROR(__xludf.DUMMYFUNCTION("""COMPUTED_VALUE"""),1638.81)</f>
        <v>1638.81</v>
      </c>
      <c r="D522" s="2">
        <f>IFERROR(__xludf.DUMMYFUNCTION("""COMPUTED_VALUE"""),1612.02)</f>
        <v>1612.02</v>
      </c>
      <c r="E522" s="2">
        <f>IFERROR(__xludf.DUMMYFUNCTION("""COMPUTED_VALUE"""),1612.02)</f>
        <v>1612.02</v>
      </c>
      <c r="F522" s="2">
        <f>IFERROR(__xludf.DUMMYFUNCTION("""COMPUTED_VALUE"""),4.73753E7)</f>
        <v>47375300</v>
      </c>
      <c r="G522" s="2">
        <f t="shared" si="1"/>
        <v>26.79</v>
      </c>
    </row>
    <row r="523" ht="15.75" customHeight="1">
      <c r="A523" s="1">
        <f>IFERROR(__xludf.DUMMYFUNCTION("""COMPUTED_VALUE"""),44609.66666666667)</f>
        <v>44609.66667</v>
      </c>
      <c r="B523" s="2">
        <f>IFERROR(__xludf.DUMMYFUNCTION("""COMPUTED_VALUE"""),1612.02)</f>
        <v>1612.02</v>
      </c>
      <c r="C523" s="2">
        <f>IFERROR(__xludf.DUMMYFUNCTION("""COMPUTED_VALUE"""),1620.95)</f>
        <v>1620.95</v>
      </c>
      <c r="D523" s="2">
        <f>IFERROR(__xludf.DUMMYFUNCTION("""COMPUTED_VALUE"""),1585.23)</f>
        <v>1585.23</v>
      </c>
      <c r="E523" s="2">
        <f>IFERROR(__xludf.DUMMYFUNCTION("""COMPUTED_VALUE"""),1607.55)</f>
        <v>1607.55</v>
      </c>
      <c r="F523" s="2">
        <f>IFERROR(__xludf.DUMMYFUNCTION("""COMPUTED_VALUE"""),1.32904E7)</f>
        <v>13290400</v>
      </c>
      <c r="G523" s="2">
        <f t="shared" si="1"/>
        <v>35.72</v>
      </c>
    </row>
    <row r="524" ht="15.75" customHeight="1">
      <c r="A524" s="1">
        <f>IFERROR(__xludf.DUMMYFUNCTION("""COMPUTED_VALUE"""),44610.66666666667)</f>
        <v>44610.66667</v>
      </c>
      <c r="B524" s="2">
        <f>IFERROR(__xludf.DUMMYFUNCTION("""COMPUTED_VALUE"""),1607.55)</f>
        <v>1607.55</v>
      </c>
      <c r="C524" s="2">
        <f>IFERROR(__xludf.DUMMYFUNCTION("""COMPUTED_VALUE"""),1616.49)</f>
        <v>1616.49</v>
      </c>
      <c r="D524" s="2">
        <f>IFERROR(__xludf.DUMMYFUNCTION("""COMPUTED_VALUE"""),1594.16)</f>
        <v>1594.16</v>
      </c>
      <c r="E524" s="2">
        <f>IFERROR(__xludf.DUMMYFUNCTION("""COMPUTED_VALUE"""),1603.09)</f>
        <v>1603.09</v>
      </c>
      <c r="F524" s="2">
        <f>IFERROR(__xludf.DUMMYFUNCTION("""COMPUTED_VALUE"""),1.63988E7)</f>
        <v>16398800</v>
      </c>
      <c r="G524" s="2">
        <f t="shared" si="1"/>
        <v>22.33</v>
      </c>
    </row>
    <row r="525" ht="15.75" customHeight="1">
      <c r="A525" s="1">
        <f>IFERROR(__xludf.DUMMYFUNCTION("""COMPUTED_VALUE"""),44613.66666666667)</f>
        <v>44613.66667</v>
      </c>
      <c r="B525" s="2">
        <f>IFERROR(__xludf.DUMMYFUNCTION("""COMPUTED_VALUE"""),1603.09)</f>
        <v>1603.09</v>
      </c>
      <c r="C525" s="2">
        <f>IFERROR(__xludf.DUMMYFUNCTION("""COMPUTED_VALUE"""),1612.02)</f>
        <v>1612.02</v>
      </c>
      <c r="D525" s="2">
        <f>IFERROR(__xludf.DUMMYFUNCTION("""COMPUTED_VALUE"""),1576.3)</f>
        <v>1576.3</v>
      </c>
      <c r="E525" s="2">
        <f>IFERROR(__xludf.DUMMYFUNCTION("""COMPUTED_VALUE"""),1612.02)</f>
        <v>1612.02</v>
      </c>
      <c r="F525" s="2">
        <f>IFERROR(__xludf.DUMMYFUNCTION("""COMPUTED_VALUE"""),2.46879E7)</f>
        <v>24687900</v>
      </c>
      <c r="G525" s="2">
        <f t="shared" si="1"/>
        <v>35.72</v>
      </c>
    </row>
    <row r="526" ht="15.75" customHeight="1">
      <c r="A526" s="1">
        <f>IFERROR(__xludf.DUMMYFUNCTION("""COMPUTED_VALUE"""),44614.66666666667)</f>
        <v>44614.66667</v>
      </c>
      <c r="B526" s="2">
        <f>IFERROR(__xludf.DUMMYFUNCTION("""COMPUTED_VALUE"""),1603.09)</f>
        <v>1603.09</v>
      </c>
      <c r="C526" s="2">
        <f>IFERROR(__xludf.DUMMYFUNCTION("""COMPUTED_VALUE"""),1603.09)</f>
        <v>1603.09</v>
      </c>
      <c r="D526" s="2">
        <f>IFERROR(__xludf.DUMMYFUNCTION("""COMPUTED_VALUE"""),1553.97)</f>
        <v>1553.97</v>
      </c>
      <c r="E526" s="2">
        <f>IFERROR(__xludf.DUMMYFUNCTION("""COMPUTED_VALUE"""),1562.9)</f>
        <v>1562.9</v>
      </c>
      <c r="F526" s="2">
        <f>IFERROR(__xludf.DUMMYFUNCTION("""COMPUTED_VALUE"""),2.75134E7)</f>
        <v>27513400</v>
      </c>
      <c r="G526" s="2">
        <f t="shared" si="1"/>
        <v>58.05</v>
      </c>
    </row>
    <row r="527" ht="15.75" customHeight="1">
      <c r="A527" s="1">
        <f>IFERROR(__xludf.DUMMYFUNCTION("""COMPUTED_VALUE"""),44615.66666666667)</f>
        <v>44615.66667</v>
      </c>
      <c r="B527" s="2">
        <f>IFERROR(__xludf.DUMMYFUNCTION("""COMPUTED_VALUE"""),1562.9)</f>
        <v>1562.9</v>
      </c>
      <c r="C527" s="2">
        <f>IFERROR(__xludf.DUMMYFUNCTION("""COMPUTED_VALUE"""),1594.16)</f>
        <v>1594.16</v>
      </c>
      <c r="D527" s="2">
        <f>IFERROR(__xludf.DUMMYFUNCTION("""COMPUTED_VALUE"""),1562.9)</f>
        <v>1562.9</v>
      </c>
      <c r="E527" s="2">
        <f>IFERROR(__xludf.DUMMYFUNCTION("""COMPUTED_VALUE"""),1576.3)</f>
        <v>1576.3</v>
      </c>
      <c r="F527" s="2">
        <f>IFERROR(__xludf.DUMMYFUNCTION("""COMPUTED_VALUE"""),2.957E7)</f>
        <v>29570000</v>
      </c>
      <c r="G527" s="2">
        <f t="shared" si="1"/>
        <v>31.26</v>
      </c>
    </row>
    <row r="528" ht="15.75" customHeight="1">
      <c r="A528" s="1">
        <f>IFERROR(__xludf.DUMMYFUNCTION("""COMPUTED_VALUE"""),44616.66666666667)</f>
        <v>44616.66667</v>
      </c>
      <c r="B528" s="2">
        <f>IFERROR(__xludf.DUMMYFUNCTION("""COMPUTED_VALUE"""),1576.3)</f>
        <v>1576.3</v>
      </c>
      <c r="C528" s="2">
        <f>IFERROR(__xludf.DUMMYFUNCTION("""COMPUTED_VALUE"""),1589.69)</f>
        <v>1589.69</v>
      </c>
      <c r="D528" s="2">
        <f>IFERROR(__xludf.DUMMYFUNCTION("""COMPUTED_VALUE"""),1527.18)</f>
        <v>1527.18</v>
      </c>
      <c r="E528" s="2">
        <f>IFERROR(__xludf.DUMMYFUNCTION("""COMPUTED_VALUE"""),1553.97)</f>
        <v>1553.97</v>
      </c>
      <c r="F528" s="2">
        <f>IFERROR(__xludf.DUMMYFUNCTION("""COMPUTED_VALUE"""),3.11161E7)</f>
        <v>31116100</v>
      </c>
      <c r="G528" s="2">
        <f t="shared" si="1"/>
        <v>62.51</v>
      </c>
    </row>
    <row r="529" ht="15.75" customHeight="1">
      <c r="A529" s="1">
        <f>IFERROR(__xludf.DUMMYFUNCTION("""COMPUTED_VALUE"""),44617.66666666667)</f>
        <v>44617.66667</v>
      </c>
      <c r="B529" s="2">
        <f>IFERROR(__xludf.DUMMYFUNCTION("""COMPUTED_VALUE"""),1553.97)</f>
        <v>1553.97</v>
      </c>
      <c r="C529" s="2">
        <f>IFERROR(__xludf.DUMMYFUNCTION("""COMPUTED_VALUE"""),1589.69)</f>
        <v>1589.69</v>
      </c>
      <c r="D529" s="2">
        <f>IFERROR(__xludf.DUMMYFUNCTION("""COMPUTED_VALUE"""),1553.97)</f>
        <v>1553.97</v>
      </c>
      <c r="E529" s="2">
        <f>IFERROR(__xludf.DUMMYFUNCTION("""COMPUTED_VALUE"""),1585.23)</f>
        <v>1585.23</v>
      </c>
      <c r="F529" s="2">
        <f>IFERROR(__xludf.DUMMYFUNCTION("""COMPUTED_VALUE"""),2.65297E7)</f>
        <v>26529700</v>
      </c>
      <c r="G529" s="2">
        <f t="shared" si="1"/>
        <v>35.72</v>
      </c>
    </row>
    <row r="530" ht="15.75" customHeight="1">
      <c r="A530" s="1">
        <f>IFERROR(__xludf.DUMMYFUNCTION("""COMPUTED_VALUE"""),44621.66666666667)</f>
        <v>44621.66667</v>
      </c>
      <c r="B530" s="2">
        <f>IFERROR(__xludf.DUMMYFUNCTION("""COMPUTED_VALUE"""),1589.69)</f>
        <v>1589.69</v>
      </c>
      <c r="C530" s="2">
        <f>IFERROR(__xludf.DUMMYFUNCTION("""COMPUTED_VALUE"""),1616.49)</f>
        <v>1616.49</v>
      </c>
      <c r="D530" s="2">
        <f>IFERROR(__xludf.DUMMYFUNCTION("""COMPUTED_VALUE"""),1549.5)</f>
        <v>1549.5</v>
      </c>
      <c r="E530" s="2">
        <f>IFERROR(__xludf.DUMMYFUNCTION("""COMPUTED_VALUE"""),1553.97)</f>
        <v>1553.97</v>
      </c>
      <c r="F530" s="2">
        <f>IFERROR(__xludf.DUMMYFUNCTION("""COMPUTED_VALUE"""),3.70549E7)</f>
        <v>37054900</v>
      </c>
      <c r="G530" s="2">
        <f t="shared" si="1"/>
        <v>66.99</v>
      </c>
    </row>
    <row r="531" ht="15.75" customHeight="1">
      <c r="A531" s="1">
        <f>IFERROR(__xludf.DUMMYFUNCTION("""COMPUTED_VALUE"""),44622.66666666667)</f>
        <v>44622.66667</v>
      </c>
      <c r="B531" s="2">
        <f>IFERROR(__xludf.DUMMYFUNCTION("""COMPUTED_VALUE"""),1553.97)</f>
        <v>1553.97</v>
      </c>
      <c r="C531" s="2">
        <f>IFERROR(__xludf.DUMMYFUNCTION("""COMPUTED_VALUE"""),1562.9)</f>
        <v>1562.9</v>
      </c>
      <c r="D531" s="2">
        <f>IFERROR(__xludf.DUMMYFUNCTION("""COMPUTED_VALUE"""),1531.64)</f>
        <v>1531.64</v>
      </c>
      <c r="E531" s="2">
        <f>IFERROR(__xludf.DUMMYFUNCTION("""COMPUTED_VALUE"""),1531.64)</f>
        <v>1531.64</v>
      </c>
      <c r="F531" s="2">
        <f>IFERROR(__xludf.DUMMYFUNCTION("""COMPUTED_VALUE"""),3.53955E7)</f>
        <v>35395500</v>
      </c>
      <c r="G531" s="2">
        <f t="shared" si="1"/>
        <v>31.26</v>
      </c>
    </row>
    <row r="532" ht="15.75" customHeight="1">
      <c r="A532" s="1">
        <f>IFERROR(__xludf.DUMMYFUNCTION("""COMPUTED_VALUE"""),44624.66666666667)</f>
        <v>44624.66667</v>
      </c>
      <c r="B532" s="2">
        <f>IFERROR(__xludf.DUMMYFUNCTION("""COMPUTED_VALUE"""),1531.64)</f>
        <v>1531.64</v>
      </c>
      <c r="C532" s="2">
        <f>IFERROR(__xludf.DUMMYFUNCTION("""COMPUTED_VALUE"""),1531.64)</f>
        <v>1531.64</v>
      </c>
      <c r="D532" s="2">
        <f>IFERROR(__xludf.DUMMYFUNCTION("""COMPUTED_VALUE"""),1486.99)</f>
        <v>1486.99</v>
      </c>
      <c r="E532" s="2">
        <f>IFERROR(__xludf.DUMMYFUNCTION("""COMPUTED_VALUE"""),1504.85)</f>
        <v>1504.85</v>
      </c>
      <c r="F532" s="2">
        <f>IFERROR(__xludf.DUMMYFUNCTION("""COMPUTED_VALUE"""),4.20927E7)</f>
        <v>42092700</v>
      </c>
      <c r="G532" s="2">
        <f t="shared" si="1"/>
        <v>44.65</v>
      </c>
    </row>
    <row r="533" ht="15.75" customHeight="1">
      <c r="A533" s="1">
        <f>IFERROR(__xludf.DUMMYFUNCTION("""COMPUTED_VALUE"""),44627.66666666667)</f>
        <v>44627.66667</v>
      </c>
      <c r="B533" s="2">
        <f>IFERROR(__xludf.DUMMYFUNCTION("""COMPUTED_VALUE"""),1491.45)</f>
        <v>1491.45</v>
      </c>
      <c r="C533" s="2">
        <f>IFERROR(__xludf.DUMMYFUNCTION("""COMPUTED_VALUE"""),1495.92)</f>
        <v>1495.92</v>
      </c>
      <c r="D533" s="2">
        <f>IFERROR(__xludf.DUMMYFUNCTION("""COMPUTED_VALUE"""),1455.73)</f>
        <v>1455.73</v>
      </c>
      <c r="E533" s="2">
        <f>IFERROR(__xludf.DUMMYFUNCTION("""COMPUTED_VALUE"""),1478.06)</f>
        <v>1478.06</v>
      </c>
      <c r="F533" s="2">
        <f>IFERROR(__xludf.DUMMYFUNCTION("""COMPUTED_VALUE"""),4.92938E7)</f>
        <v>49293800</v>
      </c>
      <c r="G533" s="2">
        <f t="shared" si="1"/>
        <v>49.12</v>
      </c>
    </row>
    <row r="534" ht="15.75" customHeight="1">
      <c r="A534" s="1">
        <f>IFERROR(__xludf.DUMMYFUNCTION("""COMPUTED_VALUE"""),44628.66666666667)</f>
        <v>44628.66667</v>
      </c>
      <c r="B534" s="2">
        <f>IFERROR(__xludf.DUMMYFUNCTION("""COMPUTED_VALUE"""),1469.13)</f>
        <v>1469.13</v>
      </c>
      <c r="C534" s="2">
        <f>IFERROR(__xludf.DUMMYFUNCTION("""COMPUTED_VALUE"""),1518.25)</f>
        <v>1518.25</v>
      </c>
      <c r="D534" s="2">
        <f>IFERROR(__xludf.DUMMYFUNCTION("""COMPUTED_VALUE"""),1460.2)</f>
        <v>1460.2</v>
      </c>
      <c r="E534" s="2">
        <f>IFERROR(__xludf.DUMMYFUNCTION("""COMPUTED_VALUE"""),1478.06)</f>
        <v>1478.06</v>
      </c>
      <c r="F534" s="2">
        <f>IFERROR(__xludf.DUMMYFUNCTION("""COMPUTED_VALUE"""),2.13174E7)</f>
        <v>21317400</v>
      </c>
      <c r="G534" s="2">
        <f t="shared" si="1"/>
        <v>58.05</v>
      </c>
    </row>
    <row r="535" ht="15.75" customHeight="1">
      <c r="A535" s="1">
        <f>IFERROR(__xludf.DUMMYFUNCTION("""COMPUTED_VALUE"""),44629.66666666667)</f>
        <v>44629.66667</v>
      </c>
      <c r="B535" s="2">
        <f>IFERROR(__xludf.DUMMYFUNCTION("""COMPUTED_VALUE"""),1478.06)</f>
        <v>1478.06</v>
      </c>
      <c r="C535" s="2">
        <f>IFERROR(__xludf.DUMMYFUNCTION("""COMPUTED_VALUE"""),1527.18)</f>
        <v>1527.18</v>
      </c>
      <c r="D535" s="2">
        <f>IFERROR(__xludf.DUMMYFUNCTION("""COMPUTED_VALUE"""),1478.06)</f>
        <v>1478.06</v>
      </c>
      <c r="E535" s="2">
        <f>IFERROR(__xludf.DUMMYFUNCTION("""COMPUTED_VALUE"""),1518.25)</f>
        <v>1518.25</v>
      </c>
      <c r="F535" s="2">
        <f>IFERROR(__xludf.DUMMYFUNCTION("""COMPUTED_VALUE"""),2.64055E7)</f>
        <v>26405500</v>
      </c>
      <c r="G535" s="2">
        <f t="shared" si="1"/>
        <v>49.12</v>
      </c>
    </row>
    <row r="536" ht="15.75" customHeight="1">
      <c r="A536" s="1">
        <f>IFERROR(__xludf.DUMMYFUNCTION("""COMPUTED_VALUE"""),44630.66666666667)</f>
        <v>44630.66667</v>
      </c>
      <c r="B536" s="2">
        <f>IFERROR(__xludf.DUMMYFUNCTION("""COMPUTED_VALUE"""),1545.04)</f>
        <v>1545.04</v>
      </c>
      <c r="C536" s="2">
        <f>IFERROR(__xludf.DUMMYFUNCTION("""COMPUTED_VALUE"""),1545.04)</f>
        <v>1545.04</v>
      </c>
      <c r="D536" s="2">
        <f>IFERROR(__xludf.DUMMYFUNCTION("""COMPUTED_VALUE"""),1500.38)</f>
        <v>1500.38</v>
      </c>
      <c r="E536" s="2">
        <f>IFERROR(__xludf.DUMMYFUNCTION("""COMPUTED_VALUE"""),1522.71)</f>
        <v>1522.71</v>
      </c>
      <c r="F536" s="2">
        <f>IFERROR(__xludf.DUMMYFUNCTION("""COMPUTED_VALUE"""),1.81498E7)</f>
        <v>18149800</v>
      </c>
      <c r="G536" s="2">
        <f t="shared" si="1"/>
        <v>44.66</v>
      </c>
    </row>
    <row r="537" ht="15.75" customHeight="1">
      <c r="A537" s="1">
        <f>IFERROR(__xludf.DUMMYFUNCTION("""COMPUTED_VALUE"""),44631.66666666667)</f>
        <v>44631.66667</v>
      </c>
      <c r="B537" s="2">
        <f>IFERROR(__xludf.DUMMYFUNCTION("""COMPUTED_VALUE"""),1527.18)</f>
        <v>1527.18</v>
      </c>
      <c r="C537" s="2">
        <f>IFERROR(__xludf.DUMMYFUNCTION("""COMPUTED_VALUE"""),1540.57)</f>
        <v>1540.57</v>
      </c>
      <c r="D537" s="2">
        <f>IFERROR(__xludf.DUMMYFUNCTION("""COMPUTED_VALUE"""),1509.32)</f>
        <v>1509.32</v>
      </c>
      <c r="E537" s="2">
        <f>IFERROR(__xludf.DUMMYFUNCTION("""COMPUTED_VALUE"""),1536.11)</f>
        <v>1536.11</v>
      </c>
      <c r="F537" s="2">
        <f>IFERROR(__xludf.DUMMYFUNCTION("""COMPUTED_VALUE"""),1.82763E7)</f>
        <v>18276300</v>
      </c>
      <c r="G537" s="2">
        <f t="shared" si="1"/>
        <v>31.25</v>
      </c>
    </row>
    <row r="538" ht="15.75" customHeight="1">
      <c r="A538" s="1">
        <f>IFERROR(__xludf.DUMMYFUNCTION("""COMPUTED_VALUE"""),44634.66666666667)</f>
        <v>44634.66667</v>
      </c>
      <c r="B538" s="2">
        <f>IFERROR(__xludf.DUMMYFUNCTION("""COMPUTED_VALUE"""),1531.64)</f>
        <v>1531.64</v>
      </c>
      <c r="C538" s="2">
        <f>IFERROR(__xludf.DUMMYFUNCTION("""COMPUTED_VALUE"""),1545.04)</f>
        <v>1545.04</v>
      </c>
      <c r="D538" s="2">
        <f>IFERROR(__xludf.DUMMYFUNCTION("""COMPUTED_VALUE"""),1509.32)</f>
        <v>1509.32</v>
      </c>
      <c r="E538" s="2">
        <f>IFERROR(__xludf.DUMMYFUNCTION("""COMPUTED_VALUE"""),1509.32)</f>
        <v>1509.32</v>
      </c>
      <c r="F538" s="2">
        <f>IFERROR(__xludf.DUMMYFUNCTION("""COMPUTED_VALUE"""),1.79187E7)</f>
        <v>17918700</v>
      </c>
      <c r="G538" s="2">
        <f t="shared" si="1"/>
        <v>35.72</v>
      </c>
    </row>
    <row r="539" ht="15.75" customHeight="1">
      <c r="A539" s="1">
        <f>IFERROR(__xludf.DUMMYFUNCTION("""COMPUTED_VALUE"""),44635.66666666667)</f>
        <v>44635.66667</v>
      </c>
      <c r="B539" s="2">
        <f>IFERROR(__xludf.DUMMYFUNCTION("""COMPUTED_VALUE"""),1527.18)</f>
        <v>1527.18</v>
      </c>
      <c r="C539" s="2">
        <f>IFERROR(__xludf.DUMMYFUNCTION("""COMPUTED_VALUE"""),1545.04)</f>
        <v>1545.04</v>
      </c>
      <c r="D539" s="2">
        <f>IFERROR(__xludf.DUMMYFUNCTION("""COMPUTED_VALUE"""),1509.32)</f>
        <v>1509.32</v>
      </c>
      <c r="E539" s="2">
        <f>IFERROR(__xludf.DUMMYFUNCTION("""COMPUTED_VALUE"""),1527.18)</f>
        <v>1527.18</v>
      </c>
      <c r="F539" s="2">
        <f>IFERROR(__xludf.DUMMYFUNCTION("""COMPUTED_VALUE"""),1.50739E7)</f>
        <v>15073900</v>
      </c>
      <c r="G539" s="2">
        <f t="shared" si="1"/>
        <v>35.72</v>
      </c>
    </row>
    <row r="540" ht="15.75" customHeight="1">
      <c r="A540" s="1">
        <f>IFERROR(__xludf.DUMMYFUNCTION("""COMPUTED_VALUE"""),44636.66666666667)</f>
        <v>44636.66667</v>
      </c>
      <c r="B540" s="2">
        <f>IFERROR(__xludf.DUMMYFUNCTION("""COMPUTED_VALUE"""),1518.25)</f>
        <v>1518.25</v>
      </c>
      <c r="C540" s="2">
        <f>IFERROR(__xludf.DUMMYFUNCTION("""COMPUTED_VALUE"""),1598.62)</f>
        <v>1598.62</v>
      </c>
      <c r="D540" s="2">
        <f>IFERROR(__xludf.DUMMYFUNCTION("""COMPUTED_VALUE"""),1518.25)</f>
        <v>1518.25</v>
      </c>
      <c r="E540" s="2">
        <f>IFERROR(__xludf.DUMMYFUNCTION("""COMPUTED_VALUE"""),1562.9)</f>
        <v>1562.9</v>
      </c>
      <c r="F540" s="2">
        <f>IFERROR(__xludf.DUMMYFUNCTION("""COMPUTED_VALUE"""),4.5769E7)</f>
        <v>45769000</v>
      </c>
      <c r="G540" s="2">
        <f t="shared" si="1"/>
        <v>80.37</v>
      </c>
    </row>
    <row r="541" ht="15.75" customHeight="1">
      <c r="A541" s="1">
        <f>IFERROR(__xludf.DUMMYFUNCTION("""COMPUTED_VALUE"""),44637.66666666667)</f>
        <v>44637.66667</v>
      </c>
      <c r="B541" s="2">
        <f>IFERROR(__xludf.DUMMYFUNCTION("""COMPUTED_VALUE"""),1580.76)</f>
        <v>1580.76</v>
      </c>
      <c r="C541" s="2">
        <f>IFERROR(__xludf.DUMMYFUNCTION("""COMPUTED_VALUE"""),1589.69)</f>
        <v>1589.69</v>
      </c>
      <c r="D541" s="2">
        <f>IFERROR(__xludf.DUMMYFUNCTION("""COMPUTED_VALUE"""),1545.04)</f>
        <v>1545.04</v>
      </c>
      <c r="E541" s="2">
        <f>IFERROR(__xludf.DUMMYFUNCTION("""COMPUTED_VALUE"""),1553.97)</f>
        <v>1553.97</v>
      </c>
      <c r="F541" s="2">
        <f>IFERROR(__xludf.DUMMYFUNCTION("""COMPUTED_VALUE"""),1.73897E7)</f>
        <v>17389700</v>
      </c>
      <c r="G541" s="2">
        <f t="shared" si="1"/>
        <v>44.65</v>
      </c>
    </row>
    <row r="542" ht="15.75" customHeight="1">
      <c r="A542" s="1">
        <f>IFERROR(__xludf.DUMMYFUNCTION("""COMPUTED_VALUE"""),44638.66666666667)</f>
        <v>44638.66667</v>
      </c>
      <c r="B542" s="2">
        <f>IFERROR(__xludf.DUMMYFUNCTION("""COMPUTED_VALUE"""),1553.97)</f>
        <v>1553.97</v>
      </c>
      <c r="C542" s="2">
        <f>IFERROR(__xludf.DUMMYFUNCTION("""COMPUTED_VALUE"""),1562.9)</f>
        <v>1562.9</v>
      </c>
      <c r="D542" s="2">
        <f>IFERROR(__xludf.DUMMYFUNCTION("""COMPUTED_VALUE"""),1527.18)</f>
        <v>1527.18</v>
      </c>
      <c r="E542" s="2">
        <f>IFERROR(__xludf.DUMMYFUNCTION("""COMPUTED_VALUE"""),1549.5)</f>
        <v>1549.5</v>
      </c>
      <c r="F542" s="2">
        <f>IFERROR(__xludf.DUMMYFUNCTION("""COMPUTED_VALUE"""),9594900.0)</f>
        <v>9594900</v>
      </c>
      <c r="G542" s="2">
        <f t="shared" si="1"/>
        <v>35.72</v>
      </c>
    </row>
    <row r="543" ht="15.75" customHeight="1">
      <c r="A543" s="1">
        <f>IFERROR(__xludf.DUMMYFUNCTION("""COMPUTED_VALUE"""),44641.66666666667)</f>
        <v>44641.66667</v>
      </c>
      <c r="B543" s="2">
        <f>IFERROR(__xludf.DUMMYFUNCTION("""COMPUTED_VALUE"""),1545.04)</f>
        <v>1545.04</v>
      </c>
      <c r="C543" s="2">
        <f>IFERROR(__xludf.DUMMYFUNCTION("""COMPUTED_VALUE"""),1545.04)</f>
        <v>1545.04</v>
      </c>
      <c r="D543" s="2">
        <f>IFERROR(__xludf.DUMMYFUNCTION("""COMPUTED_VALUE"""),1509.32)</f>
        <v>1509.32</v>
      </c>
      <c r="E543" s="2">
        <f>IFERROR(__xludf.DUMMYFUNCTION("""COMPUTED_VALUE"""),1518.25)</f>
        <v>1518.25</v>
      </c>
      <c r="F543" s="2">
        <f>IFERROR(__xludf.DUMMYFUNCTION("""COMPUTED_VALUE"""),9298300.0)</f>
        <v>9298300</v>
      </c>
      <c r="G543" s="2">
        <f t="shared" si="1"/>
        <v>40.18</v>
      </c>
    </row>
    <row r="544" ht="15.75" customHeight="1">
      <c r="A544" s="1">
        <f>IFERROR(__xludf.DUMMYFUNCTION("""COMPUTED_VALUE"""),44642.66666666667)</f>
        <v>44642.66667</v>
      </c>
      <c r="B544" s="2">
        <f>IFERROR(__xludf.DUMMYFUNCTION("""COMPUTED_VALUE"""),1518.25)</f>
        <v>1518.25</v>
      </c>
      <c r="C544" s="2">
        <f>IFERROR(__xludf.DUMMYFUNCTION("""COMPUTED_VALUE"""),1536.11)</f>
        <v>1536.11</v>
      </c>
      <c r="D544" s="2">
        <f>IFERROR(__xludf.DUMMYFUNCTION("""COMPUTED_VALUE"""),1513.78)</f>
        <v>1513.78</v>
      </c>
      <c r="E544" s="2">
        <f>IFERROR(__xludf.DUMMYFUNCTION("""COMPUTED_VALUE"""),1522.71)</f>
        <v>1522.71</v>
      </c>
      <c r="F544" s="2">
        <f>IFERROR(__xludf.DUMMYFUNCTION("""COMPUTED_VALUE"""),1.71682E7)</f>
        <v>17168200</v>
      </c>
      <c r="G544" s="2">
        <f t="shared" si="1"/>
        <v>22.33</v>
      </c>
    </row>
    <row r="545" ht="15.75" customHeight="1">
      <c r="A545" s="1">
        <f>IFERROR(__xludf.DUMMYFUNCTION("""COMPUTED_VALUE"""),44643.66666666667)</f>
        <v>44643.66667</v>
      </c>
      <c r="B545" s="2">
        <f>IFERROR(__xludf.DUMMYFUNCTION("""COMPUTED_VALUE"""),1527.18)</f>
        <v>1527.18</v>
      </c>
      <c r="C545" s="2">
        <f>IFERROR(__xludf.DUMMYFUNCTION("""COMPUTED_VALUE"""),1536.11)</f>
        <v>1536.11</v>
      </c>
      <c r="D545" s="2">
        <f>IFERROR(__xludf.DUMMYFUNCTION("""COMPUTED_VALUE"""),1509.32)</f>
        <v>1509.32</v>
      </c>
      <c r="E545" s="2">
        <f>IFERROR(__xludf.DUMMYFUNCTION("""COMPUTED_VALUE"""),1509.32)</f>
        <v>1509.32</v>
      </c>
      <c r="F545" s="2">
        <f>IFERROR(__xludf.DUMMYFUNCTION("""COMPUTED_VALUE"""),1.97736E7)</f>
        <v>19773600</v>
      </c>
      <c r="G545" s="2">
        <f t="shared" si="1"/>
        <v>26.79</v>
      </c>
    </row>
    <row r="546" ht="15.75" customHeight="1">
      <c r="A546" s="1">
        <f>IFERROR(__xludf.DUMMYFUNCTION("""COMPUTED_VALUE"""),44644.66666666667)</f>
        <v>44644.66667</v>
      </c>
      <c r="B546" s="2">
        <f>IFERROR(__xludf.DUMMYFUNCTION("""COMPUTED_VALUE"""),1509.32)</f>
        <v>1509.32</v>
      </c>
      <c r="C546" s="2">
        <f>IFERROR(__xludf.DUMMYFUNCTION("""COMPUTED_VALUE"""),1571.83)</f>
        <v>1571.83</v>
      </c>
      <c r="D546" s="2">
        <f>IFERROR(__xludf.DUMMYFUNCTION("""COMPUTED_VALUE"""),1504.85)</f>
        <v>1504.85</v>
      </c>
      <c r="E546" s="2">
        <f>IFERROR(__xludf.DUMMYFUNCTION("""COMPUTED_VALUE"""),1562.9)</f>
        <v>1562.9</v>
      </c>
      <c r="F546" s="2">
        <f>IFERROR(__xludf.DUMMYFUNCTION("""COMPUTED_VALUE"""),2.35167E7)</f>
        <v>23516700</v>
      </c>
      <c r="G546" s="2">
        <f t="shared" si="1"/>
        <v>66.98</v>
      </c>
    </row>
    <row r="547" ht="15.75" customHeight="1">
      <c r="A547" s="1">
        <f>IFERROR(__xludf.DUMMYFUNCTION("""COMPUTED_VALUE"""),44645.66666666667)</f>
        <v>44645.66667</v>
      </c>
      <c r="B547" s="2">
        <f>IFERROR(__xludf.DUMMYFUNCTION("""COMPUTED_VALUE"""),1571.83)</f>
        <v>1571.83</v>
      </c>
      <c r="C547" s="2">
        <f>IFERROR(__xludf.DUMMYFUNCTION("""COMPUTED_VALUE"""),1571.83)</f>
        <v>1571.83</v>
      </c>
      <c r="D547" s="2">
        <f>IFERROR(__xludf.DUMMYFUNCTION("""COMPUTED_VALUE"""),1527.18)</f>
        <v>1527.18</v>
      </c>
      <c r="E547" s="2">
        <f>IFERROR(__xludf.DUMMYFUNCTION("""COMPUTED_VALUE"""),1549.5)</f>
        <v>1549.5</v>
      </c>
      <c r="F547" s="2">
        <f>IFERROR(__xludf.DUMMYFUNCTION("""COMPUTED_VALUE"""),1.27264E7)</f>
        <v>12726400</v>
      </c>
      <c r="G547" s="2">
        <f t="shared" si="1"/>
        <v>44.65</v>
      </c>
    </row>
    <row r="548" ht="15.75" customHeight="1">
      <c r="A548" s="1">
        <f>IFERROR(__xludf.DUMMYFUNCTION("""COMPUTED_VALUE"""),44648.66666666667)</f>
        <v>44648.66667</v>
      </c>
      <c r="B548" s="2">
        <f>IFERROR(__xludf.DUMMYFUNCTION("""COMPUTED_VALUE"""),1562.9)</f>
        <v>1562.9</v>
      </c>
      <c r="C548" s="2">
        <f>IFERROR(__xludf.DUMMYFUNCTION("""COMPUTED_VALUE"""),1585.23)</f>
        <v>1585.23</v>
      </c>
      <c r="D548" s="2">
        <f>IFERROR(__xludf.DUMMYFUNCTION("""COMPUTED_VALUE"""),1545.04)</f>
        <v>1545.04</v>
      </c>
      <c r="E548" s="2">
        <f>IFERROR(__xludf.DUMMYFUNCTION("""COMPUTED_VALUE"""),1562.9)</f>
        <v>1562.9</v>
      </c>
      <c r="F548" s="2">
        <f>IFERROR(__xludf.DUMMYFUNCTION("""COMPUTED_VALUE"""),1.39114E7)</f>
        <v>13911400</v>
      </c>
      <c r="G548" s="2">
        <f t="shared" si="1"/>
        <v>40.19</v>
      </c>
    </row>
    <row r="549" ht="15.75" customHeight="1">
      <c r="A549" s="1">
        <f>IFERROR(__xludf.DUMMYFUNCTION("""COMPUTED_VALUE"""),44649.66666666667)</f>
        <v>44649.66667</v>
      </c>
      <c r="B549" s="2">
        <f>IFERROR(__xludf.DUMMYFUNCTION("""COMPUTED_VALUE"""),1576.3)</f>
        <v>1576.3</v>
      </c>
      <c r="C549" s="2">
        <f>IFERROR(__xludf.DUMMYFUNCTION("""COMPUTED_VALUE"""),1598.62)</f>
        <v>1598.62</v>
      </c>
      <c r="D549" s="2">
        <f>IFERROR(__xludf.DUMMYFUNCTION("""COMPUTED_VALUE"""),1558.43)</f>
        <v>1558.43</v>
      </c>
      <c r="E549" s="2">
        <f>IFERROR(__xludf.DUMMYFUNCTION("""COMPUTED_VALUE"""),1567.37)</f>
        <v>1567.37</v>
      </c>
      <c r="F549" s="2">
        <f>IFERROR(__xludf.DUMMYFUNCTION("""COMPUTED_VALUE"""),2.27567E7)</f>
        <v>22756700</v>
      </c>
      <c r="G549" s="2">
        <f t="shared" si="1"/>
        <v>40.19</v>
      </c>
    </row>
    <row r="550" ht="15.75" customHeight="1">
      <c r="A550" s="1">
        <f>IFERROR(__xludf.DUMMYFUNCTION("""COMPUTED_VALUE"""),44650.66666666667)</f>
        <v>44650.66667</v>
      </c>
      <c r="B550" s="2">
        <f>IFERROR(__xludf.DUMMYFUNCTION("""COMPUTED_VALUE"""),1562.9)</f>
        <v>1562.9</v>
      </c>
      <c r="C550" s="2">
        <f>IFERROR(__xludf.DUMMYFUNCTION("""COMPUTED_VALUE"""),1576.3)</f>
        <v>1576.3</v>
      </c>
      <c r="D550" s="2">
        <f>IFERROR(__xludf.DUMMYFUNCTION("""COMPUTED_VALUE"""),1536.11)</f>
        <v>1536.11</v>
      </c>
      <c r="E550" s="2">
        <f>IFERROR(__xludf.DUMMYFUNCTION("""COMPUTED_VALUE"""),1540.57)</f>
        <v>1540.57</v>
      </c>
      <c r="F550" s="2">
        <f>IFERROR(__xludf.DUMMYFUNCTION("""COMPUTED_VALUE"""),1.14765E7)</f>
        <v>11476500</v>
      </c>
      <c r="G550" s="2">
        <f t="shared" si="1"/>
        <v>40.19</v>
      </c>
    </row>
    <row r="551" ht="15.75" customHeight="1">
      <c r="A551" s="1">
        <f>IFERROR(__xludf.DUMMYFUNCTION("""COMPUTED_VALUE"""),44651.66666666667)</f>
        <v>44651.66667</v>
      </c>
      <c r="B551" s="2">
        <f>IFERROR(__xludf.DUMMYFUNCTION("""COMPUTED_VALUE"""),1540.57)</f>
        <v>1540.57</v>
      </c>
      <c r="C551" s="2">
        <f>IFERROR(__xludf.DUMMYFUNCTION("""COMPUTED_VALUE"""),1553.97)</f>
        <v>1553.97</v>
      </c>
      <c r="D551" s="2">
        <f>IFERROR(__xludf.DUMMYFUNCTION("""COMPUTED_VALUE"""),1531.64)</f>
        <v>1531.64</v>
      </c>
      <c r="E551" s="2">
        <f>IFERROR(__xludf.DUMMYFUNCTION("""COMPUTED_VALUE"""),1531.64)</f>
        <v>1531.64</v>
      </c>
      <c r="F551" s="2">
        <f>IFERROR(__xludf.DUMMYFUNCTION("""COMPUTED_VALUE"""),5249000.0)</f>
        <v>5249000</v>
      </c>
      <c r="G551" s="2">
        <f t="shared" si="1"/>
        <v>22.33</v>
      </c>
    </row>
    <row r="552" ht="15.75" customHeight="1">
      <c r="A552" s="1">
        <f>IFERROR(__xludf.DUMMYFUNCTION("""COMPUTED_VALUE"""),44652.66666666667)</f>
        <v>44652.66667</v>
      </c>
      <c r="B552" s="2">
        <f>IFERROR(__xludf.DUMMYFUNCTION("""COMPUTED_VALUE"""),1531.64)</f>
        <v>1531.64</v>
      </c>
      <c r="C552" s="2">
        <f>IFERROR(__xludf.DUMMYFUNCTION("""COMPUTED_VALUE"""),1549.5)</f>
        <v>1549.5</v>
      </c>
      <c r="D552" s="2">
        <f>IFERROR(__xludf.DUMMYFUNCTION("""COMPUTED_VALUE"""),1509.32)</f>
        <v>1509.32</v>
      </c>
      <c r="E552" s="2">
        <f>IFERROR(__xludf.DUMMYFUNCTION("""COMPUTED_VALUE"""),1522.71)</f>
        <v>1522.71</v>
      </c>
      <c r="F552" s="2">
        <f>IFERROR(__xludf.DUMMYFUNCTION("""COMPUTED_VALUE"""),1.30741E7)</f>
        <v>13074100</v>
      </c>
      <c r="G552" s="2">
        <f t="shared" si="1"/>
        <v>40.18</v>
      </c>
    </row>
    <row r="553" ht="15.75" customHeight="1">
      <c r="A553" s="1">
        <f>IFERROR(__xludf.DUMMYFUNCTION("""COMPUTED_VALUE"""),44655.66666666667)</f>
        <v>44655.66667</v>
      </c>
      <c r="B553" s="2">
        <f>IFERROR(__xludf.DUMMYFUNCTION("""COMPUTED_VALUE"""),1522.71)</f>
        <v>1522.71</v>
      </c>
      <c r="C553" s="2">
        <f>IFERROR(__xludf.DUMMYFUNCTION("""COMPUTED_VALUE"""),1540.57)</f>
        <v>1540.57</v>
      </c>
      <c r="D553" s="2">
        <f>IFERROR(__xludf.DUMMYFUNCTION("""COMPUTED_VALUE"""),1513.78)</f>
        <v>1513.78</v>
      </c>
      <c r="E553" s="2">
        <f>IFERROR(__xludf.DUMMYFUNCTION("""COMPUTED_VALUE"""),1531.64)</f>
        <v>1531.64</v>
      </c>
      <c r="F553" s="2">
        <f>IFERROR(__xludf.DUMMYFUNCTION("""COMPUTED_VALUE"""),1.17827E7)</f>
        <v>11782700</v>
      </c>
      <c r="G553" s="2">
        <f t="shared" si="1"/>
        <v>26.79</v>
      </c>
    </row>
    <row r="554" ht="15.75" customHeight="1">
      <c r="A554" s="1">
        <f>IFERROR(__xludf.DUMMYFUNCTION("""COMPUTED_VALUE"""),44656.66666666667)</f>
        <v>44656.66667</v>
      </c>
      <c r="B554" s="2">
        <f>IFERROR(__xludf.DUMMYFUNCTION("""COMPUTED_VALUE"""),1536.11)</f>
        <v>1536.11</v>
      </c>
      <c r="C554" s="2">
        <f>IFERROR(__xludf.DUMMYFUNCTION("""COMPUTED_VALUE"""),1540.57)</f>
        <v>1540.57</v>
      </c>
      <c r="D554" s="2">
        <f>IFERROR(__xludf.DUMMYFUNCTION("""COMPUTED_VALUE"""),1518.25)</f>
        <v>1518.25</v>
      </c>
      <c r="E554" s="2">
        <f>IFERROR(__xludf.DUMMYFUNCTION("""COMPUTED_VALUE"""),1522.71)</f>
        <v>1522.71</v>
      </c>
      <c r="F554" s="2">
        <f>IFERROR(__xludf.DUMMYFUNCTION("""COMPUTED_VALUE"""),1.51139E7)</f>
        <v>15113900</v>
      </c>
      <c r="G554" s="2">
        <f t="shared" si="1"/>
        <v>22.32</v>
      </c>
    </row>
    <row r="555" ht="15.75" customHeight="1">
      <c r="A555" s="1">
        <f>IFERROR(__xludf.DUMMYFUNCTION("""COMPUTED_VALUE"""),44657.66666666667)</f>
        <v>44657.66667</v>
      </c>
      <c r="B555" s="2">
        <f>IFERROR(__xludf.DUMMYFUNCTION("""COMPUTED_VALUE"""),1518.25)</f>
        <v>1518.25</v>
      </c>
      <c r="C555" s="2">
        <f>IFERROR(__xludf.DUMMYFUNCTION("""COMPUTED_VALUE"""),1531.64)</f>
        <v>1531.64</v>
      </c>
      <c r="D555" s="2">
        <f>IFERROR(__xludf.DUMMYFUNCTION("""COMPUTED_VALUE"""),1504.85)</f>
        <v>1504.85</v>
      </c>
      <c r="E555" s="2">
        <f>IFERROR(__xludf.DUMMYFUNCTION("""COMPUTED_VALUE"""),1504.85)</f>
        <v>1504.85</v>
      </c>
      <c r="F555" s="2">
        <f>IFERROR(__xludf.DUMMYFUNCTION("""COMPUTED_VALUE"""),2.75285E7)</f>
        <v>27528500</v>
      </c>
      <c r="G555" s="2">
        <f t="shared" si="1"/>
        <v>26.79</v>
      </c>
    </row>
    <row r="556" ht="15.75" customHeight="1">
      <c r="A556" s="1">
        <f>IFERROR(__xludf.DUMMYFUNCTION("""COMPUTED_VALUE"""),44658.66666666667)</f>
        <v>44658.66667</v>
      </c>
      <c r="B556" s="2">
        <f>IFERROR(__xludf.DUMMYFUNCTION("""COMPUTED_VALUE"""),1504.85)</f>
        <v>1504.85</v>
      </c>
      <c r="C556" s="2">
        <f>IFERROR(__xludf.DUMMYFUNCTION("""COMPUTED_VALUE"""),1513.78)</f>
        <v>1513.78</v>
      </c>
      <c r="D556" s="2">
        <f>IFERROR(__xludf.DUMMYFUNCTION("""COMPUTED_VALUE"""),1473.59)</f>
        <v>1473.59</v>
      </c>
      <c r="E556" s="2">
        <f>IFERROR(__xludf.DUMMYFUNCTION("""COMPUTED_VALUE"""),1478.06)</f>
        <v>1478.06</v>
      </c>
      <c r="F556" s="2">
        <f>IFERROR(__xludf.DUMMYFUNCTION("""COMPUTED_VALUE"""),2.77796E7)</f>
        <v>27779600</v>
      </c>
      <c r="G556" s="2">
        <f t="shared" si="1"/>
        <v>40.19</v>
      </c>
    </row>
    <row r="557" ht="15.75" customHeight="1">
      <c r="A557" s="1">
        <f>IFERROR(__xludf.DUMMYFUNCTION("""COMPUTED_VALUE"""),44659.66666666667)</f>
        <v>44659.66667</v>
      </c>
      <c r="B557" s="2">
        <f>IFERROR(__xludf.DUMMYFUNCTION("""COMPUTED_VALUE"""),1482.52)</f>
        <v>1482.52</v>
      </c>
      <c r="C557" s="2">
        <f>IFERROR(__xludf.DUMMYFUNCTION("""COMPUTED_VALUE"""),1495.92)</f>
        <v>1495.92</v>
      </c>
      <c r="D557" s="2">
        <f>IFERROR(__xludf.DUMMYFUNCTION("""COMPUTED_VALUE"""),1455.73)</f>
        <v>1455.73</v>
      </c>
      <c r="E557" s="2">
        <f>IFERROR(__xludf.DUMMYFUNCTION("""COMPUTED_VALUE"""),1469.13)</f>
        <v>1469.13</v>
      </c>
      <c r="F557" s="2">
        <f>IFERROR(__xludf.DUMMYFUNCTION("""COMPUTED_VALUE"""),2.43602E7)</f>
        <v>24360200</v>
      </c>
      <c r="G557" s="2">
        <f t="shared" si="1"/>
        <v>40.19</v>
      </c>
    </row>
    <row r="558" ht="15.75" customHeight="1">
      <c r="A558" s="1">
        <f>IFERROR(__xludf.DUMMYFUNCTION("""COMPUTED_VALUE"""),44662.66666666667)</f>
        <v>44662.66667</v>
      </c>
      <c r="B558" s="2">
        <f>IFERROR(__xludf.DUMMYFUNCTION("""COMPUTED_VALUE"""),1469.13)</f>
        <v>1469.13</v>
      </c>
      <c r="C558" s="2">
        <f>IFERROR(__xludf.DUMMYFUNCTION("""COMPUTED_VALUE"""),1478.06)</f>
        <v>1478.06</v>
      </c>
      <c r="D558" s="2">
        <f>IFERROR(__xludf.DUMMYFUNCTION("""COMPUTED_VALUE"""),1446.8)</f>
        <v>1446.8</v>
      </c>
      <c r="E558" s="2">
        <f>IFERROR(__xludf.DUMMYFUNCTION("""COMPUTED_VALUE"""),1446.8)</f>
        <v>1446.8</v>
      </c>
      <c r="F558" s="2">
        <f>IFERROR(__xludf.DUMMYFUNCTION("""COMPUTED_VALUE"""),2.24557E7)</f>
        <v>22455700</v>
      </c>
      <c r="G558" s="2">
        <f t="shared" si="1"/>
        <v>31.26</v>
      </c>
    </row>
    <row r="559" ht="15.75" customHeight="1">
      <c r="A559" s="1">
        <f>IFERROR(__xludf.DUMMYFUNCTION("""COMPUTED_VALUE"""),44663.66666666667)</f>
        <v>44663.66667</v>
      </c>
      <c r="B559" s="2">
        <f>IFERROR(__xludf.DUMMYFUNCTION("""COMPUTED_VALUE"""),1446.8)</f>
        <v>1446.8</v>
      </c>
      <c r="C559" s="2">
        <f>IFERROR(__xludf.DUMMYFUNCTION("""COMPUTED_VALUE"""),1478.06)</f>
        <v>1478.06</v>
      </c>
      <c r="D559" s="2">
        <f>IFERROR(__xludf.DUMMYFUNCTION("""COMPUTED_VALUE"""),1437.87)</f>
        <v>1437.87</v>
      </c>
      <c r="E559" s="2">
        <f>IFERROR(__xludf.DUMMYFUNCTION("""COMPUTED_VALUE"""),1455.73)</f>
        <v>1455.73</v>
      </c>
      <c r="F559" s="2">
        <f>IFERROR(__xludf.DUMMYFUNCTION("""COMPUTED_VALUE"""),1.61337E7)</f>
        <v>16133700</v>
      </c>
      <c r="G559" s="2">
        <f t="shared" si="1"/>
        <v>40.19</v>
      </c>
    </row>
    <row r="560" ht="15.75" customHeight="1">
      <c r="A560" s="1">
        <f>IFERROR(__xludf.DUMMYFUNCTION("""COMPUTED_VALUE"""),44664.66666666667)</f>
        <v>44664.66667</v>
      </c>
      <c r="B560" s="2">
        <f>IFERROR(__xludf.DUMMYFUNCTION("""COMPUTED_VALUE"""),1455.73)</f>
        <v>1455.73</v>
      </c>
      <c r="C560" s="2">
        <f>IFERROR(__xludf.DUMMYFUNCTION("""COMPUTED_VALUE"""),1482.52)</f>
        <v>1482.52</v>
      </c>
      <c r="D560" s="2">
        <f>IFERROR(__xludf.DUMMYFUNCTION("""COMPUTED_VALUE"""),1442.33)</f>
        <v>1442.33</v>
      </c>
      <c r="E560" s="2">
        <f>IFERROR(__xludf.DUMMYFUNCTION("""COMPUTED_VALUE"""),1460.2)</f>
        <v>1460.2</v>
      </c>
      <c r="F560" s="2">
        <f>IFERROR(__xludf.DUMMYFUNCTION("""COMPUTED_VALUE"""),2.72796E7)</f>
        <v>27279600</v>
      </c>
      <c r="G560" s="2">
        <f t="shared" si="1"/>
        <v>40.19</v>
      </c>
    </row>
    <row r="561" ht="15.75" customHeight="1">
      <c r="A561" s="1">
        <f>IFERROR(__xludf.DUMMYFUNCTION("""COMPUTED_VALUE"""),44665.66666666667)</f>
        <v>44665.66667</v>
      </c>
      <c r="B561" s="2">
        <f>IFERROR(__xludf.DUMMYFUNCTION("""COMPUTED_VALUE"""),1478.06)</f>
        <v>1478.06</v>
      </c>
      <c r="C561" s="2">
        <f>IFERROR(__xludf.DUMMYFUNCTION("""COMPUTED_VALUE"""),1478.06)</f>
        <v>1478.06</v>
      </c>
      <c r="D561" s="2">
        <f>IFERROR(__xludf.DUMMYFUNCTION("""COMPUTED_VALUE"""),1442.33)</f>
        <v>1442.33</v>
      </c>
      <c r="E561" s="2">
        <f>IFERROR(__xludf.DUMMYFUNCTION("""COMPUTED_VALUE"""),1446.8)</f>
        <v>1446.8</v>
      </c>
      <c r="F561" s="2">
        <f>IFERROR(__xludf.DUMMYFUNCTION("""COMPUTED_VALUE"""),1.47141E7)</f>
        <v>14714100</v>
      </c>
      <c r="G561" s="2">
        <f t="shared" si="1"/>
        <v>35.73</v>
      </c>
    </row>
    <row r="562" ht="15.75" customHeight="1">
      <c r="A562" s="1">
        <f>IFERROR(__xludf.DUMMYFUNCTION("""COMPUTED_VALUE"""),44669.66666666667)</f>
        <v>44669.66667</v>
      </c>
      <c r="B562" s="2">
        <f>IFERROR(__xludf.DUMMYFUNCTION("""COMPUTED_VALUE"""),1446.8)</f>
        <v>1446.8</v>
      </c>
      <c r="C562" s="2">
        <f>IFERROR(__xludf.DUMMYFUNCTION("""COMPUTED_VALUE"""),1464.66)</f>
        <v>1464.66</v>
      </c>
      <c r="D562" s="2">
        <f>IFERROR(__xludf.DUMMYFUNCTION("""COMPUTED_VALUE"""),1437.87)</f>
        <v>1437.87</v>
      </c>
      <c r="E562" s="2">
        <f>IFERROR(__xludf.DUMMYFUNCTION("""COMPUTED_VALUE"""),1437.87)</f>
        <v>1437.87</v>
      </c>
      <c r="F562" s="2">
        <f>IFERROR(__xludf.DUMMYFUNCTION("""COMPUTED_VALUE"""),3.52121E7)</f>
        <v>35212100</v>
      </c>
      <c r="G562" s="2">
        <f t="shared" si="1"/>
        <v>26.79</v>
      </c>
    </row>
    <row r="563" ht="15.75" customHeight="1">
      <c r="A563" s="1">
        <f>IFERROR(__xludf.DUMMYFUNCTION("""COMPUTED_VALUE"""),44670.66666666667)</f>
        <v>44670.66667</v>
      </c>
      <c r="B563" s="2">
        <f>IFERROR(__xludf.DUMMYFUNCTION("""COMPUTED_VALUE"""),1446.8)</f>
        <v>1446.8</v>
      </c>
      <c r="C563" s="2">
        <f>IFERROR(__xludf.DUMMYFUNCTION("""COMPUTED_VALUE"""),1464.66)</f>
        <v>1464.66</v>
      </c>
      <c r="D563" s="2">
        <f>IFERROR(__xludf.DUMMYFUNCTION("""COMPUTED_VALUE"""),1442.33)</f>
        <v>1442.33</v>
      </c>
      <c r="E563" s="2">
        <f>IFERROR(__xludf.DUMMYFUNCTION("""COMPUTED_VALUE"""),1455.73)</f>
        <v>1455.73</v>
      </c>
      <c r="F563" s="2">
        <f>IFERROR(__xludf.DUMMYFUNCTION("""COMPUTED_VALUE"""),1.35752E7)</f>
        <v>13575200</v>
      </c>
      <c r="G563" s="2">
        <f t="shared" si="1"/>
        <v>26.79</v>
      </c>
    </row>
    <row r="564" ht="15.75" customHeight="1">
      <c r="A564" s="1">
        <f>IFERROR(__xludf.DUMMYFUNCTION("""COMPUTED_VALUE"""),44671.66666666667)</f>
        <v>44671.66667</v>
      </c>
      <c r="B564" s="2">
        <f>IFERROR(__xludf.DUMMYFUNCTION("""COMPUTED_VALUE"""),1464.66)</f>
        <v>1464.66</v>
      </c>
      <c r="C564" s="2">
        <f>IFERROR(__xludf.DUMMYFUNCTION("""COMPUTED_VALUE"""),1500.38)</f>
        <v>1500.38</v>
      </c>
      <c r="D564" s="2">
        <f>IFERROR(__xludf.DUMMYFUNCTION("""COMPUTED_VALUE"""),1455.73)</f>
        <v>1455.73</v>
      </c>
      <c r="E564" s="2">
        <f>IFERROR(__xludf.DUMMYFUNCTION("""COMPUTED_VALUE"""),1486.99)</f>
        <v>1486.99</v>
      </c>
      <c r="F564" s="2">
        <f>IFERROR(__xludf.DUMMYFUNCTION("""COMPUTED_VALUE"""),3.0156E7)</f>
        <v>30156000</v>
      </c>
      <c r="G564" s="2">
        <f t="shared" si="1"/>
        <v>44.65</v>
      </c>
    </row>
    <row r="565" ht="15.75" customHeight="1">
      <c r="A565" s="1">
        <f>IFERROR(__xludf.DUMMYFUNCTION("""COMPUTED_VALUE"""),44672.66666666667)</f>
        <v>44672.66667</v>
      </c>
      <c r="B565" s="2">
        <f>IFERROR(__xludf.DUMMYFUNCTION("""COMPUTED_VALUE"""),1495.92)</f>
        <v>1495.92</v>
      </c>
      <c r="C565" s="2">
        <f>IFERROR(__xludf.DUMMYFUNCTION("""COMPUTED_VALUE"""),1594.16)</f>
        <v>1594.16</v>
      </c>
      <c r="D565" s="2">
        <f>IFERROR(__xludf.DUMMYFUNCTION("""COMPUTED_VALUE"""),1495.92)</f>
        <v>1495.92</v>
      </c>
      <c r="E565" s="2">
        <f>IFERROR(__xludf.DUMMYFUNCTION("""COMPUTED_VALUE"""),1571.83)</f>
        <v>1571.83</v>
      </c>
      <c r="F565" s="2">
        <f>IFERROR(__xludf.DUMMYFUNCTION("""COMPUTED_VALUE"""),1.291912E8)</f>
        <v>129191200</v>
      </c>
      <c r="G565" s="2">
        <f t="shared" si="1"/>
        <v>107.17</v>
      </c>
    </row>
    <row r="566" ht="15.75" customHeight="1">
      <c r="A566" s="1">
        <f>IFERROR(__xludf.DUMMYFUNCTION("""COMPUTED_VALUE"""),44673.66666666667)</f>
        <v>44673.66667</v>
      </c>
      <c r="B566" s="2">
        <f>IFERROR(__xludf.DUMMYFUNCTION("""COMPUTED_VALUE"""),1580.76)</f>
        <v>1580.76</v>
      </c>
      <c r="C566" s="2">
        <f>IFERROR(__xludf.DUMMYFUNCTION("""COMPUTED_VALUE"""),1620.95)</f>
        <v>1620.95</v>
      </c>
      <c r="D566" s="2">
        <f>IFERROR(__xludf.DUMMYFUNCTION("""COMPUTED_VALUE"""),1580.76)</f>
        <v>1580.76</v>
      </c>
      <c r="E566" s="2">
        <f>IFERROR(__xludf.DUMMYFUNCTION("""COMPUTED_VALUE"""),1585.23)</f>
        <v>1585.23</v>
      </c>
      <c r="F566" s="2">
        <f>IFERROR(__xludf.DUMMYFUNCTION("""COMPUTED_VALUE"""),1.098783E8)</f>
        <v>109878300</v>
      </c>
      <c r="G566" s="2">
        <f t="shared" si="1"/>
        <v>49.12</v>
      </c>
    </row>
    <row r="567" ht="15.75" customHeight="1">
      <c r="A567" s="1">
        <f>IFERROR(__xludf.DUMMYFUNCTION("""COMPUTED_VALUE"""),44676.66666666667)</f>
        <v>44676.66667</v>
      </c>
      <c r="B567" s="2">
        <f>IFERROR(__xludf.DUMMYFUNCTION("""COMPUTED_VALUE"""),1567.37)</f>
        <v>1567.37</v>
      </c>
      <c r="C567" s="2">
        <f>IFERROR(__xludf.DUMMYFUNCTION("""COMPUTED_VALUE"""),1679.0)</f>
        <v>1679</v>
      </c>
      <c r="D567" s="2">
        <f>IFERROR(__xludf.DUMMYFUNCTION("""COMPUTED_VALUE"""),1553.97)</f>
        <v>1553.97</v>
      </c>
      <c r="E567" s="2">
        <f>IFERROR(__xludf.DUMMYFUNCTION("""COMPUTED_VALUE"""),1665.61)</f>
        <v>1665.61</v>
      </c>
      <c r="F567" s="2">
        <f>IFERROR(__xludf.DUMMYFUNCTION("""COMPUTED_VALUE"""),1.458157E8)</f>
        <v>145815700</v>
      </c>
      <c r="G567" s="2">
        <f t="shared" si="1"/>
        <v>125.03</v>
      </c>
    </row>
    <row r="568" ht="15.75" customHeight="1">
      <c r="A568" s="1">
        <f>IFERROR(__xludf.DUMMYFUNCTION("""COMPUTED_VALUE"""),44677.66666666667)</f>
        <v>44677.66667</v>
      </c>
      <c r="B568" s="2">
        <f>IFERROR(__xludf.DUMMYFUNCTION("""COMPUTED_VALUE"""),1670.07)</f>
        <v>1670.07</v>
      </c>
      <c r="C568" s="2">
        <f>IFERROR(__xludf.DUMMYFUNCTION("""COMPUTED_VALUE"""),1723.66)</f>
        <v>1723.66</v>
      </c>
      <c r="D568" s="2">
        <f>IFERROR(__xludf.DUMMYFUNCTION("""COMPUTED_VALUE"""),1638.81)</f>
        <v>1638.81</v>
      </c>
      <c r="E568" s="2">
        <f>IFERROR(__xludf.DUMMYFUNCTION("""COMPUTED_VALUE"""),1638.81)</f>
        <v>1638.81</v>
      </c>
      <c r="F568" s="2">
        <f>IFERROR(__xludf.DUMMYFUNCTION("""COMPUTED_VALUE"""),7.66174E7)</f>
        <v>76617400</v>
      </c>
      <c r="G568" s="2">
        <f t="shared" si="1"/>
        <v>84.85</v>
      </c>
    </row>
    <row r="569" ht="15.75" customHeight="1">
      <c r="A569" s="1">
        <f>IFERROR(__xludf.DUMMYFUNCTION("""COMPUTED_VALUE"""),44678.66666666667)</f>
        <v>44678.66667</v>
      </c>
      <c r="B569" s="2">
        <f>IFERROR(__xludf.DUMMYFUNCTION("""COMPUTED_VALUE"""),1638.81)</f>
        <v>1638.81</v>
      </c>
      <c r="C569" s="2">
        <f>IFERROR(__xludf.DUMMYFUNCTION("""COMPUTED_VALUE"""),1661.14)</f>
        <v>1661.14</v>
      </c>
      <c r="D569" s="2">
        <f>IFERROR(__xludf.DUMMYFUNCTION("""COMPUTED_VALUE"""),1616.49)</f>
        <v>1616.49</v>
      </c>
      <c r="E569" s="2">
        <f>IFERROR(__xludf.DUMMYFUNCTION("""COMPUTED_VALUE"""),1638.81)</f>
        <v>1638.81</v>
      </c>
      <c r="F569" s="2">
        <f>IFERROR(__xludf.DUMMYFUNCTION("""COMPUTED_VALUE"""),3.85225E7)</f>
        <v>38522500</v>
      </c>
      <c r="G569" s="2">
        <f t="shared" si="1"/>
        <v>44.65</v>
      </c>
    </row>
    <row r="570" ht="15.75" customHeight="1">
      <c r="A570" s="1">
        <f>IFERROR(__xludf.DUMMYFUNCTION("""COMPUTED_VALUE"""),44679.66666666667)</f>
        <v>44679.66667</v>
      </c>
      <c r="B570" s="2">
        <f>IFERROR(__xludf.DUMMYFUNCTION("""COMPUTED_VALUE"""),1652.21)</f>
        <v>1652.21</v>
      </c>
      <c r="C570" s="2">
        <f>IFERROR(__xludf.DUMMYFUNCTION("""COMPUTED_VALUE"""),1683.47)</f>
        <v>1683.47</v>
      </c>
      <c r="D570" s="2">
        <f>IFERROR(__xludf.DUMMYFUNCTION("""COMPUTED_VALUE"""),1638.81)</f>
        <v>1638.81</v>
      </c>
      <c r="E570" s="2">
        <f>IFERROR(__xludf.DUMMYFUNCTION("""COMPUTED_VALUE"""),1647.74)</f>
        <v>1647.74</v>
      </c>
      <c r="F570" s="2">
        <f>IFERROR(__xludf.DUMMYFUNCTION("""COMPUTED_VALUE"""),2.92149E7)</f>
        <v>29214900</v>
      </c>
      <c r="G570" s="2">
        <f t="shared" si="1"/>
        <v>44.66</v>
      </c>
    </row>
    <row r="571" ht="15.75" customHeight="1">
      <c r="A571" s="1">
        <f>IFERROR(__xludf.DUMMYFUNCTION("""COMPUTED_VALUE"""),44690.66666666667)</f>
        <v>44690.66667</v>
      </c>
      <c r="B571" s="2">
        <f>IFERROR(__xludf.DUMMYFUNCTION("""COMPUTED_VALUE"""),1625.42)</f>
        <v>1625.42</v>
      </c>
      <c r="C571" s="2">
        <f>IFERROR(__xludf.DUMMYFUNCTION("""COMPUTED_VALUE"""),1625.42)</f>
        <v>1625.42</v>
      </c>
      <c r="D571" s="2">
        <f>IFERROR(__xludf.DUMMYFUNCTION("""COMPUTED_VALUE"""),1536.11)</f>
        <v>1536.11</v>
      </c>
      <c r="E571" s="2">
        <f>IFERROR(__xludf.DUMMYFUNCTION("""COMPUTED_VALUE"""),1536.11)</f>
        <v>1536.11</v>
      </c>
      <c r="F571" s="2">
        <f>IFERROR(__xludf.DUMMYFUNCTION("""COMPUTED_VALUE"""),4.56981E7)</f>
        <v>45698100</v>
      </c>
      <c r="G571" s="2">
        <f t="shared" si="1"/>
        <v>111.63</v>
      </c>
    </row>
    <row r="572" ht="15.75" customHeight="1">
      <c r="A572" s="1">
        <f>IFERROR(__xludf.DUMMYFUNCTION("""COMPUTED_VALUE"""),44691.66666666667)</f>
        <v>44691.66667</v>
      </c>
      <c r="B572" s="2">
        <f>IFERROR(__xludf.DUMMYFUNCTION("""COMPUTED_VALUE"""),1504.85)</f>
        <v>1504.85</v>
      </c>
      <c r="C572" s="2">
        <f>IFERROR(__xludf.DUMMYFUNCTION("""COMPUTED_VALUE"""),1527.18)</f>
        <v>1527.18</v>
      </c>
      <c r="D572" s="2">
        <f>IFERROR(__xludf.DUMMYFUNCTION("""COMPUTED_VALUE"""),1469.13)</f>
        <v>1469.13</v>
      </c>
      <c r="E572" s="2">
        <f>IFERROR(__xludf.DUMMYFUNCTION("""COMPUTED_VALUE"""),1518.25)</f>
        <v>1518.25</v>
      </c>
      <c r="F572" s="2">
        <f>IFERROR(__xludf.DUMMYFUNCTION("""COMPUTED_VALUE"""),6.60329E7)</f>
        <v>66032900</v>
      </c>
      <c r="G572" s="2">
        <f t="shared" si="1"/>
        <v>66.98</v>
      </c>
    </row>
    <row r="573" ht="15.75" customHeight="1">
      <c r="A573" s="1">
        <f>IFERROR(__xludf.DUMMYFUNCTION("""COMPUTED_VALUE"""),44692.66666666667)</f>
        <v>44692.66667</v>
      </c>
      <c r="B573" s="2">
        <f>IFERROR(__xludf.DUMMYFUNCTION("""COMPUTED_VALUE"""),1522.71)</f>
        <v>1522.71</v>
      </c>
      <c r="C573" s="2">
        <f>IFERROR(__xludf.DUMMYFUNCTION("""COMPUTED_VALUE"""),1553.97)</f>
        <v>1553.97</v>
      </c>
      <c r="D573" s="2">
        <f>IFERROR(__xludf.DUMMYFUNCTION("""COMPUTED_VALUE"""),1500.38)</f>
        <v>1500.38</v>
      </c>
      <c r="E573" s="2">
        <f>IFERROR(__xludf.DUMMYFUNCTION("""COMPUTED_VALUE"""),1500.38)</f>
        <v>1500.38</v>
      </c>
      <c r="F573" s="2">
        <f>IFERROR(__xludf.DUMMYFUNCTION("""COMPUTED_VALUE"""),2.96891E7)</f>
        <v>29689100</v>
      </c>
      <c r="G573" s="2">
        <f t="shared" si="1"/>
        <v>53.59</v>
      </c>
    </row>
    <row r="574" ht="15.75" customHeight="1">
      <c r="A574" s="1">
        <f>IFERROR(__xludf.DUMMYFUNCTION("""COMPUTED_VALUE"""),44693.66666666667)</f>
        <v>44693.66667</v>
      </c>
      <c r="B574" s="2">
        <f>IFERROR(__xludf.DUMMYFUNCTION("""COMPUTED_VALUE"""),1491.45)</f>
        <v>1491.45</v>
      </c>
      <c r="C574" s="2">
        <f>IFERROR(__xludf.DUMMYFUNCTION("""COMPUTED_VALUE"""),1509.32)</f>
        <v>1509.32</v>
      </c>
      <c r="D574" s="2">
        <f>IFERROR(__xludf.DUMMYFUNCTION("""COMPUTED_VALUE"""),1446.8)</f>
        <v>1446.8</v>
      </c>
      <c r="E574" s="2">
        <f>IFERROR(__xludf.DUMMYFUNCTION("""COMPUTED_VALUE"""),1455.73)</f>
        <v>1455.73</v>
      </c>
      <c r="F574" s="2">
        <f>IFERROR(__xludf.DUMMYFUNCTION("""COMPUTED_VALUE"""),5.66368E7)</f>
        <v>56636800</v>
      </c>
      <c r="G574" s="2">
        <f t="shared" si="1"/>
        <v>62.52</v>
      </c>
    </row>
    <row r="575" ht="15.75" customHeight="1">
      <c r="A575" s="1">
        <f>IFERROR(__xludf.DUMMYFUNCTION("""COMPUTED_VALUE"""),44694.66666666667)</f>
        <v>44694.66667</v>
      </c>
      <c r="B575" s="2">
        <f>IFERROR(__xludf.DUMMYFUNCTION("""COMPUTED_VALUE"""),1473.59)</f>
        <v>1473.59</v>
      </c>
      <c r="C575" s="2">
        <f>IFERROR(__xludf.DUMMYFUNCTION("""COMPUTED_VALUE"""),1478.06)</f>
        <v>1478.06</v>
      </c>
      <c r="D575" s="2">
        <f>IFERROR(__xludf.DUMMYFUNCTION("""COMPUTED_VALUE"""),1437.87)</f>
        <v>1437.87</v>
      </c>
      <c r="E575" s="2">
        <f>IFERROR(__xludf.DUMMYFUNCTION("""COMPUTED_VALUE"""),1469.13)</f>
        <v>1469.13</v>
      </c>
      <c r="F575" s="2">
        <f>IFERROR(__xludf.DUMMYFUNCTION("""COMPUTED_VALUE"""),2.80701E7)</f>
        <v>28070100</v>
      </c>
      <c r="G575" s="2">
        <f t="shared" si="1"/>
        <v>40.19</v>
      </c>
    </row>
    <row r="576" ht="15.75" customHeight="1">
      <c r="A576" s="1">
        <f>IFERROR(__xludf.DUMMYFUNCTION("""COMPUTED_VALUE"""),44698.66666666667)</f>
        <v>44698.66667</v>
      </c>
      <c r="B576" s="2">
        <f>IFERROR(__xludf.DUMMYFUNCTION("""COMPUTED_VALUE"""),1469.13)</f>
        <v>1469.13</v>
      </c>
      <c r="C576" s="2">
        <f>IFERROR(__xludf.DUMMYFUNCTION("""COMPUTED_VALUE"""),1500.38)</f>
        <v>1500.38</v>
      </c>
      <c r="D576" s="2">
        <f>IFERROR(__xludf.DUMMYFUNCTION("""COMPUTED_VALUE"""),1469.13)</f>
        <v>1469.13</v>
      </c>
      <c r="E576" s="2">
        <f>IFERROR(__xludf.DUMMYFUNCTION("""COMPUTED_VALUE"""),1486.99)</f>
        <v>1486.99</v>
      </c>
      <c r="F576" s="2">
        <f>IFERROR(__xludf.DUMMYFUNCTION("""COMPUTED_VALUE"""),2.04797E7)</f>
        <v>20479700</v>
      </c>
      <c r="G576" s="2">
        <f t="shared" si="1"/>
        <v>31.25</v>
      </c>
    </row>
    <row r="577" ht="15.75" customHeight="1">
      <c r="A577" s="1">
        <f>IFERROR(__xludf.DUMMYFUNCTION("""COMPUTED_VALUE"""),44699.66666666667)</f>
        <v>44699.66667</v>
      </c>
      <c r="B577" s="2">
        <f>IFERROR(__xludf.DUMMYFUNCTION("""COMPUTED_VALUE"""),1504.85)</f>
        <v>1504.85</v>
      </c>
      <c r="C577" s="2">
        <f>IFERROR(__xludf.DUMMYFUNCTION("""COMPUTED_VALUE"""),1504.85)</f>
        <v>1504.85</v>
      </c>
      <c r="D577" s="2">
        <f>IFERROR(__xludf.DUMMYFUNCTION("""COMPUTED_VALUE"""),1469.13)</f>
        <v>1469.13</v>
      </c>
      <c r="E577" s="2">
        <f>IFERROR(__xludf.DUMMYFUNCTION("""COMPUTED_VALUE"""),1495.92)</f>
        <v>1495.92</v>
      </c>
      <c r="F577" s="2">
        <f>IFERROR(__xludf.DUMMYFUNCTION("""COMPUTED_VALUE"""),5.9078E7)</f>
        <v>59078000</v>
      </c>
      <c r="G577" s="2">
        <f t="shared" si="1"/>
        <v>35.72</v>
      </c>
    </row>
    <row r="578" ht="15.75" customHeight="1">
      <c r="A578" s="1">
        <f>IFERROR(__xludf.DUMMYFUNCTION("""COMPUTED_VALUE"""),44700.66666666667)</f>
        <v>44700.66667</v>
      </c>
      <c r="B578" s="2">
        <f>IFERROR(__xludf.DUMMYFUNCTION("""COMPUTED_VALUE"""),1469.13)</f>
        <v>1469.13</v>
      </c>
      <c r="C578" s="2">
        <f>IFERROR(__xludf.DUMMYFUNCTION("""COMPUTED_VALUE"""),1500.38)</f>
        <v>1500.38</v>
      </c>
      <c r="D578" s="2">
        <f>IFERROR(__xludf.DUMMYFUNCTION("""COMPUTED_VALUE"""),1460.2)</f>
        <v>1460.2</v>
      </c>
      <c r="E578" s="2">
        <f>IFERROR(__xludf.DUMMYFUNCTION("""COMPUTED_VALUE"""),1486.99)</f>
        <v>1486.99</v>
      </c>
      <c r="F578" s="2">
        <f>IFERROR(__xludf.DUMMYFUNCTION("""COMPUTED_VALUE"""),3.7742E7)</f>
        <v>37742000</v>
      </c>
      <c r="G578" s="2">
        <f t="shared" si="1"/>
        <v>40.18</v>
      </c>
    </row>
    <row r="579" ht="15.75" customHeight="1">
      <c r="A579" s="1">
        <f>IFERROR(__xludf.DUMMYFUNCTION("""COMPUTED_VALUE"""),44701.66666666667)</f>
        <v>44701.66667</v>
      </c>
      <c r="B579" s="2">
        <f>IFERROR(__xludf.DUMMYFUNCTION("""COMPUTED_VALUE"""),1495.92)</f>
        <v>1495.92</v>
      </c>
      <c r="C579" s="2">
        <f>IFERROR(__xludf.DUMMYFUNCTION("""COMPUTED_VALUE"""),1495.92)</f>
        <v>1495.92</v>
      </c>
      <c r="D579" s="2">
        <f>IFERROR(__xludf.DUMMYFUNCTION("""COMPUTED_VALUE"""),1478.06)</f>
        <v>1478.06</v>
      </c>
      <c r="E579" s="2">
        <f>IFERROR(__xludf.DUMMYFUNCTION("""COMPUTED_VALUE"""),1482.52)</f>
        <v>1482.52</v>
      </c>
      <c r="F579" s="2">
        <f>IFERROR(__xludf.DUMMYFUNCTION("""COMPUTED_VALUE"""),1.75359E7)</f>
        <v>17535900</v>
      </c>
      <c r="G579" s="2">
        <f t="shared" si="1"/>
        <v>17.86</v>
      </c>
    </row>
    <row r="580" ht="15.75" customHeight="1">
      <c r="A580" s="1">
        <f>IFERROR(__xludf.DUMMYFUNCTION("""COMPUTED_VALUE"""),44704.66666666667)</f>
        <v>44704.66667</v>
      </c>
      <c r="B580" s="2">
        <f>IFERROR(__xludf.DUMMYFUNCTION("""COMPUTED_VALUE"""),1491.45)</f>
        <v>1491.45</v>
      </c>
      <c r="C580" s="2">
        <f>IFERROR(__xludf.DUMMYFUNCTION("""COMPUTED_VALUE"""),1495.92)</f>
        <v>1495.92</v>
      </c>
      <c r="D580" s="2">
        <f>IFERROR(__xludf.DUMMYFUNCTION("""COMPUTED_VALUE"""),1473.59)</f>
        <v>1473.59</v>
      </c>
      <c r="E580" s="2">
        <f>IFERROR(__xludf.DUMMYFUNCTION("""COMPUTED_VALUE"""),1478.06)</f>
        <v>1478.06</v>
      </c>
      <c r="F580" s="2">
        <f>IFERROR(__xludf.DUMMYFUNCTION("""COMPUTED_VALUE"""),1.84885E7)</f>
        <v>18488500</v>
      </c>
      <c r="G580" s="2">
        <f t="shared" si="1"/>
        <v>22.33</v>
      </c>
    </row>
    <row r="581" ht="15.75" customHeight="1">
      <c r="A581" s="1">
        <f>IFERROR(__xludf.DUMMYFUNCTION("""COMPUTED_VALUE"""),44705.66666666667)</f>
        <v>44705.66667</v>
      </c>
      <c r="B581" s="2">
        <f>IFERROR(__xludf.DUMMYFUNCTION("""COMPUTED_VALUE"""),1491.45)</f>
        <v>1491.45</v>
      </c>
      <c r="C581" s="2">
        <f>IFERROR(__xludf.DUMMYFUNCTION("""COMPUTED_VALUE"""),1509.32)</f>
        <v>1509.32</v>
      </c>
      <c r="D581" s="2">
        <f>IFERROR(__xludf.DUMMYFUNCTION("""COMPUTED_VALUE"""),1482.52)</f>
        <v>1482.52</v>
      </c>
      <c r="E581" s="2">
        <f>IFERROR(__xludf.DUMMYFUNCTION("""COMPUTED_VALUE"""),1500.38)</f>
        <v>1500.38</v>
      </c>
      <c r="F581" s="2">
        <f>IFERROR(__xludf.DUMMYFUNCTION("""COMPUTED_VALUE"""),1.82081E7)</f>
        <v>18208100</v>
      </c>
      <c r="G581" s="2">
        <f t="shared" si="1"/>
        <v>31.26</v>
      </c>
    </row>
    <row r="582" ht="15.75" customHeight="1">
      <c r="A582" s="1">
        <f>IFERROR(__xludf.DUMMYFUNCTION("""COMPUTED_VALUE"""),44706.66666666667)</f>
        <v>44706.66667</v>
      </c>
      <c r="B582" s="2">
        <f>IFERROR(__xludf.DUMMYFUNCTION("""COMPUTED_VALUE"""),1504.85)</f>
        <v>1504.85</v>
      </c>
      <c r="C582" s="2">
        <f>IFERROR(__xludf.DUMMYFUNCTION("""COMPUTED_VALUE"""),1504.85)</f>
        <v>1504.85</v>
      </c>
      <c r="D582" s="2">
        <f>IFERROR(__xludf.DUMMYFUNCTION("""COMPUTED_VALUE"""),1482.52)</f>
        <v>1482.52</v>
      </c>
      <c r="E582" s="2">
        <f>IFERROR(__xludf.DUMMYFUNCTION("""COMPUTED_VALUE"""),1495.92)</f>
        <v>1495.92</v>
      </c>
      <c r="F582" s="2">
        <f>IFERROR(__xludf.DUMMYFUNCTION("""COMPUTED_VALUE"""),2.08091E7)</f>
        <v>20809100</v>
      </c>
      <c r="G582" s="2">
        <f t="shared" si="1"/>
        <v>22.33</v>
      </c>
    </row>
    <row r="583" ht="15.75" customHeight="1">
      <c r="A583" s="1">
        <f>IFERROR(__xludf.DUMMYFUNCTION("""COMPUTED_VALUE"""),44708.66666666667)</f>
        <v>44708.66667</v>
      </c>
      <c r="B583" s="2">
        <f>IFERROR(__xludf.DUMMYFUNCTION("""COMPUTED_VALUE"""),1504.85)</f>
        <v>1504.85</v>
      </c>
      <c r="C583" s="2">
        <f>IFERROR(__xludf.DUMMYFUNCTION("""COMPUTED_VALUE"""),1518.25)</f>
        <v>1518.25</v>
      </c>
      <c r="D583" s="2">
        <f>IFERROR(__xludf.DUMMYFUNCTION("""COMPUTED_VALUE"""),1500.38)</f>
        <v>1500.38</v>
      </c>
      <c r="E583" s="2">
        <f>IFERROR(__xludf.DUMMYFUNCTION("""COMPUTED_VALUE"""),1500.38)</f>
        <v>1500.38</v>
      </c>
      <c r="F583" s="2">
        <f>IFERROR(__xludf.DUMMYFUNCTION("""COMPUTED_VALUE"""),2.28008E7)</f>
        <v>22800800</v>
      </c>
      <c r="G583" s="2">
        <f t="shared" si="1"/>
        <v>22.33</v>
      </c>
    </row>
    <row r="584" ht="15.75" customHeight="1">
      <c r="A584" s="1">
        <f>IFERROR(__xludf.DUMMYFUNCTION("""COMPUTED_VALUE"""),44711.66666666667)</f>
        <v>44711.66667</v>
      </c>
      <c r="B584" s="2">
        <f>IFERROR(__xludf.DUMMYFUNCTION("""COMPUTED_VALUE"""),1513.78)</f>
        <v>1513.78</v>
      </c>
      <c r="C584" s="2">
        <f>IFERROR(__xludf.DUMMYFUNCTION("""COMPUTED_VALUE"""),1513.78)</f>
        <v>1513.78</v>
      </c>
      <c r="D584" s="2">
        <f>IFERROR(__xludf.DUMMYFUNCTION("""COMPUTED_VALUE"""),1478.06)</f>
        <v>1478.06</v>
      </c>
      <c r="E584" s="2">
        <f>IFERROR(__xludf.DUMMYFUNCTION("""COMPUTED_VALUE"""),1495.92)</f>
        <v>1495.92</v>
      </c>
      <c r="F584" s="2">
        <f>IFERROR(__xludf.DUMMYFUNCTION("""COMPUTED_VALUE"""),4.65389E7)</f>
        <v>46538900</v>
      </c>
      <c r="G584" s="2">
        <f t="shared" si="1"/>
        <v>35.72</v>
      </c>
    </row>
    <row r="585" ht="15.75" customHeight="1">
      <c r="A585" s="1">
        <f>IFERROR(__xludf.DUMMYFUNCTION("""COMPUTED_VALUE"""),44712.66666666667)</f>
        <v>44712.66667</v>
      </c>
      <c r="B585" s="2">
        <f>IFERROR(__xludf.DUMMYFUNCTION("""COMPUTED_VALUE"""),1495.92)</f>
        <v>1495.92</v>
      </c>
      <c r="C585" s="2">
        <f>IFERROR(__xludf.DUMMYFUNCTION("""COMPUTED_VALUE"""),1527.18)</f>
        <v>1527.18</v>
      </c>
      <c r="D585" s="2">
        <f>IFERROR(__xludf.DUMMYFUNCTION("""COMPUTED_VALUE"""),1495.92)</f>
        <v>1495.92</v>
      </c>
      <c r="E585" s="2">
        <f>IFERROR(__xludf.DUMMYFUNCTION("""COMPUTED_VALUE"""),1518.25)</f>
        <v>1518.25</v>
      </c>
      <c r="F585" s="2">
        <f>IFERROR(__xludf.DUMMYFUNCTION("""COMPUTED_VALUE"""),2.27005E7)</f>
        <v>22700500</v>
      </c>
      <c r="G585" s="2">
        <f t="shared" si="1"/>
        <v>31.26</v>
      </c>
    </row>
    <row r="586" ht="15.75" customHeight="1">
      <c r="A586" s="1">
        <f>IFERROR(__xludf.DUMMYFUNCTION("""COMPUTED_VALUE"""),44714.66666666667)</f>
        <v>44714.66667</v>
      </c>
      <c r="B586" s="2">
        <f>IFERROR(__xludf.DUMMYFUNCTION("""COMPUTED_VALUE"""),1522.71)</f>
        <v>1522.71</v>
      </c>
      <c r="C586" s="2">
        <f>IFERROR(__xludf.DUMMYFUNCTION("""COMPUTED_VALUE"""),1522.71)</f>
        <v>1522.71</v>
      </c>
      <c r="D586" s="2">
        <f>IFERROR(__xludf.DUMMYFUNCTION("""COMPUTED_VALUE"""),1491.45)</f>
        <v>1491.45</v>
      </c>
      <c r="E586" s="2">
        <f>IFERROR(__xludf.DUMMYFUNCTION("""COMPUTED_VALUE"""),1495.92)</f>
        <v>1495.92</v>
      </c>
      <c r="F586" s="2">
        <f>IFERROR(__xludf.DUMMYFUNCTION("""COMPUTED_VALUE"""),2.44466E7)</f>
        <v>24446600</v>
      </c>
      <c r="G586" s="2">
        <f t="shared" si="1"/>
        <v>31.26</v>
      </c>
    </row>
    <row r="587" ht="15.75" customHeight="1">
      <c r="A587" s="1">
        <f>IFERROR(__xludf.DUMMYFUNCTION("""COMPUTED_VALUE"""),44715.66666666667)</f>
        <v>44715.66667</v>
      </c>
      <c r="B587" s="2">
        <f>IFERROR(__xludf.DUMMYFUNCTION("""COMPUTED_VALUE"""),1500.38)</f>
        <v>1500.38</v>
      </c>
      <c r="C587" s="2">
        <f>IFERROR(__xludf.DUMMYFUNCTION("""COMPUTED_VALUE"""),1509.32)</f>
        <v>1509.32</v>
      </c>
      <c r="D587" s="2">
        <f>IFERROR(__xludf.DUMMYFUNCTION("""COMPUTED_VALUE"""),1495.92)</f>
        <v>1495.92</v>
      </c>
      <c r="E587" s="2">
        <f>IFERROR(__xludf.DUMMYFUNCTION("""COMPUTED_VALUE"""),1495.92)</f>
        <v>1495.92</v>
      </c>
      <c r="F587" s="2">
        <f>IFERROR(__xludf.DUMMYFUNCTION("""COMPUTED_VALUE"""),1.40764E7)</f>
        <v>14076400</v>
      </c>
      <c r="G587" s="2">
        <f t="shared" si="1"/>
        <v>13.4</v>
      </c>
    </row>
    <row r="588" ht="15.75" customHeight="1">
      <c r="A588" s="1">
        <f>IFERROR(__xludf.DUMMYFUNCTION("""COMPUTED_VALUE"""),44718.66666666667)</f>
        <v>44718.66667</v>
      </c>
      <c r="B588" s="2">
        <f>IFERROR(__xludf.DUMMYFUNCTION("""COMPUTED_VALUE"""),1495.92)</f>
        <v>1495.92</v>
      </c>
      <c r="C588" s="2">
        <f>IFERROR(__xludf.DUMMYFUNCTION("""COMPUTED_VALUE"""),1509.32)</f>
        <v>1509.32</v>
      </c>
      <c r="D588" s="2">
        <f>IFERROR(__xludf.DUMMYFUNCTION("""COMPUTED_VALUE"""),1482.52)</f>
        <v>1482.52</v>
      </c>
      <c r="E588" s="2">
        <f>IFERROR(__xludf.DUMMYFUNCTION("""COMPUTED_VALUE"""),1504.85)</f>
        <v>1504.85</v>
      </c>
      <c r="F588" s="2">
        <f>IFERROR(__xludf.DUMMYFUNCTION("""COMPUTED_VALUE"""),3.69287E7)</f>
        <v>36928700</v>
      </c>
      <c r="G588" s="2">
        <f t="shared" si="1"/>
        <v>26.8</v>
      </c>
    </row>
    <row r="589" ht="15.75" customHeight="1">
      <c r="A589" s="1">
        <f>IFERROR(__xludf.DUMMYFUNCTION("""COMPUTED_VALUE"""),44719.66666666667)</f>
        <v>44719.66667</v>
      </c>
      <c r="B589" s="2">
        <f>IFERROR(__xludf.DUMMYFUNCTION("""COMPUTED_VALUE"""),1509.32)</f>
        <v>1509.32</v>
      </c>
      <c r="C589" s="2">
        <f>IFERROR(__xludf.DUMMYFUNCTION("""COMPUTED_VALUE"""),1518.25)</f>
        <v>1518.25</v>
      </c>
      <c r="D589" s="2">
        <f>IFERROR(__xludf.DUMMYFUNCTION("""COMPUTED_VALUE"""),1491.45)</f>
        <v>1491.45</v>
      </c>
      <c r="E589" s="2">
        <f>IFERROR(__xludf.DUMMYFUNCTION("""COMPUTED_VALUE"""),1491.45)</f>
        <v>1491.45</v>
      </c>
      <c r="F589" s="2">
        <f>IFERROR(__xludf.DUMMYFUNCTION("""COMPUTED_VALUE"""),1.3784E7)</f>
        <v>13784000</v>
      </c>
      <c r="G589" s="2">
        <f t="shared" si="1"/>
        <v>26.8</v>
      </c>
    </row>
    <row r="590" ht="15.75" customHeight="1">
      <c r="A590" s="1">
        <f>IFERROR(__xludf.DUMMYFUNCTION("""COMPUTED_VALUE"""),44720.66666666667)</f>
        <v>44720.66667</v>
      </c>
      <c r="B590" s="2">
        <f>IFERROR(__xludf.DUMMYFUNCTION("""COMPUTED_VALUE"""),1491.45)</f>
        <v>1491.45</v>
      </c>
      <c r="C590" s="2">
        <f>IFERROR(__xludf.DUMMYFUNCTION("""COMPUTED_VALUE"""),1495.92)</f>
        <v>1495.92</v>
      </c>
      <c r="D590" s="2">
        <f>IFERROR(__xludf.DUMMYFUNCTION("""COMPUTED_VALUE"""),1437.87)</f>
        <v>1437.87</v>
      </c>
      <c r="E590" s="2">
        <f>IFERROR(__xludf.DUMMYFUNCTION("""COMPUTED_VALUE"""),1451.26)</f>
        <v>1451.26</v>
      </c>
      <c r="F590" s="2">
        <f>IFERROR(__xludf.DUMMYFUNCTION("""COMPUTED_VALUE"""),5.9491E7)</f>
        <v>59491000</v>
      </c>
      <c r="G590" s="2">
        <f t="shared" si="1"/>
        <v>58.05</v>
      </c>
    </row>
    <row r="591" ht="15.75" customHeight="1">
      <c r="A591" s="1">
        <f>IFERROR(__xludf.DUMMYFUNCTION("""COMPUTED_VALUE"""),44721.66666666667)</f>
        <v>44721.66667</v>
      </c>
      <c r="B591" s="2">
        <f>IFERROR(__xludf.DUMMYFUNCTION("""COMPUTED_VALUE"""),1451.26)</f>
        <v>1451.26</v>
      </c>
      <c r="C591" s="2">
        <f>IFERROR(__xludf.DUMMYFUNCTION("""COMPUTED_VALUE"""),1469.13)</f>
        <v>1469.13</v>
      </c>
      <c r="D591" s="2">
        <f>IFERROR(__xludf.DUMMYFUNCTION("""COMPUTED_VALUE"""),1446.8)</f>
        <v>1446.8</v>
      </c>
      <c r="E591" s="2">
        <f>IFERROR(__xludf.DUMMYFUNCTION("""COMPUTED_VALUE"""),1451.26)</f>
        <v>1451.26</v>
      </c>
      <c r="F591" s="2">
        <f>IFERROR(__xludf.DUMMYFUNCTION("""COMPUTED_VALUE"""),1.49038E7)</f>
        <v>14903800</v>
      </c>
      <c r="G591" s="2">
        <f t="shared" si="1"/>
        <v>22.33</v>
      </c>
    </row>
    <row r="592" ht="15.75" customHeight="1">
      <c r="A592" s="1">
        <f>IFERROR(__xludf.DUMMYFUNCTION("""COMPUTED_VALUE"""),44722.66666666667)</f>
        <v>44722.66667</v>
      </c>
      <c r="B592" s="2">
        <f>IFERROR(__xludf.DUMMYFUNCTION("""COMPUTED_VALUE"""),1451.26)</f>
        <v>1451.26</v>
      </c>
      <c r="C592" s="2">
        <f>IFERROR(__xludf.DUMMYFUNCTION("""COMPUTED_VALUE"""),1451.26)</f>
        <v>1451.26</v>
      </c>
      <c r="D592" s="2">
        <f>IFERROR(__xludf.DUMMYFUNCTION("""COMPUTED_VALUE"""),1388.75)</f>
        <v>1388.75</v>
      </c>
      <c r="E592" s="2">
        <f>IFERROR(__xludf.DUMMYFUNCTION("""COMPUTED_VALUE"""),1393.21)</f>
        <v>1393.21</v>
      </c>
      <c r="F592" s="2">
        <f>IFERROR(__xludf.DUMMYFUNCTION("""COMPUTED_VALUE"""),6.81068E7)</f>
        <v>68106800</v>
      </c>
      <c r="G592" s="2">
        <f t="shared" si="1"/>
        <v>62.51</v>
      </c>
    </row>
    <row r="593" ht="15.75" customHeight="1">
      <c r="A593" s="1">
        <f>IFERROR(__xludf.DUMMYFUNCTION("""COMPUTED_VALUE"""),44725.66666666667)</f>
        <v>44725.66667</v>
      </c>
      <c r="B593" s="2">
        <f>IFERROR(__xludf.DUMMYFUNCTION("""COMPUTED_VALUE"""),1375.35)</f>
        <v>1375.35</v>
      </c>
      <c r="C593" s="2">
        <f>IFERROR(__xludf.DUMMYFUNCTION("""COMPUTED_VALUE"""),1375.35)</f>
        <v>1375.35</v>
      </c>
      <c r="D593" s="2">
        <f>IFERROR(__xludf.DUMMYFUNCTION("""COMPUTED_VALUE"""),1303.91)</f>
        <v>1303.91</v>
      </c>
      <c r="E593" s="2">
        <f>IFERROR(__xludf.DUMMYFUNCTION("""COMPUTED_VALUE"""),1312.84)</f>
        <v>1312.84</v>
      </c>
      <c r="F593" s="2">
        <f>IFERROR(__xludf.DUMMYFUNCTION("""COMPUTED_VALUE"""),6.60672E7)</f>
        <v>66067200</v>
      </c>
      <c r="G593" s="2">
        <f t="shared" si="1"/>
        <v>89.3</v>
      </c>
    </row>
    <row r="594" ht="15.75" customHeight="1">
      <c r="A594" s="1">
        <f>IFERROR(__xludf.DUMMYFUNCTION("""COMPUTED_VALUE"""),44726.66666666667)</f>
        <v>44726.66667</v>
      </c>
      <c r="B594" s="2">
        <f>IFERROR(__xludf.DUMMYFUNCTION("""COMPUTED_VALUE"""),1308.37)</f>
        <v>1308.37</v>
      </c>
      <c r="C594" s="2">
        <f>IFERROR(__xludf.DUMMYFUNCTION("""COMPUTED_VALUE"""),1361.96)</f>
        <v>1361.96</v>
      </c>
      <c r="D594" s="2">
        <f>IFERROR(__xludf.DUMMYFUNCTION("""COMPUTED_VALUE"""),1299.44)</f>
        <v>1299.44</v>
      </c>
      <c r="E594" s="2">
        <f>IFERROR(__xludf.DUMMYFUNCTION("""COMPUTED_VALUE"""),1330.7)</f>
        <v>1330.7</v>
      </c>
      <c r="F594" s="2">
        <f>IFERROR(__xludf.DUMMYFUNCTION("""COMPUTED_VALUE"""),2.93381E7)</f>
        <v>29338100</v>
      </c>
      <c r="G594" s="2">
        <f t="shared" si="1"/>
        <v>62.52</v>
      </c>
    </row>
    <row r="595" ht="15.75" customHeight="1">
      <c r="A595" s="1">
        <f>IFERROR(__xludf.DUMMYFUNCTION("""COMPUTED_VALUE"""),44727.66666666667)</f>
        <v>44727.66667</v>
      </c>
      <c r="B595" s="2">
        <f>IFERROR(__xludf.DUMMYFUNCTION("""COMPUTED_VALUE"""),1335.16)</f>
        <v>1335.16</v>
      </c>
      <c r="C595" s="2">
        <f>IFERROR(__xludf.DUMMYFUNCTION("""COMPUTED_VALUE"""),1348.56)</f>
        <v>1348.56</v>
      </c>
      <c r="D595" s="2">
        <f>IFERROR(__xludf.DUMMYFUNCTION("""COMPUTED_VALUE"""),1312.84)</f>
        <v>1312.84</v>
      </c>
      <c r="E595" s="2">
        <f>IFERROR(__xludf.DUMMYFUNCTION("""COMPUTED_VALUE"""),1330.7)</f>
        <v>1330.7</v>
      </c>
      <c r="F595" s="2">
        <f>IFERROR(__xludf.DUMMYFUNCTION("""COMPUTED_VALUE"""),1.35943E7)</f>
        <v>13594300</v>
      </c>
      <c r="G595" s="2">
        <f t="shared" si="1"/>
        <v>35.72</v>
      </c>
    </row>
    <row r="596" ht="15.75" customHeight="1">
      <c r="A596" s="1">
        <f>IFERROR(__xludf.DUMMYFUNCTION("""COMPUTED_VALUE"""),44728.66666666667)</f>
        <v>44728.66667</v>
      </c>
      <c r="B596" s="2">
        <f>IFERROR(__xludf.DUMMYFUNCTION("""COMPUTED_VALUE"""),1339.63)</f>
        <v>1339.63</v>
      </c>
      <c r="C596" s="2">
        <f>IFERROR(__xludf.DUMMYFUNCTION("""COMPUTED_VALUE"""),1353.03)</f>
        <v>1353.03</v>
      </c>
      <c r="D596" s="2">
        <f>IFERROR(__xludf.DUMMYFUNCTION("""COMPUTED_VALUE"""),1335.16)</f>
        <v>1335.16</v>
      </c>
      <c r="E596" s="2">
        <f>IFERROR(__xludf.DUMMYFUNCTION("""COMPUTED_VALUE"""),1339.63)</f>
        <v>1339.63</v>
      </c>
      <c r="F596" s="2">
        <f>IFERROR(__xludf.DUMMYFUNCTION("""COMPUTED_VALUE"""),2.54375E7)</f>
        <v>25437500</v>
      </c>
      <c r="G596" s="2">
        <f t="shared" si="1"/>
        <v>22.33</v>
      </c>
    </row>
    <row r="597" ht="15.75" customHeight="1">
      <c r="A597" s="1">
        <f>IFERROR(__xludf.DUMMYFUNCTION("""COMPUTED_VALUE"""),44729.66666666667)</f>
        <v>44729.66667</v>
      </c>
      <c r="B597" s="2">
        <f>IFERROR(__xludf.DUMMYFUNCTION("""COMPUTED_VALUE"""),1326.23)</f>
        <v>1326.23</v>
      </c>
      <c r="C597" s="2">
        <f>IFERROR(__xludf.DUMMYFUNCTION("""COMPUTED_VALUE"""),1335.16)</f>
        <v>1335.16</v>
      </c>
      <c r="D597" s="2">
        <f>IFERROR(__xludf.DUMMYFUNCTION("""COMPUTED_VALUE"""),1312.84)</f>
        <v>1312.84</v>
      </c>
      <c r="E597" s="2">
        <f>IFERROR(__xludf.DUMMYFUNCTION("""COMPUTED_VALUE"""),1321.77)</f>
        <v>1321.77</v>
      </c>
      <c r="F597" s="2">
        <f>IFERROR(__xludf.DUMMYFUNCTION("""COMPUTED_VALUE"""),1.78919E7)</f>
        <v>17891900</v>
      </c>
      <c r="G597" s="2">
        <f t="shared" si="1"/>
        <v>26.79</v>
      </c>
    </row>
    <row r="598" ht="15.75" customHeight="1">
      <c r="A598" s="1">
        <f>IFERROR(__xludf.DUMMYFUNCTION("""COMPUTED_VALUE"""),44732.66666666667)</f>
        <v>44732.66667</v>
      </c>
      <c r="B598" s="2">
        <f>IFERROR(__xludf.DUMMYFUNCTION("""COMPUTED_VALUE"""),1339.63)</f>
        <v>1339.63</v>
      </c>
      <c r="C598" s="2">
        <f>IFERROR(__xludf.DUMMYFUNCTION("""COMPUTED_VALUE"""),1339.63)</f>
        <v>1339.63</v>
      </c>
      <c r="D598" s="2">
        <f>IFERROR(__xludf.DUMMYFUNCTION("""COMPUTED_VALUE"""),1299.44)</f>
        <v>1299.44</v>
      </c>
      <c r="E598" s="2">
        <f>IFERROR(__xludf.DUMMYFUNCTION("""COMPUTED_VALUE"""),1308.37)</f>
        <v>1308.37</v>
      </c>
      <c r="F598" s="2">
        <f>IFERROR(__xludf.DUMMYFUNCTION("""COMPUTED_VALUE"""),1.30668E7)</f>
        <v>13066800</v>
      </c>
      <c r="G598" s="2">
        <f t="shared" si="1"/>
        <v>40.19</v>
      </c>
    </row>
    <row r="599" ht="15.75" customHeight="1">
      <c r="A599" s="1">
        <f>IFERROR(__xludf.DUMMYFUNCTION("""COMPUTED_VALUE"""),44733.66666666667)</f>
        <v>44733.66667</v>
      </c>
      <c r="B599" s="2">
        <f>IFERROR(__xludf.DUMMYFUNCTION("""COMPUTED_VALUE"""),1317.3)</f>
        <v>1317.3</v>
      </c>
      <c r="C599" s="2">
        <f>IFERROR(__xludf.DUMMYFUNCTION("""COMPUTED_VALUE"""),1335.16)</f>
        <v>1335.16</v>
      </c>
      <c r="D599" s="2">
        <f>IFERROR(__xludf.DUMMYFUNCTION("""COMPUTED_VALUE"""),1317.3)</f>
        <v>1317.3</v>
      </c>
      <c r="E599" s="2">
        <f>IFERROR(__xludf.DUMMYFUNCTION("""COMPUTED_VALUE"""),1326.23)</f>
        <v>1326.23</v>
      </c>
      <c r="F599" s="2">
        <f>IFERROR(__xludf.DUMMYFUNCTION("""COMPUTED_VALUE"""),1.03151E7)</f>
        <v>10315100</v>
      </c>
      <c r="G599" s="2">
        <f t="shared" si="1"/>
        <v>26.79</v>
      </c>
    </row>
    <row r="600" ht="15.75" customHeight="1">
      <c r="A600" s="1">
        <f>IFERROR(__xludf.DUMMYFUNCTION("""COMPUTED_VALUE"""),44734.66666666667)</f>
        <v>44734.66667</v>
      </c>
      <c r="B600" s="2">
        <f>IFERROR(__xludf.DUMMYFUNCTION("""COMPUTED_VALUE"""),1335.16)</f>
        <v>1335.16</v>
      </c>
      <c r="C600" s="2">
        <f>IFERROR(__xludf.DUMMYFUNCTION("""COMPUTED_VALUE"""),1361.96)</f>
        <v>1361.96</v>
      </c>
      <c r="D600" s="2">
        <f>IFERROR(__xludf.DUMMYFUNCTION("""COMPUTED_VALUE"""),1321.77)</f>
        <v>1321.77</v>
      </c>
      <c r="E600" s="2">
        <f>IFERROR(__xludf.DUMMYFUNCTION("""COMPUTED_VALUE"""),1330.7)</f>
        <v>1330.7</v>
      </c>
      <c r="F600" s="2">
        <f>IFERROR(__xludf.DUMMYFUNCTION("""COMPUTED_VALUE"""),1.70147E7)</f>
        <v>17014700</v>
      </c>
      <c r="G600" s="2">
        <f t="shared" si="1"/>
        <v>40.19</v>
      </c>
    </row>
    <row r="601" ht="15.75" customHeight="1">
      <c r="A601" s="1">
        <f>IFERROR(__xludf.DUMMYFUNCTION("""COMPUTED_VALUE"""),44735.66666666667)</f>
        <v>44735.66667</v>
      </c>
      <c r="B601" s="2">
        <f>IFERROR(__xludf.DUMMYFUNCTION("""COMPUTED_VALUE"""),1330.7)</f>
        <v>1330.7</v>
      </c>
      <c r="C601" s="2">
        <f>IFERROR(__xludf.DUMMYFUNCTION("""COMPUTED_VALUE"""),1335.16)</f>
        <v>1335.16</v>
      </c>
      <c r="D601" s="2">
        <f>IFERROR(__xludf.DUMMYFUNCTION("""COMPUTED_VALUE"""),1317.3)</f>
        <v>1317.3</v>
      </c>
      <c r="E601" s="2">
        <f>IFERROR(__xludf.DUMMYFUNCTION("""COMPUTED_VALUE"""),1321.77)</f>
        <v>1321.77</v>
      </c>
      <c r="F601" s="2">
        <f>IFERROR(__xludf.DUMMYFUNCTION("""COMPUTED_VALUE"""),9181200.0)</f>
        <v>9181200</v>
      </c>
      <c r="G601" s="2">
        <f t="shared" si="1"/>
        <v>17.86</v>
      </c>
    </row>
    <row r="602" ht="15.75" customHeight="1">
      <c r="A602" s="1">
        <f>IFERROR(__xludf.DUMMYFUNCTION("""COMPUTED_VALUE"""),44736.66666666667)</f>
        <v>44736.66667</v>
      </c>
      <c r="B602" s="2">
        <f>IFERROR(__xludf.DUMMYFUNCTION("""COMPUTED_VALUE"""),1339.63)</f>
        <v>1339.63</v>
      </c>
      <c r="C602" s="2">
        <f>IFERROR(__xludf.DUMMYFUNCTION("""COMPUTED_VALUE"""),1339.63)</f>
        <v>1339.63</v>
      </c>
      <c r="D602" s="2">
        <f>IFERROR(__xludf.DUMMYFUNCTION("""COMPUTED_VALUE"""),1326.23)</f>
        <v>1326.23</v>
      </c>
      <c r="E602" s="2">
        <f>IFERROR(__xludf.DUMMYFUNCTION("""COMPUTED_VALUE"""),1326.23)</f>
        <v>1326.23</v>
      </c>
      <c r="F602" s="2">
        <f>IFERROR(__xludf.DUMMYFUNCTION("""COMPUTED_VALUE"""),7421300.0)</f>
        <v>7421300</v>
      </c>
      <c r="G602" s="2">
        <f t="shared" si="1"/>
        <v>17.86</v>
      </c>
    </row>
    <row r="603" ht="15.75" customHeight="1">
      <c r="A603" s="1">
        <f>IFERROR(__xludf.DUMMYFUNCTION("""COMPUTED_VALUE"""),44739.66666666667)</f>
        <v>44739.66667</v>
      </c>
      <c r="B603" s="2">
        <f>IFERROR(__xludf.DUMMYFUNCTION("""COMPUTED_VALUE"""),1335.16)</f>
        <v>1335.16</v>
      </c>
      <c r="C603" s="2">
        <f>IFERROR(__xludf.DUMMYFUNCTION("""COMPUTED_VALUE"""),1344.09)</f>
        <v>1344.09</v>
      </c>
      <c r="D603" s="2">
        <f>IFERROR(__xludf.DUMMYFUNCTION("""COMPUTED_VALUE"""),1330.7)</f>
        <v>1330.7</v>
      </c>
      <c r="E603" s="2">
        <f>IFERROR(__xludf.DUMMYFUNCTION("""COMPUTED_VALUE"""),1339.63)</f>
        <v>1339.63</v>
      </c>
      <c r="F603" s="2">
        <f>IFERROR(__xludf.DUMMYFUNCTION("""COMPUTED_VALUE"""),7768200.0)</f>
        <v>7768200</v>
      </c>
      <c r="G603" s="2">
        <f t="shared" si="1"/>
        <v>17.86</v>
      </c>
    </row>
    <row r="604" ht="15.75" customHeight="1">
      <c r="A604" s="1">
        <f>IFERROR(__xludf.DUMMYFUNCTION("""COMPUTED_VALUE"""),44740.66666666667)</f>
        <v>44740.66667</v>
      </c>
      <c r="B604" s="2">
        <f>IFERROR(__xludf.DUMMYFUNCTION("""COMPUTED_VALUE"""),1339.63)</f>
        <v>1339.63</v>
      </c>
      <c r="C604" s="2">
        <f>IFERROR(__xludf.DUMMYFUNCTION("""COMPUTED_VALUE"""),1339.63)</f>
        <v>1339.63</v>
      </c>
      <c r="D604" s="2">
        <f>IFERROR(__xludf.DUMMYFUNCTION("""COMPUTED_VALUE"""),1326.23)</f>
        <v>1326.23</v>
      </c>
      <c r="E604" s="2">
        <f>IFERROR(__xludf.DUMMYFUNCTION("""COMPUTED_VALUE"""),1339.63)</f>
        <v>1339.63</v>
      </c>
      <c r="F604" s="2">
        <f>IFERROR(__xludf.DUMMYFUNCTION("""COMPUTED_VALUE"""),6500100.0)</f>
        <v>6500100</v>
      </c>
      <c r="G604" s="2">
        <f t="shared" si="1"/>
        <v>13.4</v>
      </c>
    </row>
    <row r="605" ht="15.75" customHeight="1">
      <c r="A605" s="1">
        <f>IFERROR(__xludf.DUMMYFUNCTION("""COMPUTED_VALUE"""),44741.66666666667)</f>
        <v>44741.66667</v>
      </c>
      <c r="B605" s="2">
        <f>IFERROR(__xludf.DUMMYFUNCTION("""COMPUTED_VALUE"""),1339.63)</f>
        <v>1339.63</v>
      </c>
      <c r="C605" s="2">
        <f>IFERROR(__xludf.DUMMYFUNCTION("""COMPUTED_VALUE"""),1339.63)</f>
        <v>1339.63</v>
      </c>
      <c r="D605" s="2">
        <f>IFERROR(__xludf.DUMMYFUNCTION("""COMPUTED_VALUE"""),1317.3)</f>
        <v>1317.3</v>
      </c>
      <c r="E605" s="2">
        <f>IFERROR(__xludf.DUMMYFUNCTION("""COMPUTED_VALUE"""),1317.3)</f>
        <v>1317.3</v>
      </c>
      <c r="F605" s="2">
        <f>IFERROR(__xludf.DUMMYFUNCTION("""COMPUTED_VALUE"""),1.13395E7)</f>
        <v>11339500</v>
      </c>
      <c r="G605" s="2">
        <f t="shared" si="1"/>
        <v>22.33</v>
      </c>
    </row>
    <row r="606" ht="15.75" customHeight="1">
      <c r="A606" s="1">
        <f>IFERROR(__xludf.DUMMYFUNCTION("""COMPUTED_VALUE"""),44742.66666666667)</f>
        <v>44742.66667</v>
      </c>
      <c r="B606" s="2">
        <f>IFERROR(__xludf.DUMMYFUNCTION("""COMPUTED_VALUE"""),1317.3)</f>
        <v>1317.3</v>
      </c>
      <c r="C606" s="2">
        <f>IFERROR(__xludf.DUMMYFUNCTION("""COMPUTED_VALUE"""),1330.7)</f>
        <v>1330.7</v>
      </c>
      <c r="D606" s="2">
        <f>IFERROR(__xludf.DUMMYFUNCTION("""COMPUTED_VALUE"""),1299.44)</f>
        <v>1299.44</v>
      </c>
      <c r="E606" s="2">
        <f>IFERROR(__xludf.DUMMYFUNCTION("""COMPUTED_VALUE"""),1299.44)</f>
        <v>1299.44</v>
      </c>
      <c r="F606" s="2">
        <f>IFERROR(__xludf.DUMMYFUNCTION("""COMPUTED_VALUE"""),9758800.0)</f>
        <v>9758800</v>
      </c>
      <c r="G606" s="2">
        <f t="shared" si="1"/>
        <v>31.26</v>
      </c>
    </row>
    <row r="607" ht="15.75" customHeight="1">
      <c r="A607" s="1">
        <f>IFERROR(__xludf.DUMMYFUNCTION("""COMPUTED_VALUE"""),44743.66666666667)</f>
        <v>44743.66667</v>
      </c>
      <c r="B607" s="2">
        <f>IFERROR(__xludf.DUMMYFUNCTION("""COMPUTED_VALUE"""),1299.44)</f>
        <v>1299.44</v>
      </c>
      <c r="C607" s="2">
        <f>IFERROR(__xludf.DUMMYFUNCTION("""COMPUTED_VALUE"""),1308.37)</f>
        <v>1308.37</v>
      </c>
      <c r="D607" s="2">
        <f>IFERROR(__xludf.DUMMYFUNCTION("""COMPUTED_VALUE"""),1259.25)</f>
        <v>1259.25</v>
      </c>
      <c r="E607" s="2">
        <f>IFERROR(__xludf.DUMMYFUNCTION("""COMPUTED_VALUE"""),1268.18)</f>
        <v>1268.18</v>
      </c>
      <c r="F607" s="2">
        <f>IFERROR(__xludf.DUMMYFUNCTION("""COMPUTED_VALUE"""),1.53876E7)</f>
        <v>15387600</v>
      </c>
      <c r="G607" s="2">
        <f t="shared" si="1"/>
        <v>49.12</v>
      </c>
    </row>
    <row r="608" ht="15.75" customHeight="1">
      <c r="A608" s="1">
        <f>IFERROR(__xludf.DUMMYFUNCTION("""COMPUTED_VALUE"""),44746.66666666667)</f>
        <v>44746.66667</v>
      </c>
      <c r="B608" s="2">
        <f>IFERROR(__xludf.DUMMYFUNCTION("""COMPUTED_VALUE"""),1272.65)</f>
        <v>1272.65</v>
      </c>
      <c r="C608" s="2">
        <f>IFERROR(__xludf.DUMMYFUNCTION("""COMPUTED_VALUE"""),1277.11)</f>
        <v>1277.11</v>
      </c>
      <c r="D608" s="2">
        <f>IFERROR(__xludf.DUMMYFUNCTION("""COMPUTED_VALUE"""),1227.99)</f>
        <v>1227.99</v>
      </c>
      <c r="E608" s="2">
        <f>IFERROR(__xludf.DUMMYFUNCTION("""COMPUTED_VALUE"""),1250.32)</f>
        <v>1250.32</v>
      </c>
      <c r="F608" s="2">
        <f>IFERROR(__xludf.DUMMYFUNCTION("""COMPUTED_VALUE"""),1.23923E7)</f>
        <v>12392300</v>
      </c>
      <c r="G608" s="2">
        <f t="shared" si="1"/>
        <v>49.12</v>
      </c>
    </row>
    <row r="609" ht="15.75" customHeight="1">
      <c r="A609" s="1">
        <f>IFERROR(__xludf.DUMMYFUNCTION("""COMPUTED_VALUE"""),44747.66666666667)</f>
        <v>44747.66667</v>
      </c>
      <c r="B609" s="2">
        <f>IFERROR(__xludf.DUMMYFUNCTION("""COMPUTED_VALUE"""),1254.79)</f>
        <v>1254.79</v>
      </c>
      <c r="C609" s="2">
        <f>IFERROR(__xludf.DUMMYFUNCTION("""COMPUTED_VALUE"""),1272.65)</f>
        <v>1272.65</v>
      </c>
      <c r="D609" s="2">
        <f>IFERROR(__xludf.DUMMYFUNCTION("""COMPUTED_VALUE"""),1245.85)</f>
        <v>1245.85</v>
      </c>
      <c r="E609" s="2">
        <f>IFERROR(__xludf.DUMMYFUNCTION("""COMPUTED_VALUE"""),1250.32)</f>
        <v>1250.32</v>
      </c>
      <c r="F609" s="2">
        <f>IFERROR(__xludf.DUMMYFUNCTION("""COMPUTED_VALUE"""),1.48547E7)</f>
        <v>14854700</v>
      </c>
      <c r="G609" s="2">
        <f t="shared" si="1"/>
        <v>26.8</v>
      </c>
    </row>
    <row r="610" ht="15.75" customHeight="1">
      <c r="A610" s="1">
        <f>IFERROR(__xludf.DUMMYFUNCTION("""COMPUTED_VALUE"""),44748.66666666667)</f>
        <v>44748.66667</v>
      </c>
      <c r="B610" s="2">
        <f>IFERROR(__xludf.DUMMYFUNCTION("""COMPUTED_VALUE"""),1250.32)</f>
        <v>1250.32</v>
      </c>
      <c r="C610" s="2">
        <f>IFERROR(__xludf.DUMMYFUNCTION("""COMPUTED_VALUE"""),1250.32)</f>
        <v>1250.32</v>
      </c>
      <c r="D610" s="2">
        <f>IFERROR(__xludf.DUMMYFUNCTION("""COMPUTED_VALUE"""),1227.99)</f>
        <v>1227.99</v>
      </c>
      <c r="E610" s="2">
        <f>IFERROR(__xludf.DUMMYFUNCTION("""COMPUTED_VALUE"""),1250.32)</f>
        <v>1250.32</v>
      </c>
      <c r="F610" s="2">
        <f>IFERROR(__xludf.DUMMYFUNCTION("""COMPUTED_VALUE"""),6625500.0)</f>
        <v>6625500</v>
      </c>
      <c r="G610" s="2">
        <f t="shared" si="1"/>
        <v>22.33</v>
      </c>
    </row>
    <row r="611" ht="15.75" customHeight="1">
      <c r="A611" s="1">
        <f>IFERROR(__xludf.DUMMYFUNCTION("""COMPUTED_VALUE"""),44749.66666666667)</f>
        <v>44749.66667</v>
      </c>
      <c r="B611" s="2">
        <f>IFERROR(__xludf.DUMMYFUNCTION("""COMPUTED_VALUE"""),1250.32)</f>
        <v>1250.32</v>
      </c>
      <c r="C611" s="2">
        <f>IFERROR(__xludf.DUMMYFUNCTION("""COMPUTED_VALUE"""),1254.79)</f>
        <v>1254.79</v>
      </c>
      <c r="D611" s="2">
        <f>IFERROR(__xludf.DUMMYFUNCTION("""COMPUTED_VALUE"""),1236.92)</f>
        <v>1236.92</v>
      </c>
      <c r="E611" s="2">
        <f>IFERROR(__xludf.DUMMYFUNCTION("""COMPUTED_VALUE"""),1245.85)</f>
        <v>1245.85</v>
      </c>
      <c r="F611" s="2">
        <f>IFERROR(__xludf.DUMMYFUNCTION("""COMPUTED_VALUE"""),7735200.0)</f>
        <v>7735200</v>
      </c>
      <c r="G611" s="2">
        <f t="shared" si="1"/>
        <v>17.87</v>
      </c>
    </row>
    <row r="612" ht="15.75" customHeight="1">
      <c r="A612" s="1">
        <f>IFERROR(__xludf.DUMMYFUNCTION("""COMPUTED_VALUE"""),44750.66666666667)</f>
        <v>44750.66667</v>
      </c>
      <c r="B612" s="2">
        <f>IFERROR(__xludf.DUMMYFUNCTION("""COMPUTED_VALUE"""),1250.32)</f>
        <v>1250.32</v>
      </c>
      <c r="C612" s="2">
        <f>IFERROR(__xludf.DUMMYFUNCTION("""COMPUTED_VALUE"""),1259.25)</f>
        <v>1259.25</v>
      </c>
      <c r="D612" s="2">
        <f>IFERROR(__xludf.DUMMYFUNCTION("""COMPUTED_VALUE"""),1241.39)</f>
        <v>1241.39</v>
      </c>
      <c r="E612" s="2">
        <f>IFERROR(__xludf.DUMMYFUNCTION("""COMPUTED_VALUE"""),1245.85)</f>
        <v>1245.85</v>
      </c>
      <c r="F612" s="2">
        <f>IFERROR(__xludf.DUMMYFUNCTION("""COMPUTED_VALUE"""),8545800.0)</f>
        <v>8545800</v>
      </c>
      <c r="G612" s="2">
        <f t="shared" si="1"/>
        <v>17.86</v>
      </c>
    </row>
    <row r="613" ht="15.75" customHeight="1">
      <c r="A613" s="1">
        <f>IFERROR(__xludf.DUMMYFUNCTION("""COMPUTED_VALUE"""),44753.66666666667)</f>
        <v>44753.66667</v>
      </c>
      <c r="B613" s="2">
        <f>IFERROR(__xludf.DUMMYFUNCTION("""COMPUTED_VALUE"""),1245.85)</f>
        <v>1245.85</v>
      </c>
      <c r="C613" s="2">
        <f>IFERROR(__xludf.DUMMYFUNCTION("""COMPUTED_VALUE"""),1250.32)</f>
        <v>1250.32</v>
      </c>
      <c r="D613" s="2">
        <f>IFERROR(__xludf.DUMMYFUNCTION("""COMPUTED_VALUE"""),1227.99)</f>
        <v>1227.99</v>
      </c>
      <c r="E613" s="2">
        <f>IFERROR(__xludf.DUMMYFUNCTION("""COMPUTED_VALUE"""),1241.39)</f>
        <v>1241.39</v>
      </c>
      <c r="F613" s="2">
        <f>IFERROR(__xludf.DUMMYFUNCTION("""COMPUTED_VALUE"""),1.47863E7)</f>
        <v>14786300</v>
      </c>
      <c r="G613" s="2">
        <f t="shared" si="1"/>
        <v>22.33</v>
      </c>
    </row>
    <row r="614" ht="15.75" customHeight="1">
      <c r="A614" s="1">
        <f>IFERROR(__xludf.DUMMYFUNCTION("""COMPUTED_VALUE"""),44754.66666666667)</f>
        <v>44754.66667</v>
      </c>
      <c r="B614" s="2">
        <f>IFERROR(__xludf.DUMMYFUNCTION("""COMPUTED_VALUE"""),1241.39)</f>
        <v>1241.39</v>
      </c>
      <c r="C614" s="2">
        <f>IFERROR(__xludf.DUMMYFUNCTION("""COMPUTED_VALUE"""),1286.04)</f>
        <v>1286.04</v>
      </c>
      <c r="D614" s="2">
        <f>IFERROR(__xludf.DUMMYFUNCTION("""COMPUTED_VALUE"""),1227.99)</f>
        <v>1227.99</v>
      </c>
      <c r="E614" s="2">
        <f>IFERROR(__xludf.DUMMYFUNCTION("""COMPUTED_VALUE"""),1277.11)</f>
        <v>1277.11</v>
      </c>
      <c r="F614" s="2">
        <f>IFERROR(__xludf.DUMMYFUNCTION("""COMPUTED_VALUE"""),1.14428E7)</f>
        <v>11442800</v>
      </c>
      <c r="G614" s="2">
        <f t="shared" si="1"/>
        <v>58.05</v>
      </c>
    </row>
    <row r="615" ht="15.75" customHeight="1">
      <c r="A615" s="1">
        <f>IFERROR(__xludf.DUMMYFUNCTION("""COMPUTED_VALUE"""),44755.66666666667)</f>
        <v>44755.66667</v>
      </c>
      <c r="B615" s="2">
        <f>IFERROR(__xludf.DUMMYFUNCTION("""COMPUTED_VALUE"""),1277.11)</f>
        <v>1277.11</v>
      </c>
      <c r="C615" s="2">
        <f>IFERROR(__xludf.DUMMYFUNCTION("""COMPUTED_VALUE"""),1281.58)</f>
        <v>1281.58</v>
      </c>
      <c r="D615" s="2">
        <f>IFERROR(__xludf.DUMMYFUNCTION("""COMPUTED_VALUE"""),1250.32)</f>
        <v>1250.32</v>
      </c>
      <c r="E615" s="2">
        <f>IFERROR(__xludf.DUMMYFUNCTION("""COMPUTED_VALUE"""),1259.25)</f>
        <v>1259.25</v>
      </c>
      <c r="F615" s="2">
        <f>IFERROR(__xludf.DUMMYFUNCTION("""COMPUTED_VALUE"""),5376500.0)</f>
        <v>5376500</v>
      </c>
      <c r="G615" s="2">
        <f t="shared" si="1"/>
        <v>31.26</v>
      </c>
    </row>
    <row r="616" ht="15.75" customHeight="1">
      <c r="A616" s="1">
        <f>IFERROR(__xludf.DUMMYFUNCTION("""COMPUTED_VALUE"""),44756.66666666667)</f>
        <v>44756.66667</v>
      </c>
      <c r="B616" s="2">
        <f>IFERROR(__xludf.DUMMYFUNCTION("""COMPUTED_VALUE"""),1250.32)</f>
        <v>1250.32</v>
      </c>
      <c r="C616" s="2">
        <f>IFERROR(__xludf.DUMMYFUNCTION("""COMPUTED_VALUE"""),1272.65)</f>
        <v>1272.65</v>
      </c>
      <c r="D616" s="2">
        <f>IFERROR(__xludf.DUMMYFUNCTION("""COMPUTED_VALUE"""),1232.46)</f>
        <v>1232.46</v>
      </c>
      <c r="E616" s="2">
        <f>IFERROR(__xludf.DUMMYFUNCTION("""COMPUTED_VALUE"""),1241.39)</f>
        <v>1241.39</v>
      </c>
      <c r="F616" s="2">
        <f>IFERROR(__xludf.DUMMYFUNCTION("""COMPUTED_VALUE"""),5251400.0)</f>
        <v>5251400</v>
      </c>
      <c r="G616" s="2">
        <f t="shared" si="1"/>
        <v>40.19</v>
      </c>
    </row>
    <row r="617" ht="15.75" customHeight="1">
      <c r="A617" s="1">
        <f>IFERROR(__xludf.DUMMYFUNCTION("""COMPUTED_VALUE"""),44757.66666666667)</f>
        <v>44757.66667</v>
      </c>
      <c r="B617" s="2">
        <f>IFERROR(__xludf.DUMMYFUNCTION("""COMPUTED_VALUE"""),1236.92)</f>
        <v>1236.92</v>
      </c>
      <c r="C617" s="2">
        <f>IFERROR(__xludf.DUMMYFUNCTION("""COMPUTED_VALUE"""),1277.11)</f>
        <v>1277.11</v>
      </c>
      <c r="D617" s="2">
        <f>IFERROR(__xludf.DUMMYFUNCTION("""COMPUTED_VALUE"""),1236.92)</f>
        <v>1236.92</v>
      </c>
      <c r="E617" s="2">
        <f>IFERROR(__xludf.DUMMYFUNCTION("""COMPUTED_VALUE"""),1245.85)</f>
        <v>1245.85</v>
      </c>
      <c r="F617" s="2">
        <f>IFERROR(__xludf.DUMMYFUNCTION("""COMPUTED_VALUE"""),6323400.0)</f>
        <v>6323400</v>
      </c>
      <c r="G617" s="2">
        <f t="shared" si="1"/>
        <v>40.19</v>
      </c>
    </row>
    <row r="618" ht="15.75" customHeight="1">
      <c r="A618" s="1">
        <f>IFERROR(__xludf.DUMMYFUNCTION("""COMPUTED_VALUE"""),44760.66666666667)</f>
        <v>44760.66667</v>
      </c>
      <c r="B618" s="2">
        <f>IFERROR(__xludf.DUMMYFUNCTION("""COMPUTED_VALUE"""),1250.32)</f>
        <v>1250.32</v>
      </c>
      <c r="C618" s="2">
        <f>IFERROR(__xludf.DUMMYFUNCTION("""COMPUTED_VALUE"""),1263.72)</f>
        <v>1263.72</v>
      </c>
      <c r="D618" s="2">
        <f>IFERROR(__xludf.DUMMYFUNCTION("""COMPUTED_VALUE"""),1245.85)</f>
        <v>1245.85</v>
      </c>
      <c r="E618" s="2">
        <f>IFERROR(__xludf.DUMMYFUNCTION("""COMPUTED_VALUE"""),1254.79)</f>
        <v>1254.79</v>
      </c>
      <c r="F618" s="2">
        <f>IFERROR(__xludf.DUMMYFUNCTION("""COMPUTED_VALUE"""),5159600.0)</f>
        <v>5159600</v>
      </c>
      <c r="G618" s="2">
        <f t="shared" si="1"/>
        <v>17.87</v>
      </c>
    </row>
    <row r="619" ht="15.75" customHeight="1">
      <c r="A619" s="1">
        <f>IFERROR(__xludf.DUMMYFUNCTION("""COMPUTED_VALUE"""),44761.66666666667)</f>
        <v>44761.66667</v>
      </c>
      <c r="B619" s="2">
        <f>IFERROR(__xludf.DUMMYFUNCTION("""COMPUTED_VALUE"""),1263.72)</f>
        <v>1263.72</v>
      </c>
      <c r="C619" s="2">
        <f>IFERROR(__xludf.DUMMYFUNCTION("""COMPUTED_VALUE"""),1286.04)</f>
        <v>1286.04</v>
      </c>
      <c r="D619" s="2">
        <f>IFERROR(__xludf.DUMMYFUNCTION("""COMPUTED_VALUE"""),1250.32)</f>
        <v>1250.32</v>
      </c>
      <c r="E619" s="2">
        <f>IFERROR(__xludf.DUMMYFUNCTION("""COMPUTED_VALUE"""),1281.58)</f>
        <v>1281.58</v>
      </c>
      <c r="F619" s="2">
        <f>IFERROR(__xludf.DUMMYFUNCTION("""COMPUTED_VALUE"""),1.03271E7)</f>
        <v>10327100</v>
      </c>
      <c r="G619" s="2">
        <f t="shared" si="1"/>
        <v>35.72</v>
      </c>
    </row>
    <row r="620" ht="15.75" customHeight="1">
      <c r="A620" s="1">
        <f>IFERROR(__xludf.DUMMYFUNCTION("""COMPUTED_VALUE"""),44762.66666666667)</f>
        <v>44762.66667</v>
      </c>
      <c r="B620" s="2">
        <f>IFERROR(__xludf.DUMMYFUNCTION("""COMPUTED_VALUE"""),1294.97)</f>
        <v>1294.97</v>
      </c>
      <c r="C620" s="2">
        <f>IFERROR(__xludf.DUMMYFUNCTION("""COMPUTED_VALUE"""),1326.23)</f>
        <v>1326.23</v>
      </c>
      <c r="D620" s="2">
        <f>IFERROR(__xludf.DUMMYFUNCTION("""COMPUTED_VALUE"""),1294.97)</f>
        <v>1294.97</v>
      </c>
      <c r="E620" s="2">
        <f>IFERROR(__xludf.DUMMYFUNCTION("""COMPUTED_VALUE"""),1308.37)</f>
        <v>1308.37</v>
      </c>
      <c r="F620" s="2">
        <f>IFERROR(__xludf.DUMMYFUNCTION("""COMPUTED_VALUE"""),2.02955E7)</f>
        <v>20295500</v>
      </c>
      <c r="G620" s="2">
        <f t="shared" si="1"/>
        <v>44.65</v>
      </c>
    </row>
    <row r="621" ht="15.75" customHeight="1">
      <c r="A621" s="1">
        <f>IFERROR(__xludf.DUMMYFUNCTION("""COMPUTED_VALUE"""),44763.66666666667)</f>
        <v>44763.66667</v>
      </c>
      <c r="B621" s="2">
        <f>IFERROR(__xludf.DUMMYFUNCTION("""COMPUTED_VALUE"""),1308.37)</f>
        <v>1308.37</v>
      </c>
      <c r="C621" s="2">
        <f>IFERROR(__xludf.DUMMYFUNCTION("""COMPUTED_VALUE"""),1312.84)</f>
        <v>1312.84</v>
      </c>
      <c r="D621" s="2">
        <f>IFERROR(__xludf.DUMMYFUNCTION("""COMPUTED_VALUE"""),1290.51)</f>
        <v>1290.51</v>
      </c>
      <c r="E621" s="2">
        <f>IFERROR(__xludf.DUMMYFUNCTION("""COMPUTED_VALUE"""),1312.84)</f>
        <v>1312.84</v>
      </c>
      <c r="F621" s="2">
        <f>IFERROR(__xludf.DUMMYFUNCTION("""COMPUTED_VALUE"""),7932600.0)</f>
        <v>7932600</v>
      </c>
      <c r="G621" s="2">
        <f t="shared" si="1"/>
        <v>22.33</v>
      </c>
    </row>
    <row r="622" ht="15.75" customHeight="1">
      <c r="A622" s="1">
        <f>IFERROR(__xludf.DUMMYFUNCTION("""COMPUTED_VALUE"""),44764.66666666667)</f>
        <v>44764.66667</v>
      </c>
      <c r="B622" s="2">
        <f>IFERROR(__xludf.DUMMYFUNCTION("""COMPUTED_VALUE"""),1312.84)</f>
        <v>1312.84</v>
      </c>
      <c r="C622" s="2">
        <f>IFERROR(__xludf.DUMMYFUNCTION("""COMPUTED_VALUE"""),1312.84)</f>
        <v>1312.84</v>
      </c>
      <c r="D622" s="2">
        <f>IFERROR(__xludf.DUMMYFUNCTION("""COMPUTED_VALUE"""),1290.51)</f>
        <v>1290.51</v>
      </c>
      <c r="E622" s="2">
        <f>IFERROR(__xludf.DUMMYFUNCTION("""COMPUTED_VALUE"""),1308.37)</f>
        <v>1308.37</v>
      </c>
      <c r="F622" s="2">
        <f>IFERROR(__xludf.DUMMYFUNCTION("""COMPUTED_VALUE"""),1.60463E7)</f>
        <v>16046300</v>
      </c>
      <c r="G622" s="2">
        <f t="shared" si="1"/>
        <v>22.33</v>
      </c>
    </row>
    <row r="623" ht="15.75" customHeight="1">
      <c r="A623" s="1">
        <f>IFERROR(__xludf.DUMMYFUNCTION("""COMPUTED_VALUE"""),44767.66666666667)</f>
        <v>44767.66667</v>
      </c>
      <c r="B623" s="2">
        <f>IFERROR(__xludf.DUMMYFUNCTION("""COMPUTED_VALUE"""),1308.37)</f>
        <v>1308.37</v>
      </c>
      <c r="C623" s="2">
        <f>IFERROR(__xludf.DUMMYFUNCTION("""COMPUTED_VALUE"""),1312.84)</f>
        <v>1312.84</v>
      </c>
      <c r="D623" s="2">
        <f>IFERROR(__xludf.DUMMYFUNCTION("""COMPUTED_VALUE"""),1294.97)</f>
        <v>1294.97</v>
      </c>
      <c r="E623" s="2">
        <f>IFERROR(__xludf.DUMMYFUNCTION("""COMPUTED_VALUE"""),1303.91)</f>
        <v>1303.91</v>
      </c>
      <c r="F623" s="2">
        <f>IFERROR(__xludf.DUMMYFUNCTION("""COMPUTED_VALUE"""),6107300.0)</f>
        <v>6107300</v>
      </c>
      <c r="G623" s="2">
        <f t="shared" si="1"/>
        <v>17.87</v>
      </c>
    </row>
    <row r="624" ht="15.75" customHeight="1">
      <c r="A624" s="1">
        <f>IFERROR(__xludf.DUMMYFUNCTION("""COMPUTED_VALUE"""),44768.66666666667)</f>
        <v>44768.66667</v>
      </c>
      <c r="B624" s="2">
        <f>IFERROR(__xludf.DUMMYFUNCTION("""COMPUTED_VALUE"""),1303.91)</f>
        <v>1303.91</v>
      </c>
      <c r="C624" s="2">
        <f>IFERROR(__xludf.DUMMYFUNCTION("""COMPUTED_VALUE"""),1321.77)</f>
        <v>1321.77</v>
      </c>
      <c r="D624" s="2">
        <f>IFERROR(__xludf.DUMMYFUNCTION("""COMPUTED_VALUE"""),1294.97)</f>
        <v>1294.97</v>
      </c>
      <c r="E624" s="2">
        <f>IFERROR(__xludf.DUMMYFUNCTION("""COMPUTED_VALUE"""),1299.44)</f>
        <v>1299.44</v>
      </c>
      <c r="F624" s="2">
        <f>IFERROR(__xludf.DUMMYFUNCTION("""COMPUTED_VALUE"""),1.17079E7)</f>
        <v>11707900</v>
      </c>
      <c r="G624" s="2">
        <f t="shared" si="1"/>
        <v>26.8</v>
      </c>
    </row>
    <row r="625" ht="15.75" customHeight="1">
      <c r="A625" s="1">
        <f>IFERROR(__xludf.DUMMYFUNCTION("""COMPUTED_VALUE"""),44769.66666666667)</f>
        <v>44769.66667</v>
      </c>
      <c r="B625" s="2">
        <f>IFERROR(__xludf.DUMMYFUNCTION("""COMPUTED_VALUE"""),1299.44)</f>
        <v>1299.44</v>
      </c>
      <c r="C625" s="2">
        <f>IFERROR(__xludf.DUMMYFUNCTION("""COMPUTED_VALUE"""),1308.37)</f>
        <v>1308.37</v>
      </c>
      <c r="D625" s="2">
        <f>IFERROR(__xludf.DUMMYFUNCTION("""COMPUTED_VALUE"""),1290.51)</f>
        <v>1290.51</v>
      </c>
      <c r="E625" s="2">
        <f>IFERROR(__xludf.DUMMYFUNCTION("""COMPUTED_VALUE"""),1303.91)</f>
        <v>1303.91</v>
      </c>
      <c r="F625" s="2">
        <f>IFERROR(__xludf.DUMMYFUNCTION("""COMPUTED_VALUE"""),7822400.0)</f>
        <v>7822400</v>
      </c>
      <c r="G625" s="2">
        <f t="shared" si="1"/>
        <v>17.86</v>
      </c>
    </row>
    <row r="626" ht="15.75" customHeight="1">
      <c r="A626" s="1">
        <f>IFERROR(__xludf.DUMMYFUNCTION("""COMPUTED_VALUE"""),44770.66666666667)</f>
        <v>44770.66667</v>
      </c>
      <c r="B626" s="2">
        <f>IFERROR(__xludf.DUMMYFUNCTION("""COMPUTED_VALUE"""),1308.37)</f>
        <v>1308.37</v>
      </c>
      <c r="C626" s="2">
        <f>IFERROR(__xludf.DUMMYFUNCTION("""COMPUTED_VALUE"""),1330.7)</f>
        <v>1330.7</v>
      </c>
      <c r="D626" s="2">
        <f>IFERROR(__xludf.DUMMYFUNCTION("""COMPUTED_VALUE"""),1303.91)</f>
        <v>1303.91</v>
      </c>
      <c r="E626" s="2">
        <f>IFERROR(__xludf.DUMMYFUNCTION("""COMPUTED_VALUE"""),1308.37)</f>
        <v>1308.37</v>
      </c>
      <c r="F626" s="2">
        <f>IFERROR(__xludf.DUMMYFUNCTION("""COMPUTED_VALUE"""),1.77576E7)</f>
        <v>17757600</v>
      </c>
      <c r="G626" s="2">
        <f t="shared" si="1"/>
        <v>26.79</v>
      </c>
    </row>
    <row r="627" ht="15.75" customHeight="1">
      <c r="A627" s="1">
        <f>IFERROR(__xludf.DUMMYFUNCTION("""COMPUTED_VALUE"""),44771.66666666667)</f>
        <v>44771.66667</v>
      </c>
      <c r="B627" s="2">
        <f>IFERROR(__xludf.DUMMYFUNCTION("""COMPUTED_VALUE"""),1317.3)</f>
        <v>1317.3</v>
      </c>
      <c r="C627" s="2">
        <f>IFERROR(__xludf.DUMMYFUNCTION("""COMPUTED_VALUE"""),1335.16)</f>
        <v>1335.16</v>
      </c>
      <c r="D627" s="2">
        <f>IFERROR(__xludf.DUMMYFUNCTION("""COMPUTED_VALUE"""),1312.84)</f>
        <v>1312.84</v>
      </c>
      <c r="E627" s="2">
        <f>IFERROR(__xludf.DUMMYFUNCTION("""COMPUTED_VALUE"""),1312.84)</f>
        <v>1312.84</v>
      </c>
      <c r="F627" s="2">
        <f>IFERROR(__xludf.DUMMYFUNCTION("""COMPUTED_VALUE"""),2.45628E7)</f>
        <v>24562800</v>
      </c>
      <c r="G627" s="2">
        <f t="shared" si="1"/>
        <v>26.79</v>
      </c>
    </row>
    <row r="628" ht="15.75" customHeight="1">
      <c r="A628" s="1">
        <f>IFERROR(__xludf.DUMMYFUNCTION("""COMPUTED_VALUE"""),44774.66666666667)</f>
        <v>44774.66667</v>
      </c>
      <c r="B628" s="2">
        <f>IFERROR(__xludf.DUMMYFUNCTION("""COMPUTED_VALUE"""),1312.84)</f>
        <v>1312.84</v>
      </c>
      <c r="C628" s="2">
        <f>IFERROR(__xludf.DUMMYFUNCTION("""COMPUTED_VALUE"""),1330.7)</f>
        <v>1330.7</v>
      </c>
      <c r="D628" s="2">
        <f>IFERROR(__xludf.DUMMYFUNCTION("""COMPUTED_VALUE"""),1308.37)</f>
        <v>1308.37</v>
      </c>
      <c r="E628" s="2">
        <f>IFERROR(__xludf.DUMMYFUNCTION("""COMPUTED_VALUE"""),1326.23)</f>
        <v>1326.23</v>
      </c>
      <c r="F628" s="2">
        <f>IFERROR(__xludf.DUMMYFUNCTION("""COMPUTED_VALUE"""),1.0016E7)</f>
        <v>10016000</v>
      </c>
      <c r="G628" s="2">
        <f t="shared" si="1"/>
        <v>22.33</v>
      </c>
    </row>
    <row r="629" ht="15.75" customHeight="1">
      <c r="A629" s="1">
        <f>IFERROR(__xludf.DUMMYFUNCTION("""COMPUTED_VALUE"""),44775.66666666667)</f>
        <v>44775.66667</v>
      </c>
      <c r="B629" s="2">
        <f>IFERROR(__xludf.DUMMYFUNCTION("""COMPUTED_VALUE"""),1321.77)</f>
        <v>1321.77</v>
      </c>
      <c r="C629" s="2">
        <f>IFERROR(__xludf.DUMMYFUNCTION("""COMPUTED_VALUE"""),1339.63)</f>
        <v>1339.63</v>
      </c>
      <c r="D629" s="2">
        <f>IFERROR(__xludf.DUMMYFUNCTION("""COMPUTED_VALUE"""),1312.84)</f>
        <v>1312.84</v>
      </c>
      <c r="E629" s="2">
        <f>IFERROR(__xludf.DUMMYFUNCTION("""COMPUTED_VALUE"""),1321.77)</f>
        <v>1321.77</v>
      </c>
      <c r="F629" s="2">
        <f>IFERROR(__xludf.DUMMYFUNCTION("""COMPUTED_VALUE"""),7066300.0)</f>
        <v>7066300</v>
      </c>
      <c r="G629" s="2">
        <f t="shared" si="1"/>
        <v>26.79</v>
      </c>
    </row>
    <row r="630" ht="15.75" customHeight="1">
      <c r="A630" s="1">
        <f>IFERROR(__xludf.DUMMYFUNCTION("""COMPUTED_VALUE"""),44776.66666666667)</f>
        <v>44776.66667</v>
      </c>
      <c r="B630" s="2">
        <f>IFERROR(__xludf.DUMMYFUNCTION("""COMPUTED_VALUE"""),1321.77)</f>
        <v>1321.77</v>
      </c>
      <c r="C630" s="2">
        <f>IFERROR(__xludf.DUMMYFUNCTION("""COMPUTED_VALUE"""),1330.7)</f>
        <v>1330.7</v>
      </c>
      <c r="D630" s="2">
        <f>IFERROR(__xludf.DUMMYFUNCTION("""COMPUTED_VALUE"""),1312.84)</f>
        <v>1312.84</v>
      </c>
      <c r="E630" s="2">
        <f>IFERROR(__xludf.DUMMYFUNCTION("""COMPUTED_VALUE"""),1330.7)</f>
        <v>1330.7</v>
      </c>
      <c r="F630" s="2">
        <f>IFERROR(__xludf.DUMMYFUNCTION("""COMPUTED_VALUE"""),6645800.0)</f>
        <v>6645800</v>
      </c>
      <c r="G630" s="2">
        <f t="shared" si="1"/>
        <v>17.86</v>
      </c>
    </row>
    <row r="631" ht="15.75" customHeight="1">
      <c r="A631" s="1">
        <f>IFERROR(__xludf.DUMMYFUNCTION("""COMPUTED_VALUE"""),44777.66666666667)</f>
        <v>44777.66667</v>
      </c>
      <c r="B631" s="2">
        <f>IFERROR(__xludf.DUMMYFUNCTION("""COMPUTED_VALUE"""),1339.63)</f>
        <v>1339.63</v>
      </c>
      <c r="C631" s="2">
        <f>IFERROR(__xludf.DUMMYFUNCTION("""COMPUTED_VALUE"""),1339.63)</f>
        <v>1339.63</v>
      </c>
      <c r="D631" s="2">
        <f>IFERROR(__xludf.DUMMYFUNCTION("""COMPUTED_VALUE"""),1317.3)</f>
        <v>1317.3</v>
      </c>
      <c r="E631" s="2">
        <f>IFERROR(__xludf.DUMMYFUNCTION("""COMPUTED_VALUE"""),1321.77)</f>
        <v>1321.77</v>
      </c>
      <c r="F631" s="2">
        <f>IFERROR(__xludf.DUMMYFUNCTION("""COMPUTED_VALUE"""),7444200.0)</f>
        <v>7444200</v>
      </c>
      <c r="G631" s="2">
        <f t="shared" si="1"/>
        <v>22.33</v>
      </c>
    </row>
    <row r="632" ht="15.75" customHeight="1">
      <c r="A632" s="1">
        <f>IFERROR(__xludf.DUMMYFUNCTION("""COMPUTED_VALUE"""),44778.66666666667)</f>
        <v>44778.66667</v>
      </c>
      <c r="B632" s="2">
        <f>IFERROR(__xludf.DUMMYFUNCTION("""COMPUTED_VALUE"""),1330.7)</f>
        <v>1330.7</v>
      </c>
      <c r="C632" s="2">
        <f>IFERROR(__xludf.DUMMYFUNCTION("""COMPUTED_VALUE"""),1357.49)</f>
        <v>1357.49</v>
      </c>
      <c r="D632" s="2">
        <f>IFERROR(__xludf.DUMMYFUNCTION("""COMPUTED_VALUE"""),1321.77)</f>
        <v>1321.77</v>
      </c>
      <c r="E632" s="2">
        <f>IFERROR(__xludf.DUMMYFUNCTION("""COMPUTED_VALUE"""),1344.09)</f>
        <v>1344.09</v>
      </c>
      <c r="F632" s="2">
        <f>IFERROR(__xludf.DUMMYFUNCTION("""COMPUTED_VALUE"""),2.22225E7)</f>
        <v>22222500</v>
      </c>
      <c r="G632" s="2">
        <f t="shared" si="1"/>
        <v>35.72</v>
      </c>
    </row>
    <row r="633" ht="15.75" customHeight="1">
      <c r="A633" s="1">
        <f>IFERROR(__xludf.DUMMYFUNCTION("""COMPUTED_VALUE"""),44781.66666666667)</f>
        <v>44781.66667</v>
      </c>
      <c r="B633" s="2">
        <f>IFERROR(__xludf.DUMMYFUNCTION("""COMPUTED_VALUE"""),1357.49)</f>
        <v>1357.49</v>
      </c>
      <c r="C633" s="2">
        <f>IFERROR(__xludf.DUMMYFUNCTION("""COMPUTED_VALUE"""),1379.82)</f>
        <v>1379.82</v>
      </c>
      <c r="D633" s="2">
        <f>IFERROR(__xludf.DUMMYFUNCTION("""COMPUTED_VALUE"""),1348.56)</f>
        <v>1348.56</v>
      </c>
      <c r="E633" s="2">
        <f>IFERROR(__xludf.DUMMYFUNCTION("""COMPUTED_VALUE"""),1375.35)</f>
        <v>1375.35</v>
      </c>
      <c r="F633" s="2">
        <f>IFERROR(__xludf.DUMMYFUNCTION("""COMPUTED_VALUE"""),3.04172E7)</f>
        <v>30417200</v>
      </c>
      <c r="G633" s="2">
        <f t="shared" si="1"/>
        <v>35.73</v>
      </c>
    </row>
    <row r="634" ht="15.75" customHeight="1">
      <c r="A634" s="1">
        <f>IFERROR(__xludf.DUMMYFUNCTION("""COMPUTED_VALUE"""),44782.66666666667)</f>
        <v>44782.66667</v>
      </c>
      <c r="B634" s="2">
        <f>IFERROR(__xludf.DUMMYFUNCTION("""COMPUTED_VALUE"""),1384.28)</f>
        <v>1384.28</v>
      </c>
      <c r="C634" s="2">
        <f>IFERROR(__xludf.DUMMYFUNCTION("""COMPUTED_VALUE"""),1397.68)</f>
        <v>1397.68</v>
      </c>
      <c r="D634" s="2">
        <f>IFERROR(__xludf.DUMMYFUNCTION("""COMPUTED_VALUE"""),1375.35)</f>
        <v>1375.35</v>
      </c>
      <c r="E634" s="2">
        <f>IFERROR(__xludf.DUMMYFUNCTION("""COMPUTED_VALUE"""),1384.28)</f>
        <v>1384.28</v>
      </c>
      <c r="F634" s="2">
        <f>IFERROR(__xludf.DUMMYFUNCTION("""COMPUTED_VALUE"""),1.90537E7)</f>
        <v>19053700</v>
      </c>
      <c r="G634" s="2">
        <f t="shared" si="1"/>
        <v>22.33</v>
      </c>
    </row>
    <row r="635" ht="15.75" customHeight="1">
      <c r="A635" s="1">
        <f>IFERROR(__xludf.DUMMYFUNCTION("""COMPUTED_VALUE"""),44783.66666666667)</f>
        <v>44783.66667</v>
      </c>
      <c r="B635" s="2">
        <f>IFERROR(__xludf.DUMMYFUNCTION("""COMPUTED_VALUE"""),1379.82)</f>
        <v>1379.82</v>
      </c>
      <c r="C635" s="2">
        <f>IFERROR(__xludf.DUMMYFUNCTION("""COMPUTED_VALUE"""),1384.28)</f>
        <v>1384.28</v>
      </c>
      <c r="D635" s="2">
        <f>IFERROR(__xludf.DUMMYFUNCTION("""COMPUTED_VALUE"""),1361.96)</f>
        <v>1361.96</v>
      </c>
      <c r="E635" s="2">
        <f>IFERROR(__xludf.DUMMYFUNCTION("""COMPUTED_VALUE"""),1366.42)</f>
        <v>1366.42</v>
      </c>
      <c r="F635" s="2">
        <f>IFERROR(__xludf.DUMMYFUNCTION("""COMPUTED_VALUE"""),1.0908E7)</f>
        <v>10908000</v>
      </c>
      <c r="G635" s="2">
        <f t="shared" si="1"/>
        <v>22.32</v>
      </c>
    </row>
    <row r="636" ht="15.75" customHeight="1">
      <c r="A636" s="1">
        <f>IFERROR(__xludf.DUMMYFUNCTION("""COMPUTED_VALUE"""),44784.66666666667)</f>
        <v>44784.66667</v>
      </c>
      <c r="B636" s="2">
        <f>IFERROR(__xludf.DUMMYFUNCTION("""COMPUTED_VALUE"""),1393.21)</f>
        <v>1393.21</v>
      </c>
      <c r="C636" s="2">
        <f>IFERROR(__xludf.DUMMYFUNCTION("""COMPUTED_VALUE"""),1428.94)</f>
        <v>1428.94</v>
      </c>
      <c r="D636" s="2">
        <f>IFERROR(__xludf.DUMMYFUNCTION("""COMPUTED_VALUE"""),1384.28)</f>
        <v>1384.28</v>
      </c>
      <c r="E636" s="2">
        <f>IFERROR(__xludf.DUMMYFUNCTION("""COMPUTED_VALUE"""),1406.61)</f>
        <v>1406.61</v>
      </c>
      <c r="F636" s="2">
        <f>IFERROR(__xludf.DUMMYFUNCTION("""COMPUTED_VALUE"""),2.81418E7)</f>
        <v>28141800</v>
      </c>
      <c r="G636" s="2">
        <f t="shared" si="1"/>
        <v>62.52</v>
      </c>
    </row>
    <row r="637" ht="15.75" customHeight="1">
      <c r="A637" s="1">
        <f>IFERROR(__xludf.DUMMYFUNCTION("""COMPUTED_VALUE"""),44785.66666666667)</f>
        <v>44785.66667</v>
      </c>
      <c r="B637" s="2">
        <f>IFERROR(__xludf.DUMMYFUNCTION("""COMPUTED_VALUE"""),1411.08)</f>
        <v>1411.08</v>
      </c>
      <c r="C637" s="2">
        <f>IFERROR(__xludf.DUMMYFUNCTION("""COMPUTED_VALUE"""),1451.26)</f>
        <v>1451.26</v>
      </c>
      <c r="D637" s="2">
        <f>IFERROR(__xludf.DUMMYFUNCTION("""COMPUTED_VALUE"""),1402.14)</f>
        <v>1402.14</v>
      </c>
      <c r="E637" s="2">
        <f>IFERROR(__xludf.DUMMYFUNCTION("""COMPUTED_VALUE"""),1451.26)</f>
        <v>1451.26</v>
      </c>
      <c r="F637" s="2">
        <f>IFERROR(__xludf.DUMMYFUNCTION("""COMPUTED_VALUE"""),3.30855E7)</f>
        <v>33085500</v>
      </c>
      <c r="G637" s="2">
        <f t="shared" si="1"/>
        <v>49.12</v>
      </c>
    </row>
    <row r="638" ht="15.75" customHeight="1">
      <c r="A638" s="1">
        <f>IFERROR(__xludf.DUMMYFUNCTION("""COMPUTED_VALUE"""),44788.66666666667)</f>
        <v>44788.66667</v>
      </c>
      <c r="B638" s="2">
        <f>IFERROR(__xludf.DUMMYFUNCTION("""COMPUTED_VALUE"""),1451.26)</f>
        <v>1451.26</v>
      </c>
      <c r="C638" s="2">
        <f>IFERROR(__xludf.DUMMYFUNCTION("""COMPUTED_VALUE"""),1455.73)</f>
        <v>1455.73</v>
      </c>
      <c r="D638" s="2">
        <f>IFERROR(__xludf.DUMMYFUNCTION("""COMPUTED_VALUE"""),1411.08)</f>
        <v>1411.08</v>
      </c>
      <c r="E638" s="2">
        <f>IFERROR(__xludf.DUMMYFUNCTION("""COMPUTED_VALUE"""),1415.54)</f>
        <v>1415.54</v>
      </c>
      <c r="F638" s="2">
        <f>IFERROR(__xludf.DUMMYFUNCTION("""COMPUTED_VALUE"""),1.50636E7)</f>
        <v>15063600</v>
      </c>
      <c r="G638" s="2">
        <f t="shared" si="1"/>
        <v>44.65</v>
      </c>
    </row>
    <row r="639" ht="15.75" customHeight="1">
      <c r="A639" s="1">
        <f>IFERROR(__xludf.DUMMYFUNCTION("""COMPUTED_VALUE"""),44789.66666666667)</f>
        <v>44789.66667</v>
      </c>
      <c r="B639" s="2">
        <f>IFERROR(__xludf.DUMMYFUNCTION("""COMPUTED_VALUE"""),1420.01)</f>
        <v>1420.01</v>
      </c>
      <c r="C639" s="2">
        <f>IFERROR(__xludf.DUMMYFUNCTION("""COMPUTED_VALUE"""),1424.47)</f>
        <v>1424.47</v>
      </c>
      <c r="D639" s="2">
        <f>IFERROR(__xludf.DUMMYFUNCTION("""COMPUTED_VALUE"""),1393.21)</f>
        <v>1393.21</v>
      </c>
      <c r="E639" s="2">
        <f>IFERROR(__xludf.DUMMYFUNCTION("""COMPUTED_VALUE"""),1397.68)</f>
        <v>1397.68</v>
      </c>
      <c r="F639" s="2">
        <f>IFERROR(__xludf.DUMMYFUNCTION("""COMPUTED_VALUE"""),9301300.0)</f>
        <v>9301300</v>
      </c>
      <c r="G639" s="2">
        <f t="shared" si="1"/>
        <v>31.26</v>
      </c>
    </row>
    <row r="640" ht="15.75" customHeight="1">
      <c r="A640" s="1">
        <f>IFERROR(__xludf.DUMMYFUNCTION("""COMPUTED_VALUE"""),44791.66666666667)</f>
        <v>44791.66667</v>
      </c>
      <c r="B640" s="2">
        <f>IFERROR(__xludf.DUMMYFUNCTION("""COMPUTED_VALUE"""),1393.21)</f>
        <v>1393.21</v>
      </c>
      <c r="C640" s="2">
        <f>IFERROR(__xludf.DUMMYFUNCTION("""COMPUTED_VALUE"""),1393.21)</f>
        <v>1393.21</v>
      </c>
      <c r="D640" s="2">
        <f>IFERROR(__xludf.DUMMYFUNCTION("""COMPUTED_VALUE"""),1366.42)</f>
        <v>1366.42</v>
      </c>
      <c r="E640" s="2">
        <f>IFERROR(__xludf.DUMMYFUNCTION("""COMPUTED_VALUE"""),1379.82)</f>
        <v>1379.82</v>
      </c>
      <c r="F640" s="2">
        <f>IFERROR(__xludf.DUMMYFUNCTION("""COMPUTED_VALUE"""),2.49771E7)</f>
        <v>24977100</v>
      </c>
      <c r="G640" s="2">
        <f t="shared" si="1"/>
        <v>31.26</v>
      </c>
    </row>
    <row r="641" ht="15.75" customHeight="1">
      <c r="A641" s="1">
        <f>IFERROR(__xludf.DUMMYFUNCTION("""COMPUTED_VALUE"""),44792.66666666667)</f>
        <v>44792.66667</v>
      </c>
      <c r="B641" s="2">
        <f>IFERROR(__xludf.DUMMYFUNCTION("""COMPUTED_VALUE"""),1379.82)</f>
        <v>1379.82</v>
      </c>
      <c r="C641" s="2">
        <f>IFERROR(__xludf.DUMMYFUNCTION("""COMPUTED_VALUE"""),1384.28)</f>
        <v>1384.28</v>
      </c>
      <c r="D641" s="2">
        <f>IFERROR(__xludf.DUMMYFUNCTION("""COMPUTED_VALUE"""),1348.56)</f>
        <v>1348.56</v>
      </c>
      <c r="E641" s="2">
        <f>IFERROR(__xludf.DUMMYFUNCTION("""COMPUTED_VALUE"""),1353.03)</f>
        <v>1353.03</v>
      </c>
      <c r="F641" s="2">
        <f>IFERROR(__xludf.DUMMYFUNCTION("""COMPUTED_VALUE"""),2.34435E7)</f>
        <v>23443500</v>
      </c>
      <c r="G641" s="2">
        <f t="shared" si="1"/>
        <v>35.72</v>
      </c>
    </row>
    <row r="642" ht="15.75" customHeight="1">
      <c r="A642" s="1">
        <f>IFERROR(__xludf.DUMMYFUNCTION("""COMPUTED_VALUE"""),44795.66666666667)</f>
        <v>44795.66667</v>
      </c>
      <c r="B642" s="2">
        <f>IFERROR(__xludf.DUMMYFUNCTION("""COMPUTED_VALUE"""),1353.03)</f>
        <v>1353.03</v>
      </c>
      <c r="C642" s="2">
        <f>IFERROR(__xludf.DUMMYFUNCTION("""COMPUTED_VALUE"""),1353.03)</f>
        <v>1353.03</v>
      </c>
      <c r="D642" s="2">
        <f>IFERROR(__xludf.DUMMYFUNCTION("""COMPUTED_VALUE"""),1326.23)</f>
        <v>1326.23</v>
      </c>
      <c r="E642" s="2">
        <f>IFERROR(__xludf.DUMMYFUNCTION("""COMPUTED_VALUE"""),1339.63)</f>
        <v>1339.63</v>
      </c>
      <c r="F642" s="2">
        <f>IFERROR(__xludf.DUMMYFUNCTION("""COMPUTED_VALUE"""),1.62579E7)</f>
        <v>16257900</v>
      </c>
      <c r="G642" s="2">
        <f t="shared" si="1"/>
        <v>26.8</v>
      </c>
    </row>
    <row r="643" ht="15.75" customHeight="1">
      <c r="A643" s="1">
        <f>IFERROR(__xludf.DUMMYFUNCTION("""COMPUTED_VALUE"""),44796.66666666667)</f>
        <v>44796.66667</v>
      </c>
      <c r="B643" s="2">
        <f>IFERROR(__xludf.DUMMYFUNCTION("""COMPUTED_VALUE"""),1330.7)</f>
        <v>1330.7</v>
      </c>
      <c r="C643" s="2">
        <f>IFERROR(__xludf.DUMMYFUNCTION("""COMPUTED_VALUE"""),1366.42)</f>
        <v>1366.42</v>
      </c>
      <c r="D643" s="2">
        <f>IFERROR(__xludf.DUMMYFUNCTION("""COMPUTED_VALUE"""),1326.23)</f>
        <v>1326.23</v>
      </c>
      <c r="E643" s="2">
        <f>IFERROR(__xludf.DUMMYFUNCTION("""COMPUTED_VALUE"""),1357.49)</f>
        <v>1357.49</v>
      </c>
      <c r="F643" s="2">
        <f>IFERROR(__xludf.DUMMYFUNCTION("""COMPUTED_VALUE"""),1.64888E7)</f>
        <v>16488800</v>
      </c>
      <c r="G643" s="2">
        <f t="shared" si="1"/>
        <v>40.19</v>
      </c>
    </row>
    <row r="644" ht="15.75" customHeight="1">
      <c r="A644" s="1">
        <f>IFERROR(__xludf.DUMMYFUNCTION("""COMPUTED_VALUE"""),44797.66666666667)</f>
        <v>44797.66667</v>
      </c>
      <c r="B644" s="2">
        <f>IFERROR(__xludf.DUMMYFUNCTION("""COMPUTED_VALUE"""),1361.96)</f>
        <v>1361.96</v>
      </c>
      <c r="C644" s="2">
        <f>IFERROR(__xludf.DUMMYFUNCTION("""COMPUTED_VALUE"""),1384.28)</f>
        <v>1384.28</v>
      </c>
      <c r="D644" s="2">
        <f>IFERROR(__xludf.DUMMYFUNCTION("""COMPUTED_VALUE"""),1348.56)</f>
        <v>1348.56</v>
      </c>
      <c r="E644" s="2">
        <f>IFERROR(__xludf.DUMMYFUNCTION("""COMPUTED_VALUE"""),1348.56)</f>
        <v>1348.56</v>
      </c>
      <c r="F644" s="2">
        <f>IFERROR(__xludf.DUMMYFUNCTION("""COMPUTED_VALUE"""),1.50378E7)</f>
        <v>15037800</v>
      </c>
      <c r="G644" s="2">
        <f t="shared" si="1"/>
        <v>35.72</v>
      </c>
    </row>
    <row r="645" ht="15.75" customHeight="1">
      <c r="A645" s="1">
        <f>IFERROR(__xludf.DUMMYFUNCTION("""COMPUTED_VALUE"""),44798.66666666667)</f>
        <v>44798.66667</v>
      </c>
      <c r="B645" s="2">
        <f>IFERROR(__xludf.DUMMYFUNCTION("""COMPUTED_VALUE"""),1348.56)</f>
        <v>1348.56</v>
      </c>
      <c r="C645" s="2">
        <f>IFERROR(__xludf.DUMMYFUNCTION("""COMPUTED_VALUE"""),1375.35)</f>
        <v>1375.35</v>
      </c>
      <c r="D645" s="2">
        <f>IFERROR(__xludf.DUMMYFUNCTION("""COMPUTED_VALUE"""),1348.56)</f>
        <v>1348.56</v>
      </c>
      <c r="E645" s="2">
        <f>IFERROR(__xludf.DUMMYFUNCTION("""COMPUTED_VALUE"""),1357.49)</f>
        <v>1357.49</v>
      </c>
      <c r="F645" s="2">
        <f>IFERROR(__xludf.DUMMYFUNCTION("""COMPUTED_VALUE"""),6188000.0)</f>
        <v>6188000</v>
      </c>
      <c r="G645" s="2">
        <f t="shared" si="1"/>
        <v>26.79</v>
      </c>
    </row>
    <row r="646" ht="15.75" customHeight="1">
      <c r="A646" s="1">
        <f>IFERROR(__xludf.DUMMYFUNCTION("""COMPUTED_VALUE"""),44799.66666666667)</f>
        <v>44799.66667</v>
      </c>
      <c r="B646" s="2">
        <f>IFERROR(__xludf.DUMMYFUNCTION("""COMPUTED_VALUE"""),1375.35)</f>
        <v>1375.35</v>
      </c>
      <c r="C646" s="2">
        <f>IFERROR(__xludf.DUMMYFUNCTION("""COMPUTED_VALUE"""),1375.35)</f>
        <v>1375.35</v>
      </c>
      <c r="D646" s="2">
        <f>IFERROR(__xludf.DUMMYFUNCTION("""COMPUTED_VALUE"""),1357.49)</f>
        <v>1357.49</v>
      </c>
      <c r="E646" s="2">
        <f>IFERROR(__xludf.DUMMYFUNCTION("""COMPUTED_VALUE"""),1357.49)</f>
        <v>1357.49</v>
      </c>
      <c r="F646" s="2">
        <f>IFERROR(__xludf.DUMMYFUNCTION("""COMPUTED_VALUE"""),4077900.0)</f>
        <v>4077900</v>
      </c>
      <c r="G646" s="2">
        <f t="shared" si="1"/>
        <v>17.86</v>
      </c>
    </row>
    <row r="647" ht="15.75" customHeight="1">
      <c r="A647" s="1">
        <f>IFERROR(__xludf.DUMMYFUNCTION("""COMPUTED_VALUE"""),44802.66666666667)</f>
        <v>44802.66667</v>
      </c>
      <c r="B647" s="2">
        <f>IFERROR(__xludf.DUMMYFUNCTION("""COMPUTED_VALUE"""),1357.49)</f>
        <v>1357.49</v>
      </c>
      <c r="C647" s="2">
        <f>IFERROR(__xludf.DUMMYFUNCTION("""COMPUTED_VALUE"""),1366.42)</f>
        <v>1366.42</v>
      </c>
      <c r="D647" s="2">
        <f>IFERROR(__xludf.DUMMYFUNCTION("""COMPUTED_VALUE"""),1339.63)</f>
        <v>1339.63</v>
      </c>
      <c r="E647" s="2">
        <f>IFERROR(__xludf.DUMMYFUNCTION("""COMPUTED_VALUE"""),1348.56)</f>
        <v>1348.56</v>
      </c>
      <c r="F647" s="2">
        <f>IFERROR(__xludf.DUMMYFUNCTION("""COMPUTED_VALUE"""),8578900.0)</f>
        <v>8578900</v>
      </c>
      <c r="G647" s="2">
        <f t="shared" si="1"/>
        <v>26.79</v>
      </c>
    </row>
    <row r="648" ht="15.75" customHeight="1">
      <c r="A648" s="1">
        <f>IFERROR(__xludf.DUMMYFUNCTION("""COMPUTED_VALUE"""),44803.66666666667)</f>
        <v>44803.66667</v>
      </c>
      <c r="B648" s="2">
        <f>IFERROR(__xludf.DUMMYFUNCTION("""COMPUTED_VALUE"""),1348.56)</f>
        <v>1348.56</v>
      </c>
      <c r="C648" s="2">
        <f>IFERROR(__xludf.DUMMYFUNCTION("""COMPUTED_VALUE"""),1361.96)</f>
        <v>1361.96</v>
      </c>
      <c r="D648" s="2">
        <f>IFERROR(__xludf.DUMMYFUNCTION("""COMPUTED_VALUE"""),1339.63)</f>
        <v>1339.63</v>
      </c>
      <c r="E648" s="2">
        <f>IFERROR(__xludf.DUMMYFUNCTION("""COMPUTED_VALUE"""),1348.56)</f>
        <v>1348.56</v>
      </c>
      <c r="F648" s="2">
        <f>IFERROR(__xludf.DUMMYFUNCTION("""COMPUTED_VALUE"""),1.76485E7)</f>
        <v>17648500</v>
      </c>
      <c r="G648" s="2">
        <f t="shared" si="1"/>
        <v>22.33</v>
      </c>
    </row>
    <row r="649" ht="15.75" customHeight="1">
      <c r="A649" s="1">
        <f>IFERROR(__xludf.DUMMYFUNCTION("""COMPUTED_VALUE"""),44804.66666666667)</f>
        <v>44804.66667</v>
      </c>
      <c r="B649" s="2">
        <f>IFERROR(__xludf.DUMMYFUNCTION("""COMPUTED_VALUE"""),1344.09)</f>
        <v>1344.09</v>
      </c>
      <c r="C649" s="2">
        <f>IFERROR(__xludf.DUMMYFUNCTION("""COMPUTED_VALUE"""),1361.96)</f>
        <v>1361.96</v>
      </c>
      <c r="D649" s="2">
        <f>IFERROR(__xludf.DUMMYFUNCTION("""COMPUTED_VALUE"""),1344.09)</f>
        <v>1344.09</v>
      </c>
      <c r="E649" s="2">
        <f>IFERROR(__xludf.DUMMYFUNCTION("""COMPUTED_VALUE"""),1344.09)</f>
        <v>1344.09</v>
      </c>
      <c r="F649" s="2">
        <f>IFERROR(__xludf.DUMMYFUNCTION("""COMPUTED_VALUE"""),1.89462E7)</f>
        <v>18946200</v>
      </c>
      <c r="G649" s="2">
        <f t="shared" si="1"/>
        <v>17.87</v>
      </c>
    </row>
    <row r="650" ht="15.75" customHeight="1">
      <c r="A650" s="1">
        <f>IFERROR(__xludf.DUMMYFUNCTION("""COMPUTED_VALUE"""),44805.625)</f>
        <v>44805.625</v>
      </c>
      <c r="B650" s="2">
        <f>IFERROR(__xludf.DUMMYFUNCTION("""COMPUTED_VALUE"""),1348.56)</f>
        <v>1348.56</v>
      </c>
      <c r="C650" s="2">
        <f>IFERROR(__xludf.DUMMYFUNCTION("""COMPUTED_VALUE"""),1388.75)</f>
        <v>1388.75</v>
      </c>
      <c r="D650" s="2">
        <f>IFERROR(__xludf.DUMMYFUNCTION("""COMPUTED_VALUE"""),1348.56)</f>
        <v>1348.56</v>
      </c>
      <c r="E650" s="2">
        <f>IFERROR(__xludf.DUMMYFUNCTION("""COMPUTED_VALUE"""),1379.82)</f>
        <v>1379.82</v>
      </c>
      <c r="F650" s="2">
        <f>IFERROR(__xludf.DUMMYFUNCTION("""COMPUTED_VALUE"""),1.65385E7)</f>
        <v>16538500</v>
      </c>
      <c r="G650" s="2">
        <f t="shared" si="1"/>
        <v>44.66</v>
      </c>
    </row>
    <row r="651" ht="15.75" customHeight="1">
      <c r="A651" s="1">
        <f>IFERROR(__xludf.DUMMYFUNCTION("""COMPUTED_VALUE"""),44806.625)</f>
        <v>44806.625</v>
      </c>
      <c r="B651" s="2">
        <f>IFERROR(__xludf.DUMMYFUNCTION("""COMPUTED_VALUE"""),1384.28)</f>
        <v>1384.28</v>
      </c>
      <c r="C651" s="2">
        <f>IFERROR(__xludf.DUMMYFUNCTION("""COMPUTED_VALUE"""),1384.28)</f>
        <v>1384.28</v>
      </c>
      <c r="D651" s="2">
        <f>IFERROR(__xludf.DUMMYFUNCTION("""COMPUTED_VALUE"""),1370.89)</f>
        <v>1370.89</v>
      </c>
      <c r="E651" s="2">
        <f>IFERROR(__xludf.DUMMYFUNCTION("""COMPUTED_VALUE"""),1379.82)</f>
        <v>1379.82</v>
      </c>
      <c r="F651" s="2">
        <f>IFERROR(__xludf.DUMMYFUNCTION("""COMPUTED_VALUE"""),1.18929E7)</f>
        <v>11892900</v>
      </c>
      <c r="G651" s="2">
        <f t="shared" si="1"/>
        <v>13.39</v>
      </c>
    </row>
    <row r="652" ht="15.75" customHeight="1">
      <c r="A652" s="1">
        <f>IFERROR(__xludf.DUMMYFUNCTION("""COMPUTED_VALUE"""),44809.66666666667)</f>
        <v>44809.66667</v>
      </c>
      <c r="B652" s="2">
        <f>IFERROR(__xludf.DUMMYFUNCTION("""COMPUTED_VALUE"""),1370.89)</f>
        <v>1370.89</v>
      </c>
      <c r="C652" s="2">
        <f>IFERROR(__xludf.DUMMYFUNCTION("""COMPUTED_VALUE"""),1402.14)</f>
        <v>1402.14</v>
      </c>
      <c r="D652" s="2">
        <f>IFERROR(__xludf.DUMMYFUNCTION("""COMPUTED_VALUE"""),1370.89)</f>
        <v>1370.89</v>
      </c>
      <c r="E652" s="2">
        <f>IFERROR(__xludf.DUMMYFUNCTION("""COMPUTED_VALUE"""),1402.14)</f>
        <v>1402.14</v>
      </c>
      <c r="F652" s="2">
        <f>IFERROR(__xludf.DUMMYFUNCTION("""COMPUTED_VALUE"""),2.14955E7)</f>
        <v>21495500</v>
      </c>
      <c r="G652" s="2">
        <f t="shared" si="1"/>
        <v>31.25</v>
      </c>
    </row>
    <row r="653" ht="15.75" customHeight="1">
      <c r="A653" s="1">
        <f>IFERROR(__xludf.DUMMYFUNCTION("""COMPUTED_VALUE"""),44810.66666666667)</f>
        <v>44810.66667</v>
      </c>
      <c r="B653" s="2">
        <f>IFERROR(__xludf.DUMMYFUNCTION("""COMPUTED_VALUE"""),1406.61)</f>
        <v>1406.61</v>
      </c>
      <c r="C653" s="2">
        <f>IFERROR(__xludf.DUMMYFUNCTION("""COMPUTED_VALUE"""),1411.08)</f>
        <v>1411.08</v>
      </c>
      <c r="D653" s="2">
        <f>IFERROR(__xludf.DUMMYFUNCTION("""COMPUTED_VALUE"""),1384.28)</f>
        <v>1384.28</v>
      </c>
      <c r="E653" s="2">
        <f>IFERROR(__xludf.DUMMYFUNCTION("""COMPUTED_VALUE"""),1388.75)</f>
        <v>1388.75</v>
      </c>
      <c r="F653" s="2">
        <f>IFERROR(__xludf.DUMMYFUNCTION("""COMPUTED_VALUE"""),1.49864E7)</f>
        <v>14986400</v>
      </c>
      <c r="G653" s="2">
        <f t="shared" si="1"/>
        <v>26.8</v>
      </c>
    </row>
    <row r="654" ht="15.75" customHeight="1">
      <c r="A654" s="1">
        <f>IFERROR(__xludf.DUMMYFUNCTION("""COMPUTED_VALUE"""),44811.66666666667)</f>
        <v>44811.66667</v>
      </c>
      <c r="B654" s="2">
        <f>IFERROR(__xludf.DUMMYFUNCTION("""COMPUTED_VALUE"""),1388.75)</f>
        <v>1388.75</v>
      </c>
      <c r="C654" s="2">
        <f>IFERROR(__xludf.DUMMYFUNCTION("""COMPUTED_VALUE"""),1388.75)</f>
        <v>1388.75</v>
      </c>
      <c r="D654" s="2">
        <f>IFERROR(__xludf.DUMMYFUNCTION("""COMPUTED_VALUE"""),1375.35)</f>
        <v>1375.35</v>
      </c>
      <c r="E654" s="2">
        <f>IFERROR(__xludf.DUMMYFUNCTION("""COMPUTED_VALUE"""),1375.35)</f>
        <v>1375.35</v>
      </c>
      <c r="F654" s="2">
        <f>IFERROR(__xludf.DUMMYFUNCTION("""COMPUTED_VALUE"""),1.41889E7)</f>
        <v>14188900</v>
      </c>
      <c r="G654" s="2">
        <f t="shared" si="1"/>
        <v>13.4</v>
      </c>
    </row>
    <row r="655" ht="15.75" customHeight="1">
      <c r="A655" s="1">
        <f>IFERROR(__xludf.DUMMYFUNCTION("""COMPUTED_VALUE"""),44812.66666666667)</f>
        <v>44812.66667</v>
      </c>
      <c r="B655" s="2">
        <f>IFERROR(__xludf.DUMMYFUNCTION("""COMPUTED_VALUE"""),1379.82)</f>
        <v>1379.82</v>
      </c>
      <c r="C655" s="2">
        <f>IFERROR(__xludf.DUMMYFUNCTION("""COMPUTED_VALUE"""),1420.01)</f>
        <v>1420.01</v>
      </c>
      <c r="D655" s="2">
        <f>IFERROR(__xludf.DUMMYFUNCTION("""COMPUTED_VALUE"""),1379.82)</f>
        <v>1379.82</v>
      </c>
      <c r="E655" s="2">
        <f>IFERROR(__xludf.DUMMYFUNCTION("""COMPUTED_VALUE"""),1411.08)</f>
        <v>1411.08</v>
      </c>
      <c r="F655" s="2">
        <f>IFERROR(__xludf.DUMMYFUNCTION("""COMPUTED_VALUE"""),2.52183E7)</f>
        <v>25218300</v>
      </c>
      <c r="G655" s="2">
        <f t="shared" si="1"/>
        <v>44.66</v>
      </c>
    </row>
    <row r="656" ht="15.75" customHeight="1">
      <c r="A656" s="1">
        <f>IFERROR(__xludf.DUMMYFUNCTION("""COMPUTED_VALUE"""),44813.66666666667)</f>
        <v>44813.66667</v>
      </c>
      <c r="B656" s="2">
        <f>IFERROR(__xludf.DUMMYFUNCTION("""COMPUTED_VALUE"""),1415.54)</f>
        <v>1415.54</v>
      </c>
      <c r="C656" s="2">
        <f>IFERROR(__xludf.DUMMYFUNCTION("""COMPUTED_VALUE"""),1424.47)</f>
        <v>1424.47</v>
      </c>
      <c r="D656" s="2">
        <f>IFERROR(__xludf.DUMMYFUNCTION("""COMPUTED_VALUE"""),1397.68)</f>
        <v>1397.68</v>
      </c>
      <c r="E656" s="2">
        <f>IFERROR(__xludf.DUMMYFUNCTION("""COMPUTED_VALUE"""),1402.14)</f>
        <v>1402.14</v>
      </c>
      <c r="F656" s="2">
        <f>IFERROR(__xludf.DUMMYFUNCTION("""COMPUTED_VALUE"""),1.44109E7)</f>
        <v>14410900</v>
      </c>
      <c r="G656" s="2">
        <f t="shared" si="1"/>
        <v>26.79</v>
      </c>
    </row>
    <row r="657" ht="15.75" customHeight="1">
      <c r="A657" s="1">
        <f>IFERROR(__xludf.DUMMYFUNCTION("""COMPUTED_VALUE"""),44816.66666666667)</f>
        <v>44816.66667</v>
      </c>
      <c r="B657" s="2">
        <f>IFERROR(__xludf.DUMMYFUNCTION("""COMPUTED_VALUE"""),1397.68)</f>
        <v>1397.68</v>
      </c>
      <c r="C657" s="2">
        <f>IFERROR(__xludf.DUMMYFUNCTION("""COMPUTED_VALUE"""),1411.08)</f>
        <v>1411.08</v>
      </c>
      <c r="D657" s="2">
        <f>IFERROR(__xludf.DUMMYFUNCTION("""COMPUTED_VALUE"""),1366.42)</f>
        <v>1366.42</v>
      </c>
      <c r="E657" s="2">
        <f>IFERROR(__xludf.DUMMYFUNCTION("""COMPUTED_VALUE"""),1370.89)</f>
        <v>1370.89</v>
      </c>
      <c r="F657" s="2">
        <f>IFERROR(__xludf.DUMMYFUNCTION("""COMPUTED_VALUE"""),2.7815E7)</f>
        <v>27815000</v>
      </c>
      <c r="G657" s="2">
        <f t="shared" si="1"/>
        <v>44.66</v>
      </c>
    </row>
    <row r="658" ht="15.75" customHeight="1">
      <c r="A658" s="1">
        <f>IFERROR(__xludf.DUMMYFUNCTION("""COMPUTED_VALUE"""),44817.66666666667)</f>
        <v>44817.66667</v>
      </c>
      <c r="B658" s="2">
        <f>IFERROR(__xludf.DUMMYFUNCTION("""COMPUTED_VALUE"""),1366.42)</f>
        <v>1366.42</v>
      </c>
      <c r="C658" s="2">
        <f>IFERROR(__xludf.DUMMYFUNCTION("""COMPUTED_VALUE"""),1384.28)</f>
        <v>1384.28</v>
      </c>
      <c r="D658" s="2">
        <f>IFERROR(__xludf.DUMMYFUNCTION("""COMPUTED_VALUE"""),1366.42)</f>
        <v>1366.42</v>
      </c>
      <c r="E658" s="2">
        <f>IFERROR(__xludf.DUMMYFUNCTION("""COMPUTED_VALUE"""),1375.35)</f>
        <v>1375.35</v>
      </c>
      <c r="F658" s="2">
        <f>IFERROR(__xludf.DUMMYFUNCTION("""COMPUTED_VALUE"""),2.33667E7)</f>
        <v>23366700</v>
      </c>
      <c r="G658" s="2">
        <f t="shared" si="1"/>
        <v>17.86</v>
      </c>
    </row>
    <row r="659" ht="15.75" customHeight="1">
      <c r="A659" s="1">
        <f>IFERROR(__xludf.DUMMYFUNCTION("""COMPUTED_VALUE"""),44818.66666666667)</f>
        <v>44818.66667</v>
      </c>
      <c r="B659" s="2">
        <f>IFERROR(__xludf.DUMMYFUNCTION("""COMPUTED_VALUE"""),1366.42)</f>
        <v>1366.42</v>
      </c>
      <c r="C659" s="2">
        <f>IFERROR(__xludf.DUMMYFUNCTION("""COMPUTED_VALUE"""),1375.35)</f>
        <v>1375.35</v>
      </c>
      <c r="D659" s="2">
        <f>IFERROR(__xludf.DUMMYFUNCTION("""COMPUTED_VALUE"""),1353.03)</f>
        <v>1353.03</v>
      </c>
      <c r="E659" s="2">
        <f>IFERROR(__xludf.DUMMYFUNCTION("""COMPUTED_VALUE"""),1370.89)</f>
        <v>1370.89</v>
      </c>
      <c r="F659" s="2">
        <f>IFERROR(__xludf.DUMMYFUNCTION("""COMPUTED_VALUE"""),1.66154E7)</f>
        <v>16615400</v>
      </c>
      <c r="G659" s="2">
        <f t="shared" si="1"/>
        <v>22.32</v>
      </c>
    </row>
    <row r="660" ht="15.75" customHeight="1">
      <c r="A660" s="1">
        <f>IFERROR(__xludf.DUMMYFUNCTION("""COMPUTED_VALUE"""),44819.66666666667)</f>
        <v>44819.66667</v>
      </c>
      <c r="B660" s="2">
        <f>IFERROR(__xludf.DUMMYFUNCTION("""COMPUTED_VALUE"""),1388.75)</f>
        <v>1388.75</v>
      </c>
      <c r="C660" s="2">
        <f>IFERROR(__xludf.DUMMYFUNCTION("""COMPUTED_VALUE"""),1451.26)</f>
        <v>1451.26</v>
      </c>
      <c r="D660" s="2">
        <f>IFERROR(__xludf.DUMMYFUNCTION("""COMPUTED_VALUE"""),1388.75)</f>
        <v>1388.75</v>
      </c>
      <c r="E660" s="2">
        <f>IFERROR(__xludf.DUMMYFUNCTION("""COMPUTED_VALUE"""),1433.4)</f>
        <v>1433.4</v>
      </c>
      <c r="F660" s="2">
        <f>IFERROR(__xludf.DUMMYFUNCTION("""COMPUTED_VALUE"""),7.59876E7)</f>
        <v>75987600</v>
      </c>
      <c r="G660" s="2">
        <f t="shared" si="1"/>
        <v>80.37</v>
      </c>
    </row>
    <row r="661" ht="15.75" customHeight="1">
      <c r="A661" s="1">
        <f>IFERROR(__xludf.DUMMYFUNCTION("""COMPUTED_VALUE"""),44820.66666666667)</f>
        <v>44820.66667</v>
      </c>
      <c r="B661" s="2">
        <f>IFERROR(__xludf.DUMMYFUNCTION("""COMPUTED_VALUE"""),1442.33)</f>
        <v>1442.33</v>
      </c>
      <c r="C661" s="2">
        <f>IFERROR(__xludf.DUMMYFUNCTION("""COMPUTED_VALUE"""),1442.33)</f>
        <v>1442.33</v>
      </c>
      <c r="D661" s="2">
        <f>IFERROR(__xludf.DUMMYFUNCTION("""COMPUTED_VALUE"""),1402.14)</f>
        <v>1402.14</v>
      </c>
      <c r="E661" s="2">
        <f>IFERROR(__xludf.DUMMYFUNCTION("""COMPUTED_VALUE"""),1406.61)</f>
        <v>1406.61</v>
      </c>
      <c r="F661" s="2">
        <f>IFERROR(__xludf.DUMMYFUNCTION("""COMPUTED_VALUE"""),4.5495E7)</f>
        <v>45495000</v>
      </c>
      <c r="G661" s="2">
        <f t="shared" si="1"/>
        <v>40.19</v>
      </c>
    </row>
    <row r="662" ht="15.75" customHeight="1">
      <c r="A662" s="1">
        <f>IFERROR(__xludf.DUMMYFUNCTION("""COMPUTED_VALUE"""),44823.66666666667)</f>
        <v>44823.66667</v>
      </c>
      <c r="B662" s="2">
        <f>IFERROR(__xludf.DUMMYFUNCTION("""COMPUTED_VALUE"""),1406.61)</f>
        <v>1406.61</v>
      </c>
      <c r="C662" s="2">
        <f>IFERROR(__xludf.DUMMYFUNCTION("""COMPUTED_VALUE"""),1415.54)</f>
        <v>1415.54</v>
      </c>
      <c r="D662" s="2">
        <f>IFERROR(__xludf.DUMMYFUNCTION("""COMPUTED_VALUE"""),1384.28)</f>
        <v>1384.28</v>
      </c>
      <c r="E662" s="2">
        <f>IFERROR(__xludf.DUMMYFUNCTION("""COMPUTED_VALUE"""),1406.61)</f>
        <v>1406.61</v>
      </c>
      <c r="F662" s="2">
        <f>IFERROR(__xludf.DUMMYFUNCTION("""COMPUTED_VALUE"""),2.55312E7)</f>
        <v>25531200</v>
      </c>
      <c r="G662" s="2">
        <f t="shared" si="1"/>
        <v>31.26</v>
      </c>
    </row>
    <row r="663" ht="15.75" customHeight="1">
      <c r="A663" s="1">
        <f>IFERROR(__xludf.DUMMYFUNCTION("""COMPUTED_VALUE"""),44824.66666666667)</f>
        <v>44824.66667</v>
      </c>
      <c r="B663" s="2">
        <f>IFERROR(__xludf.DUMMYFUNCTION("""COMPUTED_VALUE"""),1415.54)</f>
        <v>1415.54</v>
      </c>
      <c r="C663" s="2">
        <f>IFERROR(__xludf.DUMMYFUNCTION("""COMPUTED_VALUE"""),1420.01)</f>
        <v>1420.01</v>
      </c>
      <c r="D663" s="2">
        <f>IFERROR(__xludf.DUMMYFUNCTION("""COMPUTED_VALUE"""),1397.68)</f>
        <v>1397.68</v>
      </c>
      <c r="E663" s="2">
        <f>IFERROR(__xludf.DUMMYFUNCTION("""COMPUTED_VALUE"""),1406.61)</f>
        <v>1406.61</v>
      </c>
      <c r="F663" s="2">
        <f>IFERROR(__xludf.DUMMYFUNCTION("""COMPUTED_VALUE"""),1.24124E7)</f>
        <v>12412400</v>
      </c>
      <c r="G663" s="2">
        <f t="shared" si="1"/>
        <v>22.33</v>
      </c>
    </row>
    <row r="664" ht="15.75" customHeight="1">
      <c r="A664" s="1">
        <f>IFERROR(__xludf.DUMMYFUNCTION("""COMPUTED_VALUE"""),44825.66666666667)</f>
        <v>44825.66667</v>
      </c>
      <c r="B664" s="2">
        <f>IFERROR(__xludf.DUMMYFUNCTION("""COMPUTED_VALUE"""),1406.61)</f>
        <v>1406.61</v>
      </c>
      <c r="C664" s="2">
        <f>IFERROR(__xludf.DUMMYFUNCTION("""COMPUTED_VALUE"""),1406.61)</f>
        <v>1406.61</v>
      </c>
      <c r="D664" s="2">
        <f>IFERROR(__xludf.DUMMYFUNCTION("""COMPUTED_VALUE"""),1375.35)</f>
        <v>1375.35</v>
      </c>
      <c r="E664" s="2">
        <f>IFERROR(__xludf.DUMMYFUNCTION("""COMPUTED_VALUE"""),1393.21)</f>
        <v>1393.21</v>
      </c>
      <c r="F664" s="2">
        <f>IFERROR(__xludf.DUMMYFUNCTION("""COMPUTED_VALUE"""),2.10353E7)</f>
        <v>21035300</v>
      </c>
      <c r="G664" s="2">
        <f t="shared" si="1"/>
        <v>31.26</v>
      </c>
    </row>
    <row r="665" ht="15.75" customHeight="1">
      <c r="A665" s="1">
        <f>IFERROR(__xludf.DUMMYFUNCTION("""COMPUTED_VALUE"""),44826.66666666667)</f>
        <v>44826.66667</v>
      </c>
      <c r="B665" s="2">
        <f>IFERROR(__xludf.DUMMYFUNCTION("""COMPUTED_VALUE"""),1384.28)</f>
        <v>1384.28</v>
      </c>
      <c r="C665" s="2">
        <f>IFERROR(__xludf.DUMMYFUNCTION("""COMPUTED_VALUE"""),1397.68)</f>
        <v>1397.68</v>
      </c>
      <c r="D665" s="2">
        <f>IFERROR(__xludf.DUMMYFUNCTION("""COMPUTED_VALUE"""),1379.82)</f>
        <v>1379.82</v>
      </c>
      <c r="E665" s="2">
        <f>IFERROR(__xludf.DUMMYFUNCTION("""COMPUTED_VALUE"""),1397.68)</f>
        <v>1397.68</v>
      </c>
      <c r="F665" s="2">
        <f>IFERROR(__xludf.DUMMYFUNCTION("""COMPUTED_VALUE"""),6543600.0)</f>
        <v>6543600</v>
      </c>
      <c r="G665" s="2">
        <f t="shared" si="1"/>
        <v>17.86</v>
      </c>
    </row>
    <row r="666" ht="15.75" customHeight="1">
      <c r="A666" s="1">
        <f>IFERROR(__xludf.DUMMYFUNCTION("""COMPUTED_VALUE"""),44827.66666666667)</f>
        <v>44827.66667</v>
      </c>
      <c r="B666" s="2">
        <f>IFERROR(__xludf.DUMMYFUNCTION("""COMPUTED_VALUE"""),1397.68)</f>
        <v>1397.68</v>
      </c>
      <c r="C666" s="2">
        <f>IFERROR(__xludf.DUMMYFUNCTION("""COMPUTED_VALUE"""),1406.61)</f>
        <v>1406.61</v>
      </c>
      <c r="D666" s="2">
        <f>IFERROR(__xludf.DUMMYFUNCTION("""COMPUTED_VALUE"""),1375.35)</f>
        <v>1375.35</v>
      </c>
      <c r="E666" s="2">
        <f>IFERROR(__xludf.DUMMYFUNCTION("""COMPUTED_VALUE"""),1393.21)</f>
        <v>1393.21</v>
      </c>
      <c r="F666" s="2">
        <f>IFERROR(__xludf.DUMMYFUNCTION("""COMPUTED_VALUE"""),1.34139E7)</f>
        <v>13413900</v>
      </c>
      <c r="G666" s="2">
        <f t="shared" si="1"/>
        <v>31.26</v>
      </c>
    </row>
    <row r="667" ht="15.75" customHeight="1">
      <c r="A667" s="1">
        <f>IFERROR(__xludf.DUMMYFUNCTION("""COMPUTED_VALUE"""),44830.66666666667)</f>
        <v>44830.66667</v>
      </c>
      <c r="B667" s="2">
        <f>IFERROR(__xludf.DUMMYFUNCTION("""COMPUTED_VALUE"""),1379.82)</f>
        <v>1379.82</v>
      </c>
      <c r="C667" s="2">
        <f>IFERROR(__xludf.DUMMYFUNCTION("""COMPUTED_VALUE"""),1384.28)</f>
        <v>1384.28</v>
      </c>
      <c r="D667" s="2">
        <f>IFERROR(__xludf.DUMMYFUNCTION("""COMPUTED_VALUE"""),1353.03)</f>
        <v>1353.03</v>
      </c>
      <c r="E667" s="2">
        <f>IFERROR(__xludf.DUMMYFUNCTION("""COMPUTED_VALUE"""),1384.28)</f>
        <v>1384.28</v>
      </c>
      <c r="F667" s="2">
        <f>IFERROR(__xludf.DUMMYFUNCTION("""COMPUTED_VALUE"""),2.14139E7)</f>
        <v>21413900</v>
      </c>
      <c r="G667" s="2">
        <f t="shared" si="1"/>
        <v>40.18</v>
      </c>
    </row>
    <row r="668" ht="15.75" customHeight="1">
      <c r="A668" s="1">
        <f>IFERROR(__xludf.DUMMYFUNCTION("""COMPUTED_VALUE"""),44831.66666666667)</f>
        <v>44831.66667</v>
      </c>
      <c r="B668" s="2">
        <f>IFERROR(__xludf.DUMMYFUNCTION("""COMPUTED_VALUE"""),1384.28)</f>
        <v>1384.28</v>
      </c>
      <c r="C668" s="2">
        <f>IFERROR(__xludf.DUMMYFUNCTION("""COMPUTED_VALUE"""),1384.28)</f>
        <v>1384.28</v>
      </c>
      <c r="D668" s="2">
        <f>IFERROR(__xludf.DUMMYFUNCTION("""COMPUTED_VALUE"""),1348.56)</f>
        <v>1348.56</v>
      </c>
      <c r="E668" s="2">
        <f>IFERROR(__xludf.DUMMYFUNCTION("""COMPUTED_VALUE"""),1353.03)</f>
        <v>1353.03</v>
      </c>
      <c r="F668" s="2">
        <f>IFERROR(__xludf.DUMMYFUNCTION("""COMPUTED_VALUE"""),2.04355E7)</f>
        <v>20435500</v>
      </c>
      <c r="G668" s="2">
        <f t="shared" si="1"/>
        <v>35.72</v>
      </c>
    </row>
    <row r="669" ht="15.75" customHeight="1">
      <c r="A669" s="1">
        <f>IFERROR(__xludf.DUMMYFUNCTION("""COMPUTED_VALUE"""),44832.66666666667)</f>
        <v>44832.66667</v>
      </c>
      <c r="B669" s="2">
        <f>IFERROR(__xludf.DUMMYFUNCTION("""COMPUTED_VALUE"""),1348.56)</f>
        <v>1348.56</v>
      </c>
      <c r="C669" s="2">
        <f>IFERROR(__xludf.DUMMYFUNCTION("""COMPUTED_VALUE"""),1361.96)</f>
        <v>1361.96</v>
      </c>
      <c r="D669" s="2">
        <f>IFERROR(__xludf.DUMMYFUNCTION("""COMPUTED_VALUE"""),1344.09)</f>
        <v>1344.09</v>
      </c>
      <c r="E669" s="2">
        <f>IFERROR(__xludf.DUMMYFUNCTION("""COMPUTED_VALUE"""),1344.09)</f>
        <v>1344.09</v>
      </c>
      <c r="F669" s="2">
        <f>IFERROR(__xludf.DUMMYFUNCTION("""COMPUTED_VALUE"""),1.51249E7)</f>
        <v>15124900</v>
      </c>
      <c r="G669" s="2">
        <f t="shared" si="1"/>
        <v>17.87</v>
      </c>
    </row>
    <row r="670" ht="15.75" customHeight="1">
      <c r="A670" s="1">
        <f>IFERROR(__xludf.DUMMYFUNCTION("""COMPUTED_VALUE"""),44833.66666666667)</f>
        <v>44833.66667</v>
      </c>
      <c r="B670" s="2">
        <f>IFERROR(__xludf.DUMMYFUNCTION("""COMPUTED_VALUE"""),1344.09)</f>
        <v>1344.09</v>
      </c>
      <c r="C670" s="2">
        <f>IFERROR(__xludf.DUMMYFUNCTION("""COMPUTED_VALUE"""),1357.49)</f>
        <v>1357.49</v>
      </c>
      <c r="D670" s="2">
        <f>IFERROR(__xludf.DUMMYFUNCTION("""COMPUTED_VALUE"""),1294.97)</f>
        <v>1294.97</v>
      </c>
      <c r="E670" s="2">
        <f>IFERROR(__xludf.DUMMYFUNCTION("""COMPUTED_VALUE"""),1308.37)</f>
        <v>1308.37</v>
      </c>
      <c r="F670" s="2">
        <f>IFERROR(__xludf.DUMMYFUNCTION("""COMPUTED_VALUE"""),2.95227E7)</f>
        <v>29522700</v>
      </c>
      <c r="G670" s="2">
        <f t="shared" si="1"/>
        <v>62.52</v>
      </c>
    </row>
    <row r="671" ht="15.75" customHeight="1">
      <c r="A671" s="1">
        <f>IFERROR(__xludf.DUMMYFUNCTION("""COMPUTED_VALUE"""),44834.66666666667)</f>
        <v>44834.66667</v>
      </c>
      <c r="B671" s="2">
        <f>IFERROR(__xludf.DUMMYFUNCTION("""COMPUTED_VALUE"""),1308.37)</f>
        <v>1308.37</v>
      </c>
      <c r="C671" s="2">
        <f>IFERROR(__xludf.DUMMYFUNCTION("""COMPUTED_VALUE"""),1335.16)</f>
        <v>1335.16</v>
      </c>
      <c r="D671" s="2">
        <f>IFERROR(__xludf.DUMMYFUNCTION("""COMPUTED_VALUE"""),1277.11)</f>
        <v>1277.11</v>
      </c>
      <c r="E671" s="2">
        <f>IFERROR(__xludf.DUMMYFUNCTION("""COMPUTED_VALUE"""),1326.23)</f>
        <v>1326.23</v>
      </c>
      <c r="F671" s="2">
        <f>IFERROR(__xludf.DUMMYFUNCTION("""COMPUTED_VALUE"""),2.09613E7)</f>
        <v>20961300</v>
      </c>
      <c r="G671" s="2">
        <f t="shared" si="1"/>
        <v>58.05</v>
      </c>
    </row>
    <row r="672" ht="15.75" customHeight="1">
      <c r="A672" s="1">
        <f>IFERROR(__xludf.DUMMYFUNCTION("""COMPUTED_VALUE"""),44837.66666666667)</f>
        <v>44837.66667</v>
      </c>
      <c r="B672" s="2">
        <f>IFERROR(__xludf.DUMMYFUNCTION("""COMPUTED_VALUE"""),1326.23)</f>
        <v>1326.23</v>
      </c>
      <c r="C672" s="2">
        <f>IFERROR(__xludf.DUMMYFUNCTION("""COMPUTED_VALUE"""),1335.16)</f>
        <v>1335.16</v>
      </c>
      <c r="D672" s="2">
        <f>IFERROR(__xludf.DUMMYFUNCTION("""COMPUTED_VALUE"""),1308.37)</f>
        <v>1308.37</v>
      </c>
      <c r="E672" s="2">
        <f>IFERROR(__xludf.DUMMYFUNCTION("""COMPUTED_VALUE"""),1321.77)</f>
        <v>1321.77</v>
      </c>
      <c r="F672" s="2">
        <f>IFERROR(__xludf.DUMMYFUNCTION("""COMPUTED_VALUE"""),7929600.0)</f>
        <v>7929600</v>
      </c>
      <c r="G672" s="2">
        <f t="shared" si="1"/>
        <v>26.79</v>
      </c>
    </row>
    <row r="673" ht="15.75" customHeight="1">
      <c r="A673" s="1">
        <f>IFERROR(__xludf.DUMMYFUNCTION("""COMPUTED_VALUE"""),44838.66666666667)</f>
        <v>44838.66667</v>
      </c>
      <c r="B673" s="2">
        <f>IFERROR(__xludf.DUMMYFUNCTION("""COMPUTED_VALUE"""),1330.7)</f>
        <v>1330.7</v>
      </c>
      <c r="C673" s="2">
        <f>IFERROR(__xludf.DUMMYFUNCTION("""COMPUTED_VALUE"""),1339.63)</f>
        <v>1339.63</v>
      </c>
      <c r="D673" s="2">
        <f>IFERROR(__xludf.DUMMYFUNCTION("""COMPUTED_VALUE"""),1326.23)</f>
        <v>1326.23</v>
      </c>
      <c r="E673" s="2">
        <f>IFERROR(__xludf.DUMMYFUNCTION("""COMPUTED_VALUE"""),1339.63)</f>
        <v>1339.63</v>
      </c>
      <c r="F673" s="2">
        <f>IFERROR(__xludf.DUMMYFUNCTION("""COMPUTED_VALUE"""),1.49703E7)</f>
        <v>14970300</v>
      </c>
      <c r="G673" s="2">
        <f t="shared" si="1"/>
        <v>17.86</v>
      </c>
    </row>
    <row r="674" ht="15.75" customHeight="1">
      <c r="A674" s="1">
        <f>IFERROR(__xludf.DUMMYFUNCTION("""COMPUTED_VALUE"""),44839.66666666667)</f>
        <v>44839.66667</v>
      </c>
      <c r="B674" s="2">
        <f>IFERROR(__xludf.DUMMYFUNCTION("""COMPUTED_VALUE"""),1348.56)</f>
        <v>1348.56</v>
      </c>
      <c r="C674" s="2">
        <f>IFERROR(__xludf.DUMMYFUNCTION("""COMPUTED_VALUE"""),1348.56)</f>
        <v>1348.56</v>
      </c>
      <c r="D674" s="2">
        <f>IFERROR(__xludf.DUMMYFUNCTION("""COMPUTED_VALUE"""),1312.84)</f>
        <v>1312.84</v>
      </c>
      <c r="E674" s="2">
        <f>IFERROR(__xludf.DUMMYFUNCTION("""COMPUTED_VALUE"""),1317.3)</f>
        <v>1317.3</v>
      </c>
      <c r="F674" s="2">
        <f>IFERROR(__xludf.DUMMYFUNCTION("""COMPUTED_VALUE"""),1.7936E7)</f>
        <v>17936000</v>
      </c>
      <c r="G674" s="2">
        <f t="shared" si="1"/>
        <v>35.72</v>
      </c>
    </row>
    <row r="675" ht="15.75" customHeight="1">
      <c r="A675" s="1">
        <f>IFERROR(__xludf.DUMMYFUNCTION("""COMPUTED_VALUE"""),44840.66666666667)</f>
        <v>44840.66667</v>
      </c>
      <c r="B675" s="2">
        <f>IFERROR(__xludf.DUMMYFUNCTION("""COMPUTED_VALUE"""),1317.3)</f>
        <v>1317.3</v>
      </c>
      <c r="C675" s="2">
        <f>IFERROR(__xludf.DUMMYFUNCTION("""COMPUTED_VALUE"""),1326.23)</f>
        <v>1326.23</v>
      </c>
      <c r="D675" s="2">
        <f>IFERROR(__xludf.DUMMYFUNCTION("""COMPUTED_VALUE"""),1294.97)</f>
        <v>1294.97</v>
      </c>
      <c r="E675" s="2">
        <f>IFERROR(__xludf.DUMMYFUNCTION("""COMPUTED_VALUE"""),1294.97)</f>
        <v>1294.97</v>
      </c>
      <c r="F675" s="2">
        <f>IFERROR(__xludf.DUMMYFUNCTION("""COMPUTED_VALUE"""),1.00842E7)</f>
        <v>10084200</v>
      </c>
      <c r="G675" s="2">
        <f t="shared" si="1"/>
        <v>31.26</v>
      </c>
    </row>
    <row r="676" ht="15.75" customHeight="1">
      <c r="A676" s="1">
        <f>IFERROR(__xludf.DUMMYFUNCTION("""COMPUTED_VALUE"""),44841.66666666667)</f>
        <v>44841.66667</v>
      </c>
      <c r="B676" s="2">
        <f>IFERROR(__xludf.DUMMYFUNCTION("""COMPUTED_VALUE"""),1299.44)</f>
        <v>1299.44</v>
      </c>
      <c r="C676" s="2">
        <f>IFERROR(__xludf.DUMMYFUNCTION("""COMPUTED_VALUE"""),1348.56)</f>
        <v>1348.56</v>
      </c>
      <c r="D676" s="2">
        <f>IFERROR(__xludf.DUMMYFUNCTION("""COMPUTED_VALUE"""),1294.97)</f>
        <v>1294.97</v>
      </c>
      <c r="E676" s="2">
        <f>IFERROR(__xludf.DUMMYFUNCTION("""COMPUTED_VALUE"""),1335.16)</f>
        <v>1335.16</v>
      </c>
      <c r="F676" s="2">
        <f>IFERROR(__xludf.DUMMYFUNCTION("""COMPUTED_VALUE"""),1.55058E7)</f>
        <v>15505800</v>
      </c>
      <c r="G676" s="2">
        <f t="shared" si="1"/>
        <v>53.59</v>
      </c>
    </row>
    <row r="677" ht="15.75" customHeight="1">
      <c r="A677" s="1">
        <f>IFERROR(__xludf.DUMMYFUNCTION("""COMPUTED_VALUE"""),44844.66666666667)</f>
        <v>44844.66667</v>
      </c>
      <c r="B677" s="2">
        <f>IFERROR(__xludf.DUMMYFUNCTION("""COMPUTED_VALUE"""),1335.16)</f>
        <v>1335.16</v>
      </c>
      <c r="C677" s="2">
        <f>IFERROR(__xludf.DUMMYFUNCTION("""COMPUTED_VALUE"""),1339.63)</f>
        <v>1339.63</v>
      </c>
      <c r="D677" s="2">
        <f>IFERROR(__xludf.DUMMYFUNCTION("""COMPUTED_VALUE"""),1321.77)</f>
        <v>1321.77</v>
      </c>
      <c r="E677" s="2">
        <f>IFERROR(__xludf.DUMMYFUNCTION("""COMPUTED_VALUE"""),1335.16)</f>
        <v>1335.16</v>
      </c>
      <c r="F677" s="2">
        <f>IFERROR(__xludf.DUMMYFUNCTION("""COMPUTED_VALUE"""),1.11816E7)</f>
        <v>11181600</v>
      </c>
      <c r="G677" s="2">
        <f t="shared" si="1"/>
        <v>17.86</v>
      </c>
    </row>
    <row r="678" ht="15.75" customHeight="1">
      <c r="A678" s="1">
        <f>IFERROR(__xludf.DUMMYFUNCTION("""COMPUTED_VALUE"""),44845.66666666667)</f>
        <v>44845.66667</v>
      </c>
      <c r="B678" s="2">
        <f>IFERROR(__xludf.DUMMYFUNCTION("""COMPUTED_VALUE"""),1335.16)</f>
        <v>1335.16</v>
      </c>
      <c r="C678" s="2">
        <f>IFERROR(__xludf.DUMMYFUNCTION("""COMPUTED_VALUE"""),1339.63)</f>
        <v>1339.63</v>
      </c>
      <c r="D678" s="2">
        <f>IFERROR(__xludf.DUMMYFUNCTION("""COMPUTED_VALUE"""),1321.77)</f>
        <v>1321.77</v>
      </c>
      <c r="E678" s="2">
        <f>IFERROR(__xludf.DUMMYFUNCTION("""COMPUTED_VALUE"""),1326.23)</f>
        <v>1326.23</v>
      </c>
      <c r="F678" s="2">
        <f>IFERROR(__xludf.DUMMYFUNCTION("""COMPUTED_VALUE"""),5128100.0)</f>
        <v>5128100</v>
      </c>
      <c r="G678" s="2">
        <f t="shared" si="1"/>
        <v>17.86</v>
      </c>
    </row>
    <row r="679" ht="15.75" customHeight="1">
      <c r="A679" s="1">
        <f>IFERROR(__xludf.DUMMYFUNCTION("""COMPUTED_VALUE"""),44846.66666666667)</f>
        <v>44846.66667</v>
      </c>
      <c r="B679" s="2">
        <f>IFERROR(__xludf.DUMMYFUNCTION("""COMPUTED_VALUE"""),1326.23)</f>
        <v>1326.23</v>
      </c>
      <c r="C679" s="2">
        <f>IFERROR(__xludf.DUMMYFUNCTION("""COMPUTED_VALUE"""),1330.7)</f>
        <v>1330.7</v>
      </c>
      <c r="D679" s="2">
        <f>IFERROR(__xludf.DUMMYFUNCTION("""COMPUTED_VALUE"""),1294.97)</f>
        <v>1294.97</v>
      </c>
      <c r="E679" s="2">
        <f>IFERROR(__xludf.DUMMYFUNCTION("""COMPUTED_VALUE"""),1308.37)</f>
        <v>1308.37</v>
      </c>
      <c r="F679" s="2">
        <f>IFERROR(__xludf.DUMMYFUNCTION("""COMPUTED_VALUE"""),9304600.0)</f>
        <v>9304600</v>
      </c>
      <c r="G679" s="2">
        <f t="shared" si="1"/>
        <v>35.73</v>
      </c>
    </row>
    <row r="680" ht="15.75" customHeight="1">
      <c r="A680" s="1">
        <f>IFERROR(__xludf.DUMMYFUNCTION("""COMPUTED_VALUE"""),44847.66666666667)</f>
        <v>44847.66667</v>
      </c>
      <c r="B680" s="2">
        <f>IFERROR(__xludf.DUMMYFUNCTION("""COMPUTED_VALUE"""),1308.37)</f>
        <v>1308.37</v>
      </c>
      <c r="C680" s="2">
        <f>IFERROR(__xludf.DUMMYFUNCTION("""COMPUTED_VALUE"""),1317.3)</f>
        <v>1317.3</v>
      </c>
      <c r="D680" s="2">
        <f>IFERROR(__xludf.DUMMYFUNCTION("""COMPUTED_VALUE"""),1303.91)</f>
        <v>1303.91</v>
      </c>
      <c r="E680" s="2">
        <f>IFERROR(__xludf.DUMMYFUNCTION("""COMPUTED_VALUE"""),1312.84)</f>
        <v>1312.84</v>
      </c>
      <c r="F680" s="2">
        <f>IFERROR(__xludf.DUMMYFUNCTION("""COMPUTED_VALUE"""),6349300.0)</f>
        <v>6349300</v>
      </c>
      <c r="G680" s="2">
        <f t="shared" si="1"/>
        <v>13.39</v>
      </c>
    </row>
    <row r="681" ht="15.75" customHeight="1">
      <c r="A681" s="1">
        <f>IFERROR(__xludf.DUMMYFUNCTION("""COMPUTED_VALUE"""),44848.66666666667)</f>
        <v>44848.66667</v>
      </c>
      <c r="B681" s="2">
        <f>IFERROR(__xludf.DUMMYFUNCTION("""COMPUTED_VALUE"""),1321.77)</f>
        <v>1321.77</v>
      </c>
      <c r="C681" s="2">
        <f>IFERROR(__xludf.DUMMYFUNCTION("""COMPUTED_VALUE"""),1335.16)</f>
        <v>1335.16</v>
      </c>
      <c r="D681" s="2">
        <f>IFERROR(__xludf.DUMMYFUNCTION("""COMPUTED_VALUE"""),1312.84)</f>
        <v>1312.84</v>
      </c>
      <c r="E681" s="2">
        <f>IFERROR(__xludf.DUMMYFUNCTION("""COMPUTED_VALUE"""),1312.84)</f>
        <v>1312.84</v>
      </c>
      <c r="F681" s="2">
        <f>IFERROR(__xludf.DUMMYFUNCTION("""COMPUTED_VALUE"""),5937900.0)</f>
        <v>5937900</v>
      </c>
      <c r="G681" s="2">
        <f t="shared" si="1"/>
        <v>22.32</v>
      </c>
    </row>
    <row r="682" ht="15.75" customHeight="1">
      <c r="A682" s="1">
        <f>IFERROR(__xludf.DUMMYFUNCTION("""COMPUTED_VALUE"""),44851.66666666667)</f>
        <v>44851.66667</v>
      </c>
      <c r="B682" s="2">
        <f>IFERROR(__xludf.DUMMYFUNCTION("""COMPUTED_VALUE"""),1312.84)</f>
        <v>1312.84</v>
      </c>
      <c r="C682" s="2">
        <f>IFERROR(__xludf.DUMMYFUNCTION("""COMPUTED_VALUE"""),1321.77)</f>
        <v>1321.77</v>
      </c>
      <c r="D682" s="2">
        <f>IFERROR(__xludf.DUMMYFUNCTION("""COMPUTED_VALUE"""),1294.97)</f>
        <v>1294.97</v>
      </c>
      <c r="E682" s="2">
        <f>IFERROR(__xludf.DUMMYFUNCTION("""COMPUTED_VALUE"""),1321.77)</f>
        <v>1321.77</v>
      </c>
      <c r="F682" s="2">
        <f>IFERROR(__xludf.DUMMYFUNCTION("""COMPUTED_VALUE"""),8675600.0)</f>
        <v>8675600</v>
      </c>
      <c r="G682" s="2">
        <f t="shared" si="1"/>
        <v>26.8</v>
      </c>
    </row>
    <row r="683" ht="15.75" customHeight="1">
      <c r="A683" s="1">
        <f>IFERROR(__xludf.DUMMYFUNCTION("""COMPUTED_VALUE"""),44852.66666666667)</f>
        <v>44852.66667</v>
      </c>
      <c r="B683" s="2">
        <f>IFERROR(__xludf.DUMMYFUNCTION("""COMPUTED_VALUE"""),1330.7)</f>
        <v>1330.7</v>
      </c>
      <c r="C683" s="2">
        <f>IFERROR(__xludf.DUMMYFUNCTION("""COMPUTED_VALUE"""),1339.63)</f>
        <v>1339.63</v>
      </c>
      <c r="D683" s="2">
        <f>IFERROR(__xludf.DUMMYFUNCTION("""COMPUTED_VALUE"""),1308.37)</f>
        <v>1308.37</v>
      </c>
      <c r="E683" s="2">
        <f>IFERROR(__xludf.DUMMYFUNCTION("""COMPUTED_VALUE"""),1317.3)</f>
        <v>1317.3</v>
      </c>
      <c r="F683" s="2">
        <f>IFERROR(__xludf.DUMMYFUNCTION("""COMPUTED_VALUE"""),8547100.0)</f>
        <v>8547100</v>
      </c>
      <c r="G683" s="2">
        <f t="shared" si="1"/>
        <v>31.26</v>
      </c>
    </row>
    <row r="684" ht="15.75" customHeight="1">
      <c r="A684" s="1">
        <f>IFERROR(__xludf.DUMMYFUNCTION("""COMPUTED_VALUE"""),44853.66666666667)</f>
        <v>44853.66667</v>
      </c>
      <c r="B684" s="2">
        <f>IFERROR(__xludf.DUMMYFUNCTION("""COMPUTED_VALUE"""),1321.77)</f>
        <v>1321.77</v>
      </c>
      <c r="C684" s="2">
        <f>IFERROR(__xludf.DUMMYFUNCTION("""COMPUTED_VALUE"""),1321.77)</f>
        <v>1321.77</v>
      </c>
      <c r="D684" s="2">
        <f>IFERROR(__xludf.DUMMYFUNCTION("""COMPUTED_VALUE"""),1299.44)</f>
        <v>1299.44</v>
      </c>
      <c r="E684" s="2">
        <f>IFERROR(__xludf.DUMMYFUNCTION("""COMPUTED_VALUE"""),1303.91)</f>
        <v>1303.91</v>
      </c>
      <c r="F684" s="2">
        <f>IFERROR(__xludf.DUMMYFUNCTION("""COMPUTED_VALUE"""),8138900.0)</f>
        <v>8138900</v>
      </c>
      <c r="G684" s="2">
        <f t="shared" si="1"/>
        <v>22.33</v>
      </c>
    </row>
    <row r="685" ht="15.75" customHeight="1">
      <c r="A685" s="1">
        <f>IFERROR(__xludf.DUMMYFUNCTION("""COMPUTED_VALUE"""),44854.66666666667)</f>
        <v>44854.66667</v>
      </c>
      <c r="B685" s="2">
        <f>IFERROR(__xludf.DUMMYFUNCTION("""COMPUTED_VALUE"""),1303.91)</f>
        <v>1303.91</v>
      </c>
      <c r="C685" s="2">
        <f>IFERROR(__xludf.DUMMYFUNCTION("""COMPUTED_VALUE"""),1370.89)</f>
        <v>1370.89</v>
      </c>
      <c r="D685" s="2">
        <f>IFERROR(__xludf.DUMMYFUNCTION("""COMPUTED_VALUE"""),1294.97)</f>
        <v>1294.97</v>
      </c>
      <c r="E685" s="2">
        <f>IFERROR(__xludf.DUMMYFUNCTION("""COMPUTED_VALUE"""),1370.89)</f>
        <v>1370.89</v>
      </c>
      <c r="F685" s="2">
        <f>IFERROR(__xludf.DUMMYFUNCTION("""COMPUTED_VALUE"""),2.8234E7)</f>
        <v>28234000</v>
      </c>
      <c r="G685" s="2">
        <f t="shared" si="1"/>
        <v>75.92</v>
      </c>
    </row>
    <row r="686" ht="15.75" customHeight="1">
      <c r="A686" s="1">
        <f>IFERROR(__xludf.DUMMYFUNCTION("""COMPUTED_VALUE"""),44855.66666666667)</f>
        <v>44855.66667</v>
      </c>
      <c r="B686" s="2">
        <f>IFERROR(__xludf.DUMMYFUNCTION("""COMPUTED_VALUE"""),1366.42)</f>
        <v>1366.42</v>
      </c>
      <c r="C686" s="2">
        <f>IFERROR(__xludf.DUMMYFUNCTION("""COMPUTED_VALUE"""),1366.42)</f>
        <v>1366.42</v>
      </c>
      <c r="D686" s="2">
        <f>IFERROR(__xludf.DUMMYFUNCTION("""COMPUTED_VALUE"""),1339.63)</f>
        <v>1339.63</v>
      </c>
      <c r="E686" s="2">
        <f>IFERROR(__xludf.DUMMYFUNCTION("""COMPUTED_VALUE"""),1339.63)</f>
        <v>1339.63</v>
      </c>
      <c r="F686" s="2">
        <f>IFERROR(__xludf.DUMMYFUNCTION("""COMPUTED_VALUE"""),9856400.0)</f>
        <v>9856400</v>
      </c>
      <c r="G686" s="2">
        <f t="shared" si="1"/>
        <v>31.26</v>
      </c>
    </row>
    <row r="687" ht="15.75" customHeight="1">
      <c r="A687" s="1">
        <f>IFERROR(__xludf.DUMMYFUNCTION("""COMPUTED_VALUE"""),44858.66666666667)</f>
        <v>44858.66667</v>
      </c>
      <c r="B687" s="2">
        <f>IFERROR(__xludf.DUMMYFUNCTION("""COMPUTED_VALUE"""),1348.56)</f>
        <v>1348.56</v>
      </c>
      <c r="C687" s="2">
        <f>IFERROR(__xludf.DUMMYFUNCTION("""COMPUTED_VALUE"""),1379.82)</f>
        <v>1379.82</v>
      </c>
      <c r="D687" s="2">
        <f>IFERROR(__xludf.DUMMYFUNCTION("""COMPUTED_VALUE"""),1348.56)</f>
        <v>1348.56</v>
      </c>
      <c r="E687" s="2">
        <f>IFERROR(__xludf.DUMMYFUNCTION("""COMPUTED_VALUE"""),1370.89)</f>
        <v>1370.89</v>
      </c>
      <c r="F687" s="2">
        <f>IFERROR(__xludf.DUMMYFUNCTION("""COMPUTED_VALUE"""),2.24769E7)</f>
        <v>22476900</v>
      </c>
      <c r="G687" s="2">
        <f t="shared" si="1"/>
        <v>40.19</v>
      </c>
    </row>
    <row r="688" ht="15.75" customHeight="1">
      <c r="A688" s="1">
        <f>IFERROR(__xludf.DUMMYFUNCTION("""COMPUTED_VALUE"""),44859.66666666667)</f>
        <v>44859.66667</v>
      </c>
      <c r="B688" s="2">
        <f>IFERROR(__xludf.DUMMYFUNCTION("""COMPUTED_VALUE"""),1379.82)</f>
        <v>1379.82</v>
      </c>
      <c r="C688" s="2">
        <f>IFERROR(__xludf.DUMMYFUNCTION("""COMPUTED_VALUE"""),1388.75)</f>
        <v>1388.75</v>
      </c>
      <c r="D688" s="2">
        <f>IFERROR(__xludf.DUMMYFUNCTION("""COMPUTED_VALUE"""),1357.49)</f>
        <v>1357.49</v>
      </c>
      <c r="E688" s="2">
        <f>IFERROR(__xludf.DUMMYFUNCTION("""COMPUTED_VALUE"""),1361.96)</f>
        <v>1361.96</v>
      </c>
      <c r="F688" s="2">
        <f>IFERROR(__xludf.DUMMYFUNCTION("""COMPUTED_VALUE"""),1.66266E7)</f>
        <v>16626600</v>
      </c>
      <c r="G688" s="2">
        <f t="shared" si="1"/>
        <v>31.26</v>
      </c>
    </row>
    <row r="689" ht="15.75" customHeight="1">
      <c r="A689" s="1">
        <f>IFERROR(__xludf.DUMMYFUNCTION("""COMPUTED_VALUE"""),44860.66666666667)</f>
        <v>44860.66667</v>
      </c>
      <c r="B689" s="2">
        <f>IFERROR(__xludf.DUMMYFUNCTION("""COMPUTED_VALUE"""),1370.89)</f>
        <v>1370.89</v>
      </c>
      <c r="C689" s="2">
        <f>IFERROR(__xludf.DUMMYFUNCTION("""COMPUTED_VALUE"""),1375.35)</f>
        <v>1375.35</v>
      </c>
      <c r="D689" s="2">
        <f>IFERROR(__xludf.DUMMYFUNCTION("""COMPUTED_VALUE"""),1353.03)</f>
        <v>1353.03</v>
      </c>
      <c r="E689" s="2">
        <f>IFERROR(__xludf.DUMMYFUNCTION("""COMPUTED_VALUE"""),1370.89)</f>
        <v>1370.89</v>
      </c>
      <c r="F689" s="2">
        <f>IFERROR(__xludf.DUMMYFUNCTION("""COMPUTED_VALUE"""),1.18799E7)</f>
        <v>11879900</v>
      </c>
      <c r="G689" s="2">
        <f t="shared" si="1"/>
        <v>22.32</v>
      </c>
    </row>
    <row r="690" ht="15.75" customHeight="1">
      <c r="A690" s="1">
        <f>IFERROR(__xludf.DUMMYFUNCTION("""COMPUTED_VALUE"""),44861.66666666667)</f>
        <v>44861.66667</v>
      </c>
      <c r="B690" s="2">
        <f>IFERROR(__xludf.DUMMYFUNCTION("""COMPUTED_VALUE"""),1384.28)</f>
        <v>1384.28</v>
      </c>
      <c r="C690" s="2">
        <f>IFERROR(__xludf.DUMMYFUNCTION("""COMPUTED_VALUE"""),1397.68)</f>
        <v>1397.68</v>
      </c>
      <c r="D690" s="2">
        <f>IFERROR(__xludf.DUMMYFUNCTION("""COMPUTED_VALUE"""),1370.89)</f>
        <v>1370.89</v>
      </c>
      <c r="E690" s="2">
        <f>IFERROR(__xludf.DUMMYFUNCTION("""COMPUTED_VALUE"""),1384.28)</f>
        <v>1384.28</v>
      </c>
      <c r="F690" s="2">
        <f>IFERROR(__xludf.DUMMYFUNCTION("""COMPUTED_VALUE"""),2.60504E7)</f>
        <v>26050400</v>
      </c>
      <c r="G690" s="2">
        <f t="shared" si="1"/>
        <v>26.79</v>
      </c>
    </row>
    <row r="691" ht="15.75" customHeight="1">
      <c r="A691" s="1">
        <f>IFERROR(__xludf.DUMMYFUNCTION("""COMPUTED_VALUE"""),44862.66666666667)</f>
        <v>44862.66667</v>
      </c>
      <c r="B691" s="2">
        <f>IFERROR(__xludf.DUMMYFUNCTION("""COMPUTED_VALUE"""),1393.21)</f>
        <v>1393.21</v>
      </c>
      <c r="C691" s="2">
        <f>IFERROR(__xludf.DUMMYFUNCTION("""COMPUTED_VALUE"""),1402.14)</f>
        <v>1402.14</v>
      </c>
      <c r="D691" s="2">
        <f>IFERROR(__xludf.DUMMYFUNCTION("""COMPUTED_VALUE"""),1370.89)</f>
        <v>1370.89</v>
      </c>
      <c r="E691" s="2">
        <f>IFERROR(__xludf.DUMMYFUNCTION("""COMPUTED_VALUE"""),1375.35)</f>
        <v>1375.35</v>
      </c>
      <c r="F691" s="2">
        <f>IFERROR(__xludf.DUMMYFUNCTION("""COMPUTED_VALUE"""),1.56346E7)</f>
        <v>15634600</v>
      </c>
      <c r="G691" s="2">
        <f t="shared" si="1"/>
        <v>31.25</v>
      </c>
    </row>
    <row r="692" ht="15.75" customHeight="1">
      <c r="A692" s="1">
        <f>IFERROR(__xludf.DUMMYFUNCTION("""COMPUTED_VALUE"""),44865.66666666667)</f>
        <v>44865.66667</v>
      </c>
      <c r="B692" s="2">
        <f>IFERROR(__xludf.DUMMYFUNCTION("""COMPUTED_VALUE"""),1384.28)</f>
        <v>1384.28</v>
      </c>
      <c r="C692" s="2">
        <f>IFERROR(__xludf.DUMMYFUNCTION("""COMPUTED_VALUE"""),1384.28)</f>
        <v>1384.28</v>
      </c>
      <c r="D692" s="2">
        <f>IFERROR(__xludf.DUMMYFUNCTION("""COMPUTED_VALUE"""),1370.89)</f>
        <v>1370.89</v>
      </c>
      <c r="E692" s="2">
        <f>IFERROR(__xludf.DUMMYFUNCTION("""COMPUTED_VALUE"""),1379.82)</f>
        <v>1379.82</v>
      </c>
      <c r="F692" s="2">
        <f>IFERROR(__xludf.DUMMYFUNCTION("""COMPUTED_VALUE"""),1.74795E7)</f>
        <v>17479500</v>
      </c>
      <c r="G692" s="2">
        <f t="shared" si="1"/>
        <v>13.39</v>
      </c>
    </row>
    <row r="693" ht="15.75" customHeight="1">
      <c r="A693" s="1">
        <f>IFERROR(__xludf.DUMMYFUNCTION("""COMPUTED_VALUE"""),44866.625)</f>
        <v>44866.625</v>
      </c>
      <c r="B693" s="2">
        <f>IFERROR(__xludf.DUMMYFUNCTION("""COMPUTED_VALUE"""),1366.42)</f>
        <v>1366.42</v>
      </c>
      <c r="C693" s="2">
        <f>IFERROR(__xludf.DUMMYFUNCTION("""COMPUTED_VALUE"""),1384.28)</f>
        <v>1384.28</v>
      </c>
      <c r="D693" s="2">
        <f>IFERROR(__xludf.DUMMYFUNCTION("""COMPUTED_VALUE"""),1366.42)</f>
        <v>1366.42</v>
      </c>
      <c r="E693" s="2">
        <f>IFERROR(__xludf.DUMMYFUNCTION("""COMPUTED_VALUE"""),1379.82)</f>
        <v>1379.82</v>
      </c>
      <c r="F693" s="2">
        <f>IFERROR(__xludf.DUMMYFUNCTION("""COMPUTED_VALUE"""),9834800.0)</f>
        <v>9834800</v>
      </c>
      <c r="G693" s="2">
        <f t="shared" si="1"/>
        <v>17.86</v>
      </c>
    </row>
    <row r="694" ht="15.75" customHeight="1">
      <c r="A694" s="1">
        <f>IFERROR(__xludf.DUMMYFUNCTION("""COMPUTED_VALUE"""),44867.625)</f>
        <v>44867.625</v>
      </c>
      <c r="B694" s="2">
        <f>IFERROR(__xludf.DUMMYFUNCTION("""COMPUTED_VALUE"""),1379.82)</f>
        <v>1379.82</v>
      </c>
      <c r="C694" s="2">
        <f>IFERROR(__xludf.DUMMYFUNCTION("""COMPUTED_VALUE"""),1379.82)</f>
        <v>1379.82</v>
      </c>
      <c r="D694" s="2">
        <f>IFERROR(__xludf.DUMMYFUNCTION("""COMPUTED_VALUE"""),1361.96)</f>
        <v>1361.96</v>
      </c>
      <c r="E694" s="2">
        <f>IFERROR(__xludf.DUMMYFUNCTION("""COMPUTED_VALUE"""),1370.89)</f>
        <v>1370.89</v>
      </c>
      <c r="F694" s="2">
        <f>IFERROR(__xludf.DUMMYFUNCTION("""COMPUTED_VALUE"""),1.31724E7)</f>
        <v>13172400</v>
      </c>
      <c r="G694" s="2">
        <f t="shared" si="1"/>
        <v>17.86</v>
      </c>
    </row>
    <row r="695" ht="15.75" customHeight="1">
      <c r="A695" s="1">
        <f>IFERROR(__xludf.DUMMYFUNCTION("""COMPUTED_VALUE"""),44868.66666666667)</f>
        <v>44868.66667</v>
      </c>
      <c r="B695" s="2">
        <f>IFERROR(__xludf.DUMMYFUNCTION("""COMPUTED_VALUE"""),1370.89)</f>
        <v>1370.89</v>
      </c>
      <c r="C695" s="2">
        <f>IFERROR(__xludf.DUMMYFUNCTION("""COMPUTED_VALUE"""),1370.89)</f>
        <v>1370.89</v>
      </c>
      <c r="D695" s="2">
        <f>IFERROR(__xludf.DUMMYFUNCTION("""COMPUTED_VALUE"""),1353.03)</f>
        <v>1353.03</v>
      </c>
      <c r="E695" s="2">
        <f>IFERROR(__xludf.DUMMYFUNCTION("""COMPUTED_VALUE"""),1361.96)</f>
        <v>1361.96</v>
      </c>
      <c r="F695" s="2">
        <f>IFERROR(__xludf.DUMMYFUNCTION("""COMPUTED_VALUE"""),6498100.0)</f>
        <v>6498100</v>
      </c>
      <c r="G695" s="2">
        <f t="shared" si="1"/>
        <v>17.86</v>
      </c>
    </row>
    <row r="696" ht="15.75" customHeight="1">
      <c r="A696" s="1">
        <f>IFERROR(__xludf.DUMMYFUNCTION("""COMPUTED_VALUE"""),44869.66666666667)</f>
        <v>44869.66667</v>
      </c>
      <c r="B696" s="2">
        <f>IFERROR(__xludf.DUMMYFUNCTION("""COMPUTED_VALUE"""),1361.96)</f>
        <v>1361.96</v>
      </c>
      <c r="C696" s="2">
        <f>IFERROR(__xludf.DUMMYFUNCTION("""COMPUTED_VALUE"""),1370.89)</f>
        <v>1370.89</v>
      </c>
      <c r="D696" s="2">
        <f>IFERROR(__xludf.DUMMYFUNCTION("""COMPUTED_VALUE"""),1348.56)</f>
        <v>1348.56</v>
      </c>
      <c r="E696" s="2">
        <f>IFERROR(__xludf.DUMMYFUNCTION("""COMPUTED_VALUE"""),1370.89)</f>
        <v>1370.89</v>
      </c>
      <c r="F696" s="2">
        <f>IFERROR(__xludf.DUMMYFUNCTION("""COMPUTED_VALUE"""),7377800.0)</f>
        <v>7377800</v>
      </c>
      <c r="G696" s="2">
        <f t="shared" si="1"/>
        <v>22.33</v>
      </c>
    </row>
    <row r="697" ht="15.75" customHeight="1">
      <c r="A697" s="1">
        <f>IFERROR(__xludf.DUMMYFUNCTION("""COMPUTED_VALUE"""),44872.66666666667)</f>
        <v>44872.66667</v>
      </c>
      <c r="B697" s="2">
        <f>IFERROR(__xludf.DUMMYFUNCTION("""COMPUTED_VALUE"""),1370.89)</f>
        <v>1370.89</v>
      </c>
      <c r="C697" s="2">
        <f>IFERROR(__xludf.DUMMYFUNCTION("""COMPUTED_VALUE"""),1375.35)</f>
        <v>1375.35</v>
      </c>
      <c r="D697" s="2">
        <f>IFERROR(__xludf.DUMMYFUNCTION("""COMPUTED_VALUE"""),1361.96)</f>
        <v>1361.96</v>
      </c>
      <c r="E697" s="2">
        <f>IFERROR(__xludf.DUMMYFUNCTION("""COMPUTED_VALUE"""),1370.89)</f>
        <v>1370.89</v>
      </c>
      <c r="F697" s="2">
        <f>IFERROR(__xludf.DUMMYFUNCTION("""COMPUTED_VALUE"""),5710700.0)</f>
        <v>5710700</v>
      </c>
      <c r="G697" s="2">
        <f t="shared" si="1"/>
        <v>13.39</v>
      </c>
    </row>
    <row r="698" ht="15.75" customHeight="1">
      <c r="A698" s="1">
        <f>IFERROR(__xludf.DUMMYFUNCTION("""COMPUTED_VALUE"""),44873.66666666667)</f>
        <v>44873.66667</v>
      </c>
      <c r="B698" s="2">
        <f>IFERROR(__xludf.DUMMYFUNCTION("""COMPUTED_VALUE"""),1375.35)</f>
        <v>1375.35</v>
      </c>
      <c r="C698" s="2">
        <f>IFERROR(__xludf.DUMMYFUNCTION("""COMPUTED_VALUE"""),1379.82)</f>
        <v>1379.82</v>
      </c>
      <c r="D698" s="2">
        <f>IFERROR(__xludf.DUMMYFUNCTION("""COMPUTED_VALUE"""),1361.96)</f>
        <v>1361.96</v>
      </c>
      <c r="E698" s="2">
        <f>IFERROR(__xludf.DUMMYFUNCTION("""COMPUTED_VALUE"""),1361.96)</f>
        <v>1361.96</v>
      </c>
      <c r="F698" s="2">
        <f>IFERROR(__xludf.DUMMYFUNCTION("""COMPUTED_VALUE"""),5986000.0)</f>
        <v>5986000</v>
      </c>
      <c r="G698" s="2">
        <f t="shared" si="1"/>
        <v>17.86</v>
      </c>
    </row>
    <row r="699" ht="15.75" customHeight="1">
      <c r="A699" s="1">
        <f>IFERROR(__xludf.DUMMYFUNCTION("""COMPUTED_VALUE"""),44874.66666666667)</f>
        <v>44874.66667</v>
      </c>
      <c r="B699" s="2">
        <f>IFERROR(__xludf.DUMMYFUNCTION("""COMPUTED_VALUE"""),1361.96)</f>
        <v>1361.96</v>
      </c>
      <c r="C699" s="2">
        <f>IFERROR(__xludf.DUMMYFUNCTION("""COMPUTED_VALUE"""),1370.89)</f>
        <v>1370.89</v>
      </c>
      <c r="D699" s="2">
        <f>IFERROR(__xludf.DUMMYFUNCTION("""COMPUTED_VALUE"""),1353.03)</f>
        <v>1353.03</v>
      </c>
      <c r="E699" s="2">
        <f>IFERROR(__xludf.DUMMYFUNCTION("""COMPUTED_VALUE"""),1361.96)</f>
        <v>1361.96</v>
      </c>
      <c r="F699" s="2">
        <f>IFERROR(__xludf.DUMMYFUNCTION("""COMPUTED_VALUE"""),5842300.0)</f>
        <v>5842300</v>
      </c>
      <c r="G699" s="2">
        <f t="shared" si="1"/>
        <v>17.86</v>
      </c>
    </row>
    <row r="700" ht="15.75" customHeight="1">
      <c r="A700" s="1">
        <f>IFERROR(__xludf.DUMMYFUNCTION("""COMPUTED_VALUE"""),44875.66666666667)</f>
        <v>44875.66667</v>
      </c>
      <c r="B700" s="2">
        <f>IFERROR(__xludf.DUMMYFUNCTION("""COMPUTED_VALUE"""),1361.96)</f>
        <v>1361.96</v>
      </c>
      <c r="C700" s="2">
        <f>IFERROR(__xludf.DUMMYFUNCTION("""COMPUTED_VALUE"""),1361.96)</f>
        <v>1361.96</v>
      </c>
      <c r="D700" s="2">
        <f>IFERROR(__xludf.DUMMYFUNCTION("""COMPUTED_VALUE"""),1348.56)</f>
        <v>1348.56</v>
      </c>
      <c r="E700" s="2">
        <f>IFERROR(__xludf.DUMMYFUNCTION("""COMPUTED_VALUE"""),1361.96)</f>
        <v>1361.96</v>
      </c>
      <c r="F700" s="2">
        <f>IFERROR(__xludf.DUMMYFUNCTION("""COMPUTED_VALUE"""),6659000.0)</f>
        <v>6659000</v>
      </c>
      <c r="G700" s="2">
        <f t="shared" si="1"/>
        <v>13.4</v>
      </c>
    </row>
    <row r="701" ht="15.75" customHeight="1">
      <c r="A701" s="1">
        <f>IFERROR(__xludf.DUMMYFUNCTION("""COMPUTED_VALUE"""),44876.66666666667)</f>
        <v>44876.66667</v>
      </c>
      <c r="B701" s="2">
        <f>IFERROR(__xludf.DUMMYFUNCTION("""COMPUTED_VALUE"""),1370.89)</f>
        <v>1370.89</v>
      </c>
      <c r="C701" s="2">
        <f>IFERROR(__xludf.DUMMYFUNCTION("""COMPUTED_VALUE"""),1375.35)</f>
        <v>1375.35</v>
      </c>
      <c r="D701" s="2">
        <f>IFERROR(__xludf.DUMMYFUNCTION("""COMPUTED_VALUE"""),1361.96)</f>
        <v>1361.96</v>
      </c>
      <c r="E701" s="2">
        <f>IFERROR(__xludf.DUMMYFUNCTION("""COMPUTED_VALUE"""),1370.89)</f>
        <v>1370.89</v>
      </c>
      <c r="F701" s="2">
        <f>IFERROR(__xludf.DUMMYFUNCTION("""COMPUTED_VALUE"""),1.18846E7)</f>
        <v>11884600</v>
      </c>
      <c r="G701" s="2">
        <f t="shared" si="1"/>
        <v>13.39</v>
      </c>
    </row>
    <row r="702" ht="15.75" customHeight="1">
      <c r="A702" s="1">
        <f>IFERROR(__xludf.DUMMYFUNCTION("""COMPUTED_VALUE"""),44879.66666666667)</f>
        <v>44879.66667</v>
      </c>
      <c r="B702" s="2">
        <f>IFERROR(__xludf.DUMMYFUNCTION("""COMPUTED_VALUE"""),1379.82)</f>
        <v>1379.82</v>
      </c>
      <c r="C702" s="2">
        <f>IFERROR(__xludf.DUMMYFUNCTION("""COMPUTED_VALUE"""),1384.28)</f>
        <v>1384.28</v>
      </c>
      <c r="D702" s="2">
        <f>IFERROR(__xludf.DUMMYFUNCTION("""COMPUTED_VALUE"""),1361.96)</f>
        <v>1361.96</v>
      </c>
      <c r="E702" s="2">
        <f>IFERROR(__xludf.DUMMYFUNCTION("""COMPUTED_VALUE"""),1370.89)</f>
        <v>1370.89</v>
      </c>
      <c r="F702" s="2">
        <f>IFERROR(__xludf.DUMMYFUNCTION("""COMPUTED_VALUE"""),7990700.0)</f>
        <v>7990700</v>
      </c>
      <c r="G702" s="2">
        <f t="shared" si="1"/>
        <v>22.32</v>
      </c>
    </row>
    <row r="703" ht="15.75" customHeight="1">
      <c r="A703" s="1">
        <f>IFERROR(__xludf.DUMMYFUNCTION("""COMPUTED_VALUE"""),44880.66666666667)</f>
        <v>44880.66667</v>
      </c>
      <c r="B703" s="2">
        <f>IFERROR(__xludf.DUMMYFUNCTION("""COMPUTED_VALUE"""),1370.89)</f>
        <v>1370.89</v>
      </c>
      <c r="C703" s="2">
        <f>IFERROR(__xludf.DUMMYFUNCTION("""COMPUTED_VALUE"""),1370.89)</f>
        <v>1370.89</v>
      </c>
      <c r="D703" s="2">
        <f>IFERROR(__xludf.DUMMYFUNCTION("""COMPUTED_VALUE"""),1361.96)</f>
        <v>1361.96</v>
      </c>
      <c r="E703" s="2">
        <f>IFERROR(__xludf.DUMMYFUNCTION("""COMPUTED_VALUE"""),1361.96)</f>
        <v>1361.96</v>
      </c>
      <c r="F703" s="2">
        <f>IFERROR(__xludf.DUMMYFUNCTION("""COMPUTED_VALUE"""),3947200.0)</f>
        <v>3947200</v>
      </c>
      <c r="G703" s="2">
        <f t="shared" si="1"/>
        <v>8.93</v>
      </c>
    </row>
    <row r="704" ht="15.75" customHeight="1">
      <c r="A704" s="1">
        <f>IFERROR(__xludf.DUMMYFUNCTION("""COMPUTED_VALUE"""),44881.66666666667)</f>
        <v>44881.66667</v>
      </c>
      <c r="B704" s="2">
        <f>IFERROR(__xludf.DUMMYFUNCTION("""COMPUTED_VALUE"""),1361.96)</f>
        <v>1361.96</v>
      </c>
      <c r="C704" s="2">
        <f>IFERROR(__xludf.DUMMYFUNCTION("""COMPUTED_VALUE"""),1370.89)</f>
        <v>1370.89</v>
      </c>
      <c r="D704" s="2">
        <f>IFERROR(__xludf.DUMMYFUNCTION("""COMPUTED_VALUE"""),1344.09)</f>
        <v>1344.09</v>
      </c>
      <c r="E704" s="2">
        <f>IFERROR(__xludf.DUMMYFUNCTION("""COMPUTED_VALUE"""),1353.03)</f>
        <v>1353.03</v>
      </c>
      <c r="F704" s="2">
        <f>IFERROR(__xludf.DUMMYFUNCTION("""COMPUTED_VALUE"""),7100700.0)</f>
        <v>7100700</v>
      </c>
      <c r="G704" s="2">
        <f t="shared" si="1"/>
        <v>26.8</v>
      </c>
    </row>
    <row r="705" ht="15.75" customHeight="1">
      <c r="A705" s="1">
        <f>IFERROR(__xludf.DUMMYFUNCTION("""COMPUTED_VALUE"""),44882.66666666667)</f>
        <v>44882.66667</v>
      </c>
      <c r="B705" s="2">
        <f>IFERROR(__xludf.DUMMYFUNCTION("""COMPUTED_VALUE"""),1353.03)</f>
        <v>1353.03</v>
      </c>
      <c r="C705" s="2">
        <f>IFERROR(__xludf.DUMMYFUNCTION("""COMPUTED_VALUE"""),1357.49)</f>
        <v>1357.49</v>
      </c>
      <c r="D705" s="2">
        <f>IFERROR(__xludf.DUMMYFUNCTION("""COMPUTED_VALUE"""),1330.7)</f>
        <v>1330.7</v>
      </c>
      <c r="E705" s="2">
        <f>IFERROR(__xludf.DUMMYFUNCTION("""COMPUTED_VALUE"""),1348.56)</f>
        <v>1348.56</v>
      </c>
      <c r="F705" s="2">
        <f>IFERROR(__xludf.DUMMYFUNCTION("""COMPUTED_VALUE"""),7072600.0)</f>
        <v>7072600</v>
      </c>
      <c r="G705" s="2">
        <f t="shared" si="1"/>
        <v>26.79</v>
      </c>
    </row>
    <row r="706" ht="15.75" customHeight="1">
      <c r="A706" s="1">
        <f>IFERROR(__xludf.DUMMYFUNCTION("""COMPUTED_VALUE"""),44883.66666666667)</f>
        <v>44883.66667</v>
      </c>
      <c r="B706" s="2">
        <f>IFERROR(__xludf.DUMMYFUNCTION("""COMPUTED_VALUE"""),1348.56)</f>
        <v>1348.56</v>
      </c>
      <c r="C706" s="2">
        <f>IFERROR(__xludf.DUMMYFUNCTION("""COMPUTED_VALUE"""),1361.96)</f>
        <v>1361.96</v>
      </c>
      <c r="D706" s="2">
        <f>IFERROR(__xludf.DUMMYFUNCTION("""COMPUTED_VALUE"""),1348.56)</f>
        <v>1348.56</v>
      </c>
      <c r="E706" s="2">
        <f>IFERROR(__xludf.DUMMYFUNCTION("""COMPUTED_VALUE"""),1353.03)</f>
        <v>1353.03</v>
      </c>
      <c r="F706" s="2">
        <f>IFERROR(__xludf.DUMMYFUNCTION("""COMPUTED_VALUE"""),3908300.0)</f>
        <v>3908300</v>
      </c>
      <c r="G706" s="2">
        <f t="shared" si="1"/>
        <v>13.4</v>
      </c>
    </row>
    <row r="707" ht="15.75" customHeight="1">
      <c r="A707" s="1">
        <f>IFERROR(__xludf.DUMMYFUNCTION("""COMPUTED_VALUE"""),44886.66666666667)</f>
        <v>44886.66667</v>
      </c>
      <c r="B707" s="2">
        <f>IFERROR(__xludf.DUMMYFUNCTION("""COMPUTED_VALUE"""),1353.03)</f>
        <v>1353.03</v>
      </c>
      <c r="C707" s="2">
        <f>IFERROR(__xludf.DUMMYFUNCTION("""COMPUTED_VALUE"""),1366.42)</f>
        <v>1366.42</v>
      </c>
      <c r="D707" s="2">
        <f>IFERROR(__xludf.DUMMYFUNCTION("""COMPUTED_VALUE"""),1348.56)</f>
        <v>1348.56</v>
      </c>
      <c r="E707" s="2">
        <f>IFERROR(__xludf.DUMMYFUNCTION("""COMPUTED_VALUE"""),1348.56)</f>
        <v>1348.56</v>
      </c>
      <c r="F707" s="2">
        <f>IFERROR(__xludf.DUMMYFUNCTION("""COMPUTED_VALUE"""),5651900.0)</f>
        <v>5651900</v>
      </c>
      <c r="G707" s="2">
        <f t="shared" si="1"/>
        <v>17.86</v>
      </c>
    </row>
    <row r="708" ht="15.75" customHeight="1">
      <c r="A708" s="1">
        <f>IFERROR(__xludf.DUMMYFUNCTION("""COMPUTED_VALUE"""),44887.66666666667)</f>
        <v>44887.66667</v>
      </c>
      <c r="B708" s="2">
        <f>IFERROR(__xludf.DUMMYFUNCTION("""COMPUTED_VALUE"""),1348.56)</f>
        <v>1348.56</v>
      </c>
      <c r="C708" s="2">
        <f>IFERROR(__xludf.DUMMYFUNCTION("""COMPUTED_VALUE"""),1361.96)</f>
        <v>1361.96</v>
      </c>
      <c r="D708" s="2">
        <f>IFERROR(__xludf.DUMMYFUNCTION("""COMPUTED_VALUE"""),1348.56)</f>
        <v>1348.56</v>
      </c>
      <c r="E708" s="2">
        <f>IFERROR(__xludf.DUMMYFUNCTION("""COMPUTED_VALUE"""),1357.49)</f>
        <v>1357.49</v>
      </c>
      <c r="F708" s="2">
        <f>IFERROR(__xludf.DUMMYFUNCTION("""COMPUTED_VALUE"""),4697700.0)</f>
        <v>4697700</v>
      </c>
      <c r="G708" s="2">
        <f t="shared" si="1"/>
        <v>13.4</v>
      </c>
    </row>
    <row r="709" ht="15.75" customHeight="1">
      <c r="A709" s="1">
        <f>IFERROR(__xludf.DUMMYFUNCTION("""COMPUTED_VALUE"""),44888.66666666667)</f>
        <v>44888.66667</v>
      </c>
      <c r="B709" s="2">
        <f>IFERROR(__xludf.DUMMYFUNCTION("""COMPUTED_VALUE"""),1361.96)</f>
        <v>1361.96</v>
      </c>
      <c r="C709" s="2">
        <f>IFERROR(__xludf.DUMMYFUNCTION("""COMPUTED_VALUE"""),1361.96)</f>
        <v>1361.96</v>
      </c>
      <c r="D709" s="2">
        <f>IFERROR(__xludf.DUMMYFUNCTION("""COMPUTED_VALUE"""),1348.56)</f>
        <v>1348.56</v>
      </c>
      <c r="E709" s="2">
        <f>IFERROR(__xludf.DUMMYFUNCTION("""COMPUTED_VALUE"""),1348.56)</f>
        <v>1348.56</v>
      </c>
      <c r="F709" s="2">
        <f>IFERROR(__xludf.DUMMYFUNCTION("""COMPUTED_VALUE"""),4362400.0)</f>
        <v>4362400</v>
      </c>
      <c r="G709" s="2">
        <f t="shared" si="1"/>
        <v>13.4</v>
      </c>
    </row>
    <row r="710" ht="15.75" customHeight="1">
      <c r="A710" s="1">
        <f>IFERROR(__xludf.DUMMYFUNCTION("""COMPUTED_VALUE"""),44889.66666666667)</f>
        <v>44889.66667</v>
      </c>
      <c r="B710" s="2">
        <f>IFERROR(__xludf.DUMMYFUNCTION("""COMPUTED_VALUE"""),1353.03)</f>
        <v>1353.03</v>
      </c>
      <c r="C710" s="2">
        <f>IFERROR(__xludf.DUMMYFUNCTION("""COMPUTED_VALUE"""),1370.89)</f>
        <v>1370.89</v>
      </c>
      <c r="D710" s="2">
        <f>IFERROR(__xludf.DUMMYFUNCTION("""COMPUTED_VALUE"""),1353.03)</f>
        <v>1353.03</v>
      </c>
      <c r="E710" s="2">
        <f>IFERROR(__xludf.DUMMYFUNCTION("""COMPUTED_VALUE"""),1357.49)</f>
        <v>1357.49</v>
      </c>
      <c r="F710" s="2">
        <f>IFERROR(__xludf.DUMMYFUNCTION("""COMPUTED_VALUE"""),4039200.0)</f>
        <v>4039200</v>
      </c>
      <c r="G710" s="2">
        <f t="shared" si="1"/>
        <v>22.33</v>
      </c>
    </row>
    <row r="711" ht="15.75" customHeight="1">
      <c r="A711" s="1">
        <f>IFERROR(__xludf.DUMMYFUNCTION("""COMPUTED_VALUE"""),44890.66666666667)</f>
        <v>44890.66667</v>
      </c>
      <c r="B711" s="2">
        <f>IFERROR(__xludf.DUMMYFUNCTION("""COMPUTED_VALUE"""),1357.49)</f>
        <v>1357.49</v>
      </c>
      <c r="C711" s="2">
        <f>IFERROR(__xludf.DUMMYFUNCTION("""COMPUTED_VALUE"""),1361.96)</f>
        <v>1361.96</v>
      </c>
      <c r="D711" s="2">
        <f>IFERROR(__xludf.DUMMYFUNCTION("""COMPUTED_VALUE"""),1344.09)</f>
        <v>1344.09</v>
      </c>
      <c r="E711" s="2">
        <f>IFERROR(__xludf.DUMMYFUNCTION("""COMPUTED_VALUE"""),1361.96)</f>
        <v>1361.96</v>
      </c>
      <c r="F711" s="2">
        <f>IFERROR(__xludf.DUMMYFUNCTION("""COMPUTED_VALUE"""),8033500.0)</f>
        <v>8033500</v>
      </c>
      <c r="G711" s="2">
        <f t="shared" si="1"/>
        <v>17.87</v>
      </c>
    </row>
    <row r="712" ht="15.75" customHeight="1">
      <c r="A712" s="1">
        <f>IFERROR(__xludf.DUMMYFUNCTION("""COMPUTED_VALUE"""),44893.66666666667)</f>
        <v>44893.66667</v>
      </c>
      <c r="B712" s="2">
        <f>IFERROR(__xludf.DUMMYFUNCTION("""COMPUTED_VALUE"""),1353.03)</f>
        <v>1353.03</v>
      </c>
      <c r="C712" s="2">
        <f>IFERROR(__xludf.DUMMYFUNCTION("""COMPUTED_VALUE"""),1370.89)</f>
        <v>1370.89</v>
      </c>
      <c r="D712" s="2">
        <f>IFERROR(__xludf.DUMMYFUNCTION("""COMPUTED_VALUE"""),1348.56)</f>
        <v>1348.56</v>
      </c>
      <c r="E712" s="2">
        <f>IFERROR(__xludf.DUMMYFUNCTION("""COMPUTED_VALUE"""),1366.42)</f>
        <v>1366.42</v>
      </c>
      <c r="F712" s="2">
        <f>IFERROR(__xludf.DUMMYFUNCTION("""COMPUTED_VALUE"""),8092000.0)</f>
        <v>8092000</v>
      </c>
      <c r="G712" s="2">
        <f t="shared" si="1"/>
        <v>22.33</v>
      </c>
    </row>
    <row r="713" ht="15.75" customHeight="1">
      <c r="A713" s="1">
        <f>IFERROR(__xludf.DUMMYFUNCTION("""COMPUTED_VALUE"""),44894.66666666667)</f>
        <v>44894.66667</v>
      </c>
      <c r="B713" s="2">
        <f>IFERROR(__xludf.DUMMYFUNCTION("""COMPUTED_VALUE"""),1370.89)</f>
        <v>1370.89</v>
      </c>
      <c r="C713" s="2">
        <f>IFERROR(__xludf.DUMMYFUNCTION("""COMPUTED_VALUE"""),1375.35)</f>
        <v>1375.35</v>
      </c>
      <c r="D713" s="2">
        <f>IFERROR(__xludf.DUMMYFUNCTION("""COMPUTED_VALUE"""),1361.96)</f>
        <v>1361.96</v>
      </c>
      <c r="E713" s="2">
        <f>IFERROR(__xludf.DUMMYFUNCTION("""COMPUTED_VALUE"""),1361.96)</f>
        <v>1361.96</v>
      </c>
      <c r="F713" s="2">
        <f>IFERROR(__xludf.DUMMYFUNCTION("""COMPUTED_VALUE"""),8994000.0)</f>
        <v>8994000</v>
      </c>
      <c r="G713" s="2">
        <f t="shared" si="1"/>
        <v>13.39</v>
      </c>
    </row>
    <row r="714" ht="15.75" customHeight="1">
      <c r="A714" s="1">
        <f>IFERROR(__xludf.DUMMYFUNCTION("""COMPUTED_VALUE"""),44895.66666666667)</f>
        <v>44895.66667</v>
      </c>
      <c r="B714" s="2">
        <f>IFERROR(__xludf.DUMMYFUNCTION("""COMPUTED_VALUE"""),1361.96)</f>
        <v>1361.96</v>
      </c>
      <c r="C714" s="2">
        <f>IFERROR(__xludf.DUMMYFUNCTION("""COMPUTED_VALUE"""),1384.28)</f>
        <v>1384.28</v>
      </c>
      <c r="D714" s="2">
        <f>IFERROR(__xludf.DUMMYFUNCTION("""COMPUTED_VALUE"""),1361.96)</f>
        <v>1361.96</v>
      </c>
      <c r="E714" s="2">
        <f>IFERROR(__xludf.DUMMYFUNCTION("""COMPUTED_VALUE"""),1370.89)</f>
        <v>1370.89</v>
      </c>
      <c r="F714" s="2">
        <f>IFERROR(__xludf.DUMMYFUNCTION("""COMPUTED_VALUE"""),4.03625E7)</f>
        <v>40362500</v>
      </c>
      <c r="G714" s="2">
        <f t="shared" si="1"/>
        <v>22.32</v>
      </c>
    </row>
    <row r="715" ht="15.75" customHeight="1">
      <c r="A715" s="1">
        <f>IFERROR(__xludf.DUMMYFUNCTION("""COMPUTED_VALUE"""),44896.66666666667)</f>
        <v>44896.66667</v>
      </c>
      <c r="B715" s="2">
        <f>IFERROR(__xludf.DUMMYFUNCTION("""COMPUTED_VALUE"""),1379.82)</f>
        <v>1379.82</v>
      </c>
      <c r="C715" s="2">
        <f>IFERROR(__xludf.DUMMYFUNCTION("""COMPUTED_VALUE"""),1397.68)</f>
        <v>1397.68</v>
      </c>
      <c r="D715" s="2">
        <f>IFERROR(__xludf.DUMMYFUNCTION("""COMPUTED_VALUE"""),1375.35)</f>
        <v>1375.35</v>
      </c>
      <c r="E715" s="2">
        <f>IFERROR(__xludf.DUMMYFUNCTION("""COMPUTED_VALUE"""),1375.35)</f>
        <v>1375.35</v>
      </c>
      <c r="F715" s="2">
        <f>IFERROR(__xludf.DUMMYFUNCTION("""COMPUTED_VALUE"""),2.49624E7)</f>
        <v>24962400</v>
      </c>
      <c r="G715" s="2">
        <f t="shared" si="1"/>
        <v>26.79</v>
      </c>
    </row>
    <row r="716" ht="15.75" customHeight="1">
      <c r="A716" s="1">
        <f>IFERROR(__xludf.DUMMYFUNCTION("""COMPUTED_VALUE"""),44897.66666666667)</f>
        <v>44897.66667</v>
      </c>
      <c r="B716" s="2">
        <f>IFERROR(__xludf.DUMMYFUNCTION("""COMPUTED_VALUE"""),1375.35)</f>
        <v>1375.35</v>
      </c>
      <c r="C716" s="2">
        <f>IFERROR(__xludf.DUMMYFUNCTION("""COMPUTED_VALUE"""),1379.82)</f>
        <v>1379.82</v>
      </c>
      <c r="D716" s="2">
        <f>IFERROR(__xludf.DUMMYFUNCTION("""COMPUTED_VALUE"""),1353.03)</f>
        <v>1353.03</v>
      </c>
      <c r="E716" s="2">
        <f>IFERROR(__xludf.DUMMYFUNCTION("""COMPUTED_VALUE"""),1353.03)</f>
        <v>1353.03</v>
      </c>
      <c r="F716" s="2">
        <f>IFERROR(__xludf.DUMMYFUNCTION("""COMPUTED_VALUE"""),1.44038E7)</f>
        <v>14403800</v>
      </c>
      <c r="G716" s="2">
        <f t="shared" si="1"/>
        <v>26.79</v>
      </c>
    </row>
    <row r="717" ht="15.75" customHeight="1">
      <c r="A717" s="1">
        <f>IFERROR(__xludf.DUMMYFUNCTION("""COMPUTED_VALUE"""),44900.66666666667)</f>
        <v>44900.66667</v>
      </c>
      <c r="B717" s="2">
        <f>IFERROR(__xludf.DUMMYFUNCTION("""COMPUTED_VALUE"""),1348.56)</f>
        <v>1348.56</v>
      </c>
      <c r="C717" s="2">
        <f>IFERROR(__xludf.DUMMYFUNCTION("""COMPUTED_VALUE"""),1375.35)</f>
        <v>1375.35</v>
      </c>
      <c r="D717" s="2">
        <f>IFERROR(__xludf.DUMMYFUNCTION("""COMPUTED_VALUE"""),1299.44)</f>
        <v>1299.44</v>
      </c>
      <c r="E717" s="2">
        <f>IFERROR(__xludf.DUMMYFUNCTION("""COMPUTED_VALUE"""),1299.44)</f>
        <v>1299.44</v>
      </c>
      <c r="F717" s="2">
        <f>IFERROR(__xludf.DUMMYFUNCTION("""COMPUTED_VALUE"""),3.24178E7)</f>
        <v>32417800</v>
      </c>
      <c r="G717" s="2">
        <f t="shared" si="1"/>
        <v>75.91</v>
      </c>
    </row>
    <row r="718" ht="15.75" customHeight="1">
      <c r="A718" s="1">
        <f>IFERROR(__xludf.DUMMYFUNCTION("""COMPUTED_VALUE"""),44901.66666666667)</f>
        <v>44901.66667</v>
      </c>
      <c r="B718" s="2">
        <f>IFERROR(__xludf.DUMMYFUNCTION("""COMPUTED_VALUE"""),1299.44)</f>
        <v>1299.44</v>
      </c>
      <c r="C718" s="2">
        <f>IFERROR(__xludf.DUMMYFUNCTION("""COMPUTED_VALUE"""),1317.3)</f>
        <v>1317.3</v>
      </c>
      <c r="D718" s="2">
        <f>IFERROR(__xludf.DUMMYFUNCTION("""COMPUTED_VALUE"""),1259.25)</f>
        <v>1259.25</v>
      </c>
      <c r="E718" s="2">
        <f>IFERROR(__xludf.DUMMYFUNCTION("""COMPUTED_VALUE"""),1263.72)</f>
        <v>1263.72</v>
      </c>
      <c r="F718" s="2">
        <f>IFERROR(__xludf.DUMMYFUNCTION("""COMPUTED_VALUE"""),3.30391E7)</f>
        <v>33039100</v>
      </c>
      <c r="G718" s="2">
        <f t="shared" si="1"/>
        <v>58.05</v>
      </c>
    </row>
    <row r="719" ht="15.75" customHeight="1">
      <c r="A719" s="1">
        <f>IFERROR(__xludf.DUMMYFUNCTION("""COMPUTED_VALUE"""),44902.66666666667)</f>
        <v>44902.66667</v>
      </c>
      <c r="B719" s="2">
        <f>IFERROR(__xludf.DUMMYFUNCTION("""COMPUTED_VALUE"""),1263.72)</f>
        <v>1263.72</v>
      </c>
      <c r="C719" s="2">
        <f>IFERROR(__xludf.DUMMYFUNCTION("""COMPUTED_VALUE"""),1272.65)</f>
        <v>1272.65</v>
      </c>
      <c r="D719" s="2">
        <f>IFERROR(__xludf.DUMMYFUNCTION("""COMPUTED_VALUE"""),1245.85)</f>
        <v>1245.85</v>
      </c>
      <c r="E719" s="2">
        <f>IFERROR(__xludf.DUMMYFUNCTION("""COMPUTED_VALUE"""),1245.85)</f>
        <v>1245.85</v>
      </c>
      <c r="F719" s="2">
        <f>IFERROR(__xludf.DUMMYFUNCTION("""COMPUTED_VALUE"""),1.12112E7)</f>
        <v>11211200</v>
      </c>
      <c r="G719" s="2">
        <f t="shared" si="1"/>
        <v>26.8</v>
      </c>
    </row>
    <row r="720" ht="15.75" customHeight="1">
      <c r="A720" s="1">
        <f>IFERROR(__xludf.DUMMYFUNCTION("""COMPUTED_VALUE"""),44903.66666666667)</f>
        <v>44903.66667</v>
      </c>
      <c r="B720" s="2">
        <f>IFERROR(__xludf.DUMMYFUNCTION("""COMPUTED_VALUE"""),1245.85)</f>
        <v>1245.85</v>
      </c>
      <c r="C720" s="2">
        <f>IFERROR(__xludf.DUMMYFUNCTION("""COMPUTED_VALUE"""),1268.18)</f>
        <v>1268.18</v>
      </c>
      <c r="D720" s="2">
        <f>IFERROR(__xludf.DUMMYFUNCTION("""COMPUTED_VALUE"""),1232.46)</f>
        <v>1232.46</v>
      </c>
      <c r="E720" s="2">
        <f>IFERROR(__xludf.DUMMYFUNCTION("""COMPUTED_VALUE"""),1250.32)</f>
        <v>1250.32</v>
      </c>
      <c r="F720" s="2">
        <f>IFERROR(__xludf.DUMMYFUNCTION("""COMPUTED_VALUE"""),1.78016E7)</f>
        <v>17801600</v>
      </c>
      <c r="G720" s="2">
        <f t="shared" si="1"/>
        <v>35.72</v>
      </c>
    </row>
    <row r="721" ht="15.75" customHeight="1">
      <c r="A721" s="1">
        <f>IFERROR(__xludf.DUMMYFUNCTION("""COMPUTED_VALUE"""),44904.66666666667)</f>
        <v>44904.66667</v>
      </c>
      <c r="B721" s="2">
        <f>IFERROR(__xludf.DUMMYFUNCTION("""COMPUTED_VALUE"""),1250.32)</f>
        <v>1250.32</v>
      </c>
      <c r="C721" s="2">
        <f>IFERROR(__xludf.DUMMYFUNCTION("""COMPUTED_VALUE"""),1259.25)</f>
        <v>1259.25</v>
      </c>
      <c r="D721" s="2">
        <f>IFERROR(__xludf.DUMMYFUNCTION("""COMPUTED_VALUE"""),1201.2)</f>
        <v>1201.2</v>
      </c>
      <c r="E721" s="2">
        <f>IFERROR(__xludf.DUMMYFUNCTION("""COMPUTED_VALUE"""),1214.6)</f>
        <v>1214.6</v>
      </c>
      <c r="F721" s="2">
        <f>IFERROR(__xludf.DUMMYFUNCTION("""COMPUTED_VALUE"""),2.53877E7)</f>
        <v>25387700</v>
      </c>
      <c r="G721" s="2">
        <f t="shared" si="1"/>
        <v>58.05</v>
      </c>
    </row>
    <row r="722" ht="15.75" customHeight="1">
      <c r="A722" s="1">
        <f>IFERROR(__xludf.DUMMYFUNCTION("""COMPUTED_VALUE"""),44907.66666666667)</f>
        <v>44907.66667</v>
      </c>
      <c r="B722" s="2">
        <f>IFERROR(__xludf.DUMMYFUNCTION("""COMPUTED_VALUE"""),1214.6)</f>
        <v>1214.6</v>
      </c>
      <c r="C722" s="2">
        <f>IFERROR(__xludf.DUMMYFUNCTION("""COMPUTED_VALUE"""),1241.39)</f>
        <v>1241.39</v>
      </c>
      <c r="D722" s="2">
        <f>IFERROR(__xludf.DUMMYFUNCTION("""COMPUTED_VALUE"""),1205.67)</f>
        <v>1205.67</v>
      </c>
      <c r="E722" s="2">
        <f>IFERROR(__xludf.DUMMYFUNCTION("""COMPUTED_VALUE"""),1236.92)</f>
        <v>1236.92</v>
      </c>
      <c r="F722" s="2">
        <f>IFERROR(__xludf.DUMMYFUNCTION("""COMPUTED_VALUE"""),1.2481E7)</f>
        <v>12481000</v>
      </c>
      <c r="G722" s="2">
        <f t="shared" si="1"/>
        <v>35.72</v>
      </c>
    </row>
    <row r="723" ht="15.75" customHeight="1">
      <c r="A723" s="1">
        <f>IFERROR(__xludf.DUMMYFUNCTION("""COMPUTED_VALUE"""),44908.66666666667)</f>
        <v>44908.66667</v>
      </c>
      <c r="B723" s="2">
        <f>IFERROR(__xludf.DUMMYFUNCTION("""COMPUTED_VALUE"""),1236.92)</f>
        <v>1236.92</v>
      </c>
      <c r="C723" s="2">
        <f>IFERROR(__xludf.DUMMYFUNCTION("""COMPUTED_VALUE"""),1254.79)</f>
        <v>1254.79</v>
      </c>
      <c r="D723" s="2">
        <f>IFERROR(__xludf.DUMMYFUNCTION("""COMPUTED_VALUE"""),1236.92)</f>
        <v>1236.92</v>
      </c>
      <c r="E723" s="2">
        <f>IFERROR(__xludf.DUMMYFUNCTION("""COMPUTED_VALUE"""),1250.32)</f>
        <v>1250.32</v>
      </c>
      <c r="F723" s="2">
        <f>IFERROR(__xludf.DUMMYFUNCTION("""COMPUTED_VALUE"""),1.62313E7)</f>
        <v>16231300</v>
      </c>
      <c r="G723" s="2">
        <f t="shared" si="1"/>
        <v>17.87</v>
      </c>
    </row>
    <row r="724" ht="15.75" customHeight="1">
      <c r="A724" s="1">
        <f>IFERROR(__xludf.DUMMYFUNCTION("""COMPUTED_VALUE"""),44909.66666666667)</f>
        <v>44909.66667</v>
      </c>
      <c r="B724" s="2">
        <f>IFERROR(__xludf.DUMMYFUNCTION("""COMPUTED_VALUE"""),1250.32)</f>
        <v>1250.32</v>
      </c>
      <c r="C724" s="2">
        <f>IFERROR(__xludf.DUMMYFUNCTION("""COMPUTED_VALUE"""),1259.25)</f>
        <v>1259.25</v>
      </c>
      <c r="D724" s="2">
        <f>IFERROR(__xludf.DUMMYFUNCTION("""COMPUTED_VALUE"""),1236.92)</f>
        <v>1236.92</v>
      </c>
      <c r="E724" s="2">
        <f>IFERROR(__xludf.DUMMYFUNCTION("""COMPUTED_VALUE"""),1245.85)</f>
        <v>1245.85</v>
      </c>
      <c r="F724" s="2">
        <f>IFERROR(__xludf.DUMMYFUNCTION("""COMPUTED_VALUE"""),8349300.0)</f>
        <v>8349300</v>
      </c>
      <c r="G724" s="2">
        <f t="shared" si="1"/>
        <v>22.33</v>
      </c>
    </row>
    <row r="725" ht="15.75" customHeight="1">
      <c r="A725" s="1">
        <f>IFERROR(__xludf.DUMMYFUNCTION("""COMPUTED_VALUE"""),44910.66666666667)</f>
        <v>44910.66667</v>
      </c>
      <c r="B725" s="2">
        <f>IFERROR(__xludf.DUMMYFUNCTION("""COMPUTED_VALUE"""),1245.85)</f>
        <v>1245.85</v>
      </c>
      <c r="C725" s="2">
        <f>IFERROR(__xludf.DUMMYFUNCTION("""COMPUTED_VALUE"""),1254.79)</f>
        <v>1254.79</v>
      </c>
      <c r="D725" s="2">
        <f>IFERROR(__xludf.DUMMYFUNCTION("""COMPUTED_VALUE"""),1232.46)</f>
        <v>1232.46</v>
      </c>
      <c r="E725" s="2">
        <f>IFERROR(__xludf.DUMMYFUNCTION("""COMPUTED_VALUE"""),1241.39)</f>
        <v>1241.39</v>
      </c>
      <c r="F725" s="2">
        <f>IFERROR(__xludf.DUMMYFUNCTION("""COMPUTED_VALUE"""),1.18326E7)</f>
        <v>11832600</v>
      </c>
      <c r="G725" s="2">
        <f t="shared" si="1"/>
        <v>22.33</v>
      </c>
    </row>
    <row r="726" ht="15.75" customHeight="1">
      <c r="A726" s="1">
        <f>IFERROR(__xludf.DUMMYFUNCTION("""COMPUTED_VALUE"""),44911.66666666667)</f>
        <v>44911.66667</v>
      </c>
      <c r="B726" s="2">
        <f>IFERROR(__xludf.DUMMYFUNCTION("""COMPUTED_VALUE"""),1232.46)</f>
        <v>1232.46</v>
      </c>
      <c r="C726" s="2">
        <f>IFERROR(__xludf.DUMMYFUNCTION("""COMPUTED_VALUE"""),1232.46)</f>
        <v>1232.46</v>
      </c>
      <c r="D726" s="2">
        <f>IFERROR(__xludf.DUMMYFUNCTION("""COMPUTED_VALUE"""),1210.13)</f>
        <v>1210.13</v>
      </c>
      <c r="E726" s="2">
        <f>IFERROR(__xludf.DUMMYFUNCTION("""COMPUTED_VALUE"""),1219.06)</f>
        <v>1219.06</v>
      </c>
      <c r="F726" s="2">
        <f>IFERROR(__xludf.DUMMYFUNCTION("""COMPUTED_VALUE"""),1.71549E7)</f>
        <v>17154900</v>
      </c>
      <c r="G726" s="2">
        <f t="shared" si="1"/>
        <v>31.26</v>
      </c>
    </row>
    <row r="727" ht="15.75" customHeight="1">
      <c r="A727" s="1">
        <f>IFERROR(__xludf.DUMMYFUNCTION("""COMPUTED_VALUE"""),44914.66666666667)</f>
        <v>44914.66667</v>
      </c>
      <c r="B727" s="2">
        <f>IFERROR(__xludf.DUMMYFUNCTION("""COMPUTED_VALUE"""),1219.06)</f>
        <v>1219.06</v>
      </c>
      <c r="C727" s="2">
        <f>IFERROR(__xludf.DUMMYFUNCTION("""COMPUTED_VALUE"""),1232.46)</f>
        <v>1232.46</v>
      </c>
      <c r="D727" s="2">
        <f>IFERROR(__xludf.DUMMYFUNCTION("""COMPUTED_VALUE"""),1214.6)</f>
        <v>1214.6</v>
      </c>
      <c r="E727" s="2">
        <f>IFERROR(__xludf.DUMMYFUNCTION("""COMPUTED_VALUE"""),1219.06)</f>
        <v>1219.06</v>
      </c>
      <c r="F727" s="2">
        <f>IFERROR(__xludf.DUMMYFUNCTION("""COMPUTED_VALUE"""),1.09966E7)</f>
        <v>10996600</v>
      </c>
      <c r="G727" s="2">
        <f t="shared" si="1"/>
        <v>17.86</v>
      </c>
    </row>
    <row r="728" ht="15.75" customHeight="1">
      <c r="A728" s="1">
        <f>IFERROR(__xludf.DUMMYFUNCTION("""COMPUTED_VALUE"""),44915.66666666667)</f>
        <v>44915.66667</v>
      </c>
      <c r="B728" s="2">
        <f>IFERROR(__xludf.DUMMYFUNCTION("""COMPUTED_VALUE"""),1219.06)</f>
        <v>1219.06</v>
      </c>
      <c r="C728" s="2">
        <f>IFERROR(__xludf.DUMMYFUNCTION("""COMPUTED_VALUE"""),1236.92)</f>
        <v>1236.92</v>
      </c>
      <c r="D728" s="2">
        <f>IFERROR(__xludf.DUMMYFUNCTION("""COMPUTED_VALUE"""),1219.06)</f>
        <v>1219.06</v>
      </c>
      <c r="E728" s="2">
        <f>IFERROR(__xludf.DUMMYFUNCTION("""COMPUTED_VALUE"""),1232.46)</f>
        <v>1232.46</v>
      </c>
      <c r="F728" s="2">
        <f>IFERROR(__xludf.DUMMYFUNCTION("""COMPUTED_VALUE"""),7190300.0)</f>
        <v>7190300</v>
      </c>
      <c r="G728" s="2">
        <f t="shared" si="1"/>
        <v>17.86</v>
      </c>
    </row>
    <row r="729" ht="15.75" customHeight="1">
      <c r="A729" s="1">
        <f>IFERROR(__xludf.DUMMYFUNCTION("""COMPUTED_VALUE"""),44916.66666666667)</f>
        <v>44916.66667</v>
      </c>
      <c r="B729" s="2">
        <f>IFERROR(__xludf.DUMMYFUNCTION("""COMPUTED_VALUE"""),1236.92)</f>
        <v>1236.92</v>
      </c>
      <c r="C729" s="2">
        <f>IFERROR(__xludf.DUMMYFUNCTION("""COMPUTED_VALUE"""),1250.32)</f>
        <v>1250.32</v>
      </c>
      <c r="D729" s="2">
        <f>IFERROR(__xludf.DUMMYFUNCTION("""COMPUTED_VALUE"""),1227.99)</f>
        <v>1227.99</v>
      </c>
      <c r="E729" s="2">
        <f>IFERROR(__xludf.DUMMYFUNCTION("""COMPUTED_VALUE"""),1245.85)</f>
        <v>1245.85</v>
      </c>
      <c r="F729" s="2">
        <f>IFERROR(__xludf.DUMMYFUNCTION("""COMPUTED_VALUE"""),2.4519E7)</f>
        <v>24519000</v>
      </c>
      <c r="G729" s="2">
        <f t="shared" si="1"/>
        <v>22.33</v>
      </c>
    </row>
    <row r="730" ht="15.75" customHeight="1">
      <c r="A730" s="1">
        <f>IFERROR(__xludf.DUMMYFUNCTION("""COMPUTED_VALUE"""),44917.66666666667)</f>
        <v>44917.66667</v>
      </c>
      <c r="B730" s="2">
        <f>IFERROR(__xludf.DUMMYFUNCTION("""COMPUTED_VALUE"""),1254.79)</f>
        <v>1254.79</v>
      </c>
      <c r="C730" s="2">
        <f>IFERROR(__xludf.DUMMYFUNCTION("""COMPUTED_VALUE"""),1263.72)</f>
        <v>1263.72</v>
      </c>
      <c r="D730" s="2">
        <f>IFERROR(__xludf.DUMMYFUNCTION("""COMPUTED_VALUE"""),1245.85)</f>
        <v>1245.85</v>
      </c>
      <c r="E730" s="2">
        <f>IFERROR(__xludf.DUMMYFUNCTION("""COMPUTED_VALUE"""),1254.79)</f>
        <v>1254.79</v>
      </c>
      <c r="F730" s="2">
        <f>IFERROR(__xludf.DUMMYFUNCTION("""COMPUTED_VALUE"""),3.09116E7)</f>
        <v>30911600</v>
      </c>
      <c r="G730" s="2">
        <f t="shared" si="1"/>
        <v>17.87</v>
      </c>
    </row>
    <row r="731" ht="15.75" customHeight="1">
      <c r="A731" s="1">
        <f>IFERROR(__xludf.DUMMYFUNCTION("""COMPUTED_VALUE"""),44918.66666666667)</f>
        <v>44918.66667</v>
      </c>
      <c r="B731" s="2">
        <f>IFERROR(__xludf.DUMMYFUNCTION("""COMPUTED_VALUE"""),1355.0)</f>
        <v>1355</v>
      </c>
      <c r="C731" s="2">
        <f>IFERROR(__xludf.DUMMYFUNCTION("""COMPUTED_VALUE"""),1375.0)</f>
        <v>1375</v>
      </c>
      <c r="D731" s="2">
        <f>IFERROR(__xludf.DUMMYFUNCTION("""COMPUTED_VALUE"""),1335.0)</f>
        <v>1335</v>
      </c>
      <c r="E731" s="2">
        <f>IFERROR(__xludf.DUMMYFUNCTION("""COMPUTED_VALUE"""),1345.0)</f>
        <v>1345</v>
      </c>
      <c r="F731" s="2">
        <f>IFERROR(__xludf.DUMMYFUNCTION("""COMPUTED_VALUE"""),1.70679E7)</f>
        <v>17067900</v>
      </c>
      <c r="G731" s="2">
        <f t="shared" si="1"/>
        <v>120.21</v>
      </c>
    </row>
    <row r="732" ht="15.75" customHeight="1">
      <c r="A732" s="1">
        <f>IFERROR(__xludf.DUMMYFUNCTION("""COMPUTED_VALUE"""),44921.66666666667)</f>
        <v>44921.66667</v>
      </c>
      <c r="B732" s="2">
        <f>IFERROR(__xludf.DUMMYFUNCTION("""COMPUTED_VALUE"""),1345.0)</f>
        <v>1345</v>
      </c>
      <c r="C732" s="2">
        <f>IFERROR(__xludf.DUMMYFUNCTION("""COMPUTED_VALUE"""),1375.0)</f>
        <v>1375</v>
      </c>
      <c r="D732" s="2">
        <f>IFERROR(__xludf.DUMMYFUNCTION("""COMPUTED_VALUE"""),1345.0)</f>
        <v>1345</v>
      </c>
      <c r="E732" s="2">
        <f>IFERROR(__xludf.DUMMYFUNCTION("""COMPUTED_VALUE"""),1375.0)</f>
        <v>1375</v>
      </c>
      <c r="F732" s="2">
        <f>IFERROR(__xludf.DUMMYFUNCTION("""COMPUTED_VALUE"""),9854700.0)</f>
        <v>9854700</v>
      </c>
      <c r="G732" s="2">
        <f t="shared" si="1"/>
        <v>30</v>
      </c>
    </row>
    <row r="733" ht="15.75" customHeight="1">
      <c r="A733" s="1">
        <f>IFERROR(__xludf.DUMMYFUNCTION("""COMPUTED_VALUE"""),44922.66666666667)</f>
        <v>44922.66667</v>
      </c>
      <c r="B733" s="2">
        <f>IFERROR(__xludf.DUMMYFUNCTION("""COMPUTED_VALUE"""),1380.0)</f>
        <v>1380</v>
      </c>
      <c r="C733" s="2">
        <f>IFERROR(__xludf.DUMMYFUNCTION("""COMPUTED_VALUE"""),1430.0)</f>
        <v>1430</v>
      </c>
      <c r="D733" s="2">
        <f>IFERROR(__xludf.DUMMYFUNCTION("""COMPUTED_VALUE"""),1380.0)</f>
        <v>1380</v>
      </c>
      <c r="E733" s="2">
        <f>IFERROR(__xludf.DUMMYFUNCTION("""COMPUTED_VALUE"""),1410.0)</f>
        <v>1410</v>
      </c>
      <c r="F733" s="2">
        <f>IFERROR(__xludf.DUMMYFUNCTION("""COMPUTED_VALUE"""),2.22688E7)</f>
        <v>22268800</v>
      </c>
      <c r="G733" s="2">
        <f t="shared" si="1"/>
        <v>55</v>
      </c>
    </row>
    <row r="734" ht="15.75" customHeight="1">
      <c r="A734" s="1">
        <f>IFERROR(__xludf.DUMMYFUNCTION("""COMPUTED_VALUE"""),44923.66666666667)</f>
        <v>44923.66667</v>
      </c>
      <c r="B734" s="2">
        <f>IFERROR(__xludf.DUMMYFUNCTION("""COMPUTED_VALUE"""),1410.0)</f>
        <v>1410</v>
      </c>
      <c r="C734" s="2">
        <f>IFERROR(__xludf.DUMMYFUNCTION("""COMPUTED_VALUE"""),1415.0)</f>
        <v>1415</v>
      </c>
      <c r="D734" s="2">
        <f>IFERROR(__xludf.DUMMYFUNCTION("""COMPUTED_VALUE"""),1340.0)</f>
        <v>1340</v>
      </c>
      <c r="E734" s="2">
        <f>IFERROR(__xludf.DUMMYFUNCTION("""COMPUTED_VALUE"""),1355.0)</f>
        <v>1355</v>
      </c>
      <c r="F734" s="2">
        <f>IFERROR(__xludf.DUMMYFUNCTION("""COMPUTED_VALUE"""),4.1476E7)</f>
        <v>41476000</v>
      </c>
      <c r="G734" s="2">
        <f t="shared" si="1"/>
        <v>75</v>
      </c>
    </row>
    <row r="735" ht="15.75" customHeight="1">
      <c r="A735" s="1">
        <f>IFERROR(__xludf.DUMMYFUNCTION("""COMPUTED_VALUE"""),44924.66666666667)</f>
        <v>44924.66667</v>
      </c>
      <c r="B735" s="2">
        <f>IFERROR(__xludf.DUMMYFUNCTION("""COMPUTED_VALUE"""),1330.0)</f>
        <v>1330</v>
      </c>
      <c r="C735" s="2">
        <f>IFERROR(__xludf.DUMMYFUNCTION("""COMPUTED_VALUE"""),1360.0)</f>
        <v>1360</v>
      </c>
      <c r="D735" s="2">
        <f>IFERROR(__xludf.DUMMYFUNCTION("""COMPUTED_VALUE"""),1325.0)</f>
        <v>1325</v>
      </c>
      <c r="E735" s="2">
        <f>IFERROR(__xludf.DUMMYFUNCTION("""COMPUTED_VALUE"""),1350.0)</f>
        <v>1350</v>
      </c>
      <c r="F735" s="2">
        <f>IFERROR(__xludf.DUMMYFUNCTION("""COMPUTED_VALUE"""),2.74044E7)</f>
        <v>27404400</v>
      </c>
      <c r="G735" s="2">
        <f t="shared" si="1"/>
        <v>35</v>
      </c>
    </row>
    <row r="736" ht="15.75" customHeight="1">
      <c r="A736" s="1">
        <f>IFERROR(__xludf.DUMMYFUNCTION("""COMPUTED_VALUE"""),44925.66666666667)</f>
        <v>44925.66667</v>
      </c>
      <c r="B736" s="2">
        <f>IFERROR(__xludf.DUMMYFUNCTION("""COMPUTED_VALUE"""),1340.0)</f>
        <v>1340</v>
      </c>
      <c r="C736" s="2">
        <f>IFERROR(__xludf.DUMMYFUNCTION("""COMPUTED_VALUE"""),1375.0)</f>
        <v>1375</v>
      </c>
      <c r="D736" s="2">
        <f>IFERROR(__xludf.DUMMYFUNCTION("""COMPUTED_VALUE"""),1335.0)</f>
        <v>1335</v>
      </c>
      <c r="E736" s="2">
        <f>IFERROR(__xludf.DUMMYFUNCTION("""COMPUTED_VALUE"""),1350.0)</f>
        <v>1350</v>
      </c>
      <c r="F736" s="2">
        <f>IFERROR(__xludf.DUMMYFUNCTION("""COMPUTED_VALUE"""),3.81086E7)</f>
        <v>38108600</v>
      </c>
      <c r="G736" s="2">
        <f t="shared" si="1"/>
        <v>40</v>
      </c>
    </row>
    <row r="737" ht="15.75" customHeight="1">
      <c r="A737" s="1">
        <f>IFERROR(__xludf.DUMMYFUNCTION("""COMPUTED_VALUE"""),44928.66666666667)</f>
        <v>44928.66667</v>
      </c>
      <c r="B737" s="2">
        <f>IFERROR(__xludf.DUMMYFUNCTION("""COMPUTED_VALUE"""),1345.0)</f>
        <v>1345</v>
      </c>
      <c r="C737" s="2">
        <f>IFERROR(__xludf.DUMMYFUNCTION("""COMPUTED_VALUE"""),1355.0)</f>
        <v>1355</v>
      </c>
      <c r="D737" s="2">
        <f>IFERROR(__xludf.DUMMYFUNCTION("""COMPUTED_VALUE"""),1330.0)</f>
        <v>1330</v>
      </c>
      <c r="E737" s="2">
        <f>IFERROR(__xludf.DUMMYFUNCTION("""COMPUTED_VALUE"""),1335.0)</f>
        <v>1335</v>
      </c>
      <c r="F737" s="2">
        <f>IFERROR(__xludf.DUMMYFUNCTION("""COMPUTED_VALUE"""),2.64432E7)</f>
        <v>26443200</v>
      </c>
      <c r="G737" s="2">
        <f t="shared" si="1"/>
        <v>25</v>
      </c>
    </row>
    <row r="738" ht="15.75" customHeight="1">
      <c r="A738" s="1">
        <f>IFERROR(__xludf.DUMMYFUNCTION("""COMPUTED_VALUE"""),44929.66666666667)</f>
        <v>44929.66667</v>
      </c>
      <c r="B738" s="2">
        <f>IFERROR(__xludf.DUMMYFUNCTION("""COMPUTED_VALUE"""),1335.0)</f>
        <v>1335</v>
      </c>
      <c r="C738" s="2">
        <f>IFERROR(__xludf.DUMMYFUNCTION("""COMPUTED_VALUE"""),1335.0)</f>
        <v>1335</v>
      </c>
      <c r="D738" s="2">
        <f>IFERROR(__xludf.DUMMYFUNCTION("""COMPUTED_VALUE"""),1300.0)</f>
        <v>1300</v>
      </c>
      <c r="E738" s="2">
        <f>IFERROR(__xludf.DUMMYFUNCTION("""COMPUTED_VALUE"""),1320.0)</f>
        <v>1320</v>
      </c>
      <c r="F738" s="2">
        <f>IFERROR(__xludf.DUMMYFUNCTION("""COMPUTED_VALUE"""),6.71511E7)</f>
        <v>67151100</v>
      </c>
      <c r="G738" s="2">
        <f t="shared" si="1"/>
        <v>35</v>
      </c>
    </row>
    <row r="739" ht="15.75" customHeight="1">
      <c r="A739" s="1">
        <f>IFERROR(__xludf.DUMMYFUNCTION("""COMPUTED_VALUE"""),44930.66666666667)</f>
        <v>44930.66667</v>
      </c>
      <c r="B739" s="2">
        <f>IFERROR(__xludf.DUMMYFUNCTION("""COMPUTED_VALUE"""),1310.0)</f>
        <v>1310</v>
      </c>
      <c r="C739" s="2">
        <f>IFERROR(__xludf.DUMMYFUNCTION("""COMPUTED_VALUE"""),1340.0)</f>
        <v>1340</v>
      </c>
      <c r="D739" s="2">
        <f>IFERROR(__xludf.DUMMYFUNCTION("""COMPUTED_VALUE"""),1305.0)</f>
        <v>1305</v>
      </c>
      <c r="E739" s="2">
        <f>IFERROR(__xludf.DUMMYFUNCTION("""COMPUTED_VALUE"""),1320.0)</f>
        <v>1320</v>
      </c>
      <c r="F739" s="2">
        <f>IFERROR(__xludf.DUMMYFUNCTION("""COMPUTED_VALUE"""),9.6459E7)</f>
        <v>96459000</v>
      </c>
      <c r="G739" s="2">
        <f t="shared" si="1"/>
        <v>35</v>
      </c>
    </row>
    <row r="740" ht="15.75" customHeight="1">
      <c r="A740" s="1">
        <f>IFERROR(__xludf.DUMMYFUNCTION("""COMPUTED_VALUE"""),44931.66666666667)</f>
        <v>44931.66667</v>
      </c>
      <c r="B740" s="2">
        <f>IFERROR(__xludf.DUMMYFUNCTION("""COMPUTED_VALUE"""),1315.0)</f>
        <v>1315</v>
      </c>
      <c r="C740" s="2">
        <f>IFERROR(__xludf.DUMMYFUNCTION("""COMPUTED_VALUE"""),1325.0)</f>
        <v>1325</v>
      </c>
      <c r="D740" s="2">
        <f>IFERROR(__xludf.DUMMYFUNCTION("""COMPUTED_VALUE"""),1295.0)</f>
        <v>1295</v>
      </c>
      <c r="E740" s="2">
        <f>IFERROR(__xludf.DUMMYFUNCTION("""COMPUTED_VALUE"""),1310.0)</f>
        <v>1310</v>
      </c>
      <c r="F740" s="2">
        <f>IFERROR(__xludf.DUMMYFUNCTION("""COMPUTED_VALUE"""),1.033351E8)</f>
        <v>103335100</v>
      </c>
      <c r="G740" s="2">
        <f t="shared" si="1"/>
        <v>30</v>
      </c>
    </row>
    <row r="741" ht="15.75" customHeight="1">
      <c r="A741" s="1">
        <f>IFERROR(__xludf.DUMMYFUNCTION("""COMPUTED_VALUE"""),44932.66666666667)</f>
        <v>44932.66667</v>
      </c>
      <c r="B741" s="2">
        <f>IFERROR(__xludf.DUMMYFUNCTION("""COMPUTED_VALUE"""),1310.0)</f>
        <v>1310</v>
      </c>
      <c r="C741" s="2">
        <f>IFERROR(__xludf.DUMMYFUNCTION("""COMPUTED_VALUE"""),1345.0)</f>
        <v>1345</v>
      </c>
      <c r="D741" s="2">
        <f>IFERROR(__xludf.DUMMYFUNCTION("""COMPUTED_VALUE"""),1300.0)</f>
        <v>1300</v>
      </c>
      <c r="E741" s="2">
        <f>IFERROR(__xludf.DUMMYFUNCTION("""COMPUTED_VALUE"""),1340.0)</f>
        <v>1340</v>
      </c>
      <c r="F741" s="2">
        <f>IFERROR(__xludf.DUMMYFUNCTION("""COMPUTED_VALUE"""),6.28741E7)</f>
        <v>62874100</v>
      </c>
      <c r="G741" s="2">
        <f t="shared" si="1"/>
        <v>45</v>
      </c>
    </row>
    <row r="742" ht="15.75" customHeight="1">
      <c r="A742" s="1">
        <f>IFERROR(__xludf.DUMMYFUNCTION("""COMPUTED_VALUE"""),44935.66666666667)</f>
        <v>44935.66667</v>
      </c>
      <c r="B742" s="2">
        <f>IFERROR(__xludf.DUMMYFUNCTION("""COMPUTED_VALUE"""),1345.0)</f>
        <v>1345</v>
      </c>
      <c r="C742" s="2">
        <f>IFERROR(__xludf.DUMMYFUNCTION("""COMPUTED_VALUE"""),1360.0)</f>
        <v>1360</v>
      </c>
      <c r="D742" s="2">
        <f>IFERROR(__xludf.DUMMYFUNCTION("""COMPUTED_VALUE"""),1320.0)</f>
        <v>1320</v>
      </c>
      <c r="E742" s="2">
        <f>IFERROR(__xludf.DUMMYFUNCTION("""COMPUTED_VALUE"""),1330.0)</f>
        <v>1330</v>
      </c>
      <c r="F742" s="2">
        <f>IFERROR(__xludf.DUMMYFUNCTION("""COMPUTED_VALUE"""),5.25783E7)</f>
        <v>52578300</v>
      </c>
      <c r="G742" s="2">
        <f t="shared" si="1"/>
        <v>40</v>
      </c>
    </row>
    <row r="743" ht="15.75" customHeight="1">
      <c r="A743" s="1">
        <f>IFERROR(__xludf.DUMMYFUNCTION("""COMPUTED_VALUE"""),44936.66666666667)</f>
        <v>44936.66667</v>
      </c>
      <c r="B743" s="2">
        <f>IFERROR(__xludf.DUMMYFUNCTION("""COMPUTED_VALUE"""),1330.0)</f>
        <v>1330</v>
      </c>
      <c r="C743" s="2">
        <f>IFERROR(__xludf.DUMMYFUNCTION("""COMPUTED_VALUE"""),1330.0)</f>
        <v>1330</v>
      </c>
      <c r="D743" s="2">
        <f>IFERROR(__xludf.DUMMYFUNCTION("""COMPUTED_VALUE"""),1240.0)</f>
        <v>1240</v>
      </c>
      <c r="E743" s="2">
        <f>IFERROR(__xludf.DUMMYFUNCTION("""COMPUTED_VALUE"""),1245.0)</f>
        <v>1245</v>
      </c>
      <c r="F743" s="2">
        <f>IFERROR(__xludf.DUMMYFUNCTION("""COMPUTED_VALUE"""),1.613509E8)</f>
        <v>161350900</v>
      </c>
      <c r="G743" s="2">
        <f t="shared" si="1"/>
        <v>90</v>
      </c>
    </row>
    <row r="744" ht="15.75" customHeight="1">
      <c r="A744" s="1">
        <f>IFERROR(__xludf.DUMMYFUNCTION("""COMPUTED_VALUE"""),44937.66666666667)</f>
        <v>44937.66667</v>
      </c>
      <c r="B744" s="2">
        <f>IFERROR(__xludf.DUMMYFUNCTION("""COMPUTED_VALUE"""),1240.0)</f>
        <v>1240</v>
      </c>
      <c r="C744" s="2">
        <f>IFERROR(__xludf.DUMMYFUNCTION("""COMPUTED_VALUE"""),1245.0)</f>
        <v>1245</v>
      </c>
      <c r="D744" s="2">
        <f>IFERROR(__xludf.DUMMYFUNCTION("""COMPUTED_VALUE"""),1210.0)</f>
        <v>1210</v>
      </c>
      <c r="E744" s="2">
        <f>IFERROR(__xludf.DUMMYFUNCTION("""COMPUTED_VALUE"""),1230.0)</f>
        <v>1230</v>
      </c>
      <c r="F744" s="2">
        <f>IFERROR(__xludf.DUMMYFUNCTION("""COMPUTED_VALUE"""),5.73536E7)</f>
        <v>57353600</v>
      </c>
      <c r="G744" s="2">
        <f t="shared" si="1"/>
        <v>35</v>
      </c>
    </row>
    <row r="745" ht="15.75" customHeight="1">
      <c r="A745" s="1">
        <f>IFERROR(__xludf.DUMMYFUNCTION("""COMPUTED_VALUE"""),44938.66666666667)</f>
        <v>44938.66667</v>
      </c>
      <c r="B745" s="2">
        <f>IFERROR(__xludf.DUMMYFUNCTION("""COMPUTED_VALUE"""),1240.0)</f>
        <v>1240</v>
      </c>
      <c r="C745" s="2">
        <f>IFERROR(__xludf.DUMMYFUNCTION("""COMPUTED_VALUE"""),1270.0)</f>
        <v>1270</v>
      </c>
      <c r="D745" s="2">
        <f>IFERROR(__xludf.DUMMYFUNCTION("""COMPUTED_VALUE"""),1235.0)</f>
        <v>1235</v>
      </c>
      <c r="E745" s="2">
        <f>IFERROR(__xludf.DUMMYFUNCTION("""COMPUTED_VALUE"""),1250.0)</f>
        <v>1250</v>
      </c>
      <c r="F745" s="2">
        <f>IFERROR(__xludf.DUMMYFUNCTION("""COMPUTED_VALUE"""),6.31073E7)</f>
        <v>63107300</v>
      </c>
      <c r="G745" s="2">
        <f t="shared" si="1"/>
        <v>40</v>
      </c>
    </row>
    <row r="746" ht="15.75" customHeight="1">
      <c r="A746" s="1">
        <f>IFERROR(__xludf.DUMMYFUNCTION("""COMPUTED_VALUE"""),44939.66666666667)</f>
        <v>44939.66667</v>
      </c>
      <c r="B746" s="2">
        <f>IFERROR(__xludf.DUMMYFUNCTION("""COMPUTED_VALUE"""),1255.0)</f>
        <v>1255</v>
      </c>
      <c r="C746" s="2">
        <f>IFERROR(__xludf.DUMMYFUNCTION("""COMPUTED_VALUE"""),1260.0)</f>
        <v>1260</v>
      </c>
      <c r="D746" s="2">
        <f>IFERROR(__xludf.DUMMYFUNCTION("""COMPUTED_VALUE"""),1225.0)</f>
        <v>1225</v>
      </c>
      <c r="E746" s="2">
        <f>IFERROR(__xludf.DUMMYFUNCTION("""COMPUTED_VALUE"""),1240.0)</f>
        <v>1240</v>
      </c>
      <c r="F746" s="2">
        <f>IFERROR(__xludf.DUMMYFUNCTION("""COMPUTED_VALUE"""),2.58397E7)</f>
        <v>25839700</v>
      </c>
      <c r="G746" s="2">
        <f t="shared" si="1"/>
        <v>35</v>
      </c>
    </row>
    <row r="747" ht="15.75" customHeight="1">
      <c r="A747" s="1">
        <f>IFERROR(__xludf.DUMMYFUNCTION("""COMPUTED_VALUE"""),44942.66666666667)</f>
        <v>44942.66667</v>
      </c>
      <c r="B747" s="2">
        <f>IFERROR(__xludf.DUMMYFUNCTION("""COMPUTED_VALUE"""),1250.0)</f>
        <v>1250</v>
      </c>
      <c r="C747" s="2">
        <f>IFERROR(__xludf.DUMMYFUNCTION("""COMPUTED_VALUE"""),1270.0)</f>
        <v>1270</v>
      </c>
      <c r="D747" s="2">
        <f>IFERROR(__xludf.DUMMYFUNCTION("""COMPUTED_VALUE"""),1230.0)</f>
        <v>1230</v>
      </c>
      <c r="E747" s="2">
        <f>IFERROR(__xludf.DUMMYFUNCTION("""COMPUTED_VALUE"""),1270.0)</f>
        <v>1270</v>
      </c>
      <c r="F747" s="2">
        <f>IFERROR(__xludf.DUMMYFUNCTION("""COMPUTED_VALUE"""),3.55959E7)</f>
        <v>35595900</v>
      </c>
      <c r="G747" s="2">
        <f t="shared" si="1"/>
        <v>40</v>
      </c>
    </row>
    <row r="748" ht="15.75" customHeight="1">
      <c r="A748" s="1">
        <f>IFERROR(__xludf.DUMMYFUNCTION("""COMPUTED_VALUE"""),44943.66666666667)</f>
        <v>44943.66667</v>
      </c>
      <c r="B748" s="2">
        <f>IFERROR(__xludf.DUMMYFUNCTION("""COMPUTED_VALUE"""),1275.0)</f>
        <v>1275</v>
      </c>
      <c r="C748" s="2">
        <f>IFERROR(__xludf.DUMMYFUNCTION("""COMPUTED_VALUE"""),1295.0)</f>
        <v>1295</v>
      </c>
      <c r="D748" s="2">
        <f>IFERROR(__xludf.DUMMYFUNCTION("""COMPUTED_VALUE"""),1265.0)</f>
        <v>1265</v>
      </c>
      <c r="E748" s="2">
        <f>IFERROR(__xludf.DUMMYFUNCTION("""COMPUTED_VALUE"""),1275.0)</f>
        <v>1275</v>
      </c>
      <c r="F748" s="2">
        <f>IFERROR(__xludf.DUMMYFUNCTION("""COMPUTED_VALUE"""),3.552E7)</f>
        <v>35520000</v>
      </c>
      <c r="G748" s="2">
        <f t="shared" si="1"/>
        <v>30</v>
      </c>
    </row>
    <row r="749" ht="15.75" customHeight="1">
      <c r="A749" s="1">
        <f>IFERROR(__xludf.DUMMYFUNCTION("""COMPUTED_VALUE"""),44944.66666666667)</f>
        <v>44944.66667</v>
      </c>
      <c r="B749" s="2">
        <f>IFERROR(__xludf.DUMMYFUNCTION("""COMPUTED_VALUE"""),1280.0)</f>
        <v>1280</v>
      </c>
      <c r="C749" s="2">
        <f>IFERROR(__xludf.DUMMYFUNCTION("""COMPUTED_VALUE"""),1290.0)</f>
        <v>1290</v>
      </c>
      <c r="D749" s="2">
        <f>IFERROR(__xludf.DUMMYFUNCTION("""COMPUTED_VALUE"""),1265.0)</f>
        <v>1265</v>
      </c>
      <c r="E749" s="2">
        <f>IFERROR(__xludf.DUMMYFUNCTION("""COMPUTED_VALUE"""),1280.0)</f>
        <v>1280</v>
      </c>
      <c r="F749" s="2">
        <f>IFERROR(__xludf.DUMMYFUNCTION("""COMPUTED_VALUE"""),2.23609E7)</f>
        <v>22360900</v>
      </c>
      <c r="G749" s="2">
        <f t="shared" si="1"/>
        <v>25</v>
      </c>
    </row>
    <row r="750" ht="15.75" customHeight="1">
      <c r="A750" s="1">
        <f>IFERROR(__xludf.DUMMYFUNCTION("""COMPUTED_VALUE"""),44945.66666666667)</f>
        <v>44945.66667</v>
      </c>
      <c r="B750" s="2">
        <f>IFERROR(__xludf.DUMMYFUNCTION("""COMPUTED_VALUE"""),1280.0)</f>
        <v>1280</v>
      </c>
      <c r="C750" s="2">
        <f>IFERROR(__xludf.DUMMYFUNCTION("""COMPUTED_VALUE"""),1315.0)</f>
        <v>1315</v>
      </c>
      <c r="D750" s="2">
        <f>IFERROR(__xludf.DUMMYFUNCTION("""COMPUTED_VALUE"""),1275.0)</f>
        <v>1275</v>
      </c>
      <c r="E750" s="2">
        <f>IFERROR(__xludf.DUMMYFUNCTION("""COMPUTED_VALUE"""),1310.0)</f>
        <v>1310</v>
      </c>
      <c r="F750" s="2">
        <f>IFERROR(__xludf.DUMMYFUNCTION("""COMPUTED_VALUE"""),4.13111E7)</f>
        <v>41311100</v>
      </c>
      <c r="G750" s="2">
        <f t="shared" si="1"/>
        <v>40</v>
      </c>
    </row>
    <row r="751" ht="15.75" customHeight="1">
      <c r="A751" s="1">
        <f>IFERROR(__xludf.DUMMYFUNCTION("""COMPUTED_VALUE"""),44946.66666666667)</f>
        <v>44946.66667</v>
      </c>
      <c r="B751" s="2">
        <f>IFERROR(__xludf.DUMMYFUNCTION("""COMPUTED_VALUE"""),1310.0)</f>
        <v>1310</v>
      </c>
      <c r="C751" s="2">
        <f>IFERROR(__xludf.DUMMYFUNCTION("""COMPUTED_VALUE"""),1325.0)</f>
        <v>1325</v>
      </c>
      <c r="D751" s="2">
        <f>IFERROR(__xludf.DUMMYFUNCTION("""COMPUTED_VALUE"""),1305.0)</f>
        <v>1305</v>
      </c>
      <c r="E751" s="2">
        <f>IFERROR(__xludf.DUMMYFUNCTION("""COMPUTED_VALUE"""),1315.0)</f>
        <v>1315</v>
      </c>
      <c r="F751" s="2">
        <f>IFERROR(__xludf.DUMMYFUNCTION("""COMPUTED_VALUE"""),3.26326E7)</f>
        <v>32632600</v>
      </c>
      <c r="G751" s="2">
        <f t="shared" si="1"/>
        <v>20</v>
      </c>
    </row>
    <row r="752" ht="15.75" customHeight="1">
      <c r="A752" s="1">
        <f>IFERROR(__xludf.DUMMYFUNCTION("""COMPUTED_VALUE"""),44950.66666666667)</f>
        <v>44950.66667</v>
      </c>
      <c r="B752" s="2">
        <f>IFERROR(__xludf.DUMMYFUNCTION("""COMPUTED_VALUE"""),1315.0)</f>
        <v>1315</v>
      </c>
      <c r="C752" s="2">
        <f>IFERROR(__xludf.DUMMYFUNCTION("""COMPUTED_VALUE"""),1350.0)</f>
        <v>1350</v>
      </c>
      <c r="D752" s="2">
        <f>IFERROR(__xludf.DUMMYFUNCTION("""COMPUTED_VALUE"""),1315.0)</f>
        <v>1315</v>
      </c>
      <c r="E752" s="2">
        <f>IFERROR(__xludf.DUMMYFUNCTION("""COMPUTED_VALUE"""),1340.0)</f>
        <v>1340</v>
      </c>
      <c r="F752" s="2">
        <f>IFERROR(__xludf.DUMMYFUNCTION("""COMPUTED_VALUE"""),6.71497E7)</f>
        <v>67149700</v>
      </c>
      <c r="G752" s="2">
        <f t="shared" si="1"/>
        <v>35</v>
      </c>
    </row>
    <row r="753" ht="15.75" customHeight="1">
      <c r="A753" s="1">
        <f>IFERROR(__xludf.DUMMYFUNCTION("""COMPUTED_VALUE"""),44951.66666666667)</f>
        <v>44951.66667</v>
      </c>
      <c r="B753" s="2">
        <f>IFERROR(__xludf.DUMMYFUNCTION("""COMPUTED_VALUE"""),1340.0)</f>
        <v>1340</v>
      </c>
      <c r="C753" s="2">
        <f>IFERROR(__xludf.DUMMYFUNCTION("""COMPUTED_VALUE"""),1390.0)</f>
        <v>1390</v>
      </c>
      <c r="D753" s="2">
        <f>IFERROR(__xludf.DUMMYFUNCTION("""COMPUTED_VALUE"""),1340.0)</f>
        <v>1340</v>
      </c>
      <c r="E753" s="2">
        <f>IFERROR(__xludf.DUMMYFUNCTION("""COMPUTED_VALUE"""),1385.0)</f>
        <v>1385</v>
      </c>
      <c r="F753" s="2">
        <f>IFERROR(__xludf.DUMMYFUNCTION("""COMPUTED_VALUE"""),6.61182E7)</f>
        <v>66118200</v>
      </c>
      <c r="G753" s="2">
        <f t="shared" si="1"/>
        <v>50</v>
      </c>
    </row>
    <row r="754" ht="15.75" customHeight="1">
      <c r="A754" s="1">
        <f>IFERROR(__xludf.DUMMYFUNCTION("""COMPUTED_VALUE"""),44952.66666666667)</f>
        <v>44952.66667</v>
      </c>
      <c r="B754" s="2">
        <f>IFERROR(__xludf.DUMMYFUNCTION("""COMPUTED_VALUE"""),1385.0)</f>
        <v>1385</v>
      </c>
      <c r="C754" s="2">
        <f>IFERROR(__xludf.DUMMYFUNCTION("""COMPUTED_VALUE"""),1395.0)</f>
        <v>1395</v>
      </c>
      <c r="D754" s="2">
        <f>IFERROR(__xludf.DUMMYFUNCTION("""COMPUTED_VALUE"""),1370.0)</f>
        <v>1370</v>
      </c>
      <c r="E754" s="2">
        <f>IFERROR(__xludf.DUMMYFUNCTION("""COMPUTED_VALUE"""),1380.0)</f>
        <v>1380</v>
      </c>
      <c r="F754" s="2">
        <f>IFERROR(__xludf.DUMMYFUNCTION("""COMPUTED_VALUE"""),3.66044E7)</f>
        <v>36604400</v>
      </c>
      <c r="G754" s="2">
        <f t="shared" si="1"/>
        <v>25</v>
      </c>
    </row>
    <row r="755" ht="15.75" customHeight="1">
      <c r="A755" s="1">
        <f>IFERROR(__xludf.DUMMYFUNCTION("""COMPUTED_VALUE"""),44953.66666666667)</f>
        <v>44953.66667</v>
      </c>
      <c r="B755" s="2">
        <f>IFERROR(__xludf.DUMMYFUNCTION("""COMPUTED_VALUE"""),1390.0)</f>
        <v>1390</v>
      </c>
      <c r="C755" s="2">
        <f>IFERROR(__xludf.DUMMYFUNCTION("""COMPUTED_VALUE"""),1425.0)</f>
        <v>1425</v>
      </c>
      <c r="D755" s="2">
        <f>IFERROR(__xludf.DUMMYFUNCTION("""COMPUTED_VALUE"""),1375.0)</f>
        <v>1375</v>
      </c>
      <c r="E755" s="2">
        <f>IFERROR(__xludf.DUMMYFUNCTION("""COMPUTED_VALUE"""),1400.0)</f>
        <v>1400</v>
      </c>
      <c r="F755" s="2">
        <f>IFERROR(__xludf.DUMMYFUNCTION("""COMPUTED_VALUE"""),6.41095E7)</f>
        <v>64109500</v>
      </c>
      <c r="G755" s="2">
        <f t="shared" si="1"/>
        <v>50</v>
      </c>
    </row>
    <row r="756" ht="15.75" customHeight="1">
      <c r="A756" s="1">
        <f>IFERROR(__xludf.DUMMYFUNCTION("""COMPUTED_VALUE"""),44956.66666666667)</f>
        <v>44956.66667</v>
      </c>
      <c r="B756" s="2">
        <f>IFERROR(__xludf.DUMMYFUNCTION("""COMPUTED_VALUE"""),1400.0)</f>
        <v>1400</v>
      </c>
      <c r="C756" s="2">
        <f>IFERROR(__xludf.DUMMYFUNCTION("""COMPUTED_VALUE"""),1410.0)</f>
        <v>1410</v>
      </c>
      <c r="D756" s="2">
        <f>IFERROR(__xludf.DUMMYFUNCTION("""COMPUTED_VALUE"""),1375.0)</f>
        <v>1375</v>
      </c>
      <c r="E756" s="2">
        <f>IFERROR(__xludf.DUMMYFUNCTION("""COMPUTED_VALUE"""),1380.0)</f>
        <v>1380</v>
      </c>
      <c r="F756" s="2">
        <f>IFERROR(__xludf.DUMMYFUNCTION("""COMPUTED_VALUE"""),1.76311E7)</f>
        <v>17631100</v>
      </c>
      <c r="G756" s="2">
        <f t="shared" si="1"/>
        <v>35</v>
      </c>
    </row>
    <row r="757" ht="15.75" customHeight="1">
      <c r="A757" s="1">
        <f>IFERROR(__xludf.DUMMYFUNCTION("""COMPUTED_VALUE"""),44957.66666666667)</f>
        <v>44957.66667</v>
      </c>
      <c r="B757" s="2">
        <f>IFERROR(__xludf.DUMMYFUNCTION("""COMPUTED_VALUE"""),1380.0)</f>
        <v>1380</v>
      </c>
      <c r="C757" s="2">
        <f>IFERROR(__xludf.DUMMYFUNCTION("""COMPUTED_VALUE"""),1390.0)</f>
        <v>1390</v>
      </c>
      <c r="D757" s="2">
        <f>IFERROR(__xludf.DUMMYFUNCTION("""COMPUTED_VALUE"""),1360.0)</f>
        <v>1360</v>
      </c>
      <c r="E757" s="2">
        <f>IFERROR(__xludf.DUMMYFUNCTION("""COMPUTED_VALUE"""),1360.0)</f>
        <v>1360</v>
      </c>
      <c r="F757" s="2">
        <f>IFERROR(__xludf.DUMMYFUNCTION("""COMPUTED_VALUE"""),2.24819E7)</f>
        <v>22481900</v>
      </c>
      <c r="G757" s="2">
        <f t="shared" si="1"/>
        <v>30</v>
      </c>
    </row>
    <row r="758" ht="15.75" customHeight="1">
      <c r="A758" s="1">
        <f>IFERROR(__xludf.DUMMYFUNCTION("""COMPUTED_VALUE"""),44958.66666666667)</f>
        <v>44958.66667</v>
      </c>
      <c r="B758" s="2">
        <f>IFERROR(__xludf.DUMMYFUNCTION("""COMPUTED_VALUE"""),1360.0)</f>
        <v>1360</v>
      </c>
      <c r="C758" s="2">
        <f>IFERROR(__xludf.DUMMYFUNCTION("""COMPUTED_VALUE"""),1385.0)</f>
        <v>1385</v>
      </c>
      <c r="D758" s="2">
        <f>IFERROR(__xludf.DUMMYFUNCTION("""COMPUTED_VALUE"""),1360.0)</f>
        <v>1360</v>
      </c>
      <c r="E758" s="2">
        <f>IFERROR(__xludf.DUMMYFUNCTION("""COMPUTED_VALUE"""),1365.0)</f>
        <v>1365</v>
      </c>
      <c r="F758" s="2">
        <f>IFERROR(__xludf.DUMMYFUNCTION("""COMPUTED_VALUE"""),2.73491E7)</f>
        <v>27349100</v>
      </c>
      <c r="G758" s="2">
        <f t="shared" si="1"/>
        <v>25</v>
      </c>
    </row>
    <row r="759" ht="15.75" customHeight="1">
      <c r="A759" s="1">
        <f>IFERROR(__xludf.DUMMYFUNCTION("""COMPUTED_VALUE"""),44959.66666666667)</f>
        <v>44959.66667</v>
      </c>
      <c r="B759" s="2">
        <f>IFERROR(__xludf.DUMMYFUNCTION("""COMPUTED_VALUE"""),1370.0)</f>
        <v>1370</v>
      </c>
      <c r="C759" s="2">
        <f>IFERROR(__xludf.DUMMYFUNCTION("""COMPUTED_VALUE"""),1375.0)</f>
        <v>1375</v>
      </c>
      <c r="D759" s="2">
        <f>IFERROR(__xludf.DUMMYFUNCTION("""COMPUTED_VALUE"""),1350.0)</f>
        <v>1350</v>
      </c>
      <c r="E759" s="2">
        <f>IFERROR(__xludf.DUMMYFUNCTION("""COMPUTED_VALUE"""),1350.0)</f>
        <v>1350</v>
      </c>
      <c r="F759" s="2">
        <f>IFERROR(__xludf.DUMMYFUNCTION("""COMPUTED_VALUE"""),2.78583E7)</f>
        <v>27858300</v>
      </c>
      <c r="G759" s="2">
        <f t="shared" si="1"/>
        <v>25</v>
      </c>
    </row>
    <row r="760" ht="15.75" customHeight="1">
      <c r="A760" s="1">
        <f>IFERROR(__xludf.DUMMYFUNCTION("""COMPUTED_VALUE"""),44960.66666666667)</f>
        <v>44960.66667</v>
      </c>
      <c r="B760" s="2">
        <f>IFERROR(__xludf.DUMMYFUNCTION("""COMPUTED_VALUE"""),1350.0)</f>
        <v>1350</v>
      </c>
      <c r="C760" s="2">
        <f>IFERROR(__xludf.DUMMYFUNCTION("""COMPUTED_VALUE"""),1390.0)</f>
        <v>1390</v>
      </c>
      <c r="D760" s="2">
        <f>IFERROR(__xludf.DUMMYFUNCTION("""COMPUTED_VALUE"""),1350.0)</f>
        <v>1350</v>
      </c>
      <c r="E760" s="2">
        <f>IFERROR(__xludf.DUMMYFUNCTION("""COMPUTED_VALUE"""),1385.0)</f>
        <v>1385</v>
      </c>
      <c r="F760" s="2">
        <f>IFERROR(__xludf.DUMMYFUNCTION("""COMPUTED_VALUE"""),3.43407E7)</f>
        <v>34340700</v>
      </c>
      <c r="G760" s="2">
        <f t="shared" si="1"/>
        <v>40</v>
      </c>
    </row>
    <row r="761" ht="15.75" customHeight="1">
      <c r="A761" s="1">
        <f>IFERROR(__xludf.DUMMYFUNCTION("""COMPUTED_VALUE"""),44963.66666666667)</f>
        <v>44963.66667</v>
      </c>
      <c r="B761" s="2">
        <f>IFERROR(__xludf.DUMMYFUNCTION("""COMPUTED_VALUE"""),1385.0)</f>
        <v>1385</v>
      </c>
      <c r="C761" s="2">
        <f>IFERROR(__xludf.DUMMYFUNCTION("""COMPUTED_VALUE"""),1395.0)</f>
        <v>1395</v>
      </c>
      <c r="D761" s="2">
        <f>IFERROR(__xludf.DUMMYFUNCTION("""COMPUTED_VALUE"""),1360.0)</f>
        <v>1360</v>
      </c>
      <c r="E761" s="2">
        <f>IFERROR(__xludf.DUMMYFUNCTION("""COMPUTED_VALUE"""),1365.0)</f>
        <v>1365</v>
      </c>
      <c r="F761" s="2">
        <f>IFERROR(__xludf.DUMMYFUNCTION("""COMPUTED_VALUE"""),2.55862E7)</f>
        <v>25586200</v>
      </c>
      <c r="G761" s="2">
        <f t="shared" si="1"/>
        <v>35</v>
      </c>
    </row>
    <row r="762" ht="15.75" customHeight="1">
      <c r="A762" s="1">
        <f>IFERROR(__xludf.DUMMYFUNCTION("""COMPUTED_VALUE"""),44964.66666666667)</f>
        <v>44964.66667</v>
      </c>
      <c r="B762" s="2">
        <f>IFERROR(__xludf.DUMMYFUNCTION("""COMPUTED_VALUE"""),1365.0)</f>
        <v>1365</v>
      </c>
      <c r="C762" s="2">
        <f>IFERROR(__xludf.DUMMYFUNCTION("""COMPUTED_VALUE"""),1390.0)</f>
        <v>1390</v>
      </c>
      <c r="D762" s="2">
        <f>IFERROR(__xludf.DUMMYFUNCTION("""COMPUTED_VALUE"""),1355.0)</f>
        <v>1355</v>
      </c>
      <c r="E762" s="2">
        <f>IFERROR(__xludf.DUMMYFUNCTION("""COMPUTED_VALUE"""),1370.0)</f>
        <v>1370</v>
      </c>
      <c r="F762" s="2">
        <f>IFERROR(__xludf.DUMMYFUNCTION("""COMPUTED_VALUE"""),4.49352E7)</f>
        <v>44935200</v>
      </c>
      <c r="G762" s="2">
        <f t="shared" si="1"/>
        <v>35</v>
      </c>
    </row>
    <row r="763" ht="15.75" customHeight="1">
      <c r="A763" s="1">
        <f>IFERROR(__xludf.DUMMYFUNCTION("""COMPUTED_VALUE"""),44965.66666666667)</f>
        <v>44965.66667</v>
      </c>
      <c r="B763" s="2">
        <f>IFERROR(__xludf.DUMMYFUNCTION("""COMPUTED_VALUE"""),1385.0)</f>
        <v>1385</v>
      </c>
      <c r="C763" s="2">
        <f>IFERROR(__xludf.DUMMYFUNCTION("""COMPUTED_VALUE"""),1405.0)</f>
        <v>1405</v>
      </c>
      <c r="D763" s="2">
        <f>IFERROR(__xludf.DUMMYFUNCTION("""COMPUTED_VALUE"""),1375.0)</f>
        <v>1375</v>
      </c>
      <c r="E763" s="2">
        <f>IFERROR(__xludf.DUMMYFUNCTION("""COMPUTED_VALUE"""),1385.0)</f>
        <v>1385</v>
      </c>
      <c r="F763" s="2">
        <f>IFERROR(__xludf.DUMMYFUNCTION("""COMPUTED_VALUE"""),4.02076E7)</f>
        <v>40207600</v>
      </c>
      <c r="G763" s="2">
        <f t="shared" si="1"/>
        <v>35</v>
      </c>
    </row>
    <row r="764" ht="15.75" customHeight="1">
      <c r="A764" s="1">
        <f>IFERROR(__xludf.DUMMYFUNCTION("""COMPUTED_VALUE"""),44966.66666666667)</f>
        <v>44966.66667</v>
      </c>
      <c r="B764" s="2">
        <f>IFERROR(__xludf.DUMMYFUNCTION("""COMPUTED_VALUE"""),1385.0)</f>
        <v>1385</v>
      </c>
      <c r="C764" s="2">
        <f>IFERROR(__xludf.DUMMYFUNCTION("""COMPUTED_VALUE"""),1410.0)</f>
        <v>1410</v>
      </c>
      <c r="D764" s="2">
        <f>IFERROR(__xludf.DUMMYFUNCTION("""COMPUTED_VALUE"""),1365.0)</f>
        <v>1365</v>
      </c>
      <c r="E764" s="2">
        <f>IFERROR(__xludf.DUMMYFUNCTION("""COMPUTED_VALUE"""),1370.0)</f>
        <v>1370</v>
      </c>
      <c r="F764" s="2">
        <f>IFERROR(__xludf.DUMMYFUNCTION("""COMPUTED_VALUE"""),5.97312E7)</f>
        <v>59731200</v>
      </c>
      <c r="G764" s="2">
        <f t="shared" si="1"/>
        <v>45</v>
      </c>
    </row>
    <row r="765" ht="15.75" customHeight="1">
      <c r="A765" s="1">
        <f>IFERROR(__xludf.DUMMYFUNCTION("""COMPUTED_VALUE"""),44967.66666666667)</f>
        <v>44967.66667</v>
      </c>
      <c r="B765" s="2">
        <f>IFERROR(__xludf.DUMMYFUNCTION("""COMPUTED_VALUE"""),1375.0)</f>
        <v>1375</v>
      </c>
      <c r="C765" s="2">
        <f>IFERROR(__xludf.DUMMYFUNCTION("""COMPUTED_VALUE"""),1385.0)</f>
        <v>1385</v>
      </c>
      <c r="D765" s="2">
        <f>IFERROR(__xludf.DUMMYFUNCTION("""COMPUTED_VALUE"""),1360.0)</f>
        <v>1360</v>
      </c>
      <c r="E765" s="2">
        <f>IFERROR(__xludf.DUMMYFUNCTION("""COMPUTED_VALUE"""),1380.0)</f>
        <v>1380</v>
      </c>
      <c r="F765" s="2">
        <f>IFERROR(__xludf.DUMMYFUNCTION("""COMPUTED_VALUE"""),2.41657E7)</f>
        <v>24165700</v>
      </c>
      <c r="G765" s="2">
        <f t="shared" si="1"/>
        <v>25</v>
      </c>
    </row>
    <row r="766" ht="15.75" customHeight="1">
      <c r="A766" s="1">
        <f>IFERROR(__xludf.DUMMYFUNCTION("""COMPUTED_VALUE"""),44970.66666666667)</f>
        <v>44970.66667</v>
      </c>
      <c r="B766" s="2">
        <f>IFERROR(__xludf.DUMMYFUNCTION("""COMPUTED_VALUE"""),1375.0)</f>
        <v>1375</v>
      </c>
      <c r="C766" s="2">
        <f>IFERROR(__xludf.DUMMYFUNCTION("""COMPUTED_VALUE"""),1390.0)</f>
        <v>1390</v>
      </c>
      <c r="D766" s="2">
        <f>IFERROR(__xludf.DUMMYFUNCTION("""COMPUTED_VALUE"""),1365.0)</f>
        <v>1365</v>
      </c>
      <c r="E766" s="2">
        <f>IFERROR(__xludf.DUMMYFUNCTION("""COMPUTED_VALUE"""),1375.0)</f>
        <v>1375</v>
      </c>
      <c r="F766" s="2">
        <f>IFERROR(__xludf.DUMMYFUNCTION("""COMPUTED_VALUE"""),1.69738E7)</f>
        <v>16973800</v>
      </c>
      <c r="G766" s="2">
        <f t="shared" si="1"/>
        <v>25</v>
      </c>
    </row>
    <row r="767" ht="15.75" customHeight="1">
      <c r="A767" s="1">
        <f>IFERROR(__xludf.DUMMYFUNCTION("""COMPUTED_VALUE"""),44971.66666666667)</f>
        <v>44971.66667</v>
      </c>
      <c r="B767" s="2">
        <f>IFERROR(__xludf.DUMMYFUNCTION("""COMPUTED_VALUE"""),1370.0)</f>
        <v>1370</v>
      </c>
      <c r="C767" s="2">
        <f>IFERROR(__xludf.DUMMYFUNCTION("""COMPUTED_VALUE"""),1380.0)</f>
        <v>1380</v>
      </c>
      <c r="D767" s="2">
        <f>IFERROR(__xludf.DUMMYFUNCTION("""COMPUTED_VALUE"""),1365.0)</f>
        <v>1365</v>
      </c>
      <c r="E767" s="2">
        <f>IFERROR(__xludf.DUMMYFUNCTION("""COMPUTED_VALUE"""),1365.0)</f>
        <v>1365</v>
      </c>
      <c r="F767" s="2">
        <f>IFERROR(__xludf.DUMMYFUNCTION("""COMPUTED_VALUE"""),1.68957E7)</f>
        <v>16895700</v>
      </c>
      <c r="G767" s="2">
        <f t="shared" si="1"/>
        <v>15</v>
      </c>
    </row>
    <row r="768" ht="15.75" customHeight="1">
      <c r="A768" s="1">
        <f>IFERROR(__xludf.DUMMYFUNCTION("""COMPUTED_VALUE"""),44972.66666666667)</f>
        <v>44972.66667</v>
      </c>
      <c r="B768" s="2">
        <f>IFERROR(__xludf.DUMMYFUNCTION("""COMPUTED_VALUE"""),1365.0)</f>
        <v>1365</v>
      </c>
      <c r="C768" s="2">
        <f>IFERROR(__xludf.DUMMYFUNCTION("""COMPUTED_VALUE"""),1375.0)</f>
        <v>1375</v>
      </c>
      <c r="D768" s="2">
        <f>IFERROR(__xludf.DUMMYFUNCTION("""COMPUTED_VALUE"""),1330.0)</f>
        <v>1330</v>
      </c>
      <c r="E768" s="2">
        <f>IFERROR(__xludf.DUMMYFUNCTION("""COMPUTED_VALUE"""),1335.0)</f>
        <v>1335</v>
      </c>
      <c r="F768" s="2">
        <f>IFERROR(__xludf.DUMMYFUNCTION("""COMPUTED_VALUE"""),5.34534E7)</f>
        <v>53453400</v>
      </c>
      <c r="G768" s="2">
        <f t="shared" si="1"/>
        <v>45</v>
      </c>
    </row>
    <row r="769" ht="15.75" customHeight="1">
      <c r="A769" s="1">
        <f>IFERROR(__xludf.DUMMYFUNCTION("""COMPUTED_VALUE"""),44973.66666666667)</f>
        <v>44973.66667</v>
      </c>
      <c r="B769" s="2">
        <f>IFERROR(__xludf.DUMMYFUNCTION("""COMPUTED_VALUE"""),1350.0)</f>
        <v>1350</v>
      </c>
      <c r="C769" s="2">
        <f>IFERROR(__xludf.DUMMYFUNCTION("""COMPUTED_VALUE"""),1360.0)</f>
        <v>1360</v>
      </c>
      <c r="D769" s="2">
        <f>IFERROR(__xludf.DUMMYFUNCTION("""COMPUTED_VALUE"""),1340.0)</f>
        <v>1340</v>
      </c>
      <c r="E769" s="2">
        <f>IFERROR(__xludf.DUMMYFUNCTION("""COMPUTED_VALUE"""),1350.0)</f>
        <v>1350</v>
      </c>
      <c r="F769" s="2">
        <f>IFERROR(__xludf.DUMMYFUNCTION("""COMPUTED_VALUE"""),2.5681E7)</f>
        <v>25681000</v>
      </c>
      <c r="G769" s="2">
        <f t="shared" si="1"/>
        <v>25</v>
      </c>
    </row>
    <row r="770" ht="15.75" customHeight="1">
      <c r="A770" s="1">
        <f>IFERROR(__xludf.DUMMYFUNCTION("""COMPUTED_VALUE"""),44974.66666666667)</f>
        <v>44974.66667</v>
      </c>
      <c r="B770" s="2">
        <f>IFERROR(__xludf.DUMMYFUNCTION("""COMPUTED_VALUE"""),1360.0)</f>
        <v>1360</v>
      </c>
      <c r="C770" s="2">
        <f>IFERROR(__xludf.DUMMYFUNCTION("""COMPUTED_VALUE"""),1380.0)</f>
        <v>1380</v>
      </c>
      <c r="D770" s="2">
        <f>IFERROR(__xludf.DUMMYFUNCTION("""COMPUTED_VALUE"""),1350.0)</f>
        <v>1350</v>
      </c>
      <c r="E770" s="2">
        <f>IFERROR(__xludf.DUMMYFUNCTION("""COMPUTED_VALUE"""),1370.0)</f>
        <v>1370</v>
      </c>
      <c r="F770" s="2">
        <f>IFERROR(__xludf.DUMMYFUNCTION("""COMPUTED_VALUE"""),4.36593E7)</f>
        <v>43659300</v>
      </c>
      <c r="G770" s="2">
        <f t="shared" si="1"/>
        <v>30</v>
      </c>
    </row>
    <row r="771" ht="15.75" customHeight="1">
      <c r="A771" s="1">
        <f>IFERROR(__xludf.DUMMYFUNCTION("""COMPUTED_VALUE"""),44977.66666666667)</f>
        <v>44977.66667</v>
      </c>
      <c r="B771" s="2">
        <f>IFERROR(__xludf.DUMMYFUNCTION("""COMPUTED_VALUE"""),1365.0)</f>
        <v>1365</v>
      </c>
      <c r="C771" s="2">
        <f>IFERROR(__xludf.DUMMYFUNCTION("""COMPUTED_VALUE"""),1380.0)</f>
        <v>1380</v>
      </c>
      <c r="D771" s="2">
        <f>IFERROR(__xludf.DUMMYFUNCTION("""COMPUTED_VALUE"""),1350.0)</f>
        <v>1350</v>
      </c>
      <c r="E771" s="2">
        <f>IFERROR(__xludf.DUMMYFUNCTION("""COMPUTED_VALUE"""),1355.0)</f>
        <v>1355</v>
      </c>
      <c r="F771" s="2">
        <f>IFERROR(__xludf.DUMMYFUNCTION("""COMPUTED_VALUE"""),2.35341E7)</f>
        <v>23534100</v>
      </c>
      <c r="G771" s="2">
        <f t="shared" si="1"/>
        <v>30</v>
      </c>
    </row>
    <row r="772" ht="15.75" customHeight="1">
      <c r="A772" s="1">
        <f>IFERROR(__xludf.DUMMYFUNCTION("""COMPUTED_VALUE"""),44978.66666666667)</f>
        <v>44978.66667</v>
      </c>
      <c r="B772" s="2">
        <f>IFERROR(__xludf.DUMMYFUNCTION("""COMPUTED_VALUE"""),1355.0)</f>
        <v>1355</v>
      </c>
      <c r="C772" s="2">
        <f>IFERROR(__xludf.DUMMYFUNCTION("""COMPUTED_VALUE"""),1360.0)</f>
        <v>1360</v>
      </c>
      <c r="D772" s="2">
        <f>IFERROR(__xludf.DUMMYFUNCTION("""COMPUTED_VALUE"""),1340.0)</f>
        <v>1340</v>
      </c>
      <c r="E772" s="2">
        <f>IFERROR(__xludf.DUMMYFUNCTION("""COMPUTED_VALUE"""),1340.0)</f>
        <v>1340</v>
      </c>
      <c r="F772" s="2">
        <f>IFERROR(__xludf.DUMMYFUNCTION("""COMPUTED_VALUE"""),1.2611E7)</f>
        <v>12611000</v>
      </c>
      <c r="G772" s="2">
        <f t="shared" si="1"/>
        <v>20</v>
      </c>
    </row>
    <row r="773" ht="15.75" customHeight="1">
      <c r="A773" s="1">
        <f>IFERROR(__xludf.DUMMYFUNCTION("""COMPUTED_VALUE"""),44979.66666666667)</f>
        <v>44979.66667</v>
      </c>
      <c r="B773" s="2">
        <f>IFERROR(__xludf.DUMMYFUNCTION("""COMPUTED_VALUE"""),1340.0)</f>
        <v>1340</v>
      </c>
      <c r="C773" s="2">
        <f>IFERROR(__xludf.DUMMYFUNCTION("""COMPUTED_VALUE"""),1345.0)</f>
        <v>1345</v>
      </c>
      <c r="D773" s="2">
        <f>IFERROR(__xludf.DUMMYFUNCTION("""COMPUTED_VALUE"""),1320.0)</f>
        <v>1320</v>
      </c>
      <c r="E773" s="2">
        <f>IFERROR(__xludf.DUMMYFUNCTION("""COMPUTED_VALUE"""),1335.0)</f>
        <v>1335</v>
      </c>
      <c r="F773" s="2">
        <f>IFERROR(__xludf.DUMMYFUNCTION("""COMPUTED_VALUE"""),1.89695E7)</f>
        <v>18969500</v>
      </c>
      <c r="G773" s="2">
        <f t="shared" si="1"/>
        <v>25</v>
      </c>
    </row>
    <row r="774" ht="15.75" customHeight="1">
      <c r="A774" s="1">
        <f>IFERROR(__xludf.DUMMYFUNCTION("""COMPUTED_VALUE"""),44980.66666666667)</f>
        <v>44980.66667</v>
      </c>
      <c r="B774" s="2">
        <f>IFERROR(__xludf.DUMMYFUNCTION("""COMPUTED_VALUE"""),1335.0)</f>
        <v>1335</v>
      </c>
      <c r="C774" s="2">
        <f>IFERROR(__xludf.DUMMYFUNCTION("""COMPUTED_VALUE"""),1350.0)</f>
        <v>1350</v>
      </c>
      <c r="D774" s="2">
        <f>IFERROR(__xludf.DUMMYFUNCTION("""COMPUTED_VALUE"""),1330.0)</f>
        <v>1330</v>
      </c>
      <c r="E774" s="2">
        <f>IFERROR(__xludf.DUMMYFUNCTION("""COMPUTED_VALUE"""),1350.0)</f>
        <v>1350</v>
      </c>
      <c r="F774" s="2">
        <f>IFERROR(__xludf.DUMMYFUNCTION("""COMPUTED_VALUE"""),1.21648E7)</f>
        <v>12164800</v>
      </c>
      <c r="G774" s="2">
        <f t="shared" si="1"/>
        <v>20</v>
      </c>
    </row>
    <row r="775" ht="15.75" customHeight="1">
      <c r="A775" s="1">
        <f>IFERROR(__xludf.DUMMYFUNCTION("""COMPUTED_VALUE"""),44981.66666666667)</f>
        <v>44981.66667</v>
      </c>
      <c r="B775" s="2">
        <f>IFERROR(__xludf.DUMMYFUNCTION("""COMPUTED_VALUE"""),1350.0)</f>
        <v>1350</v>
      </c>
      <c r="C775" s="2">
        <f>IFERROR(__xludf.DUMMYFUNCTION("""COMPUTED_VALUE"""),1360.0)</f>
        <v>1360</v>
      </c>
      <c r="D775" s="2">
        <f>IFERROR(__xludf.DUMMYFUNCTION("""COMPUTED_VALUE"""),1335.0)</f>
        <v>1335</v>
      </c>
      <c r="E775" s="2">
        <f>IFERROR(__xludf.DUMMYFUNCTION("""COMPUTED_VALUE"""),1340.0)</f>
        <v>1340</v>
      </c>
      <c r="F775" s="2">
        <f>IFERROR(__xludf.DUMMYFUNCTION("""COMPUTED_VALUE"""),8777200.0)</f>
        <v>8777200</v>
      </c>
      <c r="G775" s="2">
        <f t="shared" si="1"/>
        <v>25</v>
      </c>
    </row>
    <row r="776" ht="15.75" customHeight="1">
      <c r="A776" s="1">
        <f>IFERROR(__xludf.DUMMYFUNCTION("""COMPUTED_VALUE"""),44984.66666666667)</f>
        <v>44984.66667</v>
      </c>
      <c r="B776" s="2">
        <f>IFERROR(__xludf.DUMMYFUNCTION("""COMPUTED_VALUE"""),1350.0)</f>
        <v>1350</v>
      </c>
      <c r="C776" s="2">
        <f>IFERROR(__xludf.DUMMYFUNCTION("""COMPUTED_VALUE"""),1350.0)</f>
        <v>1350</v>
      </c>
      <c r="D776" s="2">
        <f>IFERROR(__xludf.DUMMYFUNCTION("""COMPUTED_VALUE"""),1330.0)</f>
        <v>1330</v>
      </c>
      <c r="E776" s="2">
        <f>IFERROR(__xludf.DUMMYFUNCTION("""COMPUTED_VALUE"""),1335.0)</f>
        <v>1335</v>
      </c>
      <c r="F776" s="2">
        <f>IFERROR(__xludf.DUMMYFUNCTION("""COMPUTED_VALUE"""),1.29176E7)</f>
        <v>12917600</v>
      </c>
      <c r="G776" s="2">
        <f t="shared" si="1"/>
        <v>20</v>
      </c>
    </row>
    <row r="777" ht="15.75" customHeight="1">
      <c r="A777" s="1">
        <f>IFERROR(__xludf.DUMMYFUNCTION("""COMPUTED_VALUE"""),44985.66666666667)</f>
        <v>44985.66667</v>
      </c>
      <c r="B777" s="2">
        <f>IFERROR(__xludf.DUMMYFUNCTION("""COMPUTED_VALUE"""),1335.0)</f>
        <v>1335</v>
      </c>
      <c r="C777" s="2">
        <f>IFERROR(__xludf.DUMMYFUNCTION("""COMPUTED_VALUE"""),1340.0)</f>
        <v>1340</v>
      </c>
      <c r="D777" s="2">
        <f>IFERROR(__xludf.DUMMYFUNCTION("""COMPUTED_VALUE"""),1325.0)</f>
        <v>1325</v>
      </c>
      <c r="E777" s="2">
        <f>IFERROR(__xludf.DUMMYFUNCTION("""COMPUTED_VALUE"""),1325.0)</f>
        <v>1325</v>
      </c>
      <c r="F777" s="2">
        <f>IFERROR(__xludf.DUMMYFUNCTION("""COMPUTED_VALUE"""),1.99987E7)</f>
        <v>19998700</v>
      </c>
      <c r="G777" s="2">
        <f t="shared" si="1"/>
        <v>15</v>
      </c>
    </row>
    <row r="778" ht="15.75" customHeight="1">
      <c r="A778" s="1">
        <f>IFERROR(__xludf.DUMMYFUNCTION("""COMPUTED_VALUE"""),44986.66666666667)</f>
        <v>44986.66667</v>
      </c>
      <c r="B778" s="2">
        <f>IFERROR(__xludf.DUMMYFUNCTION("""COMPUTED_VALUE"""),1330.0)</f>
        <v>1330</v>
      </c>
      <c r="C778" s="2">
        <f>IFERROR(__xludf.DUMMYFUNCTION("""COMPUTED_VALUE"""),1340.0)</f>
        <v>1340</v>
      </c>
      <c r="D778" s="2">
        <f>IFERROR(__xludf.DUMMYFUNCTION("""COMPUTED_VALUE"""),1325.0)</f>
        <v>1325</v>
      </c>
      <c r="E778" s="2">
        <f>IFERROR(__xludf.DUMMYFUNCTION("""COMPUTED_VALUE"""),1325.0)</f>
        <v>1325</v>
      </c>
      <c r="F778" s="2">
        <f>IFERROR(__xludf.DUMMYFUNCTION("""COMPUTED_VALUE"""),8424100.0)</f>
        <v>8424100</v>
      </c>
      <c r="G778" s="2">
        <f t="shared" si="1"/>
        <v>15</v>
      </c>
    </row>
    <row r="779" ht="15.75" customHeight="1">
      <c r="A779" s="1">
        <f>IFERROR(__xludf.DUMMYFUNCTION("""COMPUTED_VALUE"""),44987.66666666667)</f>
        <v>44987.66667</v>
      </c>
      <c r="B779" s="2">
        <f>IFERROR(__xludf.DUMMYFUNCTION("""COMPUTED_VALUE"""),1335.0)</f>
        <v>1335</v>
      </c>
      <c r="C779" s="2">
        <f>IFERROR(__xludf.DUMMYFUNCTION("""COMPUTED_VALUE"""),1335.0)</f>
        <v>1335</v>
      </c>
      <c r="D779" s="2">
        <f>IFERROR(__xludf.DUMMYFUNCTION("""COMPUTED_VALUE"""),1320.0)</f>
        <v>1320</v>
      </c>
      <c r="E779" s="2">
        <f>IFERROR(__xludf.DUMMYFUNCTION("""COMPUTED_VALUE"""),1320.0)</f>
        <v>1320</v>
      </c>
      <c r="F779" s="2">
        <f>IFERROR(__xludf.DUMMYFUNCTION("""COMPUTED_VALUE"""),1.40516E7)</f>
        <v>14051600</v>
      </c>
      <c r="G779" s="2">
        <f t="shared" si="1"/>
        <v>15</v>
      </c>
    </row>
    <row r="780" ht="15.75" customHeight="1">
      <c r="A780" s="1">
        <f>IFERROR(__xludf.DUMMYFUNCTION("""COMPUTED_VALUE"""),44988.66666666667)</f>
        <v>44988.66667</v>
      </c>
      <c r="B780" s="2">
        <f>IFERROR(__xludf.DUMMYFUNCTION("""COMPUTED_VALUE"""),1330.0)</f>
        <v>1330</v>
      </c>
      <c r="C780" s="2">
        <f>IFERROR(__xludf.DUMMYFUNCTION("""COMPUTED_VALUE"""),1330.0)</f>
        <v>1330</v>
      </c>
      <c r="D780" s="2">
        <f>IFERROR(__xludf.DUMMYFUNCTION("""COMPUTED_VALUE"""),1305.0)</f>
        <v>1305</v>
      </c>
      <c r="E780" s="2">
        <f>IFERROR(__xludf.DUMMYFUNCTION("""COMPUTED_VALUE"""),1310.0)</f>
        <v>1310</v>
      </c>
      <c r="F780" s="2">
        <f>IFERROR(__xludf.DUMMYFUNCTION("""COMPUTED_VALUE"""),2.71669E7)</f>
        <v>27166900</v>
      </c>
      <c r="G780" s="2">
        <f t="shared" si="1"/>
        <v>25</v>
      </c>
    </row>
    <row r="781" ht="15.75" customHeight="1">
      <c r="A781" s="1">
        <f>IFERROR(__xludf.DUMMYFUNCTION("""COMPUTED_VALUE"""),44991.66666666667)</f>
        <v>44991.66667</v>
      </c>
      <c r="B781" s="2">
        <f>IFERROR(__xludf.DUMMYFUNCTION("""COMPUTED_VALUE"""),1310.0)</f>
        <v>1310</v>
      </c>
      <c r="C781" s="2">
        <f>IFERROR(__xludf.DUMMYFUNCTION("""COMPUTED_VALUE"""),1320.0)</f>
        <v>1320</v>
      </c>
      <c r="D781" s="2">
        <f>IFERROR(__xludf.DUMMYFUNCTION("""COMPUTED_VALUE"""),1280.0)</f>
        <v>1280</v>
      </c>
      <c r="E781" s="2">
        <f>IFERROR(__xludf.DUMMYFUNCTION("""COMPUTED_VALUE"""),1280.0)</f>
        <v>1280</v>
      </c>
      <c r="F781" s="2">
        <f>IFERROR(__xludf.DUMMYFUNCTION("""COMPUTED_VALUE"""),3.67512E7)</f>
        <v>36751200</v>
      </c>
      <c r="G781" s="2">
        <f t="shared" si="1"/>
        <v>40</v>
      </c>
    </row>
    <row r="782" ht="15.75" customHeight="1">
      <c r="A782" s="1">
        <f>IFERROR(__xludf.DUMMYFUNCTION("""COMPUTED_VALUE"""),44992.66666666667)</f>
        <v>44992.66667</v>
      </c>
      <c r="B782" s="2">
        <f>IFERROR(__xludf.DUMMYFUNCTION("""COMPUTED_VALUE"""),1280.0)</f>
        <v>1280</v>
      </c>
      <c r="C782" s="2">
        <f>IFERROR(__xludf.DUMMYFUNCTION("""COMPUTED_VALUE"""),1295.0)</f>
        <v>1295</v>
      </c>
      <c r="D782" s="2">
        <f>IFERROR(__xludf.DUMMYFUNCTION("""COMPUTED_VALUE"""),1270.0)</f>
        <v>1270</v>
      </c>
      <c r="E782" s="2">
        <f>IFERROR(__xludf.DUMMYFUNCTION("""COMPUTED_VALUE"""),1275.0)</f>
        <v>1275</v>
      </c>
      <c r="F782" s="2">
        <f>IFERROR(__xludf.DUMMYFUNCTION("""COMPUTED_VALUE"""),1.98722E7)</f>
        <v>19872200</v>
      </c>
      <c r="G782" s="2">
        <f t="shared" si="1"/>
        <v>25</v>
      </c>
    </row>
    <row r="783" ht="15.75" customHeight="1">
      <c r="A783" s="1">
        <f>IFERROR(__xludf.DUMMYFUNCTION("""COMPUTED_VALUE"""),44993.66666666667)</f>
        <v>44993.66667</v>
      </c>
      <c r="B783" s="2">
        <f>IFERROR(__xludf.DUMMYFUNCTION("""COMPUTED_VALUE"""),1275.0)</f>
        <v>1275</v>
      </c>
      <c r="C783" s="2">
        <f>IFERROR(__xludf.DUMMYFUNCTION("""COMPUTED_VALUE"""),1275.0)</f>
        <v>1275</v>
      </c>
      <c r="D783" s="2">
        <f>IFERROR(__xludf.DUMMYFUNCTION("""COMPUTED_VALUE"""),1255.0)</f>
        <v>1255</v>
      </c>
      <c r="E783" s="2">
        <f>IFERROR(__xludf.DUMMYFUNCTION("""COMPUTED_VALUE"""),1265.0)</f>
        <v>1265</v>
      </c>
      <c r="F783" s="2">
        <f>IFERROR(__xludf.DUMMYFUNCTION("""COMPUTED_VALUE"""),1.54468E7)</f>
        <v>15446800</v>
      </c>
      <c r="G783" s="2">
        <f t="shared" si="1"/>
        <v>20</v>
      </c>
    </row>
    <row r="784" ht="15.75" customHeight="1">
      <c r="A784" s="1">
        <f>IFERROR(__xludf.DUMMYFUNCTION("""COMPUTED_VALUE"""),44994.66666666667)</f>
        <v>44994.66667</v>
      </c>
      <c r="B784" s="2">
        <f>IFERROR(__xludf.DUMMYFUNCTION("""COMPUTED_VALUE"""),1265.0)</f>
        <v>1265</v>
      </c>
      <c r="C784" s="2">
        <f>IFERROR(__xludf.DUMMYFUNCTION("""COMPUTED_VALUE"""),1295.0)</f>
        <v>1295</v>
      </c>
      <c r="D784" s="2">
        <f>IFERROR(__xludf.DUMMYFUNCTION("""COMPUTED_VALUE"""),1265.0)</f>
        <v>1265</v>
      </c>
      <c r="E784" s="2">
        <f>IFERROR(__xludf.DUMMYFUNCTION("""COMPUTED_VALUE"""),1285.0)</f>
        <v>1285</v>
      </c>
      <c r="F784" s="2">
        <f>IFERROR(__xludf.DUMMYFUNCTION("""COMPUTED_VALUE"""),1.08112E7)</f>
        <v>10811200</v>
      </c>
      <c r="G784" s="2">
        <f t="shared" si="1"/>
        <v>30</v>
      </c>
    </row>
    <row r="785" ht="15.75" customHeight="1">
      <c r="A785" s="1">
        <f>IFERROR(__xludf.DUMMYFUNCTION("""COMPUTED_VALUE"""),44995.66666666667)</f>
        <v>44995.66667</v>
      </c>
      <c r="B785" s="2">
        <f>IFERROR(__xludf.DUMMYFUNCTION("""COMPUTED_VALUE"""),1280.0)</f>
        <v>1280</v>
      </c>
      <c r="C785" s="2">
        <f>IFERROR(__xludf.DUMMYFUNCTION("""COMPUTED_VALUE"""),1280.0)</f>
        <v>1280</v>
      </c>
      <c r="D785" s="2">
        <f>IFERROR(__xludf.DUMMYFUNCTION("""COMPUTED_VALUE"""),1260.0)</f>
        <v>1260</v>
      </c>
      <c r="E785" s="2">
        <f>IFERROR(__xludf.DUMMYFUNCTION("""COMPUTED_VALUE"""),1275.0)</f>
        <v>1275</v>
      </c>
      <c r="F785" s="2">
        <f>IFERROR(__xludf.DUMMYFUNCTION("""COMPUTED_VALUE"""),1.21399E7)</f>
        <v>12139900</v>
      </c>
      <c r="G785" s="2">
        <f t="shared" si="1"/>
        <v>25</v>
      </c>
    </row>
    <row r="786" ht="15.75" customHeight="1">
      <c r="A786" s="1">
        <f>IFERROR(__xludf.DUMMYFUNCTION("""COMPUTED_VALUE"""),44998.66666666667)</f>
        <v>44998.66667</v>
      </c>
      <c r="B786" s="2">
        <f>IFERROR(__xludf.DUMMYFUNCTION("""COMPUTED_VALUE"""),1275.0)</f>
        <v>1275</v>
      </c>
      <c r="C786" s="2">
        <f>IFERROR(__xludf.DUMMYFUNCTION("""COMPUTED_VALUE"""),1275.0)</f>
        <v>1275</v>
      </c>
      <c r="D786" s="2">
        <f>IFERROR(__xludf.DUMMYFUNCTION("""COMPUTED_VALUE"""),1240.0)</f>
        <v>1240</v>
      </c>
      <c r="E786" s="2">
        <f>IFERROR(__xludf.DUMMYFUNCTION("""COMPUTED_VALUE"""),1245.0)</f>
        <v>1245</v>
      </c>
      <c r="F786" s="2">
        <f>IFERROR(__xludf.DUMMYFUNCTION("""COMPUTED_VALUE"""),2.21667E7)</f>
        <v>22166700</v>
      </c>
      <c r="G786" s="2">
        <f t="shared" si="1"/>
        <v>35</v>
      </c>
    </row>
    <row r="787" ht="15.75" customHeight="1">
      <c r="A787" s="1">
        <f>IFERROR(__xludf.DUMMYFUNCTION("""COMPUTED_VALUE"""),44999.66666666667)</f>
        <v>44999.66667</v>
      </c>
      <c r="B787" s="2">
        <f>IFERROR(__xludf.DUMMYFUNCTION("""COMPUTED_VALUE"""),1240.0)</f>
        <v>1240</v>
      </c>
      <c r="C787" s="2">
        <f>IFERROR(__xludf.DUMMYFUNCTION("""COMPUTED_VALUE"""),1240.0)</f>
        <v>1240</v>
      </c>
      <c r="D787" s="2">
        <f>IFERROR(__xludf.DUMMYFUNCTION("""COMPUTED_VALUE"""),1190.0)</f>
        <v>1190</v>
      </c>
      <c r="E787" s="2">
        <f>IFERROR(__xludf.DUMMYFUNCTION("""COMPUTED_VALUE"""),1195.0)</f>
        <v>1195</v>
      </c>
      <c r="F787" s="2">
        <f>IFERROR(__xludf.DUMMYFUNCTION("""COMPUTED_VALUE"""),5.98145E7)</f>
        <v>59814500</v>
      </c>
      <c r="G787" s="2">
        <f t="shared" si="1"/>
        <v>55</v>
      </c>
    </row>
    <row r="788" ht="15.75" customHeight="1">
      <c r="A788" s="1">
        <f>IFERROR(__xludf.DUMMYFUNCTION("""COMPUTED_VALUE"""),45000.66666666667)</f>
        <v>45000.66667</v>
      </c>
      <c r="B788" s="2">
        <f>IFERROR(__xludf.DUMMYFUNCTION("""COMPUTED_VALUE"""),1205.0)</f>
        <v>1205</v>
      </c>
      <c r="C788" s="2">
        <f>IFERROR(__xludf.DUMMYFUNCTION("""COMPUTED_VALUE"""),1225.0)</f>
        <v>1225</v>
      </c>
      <c r="D788" s="2">
        <f>IFERROR(__xludf.DUMMYFUNCTION("""COMPUTED_VALUE"""),1170.0)</f>
        <v>1170</v>
      </c>
      <c r="E788" s="2">
        <f>IFERROR(__xludf.DUMMYFUNCTION("""COMPUTED_VALUE"""),1175.0)</f>
        <v>1175</v>
      </c>
      <c r="F788" s="2">
        <f>IFERROR(__xludf.DUMMYFUNCTION("""COMPUTED_VALUE"""),3.78537E7)</f>
        <v>37853700</v>
      </c>
      <c r="G788" s="2">
        <f t="shared" si="1"/>
        <v>55</v>
      </c>
    </row>
    <row r="789" ht="15.75" customHeight="1">
      <c r="A789" s="1">
        <f>IFERROR(__xludf.DUMMYFUNCTION("""COMPUTED_VALUE"""),45001.66666666667)</f>
        <v>45001.66667</v>
      </c>
      <c r="B789" s="2">
        <f>IFERROR(__xludf.DUMMYFUNCTION("""COMPUTED_VALUE"""),1175.0)</f>
        <v>1175</v>
      </c>
      <c r="C789" s="2">
        <f>IFERROR(__xludf.DUMMYFUNCTION("""COMPUTED_VALUE"""),1185.0)</f>
        <v>1185</v>
      </c>
      <c r="D789" s="2">
        <f>IFERROR(__xludf.DUMMYFUNCTION("""COMPUTED_VALUE"""),1150.0)</f>
        <v>1150</v>
      </c>
      <c r="E789" s="2">
        <f>IFERROR(__xludf.DUMMYFUNCTION("""COMPUTED_VALUE"""),1180.0)</f>
        <v>1180</v>
      </c>
      <c r="F789" s="2">
        <f>IFERROR(__xludf.DUMMYFUNCTION("""COMPUTED_VALUE"""),2.65093E7)</f>
        <v>26509300</v>
      </c>
      <c r="G789" s="2">
        <f t="shared" si="1"/>
        <v>35</v>
      </c>
    </row>
    <row r="790" ht="15.75" customHeight="1">
      <c r="A790" s="1">
        <f>IFERROR(__xludf.DUMMYFUNCTION("""COMPUTED_VALUE"""),45002.66666666667)</f>
        <v>45002.66667</v>
      </c>
      <c r="B790" s="2">
        <f>IFERROR(__xludf.DUMMYFUNCTION("""COMPUTED_VALUE"""),1195.0)</f>
        <v>1195</v>
      </c>
      <c r="C790" s="2">
        <f>IFERROR(__xludf.DUMMYFUNCTION("""COMPUTED_VALUE"""),1245.0)</f>
        <v>1245</v>
      </c>
      <c r="D790" s="2">
        <f>IFERROR(__xludf.DUMMYFUNCTION("""COMPUTED_VALUE"""),1190.0)</f>
        <v>1190</v>
      </c>
      <c r="E790" s="2">
        <f>IFERROR(__xludf.DUMMYFUNCTION("""COMPUTED_VALUE"""),1235.0)</f>
        <v>1235</v>
      </c>
      <c r="F790" s="2">
        <f>IFERROR(__xludf.DUMMYFUNCTION("""COMPUTED_VALUE"""),3.36357E7)</f>
        <v>33635700</v>
      </c>
      <c r="G790" s="2">
        <f t="shared" si="1"/>
        <v>65</v>
      </c>
    </row>
    <row r="791" ht="15.75" customHeight="1">
      <c r="A791" s="1">
        <f>IFERROR(__xludf.DUMMYFUNCTION("""COMPUTED_VALUE"""),45005.66666666667)</f>
        <v>45005.66667</v>
      </c>
      <c r="B791" s="2">
        <f>IFERROR(__xludf.DUMMYFUNCTION("""COMPUTED_VALUE"""),1230.0)</f>
        <v>1230</v>
      </c>
      <c r="C791" s="2">
        <f>IFERROR(__xludf.DUMMYFUNCTION("""COMPUTED_VALUE"""),1235.0)</f>
        <v>1235</v>
      </c>
      <c r="D791" s="2">
        <f>IFERROR(__xludf.DUMMYFUNCTION("""COMPUTED_VALUE"""),1200.0)</f>
        <v>1200</v>
      </c>
      <c r="E791" s="2">
        <f>IFERROR(__xludf.DUMMYFUNCTION("""COMPUTED_VALUE"""),1200.0)</f>
        <v>1200</v>
      </c>
      <c r="F791" s="2">
        <f>IFERROR(__xludf.DUMMYFUNCTION("""COMPUTED_VALUE"""),1.62059E7)</f>
        <v>16205900</v>
      </c>
      <c r="G791" s="2">
        <f t="shared" si="1"/>
        <v>35</v>
      </c>
    </row>
    <row r="792" ht="15.75" customHeight="1">
      <c r="A792" s="1">
        <f>IFERROR(__xludf.DUMMYFUNCTION("""COMPUTED_VALUE"""),45006.66666666667)</f>
        <v>45006.66667</v>
      </c>
      <c r="B792" s="2">
        <f>IFERROR(__xludf.DUMMYFUNCTION("""COMPUTED_VALUE"""),1205.0)</f>
        <v>1205</v>
      </c>
      <c r="C792" s="2">
        <f>IFERROR(__xludf.DUMMYFUNCTION("""COMPUTED_VALUE"""),1230.0)</f>
        <v>1230</v>
      </c>
      <c r="D792" s="2">
        <f>IFERROR(__xludf.DUMMYFUNCTION("""COMPUTED_VALUE"""),1205.0)</f>
        <v>1205</v>
      </c>
      <c r="E792" s="2">
        <f>IFERROR(__xludf.DUMMYFUNCTION("""COMPUTED_VALUE"""),1215.0)</f>
        <v>1215</v>
      </c>
      <c r="F792" s="2">
        <f>IFERROR(__xludf.DUMMYFUNCTION("""COMPUTED_VALUE"""),1.18301E7)</f>
        <v>11830100</v>
      </c>
      <c r="G792" s="2">
        <f t="shared" si="1"/>
        <v>30</v>
      </c>
    </row>
    <row r="793" ht="15.75" customHeight="1">
      <c r="A793" s="1">
        <f>IFERROR(__xludf.DUMMYFUNCTION("""COMPUTED_VALUE"""),45009.66666666667)</f>
        <v>45009.66667</v>
      </c>
      <c r="B793" s="2">
        <f>IFERROR(__xludf.DUMMYFUNCTION("""COMPUTED_VALUE"""),1225.0)</f>
        <v>1225</v>
      </c>
      <c r="C793" s="2">
        <f>IFERROR(__xludf.DUMMYFUNCTION("""COMPUTED_VALUE"""),1295.0)</f>
        <v>1295</v>
      </c>
      <c r="D793" s="2">
        <f>IFERROR(__xludf.DUMMYFUNCTION("""COMPUTED_VALUE"""),1220.0)</f>
        <v>1220</v>
      </c>
      <c r="E793" s="2">
        <f>IFERROR(__xludf.DUMMYFUNCTION("""COMPUTED_VALUE"""),1280.0)</f>
        <v>1280</v>
      </c>
      <c r="F793" s="2">
        <f>IFERROR(__xludf.DUMMYFUNCTION("""COMPUTED_VALUE"""),3.8613E7)</f>
        <v>38613000</v>
      </c>
      <c r="G793" s="2">
        <f t="shared" si="1"/>
        <v>80</v>
      </c>
    </row>
    <row r="794" ht="15.75" customHeight="1">
      <c r="A794" s="1">
        <f>IFERROR(__xludf.DUMMYFUNCTION("""COMPUTED_VALUE"""),45012.66666666667)</f>
        <v>45012.66667</v>
      </c>
      <c r="B794" s="2">
        <f>IFERROR(__xludf.DUMMYFUNCTION("""COMPUTED_VALUE"""),1295.0)</f>
        <v>1295</v>
      </c>
      <c r="C794" s="2">
        <f>IFERROR(__xludf.DUMMYFUNCTION("""COMPUTED_VALUE"""),1300.0)</f>
        <v>1300</v>
      </c>
      <c r="D794" s="2">
        <f>IFERROR(__xludf.DUMMYFUNCTION("""COMPUTED_VALUE"""),1265.0)</f>
        <v>1265</v>
      </c>
      <c r="E794" s="2">
        <f>IFERROR(__xludf.DUMMYFUNCTION("""COMPUTED_VALUE"""),1265.0)</f>
        <v>1265</v>
      </c>
      <c r="F794" s="2">
        <f>IFERROR(__xludf.DUMMYFUNCTION("""COMPUTED_VALUE"""),2.85299E7)</f>
        <v>28529900</v>
      </c>
      <c r="G794" s="2">
        <f t="shared" si="1"/>
        <v>35</v>
      </c>
    </row>
    <row r="795" ht="15.75" customHeight="1">
      <c r="A795" s="1">
        <f>IFERROR(__xludf.DUMMYFUNCTION("""COMPUTED_VALUE"""),45013.66666666667)</f>
        <v>45013.66667</v>
      </c>
      <c r="B795" s="2">
        <f>IFERROR(__xludf.DUMMYFUNCTION("""COMPUTED_VALUE"""),1270.0)</f>
        <v>1270</v>
      </c>
      <c r="C795" s="2">
        <f>IFERROR(__xludf.DUMMYFUNCTION("""COMPUTED_VALUE"""),1280.0)</f>
        <v>1280</v>
      </c>
      <c r="D795" s="2">
        <f>IFERROR(__xludf.DUMMYFUNCTION("""COMPUTED_VALUE"""),1255.0)</f>
        <v>1255</v>
      </c>
      <c r="E795" s="2">
        <f>IFERROR(__xludf.DUMMYFUNCTION("""COMPUTED_VALUE"""),1260.0)</f>
        <v>1260</v>
      </c>
      <c r="F795" s="2">
        <f>IFERROR(__xludf.DUMMYFUNCTION("""COMPUTED_VALUE"""),4.2101E7)</f>
        <v>42101000</v>
      </c>
      <c r="G795" s="2">
        <f t="shared" si="1"/>
        <v>25</v>
      </c>
    </row>
    <row r="796" ht="15.75" customHeight="1">
      <c r="A796" s="1">
        <f>IFERROR(__xludf.DUMMYFUNCTION("""COMPUTED_VALUE"""),45014.66666666667)</f>
        <v>45014.66667</v>
      </c>
      <c r="B796" s="2">
        <f>IFERROR(__xludf.DUMMYFUNCTION("""COMPUTED_VALUE"""),1225.0)</f>
        <v>1225</v>
      </c>
      <c r="C796" s="2">
        <f>IFERROR(__xludf.DUMMYFUNCTION("""COMPUTED_VALUE"""),1240.0)</f>
        <v>1240</v>
      </c>
      <c r="D796" s="2">
        <f>IFERROR(__xludf.DUMMYFUNCTION("""COMPUTED_VALUE"""),1215.0)</f>
        <v>1215</v>
      </c>
      <c r="E796" s="2">
        <f>IFERROR(__xludf.DUMMYFUNCTION("""COMPUTED_VALUE"""),1240.0)</f>
        <v>1240</v>
      </c>
      <c r="F796" s="2">
        <f>IFERROR(__xludf.DUMMYFUNCTION("""COMPUTED_VALUE"""),2.33959E7)</f>
        <v>23395900</v>
      </c>
      <c r="G796" s="2">
        <f t="shared" si="1"/>
        <v>45</v>
      </c>
    </row>
    <row r="797" ht="15.75" customHeight="1">
      <c r="A797" s="1">
        <f>IFERROR(__xludf.DUMMYFUNCTION("""COMPUTED_VALUE"""),45015.66666666667)</f>
        <v>45015.66667</v>
      </c>
      <c r="B797" s="2">
        <f>IFERROR(__xludf.DUMMYFUNCTION("""COMPUTED_VALUE"""),1240.0)</f>
        <v>1240</v>
      </c>
      <c r="C797" s="2">
        <f>IFERROR(__xludf.DUMMYFUNCTION("""COMPUTED_VALUE"""),1255.0)</f>
        <v>1255</v>
      </c>
      <c r="D797" s="2">
        <f>IFERROR(__xludf.DUMMYFUNCTION("""COMPUTED_VALUE"""),1235.0)</f>
        <v>1235</v>
      </c>
      <c r="E797" s="2">
        <f>IFERROR(__xludf.DUMMYFUNCTION("""COMPUTED_VALUE"""),1240.0)</f>
        <v>1240</v>
      </c>
      <c r="F797" s="2">
        <f>IFERROR(__xludf.DUMMYFUNCTION("""COMPUTED_VALUE"""),1.50935E7)</f>
        <v>15093500</v>
      </c>
      <c r="G797" s="2">
        <f t="shared" si="1"/>
        <v>20</v>
      </c>
    </row>
    <row r="798" ht="15.75" customHeight="1">
      <c r="A798" s="1">
        <f>IFERROR(__xludf.DUMMYFUNCTION("""COMPUTED_VALUE"""),45016.66666666667)</f>
        <v>45016.66667</v>
      </c>
      <c r="B798" s="2">
        <f>IFERROR(__xludf.DUMMYFUNCTION("""COMPUTED_VALUE"""),1245.0)</f>
        <v>1245</v>
      </c>
      <c r="C798" s="2">
        <f>IFERROR(__xludf.DUMMYFUNCTION("""COMPUTED_VALUE"""),1250.0)</f>
        <v>1250</v>
      </c>
      <c r="D798" s="2">
        <f>IFERROR(__xludf.DUMMYFUNCTION("""COMPUTED_VALUE"""),1220.0)</f>
        <v>1220</v>
      </c>
      <c r="E798" s="2">
        <f>IFERROR(__xludf.DUMMYFUNCTION("""COMPUTED_VALUE"""),1225.0)</f>
        <v>1225</v>
      </c>
      <c r="F798" s="2">
        <f>IFERROR(__xludf.DUMMYFUNCTION("""COMPUTED_VALUE"""),1.27775E7)</f>
        <v>12777500</v>
      </c>
      <c r="G798" s="2">
        <f t="shared" si="1"/>
        <v>30</v>
      </c>
    </row>
    <row r="799" ht="15.75" customHeight="1">
      <c r="A799" s="1">
        <f>IFERROR(__xludf.DUMMYFUNCTION("""COMPUTED_VALUE"""),45019.66666666667)</f>
        <v>45019.66667</v>
      </c>
      <c r="B799" s="2">
        <f>IFERROR(__xludf.DUMMYFUNCTION("""COMPUTED_VALUE"""),1230.0)</f>
        <v>1230</v>
      </c>
      <c r="C799" s="2">
        <f>IFERROR(__xludf.DUMMYFUNCTION("""COMPUTED_VALUE"""),1240.0)</f>
        <v>1240</v>
      </c>
      <c r="D799" s="2">
        <f>IFERROR(__xludf.DUMMYFUNCTION("""COMPUTED_VALUE"""),1220.0)</f>
        <v>1220</v>
      </c>
      <c r="E799" s="2">
        <f>IFERROR(__xludf.DUMMYFUNCTION("""COMPUTED_VALUE"""),1225.0)</f>
        <v>1225</v>
      </c>
      <c r="F799" s="2">
        <f>IFERROR(__xludf.DUMMYFUNCTION("""COMPUTED_VALUE"""),1.5201E7)</f>
        <v>15201000</v>
      </c>
      <c r="G799" s="2">
        <f t="shared" si="1"/>
        <v>20</v>
      </c>
    </row>
    <row r="800" ht="15.75" customHeight="1">
      <c r="A800" s="1">
        <f>IFERROR(__xludf.DUMMYFUNCTION("""COMPUTED_VALUE"""),45020.66666666667)</f>
        <v>45020.66667</v>
      </c>
      <c r="B800" s="2">
        <f>IFERROR(__xludf.DUMMYFUNCTION("""COMPUTED_VALUE"""),1225.0)</f>
        <v>1225</v>
      </c>
      <c r="C800" s="2">
        <f>IFERROR(__xludf.DUMMYFUNCTION("""COMPUTED_VALUE"""),1235.0)</f>
        <v>1235</v>
      </c>
      <c r="D800" s="2">
        <f>IFERROR(__xludf.DUMMYFUNCTION("""COMPUTED_VALUE"""),1215.0)</f>
        <v>1215</v>
      </c>
      <c r="E800" s="2">
        <f>IFERROR(__xludf.DUMMYFUNCTION("""COMPUTED_VALUE"""),1215.0)</f>
        <v>1215</v>
      </c>
      <c r="F800" s="2">
        <f>IFERROR(__xludf.DUMMYFUNCTION("""COMPUTED_VALUE"""),1.17809E7)</f>
        <v>11780900</v>
      </c>
      <c r="G800" s="2">
        <f t="shared" si="1"/>
        <v>20</v>
      </c>
    </row>
    <row r="801" ht="15.75" customHeight="1">
      <c r="A801" s="1">
        <f>IFERROR(__xludf.DUMMYFUNCTION("""COMPUTED_VALUE"""),45021.66666666667)</f>
        <v>45021.66667</v>
      </c>
      <c r="B801" s="2">
        <f>IFERROR(__xludf.DUMMYFUNCTION("""COMPUTED_VALUE"""),1215.0)</f>
        <v>1215</v>
      </c>
      <c r="C801" s="2">
        <f>IFERROR(__xludf.DUMMYFUNCTION("""COMPUTED_VALUE"""),1260.0)</f>
        <v>1260</v>
      </c>
      <c r="D801" s="2">
        <f>IFERROR(__xludf.DUMMYFUNCTION("""COMPUTED_VALUE"""),1215.0)</f>
        <v>1215</v>
      </c>
      <c r="E801" s="2">
        <f>IFERROR(__xludf.DUMMYFUNCTION("""COMPUTED_VALUE"""),1230.0)</f>
        <v>1230</v>
      </c>
      <c r="F801" s="2">
        <f>IFERROR(__xludf.DUMMYFUNCTION("""COMPUTED_VALUE"""),2.7563E7)</f>
        <v>27563000</v>
      </c>
      <c r="G801" s="2">
        <f t="shared" si="1"/>
        <v>45</v>
      </c>
    </row>
    <row r="802" ht="15.75" customHeight="1">
      <c r="A802" s="1">
        <f>IFERROR(__xludf.DUMMYFUNCTION("""COMPUTED_VALUE"""),45022.66666666667)</f>
        <v>45022.66667</v>
      </c>
      <c r="B802" s="2">
        <f>IFERROR(__xludf.DUMMYFUNCTION("""COMPUTED_VALUE"""),1240.0)</f>
        <v>1240</v>
      </c>
      <c r="C802" s="2">
        <f>IFERROR(__xludf.DUMMYFUNCTION("""COMPUTED_VALUE"""),1255.0)</f>
        <v>1255</v>
      </c>
      <c r="D802" s="2">
        <f>IFERROR(__xludf.DUMMYFUNCTION("""COMPUTED_VALUE"""),1230.0)</f>
        <v>1230</v>
      </c>
      <c r="E802" s="2">
        <f>IFERROR(__xludf.DUMMYFUNCTION("""COMPUTED_VALUE"""),1235.0)</f>
        <v>1235</v>
      </c>
      <c r="F802" s="2">
        <f>IFERROR(__xludf.DUMMYFUNCTION("""COMPUTED_VALUE"""),1.92475E7)</f>
        <v>19247500</v>
      </c>
      <c r="G802" s="2">
        <f t="shared" si="1"/>
        <v>25</v>
      </c>
    </row>
    <row r="803" ht="15.75" customHeight="1">
      <c r="A803" s="1">
        <f>IFERROR(__xludf.DUMMYFUNCTION("""COMPUTED_VALUE"""),45026.66666666667)</f>
        <v>45026.66667</v>
      </c>
      <c r="B803" s="2">
        <f>IFERROR(__xludf.DUMMYFUNCTION("""COMPUTED_VALUE"""),1235.0)</f>
        <v>1235</v>
      </c>
      <c r="C803" s="2">
        <f>IFERROR(__xludf.DUMMYFUNCTION("""COMPUTED_VALUE"""),1245.0)</f>
        <v>1245</v>
      </c>
      <c r="D803" s="2">
        <f>IFERROR(__xludf.DUMMYFUNCTION("""COMPUTED_VALUE"""),1230.0)</f>
        <v>1230</v>
      </c>
      <c r="E803" s="2">
        <f>IFERROR(__xludf.DUMMYFUNCTION("""COMPUTED_VALUE"""),1240.0)</f>
        <v>1240</v>
      </c>
      <c r="F803" s="2">
        <f>IFERROR(__xludf.DUMMYFUNCTION("""COMPUTED_VALUE"""),2.37555E7)</f>
        <v>23755500</v>
      </c>
      <c r="G803" s="2">
        <f t="shared" si="1"/>
        <v>15</v>
      </c>
    </row>
    <row r="804" ht="15.75" customHeight="1">
      <c r="A804" s="1">
        <f>IFERROR(__xludf.DUMMYFUNCTION("""COMPUTED_VALUE"""),45027.66666666667)</f>
        <v>45027.66667</v>
      </c>
      <c r="B804" s="2">
        <f>IFERROR(__xludf.DUMMYFUNCTION("""COMPUTED_VALUE"""),1240.0)</f>
        <v>1240</v>
      </c>
      <c r="C804" s="2">
        <f>IFERROR(__xludf.DUMMYFUNCTION("""COMPUTED_VALUE"""),1260.0)</f>
        <v>1260</v>
      </c>
      <c r="D804" s="2">
        <f>IFERROR(__xludf.DUMMYFUNCTION("""COMPUTED_VALUE"""),1235.0)</f>
        <v>1235</v>
      </c>
      <c r="E804" s="2">
        <f>IFERROR(__xludf.DUMMYFUNCTION("""COMPUTED_VALUE"""),1235.0)</f>
        <v>1235</v>
      </c>
      <c r="F804" s="2">
        <f>IFERROR(__xludf.DUMMYFUNCTION("""COMPUTED_VALUE"""),9764200.0)</f>
        <v>9764200</v>
      </c>
      <c r="G804" s="2">
        <f t="shared" si="1"/>
        <v>25</v>
      </c>
    </row>
    <row r="805" ht="15.75" customHeight="1">
      <c r="A805" s="1">
        <f>IFERROR(__xludf.DUMMYFUNCTION("""COMPUTED_VALUE"""),45028.66666666667)</f>
        <v>45028.66667</v>
      </c>
      <c r="B805" s="2">
        <f>IFERROR(__xludf.DUMMYFUNCTION("""COMPUTED_VALUE"""),1245.0)</f>
        <v>1245</v>
      </c>
      <c r="C805" s="2">
        <f>IFERROR(__xludf.DUMMYFUNCTION("""COMPUTED_VALUE"""),1265.0)</f>
        <v>1265</v>
      </c>
      <c r="D805" s="2">
        <f>IFERROR(__xludf.DUMMYFUNCTION("""COMPUTED_VALUE"""),1240.0)</f>
        <v>1240</v>
      </c>
      <c r="E805" s="2">
        <f>IFERROR(__xludf.DUMMYFUNCTION("""COMPUTED_VALUE"""),1255.0)</f>
        <v>1255</v>
      </c>
      <c r="F805" s="2">
        <f>IFERROR(__xludf.DUMMYFUNCTION("""COMPUTED_VALUE"""),2.10409E7)</f>
        <v>21040900</v>
      </c>
      <c r="G805" s="2">
        <f t="shared" si="1"/>
        <v>30</v>
      </c>
    </row>
    <row r="806" ht="15.75" customHeight="1">
      <c r="A806" s="1">
        <f>IFERROR(__xludf.DUMMYFUNCTION("""COMPUTED_VALUE"""),45029.66666666667)</f>
        <v>45029.66667</v>
      </c>
      <c r="B806" s="2">
        <f>IFERROR(__xludf.DUMMYFUNCTION("""COMPUTED_VALUE"""),1260.0)</f>
        <v>1260</v>
      </c>
      <c r="C806" s="2">
        <f>IFERROR(__xludf.DUMMYFUNCTION("""COMPUTED_VALUE"""),1275.0)</f>
        <v>1275</v>
      </c>
      <c r="D806" s="2">
        <f>IFERROR(__xludf.DUMMYFUNCTION("""COMPUTED_VALUE"""),1255.0)</f>
        <v>1255</v>
      </c>
      <c r="E806" s="2">
        <f>IFERROR(__xludf.DUMMYFUNCTION("""COMPUTED_VALUE"""),1270.0)</f>
        <v>1270</v>
      </c>
      <c r="F806" s="2">
        <f>IFERROR(__xludf.DUMMYFUNCTION("""COMPUTED_VALUE"""),2.38662E7)</f>
        <v>23866200</v>
      </c>
      <c r="G806" s="2">
        <f t="shared" si="1"/>
        <v>20</v>
      </c>
    </row>
    <row r="807" ht="15.75" customHeight="1">
      <c r="A807" s="1">
        <f>IFERROR(__xludf.DUMMYFUNCTION("""COMPUTED_VALUE"""),45030.66666666667)</f>
        <v>45030.66667</v>
      </c>
      <c r="B807" s="2">
        <f>IFERROR(__xludf.DUMMYFUNCTION("""COMPUTED_VALUE"""),1300.0)</f>
        <v>1300</v>
      </c>
      <c r="C807" s="2">
        <f>IFERROR(__xludf.DUMMYFUNCTION("""COMPUTED_VALUE"""),1300.0)</f>
        <v>1300</v>
      </c>
      <c r="D807" s="2">
        <f>IFERROR(__xludf.DUMMYFUNCTION("""COMPUTED_VALUE"""),1265.0)</f>
        <v>1265</v>
      </c>
      <c r="E807" s="2">
        <f>IFERROR(__xludf.DUMMYFUNCTION("""COMPUTED_VALUE"""),1265.0)</f>
        <v>1265</v>
      </c>
      <c r="F807" s="2">
        <f>IFERROR(__xludf.DUMMYFUNCTION("""COMPUTED_VALUE"""),3.08189E7)</f>
        <v>30818900</v>
      </c>
      <c r="G807" s="2">
        <f t="shared" si="1"/>
        <v>35</v>
      </c>
    </row>
    <row r="808" ht="15.75" customHeight="1">
      <c r="A808" s="1">
        <f>IFERROR(__xludf.DUMMYFUNCTION("""COMPUTED_VALUE"""),45033.66666666667)</f>
        <v>45033.66667</v>
      </c>
      <c r="B808" s="2">
        <f>IFERROR(__xludf.DUMMYFUNCTION("""COMPUTED_VALUE"""),1270.0)</f>
        <v>1270</v>
      </c>
      <c r="C808" s="2">
        <f>IFERROR(__xludf.DUMMYFUNCTION("""COMPUTED_VALUE"""),1270.0)</f>
        <v>1270</v>
      </c>
      <c r="D808" s="2">
        <f>IFERROR(__xludf.DUMMYFUNCTION("""COMPUTED_VALUE"""),1250.0)</f>
        <v>1250</v>
      </c>
      <c r="E808" s="2">
        <f>IFERROR(__xludf.DUMMYFUNCTION("""COMPUTED_VALUE"""),1255.0)</f>
        <v>1255</v>
      </c>
      <c r="F808" s="2">
        <f>IFERROR(__xludf.DUMMYFUNCTION("""COMPUTED_VALUE"""),1.31472E7)</f>
        <v>13147200</v>
      </c>
      <c r="G808" s="2">
        <f t="shared" si="1"/>
        <v>20</v>
      </c>
    </row>
    <row r="809" ht="15.75" customHeight="1">
      <c r="A809" s="1">
        <f>IFERROR(__xludf.DUMMYFUNCTION("""COMPUTED_VALUE"""),45034.66666666667)</f>
        <v>45034.66667</v>
      </c>
      <c r="B809" s="2">
        <f>IFERROR(__xludf.DUMMYFUNCTION("""COMPUTED_VALUE"""),1255.0)</f>
        <v>1255</v>
      </c>
      <c r="C809" s="2">
        <f>IFERROR(__xludf.DUMMYFUNCTION("""COMPUTED_VALUE"""),1275.0)</f>
        <v>1275</v>
      </c>
      <c r="D809" s="2">
        <f>IFERROR(__xludf.DUMMYFUNCTION("""COMPUTED_VALUE"""),1245.0)</f>
        <v>1245</v>
      </c>
      <c r="E809" s="2">
        <f>IFERROR(__xludf.DUMMYFUNCTION("""COMPUTED_VALUE"""),1250.0)</f>
        <v>1250</v>
      </c>
      <c r="F809" s="2">
        <f>IFERROR(__xludf.DUMMYFUNCTION("""COMPUTED_VALUE"""),1.90793E7)</f>
        <v>19079300</v>
      </c>
      <c r="G809" s="2">
        <f t="shared" si="1"/>
        <v>30</v>
      </c>
    </row>
    <row r="810" ht="15.75" customHeight="1">
      <c r="A810" s="1">
        <f>IFERROR(__xludf.DUMMYFUNCTION("""COMPUTED_VALUE"""),45042.66666666667)</f>
        <v>45042.66667</v>
      </c>
      <c r="B810" s="2">
        <f>IFERROR(__xludf.DUMMYFUNCTION("""COMPUTED_VALUE"""),1250.0)</f>
        <v>1250</v>
      </c>
      <c r="C810" s="2">
        <f>IFERROR(__xludf.DUMMYFUNCTION("""COMPUTED_VALUE"""),1265.0)</f>
        <v>1265</v>
      </c>
      <c r="D810" s="2">
        <f>IFERROR(__xludf.DUMMYFUNCTION("""COMPUTED_VALUE"""),1240.0)</f>
        <v>1240</v>
      </c>
      <c r="E810" s="2">
        <f>IFERROR(__xludf.DUMMYFUNCTION("""COMPUTED_VALUE"""),1260.0)</f>
        <v>1260</v>
      </c>
      <c r="F810" s="2">
        <f>IFERROR(__xludf.DUMMYFUNCTION("""COMPUTED_VALUE"""),1.60335E7)</f>
        <v>16033500</v>
      </c>
      <c r="G810" s="2">
        <f t="shared" si="1"/>
        <v>25</v>
      </c>
    </row>
    <row r="811" ht="15.75" customHeight="1">
      <c r="A811" s="1">
        <f>IFERROR(__xludf.DUMMYFUNCTION("""COMPUTED_VALUE"""),45043.66666666667)</f>
        <v>45043.66667</v>
      </c>
      <c r="B811" s="2">
        <f>IFERROR(__xludf.DUMMYFUNCTION("""COMPUTED_VALUE"""),1260.0)</f>
        <v>1260</v>
      </c>
      <c r="C811" s="2">
        <f>IFERROR(__xludf.DUMMYFUNCTION("""COMPUTED_VALUE"""),1265.0)</f>
        <v>1265</v>
      </c>
      <c r="D811" s="2">
        <f>IFERROR(__xludf.DUMMYFUNCTION("""COMPUTED_VALUE"""),1245.0)</f>
        <v>1245</v>
      </c>
      <c r="E811" s="2">
        <f>IFERROR(__xludf.DUMMYFUNCTION("""COMPUTED_VALUE"""),1250.0)</f>
        <v>1250</v>
      </c>
      <c r="F811" s="2">
        <f>IFERROR(__xludf.DUMMYFUNCTION("""COMPUTED_VALUE"""),1.9383E7)</f>
        <v>19383000</v>
      </c>
      <c r="G811" s="2">
        <f t="shared" si="1"/>
        <v>20</v>
      </c>
    </row>
    <row r="812" ht="15.75" customHeight="1">
      <c r="A812" s="1">
        <f>IFERROR(__xludf.DUMMYFUNCTION("""COMPUTED_VALUE"""),45044.66666666667)</f>
        <v>45044.66667</v>
      </c>
      <c r="B812" s="2">
        <f>IFERROR(__xludf.DUMMYFUNCTION("""COMPUTED_VALUE"""),1250.0)</f>
        <v>1250</v>
      </c>
      <c r="C812" s="2">
        <f>IFERROR(__xludf.DUMMYFUNCTION("""COMPUTED_VALUE"""),1255.0)</f>
        <v>1255</v>
      </c>
      <c r="D812" s="2">
        <f>IFERROR(__xludf.DUMMYFUNCTION("""COMPUTED_VALUE"""),1240.0)</f>
        <v>1240</v>
      </c>
      <c r="E812" s="2">
        <f>IFERROR(__xludf.DUMMYFUNCTION("""COMPUTED_VALUE"""),1245.0)</f>
        <v>1245</v>
      </c>
      <c r="F812" s="2">
        <f>IFERROR(__xludf.DUMMYFUNCTION("""COMPUTED_VALUE"""),2.40539E7)</f>
        <v>24053900</v>
      </c>
      <c r="G812" s="2">
        <f t="shared" si="1"/>
        <v>15</v>
      </c>
    </row>
    <row r="813" ht="15.75" customHeight="1">
      <c r="A813" s="1">
        <f>IFERROR(__xludf.DUMMYFUNCTION("""COMPUTED_VALUE"""),45048.66666666667)</f>
        <v>45048.66667</v>
      </c>
      <c r="B813" s="2">
        <f>IFERROR(__xludf.DUMMYFUNCTION("""COMPUTED_VALUE"""),1245.0)</f>
        <v>1245</v>
      </c>
      <c r="C813" s="2">
        <f>IFERROR(__xludf.DUMMYFUNCTION("""COMPUTED_VALUE"""),1260.0)</f>
        <v>1260</v>
      </c>
      <c r="D813" s="2">
        <f>IFERROR(__xludf.DUMMYFUNCTION("""COMPUTED_VALUE"""),1240.0)</f>
        <v>1240</v>
      </c>
      <c r="E813" s="2">
        <f>IFERROR(__xludf.DUMMYFUNCTION("""COMPUTED_VALUE"""),1250.0)</f>
        <v>1250</v>
      </c>
      <c r="F813" s="2">
        <f>IFERROR(__xludf.DUMMYFUNCTION("""COMPUTED_VALUE"""),1.48043E7)</f>
        <v>14804300</v>
      </c>
      <c r="G813" s="2">
        <f t="shared" si="1"/>
        <v>20</v>
      </c>
    </row>
    <row r="814" ht="15.75" customHeight="1">
      <c r="A814" s="1">
        <f>IFERROR(__xludf.DUMMYFUNCTION("""COMPUTED_VALUE"""),45049.66666666667)</f>
        <v>45049.66667</v>
      </c>
      <c r="B814" s="2">
        <f>IFERROR(__xludf.DUMMYFUNCTION("""COMPUTED_VALUE"""),1250.0)</f>
        <v>1250</v>
      </c>
      <c r="C814" s="2">
        <f>IFERROR(__xludf.DUMMYFUNCTION("""COMPUTED_VALUE"""),1250.0)</f>
        <v>1250</v>
      </c>
      <c r="D814" s="2">
        <f>IFERROR(__xludf.DUMMYFUNCTION("""COMPUTED_VALUE"""),1220.0)</f>
        <v>1220</v>
      </c>
      <c r="E814" s="2">
        <f>IFERROR(__xludf.DUMMYFUNCTION("""COMPUTED_VALUE"""),1225.0)</f>
        <v>1225</v>
      </c>
      <c r="F814" s="2">
        <f>IFERROR(__xludf.DUMMYFUNCTION("""COMPUTED_VALUE"""),1.40786E7)</f>
        <v>14078600</v>
      </c>
      <c r="G814" s="2">
        <f t="shared" si="1"/>
        <v>30</v>
      </c>
    </row>
    <row r="815" ht="15.75" customHeight="1">
      <c r="A815" s="1">
        <f>IFERROR(__xludf.DUMMYFUNCTION("""COMPUTED_VALUE"""),45050.66666666667)</f>
        <v>45050.66667</v>
      </c>
      <c r="B815" s="2">
        <f>IFERROR(__xludf.DUMMYFUNCTION("""COMPUTED_VALUE"""),1225.0)</f>
        <v>1225</v>
      </c>
      <c r="C815" s="2">
        <f>IFERROR(__xludf.DUMMYFUNCTION("""COMPUTED_VALUE"""),1240.0)</f>
        <v>1240</v>
      </c>
      <c r="D815" s="2">
        <f>IFERROR(__xludf.DUMMYFUNCTION("""COMPUTED_VALUE"""),1210.0)</f>
        <v>1210</v>
      </c>
      <c r="E815" s="2">
        <f>IFERROR(__xludf.DUMMYFUNCTION("""COMPUTED_VALUE"""),1230.0)</f>
        <v>1230</v>
      </c>
      <c r="F815" s="2">
        <f>IFERROR(__xludf.DUMMYFUNCTION("""COMPUTED_VALUE"""),1.30576E7)</f>
        <v>13057600</v>
      </c>
      <c r="G815" s="2">
        <f t="shared" si="1"/>
        <v>30</v>
      </c>
    </row>
    <row r="816" ht="15.75" customHeight="1">
      <c r="A816" s="1">
        <f>IFERROR(__xludf.DUMMYFUNCTION("""COMPUTED_VALUE"""),45051.66666666667)</f>
        <v>45051.66667</v>
      </c>
      <c r="B816" s="2">
        <f>IFERROR(__xludf.DUMMYFUNCTION("""COMPUTED_VALUE"""),1230.0)</f>
        <v>1230</v>
      </c>
      <c r="C816" s="2">
        <f>IFERROR(__xludf.DUMMYFUNCTION("""COMPUTED_VALUE"""),1230.0)</f>
        <v>1230</v>
      </c>
      <c r="D816" s="2">
        <f>IFERROR(__xludf.DUMMYFUNCTION("""COMPUTED_VALUE"""),1210.0)</f>
        <v>1210</v>
      </c>
      <c r="E816" s="2">
        <f>IFERROR(__xludf.DUMMYFUNCTION("""COMPUTED_VALUE"""),1220.0)</f>
        <v>1220</v>
      </c>
      <c r="F816" s="2">
        <f>IFERROR(__xludf.DUMMYFUNCTION("""COMPUTED_VALUE"""),1.36391E7)</f>
        <v>13639100</v>
      </c>
      <c r="G816" s="2">
        <f t="shared" si="1"/>
        <v>20</v>
      </c>
    </row>
    <row r="817" ht="15.75" customHeight="1">
      <c r="A817" s="1">
        <f>IFERROR(__xludf.DUMMYFUNCTION("""COMPUTED_VALUE"""),45054.66666666667)</f>
        <v>45054.66667</v>
      </c>
      <c r="B817" s="2">
        <f>IFERROR(__xludf.DUMMYFUNCTION("""COMPUTED_VALUE"""),1220.0)</f>
        <v>1220</v>
      </c>
      <c r="C817" s="2">
        <f>IFERROR(__xludf.DUMMYFUNCTION("""COMPUTED_VALUE"""),1235.0)</f>
        <v>1235</v>
      </c>
      <c r="D817" s="2">
        <f>IFERROR(__xludf.DUMMYFUNCTION("""COMPUTED_VALUE"""),1210.0)</f>
        <v>1210</v>
      </c>
      <c r="E817" s="2">
        <f>IFERROR(__xludf.DUMMYFUNCTION("""COMPUTED_VALUE"""),1215.0)</f>
        <v>1215</v>
      </c>
      <c r="F817" s="2">
        <f>IFERROR(__xludf.DUMMYFUNCTION("""COMPUTED_VALUE"""),1.68878E7)</f>
        <v>16887800</v>
      </c>
      <c r="G817" s="2">
        <f t="shared" si="1"/>
        <v>25</v>
      </c>
    </row>
    <row r="818" ht="15.75" customHeight="1">
      <c r="A818" s="1">
        <f>IFERROR(__xludf.DUMMYFUNCTION("""COMPUTED_VALUE"""),45055.66666666667)</f>
        <v>45055.66667</v>
      </c>
      <c r="B818" s="2">
        <f>IFERROR(__xludf.DUMMYFUNCTION("""COMPUTED_VALUE"""),1220.0)</f>
        <v>1220</v>
      </c>
      <c r="C818" s="2">
        <f>IFERROR(__xludf.DUMMYFUNCTION("""COMPUTED_VALUE"""),1300.0)</f>
        <v>1300</v>
      </c>
      <c r="D818" s="2">
        <f>IFERROR(__xludf.DUMMYFUNCTION("""COMPUTED_VALUE"""),1220.0)</f>
        <v>1220</v>
      </c>
      <c r="E818" s="2">
        <f>IFERROR(__xludf.DUMMYFUNCTION("""COMPUTED_VALUE"""),1295.0)</f>
        <v>1295</v>
      </c>
      <c r="F818" s="2">
        <f>IFERROR(__xludf.DUMMYFUNCTION("""COMPUTED_VALUE"""),9.43138E7)</f>
        <v>94313800</v>
      </c>
      <c r="G818" s="2">
        <f t="shared" si="1"/>
        <v>85</v>
      </c>
    </row>
    <row r="819" ht="15.75" customHeight="1">
      <c r="A819" s="1">
        <f>IFERROR(__xludf.DUMMYFUNCTION("""COMPUTED_VALUE"""),45056.66666666667)</f>
        <v>45056.66667</v>
      </c>
      <c r="B819" s="2">
        <f>IFERROR(__xludf.DUMMYFUNCTION("""COMPUTED_VALUE"""),1300.0)</f>
        <v>1300</v>
      </c>
      <c r="C819" s="2">
        <f>IFERROR(__xludf.DUMMYFUNCTION("""COMPUTED_VALUE"""),1320.0)</f>
        <v>1320</v>
      </c>
      <c r="D819" s="2">
        <f>IFERROR(__xludf.DUMMYFUNCTION("""COMPUTED_VALUE"""),1285.0)</f>
        <v>1285</v>
      </c>
      <c r="E819" s="2">
        <f>IFERROR(__xludf.DUMMYFUNCTION("""COMPUTED_VALUE"""),1285.0)</f>
        <v>1285</v>
      </c>
      <c r="F819" s="2">
        <f>IFERROR(__xludf.DUMMYFUNCTION("""COMPUTED_VALUE"""),5.82111E7)</f>
        <v>58211100</v>
      </c>
      <c r="G819" s="2">
        <f t="shared" si="1"/>
        <v>35</v>
      </c>
    </row>
    <row r="820" ht="15.75" customHeight="1">
      <c r="A820" s="1">
        <f>IFERROR(__xludf.DUMMYFUNCTION("""COMPUTED_VALUE"""),45057.66666666667)</f>
        <v>45057.66667</v>
      </c>
      <c r="B820" s="2">
        <f>IFERROR(__xludf.DUMMYFUNCTION("""COMPUTED_VALUE"""),1285.0)</f>
        <v>1285</v>
      </c>
      <c r="C820" s="2">
        <f>IFERROR(__xludf.DUMMYFUNCTION("""COMPUTED_VALUE"""),1295.0)</f>
        <v>1295</v>
      </c>
      <c r="D820" s="2">
        <f>IFERROR(__xludf.DUMMYFUNCTION("""COMPUTED_VALUE"""),1270.0)</f>
        <v>1270</v>
      </c>
      <c r="E820" s="2">
        <f>IFERROR(__xludf.DUMMYFUNCTION("""COMPUTED_VALUE"""),1290.0)</f>
        <v>1290</v>
      </c>
      <c r="F820" s="2">
        <f>IFERROR(__xludf.DUMMYFUNCTION("""COMPUTED_VALUE"""),2.05569E7)</f>
        <v>20556900</v>
      </c>
      <c r="G820" s="2">
        <f t="shared" si="1"/>
        <v>25</v>
      </c>
    </row>
    <row r="821" ht="15.75" customHeight="1">
      <c r="A821" s="1">
        <f>IFERROR(__xludf.DUMMYFUNCTION("""COMPUTED_VALUE"""),45058.66666666667)</f>
        <v>45058.66667</v>
      </c>
      <c r="B821" s="2">
        <f>IFERROR(__xludf.DUMMYFUNCTION("""COMPUTED_VALUE"""),1290.0)</f>
        <v>1290</v>
      </c>
      <c r="C821" s="2">
        <f>IFERROR(__xludf.DUMMYFUNCTION("""COMPUTED_VALUE"""),1325.0)</f>
        <v>1325</v>
      </c>
      <c r="D821" s="2">
        <f>IFERROR(__xludf.DUMMYFUNCTION("""COMPUTED_VALUE"""),1290.0)</f>
        <v>1290</v>
      </c>
      <c r="E821" s="2">
        <f>IFERROR(__xludf.DUMMYFUNCTION("""COMPUTED_VALUE"""),1325.0)</f>
        <v>1325</v>
      </c>
      <c r="F821" s="2">
        <f>IFERROR(__xludf.DUMMYFUNCTION("""COMPUTED_VALUE"""),4.97066E7)</f>
        <v>49706600</v>
      </c>
      <c r="G821" s="2">
        <f t="shared" si="1"/>
        <v>35</v>
      </c>
    </row>
    <row r="822" ht="15.75" customHeight="1">
      <c r="A822" s="1">
        <f>IFERROR(__xludf.DUMMYFUNCTION("""COMPUTED_VALUE"""),45061.66666666667)</f>
        <v>45061.66667</v>
      </c>
      <c r="B822" s="2">
        <f>IFERROR(__xludf.DUMMYFUNCTION("""COMPUTED_VALUE"""),1325.0)</f>
        <v>1325</v>
      </c>
      <c r="C822" s="2">
        <f>IFERROR(__xludf.DUMMYFUNCTION("""COMPUTED_VALUE"""),1340.0)</f>
        <v>1340</v>
      </c>
      <c r="D822" s="2">
        <f>IFERROR(__xludf.DUMMYFUNCTION("""COMPUTED_VALUE"""),1310.0)</f>
        <v>1310</v>
      </c>
      <c r="E822" s="2">
        <f>IFERROR(__xludf.DUMMYFUNCTION("""COMPUTED_VALUE"""),1335.0)</f>
        <v>1335</v>
      </c>
      <c r="F822" s="2">
        <f>IFERROR(__xludf.DUMMYFUNCTION("""COMPUTED_VALUE"""),6.19486E7)</f>
        <v>61948600</v>
      </c>
      <c r="G822" s="2">
        <f t="shared" si="1"/>
        <v>30</v>
      </c>
    </row>
    <row r="823" ht="15.75" customHeight="1">
      <c r="A823" s="1">
        <f>IFERROR(__xludf.DUMMYFUNCTION("""COMPUTED_VALUE"""),45062.66666666667)</f>
        <v>45062.66667</v>
      </c>
      <c r="B823" s="2">
        <f>IFERROR(__xludf.DUMMYFUNCTION("""COMPUTED_VALUE"""),1335.0)</f>
        <v>1335</v>
      </c>
      <c r="C823" s="2">
        <f>IFERROR(__xludf.DUMMYFUNCTION("""COMPUTED_VALUE"""),1340.0)</f>
        <v>1340</v>
      </c>
      <c r="D823" s="2">
        <f>IFERROR(__xludf.DUMMYFUNCTION("""COMPUTED_VALUE"""),1295.0)</f>
        <v>1295</v>
      </c>
      <c r="E823" s="2">
        <f>IFERROR(__xludf.DUMMYFUNCTION("""COMPUTED_VALUE"""),1295.0)</f>
        <v>1295</v>
      </c>
      <c r="F823" s="2">
        <f>IFERROR(__xludf.DUMMYFUNCTION("""COMPUTED_VALUE"""),2.78085E7)</f>
        <v>27808500</v>
      </c>
      <c r="G823" s="2">
        <f t="shared" si="1"/>
        <v>45</v>
      </c>
    </row>
    <row r="824" ht="15.75" customHeight="1">
      <c r="A824" s="1">
        <f>IFERROR(__xludf.DUMMYFUNCTION("""COMPUTED_VALUE"""),45063.66666666667)</f>
        <v>45063.66667</v>
      </c>
      <c r="B824" s="2">
        <f>IFERROR(__xludf.DUMMYFUNCTION("""COMPUTED_VALUE"""),1295.0)</f>
        <v>1295</v>
      </c>
      <c r="C824" s="2">
        <f>IFERROR(__xludf.DUMMYFUNCTION("""COMPUTED_VALUE"""),1320.0)</f>
        <v>1320</v>
      </c>
      <c r="D824" s="2">
        <f>IFERROR(__xludf.DUMMYFUNCTION("""COMPUTED_VALUE"""),1275.0)</f>
        <v>1275</v>
      </c>
      <c r="E824" s="2">
        <f>IFERROR(__xludf.DUMMYFUNCTION("""COMPUTED_VALUE"""),1290.0)</f>
        <v>1290</v>
      </c>
      <c r="F824" s="2">
        <f>IFERROR(__xludf.DUMMYFUNCTION("""COMPUTED_VALUE"""),1.96952E7)</f>
        <v>19695200</v>
      </c>
      <c r="G824" s="2">
        <f t="shared" si="1"/>
        <v>45</v>
      </c>
    </row>
    <row r="825" ht="15.75" customHeight="1">
      <c r="A825" s="1">
        <f>IFERROR(__xludf.DUMMYFUNCTION("""COMPUTED_VALUE"""),45065.66666666667)</f>
        <v>45065.66667</v>
      </c>
      <c r="B825" s="2">
        <f>IFERROR(__xludf.DUMMYFUNCTION("""COMPUTED_VALUE"""),1295.0)</f>
        <v>1295</v>
      </c>
      <c r="C825" s="2">
        <f>IFERROR(__xludf.DUMMYFUNCTION("""COMPUTED_VALUE"""),1330.0)</f>
        <v>1330</v>
      </c>
      <c r="D825" s="2">
        <f>IFERROR(__xludf.DUMMYFUNCTION("""COMPUTED_VALUE"""),1290.0)</f>
        <v>1290</v>
      </c>
      <c r="E825" s="2">
        <f>IFERROR(__xludf.DUMMYFUNCTION("""COMPUTED_VALUE"""),1320.0)</f>
        <v>1320</v>
      </c>
      <c r="F825" s="2">
        <f>IFERROR(__xludf.DUMMYFUNCTION("""COMPUTED_VALUE"""),4.49758E7)</f>
        <v>44975800</v>
      </c>
      <c r="G825" s="2">
        <f t="shared" si="1"/>
        <v>40</v>
      </c>
    </row>
    <row r="826" ht="15.75" customHeight="1">
      <c r="A826" s="1">
        <f>IFERROR(__xludf.DUMMYFUNCTION("""COMPUTED_VALUE"""),45068.66666666667)</f>
        <v>45068.66667</v>
      </c>
      <c r="B826" s="2">
        <f>IFERROR(__xludf.DUMMYFUNCTION("""COMPUTED_VALUE"""),1320.0)</f>
        <v>1320</v>
      </c>
      <c r="C826" s="2">
        <f>IFERROR(__xludf.DUMMYFUNCTION("""COMPUTED_VALUE"""),1330.0)</f>
        <v>1330</v>
      </c>
      <c r="D826" s="2">
        <f>IFERROR(__xludf.DUMMYFUNCTION("""COMPUTED_VALUE"""),1305.0)</f>
        <v>1305</v>
      </c>
      <c r="E826" s="2">
        <f>IFERROR(__xludf.DUMMYFUNCTION("""COMPUTED_VALUE"""),1310.0)</f>
        <v>1310</v>
      </c>
      <c r="F826" s="2">
        <f>IFERROR(__xludf.DUMMYFUNCTION("""COMPUTED_VALUE"""),2.56642E7)</f>
        <v>25664200</v>
      </c>
      <c r="G826" s="2">
        <f t="shared" si="1"/>
        <v>25</v>
      </c>
    </row>
    <row r="827" ht="15.75" customHeight="1">
      <c r="A827" s="1">
        <f>IFERROR(__xludf.DUMMYFUNCTION("""COMPUTED_VALUE"""),45069.66666666667)</f>
        <v>45069.66667</v>
      </c>
      <c r="B827" s="2">
        <f>IFERROR(__xludf.DUMMYFUNCTION("""COMPUTED_VALUE"""),1310.0)</f>
        <v>1310</v>
      </c>
      <c r="C827" s="2">
        <f>IFERROR(__xludf.DUMMYFUNCTION("""COMPUTED_VALUE"""),1340.0)</f>
        <v>1340</v>
      </c>
      <c r="D827" s="2">
        <f>IFERROR(__xludf.DUMMYFUNCTION("""COMPUTED_VALUE"""),1275.0)</f>
        <v>1275</v>
      </c>
      <c r="E827" s="2">
        <f>IFERROR(__xludf.DUMMYFUNCTION("""COMPUTED_VALUE"""),1280.0)</f>
        <v>1280</v>
      </c>
      <c r="F827" s="2">
        <f>IFERROR(__xludf.DUMMYFUNCTION("""COMPUTED_VALUE"""),6.02933E7)</f>
        <v>60293300</v>
      </c>
      <c r="G827" s="2">
        <f t="shared" si="1"/>
        <v>65</v>
      </c>
    </row>
    <row r="828" ht="15.75" customHeight="1">
      <c r="A828" s="1">
        <f>IFERROR(__xludf.DUMMYFUNCTION("""COMPUTED_VALUE"""),45070.66666666667)</f>
        <v>45070.66667</v>
      </c>
      <c r="B828" s="2">
        <f>IFERROR(__xludf.DUMMYFUNCTION("""COMPUTED_VALUE"""),1275.0)</f>
        <v>1275</v>
      </c>
      <c r="C828" s="2">
        <f>IFERROR(__xludf.DUMMYFUNCTION("""COMPUTED_VALUE"""),1285.0)</f>
        <v>1285</v>
      </c>
      <c r="D828" s="2">
        <f>IFERROR(__xludf.DUMMYFUNCTION("""COMPUTED_VALUE"""),1260.0)</f>
        <v>1260</v>
      </c>
      <c r="E828" s="2">
        <f>IFERROR(__xludf.DUMMYFUNCTION("""COMPUTED_VALUE"""),1280.0)</f>
        <v>1280</v>
      </c>
      <c r="F828" s="2">
        <f>IFERROR(__xludf.DUMMYFUNCTION("""COMPUTED_VALUE"""),2.0985E7)</f>
        <v>20985000</v>
      </c>
      <c r="G828" s="2">
        <f t="shared" si="1"/>
        <v>25</v>
      </c>
    </row>
    <row r="829" ht="15.75" customHeight="1">
      <c r="A829" s="1">
        <f>IFERROR(__xludf.DUMMYFUNCTION("""COMPUTED_VALUE"""),45071.66666666667)</f>
        <v>45071.66667</v>
      </c>
      <c r="B829" s="2">
        <f>IFERROR(__xludf.DUMMYFUNCTION("""COMPUTED_VALUE"""),1280.0)</f>
        <v>1280</v>
      </c>
      <c r="C829" s="2">
        <f>IFERROR(__xludf.DUMMYFUNCTION("""COMPUTED_VALUE"""),1295.0)</f>
        <v>1295</v>
      </c>
      <c r="D829" s="2">
        <f>IFERROR(__xludf.DUMMYFUNCTION("""COMPUTED_VALUE"""),1255.0)</f>
        <v>1255</v>
      </c>
      <c r="E829" s="2">
        <f>IFERROR(__xludf.DUMMYFUNCTION("""COMPUTED_VALUE"""),1260.0)</f>
        <v>1260</v>
      </c>
      <c r="F829" s="2">
        <f>IFERROR(__xludf.DUMMYFUNCTION("""COMPUTED_VALUE"""),4.31777E7)</f>
        <v>43177700</v>
      </c>
      <c r="G829" s="2">
        <f t="shared" si="1"/>
        <v>40</v>
      </c>
    </row>
    <row r="830" ht="15.75" customHeight="1">
      <c r="A830" s="1">
        <f>IFERROR(__xludf.DUMMYFUNCTION("""COMPUTED_VALUE"""),45072.66666666667)</f>
        <v>45072.66667</v>
      </c>
      <c r="B830" s="2">
        <f>IFERROR(__xludf.DUMMYFUNCTION("""COMPUTED_VALUE"""),1255.0)</f>
        <v>1255</v>
      </c>
      <c r="C830" s="2">
        <f>IFERROR(__xludf.DUMMYFUNCTION("""COMPUTED_VALUE"""),1260.0)</f>
        <v>1260</v>
      </c>
      <c r="D830" s="2">
        <f>IFERROR(__xludf.DUMMYFUNCTION("""COMPUTED_VALUE"""),1220.0)</f>
        <v>1220</v>
      </c>
      <c r="E830" s="2">
        <f>IFERROR(__xludf.DUMMYFUNCTION("""COMPUTED_VALUE"""),1225.0)</f>
        <v>1225</v>
      </c>
      <c r="F830" s="2">
        <f>IFERROR(__xludf.DUMMYFUNCTION("""COMPUTED_VALUE"""),6.24381E7)</f>
        <v>62438100</v>
      </c>
      <c r="G830" s="2">
        <f t="shared" si="1"/>
        <v>40</v>
      </c>
    </row>
    <row r="831" ht="15.75" customHeight="1">
      <c r="A831" s="1">
        <f>IFERROR(__xludf.DUMMYFUNCTION("""COMPUTED_VALUE"""),45075.66666666667)</f>
        <v>45075.66667</v>
      </c>
      <c r="B831" s="2">
        <f>IFERROR(__xludf.DUMMYFUNCTION("""COMPUTED_VALUE"""),1225.0)</f>
        <v>1225</v>
      </c>
      <c r="C831" s="2">
        <f>IFERROR(__xludf.DUMMYFUNCTION("""COMPUTED_VALUE"""),1240.0)</f>
        <v>1240</v>
      </c>
      <c r="D831" s="2">
        <f>IFERROR(__xludf.DUMMYFUNCTION("""COMPUTED_VALUE"""),1215.0)</f>
        <v>1215</v>
      </c>
      <c r="E831" s="2">
        <f>IFERROR(__xludf.DUMMYFUNCTION("""COMPUTED_VALUE"""),1230.0)</f>
        <v>1230</v>
      </c>
      <c r="F831" s="2">
        <f>IFERROR(__xludf.DUMMYFUNCTION("""COMPUTED_VALUE"""),2.40518E7)</f>
        <v>24051800</v>
      </c>
      <c r="G831" s="2">
        <f t="shared" si="1"/>
        <v>25</v>
      </c>
    </row>
    <row r="832" ht="15.75" customHeight="1">
      <c r="A832" s="1">
        <f>IFERROR(__xludf.DUMMYFUNCTION("""COMPUTED_VALUE"""),45076.66666666667)</f>
        <v>45076.66667</v>
      </c>
      <c r="B832" s="2">
        <f>IFERROR(__xludf.DUMMYFUNCTION("""COMPUTED_VALUE"""),1235.0)</f>
        <v>1235</v>
      </c>
      <c r="C832" s="2">
        <f>IFERROR(__xludf.DUMMYFUNCTION("""COMPUTED_VALUE"""),1255.0)</f>
        <v>1255</v>
      </c>
      <c r="D832" s="2">
        <f>IFERROR(__xludf.DUMMYFUNCTION("""COMPUTED_VALUE"""),1225.0)</f>
        <v>1225</v>
      </c>
      <c r="E832" s="2">
        <f>IFERROR(__xludf.DUMMYFUNCTION("""COMPUTED_VALUE"""),1245.0)</f>
        <v>1245</v>
      </c>
      <c r="F832" s="2">
        <f>IFERROR(__xludf.DUMMYFUNCTION("""COMPUTED_VALUE"""),1.79646E7)</f>
        <v>17964600</v>
      </c>
      <c r="G832" s="2">
        <f t="shared" si="1"/>
        <v>30</v>
      </c>
    </row>
    <row r="833" ht="15.75" customHeight="1">
      <c r="A833" s="1">
        <f>IFERROR(__xludf.DUMMYFUNCTION("""COMPUTED_VALUE"""),45077.66666666667)</f>
        <v>45077.66667</v>
      </c>
      <c r="B833" s="2">
        <f>IFERROR(__xludf.DUMMYFUNCTION("""COMPUTED_VALUE"""),1245.0)</f>
        <v>1245</v>
      </c>
      <c r="C833" s="2">
        <f>IFERROR(__xludf.DUMMYFUNCTION("""COMPUTED_VALUE"""),1280.0)</f>
        <v>1280</v>
      </c>
      <c r="D833" s="2">
        <f>IFERROR(__xludf.DUMMYFUNCTION("""COMPUTED_VALUE"""),1235.0)</f>
        <v>1235</v>
      </c>
      <c r="E833" s="2">
        <f>IFERROR(__xludf.DUMMYFUNCTION("""COMPUTED_VALUE"""),1280.0)</f>
        <v>1280</v>
      </c>
      <c r="F833" s="2">
        <f>IFERROR(__xludf.DUMMYFUNCTION("""COMPUTED_VALUE"""),4.20891E7)</f>
        <v>42089100</v>
      </c>
      <c r="G833" s="2">
        <f t="shared" si="1"/>
        <v>45</v>
      </c>
    </row>
    <row r="834" ht="15.75" customHeight="1">
      <c r="A834" s="1">
        <f>IFERROR(__xludf.DUMMYFUNCTION("""COMPUTED_VALUE"""),45082.66666666667)</f>
        <v>45082.66667</v>
      </c>
      <c r="B834" s="2">
        <f>IFERROR(__xludf.DUMMYFUNCTION("""COMPUTED_VALUE"""),1280.0)</f>
        <v>1280</v>
      </c>
      <c r="C834" s="2">
        <f>IFERROR(__xludf.DUMMYFUNCTION("""COMPUTED_VALUE"""),1280.0)</f>
        <v>1280</v>
      </c>
      <c r="D834" s="2">
        <f>IFERROR(__xludf.DUMMYFUNCTION("""COMPUTED_VALUE"""),1245.0)</f>
        <v>1245</v>
      </c>
      <c r="E834" s="2">
        <f>IFERROR(__xludf.DUMMYFUNCTION("""COMPUTED_VALUE"""),1275.0)</f>
        <v>1275</v>
      </c>
      <c r="F834" s="2">
        <f>IFERROR(__xludf.DUMMYFUNCTION("""COMPUTED_VALUE"""),3.02342E7)</f>
        <v>30234200</v>
      </c>
      <c r="G834" s="2">
        <f t="shared" si="1"/>
        <v>35</v>
      </c>
    </row>
    <row r="835" ht="15.75" customHeight="1">
      <c r="A835" s="1">
        <f>IFERROR(__xludf.DUMMYFUNCTION("""COMPUTED_VALUE"""),45083.66666666667)</f>
        <v>45083.66667</v>
      </c>
      <c r="B835" s="2">
        <f>IFERROR(__xludf.DUMMYFUNCTION("""COMPUTED_VALUE"""),1275.0)</f>
        <v>1275</v>
      </c>
      <c r="C835" s="2">
        <f>IFERROR(__xludf.DUMMYFUNCTION("""COMPUTED_VALUE"""),1320.0)</f>
        <v>1320</v>
      </c>
      <c r="D835" s="2">
        <f>IFERROR(__xludf.DUMMYFUNCTION("""COMPUTED_VALUE"""),1265.0)</f>
        <v>1265</v>
      </c>
      <c r="E835" s="2">
        <f>IFERROR(__xludf.DUMMYFUNCTION("""COMPUTED_VALUE"""),1315.0)</f>
        <v>1315</v>
      </c>
      <c r="F835" s="2">
        <f>IFERROR(__xludf.DUMMYFUNCTION("""COMPUTED_VALUE"""),6.33404E7)</f>
        <v>63340400</v>
      </c>
      <c r="G835" s="2">
        <f t="shared" si="1"/>
        <v>55</v>
      </c>
    </row>
    <row r="836" ht="15.75" customHeight="1">
      <c r="A836" s="1">
        <f>IFERROR(__xludf.DUMMYFUNCTION("""COMPUTED_VALUE"""),45084.66666666667)</f>
        <v>45084.66667</v>
      </c>
      <c r="B836" s="2">
        <f>IFERROR(__xludf.DUMMYFUNCTION("""COMPUTED_VALUE"""),1305.0)</f>
        <v>1305</v>
      </c>
      <c r="C836" s="2">
        <f>IFERROR(__xludf.DUMMYFUNCTION("""COMPUTED_VALUE"""),1320.0)</f>
        <v>1320</v>
      </c>
      <c r="D836" s="2">
        <f>IFERROR(__xludf.DUMMYFUNCTION("""COMPUTED_VALUE"""),1305.0)</f>
        <v>1305</v>
      </c>
      <c r="E836" s="2">
        <f>IFERROR(__xludf.DUMMYFUNCTION("""COMPUTED_VALUE"""),1315.0)</f>
        <v>1315</v>
      </c>
      <c r="F836" s="2">
        <f>IFERROR(__xludf.DUMMYFUNCTION("""COMPUTED_VALUE"""),2.21582E7)</f>
        <v>22158200</v>
      </c>
      <c r="G836" s="2">
        <f t="shared" si="1"/>
        <v>15</v>
      </c>
    </row>
    <row r="837" ht="15.75" customHeight="1">
      <c r="A837" s="1">
        <f>IFERROR(__xludf.DUMMYFUNCTION("""COMPUTED_VALUE"""),45085.66666666667)</f>
        <v>45085.66667</v>
      </c>
      <c r="B837" s="2">
        <f>IFERROR(__xludf.DUMMYFUNCTION("""COMPUTED_VALUE"""),1315.0)</f>
        <v>1315</v>
      </c>
      <c r="C837" s="2">
        <f>IFERROR(__xludf.DUMMYFUNCTION("""COMPUTED_VALUE"""),1320.0)</f>
        <v>1320</v>
      </c>
      <c r="D837" s="2">
        <f>IFERROR(__xludf.DUMMYFUNCTION("""COMPUTED_VALUE"""),1295.0)</f>
        <v>1295</v>
      </c>
      <c r="E837" s="2">
        <f>IFERROR(__xludf.DUMMYFUNCTION("""COMPUTED_VALUE"""),1305.0)</f>
        <v>1305</v>
      </c>
      <c r="F837" s="2">
        <f>IFERROR(__xludf.DUMMYFUNCTION("""COMPUTED_VALUE"""),1.75332E7)</f>
        <v>17533200</v>
      </c>
      <c r="G837" s="2">
        <f t="shared" si="1"/>
        <v>25</v>
      </c>
    </row>
    <row r="838" ht="15.75" customHeight="1">
      <c r="A838" s="1">
        <f>IFERROR(__xludf.DUMMYFUNCTION("""COMPUTED_VALUE"""),45086.66666666667)</f>
        <v>45086.66667</v>
      </c>
      <c r="B838" s="2">
        <f>IFERROR(__xludf.DUMMYFUNCTION("""COMPUTED_VALUE"""),1315.0)</f>
        <v>1315</v>
      </c>
      <c r="C838" s="2">
        <f>IFERROR(__xludf.DUMMYFUNCTION("""COMPUTED_VALUE"""),1320.0)</f>
        <v>1320</v>
      </c>
      <c r="D838" s="2">
        <f>IFERROR(__xludf.DUMMYFUNCTION("""COMPUTED_VALUE"""),1290.0)</f>
        <v>1290</v>
      </c>
      <c r="E838" s="2">
        <f>IFERROR(__xludf.DUMMYFUNCTION("""COMPUTED_VALUE"""),1300.0)</f>
        <v>1300</v>
      </c>
      <c r="F838" s="2">
        <f>IFERROR(__xludf.DUMMYFUNCTION("""COMPUTED_VALUE"""),1.3335E7)</f>
        <v>13335000</v>
      </c>
      <c r="G838" s="2">
        <f t="shared" si="1"/>
        <v>30</v>
      </c>
    </row>
    <row r="839" ht="15.75" customHeight="1">
      <c r="A839" s="1">
        <f>IFERROR(__xludf.DUMMYFUNCTION("""COMPUTED_VALUE"""),45089.66666666667)</f>
        <v>45089.66667</v>
      </c>
      <c r="B839" s="2">
        <f>IFERROR(__xludf.DUMMYFUNCTION("""COMPUTED_VALUE"""),1305.0)</f>
        <v>1305</v>
      </c>
      <c r="C839" s="2">
        <f>IFERROR(__xludf.DUMMYFUNCTION("""COMPUTED_VALUE"""),1310.0)</f>
        <v>1310</v>
      </c>
      <c r="D839" s="2">
        <f>IFERROR(__xludf.DUMMYFUNCTION("""COMPUTED_VALUE"""),1280.0)</f>
        <v>1280</v>
      </c>
      <c r="E839" s="2">
        <f>IFERROR(__xludf.DUMMYFUNCTION("""COMPUTED_VALUE"""),1310.0)</f>
        <v>1310</v>
      </c>
      <c r="F839" s="2">
        <f>IFERROR(__xludf.DUMMYFUNCTION("""COMPUTED_VALUE"""),2.45418E7)</f>
        <v>24541800</v>
      </c>
      <c r="G839" s="2">
        <f t="shared" si="1"/>
        <v>30</v>
      </c>
    </row>
    <row r="840" ht="15.75" customHeight="1">
      <c r="A840" s="1">
        <f>IFERROR(__xludf.DUMMYFUNCTION("""COMPUTED_VALUE"""),45090.66666666667)</f>
        <v>45090.66667</v>
      </c>
      <c r="B840" s="2">
        <f>IFERROR(__xludf.DUMMYFUNCTION("""COMPUTED_VALUE"""),1310.0)</f>
        <v>1310</v>
      </c>
      <c r="C840" s="2">
        <f>IFERROR(__xludf.DUMMYFUNCTION("""COMPUTED_VALUE"""),1315.0)</f>
        <v>1315</v>
      </c>
      <c r="D840" s="2">
        <f>IFERROR(__xludf.DUMMYFUNCTION("""COMPUTED_VALUE"""),1265.0)</f>
        <v>1265</v>
      </c>
      <c r="E840" s="2">
        <f>IFERROR(__xludf.DUMMYFUNCTION("""COMPUTED_VALUE"""),1270.0)</f>
        <v>1270</v>
      </c>
      <c r="F840" s="2">
        <f>IFERROR(__xludf.DUMMYFUNCTION("""COMPUTED_VALUE"""),3.68742E7)</f>
        <v>36874200</v>
      </c>
      <c r="G840" s="2">
        <f t="shared" si="1"/>
        <v>50</v>
      </c>
    </row>
    <row r="841" ht="15.75" customHeight="1">
      <c r="A841" s="1">
        <f>IFERROR(__xludf.DUMMYFUNCTION("""COMPUTED_VALUE"""),45091.66666666667)</f>
        <v>45091.66667</v>
      </c>
      <c r="B841" s="2">
        <f>IFERROR(__xludf.DUMMYFUNCTION("""COMPUTED_VALUE"""),1270.0)</f>
        <v>1270</v>
      </c>
      <c r="C841" s="2">
        <f>IFERROR(__xludf.DUMMYFUNCTION("""COMPUTED_VALUE"""),1280.0)</f>
        <v>1280</v>
      </c>
      <c r="D841" s="2">
        <f>IFERROR(__xludf.DUMMYFUNCTION("""COMPUTED_VALUE"""),1255.0)</f>
        <v>1255</v>
      </c>
      <c r="E841" s="2">
        <f>IFERROR(__xludf.DUMMYFUNCTION("""COMPUTED_VALUE"""),1260.0)</f>
        <v>1260</v>
      </c>
      <c r="F841" s="2">
        <f>IFERROR(__xludf.DUMMYFUNCTION("""COMPUTED_VALUE"""),2.6537E7)</f>
        <v>26537000</v>
      </c>
      <c r="G841" s="2">
        <f t="shared" si="1"/>
        <v>25</v>
      </c>
    </row>
    <row r="842" ht="15.75" customHeight="1">
      <c r="A842" s="1">
        <f>IFERROR(__xludf.DUMMYFUNCTION("""COMPUTED_VALUE"""),45092.66666666667)</f>
        <v>45092.66667</v>
      </c>
      <c r="B842" s="2">
        <f>IFERROR(__xludf.DUMMYFUNCTION("""COMPUTED_VALUE"""),1260.0)</f>
        <v>1260</v>
      </c>
      <c r="C842" s="2">
        <f>IFERROR(__xludf.DUMMYFUNCTION("""COMPUTED_VALUE"""),1280.0)</f>
        <v>1280</v>
      </c>
      <c r="D842" s="2">
        <f>IFERROR(__xludf.DUMMYFUNCTION("""COMPUTED_VALUE"""),1250.0)</f>
        <v>1250</v>
      </c>
      <c r="E842" s="2">
        <f>IFERROR(__xludf.DUMMYFUNCTION("""COMPUTED_VALUE"""),1280.0)</f>
        <v>1280</v>
      </c>
      <c r="F842" s="2">
        <f>IFERROR(__xludf.DUMMYFUNCTION("""COMPUTED_VALUE"""),2.08662E7)</f>
        <v>20866200</v>
      </c>
      <c r="G842" s="2">
        <f t="shared" si="1"/>
        <v>30</v>
      </c>
    </row>
    <row r="843" ht="15.75" customHeight="1">
      <c r="A843" s="1">
        <f>IFERROR(__xludf.DUMMYFUNCTION("""COMPUTED_VALUE"""),45093.66666666667)</f>
        <v>45093.66667</v>
      </c>
      <c r="B843" s="2">
        <f>IFERROR(__xludf.DUMMYFUNCTION("""COMPUTED_VALUE"""),1280.0)</f>
        <v>1280</v>
      </c>
      <c r="C843" s="2">
        <f>IFERROR(__xludf.DUMMYFUNCTION("""COMPUTED_VALUE"""),1280.0)</f>
        <v>1280</v>
      </c>
      <c r="D843" s="2">
        <f>IFERROR(__xludf.DUMMYFUNCTION("""COMPUTED_VALUE"""),1265.0)</f>
        <v>1265</v>
      </c>
      <c r="E843" s="2">
        <f>IFERROR(__xludf.DUMMYFUNCTION("""COMPUTED_VALUE"""),1280.0)</f>
        <v>1280</v>
      </c>
      <c r="F843" s="2">
        <f>IFERROR(__xludf.DUMMYFUNCTION("""COMPUTED_VALUE"""),1.64014E7)</f>
        <v>16401400</v>
      </c>
      <c r="G843" s="2">
        <f t="shared" si="1"/>
        <v>15</v>
      </c>
    </row>
    <row r="844" ht="15.75" customHeight="1">
      <c r="A844" s="1">
        <f>IFERROR(__xludf.DUMMYFUNCTION("""COMPUTED_VALUE"""),45096.66666666667)</f>
        <v>45096.66667</v>
      </c>
      <c r="B844" s="2">
        <f>IFERROR(__xludf.DUMMYFUNCTION("""COMPUTED_VALUE"""),1280.0)</f>
        <v>1280</v>
      </c>
      <c r="C844" s="2">
        <f>IFERROR(__xludf.DUMMYFUNCTION("""COMPUTED_VALUE"""),1305.0)</f>
        <v>1305</v>
      </c>
      <c r="D844" s="2">
        <f>IFERROR(__xludf.DUMMYFUNCTION("""COMPUTED_VALUE"""),1270.0)</f>
        <v>1270</v>
      </c>
      <c r="E844" s="2">
        <f>IFERROR(__xludf.DUMMYFUNCTION("""COMPUTED_VALUE"""),1300.0)</f>
        <v>1300</v>
      </c>
      <c r="F844" s="2">
        <f>IFERROR(__xludf.DUMMYFUNCTION("""COMPUTED_VALUE"""),3.49986E7)</f>
        <v>34998600</v>
      </c>
      <c r="G844" s="2">
        <f t="shared" si="1"/>
        <v>35</v>
      </c>
    </row>
    <row r="845" ht="15.75" customHeight="1">
      <c r="A845" s="1">
        <f>IFERROR(__xludf.DUMMYFUNCTION("""COMPUTED_VALUE"""),45097.66666666667)</f>
        <v>45097.66667</v>
      </c>
      <c r="B845" s="2">
        <f>IFERROR(__xludf.DUMMYFUNCTION("""COMPUTED_VALUE"""),1300.0)</f>
        <v>1300</v>
      </c>
      <c r="C845" s="2">
        <f>IFERROR(__xludf.DUMMYFUNCTION("""COMPUTED_VALUE"""),1310.0)</f>
        <v>1310</v>
      </c>
      <c r="D845" s="2">
        <f>IFERROR(__xludf.DUMMYFUNCTION("""COMPUTED_VALUE"""),1295.0)</f>
        <v>1295</v>
      </c>
      <c r="E845" s="2">
        <f>IFERROR(__xludf.DUMMYFUNCTION("""COMPUTED_VALUE"""),1300.0)</f>
        <v>1300</v>
      </c>
      <c r="F845" s="2">
        <f>IFERROR(__xludf.DUMMYFUNCTION("""COMPUTED_VALUE"""),1.69775E7)</f>
        <v>16977500</v>
      </c>
      <c r="G845" s="2">
        <f t="shared" si="1"/>
        <v>15</v>
      </c>
    </row>
    <row r="846" ht="15.75" customHeight="1">
      <c r="A846" s="1">
        <f>IFERROR(__xludf.DUMMYFUNCTION("""COMPUTED_VALUE"""),45098.66666666667)</f>
        <v>45098.66667</v>
      </c>
      <c r="B846" s="2">
        <f>IFERROR(__xludf.DUMMYFUNCTION("""COMPUTED_VALUE"""),1310.0)</f>
        <v>1310</v>
      </c>
      <c r="C846" s="2">
        <f>IFERROR(__xludf.DUMMYFUNCTION("""COMPUTED_VALUE"""),1340.0)</f>
        <v>1340</v>
      </c>
      <c r="D846" s="2">
        <f>IFERROR(__xludf.DUMMYFUNCTION("""COMPUTED_VALUE"""),1305.0)</f>
        <v>1305</v>
      </c>
      <c r="E846" s="2">
        <f>IFERROR(__xludf.DUMMYFUNCTION("""COMPUTED_VALUE"""),1340.0)</f>
        <v>1340</v>
      </c>
      <c r="F846" s="2">
        <f>IFERROR(__xludf.DUMMYFUNCTION("""COMPUTED_VALUE"""),6.56301E7)</f>
        <v>65630100</v>
      </c>
      <c r="G846" s="2">
        <f t="shared" si="1"/>
        <v>40</v>
      </c>
    </row>
    <row r="847" ht="15.75" customHeight="1">
      <c r="A847" s="1">
        <f>IFERROR(__xludf.DUMMYFUNCTION("""COMPUTED_VALUE"""),45099.66666666667)</f>
        <v>45099.66667</v>
      </c>
      <c r="B847" s="2">
        <f>IFERROR(__xludf.DUMMYFUNCTION("""COMPUTED_VALUE"""),1345.0)</f>
        <v>1345</v>
      </c>
      <c r="C847" s="2">
        <f>IFERROR(__xludf.DUMMYFUNCTION("""COMPUTED_VALUE"""),1350.0)</f>
        <v>1350</v>
      </c>
      <c r="D847" s="2">
        <f>IFERROR(__xludf.DUMMYFUNCTION("""COMPUTED_VALUE"""),1325.0)</f>
        <v>1325</v>
      </c>
      <c r="E847" s="2">
        <f>IFERROR(__xludf.DUMMYFUNCTION("""COMPUTED_VALUE"""),1330.0)</f>
        <v>1330</v>
      </c>
      <c r="F847" s="2">
        <f>IFERROR(__xludf.DUMMYFUNCTION("""COMPUTED_VALUE"""),3.59784E7)</f>
        <v>35978400</v>
      </c>
      <c r="G847" s="2">
        <f t="shared" si="1"/>
        <v>25</v>
      </c>
    </row>
    <row r="848" ht="15.75" customHeight="1">
      <c r="A848" s="1">
        <f>IFERROR(__xludf.DUMMYFUNCTION("""COMPUTED_VALUE"""),45100.66666666667)</f>
        <v>45100.66667</v>
      </c>
      <c r="B848" s="2">
        <f>IFERROR(__xludf.DUMMYFUNCTION("""COMPUTED_VALUE"""),1340.0)</f>
        <v>1340</v>
      </c>
      <c r="C848" s="2">
        <f>IFERROR(__xludf.DUMMYFUNCTION("""COMPUTED_VALUE"""),1340.0)</f>
        <v>1340</v>
      </c>
      <c r="D848" s="2">
        <f>IFERROR(__xludf.DUMMYFUNCTION("""COMPUTED_VALUE"""),1320.0)</f>
        <v>1320</v>
      </c>
      <c r="E848" s="2">
        <f>IFERROR(__xludf.DUMMYFUNCTION("""COMPUTED_VALUE"""),1330.0)</f>
        <v>1330</v>
      </c>
      <c r="F848" s="2">
        <f>IFERROR(__xludf.DUMMYFUNCTION("""COMPUTED_VALUE"""),1.70466E7)</f>
        <v>17046600</v>
      </c>
      <c r="G848" s="2">
        <f t="shared" si="1"/>
        <v>20</v>
      </c>
    </row>
    <row r="849" ht="15.75" customHeight="1">
      <c r="A849" s="1">
        <f>IFERROR(__xludf.DUMMYFUNCTION("""COMPUTED_VALUE"""),45103.66666666667)</f>
        <v>45103.66667</v>
      </c>
      <c r="B849" s="2">
        <f>IFERROR(__xludf.DUMMYFUNCTION("""COMPUTED_VALUE"""),1330.0)</f>
        <v>1330</v>
      </c>
      <c r="C849" s="2">
        <f>IFERROR(__xludf.DUMMYFUNCTION("""COMPUTED_VALUE"""),1330.0)</f>
        <v>1330</v>
      </c>
      <c r="D849" s="2">
        <f>IFERROR(__xludf.DUMMYFUNCTION("""COMPUTED_VALUE"""),1305.0)</f>
        <v>1305</v>
      </c>
      <c r="E849" s="2">
        <f>IFERROR(__xludf.DUMMYFUNCTION("""COMPUTED_VALUE"""),1315.0)</f>
        <v>1315</v>
      </c>
      <c r="F849" s="2">
        <f>IFERROR(__xludf.DUMMYFUNCTION("""COMPUTED_VALUE"""),1.34963E7)</f>
        <v>13496300</v>
      </c>
      <c r="G849" s="2">
        <f t="shared" si="1"/>
        <v>25</v>
      </c>
    </row>
    <row r="850" ht="15.75" customHeight="1">
      <c r="A850" s="1">
        <f>IFERROR(__xludf.DUMMYFUNCTION("""COMPUTED_VALUE"""),45104.66666666667)</f>
        <v>45104.66667</v>
      </c>
      <c r="B850" s="2">
        <f>IFERROR(__xludf.DUMMYFUNCTION("""COMPUTED_VALUE"""),1315.0)</f>
        <v>1315</v>
      </c>
      <c r="C850" s="2">
        <f>IFERROR(__xludf.DUMMYFUNCTION("""COMPUTED_VALUE"""),1335.0)</f>
        <v>1335</v>
      </c>
      <c r="D850" s="2">
        <f>IFERROR(__xludf.DUMMYFUNCTION("""COMPUTED_VALUE"""),1310.0)</f>
        <v>1310</v>
      </c>
      <c r="E850" s="2">
        <f>IFERROR(__xludf.DUMMYFUNCTION("""COMPUTED_VALUE"""),1320.0)</f>
        <v>1320</v>
      </c>
      <c r="F850" s="2">
        <f>IFERROR(__xludf.DUMMYFUNCTION("""COMPUTED_VALUE"""),2.51868E7)</f>
        <v>25186800</v>
      </c>
      <c r="G850" s="2">
        <f t="shared" si="1"/>
        <v>25</v>
      </c>
    </row>
    <row r="851" ht="15.75" customHeight="1">
      <c r="A851" s="1">
        <f>IFERROR(__xludf.DUMMYFUNCTION("""COMPUTED_VALUE"""),45110.66666666667)</f>
        <v>45110.66667</v>
      </c>
      <c r="B851" s="2">
        <f>IFERROR(__xludf.DUMMYFUNCTION("""COMPUTED_VALUE"""),1320.0)</f>
        <v>1320</v>
      </c>
      <c r="C851" s="2">
        <f>IFERROR(__xludf.DUMMYFUNCTION("""COMPUTED_VALUE"""),1330.0)</f>
        <v>1330</v>
      </c>
      <c r="D851" s="2">
        <f>IFERROR(__xludf.DUMMYFUNCTION("""COMPUTED_VALUE"""),1305.0)</f>
        <v>1305</v>
      </c>
      <c r="E851" s="2">
        <f>IFERROR(__xludf.DUMMYFUNCTION("""COMPUTED_VALUE"""),1315.0)</f>
        <v>1315</v>
      </c>
      <c r="F851" s="2">
        <f>IFERROR(__xludf.DUMMYFUNCTION("""COMPUTED_VALUE"""),2.69036E7)</f>
        <v>26903600</v>
      </c>
      <c r="G851" s="2">
        <f t="shared" si="1"/>
        <v>25</v>
      </c>
    </row>
    <row r="852" ht="15.75" customHeight="1">
      <c r="A852" s="1">
        <f>IFERROR(__xludf.DUMMYFUNCTION("""COMPUTED_VALUE"""),45111.66666666667)</f>
        <v>45111.66667</v>
      </c>
      <c r="B852" s="2">
        <f>IFERROR(__xludf.DUMMYFUNCTION("""COMPUTED_VALUE"""),1320.0)</f>
        <v>1320</v>
      </c>
      <c r="C852" s="2">
        <f>IFERROR(__xludf.DUMMYFUNCTION("""COMPUTED_VALUE"""),1325.0)</f>
        <v>1325</v>
      </c>
      <c r="D852" s="2">
        <f>IFERROR(__xludf.DUMMYFUNCTION("""COMPUTED_VALUE"""),1315.0)</f>
        <v>1315</v>
      </c>
      <c r="E852" s="2">
        <f>IFERROR(__xludf.DUMMYFUNCTION("""COMPUTED_VALUE"""),1315.0)</f>
        <v>1315</v>
      </c>
      <c r="F852" s="2">
        <f>IFERROR(__xludf.DUMMYFUNCTION("""COMPUTED_VALUE"""),1.98766E7)</f>
        <v>19876600</v>
      </c>
      <c r="G852" s="2">
        <f t="shared" si="1"/>
        <v>10</v>
      </c>
    </row>
    <row r="853" ht="15.75" customHeight="1">
      <c r="A853" s="1">
        <f>IFERROR(__xludf.DUMMYFUNCTION("""COMPUTED_VALUE"""),45112.66666666667)</f>
        <v>45112.66667</v>
      </c>
      <c r="B853" s="2">
        <f>IFERROR(__xludf.DUMMYFUNCTION("""COMPUTED_VALUE"""),1315.0)</f>
        <v>1315</v>
      </c>
      <c r="C853" s="2">
        <f>IFERROR(__xludf.DUMMYFUNCTION("""COMPUTED_VALUE"""),1330.0)</f>
        <v>1330</v>
      </c>
      <c r="D853" s="2">
        <f>IFERROR(__xludf.DUMMYFUNCTION("""COMPUTED_VALUE"""),1295.0)</f>
        <v>1295</v>
      </c>
      <c r="E853" s="2">
        <f>IFERROR(__xludf.DUMMYFUNCTION("""COMPUTED_VALUE"""),1305.0)</f>
        <v>1305</v>
      </c>
      <c r="F853" s="2">
        <f>IFERROR(__xludf.DUMMYFUNCTION("""COMPUTED_VALUE"""),3.3063E7)</f>
        <v>33063000</v>
      </c>
      <c r="G853" s="2">
        <f t="shared" si="1"/>
        <v>35</v>
      </c>
    </row>
    <row r="854" ht="15.75" customHeight="1">
      <c r="A854" s="1">
        <f>IFERROR(__xludf.DUMMYFUNCTION("""COMPUTED_VALUE"""),45113.66666666667)</f>
        <v>45113.66667</v>
      </c>
      <c r="B854" s="2">
        <f>IFERROR(__xludf.DUMMYFUNCTION("""COMPUTED_VALUE"""),1305.0)</f>
        <v>1305</v>
      </c>
      <c r="C854" s="2">
        <f>IFERROR(__xludf.DUMMYFUNCTION("""COMPUTED_VALUE"""),1320.0)</f>
        <v>1320</v>
      </c>
      <c r="D854" s="2">
        <f>IFERROR(__xludf.DUMMYFUNCTION("""COMPUTED_VALUE"""),1295.0)</f>
        <v>1295</v>
      </c>
      <c r="E854" s="2">
        <f>IFERROR(__xludf.DUMMYFUNCTION("""COMPUTED_VALUE"""),1320.0)</f>
        <v>1320</v>
      </c>
      <c r="F854" s="2">
        <f>IFERROR(__xludf.DUMMYFUNCTION("""COMPUTED_VALUE"""),2.74579E7)</f>
        <v>27457900</v>
      </c>
      <c r="G854" s="2">
        <f t="shared" si="1"/>
        <v>25</v>
      </c>
    </row>
    <row r="855" ht="15.75" customHeight="1">
      <c r="A855" s="1">
        <f>IFERROR(__xludf.DUMMYFUNCTION("""COMPUTED_VALUE"""),45114.66666666667)</f>
        <v>45114.66667</v>
      </c>
      <c r="B855" s="2">
        <f>IFERROR(__xludf.DUMMYFUNCTION("""COMPUTED_VALUE"""),1320.0)</f>
        <v>1320</v>
      </c>
      <c r="C855" s="2">
        <f>IFERROR(__xludf.DUMMYFUNCTION("""COMPUTED_VALUE"""),1320.0)</f>
        <v>1320</v>
      </c>
      <c r="D855" s="2">
        <f>IFERROR(__xludf.DUMMYFUNCTION("""COMPUTED_VALUE"""),1300.0)</f>
        <v>1300</v>
      </c>
      <c r="E855" s="2">
        <f>IFERROR(__xludf.DUMMYFUNCTION("""COMPUTED_VALUE"""),1310.0)</f>
        <v>1310</v>
      </c>
      <c r="F855" s="2">
        <f>IFERROR(__xludf.DUMMYFUNCTION("""COMPUTED_VALUE"""),1.98895E7)</f>
        <v>19889500</v>
      </c>
      <c r="G855" s="2">
        <f t="shared" si="1"/>
        <v>20</v>
      </c>
    </row>
    <row r="856" ht="15.75" customHeight="1">
      <c r="A856" s="1">
        <f>IFERROR(__xludf.DUMMYFUNCTION("""COMPUTED_VALUE"""),45117.66666666667)</f>
        <v>45117.66667</v>
      </c>
      <c r="B856" s="2">
        <f>IFERROR(__xludf.DUMMYFUNCTION("""COMPUTED_VALUE"""),1310.0)</f>
        <v>1310</v>
      </c>
      <c r="C856" s="2">
        <f>IFERROR(__xludf.DUMMYFUNCTION("""COMPUTED_VALUE"""),1320.0)</f>
        <v>1320</v>
      </c>
      <c r="D856" s="2">
        <f>IFERROR(__xludf.DUMMYFUNCTION("""COMPUTED_VALUE"""),1305.0)</f>
        <v>1305</v>
      </c>
      <c r="E856" s="2">
        <f>IFERROR(__xludf.DUMMYFUNCTION("""COMPUTED_VALUE"""),1310.0)</f>
        <v>1310</v>
      </c>
      <c r="F856" s="2">
        <f>IFERROR(__xludf.DUMMYFUNCTION("""COMPUTED_VALUE"""),1.26591E7)</f>
        <v>12659100</v>
      </c>
      <c r="G856" s="2">
        <f t="shared" si="1"/>
        <v>15</v>
      </c>
    </row>
    <row r="857" ht="15.75" customHeight="1">
      <c r="A857" s="1">
        <f>IFERROR(__xludf.DUMMYFUNCTION("""COMPUTED_VALUE"""),45118.66666666667)</f>
        <v>45118.66667</v>
      </c>
      <c r="B857" s="2">
        <f>IFERROR(__xludf.DUMMYFUNCTION("""COMPUTED_VALUE"""),1310.0)</f>
        <v>1310</v>
      </c>
      <c r="C857" s="2">
        <f>IFERROR(__xludf.DUMMYFUNCTION("""COMPUTED_VALUE"""),1325.0)</f>
        <v>1325</v>
      </c>
      <c r="D857" s="2">
        <f>IFERROR(__xludf.DUMMYFUNCTION("""COMPUTED_VALUE"""),1305.0)</f>
        <v>1305</v>
      </c>
      <c r="E857" s="2">
        <f>IFERROR(__xludf.DUMMYFUNCTION("""COMPUTED_VALUE"""),1325.0)</f>
        <v>1325</v>
      </c>
      <c r="F857" s="2">
        <f>IFERROR(__xludf.DUMMYFUNCTION("""COMPUTED_VALUE"""),1.6759E7)</f>
        <v>16759000</v>
      </c>
      <c r="G857" s="2">
        <f t="shared" si="1"/>
        <v>20</v>
      </c>
    </row>
    <row r="858" ht="15.75" customHeight="1">
      <c r="A858" s="1">
        <f>IFERROR(__xludf.DUMMYFUNCTION("""COMPUTED_VALUE"""),45119.66666666667)</f>
        <v>45119.66667</v>
      </c>
      <c r="B858" s="2">
        <f>IFERROR(__xludf.DUMMYFUNCTION("""COMPUTED_VALUE"""),1325.0)</f>
        <v>1325</v>
      </c>
      <c r="C858" s="2">
        <f>IFERROR(__xludf.DUMMYFUNCTION("""COMPUTED_VALUE"""),1330.0)</f>
        <v>1330</v>
      </c>
      <c r="D858" s="2">
        <f>IFERROR(__xludf.DUMMYFUNCTION("""COMPUTED_VALUE"""),1305.0)</f>
        <v>1305</v>
      </c>
      <c r="E858" s="2">
        <f>IFERROR(__xludf.DUMMYFUNCTION("""COMPUTED_VALUE"""),1305.0)</f>
        <v>1305</v>
      </c>
      <c r="F858" s="2">
        <f>IFERROR(__xludf.DUMMYFUNCTION("""COMPUTED_VALUE"""),3.52862E7)</f>
        <v>35286200</v>
      </c>
      <c r="G858" s="2">
        <f t="shared" si="1"/>
        <v>25</v>
      </c>
    </row>
    <row r="859" ht="15.75" customHeight="1">
      <c r="A859" s="1">
        <f>IFERROR(__xludf.DUMMYFUNCTION("""COMPUTED_VALUE"""),45120.66666666667)</f>
        <v>45120.66667</v>
      </c>
      <c r="B859" s="2">
        <f>IFERROR(__xludf.DUMMYFUNCTION("""COMPUTED_VALUE"""),1315.0)</f>
        <v>1315</v>
      </c>
      <c r="C859" s="2">
        <f>IFERROR(__xludf.DUMMYFUNCTION("""COMPUTED_VALUE"""),1320.0)</f>
        <v>1320</v>
      </c>
      <c r="D859" s="2">
        <f>IFERROR(__xludf.DUMMYFUNCTION("""COMPUTED_VALUE"""),1305.0)</f>
        <v>1305</v>
      </c>
      <c r="E859" s="2">
        <f>IFERROR(__xludf.DUMMYFUNCTION("""COMPUTED_VALUE"""),1320.0)</f>
        <v>1320</v>
      </c>
      <c r="F859" s="2">
        <f>IFERROR(__xludf.DUMMYFUNCTION("""COMPUTED_VALUE"""),1.64635E7)</f>
        <v>16463500</v>
      </c>
      <c r="G859" s="2">
        <f t="shared" si="1"/>
        <v>15</v>
      </c>
    </row>
    <row r="860" ht="15.75" customHeight="1">
      <c r="A860" s="1">
        <f>IFERROR(__xludf.DUMMYFUNCTION("""COMPUTED_VALUE"""),45121.66666666667)</f>
        <v>45121.66667</v>
      </c>
      <c r="B860" s="2">
        <f>IFERROR(__xludf.DUMMYFUNCTION("""COMPUTED_VALUE"""),1320.0)</f>
        <v>1320</v>
      </c>
      <c r="C860" s="2">
        <f>IFERROR(__xludf.DUMMYFUNCTION("""COMPUTED_VALUE"""),1325.0)</f>
        <v>1325</v>
      </c>
      <c r="D860" s="2">
        <f>IFERROR(__xludf.DUMMYFUNCTION("""COMPUTED_VALUE"""),1310.0)</f>
        <v>1310</v>
      </c>
      <c r="E860" s="2">
        <f>IFERROR(__xludf.DUMMYFUNCTION("""COMPUTED_VALUE"""),1320.0)</f>
        <v>1320</v>
      </c>
      <c r="F860" s="2">
        <f>IFERROR(__xludf.DUMMYFUNCTION("""COMPUTED_VALUE"""),1.79155E7)</f>
        <v>17915500</v>
      </c>
      <c r="G860" s="2">
        <f t="shared" si="1"/>
        <v>15</v>
      </c>
    </row>
    <row r="861" ht="15.75" customHeight="1">
      <c r="A861" s="1">
        <f>IFERROR(__xludf.DUMMYFUNCTION("""COMPUTED_VALUE"""),45124.66666666667)</f>
        <v>45124.66667</v>
      </c>
      <c r="B861" s="2">
        <f>IFERROR(__xludf.DUMMYFUNCTION("""COMPUTED_VALUE"""),1320.0)</f>
        <v>1320</v>
      </c>
      <c r="C861" s="2">
        <f>IFERROR(__xludf.DUMMYFUNCTION("""COMPUTED_VALUE"""),1385.0)</f>
        <v>1385</v>
      </c>
      <c r="D861" s="2">
        <f>IFERROR(__xludf.DUMMYFUNCTION("""COMPUTED_VALUE"""),1320.0)</f>
        <v>1320</v>
      </c>
      <c r="E861" s="2">
        <f>IFERROR(__xludf.DUMMYFUNCTION("""COMPUTED_VALUE"""),1365.0)</f>
        <v>1365</v>
      </c>
      <c r="F861" s="2">
        <f>IFERROR(__xludf.DUMMYFUNCTION("""COMPUTED_VALUE"""),1.186762E8)</f>
        <v>118676200</v>
      </c>
      <c r="G861" s="2">
        <f t="shared" si="1"/>
        <v>65</v>
      </c>
    </row>
    <row r="862" ht="15.75" customHeight="1">
      <c r="A862" s="1">
        <f>IFERROR(__xludf.DUMMYFUNCTION("""COMPUTED_VALUE"""),45125.66666666667)</f>
        <v>45125.66667</v>
      </c>
      <c r="B862" s="2">
        <f>IFERROR(__xludf.DUMMYFUNCTION("""COMPUTED_VALUE"""),1365.0)</f>
        <v>1365</v>
      </c>
      <c r="C862" s="2">
        <f>IFERROR(__xludf.DUMMYFUNCTION("""COMPUTED_VALUE"""),1395.0)</f>
        <v>1395</v>
      </c>
      <c r="D862" s="2">
        <f>IFERROR(__xludf.DUMMYFUNCTION("""COMPUTED_VALUE"""),1355.0)</f>
        <v>1355</v>
      </c>
      <c r="E862" s="2">
        <f>IFERROR(__xludf.DUMMYFUNCTION("""COMPUTED_VALUE"""),1370.0)</f>
        <v>1370</v>
      </c>
      <c r="F862" s="2">
        <f>IFERROR(__xludf.DUMMYFUNCTION("""COMPUTED_VALUE"""),4.37975E7)</f>
        <v>43797500</v>
      </c>
      <c r="G862" s="2">
        <f t="shared" si="1"/>
        <v>40</v>
      </c>
    </row>
    <row r="863" ht="15.75" customHeight="1">
      <c r="A863" s="1">
        <f>IFERROR(__xludf.DUMMYFUNCTION("""COMPUTED_VALUE"""),45127.66666666667)</f>
        <v>45127.66667</v>
      </c>
      <c r="B863" s="2">
        <f>IFERROR(__xludf.DUMMYFUNCTION("""COMPUTED_VALUE"""),1370.0)</f>
        <v>1370</v>
      </c>
      <c r="C863" s="2">
        <f>IFERROR(__xludf.DUMMYFUNCTION("""COMPUTED_VALUE"""),1375.0)</f>
        <v>1375</v>
      </c>
      <c r="D863" s="2">
        <f>IFERROR(__xludf.DUMMYFUNCTION("""COMPUTED_VALUE"""),1360.0)</f>
        <v>1360</v>
      </c>
      <c r="E863" s="2">
        <f>IFERROR(__xludf.DUMMYFUNCTION("""COMPUTED_VALUE"""),1370.0)</f>
        <v>1370</v>
      </c>
      <c r="F863" s="2">
        <f>IFERROR(__xludf.DUMMYFUNCTION("""COMPUTED_VALUE"""),2.26322E7)</f>
        <v>22632200</v>
      </c>
      <c r="G863" s="2">
        <f t="shared" si="1"/>
        <v>15</v>
      </c>
    </row>
    <row r="864" ht="15.75" customHeight="1">
      <c r="A864" s="1">
        <f>IFERROR(__xludf.DUMMYFUNCTION("""COMPUTED_VALUE"""),45128.66666666667)</f>
        <v>45128.66667</v>
      </c>
      <c r="B864" s="2">
        <f>IFERROR(__xludf.DUMMYFUNCTION("""COMPUTED_VALUE"""),1360.0)</f>
        <v>1360</v>
      </c>
      <c r="C864" s="2">
        <f>IFERROR(__xludf.DUMMYFUNCTION("""COMPUTED_VALUE"""),1365.0)</f>
        <v>1365</v>
      </c>
      <c r="D864" s="2">
        <f>IFERROR(__xludf.DUMMYFUNCTION("""COMPUTED_VALUE"""),1330.0)</f>
        <v>1330</v>
      </c>
      <c r="E864" s="2">
        <f>IFERROR(__xludf.DUMMYFUNCTION("""COMPUTED_VALUE"""),1360.0)</f>
        <v>1360</v>
      </c>
      <c r="F864" s="2">
        <f>IFERROR(__xludf.DUMMYFUNCTION("""COMPUTED_VALUE"""),5.55015E7)</f>
        <v>55501500</v>
      </c>
      <c r="G864" s="2">
        <f t="shared" si="1"/>
        <v>40</v>
      </c>
    </row>
    <row r="865" ht="15.75" customHeight="1">
      <c r="A865" s="1">
        <f>IFERROR(__xludf.DUMMYFUNCTION("""COMPUTED_VALUE"""),45131.66666666667)</f>
        <v>45131.66667</v>
      </c>
      <c r="B865" s="2">
        <f>IFERROR(__xludf.DUMMYFUNCTION("""COMPUTED_VALUE"""),1350.0)</f>
        <v>1350</v>
      </c>
      <c r="C865" s="2">
        <f>IFERROR(__xludf.DUMMYFUNCTION("""COMPUTED_VALUE"""),1350.0)</f>
        <v>1350</v>
      </c>
      <c r="D865" s="2">
        <f>IFERROR(__xludf.DUMMYFUNCTION("""COMPUTED_VALUE"""),1315.0)</f>
        <v>1315</v>
      </c>
      <c r="E865" s="2">
        <f>IFERROR(__xludf.DUMMYFUNCTION("""COMPUTED_VALUE"""),1325.0)</f>
        <v>1325</v>
      </c>
      <c r="F865" s="2">
        <f>IFERROR(__xludf.DUMMYFUNCTION("""COMPUTED_VALUE"""),9.42725E7)</f>
        <v>94272500</v>
      </c>
      <c r="G865" s="2">
        <f t="shared" si="1"/>
        <v>45</v>
      </c>
    </row>
    <row r="866" ht="15.75" customHeight="1">
      <c r="A866" s="1">
        <f>IFERROR(__xludf.DUMMYFUNCTION("""COMPUTED_VALUE"""),45132.66666666667)</f>
        <v>45132.66667</v>
      </c>
      <c r="B866" s="2">
        <f>IFERROR(__xludf.DUMMYFUNCTION("""COMPUTED_VALUE"""),1330.0)</f>
        <v>1330</v>
      </c>
      <c r="C866" s="2">
        <f>IFERROR(__xludf.DUMMYFUNCTION("""COMPUTED_VALUE"""),1335.0)</f>
        <v>1335</v>
      </c>
      <c r="D866" s="2">
        <f>IFERROR(__xludf.DUMMYFUNCTION("""COMPUTED_VALUE"""),1305.0)</f>
        <v>1305</v>
      </c>
      <c r="E866" s="2">
        <f>IFERROR(__xludf.DUMMYFUNCTION("""COMPUTED_VALUE"""),1310.0)</f>
        <v>1310</v>
      </c>
      <c r="F866" s="2">
        <f>IFERROR(__xludf.DUMMYFUNCTION("""COMPUTED_VALUE"""),5.0924E7)</f>
        <v>50924000</v>
      </c>
      <c r="G866" s="2">
        <f t="shared" si="1"/>
        <v>30</v>
      </c>
    </row>
    <row r="867" ht="15.75" customHeight="1">
      <c r="A867" s="1">
        <f>IFERROR(__xludf.DUMMYFUNCTION("""COMPUTED_VALUE"""),45133.66666666667)</f>
        <v>45133.66667</v>
      </c>
      <c r="B867" s="2">
        <f>IFERROR(__xludf.DUMMYFUNCTION("""COMPUTED_VALUE"""),1315.0)</f>
        <v>1315</v>
      </c>
      <c r="C867" s="2">
        <f>IFERROR(__xludf.DUMMYFUNCTION("""COMPUTED_VALUE"""),1325.0)</f>
        <v>1325</v>
      </c>
      <c r="D867" s="2">
        <f>IFERROR(__xludf.DUMMYFUNCTION("""COMPUTED_VALUE"""),1305.0)</f>
        <v>1305</v>
      </c>
      <c r="E867" s="2">
        <f>IFERROR(__xludf.DUMMYFUNCTION("""COMPUTED_VALUE"""),1315.0)</f>
        <v>1315</v>
      </c>
      <c r="F867" s="2">
        <f>IFERROR(__xludf.DUMMYFUNCTION("""COMPUTED_VALUE"""),1.87964E7)</f>
        <v>18796400</v>
      </c>
      <c r="G867" s="2">
        <f t="shared" si="1"/>
        <v>20</v>
      </c>
    </row>
    <row r="868" ht="15.75" customHeight="1">
      <c r="A868" s="1">
        <f>IFERROR(__xludf.DUMMYFUNCTION("""COMPUTED_VALUE"""),45134.66666666667)</f>
        <v>45134.66667</v>
      </c>
      <c r="B868" s="2">
        <f>IFERROR(__xludf.DUMMYFUNCTION("""COMPUTED_VALUE"""),1320.0)</f>
        <v>1320</v>
      </c>
      <c r="C868" s="2">
        <f>IFERROR(__xludf.DUMMYFUNCTION("""COMPUTED_VALUE"""),1325.0)</f>
        <v>1325</v>
      </c>
      <c r="D868" s="2">
        <f>IFERROR(__xludf.DUMMYFUNCTION("""COMPUTED_VALUE"""),1310.0)</f>
        <v>1310</v>
      </c>
      <c r="E868" s="2">
        <f>IFERROR(__xludf.DUMMYFUNCTION("""COMPUTED_VALUE"""),1310.0)</f>
        <v>1310</v>
      </c>
      <c r="F868" s="2">
        <f>IFERROR(__xludf.DUMMYFUNCTION("""COMPUTED_VALUE"""),1.58673E7)</f>
        <v>15867300</v>
      </c>
      <c r="G868" s="2">
        <f t="shared" si="1"/>
        <v>15</v>
      </c>
    </row>
    <row r="869" ht="15.75" customHeight="1">
      <c r="A869" s="1">
        <f>IFERROR(__xludf.DUMMYFUNCTION("""COMPUTED_VALUE"""),45135.66666666667)</f>
        <v>45135.66667</v>
      </c>
      <c r="B869" s="2">
        <f>IFERROR(__xludf.DUMMYFUNCTION("""COMPUTED_VALUE"""),1305.0)</f>
        <v>1305</v>
      </c>
      <c r="C869" s="2">
        <f>IFERROR(__xludf.DUMMYFUNCTION("""COMPUTED_VALUE"""),1310.0)</f>
        <v>1310</v>
      </c>
      <c r="D869" s="2">
        <f>IFERROR(__xludf.DUMMYFUNCTION("""COMPUTED_VALUE"""),1280.0)</f>
        <v>1280</v>
      </c>
      <c r="E869" s="2">
        <f>IFERROR(__xludf.DUMMYFUNCTION("""COMPUTED_VALUE"""),1300.0)</f>
        <v>1300</v>
      </c>
      <c r="F869" s="2">
        <f>IFERROR(__xludf.DUMMYFUNCTION("""COMPUTED_VALUE"""),3.14254E7)</f>
        <v>31425400</v>
      </c>
      <c r="G869" s="2">
        <f t="shared" si="1"/>
        <v>30</v>
      </c>
    </row>
    <row r="870" ht="15.75" customHeight="1">
      <c r="A870" s="1">
        <f>IFERROR(__xludf.DUMMYFUNCTION("""COMPUTED_VALUE"""),45138.66666666667)</f>
        <v>45138.66667</v>
      </c>
      <c r="B870" s="2">
        <f>IFERROR(__xludf.DUMMYFUNCTION("""COMPUTED_VALUE"""),1300.0)</f>
        <v>1300</v>
      </c>
      <c r="C870" s="2">
        <f>IFERROR(__xludf.DUMMYFUNCTION("""COMPUTED_VALUE"""),1320.0)</f>
        <v>1320</v>
      </c>
      <c r="D870" s="2">
        <f>IFERROR(__xludf.DUMMYFUNCTION("""COMPUTED_VALUE"""),1300.0)</f>
        <v>1300</v>
      </c>
      <c r="E870" s="2">
        <f>IFERROR(__xludf.DUMMYFUNCTION("""COMPUTED_VALUE"""),1315.0)</f>
        <v>1315</v>
      </c>
      <c r="F870" s="2">
        <f>IFERROR(__xludf.DUMMYFUNCTION("""COMPUTED_VALUE"""),1.52984E7)</f>
        <v>15298400</v>
      </c>
      <c r="G870" s="2">
        <f t="shared" si="1"/>
        <v>20</v>
      </c>
    </row>
    <row r="871" ht="15.75" customHeight="1">
      <c r="A871" s="1">
        <f>IFERROR(__xludf.DUMMYFUNCTION("""COMPUTED_VALUE"""),45139.66666666667)</f>
        <v>45139.66667</v>
      </c>
      <c r="B871" s="2">
        <f>IFERROR(__xludf.DUMMYFUNCTION("""COMPUTED_VALUE"""),1315.0)</f>
        <v>1315</v>
      </c>
      <c r="C871" s="2">
        <f>IFERROR(__xludf.DUMMYFUNCTION("""COMPUTED_VALUE"""),1315.0)</f>
        <v>1315</v>
      </c>
      <c r="D871" s="2">
        <f>IFERROR(__xludf.DUMMYFUNCTION("""COMPUTED_VALUE"""),1295.0)</f>
        <v>1295</v>
      </c>
      <c r="E871" s="2">
        <f>IFERROR(__xludf.DUMMYFUNCTION("""COMPUTED_VALUE"""),1300.0)</f>
        <v>1300</v>
      </c>
      <c r="F871" s="2">
        <f>IFERROR(__xludf.DUMMYFUNCTION("""COMPUTED_VALUE"""),1.55588E7)</f>
        <v>15558800</v>
      </c>
      <c r="G871" s="2">
        <f t="shared" si="1"/>
        <v>20</v>
      </c>
    </row>
    <row r="872" ht="15.75" customHeight="1">
      <c r="A872" s="1">
        <f>IFERROR(__xludf.DUMMYFUNCTION("""COMPUTED_VALUE"""),45140.66666666667)</f>
        <v>45140.66667</v>
      </c>
      <c r="B872" s="2">
        <f>IFERROR(__xludf.DUMMYFUNCTION("""COMPUTED_VALUE"""),1300.0)</f>
        <v>1300</v>
      </c>
      <c r="C872" s="2">
        <f>IFERROR(__xludf.DUMMYFUNCTION("""COMPUTED_VALUE"""),1300.0)</f>
        <v>1300</v>
      </c>
      <c r="D872" s="2">
        <f>IFERROR(__xludf.DUMMYFUNCTION("""COMPUTED_VALUE"""),1280.0)</f>
        <v>1280</v>
      </c>
      <c r="E872" s="2">
        <f>IFERROR(__xludf.DUMMYFUNCTION("""COMPUTED_VALUE"""),1290.0)</f>
        <v>1290</v>
      </c>
      <c r="F872" s="2">
        <f>IFERROR(__xludf.DUMMYFUNCTION("""COMPUTED_VALUE"""),2.47685E7)</f>
        <v>24768500</v>
      </c>
      <c r="G872" s="2">
        <f t="shared" si="1"/>
        <v>20</v>
      </c>
    </row>
    <row r="873" ht="15.75" customHeight="1">
      <c r="A873" s="1">
        <f>IFERROR(__xludf.DUMMYFUNCTION("""COMPUTED_VALUE"""),45141.66666666667)</f>
        <v>45141.66667</v>
      </c>
      <c r="B873" s="2">
        <f>IFERROR(__xludf.DUMMYFUNCTION("""COMPUTED_VALUE"""),1285.0)</f>
        <v>1285</v>
      </c>
      <c r="C873" s="2">
        <f>IFERROR(__xludf.DUMMYFUNCTION("""COMPUTED_VALUE"""),1300.0)</f>
        <v>1300</v>
      </c>
      <c r="D873" s="2">
        <f>IFERROR(__xludf.DUMMYFUNCTION("""COMPUTED_VALUE"""),1280.0)</f>
        <v>1280</v>
      </c>
      <c r="E873" s="2">
        <f>IFERROR(__xludf.DUMMYFUNCTION("""COMPUTED_VALUE"""),1295.0)</f>
        <v>1295</v>
      </c>
      <c r="F873" s="2">
        <f>IFERROR(__xludf.DUMMYFUNCTION("""COMPUTED_VALUE"""),1.19414E7)</f>
        <v>11941400</v>
      </c>
      <c r="G873" s="2">
        <f t="shared" si="1"/>
        <v>20</v>
      </c>
    </row>
    <row r="874" ht="15.75" customHeight="1">
      <c r="A874" s="1">
        <f>IFERROR(__xludf.DUMMYFUNCTION("""COMPUTED_VALUE"""),45142.66666666667)</f>
        <v>45142.66667</v>
      </c>
      <c r="B874" s="2">
        <f>IFERROR(__xludf.DUMMYFUNCTION("""COMPUTED_VALUE"""),1295.0)</f>
        <v>1295</v>
      </c>
      <c r="C874" s="2">
        <f>IFERROR(__xludf.DUMMYFUNCTION("""COMPUTED_VALUE"""),1305.0)</f>
        <v>1305</v>
      </c>
      <c r="D874" s="2">
        <f>IFERROR(__xludf.DUMMYFUNCTION("""COMPUTED_VALUE"""),1285.0)</f>
        <v>1285</v>
      </c>
      <c r="E874" s="2">
        <f>IFERROR(__xludf.DUMMYFUNCTION("""COMPUTED_VALUE"""),1290.0)</f>
        <v>1290</v>
      </c>
      <c r="F874" s="2">
        <f>IFERROR(__xludf.DUMMYFUNCTION("""COMPUTED_VALUE"""),9191300.0)</f>
        <v>9191300</v>
      </c>
      <c r="G874" s="2">
        <f t="shared" si="1"/>
        <v>20</v>
      </c>
    </row>
    <row r="875" ht="15.75" customHeight="1">
      <c r="A875" s="1">
        <f>IFERROR(__xludf.DUMMYFUNCTION("""COMPUTED_VALUE"""),45145.66666666667)</f>
        <v>45145.66667</v>
      </c>
      <c r="B875" s="2">
        <f>IFERROR(__xludf.DUMMYFUNCTION("""COMPUTED_VALUE"""),1295.0)</f>
        <v>1295</v>
      </c>
      <c r="C875" s="2">
        <f>IFERROR(__xludf.DUMMYFUNCTION("""COMPUTED_VALUE"""),1315.0)</f>
        <v>1315</v>
      </c>
      <c r="D875" s="2">
        <f>IFERROR(__xludf.DUMMYFUNCTION("""COMPUTED_VALUE"""),1290.0)</f>
        <v>1290</v>
      </c>
      <c r="E875" s="2">
        <f>IFERROR(__xludf.DUMMYFUNCTION("""COMPUTED_VALUE"""),1310.0)</f>
        <v>1310</v>
      </c>
      <c r="F875" s="2">
        <f>IFERROR(__xludf.DUMMYFUNCTION("""COMPUTED_VALUE"""),1.81077E7)</f>
        <v>18107700</v>
      </c>
      <c r="G875" s="2">
        <f t="shared" si="1"/>
        <v>25</v>
      </c>
    </row>
    <row r="876" ht="15.75" customHeight="1">
      <c r="A876" s="1">
        <f>IFERROR(__xludf.DUMMYFUNCTION("""COMPUTED_VALUE"""),45146.66666666667)</f>
        <v>45146.66667</v>
      </c>
      <c r="B876" s="2">
        <f>IFERROR(__xludf.DUMMYFUNCTION("""COMPUTED_VALUE"""),1315.0)</f>
        <v>1315</v>
      </c>
      <c r="C876" s="2">
        <f>IFERROR(__xludf.DUMMYFUNCTION("""COMPUTED_VALUE"""),1315.0)</f>
        <v>1315</v>
      </c>
      <c r="D876" s="2">
        <f>IFERROR(__xludf.DUMMYFUNCTION("""COMPUTED_VALUE"""),1300.0)</f>
        <v>1300</v>
      </c>
      <c r="E876" s="2">
        <f>IFERROR(__xludf.DUMMYFUNCTION("""COMPUTED_VALUE"""),1305.0)</f>
        <v>1305</v>
      </c>
      <c r="F876" s="2">
        <f>IFERROR(__xludf.DUMMYFUNCTION("""COMPUTED_VALUE"""),9129000.0)</f>
        <v>9129000</v>
      </c>
      <c r="G876" s="2">
        <f t="shared" si="1"/>
        <v>15</v>
      </c>
    </row>
    <row r="877" ht="15.75" customHeight="1">
      <c r="A877" s="1">
        <f>IFERROR(__xludf.DUMMYFUNCTION("""COMPUTED_VALUE"""),45147.66666666667)</f>
        <v>45147.66667</v>
      </c>
      <c r="B877" s="2">
        <f>IFERROR(__xludf.DUMMYFUNCTION("""COMPUTED_VALUE"""),1305.0)</f>
        <v>1305</v>
      </c>
      <c r="C877" s="2">
        <f>IFERROR(__xludf.DUMMYFUNCTION("""COMPUTED_VALUE"""),1310.0)</f>
        <v>1310</v>
      </c>
      <c r="D877" s="2">
        <f>IFERROR(__xludf.DUMMYFUNCTION("""COMPUTED_VALUE"""),1295.0)</f>
        <v>1295</v>
      </c>
      <c r="E877" s="2">
        <f>IFERROR(__xludf.DUMMYFUNCTION("""COMPUTED_VALUE"""),1305.0)</f>
        <v>1305</v>
      </c>
      <c r="F877" s="2">
        <f>IFERROR(__xludf.DUMMYFUNCTION("""COMPUTED_VALUE"""),1.78249E7)</f>
        <v>17824900</v>
      </c>
      <c r="G877" s="2">
        <f t="shared" si="1"/>
        <v>15</v>
      </c>
    </row>
    <row r="878" ht="15.75" customHeight="1">
      <c r="A878" s="1">
        <f>IFERROR(__xludf.DUMMYFUNCTION("""COMPUTED_VALUE"""),45148.66666666667)</f>
        <v>45148.66667</v>
      </c>
      <c r="B878" s="2">
        <f>IFERROR(__xludf.DUMMYFUNCTION("""COMPUTED_VALUE"""),1305.0)</f>
        <v>1305</v>
      </c>
      <c r="C878" s="2">
        <f>IFERROR(__xludf.DUMMYFUNCTION("""COMPUTED_VALUE"""),1305.0)</f>
        <v>1305</v>
      </c>
      <c r="D878" s="2">
        <f>IFERROR(__xludf.DUMMYFUNCTION("""COMPUTED_VALUE"""),1290.0)</f>
        <v>1290</v>
      </c>
      <c r="E878" s="2">
        <f>IFERROR(__xludf.DUMMYFUNCTION("""COMPUTED_VALUE"""),1295.0)</f>
        <v>1295</v>
      </c>
      <c r="F878" s="2">
        <f>IFERROR(__xludf.DUMMYFUNCTION("""COMPUTED_VALUE"""),1.3524E7)</f>
        <v>13524000</v>
      </c>
      <c r="G878" s="2">
        <f t="shared" si="1"/>
        <v>15</v>
      </c>
    </row>
    <row r="879" ht="15.75" customHeight="1">
      <c r="A879" s="1">
        <f>IFERROR(__xludf.DUMMYFUNCTION("""COMPUTED_VALUE"""),45149.66666666667)</f>
        <v>45149.66667</v>
      </c>
      <c r="B879" s="2">
        <f>IFERROR(__xludf.DUMMYFUNCTION("""COMPUTED_VALUE"""),1295.0)</f>
        <v>1295</v>
      </c>
      <c r="C879" s="2">
        <f>IFERROR(__xludf.DUMMYFUNCTION("""COMPUTED_VALUE"""),1300.0)</f>
        <v>1300</v>
      </c>
      <c r="D879" s="2">
        <f>IFERROR(__xludf.DUMMYFUNCTION("""COMPUTED_VALUE"""),1290.0)</f>
        <v>1290</v>
      </c>
      <c r="E879" s="2">
        <f>IFERROR(__xludf.DUMMYFUNCTION("""COMPUTED_VALUE"""),1295.0)</f>
        <v>1295</v>
      </c>
      <c r="F879" s="2">
        <f>IFERROR(__xludf.DUMMYFUNCTION("""COMPUTED_VALUE"""),9014700.0)</f>
        <v>9014700</v>
      </c>
      <c r="G879" s="2">
        <f t="shared" si="1"/>
        <v>10</v>
      </c>
    </row>
    <row r="880" ht="15.75" customHeight="1">
      <c r="A880" s="1">
        <f>IFERROR(__xludf.DUMMYFUNCTION("""COMPUTED_VALUE"""),45152.66666666667)</f>
        <v>45152.66667</v>
      </c>
      <c r="B880" s="2">
        <f>IFERROR(__xludf.DUMMYFUNCTION("""COMPUTED_VALUE"""),1300.0)</f>
        <v>1300</v>
      </c>
      <c r="C880" s="2">
        <f>IFERROR(__xludf.DUMMYFUNCTION("""COMPUTED_VALUE"""),1300.0)</f>
        <v>1300</v>
      </c>
      <c r="D880" s="2">
        <f>IFERROR(__xludf.DUMMYFUNCTION("""COMPUTED_VALUE"""),1285.0)</f>
        <v>1285</v>
      </c>
      <c r="E880" s="2">
        <f>IFERROR(__xludf.DUMMYFUNCTION("""COMPUTED_VALUE"""),1300.0)</f>
        <v>1300</v>
      </c>
      <c r="F880" s="2">
        <f>IFERROR(__xludf.DUMMYFUNCTION("""COMPUTED_VALUE"""),1.39567E7)</f>
        <v>13956700</v>
      </c>
      <c r="G880" s="2">
        <f t="shared" si="1"/>
        <v>15</v>
      </c>
    </row>
    <row r="881" ht="15.75" customHeight="1">
      <c r="A881" s="1">
        <f>IFERROR(__xludf.DUMMYFUNCTION("""COMPUTED_VALUE"""),45153.66666666667)</f>
        <v>45153.66667</v>
      </c>
      <c r="B881" s="2">
        <f>IFERROR(__xludf.DUMMYFUNCTION("""COMPUTED_VALUE"""),1300.0)</f>
        <v>1300</v>
      </c>
      <c r="C881" s="2">
        <f>IFERROR(__xludf.DUMMYFUNCTION("""COMPUTED_VALUE"""),1310.0)</f>
        <v>1310</v>
      </c>
      <c r="D881" s="2">
        <f>IFERROR(__xludf.DUMMYFUNCTION("""COMPUTED_VALUE"""),1295.0)</f>
        <v>1295</v>
      </c>
      <c r="E881" s="2">
        <f>IFERROR(__xludf.DUMMYFUNCTION("""COMPUTED_VALUE"""),1300.0)</f>
        <v>1300</v>
      </c>
      <c r="F881" s="2">
        <f>IFERROR(__xludf.DUMMYFUNCTION("""COMPUTED_VALUE"""),1.77266E7)</f>
        <v>17726600</v>
      </c>
      <c r="G881" s="2">
        <f t="shared" si="1"/>
        <v>15</v>
      </c>
    </row>
    <row r="882" ht="15.75" customHeight="1">
      <c r="A882" s="1">
        <f>IFERROR(__xludf.DUMMYFUNCTION("""COMPUTED_VALUE"""),45154.66666666667)</f>
        <v>45154.66667</v>
      </c>
      <c r="B882" s="2">
        <f>IFERROR(__xludf.DUMMYFUNCTION("""COMPUTED_VALUE"""),1300.0)</f>
        <v>1300</v>
      </c>
      <c r="C882" s="2">
        <f>IFERROR(__xludf.DUMMYFUNCTION("""COMPUTED_VALUE"""),1300.0)</f>
        <v>1300</v>
      </c>
      <c r="D882" s="2">
        <f>IFERROR(__xludf.DUMMYFUNCTION("""COMPUTED_VALUE"""),1290.0)</f>
        <v>1290</v>
      </c>
      <c r="E882" s="2">
        <f>IFERROR(__xludf.DUMMYFUNCTION("""COMPUTED_VALUE"""),1300.0)</f>
        <v>1300</v>
      </c>
      <c r="F882" s="2">
        <f>IFERROR(__xludf.DUMMYFUNCTION("""COMPUTED_VALUE"""),7136100.0)</f>
        <v>7136100</v>
      </c>
      <c r="G882" s="2">
        <f t="shared" si="1"/>
        <v>10</v>
      </c>
    </row>
    <row r="883" ht="15.75" customHeight="1">
      <c r="A883" s="1">
        <f>IFERROR(__xludf.DUMMYFUNCTION("""COMPUTED_VALUE"""),45156.66666666667)</f>
        <v>45156.66667</v>
      </c>
      <c r="B883" s="2">
        <f>IFERROR(__xludf.DUMMYFUNCTION("""COMPUTED_VALUE"""),1300.0)</f>
        <v>1300</v>
      </c>
      <c r="C883" s="2">
        <f>IFERROR(__xludf.DUMMYFUNCTION("""COMPUTED_VALUE"""),1300.0)</f>
        <v>1300</v>
      </c>
      <c r="D883" s="2">
        <f>IFERROR(__xludf.DUMMYFUNCTION("""COMPUTED_VALUE"""),1290.0)</f>
        <v>1290</v>
      </c>
      <c r="E883" s="2">
        <f>IFERROR(__xludf.DUMMYFUNCTION("""COMPUTED_VALUE"""),1295.0)</f>
        <v>1295</v>
      </c>
      <c r="F883" s="2">
        <f>IFERROR(__xludf.DUMMYFUNCTION("""COMPUTED_VALUE"""),1.05519E7)</f>
        <v>10551900</v>
      </c>
      <c r="G883" s="2">
        <f t="shared" si="1"/>
        <v>10</v>
      </c>
    </row>
    <row r="884" ht="15.75" customHeight="1">
      <c r="A884" s="1">
        <f>IFERROR(__xludf.DUMMYFUNCTION("""COMPUTED_VALUE"""),45159.66666666667)</f>
        <v>45159.66667</v>
      </c>
      <c r="B884" s="2">
        <f>IFERROR(__xludf.DUMMYFUNCTION("""COMPUTED_VALUE"""),1295.0)</f>
        <v>1295</v>
      </c>
      <c r="C884" s="2">
        <f>IFERROR(__xludf.DUMMYFUNCTION("""COMPUTED_VALUE"""),1295.0)</f>
        <v>1295</v>
      </c>
      <c r="D884" s="2">
        <f>IFERROR(__xludf.DUMMYFUNCTION("""COMPUTED_VALUE"""),1280.0)</f>
        <v>1280</v>
      </c>
      <c r="E884" s="2">
        <f>IFERROR(__xludf.DUMMYFUNCTION("""COMPUTED_VALUE"""),1280.0)</f>
        <v>1280</v>
      </c>
      <c r="F884" s="2">
        <f>IFERROR(__xludf.DUMMYFUNCTION("""COMPUTED_VALUE"""),2.10167E7)</f>
        <v>21016700</v>
      </c>
      <c r="G884" s="2">
        <f t="shared" si="1"/>
        <v>15</v>
      </c>
    </row>
    <row r="885" ht="15.75" customHeight="1">
      <c r="A885" s="1">
        <f>IFERROR(__xludf.DUMMYFUNCTION("""COMPUTED_VALUE"""),45160.66666666667)</f>
        <v>45160.66667</v>
      </c>
      <c r="B885" s="2">
        <f>IFERROR(__xludf.DUMMYFUNCTION("""COMPUTED_VALUE"""),1280.0)</f>
        <v>1280</v>
      </c>
      <c r="C885" s="2">
        <f>IFERROR(__xludf.DUMMYFUNCTION("""COMPUTED_VALUE"""),1285.0)</f>
        <v>1285</v>
      </c>
      <c r="D885" s="2">
        <f>IFERROR(__xludf.DUMMYFUNCTION("""COMPUTED_VALUE"""),1265.0)</f>
        <v>1265</v>
      </c>
      <c r="E885" s="2">
        <f>IFERROR(__xludf.DUMMYFUNCTION("""COMPUTED_VALUE"""),1270.0)</f>
        <v>1270</v>
      </c>
      <c r="F885" s="2">
        <f>IFERROR(__xludf.DUMMYFUNCTION("""COMPUTED_VALUE"""),2.49244E7)</f>
        <v>24924400</v>
      </c>
      <c r="G885" s="2">
        <f t="shared" si="1"/>
        <v>20</v>
      </c>
    </row>
    <row r="886" ht="15.75" customHeight="1">
      <c r="A886" s="1">
        <f>IFERROR(__xludf.DUMMYFUNCTION("""COMPUTED_VALUE"""),45161.66666666667)</f>
        <v>45161.66667</v>
      </c>
      <c r="B886" s="2">
        <f>IFERROR(__xludf.DUMMYFUNCTION("""COMPUTED_VALUE"""),1270.0)</f>
        <v>1270</v>
      </c>
      <c r="C886" s="2">
        <f>IFERROR(__xludf.DUMMYFUNCTION("""COMPUTED_VALUE"""),1275.0)</f>
        <v>1275</v>
      </c>
      <c r="D886" s="2">
        <f>IFERROR(__xludf.DUMMYFUNCTION("""COMPUTED_VALUE"""),1265.0)</f>
        <v>1265</v>
      </c>
      <c r="E886" s="2">
        <f>IFERROR(__xludf.DUMMYFUNCTION("""COMPUTED_VALUE"""),1270.0)</f>
        <v>1270</v>
      </c>
      <c r="F886" s="2">
        <f>IFERROR(__xludf.DUMMYFUNCTION("""COMPUTED_VALUE"""),1.19625E7)</f>
        <v>11962500</v>
      </c>
      <c r="G886" s="2">
        <f t="shared" si="1"/>
        <v>10</v>
      </c>
    </row>
    <row r="887" ht="15.75" customHeight="1">
      <c r="A887" s="1">
        <f>IFERROR(__xludf.DUMMYFUNCTION("""COMPUTED_VALUE"""),45162.66666666667)</f>
        <v>45162.66667</v>
      </c>
      <c r="B887" s="2">
        <f>IFERROR(__xludf.DUMMYFUNCTION("""COMPUTED_VALUE"""),1270.0)</f>
        <v>1270</v>
      </c>
      <c r="C887" s="2">
        <f>IFERROR(__xludf.DUMMYFUNCTION("""COMPUTED_VALUE"""),1285.0)</f>
        <v>1285</v>
      </c>
      <c r="D887" s="2">
        <f>IFERROR(__xludf.DUMMYFUNCTION("""COMPUTED_VALUE"""),1270.0)</f>
        <v>1270</v>
      </c>
      <c r="E887" s="2">
        <f>IFERROR(__xludf.DUMMYFUNCTION("""COMPUTED_VALUE"""),1275.0)</f>
        <v>1275</v>
      </c>
      <c r="F887" s="2">
        <f>IFERROR(__xludf.DUMMYFUNCTION("""COMPUTED_VALUE"""),9029000.0)</f>
        <v>9029000</v>
      </c>
      <c r="G887" s="2">
        <f t="shared" si="1"/>
        <v>15</v>
      </c>
    </row>
    <row r="888" ht="15.75" customHeight="1">
      <c r="A888" s="1">
        <f>IFERROR(__xludf.DUMMYFUNCTION("""COMPUTED_VALUE"""),45163.66666666667)</f>
        <v>45163.66667</v>
      </c>
      <c r="B888" s="2">
        <f>IFERROR(__xludf.DUMMYFUNCTION("""COMPUTED_VALUE"""),1280.0)</f>
        <v>1280</v>
      </c>
      <c r="C888" s="2">
        <f>IFERROR(__xludf.DUMMYFUNCTION("""COMPUTED_VALUE"""),1285.0)</f>
        <v>1285</v>
      </c>
      <c r="D888" s="2">
        <f>IFERROR(__xludf.DUMMYFUNCTION("""COMPUTED_VALUE"""),1265.0)</f>
        <v>1265</v>
      </c>
      <c r="E888" s="2">
        <f>IFERROR(__xludf.DUMMYFUNCTION("""COMPUTED_VALUE"""),1265.0)</f>
        <v>1265</v>
      </c>
      <c r="F888" s="2">
        <f>IFERROR(__xludf.DUMMYFUNCTION("""COMPUTED_VALUE"""),1.29998E7)</f>
        <v>12999800</v>
      </c>
      <c r="G888" s="2">
        <f t="shared" si="1"/>
        <v>20</v>
      </c>
    </row>
    <row r="889" ht="15.75" customHeight="1">
      <c r="A889" s="1">
        <f>IFERROR(__xludf.DUMMYFUNCTION("""COMPUTED_VALUE"""),45166.66666666667)</f>
        <v>45166.66667</v>
      </c>
      <c r="B889" s="2">
        <f>IFERROR(__xludf.DUMMYFUNCTION("""COMPUTED_VALUE"""),1270.0)</f>
        <v>1270</v>
      </c>
      <c r="C889" s="2">
        <f>IFERROR(__xludf.DUMMYFUNCTION("""COMPUTED_VALUE"""),1285.0)</f>
        <v>1285</v>
      </c>
      <c r="D889" s="2">
        <f>IFERROR(__xludf.DUMMYFUNCTION("""COMPUTED_VALUE"""),1270.0)</f>
        <v>1270</v>
      </c>
      <c r="E889" s="2">
        <f>IFERROR(__xludf.DUMMYFUNCTION("""COMPUTED_VALUE"""),1275.0)</f>
        <v>1275</v>
      </c>
      <c r="F889" s="2">
        <f>IFERROR(__xludf.DUMMYFUNCTION("""COMPUTED_VALUE"""),8376400.0)</f>
        <v>8376400</v>
      </c>
      <c r="G889" s="2">
        <f t="shared" si="1"/>
        <v>20</v>
      </c>
    </row>
    <row r="890" ht="15.75" customHeight="1">
      <c r="A890" s="1">
        <f>IFERROR(__xludf.DUMMYFUNCTION("""COMPUTED_VALUE"""),45167.66666666667)</f>
        <v>45167.66667</v>
      </c>
      <c r="B890" s="2">
        <f>IFERROR(__xludf.DUMMYFUNCTION("""COMPUTED_VALUE"""),1275.0)</f>
        <v>1275</v>
      </c>
      <c r="C890" s="2">
        <f>IFERROR(__xludf.DUMMYFUNCTION("""COMPUTED_VALUE"""),1280.0)</f>
        <v>1280</v>
      </c>
      <c r="D890" s="2">
        <f>IFERROR(__xludf.DUMMYFUNCTION("""COMPUTED_VALUE"""),1265.0)</f>
        <v>1265</v>
      </c>
      <c r="E890" s="2">
        <f>IFERROR(__xludf.DUMMYFUNCTION("""COMPUTED_VALUE"""),1270.0)</f>
        <v>1270</v>
      </c>
      <c r="F890" s="2">
        <f>IFERROR(__xludf.DUMMYFUNCTION("""COMPUTED_VALUE"""),9169400.0)</f>
        <v>9169400</v>
      </c>
      <c r="G890" s="2">
        <f t="shared" si="1"/>
        <v>15</v>
      </c>
    </row>
    <row r="891" ht="15.75" customHeight="1">
      <c r="A891" s="1">
        <f>IFERROR(__xludf.DUMMYFUNCTION("""COMPUTED_VALUE"""),45168.66666666667)</f>
        <v>45168.66667</v>
      </c>
      <c r="B891" s="2">
        <f>IFERROR(__xludf.DUMMYFUNCTION("""COMPUTED_VALUE"""),1270.0)</f>
        <v>1270</v>
      </c>
      <c r="C891" s="2">
        <f>IFERROR(__xludf.DUMMYFUNCTION("""COMPUTED_VALUE"""),1285.0)</f>
        <v>1285</v>
      </c>
      <c r="D891" s="2">
        <f>IFERROR(__xludf.DUMMYFUNCTION("""COMPUTED_VALUE"""),1270.0)</f>
        <v>1270</v>
      </c>
      <c r="E891" s="2">
        <f>IFERROR(__xludf.DUMMYFUNCTION("""COMPUTED_VALUE"""),1270.0)</f>
        <v>1270</v>
      </c>
      <c r="F891" s="2">
        <f>IFERROR(__xludf.DUMMYFUNCTION("""COMPUTED_VALUE"""),1.28166E7)</f>
        <v>12816600</v>
      </c>
      <c r="G891" s="2">
        <f t="shared" si="1"/>
        <v>15</v>
      </c>
    </row>
    <row r="892" ht="15.75" customHeight="1">
      <c r="A892" s="1">
        <f>IFERROR(__xludf.DUMMYFUNCTION("""COMPUTED_VALUE"""),45169.66666666667)</f>
        <v>45169.66667</v>
      </c>
      <c r="B892" s="2">
        <f>IFERROR(__xludf.DUMMYFUNCTION("""COMPUTED_VALUE"""),1275.0)</f>
        <v>1275</v>
      </c>
      <c r="C892" s="2">
        <f>IFERROR(__xludf.DUMMYFUNCTION("""COMPUTED_VALUE"""),1280.0)</f>
        <v>1280</v>
      </c>
      <c r="D892" s="2">
        <f>IFERROR(__xludf.DUMMYFUNCTION("""COMPUTED_VALUE"""),1255.0)</f>
        <v>1255</v>
      </c>
      <c r="E892" s="2">
        <f>IFERROR(__xludf.DUMMYFUNCTION("""COMPUTED_VALUE"""),1255.0)</f>
        <v>1255</v>
      </c>
      <c r="F892" s="2">
        <f>IFERROR(__xludf.DUMMYFUNCTION("""COMPUTED_VALUE"""),1.99967E7)</f>
        <v>19996700</v>
      </c>
      <c r="G892" s="2">
        <f t="shared" si="1"/>
        <v>25</v>
      </c>
    </row>
    <row r="893" ht="15.75" customHeight="1">
      <c r="A893" s="1">
        <f>IFERROR(__xludf.DUMMYFUNCTION("""COMPUTED_VALUE"""),45170.66666666667)</f>
        <v>45170.66667</v>
      </c>
      <c r="B893" s="2">
        <f>IFERROR(__xludf.DUMMYFUNCTION("""COMPUTED_VALUE"""),1255.0)</f>
        <v>1255</v>
      </c>
      <c r="C893" s="2">
        <f>IFERROR(__xludf.DUMMYFUNCTION("""COMPUTED_VALUE"""),1265.0)</f>
        <v>1265</v>
      </c>
      <c r="D893" s="2">
        <f>IFERROR(__xludf.DUMMYFUNCTION("""COMPUTED_VALUE"""),1250.0)</f>
        <v>1250</v>
      </c>
      <c r="E893" s="2">
        <f>IFERROR(__xludf.DUMMYFUNCTION("""COMPUTED_VALUE"""),1250.0)</f>
        <v>1250</v>
      </c>
      <c r="F893" s="2">
        <f>IFERROR(__xludf.DUMMYFUNCTION("""COMPUTED_VALUE"""),1.07257E7)</f>
        <v>10725700</v>
      </c>
      <c r="G893" s="2">
        <f t="shared" si="1"/>
        <v>15</v>
      </c>
    </row>
    <row r="894" ht="15.75" customHeight="1">
      <c r="A894" s="1">
        <f>IFERROR(__xludf.DUMMYFUNCTION("""COMPUTED_VALUE"""),45173.66666666667)</f>
        <v>45173.66667</v>
      </c>
      <c r="B894" s="2">
        <f>IFERROR(__xludf.DUMMYFUNCTION("""COMPUTED_VALUE"""),1250.0)</f>
        <v>1250</v>
      </c>
      <c r="C894" s="2">
        <f>IFERROR(__xludf.DUMMYFUNCTION("""COMPUTED_VALUE"""),1260.0)</f>
        <v>1260</v>
      </c>
      <c r="D894" s="2">
        <f>IFERROR(__xludf.DUMMYFUNCTION("""COMPUTED_VALUE"""),1250.0)</f>
        <v>1250</v>
      </c>
      <c r="E894" s="2">
        <f>IFERROR(__xludf.DUMMYFUNCTION("""COMPUTED_VALUE"""),1255.0)</f>
        <v>1255</v>
      </c>
      <c r="F894" s="2">
        <f>IFERROR(__xludf.DUMMYFUNCTION("""COMPUTED_VALUE"""),8835100.0)</f>
        <v>8835100</v>
      </c>
      <c r="G894" s="2">
        <f t="shared" si="1"/>
        <v>10</v>
      </c>
    </row>
    <row r="895" ht="15.75" customHeight="1">
      <c r="A895" s="1">
        <f>IFERROR(__xludf.DUMMYFUNCTION("""COMPUTED_VALUE"""),45174.66666666667)</f>
        <v>45174.66667</v>
      </c>
      <c r="B895" s="2">
        <f>IFERROR(__xludf.DUMMYFUNCTION("""COMPUTED_VALUE"""),1255.0)</f>
        <v>1255</v>
      </c>
      <c r="C895" s="2">
        <f>IFERROR(__xludf.DUMMYFUNCTION("""COMPUTED_VALUE"""),1260.0)</f>
        <v>1260</v>
      </c>
      <c r="D895" s="2">
        <f>IFERROR(__xludf.DUMMYFUNCTION("""COMPUTED_VALUE"""),1240.0)</f>
        <v>1240</v>
      </c>
      <c r="E895" s="2">
        <f>IFERROR(__xludf.DUMMYFUNCTION("""COMPUTED_VALUE"""),1250.0)</f>
        <v>1250</v>
      </c>
      <c r="F895" s="2">
        <f>IFERROR(__xludf.DUMMYFUNCTION("""COMPUTED_VALUE"""),1.77201E7)</f>
        <v>17720100</v>
      </c>
      <c r="G895" s="2">
        <f t="shared" si="1"/>
        <v>20</v>
      </c>
    </row>
    <row r="896" ht="15.75" customHeight="1">
      <c r="A896" s="1">
        <f>IFERROR(__xludf.DUMMYFUNCTION("""COMPUTED_VALUE"""),45175.66666666667)</f>
        <v>45175.66667</v>
      </c>
      <c r="B896" s="2">
        <f>IFERROR(__xludf.DUMMYFUNCTION("""COMPUTED_VALUE"""),1250.0)</f>
        <v>1250</v>
      </c>
      <c r="C896" s="2">
        <f>IFERROR(__xludf.DUMMYFUNCTION("""COMPUTED_VALUE"""),1260.0)</f>
        <v>1260</v>
      </c>
      <c r="D896" s="2">
        <f>IFERROR(__xludf.DUMMYFUNCTION("""COMPUTED_VALUE"""),1240.0)</f>
        <v>1240</v>
      </c>
      <c r="E896" s="2">
        <f>IFERROR(__xludf.DUMMYFUNCTION("""COMPUTED_VALUE"""),1245.0)</f>
        <v>1245</v>
      </c>
      <c r="F896" s="2">
        <f>IFERROR(__xludf.DUMMYFUNCTION("""COMPUTED_VALUE"""),1.67209E7)</f>
        <v>16720900</v>
      </c>
      <c r="G896" s="2">
        <f t="shared" si="1"/>
        <v>20</v>
      </c>
    </row>
    <row r="897" ht="15.75" customHeight="1">
      <c r="A897" s="1">
        <f>IFERROR(__xludf.DUMMYFUNCTION("""COMPUTED_VALUE"""),45176.66666666667)</f>
        <v>45176.66667</v>
      </c>
      <c r="B897" s="2">
        <f>IFERROR(__xludf.DUMMYFUNCTION("""COMPUTED_VALUE"""),1245.0)</f>
        <v>1245</v>
      </c>
      <c r="C897" s="2">
        <f>IFERROR(__xludf.DUMMYFUNCTION("""COMPUTED_VALUE"""),1250.0)</f>
        <v>1250</v>
      </c>
      <c r="D897" s="2">
        <f>IFERROR(__xludf.DUMMYFUNCTION("""COMPUTED_VALUE"""),1230.0)</f>
        <v>1230</v>
      </c>
      <c r="E897" s="2">
        <f>IFERROR(__xludf.DUMMYFUNCTION("""COMPUTED_VALUE"""),1240.0)</f>
        <v>1240</v>
      </c>
      <c r="F897" s="2">
        <f>IFERROR(__xludf.DUMMYFUNCTION("""COMPUTED_VALUE"""),2.04875E7)</f>
        <v>20487500</v>
      </c>
      <c r="G897" s="2">
        <f t="shared" si="1"/>
        <v>20</v>
      </c>
    </row>
    <row r="898" ht="15.75" customHeight="1">
      <c r="A898" s="1">
        <f>IFERROR(__xludf.DUMMYFUNCTION("""COMPUTED_VALUE"""),45177.66666666667)</f>
        <v>45177.66667</v>
      </c>
      <c r="B898" s="2">
        <f>IFERROR(__xludf.DUMMYFUNCTION("""COMPUTED_VALUE"""),1240.0)</f>
        <v>1240</v>
      </c>
      <c r="C898" s="2">
        <f>IFERROR(__xludf.DUMMYFUNCTION("""COMPUTED_VALUE"""),1250.0)</f>
        <v>1250</v>
      </c>
      <c r="D898" s="2">
        <f>IFERROR(__xludf.DUMMYFUNCTION("""COMPUTED_VALUE"""),1235.0)</f>
        <v>1235</v>
      </c>
      <c r="E898" s="2">
        <f>IFERROR(__xludf.DUMMYFUNCTION("""COMPUTED_VALUE"""),1250.0)</f>
        <v>1250</v>
      </c>
      <c r="F898" s="2">
        <f>IFERROR(__xludf.DUMMYFUNCTION("""COMPUTED_VALUE"""),1.18244E7)</f>
        <v>11824400</v>
      </c>
      <c r="G898" s="2">
        <f t="shared" si="1"/>
        <v>15</v>
      </c>
    </row>
    <row r="899" ht="15.75" customHeight="1">
      <c r="A899" s="1">
        <f>IFERROR(__xludf.DUMMYFUNCTION("""COMPUTED_VALUE"""),45180.66666666667)</f>
        <v>45180.66667</v>
      </c>
      <c r="B899" s="2">
        <f>IFERROR(__xludf.DUMMYFUNCTION("""COMPUTED_VALUE"""),1250.0)</f>
        <v>1250</v>
      </c>
      <c r="C899" s="2">
        <f>IFERROR(__xludf.DUMMYFUNCTION("""COMPUTED_VALUE"""),1250.0)</f>
        <v>1250</v>
      </c>
      <c r="D899" s="2">
        <f>IFERROR(__xludf.DUMMYFUNCTION("""COMPUTED_VALUE"""),1235.0)</f>
        <v>1235</v>
      </c>
      <c r="E899" s="2">
        <f>IFERROR(__xludf.DUMMYFUNCTION("""COMPUTED_VALUE"""),1245.0)</f>
        <v>1245</v>
      </c>
      <c r="F899" s="2">
        <f>IFERROR(__xludf.DUMMYFUNCTION("""COMPUTED_VALUE"""),1.13956E7)</f>
        <v>11395600</v>
      </c>
      <c r="G899" s="2">
        <f t="shared" si="1"/>
        <v>15</v>
      </c>
    </row>
    <row r="900" ht="15.75" customHeight="1">
      <c r="A900" s="1">
        <f>IFERROR(__xludf.DUMMYFUNCTION("""COMPUTED_VALUE"""),45181.66666666667)</f>
        <v>45181.66667</v>
      </c>
      <c r="B900" s="2">
        <f>IFERROR(__xludf.DUMMYFUNCTION("""COMPUTED_VALUE"""),1240.0)</f>
        <v>1240</v>
      </c>
      <c r="C900" s="2">
        <f>IFERROR(__xludf.DUMMYFUNCTION("""COMPUTED_VALUE"""),1245.0)</f>
        <v>1245</v>
      </c>
      <c r="D900" s="2">
        <f>IFERROR(__xludf.DUMMYFUNCTION("""COMPUTED_VALUE"""),1235.0)</f>
        <v>1235</v>
      </c>
      <c r="E900" s="2">
        <f>IFERROR(__xludf.DUMMYFUNCTION("""COMPUTED_VALUE"""),1240.0)</f>
        <v>1240</v>
      </c>
      <c r="F900" s="2">
        <f>IFERROR(__xludf.DUMMYFUNCTION("""COMPUTED_VALUE"""),5488500.0)</f>
        <v>5488500</v>
      </c>
      <c r="G900" s="2">
        <f t="shared" si="1"/>
        <v>10</v>
      </c>
    </row>
    <row r="901" ht="15.75" customHeight="1">
      <c r="A901" s="1">
        <f>IFERROR(__xludf.DUMMYFUNCTION("""COMPUTED_VALUE"""),45182.66666666667)</f>
        <v>45182.66667</v>
      </c>
      <c r="B901" s="2">
        <f>IFERROR(__xludf.DUMMYFUNCTION("""COMPUTED_VALUE"""),1240.0)</f>
        <v>1240</v>
      </c>
      <c r="C901" s="2">
        <f>IFERROR(__xludf.DUMMYFUNCTION("""COMPUTED_VALUE"""),1250.0)</f>
        <v>1250</v>
      </c>
      <c r="D901" s="2">
        <f>IFERROR(__xludf.DUMMYFUNCTION("""COMPUTED_VALUE"""),1230.0)</f>
        <v>1230</v>
      </c>
      <c r="E901" s="2">
        <f>IFERROR(__xludf.DUMMYFUNCTION("""COMPUTED_VALUE"""),1240.0)</f>
        <v>1240</v>
      </c>
      <c r="F901" s="2">
        <f>IFERROR(__xludf.DUMMYFUNCTION("""COMPUTED_VALUE"""),1.03527E7)</f>
        <v>10352700</v>
      </c>
      <c r="G901" s="2">
        <f t="shared" si="1"/>
        <v>20</v>
      </c>
    </row>
    <row r="902" ht="15.75" customHeight="1">
      <c r="A902" s="1">
        <f>IFERROR(__xludf.DUMMYFUNCTION("""COMPUTED_VALUE"""),45183.66666666667)</f>
        <v>45183.66667</v>
      </c>
      <c r="B902" s="2">
        <f>IFERROR(__xludf.DUMMYFUNCTION("""COMPUTED_VALUE"""),1240.0)</f>
        <v>1240</v>
      </c>
      <c r="C902" s="2">
        <f>IFERROR(__xludf.DUMMYFUNCTION("""COMPUTED_VALUE"""),1245.0)</f>
        <v>1245</v>
      </c>
      <c r="D902" s="2">
        <f>IFERROR(__xludf.DUMMYFUNCTION("""COMPUTED_VALUE"""),1230.0)</f>
        <v>1230</v>
      </c>
      <c r="E902" s="2">
        <f>IFERROR(__xludf.DUMMYFUNCTION("""COMPUTED_VALUE"""),1230.0)</f>
        <v>1230</v>
      </c>
      <c r="F902" s="2">
        <f>IFERROR(__xludf.DUMMYFUNCTION("""COMPUTED_VALUE"""),7105400.0)</f>
        <v>7105400</v>
      </c>
      <c r="G902" s="2">
        <f t="shared" si="1"/>
        <v>15</v>
      </c>
    </row>
    <row r="903" ht="15.75" customHeight="1">
      <c r="A903" s="1">
        <f>IFERROR(__xludf.DUMMYFUNCTION("""COMPUTED_VALUE"""),45184.66666666667)</f>
        <v>45184.66667</v>
      </c>
      <c r="B903" s="2">
        <f>IFERROR(__xludf.DUMMYFUNCTION("""COMPUTED_VALUE"""),1230.0)</f>
        <v>1230</v>
      </c>
      <c r="C903" s="2">
        <f>IFERROR(__xludf.DUMMYFUNCTION("""COMPUTED_VALUE"""),1235.0)</f>
        <v>1235</v>
      </c>
      <c r="D903" s="2">
        <f>IFERROR(__xludf.DUMMYFUNCTION("""COMPUTED_VALUE"""),1220.0)</f>
        <v>1220</v>
      </c>
      <c r="E903" s="2">
        <f>IFERROR(__xludf.DUMMYFUNCTION("""COMPUTED_VALUE"""),1220.0)</f>
        <v>1220</v>
      </c>
      <c r="F903" s="2">
        <f>IFERROR(__xludf.DUMMYFUNCTION("""COMPUTED_VALUE"""),1.99471E7)</f>
        <v>19947100</v>
      </c>
      <c r="G903" s="2">
        <f t="shared" si="1"/>
        <v>15</v>
      </c>
    </row>
    <row r="904" ht="15.75" customHeight="1">
      <c r="A904" s="1">
        <f>IFERROR(__xludf.DUMMYFUNCTION("""COMPUTED_VALUE"""),45187.66666666667)</f>
        <v>45187.66667</v>
      </c>
      <c r="B904" s="2">
        <f>IFERROR(__xludf.DUMMYFUNCTION("""COMPUTED_VALUE"""),1215.0)</f>
        <v>1215</v>
      </c>
      <c r="C904" s="2">
        <f>IFERROR(__xludf.DUMMYFUNCTION("""COMPUTED_VALUE"""),1230.0)</f>
        <v>1230</v>
      </c>
      <c r="D904" s="2">
        <f>IFERROR(__xludf.DUMMYFUNCTION("""COMPUTED_VALUE"""),1215.0)</f>
        <v>1215</v>
      </c>
      <c r="E904" s="2">
        <f>IFERROR(__xludf.DUMMYFUNCTION("""COMPUTED_VALUE"""),1220.0)</f>
        <v>1220</v>
      </c>
      <c r="F904" s="2">
        <f>IFERROR(__xludf.DUMMYFUNCTION("""COMPUTED_VALUE"""),1.01905E7)</f>
        <v>10190500</v>
      </c>
      <c r="G904" s="2">
        <f t="shared" si="1"/>
        <v>15</v>
      </c>
    </row>
    <row r="905" ht="15.75" customHeight="1">
      <c r="A905" s="1">
        <f>IFERROR(__xludf.DUMMYFUNCTION("""COMPUTED_VALUE"""),45188.66666666667)</f>
        <v>45188.66667</v>
      </c>
      <c r="B905" s="2">
        <f>IFERROR(__xludf.DUMMYFUNCTION("""COMPUTED_VALUE"""),1215.0)</f>
        <v>1215</v>
      </c>
      <c r="C905" s="2">
        <f>IFERROR(__xludf.DUMMYFUNCTION("""COMPUTED_VALUE"""),1245.0)</f>
        <v>1245</v>
      </c>
      <c r="D905" s="2">
        <f>IFERROR(__xludf.DUMMYFUNCTION("""COMPUTED_VALUE"""),1215.0)</f>
        <v>1215</v>
      </c>
      <c r="E905" s="2">
        <f>IFERROR(__xludf.DUMMYFUNCTION("""COMPUTED_VALUE"""),1235.0)</f>
        <v>1235</v>
      </c>
      <c r="F905" s="2">
        <f>IFERROR(__xludf.DUMMYFUNCTION("""COMPUTED_VALUE"""),6969800.0)</f>
        <v>6969800</v>
      </c>
      <c r="G905" s="2">
        <f t="shared" si="1"/>
        <v>30</v>
      </c>
    </row>
    <row r="906" ht="15.75" customHeight="1">
      <c r="A906" s="1">
        <f>IFERROR(__xludf.DUMMYFUNCTION("""COMPUTED_VALUE"""),45189.66666666667)</f>
        <v>45189.66667</v>
      </c>
      <c r="B906" s="2">
        <f>IFERROR(__xludf.DUMMYFUNCTION("""COMPUTED_VALUE"""),1235.0)</f>
        <v>1235</v>
      </c>
      <c r="C906" s="2">
        <f>IFERROR(__xludf.DUMMYFUNCTION("""COMPUTED_VALUE"""),1250.0)</f>
        <v>1250</v>
      </c>
      <c r="D906" s="2">
        <f>IFERROR(__xludf.DUMMYFUNCTION("""COMPUTED_VALUE"""),1235.0)</f>
        <v>1235</v>
      </c>
      <c r="E906" s="2">
        <f>IFERROR(__xludf.DUMMYFUNCTION("""COMPUTED_VALUE"""),1235.0)</f>
        <v>1235</v>
      </c>
      <c r="F906" s="2">
        <f>IFERROR(__xludf.DUMMYFUNCTION("""COMPUTED_VALUE"""),1.27172E7)</f>
        <v>12717200</v>
      </c>
      <c r="G906" s="2">
        <f t="shared" si="1"/>
        <v>15</v>
      </c>
    </row>
    <row r="907" ht="15.75" customHeight="1">
      <c r="A907" s="1">
        <f>IFERROR(__xludf.DUMMYFUNCTION("""COMPUTED_VALUE"""),45190.66666666667)</f>
        <v>45190.66667</v>
      </c>
      <c r="B907" s="2">
        <f>IFERROR(__xludf.DUMMYFUNCTION("""COMPUTED_VALUE"""),1240.0)</f>
        <v>1240</v>
      </c>
      <c r="C907" s="2">
        <f>IFERROR(__xludf.DUMMYFUNCTION("""COMPUTED_VALUE"""),1240.0)</f>
        <v>1240</v>
      </c>
      <c r="D907" s="2">
        <f>IFERROR(__xludf.DUMMYFUNCTION("""COMPUTED_VALUE"""),1225.0)</f>
        <v>1225</v>
      </c>
      <c r="E907" s="2">
        <f>IFERROR(__xludf.DUMMYFUNCTION("""COMPUTED_VALUE"""),1230.0)</f>
        <v>1230</v>
      </c>
      <c r="F907" s="2">
        <f>IFERROR(__xludf.DUMMYFUNCTION("""COMPUTED_VALUE"""),6514200.0)</f>
        <v>6514200</v>
      </c>
      <c r="G907" s="2">
        <f t="shared" si="1"/>
        <v>15</v>
      </c>
    </row>
    <row r="908" ht="15.75" customHeight="1">
      <c r="A908" s="1">
        <f>IFERROR(__xludf.DUMMYFUNCTION("""COMPUTED_VALUE"""),45191.66666666667)</f>
        <v>45191.66667</v>
      </c>
      <c r="B908" s="2">
        <f>IFERROR(__xludf.DUMMYFUNCTION("""COMPUTED_VALUE"""),1230.0)</f>
        <v>1230</v>
      </c>
      <c r="C908" s="2">
        <f>IFERROR(__xludf.DUMMYFUNCTION("""COMPUTED_VALUE"""),1240.0)</f>
        <v>1240</v>
      </c>
      <c r="D908" s="2">
        <f>IFERROR(__xludf.DUMMYFUNCTION("""COMPUTED_VALUE"""),1225.0)</f>
        <v>1225</v>
      </c>
      <c r="E908" s="2">
        <f>IFERROR(__xludf.DUMMYFUNCTION("""COMPUTED_VALUE"""),1230.0)</f>
        <v>1230</v>
      </c>
      <c r="F908" s="2">
        <f>IFERROR(__xludf.DUMMYFUNCTION("""COMPUTED_VALUE"""),6863900.0)</f>
        <v>6863900</v>
      </c>
      <c r="G908" s="2">
        <f t="shared" si="1"/>
        <v>15</v>
      </c>
    </row>
    <row r="909" ht="15.75" customHeight="1">
      <c r="A909" s="1">
        <f>IFERROR(__xludf.DUMMYFUNCTION("""COMPUTED_VALUE"""),45194.66666666667)</f>
        <v>45194.66667</v>
      </c>
      <c r="B909" s="2">
        <f>IFERROR(__xludf.DUMMYFUNCTION("""COMPUTED_VALUE"""),1235.0)</f>
        <v>1235</v>
      </c>
      <c r="C909" s="2">
        <f>IFERROR(__xludf.DUMMYFUNCTION("""COMPUTED_VALUE"""),1245.0)</f>
        <v>1245</v>
      </c>
      <c r="D909" s="2">
        <f>IFERROR(__xludf.DUMMYFUNCTION("""COMPUTED_VALUE"""),1230.0)</f>
        <v>1230</v>
      </c>
      <c r="E909" s="2">
        <f>IFERROR(__xludf.DUMMYFUNCTION("""COMPUTED_VALUE"""),1230.0)</f>
        <v>1230</v>
      </c>
      <c r="F909" s="2">
        <f>IFERROR(__xludf.DUMMYFUNCTION("""COMPUTED_VALUE"""),1.31119E7)</f>
        <v>13111900</v>
      </c>
      <c r="G909" s="2">
        <f t="shared" si="1"/>
        <v>15</v>
      </c>
    </row>
    <row r="910" ht="15.75" customHeight="1">
      <c r="A910" s="1">
        <f>IFERROR(__xludf.DUMMYFUNCTION("""COMPUTED_VALUE"""),45195.66666666667)</f>
        <v>45195.66667</v>
      </c>
      <c r="B910" s="2">
        <f>IFERROR(__xludf.DUMMYFUNCTION("""COMPUTED_VALUE"""),1230.0)</f>
        <v>1230</v>
      </c>
      <c r="C910" s="2">
        <f>IFERROR(__xludf.DUMMYFUNCTION("""COMPUTED_VALUE"""),1240.0)</f>
        <v>1240</v>
      </c>
      <c r="D910" s="2">
        <f>IFERROR(__xludf.DUMMYFUNCTION("""COMPUTED_VALUE"""),1225.0)</f>
        <v>1225</v>
      </c>
      <c r="E910" s="2">
        <f>IFERROR(__xludf.DUMMYFUNCTION("""COMPUTED_VALUE"""),1225.0)</f>
        <v>1225</v>
      </c>
      <c r="F910" s="2">
        <f>IFERROR(__xludf.DUMMYFUNCTION("""COMPUTED_VALUE"""),7522900.0)</f>
        <v>7522900</v>
      </c>
      <c r="G910" s="2">
        <f t="shared" si="1"/>
        <v>15</v>
      </c>
    </row>
    <row r="911" ht="15.75" customHeight="1">
      <c r="A911" s="1">
        <f>IFERROR(__xludf.DUMMYFUNCTION("""COMPUTED_VALUE"""),45196.66666666667)</f>
        <v>45196.66667</v>
      </c>
      <c r="B911" s="2">
        <f>IFERROR(__xludf.DUMMYFUNCTION("""COMPUTED_VALUE"""),1220.0)</f>
        <v>1220</v>
      </c>
      <c r="C911" s="2">
        <f>IFERROR(__xludf.DUMMYFUNCTION("""COMPUTED_VALUE"""),1230.0)</f>
        <v>1230</v>
      </c>
      <c r="D911" s="2">
        <f>IFERROR(__xludf.DUMMYFUNCTION("""COMPUTED_VALUE"""),1215.0)</f>
        <v>1215</v>
      </c>
      <c r="E911" s="2">
        <f>IFERROR(__xludf.DUMMYFUNCTION("""COMPUTED_VALUE"""),1225.0)</f>
        <v>1225</v>
      </c>
      <c r="F911" s="2">
        <f>IFERROR(__xludf.DUMMYFUNCTION("""COMPUTED_VALUE"""),1.23203E7)</f>
        <v>12320300</v>
      </c>
      <c r="G911" s="2">
        <f t="shared" si="1"/>
        <v>15</v>
      </c>
    </row>
    <row r="912" ht="15.75" customHeight="1">
      <c r="A912" s="1">
        <f>IFERROR(__xludf.DUMMYFUNCTION("""COMPUTED_VALUE"""),45198.66666666667)</f>
        <v>45198.66667</v>
      </c>
      <c r="B912" s="2">
        <f>IFERROR(__xludf.DUMMYFUNCTION("""COMPUTED_VALUE"""),1225.0)</f>
        <v>1225</v>
      </c>
      <c r="C912" s="2">
        <f>IFERROR(__xludf.DUMMYFUNCTION("""COMPUTED_VALUE"""),1230.0)</f>
        <v>1230</v>
      </c>
      <c r="D912" s="2">
        <f>IFERROR(__xludf.DUMMYFUNCTION("""COMPUTED_VALUE"""),1215.0)</f>
        <v>1215</v>
      </c>
      <c r="E912" s="2">
        <f>IFERROR(__xludf.DUMMYFUNCTION("""COMPUTED_VALUE"""),1220.0)</f>
        <v>1220</v>
      </c>
      <c r="F912" s="2">
        <f>IFERROR(__xludf.DUMMYFUNCTION("""COMPUTED_VALUE"""),9699900.0)</f>
        <v>9699900</v>
      </c>
      <c r="G912" s="2">
        <f t="shared" si="1"/>
        <v>15</v>
      </c>
    </row>
    <row r="913" ht="15.75" customHeight="1">
      <c r="A913" s="1">
        <f>IFERROR(__xludf.DUMMYFUNCTION("""COMPUTED_VALUE"""),45201.66666666667)</f>
        <v>45201.66667</v>
      </c>
      <c r="B913" s="2">
        <f>IFERROR(__xludf.DUMMYFUNCTION("""COMPUTED_VALUE"""),1220.0)</f>
        <v>1220</v>
      </c>
      <c r="C913" s="2">
        <f>IFERROR(__xludf.DUMMYFUNCTION("""COMPUTED_VALUE"""),1245.0)</f>
        <v>1245</v>
      </c>
      <c r="D913" s="2">
        <f>IFERROR(__xludf.DUMMYFUNCTION("""COMPUTED_VALUE"""),1220.0)</f>
        <v>1220</v>
      </c>
      <c r="E913" s="2">
        <f>IFERROR(__xludf.DUMMYFUNCTION("""COMPUTED_VALUE"""),1240.0)</f>
        <v>1240</v>
      </c>
      <c r="F913" s="2">
        <f>IFERROR(__xludf.DUMMYFUNCTION("""COMPUTED_VALUE"""),1.23558E7)</f>
        <v>12355800</v>
      </c>
      <c r="G913" s="2">
        <f t="shared" si="1"/>
        <v>25</v>
      </c>
    </row>
    <row r="914" ht="15.75" customHeight="1">
      <c r="A914" s="1">
        <f>IFERROR(__xludf.DUMMYFUNCTION("""COMPUTED_VALUE"""),45202.66666666667)</f>
        <v>45202.66667</v>
      </c>
      <c r="B914" s="2">
        <f>IFERROR(__xludf.DUMMYFUNCTION("""COMPUTED_VALUE"""),1245.0)</f>
        <v>1245</v>
      </c>
      <c r="C914" s="2">
        <f>IFERROR(__xludf.DUMMYFUNCTION("""COMPUTED_VALUE"""),1265.0)</f>
        <v>1265</v>
      </c>
      <c r="D914" s="2">
        <f>IFERROR(__xludf.DUMMYFUNCTION("""COMPUTED_VALUE"""),1235.0)</f>
        <v>1235</v>
      </c>
      <c r="E914" s="2">
        <f>IFERROR(__xludf.DUMMYFUNCTION("""COMPUTED_VALUE"""),1260.0)</f>
        <v>1260</v>
      </c>
      <c r="F914" s="2">
        <f>IFERROR(__xludf.DUMMYFUNCTION("""COMPUTED_VALUE"""),2.30014E7)</f>
        <v>23001400</v>
      </c>
      <c r="G914" s="2">
        <f t="shared" si="1"/>
        <v>30</v>
      </c>
    </row>
    <row r="915" ht="15.75" customHeight="1">
      <c r="A915" s="1">
        <f>IFERROR(__xludf.DUMMYFUNCTION("""COMPUTED_VALUE"""),45203.66666666667)</f>
        <v>45203.66667</v>
      </c>
      <c r="B915" s="2">
        <f>IFERROR(__xludf.DUMMYFUNCTION("""COMPUTED_VALUE"""),1265.0)</f>
        <v>1265</v>
      </c>
      <c r="C915" s="2">
        <f>IFERROR(__xludf.DUMMYFUNCTION("""COMPUTED_VALUE"""),1265.0)</f>
        <v>1265</v>
      </c>
      <c r="D915" s="2">
        <f>IFERROR(__xludf.DUMMYFUNCTION("""COMPUTED_VALUE"""),1235.0)</f>
        <v>1235</v>
      </c>
      <c r="E915" s="2">
        <f>IFERROR(__xludf.DUMMYFUNCTION("""COMPUTED_VALUE"""),1250.0)</f>
        <v>1250</v>
      </c>
      <c r="F915" s="2">
        <f>IFERROR(__xludf.DUMMYFUNCTION("""COMPUTED_VALUE"""),2.43739E7)</f>
        <v>24373900</v>
      </c>
      <c r="G915" s="2">
        <f t="shared" si="1"/>
        <v>30</v>
      </c>
    </row>
    <row r="916" ht="15.75" customHeight="1">
      <c r="A916" s="1">
        <f>IFERROR(__xludf.DUMMYFUNCTION("""COMPUTED_VALUE"""),45204.66666666667)</f>
        <v>45204.66667</v>
      </c>
      <c r="B916" s="2">
        <f>IFERROR(__xludf.DUMMYFUNCTION("""COMPUTED_VALUE"""),1250.0)</f>
        <v>1250</v>
      </c>
      <c r="C916" s="2">
        <f>IFERROR(__xludf.DUMMYFUNCTION("""COMPUTED_VALUE"""),1260.0)</f>
        <v>1260</v>
      </c>
      <c r="D916" s="2">
        <f>IFERROR(__xludf.DUMMYFUNCTION("""COMPUTED_VALUE"""),1240.0)</f>
        <v>1240</v>
      </c>
      <c r="E916" s="2">
        <f>IFERROR(__xludf.DUMMYFUNCTION("""COMPUTED_VALUE"""),1245.0)</f>
        <v>1245</v>
      </c>
      <c r="F916" s="2">
        <f>IFERROR(__xludf.DUMMYFUNCTION("""COMPUTED_VALUE"""),1.1212E7)</f>
        <v>11212000</v>
      </c>
      <c r="G916" s="2">
        <f t="shared" si="1"/>
        <v>20</v>
      </c>
    </row>
    <row r="917" ht="15.75" customHeight="1">
      <c r="A917" s="1">
        <f>IFERROR(__xludf.DUMMYFUNCTION("""COMPUTED_VALUE"""),45205.66666666667)</f>
        <v>45205.66667</v>
      </c>
      <c r="B917" s="2">
        <f>IFERROR(__xludf.DUMMYFUNCTION("""COMPUTED_VALUE"""),1250.0)</f>
        <v>1250</v>
      </c>
      <c r="C917" s="2">
        <f>IFERROR(__xludf.DUMMYFUNCTION("""COMPUTED_VALUE"""),1265.0)</f>
        <v>1265</v>
      </c>
      <c r="D917" s="2">
        <f>IFERROR(__xludf.DUMMYFUNCTION("""COMPUTED_VALUE"""),1245.0)</f>
        <v>1245</v>
      </c>
      <c r="E917" s="2">
        <f>IFERROR(__xludf.DUMMYFUNCTION("""COMPUTED_VALUE"""),1255.0)</f>
        <v>1255</v>
      </c>
      <c r="F917" s="2">
        <f>IFERROR(__xludf.DUMMYFUNCTION("""COMPUTED_VALUE"""),1.12511E7)</f>
        <v>11251100</v>
      </c>
      <c r="G917" s="2">
        <f t="shared" si="1"/>
        <v>20</v>
      </c>
    </row>
    <row r="918" ht="15.75" customHeight="1">
      <c r="A918" s="1">
        <f>IFERROR(__xludf.DUMMYFUNCTION("""COMPUTED_VALUE"""),45208.66666666667)</f>
        <v>45208.66667</v>
      </c>
      <c r="B918" s="2">
        <f>IFERROR(__xludf.DUMMYFUNCTION("""COMPUTED_VALUE"""),1255.0)</f>
        <v>1255</v>
      </c>
      <c r="C918" s="2">
        <f>IFERROR(__xludf.DUMMYFUNCTION("""COMPUTED_VALUE"""),1265.0)</f>
        <v>1265</v>
      </c>
      <c r="D918" s="2">
        <f>IFERROR(__xludf.DUMMYFUNCTION("""COMPUTED_VALUE"""),1245.0)</f>
        <v>1245</v>
      </c>
      <c r="E918" s="2">
        <f>IFERROR(__xludf.DUMMYFUNCTION("""COMPUTED_VALUE"""),1255.0)</f>
        <v>1255</v>
      </c>
      <c r="F918" s="2">
        <f>IFERROR(__xludf.DUMMYFUNCTION("""COMPUTED_VALUE"""),9371200.0)</f>
        <v>9371200</v>
      </c>
      <c r="G918" s="2">
        <f t="shared" si="1"/>
        <v>20</v>
      </c>
    </row>
    <row r="919" ht="15.75" customHeight="1">
      <c r="A919" s="1">
        <f>IFERROR(__xludf.DUMMYFUNCTION("""COMPUTED_VALUE"""),45209.66666666667)</f>
        <v>45209.66667</v>
      </c>
      <c r="B919" s="2">
        <f>IFERROR(__xludf.DUMMYFUNCTION("""COMPUTED_VALUE"""),1255.0)</f>
        <v>1255</v>
      </c>
      <c r="C919" s="2">
        <f>IFERROR(__xludf.DUMMYFUNCTION("""COMPUTED_VALUE"""),1260.0)</f>
        <v>1260</v>
      </c>
      <c r="D919" s="2">
        <f>IFERROR(__xludf.DUMMYFUNCTION("""COMPUTED_VALUE"""),1245.0)</f>
        <v>1245</v>
      </c>
      <c r="E919" s="2">
        <f>IFERROR(__xludf.DUMMYFUNCTION("""COMPUTED_VALUE"""),1250.0)</f>
        <v>1250</v>
      </c>
      <c r="F919" s="2">
        <f>IFERROR(__xludf.DUMMYFUNCTION("""COMPUTED_VALUE"""),8401500.0)</f>
        <v>8401500</v>
      </c>
      <c r="G919" s="2">
        <f t="shared" si="1"/>
        <v>15</v>
      </c>
    </row>
    <row r="920" ht="15.75" customHeight="1">
      <c r="A920" s="1">
        <f>IFERROR(__xludf.DUMMYFUNCTION("""COMPUTED_VALUE"""),45210.66666666667)</f>
        <v>45210.66667</v>
      </c>
      <c r="B920" s="2">
        <f>IFERROR(__xludf.DUMMYFUNCTION("""COMPUTED_VALUE"""),1250.0)</f>
        <v>1250</v>
      </c>
      <c r="C920" s="2">
        <f>IFERROR(__xludf.DUMMYFUNCTION("""COMPUTED_VALUE"""),1255.0)</f>
        <v>1255</v>
      </c>
      <c r="D920" s="2">
        <f>IFERROR(__xludf.DUMMYFUNCTION("""COMPUTED_VALUE"""),1240.0)</f>
        <v>1240</v>
      </c>
      <c r="E920" s="2">
        <f>IFERROR(__xludf.DUMMYFUNCTION("""COMPUTED_VALUE"""),1240.0)</f>
        <v>1240</v>
      </c>
      <c r="F920" s="2">
        <f>IFERROR(__xludf.DUMMYFUNCTION("""COMPUTED_VALUE"""),6198500.0)</f>
        <v>6198500</v>
      </c>
      <c r="G920" s="2">
        <f t="shared" si="1"/>
        <v>15</v>
      </c>
    </row>
    <row r="921" ht="15.75" customHeight="1">
      <c r="A921" s="1">
        <f>IFERROR(__xludf.DUMMYFUNCTION("""COMPUTED_VALUE"""),45211.66666666667)</f>
        <v>45211.66667</v>
      </c>
      <c r="B921" s="2">
        <f>IFERROR(__xludf.DUMMYFUNCTION("""COMPUTED_VALUE"""),1240.0)</f>
        <v>1240</v>
      </c>
      <c r="C921" s="2">
        <f>IFERROR(__xludf.DUMMYFUNCTION("""COMPUTED_VALUE"""),1260.0)</f>
        <v>1260</v>
      </c>
      <c r="D921" s="2">
        <f>IFERROR(__xludf.DUMMYFUNCTION("""COMPUTED_VALUE"""),1240.0)</f>
        <v>1240</v>
      </c>
      <c r="E921" s="2">
        <f>IFERROR(__xludf.DUMMYFUNCTION("""COMPUTED_VALUE"""),1245.0)</f>
        <v>1245</v>
      </c>
      <c r="F921" s="2">
        <f>IFERROR(__xludf.DUMMYFUNCTION("""COMPUTED_VALUE"""),6895000.0)</f>
        <v>6895000</v>
      </c>
      <c r="G921" s="2">
        <f t="shared" si="1"/>
        <v>20</v>
      </c>
    </row>
    <row r="922" ht="15.75" customHeight="1">
      <c r="A922" s="1">
        <f>IFERROR(__xludf.DUMMYFUNCTION("""COMPUTED_VALUE"""),45212.66666666667)</f>
        <v>45212.66667</v>
      </c>
      <c r="B922" s="2">
        <f>IFERROR(__xludf.DUMMYFUNCTION("""COMPUTED_VALUE"""),1245.0)</f>
        <v>1245</v>
      </c>
      <c r="C922" s="2">
        <f>IFERROR(__xludf.DUMMYFUNCTION("""COMPUTED_VALUE"""),1255.0)</f>
        <v>1255</v>
      </c>
      <c r="D922" s="2">
        <f>IFERROR(__xludf.DUMMYFUNCTION("""COMPUTED_VALUE"""),1235.0)</f>
        <v>1235</v>
      </c>
      <c r="E922" s="2">
        <f>IFERROR(__xludf.DUMMYFUNCTION("""COMPUTED_VALUE"""),1245.0)</f>
        <v>1245</v>
      </c>
      <c r="F922" s="2">
        <f>IFERROR(__xludf.DUMMYFUNCTION("""COMPUTED_VALUE"""),7336100.0)</f>
        <v>7336100</v>
      </c>
      <c r="G922" s="2">
        <f t="shared" si="1"/>
        <v>20</v>
      </c>
    </row>
    <row r="923" ht="15.75" customHeight="1">
      <c r="A923" s="1">
        <f>IFERROR(__xludf.DUMMYFUNCTION("""COMPUTED_VALUE"""),45215.66666666667)</f>
        <v>45215.66667</v>
      </c>
      <c r="B923" s="2">
        <f>IFERROR(__xludf.DUMMYFUNCTION("""COMPUTED_VALUE"""),1240.0)</f>
        <v>1240</v>
      </c>
      <c r="C923" s="2">
        <f>IFERROR(__xludf.DUMMYFUNCTION("""COMPUTED_VALUE"""),1245.0)</f>
        <v>1245</v>
      </c>
      <c r="D923" s="2">
        <f>IFERROR(__xludf.DUMMYFUNCTION("""COMPUTED_VALUE"""),1230.0)</f>
        <v>1230</v>
      </c>
      <c r="E923" s="2">
        <f>IFERROR(__xludf.DUMMYFUNCTION("""COMPUTED_VALUE"""),1235.0)</f>
        <v>1235</v>
      </c>
      <c r="F923" s="2">
        <f>IFERROR(__xludf.DUMMYFUNCTION("""COMPUTED_VALUE"""),6486300.0)</f>
        <v>6486300</v>
      </c>
      <c r="G923" s="2">
        <f t="shared" si="1"/>
        <v>15</v>
      </c>
    </row>
    <row r="924" ht="15.75" customHeight="1">
      <c r="A924" s="1">
        <f>IFERROR(__xludf.DUMMYFUNCTION("""COMPUTED_VALUE"""),45216.66666666667)</f>
        <v>45216.66667</v>
      </c>
      <c r="B924" s="2">
        <f>IFERROR(__xludf.DUMMYFUNCTION("""COMPUTED_VALUE"""),1235.0)</f>
        <v>1235</v>
      </c>
      <c r="C924" s="2">
        <f>IFERROR(__xludf.DUMMYFUNCTION("""COMPUTED_VALUE"""),1245.0)</f>
        <v>1245</v>
      </c>
      <c r="D924" s="2">
        <f>IFERROR(__xludf.DUMMYFUNCTION("""COMPUTED_VALUE"""),1225.0)</f>
        <v>1225</v>
      </c>
      <c r="E924" s="2">
        <f>IFERROR(__xludf.DUMMYFUNCTION("""COMPUTED_VALUE"""),1235.0)</f>
        <v>1235</v>
      </c>
      <c r="F924" s="2">
        <f>IFERROR(__xludf.DUMMYFUNCTION("""COMPUTED_VALUE"""),5338000.0)</f>
        <v>5338000</v>
      </c>
      <c r="G924" s="2">
        <f t="shared" si="1"/>
        <v>20</v>
      </c>
    </row>
    <row r="925" ht="15.75" customHeight="1">
      <c r="A925" s="1">
        <f>IFERROR(__xludf.DUMMYFUNCTION("""COMPUTED_VALUE"""),45217.66666666667)</f>
        <v>45217.66667</v>
      </c>
      <c r="B925" s="2">
        <f>IFERROR(__xludf.DUMMYFUNCTION("""COMPUTED_VALUE"""),1235.0)</f>
        <v>1235</v>
      </c>
      <c r="C925" s="2">
        <f>IFERROR(__xludf.DUMMYFUNCTION("""COMPUTED_VALUE"""),1240.0)</f>
        <v>1240</v>
      </c>
      <c r="D925" s="2">
        <f>IFERROR(__xludf.DUMMYFUNCTION("""COMPUTED_VALUE"""),1220.0)</f>
        <v>1220</v>
      </c>
      <c r="E925" s="2">
        <f>IFERROR(__xludf.DUMMYFUNCTION("""COMPUTED_VALUE"""),1225.0)</f>
        <v>1225</v>
      </c>
      <c r="F925" s="2">
        <f>IFERROR(__xludf.DUMMYFUNCTION("""COMPUTED_VALUE"""),4446200.0)</f>
        <v>4446200</v>
      </c>
      <c r="G925" s="2">
        <f t="shared" si="1"/>
        <v>20</v>
      </c>
    </row>
    <row r="926" ht="15.75" customHeight="1">
      <c r="A926" s="1">
        <f>IFERROR(__xludf.DUMMYFUNCTION("""COMPUTED_VALUE"""),45218.66666666667)</f>
        <v>45218.66667</v>
      </c>
      <c r="B926" s="2">
        <f>IFERROR(__xludf.DUMMYFUNCTION("""COMPUTED_VALUE"""),1225.0)</f>
        <v>1225</v>
      </c>
      <c r="C926" s="2">
        <f>IFERROR(__xludf.DUMMYFUNCTION("""COMPUTED_VALUE"""),1230.0)</f>
        <v>1230</v>
      </c>
      <c r="D926" s="2">
        <f>IFERROR(__xludf.DUMMYFUNCTION("""COMPUTED_VALUE"""),1205.0)</f>
        <v>1205</v>
      </c>
      <c r="E926" s="2">
        <f>IFERROR(__xludf.DUMMYFUNCTION("""COMPUTED_VALUE"""),1210.0)</f>
        <v>1210</v>
      </c>
      <c r="F926" s="2">
        <f>IFERROR(__xludf.DUMMYFUNCTION("""COMPUTED_VALUE"""),1.76731E7)</f>
        <v>17673100</v>
      </c>
      <c r="G926" s="2">
        <f t="shared" si="1"/>
        <v>25</v>
      </c>
    </row>
    <row r="927" ht="15.75" customHeight="1">
      <c r="A927" s="1">
        <f>IFERROR(__xludf.DUMMYFUNCTION("""COMPUTED_VALUE"""),45219.66666666667)</f>
        <v>45219.66667</v>
      </c>
      <c r="B927" s="2">
        <f>IFERROR(__xludf.DUMMYFUNCTION("""COMPUTED_VALUE"""),1200.0)</f>
        <v>1200</v>
      </c>
      <c r="C927" s="2">
        <f>IFERROR(__xludf.DUMMYFUNCTION("""COMPUTED_VALUE"""),1220.0)</f>
        <v>1220</v>
      </c>
      <c r="D927" s="2">
        <f>IFERROR(__xludf.DUMMYFUNCTION("""COMPUTED_VALUE"""),1200.0)</f>
        <v>1200</v>
      </c>
      <c r="E927" s="2">
        <f>IFERROR(__xludf.DUMMYFUNCTION("""COMPUTED_VALUE"""),1210.0)</f>
        <v>1210</v>
      </c>
      <c r="F927" s="2">
        <f>IFERROR(__xludf.DUMMYFUNCTION("""COMPUTED_VALUE"""),1.19025E7)</f>
        <v>11902500</v>
      </c>
      <c r="G927" s="2">
        <f t="shared" si="1"/>
        <v>20</v>
      </c>
    </row>
    <row r="928" ht="15.75" customHeight="1">
      <c r="A928" s="1">
        <f>IFERROR(__xludf.DUMMYFUNCTION("""COMPUTED_VALUE"""),45222.66666666667)</f>
        <v>45222.66667</v>
      </c>
      <c r="B928" s="2">
        <f>IFERROR(__xludf.DUMMYFUNCTION("""COMPUTED_VALUE"""),1200.0)</f>
        <v>1200</v>
      </c>
      <c r="C928" s="2">
        <f>IFERROR(__xludf.DUMMYFUNCTION("""COMPUTED_VALUE"""),1210.0)</f>
        <v>1210</v>
      </c>
      <c r="D928" s="2">
        <f>IFERROR(__xludf.DUMMYFUNCTION("""COMPUTED_VALUE"""),1180.0)</f>
        <v>1180</v>
      </c>
      <c r="E928" s="2">
        <f>IFERROR(__xludf.DUMMYFUNCTION("""COMPUTED_VALUE"""),1190.0)</f>
        <v>1190</v>
      </c>
      <c r="F928" s="2">
        <f>IFERROR(__xludf.DUMMYFUNCTION("""COMPUTED_VALUE"""),1.26662E7)</f>
        <v>12666200</v>
      </c>
      <c r="G928" s="2">
        <f t="shared" si="1"/>
        <v>30</v>
      </c>
    </row>
    <row r="929" ht="15.75" customHeight="1">
      <c r="A929" s="1">
        <f>IFERROR(__xludf.DUMMYFUNCTION("""COMPUTED_VALUE"""),45223.66666666667)</f>
        <v>45223.66667</v>
      </c>
      <c r="B929" s="2">
        <f>IFERROR(__xludf.DUMMYFUNCTION("""COMPUTED_VALUE"""),1190.0)</f>
        <v>1190</v>
      </c>
      <c r="C929" s="2">
        <f>IFERROR(__xludf.DUMMYFUNCTION("""COMPUTED_VALUE"""),1235.0)</f>
        <v>1235</v>
      </c>
      <c r="D929" s="2">
        <f>IFERROR(__xludf.DUMMYFUNCTION("""COMPUTED_VALUE"""),1180.0)</f>
        <v>1180</v>
      </c>
      <c r="E929" s="2">
        <f>IFERROR(__xludf.DUMMYFUNCTION("""COMPUTED_VALUE"""),1225.0)</f>
        <v>1225</v>
      </c>
      <c r="F929" s="2">
        <f>IFERROR(__xludf.DUMMYFUNCTION("""COMPUTED_VALUE"""),9378600.0)</f>
        <v>9378600</v>
      </c>
      <c r="G929" s="2">
        <f t="shared" si="1"/>
        <v>55</v>
      </c>
    </row>
    <row r="930" ht="15.75" customHeight="1">
      <c r="A930" s="1">
        <f>IFERROR(__xludf.DUMMYFUNCTION("""COMPUTED_VALUE"""),45224.66666666667)</f>
        <v>45224.66667</v>
      </c>
      <c r="B930" s="2">
        <f>IFERROR(__xludf.DUMMYFUNCTION("""COMPUTED_VALUE"""),1225.0)</f>
        <v>1225</v>
      </c>
      <c r="C930" s="2">
        <f>IFERROR(__xludf.DUMMYFUNCTION("""COMPUTED_VALUE"""),1240.0)</f>
        <v>1240</v>
      </c>
      <c r="D930" s="2">
        <f>IFERROR(__xludf.DUMMYFUNCTION("""COMPUTED_VALUE"""),1220.0)</f>
        <v>1220</v>
      </c>
      <c r="E930" s="2">
        <f>IFERROR(__xludf.DUMMYFUNCTION("""COMPUTED_VALUE"""),1220.0)</f>
        <v>1220</v>
      </c>
      <c r="F930" s="2">
        <f>IFERROR(__xludf.DUMMYFUNCTION("""COMPUTED_VALUE"""),7738500.0)</f>
        <v>7738500</v>
      </c>
      <c r="G930" s="2">
        <f t="shared" si="1"/>
        <v>20</v>
      </c>
    </row>
    <row r="931" ht="15.75" customHeight="1">
      <c r="A931" s="1">
        <f>IFERROR(__xludf.DUMMYFUNCTION("""COMPUTED_VALUE"""),45225.66666666667)</f>
        <v>45225.66667</v>
      </c>
      <c r="B931" s="2">
        <f>IFERROR(__xludf.DUMMYFUNCTION("""COMPUTED_VALUE"""),1220.0)</f>
        <v>1220</v>
      </c>
      <c r="C931" s="2">
        <f>IFERROR(__xludf.DUMMYFUNCTION("""COMPUTED_VALUE"""),1225.0)</f>
        <v>1225</v>
      </c>
      <c r="D931" s="2">
        <f>IFERROR(__xludf.DUMMYFUNCTION("""COMPUTED_VALUE"""),1185.0)</f>
        <v>1185</v>
      </c>
      <c r="E931" s="2">
        <f>IFERROR(__xludf.DUMMYFUNCTION("""COMPUTED_VALUE"""),1195.0)</f>
        <v>1195</v>
      </c>
      <c r="F931" s="2">
        <f>IFERROR(__xludf.DUMMYFUNCTION("""COMPUTED_VALUE"""),1.24882E7)</f>
        <v>12488200</v>
      </c>
      <c r="G931" s="2">
        <f t="shared" si="1"/>
        <v>40</v>
      </c>
    </row>
    <row r="932" ht="15.75" customHeight="1">
      <c r="A932" s="1">
        <f>IFERROR(__xludf.DUMMYFUNCTION("""COMPUTED_VALUE"""),45226.66666666667)</f>
        <v>45226.66667</v>
      </c>
      <c r="B932" s="2">
        <f>IFERROR(__xludf.DUMMYFUNCTION("""COMPUTED_VALUE"""),1195.0)</f>
        <v>1195</v>
      </c>
      <c r="C932" s="2">
        <f>IFERROR(__xludf.DUMMYFUNCTION("""COMPUTED_VALUE"""),1215.0)</f>
        <v>1215</v>
      </c>
      <c r="D932" s="2">
        <f>IFERROR(__xludf.DUMMYFUNCTION("""COMPUTED_VALUE"""),1190.0)</f>
        <v>1190</v>
      </c>
      <c r="E932" s="2">
        <f>IFERROR(__xludf.DUMMYFUNCTION("""COMPUTED_VALUE"""),1205.0)</f>
        <v>1205</v>
      </c>
      <c r="F932" s="2">
        <f>IFERROR(__xludf.DUMMYFUNCTION("""COMPUTED_VALUE"""),7685100.0)</f>
        <v>7685100</v>
      </c>
      <c r="G932" s="2">
        <f t="shared" si="1"/>
        <v>25</v>
      </c>
    </row>
    <row r="933" ht="15.75" customHeight="1">
      <c r="A933" s="1">
        <f>IFERROR(__xludf.DUMMYFUNCTION("""COMPUTED_VALUE"""),45229.66666666667)</f>
        <v>45229.66667</v>
      </c>
      <c r="B933" s="2">
        <f>IFERROR(__xludf.DUMMYFUNCTION("""COMPUTED_VALUE"""),1205.0)</f>
        <v>1205</v>
      </c>
      <c r="C933" s="2">
        <f>IFERROR(__xludf.DUMMYFUNCTION("""COMPUTED_VALUE"""),1215.0)</f>
        <v>1215</v>
      </c>
      <c r="D933" s="2">
        <f>IFERROR(__xludf.DUMMYFUNCTION("""COMPUTED_VALUE"""),1195.0)</f>
        <v>1195</v>
      </c>
      <c r="E933" s="2">
        <f>IFERROR(__xludf.DUMMYFUNCTION("""COMPUTED_VALUE"""),1215.0)</f>
        <v>1215</v>
      </c>
      <c r="F933" s="2">
        <f>IFERROR(__xludf.DUMMYFUNCTION("""COMPUTED_VALUE"""),5511800.0)</f>
        <v>5511800</v>
      </c>
      <c r="G933" s="2">
        <f t="shared" si="1"/>
        <v>20</v>
      </c>
    </row>
    <row r="934" ht="15.75" customHeight="1">
      <c r="A934" s="1">
        <f>IFERROR(__xludf.DUMMYFUNCTION("""COMPUTED_VALUE"""),45230.66666666667)</f>
        <v>45230.66667</v>
      </c>
      <c r="B934" s="2">
        <f>IFERROR(__xludf.DUMMYFUNCTION("""COMPUTED_VALUE"""),1210.0)</f>
        <v>1210</v>
      </c>
      <c r="C934" s="2">
        <f>IFERROR(__xludf.DUMMYFUNCTION("""COMPUTED_VALUE"""),1225.0)</f>
        <v>1225</v>
      </c>
      <c r="D934" s="2">
        <f>IFERROR(__xludf.DUMMYFUNCTION("""COMPUTED_VALUE"""),1195.0)</f>
        <v>1195</v>
      </c>
      <c r="E934" s="2">
        <f>IFERROR(__xludf.DUMMYFUNCTION("""COMPUTED_VALUE"""),1225.0)</f>
        <v>1225</v>
      </c>
      <c r="F934" s="2">
        <f>IFERROR(__xludf.DUMMYFUNCTION("""COMPUTED_VALUE"""),7473700.0)</f>
        <v>7473700</v>
      </c>
      <c r="G934" s="2">
        <f t="shared" si="1"/>
        <v>30</v>
      </c>
    </row>
    <row r="935" ht="15.75" customHeight="1">
      <c r="A935" s="1">
        <f>IFERROR(__xludf.DUMMYFUNCTION("""COMPUTED_VALUE"""),45231.66666666667)</f>
        <v>45231.66667</v>
      </c>
      <c r="B935" s="2">
        <f>IFERROR(__xludf.DUMMYFUNCTION("""COMPUTED_VALUE"""),1225.0)</f>
        <v>1225</v>
      </c>
      <c r="C935" s="2">
        <f>IFERROR(__xludf.DUMMYFUNCTION("""COMPUTED_VALUE"""),1225.0)</f>
        <v>1225</v>
      </c>
      <c r="D935" s="2">
        <f>IFERROR(__xludf.DUMMYFUNCTION("""COMPUTED_VALUE"""),1185.0)</f>
        <v>1185</v>
      </c>
      <c r="E935" s="2">
        <f>IFERROR(__xludf.DUMMYFUNCTION("""COMPUTED_VALUE"""),1195.0)</f>
        <v>1195</v>
      </c>
      <c r="F935" s="2">
        <f>IFERROR(__xludf.DUMMYFUNCTION("""COMPUTED_VALUE"""),8955300.0)</f>
        <v>8955300</v>
      </c>
      <c r="G935" s="2">
        <f t="shared" si="1"/>
        <v>40</v>
      </c>
    </row>
    <row r="936" ht="15.75" customHeight="1">
      <c r="A936" s="1">
        <f>IFERROR(__xludf.DUMMYFUNCTION("""COMPUTED_VALUE"""),45232.66666666667)</f>
        <v>45232.66667</v>
      </c>
      <c r="B936" s="2">
        <f>IFERROR(__xludf.DUMMYFUNCTION("""COMPUTED_VALUE"""),1195.0)</f>
        <v>1195</v>
      </c>
      <c r="C936" s="2">
        <f>IFERROR(__xludf.DUMMYFUNCTION("""COMPUTED_VALUE"""),1230.0)</f>
        <v>1230</v>
      </c>
      <c r="D936" s="2">
        <f>IFERROR(__xludf.DUMMYFUNCTION("""COMPUTED_VALUE"""),1195.0)</f>
        <v>1195</v>
      </c>
      <c r="E936" s="2">
        <f>IFERROR(__xludf.DUMMYFUNCTION("""COMPUTED_VALUE"""),1205.0)</f>
        <v>1205</v>
      </c>
      <c r="F936" s="2">
        <f>IFERROR(__xludf.DUMMYFUNCTION("""COMPUTED_VALUE"""),1.06616E7)</f>
        <v>10661600</v>
      </c>
      <c r="G936" s="2">
        <f t="shared" si="1"/>
        <v>35</v>
      </c>
    </row>
    <row r="937" ht="15.75" customHeight="1">
      <c r="A937" s="1">
        <f>IFERROR(__xludf.DUMMYFUNCTION("""COMPUTED_VALUE"""),45233.66666666667)</f>
        <v>45233.66667</v>
      </c>
      <c r="B937" s="2">
        <f>IFERROR(__xludf.DUMMYFUNCTION("""COMPUTED_VALUE"""),1210.0)</f>
        <v>1210</v>
      </c>
      <c r="C937" s="2">
        <f>IFERROR(__xludf.DUMMYFUNCTION("""COMPUTED_VALUE"""),1215.0)</f>
        <v>1215</v>
      </c>
      <c r="D937" s="2">
        <f>IFERROR(__xludf.DUMMYFUNCTION("""COMPUTED_VALUE"""),1195.0)</f>
        <v>1195</v>
      </c>
      <c r="E937" s="2">
        <f>IFERROR(__xludf.DUMMYFUNCTION("""COMPUTED_VALUE"""),1200.0)</f>
        <v>1200</v>
      </c>
      <c r="F937" s="2">
        <f>IFERROR(__xludf.DUMMYFUNCTION("""COMPUTED_VALUE"""),1.05169E7)</f>
        <v>10516900</v>
      </c>
      <c r="G937" s="2">
        <f t="shared" si="1"/>
        <v>20</v>
      </c>
    </row>
    <row r="938" ht="15.75" customHeight="1">
      <c r="A938" s="1">
        <f>IFERROR(__xludf.DUMMYFUNCTION("""COMPUTED_VALUE"""),45236.66666666667)</f>
        <v>45236.66667</v>
      </c>
      <c r="B938" s="2">
        <f>IFERROR(__xludf.DUMMYFUNCTION("""COMPUTED_VALUE"""),1210.0)</f>
        <v>1210</v>
      </c>
      <c r="C938" s="2">
        <f>IFERROR(__xludf.DUMMYFUNCTION("""COMPUTED_VALUE"""),1225.0)</f>
        <v>1225</v>
      </c>
      <c r="D938" s="2">
        <f>IFERROR(__xludf.DUMMYFUNCTION("""COMPUTED_VALUE"""),1200.0)</f>
        <v>1200</v>
      </c>
      <c r="E938" s="2">
        <f>IFERROR(__xludf.DUMMYFUNCTION("""COMPUTED_VALUE"""),1215.0)</f>
        <v>1215</v>
      </c>
      <c r="F938" s="2">
        <f>IFERROR(__xludf.DUMMYFUNCTION("""COMPUTED_VALUE"""),1.07593E7)</f>
        <v>10759300</v>
      </c>
      <c r="G938" s="2">
        <f t="shared" si="1"/>
        <v>25</v>
      </c>
    </row>
    <row r="939" ht="15.75" customHeight="1">
      <c r="A939" s="1">
        <f>IFERROR(__xludf.DUMMYFUNCTION("""COMPUTED_VALUE"""),45237.66666666667)</f>
        <v>45237.66667</v>
      </c>
      <c r="B939" s="2">
        <f>IFERROR(__xludf.DUMMYFUNCTION("""COMPUTED_VALUE"""),1220.0)</f>
        <v>1220</v>
      </c>
      <c r="C939" s="2">
        <f>IFERROR(__xludf.DUMMYFUNCTION("""COMPUTED_VALUE"""),1225.0)</f>
        <v>1225</v>
      </c>
      <c r="D939" s="2">
        <f>IFERROR(__xludf.DUMMYFUNCTION("""COMPUTED_VALUE"""),1205.0)</f>
        <v>1205</v>
      </c>
      <c r="E939" s="2">
        <f>IFERROR(__xludf.DUMMYFUNCTION("""COMPUTED_VALUE"""),1210.0)</f>
        <v>1210</v>
      </c>
      <c r="F939" s="2">
        <f>IFERROR(__xludf.DUMMYFUNCTION("""COMPUTED_VALUE"""),8227700.0)</f>
        <v>8227700</v>
      </c>
      <c r="G939" s="2">
        <f t="shared" si="1"/>
        <v>20</v>
      </c>
    </row>
    <row r="940" ht="15.75" customHeight="1">
      <c r="A940" s="1">
        <f>IFERROR(__xludf.DUMMYFUNCTION("""COMPUTED_VALUE"""),45238.66666666667)</f>
        <v>45238.66667</v>
      </c>
      <c r="B940" s="2">
        <f>IFERROR(__xludf.DUMMYFUNCTION("""COMPUTED_VALUE"""),1210.0)</f>
        <v>1210</v>
      </c>
      <c r="C940" s="2">
        <f>IFERROR(__xludf.DUMMYFUNCTION("""COMPUTED_VALUE"""),1215.0)</f>
        <v>1215</v>
      </c>
      <c r="D940" s="2">
        <f>IFERROR(__xludf.DUMMYFUNCTION("""COMPUTED_VALUE"""),1200.0)</f>
        <v>1200</v>
      </c>
      <c r="E940" s="2">
        <f>IFERROR(__xludf.DUMMYFUNCTION("""COMPUTED_VALUE"""),1210.0)</f>
        <v>1210</v>
      </c>
      <c r="F940" s="2">
        <f>IFERROR(__xludf.DUMMYFUNCTION("""COMPUTED_VALUE"""),7750200.0)</f>
        <v>7750200</v>
      </c>
      <c r="G940" s="2">
        <f t="shared" si="1"/>
        <v>15</v>
      </c>
    </row>
    <row r="941" ht="15.75" customHeight="1">
      <c r="A941" s="1">
        <f>IFERROR(__xludf.DUMMYFUNCTION("""COMPUTED_VALUE"""),45239.66666666667)</f>
        <v>45239.66667</v>
      </c>
      <c r="B941" s="2">
        <f>IFERROR(__xludf.DUMMYFUNCTION("""COMPUTED_VALUE"""),1205.0)</f>
        <v>1205</v>
      </c>
      <c r="C941" s="2">
        <f>IFERROR(__xludf.DUMMYFUNCTION("""COMPUTED_VALUE"""),1220.0)</f>
        <v>1220</v>
      </c>
      <c r="D941" s="2">
        <f>IFERROR(__xludf.DUMMYFUNCTION("""COMPUTED_VALUE"""),1205.0)</f>
        <v>1205</v>
      </c>
      <c r="E941" s="2">
        <f>IFERROR(__xludf.DUMMYFUNCTION("""COMPUTED_VALUE"""),1210.0)</f>
        <v>1210</v>
      </c>
      <c r="F941" s="2">
        <f>IFERROR(__xludf.DUMMYFUNCTION("""COMPUTED_VALUE"""),4511000.0)</f>
        <v>4511000</v>
      </c>
      <c r="G941" s="2">
        <f t="shared" si="1"/>
        <v>15</v>
      </c>
    </row>
    <row r="942" ht="15.75" customHeight="1">
      <c r="A942" s="1">
        <f>IFERROR(__xludf.DUMMYFUNCTION("""COMPUTED_VALUE"""),45240.66666666667)</f>
        <v>45240.66667</v>
      </c>
      <c r="B942" s="2">
        <f>IFERROR(__xludf.DUMMYFUNCTION("""COMPUTED_VALUE"""),1215.0)</f>
        <v>1215</v>
      </c>
      <c r="C942" s="2">
        <f>IFERROR(__xludf.DUMMYFUNCTION("""COMPUTED_VALUE"""),1220.0)</f>
        <v>1220</v>
      </c>
      <c r="D942" s="2">
        <f>IFERROR(__xludf.DUMMYFUNCTION("""COMPUTED_VALUE"""),1205.0)</f>
        <v>1205</v>
      </c>
      <c r="E942" s="2">
        <f>IFERROR(__xludf.DUMMYFUNCTION("""COMPUTED_VALUE"""),1215.0)</f>
        <v>1215</v>
      </c>
      <c r="F942" s="2">
        <f>IFERROR(__xludf.DUMMYFUNCTION("""COMPUTED_VALUE"""),5973800.0)</f>
        <v>5973800</v>
      </c>
      <c r="G942" s="2">
        <f t="shared" si="1"/>
        <v>15</v>
      </c>
    </row>
    <row r="943" ht="15.75" customHeight="1">
      <c r="A943" s="1">
        <f>IFERROR(__xludf.DUMMYFUNCTION("""COMPUTED_VALUE"""),45243.66666666667)</f>
        <v>45243.66667</v>
      </c>
      <c r="B943" s="2">
        <f>IFERROR(__xludf.DUMMYFUNCTION("""COMPUTED_VALUE"""),1210.0)</f>
        <v>1210</v>
      </c>
      <c r="C943" s="2">
        <f>IFERROR(__xludf.DUMMYFUNCTION("""COMPUTED_VALUE"""),1220.0)</f>
        <v>1220</v>
      </c>
      <c r="D943" s="2">
        <f>IFERROR(__xludf.DUMMYFUNCTION("""COMPUTED_VALUE"""),1200.0)</f>
        <v>1200</v>
      </c>
      <c r="E943" s="2">
        <f>IFERROR(__xludf.DUMMYFUNCTION("""COMPUTED_VALUE"""),1210.0)</f>
        <v>1210</v>
      </c>
      <c r="F943" s="2">
        <f>IFERROR(__xludf.DUMMYFUNCTION("""COMPUTED_VALUE"""),5031900.0)</f>
        <v>5031900</v>
      </c>
      <c r="G943" s="2">
        <f t="shared" si="1"/>
        <v>20</v>
      </c>
    </row>
    <row r="944" ht="15.75" customHeight="1">
      <c r="A944" s="1">
        <f>IFERROR(__xludf.DUMMYFUNCTION("""COMPUTED_VALUE"""),45244.66666666667)</f>
        <v>45244.66667</v>
      </c>
      <c r="B944" s="2">
        <f>IFERROR(__xludf.DUMMYFUNCTION("""COMPUTED_VALUE"""),1210.0)</f>
        <v>1210</v>
      </c>
      <c r="C944" s="2">
        <f>IFERROR(__xludf.DUMMYFUNCTION("""COMPUTED_VALUE"""),1215.0)</f>
        <v>1215</v>
      </c>
      <c r="D944" s="2">
        <f>IFERROR(__xludf.DUMMYFUNCTION("""COMPUTED_VALUE"""),1205.0)</f>
        <v>1205</v>
      </c>
      <c r="E944" s="2">
        <f>IFERROR(__xludf.DUMMYFUNCTION("""COMPUTED_VALUE"""),1205.0)</f>
        <v>1205</v>
      </c>
      <c r="F944" s="2">
        <f>IFERROR(__xludf.DUMMYFUNCTION("""COMPUTED_VALUE"""),2788200.0)</f>
        <v>2788200</v>
      </c>
      <c r="G944" s="2">
        <f t="shared" si="1"/>
        <v>10</v>
      </c>
    </row>
    <row r="945" ht="15.75" customHeight="1">
      <c r="A945" s="1">
        <f>IFERROR(__xludf.DUMMYFUNCTION("""COMPUTED_VALUE"""),45245.66666666667)</f>
        <v>45245.66667</v>
      </c>
      <c r="B945" s="2">
        <f>IFERROR(__xludf.DUMMYFUNCTION("""COMPUTED_VALUE"""),1245.0)</f>
        <v>1245</v>
      </c>
      <c r="C945" s="2">
        <f>IFERROR(__xludf.DUMMYFUNCTION("""COMPUTED_VALUE"""),1260.0)</f>
        <v>1260</v>
      </c>
      <c r="D945" s="2">
        <f>IFERROR(__xludf.DUMMYFUNCTION("""COMPUTED_VALUE"""),1225.0)</f>
        <v>1225</v>
      </c>
      <c r="E945" s="2">
        <f>IFERROR(__xludf.DUMMYFUNCTION("""COMPUTED_VALUE"""),1245.0)</f>
        <v>1245</v>
      </c>
      <c r="F945" s="2">
        <f>IFERROR(__xludf.DUMMYFUNCTION("""COMPUTED_VALUE"""),2.77226E7)</f>
        <v>27722600</v>
      </c>
      <c r="G945" s="2">
        <f t="shared" si="1"/>
        <v>55</v>
      </c>
    </row>
    <row r="946" ht="15.75" customHeight="1">
      <c r="A946" s="1">
        <f>IFERROR(__xludf.DUMMYFUNCTION("""COMPUTED_VALUE"""),45246.66666666667)</f>
        <v>45246.66667</v>
      </c>
      <c r="B946" s="2">
        <f>IFERROR(__xludf.DUMMYFUNCTION("""COMPUTED_VALUE"""),1245.0)</f>
        <v>1245</v>
      </c>
      <c r="C946" s="2">
        <f>IFERROR(__xludf.DUMMYFUNCTION("""COMPUTED_VALUE"""),1250.0)</f>
        <v>1250</v>
      </c>
      <c r="D946" s="2">
        <f>IFERROR(__xludf.DUMMYFUNCTION("""COMPUTED_VALUE"""),1235.0)</f>
        <v>1235</v>
      </c>
      <c r="E946" s="2">
        <f>IFERROR(__xludf.DUMMYFUNCTION("""COMPUTED_VALUE"""),1245.0)</f>
        <v>1245</v>
      </c>
      <c r="F946" s="2">
        <f>IFERROR(__xludf.DUMMYFUNCTION("""COMPUTED_VALUE"""),5074500.0)</f>
        <v>5074500</v>
      </c>
      <c r="G946" s="2">
        <f t="shared" si="1"/>
        <v>15</v>
      </c>
    </row>
    <row r="947" ht="15.75" customHeight="1">
      <c r="A947" s="1">
        <f>IFERROR(__xludf.DUMMYFUNCTION("""COMPUTED_VALUE"""),45247.66666666667)</f>
        <v>45247.66667</v>
      </c>
      <c r="B947" s="2">
        <f>IFERROR(__xludf.DUMMYFUNCTION("""COMPUTED_VALUE"""),1240.0)</f>
        <v>1240</v>
      </c>
      <c r="C947" s="2">
        <f>IFERROR(__xludf.DUMMYFUNCTION("""COMPUTED_VALUE"""),1295.0)</f>
        <v>1295</v>
      </c>
      <c r="D947" s="2">
        <f>IFERROR(__xludf.DUMMYFUNCTION("""COMPUTED_VALUE"""),1240.0)</f>
        <v>1240</v>
      </c>
      <c r="E947" s="2">
        <f>IFERROR(__xludf.DUMMYFUNCTION("""COMPUTED_VALUE"""),1290.0)</f>
        <v>1290</v>
      </c>
      <c r="F947" s="2">
        <f>IFERROR(__xludf.DUMMYFUNCTION("""COMPUTED_VALUE"""),4.52688E7)</f>
        <v>45268800</v>
      </c>
      <c r="G947" s="2">
        <f t="shared" si="1"/>
        <v>55</v>
      </c>
    </row>
    <row r="948" ht="15.75" customHeight="1">
      <c r="A948" s="1">
        <f>IFERROR(__xludf.DUMMYFUNCTION("""COMPUTED_VALUE"""),45250.66666666667)</f>
        <v>45250.66667</v>
      </c>
      <c r="B948" s="2">
        <f>IFERROR(__xludf.DUMMYFUNCTION("""COMPUTED_VALUE"""),1295.0)</f>
        <v>1295</v>
      </c>
      <c r="C948" s="2">
        <f>IFERROR(__xludf.DUMMYFUNCTION("""COMPUTED_VALUE"""),1300.0)</f>
        <v>1300</v>
      </c>
      <c r="D948" s="2">
        <f>IFERROR(__xludf.DUMMYFUNCTION("""COMPUTED_VALUE"""),1275.0)</f>
        <v>1275</v>
      </c>
      <c r="E948" s="2">
        <f>IFERROR(__xludf.DUMMYFUNCTION("""COMPUTED_VALUE"""),1285.0)</f>
        <v>1285</v>
      </c>
      <c r="F948" s="2">
        <f>IFERROR(__xludf.DUMMYFUNCTION("""COMPUTED_VALUE"""),1.3146E7)</f>
        <v>13146000</v>
      </c>
      <c r="G948" s="2">
        <f t="shared" si="1"/>
        <v>25</v>
      </c>
    </row>
    <row r="949" ht="15.75" customHeight="1">
      <c r="A949" s="1">
        <f>IFERROR(__xludf.DUMMYFUNCTION("""COMPUTED_VALUE"""),45251.66666666667)</f>
        <v>45251.66667</v>
      </c>
      <c r="B949" s="2">
        <f>IFERROR(__xludf.DUMMYFUNCTION("""COMPUTED_VALUE"""),1285.0)</f>
        <v>1285</v>
      </c>
      <c r="C949" s="2">
        <f>IFERROR(__xludf.DUMMYFUNCTION("""COMPUTED_VALUE"""),1285.0)</f>
        <v>1285</v>
      </c>
      <c r="D949" s="2">
        <f>IFERROR(__xludf.DUMMYFUNCTION("""COMPUTED_VALUE"""),1250.0)</f>
        <v>1250</v>
      </c>
      <c r="E949" s="2">
        <f>IFERROR(__xludf.DUMMYFUNCTION("""COMPUTED_VALUE"""),1260.0)</f>
        <v>1260</v>
      </c>
      <c r="F949" s="2">
        <f>IFERROR(__xludf.DUMMYFUNCTION("""COMPUTED_VALUE"""),1.15129E7)</f>
        <v>11512900</v>
      </c>
      <c r="G949" s="2">
        <f t="shared" si="1"/>
        <v>35</v>
      </c>
    </row>
    <row r="950" ht="15.75" customHeight="1">
      <c r="A950" s="1">
        <f>IFERROR(__xludf.DUMMYFUNCTION("""COMPUTED_VALUE"""),45252.66666666667)</f>
        <v>45252.66667</v>
      </c>
      <c r="B950" s="2">
        <f>IFERROR(__xludf.DUMMYFUNCTION("""COMPUTED_VALUE"""),1255.0)</f>
        <v>1255</v>
      </c>
      <c r="C950" s="2">
        <f>IFERROR(__xludf.DUMMYFUNCTION("""COMPUTED_VALUE"""),1265.0)</f>
        <v>1265</v>
      </c>
      <c r="D950" s="2">
        <f>IFERROR(__xludf.DUMMYFUNCTION("""COMPUTED_VALUE"""),1250.0)</f>
        <v>1250</v>
      </c>
      <c r="E950" s="2">
        <f>IFERROR(__xludf.DUMMYFUNCTION("""COMPUTED_VALUE"""),1260.0)</f>
        <v>1260</v>
      </c>
      <c r="F950" s="2">
        <f>IFERROR(__xludf.DUMMYFUNCTION("""COMPUTED_VALUE"""),1.07042E7)</f>
        <v>10704200</v>
      </c>
      <c r="G950" s="2">
        <f t="shared" si="1"/>
        <v>15</v>
      </c>
    </row>
    <row r="951" ht="15.75" customHeight="1">
      <c r="A951" s="1">
        <f>IFERROR(__xludf.DUMMYFUNCTION("""COMPUTED_VALUE"""),45253.66666666667)</f>
        <v>45253.66667</v>
      </c>
      <c r="B951" s="2">
        <f>IFERROR(__xludf.DUMMYFUNCTION("""COMPUTED_VALUE"""),1260.0)</f>
        <v>1260</v>
      </c>
      <c r="C951" s="2">
        <f>IFERROR(__xludf.DUMMYFUNCTION("""COMPUTED_VALUE"""),1280.0)</f>
        <v>1280</v>
      </c>
      <c r="D951" s="2">
        <f>IFERROR(__xludf.DUMMYFUNCTION("""COMPUTED_VALUE"""),1260.0)</f>
        <v>1260</v>
      </c>
      <c r="E951" s="2">
        <f>IFERROR(__xludf.DUMMYFUNCTION("""COMPUTED_VALUE"""),1270.0)</f>
        <v>1270</v>
      </c>
      <c r="F951" s="2">
        <f>IFERROR(__xludf.DUMMYFUNCTION("""COMPUTED_VALUE"""),9032800.0)</f>
        <v>9032800</v>
      </c>
      <c r="G951" s="2">
        <f t="shared" si="1"/>
        <v>20</v>
      </c>
    </row>
    <row r="952" ht="15.75" customHeight="1">
      <c r="A952" s="1">
        <f>IFERROR(__xludf.DUMMYFUNCTION("""COMPUTED_VALUE"""),45254.66666666667)</f>
        <v>45254.66667</v>
      </c>
      <c r="B952" s="2">
        <f>IFERROR(__xludf.DUMMYFUNCTION("""COMPUTED_VALUE"""),1270.0)</f>
        <v>1270</v>
      </c>
      <c r="C952" s="2">
        <f>IFERROR(__xludf.DUMMYFUNCTION("""COMPUTED_VALUE"""),1275.0)</f>
        <v>1275</v>
      </c>
      <c r="D952" s="2">
        <f>IFERROR(__xludf.DUMMYFUNCTION("""COMPUTED_VALUE"""),1255.0)</f>
        <v>1255</v>
      </c>
      <c r="E952" s="2">
        <f>IFERROR(__xludf.DUMMYFUNCTION("""COMPUTED_VALUE"""),1265.0)</f>
        <v>1265</v>
      </c>
      <c r="F952" s="2">
        <f>IFERROR(__xludf.DUMMYFUNCTION("""COMPUTED_VALUE"""),8163700.0)</f>
        <v>8163700</v>
      </c>
      <c r="G952" s="2">
        <f t="shared" si="1"/>
        <v>20</v>
      </c>
    </row>
    <row r="953" ht="15.75" customHeight="1">
      <c r="A953" s="1">
        <f>IFERROR(__xludf.DUMMYFUNCTION("""COMPUTED_VALUE"""),45257.66666666667)</f>
        <v>45257.66667</v>
      </c>
      <c r="B953" s="2">
        <f>IFERROR(__xludf.DUMMYFUNCTION("""COMPUTED_VALUE"""),1265.0)</f>
        <v>1265</v>
      </c>
      <c r="C953" s="2">
        <f>IFERROR(__xludf.DUMMYFUNCTION("""COMPUTED_VALUE"""),1295.0)</f>
        <v>1295</v>
      </c>
      <c r="D953" s="2">
        <f>IFERROR(__xludf.DUMMYFUNCTION("""COMPUTED_VALUE"""),1265.0)</f>
        <v>1265</v>
      </c>
      <c r="E953" s="2">
        <f>IFERROR(__xludf.DUMMYFUNCTION("""COMPUTED_VALUE"""),1290.0)</f>
        <v>1290</v>
      </c>
      <c r="F953" s="2">
        <f>IFERROR(__xludf.DUMMYFUNCTION("""COMPUTED_VALUE"""),2.42456E7)</f>
        <v>24245600</v>
      </c>
      <c r="G953" s="2">
        <f t="shared" si="1"/>
        <v>30</v>
      </c>
    </row>
    <row r="954" ht="15.75" customHeight="1">
      <c r="A954" s="1">
        <f>IFERROR(__xludf.DUMMYFUNCTION("""COMPUTED_VALUE"""),45258.66666666667)</f>
        <v>45258.66667</v>
      </c>
      <c r="B954" s="2">
        <f>IFERROR(__xludf.DUMMYFUNCTION("""COMPUTED_VALUE"""),1295.0)</f>
        <v>1295</v>
      </c>
      <c r="C954" s="2">
        <f>IFERROR(__xludf.DUMMYFUNCTION("""COMPUTED_VALUE"""),1305.0)</f>
        <v>1305</v>
      </c>
      <c r="D954" s="2">
        <f>IFERROR(__xludf.DUMMYFUNCTION("""COMPUTED_VALUE"""),1290.0)</f>
        <v>1290</v>
      </c>
      <c r="E954" s="2">
        <f>IFERROR(__xludf.DUMMYFUNCTION("""COMPUTED_VALUE"""),1295.0)</f>
        <v>1295</v>
      </c>
      <c r="F954" s="2">
        <f>IFERROR(__xludf.DUMMYFUNCTION("""COMPUTED_VALUE"""),2.61587E7)</f>
        <v>26158700</v>
      </c>
      <c r="G954" s="2">
        <f t="shared" si="1"/>
        <v>15</v>
      </c>
    </row>
    <row r="955" ht="15.75" customHeight="1">
      <c r="A955" s="1">
        <f>IFERROR(__xludf.DUMMYFUNCTION("""COMPUTED_VALUE"""),45259.66666666667)</f>
        <v>45259.66667</v>
      </c>
      <c r="B955" s="2">
        <f>IFERROR(__xludf.DUMMYFUNCTION("""COMPUTED_VALUE"""),1300.0)</f>
        <v>1300</v>
      </c>
      <c r="C955" s="2">
        <f>IFERROR(__xludf.DUMMYFUNCTION("""COMPUTED_VALUE"""),1300.0)</f>
        <v>1300</v>
      </c>
      <c r="D955" s="2">
        <f>IFERROR(__xludf.DUMMYFUNCTION("""COMPUTED_VALUE"""),1270.0)</f>
        <v>1270</v>
      </c>
      <c r="E955" s="2">
        <f>IFERROR(__xludf.DUMMYFUNCTION("""COMPUTED_VALUE"""),1280.0)</f>
        <v>1280</v>
      </c>
      <c r="F955" s="2">
        <f>IFERROR(__xludf.DUMMYFUNCTION("""COMPUTED_VALUE"""),1.22372E7)</f>
        <v>12237200</v>
      </c>
      <c r="G955" s="2">
        <f t="shared" si="1"/>
        <v>30</v>
      </c>
    </row>
    <row r="956" ht="15.75" customHeight="1">
      <c r="A956" s="1">
        <f>IFERROR(__xludf.DUMMYFUNCTION("""COMPUTED_VALUE"""),45260.66666666667)</f>
        <v>45260.66667</v>
      </c>
      <c r="B956" s="2">
        <f>IFERROR(__xludf.DUMMYFUNCTION("""COMPUTED_VALUE"""),1280.0)</f>
        <v>1280</v>
      </c>
      <c r="C956" s="2">
        <f>IFERROR(__xludf.DUMMYFUNCTION("""COMPUTED_VALUE"""),1295.0)</f>
        <v>1295</v>
      </c>
      <c r="D956" s="2">
        <f>IFERROR(__xludf.DUMMYFUNCTION("""COMPUTED_VALUE"""),1270.0)</f>
        <v>1270</v>
      </c>
      <c r="E956" s="2">
        <f>IFERROR(__xludf.DUMMYFUNCTION("""COMPUTED_VALUE"""),1295.0)</f>
        <v>1295</v>
      </c>
      <c r="F956" s="2">
        <f>IFERROR(__xludf.DUMMYFUNCTION("""COMPUTED_VALUE"""),1.79284E7)</f>
        <v>17928400</v>
      </c>
      <c r="G956" s="2">
        <f t="shared" si="1"/>
        <v>25</v>
      </c>
    </row>
    <row r="957" ht="15.75" customHeight="1">
      <c r="A957" s="1">
        <f>IFERROR(__xludf.DUMMYFUNCTION("""COMPUTED_VALUE"""),45261.66666666667)</f>
        <v>45261.66667</v>
      </c>
      <c r="B957" s="2">
        <f>IFERROR(__xludf.DUMMYFUNCTION("""COMPUTED_VALUE"""),1295.0)</f>
        <v>1295</v>
      </c>
      <c r="C957" s="2">
        <f>IFERROR(__xludf.DUMMYFUNCTION("""COMPUTED_VALUE"""),1300.0)</f>
        <v>1300</v>
      </c>
      <c r="D957" s="2">
        <f>IFERROR(__xludf.DUMMYFUNCTION("""COMPUTED_VALUE"""),1265.0)</f>
        <v>1265</v>
      </c>
      <c r="E957" s="2">
        <f>IFERROR(__xludf.DUMMYFUNCTION("""COMPUTED_VALUE"""),1270.0)</f>
        <v>1270</v>
      </c>
      <c r="F957" s="2">
        <f>IFERROR(__xludf.DUMMYFUNCTION("""COMPUTED_VALUE"""),1.88401E7)</f>
        <v>18840100</v>
      </c>
      <c r="G957" s="2">
        <f t="shared" si="1"/>
        <v>35</v>
      </c>
    </row>
    <row r="958" ht="15.75" customHeight="1">
      <c r="A958" s="1">
        <f>IFERROR(__xludf.DUMMYFUNCTION("""COMPUTED_VALUE"""),45264.66666666667)</f>
        <v>45264.66667</v>
      </c>
      <c r="B958" s="2">
        <f>IFERROR(__xludf.DUMMYFUNCTION("""COMPUTED_VALUE"""),1275.0)</f>
        <v>1275</v>
      </c>
      <c r="C958" s="2">
        <f>IFERROR(__xludf.DUMMYFUNCTION("""COMPUTED_VALUE"""),1290.0)</f>
        <v>1290</v>
      </c>
      <c r="D958" s="2">
        <f>IFERROR(__xludf.DUMMYFUNCTION("""COMPUTED_VALUE"""),1270.0)</f>
        <v>1270</v>
      </c>
      <c r="E958" s="2">
        <f>IFERROR(__xludf.DUMMYFUNCTION("""COMPUTED_VALUE"""),1290.0)</f>
        <v>1290</v>
      </c>
      <c r="F958" s="2">
        <f>IFERROR(__xludf.DUMMYFUNCTION("""COMPUTED_VALUE"""),1.35551E7)</f>
        <v>13555100</v>
      </c>
      <c r="G958" s="2">
        <f t="shared" si="1"/>
        <v>20</v>
      </c>
    </row>
    <row r="959" ht="15.75" customHeight="1">
      <c r="A959" s="1">
        <f>IFERROR(__xludf.DUMMYFUNCTION("""COMPUTED_VALUE"""),45265.66666666667)</f>
        <v>45265.66667</v>
      </c>
      <c r="B959" s="2">
        <f>IFERROR(__xludf.DUMMYFUNCTION("""COMPUTED_VALUE"""),1290.0)</f>
        <v>1290</v>
      </c>
      <c r="C959" s="2">
        <f>IFERROR(__xludf.DUMMYFUNCTION("""COMPUTED_VALUE"""),1290.0)</f>
        <v>1290</v>
      </c>
      <c r="D959" s="2">
        <f>IFERROR(__xludf.DUMMYFUNCTION("""COMPUTED_VALUE"""),1275.0)</f>
        <v>1275</v>
      </c>
      <c r="E959" s="2">
        <f>IFERROR(__xludf.DUMMYFUNCTION("""COMPUTED_VALUE"""),1285.0)</f>
        <v>1285</v>
      </c>
      <c r="F959" s="2">
        <f>IFERROR(__xludf.DUMMYFUNCTION("""COMPUTED_VALUE"""),1.10629E7)</f>
        <v>11062900</v>
      </c>
      <c r="G959" s="2">
        <f t="shared" si="1"/>
        <v>15</v>
      </c>
    </row>
    <row r="960" ht="15.75" customHeight="1">
      <c r="A960" s="1">
        <f>IFERROR(__xludf.DUMMYFUNCTION("""COMPUTED_VALUE"""),45266.66666666667)</f>
        <v>45266.66667</v>
      </c>
      <c r="B960" s="2">
        <f>IFERROR(__xludf.DUMMYFUNCTION("""COMPUTED_VALUE"""),1285.0)</f>
        <v>1285</v>
      </c>
      <c r="C960" s="2">
        <f>IFERROR(__xludf.DUMMYFUNCTION("""COMPUTED_VALUE"""),1285.0)</f>
        <v>1285</v>
      </c>
      <c r="D960" s="2">
        <f>IFERROR(__xludf.DUMMYFUNCTION("""COMPUTED_VALUE"""),1260.0)</f>
        <v>1260</v>
      </c>
      <c r="E960" s="2">
        <f>IFERROR(__xludf.DUMMYFUNCTION("""COMPUTED_VALUE"""),1265.0)</f>
        <v>1265</v>
      </c>
      <c r="F960" s="2">
        <f>IFERROR(__xludf.DUMMYFUNCTION("""COMPUTED_VALUE"""),8324200.0)</f>
        <v>8324200</v>
      </c>
      <c r="G960" s="2">
        <f t="shared" si="1"/>
        <v>25</v>
      </c>
    </row>
    <row r="961" ht="15.75" customHeight="1">
      <c r="A961" s="1">
        <f>IFERROR(__xludf.DUMMYFUNCTION("""COMPUTED_VALUE"""),45267.66666666667)</f>
        <v>45267.66667</v>
      </c>
      <c r="B961" s="2">
        <f>IFERROR(__xludf.DUMMYFUNCTION("""COMPUTED_VALUE"""),1260.0)</f>
        <v>1260</v>
      </c>
      <c r="C961" s="2">
        <f>IFERROR(__xludf.DUMMYFUNCTION("""COMPUTED_VALUE"""),1265.0)</f>
        <v>1265</v>
      </c>
      <c r="D961" s="2">
        <f>IFERROR(__xludf.DUMMYFUNCTION("""COMPUTED_VALUE"""),1225.0)</f>
        <v>1225</v>
      </c>
      <c r="E961" s="2">
        <f>IFERROR(__xludf.DUMMYFUNCTION("""COMPUTED_VALUE"""),1225.0)</f>
        <v>1225</v>
      </c>
      <c r="F961" s="2">
        <f>IFERROR(__xludf.DUMMYFUNCTION("""COMPUTED_VALUE"""),2.20941E7)</f>
        <v>22094100</v>
      </c>
      <c r="G961" s="2">
        <f t="shared" si="1"/>
        <v>40</v>
      </c>
    </row>
    <row r="962" ht="15.75" customHeight="1">
      <c r="A962" s="1">
        <f>IFERROR(__xludf.DUMMYFUNCTION("""COMPUTED_VALUE"""),45268.66666666667)</f>
        <v>45268.66667</v>
      </c>
      <c r="B962" s="2">
        <f>IFERROR(__xludf.DUMMYFUNCTION("""COMPUTED_VALUE"""),1220.0)</f>
        <v>1220</v>
      </c>
      <c r="C962" s="2">
        <f>IFERROR(__xludf.DUMMYFUNCTION("""COMPUTED_VALUE"""),1230.0)</f>
        <v>1230</v>
      </c>
      <c r="D962" s="2">
        <f>IFERROR(__xludf.DUMMYFUNCTION("""COMPUTED_VALUE"""),1210.0)</f>
        <v>1210</v>
      </c>
      <c r="E962" s="2">
        <f>IFERROR(__xludf.DUMMYFUNCTION("""COMPUTED_VALUE"""),1220.0)</f>
        <v>1220</v>
      </c>
      <c r="F962" s="2">
        <f>IFERROR(__xludf.DUMMYFUNCTION("""COMPUTED_VALUE"""),1.87027E7)</f>
        <v>18702700</v>
      </c>
      <c r="G962" s="2">
        <f t="shared" si="1"/>
        <v>20</v>
      </c>
    </row>
    <row r="963" ht="15.75" customHeight="1">
      <c r="A963" s="1">
        <f>IFERROR(__xludf.DUMMYFUNCTION("""COMPUTED_VALUE"""),45271.66666666667)</f>
        <v>45271.66667</v>
      </c>
      <c r="B963" s="2">
        <f>IFERROR(__xludf.DUMMYFUNCTION("""COMPUTED_VALUE"""),1220.0)</f>
        <v>1220</v>
      </c>
      <c r="C963" s="2">
        <f>IFERROR(__xludf.DUMMYFUNCTION("""COMPUTED_VALUE"""),1225.0)</f>
        <v>1225</v>
      </c>
      <c r="D963" s="2">
        <f>IFERROR(__xludf.DUMMYFUNCTION("""COMPUTED_VALUE"""),1205.0)</f>
        <v>1205</v>
      </c>
      <c r="E963" s="2">
        <f>IFERROR(__xludf.DUMMYFUNCTION("""COMPUTED_VALUE"""),1210.0)</f>
        <v>1210</v>
      </c>
      <c r="F963" s="2">
        <f>IFERROR(__xludf.DUMMYFUNCTION("""COMPUTED_VALUE"""),1.11096E7)</f>
        <v>11109600</v>
      </c>
      <c r="G963" s="2">
        <f t="shared" si="1"/>
        <v>20</v>
      </c>
    </row>
    <row r="964" ht="15.75" customHeight="1">
      <c r="A964" s="1">
        <f>IFERROR(__xludf.DUMMYFUNCTION("""COMPUTED_VALUE"""),45272.66666666667)</f>
        <v>45272.66667</v>
      </c>
      <c r="B964" s="2">
        <f>IFERROR(__xludf.DUMMYFUNCTION("""COMPUTED_VALUE"""),1220.0)</f>
        <v>1220</v>
      </c>
      <c r="C964" s="2">
        <f>IFERROR(__xludf.DUMMYFUNCTION("""COMPUTED_VALUE"""),1220.0)</f>
        <v>1220</v>
      </c>
      <c r="D964" s="2">
        <f>IFERROR(__xludf.DUMMYFUNCTION("""COMPUTED_VALUE"""),1200.0)</f>
        <v>1200</v>
      </c>
      <c r="E964" s="2">
        <f>IFERROR(__xludf.DUMMYFUNCTION("""COMPUTED_VALUE"""),1205.0)</f>
        <v>1205</v>
      </c>
      <c r="F964" s="2">
        <f>IFERROR(__xludf.DUMMYFUNCTION("""COMPUTED_VALUE"""),8649300.0)</f>
        <v>8649300</v>
      </c>
      <c r="G964" s="2">
        <f t="shared" si="1"/>
        <v>20</v>
      </c>
    </row>
    <row r="965" ht="15.75" customHeight="1">
      <c r="A965" s="1">
        <f>IFERROR(__xludf.DUMMYFUNCTION("""COMPUTED_VALUE"""),45273.66666666667)</f>
        <v>45273.66667</v>
      </c>
      <c r="B965" s="2">
        <f>IFERROR(__xludf.DUMMYFUNCTION("""COMPUTED_VALUE"""),1205.0)</f>
        <v>1205</v>
      </c>
      <c r="C965" s="2">
        <f>IFERROR(__xludf.DUMMYFUNCTION("""COMPUTED_VALUE"""),1210.0)</f>
        <v>1210</v>
      </c>
      <c r="D965" s="2">
        <f>IFERROR(__xludf.DUMMYFUNCTION("""COMPUTED_VALUE"""),1195.0)</f>
        <v>1195</v>
      </c>
      <c r="E965" s="2">
        <f>IFERROR(__xludf.DUMMYFUNCTION("""COMPUTED_VALUE"""),1195.0)</f>
        <v>1195</v>
      </c>
      <c r="F965" s="2">
        <f>IFERROR(__xludf.DUMMYFUNCTION("""COMPUTED_VALUE"""),9472900.0)</f>
        <v>9472900</v>
      </c>
      <c r="G965" s="2">
        <f t="shared" si="1"/>
        <v>15</v>
      </c>
    </row>
    <row r="966" ht="15.75" customHeight="1">
      <c r="A966" s="1">
        <f>IFERROR(__xludf.DUMMYFUNCTION("""COMPUTED_VALUE"""),45274.66666666667)</f>
        <v>45274.66667</v>
      </c>
      <c r="B966" s="2">
        <f>IFERROR(__xludf.DUMMYFUNCTION("""COMPUTED_VALUE"""),1210.0)</f>
        <v>1210</v>
      </c>
      <c r="C966" s="2">
        <f>IFERROR(__xludf.DUMMYFUNCTION("""COMPUTED_VALUE"""),1235.0)</f>
        <v>1235</v>
      </c>
      <c r="D966" s="2">
        <f>IFERROR(__xludf.DUMMYFUNCTION("""COMPUTED_VALUE"""),1210.0)</f>
        <v>1210</v>
      </c>
      <c r="E966" s="2">
        <f>IFERROR(__xludf.DUMMYFUNCTION("""COMPUTED_VALUE"""),1225.0)</f>
        <v>1225</v>
      </c>
      <c r="F966" s="2">
        <f>IFERROR(__xludf.DUMMYFUNCTION("""COMPUTED_VALUE"""),1.53511E7)</f>
        <v>15351100</v>
      </c>
      <c r="G966" s="2">
        <f t="shared" si="1"/>
        <v>40</v>
      </c>
    </row>
    <row r="967" ht="15.75" customHeight="1">
      <c r="A967" s="1">
        <f>IFERROR(__xludf.DUMMYFUNCTION("""COMPUTED_VALUE"""),45275.66666666667)</f>
        <v>45275.66667</v>
      </c>
      <c r="B967" s="2">
        <f>IFERROR(__xludf.DUMMYFUNCTION("""COMPUTED_VALUE"""),1230.0)</f>
        <v>1230</v>
      </c>
      <c r="C967" s="2">
        <f>IFERROR(__xludf.DUMMYFUNCTION("""COMPUTED_VALUE"""),1240.0)</f>
        <v>1240</v>
      </c>
      <c r="D967" s="2">
        <f>IFERROR(__xludf.DUMMYFUNCTION("""COMPUTED_VALUE"""),1220.0)</f>
        <v>1220</v>
      </c>
      <c r="E967" s="2">
        <f>IFERROR(__xludf.DUMMYFUNCTION("""COMPUTED_VALUE"""),1230.0)</f>
        <v>1230</v>
      </c>
      <c r="F967" s="2">
        <f>IFERROR(__xludf.DUMMYFUNCTION("""COMPUTED_VALUE"""),7070600.0)</f>
        <v>7070600</v>
      </c>
      <c r="G967" s="2">
        <f t="shared" si="1"/>
        <v>20</v>
      </c>
    </row>
    <row r="968" ht="15.75" customHeight="1">
      <c r="A968" s="1">
        <f>IFERROR(__xludf.DUMMYFUNCTION("""COMPUTED_VALUE"""),45278.66666666667)</f>
        <v>45278.66667</v>
      </c>
      <c r="B968" s="2">
        <f>IFERROR(__xludf.DUMMYFUNCTION("""COMPUTED_VALUE"""),1235.0)</f>
        <v>1235</v>
      </c>
      <c r="C968" s="2">
        <f>IFERROR(__xludf.DUMMYFUNCTION("""COMPUTED_VALUE"""),1235.0)</f>
        <v>1235</v>
      </c>
      <c r="D968" s="2">
        <f>IFERROR(__xludf.DUMMYFUNCTION("""COMPUTED_VALUE"""),1215.0)</f>
        <v>1215</v>
      </c>
      <c r="E968" s="2">
        <f>IFERROR(__xludf.DUMMYFUNCTION("""COMPUTED_VALUE"""),1220.0)</f>
        <v>1220</v>
      </c>
      <c r="F968" s="2">
        <f>IFERROR(__xludf.DUMMYFUNCTION("""COMPUTED_VALUE"""),8122300.0)</f>
        <v>8122300</v>
      </c>
      <c r="G968" s="2">
        <f t="shared" si="1"/>
        <v>20</v>
      </c>
    </row>
    <row r="969" ht="15.75" customHeight="1">
      <c r="A969" s="1">
        <f>IFERROR(__xludf.DUMMYFUNCTION("""COMPUTED_VALUE"""),45279.66666666667)</f>
        <v>45279.66667</v>
      </c>
      <c r="B969" s="2">
        <f>IFERROR(__xludf.DUMMYFUNCTION("""COMPUTED_VALUE"""),1220.0)</f>
        <v>1220</v>
      </c>
      <c r="C969" s="2">
        <f>IFERROR(__xludf.DUMMYFUNCTION("""COMPUTED_VALUE"""),1230.0)</f>
        <v>1230</v>
      </c>
      <c r="D969" s="2">
        <f>IFERROR(__xludf.DUMMYFUNCTION("""COMPUTED_VALUE"""),1220.0)</f>
        <v>1220</v>
      </c>
      <c r="E969" s="2">
        <f>IFERROR(__xludf.DUMMYFUNCTION("""COMPUTED_VALUE"""),1230.0)</f>
        <v>1230</v>
      </c>
      <c r="F969" s="2">
        <f>IFERROR(__xludf.DUMMYFUNCTION("""COMPUTED_VALUE"""),2866000.0)</f>
        <v>2866000</v>
      </c>
      <c r="G969" s="2">
        <f t="shared" si="1"/>
        <v>10</v>
      </c>
    </row>
    <row r="970" ht="15.75" customHeight="1">
      <c r="A970" s="1">
        <f>IFERROR(__xludf.DUMMYFUNCTION("""COMPUTED_VALUE"""),45280.66666666667)</f>
        <v>45280.66667</v>
      </c>
      <c r="B970" s="2">
        <f>IFERROR(__xludf.DUMMYFUNCTION("""COMPUTED_VALUE"""),1230.0)</f>
        <v>1230</v>
      </c>
      <c r="C970" s="2">
        <f>IFERROR(__xludf.DUMMYFUNCTION("""COMPUTED_VALUE"""),1235.0)</f>
        <v>1235</v>
      </c>
      <c r="D970" s="2">
        <f>IFERROR(__xludf.DUMMYFUNCTION("""COMPUTED_VALUE"""),1210.0)</f>
        <v>1210</v>
      </c>
      <c r="E970" s="2">
        <f>IFERROR(__xludf.DUMMYFUNCTION("""COMPUTED_VALUE"""),1220.0)</f>
        <v>1220</v>
      </c>
      <c r="F970" s="2">
        <f>IFERROR(__xludf.DUMMYFUNCTION("""COMPUTED_VALUE"""),1.87675E7)</f>
        <v>18767500</v>
      </c>
      <c r="G970" s="2">
        <f t="shared" si="1"/>
        <v>25</v>
      </c>
    </row>
    <row r="971" ht="15.75" customHeight="1">
      <c r="A971" s="1">
        <f>IFERROR(__xludf.DUMMYFUNCTION("""COMPUTED_VALUE"""),45281.66666666667)</f>
        <v>45281.66667</v>
      </c>
      <c r="B971" s="2">
        <f>IFERROR(__xludf.DUMMYFUNCTION("""COMPUTED_VALUE"""),1220.0)</f>
        <v>1220</v>
      </c>
      <c r="C971" s="2">
        <f>IFERROR(__xludf.DUMMYFUNCTION("""COMPUTED_VALUE"""),1250.0)</f>
        <v>1250</v>
      </c>
      <c r="D971" s="2">
        <f>IFERROR(__xludf.DUMMYFUNCTION("""COMPUTED_VALUE"""),1205.0)</f>
        <v>1205</v>
      </c>
      <c r="E971" s="2">
        <f>IFERROR(__xludf.DUMMYFUNCTION("""COMPUTED_VALUE"""),1215.0)</f>
        <v>1215</v>
      </c>
      <c r="F971" s="2">
        <f>IFERROR(__xludf.DUMMYFUNCTION("""COMPUTED_VALUE"""),1.75706E7)</f>
        <v>17570600</v>
      </c>
      <c r="G971" s="2">
        <f t="shared" si="1"/>
        <v>45</v>
      </c>
    </row>
    <row r="972" ht="15.75" customHeight="1">
      <c r="A972" s="1">
        <f>IFERROR(__xludf.DUMMYFUNCTION("""COMPUTED_VALUE"""),45282.66666666667)</f>
        <v>45282.66667</v>
      </c>
      <c r="B972" s="2">
        <f>IFERROR(__xludf.DUMMYFUNCTION("""COMPUTED_VALUE"""),1215.0)</f>
        <v>1215</v>
      </c>
      <c r="C972" s="2">
        <f>IFERROR(__xludf.DUMMYFUNCTION("""COMPUTED_VALUE"""),1220.0)</f>
        <v>1220</v>
      </c>
      <c r="D972" s="2">
        <f>IFERROR(__xludf.DUMMYFUNCTION("""COMPUTED_VALUE"""),1205.0)</f>
        <v>1205</v>
      </c>
      <c r="E972" s="2">
        <f>IFERROR(__xludf.DUMMYFUNCTION("""COMPUTED_VALUE"""),1205.0)</f>
        <v>1205</v>
      </c>
      <c r="F972" s="2">
        <f>IFERROR(__xludf.DUMMYFUNCTION("""COMPUTED_VALUE"""),1.48946E7)</f>
        <v>14894600</v>
      </c>
      <c r="G972" s="2">
        <f t="shared" si="1"/>
        <v>15</v>
      </c>
    </row>
    <row r="973" ht="15.75" customHeight="1">
      <c r="A973" s="1">
        <f>IFERROR(__xludf.DUMMYFUNCTION("""COMPUTED_VALUE"""),45287.66666666667)</f>
        <v>45287.66667</v>
      </c>
      <c r="B973" s="2">
        <f>IFERROR(__xludf.DUMMYFUNCTION("""COMPUTED_VALUE"""),1210.0)</f>
        <v>1210</v>
      </c>
      <c r="C973" s="2">
        <f>IFERROR(__xludf.DUMMYFUNCTION("""COMPUTED_VALUE"""),1215.0)</f>
        <v>1215</v>
      </c>
      <c r="D973" s="2">
        <f>IFERROR(__xludf.DUMMYFUNCTION("""COMPUTED_VALUE"""),1200.0)</f>
        <v>1200</v>
      </c>
      <c r="E973" s="2">
        <f>IFERROR(__xludf.DUMMYFUNCTION("""COMPUTED_VALUE"""),1210.0)</f>
        <v>1210</v>
      </c>
      <c r="F973" s="2">
        <f>IFERROR(__xludf.DUMMYFUNCTION("""COMPUTED_VALUE"""),1.58065E7)</f>
        <v>15806500</v>
      </c>
      <c r="G973" s="2">
        <f t="shared" si="1"/>
        <v>15</v>
      </c>
    </row>
    <row r="974" ht="15.75" customHeight="1">
      <c r="A974" s="1">
        <f>IFERROR(__xludf.DUMMYFUNCTION("""COMPUTED_VALUE"""),45288.66666666667)</f>
        <v>45288.66667</v>
      </c>
      <c r="B974" s="2">
        <f>IFERROR(__xludf.DUMMYFUNCTION("""COMPUTED_VALUE"""),1215.0)</f>
        <v>1215</v>
      </c>
      <c r="C974" s="2">
        <f>IFERROR(__xludf.DUMMYFUNCTION("""COMPUTED_VALUE"""),1260.0)</f>
        <v>1260</v>
      </c>
      <c r="D974" s="2">
        <f>IFERROR(__xludf.DUMMYFUNCTION("""COMPUTED_VALUE"""),1210.0)</f>
        <v>1210</v>
      </c>
      <c r="E974" s="2">
        <f>IFERROR(__xludf.DUMMYFUNCTION("""COMPUTED_VALUE"""),1245.0)</f>
        <v>1245</v>
      </c>
      <c r="F974" s="2">
        <f>IFERROR(__xludf.DUMMYFUNCTION("""COMPUTED_VALUE"""),2.38585E7)</f>
        <v>23858500</v>
      </c>
      <c r="G974" s="2">
        <f t="shared" si="1"/>
        <v>50</v>
      </c>
    </row>
    <row r="975" ht="15.75" customHeight="1">
      <c r="A975" s="1">
        <f>IFERROR(__xludf.DUMMYFUNCTION("""COMPUTED_VALUE"""),45289.66666666667)</f>
        <v>45289.66667</v>
      </c>
      <c r="B975" s="2">
        <f>IFERROR(__xludf.DUMMYFUNCTION("""COMPUTED_VALUE"""),1260.0)</f>
        <v>1260</v>
      </c>
      <c r="C975" s="2">
        <f>IFERROR(__xludf.DUMMYFUNCTION("""COMPUTED_VALUE"""),1260.0)</f>
        <v>1260</v>
      </c>
      <c r="D975" s="2">
        <f>IFERROR(__xludf.DUMMYFUNCTION("""COMPUTED_VALUE"""),1240.0)</f>
        <v>1240</v>
      </c>
      <c r="E975" s="2">
        <f>IFERROR(__xludf.DUMMYFUNCTION("""COMPUTED_VALUE"""),1250.0)</f>
        <v>1250</v>
      </c>
      <c r="F975" s="2">
        <f>IFERROR(__xludf.DUMMYFUNCTION("""COMPUTED_VALUE"""),1.07173E7)</f>
        <v>10717300</v>
      </c>
      <c r="G975" s="2">
        <f t="shared" si="1"/>
        <v>20</v>
      </c>
    </row>
    <row r="976" ht="15.75" customHeight="1">
      <c r="A976" s="1">
        <f>IFERROR(__xludf.DUMMYFUNCTION("""COMPUTED_VALUE"""),45293.66666666667)</f>
        <v>45293.66667</v>
      </c>
      <c r="B976" s="2">
        <f>IFERROR(__xludf.DUMMYFUNCTION("""COMPUTED_VALUE"""),1250.0)</f>
        <v>1250</v>
      </c>
      <c r="C976" s="2">
        <f>IFERROR(__xludf.DUMMYFUNCTION("""COMPUTED_VALUE"""),1270.0)</f>
        <v>1270</v>
      </c>
      <c r="D976" s="2">
        <f>IFERROR(__xludf.DUMMYFUNCTION("""COMPUTED_VALUE"""),1235.0)</f>
        <v>1235</v>
      </c>
      <c r="E976" s="2">
        <f>IFERROR(__xludf.DUMMYFUNCTION("""COMPUTED_VALUE"""),1265.0)</f>
        <v>1265</v>
      </c>
      <c r="F976" s="2">
        <f>IFERROR(__xludf.DUMMYFUNCTION("""COMPUTED_VALUE"""),1.8356E7)</f>
        <v>18356000</v>
      </c>
      <c r="G976" s="2">
        <f t="shared" si="1"/>
        <v>35</v>
      </c>
    </row>
    <row r="977" ht="15.75" customHeight="1">
      <c r="A977" s="1">
        <f>IFERROR(__xludf.DUMMYFUNCTION("""COMPUTED_VALUE"""),45294.66666666667)</f>
        <v>45294.66667</v>
      </c>
      <c r="B977" s="2">
        <f>IFERROR(__xludf.DUMMYFUNCTION("""COMPUTED_VALUE"""),1260.0)</f>
        <v>1260</v>
      </c>
      <c r="C977" s="2">
        <f>IFERROR(__xludf.DUMMYFUNCTION("""COMPUTED_VALUE"""),1265.0)</f>
        <v>1265</v>
      </c>
      <c r="D977" s="2">
        <f>IFERROR(__xludf.DUMMYFUNCTION("""COMPUTED_VALUE"""),1240.0)</f>
        <v>1240</v>
      </c>
      <c r="E977" s="2">
        <f>IFERROR(__xludf.DUMMYFUNCTION("""COMPUTED_VALUE"""),1255.0)</f>
        <v>1255</v>
      </c>
      <c r="F977" s="2">
        <f>IFERROR(__xludf.DUMMYFUNCTION("""COMPUTED_VALUE"""),8177200.0)</f>
        <v>8177200</v>
      </c>
      <c r="G977" s="2">
        <f t="shared" si="1"/>
        <v>25</v>
      </c>
    </row>
    <row r="978" ht="15.75" customHeight="1">
      <c r="A978" s="1">
        <f>IFERROR(__xludf.DUMMYFUNCTION("""COMPUTED_VALUE"""),45295.66666666667)</f>
        <v>45295.66667</v>
      </c>
      <c r="B978" s="2">
        <f>IFERROR(__xludf.DUMMYFUNCTION("""COMPUTED_VALUE"""),1255.0)</f>
        <v>1255</v>
      </c>
      <c r="C978" s="2">
        <f>IFERROR(__xludf.DUMMYFUNCTION("""COMPUTED_VALUE"""),1300.0)</f>
        <v>1300</v>
      </c>
      <c r="D978" s="2">
        <f>IFERROR(__xludf.DUMMYFUNCTION("""COMPUTED_VALUE"""),1255.0)</f>
        <v>1255</v>
      </c>
      <c r="E978" s="2">
        <f>IFERROR(__xludf.DUMMYFUNCTION("""COMPUTED_VALUE"""),1295.0)</f>
        <v>1295</v>
      </c>
      <c r="F978" s="2">
        <f>IFERROR(__xludf.DUMMYFUNCTION("""COMPUTED_VALUE"""),4.66433E7)</f>
        <v>46643300</v>
      </c>
      <c r="G978" s="2">
        <f t="shared" si="1"/>
        <v>45</v>
      </c>
    </row>
    <row r="979" ht="15.75" customHeight="1">
      <c r="A979" s="1">
        <f>IFERROR(__xludf.DUMMYFUNCTION("""COMPUTED_VALUE"""),45296.66666666667)</f>
        <v>45296.66667</v>
      </c>
      <c r="B979" s="2">
        <f>IFERROR(__xludf.DUMMYFUNCTION("""COMPUTED_VALUE"""),1295.0)</f>
        <v>1295</v>
      </c>
      <c r="C979" s="2">
        <f>IFERROR(__xludf.DUMMYFUNCTION("""COMPUTED_VALUE"""),1315.0)</f>
        <v>1315</v>
      </c>
      <c r="D979" s="2">
        <f>IFERROR(__xludf.DUMMYFUNCTION("""COMPUTED_VALUE"""),1290.0)</f>
        <v>1290</v>
      </c>
      <c r="E979" s="2">
        <f>IFERROR(__xludf.DUMMYFUNCTION("""COMPUTED_VALUE"""),1295.0)</f>
        <v>1295</v>
      </c>
      <c r="F979" s="2">
        <f>IFERROR(__xludf.DUMMYFUNCTION("""COMPUTED_VALUE"""),5.64217E7)</f>
        <v>56421700</v>
      </c>
      <c r="G979" s="2">
        <f t="shared" si="1"/>
        <v>25</v>
      </c>
    </row>
    <row r="980" ht="15.75" customHeight="1">
      <c r="A980" s="1">
        <f>IFERROR(__xludf.DUMMYFUNCTION("""COMPUTED_VALUE"""),45299.66666666667)</f>
        <v>45299.66667</v>
      </c>
      <c r="B980" s="2">
        <f>IFERROR(__xludf.DUMMYFUNCTION("""COMPUTED_VALUE"""),1295.0)</f>
        <v>1295</v>
      </c>
      <c r="C980" s="2">
        <f>IFERROR(__xludf.DUMMYFUNCTION("""COMPUTED_VALUE"""),1320.0)</f>
        <v>1320</v>
      </c>
      <c r="D980" s="2">
        <f>IFERROR(__xludf.DUMMYFUNCTION("""COMPUTED_VALUE"""),1285.0)</f>
        <v>1285</v>
      </c>
      <c r="E980" s="2">
        <f>IFERROR(__xludf.DUMMYFUNCTION("""COMPUTED_VALUE"""),1285.0)</f>
        <v>1285</v>
      </c>
      <c r="F980" s="2">
        <f>IFERROR(__xludf.DUMMYFUNCTION("""COMPUTED_VALUE"""),2.9209E7)</f>
        <v>29209000</v>
      </c>
      <c r="G980" s="2">
        <f t="shared" si="1"/>
        <v>35</v>
      </c>
    </row>
    <row r="981" ht="15.75" customHeight="1">
      <c r="A981" s="1">
        <f>IFERROR(__xludf.DUMMYFUNCTION("""COMPUTED_VALUE"""),45300.66666666667)</f>
        <v>45300.66667</v>
      </c>
      <c r="B981" s="2">
        <f>IFERROR(__xludf.DUMMYFUNCTION("""COMPUTED_VALUE"""),1295.0)</f>
        <v>1295</v>
      </c>
      <c r="C981" s="2">
        <f>IFERROR(__xludf.DUMMYFUNCTION("""COMPUTED_VALUE"""),1330.0)</f>
        <v>1330</v>
      </c>
      <c r="D981" s="2">
        <f>IFERROR(__xludf.DUMMYFUNCTION("""COMPUTED_VALUE"""),1285.0)</f>
        <v>1285</v>
      </c>
      <c r="E981" s="2">
        <f>IFERROR(__xludf.DUMMYFUNCTION("""COMPUTED_VALUE"""),1330.0)</f>
        <v>1330</v>
      </c>
      <c r="F981" s="2">
        <f>IFERROR(__xludf.DUMMYFUNCTION("""COMPUTED_VALUE"""),7.22853E7)</f>
        <v>72285300</v>
      </c>
      <c r="G981" s="2">
        <f t="shared" si="1"/>
        <v>45</v>
      </c>
    </row>
    <row r="982" ht="15.75" customHeight="1">
      <c r="A982" s="1">
        <f>IFERROR(__xludf.DUMMYFUNCTION("""COMPUTED_VALUE"""),45301.66666666667)</f>
        <v>45301.66667</v>
      </c>
      <c r="B982" s="2">
        <f>IFERROR(__xludf.DUMMYFUNCTION("""COMPUTED_VALUE"""),1335.0)</f>
        <v>1335</v>
      </c>
      <c r="C982" s="2">
        <f>IFERROR(__xludf.DUMMYFUNCTION("""COMPUTED_VALUE"""),1350.0)</f>
        <v>1350</v>
      </c>
      <c r="D982" s="2">
        <f>IFERROR(__xludf.DUMMYFUNCTION("""COMPUTED_VALUE"""),1320.0)</f>
        <v>1320</v>
      </c>
      <c r="E982" s="2">
        <f>IFERROR(__xludf.DUMMYFUNCTION("""COMPUTED_VALUE"""),1335.0)</f>
        <v>1335</v>
      </c>
      <c r="F982" s="2">
        <f>IFERROR(__xludf.DUMMYFUNCTION("""COMPUTED_VALUE"""),3.75781E7)</f>
        <v>37578100</v>
      </c>
      <c r="G982" s="2">
        <f t="shared" si="1"/>
        <v>30</v>
      </c>
    </row>
    <row r="983" ht="15.75" customHeight="1">
      <c r="A983" s="1">
        <f>IFERROR(__xludf.DUMMYFUNCTION("""COMPUTED_VALUE"""),45302.66666666667)</f>
        <v>45302.66667</v>
      </c>
      <c r="B983" s="2">
        <f>IFERROR(__xludf.DUMMYFUNCTION("""COMPUTED_VALUE"""),1335.0)</f>
        <v>1335</v>
      </c>
      <c r="C983" s="2">
        <f>IFERROR(__xludf.DUMMYFUNCTION("""COMPUTED_VALUE"""),1360.0)</f>
        <v>1360</v>
      </c>
      <c r="D983" s="2">
        <f>IFERROR(__xludf.DUMMYFUNCTION("""COMPUTED_VALUE"""),1325.0)</f>
        <v>1325</v>
      </c>
      <c r="E983" s="2">
        <f>IFERROR(__xludf.DUMMYFUNCTION("""COMPUTED_VALUE"""),1360.0)</f>
        <v>1360</v>
      </c>
      <c r="F983" s="2">
        <f>IFERROR(__xludf.DUMMYFUNCTION("""COMPUTED_VALUE"""),3.05468E7)</f>
        <v>30546800</v>
      </c>
      <c r="G983" s="2">
        <f t="shared" si="1"/>
        <v>35</v>
      </c>
    </row>
    <row r="984" ht="15.75" customHeight="1">
      <c r="A984" s="1">
        <f>IFERROR(__xludf.DUMMYFUNCTION("""COMPUTED_VALUE"""),45303.66666666667)</f>
        <v>45303.66667</v>
      </c>
      <c r="B984" s="2">
        <f>IFERROR(__xludf.DUMMYFUNCTION("""COMPUTED_VALUE"""),1365.0)</f>
        <v>1365</v>
      </c>
      <c r="C984" s="2">
        <f>IFERROR(__xludf.DUMMYFUNCTION("""COMPUTED_VALUE"""),1375.0)</f>
        <v>1375</v>
      </c>
      <c r="D984" s="2">
        <f>IFERROR(__xludf.DUMMYFUNCTION("""COMPUTED_VALUE"""),1345.0)</f>
        <v>1345</v>
      </c>
      <c r="E984" s="2">
        <f>IFERROR(__xludf.DUMMYFUNCTION("""COMPUTED_VALUE"""),1350.0)</f>
        <v>1350</v>
      </c>
      <c r="F984" s="2">
        <f>IFERROR(__xludf.DUMMYFUNCTION("""COMPUTED_VALUE"""),3.89893E7)</f>
        <v>38989300</v>
      </c>
      <c r="G984" s="2">
        <f t="shared" si="1"/>
        <v>30</v>
      </c>
    </row>
    <row r="985" ht="15.75" customHeight="1">
      <c r="A985" s="1">
        <f>IFERROR(__xludf.DUMMYFUNCTION("""COMPUTED_VALUE"""),45306.66666666667)</f>
        <v>45306.66667</v>
      </c>
      <c r="B985" s="2">
        <f>IFERROR(__xludf.DUMMYFUNCTION("""COMPUTED_VALUE"""),1350.0)</f>
        <v>1350</v>
      </c>
      <c r="C985" s="2">
        <f>IFERROR(__xludf.DUMMYFUNCTION("""COMPUTED_VALUE"""),1360.0)</f>
        <v>1360</v>
      </c>
      <c r="D985" s="2">
        <f>IFERROR(__xludf.DUMMYFUNCTION("""COMPUTED_VALUE"""),1330.0)</f>
        <v>1330</v>
      </c>
      <c r="E985" s="2">
        <f>IFERROR(__xludf.DUMMYFUNCTION("""COMPUTED_VALUE"""),1355.0)</f>
        <v>1355</v>
      </c>
      <c r="F985" s="2">
        <f>IFERROR(__xludf.DUMMYFUNCTION("""COMPUTED_VALUE"""),3.16258E7)</f>
        <v>31625800</v>
      </c>
      <c r="G985" s="2">
        <f t="shared" si="1"/>
        <v>30</v>
      </c>
    </row>
    <row r="986" ht="15.75" customHeight="1">
      <c r="A986" s="1">
        <f>IFERROR(__xludf.DUMMYFUNCTION("""COMPUTED_VALUE"""),45307.66666666667)</f>
        <v>45307.66667</v>
      </c>
      <c r="B986" s="2">
        <f>IFERROR(__xludf.DUMMYFUNCTION("""COMPUTED_VALUE"""),1360.0)</f>
        <v>1360</v>
      </c>
      <c r="C986" s="2">
        <f>IFERROR(__xludf.DUMMYFUNCTION("""COMPUTED_VALUE"""),1360.0)</f>
        <v>1360</v>
      </c>
      <c r="D986" s="2">
        <f>IFERROR(__xludf.DUMMYFUNCTION("""COMPUTED_VALUE"""),1325.0)</f>
        <v>1325</v>
      </c>
      <c r="E986" s="2">
        <f>IFERROR(__xludf.DUMMYFUNCTION("""COMPUTED_VALUE"""),1325.0)</f>
        <v>1325</v>
      </c>
      <c r="F986" s="2">
        <f>IFERROR(__xludf.DUMMYFUNCTION("""COMPUTED_VALUE"""),3.36713E7)</f>
        <v>33671300</v>
      </c>
      <c r="G986" s="2">
        <f t="shared" si="1"/>
        <v>35</v>
      </c>
    </row>
    <row r="987" ht="15.75" customHeight="1">
      <c r="A987" s="1">
        <f>IFERROR(__xludf.DUMMYFUNCTION("""COMPUTED_VALUE"""),45308.66666666667)</f>
        <v>45308.66667</v>
      </c>
      <c r="B987" s="2">
        <f>IFERROR(__xludf.DUMMYFUNCTION("""COMPUTED_VALUE"""),1325.0)</f>
        <v>1325</v>
      </c>
      <c r="C987" s="2">
        <f>IFERROR(__xludf.DUMMYFUNCTION("""COMPUTED_VALUE"""),1345.0)</f>
        <v>1345</v>
      </c>
      <c r="D987" s="2">
        <f>IFERROR(__xludf.DUMMYFUNCTION("""COMPUTED_VALUE"""),1325.0)</f>
        <v>1325</v>
      </c>
      <c r="E987" s="2">
        <f>IFERROR(__xludf.DUMMYFUNCTION("""COMPUTED_VALUE"""),1335.0)</f>
        <v>1335</v>
      </c>
      <c r="F987" s="2">
        <f>IFERROR(__xludf.DUMMYFUNCTION("""COMPUTED_VALUE"""),2.38333E7)</f>
        <v>23833300</v>
      </c>
      <c r="G987" s="2">
        <f t="shared" si="1"/>
        <v>20</v>
      </c>
    </row>
    <row r="988" ht="15.75" customHeight="1">
      <c r="A988" s="1">
        <f>IFERROR(__xludf.DUMMYFUNCTION("""COMPUTED_VALUE"""),45309.66666666667)</f>
        <v>45309.66667</v>
      </c>
      <c r="B988" s="2">
        <f>IFERROR(__xludf.DUMMYFUNCTION("""COMPUTED_VALUE"""),1340.0)</f>
        <v>1340</v>
      </c>
      <c r="C988" s="2">
        <f>IFERROR(__xludf.DUMMYFUNCTION("""COMPUTED_VALUE"""),1350.0)</f>
        <v>1350</v>
      </c>
      <c r="D988" s="2">
        <f>IFERROR(__xludf.DUMMYFUNCTION("""COMPUTED_VALUE"""),1325.0)</f>
        <v>1325</v>
      </c>
      <c r="E988" s="2">
        <f>IFERROR(__xludf.DUMMYFUNCTION("""COMPUTED_VALUE"""),1335.0)</f>
        <v>1335</v>
      </c>
      <c r="F988" s="2">
        <f>IFERROR(__xludf.DUMMYFUNCTION("""COMPUTED_VALUE"""),1.62035E7)</f>
        <v>16203500</v>
      </c>
      <c r="G988" s="2">
        <f t="shared" si="1"/>
        <v>25</v>
      </c>
    </row>
    <row r="989" ht="15.75" customHeight="1">
      <c r="A989" s="1">
        <f>IFERROR(__xludf.DUMMYFUNCTION("""COMPUTED_VALUE"""),45310.66666666667)</f>
        <v>45310.66667</v>
      </c>
      <c r="B989" s="2">
        <f>IFERROR(__xludf.DUMMYFUNCTION("""COMPUTED_VALUE"""),1335.0)</f>
        <v>1335</v>
      </c>
      <c r="C989" s="2">
        <f>IFERROR(__xludf.DUMMYFUNCTION("""COMPUTED_VALUE"""),1370.0)</f>
        <v>1370</v>
      </c>
      <c r="D989" s="2">
        <f>IFERROR(__xludf.DUMMYFUNCTION("""COMPUTED_VALUE"""),1335.0)</f>
        <v>1335</v>
      </c>
      <c r="E989" s="2">
        <f>IFERROR(__xludf.DUMMYFUNCTION("""COMPUTED_VALUE"""),1355.0)</f>
        <v>1355</v>
      </c>
      <c r="F989" s="2">
        <f>IFERROR(__xludf.DUMMYFUNCTION("""COMPUTED_VALUE"""),4.37787E7)</f>
        <v>43778700</v>
      </c>
      <c r="G989" s="2">
        <f t="shared" si="1"/>
        <v>35</v>
      </c>
    </row>
    <row r="990" ht="15.75" customHeight="1">
      <c r="A990" s="1">
        <f>IFERROR(__xludf.DUMMYFUNCTION("""COMPUTED_VALUE"""),45313.66666666667)</f>
        <v>45313.66667</v>
      </c>
      <c r="B990" s="2">
        <f>IFERROR(__xludf.DUMMYFUNCTION("""COMPUTED_VALUE"""),1355.0)</f>
        <v>1355</v>
      </c>
      <c r="C990" s="2">
        <f>IFERROR(__xludf.DUMMYFUNCTION("""COMPUTED_VALUE"""),1385.0)</f>
        <v>1385</v>
      </c>
      <c r="D990" s="2">
        <f>IFERROR(__xludf.DUMMYFUNCTION("""COMPUTED_VALUE"""),1350.0)</f>
        <v>1350</v>
      </c>
      <c r="E990" s="2">
        <f>IFERROR(__xludf.DUMMYFUNCTION("""COMPUTED_VALUE"""),1375.0)</f>
        <v>1375</v>
      </c>
      <c r="F990" s="2">
        <f>IFERROR(__xludf.DUMMYFUNCTION("""COMPUTED_VALUE"""),5.0723E7)</f>
        <v>50723000</v>
      </c>
      <c r="G990" s="2">
        <f t="shared" si="1"/>
        <v>35</v>
      </c>
    </row>
    <row r="991" ht="15.75" customHeight="1">
      <c r="A991" s="1">
        <f>IFERROR(__xludf.DUMMYFUNCTION("""COMPUTED_VALUE"""),45314.66666666667)</f>
        <v>45314.66667</v>
      </c>
      <c r="B991" s="2">
        <f>IFERROR(__xludf.DUMMYFUNCTION("""COMPUTED_VALUE"""),1375.0)</f>
        <v>1375</v>
      </c>
      <c r="C991" s="2">
        <f>IFERROR(__xludf.DUMMYFUNCTION("""COMPUTED_VALUE"""),1375.0)</f>
        <v>1375</v>
      </c>
      <c r="D991" s="2">
        <f>IFERROR(__xludf.DUMMYFUNCTION("""COMPUTED_VALUE"""),1320.0)</f>
        <v>1320</v>
      </c>
      <c r="E991" s="2">
        <f>IFERROR(__xludf.DUMMYFUNCTION("""COMPUTED_VALUE"""),1330.0)</f>
        <v>1330</v>
      </c>
      <c r="F991" s="2">
        <f>IFERROR(__xludf.DUMMYFUNCTION("""COMPUTED_VALUE"""),3.07846E7)</f>
        <v>30784600</v>
      </c>
      <c r="G991" s="2">
        <f t="shared" si="1"/>
        <v>55</v>
      </c>
    </row>
    <row r="992" ht="15.75" customHeight="1">
      <c r="A992" s="1">
        <f>IFERROR(__xludf.DUMMYFUNCTION("""COMPUTED_VALUE"""),45315.66666666667)</f>
        <v>45315.66667</v>
      </c>
      <c r="B992" s="2">
        <f>IFERROR(__xludf.DUMMYFUNCTION("""COMPUTED_VALUE"""),1330.0)</f>
        <v>1330</v>
      </c>
      <c r="C992" s="2">
        <f>IFERROR(__xludf.DUMMYFUNCTION("""COMPUTED_VALUE"""),1335.0)</f>
        <v>1335</v>
      </c>
      <c r="D992" s="2">
        <f>IFERROR(__xludf.DUMMYFUNCTION("""COMPUTED_VALUE"""),1280.0)</f>
        <v>1280</v>
      </c>
      <c r="E992" s="2">
        <f>IFERROR(__xludf.DUMMYFUNCTION("""COMPUTED_VALUE"""),1290.0)</f>
        <v>1290</v>
      </c>
      <c r="F992" s="2">
        <f>IFERROR(__xludf.DUMMYFUNCTION("""COMPUTED_VALUE"""),5.10882E7)</f>
        <v>51088200</v>
      </c>
      <c r="G992" s="2">
        <f t="shared" si="1"/>
        <v>55</v>
      </c>
    </row>
    <row r="993" ht="15.75" customHeight="1">
      <c r="A993" s="1">
        <f>IFERROR(__xludf.DUMMYFUNCTION("""COMPUTED_VALUE"""),45316.66666666667)</f>
        <v>45316.66667</v>
      </c>
      <c r="B993" s="2">
        <f>IFERROR(__xludf.DUMMYFUNCTION("""COMPUTED_VALUE"""),1290.0)</f>
        <v>1290</v>
      </c>
      <c r="C993" s="2">
        <f>IFERROR(__xludf.DUMMYFUNCTION("""COMPUTED_VALUE"""),1310.0)</f>
        <v>1310</v>
      </c>
      <c r="D993" s="2">
        <f>IFERROR(__xludf.DUMMYFUNCTION("""COMPUTED_VALUE"""),1280.0)</f>
        <v>1280</v>
      </c>
      <c r="E993" s="2">
        <f>IFERROR(__xludf.DUMMYFUNCTION("""COMPUTED_VALUE"""),1290.0)</f>
        <v>1290</v>
      </c>
      <c r="F993" s="2">
        <f>IFERROR(__xludf.DUMMYFUNCTION("""COMPUTED_VALUE"""),2.04186E7)</f>
        <v>20418600</v>
      </c>
      <c r="G993" s="2">
        <f t="shared" si="1"/>
        <v>30</v>
      </c>
    </row>
    <row r="994" ht="15.75" customHeight="1">
      <c r="A994" s="1">
        <f>IFERROR(__xludf.DUMMYFUNCTION("""COMPUTED_VALUE"""),45317.66666666667)</f>
        <v>45317.66667</v>
      </c>
      <c r="B994" s="2">
        <f>IFERROR(__xludf.DUMMYFUNCTION("""COMPUTED_VALUE"""),1290.0)</f>
        <v>1290</v>
      </c>
      <c r="C994" s="2">
        <f>IFERROR(__xludf.DUMMYFUNCTION("""COMPUTED_VALUE"""),1290.0)</f>
        <v>1290</v>
      </c>
      <c r="D994" s="2">
        <f>IFERROR(__xludf.DUMMYFUNCTION("""COMPUTED_VALUE"""),1270.0)</f>
        <v>1270</v>
      </c>
      <c r="E994" s="2">
        <f>IFERROR(__xludf.DUMMYFUNCTION("""COMPUTED_VALUE"""),1285.0)</f>
        <v>1285</v>
      </c>
      <c r="F994" s="2">
        <f>IFERROR(__xludf.DUMMYFUNCTION("""COMPUTED_VALUE"""),1.21581E7)</f>
        <v>12158100</v>
      </c>
      <c r="G994" s="2">
        <f t="shared" si="1"/>
        <v>20</v>
      </c>
    </row>
    <row r="995" ht="15.75" customHeight="1">
      <c r="A995" s="1">
        <f>IFERROR(__xludf.DUMMYFUNCTION("""COMPUTED_VALUE"""),45320.66666666667)</f>
        <v>45320.66667</v>
      </c>
      <c r="B995" s="2">
        <f>IFERROR(__xludf.DUMMYFUNCTION("""COMPUTED_VALUE"""),1285.0)</f>
        <v>1285</v>
      </c>
      <c r="C995" s="2">
        <f>IFERROR(__xludf.DUMMYFUNCTION("""COMPUTED_VALUE"""),1310.0)</f>
        <v>1310</v>
      </c>
      <c r="D995" s="2">
        <f>IFERROR(__xludf.DUMMYFUNCTION("""COMPUTED_VALUE"""),1280.0)</f>
        <v>1280</v>
      </c>
      <c r="E995" s="2">
        <f>IFERROR(__xludf.DUMMYFUNCTION("""COMPUTED_VALUE"""),1310.0)</f>
        <v>1310</v>
      </c>
      <c r="F995" s="2">
        <f>IFERROR(__xludf.DUMMYFUNCTION("""COMPUTED_VALUE"""),1.47441E7)</f>
        <v>14744100</v>
      </c>
      <c r="G995" s="2">
        <f t="shared" si="1"/>
        <v>30</v>
      </c>
    </row>
    <row r="996" ht="15.75" customHeight="1">
      <c r="A996" s="1">
        <f>IFERROR(__xludf.DUMMYFUNCTION("""COMPUTED_VALUE"""),45321.66666666667)</f>
        <v>45321.66667</v>
      </c>
      <c r="B996" s="2">
        <f>IFERROR(__xludf.DUMMYFUNCTION("""COMPUTED_VALUE"""),1310.0)</f>
        <v>1310</v>
      </c>
      <c r="C996" s="2">
        <f>IFERROR(__xludf.DUMMYFUNCTION("""COMPUTED_VALUE"""),1310.0)</f>
        <v>1310</v>
      </c>
      <c r="D996" s="2">
        <f>IFERROR(__xludf.DUMMYFUNCTION("""COMPUTED_VALUE"""),1290.0)</f>
        <v>1290</v>
      </c>
      <c r="E996" s="2">
        <f>IFERROR(__xludf.DUMMYFUNCTION("""COMPUTED_VALUE"""),1295.0)</f>
        <v>1295</v>
      </c>
      <c r="F996" s="2">
        <f>IFERROR(__xludf.DUMMYFUNCTION("""COMPUTED_VALUE"""),2.36586E7)</f>
        <v>23658600</v>
      </c>
      <c r="G996" s="2">
        <f t="shared" si="1"/>
        <v>20</v>
      </c>
    </row>
    <row r="997" ht="15.75" customHeight="1">
      <c r="A997" s="1">
        <f>IFERROR(__xludf.DUMMYFUNCTION("""COMPUTED_VALUE"""),45322.66666666667)</f>
        <v>45322.66667</v>
      </c>
      <c r="B997" s="2">
        <f>IFERROR(__xludf.DUMMYFUNCTION("""COMPUTED_VALUE"""),1300.0)</f>
        <v>1300</v>
      </c>
      <c r="C997" s="2">
        <f>IFERROR(__xludf.DUMMYFUNCTION("""COMPUTED_VALUE"""),1320.0)</f>
        <v>1320</v>
      </c>
      <c r="D997" s="2">
        <f>IFERROR(__xludf.DUMMYFUNCTION("""COMPUTED_VALUE"""),1295.0)</f>
        <v>1295</v>
      </c>
      <c r="E997" s="2">
        <f>IFERROR(__xludf.DUMMYFUNCTION("""COMPUTED_VALUE"""),1305.0)</f>
        <v>1305</v>
      </c>
      <c r="F997" s="2">
        <f>IFERROR(__xludf.DUMMYFUNCTION("""COMPUTED_VALUE"""),2.27399E7)</f>
        <v>22739900</v>
      </c>
      <c r="G997" s="2">
        <f t="shared" si="1"/>
        <v>25</v>
      </c>
    </row>
    <row r="998" ht="15.75" customHeight="1">
      <c r="A998" s="1">
        <f>IFERROR(__xludf.DUMMYFUNCTION("""COMPUTED_VALUE"""),45323.66666666667)</f>
        <v>45323.66667</v>
      </c>
      <c r="B998" s="2">
        <f>IFERROR(__xludf.DUMMYFUNCTION("""COMPUTED_VALUE"""),1300.0)</f>
        <v>1300</v>
      </c>
      <c r="C998" s="2">
        <f>IFERROR(__xludf.DUMMYFUNCTION("""COMPUTED_VALUE"""),1305.0)</f>
        <v>1305</v>
      </c>
      <c r="D998" s="2">
        <f>IFERROR(__xludf.DUMMYFUNCTION("""COMPUTED_VALUE"""),1290.0)</f>
        <v>1290</v>
      </c>
      <c r="E998" s="2">
        <f>IFERROR(__xludf.DUMMYFUNCTION("""COMPUTED_VALUE"""),1295.0)</f>
        <v>1295</v>
      </c>
      <c r="F998" s="2">
        <f>IFERROR(__xludf.DUMMYFUNCTION("""COMPUTED_VALUE"""),1.96452E7)</f>
        <v>19645200</v>
      </c>
      <c r="G998" s="2">
        <f t="shared" si="1"/>
        <v>15</v>
      </c>
    </row>
    <row r="999" ht="15.75" customHeight="1">
      <c r="A999" s="1">
        <f>IFERROR(__xludf.DUMMYFUNCTION("""COMPUTED_VALUE"""),45324.66666666667)</f>
        <v>45324.66667</v>
      </c>
      <c r="B999" s="2">
        <f>IFERROR(__xludf.DUMMYFUNCTION("""COMPUTED_VALUE"""),1295.0)</f>
        <v>1295</v>
      </c>
      <c r="C999" s="2">
        <f>IFERROR(__xludf.DUMMYFUNCTION("""COMPUTED_VALUE"""),1305.0)</f>
        <v>1305</v>
      </c>
      <c r="D999" s="2">
        <f>IFERROR(__xludf.DUMMYFUNCTION("""COMPUTED_VALUE"""),1275.0)</f>
        <v>1275</v>
      </c>
      <c r="E999" s="2">
        <f>IFERROR(__xludf.DUMMYFUNCTION("""COMPUTED_VALUE"""),1280.0)</f>
        <v>1280</v>
      </c>
      <c r="F999" s="2">
        <f>IFERROR(__xludf.DUMMYFUNCTION("""COMPUTED_VALUE"""),1.89592E7)</f>
        <v>18959200</v>
      </c>
      <c r="G999" s="2">
        <f t="shared" si="1"/>
        <v>30</v>
      </c>
    </row>
    <row r="1000" ht="15.75" customHeight="1">
      <c r="A1000" s="1">
        <f>IFERROR(__xludf.DUMMYFUNCTION("""COMPUTED_VALUE"""),45327.66666666667)</f>
        <v>45327.66667</v>
      </c>
      <c r="B1000" s="2">
        <f>IFERROR(__xludf.DUMMYFUNCTION("""COMPUTED_VALUE"""),1280.0)</f>
        <v>1280</v>
      </c>
      <c r="C1000" s="2">
        <f>IFERROR(__xludf.DUMMYFUNCTION("""COMPUTED_VALUE"""),1285.0)</f>
        <v>1285</v>
      </c>
      <c r="D1000" s="2">
        <f>IFERROR(__xludf.DUMMYFUNCTION("""COMPUTED_VALUE"""),1260.0)</f>
        <v>1260</v>
      </c>
      <c r="E1000" s="2">
        <f>IFERROR(__xludf.DUMMYFUNCTION("""COMPUTED_VALUE"""),1270.0)</f>
        <v>1270</v>
      </c>
      <c r="F1000" s="2">
        <f>IFERROR(__xludf.DUMMYFUNCTION("""COMPUTED_VALUE"""),2.24533E7)</f>
        <v>22453300</v>
      </c>
      <c r="G1000" s="2">
        <f t="shared" si="1"/>
        <v>25</v>
      </c>
    </row>
    <row r="1001" ht="15.75" customHeight="1">
      <c r="A1001" s="1">
        <f>IFERROR(__xludf.DUMMYFUNCTION("""COMPUTED_VALUE"""),45328.66666666667)</f>
        <v>45328.66667</v>
      </c>
      <c r="B1001" s="2">
        <f>IFERROR(__xludf.DUMMYFUNCTION("""COMPUTED_VALUE"""),1275.0)</f>
        <v>1275</v>
      </c>
      <c r="C1001" s="2">
        <f>IFERROR(__xludf.DUMMYFUNCTION("""COMPUTED_VALUE"""),1280.0)</f>
        <v>1280</v>
      </c>
      <c r="D1001" s="2">
        <f>IFERROR(__xludf.DUMMYFUNCTION("""COMPUTED_VALUE"""),1255.0)</f>
        <v>1255</v>
      </c>
      <c r="E1001" s="2">
        <f>IFERROR(__xludf.DUMMYFUNCTION("""COMPUTED_VALUE"""),1260.0)</f>
        <v>1260</v>
      </c>
      <c r="F1001" s="2">
        <f>IFERROR(__xludf.DUMMYFUNCTION("""COMPUTED_VALUE"""),1.32777E7)</f>
        <v>13277700</v>
      </c>
      <c r="G1001" s="2">
        <f t="shared" si="1"/>
        <v>25</v>
      </c>
    </row>
    <row r="1002" ht="15.75" customHeight="1">
      <c r="A1002" s="1">
        <f>IFERROR(__xludf.DUMMYFUNCTION("""COMPUTED_VALUE"""),45329.66666666667)</f>
        <v>45329.66667</v>
      </c>
      <c r="B1002" s="2">
        <f>IFERROR(__xludf.DUMMYFUNCTION("""COMPUTED_VALUE"""),1260.0)</f>
        <v>1260</v>
      </c>
      <c r="C1002" s="2">
        <f>IFERROR(__xludf.DUMMYFUNCTION("""COMPUTED_VALUE"""),1275.0)</f>
        <v>1275</v>
      </c>
      <c r="D1002" s="2">
        <f>IFERROR(__xludf.DUMMYFUNCTION("""COMPUTED_VALUE"""),1250.0)</f>
        <v>1250</v>
      </c>
      <c r="E1002" s="2">
        <f>IFERROR(__xludf.DUMMYFUNCTION("""COMPUTED_VALUE"""),1255.0)</f>
        <v>1255</v>
      </c>
      <c r="F1002" s="2">
        <f>IFERROR(__xludf.DUMMYFUNCTION("""COMPUTED_VALUE"""),2.43234E7)</f>
        <v>24323400</v>
      </c>
      <c r="G1002" s="2">
        <f t="shared" si="1"/>
        <v>25</v>
      </c>
    </row>
    <row r="1003" ht="15.75" customHeight="1">
      <c r="A1003" s="1">
        <f>IFERROR(__xludf.DUMMYFUNCTION("""COMPUTED_VALUE"""),45334.66666666667)</f>
        <v>45334.66667</v>
      </c>
      <c r="B1003" s="2">
        <f>IFERROR(__xludf.DUMMYFUNCTION("""COMPUTED_VALUE"""),1275.0)</f>
        <v>1275</v>
      </c>
      <c r="C1003" s="2">
        <f>IFERROR(__xludf.DUMMYFUNCTION("""COMPUTED_VALUE"""),1370.0)</f>
        <v>1370</v>
      </c>
      <c r="D1003" s="2">
        <f>IFERROR(__xludf.DUMMYFUNCTION("""COMPUTED_VALUE"""),1270.0)</f>
        <v>1270</v>
      </c>
      <c r="E1003" s="2">
        <f>IFERROR(__xludf.DUMMYFUNCTION("""COMPUTED_VALUE"""),1360.0)</f>
        <v>1360</v>
      </c>
      <c r="F1003" s="2">
        <f>IFERROR(__xludf.DUMMYFUNCTION("""COMPUTED_VALUE"""),9.00877E7)</f>
        <v>90087700</v>
      </c>
      <c r="G1003" s="2">
        <f t="shared" si="1"/>
        <v>115</v>
      </c>
    </row>
    <row r="1004" ht="15.75" customHeight="1">
      <c r="A1004" s="1">
        <f>IFERROR(__xludf.DUMMYFUNCTION("""COMPUTED_VALUE"""),45335.66666666667)</f>
        <v>45335.66667</v>
      </c>
      <c r="B1004" s="2">
        <f>IFERROR(__xludf.DUMMYFUNCTION("""COMPUTED_VALUE"""),1360.0)</f>
        <v>1360</v>
      </c>
      <c r="C1004" s="2">
        <f>IFERROR(__xludf.DUMMYFUNCTION("""COMPUTED_VALUE"""),1375.0)</f>
        <v>1375</v>
      </c>
      <c r="D1004" s="2">
        <f>IFERROR(__xludf.DUMMYFUNCTION("""COMPUTED_VALUE"""),1335.0)</f>
        <v>1335</v>
      </c>
      <c r="E1004" s="2">
        <f>IFERROR(__xludf.DUMMYFUNCTION("""COMPUTED_VALUE"""),1345.0)</f>
        <v>1345</v>
      </c>
      <c r="F1004" s="2">
        <f>IFERROR(__xludf.DUMMYFUNCTION("""COMPUTED_VALUE"""),3.53667E7)</f>
        <v>35366700</v>
      </c>
      <c r="G1004" s="2">
        <f t="shared" si="1"/>
        <v>40</v>
      </c>
    </row>
    <row r="1005" ht="15.75" customHeight="1">
      <c r="A1005" s="1">
        <f>IFERROR(__xludf.DUMMYFUNCTION("""COMPUTED_VALUE"""),45337.66666666667)</f>
        <v>45337.66667</v>
      </c>
      <c r="B1005" s="2">
        <f>IFERROR(__xludf.DUMMYFUNCTION("""COMPUTED_VALUE"""),1375.0)</f>
        <v>1375</v>
      </c>
      <c r="C1005" s="2">
        <f>IFERROR(__xludf.DUMMYFUNCTION("""COMPUTED_VALUE"""),1410.0)</f>
        <v>1410</v>
      </c>
      <c r="D1005" s="2">
        <f>IFERROR(__xludf.DUMMYFUNCTION("""COMPUTED_VALUE"""),1360.0)</f>
        <v>1360</v>
      </c>
      <c r="E1005" s="2">
        <f>IFERROR(__xludf.DUMMYFUNCTION("""COMPUTED_VALUE"""),1385.0)</f>
        <v>1385</v>
      </c>
      <c r="F1005" s="2">
        <f>IFERROR(__xludf.DUMMYFUNCTION("""COMPUTED_VALUE"""),1.073235E8)</f>
        <v>107323500</v>
      </c>
      <c r="G1005" s="2">
        <f t="shared" si="1"/>
        <v>65</v>
      </c>
    </row>
    <row r="1006" ht="15.75" customHeight="1">
      <c r="A1006" s="1">
        <f>IFERROR(__xludf.DUMMYFUNCTION("""COMPUTED_VALUE"""),45338.66666666667)</f>
        <v>45338.66667</v>
      </c>
      <c r="B1006" s="2">
        <f>IFERROR(__xludf.DUMMYFUNCTION("""COMPUTED_VALUE"""),1390.0)</f>
        <v>1390</v>
      </c>
      <c r="C1006" s="2">
        <f>IFERROR(__xludf.DUMMYFUNCTION("""COMPUTED_VALUE"""),1405.0)</f>
        <v>1405</v>
      </c>
      <c r="D1006" s="2">
        <f>IFERROR(__xludf.DUMMYFUNCTION("""COMPUTED_VALUE"""),1355.0)</f>
        <v>1355</v>
      </c>
      <c r="E1006" s="2">
        <f>IFERROR(__xludf.DUMMYFUNCTION("""COMPUTED_VALUE"""),1365.0)</f>
        <v>1365</v>
      </c>
      <c r="F1006" s="2">
        <f>IFERROR(__xludf.DUMMYFUNCTION("""COMPUTED_VALUE"""),4.71388E7)</f>
        <v>47138800</v>
      </c>
      <c r="G1006" s="2">
        <f t="shared" si="1"/>
        <v>50</v>
      </c>
    </row>
    <row r="1007" ht="15.75" customHeight="1">
      <c r="A1007" s="1">
        <f>IFERROR(__xludf.DUMMYFUNCTION("""COMPUTED_VALUE"""),45341.66666666667)</f>
        <v>45341.66667</v>
      </c>
      <c r="B1007" s="2">
        <f>IFERROR(__xludf.DUMMYFUNCTION("""COMPUTED_VALUE"""),1365.0)</f>
        <v>1365</v>
      </c>
      <c r="C1007" s="2">
        <f>IFERROR(__xludf.DUMMYFUNCTION("""COMPUTED_VALUE"""),1375.0)</f>
        <v>1375</v>
      </c>
      <c r="D1007" s="2">
        <f>IFERROR(__xludf.DUMMYFUNCTION("""COMPUTED_VALUE"""),1340.0)</f>
        <v>1340</v>
      </c>
      <c r="E1007" s="2">
        <f>IFERROR(__xludf.DUMMYFUNCTION("""COMPUTED_VALUE"""),1350.0)</f>
        <v>1350</v>
      </c>
      <c r="F1007" s="2">
        <f>IFERROR(__xludf.DUMMYFUNCTION("""COMPUTED_VALUE"""),3.12988E7)</f>
        <v>31298800</v>
      </c>
      <c r="G1007" s="2">
        <f t="shared" si="1"/>
        <v>35</v>
      </c>
    </row>
    <row r="1008" ht="15.75" customHeight="1">
      <c r="A1008" s="1">
        <f>IFERROR(__xludf.DUMMYFUNCTION("""COMPUTED_VALUE"""),45342.66666666667)</f>
        <v>45342.66667</v>
      </c>
      <c r="B1008" s="2">
        <f>IFERROR(__xludf.DUMMYFUNCTION("""COMPUTED_VALUE"""),1355.0)</f>
        <v>1355</v>
      </c>
      <c r="C1008" s="2">
        <f>IFERROR(__xludf.DUMMYFUNCTION("""COMPUTED_VALUE"""),1460.0)</f>
        <v>1460</v>
      </c>
      <c r="D1008" s="2">
        <f>IFERROR(__xludf.DUMMYFUNCTION("""COMPUTED_VALUE"""),1350.0)</f>
        <v>1350</v>
      </c>
      <c r="E1008" s="2">
        <f>IFERROR(__xludf.DUMMYFUNCTION("""COMPUTED_VALUE"""),1460.0)</f>
        <v>1460</v>
      </c>
      <c r="F1008" s="2">
        <f>IFERROR(__xludf.DUMMYFUNCTION("""COMPUTED_VALUE"""),1.627161E8)</f>
        <v>162716100</v>
      </c>
      <c r="G1008" s="2">
        <f t="shared" si="1"/>
        <v>110</v>
      </c>
    </row>
    <row r="1009" ht="15.75" customHeight="1">
      <c r="A1009" s="1">
        <f>IFERROR(__xludf.DUMMYFUNCTION("""COMPUTED_VALUE"""),45343.66666666667)</f>
        <v>45343.66667</v>
      </c>
      <c r="B1009" s="2">
        <f>IFERROR(__xludf.DUMMYFUNCTION("""COMPUTED_VALUE"""),1460.0)</f>
        <v>1460</v>
      </c>
      <c r="C1009" s="2">
        <f>IFERROR(__xludf.DUMMYFUNCTION("""COMPUTED_VALUE"""),1485.0)</f>
        <v>1485</v>
      </c>
      <c r="D1009" s="2">
        <f>IFERROR(__xludf.DUMMYFUNCTION("""COMPUTED_VALUE"""),1440.0)</f>
        <v>1440</v>
      </c>
      <c r="E1009" s="2">
        <f>IFERROR(__xludf.DUMMYFUNCTION("""COMPUTED_VALUE"""),1475.0)</f>
        <v>1475</v>
      </c>
      <c r="F1009" s="2">
        <f>IFERROR(__xludf.DUMMYFUNCTION("""COMPUTED_VALUE"""),9.58349E7)</f>
        <v>95834900</v>
      </c>
      <c r="G1009" s="2">
        <f t="shared" si="1"/>
        <v>45</v>
      </c>
    </row>
    <row r="1010" ht="15.75" customHeight="1">
      <c r="A1010" s="1">
        <f>IFERROR(__xludf.DUMMYFUNCTION("""COMPUTED_VALUE"""),45344.66666666667)</f>
        <v>45344.66667</v>
      </c>
      <c r="B1010" s="2">
        <f>IFERROR(__xludf.DUMMYFUNCTION("""COMPUTED_VALUE"""),1480.0)</f>
        <v>1480</v>
      </c>
      <c r="C1010" s="2">
        <f>IFERROR(__xludf.DUMMYFUNCTION("""COMPUTED_VALUE"""),1500.0)</f>
        <v>1500</v>
      </c>
      <c r="D1010" s="2">
        <f>IFERROR(__xludf.DUMMYFUNCTION("""COMPUTED_VALUE"""),1460.0)</f>
        <v>1460</v>
      </c>
      <c r="E1010" s="2">
        <f>IFERROR(__xludf.DUMMYFUNCTION("""COMPUTED_VALUE"""),1485.0)</f>
        <v>1485</v>
      </c>
      <c r="F1010" s="2">
        <f>IFERROR(__xludf.DUMMYFUNCTION("""COMPUTED_VALUE"""),7.96539E7)</f>
        <v>79653900</v>
      </c>
      <c r="G1010" s="2">
        <f t="shared" si="1"/>
        <v>40</v>
      </c>
    </row>
    <row r="1011" ht="15.75" customHeight="1">
      <c r="A1011" s="1">
        <f>IFERROR(__xludf.DUMMYFUNCTION("""COMPUTED_VALUE"""),45345.66666666667)</f>
        <v>45345.66667</v>
      </c>
      <c r="B1011" s="2">
        <f>IFERROR(__xludf.DUMMYFUNCTION("""COMPUTED_VALUE"""),1485.0)</f>
        <v>1485</v>
      </c>
      <c r="C1011" s="2">
        <f>IFERROR(__xludf.DUMMYFUNCTION("""COMPUTED_VALUE"""),1485.0)</f>
        <v>1485</v>
      </c>
      <c r="D1011" s="2">
        <f>IFERROR(__xludf.DUMMYFUNCTION("""COMPUTED_VALUE"""),1420.0)</f>
        <v>1420</v>
      </c>
      <c r="E1011" s="2">
        <f>IFERROR(__xludf.DUMMYFUNCTION("""COMPUTED_VALUE"""),1460.0)</f>
        <v>1460</v>
      </c>
      <c r="F1011" s="2">
        <f>IFERROR(__xludf.DUMMYFUNCTION("""COMPUTED_VALUE"""),8.32499E7)</f>
        <v>83249900</v>
      </c>
      <c r="G1011" s="2">
        <f t="shared" si="1"/>
        <v>65</v>
      </c>
    </row>
    <row r="1012" ht="15.75" customHeight="1">
      <c r="A1012" s="1">
        <f>IFERROR(__xludf.DUMMYFUNCTION("""COMPUTED_VALUE"""),45348.66666666667)</f>
        <v>45348.66667</v>
      </c>
      <c r="B1012" s="2">
        <f>IFERROR(__xludf.DUMMYFUNCTION("""COMPUTED_VALUE"""),1460.0)</f>
        <v>1460</v>
      </c>
      <c r="C1012" s="2">
        <f>IFERROR(__xludf.DUMMYFUNCTION("""COMPUTED_VALUE"""),1465.0)</f>
        <v>1465</v>
      </c>
      <c r="D1012" s="2">
        <f>IFERROR(__xludf.DUMMYFUNCTION("""COMPUTED_VALUE"""),1435.0)</f>
        <v>1435</v>
      </c>
      <c r="E1012" s="2">
        <f>IFERROR(__xludf.DUMMYFUNCTION("""COMPUTED_VALUE"""),1460.0)</f>
        <v>1460</v>
      </c>
      <c r="F1012" s="2">
        <f>IFERROR(__xludf.DUMMYFUNCTION("""COMPUTED_VALUE"""),2.28041E7)</f>
        <v>22804100</v>
      </c>
      <c r="G1012" s="2">
        <f t="shared" si="1"/>
        <v>30</v>
      </c>
    </row>
    <row r="1013" ht="15.75" customHeight="1">
      <c r="A1013" s="1">
        <f>IFERROR(__xludf.DUMMYFUNCTION("""COMPUTED_VALUE"""),45349.66666666667)</f>
        <v>45349.66667</v>
      </c>
      <c r="B1013" s="2">
        <f>IFERROR(__xludf.DUMMYFUNCTION("""COMPUTED_VALUE"""),1455.0)</f>
        <v>1455</v>
      </c>
      <c r="C1013" s="2">
        <f>IFERROR(__xludf.DUMMYFUNCTION("""COMPUTED_VALUE"""),1480.0)</f>
        <v>1480</v>
      </c>
      <c r="D1013" s="2">
        <f>IFERROR(__xludf.DUMMYFUNCTION("""COMPUTED_VALUE"""),1440.0)</f>
        <v>1440</v>
      </c>
      <c r="E1013" s="2">
        <f>IFERROR(__xludf.DUMMYFUNCTION("""COMPUTED_VALUE"""),1450.0)</f>
        <v>1450</v>
      </c>
      <c r="F1013" s="2">
        <f>IFERROR(__xludf.DUMMYFUNCTION("""COMPUTED_VALUE"""),3.163E7)</f>
        <v>31630000</v>
      </c>
      <c r="G1013" s="2">
        <f t="shared" si="1"/>
        <v>40</v>
      </c>
    </row>
    <row r="1014" ht="15.75" customHeight="1">
      <c r="A1014" s="1">
        <f>IFERROR(__xludf.DUMMYFUNCTION("""COMPUTED_VALUE"""),45350.66666666667)</f>
        <v>45350.66667</v>
      </c>
      <c r="B1014" s="2">
        <f>IFERROR(__xludf.DUMMYFUNCTION("""COMPUTED_VALUE"""),1455.0)</f>
        <v>1455</v>
      </c>
      <c r="C1014" s="2">
        <f>IFERROR(__xludf.DUMMYFUNCTION("""COMPUTED_VALUE"""),1465.0)</f>
        <v>1465</v>
      </c>
      <c r="D1014" s="2">
        <f>IFERROR(__xludf.DUMMYFUNCTION("""COMPUTED_VALUE"""),1435.0)</f>
        <v>1435</v>
      </c>
      <c r="E1014" s="2">
        <f>IFERROR(__xludf.DUMMYFUNCTION("""COMPUTED_VALUE"""),1455.0)</f>
        <v>1455</v>
      </c>
      <c r="F1014" s="2">
        <f>IFERROR(__xludf.DUMMYFUNCTION("""COMPUTED_VALUE"""),2.51656E7)</f>
        <v>25165600</v>
      </c>
      <c r="G1014" s="2">
        <f t="shared" si="1"/>
        <v>30</v>
      </c>
    </row>
    <row r="1015" ht="15.75" customHeight="1">
      <c r="A1015" s="1">
        <f>IFERROR(__xludf.DUMMYFUNCTION("""COMPUTED_VALUE"""),45351.66666666667)</f>
        <v>45351.66667</v>
      </c>
      <c r="B1015" s="2">
        <f>IFERROR(__xludf.DUMMYFUNCTION("""COMPUTED_VALUE"""),1455.0)</f>
        <v>1455</v>
      </c>
      <c r="C1015" s="2">
        <f>IFERROR(__xludf.DUMMYFUNCTION("""COMPUTED_VALUE"""),1465.0)</f>
        <v>1465</v>
      </c>
      <c r="D1015" s="2">
        <f>IFERROR(__xludf.DUMMYFUNCTION("""COMPUTED_VALUE"""),1425.0)</f>
        <v>1425</v>
      </c>
      <c r="E1015" s="2">
        <f>IFERROR(__xludf.DUMMYFUNCTION("""COMPUTED_VALUE"""),1430.0)</f>
        <v>1430</v>
      </c>
      <c r="F1015" s="2">
        <f>IFERROR(__xludf.DUMMYFUNCTION("""COMPUTED_VALUE"""),3.11633E7)</f>
        <v>31163300</v>
      </c>
      <c r="G1015" s="2">
        <f t="shared" si="1"/>
        <v>40</v>
      </c>
    </row>
    <row r="1016" ht="15.75" customHeight="1">
      <c r="A1016" s="1">
        <f>IFERROR(__xludf.DUMMYFUNCTION("""COMPUTED_VALUE"""),45352.66666666667)</f>
        <v>45352.66667</v>
      </c>
      <c r="B1016" s="2">
        <f>IFERROR(__xludf.DUMMYFUNCTION("""COMPUTED_VALUE"""),1425.0)</f>
        <v>1425</v>
      </c>
      <c r="C1016" s="2">
        <f>IFERROR(__xludf.DUMMYFUNCTION("""COMPUTED_VALUE"""),1455.0)</f>
        <v>1455</v>
      </c>
      <c r="D1016" s="2">
        <f>IFERROR(__xludf.DUMMYFUNCTION("""COMPUTED_VALUE"""),1420.0)</f>
        <v>1420</v>
      </c>
      <c r="E1016" s="2">
        <f>IFERROR(__xludf.DUMMYFUNCTION("""COMPUTED_VALUE"""),1440.0)</f>
        <v>1440</v>
      </c>
      <c r="F1016" s="2">
        <f>IFERROR(__xludf.DUMMYFUNCTION("""COMPUTED_VALUE"""),3.17582E7)</f>
        <v>31758200</v>
      </c>
      <c r="G1016" s="2">
        <f t="shared" si="1"/>
        <v>35</v>
      </c>
    </row>
    <row r="1017" ht="15.75" customHeight="1">
      <c r="A1017" s="1">
        <f>IFERROR(__xludf.DUMMYFUNCTION("""COMPUTED_VALUE"""),45355.66666666667)</f>
        <v>45355.66667</v>
      </c>
      <c r="B1017" s="2">
        <f>IFERROR(__xludf.DUMMYFUNCTION("""COMPUTED_VALUE"""),1445.0)</f>
        <v>1445</v>
      </c>
      <c r="C1017" s="2">
        <f>IFERROR(__xludf.DUMMYFUNCTION("""COMPUTED_VALUE"""),1445.0)</f>
        <v>1445</v>
      </c>
      <c r="D1017" s="2">
        <f>IFERROR(__xludf.DUMMYFUNCTION("""COMPUTED_VALUE"""),1400.0)</f>
        <v>1400</v>
      </c>
      <c r="E1017" s="2">
        <f>IFERROR(__xludf.DUMMYFUNCTION("""COMPUTED_VALUE"""),1410.0)</f>
        <v>1410</v>
      </c>
      <c r="F1017" s="2">
        <f>IFERROR(__xludf.DUMMYFUNCTION("""COMPUTED_VALUE"""),4.26918E7)</f>
        <v>42691800</v>
      </c>
      <c r="G1017" s="2">
        <f t="shared" si="1"/>
        <v>45</v>
      </c>
    </row>
    <row r="1018" ht="15.75" customHeight="1">
      <c r="A1018" s="1">
        <f>IFERROR(__xludf.DUMMYFUNCTION("""COMPUTED_VALUE"""),45356.66666666667)</f>
        <v>45356.66667</v>
      </c>
      <c r="B1018" s="2">
        <f>IFERROR(__xludf.DUMMYFUNCTION("""COMPUTED_VALUE"""),1410.0)</f>
        <v>1410</v>
      </c>
      <c r="C1018" s="2">
        <f>IFERROR(__xludf.DUMMYFUNCTION("""COMPUTED_VALUE"""),1420.0)</f>
        <v>1420</v>
      </c>
      <c r="D1018" s="2">
        <f>IFERROR(__xludf.DUMMYFUNCTION("""COMPUTED_VALUE"""),1345.0)</f>
        <v>1345</v>
      </c>
      <c r="E1018" s="2">
        <f>IFERROR(__xludf.DUMMYFUNCTION("""COMPUTED_VALUE"""),1350.0)</f>
        <v>1350</v>
      </c>
      <c r="F1018" s="2">
        <f>IFERROR(__xludf.DUMMYFUNCTION("""COMPUTED_VALUE"""),1.116961E8)</f>
        <v>111696100</v>
      </c>
      <c r="G1018" s="2">
        <f t="shared" si="1"/>
        <v>75</v>
      </c>
    </row>
    <row r="1019" ht="15.75" customHeight="1">
      <c r="A1019" s="1">
        <f>IFERROR(__xludf.DUMMYFUNCTION("""COMPUTED_VALUE"""),45357.66666666667)</f>
        <v>45357.66667</v>
      </c>
      <c r="B1019" s="2">
        <f>IFERROR(__xludf.DUMMYFUNCTION("""COMPUTED_VALUE"""),1360.0)</f>
        <v>1360</v>
      </c>
      <c r="C1019" s="2">
        <f>IFERROR(__xludf.DUMMYFUNCTION("""COMPUTED_VALUE"""),1390.0)</f>
        <v>1390</v>
      </c>
      <c r="D1019" s="2">
        <f>IFERROR(__xludf.DUMMYFUNCTION("""COMPUTED_VALUE"""),1355.0)</f>
        <v>1355</v>
      </c>
      <c r="E1019" s="2">
        <f>IFERROR(__xludf.DUMMYFUNCTION("""COMPUTED_VALUE"""),1385.0)</f>
        <v>1385</v>
      </c>
      <c r="F1019" s="2">
        <f>IFERROR(__xludf.DUMMYFUNCTION("""COMPUTED_VALUE"""),4.13123E7)</f>
        <v>41312300</v>
      </c>
      <c r="G1019" s="2">
        <f t="shared" si="1"/>
        <v>40</v>
      </c>
    </row>
    <row r="1020" ht="15.75" customHeight="1">
      <c r="A1020" s="1">
        <f>IFERROR(__xludf.DUMMYFUNCTION("""COMPUTED_VALUE"""),45358.66666666667)</f>
        <v>45358.66667</v>
      </c>
      <c r="B1020" s="2">
        <f>IFERROR(__xludf.DUMMYFUNCTION("""COMPUTED_VALUE"""),1390.0)</f>
        <v>1390</v>
      </c>
      <c r="C1020" s="2">
        <f>IFERROR(__xludf.DUMMYFUNCTION("""COMPUTED_VALUE"""),1390.0)</f>
        <v>1390</v>
      </c>
      <c r="D1020" s="2">
        <f>IFERROR(__xludf.DUMMYFUNCTION("""COMPUTED_VALUE"""),1365.0)</f>
        <v>1365</v>
      </c>
      <c r="E1020" s="2">
        <f>IFERROR(__xludf.DUMMYFUNCTION("""COMPUTED_VALUE"""),1365.0)</f>
        <v>1365</v>
      </c>
      <c r="F1020" s="2">
        <f>IFERROR(__xludf.DUMMYFUNCTION("""COMPUTED_VALUE"""),2.71272E7)</f>
        <v>27127200</v>
      </c>
      <c r="G1020" s="2">
        <f t="shared" si="1"/>
        <v>25</v>
      </c>
    </row>
    <row r="1021" ht="15.75" customHeight="1">
      <c r="A1021" s="1">
        <f>IFERROR(__xludf.DUMMYFUNCTION("""COMPUTED_VALUE"""),45359.66666666667)</f>
        <v>45359.66667</v>
      </c>
      <c r="B1021" s="2">
        <f>IFERROR(__xludf.DUMMYFUNCTION("""COMPUTED_VALUE"""),1370.0)</f>
        <v>1370</v>
      </c>
      <c r="C1021" s="2">
        <f>IFERROR(__xludf.DUMMYFUNCTION("""COMPUTED_VALUE"""),1385.0)</f>
        <v>1385</v>
      </c>
      <c r="D1021" s="2">
        <f>IFERROR(__xludf.DUMMYFUNCTION("""COMPUTED_VALUE"""),1360.0)</f>
        <v>1360</v>
      </c>
      <c r="E1021" s="2">
        <f>IFERROR(__xludf.DUMMYFUNCTION("""COMPUTED_VALUE"""),1380.0)</f>
        <v>1380</v>
      </c>
      <c r="F1021" s="2">
        <f>IFERROR(__xludf.DUMMYFUNCTION("""COMPUTED_VALUE"""),3.10989E7)</f>
        <v>31098900</v>
      </c>
      <c r="G1021" s="2">
        <f t="shared" si="1"/>
        <v>25</v>
      </c>
    </row>
    <row r="1022" ht="15.75" customHeight="1">
      <c r="A1022" s="1">
        <f>IFERROR(__xludf.DUMMYFUNCTION("""COMPUTED_VALUE"""),45364.66666666667)</f>
        <v>45364.66667</v>
      </c>
      <c r="B1022" s="2">
        <f>IFERROR(__xludf.DUMMYFUNCTION("""COMPUTED_VALUE"""),1385.0)</f>
        <v>1385</v>
      </c>
      <c r="C1022" s="2">
        <f>IFERROR(__xludf.DUMMYFUNCTION("""COMPUTED_VALUE"""),1405.0)</f>
        <v>1405</v>
      </c>
      <c r="D1022" s="2">
        <f>IFERROR(__xludf.DUMMYFUNCTION("""COMPUTED_VALUE"""),1365.0)</f>
        <v>1365</v>
      </c>
      <c r="E1022" s="2">
        <f>IFERROR(__xludf.DUMMYFUNCTION("""COMPUTED_VALUE"""),1380.0)</f>
        <v>1380</v>
      </c>
      <c r="F1022" s="2">
        <f>IFERROR(__xludf.DUMMYFUNCTION("""COMPUTED_VALUE"""),3.9976E7)</f>
        <v>39976000</v>
      </c>
      <c r="G1022" s="2">
        <f t="shared" si="1"/>
        <v>40</v>
      </c>
    </row>
    <row r="1023" ht="15.75" customHeight="1">
      <c r="A1023" s="1">
        <f>IFERROR(__xludf.DUMMYFUNCTION("""COMPUTED_VALUE"""),45365.66666666667)</f>
        <v>45365.66667</v>
      </c>
      <c r="B1023" s="2">
        <f>IFERROR(__xludf.DUMMYFUNCTION("""COMPUTED_VALUE"""),1385.0)</f>
        <v>1385</v>
      </c>
      <c r="C1023" s="2">
        <f>IFERROR(__xludf.DUMMYFUNCTION("""COMPUTED_VALUE"""),1430.0)</f>
        <v>1430</v>
      </c>
      <c r="D1023" s="2">
        <f>IFERROR(__xludf.DUMMYFUNCTION("""COMPUTED_VALUE"""),1380.0)</f>
        <v>1380</v>
      </c>
      <c r="E1023" s="2">
        <f>IFERROR(__xludf.DUMMYFUNCTION("""COMPUTED_VALUE"""),1425.0)</f>
        <v>1425</v>
      </c>
      <c r="F1023" s="2">
        <f>IFERROR(__xludf.DUMMYFUNCTION("""COMPUTED_VALUE"""),6.531E7)</f>
        <v>65310000</v>
      </c>
      <c r="G1023" s="2">
        <f t="shared" si="1"/>
        <v>50</v>
      </c>
    </row>
    <row r="1024" ht="15.75" customHeight="1">
      <c r="A1024" s="1">
        <f>IFERROR(__xludf.DUMMYFUNCTION("""COMPUTED_VALUE"""),45366.66666666667)</f>
        <v>45366.66667</v>
      </c>
      <c r="B1024" s="2">
        <f>IFERROR(__xludf.DUMMYFUNCTION("""COMPUTED_VALUE"""),1425.0)</f>
        <v>1425</v>
      </c>
      <c r="C1024" s="2">
        <f>IFERROR(__xludf.DUMMYFUNCTION("""COMPUTED_VALUE"""),1430.0)</f>
        <v>1430</v>
      </c>
      <c r="D1024" s="2">
        <f>IFERROR(__xludf.DUMMYFUNCTION("""COMPUTED_VALUE"""),1395.0)</f>
        <v>1395</v>
      </c>
      <c r="E1024" s="2">
        <f>IFERROR(__xludf.DUMMYFUNCTION("""COMPUTED_VALUE"""),1395.0)</f>
        <v>1395</v>
      </c>
      <c r="F1024" s="2">
        <f>IFERROR(__xludf.DUMMYFUNCTION("""COMPUTED_VALUE"""),6.00841E7)</f>
        <v>60084100</v>
      </c>
      <c r="G1024" s="2">
        <f t="shared" si="1"/>
        <v>35</v>
      </c>
    </row>
    <row r="1025" ht="15.75" customHeight="1">
      <c r="A1025" s="1">
        <f>IFERROR(__xludf.DUMMYFUNCTION("""COMPUTED_VALUE"""),45369.66666666667)</f>
        <v>45369.66667</v>
      </c>
      <c r="B1025" s="2">
        <f>IFERROR(__xludf.DUMMYFUNCTION("""COMPUTED_VALUE"""),1395.0)</f>
        <v>1395</v>
      </c>
      <c r="C1025" s="2">
        <f>IFERROR(__xludf.DUMMYFUNCTION("""COMPUTED_VALUE"""),1400.0)</f>
        <v>1400</v>
      </c>
      <c r="D1025" s="2">
        <f>IFERROR(__xludf.DUMMYFUNCTION("""COMPUTED_VALUE"""),1365.0)</f>
        <v>1365</v>
      </c>
      <c r="E1025" s="2">
        <f>IFERROR(__xludf.DUMMYFUNCTION("""COMPUTED_VALUE"""),1365.0)</f>
        <v>1365</v>
      </c>
      <c r="F1025" s="2">
        <f>IFERROR(__xludf.DUMMYFUNCTION("""COMPUTED_VALUE"""),3.97417E7)</f>
        <v>39741700</v>
      </c>
      <c r="G1025" s="2">
        <f t="shared" si="1"/>
        <v>35</v>
      </c>
    </row>
    <row r="1026" ht="15.75" customHeight="1">
      <c r="A1026" s="1">
        <f>IFERROR(__xludf.DUMMYFUNCTION("""COMPUTED_VALUE"""),45370.66666666667)</f>
        <v>45370.66667</v>
      </c>
      <c r="B1026" s="2">
        <f>IFERROR(__xludf.DUMMYFUNCTION("""COMPUTED_VALUE"""),1330.0)</f>
        <v>1330</v>
      </c>
      <c r="C1026" s="2">
        <f>IFERROR(__xludf.DUMMYFUNCTION("""COMPUTED_VALUE"""),1360.0)</f>
        <v>1360</v>
      </c>
      <c r="D1026" s="2">
        <f>IFERROR(__xludf.DUMMYFUNCTION("""COMPUTED_VALUE"""),1320.0)</f>
        <v>1320</v>
      </c>
      <c r="E1026" s="2">
        <f>IFERROR(__xludf.DUMMYFUNCTION("""COMPUTED_VALUE"""),1345.0)</f>
        <v>1345</v>
      </c>
      <c r="F1026" s="2">
        <f>IFERROR(__xludf.DUMMYFUNCTION("""COMPUTED_VALUE"""),3.08069E7)</f>
        <v>30806900</v>
      </c>
      <c r="G1026" s="2">
        <f t="shared" si="1"/>
        <v>45</v>
      </c>
    </row>
    <row r="1027" ht="15.75" customHeight="1">
      <c r="A1027" s="1">
        <f>IFERROR(__xludf.DUMMYFUNCTION("""COMPUTED_VALUE"""),45371.66666666667)</f>
        <v>45371.66667</v>
      </c>
      <c r="B1027" s="2">
        <f>IFERROR(__xludf.DUMMYFUNCTION("""COMPUTED_VALUE"""),1345.0)</f>
        <v>1345</v>
      </c>
      <c r="C1027" s="2">
        <f>IFERROR(__xludf.DUMMYFUNCTION("""COMPUTED_VALUE"""),1370.0)</f>
        <v>1370</v>
      </c>
      <c r="D1027" s="2">
        <f>IFERROR(__xludf.DUMMYFUNCTION("""COMPUTED_VALUE"""),1335.0)</f>
        <v>1335</v>
      </c>
      <c r="E1027" s="2">
        <f>IFERROR(__xludf.DUMMYFUNCTION("""COMPUTED_VALUE"""),1365.0)</f>
        <v>1365</v>
      </c>
      <c r="F1027" s="2">
        <f>IFERROR(__xludf.DUMMYFUNCTION("""COMPUTED_VALUE"""),2.49446E7)</f>
        <v>24944600</v>
      </c>
      <c r="G1027" s="2">
        <f t="shared" si="1"/>
        <v>35</v>
      </c>
    </row>
    <row r="1028" ht="15.75" customHeight="1">
      <c r="A1028" s="1">
        <f>IFERROR(__xludf.DUMMYFUNCTION("""COMPUTED_VALUE"""),45372.66666666667)</f>
        <v>45372.66667</v>
      </c>
      <c r="B1028" s="2">
        <f>IFERROR(__xludf.DUMMYFUNCTION("""COMPUTED_VALUE"""),1380.0)</f>
        <v>1380</v>
      </c>
      <c r="C1028" s="2">
        <f>IFERROR(__xludf.DUMMYFUNCTION("""COMPUTED_VALUE"""),1460.0)</f>
        <v>1460</v>
      </c>
      <c r="D1028" s="2">
        <f>IFERROR(__xludf.DUMMYFUNCTION("""COMPUTED_VALUE"""),1375.0)</f>
        <v>1375</v>
      </c>
      <c r="E1028" s="2">
        <f>IFERROR(__xludf.DUMMYFUNCTION("""COMPUTED_VALUE"""),1425.0)</f>
        <v>1425</v>
      </c>
      <c r="F1028" s="2">
        <f>IFERROR(__xludf.DUMMYFUNCTION("""COMPUTED_VALUE"""),1.119769E8)</f>
        <v>111976900</v>
      </c>
      <c r="G1028" s="2">
        <f t="shared" si="1"/>
        <v>95</v>
      </c>
    </row>
    <row r="1029" ht="15.75" customHeight="1">
      <c r="A1029" s="1">
        <f>IFERROR(__xludf.DUMMYFUNCTION("""COMPUTED_VALUE"""),45373.66666666667)</f>
        <v>45373.66667</v>
      </c>
      <c r="B1029" s="2">
        <f>IFERROR(__xludf.DUMMYFUNCTION("""COMPUTED_VALUE"""),1425.0)</f>
        <v>1425</v>
      </c>
      <c r="C1029" s="2">
        <f>IFERROR(__xludf.DUMMYFUNCTION("""COMPUTED_VALUE"""),1570.0)</f>
        <v>1570</v>
      </c>
      <c r="D1029" s="2">
        <f>IFERROR(__xludf.DUMMYFUNCTION("""COMPUTED_VALUE"""),1410.0)</f>
        <v>1410</v>
      </c>
      <c r="E1029" s="2">
        <f>IFERROR(__xludf.DUMMYFUNCTION("""COMPUTED_VALUE"""),1560.0)</f>
        <v>1560</v>
      </c>
      <c r="F1029" s="2">
        <f>IFERROR(__xludf.DUMMYFUNCTION("""COMPUTED_VALUE"""),2.186086E8)</f>
        <v>218608600</v>
      </c>
      <c r="G1029" s="2">
        <f t="shared" si="1"/>
        <v>160</v>
      </c>
    </row>
    <row r="1030" ht="15.75" customHeight="1">
      <c r="A1030" s="1">
        <f>IFERROR(__xludf.DUMMYFUNCTION("""COMPUTED_VALUE"""),45376.66666666667)</f>
        <v>45376.66667</v>
      </c>
      <c r="B1030" s="2">
        <f>IFERROR(__xludf.DUMMYFUNCTION("""COMPUTED_VALUE"""),1590.0)</f>
        <v>1590</v>
      </c>
      <c r="C1030" s="2">
        <f>IFERROR(__xludf.DUMMYFUNCTION("""COMPUTED_VALUE"""),1590.0)</f>
        <v>1590</v>
      </c>
      <c r="D1030" s="2">
        <f>IFERROR(__xludf.DUMMYFUNCTION("""COMPUTED_VALUE"""),1520.0)</f>
        <v>1520</v>
      </c>
      <c r="E1030" s="2">
        <f>IFERROR(__xludf.DUMMYFUNCTION("""COMPUTED_VALUE"""),1585.0)</f>
        <v>1585</v>
      </c>
      <c r="F1030" s="2">
        <f>IFERROR(__xludf.DUMMYFUNCTION("""COMPUTED_VALUE"""),9.76199E7)</f>
        <v>97619900</v>
      </c>
      <c r="G1030" s="2">
        <f t="shared" si="1"/>
        <v>70</v>
      </c>
    </row>
    <row r="1031" ht="15.75" customHeight="1">
      <c r="A1031" s="1">
        <f>IFERROR(__xludf.DUMMYFUNCTION("""COMPUTED_VALUE"""),45377.66666666667)</f>
        <v>45377.66667</v>
      </c>
      <c r="B1031" s="2">
        <f>IFERROR(__xludf.DUMMYFUNCTION("""COMPUTED_VALUE"""),1610.0)</f>
        <v>1610</v>
      </c>
      <c r="C1031" s="2">
        <f>IFERROR(__xludf.DUMMYFUNCTION("""COMPUTED_VALUE"""),1610.0)</f>
        <v>1610</v>
      </c>
      <c r="D1031" s="2">
        <f>IFERROR(__xludf.DUMMYFUNCTION("""COMPUTED_VALUE"""),1560.0)</f>
        <v>1560</v>
      </c>
      <c r="E1031" s="2">
        <f>IFERROR(__xludf.DUMMYFUNCTION("""COMPUTED_VALUE"""),1600.0)</f>
        <v>1600</v>
      </c>
      <c r="F1031" s="2">
        <f>IFERROR(__xludf.DUMMYFUNCTION("""COMPUTED_VALUE"""),8.61233E7)</f>
        <v>86123300</v>
      </c>
      <c r="G1031" s="2">
        <f t="shared" si="1"/>
        <v>50</v>
      </c>
    </row>
    <row r="1032" ht="15.75" customHeight="1">
      <c r="A1032" s="1">
        <f>IFERROR(__xludf.DUMMYFUNCTION("""COMPUTED_VALUE"""),45378.66666666667)</f>
        <v>45378.66667</v>
      </c>
      <c r="B1032" s="2">
        <f>IFERROR(__xludf.DUMMYFUNCTION("""COMPUTED_VALUE"""),1590.0)</f>
        <v>1590</v>
      </c>
      <c r="C1032" s="2">
        <f>IFERROR(__xludf.DUMMYFUNCTION("""COMPUTED_VALUE"""),1610.0)</f>
        <v>1610</v>
      </c>
      <c r="D1032" s="2">
        <f>IFERROR(__xludf.DUMMYFUNCTION("""COMPUTED_VALUE"""),1570.0)</f>
        <v>1570</v>
      </c>
      <c r="E1032" s="2">
        <f>IFERROR(__xludf.DUMMYFUNCTION("""COMPUTED_VALUE"""),1595.0)</f>
        <v>1595</v>
      </c>
      <c r="F1032" s="2">
        <f>IFERROR(__xludf.DUMMYFUNCTION("""COMPUTED_VALUE"""),5.603E7)</f>
        <v>56030000</v>
      </c>
      <c r="G1032" s="2">
        <f t="shared" si="1"/>
        <v>40</v>
      </c>
    </row>
    <row r="1033" ht="15.75" customHeight="1">
      <c r="A1033" s="1">
        <f>IFERROR(__xludf.DUMMYFUNCTION("""COMPUTED_VALUE"""),45379.66666666667)</f>
        <v>45379.66667</v>
      </c>
      <c r="B1033" s="2">
        <f>IFERROR(__xludf.DUMMYFUNCTION("""COMPUTED_VALUE"""),1595.0)</f>
        <v>1595</v>
      </c>
      <c r="C1033" s="2">
        <f>IFERROR(__xludf.DUMMYFUNCTION("""COMPUTED_VALUE"""),1595.0)</f>
        <v>1595</v>
      </c>
      <c r="D1033" s="2">
        <f>IFERROR(__xludf.DUMMYFUNCTION("""COMPUTED_VALUE"""),1535.0)</f>
        <v>1535</v>
      </c>
      <c r="E1033" s="2">
        <f>IFERROR(__xludf.DUMMYFUNCTION("""COMPUTED_VALUE"""),1555.0)</f>
        <v>1555</v>
      </c>
      <c r="F1033" s="2">
        <f>IFERROR(__xludf.DUMMYFUNCTION("""COMPUTED_VALUE"""),4.32782E7)</f>
        <v>43278200</v>
      </c>
      <c r="G1033" s="2">
        <f t="shared" si="1"/>
        <v>60</v>
      </c>
    </row>
    <row r="1034" ht="15.75" customHeight="1">
      <c r="A1034" s="1">
        <f>IFERROR(__xludf.DUMMYFUNCTION("""COMPUTED_VALUE"""),45383.66666666667)</f>
        <v>45383.66667</v>
      </c>
      <c r="B1034" s="2">
        <f>IFERROR(__xludf.DUMMYFUNCTION("""COMPUTED_VALUE"""),1555.0)</f>
        <v>1555</v>
      </c>
      <c r="C1034" s="2">
        <f>IFERROR(__xludf.DUMMYFUNCTION("""COMPUTED_VALUE"""),1555.0)</f>
        <v>1555</v>
      </c>
      <c r="D1034" s="2">
        <f>IFERROR(__xludf.DUMMYFUNCTION("""COMPUTED_VALUE"""),1435.0)</f>
        <v>1435</v>
      </c>
      <c r="E1034" s="2">
        <f>IFERROR(__xludf.DUMMYFUNCTION("""COMPUTED_VALUE"""),1490.0)</f>
        <v>1490</v>
      </c>
      <c r="F1034" s="2">
        <f>IFERROR(__xludf.DUMMYFUNCTION("""COMPUTED_VALUE"""),1.388197E8)</f>
        <v>138819700</v>
      </c>
      <c r="G1034" s="2">
        <f t="shared" si="1"/>
        <v>120</v>
      </c>
    </row>
    <row r="1035" ht="15.75" customHeight="1">
      <c r="A1035" s="1">
        <f>IFERROR(__xludf.DUMMYFUNCTION("""COMPUTED_VALUE"""),45384.66666666667)</f>
        <v>45384.66667</v>
      </c>
      <c r="B1035" s="2">
        <f>IFERROR(__xludf.DUMMYFUNCTION("""COMPUTED_VALUE"""),1490.0)</f>
        <v>1490</v>
      </c>
      <c r="C1035" s="2">
        <f>IFERROR(__xludf.DUMMYFUNCTION("""COMPUTED_VALUE"""),1500.0)</f>
        <v>1500</v>
      </c>
      <c r="D1035" s="2">
        <f>IFERROR(__xludf.DUMMYFUNCTION("""COMPUTED_VALUE"""),1430.0)</f>
        <v>1430</v>
      </c>
      <c r="E1035" s="2">
        <f>IFERROR(__xludf.DUMMYFUNCTION("""COMPUTED_VALUE"""),1475.0)</f>
        <v>1475</v>
      </c>
      <c r="F1035" s="2">
        <f>IFERROR(__xludf.DUMMYFUNCTION("""COMPUTED_VALUE"""),9.98657E7)</f>
        <v>99865700</v>
      </c>
      <c r="G1035" s="2">
        <f t="shared" si="1"/>
        <v>70</v>
      </c>
    </row>
    <row r="1036" ht="15.75" customHeight="1">
      <c r="A1036" s="1">
        <f>IFERROR(__xludf.DUMMYFUNCTION("""COMPUTED_VALUE"""),45385.66666666667)</f>
        <v>45385.66667</v>
      </c>
      <c r="B1036" s="2">
        <f>IFERROR(__xludf.DUMMYFUNCTION("""COMPUTED_VALUE"""),1470.0)</f>
        <v>1470</v>
      </c>
      <c r="C1036" s="2">
        <f>IFERROR(__xludf.DUMMYFUNCTION("""COMPUTED_VALUE"""),1475.0)</f>
        <v>1475</v>
      </c>
      <c r="D1036" s="2">
        <f>IFERROR(__xludf.DUMMYFUNCTION("""COMPUTED_VALUE"""),1450.0)</f>
        <v>1450</v>
      </c>
      <c r="E1036" s="2">
        <f>IFERROR(__xludf.DUMMYFUNCTION("""COMPUTED_VALUE"""),1465.0)</f>
        <v>1465</v>
      </c>
      <c r="F1036" s="2">
        <f>IFERROR(__xludf.DUMMYFUNCTION("""COMPUTED_VALUE"""),3.66825E7)</f>
        <v>36682500</v>
      </c>
      <c r="G1036" s="2">
        <f t="shared" si="1"/>
        <v>25</v>
      </c>
    </row>
    <row r="1037" ht="15.75" customHeight="1">
      <c r="A1037" s="1">
        <f>IFERROR(__xludf.DUMMYFUNCTION("""COMPUTED_VALUE"""),45386.66666666667)</f>
        <v>45386.66667</v>
      </c>
      <c r="B1037" s="2">
        <f>IFERROR(__xludf.DUMMYFUNCTION("""COMPUTED_VALUE"""),1465.0)</f>
        <v>1465</v>
      </c>
      <c r="C1037" s="2">
        <f>IFERROR(__xludf.DUMMYFUNCTION("""COMPUTED_VALUE"""),1530.0)</f>
        <v>1530</v>
      </c>
      <c r="D1037" s="2">
        <f>IFERROR(__xludf.DUMMYFUNCTION("""COMPUTED_VALUE"""),1460.0)</f>
        <v>1460</v>
      </c>
      <c r="E1037" s="2">
        <f>IFERROR(__xludf.DUMMYFUNCTION("""COMPUTED_VALUE"""),1515.0)</f>
        <v>1515</v>
      </c>
      <c r="F1037" s="2">
        <f>IFERROR(__xludf.DUMMYFUNCTION("""COMPUTED_VALUE"""),6.651E7)</f>
        <v>66510000</v>
      </c>
      <c r="G1037" s="2">
        <f t="shared" si="1"/>
        <v>70</v>
      </c>
    </row>
    <row r="1038" ht="15.75" customHeight="1">
      <c r="A1038" s="1">
        <f>IFERROR(__xludf.DUMMYFUNCTION("""COMPUTED_VALUE"""),45387.66666666667)</f>
        <v>45387.66667</v>
      </c>
      <c r="B1038" s="2">
        <f>IFERROR(__xludf.DUMMYFUNCTION("""COMPUTED_VALUE"""),1515.0)</f>
        <v>1515</v>
      </c>
      <c r="C1038" s="2">
        <f>IFERROR(__xludf.DUMMYFUNCTION("""COMPUTED_VALUE"""),1525.0)</f>
        <v>1525</v>
      </c>
      <c r="D1038" s="2">
        <f>IFERROR(__xludf.DUMMYFUNCTION("""COMPUTED_VALUE"""),1495.0)</f>
        <v>1495</v>
      </c>
      <c r="E1038" s="2">
        <f>IFERROR(__xludf.DUMMYFUNCTION("""COMPUTED_VALUE"""),1500.0)</f>
        <v>1500</v>
      </c>
      <c r="F1038" s="2">
        <f>IFERROR(__xludf.DUMMYFUNCTION("""COMPUTED_VALUE"""),2.69061E7)</f>
        <v>26906100</v>
      </c>
      <c r="G1038" s="2">
        <f t="shared" si="1"/>
        <v>30</v>
      </c>
    </row>
    <row r="1039" ht="15.75" customHeight="1">
      <c r="A1039" s="1">
        <f>IFERROR(__xludf.DUMMYFUNCTION("""COMPUTED_VALUE"""),45398.66666666667)</f>
        <v>45398.66667</v>
      </c>
      <c r="B1039" s="2">
        <f>IFERROR(__xludf.DUMMYFUNCTION("""COMPUTED_VALUE"""),1445.0)</f>
        <v>1445</v>
      </c>
      <c r="C1039" s="2">
        <f>IFERROR(__xludf.DUMMYFUNCTION("""COMPUTED_VALUE"""),1470.0)</f>
        <v>1470</v>
      </c>
      <c r="D1039" s="2">
        <f>IFERROR(__xludf.DUMMYFUNCTION("""COMPUTED_VALUE"""),1390.0)</f>
        <v>1390</v>
      </c>
      <c r="E1039" s="2">
        <f>IFERROR(__xludf.DUMMYFUNCTION("""COMPUTED_VALUE"""),1400.0)</f>
        <v>1400</v>
      </c>
      <c r="F1039" s="2">
        <f>IFERROR(__xludf.DUMMYFUNCTION("""COMPUTED_VALUE"""),1.147165E8)</f>
        <v>114716500</v>
      </c>
      <c r="G1039" s="2">
        <f t="shared" si="1"/>
        <v>110</v>
      </c>
    </row>
    <row r="1040" ht="15.75" customHeight="1">
      <c r="A1040" s="1">
        <f>IFERROR(__xludf.DUMMYFUNCTION("""COMPUTED_VALUE"""),45399.66666666667)</f>
        <v>45399.66667</v>
      </c>
      <c r="B1040" s="2">
        <f>IFERROR(__xludf.DUMMYFUNCTION("""COMPUTED_VALUE"""),1405.0)</f>
        <v>1405</v>
      </c>
      <c r="C1040" s="2">
        <f>IFERROR(__xludf.DUMMYFUNCTION("""COMPUTED_VALUE"""),1425.0)</f>
        <v>1425</v>
      </c>
      <c r="D1040" s="2">
        <f>IFERROR(__xludf.DUMMYFUNCTION("""COMPUTED_VALUE"""),1365.0)</f>
        <v>1365</v>
      </c>
      <c r="E1040" s="2">
        <f>IFERROR(__xludf.DUMMYFUNCTION("""COMPUTED_VALUE"""),1375.0)</f>
        <v>1375</v>
      </c>
      <c r="F1040" s="2">
        <f>IFERROR(__xludf.DUMMYFUNCTION("""COMPUTED_VALUE"""),6.71152E7)</f>
        <v>67115200</v>
      </c>
      <c r="G1040" s="2">
        <f t="shared" si="1"/>
        <v>60</v>
      </c>
    </row>
    <row r="1041" ht="15.75" customHeight="1">
      <c r="A1041" s="1">
        <f>IFERROR(__xludf.DUMMYFUNCTION("""COMPUTED_VALUE"""),45400.66666666667)</f>
        <v>45400.66667</v>
      </c>
      <c r="B1041" s="2">
        <f>IFERROR(__xludf.DUMMYFUNCTION("""COMPUTED_VALUE"""),1385.0)</f>
        <v>1385</v>
      </c>
      <c r="C1041" s="2">
        <f>IFERROR(__xludf.DUMMYFUNCTION("""COMPUTED_VALUE"""),1420.0)</f>
        <v>1420</v>
      </c>
      <c r="D1041" s="2">
        <f>IFERROR(__xludf.DUMMYFUNCTION("""COMPUTED_VALUE"""),1380.0)</f>
        <v>1380</v>
      </c>
      <c r="E1041" s="2">
        <f>IFERROR(__xludf.DUMMYFUNCTION("""COMPUTED_VALUE"""),1420.0)</f>
        <v>1420</v>
      </c>
      <c r="F1041" s="2">
        <f>IFERROR(__xludf.DUMMYFUNCTION("""COMPUTED_VALUE"""),4.14958E7)</f>
        <v>41495800</v>
      </c>
      <c r="G1041" s="2">
        <f t="shared" si="1"/>
        <v>45</v>
      </c>
    </row>
    <row r="1042" ht="15.75" customHeight="1">
      <c r="A1042" s="1">
        <f>IFERROR(__xludf.DUMMYFUNCTION("""COMPUTED_VALUE"""),45401.66666666667)</f>
        <v>45401.66667</v>
      </c>
      <c r="B1042" s="2">
        <f>IFERROR(__xludf.DUMMYFUNCTION("""COMPUTED_VALUE"""),1400.0)</f>
        <v>1400</v>
      </c>
      <c r="C1042" s="2">
        <f>IFERROR(__xludf.DUMMYFUNCTION("""COMPUTED_VALUE"""),1400.0)</f>
        <v>1400</v>
      </c>
      <c r="D1042" s="2">
        <f>IFERROR(__xludf.DUMMYFUNCTION("""COMPUTED_VALUE"""),1350.0)</f>
        <v>1350</v>
      </c>
      <c r="E1042" s="2">
        <f>IFERROR(__xludf.DUMMYFUNCTION("""COMPUTED_VALUE"""),1375.0)</f>
        <v>1375</v>
      </c>
      <c r="F1042" s="2">
        <f>IFERROR(__xludf.DUMMYFUNCTION("""COMPUTED_VALUE"""),5.09465E7)</f>
        <v>50946500</v>
      </c>
      <c r="G1042" s="2">
        <f t="shared" si="1"/>
        <v>70</v>
      </c>
    </row>
    <row r="1043" ht="15.75" customHeight="1">
      <c r="A1043" s="1">
        <f>IFERROR(__xludf.DUMMYFUNCTION("""COMPUTED_VALUE"""),45404.66666666667)</f>
        <v>45404.66667</v>
      </c>
      <c r="B1043" s="2">
        <f>IFERROR(__xludf.DUMMYFUNCTION("""COMPUTED_VALUE"""),1380.0)</f>
        <v>1380</v>
      </c>
      <c r="C1043" s="2">
        <f>IFERROR(__xludf.DUMMYFUNCTION("""COMPUTED_VALUE"""),1390.0)</f>
        <v>1390</v>
      </c>
      <c r="D1043" s="2">
        <f>IFERROR(__xludf.DUMMYFUNCTION("""COMPUTED_VALUE"""),1330.0)</f>
        <v>1330</v>
      </c>
      <c r="E1043" s="2">
        <f>IFERROR(__xludf.DUMMYFUNCTION("""COMPUTED_VALUE"""),1360.0)</f>
        <v>1360</v>
      </c>
      <c r="F1043" s="2">
        <f>IFERROR(__xludf.DUMMYFUNCTION("""COMPUTED_VALUE"""),3.63926E7)</f>
        <v>36392600</v>
      </c>
      <c r="G1043" s="2">
        <f t="shared" si="1"/>
        <v>60</v>
      </c>
    </row>
    <row r="1044" ht="15.75" customHeight="1">
      <c r="A1044" s="1">
        <f>IFERROR(__xludf.DUMMYFUNCTION("""COMPUTED_VALUE"""),45405.66666666667)</f>
        <v>45405.66667</v>
      </c>
      <c r="B1044" s="2">
        <f>IFERROR(__xludf.DUMMYFUNCTION("""COMPUTED_VALUE"""),1370.0)</f>
        <v>1370</v>
      </c>
      <c r="C1044" s="2">
        <f>IFERROR(__xludf.DUMMYFUNCTION("""COMPUTED_VALUE"""),1395.0)</f>
        <v>1395</v>
      </c>
      <c r="D1044" s="2">
        <f>IFERROR(__xludf.DUMMYFUNCTION("""COMPUTED_VALUE"""),1355.0)</f>
        <v>1355</v>
      </c>
      <c r="E1044" s="2">
        <f>IFERROR(__xludf.DUMMYFUNCTION("""COMPUTED_VALUE"""),1370.0)</f>
        <v>1370</v>
      </c>
      <c r="F1044" s="2">
        <f>IFERROR(__xludf.DUMMYFUNCTION("""COMPUTED_VALUE"""),2.94411E7)</f>
        <v>29441100</v>
      </c>
      <c r="G1044" s="2">
        <f t="shared" si="1"/>
        <v>40</v>
      </c>
    </row>
    <row r="1045" ht="15.75" customHeight="1">
      <c r="A1045" s="1">
        <f>IFERROR(__xludf.DUMMYFUNCTION("""COMPUTED_VALUE"""),45406.66666666667)</f>
        <v>45406.66667</v>
      </c>
      <c r="B1045" s="2">
        <f>IFERROR(__xludf.DUMMYFUNCTION("""COMPUTED_VALUE"""),1380.0)</f>
        <v>1380</v>
      </c>
      <c r="C1045" s="2">
        <f>IFERROR(__xludf.DUMMYFUNCTION("""COMPUTED_VALUE"""),1415.0)</f>
        <v>1415</v>
      </c>
      <c r="D1045" s="2">
        <f>IFERROR(__xludf.DUMMYFUNCTION("""COMPUTED_VALUE"""),1370.0)</f>
        <v>1370</v>
      </c>
      <c r="E1045" s="2">
        <f>IFERROR(__xludf.DUMMYFUNCTION("""COMPUTED_VALUE"""),1375.0)</f>
        <v>1375</v>
      </c>
      <c r="F1045" s="2">
        <f>IFERROR(__xludf.DUMMYFUNCTION("""COMPUTED_VALUE"""),5.51403E7)</f>
        <v>55140300</v>
      </c>
      <c r="G1045" s="2">
        <f t="shared" si="1"/>
        <v>45</v>
      </c>
    </row>
    <row r="1046" ht="15.75" customHeight="1">
      <c r="A1046" s="1">
        <f>IFERROR(__xludf.DUMMYFUNCTION("""COMPUTED_VALUE"""),45407.66666666667)</f>
        <v>45407.66667</v>
      </c>
      <c r="B1046" s="2">
        <f>IFERROR(__xludf.DUMMYFUNCTION("""COMPUTED_VALUE"""),1375.0)</f>
        <v>1375</v>
      </c>
      <c r="C1046" s="2">
        <f>IFERROR(__xludf.DUMMYFUNCTION("""COMPUTED_VALUE"""),1375.0)</f>
        <v>1375</v>
      </c>
      <c r="D1046" s="2">
        <f>IFERROR(__xludf.DUMMYFUNCTION("""COMPUTED_VALUE"""),1340.0)</f>
        <v>1340</v>
      </c>
      <c r="E1046" s="2">
        <f>IFERROR(__xludf.DUMMYFUNCTION("""COMPUTED_VALUE"""),1350.0)</f>
        <v>1350</v>
      </c>
      <c r="F1046" s="2">
        <f>IFERROR(__xludf.DUMMYFUNCTION("""COMPUTED_VALUE"""),2.96929E7)</f>
        <v>29692900</v>
      </c>
      <c r="G1046" s="2">
        <f t="shared" si="1"/>
        <v>35</v>
      </c>
    </row>
    <row r="1047" ht="15.75" customHeight="1">
      <c r="A1047" s="1">
        <f>IFERROR(__xludf.DUMMYFUNCTION("""COMPUTED_VALUE"""),45408.66666666667)</f>
        <v>45408.66667</v>
      </c>
      <c r="B1047" s="2">
        <f>IFERROR(__xludf.DUMMYFUNCTION("""COMPUTED_VALUE"""),1360.0)</f>
        <v>1360</v>
      </c>
      <c r="C1047" s="2">
        <f>IFERROR(__xludf.DUMMYFUNCTION("""COMPUTED_VALUE"""),1365.0)</f>
        <v>1365</v>
      </c>
      <c r="D1047" s="2">
        <f>IFERROR(__xludf.DUMMYFUNCTION("""COMPUTED_VALUE"""),1280.0)</f>
        <v>1280</v>
      </c>
      <c r="E1047" s="2">
        <f>IFERROR(__xludf.DUMMYFUNCTION("""COMPUTED_VALUE"""),1290.0)</f>
        <v>1290</v>
      </c>
      <c r="F1047" s="2">
        <f>IFERROR(__xludf.DUMMYFUNCTION("""COMPUTED_VALUE"""),8.53023E7)</f>
        <v>85302300</v>
      </c>
      <c r="G1047" s="2">
        <f t="shared" si="1"/>
        <v>85</v>
      </c>
    </row>
    <row r="1048" ht="15.75" customHeight="1">
      <c r="A1048" s="1">
        <f>IFERROR(__xludf.DUMMYFUNCTION("""COMPUTED_VALUE"""),45411.66666666667)</f>
        <v>45411.66667</v>
      </c>
      <c r="B1048" s="2">
        <f>IFERROR(__xludf.DUMMYFUNCTION("""COMPUTED_VALUE"""),1285.0)</f>
        <v>1285</v>
      </c>
      <c r="C1048" s="2">
        <f>IFERROR(__xludf.DUMMYFUNCTION("""COMPUTED_VALUE"""),1310.0)</f>
        <v>1310</v>
      </c>
      <c r="D1048" s="2">
        <f>IFERROR(__xludf.DUMMYFUNCTION("""COMPUTED_VALUE"""),1265.0)</f>
        <v>1265</v>
      </c>
      <c r="E1048" s="2">
        <f>IFERROR(__xludf.DUMMYFUNCTION("""COMPUTED_VALUE"""),1310.0)</f>
        <v>1310</v>
      </c>
      <c r="F1048" s="2">
        <f>IFERROR(__xludf.DUMMYFUNCTION("""COMPUTED_VALUE"""),4.98913E7)</f>
        <v>49891300</v>
      </c>
      <c r="G1048" s="2">
        <f t="shared" si="1"/>
        <v>45</v>
      </c>
    </row>
    <row r="1049" ht="15.75" customHeight="1">
      <c r="A1049" s="1">
        <f>IFERROR(__xludf.DUMMYFUNCTION("""COMPUTED_VALUE"""),45412.66666666667)</f>
        <v>45412.66667</v>
      </c>
      <c r="B1049" s="2">
        <f>IFERROR(__xludf.DUMMYFUNCTION("""COMPUTED_VALUE"""),1310.0)</f>
        <v>1310</v>
      </c>
      <c r="C1049" s="2">
        <f>IFERROR(__xludf.DUMMYFUNCTION("""COMPUTED_VALUE"""),1340.0)</f>
        <v>1340</v>
      </c>
      <c r="D1049" s="2">
        <f>IFERROR(__xludf.DUMMYFUNCTION("""COMPUTED_VALUE"""),1295.0)</f>
        <v>1295</v>
      </c>
      <c r="E1049" s="2">
        <f>IFERROR(__xludf.DUMMYFUNCTION("""COMPUTED_VALUE"""),1320.0)</f>
        <v>1320</v>
      </c>
      <c r="F1049" s="2">
        <f>IFERROR(__xludf.DUMMYFUNCTION("""COMPUTED_VALUE"""),3.32275E7)</f>
        <v>33227500</v>
      </c>
      <c r="G1049" s="2">
        <f t="shared" si="1"/>
        <v>45</v>
      </c>
    </row>
    <row r="1050" ht="15.75" customHeight="1">
      <c r="A1050" s="1">
        <f>IFERROR(__xludf.DUMMYFUNCTION("""COMPUTED_VALUE"""),45414.66666666667)</f>
        <v>45414.66667</v>
      </c>
      <c r="B1050" s="2">
        <f>IFERROR(__xludf.DUMMYFUNCTION("""COMPUTED_VALUE"""),1305.0)</f>
        <v>1305</v>
      </c>
      <c r="C1050" s="2">
        <f>IFERROR(__xludf.DUMMYFUNCTION("""COMPUTED_VALUE"""),1310.0)</f>
        <v>1310</v>
      </c>
      <c r="D1050" s="2">
        <f>IFERROR(__xludf.DUMMYFUNCTION("""COMPUTED_VALUE"""),1265.0)</f>
        <v>1265</v>
      </c>
      <c r="E1050" s="2">
        <f>IFERROR(__xludf.DUMMYFUNCTION("""COMPUTED_VALUE"""),1280.0)</f>
        <v>1280</v>
      </c>
      <c r="F1050" s="2">
        <f>IFERROR(__xludf.DUMMYFUNCTION("""COMPUTED_VALUE"""),2.82203E7)</f>
        <v>28220300</v>
      </c>
      <c r="G1050" s="2">
        <f t="shared" si="1"/>
        <v>55</v>
      </c>
    </row>
    <row r="1051" ht="15.75" customHeight="1">
      <c r="A1051" s="1">
        <f>IFERROR(__xludf.DUMMYFUNCTION("""COMPUTED_VALUE"""),45415.66666666667)</f>
        <v>45415.66667</v>
      </c>
      <c r="B1051" s="2">
        <f>IFERROR(__xludf.DUMMYFUNCTION("""COMPUTED_VALUE"""),1280.0)</f>
        <v>1280</v>
      </c>
      <c r="C1051" s="2">
        <f>IFERROR(__xludf.DUMMYFUNCTION("""COMPUTED_VALUE"""),1290.0)</f>
        <v>1290</v>
      </c>
      <c r="D1051" s="2">
        <f>IFERROR(__xludf.DUMMYFUNCTION("""COMPUTED_VALUE"""),1260.0)</f>
        <v>1260</v>
      </c>
      <c r="E1051" s="2">
        <f>IFERROR(__xludf.DUMMYFUNCTION("""COMPUTED_VALUE"""),1265.0)</f>
        <v>1265</v>
      </c>
      <c r="F1051" s="2">
        <f>IFERROR(__xludf.DUMMYFUNCTION("""COMPUTED_VALUE"""),2.00744E7)</f>
        <v>20074400</v>
      </c>
      <c r="G1051" s="2">
        <f t="shared" si="1"/>
        <v>30</v>
      </c>
    </row>
    <row r="1052" ht="15.75" customHeight="1">
      <c r="A1052" s="1">
        <f>IFERROR(__xludf.DUMMYFUNCTION("""COMPUTED_VALUE"""),45418.66666666667)</f>
        <v>45418.66667</v>
      </c>
      <c r="B1052" s="2">
        <f>IFERROR(__xludf.DUMMYFUNCTION("""COMPUTED_VALUE"""),1280.0)</f>
        <v>1280</v>
      </c>
      <c r="C1052" s="2">
        <f>IFERROR(__xludf.DUMMYFUNCTION("""COMPUTED_VALUE"""),1300.0)</f>
        <v>1300</v>
      </c>
      <c r="D1052" s="2">
        <f>IFERROR(__xludf.DUMMYFUNCTION("""COMPUTED_VALUE"""),1270.0)</f>
        <v>1270</v>
      </c>
      <c r="E1052" s="2">
        <f>IFERROR(__xludf.DUMMYFUNCTION("""COMPUTED_VALUE"""),1290.0)</f>
        <v>1290</v>
      </c>
      <c r="F1052" s="2">
        <f>IFERROR(__xludf.DUMMYFUNCTION("""COMPUTED_VALUE"""),2.35474E7)</f>
        <v>23547400</v>
      </c>
      <c r="G1052" s="2">
        <f t="shared" si="1"/>
        <v>35</v>
      </c>
    </row>
    <row r="1053" ht="15.75" customHeight="1">
      <c r="A1053" s="1">
        <f>IFERROR(__xludf.DUMMYFUNCTION("""COMPUTED_VALUE"""),45419.66666666667)</f>
        <v>45419.66667</v>
      </c>
      <c r="B1053" s="2">
        <f>IFERROR(__xludf.DUMMYFUNCTION("""COMPUTED_VALUE"""),1285.0)</f>
        <v>1285</v>
      </c>
      <c r="C1053" s="2">
        <f>IFERROR(__xludf.DUMMYFUNCTION("""COMPUTED_VALUE"""),1295.0)</f>
        <v>1295</v>
      </c>
      <c r="D1053" s="2">
        <f>IFERROR(__xludf.DUMMYFUNCTION("""COMPUTED_VALUE"""),1265.0)</f>
        <v>1265</v>
      </c>
      <c r="E1053" s="2">
        <f>IFERROR(__xludf.DUMMYFUNCTION("""COMPUTED_VALUE"""),1270.0)</f>
        <v>1270</v>
      </c>
      <c r="F1053" s="2">
        <f>IFERROR(__xludf.DUMMYFUNCTION("""COMPUTED_VALUE"""),1.52208E7)</f>
        <v>15220800</v>
      </c>
      <c r="G1053" s="2">
        <f t="shared" si="1"/>
        <v>30</v>
      </c>
    </row>
    <row r="1054" ht="15.75" customHeight="1">
      <c r="A1054" s="1">
        <f>IFERROR(__xludf.DUMMYFUNCTION("""COMPUTED_VALUE"""),45420.66666666667)</f>
        <v>45420.66667</v>
      </c>
      <c r="B1054" s="2">
        <f>IFERROR(__xludf.DUMMYFUNCTION("""COMPUTED_VALUE"""),1270.0)</f>
        <v>1270</v>
      </c>
      <c r="C1054" s="2">
        <f>IFERROR(__xludf.DUMMYFUNCTION("""COMPUTED_VALUE"""),1280.0)</f>
        <v>1280</v>
      </c>
      <c r="D1054" s="2">
        <f>IFERROR(__xludf.DUMMYFUNCTION("""COMPUTED_VALUE"""),1220.0)</f>
        <v>1220</v>
      </c>
      <c r="E1054" s="2">
        <f>IFERROR(__xludf.DUMMYFUNCTION("""COMPUTED_VALUE"""),1225.0)</f>
        <v>1225</v>
      </c>
      <c r="F1054" s="2">
        <f>IFERROR(__xludf.DUMMYFUNCTION("""COMPUTED_VALUE"""),5.21193E7)</f>
        <v>52119300</v>
      </c>
      <c r="G1054" s="2">
        <f t="shared" si="1"/>
        <v>60</v>
      </c>
    </row>
    <row r="1055" ht="15.75" customHeight="1">
      <c r="A1055" s="1">
        <f>IFERROR(__xludf.DUMMYFUNCTION("""COMPUTED_VALUE"""),45425.66666666667)</f>
        <v>45425.66667</v>
      </c>
      <c r="B1055" s="2">
        <f>IFERROR(__xludf.DUMMYFUNCTION("""COMPUTED_VALUE"""),1220.0)</f>
        <v>1220</v>
      </c>
      <c r="C1055" s="2">
        <f>IFERROR(__xludf.DUMMYFUNCTION("""COMPUTED_VALUE"""),1250.0)</f>
        <v>1250</v>
      </c>
      <c r="D1055" s="2">
        <f>IFERROR(__xludf.DUMMYFUNCTION("""COMPUTED_VALUE"""),1215.0)</f>
        <v>1215</v>
      </c>
      <c r="E1055" s="2">
        <f>IFERROR(__xludf.DUMMYFUNCTION("""COMPUTED_VALUE"""),1240.0)</f>
        <v>1240</v>
      </c>
      <c r="F1055" s="2">
        <f>IFERROR(__xludf.DUMMYFUNCTION("""COMPUTED_VALUE"""),2.76808E7)</f>
        <v>27680800</v>
      </c>
      <c r="G1055" s="2">
        <f t="shared" si="1"/>
        <v>35</v>
      </c>
    </row>
    <row r="1056" ht="15.75" customHeight="1">
      <c r="A1056" s="1">
        <f>IFERROR(__xludf.DUMMYFUNCTION("""COMPUTED_VALUE"""),45426.66666666667)</f>
        <v>45426.66667</v>
      </c>
      <c r="B1056" s="2">
        <f>IFERROR(__xludf.DUMMYFUNCTION("""COMPUTED_VALUE"""),1245.0)</f>
        <v>1245</v>
      </c>
      <c r="C1056" s="2">
        <f>IFERROR(__xludf.DUMMYFUNCTION("""COMPUTED_VALUE"""),1260.0)</f>
        <v>1260</v>
      </c>
      <c r="D1056" s="2">
        <f>IFERROR(__xludf.DUMMYFUNCTION("""COMPUTED_VALUE"""),1230.0)</f>
        <v>1230</v>
      </c>
      <c r="E1056" s="2">
        <f>IFERROR(__xludf.DUMMYFUNCTION("""COMPUTED_VALUE"""),1240.0)</f>
        <v>1240</v>
      </c>
      <c r="F1056" s="2">
        <f>IFERROR(__xludf.DUMMYFUNCTION("""COMPUTED_VALUE"""),1.93974E7)</f>
        <v>19397400</v>
      </c>
      <c r="G1056" s="2">
        <f t="shared" si="1"/>
        <v>30</v>
      </c>
    </row>
    <row r="1057" ht="15.75" customHeight="1">
      <c r="A1057" s="1">
        <f>IFERROR(__xludf.DUMMYFUNCTION("""COMPUTED_VALUE"""),45427.66666666667)</f>
        <v>45427.66667</v>
      </c>
      <c r="B1057" s="2">
        <f>IFERROR(__xludf.DUMMYFUNCTION("""COMPUTED_VALUE"""),1240.0)</f>
        <v>1240</v>
      </c>
      <c r="C1057" s="2">
        <f>IFERROR(__xludf.DUMMYFUNCTION("""COMPUTED_VALUE"""),1285.0)</f>
        <v>1285</v>
      </c>
      <c r="D1057" s="2">
        <f>IFERROR(__xludf.DUMMYFUNCTION("""COMPUTED_VALUE"""),1235.0)</f>
        <v>1235</v>
      </c>
      <c r="E1057" s="2">
        <f>IFERROR(__xludf.DUMMYFUNCTION("""COMPUTED_VALUE"""),1275.0)</f>
        <v>1275</v>
      </c>
      <c r="F1057" s="2">
        <f>IFERROR(__xludf.DUMMYFUNCTION("""COMPUTED_VALUE"""),3.39811E7)</f>
        <v>33981100</v>
      </c>
      <c r="G1057" s="2">
        <f t="shared" si="1"/>
        <v>50</v>
      </c>
    </row>
    <row r="1058" ht="15.75" customHeight="1">
      <c r="A1058" s="1">
        <f>IFERROR(__xludf.DUMMYFUNCTION("""COMPUTED_VALUE"""),45428.66666666667)</f>
        <v>45428.66667</v>
      </c>
      <c r="B1058" s="2">
        <f>IFERROR(__xludf.DUMMYFUNCTION("""COMPUTED_VALUE"""),1290.0)</f>
        <v>1290</v>
      </c>
      <c r="C1058" s="2">
        <f>IFERROR(__xludf.DUMMYFUNCTION("""COMPUTED_VALUE"""),1305.0)</f>
        <v>1305</v>
      </c>
      <c r="D1058" s="2">
        <f>IFERROR(__xludf.DUMMYFUNCTION("""COMPUTED_VALUE"""),1270.0)</f>
        <v>1270</v>
      </c>
      <c r="E1058" s="2">
        <f>IFERROR(__xludf.DUMMYFUNCTION("""COMPUTED_VALUE"""),1275.0)</f>
        <v>1275</v>
      </c>
      <c r="F1058" s="2">
        <f>IFERROR(__xludf.DUMMYFUNCTION("""COMPUTED_VALUE"""),2.9298E7)</f>
        <v>29298000</v>
      </c>
      <c r="G1058" s="2">
        <f t="shared" si="1"/>
        <v>35</v>
      </c>
    </row>
    <row r="1059" ht="15.75" customHeight="1">
      <c r="A1059" s="1">
        <f>IFERROR(__xludf.DUMMYFUNCTION("""COMPUTED_VALUE"""),45429.66666666667)</f>
        <v>45429.66667</v>
      </c>
      <c r="B1059" s="2">
        <f>IFERROR(__xludf.DUMMYFUNCTION("""COMPUTED_VALUE"""),1275.0)</f>
        <v>1275</v>
      </c>
      <c r="C1059" s="2">
        <f>IFERROR(__xludf.DUMMYFUNCTION("""COMPUTED_VALUE"""),1325.0)</f>
        <v>1325</v>
      </c>
      <c r="D1059" s="2">
        <f>IFERROR(__xludf.DUMMYFUNCTION("""COMPUTED_VALUE"""),1260.0)</f>
        <v>1260</v>
      </c>
      <c r="E1059" s="2">
        <f>IFERROR(__xludf.DUMMYFUNCTION("""COMPUTED_VALUE"""),1300.0)</f>
        <v>1300</v>
      </c>
      <c r="F1059" s="2">
        <f>IFERROR(__xludf.DUMMYFUNCTION("""COMPUTED_VALUE"""),3.48908E7)</f>
        <v>34890800</v>
      </c>
      <c r="G1059" s="2">
        <f t="shared" si="1"/>
        <v>65</v>
      </c>
    </row>
    <row r="1060" ht="15.75" customHeight="1">
      <c r="A1060" s="1">
        <f>IFERROR(__xludf.DUMMYFUNCTION("""COMPUTED_VALUE"""),45432.66666666667)</f>
        <v>45432.66667</v>
      </c>
      <c r="B1060" s="2">
        <f>IFERROR(__xludf.DUMMYFUNCTION("""COMPUTED_VALUE"""),1300.0)</f>
        <v>1300</v>
      </c>
      <c r="C1060" s="2">
        <f>IFERROR(__xludf.DUMMYFUNCTION("""COMPUTED_VALUE"""),1320.0)</f>
        <v>1320</v>
      </c>
      <c r="D1060" s="2">
        <f>IFERROR(__xludf.DUMMYFUNCTION("""COMPUTED_VALUE"""),1265.0)</f>
        <v>1265</v>
      </c>
      <c r="E1060" s="2">
        <f>IFERROR(__xludf.DUMMYFUNCTION("""COMPUTED_VALUE"""),1270.0)</f>
        <v>1270</v>
      </c>
      <c r="F1060" s="2">
        <f>IFERROR(__xludf.DUMMYFUNCTION("""COMPUTED_VALUE"""),2.34083E7)</f>
        <v>23408300</v>
      </c>
      <c r="G1060" s="2">
        <f t="shared" si="1"/>
        <v>55</v>
      </c>
    </row>
    <row r="1061" ht="15.75" customHeight="1">
      <c r="A1061" s="1">
        <f>IFERROR(__xludf.DUMMYFUNCTION("""COMPUTED_VALUE"""),45433.66666666667)</f>
        <v>45433.66667</v>
      </c>
      <c r="B1061" s="2">
        <f>IFERROR(__xludf.DUMMYFUNCTION("""COMPUTED_VALUE"""),1265.0)</f>
        <v>1265</v>
      </c>
      <c r="C1061" s="2">
        <f>IFERROR(__xludf.DUMMYFUNCTION("""COMPUTED_VALUE"""),1280.0)</f>
        <v>1280</v>
      </c>
      <c r="D1061" s="2">
        <f>IFERROR(__xludf.DUMMYFUNCTION("""COMPUTED_VALUE"""),1225.0)</f>
        <v>1225</v>
      </c>
      <c r="E1061" s="2">
        <f>IFERROR(__xludf.DUMMYFUNCTION("""COMPUTED_VALUE"""),1240.0)</f>
        <v>1240</v>
      </c>
      <c r="F1061" s="2">
        <f>IFERROR(__xludf.DUMMYFUNCTION("""COMPUTED_VALUE"""),2.91979E7)</f>
        <v>29197900</v>
      </c>
      <c r="G1061" s="2">
        <f t="shared" si="1"/>
        <v>55</v>
      </c>
    </row>
    <row r="1062" ht="15.75" customHeight="1">
      <c r="A1062" s="1">
        <f>IFERROR(__xludf.DUMMYFUNCTION("""COMPUTED_VALUE"""),45434.66666666667)</f>
        <v>45434.66667</v>
      </c>
      <c r="B1062" s="2">
        <f>IFERROR(__xludf.DUMMYFUNCTION("""COMPUTED_VALUE"""),1240.0)</f>
        <v>1240</v>
      </c>
      <c r="C1062" s="2">
        <f>IFERROR(__xludf.DUMMYFUNCTION("""COMPUTED_VALUE"""),1255.0)</f>
        <v>1255</v>
      </c>
      <c r="D1062" s="2">
        <f>IFERROR(__xludf.DUMMYFUNCTION("""COMPUTED_VALUE"""),1230.0)</f>
        <v>1230</v>
      </c>
      <c r="E1062" s="2">
        <f>IFERROR(__xludf.DUMMYFUNCTION("""COMPUTED_VALUE"""),1235.0)</f>
        <v>1235</v>
      </c>
      <c r="F1062" s="2">
        <f>IFERROR(__xludf.DUMMYFUNCTION("""COMPUTED_VALUE"""),2.26331E7)</f>
        <v>22633100</v>
      </c>
      <c r="G1062" s="2">
        <f t="shared" si="1"/>
        <v>25</v>
      </c>
    </row>
    <row r="1063" ht="15.75" customHeight="1">
      <c r="A1063" s="1">
        <f>IFERROR(__xludf.DUMMYFUNCTION("""COMPUTED_VALUE"""),45439.66666666667)</f>
        <v>45439.66667</v>
      </c>
      <c r="B1063" s="2">
        <f>IFERROR(__xludf.DUMMYFUNCTION("""COMPUTED_VALUE"""),1235.0)</f>
        <v>1235</v>
      </c>
      <c r="C1063" s="2">
        <f>IFERROR(__xludf.DUMMYFUNCTION("""COMPUTED_VALUE"""),1240.0)</f>
        <v>1240</v>
      </c>
      <c r="D1063" s="2">
        <f>IFERROR(__xludf.DUMMYFUNCTION("""COMPUTED_VALUE"""),1200.0)</f>
        <v>1200</v>
      </c>
      <c r="E1063" s="2">
        <f>IFERROR(__xludf.DUMMYFUNCTION("""COMPUTED_VALUE"""),1200.0)</f>
        <v>1200</v>
      </c>
      <c r="F1063" s="2">
        <f>IFERROR(__xludf.DUMMYFUNCTION("""COMPUTED_VALUE"""),3.44369E7)</f>
        <v>34436900</v>
      </c>
      <c r="G1063" s="2">
        <f t="shared" si="1"/>
        <v>40</v>
      </c>
    </row>
    <row r="1064" ht="15.75" customHeight="1">
      <c r="A1064" s="1">
        <f>IFERROR(__xludf.DUMMYFUNCTION("""COMPUTED_VALUE"""),45440.66666666667)</f>
        <v>45440.66667</v>
      </c>
      <c r="B1064" s="2">
        <f>IFERROR(__xludf.DUMMYFUNCTION("""COMPUTED_VALUE"""),1210.0)</f>
        <v>1210</v>
      </c>
      <c r="C1064" s="2">
        <f>IFERROR(__xludf.DUMMYFUNCTION("""COMPUTED_VALUE"""),1255.0)</f>
        <v>1255</v>
      </c>
      <c r="D1064" s="2">
        <f>IFERROR(__xludf.DUMMYFUNCTION("""COMPUTED_VALUE"""),1210.0)</f>
        <v>1210</v>
      </c>
      <c r="E1064" s="2">
        <f>IFERROR(__xludf.DUMMYFUNCTION("""COMPUTED_VALUE"""),1250.0)</f>
        <v>1250</v>
      </c>
      <c r="F1064" s="2">
        <f>IFERROR(__xludf.DUMMYFUNCTION("""COMPUTED_VALUE"""),3.01084E7)</f>
        <v>30108400</v>
      </c>
      <c r="G1064" s="2">
        <f t="shared" si="1"/>
        <v>55</v>
      </c>
    </row>
    <row r="1065" ht="15.75" customHeight="1">
      <c r="A1065" s="1">
        <f>IFERROR(__xludf.DUMMYFUNCTION("""COMPUTED_VALUE"""),45441.66666666667)</f>
        <v>45441.66667</v>
      </c>
      <c r="B1065" s="2">
        <f>IFERROR(__xludf.DUMMYFUNCTION("""COMPUTED_VALUE"""),1250.0)</f>
        <v>1250</v>
      </c>
      <c r="C1065" s="2">
        <f>IFERROR(__xludf.DUMMYFUNCTION("""COMPUTED_VALUE"""),1265.0)</f>
        <v>1265</v>
      </c>
      <c r="D1065" s="2">
        <f>IFERROR(__xludf.DUMMYFUNCTION("""COMPUTED_VALUE"""),1230.0)</f>
        <v>1230</v>
      </c>
      <c r="E1065" s="2">
        <f>IFERROR(__xludf.DUMMYFUNCTION("""COMPUTED_VALUE"""),1260.0)</f>
        <v>1260</v>
      </c>
      <c r="F1065" s="2">
        <f>IFERROR(__xludf.DUMMYFUNCTION("""COMPUTED_VALUE"""),2.64174E7)</f>
        <v>26417400</v>
      </c>
      <c r="G1065" s="2">
        <f t="shared" si="1"/>
        <v>35</v>
      </c>
    </row>
    <row r="1066" ht="15.75" customHeight="1">
      <c r="A1066" s="1">
        <f>IFERROR(__xludf.DUMMYFUNCTION("""COMPUTED_VALUE"""),45442.66666666667)</f>
        <v>45442.66667</v>
      </c>
      <c r="B1066" s="2">
        <f>IFERROR(__xludf.DUMMYFUNCTION("""COMPUTED_VALUE"""),1265.0)</f>
        <v>1265</v>
      </c>
      <c r="C1066" s="2">
        <f>IFERROR(__xludf.DUMMYFUNCTION("""COMPUTED_VALUE"""),1265.0)</f>
        <v>1265</v>
      </c>
      <c r="D1066" s="2">
        <f>IFERROR(__xludf.DUMMYFUNCTION("""COMPUTED_VALUE"""),1215.0)</f>
        <v>1215</v>
      </c>
      <c r="E1066" s="2">
        <f>IFERROR(__xludf.DUMMYFUNCTION("""COMPUTED_VALUE"""),1235.0)</f>
        <v>1235</v>
      </c>
      <c r="F1066" s="2">
        <f>IFERROR(__xludf.DUMMYFUNCTION("""COMPUTED_VALUE"""),3.07727E7)</f>
        <v>30772700</v>
      </c>
      <c r="G1066" s="2">
        <f t="shared" si="1"/>
        <v>50</v>
      </c>
    </row>
    <row r="1067" ht="15.75" customHeight="1">
      <c r="A1067" s="1">
        <f>IFERROR(__xludf.DUMMYFUNCTION("""COMPUTED_VALUE"""),45443.66666666667)</f>
        <v>45443.66667</v>
      </c>
      <c r="B1067" s="2">
        <f>IFERROR(__xludf.DUMMYFUNCTION("""COMPUTED_VALUE"""),1240.0)</f>
        <v>1240</v>
      </c>
      <c r="C1067" s="2">
        <f>IFERROR(__xludf.DUMMYFUNCTION("""COMPUTED_VALUE"""),1250.0)</f>
        <v>1250</v>
      </c>
      <c r="D1067" s="2">
        <f>IFERROR(__xludf.DUMMYFUNCTION("""COMPUTED_VALUE"""),1225.0)</f>
        <v>1225</v>
      </c>
      <c r="E1067" s="2">
        <f>IFERROR(__xludf.DUMMYFUNCTION("""COMPUTED_VALUE"""),1225.0)</f>
        <v>1225</v>
      </c>
      <c r="F1067" s="2">
        <f>IFERROR(__xludf.DUMMYFUNCTION("""COMPUTED_VALUE"""),3.75013E7)</f>
        <v>37501300</v>
      </c>
      <c r="G1067" s="2">
        <f t="shared" si="1"/>
        <v>25</v>
      </c>
    </row>
    <row r="1068" ht="15.75" customHeight="1">
      <c r="A1068" s="1">
        <f>IFERROR(__xludf.DUMMYFUNCTION("""COMPUTED_VALUE"""),45446.66666666667)</f>
        <v>45446.66667</v>
      </c>
      <c r="B1068" s="2">
        <f>IFERROR(__xludf.DUMMYFUNCTION("""COMPUTED_VALUE"""),1235.0)</f>
        <v>1235</v>
      </c>
      <c r="C1068" s="2">
        <f>IFERROR(__xludf.DUMMYFUNCTION("""COMPUTED_VALUE"""),1275.0)</f>
        <v>1275</v>
      </c>
      <c r="D1068" s="2">
        <f>IFERROR(__xludf.DUMMYFUNCTION("""COMPUTED_VALUE"""),1225.0)</f>
        <v>1225</v>
      </c>
      <c r="E1068" s="2">
        <f>IFERROR(__xludf.DUMMYFUNCTION("""COMPUTED_VALUE"""),1265.0)</f>
        <v>1265</v>
      </c>
      <c r="F1068" s="2">
        <f>IFERROR(__xludf.DUMMYFUNCTION("""COMPUTED_VALUE"""),2.68377E7)</f>
        <v>26837700</v>
      </c>
      <c r="G1068" s="2">
        <f t="shared" si="1"/>
        <v>50</v>
      </c>
    </row>
    <row r="1069" ht="15.75" customHeight="1">
      <c r="A1069" s="1">
        <f>IFERROR(__xludf.DUMMYFUNCTION("""COMPUTED_VALUE"""),45447.66666666667)</f>
        <v>45447.66667</v>
      </c>
      <c r="B1069" s="2">
        <f>IFERROR(__xludf.DUMMYFUNCTION("""COMPUTED_VALUE"""),1275.0)</f>
        <v>1275</v>
      </c>
      <c r="C1069" s="2">
        <f>IFERROR(__xludf.DUMMYFUNCTION("""COMPUTED_VALUE"""),1290.0)</f>
        <v>1290</v>
      </c>
      <c r="D1069" s="2">
        <f>IFERROR(__xludf.DUMMYFUNCTION("""COMPUTED_VALUE"""),1265.0)</f>
        <v>1265</v>
      </c>
      <c r="E1069" s="2">
        <f>IFERROR(__xludf.DUMMYFUNCTION("""COMPUTED_VALUE"""),1265.0)</f>
        <v>1265</v>
      </c>
      <c r="F1069" s="2">
        <f>IFERROR(__xludf.DUMMYFUNCTION("""COMPUTED_VALUE"""),3.35997E7)</f>
        <v>33599700</v>
      </c>
      <c r="G1069" s="2">
        <f t="shared" si="1"/>
        <v>25</v>
      </c>
    </row>
    <row r="1070" ht="15.75" customHeight="1">
      <c r="A1070" s="1">
        <f>IFERROR(__xludf.DUMMYFUNCTION("""COMPUTED_VALUE"""),45448.66666666667)</f>
        <v>45448.66667</v>
      </c>
      <c r="B1070" s="2">
        <f>IFERROR(__xludf.DUMMYFUNCTION("""COMPUTED_VALUE"""),1270.0)</f>
        <v>1270</v>
      </c>
      <c r="C1070" s="2">
        <f>IFERROR(__xludf.DUMMYFUNCTION("""COMPUTED_VALUE"""),1280.0)</f>
        <v>1280</v>
      </c>
      <c r="D1070" s="2">
        <f>IFERROR(__xludf.DUMMYFUNCTION("""COMPUTED_VALUE"""),1250.0)</f>
        <v>1250</v>
      </c>
      <c r="E1070" s="2">
        <f>IFERROR(__xludf.DUMMYFUNCTION("""COMPUTED_VALUE"""),1270.0)</f>
        <v>1270</v>
      </c>
      <c r="F1070" s="2">
        <f>IFERROR(__xludf.DUMMYFUNCTION("""COMPUTED_VALUE"""),2.50414E7)</f>
        <v>25041400</v>
      </c>
      <c r="G1070" s="2">
        <f t="shared" si="1"/>
        <v>30</v>
      </c>
    </row>
    <row r="1071" ht="15.75" customHeight="1">
      <c r="A1071" s="1">
        <f>IFERROR(__xludf.DUMMYFUNCTION("""COMPUTED_VALUE"""),45449.66666666667)</f>
        <v>45449.66667</v>
      </c>
      <c r="B1071" s="2">
        <f>IFERROR(__xludf.DUMMYFUNCTION("""COMPUTED_VALUE"""),1280.0)</f>
        <v>1280</v>
      </c>
      <c r="C1071" s="2">
        <f>IFERROR(__xludf.DUMMYFUNCTION("""COMPUTED_VALUE"""),1290.0)</f>
        <v>1290</v>
      </c>
      <c r="D1071" s="2">
        <f>IFERROR(__xludf.DUMMYFUNCTION("""COMPUTED_VALUE"""),1260.0)</f>
        <v>1260</v>
      </c>
      <c r="E1071" s="2">
        <f>IFERROR(__xludf.DUMMYFUNCTION("""COMPUTED_VALUE"""),1290.0)</f>
        <v>1290</v>
      </c>
      <c r="F1071" s="2">
        <f>IFERROR(__xludf.DUMMYFUNCTION("""COMPUTED_VALUE"""),2.0729E7)</f>
        <v>20729000</v>
      </c>
      <c r="G1071" s="2">
        <f t="shared" si="1"/>
        <v>30</v>
      </c>
    </row>
    <row r="1072" ht="15.75" customHeight="1">
      <c r="A1072" s="1">
        <f>IFERROR(__xludf.DUMMYFUNCTION("""COMPUTED_VALUE"""),45450.66666666667)</f>
        <v>45450.66667</v>
      </c>
      <c r="B1072" s="2">
        <f>IFERROR(__xludf.DUMMYFUNCTION("""COMPUTED_VALUE"""),1275.0)</f>
        <v>1275</v>
      </c>
      <c r="C1072" s="2">
        <f>IFERROR(__xludf.DUMMYFUNCTION("""COMPUTED_VALUE"""),1280.0)</f>
        <v>1280</v>
      </c>
      <c r="D1072" s="2">
        <f>IFERROR(__xludf.DUMMYFUNCTION("""COMPUTED_VALUE"""),1245.0)</f>
        <v>1245</v>
      </c>
      <c r="E1072" s="2">
        <f>IFERROR(__xludf.DUMMYFUNCTION("""COMPUTED_VALUE"""),1245.0)</f>
        <v>1245</v>
      </c>
      <c r="F1072" s="2">
        <f>IFERROR(__xludf.DUMMYFUNCTION("""COMPUTED_VALUE"""),2.17799E7)</f>
        <v>21779900</v>
      </c>
      <c r="G1072" s="2">
        <f t="shared" si="1"/>
        <v>45</v>
      </c>
    </row>
    <row r="1073" ht="15.75" customHeight="1">
      <c r="A1073" s="1">
        <f>IFERROR(__xludf.DUMMYFUNCTION("""COMPUTED_VALUE"""),45453.66666666667)</f>
        <v>45453.66667</v>
      </c>
      <c r="B1073" s="2">
        <f>IFERROR(__xludf.DUMMYFUNCTION("""COMPUTED_VALUE"""),1245.0)</f>
        <v>1245</v>
      </c>
      <c r="C1073" s="2">
        <f>IFERROR(__xludf.DUMMYFUNCTION("""COMPUTED_VALUE"""),1255.0)</f>
        <v>1255</v>
      </c>
      <c r="D1073" s="2">
        <f>IFERROR(__xludf.DUMMYFUNCTION("""COMPUTED_VALUE"""),1225.0)</f>
        <v>1225</v>
      </c>
      <c r="E1073" s="2">
        <f>IFERROR(__xludf.DUMMYFUNCTION("""COMPUTED_VALUE"""),1235.0)</f>
        <v>1235</v>
      </c>
      <c r="F1073" s="2">
        <f>IFERROR(__xludf.DUMMYFUNCTION("""COMPUTED_VALUE"""),1.34168E7)</f>
        <v>13416800</v>
      </c>
      <c r="G1073" s="2">
        <f t="shared" si="1"/>
        <v>30</v>
      </c>
    </row>
    <row r="1074" ht="15.75" customHeight="1">
      <c r="A1074" s="1">
        <f>IFERROR(__xludf.DUMMYFUNCTION("""COMPUTED_VALUE"""),45454.66666666667)</f>
        <v>45454.66667</v>
      </c>
      <c r="B1074" s="2">
        <f>IFERROR(__xludf.DUMMYFUNCTION("""COMPUTED_VALUE"""),1240.0)</f>
        <v>1240</v>
      </c>
      <c r="C1074" s="2">
        <f>IFERROR(__xludf.DUMMYFUNCTION("""COMPUTED_VALUE"""),1245.0)</f>
        <v>1245</v>
      </c>
      <c r="D1074" s="2">
        <f>IFERROR(__xludf.DUMMYFUNCTION("""COMPUTED_VALUE"""),1215.0)</f>
        <v>1215</v>
      </c>
      <c r="E1074" s="2">
        <f>IFERROR(__xludf.DUMMYFUNCTION("""COMPUTED_VALUE"""),1220.0)</f>
        <v>1220</v>
      </c>
      <c r="F1074" s="2">
        <f>IFERROR(__xludf.DUMMYFUNCTION("""COMPUTED_VALUE"""),1.14825E7)</f>
        <v>11482500</v>
      </c>
      <c r="G1074" s="2">
        <f t="shared" si="1"/>
        <v>30</v>
      </c>
    </row>
    <row r="1075" ht="15.75" customHeight="1">
      <c r="A1075" s="1">
        <f>IFERROR(__xludf.DUMMYFUNCTION("""COMPUTED_VALUE"""),45455.66666666667)</f>
        <v>45455.66667</v>
      </c>
      <c r="B1075" s="2">
        <f>IFERROR(__xludf.DUMMYFUNCTION("""COMPUTED_VALUE"""),1210.0)</f>
        <v>1210</v>
      </c>
      <c r="C1075" s="2">
        <f>IFERROR(__xludf.DUMMYFUNCTION("""COMPUTED_VALUE"""),1225.0)</f>
        <v>1225</v>
      </c>
      <c r="D1075" s="2">
        <f>IFERROR(__xludf.DUMMYFUNCTION("""COMPUTED_VALUE"""),1205.0)</f>
        <v>1205</v>
      </c>
      <c r="E1075" s="2">
        <f>IFERROR(__xludf.DUMMYFUNCTION("""COMPUTED_VALUE"""),1225.0)</f>
        <v>1225</v>
      </c>
      <c r="F1075" s="2">
        <f>IFERROR(__xludf.DUMMYFUNCTION("""COMPUTED_VALUE"""),1.28527E7)</f>
        <v>12852700</v>
      </c>
      <c r="G1075" s="2">
        <f t="shared" si="1"/>
        <v>20</v>
      </c>
    </row>
    <row r="1076" ht="15.75" customHeight="1">
      <c r="A1076" s="1">
        <f>IFERROR(__xludf.DUMMYFUNCTION("""COMPUTED_VALUE"""),45456.66666666667)</f>
        <v>45456.66667</v>
      </c>
      <c r="B1076" s="2">
        <f>IFERROR(__xludf.DUMMYFUNCTION("""COMPUTED_VALUE"""),1245.0)</f>
        <v>1245</v>
      </c>
      <c r="C1076" s="2">
        <f>IFERROR(__xludf.DUMMYFUNCTION("""COMPUTED_VALUE"""),1250.0)</f>
        <v>1250</v>
      </c>
      <c r="D1076" s="2">
        <f>IFERROR(__xludf.DUMMYFUNCTION("""COMPUTED_VALUE"""),1230.0)</f>
        <v>1230</v>
      </c>
      <c r="E1076" s="2">
        <f>IFERROR(__xludf.DUMMYFUNCTION("""COMPUTED_VALUE"""),1240.0)</f>
        <v>1240</v>
      </c>
      <c r="F1076" s="2">
        <f>IFERROR(__xludf.DUMMYFUNCTION("""COMPUTED_VALUE"""),2.12806E7)</f>
        <v>21280600</v>
      </c>
      <c r="G1076" s="2">
        <f t="shared" si="1"/>
        <v>25</v>
      </c>
    </row>
    <row r="1077" ht="15.75" customHeight="1">
      <c r="A1077" s="1">
        <f>IFERROR(__xludf.DUMMYFUNCTION("""COMPUTED_VALUE"""),45457.66666666667)</f>
        <v>45457.66667</v>
      </c>
      <c r="B1077" s="2">
        <f>IFERROR(__xludf.DUMMYFUNCTION("""COMPUTED_VALUE"""),1240.0)</f>
        <v>1240</v>
      </c>
      <c r="C1077" s="2">
        <f>IFERROR(__xludf.DUMMYFUNCTION("""COMPUTED_VALUE"""),1240.0)</f>
        <v>1240</v>
      </c>
      <c r="D1077" s="2">
        <f>IFERROR(__xludf.DUMMYFUNCTION("""COMPUTED_VALUE"""),1205.0)</f>
        <v>1205</v>
      </c>
      <c r="E1077" s="2">
        <f>IFERROR(__xludf.DUMMYFUNCTION("""COMPUTED_VALUE"""),1205.0)</f>
        <v>1205</v>
      </c>
      <c r="F1077" s="2">
        <f>IFERROR(__xludf.DUMMYFUNCTION("""COMPUTED_VALUE"""),1.39935E7)</f>
        <v>13993500</v>
      </c>
      <c r="G1077" s="2">
        <f t="shared" si="1"/>
        <v>35</v>
      </c>
    </row>
    <row r="1078" ht="15.75" customHeight="1">
      <c r="A1078" s="1">
        <f>IFERROR(__xludf.DUMMYFUNCTION("""COMPUTED_VALUE"""),45462.66666666667)</f>
        <v>45462.66667</v>
      </c>
      <c r="B1078" s="2">
        <f>IFERROR(__xludf.DUMMYFUNCTION("""COMPUTED_VALUE"""),1205.0)</f>
        <v>1205</v>
      </c>
      <c r="C1078" s="2">
        <f>IFERROR(__xludf.DUMMYFUNCTION("""COMPUTED_VALUE"""),1225.0)</f>
        <v>1225</v>
      </c>
      <c r="D1078" s="2">
        <f>IFERROR(__xludf.DUMMYFUNCTION("""COMPUTED_VALUE"""),1175.0)</f>
        <v>1175</v>
      </c>
      <c r="E1078" s="2">
        <f>IFERROR(__xludf.DUMMYFUNCTION("""COMPUTED_VALUE"""),1175.0)</f>
        <v>1175</v>
      </c>
      <c r="F1078" s="2">
        <f>IFERROR(__xludf.DUMMYFUNCTION("""COMPUTED_VALUE"""),3.22572E7)</f>
        <v>32257200</v>
      </c>
      <c r="G1078" s="2">
        <f t="shared" si="1"/>
        <v>50</v>
      </c>
    </row>
    <row r="1079" ht="15.75" customHeight="1">
      <c r="A1079" s="1">
        <f>IFERROR(__xludf.DUMMYFUNCTION("""COMPUTED_VALUE"""),45463.66666666667)</f>
        <v>45463.66667</v>
      </c>
      <c r="B1079" s="2">
        <f>IFERROR(__xludf.DUMMYFUNCTION("""COMPUTED_VALUE"""),1175.0)</f>
        <v>1175</v>
      </c>
      <c r="C1079" s="2">
        <f>IFERROR(__xludf.DUMMYFUNCTION("""COMPUTED_VALUE"""),1235.0)</f>
        <v>1235</v>
      </c>
      <c r="D1079" s="2">
        <f>IFERROR(__xludf.DUMMYFUNCTION("""COMPUTED_VALUE"""),1175.0)</f>
        <v>1175</v>
      </c>
      <c r="E1079" s="2">
        <f>IFERROR(__xludf.DUMMYFUNCTION("""COMPUTED_VALUE"""),1230.0)</f>
        <v>1230</v>
      </c>
      <c r="F1079" s="2">
        <f>IFERROR(__xludf.DUMMYFUNCTION("""COMPUTED_VALUE"""),3.33502E7)</f>
        <v>33350200</v>
      </c>
      <c r="G1079" s="2">
        <f t="shared" si="1"/>
        <v>60</v>
      </c>
    </row>
    <row r="1080" ht="15.75" customHeight="1">
      <c r="A1080" s="1">
        <f>IFERROR(__xludf.DUMMYFUNCTION("""COMPUTED_VALUE"""),45464.66666666667)</f>
        <v>45464.66667</v>
      </c>
      <c r="B1080" s="2">
        <f>IFERROR(__xludf.DUMMYFUNCTION("""COMPUTED_VALUE"""),1235.0)</f>
        <v>1235</v>
      </c>
      <c r="C1080" s="2">
        <f>IFERROR(__xludf.DUMMYFUNCTION("""COMPUTED_VALUE"""),1265.0)</f>
        <v>1265</v>
      </c>
      <c r="D1080" s="2">
        <f>IFERROR(__xludf.DUMMYFUNCTION("""COMPUTED_VALUE"""),1220.0)</f>
        <v>1220</v>
      </c>
      <c r="E1080" s="2">
        <f>IFERROR(__xludf.DUMMYFUNCTION("""COMPUTED_VALUE"""),1250.0)</f>
        <v>1250</v>
      </c>
      <c r="F1080" s="2">
        <f>IFERROR(__xludf.DUMMYFUNCTION("""COMPUTED_VALUE"""),2.20236E7)</f>
        <v>22023600</v>
      </c>
      <c r="G1080" s="2">
        <f t="shared" si="1"/>
        <v>45</v>
      </c>
    </row>
    <row r="1081" ht="15.75" customHeight="1">
      <c r="A1081" s="1">
        <f>IFERROR(__xludf.DUMMYFUNCTION("""COMPUTED_VALUE"""),45467.66666666667)</f>
        <v>45467.66667</v>
      </c>
      <c r="B1081" s="2">
        <f>IFERROR(__xludf.DUMMYFUNCTION("""COMPUTED_VALUE"""),1255.0)</f>
        <v>1255</v>
      </c>
      <c r="C1081" s="2">
        <f>IFERROR(__xludf.DUMMYFUNCTION("""COMPUTED_VALUE"""),1265.0)</f>
        <v>1265</v>
      </c>
      <c r="D1081" s="2">
        <f>IFERROR(__xludf.DUMMYFUNCTION("""COMPUTED_VALUE"""),1240.0)</f>
        <v>1240</v>
      </c>
      <c r="E1081" s="2">
        <f>IFERROR(__xludf.DUMMYFUNCTION("""COMPUTED_VALUE"""),1240.0)</f>
        <v>1240</v>
      </c>
      <c r="F1081" s="2">
        <f>IFERROR(__xludf.DUMMYFUNCTION("""COMPUTED_VALUE"""),1.34297E7)</f>
        <v>13429700</v>
      </c>
      <c r="G1081" s="2">
        <f t="shared" si="1"/>
        <v>25</v>
      </c>
    </row>
    <row r="1082" ht="15.75" customHeight="1">
      <c r="A1082" s="1">
        <f>IFERROR(__xludf.DUMMYFUNCTION("""COMPUTED_VALUE"""),45468.66666666667)</f>
        <v>45468.66667</v>
      </c>
      <c r="B1082" s="2">
        <f>IFERROR(__xludf.DUMMYFUNCTION("""COMPUTED_VALUE"""),1240.0)</f>
        <v>1240</v>
      </c>
      <c r="C1082" s="2">
        <f>IFERROR(__xludf.DUMMYFUNCTION("""COMPUTED_VALUE"""),1250.0)</f>
        <v>1250</v>
      </c>
      <c r="D1082" s="2">
        <f>IFERROR(__xludf.DUMMYFUNCTION("""COMPUTED_VALUE"""),1225.0)</f>
        <v>1225</v>
      </c>
      <c r="E1082" s="2">
        <f>IFERROR(__xludf.DUMMYFUNCTION("""COMPUTED_VALUE"""),1240.0)</f>
        <v>1240</v>
      </c>
      <c r="F1082" s="2">
        <f>IFERROR(__xludf.DUMMYFUNCTION("""COMPUTED_VALUE"""),7950600.0)</f>
        <v>7950600</v>
      </c>
      <c r="G1082" s="2">
        <f t="shared" si="1"/>
        <v>25</v>
      </c>
    </row>
    <row r="1083" ht="15.75" customHeight="1">
      <c r="A1083" s="1">
        <f>IFERROR(__xludf.DUMMYFUNCTION("""COMPUTED_VALUE"""),45469.66666666667)</f>
        <v>45469.66667</v>
      </c>
      <c r="B1083" s="2">
        <f>IFERROR(__xludf.DUMMYFUNCTION("""COMPUTED_VALUE"""),1240.0)</f>
        <v>1240</v>
      </c>
      <c r="C1083" s="2">
        <f>IFERROR(__xludf.DUMMYFUNCTION("""COMPUTED_VALUE"""),1255.0)</f>
        <v>1255</v>
      </c>
      <c r="D1083" s="2">
        <f>IFERROR(__xludf.DUMMYFUNCTION("""COMPUTED_VALUE"""),1235.0)</f>
        <v>1235</v>
      </c>
      <c r="E1083" s="2">
        <f>IFERROR(__xludf.DUMMYFUNCTION("""COMPUTED_VALUE"""),1245.0)</f>
        <v>1245</v>
      </c>
      <c r="F1083" s="2">
        <f>IFERROR(__xludf.DUMMYFUNCTION("""COMPUTED_VALUE"""),7606300.0)</f>
        <v>7606300</v>
      </c>
      <c r="G1083" s="2">
        <f t="shared" si="1"/>
        <v>20</v>
      </c>
    </row>
    <row r="1084" ht="15.75" customHeight="1">
      <c r="A1084" s="1">
        <f>IFERROR(__xludf.DUMMYFUNCTION("""COMPUTED_VALUE"""),45470.66666666667)</f>
        <v>45470.66667</v>
      </c>
      <c r="B1084" s="2">
        <f>IFERROR(__xludf.DUMMYFUNCTION("""COMPUTED_VALUE"""),1255.0)</f>
        <v>1255</v>
      </c>
      <c r="C1084" s="2">
        <f>IFERROR(__xludf.DUMMYFUNCTION("""COMPUTED_VALUE"""),1270.0)</f>
        <v>1270</v>
      </c>
      <c r="D1084" s="2">
        <f>IFERROR(__xludf.DUMMYFUNCTION("""COMPUTED_VALUE"""),1245.0)</f>
        <v>1245</v>
      </c>
      <c r="E1084" s="2">
        <f>IFERROR(__xludf.DUMMYFUNCTION("""COMPUTED_VALUE"""),1260.0)</f>
        <v>1260</v>
      </c>
      <c r="F1084" s="2">
        <f>IFERROR(__xludf.DUMMYFUNCTION("""COMPUTED_VALUE"""),1.13879E7)</f>
        <v>11387900</v>
      </c>
      <c r="G1084" s="2">
        <f t="shared" si="1"/>
        <v>25</v>
      </c>
    </row>
    <row r="1085" ht="15.75" customHeight="1">
      <c r="A1085" s="1">
        <f>IFERROR(__xludf.DUMMYFUNCTION("""COMPUTED_VALUE"""),45471.66666666667)</f>
        <v>45471.66667</v>
      </c>
      <c r="B1085" s="2">
        <f>IFERROR(__xludf.DUMMYFUNCTION("""COMPUTED_VALUE"""),1260.0)</f>
        <v>1260</v>
      </c>
      <c r="C1085" s="2">
        <f>IFERROR(__xludf.DUMMYFUNCTION("""COMPUTED_VALUE"""),1290.0)</f>
        <v>1290</v>
      </c>
      <c r="D1085" s="2">
        <f>IFERROR(__xludf.DUMMYFUNCTION("""COMPUTED_VALUE"""),1260.0)</f>
        <v>1260</v>
      </c>
      <c r="E1085" s="2">
        <f>IFERROR(__xludf.DUMMYFUNCTION("""COMPUTED_VALUE"""),1265.0)</f>
        <v>1265</v>
      </c>
      <c r="F1085" s="2">
        <f>IFERROR(__xludf.DUMMYFUNCTION("""COMPUTED_VALUE"""),2.06568E7)</f>
        <v>20656800</v>
      </c>
      <c r="G1085" s="2">
        <f t="shared" si="1"/>
        <v>30</v>
      </c>
    </row>
    <row r="1086" ht="15.75" customHeight="1">
      <c r="A1086" s="1">
        <f>IFERROR(__xludf.DUMMYFUNCTION("""COMPUTED_VALUE"""),45474.66666666667)</f>
        <v>45474.66667</v>
      </c>
      <c r="B1086" s="2">
        <f>IFERROR(__xludf.DUMMYFUNCTION("""COMPUTED_VALUE"""),1270.0)</f>
        <v>1270</v>
      </c>
      <c r="C1086" s="2">
        <f>IFERROR(__xludf.DUMMYFUNCTION("""COMPUTED_VALUE"""),1290.0)</f>
        <v>1290</v>
      </c>
      <c r="D1086" s="2">
        <f>IFERROR(__xludf.DUMMYFUNCTION("""COMPUTED_VALUE"""),1265.0)</f>
        <v>1265</v>
      </c>
      <c r="E1086" s="2">
        <f>IFERROR(__xludf.DUMMYFUNCTION("""COMPUTED_VALUE"""),1275.0)</f>
        <v>1275</v>
      </c>
      <c r="F1086" s="2">
        <f>IFERROR(__xludf.DUMMYFUNCTION("""COMPUTED_VALUE"""),1.79872E7)</f>
        <v>17987200</v>
      </c>
      <c r="G1086" s="2">
        <f t="shared" si="1"/>
        <v>25</v>
      </c>
    </row>
    <row r="1087" ht="15.75" customHeight="1">
      <c r="A1087" s="1">
        <f>IFERROR(__xludf.DUMMYFUNCTION("""COMPUTED_VALUE"""),45475.66666666667)</f>
        <v>45475.66667</v>
      </c>
      <c r="B1087" s="2">
        <f>IFERROR(__xludf.DUMMYFUNCTION("""COMPUTED_VALUE"""),1275.0)</f>
        <v>1275</v>
      </c>
      <c r="C1087" s="2">
        <f>IFERROR(__xludf.DUMMYFUNCTION("""COMPUTED_VALUE"""),1285.0)</f>
        <v>1285</v>
      </c>
      <c r="D1087" s="2">
        <f>IFERROR(__xludf.DUMMYFUNCTION("""COMPUTED_VALUE"""),1270.0)</f>
        <v>1270</v>
      </c>
      <c r="E1087" s="2">
        <f>IFERROR(__xludf.DUMMYFUNCTION("""COMPUTED_VALUE"""),1275.0)</f>
        <v>1275</v>
      </c>
      <c r="F1087" s="2">
        <f>IFERROR(__xludf.DUMMYFUNCTION("""COMPUTED_VALUE"""),1.31586E7)</f>
        <v>13158600</v>
      </c>
      <c r="G1087" s="2">
        <f t="shared" si="1"/>
        <v>15</v>
      </c>
    </row>
    <row r="1088" ht="15.75" customHeight="1">
      <c r="A1088" s="1">
        <f>IFERROR(__xludf.DUMMYFUNCTION("""COMPUTED_VALUE"""),45476.66666666667)</f>
        <v>45476.66667</v>
      </c>
      <c r="B1088" s="2">
        <f>IFERROR(__xludf.DUMMYFUNCTION("""COMPUTED_VALUE"""),1280.0)</f>
        <v>1280</v>
      </c>
      <c r="C1088" s="2">
        <f>IFERROR(__xludf.DUMMYFUNCTION("""COMPUTED_VALUE"""),1285.0)</f>
        <v>1285</v>
      </c>
      <c r="D1088" s="2">
        <f>IFERROR(__xludf.DUMMYFUNCTION("""COMPUTED_VALUE"""),1255.0)</f>
        <v>1255</v>
      </c>
      <c r="E1088" s="2">
        <f>IFERROR(__xludf.DUMMYFUNCTION("""COMPUTED_VALUE"""),1265.0)</f>
        <v>1265</v>
      </c>
      <c r="F1088" s="2">
        <f>IFERROR(__xludf.DUMMYFUNCTION("""COMPUTED_VALUE"""),9618600.0)</f>
        <v>9618600</v>
      </c>
      <c r="G1088" s="2">
        <f t="shared" si="1"/>
        <v>30</v>
      </c>
    </row>
    <row r="1089" ht="15.75" customHeight="1">
      <c r="A1089" s="1">
        <f>IFERROR(__xludf.DUMMYFUNCTION("""COMPUTED_VALUE"""),45477.66666666667)</f>
        <v>45477.66667</v>
      </c>
      <c r="B1089" s="2">
        <f>IFERROR(__xludf.DUMMYFUNCTION("""COMPUTED_VALUE"""),1265.0)</f>
        <v>1265</v>
      </c>
      <c r="C1089" s="2">
        <f>IFERROR(__xludf.DUMMYFUNCTION("""COMPUTED_VALUE"""),1295.0)</f>
        <v>1295</v>
      </c>
      <c r="D1089" s="2">
        <f>IFERROR(__xludf.DUMMYFUNCTION("""COMPUTED_VALUE"""),1260.0)</f>
        <v>1260</v>
      </c>
      <c r="E1089" s="2">
        <f>IFERROR(__xludf.DUMMYFUNCTION("""COMPUTED_VALUE"""),1285.0)</f>
        <v>1285</v>
      </c>
      <c r="F1089" s="2">
        <f>IFERROR(__xludf.DUMMYFUNCTION("""COMPUTED_VALUE"""),2.65247E7)</f>
        <v>26524700</v>
      </c>
      <c r="G1089" s="2">
        <f t="shared" si="1"/>
        <v>35</v>
      </c>
    </row>
    <row r="1090" ht="15.75" customHeight="1">
      <c r="A1090" s="1">
        <f>IFERROR(__xludf.DUMMYFUNCTION("""COMPUTED_VALUE"""),45478.66666666667)</f>
        <v>45478.66667</v>
      </c>
      <c r="B1090" s="2">
        <f>IFERROR(__xludf.DUMMYFUNCTION("""COMPUTED_VALUE"""),1290.0)</f>
        <v>1290</v>
      </c>
      <c r="C1090" s="2">
        <f>IFERROR(__xludf.DUMMYFUNCTION("""COMPUTED_VALUE"""),1310.0)</f>
        <v>1310</v>
      </c>
      <c r="D1090" s="2">
        <f>IFERROR(__xludf.DUMMYFUNCTION("""COMPUTED_VALUE"""),1275.0)</f>
        <v>1275</v>
      </c>
      <c r="E1090" s="2">
        <f>IFERROR(__xludf.DUMMYFUNCTION("""COMPUTED_VALUE"""),1280.0)</f>
        <v>1280</v>
      </c>
      <c r="F1090" s="2">
        <f>IFERROR(__xludf.DUMMYFUNCTION("""COMPUTED_VALUE"""),2.16379E7)</f>
        <v>21637900</v>
      </c>
      <c r="G1090" s="2">
        <f t="shared" si="1"/>
        <v>35</v>
      </c>
    </row>
    <row r="1091" ht="15.75" customHeight="1">
      <c r="A1091" s="1">
        <f>IFERROR(__xludf.DUMMYFUNCTION("""COMPUTED_VALUE"""),45481.66666666667)</f>
        <v>45481.66667</v>
      </c>
      <c r="B1091" s="2">
        <f>IFERROR(__xludf.DUMMYFUNCTION("""COMPUTED_VALUE"""),1280.0)</f>
        <v>1280</v>
      </c>
      <c r="C1091" s="2">
        <f>IFERROR(__xludf.DUMMYFUNCTION("""COMPUTED_VALUE"""),1310.0)</f>
        <v>1310</v>
      </c>
      <c r="D1091" s="2">
        <f>IFERROR(__xludf.DUMMYFUNCTION("""COMPUTED_VALUE"""),1260.0)</f>
        <v>1260</v>
      </c>
      <c r="E1091" s="2">
        <f>IFERROR(__xludf.DUMMYFUNCTION("""COMPUTED_VALUE"""),1310.0)</f>
        <v>1310</v>
      </c>
      <c r="F1091" s="2">
        <f>IFERROR(__xludf.DUMMYFUNCTION("""COMPUTED_VALUE"""),2.70246E7)</f>
        <v>27024600</v>
      </c>
      <c r="G1091" s="2">
        <f t="shared" si="1"/>
        <v>50</v>
      </c>
    </row>
    <row r="1092" ht="15.75" customHeight="1">
      <c r="A1092" s="1">
        <f>IFERROR(__xludf.DUMMYFUNCTION("""COMPUTED_VALUE"""),45482.66666666667)</f>
        <v>45482.66667</v>
      </c>
      <c r="B1092" s="2">
        <f>IFERROR(__xludf.DUMMYFUNCTION("""COMPUTED_VALUE"""),1310.0)</f>
        <v>1310</v>
      </c>
      <c r="C1092" s="2">
        <f>IFERROR(__xludf.DUMMYFUNCTION("""COMPUTED_VALUE"""),1325.0)</f>
        <v>1325</v>
      </c>
      <c r="D1092" s="2">
        <f>IFERROR(__xludf.DUMMYFUNCTION("""COMPUTED_VALUE"""),1295.0)</f>
        <v>1295</v>
      </c>
      <c r="E1092" s="2">
        <f>IFERROR(__xludf.DUMMYFUNCTION("""COMPUTED_VALUE"""),1295.0)</f>
        <v>1295</v>
      </c>
      <c r="F1092" s="2">
        <f>IFERROR(__xludf.DUMMYFUNCTION("""COMPUTED_VALUE"""),2.37641E7)</f>
        <v>23764100</v>
      </c>
      <c r="G1092" s="2">
        <f t="shared" si="1"/>
        <v>30</v>
      </c>
    </row>
    <row r="1093" ht="15.75" customHeight="1">
      <c r="A1093" s="1">
        <f>IFERROR(__xludf.DUMMYFUNCTION("""COMPUTED_VALUE"""),45483.66666666667)</f>
        <v>45483.66667</v>
      </c>
      <c r="B1093" s="2">
        <f>IFERROR(__xludf.DUMMYFUNCTION("""COMPUTED_VALUE"""),1295.0)</f>
        <v>1295</v>
      </c>
      <c r="C1093" s="2">
        <f>IFERROR(__xludf.DUMMYFUNCTION("""COMPUTED_VALUE"""),1320.0)</f>
        <v>1320</v>
      </c>
      <c r="D1093" s="2">
        <f>IFERROR(__xludf.DUMMYFUNCTION("""COMPUTED_VALUE"""),1285.0)</f>
        <v>1285</v>
      </c>
      <c r="E1093" s="2">
        <f>IFERROR(__xludf.DUMMYFUNCTION("""COMPUTED_VALUE"""),1285.0)</f>
        <v>1285</v>
      </c>
      <c r="F1093" s="2">
        <f>IFERROR(__xludf.DUMMYFUNCTION("""COMPUTED_VALUE"""),1.33643E7)</f>
        <v>13364300</v>
      </c>
      <c r="G1093" s="2">
        <f t="shared" si="1"/>
        <v>35</v>
      </c>
    </row>
    <row r="1094" ht="15.75" customHeight="1">
      <c r="A1094" s="1">
        <f>IFERROR(__xludf.DUMMYFUNCTION("""COMPUTED_VALUE"""),45484.66666666667)</f>
        <v>45484.66667</v>
      </c>
      <c r="B1094" s="2">
        <f>IFERROR(__xludf.DUMMYFUNCTION("""COMPUTED_VALUE"""),1290.0)</f>
        <v>1290</v>
      </c>
      <c r="C1094" s="2">
        <f>IFERROR(__xludf.DUMMYFUNCTION("""COMPUTED_VALUE"""),1295.0)</f>
        <v>1295</v>
      </c>
      <c r="D1094" s="2">
        <f>IFERROR(__xludf.DUMMYFUNCTION("""COMPUTED_VALUE"""),1275.0)</f>
        <v>1275</v>
      </c>
      <c r="E1094" s="2">
        <f>IFERROR(__xludf.DUMMYFUNCTION("""COMPUTED_VALUE"""),1295.0)</f>
        <v>1295</v>
      </c>
      <c r="F1094" s="2">
        <f>IFERROR(__xludf.DUMMYFUNCTION("""COMPUTED_VALUE"""),1.13789E7)</f>
        <v>11378900</v>
      </c>
      <c r="G1094" s="2">
        <f t="shared" si="1"/>
        <v>20</v>
      </c>
    </row>
    <row r="1095" ht="15.75" customHeight="1">
      <c r="A1095" s="1">
        <f>IFERROR(__xludf.DUMMYFUNCTION("""COMPUTED_VALUE"""),45485.66666666667)</f>
        <v>45485.66667</v>
      </c>
      <c r="B1095" s="2">
        <f>IFERROR(__xludf.DUMMYFUNCTION("""COMPUTED_VALUE"""),1310.0)</f>
        <v>1310</v>
      </c>
      <c r="C1095" s="2">
        <f>IFERROR(__xludf.DUMMYFUNCTION("""COMPUTED_VALUE"""),1370.0)</f>
        <v>1370</v>
      </c>
      <c r="D1095" s="2">
        <f>IFERROR(__xludf.DUMMYFUNCTION("""COMPUTED_VALUE"""),1310.0)</f>
        <v>1310</v>
      </c>
      <c r="E1095" s="2">
        <f>IFERROR(__xludf.DUMMYFUNCTION("""COMPUTED_VALUE"""),1360.0)</f>
        <v>1360</v>
      </c>
      <c r="F1095" s="2">
        <f>IFERROR(__xludf.DUMMYFUNCTION("""COMPUTED_VALUE"""),7.02883E7)</f>
        <v>70288300</v>
      </c>
      <c r="G1095" s="2">
        <f t="shared" si="1"/>
        <v>75</v>
      </c>
    </row>
    <row r="1096" ht="15.75" customHeight="1">
      <c r="A1096" s="1">
        <f>IFERROR(__xludf.DUMMYFUNCTION("""COMPUTED_VALUE"""),45488.66666666667)</f>
        <v>45488.66667</v>
      </c>
      <c r="B1096" s="2">
        <f>IFERROR(__xludf.DUMMYFUNCTION("""COMPUTED_VALUE"""),1365.0)</f>
        <v>1365</v>
      </c>
      <c r="C1096" s="2">
        <f>IFERROR(__xludf.DUMMYFUNCTION("""COMPUTED_VALUE"""),1365.0)</f>
        <v>1365</v>
      </c>
      <c r="D1096" s="2">
        <f>IFERROR(__xludf.DUMMYFUNCTION("""COMPUTED_VALUE"""),1345.0)</f>
        <v>1345</v>
      </c>
      <c r="E1096" s="2">
        <f>IFERROR(__xludf.DUMMYFUNCTION("""COMPUTED_VALUE"""),1360.0)</f>
        <v>1360</v>
      </c>
      <c r="F1096" s="2">
        <f>IFERROR(__xludf.DUMMYFUNCTION("""COMPUTED_VALUE"""),2.38475E7)</f>
        <v>23847500</v>
      </c>
      <c r="G1096" s="2">
        <f t="shared" si="1"/>
        <v>20</v>
      </c>
    </row>
    <row r="1097" ht="15.75" customHeight="1">
      <c r="A1097" s="1">
        <f>IFERROR(__xludf.DUMMYFUNCTION("""COMPUTED_VALUE"""),45489.66666666667)</f>
        <v>45489.66667</v>
      </c>
      <c r="B1097" s="2">
        <f>IFERROR(__xludf.DUMMYFUNCTION("""COMPUTED_VALUE"""),1375.0)</f>
        <v>1375</v>
      </c>
      <c r="C1097" s="2">
        <f>IFERROR(__xludf.DUMMYFUNCTION("""COMPUTED_VALUE"""),1385.0)</f>
        <v>1385</v>
      </c>
      <c r="D1097" s="2">
        <f>IFERROR(__xludf.DUMMYFUNCTION("""COMPUTED_VALUE"""),1365.0)</f>
        <v>1365</v>
      </c>
      <c r="E1097" s="2">
        <f>IFERROR(__xludf.DUMMYFUNCTION("""COMPUTED_VALUE"""),1380.0)</f>
        <v>1380</v>
      </c>
      <c r="F1097" s="2">
        <f>IFERROR(__xludf.DUMMYFUNCTION("""COMPUTED_VALUE"""),3.13402E7)</f>
        <v>31340200</v>
      </c>
      <c r="G1097" s="2">
        <f t="shared" si="1"/>
        <v>25</v>
      </c>
    </row>
    <row r="1098" ht="15.75" customHeight="1">
      <c r="A1098" s="1">
        <f>IFERROR(__xludf.DUMMYFUNCTION("""COMPUTED_VALUE"""),45490.66666666667)</f>
        <v>45490.66667</v>
      </c>
      <c r="B1098" s="2">
        <f>IFERROR(__xludf.DUMMYFUNCTION("""COMPUTED_VALUE"""),1380.0)</f>
        <v>1380</v>
      </c>
      <c r="C1098" s="2">
        <f>IFERROR(__xludf.DUMMYFUNCTION("""COMPUTED_VALUE"""),1415.0)</f>
        <v>1415</v>
      </c>
      <c r="D1098" s="2">
        <f>IFERROR(__xludf.DUMMYFUNCTION("""COMPUTED_VALUE"""),1375.0)</f>
        <v>1375</v>
      </c>
      <c r="E1098" s="2">
        <f>IFERROR(__xludf.DUMMYFUNCTION("""COMPUTED_VALUE"""),1415.0)</f>
        <v>1415</v>
      </c>
      <c r="F1098" s="2">
        <f>IFERROR(__xludf.DUMMYFUNCTION("""COMPUTED_VALUE"""),4.50391E7)</f>
        <v>45039100</v>
      </c>
      <c r="G1098" s="2">
        <f t="shared" si="1"/>
        <v>40</v>
      </c>
    </row>
    <row r="1099" ht="15.75" customHeight="1">
      <c r="A1099" s="1">
        <f>IFERROR(__xludf.DUMMYFUNCTION("""COMPUTED_VALUE"""),45491.66666666667)</f>
        <v>45491.66667</v>
      </c>
      <c r="B1099" s="2">
        <f>IFERROR(__xludf.DUMMYFUNCTION("""COMPUTED_VALUE"""),1410.0)</f>
        <v>1410</v>
      </c>
      <c r="C1099" s="2">
        <f>IFERROR(__xludf.DUMMYFUNCTION("""COMPUTED_VALUE"""),1415.0)</f>
        <v>1415</v>
      </c>
      <c r="D1099" s="2">
        <f>IFERROR(__xludf.DUMMYFUNCTION("""COMPUTED_VALUE"""),1380.0)</f>
        <v>1380</v>
      </c>
      <c r="E1099" s="2">
        <f>IFERROR(__xludf.DUMMYFUNCTION("""COMPUTED_VALUE"""),1390.0)</f>
        <v>1390</v>
      </c>
      <c r="F1099" s="2">
        <f>IFERROR(__xludf.DUMMYFUNCTION("""COMPUTED_VALUE"""),3.81899E7)</f>
        <v>38189900</v>
      </c>
      <c r="G1099" s="2">
        <f t="shared" si="1"/>
        <v>35</v>
      </c>
    </row>
    <row r="1100" ht="15.75" customHeight="1">
      <c r="A1100" s="1">
        <f>IFERROR(__xludf.DUMMYFUNCTION("""COMPUTED_VALUE"""),45492.66666666667)</f>
        <v>45492.66667</v>
      </c>
      <c r="B1100" s="2">
        <f>IFERROR(__xludf.DUMMYFUNCTION("""COMPUTED_VALUE"""),1390.0)</f>
        <v>1390</v>
      </c>
      <c r="C1100" s="2">
        <f>IFERROR(__xludf.DUMMYFUNCTION("""COMPUTED_VALUE"""),1395.0)</f>
        <v>1395</v>
      </c>
      <c r="D1100" s="2">
        <f>IFERROR(__xludf.DUMMYFUNCTION("""COMPUTED_VALUE"""),1355.0)</f>
        <v>1355</v>
      </c>
      <c r="E1100" s="2">
        <f>IFERROR(__xludf.DUMMYFUNCTION("""COMPUTED_VALUE"""),1370.0)</f>
        <v>1370</v>
      </c>
      <c r="F1100" s="2">
        <f>IFERROR(__xludf.DUMMYFUNCTION("""COMPUTED_VALUE"""),2.23746E7)</f>
        <v>22374600</v>
      </c>
      <c r="G1100" s="2">
        <f t="shared" si="1"/>
        <v>40</v>
      </c>
    </row>
    <row r="1101" ht="15.75" customHeight="1">
      <c r="A1101" s="1">
        <f>IFERROR(__xludf.DUMMYFUNCTION("""COMPUTED_VALUE"""),45495.66666666667)</f>
        <v>45495.66667</v>
      </c>
      <c r="B1101" s="2">
        <f>IFERROR(__xludf.DUMMYFUNCTION("""COMPUTED_VALUE"""),1370.0)</f>
        <v>1370</v>
      </c>
      <c r="C1101" s="2">
        <f>IFERROR(__xludf.DUMMYFUNCTION("""COMPUTED_VALUE"""),1390.0)</f>
        <v>1390</v>
      </c>
      <c r="D1101" s="2">
        <f>IFERROR(__xludf.DUMMYFUNCTION("""COMPUTED_VALUE"""),1355.0)</f>
        <v>1355</v>
      </c>
      <c r="E1101" s="2">
        <f>IFERROR(__xludf.DUMMYFUNCTION("""COMPUTED_VALUE"""),1370.0)</f>
        <v>1370</v>
      </c>
      <c r="F1101" s="2">
        <f>IFERROR(__xludf.DUMMYFUNCTION("""COMPUTED_VALUE"""),1.96851E7)</f>
        <v>19685100</v>
      </c>
      <c r="G1101" s="2">
        <f t="shared" si="1"/>
        <v>35</v>
      </c>
    </row>
    <row r="1102" ht="15.75" customHeight="1">
      <c r="A1102" s="1">
        <f>IFERROR(__xludf.DUMMYFUNCTION("""COMPUTED_VALUE"""),45496.66666666667)</f>
        <v>45496.66667</v>
      </c>
      <c r="B1102" s="2">
        <f>IFERROR(__xludf.DUMMYFUNCTION("""COMPUTED_VALUE"""),1385.0)</f>
        <v>1385</v>
      </c>
      <c r="C1102" s="2">
        <f>IFERROR(__xludf.DUMMYFUNCTION("""COMPUTED_VALUE"""),1385.0)</f>
        <v>1385</v>
      </c>
      <c r="D1102" s="2">
        <f>IFERROR(__xludf.DUMMYFUNCTION("""COMPUTED_VALUE"""),1350.0)</f>
        <v>1350</v>
      </c>
      <c r="E1102" s="2">
        <f>IFERROR(__xludf.DUMMYFUNCTION("""COMPUTED_VALUE"""),1360.0)</f>
        <v>1360</v>
      </c>
      <c r="F1102" s="2">
        <f>IFERROR(__xludf.DUMMYFUNCTION("""COMPUTED_VALUE"""),1.66412E7)</f>
        <v>16641200</v>
      </c>
      <c r="G1102" s="2">
        <f t="shared" si="1"/>
        <v>35</v>
      </c>
    </row>
    <row r="1103" ht="15.75" customHeight="1">
      <c r="A1103" s="1">
        <f>IFERROR(__xludf.DUMMYFUNCTION("""COMPUTED_VALUE"""),45497.66666666667)</f>
        <v>45497.66667</v>
      </c>
      <c r="B1103" s="2">
        <f>IFERROR(__xludf.DUMMYFUNCTION("""COMPUTED_VALUE"""),1360.0)</f>
        <v>1360</v>
      </c>
      <c r="C1103" s="2">
        <f>IFERROR(__xludf.DUMMYFUNCTION("""COMPUTED_VALUE"""),1370.0)</f>
        <v>1370</v>
      </c>
      <c r="D1103" s="2">
        <f>IFERROR(__xludf.DUMMYFUNCTION("""COMPUTED_VALUE"""),1335.0)</f>
        <v>1335</v>
      </c>
      <c r="E1103" s="2">
        <f>IFERROR(__xludf.DUMMYFUNCTION("""COMPUTED_VALUE"""),1355.0)</f>
        <v>1355</v>
      </c>
      <c r="F1103" s="2">
        <f>IFERROR(__xludf.DUMMYFUNCTION("""COMPUTED_VALUE"""),1.98063E7)</f>
        <v>19806300</v>
      </c>
      <c r="G1103" s="2">
        <f t="shared" si="1"/>
        <v>35</v>
      </c>
    </row>
    <row r="1104" ht="15.75" customHeight="1">
      <c r="A1104" s="1">
        <f>IFERROR(__xludf.DUMMYFUNCTION("""COMPUTED_VALUE"""),45498.66666666667)</f>
        <v>45498.66667</v>
      </c>
      <c r="B1104" s="2">
        <f>IFERROR(__xludf.DUMMYFUNCTION("""COMPUTED_VALUE"""),1355.0)</f>
        <v>1355</v>
      </c>
      <c r="C1104" s="2">
        <f>IFERROR(__xludf.DUMMYFUNCTION("""COMPUTED_VALUE"""),1355.0)</f>
        <v>1355</v>
      </c>
      <c r="D1104" s="2">
        <f>IFERROR(__xludf.DUMMYFUNCTION("""COMPUTED_VALUE"""),1315.0)</f>
        <v>1315</v>
      </c>
      <c r="E1104" s="2">
        <f>IFERROR(__xludf.DUMMYFUNCTION("""COMPUTED_VALUE"""),1325.0)</f>
        <v>1325</v>
      </c>
      <c r="F1104" s="2">
        <f>IFERROR(__xludf.DUMMYFUNCTION("""COMPUTED_VALUE"""),1.95478E7)</f>
        <v>19547800</v>
      </c>
      <c r="G1104" s="2">
        <f t="shared" si="1"/>
        <v>40</v>
      </c>
    </row>
    <row r="1105" ht="15.75" customHeight="1">
      <c r="A1105" s="1">
        <f>IFERROR(__xludf.DUMMYFUNCTION("""COMPUTED_VALUE"""),45499.66666666667)</f>
        <v>45499.66667</v>
      </c>
      <c r="B1105" s="2">
        <f>IFERROR(__xludf.DUMMYFUNCTION("""COMPUTED_VALUE"""),1325.0)</f>
        <v>1325</v>
      </c>
      <c r="C1105" s="2">
        <f>IFERROR(__xludf.DUMMYFUNCTION("""COMPUTED_VALUE"""),1340.0)</f>
        <v>1340</v>
      </c>
      <c r="D1105" s="2">
        <f>IFERROR(__xludf.DUMMYFUNCTION("""COMPUTED_VALUE"""),1300.0)</f>
        <v>1300</v>
      </c>
      <c r="E1105" s="2">
        <f>IFERROR(__xludf.DUMMYFUNCTION("""COMPUTED_VALUE"""),1310.0)</f>
        <v>1310</v>
      </c>
      <c r="F1105" s="2">
        <f>IFERROR(__xludf.DUMMYFUNCTION("""COMPUTED_VALUE"""),3.17961E7)</f>
        <v>31796100</v>
      </c>
      <c r="G1105" s="2">
        <f t="shared" si="1"/>
        <v>40</v>
      </c>
    </row>
    <row r="1106" ht="15.75" customHeight="1">
      <c r="A1106" s="1">
        <f>IFERROR(__xludf.DUMMYFUNCTION("""COMPUTED_VALUE"""),45502.66666666667)</f>
        <v>45502.66667</v>
      </c>
      <c r="B1106" s="2">
        <f>IFERROR(__xludf.DUMMYFUNCTION("""COMPUTED_VALUE"""),1320.0)</f>
        <v>1320</v>
      </c>
      <c r="C1106" s="2">
        <f>IFERROR(__xludf.DUMMYFUNCTION("""COMPUTED_VALUE"""),1325.0)</f>
        <v>1325</v>
      </c>
      <c r="D1106" s="2">
        <f>IFERROR(__xludf.DUMMYFUNCTION("""COMPUTED_VALUE"""),1305.0)</f>
        <v>1305</v>
      </c>
      <c r="E1106" s="2">
        <f>IFERROR(__xludf.DUMMYFUNCTION("""COMPUTED_VALUE"""),1310.0)</f>
        <v>1310</v>
      </c>
      <c r="F1106" s="2">
        <f>IFERROR(__xludf.DUMMYFUNCTION("""COMPUTED_VALUE"""),1.72744E7)</f>
        <v>17274400</v>
      </c>
      <c r="G1106" s="2">
        <f t="shared" si="1"/>
        <v>20</v>
      </c>
    </row>
    <row r="1107" ht="15.75" customHeight="1">
      <c r="A1107" s="1">
        <f>IFERROR(__xludf.DUMMYFUNCTION("""COMPUTED_VALUE"""),45503.66666666667)</f>
        <v>45503.66667</v>
      </c>
      <c r="B1107" s="2">
        <f>IFERROR(__xludf.DUMMYFUNCTION("""COMPUTED_VALUE"""),1320.0)</f>
        <v>1320</v>
      </c>
      <c r="C1107" s="2">
        <f>IFERROR(__xludf.DUMMYFUNCTION("""COMPUTED_VALUE"""),1325.0)</f>
        <v>1325</v>
      </c>
      <c r="D1107" s="2">
        <f>IFERROR(__xludf.DUMMYFUNCTION("""COMPUTED_VALUE"""),1300.0)</f>
        <v>1300</v>
      </c>
      <c r="E1107" s="2">
        <f>IFERROR(__xludf.DUMMYFUNCTION("""COMPUTED_VALUE"""),1310.0)</f>
        <v>1310</v>
      </c>
      <c r="F1107" s="2">
        <f>IFERROR(__xludf.DUMMYFUNCTION("""COMPUTED_VALUE"""),1.70485E7)</f>
        <v>17048500</v>
      </c>
      <c r="G1107" s="2">
        <f t="shared" si="1"/>
        <v>25</v>
      </c>
    </row>
    <row r="1108" ht="15.75" customHeight="1">
      <c r="A1108" s="1">
        <f>IFERROR(__xludf.DUMMYFUNCTION("""COMPUTED_VALUE"""),45504.66666666667)</f>
        <v>45504.66667</v>
      </c>
      <c r="B1108" s="2">
        <f>IFERROR(__xludf.DUMMYFUNCTION("""COMPUTED_VALUE"""),1310.0)</f>
        <v>1310</v>
      </c>
      <c r="C1108" s="2">
        <f>IFERROR(__xludf.DUMMYFUNCTION("""COMPUTED_VALUE"""),1330.0)</f>
        <v>1330</v>
      </c>
      <c r="D1108" s="2">
        <f>IFERROR(__xludf.DUMMYFUNCTION("""COMPUTED_VALUE"""),1305.0)</f>
        <v>1305</v>
      </c>
      <c r="E1108" s="2">
        <f>IFERROR(__xludf.DUMMYFUNCTION("""COMPUTED_VALUE"""),1315.0)</f>
        <v>1315</v>
      </c>
      <c r="F1108" s="2">
        <f>IFERROR(__xludf.DUMMYFUNCTION("""COMPUTED_VALUE"""),3.02378E7)</f>
        <v>30237800</v>
      </c>
      <c r="G1108" s="2">
        <f t="shared" si="1"/>
        <v>25</v>
      </c>
    </row>
    <row r="1109" ht="15.75" customHeight="1">
      <c r="A1109" s="1">
        <f>IFERROR(__xludf.DUMMYFUNCTION("""COMPUTED_VALUE"""),45505.66666666667)</f>
        <v>45505.66667</v>
      </c>
      <c r="B1109" s="2">
        <f>IFERROR(__xludf.DUMMYFUNCTION("""COMPUTED_VALUE"""),1325.0)</f>
        <v>1325</v>
      </c>
      <c r="C1109" s="2">
        <f>IFERROR(__xludf.DUMMYFUNCTION("""COMPUTED_VALUE"""),1345.0)</f>
        <v>1345</v>
      </c>
      <c r="D1109" s="2">
        <f>IFERROR(__xludf.DUMMYFUNCTION("""COMPUTED_VALUE"""),1320.0)</f>
        <v>1320</v>
      </c>
      <c r="E1109" s="2">
        <f>IFERROR(__xludf.DUMMYFUNCTION("""COMPUTED_VALUE"""),1340.0)</f>
        <v>1340</v>
      </c>
      <c r="F1109" s="2">
        <f>IFERROR(__xludf.DUMMYFUNCTION("""COMPUTED_VALUE"""),2.74081E7)</f>
        <v>27408100</v>
      </c>
      <c r="G1109" s="2">
        <f t="shared" si="1"/>
        <v>30</v>
      </c>
    </row>
    <row r="1110" ht="15.75" customHeight="1">
      <c r="A1110" s="1">
        <f>IFERROR(__xludf.DUMMYFUNCTION("""COMPUTED_VALUE"""),45506.66666666667)</f>
        <v>45506.66667</v>
      </c>
      <c r="B1110" s="2">
        <f>IFERROR(__xludf.DUMMYFUNCTION("""COMPUTED_VALUE"""),1330.0)</f>
        <v>1330</v>
      </c>
      <c r="C1110" s="2">
        <f>IFERROR(__xludf.DUMMYFUNCTION("""COMPUTED_VALUE"""),1340.0)</f>
        <v>1340</v>
      </c>
      <c r="D1110" s="2">
        <f>IFERROR(__xludf.DUMMYFUNCTION("""COMPUTED_VALUE"""),1320.0)</f>
        <v>1320</v>
      </c>
      <c r="E1110" s="2">
        <f>IFERROR(__xludf.DUMMYFUNCTION("""COMPUTED_VALUE"""),1320.0)</f>
        <v>1320</v>
      </c>
      <c r="F1110" s="2">
        <f>IFERROR(__xludf.DUMMYFUNCTION("""COMPUTED_VALUE"""),1.48755E7)</f>
        <v>14875500</v>
      </c>
      <c r="G1110" s="2">
        <f t="shared" si="1"/>
        <v>20</v>
      </c>
    </row>
    <row r="1111" ht="15.75" customHeight="1">
      <c r="A1111" s="1">
        <f>IFERROR(__xludf.DUMMYFUNCTION("""COMPUTED_VALUE"""),45509.66666666667)</f>
        <v>45509.66667</v>
      </c>
      <c r="B1111" s="2">
        <f>IFERROR(__xludf.DUMMYFUNCTION("""COMPUTED_VALUE"""),1310.0)</f>
        <v>1310</v>
      </c>
      <c r="C1111" s="2">
        <f>IFERROR(__xludf.DUMMYFUNCTION("""COMPUTED_VALUE"""),1310.0)</f>
        <v>1310</v>
      </c>
      <c r="D1111" s="2">
        <f>IFERROR(__xludf.DUMMYFUNCTION("""COMPUTED_VALUE"""),1235.0)</f>
        <v>1235</v>
      </c>
      <c r="E1111" s="2">
        <f>IFERROR(__xludf.DUMMYFUNCTION("""COMPUTED_VALUE"""),1245.0)</f>
        <v>1245</v>
      </c>
      <c r="F1111" s="2">
        <f>IFERROR(__xludf.DUMMYFUNCTION("""COMPUTED_VALUE"""),6.11849E7)</f>
        <v>61184900</v>
      </c>
      <c r="G1111" s="2">
        <f t="shared" si="1"/>
        <v>85</v>
      </c>
    </row>
    <row r="1112" ht="15.75" customHeight="1">
      <c r="A1112" s="1">
        <f>IFERROR(__xludf.DUMMYFUNCTION("""COMPUTED_VALUE"""),45510.66666666667)</f>
        <v>45510.66667</v>
      </c>
      <c r="B1112" s="2">
        <f>IFERROR(__xludf.DUMMYFUNCTION("""COMPUTED_VALUE"""),1255.0)</f>
        <v>1255</v>
      </c>
      <c r="C1112" s="2">
        <f>IFERROR(__xludf.DUMMYFUNCTION("""COMPUTED_VALUE"""),1275.0)</f>
        <v>1275</v>
      </c>
      <c r="D1112" s="2">
        <f>IFERROR(__xludf.DUMMYFUNCTION("""COMPUTED_VALUE"""),1235.0)</f>
        <v>1235</v>
      </c>
      <c r="E1112" s="2">
        <f>IFERROR(__xludf.DUMMYFUNCTION("""COMPUTED_VALUE"""),1275.0)</f>
        <v>1275</v>
      </c>
      <c r="F1112" s="2">
        <f>IFERROR(__xludf.DUMMYFUNCTION("""COMPUTED_VALUE"""),2.36472E7)</f>
        <v>23647200</v>
      </c>
      <c r="G1112" s="2">
        <f t="shared" si="1"/>
        <v>40</v>
      </c>
    </row>
    <row r="1113" ht="15.75" customHeight="1">
      <c r="A1113" s="1">
        <f>IFERROR(__xludf.DUMMYFUNCTION("""COMPUTED_VALUE"""),45511.66666666667)</f>
        <v>45511.66667</v>
      </c>
      <c r="B1113" s="2">
        <f>IFERROR(__xludf.DUMMYFUNCTION("""COMPUTED_VALUE"""),1275.0)</f>
        <v>1275</v>
      </c>
      <c r="C1113" s="2">
        <f>IFERROR(__xludf.DUMMYFUNCTION("""COMPUTED_VALUE"""),1280.0)</f>
        <v>1280</v>
      </c>
      <c r="D1113" s="2">
        <f>IFERROR(__xludf.DUMMYFUNCTION("""COMPUTED_VALUE"""),1260.0)</f>
        <v>1260</v>
      </c>
      <c r="E1113" s="2">
        <f>IFERROR(__xludf.DUMMYFUNCTION("""COMPUTED_VALUE"""),1270.0)</f>
        <v>1270</v>
      </c>
      <c r="F1113" s="2">
        <f>IFERROR(__xludf.DUMMYFUNCTION("""COMPUTED_VALUE"""),1.32832E7)</f>
        <v>13283200</v>
      </c>
      <c r="G1113" s="2">
        <f t="shared" si="1"/>
        <v>20</v>
      </c>
    </row>
    <row r="1114" ht="15.75" customHeight="1">
      <c r="A1114" s="1">
        <f>IFERROR(__xludf.DUMMYFUNCTION("""COMPUTED_VALUE"""),45512.66666666667)</f>
        <v>45512.66667</v>
      </c>
      <c r="B1114" s="2">
        <f>IFERROR(__xludf.DUMMYFUNCTION("""COMPUTED_VALUE"""),1270.0)</f>
        <v>1270</v>
      </c>
      <c r="C1114" s="2">
        <f>IFERROR(__xludf.DUMMYFUNCTION("""COMPUTED_VALUE"""),1275.0)</f>
        <v>1275</v>
      </c>
      <c r="D1114" s="2">
        <f>IFERROR(__xludf.DUMMYFUNCTION("""COMPUTED_VALUE"""),1255.0)</f>
        <v>1255</v>
      </c>
      <c r="E1114" s="2">
        <f>IFERROR(__xludf.DUMMYFUNCTION("""COMPUTED_VALUE"""),1260.0)</f>
        <v>1260</v>
      </c>
      <c r="F1114" s="2">
        <f>IFERROR(__xludf.DUMMYFUNCTION("""COMPUTED_VALUE"""),1.38458E7)</f>
        <v>13845800</v>
      </c>
      <c r="G1114" s="2">
        <f t="shared" si="1"/>
        <v>20</v>
      </c>
    </row>
    <row r="1115" ht="15.75" customHeight="1">
      <c r="A1115" s="1">
        <f>IFERROR(__xludf.DUMMYFUNCTION("""COMPUTED_VALUE"""),45513.66666666667)</f>
        <v>45513.66667</v>
      </c>
      <c r="B1115" s="2">
        <f>IFERROR(__xludf.DUMMYFUNCTION("""COMPUTED_VALUE"""),1270.0)</f>
        <v>1270</v>
      </c>
      <c r="C1115" s="2">
        <f>IFERROR(__xludf.DUMMYFUNCTION("""COMPUTED_VALUE"""),1285.0)</f>
        <v>1285</v>
      </c>
      <c r="D1115" s="2">
        <f>IFERROR(__xludf.DUMMYFUNCTION("""COMPUTED_VALUE"""),1265.0)</f>
        <v>1265</v>
      </c>
      <c r="E1115" s="2">
        <f>IFERROR(__xludf.DUMMYFUNCTION("""COMPUTED_VALUE"""),1265.0)</f>
        <v>1265</v>
      </c>
      <c r="F1115" s="2">
        <f>IFERROR(__xludf.DUMMYFUNCTION("""COMPUTED_VALUE"""),9489800.0)</f>
        <v>9489800</v>
      </c>
      <c r="G1115" s="2">
        <f t="shared" si="1"/>
        <v>25</v>
      </c>
    </row>
    <row r="1116" ht="15.75" customHeight="1">
      <c r="A1116" s="1">
        <f>IFERROR(__xludf.DUMMYFUNCTION("""COMPUTED_VALUE"""),45516.66666666667)</f>
        <v>45516.66667</v>
      </c>
      <c r="B1116" s="2">
        <f>IFERROR(__xludf.DUMMYFUNCTION("""COMPUTED_VALUE"""),1270.0)</f>
        <v>1270</v>
      </c>
      <c r="C1116" s="2">
        <f>IFERROR(__xludf.DUMMYFUNCTION("""COMPUTED_VALUE"""),1280.0)</f>
        <v>1280</v>
      </c>
      <c r="D1116" s="2">
        <f>IFERROR(__xludf.DUMMYFUNCTION("""COMPUTED_VALUE"""),1260.0)</f>
        <v>1260</v>
      </c>
      <c r="E1116" s="2">
        <f>IFERROR(__xludf.DUMMYFUNCTION("""COMPUTED_VALUE"""),1280.0)</f>
        <v>1280</v>
      </c>
      <c r="F1116" s="2">
        <f>IFERROR(__xludf.DUMMYFUNCTION("""COMPUTED_VALUE"""),7995700.0)</f>
        <v>7995700</v>
      </c>
      <c r="G1116" s="2">
        <f t="shared" si="1"/>
        <v>20</v>
      </c>
    </row>
    <row r="1117" ht="15.75" customHeight="1">
      <c r="A1117" s="1">
        <f>IFERROR(__xludf.DUMMYFUNCTION("""COMPUTED_VALUE"""),45517.66666666667)</f>
        <v>45517.66667</v>
      </c>
      <c r="B1117" s="2">
        <f>IFERROR(__xludf.DUMMYFUNCTION("""COMPUTED_VALUE"""),1280.0)</f>
        <v>1280</v>
      </c>
      <c r="C1117" s="2">
        <f>IFERROR(__xludf.DUMMYFUNCTION("""COMPUTED_VALUE"""),1320.0)</f>
        <v>1320</v>
      </c>
      <c r="D1117" s="2">
        <f>IFERROR(__xludf.DUMMYFUNCTION("""COMPUTED_VALUE"""),1275.0)</f>
        <v>1275</v>
      </c>
      <c r="E1117" s="2">
        <f>IFERROR(__xludf.DUMMYFUNCTION("""COMPUTED_VALUE"""),1310.0)</f>
        <v>1310</v>
      </c>
      <c r="F1117" s="2">
        <f>IFERROR(__xludf.DUMMYFUNCTION("""COMPUTED_VALUE"""),2.4621E7)</f>
        <v>24621000</v>
      </c>
      <c r="G1117" s="2">
        <f t="shared" si="1"/>
        <v>45</v>
      </c>
    </row>
    <row r="1118" ht="15.75" customHeight="1">
      <c r="A1118" s="1">
        <f>IFERROR(__xludf.DUMMYFUNCTION("""COMPUTED_VALUE"""),45518.66666666667)</f>
        <v>45518.66667</v>
      </c>
      <c r="B1118" s="2">
        <f>IFERROR(__xludf.DUMMYFUNCTION("""COMPUTED_VALUE"""),1320.0)</f>
        <v>1320</v>
      </c>
      <c r="C1118" s="2">
        <f>IFERROR(__xludf.DUMMYFUNCTION("""COMPUTED_VALUE"""),1330.0)</f>
        <v>1330</v>
      </c>
      <c r="D1118" s="2">
        <f>IFERROR(__xludf.DUMMYFUNCTION("""COMPUTED_VALUE"""),1300.0)</f>
        <v>1300</v>
      </c>
      <c r="E1118" s="2">
        <f>IFERROR(__xludf.DUMMYFUNCTION("""COMPUTED_VALUE"""),1305.0)</f>
        <v>1305</v>
      </c>
      <c r="F1118" s="2">
        <f>IFERROR(__xludf.DUMMYFUNCTION("""COMPUTED_VALUE"""),2.28144E7)</f>
        <v>22814400</v>
      </c>
      <c r="G1118" s="2">
        <f t="shared" si="1"/>
        <v>30</v>
      </c>
    </row>
    <row r="1119" ht="15.75" customHeight="1">
      <c r="A1119" s="1">
        <f>IFERROR(__xludf.DUMMYFUNCTION("""COMPUTED_VALUE"""),45519.66666666667)</f>
        <v>45519.66667</v>
      </c>
      <c r="B1119" s="2">
        <f>IFERROR(__xludf.DUMMYFUNCTION("""COMPUTED_VALUE"""),1310.0)</f>
        <v>1310</v>
      </c>
      <c r="C1119" s="2">
        <f>IFERROR(__xludf.DUMMYFUNCTION("""COMPUTED_VALUE"""),1320.0)</f>
        <v>1320</v>
      </c>
      <c r="D1119" s="2">
        <f>IFERROR(__xludf.DUMMYFUNCTION("""COMPUTED_VALUE"""),1290.0)</f>
        <v>1290</v>
      </c>
      <c r="E1119" s="2">
        <f>IFERROR(__xludf.DUMMYFUNCTION("""COMPUTED_VALUE"""),1300.0)</f>
        <v>1300</v>
      </c>
      <c r="F1119" s="2">
        <f>IFERROR(__xludf.DUMMYFUNCTION("""COMPUTED_VALUE"""),1.95012E7)</f>
        <v>19501200</v>
      </c>
      <c r="G1119" s="2">
        <f t="shared" si="1"/>
        <v>30</v>
      </c>
    </row>
    <row r="1120" ht="15.75" customHeight="1">
      <c r="A1120" s="1">
        <f>IFERROR(__xludf.DUMMYFUNCTION("""COMPUTED_VALUE"""),45520.66666666667)</f>
        <v>45520.66667</v>
      </c>
      <c r="B1120" s="2">
        <f>IFERROR(__xludf.DUMMYFUNCTION("""COMPUTED_VALUE"""),1310.0)</f>
        <v>1310</v>
      </c>
      <c r="C1120" s="2">
        <f>IFERROR(__xludf.DUMMYFUNCTION("""COMPUTED_VALUE"""),1315.0)</f>
        <v>1315</v>
      </c>
      <c r="D1120" s="2">
        <f>IFERROR(__xludf.DUMMYFUNCTION("""COMPUTED_VALUE"""),1300.0)</f>
        <v>1300</v>
      </c>
      <c r="E1120" s="2">
        <f>IFERROR(__xludf.DUMMYFUNCTION("""COMPUTED_VALUE"""),1305.0)</f>
        <v>1305</v>
      </c>
      <c r="F1120" s="2">
        <f>IFERROR(__xludf.DUMMYFUNCTION("""COMPUTED_VALUE"""),1.06299E7)</f>
        <v>10629900</v>
      </c>
      <c r="G1120" s="2">
        <f t="shared" si="1"/>
        <v>15</v>
      </c>
    </row>
    <row r="1121" ht="15.75" customHeight="1">
      <c r="A1121" s="1">
        <f>IFERROR(__xludf.DUMMYFUNCTION("""COMPUTED_VALUE"""),45523.66666666667)</f>
        <v>45523.66667</v>
      </c>
      <c r="B1121" s="2">
        <f>IFERROR(__xludf.DUMMYFUNCTION("""COMPUTED_VALUE"""),1315.0)</f>
        <v>1315</v>
      </c>
      <c r="C1121" s="2">
        <f>IFERROR(__xludf.DUMMYFUNCTION("""COMPUTED_VALUE"""),1315.0)</f>
        <v>1315</v>
      </c>
      <c r="D1121" s="2">
        <f>IFERROR(__xludf.DUMMYFUNCTION("""COMPUTED_VALUE"""),1295.0)</f>
        <v>1295</v>
      </c>
      <c r="E1121" s="2">
        <f>IFERROR(__xludf.DUMMYFUNCTION("""COMPUTED_VALUE"""),1315.0)</f>
        <v>1315</v>
      </c>
      <c r="F1121" s="2">
        <f>IFERROR(__xludf.DUMMYFUNCTION("""COMPUTED_VALUE"""),1.81027E7)</f>
        <v>18102700</v>
      </c>
      <c r="G1121" s="2">
        <f t="shared" si="1"/>
        <v>20</v>
      </c>
    </row>
    <row r="1122" ht="15.75" customHeight="1">
      <c r="A1122" s="1">
        <f>IFERROR(__xludf.DUMMYFUNCTION("""COMPUTED_VALUE"""),45524.66666666667)</f>
        <v>45524.66667</v>
      </c>
      <c r="B1122" s="2">
        <f>IFERROR(__xludf.DUMMYFUNCTION("""COMPUTED_VALUE"""),1325.0)</f>
        <v>1325</v>
      </c>
      <c r="C1122" s="2">
        <f>IFERROR(__xludf.DUMMYFUNCTION("""COMPUTED_VALUE"""),1370.0)</f>
        <v>1370</v>
      </c>
      <c r="D1122" s="2">
        <f>IFERROR(__xludf.DUMMYFUNCTION("""COMPUTED_VALUE"""),1315.0)</f>
        <v>1315</v>
      </c>
      <c r="E1122" s="2">
        <f>IFERROR(__xludf.DUMMYFUNCTION("""COMPUTED_VALUE"""),1365.0)</f>
        <v>1365</v>
      </c>
      <c r="F1122" s="2">
        <f>IFERROR(__xludf.DUMMYFUNCTION("""COMPUTED_VALUE"""),6.34665E7)</f>
        <v>63466500</v>
      </c>
      <c r="G1122" s="2">
        <f t="shared" si="1"/>
        <v>55</v>
      </c>
    </row>
    <row r="1123" ht="15.75" customHeight="1">
      <c r="A1123" s="1">
        <f>IFERROR(__xludf.DUMMYFUNCTION("""COMPUTED_VALUE"""),45525.66666666667)</f>
        <v>45525.66667</v>
      </c>
      <c r="B1123" s="2">
        <f>IFERROR(__xludf.DUMMYFUNCTION("""COMPUTED_VALUE"""),1375.0)</f>
        <v>1375</v>
      </c>
      <c r="C1123" s="2">
        <f>IFERROR(__xludf.DUMMYFUNCTION("""COMPUTED_VALUE"""),1380.0)</f>
        <v>1380</v>
      </c>
      <c r="D1123" s="2">
        <f>IFERROR(__xludf.DUMMYFUNCTION("""COMPUTED_VALUE"""),1350.0)</f>
        <v>1350</v>
      </c>
      <c r="E1123" s="2">
        <f>IFERROR(__xludf.DUMMYFUNCTION("""COMPUTED_VALUE"""),1350.0)</f>
        <v>1350</v>
      </c>
      <c r="F1123" s="2">
        <f>IFERROR(__xludf.DUMMYFUNCTION("""COMPUTED_VALUE"""),3.50657E7)</f>
        <v>35065700</v>
      </c>
      <c r="G1123" s="2">
        <f t="shared" si="1"/>
        <v>30</v>
      </c>
    </row>
    <row r="1124" ht="15.75" customHeight="1">
      <c r="A1124" s="1">
        <f>IFERROR(__xludf.DUMMYFUNCTION("""COMPUTED_VALUE"""),45526.66666666667)</f>
        <v>45526.66667</v>
      </c>
      <c r="B1124" s="2">
        <f>IFERROR(__xludf.DUMMYFUNCTION("""COMPUTED_VALUE"""),1350.0)</f>
        <v>1350</v>
      </c>
      <c r="C1124" s="2">
        <f>IFERROR(__xludf.DUMMYFUNCTION("""COMPUTED_VALUE"""),1350.0)</f>
        <v>1350</v>
      </c>
      <c r="D1124" s="2">
        <f>IFERROR(__xludf.DUMMYFUNCTION("""COMPUTED_VALUE"""),1320.0)</f>
        <v>1320</v>
      </c>
      <c r="E1124" s="2">
        <f>IFERROR(__xludf.DUMMYFUNCTION("""COMPUTED_VALUE"""),1320.0)</f>
        <v>1320</v>
      </c>
      <c r="F1124" s="2">
        <f>IFERROR(__xludf.DUMMYFUNCTION("""COMPUTED_VALUE"""),2.78679E7)</f>
        <v>27867900</v>
      </c>
      <c r="G1124" s="2">
        <f t="shared" si="1"/>
        <v>30</v>
      </c>
    </row>
    <row r="1125" ht="15.75" customHeight="1">
      <c r="A1125" s="1">
        <f>IFERROR(__xludf.DUMMYFUNCTION("""COMPUTED_VALUE"""),45527.66666666667)</f>
        <v>45527.66667</v>
      </c>
      <c r="B1125" s="2">
        <f>IFERROR(__xludf.DUMMYFUNCTION("""COMPUTED_VALUE"""),1325.0)</f>
        <v>1325</v>
      </c>
      <c r="C1125" s="2">
        <f>IFERROR(__xludf.DUMMYFUNCTION("""COMPUTED_VALUE"""),1375.0)</f>
        <v>1375</v>
      </c>
      <c r="D1125" s="2">
        <f>IFERROR(__xludf.DUMMYFUNCTION("""COMPUTED_VALUE"""),1325.0)</f>
        <v>1325</v>
      </c>
      <c r="E1125" s="2">
        <f>IFERROR(__xludf.DUMMYFUNCTION("""COMPUTED_VALUE"""),1370.0)</f>
        <v>1370</v>
      </c>
      <c r="F1125" s="2">
        <f>IFERROR(__xludf.DUMMYFUNCTION("""COMPUTED_VALUE"""),3.61124E7)</f>
        <v>36112400</v>
      </c>
      <c r="G1125" s="2">
        <f t="shared" si="1"/>
        <v>55</v>
      </c>
    </row>
    <row r="1126" ht="15.75" customHeight="1">
      <c r="A1126" s="1">
        <f>IFERROR(__xludf.DUMMYFUNCTION("""COMPUTED_VALUE"""),45530.66666666667)</f>
        <v>45530.66667</v>
      </c>
      <c r="B1126" s="2">
        <f>IFERROR(__xludf.DUMMYFUNCTION("""COMPUTED_VALUE"""),1370.0)</f>
        <v>1370</v>
      </c>
      <c r="C1126" s="2">
        <f>IFERROR(__xludf.DUMMYFUNCTION("""COMPUTED_VALUE"""),1440.0)</f>
        <v>1440</v>
      </c>
      <c r="D1126" s="2">
        <f>IFERROR(__xludf.DUMMYFUNCTION("""COMPUTED_VALUE"""),1365.0)</f>
        <v>1365</v>
      </c>
      <c r="E1126" s="2">
        <f>IFERROR(__xludf.DUMMYFUNCTION("""COMPUTED_VALUE"""),1435.0)</f>
        <v>1435</v>
      </c>
      <c r="F1126" s="2">
        <f>IFERROR(__xludf.DUMMYFUNCTION("""COMPUTED_VALUE"""),9.81312E7)</f>
        <v>98131200</v>
      </c>
      <c r="G1126" s="2">
        <f t="shared" si="1"/>
        <v>75</v>
      </c>
    </row>
    <row r="1127" ht="15.75" customHeight="1">
      <c r="A1127" s="1">
        <f>IFERROR(__xludf.DUMMYFUNCTION("""COMPUTED_VALUE"""),45531.66666666667)</f>
        <v>45531.66667</v>
      </c>
      <c r="B1127" s="2">
        <f>IFERROR(__xludf.DUMMYFUNCTION("""COMPUTED_VALUE"""),1435.0)</f>
        <v>1435</v>
      </c>
      <c r="C1127" s="2">
        <f>IFERROR(__xludf.DUMMYFUNCTION("""COMPUTED_VALUE"""),1440.0)</f>
        <v>1440</v>
      </c>
      <c r="D1127" s="2">
        <f>IFERROR(__xludf.DUMMYFUNCTION("""COMPUTED_VALUE"""),1390.0)</f>
        <v>1390</v>
      </c>
      <c r="E1127" s="2">
        <f>IFERROR(__xludf.DUMMYFUNCTION("""COMPUTED_VALUE"""),1400.0)</f>
        <v>1400</v>
      </c>
      <c r="F1127" s="2">
        <f>IFERROR(__xludf.DUMMYFUNCTION("""COMPUTED_VALUE"""),4.66325E7)</f>
        <v>46632500</v>
      </c>
      <c r="G1127" s="2">
        <f t="shared" si="1"/>
        <v>50</v>
      </c>
    </row>
    <row r="1128" ht="15.75" customHeight="1">
      <c r="A1128" s="1">
        <f>IFERROR(__xludf.DUMMYFUNCTION("""COMPUTED_VALUE"""),45532.66666666667)</f>
        <v>45532.66667</v>
      </c>
      <c r="B1128" s="2">
        <f>IFERROR(__xludf.DUMMYFUNCTION("""COMPUTED_VALUE"""),1415.0)</f>
        <v>1415</v>
      </c>
      <c r="C1128" s="2">
        <f>IFERROR(__xludf.DUMMYFUNCTION("""COMPUTED_VALUE"""),1425.0)</f>
        <v>1425</v>
      </c>
      <c r="D1128" s="2">
        <f>IFERROR(__xludf.DUMMYFUNCTION("""COMPUTED_VALUE"""),1385.0)</f>
        <v>1385</v>
      </c>
      <c r="E1128" s="2">
        <f>IFERROR(__xludf.DUMMYFUNCTION("""COMPUTED_VALUE"""),1420.0)</f>
        <v>1420</v>
      </c>
      <c r="F1128" s="2">
        <f>IFERROR(__xludf.DUMMYFUNCTION("""COMPUTED_VALUE"""),4.56168E7)</f>
        <v>45616800</v>
      </c>
      <c r="G1128" s="2">
        <f t="shared" si="1"/>
        <v>40</v>
      </c>
    </row>
    <row r="1129" ht="15.75" customHeight="1">
      <c r="A1129" s="1">
        <f>IFERROR(__xludf.DUMMYFUNCTION("""COMPUTED_VALUE"""),45533.66666666667)</f>
        <v>45533.66667</v>
      </c>
      <c r="B1129" s="2">
        <f>IFERROR(__xludf.DUMMYFUNCTION("""COMPUTED_VALUE"""),1420.0)</f>
        <v>1420</v>
      </c>
      <c r="C1129" s="2">
        <f>IFERROR(__xludf.DUMMYFUNCTION("""COMPUTED_VALUE"""),1420.0)</f>
        <v>1420</v>
      </c>
      <c r="D1129" s="2">
        <f>IFERROR(__xludf.DUMMYFUNCTION("""COMPUTED_VALUE"""),1390.0)</f>
        <v>1390</v>
      </c>
      <c r="E1129" s="2">
        <f>IFERROR(__xludf.DUMMYFUNCTION("""COMPUTED_VALUE"""),1390.0)</f>
        <v>1390</v>
      </c>
      <c r="F1129" s="2">
        <f>IFERROR(__xludf.DUMMYFUNCTION("""COMPUTED_VALUE"""),3.80642E7)</f>
        <v>38064200</v>
      </c>
      <c r="G1129" s="2">
        <f t="shared" si="1"/>
        <v>30</v>
      </c>
    </row>
    <row r="1130" ht="15.75" customHeight="1">
      <c r="A1130" s="1">
        <f>IFERROR(__xludf.DUMMYFUNCTION("""COMPUTED_VALUE"""),45534.66666666667)</f>
        <v>45534.66667</v>
      </c>
      <c r="B1130" s="2">
        <f>IFERROR(__xludf.DUMMYFUNCTION("""COMPUTED_VALUE"""),1400.0)</f>
        <v>1400</v>
      </c>
      <c r="C1130" s="2">
        <f>IFERROR(__xludf.DUMMYFUNCTION("""COMPUTED_VALUE"""),1410.0)</f>
        <v>1410</v>
      </c>
      <c r="D1130" s="2">
        <f>IFERROR(__xludf.DUMMYFUNCTION("""COMPUTED_VALUE"""),1390.0)</f>
        <v>1390</v>
      </c>
      <c r="E1130" s="2">
        <f>IFERROR(__xludf.DUMMYFUNCTION("""COMPUTED_VALUE"""),1410.0)</f>
        <v>1410</v>
      </c>
      <c r="F1130" s="2">
        <f>IFERROR(__xludf.DUMMYFUNCTION("""COMPUTED_VALUE"""),2.80412E7)</f>
        <v>28041200</v>
      </c>
      <c r="G1130" s="2">
        <f t="shared" si="1"/>
        <v>20</v>
      </c>
    </row>
    <row r="1131" ht="15.75" customHeight="1">
      <c r="A1131" s="1">
        <f>IFERROR(__xludf.DUMMYFUNCTION("""COMPUTED_VALUE"""),45537.66666666667)</f>
        <v>45537.66667</v>
      </c>
      <c r="B1131" s="2">
        <f>IFERROR(__xludf.DUMMYFUNCTION("""COMPUTED_VALUE"""),1410.0)</f>
        <v>1410</v>
      </c>
      <c r="C1131" s="2">
        <f>IFERROR(__xludf.DUMMYFUNCTION("""COMPUTED_VALUE"""),1415.0)</f>
        <v>1415</v>
      </c>
      <c r="D1131" s="2">
        <f>IFERROR(__xludf.DUMMYFUNCTION("""COMPUTED_VALUE"""),1390.0)</f>
        <v>1390</v>
      </c>
      <c r="E1131" s="2">
        <f>IFERROR(__xludf.DUMMYFUNCTION("""COMPUTED_VALUE"""),1395.0)</f>
        <v>1395</v>
      </c>
      <c r="F1131" s="2">
        <f>IFERROR(__xludf.DUMMYFUNCTION("""COMPUTED_VALUE"""),2.54191E7)</f>
        <v>25419100</v>
      </c>
      <c r="G1131" s="2">
        <f t="shared" si="1"/>
        <v>25</v>
      </c>
    </row>
    <row r="1132" ht="15.75" customHeight="1">
      <c r="A1132" s="1">
        <f>IFERROR(__xludf.DUMMYFUNCTION("""COMPUTED_VALUE"""),45538.66666666667)</f>
        <v>45538.66667</v>
      </c>
      <c r="B1132" s="2">
        <f>IFERROR(__xludf.DUMMYFUNCTION("""COMPUTED_VALUE"""),1400.0)</f>
        <v>1400</v>
      </c>
      <c r="C1132" s="2">
        <f>IFERROR(__xludf.DUMMYFUNCTION("""COMPUTED_VALUE"""),1405.0)</f>
        <v>1405</v>
      </c>
      <c r="D1132" s="2">
        <f>IFERROR(__xludf.DUMMYFUNCTION("""COMPUTED_VALUE"""),1375.0)</f>
        <v>1375</v>
      </c>
      <c r="E1132" s="2">
        <f>IFERROR(__xludf.DUMMYFUNCTION("""COMPUTED_VALUE"""),1385.0)</f>
        <v>1385</v>
      </c>
      <c r="F1132" s="2">
        <f>IFERROR(__xludf.DUMMYFUNCTION("""COMPUTED_VALUE"""),2.18493E7)</f>
        <v>21849300</v>
      </c>
      <c r="G1132" s="2">
        <f t="shared" si="1"/>
        <v>30</v>
      </c>
    </row>
    <row r="1133" ht="15.75" customHeight="1">
      <c r="A1133" s="1">
        <f>IFERROR(__xludf.DUMMYFUNCTION("""COMPUTED_VALUE"""),45539.66666666667)</f>
        <v>45539.66667</v>
      </c>
      <c r="B1133" s="2">
        <f>IFERROR(__xludf.DUMMYFUNCTION("""COMPUTED_VALUE"""),1360.0)</f>
        <v>1360</v>
      </c>
      <c r="C1133" s="2">
        <f>IFERROR(__xludf.DUMMYFUNCTION("""COMPUTED_VALUE"""),1385.0)</f>
        <v>1385</v>
      </c>
      <c r="D1133" s="2">
        <f>IFERROR(__xludf.DUMMYFUNCTION("""COMPUTED_VALUE"""),1360.0)</f>
        <v>1360</v>
      </c>
      <c r="E1133" s="2">
        <f>IFERROR(__xludf.DUMMYFUNCTION("""COMPUTED_VALUE"""),1365.0)</f>
        <v>1365</v>
      </c>
      <c r="F1133" s="2">
        <f>IFERROR(__xludf.DUMMYFUNCTION("""COMPUTED_VALUE"""),2.63263E7)</f>
        <v>26326300</v>
      </c>
      <c r="G1133" s="2">
        <f t="shared" si="1"/>
        <v>25</v>
      </c>
    </row>
    <row r="1134" ht="15.75" customHeight="1">
      <c r="A1134" s="1">
        <f>IFERROR(__xludf.DUMMYFUNCTION("""COMPUTED_VALUE"""),45540.66666666667)</f>
        <v>45540.66667</v>
      </c>
      <c r="B1134" s="2">
        <f>IFERROR(__xludf.DUMMYFUNCTION("""COMPUTED_VALUE"""),1370.0)</f>
        <v>1370</v>
      </c>
      <c r="C1134" s="2">
        <f>IFERROR(__xludf.DUMMYFUNCTION("""COMPUTED_VALUE"""),1410.0)</f>
        <v>1410</v>
      </c>
      <c r="D1134" s="2">
        <f>IFERROR(__xludf.DUMMYFUNCTION("""COMPUTED_VALUE"""),1370.0)</f>
        <v>1370</v>
      </c>
      <c r="E1134" s="2">
        <f>IFERROR(__xludf.DUMMYFUNCTION("""COMPUTED_VALUE"""),1405.0)</f>
        <v>1405</v>
      </c>
      <c r="F1134" s="2">
        <f>IFERROR(__xludf.DUMMYFUNCTION("""COMPUTED_VALUE"""),3.7101E7)</f>
        <v>37101000</v>
      </c>
      <c r="G1134" s="2">
        <f t="shared" si="1"/>
        <v>45</v>
      </c>
    </row>
    <row r="1135" ht="15.75" customHeight="1">
      <c r="A1135" s="1">
        <f>IFERROR(__xludf.DUMMYFUNCTION("""COMPUTED_VALUE"""),45541.66666666667)</f>
        <v>45541.66667</v>
      </c>
      <c r="B1135" s="2">
        <f>IFERROR(__xludf.DUMMYFUNCTION("""COMPUTED_VALUE"""),1405.0)</f>
        <v>1405</v>
      </c>
      <c r="C1135" s="2">
        <f>IFERROR(__xludf.DUMMYFUNCTION("""COMPUTED_VALUE"""),1430.0)</f>
        <v>1430</v>
      </c>
      <c r="D1135" s="2">
        <f>IFERROR(__xludf.DUMMYFUNCTION("""COMPUTED_VALUE"""),1395.0)</f>
        <v>1395</v>
      </c>
      <c r="E1135" s="2">
        <f>IFERROR(__xludf.DUMMYFUNCTION("""COMPUTED_VALUE"""),1405.0)</f>
        <v>1405</v>
      </c>
      <c r="F1135" s="2">
        <f>IFERROR(__xludf.DUMMYFUNCTION("""COMPUTED_VALUE"""),3.86755E7)</f>
        <v>38675500</v>
      </c>
      <c r="G1135" s="2">
        <f t="shared" si="1"/>
        <v>35</v>
      </c>
    </row>
    <row r="1136" ht="15.75" customHeight="1">
      <c r="A1136" s="1">
        <f>IFERROR(__xludf.DUMMYFUNCTION("""COMPUTED_VALUE"""),45544.66666666667)</f>
        <v>45544.66667</v>
      </c>
      <c r="B1136" s="2">
        <f>IFERROR(__xludf.DUMMYFUNCTION("""COMPUTED_VALUE"""),1405.0)</f>
        <v>1405</v>
      </c>
      <c r="C1136" s="2">
        <f>IFERROR(__xludf.DUMMYFUNCTION("""COMPUTED_VALUE"""),1425.0)</f>
        <v>1425</v>
      </c>
      <c r="D1136" s="2">
        <f>IFERROR(__xludf.DUMMYFUNCTION("""COMPUTED_VALUE"""),1380.0)</f>
        <v>1380</v>
      </c>
      <c r="E1136" s="2">
        <f>IFERROR(__xludf.DUMMYFUNCTION("""COMPUTED_VALUE"""),1400.0)</f>
        <v>1400</v>
      </c>
      <c r="F1136" s="2">
        <f>IFERROR(__xludf.DUMMYFUNCTION("""COMPUTED_VALUE"""),2.67982E7)</f>
        <v>26798200</v>
      </c>
      <c r="G1136" s="2">
        <f t="shared" si="1"/>
        <v>45</v>
      </c>
    </row>
    <row r="1137" ht="15.75" customHeight="1">
      <c r="A1137" s="1">
        <f>IFERROR(__xludf.DUMMYFUNCTION("""COMPUTED_VALUE"""),45545.66666666667)</f>
        <v>45545.66667</v>
      </c>
      <c r="B1137" s="2">
        <f>IFERROR(__xludf.DUMMYFUNCTION("""COMPUTED_VALUE"""),1410.0)</f>
        <v>1410</v>
      </c>
      <c r="C1137" s="2">
        <f>IFERROR(__xludf.DUMMYFUNCTION("""COMPUTED_VALUE"""),1435.0)</f>
        <v>1435</v>
      </c>
      <c r="D1137" s="2">
        <f>IFERROR(__xludf.DUMMYFUNCTION("""COMPUTED_VALUE"""),1400.0)</f>
        <v>1400</v>
      </c>
      <c r="E1137" s="2">
        <f>IFERROR(__xludf.DUMMYFUNCTION("""COMPUTED_VALUE"""),1425.0)</f>
        <v>1425</v>
      </c>
      <c r="F1137" s="2">
        <f>IFERROR(__xludf.DUMMYFUNCTION("""COMPUTED_VALUE"""),4.42401E7)</f>
        <v>44240100</v>
      </c>
      <c r="G1137" s="2">
        <f t="shared" si="1"/>
        <v>35</v>
      </c>
    </row>
    <row r="1138" ht="15.75" customHeight="1">
      <c r="A1138" s="1">
        <f>IFERROR(__xludf.DUMMYFUNCTION("""COMPUTED_VALUE"""),45546.66666666667)</f>
        <v>45546.66667</v>
      </c>
      <c r="B1138" s="2">
        <f>IFERROR(__xludf.DUMMYFUNCTION("""COMPUTED_VALUE"""),1430.0)</f>
        <v>1430</v>
      </c>
      <c r="C1138" s="2">
        <f>IFERROR(__xludf.DUMMYFUNCTION("""COMPUTED_VALUE"""),1460.0)</f>
        <v>1460</v>
      </c>
      <c r="D1138" s="2">
        <f>IFERROR(__xludf.DUMMYFUNCTION("""COMPUTED_VALUE"""),1415.0)</f>
        <v>1415</v>
      </c>
      <c r="E1138" s="2">
        <f>IFERROR(__xludf.DUMMYFUNCTION("""COMPUTED_VALUE"""),1445.0)</f>
        <v>1445</v>
      </c>
      <c r="F1138" s="2">
        <f>IFERROR(__xludf.DUMMYFUNCTION("""COMPUTED_VALUE"""),5.07461E7)</f>
        <v>50746100</v>
      </c>
      <c r="G1138" s="2">
        <f t="shared" si="1"/>
        <v>45</v>
      </c>
    </row>
    <row r="1139" ht="15.75" customHeight="1">
      <c r="A1139" s="1">
        <f>IFERROR(__xludf.DUMMYFUNCTION("""COMPUTED_VALUE"""),45547.66666666667)</f>
        <v>45547.66667</v>
      </c>
      <c r="B1139" s="2">
        <f>IFERROR(__xludf.DUMMYFUNCTION("""COMPUTED_VALUE"""),1445.0)</f>
        <v>1445</v>
      </c>
      <c r="C1139" s="2">
        <f>IFERROR(__xludf.DUMMYFUNCTION("""COMPUTED_VALUE"""),1460.0)</f>
        <v>1460</v>
      </c>
      <c r="D1139" s="2">
        <f>IFERROR(__xludf.DUMMYFUNCTION("""COMPUTED_VALUE"""),1435.0)</f>
        <v>1435</v>
      </c>
      <c r="E1139" s="2">
        <f>IFERROR(__xludf.DUMMYFUNCTION("""COMPUTED_VALUE"""),1440.0)</f>
        <v>1440</v>
      </c>
      <c r="F1139" s="2">
        <f>IFERROR(__xludf.DUMMYFUNCTION("""COMPUTED_VALUE"""),2.89547E7)</f>
        <v>28954700</v>
      </c>
      <c r="G1139" s="2">
        <f t="shared" si="1"/>
        <v>25</v>
      </c>
    </row>
    <row r="1140" ht="15.75" customHeight="1">
      <c r="A1140" s="1">
        <f>IFERROR(__xludf.DUMMYFUNCTION("""COMPUTED_VALUE"""),45548.66666666667)</f>
        <v>45548.66667</v>
      </c>
      <c r="B1140" s="2">
        <f>IFERROR(__xludf.DUMMYFUNCTION("""COMPUTED_VALUE"""),1440.0)</f>
        <v>1440</v>
      </c>
      <c r="C1140" s="2">
        <f>IFERROR(__xludf.DUMMYFUNCTION("""COMPUTED_VALUE"""),1440.0)</f>
        <v>1440</v>
      </c>
      <c r="D1140" s="2">
        <f>IFERROR(__xludf.DUMMYFUNCTION("""COMPUTED_VALUE"""),1415.0)</f>
        <v>1415</v>
      </c>
      <c r="E1140" s="2">
        <f>IFERROR(__xludf.DUMMYFUNCTION("""COMPUTED_VALUE"""),1430.0)</f>
        <v>1430</v>
      </c>
      <c r="F1140" s="2">
        <f>IFERROR(__xludf.DUMMYFUNCTION("""COMPUTED_VALUE"""),2.25733E7)</f>
        <v>22573300</v>
      </c>
      <c r="G1140" s="2">
        <f t="shared" si="1"/>
        <v>25</v>
      </c>
    </row>
    <row r="1141" ht="15.75" customHeight="1">
      <c r="A1141" s="1">
        <f>IFERROR(__xludf.DUMMYFUNCTION("""COMPUTED_VALUE"""),45552.66666666667)</f>
        <v>45552.66667</v>
      </c>
      <c r="B1141" s="2">
        <f>IFERROR(__xludf.DUMMYFUNCTION("""COMPUTED_VALUE"""),1430.0)</f>
        <v>1430</v>
      </c>
      <c r="C1141" s="2">
        <f>IFERROR(__xludf.DUMMYFUNCTION("""COMPUTED_VALUE"""),1460.0)</f>
        <v>1460</v>
      </c>
      <c r="D1141" s="2">
        <f>IFERROR(__xludf.DUMMYFUNCTION("""COMPUTED_VALUE"""),1430.0)</f>
        <v>1430</v>
      </c>
      <c r="E1141" s="2">
        <f>IFERROR(__xludf.DUMMYFUNCTION("""COMPUTED_VALUE"""),1445.0)</f>
        <v>1445</v>
      </c>
      <c r="F1141" s="2">
        <f>IFERROR(__xludf.DUMMYFUNCTION("""COMPUTED_VALUE"""),3.26854E7)</f>
        <v>32685400</v>
      </c>
      <c r="G1141" s="2">
        <f t="shared" si="1"/>
        <v>30</v>
      </c>
    </row>
    <row r="1142" ht="15.75" customHeight="1">
      <c r="A1142" s="1">
        <f>IFERROR(__xludf.DUMMYFUNCTION("""COMPUTED_VALUE"""),45553.66666666667)</f>
        <v>45553.66667</v>
      </c>
      <c r="B1142" s="2">
        <f>IFERROR(__xludf.DUMMYFUNCTION("""COMPUTED_VALUE"""),1450.0)</f>
        <v>1450</v>
      </c>
      <c r="C1142" s="2">
        <f>IFERROR(__xludf.DUMMYFUNCTION("""COMPUTED_VALUE"""),1495.0)</f>
        <v>1495</v>
      </c>
      <c r="D1142" s="2">
        <f>IFERROR(__xludf.DUMMYFUNCTION("""COMPUTED_VALUE"""),1445.0)</f>
        <v>1445</v>
      </c>
      <c r="E1142" s="2">
        <f>IFERROR(__xludf.DUMMYFUNCTION("""COMPUTED_VALUE"""),1485.0)</f>
        <v>1485</v>
      </c>
      <c r="F1142" s="2">
        <f>IFERROR(__xludf.DUMMYFUNCTION("""COMPUTED_VALUE"""),7.01629E7)</f>
        <v>70162900</v>
      </c>
      <c r="G1142" s="2">
        <f t="shared" si="1"/>
        <v>50</v>
      </c>
    </row>
    <row r="1143" ht="15.75" customHeight="1">
      <c r="A1143" s="1">
        <f>IFERROR(__xludf.DUMMYFUNCTION("""COMPUTED_VALUE"""),45554.66666666667)</f>
        <v>45554.66667</v>
      </c>
      <c r="B1143" s="2">
        <f>IFERROR(__xludf.DUMMYFUNCTION("""COMPUTED_VALUE"""),1500.0)</f>
        <v>1500</v>
      </c>
      <c r="C1143" s="2">
        <f>IFERROR(__xludf.DUMMYFUNCTION("""COMPUTED_VALUE"""),1545.0)</f>
        <v>1545</v>
      </c>
      <c r="D1143" s="2">
        <f>IFERROR(__xludf.DUMMYFUNCTION("""COMPUTED_VALUE"""),1490.0)</f>
        <v>1490</v>
      </c>
      <c r="E1143" s="2">
        <f>IFERROR(__xludf.DUMMYFUNCTION("""COMPUTED_VALUE"""),1535.0)</f>
        <v>1535</v>
      </c>
      <c r="F1143" s="2">
        <f>IFERROR(__xludf.DUMMYFUNCTION("""COMPUTED_VALUE"""),1.152249E8)</f>
        <v>115224900</v>
      </c>
      <c r="G1143" s="2">
        <f t="shared" si="1"/>
        <v>60</v>
      </c>
    </row>
    <row r="1144" ht="15.75" customHeight="1">
      <c r="A1144" s="1">
        <f>IFERROR(__xludf.DUMMYFUNCTION("""COMPUTED_VALUE"""),45555.66666666667)</f>
        <v>45555.66667</v>
      </c>
      <c r="B1144" s="2">
        <f>IFERROR(__xludf.DUMMYFUNCTION("""COMPUTED_VALUE"""),1535.0)</f>
        <v>1535</v>
      </c>
      <c r="C1144" s="2">
        <f>IFERROR(__xludf.DUMMYFUNCTION("""COMPUTED_VALUE"""),1540.0)</f>
        <v>1540</v>
      </c>
      <c r="D1144" s="2">
        <f>IFERROR(__xludf.DUMMYFUNCTION("""COMPUTED_VALUE"""),1505.0)</f>
        <v>1505</v>
      </c>
      <c r="E1144" s="2">
        <f>IFERROR(__xludf.DUMMYFUNCTION("""COMPUTED_VALUE"""),1530.0)</f>
        <v>1530</v>
      </c>
      <c r="F1144" s="2">
        <f>IFERROR(__xludf.DUMMYFUNCTION("""COMPUTED_VALUE"""),5.16273E7)</f>
        <v>51627300</v>
      </c>
      <c r="G1144" s="2">
        <f t="shared" si="1"/>
        <v>35</v>
      </c>
    </row>
    <row r="1145" ht="15.75" customHeight="1">
      <c r="A1145" s="1">
        <f>IFERROR(__xludf.DUMMYFUNCTION("""COMPUTED_VALUE"""),45558.66666666667)</f>
        <v>45558.66667</v>
      </c>
      <c r="B1145" s="2">
        <f>IFERROR(__xludf.DUMMYFUNCTION("""COMPUTED_VALUE"""),1530.0)</f>
        <v>1530</v>
      </c>
      <c r="C1145" s="2">
        <f>IFERROR(__xludf.DUMMYFUNCTION("""COMPUTED_VALUE"""),1545.0)</f>
        <v>1545</v>
      </c>
      <c r="D1145" s="2">
        <f>IFERROR(__xludf.DUMMYFUNCTION("""COMPUTED_VALUE"""),1515.0)</f>
        <v>1515</v>
      </c>
      <c r="E1145" s="2">
        <f>IFERROR(__xludf.DUMMYFUNCTION("""COMPUTED_VALUE"""),1530.0)</f>
        <v>1530</v>
      </c>
      <c r="F1145" s="2">
        <f>IFERROR(__xludf.DUMMYFUNCTION("""COMPUTED_VALUE"""),3.26681E7)</f>
        <v>32668100</v>
      </c>
      <c r="G1145" s="2">
        <f t="shared" si="1"/>
        <v>30</v>
      </c>
    </row>
    <row r="1146" ht="15.75" customHeight="1">
      <c r="A1146" s="1">
        <f>IFERROR(__xludf.DUMMYFUNCTION("""COMPUTED_VALUE"""),45559.66666666667)</f>
        <v>45559.66667</v>
      </c>
      <c r="B1146" s="2">
        <f>IFERROR(__xludf.DUMMYFUNCTION("""COMPUTED_VALUE"""),1530.0)</f>
        <v>1530</v>
      </c>
      <c r="C1146" s="2">
        <f>IFERROR(__xludf.DUMMYFUNCTION("""COMPUTED_VALUE"""),1530.0)</f>
        <v>1530</v>
      </c>
      <c r="D1146" s="2">
        <f>IFERROR(__xludf.DUMMYFUNCTION("""COMPUTED_VALUE"""),1510.0)</f>
        <v>1510</v>
      </c>
      <c r="E1146" s="2">
        <f>IFERROR(__xludf.DUMMYFUNCTION("""COMPUTED_VALUE"""),1515.0)</f>
        <v>1515</v>
      </c>
      <c r="F1146" s="2">
        <f>IFERROR(__xludf.DUMMYFUNCTION("""COMPUTED_VALUE"""),3.38816E7)</f>
        <v>33881600</v>
      </c>
      <c r="G1146" s="2">
        <f t="shared" si="1"/>
        <v>20</v>
      </c>
    </row>
    <row r="1147" ht="15.75" customHeight="1">
      <c r="A1147" s="1">
        <f>IFERROR(__xludf.DUMMYFUNCTION("""COMPUTED_VALUE"""),45560.66666666667)</f>
        <v>45560.66667</v>
      </c>
      <c r="B1147" s="2">
        <f>IFERROR(__xludf.DUMMYFUNCTION("""COMPUTED_VALUE"""),1495.0)</f>
        <v>1495</v>
      </c>
      <c r="C1147" s="2">
        <f>IFERROR(__xludf.DUMMYFUNCTION("""COMPUTED_VALUE"""),1495.0)</f>
        <v>1495</v>
      </c>
      <c r="D1147" s="2">
        <f>IFERROR(__xludf.DUMMYFUNCTION("""COMPUTED_VALUE"""),1425.0)</f>
        <v>1425</v>
      </c>
      <c r="E1147" s="2">
        <f>IFERROR(__xludf.DUMMYFUNCTION("""COMPUTED_VALUE"""),1445.0)</f>
        <v>1445</v>
      </c>
      <c r="F1147" s="2">
        <f>IFERROR(__xludf.DUMMYFUNCTION("""COMPUTED_VALUE"""),8.93498E7)</f>
        <v>89349800</v>
      </c>
      <c r="G1147" s="2">
        <f t="shared" si="1"/>
        <v>90</v>
      </c>
    </row>
    <row r="1148" ht="15.75" customHeight="1">
      <c r="A1148" s="1">
        <f>IFERROR(__xludf.DUMMYFUNCTION("""COMPUTED_VALUE"""),45561.66666666667)</f>
        <v>45561.66667</v>
      </c>
      <c r="B1148" s="2">
        <f>IFERROR(__xludf.DUMMYFUNCTION("""COMPUTED_VALUE"""),1450.0)</f>
        <v>1450</v>
      </c>
      <c r="C1148" s="2">
        <f>IFERROR(__xludf.DUMMYFUNCTION("""COMPUTED_VALUE"""),1470.0)</f>
        <v>1470</v>
      </c>
      <c r="D1148" s="2">
        <f>IFERROR(__xludf.DUMMYFUNCTION("""COMPUTED_VALUE"""),1425.0)</f>
        <v>1425</v>
      </c>
      <c r="E1148" s="2">
        <f>IFERROR(__xludf.DUMMYFUNCTION("""COMPUTED_VALUE"""),1465.0)</f>
        <v>1465</v>
      </c>
      <c r="F1148" s="2">
        <f>IFERROR(__xludf.DUMMYFUNCTION("""COMPUTED_VALUE"""),3.31652E7)</f>
        <v>33165200</v>
      </c>
      <c r="G1148" s="2">
        <f t="shared" si="1"/>
        <v>45</v>
      </c>
    </row>
    <row r="1149" ht="15.75" customHeight="1">
      <c r="A1149" s="1">
        <f>IFERROR(__xludf.DUMMYFUNCTION("""COMPUTED_VALUE"""),45562.66666666667)</f>
        <v>45562.66667</v>
      </c>
      <c r="B1149" s="2">
        <f>IFERROR(__xludf.DUMMYFUNCTION("""COMPUTED_VALUE"""),1465.0)</f>
        <v>1465</v>
      </c>
      <c r="C1149" s="2">
        <f>IFERROR(__xludf.DUMMYFUNCTION("""COMPUTED_VALUE"""),1465.0)</f>
        <v>1465</v>
      </c>
      <c r="D1149" s="2">
        <f>IFERROR(__xludf.DUMMYFUNCTION("""COMPUTED_VALUE"""),1435.0)</f>
        <v>1435</v>
      </c>
      <c r="E1149" s="2">
        <f>IFERROR(__xludf.DUMMYFUNCTION("""COMPUTED_VALUE"""),1460.0)</f>
        <v>1460</v>
      </c>
      <c r="F1149" s="2">
        <f>IFERROR(__xludf.DUMMYFUNCTION("""COMPUTED_VALUE"""),3.34651E7)</f>
        <v>33465100</v>
      </c>
      <c r="G1149" s="2">
        <f t="shared" si="1"/>
        <v>30</v>
      </c>
    </row>
    <row r="1150" ht="15.75" customHeight="1">
      <c r="A1150" s="1">
        <f>IFERROR(__xludf.DUMMYFUNCTION("""COMPUTED_VALUE"""),45565.66666666667)</f>
        <v>45565.66667</v>
      </c>
      <c r="B1150" s="2">
        <f>IFERROR(__xludf.DUMMYFUNCTION("""COMPUTED_VALUE"""),1460.0)</f>
        <v>1460</v>
      </c>
      <c r="C1150" s="2">
        <f>IFERROR(__xludf.DUMMYFUNCTION("""COMPUTED_VALUE"""),1460.0)</f>
        <v>1460</v>
      </c>
      <c r="D1150" s="2">
        <f>IFERROR(__xludf.DUMMYFUNCTION("""COMPUTED_VALUE"""),1430.0)</f>
        <v>1430</v>
      </c>
      <c r="E1150" s="2">
        <f>IFERROR(__xludf.DUMMYFUNCTION("""COMPUTED_VALUE"""),1450.0)</f>
        <v>1450</v>
      </c>
      <c r="F1150" s="2">
        <f>IFERROR(__xludf.DUMMYFUNCTION("""COMPUTED_VALUE"""),1.63996E7)</f>
        <v>16399600</v>
      </c>
      <c r="G1150" s="2">
        <f t="shared" si="1"/>
        <v>30</v>
      </c>
    </row>
    <row r="1151" ht="15.75" customHeight="1">
      <c r="A1151" s="1">
        <f>IFERROR(__xludf.DUMMYFUNCTION("""COMPUTED_VALUE"""),45566.66666666667)</f>
        <v>45566.66667</v>
      </c>
      <c r="B1151" s="2">
        <f>IFERROR(__xludf.DUMMYFUNCTION("""COMPUTED_VALUE"""),1450.0)</f>
        <v>1450</v>
      </c>
      <c r="C1151" s="2">
        <f>IFERROR(__xludf.DUMMYFUNCTION("""COMPUTED_VALUE"""),1470.0)</f>
        <v>1470</v>
      </c>
      <c r="D1151" s="2">
        <f>IFERROR(__xludf.DUMMYFUNCTION("""COMPUTED_VALUE"""),1435.0)</f>
        <v>1435</v>
      </c>
      <c r="E1151" s="2">
        <f>IFERROR(__xludf.DUMMYFUNCTION("""COMPUTED_VALUE"""),1465.0)</f>
        <v>1465</v>
      </c>
      <c r="F1151" s="2">
        <f>IFERROR(__xludf.DUMMYFUNCTION("""COMPUTED_VALUE"""),1.55708E7)</f>
        <v>15570800</v>
      </c>
      <c r="G1151" s="2">
        <f t="shared" si="1"/>
        <v>35</v>
      </c>
    </row>
    <row r="1152" ht="15.75" customHeight="1">
      <c r="A1152" s="1">
        <f>IFERROR(__xludf.DUMMYFUNCTION("""COMPUTED_VALUE"""),45567.66666666667)</f>
        <v>45567.66667</v>
      </c>
      <c r="B1152" s="2">
        <f>IFERROR(__xludf.DUMMYFUNCTION("""COMPUTED_VALUE"""),1465.0)</f>
        <v>1465</v>
      </c>
      <c r="C1152" s="2">
        <f>IFERROR(__xludf.DUMMYFUNCTION("""COMPUTED_VALUE"""),1465.0)</f>
        <v>1465</v>
      </c>
      <c r="D1152" s="2">
        <f>IFERROR(__xludf.DUMMYFUNCTION("""COMPUTED_VALUE"""),1405.0)</f>
        <v>1405</v>
      </c>
      <c r="E1152" s="2">
        <f>IFERROR(__xludf.DUMMYFUNCTION("""COMPUTED_VALUE"""),1415.0)</f>
        <v>1415</v>
      </c>
      <c r="F1152" s="2">
        <f>IFERROR(__xludf.DUMMYFUNCTION("""COMPUTED_VALUE"""),3.30171E7)</f>
        <v>33017100</v>
      </c>
      <c r="G1152" s="2">
        <f t="shared" si="1"/>
        <v>60</v>
      </c>
    </row>
    <row r="1153" ht="15.75" customHeight="1">
      <c r="A1153" s="1">
        <f>IFERROR(__xludf.DUMMYFUNCTION("""COMPUTED_VALUE"""),45568.66666666667)</f>
        <v>45568.66667</v>
      </c>
      <c r="B1153" s="2">
        <f>IFERROR(__xludf.DUMMYFUNCTION("""COMPUTED_VALUE"""),1410.0)</f>
        <v>1410</v>
      </c>
      <c r="C1153" s="2">
        <f>IFERROR(__xludf.DUMMYFUNCTION("""COMPUTED_VALUE"""),1415.0)</f>
        <v>1415</v>
      </c>
      <c r="D1153" s="2">
        <f>IFERROR(__xludf.DUMMYFUNCTION("""COMPUTED_VALUE"""),1375.0)</f>
        <v>1375</v>
      </c>
      <c r="E1153" s="2">
        <f>IFERROR(__xludf.DUMMYFUNCTION("""COMPUTED_VALUE"""),1390.0)</f>
        <v>1390</v>
      </c>
      <c r="F1153" s="2">
        <f>IFERROR(__xludf.DUMMYFUNCTION("""COMPUTED_VALUE"""),3.26963E7)</f>
        <v>32696300</v>
      </c>
      <c r="G1153" s="2">
        <f t="shared" si="1"/>
        <v>40</v>
      </c>
    </row>
    <row r="1154" ht="15.75" customHeight="1">
      <c r="A1154" s="1">
        <f>IFERROR(__xludf.DUMMYFUNCTION("""COMPUTED_VALUE"""),45569.66666666667)</f>
        <v>45569.66667</v>
      </c>
      <c r="B1154" s="2">
        <f>IFERROR(__xludf.DUMMYFUNCTION("""COMPUTED_VALUE"""),1390.0)</f>
        <v>1390</v>
      </c>
      <c r="C1154" s="2">
        <f>IFERROR(__xludf.DUMMYFUNCTION("""COMPUTED_VALUE"""),1395.0)</f>
        <v>1395</v>
      </c>
      <c r="D1154" s="2">
        <f>IFERROR(__xludf.DUMMYFUNCTION("""COMPUTED_VALUE"""),1350.0)</f>
        <v>1350</v>
      </c>
      <c r="E1154" s="2">
        <f>IFERROR(__xludf.DUMMYFUNCTION("""COMPUTED_VALUE"""),1365.0)</f>
        <v>1365</v>
      </c>
      <c r="F1154" s="2">
        <f>IFERROR(__xludf.DUMMYFUNCTION("""COMPUTED_VALUE"""),2.6603E7)</f>
        <v>26603000</v>
      </c>
      <c r="G1154" s="2">
        <f t="shared" si="1"/>
        <v>45</v>
      </c>
    </row>
    <row r="1155" ht="15.75" customHeight="1">
      <c r="A1155" s="1">
        <f>IFERROR(__xludf.DUMMYFUNCTION("""COMPUTED_VALUE"""),45572.66666666667)</f>
        <v>45572.66667</v>
      </c>
      <c r="B1155" s="2">
        <f>IFERROR(__xludf.DUMMYFUNCTION("""COMPUTED_VALUE"""),1365.0)</f>
        <v>1365</v>
      </c>
      <c r="C1155" s="2">
        <f>IFERROR(__xludf.DUMMYFUNCTION("""COMPUTED_VALUE"""),1395.0)</f>
        <v>1395</v>
      </c>
      <c r="D1155" s="2">
        <f>IFERROR(__xludf.DUMMYFUNCTION("""COMPUTED_VALUE"""),1350.0)</f>
        <v>1350</v>
      </c>
      <c r="E1155" s="2">
        <f>IFERROR(__xludf.DUMMYFUNCTION("""COMPUTED_VALUE"""),1385.0)</f>
        <v>1385</v>
      </c>
      <c r="F1155" s="2">
        <f>IFERROR(__xludf.DUMMYFUNCTION("""COMPUTED_VALUE"""),2.43548E7)</f>
        <v>24354800</v>
      </c>
      <c r="G1155" s="2">
        <f t="shared" si="1"/>
        <v>45</v>
      </c>
    </row>
    <row r="1156" ht="15.75" customHeight="1">
      <c r="A1156" s="1">
        <f>IFERROR(__xludf.DUMMYFUNCTION("""COMPUTED_VALUE"""),45573.66666666667)</f>
        <v>45573.66667</v>
      </c>
      <c r="B1156" s="2">
        <f>IFERROR(__xludf.DUMMYFUNCTION("""COMPUTED_VALUE"""),1385.0)</f>
        <v>1385</v>
      </c>
      <c r="C1156" s="2">
        <f>IFERROR(__xludf.DUMMYFUNCTION("""COMPUTED_VALUE"""),1430.0)</f>
        <v>1430</v>
      </c>
      <c r="D1156" s="2">
        <f>IFERROR(__xludf.DUMMYFUNCTION("""COMPUTED_VALUE"""),1370.0)</f>
        <v>1370</v>
      </c>
      <c r="E1156" s="2">
        <f>IFERROR(__xludf.DUMMYFUNCTION("""COMPUTED_VALUE"""),1410.0)</f>
        <v>1410</v>
      </c>
      <c r="F1156" s="2">
        <f>IFERROR(__xludf.DUMMYFUNCTION("""COMPUTED_VALUE"""),3.71891E7)</f>
        <v>37189100</v>
      </c>
      <c r="G1156" s="2">
        <f t="shared" si="1"/>
        <v>60</v>
      </c>
    </row>
    <row r="1157" ht="15.75" customHeight="1">
      <c r="A1157" s="1">
        <f>IFERROR(__xludf.DUMMYFUNCTION("""COMPUTED_VALUE"""),45574.66666666667)</f>
        <v>45574.66667</v>
      </c>
      <c r="B1157" s="2">
        <f>IFERROR(__xludf.DUMMYFUNCTION("""COMPUTED_VALUE"""),1415.0)</f>
        <v>1415</v>
      </c>
      <c r="C1157" s="2">
        <f>IFERROR(__xludf.DUMMYFUNCTION("""COMPUTED_VALUE"""),1430.0)</f>
        <v>1430</v>
      </c>
      <c r="D1157" s="2">
        <f>IFERROR(__xludf.DUMMYFUNCTION("""COMPUTED_VALUE"""),1390.0)</f>
        <v>1390</v>
      </c>
      <c r="E1157" s="2">
        <f>IFERROR(__xludf.DUMMYFUNCTION("""COMPUTED_VALUE"""),1390.0)</f>
        <v>1390</v>
      </c>
      <c r="F1157" s="2">
        <f>IFERROR(__xludf.DUMMYFUNCTION("""COMPUTED_VALUE"""),2.15791E7)</f>
        <v>21579100</v>
      </c>
      <c r="G1157" s="2">
        <f t="shared" si="1"/>
        <v>40</v>
      </c>
    </row>
    <row r="1158" ht="15.75" customHeight="1">
      <c r="A1158" s="1">
        <f>IFERROR(__xludf.DUMMYFUNCTION("""COMPUTED_VALUE"""),45575.66666666667)</f>
        <v>45575.66667</v>
      </c>
      <c r="B1158" s="2">
        <f>IFERROR(__xludf.DUMMYFUNCTION("""COMPUTED_VALUE"""),1400.0)</f>
        <v>1400</v>
      </c>
      <c r="C1158" s="2">
        <f>IFERROR(__xludf.DUMMYFUNCTION("""COMPUTED_VALUE"""),1400.0)</f>
        <v>1400</v>
      </c>
      <c r="D1158" s="2">
        <f>IFERROR(__xludf.DUMMYFUNCTION("""COMPUTED_VALUE"""),1380.0)</f>
        <v>1380</v>
      </c>
      <c r="E1158" s="2">
        <f>IFERROR(__xludf.DUMMYFUNCTION("""COMPUTED_VALUE"""),1390.0)</f>
        <v>1390</v>
      </c>
      <c r="F1158" s="2">
        <f>IFERROR(__xludf.DUMMYFUNCTION("""COMPUTED_VALUE"""),7132300.0)</f>
        <v>7132300</v>
      </c>
      <c r="G1158" s="2">
        <f t="shared" si="1"/>
        <v>20</v>
      </c>
    </row>
    <row r="1159" ht="15.75" customHeight="1">
      <c r="A1159" s="1">
        <f>IFERROR(__xludf.DUMMYFUNCTION("""COMPUTED_VALUE"""),45576.66666666667)</f>
        <v>45576.66667</v>
      </c>
      <c r="B1159" s="2">
        <f>IFERROR(__xludf.DUMMYFUNCTION("""COMPUTED_VALUE"""),1400.0)</f>
        <v>1400</v>
      </c>
      <c r="C1159" s="2">
        <f>IFERROR(__xludf.DUMMYFUNCTION("""COMPUTED_VALUE"""),1460.0)</f>
        <v>1460</v>
      </c>
      <c r="D1159" s="2">
        <f>IFERROR(__xludf.DUMMYFUNCTION("""COMPUTED_VALUE"""),1400.0)</f>
        <v>1400</v>
      </c>
      <c r="E1159" s="2">
        <f>IFERROR(__xludf.DUMMYFUNCTION("""COMPUTED_VALUE"""),1450.0)</f>
        <v>1450</v>
      </c>
      <c r="F1159" s="2">
        <f>IFERROR(__xludf.DUMMYFUNCTION("""COMPUTED_VALUE"""),5.74859E7)</f>
        <v>57485900</v>
      </c>
      <c r="G1159" s="2">
        <f t="shared" si="1"/>
        <v>70</v>
      </c>
    </row>
    <row r="1160" ht="15.75" customHeight="1">
      <c r="A1160" s="1">
        <f>IFERROR(__xludf.DUMMYFUNCTION("""COMPUTED_VALUE"""),45579.66666666667)</f>
        <v>45579.66667</v>
      </c>
      <c r="B1160" s="2">
        <f>IFERROR(__xludf.DUMMYFUNCTION("""COMPUTED_VALUE"""),1450.0)</f>
        <v>1450</v>
      </c>
      <c r="C1160" s="2">
        <f>IFERROR(__xludf.DUMMYFUNCTION("""COMPUTED_VALUE"""),1485.0)</f>
        <v>1485</v>
      </c>
      <c r="D1160" s="2">
        <f>IFERROR(__xludf.DUMMYFUNCTION("""COMPUTED_VALUE"""),1440.0)</f>
        <v>1440</v>
      </c>
      <c r="E1160" s="2">
        <f>IFERROR(__xludf.DUMMYFUNCTION("""COMPUTED_VALUE"""),1480.0)</f>
        <v>1480</v>
      </c>
      <c r="F1160" s="2">
        <f>IFERROR(__xludf.DUMMYFUNCTION("""COMPUTED_VALUE"""),3.93449E7)</f>
        <v>39344900</v>
      </c>
      <c r="G1160" s="2">
        <f t="shared" si="1"/>
        <v>45</v>
      </c>
    </row>
    <row r="1161" ht="15.75" customHeight="1">
      <c r="A1161" s="1">
        <f>IFERROR(__xludf.DUMMYFUNCTION("""COMPUTED_VALUE"""),45580.66666666667)</f>
        <v>45580.66667</v>
      </c>
      <c r="B1161" s="2">
        <f>IFERROR(__xludf.DUMMYFUNCTION("""COMPUTED_VALUE"""),1490.0)</f>
        <v>1490</v>
      </c>
      <c r="C1161" s="2">
        <f>IFERROR(__xludf.DUMMYFUNCTION("""COMPUTED_VALUE"""),1505.0)</f>
        <v>1505</v>
      </c>
      <c r="D1161" s="2">
        <f>IFERROR(__xludf.DUMMYFUNCTION("""COMPUTED_VALUE"""),1480.0)</f>
        <v>1480</v>
      </c>
      <c r="E1161" s="2">
        <f>IFERROR(__xludf.DUMMYFUNCTION("""COMPUTED_VALUE"""),1490.0)</f>
        <v>1490</v>
      </c>
      <c r="F1161" s="2">
        <f>IFERROR(__xludf.DUMMYFUNCTION("""COMPUTED_VALUE"""),4.09059E7)</f>
        <v>40905900</v>
      </c>
      <c r="G1161" s="2">
        <f t="shared" si="1"/>
        <v>25</v>
      </c>
    </row>
    <row r="1162" ht="15.75" customHeight="1">
      <c r="A1162" s="1">
        <f>IFERROR(__xludf.DUMMYFUNCTION("""COMPUTED_VALUE"""),45581.66666666667)</f>
        <v>45581.66667</v>
      </c>
      <c r="B1162" s="2">
        <f>IFERROR(__xludf.DUMMYFUNCTION("""COMPUTED_VALUE"""),1495.0)</f>
        <v>1495</v>
      </c>
      <c r="C1162" s="2">
        <f>IFERROR(__xludf.DUMMYFUNCTION("""COMPUTED_VALUE"""),1525.0)</f>
        <v>1525</v>
      </c>
      <c r="D1162" s="2">
        <f>IFERROR(__xludf.DUMMYFUNCTION("""COMPUTED_VALUE"""),1485.0)</f>
        <v>1485</v>
      </c>
      <c r="E1162" s="2">
        <f>IFERROR(__xludf.DUMMYFUNCTION("""COMPUTED_VALUE"""),1500.0)</f>
        <v>1500</v>
      </c>
      <c r="F1162" s="2">
        <f>IFERROR(__xludf.DUMMYFUNCTION("""COMPUTED_VALUE"""),7.28877E7)</f>
        <v>72887700</v>
      </c>
      <c r="G1162" s="2">
        <f t="shared" si="1"/>
        <v>40</v>
      </c>
    </row>
    <row r="1163" ht="15.75" customHeight="1">
      <c r="A1163" s="1">
        <f>IFERROR(__xludf.DUMMYFUNCTION("""COMPUTED_VALUE"""),45582.66666666667)</f>
        <v>45582.66667</v>
      </c>
      <c r="B1163" s="2">
        <f>IFERROR(__xludf.DUMMYFUNCTION("""COMPUTED_VALUE"""),1505.0)</f>
        <v>1505</v>
      </c>
      <c r="C1163" s="2">
        <f>IFERROR(__xludf.DUMMYFUNCTION("""COMPUTED_VALUE"""),1525.0)</f>
        <v>1525</v>
      </c>
      <c r="D1163" s="2">
        <f>IFERROR(__xludf.DUMMYFUNCTION("""COMPUTED_VALUE"""),1500.0)</f>
        <v>1500</v>
      </c>
      <c r="E1163" s="2">
        <f>IFERROR(__xludf.DUMMYFUNCTION("""COMPUTED_VALUE"""),1505.0)</f>
        <v>1505</v>
      </c>
      <c r="F1163" s="2">
        <f>IFERROR(__xludf.DUMMYFUNCTION("""COMPUTED_VALUE"""),2.58491E7)</f>
        <v>25849100</v>
      </c>
      <c r="G1163" s="2">
        <f t="shared" si="1"/>
        <v>25</v>
      </c>
    </row>
    <row r="1164" ht="15.75" customHeight="1">
      <c r="A1164" s="1">
        <f>IFERROR(__xludf.DUMMYFUNCTION("""COMPUTED_VALUE"""),45583.66666666667)</f>
        <v>45583.66667</v>
      </c>
      <c r="B1164" s="2">
        <f>IFERROR(__xludf.DUMMYFUNCTION("""COMPUTED_VALUE"""),1515.0)</f>
        <v>1515</v>
      </c>
      <c r="C1164" s="2">
        <f>IFERROR(__xludf.DUMMYFUNCTION("""COMPUTED_VALUE"""),1515.0)</f>
        <v>1515</v>
      </c>
      <c r="D1164" s="2">
        <f>IFERROR(__xludf.DUMMYFUNCTION("""COMPUTED_VALUE"""),1485.0)</f>
        <v>1485</v>
      </c>
      <c r="E1164" s="2">
        <f>IFERROR(__xludf.DUMMYFUNCTION("""COMPUTED_VALUE"""),1500.0)</f>
        <v>1500</v>
      </c>
      <c r="F1164" s="2">
        <f>IFERROR(__xludf.DUMMYFUNCTION("""COMPUTED_VALUE"""),2.18847E7)</f>
        <v>21884700</v>
      </c>
      <c r="G1164" s="2">
        <f t="shared" si="1"/>
        <v>30</v>
      </c>
    </row>
    <row r="1165" ht="15.75" customHeight="1">
      <c r="A1165" s="1">
        <f>IFERROR(__xludf.DUMMYFUNCTION("""COMPUTED_VALUE"""),45586.66666666667)</f>
        <v>45586.66667</v>
      </c>
      <c r="B1165" s="2">
        <f>IFERROR(__xludf.DUMMYFUNCTION("""COMPUTED_VALUE"""),1510.0)</f>
        <v>1510</v>
      </c>
      <c r="C1165" s="2">
        <f>IFERROR(__xludf.DUMMYFUNCTION("""COMPUTED_VALUE"""),1515.0)</f>
        <v>1515</v>
      </c>
      <c r="D1165" s="2">
        <f>IFERROR(__xludf.DUMMYFUNCTION("""COMPUTED_VALUE"""),1485.0)</f>
        <v>1485</v>
      </c>
      <c r="E1165" s="2">
        <f>IFERROR(__xludf.DUMMYFUNCTION("""COMPUTED_VALUE"""),1490.0)</f>
        <v>1490</v>
      </c>
      <c r="F1165" s="2">
        <f>IFERROR(__xludf.DUMMYFUNCTION("""COMPUTED_VALUE"""),1.38091E7)</f>
        <v>13809100</v>
      </c>
      <c r="G1165" s="2">
        <f t="shared" si="1"/>
        <v>30</v>
      </c>
    </row>
    <row r="1166" ht="15.75" customHeight="1">
      <c r="A1166" s="1">
        <f>IFERROR(__xludf.DUMMYFUNCTION("""COMPUTED_VALUE"""),45587.66666666667)</f>
        <v>45587.66667</v>
      </c>
      <c r="B1166" s="2">
        <f>IFERROR(__xludf.DUMMYFUNCTION("""COMPUTED_VALUE"""),1490.0)</f>
        <v>1490</v>
      </c>
      <c r="C1166" s="2">
        <f>IFERROR(__xludf.DUMMYFUNCTION("""COMPUTED_VALUE"""),1490.0)</f>
        <v>1490</v>
      </c>
      <c r="D1166" s="2">
        <f>IFERROR(__xludf.DUMMYFUNCTION("""COMPUTED_VALUE"""),1460.0)</f>
        <v>1460</v>
      </c>
      <c r="E1166" s="2">
        <f>IFERROR(__xludf.DUMMYFUNCTION("""COMPUTED_VALUE"""),1470.0)</f>
        <v>1470</v>
      </c>
      <c r="F1166" s="2">
        <f>IFERROR(__xludf.DUMMYFUNCTION("""COMPUTED_VALUE"""),2.29586E7)</f>
        <v>22958600</v>
      </c>
      <c r="G1166" s="2">
        <f t="shared" si="1"/>
        <v>30</v>
      </c>
    </row>
    <row r="1167" ht="15.75" customHeight="1">
      <c r="A1167" s="1">
        <f>IFERROR(__xludf.DUMMYFUNCTION("""COMPUTED_VALUE"""),45588.66666666667)</f>
        <v>45588.66667</v>
      </c>
      <c r="B1167" s="2">
        <f>IFERROR(__xludf.DUMMYFUNCTION("""COMPUTED_VALUE"""),1470.0)</f>
        <v>1470</v>
      </c>
      <c r="C1167" s="2">
        <f>IFERROR(__xludf.DUMMYFUNCTION("""COMPUTED_VALUE"""),1490.0)</f>
        <v>1490</v>
      </c>
      <c r="D1167" s="2">
        <f>IFERROR(__xludf.DUMMYFUNCTION("""COMPUTED_VALUE"""),1460.0)</f>
        <v>1460</v>
      </c>
      <c r="E1167" s="2">
        <f>IFERROR(__xludf.DUMMYFUNCTION("""COMPUTED_VALUE"""),1480.0)</f>
        <v>1480</v>
      </c>
      <c r="F1167" s="2">
        <f>IFERROR(__xludf.DUMMYFUNCTION("""COMPUTED_VALUE"""),1.64061E7)</f>
        <v>16406100</v>
      </c>
      <c r="G1167" s="2">
        <f t="shared" si="1"/>
        <v>30</v>
      </c>
    </row>
    <row r="1168" ht="15.75" customHeight="1">
      <c r="A1168" s="1">
        <f>IFERROR(__xludf.DUMMYFUNCTION("""COMPUTED_VALUE"""),45589.66666666667)</f>
        <v>45589.66667</v>
      </c>
      <c r="B1168" s="2">
        <f>IFERROR(__xludf.DUMMYFUNCTION("""COMPUTED_VALUE"""),1480.0)</f>
        <v>1480</v>
      </c>
      <c r="C1168" s="2">
        <f>IFERROR(__xludf.DUMMYFUNCTION("""COMPUTED_VALUE"""),1505.0)</f>
        <v>1505</v>
      </c>
      <c r="D1168" s="2">
        <f>IFERROR(__xludf.DUMMYFUNCTION("""COMPUTED_VALUE"""),1470.0)</f>
        <v>1470</v>
      </c>
      <c r="E1168" s="2">
        <f>IFERROR(__xludf.DUMMYFUNCTION("""COMPUTED_VALUE"""),1495.0)</f>
        <v>1495</v>
      </c>
      <c r="F1168" s="2">
        <f>IFERROR(__xludf.DUMMYFUNCTION("""COMPUTED_VALUE"""),2.05922E7)</f>
        <v>20592200</v>
      </c>
      <c r="G1168" s="2">
        <f t="shared" si="1"/>
        <v>35</v>
      </c>
    </row>
    <row r="1169" ht="15.75" customHeight="1">
      <c r="A1169" s="1">
        <f>IFERROR(__xludf.DUMMYFUNCTION("""COMPUTED_VALUE"""),45590.66666666667)</f>
        <v>45590.66667</v>
      </c>
      <c r="B1169" s="2">
        <f>IFERROR(__xludf.DUMMYFUNCTION("""COMPUTED_VALUE"""),1505.0)</f>
        <v>1505</v>
      </c>
      <c r="C1169" s="2">
        <f>IFERROR(__xludf.DUMMYFUNCTION("""COMPUTED_VALUE"""),1505.0)</f>
        <v>1505</v>
      </c>
      <c r="D1169" s="2">
        <f>IFERROR(__xludf.DUMMYFUNCTION("""COMPUTED_VALUE"""),1460.0)</f>
        <v>1460</v>
      </c>
      <c r="E1169" s="2">
        <f>IFERROR(__xludf.DUMMYFUNCTION("""COMPUTED_VALUE"""),1470.0)</f>
        <v>1470</v>
      </c>
      <c r="F1169" s="2">
        <f>IFERROR(__xludf.DUMMYFUNCTION("""COMPUTED_VALUE"""),1.48982E7)</f>
        <v>14898200</v>
      </c>
      <c r="G1169" s="2">
        <f t="shared" si="1"/>
        <v>45</v>
      </c>
    </row>
    <row r="1170" ht="15.75" customHeight="1">
      <c r="A1170" s="1">
        <f>IFERROR(__xludf.DUMMYFUNCTION("""COMPUTED_VALUE"""),45593.66666666667)</f>
        <v>45593.66667</v>
      </c>
      <c r="B1170" s="2">
        <f>IFERROR(__xludf.DUMMYFUNCTION("""COMPUTED_VALUE"""),1470.0)</f>
        <v>1470</v>
      </c>
      <c r="C1170" s="2">
        <f>IFERROR(__xludf.DUMMYFUNCTION("""COMPUTED_VALUE"""),1470.0)</f>
        <v>1470</v>
      </c>
      <c r="D1170" s="2">
        <f>IFERROR(__xludf.DUMMYFUNCTION("""COMPUTED_VALUE"""),1430.0)</f>
        <v>1430</v>
      </c>
      <c r="E1170" s="2">
        <f>IFERROR(__xludf.DUMMYFUNCTION("""COMPUTED_VALUE"""),1450.0)</f>
        <v>1450</v>
      </c>
      <c r="F1170" s="2">
        <f>IFERROR(__xludf.DUMMYFUNCTION("""COMPUTED_VALUE"""),1.46061E7)</f>
        <v>14606100</v>
      </c>
      <c r="G1170" s="2">
        <f t="shared" si="1"/>
        <v>40</v>
      </c>
    </row>
    <row r="1171" ht="15.75" customHeight="1">
      <c r="A1171" s="1">
        <f>IFERROR(__xludf.DUMMYFUNCTION("""COMPUTED_VALUE"""),45594.66666666667)</f>
        <v>45594.66667</v>
      </c>
      <c r="B1171" s="2">
        <f>IFERROR(__xludf.DUMMYFUNCTION("""COMPUTED_VALUE"""),1450.0)</f>
        <v>1450</v>
      </c>
      <c r="C1171" s="2">
        <f>IFERROR(__xludf.DUMMYFUNCTION("""COMPUTED_VALUE"""),1450.0)</f>
        <v>1450</v>
      </c>
      <c r="D1171" s="2">
        <f>IFERROR(__xludf.DUMMYFUNCTION("""COMPUTED_VALUE"""),1425.0)</f>
        <v>1425</v>
      </c>
      <c r="E1171" s="2">
        <f>IFERROR(__xludf.DUMMYFUNCTION("""COMPUTED_VALUE"""),1425.0)</f>
        <v>1425</v>
      </c>
      <c r="F1171" s="2">
        <f>IFERROR(__xludf.DUMMYFUNCTION("""COMPUTED_VALUE"""),9926200.0)</f>
        <v>9926200</v>
      </c>
      <c r="G1171" s="2">
        <f t="shared" si="1"/>
        <v>25</v>
      </c>
    </row>
    <row r="1172" ht="15.75" customHeight="1">
      <c r="A1172" s="1">
        <f>IFERROR(__xludf.DUMMYFUNCTION("""COMPUTED_VALUE"""),45595.66666666667)</f>
        <v>45595.66667</v>
      </c>
      <c r="B1172" s="2">
        <f>IFERROR(__xludf.DUMMYFUNCTION("""COMPUTED_VALUE"""),1425.0)</f>
        <v>1425</v>
      </c>
      <c r="C1172" s="2">
        <f>IFERROR(__xludf.DUMMYFUNCTION("""COMPUTED_VALUE"""),1425.0)</f>
        <v>1425</v>
      </c>
      <c r="D1172" s="2">
        <f>IFERROR(__xludf.DUMMYFUNCTION("""COMPUTED_VALUE"""),1390.0)</f>
        <v>1390</v>
      </c>
      <c r="E1172" s="2">
        <f>IFERROR(__xludf.DUMMYFUNCTION("""COMPUTED_VALUE"""),1405.0)</f>
        <v>1405</v>
      </c>
      <c r="F1172" s="2">
        <f>IFERROR(__xludf.DUMMYFUNCTION("""COMPUTED_VALUE"""),2.35664E7)</f>
        <v>23566400</v>
      </c>
      <c r="G1172" s="2">
        <f t="shared" si="1"/>
        <v>35</v>
      </c>
    </row>
    <row r="1173" ht="15.75" customHeight="1">
      <c r="A1173" s="1">
        <f>IFERROR(__xludf.DUMMYFUNCTION("""COMPUTED_VALUE"""),45596.66666666667)</f>
        <v>45596.66667</v>
      </c>
      <c r="B1173" s="2">
        <f>IFERROR(__xludf.DUMMYFUNCTION("""COMPUTED_VALUE"""),1405.0)</f>
        <v>1405</v>
      </c>
      <c r="C1173" s="2">
        <f>IFERROR(__xludf.DUMMYFUNCTION("""COMPUTED_VALUE"""),1455.0)</f>
        <v>1455</v>
      </c>
      <c r="D1173" s="2">
        <f>IFERROR(__xludf.DUMMYFUNCTION("""COMPUTED_VALUE"""),1400.0)</f>
        <v>1400</v>
      </c>
      <c r="E1173" s="2">
        <f>IFERROR(__xludf.DUMMYFUNCTION("""COMPUTED_VALUE"""),1405.0)</f>
        <v>1405</v>
      </c>
      <c r="F1173" s="2">
        <f>IFERROR(__xludf.DUMMYFUNCTION("""COMPUTED_VALUE"""),3.88577E7)</f>
        <v>38857700</v>
      </c>
      <c r="G1173" s="2">
        <f t="shared" si="1"/>
        <v>55</v>
      </c>
    </row>
    <row r="1174" ht="15.75" customHeight="1">
      <c r="A1174" s="1">
        <f>IFERROR(__xludf.DUMMYFUNCTION("""COMPUTED_VALUE"""),45597.66666666667)</f>
        <v>45597.66667</v>
      </c>
      <c r="B1174" s="2">
        <f>IFERROR(__xludf.DUMMYFUNCTION("""COMPUTED_VALUE"""),1415.0)</f>
        <v>1415</v>
      </c>
      <c r="C1174" s="2">
        <f>IFERROR(__xludf.DUMMYFUNCTION("""COMPUTED_VALUE"""),1415.0)</f>
        <v>1415</v>
      </c>
      <c r="D1174" s="2">
        <f>IFERROR(__xludf.DUMMYFUNCTION("""COMPUTED_VALUE"""),1390.0)</f>
        <v>1390</v>
      </c>
      <c r="E1174" s="2">
        <f>IFERROR(__xludf.DUMMYFUNCTION("""COMPUTED_VALUE"""),1415.0)</f>
        <v>1415</v>
      </c>
      <c r="F1174" s="2">
        <f>IFERROR(__xludf.DUMMYFUNCTION("""COMPUTED_VALUE"""),1.23366E7)</f>
        <v>12336600</v>
      </c>
      <c r="G1174" s="2">
        <f t="shared" si="1"/>
        <v>25</v>
      </c>
    </row>
    <row r="1175" ht="15.75" customHeight="1">
      <c r="A1175" s="1">
        <f>IFERROR(__xludf.DUMMYFUNCTION("""COMPUTED_VALUE"""),45600.66666666667)</f>
        <v>45600.66667</v>
      </c>
      <c r="B1175" s="2">
        <f>IFERROR(__xludf.DUMMYFUNCTION("""COMPUTED_VALUE"""),1415.0)</f>
        <v>1415</v>
      </c>
      <c r="C1175" s="2">
        <f>IFERROR(__xludf.DUMMYFUNCTION("""COMPUTED_VALUE"""),1415.0)</f>
        <v>1415</v>
      </c>
      <c r="D1175" s="2">
        <f>IFERROR(__xludf.DUMMYFUNCTION("""COMPUTED_VALUE"""),1365.0)</f>
        <v>1365</v>
      </c>
      <c r="E1175" s="2">
        <f>IFERROR(__xludf.DUMMYFUNCTION("""COMPUTED_VALUE"""),1380.0)</f>
        <v>1380</v>
      </c>
      <c r="F1175" s="2">
        <f>IFERROR(__xludf.DUMMYFUNCTION("""COMPUTED_VALUE"""),3.27961E7)</f>
        <v>32796100</v>
      </c>
      <c r="G1175" s="2">
        <f t="shared" si="1"/>
        <v>50</v>
      </c>
    </row>
    <row r="1176" ht="15.75" customHeight="1">
      <c r="A1176" s="1">
        <f>IFERROR(__xludf.DUMMYFUNCTION("""COMPUTED_VALUE"""),45601.66666666667)</f>
        <v>45601.66667</v>
      </c>
      <c r="B1176" s="2">
        <f>IFERROR(__xludf.DUMMYFUNCTION("""COMPUTED_VALUE"""),1380.0)</f>
        <v>1380</v>
      </c>
      <c r="C1176" s="2">
        <f>IFERROR(__xludf.DUMMYFUNCTION("""COMPUTED_VALUE"""),1390.0)</f>
        <v>1390</v>
      </c>
      <c r="D1176" s="2">
        <f>IFERROR(__xludf.DUMMYFUNCTION("""COMPUTED_VALUE"""),1360.0)</f>
        <v>1360</v>
      </c>
      <c r="E1176" s="2">
        <f>IFERROR(__xludf.DUMMYFUNCTION("""COMPUTED_VALUE"""),1370.0)</f>
        <v>1370</v>
      </c>
      <c r="F1176" s="2">
        <f>IFERROR(__xludf.DUMMYFUNCTION("""COMPUTED_VALUE"""),2.59921E7)</f>
        <v>25992100</v>
      </c>
      <c r="G1176" s="2">
        <f t="shared" si="1"/>
        <v>30</v>
      </c>
    </row>
    <row r="1177" ht="15.75" customHeight="1">
      <c r="A1177" s="1">
        <f>IFERROR(__xludf.DUMMYFUNCTION("""COMPUTED_VALUE"""),45602.66666666667)</f>
        <v>45602.66667</v>
      </c>
      <c r="B1177" s="2">
        <f>IFERROR(__xludf.DUMMYFUNCTION("""COMPUTED_VALUE"""),1380.0)</f>
        <v>1380</v>
      </c>
      <c r="C1177" s="2">
        <f>IFERROR(__xludf.DUMMYFUNCTION("""COMPUTED_VALUE"""),1400.0)</f>
        <v>1400</v>
      </c>
      <c r="D1177" s="2">
        <f>IFERROR(__xludf.DUMMYFUNCTION("""COMPUTED_VALUE"""),1315.0)</f>
        <v>1315</v>
      </c>
      <c r="E1177" s="2">
        <f>IFERROR(__xludf.DUMMYFUNCTION("""COMPUTED_VALUE"""),1330.0)</f>
        <v>1330</v>
      </c>
      <c r="F1177" s="2">
        <f>IFERROR(__xludf.DUMMYFUNCTION("""COMPUTED_VALUE"""),4.52538E7)</f>
        <v>45253800</v>
      </c>
      <c r="G1177" s="2">
        <f t="shared" si="1"/>
        <v>85</v>
      </c>
    </row>
    <row r="1178" ht="15.75" customHeight="1">
      <c r="A1178" s="1">
        <f>IFERROR(__xludf.DUMMYFUNCTION("""COMPUTED_VALUE"""),45603.66666666667)</f>
        <v>45603.66667</v>
      </c>
      <c r="B1178" s="2">
        <f>IFERROR(__xludf.DUMMYFUNCTION("""COMPUTED_VALUE"""),1325.0)</f>
        <v>1325</v>
      </c>
      <c r="C1178" s="2">
        <f>IFERROR(__xludf.DUMMYFUNCTION("""COMPUTED_VALUE"""),1360.0)</f>
        <v>1360</v>
      </c>
      <c r="D1178" s="2">
        <f>IFERROR(__xludf.DUMMYFUNCTION("""COMPUTED_VALUE"""),1315.0)</f>
        <v>1315</v>
      </c>
      <c r="E1178" s="2">
        <f>IFERROR(__xludf.DUMMYFUNCTION("""COMPUTED_VALUE"""),1340.0)</f>
        <v>1340</v>
      </c>
      <c r="F1178" s="2">
        <f>IFERROR(__xludf.DUMMYFUNCTION("""COMPUTED_VALUE"""),2.56442E7)</f>
        <v>25644200</v>
      </c>
      <c r="G1178" s="2">
        <f t="shared" si="1"/>
        <v>45</v>
      </c>
    </row>
    <row r="1179" ht="15.75" customHeight="1">
      <c r="A1179" s="1">
        <f>IFERROR(__xludf.DUMMYFUNCTION("""COMPUTED_VALUE"""),45604.66666666667)</f>
        <v>45604.66667</v>
      </c>
      <c r="B1179" s="2">
        <f>IFERROR(__xludf.DUMMYFUNCTION("""COMPUTED_VALUE"""),1345.0)</f>
        <v>1345</v>
      </c>
      <c r="C1179" s="2">
        <f>IFERROR(__xludf.DUMMYFUNCTION("""COMPUTED_VALUE"""),1360.0)</f>
        <v>1360</v>
      </c>
      <c r="D1179" s="2">
        <f>IFERROR(__xludf.DUMMYFUNCTION("""COMPUTED_VALUE"""),1305.0)</f>
        <v>1305</v>
      </c>
      <c r="E1179" s="2">
        <f>IFERROR(__xludf.DUMMYFUNCTION("""COMPUTED_VALUE"""),1325.0)</f>
        <v>1325</v>
      </c>
      <c r="F1179" s="2">
        <f>IFERROR(__xludf.DUMMYFUNCTION("""COMPUTED_VALUE"""),1.94161E7)</f>
        <v>19416100</v>
      </c>
      <c r="G1179" s="2">
        <f t="shared" si="1"/>
        <v>55</v>
      </c>
    </row>
    <row r="1180" ht="15.75" customHeight="1">
      <c r="A1180" s="1">
        <f>IFERROR(__xludf.DUMMYFUNCTION("""COMPUTED_VALUE"""),45607.66666666667)</f>
        <v>45607.66667</v>
      </c>
      <c r="B1180" s="2">
        <f>IFERROR(__xludf.DUMMYFUNCTION("""COMPUTED_VALUE"""),1330.0)</f>
        <v>1330</v>
      </c>
      <c r="C1180" s="2">
        <f>IFERROR(__xludf.DUMMYFUNCTION("""COMPUTED_VALUE"""),1330.0)</f>
        <v>1330</v>
      </c>
      <c r="D1180" s="2">
        <f>IFERROR(__xludf.DUMMYFUNCTION("""COMPUTED_VALUE"""),1270.0)</f>
        <v>1270</v>
      </c>
      <c r="E1180" s="2">
        <f>IFERROR(__xludf.DUMMYFUNCTION("""COMPUTED_VALUE"""),1295.0)</f>
        <v>1295</v>
      </c>
      <c r="F1180" s="2">
        <f>IFERROR(__xludf.DUMMYFUNCTION("""COMPUTED_VALUE"""),2.8969E7)</f>
        <v>28969000</v>
      </c>
      <c r="G1180" s="2">
        <f t="shared" si="1"/>
        <v>60</v>
      </c>
    </row>
    <row r="1181" ht="15.75" customHeight="1">
      <c r="A1181" s="1">
        <f>IFERROR(__xludf.DUMMYFUNCTION("""COMPUTED_VALUE"""),45608.66666666667)</f>
        <v>45608.66667</v>
      </c>
      <c r="B1181" s="2">
        <f>IFERROR(__xludf.DUMMYFUNCTION("""COMPUTED_VALUE"""),1295.0)</f>
        <v>1295</v>
      </c>
      <c r="C1181" s="2">
        <f>IFERROR(__xludf.DUMMYFUNCTION("""COMPUTED_VALUE"""),1310.0)</f>
        <v>1310</v>
      </c>
      <c r="D1181" s="2">
        <f>IFERROR(__xludf.DUMMYFUNCTION("""COMPUTED_VALUE"""),1280.0)</f>
        <v>1280</v>
      </c>
      <c r="E1181" s="2">
        <f>IFERROR(__xludf.DUMMYFUNCTION("""COMPUTED_VALUE"""),1300.0)</f>
        <v>1300</v>
      </c>
      <c r="F1181" s="2">
        <f>IFERROR(__xludf.DUMMYFUNCTION("""COMPUTED_VALUE"""),1.50955E7)</f>
        <v>15095500</v>
      </c>
      <c r="G1181" s="2">
        <f t="shared" si="1"/>
        <v>30</v>
      </c>
    </row>
    <row r="1182" ht="15.75" customHeight="1">
      <c r="A1182" s="1">
        <f>IFERROR(__xludf.DUMMYFUNCTION("""COMPUTED_VALUE"""),45609.66666666667)</f>
        <v>45609.66667</v>
      </c>
      <c r="B1182" s="2">
        <f>IFERROR(__xludf.DUMMYFUNCTION("""COMPUTED_VALUE"""),1300.0)</f>
        <v>1300</v>
      </c>
      <c r="C1182" s="2">
        <f>IFERROR(__xludf.DUMMYFUNCTION("""COMPUTED_VALUE"""),1345.0)</f>
        <v>1345</v>
      </c>
      <c r="D1182" s="2">
        <f>IFERROR(__xludf.DUMMYFUNCTION("""COMPUTED_VALUE"""),1300.0)</f>
        <v>1300</v>
      </c>
      <c r="E1182" s="2">
        <f>IFERROR(__xludf.DUMMYFUNCTION("""COMPUTED_VALUE"""),1330.0)</f>
        <v>1330</v>
      </c>
      <c r="F1182" s="2">
        <f>IFERROR(__xludf.DUMMYFUNCTION("""COMPUTED_VALUE"""),1.93112E7)</f>
        <v>19311200</v>
      </c>
      <c r="G1182" s="2">
        <f t="shared" si="1"/>
        <v>45</v>
      </c>
    </row>
    <row r="1183" ht="15.75" customHeight="1">
      <c r="A1183" s="1">
        <f>IFERROR(__xludf.DUMMYFUNCTION("""COMPUTED_VALUE"""),45610.66666666667)</f>
        <v>45610.66667</v>
      </c>
      <c r="B1183" s="2">
        <f>IFERROR(__xludf.DUMMYFUNCTION("""COMPUTED_VALUE"""),1330.0)</f>
        <v>1330</v>
      </c>
      <c r="C1183" s="2">
        <f>IFERROR(__xludf.DUMMYFUNCTION("""COMPUTED_VALUE"""),1330.0)</f>
        <v>1330</v>
      </c>
      <c r="D1183" s="2">
        <f>IFERROR(__xludf.DUMMYFUNCTION("""COMPUTED_VALUE"""),1300.0)</f>
        <v>1300</v>
      </c>
      <c r="E1183" s="2">
        <f>IFERROR(__xludf.DUMMYFUNCTION("""COMPUTED_VALUE"""),1305.0)</f>
        <v>1305</v>
      </c>
      <c r="F1183" s="2">
        <f>IFERROR(__xludf.DUMMYFUNCTION("""COMPUTED_VALUE"""),1.05103E7)</f>
        <v>10510300</v>
      </c>
      <c r="G1183" s="2">
        <f t="shared" si="1"/>
        <v>30</v>
      </c>
    </row>
    <row r="1184" ht="15.75" customHeight="1">
      <c r="A1184" s="1">
        <f>IFERROR(__xludf.DUMMYFUNCTION("""COMPUTED_VALUE"""),45611.66666666667)</f>
        <v>45611.66667</v>
      </c>
      <c r="B1184" s="2">
        <f>IFERROR(__xludf.DUMMYFUNCTION("""COMPUTED_VALUE"""),1300.0)</f>
        <v>1300</v>
      </c>
      <c r="C1184" s="2">
        <f>IFERROR(__xludf.DUMMYFUNCTION("""COMPUTED_VALUE"""),1305.0)</f>
        <v>1305</v>
      </c>
      <c r="D1184" s="2">
        <f>IFERROR(__xludf.DUMMYFUNCTION("""COMPUTED_VALUE"""),1280.0)</f>
        <v>1280</v>
      </c>
      <c r="E1184" s="2">
        <f>IFERROR(__xludf.DUMMYFUNCTION("""COMPUTED_VALUE"""),1290.0)</f>
        <v>1290</v>
      </c>
      <c r="F1184" s="2">
        <f>IFERROR(__xludf.DUMMYFUNCTION("""COMPUTED_VALUE"""),6830100.0)</f>
        <v>6830100</v>
      </c>
      <c r="G1184" s="2">
        <f t="shared" si="1"/>
        <v>25</v>
      </c>
    </row>
    <row r="1185" ht="15.75" customHeight="1">
      <c r="A1185" s="1">
        <f>IFERROR(__xludf.DUMMYFUNCTION("""COMPUTED_VALUE"""),45614.66666666667)</f>
        <v>45614.66667</v>
      </c>
      <c r="B1185" s="2">
        <f>IFERROR(__xludf.DUMMYFUNCTION("""COMPUTED_VALUE"""),1290.0)</f>
        <v>1290</v>
      </c>
      <c r="C1185" s="2">
        <f>IFERROR(__xludf.DUMMYFUNCTION("""COMPUTED_VALUE"""),1295.0)</f>
        <v>1295</v>
      </c>
      <c r="D1185" s="2">
        <f>IFERROR(__xludf.DUMMYFUNCTION("""COMPUTED_VALUE"""),1260.0)</f>
        <v>1260</v>
      </c>
      <c r="E1185" s="2">
        <f>IFERROR(__xludf.DUMMYFUNCTION("""COMPUTED_VALUE"""),1260.0)</f>
        <v>1260</v>
      </c>
      <c r="F1185" s="2">
        <f>IFERROR(__xludf.DUMMYFUNCTION("""COMPUTED_VALUE"""),9682900.0)</f>
        <v>9682900</v>
      </c>
      <c r="G1185" s="2">
        <f t="shared" si="1"/>
        <v>35</v>
      </c>
    </row>
    <row r="1186" ht="15.75" customHeight="1">
      <c r="A1186" s="1">
        <f>IFERROR(__xludf.DUMMYFUNCTION("""COMPUTED_VALUE"""),45615.66666666667)</f>
        <v>45615.66667</v>
      </c>
      <c r="B1186" s="2">
        <f>IFERROR(__xludf.DUMMYFUNCTION("""COMPUTED_VALUE"""),1265.0)</f>
        <v>1265</v>
      </c>
      <c r="C1186" s="2">
        <f>IFERROR(__xludf.DUMMYFUNCTION("""COMPUTED_VALUE"""),1295.0)</f>
        <v>1295</v>
      </c>
      <c r="D1186" s="2">
        <f>IFERROR(__xludf.DUMMYFUNCTION("""COMPUTED_VALUE"""),1265.0)</f>
        <v>1265</v>
      </c>
      <c r="E1186" s="2">
        <f>IFERROR(__xludf.DUMMYFUNCTION("""COMPUTED_VALUE"""),1280.0)</f>
        <v>1280</v>
      </c>
      <c r="F1186" s="2">
        <f>IFERROR(__xludf.DUMMYFUNCTION("""COMPUTED_VALUE"""),8581600.0)</f>
        <v>8581600</v>
      </c>
      <c r="G1186" s="2">
        <f t="shared" si="1"/>
        <v>35</v>
      </c>
    </row>
    <row r="1187" ht="15.75" customHeight="1">
      <c r="A1187" s="1">
        <f>IFERROR(__xludf.DUMMYFUNCTION("""COMPUTED_VALUE"""),45616.66666666667)</f>
        <v>45616.66667</v>
      </c>
      <c r="B1187" s="2">
        <f>IFERROR(__xludf.DUMMYFUNCTION("""COMPUTED_VALUE"""),1290.0)</f>
        <v>1290</v>
      </c>
      <c r="C1187" s="2">
        <f>IFERROR(__xludf.DUMMYFUNCTION("""COMPUTED_VALUE"""),1295.0)</f>
        <v>1295</v>
      </c>
      <c r="D1187" s="2">
        <f>IFERROR(__xludf.DUMMYFUNCTION("""COMPUTED_VALUE"""),1265.0)</f>
        <v>1265</v>
      </c>
      <c r="E1187" s="2">
        <f>IFERROR(__xludf.DUMMYFUNCTION("""COMPUTED_VALUE"""),1270.0)</f>
        <v>1270</v>
      </c>
      <c r="F1187" s="2">
        <f>IFERROR(__xludf.DUMMYFUNCTION("""COMPUTED_VALUE"""),1.0593E7)</f>
        <v>10593000</v>
      </c>
      <c r="G1187" s="2">
        <f t="shared" si="1"/>
        <v>30</v>
      </c>
    </row>
    <row r="1188" ht="15.75" customHeight="1">
      <c r="A1188" s="1">
        <f>IFERROR(__xludf.DUMMYFUNCTION("""COMPUTED_VALUE"""),45617.66666666667)</f>
        <v>45617.66667</v>
      </c>
      <c r="B1188" s="2">
        <f>IFERROR(__xludf.DUMMYFUNCTION("""COMPUTED_VALUE"""),1275.0)</f>
        <v>1275</v>
      </c>
      <c r="C1188" s="2">
        <f>IFERROR(__xludf.DUMMYFUNCTION("""COMPUTED_VALUE"""),1275.0)</f>
        <v>1275</v>
      </c>
      <c r="D1188" s="2">
        <f>IFERROR(__xludf.DUMMYFUNCTION("""COMPUTED_VALUE"""),1240.0)</f>
        <v>1240</v>
      </c>
      <c r="E1188" s="2">
        <f>IFERROR(__xludf.DUMMYFUNCTION("""COMPUTED_VALUE"""),1245.0)</f>
        <v>1245</v>
      </c>
      <c r="F1188" s="2">
        <f>IFERROR(__xludf.DUMMYFUNCTION("""COMPUTED_VALUE"""),2.58207E7)</f>
        <v>25820700</v>
      </c>
      <c r="G1188" s="2">
        <f t="shared" si="1"/>
        <v>35</v>
      </c>
    </row>
    <row r="1189" ht="15.75" customHeight="1">
      <c r="A1189" s="1">
        <f>IFERROR(__xludf.DUMMYFUNCTION("""COMPUTED_VALUE"""),45618.66666666667)</f>
        <v>45618.66667</v>
      </c>
      <c r="B1189" s="2">
        <f>IFERROR(__xludf.DUMMYFUNCTION("""COMPUTED_VALUE"""),1260.0)</f>
        <v>1260</v>
      </c>
      <c r="C1189" s="2">
        <f>IFERROR(__xludf.DUMMYFUNCTION("""COMPUTED_VALUE"""),1280.0)</f>
        <v>1280</v>
      </c>
      <c r="D1189" s="2">
        <f>IFERROR(__xludf.DUMMYFUNCTION("""COMPUTED_VALUE"""),1250.0)</f>
        <v>1250</v>
      </c>
      <c r="E1189" s="2">
        <f>IFERROR(__xludf.DUMMYFUNCTION("""COMPUTED_VALUE"""),1260.0)</f>
        <v>1260</v>
      </c>
      <c r="F1189" s="2">
        <f>IFERROR(__xludf.DUMMYFUNCTION("""COMPUTED_VALUE"""),2.50777E7)</f>
        <v>25077700</v>
      </c>
      <c r="G1189" s="2">
        <f t="shared" si="1"/>
        <v>35</v>
      </c>
    </row>
    <row r="1190" ht="15.75" customHeight="1">
      <c r="A1190" s="1">
        <f>IFERROR(__xludf.DUMMYFUNCTION("""COMPUTED_VALUE"""),45621.66666666667)</f>
        <v>45621.66667</v>
      </c>
      <c r="B1190" s="2">
        <f>IFERROR(__xludf.DUMMYFUNCTION("""COMPUTED_VALUE"""),1265.0)</f>
        <v>1265</v>
      </c>
      <c r="C1190" s="2">
        <f>IFERROR(__xludf.DUMMYFUNCTION("""COMPUTED_VALUE"""),1335.0)</f>
        <v>1335</v>
      </c>
      <c r="D1190" s="2">
        <f>IFERROR(__xludf.DUMMYFUNCTION("""COMPUTED_VALUE"""),1265.0)</f>
        <v>1265</v>
      </c>
      <c r="E1190" s="2">
        <f>IFERROR(__xludf.DUMMYFUNCTION("""COMPUTED_VALUE"""),1290.0)</f>
        <v>1290</v>
      </c>
      <c r="F1190" s="2">
        <f>IFERROR(__xludf.DUMMYFUNCTION("""COMPUTED_VALUE"""),3.8369E7)</f>
        <v>38369000</v>
      </c>
      <c r="G1190" s="2">
        <f t="shared" si="1"/>
        <v>75</v>
      </c>
    </row>
    <row r="1191" ht="15.75" customHeight="1">
      <c r="A1191" s="1">
        <f>IFERROR(__xludf.DUMMYFUNCTION("""COMPUTED_VALUE"""),45622.66666666667)</f>
        <v>45622.66667</v>
      </c>
      <c r="B1191" s="2">
        <f>IFERROR(__xludf.DUMMYFUNCTION("""COMPUTED_VALUE"""),1305.0)</f>
        <v>1305</v>
      </c>
      <c r="C1191" s="2">
        <f>IFERROR(__xludf.DUMMYFUNCTION("""COMPUTED_VALUE"""),1305.0)</f>
        <v>1305</v>
      </c>
      <c r="D1191" s="2">
        <f>IFERROR(__xludf.DUMMYFUNCTION("""COMPUTED_VALUE"""),1275.0)</f>
        <v>1275</v>
      </c>
      <c r="E1191" s="2">
        <f>IFERROR(__xludf.DUMMYFUNCTION("""COMPUTED_VALUE"""),1295.0)</f>
        <v>1295</v>
      </c>
      <c r="F1191" s="2">
        <f>IFERROR(__xludf.DUMMYFUNCTION("""COMPUTED_VALUE"""),1.87291E7)</f>
        <v>18729100</v>
      </c>
      <c r="G1191" s="2">
        <f t="shared" si="1"/>
        <v>30</v>
      </c>
    </row>
    <row r="1192" ht="15.75" customHeight="1">
      <c r="A1192" s="1">
        <f>IFERROR(__xludf.DUMMYFUNCTION("""COMPUTED_VALUE"""),45624.66666666667)</f>
        <v>45624.66667</v>
      </c>
      <c r="B1192" s="2">
        <f>IFERROR(__xludf.DUMMYFUNCTION("""COMPUTED_VALUE"""),1295.0)</f>
        <v>1295</v>
      </c>
      <c r="C1192" s="2">
        <f>IFERROR(__xludf.DUMMYFUNCTION("""COMPUTED_VALUE"""),1295.0)</f>
        <v>1295</v>
      </c>
      <c r="D1192" s="2">
        <f>IFERROR(__xludf.DUMMYFUNCTION("""COMPUTED_VALUE"""),1275.0)</f>
        <v>1275</v>
      </c>
      <c r="E1192" s="2">
        <f>IFERROR(__xludf.DUMMYFUNCTION("""COMPUTED_VALUE"""),1290.0)</f>
        <v>1290</v>
      </c>
      <c r="F1192" s="2">
        <f>IFERROR(__xludf.DUMMYFUNCTION("""COMPUTED_VALUE"""),1.69744E7)</f>
        <v>16974400</v>
      </c>
      <c r="G1192" s="2">
        <f t="shared" si="1"/>
        <v>20</v>
      </c>
    </row>
    <row r="1193" ht="15.75" customHeight="1">
      <c r="A1193" s="1">
        <f>IFERROR(__xludf.DUMMYFUNCTION("""COMPUTED_VALUE"""),45625.66666666667)</f>
        <v>45625.66667</v>
      </c>
      <c r="B1193" s="2">
        <f>IFERROR(__xludf.DUMMYFUNCTION("""COMPUTED_VALUE"""),1285.0)</f>
        <v>1285</v>
      </c>
      <c r="C1193" s="2">
        <f>IFERROR(__xludf.DUMMYFUNCTION("""COMPUTED_VALUE"""),1290.0)</f>
        <v>1290</v>
      </c>
      <c r="D1193" s="2">
        <f>IFERROR(__xludf.DUMMYFUNCTION("""COMPUTED_VALUE"""),1260.0)</f>
        <v>1260</v>
      </c>
      <c r="E1193" s="2">
        <f>IFERROR(__xludf.DUMMYFUNCTION("""COMPUTED_VALUE"""),1285.0)</f>
        <v>1285</v>
      </c>
      <c r="F1193" s="2">
        <f>IFERROR(__xludf.DUMMYFUNCTION("""COMPUTED_VALUE"""),1.30801E7)</f>
        <v>13080100</v>
      </c>
      <c r="G1193" s="2">
        <f t="shared" si="1"/>
        <v>30</v>
      </c>
    </row>
    <row r="1194" ht="15.75" customHeight="1">
      <c r="A1194" s="1">
        <f>IFERROR(__xludf.DUMMYFUNCTION("""COMPUTED_VALUE"""),45628.66666666667)</f>
        <v>45628.66667</v>
      </c>
      <c r="B1194" s="2">
        <f>IFERROR(__xludf.DUMMYFUNCTION("""COMPUTED_VALUE"""),1280.0)</f>
        <v>1280</v>
      </c>
      <c r="C1194" s="2">
        <f>IFERROR(__xludf.DUMMYFUNCTION("""COMPUTED_VALUE"""),1285.0)</f>
        <v>1285</v>
      </c>
      <c r="D1194" s="2">
        <f>IFERROR(__xludf.DUMMYFUNCTION("""COMPUTED_VALUE"""),1220.0)</f>
        <v>1220</v>
      </c>
      <c r="E1194" s="2">
        <f>IFERROR(__xludf.DUMMYFUNCTION("""COMPUTED_VALUE"""),1220.0)</f>
        <v>1220</v>
      </c>
      <c r="F1194" s="2">
        <f>IFERROR(__xludf.DUMMYFUNCTION("""COMPUTED_VALUE"""),1.59794E7)</f>
        <v>15979400</v>
      </c>
      <c r="G1194" s="2">
        <f t="shared" si="1"/>
        <v>65</v>
      </c>
    </row>
    <row r="1195" ht="15.75" customHeight="1">
      <c r="A1195" s="1">
        <f>IFERROR(__xludf.DUMMYFUNCTION("""COMPUTED_VALUE"""),45629.66666666667)</f>
        <v>45629.66667</v>
      </c>
      <c r="B1195" s="2">
        <f>IFERROR(__xludf.DUMMYFUNCTION("""COMPUTED_VALUE"""),1230.0)</f>
        <v>1230</v>
      </c>
      <c r="C1195" s="2">
        <f>IFERROR(__xludf.DUMMYFUNCTION("""COMPUTED_VALUE"""),1250.0)</f>
        <v>1250</v>
      </c>
      <c r="D1195" s="2">
        <f>IFERROR(__xludf.DUMMYFUNCTION("""COMPUTED_VALUE"""),1200.0)</f>
        <v>1200</v>
      </c>
      <c r="E1195" s="2">
        <f>IFERROR(__xludf.DUMMYFUNCTION("""COMPUTED_VALUE"""),1205.0)</f>
        <v>1205</v>
      </c>
      <c r="F1195" s="2">
        <f>IFERROR(__xludf.DUMMYFUNCTION("""COMPUTED_VALUE"""),3.85999E7)</f>
        <v>38599900</v>
      </c>
      <c r="G1195" s="2">
        <f t="shared" si="1"/>
        <v>50</v>
      </c>
    </row>
    <row r="1196" ht="15.75" customHeight="1">
      <c r="A1196" s="1">
        <f>IFERROR(__xludf.DUMMYFUNCTION("""COMPUTED_VALUE"""),45630.66666666667)</f>
        <v>45630.66667</v>
      </c>
      <c r="B1196" s="2">
        <f>IFERROR(__xludf.DUMMYFUNCTION("""COMPUTED_VALUE"""),1210.0)</f>
        <v>1210</v>
      </c>
      <c r="C1196" s="2">
        <f>IFERROR(__xludf.DUMMYFUNCTION("""COMPUTED_VALUE"""),1245.0)</f>
        <v>1245</v>
      </c>
      <c r="D1196" s="2">
        <f>IFERROR(__xludf.DUMMYFUNCTION("""COMPUTED_VALUE"""),1205.0)</f>
        <v>1205</v>
      </c>
      <c r="E1196" s="2">
        <f>IFERROR(__xludf.DUMMYFUNCTION("""COMPUTED_VALUE"""),1220.0)</f>
        <v>1220</v>
      </c>
      <c r="F1196" s="2">
        <f>IFERROR(__xludf.DUMMYFUNCTION("""COMPUTED_VALUE"""),3.71177E7)</f>
        <v>37117700</v>
      </c>
      <c r="G1196" s="2">
        <f t="shared" si="1"/>
        <v>40</v>
      </c>
    </row>
    <row r="1197" ht="15.75" customHeight="1">
      <c r="A1197" s="1">
        <f>IFERROR(__xludf.DUMMYFUNCTION("""COMPUTED_VALUE"""),45631.66666666667)</f>
        <v>45631.66667</v>
      </c>
      <c r="B1197" s="2">
        <f>IFERROR(__xludf.DUMMYFUNCTION("""COMPUTED_VALUE"""),1230.0)</f>
        <v>1230</v>
      </c>
      <c r="C1197" s="2">
        <f>IFERROR(__xludf.DUMMYFUNCTION("""COMPUTED_VALUE"""),1230.0)</f>
        <v>1230</v>
      </c>
      <c r="D1197" s="2">
        <f>IFERROR(__xludf.DUMMYFUNCTION("""COMPUTED_VALUE"""),1205.0)</f>
        <v>1205</v>
      </c>
      <c r="E1197" s="2">
        <f>IFERROR(__xludf.DUMMYFUNCTION("""COMPUTED_VALUE"""),1210.0)</f>
        <v>1210</v>
      </c>
      <c r="F1197" s="2">
        <f>IFERROR(__xludf.DUMMYFUNCTION("""COMPUTED_VALUE"""),1.38178E7)</f>
        <v>13817800</v>
      </c>
      <c r="G1197" s="2">
        <f t="shared" si="1"/>
        <v>25</v>
      </c>
    </row>
    <row r="1198" ht="15.75" customHeight="1">
      <c r="A1198" s="1">
        <f>IFERROR(__xludf.DUMMYFUNCTION("""COMPUTED_VALUE"""),45632.66666666667)</f>
        <v>45632.66667</v>
      </c>
      <c r="B1198" s="2">
        <f>IFERROR(__xludf.DUMMYFUNCTION("""COMPUTED_VALUE"""),1210.0)</f>
        <v>1210</v>
      </c>
      <c r="C1198" s="2">
        <f>IFERROR(__xludf.DUMMYFUNCTION("""COMPUTED_VALUE"""),1220.0)</f>
        <v>1220</v>
      </c>
      <c r="D1198" s="2">
        <f>IFERROR(__xludf.DUMMYFUNCTION("""COMPUTED_VALUE"""),1200.0)</f>
        <v>1200</v>
      </c>
      <c r="E1198" s="2">
        <f>IFERROR(__xludf.DUMMYFUNCTION("""COMPUTED_VALUE"""),1210.0)</f>
        <v>1210</v>
      </c>
      <c r="F1198" s="2">
        <f>IFERROR(__xludf.DUMMYFUNCTION("""COMPUTED_VALUE"""),2.29509E7)</f>
        <v>22950900</v>
      </c>
      <c r="G1198" s="2">
        <f t="shared" si="1"/>
        <v>20</v>
      </c>
    </row>
    <row r="1199" ht="15.75" customHeight="1">
      <c r="A1199" s="1">
        <f>IFERROR(__xludf.DUMMYFUNCTION("""COMPUTED_VALUE"""),45635.66666666667)</f>
        <v>45635.66667</v>
      </c>
      <c r="B1199" s="2">
        <f>IFERROR(__xludf.DUMMYFUNCTION("""COMPUTED_VALUE"""),1210.0)</f>
        <v>1210</v>
      </c>
      <c r="C1199" s="2">
        <f>IFERROR(__xludf.DUMMYFUNCTION("""COMPUTED_VALUE"""),1245.0)</f>
        <v>1245</v>
      </c>
      <c r="D1199" s="2">
        <f>IFERROR(__xludf.DUMMYFUNCTION("""COMPUTED_VALUE"""),1210.0)</f>
        <v>1210</v>
      </c>
      <c r="E1199" s="2">
        <f>IFERROR(__xludf.DUMMYFUNCTION("""COMPUTED_VALUE"""),1235.0)</f>
        <v>1235</v>
      </c>
      <c r="F1199" s="2">
        <f>IFERROR(__xludf.DUMMYFUNCTION("""COMPUTED_VALUE"""),2.74411E7)</f>
        <v>27441100</v>
      </c>
      <c r="G1199" s="2">
        <f t="shared" si="1"/>
        <v>35</v>
      </c>
    </row>
    <row r="1200" ht="15.75" customHeight="1">
      <c r="A1200" s="1">
        <f>IFERROR(__xludf.DUMMYFUNCTION("""COMPUTED_VALUE"""),45636.66666666667)</f>
        <v>45636.66667</v>
      </c>
      <c r="B1200" s="2">
        <f>IFERROR(__xludf.DUMMYFUNCTION("""COMPUTED_VALUE"""),1235.0)</f>
        <v>1235</v>
      </c>
      <c r="C1200" s="2">
        <f>IFERROR(__xludf.DUMMYFUNCTION("""COMPUTED_VALUE"""),1240.0)</f>
        <v>1240</v>
      </c>
      <c r="D1200" s="2">
        <f>IFERROR(__xludf.DUMMYFUNCTION("""COMPUTED_VALUE"""),1225.0)</f>
        <v>1225</v>
      </c>
      <c r="E1200" s="2">
        <f>IFERROR(__xludf.DUMMYFUNCTION("""COMPUTED_VALUE"""),1235.0)</f>
        <v>1235</v>
      </c>
      <c r="F1200" s="2">
        <f>IFERROR(__xludf.DUMMYFUNCTION("""COMPUTED_VALUE"""),1.55181E7)</f>
        <v>15518100</v>
      </c>
      <c r="G1200" s="2">
        <f t="shared" si="1"/>
        <v>15</v>
      </c>
    </row>
    <row r="1201" ht="15.75" customHeight="1">
      <c r="A1201" s="1">
        <f>IFERROR(__xludf.DUMMYFUNCTION("""COMPUTED_VALUE"""),45637.66666666667)</f>
        <v>45637.66667</v>
      </c>
      <c r="B1201" s="2">
        <f>IFERROR(__xludf.DUMMYFUNCTION("""COMPUTED_VALUE"""),1235.0)</f>
        <v>1235</v>
      </c>
      <c r="C1201" s="2">
        <f>IFERROR(__xludf.DUMMYFUNCTION("""COMPUTED_VALUE"""),1260.0)</f>
        <v>1260</v>
      </c>
      <c r="D1201" s="2">
        <f>IFERROR(__xludf.DUMMYFUNCTION("""COMPUTED_VALUE"""),1230.0)</f>
        <v>1230</v>
      </c>
      <c r="E1201" s="2">
        <f>IFERROR(__xludf.DUMMYFUNCTION("""COMPUTED_VALUE"""),1250.0)</f>
        <v>1250</v>
      </c>
      <c r="F1201" s="2">
        <f>IFERROR(__xludf.DUMMYFUNCTION("""COMPUTED_VALUE"""),2.20654E7)</f>
        <v>22065400</v>
      </c>
      <c r="G1201" s="2">
        <f t="shared" si="1"/>
        <v>30</v>
      </c>
    </row>
    <row r="1202" ht="15.75" customHeight="1">
      <c r="A1202" s="1">
        <f>IFERROR(__xludf.DUMMYFUNCTION("""COMPUTED_VALUE"""),45638.66666666667)</f>
        <v>45638.66667</v>
      </c>
      <c r="B1202" s="2">
        <f>IFERROR(__xludf.DUMMYFUNCTION("""COMPUTED_VALUE"""),1245.0)</f>
        <v>1245</v>
      </c>
      <c r="C1202" s="2">
        <f>IFERROR(__xludf.DUMMYFUNCTION("""COMPUTED_VALUE"""),1250.0)</f>
        <v>1250</v>
      </c>
      <c r="D1202" s="2">
        <f>IFERROR(__xludf.DUMMYFUNCTION("""COMPUTED_VALUE"""),1220.0)</f>
        <v>1220</v>
      </c>
      <c r="E1202" s="2">
        <f>IFERROR(__xludf.DUMMYFUNCTION("""COMPUTED_VALUE"""),1230.0)</f>
        <v>1230</v>
      </c>
      <c r="F1202" s="2">
        <f>IFERROR(__xludf.DUMMYFUNCTION("""COMPUTED_VALUE"""),1.66631E7)</f>
        <v>16663100</v>
      </c>
      <c r="G1202" s="2">
        <f t="shared" si="1"/>
        <v>30</v>
      </c>
    </row>
    <row r="1203" ht="15.75" customHeight="1">
      <c r="A1203" s="1">
        <f>IFERROR(__xludf.DUMMYFUNCTION("""COMPUTED_VALUE"""),45639.66666666667)</f>
        <v>45639.66667</v>
      </c>
      <c r="B1203" s="2">
        <f>IFERROR(__xludf.DUMMYFUNCTION("""COMPUTED_VALUE"""),1225.0)</f>
        <v>1225</v>
      </c>
      <c r="C1203" s="2">
        <f>IFERROR(__xludf.DUMMYFUNCTION("""COMPUTED_VALUE"""),1225.0)</f>
        <v>1225</v>
      </c>
      <c r="D1203" s="2">
        <f>IFERROR(__xludf.DUMMYFUNCTION("""COMPUTED_VALUE"""),1200.0)</f>
        <v>1200</v>
      </c>
      <c r="E1203" s="2">
        <f>IFERROR(__xludf.DUMMYFUNCTION("""COMPUTED_VALUE"""),1210.0)</f>
        <v>1210</v>
      </c>
      <c r="F1203" s="2">
        <f>IFERROR(__xludf.DUMMYFUNCTION("""COMPUTED_VALUE"""),1.60155E7)</f>
        <v>16015500</v>
      </c>
      <c r="G1203" s="2">
        <f t="shared" si="1"/>
        <v>30</v>
      </c>
    </row>
    <row r="1204" ht="15.75" customHeight="1">
      <c r="A1204" s="1">
        <f>IFERROR(__xludf.DUMMYFUNCTION("""COMPUTED_VALUE"""),45642.66666666667)</f>
        <v>45642.66667</v>
      </c>
      <c r="B1204" s="2">
        <f>IFERROR(__xludf.DUMMYFUNCTION("""COMPUTED_VALUE"""),1215.0)</f>
        <v>1215</v>
      </c>
      <c r="C1204" s="2">
        <f>IFERROR(__xludf.DUMMYFUNCTION("""COMPUTED_VALUE"""),1220.0)</f>
        <v>1220</v>
      </c>
      <c r="D1204" s="2">
        <f>IFERROR(__xludf.DUMMYFUNCTION("""COMPUTED_VALUE"""),1195.0)</f>
        <v>1195</v>
      </c>
      <c r="E1204" s="2">
        <f>IFERROR(__xludf.DUMMYFUNCTION("""COMPUTED_VALUE"""),1200.0)</f>
        <v>1200</v>
      </c>
      <c r="F1204" s="2">
        <f>IFERROR(__xludf.DUMMYFUNCTION("""COMPUTED_VALUE"""),1.50664E7)</f>
        <v>15066400</v>
      </c>
      <c r="G1204" s="2">
        <f t="shared" si="1"/>
        <v>25</v>
      </c>
    </row>
    <row r="1205" ht="15.75" customHeight="1">
      <c r="A1205" s="1">
        <f>IFERROR(__xludf.DUMMYFUNCTION("""COMPUTED_VALUE"""),45643.66666666667)</f>
        <v>45643.66667</v>
      </c>
      <c r="B1205" s="2">
        <f>IFERROR(__xludf.DUMMYFUNCTION("""COMPUTED_VALUE"""),1200.0)</f>
        <v>1200</v>
      </c>
      <c r="C1205" s="2">
        <f>IFERROR(__xludf.DUMMYFUNCTION("""COMPUTED_VALUE"""),1205.0)</f>
        <v>1205</v>
      </c>
      <c r="D1205" s="2">
        <f>IFERROR(__xludf.DUMMYFUNCTION("""COMPUTED_VALUE"""),1165.0)</f>
        <v>1165</v>
      </c>
      <c r="E1205" s="2">
        <f>IFERROR(__xludf.DUMMYFUNCTION("""COMPUTED_VALUE"""),1170.0)</f>
        <v>1170</v>
      </c>
      <c r="F1205" s="2">
        <f>IFERROR(__xludf.DUMMYFUNCTION("""COMPUTED_VALUE"""),2.11071E7)</f>
        <v>21107100</v>
      </c>
      <c r="G1205" s="2">
        <f t="shared" si="1"/>
        <v>40</v>
      </c>
    </row>
    <row r="1206" ht="15.75" customHeight="1">
      <c r="A1206" s="1">
        <f>IFERROR(__xludf.DUMMYFUNCTION("""COMPUTED_VALUE"""),45644.66666666667)</f>
        <v>45644.66667</v>
      </c>
      <c r="B1206" s="2">
        <f>IFERROR(__xludf.DUMMYFUNCTION("""COMPUTED_VALUE"""),1170.0)</f>
        <v>1170</v>
      </c>
      <c r="C1206" s="2">
        <f>IFERROR(__xludf.DUMMYFUNCTION("""COMPUTED_VALUE"""),1190.0)</f>
        <v>1190</v>
      </c>
      <c r="D1206" s="2">
        <f>IFERROR(__xludf.DUMMYFUNCTION("""COMPUTED_VALUE"""),1150.0)</f>
        <v>1150</v>
      </c>
      <c r="E1206" s="2">
        <f>IFERROR(__xludf.DUMMYFUNCTION("""COMPUTED_VALUE"""),1155.0)</f>
        <v>1155</v>
      </c>
      <c r="F1206" s="2">
        <f>IFERROR(__xludf.DUMMYFUNCTION("""COMPUTED_VALUE"""),2.43139E7)</f>
        <v>24313900</v>
      </c>
      <c r="G1206" s="2">
        <f t="shared" si="1"/>
        <v>40</v>
      </c>
    </row>
    <row r="1207" ht="15.75" customHeight="1">
      <c r="A1207" s="1">
        <f>IFERROR(__xludf.DUMMYFUNCTION("""COMPUTED_VALUE"""),45645.66666666667)</f>
        <v>45645.66667</v>
      </c>
      <c r="B1207" s="2">
        <f>IFERROR(__xludf.DUMMYFUNCTION("""COMPUTED_VALUE"""),1135.0)</f>
        <v>1135</v>
      </c>
      <c r="C1207" s="2">
        <f>IFERROR(__xludf.DUMMYFUNCTION("""COMPUTED_VALUE"""),1150.0)</f>
        <v>1150</v>
      </c>
      <c r="D1207" s="2">
        <f>IFERROR(__xludf.DUMMYFUNCTION("""COMPUTED_VALUE"""),1105.0)</f>
        <v>1105</v>
      </c>
      <c r="E1207" s="2">
        <f>IFERROR(__xludf.DUMMYFUNCTION("""COMPUTED_VALUE"""),1110.0)</f>
        <v>1110</v>
      </c>
      <c r="F1207" s="2">
        <f>IFERROR(__xludf.DUMMYFUNCTION("""COMPUTED_VALUE"""),2.69314E7)</f>
        <v>26931400</v>
      </c>
      <c r="G1207" s="2">
        <f t="shared" si="1"/>
        <v>50</v>
      </c>
    </row>
    <row r="1208" ht="15.75" customHeight="1">
      <c r="A1208" s="1">
        <f>IFERROR(__xludf.DUMMYFUNCTION("""COMPUTED_VALUE"""),45646.66666666667)</f>
        <v>45646.66667</v>
      </c>
      <c r="B1208" s="2">
        <f>IFERROR(__xludf.DUMMYFUNCTION("""COMPUTED_VALUE"""),1110.0)</f>
        <v>1110</v>
      </c>
      <c r="C1208" s="2">
        <f>IFERROR(__xludf.DUMMYFUNCTION("""COMPUTED_VALUE"""),1125.0)</f>
        <v>1125</v>
      </c>
      <c r="D1208" s="2">
        <f>IFERROR(__xludf.DUMMYFUNCTION("""COMPUTED_VALUE"""),1105.0)</f>
        <v>1105</v>
      </c>
      <c r="E1208" s="2">
        <f>IFERROR(__xludf.DUMMYFUNCTION("""COMPUTED_VALUE"""),1125.0)</f>
        <v>1125</v>
      </c>
      <c r="F1208" s="2">
        <f>IFERROR(__xludf.DUMMYFUNCTION("""COMPUTED_VALUE"""),1.0651E7)</f>
        <v>10651000</v>
      </c>
      <c r="G1208" s="2">
        <f t="shared" si="1"/>
        <v>20</v>
      </c>
    </row>
    <row r="1209" ht="15.75" customHeight="1">
      <c r="A1209" s="1">
        <f>IFERROR(__xludf.DUMMYFUNCTION("""COMPUTED_VALUE"""),45649.66666666667)</f>
        <v>45649.66667</v>
      </c>
      <c r="B1209" s="2">
        <f>IFERROR(__xludf.DUMMYFUNCTION("""COMPUTED_VALUE"""),1140.0)</f>
        <v>1140</v>
      </c>
      <c r="C1209" s="2">
        <f>IFERROR(__xludf.DUMMYFUNCTION("""COMPUTED_VALUE"""),1150.0)</f>
        <v>1150</v>
      </c>
      <c r="D1209" s="2">
        <f>IFERROR(__xludf.DUMMYFUNCTION("""COMPUTED_VALUE"""),1130.0)</f>
        <v>1130</v>
      </c>
      <c r="E1209" s="2">
        <f>IFERROR(__xludf.DUMMYFUNCTION("""COMPUTED_VALUE"""),1140.0)</f>
        <v>1140</v>
      </c>
      <c r="F1209" s="2">
        <f>IFERROR(__xludf.DUMMYFUNCTION("""COMPUTED_VALUE"""),1.25817E7)</f>
        <v>12581700</v>
      </c>
      <c r="G1209" s="2">
        <f t="shared" si="1"/>
        <v>25</v>
      </c>
    </row>
    <row r="1210" ht="15.75" customHeight="1">
      <c r="A1210" s="1">
        <f>IFERROR(__xludf.DUMMYFUNCTION("""COMPUTED_VALUE"""),45650.66666666667)</f>
        <v>45650.66667</v>
      </c>
      <c r="B1210" s="2">
        <f>IFERROR(__xludf.DUMMYFUNCTION("""COMPUTED_VALUE"""),1135.0)</f>
        <v>1135</v>
      </c>
      <c r="C1210" s="2">
        <f>IFERROR(__xludf.DUMMYFUNCTION("""COMPUTED_VALUE"""),1150.0)</f>
        <v>1150</v>
      </c>
      <c r="D1210" s="2">
        <f>IFERROR(__xludf.DUMMYFUNCTION("""COMPUTED_VALUE"""),1130.0)</f>
        <v>1130</v>
      </c>
      <c r="E1210" s="2">
        <f>IFERROR(__xludf.DUMMYFUNCTION("""COMPUTED_VALUE"""),1130.0)</f>
        <v>1130</v>
      </c>
      <c r="F1210" s="2">
        <f>IFERROR(__xludf.DUMMYFUNCTION("""COMPUTED_VALUE"""),7787300.0)</f>
        <v>7787300</v>
      </c>
      <c r="G1210" s="2">
        <f t="shared" si="1"/>
        <v>20</v>
      </c>
    </row>
    <row r="1211" ht="15.75" customHeight="1">
      <c r="A1211" s="1">
        <f>IFERROR(__xludf.DUMMYFUNCTION("""COMPUTED_VALUE"""),45653.66666666667)</f>
        <v>45653.66667</v>
      </c>
      <c r="B1211" s="2">
        <f>IFERROR(__xludf.DUMMYFUNCTION("""COMPUTED_VALUE"""),1130.0)</f>
        <v>1130</v>
      </c>
      <c r="C1211" s="2">
        <f>IFERROR(__xludf.DUMMYFUNCTION("""COMPUTED_VALUE"""),1145.0)</f>
        <v>1145</v>
      </c>
      <c r="D1211" s="2">
        <f>IFERROR(__xludf.DUMMYFUNCTION("""COMPUTED_VALUE"""),1130.0)</f>
        <v>1130</v>
      </c>
      <c r="E1211" s="2">
        <f>IFERROR(__xludf.DUMMYFUNCTION("""COMPUTED_VALUE"""),1135.0)</f>
        <v>1135</v>
      </c>
      <c r="F1211" s="2">
        <f>IFERROR(__xludf.DUMMYFUNCTION("""COMPUTED_VALUE"""),8187200.0)</f>
        <v>8187200</v>
      </c>
      <c r="G1211" s="2">
        <f t="shared" si="1"/>
        <v>15</v>
      </c>
    </row>
    <row r="1212" ht="15.75" customHeight="1">
      <c r="A1212" s="1">
        <f>IFERROR(__xludf.DUMMYFUNCTION("""COMPUTED_VALUE"""),45656.66666666667)</f>
        <v>45656.66667</v>
      </c>
      <c r="B1212" s="2">
        <f>IFERROR(__xludf.DUMMYFUNCTION("""COMPUTED_VALUE"""),1130.0)</f>
        <v>1130</v>
      </c>
      <c r="C1212" s="2">
        <f>IFERROR(__xludf.DUMMYFUNCTION("""COMPUTED_VALUE"""),1140.0)</f>
        <v>1140</v>
      </c>
      <c r="D1212" s="2">
        <f>IFERROR(__xludf.DUMMYFUNCTION("""COMPUTED_VALUE"""),1125.0)</f>
        <v>1125</v>
      </c>
      <c r="E1212" s="2">
        <f>IFERROR(__xludf.DUMMYFUNCTION("""COMPUTED_VALUE"""),1140.0)</f>
        <v>1140</v>
      </c>
      <c r="F1212" s="2">
        <f>IFERROR(__xludf.DUMMYFUNCTION("""COMPUTED_VALUE"""),5928800.0)</f>
        <v>5928800</v>
      </c>
      <c r="G1212" s="2">
        <f t="shared" si="1"/>
        <v>15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7" width="12.63"/>
  </cols>
  <sheetData>
    <row r="1" ht="15.75" customHeight="1">
      <c r="A1" s="1" t="str">
        <f>IFERROR(__xludf.DUMMYFUNCTION("GOOGLEFINANCE(""IDX:BJBR"", ""all"", DATE(2020,1,1), DATE(2025,1,1), ""DAILY"")
"),"Date")</f>
        <v>Date</v>
      </c>
      <c r="B1" s="2" t="str">
        <f>IFERROR(__xludf.DUMMYFUNCTION("""COMPUTED_VALUE"""),"Open")</f>
        <v>Open</v>
      </c>
      <c r="C1" s="2" t="str">
        <f>IFERROR(__xludf.DUMMYFUNCTION("""COMPUTED_VALUE"""),"High")</f>
        <v>High</v>
      </c>
      <c r="D1" s="2" t="str">
        <f>IFERROR(__xludf.DUMMYFUNCTION("""COMPUTED_VALUE"""),"Low")</f>
        <v>Low</v>
      </c>
      <c r="E1" s="2" t="str">
        <f>IFERROR(__xludf.DUMMYFUNCTION("""COMPUTED_VALUE"""),"Close")</f>
        <v>Close</v>
      </c>
      <c r="F1" s="2" t="str">
        <f>IFERROR(__xludf.DUMMYFUNCTION("""COMPUTED_VALUE"""),"Volume")</f>
        <v>Volume</v>
      </c>
      <c r="G1" s="3" t="s">
        <v>0</v>
      </c>
    </row>
    <row r="2" ht="15.75" customHeight="1">
      <c r="A2" s="1">
        <f>IFERROR(__xludf.DUMMYFUNCTION("""COMPUTED_VALUE"""),43832.66666666667)</f>
        <v>43832.66667</v>
      </c>
      <c r="B2" s="2">
        <f>IFERROR(__xludf.DUMMYFUNCTION("""COMPUTED_VALUE"""),1181.74)</f>
        <v>1181.74</v>
      </c>
      <c r="C2" s="2">
        <f>IFERROR(__xludf.DUMMYFUNCTION("""COMPUTED_VALUE"""),1206.67)</f>
        <v>1206.67</v>
      </c>
      <c r="D2" s="2">
        <f>IFERROR(__xludf.DUMMYFUNCTION("""COMPUTED_VALUE"""),1126.89)</f>
        <v>1126.89</v>
      </c>
      <c r="E2" s="2">
        <f>IFERROR(__xludf.DUMMYFUNCTION("""COMPUTED_VALUE"""),1171.77)</f>
        <v>1171.77</v>
      </c>
      <c r="F2" s="2">
        <f>IFERROR(__xludf.DUMMYFUNCTION("""COMPUTED_VALUE"""),6193900.0)</f>
        <v>6193900</v>
      </c>
      <c r="G2" s="2"/>
    </row>
    <row r="3" ht="15.75" customHeight="1">
      <c r="A3" s="1">
        <f>IFERROR(__xludf.DUMMYFUNCTION("""COMPUTED_VALUE"""),43833.66666666667)</f>
        <v>43833.66667</v>
      </c>
      <c r="B3" s="2">
        <f>IFERROR(__xludf.DUMMYFUNCTION("""COMPUTED_VALUE"""),1176.75)</f>
        <v>1176.75</v>
      </c>
      <c r="C3" s="2">
        <f>IFERROR(__xludf.DUMMYFUNCTION("""COMPUTED_VALUE"""),1216.64)</f>
        <v>1216.64</v>
      </c>
      <c r="D3" s="2">
        <f>IFERROR(__xludf.DUMMYFUNCTION("""COMPUTED_VALUE"""),1171.77)</f>
        <v>1171.77</v>
      </c>
      <c r="E3" s="2">
        <f>IFERROR(__xludf.DUMMYFUNCTION("""COMPUTED_VALUE"""),1201.68)</f>
        <v>1201.68</v>
      </c>
      <c r="F3" s="2">
        <f>IFERROR(__xludf.DUMMYFUNCTION("""COMPUTED_VALUE"""),1.19117E7)</f>
        <v>11911700</v>
      </c>
      <c r="G3" s="2">
        <f t="shared" ref="G3:G1212" si="1">MAX(C3-D3, ABS(C3-E2), ABS(D3-E2))</f>
        <v>44.87</v>
      </c>
    </row>
    <row r="4" ht="15.75" customHeight="1">
      <c r="A4" s="1">
        <f>IFERROR(__xludf.DUMMYFUNCTION("""COMPUTED_VALUE"""),43836.66666666667)</f>
        <v>43836.66667</v>
      </c>
      <c r="B4" s="2">
        <f>IFERROR(__xludf.DUMMYFUNCTION("""COMPUTED_VALUE"""),1211.66)</f>
        <v>1211.66</v>
      </c>
      <c r="C4" s="2">
        <f>IFERROR(__xludf.DUMMYFUNCTION("""COMPUTED_VALUE"""),1271.49)</f>
        <v>1271.49</v>
      </c>
      <c r="D4" s="2">
        <f>IFERROR(__xludf.DUMMYFUNCTION("""COMPUTED_VALUE"""),1191.71)</f>
        <v>1191.71</v>
      </c>
      <c r="E4" s="2">
        <f>IFERROR(__xludf.DUMMYFUNCTION("""COMPUTED_VALUE"""),1266.51)</f>
        <v>1266.51</v>
      </c>
      <c r="F4" s="2">
        <f>IFERROR(__xludf.DUMMYFUNCTION("""COMPUTED_VALUE"""),2.14221E7)</f>
        <v>21422100</v>
      </c>
      <c r="G4" s="2">
        <f t="shared" si="1"/>
        <v>79.78</v>
      </c>
    </row>
    <row r="5" ht="15.75" customHeight="1">
      <c r="A5" s="1">
        <f>IFERROR(__xludf.DUMMYFUNCTION("""COMPUTED_VALUE"""),43837.66666666667)</f>
        <v>43837.66667</v>
      </c>
      <c r="B5" s="2">
        <f>IFERROR(__xludf.DUMMYFUNCTION("""COMPUTED_VALUE"""),1266.51)</f>
        <v>1266.51</v>
      </c>
      <c r="C5" s="2">
        <f>IFERROR(__xludf.DUMMYFUNCTION("""COMPUTED_VALUE"""),1281.46)</f>
        <v>1281.46</v>
      </c>
      <c r="D5" s="2">
        <f>IFERROR(__xludf.DUMMYFUNCTION("""COMPUTED_VALUE"""),1226.62)</f>
        <v>1226.62</v>
      </c>
      <c r="E5" s="2">
        <f>IFERROR(__xludf.DUMMYFUNCTION("""COMPUTED_VALUE"""),1226.62)</f>
        <v>1226.62</v>
      </c>
      <c r="F5" s="2">
        <f>IFERROR(__xludf.DUMMYFUNCTION("""COMPUTED_VALUE"""),1.26491E7)</f>
        <v>12649100</v>
      </c>
      <c r="G5" s="2">
        <f t="shared" si="1"/>
        <v>54.84</v>
      </c>
    </row>
    <row r="6" ht="15.75" customHeight="1">
      <c r="A6" s="1">
        <f>IFERROR(__xludf.DUMMYFUNCTION("""COMPUTED_VALUE"""),43838.66666666667)</f>
        <v>43838.66667</v>
      </c>
      <c r="B6" s="2">
        <f>IFERROR(__xludf.DUMMYFUNCTION("""COMPUTED_VALUE"""),1226.62)</f>
        <v>1226.62</v>
      </c>
      <c r="C6" s="2">
        <f>IFERROR(__xludf.DUMMYFUNCTION("""COMPUTED_VALUE"""),1226.62)</f>
        <v>1226.62</v>
      </c>
      <c r="D6" s="2">
        <f>IFERROR(__xludf.DUMMYFUNCTION("""COMPUTED_VALUE"""),1181.74)</f>
        <v>1181.74</v>
      </c>
      <c r="E6" s="2">
        <f>IFERROR(__xludf.DUMMYFUNCTION("""COMPUTED_VALUE"""),1186.73)</f>
        <v>1186.73</v>
      </c>
      <c r="F6" s="2">
        <f>IFERROR(__xludf.DUMMYFUNCTION("""COMPUTED_VALUE"""),8205100.0)</f>
        <v>8205100</v>
      </c>
      <c r="G6" s="2">
        <f t="shared" si="1"/>
        <v>44.88</v>
      </c>
    </row>
    <row r="7" ht="15.75" customHeight="1">
      <c r="A7" s="1">
        <f>IFERROR(__xludf.DUMMYFUNCTION("""COMPUTED_VALUE"""),43839.66666666667)</f>
        <v>43839.66667</v>
      </c>
      <c r="B7" s="2">
        <f>IFERROR(__xludf.DUMMYFUNCTION("""COMPUTED_VALUE"""),1186.73)</f>
        <v>1186.73</v>
      </c>
      <c r="C7" s="2">
        <f>IFERROR(__xludf.DUMMYFUNCTION("""COMPUTED_VALUE"""),1221.63)</f>
        <v>1221.63</v>
      </c>
      <c r="D7" s="2">
        <f>IFERROR(__xludf.DUMMYFUNCTION("""COMPUTED_VALUE"""),1181.74)</f>
        <v>1181.74</v>
      </c>
      <c r="E7" s="2">
        <f>IFERROR(__xludf.DUMMYFUNCTION("""COMPUTED_VALUE"""),1191.71)</f>
        <v>1191.71</v>
      </c>
      <c r="F7" s="2">
        <f>IFERROR(__xludf.DUMMYFUNCTION("""COMPUTED_VALUE"""),7919400.0)</f>
        <v>7919400</v>
      </c>
      <c r="G7" s="2">
        <f t="shared" si="1"/>
        <v>39.89</v>
      </c>
    </row>
    <row r="8" ht="15.75" customHeight="1">
      <c r="A8" s="1">
        <f>IFERROR(__xludf.DUMMYFUNCTION("""COMPUTED_VALUE"""),43840.66666666667)</f>
        <v>43840.66667</v>
      </c>
      <c r="B8" s="2">
        <f>IFERROR(__xludf.DUMMYFUNCTION("""COMPUTED_VALUE"""),1191.71)</f>
        <v>1191.71</v>
      </c>
      <c r="C8" s="2">
        <f>IFERROR(__xludf.DUMMYFUNCTION("""COMPUTED_VALUE"""),1196.7)</f>
        <v>1196.7</v>
      </c>
      <c r="D8" s="2">
        <f>IFERROR(__xludf.DUMMYFUNCTION("""COMPUTED_VALUE"""),1126.89)</f>
        <v>1126.89</v>
      </c>
      <c r="E8" s="2">
        <f>IFERROR(__xludf.DUMMYFUNCTION("""COMPUTED_VALUE"""),1146.84)</f>
        <v>1146.84</v>
      </c>
      <c r="F8" s="2">
        <f>IFERROR(__xludf.DUMMYFUNCTION("""COMPUTED_VALUE"""),1.73806E7)</f>
        <v>17380600</v>
      </c>
      <c r="G8" s="2">
        <f t="shared" si="1"/>
        <v>69.81</v>
      </c>
    </row>
    <row r="9" ht="15.75" customHeight="1">
      <c r="A9" s="1">
        <f>IFERROR(__xludf.DUMMYFUNCTION("""COMPUTED_VALUE"""),43843.66666666667)</f>
        <v>43843.66667</v>
      </c>
      <c r="B9" s="2">
        <f>IFERROR(__xludf.DUMMYFUNCTION("""COMPUTED_VALUE"""),1146.84)</f>
        <v>1146.84</v>
      </c>
      <c r="C9" s="2">
        <f>IFERROR(__xludf.DUMMYFUNCTION("""COMPUTED_VALUE"""),1161.79)</f>
        <v>1161.79</v>
      </c>
      <c r="D9" s="2">
        <f>IFERROR(__xludf.DUMMYFUNCTION("""COMPUTED_VALUE"""),1126.89)</f>
        <v>1126.89</v>
      </c>
      <c r="E9" s="2">
        <f>IFERROR(__xludf.DUMMYFUNCTION("""COMPUTED_VALUE"""),1126.89)</f>
        <v>1126.89</v>
      </c>
      <c r="F9" s="2">
        <f>IFERROR(__xludf.DUMMYFUNCTION("""COMPUTED_VALUE"""),1.00816E7)</f>
        <v>10081600</v>
      </c>
      <c r="G9" s="2">
        <f t="shared" si="1"/>
        <v>34.9</v>
      </c>
    </row>
    <row r="10" ht="15.75" customHeight="1">
      <c r="A10" s="1">
        <f>IFERROR(__xludf.DUMMYFUNCTION("""COMPUTED_VALUE"""),43844.66666666667)</f>
        <v>43844.66667</v>
      </c>
      <c r="B10" s="2">
        <f>IFERROR(__xludf.DUMMYFUNCTION("""COMPUTED_VALUE"""),1126.89)</f>
        <v>1126.89</v>
      </c>
      <c r="C10" s="2">
        <f>IFERROR(__xludf.DUMMYFUNCTION("""COMPUTED_VALUE"""),1151.82)</f>
        <v>1151.82</v>
      </c>
      <c r="D10" s="2">
        <f>IFERROR(__xludf.DUMMYFUNCTION("""COMPUTED_VALUE"""),1116.92)</f>
        <v>1116.92</v>
      </c>
      <c r="E10" s="2">
        <f>IFERROR(__xludf.DUMMYFUNCTION("""COMPUTED_VALUE"""),1141.85)</f>
        <v>1141.85</v>
      </c>
      <c r="F10" s="2">
        <f>IFERROR(__xludf.DUMMYFUNCTION("""COMPUTED_VALUE"""),8689800.0)</f>
        <v>8689800</v>
      </c>
      <c r="G10" s="2">
        <f t="shared" si="1"/>
        <v>34.9</v>
      </c>
    </row>
    <row r="11" ht="15.75" customHeight="1">
      <c r="A11" s="1">
        <f>IFERROR(__xludf.DUMMYFUNCTION("""COMPUTED_VALUE"""),43845.66666666667)</f>
        <v>43845.66667</v>
      </c>
      <c r="B11" s="2">
        <f>IFERROR(__xludf.DUMMYFUNCTION("""COMPUTED_VALUE"""),1141.85)</f>
        <v>1141.85</v>
      </c>
      <c r="C11" s="2">
        <f>IFERROR(__xludf.DUMMYFUNCTION("""COMPUTED_VALUE"""),1151.82)</f>
        <v>1151.82</v>
      </c>
      <c r="D11" s="2">
        <f>IFERROR(__xludf.DUMMYFUNCTION("""COMPUTED_VALUE"""),1106.95)</f>
        <v>1106.95</v>
      </c>
      <c r="E11" s="2">
        <f>IFERROR(__xludf.DUMMYFUNCTION("""COMPUTED_VALUE"""),1111.93)</f>
        <v>1111.93</v>
      </c>
      <c r="F11" s="2">
        <f>IFERROR(__xludf.DUMMYFUNCTION("""COMPUTED_VALUE"""),8466600.0)</f>
        <v>8466600</v>
      </c>
      <c r="G11" s="2">
        <f t="shared" si="1"/>
        <v>44.87</v>
      </c>
    </row>
    <row r="12" ht="15.75" customHeight="1">
      <c r="A12" s="1">
        <f>IFERROR(__xludf.DUMMYFUNCTION("""COMPUTED_VALUE"""),43846.66666666667)</f>
        <v>43846.66667</v>
      </c>
      <c r="B12" s="2">
        <f>IFERROR(__xludf.DUMMYFUNCTION("""COMPUTED_VALUE"""),1111.93)</f>
        <v>1111.93</v>
      </c>
      <c r="C12" s="2">
        <f>IFERROR(__xludf.DUMMYFUNCTION("""COMPUTED_VALUE"""),1121.9)</f>
        <v>1121.9</v>
      </c>
      <c r="D12" s="2">
        <f>IFERROR(__xludf.DUMMYFUNCTION("""COMPUTED_VALUE"""),1082.01)</f>
        <v>1082.01</v>
      </c>
      <c r="E12" s="2">
        <f>IFERROR(__xludf.DUMMYFUNCTION("""COMPUTED_VALUE"""),1087.0)</f>
        <v>1087</v>
      </c>
      <c r="F12" s="2">
        <f>IFERROR(__xludf.DUMMYFUNCTION("""COMPUTED_VALUE"""),1.00116E7)</f>
        <v>10011600</v>
      </c>
      <c r="G12" s="2">
        <f t="shared" si="1"/>
        <v>39.89</v>
      </c>
    </row>
    <row r="13" ht="15.75" customHeight="1">
      <c r="A13" s="1">
        <f>IFERROR(__xludf.DUMMYFUNCTION("""COMPUTED_VALUE"""),43847.66666666667)</f>
        <v>43847.66667</v>
      </c>
      <c r="B13" s="2">
        <f>IFERROR(__xludf.DUMMYFUNCTION("""COMPUTED_VALUE"""),1087.0)</f>
        <v>1087</v>
      </c>
      <c r="C13" s="2">
        <f>IFERROR(__xludf.DUMMYFUNCTION("""COMPUTED_VALUE"""),1087.0)</f>
        <v>1087</v>
      </c>
      <c r="D13" s="2">
        <f>IFERROR(__xludf.DUMMYFUNCTION("""COMPUTED_VALUE"""),1042.12)</f>
        <v>1042.12</v>
      </c>
      <c r="E13" s="2">
        <f>IFERROR(__xludf.DUMMYFUNCTION("""COMPUTED_VALUE"""),1042.12)</f>
        <v>1042.12</v>
      </c>
      <c r="F13" s="2">
        <f>IFERROR(__xludf.DUMMYFUNCTION("""COMPUTED_VALUE"""),1.24502E7)</f>
        <v>12450200</v>
      </c>
      <c r="G13" s="2">
        <f t="shared" si="1"/>
        <v>44.88</v>
      </c>
    </row>
    <row r="14" ht="15.75" customHeight="1">
      <c r="A14" s="1">
        <f>IFERROR(__xludf.DUMMYFUNCTION("""COMPUTED_VALUE"""),43850.66666666667)</f>
        <v>43850.66667</v>
      </c>
      <c r="B14" s="2">
        <f>IFERROR(__xludf.DUMMYFUNCTION("""COMPUTED_VALUE"""),1042.12)</f>
        <v>1042.12</v>
      </c>
      <c r="C14" s="2">
        <f>IFERROR(__xludf.DUMMYFUNCTION("""COMPUTED_VALUE"""),1042.12)</f>
        <v>1042.12</v>
      </c>
      <c r="D14" s="2">
        <f>IFERROR(__xludf.DUMMYFUNCTION("""COMPUTED_VALUE"""),1002.24)</f>
        <v>1002.24</v>
      </c>
      <c r="E14" s="2">
        <f>IFERROR(__xludf.DUMMYFUNCTION("""COMPUTED_VALUE"""),1007.22)</f>
        <v>1007.22</v>
      </c>
      <c r="F14" s="2">
        <f>IFERROR(__xludf.DUMMYFUNCTION("""COMPUTED_VALUE"""),1.36816E7)</f>
        <v>13681600</v>
      </c>
      <c r="G14" s="2">
        <f t="shared" si="1"/>
        <v>39.88</v>
      </c>
    </row>
    <row r="15" ht="15.75" customHeight="1">
      <c r="A15" s="1">
        <f>IFERROR(__xludf.DUMMYFUNCTION("""COMPUTED_VALUE"""),43851.66666666667)</f>
        <v>43851.66667</v>
      </c>
      <c r="B15" s="2">
        <f>IFERROR(__xludf.DUMMYFUNCTION("""COMPUTED_VALUE"""),1007.22)</f>
        <v>1007.22</v>
      </c>
      <c r="C15" s="2">
        <f>IFERROR(__xludf.DUMMYFUNCTION("""COMPUTED_VALUE"""),1106.95)</f>
        <v>1106.95</v>
      </c>
      <c r="D15" s="2">
        <f>IFERROR(__xludf.DUMMYFUNCTION("""COMPUTED_VALUE"""),997.25)</f>
        <v>997.25</v>
      </c>
      <c r="E15" s="2">
        <f>IFERROR(__xludf.DUMMYFUNCTION("""COMPUTED_VALUE"""),1077.03)</f>
        <v>1077.03</v>
      </c>
      <c r="F15" s="2">
        <f>IFERROR(__xludf.DUMMYFUNCTION("""COMPUTED_VALUE"""),2.57143E7)</f>
        <v>25714300</v>
      </c>
      <c r="G15" s="2">
        <f t="shared" si="1"/>
        <v>109.7</v>
      </c>
    </row>
    <row r="16" ht="15.75" customHeight="1">
      <c r="A16" s="1">
        <f>IFERROR(__xludf.DUMMYFUNCTION("""COMPUTED_VALUE"""),43852.66666666667)</f>
        <v>43852.66667</v>
      </c>
      <c r="B16" s="2">
        <f>IFERROR(__xludf.DUMMYFUNCTION("""COMPUTED_VALUE"""),1077.03)</f>
        <v>1077.03</v>
      </c>
      <c r="C16" s="2">
        <f>IFERROR(__xludf.DUMMYFUNCTION("""COMPUTED_VALUE"""),1091.99)</f>
        <v>1091.99</v>
      </c>
      <c r="D16" s="2">
        <f>IFERROR(__xludf.DUMMYFUNCTION("""COMPUTED_VALUE"""),1007.22)</f>
        <v>1007.22</v>
      </c>
      <c r="E16" s="2">
        <f>IFERROR(__xludf.DUMMYFUNCTION("""COMPUTED_VALUE"""),1047.11)</f>
        <v>1047.11</v>
      </c>
      <c r="F16" s="2">
        <f>IFERROR(__xludf.DUMMYFUNCTION("""COMPUTED_VALUE"""),2.67312E7)</f>
        <v>26731200</v>
      </c>
      <c r="G16" s="2">
        <f t="shared" si="1"/>
        <v>84.77</v>
      </c>
    </row>
    <row r="17" ht="15.75" customHeight="1">
      <c r="A17" s="1">
        <f>IFERROR(__xludf.DUMMYFUNCTION("""COMPUTED_VALUE"""),43853.66666666667)</f>
        <v>43853.66667</v>
      </c>
      <c r="B17" s="2">
        <f>IFERROR(__xludf.DUMMYFUNCTION("""COMPUTED_VALUE"""),1047.11)</f>
        <v>1047.11</v>
      </c>
      <c r="C17" s="2">
        <f>IFERROR(__xludf.DUMMYFUNCTION("""COMPUTED_VALUE"""),1072.04)</f>
        <v>1072.04</v>
      </c>
      <c r="D17" s="2">
        <f>IFERROR(__xludf.DUMMYFUNCTION("""COMPUTED_VALUE"""),1027.17)</f>
        <v>1027.17</v>
      </c>
      <c r="E17" s="2">
        <f>IFERROR(__xludf.DUMMYFUNCTION("""COMPUTED_VALUE"""),1057.08)</f>
        <v>1057.08</v>
      </c>
      <c r="F17" s="2">
        <f>IFERROR(__xludf.DUMMYFUNCTION("""COMPUTED_VALUE"""),6200300.0)</f>
        <v>6200300</v>
      </c>
      <c r="G17" s="2">
        <f t="shared" si="1"/>
        <v>44.87</v>
      </c>
    </row>
    <row r="18" ht="15.75" customHeight="1">
      <c r="A18" s="1">
        <f>IFERROR(__xludf.DUMMYFUNCTION("""COMPUTED_VALUE"""),43854.66666666667)</f>
        <v>43854.66667</v>
      </c>
      <c r="B18" s="2">
        <f>IFERROR(__xludf.DUMMYFUNCTION("""COMPUTED_VALUE"""),1057.08)</f>
        <v>1057.08</v>
      </c>
      <c r="C18" s="2">
        <f>IFERROR(__xludf.DUMMYFUNCTION("""COMPUTED_VALUE"""),1087.0)</f>
        <v>1087</v>
      </c>
      <c r="D18" s="2">
        <f>IFERROR(__xludf.DUMMYFUNCTION("""COMPUTED_VALUE"""),1032.15)</f>
        <v>1032.15</v>
      </c>
      <c r="E18" s="2">
        <f>IFERROR(__xludf.DUMMYFUNCTION("""COMPUTED_VALUE"""),1082.01)</f>
        <v>1082.01</v>
      </c>
      <c r="F18" s="2">
        <f>IFERROR(__xludf.DUMMYFUNCTION("""COMPUTED_VALUE"""),7507100.0)</f>
        <v>7507100</v>
      </c>
      <c r="G18" s="2">
        <f t="shared" si="1"/>
        <v>54.85</v>
      </c>
    </row>
    <row r="19" ht="15.75" customHeight="1">
      <c r="A19" s="1">
        <f>IFERROR(__xludf.DUMMYFUNCTION("""COMPUTED_VALUE"""),43857.66666666667)</f>
        <v>43857.66667</v>
      </c>
      <c r="B19" s="2">
        <f>IFERROR(__xludf.DUMMYFUNCTION("""COMPUTED_VALUE"""),1072.04)</f>
        <v>1072.04</v>
      </c>
      <c r="C19" s="2">
        <f>IFERROR(__xludf.DUMMYFUNCTION("""COMPUTED_VALUE"""),1082.01)</f>
        <v>1082.01</v>
      </c>
      <c r="D19" s="2">
        <f>IFERROR(__xludf.DUMMYFUNCTION("""COMPUTED_VALUE"""),1027.17)</f>
        <v>1027.17</v>
      </c>
      <c r="E19" s="2">
        <f>IFERROR(__xludf.DUMMYFUNCTION("""COMPUTED_VALUE"""),1032.15)</f>
        <v>1032.15</v>
      </c>
      <c r="F19" s="2">
        <f>IFERROR(__xludf.DUMMYFUNCTION("""COMPUTED_VALUE"""),7894500.0)</f>
        <v>7894500</v>
      </c>
      <c r="G19" s="2">
        <f t="shared" si="1"/>
        <v>54.84</v>
      </c>
    </row>
    <row r="20" ht="15.75" customHeight="1">
      <c r="A20" s="1">
        <f>IFERROR(__xludf.DUMMYFUNCTION("""COMPUTED_VALUE"""),43858.66666666667)</f>
        <v>43858.66667</v>
      </c>
      <c r="B20" s="2">
        <f>IFERROR(__xludf.DUMMYFUNCTION("""COMPUTED_VALUE"""),1017.19)</f>
        <v>1017.19</v>
      </c>
      <c r="C20" s="2">
        <f>IFERROR(__xludf.DUMMYFUNCTION("""COMPUTED_VALUE"""),1032.15)</f>
        <v>1032.15</v>
      </c>
      <c r="D20" s="2">
        <f>IFERROR(__xludf.DUMMYFUNCTION("""COMPUTED_VALUE"""),987.28)</f>
        <v>987.28</v>
      </c>
      <c r="E20" s="2">
        <f>IFERROR(__xludf.DUMMYFUNCTION("""COMPUTED_VALUE"""),1027.17)</f>
        <v>1027.17</v>
      </c>
      <c r="F20" s="2">
        <f>IFERROR(__xludf.DUMMYFUNCTION("""COMPUTED_VALUE"""),9349200.0)</f>
        <v>9349200</v>
      </c>
      <c r="G20" s="2">
        <f t="shared" si="1"/>
        <v>44.87</v>
      </c>
    </row>
    <row r="21" ht="15.75" customHeight="1">
      <c r="A21" s="1">
        <f>IFERROR(__xludf.DUMMYFUNCTION("""COMPUTED_VALUE"""),43859.66666666667)</f>
        <v>43859.66667</v>
      </c>
      <c r="B21" s="2">
        <f>IFERROR(__xludf.DUMMYFUNCTION("""COMPUTED_VALUE"""),1032.15)</f>
        <v>1032.15</v>
      </c>
      <c r="C21" s="2">
        <f>IFERROR(__xludf.DUMMYFUNCTION("""COMPUTED_VALUE"""),1047.11)</f>
        <v>1047.11</v>
      </c>
      <c r="D21" s="2">
        <f>IFERROR(__xludf.DUMMYFUNCTION("""COMPUTED_VALUE"""),1012.21)</f>
        <v>1012.21</v>
      </c>
      <c r="E21" s="2">
        <f>IFERROR(__xludf.DUMMYFUNCTION("""COMPUTED_VALUE"""),1017.19)</f>
        <v>1017.19</v>
      </c>
      <c r="F21" s="2">
        <f>IFERROR(__xludf.DUMMYFUNCTION("""COMPUTED_VALUE"""),6420900.0)</f>
        <v>6420900</v>
      </c>
      <c r="G21" s="2">
        <f t="shared" si="1"/>
        <v>34.9</v>
      </c>
    </row>
    <row r="22" ht="15.75" customHeight="1">
      <c r="A22" s="1">
        <f>IFERROR(__xludf.DUMMYFUNCTION("""COMPUTED_VALUE"""),43860.66666666667)</f>
        <v>43860.66667</v>
      </c>
      <c r="B22" s="2">
        <f>IFERROR(__xludf.DUMMYFUNCTION("""COMPUTED_VALUE"""),1017.19)</f>
        <v>1017.19</v>
      </c>
      <c r="C22" s="2">
        <f>IFERROR(__xludf.DUMMYFUNCTION("""COMPUTED_VALUE"""),1027.17)</f>
        <v>1027.17</v>
      </c>
      <c r="D22" s="2">
        <f>IFERROR(__xludf.DUMMYFUNCTION("""COMPUTED_VALUE"""),1002.24)</f>
        <v>1002.24</v>
      </c>
      <c r="E22" s="2">
        <f>IFERROR(__xludf.DUMMYFUNCTION("""COMPUTED_VALUE"""),1012.21)</f>
        <v>1012.21</v>
      </c>
      <c r="F22" s="2">
        <f>IFERROR(__xludf.DUMMYFUNCTION("""COMPUTED_VALUE"""),3663200.0)</f>
        <v>3663200</v>
      </c>
      <c r="G22" s="2">
        <f t="shared" si="1"/>
        <v>24.93</v>
      </c>
    </row>
    <row r="23" ht="15.75" customHeight="1">
      <c r="A23" s="1">
        <f>IFERROR(__xludf.DUMMYFUNCTION("""COMPUTED_VALUE"""),43861.66666666667)</f>
        <v>43861.66667</v>
      </c>
      <c r="B23" s="2">
        <f>IFERROR(__xludf.DUMMYFUNCTION("""COMPUTED_VALUE"""),1012.21)</f>
        <v>1012.21</v>
      </c>
      <c r="C23" s="2">
        <f>IFERROR(__xludf.DUMMYFUNCTION("""COMPUTED_VALUE"""),1017.19)</f>
        <v>1017.19</v>
      </c>
      <c r="D23" s="2">
        <f>IFERROR(__xludf.DUMMYFUNCTION("""COMPUTED_VALUE"""),977.3)</f>
        <v>977.3</v>
      </c>
      <c r="E23" s="2">
        <f>IFERROR(__xludf.DUMMYFUNCTION("""COMPUTED_VALUE"""),982.29)</f>
        <v>982.29</v>
      </c>
      <c r="F23" s="2">
        <f>IFERROR(__xludf.DUMMYFUNCTION("""COMPUTED_VALUE"""),1.03178E7)</f>
        <v>10317800</v>
      </c>
      <c r="G23" s="2">
        <f t="shared" si="1"/>
        <v>39.89</v>
      </c>
    </row>
    <row r="24" ht="15.75" customHeight="1">
      <c r="A24" s="1">
        <f>IFERROR(__xludf.DUMMYFUNCTION("""COMPUTED_VALUE"""),43864.66666666667)</f>
        <v>43864.66667</v>
      </c>
      <c r="B24" s="2">
        <f>IFERROR(__xludf.DUMMYFUNCTION("""COMPUTED_VALUE"""),987.28)</f>
        <v>987.28</v>
      </c>
      <c r="C24" s="2">
        <f>IFERROR(__xludf.DUMMYFUNCTION("""COMPUTED_VALUE"""),1002.24)</f>
        <v>1002.24</v>
      </c>
      <c r="D24" s="2">
        <f>IFERROR(__xludf.DUMMYFUNCTION("""COMPUTED_VALUE"""),957.36)</f>
        <v>957.36</v>
      </c>
      <c r="E24" s="2">
        <f>IFERROR(__xludf.DUMMYFUNCTION("""COMPUTED_VALUE"""),972.32)</f>
        <v>972.32</v>
      </c>
      <c r="F24" s="2">
        <f>IFERROR(__xludf.DUMMYFUNCTION("""COMPUTED_VALUE"""),6032200.0)</f>
        <v>6032200</v>
      </c>
      <c r="G24" s="2">
        <f t="shared" si="1"/>
        <v>44.88</v>
      </c>
    </row>
    <row r="25" ht="15.75" customHeight="1">
      <c r="A25" s="1">
        <f>IFERROR(__xludf.DUMMYFUNCTION("""COMPUTED_VALUE"""),43865.66666666667)</f>
        <v>43865.66667</v>
      </c>
      <c r="B25" s="2">
        <f>IFERROR(__xludf.DUMMYFUNCTION("""COMPUTED_VALUE"""),972.32)</f>
        <v>972.32</v>
      </c>
      <c r="C25" s="2">
        <f>IFERROR(__xludf.DUMMYFUNCTION("""COMPUTED_VALUE"""),1007.22)</f>
        <v>1007.22</v>
      </c>
      <c r="D25" s="2">
        <f>IFERROR(__xludf.DUMMYFUNCTION("""COMPUTED_VALUE"""),972.32)</f>
        <v>972.32</v>
      </c>
      <c r="E25" s="2">
        <f>IFERROR(__xludf.DUMMYFUNCTION("""COMPUTED_VALUE"""),1002.24)</f>
        <v>1002.24</v>
      </c>
      <c r="F25" s="2">
        <f>IFERROR(__xludf.DUMMYFUNCTION("""COMPUTED_VALUE"""),5628800.0)</f>
        <v>5628800</v>
      </c>
      <c r="G25" s="2">
        <f t="shared" si="1"/>
        <v>34.9</v>
      </c>
    </row>
    <row r="26" ht="15.75" customHeight="1">
      <c r="A26" s="1">
        <f>IFERROR(__xludf.DUMMYFUNCTION("""COMPUTED_VALUE"""),43866.66666666667)</f>
        <v>43866.66667</v>
      </c>
      <c r="B26" s="2">
        <f>IFERROR(__xludf.DUMMYFUNCTION("""COMPUTED_VALUE"""),1002.24)</f>
        <v>1002.24</v>
      </c>
      <c r="C26" s="2">
        <f>IFERROR(__xludf.DUMMYFUNCTION("""COMPUTED_VALUE"""),1012.21)</f>
        <v>1012.21</v>
      </c>
      <c r="D26" s="2">
        <f>IFERROR(__xludf.DUMMYFUNCTION("""COMPUTED_VALUE"""),987.28)</f>
        <v>987.28</v>
      </c>
      <c r="E26" s="2">
        <f>IFERROR(__xludf.DUMMYFUNCTION("""COMPUTED_VALUE"""),992.26)</f>
        <v>992.26</v>
      </c>
      <c r="F26" s="2">
        <f>IFERROR(__xludf.DUMMYFUNCTION("""COMPUTED_VALUE"""),5547000.0)</f>
        <v>5547000</v>
      </c>
      <c r="G26" s="2">
        <f t="shared" si="1"/>
        <v>24.93</v>
      </c>
    </row>
    <row r="27" ht="15.75" customHeight="1">
      <c r="A27" s="1">
        <f>IFERROR(__xludf.DUMMYFUNCTION("""COMPUTED_VALUE"""),43867.66666666667)</f>
        <v>43867.66667</v>
      </c>
      <c r="B27" s="2">
        <f>IFERROR(__xludf.DUMMYFUNCTION("""COMPUTED_VALUE"""),997.25)</f>
        <v>997.25</v>
      </c>
      <c r="C27" s="2">
        <f>IFERROR(__xludf.DUMMYFUNCTION("""COMPUTED_VALUE"""),1042.12)</f>
        <v>1042.12</v>
      </c>
      <c r="D27" s="2">
        <f>IFERROR(__xludf.DUMMYFUNCTION("""COMPUTED_VALUE"""),997.25)</f>
        <v>997.25</v>
      </c>
      <c r="E27" s="2">
        <f>IFERROR(__xludf.DUMMYFUNCTION("""COMPUTED_VALUE"""),1037.14)</f>
        <v>1037.14</v>
      </c>
      <c r="F27" s="2">
        <f>IFERROR(__xludf.DUMMYFUNCTION("""COMPUTED_VALUE"""),1.25775E7)</f>
        <v>12577500</v>
      </c>
      <c r="G27" s="2">
        <f t="shared" si="1"/>
        <v>49.86</v>
      </c>
    </row>
    <row r="28" ht="15.75" customHeight="1">
      <c r="A28" s="1">
        <f>IFERROR(__xludf.DUMMYFUNCTION("""COMPUTED_VALUE"""),43868.66666666667)</f>
        <v>43868.66667</v>
      </c>
      <c r="B28" s="2">
        <f>IFERROR(__xludf.DUMMYFUNCTION("""COMPUTED_VALUE"""),1042.12)</f>
        <v>1042.12</v>
      </c>
      <c r="C28" s="2">
        <f>IFERROR(__xludf.DUMMYFUNCTION("""COMPUTED_VALUE"""),1062.07)</f>
        <v>1062.07</v>
      </c>
      <c r="D28" s="2">
        <f>IFERROR(__xludf.DUMMYFUNCTION("""COMPUTED_VALUE"""),1022.18)</f>
        <v>1022.18</v>
      </c>
      <c r="E28" s="2">
        <f>IFERROR(__xludf.DUMMYFUNCTION("""COMPUTED_VALUE"""),1032.15)</f>
        <v>1032.15</v>
      </c>
      <c r="F28" s="2">
        <f>IFERROR(__xludf.DUMMYFUNCTION("""COMPUTED_VALUE"""),8313900.0)</f>
        <v>8313900</v>
      </c>
      <c r="G28" s="2">
        <f t="shared" si="1"/>
        <v>39.89</v>
      </c>
    </row>
    <row r="29" ht="15.75" customHeight="1">
      <c r="A29" s="1">
        <f>IFERROR(__xludf.DUMMYFUNCTION("""COMPUTED_VALUE"""),43871.66666666667)</f>
        <v>43871.66667</v>
      </c>
      <c r="B29" s="2">
        <f>IFERROR(__xludf.DUMMYFUNCTION("""COMPUTED_VALUE"""),1032.15)</f>
        <v>1032.15</v>
      </c>
      <c r="C29" s="2">
        <f>IFERROR(__xludf.DUMMYFUNCTION("""COMPUTED_VALUE"""),1042.12)</f>
        <v>1042.12</v>
      </c>
      <c r="D29" s="2">
        <f>IFERROR(__xludf.DUMMYFUNCTION("""COMPUTED_VALUE"""),997.25)</f>
        <v>997.25</v>
      </c>
      <c r="E29" s="2">
        <f>IFERROR(__xludf.DUMMYFUNCTION("""COMPUTED_VALUE"""),1007.22)</f>
        <v>1007.22</v>
      </c>
      <c r="F29" s="2">
        <f>IFERROR(__xludf.DUMMYFUNCTION("""COMPUTED_VALUE"""),4843700.0)</f>
        <v>4843700</v>
      </c>
      <c r="G29" s="2">
        <f t="shared" si="1"/>
        <v>44.87</v>
      </c>
    </row>
    <row r="30" ht="15.75" customHeight="1">
      <c r="A30" s="1">
        <f>IFERROR(__xludf.DUMMYFUNCTION("""COMPUTED_VALUE"""),43872.66666666667)</f>
        <v>43872.66667</v>
      </c>
      <c r="B30" s="2">
        <f>IFERROR(__xludf.DUMMYFUNCTION("""COMPUTED_VALUE"""),1012.21)</f>
        <v>1012.21</v>
      </c>
      <c r="C30" s="2">
        <f>IFERROR(__xludf.DUMMYFUNCTION("""COMPUTED_VALUE"""),1022.18)</f>
        <v>1022.18</v>
      </c>
      <c r="D30" s="2">
        <f>IFERROR(__xludf.DUMMYFUNCTION("""COMPUTED_VALUE"""),997.25)</f>
        <v>997.25</v>
      </c>
      <c r="E30" s="2">
        <f>IFERROR(__xludf.DUMMYFUNCTION("""COMPUTED_VALUE"""),1012.21)</f>
        <v>1012.21</v>
      </c>
      <c r="F30" s="2">
        <f>IFERROR(__xludf.DUMMYFUNCTION("""COMPUTED_VALUE"""),3847500.0)</f>
        <v>3847500</v>
      </c>
      <c r="G30" s="2">
        <f t="shared" si="1"/>
        <v>24.93</v>
      </c>
    </row>
    <row r="31" ht="15.75" customHeight="1">
      <c r="A31" s="1">
        <f>IFERROR(__xludf.DUMMYFUNCTION("""COMPUTED_VALUE"""),43873.66666666667)</f>
        <v>43873.66667</v>
      </c>
      <c r="B31" s="2">
        <f>IFERROR(__xludf.DUMMYFUNCTION("""COMPUTED_VALUE"""),1017.19)</f>
        <v>1017.19</v>
      </c>
      <c r="C31" s="2">
        <f>IFERROR(__xludf.DUMMYFUNCTION("""COMPUTED_VALUE"""),1022.18)</f>
        <v>1022.18</v>
      </c>
      <c r="D31" s="2">
        <f>IFERROR(__xludf.DUMMYFUNCTION("""COMPUTED_VALUE"""),987.28)</f>
        <v>987.28</v>
      </c>
      <c r="E31" s="2">
        <f>IFERROR(__xludf.DUMMYFUNCTION("""COMPUTED_VALUE"""),997.25)</f>
        <v>997.25</v>
      </c>
      <c r="F31" s="2">
        <f>IFERROR(__xludf.DUMMYFUNCTION("""COMPUTED_VALUE"""),5249800.0)</f>
        <v>5249800</v>
      </c>
      <c r="G31" s="2">
        <f t="shared" si="1"/>
        <v>34.9</v>
      </c>
    </row>
    <row r="32" ht="15.75" customHeight="1">
      <c r="A32" s="1">
        <f>IFERROR(__xludf.DUMMYFUNCTION("""COMPUTED_VALUE"""),43874.66666666667)</f>
        <v>43874.66667</v>
      </c>
      <c r="B32" s="2">
        <f>IFERROR(__xludf.DUMMYFUNCTION("""COMPUTED_VALUE"""),997.25)</f>
        <v>997.25</v>
      </c>
      <c r="C32" s="2">
        <f>IFERROR(__xludf.DUMMYFUNCTION("""COMPUTED_VALUE"""),1002.24)</f>
        <v>1002.24</v>
      </c>
      <c r="D32" s="2">
        <f>IFERROR(__xludf.DUMMYFUNCTION("""COMPUTED_VALUE"""),982.29)</f>
        <v>982.29</v>
      </c>
      <c r="E32" s="2">
        <f>IFERROR(__xludf.DUMMYFUNCTION("""COMPUTED_VALUE"""),982.29)</f>
        <v>982.29</v>
      </c>
      <c r="F32" s="2">
        <f>IFERROR(__xludf.DUMMYFUNCTION("""COMPUTED_VALUE"""),3349600.0)</f>
        <v>3349600</v>
      </c>
      <c r="G32" s="2">
        <f t="shared" si="1"/>
        <v>19.95</v>
      </c>
    </row>
    <row r="33" ht="15.75" customHeight="1">
      <c r="A33" s="1">
        <f>IFERROR(__xludf.DUMMYFUNCTION("""COMPUTED_VALUE"""),43875.66666666667)</f>
        <v>43875.66667</v>
      </c>
      <c r="B33" s="2">
        <f>IFERROR(__xludf.DUMMYFUNCTION("""COMPUTED_VALUE"""),987.28)</f>
        <v>987.28</v>
      </c>
      <c r="C33" s="2">
        <f>IFERROR(__xludf.DUMMYFUNCTION("""COMPUTED_VALUE"""),997.25)</f>
        <v>997.25</v>
      </c>
      <c r="D33" s="2">
        <f>IFERROR(__xludf.DUMMYFUNCTION("""COMPUTED_VALUE"""),977.3)</f>
        <v>977.3</v>
      </c>
      <c r="E33" s="2">
        <f>IFERROR(__xludf.DUMMYFUNCTION("""COMPUTED_VALUE"""),997.25)</f>
        <v>997.25</v>
      </c>
      <c r="F33" s="2">
        <f>IFERROR(__xludf.DUMMYFUNCTION("""COMPUTED_VALUE"""),3680200.0)</f>
        <v>3680200</v>
      </c>
      <c r="G33" s="2">
        <f t="shared" si="1"/>
        <v>19.95</v>
      </c>
    </row>
    <row r="34" ht="15.75" customHeight="1">
      <c r="A34" s="1">
        <f>IFERROR(__xludf.DUMMYFUNCTION("""COMPUTED_VALUE"""),43878.66666666667)</f>
        <v>43878.66667</v>
      </c>
      <c r="B34" s="2">
        <f>IFERROR(__xludf.DUMMYFUNCTION("""COMPUTED_VALUE"""),997.25)</f>
        <v>997.25</v>
      </c>
      <c r="C34" s="2">
        <f>IFERROR(__xludf.DUMMYFUNCTION("""COMPUTED_VALUE"""),1012.21)</f>
        <v>1012.21</v>
      </c>
      <c r="D34" s="2">
        <f>IFERROR(__xludf.DUMMYFUNCTION("""COMPUTED_VALUE"""),992.26)</f>
        <v>992.26</v>
      </c>
      <c r="E34" s="2">
        <f>IFERROR(__xludf.DUMMYFUNCTION("""COMPUTED_VALUE"""),1007.22)</f>
        <v>1007.22</v>
      </c>
      <c r="F34" s="2">
        <f>IFERROR(__xludf.DUMMYFUNCTION("""COMPUTED_VALUE"""),4377700.0)</f>
        <v>4377700</v>
      </c>
      <c r="G34" s="2">
        <f t="shared" si="1"/>
        <v>19.95</v>
      </c>
    </row>
    <row r="35" ht="15.75" customHeight="1">
      <c r="A35" s="1">
        <f>IFERROR(__xludf.DUMMYFUNCTION("""COMPUTED_VALUE"""),43879.66666666667)</f>
        <v>43879.66667</v>
      </c>
      <c r="B35" s="2">
        <f>IFERROR(__xludf.DUMMYFUNCTION("""COMPUTED_VALUE"""),1007.22)</f>
        <v>1007.22</v>
      </c>
      <c r="C35" s="2">
        <f>IFERROR(__xludf.DUMMYFUNCTION("""COMPUTED_VALUE"""),1032.15)</f>
        <v>1032.15</v>
      </c>
      <c r="D35" s="2">
        <f>IFERROR(__xludf.DUMMYFUNCTION("""COMPUTED_VALUE"""),1007.22)</f>
        <v>1007.22</v>
      </c>
      <c r="E35" s="2">
        <f>IFERROR(__xludf.DUMMYFUNCTION("""COMPUTED_VALUE"""),1027.17)</f>
        <v>1027.17</v>
      </c>
      <c r="F35" s="2">
        <f>IFERROR(__xludf.DUMMYFUNCTION("""COMPUTED_VALUE"""),1.3162E7)</f>
        <v>13162000</v>
      </c>
      <c r="G35" s="2">
        <f t="shared" si="1"/>
        <v>24.93</v>
      </c>
    </row>
    <row r="36" ht="15.75" customHeight="1">
      <c r="A36" s="1">
        <f>IFERROR(__xludf.DUMMYFUNCTION("""COMPUTED_VALUE"""),43880.66666666667)</f>
        <v>43880.66667</v>
      </c>
      <c r="B36" s="2">
        <f>IFERROR(__xludf.DUMMYFUNCTION("""COMPUTED_VALUE"""),1022.18)</f>
        <v>1022.18</v>
      </c>
      <c r="C36" s="2">
        <f>IFERROR(__xludf.DUMMYFUNCTION("""COMPUTED_VALUE"""),1037.14)</f>
        <v>1037.14</v>
      </c>
      <c r="D36" s="2">
        <f>IFERROR(__xludf.DUMMYFUNCTION("""COMPUTED_VALUE"""),1017.19)</f>
        <v>1017.19</v>
      </c>
      <c r="E36" s="2">
        <f>IFERROR(__xludf.DUMMYFUNCTION("""COMPUTED_VALUE"""),1017.19)</f>
        <v>1017.19</v>
      </c>
      <c r="F36" s="2">
        <f>IFERROR(__xludf.DUMMYFUNCTION("""COMPUTED_VALUE"""),7312200.0)</f>
        <v>7312200</v>
      </c>
      <c r="G36" s="2">
        <f t="shared" si="1"/>
        <v>19.95</v>
      </c>
    </row>
    <row r="37" ht="15.75" customHeight="1">
      <c r="A37" s="1">
        <f>IFERROR(__xludf.DUMMYFUNCTION("""COMPUTED_VALUE"""),43881.66666666667)</f>
        <v>43881.66667</v>
      </c>
      <c r="B37" s="2">
        <f>IFERROR(__xludf.DUMMYFUNCTION("""COMPUTED_VALUE"""),1022.18)</f>
        <v>1022.18</v>
      </c>
      <c r="C37" s="2">
        <f>IFERROR(__xludf.DUMMYFUNCTION("""COMPUTED_VALUE"""),1047.11)</f>
        <v>1047.11</v>
      </c>
      <c r="D37" s="2">
        <f>IFERROR(__xludf.DUMMYFUNCTION("""COMPUTED_VALUE"""),1012.21)</f>
        <v>1012.21</v>
      </c>
      <c r="E37" s="2">
        <f>IFERROR(__xludf.DUMMYFUNCTION("""COMPUTED_VALUE"""),1017.19)</f>
        <v>1017.19</v>
      </c>
      <c r="F37" s="2">
        <f>IFERROR(__xludf.DUMMYFUNCTION("""COMPUTED_VALUE"""),5856700.0)</f>
        <v>5856700</v>
      </c>
      <c r="G37" s="2">
        <f t="shared" si="1"/>
        <v>34.9</v>
      </c>
    </row>
    <row r="38" ht="15.75" customHeight="1">
      <c r="A38" s="1">
        <f>IFERROR(__xludf.DUMMYFUNCTION("""COMPUTED_VALUE"""),43882.66666666667)</f>
        <v>43882.66667</v>
      </c>
      <c r="B38" s="2">
        <f>IFERROR(__xludf.DUMMYFUNCTION("""COMPUTED_VALUE"""),1017.19)</f>
        <v>1017.19</v>
      </c>
      <c r="C38" s="2">
        <f>IFERROR(__xludf.DUMMYFUNCTION("""COMPUTED_VALUE"""),1022.18)</f>
        <v>1022.18</v>
      </c>
      <c r="D38" s="2">
        <f>IFERROR(__xludf.DUMMYFUNCTION("""COMPUTED_VALUE"""),997.25)</f>
        <v>997.25</v>
      </c>
      <c r="E38" s="2">
        <f>IFERROR(__xludf.DUMMYFUNCTION("""COMPUTED_VALUE"""),997.25)</f>
        <v>997.25</v>
      </c>
      <c r="F38" s="2">
        <f>IFERROR(__xludf.DUMMYFUNCTION("""COMPUTED_VALUE"""),5704900.0)</f>
        <v>5704900</v>
      </c>
      <c r="G38" s="2">
        <f t="shared" si="1"/>
        <v>24.93</v>
      </c>
    </row>
    <row r="39" ht="15.75" customHeight="1">
      <c r="A39" s="1">
        <f>IFERROR(__xludf.DUMMYFUNCTION("""COMPUTED_VALUE"""),43885.66666666667)</f>
        <v>43885.66667</v>
      </c>
      <c r="B39" s="2">
        <f>IFERROR(__xludf.DUMMYFUNCTION("""COMPUTED_VALUE"""),967.33)</f>
        <v>967.33</v>
      </c>
      <c r="C39" s="2">
        <f>IFERROR(__xludf.DUMMYFUNCTION("""COMPUTED_VALUE"""),997.25)</f>
        <v>997.25</v>
      </c>
      <c r="D39" s="2">
        <f>IFERROR(__xludf.DUMMYFUNCTION("""COMPUTED_VALUE"""),967.33)</f>
        <v>967.33</v>
      </c>
      <c r="E39" s="2">
        <f>IFERROR(__xludf.DUMMYFUNCTION("""COMPUTED_VALUE"""),967.33)</f>
        <v>967.33</v>
      </c>
      <c r="F39" s="2">
        <f>IFERROR(__xludf.DUMMYFUNCTION("""COMPUTED_VALUE"""),9994700.0)</f>
        <v>9994700</v>
      </c>
      <c r="G39" s="2">
        <f t="shared" si="1"/>
        <v>29.92</v>
      </c>
    </row>
    <row r="40" ht="15.75" customHeight="1">
      <c r="A40" s="1">
        <f>IFERROR(__xludf.DUMMYFUNCTION("""COMPUTED_VALUE"""),43886.66666666667)</f>
        <v>43886.66667</v>
      </c>
      <c r="B40" s="2">
        <f>IFERROR(__xludf.DUMMYFUNCTION("""COMPUTED_VALUE"""),967.33)</f>
        <v>967.33</v>
      </c>
      <c r="C40" s="2">
        <f>IFERROR(__xludf.DUMMYFUNCTION("""COMPUTED_VALUE"""),977.3)</f>
        <v>977.3</v>
      </c>
      <c r="D40" s="2">
        <f>IFERROR(__xludf.DUMMYFUNCTION("""COMPUTED_VALUE"""),947.39)</f>
        <v>947.39</v>
      </c>
      <c r="E40" s="2">
        <f>IFERROR(__xludf.DUMMYFUNCTION("""COMPUTED_VALUE"""),967.33)</f>
        <v>967.33</v>
      </c>
      <c r="F40" s="2">
        <f>IFERROR(__xludf.DUMMYFUNCTION("""COMPUTED_VALUE"""),5099500.0)</f>
        <v>5099500</v>
      </c>
      <c r="G40" s="2">
        <f t="shared" si="1"/>
        <v>29.91</v>
      </c>
    </row>
    <row r="41" ht="15.75" customHeight="1">
      <c r="A41" s="1">
        <f>IFERROR(__xludf.DUMMYFUNCTION("""COMPUTED_VALUE"""),43887.66666666667)</f>
        <v>43887.66667</v>
      </c>
      <c r="B41" s="2">
        <f>IFERROR(__xludf.DUMMYFUNCTION("""COMPUTED_VALUE"""),962.35)</f>
        <v>962.35</v>
      </c>
      <c r="C41" s="2">
        <f>IFERROR(__xludf.DUMMYFUNCTION("""COMPUTED_VALUE"""),962.35)</f>
        <v>962.35</v>
      </c>
      <c r="D41" s="2">
        <f>IFERROR(__xludf.DUMMYFUNCTION("""COMPUTED_VALUE"""),932.43)</f>
        <v>932.43</v>
      </c>
      <c r="E41" s="2">
        <f>IFERROR(__xludf.DUMMYFUNCTION("""COMPUTED_VALUE"""),937.41)</f>
        <v>937.41</v>
      </c>
      <c r="F41" s="2">
        <f>IFERROR(__xludf.DUMMYFUNCTION("""COMPUTED_VALUE"""),6458400.0)</f>
        <v>6458400</v>
      </c>
      <c r="G41" s="2">
        <f t="shared" si="1"/>
        <v>34.9</v>
      </c>
    </row>
    <row r="42" ht="15.75" customHeight="1">
      <c r="A42" s="1">
        <f>IFERROR(__xludf.DUMMYFUNCTION("""COMPUTED_VALUE"""),43888.66666666667)</f>
        <v>43888.66667</v>
      </c>
      <c r="B42" s="2">
        <f>IFERROR(__xludf.DUMMYFUNCTION("""COMPUTED_VALUE"""),937.41)</f>
        <v>937.41</v>
      </c>
      <c r="C42" s="2">
        <f>IFERROR(__xludf.DUMMYFUNCTION("""COMPUTED_VALUE"""),937.41)</f>
        <v>937.41</v>
      </c>
      <c r="D42" s="2">
        <f>IFERROR(__xludf.DUMMYFUNCTION("""COMPUTED_VALUE"""),877.58)</f>
        <v>877.58</v>
      </c>
      <c r="E42" s="2">
        <f>IFERROR(__xludf.DUMMYFUNCTION("""COMPUTED_VALUE"""),887.55)</f>
        <v>887.55</v>
      </c>
      <c r="F42" s="2">
        <f>IFERROR(__xludf.DUMMYFUNCTION("""COMPUTED_VALUE"""),1.10459E7)</f>
        <v>11045900</v>
      </c>
      <c r="G42" s="2">
        <f t="shared" si="1"/>
        <v>59.83</v>
      </c>
    </row>
    <row r="43" ht="15.75" customHeight="1">
      <c r="A43" s="1">
        <f>IFERROR(__xludf.DUMMYFUNCTION("""COMPUTED_VALUE"""),43889.66666666667)</f>
        <v>43889.66667</v>
      </c>
      <c r="B43" s="2">
        <f>IFERROR(__xludf.DUMMYFUNCTION("""COMPUTED_VALUE"""),847.66)</f>
        <v>847.66</v>
      </c>
      <c r="C43" s="2">
        <f>IFERROR(__xludf.DUMMYFUNCTION("""COMPUTED_VALUE"""),887.55)</f>
        <v>887.55</v>
      </c>
      <c r="D43" s="2">
        <f>IFERROR(__xludf.DUMMYFUNCTION("""COMPUTED_VALUE"""),812.76)</f>
        <v>812.76</v>
      </c>
      <c r="E43" s="2">
        <f>IFERROR(__xludf.DUMMYFUNCTION("""COMPUTED_VALUE"""),887.55)</f>
        <v>887.55</v>
      </c>
      <c r="F43" s="2">
        <f>IFERROR(__xludf.DUMMYFUNCTION("""COMPUTED_VALUE"""),1.48668E7)</f>
        <v>14866800</v>
      </c>
      <c r="G43" s="2">
        <f t="shared" si="1"/>
        <v>74.79</v>
      </c>
    </row>
    <row r="44" ht="15.75" customHeight="1">
      <c r="A44" s="1">
        <f>IFERROR(__xludf.DUMMYFUNCTION("""COMPUTED_VALUE"""),43892.66666666667)</f>
        <v>43892.66667</v>
      </c>
      <c r="B44" s="2">
        <f>IFERROR(__xludf.DUMMYFUNCTION("""COMPUTED_VALUE"""),887.55)</f>
        <v>887.55</v>
      </c>
      <c r="C44" s="2">
        <f>IFERROR(__xludf.DUMMYFUNCTION("""COMPUTED_VALUE"""),912.48)</f>
        <v>912.48</v>
      </c>
      <c r="D44" s="2">
        <f>IFERROR(__xludf.DUMMYFUNCTION("""COMPUTED_VALUE"""),857.63)</f>
        <v>857.63</v>
      </c>
      <c r="E44" s="2">
        <f>IFERROR(__xludf.DUMMYFUNCTION("""COMPUTED_VALUE"""),882.57)</f>
        <v>882.57</v>
      </c>
      <c r="F44" s="2">
        <f>IFERROR(__xludf.DUMMYFUNCTION("""COMPUTED_VALUE"""),9160200.0)</f>
        <v>9160200</v>
      </c>
      <c r="G44" s="2">
        <f t="shared" si="1"/>
        <v>54.85</v>
      </c>
    </row>
    <row r="45" ht="15.75" customHeight="1">
      <c r="A45" s="1">
        <f>IFERROR(__xludf.DUMMYFUNCTION("""COMPUTED_VALUE"""),43893.66666666667)</f>
        <v>43893.66667</v>
      </c>
      <c r="B45" s="2">
        <f>IFERROR(__xludf.DUMMYFUNCTION("""COMPUTED_VALUE"""),892.54)</f>
        <v>892.54</v>
      </c>
      <c r="C45" s="2">
        <f>IFERROR(__xludf.DUMMYFUNCTION("""COMPUTED_VALUE"""),952.37)</f>
        <v>952.37</v>
      </c>
      <c r="D45" s="2">
        <f>IFERROR(__xludf.DUMMYFUNCTION("""COMPUTED_VALUE"""),892.54)</f>
        <v>892.54</v>
      </c>
      <c r="E45" s="2">
        <f>IFERROR(__xludf.DUMMYFUNCTION("""COMPUTED_VALUE"""),947.39)</f>
        <v>947.39</v>
      </c>
      <c r="F45" s="2">
        <f>IFERROR(__xludf.DUMMYFUNCTION("""COMPUTED_VALUE"""),1.00421E7)</f>
        <v>10042100</v>
      </c>
      <c r="G45" s="2">
        <f t="shared" si="1"/>
        <v>69.8</v>
      </c>
    </row>
    <row r="46" ht="15.75" customHeight="1">
      <c r="A46" s="1">
        <f>IFERROR(__xludf.DUMMYFUNCTION("""COMPUTED_VALUE"""),43894.66666666667)</f>
        <v>43894.66667</v>
      </c>
      <c r="B46" s="2">
        <f>IFERROR(__xludf.DUMMYFUNCTION("""COMPUTED_VALUE"""),942.4)</f>
        <v>942.4</v>
      </c>
      <c r="C46" s="2">
        <f>IFERROR(__xludf.DUMMYFUNCTION("""COMPUTED_VALUE"""),982.29)</f>
        <v>982.29</v>
      </c>
      <c r="D46" s="2">
        <f>IFERROR(__xludf.DUMMYFUNCTION("""COMPUTED_VALUE"""),922.46)</f>
        <v>922.46</v>
      </c>
      <c r="E46" s="2">
        <f>IFERROR(__xludf.DUMMYFUNCTION("""COMPUTED_VALUE"""),982.29)</f>
        <v>982.29</v>
      </c>
      <c r="F46" s="2">
        <f>IFERROR(__xludf.DUMMYFUNCTION("""COMPUTED_VALUE"""),1.12335E7)</f>
        <v>11233500</v>
      </c>
      <c r="G46" s="2">
        <f t="shared" si="1"/>
        <v>59.83</v>
      </c>
    </row>
    <row r="47" ht="15.75" customHeight="1">
      <c r="A47" s="1">
        <f>IFERROR(__xludf.DUMMYFUNCTION("""COMPUTED_VALUE"""),43895.66666666667)</f>
        <v>43895.66667</v>
      </c>
      <c r="B47" s="2">
        <f>IFERROR(__xludf.DUMMYFUNCTION("""COMPUTED_VALUE"""),977.3)</f>
        <v>977.3</v>
      </c>
      <c r="C47" s="2">
        <f>IFERROR(__xludf.DUMMYFUNCTION("""COMPUTED_VALUE"""),1002.24)</f>
        <v>1002.24</v>
      </c>
      <c r="D47" s="2">
        <f>IFERROR(__xludf.DUMMYFUNCTION("""COMPUTED_VALUE"""),957.36)</f>
        <v>957.36</v>
      </c>
      <c r="E47" s="2">
        <f>IFERROR(__xludf.DUMMYFUNCTION("""COMPUTED_VALUE"""),972.32)</f>
        <v>972.32</v>
      </c>
      <c r="F47" s="2">
        <f>IFERROR(__xludf.DUMMYFUNCTION("""COMPUTED_VALUE"""),8098400.0)</f>
        <v>8098400</v>
      </c>
      <c r="G47" s="2">
        <f t="shared" si="1"/>
        <v>44.88</v>
      </c>
    </row>
    <row r="48" ht="15.75" customHeight="1">
      <c r="A48" s="1">
        <f>IFERROR(__xludf.DUMMYFUNCTION("""COMPUTED_VALUE"""),43896.66666666667)</f>
        <v>43896.66667</v>
      </c>
      <c r="B48" s="2">
        <f>IFERROR(__xludf.DUMMYFUNCTION("""COMPUTED_VALUE"""),957.36)</f>
        <v>957.36</v>
      </c>
      <c r="C48" s="2">
        <f>IFERROR(__xludf.DUMMYFUNCTION("""COMPUTED_VALUE"""),987.28)</f>
        <v>987.28</v>
      </c>
      <c r="D48" s="2">
        <f>IFERROR(__xludf.DUMMYFUNCTION("""COMPUTED_VALUE"""),937.41)</f>
        <v>937.41</v>
      </c>
      <c r="E48" s="2">
        <f>IFERROR(__xludf.DUMMYFUNCTION("""COMPUTED_VALUE"""),987.28)</f>
        <v>987.28</v>
      </c>
      <c r="F48" s="2">
        <f>IFERROR(__xludf.DUMMYFUNCTION("""COMPUTED_VALUE"""),5280100.0)</f>
        <v>5280100</v>
      </c>
      <c r="G48" s="2">
        <f t="shared" si="1"/>
        <v>49.87</v>
      </c>
    </row>
    <row r="49" ht="15.75" customHeight="1">
      <c r="A49" s="1">
        <f>IFERROR(__xludf.DUMMYFUNCTION("""COMPUTED_VALUE"""),43899.66666666667)</f>
        <v>43899.66667</v>
      </c>
      <c r="B49" s="2">
        <f>IFERROR(__xludf.DUMMYFUNCTION("""COMPUTED_VALUE"""),947.39)</f>
        <v>947.39</v>
      </c>
      <c r="C49" s="2">
        <f>IFERROR(__xludf.DUMMYFUNCTION("""COMPUTED_VALUE"""),947.39)</f>
        <v>947.39</v>
      </c>
      <c r="D49" s="2">
        <f>IFERROR(__xludf.DUMMYFUNCTION("""COMPUTED_VALUE"""),882.57)</f>
        <v>882.57</v>
      </c>
      <c r="E49" s="2">
        <f>IFERROR(__xludf.DUMMYFUNCTION("""COMPUTED_VALUE"""),887.55)</f>
        <v>887.55</v>
      </c>
      <c r="F49" s="2">
        <f>IFERROR(__xludf.DUMMYFUNCTION("""COMPUTED_VALUE"""),1.22826E7)</f>
        <v>12282600</v>
      </c>
      <c r="G49" s="2">
        <f t="shared" si="1"/>
        <v>104.71</v>
      </c>
    </row>
    <row r="50" ht="15.75" customHeight="1">
      <c r="A50" s="1">
        <f>IFERROR(__xludf.DUMMYFUNCTION("""COMPUTED_VALUE"""),43900.66666666667)</f>
        <v>43900.66667</v>
      </c>
      <c r="B50" s="2">
        <f>IFERROR(__xludf.DUMMYFUNCTION("""COMPUTED_VALUE"""),897.52)</f>
        <v>897.52</v>
      </c>
      <c r="C50" s="2">
        <f>IFERROR(__xludf.DUMMYFUNCTION("""COMPUTED_VALUE"""),957.36)</f>
        <v>957.36</v>
      </c>
      <c r="D50" s="2">
        <f>IFERROR(__xludf.DUMMYFUNCTION("""COMPUTED_VALUE"""),857.63)</f>
        <v>857.63</v>
      </c>
      <c r="E50" s="2">
        <f>IFERROR(__xludf.DUMMYFUNCTION("""COMPUTED_VALUE"""),942.4)</f>
        <v>942.4</v>
      </c>
      <c r="F50" s="2">
        <f>IFERROR(__xludf.DUMMYFUNCTION("""COMPUTED_VALUE"""),1.05653E7)</f>
        <v>10565300</v>
      </c>
      <c r="G50" s="2">
        <f t="shared" si="1"/>
        <v>99.73</v>
      </c>
    </row>
    <row r="51" ht="15.75" customHeight="1">
      <c r="A51" s="1">
        <f>IFERROR(__xludf.DUMMYFUNCTION("""COMPUTED_VALUE"""),43901.66666666667)</f>
        <v>43901.66667</v>
      </c>
      <c r="B51" s="2">
        <f>IFERROR(__xludf.DUMMYFUNCTION("""COMPUTED_VALUE"""),937.41)</f>
        <v>937.41</v>
      </c>
      <c r="C51" s="2">
        <f>IFERROR(__xludf.DUMMYFUNCTION("""COMPUTED_VALUE"""),952.37)</f>
        <v>952.37</v>
      </c>
      <c r="D51" s="2">
        <f>IFERROR(__xludf.DUMMYFUNCTION("""COMPUTED_VALUE"""),892.54)</f>
        <v>892.54</v>
      </c>
      <c r="E51" s="2">
        <f>IFERROR(__xludf.DUMMYFUNCTION("""COMPUTED_VALUE"""),907.5)</f>
        <v>907.5</v>
      </c>
      <c r="F51" s="2">
        <f>IFERROR(__xludf.DUMMYFUNCTION("""COMPUTED_VALUE"""),5512700.0)</f>
        <v>5512700</v>
      </c>
      <c r="G51" s="2">
        <f t="shared" si="1"/>
        <v>59.83</v>
      </c>
    </row>
    <row r="52" ht="15.75" customHeight="1">
      <c r="A52" s="1">
        <f>IFERROR(__xludf.DUMMYFUNCTION("""COMPUTED_VALUE"""),43902.66666666667)</f>
        <v>43902.66667</v>
      </c>
      <c r="B52" s="2">
        <f>IFERROR(__xludf.DUMMYFUNCTION("""COMPUTED_VALUE"""),887.55)</f>
        <v>887.55</v>
      </c>
      <c r="C52" s="2">
        <f>IFERROR(__xludf.DUMMYFUNCTION("""COMPUTED_VALUE"""),892.54)</f>
        <v>892.54</v>
      </c>
      <c r="D52" s="2">
        <f>IFERROR(__xludf.DUMMYFUNCTION("""COMPUTED_VALUE"""),847.66)</f>
        <v>847.66</v>
      </c>
      <c r="E52" s="2">
        <f>IFERROR(__xludf.DUMMYFUNCTION("""COMPUTED_VALUE"""),852.65)</f>
        <v>852.65</v>
      </c>
      <c r="F52" s="2">
        <f>IFERROR(__xludf.DUMMYFUNCTION("""COMPUTED_VALUE"""),6693600.0)</f>
        <v>6693600</v>
      </c>
      <c r="G52" s="2">
        <f t="shared" si="1"/>
        <v>59.84</v>
      </c>
    </row>
    <row r="53" ht="15.75" customHeight="1">
      <c r="A53" s="1">
        <f>IFERROR(__xludf.DUMMYFUNCTION("""COMPUTED_VALUE"""),43903.66666666667)</f>
        <v>43903.66667</v>
      </c>
      <c r="B53" s="2">
        <f>IFERROR(__xludf.DUMMYFUNCTION("""COMPUTED_VALUE"""),847.66)</f>
        <v>847.66</v>
      </c>
      <c r="C53" s="2">
        <f>IFERROR(__xludf.DUMMYFUNCTION("""COMPUTED_VALUE"""),867.61)</f>
        <v>867.61</v>
      </c>
      <c r="D53" s="2">
        <f>IFERROR(__xludf.DUMMYFUNCTION("""COMPUTED_VALUE"""),797.8)</f>
        <v>797.8</v>
      </c>
      <c r="E53" s="2">
        <f>IFERROR(__xludf.DUMMYFUNCTION("""COMPUTED_VALUE"""),847.66)</f>
        <v>847.66</v>
      </c>
      <c r="F53" s="2">
        <f>IFERROR(__xludf.DUMMYFUNCTION("""COMPUTED_VALUE"""),8397000.0)</f>
        <v>8397000</v>
      </c>
      <c r="G53" s="2">
        <f t="shared" si="1"/>
        <v>69.81</v>
      </c>
    </row>
    <row r="54" ht="15.75" customHeight="1">
      <c r="A54" s="1">
        <f>IFERROR(__xludf.DUMMYFUNCTION("""COMPUTED_VALUE"""),43906.66666666667)</f>
        <v>43906.66667</v>
      </c>
      <c r="B54" s="2">
        <f>IFERROR(__xludf.DUMMYFUNCTION("""COMPUTED_VALUE"""),847.66)</f>
        <v>847.66</v>
      </c>
      <c r="C54" s="2">
        <f>IFERROR(__xludf.DUMMYFUNCTION("""COMPUTED_VALUE"""),852.65)</f>
        <v>852.65</v>
      </c>
      <c r="D54" s="2">
        <f>IFERROR(__xludf.DUMMYFUNCTION("""COMPUTED_VALUE"""),792.81)</f>
        <v>792.81</v>
      </c>
      <c r="E54" s="2">
        <f>IFERROR(__xludf.DUMMYFUNCTION("""COMPUTED_VALUE"""),797.8)</f>
        <v>797.8</v>
      </c>
      <c r="F54" s="2">
        <f>IFERROR(__xludf.DUMMYFUNCTION("""COMPUTED_VALUE"""),8257700.0)</f>
        <v>8257700</v>
      </c>
      <c r="G54" s="2">
        <f t="shared" si="1"/>
        <v>59.84</v>
      </c>
    </row>
    <row r="55" ht="15.75" customHeight="1">
      <c r="A55" s="1">
        <f>IFERROR(__xludf.DUMMYFUNCTION("""COMPUTED_VALUE"""),43907.66666666667)</f>
        <v>43907.66667</v>
      </c>
      <c r="B55" s="2">
        <f>IFERROR(__xludf.DUMMYFUNCTION("""COMPUTED_VALUE"""),797.8)</f>
        <v>797.8</v>
      </c>
      <c r="C55" s="2">
        <f>IFERROR(__xludf.DUMMYFUNCTION("""COMPUTED_VALUE"""),797.8)</f>
        <v>797.8</v>
      </c>
      <c r="D55" s="2">
        <f>IFERROR(__xludf.DUMMYFUNCTION("""COMPUTED_VALUE"""),757.91)</f>
        <v>757.91</v>
      </c>
      <c r="E55" s="2">
        <f>IFERROR(__xludf.DUMMYFUNCTION("""COMPUTED_VALUE"""),757.91)</f>
        <v>757.91</v>
      </c>
      <c r="F55" s="2">
        <f>IFERROR(__xludf.DUMMYFUNCTION("""COMPUTED_VALUE"""),4310400.0)</f>
        <v>4310400</v>
      </c>
      <c r="G55" s="2">
        <f t="shared" si="1"/>
        <v>39.89</v>
      </c>
    </row>
    <row r="56" ht="15.75" customHeight="1">
      <c r="A56" s="1">
        <f>IFERROR(__xludf.DUMMYFUNCTION("""COMPUTED_VALUE"""),43908.66666666667)</f>
        <v>43908.66667</v>
      </c>
      <c r="B56" s="2">
        <f>IFERROR(__xludf.DUMMYFUNCTION("""COMPUTED_VALUE"""),757.91)</f>
        <v>757.91</v>
      </c>
      <c r="C56" s="2">
        <f>IFERROR(__xludf.DUMMYFUNCTION("""COMPUTED_VALUE"""),777.85)</f>
        <v>777.85</v>
      </c>
      <c r="D56" s="2">
        <f>IFERROR(__xludf.DUMMYFUNCTION("""COMPUTED_VALUE"""),708.05)</f>
        <v>708.05</v>
      </c>
      <c r="E56" s="2">
        <f>IFERROR(__xludf.DUMMYFUNCTION("""COMPUTED_VALUE"""),713.03)</f>
        <v>713.03</v>
      </c>
      <c r="F56" s="2">
        <f>IFERROR(__xludf.DUMMYFUNCTION("""COMPUTED_VALUE"""),1.48517E7)</f>
        <v>14851700</v>
      </c>
      <c r="G56" s="2">
        <f t="shared" si="1"/>
        <v>69.8</v>
      </c>
    </row>
    <row r="57" ht="15.75" customHeight="1">
      <c r="A57" s="1">
        <f>IFERROR(__xludf.DUMMYFUNCTION("""COMPUTED_VALUE"""),43909.66666666667)</f>
        <v>43909.66667</v>
      </c>
      <c r="B57" s="2">
        <f>IFERROR(__xludf.DUMMYFUNCTION("""COMPUTED_VALUE"""),688.1)</f>
        <v>688.1</v>
      </c>
      <c r="C57" s="2">
        <f>IFERROR(__xludf.DUMMYFUNCTION("""COMPUTED_VALUE"""),698.07)</f>
        <v>698.07</v>
      </c>
      <c r="D57" s="2">
        <f>IFERROR(__xludf.DUMMYFUNCTION("""COMPUTED_VALUE"""),663.17)</f>
        <v>663.17</v>
      </c>
      <c r="E57" s="2">
        <f>IFERROR(__xludf.DUMMYFUNCTION("""COMPUTED_VALUE"""),663.17)</f>
        <v>663.17</v>
      </c>
      <c r="F57" s="2">
        <f>IFERROR(__xludf.DUMMYFUNCTION("""COMPUTED_VALUE"""),7786900.0)</f>
        <v>7786900</v>
      </c>
      <c r="G57" s="2">
        <f t="shared" si="1"/>
        <v>49.86</v>
      </c>
    </row>
    <row r="58" ht="15.75" customHeight="1">
      <c r="A58" s="1">
        <f>IFERROR(__xludf.DUMMYFUNCTION("""COMPUTED_VALUE"""),43910.66666666667)</f>
        <v>43910.66667</v>
      </c>
      <c r="B58" s="2">
        <f>IFERROR(__xludf.DUMMYFUNCTION("""COMPUTED_VALUE"""),668.16)</f>
        <v>668.16</v>
      </c>
      <c r="C58" s="2">
        <f>IFERROR(__xludf.DUMMYFUNCTION("""COMPUTED_VALUE"""),718.02)</f>
        <v>718.02</v>
      </c>
      <c r="D58" s="2">
        <f>IFERROR(__xludf.DUMMYFUNCTION("""COMPUTED_VALUE"""),623.28)</f>
        <v>623.28</v>
      </c>
      <c r="E58" s="2">
        <f>IFERROR(__xludf.DUMMYFUNCTION("""COMPUTED_VALUE"""),718.02)</f>
        <v>718.02</v>
      </c>
      <c r="F58" s="2">
        <f>IFERROR(__xludf.DUMMYFUNCTION("""COMPUTED_VALUE"""),9842600.0)</f>
        <v>9842600</v>
      </c>
      <c r="G58" s="2">
        <f t="shared" si="1"/>
        <v>94.74</v>
      </c>
    </row>
    <row r="59" ht="15.75" customHeight="1">
      <c r="A59" s="1">
        <f>IFERROR(__xludf.DUMMYFUNCTION("""COMPUTED_VALUE"""),43913.66666666667)</f>
        <v>43913.66667</v>
      </c>
      <c r="B59" s="2">
        <f>IFERROR(__xludf.DUMMYFUNCTION("""COMPUTED_VALUE"""),668.16)</f>
        <v>668.16</v>
      </c>
      <c r="C59" s="2">
        <f>IFERROR(__xludf.DUMMYFUNCTION("""COMPUTED_VALUE"""),678.13)</f>
        <v>678.13</v>
      </c>
      <c r="D59" s="2">
        <f>IFERROR(__xludf.DUMMYFUNCTION("""COMPUTED_VALUE"""),668.16)</f>
        <v>668.16</v>
      </c>
      <c r="E59" s="2">
        <f>IFERROR(__xludf.DUMMYFUNCTION("""COMPUTED_VALUE"""),668.16)</f>
        <v>668.16</v>
      </c>
      <c r="F59" s="2">
        <f>IFERROR(__xludf.DUMMYFUNCTION("""COMPUTED_VALUE"""),5987500.0)</f>
        <v>5987500</v>
      </c>
      <c r="G59" s="2">
        <f t="shared" si="1"/>
        <v>49.86</v>
      </c>
    </row>
    <row r="60" ht="15.75" customHeight="1">
      <c r="A60" s="1">
        <f>IFERROR(__xludf.DUMMYFUNCTION("""COMPUTED_VALUE"""),43914.66666666667)</f>
        <v>43914.66667</v>
      </c>
      <c r="B60" s="2">
        <f>IFERROR(__xludf.DUMMYFUNCTION("""COMPUTED_VALUE"""),628.27)</f>
        <v>628.27</v>
      </c>
      <c r="C60" s="2">
        <f>IFERROR(__xludf.DUMMYFUNCTION("""COMPUTED_VALUE"""),703.06)</f>
        <v>703.06</v>
      </c>
      <c r="D60" s="2">
        <f>IFERROR(__xludf.DUMMYFUNCTION("""COMPUTED_VALUE"""),628.27)</f>
        <v>628.27</v>
      </c>
      <c r="E60" s="2">
        <f>IFERROR(__xludf.DUMMYFUNCTION("""COMPUTED_VALUE"""),668.16)</f>
        <v>668.16</v>
      </c>
      <c r="F60" s="2">
        <f>IFERROR(__xludf.DUMMYFUNCTION("""COMPUTED_VALUE"""),4076900.0)</f>
        <v>4076900</v>
      </c>
      <c r="G60" s="2">
        <f t="shared" si="1"/>
        <v>74.79</v>
      </c>
    </row>
    <row r="61" ht="15.75" customHeight="1">
      <c r="A61" s="1">
        <f>IFERROR(__xludf.DUMMYFUNCTION("""COMPUTED_VALUE"""),43916.66666666667)</f>
        <v>43916.66667</v>
      </c>
      <c r="B61" s="2">
        <f>IFERROR(__xludf.DUMMYFUNCTION("""COMPUTED_VALUE"""),678.13)</f>
        <v>678.13</v>
      </c>
      <c r="C61" s="2">
        <f>IFERROR(__xludf.DUMMYFUNCTION("""COMPUTED_VALUE"""),747.94)</f>
        <v>747.94</v>
      </c>
      <c r="D61" s="2">
        <f>IFERROR(__xludf.DUMMYFUNCTION("""COMPUTED_VALUE"""),678.13)</f>
        <v>678.13</v>
      </c>
      <c r="E61" s="2">
        <f>IFERROR(__xludf.DUMMYFUNCTION("""COMPUTED_VALUE"""),732.98)</f>
        <v>732.98</v>
      </c>
      <c r="F61" s="2">
        <f>IFERROR(__xludf.DUMMYFUNCTION("""COMPUTED_VALUE"""),1.05059E7)</f>
        <v>10505900</v>
      </c>
      <c r="G61" s="2">
        <f t="shared" si="1"/>
        <v>79.78</v>
      </c>
    </row>
    <row r="62" ht="15.75" customHeight="1">
      <c r="A62" s="1">
        <f>IFERROR(__xludf.DUMMYFUNCTION("""COMPUTED_VALUE"""),43917.66666666667)</f>
        <v>43917.66667</v>
      </c>
      <c r="B62" s="2">
        <f>IFERROR(__xludf.DUMMYFUNCTION("""COMPUTED_VALUE"""),752.92)</f>
        <v>752.92</v>
      </c>
      <c r="C62" s="2">
        <f>IFERROR(__xludf.DUMMYFUNCTION("""COMPUTED_VALUE"""),807.77)</f>
        <v>807.77</v>
      </c>
      <c r="D62" s="2">
        <f>IFERROR(__xludf.DUMMYFUNCTION("""COMPUTED_VALUE"""),747.94)</f>
        <v>747.94</v>
      </c>
      <c r="E62" s="2">
        <f>IFERROR(__xludf.DUMMYFUNCTION("""COMPUTED_VALUE"""),757.91)</f>
        <v>757.91</v>
      </c>
      <c r="F62" s="2">
        <f>IFERROR(__xludf.DUMMYFUNCTION("""COMPUTED_VALUE"""),1.01258E7)</f>
        <v>10125800</v>
      </c>
      <c r="G62" s="2">
        <f t="shared" si="1"/>
        <v>74.79</v>
      </c>
    </row>
    <row r="63" ht="15.75" customHeight="1">
      <c r="A63" s="1">
        <f>IFERROR(__xludf.DUMMYFUNCTION("""COMPUTED_VALUE"""),43920.66666666667)</f>
        <v>43920.66667</v>
      </c>
      <c r="B63" s="2">
        <f>IFERROR(__xludf.DUMMYFUNCTION("""COMPUTED_VALUE"""),732.98)</f>
        <v>732.98</v>
      </c>
      <c r="C63" s="2">
        <f>IFERROR(__xludf.DUMMYFUNCTION("""COMPUTED_VALUE"""),737.96)</f>
        <v>737.96</v>
      </c>
      <c r="D63" s="2">
        <f>IFERROR(__xludf.DUMMYFUNCTION("""COMPUTED_VALUE"""),708.05)</f>
        <v>708.05</v>
      </c>
      <c r="E63" s="2">
        <f>IFERROR(__xludf.DUMMYFUNCTION("""COMPUTED_VALUE"""),708.05)</f>
        <v>708.05</v>
      </c>
      <c r="F63" s="2">
        <f>IFERROR(__xludf.DUMMYFUNCTION("""COMPUTED_VALUE"""),3687800.0)</f>
        <v>3687800</v>
      </c>
      <c r="G63" s="2">
        <f t="shared" si="1"/>
        <v>49.86</v>
      </c>
    </row>
    <row r="64" ht="15.75" customHeight="1">
      <c r="A64" s="1">
        <f>IFERROR(__xludf.DUMMYFUNCTION("""COMPUTED_VALUE"""),43921.66666666667)</f>
        <v>43921.66667</v>
      </c>
      <c r="B64" s="2">
        <f>IFERROR(__xludf.DUMMYFUNCTION("""COMPUTED_VALUE"""),737.96)</f>
        <v>737.96</v>
      </c>
      <c r="C64" s="2">
        <f>IFERROR(__xludf.DUMMYFUNCTION("""COMPUTED_VALUE"""),742.95)</f>
        <v>742.95</v>
      </c>
      <c r="D64" s="2">
        <f>IFERROR(__xludf.DUMMYFUNCTION("""COMPUTED_VALUE"""),713.03)</f>
        <v>713.03</v>
      </c>
      <c r="E64" s="2">
        <f>IFERROR(__xludf.DUMMYFUNCTION("""COMPUTED_VALUE"""),732.98)</f>
        <v>732.98</v>
      </c>
      <c r="F64" s="2">
        <f>IFERROR(__xludf.DUMMYFUNCTION("""COMPUTED_VALUE"""),4392300.0)</f>
        <v>4392300</v>
      </c>
      <c r="G64" s="2">
        <f t="shared" si="1"/>
        <v>34.9</v>
      </c>
    </row>
    <row r="65" ht="15.75" customHeight="1">
      <c r="A65" s="1">
        <f>IFERROR(__xludf.DUMMYFUNCTION("""COMPUTED_VALUE"""),43922.66666666667)</f>
        <v>43922.66667</v>
      </c>
      <c r="B65" s="2">
        <f>IFERROR(__xludf.DUMMYFUNCTION("""COMPUTED_VALUE"""),718.02)</f>
        <v>718.02</v>
      </c>
      <c r="C65" s="2">
        <f>IFERROR(__xludf.DUMMYFUNCTION("""COMPUTED_VALUE"""),762.9)</f>
        <v>762.9</v>
      </c>
      <c r="D65" s="2">
        <f>IFERROR(__xludf.DUMMYFUNCTION("""COMPUTED_VALUE"""),718.02)</f>
        <v>718.02</v>
      </c>
      <c r="E65" s="2">
        <f>IFERROR(__xludf.DUMMYFUNCTION("""COMPUTED_VALUE"""),723.01)</f>
        <v>723.01</v>
      </c>
      <c r="F65" s="2">
        <f>IFERROR(__xludf.DUMMYFUNCTION("""COMPUTED_VALUE"""),5195200.0)</f>
        <v>5195200</v>
      </c>
      <c r="G65" s="2">
        <f t="shared" si="1"/>
        <v>44.88</v>
      </c>
    </row>
    <row r="66" ht="15.75" customHeight="1">
      <c r="A66" s="1">
        <f>IFERROR(__xludf.DUMMYFUNCTION("""COMPUTED_VALUE"""),43923.66666666667)</f>
        <v>43923.66667</v>
      </c>
      <c r="B66" s="2">
        <f>IFERROR(__xludf.DUMMYFUNCTION("""COMPUTED_VALUE"""),703.06)</f>
        <v>703.06</v>
      </c>
      <c r="C66" s="2">
        <f>IFERROR(__xludf.DUMMYFUNCTION("""COMPUTED_VALUE"""),797.8)</f>
        <v>797.8</v>
      </c>
      <c r="D66" s="2">
        <f>IFERROR(__xludf.DUMMYFUNCTION("""COMPUTED_VALUE"""),693.09)</f>
        <v>693.09</v>
      </c>
      <c r="E66" s="2">
        <f>IFERROR(__xludf.DUMMYFUNCTION("""COMPUTED_VALUE"""),792.81)</f>
        <v>792.81</v>
      </c>
      <c r="F66" s="2">
        <f>IFERROR(__xludf.DUMMYFUNCTION("""COMPUTED_VALUE"""),6438800.0)</f>
        <v>6438800</v>
      </c>
      <c r="G66" s="2">
        <f t="shared" si="1"/>
        <v>104.71</v>
      </c>
    </row>
    <row r="67" ht="15.75" customHeight="1">
      <c r="A67" s="1">
        <f>IFERROR(__xludf.DUMMYFUNCTION("""COMPUTED_VALUE"""),43924.66666666667)</f>
        <v>43924.66667</v>
      </c>
      <c r="B67" s="2">
        <f>IFERROR(__xludf.DUMMYFUNCTION("""COMPUTED_VALUE"""),762.9)</f>
        <v>762.9</v>
      </c>
      <c r="C67" s="2">
        <f>IFERROR(__xludf.DUMMYFUNCTION("""COMPUTED_VALUE"""),822.73)</f>
        <v>822.73</v>
      </c>
      <c r="D67" s="2">
        <f>IFERROR(__xludf.DUMMYFUNCTION("""COMPUTED_VALUE"""),762.9)</f>
        <v>762.9</v>
      </c>
      <c r="E67" s="2">
        <f>IFERROR(__xludf.DUMMYFUNCTION("""COMPUTED_VALUE"""),817.74)</f>
        <v>817.74</v>
      </c>
      <c r="F67" s="2">
        <f>IFERROR(__xludf.DUMMYFUNCTION("""COMPUTED_VALUE"""),4954900.0)</f>
        <v>4954900</v>
      </c>
      <c r="G67" s="2">
        <f t="shared" si="1"/>
        <v>59.83</v>
      </c>
    </row>
    <row r="68" ht="15.75" customHeight="1">
      <c r="A68" s="1">
        <f>IFERROR(__xludf.DUMMYFUNCTION("""COMPUTED_VALUE"""),43927.66666666667)</f>
        <v>43927.66667</v>
      </c>
      <c r="B68" s="2">
        <f>IFERROR(__xludf.DUMMYFUNCTION("""COMPUTED_VALUE"""),802.79)</f>
        <v>802.79</v>
      </c>
      <c r="C68" s="2">
        <f>IFERROR(__xludf.DUMMYFUNCTION("""COMPUTED_VALUE"""),852.65)</f>
        <v>852.65</v>
      </c>
      <c r="D68" s="2">
        <f>IFERROR(__xludf.DUMMYFUNCTION("""COMPUTED_VALUE"""),802.79)</f>
        <v>802.79</v>
      </c>
      <c r="E68" s="2">
        <f>IFERROR(__xludf.DUMMYFUNCTION("""COMPUTED_VALUE"""),837.69)</f>
        <v>837.69</v>
      </c>
      <c r="F68" s="2">
        <f>IFERROR(__xludf.DUMMYFUNCTION("""COMPUTED_VALUE"""),5339900.0)</f>
        <v>5339900</v>
      </c>
      <c r="G68" s="2">
        <f t="shared" si="1"/>
        <v>49.86</v>
      </c>
    </row>
    <row r="69" ht="15.75" customHeight="1">
      <c r="A69" s="1">
        <f>IFERROR(__xludf.DUMMYFUNCTION("""COMPUTED_VALUE"""),43928.66666666667)</f>
        <v>43928.66667</v>
      </c>
      <c r="B69" s="2">
        <f>IFERROR(__xludf.DUMMYFUNCTION("""COMPUTED_VALUE"""),852.65)</f>
        <v>852.65</v>
      </c>
      <c r="C69" s="2">
        <f>IFERROR(__xludf.DUMMYFUNCTION("""COMPUTED_VALUE"""),877.58)</f>
        <v>877.58</v>
      </c>
      <c r="D69" s="2">
        <f>IFERROR(__xludf.DUMMYFUNCTION("""COMPUTED_VALUE"""),822.73)</f>
        <v>822.73</v>
      </c>
      <c r="E69" s="2">
        <f>IFERROR(__xludf.DUMMYFUNCTION("""COMPUTED_VALUE"""),837.69)</f>
        <v>837.69</v>
      </c>
      <c r="F69" s="2">
        <f>IFERROR(__xludf.DUMMYFUNCTION("""COMPUTED_VALUE"""),6788400.0)</f>
        <v>6788400</v>
      </c>
      <c r="G69" s="2">
        <f t="shared" si="1"/>
        <v>54.85</v>
      </c>
    </row>
    <row r="70" ht="15.75" customHeight="1">
      <c r="A70" s="1">
        <f>IFERROR(__xludf.DUMMYFUNCTION("""COMPUTED_VALUE"""),43929.66666666667)</f>
        <v>43929.66667</v>
      </c>
      <c r="B70" s="2">
        <f>IFERROR(__xludf.DUMMYFUNCTION("""COMPUTED_VALUE"""),832.7)</f>
        <v>832.7</v>
      </c>
      <c r="C70" s="2">
        <f>IFERROR(__xludf.DUMMYFUNCTION("""COMPUTED_VALUE"""),837.69)</f>
        <v>837.69</v>
      </c>
      <c r="D70" s="2">
        <f>IFERROR(__xludf.DUMMYFUNCTION("""COMPUTED_VALUE"""),782.84)</f>
        <v>782.84</v>
      </c>
      <c r="E70" s="2">
        <f>IFERROR(__xludf.DUMMYFUNCTION("""COMPUTED_VALUE"""),797.8)</f>
        <v>797.8</v>
      </c>
      <c r="F70" s="2">
        <f>IFERROR(__xludf.DUMMYFUNCTION("""COMPUTED_VALUE"""),6771600.0)</f>
        <v>6771600</v>
      </c>
      <c r="G70" s="2">
        <f t="shared" si="1"/>
        <v>54.85</v>
      </c>
    </row>
    <row r="71" ht="15.75" customHeight="1">
      <c r="A71" s="1">
        <f>IFERROR(__xludf.DUMMYFUNCTION("""COMPUTED_VALUE"""),43930.66666666667)</f>
        <v>43930.66667</v>
      </c>
      <c r="B71" s="2">
        <f>IFERROR(__xludf.DUMMYFUNCTION("""COMPUTED_VALUE"""),822.73)</f>
        <v>822.73</v>
      </c>
      <c r="C71" s="2">
        <f>IFERROR(__xludf.DUMMYFUNCTION("""COMPUTED_VALUE"""),822.73)</f>
        <v>822.73</v>
      </c>
      <c r="D71" s="2">
        <f>IFERROR(__xludf.DUMMYFUNCTION("""COMPUTED_VALUE"""),787.83)</f>
        <v>787.83</v>
      </c>
      <c r="E71" s="2">
        <f>IFERROR(__xludf.DUMMYFUNCTION("""COMPUTED_VALUE"""),812.76)</f>
        <v>812.76</v>
      </c>
      <c r="F71" s="2">
        <f>IFERROR(__xludf.DUMMYFUNCTION("""COMPUTED_VALUE"""),2319100.0)</f>
        <v>2319100</v>
      </c>
      <c r="G71" s="2">
        <f t="shared" si="1"/>
        <v>34.9</v>
      </c>
    </row>
    <row r="72" ht="15.75" customHeight="1">
      <c r="A72" s="1">
        <f>IFERROR(__xludf.DUMMYFUNCTION("""COMPUTED_VALUE"""),43934.66666666667)</f>
        <v>43934.66667</v>
      </c>
      <c r="B72" s="2">
        <f>IFERROR(__xludf.DUMMYFUNCTION("""COMPUTED_VALUE"""),827.72)</f>
        <v>827.72</v>
      </c>
      <c r="C72" s="2">
        <f>IFERROR(__xludf.DUMMYFUNCTION("""COMPUTED_VALUE"""),842.68)</f>
        <v>842.68</v>
      </c>
      <c r="D72" s="2">
        <f>IFERROR(__xludf.DUMMYFUNCTION("""COMPUTED_VALUE"""),807.77)</f>
        <v>807.77</v>
      </c>
      <c r="E72" s="2">
        <f>IFERROR(__xludf.DUMMYFUNCTION("""COMPUTED_VALUE"""),842.68)</f>
        <v>842.68</v>
      </c>
      <c r="F72" s="2">
        <f>IFERROR(__xludf.DUMMYFUNCTION("""COMPUTED_VALUE"""),4780900.0)</f>
        <v>4780900</v>
      </c>
      <c r="G72" s="2">
        <f t="shared" si="1"/>
        <v>34.91</v>
      </c>
    </row>
    <row r="73" ht="15.75" customHeight="1">
      <c r="A73" s="1">
        <f>IFERROR(__xludf.DUMMYFUNCTION("""COMPUTED_VALUE"""),43935.66666666667)</f>
        <v>43935.66667</v>
      </c>
      <c r="B73" s="2">
        <f>IFERROR(__xludf.DUMMYFUNCTION("""COMPUTED_VALUE"""),842.68)</f>
        <v>842.68</v>
      </c>
      <c r="C73" s="2">
        <f>IFERROR(__xludf.DUMMYFUNCTION("""COMPUTED_VALUE"""),907.5)</f>
        <v>907.5</v>
      </c>
      <c r="D73" s="2">
        <f>IFERROR(__xludf.DUMMYFUNCTION("""COMPUTED_VALUE"""),842.68)</f>
        <v>842.68</v>
      </c>
      <c r="E73" s="2">
        <f>IFERROR(__xludf.DUMMYFUNCTION("""COMPUTED_VALUE"""),902.51)</f>
        <v>902.51</v>
      </c>
      <c r="F73" s="2">
        <f>IFERROR(__xludf.DUMMYFUNCTION("""COMPUTED_VALUE"""),9945600.0)</f>
        <v>9945600</v>
      </c>
      <c r="G73" s="2">
        <f t="shared" si="1"/>
        <v>64.82</v>
      </c>
    </row>
    <row r="74" ht="15.75" customHeight="1">
      <c r="A74" s="1">
        <f>IFERROR(__xludf.DUMMYFUNCTION("""COMPUTED_VALUE"""),43936.66666666667)</f>
        <v>43936.66667</v>
      </c>
      <c r="B74" s="2">
        <f>IFERROR(__xludf.DUMMYFUNCTION("""COMPUTED_VALUE"""),912.48)</f>
        <v>912.48</v>
      </c>
      <c r="C74" s="2">
        <f>IFERROR(__xludf.DUMMYFUNCTION("""COMPUTED_VALUE"""),922.46)</f>
        <v>922.46</v>
      </c>
      <c r="D74" s="2">
        <f>IFERROR(__xludf.DUMMYFUNCTION("""COMPUTED_VALUE"""),887.55)</f>
        <v>887.55</v>
      </c>
      <c r="E74" s="2">
        <f>IFERROR(__xludf.DUMMYFUNCTION("""COMPUTED_VALUE"""),892.54)</f>
        <v>892.54</v>
      </c>
      <c r="F74" s="2">
        <f>IFERROR(__xludf.DUMMYFUNCTION("""COMPUTED_VALUE"""),6709300.0)</f>
        <v>6709300</v>
      </c>
      <c r="G74" s="2">
        <f t="shared" si="1"/>
        <v>34.91</v>
      </c>
    </row>
    <row r="75" ht="15.75" customHeight="1">
      <c r="A75" s="1">
        <f>IFERROR(__xludf.DUMMYFUNCTION("""COMPUTED_VALUE"""),43937.66666666667)</f>
        <v>43937.66667</v>
      </c>
      <c r="B75" s="2">
        <f>IFERROR(__xludf.DUMMYFUNCTION("""COMPUTED_VALUE"""),887.55)</f>
        <v>887.55</v>
      </c>
      <c r="C75" s="2">
        <f>IFERROR(__xludf.DUMMYFUNCTION("""COMPUTED_VALUE"""),927.44)</f>
        <v>927.44</v>
      </c>
      <c r="D75" s="2">
        <f>IFERROR(__xludf.DUMMYFUNCTION("""COMPUTED_VALUE"""),847.66)</f>
        <v>847.66</v>
      </c>
      <c r="E75" s="2">
        <f>IFERROR(__xludf.DUMMYFUNCTION("""COMPUTED_VALUE"""),907.5)</f>
        <v>907.5</v>
      </c>
      <c r="F75" s="2">
        <f>IFERROR(__xludf.DUMMYFUNCTION("""COMPUTED_VALUE"""),2.22E7)</f>
        <v>22200000</v>
      </c>
      <c r="G75" s="2">
        <f t="shared" si="1"/>
        <v>79.78</v>
      </c>
    </row>
    <row r="76" ht="15.75" customHeight="1">
      <c r="A76" s="1">
        <f>IFERROR(__xludf.DUMMYFUNCTION("""COMPUTED_VALUE"""),43938.66666666667)</f>
        <v>43938.66667</v>
      </c>
      <c r="B76" s="2">
        <f>IFERROR(__xludf.DUMMYFUNCTION("""COMPUTED_VALUE"""),922.46)</f>
        <v>922.46</v>
      </c>
      <c r="C76" s="2">
        <f>IFERROR(__xludf.DUMMYFUNCTION("""COMPUTED_VALUE"""),927.44)</f>
        <v>927.44</v>
      </c>
      <c r="D76" s="2">
        <f>IFERROR(__xludf.DUMMYFUNCTION("""COMPUTED_VALUE"""),907.5)</f>
        <v>907.5</v>
      </c>
      <c r="E76" s="2">
        <f>IFERROR(__xludf.DUMMYFUNCTION("""COMPUTED_VALUE"""),927.44)</f>
        <v>927.44</v>
      </c>
      <c r="F76" s="2">
        <f>IFERROR(__xludf.DUMMYFUNCTION("""COMPUTED_VALUE"""),1.16113E7)</f>
        <v>11611300</v>
      </c>
      <c r="G76" s="2">
        <f t="shared" si="1"/>
        <v>19.94</v>
      </c>
    </row>
    <row r="77" ht="15.75" customHeight="1">
      <c r="A77" s="1">
        <f>IFERROR(__xludf.DUMMYFUNCTION("""COMPUTED_VALUE"""),43941.66666666667)</f>
        <v>43941.66667</v>
      </c>
      <c r="B77" s="2">
        <f>IFERROR(__xludf.DUMMYFUNCTION("""COMPUTED_VALUE"""),927.44)</f>
        <v>927.44</v>
      </c>
      <c r="C77" s="2">
        <f>IFERROR(__xludf.DUMMYFUNCTION("""COMPUTED_VALUE"""),947.39)</f>
        <v>947.39</v>
      </c>
      <c r="D77" s="2">
        <f>IFERROR(__xludf.DUMMYFUNCTION("""COMPUTED_VALUE"""),912.48)</f>
        <v>912.48</v>
      </c>
      <c r="E77" s="2">
        <f>IFERROR(__xludf.DUMMYFUNCTION("""COMPUTED_VALUE"""),932.43)</f>
        <v>932.43</v>
      </c>
      <c r="F77" s="2">
        <f>IFERROR(__xludf.DUMMYFUNCTION("""COMPUTED_VALUE"""),1.07172E7)</f>
        <v>10717200</v>
      </c>
      <c r="G77" s="2">
        <f t="shared" si="1"/>
        <v>34.91</v>
      </c>
    </row>
    <row r="78" ht="15.75" customHeight="1">
      <c r="A78" s="1">
        <f>IFERROR(__xludf.DUMMYFUNCTION("""COMPUTED_VALUE"""),43942.66666666667)</f>
        <v>43942.66667</v>
      </c>
      <c r="B78" s="2">
        <f>IFERROR(__xludf.DUMMYFUNCTION("""COMPUTED_VALUE"""),942.4)</f>
        <v>942.4</v>
      </c>
      <c r="C78" s="2">
        <f>IFERROR(__xludf.DUMMYFUNCTION("""COMPUTED_VALUE"""),947.39)</f>
        <v>947.39</v>
      </c>
      <c r="D78" s="2">
        <f>IFERROR(__xludf.DUMMYFUNCTION("""COMPUTED_VALUE"""),917.47)</f>
        <v>917.47</v>
      </c>
      <c r="E78" s="2">
        <f>IFERROR(__xludf.DUMMYFUNCTION("""COMPUTED_VALUE"""),937.41)</f>
        <v>937.41</v>
      </c>
      <c r="F78" s="2">
        <f>IFERROR(__xludf.DUMMYFUNCTION("""COMPUTED_VALUE"""),1.02782E7)</f>
        <v>10278200</v>
      </c>
      <c r="G78" s="2">
        <f t="shared" si="1"/>
        <v>29.92</v>
      </c>
    </row>
    <row r="79" ht="15.75" customHeight="1">
      <c r="A79" s="1">
        <f>IFERROR(__xludf.DUMMYFUNCTION("""COMPUTED_VALUE"""),43943.66666666667)</f>
        <v>43943.66667</v>
      </c>
      <c r="B79" s="2">
        <f>IFERROR(__xludf.DUMMYFUNCTION("""COMPUTED_VALUE"""),937.41)</f>
        <v>937.41</v>
      </c>
      <c r="C79" s="2">
        <f>IFERROR(__xludf.DUMMYFUNCTION("""COMPUTED_VALUE"""),942.4)</f>
        <v>942.4</v>
      </c>
      <c r="D79" s="2">
        <f>IFERROR(__xludf.DUMMYFUNCTION("""COMPUTED_VALUE"""),922.46)</f>
        <v>922.46</v>
      </c>
      <c r="E79" s="2">
        <f>IFERROR(__xludf.DUMMYFUNCTION("""COMPUTED_VALUE"""),932.43)</f>
        <v>932.43</v>
      </c>
      <c r="F79" s="2">
        <f>IFERROR(__xludf.DUMMYFUNCTION("""COMPUTED_VALUE"""),1.15105E7)</f>
        <v>11510500</v>
      </c>
      <c r="G79" s="2">
        <f t="shared" si="1"/>
        <v>19.94</v>
      </c>
    </row>
    <row r="80" ht="15.75" customHeight="1">
      <c r="A80" s="1">
        <f>IFERROR(__xludf.DUMMYFUNCTION("""COMPUTED_VALUE"""),43944.66666666667)</f>
        <v>43944.66667</v>
      </c>
      <c r="B80" s="2">
        <f>IFERROR(__xludf.DUMMYFUNCTION("""COMPUTED_VALUE"""),937.41)</f>
        <v>937.41</v>
      </c>
      <c r="C80" s="2">
        <f>IFERROR(__xludf.DUMMYFUNCTION("""COMPUTED_VALUE"""),947.39)</f>
        <v>947.39</v>
      </c>
      <c r="D80" s="2">
        <f>IFERROR(__xludf.DUMMYFUNCTION("""COMPUTED_VALUE"""),932.43)</f>
        <v>932.43</v>
      </c>
      <c r="E80" s="2">
        <f>IFERROR(__xludf.DUMMYFUNCTION("""COMPUTED_VALUE"""),942.4)</f>
        <v>942.4</v>
      </c>
      <c r="F80" s="2">
        <f>IFERROR(__xludf.DUMMYFUNCTION("""COMPUTED_VALUE"""),1.2E7)</f>
        <v>12000000</v>
      </c>
      <c r="G80" s="2">
        <f t="shared" si="1"/>
        <v>14.96</v>
      </c>
    </row>
    <row r="81" ht="15.75" customHeight="1">
      <c r="A81" s="1">
        <f>IFERROR(__xludf.DUMMYFUNCTION("""COMPUTED_VALUE"""),43945.66666666667)</f>
        <v>43945.66667</v>
      </c>
      <c r="B81" s="2">
        <f>IFERROR(__xludf.DUMMYFUNCTION("""COMPUTED_VALUE"""),947.39)</f>
        <v>947.39</v>
      </c>
      <c r="C81" s="2">
        <f>IFERROR(__xludf.DUMMYFUNCTION("""COMPUTED_VALUE"""),947.39)</f>
        <v>947.39</v>
      </c>
      <c r="D81" s="2">
        <f>IFERROR(__xludf.DUMMYFUNCTION("""COMPUTED_VALUE"""),877.58)</f>
        <v>877.58</v>
      </c>
      <c r="E81" s="2">
        <f>IFERROR(__xludf.DUMMYFUNCTION("""COMPUTED_VALUE"""),912.48)</f>
        <v>912.48</v>
      </c>
      <c r="F81" s="2">
        <f>IFERROR(__xludf.DUMMYFUNCTION("""COMPUTED_VALUE"""),3.63872E7)</f>
        <v>36387200</v>
      </c>
      <c r="G81" s="2">
        <f t="shared" si="1"/>
        <v>69.81</v>
      </c>
    </row>
    <row r="82" ht="15.75" customHeight="1">
      <c r="A82" s="1">
        <f>IFERROR(__xludf.DUMMYFUNCTION("""COMPUTED_VALUE"""),43948.66666666667)</f>
        <v>43948.66667</v>
      </c>
      <c r="B82" s="2">
        <f>IFERROR(__xludf.DUMMYFUNCTION("""COMPUTED_VALUE"""),852.65)</f>
        <v>852.65</v>
      </c>
      <c r="C82" s="2">
        <f>IFERROR(__xludf.DUMMYFUNCTION("""COMPUTED_VALUE"""),852.65)</f>
        <v>852.65</v>
      </c>
      <c r="D82" s="2">
        <f>IFERROR(__xludf.DUMMYFUNCTION("""COMPUTED_VALUE"""),852.65)</f>
        <v>852.65</v>
      </c>
      <c r="E82" s="2">
        <f>IFERROR(__xludf.DUMMYFUNCTION("""COMPUTED_VALUE"""),852.65)</f>
        <v>852.65</v>
      </c>
      <c r="F82" s="2">
        <f>IFERROR(__xludf.DUMMYFUNCTION("""COMPUTED_VALUE"""),3721800.0)</f>
        <v>3721800</v>
      </c>
      <c r="G82" s="2">
        <f t="shared" si="1"/>
        <v>59.83</v>
      </c>
    </row>
    <row r="83" ht="15.75" customHeight="1">
      <c r="A83" s="1">
        <f>IFERROR(__xludf.DUMMYFUNCTION("""COMPUTED_VALUE"""),43949.66666666667)</f>
        <v>43949.66667</v>
      </c>
      <c r="B83" s="2">
        <f>IFERROR(__xludf.DUMMYFUNCTION("""COMPUTED_VALUE"""),797.8)</f>
        <v>797.8</v>
      </c>
      <c r="C83" s="2">
        <f>IFERROR(__xludf.DUMMYFUNCTION("""COMPUTED_VALUE"""),827.72)</f>
        <v>827.72</v>
      </c>
      <c r="D83" s="2">
        <f>IFERROR(__xludf.DUMMYFUNCTION("""COMPUTED_VALUE"""),797.8)</f>
        <v>797.8</v>
      </c>
      <c r="E83" s="2">
        <f>IFERROR(__xludf.DUMMYFUNCTION("""COMPUTED_VALUE"""),797.8)</f>
        <v>797.8</v>
      </c>
      <c r="F83" s="2">
        <f>IFERROR(__xludf.DUMMYFUNCTION("""COMPUTED_VALUE"""),1.06044E7)</f>
        <v>10604400</v>
      </c>
      <c r="G83" s="2">
        <f t="shared" si="1"/>
        <v>54.85</v>
      </c>
    </row>
    <row r="84" ht="15.75" customHeight="1">
      <c r="A84" s="1">
        <f>IFERROR(__xludf.DUMMYFUNCTION("""COMPUTED_VALUE"""),43950.66666666667)</f>
        <v>43950.66667</v>
      </c>
      <c r="B84" s="2">
        <f>IFERROR(__xludf.DUMMYFUNCTION("""COMPUTED_VALUE"""),762.9)</f>
        <v>762.9</v>
      </c>
      <c r="C84" s="2">
        <f>IFERROR(__xludf.DUMMYFUNCTION("""COMPUTED_VALUE"""),787.83)</f>
        <v>787.83</v>
      </c>
      <c r="D84" s="2">
        <f>IFERROR(__xludf.DUMMYFUNCTION("""COMPUTED_VALUE"""),762.9)</f>
        <v>762.9</v>
      </c>
      <c r="E84" s="2">
        <f>IFERROR(__xludf.DUMMYFUNCTION("""COMPUTED_VALUE"""),767.88)</f>
        <v>767.88</v>
      </c>
      <c r="F84" s="2">
        <f>IFERROR(__xludf.DUMMYFUNCTION("""COMPUTED_VALUE"""),1.72492E7)</f>
        <v>17249200</v>
      </c>
      <c r="G84" s="2">
        <f t="shared" si="1"/>
        <v>34.9</v>
      </c>
    </row>
    <row r="85" ht="15.75" customHeight="1">
      <c r="A85" s="1">
        <f>IFERROR(__xludf.DUMMYFUNCTION("""COMPUTED_VALUE"""),43951.66666666667)</f>
        <v>43951.66667</v>
      </c>
      <c r="B85" s="2">
        <f>IFERROR(__xludf.DUMMYFUNCTION("""COMPUTED_VALUE"""),772.87)</f>
        <v>772.87</v>
      </c>
      <c r="C85" s="2">
        <f>IFERROR(__xludf.DUMMYFUNCTION("""COMPUTED_VALUE"""),817.74)</f>
        <v>817.74</v>
      </c>
      <c r="D85" s="2">
        <f>IFERROR(__xludf.DUMMYFUNCTION("""COMPUTED_VALUE"""),772.87)</f>
        <v>772.87</v>
      </c>
      <c r="E85" s="2">
        <f>IFERROR(__xludf.DUMMYFUNCTION("""COMPUTED_VALUE"""),802.79)</f>
        <v>802.79</v>
      </c>
      <c r="F85" s="2">
        <f>IFERROR(__xludf.DUMMYFUNCTION("""COMPUTED_VALUE"""),2.39309E7)</f>
        <v>23930900</v>
      </c>
      <c r="G85" s="2">
        <f t="shared" si="1"/>
        <v>49.86</v>
      </c>
    </row>
    <row r="86" ht="15.75" customHeight="1">
      <c r="A86" s="1">
        <f>IFERROR(__xludf.DUMMYFUNCTION("""COMPUTED_VALUE"""),43955.66666666667)</f>
        <v>43955.66667</v>
      </c>
      <c r="B86" s="2">
        <f>IFERROR(__xludf.DUMMYFUNCTION("""COMPUTED_VALUE"""),787.83)</f>
        <v>787.83</v>
      </c>
      <c r="C86" s="2">
        <f>IFERROR(__xludf.DUMMYFUNCTION("""COMPUTED_VALUE"""),802.79)</f>
        <v>802.79</v>
      </c>
      <c r="D86" s="2">
        <f>IFERROR(__xludf.DUMMYFUNCTION("""COMPUTED_VALUE"""),767.88)</f>
        <v>767.88</v>
      </c>
      <c r="E86" s="2">
        <f>IFERROR(__xludf.DUMMYFUNCTION("""COMPUTED_VALUE"""),777.85)</f>
        <v>777.85</v>
      </c>
      <c r="F86" s="2">
        <f>IFERROR(__xludf.DUMMYFUNCTION("""COMPUTED_VALUE"""),7361200.0)</f>
        <v>7361200</v>
      </c>
      <c r="G86" s="2">
        <f t="shared" si="1"/>
        <v>34.91</v>
      </c>
    </row>
    <row r="87" ht="15.75" customHeight="1">
      <c r="A87" s="1">
        <f>IFERROR(__xludf.DUMMYFUNCTION("""COMPUTED_VALUE"""),43956.66666666667)</f>
        <v>43956.66667</v>
      </c>
      <c r="B87" s="2">
        <f>IFERROR(__xludf.DUMMYFUNCTION("""COMPUTED_VALUE"""),777.85)</f>
        <v>777.85</v>
      </c>
      <c r="C87" s="2">
        <f>IFERROR(__xludf.DUMMYFUNCTION("""COMPUTED_VALUE"""),797.8)</f>
        <v>797.8</v>
      </c>
      <c r="D87" s="2">
        <f>IFERROR(__xludf.DUMMYFUNCTION("""COMPUTED_VALUE"""),767.88)</f>
        <v>767.88</v>
      </c>
      <c r="E87" s="2">
        <f>IFERROR(__xludf.DUMMYFUNCTION("""COMPUTED_VALUE"""),777.85)</f>
        <v>777.85</v>
      </c>
      <c r="F87" s="2">
        <f>IFERROR(__xludf.DUMMYFUNCTION("""COMPUTED_VALUE"""),5636900.0)</f>
        <v>5636900</v>
      </c>
      <c r="G87" s="2">
        <f t="shared" si="1"/>
        <v>29.92</v>
      </c>
    </row>
    <row r="88" ht="15.75" customHeight="1">
      <c r="A88" s="1">
        <f>IFERROR(__xludf.DUMMYFUNCTION("""COMPUTED_VALUE"""),43957.66666666667)</f>
        <v>43957.66667</v>
      </c>
      <c r="B88" s="2">
        <f>IFERROR(__xludf.DUMMYFUNCTION("""COMPUTED_VALUE"""),787.83)</f>
        <v>787.83</v>
      </c>
      <c r="C88" s="2">
        <f>IFERROR(__xludf.DUMMYFUNCTION("""COMPUTED_VALUE"""),787.83)</f>
        <v>787.83</v>
      </c>
      <c r="D88" s="2">
        <f>IFERROR(__xludf.DUMMYFUNCTION("""COMPUTED_VALUE"""),767.88)</f>
        <v>767.88</v>
      </c>
      <c r="E88" s="2">
        <f>IFERROR(__xludf.DUMMYFUNCTION("""COMPUTED_VALUE"""),767.88)</f>
        <v>767.88</v>
      </c>
      <c r="F88" s="2">
        <f>IFERROR(__xludf.DUMMYFUNCTION("""COMPUTED_VALUE"""),5333500.0)</f>
        <v>5333500</v>
      </c>
      <c r="G88" s="2">
        <f t="shared" si="1"/>
        <v>19.95</v>
      </c>
    </row>
    <row r="89" ht="15.75" customHeight="1">
      <c r="A89" s="1">
        <f>IFERROR(__xludf.DUMMYFUNCTION("""COMPUTED_VALUE"""),43959.66666666667)</f>
        <v>43959.66667</v>
      </c>
      <c r="B89" s="2">
        <f>IFERROR(__xludf.DUMMYFUNCTION("""COMPUTED_VALUE"""),772.87)</f>
        <v>772.87</v>
      </c>
      <c r="C89" s="2">
        <f>IFERROR(__xludf.DUMMYFUNCTION("""COMPUTED_VALUE"""),782.84)</f>
        <v>782.84</v>
      </c>
      <c r="D89" s="2">
        <f>IFERROR(__xludf.DUMMYFUNCTION("""COMPUTED_VALUE"""),767.88)</f>
        <v>767.88</v>
      </c>
      <c r="E89" s="2">
        <f>IFERROR(__xludf.DUMMYFUNCTION("""COMPUTED_VALUE"""),767.88)</f>
        <v>767.88</v>
      </c>
      <c r="F89" s="2">
        <f>IFERROR(__xludf.DUMMYFUNCTION("""COMPUTED_VALUE"""),6805500.0)</f>
        <v>6805500</v>
      </c>
      <c r="G89" s="2">
        <f t="shared" si="1"/>
        <v>14.96</v>
      </c>
    </row>
    <row r="90" ht="15.75" customHeight="1">
      <c r="A90" s="1">
        <f>IFERROR(__xludf.DUMMYFUNCTION("""COMPUTED_VALUE"""),43962.66666666667)</f>
        <v>43962.66667</v>
      </c>
      <c r="B90" s="2">
        <f>IFERROR(__xludf.DUMMYFUNCTION("""COMPUTED_VALUE"""),772.87)</f>
        <v>772.87</v>
      </c>
      <c r="C90" s="2">
        <f>IFERROR(__xludf.DUMMYFUNCTION("""COMPUTED_VALUE"""),787.83)</f>
        <v>787.83</v>
      </c>
      <c r="D90" s="2">
        <f>IFERROR(__xludf.DUMMYFUNCTION("""COMPUTED_VALUE"""),767.88)</f>
        <v>767.88</v>
      </c>
      <c r="E90" s="2">
        <f>IFERROR(__xludf.DUMMYFUNCTION("""COMPUTED_VALUE"""),772.87)</f>
        <v>772.87</v>
      </c>
      <c r="F90" s="2">
        <f>IFERROR(__xludf.DUMMYFUNCTION("""COMPUTED_VALUE"""),6866600.0)</f>
        <v>6866600</v>
      </c>
      <c r="G90" s="2">
        <f t="shared" si="1"/>
        <v>19.95</v>
      </c>
    </row>
    <row r="91" ht="15.75" customHeight="1">
      <c r="A91" s="1">
        <f>IFERROR(__xludf.DUMMYFUNCTION("""COMPUTED_VALUE"""),43963.66666666667)</f>
        <v>43963.66667</v>
      </c>
      <c r="B91" s="2">
        <f>IFERROR(__xludf.DUMMYFUNCTION("""COMPUTED_VALUE"""),777.85)</f>
        <v>777.85</v>
      </c>
      <c r="C91" s="2">
        <f>IFERROR(__xludf.DUMMYFUNCTION("""COMPUTED_VALUE"""),777.85)</f>
        <v>777.85</v>
      </c>
      <c r="D91" s="2">
        <f>IFERROR(__xludf.DUMMYFUNCTION("""COMPUTED_VALUE"""),752.92)</f>
        <v>752.92</v>
      </c>
      <c r="E91" s="2">
        <f>IFERROR(__xludf.DUMMYFUNCTION("""COMPUTED_VALUE"""),752.92)</f>
        <v>752.92</v>
      </c>
      <c r="F91" s="2">
        <f>IFERROR(__xludf.DUMMYFUNCTION("""COMPUTED_VALUE"""),6976600.0)</f>
        <v>6976600</v>
      </c>
      <c r="G91" s="2">
        <f t="shared" si="1"/>
        <v>24.93</v>
      </c>
    </row>
    <row r="92" ht="15.75" customHeight="1">
      <c r="A92" s="1">
        <f>IFERROR(__xludf.DUMMYFUNCTION("""COMPUTED_VALUE"""),43964.66666666667)</f>
        <v>43964.66667</v>
      </c>
      <c r="B92" s="2">
        <f>IFERROR(__xludf.DUMMYFUNCTION("""COMPUTED_VALUE"""),752.92)</f>
        <v>752.92</v>
      </c>
      <c r="C92" s="2">
        <f>IFERROR(__xludf.DUMMYFUNCTION("""COMPUTED_VALUE"""),752.92)</f>
        <v>752.92</v>
      </c>
      <c r="D92" s="2">
        <f>IFERROR(__xludf.DUMMYFUNCTION("""COMPUTED_VALUE"""),727.99)</f>
        <v>727.99</v>
      </c>
      <c r="E92" s="2">
        <f>IFERROR(__xludf.DUMMYFUNCTION("""COMPUTED_VALUE"""),737.96)</f>
        <v>737.96</v>
      </c>
      <c r="F92" s="2">
        <f>IFERROR(__xludf.DUMMYFUNCTION("""COMPUTED_VALUE"""),4855700.0)</f>
        <v>4855700</v>
      </c>
      <c r="G92" s="2">
        <f t="shared" si="1"/>
        <v>24.93</v>
      </c>
    </row>
    <row r="93" ht="15.75" customHeight="1">
      <c r="A93" s="1">
        <f>IFERROR(__xludf.DUMMYFUNCTION("""COMPUTED_VALUE"""),43965.66666666667)</f>
        <v>43965.66667</v>
      </c>
      <c r="B93" s="2">
        <f>IFERROR(__xludf.DUMMYFUNCTION("""COMPUTED_VALUE"""),737.96)</f>
        <v>737.96</v>
      </c>
      <c r="C93" s="2">
        <f>IFERROR(__xludf.DUMMYFUNCTION("""COMPUTED_VALUE"""),742.95)</f>
        <v>742.95</v>
      </c>
      <c r="D93" s="2">
        <f>IFERROR(__xludf.DUMMYFUNCTION("""COMPUTED_VALUE"""),688.1)</f>
        <v>688.1</v>
      </c>
      <c r="E93" s="2">
        <f>IFERROR(__xludf.DUMMYFUNCTION("""COMPUTED_VALUE"""),698.07)</f>
        <v>698.07</v>
      </c>
      <c r="F93" s="2">
        <f>IFERROR(__xludf.DUMMYFUNCTION("""COMPUTED_VALUE"""),6243200.0)</f>
        <v>6243200</v>
      </c>
      <c r="G93" s="2">
        <f t="shared" si="1"/>
        <v>54.85</v>
      </c>
    </row>
    <row r="94" ht="15.75" customHeight="1">
      <c r="A94" s="1">
        <f>IFERROR(__xludf.DUMMYFUNCTION("""COMPUTED_VALUE"""),43966.66666666667)</f>
        <v>43966.66667</v>
      </c>
      <c r="B94" s="2">
        <f>IFERROR(__xludf.DUMMYFUNCTION("""COMPUTED_VALUE"""),708.05)</f>
        <v>708.05</v>
      </c>
      <c r="C94" s="2">
        <f>IFERROR(__xludf.DUMMYFUNCTION("""COMPUTED_VALUE"""),713.03)</f>
        <v>713.03</v>
      </c>
      <c r="D94" s="2">
        <f>IFERROR(__xludf.DUMMYFUNCTION("""COMPUTED_VALUE"""),668.16)</f>
        <v>668.16</v>
      </c>
      <c r="E94" s="2">
        <f>IFERROR(__xludf.DUMMYFUNCTION("""COMPUTED_VALUE"""),678.13)</f>
        <v>678.13</v>
      </c>
      <c r="F94" s="2">
        <f>IFERROR(__xludf.DUMMYFUNCTION("""COMPUTED_VALUE"""),5743300.0)</f>
        <v>5743300</v>
      </c>
      <c r="G94" s="2">
        <f t="shared" si="1"/>
        <v>44.87</v>
      </c>
    </row>
    <row r="95" ht="15.75" customHeight="1">
      <c r="A95" s="1">
        <f>IFERROR(__xludf.DUMMYFUNCTION("""COMPUTED_VALUE"""),43969.66666666667)</f>
        <v>43969.66667</v>
      </c>
      <c r="B95" s="2">
        <f>IFERROR(__xludf.DUMMYFUNCTION("""COMPUTED_VALUE"""),678.13)</f>
        <v>678.13</v>
      </c>
      <c r="C95" s="2">
        <f>IFERROR(__xludf.DUMMYFUNCTION("""COMPUTED_VALUE"""),688.1)</f>
        <v>688.1</v>
      </c>
      <c r="D95" s="2">
        <f>IFERROR(__xludf.DUMMYFUNCTION("""COMPUTED_VALUE"""),668.16)</f>
        <v>668.16</v>
      </c>
      <c r="E95" s="2">
        <f>IFERROR(__xludf.DUMMYFUNCTION("""COMPUTED_VALUE"""),673.14)</f>
        <v>673.14</v>
      </c>
      <c r="F95" s="2">
        <f>IFERROR(__xludf.DUMMYFUNCTION("""COMPUTED_VALUE"""),2833100.0)</f>
        <v>2833100</v>
      </c>
      <c r="G95" s="2">
        <f t="shared" si="1"/>
        <v>19.94</v>
      </c>
    </row>
    <row r="96" ht="15.75" customHeight="1">
      <c r="A96" s="1">
        <f>IFERROR(__xludf.DUMMYFUNCTION("""COMPUTED_VALUE"""),43970.66666666667)</f>
        <v>43970.66667</v>
      </c>
      <c r="B96" s="2">
        <f>IFERROR(__xludf.DUMMYFUNCTION("""COMPUTED_VALUE"""),683.12)</f>
        <v>683.12</v>
      </c>
      <c r="C96" s="2">
        <f>IFERROR(__xludf.DUMMYFUNCTION("""COMPUTED_VALUE"""),708.05)</f>
        <v>708.05</v>
      </c>
      <c r="D96" s="2">
        <f>IFERROR(__xludf.DUMMYFUNCTION("""COMPUTED_VALUE"""),683.12)</f>
        <v>683.12</v>
      </c>
      <c r="E96" s="2">
        <f>IFERROR(__xludf.DUMMYFUNCTION("""COMPUTED_VALUE"""),693.09)</f>
        <v>693.09</v>
      </c>
      <c r="F96" s="2">
        <f>IFERROR(__xludf.DUMMYFUNCTION("""COMPUTED_VALUE"""),5360900.0)</f>
        <v>5360900</v>
      </c>
      <c r="G96" s="2">
        <f t="shared" si="1"/>
        <v>34.91</v>
      </c>
    </row>
    <row r="97" ht="15.75" customHeight="1">
      <c r="A97" s="1">
        <f>IFERROR(__xludf.DUMMYFUNCTION("""COMPUTED_VALUE"""),43971.66666666667)</f>
        <v>43971.66667</v>
      </c>
      <c r="B97" s="2">
        <f>IFERROR(__xludf.DUMMYFUNCTION("""COMPUTED_VALUE"""),693.09)</f>
        <v>693.09</v>
      </c>
      <c r="C97" s="2">
        <f>IFERROR(__xludf.DUMMYFUNCTION("""COMPUTED_VALUE"""),698.07)</f>
        <v>698.07</v>
      </c>
      <c r="D97" s="2">
        <f>IFERROR(__xludf.DUMMYFUNCTION("""COMPUTED_VALUE"""),673.14)</f>
        <v>673.14</v>
      </c>
      <c r="E97" s="2">
        <f>IFERROR(__xludf.DUMMYFUNCTION("""COMPUTED_VALUE"""),688.1)</f>
        <v>688.1</v>
      </c>
      <c r="F97" s="2">
        <f>IFERROR(__xludf.DUMMYFUNCTION("""COMPUTED_VALUE"""),4981600.0)</f>
        <v>4981600</v>
      </c>
      <c r="G97" s="2">
        <f t="shared" si="1"/>
        <v>24.93</v>
      </c>
    </row>
    <row r="98" ht="15.75" customHeight="1">
      <c r="A98" s="1">
        <f>IFERROR(__xludf.DUMMYFUNCTION("""COMPUTED_VALUE"""),43977.66666666667)</f>
        <v>43977.66667</v>
      </c>
      <c r="B98" s="2">
        <f>IFERROR(__xludf.DUMMYFUNCTION("""COMPUTED_VALUE"""),693.09)</f>
        <v>693.09</v>
      </c>
      <c r="C98" s="2">
        <f>IFERROR(__xludf.DUMMYFUNCTION("""COMPUTED_VALUE"""),703.06)</f>
        <v>703.06</v>
      </c>
      <c r="D98" s="2">
        <f>IFERROR(__xludf.DUMMYFUNCTION("""COMPUTED_VALUE"""),673.14)</f>
        <v>673.14</v>
      </c>
      <c r="E98" s="2">
        <f>IFERROR(__xludf.DUMMYFUNCTION("""COMPUTED_VALUE"""),703.06)</f>
        <v>703.06</v>
      </c>
      <c r="F98" s="2">
        <f>IFERROR(__xludf.DUMMYFUNCTION("""COMPUTED_VALUE"""),1.0751E7)</f>
        <v>10751000</v>
      </c>
      <c r="G98" s="2">
        <f t="shared" si="1"/>
        <v>29.92</v>
      </c>
    </row>
    <row r="99" ht="15.75" customHeight="1">
      <c r="A99" s="1">
        <f>IFERROR(__xludf.DUMMYFUNCTION("""COMPUTED_VALUE"""),43978.66666666667)</f>
        <v>43978.66667</v>
      </c>
      <c r="B99" s="2">
        <f>IFERROR(__xludf.DUMMYFUNCTION("""COMPUTED_VALUE"""),708.05)</f>
        <v>708.05</v>
      </c>
      <c r="C99" s="2">
        <f>IFERROR(__xludf.DUMMYFUNCTION("""COMPUTED_VALUE"""),727.99)</f>
        <v>727.99</v>
      </c>
      <c r="D99" s="2">
        <f>IFERROR(__xludf.DUMMYFUNCTION("""COMPUTED_VALUE"""),708.05)</f>
        <v>708.05</v>
      </c>
      <c r="E99" s="2">
        <f>IFERROR(__xludf.DUMMYFUNCTION("""COMPUTED_VALUE"""),723.01)</f>
        <v>723.01</v>
      </c>
      <c r="F99" s="2">
        <f>IFERROR(__xludf.DUMMYFUNCTION("""COMPUTED_VALUE"""),4125500.0)</f>
        <v>4125500</v>
      </c>
      <c r="G99" s="2">
        <f t="shared" si="1"/>
        <v>24.93</v>
      </c>
    </row>
    <row r="100" ht="15.75" customHeight="1">
      <c r="A100" s="1">
        <f>IFERROR(__xludf.DUMMYFUNCTION("""COMPUTED_VALUE"""),43979.66666666667)</f>
        <v>43979.66667</v>
      </c>
      <c r="B100" s="2">
        <f>IFERROR(__xludf.DUMMYFUNCTION("""COMPUTED_VALUE"""),727.99)</f>
        <v>727.99</v>
      </c>
      <c r="C100" s="2">
        <f>IFERROR(__xludf.DUMMYFUNCTION("""COMPUTED_VALUE"""),752.92)</f>
        <v>752.92</v>
      </c>
      <c r="D100" s="2">
        <f>IFERROR(__xludf.DUMMYFUNCTION("""COMPUTED_VALUE"""),727.99)</f>
        <v>727.99</v>
      </c>
      <c r="E100" s="2">
        <f>IFERROR(__xludf.DUMMYFUNCTION("""COMPUTED_VALUE"""),732.98)</f>
        <v>732.98</v>
      </c>
      <c r="F100" s="2">
        <f>IFERROR(__xludf.DUMMYFUNCTION("""COMPUTED_VALUE"""),5665300.0)</f>
        <v>5665300</v>
      </c>
      <c r="G100" s="2">
        <f t="shared" si="1"/>
        <v>29.91</v>
      </c>
    </row>
    <row r="101" ht="15.75" customHeight="1">
      <c r="A101" s="1">
        <f>IFERROR(__xludf.DUMMYFUNCTION("""COMPUTED_VALUE"""),43980.66666666667)</f>
        <v>43980.66667</v>
      </c>
      <c r="B101" s="2">
        <f>IFERROR(__xludf.DUMMYFUNCTION("""COMPUTED_VALUE"""),737.96)</f>
        <v>737.96</v>
      </c>
      <c r="C101" s="2">
        <f>IFERROR(__xludf.DUMMYFUNCTION("""COMPUTED_VALUE"""),757.91)</f>
        <v>757.91</v>
      </c>
      <c r="D101" s="2">
        <f>IFERROR(__xludf.DUMMYFUNCTION("""COMPUTED_VALUE"""),718.02)</f>
        <v>718.02</v>
      </c>
      <c r="E101" s="2">
        <f>IFERROR(__xludf.DUMMYFUNCTION("""COMPUTED_VALUE"""),757.91)</f>
        <v>757.91</v>
      </c>
      <c r="F101" s="2">
        <f>IFERROR(__xludf.DUMMYFUNCTION("""COMPUTED_VALUE"""),5003500.0)</f>
        <v>5003500</v>
      </c>
      <c r="G101" s="2">
        <f t="shared" si="1"/>
        <v>39.89</v>
      </c>
    </row>
    <row r="102" ht="15.75" customHeight="1">
      <c r="A102" s="1">
        <f>IFERROR(__xludf.DUMMYFUNCTION("""COMPUTED_VALUE"""),43984.66666666667)</f>
        <v>43984.66667</v>
      </c>
      <c r="B102" s="2">
        <f>IFERROR(__xludf.DUMMYFUNCTION("""COMPUTED_VALUE"""),747.94)</f>
        <v>747.94</v>
      </c>
      <c r="C102" s="2">
        <f>IFERROR(__xludf.DUMMYFUNCTION("""COMPUTED_VALUE"""),782.84)</f>
        <v>782.84</v>
      </c>
      <c r="D102" s="2">
        <f>IFERROR(__xludf.DUMMYFUNCTION("""COMPUTED_VALUE"""),747.94)</f>
        <v>747.94</v>
      </c>
      <c r="E102" s="2">
        <f>IFERROR(__xludf.DUMMYFUNCTION("""COMPUTED_VALUE"""),772.87)</f>
        <v>772.87</v>
      </c>
      <c r="F102" s="2">
        <f>IFERROR(__xludf.DUMMYFUNCTION("""COMPUTED_VALUE"""),1.10647E7)</f>
        <v>11064700</v>
      </c>
      <c r="G102" s="2">
        <f t="shared" si="1"/>
        <v>34.9</v>
      </c>
    </row>
    <row r="103" ht="15.75" customHeight="1">
      <c r="A103" s="1">
        <f>IFERROR(__xludf.DUMMYFUNCTION("""COMPUTED_VALUE"""),43985.66666666667)</f>
        <v>43985.66667</v>
      </c>
      <c r="B103" s="2">
        <f>IFERROR(__xludf.DUMMYFUNCTION("""COMPUTED_VALUE"""),782.84)</f>
        <v>782.84</v>
      </c>
      <c r="C103" s="2">
        <f>IFERROR(__xludf.DUMMYFUNCTION("""COMPUTED_VALUE"""),807.77)</f>
        <v>807.77</v>
      </c>
      <c r="D103" s="2">
        <f>IFERROR(__xludf.DUMMYFUNCTION("""COMPUTED_VALUE"""),767.88)</f>
        <v>767.88</v>
      </c>
      <c r="E103" s="2">
        <f>IFERROR(__xludf.DUMMYFUNCTION("""COMPUTED_VALUE"""),787.83)</f>
        <v>787.83</v>
      </c>
      <c r="F103" s="2">
        <f>IFERROR(__xludf.DUMMYFUNCTION("""COMPUTED_VALUE"""),1.29044E7)</f>
        <v>12904400</v>
      </c>
      <c r="G103" s="2">
        <f t="shared" si="1"/>
        <v>39.89</v>
      </c>
    </row>
    <row r="104" ht="15.75" customHeight="1">
      <c r="A104" s="1">
        <f>IFERROR(__xludf.DUMMYFUNCTION("""COMPUTED_VALUE"""),43986.66666666667)</f>
        <v>43986.66667</v>
      </c>
      <c r="B104" s="2">
        <f>IFERROR(__xludf.DUMMYFUNCTION("""COMPUTED_VALUE"""),797.8)</f>
        <v>797.8</v>
      </c>
      <c r="C104" s="2">
        <f>IFERROR(__xludf.DUMMYFUNCTION("""COMPUTED_VALUE"""),812.76)</f>
        <v>812.76</v>
      </c>
      <c r="D104" s="2">
        <f>IFERROR(__xludf.DUMMYFUNCTION("""COMPUTED_VALUE"""),777.85)</f>
        <v>777.85</v>
      </c>
      <c r="E104" s="2">
        <f>IFERROR(__xludf.DUMMYFUNCTION("""COMPUTED_VALUE"""),777.85)</f>
        <v>777.85</v>
      </c>
      <c r="F104" s="2">
        <f>IFERROR(__xludf.DUMMYFUNCTION("""COMPUTED_VALUE"""),9260700.0)</f>
        <v>9260700</v>
      </c>
      <c r="G104" s="2">
        <f t="shared" si="1"/>
        <v>34.91</v>
      </c>
    </row>
    <row r="105" ht="15.75" customHeight="1">
      <c r="A105" s="1">
        <f>IFERROR(__xludf.DUMMYFUNCTION("""COMPUTED_VALUE"""),43987.66666666667)</f>
        <v>43987.66667</v>
      </c>
      <c r="B105" s="2">
        <f>IFERROR(__xludf.DUMMYFUNCTION("""COMPUTED_VALUE"""),777.85)</f>
        <v>777.85</v>
      </c>
      <c r="C105" s="2">
        <f>IFERROR(__xludf.DUMMYFUNCTION("""COMPUTED_VALUE"""),797.8)</f>
        <v>797.8</v>
      </c>
      <c r="D105" s="2">
        <f>IFERROR(__xludf.DUMMYFUNCTION("""COMPUTED_VALUE"""),767.88)</f>
        <v>767.88</v>
      </c>
      <c r="E105" s="2">
        <f>IFERROR(__xludf.DUMMYFUNCTION("""COMPUTED_VALUE"""),792.81)</f>
        <v>792.81</v>
      </c>
      <c r="F105" s="2">
        <f>IFERROR(__xludf.DUMMYFUNCTION("""COMPUTED_VALUE"""),4315100.0)</f>
        <v>4315100</v>
      </c>
      <c r="G105" s="2">
        <f t="shared" si="1"/>
        <v>29.92</v>
      </c>
    </row>
    <row r="106" ht="15.75" customHeight="1">
      <c r="A106" s="1">
        <f>IFERROR(__xludf.DUMMYFUNCTION("""COMPUTED_VALUE"""),43990.66666666667)</f>
        <v>43990.66667</v>
      </c>
      <c r="B106" s="2">
        <f>IFERROR(__xludf.DUMMYFUNCTION("""COMPUTED_VALUE"""),802.79)</f>
        <v>802.79</v>
      </c>
      <c r="C106" s="2">
        <f>IFERROR(__xludf.DUMMYFUNCTION("""COMPUTED_VALUE"""),837.69)</f>
        <v>837.69</v>
      </c>
      <c r="D106" s="2">
        <f>IFERROR(__xludf.DUMMYFUNCTION("""COMPUTED_VALUE"""),797.8)</f>
        <v>797.8</v>
      </c>
      <c r="E106" s="2">
        <f>IFERROR(__xludf.DUMMYFUNCTION("""COMPUTED_VALUE"""),827.72)</f>
        <v>827.72</v>
      </c>
      <c r="F106" s="2">
        <f>IFERROR(__xludf.DUMMYFUNCTION("""COMPUTED_VALUE"""),1.9208E7)</f>
        <v>19208000</v>
      </c>
      <c r="G106" s="2">
        <f t="shared" si="1"/>
        <v>44.88</v>
      </c>
    </row>
    <row r="107" ht="15.75" customHeight="1">
      <c r="A107" s="1">
        <f>IFERROR(__xludf.DUMMYFUNCTION("""COMPUTED_VALUE"""),43991.66666666667)</f>
        <v>43991.66667</v>
      </c>
      <c r="B107" s="2">
        <f>IFERROR(__xludf.DUMMYFUNCTION("""COMPUTED_VALUE"""),832.7)</f>
        <v>832.7</v>
      </c>
      <c r="C107" s="2">
        <f>IFERROR(__xludf.DUMMYFUNCTION("""COMPUTED_VALUE"""),857.63)</f>
        <v>857.63</v>
      </c>
      <c r="D107" s="2">
        <f>IFERROR(__xludf.DUMMYFUNCTION("""COMPUTED_VALUE"""),802.79)</f>
        <v>802.79</v>
      </c>
      <c r="E107" s="2">
        <f>IFERROR(__xludf.DUMMYFUNCTION("""COMPUTED_VALUE"""),807.77)</f>
        <v>807.77</v>
      </c>
      <c r="F107" s="2">
        <f>IFERROR(__xludf.DUMMYFUNCTION("""COMPUTED_VALUE"""),1.26966E7)</f>
        <v>12696600</v>
      </c>
      <c r="G107" s="2">
        <f t="shared" si="1"/>
        <v>54.84</v>
      </c>
    </row>
    <row r="108" ht="15.75" customHeight="1">
      <c r="A108" s="1">
        <f>IFERROR(__xludf.DUMMYFUNCTION("""COMPUTED_VALUE"""),43992.66666666667)</f>
        <v>43992.66667</v>
      </c>
      <c r="B108" s="2">
        <f>IFERROR(__xludf.DUMMYFUNCTION("""COMPUTED_VALUE"""),807.77)</f>
        <v>807.77</v>
      </c>
      <c r="C108" s="2">
        <f>IFERROR(__xludf.DUMMYFUNCTION("""COMPUTED_VALUE"""),812.76)</f>
        <v>812.76</v>
      </c>
      <c r="D108" s="2">
        <f>IFERROR(__xludf.DUMMYFUNCTION("""COMPUTED_VALUE"""),777.85)</f>
        <v>777.85</v>
      </c>
      <c r="E108" s="2">
        <f>IFERROR(__xludf.DUMMYFUNCTION("""COMPUTED_VALUE"""),787.83)</f>
        <v>787.83</v>
      </c>
      <c r="F108" s="2">
        <f>IFERROR(__xludf.DUMMYFUNCTION("""COMPUTED_VALUE"""),7991000.0)</f>
        <v>7991000</v>
      </c>
      <c r="G108" s="2">
        <f t="shared" si="1"/>
        <v>34.91</v>
      </c>
    </row>
    <row r="109" ht="15.75" customHeight="1">
      <c r="A109" s="1">
        <f>IFERROR(__xludf.DUMMYFUNCTION("""COMPUTED_VALUE"""),43993.66666666667)</f>
        <v>43993.66667</v>
      </c>
      <c r="B109" s="2">
        <f>IFERROR(__xludf.DUMMYFUNCTION("""COMPUTED_VALUE"""),787.83)</f>
        <v>787.83</v>
      </c>
      <c r="C109" s="2">
        <f>IFERROR(__xludf.DUMMYFUNCTION("""COMPUTED_VALUE"""),787.83)</f>
        <v>787.83</v>
      </c>
      <c r="D109" s="2">
        <f>IFERROR(__xludf.DUMMYFUNCTION("""COMPUTED_VALUE"""),762.9)</f>
        <v>762.9</v>
      </c>
      <c r="E109" s="2">
        <f>IFERROR(__xludf.DUMMYFUNCTION("""COMPUTED_VALUE"""),772.87)</f>
        <v>772.87</v>
      </c>
      <c r="F109" s="2">
        <f>IFERROR(__xludf.DUMMYFUNCTION("""COMPUTED_VALUE"""),4978700.0)</f>
        <v>4978700</v>
      </c>
      <c r="G109" s="2">
        <f t="shared" si="1"/>
        <v>24.93</v>
      </c>
    </row>
    <row r="110" ht="15.75" customHeight="1">
      <c r="A110" s="1">
        <f>IFERROR(__xludf.DUMMYFUNCTION("""COMPUTED_VALUE"""),43994.66666666667)</f>
        <v>43994.66667</v>
      </c>
      <c r="B110" s="2">
        <f>IFERROR(__xludf.DUMMYFUNCTION("""COMPUTED_VALUE"""),747.94)</f>
        <v>747.94</v>
      </c>
      <c r="C110" s="2">
        <f>IFERROR(__xludf.DUMMYFUNCTION("""COMPUTED_VALUE"""),797.8)</f>
        <v>797.8</v>
      </c>
      <c r="D110" s="2">
        <f>IFERROR(__xludf.DUMMYFUNCTION("""COMPUTED_VALUE"""),723.01)</f>
        <v>723.01</v>
      </c>
      <c r="E110" s="2">
        <f>IFERROR(__xludf.DUMMYFUNCTION("""COMPUTED_VALUE"""),782.84)</f>
        <v>782.84</v>
      </c>
      <c r="F110" s="2">
        <f>IFERROR(__xludf.DUMMYFUNCTION("""COMPUTED_VALUE"""),7700100.0)</f>
        <v>7700100</v>
      </c>
      <c r="G110" s="2">
        <f t="shared" si="1"/>
        <v>74.79</v>
      </c>
    </row>
    <row r="111" ht="15.75" customHeight="1">
      <c r="A111" s="1">
        <f>IFERROR(__xludf.DUMMYFUNCTION("""COMPUTED_VALUE"""),43997.66666666667)</f>
        <v>43997.66667</v>
      </c>
      <c r="B111" s="2">
        <f>IFERROR(__xludf.DUMMYFUNCTION("""COMPUTED_VALUE"""),782.84)</f>
        <v>782.84</v>
      </c>
      <c r="C111" s="2">
        <f>IFERROR(__xludf.DUMMYFUNCTION("""COMPUTED_VALUE"""),797.8)</f>
        <v>797.8</v>
      </c>
      <c r="D111" s="2">
        <f>IFERROR(__xludf.DUMMYFUNCTION("""COMPUTED_VALUE"""),762.9)</f>
        <v>762.9</v>
      </c>
      <c r="E111" s="2">
        <f>IFERROR(__xludf.DUMMYFUNCTION("""COMPUTED_VALUE"""),772.87)</f>
        <v>772.87</v>
      </c>
      <c r="F111" s="2">
        <f>IFERROR(__xludf.DUMMYFUNCTION("""COMPUTED_VALUE"""),5291700.0)</f>
        <v>5291700</v>
      </c>
      <c r="G111" s="2">
        <f t="shared" si="1"/>
        <v>34.9</v>
      </c>
    </row>
    <row r="112" ht="15.75" customHeight="1">
      <c r="A112" s="1">
        <f>IFERROR(__xludf.DUMMYFUNCTION("""COMPUTED_VALUE"""),43998.66666666667)</f>
        <v>43998.66667</v>
      </c>
      <c r="B112" s="2">
        <f>IFERROR(__xludf.DUMMYFUNCTION("""COMPUTED_VALUE"""),782.84)</f>
        <v>782.84</v>
      </c>
      <c r="C112" s="2">
        <f>IFERROR(__xludf.DUMMYFUNCTION("""COMPUTED_VALUE"""),802.79)</f>
        <v>802.79</v>
      </c>
      <c r="D112" s="2">
        <f>IFERROR(__xludf.DUMMYFUNCTION("""COMPUTED_VALUE"""),772.87)</f>
        <v>772.87</v>
      </c>
      <c r="E112" s="2">
        <f>IFERROR(__xludf.DUMMYFUNCTION("""COMPUTED_VALUE"""),792.81)</f>
        <v>792.81</v>
      </c>
      <c r="F112" s="2">
        <f>IFERROR(__xludf.DUMMYFUNCTION("""COMPUTED_VALUE"""),7521700.0)</f>
        <v>7521700</v>
      </c>
      <c r="G112" s="2">
        <f t="shared" si="1"/>
        <v>29.92</v>
      </c>
    </row>
    <row r="113" ht="15.75" customHeight="1">
      <c r="A113" s="1">
        <f>IFERROR(__xludf.DUMMYFUNCTION("""COMPUTED_VALUE"""),43999.66666666667)</f>
        <v>43999.66667</v>
      </c>
      <c r="B113" s="2">
        <f>IFERROR(__xludf.DUMMYFUNCTION("""COMPUTED_VALUE"""),797.8)</f>
        <v>797.8</v>
      </c>
      <c r="C113" s="2">
        <f>IFERROR(__xludf.DUMMYFUNCTION("""COMPUTED_VALUE"""),802.79)</f>
        <v>802.79</v>
      </c>
      <c r="D113" s="2">
        <f>IFERROR(__xludf.DUMMYFUNCTION("""COMPUTED_VALUE"""),787.83)</f>
        <v>787.83</v>
      </c>
      <c r="E113" s="2">
        <f>IFERROR(__xludf.DUMMYFUNCTION("""COMPUTED_VALUE"""),792.81)</f>
        <v>792.81</v>
      </c>
      <c r="F113" s="2">
        <f>IFERROR(__xludf.DUMMYFUNCTION("""COMPUTED_VALUE"""),4080800.0)</f>
        <v>4080800</v>
      </c>
      <c r="G113" s="2">
        <f t="shared" si="1"/>
        <v>14.96</v>
      </c>
    </row>
    <row r="114" ht="15.75" customHeight="1">
      <c r="A114" s="1">
        <f>IFERROR(__xludf.DUMMYFUNCTION("""COMPUTED_VALUE"""),44000.66666666667)</f>
        <v>44000.66667</v>
      </c>
      <c r="B114" s="2">
        <f>IFERROR(__xludf.DUMMYFUNCTION("""COMPUTED_VALUE"""),792.81)</f>
        <v>792.81</v>
      </c>
      <c r="C114" s="2">
        <f>IFERROR(__xludf.DUMMYFUNCTION("""COMPUTED_VALUE"""),797.8)</f>
        <v>797.8</v>
      </c>
      <c r="D114" s="2">
        <f>IFERROR(__xludf.DUMMYFUNCTION("""COMPUTED_VALUE"""),787.83)</f>
        <v>787.83</v>
      </c>
      <c r="E114" s="2">
        <f>IFERROR(__xludf.DUMMYFUNCTION("""COMPUTED_VALUE"""),792.81)</f>
        <v>792.81</v>
      </c>
      <c r="F114" s="2">
        <f>IFERROR(__xludf.DUMMYFUNCTION("""COMPUTED_VALUE"""),3045800.0)</f>
        <v>3045800</v>
      </c>
      <c r="G114" s="2">
        <f t="shared" si="1"/>
        <v>9.97</v>
      </c>
    </row>
    <row r="115" ht="15.75" customHeight="1">
      <c r="A115" s="1">
        <f>IFERROR(__xludf.DUMMYFUNCTION("""COMPUTED_VALUE"""),44001.66666666667)</f>
        <v>44001.66667</v>
      </c>
      <c r="B115" s="2">
        <f>IFERROR(__xludf.DUMMYFUNCTION("""COMPUTED_VALUE"""),792.81)</f>
        <v>792.81</v>
      </c>
      <c r="C115" s="2">
        <f>IFERROR(__xludf.DUMMYFUNCTION("""COMPUTED_VALUE"""),792.81)</f>
        <v>792.81</v>
      </c>
      <c r="D115" s="2">
        <f>IFERROR(__xludf.DUMMYFUNCTION("""COMPUTED_VALUE"""),772.87)</f>
        <v>772.87</v>
      </c>
      <c r="E115" s="2">
        <f>IFERROR(__xludf.DUMMYFUNCTION("""COMPUTED_VALUE"""),772.87)</f>
        <v>772.87</v>
      </c>
      <c r="F115" s="2">
        <f>IFERROR(__xludf.DUMMYFUNCTION("""COMPUTED_VALUE"""),3531300.0)</f>
        <v>3531300</v>
      </c>
      <c r="G115" s="2">
        <f t="shared" si="1"/>
        <v>19.94</v>
      </c>
    </row>
    <row r="116" ht="15.75" customHeight="1">
      <c r="A116" s="1">
        <f>IFERROR(__xludf.DUMMYFUNCTION("""COMPUTED_VALUE"""),44004.66666666667)</f>
        <v>44004.66667</v>
      </c>
      <c r="B116" s="2">
        <f>IFERROR(__xludf.DUMMYFUNCTION("""COMPUTED_VALUE"""),772.87)</f>
        <v>772.87</v>
      </c>
      <c r="C116" s="2">
        <f>IFERROR(__xludf.DUMMYFUNCTION("""COMPUTED_VALUE"""),787.83)</f>
        <v>787.83</v>
      </c>
      <c r="D116" s="2">
        <f>IFERROR(__xludf.DUMMYFUNCTION("""COMPUTED_VALUE"""),767.88)</f>
        <v>767.88</v>
      </c>
      <c r="E116" s="2">
        <f>IFERROR(__xludf.DUMMYFUNCTION("""COMPUTED_VALUE"""),772.87)</f>
        <v>772.87</v>
      </c>
      <c r="F116" s="2">
        <f>IFERROR(__xludf.DUMMYFUNCTION("""COMPUTED_VALUE"""),2263400.0)</f>
        <v>2263400</v>
      </c>
      <c r="G116" s="2">
        <f t="shared" si="1"/>
        <v>19.95</v>
      </c>
    </row>
    <row r="117" ht="15.75" customHeight="1">
      <c r="A117" s="1">
        <f>IFERROR(__xludf.DUMMYFUNCTION("""COMPUTED_VALUE"""),44005.66666666667)</f>
        <v>44005.66667</v>
      </c>
      <c r="B117" s="2">
        <f>IFERROR(__xludf.DUMMYFUNCTION("""COMPUTED_VALUE"""),772.87)</f>
        <v>772.87</v>
      </c>
      <c r="C117" s="2">
        <f>IFERROR(__xludf.DUMMYFUNCTION("""COMPUTED_VALUE"""),777.85)</f>
        <v>777.85</v>
      </c>
      <c r="D117" s="2">
        <f>IFERROR(__xludf.DUMMYFUNCTION("""COMPUTED_VALUE"""),762.9)</f>
        <v>762.9</v>
      </c>
      <c r="E117" s="2">
        <f>IFERROR(__xludf.DUMMYFUNCTION("""COMPUTED_VALUE"""),772.87)</f>
        <v>772.87</v>
      </c>
      <c r="F117" s="2">
        <f>IFERROR(__xludf.DUMMYFUNCTION("""COMPUTED_VALUE"""),4211700.0)</f>
        <v>4211700</v>
      </c>
      <c r="G117" s="2">
        <f t="shared" si="1"/>
        <v>14.95</v>
      </c>
    </row>
    <row r="118" ht="15.75" customHeight="1">
      <c r="A118" s="1">
        <f>IFERROR(__xludf.DUMMYFUNCTION("""COMPUTED_VALUE"""),44006.66666666667)</f>
        <v>44006.66667</v>
      </c>
      <c r="B118" s="2">
        <f>IFERROR(__xludf.DUMMYFUNCTION("""COMPUTED_VALUE"""),772.87)</f>
        <v>772.87</v>
      </c>
      <c r="C118" s="2">
        <f>IFERROR(__xludf.DUMMYFUNCTION("""COMPUTED_VALUE"""),812.76)</f>
        <v>812.76</v>
      </c>
      <c r="D118" s="2">
        <f>IFERROR(__xludf.DUMMYFUNCTION("""COMPUTED_VALUE"""),767.88)</f>
        <v>767.88</v>
      </c>
      <c r="E118" s="2">
        <f>IFERROR(__xludf.DUMMYFUNCTION("""COMPUTED_VALUE"""),777.85)</f>
        <v>777.85</v>
      </c>
      <c r="F118" s="2">
        <f>IFERROR(__xludf.DUMMYFUNCTION("""COMPUTED_VALUE"""),1.40853E7)</f>
        <v>14085300</v>
      </c>
      <c r="G118" s="2">
        <f t="shared" si="1"/>
        <v>44.88</v>
      </c>
    </row>
    <row r="119" ht="15.75" customHeight="1">
      <c r="A119" s="1">
        <f>IFERROR(__xludf.DUMMYFUNCTION("""COMPUTED_VALUE"""),44007.66666666667)</f>
        <v>44007.66667</v>
      </c>
      <c r="B119" s="2">
        <f>IFERROR(__xludf.DUMMYFUNCTION("""COMPUTED_VALUE"""),767.88)</f>
        <v>767.88</v>
      </c>
      <c r="C119" s="2">
        <f>IFERROR(__xludf.DUMMYFUNCTION("""COMPUTED_VALUE"""),782.84)</f>
        <v>782.84</v>
      </c>
      <c r="D119" s="2">
        <f>IFERROR(__xludf.DUMMYFUNCTION("""COMPUTED_VALUE"""),762.9)</f>
        <v>762.9</v>
      </c>
      <c r="E119" s="2">
        <f>IFERROR(__xludf.DUMMYFUNCTION("""COMPUTED_VALUE"""),767.88)</f>
        <v>767.88</v>
      </c>
      <c r="F119" s="2">
        <f>IFERROR(__xludf.DUMMYFUNCTION("""COMPUTED_VALUE"""),5163800.0)</f>
        <v>5163800</v>
      </c>
      <c r="G119" s="2">
        <f t="shared" si="1"/>
        <v>19.94</v>
      </c>
    </row>
    <row r="120" ht="15.75" customHeight="1">
      <c r="A120" s="1">
        <f>IFERROR(__xludf.DUMMYFUNCTION("""COMPUTED_VALUE"""),44008.66666666667)</f>
        <v>44008.66667</v>
      </c>
      <c r="B120" s="2">
        <f>IFERROR(__xludf.DUMMYFUNCTION("""COMPUTED_VALUE"""),772.87)</f>
        <v>772.87</v>
      </c>
      <c r="C120" s="2">
        <f>IFERROR(__xludf.DUMMYFUNCTION("""COMPUTED_VALUE"""),782.84)</f>
        <v>782.84</v>
      </c>
      <c r="D120" s="2">
        <f>IFERROR(__xludf.DUMMYFUNCTION("""COMPUTED_VALUE"""),752.92)</f>
        <v>752.92</v>
      </c>
      <c r="E120" s="2">
        <f>IFERROR(__xludf.DUMMYFUNCTION("""COMPUTED_VALUE"""),752.92)</f>
        <v>752.92</v>
      </c>
      <c r="F120" s="2">
        <f>IFERROR(__xludf.DUMMYFUNCTION("""COMPUTED_VALUE"""),3973100.0)</f>
        <v>3973100</v>
      </c>
      <c r="G120" s="2">
        <f t="shared" si="1"/>
        <v>29.92</v>
      </c>
    </row>
    <row r="121" ht="15.75" customHeight="1">
      <c r="A121" s="1">
        <f>IFERROR(__xludf.DUMMYFUNCTION("""COMPUTED_VALUE"""),44011.66666666667)</f>
        <v>44011.66667</v>
      </c>
      <c r="B121" s="2">
        <f>IFERROR(__xludf.DUMMYFUNCTION("""COMPUTED_VALUE"""),762.9)</f>
        <v>762.9</v>
      </c>
      <c r="C121" s="2">
        <f>IFERROR(__xludf.DUMMYFUNCTION("""COMPUTED_VALUE"""),762.9)</f>
        <v>762.9</v>
      </c>
      <c r="D121" s="2">
        <f>IFERROR(__xludf.DUMMYFUNCTION("""COMPUTED_VALUE"""),752.92)</f>
        <v>752.92</v>
      </c>
      <c r="E121" s="2">
        <f>IFERROR(__xludf.DUMMYFUNCTION("""COMPUTED_VALUE"""),757.91)</f>
        <v>757.91</v>
      </c>
      <c r="F121" s="2">
        <f>IFERROR(__xludf.DUMMYFUNCTION("""COMPUTED_VALUE"""),2439400.0)</f>
        <v>2439400</v>
      </c>
      <c r="G121" s="2">
        <f t="shared" si="1"/>
        <v>9.98</v>
      </c>
    </row>
    <row r="122" ht="15.75" customHeight="1">
      <c r="A122" s="1">
        <f>IFERROR(__xludf.DUMMYFUNCTION("""COMPUTED_VALUE"""),44012.66666666667)</f>
        <v>44012.66667</v>
      </c>
      <c r="B122" s="2">
        <f>IFERROR(__xludf.DUMMYFUNCTION("""COMPUTED_VALUE"""),767.88)</f>
        <v>767.88</v>
      </c>
      <c r="C122" s="2">
        <f>IFERROR(__xludf.DUMMYFUNCTION("""COMPUTED_VALUE"""),772.87)</f>
        <v>772.87</v>
      </c>
      <c r="D122" s="2">
        <f>IFERROR(__xludf.DUMMYFUNCTION("""COMPUTED_VALUE"""),757.91)</f>
        <v>757.91</v>
      </c>
      <c r="E122" s="2">
        <f>IFERROR(__xludf.DUMMYFUNCTION("""COMPUTED_VALUE"""),757.91)</f>
        <v>757.91</v>
      </c>
      <c r="F122" s="2">
        <f>IFERROR(__xludf.DUMMYFUNCTION("""COMPUTED_VALUE"""),2595300.0)</f>
        <v>2595300</v>
      </c>
      <c r="G122" s="2">
        <f t="shared" si="1"/>
        <v>14.96</v>
      </c>
    </row>
    <row r="123" ht="15.75" customHeight="1">
      <c r="A123" s="1">
        <f>IFERROR(__xludf.DUMMYFUNCTION("""COMPUTED_VALUE"""),44013.66666666667)</f>
        <v>44013.66667</v>
      </c>
      <c r="B123" s="2">
        <f>IFERROR(__xludf.DUMMYFUNCTION("""COMPUTED_VALUE"""),762.9)</f>
        <v>762.9</v>
      </c>
      <c r="C123" s="2">
        <f>IFERROR(__xludf.DUMMYFUNCTION("""COMPUTED_VALUE"""),767.88)</f>
        <v>767.88</v>
      </c>
      <c r="D123" s="2">
        <f>IFERROR(__xludf.DUMMYFUNCTION("""COMPUTED_VALUE"""),752.92)</f>
        <v>752.92</v>
      </c>
      <c r="E123" s="2">
        <f>IFERROR(__xludf.DUMMYFUNCTION("""COMPUTED_VALUE"""),762.9)</f>
        <v>762.9</v>
      </c>
      <c r="F123" s="2">
        <f>IFERROR(__xludf.DUMMYFUNCTION("""COMPUTED_VALUE"""),1940500.0)</f>
        <v>1940500</v>
      </c>
      <c r="G123" s="2">
        <f t="shared" si="1"/>
        <v>14.96</v>
      </c>
    </row>
    <row r="124" ht="15.75" customHeight="1">
      <c r="A124" s="1">
        <f>IFERROR(__xludf.DUMMYFUNCTION("""COMPUTED_VALUE"""),44014.66666666667)</f>
        <v>44014.66667</v>
      </c>
      <c r="B124" s="2">
        <f>IFERROR(__xludf.DUMMYFUNCTION("""COMPUTED_VALUE"""),767.88)</f>
        <v>767.88</v>
      </c>
      <c r="C124" s="2">
        <f>IFERROR(__xludf.DUMMYFUNCTION("""COMPUTED_VALUE"""),767.88)</f>
        <v>767.88</v>
      </c>
      <c r="D124" s="2">
        <f>IFERROR(__xludf.DUMMYFUNCTION("""COMPUTED_VALUE"""),762.9)</f>
        <v>762.9</v>
      </c>
      <c r="E124" s="2">
        <f>IFERROR(__xludf.DUMMYFUNCTION("""COMPUTED_VALUE"""),762.9)</f>
        <v>762.9</v>
      </c>
      <c r="F124" s="2">
        <f>IFERROR(__xludf.DUMMYFUNCTION("""COMPUTED_VALUE"""),1872000.0)</f>
        <v>1872000</v>
      </c>
      <c r="G124" s="2">
        <f t="shared" si="1"/>
        <v>4.98</v>
      </c>
    </row>
    <row r="125" ht="15.75" customHeight="1">
      <c r="A125" s="1">
        <f>IFERROR(__xludf.DUMMYFUNCTION("""COMPUTED_VALUE"""),44015.66666666667)</f>
        <v>44015.66667</v>
      </c>
      <c r="B125" s="2">
        <f>IFERROR(__xludf.DUMMYFUNCTION("""COMPUTED_VALUE"""),767.88)</f>
        <v>767.88</v>
      </c>
      <c r="C125" s="2">
        <f>IFERROR(__xludf.DUMMYFUNCTION("""COMPUTED_VALUE"""),867.61)</f>
        <v>867.61</v>
      </c>
      <c r="D125" s="2">
        <f>IFERROR(__xludf.DUMMYFUNCTION("""COMPUTED_VALUE"""),752.92)</f>
        <v>752.92</v>
      </c>
      <c r="E125" s="2">
        <f>IFERROR(__xludf.DUMMYFUNCTION("""COMPUTED_VALUE"""),842.68)</f>
        <v>842.68</v>
      </c>
      <c r="F125" s="2">
        <f>IFERROR(__xludf.DUMMYFUNCTION("""COMPUTED_VALUE"""),7.57257E7)</f>
        <v>75725700</v>
      </c>
      <c r="G125" s="2">
        <f t="shared" si="1"/>
        <v>114.69</v>
      </c>
    </row>
    <row r="126" ht="15.75" customHeight="1">
      <c r="A126" s="1">
        <f>IFERROR(__xludf.DUMMYFUNCTION("""COMPUTED_VALUE"""),44018.66666666667)</f>
        <v>44018.66667</v>
      </c>
      <c r="B126" s="2">
        <f>IFERROR(__xludf.DUMMYFUNCTION("""COMPUTED_VALUE"""),837.69)</f>
        <v>837.69</v>
      </c>
      <c r="C126" s="2">
        <f>IFERROR(__xludf.DUMMYFUNCTION("""COMPUTED_VALUE"""),857.63)</f>
        <v>857.63</v>
      </c>
      <c r="D126" s="2">
        <f>IFERROR(__xludf.DUMMYFUNCTION("""COMPUTED_VALUE"""),807.77)</f>
        <v>807.77</v>
      </c>
      <c r="E126" s="2">
        <f>IFERROR(__xludf.DUMMYFUNCTION("""COMPUTED_VALUE"""),817.74)</f>
        <v>817.74</v>
      </c>
      <c r="F126" s="2">
        <f>IFERROR(__xludf.DUMMYFUNCTION("""COMPUTED_VALUE"""),2.84821E7)</f>
        <v>28482100</v>
      </c>
      <c r="G126" s="2">
        <f t="shared" si="1"/>
        <v>49.86</v>
      </c>
    </row>
    <row r="127" ht="15.75" customHeight="1">
      <c r="A127" s="1">
        <f>IFERROR(__xludf.DUMMYFUNCTION("""COMPUTED_VALUE"""),44019.66666666667)</f>
        <v>44019.66667</v>
      </c>
      <c r="B127" s="2">
        <f>IFERROR(__xludf.DUMMYFUNCTION("""COMPUTED_VALUE"""),822.73)</f>
        <v>822.73</v>
      </c>
      <c r="C127" s="2">
        <f>IFERROR(__xludf.DUMMYFUNCTION("""COMPUTED_VALUE"""),877.58)</f>
        <v>877.58</v>
      </c>
      <c r="D127" s="2">
        <f>IFERROR(__xludf.DUMMYFUNCTION("""COMPUTED_VALUE"""),817.74)</f>
        <v>817.74</v>
      </c>
      <c r="E127" s="2">
        <f>IFERROR(__xludf.DUMMYFUNCTION("""COMPUTED_VALUE"""),872.59)</f>
        <v>872.59</v>
      </c>
      <c r="F127" s="2">
        <f>IFERROR(__xludf.DUMMYFUNCTION("""COMPUTED_VALUE"""),7.41525E7)</f>
        <v>74152500</v>
      </c>
      <c r="G127" s="2">
        <f t="shared" si="1"/>
        <v>59.84</v>
      </c>
    </row>
    <row r="128" ht="15.75" customHeight="1">
      <c r="A128" s="1">
        <f>IFERROR(__xludf.DUMMYFUNCTION("""COMPUTED_VALUE"""),44020.66666666667)</f>
        <v>44020.66667</v>
      </c>
      <c r="B128" s="2">
        <f>IFERROR(__xludf.DUMMYFUNCTION("""COMPUTED_VALUE"""),882.57)</f>
        <v>882.57</v>
      </c>
      <c r="C128" s="2">
        <f>IFERROR(__xludf.DUMMYFUNCTION("""COMPUTED_VALUE"""),917.47)</f>
        <v>917.47</v>
      </c>
      <c r="D128" s="2">
        <f>IFERROR(__xludf.DUMMYFUNCTION("""COMPUTED_VALUE"""),882.57)</f>
        <v>882.57</v>
      </c>
      <c r="E128" s="2">
        <f>IFERROR(__xludf.DUMMYFUNCTION("""COMPUTED_VALUE"""),892.54)</f>
        <v>892.54</v>
      </c>
      <c r="F128" s="2">
        <f>IFERROR(__xludf.DUMMYFUNCTION("""COMPUTED_VALUE"""),4.78176E7)</f>
        <v>47817600</v>
      </c>
      <c r="G128" s="2">
        <f t="shared" si="1"/>
        <v>44.88</v>
      </c>
    </row>
    <row r="129" ht="15.75" customHeight="1">
      <c r="A129" s="1">
        <f>IFERROR(__xludf.DUMMYFUNCTION("""COMPUTED_VALUE"""),44021.66666666667)</f>
        <v>44021.66667</v>
      </c>
      <c r="B129" s="2">
        <f>IFERROR(__xludf.DUMMYFUNCTION("""COMPUTED_VALUE"""),897.52)</f>
        <v>897.52</v>
      </c>
      <c r="C129" s="2">
        <f>IFERROR(__xludf.DUMMYFUNCTION("""COMPUTED_VALUE"""),907.5)</f>
        <v>907.5</v>
      </c>
      <c r="D129" s="2">
        <f>IFERROR(__xludf.DUMMYFUNCTION("""COMPUTED_VALUE"""),867.61)</f>
        <v>867.61</v>
      </c>
      <c r="E129" s="2">
        <f>IFERROR(__xludf.DUMMYFUNCTION("""COMPUTED_VALUE"""),887.55)</f>
        <v>887.55</v>
      </c>
      <c r="F129" s="2">
        <f>IFERROR(__xludf.DUMMYFUNCTION("""COMPUTED_VALUE"""),2.22156E7)</f>
        <v>22215600</v>
      </c>
      <c r="G129" s="2">
        <f t="shared" si="1"/>
        <v>39.89</v>
      </c>
    </row>
    <row r="130" ht="15.75" customHeight="1">
      <c r="A130" s="1">
        <f>IFERROR(__xludf.DUMMYFUNCTION("""COMPUTED_VALUE"""),44022.66666666667)</f>
        <v>44022.66667</v>
      </c>
      <c r="B130" s="2">
        <f>IFERROR(__xludf.DUMMYFUNCTION("""COMPUTED_VALUE"""),892.54)</f>
        <v>892.54</v>
      </c>
      <c r="C130" s="2">
        <f>IFERROR(__xludf.DUMMYFUNCTION("""COMPUTED_VALUE"""),922.46)</f>
        <v>922.46</v>
      </c>
      <c r="D130" s="2">
        <f>IFERROR(__xludf.DUMMYFUNCTION("""COMPUTED_VALUE"""),872.59)</f>
        <v>872.59</v>
      </c>
      <c r="E130" s="2">
        <f>IFERROR(__xludf.DUMMYFUNCTION("""COMPUTED_VALUE"""),877.58)</f>
        <v>877.58</v>
      </c>
      <c r="F130" s="2">
        <f>IFERROR(__xludf.DUMMYFUNCTION("""COMPUTED_VALUE"""),2.37645E7)</f>
        <v>23764500</v>
      </c>
      <c r="G130" s="2">
        <f t="shared" si="1"/>
        <v>49.87</v>
      </c>
    </row>
    <row r="131" ht="15.75" customHeight="1">
      <c r="A131" s="1">
        <f>IFERROR(__xludf.DUMMYFUNCTION("""COMPUTED_VALUE"""),44025.66666666667)</f>
        <v>44025.66667</v>
      </c>
      <c r="B131" s="2">
        <f>IFERROR(__xludf.DUMMYFUNCTION("""COMPUTED_VALUE"""),897.52)</f>
        <v>897.52</v>
      </c>
      <c r="C131" s="2">
        <f>IFERROR(__xludf.DUMMYFUNCTION("""COMPUTED_VALUE"""),952.37)</f>
        <v>952.37</v>
      </c>
      <c r="D131" s="2">
        <f>IFERROR(__xludf.DUMMYFUNCTION("""COMPUTED_VALUE"""),887.55)</f>
        <v>887.55</v>
      </c>
      <c r="E131" s="2">
        <f>IFERROR(__xludf.DUMMYFUNCTION("""COMPUTED_VALUE"""),942.4)</f>
        <v>942.4</v>
      </c>
      <c r="F131" s="2">
        <f>IFERROR(__xludf.DUMMYFUNCTION("""COMPUTED_VALUE"""),6.866E7)</f>
        <v>68660000</v>
      </c>
      <c r="G131" s="2">
        <f t="shared" si="1"/>
        <v>74.79</v>
      </c>
    </row>
    <row r="132" ht="15.75" customHeight="1">
      <c r="A132" s="1">
        <f>IFERROR(__xludf.DUMMYFUNCTION("""COMPUTED_VALUE"""),44026.66666666667)</f>
        <v>44026.66667</v>
      </c>
      <c r="B132" s="2">
        <f>IFERROR(__xludf.DUMMYFUNCTION("""COMPUTED_VALUE"""),947.39)</f>
        <v>947.39</v>
      </c>
      <c r="C132" s="2">
        <f>IFERROR(__xludf.DUMMYFUNCTION("""COMPUTED_VALUE"""),947.39)</f>
        <v>947.39</v>
      </c>
      <c r="D132" s="2">
        <f>IFERROR(__xludf.DUMMYFUNCTION("""COMPUTED_VALUE"""),907.5)</f>
        <v>907.5</v>
      </c>
      <c r="E132" s="2">
        <f>IFERROR(__xludf.DUMMYFUNCTION("""COMPUTED_VALUE"""),912.48)</f>
        <v>912.48</v>
      </c>
      <c r="F132" s="2">
        <f>IFERROR(__xludf.DUMMYFUNCTION("""COMPUTED_VALUE"""),2.57635E7)</f>
        <v>25763500</v>
      </c>
      <c r="G132" s="2">
        <f t="shared" si="1"/>
        <v>39.89</v>
      </c>
    </row>
    <row r="133" ht="15.75" customHeight="1">
      <c r="A133" s="1">
        <f>IFERROR(__xludf.DUMMYFUNCTION("""COMPUTED_VALUE"""),44027.66666666667)</f>
        <v>44027.66667</v>
      </c>
      <c r="B133" s="2">
        <f>IFERROR(__xludf.DUMMYFUNCTION("""COMPUTED_VALUE"""),927.44)</f>
        <v>927.44</v>
      </c>
      <c r="C133" s="2">
        <f>IFERROR(__xludf.DUMMYFUNCTION("""COMPUTED_VALUE"""),932.43)</f>
        <v>932.43</v>
      </c>
      <c r="D133" s="2">
        <f>IFERROR(__xludf.DUMMYFUNCTION("""COMPUTED_VALUE"""),902.51)</f>
        <v>902.51</v>
      </c>
      <c r="E133" s="2">
        <f>IFERROR(__xludf.DUMMYFUNCTION("""COMPUTED_VALUE"""),907.5)</f>
        <v>907.5</v>
      </c>
      <c r="F133" s="2">
        <f>IFERROR(__xludf.DUMMYFUNCTION("""COMPUTED_VALUE"""),1.13388E7)</f>
        <v>11338800</v>
      </c>
      <c r="G133" s="2">
        <f t="shared" si="1"/>
        <v>29.92</v>
      </c>
    </row>
    <row r="134" ht="15.75" customHeight="1">
      <c r="A134" s="1">
        <f>IFERROR(__xludf.DUMMYFUNCTION("""COMPUTED_VALUE"""),44028.66666666667)</f>
        <v>44028.66667</v>
      </c>
      <c r="B134" s="2">
        <f>IFERROR(__xludf.DUMMYFUNCTION("""COMPUTED_VALUE"""),907.5)</f>
        <v>907.5</v>
      </c>
      <c r="C134" s="2">
        <f>IFERROR(__xludf.DUMMYFUNCTION("""COMPUTED_VALUE"""),932.43)</f>
        <v>932.43</v>
      </c>
      <c r="D134" s="2">
        <f>IFERROR(__xludf.DUMMYFUNCTION("""COMPUTED_VALUE"""),902.51)</f>
        <v>902.51</v>
      </c>
      <c r="E134" s="2">
        <f>IFERROR(__xludf.DUMMYFUNCTION("""COMPUTED_VALUE"""),922.46)</f>
        <v>922.46</v>
      </c>
      <c r="F134" s="2">
        <f>IFERROR(__xludf.DUMMYFUNCTION("""COMPUTED_VALUE"""),1.39403E7)</f>
        <v>13940300</v>
      </c>
      <c r="G134" s="2">
        <f t="shared" si="1"/>
        <v>29.92</v>
      </c>
    </row>
    <row r="135" ht="15.75" customHeight="1">
      <c r="A135" s="1">
        <f>IFERROR(__xludf.DUMMYFUNCTION("""COMPUTED_VALUE"""),44029.66666666667)</f>
        <v>44029.66667</v>
      </c>
      <c r="B135" s="2">
        <f>IFERROR(__xludf.DUMMYFUNCTION("""COMPUTED_VALUE"""),927.44)</f>
        <v>927.44</v>
      </c>
      <c r="C135" s="2">
        <f>IFERROR(__xludf.DUMMYFUNCTION("""COMPUTED_VALUE"""),927.44)</f>
        <v>927.44</v>
      </c>
      <c r="D135" s="2">
        <f>IFERROR(__xludf.DUMMYFUNCTION("""COMPUTED_VALUE"""),902.51)</f>
        <v>902.51</v>
      </c>
      <c r="E135" s="2">
        <f>IFERROR(__xludf.DUMMYFUNCTION("""COMPUTED_VALUE"""),907.5)</f>
        <v>907.5</v>
      </c>
      <c r="F135" s="2">
        <f>IFERROR(__xludf.DUMMYFUNCTION("""COMPUTED_VALUE"""),9581300.0)</f>
        <v>9581300</v>
      </c>
      <c r="G135" s="2">
        <f t="shared" si="1"/>
        <v>24.93</v>
      </c>
    </row>
    <row r="136" ht="15.75" customHeight="1">
      <c r="A136" s="1">
        <f>IFERROR(__xludf.DUMMYFUNCTION("""COMPUTED_VALUE"""),44032.66666666667)</f>
        <v>44032.66667</v>
      </c>
      <c r="B136" s="2">
        <f>IFERROR(__xludf.DUMMYFUNCTION("""COMPUTED_VALUE"""),912.48)</f>
        <v>912.48</v>
      </c>
      <c r="C136" s="2">
        <f>IFERROR(__xludf.DUMMYFUNCTION("""COMPUTED_VALUE"""),927.44)</f>
        <v>927.44</v>
      </c>
      <c r="D136" s="2">
        <f>IFERROR(__xludf.DUMMYFUNCTION("""COMPUTED_VALUE"""),862.62)</f>
        <v>862.62</v>
      </c>
      <c r="E136" s="2">
        <f>IFERROR(__xludf.DUMMYFUNCTION("""COMPUTED_VALUE"""),872.59)</f>
        <v>872.59</v>
      </c>
      <c r="F136" s="2">
        <f>IFERROR(__xludf.DUMMYFUNCTION("""COMPUTED_VALUE"""),2.06867E7)</f>
        <v>20686700</v>
      </c>
      <c r="G136" s="2">
        <f t="shared" si="1"/>
        <v>64.82</v>
      </c>
    </row>
    <row r="137" ht="15.75" customHeight="1">
      <c r="A137" s="1">
        <f>IFERROR(__xludf.DUMMYFUNCTION("""COMPUTED_VALUE"""),44033.66666666667)</f>
        <v>44033.66667</v>
      </c>
      <c r="B137" s="2">
        <f>IFERROR(__xludf.DUMMYFUNCTION("""COMPUTED_VALUE"""),892.54)</f>
        <v>892.54</v>
      </c>
      <c r="C137" s="2">
        <f>IFERROR(__xludf.DUMMYFUNCTION("""COMPUTED_VALUE"""),922.46)</f>
        <v>922.46</v>
      </c>
      <c r="D137" s="2">
        <f>IFERROR(__xludf.DUMMYFUNCTION("""COMPUTED_VALUE"""),882.57)</f>
        <v>882.57</v>
      </c>
      <c r="E137" s="2">
        <f>IFERROR(__xludf.DUMMYFUNCTION("""COMPUTED_VALUE"""),917.47)</f>
        <v>917.47</v>
      </c>
      <c r="F137" s="2">
        <f>IFERROR(__xludf.DUMMYFUNCTION("""COMPUTED_VALUE"""),1.80261E7)</f>
        <v>18026100</v>
      </c>
      <c r="G137" s="2">
        <f t="shared" si="1"/>
        <v>49.87</v>
      </c>
    </row>
    <row r="138" ht="15.75" customHeight="1">
      <c r="A138" s="1">
        <f>IFERROR(__xludf.DUMMYFUNCTION("""COMPUTED_VALUE"""),44034.66666666667)</f>
        <v>44034.66667</v>
      </c>
      <c r="B138" s="2">
        <f>IFERROR(__xludf.DUMMYFUNCTION("""COMPUTED_VALUE"""),932.43)</f>
        <v>932.43</v>
      </c>
      <c r="C138" s="2">
        <f>IFERROR(__xludf.DUMMYFUNCTION("""COMPUTED_VALUE"""),977.3)</f>
        <v>977.3</v>
      </c>
      <c r="D138" s="2">
        <f>IFERROR(__xludf.DUMMYFUNCTION("""COMPUTED_VALUE"""),917.47)</f>
        <v>917.47</v>
      </c>
      <c r="E138" s="2">
        <f>IFERROR(__xludf.DUMMYFUNCTION("""COMPUTED_VALUE"""),917.47)</f>
        <v>917.47</v>
      </c>
      <c r="F138" s="2">
        <f>IFERROR(__xludf.DUMMYFUNCTION("""COMPUTED_VALUE"""),3.03736E7)</f>
        <v>30373600</v>
      </c>
      <c r="G138" s="2">
        <f t="shared" si="1"/>
        <v>59.83</v>
      </c>
    </row>
    <row r="139" ht="15.75" customHeight="1">
      <c r="A139" s="1">
        <f>IFERROR(__xludf.DUMMYFUNCTION("""COMPUTED_VALUE"""),44035.66666666667)</f>
        <v>44035.66667</v>
      </c>
      <c r="B139" s="2">
        <f>IFERROR(__xludf.DUMMYFUNCTION("""COMPUTED_VALUE"""),927.44)</f>
        <v>927.44</v>
      </c>
      <c r="C139" s="2">
        <f>IFERROR(__xludf.DUMMYFUNCTION("""COMPUTED_VALUE"""),937.41)</f>
        <v>937.41</v>
      </c>
      <c r="D139" s="2">
        <f>IFERROR(__xludf.DUMMYFUNCTION("""COMPUTED_VALUE"""),917.47)</f>
        <v>917.47</v>
      </c>
      <c r="E139" s="2">
        <f>IFERROR(__xludf.DUMMYFUNCTION("""COMPUTED_VALUE"""),922.46)</f>
        <v>922.46</v>
      </c>
      <c r="F139" s="2">
        <f>IFERROR(__xludf.DUMMYFUNCTION("""COMPUTED_VALUE"""),9334100.0)</f>
        <v>9334100</v>
      </c>
      <c r="G139" s="2">
        <f t="shared" si="1"/>
        <v>19.94</v>
      </c>
    </row>
    <row r="140" ht="15.75" customHeight="1">
      <c r="A140" s="1">
        <f>IFERROR(__xludf.DUMMYFUNCTION("""COMPUTED_VALUE"""),44036.66666666667)</f>
        <v>44036.66667</v>
      </c>
      <c r="B140" s="2">
        <f>IFERROR(__xludf.DUMMYFUNCTION("""COMPUTED_VALUE"""),907.5)</f>
        <v>907.5</v>
      </c>
      <c r="C140" s="2">
        <f>IFERROR(__xludf.DUMMYFUNCTION("""COMPUTED_VALUE"""),912.48)</f>
        <v>912.48</v>
      </c>
      <c r="D140" s="2">
        <f>IFERROR(__xludf.DUMMYFUNCTION("""COMPUTED_VALUE"""),892.54)</f>
        <v>892.54</v>
      </c>
      <c r="E140" s="2">
        <f>IFERROR(__xludf.DUMMYFUNCTION("""COMPUTED_VALUE"""),897.52)</f>
        <v>897.52</v>
      </c>
      <c r="F140" s="2">
        <f>IFERROR(__xludf.DUMMYFUNCTION("""COMPUTED_VALUE"""),1.51448E7)</f>
        <v>15144800</v>
      </c>
      <c r="G140" s="2">
        <f t="shared" si="1"/>
        <v>29.92</v>
      </c>
    </row>
    <row r="141" ht="15.75" customHeight="1">
      <c r="A141" s="1">
        <f>IFERROR(__xludf.DUMMYFUNCTION("""COMPUTED_VALUE"""),44039.66666666667)</f>
        <v>44039.66667</v>
      </c>
      <c r="B141" s="2">
        <f>IFERROR(__xludf.DUMMYFUNCTION("""COMPUTED_VALUE"""),912.48)</f>
        <v>912.48</v>
      </c>
      <c r="C141" s="2">
        <f>IFERROR(__xludf.DUMMYFUNCTION("""COMPUTED_VALUE"""),982.29)</f>
        <v>982.29</v>
      </c>
      <c r="D141" s="2">
        <f>IFERROR(__xludf.DUMMYFUNCTION("""COMPUTED_VALUE"""),897.52)</f>
        <v>897.52</v>
      </c>
      <c r="E141" s="2">
        <f>IFERROR(__xludf.DUMMYFUNCTION("""COMPUTED_VALUE"""),972.32)</f>
        <v>972.32</v>
      </c>
      <c r="F141" s="2">
        <f>IFERROR(__xludf.DUMMYFUNCTION("""COMPUTED_VALUE"""),1.026565E8)</f>
        <v>102656500</v>
      </c>
      <c r="G141" s="2">
        <f t="shared" si="1"/>
        <v>84.77</v>
      </c>
    </row>
    <row r="142" ht="15.75" customHeight="1">
      <c r="A142" s="1">
        <f>IFERROR(__xludf.DUMMYFUNCTION("""COMPUTED_VALUE"""),44040.66666666667)</f>
        <v>44040.66667</v>
      </c>
      <c r="B142" s="2">
        <f>IFERROR(__xludf.DUMMYFUNCTION("""COMPUTED_VALUE"""),992.26)</f>
        <v>992.26</v>
      </c>
      <c r="C142" s="2">
        <f>IFERROR(__xludf.DUMMYFUNCTION("""COMPUTED_VALUE"""),1037.14)</f>
        <v>1037.14</v>
      </c>
      <c r="D142" s="2">
        <f>IFERROR(__xludf.DUMMYFUNCTION("""COMPUTED_VALUE"""),947.39)</f>
        <v>947.39</v>
      </c>
      <c r="E142" s="2">
        <f>IFERROR(__xludf.DUMMYFUNCTION("""COMPUTED_VALUE"""),952.37)</f>
        <v>952.37</v>
      </c>
      <c r="F142" s="2">
        <f>IFERROR(__xludf.DUMMYFUNCTION("""COMPUTED_VALUE"""),8.46897E7)</f>
        <v>84689700</v>
      </c>
      <c r="G142" s="2">
        <f t="shared" si="1"/>
        <v>89.75</v>
      </c>
    </row>
    <row r="143" ht="15.75" customHeight="1">
      <c r="A143" s="1">
        <f>IFERROR(__xludf.DUMMYFUNCTION("""COMPUTED_VALUE"""),44041.66666666667)</f>
        <v>44041.66667</v>
      </c>
      <c r="B143" s="2">
        <f>IFERROR(__xludf.DUMMYFUNCTION("""COMPUTED_VALUE"""),957.36)</f>
        <v>957.36</v>
      </c>
      <c r="C143" s="2">
        <f>IFERROR(__xludf.DUMMYFUNCTION("""COMPUTED_VALUE"""),997.25)</f>
        <v>997.25</v>
      </c>
      <c r="D143" s="2">
        <f>IFERROR(__xludf.DUMMYFUNCTION("""COMPUTED_VALUE"""),952.37)</f>
        <v>952.37</v>
      </c>
      <c r="E143" s="2">
        <f>IFERROR(__xludf.DUMMYFUNCTION("""COMPUTED_VALUE"""),962.35)</f>
        <v>962.35</v>
      </c>
      <c r="F143" s="2">
        <f>IFERROR(__xludf.DUMMYFUNCTION("""COMPUTED_VALUE"""),2.23938E7)</f>
        <v>22393800</v>
      </c>
      <c r="G143" s="2">
        <f t="shared" si="1"/>
        <v>44.88</v>
      </c>
    </row>
    <row r="144" ht="15.75" customHeight="1">
      <c r="A144" s="1">
        <f>IFERROR(__xludf.DUMMYFUNCTION("""COMPUTED_VALUE"""),44042.66666666667)</f>
        <v>44042.66667</v>
      </c>
      <c r="B144" s="2">
        <f>IFERROR(__xludf.DUMMYFUNCTION("""COMPUTED_VALUE"""),962.35)</f>
        <v>962.35</v>
      </c>
      <c r="C144" s="2">
        <f>IFERROR(__xludf.DUMMYFUNCTION("""COMPUTED_VALUE"""),972.32)</f>
        <v>972.32</v>
      </c>
      <c r="D144" s="2">
        <f>IFERROR(__xludf.DUMMYFUNCTION("""COMPUTED_VALUE"""),927.44)</f>
        <v>927.44</v>
      </c>
      <c r="E144" s="2">
        <f>IFERROR(__xludf.DUMMYFUNCTION("""COMPUTED_VALUE"""),932.43)</f>
        <v>932.43</v>
      </c>
      <c r="F144" s="2">
        <f>IFERROR(__xludf.DUMMYFUNCTION("""COMPUTED_VALUE"""),1.78614E7)</f>
        <v>17861400</v>
      </c>
      <c r="G144" s="2">
        <f t="shared" si="1"/>
        <v>44.88</v>
      </c>
    </row>
    <row r="145" ht="15.75" customHeight="1">
      <c r="A145" s="1">
        <f>IFERROR(__xludf.DUMMYFUNCTION("""COMPUTED_VALUE"""),44046.66666666667)</f>
        <v>44046.66667</v>
      </c>
      <c r="B145" s="2">
        <f>IFERROR(__xludf.DUMMYFUNCTION("""COMPUTED_VALUE"""),932.43)</f>
        <v>932.43</v>
      </c>
      <c r="C145" s="2">
        <f>IFERROR(__xludf.DUMMYFUNCTION("""COMPUTED_VALUE"""),947.39)</f>
        <v>947.39</v>
      </c>
      <c r="D145" s="2">
        <f>IFERROR(__xludf.DUMMYFUNCTION("""COMPUTED_VALUE"""),867.61)</f>
        <v>867.61</v>
      </c>
      <c r="E145" s="2">
        <f>IFERROR(__xludf.DUMMYFUNCTION("""COMPUTED_VALUE"""),882.57)</f>
        <v>882.57</v>
      </c>
      <c r="F145" s="2">
        <f>IFERROR(__xludf.DUMMYFUNCTION("""COMPUTED_VALUE"""),2.67145E7)</f>
        <v>26714500</v>
      </c>
      <c r="G145" s="2">
        <f t="shared" si="1"/>
        <v>79.78</v>
      </c>
    </row>
    <row r="146" ht="15.75" customHeight="1">
      <c r="A146" s="1">
        <f>IFERROR(__xludf.DUMMYFUNCTION("""COMPUTED_VALUE"""),44047.66666666667)</f>
        <v>44047.66667</v>
      </c>
      <c r="B146" s="2">
        <f>IFERROR(__xludf.DUMMYFUNCTION("""COMPUTED_VALUE"""),887.55)</f>
        <v>887.55</v>
      </c>
      <c r="C146" s="2">
        <f>IFERROR(__xludf.DUMMYFUNCTION("""COMPUTED_VALUE"""),932.43)</f>
        <v>932.43</v>
      </c>
      <c r="D146" s="2">
        <f>IFERROR(__xludf.DUMMYFUNCTION("""COMPUTED_VALUE"""),882.57)</f>
        <v>882.57</v>
      </c>
      <c r="E146" s="2">
        <f>IFERROR(__xludf.DUMMYFUNCTION("""COMPUTED_VALUE"""),907.5)</f>
        <v>907.5</v>
      </c>
      <c r="F146" s="2">
        <f>IFERROR(__xludf.DUMMYFUNCTION("""COMPUTED_VALUE"""),1.94536E7)</f>
        <v>19453600</v>
      </c>
      <c r="G146" s="2">
        <f t="shared" si="1"/>
        <v>49.86</v>
      </c>
    </row>
    <row r="147" ht="15.75" customHeight="1">
      <c r="A147" s="1">
        <f>IFERROR(__xludf.DUMMYFUNCTION("""COMPUTED_VALUE"""),44048.66666666667)</f>
        <v>44048.66667</v>
      </c>
      <c r="B147" s="2">
        <f>IFERROR(__xludf.DUMMYFUNCTION("""COMPUTED_VALUE"""),907.5)</f>
        <v>907.5</v>
      </c>
      <c r="C147" s="2">
        <f>IFERROR(__xludf.DUMMYFUNCTION("""COMPUTED_VALUE"""),927.44)</f>
        <v>927.44</v>
      </c>
      <c r="D147" s="2">
        <f>IFERROR(__xludf.DUMMYFUNCTION("""COMPUTED_VALUE"""),897.52)</f>
        <v>897.52</v>
      </c>
      <c r="E147" s="2">
        <f>IFERROR(__xludf.DUMMYFUNCTION("""COMPUTED_VALUE"""),912.48)</f>
        <v>912.48</v>
      </c>
      <c r="F147" s="2">
        <f>IFERROR(__xludf.DUMMYFUNCTION("""COMPUTED_VALUE"""),1.24188E7)</f>
        <v>12418800</v>
      </c>
      <c r="G147" s="2">
        <f t="shared" si="1"/>
        <v>29.92</v>
      </c>
    </row>
    <row r="148" ht="15.75" customHeight="1">
      <c r="A148" s="1">
        <f>IFERROR(__xludf.DUMMYFUNCTION("""COMPUTED_VALUE"""),44049.66666666667)</f>
        <v>44049.66667</v>
      </c>
      <c r="B148" s="2">
        <f>IFERROR(__xludf.DUMMYFUNCTION("""COMPUTED_VALUE"""),922.46)</f>
        <v>922.46</v>
      </c>
      <c r="C148" s="2">
        <f>IFERROR(__xludf.DUMMYFUNCTION("""COMPUTED_VALUE"""),937.41)</f>
        <v>937.41</v>
      </c>
      <c r="D148" s="2">
        <f>IFERROR(__xludf.DUMMYFUNCTION("""COMPUTED_VALUE"""),912.48)</f>
        <v>912.48</v>
      </c>
      <c r="E148" s="2">
        <f>IFERROR(__xludf.DUMMYFUNCTION("""COMPUTED_VALUE"""),917.47)</f>
        <v>917.47</v>
      </c>
      <c r="F148" s="2">
        <f>IFERROR(__xludf.DUMMYFUNCTION("""COMPUTED_VALUE"""),1.00611E7)</f>
        <v>10061100</v>
      </c>
      <c r="G148" s="2">
        <f t="shared" si="1"/>
        <v>24.93</v>
      </c>
    </row>
    <row r="149" ht="15.75" customHeight="1">
      <c r="A149" s="1">
        <f>IFERROR(__xludf.DUMMYFUNCTION("""COMPUTED_VALUE"""),44050.66666666667)</f>
        <v>44050.66667</v>
      </c>
      <c r="B149" s="2">
        <f>IFERROR(__xludf.DUMMYFUNCTION("""COMPUTED_VALUE"""),917.47)</f>
        <v>917.47</v>
      </c>
      <c r="C149" s="2">
        <f>IFERROR(__xludf.DUMMYFUNCTION("""COMPUTED_VALUE"""),927.44)</f>
        <v>927.44</v>
      </c>
      <c r="D149" s="2">
        <f>IFERROR(__xludf.DUMMYFUNCTION("""COMPUTED_VALUE"""),902.51)</f>
        <v>902.51</v>
      </c>
      <c r="E149" s="2">
        <f>IFERROR(__xludf.DUMMYFUNCTION("""COMPUTED_VALUE"""),907.5)</f>
        <v>907.5</v>
      </c>
      <c r="F149" s="2">
        <f>IFERROR(__xludf.DUMMYFUNCTION("""COMPUTED_VALUE"""),6958900.0)</f>
        <v>6958900</v>
      </c>
      <c r="G149" s="2">
        <f t="shared" si="1"/>
        <v>24.93</v>
      </c>
    </row>
    <row r="150" ht="15.75" customHeight="1">
      <c r="A150" s="1">
        <f>IFERROR(__xludf.DUMMYFUNCTION("""COMPUTED_VALUE"""),44053.66666666667)</f>
        <v>44053.66667</v>
      </c>
      <c r="B150" s="2">
        <f>IFERROR(__xludf.DUMMYFUNCTION("""COMPUTED_VALUE"""),907.5)</f>
        <v>907.5</v>
      </c>
      <c r="C150" s="2">
        <f>IFERROR(__xludf.DUMMYFUNCTION("""COMPUTED_VALUE"""),922.46)</f>
        <v>922.46</v>
      </c>
      <c r="D150" s="2">
        <f>IFERROR(__xludf.DUMMYFUNCTION("""COMPUTED_VALUE"""),907.5)</f>
        <v>907.5</v>
      </c>
      <c r="E150" s="2">
        <f>IFERROR(__xludf.DUMMYFUNCTION("""COMPUTED_VALUE"""),917.47)</f>
        <v>917.47</v>
      </c>
      <c r="F150" s="2">
        <f>IFERROR(__xludf.DUMMYFUNCTION("""COMPUTED_VALUE"""),5314800.0)</f>
        <v>5314800</v>
      </c>
      <c r="G150" s="2">
        <f t="shared" si="1"/>
        <v>14.96</v>
      </c>
    </row>
    <row r="151" ht="15.75" customHeight="1">
      <c r="A151" s="1">
        <f>IFERROR(__xludf.DUMMYFUNCTION("""COMPUTED_VALUE"""),44054.66666666667)</f>
        <v>44054.66667</v>
      </c>
      <c r="B151" s="2">
        <f>IFERROR(__xludf.DUMMYFUNCTION("""COMPUTED_VALUE"""),927.44)</f>
        <v>927.44</v>
      </c>
      <c r="C151" s="2">
        <f>IFERROR(__xludf.DUMMYFUNCTION("""COMPUTED_VALUE"""),947.39)</f>
        <v>947.39</v>
      </c>
      <c r="D151" s="2">
        <f>IFERROR(__xludf.DUMMYFUNCTION("""COMPUTED_VALUE"""),922.46)</f>
        <v>922.46</v>
      </c>
      <c r="E151" s="2">
        <f>IFERROR(__xludf.DUMMYFUNCTION("""COMPUTED_VALUE"""),927.44)</f>
        <v>927.44</v>
      </c>
      <c r="F151" s="2">
        <f>IFERROR(__xludf.DUMMYFUNCTION("""COMPUTED_VALUE"""),1.37333E7)</f>
        <v>13733300</v>
      </c>
      <c r="G151" s="2">
        <f t="shared" si="1"/>
        <v>29.92</v>
      </c>
    </row>
    <row r="152" ht="15.75" customHeight="1">
      <c r="A152" s="1">
        <f>IFERROR(__xludf.DUMMYFUNCTION("""COMPUTED_VALUE"""),44055.66666666667)</f>
        <v>44055.66667</v>
      </c>
      <c r="B152" s="2">
        <f>IFERROR(__xludf.DUMMYFUNCTION("""COMPUTED_VALUE"""),927.44)</f>
        <v>927.44</v>
      </c>
      <c r="C152" s="2">
        <f>IFERROR(__xludf.DUMMYFUNCTION("""COMPUTED_VALUE"""),957.36)</f>
        <v>957.36</v>
      </c>
      <c r="D152" s="2">
        <f>IFERROR(__xludf.DUMMYFUNCTION("""COMPUTED_VALUE"""),922.46)</f>
        <v>922.46</v>
      </c>
      <c r="E152" s="2">
        <f>IFERROR(__xludf.DUMMYFUNCTION("""COMPUTED_VALUE"""),957.36)</f>
        <v>957.36</v>
      </c>
      <c r="F152" s="2">
        <f>IFERROR(__xludf.DUMMYFUNCTION("""COMPUTED_VALUE"""),3.19315E7)</f>
        <v>31931500</v>
      </c>
      <c r="G152" s="2">
        <f t="shared" si="1"/>
        <v>34.9</v>
      </c>
    </row>
    <row r="153" ht="15.75" customHeight="1">
      <c r="A153" s="1">
        <f>IFERROR(__xludf.DUMMYFUNCTION("""COMPUTED_VALUE"""),44056.66666666667)</f>
        <v>44056.66667</v>
      </c>
      <c r="B153" s="2">
        <f>IFERROR(__xludf.DUMMYFUNCTION("""COMPUTED_VALUE"""),967.33)</f>
        <v>967.33</v>
      </c>
      <c r="C153" s="2">
        <f>IFERROR(__xludf.DUMMYFUNCTION("""COMPUTED_VALUE"""),977.3)</f>
        <v>977.3</v>
      </c>
      <c r="D153" s="2">
        <f>IFERROR(__xludf.DUMMYFUNCTION("""COMPUTED_VALUE"""),947.39)</f>
        <v>947.39</v>
      </c>
      <c r="E153" s="2">
        <f>IFERROR(__xludf.DUMMYFUNCTION("""COMPUTED_VALUE"""),947.39)</f>
        <v>947.39</v>
      </c>
      <c r="F153" s="2">
        <f>IFERROR(__xludf.DUMMYFUNCTION("""COMPUTED_VALUE"""),1.62352E7)</f>
        <v>16235200</v>
      </c>
      <c r="G153" s="2">
        <f t="shared" si="1"/>
        <v>29.91</v>
      </c>
    </row>
    <row r="154" ht="15.75" customHeight="1">
      <c r="A154" s="1">
        <f>IFERROR(__xludf.DUMMYFUNCTION("""COMPUTED_VALUE"""),44057.66666666667)</f>
        <v>44057.66667</v>
      </c>
      <c r="B154" s="2">
        <f>IFERROR(__xludf.DUMMYFUNCTION("""COMPUTED_VALUE"""),947.39)</f>
        <v>947.39</v>
      </c>
      <c r="C154" s="2">
        <f>IFERROR(__xludf.DUMMYFUNCTION("""COMPUTED_VALUE"""),952.37)</f>
        <v>952.37</v>
      </c>
      <c r="D154" s="2">
        <f>IFERROR(__xludf.DUMMYFUNCTION("""COMPUTED_VALUE"""),942.4)</f>
        <v>942.4</v>
      </c>
      <c r="E154" s="2">
        <f>IFERROR(__xludf.DUMMYFUNCTION("""COMPUTED_VALUE"""),942.4)</f>
        <v>942.4</v>
      </c>
      <c r="F154" s="2">
        <f>IFERROR(__xludf.DUMMYFUNCTION("""COMPUTED_VALUE"""),8375900.0)</f>
        <v>8375900</v>
      </c>
      <c r="G154" s="2">
        <f t="shared" si="1"/>
        <v>9.97</v>
      </c>
    </row>
    <row r="155" ht="15.75" customHeight="1">
      <c r="A155" s="1">
        <f>IFERROR(__xludf.DUMMYFUNCTION("""COMPUTED_VALUE"""),44061.66666666667)</f>
        <v>44061.66667</v>
      </c>
      <c r="B155" s="2">
        <f>IFERROR(__xludf.DUMMYFUNCTION("""COMPUTED_VALUE"""),947.39)</f>
        <v>947.39</v>
      </c>
      <c r="C155" s="2">
        <f>IFERROR(__xludf.DUMMYFUNCTION("""COMPUTED_VALUE"""),962.35)</f>
        <v>962.35</v>
      </c>
      <c r="D155" s="2">
        <f>IFERROR(__xludf.DUMMYFUNCTION("""COMPUTED_VALUE"""),942.4)</f>
        <v>942.4</v>
      </c>
      <c r="E155" s="2">
        <f>IFERROR(__xludf.DUMMYFUNCTION("""COMPUTED_VALUE"""),947.39)</f>
        <v>947.39</v>
      </c>
      <c r="F155" s="2">
        <f>IFERROR(__xludf.DUMMYFUNCTION("""COMPUTED_VALUE"""),1.57967E7)</f>
        <v>15796700</v>
      </c>
      <c r="G155" s="2">
        <f t="shared" si="1"/>
        <v>19.95</v>
      </c>
    </row>
    <row r="156" ht="15.75" customHeight="1">
      <c r="A156" s="1">
        <f>IFERROR(__xludf.DUMMYFUNCTION("""COMPUTED_VALUE"""),44062.66666666667)</f>
        <v>44062.66667</v>
      </c>
      <c r="B156" s="2">
        <f>IFERROR(__xludf.DUMMYFUNCTION("""COMPUTED_VALUE"""),952.37)</f>
        <v>952.37</v>
      </c>
      <c r="C156" s="2">
        <f>IFERROR(__xludf.DUMMYFUNCTION("""COMPUTED_VALUE"""),957.36)</f>
        <v>957.36</v>
      </c>
      <c r="D156" s="2">
        <f>IFERROR(__xludf.DUMMYFUNCTION("""COMPUTED_VALUE"""),942.4)</f>
        <v>942.4</v>
      </c>
      <c r="E156" s="2">
        <f>IFERROR(__xludf.DUMMYFUNCTION("""COMPUTED_VALUE"""),952.37)</f>
        <v>952.37</v>
      </c>
      <c r="F156" s="2">
        <f>IFERROR(__xludf.DUMMYFUNCTION("""COMPUTED_VALUE"""),6075000.0)</f>
        <v>6075000</v>
      </c>
      <c r="G156" s="2">
        <f t="shared" si="1"/>
        <v>14.96</v>
      </c>
    </row>
    <row r="157" ht="15.75" customHeight="1">
      <c r="A157" s="1">
        <f>IFERROR(__xludf.DUMMYFUNCTION("""COMPUTED_VALUE"""),44067.66666666667)</f>
        <v>44067.66667</v>
      </c>
      <c r="B157" s="2">
        <f>IFERROR(__xludf.DUMMYFUNCTION("""COMPUTED_VALUE"""),952.37)</f>
        <v>952.37</v>
      </c>
      <c r="C157" s="2">
        <f>IFERROR(__xludf.DUMMYFUNCTION("""COMPUTED_VALUE"""),982.29)</f>
        <v>982.29</v>
      </c>
      <c r="D157" s="2">
        <f>IFERROR(__xludf.DUMMYFUNCTION("""COMPUTED_VALUE"""),952.37)</f>
        <v>952.37</v>
      </c>
      <c r="E157" s="2">
        <f>IFERROR(__xludf.DUMMYFUNCTION("""COMPUTED_VALUE"""),977.3)</f>
        <v>977.3</v>
      </c>
      <c r="F157" s="2">
        <f>IFERROR(__xludf.DUMMYFUNCTION("""COMPUTED_VALUE"""),2.72656E7)</f>
        <v>27265600</v>
      </c>
      <c r="G157" s="2">
        <f t="shared" si="1"/>
        <v>29.92</v>
      </c>
    </row>
    <row r="158" ht="15.75" customHeight="1">
      <c r="A158" s="1">
        <f>IFERROR(__xludf.DUMMYFUNCTION("""COMPUTED_VALUE"""),44068.66666666667)</f>
        <v>44068.66667</v>
      </c>
      <c r="B158" s="2">
        <f>IFERROR(__xludf.DUMMYFUNCTION("""COMPUTED_VALUE"""),997.25)</f>
        <v>997.25</v>
      </c>
      <c r="C158" s="2">
        <f>IFERROR(__xludf.DUMMYFUNCTION("""COMPUTED_VALUE"""),1017.19)</f>
        <v>1017.19</v>
      </c>
      <c r="D158" s="2">
        <f>IFERROR(__xludf.DUMMYFUNCTION("""COMPUTED_VALUE"""),982.29)</f>
        <v>982.29</v>
      </c>
      <c r="E158" s="2">
        <f>IFERROR(__xludf.DUMMYFUNCTION("""COMPUTED_VALUE"""),1012.21)</f>
        <v>1012.21</v>
      </c>
      <c r="F158" s="2">
        <f>IFERROR(__xludf.DUMMYFUNCTION("""COMPUTED_VALUE"""),4.16373E7)</f>
        <v>41637300</v>
      </c>
      <c r="G158" s="2">
        <f t="shared" si="1"/>
        <v>39.89</v>
      </c>
    </row>
    <row r="159" ht="15.75" customHeight="1">
      <c r="A159" s="1">
        <f>IFERROR(__xludf.DUMMYFUNCTION("""COMPUTED_VALUE"""),44069.66666666667)</f>
        <v>44069.66667</v>
      </c>
      <c r="B159" s="2">
        <f>IFERROR(__xludf.DUMMYFUNCTION("""COMPUTED_VALUE"""),1017.19)</f>
        <v>1017.19</v>
      </c>
      <c r="C159" s="2">
        <f>IFERROR(__xludf.DUMMYFUNCTION("""COMPUTED_VALUE"""),1027.17)</f>
        <v>1027.17</v>
      </c>
      <c r="D159" s="2">
        <f>IFERROR(__xludf.DUMMYFUNCTION("""COMPUTED_VALUE"""),1007.22)</f>
        <v>1007.22</v>
      </c>
      <c r="E159" s="2">
        <f>IFERROR(__xludf.DUMMYFUNCTION("""COMPUTED_VALUE"""),1017.19)</f>
        <v>1017.19</v>
      </c>
      <c r="F159" s="2">
        <f>IFERROR(__xludf.DUMMYFUNCTION("""COMPUTED_VALUE"""),1.73864E7)</f>
        <v>17386400</v>
      </c>
      <c r="G159" s="2">
        <f t="shared" si="1"/>
        <v>19.95</v>
      </c>
    </row>
    <row r="160" ht="15.75" customHeight="1">
      <c r="A160" s="1">
        <f>IFERROR(__xludf.DUMMYFUNCTION("""COMPUTED_VALUE"""),44070.66666666667)</f>
        <v>44070.66667</v>
      </c>
      <c r="B160" s="2">
        <f>IFERROR(__xludf.DUMMYFUNCTION("""COMPUTED_VALUE"""),1017.19)</f>
        <v>1017.19</v>
      </c>
      <c r="C160" s="2">
        <f>IFERROR(__xludf.DUMMYFUNCTION("""COMPUTED_VALUE"""),1171.77)</f>
        <v>1171.77</v>
      </c>
      <c r="D160" s="2">
        <f>IFERROR(__xludf.DUMMYFUNCTION("""COMPUTED_VALUE"""),1017.19)</f>
        <v>1017.19</v>
      </c>
      <c r="E160" s="2">
        <f>IFERROR(__xludf.DUMMYFUNCTION("""COMPUTED_VALUE"""),1126.89)</f>
        <v>1126.89</v>
      </c>
      <c r="F160" s="2">
        <f>IFERROR(__xludf.DUMMYFUNCTION("""COMPUTED_VALUE"""),9.99417E7)</f>
        <v>99941700</v>
      </c>
      <c r="G160" s="2">
        <f t="shared" si="1"/>
        <v>154.58</v>
      </c>
    </row>
    <row r="161" ht="15.75" customHeight="1">
      <c r="A161" s="1">
        <f>IFERROR(__xludf.DUMMYFUNCTION("""COMPUTED_VALUE"""),44071.66666666667)</f>
        <v>44071.66667</v>
      </c>
      <c r="B161" s="2">
        <f>IFERROR(__xludf.DUMMYFUNCTION("""COMPUTED_VALUE"""),1136.86)</f>
        <v>1136.86</v>
      </c>
      <c r="C161" s="2">
        <f>IFERROR(__xludf.DUMMYFUNCTION("""COMPUTED_VALUE"""),1146.84)</f>
        <v>1146.84</v>
      </c>
      <c r="D161" s="2">
        <f>IFERROR(__xludf.DUMMYFUNCTION("""COMPUTED_VALUE"""),1106.95)</f>
        <v>1106.95</v>
      </c>
      <c r="E161" s="2">
        <f>IFERROR(__xludf.DUMMYFUNCTION("""COMPUTED_VALUE"""),1116.92)</f>
        <v>1116.92</v>
      </c>
      <c r="F161" s="2">
        <f>IFERROR(__xludf.DUMMYFUNCTION("""COMPUTED_VALUE"""),2.71326E7)</f>
        <v>27132600</v>
      </c>
      <c r="G161" s="2">
        <f t="shared" si="1"/>
        <v>39.89</v>
      </c>
    </row>
    <row r="162" ht="15.75" customHeight="1">
      <c r="A162" s="1">
        <f>IFERROR(__xludf.DUMMYFUNCTION("""COMPUTED_VALUE"""),44074.66666666667)</f>
        <v>44074.66667</v>
      </c>
      <c r="B162" s="2">
        <f>IFERROR(__xludf.DUMMYFUNCTION("""COMPUTED_VALUE"""),1121.9)</f>
        <v>1121.9</v>
      </c>
      <c r="C162" s="2">
        <f>IFERROR(__xludf.DUMMYFUNCTION("""COMPUTED_VALUE"""),1131.88)</f>
        <v>1131.88</v>
      </c>
      <c r="D162" s="2">
        <f>IFERROR(__xludf.DUMMYFUNCTION("""COMPUTED_VALUE"""),1042.12)</f>
        <v>1042.12</v>
      </c>
      <c r="E162" s="2">
        <f>IFERROR(__xludf.DUMMYFUNCTION("""COMPUTED_VALUE"""),1052.1)</f>
        <v>1052.1</v>
      </c>
      <c r="F162" s="2">
        <f>IFERROR(__xludf.DUMMYFUNCTION("""COMPUTED_VALUE"""),2.96867E7)</f>
        <v>29686700</v>
      </c>
      <c r="G162" s="2">
        <f t="shared" si="1"/>
        <v>89.76</v>
      </c>
    </row>
    <row r="163" ht="15.75" customHeight="1">
      <c r="A163" s="1">
        <f>IFERROR(__xludf.DUMMYFUNCTION("""COMPUTED_VALUE"""),44075.66666666667)</f>
        <v>44075.66667</v>
      </c>
      <c r="B163" s="2">
        <f>IFERROR(__xludf.DUMMYFUNCTION("""COMPUTED_VALUE"""),1047.11)</f>
        <v>1047.11</v>
      </c>
      <c r="C163" s="2">
        <f>IFERROR(__xludf.DUMMYFUNCTION("""COMPUTED_VALUE"""),1091.99)</f>
        <v>1091.99</v>
      </c>
      <c r="D163" s="2">
        <f>IFERROR(__xludf.DUMMYFUNCTION("""COMPUTED_VALUE"""),1037.14)</f>
        <v>1037.14</v>
      </c>
      <c r="E163" s="2">
        <f>IFERROR(__xludf.DUMMYFUNCTION("""COMPUTED_VALUE"""),1082.01)</f>
        <v>1082.01</v>
      </c>
      <c r="F163" s="2">
        <f>IFERROR(__xludf.DUMMYFUNCTION("""COMPUTED_VALUE"""),1.48894E7)</f>
        <v>14889400</v>
      </c>
      <c r="G163" s="2">
        <f t="shared" si="1"/>
        <v>54.85</v>
      </c>
    </row>
    <row r="164" ht="15.75" customHeight="1">
      <c r="A164" s="1">
        <f>IFERROR(__xludf.DUMMYFUNCTION("""COMPUTED_VALUE"""),44076.66666666667)</f>
        <v>44076.66667</v>
      </c>
      <c r="B164" s="2">
        <f>IFERROR(__xludf.DUMMYFUNCTION("""COMPUTED_VALUE"""),1082.01)</f>
        <v>1082.01</v>
      </c>
      <c r="C164" s="2">
        <f>IFERROR(__xludf.DUMMYFUNCTION("""COMPUTED_VALUE"""),1091.99)</f>
        <v>1091.99</v>
      </c>
      <c r="D164" s="2">
        <f>IFERROR(__xludf.DUMMYFUNCTION("""COMPUTED_VALUE"""),1067.06)</f>
        <v>1067.06</v>
      </c>
      <c r="E164" s="2">
        <f>IFERROR(__xludf.DUMMYFUNCTION("""COMPUTED_VALUE"""),1077.03)</f>
        <v>1077.03</v>
      </c>
      <c r="F164" s="2">
        <f>IFERROR(__xludf.DUMMYFUNCTION("""COMPUTED_VALUE"""),8704700.0)</f>
        <v>8704700</v>
      </c>
      <c r="G164" s="2">
        <f t="shared" si="1"/>
        <v>24.93</v>
      </c>
    </row>
    <row r="165" ht="15.75" customHeight="1">
      <c r="A165" s="1">
        <f>IFERROR(__xludf.DUMMYFUNCTION("""COMPUTED_VALUE"""),44077.66666666667)</f>
        <v>44077.66667</v>
      </c>
      <c r="B165" s="2">
        <f>IFERROR(__xludf.DUMMYFUNCTION("""COMPUTED_VALUE"""),1082.01)</f>
        <v>1082.01</v>
      </c>
      <c r="C165" s="2">
        <f>IFERROR(__xludf.DUMMYFUNCTION("""COMPUTED_VALUE"""),1087.0)</f>
        <v>1087</v>
      </c>
      <c r="D165" s="2">
        <f>IFERROR(__xludf.DUMMYFUNCTION("""COMPUTED_VALUE"""),1042.12)</f>
        <v>1042.12</v>
      </c>
      <c r="E165" s="2">
        <f>IFERROR(__xludf.DUMMYFUNCTION("""COMPUTED_VALUE"""),1052.1)</f>
        <v>1052.1</v>
      </c>
      <c r="F165" s="2">
        <f>IFERROR(__xludf.DUMMYFUNCTION("""COMPUTED_VALUE"""),1.33259E7)</f>
        <v>13325900</v>
      </c>
      <c r="G165" s="2">
        <f t="shared" si="1"/>
        <v>44.88</v>
      </c>
    </row>
    <row r="166" ht="15.75" customHeight="1">
      <c r="A166" s="1">
        <f>IFERROR(__xludf.DUMMYFUNCTION("""COMPUTED_VALUE"""),44078.66666666667)</f>
        <v>44078.66667</v>
      </c>
      <c r="B166" s="2">
        <f>IFERROR(__xludf.DUMMYFUNCTION("""COMPUTED_VALUE"""),1037.14)</f>
        <v>1037.14</v>
      </c>
      <c r="C166" s="2">
        <f>IFERROR(__xludf.DUMMYFUNCTION("""COMPUTED_VALUE"""),1042.12)</f>
        <v>1042.12</v>
      </c>
      <c r="D166" s="2">
        <f>IFERROR(__xludf.DUMMYFUNCTION("""COMPUTED_VALUE"""),997.25)</f>
        <v>997.25</v>
      </c>
      <c r="E166" s="2">
        <f>IFERROR(__xludf.DUMMYFUNCTION("""COMPUTED_VALUE"""),1037.14)</f>
        <v>1037.14</v>
      </c>
      <c r="F166" s="2">
        <f>IFERROR(__xludf.DUMMYFUNCTION("""COMPUTED_VALUE"""),1.15114E7)</f>
        <v>11511400</v>
      </c>
      <c r="G166" s="2">
        <f t="shared" si="1"/>
        <v>54.85</v>
      </c>
    </row>
    <row r="167" ht="15.75" customHeight="1">
      <c r="A167" s="1">
        <f>IFERROR(__xludf.DUMMYFUNCTION("""COMPUTED_VALUE"""),44081.66666666667)</f>
        <v>44081.66667</v>
      </c>
      <c r="B167" s="2">
        <f>IFERROR(__xludf.DUMMYFUNCTION("""COMPUTED_VALUE"""),1037.14)</f>
        <v>1037.14</v>
      </c>
      <c r="C167" s="2">
        <f>IFERROR(__xludf.DUMMYFUNCTION("""COMPUTED_VALUE"""),1057.08)</f>
        <v>1057.08</v>
      </c>
      <c r="D167" s="2">
        <f>IFERROR(__xludf.DUMMYFUNCTION("""COMPUTED_VALUE"""),1027.17)</f>
        <v>1027.17</v>
      </c>
      <c r="E167" s="2">
        <f>IFERROR(__xludf.DUMMYFUNCTION("""COMPUTED_VALUE"""),1027.17)</f>
        <v>1027.17</v>
      </c>
      <c r="F167" s="2">
        <f>IFERROR(__xludf.DUMMYFUNCTION("""COMPUTED_VALUE"""),8615400.0)</f>
        <v>8615400</v>
      </c>
      <c r="G167" s="2">
        <f t="shared" si="1"/>
        <v>29.91</v>
      </c>
    </row>
    <row r="168" ht="15.75" customHeight="1">
      <c r="A168" s="1">
        <f>IFERROR(__xludf.DUMMYFUNCTION("""COMPUTED_VALUE"""),44082.66666666667)</f>
        <v>44082.66667</v>
      </c>
      <c r="B168" s="2">
        <f>IFERROR(__xludf.DUMMYFUNCTION("""COMPUTED_VALUE"""),1027.17)</f>
        <v>1027.17</v>
      </c>
      <c r="C168" s="2">
        <f>IFERROR(__xludf.DUMMYFUNCTION("""COMPUTED_VALUE"""),1037.14)</f>
        <v>1037.14</v>
      </c>
      <c r="D168" s="2">
        <f>IFERROR(__xludf.DUMMYFUNCTION("""COMPUTED_VALUE"""),1027.17)</f>
        <v>1027.17</v>
      </c>
      <c r="E168" s="2">
        <f>IFERROR(__xludf.DUMMYFUNCTION("""COMPUTED_VALUE"""),1032.15)</f>
        <v>1032.15</v>
      </c>
      <c r="F168" s="2">
        <f>IFERROR(__xludf.DUMMYFUNCTION("""COMPUTED_VALUE"""),4490100.0)</f>
        <v>4490100</v>
      </c>
      <c r="G168" s="2">
        <f t="shared" si="1"/>
        <v>9.97</v>
      </c>
    </row>
    <row r="169" ht="15.75" customHeight="1">
      <c r="A169" s="1">
        <f>IFERROR(__xludf.DUMMYFUNCTION("""COMPUTED_VALUE"""),44083.66666666667)</f>
        <v>44083.66667</v>
      </c>
      <c r="B169" s="2">
        <f>IFERROR(__xludf.DUMMYFUNCTION("""COMPUTED_VALUE"""),1017.19)</f>
        <v>1017.19</v>
      </c>
      <c r="C169" s="2">
        <f>IFERROR(__xludf.DUMMYFUNCTION("""COMPUTED_VALUE"""),1032.15)</f>
        <v>1032.15</v>
      </c>
      <c r="D169" s="2">
        <f>IFERROR(__xludf.DUMMYFUNCTION("""COMPUTED_VALUE"""),992.26)</f>
        <v>992.26</v>
      </c>
      <c r="E169" s="2">
        <f>IFERROR(__xludf.DUMMYFUNCTION("""COMPUTED_VALUE"""),1002.24)</f>
        <v>1002.24</v>
      </c>
      <c r="F169" s="2">
        <f>IFERROR(__xludf.DUMMYFUNCTION("""COMPUTED_VALUE"""),1.3015E7)</f>
        <v>13015000</v>
      </c>
      <c r="G169" s="2">
        <f t="shared" si="1"/>
        <v>39.89</v>
      </c>
    </row>
    <row r="170" ht="15.75" customHeight="1">
      <c r="A170" s="1">
        <f>IFERROR(__xludf.DUMMYFUNCTION("""COMPUTED_VALUE"""),44084.66666666667)</f>
        <v>44084.66667</v>
      </c>
      <c r="B170" s="2">
        <f>IFERROR(__xludf.DUMMYFUNCTION("""COMPUTED_VALUE"""),992.26)</f>
        <v>992.26</v>
      </c>
      <c r="C170" s="2">
        <f>IFERROR(__xludf.DUMMYFUNCTION("""COMPUTED_VALUE"""),992.26)</f>
        <v>992.26</v>
      </c>
      <c r="D170" s="2">
        <f>IFERROR(__xludf.DUMMYFUNCTION("""COMPUTED_VALUE"""),932.43)</f>
        <v>932.43</v>
      </c>
      <c r="E170" s="2">
        <f>IFERROR(__xludf.DUMMYFUNCTION("""COMPUTED_VALUE"""),932.43)</f>
        <v>932.43</v>
      </c>
      <c r="F170" s="2">
        <f>IFERROR(__xludf.DUMMYFUNCTION("""COMPUTED_VALUE"""),1.8366E7)</f>
        <v>18366000</v>
      </c>
      <c r="G170" s="2">
        <f t="shared" si="1"/>
        <v>69.81</v>
      </c>
    </row>
    <row r="171" ht="15.75" customHeight="1">
      <c r="A171" s="1">
        <f>IFERROR(__xludf.DUMMYFUNCTION("""COMPUTED_VALUE"""),44085.66666666667)</f>
        <v>44085.66667</v>
      </c>
      <c r="B171" s="2">
        <f>IFERROR(__xludf.DUMMYFUNCTION("""COMPUTED_VALUE"""),912.48)</f>
        <v>912.48</v>
      </c>
      <c r="C171" s="2">
        <f>IFERROR(__xludf.DUMMYFUNCTION("""COMPUTED_VALUE"""),972.32)</f>
        <v>972.32</v>
      </c>
      <c r="D171" s="2">
        <f>IFERROR(__xludf.DUMMYFUNCTION("""COMPUTED_VALUE"""),867.61)</f>
        <v>867.61</v>
      </c>
      <c r="E171" s="2">
        <f>IFERROR(__xludf.DUMMYFUNCTION("""COMPUTED_VALUE"""),957.36)</f>
        <v>957.36</v>
      </c>
      <c r="F171" s="2">
        <f>IFERROR(__xludf.DUMMYFUNCTION("""COMPUTED_VALUE"""),2.18135E7)</f>
        <v>21813500</v>
      </c>
      <c r="G171" s="2">
        <f t="shared" si="1"/>
        <v>104.71</v>
      </c>
    </row>
    <row r="172" ht="15.75" customHeight="1">
      <c r="A172" s="1">
        <f>IFERROR(__xludf.DUMMYFUNCTION("""COMPUTED_VALUE"""),44088.66666666667)</f>
        <v>44088.66667</v>
      </c>
      <c r="B172" s="2">
        <f>IFERROR(__xludf.DUMMYFUNCTION("""COMPUTED_VALUE"""),977.3)</f>
        <v>977.3</v>
      </c>
      <c r="C172" s="2">
        <f>IFERROR(__xludf.DUMMYFUNCTION("""COMPUTED_VALUE"""),997.25)</f>
        <v>997.25</v>
      </c>
      <c r="D172" s="2">
        <f>IFERROR(__xludf.DUMMYFUNCTION("""COMPUTED_VALUE"""),962.35)</f>
        <v>962.35</v>
      </c>
      <c r="E172" s="2">
        <f>IFERROR(__xludf.DUMMYFUNCTION("""COMPUTED_VALUE"""),987.28)</f>
        <v>987.28</v>
      </c>
      <c r="F172" s="2">
        <f>IFERROR(__xludf.DUMMYFUNCTION("""COMPUTED_VALUE"""),1.09622E7)</f>
        <v>10962200</v>
      </c>
      <c r="G172" s="2">
        <f t="shared" si="1"/>
        <v>39.89</v>
      </c>
    </row>
    <row r="173" ht="15.75" customHeight="1">
      <c r="A173" s="1">
        <f>IFERROR(__xludf.DUMMYFUNCTION("""COMPUTED_VALUE"""),44089.66666666667)</f>
        <v>44089.66667</v>
      </c>
      <c r="B173" s="2">
        <f>IFERROR(__xludf.DUMMYFUNCTION("""COMPUTED_VALUE"""),997.25)</f>
        <v>997.25</v>
      </c>
      <c r="C173" s="2">
        <f>IFERROR(__xludf.DUMMYFUNCTION("""COMPUTED_VALUE"""),1002.24)</f>
        <v>1002.24</v>
      </c>
      <c r="D173" s="2">
        <f>IFERROR(__xludf.DUMMYFUNCTION("""COMPUTED_VALUE"""),962.35)</f>
        <v>962.35</v>
      </c>
      <c r="E173" s="2">
        <f>IFERROR(__xludf.DUMMYFUNCTION("""COMPUTED_VALUE"""),967.33)</f>
        <v>967.33</v>
      </c>
      <c r="F173" s="2">
        <f>IFERROR(__xludf.DUMMYFUNCTION("""COMPUTED_VALUE"""),5908300.0)</f>
        <v>5908300</v>
      </c>
      <c r="G173" s="2">
        <f t="shared" si="1"/>
        <v>39.89</v>
      </c>
    </row>
    <row r="174" ht="15.75" customHeight="1">
      <c r="A174" s="1">
        <f>IFERROR(__xludf.DUMMYFUNCTION("""COMPUTED_VALUE"""),44090.66666666667)</f>
        <v>44090.66667</v>
      </c>
      <c r="B174" s="2">
        <f>IFERROR(__xludf.DUMMYFUNCTION("""COMPUTED_VALUE"""),977.3)</f>
        <v>977.3</v>
      </c>
      <c r="C174" s="2">
        <f>IFERROR(__xludf.DUMMYFUNCTION("""COMPUTED_VALUE"""),977.3)</f>
        <v>977.3</v>
      </c>
      <c r="D174" s="2">
        <f>IFERROR(__xludf.DUMMYFUNCTION("""COMPUTED_VALUE"""),947.39)</f>
        <v>947.39</v>
      </c>
      <c r="E174" s="2">
        <f>IFERROR(__xludf.DUMMYFUNCTION("""COMPUTED_VALUE"""),952.37)</f>
        <v>952.37</v>
      </c>
      <c r="F174" s="2">
        <f>IFERROR(__xludf.DUMMYFUNCTION("""COMPUTED_VALUE"""),5456400.0)</f>
        <v>5456400</v>
      </c>
      <c r="G174" s="2">
        <f t="shared" si="1"/>
        <v>29.91</v>
      </c>
    </row>
    <row r="175" ht="15.75" customHeight="1">
      <c r="A175" s="1">
        <f>IFERROR(__xludf.DUMMYFUNCTION("""COMPUTED_VALUE"""),44091.66666666667)</f>
        <v>44091.66667</v>
      </c>
      <c r="B175" s="2">
        <f>IFERROR(__xludf.DUMMYFUNCTION("""COMPUTED_VALUE"""),952.37)</f>
        <v>952.37</v>
      </c>
      <c r="C175" s="2">
        <f>IFERROR(__xludf.DUMMYFUNCTION("""COMPUTED_VALUE"""),957.36)</f>
        <v>957.36</v>
      </c>
      <c r="D175" s="2">
        <f>IFERROR(__xludf.DUMMYFUNCTION("""COMPUTED_VALUE"""),922.46)</f>
        <v>922.46</v>
      </c>
      <c r="E175" s="2">
        <f>IFERROR(__xludf.DUMMYFUNCTION("""COMPUTED_VALUE"""),927.44)</f>
        <v>927.44</v>
      </c>
      <c r="F175" s="2">
        <f>IFERROR(__xludf.DUMMYFUNCTION("""COMPUTED_VALUE"""),7462400.0)</f>
        <v>7462400</v>
      </c>
      <c r="G175" s="2">
        <f t="shared" si="1"/>
        <v>34.9</v>
      </c>
    </row>
    <row r="176" ht="15.75" customHeight="1">
      <c r="A176" s="1">
        <f>IFERROR(__xludf.DUMMYFUNCTION("""COMPUTED_VALUE"""),44092.66666666667)</f>
        <v>44092.66667</v>
      </c>
      <c r="B176" s="2">
        <f>IFERROR(__xludf.DUMMYFUNCTION("""COMPUTED_VALUE"""),927.44)</f>
        <v>927.44</v>
      </c>
      <c r="C176" s="2">
        <f>IFERROR(__xludf.DUMMYFUNCTION("""COMPUTED_VALUE"""),947.39)</f>
        <v>947.39</v>
      </c>
      <c r="D176" s="2">
        <f>IFERROR(__xludf.DUMMYFUNCTION("""COMPUTED_VALUE"""),922.46)</f>
        <v>922.46</v>
      </c>
      <c r="E176" s="2">
        <f>IFERROR(__xludf.DUMMYFUNCTION("""COMPUTED_VALUE"""),937.41)</f>
        <v>937.41</v>
      </c>
      <c r="F176" s="2">
        <f>IFERROR(__xludf.DUMMYFUNCTION("""COMPUTED_VALUE"""),5662500.0)</f>
        <v>5662500</v>
      </c>
      <c r="G176" s="2">
        <f t="shared" si="1"/>
        <v>24.93</v>
      </c>
    </row>
    <row r="177" ht="15.75" customHeight="1">
      <c r="A177" s="1">
        <f>IFERROR(__xludf.DUMMYFUNCTION("""COMPUTED_VALUE"""),44095.66666666667)</f>
        <v>44095.66667</v>
      </c>
      <c r="B177" s="2">
        <f>IFERROR(__xludf.DUMMYFUNCTION("""COMPUTED_VALUE"""),937.41)</f>
        <v>937.41</v>
      </c>
      <c r="C177" s="2">
        <f>IFERROR(__xludf.DUMMYFUNCTION("""COMPUTED_VALUE"""),942.4)</f>
        <v>942.4</v>
      </c>
      <c r="D177" s="2">
        <f>IFERROR(__xludf.DUMMYFUNCTION("""COMPUTED_VALUE"""),902.51)</f>
        <v>902.51</v>
      </c>
      <c r="E177" s="2">
        <f>IFERROR(__xludf.DUMMYFUNCTION("""COMPUTED_VALUE"""),902.51)</f>
        <v>902.51</v>
      </c>
      <c r="F177" s="2">
        <f>IFERROR(__xludf.DUMMYFUNCTION("""COMPUTED_VALUE"""),5364600.0)</f>
        <v>5364600</v>
      </c>
      <c r="G177" s="2">
        <f t="shared" si="1"/>
        <v>39.89</v>
      </c>
    </row>
    <row r="178" ht="15.75" customHeight="1">
      <c r="A178" s="1">
        <f>IFERROR(__xludf.DUMMYFUNCTION("""COMPUTED_VALUE"""),44096.66666666667)</f>
        <v>44096.66667</v>
      </c>
      <c r="B178" s="2">
        <f>IFERROR(__xludf.DUMMYFUNCTION("""COMPUTED_VALUE"""),887.55)</f>
        <v>887.55</v>
      </c>
      <c r="C178" s="2">
        <f>IFERROR(__xludf.DUMMYFUNCTION("""COMPUTED_VALUE"""),927.44)</f>
        <v>927.44</v>
      </c>
      <c r="D178" s="2">
        <f>IFERROR(__xludf.DUMMYFUNCTION("""COMPUTED_VALUE"""),877.58)</f>
        <v>877.58</v>
      </c>
      <c r="E178" s="2">
        <f>IFERROR(__xludf.DUMMYFUNCTION("""COMPUTED_VALUE"""),882.57)</f>
        <v>882.57</v>
      </c>
      <c r="F178" s="2">
        <f>IFERROR(__xludf.DUMMYFUNCTION("""COMPUTED_VALUE"""),5829700.0)</f>
        <v>5829700</v>
      </c>
      <c r="G178" s="2">
        <f t="shared" si="1"/>
        <v>49.86</v>
      </c>
    </row>
    <row r="179" ht="15.75" customHeight="1">
      <c r="A179" s="1">
        <f>IFERROR(__xludf.DUMMYFUNCTION("""COMPUTED_VALUE"""),44097.66666666667)</f>
        <v>44097.66667</v>
      </c>
      <c r="B179" s="2">
        <f>IFERROR(__xludf.DUMMYFUNCTION("""COMPUTED_VALUE"""),897.52)</f>
        <v>897.52</v>
      </c>
      <c r="C179" s="2">
        <f>IFERROR(__xludf.DUMMYFUNCTION("""COMPUTED_VALUE"""),917.47)</f>
        <v>917.47</v>
      </c>
      <c r="D179" s="2">
        <f>IFERROR(__xludf.DUMMYFUNCTION("""COMPUTED_VALUE"""),872.59)</f>
        <v>872.59</v>
      </c>
      <c r="E179" s="2">
        <f>IFERROR(__xludf.DUMMYFUNCTION("""COMPUTED_VALUE"""),887.55)</f>
        <v>887.55</v>
      </c>
      <c r="F179" s="2">
        <f>IFERROR(__xludf.DUMMYFUNCTION("""COMPUTED_VALUE"""),7290100.0)</f>
        <v>7290100</v>
      </c>
      <c r="G179" s="2">
        <f t="shared" si="1"/>
        <v>44.88</v>
      </c>
    </row>
    <row r="180" ht="15.75" customHeight="1">
      <c r="A180" s="1">
        <f>IFERROR(__xludf.DUMMYFUNCTION("""COMPUTED_VALUE"""),44098.66666666667)</f>
        <v>44098.66667</v>
      </c>
      <c r="B180" s="2">
        <f>IFERROR(__xludf.DUMMYFUNCTION("""COMPUTED_VALUE"""),877.58)</f>
        <v>877.58</v>
      </c>
      <c r="C180" s="2">
        <f>IFERROR(__xludf.DUMMYFUNCTION("""COMPUTED_VALUE"""),877.58)</f>
        <v>877.58</v>
      </c>
      <c r="D180" s="2">
        <f>IFERROR(__xludf.DUMMYFUNCTION("""COMPUTED_VALUE"""),852.65)</f>
        <v>852.65</v>
      </c>
      <c r="E180" s="2">
        <f>IFERROR(__xludf.DUMMYFUNCTION("""COMPUTED_VALUE"""),862.62)</f>
        <v>862.62</v>
      </c>
      <c r="F180" s="2">
        <f>IFERROR(__xludf.DUMMYFUNCTION("""COMPUTED_VALUE"""),8768000.0)</f>
        <v>8768000</v>
      </c>
      <c r="G180" s="2">
        <f t="shared" si="1"/>
        <v>34.9</v>
      </c>
    </row>
    <row r="181" ht="15.75" customHeight="1">
      <c r="A181" s="1">
        <f>IFERROR(__xludf.DUMMYFUNCTION("""COMPUTED_VALUE"""),44099.66666666667)</f>
        <v>44099.66667</v>
      </c>
      <c r="B181" s="2">
        <f>IFERROR(__xludf.DUMMYFUNCTION("""COMPUTED_VALUE"""),867.61)</f>
        <v>867.61</v>
      </c>
      <c r="C181" s="2">
        <f>IFERROR(__xludf.DUMMYFUNCTION("""COMPUTED_VALUE"""),897.52)</f>
        <v>897.52</v>
      </c>
      <c r="D181" s="2">
        <f>IFERROR(__xludf.DUMMYFUNCTION("""COMPUTED_VALUE"""),857.63)</f>
        <v>857.63</v>
      </c>
      <c r="E181" s="2">
        <f>IFERROR(__xludf.DUMMYFUNCTION("""COMPUTED_VALUE"""),882.57)</f>
        <v>882.57</v>
      </c>
      <c r="F181" s="2">
        <f>IFERROR(__xludf.DUMMYFUNCTION("""COMPUTED_VALUE"""),1.01761E7)</f>
        <v>10176100</v>
      </c>
      <c r="G181" s="2">
        <f t="shared" si="1"/>
        <v>39.89</v>
      </c>
    </row>
    <row r="182" ht="15.75" customHeight="1">
      <c r="A182" s="1">
        <f>IFERROR(__xludf.DUMMYFUNCTION("""COMPUTED_VALUE"""),44102.66666666667)</f>
        <v>44102.66667</v>
      </c>
      <c r="B182" s="2">
        <f>IFERROR(__xludf.DUMMYFUNCTION("""COMPUTED_VALUE"""),887.55)</f>
        <v>887.55</v>
      </c>
      <c r="C182" s="2">
        <f>IFERROR(__xludf.DUMMYFUNCTION("""COMPUTED_VALUE"""),897.52)</f>
        <v>897.52</v>
      </c>
      <c r="D182" s="2">
        <f>IFERROR(__xludf.DUMMYFUNCTION("""COMPUTED_VALUE"""),867.61)</f>
        <v>867.61</v>
      </c>
      <c r="E182" s="2">
        <f>IFERROR(__xludf.DUMMYFUNCTION("""COMPUTED_VALUE"""),877.58)</f>
        <v>877.58</v>
      </c>
      <c r="F182" s="2">
        <f>IFERROR(__xludf.DUMMYFUNCTION("""COMPUTED_VALUE"""),4842000.0)</f>
        <v>4842000</v>
      </c>
      <c r="G182" s="2">
        <f t="shared" si="1"/>
        <v>29.91</v>
      </c>
    </row>
    <row r="183" ht="15.75" customHeight="1">
      <c r="A183" s="1">
        <f>IFERROR(__xludf.DUMMYFUNCTION("""COMPUTED_VALUE"""),44103.66666666667)</f>
        <v>44103.66667</v>
      </c>
      <c r="B183" s="2">
        <f>IFERROR(__xludf.DUMMYFUNCTION("""COMPUTED_VALUE"""),882.57)</f>
        <v>882.57</v>
      </c>
      <c r="C183" s="2">
        <f>IFERROR(__xludf.DUMMYFUNCTION("""COMPUTED_VALUE"""),892.54)</f>
        <v>892.54</v>
      </c>
      <c r="D183" s="2">
        <f>IFERROR(__xludf.DUMMYFUNCTION("""COMPUTED_VALUE"""),862.62)</f>
        <v>862.62</v>
      </c>
      <c r="E183" s="2">
        <f>IFERROR(__xludf.DUMMYFUNCTION("""COMPUTED_VALUE"""),872.59)</f>
        <v>872.59</v>
      </c>
      <c r="F183" s="2">
        <f>IFERROR(__xludf.DUMMYFUNCTION("""COMPUTED_VALUE"""),5602000.0)</f>
        <v>5602000</v>
      </c>
      <c r="G183" s="2">
        <f t="shared" si="1"/>
        <v>29.92</v>
      </c>
    </row>
    <row r="184" ht="15.75" customHeight="1">
      <c r="A184" s="1">
        <f>IFERROR(__xludf.DUMMYFUNCTION("""COMPUTED_VALUE"""),44104.66666666667)</f>
        <v>44104.66667</v>
      </c>
      <c r="B184" s="2">
        <f>IFERROR(__xludf.DUMMYFUNCTION("""COMPUTED_VALUE"""),872.59)</f>
        <v>872.59</v>
      </c>
      <c r="C184" s="2">
        <f>IFERROR(__xludf.DUMMYFUNCTION("""COMPUTED_VALUE"""),872.59)</f>
        <v>872.59</v>
      </c>
      <c r="D184" s="2">
        <f>IFERROR(__xludf.DUMMYFUNCTION("""COMPUTED_VALUE"""),857.63)</f>
        <v>857.63</v>
      </c>
      <c r="E184" s="2">
        <f>IFERROR(__xludf.DUMMYFUNCTION("""COMPUTED_VALUE"""),867.61)</f>
        <v>867.61</v>
      </c>
      <c r="F184" s="2">
        <f>IFERROR(__xludf.DUMMYFUNCTION("""COMPUTED_VALUE"""),5129400.0)</f>
        <v>5129400</v>
      </c>
      <c r="G184" s="2">
        <f t="shared" si="1"/>
        <v>14.96</v>
      </c>
    </row>
    <row r="185" ht="15.75" customHeight="1">
      <c r="A185" s="1">
        <f>IFERROR(__xludf.DUMMYFUNCTION("""COMPUTED_VALUE"""),44105.66666666667)</f>
        <v>44105.66667</v>
      </c>
      <c r="B185" s="2">
        <f>IFERROR(__xludf.DUMMYFUNCTION("""COMPUTED_VALUE"""),877.58)</f>
        <v>877.58</v>
      </c>
      <c r="C185" s="2">
        <f>IFERROR(__xludf.DUMMYFUNCTION("""COMPUTED_VALUE"""),917.47)</f>
        <v>917.47</v>
      </c>
      <c r="D185" s="2">
        <f>IFERROR(__xludf.DUMMYFUNCTION("""COMPUTED_VALUE"""),867.61)</f>
        <v>867.61</v>
      </c>
      <c r="E185" s="2">
        <f>IFERROR(__xludf.DUMMYFUNCTION("""COMPUTED_VALUE"""),902.51)</f>
        <v>902.51</v>
      </c>
      <c r="F185" s="2">
        <f>IFERROR(__xludf.DUMMYFUNCTION("""COMPUTED_VALUE"""),5263800.0)</f>
        <v>5263800</v>
      </c>
      <c r="G185" s="2">
        <f t="shared" si="1"/>
        <v>49.86</v>
      </c>
    </row>
    <row r="186" ht="15.75" customHeight="1">
      <c r="A186" s="1">
        <f>IFERROR(__xludf.DUMMYFUNCTION("""COMPUTED_VALUE"""),44106.66666666667)</f>
        <v>44106.66667</v>
      </c>
      <c r="B186" s="2">
        <f>IFERROR(__xludf.DUMMYFUNCTION("""COMPUTED_VALUE"""),907.5)</f>
        <v>907.5</v>
      </c>
      <c r="C186" s="2">
        <f>IFERROR(__xludf.DUMMYFUNCTION("""COMPUTED_VALUE"""),922.46)</f>
        <v>922.46</v>
      </c>
      <c r="D186" s="2">
        <f>IFERROR(__xludf.DUMMYFUNCTION("""COMPUTED_VALUE"""),867.61)</f>
        <v>867.61</v>
      </c>
      <c r="E186" s="2">
        <f>IFERROR(__xludf.DUMMYFUNCTION("""COMPUTED_VALUE"""),877.58)</f>
        <v>877.58</v>
      </c>
      <c r="F186" s="2">
        <f>IFERROR(__xludf.DUMMYFUNCTION("""COMPUTED_VALUE"""),9631700.0)</f>
        <v>9631700</v>
      </c>
      <c r="G186" s="2">
        <f t="shared" si="1"/>
        <v>54.85</v>
      </c>
    </row>
    <row r="187" ht="15.75" customHeight="1">
      <c r="A187" s="1">
        <f>IFERROR(__xludf.DUMMYFUNCTION("""COMPUTED_VALUE"""),44109.66666666667)</f>
        <v>44109.66667</v>
      </c>
      <c r="B187" s="2">
        <f>IFERROR(__xludf.DUMMYFUNCTION("""COMPUTED_VALUE"""),877.58)</f>
        <v>877.58</v>
      </c>
      <c r="C187" s="2">
        <f>IFERROR(__xludf.DUMMYFUNCTION("""COMPUTED_VALUE"""),892.54)</f>
        <v>892.54</v>
      </c>
      <c r="D187" s="2">
        <f>IFERROR(__xludf.DUMMYFUNCTION("""COMPUTED_VALUE"""),877.58)</f>
        <v>877.58</v>
      </c>
      <c r="E187" s="2">
        <f>IFERROR(__xludf.DUMMYFUNCTION("""COMPUTED_VALUE"""),892.54)</f>
        <v>892.54</v>
      </c>
      <c r="F187" s="2">
        <f>IFERROR(__xludf.DUMMYFUNCTION("""COMPUTED_VALUE"""),3314800.0)</f>
        <v>3314800</v>
      </c>
      <c r="G187" s="2">
        <f t="shared" si="1"/>
        <v>14.96</v>
      </c>
    </row>
    <row r="188" ht="15.75" customHeight="1">
      <c r="A188" s="1">
        <f>IFERROR(__xludf.DUMMYFUNCTION("""COMPUTED_VALUE"""),44110.66666666667)</f>
        <v>44110.66667</v>
      </c>
      <c r="B188" s="2">
        <f>IFERROR(__xludf.DUMMYFUNCTION("""COMPUTED_VALUE"""),897.52)</f>
        <v>897.52</v>
      </c>
      <c r="C188" s="2">
        <f>IFERROR(__xludf.DUMMYFUNCTION("""COMPUTED_VALUE"""),912.48)</f>
        <v>912.48</v>
      </c>
      <c r="D188" s="2">
        <f>IFERROR(__xludf.DUMMYFUNCTION("""COMPUTED_VALUE"""),897.52)</f>
        <v>897.52</v>
      </c>
      <c r="E188" s="2">
        <f>IFERROR(__xludf.DUMMYFUNCTION("""COMPUTED_VALUE"""),907.5)</f>
        <v>907.5</v>
      </c>
      <c r="F188" s="2">
        <f>IFERROR(__xludf.DUMMYFUNCTION("""COMPUTED_VALUE"""),7681900.0)</f>
        <v>7681900</v>
      </c>
      <c r="G188" s="2">
        <f t="shared" si="1"/>
        <v>19.94</v>
      </c>
    </row>
    <row r="189" ht="15.75" customHeight="1">
      <c r="A189" s="1">
        <f>IFERROR(__xludf.DUMMYFUNCTION("""COMPUTED_VALUE"""),44111.66666666667)</f>
        <v>44111.66667</v>
      </c>
      <c r="B189" s="2">
        <f>IFERROR(__xludf.DUMMYFUNCTION("""COMPUTED_VALUE"""),902.51)</f>
        <v>902.51</v>
      </c>
      <c r="C189" s="2">
        <f>IFERROR(__xludf.DUMMYFUNCTION("""COMPUTED_VALUE"""),912.48)</f>
        <v>912.48</v>
      </c>
      <c r="D189" s="2">
        <f>IFERROR(__xludf.DUMMYFUNCTION("""COMPUTED_VALUE"""),892.54)</f>
        <v>892.54</v>
      </c>
      <c r="E189" s="2">
        <f>IFERROR(__xludf.DUMMYFUNCTION("""COMPUTED_VALUE"""),902.51)</f>
        <v>902.51</v>
      </c>
      <c r="F189" s="2">
        <f>IFERROR(__xludf.DUMMYFUNCTION("""COMPUTED_VALUE"""),2966400.0)</f>
        <v>2966400</v>
      </c>
      <c r="G189" s="2">
        <f t="shared" si="1"/>
        <v>19.94</v>
      </c>
    </row>
    <row r="190" ht="15.75" customHeight="1">
      <c r="A190" s="1">
        <f>IFERROR(__xludf.DUMMYFUNCTION("""COMPUTED_VALUE"""),44112.66666666667)</f>
        <v>44112.66667</v>
      </c>
      <c r="B190" s="2">
        <f>IFERROR(__xludf.DUMMYFUNCTION("""COMPUTED_VALUE"""),907.5)</f>
        <v>907.5</v>
      </c>
      <c r="C190" s="2">
        <f>IFERROR(__xludf.DUMMYFUNCTION("""COMPUTED_VALUE"""),922.46)</f>
        <v>922.46</v>
      </c>
      <c r="D190" s="2">
        <f>IFERROR(__xludf.DUMMYFUNCTION("""COMPUTED_VALUE"""),902.51)</f>
        <v>902.51</v>
      </c>
      <c r="E190" s="2">
        <f>IFERROR(__xludf.DUMMYFUNCTION("""COMPUTED_VALUE"""),912.48)</f>
        <v>912.48</v>
      </c>
      <c r="F190" s="2">
        <f>IFERROR(__xludf.DUMMYFUNCTION("""COMPUTED_VALUE"""),5761000.0)</f>
        <v>5761000</v>
      </c>
      <c r="G190" s="2">
        <f t="shared" si="1"/>
        <v>19.95</v>
      </c>
    </row>
    <row r="191" ht="15.75" customHeight="1">
      <c r="A191" s="1">
        <f>IFERROR(__xludf.DUMMYFUNCTION("""COMPUTED_VALUE"""),44113.66666666667)</f>
        <v>44113.66667</v>
      </c>
      <c r="B191" s="2">
        <f>IFERROR(__xludf.DUMMYFUNCTION("""COMPUTED_VALUE"""),922.46)</f>
        <v>922.46</v>
      </c>
      <c r="C191" s="2">
        <f>IFERROR(__xludf.DUMMYFUNCTION("""COMPUTED_VALUE"""),922.46)</f>
        <v>922.46</v>
      </c>
      <c r="D191" s="2">
        <f>IFERROR(__xludf.DUMMYFUNCTION("""COMPUTED_VALUE"""),907.5)</f>
        <v>907.5</v>
      </c>
      <c r="E191" s="2">
        <f>IFERROR(__xludf.DUMMYFUNCTION("""COMPUTED_VALUE"""),912.48)</f>
        <v>912.48</v>
      </c>
      <c r="F191" s="2">
        <f>IFERROR(__xludf.DUMMYFUNCTION("""COMPUTED_VALUE"""),2660400.0)</f>
        <v>2660400</v>
      </c>
      <c r="G191" s="2">
        <f t="shared" si="1"/>
        <v>14.96</v>
      </c>
    </row>
    <row r="192" ht="15.75" customHeight="1">
      <c r="A192" s="1">
        <f>IFERROR(__xludf.DUMMYFUNCTION("""COMPUTED_VALUE"""),44116.66666666667)</f>
        <v>44116.66667</v>
      </c>
      <c r="B192" s="2">
        <f>IFERROR(__xludf.DUMMYFUNCTION("""COMPUTED_VALUE"""),922.46)</f>
        <v>922.46</v>
      </c>
      <c r="C192" s="2">
        <f>IFERROR(__xludf.DUMMYFUNCTION("""COMPUTED_VALUE"""),942.4)</f>
        <v>942.4</v>
      </c>
      <c r="D192" s="2">
        <f>IFERROR(__xludf.DUMMYFUNCTION("""COMPUTED_VALUE"""),917.47)</f>
        <v>917.47</v>
      </c>
      <c r="E192" s="2">
        <f>IFERROR(__xludf.DUMMYFUNCTION("""COMPUTED_VALUE"""),927.44)</f>
        <v>927.44</v>
      </c>
      <c r="F192" s="2">
        <f>IFERROR(__xludf.DUMMYFUNCTION("""COMPUTED_VALUE"""),9990100.0)</f>
        <v>9990100</v>
      </c>
      <c r="G192" s="2">
        <f t="shared" si="1"/>
        <v>29.92</v>
      </c>
    </row>
    <row r="193" ht="15.75" customHeight="1">
      <c r="A193" s="1">
        <f>IFERROR(__xludf.DUMMYFUNCTION("""COMPUTED_VALUE"""),44117.66666666667)</f>
        <v>44117.66667</v>
      </c>
      <c r="B193" s="2">
        <f>IFERROR(__xludf.DUMMYFUNCTION("""COMPUTED_VALUE"""),927.44)</f>
        <v>927.44</v>
      </c>
      <c r="C193" s="2">
        <f>IFERROR(__xludf.DUMMYFUNCTION("""COMPUTED_VALUE"""),972.32)</f>
        <v>972.32</v>
      </c>
      <c r="D193" s="2">
        <f>IFERROR(__xludf.DUMMYFUNCTION("""COMPUTED_VALUE"""),917.47)</f>
        <v>917.47</v>
      </c>
      <c r="E193" s="2">
        <f>IFERROR(__xludf.DUMMYFUNCTION("""COMPUTED_VALUE"""),957.36)</f>
        <v>957.36</v>
      </c>
      <c r="F193" s="2">
        <f>IFERROR(__xludf.DUMMYFUNCTION("""COMPUTED_VALUE"""),1.55288E7)</f>
        <v>15528800</v>
      </c>
      <c r="G193" s="2">
        <f t="shared" si="1"/>
        <v>54.85</v>
      </c>
    </row>
    <row r="194" ht="15.75" customHeight="1">
      <c r="A194" s="1">
        <f>IFERROR(__xludf.DUMMYFUNCTION("""COMPUTED_VALUE"""),44118.66666666667)</f>
        <v>44118.66667</v>
      </c>
      <c r="B194" s="2">
        <f>IFERROR(__xludf.DUMMYFUNCTION("""COMPUTED_VALUE"""),972.32)</f>
        <v>972.32</v>
      </c>
      <c r="C194" s="2">
        <f>IFERROR(__xludf.DUMMYFUNCTION("""COMPUTED_VALUE"""),977.3)</f>
        <v>977.3</v>
      </c>
      <c r="D194" s="2">
        <f>IFERROR(__xludf.DUMMYFUNCTION("""COMPUTED_VALUE"""),957.36)</f>
        <v>957.36</v>
      </c>
      <c r="E194" s="2">
        <f>IFERROR(__xludf.DUMMYFUNCTION("""COMPUTED_VALUE"""),967.33)</f>
        <v>967.33</v>
      </c>
      <c r="F194" s="2">
        <f>IFERROR(__xludf.DUMMYFUNCTION("""COMPUTED_VALUE"""),1.20073E7)</f>
        <v>12007300</v>
      </c>
      <c r="G194" s="2">
        <f t="shared" si="1"/>
        <v>19.94</v>
      </c>
    </row>
    <row r="195" ht="15.75" customHeight="1">
      <c r="A195" s="1">
        <f>IFERROR(__xludf.DUMMYFUNCTION("""COMPUTED_VALUE"""),44119.66666666667)</f>
        <v>44119.66667</v>
      </c>
      <c r="B195" s="2">
        <f>IFERROR(__xludf.DUMMYFUNCTION("""COMPUTED_VALUE"""),972.32)</f>
        <v>972.32</v>
      </c>
      <c r="C195" s="2">
        <f>IFERROR(__xludf.DUMMYFUNCTION("""COMPUTED_VALUE"""),972.32)</f>
        <v>972.32</v>
      </c>
      <c r="D195" s="2">
        <f>IFERROR(__xludf.DUMMYFUNCTION("""COMPUTED_VALUE"""),947.39)</f>
        <v>947.39</v>
      </c>
      <c r="E195" s="2">
        <f>IFERROR(__xludf.DUMMYFUNCTION("""COMPUTED_VALUE"""),972.32)</f>
        <v>972.32</v>
      </c>
      <c r="F195" s="2">
        <f>IFERROR(__xludf.DUMMYFUNCTION("""COMPUTED_VALUE"""),1.60486E7)</f>
        <v>16048600</v>
      </c>
      <c r="G195" s="2">
        <f t="shared" si="1"/>
        <v>24.93</v>
      </c>
    </row>
    <row r="196" ht="15.75" customHeight="1">
      <c r="A196" s="1">
        <f>IFERROR(__xludf.DUMMYFUNCTION("""COMPUTED_VALUE"""),44120.66666666667)</f>
        <v>44120.66667</v>
      </c>
      <c r="B196" s="2">
        <f>IFERROR(__xludf.DUMMYFUNCTION("""COMPUTED_VALUE"""),972.32)</f>
        <v>972.32</v>
      </c>
      <c r="C196" s="2">
        <f>IFERROR(__xludf.DUMMYFUNCTION("""COMPUTED_VALUE"""),1062.07)</f>
        <v>1062.07</v>
      </c>
      <c r="D196" s="2">
        <f>IFERROR(__xludf.DUMMYFUNCTION("""COMPUTED_VALUE"""),967.33)</f>
        <v>967.33</v>
      </c>
      <c r="E196" s="2">
        <f>IFERROR(__xludf.DUMMYFUNCTION("""COMPUTED_VALUE"""),1032.15)</f>
        <v>1032.15</v>
      </c>
      <c r="F196" s="2">
        <f>IFERROR(__xludf.DUMMYFUNCTION("""COMPUTED_VALUE"""),3.85969E7)</f>
        <v>38596900</v>
      </c>
      <c r="G196" s="2">
        <f t="shared" si="1"/>
        <v>94.74</v>
      </c>
    </row>
    <row r="197" ht="15.75" customHeight="1">
      <c r="A197" s="1">
        <f>IFERROR(__xludf.DUMMYFUNCTION("""COMPUTED_VALUE"""),44123.66666666667)</f>
        <v>44123.66667</v>
      </c>
      <c r="B197" s="2">
        <f>IFERROR(__xludf.DUMMYFUNCTION("""COMPUTED_VALUE"""),1047.11)</f>
        <v>1047.11</v>
      </c>
      <c r="C197" s="2">
        <f>IFERROR(__xludf.DUMMYFUNCTION("""COMPUTED_VALUE"""),1057.08)</f>
        <v>1057.08</v>
      </c>
      <c r="D197" s="2">
        <f>IFERROR(__xludf.DUMMYFUNCTION("""COMPUTED_VALUE"""),1022.18)</f>
        <v>1022.18</v>
      </c>
      <c r="E197" s="2">
        <f>IFERROR(__xludf.DUMMYFUNCTION("""COMPUTED_VALUE"""),1052.1)</f>
        <v>1052.1</v>
      </c>
      <c r="F197" s="2">
        <f>IFERROR(__xludf.DUMMYFUNCTION("""COMPUTED_VALUE"""),1.97685E7)</f>
        <v>19768500</v>
      </c>
      <c r="G197" s="2">
        <f t="shared" si="1"/>
        <v>34.9</v>
      </c>
    </row>
    <row r="198" ht="15.75" customHeight="1">
      <c r="A198" s="1">
        <f>IFERROR(__xludf.DUMMYFUNCTION("""COMPUTED_VALUE"""),44124.66666666667)</f>
        <v>44124.66667</v>
      </c>
      <c r="B198" s="2">
        <f>IFERROR(__xludf.DUMMYFUNCTION("""COMPUTED_VALUE"""),1037.14)</f>
        <v>1037.14</v>
      </c>
      <c r="C198" s="2">
        <f>IFERROR(__xludf.DUMMYFUNCTION("""COMPUTED_VALUE"""),1082.01)</f>
        <v>1082.01</v>
      </c>
      <c r="D198" s="2">
        <f>IFERROR(__xludf.DUMMYFUNCTION("""COMPUTED_VALUE"""),1027.17)</f>
        <v>1027.17</v>
      </c>
      <c r="E198" s="2">
        <f>IFERROR(__xludf.DUMMYFUNCTION("""COMPUTED_VALUE"""),1052.1)</f>
        <v>1052.1</v>
      </c>
      <c r="F198" s="2">
        <f>IFERROR(__xludf.DUMMYFUNCTION("""COMPUTED_VALUE"""),1.99116E7)</f>
        <v>19911600</v>
      </c>
      <c r="G198" s="2">
        <f t="shared" si="1"/>
        <v>54.84</v>
      </c>
    </row>
    <row r="199" ht="15.75" customHeight="1">
      <c r="A199" s="1">
        <f>IFERROR(__xludf.DUMMYFUNCTION("""COMPUTED_VALUE"""),44125.66666666667)</f>
        <v>44125.66667</v>
      </c>
      <c r="B199" s="2">
        <f>IFERROR(__xludf.DUMMYFUNCTION("""COMPUTED_VALUE"""),1057.08)</f>
        <v>1057.08</v>
      </c>
      <c r="C199" s="2">
        <f>IFERROR(__xludf.DUMMYFUNCTION("""COMPUTED_VALUE"""),1077.03)</f>
        <v>1077.03</v>
      </c>
      <c r="D199" s="2">
        <f>IFERROR(__xludf.DUMMYFUNCTION("""COMPUTED_VALUE"""),1047.11)</f>
        <v>1047.11</v>
      </c>
      <c r="E199" s="2">
        <f>IFERROR(__xludf.DUMMYFUNCTION("""COMPUTED_VALUE"""),1077.03)</f>
        <v>1077.03</v>
      </c>
      <c r="F199" s="2">
        <f>IFERROR(__xludf.DUMMYFUNCTION("""COMPUTED_VALUE"""),1.70695E7)</f>
        <v>17069500</v>
      </c>
      <c r="G199" s="2">
        <f t="shared" si="1"/>
        <v>29.92</v>
      </c>
    </row>
    <row r="200" ht="15.75" customHeight="1">
      <c r="A200" s="1">
        <f>IFERROR(__xludf.DUMMYFUNCTION("""COMPUTED_VALUE"""),44126.66666666667)</f>
        <v>44126.66667</v>
      </c>
      <c r="B200" s="2">
        <f>IFERROR(__xludf.DUMMYFUNCTION("""COMPUTED_VALUE"""),1077.03)</f>
        <v>1077.03</v>
      </c>
      <c r="C200" s="2">
        <f>IFERROR(__xludf.DUMMYFUNCTION("""COMPUTED_VALUE"""),1131.88)</f>
        <v>1131.88</v>
      </c>
      <c r="D200" s="2">
        <f>IFERROR(__xludf.DUMMYFUNCTION("""COMPUTED_VALUE"""),1037.14)</f>
        <v>1037.14</v>
      </c>
      <c r="E200" s="2">
        <f>IFERROR(__xludf.DUMMYFUNCTION("""COMPUTED_VALUE"""),1037.14)</f>
        <v>1037.14</v>
      </c>
      <c r="F200" s="2">
        <f>IFERROR(__xludf.DUMMYFUNCTION("""COMPUTED_VALUE"""),6.02748E7)</f>
        <v>60274800</v>
      </c>
      <c r="G200" s="2">
        <f t="shared" si="1"/>
        <v>94.74</v>
      </c>
    </row>
    <row r="201" ht="15.75" customHeight="1">
      <c r="A201" s="1">
        <f>IFERROR(__xludf.DUMMYFUNCTION("""COMPUTED_VALUE"""),44127.66666666667)</f>
        <v>44127.66667</v>
      </c>
      <c r="B201" s="2">
        <f>IFERROR(__xludf.DUMMYFUNCTION("""COMPUTED_VALUE"""),1042.12)</f>
        <v>1042.12</v>
      </c>
      <c r="C201" s="2">
        <f>IFERROR(__xludf.DUMMYFUNCTION("""COMPUTED_VALUE"""),1052.1)</f>
        <v>1052.1</v>
      </c>
      <c r="D201" s="2">
        <f>IFERROR(__xludf.DUMMYFUNCTION("""COMPUTED_VALUE"""),1032.15)</f>
        <v>1032.15</v>
      </c>
      <c r="E201" s="2">
        <f>IFERROR(__xludf.DUMMYFUNCTION("""COMPUTED_VALUE"""),1047.11)</f>
        <v>1047.11</v>
      </c>
      <c r="F201" s="2">
        <f>IFERROR(__xludf.DUMMYFUNCTION("""COMPUTED_VALUE"""),1.85123E7)</f>
        <v>18512300</v>
      </c>
      <c r="G201" s="2">
        <f t="shared" si="1"/>
        <v>19.95</v>
      </c>
    </row>
    <row r="202" ht="15.75" customHeight="1">
      <c r="A202" s="1">
        <f>IFERROR(__xludf.DUMMYFUNCTION("""COMPUTED_VALUE"""),44130.66666666667)</f>
        <v>44130.66667</v>
      </c>
      <c r="B202" s="2">
        <f>IFERROR(__xludf.DUMMYFUNCTION("""COMPUTED_VALUE"""),1091.99)</f>
        <v>1091.99</v>
      </c>
      <c r="C202" s="2">
        <f>IFERROR(__xludf.DUMMYFUNCTION("""COMPUTED_VALUE"""),1156.81)</f>
        <v>1156.81</v>
      </c>
      <c r="D202" s="2">
        <f>IFERROR(__xludf.DUMMYFUNCTION("""COMPUTED_VALUE"""),1067.06)</f>
        <v>1067.06</v>
      </c>
      <c r="E202" s="2">
        <f>IFERROR(__xludf.DUMMYFUNCTION("""COMPUTED_VALUE"""),1101.96)</f>
        <v>1101.96</v>
      </c>
      <c r="F202" s="2">
        <f>IFERROR(__xludf.DUMMYFUNCTION("""COMPUTED_VALUE"""),4.10603E7)</f>
        <v>41060300</v>
      </c>
      <c r="G202" s="2">
        <f t="shared" si="1"/>
        <v>109.7</v>
      </c>
    </row>
    <row r="203" ht="15.75" customHeight="1">
      <c r="A203" s="1">
        <f>IFERROR(__xludf.DUMMYFUNCTION("""COMPUTED_VALUE"""),44131.66666666667)</f>
        <v>44131.66667</v>
      </c>
      <c r="B203" s="2">
        <f>IFERROR(__xludf.DUMMYFUNCTION("""COMPUTED_VALUE"""),1101.96)</f>
        <v>1101.96</v>
      </c>
      <c r="C203" s="2">
        <f>IFERROR(__xludf.DUMMYFUNCTION("""COMPUTED_VALUE"""),1126.89)</f>
        <v>1126.89</v>
      </c>
      <c r="D203" s="2">
        <f>IFERROR(__xludf.DUMMYFUNCTION("""COMPUTED_VALUE"""),1082.01)</f>
        <v>1082.01</v>
      </c>
      <c r="E203" s="2">
        <f>IFERROR(__xludf.DUMMYFUNCTION("""COMPUTED_VALUE"""),1082.01)</f>
        <v>1082.01</v>
      </c>
      <c r="F203" s="2">
        <f>IFERROR(__xludf.DUMMYFUNCTION("""COMPUTED_VALUE"""),1.87812E7)</f>
        <v>18781200</v>
      </c>
      <c r="G203" s="2">
        <f t="shared" si="1"/>
        <v>44.88</v>
      </c>
    </row>
    <row r="204" ht="15.75" customHeight="1">
      <c r="A204" s="1">
        <f>IFERROR(__xludf.DUMMYFUNCTION("""COMPUTED_VALUE"""),44137.66666666667)</f>
        <v>44137.66667</v>
      </c>
      <c r="B204" s="2">
        <f>IFERROR(__xludf.DUMMYFUNCTION("""COMPUTED_VALUE"""),1072.04)</f>
        <v>1072.04</v>
      </c>
      <c r="C204" s="2">
        <f>IFERROR(__xludf.DUMMYFUNCTION("""COMPUTED_VALUE"""),1106.95)</f>
        <v>1106.95</v>
      </c>
      <c r="D204" s="2">
        <f>IFERROR(__xludf.DUMMYFUNCTION("""COMPUTED_VALUE"""),1072.04)</f>
        <v>1072.04</v>
      </c>
      <c r="E204" s="2">
        <f>IFERROR(__xludf.DUMMYFUNCTION("""COMPUTED_VALUE"""),1101.96)</f>
        <v>1101.96</v>
      </c>
      <c r="F204" s="2">
        <f>IFERROR(__xludf.DUMMYFUNCTION("""COMPUTED_VALUE"""),1.85195E7)</f>
        <v>18519500</v>
      </c>
      <c r="G204" s="2">
        <f t="shared" si="1"/>
        <v>34.91</v>
      </c>
    </row>
    <row r="205" ht="15.75" customHeight="1">
      <c r="A205" s="1">
        <f>IFERROR(__xludf.DUMMYFUNCTION("""COMPUTED_VALUE"""),44138.66666666667)</f>
        <v>44138.66667</v>
      </c>
      <c r="B205" s="2">
        <f>IFERROR(__xludf.DUMMYFUNCTION("""COMPUTED_VALUE"""),1101.96)</f>
        <v>1101.96</v>
      </c>
      <c r="C205" s="2">
        <f>IFERROR(__xludf.DUMMYFUNCTION("""COMPUTED_VALUE"""),1126.89)</f>
        <v>1126.89</v>
      </c>
      <c r="D205" s="2">
        <f>IFERROR(__xludf.DUMMYFUNCTION("""COMPUTED_VALUE"""),1101.96)</f>
        <v>1101.96</v>
      </c>
      <c r="E205" s="2">
        <f>IFERROR(__xludf.DUMMYFUNCTION("""COMPUTED_VALUE"""),1111.93)</f>
        <v>1111.93</v>
      </c>
      <c r="F205" s="2">
        <f>IFERROR(__xludf.DUMMYFUNCTION("""COMPUTED_VALUE"""),1.14361E7)</f>
        <v>11436100</v>
      </c>
      <c r="G205" s="2">
        <f t="shared" si="1"/>
        <v>24.93</v>
      </c>
    </row>
    <row r="206" ht="15.75" customHeight="1">
      <c r="A206" s="1">
        <f>IFERROR(__xludf.DUMMYFUNCTION("""COMPUTED_VALUE"""),44139.66666666667)</f>
        <v>44139.66667</v>
      </c>
      <c r="B206" s="2">
        <f>IFERROR(__xludf.DUMMYFUNCTION("""COMPUTED_VALUE"""),1131.88)</f>
        <v>1131.88</v>
      </c>
      <c r="C206" s="2">
        <f>IFERROR(__xludf.DUMMYFUNCTION("""COMPUTED_VALUE"""),1131.88)</f>
        <v>1131.88</v>
      </c>
      <c r="D206" s="2">
        <f>IFERROR(__xludf.DUMMYFUNCTION("""COMPUTED_VALUE"""),1077.03)</f>
        <v>1077.03</v>
      </c>
      <c r="E206" s="2">
        <f>IFERROR(__xludf.DUMMYFUNCTION("""COMPUTED_VALUE"""),1087.0)</f>
        <v>1087</v>
      </c>
      <c r="F206" s="2">
        <f>IFERROR(__xludf.DUMMYFUNCTION("""COMPUTED_VALUE"""),1.11532E7)</f>
        <v>11153200</v>
      </c>
      <c r="G206" s="2">
        <f t="shared" si="1"/>
        <v>54.85</v>
      </c>
    </row>
    <row r="207" ht="15.75" customHeight="1">
      <c r="A207" s="1">
        <f>IFERROR(__xludf.DUMMYFUNCTION("""COMPUTED_VALUE"""),44140.66666666667)</f>
        <v>44140.66667</v>
      </c>
      <c r="B207" s="2">
        <f>IFERROR(__xludf.DUMMYFUNCTION("""COMPUTED_VALUE"""),1096.97)</f>
        <v>1096.97</v>
      </c>
      <c r="C207" s="2">
        <f>IFERROR(__xludf.DUMMYFUNCTION("""COMPUTED_VALUE"""),1116.92)</f>
        <v>1116.92</v>
      </c>
      <c r="D207" s="2">
        <f>IFERROR(__xludf.DUMMYFUNCTION("""COMPUTED_VALUE"""),1096.97)</f>
        <v>1096.97</v>
      </c>
      <c r="E207" s="2">
        <f>IFERROR(__xludf.DUMMYFUNCTION("""COMPUTED_VALUE"""),1106.95)</f>
        <v>1106.95</v>
      </c>
      <c r="F207" s="2">
        <f>IFERROR(__xludf.DUMMYFUNCTION("""COMPUTED_VALUE"""),1.16513E7)</f>
        <v>11651300</v>
      </c>
      <c r="G207" s="2">
        <f t="shared" si="1"/>
        <v>29.92</v>
      </c>
    </row>
    <row r="208" ht="15.75" customHeight="1">
      <c r="A208" s="1">
        <f>IFERROR(__xludf.DUMMYFUNCTION("""COMPUTED_VALUE"""),44141.66666666667)</f>
        <v>44141.66667</v>
      </c>
      <c r="B208" s="2">
        <f>IFERROR(__xludf.DUMMYFUNCTION("""COMPUTED_VALUE"""),1111.93)</f>
        <v>1111.93</v>
      </c>
      <c r="C208" s="2">
        <f>IFERROR(__xludf.DUMMYFUNCTION("""COMPUTED_VALUE"""),1126.89)</f>
        <v>1126.89</v>
      </c>
      <c r="D208" s="2">
        <f>IFERROR(__xludf.DUMMYFUNCTION("""COMPUTED_VALUE"""),1106.95)</f>
        <v>1106.95</v>
      </c>
      <c r="E208" s="2">
        <f>IFERROR(__xludf.DUMMYFUNCTION("""COMPUTED_VALUE"""),1126.89)</f>
        <v>1126.89</v>
      </c>
      <c r="F208" s="2">
        <f>IFERROR(__xludf.DUMMYFUNCTION("""COMPUTED_VALUE"""),1.34125E7)</f>
        <v>13412500</v>
      </c>
      <c r="G208" s="2">
        <f t="shared" si="1"/>
        <v>19.94</v>
      </c>
    </row>
    <row r="209" ht="15.75" customHeight="1">
      <c r="A209" s="1">
        <f>IFERROR(__xludf.DUMMYFUNCTION("""COMPUTED_VALUE"""),44144.66666666667)</f>
        <v>44144.66667</v>
      </c>
      <c r="B209" s="2">
        <f>IFERROR(__xludf.DUMMYFUNCTION("""COMPUTED_VALUE"""),1146.84)</f>
        <v>1146.84</v>
      </c>
      <c r="C209" s="2">
        <f>IFERROR(__xludf.DUMMYFUNCTION("""COMPUTED_VALUE"""),1181.74)</f>
        <v>1181.74</v>
      </c>
      <c r="D209" s="2">
        <f>IFERROR(__xludf.DUMMYFUNCTION("""COMPUTED_VALUE"""),1131.88)</f>
        <v>1131.88</v>
      </c>
      <c r="E209" s="2">
        <f>IFERROR(__xludf.DUMMYFUNCTION("""COMPUTED_VALUE"""),1166.78)</f>
        <v>1166.78</v>
      </c>
      <c r="F209" s="2">
        <f>IFERROR(__xludf.DUMMYFUNCTION("""COMPUTED_VALUE"""),2.89748E7)</f>
        <v>28974800</v>
      </c>
      <c r="G209" s="2">
        <f t="shared" si="1"/>
        <v>54.85</v>
      </c>
    </row>
    <row r="210" ht="15.75" customHeight="1">
      <c r="A210" s="1">
        <f>IFERROR(__xludf.DUMMYFUNCTION("""COMPUTED_VALUE"""),44145.66666666667)</f>
        <v>44145.66667</v>
      </c>
      <c r="B210" s="2">
        <f>IFERROR(__xludf.DUMMYFUNCTION("""COMPUTED_VALUE"""),1186.73)</f>
        <v>1186.73</v>
      </c>
      <c r="C210" s="2">
        <f>IFERROR(__xludf.DUMMYFUNCTION("""COMPUTED_VALUE"""),1231.6)</f>
        <v>1231.6</v>
      </c>
      <c r="D210" s="2">
        <f>IFERROR(__xludf.DUMMYFUNCTION("""COMPUTED_VALUE"""),1186.73)</f>
        <v>1186.73</v>
      </c>
      <c r="E210" s="2">
        <f>IFERROR(__xludf.DUMMYFUNCTION("""COMPUTED_VALUE"""),1226.62)</f>
        <v>1226.62</v>
      </c>
      <c r="F210" s="2">
        <f>IFERROR(__xludf.DUMMYFUNCTION("""COMPUTED_VALUE"""),3.08018E7)</f>
        <v>30801800</v>
      </c>
      <c r="G210" s="2">
        <f t="shared" si="1"/>
        <v>64.82</v>
      </c>
    </row>
    <row r="211" ht="15.75" customHeight="1">
      <c r="A211" s="1">
        <f>IFERROR(__xludf.DUMMYFUNCTION("""COMPUTED_VALUE"""),44146.66666666667)</f>
        <v>44146.66667</v>
      </c>
      <c r="B211" s="2">
        <f>IFERROR(__xludf.DUMMYFUNCTION("""COMPUTED_VALUE"""),1226.62)</f>
        <v>1226.62</v>
      </c>
      <c r="C211" s="2">
        <f>IFERROR(__xludf.DUMMYFUNCTION("""COMPUTED_VALUE"""),1316.37)</f>
        <v>1316.37</v>
      </c>
      <c r="D211" s="2">
        <f>IFERROR(__xludf.DUMMYFUNCTION("""COMPUTED_VALUE"""),1221.63)</f>
        <v>1221.63</v>
      </c>
      <c r="E211" s="2">
        <f>IFERROR(__xludf.DUMMYFUNCTION("""COMPUTED_VALUE"""),1316.37)</f>
        <v>1316.37</v>
      </c>
      <c r="F211" s="2">
        <f>IFERROR(__xludf.DUMMYFUNCTION("""COMPUTED_VALUE"""),3.2406E7)</f>
        <v>32406000</v>
      </c>
      <c r="G211" s="2">
        <f t="shared" si="1"/>
        <v>94.74</v>
      </c>
    </row>
    <row r="212" ht="15.75" customHeight="1">
      <c r="A212" s="1">
        <f>IFERROR(__xludf.DUMMYFUNCTION("""COMPUTED_VALUE"""),44147.66666666667)</f>
        <v>44147.66667</v>
      </c>
      <c r="B212" s="2">
        <f>IFERROR(__xludf.DUMMYFUNCTION("""COMPUTED_VALUE"""),1316.37)</f>
        <v>1316.37</v>
      </c>
      <c r="C212" s="2">
        <f>IFERROR(__xludf.DUMMYFUNCTION("""COMPUTED_VALUE"""),1331.33)</f>
        <v>1331.33</v>
      </c>
      <c r="D212" s="2">
        <f>IFERROR(__xludf.DUMMYFUNCTION("""COMPUTED_VALUE"""),1266.51)</f>
        <v>1266.51</v>
      </c>
      <c r="E212" s="2">
        <f>IFERROR(__xludf.DUMMYFUNCTION("""COMPUTED_VALUE"""),1286.45)</f>
        <v>1286.45</v>
      </c>
      <c r="F212" s="2">
        <f>IFERROR(__xludf.DUMMYFUNCTION("""COMPUTED_VALUE"""),1.55343E7)</f>
        <v>15534300</v>
      </c>
      <c r="G212" s="2">
        <f t="shared" si="1"/>
        <v>64.82</v>
      </c>
    </row>
    <row r="213" ht="15.75" customHeight="1">
      <c r="A213" s="1">
        <f>IFERROR(__xludf.DUMMYFUNCTION("""COMPUTED_VALUE"""),44148.66666666667)</f>
        <v>44148.66667</v>
      </c>
      <c r="B213" s="2">
        <f>IFERROR(__xludf.DUMMYFUNCTION("""COMPUTED_VALUE"""),1286.45)</f>
        <v>1286.45</v>
      </c>
      <c r="C213" s="2">
        <f>IFERROR(__xludf.DUMMYFUNCTION("""COMPUTED_VALUE"""),1306.4)</f>
        <v>1306.4</v>
      </c>
      <c r="D213" s="2">
        <f>IFERROR(__xludf.DUMMYFUNCTION("""COMPUTED_VALUE"""),1256.53)</f>
        <v>1256.53</v>
      </c>
      <c r="E213" s="2">
        <f>IFERROR(__xludf.DUMMYFUNCTION("""COMPUTED_VALUE"""),1296.42)</f>
        <v>1296.42</v>
      </c>
      <c r="F213" s="2">
        <f>IFERROR(__xludf.DUMMYFUNCTION("""COMPUTED_VALUE"""),1.62272E7)</f>
        <v>16227200</v>
      </c>
      <c r="G213" s="2">
        <f t="shared" si="1"/>
        <v>49.87</v>
      </c>
    </row>
    <row r="214" ht="15.75" customHeight="1">
      <c r="A214" s="1">
        <f>IFERROR(__xludf.DUMMYFUNCTION("""COMPUTED_VALUE"""),44151.66666666667)</f>
        <v>44151.66667</v>
      </c>
      <c r="B214" s="2">
        <f>IFERROR(__xludf.DUMMYFUNCTION("""COMPUTED_VALUE"""),1316.37)</f>
        <v>1316.37</v>
      </c>
      <c r="C214" s="2">
        <f>IFERROR(__xludf.DUMMYFUNCTION("""COMPUTED_VALUE"""),1346.29)</f>
        <v>1346.29</v>
      </c>
      <c r="D214" s="2">
        <f>IFERROR(__xludf.DUMMYFUNCTION("""COMPUTED_VALUE"""),1291.44)</f>
        <v>1291.44</v>
      </c>
      <c r="E214" s="2">
        <f>IFERROR(__xludf.DUMMYFUNCTION("""COMPUTED_VALUE"""),1301.41)</f>
        <v>1301.41</v>
      </c>
      <c r="F214" s="2">
        <f>IFERROR(__xludf.DUMMYFUNCTION("""COMPUTED_VALUE"""),1.18426E7)</f>
        <v>11842600</v>
      </c>
      <c r="G214" s="2">
        <f t="shared" si="1"/>
        <v>54.85</v>
      </c>
    </row>
    <row r="215" ht="15.75" customHeight="1">
      <c r="A215" s="1">
        <f>IFERROR(__xludf.DUMMYFUNCTION("""COMPUTED_VALUE"""),44152.66666666667)</f>
        <v>44152.66667</v>
      </c>
      <c r="B215" s="2">
        <f>IFERROR(__xludf.DUMMYFUNCTION("""COMPUTED_VALUE"""),1301.41)</f>
        <v>1301.41</v>
      </c>
      <c r="C215" s="2">
        <f>IFERROR(__xludf.DUMMYFUNCTION("""COMPUTED_VALUE"""),1331.33)</f>
        <v>1331.33</v>
      </c>
      <c r="D215" s="2">
        <f>IFERROR(__xludf.DUMMYFUNCTION("""COMPUTED_VALUE"""),1296.42)</f>
        <v>1296.42</v>
      </c>
      <c r="E215" s="2">
        <f>IFERROR(__xludf.DUMMYFUNCTION("""COMPUTED_VALUE"""),1301.41)</f>
        <v>1301.41</v>
      </c>
      <c r="F215" s="2">
        <f>IFERROR(__xludf.DUMMYFUNCTION("""COMPUTED_VALUE"""),9667300.0)</f>
        <v>9667300</v>
      </c>
      <c r="G215" s="2">
        <f t="shared" si="1"/>
        <v>34.91</v>
      </c>
    </row>
    <row r="216" ht="15.75" customHeight="1">
      <c r="A216" s="1">
        <f>IFERROR(__xludf.DUMMYFUNCTION("""COMPUTED_VALUE"""),44153.66666666667)</f>
        <v>44153.66667</v>
      </c>
      <c r="B216" s="2">
        <f>IFERROR(__xludf.DUMMYFUNCTION("""COMPUTED_VALUE"""),1301.41)</f>
        <v>1301.41</v>
      </c>
      <c r="C216" s="2">
        <f>IFERROR(__xludf.DUMMYFUNCTION("""COMPUTED_VALUE"""),1306.4)</f>
        <v>1306.4</v>
      </c>
      <c r="D216" s="2">
        <f>IFERROR(__xludf.DUMMYFUNCTION("""COMPUTED_VALUE"""),1286.45)</f>
        <v>1286.45</v>
      </c>
      <c r="E216" s="2">
        <f>IFERROR(__xludf.DUMMYFUNCTION("""COMPUTED_VALUE"""),1296.42)</f>
        <v>1296.42</v>
      </c>
      <c r="F216" s="2">
        <f>IFERROR(__xludf.DUMMYFUNCTION("""COMPUTED_VALUE"""),6302500.0)</f>
        <v>6302500</v>
      </c>
      <c r="G216" s="2">
        <f t="shared" si="1"/>
        <v>19.95</v>
      </c>
    </row>
    <row r="217" ht="15.75" customHeight="1">
      <c r="A217" s="1">
        <f>IFERROR(__xludf.DUMMYFUNCTION("""COMPUTED_VALUE"""),44154.66666666667)</f>
        <v>44154.66667</v>
      </c>
      <c r="B217" s="2">
        <f>IFERROR(__xludf.DUMMYFUNCTION("""COMPUTED_VALUE"""),1316.37)</f>
        <v>1316.37</v>
      </c>
      <c r="C217" s="2">
        <f>IFERROR(__xludf.DUMMYFUNCTION("""COMPUTED_VALUE"""),1316.37)</f>
        <v>1316.37</v>
      </c>
      <c r="D217" s="2">
        <f>IFERROR(__xludf.DUMMYFUNCTION("""COMPUTED_VALUE"""),1286.45)</f>
        <v>1286.45</v>
      </c>
      <c r="E217" s="2">
        <f>IFERROR(__xludf.DUMMYFUNCTION("""COMPUTED_VALUE"""),1301.41)</f>
        <v>1301.41</v>
      </c>
      <c r="F217" s="2">
        <f>IFERROR(__xludf.DUMMYFUNCTION("""COMPUTED_VALUE"""),5951200.0)</f>
        <v>5951200</v>
      </c>
      <c r="G217" s="2">
        <f t="shared" si="1"/>
        <v>29.92</v>
      </c>
    </row>
    <row r="218" ht="15.75" customHeight="1">
      <c r="A218" s="1">
        <f>IFERROR(__xludf.DUMMYFUNCTION("""COMPUTED_VALUE"""),44155.66666666667)</f>
        <v>44155.66667</v>
      </c>
      <c r="B218" s="2">
        <f>IFERROR(__xludf.DUMMYFUNCTION("""COMPUTED_VALUE"""),1306.4)</f>
        <v>1306.4</v>
      </c>
      <c r="C218" s="2">
        <f>IFERROR(__xludf.DUMMYFUNCTION("""COMPUTED_VALUE"""),1311.38)</f>
        <v>1311.38</v>
      </c>
      <c r="D218" s="2">
        <f>IFERROR(__xludf.DUMMYFUNCTION("""COMPUTED_VALUE"""),1286.45)</f>
        <v>1286.45</v>
      </c>
      <c r="E218" s="2">
        <f>IFERROR(__xludf.DUMMYFUNCTION("""COMPUTED_VALUE"""),1286.45)</f>
        <v>1286.45</v>
      </c>
      <c r="F218" s="2">
        <f>IFERROR(__xludf.DUMMYFUNCTION("""COMPUTED_VALUE"""),4882700.0)</f>
        <v>4882700</v>
      </c>
      <c r="G218" s="2">
        <f t="shared" si="1"/>
        <v>24.93</v>
      </c>
    </row>
    <row r="219" ht="15.75" customHeight="1">
      <c r="A219" s="1">
        <f>IFERROR(__xludf.DUMMYFUNCTION("""COMPUTED_VALUE"""),44158.66666666667)</f>
        <v>44158.66667</v>
      </c>
      <c r="B219" s="2">
        <f>IFERROR(__xludf.DUMMYFUNCTION("""COMPUTED_VALUE"""),1286.45)</f>
        <v>1286.45</v>
      </c>
      <c r="C219" s="2">
        <f>IFERROR(__xludf.DUMMYFUNCTION("""COMPUTED_VALUE"""),1301.41)</f>
        <v>1301.41</v>
      </c>
      <c r="D219" s="2">
        <f>IFERROR(__xludf.DUMMYFUNCTION("""COMPUTED_VALUE"""),1266.51)</f>
        <v>1266.51</v>
      </c>
      <c r="E219" s="2">
        <f>IFERROR(__xludf.DUMMYFUNCTION("""COMPUTED_VALUE"""),1301.41)</f>
        <v>1301.41</v>
      </c>
      <c r="F219" s="2">
        <f>IFERROR(__xludf.DUMMYFUNCTION("""COMPUTED_VALUE"""),1.17687E7)</f>
        <v>11768700</v>
      </c>
      <c r="G219" s="2">
        <f t="shared" si="1"/>
        <v>34.9</v>
      </c>
    </row>
    <row r="220" ht="15.75" customHeight="1">
      <c r="A220" s="1">
        <f>IFERROR(__xludf.DUMMYFUNCTION("""COMPUTED_VALUE"""),44159.66666666667)</f>
        <v>44159.66667</v>
      </c>
      <c r="B220" s="2">
        <f>IFERROR(__xludf.DUMMYFUNCTION("""COMPUTED_VALUE"""),1311.38)</f>
        <v>1311.38</v>
      </c>
      <c r="C220" s="2">
        <f>IFERROR(__xludf.DUMMYFUNCTION("""COMPUTED_VALUE"""),1386.18)</f>
        <v>1386.18</v>
      </c>
      <c r="D220" s="2">
        <f>IFERROR(__xludf.DUMMYFUNCTION("""COMPUTED_VALUE"""),1301.41)</f>
        <v>1301.41</v>
      </c>
      <c r="E220" s="2">
        <f>IFERROR(__xludf.DUMMYFUNCTION("""COMPUTED_VALUE"""),1381.19)</f>
        <v>1381.19</v>
      </c>
      <c r="F220" s="2">
        <f>IFERROR(__xludf.DUMMYFUNCTION("""COMPUTED_VALUE"""),3.14177E7)</f>
        <v>31417700</v>
      </c>
      <c r="G220" s="2">
        <f t="shared" si="1"/>
        <v>84.77</v>
      </c>
    </row>
    <row r="221" ht="15.75" customHeight="1">
      <c r="A221" s="1">
        <f>IFERROR(__xludf.DUMMYFUNCTION("""COMPUTED_VALUE"""),44160.66666666667)</f>
        <v>44160.66667</v>
      </c>
      <c r="B221" s="2">
        <f>IFERROR(__xludf.DUMMYFUNCTION("""COMPUTED_VALUE"""),1381.19)</f>
        <v>1381.19</v>
      </c>
      <c r="C221" s="2">
        <f>IFERROR(__xludf.DUMMYFUNCTION("""COMPUTED_VALUE"""),1431.05)</f>
        <v>1431.05</v>
      </c>
      <c r="D221" s="2">
        <f>IFERROR(__xludf.DUMMYFUNCTION("""COMPUTED_VALUE"""),1346.29)</f>
        <v>1346.29</v>
      </c>
      <c r="E221" s="2">
        <f>IFERROR(__xludf.DUMMYFUNCTION("""COMPUTED_VALUE"""),1376.2)</f>
        <v>1376.2</v>
      </c>
      <c r="F221" s="2">
        <f>IFERROR(__xludf.DUMMYFUNCTION("""COMPUTED_VALUE"""),2.5747E7)</f>
        <v>25747000</v>
      </c>
      <c r="G221" s="2">
        <f t="shared" si="1"/>
        <v>84.76</v>
      </c>
    </row>
    <row r="222" ht="15.75" customHeight="1">
      <c r="A222" s="1">
        <f>IFERROR(__xludf.DUMMYFUNCTION("""COMPUTED_VALUE"""),44161.66666666667)</f>
        <v>44161.66667</v>
      </c>
      <c r="B222" s="2">
        <f>IFERROR(__xludf.DUMMYFUNCTION("""COMPUTED_VALUE"""),1371.22)</f>
        <v>1371.22</v>
      </c>
      <c r="C222" s="2">
        <f>IFERROR(__xludf.DUMMYFUNCTION("""COMPUTED_VALUE"""),1455.98)</f>
        <v>1455.98</v>
      </c>
      <c r="D222" s="2">
        <f>IFERROR(__xludf.DUMMYFUNCTION("""COMPUTED_VALUE"""),1351.27)</f>
        <v>1351.27</v>
      </c>
      <c r="E222" s="2">
        <f>IFERROR(__xludf.DUMMYFUNCTION("""COMPUTED_VALUE"""),1416.09)</f>
        <v>1416.09</v>
      </c>
      <c r="F222" s="2">
        <f>IFERROR(__xludf.DUMMYFUNCTION("""COMPUTED_VALUE"""),3.51084E7)</f>
        <v>35108400</v>
      </c>
      <c r="G222" s="2">
        <f t="shared" si="1"/>
        <v>104.71</v>
      </c>
    </row>
    <row r="223" ht="15.75" customHeight="1">
      <c r="A223" s="1">
        <f>IFERROR(__xludf.DUMMYFUNCTION("""COMPUTED_VALUE"""),44162.66666666667)</f>
        <v>44162.66667</v>
      </c>
      <c r="B223" s="2">
        <f>IFERROR(__xludf.DUMMYFUNCTION("""COMPUTED_VALUE"""),1446.01)</f>
        <v>1446.01</v>
      </c>
      <c r="C223" s="2">
        <f>IFERROR(__xludf.DUMMYFUNCTION("""COMPUTED_VALUE"""),1446.01)</f>
        <v>1446.01</v>
      </c>
      <c r="D223" s="2">
        <f>IFERROR(__xludf.DUMMYFUNCTION("""COMPUTED_VALUE"""),1406.12)</f>
        <v>1406.12</v>
      </c>
      <c r="E223" s="2">
        <f>IFERROR(__xludf.DUMMYFUNCTION("""COMPUTED_VALUE"""),1416.09)</f>
        <v>1416.09</v>
      </c>
      <c r="F223" s="2">
        <f>IFERROR(__xludf.DUMMYFUNCTION("""COMPUTED_VALUE"""),1.09961E7)</f>
        <v>10996100</v>
      </c>
      <c r="G223" s="2">
        <f t="shared" si="1"/>
        <v>39.89</v>
      </c>
    </row>
    <row r="224" ht="15.75" customHeight="1">
      <c r="A224" s="1">
        <f>IFERROR(__xludf.DUMMYFUNCTION("""COMPUTED_VALUE"""),44165.66666666667)</f>
        <v>44165.66667</v>
      </c>
      <c r="B224" s="2">
        <f>IFERROR(__xludf.DUMMYFUNCTION("""COMPUTED_VALUE"""),1416.09)</f>
        <v>1416.09</v>
      </c>
      <c r="C224" s="2">
        <f>IFERROR(__xludf.DUMMYFUNCTION("""COMPUTED_VALUE"""),1416.09)</f>
        <v>1416.09</v>
      </c>
      <c r="D224" s="2">
        <f>IFERROR(__xludf.DUMMYFUNCTION("""COMPUTED_VALUE"""),1321.35)</f>
        <v>1321.35</v>
      </c>
      <c r="E224" s="2">
        <f>IFERROR(__xludf.DUMMYFUNCTION("""COMPUTED_VALUE"""),1321.35)</f>
        <v>1321.35</v>
      </c>
      <c r="F224" s="2">
        <f>IFERROR(__xludf.DUMMYFUNCTION("""COMPUTED_VALUE"""),2.30004E7)</f>
        <v>23000400</v>
      </c>
      <c r="G224" s="2">
        <f t="shared" si="1"/>
        <v>94.74</v>
      </c>
    </row>
    <row r="225" ht="15.75" customHeight="1">
      <c r="A225" s="1">
        <f>IFERROR(__xludf.DUMMYFUNCTION("""COMPUTED_VALUE"""),44166.66666666667)</f>
        <v>44166.66667</v>
      </c>
      <c r="B225" s="2">
        <f>IFERROR(__xludf.DUMMYFUNCTION("""COMPUTED_VALUE"""),1326.34)</f>
        <v>1326.34</v>
      </c>
      <c r="C225" s="2">
        <f>IFERROR(__xludf.DUMMYFUNCTION("""COMPUTED_VALUE"""),1441.02)</f>
        <v>1441.02</v>
      </c>
      <c r="D225" s="2">
        <f>IFERROR(__xludf.DUMMYFUNCTION("""COMPUTED_VALUE"""),1321.35)</f>
        <v>1321.35</v>
      </c>
      <c r="E225" s="2">
        <f>IFERROR(__xludf.DUMMYFUNCTION("""COMPUTED_VALUE"""),1441.02)</f>
        <v>1441.02</v>
      </c>
      <c r="F225" s="2">
        <f>IFERROR(__xludf.DUMMYFUNCTION("""COMPUTED_VALUE"""),3.31357E7)</f>
        <v>33135700</v>
      </c>
      <c r="G225" s="2">
        <f t="shared" si="1"/>
        <v>119.67</v>
      </c>
    </row>
    <row r="226" ht="15.75" customHeight="1">
      <c r="A226" s="1">
        <f>IFERROR(__xludf.DUMMYFUNCTION("""COMPUTED_VALUE"""),44167.66666666667)</f>
        <v>44167.66667</v>
      </c>
      <c r="B226" s="2">
        <f>IFERROR(__xludf.DUMMYFUNCTION("""COMPUTED_VALUE"""),1441.02)</f>
        <v>1441.02</v>
      </c>
      <c r="C226" s="2">
        <f>IFERROR(__xludf.DUMMYFUNCTION("""COMPUTED_VALUE"""),1455.98)</f>
        <v>1455.98</v>
      </c>
      <c r="D226" s="2">
        <f>IFERROR(__xludf.DUMMYFUNCTION("""COMPUTED_VALUE"""),1411.11)</f>
        <v>1411.11</v>
      </c>
      <c r="E226" s="2">
        <f>IFERROR(__xludf.DUMMYFUNCTION("""COMPUTED_VALUE"""),1426.07)</f>
        <v>1426.07</v>
      </c>
      <c r="F226" s="2">
        <f>IFERROR(__xludf.DUMMYFUNCTION("""COMPUTED_VALUE"""),1.3144E7)</f>
        <v>13144000</v>
      </c>
      <c r="G226" s="2">
        <f t="shared" si="1"/>
        <v>44.87</v>
      </c>
    </row>
    <row r="227" ht="15.75" customHeight="1">
      <c r="A227" s="1">
        <f>IFERROR(__xludf.DUMMYFUNCTION("""COMPUTED_VALUE"""),44168.66666666667)</f>
        <v>44168.66667</v>
      </c>
      <c r="B227" s="2">
        <f>IFERROR(__xludf.DUMMYFUNCTION("""COMPUTED_VALUE"""),1475.93)</f>
        <v>1475.93</v>
      </c>
      <c r="C227" s="2">
        <f>IFERROR(__xludf.DUMMYFUNCTION("""COMPUTED_VALUE"""),1475.93)</f>
        <v>1475.93</v>
      </c>
      <c r="D227" s="2">
        <f>IFERROR(__xludf.DUMMYFUNCTION("""COMPUTED_VALUE"""),1426.07)</f>
        <v>1426.07</v>
      </c>
      <c r="E227" s="2">
        <f>IFERROR(__xludf.DUMMYFUNCTION("""COMPUTED_VALUE"""),1446.01)</f>
        <v>1446.01</v>
      </c>
      <c r="F227" s="2">
        <f>IFERROR(__xludf.DUMMYFUNCTION("""COMPUTED_VALUE"""),1.6272E7)</f>
        <v>16272000</v>
      </c>
      <c r="G227" s="2">
        <f t="shared" si="1"/>
        <v>49.86</v>
      </c>
    </row>
    <row r="228" ht="15.75" customHeight="1">
      <c r="A228" s="1">
        <f>IFERROR(__xludf.DUMMYFUNCTION("""COMPUTED_VALUE"""),44169.66666666667)</f>
        <v>44169.66667</v>
      </c>
      <c r="B228" s="2">
        <f>IFERROR(__xludf.DUMMYFUNCTION("""COMPUTED_VALUE"""),1446.01)</f>
        <v>1446.01</v>
      </c>
      <c r="C228" s="2">
        <f>IFERROR(__xludf.DUMMYFUNCTION("""COMPUTED_VALUE"""),1451.0)</f>
        <v>1451</v>
      </c>
      <c r="D228" s="2">
        <f>IFERROR(__xludf.DUMMYFUNCTION("""COMPUTED_VALUE"""),1421.08)</f>
        <v>1421.08</v>
      </c>
      <c r="E228" s="2">
        <f>IFERROR(__xludf.DUMMYFUNCTION("""COMPUTED_VALUE"""),1431.05)</f>
        <v>1431.05</v>
      </c>
      <c r="F228" s="2">
        <f>IFERROR(__xludf.DUMMYFUNCTION("""COMPUTED_VALUE"""),4750700.0)</f>
        <v>4750700</v>
      </c>
      <c r="G228" s="2">
        <f t="shared" si="1"/>
        <v>29.92</v>
      </c>
    </row>
    <row r="229" ht="15.75" customHeight="1">
      <c r="A229" s="1">
        <f>IFERROR(__xludf.DUMMYFUNCTION("""COMPUTED_VALUE"""),44172.66666666667)</f>
        <v>44172.66667</v>
      </c>
      <c r="B229" s="2">
        <f>IFERROR(__xludf.DUMMYFUNCTION("""COMPUTED_VALUE"""),1431.05)</f>
        <v>1431.05</v>
      </c>
      <c r="C229" s="2">
        <f>IFERROR(__xludf.DUMMYFUNCTION("""COMPUTED_VALUE"""),1455.98)</f>
        <v>1455.98</v>
      </c>
      <c r="D229" s="2">
        <f>IFERROR(__xludf.DUMMYFUNCTION("""COMPUTED_VALUE"""),1431.05)</f>
        <v>1431.05</v>
      </c>
      <c r="E229" s="2">
        <f>IFERROR(__xludf.DUMMYFUNCTION("""COMPUTED_VALUE"""),1446.01)</f>
        <v>1446.01</v>
      </c>
      <c r="F229" s="2">
        <f>IFERROR(__xludf.DUMMYFUNCTION("""COMPUTED_VALUE"""),9082000.0)</f>
        <v>9082000</v>
      </c>
      <c r="G229" s="2">
        <f t="shared" si="1"/>
        <v>24.93</v>
      </c>
    </row>
    <row r="230" ht="15.75" customHeight="1">
      <c r="A230" s="1">
        <f>IFERROR(__xludf.DUMMYFUNCTION("""COMPUTED_VALUE"""),44173.66666666667)</f>
        <v>44173.66667</v>
      </c>
      <c r="B230" s="2">
        <f>IFERROR(__xludf.DUMMYFUNCTION("""COMPUTED_VALUE"""),1451.0)</f>
        <v>1451</v>
      </c>
      <c r="C230" s="2">
        <f>IFERROR(__xludf.DUMMYFUNCTION("""COMPUTED_VALUE"""),1460.97)</f>
        <v>1460.97</v>
      </c>
      <c r="D230" s="2">
        <f>IFERROR(__xludf.DUMMYFUNCTION("""COMPUTED_VALUE"""),1406.12)</f>
        <v>1406.12</v>
      </c>
      <c r="E230" s="2">
        <f>IFERROR(__xludf.DUMMYFUNCTION("""COMPUTED_VALUE"""),1421.08)</f>
        <v>1421.08</v>
      </c>
      <c r="F230" s="2">
        <f>IFERROR(__xludf.DUMMYFUNCTION("""COMPUTED_VALUE"""),1.41439E7)</f>
        <v>14143900</v>
      </c>
      <c r="G230" s="2">
        <f t="shared" si="1"/>
        <v>54.85</v>
      </c>
    </row>
    <row r="231" ht="15.75" customHeight="1">
      <c r="A231" s="1">
        <f>IFERROR(__xludf.DUMMYFUNCTION("""COMPUTED_VALUE"""),44175.66666666667)</f>
        <v>44175.66667</v>
      </c>
      <c r="B231" s="2">
        <f>IFERROR(__xludf.DUMMYFUNCTION("""COMPUTED_VALUE"""),1426.07)</f>
        <v>1426.07</v>
      </c>
      <c r="C231" s="2">
        <f>IFERROR(__xludf.DUMMYFUNCTION("""COMPUTED_VALUE"""),1650.45)</f>
        <v>1650.45</v>
      </c>
      <c r="D231" s="2">
        <f>IFERROR(__xludf.DUMMYFUNCTION("""COMPUTED_VALUE"""),1396.15)</f>
        <v>1396.15</v>
      </c>
      <c r="E231" s="2">
        <f>IFERROR(__xludf.DUMMYFUNCTION("""COMPUTED_VALUE"""),1615.54)</f>
        <v>1615.54</v>
      </c>
      <c r="F231" s="2">
        <f>IFERROR(__xludf.DUMMYFUNCTION("""COMPUTED_VALUE"""),1.018029E8)</f>
        <v>101802900</v>
      </c>
      <c r="G231" s="2">
        <f t="shared" si="1"/>
        <v>254.3</v>
      </c>
    </row>
    <row r="232" ht="15.75" customHeight="1">
      <c r="A232" s="1">
        <f>IFERROR(__xludf.DUMMYFUNCTION("""COMPUTED_VALUE"""),44176.66666666667)</f>
        <v>44176.66667</v>
      </c>
      <c r="B232" s="2">
        <f>IFERROR(__xludf.DUMMYFUNCTION("""COMPUTED_VALUE"""),1620.53)</f>
        <v>1620.53</v>
      </c>
      <c r="C232" s="2">
        <f>IFERROR(__xludf.DUMMYFUNCTION("""COMPUTED_VALUE"""),1635.49)</f>
        <v>1635.49</v>
      </c>
      <c r="D232" s="2">
        <f>IFERROR(__xludf.DUMMYFUNCTION("""COMPUTED_VALUE"""),1530.78)</f>
        <v>1530.78</v>
      </c>
      <c r="E232" s="2">
        <f>IFERROR(__xludf.DUMMYFUNCTION("""COMPUTED_VALUE"""),1575.65)</f>
        <v>1575.65</v>
      </c>
      <c r="F232" s="2">
        <f>IFERROR(__xludf.DUMMYFUNCTION("""COMPUTED_VALUE"""),8.87902E7)</f>
        <v>88790200</v>
      </c>
      <c r="G232" s="2">
        <f t="shared" si="1"/>
        <v>104.71</v>
      </c>
    </row>
    <row r="233" ht="15.75" customHeight="1">
      <c r="A233" s="1">
        <f>IFERROR(__xludf.DUMMYFUNCTION("""COMPUTED_VALUE"""),44179.66666666667)</f>
        <v>44179.66667</v>
      </c>
      <c r="B233" s="2">
        <f>IFERROR(__xludf.DUMMYFUNCTION("""COMPUTED_VALUE"""),1585.63)</f>
        <v>1585.63</v>
      </c>
      <c r="C233" s="2">
        <f>IFERROR(__xludf.DUMMYFUNCTION("""COMPUTED_VALUE"""),1595.6)</f>
        <v>1595.6</v>
      </c>
      <c r="D233" s="2">
        <f>IFERROR(__xludf.DUMMYFUNCTION("""COMPUTED_VALUE"""),1550.72)</f>
        <v>1550.72</v>
      </c>
      <c r="E233" s="2">
        <f>IFERROR(__xludf.DUMMYFUNCTION("""COMPUTED_VALUE"""),1550.72)</f>
        <v>1550.72</v>
      </c>
      <c r="F233" s="2">
        <f>IFERROR(__xludf.DUMMYFUNCTION("""COMPUTED_VALUE"""),2.01811E7)</f>
        <v>20181100</v>
      </c>
      <c r="G233" s="2">
        <f t="shared" si="1"/>
        <v>44.88</v>
      </c>
    </row>
    <row r="234" ht="15.75" customHeight="1">
      <c r="A234" s="1">
        <f>IFERROR(__xludf.DUMMYFUNCTION("""COMPUTED_VALUE"""),44180.66666666667)</f>
        <v>44180.66667</v>
      </c>
      <c r="B234" s="2">
        <f>IFERROR(__xludf.DUMMYFUNCTION("""COMPUTED_VALUE"""),1555.71)</f>
        <v>1555.71</v>
      </c>
      <c r="C234" s="2">
        <f>IFERROR(__xludf.DUMMYFUNCTION("""COMPUTED_VALUE"""),1645.46)</f>
        <v>1645.46</v>
      </c>
      <c r="D234" s="2">
        <f>IFERROR(__xludf.DUMMYFUNCTION("""COMPUTED_VALUE"""),1545.74)</f>
        <v>1545.74</v>
      </c>
      <c r="E234" s="2">
        <f>IFERROR(__xludf.DUMMYFUNCTION("""COMPUTED_VALUE"""),1585.63)</f>
        <v>1585.63</v>
      </c>
      <c r="F234" s="2">
        <f>IFERROR(__xludf.DUMMYFUNCTION("""COMPUTED_VALUE"""),5.07213E7)</f>
        <v>50721300</v>
      </c>
      <c r="G234" s="2">
        <f t="shared" si="1"/>
        <v>99.72</v>
      </c>
    </row>
    <row r="235" ht="15.75" customHeight="1">
      <c r="A235" s="1">
        <f>IFERROR(__xludf.DUMMYFUNCTION("""COMPUTED_VALUE"""),44181.66666666667)</f>
        <v>44181.66667</v>
      </c>
      <c r="B235" s="2">
        <f>IFERROR(__xludf.DUMMYFUNCTION("""COMPUTED_VALUE"""),1585.63)</f>
        <v>1585.63</v>
      </c>
      <c r="C235" s="2">
        <f>IFERROR(__xludf.DUMMYFUNCTION("""COMPUTED_VALUE"""),1625.52)</f>
        <v>1625.52</v>
      </c>
      <c r="D235" s="2">
        <f>IFERROR(__xludf.DUMMYFUNCTION("""COMPUTED_VALUE"""),1585.63)</f>
        <v>1585.63</v>
      </c>
      <c r="E235" s="2">
        <f>IFERROR(__xludf.DUMMYFUNCTION("""COMPUTED_VALUE"""),1595.6)</f>
        <v>1595.6</v>
      </c>
      <c r="F235" s="2">
        <f>IFERROR(__xludf.DUMMYFUNCTION("""COMPUTED_VALUE"""),1.38432E7)</f>
        <v>13843200</v>
      </c>
      <c r="G235" s="2">
        <f t="shared" si="1"/>
        <v>39.89</v>
      </c>
    </row>
    <row r="236" ht="15.75" customHeight="1">
      <c r="A236" s="1">
        <f>IFERROR(__xludf.DUMMYFUNCTION("""COMPUTED_VALUE"""),44182.66666666667)</f>
        <v>44182.66667</v>
      </c>
      <c r="B236" s="2">
        <f>IFERROR(__xludf.DUMMYFUNCTION("""COMPUTED_VALUE"""),1595.6)</f>
        <v>1595.6</v>
      </c>
      <c r="C236" s="2">
        <f>IFERROR(__xludf.DUMMYFUNCTION("""COMPUTED_VALUE"""),1610.56)</f>
        <v>1610.56</v>
      </c>
      <c r="D236" s="2">
        <f>IFERROR(__xludf.DUMMYFUNCTION("""COMPUTED_VALUE"""),1580.64)</f>
        <v>1580.64</v>
      </c>
      <c r="E236" s="2">
        <f>IFERROR(__xludf.DUMMYFUNCTION("""COMPUTED_VALUE"""),1585.63)</f>
        <v>1585.63</v>
      </c>
      <c r="F236" s="2">
        <f>IFERROR(__xludf.DUMMYFUNCTION("""COMPUTED_VALUE"""),1.54991E7)</f>
        <v>15499100</v>
      </c>
      <c r="G236" s="2">
        <f t="shared" si="1"/>
        <v>29.92</v>
      </c>
    </row>
    <row r="237" ht="15.75" customHeight="1">
      <c r="A237" s="1">
        <f>IFERROR(__xludf.DUMMYFUNCTION("""COMPUTED_VALUE"""),44183.66666666667)</f>
        <v>44183.66667</v>
      </c>
      <c r="B237" s="2">
        <f>IFERROR(__xludf.DUMMYFUNCTION("""COMPUTED_VALUE"""),1585.63)</f>
        <v>1585.63</v>
      </c>
      <c r="C237" s="2">
        <f>IFERROR(__xludf.DUMMYFUNCTION("""COMPUTED_VALUE"""),1705.3)</f>
        <v>1705.3</v>
      </c>
      <c r="D237" s="2">
        <f>IFERROR(__xludf.DUMMYFUNCTION("""COMPUTED_VALUE"""),1580.64)</f>
        <v>1580.64</v>
      </c>
      <c r="E237" s="2">
        <f>IFERROR(__xludf.DUMMYFUNCTION("""COMPUTED_VALUE"""),1650.45)</f>
        <v>1650.45</v>
      </c>
      <c r="F237" s="2">
        <f>IFERROR(__xludf.DUMMYFUNCTION("""COMPUTED_VALUE"""),6.66365E7)</f>
        <v>66636500</v>
      </c>
      <c r="G237" s="2">
        <f t="shared" si="1"/>
        <v>124.66</v>
      </c>
    </row>
    <row r="238" ht="15.75" customHeight="1">
      <c r="A238" s="1">
        <f>IFERROR(__xludf.DUMMYFUNCTION("""COMPUTED_VALUE"""),44186.66666666667)</f>
        <v>44186.66667</v>
      </c>
      <c r="B238" s="2">
        <f>IFERROR(__xludf.DUMMYFUNCTION("""COMPUTED_VALUE"""),1665.41)</f>
        <v>1665.41</v>
      </c>
      <c r="C238" s="2">
        <f>IFERROR(__xludf.DUMMYFUNCTION("""COMPUTED_VALUE"""),1770.12)</f>
        <v>1770.12</v>
      </c>
      <c r="D238" s="2">
        <f>IFERROR(__xludf.DUMMYFUNCTION("""COMPUTED_VALUE"""),1655.43)</f>
        <v>1655.43</v>
      </c>
      <c r="E238" s="2">
        <f>IFERROR(__xludf.DUMMYFUNCTION("""COMPUTED_VALUE"""),1720.25)</f>
        <v>1720.25</v>
      </c>
      <c r="F238" s="2">
        <f>IFERROR(__xludf.DUMMYFUNCTION("""COMPUTED_VALUE"""),9.17847E7)</f>
        <v>91784700</v>
      </c>
      <c r="G238" s="2">
        <f t="shared" si="1"/>
        <v>119.67</v>
      </c>
    </row>
    <row r="239" ht="15.75" customHeight="1">
      <c r="A239" s="1">
        <f>IFERROR(__xludf.DUMMYFUNCTION("""COMPUTED_VALUE"""),44187.66666666667)</f>
        <v>44187.66667</v>
      </c>
      <c r="B239" s="2">
        <f>IFERROR(__xludf.DUMMYFUNCTION("""COMPUTED_VALUE"""),1720.25)</f>
        <v>1720.25</v>
      </c>
      <c r="C239" s="2">
        <f>IFERROR(__xludf.DUMMYFUNCTION("""COMPUTED_VALUE"""),1745.19)</f>
        <v>1745.19</v>
      </c>
      <c r="D239" s="2">
        <f>IFERROR(__xludf.DUMMYFUNCTION("""COMPUTED_VALUE"""),1610.56)</f>
        <v>1610.56</v>
      </c>
      <c r="E239" s="2">
        <f>IFERROR(__xludf.DUMMYFUNCTION("""COMPUTED_VALUE"""),1630.5)</f>
        <v>1630.5</v>
      </c>
      <c r="F239" s="2">
        <f>IFERROR(__xludf.DUMMYFUNCTION("""COMPUTED_VALUE"""),4.19332E7)</f>
        <v>41933200</v>
      </c>
      <c r="G239" s="2">
        <f t="shared" si="1"/>
        <v>134.63</v>
      </c>
    </row>
    <row r="240" ht="15.75" customHeight="1">
      <c r="A240" s="1">
        <f>IFERROR(__xludf.DUMMYFUNCTION("""COMPUTED_VALUE"""),44188.66666666667)</f>
        <v>44188.66667</v>
      </c>
      <c r="B240" s="2">
        <f>IFERROR(__xludf.DUMMYFUNCTION("""COMPUTED_VALUE"""),1645.46)</f>
        <v>1645.46</v>
      </c>
      <c r="C240" s="2">
        <f>IFERROR(__xludf.DUMMYFUNCTION("""COMPUTED_VALUE"""),1670.39)</f>
        <v>1670.39</v>
      </c>
      <c r="D240" s="2">
        <f>IFERROR(__xludf.DUMMYFUNCTION("""COMPUTED_VALUE"""),1540.75)</f>
        <v>1540.75</v>
      </c>
      <c r="E240" s="2">
        <f>IFERROR(__xludf.DUMMYFUNCTION("""COMPUTED_VALUE"""),1650.45)</f>
        <v>1650.45</v>
      </c>
      <c r="F240" s="2">
        <f>IFERROR(__xludf.DUMMYFUNCTION("""COMPUTED_VALUE"""),3.37297E7)</f>
        <v>33729700</v>
      </c>
      <c r="G240" s="2">
        <f t="shared" si="1"/>
        <v>129.64</v>
      </c>
    </row>
    <row r="241" ht="15.75" customHeight="1">
      <c r="A241" s="1">
        <f>IFERROR(__xludf.DUMMYFUNCTION("""COMPUTED_VALUE"""),44193.66666666667)</f>
        <v>44193.66667</v>
      </c>
      <c r="B241" s="2">
        <f>IFERROR(__xludf.DUMMYFUNCTION("""COMPUTED_VALUE"""),1655.43)</f>
        <v>1655.43</v>
      </c>
      <c r="C241" s="2">
        <f>IFERROR(__xludf.DUMMYFUNCTION("""COMPUTED_VALUE"""),1675.38)</f>
        <v>1675.38</v>
      </c>
      <c r="D241" s="2">
        <f>IFERROR(__xludf.DUMMYFUNCTION("""COMPUTED_VALUE"""),1600.58)</f>
        <v>1600.58</v>
      </c>
      <c r="E241" s="2">
        <f>IFERROR(__xludf.DUMMYFUNCTION("""COMPUTED_VALUE"""),1615.54)</f>
        <v>1615.54</v>
      </c>
      <c r="F241" s="2">
        <f>IFERROR(__xludf.DUMMYFUNCTION("""COMPUTED_VALUE"""),2.42432E7)</f>
        <v>24243200</v>
      </c>
      <c r="G241" s="2">
        <f t="shared" si="1"/>
        <v>74.8</v>
      </c>
    </row>
    <row r="242" ht="15.75" customHeight="1">
      <c r="A242" s="1">
        <f>IFERROR(__xludf.DUMMYFUNCTION("""COMPUTED_VALUE"""),44194.66666666667)</f>
        <v>44194.66667</v>
      </c>
      <c r="B242" s="2">
        <f>IFERROR(__xludf.DUMMYFUNCTION("""COMPUTED_VALUE"""),1635.49)</f>
        <v>1635.49</v>
      </c>
      <c r="C242" s="2">
        <f>IFERROR(__xludf.DUMMYFUNCTION("""COMPUTED_VALUE"""),1640.47)</f>
        <v>1640.47</v>
      </c>
      <c r="D242" s="2">
        <f>IFERROR(__xludf.DUMMYFUNCTION("""COMPUTED_VALUE"""),1570.67)</f>
        <v>1570.67</v>
      </c>
      <c r="E242" s="2">
        <f>IFERROR(__xludf.DUMMYFUNCTION("""COMPUTED_VALUE"""),1575.65)</f>
        <v>1575.65</v>
      </c>
      <c r="F242" s="2">
        <f>IFERROR(__xludf.DUMMYFUNCTION("""COMPUTED_VALUE"""),2.31935E7)</f>
        <v>23193500</v>
      </c>
      <c r="G242" s="2">
        <f t="shared" si="1"/>
        <v>69.8</v>
      </c>
    </row>
    <row r="243" ht="15.75" customHeight="1">
      <c r="A243" s="1">
        <f>IFERROR(__xludf.DUMMYFUNCTION("""COMPUTED_VALUE"""),44195.66666666667)</f>
        <v>44195.66667</v>
      </c>
      <c r="B243" s="2">
        <f>IFERROR(__xludf.DUMMYFUNCTION("""COMPUTED_VALUE"""),1595.6)</f>
        <v>1595.6</v>
      </c>
      <c r="C243" s="2">
        <f>IFERROR(__xludf.DUMMYFUNCTION("""COMPUTED_VALUE"""),1600.58)</f>
        <v>1600.58</v>
      </c>
      <c r="D243" s="2">
        <f>IFERROR(__xludf.DUMMYFUNCTION("""COMPUTED_VALUE"""),1545.74)</f>
        <v>1545.74</v>
      </c>
      <c r="E243" s="2">
        <f>IFERROR(__xludf.DUMMYFUNCTION("""COMPUTED_VALUE"""),1545.74)</f>
        <v>1545.74</v>
      </c>
      <c r="F243" s="2">
        <f>IFERROR(__xludf.DUMMYFUNCTION("""COMPUTED_VALUE"""),3.72501E7)</f>
        <v>37250100</v>
      </c>
      <c r="G243" s="2">
        <f t="shared" si="1"/>
        <v>54.84</v>
      </c>
    </row>
    <row r="244" ht="15.75" customHeight="1">
      <c r="A244" s="1">
        <f>IFERROR(__xludf.DUMMYFUNCTION("""COMPUTED_VALUE"""),44200.625)</f>
        <v>44200.625</v>
      </c>
      <c r="B244" s="2">
        <f>IFERROR(__xludf.DUMMYFUNCTION("""COMPUTED_VALUE"""),1545.74)</f>
        <v>1545.74</v>
      </c>
      <c r="C244" s="2">
        <f>IFERROR(__xludf.DUMMYFUNCTION("""COMPUTED_VALUE"""),1630.5)</f>
        <v>1630.5</v>
      </c>
      <c r="D244" s="2">
        <f>IFERROR(__xludf.DUMMYFUNCTION("""COMPUTED_VALUE"""),1500.86)</f>
        <v>1500.86</v>
      </c>
      <c r="E244" s="2">
        <f>IFERROR(__xludf.DUMMYFUNCTION("""COMPUTED_VALUE"""),1625.52)</f>
        <v>1625.52</v>
      </c>
      <c r="F244" s="2">
        <f>IFERROR(__xludf.DUMMYFUNCTION("""COMPUTED_VALUE"""),3.28314E7)</f>
        <v>32831400</v>
      </c>
      <c r="G244" s="2">
        <f t="shared" si="1"/>
        <v>129.64</v>
      </c>
    </row>
    <row r="245" ht="15.75" customHeight="1">
      <c r="A245" s="1">
        <f>IFERROR(__xludf.DUMMYFUNCTION("""COMPUTED_VALUE"""),44201.625)</f>
        <v>44201.625</v>
      </c>
      <c r="B245" s="2">
        <f>IFERROR(__xludf.DUMMYFUNCTION("""COMPUTED_VALUE"""),1625.52)</f>
        <v>1625.52</v>
      </c>
      <c r="C245" s="2">
        <f>IFERROR(__xludf.DUMMYFUNCTION("""COMPUTED_VALUE"""),1625.52)</f>
        <v>1625.52</v>
      </c>
      <c r="D245" s="2">
        <f>IFERROR(__xludf.DUMMYFUNCTION("""COMPUTED_VALUE"""),1585.63)</f>
        <v>1585.63</v>
      </c>
      <c r="E245" s="2">
        <f>IFERROR(__xludf.DUMMYFUNCTION("""COMPUTED_VALUE"""),1605.57)</f>
        <v>1605.57</v>
      </c>
      <c r="F245" s="2">
        <f>IFERROR(__xludf.DUMMYFUNCTION("""COMPUTED_VALUE"""),1.51661E7)</f>
        <v>15166100</v>
      </c>
      <c r="G245" s="2">
        <f t="shared" si="1"/>
        <v>39.89</v>
      </c>
    </row>
    <row r="246" ht="15.75" customHeight="1">
      <c r="A246" s="1">
        <f>IFERROR(__xludf.DUMMYFUNCTION("""COMPUTED_VALUE"""),44202.625)</f>
        <v>44202.625</v>
      </c>
      <c r="B246" s="2">
        <f>IFERROR(__xludf.DUMMYFUNCTION("""COMPUTED_VALUE"""),1605.57)</f>
        <v>1605.57</v>
      </c>
      <c r="C246" s="2">
        <f>IFERROR(__xludf.DUMMYFUNCTION("""COMPUTED_VALUE"""),1645.46)</f>
        <v>1645.46</v>
      </c>
      <c r="D246" s="2">
        <f>IFERROR(__xludf.DUMMYFUNCTION("""COMPUTED_VALUE"""),1555.71)</f>
        <v>1555.71</v>
      </c>
      <c r="E246" s="2">
        <f>IFERROR(__xludf.DUMMYFUNCTION("""COMPUTED_VALUE"""),1605.57)</f>
        <v>1605.57</v>
      </c>
      <c r="F246" s="2">
        <f>IFERROR(__xludf.DUMMYFUNCTION("""COMPUTED_VALUE"""),1.38134E7)</f>
        <v>13813400</v>
      </c>
      <c r="G246" s="2">
        <f t="shared" si="1"/>
        <v>89.75</v>
      </c>
    </row>
    <row r="247" ht="15.75" customHeight="1">
      <c r="A247" s="1">
        <f>IFERROR(__xludf.DUMMYFUNCTION("""COMPUTED_VALUE"""),44203.66666666667)</f>
        <v>44203.66667</v>
      </c>
      <c r="B247" s="2">
        <f>IFERROR(__xludf.DUMMYFUNCTION("""COMPUTED_VALUE"""),1600.58)</f>
        <v>1600.58</v>
      </c>
      <c r="C247" s="2">
        <f>IFERROR(__xludf.DUMMYFUNCTION("""COMPUTED_VALUE"""),1630.5)</f>
        <v>1630.5</v>
      </c>
      <c r="D247" s="2">
        <f>IFERROR(__xludf.DUMMYFUNCTION("""COMPUTED_VALUE"""),1585.63)</f>
        <v>1585.63</v>
      </c>
      <c r="E247" s="2">
        <f>IFERROR(__xludf.DUMMYFUNCTION("""COMPUTED_VALUE"""),1605.57)</f>
        <v>1605.57</v>
      </c>
      <c r="F247" s="2">
        <f>IFERROR(__xludf.DUMMYFUNCTION("""COMPUTED_VALUE"""),1.07169E7)</f>
        <v>10716900</v>
      </c>
      <c r="G247" s="2">
        <f t="shared" si="1"/>
        <v>44.87</v>
      </c>
    </row>
    <row r="248" ht="15.75" customHeight="1">
      <c r="A248" s="1">
        <f>IFERROR(__xludf.DUMMYFUNCTION("""COMPUTED_VALUE"""),44204.66666666667)</f>
        <v>44204.66667</v>
      </c>
      <c r="B248" s="2">
        <f>IFERROR(__xludf.DUMMYFUNCTION("""COMPUTED_VALUE"""),1615.54)</f>
        <v>1615.54</v>
      </c>
      <c r="C248" s="2">
        <f>IFERROR(__xludf.DUMMYFUNCTION("""COMPUTED_VALUE"""),1675.38)</f>
        <v>1675.38</v>
      </c>
      <c r="D248" s="2">
        <f>IFERROR(__xludf.DUMMYFUNCTION("""COMPUTED_VALUE"""),1605.57)</f>
        <v>1605.57</v>
      </c>
      <c r="E248" s="2">
        <f>IFERROR(__xludf.DUMMYFUNCTION("""COMPUTED_VALUE"""),1650.45)</f>
        <v>1650.45</v>
      </c>
      <c r="F248" s="2">
        <f>IFERROR(__xludf.DUMMYFUNCTION("""COMPUTED_VALUE"""),4.94406E7)</f>
        <v>49440600</v>
      </c>
      <c r="G248" s="2">
        <f t="shared" si="1"/>
        <v>69.81</v>
      </c>
    </row>
    <row r="249" ht="15.75" customHeight="1">
      <c r="A249" s="1">
        <f>IFERROR(__xludf.DUMMYFUNCTION("""COMPUTED_VALUE"""),44207.625)</f>
        <v>44207.625</v>
      </c>
      <c r="B249" s="2">
        <f>IFERROR(__xludf.DUMMYFUNCTION("""COMPUTED_VALUE"""),1665.41)</f>
        <v>1665.41</v>
      </c>
      <c r="C249" s="2">
        <f>IFERROR(__xludf.DUMMYFUNCTION("""COMPUTED_VALUE"""),1755.16)</f>
        <v>1755.16</v>
      </c>
      <c r="D249" s="2">
        <f>IFERROR(__xludf.DUMMYFUNCTION("""COMPUTED_VALUE"""),1650.45)</f>
        <v>1650.45</v>
      </c>
      <c r="E249" s="2">
        <f>IFERROR(__xludf.DUMMYFUNCTION("""COMPUTED_VALUE"""),1705.3)</f>
        <v>1705.3</v>
      </c>
      <c r="F249" s="2">
        <f>IFERROR(__xludf.DUMMYFUNCTION("""COMPUTED_VALUE"""),7.88718E7)</f>
        <v>78871800</v>
      </c>
      <c r="G249" s="2">
        <f t="shared" si="1"/>
        <v>104.71</v>
      </c>
    </row>
    <row r="250" ht="15.75" customHeight="1">
      <c r="A250" s="1">
        <f>IFERROR(__xludf.DUMMYFUNCTION("""COMPUTED_VALUE"""),44208.625)</f>
        <v>44208.625</v>
      </c>
      <c r="B250" s="2">
        <f>IFERROR(__xludf.DUMMYFUNCTION("""COMPUTED_VALUE"""),1715.27)</f>
        <v>1715.27</v>
      </c>
      <c r="C250" s="2">
        <f>IFERROR(__xludf.DUMMYFUNCTION("""COMPUTED_VALUE"""),1745.19)</f>
        <v>1745.19</v>
      </c>
      <c r="D250" s="2">
        <f>IFERROR(__xludf.DUMMYFUNCTION("""COMPUTED_VALUE"""),1670.39)</f>
        <v>1670.39</v>
      </c>
      <c r="E250" s="2">
        <f>IFERROR(__xludf.DUMMYFUNCTION("""COMPUTED_VALUE"""),1685.35)</f>
        <v>1685.35</v>
      </c>
      <c r="F250" s="2">
        <f>IFERROR(__xludf.DUMMYFUNCTION("""COMPUTED_VALUE"""),3.30647E7)</f>
        <v>33064700</v>
      </c>
      <c r="G250" s="2">
        <f t="shared" si="1"/>
        <v>74.8</v>
      </c>
    </row>
    <row r="251" ht="15.75" customHeight="1">
      <c r="A251" s="1">
        <f>IFERROR(__xludf.DUMMYFUNCTION("""COMPUTED_VALUE"""),44209.625)</f>
        <v>44209.625</v>
      </c>
      <c r="B251" s="2">
        <f>IFERROR(__xludf.DUMMYFUNCTION("""COMPUTED_VALUE"""),1695.32)</f>
        <v>1695.32</v>
      </c>
      <c r="C251" s="2">
        <f>IFERROR(__xludf.DUMMYFUNCTION("""COMPUTED_VALUE"""),1700.31)</f>
        <v>1700.31</v>
      </c>
      <c r="D251" s="2">
        <f>IFERROR(__xludf.DUMMYFUNCTION("""COMPUTED_VALUE"""),1645.46)</f>
        <v>1645.46</v>
      </c>
      <c r="E251" s="2">
        <f>IFERROR(__xludf.DUMMYFUNCTION("""COMPUTED_VALUE"""),1665.41)</f>
        <v>1665.41</v>
      </c>
      <c r="F251" s="2">
        <f>IFERROR(__xludf.DUMMYFUNCTION("""COMPUTED_VALUE"""),2.09859E7)</f>
        <v>20985900</v>
      </c>
      <c r="G251" s="2">
        <f t="shared" si="1"/>
        <v>54.85</v>
      </c>
    </row>
    <row r="252" ht="15.75" customHeight="1">
      <c r="A252" s="1">
        <f>IFERROR(__xludf.DUMMYFUNCTION("""COMPUTED_VALUE"""),44210.625)</f>
        <v>44210.625</v>
      </c>
      <c r="B252" s="2">
        <f>IFERROR(__xludf.DUMMYFUNCTION("""COMPUTED_VALUE"""),1680.36)</f>
        <v>1680.36</v>
      </c>
      <c r="C252" s="2">
        <f>IFERROR(__xludf.DUMMYFUNCTION("""COMPUTED_VALUE"""),1849.9)</f>
        <v>1849.9</v>
      </c>
      <c r="D252" s="2">
        <f>IFERROR(__xludf.DUMMYFUNCTION("""COMPUTED_VALUE"""),1645.46)</f>
        <v>1645.46</v>
      </c>
      <c r="E252" s="2">
        <f>IFERROR(__xludf.DUMMYFUNCTION("""COMPUTED_VALUE"""),1750.17)</f>
        <v>1750.17</v>
      </c>
      <c r="F252" s="2">
        <f>IFERROR(__xludf.DUMMYFUNCTION("""COMPUTED_VALUE"""),1.056223E8)</f>
        <v>105622300</v>
      </c>
      <c r="G252" s="2">
        <f t="shared" si="1"/>
        <v>204.44</v>
      </c>
    </row>
    <row r="253" ht="15.75" customHeight="1">
      <c r="A253" s="1">
        <f>IFERROR(__xludf.DUMMYFUNCTION("""COMPUTED_VALUE"""),44211.625)</f>
        <v>44211.625</v>
      </c>
      <c r="B253" s="2">
        <f>IFERROR(__xludf.DUMMYFUNCTION("""COMPUTED_VALUE"""),1785.08)</f>
        <v>1785.08</v>
      </c>
      <c r="C253" s="2">
        <f>IFERROR(__xludf.DUMMYFUNCTION("""COMPUTED_VALUE"""),1824.97)</f>
        <v>1824.97</v>
      </c>
      <c r="D253" s="2">
        <f>IFERROR(__xludf.DUMMYFUNCTION("""COMPUTED_VALUE"""),1715.27)</f>
        <v>1715.27</v>
      </c>
      <c r="E253" s="2">
        <f>IFERROR(__xludf.DUMMYFUNCTION("""COMPUTED_VALUE"""),1755.16)</f>
        <v>1755.16</v>
      </c>
      <c r="F253" s="2">
        <f>IFERROR(__xludf.DUMMYFUNCTION("""COMPUTED_VALUE"""),7.25974E7)</f>
        <v>72597400</v>
      </c>
      <c r="G253" s="2">
        <f t="shared" si="1"/>
        <v>109.7</v>
      </c>
    </row>
    <row r="254" ht="15.75" customHeight="1">
      <c r="A254" s="1">
        <f>IFERROR(__xludf.DUMMYFUNCTION("""COMPUTED_VALUE"""),44214.625)</f>
        <v>44214.625</v>
      </c>
      <c r="B254" s="2">
        <f>IFERROR(__xludf.DUMMYFUNCTION("""COMPUTED_VALUE"""),1755.16)</f>
        <v>1755.16</v>
      </c>
      <c r="C254" s="2">
        <f>IFERROR(__xludf.DUMMYFUNCTION("""COMPUTED_VALUE"""),1775.1)</f>
        <v>1775.1</v>
      </c>
      <c r="D254" s="2">
        <f>IFERROR(__xludf.DUMMYFUNCTION("""COMPUTED_VALUE"""),1665.41)</f>
        <v>1665.41</v>
      </c>
      <c r="E254" s="2">
        <f>IFERROR(__xludf.DUMMYFUNCTION("""COMPUTED_VALUE"""),1670.39)</f>
        <v>1670.39</v>
      </c>
      <c r="F254" s="2">
        <f>IFERROR(__xludf.DUMMYFUNCTION("""COMPUTED_VALUE"""),2.65921E7)</f>
        <v>26592100</v>
      </c>
      <c r="G254" s="2">
        <f t="shared" si="1"/>
        <v>109.69</v>
      </c>
    </row>
    <row r="255" ht="15.75" customHeight="1">
      <c r="A255" s="1">
        <f>IFERROR(__xludf.DUMMYFUNCTION("""COMPUTED_VALUE"""),44215.625)</f>
        <v>44215.625</v>
      </c>
      <c r="B255" s="2">
        <f>IFERROR(__xludf.DUMMYFUNCTION("""COMPUTED_VALUE"""),1670.39)</f>
        <v>1670.39</v>
      </c>
      <c r="C255" s="2">
        <f>IFERROR(__xludf.DUMMYFUNCTION("""COMPUTED_VALUE"""),1675.38)</f>
        <v>1675.38</v>
      </c>
      <c r="D255" s="2">
        <f>IFERROR(__xludf.DUMMYFUNCTION("""COMPUTED_VALUE"""),1590.61)</f>
        <v>1590.61</v>
      </c>
      <c r="E255" s="2">
        <f>IFERROR(__xludf.DUMMYFUNCTION("""COMPUTED_VALUE"""),1605.57)</f>
        <v>1605.57</v>
      </c>
      <c r="F255" s="2">
        <f>IFERROR(__xludf.DUMMYFUNCTION("""COMPUTED_VALUE"""),2.55754E7)</f>
        <v>25575400</v>
      </c>
      <c r="G255" s="2">
        <f t="shared" si="1"/>
        <v>84.77</v>
      </c>
    </row>
    <row r="256" ht="15.75" customHeight="1">
      <c r="A256" s="1">
        <f>IFERROR(__xludf.DUMMYFUNCTION("""COMPUTED_VALUE"""),44216.625)</f>
        <v>44216.625</v>
      </c>
      <c r="B256" s="2">
        <f>IFERROR(__xludf.DUMMYFUNCTION("""COMPUTED_VALUE"""),1610.56)</f>
        <v>1610.56</v>
      </c>
      <c r="C256" s="2">
        <f>IFERROR(__xludf.DUMMYFUNCTION("""COMPUTED_VALUE"""),1665.41)</f>
        <v>1665.41</v>
      </c>
      <c r="D256" s="2">
        <f>IFERROR(__xludf.DUMMYFUNCTION("""COMPUTED_VALUE"""),1555.71)</f>
        <v>1555.71</v>
      </c>
      <c r="E256" s="2">
        <f>IFERROR(__xludf.DUMMYFUNCTION("""COMPUTED_VALUE"""),1645.46)</f>
        <v>1645.46</v>
      </c>
      <c r="F256" s="2">
        <f>IFERROR(__xludf.DUMMYFUNCTION("""COMPUTED_VALUE"""),1.61064E7)</f>
        <v>16106400</v>
      </c>
      <c r="G256" s="2">
        <f t="shared" si="1"/>
        <v>109.7</v>
      </c>
    </row>
    <row r="257" ht="15.75" customHeight="1">
      <c r="A257" s="1">
        <f>IFERROR(__xludf.DUMMYFUNCTION("""COMPUTED_VALUE"""),44217.625)</f>
        <v>44217.625</v>
      </c>
      <c r="B257" s="2">
        <f>IFERROR(__xludf.DUMMYFUNCTION("""COMPUTED_VALUE"""),1650.45)</f>
        <v>1650.45</v>
      </c>
      <c r="C257" s="2">
        <f>IFERROR(__xludf.DUMMYFUNCTION("""COMPUTED_VALUE"""),1705.3)</f>
        <v>1705.3</v>
      </c>
      <c r="D257" s="2">
        <f>IFERROR(__xludf.DUMMYFUNCTION("""COMPUTED_VALUE"""),1645.46)</f>
        <v>1645.46</v>
      </c>
      <c r="E257" s="2">
        <f>IFERROR(__xludf.DUMMYFUNCTION("""COMPUTED_VALUE"""),1650.45)</f>
        <v>1650.45</v>
      </c>
      <c r="F257" s="2">
        <f>IFERROR(__xludf.DUMMYFUNCTION("""COMPUTED_VALUE"""),2.19055E7)</f>
        <v>21905500</v>
      </c>
      <c r="G257" s="2">
        <f t="shared" si="1"/>
        <v>59.84</v>
      </c>
    </row>
    <row r="258" ht="15.75" customHeight="1">
      <c r="A258" s="1">
        <f>IFERROR(__xludf.DUMMYFUNCTION("""COMPUTED_VALUE"""),44218.625)</f>
        <v>44218.625</v>
      </c>
      <c r="B258" s="2">
        <f>IFERROR(__xludf.DUMMYFUNCTION("""COMPUTED_VALUE"""),1670.39)</f>
        <v>1670.39</v>
      </c>
      <c r="C258" s="2">
        <f>IFERROR(__xludf.DUMMYFUNCTION("""COMPUTED_VALUE"""),1675.38)</f>
        <v>1675.38</v>
      </c>
      <c r="D258" s="2">
        <f>IFERROR(__xludf.DUMMYFUNCTION("""COMPUTED_VALUE"""),1605.57)</f>
        <v>1605.57</v>
      </c>
      <c r="E258" s="2">
        <f>IFERROR(__xludf.DUMMYFUNCTION("""COMPUTED_VALUE"""),1625.52)</f>
        <v>1625.52</v>
      </c>
      <c r="F258" s="2">
        <f>IFERROR(__xludf.DUMMYFUNCTION("""COMPUTED_VALUE"""),1.43895E7)</f>
        <v>14389500</v>
      </c>
      <c r="G258" s="2">
        <f t="shared" si="1"/>
        <v>69.81</v>
      </c>
    </row>
    <row r="259" ht="15.75" customHeight="1">
      <c r="A259" s="1">
        <f>IFERROR(__xludf.DUMMYFUNCTION("""COMPUTED_VALUE"""),44221.625)</f>
        <v>44221.625</v>
      </c>
      <c r="B259" s="2">
        <f>IFERROR(__xludf.DUMMYFUNCTION("""COMPUTED_VALUE"""),1620.53)</f>
        <v>1620.53</v>
      </c>
      <c r="C259" s="2">
        <f>IFERROR(__xludf.DUMMYFUNCTION("""COMPUTED_VALUE"""),1675.38)</f>
        <v>1675.38</v>
      </c>
      <c r="D259" s="2">
        <f>IFERROR(__xludf.DUMMYFUNCTION("""COMPUTED_VALUE"""),1515.82)</f>
        <v>1515.82</v>
      </c>
      <c r="E259" s="2">
        <f>IFERROR(__xludf.DUMMYFUNCTION("""COMPUTED_VALUE"""),1670.39)</f>
        <v>1670.39</v>
      </c>
      <c r="F259" s="2">
        <f>IFERROR(__xludf.DUMMYFUNCTION("""COMPUTED_VALUE"""),5.02121E7)</f>
        <v>50212100</v>
      </c>
      <c r="G259" s="2">
        <f t="shared" si="1"/>
        <v>159.56</v>
      </c>
    </row>
    <row r="260" ht="15.75" customHeight="1">
      <c r="A260" s="1">
        <f>IFERROR(__xludf.DUMMYFUNCTION("""COMPUTED_VALUE"""),44222.625)</f>
        <v>44222.625</v>
      </c>
      <c r="B260" s="2">
        <f>IFERROR(__xludf.DUMMYFUNCTION("""COMPUTED_VALUE"""),1675.38)</f>
        <v>1675.38</v>
      </c>
      <c r="C260" s="2">
        <f>IFERROR(__xludf.DUMMYFUNCTION("""COMPUTED_VALUE"""),1690.34)</f>
        <v>1690.34</v>
      </c>
      <c r="D260" s="2">
        <f>IFERROR(__xludf.DUMMYFUNCTION("""COMPUTED_VALUE"""),1585.63)</f>
        <v>1585.63</v>
      </c>
      <c r="E260" s="2">
        <f>IFERROR(__xludf.DUMMYFUNCTION("""COMPUTED_VALUE"""),1630.5)</f>
        <v>1630.5</v>
      </c>
      <c r="F260" s="2">
        <f>IFERROR(__xludf.DUMMYFUNCTION("""COMPUTED_VALUE"""),3.33086E7)</f>
        <v>33308600</v>
      </c>
      <c r="G260" s="2">
        <f t="shared" si="1"/>
        <v>104.71</v>
      </c>
    </row>
    <row r="261" ht="15.75" customHeight="1">
      <c r="A261" s="1">
        <f>IFERROR(__xludf.DUMMYFUNCTION("""COMPUTED_VALUE"""),44223.625)</f>
        <v>44223.625</v>
      </c>
      <c r="B261" s="2">
        <f>IFERROR(__xludf.DUMMYFUNCTION("""COMPUTED_VALUE"""),1660.42)</f>
        <v>1660.42</v>
      </c>
      <c r="C261" s="2">
        <f>IFERROR(__xludf.DUMMYFUNCTION("""COMPUTED_VALUE"""),1660.42)</f>
        <v>1660.42</v>
      </c>
      <c r="D261" s="2">
        <f>IFERROR(__xludf.DUMMYFUNCTION("""COMPUTED_VALUE"""),1545.74)</f>
        <v>1545.74</v>
      </c>
      <c r="E261" s="2">
        <f>IFERROR(__xludf.DUMMYFUNCTION("""COMPUTED_VALUE"""),1575.65)</f>
        <v>1575.65</v>
      </c>
      <c r="F261" s="2">
        <f>IFERROR(__xludf.DUMMYFUNCTION("""COMPUTED_VALUE"""),2.56224E7)</f>
        <v>25622400</v>
      </c>
      <c r="G261" s="2">
        <f t="shared" si="1"/>
        <v>114.68</v>
      </c>
    </row>
    <row r="262" ht="15.75" customHeight="1">
      <c r="A262" s="1">
        <f>IFERROR(__xludf.DUMMYFUNCTION("""COMPUTED_VALUE"""),44224.625)</f>
        <v>44224.625</v>
      </c>
      <c r="B262" s="2">
        <f>IFERROR(__xludf.DUMMYFUNCTION("""COMPUTED_VALUE"""),1535.76)</f>
        <v>1535.76</v>
      </c>
      <c r="C262" s="2">
        <f>IFERROR(__xludf.DUMMYFUNCTION("""COMPUTED_VALUE"""),1595.6)</f>
        <v>1595.6</v>
      </c>
      <c r="D262" s="2">
        <f>IFERROR(__xludf.DUMMYFUNCTION("""COMPUTED_VALUE"""),1465.96)</f>
        <v>1465.96</v>
      </c>
      <c r="E262" s="2">
        <f>IFERROR(__xludf.DUMMYFUNCTION("""COMPUTED_VALUE"""),1465.96)</f>
        <v>1465.96</v>
      </c>
      <c r="F262" s="2">
        <f>IFERROR(__xludf.DUMMYFUNCTION("""COMPUTED_VALUE"""),2.98379E7)</f>
        <v>29837900</v>
      </c>
      <c r="G262" s="2">
        <f t="shared" si="1"/>
        <v>129.64</v>
      </c>
    </row>
    <row r="263" ht="15.75" customHeight="1">
      <c r="A263" s="1">
        <f>IFERROR(__xludf.DUMMYFUNCTION("""COMPUTED_VALUE"""),44225.625)</f>
        <v>44225.625</v>
      </c>
      <c r="B263" s="2">
        <f>IFERROR(__xludf.DUMMYFUNCTION("""COMPUTED_VALUE"""),1490.89)</f>
        <v>1490.89</v>
      </c>
      <c r="C263" s="2">
        <f>IFERROR(__xludf.DUMMYFUNCTION("""COMPUTED_VALUE"""),1520.8)</f>
        <v>1520.8</v>
      </c>
      <c r="D263" s="2">
        <f>IFERROR(__xludf.DUMMYFUNCTION("""COMPUTED_VALUE"""),1426.07)</f>
        <v>1426.07</v>
      </c>
      <c r="E263" s="2">
        <f>IFERROR(__xludf.DUMMYFUNCTION("""COMPUTED_VALUE"""),1465.96)</f>
        <v>1465.96</v>
      </c>
      <c r="F263" s="2">
        <f>IFERROR(__xludf.DUMMYFUNCTION("""COMPUTED_VALUE"""),2.37571E7)</f>
        <v>23757100</v>
      </c>
      <c r="G263" s="2">
        <f t="shared" si="1"/>
        <v>94.73</v>
      </c>
    </row>
    <row r="264" ht="15.75" customHeight="1">
      <c r="A264" s="1">
        <f>IFERROR(__xludf.DUMMYFUNCTION("""COMPUTED_VALUE"""),44228.625)</f>
        <v>44228.625</v>
      </c>
      <c r="B264" s="2">
        <f>IFERROR(__xludf.DUMMYFUNCTION("""COMPUTED_VALUE"""),1436.04)</f>
        <v>1436.04</v>
      </c>
      <c r="C264" s="2">
        <f>IFERROR(__xludf.DUMMYFUNCTION("""COMPUTED_VALUE"""),1545.74)</f>
        <v>1545.74</v>
      </c>
      <c r="D264" s="2">
        <f>IFERROR(__xludf.DUMMYFUNCTION("""COMPUTED_VALUE"""),1371.22)</f>
        <v>1371.22</v>
      </c>
      <c r="E264" s="2">
        <f>IFERROR(__xludf.DUMMYFUNCTION("""COMPUTED_VALUE"""),1530.78)</f>
        <v>1530.78</v>
      </c>
      <c r="F264" s="2">
        <f>IFERROR(__xludf.DUMMYFUNCTION("""COMPUTED_VALUE"""),2.55279E7)</f>
        <v>25527900</v>
      </c>
      <c r="G264" s="2">
        <f t="shared" si="1"/>
        <v>174.52</v>
      </c>
    </row>
    <row r="265" ht="15.75" customHeight="1">
      <c r="A265" s="1">
        <f>IFERROR(__xludf.DUMMYFUNCTION("""COMPUTED_VALUE"""),44229.625)</f>
        <v>44229.625</v>
      </c>
      <c r="B265" s="2">
        <f>IFERROR(__xludf.DUMMYFUNCTION("""COMPUTED_VALUE"""),1545.74)</f>
        <v>1545.74</v>
      </c>
      <c r="C265" s="2">
        <f>IFERROR(__xludf.DUMMYFUNCTION("""COMPUTED_VALUE"""),1560.69)</f>
        <v>1560.69</v>
      </c>
      <c r="D265" s="2">
        <f>IFERROR(__xludf.DUMMYFUNCTION("""COMPUTED_VALUE"""),1475.93)</f>
        <v>1475.93</v>
      </c>
      <c r="E265" s="2">
        <f>IFERROR(__xludf.DUMMYFUNCTION("""COMPUTED_VALUE"""),1475.93)</f>
        <v>1475.93</v>
      </c>
      <c r="F265" s="2">
        <f>IFERROR(__xludf.DUMMYFUNCTION("""COMPUTED_VALUE"""),2.04536E7)</f>
        <v>20453600</v>
      </c>
      <c r="G265" s="2">
        <f t="shared" si="1"/>
        <v>84.76</v>
      </c>
    </row>
    <row r="266" ht="15.75" customHeight="1">
      <c r="A266" s="1">
        <f>IFERROR(__xludf.DUMMYFUNCTION("""COMPUTED_VALUE"""),44230.625)</f>
        <v>44230.625</v>
      </c>
      <c r="B266" s="2">
        <f>IFERROR(__xludf.DUMMYFUNCTION("""COMPUTED_VALUE"""),1515.82)</f>
        <v>1515.82</v>
      </c>
      <c r="C266" s="2">
        <f>IFERROR(__xludf.DUMMYFUNCTION("""COMPUTED_VALUE"""),1560.69)</f>
        <v>1560.69</v>
      </c>
      <c r="D266" s="2">
        <f>IFERROR(__xludf.DUMMYFUNCTION("""COMPUTED_VALUE"""),1470.94)</f>
        <v>1470.94</v>
      </c>
      <c r="E266" s="2">
        <f>IFERROR(__xludf.DUMMYFUNCTION("""COMPUTED_VALUE"""),1530.78)</f>
        <v>1530.78</v>
      </c>
      <c r="F266" s="2">
        <f>IFERROR(__xludf.DUMMYFUNCTION("""COMPUTED_VALUE"""),1.81009E7)</f>
        <v>18100900</v>
      </c>
      <c r="G266" s="2">
        <f t="shared" si="1"/>
        <v>89.75</v>
      </c>
    </row>
    <row r="267" ht="15.75" customHeight="1">
      <c r="A267" s="1">
        <f>IFERROR(__xludf.DUMMYFUNCTION("""COMPUTED_VALUE"""),44231.625)</f>
        <v>44231.625</v>
      </c>
      <c r="B267" s="2">
        <f>IFERROR(__xludf.DUMMYFUNCTION("""COMPUTED_VALUE"""),1530.78)</f>
        <v>1530.78</v>
      </c>
      <c r="C267" s="2">
        <f>IFERROR(__xludf.DUMMYFUNCTION("""COMPUTED_VALUE"""),1585.63)</f>
        <v>1585.63</v>
      </c>
      <c r="D267" s="2">
        <f>IFERROR(__xludf.DUMMYFUNCTION("""COMPUTED_VALUE"""),1525.79)</f>
        <v>1525.79</v>
      </c>
      <c r="E267" s="2">
        <f>IFERROR(__xludf.DUMMYFUNCTION("""COMPUTED_VALUE"""),1560.69)</f>
        <v>1560.69</v>
      </c>
      <c r="F267" s="2">
        <f>IFERROR(__xludf.DUMMYFUNCTION("""COMPUTED_VALUE"""),1.8649E7)</f>
        <v>18649000</v>
      </c>
      <c r="G267" s="2">
        <f t="shared" si="1"/>
        <v>59.84</v>
      </c>
    </row>
    <row r="268" ht="15.75" customHeight="1">
      <c r="A268" s="1">
        <f>IFERROR(__xludf.DUMMYFUNCTION("""COMPUTED_VALUE"""),44232.625)</f>
        <v>44232.625</v>
      </c>
      <c r="B268" s="2">
        <f>IFERROR(__xludf.DUMMYFUNCTION("""COMPUTED_VALUE"""),1565.68)</f>
        <v>1565.68</v>
      </c>
      <c r="C268" s="2">
        <f>IFERROR(__xludf.DUMMYFUNCTION("""COMPUTED_VALUE"""),1575.65)</f>
        <v>1575.65</v>
      </c>
      <c r="D268" s="2">
        <f>IFERROR(__xludf.DUMMYFUNCTION("""COMPUTED_VALUE"""),1545.74)</f>
        <v>1545.74</v>
      </c>
      <c r="E268" s="2">
        <f>IFERROR(__xludf.DUMMYFUNCTION("""COMPUTED_VALUE"""),1545.74)</f>
        <v>1545.74</v>
      </c>
      <c r="F268" s="2">
        <f>IFERROR(__xludf.DUMMYFUNCTION("""COMPUTED_VALUE"""),8345000.0)</f>
        <v>8345000</v>
      </c>
      <c r="G268" s="2">
        <f t="shared" si="1"/>
        <v>29.91</v>
      </c>
    </row>
    <row r="269" ht="15.75" customHeight="1">
      <c r="A269" s="1">
        <f>IFERROR(__xludf.DUMMYFUNCTION("""COMPUTED_VALUE"""),44235.625)</f>
        <v>44235.625</v>
      </c>
      <c r="B269" s="2">
        <f>IFERROR(__xludf.DUMMYFUNCTION("""COMPUTED_VALUE"""),1545.74)</f>
        <v>1545.74</v>
      </c>
      <c r="C269" s="2">
        <f>IFERROR(__xludf.DUMMYFUNCTION("""COMPUTED_VALUE"""),1575.65)</f>
        <v>1575.65</v>
      </c>
      <c r="D269" s="2">
        <f>IFERROR(__xludf.DUMMYFUNCTION("""COMPUTED_VALUE"""),1545.74)</f>
        <v>1545.74</v>
      </c>
      <c r="E269" s="2">
        <f>IFERROR(__xludf.DUMMYFUNCTION("""COMPUTED_VALUE"""),1565.68)</f>
        <v>1565.68</v>
      </c>
      <c r="F269" s="2">
        <f>IFERROR(__xludf.DUMMYFUNCTION("""COMPUTED_VALUE"""),5490400.0)</f>
        <v>5490400</v>
      </c>
      <c r="G269" s="2">
        <f t="shared" si="1"/>
        <v>29.91</v>
      </c>
    </row>
    <row r="270" ht="15.75" customHeight="1">
      <c r="A270" s="1">
        <f>IFERROR(__xludf.DUMMYFUNCTION("""COMPUTED_VALUE"""),44236.625)</f>
        <v>44236.625</v>
      </c>
      <c r="B270" s="2">
        <f>IFERROR(__xludf.DUMMYFUNCTION("""COMPUTED_VALUE"""),1575.65)</f>
        <v>1575.65</v>
      </c>
      <c r="C270" s="2">
        <f>IFERROR(__xludf.DUMMYFUNCTION("""COMPUTED_VALUE"""),1605.57)</f>
        <v>1605.57</v>
      </c>
      <c r="D270" s="2">
        <f>IFERROR(__xludf.DUMMYFUNCTION("""COMPUTED_VALUE"""),1530.78)</f>
        <v>1530.78</v>
      </c>
      <c r="E270" s="2">
        <f>IFERROR(__xludf.DUMMYFUNCTION("""COMPUTED_VALUE"""),1540.75)</f>
        <v>1540.75</v>
      </c>
      <c r="F270" s="2">
        <f>IFERROR(__xludf.DUMMYFUNCTION("""COMPUTED_VALUE"""),1.16458E7)</f>
        <v>11645800</v>
      </c>
      <c r="G270" s="2">
        <f t="shared" si="1"/>
        <v>74.79</v>
      </c>
    </row>
    <row r="271" ht="15.75" customHeight="1">
      <c r="A271" s="1">
        <f>IFERROR(__xludf.DUMMYFUNCTION("""COMPUTED_VALUE"""),44237.625)</f>
        <v>44237.625</v>
      </c>
      <c r="B271" s="2">
        <f>IFERROR(__xludf.DUMMYFUNCTION("""COMPUTED_VALUE"""),1540.75)</f>
        <v>1540.75</v>
      </c>
      <c r="C271" s="2">
        <f>IFERROR(__xludf.DUMMYFUNCTION("""COMPUTED_VALUE"""),1555.71)</f>
        <v>1555.71</v>
      </c>
      <c r="D271" s="2">
        <f>IFERROR(__xludf.DUMMYFUNCTION("""COMPUTED_VALUE"""),1505.85)</f>
        <v>1505.85</v>
      </c>
      <c r="E271" s="2">
        <f>IFERROR(__xludf.DUMMYFUNCTION("""COMPUTED_VALUE"""),1550.72)</f>
        <v>1550.72</v>
      </c>
      <c r="F271" s="2">
        <f>IFERROR(__xludf.DUMMYFUNCTION("""COMPUTED_VALUE"""),4050300.0)</f>
        <v>4050300</v>
      </c>
      <c r="G271" s="2">
        <f t="shared" si="1"/>
        <v>49.86</v>
      </c>
    </row>
    <row r="272" ht="15.75" customHeight="1">
      <c r="A272" s="1">
        <f>IFERROR(__xludf.DUMMYFUNCTION("""COMPUTED_VALUE"""),44238.625)</f>
        <v>44238.625</v>
      </c>
      <c r="B272" s="2">
        <f>IFERROR(__xludf.DUMMYFUNCTION("""COMPUTED_VALUE"""),1555.71)</f>
        <v>1555.71</v>
      </c>
      <c r="C272" s="2">
        <f>IFERROR(__xludf.DUMMYFUNCTION("""COMPUTED_VALUE"""),1565.68)</f>
        <v>1565.68</v>
      </c>
      <c r="D272" s="2">
        <f>IFERROR(__xludf.DUMMYFUNCTION("""COMPUTED_VALUE"""),1545.74)</f>
        <v>1545.74</v>
      </c>
      <c r="E272" s="2">
        <f>IFERROR(__xludf.DUMMYFUNCTION("""COMPUTED_VALUE"""),1555.71)</f>
        <v>1555.71</v>
      </c>
      <c r="F272" s="2">
        <f>IFERROR(__xludf.DUMMYFUNCTION("""COMPUTED_VALUE"""),4018700.0)</f>
        <v>4018700</v>
      </c>
      <c r="G272" s="2">
        <f t="shared" si="1"/>
        <v>19.94</v>
      </c>
    </row>
    <row r="273" ht="15.75" customHeight="1">
      <c r="A273" s="1">
        <f>IFERROR(__xludf.DUMMYFUNCTION("""COMPUTED_VALUE"""),44242.625)</f>
        <v>44242.625</v>
      </c>
      <c r="B273" s="2">
        <f>IFERROR(__xludf.DUMMYFUNCTION("""COMPUTED_VALUE"""),1560.69)</f>
        <v>1560.69</v>
      </c>
      <c r="C273" s="2">
        <f>IFERROR(__xludf.DUMMYFUNCTION("""COMPUTED_VALUE"""),1575.65)</f>
        <v>1575.65</v>
      </c>
      <c r="D273" s="2">
        <f>IFERROR(__xludf.DUMMYFUNCTION("""COMPUTED_VALUE"""),1555.71)</f>
        <v>1555.71</v>
      </c>
      <c r="E273" s="2">
        <f>IFERROR(__xludf.DUMMYFUNCTION("""COMPUTED_VALUE"""),1565.68)</f>
        <v>1565.68</v>
      </c>
      <c r="F273" s="2">
        <f>IFERROR(__xludf.DUMMYFUNCTION("""COMPUTED_VALUE"""),6464900.0)</f>
        <v>6464900</v>
      </c>
      <c r="G273" s="2">
        <f t="shared" si="1"/>
        <v>19.94</v>
      </c>
    </row>
    <row r="274" ht="15.75" customHeight="1">
      <c r="A274" s="1">
        <f>IFERROR(__xludf.DUMMYFUNCTION("""COMPUTED_VALUE"""),44243.625)</f>
        <v>44243.625</v>
      </c>
      <c r="B274" s="2">
        <f>IFERROR(__xludf.DUMMYFUNCTION("""COMPUTED_VALUE"""),1575.65)</f>
        <v>1575.65</v>
      </c>
      <c r="C274" s="2">
        <f>IFERROR(__xludf.DUMMYFUNCTION("""COMPUTED_VALUE"""),1625.52)</f>
        <v>1625.52</v>
      </c>
      <c r="D274" s="2">
        <f>IFERROR(__xludf.DUMMYFUNCTION("""COMPUTED_VALUE"""),1570.67)</f>
        <v>1570.67</v>
      </c>
      <c r="E274" s="2">
        <f>IFERROR(__xludf.DUMMYFUNCTION("""COMPUTED_VALUE"""),1610.56)</f>
        <v>1610.56</v>
      </c>
      <c r="F274" s="2">
        <f>IFERROR(__xludf.DUMMYFUNCTION("""COMPUTED_VALUE"""),1.44121E7)</f>
        <v>14412100</v>
      </c>
      <c r="G274" s="2">
        <f t="shared" si="1"/>
        <v>59.84</v>
      </c>
    </row>
    <row r="275" ht="15.75" customHeight="1">
      <c r="A275" s="1">
        <f>IFERROR(__xludf.DUMMYFUNCTION("""COMPUTED_VALUE"""),44244.625)</f>
        <v>44244.625</v>
      </c>
      <c r="B275" s="2">
        <f>IFERROR(__xludf.DUMMYFUNCTION("""COMPUTED_VALUE"""),1630.5)</f>
        <v>1630.5</v>
      </c>
      <c r="C275" s="2">
        <f>IFERROR(__xludf.DUMMYFUNCTION("""COMPUTED_VALUE"""),1630.5)</f>
        <v>1630.5</v>
      </c>
      <c r="D275" s="2">
        <f>IFERROR(__xludf.DUMMYFUNCTION("""COMPUTED_VALUE"""),1565.68)</f>
        <v>1565.68</v>
      </c>
      <c r="E275" s="2">
        <f>IFERROR(__xludf.DUMMYFUNCTION("""COMPUTED_VALUE"""),1575.65)</f>
        <v>1575.65</v>
      </c>
      <c r="F275" s="2">
        <f>IFERROR(__xludf.DUMMYFUNCTION("""COMPUTED_VALUE"""),1.52909E7)</f>
        <v>15290900</v>
      </c>
      <c r="G275" s="2">
        <f t="shared" si="1"/>
        <v>64.82</v>
      </c>
    </row>
    <row r="276" ht="15.75" customHeight="1">
      <c r="A276" s="1">
        <f>IFERROR(__xludf.DUMMYFUNCTION("""COMPUTED_VALUE"""),44245.625)</f>
        <v>44245.625</v>
      </c>
      <c r="B276" s="2">
        <f>IFERROR(__xludf.DUMMYFUNCTION("""COMPUTED_VALUE"""),1570.67)</f>
        <v>1570.67</v>
      </c>
      <c r="C276" s="2">
        <f>IFERROR(__xludf.DUMMYFUNCTION("""COMPUTED_VALUE"""),1610.56)</f>
        <v>1610.56</v>
      </c>
      <c r="D276" s="2">
        <f>IFERROR(__xludf.DUMMYFUNCTION("""COMPUTED_VALUE"""),1545.74)</f>
        <v>1545.74</v>
      </c>
      <c r="E276" s="2">
        <f>IFERROR(__xludf.DUMMYFUNCTION("""COMPUTED_VALUE"""),1575.65)</f>
        <v>1575.65</v>
      </c>
      <c r="F276" s="2">
        <f>IFERROR(__xludf.DUMMYFUNCTION("""COMPUTED_VALUE"""),1.22611E7)</f>
        <v>12261100</v>
      </c>
      <c r="G276" s="2">
        <f t="shared" si="1"/>
        <v>64.82</v>
      </c>
    </row>
    <row r="277" ht="15.75" customHeight="1">
      <c r="A277" s="1">
        <f>IFERROR(__xludf.DUMMYFUNCTION("""COMPUTED_VALUE"""),44246.625)</f>
        <v>44246.625</v>
      </c>
      <c r="B277" s="2">
        <f>IFERROR(__xludf.DUMMYFUNCTION("""COMPUTED_VALUE"""),1580.64)</f>
        <v>1580.64</v>
      </c>
      <c r="C277" s="2">
        <f>IFERROR(__xludf.DUMMYFUNCTION("""COMPUTED_VALUE"""),1580.64)</f>
        <v>1580.64</v>
      </c>
      <c r="D277" s="2">
        <f>IFERROR(__xludf.DUMMYFUNCTION("""COMPUTED_VALUE"""),1545.74)</f>
        <v>1545.74</v>
      </c>
      <c r="E277" s="2">
        <f>IFERROR(__xludf.DUMMYFUNCTION("""COMPUTED_VALUE"""),1555.71)</f>
        <v>1555.71</v>
      </c>
      <c r="F277" s="2">
        <f>IFERROR(__xludf.DUMMYFUNCTION("""COMPUTED_VALUE"""),8738900.0)</f>
        <v>8738900</v>
      </c>
      <c r="G277" s="2">
        <f t="shared" si="1"/>
        <v>34.9</v>
      </c>
    </row>
    <row r="278" ht="15.75" customHeight="1">
      <c r="A278" s="1">
        <f>IFERROR(__xludf.DUMMYFUNCTION("""COMPUTED_VALUE"""),44249.625)</f>
        <v>44249.625</v>
      </c>
      <c r="B278" s="2">
        <f>IFERROR(__xludf.DUMMYFUNCTION("""COMPUTED_VALUE"""),1560.69)</f>
        <v>1560.69</v>
      </c>
      <c r="C278" s="2">
        <f>IFERROR(__xludf.DUMMYFUNCTION("""COMPUTED_VALUE"""),1575.65)</f>
        <v>1575.65</v>
      </c>
      <c r="D278" s="2">
        <f>IFERROR(__xludf.DUMMYFUNCTION("""COMPUTED_VALUE"""),1545.74)</f>
        <v>1545.74</v>
      </c>
      <c r="E278" s="2">
        <f>IFERROR(__xludf.DUMMYFUNCTION("""COMPUTED_VALUE"""),1550.72)</f>
        <v>1550.72</v>
      </c>
      <c r="F278" s="2">
        <f>IFERROR(__xludf.DUMMYFUNCTION("""COMPUTED_VALUE"""),8359700.0)</f>
        <v>8359700</v>
      </c>
      <c r="G278" s="2">
        <f t="shared" si="1"/>
        <v>29.91</v>
      </c>
    </row>
    <row r="279" ht="15.75" customHeight="1">
      <c r="A279" s="1">
        <f>IFERROR(__xludf.DUMMYFUNCTION("""COMPUTED_VALUE"""),44250.66666666667)</f>
        <v>44250.66667</v>
      </c>
      <c r="B279" s="2">
        <f>IFERROR(__xludf.DUMMYFUNCTION("""COMPUTED_VALUE"""),1555.71)</f>
        <v>1555.71</v>
      </c>
      <c r="C279" s="2">
        <f>IFERROR(__xludf.DUMMYFUNCTION("""COMPUTED_VALUE"""),1575.65)</f>
        <v>1575.65</v>
      </c>
      <c r="D279" s="2">
        <f>IFERROR(__xludf.DUMMYFUNCTION("""COMPUTED_VALUE"""),1545.74)</f>
        <v>1545.74</v>
      </c>
      <c r="E279" s="2">
        <f>IFERROR(__xludf.DUMMYFUNCTION("""COMPUTED_VALUE"""),1565.68)</f>
        <v>1565.68</v>
      </c>
      <c r="F279" s="2">
        <f>IFERROR(__xludf.DUMMYFUNCTION("""COMPUTED_VALUE"""),5544400.0)</f>
        <v>5544400</v>
      </c>
      <c r="G279" s="2">
        <f t="shared" si="1"/>
        <v>29.91</v>
      </c>
    </row>
    <row r="280" ht="15.75" customHeight="1">
      <c r="A280" s="1">
        <f>IFERROR(__xludf.DUMMYFUNCTION("""COMPUTED_VALUE"""),44251.625)</f>
        <v>44251.625</v>
      </c>
      <c r="B280" s="2">
        <f>IFERROR(__xludf.DUMMYFUNCTION("""COMPUTED_VALUE"""),1565.68)</f>
        <v>1565.68</v>
      </c>
      <c r="C280" s="2">
        <f>IFERROR(__xludf.DUMMYFUNCTION("""COMPUTED_VALUE"""),1615.54)</f>
        <v>1615.54</v>
      </c>
      <c r="D280" s="2">
        <f>IFERROR(__xludf.DUMMYFUNCTION("""COMPUTED_VALUE"""),1530.78)</f>
        <v>1530.78</v>
      </c>
      <c r="E280" s="2">
        <f>IFERROR(__xludf.DUMMYFUNCTION("""COMPUTED_VALUE"""),1610.56)</f>
        <v>1610.56</v>
      </c>
      <c r="F280" s="2">
        <f>IFERROR(__xludf.DUMMYFUNCTION("""COMPUTED_VALUE"""),2.81218E7)</f>
        <v>28121800</v>
      </c>
      <c r="G280" s="2">
        <f t="shared" si="1"/>
        <v>84.76</v>
      </c>
    </row>
    <row r="281" ht="15.75" customHeight="1">
      <c r="A281" s="1">
        <f>IFERROR(__xludf.DUMMYFUNCTION("""COMPUTED_VALUE"""),44252.625)</f>
        <v>44252.625</v>
      </c>
      <c r="B281" s="2">
        <f>IFERROR(__xludf.DUMMYFUNCTION("""COMPUTED_VALUE"""),1615.54)</f>
        <v>1615.54</v>
      </c>
      <c r="C281" s="2">
        <f>IFERROR(__xludf.DUMMYFUNCTION("""COMPUTED_VALUE"""),1655.43)</f>
        <v>1655.43</v>
      </c>
      <c r="D281" s="2">
        <f>IFERROR(__xludf.DUMMYFUNCTION("""COMPUTED_VALUE"""),1610.56)</f>
        <v>1610.56</v>
      </c>
      <c r="E281" s="2">
        <f>IFERROR(__xludf.DUMMYFUNCTION("""COMPUTED_VALUE"""),1615.54)</f>
        <v>1615.54</v>
      </c>
      <c r="F281" s="2">
        <f>IFERROR(__xludf.DUMMYFUNCTION("""COMPUTED_VALUE"""),2.69568E7)</f>
        <v>26956800</v>
      </c>
      <c r="G281" s="2">
        <f t="shared" si="1"/>
        <v>44.87</v>
      </c>
    </row>
    <row r="282" ht="15.75" customHeight="1">
      <c r="A282" s="1">
        <f>IFERROR(__xludf.DUMMYFUNCTION("""COMPUTED_VALUE"""),44253.625)</f>
        <v>44253.625</v>
      </c>
      <c r="B282" s="2">
        <f>IFERROR(__xludf.DUMMYFUNCTION("""COMPUTED_VALUE"""),1590.61)</f>
        <v>1590.61</v>
      </c>
      <c r="C282" s="2">
        <f>IFERROR(__xludf.DUMMYFUNCTION("""COMPUTED_VALUE"""),1615.54)</f>
        <v>1615.54</v>
      </c>
      <c r="D282" s="2">
        <f>IFERROR(__xludf.DUMMYFUNCTION("""COMPUTED_VALUE"""),1565.68)</f>
        <v>1565.68</v>
      </c>
      <c r="E282" s="2">
        <f>IFERROR(__xludf.DUMMYFUNCTION("""COMPUTED_VALUE"""),1580.64)</f>
        <v>1580.64</v>
      </c>
      <c r="F282" s="2">
        <f>IFERROR(__xludf.DUMMYFUNCTION("""COMPUTED_VALUE"""),1.33667E7)</f>
        <v>13366700</v>
      </c>
      <c r="G282" s="2">
        <f t="shared" si="1"/>
        <v>49.86</v>
      </c>
    </row>
    <row r="283" ht="15.75" customHeight="1">
      <c r="A283" s="1">
        <f>IFERROR(__xludf.DUMMYFUNCTION("""COMPUTED_VALUE"""),44256.625)</f>
        <v>44256.625</v>
      </c>
      <c r="B283" s="2">
        <f>IFERROR(__xludf.DUMMYFUNCTION("""COMPUTED_VALUE"""),1580.64)</f>
        <v>1580.64</v>
      </c>
      <c r="C283" s="2">
        <f>IFERROR(__xludf.DUMMYFUNCTION("""COMPUTED_VALUE"""),1605.57)</f>
        <v>1605.57</v>
      </c>
      <c r="D283" s="2">
        <f>IFERROR(__xludf.DUMMYFUNCTION("""COMPUTED_VALUE"""),1575.65)</f>
        <v>1575.65</v>
      </c>
      <c r="E283" s="2">
        <f>IFERROR(__xludf.DUMMYFUNCTION("""COMPUTED_VALUE"""),1585.63)</f>
        <v>1585.63</v>
      </c>
      <c r="F283" s="2">
        <f>IFERROR(__xludf.DUMMYFUNCTION("""COMPUTED_VALUE"""),8759300.0)</f>
        <v>8759300</v>
      </c>
      <c r="G283" s="2">
        <f t="shared" si="1"/>
        <v>29.92</v>
      </c>
    </row>
    <row r="284" ht="15.75" customHeight="1">
      <c r="A284" s="1">
        <f>IFERROR(__xludf.DUMMYFUNCTION("""COMPUTED_VALUE"""),44257.625)</f>
        <v>44257.625</v>
      </c>
      <c r="B284" s="2">
        <f>IFERROR(__xludf.DUMMYFUNCTION("""COMPUTED_VALUE"""),1590.61)</f>
        <v>1590.61</v>
      </c>
      <c r="C284" s="2">
        <f>IFERROR(__xludf.DUMMYFUNCTION("""COMPUTED_VALUE"""),1600.58)</f>
        <v>1600.58</v>
      </c>
      <c r="D284" s="2">
        <f>IFERROR(__xludf.DUMMYFUNCTION("""COMPUTED_VALUE"""),1565.68)</f>
        <v>1565.68</v>
      </c>
      <c r="E284" s="2">
        <f>IFERROR(__xludf.DUMMYFUNCTION("""COMPUTED_VALUE"""),1570.67)</f>
        <v>1570.67</v>
      </c>
      <c r="F284" s="2">
        <f>IFERROR(__xludf.DUMMYFUNCTION("""COMPUTED_VALUE"""),6847000.0)</f>
        <v>6847000</v>
      </c>
      <c r="G284" s="2">
        <f t="shared" si="1"/>
        <v>34.9</v>
      </c>
    </row>
    <row r="285" ht="15.75" customHeight="1">
      <c r="A285" s="1">
        <f>IFERROR(__xludf.DUMMYFUNCTION("""COMPUTED_VALUE"""),44258.625)</f>
        <v>44258.625</v>
      </c>
      <c r="B285" s="2">
        <f>IFERROR(__xludf.DUMMYFUNCTION("""COMPUTED_VALUE"""),1570.67)</f>
        <v>1570.67</v>
      </c>
      <c r="C285" s="2">
        <f>IFERROR(__xludf.DUMMYFUNCTION("""COMPUTED_VALUE"""),1615.54)</f>
        <v>1615.54</v>
      </c>
      <c r="D285" s="2">
        <f>IFERROR(__xludf.DUMMYFUNCTION("""COMPUTED_VALUE"""),1560.69)</f>
        <v>1560.69</v>
      </c>
      <c r="E285" s="2">
        <f>IFERROR(__xludf.DUMMYFUNCTION("""COMPUTED_VALUE"""),1590.61)</f>
        <v>1590.61</v>
      </c>
      <c r="F285" s="2">
        <f>IFERROR(__xludf.DUMMYFUNCTION("""COMPUTED_VALUE"""),1.4652E7)</f>
        <v>14652000</v>
      </c>
      <c r="G285" s="2">
        <f t="shared" si="1"/>
        <v>54.85</v>
      </c>
    </row>
    <row r="286" ht="15.75" customHeight="1">
      <c r="A286" s="1">
        <f>IFERROR(__xludf.DUMMYFUNCTION("""COMPUTED_VALUE"""),44259.625)</f>
        <v>44259.625</v>
      </c>
      <c r="B286" s="2">
        <f>IFERROR(__xludf.DUMMYFUNCTION("""COMPUTED_VALUE"""),1595.6)</f>
        <v>1595.6</v>
      </c>
      <c r="C286" s="2">
        <f>IFERROR(__xludf.DUMMYFUNCTION("""COMPUTED_VALUE"""),1615.54)</f>
        <v>1615.54</v>
      </c>
      <c r="D286" s="2">
        <f>IFERROR(__xludf.DUMMYFUNCTION("""COMPUTED_VALUE"""),1570.67)</f>
        <v>1570.67</v>
      </c>
      <c r="E286" s="2">
        <f>IFERROR(__xludf.DUMMYFUNCTION("""COMPUTED_VALUE"""),1580.64)</f>
        <v>1580.64</v>
      </c>
      <c r="F286" s="2">
        <f>IFERROR(__xludf.DUMMYFUNCTION("""COMPUTED_VALUE"""),1.58454E7)</f>
        <v>15845400</v>
      </c>
      <c r="G286" s="2">
        <f t="shared" si="1"/>
        <v>44.87</v>
      </c>
    </row>
    <row r="287" ht="15.75" customHeight="1">
      <c r="A287" s="1">
        <f>IFERROR(__xludf.DUMMYFUNCTION("""COMPUTED_VALUE"""),44260.625)</f>
        <v>44260.625</v>
      </c>
      <c r="B287" s="2">
        <f>IFERROR(__xludf.DUMMYFUNCTION("""COMPUTED_VALUE"""),1580.64)</f>
        <v>1580.64</v>
      </c>
      <c r="C287" s="2">
        <f>IFERROR(__xludf.DUMMYFUNCTION("""COMPUTED_VALUE"""),1580.64)</f>
        <v>1580.64</v>
      </c>
      <c r="D287" s="2">
        <f>IFERROR(__xludf.DUMMYFUNCTION("""COMPUTED_VALUE"""),1530.78)</f>
        <v>1530.78</v>
      </c>
      <c r="E287" s="2">
        <f>IFERROR(__xludf.DUMMYFUNCTION("""COMPUTED_VALUE"""),1570.67)</f>
        <v>1570.67</v>
      </c>
      <c r="F287" s="2">
        <f>IFERROR(__xludf.DUMMYFUNCTION("""COMPUTED_VALUE"""),7110500.0)</f>
        <v>7110500</v>
      </c>
      <c r="G287" s="2">
        <f t="shared" si="1"/>
        <v>49.86</v>
      </c>
    </row>
    <row r="288" ht="15.75" customHeight="1">
      <c r="A288" s="1">
        <f>IFERROR(__xludf.DUMMYFUNCTION("""COMPUTED_VALUE"""),44263.66666666667)</f>
        <v>44263.66667</v>
      </c>
      <c r="B288" s="2">
        <f>IFERROR(__xludf.DUMMYFUNCTION("""COMPUTED_VALUE"""),1575.65)</f>
        <v>1575.65</v>
      </c>
      <c r="C288" s="2">
        <f>IFERROR(__xludf.DUMMYFUNCTION("""COMPUTED_VALUE"""),1580.64)</f>
        <v>1580.64</v>
      </c>
      <c r="D288" s="2">
        <f>IFERROR(__xludf.DUMMYFUNCTION("""COMPUTED_VALUE"""),1545.74)</f>
        <v>1545.74</v>
      </c>
      <c r="E288" s="2">
        <f>IFERROR(__xludf.DUMMYFUNCTION("""COMPUTED_VALUE"""),1555.71)</f>
        <v>1555.71</v>
      </c>
      <c r="F288" s="2">
        <f>IFERROR(__xludf.DUMMYFUNCTION("""COMPUTED_VALUE"""),5106800.0)</f>
        <v>5106800</v>
      </c>
      <c r="G288" s="2">
        <f t="shared" si="1"/>
        <v>34.9</v>
      </c>
    </row>
    <row r="289" ht="15.75" customHeight="1">
      <c r="A289" s="1">
        <f>IFERROR(__xludf.DUMMYFUNCTION("""COMPUTED_VALUE"""),44264.625)</f>
        <v>44264.625</v>
      </c>
      <c r="B289" s="2">
        <f>IFERROR(__xludf.DUMMYFUNCTION("""COMPUTED_VALUE"""),1555.71)</f>
        <v>1555.71</v>
      </c>
      <c r="C289" s="2">
        <f>IFERROR(__xludf.DUMMYFUNCTION("""COMPUTED_VALUE"""),1560.69)</f>
        <v>1560.69</v>
      </c>
      <c r="D289" s="2">
        <f>IFERROR(__xludf.DUMMYFUNCTION("""COMPUTED_VALUE"""),1451.0)</f>
        <v>1451</v>
      </c>
      <c r="E289" s="2">
        <f>IFERROR(__xludf.DUMMYFUNCTION("""COMPUTED_VALUE"""),1490.89)</f>
        <v>1490.89</v>
      </c>
      <c r="F289" s="2">
        <f>IFERROR(__xludf.DUMMYFUNCTION("""COMPUTED_VALUE"""),2.51006E7)</f>
        <v>25100600</v>
      </c>
      <c r="G289" s="2">
        <f t="shared" si="1"/>
        <v>109.69</v>
      </c>
    </row>
    <row r="290" ht="15.75" customHeight="1">
      <c r="A290" s="1">
        <f>IFERROR(__xludf.DUMMYFUNCTION("""COMPUTED_VALUE"""),44265.625)</f>
        <v>44265.625</v>
      </c>
      <c r="B290" s="2">
        <f>IFERROR(__xludf.DUMMYFUNCTION("""COMPUTED_VALUE"""),1475.93)</f>
        <v>1475.93</v>
      </c>
      <c r="C290" s="2">
        <f>IFERROR(__xludf.DUMMYFUNCTION("""COMPUTED_VALUE"""),1520.8)</f>
        <v>1520.8</v>
      </c>
      <c r="D290" s="2">
        <f>IFERROR(__xludf.DUMMYFUNCTION("""COMPUTED_VALUE"""),1446.01)</f>
        <v>1446.01</v>
      </c>
      <c r="E290" s="2">
        <f>IFERROR(__xludf.DUMMYFUNCTION("""COMPUTED_VALUE"""),1505.85)</f>
        <v>1505.85</v>
      </c>
      <c r="F290" s="2">
        <f>IFERROR(__xludf.DUMMYFUNCTION("""COMPUTED_VALUE"""),6791800.0)</f>
        <v>6791800</v>
      </c>
      <c r="G290" s="2">
        <f t="shared" si="1"/>
        <v>74.79</v>
      </c>
    </row>
    <row r="291" ht="15.75" customHeight="1">
      <c r="A291" s="1">
        <f>IFERROR(__xludf.DUMMYFUNCTION("""COMPUTED_VALUE"""),44267.625)</f>
        <v>44267.625</v>
      </c>
      <c r="B291" s="2">
        <f>IFERROR(__xludf.DUMMYFUNCTION("""COMPUTED_VALUE"""),1505.85)</f>
        <v>1505.85</v>
      </c>
      <c r="C291" s="2">
        <f>IFERROR(__xludf.DUMMYFUNCTION("""COMPUTED_VALUE"""),1530.78)</f>
        <v>1530.78</v>
      </c>
      <c r="D291" s="2">
        <f>IFERROR(__xludf.DUMMYFUNCTION("""COMPUTED_VALUE"""),1505.85)</f>
        <v>1505.85</v>
      </c>
      <c r="E291" s="2">
        <f>IFERROR(__xludf.DUMMYFUNCTION("""COMPUTED_VALUE"""),1530.78)</f>
        <v>1530.78</v>
      </c>
      <c r="F291" s="2">
        <f>IFERROR(__xludf.DUMMYFUNCTION("""COMPUTED_VALUE"""),6261800.0)</f>
        <v>6261800</v>
      </c>
      <c r="G291" s="2">
        <f t="shared" si="1"/>
        <v>24.93</v>
      </c>
    </row>
    <row r="292" ht="15.75" customHeight="1">
      <c r="A292" s="1">
        <f>IFERROR(__xludf.DUMMYFUNCTION("""COMPUTED_VALUE"""),44270.625)</f>
        <v>44270.625</v>
      </c>
      <c r="B292" s="2">
        <f>IFERROR(__xludf.DUMMYFUNCTION("""COMPUTED_VALUE"""),1535.76)</f>
        <v>1535.76</v>
      </c>
      <c r="C292" s="2">
        <f>IFERROR(__xludf.DUMMYFUNCTION("""COMPUTED_VALUE"""),1580.64)</f>
        <v>1580.64</v>
      </c>
      <c r="D292" s="2">
        <f>IFERROR(__xludf.DUMMYFUNCTION("""COMPUTED_VALUE"""),1530.78)</f>
        <v>1530.78</v>
      </c>
      <c r="E292" s="2">
        <f>IFERROR(__xludf.DUMMYFUNCTION("""COMPUTED_VALUE"""),1565.68)</f>
        <v>1565.68</v>
      </c>
      <c r="F292" s="2">
        <f>IFERROR(__xludf.DUMMYFUNCTION("""COMPUTED_VALUE"""),1.41296E7)</f>
        <v>14129600</v>
      </c>
      <c r="G292" s="2">
        <f t="shared" si="1"/>
        <v>49.86</v>
      </c>
    </row>
    <row r="293" ht="15.75" customHeight="1">
      <c r="A293" s="1">
        <f>IFERROR(__xludf.DUMMYFUNCTION("""COMPUTED_VALUE"""),44271.625)</f>
        <v>44271.625</v>
      </c>
      <c r="B293" s="2">
        <f>IFERROR(__xludf.DUMMYFUNCTION("""COMPUTED_VALUE"""),1580.64)</f>
        <v>1580.64</v>
      </c>
      <c r="C293" s="2">
        <f>IFERROR(__xludf.DUMMYFUNCTION("""COMPUTED_VALUE"""),1610.56)</f>
        <v>1610.56</v>
      </c>
      <c r="D293" s="2">
        <f>IFERROR(__xludf.DUMMYFUNCTION("""COMPUTED_VALUE"""),1570.67)</f>
        <v>1570.67</v>
      </c>
      <c r="E293" s="2">
        <f>IFERROR(__xludf.DUMMYFUNCTION("""COMPUTED_VALUE"""),1600.58)</f>
        <v>1600.58</v>
      </c>
      <c r="F293" s="2">
        <f>IFERROR(__xludf.DUMMYFUNCTION("""COMPUTED_VALUE"""),1.94557E7)</f>
        <v>19455700</v>
      </c>
      <c r="G293" s="2">
        <f t="shared" si="1"/>
        <v>44.88</v>
      </c>
    </row>
    <row r="294" ht="15.75" customHeight="1">
      <c r="A294" s="1">
        <f>IFERROR(__xludf.DUMMYFUNCTION("""COMPUTED_VALUE"""),44272.625)</f>
        <v>44272.625</v>
      </c>
      <c r="B294" s="2">
        <f>IFERROR(__xludf.DUMMYFUNCTION("""COMPUTED_VALUE"""),1605.57)</f>
        <v>1605.57</v>
      </c>
      <c r="C294" s="2">
        <f>IFERROR(__xludf.DUMMYFUNCTION("""COMPUTED_VALUE"""),1605.57)</f>
        <v>1605.57</v>
      </c>
      <c r="D294" s="2">
        <f>IFERROR(__xludf.DUMMYFUNCTION("""COMPUTED_VALUE"""),1565.68)</f>
        <v>1565.68</v>
      </c>
      <c r="E294" s="2">
        <f>IFERROR(__xludf.DUMMYFUNCTION("""COMPUTED_VALUE"""),1575.65)</f>
        <v>1575.65</v>
      </c>
      <c r="F294" s="2">
        <f>IFERROR(__xludf.DUMMYFUNCTION("""COMPUTED_VALUE"""),1.03143E7)</f>
        <v>10314300</v>
      </c>
      <c r="G294" s="2">
        <f t="shared" si="1"/>
        <v>39.89</v>
      </c>
    </row>
    <row r="295" ht="15.75" customHeight="1">
      <c r="A295" s="1">
        <f>IFERROR(__xludf.DUMMYFUNCTION("""COMPUTED_VALUE"""),44273.625)</f>
        <v>44273.625</v>
      </c>
      <c r="B295" s="2">
        <f>IFERROR(__xludf.DUMMYFUNCTION("""COMPUTED_VALUE"""),1585.63)</f>
        <v>1585.63</v>
      </c>
      <c r="C295" s="2">
        <f>IFERROR(__xludf.DUMMYFUNCTION("""COMPUTED_VALUE"""),1590.61)</f>
        <v>1590.61</v>
      </c>
      <c r="D295" s="2">
        <f>IFERROR(__xludf.DUMMYFUNCTION("""COMPUTED_VALUE"""),1560.69)</f>
        <v>1560.69</v>
      </c>
      <c r="E295" s="2">
        <f>IFERROR(__xludf.DUMMYFUNCTION("""COMPUTED_VALUE"""),1570.67)</f>
        <v>1570.67</v>
      </c>
      <c r="F295" s="2">
        <f>IFERROR(__xludf.DUMMYFUNCTION("""COMPUTED_VALUE"""),8499700.0)</f>
        <v>8499700</v>
      </c>
      <c r="G295" s="2">
        <f t="shared" si="1"/>
        <v>29.92</v>
      </c>
    </row>
    <row r="296" ht="15.75" customHeight="1">
      <c r="A296" s="1">
        <f>IFERROR(__xludf.DUMMYFUNCTION("""COMPUTED_VALUE"""),44274.625)</f>
        <v>44274.625</v>
      </c>
      <c r="B296" s="2">
        <f>IFERROR(__xludf.DUMMYFUNCTION("""COMPUTED_VALUE"""),1575.65)</f>
        <v>1575.65</v>
      </c>
      <c r="C296" s="2">
        <f>IFERROR(__xludf.DUMMYFUNCTION("""COMPUTED_VALUE"""),1585.63)</f>
        <v>1585.63</v>
      </c>
      <c r="D296" s="2">
        <f>IFERROR(__xludf.DUMMYFUNCTION("""COMPUTED_VALUE"""),1545.74)</f>
        <v>1545.74</v>
      </c>
      <c r="E296" s="2">
        <f>IFERROR(__xludf.DUMMYFUNCTION("""COMPUTED_VALUE"""),1565.68)</f>
        <v>1565.68</v>
      </c>
      <c r="F296" s="2">
        <f>IFERROR(__xludf.DUMMYFUNCTION("""COMPUTED_VALUE"""),6521300.0)</f>
        <v>6521300</v>
      </c>
      <c r="G296" s="2">
        <f t="shared" si="1"/>
        <v>39.89</v>
      </c>
    </row>
    <row r="297" ht="15.75" customHeight="1">
      <c r="A297" s="1">
        <f>IFERROR(__xludf.DUMMYFUNCTION("""COMPUTED_VALUE"""),44277.625)</f>
        <v>44277.625</v>
      </c>
      <c r="B297" s="2">
        <f>IFERROR(__xludf.DUMMYFUNCTION("""COMPUTED_VALUE"""),1570.67)</f>
        <v>1570.67</v>
      </c>
      <c r="C297" s="2">
        <f>IFERROR(__xludf.DUMMYFUNCTION("""COMPUTED_VALUE"""),1590.61)</f>
        <v>1590.61</v>
      </c>
      <c r="D297" s="2">
        <f>IFERROR(__xludf.DUMMYFUNCTION("""COMPUTED_VALUE"""),1550.72)</f>
        <v>1550.72</v>
      </c>
      <c r="E297" s="2">
        <f>IFERROR(__xludf.DUMMYFUNCTION("""COMPUTED_VALUE"""),1565.68)</f>
        <v>1565.68</v>
      </c>
      <c r="F297" s="2">
        <f>IFERROR(__xludf.DUMMYFUNCTION("""COMPUTED_VALUE"""),4936100.0)</f>
        <v>4936100</v>
      </c>
      <c r="G297" s="2">
        <f t="shared" si="1"/>
        <v>39.89</v>
      </c>
    </row>
    <row r="298" ht="15.75" customHeight="1">
      <c r="A298" s="1">
        <f>IFERROR(__xludf.DUMMYFUNCTION("""COMPUTED_VALUE"""),44278.625)</f>
        <v>44278.625</v>
      </c>
      <c r="B298" s="2">
        <f>IFERROR(__xludf.DUMMYFUNCTION("""COMPUTED_VALUE"""),1570.67)</f>
        <v>1570.67</v>
      </c>
      <c r="C298" s="2">
        <f>IFERROR(__xludf.DUMMYFUNCTION("""COMPUTED_VALUE"""),1580.64)</f>
        <v>1580.64</v>
      </c>
      <c r="D298" s="2">
        <f>IFERROR(__xludf.DUMMYFUNCTION("""COMPUTED_VALUE"""),1550.72)</f>
        <v>1550.72</v>
      </c>
      <c r="E298" s="2">
        <f>IFERROR(__xludf.DUMMYFUNCTION("""COMPUTED_VALUE"""),1560.69)</f>
        <v>1560.69</v>
      </c>
      <c r="F298" s="2">
        <f>IFERROR(__xludf.DUMMYFUNCTION("""COMPUTED_VALUE"""),3955500.0)</f>
        <v>3955500</v>
      </c>
      <c r="G298" s="2">
        <f t="shared" si="1"/>
        <v>29.92</v>
      </c>
    </row>
    <row r="299" ht="15.75" customHeight="1">
      <c r="A299" s="1">
        <f>IFERROR(__xludf.DUMMYFUNCTION("""COMPUTED_VALUE"""),44279.625)</f>
        <v>44279.625</v>
      </c>
      <c r="B299" s="2">
        <f>IFERROR(__xludf.DUMMYFUNCTION("""COMPUTED_VALUE"""),1560.69)</f>
        <v>1560.69</v>
      </c>
      <c r="C299" s="2">
        <f>IFERROR(__xludf.DUMMYFUNCTION("""COMPUTED_VALUE"""),1565.68)</f>
        <v>1565.68</v>
      </c>
      <c r="D299" s="2">
        <f>IFERROR(__xludf.DUMMYFUNCTION("""COMPUTED_VALUE"""),1515.82)</f>
        <v>1515.82</v>
      </c>
      <c r="E299" s="2">
        <f>IFERROR(__xludf.DUMMYFUNCTION("""COMPUTED_VALUE"""),1530.78)</f>
        <v>1530.78</v>
      </c>
      <c r="F299" s="2">
        <f>IFERROR(__xludf.DUMMYFUNCTION("""COMPUTED_VALUE"""),5106200.0)</f>
        <v>5106200</v>
      </c>
      <c r="G299" s="2">
        <f t="shared" si="1"/>
        <v>49.86</v>
      </c>
    </row>
    <row r="300" ht="15.75" customHeight="1">
      <c r="A300" s="1">
        <f>IFERROR(__xludf.DUMMYFUNCTION("""COMPUTED_VALUE"""),44280.625)</f>
        <v>44280.625</v>
      </c>
      <c r="B300" s="2">
        <f>IFERROR(__xludf.DUMMYFUNCTION("""COMPUTED_VALUE"""),1530.78)</f>
        <v>1530.78</v>
      </c>
      <c r="C300" s="2">
        <f>IFERROR(__xludf.DUMMYFUNCTION("""COMPUTED_VALUE"""),1560.69)</f>
        <v>1560.69</v>
      </c>
      <c r="D300" s="2">
        <f>IFERROR(__xludf.DUMMYFUNCTION("""COMPUTED_VALUE"""),1505.85)</f>
        <v>1505.85</v>
      </c>
      <c r="E300" s="2">
        <f>IFERROR(__xludf.DUMMYFUNCTION("""COMPUTED_VALUE"""),1525.79)</f>
        <v>1525.79</v>
      </c>
      <c r="F300" s="2">
        <f>IFERROR(__xludf.DUMMYFUNCTION("""COMPUTED_VALUE"""),5388700.0)</f>
        <v>5388700</v>
      </c>
      <c r="G300" s="2">
        <f t="shared" si="1"/>
        <v>54.84</v>
      </c>
    </row>
    <row r="301" ht="15.75" customHeight="1">
      <c r="A301" s="1">
        <f>IFERROR(__xludf.DUMMYFUNCTION("""COMPUTED_VALUE"""),44281.625)</f>
        <v>44281.625</v>
      </c>
      <c r="B301" s="2">
        <f>IFERROR(__xludf.DUMMYFUNCTION("""COMPUTED_VALUE"""),1525.79)</f>
        <v>1525.79</v>
      </c>
      <c r="C301" s="2">
        <f>IFERROR(__xludf.DUMMYFUNCTION("""COMPUTED_VALUE"""),1545.74)</f>
        <v>1545.74</v>
      </c>
      <c r="D301" s="2">
        <f>IFERROR(__xludf.DUMMYFUNCTION("""COMPUTED_VALUE"""),1515.82)</f>
        <v>1515.82</v>
      </c>
      <c r="E301" s="2">
        <f>IFERROR(__xludf.DUMMYFUNCTION("""COMPUTED_VALUE"""),1535.76)</f>
        <v>1535.76</v>
      </c>
      <c r="F301" s="2">
        <f>IFERROR(__xludf.DUMMYFUNCTION("""COMPUTED_VALUE"""),3151100.0)</f>
        <v>3151100</v>
      </c>
      <c r="G301" s="2">
        <f t="shared" si="1"/>
        <v>29.92</v>
      </c>
    </row>
    <row r="302" ht="15.75" customHeight="1">
      <c r="A302" s="1">
        <f>IFERROR(__xludf.DUMMYFUNCTION("""COMPUTED_VALUE"""),44284.625)</f>
        <v>44284.625</v>
      </c>
      <c r="B302" s="2">
        <f>IFERROR(__xludf.DUMMYFUNCTION("""COMPUTED_VALUE"""),1535.76)</f>
        <v>1535.76</v>
      </c>
      <c r="C302" s="2">
        <f>IFERROR(__xludf.DUMMYFUNCTION("""COMPUTED_VALUE"""),1565.68)</f>
        <v>1565.68</v>
      </c>
      <c r="D302" s="2">
        <f>IFERROR(__xludf.DUMMYFUNCTION("""COMPUTED_VALUE"""),1490.89)</f>
        <v>1490.89</v>
      </c>
      <c r="E302" s="2">
        <f>IFERROR(__xludf.DUMMYFUNCTION("""COMPUTED_VALUE"""),1490.89)</f>
        <v>1490.89</v>
      </c>
      <c r="F302" s="2">
        <f>IFERROR(__xludf.DUMMYFUNCTION("""COMPUTED_VALUE"""),1.68756E7)</f>
        <v>16875600</v>
      </c>
      <c r="G302" s="2">
        <f t="shared" si="1"/>
        <v>74.79</v>
      </c>
    </row>
    <row r="303" ht="15.75" customHeight="1">
      <c r="A303" s="1">
        <f>IFERROR(__xludf.DUMMYFUNCTION("""COMPUTED_VALUE"""),44285.625)</f>
        <v>44285.625</v>
      </c>
      <c r="B303" s="2">
        <f>IFERROR(__xludf.DUMMYFUNCTION("""COMPUTED_VALUE"""),1490.89)</f>
        <v>1490.89</v>
      </c>
      <c r="C303" s="2">
        <f>IFERROR(__xludf.DUMMYFUNCTION("""COMPUTED_VALUE"""),1510.83)</f>
        <v>1510.83</v>
      </c>
      <c r="D303" s="2">
        <f>IFERROR(__xludf.DUMMYFUNCTION("""COMPUTED_VALUE"""),1455.98)</f>
        <v>1455.98</v>
      </c>
      <c r="E303" s="2">
        <f>IFERROR(__xludf.DUMMYFUNCTION("""COMPUTED_VALUE"""),1460.97)</f>
        <v>1460.97</v>
      </c>
      <c r="F303" s="2">
        <f>IFERROR(__xludf.DUMMYFUNCTION("""COMPUTED_VALUE"""),1.72443E7)</f>
        <v>17244300</v>
      </c>
      <c r="G303" s="2">
        <f t="shared" si="1"/>
        <v>54.85</v>
      </c>
    </row>
    <row r="304" ht="15.75" customHeight="1">
      <c r="A304" s="1">
        <f>IFERROR(__xludf.DUMMYFUNCTION("""COMPUTED_VALUE"""),44286.625)</f>
        <v>44286.625</v>
      </c>
      <c r="B304" s="2">
        <f>IFERROR(__xludf.DUMMYFUNCTION("""COMPUTED_VALUE"""),1475.93)</f>
        <v>1475.93</v>
      </c>
      <c r="C304" s="2">
        <f>IFERROR(__xludf.DUMMYFUNCTION("""COMPUTED_VALUE"""),1500.86)</f>
        <v>1500.86</v>
      </c>
      <c r="D304" s="2">
        <f>IFERROR(__xludf.DUMMYFUNCTION("""COMPUTED_VALUE"""),1451.0)</f>
        <v>1451</v>
      </c>
      <c r="E304" s="2">
        <f>IFERROR(__xludf.DUMMYFUNCTION("""COMPUTED_VALUE"""),1451.0)</f>
        <v>1451</v>
      </c>
      <c r="F304" s="2">
        <f>IFERROR(__xludf.DUMMYFUNCTION("""COMPUTED_VALUE"""),2.18419E7)</f>
        <v>21841900</v>
      </c>
      <c r="G304" s="2">
        <f t="shared" si="1"/>
        <v>49.86</v>
      </c>
    </row>
    <row r="305" ht="15.75" customHeight="1">
      <c r="A305" s="1">
        <f>IFERROR(__xludf.DUMMYFUNCTION("""COMPUTED_VALUE"""),44287.625)</f>
        <v>44287.625</v>
      </c>
      <c r="B305" s="2">
        <f>IFERROR(__xludf.DUMMYFUNCTION("""COMPUTED_VALUE"""),1446.01)</f>
        <v>1446.01</v>
      </c>
      <c r="C305" s="2">
        <f>IFERROR(__xludf.DUMMYFUNCTION("""COMPUTED_VALUE"""),1525.79)</f>
        <v>1525.79</v>
      </c>
      <c r="D305" s="2">
        <f>IFERROR(__xludf.DUMMYFUNCTION("""COMPUTED_VALUE"""),1446.01)</f>
        <v>1446.01</v>
      </c>
      <c r="E305" s="2">
        <f>IFERROR(__xludf.DUMMYFUNCTION("""COMPUTED_VALUE"""),1525.79)</f>
        <v>1525.79</v>
      </c>
      <c r="F305" s="2">
        <f>IFERROR(__xludf.DUMMYFUNCTION("""COMPUTED_VALUE"""),1.28548E7)</f>
        <v>12854800</v>
      </c>
      <c r="G305" s="2">
        <f t="shared" si="1"/>
        <v>79.78</v>
      </c>
    </row>
    <row r="306" ht="15.75" customHeight="1">
      <c r="A306" s="1">
        <f>IFERROR(__xludf.DUMMYFUNCTION("""COMPUTED_VALUE"""),44291.625)</f>
        <v>44291.625</v>
      </c>
      <c r="B306" s="2">
        <f>IFERROR(__xludf.DUMMYFUNCTION("""COMPUTED_VALUE"""),1535.76)</f>
        <v>1535.76</v>
      </c>
      <c r="C306" s="2">
        <f>IFERROR(__xludf.DUMMYFUNCTION("""COMPUTED_VALUE"""),1605.57)</f>
        <v>1605.57</v>
      </c>
      <c r="D306" s="2">
        <f>IFERROR(__xludf.DUMMYFUNCTION("""COMPUTED_VALUE"""),1500.86)</f>
        <v>1500.86</v>
      </c>
      <c r="E306" s="2">
        <f>IFERROR(__xludf.DUMMYFUNCTION("""COMPUTED_VALUE"""),1595.6)</f>
        <v>1595.6</v>
      </c>
      <c r="F306" s="2">
        <f>IFERROR(__xludf.DUMMYFUNCTION("""COMPUTED_VALUE"""),2.724E7)</f>
        <v>27240000</v>
      </c>
      <c r="G306" s="2">
        <f t="shared" si="1"/>
        <v>104.71</v>
      </c>
    </row>
    <row r="307" ht="15.75" customHeight="1">
      <c r="A307" s="1">
        <f>IFERROR(__xludf.DUMMYFUNCTION("""COMPUTED_VALUE"""),44292.625)</f>
        <v>44292.625</v>
      </c>
      <c r="B307" s="2">
        <f>IFERROR(__xludf.DUMMYFUNCTION("""COMPUTED_VALUE"""),1595.6)</f>
        <v>1595.6</v>
      </c>
      <c r="C307" s="2">
        <f>IFERROR(__xludf.DUMMYFUNCTION("""COMPUTED_VALUE"""),1605.57)</f>
        <v>1605.57</v>
      </c>
      <c r="D307" s="2">
        <f>IFERROR(__xludf.DUMMYFUNCTION("""COMPUTED_VALUE"""),1550.72)</f>
        <v>1550.72</v>
      </c>
      <c r="E307" s="2">
        <f>IFERROR(__xludf.DUMMYFUNCTION("""COMPUTED_VALUE"""),1575.65)</f>
        <v>1575.65</v>
      </c>
      <c r="F307" s="2">
        <f>IFERROR(__xludf.DUMMYFUNCTION("""COMPUTED_VALUE"""),2.06295E7)</f>
        <v>20629500</v>
      </c>
      <c r="G307" s="2">
        <f t="shared" si="1"/>
        <v>54.85</v>
      </c>
    </row>
    <row r="308" ht="15.75" customHeight="1">
      <c r="A308" s="1">
        <f>IFERROR(__xludf.DUMMYFUNCTION("""COMPUTED_VALUE"""),44293.625)</f>
        <v>44293.625</v>
      </c>
      <c r="B308" s="2">
        <f>IFERROR(__xludf.DUMMYFUNCTION("""COMPUTED_VALUE"""),1585.63)</f>
        <v>1585.63</v>
      </c>
      <c r="C308" s="2">
        <f>IFERROR(__xludf.DUMMYFUNCTION("""COMPUTED_VALUE"""),1595.6)</f>
        <v>1595.6</v>
      </c>
      <c r="D308" s="2">
        <f>IFERROR(__xludf.DUMMYFUNCTION("""COMPUTED_VALUE"""),1575.65)</f>
        <v>1575.65</v>
      </c>
      <c r="E308" s="2">
        <f>IFERROR(__xludf.DUMMYFUNCTION("""COMPUTED_VALUE"""),1575.65)</f>
        <v>1575.65</v>
      </c>
      <c r="F308" s="2">
        <f>IFERROR(__xludf.DUMMYFUNCTION("""COMPUTED_VALUE"""),8014400.0)</f>
        <v>8014400</v>
      </c>
      <c r="G308" s="2">
        <f t="shared" si="1"/>
        <v>19.95</v>
      </c>
    </row>
    <row r="309" ht="15.75" customHeight="1">
      <c r="A309" s="1">
        <f>IFERROR(__xludf.DUMMYFUNCTION("""COMPUTED_VALUE"""),44294.625)</f>
        <v>44294.625</v>
      </c>
      <c r="B309" s="2">
        <f>IFERROR(__xludf.DUMMYFUNCTION("""COMPUTED_VALUE"""),1585.63)</f>
        <v>1585.63</v>
      </c>
      <c r="C309" s="2">
        <f>IFERROR(__xludf.DUMMYFUNCTION("""COMPUTED_VALUE"""),1590.61)</f>
        <v>1590.61</v>
      </c>
      <c r="D309" s="2">
        <f>IFERROR(__xludf.DUMMYFUNCTION("""COMPUTED_VALUE"""),1565.68)</f>
        <v>1565.68</v>
      </c>
      <c r="E309" s="2">
        <f>IFERROR(__xludf.DUMMYFUNCTION("""COMPUTED_VALUE"""),1575.65)</f>
        <v>1575.65</v>
      </c>
      <c r="F309" s="2">
        <f>IFERROR(__xludf.DUMMYFUNCTION("""COMPUTED_VALUE"""),8365700.0)</f>
        <v>8365700</v>
      </c>
      <c r="G309" s="2">
        <f t="shared" si="1"/>
        <v>24.93</v>
      </c>
    </row>
    <row r="310" ht="15.75" customHeight="1">
      <c r="A310" s="1">
        <f>IFERROR(__xludf.DUMMYFUNCTION("""COMPUTED_VALUE"""),44295.625)</f>
        <v>44295.625</v>
      </c>
      <c r="B310" s="2">
        <f>IFERROR(__xludf.DUMMYFUNCTION("""COMPUTED_VALUE"""),1595.6)</f>
        <v>1595.6</v>
      </c>
      <c r="C310" s="2">
        <f>IFERROR(__xludf.DUMMYFUNCTION("""COMPUTED_VALUE"""),1635.49)</f>
        <v>1635.49</v>
      </c>
      <c r="D310" s="2">
        <f>IFERROR(__xludf.DUMMYFUNCTION("""COMPUTED_VALUE"""),1575.65)</f>
        <v>1575.65</v>
      </c>
      <c r="E310" s="2">
        <f>IFERROR(__xludf.DUMMYFUNCTION("""COMPUTED_VALUE"""),1595.6)</f>
        <v>1595.6</v>
      </c>
      <c r="F310" s="2">
        <f>IFERROR(__xludf.DUMMYFUNCTION("""COMPUTED_VALUE"""),3.31783E7)</f>
        <v>33178300</v>
      </c>
      <c r="G310" s="2">
        <f t="shared" si="1"/>
        <v>59.84</v>
      </c>
    </row>
    <row r="311" ht="15.75" customHeight="1">
      <c r="A311" s="1">
        <f>IFERROR(__xludf.DUMMYFUNCTION("""COMPUTED_VALUE"""),44298.625)</f>
        <v>44298.625</v>
      </c>
      <c r="B311" s="2">
        <f>IFERROR(__xludf.DUMMYFUNCTION("""COMPUTED_VALUE"""),1615.54)</f>
        <v>1615.54</v>
      </c>
      <c r="C311" s="2">
        <f>IFERROR(__xludf.DUMMYFUNCTION("""COMPUTED_VALUE"""),1620.53)</f>
        <v>1620.53</v>
      </c>
      <c r="D311" s="2">
        <f>IFERROR(__xludf.DUMMYFUNCTION("""COMPUTED_VALUE"""),1580.64)</f>
        <v>1580.64</v>
      </c>
      <c r="E311" s="2">
        <f>IFERROR(__xludf.DUMMYFUNCTION("""COMPUTED_VALUE"""),1590.61)</f>
        <v>1590.61</v>
      </c>
      <c r="F311" s="2">
        <f>IFERROR(__xludf.DUMMYFUNCTION("""COMPUTED_VALUE"""),1.92586E7)</f>
        <v>19258600</v>
      </c>
      <c r="G311" s="2">
        <f t="shared" si="1"/>
        <v>39.89</v>
      </c>
    </row>
    <row r="312" ht="15.75" customHeight="1">
      <c r="A312" s="1">
        <f>IFERROR(__xludf.DUMMYFUNCTION("""COMPUTED_VALUE"""),44299.625)</f>
        <v>44299.625</v>
      </c>
      <c r="B312" s="2">
        <f>IFERROR(__xludf.DUMMYFUNCTION("""COMPUTED_VALUE"""),1595.6)</f>
        <v>1595.6</v>
      </c>
      <c r="C312" s="2">
        <f>IFERROR(__xludf.DUMMYFUNCTION("""COMPUTED_VALUE"""),1605.57)</f>
        <v>1605.57</v>
      </c>
      <c r="D312" s="2">
        <f>IFERROR(__xludf.DUMMYFUNCTION("""COMPUTED_VALUE"""),1580.64)</f>
        <v>1580.64</v>
      </c>
      <c r="E312" s="2">
        <f>IFERROR(__xludf.DUMMYFUNCTION("""COMPUTED_VALUE"""),1595.6)</f>
        <v>1595.6</v>
      </c>
      <c r="F312" s="2">
        <f>IFERROR(__xludf.DUMMYFUNCTION("""COMPUTED_VALUE"""),1.78023E7)</f>
        <v>17802300</v>
      </c>
      <c r="G312" s="2">
        <f t="shared" si="1"/>
        <v>24.93</v>
      </c>
    </row>
    <row r="313" ht="15.75" customHeight="1">
      <c r="A313" s="1">
        <f>IFERROR(__xludf.DUMMYFUNCTION("""COMPUTED_VALUE"""),44300.625)</f>
        <v>44300.625</v>
      </c>
      <c r="B313" s="2">
        <f>IFERROR(__xludf.DUMMYFUNCTION("""COMPUTED_VALUE"""),1605.57)</f>
        <v>1605.57</v>
      </c>
      <c r="C313" s="2">
        <f>IFERROR(__xludf.DUMMYFUNCTION("""COMPUTED_VALUE"""),1620.53)</f>
        <v>1620.53</v>
      </c>
      <c r="D313" s="2">
        <f>IFERROR(__xludf.DUMMYFUNCTION("""COMPUTED_VALUE"""),1595.6)</f>
        <v>1595.6</v>
      </c>
      <c r="E313" s="2">
        <f>IFERROR(__xludf.DUMMYFUNCTION("""COMPUTED_VALUE"""),1600.58)</f>
        <v>1600.58</v>
      </c>
      <c r="F313" s="2">
        <f>IFERROR(__xludf.DUMMYFUNCTION("""COMPUTED_VALUE"""),5.83771E7)</f>
        <v>58377100</v>
      </c>
      <c r="G313" s="2">
        <f t="shared" si="1"/>
        <v>24.93</v>
      </c>
    </row>
    <row r="314" ht="15.75" customHeight="1">
      <c r="A314" s="1">
        <f>IFERROR(__xludf.DUMMYFUNCTION("""COMPUTED_VALUE"""),44301.625)</f>
        <v>44301.625</v>
      </c>
      <c r="B314" s="2">
        <f>IFERROR(__xludf.DUMMYFUNCTION("""COMPUTED_VALUE"""),1575.65)</f>
        <v>1575.65</v>
      </c>
      <c r="C314" s="2">
        <f>IFERROR(__xludf.DUMMYFUNCTION("""COMPUTED_VALUE"""),1575.65)</f>
        <v>1575.65</v>
      </c>
      <c r="D314" s="2">
        <f>IFERROR(__xludf.DUMMYFUNCTION("""COMPUTED_VALUE"""),1490.89)</f>
        <v>1490.89</v>
      </c>
      <c r="E314" s="2">
        <f>IFERROR(__xludf.DUMMYFUNCTION("""COMPUTED_VALUE"""),1500.86)</f>
        <v>1500.86</v>
      </c>
      <c r="F314" s="2">
        <f>IFERROR(__xludf.DUMMYFUNCTION("""COMPUTED_VALUE"""),3.82944E7)</f>
        <v>38294400</v>
      </c>
      <c r="G314" s="2">
        <f t="shared" si="1"/>
        <v>109.69</v>
      </c>
    </row>
    <row r="315" ht="15.75" customHeight="1">
      <c r="A315" s="1">
        <f>IFERROR(__xludf.DUMMYFUNCTION("""COMPUTED_VALUE"""),44302.625)</f>
        <v>44302.625</v>
      </c>
      <c r="B315" s="2">
        <f>IFERROR(__xludf.DUMMYFUNCTION("""COMPUTED_VALUE"""),1505.85)</f>
        <v>1505.85</v>
      </c>
      <c r="C315" s="2">
        <f>IFERROR(__xludf.DUMMYFUNCTION("""COMPUTED_VALUE"""),1510.83)</f>
        <v>1510.83</v>
      </c>
      <c r="D315" s="2">
        <f>IFERROR(__xludf.DUMMYFUNCTION("""COMPUTED_VALUE"""),1480.91)</f>
        <v>1480.91</v>
      </c>
      <c r="E315" s="2">
        <f>IFERROR(__xludf.DUMMYFUNCTION("""COMPUTED_VALUE"""),1485.9)</f>
        <v>1485.9</v>
      </c>
      <c r="F315" s="2">
        <f>IFERROR(__xludf.DUMMYFUNCTION("""COMPUTED_VALUE"""),8390400.0)</f>
        <v>8390400</v>
      </c>
      <c r="G315" s="2">
        <f t="shared" si="1"/>
        <v>29.92</v>
      </c>
    </row>
    <row r="316" ht="15.75" customHeight="1">
      <c r="A316" s="1">
        <f>IFERROR(__xludf.DUMMYFUNCTION("""COMPUTED_VALUE"""),44305.625)</f>
        <v>44305.625</v>
      </c>
      <c r="B316" s="2">
        <f>IFERROR(__xludf.DUMMYFUNCTION("""COMPUTED_VALUE"""),1485.9)</f>
        <v>1485.9</v>
      </c>
      <c r="C316" s="2">
        <f>IFERROR(__xludf.DUMMYFUNCTION("""COMPUTED_VALUE"""),1490.89)</f>
        <v>1490.89</v>
      </c>
      <c r="D316" s="2">
        <f>IFERROR(__xludf.DUMMYFUNCTION("""COMPUTED_VALUE"""),1465.96)</f>
        <v>1465.96</v>
      </c>
      <c r="E316" s="2">
        <f>IFERROR(__xludf.DUMMYFUNCTION("""COMPUTED_VALUE"""),1475.93)</f>
        <v>1475.93</v>
      </c>
      <c r="F316" s="2">
        <f>IFERROR(__xludf.DUMMYFUNCTION("""COMPUTED_VALUE"""),8939900.0)</f>
        <v>8939900</v>
      </c>
      <c r="G316" s="2">
        <f t="shared" si="1"/>
        <v>24.93</v>
      </c>
    </row>
    <row r="317" ht="15.75" customHeight="1">
      <c r="A317" s="1">
        <f>IFERROR(__xludf.DUMMYFUNCTION("""COMPUTED_VALUE"""),44306.625)</f>
        <v>44306.625</v>
      </c>
      <c r="B317" s="2">
        <f>IFERROR(__xludf.DUMMYFUNCTION("""COMPUTED_VALUE"""),1480.91)</f>
        <v>1480.91</v>
      </c>
      <c r="C317" s="2">
        <f>IFERROR(__xludf.DUMMYFUNCTION("""COMPUTED_VALUE"""),1490.89)</f>
        <v>1490.89</v>
      </c>
      <c r="D317" s="2">
        <f>IFERROR(__xludf.DUMMYFUNCTION("""COMPUTED_VALUE"""),1470.94)</f>
        <v>1470.94</v>
      </c>
      <c r="E317" s="2">
        <f>IFERROR(__xludf.DUMMYFUNCTION("""COMPUTED_VALUE"""),1485.9)</f>
        <v>1485.9</v>
      </c>
      <c r="F317" s="2">
        <f>IFERROR(__xludf.DUMMYFUNCTION("""COMPUTED_VALUE"""),5260500.0)</f>
        <v>5260500</v>
      </c>
      <c r="G317" s="2">
        <f t="shared" si="1"/>
        <v>19.95</v>
      </c>
    </row>
    <row r="318" ht="15.75" customHeight="1">
      <c r="A318" s="1">
        <f>IFERROR(__xludf.DUMMYFUNCTION("""COMPUTED_VALUE"""),44307.625)</f>
        <v>44307.625</v>
      </c>
      <c r="B318" s="2">
        <f>IFERROR(__xludf.DUMMYFUNCTION("""COMPUTED_VALUE"""),1485.9)</f>
        <v>1485.9</v>
      </c>
      <c r="C318" s="2">
        <f>IFERROR(__xludf.DUMMYFUNCTION("""COMPUTED_VALUE"""),1485.9)</f>
        <v>1485.9</v>
      </c>
      <c r="D318" s="2">
        <f>IFERROR(__xludf.DUMMYFUNCTION("""COMPUTED_VALUE"""),1455.98)</f>
        <v>1455.98</v>
      </c>
      <c r="E318" s="2">
        <f>IFERROR(__xludf.DUMMYFUNCTION("""COMPUTED_VALUE"""),1455.98)</f>
        <v>1455.98</v>
      </c>
      <c r="F318" s="2">
        <f>IFERROR(__xludf.DUMMYFUNCTION("""COMPUTED_VALUE"""),8743100.0)</f>
        <v>8743100</v>
      </c>
      <c r="G318" s="2">
        <f t="shared" si="1"/>
        <v>29.92</v>
      </c>
    </row>
    <row r="319" ht="15.75" customHeight="1">
      <c r="A319" s="1">
        <f>IFERROR(__xludf.DUMMYFUNCTION("""COMPUTED_VALUE"""),44308.625)</f>
        <v>44308.625</v>
      </c>
      <c r="B319" s="2">
        <f>IFERROR(__xludf.DUMMYFUNCTION("""COMPUTED_VALUE"""),1455.98)</f>
        <v>1455.98</v>
      </c>
      <c r="C319" s="2">
        <f>IFERROR(__xludf.DUMMYFUNCTION("""COMPUTED_VALUE"""),1465.96)</f>
        <v>1465.96</v>
      </c>
      <c r="D319" s="2">
        <f>IFERROR(__xludf.DUMMYFUNCTION("""COMPUTED_VALUE"""),1451.0)</f>
        <v>1451</v>
      </c>
      <c r="E319" s="2">
        <f>IFERROR(__xludf.DUMMYFUNCTION("""COMPUTED_VALUE"""),1455.98)</f>
        <v>1455.98</v>
      </c>
      <c r="F319" s="2">
        <f>IFERROR(__xludf.DUMMYFUNCTION("""COMPUTED_VALUE"""),4578000.0)</f>
        <v>4578000</v>
      </c>
      <c r="G319" s="2">
        <f t="shared" si="1"/>
        <v>14.96</v>
      </c>
    </row>
    <row r="320" ht="15.75" customHeight="1">
      <c r="A320" s="1">
        <f>IFERROR(__xludf.DUMMYFUNCTION("""COMPUTED_VALUE"""),44309.625)</f>
        <v>44309.625</v>
      </c>
      <c r="B320" s="2">
        <f>IFERROR(__xludf.DUMMYFUNCTION("""COMPUTED_VALUE"""),1460.97)</f>
        <v>1460.97</v>
      </c>
      <c r="C320" s="2">
        <f>IFERROR(__xludf.DUMMYFUNCTION("""COMPUTED_VALUE"""),1475.93)</f>
        <v>1475.93</v>
      </c>
      <c r="D320" s="2">
        <f>IFERROR(__xludf.DUMMYFUNCTION("""COMPUTED_VALUE"""),1455.98)</f>
        <v>1455.98</v>
      </c>
      <c r="E320" s="2">
        <f>IFERROR(__xludf.DUMMYFUNCTION("""COMPUTED_VALUE"""),1465.96)</f>
        <v>1465.96</v>
      </c>
      <c r="F320" s="2">
        <f>IFERROR(__xludf.DUMMYFUNCTION("""COMPUTED_VALUE"""),5192000.0)</f>
        <v>5192000</v>
      </c>
      <c r="G320" s="2">
        <f t="shared" si="1"/>
        <v>19.95</v>
      </c>
    </row>
    <row r="321" ht="15.75" customHeight="1">
      <c r="A321" s="1">
        <f>IFERROR(__xludf.DUMMYFUNCTION("""COMPUTED_VALUE"""),44312.625)</f>
        <v>44312.625</v>
      </c>
      <c r="B321" s="2">
        <f>IFERROR(__xludf.DUMMYFUNCTION("""COMPUTED_VALUE"""),1465.96)</f>
        <v>1465.96</v>
      </c>
      <c r="C321" s="2">
        <f>IFERROR(__xludf.DUMMYFUNCTION("""COMPUTED_VALUE"""),1475.93)</f>
        <v>1475.93</v>
      </c>
      <c r="D321" s="2">
        <f>IFERROR(__xludf.DUMMYFUNCTION("""COMPUTED_VALUE"""),1451.0)</f>
        <v>1451</v>
      </c>
      <c r="E321" s="2">
        <f>IFERROR(__xludf.DUMMYFUNCTION("""COMPUTED_VALUE"""),1451.0)</f>
        <v>1451</v>
      </c>
      <c r="F321" s="2">
        <f>IFERROR(__xludf.DUMMYFUNCTION("""COMPUTED_VALUE"""),3544800.0)</f>
        <v>3544800</v>
      </c>
      <c r="G321" s="2">
        <f t="shared" si="1"/>
        <v>24.93</v>
      </c>
    </row>
    <row r="322" ht="15.75" customHeight="1">
      <c r="A322" s="1">
        <f>IFERROR(__xludf.DUMMYFUNCTION("""COMPUTED_VALUE"""),44313.625)</f>
        <v>44313.625</v>
      </c>
      <c r="B322" s="2">
        <f>IFERROR(__xludf.DUMMYFUNCTION("""COMPUTED_VALUE"""),1455.98)</f>
        <v>1455.98</v>
      </c>
      <c r="C322" s="2">
        <f>IFERROR(__xludf.DUMMYFUNCTION("""COMPUTED_VALUE"""),1465.96)</f>
        <v>1465.96</v>
      </c>
      <c r="D322" s="2">
        <f>IFERROR(__xludf.DUMMYFUNCTION("""COMPUTED_VALUE"""),1411.11)</f>
        <v>1411.11</v>
      </c>
      <c r="E322" s="2">
        <f>IFERROR(__xludf.DUMMYFUNCTION("""COMPUTED_VALUE"""),1416.09)</f>
        <v>1416.09</v>
      </c>
      <c r="F322" s="2">
        <f>IFERROR(__xludf.DUMMYFUNCTION("""COMPUTED_VALUE"""),1.05323E7)</f>
        <v>10532300</v>
      </c>
      <c r="G322" s="2">
        <f t="shared" si="1"/>
        <v>54.85</v>
      </c>
    </row>
    <row r="323" ht="15.75" customHeight="1">
      <c r="A323" s="1">
        <f>IFERROR(__xludf.DUMMYFUNCTION("""COMPUTED_VALUE"""),44314.625)</f>
        <v>44314.625</v>
      </c>
      <c r="B323" s="2">
        <f>IFERROR(__xludf.DUMMYFUNCTION("""COMPUTED_VALUE"""),1436.04)</f>
        <v>1436.04</v>
      </c>
      <c r="C323" s="2">
        <f>IFERROR(__xludf.DUMMYFUNCTION("""COMPUTED_VALUE"""),1441.02)</f>
        <v>1441.02</v>
      </c>
      <c r="D323" s="2">
        <f>IFERROR(__xludf.DUMMYFUNCTION("""COMPUTED_VALUE"""),1381.19)</f>
        <v>1381.19</v>
      </c>
      <c r="E323" s="2">
        <f>IFERROR(__xludf.DUMMYFUNCTION("""COMPUTED_VALUE"""),1386.18)</f>
        <v>1386.18</v>
      </c>
      <c r="F323" s="2">
        <f>IFERROR(__xludf.DUMMYFUNCTION("""COMPUTED_VALUE"""),1.80953E7)</f>
        <v>18095300</v>
      </c>
      <c r="G323" s="2">
        <f t="shared" si="1"/>
        <v>59.83</v>
      </c>
    </row>
    <row r="324" ht="15.75" customHeight="1">
      <c r="A324" s="1">
        <f>IFERROR(__xludf.DUMMYFUNCTION("""COMPUTED_VALUE"""),44315.625)</f>
        <v>44315.625</v>
      </c>
      <c r="B324" s="2">
        <f>IFERROR(__xludf.DUMMYFUNCTION("""COMPUTED_VALUE"""),1386.18)</f>
        <v>1386.18</v>
      </c>
      <c r="C324" s="2">
        <f>IFERROR(__xludf.DUMMYFUNCTION("""COMPUTED_VALUE"""),1411.11)</f>
        <v>1411.11</v>
      </c>
      <c r="D324" s="2">
        <f>IFERROR(__xludf.DUMMYFUNCTION("""COMPUTED_VALUE"""),1386.18)</f>
        <v>1386.18</v>
      </c>
      <c r="E324" s="2">
        <f>IFERROR(__xludf.DUMMYFUNCTION("""COMPUTED_VALUE"""),1411.11)</f>
        <v>1411.11</v>
      </c>
      <c r="F324" s="2">
        <f>IFERROR(__xludf.DUMMYFUNCTION("""COMPUTED_VALUE"""),7141300.0)</f>
        <v>7141300</v>
      </c>
      <c r="G324" s="2">
        <f t="shared" si="1"/>
        <v>24.93</v>
      </c>
    </row>
    <row r="325" ht="15.75" customHeight="1">
      <c r="A325" s="1">
        <f>IFERROR(__xludf.DUMMYFUNCTION("""COMPUTED_VALUE"""),44316.625)</f>
        <v>44316.625</v>
      </c>
      <c r="B325" s="2">
        <f>IFERROR(__xludf.DUMMYFUNCTION("""COMPUTED_VALUE"""),1416.09)</f>
        <v>1416.09</v>
      </c>
      <c r="C325" s="2">
        <f>IFERROR(__xludf.DUMMYFUNCTION("""COMPUTED_VALUE"""),1421.08)</f>
        <v>1421.08</v>
      </c>
      <c r="D325" s="2">
        <f>IFERROR(__xludf.DUMMYFUNCTION("""COMPUTED_VALUE"""),1386.18)</f>
        <v>1386.18</v>
      </c>
      <c r="E325" s="2">
        <f>IFERROR(__xludf.DUMMYFUNCTION("""COMPUTED_VALUE"""),1386.18)</f>
        <v>1386.18</v>
      </c>
      <c r="F325" s="2">
        <f>IFERROR(__xludf.DUMMYFUNCTION("""COMPUTED_VALUE"""),5308300.0)</f>
        <v>5308300</v>
      </c>
      <c r="G325" s="2">
        <f t="shared" si="1"/>
        <v>34.9</v>
      </c>
    </row>
    <row r="326" ht="15.75" customHeight="1">
      <c r="A326" s="1">
        <f>IFERROR(__xludf.DUMMYFUNCTION("""COMPUTED_VALUE"""),44319.66666666667)</f>
        <v>44319.66667</v>
      </c>
      <c r="B326" s="2">
        <f>IFERROR(__xludf.DUMMYFUNCTION("""COMPUTED_VALUE"""),1396.15)</f>
        <v>1396.15</v>
      </c>
      <c r="C326" s="2">
        <f>IFERROR(__xludf.DUMMYFUNCTION("""COMPUTED_VALUE"""),1411.11)</f>
        <v>1411.11</v>
      </c>
      <c r="D326" s="2">
        <f>IFERROR(__xludf.DUMMYFUNCTION("""COMPUTED_VALUE"""),1386.18)</f>
        <v>1386.18</v>
      </c>
      <c r="E326" s="2">
        <f>IFERROR(__xludf.DUMMYFUNCTION("""COMPUTED_VALUE"""),1406.12)</f>
        <v>1406.12</v>
      </c>
      <c r="F326" s="2">
        <f>IFERROR(__xludf.DUMMYFUNCTION("""COMPUTED_VALUE"""),4067800.0)</f>
        <v>4067800</v>
      </c>
      <c r="G326" s="2">
        <f t="shared" si="1"/>
        <v>24.93</v>
      </c>
    </row>
    <row r="327" ht="15.75" customHeight="1">
      <c r="A327" s="1">
        <f>IFERROR(__xludf.DUMMYFUNCTION("""COMPUTED_VALUE"""),44320.66666666667)</f>
        <v>44320.66667</v>
      </c>
      <c r="B327" s="2">
        <f>IFERROR(__xludf.DUMMYFUNCTION("""COMPUTED_VALUE"""),1406.12)</f>
        <v>1406.12</v>
      </c>
      <c r="C327" s="2">
        <f>IFERROR(__xludf.DUMMYFUNCTION("""COMPUTED_VALUE"""),1416.09)</f>
        <v>1416.09</v>
      </c>
      <c r="D327" s="2">
        <f>IFERROR(__xludf.DUMMYFUNCTION("""COMPUTED_VALUE"""),1391.16)</f>
        <v>1391.16</v>
      </c>
      <c r="E327" s="2">
        <f>IFERROR(__xludf.DUMMYFUNCTION("""COMPUTED_VALUE"""),1401.13)</f>
        <v>1401.13</v>
      </c>
      <c r="F327" s="2">
        <f>IFERROR(__xludf.DUMMYFUNCTION("""COMPUTED_VALUE"""),3910900.0)</f>
        <v>3910900</v>
      </c>
      <c r="G327" s="2">
        <f t="shared" si="1"/>
        <v>24.93</v>
      </c>
    </row>
    <row r="328" ht="15.75" customHeight="1">
      <c r="A328" s="1">
        <f>IFERROR(__xludf.DUMMYFUNCTION("""COMPUTED_VALUE"""),44321.625)</f>
        <v>44321.625</v>
      </c>
      <c r="B328" s="2">
        <f>IFERROR(__xludf.DUMMYFUNCTION("""COMPUTED_VALUE"""),1401.13)</f>
        <v>1401.13</v>
      </c>
      <c r="C328" s="2">
        <f>IFERROR(__xludf.DUMMYFUNCTION("""COMPUTED_VALUE"""),1416.09)</f>
        <v>1416.09</v>
      </c>
      <c r="D328" s="2">
        <f>IFERROR(__xludf.DUMMYFUNCTION("""COMPUTED_VALUE"""),1396.15)</f>
        <v>1396.15</v>
      </c>
      <c r="E328" s="2">
        <f>IFERROR(__xludf.DUMMYFUNCTION("""COMPUTED_VALUE"""),1411.11)</f>
        <v>1411.11</v>
      </c>
      <c r="F328" s="2">
        <f>IFERROR(__xludf.DUMMYFUNCTION("""COMPUTED_VALUE"""),3449200.0)</f>
        <v>3449200</v>
      </c>
      <c r="G328" s="2">
        <f t="shared" si="1"/>
        <v>19.94</v>
      </c>
    </row>
    <row r="329" ht="15.75" customHeight="1">
      <c r="A329" s="1">
        <f>IFERROR(__xludf.DUMMYFUNCTION("""COMPUTED_VALUE"""),44322.625)</f>
        <v>44322.625</v>
      </c>
      <c r="B329" s="2">
        <f>IFERROR(__xludf.DUMMYFUNCTION("""COMPUTED_VALUE"""),1411.11)</f>
        <v>1411.11</v>
      </c>
      <c r="C329" s="2">
        <f>IFERROR(__xludf.DUMMYFUNCTION("""COMPUTED_VALUE"""),1416.09)</f>
        <v>1416.09</v>
      </c>
      <c r="D329" s="2">
        <f>IFERROR(__xludf.DUMMYFUNCTION("""COMPUTED_VALUE"""),1396.15)</f>
        <v>1396.15</v>
      </c>
      <c r="E329" s="2">
        <f>IFERROR(__xludf.DUMMYFUNCTION("""COMPUTED_VALUE"""),1401.13)</f>
        <v>1401.13</v>
      </c>
      <c r="F329" s="2">
        <f>IFERROR(__xludf.DUMMYFUNCTION("""COMPUTED_VALUE"""),4390800.0)</f>
        <v>4390800</v>
      </c>
      <c r="G329" s="2">
        <f t="shared" si="1"/>
        <v>19.94</v>
      </c>
    </row>
    <row r="330" ht="15.75" customHeight="1">
      <c r="A330" s="1">
        <f>IFERROR(__xludf.DUMMYFUNCTION("""COMPUTED_VALUE"""),44323.625)</f>
        <v>44323.625</v>
      </c>
      <c r="B330" s="2">
        <f>IFERROR(__xludf.DUMMYFUNCTION("""COMPUTED_VALUE"""),1401.13)</f>
        <v>1401.13</v>
      </c>
      <c r="C330" s="2">
        <f>IFERROR(__xludf.DUMMYFUNCTION("""COMPUTED_VALUE"""),1416.09)</f>
        <v>1416.09</v>
      </c>
      <c r="D330" s="2">
        <f>IFERROR(__xludf.DUMMYFUNCTION("""COMPUTED_VALUE"""),1401.13)</f>
        <v>1401.13</v>
      </c>
      <c r="E330" s="2">
        <f>IFERROR(__xludf.DUMMYFUNCTION("""COMPUTED_VALUE"""),1406.12)</f>
        <v>1406.12</v>
      </c>
      <c r="F330" s="2">
        <f>IFERROR(__xludf.DUMMYFUNCTION("""COMPUTED_VALUE"""),3531700.0)</f>
        <v>3531700</v>
      </c>
      <c r="G330" s="2">
        <f t="shared" si="1"/>
        <v>14.96</v>
      </c>
    </row>
    <row r="331" ht="15.75" customHeight="1">
      <c r="A331" s="1">
        <f>IFERROR(__xludf.DUMMYFUNCTION("""COMPUTED_VALUE"""),44326.66666666667)</f>
        <v>44326.66667</v>
      </c>
      <c r="B331" s="2">
        <f>IFERROR(__xludf.DUMMYFUNCTION("""COMPUTED_VALUE"""),1406.12)</f>
        <v>1406.12</v>
      </c>
      <c r="C331" s="2">
        <f>IFERROR(__xludf.DUMMYFUNCTION("""COMPUTED_VALUE"""),1411.11)</f>
        <v>1411.11</v>
      </c>
      <c r="D331" s="2">
        <f>IFERROR(__xludf.DUMMYFUNCTION("""COMPUTED_VALUE"""),1401.13)</f>
        <v>1401.13</v>
      </c>
      <c r="E331" s="2">
        <f>IFERROR(__xludf.DUMMYFUNCTION("""COMPUTED_VALUE"""),1406.12)</f>
        <v>1406.12</v>
      </c>
      <c r="F331" s="2">
        <f>IFERROR(__xludf.DUMMYFUNCTION("""COMPUTED_VALUE"""),3268200.0)</f>
        <v>3268200</v>
      </c>
      <c r="G331" s="2">
        <f t="shared" si="1"/>
        <v>9.98</v>
      </c>
    </row>
    <row r="332" ht="15.75" customHeight="1">
      <c r="A332" s="1">
        <f>IFERROR(__xludf.DUMMYFUNCTION("""COMPUTED_VALUE"""),44327.66666666667)</f>
        <v>44327.66667</v>
      </c>
      <c r="B332" s="2">
        <f>IFERROR(__xludf.DUMMYFUNCTION("""COMPUTED_VALUE"""),1406.12)</f>
        <v>1406.12</v>
      </c>
      <c r="C332" s="2">
        <f>IFERROR(__xludf.DUMMYFUNCTION("""COMPUTED_VALUE"""),1411.11)</f>
        <v>1411.11</v>
      </c>
      <c r="D332" s="2">
        <f>IFERROR(__xludf.DUMMYFUNCTION("""COMPUTED_VALUE"""),1396.15)</f>
        <v>1396.15</v>
      </c>
      <c r="E332" s="2">
        <f>IFERROR(__xludf.DUMMYFUNCTION("""COMPUTED_VALUE"""),1396.15)</f>
        <v>1396.15</v>
      </c>
      <c r="F332" s="2">
        <f>IFERROR(__xludf.DUMMYFUNCTION("""COMPUTED_VALUE"""),2357100.0)</f>
        <v>2357100</v>
      </c>
      <c r="G332" s="2">
        <f t="shared" si="1"/>
        <v>14.96</v>
      </c>
    </row>
    <row r="333" ht="15.75" customHeight="1">
      <c r="A333" s="1">
        <f>IFERROR(__xludf.DUMMYFUNCTION("""COMPUTED_VALUE"""),44333.625)</f>
        <v>44333.625</v>
      </c>
      <c r="B333" s="2">
        <f>IFERROR(__xludf.DUMMYFUNCTION("""COMPUTED_VALUE"""),1396.15)</f>
        <v>1396.15</v>
      </c>
      <c r="C333" s="2">
        <f>IFERROR(__xludf.DUMMYFUNCTION("""COMPUTED_VALUE"""),1416.09)</f>
        <v>1416.09</v>
      </c>
      <c r="D333" s="2">
        <f>IFERROR(__xludf.DUMMYFUNCTION("""COMPUTED_VALUE"""),1356.26)</f>
        <v>1356.26</v>
      </c>
      <c r="E333" s="2">
        <f>IFERROR(__xludf.DUMMYFUNCTION("""COMPUTED_VALUE"""),1356.26)</f>
        <v>1356.26</v>
      </c>
      <c r="F333" s="2">
        <f>IFERROR(__xludf.DUMMYFUNCTION("""COMPUTED_VALUE"""),6764200.0)</f>
        <v>6764200</v>
      </c>
      <c r="G333" s="2">
        <f t="shared" si="1"/>
        <v>59.83</v>
      </c>
    </row>
    <row r="334" ht="15.75" customHeight="1">
      <c r="A334" s="1">
        <f>IFERROR(__xludf.DUMMYFUNCTION("""COMPUTED_VALUE"""),44334.625)</f>
        <v>44334.625</v>
      </c>
      <c r="B334" s="2">
        <f>IFERROR(__xludf.DUMMYFUNCTION("""COMPUTED_VALUE"""),1356.26)</f>
        <v>1356.26</v>
      </c>
      <c r="C334" s="2">
        <f>IFERROR(__xludf.DUMMYFUNCTION("""COMPUTED_VALUE"""),1371.22)</f>
        <v>1371.22</v>
      </c>
      <c r="D334" s="2">
        <f>IFERROR(__xludf.DUMMYFUNCTION("""COMPUTED_VALUE"""),1351.27)</f>
        <v>1351.27</v>
      </c>
      <c r="E334" s="2">
        <f>IFERROR(__xludf.DUMMYFUNCTION("""COMPUTED_VALUE"""),1371.22)</f>
        <v>1371.22</v>
      </c>
      <c r="F334" s="2">
        <f>IFERROR(__xludf.DUMMYFUNCTION("""COMPUTED_VALUE"""),3076500.0)</f>
        <v>3076500</v>
      </c>
      <c r="G334" s="2">
        <f t="shared" si="1"/>
        <v>19.95</v>
      </c>
    </row>
    <row r="335" ht="15.75" customHeight="1">
      <c r="A335" s="1">
        <f>IFERROR(__xludf.DUMMYFUNCTION("""COMPUTED_VALUE"""),44335.625)</f>
        <v>44335.625</v>
      </c>
      <c r="B335" s="2">
        <f>IFERROR(__xludf.DUMMYFUNCTION("""COMPUTED_VALUE"""),1376.2)</f>
        <v>1376.2</v>
      </c>
      <c r="C335" s="2">
        <f>IFERROR(__xludf.DUMMYFUNCTION("""COMPUTED_VALUE"""),1396.15)</f>
        <v>1396.15</v>
      </c>
      <c r="D335" s="2">
        <f>IFERROR(__xludf.DUMMYFUNCTION("""COMPUTED_VALUE"""),1366.23)</f>
        <v>1366.23</v>
      </c>
      <c r="E335" s="2">
        <f>IFERROR(__xludf.DUMMYFUNCTION("""COMPUTED_VALUE"""),1376.2)</f>
        <v>1376.2</v>
      </c>
      <c r="F335" s="2">
        <f>IFERROR(__xludf.DUMMYFUNCTION("""COMPUTED_VALUE"""),3781500.0)</f>
        <v>3781500</v>
      </c>
      <c r="G335" s="2">
        <f t="shared" si="1"/>
        <v>29.92</v>
      </c>
    </row>
    <row r="336" ht="15.75" customHeight="1">
      <c r="A336" s="1">
        <f>IFERROR(__xludf.DUMMYFUNCTION("""COMPUTED_VALUE"""),44336.625)</f>
        <v>44336.625</v>
      </c>
      <c r="B336" s="2">
        <f>IFERROR(__xludf.DUMMYFUNCTION("""COMPUTED_VALUE"""),1371.22)</f>
        <v>1371.22</v>
      </c>
      <c r="C336" s="2">
        <f>IFERROR(__xludf.DUMMYFUNCTION("""COMPUTED_VALUE"""),1381.19)</f>
        <v>1381.19</v>
      </c>
      <c r="D336" s="2">
        <f>IFERROR(__xludf.DUMMYFUNCTION("""COMPUTED_VALUE"""),1366.23)</f>
        <v>1366.23</v>
      </c>
      <c r="E336" s="2">
        <f>IFERROR(__xludf.DUMMYFUNCTION("""COMPUTED_VALUE"""),1371.22)</f>
        <v>1371.22</v>
      </c>
      <c r="F336" s="2">
        <f>IFERROR(__xludf.DUMMYFUNCTION("""COMPUTED_VALUE"""),2879800.0)</f>
        <v>2879800</v>
      </c>
      <c r="G336" s="2">
        <f t="shared" si="1"/>
        <v>14.96</v>
      </c>
    </row>
    <row r="337" ht="15.75" customHeight="1">
      <c r="A337" s="1">
        <f>IFERROR(__xludf.DUMMYFUNCTION("""COMPUTED_VALUE"""),44337.625)</f>
        <v>44337.625</v>
      </c>
      <c r="B337" s="2">
        <f>IFERROR(__xludf.DUMMYFUNCTION("""COMPUTED_VALUE"""),1371.22)</f>
        <v>1371.22</v>
      </c>
      <c r="C337" s="2">
        <f>IFERROR(__xludf.DUMMYFUNCTION("""COMPUTED_VALUE"""),1381.19)</f>
        <v>1381.19</v>
      </c>
      <c r="D337" s="2">
        <f>IFERROR(__xludf.DUMMYFUNCTION("""COMPUTED_VALUE"""),1351.27)</f>
        <v>1351.27</v>
      </c>
      <c r="E337" s="2">
        <f>IFERROR(__xludf.DUMMYFUNCTION("""COMPUTED_VALUE"""),1356.26)</f>
        <v>1356.26</v>
      </c>
      <c r="F337" s="2">
        <f>IFERROR(__xludf.DUMMYFUNCTION("""COMPUTED_VALUE"""),2602300.0)</f>
        <v>2602300</v>
      </c>
      <c r="G337" s="2">
        <f t="shared" si="1"/>
        <v>29.92</v>
      </c>
    </row>
    <row r="338" ht="15.75" customHeight="1">
      <c r="A338" s="1">
        <f>IFERROR(__xludf.DUMMYFUNCTION("""COMPUTED_VALUE"""),44340.625)</f>
        <v>44340.625</v>
      </c>
      <c r="B338" s="2">
        <f>IFERROR(__xludf.DUMMYFUNCTION("""COMPUTED_VALUE"""),1361.24)</f>
        <v>1361.24</v>
      </c>
      <c r="C338" s="2">
        <f>IFERROR(__xludf.DUMMYFUNCTION("""COMPUTED_VALUE"""),1366.23)</f>
        <v>1366.23</v>
      </c>
      <c r="D338" s="2">
        <f>IFERROR(__xludf.DUMMYFUNCTION("""COMPUTED_VALUE"""),1326.34)</f>
        <v>1326.34</v>
      </c>
      <c r="E338" s="2">
        <f>IFERROR(__xludf.DUMMYFUNCTION("""COMPUTED_VALUE"""),1331.33)</f>
        <v>1331.33</v>
      </c>
      <c r="F338" s="2">
        <f>IFERROR(__xludf.DUMMYFUNCTION("""COMPUTED_VALUE"""),2923900.0)</f>
        <v>2923900</v>
      </c>
      <c r="G338" s="2">
        <f t="shared" si="1"/>
        <v>39.89</v>
      </c>
    </row>
    <row r="339" ht="15.75" customHeight="1">
      <c r="A339" s="1">
        <f>IFERROR(__xludf.DUMMYFUNCTION("""COMPUTED_VALUE"""),44341.625)</f>
        <v>44341.625</v>
      </c>
      <c r="B339" s="2">
        <f>IFERROR(__xludf.DUMMYFUNCTION("""COMPUTED_VALUE"""),1296.42)</f>
        <v>1296.42</v>
      </c>
      <c r="C339" s="2">
        <f>IFERROR(__xludf.DUMMYFUNCTION("""COMPUTED_VALUE"""),1346.29)</f>
        <v>1346.29</v>
      </c>
      <c r="D339" s="2">
        <f>IFERROR(__xludf.DUMMYFUNCTION("""COMPUTED_VALUE"""),1296.42)</f>
        <v>1296.42</v>
      </c>
      <c r="E339" s="2">
        <f>IFERROR(__xludf.DUMMYFUNCTION("""COMPUTED_VALUE"""),1316.37)</f>
        <v>1316.37</v>
      </c>
      <c r="F339" s="2">
        <f>IFERROR(__xludf.DUMMYFUNCTION("""COMPUTED_VALUE"""),3995200.0)</f>
        <v>3995200</v>
      </c>
      <c r="G339" s="2">
        <f t="shared" si="1"/>
        <v>49.87</v>
      </c>
    </row>
    <row r="340" ht="15.75" customHeight="1">
      <c r="A340" s="1">
        <f>IFERROR(__xludf.DUMMYFUNCTION("""COMPUTED_VALUE"""),44343.625)</f>
        <v>44343.625</v>
      </c>
      <c r="B340" s="2">
        <f>IFERROR(__xludf.DUMMYFUNCTION("""COMPUTED_VALUE"""),1316.37)</f>
        <v>1316.37</v>
      </c>
      <c r="C340" s="2">
        <f>IFERROR(__xludf.DUMMYFUNCTION("""COMPUTED_VALUE"""),1366.23)</f>
        <v>1366.23</v>
      </c>
      <c r="D340" s="2">
        <f>IFERROR(__xludf.DUMMYFUNCTION("""COMPUTED_VALUE"""),1316.37)</f>
        <v>1316.37</v>
      </c>
      <c r="E340" s="2">
        <f>IFERROR(__xludf.DUMMYFUNCTION("""COMPUTED_VALUE"""),1366.23)</f>
        <v>1366.23</v>
      </c>
      <c r="F340" s="2">
        <f>IFERROR(__xludf.DUMMYFUNCTION("""COMPUTED_VALUE"""),4290400.0)</f>
        <v>4290400</v>
      </c>
      <c r="G340" s="2">
        <f t="shared" si="1"/>
        <v>49.86</v>
      </c>
    </row>
    <row r="341" ht="15.75" customHeight="1">
      <c r="A341" s="1">
        <f>IFERROR(__xludf.DUMMYFUNCTION("""COMPUTED_VALUE"""),44344.625)</f>
        <v>44344.625</v>
      </c>
      <c r="B341" s="2">
        <f>IFERROR(__xludf.DUMMYFUNCTION("""COMPUTED_VALUE"""),1376.2)</f>
        <v>1376.2</v>
      </c>
      <c r="C341" s="2">
        <f>IFERROR(__xludf.DUMMYFUNCTION("""COMPUTED_VALUE"""),1396.15)</f>
        <v>1396.15</v>
      </c>
      <c r="D341" s="2">
        <f>IFERROR(__xludf.DUMMYFUNCTION("""COMPUTED_VALUE"""),1371.22)</f>
        <v>1371.22</v>
      </c>
      <c r="E341" s="2">
        <f>IFERROR(__xludf.DUMMYFUNCTION("""COMPUTED_VALUE"""),1381.19)</f>
        <v>1381.19</v>
      </c>
      <c r="F341" s="2">
        <f>IFERROR(__xludf.DUMMYFUNCTION("""COMPUTED_VALUE"""),3275100.0)</f>
        <v>3275100</v>
      </c>
      <c r="G341" s="2">
        <f t="shared" si="1"/>
        <v>29.92</v>
      </c>
    </row>
    <row r="342" ht="15.75" customHeight="1">
      <c r="A342" s="1">
        <f>IFERROR(__xludf.DUMMYFUNCTION("""COMPUTED_VALUE"""),44347.625)</f>
        <v>44347.625</v>
      </c>
      <c r="B342" s="2">
        <f>IFERROR(__xludf.DUMMYFUNCTION("""COMPUTED_VALUE"""),1381.19)</f>
        <v>1381.19</v>
      </c>
      <c r="C342" s="2">
        <f>IFERROR(__xludf.DUMMYFUNCTION("""COMPUTED_VALUE"""),1396.15)</f>
        <v>1396.15</v>
      </c>
      <c r="D342" s="2">
        <f>IFERROR(__xludf.DUMMYFUNCTION("""COMPUTED_VALUE"""),1371.22)</f>
        <v>1371.22</v>
      </c>
      <c r="E342" s="2">
        <f>IFERROR(__xludf.DUMMYFUNCTION("""COMPUTED_VALUE"""),1381.19)</f>
        <v>1381.19</v>
      </c>
      <c r="F342" s="2">
        <f>IFERROR(__xludf.DUMMYFUNCTION("""COMPUTED_VALUE"""),2146400.0)</f>
        <v>2146400</v>
      </c>
      <c r="G342" s="2">
        <f t="shared" si="1"/>
        <v>24.93</v>
      </c>
    </row>
    <row r="343" ht="15.75" customHeight="1">
      <c r="A343" s="1">
        <f>IFERROR(__xludf.DUMMYFUNCTION("""COMPUTED_VALUE"""),44349.625)</f>
        <v>44349.625</v>
      </c>
      <c r="B343" s="2">
        <f>IFERROR(__xludf.DUMMYFUNCTION("""COMPUTED_VALUE"""),1381.19)</f>
        <v>1381.19</v>
      </c>
      <c r="C343" s="2">
        <f>IFERROR(__xludf.DUMMYFUNCTION("""COMPUTED_VALUE"""),1406.12)</f>
        <v>1406.12</v>
      </c>
      <c r="D343" s="2">
        <f>IFERROR(__xludf.DUMMYFUNCTION("""COMPUTED_VALUE"""),1371.22)</f>
        <v>1371.22</v>
      </c>
      <c r="E343" s="2">
        <f>IFERROR(__xludf.DUMMYFUNCTION("""COMPUTED_VALUE"""),1386.18)</f>
        <v>1386.18</v>
      </c>
      <c r="F343" s="2">
        <f>IFERROR(__xludf.DUMMYFUNCTION("""COMPUTED_VALUE"""),5613300.0)</f>
        <v>5613300</v>
      </c>
      <c r="G343" s="2">
        <f t="shared" si="1"/>
        <v>34.9</v>
      </c>
    </row>
    <row r="344" ht="15.75" customHeight="1">
      <c r="A344" s="1">
        <f>IFERROR(__xludf.DUMMYFUNCTION("""COMPUTED_VALUE"""),44350.625)</f>
        <v>44350.625</v>
      </c>
      <c r="B344" s="2">
        <f>IFERROR(__xludf.DUMMYFUNCTION("""COMPUTED_VALUE"""),1386.18)</f>
        <v>1386.18</v>
      </c>
      <c r="C344" s="2">
        <f>IFERROR(__xludf.DUMMYFUNCTION("""COMPUTED_VALUE"""),1401.13)</f>
        <v>1401.13</v>
      </c>
      <c r="D344" s="2">
        <f>IFERROR(__xludf.DUMMYFUNCTION("""COMPUTED_VALUE"""),1386.18)</f>
        <v>1386.18</v>
      </c>
      <c r="E344" s="2">
        <f>IFERROR(__xludf.DUMMYFUNCTION("""COMPUTED_VALUE"""),1391.16)</f>
        <v>1391.16</v>
      </c>
      <c r="F344" s="2">
        <f>IFERROR(__xludf.DUMMYFUNCTION("""COMPUTED_VALUE"""),3033800.0)</f>
        <v>3033800</v>
      </c>
      <c r="G344" s="2">
        <f t="shared" si="1"/>
        <v>14.95</v>
      </c>
    </row>
    <row r="345" ht="15.75" customHeight="1">
      <c r="A345" s="1">
        <f>IFERROR(__xludf.DUMMYFUNCTION("""COMPUTED_VALUE"""),44351.625)</f>
        <v>44351.625</v>
      </c>
      <c r="B345" s="2">
        <f>IFERROR(__xludf.DUMMYFUNCTION("""COMPUTED_VALUE"""),1386.18)</f>
        <v>1386.18</v>
      </c>
      <c r="C345" s="2">
        <f>IFERROR(__xludf.DUMMYFUNCTION("""COMPUTED_VALUE"""),1391.16)</f>
        <v>1391.16</v>
      </c>
      <c r="D345" s="2">
        <f>IFERROR(__xludf.DUMMYFUNCTION("""COMPUTED_VALUE"""),1381.19)</f>
        <v>1381.19</v>
      </c>
      <c r="E345" s="2">
        <f>IFERROR(__xludf.DUMMYFUNCTION("""COMPUTED_VALUE"""),1381.19)</f>
        <v>1381.19</v>
      </c>
      <c r="F345" s="2">
        <f>IFERROR(__xludf.DUMMYFUNCTION("""COMPUTED_VALUE"""),3482500.0)</f>
        <v>3482500</v>
      </c>
      <c r="G345" s="2">
        <f t="shared" si="1"/>
        <v>9.97</v>
      </c>
    </row>
    <row r="346" ht="15.75" customHeight="1">
      <c r="A346" s="1">
        <f>IFERROR(__xludf.DUMMYFUNCTION("""COMPUTED_VALUE"""),44354.625)</f>
        <v>44354.625</v>
      </c>
      <c r="B346" s="2">
        <f>IFERROR(__xludf.DUMMYFUNCTION("""COMPUTED_VALUE"""),1381.19)</f>
        <v>1381.19</v>
      </c>
      <c r="C346" s="2">
        <f>IFERROR(__xludf.DUMMYFUNCTION("""COMPUTED_VALUE"""),1391.16)</f>
        <v>1391.16</v>
      </c>
      <c r="D346" s="2">
        <f>IFERROR(__xludf.DUMMYFUNCTION("""COMPUTED_VALUE"""),1366.23)</f>
        <v>1366.23</v>
      </c>
      <c r="E346" s="2">
        <f>IFERROR(__xludf.DUMMYFUNCTION("""COMPUTED_VALUE"""),1366.23)</f>
        <v>1366.23</v>
      </c>
      <c r="F346" s="2">
        <f>IFERROR(__xludf.DUMMYFUNCTION("""COMPUTED_VALUE"""),3159800.0)</f>
        <v>3159800</v>
      </c>
      <c r="G346" s="2">
        <f t="shared" si="1"/>
        <v>24.93</v>
      </c>
    </row>
    <row r="347" ht="15.75" customHeight="1">
      <c r="A347" s="1">
        <f>IFERROR(__xludf.DUMMYFUNCTION("""COMPUTED_VALUE"""),44355.625)</f>
        <v>44355.625</v>
      </c>
      <c r="B347" s="2">
        <f>IFERROR(__xludf.DUMMYFUNCTION("""COMPUTED_VALUE"""),1376.2)</f>
        <v>1376.2</v>
      </c>
      <c r="C347" s="2">
        <f>IFERROR(__xludf.DUMMYFUNCTION("""COMPUTED_VALUE"""),1376.2)</f>
        <v>1376.2</v>
      </c>
      <c r="D347" s="2">
        <f>IFERROR(__xludf.DUMMYFUNCTION("""COMPUTED_VALUE"""),1346.29)</f>
        <v>1346.29</v>
      </c>
      <c r="E347" s="2">
        <f>IFERROR(__xludf.DUMMYFUNCTION("""COMPUTED_VALUE"""),1361.24)</f>
        <v>1361.24</v>
      </c>
      <c r="F347" s="2">
        <f>IFERROR(__xludf.DUMMYFUNCTION("""COMPUTED_VALUE"""),3606500.0)</f>
        <v>3606500</v>
      </c>
      <c r="G347" s="2">
        <f t="shared" si="1"/>
        <v>29.91</v>
      </c>
    </row>
    <row r="348" ht="15.75" customHeight="1">
      <c r="A348" s="1">
        <f>IFERROR(__xludf.DUMMYFUNCTION("""COMPUTED_VALUE"""),44356.625)</f>
        <v>44356.625</v>
      </c>
      <c r="B348" s="2">
        <f>IFERROR(__xludf.DUMMYFUNCTION("""COMPUTED_VALUE"""),1361.24)</f>
        <v>1361.24</v>
      </c>
      <c r="C348" s="2">
        <f>IFERROR(__xludf.DUMMYFUNCTION("""COMPUTED_VALUE"""),1366.23)</f>
        <v>1366.23</v>
      </c>
      <c r="D348" s="2">
        <f>IFERROR(__xludf.DUMMYFUNCTION("""COMPUTED_VALUE"""),1341.3)</f>
        <v>1341.3</v>
      </c>
      <c r="E348" s="2">
        <f>IFERROR(__xludf.DUMMYFUNCTION("""COMPUTED_VALUE"""),1351.27)</f>
        <v>1351.27</v>
      </c>
      <c r="F348" s="2">
        <f>IFERROR(__xludf.DUMMYFUNCTION("""COMPUTED_VALUE"""),1775900.0)</f>
        <v>1775900</v>
      </c>
      <c r="G348" s="2">
        <f t="shared" si="1"/>
        <v>24.93</v>
      </c>
    </row>
    <row r="349" ht="15.75" customHeight="1">
      <c r="A349" s="1">
        <f>IFERROR(__xludf.DUMMYFUNCTION("""COMPUTED_VALUE"""),44357.625)</f>
        <v>44357.625</v>
      </c>
      <c r="B349" s="2">
        <f>IFERROR(__xludf.DUMMYFUNCTION("""COMPUTED_VALUE"""),1351.27)</f>
        <v>1351.27</v>
      </c>
      <c r="C349" s="2">
        <f>IFERROR(__xludf.DUMMYFUNCTION("""COMPUTED_VALUE"""),1391.16)</f>
        <v>1391.16</v>
      </c>
      <c r="D349" s="2">
        <f>IFERROR(__xludf.DUMMYFUNCTION("""COMPUTED_VALUE"""),1351.27)</f>
        <v>1351.27</v>
      </c>
      <c r="E349" s="2">
        <f>IFERROR(__xludf.DUMMYFUNCTION("""COMPUTED_VALUE"""),1391.16)</f>
        <v>1391.16</v>
      </c>
      <c r="F349" s="2">
        <f>IFERROR(__xludf.DUMMYFUNCTION("""COMPUTED_VALUE"""),5223100.0)</f>
        <v>5223100</v>
      </c>
      <c r="G349" s="2">
        <f t="shared" si="1"/>
        <v>39.89</v>
      </c>
    </row>
    <row r="350" ht="15.75" customHeight="1">
      <c r="A350" s="1">
        <f>IFERROR(__xludf.DUMMYFUNCTION("""COMPUTED_VALUE"""),44358.625)</f>
        <v>44358.625</v>
      </c>
      <c r="B350" s="2">
        <f>IFERROR(__xludf.DUMMYFUNCTION("""COMPUTED_VALUE"""),1391.16)</f>
        <v>1391.16</v>
      </c>
      <c r="C350" s="2">
        <f>IFERROR(__xludf.DUMMYFUNCTION("""COMPUTED_VALUE"""),1406.12)</f>
        <v>1406.12</v>
      </c>
      <c r="D350" s="2">
        <f>IFERROR(__xludf.DUMMYFUNCTION("""COMPUTED_VALUE"""),1386.18)</f>
        <v>1386.18</v>
      </c>
      <c r="E350" s="2">
        <f>IFERROR(__xludf.DUMMYFUNCTION("""COMPUTED_VALUE"""),1396.15)</f>
        <v>1396.15</v>
      </c>
      <c r="F350" s="2">
        <f>IFERROR(__xludf.DUMMYFUNCTION("""COMPUTED_VALUE"""),2894100.0)</f>
        <v>2894100</v>
      </c>
      <c r="G350" s="2">
        <f t="shared" si="1"/>
        <v>19.94</v>
      </c>
    </row>
    <row r="351" ht="15.75" customHeight="1">
      <c r="A351" s="1">
        <f>IFERROR(__xludf.DUMMYFUNCTION("""COMPUTED_VALUE"""),44361.66666666667)</f>
        <v>44361.66667</v>
      </c>
      <c r="B351" s="2">
        <f>IFERROR(__xludf.DUMMYFUNCTION("""COMPUTED_VALUE"""),1401.13)</f>
        <v>1401.13</v>
      </c>
      <c r="C351" s="2">
        <f>IFERROR(__xludf.DUMMYFUNCTION("""COMPUTED_VALUE"""),1406.12)</f>
        <v>1406.12</v>
      </c>
      <c r="D351" s="2">
        <f>IFERROR(__xludf.DUMMYFUNCTION("""COMPUTED_VALUE"""),1391.16)</f>
        <v>1391.16</v>
      </c>
      <c r="E351" s="2">
        <f>IFERROR(__xludf.DUMMYFUNCTION("""COMPUTED_VALUE"""),1401.13)</f>
        <v>1401.13</v>
      </c>
      <c r="F351" s="2">
        <f>IFERROR(__xludf.DUMMYFUNCTION("""COMPUTED_VALUE"""),2622900.0)</f>
        <v>2622900</v>
      </c>
      <c r="G351" s="2">
        <f t="shared" si="1"/>
        <v>14.96</v>
      </c>
    </row>
    <row r="352" ht="15.75" customHeight="1">
      <c r="A352" s="1">
        <f>IFERROR(__xludf.DUMMYFUNCTION("""COMPUTED_VALUE"""),44362.625)</f>
        <v>44362.625</v>
      </c>
      <c r="B352" s="2">
        <f>IFERROR(__xludf.DUMMYFUNCTION("""COMPUTED_VALUE"""),1401.13)</f>
        <v>1401.13</v>
      </c>
      <c r="C352" s="2">
        <f>IFERROR(__xludf.DUMMYFUNCTION("""COMPUTED_VALUE"""),1406.12)</f>
        <v>1406.12</v>
      </c>
      <c r="D352" s="2">
        <f>IFERROR(__xludf.DUMMYFUNCTION("""COMPUTED_VALUE"""),1376.2)</f>
        <v>1376.2</v>
      </c>
      <c r="E352" s="2">
        <f>IFERROR(__xludf.DUMMYFUNCTION("""COMPUTED_VALUE"""),1381.19)</f>
        <v>1381.19</v>
      </c>
      <c r="F352" s="2">
        <f>IFERROR(__xludf.DUMMYFUNCTION("""COMPUTED_VALUE"""),2541100.0)</f>
        <v>2541100</v>
      </c>
      <c r="G352" s="2">
        <f t="shared" si="1"/>
        <v>29.92</v>
      </c>
    </row>
    <row r="353" ht="15.75" customHeight="1">
      <c r="A353" s="1">
        <f>IFERROR(__xludf.DUMMYFUNCTION("""COMPUTED_VALUE"""),44363.625)</f>
        <v>44363.625</v>
      </c>
      <c r="B353" s="2">
        <f>IFERROR(__xludf.DUMMYFUNCTION("""COMPUTED_VALUE"""),1381.19)</f>
        <v>1381.19</v>
      </c>
      <c r="C353" s="2">
        <f>IFERROR(__xludf.DUMMYFUNCTION("""COMPUTED_VALUE"""),1381.19)</f>
        <v>1381.19</v>
      </c>
      <c r="D353" s="2">
        <f>IFERROR(__xludf.DUMMYFUNCTION("""COMPUTED_VALUE"""),1366.23)</f>
        <v>1366.23</v>
      </c>
      <c r="E353" s="2">
        <f>IFERROR(__xludf.DUMMYFUNCTION("""COMPUTED_VALUE"""),1366.23)</f>
        <v>1366.23</v>
      </c>
      <c r="F353" s="2">
        <f>IFERROR(__xludf.DUMMYFUNCTION("""COMPUTED_VALUE"""),1676200.0)</f>
        <v>1676200</v>
      </c>
      <c r="G353" s="2">
        <f t="shared" si="1"/>
        <v>14.96</v>
      </c>
    </row>
    <row r="354" ht="15.75" customHeight="1">
      <c r="A354" s="1">
        <f>IFERROR(__xludf.DUMMYFUNCTION("""COMPUTED_VALUE"""),44364.625)</f>
        <v>44364.625</v>
      </c>
      <c r="B354" s="2">
        <f>IFERROR(__xludf.DUMMYFUNCTION("""COMPUTED_VALUE"""),1371.22)</f>
        <v>1371.22</v>
      </c>
      <c r="C354" s="2">
        <f>IFERROR(__xludf.DUMMYFUNCTION("""COMPUTED_VALUE"""),1371.22)</f>
        <v>1371.22</v>
      </c>
      <c r="D354" s="2">
        <f>IFERROR(__xludf.DUMMYFUNCTION("""COMPUTED_VALUE"""),1351.27)</f>
        <v>1351.27</v>
      </c>
      <c r="E354" s="2">
        <f>IFERROR(__xludf.DUMMYFUNCTION("""COMPUTED_VALUE"""),1356.26)</f>
        <v>1356.26</v>
      </c>
      <c r="F354" s="2">
        <f>IFERROR(__xludf.DUMMYFUNCTION("""COMPUTED_VALUE"""),2304100.0)</f>
        <v>2304100</v>
      </c>
      <c r="G354" s="2">
        <f t="shared" si="1"/>
        <v>19.95</v>
      </c>
    </row>
    <row r="355" ht="15.75" customHeight="1">
      <c r="A355" s="1">
        <f>IFERROR(__xludf.DUMMYFUNCTION("""COMPUTED_VALUE"""),44365.625)</f>
        <v>44365.625</v>
      </c>
      <c r="B355" s="2">
        <f>IFERROR(__xludf.DUMMYFUNCTION("""COMPUTED_VALUE"""),1356.26)</f>
        <v>1356.26</v>
      </c>
      <c r="C355" s="2">
        <f>IFERROR(__xludf.DUMMYFUNCTION("""COMPUTED_VALUE"""),1361.24)</f>
        <v>1361.24</v>
      </c>
      <c r="D355" s="2">
        <f>IFERROR(__xludf.DUMMYFUNCTION("""COMPUTED_VALUE"""),1316.37)</f>
        <v>1316.37</v>
      </c>
      <c r="E355" s="2">
        <f>IFERROR(__xludf.DUMMYFUNCTION("""COMPUTED_VALUE"""),1336.31)</f>
        <v>1336.31</v>
      </c>
      <c r="F355" s="2">
        <f>IFERROR(__xludf.DUMMYFUNCTION("""COMPUTED_VALUE"""),7518400.0)</f>
        <v>7518400</v>
      </c>
      <c r="G355" s="2">
        <f t="shared" si="1"/>
        <v>44.87</v>
      </c>
    </row>
    <row r="356" ht="15.75" customHeight="1">
      <c r="A356" s="1">
        <f>IFERROR(__xludf.DUMMYFUNCTION("""COMPUTED_VALUE"""),44368.66666666667)</f>
        <v>44368.66667</v>
      </c>
      <c r="B356" s="2">
        <f>IFERROR(__xludf.DUMMYFUNCTION("""COMPUTED_VALUE"""),1336.31)</f>
        <v>1336.31</v>
      </c>
      <c r="C356" s="2">
        <f>IFERROR(__xludf.DUMMYFUNCTION("""COMPUTED_VALUE"""),1336.31)</f>
        <v>1336.31</v>
      </c>
      <c r="D356" s="2">
        <f>IFERROR(__xludf.DUMMYFUNCTION("""COMPUTED_VALUE"""),1276.48)</f>
        <v>1276.48</v>
      </c>
      <c r="E356" s="2">
        <f>IFERROR(__xludf.DUMMYFUNCTION("""COMPUTED_VALUE"""),1296.42)</f>
        <v>1296.42</v>
      </c>
      <c r="F356" s="2">
        <f>IFERROR(__xludf.DUMMYFUNCTION("""COMPUTED_VALUE"""),4268300.0)</f>
        <v>4268300</v>
      </c>
      <c r="G356" s="2">
        <f t="shared" si="1"/>
        <v>59.83</v>
      </c>
    </row>
    <row r="357" ht="15.75" customHeight="1">
      <c r="A357" s="1">
        <f>IFERROR(__xludf.DUMMYFUNCTION("""COMPUTED_VALUE"""),44369.625)</f>
        <v>44369.625</v>
      </c>
      <c r="B357" s="2">
        <f>IFERROR(__xludf.DUMMYFUNCTION("""COMPUTED_VALUE"""),1296.42)</f>
        <v>1296.42</v>
      </c>
      <c r="C357" s="2">
        <f>IFERROR(__xludf.DUMMYFUNCTION("""COMPUTED_VALUE"""),1326.34)</f>
        <v>1326.34</v>
      </c>
      <c r="D357" s="2">
        <f>IFERROR(__xludf.DUMMYFUNCTION("""COMPUTED_VALUE"""),1296.42)</f>
        <v>1296.42</v>
      </c>
      <c r="E357" s="2">
        <f>IFERROR(__xludf.DUMMYFUNCTION("""COMPUTED_VALUE"""),1306.4)</f>
        <v>1306.4</v>
      </c>
      <c r="F357" s="2">
        <f>IFERROR(__xludf.DUMMYFUNCTION("""COMPUTED_VALUE"""),2521200.0)</f>
        <v>2521200</v>
      </c>
      <c r="G357" s="2">
        <f t="shared" si="1"/>
        <v>29.92</v>
      </c>
    </row>
    <row r="358" ht="15.75" customHeight="1">
      <c r="A358" s="1">
        <f>IFERROR(__xludf.DUMMYFUNCTION("""COMPUTED_VALUE"""),44370.625)</f>
        <v>44370.625</v>
      </c>
      <c r="B358" s="2">
        <f>IFERROR(__xludf.DUMMYFUNCTION("""COMPUTED_VALUE"""),1306.4)</f>
        <v>1306.4</v>
      </c>
      <c r="C358" s="2">
        <f>IFERROR(__xludf.DUMMYFUNCTION("""COMPUTED_VALUE"""),1321.35)</f>
        <v>1321.35</v>
      </c>
      <c r="D358" s="2">
        <f>IFERROR(__xludf.DUMMYFUNCTION("""COMPUTED_VALUE"""),1256.53)</f>
        <v>1256.53</v>
      </c>
      <c r="E358" s="2">
        <f>IFERROR(__xludf.DUMMYFUNCTION("""COMPUTED_VALUE"""),1261.52)</f>
        <v>1261.52</v>
      </c>
      <c r="F358" s="2">
        <f>IFERROR(__xludf.DUMMYFUNCTION("""COMPUTED_VALUE"""),6331600.0)</f>
        <v>6331600</v>
      </c>
      <c r="G358" s="2">
        <f t="shared" si="1"/>
        <v>64.82</v>
      </c>
    </row>
    <row r="359" ht="15.75" customHeight="1">
      <c r="A359" s="1">
        <f>IFERROR(__xludf.DUMMYFUNCTION("""COMPUTED_VALUE"""),44371.625)</f>
        <v>44371.625</v>
      </c>
      <c r="B359" s="2">
        <f>IFERROR(__xludf.DUMMYFUNCTION("""COMPUTED_VALUE"""),1261.52)</f>
        <v>1261.52</v>
      </c>
      <c r="C359" s="2">
        <f>IFERROR(__xludf.DUMMYFUNCTION("""COMPUTED_VALUE"""),1276.48)</f>
        <v>1276.48</v>
      </c>
      <c r="D359" s="2">
        <f>IFERROR(__xludf.DUMMYFUNCTION("""COMPUTED_VALUE"""),1246.56)</f>
        <v>1246.56</v>
      </c>
      <c r="E359" s="2">
        <f>IFERROR(__xludf.DUMMYFUNCTION("""COMPUTED_VALUE"""),1246.56)</f>
        <v>1246.56</v>
      </c>
      <c r="F359" s="2">
        <f>IFERROR(__xludf.DUMMYFUNCTION("""COMPUTED_VALUE"""),3138400.0)</f>
        <v>3138400</v>
      </c>
      <c r="G359" s="2">
        <f t="shared" si="1"/>
        <v>29.92</v>
      </c>
    </row>
    <row r="360" ht="15.75" customHeight="1">
      <c r="A360" s="1">
        <f>IFERROR(__xludf.DUMMYFUNCTION("""COMPUTED_VALUE"""),44372.625)</f>
        <v>44372.625</v>
      </c>
      <c r="B360" s="2">
        <f>IFERROR(__xludf.DUMMYFUNCTION("""COMPUTED_VALUE"""),1251.55)</f>
        <v>1251.55</v>
      </c>
      <c r="C360" s="2">
        <f>IFERROR(__xludf.DUMMYFUNCTION("""COMPUTED_VALUE"""),1261.52)</f>
        <v>1261.52</v>
      </c>
      <c r="D360" s="2">
        <f>IFERROR(__xludf.DUMMYFUNCTION("""COMPUTED_VALUE"""),1226.62)</f>
        <v>1226.62</v>
      </c>
      <c r="E360" s="2">
        <f>IFERROR(__xludf.DUMMYFUNCTION("""COMPUTED_VALUE"""),1251.55)</f>
        <v>1251.55</v>
      </c>
      <c r="F360" s="2">
        <f>IFERROR(__xludf.DUMMYFUNCTION("""COMPUTED_VALUE"""),3151200.0)</f>
        <v>3151200</v>
      </c>
      <c r="G360" s="2">
        <f t="shared" si="1"/>
        <v>34.9</v>
      </c>
    </row>
    <row r="361" ht="15.75" customHeight="1">
      <c r="A361" s="1">
        <f>IFERROR(__xludf.DUMMYFUNCTION("""COMPUTED_VALUE"""),44375.66666666667)</f>
        <v>44375.66667</v>
      </c>
      <c r="B361" s="2">
        <f>IFERROR(__xludf.DUMMYFUNCTION("""COMPUTED_VALUE"""),1251.55)</f>
        <v>1251.55</v>
      </c>
      <c r="C361" s="2">
        <f>IFERROR(__xludf.DUMMYFUNCTION("""COMPUTED_VALUE"""),1261.52)</f>
        <v>1261.52</v>
      </c>
      <c r="D361" s="2">
        <f>IFERROR(__xludf.DUMMYFUNCTION("""COMPUTED_VALUE"""),1226.62)</f>
        <v>1226.62</v>
      </c>
      <c r="E361" s="2">
        <f>IFERROR(__xludf.DUMMYFUNCTION("""COMPUTED_VALUE"""),1231.6)</f>
        <v>1231.6</v>
      </c>
      <c r="F361" s="2">
        <f>IFERROR(__xludf.DUMMYFUNCTION("""COMPUTED_VALUE"""),2809900.0)</f>
        <v>2809900</v>
      </c>
      <c r="G361" s="2">
        <f t="shared" si="1"/>
        <v>34.9</v>
      </c>
    </row>
    <row r="362" ht="15.75" customHeight="1">
      <c r="A362" s="1">
        <f>IFERROR(__xludf.DUMMYFUNCTION("""COMPUTED_VALUE"""),44376.625)</f>
        <v>44376.625</v>
      </c>
      <c r="B362" s="2">
        <f>IFERROR(__xludf.DUMMYFUNCTION("""COMPUTED_VALUE"""),1231.6)</f>
        <v>1231.6</v>
      </c>
      <c r="C362" s="2">
        <f>IFERROR(__xludf.DUMMYFUNCTION("""COMPUTED_VALUE"""),1241.57)</f>
        <v>1241.57</v>
      </c>
      <c r="D362" s="2">
        <f>IFERROR(__xludf.DUMMYFUNCTION("""COMPUTED_VALUE"""),1221.63)</f>
        <v>1221.63</v>
      </c>
      <c r="E362" s="2">
        <f>IFERROR(__xludf.DUMMYFUNCTION("""COMPUTED_VALUE"""),1226.62)</f>
        <v>1226.62</v>
      </c>
      <c r="F362" s="2">
        <f>IFERROR(__xludf.DUMMYFUNCTION("""COMPUTED_VALUE"""),2507300.0)</f>
        <v>2507300</v>
      </c>
      <c r="G362" s="2">
        <f t="shared" si="1"/>
        <v>19.94</v>
      </c>
    </row>
    <row r="363" ht="15.75" customHeight="1">
      <c r="A363" s="1">
        <f>IFERROR(__xludf.DUMMYFUNCTION("""COMPUTED_VALUE"""),44377.625)</f>
        <v>44377.625</v>
      </c>
      <c r="B363" s="2">
        <f>IFERROR(__xludf.DUMMYFUNCTION("""COMPUTED_VALUE"""),1226.62)</f>
        <v>1226.62</v>
      </c>
      <c r="C363" s="2">
        <f>IFERROR(__xludf.DUMMYFUNCTION("""COMPUTED_VALUE"""),1226.62)</f>
        <v>1226.62</v>
      </c>
      <c r="D363" s="2">
        <f>IFERROR(__xludf.DUMMYFUNCTION("""COMPUTED_VALUE"""),1206.67)</f>
        <v>1206.67</v>
      </c>
      <c r="E363" s="2">
        <f>IFERROR(__xludf.DUMMYFUNCTION("""COMPUTED_VALUE"""),1206.67)</f>
        <v>1206.67</v>
      </c>
      <c r="F363" s="2">
        <f>IFERROR(__xludf.DUMMYFUNCTION("""COMPUTED_VALUE"""),3797600.0)</f>
        <v>3797600</v>
      </c>
      <c r="G363" s="2">
        <f t="shared" si="1"/>
        <v>19.95</v>
      </c>
    </row>
    <row r="364" ht="15.75" customHeight="1">
      <c r="A364" s="1">
        <f>IFERROR(__xludf.DUMMYFUNCTION("""COMPUTED_VALUE"""),44378.625)</f>
        <v>44378.625</v>
      </c>
      <c r="B364" s="2">
        <f>IFERROR(__xludf.DUMMYFUNCTION("""COMPUTED_VALUE"""),1206.67)</f>
        <v>1206.67</v>
      </c>
      <c r="C364" s="2">
        <f>IFERROR(__xludf.DUMMYFUNCTION("""COMPUTED_VALUE"""),1226.62)</f>
        <v>1226.62</v>
      </c>
      <c r="D364" s="2">
        <f>IFERROR(__xludf.DUMMYFUNCTION("""COMPUTED_VALUE"""),1201.68)</f>
        <v>1201.68</v>
      </c>
      <c r="E364" s="2">
        <f>IFERROR(__xludf.DUMMYFUNCTION("""COMPUTED_VALUE"""),1221.63)</f>
        <v>1221.63</v>
      </c>
      <c r="F364" s="2">
        <f>IFERROR(__xludf.DUMMYFUNCTION("""COMPUTED_VALUE"""),1592200.0)</f>
        <v>1592200</v>
      </c>
      <c r="G364" s="2">
        <f t="shared" si="1"/>
        <v>24.94</v>
      </c>
    </row>
    <row r="365" ht="15.75" customHeight="1">
      <c r="A365" s="1">
        <f>IFERROR(__xludf.DUMMYFUNCTION("""COMPUTED_VALUE"""),44379.625)</f>
        <v>44379.625</v>
      </c>
      <c r="B365" s="2">
        <f>IFERROR(__xludf.DUMMYFUNCTION("""COMPUTED_VALUE"""),1221.63)</f>
        <v>1221.63</v>
      </c>
      <c r="C365" s="2">
        <f>IFERROR(__xludf.DUMMYFUNCTION("""COMPUTED_VALUE"""),1241.57)</f>
        <v>1241.57</v>
      </c>
      <c r="D365" s="2">
        <f>IFERROR(__xludf.DUMMYFUNCTION("""COMPUTED_VALUE"""),1216.64)</f>
        <v>1216.64</v>
      </c>
      <c r="E365" s="2">
        <f>IFERROR(__xludf.DUMMYFUNCTION("""COMPUTED_VALUE"""),1241.57)</f>
        <v>1241.57</v>
      </c>
      <c r="F365" s="2">
        <f>IFERROR(__xludf.DUMMYFUNCTION("""COMPUTED_VALUE"""),2169100.0)</f>
        <v>2169100</v>
      </c>
      <c r="G365" s="2">
        <f t="shared" si="1"/>
        <v>24.93</v>
      </c>
    </row>
    <row r="366" ht="15.75" customHeight="1">
      <c r="A366" s="1">
        <f>IFERROR(__xludf.DUMMYFUNCTION("""COMPUTED_VALUE"""),44382.625)</f>
        <v>44382.625</v>
      </c>
      <c r="B366" s="2">
        <f>IFERROR(__xludf.DUMMYFUNCTION("""COMPUTED_VALUE"""),1241.57)</f>
        <v>1241.57</v>
      </c>
      <c r="C366" s="2">
        <f>IFERROR(__xludf.DUMMYFUNCTION("""COMPUTED_VALUE"""),1251.55)</f>
        <v>1251.55</v>
      </c>
      <c r="D366" s="2">
        <f>IFERROR(__xludf.DUMMYFUNCTION("""COMPUTED_VALUE"""),1206.67)</f>
        <v>1206.67</v>
      </c>
      <c r="E366" s="2">
        <f>IFERROR(__xludf.DUMMYFUNCTION("""COMPUTED_VALUE"""),1216.64)</f>
        <v>1216.64</v>
      </c>
      <c r="F366" s="2">
        <f>IFERROR(__xludf.DUMMYFUNCTION("""COMPUTED_VALUE"""),2766200.0)</f>
        <v>2766200</v>
      </c>
      <c r="G366" s="2">
        <f t="shared" si="1"/>
        <v>44.88</v>
      </c>
    </row>
    <row r="367" ht="15.75" customHeight="1">
      <c r="A367" s="1">
        <f>IFERROR(__xludf.DUMMYFUNCTION("""COMPUTED_VALUE"""),44383.625)</f>
        <v>44383.625</v>
      </c>
      <c r="B367" s="2">
        <f>IFERROR(__xludf.DUMMYFUNCTION("""COMPUTED_VALUE"""),1216.64)</f>
        <v>1216.64</v>
      </c>
      <c r="C367" s="2">
        <f>IFERROR(__xludf.DUMMYFUNCTION("""COMPUTED_VALUE"""),1226.62)</f>
        <v>1226.62</v>
      </c>
      <c r="D367" s="2">
        <f>IFERROR(__xludf.DUMMYFUNCTION("""COMPUTED_VALUE"""),1206.67)</f>
        <v>1206.67</v>
      </c>
      <c r="E367" s="2">
        <f>IFERROR(__xludf.DUMMYFUNCTION("""COMPUTED_VALUE"""),1216.64)</f>
        <v>1216.64</v>
      </c>
      <c r="F367" s="2">
        <f>IFERROR(__xludf.DUMMYFUNCTION("""COMPUTED_VALUE"""),3773700.0)</f>
        <v>3773700</v>
      </c>
      <c r="G367" s="2">
        <f t="shared" si="1"/>
        <v>19.95</v>
      </c>
    </row>
    <row r="368" ht="15.75" customHeight="1">
      <c r="A368" s="1">
        <f>IFERROR(__xludf.DUMMYFUNCTION("""COMPUTED_VALUE"""),44384.625)</f>
        <v>44384.625</v>
      </c>
      <c r="B368" s="2">
        <f>IFERROR(__xludf.DUMMYFUNCTION("""COMPUTED_VALUE"""),1221.63)</f>
        <v>1221.63</v>
      </c>
      <c r="C368" s="2">
        <f>IFERROR(__xludf.DUMMYFUNCTION("""COMPUTED_VALUE"""),1226.62)</f>
        <v>1226.62</v>
      </c>
      <c r="D368" s="2">
        <f>IFERROR(__xludf.DUMMYFUNCTION("""COMPUTED_VALUE"""),1211.66)</f>
        <v>1211.66</v>
      </c>
      <c r="E368" s="2">
        <f>IFERROR(__xludf.DUMMYFUNCTION("""COMPUTED_VALUE"""),1216.64)</f>
        <v>1216.64</v>
      </c>
      <c r="F368" s="2">
        <f>IFERROR(__xludf.DUMMYFUNCTION("""COMPUTED_VALUE"""),1392800.0)</f>
        <v>1392800</v>
      </c>
      <c r="G368" s="2">
        <f t="shared" si="1"/>
        <v>14.96</v>
      </c>
    </row>
    <row r="369" ht="15.75" customHeight="1">
      <c r="A369" s="1">
        <f>IFERROR(__xludf.DUMMYFUNCTION("""COMPUTED_VALUE"""),44385.625)</f>
        <v>44385.625</v>
      </c>
      <c r="B369" s="2">
        <f>IFERROR(__xludf.DUMMYFUNCTION("""COMPUTED_VALUE"""),1221.63)</f>
        <v>1221.63</v>
      </c>
      <c r="C369" s="2">
        <f>IFERROR(__xludf.DUMMYFUNCTION("""COMPUTED_VALUE"""),1246.56)</f>
        <v>1246.56</v>
      </c>
      <c r="D369" s="2">
        <f>IFERROR(__xludf.DUMMYFUNCTION("""COMPUTED_VALUE"""),1216.64)</f>
        <v>1216.64</v>
      </c>
      <c r="E369" s="2">
        <f>IFERROR(__xludf.DUMMYFUNCTION("""COMPUTED_VALUE"""),1246.56)</f>
        <v>1246.56</v>
      </c>
      <c r="F369" s="2">
        <f>IFERROR(__xludf.DUMMYFUNCTION("""COMPUTED_VALUE"""),3499500.0)</f>
        <v>3499500</v>
      </c>
      <c r="G369" s="2">
        <f t="shared" si="1"/>
        <v>29.92</v>
      </c>
    </row>
    <row r="370" ht="15.75" customHeight="1">
      <c r="A370" s="1">
        <f>IFERROR(__xludf.DUMMYFUNCTION("""COMPUTED_VALUE"""),44386.625)</f>
        <v>44386.625</v>
      </c>
      <c r="B370" s="2">
        <f>IFERROR(__xludf.DUMMYFUNCTION("""COMPUTED_VALUE"""),1251.55)</f>
        <v>1251.55</v>
      </c>
      <c r="C370" s="2">
        <f>IFERROR(__xludf.DUMMYFUNCTION("""COMPUTED_VALUE"""),1276.48)</f>
        <v>1276.48</v>
      </c>
      <c r="D370" s="2">
        <f>IFERROR(__xludf.DUMMYFUNCTION("""COMPUTED_VALUE"""),1231.6)</f>
        <v>1231.6</v>
      </c>
      <c r="E370" s="2">
        <f>IFERROR(__xludf.DUMMYFUNCTION("""COMPUTED_VALUE"""),1231.6)</f>
        <v>1231.6</v>
      </c>
      <c r="F370" s="2">
        <f>IFERROR(__xludf.DUMMYFUNCTION("""COMPUTED_VALUE"""),2038700.0)</f>
        <v>2038700</v>
      </c>
      <c r="G370" s="2">
        <f t="shared" si="1"/>
        <v>44.88</v>
      </c>
    </row>
    <row r="371" ht="15.75" customHeight="1">
      <c r="A371" s="1">
        <f>IFERROR(__xludf.DUMMYFUNCTION("""COMPUTED_VALUE"""),44389.625)</f>
        <v>44389.625</v>
      </c>
      <c r="B371" s="2">
        <f>IFERROR(__xludf.DUMMYFUNCTION("""COMPUTED_VALUE"""),1231.6)</f>
        <v>1231.6</v>
      </c>
      <c r="C371" s="2">
        <f>IFERROR(__xludf.DUMMYFUNCTION("""COMPUTED_VALUE"""),1236.59)</f>
        <v>1236.59</v>
      </c>
      <c r="D371" s="2">
        <f>IFERROR(__xludf.DUMMYFUNCTION("""COMPUTED_VALUE"""),1216.64)</f>
        <v>1216.64</v>
      </c>
      <c r="E371" s="2">
        <f>IFERROR(__xludf.DUMMYFUNCTION("""COMPUTED_VALUE"""),1226.62)</f>
        <v>1226.62</v>
      </c>
      <c r="F371" s="2">
        <f>IFERROR(__xludf.DUMMYFUNCTION("""COMPUTED_VALUE"""),2135400.0)</f>
        <v>2135400</v>
      </c>
      <c r="G371" s="2">
        <f t="shared" si="1"/>
        <v>19.95</v>
      </c>
    </row>
    <row r="372" ht="15.75" customHeight="1">
      <c r="A372" s="1">
        <f>IFERROR(__xludf.DUMMYFUNCTION("""COMPUTED_VALUE"""),44390.625)</f>
        <v>44390.625</v>
      </c>
      <c r="B372" s="2">
        <f>IFERROR(__xludf.DUMMYFUNCTION("""COMPUTED_VALUE"""),1226.62)</f>
        <v>1226.62</v>
      </c>
      <c r="C372" s="2">
        <f>IFERROR(__xludf.DUMMYFUNCTION("""COMPUTED_VALUE"""),1236.59)</f>
        <v>1236.59</v>
      </c>
      <c r="D372" s="2">
        <f>IFERROR(__xludf.DUMMYFUNCTION("""COMPUTED_VALUE"""),1216.64)</f>
        <v>1216.64</v>
      </c>
      <c r="E372" s="2">
        <f>IFERROR(__xludf.DUMMYFUNCTION("""COMPUTED_VALUE"""),1221.63)</f>
        <v>1221.63</v>
      </c>
      <c r="F372" s="2">
        <f>IFERROR(__xludf.DUMMYFUNCTION("""COMPUTED_VALUE"""),1772400.0)</f>
        <v>1772400</v>
      </c>
      <c r="G372" s="2">
        <f t="shared" si="1"/>
        <v>19.95</v>
      </c>
    </row>
    <row r="373" ht="15.75" customHeight="1">
      <c r="A373" s="1">
        <f>IFERROR(__xludf.DUMMYFUNCTION("""COMPUTED_VALUE"""),44391.625)</f>
        <v>44391.625</v>
      </c>
      <c r="B373" s="2">
        <f>IFERROR(__xludf.DUMMYFUNCTION("""COMPUTED_VALUE"""),1221.63)</f>
        <v>1221.63</v>
      </c>
      <c r="C373" s="2">
        <f>IFERROR(__xludf.DUMMYFUNCTION("""COMPUTED_VALUE"""),1221.63)</f>
        <v>1221.63</v>
      </c>
      <c r="D373" s="2">
        <f>IFERROR(__xludf.DUMMYFUNCTION("""COMPUTED_VALUE"""),1206.67)</f>
        <v>1206.67</v>
      </c>
      <c r="E373" s="2">
        <f>IFERROR(__xludf.DUMMYFUNCTION("""COMPUTED_VALUE"""),1206.67)</f>
        <v>1206.67</v>
      </c>
      <c r="F373" s="2">
        <f>IFERROR(__xludf.DUMMYFUNCTION("""COMPUTED_VALUE"""),1750400.0)</f>
        <v>1750400</v>
      </c>
      <c r="G373" s="2">
        <f t="shared" si="1"/>
        <v>14.96</v>
      </c>
    </row>
    <row r="374" ht="15.75" customHeight="1">
      <c r="A374" s="1">
        <f>IFERROR(__xludf.DUMMYFUNCTION("""COMPUTED_VALUE"""),44392.625)</f>
        <v>44392.625</v>
      </c>
      <c r="B374" s="2">
        <f>IFERROR(__xludf.DUMMYFUNCTION("""COMPUTED_VALUE"""),1206.67)</f>
        <v>1206.67</v>
      </c>
      <c r="C374" s="2">
        <f>IFERROR(__xludf.DUMMYFUNCTION("""COMPUTED_VALUE"""),1221.63)</f>
        <v>1221.63</v>
      </c>
      <c r="D374" s="2">
        <f>IFERROR(__xludf.DUMMYFUNCTION("""COMPUTED_VALUE"""),1201.68)</f>
        <v>1201.68</v>
      </c>
      <c r="E374" s="2">
        <f>IFERROR(__xludf.DUMMYFUNCTION("""COMPUTED_VALUE"""),1216.64)</f>
        <v>1216.64</v>
      </c>
      <c r="F374" s="2">
        <f>IFERROR(__xludf.DUMMYFUNCTION("""COMPUTED_VALUE"""),1464000.0)</f>
        <v>1464000</v>
      </c>
      <c r="G374" s="2">
        <f t="shared" si="1"/>
        <v>19.95</v>
      </c>
    </row>
    <row r="375" ht="15.75" customHeight="1">
      <c r="A375" s="1">
        <f>IFERROR(__xludf.DUMMYFUNCTION("""COMPUTED_VALUE"""),44393.625)</f>
        <v>44393.625</v>
      </c>
      <c r="B375" s="2">
        <f>IFERROR(__xludf.DUMMYFUNCTION("""COMPUTED_VALUE"""),1221.63)</f>
        <v>1221.63</v>
      </c>
      <c r="C375" s="2">
        <f>IFERROR(__xludf.DUMMYFUNCTION("""COMPUTED_VALUE"""),1236.59)</f>
        <v>1236.59</v>
      </c>
      <c r="D375" s="2">
        <f>IFERROR(__xludf.DUMMYFUNCTION("""COMPUTED_VALUE"""),1216.64)</f>
        <v>1216.64</v>
      </c>
      <c r="E375" s="2">
        <f>IFERROR(__xludf.DUMMYFUNCTION("""COMPUTED_VALUE"""),1221.63)</f>
        <v>1221.63</v>
      </c>
      <c r="F375" s="2">
        <f>IFERROR(__xludf.DUMMYFUNCTION("""COMPUTED_VALUE"""),1464200.0)</f>
        <v>1464200</v>
      </c>
      <c r="G375" s="2">
        <f t="shared" si="1"/>
        <v>19.95</v>
      </c>
    </row>
    <row r="376" ht="15.75" customHeight="1">
      <c r="A376" s="1">
        <f>IFERROR(__xludf.DUMMYFUNCTION("""COMPUTED_VALUE"""),44396.625)</f>
        <v>44396.625</v>
      </c>
      <c r="B376" s="2">
        <f>IFERROR(__xludf.DUMMYFUNCTION("""COMPUTED_VALUE"""),1221.63)</f>
        <v>1221.63</v>
      </c>
      <c r="C376" s="2">
        <f>IFERROR(__xludf.DUMMYFUNCTION("""COMPUTED_VALUE"""),1231.6)</f>
        <v>1231.6</v>
      </c>
      <c r="D376" s="2">
        <f>IFERROR(__xludf.DUMMYFUNCTION("""COMPUTED_VALUE"""),1216.64)</f>
        <v>1216.64</v>
      </c>
      <c r="E376" s="2">
        <f>IFERROR(__xludf.DUMMYFUNCTION("""COMPUTED_VALUE"""),1221.63)</f>
        <v>1221.63</v>
      </c>
      <c r="F376" s="2">
        <f>IFERROR(__xludf.DUMMYFUNCTION("""COMPUTED_VALUE"""),1345700.0)</f>
        <v>1345700</v>
      </c>
      <c r="G376" s="2">
        <f t="shared" si="1"/>
        <v>14.96</v>
      </c>
    </row>
    <row r="377" ht="15.75" customHeight="1">
      <c r="A377" s="1">
        <f>IFERROR(__xludf.DUMMYFUNCTION("""COMPUTED_VALUE"""),44398.625)</f>
        <v>44398.625</v>
      </c>
      <c r="B377" s="2">
        <f>IFERROR(__xludf.DUMMYFUNCTION("""COMPUTED_VALUE"""),1216.64)</f>
        <v>1216.64</v>
      </c>
      <c r="C377" s="2">
        <f>IFERROR(__xludf.DUMMYFUNCTION("""COMPUTED_VALUE"""),1236.59)</f>
        <v>1236.59</v>
      </c>
      <c r="D377" s="2">
        <f>IFERROR(__xludf.DUMMYFUNCTION("""COMPUTED_VALUE"""),1216.64)</f>
        <v>1216.64</v>
      </c>
      <c r="E377" s="2">
        <f>IFERROR(__xludf.DUMMYFUNCTION("""COMPUTED_VALUE"""),1231.6)</f>
        <v>1231.6</v>
      </c>
      <c r="F377" s="2">
        <f>IFERROR(__xludf.DUMMYFUNCTION("""COMPUTED_VALUE"""),2369500.0)</f>
        <v>2369500</v>
      </c>
      <c r="G377" s="2">
        <f t="shared" si="1"/>
        <v>19.95</v>
      </c>
    </row>
    <row r="378" ht="15.75" customHeight="1">
      <c r="A378" s="1">
        <f>IFERROR(__xludf.DUMMYFUNCTION("""COMPUTED_VALUE"""),44399.625)</f>
        <v>44399.625</v>
      </c>
      <c r="B378" s="2">
        <f>IFERROR(__xludf.DUMMYFUNCTION("""COMPUTED_VALUE"""),1231.6)</f>
        <v>1231.6</v>
      </c>
      <c r="C378" s="2">
        <f>IFERROR(__xludf.DUMMYFUNCTION("""COMPUTED_VALUE"""),1286.45)</f>
        <v>1286.45</v>
      </c>
      <c r="D378" s="2">
        <f>IFERROR(__xludf.DUMMYFUNCTION("""COMPUTED_VALUE"""),1231.6)</f>
        <v>1231.6</v>
      </c>
      <c r="E378" s="2">
        <f>IFERROR(__xludf.DUMMYFUNCTION("""COMPUTED_VALUE"""),1286.45)</f>
        <v>1286.45</v>
      </c>
      <c r="F378" s="2">
        <f>IFERROR(__xludf.DUMMYFUNCTION("""COMPUTED_VALUE"""),6233800.0)</f>
        <v>6233800</v>
      </c>
      <c r="G378" s="2">
        <f t="shared" si="1"/>
        <v>54.85</v>
      </c>
    </row>
    <row r="379" ht="15.75" customHeight="1">
      <c r="A379" s="1">
        <f>IFERROR(__xludf.DUMMYFUNCTION("""COMPUTED_VALUE"""),44400.625)</f>
        <v>44400.625</v>
      </c>
      <c r="B379" s="2">
        <f>IFERROR(__xludf.DUMMYFUNCTION("""COMPUTED_VALUE"""),1296.42)</f>
        <v>1296.42</v>
      </c>
      <c r="C379" s="2">
        <f>IFERROR(__xludf.DUMMYFUNCTION("""COMPUTED_VALUE"""),1306.4)</f>
        <v>1306.4</v>
      </c>
      <c r="D379" s="2">
        <f>IFERROR(__xludf.DUMMYFUNCTION("""COMPUTED_VALUE"""),1266.51)</f>
        <v>1266.51</v>
      </c>
      <c r="E379" s="2">
        <f>IFERROR(__xludf.DUMMYFUNCTION("""COMPUTED_VALUE"""),1271.49)</f>
        <v>1271.49</v>
      </c>
      <c r="F379" s="2">
        <f>IFERROR(__xludf.DUMMYFUNCTION("""COMPUTED_VALUE"""),3658800.0)</f>
        <v>3658800</v>
      </c>
      <c r="G379" s="2">
        <f t="shared" si="1"/>
        <v>39.89</v>
      </c>
    </row>
    <row r="380" ht="15.75" customHeight="1">
      <c r="A380" s="1">
        <f>IFERROR(__xludf.DUMMYFUNCTION("""COMPUTED_VALUE"""),44403.625)</f>
        <v>44403.625</v>
      </c>
      <c r="B380" s="2">
        <f>IFERROR(__xludf.DUMMYFUNCTION("""COMPUTED_VALUE"""),1271.49)</f>
        <v>1271.49</v>
      </c>
      <c r="C380" s="2">
        <f>IFERROR(__xludf.DUMMYFUNCTION("""COMPUTED_VALUE"""),1276.48)</f>
        <v>1276.48</v>
      </c>
      <c r="D380" s="2">
        <f>IFERROR(__xludf.DUMMYFUNCTION("""COMPUTED_VALUE"""),1236.59)</f>
        <v>1236.59</v>
      </c>
      <c r="E380" s="2">
        <f>IFERROR(__xludf.DUMMYFUNCTION("""COMPUTED_VALUE"""),1241.57)</f>
        <v>1241.57</v>
      </c>
      <c r="F380" s="2">
        <f>IFERROR(__xludf.DUMMYFUNCTION("""COMPUTED_VALUE"""),3422100.0)</f>
        <v>3422100</v>
      </c>
      <c r="G380" s="2">
        <f t="shared" si="1"/>
        <v>39.89</v>
      </c>
    </row>
    <row r="381" ht="15.75" customHeight="1">
      <c r="A381" s="1">
        <f>IFERROR(__xludf.DUMMYFUNCTION("""COMPUTED_VALUE"""),44404.625)</f>
        <v>44404.625</v>
      </c>
      <c r="B381" s="2">
        <f>IFERROR(__xludf.DUMMYFUNCTION("""COMPUTED_VALUE"""),1251.55)</f>
        <v>1251.55</v>
      </c>
      <c r="C381" s="2">
        <f>IFERROR(__xludf.DUMMYFUNCTION("""COMPUTED_VALUE"""),1261.52)</f>
        <v>1261.52</v>
      </c>
      <c r="D381" s="2">
        <f>IFERROR(__xludf.DUMMYFUNCTION("""COMPUTED_VALUE"""),1236.59)</f>
        <v>1236.59</v>
      </c>
      <c r="E381" s="2">
        <f>IFERROR(__xludf.DUMMYFUNCTION("""COMPUTED_VALUE"""),1246.56)</f>
        <v>1246.56</v>
      </c>
      <c r="F381" s="2">
        <f>IFERROR(__xludf.DUMMYFUNCTION("""COMPUTED_VALUE"""),2142900.0)</f>
        <v>2142900</v>
      </c>
      <c r="G381" s="2">
        <f t="shared" si="1"/>
        <v>24.93</v>
      </c>
    </row>
    <row r="382" ht="15.75" customHeight="1">
      <c r="A382" s="1">
        <f>IFERROR(__xludf.DUMMYFUNCTION("""COMPUTED_VALUE"""),44405.625)</f>
        <v>44405.625</v>
      </c>
      <c r="B382" s="2">
        <f>IFERROR(__xludf.DUMMYFUNCTION("""COMPUTED_VALUE"""),1246.56)</f>
        <v>1246.56</v>
      </c>
      <c r="C382" s="2">
        <f>IFERROR(__xludf.DUMMYFUNCTION("""COMPUTED_VALUE"""),1271.49)</f>
        <v>1271.49</v>
      </c>
      <c r="D382" s="2">
        <f>IFERROR(__xludf.DUMMYFUNCTION("""COMPUTED_VALUE"""),1231.6)</f>
        <v>1231.6</v>
      </c>
      <c r="E382" s="2">
        <f>IFERROR(__xludf.DUMMYFUNCTION("""COMPUTED_VALUE"""),1231.6)</f>
        <v>1231.6</v>
      </c>
      <c r="F382" s="2">
        <f>IFERROR(__xludf.DUMMYFUNCTION("""COMPUTED_VALUE"""),2997600.0)</f>
        <v>2997600</v>
      </c>
      <c r="G382" s="2">
        <f t="shared" si="1"/>
        <v>39.89</v>
      </c>
    </row>
    <row r="383" ht="15.75" customHeight="1">
      <c r="A383" s="1">
        <f>IFERROR(__xludf.DUMMYFUNCTION("""COMPUTED_VALUE"""),44406.625)</f>
        <v>44406.625</v>
      </c>
      <c r="B383" s="2">
        <f>IFERROR(__xludf.DUMMYFUNCTION("""COMPUTED_VALUE"""),1231.6)</f>
        <v>1231.6</v>
      </c>
      <c r="C383" s="2">
        <f>IFERROR(__xludf.DUMMYFUNCTION("""COMPUTED_VALUE"""),1241.57)</f>
        <v>1241.57</v>
      </c>
      <c r="D383" s="2">
        <f>IFERROR(__xludf.DUMMYFUNCTION("""COMPUTED_VALUE"""),1211.66)</f>
        <v>1211.66</v>
      </c>
      <c r="E383" s="2">
        <f>IFERROR(__xludf.DUMMYFUNCTION("""COMPUTED_VALUE"""),1221.63)</f>
        <v>1221.63</v>
      </c>
      <c r="F383" s="2">
        <f>IFERROR(__xludf.DUMMYFUNCTION("""COMPUTED_VALUE"""),5079500.0)</f>
        <v>5079500</v>
      </c>
      <c r="G383" s="2">
        <f t="shared" si="1"/>
        <v>29.91</v>
      </c>
    </row>
    <row r="384" ht="15.75" customHeight="1">
      <c r="A384" s="1">
        <f>IFERROR(__xludf.DUMMYFUNCTION("""COMPUTED_VALUE"""),44407.625)</f>
        <v>44407.625</v>
      </c>
      <c r="B384" s="2">
        <f>IFERROR(__xludf.DUMMYFUNCTION("""COMPUTED_VALUE"""),1231.6)</f>
        <v>1231.6</v>
      </c>
      <c r="C384" s="2">
        <f>IFERROR(__xludf.DUMMYFUNCTION("""COMPUTED_VALUE"""),1231.6)</f>
        <v>1231.6</v>
      </c>
      <c r="D384" s="2">
        <f>IFERROR(__xludf.DUMMYFUNCTION("""COMPUTED_VALUE"""),1211.66)</f>
        <v>1211.66</v>
      </c>
      <c r="E384" s="2">
        <f>IFERROR(__xludf.DUMMYFUNCTION("""COMPUTED_VALUE"""),1221.63)</f>
        <v>1221.63</v>
      </c>
      <c r="F384" s="2">
        <f>IFERROR(__xludf.DUMMYFUNCTION("""COMPUTED_VALUE"""),2624000.0)</f>
        <v>2624000</v>
      </c>
      <c r="G384" s="2">
        <f t="shared" si="1"/>
        <v>19.94</v>
      </c>
    </row>
    <row r="385" ht="15.75" customHeight="1">
      <c r="A385" s="1">
        <f>IFERROR(__xludf.DUMMYFUNCTION("""COMPUTED_VALUE"""),44410.625)</f>
        <v>44410.625</v>
      </c>
      <c r="B385" s="2">
        <f>IFERROR(__xludf.DUMMYFUNCTION("""COMPUTED_VALUE"""),1221.63)</f>
        <v>1221.63</v>
      </c>
      <c r="C385" s="2">
        <f>IFERROR(__xludf.DUMMYFUNCTION("""COMPUTED_VALUE"""),1226.62)</f>
        <v>1226.62</v>
      </c>
      <c r="D385" s="2">
        <f>IFERROR(__xludf.DUMMYFUNCTION("""COMPUTED_VALUE"""),1206.67)</f>
        <v>1206.67</v>
      </c>
      <c r="E385" s="2">
        <f>IFERROR(__xludf.DUMMYFUNCTION("""COMPUTED_VALUE"""),1211.66)</f>
        <v>1211.66</v>
      </c>
      <c r="F385" s="2">
        <f>IFERROR(__xludf.DUMMYFUNCTION("""COMPUTED_VALUE"""),2301800.0)</f>
        <v>2301800</v>
      </c>
      <c r="G385" s="2">
        <f t="shared" si="1"/>
        <v>19.95</v>
      </c>
    </row>
    <row r="386" ht="15.75" customHeight="1">
      <c r="A386" s="1">
        <f>IFERROR(__xludf.DUMMYFUNCTION("""COMPUTED_VALUE"""),44411.625)</f>
        <v>44411.625</v>
      </c>
      <c r="B386" s="2">
        <f>IFERROR(__xludf.DUMMYFUNCTION("""COMPUTED_VALUE"""),1216.64)</f>
        <v>1216.64</v>
      </c>
      <c r="C386" s="2">
        <f>IFERROR(__xludf.DUMMYFUNCTION("""COMPUTED_VALUE"""),1226.62)</f>
        <v>1226.62</v>
      </c>
      <c r="D386" s="2">
        <f>IFERROR(__xludf.DUMMYFUNCTION("""COMPUTED_VALUE"""),1211.66)</f>
        <v>1211.66</v>
      </c>
      <c r="E386" s="2">
        <f>IFERROR(__xludf.DUMMYFUNCTION("""COMPUTED_VALUE"""),1226.62)</f>
        <v>1226.62</v>
      </c>
      <c r="F386" s="2">
        <f>IFERROR(__xludf.DUMMYFUNCTION("""COMPUTED_VALUE"""),2102800.0)</f>
        <v>2102800</v>
      </c>
      <c r="G386" s="2">
        <f t="shared" si="1"/>
        <v>14.96</v>
      </c>
    </row>
    <row r="387" ht="15.75" customHeight="1">
      <c r="A387" s="1">
        <f>IFERROR(__xludf.DUMMYFUNCTION("""COMPUTED_VALUE"""),44412.625)</f>
        <v>44412.625</v>
      </c>
      <c r="B387" s="2">
        <f>IFERROR(__xludf.DUMMYFUNCTION("""COMPUTED_VALUE"""),1231.6)</f>
        <v>1231.6</v>
      </c>
      <c r="C387" s="2">
        <f>IFERROR(__xludf.DUMMYFUNCTION("""COMPUTED_VALUE"""),1261.52)</f>
        <v>1261.52</v>
      </c>
      <c r="D387" s="2">
        <f>IFERROR(__xludf.DUMMYFUNCTION("""COMPUTED_VALUE"""),1216.64)</f>
        <v>1216.64</v>
      </c>
      <c r="E387" s="2">
        <f>IFERROR(__xludf.DUMMYFUNCTION("""COMPUTED_VALUE"""),1256.53)</f>
        <v>1256.53</v>
      </c>
      <c r="F387" s="2">
        <f>IFERROR(__xludf.DUMMYFUNCTION("""COMPUTED_VALUE"""),5063200.0)</f>
        <v>5063200</v>
      </c>
      <c r="G387" s="2">
        <f t="shared" si="1"/>
        <v>44.88</v>
      </c>
    </row>
    <row r="388" ht="15.75" customHeight="1">
      <c r="A388" s="1">
        <f>IFERROR(__xludf.DUMMYFUNCTION("""COMPUTED_VALUE"""),44413.625)</f>
        <v>44413.625</v>
      </c>
      <c r="B388" s="2">
        <f>IFERROR(__xludf.DUMMYFUNCTION("""COMPUTED_VALUE"""),1266.51)</f>
        <v>1266.51</v>
      </c>
      <c r="C388" s="2">
        <f>IFERROR(__xludf.DUMMYFUNCTION("""COMPUTED_VALUE"""),1281.46)</f>
        <v>1281.46</v>
      </c>
      <c r="D388" s="2">
        <f>IFERROR(__xludf.DUMMYFUNCTION("""COMPUTED_VALUE"""),1246.56)</f>
        <v>1246.56</v>
      </c>
      <c r="E388" s="2">
        <f>IFERROR(__xludf.DUMMYFUNCTION("""COMPUTED_VALUE"""),1276.48)</f>
        <v>1276.48</v>
      </c>
      <c r="F388" s="2">
        <f>IFERROR(__xludf.DUMMYFUNCTION("""COMPUTED_VALUE"""),9550100.0)</f>
        <v>9550100</v>
      </c>
      <c r="G388" s="2">
        <f t="shared" si="1"/>
        <v>34.9</v>
      </c>
    </row>
    <row r="389" ht="15.75" customHeight="1">
      <c r="A389" s="1">
        <f>IFERROR(__xludf.DUMMYFUNCTION("""COMPUTED_VALUE"""),44414.625)</f>
        <v>44414.625</v>
      </c>
      <c r="B389" s="2">
        <f>IFERROR(__xludf.DUMMYFUNCTION("""COMPUTED_VALUE"""),1291.44)</f>
        <v>1291.44</v>
      </c>
      <c r="C389" s="2">
        <f>IFERROR(__xludf.DUMMYFUNCTION("""COMPUTED_VALUE"""),1306.4)</f>
        <v>1306.4</v>
      </c>
      <c r="D389" s="2">
        <f>IFERROR(__xludf.DUMMYFUNCTION("""COMPUTED_VALUE"""),1271.49)</f>
        <v>1271.49</v>
      </c>
      <c r="E389" s="2">
        <f>IFERROR(__xludf.DUMMYFUNCTION("""COMPUTED_VALUE"""),1271.49)</f>
        <v>1271.49</v>
      </c>
      <c r="F389" s="2">
        <f>IFERROR(__xludf.DUMMYFUNCTION("""COMPUTED_VALUE"""),7303100.0)</f>
        <v>7303100</v>
      </c>
      <c r="G389" s="2">
        <f t="shared" si="1"/>
        <v>34.91</v>
      </c>
    </row>
    <row r="390" ht="15.75" customHeight="1">
      <c r="A390" s="1">
        <f>IFERROR(__xludf.DUMMYFUNCTION("""COMPUTED_VALUE"""),44417.625)</f>
        <v>44417.625</v>
      </c>
      <c r="B390" s="2">
        <f>IFERROR(__xludf.DUMMYFUNCTION("""COMPUTED_VALUE"""),1271.49)</f>
        <v>1271.49</v>
      </c>
      <c r="C390" s="2">
        <f>IFERROR(__xludf.DUMMYFUNCTION("""COMPUTED_VALUE"""),1281.46)</f>
        <v>1281.46</v>
      </c>
      <c r="D390" s="2">
        <f>IFERROR(__xludf.DUMMYFUNCTION("""COMPUTED_VALUE"""),1241.57)</f>
        <v>1241.57</v>
      </c>
      <c r="E390" s="2">
        <f>IFERROR(__xludf.DUMMYFUNCTION("""COMPUTED_VALUE"""),1241.57)</f>
        <v>1241.57</v>
      </c>
      <c r="F390" s="2">
        <f>IFERROR(__xludf.DUMMYFUNCTION("""COMPUTED_VALUE"""),3241100.0)</f>
        <v>3241100</v>
      </c>
      <c r="G390" s="2">
        <f t="shared" si="1"/>
        <v>39.89</v>
      </c>
    </row>
    <row r="391" ht="15.75" customHeight="1">
      <c r="A391" s="1">
        <f>IFERROR(__xludf.DUMMYFUNCTION("""COMPUTED_VALUE"""),44418.625)</f>
        <v>44418.625</v>
      </c>
      <c r="B391" s="2">
        <f>IFERROR(__xludf.DUMMYFUNCTION("""COMPUTED_VALUE"""),1256.53)</f>
        <v>1256.53</v>
      </c>
      <c r="C391" s="2">
        <f>IFERROR(__xludf.DUMMYFUNCTION("""COMPUTED_VALUE"""),1256.53)</f>
        <v>1256.53</v>
      </c>
      <c r="D391" s="2">
        <f>IFERROR(__xludf.DUMMYFUNCTION("""COMPUTED_VALUE"""),1216.64)</f>
        <v>1216.64</v>
      </c>
      <c r="E391" s="2">
        <f>IFERROR(__xludf.DUMMYFUNCTION("""COMPUTED_VALUE"""),1231.6)</f>
        <v>1231.6</v>
      </c>
      <c r="F391" s="2">
        <f>IFERROR(__xludf.DUMMYFUNCTION("""COMPUTED_VALUE"""),2963900.0)</f>
        <v>2963900</v>
      </c>
      <c r="G391" s="2">
        <f t="shared" si="1"/>
        <v>39.89</v>
      </c>
    </row>
    <row r="392" ht="15.75" customHeight="1">
      <c r="A392" s="1">
        <f>IFERROR(__xludf.DUMMYFUNCTION("""COMPUTED_VALUE"""),44420.625)</f>
        <v>44420.625</v>
      </c>
      <c r="B392" s="2">
        <f>IFERROR(__xludf.DUMMYFUNCTION("""COMPUTED_VALUE"""),1241.57)</f>
        <v>1241.57</v>
      </c>
      <c r="C392" s="2">
        <f>IFERROR(__xludf.DUMMYFUNCTION("""COMPUTED_VALUE"""),1256.53)</f>
        <v>1256.53</v>
      </c>
      <c r="D392" s="2">
        <f>IFERROR(__xludf.DUMMYFUNCTION("""COMPUTED_VALUE"""),1236.59)</f>
        <v>1236.59</v>
      </c>
      <c r="E392" s="2">
        <f>IFERROR(__xludf.DUMMYFUNCTION("""COMPUTED_VALUE"""),1251.55)</f>
        <v>1251.55</v>
      </c>
      <c r="F392" s="2">
        <f>IFERROR(__xludf.DUMMYFUNCTION("""COMPUTED_VALUE"""),2361300.0)</f>
        <v>2361300</v>
      </c>
      <c r="G392" s="2">
        <f t="shared" si="1"/>
        <v>24.93</v>
      </c>
    </row>
    <row r="393" ht="15.75" customHeight="1">
      <c r="A393" s="1">
        <f>IFERROR(__xludf.DUMMYFUNCTION("""COMPUTED_VALUE"""),44421.625)</f>
        <v>44421.625</v>
      </c>
      <c r="B393" s="2">
        <f>IFERROR(__xludf.DUMMYFUNCTION("""COMPUTED_VALUE"""),1251.55)</f>
        <v>1251.55</v>
      </c>
      <c r="C393" s="2">
        <f>IFERROR(__xludf.DUMMYFUNCTION("""COMPUTED_VALUE"""),1266.51)</f>
        <v>1266.51</v>
      </c>
      <c r="D393" s="2">
        <f>IFERROR(__xludf.DUMMYFUNCTION("""COMPUTED_VALUE"""),1241.57)</f>
        <v>1241.57</v>
      </c>
      <c r="E393" s="2">
        <f>IFERROR(__xludf.DUMMYFUNCTION("""COMPUTED_VALUE"""),1246.56)</f>
        <v>1246.56</v>
      </c>
      <c r="F393" s="2">
        <f>IFERROR(__xludf.DUMMYFUNCTION("""COMPUTED_VALUE"""),2918000.0)</f>
        <v>2918000</v>
      </c>
      <c r="G393" s="2">
        <f t="shared" si="1"/>
        <v>24.94</v>
      </c>
    </row>
    <row r="394" ht="15.75" customHeight="1">
      <c r="A394" s="1">
        <f>IFERROR(__xludf.DUMMYFUNCTION("""COMPUTED_VALUE"""),44424.625)</f>
        <v>44424.625</v>
      </c>
      <c r="B394" s="2">
        <f>IFERROR(__xludf.DUMMYFUNCTION("""COMPUTED_VALUE"""),1246.56)</f>
        <v>1246.56</v>
      </c>
      <c r="C394" s="2">
        <f>IFERROR(__xludf.DUMMYFUNCTION("""COMPUTED_VALUE"""),1251.55)</f>
        <v>1251.55</v>
      </c>
      <c r="D394" s="2">
        <f>IFERROR(__xludf.DUMMYFUNCTION("""COMPUTED_VALUE"""),1231.6)</f>
        <v>1231.6</v>
      </c>
      <c r="E394" s="2">
        <f>IFERROR(__xludf.DUMMYFUNCTION("""COMPUTED_VALUE"""),1236.59)</f>
        <v>1236.59</v>
      </c>
      <c r="F394" s="2">
        <f>IFERROR(__xludf.DUMMYFUNCTION("""COMPUTED_VALUE"""),2197100.0)</f>
        <v>2197100</v>
      </c>
      <c r="G394" s="2">
        <f t="shared" si="1"/>
        <v>19.95</v>
      </c>
    </row>
    <row r="395" ht="15.75" customHeight="1">
      <c r="A395" s="1">
        <f>IFERROR(__xludf.DUMMYFUNCTION("""COMPUTED_VALUE"""),44426.625)</f>
        <v>44426.625</v>
      </c>
      <c r="B395" s="2">
        <f>IFERROR(__xludf.DUMMYFUNCTION("""COMPUTED_VALUE"""),1241.57)</f>
        <v>1241.57</v>
      </c>
      <c r="C395" s="2">
        <f>IFERROR(__xludf.DUMMYFUNCTION("""COMPUTED_VALUE"""),1286.45)</f>
        <v>1286.45</v>
      </c>
      <c r="D395" s="2">
        <f>IFERROR(__xludf.DUMMYFUNCTION("""COMPUTED_VALUE"""),1226.62)</f>
        <v>1226.62</v>
      </c>
      <c r="E395" s="2">
        <f>IFERROR(__xludf.DUMMYFUNCTION("""COMPUTED_VALUE"""),1261.52)</f>
        <v>1261.52</v>
      </c>
      <c r="F395" s="2">
        <f>IFERROR(__xludf.DUMMYFUNCTION("""COMPUTED_VALUE"""),6078600.0)</f>
        <v>6078600</v>
      </c>
      <c r="G395" s="2">
        <f t="shared" si="1"/>
        <v>59.83</v>
      </c>
    </row>
    <row r="396" ht="15.75" customHeight="1">
      <c r="A396" s="1">
        <f>IFERROR(__xludf.DUMMYFUNCTION("""COMPUTED_VALUE"""),44427.625)</f>
        <v>44427.625</v>
      </c>
      <c r="B396" s="2">
        <f>IFERROR(__xludf.DUMMYFUNCTION("""COMPUTED_VALUE"""),1266.51)</f>
        <v>1266.51</v>
      </c>
      <c r="C396" s="2">
        <f>IFERROR(__xludf.DUMMYFUNCTION("""COMPUTED_VALUE"""),1266.51)</f>
        <v>1266.51</v>
      </c>
      <c r="D396" s="2">
        <f>IFERROR(__xludf.DUMMYFUNCTION("""COMPUTED_VALUE"""),1231.6)</f>
        <v>1231.6</v>
      </c>
      <c r="E396" s="2">
        <f>IFERROR(__xludf.DUMMYFUNCTION("""COMPUTED_VALUE"""),1236.59)</f>
        <v>1236.59</v>
      </c>
      <c r="F396" s="2">
        <f>IFERROR(__xludf.DUMMYFUNCTION("""COMPUTED_VALUE"""),3613000.0)</f>
        <v>3613000</v>
      </c>
      <c r="G396" s="2">
        <f t="shared" si="1"/>
        <v>34.91</v>
      </c>
    </row>
    <row r="397" ht="15.75" customHeight="1">
      <c r="A397" s="1">
        <f>IFERROR(__xludf.DUMMYFUNCTION("""COMPUTED_VALUE"""),44428.625)</f>
        <v>44428.625</v>
      </c>
      <c r="B397" s="2">
        <f>IFERROR(__xludf.DUMMYFUNCTION("""COMPUTED_VALUE"""),1236.59)</f>
        <v>1236.59</v>
      </c>
      <c r="C397" s="2">
        <f>IFERROR(__xludf.DUMMYFUNCTION("""COMPUTED_VALUE"""),1246.56)</f>
        <v>1246.56</v>
      </c>
      <c r="D397" s="2">
        <f>IFERROR(__xludf.DUMMYFUNCTION("""COMPUTED_VALUE"""),1226.62)</f>
        <v>1226.62</v>
      </c>
      <c r="E397" s="2">
        <f>IFERROR(__xludf.DUMMYFUNCTION("""COMPUTED_VALUE"""),1241.57)</f>
        <v>1241.57</v>
      </c>
      <c r="F397" s="2">
        <f>IFERROR(__xludf.DUMMYFUNCTION("""COMPUTED_VALUE"""),1580000.0)</f>
        <v>1580000</v>
      </c>
      <c r="G397" s="2">
        <f t="shared" si="1"/>
        <v>19.94</v>
      </c>
    </row>
    <row r="398" ht="15.75" customHeight="1">
      <c r="A398" s="1">
        <f>IFERROR(__xludf.DUMMYFUNCTION("""COMPUTED_VALUE"""),44431.66666666667)</f>
        <v>44431.66667</v>
      </c>
      <c r="B398" s="2">
        <f>IFERROR(__xludf.DUMMYFUNCTION("""COMPUTED_VALUE"""),1241.57)</f>
        <v>1241.57</v>
      </c>
      <c r="C398" s="2">
        <f>IFERROR(__xludf.DUMMYFUNCTION("""COMPUTED_VALUE"""),1256.53)</f>
        <v>1256.53</v>
      </c>
      <c r="D398" s="2">
        <f>IFERROR(__xludf.DUMMYFUNCTION("""COMPUTED_VALUE"""),1236.59)</f>
        <v>1236.59</v>
      </c>
      <c r="E398" s="2">
        <f>IFERROR(__xludf.DUMMYFUNCTION("""COMPUTED_VALUE"""),1246.56)</f>
        <v>1246.56</v>
      </c>
      <c r="F398" s="2">
        <f>IFERROR(__xludf.DUMMYFUNCTION("""COMPUTED_VALUE"""),1686000.0)</f>
        <v>1686000</v>
      </c>
      <c r="G398" s="2">
        <f t="shared" si="1"/>
        <v>19.94</v>
      </c>
    </row>
    <row r="399" ht="15.75" customHeight="1">
      <c r="A399" s="1">
        <f>IFERROR(__xludf.DUMMYFUNCTION("""COMPUTED_VALUE"""),44432.66666666667)</f>
        <v>44432.66667</v>
      </c>
      <c r="B399" s="2">
        <f>IFERROR(__xludf.DUMMYFUNCTION("""COMPUTED_VALUE"""),1246.56)</f>
        <v>1246.56</v>
      </c>
      <c r="C399" s="2">
        <f>IFERROR(__xludf.DUMMYFUNCTION("""COMPUTED_VALUE"""),1251.55)</f>
        <v>1251.55</v>
      </c>
      <c r="D399" s="2">
        <f>IFERROR(__xludf.DUMMYFUNCTION("""COMPUTED_VALUE"""),1241.57)</f>
        <v>1241.57</v>
      </c>
      <c r="E399" s="2">
        <f>IFERROR(__xludf.DUMMYFUNCTION("""COMPUTED_VALUE"""),1246.56)</f>
        <v>1246.56</v>
      </c>
      <c r="F399" s="2">
        <f>IFERROR(__xludf.DUMMYFUNCTION("""COMPUTED_VALUE"""),1436600.0)</f>
        <v>1436600</v>
      </c>
      <c r="G399" s="2">
        <f t="shared" si="1"/>
        <v>9.98</v>
      </c>
    </row>
    <row r="400" ht="15.75" customHeight="1">
      <c r="A400" s="1">
        <f>IFERROR(__xludf.DUMMYFUNCTION("""COMPUTED_VALUE"""),44433.625)</f>
        <v>44433.625</v>
      </c>
      <c r="B400" s="2">
        <f>IFERROR(__xludf.DUMMYFUNCTION("""COMPUTED_VALUE"""),1246.56)</f>
        <v>1246.56</v>
      </c>
      <c r="C400" s="2">
        <f>IFERROR(__xludf.DUMMYFUNCTION("""COMPUTED_VALUE"""),1256.53)</f>
        <v>1256.53</v>
      </c>
      <c r="D400" s="2">
        <f>IFERROR(__xludf.DUMMYFUNCTION("""COMPUTED_VALUE"""),1236.59)</f>
        <v>1236.59</v>
      </c>
      <c r="E400" s="2">
        <f>IFERROR(__xludf.DUMMYFUNCTION("""COMPUTED_VALUE"""),1241.57)</f>
        <v>1241.57</v>
      </c>
      <c r="F400" s="2">
        <f>IFERROR(__xludf.DUMMYFUNCTION("""COMPUTED_VALUE"""),1874200.0)</f>
        <v>1874200</v>
      </c>
      <c r="G400" s="2">
        <f t="shared" si="1"/>
        <v>19.94</v>
      </c>
    </row>
    <row r="401" ht="15.75" customHeight="1">
      <c r="A401" s="1">
        <f>IFERROR(__xludf.DUMMYFUNCTION("""COMPUTED_VALUE"""),44434.625)</f>
        <v>44434.625</v>
      </c>
      <c r="B401" s="2">
        <f>IFERROR(__xludf.DUMMYFUNCTION("""COMPUTED_VALUE"""),1241.57)</f>
        <v>1241.57</v>
      </c>
      <c r="C401" s="2">
        <f>IFERROR(__xludf.DUMMYFUNCTION("""COMPUTED_VALUE"""),1246.56)</f>
        <v>1246.56</v>
      </c>
      <c r="D401" s="2">
        <f>IFERROR(__xludf.DUMMYFUNCTION("""COMPUTED_VALUE"""),1231.6)</f>
        <v>1231.6</v>
      </c>
      <c r="E401" s="2">
        <f>IFERROR(__xludf.DUMMYFUNCTION("""COMPUTED_VALUE"""),1236.59)</f>
        <v>1236.59</v>
      </c>
      <c r="F401" s="2">
        <f>IFERROR(__xludf.DUMMYFUNCTION("""COMPUTED_VALUE"""),1705200.0)</f>
        <v>1705200</v>
      </c>
      <c r="G401" s="2">
        <f t="shared" si="1"/>
        <v>14.96</v>
      </c>
    </row>
    <row r="402" ht="15.75" customHeight="1">
      <c r="A402" s="1">
        <f>IFERROR(__xludf.DUMMYFUNCTION("""COMPUTED_VALUE"""),44435.625)</f>
        <v>44435.625</v>
      </c>
      <c r="B402" s="2">
        <f>IFERROR(__xludf.DUMMYFUNCTION("""COMPUTED_VALUE"""),1236.59)</f>
        <v>1236.59</v>
      </c>
      <c r="C402" s="2">
        <f>IFERROR(__xludf.DUMMYFUNCTION("""COMPUTED_VALUE"""),1236.59)</f>
        <v>1236.59</v>
      </c>
      <c r="D402" s="2">
        <f>IFERROR(__xludf.DUMMYFUNCTION("""COMPUTED_VALUE"""),1221.63)</f>
        <v>1221.63</v>
      </c>
      <c r="E402" s="2">
        <f>IFERROR(__xludf.DUMMYFUNCTION("""COMPUTED_VALUE"""),1221.63)</f>
        <v>1221.63</v>
      </c>
      <c r="F402" s="2">
        <f>IFERROR(__xludf.DUMMYFUNCTION("""COMPUTED_VALUE"""),6754700.0)</f>
        <v>6754700</v>
      </c>
      <c r="G402" s="2">
        <f t="shared" si="1"/>
        <v>14.96</v>
      </c>
    </row>
    <row r="403" ht="15.75" customHeight="1">
      <c r="A403" s="1">
        <f>IFERROR(__xludf.DUMMYFUNCTION("""COMPUTED_VALUE"""),44438.625)</f>
        <v>44438.625</v>
      </c>
      <c r="B403" s="2">
        <f>IFERROR(__xludf.DUMMYFUNCTION("""COMPUTED_VALUE"""),1221.63)</f>
        <v>1221.63</v>
      </c>
      <c r="C403" s="2">
        <f>IFERROR(__xludf.DUMMYFUNCTION("""COMPUTED_VALUE"""),1241.57)</f>
        <v>1241.57</v>
      </c>
      <c r="D403" s="2">
        <f>IFERROR(__xludf.DUMMYFUNCTION("""COMPUTED_VALUE"""),1221.63)</f>
        <v>1221.63</v>
      </c>
      <c r="E403" s="2">
        <f>IFERROR(__xludf.DUMMYFUNCTION("""COMPUTED_VALUE"""),1236.59)</f>
        <v>1236.59</v>
      </c>
      <c r="F403" s="2">
        <f>IFERROR(__xludf.DUMMYFUNCTION("""COMPUTED_VALUE"""),2677500.0)</f>
        <v>2677500</v>
      </c>
      <c r="G403" s="2">
        <f t="shared" si="1"/>
        <v>19.94</v>
      </c>
    </row>
    <row r="404" ht="15.75" customHeight="1">
      <c r="A404" s="1">
        <f>IFERROR(__xludf.DUMMYFUNCTION("""COMPUTED_VALUE"""),44439.625)</f>
        <v>44439.625</v>
      </c>
      <c r="B404" s="2">
        <f>IFERROR(__xludf.DUMMYFUNCTION("""COMPUTED_VALUE"""),1231.6)</f>
        <v>1231.6</v>
      </c>
      <c r="C404" s="2">
        <f>IFERROR(__xludf.DUMMYFUNCTION("""COMPUTED_VALUE"""),1241.57)</f>
        <v>1241.57</v>
      </c>
      <c r="D404" s="2">
        <f>IFERROR(__xludf.DUMMYFUNCTION("""COMPUTED_VALUE"""),1221.63)</f>
        <v>1221.63</v>
      </c>
      <c r="E404" s="2">
        <f>IFERROR(__xludf.DUMMYFUNCTION("""COMPUTED_VALUE"""),1231.6)</f>
        <v>1231.6</v>
      </c>
      <c r="F404" s="2">
        <f>IFERROR(__xludf.DUMMYFUNCTION("""COMPUTED_VALUE"""),2773600.0)</f>
        <v>2773600</v>
      </c>
      <c r="G404" s="2">
        <f t="shared" si="1"/>
        <v>19.94</v>
      </c>
    </row>
    <row r="405" ht="15.75" customHeight="1">
      <c r="A405" s="1">
        <f>IFERROR(__xludf.DUMMYFUNCTION("""COMPUTED_VALUE"""),44440.625)</f>
        <v>44440.625</v>
      </c>
      <c r="B405" s="2">
        <f>IFERROR(__xludf.DUMMYFUNCTION("""COMPUTED_VALUE"""),1231.6)</f>
        <v>1231.6</v>
      </c>
      <c r="C405" s="2">
        <f>IFERROR(__xludf.DUMMYFUNCTION("""COMPUTED_VALUE"""),1236.59)</f>
        <v>1236.59</v>
      </c>
      <c r="D405" s="2">
        <f>IFERROR(__xludf.DUMMYFUNCTION("""COMPUTED_VALUE"""),1221.63)</f>
        <v>1221.63</v>
      </c>
      <c r="E405" s="2">
        <f>IFERROR(__xludf.DUMMYFUNCTION("""COMPUTED_VALUE"""),1226.62)</f>
        <v>1226.62</v>
      </c>
      <c r="F405" s="2">
        <f>IFERROR(__xludf.DUMMYFUNCTION("""COMPUTED_VALUE"""),3699500.0)</f>
        <v>3699500</v>
      </c>
      <c r="G405" s="2">
        <f t="shared" si="1"/>
        <v>14.96</v>
      </c>
    </row>
    <row r="406" ht="15.75" customHeight="1">
      <c r="A406" s="1">
        <f>IFERROR(__xludf.DUMMYFUNCTION("""COMPUTED_VALUE"""),44441.625)</f>
        <v>44441.625</v>
      </c>
      <c r="B406" s="2">
        <f>IFERROR(__xludf.DUMMYFUNCTION("""COMPUTED_VALUE"""),1226.62)</f>
        <v>1226.62</v>
      </c>
      <c r="C406" s="2">
        <f>IFERROR(__xludf.DUMMYFUNCTION("""COMPUTED_VALUE"""),1231.6)</f>
        <v>1231.6</v>
      </c>
      <c r="D406" s="2">
        <f>IFERROR(__xludf.DUMMYFUNCTION("""COMPUTED_VALUE"""),1216.64)</f>
        <v>1216.64</v>
      </c>
      <c r="E406" s="2">
        <f>IFERROR(__xludf.DUMMYFUNCTION("""COMPUTED_VALUE"""),1221.63)</f>
        <v>1221.63</v>
      </c>
      <c r="F406" s="2">
        <f>IFERROR(__xludf.DUMMYFUNCTION("""COMPUTED_VALUE"""),5415700.0)</f>
        <v>5415700</v>
      </c>
      <c r="G406" s="2">
        <f t="shared" si="1"/>
        <v>14.96</v>
      </c>
    </row>
    <row r="407" ht="15.75" customHeight="1">
      <c r="A407" s="1">
        <f>IFERROR(__xludf.DUMMYFUNCTION("""COMPUTED_VALUE"""),44442.625)</f>
        <v>44442.625</v>
      </c>
      <c r="B407" s="2">
        <f>IFERROR(__xludf.DUMMYFUNCTION("""COMPUTED_VALUE"""),1221.63)</f>
        <v>1221.63</v>
      </c>
      <c r="C407" s="2">
        <f>IFERROR(__xludf.DUMMYFUNCTION("""COMPUTED_VALUE"""),1236.59)</f>
        <v>1236.59</v>
      </c>
      <c r="D407" s="2">
        <f>IFERROR(__xludf.DUMMYFUNCTION("""COMPUTED_VALUE"""),1216.64)</f>
        <v>1216.64</v>
      </c>
      <c r="E407" s="2">
        <f>IFERROR(__xludf.DUMMYFUNCTION("""COMPUTED_VALUE"""),1226.62)</f>
        <v>1226.62</v>
      </c>
      <c r="F407" s="2">
        <f>IFERROR(__xludf.DUMMYFUNCTION("""COMPUTED_VALUE"""),4226400.0)</f>
        <v>4226400</v>
      </c>
      <c r="G407" s="2">
        <f t="shared" si="1"/>
        <v>19.95</v>
      </c>
    </row>
    <row r="408" ht="15.75" customHeight="1">
      <c r="A408" s="1">
        <f>IFERROR(__xludf.DUMMYFUNCTION("""COMPUTED_VALUE"""),44445.625)</f>
        <v>44445.625</v>
      </c>
      <c r="B408" s="2">
        <f>IFERROR(__xludf.DUMMYFUNCTION("""COMPUTED_VALUE"""),1226.62)</f>
        <v>1226.62</v>
      </c>
      <c r="C408" s="2">
        <f>IFERROR(__xludf.DUMMYFUNCTION("""COMPUTED_VALUE"""),1271.49)</f>
        <v>1271.49</v>
      </c>
      <c r="D408" s="2">
        <f>IFERROR(__xludf.DUMMYFUNCTION("""COMPUTED_VALUE"""),1226.62)</f>
        <v>1226.62</v>
      </c>
      <c r="E408" s="2">
        <f>IFERROR(__xludf.DUMMYFUNCTION("""COMPUTED_VALUE"""),1266.51)</f>
        <v>1266.51</v>
      </c>
      <c r="F408" s="2">
        <f>IFERROR(__xludf.DUMMYFUNCTION("""COMPUTED_VALUE"""),8750600.0)</f>
        <v>8750600</v>
      </c>
      <c r="G408" s="2">
        <f t="shared" si="1"/>
        <v>44.87</v>
      </c>
    </row>
    <row r="409" ht="15.75" customHeight="1">
      <c r="A409" s="1">
        <f>IFERROR(__xludf.DUMMYFUNCTION("""COMPUTED_VALUE"""),44446.625)</f>
        <v>44446.625</v>
      </c>
      <c r="B409" s="2">
        <f>IFERROR(__xludf.DUMMYFUNCTION("""COMPUTED_VALUE"""),1271.49)</f>
        <v>1271.49</v>
      </c>
      <c r="C409" s="2">
        <f>IFERROR(__xludf.DUMMYFUNCTION("""COMPUTED_VALUE"""),1301.41)</f>
        <v>1301.41</v>
      </c>
      <c r="D409" s="2">
        <f>IFERROR(__xludf.DUMMYFUNCTION("""COMPUTED_VALUE"""),1266.51)</f>
        <v>1266.51</v>
      </c>
      <c r="E409" s="2">
        <f>IFERROR(__xludf.DUMMYFUNCTION("""COMPUTED_VALUE"""),1286.45)</f>
        <v>1286.45</v>
      </c>
      <c r="F409" s="2">
        <f>IFERROR(__xludf.DUMMYFUNCTION("""COMPUTED_VALUE"""),1.07632E7)</f>
        <v>10763200</v>
      </c>
      <c r="G409" s="2">
        <f t="shared" si="1"/>
        <v>34.9</v>
      </c>
    </row>
    <row r="410" ht="15.75" customHeight="1">
      <c r="A410" s="1">
        <f>IFERROR(__xludf.DUMMYFUNCTION("""COMPUTED_VALUE"""),44447.625)</f>
        <v>44447.625</v>
      </c>
      <c r="B410" s="2">
        <f>IFERROR(__xludf.DUMMYFUNCTION("""COMPUTED_VALUE"""),1286.45)</f>
        <v>1286.45</v>
      </c>
      <c r="C410" s="2">
        <f>IFERROR(__xludf.DUMMYFUNCTION("""COMPUTED_VALUE"""),1296.42)</f>
        <v>1296.42</v>
      </c>
      <c r="D410" s="2">
        <f>IFERROR(__xludf.DUMMYFUNCTION("""COMPUTED_VALUE"""),1266.51)</f>
        <v>1266.51</v>
      </c>
      <c r="E410" s="2">
        <f>IFERROR(__xludf.DUMMYFUNCTION("""COMPUTED_VALUE"""),1271.49)</f>
        <v>1271.49</v>
      </c>
      <c r="F410" s="2">
        <f>IFERROR(__xludf.DUMMYFUNCTION("""COMPUTED_VALUE"""),7370600.0)</f>
        <v>7370600</v>
      </c>
      <c r="G410" s="2">
        <f t="shared" si="1"/>
        <v>29.91</v>
      </c>
    </row>
    <row r="411" ht="15.75" customHeight="1">
      <c r="A411" s="1">
        <f>IFERROR(__xludf.DUMMYFUNCTION("""COMPUTED_VALUE"""),44448.625)</f>
        <v>44448.625</v>
      </c>
      <c r="B411" s="2">
        <f>IFERROR(__xludf.DUMMYFUNCTION("""COMPUTED_VALUE"""),1276.48)</f>
        <v>1276.48</v>
      </c>
      <c r="C411" s="2">
        <f>IFERROR(__xludf.DUMMYFUNCTION("""COMPUTED_VALUE"""),1286.45)</f>
        <v>1286.45</v>
      </c>
      <c r="D411" s="2">
        <f>IFERROR(__xludf.DUMMYFUNCTION("""COMPUTED_VALUE"""),1256.53)</f>
        <v>1256.53</v>
      </c>
      <c r="E411" s="2">
        <f>IFERROR(__xludf.DUMMYFUNCTION("""COMPUTED_VALUE"""),1281.46)</f>
        <v>1281.46</v>
      </c>
      <c r="F411" s="2">
        <f>IFERROR(__xludf.DUMMYFUNCTION("""COMPUTED_VALUE"""),3072000.0)</f>
        <v>3072000</v>
      </c>
      <c r="G411" s="2">
        <f t="shared" si="1"/>
        <v>29.92</v>
      </c>
    </row>
    <row r="412" ht="15.75" customHeight="1">
      <c r="A412" s="1">
        <f>IFERROR(__xludf.DUMMYFUNCTION("""COMPUTED_VALUE"""),44449.625)</f>
        <v>44449.625</v>
      </c>
      <c r="B412" s="2">
        <f>IFERROR(__xludf.DUMMYFUNCTION("""COMPUTED_VALUE"""),1276.48)</f>
        <v>1276.48</v>
      </c>
      <c r="C412" s="2">
        <f>IFERROR(__xludf.DUMMYFUNCTION("""COMPUTED_VALUE"""),1291.44)</f>
        <v>1291.44</v>
      </c>
      <c r="D412" s="2">
        <f>IFERROR(__xludf.DUMMYFUNCTION("""COMPUTED_VALUE"""),1271.49)</f>
        <v>1271.49</v>
      </c>
      <c r="E412" s="2">
        <f>IFERROR(__xludf.DUMMYFUNCTION("""COMPUTED_VALUE"""),1281.46)</f>
        <v>1281.46</v>
      </c>
      <c r="F412" s="2">
        <f>IFERROR(__xludf.DUMMYFUNCTION("""COMPUTED_VALUE"""),2243700.0)</f>
        <v>2243700</v>
      </c>
      <c r="G412" s="2">
        <f t="shared" si="1"/>
        <v>19.95</v>
      </c>
    </row>
    <row r="413" ht="15.75" customHeight="1">
      <c r="A413" s="1">
        <f>IFERROR(__xludf.DUMMYFUNCTION("""COMPUTED_VALUE"""),44452.625)</f>
        <v>44452.625</v>
      </c>
      <c r="B413" s="2">
        <f>IFERROR(__xludf.DUMMYFUNCTION("""COMPUTED_VALUE"""),1281.46)</f>
        <v>1281.46</v>
      </c>
      <c r="C413" s="2">
        <f>IFERROR(__xludf.DUMMYFUNCTION("""COMPUTED_VALUE"""),1341.3)</f>
        <v>1341.3</v>
      </c>
      <c r="D413" s="2">
        <f>IFERROR(__xludf.DUMMYFUNCTION("""COMPUTED_VALUE"""),1281.46)</f>
        <v>1281.46</v>
      </c>
      <c r="E413" s="2">
        <f>IFERROR(__xludf.DUMMYFUNCTION("""COMPUTED_VALUE"""),1331.33)</f>
        <v>1331.33</v>
      </c>
      <c r="F413" s="2">
        <f>IFERROR(__xludf.DUMMYFUNCTION("""COMPUTED_VALUE"""),1.21312E7)</f>
        <v>12131200</v>
      </c>
      <c r="G413" s="2">
        <f t="shared" si="1"/>
        <v>59.84</v>
      </c>
    </row>
    <row r="414" ht="15.75" customHeight="1">
      <c r="A414" s="1">
        <f>IFERROR(__xludf.DUMMYFUNCTION("""COMPUTED_VALUE"""),44453.625)</f>
        <v>44453.625</v>
      </c>
      <c r="B414" s="2">
        <f>IFERROR(__xludf.DUMMYFUNCTION("""COMPUTED_VALUE"""),1341.3)</f>
        <v>1341.3</v>
      </c>
      <c r="C414" s="2">
        <f>IFERROR(__xludf.DUMMYFUNCTION("""COMPUTED_VALUE"""),1346.29)</f>
        <v>1346.29</v>
      </c>
      <c r="D414" s="2">
        <f>IFERROR(__xludf.DUMMYFUNCTION("""COMPUTED_VALUE"""),1326.34)</f>
        <v>1326.34</v>
      </c>
      <c r="E414" s="2">
        <f>IFERROR(__xludf.DUMMYFUNCTION("""COMPUTED_VALUE"""),1336.31)</f>
        <v>1336.31</v>
      </c>
      <c r="F414" s="2">
        <f>IFERROR(__xludf.DUMMYFUNCTION("""COMPUTED_VALUE"""),6859300.0)</f>
        <v>6859300</v>
      </c>
      <c r="G414" s="2">
        <f t="shared" si="1"/>
        <v>19.95</v>
      </c>
    </row>
    <row r="415" ht="15.75" customHeight="1">
      <c r="A415" s="1">
        <f>IFERROR(__xludf.DUMMYFUNCTION("""COMPUTED_VALUE"""),44454.625)</f>
        <v>44454.625</v>
      </c>
      <c r="B415" s="2">
        <f>IFERROR(__xludf.DUMMYFUNCTION("""COMPUTED_VALUE"""),1336.31)</f>
        <v>1336.31</v>
      </c>
      <c r="C415" s="2">
        <f>IFERROR(__xludf.DUMMYFUNCTION("""COMPUTED_VALUE"""),1341.3)</f>
        <v>1341.3</v>
      </c>
      <c r="D415" s="2">
        <f>IFERROR(__xludf.DUMMYFUNCTION("""COMPUTED_VALUE"""),1326.34)</f>
        <v>1326.34</v>
      </c>
      <c r="E415" s="2">
        <f>IFERROR(__xludf.DUMMYFUNCTION("""COMPUTED_VALUE"""),1331.33)</f>
        <v>1331.33</v>
      </c>
      <c r="F415" s="2">
        <f>IFERROR(__xludf.DUMMYFUNCTION("""COMPUTED_VALUE"""),3108700.0)</f>
        <v>3108700</v>
      </c>
      <c r="G415" s="2">
        <f t="shared" si="1"/>
        <v>14.96</v>
      </c>
    </row>
    <row r="416" ht="15.75" customHeight="1">
      <c r="A416" s="1">
        <f>IFERROR(__xludf.DUMMYFUNCTION("""COMPUTED_VALUE"""),44455.625)</f>
        <v>44455.625</v>
      </c>
      <c r="B416" s="2">
        <f>IFERROR(__xludf.DUMMYFUNCTION("""COMPUTED_VALUE"""),1341.3)</f>
        <v>1341.3</v>
      </c>
      <c r="C416" s="2">
        <f>IFERROR(__xludf.DUMMYFUNCTION("""COMPUTED_VALUE"""),1341.3)</f>
        <v>1341.3</v>
      </c>
      <c r="D416" s="2">
        <f>IFERROR(__xludf.DUMMYFUNCTION("""COMPUTED_VALUE"""),1326.34)</f>
        <v>1326.34</v>
      </c>
      <c r="E416" s="2">
        <f>IFERROR(__xludf.DUMMYFUNCTION("""COMPUTED_VALUE"""),1336.31)</f>
        <v>1336.31</v>
      </c>
      <c r="F416" s="2">
        <f>IFERROR(__xludf.DUMMYFUNCTION("""COMPUTED_VALUE"""),2869400.0)</f>
        <v>2869400</v>
      </c>
      <c r="G416" s="2">
        <f t="shared" si="1"/>
        <v>14.96</v>
      </c>
    </row>
    <row r="417" ht="15.75" customHeight="1">
      <c r="A417" s="1">
        <f>IFERROR(__xludf.DUMMYFUNCTION("""COMPUTED_VALUE"""),44456.625)</f>
        <v>44456.625</v>
      </c>
      <c r="B417" s="2">
        <f>IFERROR(__xludf.DUMMYFUNCTION("""COMPUTED_VALUE"""),1336.31)</f>
        <v>1336.31</v>
      </c>
      <c r="C417" s="2">
        <f>IFERROR(__xludf.DUMMYFUNCTION("""COMPUTED_VALUE"""),1371.22)</f>
        <v>1371.22</v>
      </c>
      <c r="D417" s="2">
        <f>IFERROR(__xludf.DUMMYFUNCTION("""COMPUTED_VALUE"""),1336.31)</f>
        <v>1336.31</v>
      </c>
      <c r="E417" s="2">
        <f>IFERROR(__xludf.DUMMYFUNCTION("""COMPUTED_VALUE"""),1346.29)</f>
        <v>1346.29</v>
      </c>
      <c r="F417" s="2">
        <f>IFERROR(__xludf.DUMMYFUNCTION("""COMPUTED_VALUE"""),9527600.0)</f>
        <v>9527600</v>
      </c>
      <c r="G417" s="2">
        <f t="shared" si="1"/>
        <v>34.91</v>
      </c>
    </row>
    <row r="418" ht="15.75" customHeight="1">
      <c r="A418" s="1">
        <f>IFERROR(__xludf.DUMMYFUNCTION("""COMPUTED_VALUE"""),44459.625)</f>
        <v>44459.625</v>
      </c>
      <c r="B418" s="2">
        <f>IFERROR(__xludf.DUMMYFUNCTION("""COMPUTED_VALUE"""),1346.29)</f>
        <v>1346.29</v>
      </c>
      <c r="C418" s="2">
        <f>IFERROR(__xludf.DUMMYFUNCTION("""COMPUTED_VALUE"""),1356.26)</f>
        <v>1356.26</v>
      </c>
      <c r="D418" s="2">
        <f>IFERROR(__xludf.DUMMYFUNCTION("""COMPUTED_VALUE"""),1311.38)</f>
        <v>1311.38</v>
      </c>
      <c r="E418" s="2">
        <f>IFERROR(__xludf.DUMMYFUNCTION("""COMPUTED_VALUE"""),1336.31)</f>
        <v>1336.31</v>
      </c>
      <c r="F418" s="2">
        <f>IFERROR(__xludf.DUMMYFUNCTION("""COMPUTED_VALUE"""),4820100.0)</f>
        <v>4820100</v>
      </c>
      <c r="G418" s="2">
        <f t="shared" si="1"/>
        <v>44.88</v>
      </c>
    </row>
    <row r="419" ht="15.75" customHeight="1">
      <c r="A419" s="1">
        <f>IFERROR(__xludf.DUMMYFUNCTION("""COMPUTED_VALUE"""),44460.625)</f>
        <v>44460.625</v>
      </c>
      <c r="B419" s="2">
        <f>IFERROR(__xludf.DUMMYFUNCTION("""COMPUTED_VALUE"""),1331.33)</f>
        <v>1331.33</v>
      </c>
      <c r="C419" s="2">
        <f>IFERROR(__xludf.DUMMYFUNCTION("""COMPUTED_VALUE"""),1336.31)</f>
        <v>1336.31</v>
      </c>
      <c r="D419" s="2">
        <f>IFERROR(__xludf.DUMMYFUNCTION("""COMPUTED_VALUE"""),1306.4)</f>
        <v>1306.4</v>
      </c>
      <c r="E419" s="2">
        <f>IFERROR(__xludf.DUMMYFUNCTION("""COMPUTED_VALUE"""),1326.34)</f>
        <v>1326.34</v>
      </c>
      <c r="F419" s="2">
        <f>IFERROR(__xludf.DUMMYFUNCTION("""COMPUTED_VALUE"""),2752000.0)</f>
        <v>2752000</v>
      </c>
      <c r="G419" s="2">
        <f t="shared" si="1"/>
        <v>29.91</v>
      </c>
    </row>
    <row r="420" ht="15.75" customHeight="1">
      <c r="A420" s="1">
        <f>IFERROR(__xludf.DUMMYFUNCTION("""COMPUTED_VALUE"""),44461.625)</f>
        <v>44461.625</v>
      </c>
      <c r="B420" s="2">
        <f>IFERROR(__xludf.DUMMYFUNCTION("""COMPUTED_VALUE"""),1336.31)</f>
        <v>1336.31</v>
      </c>
      <c r="C420" s="2">
        <f>IFERROR(__xludf.DUMMYFUNCTION("""COMPUTED_VALUE"""),1346.29)</f>
        <v>1346.29</v>
      </c>
      <c r="D420" s="2">
        <f>IFERROR(__xludf.DUMMYFUNCTION("""COMPUTED_VALUE"""),1321.35)</f>
        <v>1321.35</v>
      </c>
      <c r="E420" s="2">
        <f>IFERROR(__xludf.DUMMYFUNCTION("""COMPUTED_VALUE"""),1341.3)</f>
        <v>1341.3</v>
      </c>
      <c r="F420" s="2">
        <f>IFERROR(__xludf.DUMMYFUNCTION("""COMPUTED_VALUE"""),2152400.0)</f>
        <v>2152400</v>
      </c>
      <c r="G420" s="2">
        <f t="shared" si="1"/>
        <v>24.94</v>
      </c>
    </row>
    <row r="421" ht="15.75" customHeight="1">
      <c r="A421" s="1">
        <f>IFERROR(__xludf.DUMMYFUNCTION("""COMPUTED_VALUE"""),44462.625)</f>
        <v>44462.625</v>
      </c>
      <c r="B421" s="2">
        <f>IFERROR(__xludf.DUMMYFUNCTION("""COMPUTED_VALUE"""),1341.3)</f>
        <v>1341.3</v>
      </c>
      <c r="C421" s="2">
        <f>IFERROR(__xludf.DUMMYFUNCTION("""COMPUTED_VALUE"""),1366.23)</f>
        <v>1366.23</v>
      </c>
      <c r="D421" s="2">
        <f>IFERROR(__xludf.DUMMYFUNCTION("""COMPUTED_VALUE"""),1326.34)</f>
        <v>1326.34</v>
      </c>
      <c r="E421" s="2">
        <f>IFERROR(__xludf.DUMMYFUNCTION("""COMPUTED_VALUE"""),1366.23)</f>
        <v>1366.23</v>
      </c>
      <c r="F421" s="2">
        <f>IFERROR(__xludf.DUMMYFUNCTION("""COMPUTED_VALUE"""),6480400.0)</f>
        <v>6480400</v>
      </c>
      <c r="G421" s="2">
        <f t="shared" si="1"/>
        <v>39.89</v>
      </c>
    </row>
    <row r="422" ht="15.75" customHeight="1">
      <c r="A422" s="1">
        <f>IFERROR(__xludf.DUMMYFUNCTION("""COMPUTED_VALUE"""),44463.625)</f>
        <v>44463.625</v>
      </c>
      <c r="B422" s="2">
        <f>IFERROR(__xludf.DUMMYFUNCTION("""COMPUTED_VALUE"""),1361.24)</f>
        <v>1361.24</v>
      </c>
      <c r="C422" s="2">
        <f>IFERROR(__xludf.DUMMYFUNCTION("""COMPUTED_VALUE"""),1371.22)</f>
        <v>1371.22</v>
      </c>
      <c r="D422" s="2">
        <f>IFERROR(__xludf.DUMMYFUNCTION("""COMPUTED_VALUE"""),1331.33)</f>
        <v>1331.33</v>
      </c>
      <c r="E422" s="2">
        <f>IFERROR(__xludf.DUMMYFUNCTION("""COMPUTED_VALUE"""),1336.31)</f>
        <v>1336.31</v>
      </c>
      <c r="F422" s="2">
        <f>IFERROR(__xludf.DUMMYFUNCTION("""COMPUTED_VALUE"""),4515800.0)</f>
        <v>4515800</v>
      </c>
      <c r="G422" s="2">
        <f t="shared" si="1"/>
        <v>39.89</v>
      </c>
    </row>
    <row r="423" ht="15.75" customHeight="1">
      <c r="A423" s="1">
        <f>IFERROR(__xludf.DUMMYFUNCTION("""COMPUTED_VALUE"""),44466.625)</f>
        <v>44466.625</v>
      </c>
      <c r="B423" s="2">
        <f>IFERROR(__xludf.DUMMYFUNCTION("""COMPUTED_VALUE"""),1356.26)</f>
        <v>1356.26</v>
      </c>
      <c r="C423" s="2">
        <f>IFERROR(__xludf.DUMMYFUNCTION("""COMPUTED_VALUE"""),1371.22)</f>
        <v>1371.22</v>
      </c>
      <c r="D423" s="2">
        <f>IFERROR(__xludf.DUMMYFUNCTION("""COMPUTED_VALUE"""),1336.31)</f>
        <v>1336.31</v>
      </c>
      <c r="E423" s="2">
        <f>IFERROR(__xludf.DUMMYFUNCTION("""COMPUTED_VALUE"""),1356.26)</f>
        <v>1356.26</v>
      </c>
      <c r="F423" s="2">
        <f>IFERROR(__xludf.DUMMYFUNCTION("""COMPUTED_VALUE"""),2156100.0)</f>
        <v>2156100</v>
      </c>
      <c r="G423" s="2">
        <f t="shared" si="1"/>
        <v>34.91</v>
      </c>
    </row>
    <row r="424" ht="15.75" customHeight="1">
      <c r="A424" s="1">
        <f>IFERROR(__xludf.DUMMYFUNCTION("""COMPUTED_VALUE"""),44467.625)</f>
        <v>44467.625</v>
      </c>
      <c r="B424" s="2">
        <f>IFERROR(__xludf.DUMMYFUNCTION("""COMPUTED_VALUE"""),1356.26)</f>
        <v>1356.26</v>
      </c>
      <c r="C424" s="2">
        <f>IFERROR(__xludf.DUMMYFUNCTION("""COMPUTED_VALUE"""),1356.26)</f>
        <v>1356.26</v>
      </c>
      <c r="D424" s="2">
        <f>IFERROR(__xludf.DUMMYFUNCTION("""COMPUTED_VALUE"""),1326.34)</f>
        <v>1326.34</v>
      </c>
      <c r="E424" s="2">
        <f>IFERROR(__xludf.DUMMYFUNCTION("""COMPUTED_VALUE"""),1331.33)</f>
        <v>1331.33</v>
      </c>
      <c r="F424" s="2">
        <f>IFERROR(__xludf.DUMMYFUNCTION("""COMPUTED_VALUE"""),2965100.0)</f>
        <v>2965100</v>
      </c>
      <c r="G424" s="2">
        <f t="shared" si="1"/>
        <v>29.92</v>
      </c>
    </row>
    <row r="425" ht="15.75" customHeight="1">
      <c r="A425" s="1">
        <f>IFERROR(__xludf.DUMMYFUNCTION("""COMPUTED_VALUE"""),44468.625)</f>
        <v>44468.625</v>
      </c>
      <c r="B425" s="2">
        <f>IFERROR(__xludf.DUMMYFUNCTION("""COMPUTED_VALUE"""),1341.3)</f>
        <v>1341.3</v>
      </c>
      <c r="C425" s="2">
        <f>IFERROR(__xludf.DUMMYFUNCTION("""COMPUTED_VALUE"""),1346.29)</f>
        <v>1346.29</v>
      </c>
      <c r="D425" s="2">
        <f>IFERROR(__xludf.DUMMYFUNCTION("""COMPUTED_VALUE"""),1316.37)</f>
        <v>1316.37</v>
      </c>
      <c r="E425" s="2">
        <f>IFERROR(__xludf.DUMMYFUNCTION("""COMPUTED_VALUE"""),1336.31)</f>
        <v>1336.31</v>
      </c>
      <c r="F425" s="2">
        <f>IFERROR(__xludf.DUMMYFUNCTION("""COMPUTED_VALUE"""),2822900.0)</f>
        <v>2822900</v>
      </c>
      <c r="G425" s="2">
        <f t="shared" si="1"/>
        <v>29.92</v>
      </c>
    </row>
    <row r="426" ht="15.75" customHeight="1">
      <c r="A426" s="1">
        <f>IFERROR(__xludf.DUMMYFUNCTION("""COMPUTED_VALUE"""),44469.625)</f>
        <v>44469.625</v>
      </c>
      <c r="B426" s="2">
        <f>IFERROR(__xludf.DUMMYFUNCTION("""COMPUTED_VALUE"""),1336.31)</f>
        <v>1336.31</v>
      </c>
      <c r="C426" s="2">
        <f>IFERROR(__xludf.DUMMYFUNCTION("""COMPUTED_VALUE"""),1361.24)</f>
        <v>1361.24</v>
      </c>
      <c r="D426" s="2">
        <f>IFERROR(__xludf.DUMMYFUNCTION("""COMPUTED_VALUE"""),1336.31)</f>
        <v>1336.31</v>
      </c>
      <c r="E426" s="2">
        <f>IFERROR(__xludf.DUMMYFUNCTION("""COMPUTED_VALUE"""),1356.26)</f>
        <v>1356.26</v>
      </c>
      <c r="F426" s="2">
        <f>IFERROR(__xludf.DUMMYFUNCTION("""COMPUTED_VALUE"""),2720200.0)</f>
        <v>2720200</v>
      </c>
      <c r="G426" s="2">
        <f t="shared" si="1"/>
        <v>24.93</v>
      </c>
    </row>
    <row r="427" ht="15.75" customHeight="1">
      <c r="A427" s="1">
        <f>IFERROR(__xludf.DUMMYFUNCTION("""COMPUTED_VALUE"""),44470.625)</f>
        <v>44470.625</v>
      </c>
      <c r="B427" s="2">
        <f>IFERROR(__xludf.DUMMYFUNCTION("""COMPUTED_VALUE"""),1356.26)</f>
        <v>1356.26</v>
      </c>
      <c r="C427" s="2">
        <f>IFERROR(__xludf.DUMMYFUNCTION("""COMPUTED_VALUE"""),1426.07)</f>
        <v>1426.07</v>
      </c>
      <c r="D427" s="2">
        <f>IFERROR(__xludf.DUMMYFUNCTION("""COMPUTED_VALUE"""),1341.3)</f>
        <v>1341.3</v>
      </c>
      <c r="E427" s="2">
        <f>IFERROR(__xludf.DUMMYFUNCTION("""COMPUTED_VALUE"""),1401.13)</f>
        <v>1401.13</v>
      </c>
      <c r="F427" s="2">
        <f>IFERROR(__xludf.DUMMYFUNCTION("""COMPUTED_VALUE"""),1.51666E7)</f>
        <v>15166600</v>
      </c>
      <c r="G427" s="2">
        <f t="shared" si="1"/>
        <v>84.77</v>
      </c>
    </row>
    <row r="428" ht="15.75" customHeight="1">
      <c r="A428" s="1">
        <f>IFERROR(__xludf.DUMMYFUNCTION("""COMPUTED_VALUE"""),44473.625)</f>
        <v>44473.625</v>
      </c>
      <c r="B428" s="2">
        <f>IFERROR(__xludf.DUMMYFUNCTION("""COMPUTED_VALUE"""),1401.13)</f>
        <v>1401.13</v>
      </c>
      <c r="C428" s="2">
        <f>IFERROR(__xludf.DUMMYFUNCTION("""COMPUTED_VALUE"""),1451.0)</f>
        <v>1451</v>
      </c>
      <c r="D428" s="2">
        <f>IFERROR(__xludf.DUMMYFUNCTION("""COMPUTED_VALUE"""),1386.18)</f>
        <v>1386.18</v>
      </c>
      <c r="E428" s="2">
        <f>IFERROR(__xludf.DUMMYFUNCTION("""COMPUTED_VALUE"""),1446.01)</f>
        <v>1446.01</v>
      </c>
      <c r="F428" s="2">
        <f>IFERROR(__xludf.DUMMYFUNCTION("""COMPUTED_VALUE"""),1.31349E7)</f>
        <v>13134900</v>
      </c>
      <c r="G428" s="2">
        <f t="shared" si="1"/>
        <v>64.82</v>
      </c>
    </row>
    <row r="429" ht="15.75" customHeight="1">
      <c r="A429" s="1">
        <f>IFERROR(__xludf.DUMMYFUNCTION("""COMPUTED_VALUE"""),44474.625)</f>
        <v>44474.625</v>
      </c>
      <c r="B429" s="2">
        <f>IFERROR(__xludf.DUMMYFUNCTION("""COMPUTED_VALUE"""),1446.01)</f>
        <v>1446.01</v>
      </c>
      <c r="C429" s="2">
        <f>IFERROR(__xludf.DUMMYFUNCTION("""COMPUTED_VALUE"""),1446.01)</f>
        <v>1446.01</v>
      </c>
      <c r="D429" s="2">
        <f>IFERROR(__xludf.DUMMYFUNCTION("""COMPUTED_VALUE"""),1416.09)</f>
        <v>1416.09</v>
      </c>
      <c r="E429" s="2">
        <f>IFERROR(__xludf.DUMMYFUNCTION("""COMPUTED_VALUE"""),1421.08)</f>
        <v>1421.08</v>
      </c>
      <c r="F429" s="2">
        <f>IFERROR(__xludf.DUMMYFUNCTION("""COMPUTED_VALUE"""),5271400.0)</f>
        <v>5271400</v>
      </c>
      <c r="G429" s="2">
        <f t="shared" si="1"/>
        <v>29.92</v>
      </c>
    </row>
    <row r="430" ht="15.75" customHeight="1">
      <c r="A430" s="1">
        <f>IFERROR(__xludf.DUMMYFUNCTION("""COMPUTED_VALUE"""),44475.625)</f>
        <v>44475.625</v>
      </c>
      <c r="B430" s="2">
        <f>IFERROR(__xludf.DUMMYFUNCTION("""COMPUTED_VALUE"""),1431.05)</f>
        <v>1431.05</v>
      </c>
      <c r="C430" s="2">
        <f>IFERROR(__xludf.DUMMYFUNCTION("""COMPUTED_VALUE"""),1470.94)</f>
        <v>1470.94</v>
      </c>
      <c r="D430" s="2">
        <f>IFERROR(__xludf.DUMMYFUNCTION("""COMPUTED_VALUE"""),1411.11)</f>
        <v>1411.11</v>
      </c>
      <c r="E430" s="2">
        <f>IFERROR(__xludf.DUMMYFUNCTION("""COMPUTED_VALUE"""),1421.08)</f>
        <v>1421.08</v>
      </c>
      <c r="F430" s="2">
        <f>IFERROR(__xludf.DUMMYFUNCTION("""COMPUTED_VALUE"""),1.70348E7)</f>
        <v>17034800</v>
      </c>
      <c r="G430" s="2">
        <f t="shared" si="1"/>
        <v>59.83</v>
      </c>
    </row>
    <row r="431" ht="15.75" customHeight="1">
      <c r="A431" s="1">
        <f>IFERROR(__xludf.DUMMYFUNCTION("""COMPUTED_VALUE"""),44476.625)</f>
        <v>44476.625</v>
      </c>
      <c r="B431" s="2">
        <f>IFERROR(__xludf.DUMMYFUNCTION("""COMPUTED_VALUE"""),1396.15)</f>
        <v>1396.15</v>
      </c>
      <c r="C431" s="2">
        <f>IFERROR(__xludf.DUMMYFUNCTION("""COMPUTED_VALUE"""),1436.04)</f>
        <v>1436.04</v>
      </c>
      <c r="D431" s="2">
        <f>IFERROR(__xludf.DUMMYFUNCTION("""COMPUTED_VALUE"""),1396.15)</f>
        <v>1396.15</v>
      </c>
      <c r="E431" s="2">
        <f>IFERROR(__xludf.DUMMYFUNCTION("""COMPUTED_VALUE"""),1406.12)</f>
        <v>1406.12</v>
      </c>
      <c r="F431" s="2">
        <f>IFERROR(__xludf.DUMMYFUNCTION("""COMPUTED_VALUE"""),7299600.0)</f>
        <v>7299600</v>
      </c>
      <c r="G431" s="2">
        <f t="shared" si="1"/>
        <v>39.89</v>
      </c>
    </row>
    <row r="432" ht="15.75" customHeight="1">
      <c r="A432" s="1">
        <f>IFERROR(__xludf.DUMMYFUNCTION("""COMPUTED_VALUE"""),44477.625)</f>
        <v>44477.625</v>
      </c>
      <c r="B432" s="2">
        <f>IFERROR(__xludf.DUMMYFUNCTION("""COMPUTED_VALUE"""),1406.12)</f>
        <v>1406.12</v>
      </c>
      <c r="C432" s="2">
        <f>IFERROR(__xludf.DUMMYFUNCTION("""COMPUTED_VALUE"""),1431.05)</f>
        <v>1431.05</v>
      </c>
      <c r="D432" s="2">
        <f>IFERROR(__xludf.DUMMYFUNCTION("""COMPUTED_VALUE"""),1406.12)</f>
        <v>1406.12</v>
      </c>
      <c r="E432" s="2">
        <f>IFERROR(__xludf.DUMMYFUNCTION("""COMPUTED_VALUE"""),1426.07)</f>
        <v>1426.07</v>
      </c>
      <c r="F432" s="2">
        <f>IFERROR(__xludf.DUMMYFUNCTION("""COMPUTED_VALUE"""),3824400.0)</f>
        <v>3824400</v>
      </c>
      <c r="G432" s="2">
        <f t="shared" si="1"/>
        <v>24.93</v>
      </c>
    </row>
    <row r="433" ht="15.75" customHeight="1">
      <c r="A433" s="1">
        <f>IFERROR(__xludf.DUMMYFUNCTION("""COMPUTED_VALUE"""),44480.625)</f>
        <v>44480.625</v>
      </c>
      <c r="B433" s="2">
        <f>IFERROR(__xludf.DUMMYFUNCTION("""COMPUTED_VALUE"""),1441.02)</f>
        <v>1441.02</v>
      </c>
      <c r="C433" s="2">
        <f>IFERROR(__xludf.DUMMYFUNCTION("""COMPUTED_VALUE"""),1441.02)</f>
        <v>1441.02</v>
      </c>
      <c r="D433" s="2">
        <f>IFERROR(__xludf.DUMMYFUNCTION("""COMPUTED_VALUE"""),1426.07)</f>
        <v>1426.07</v>
      </c>
      <c r="E433" s="2">
        <f>IFERROR(__xludf.DUMMYFUNCTION("""COMPUTED_VALUE"""),1431.05)</f>
        <v>1431.05</v>
      </c>
      <c r="F433" s="2">
        <f>IFERROR(__xludf.DUMMYFUNCTION("""COMPUTED_VALUE"""),3151300.0)</f>
        <v>3151300</v>
      </c>
      <c r="G433" s="2">
        <f t="shared" si="1"/>
        <v>14.95</v>
      </c>
    </row>
    <row r="434" ht="15.75" customHeight="1">
      <c r="A434" s="1">
        <f>IFERROR(__xludf.DUMMYFUNCTION("""COMPUTED_VALUE"""),44481.66666666667)</f>
        <v>44481.66667</v>
      </c>
      <c r="B434" s="2">
        <f>IFERROR(__xludf.DUMMYFUNCTION("""COMPUTED_VALUE"""),1431.05)</f>
        <v>1431.05</v>
      </c>
      <c r="C434" s="2">
        <f>IFERROR(__xludf.DUMMYFUNCTION("""COMPUTED_VALUE"""),1460.97)</f>
        <v>1460.97</v>
      </c>
      <c r="D434" s="2">
        <f>IFERROR(__xludf.DUMMYFUNCTION("""COMPUTED_VALUE"""),1426.07)</f>
        <v>1426.07</v>
      </c>
      <c r="E434" s="2">
        <f>IFERROR(__xludf.DUMMYFUNCTION("""COMPUTED_VALUE"""),1455.98)</f>
        <v>1455.98</v>
      </c>
      <c r="F434" s="2">
        <f>IFERROR(__xludf.DUMMYFUNCTION("""COMPUTED_VALUE"""),8147600.0)</f>
        <v>8147600</v>
      </c>
      <c r="G434" s="2">
        <f t="shared" si="1"/>
        <v>34.9</v>
      </c>
    </row>
    <row r="435" ht="15.75" customHeight="1">
      <c r="A435" s="1">
        <f>IFERROR(__xludf.DUMMYFUNCTION("""COMPUTED_VALUE"""),44482.625)</f>
        <v>44482.625</v>
      </c>
      <c r="B435" s="2">
        <f>IFERROR(__xludf.DUMMYFUNCTION("""COMPUTED_VALUE"""),1460.97)</f>
        <v>1460.97</v>
      </c>
      <c r="C435" s="2">
        <f>IFERROR(__xludf.DUMMYFUNCTION("""COMPUTED_VALUE"""),1470.94)</f>
        <v>1470.94</v>
      </c>
      <c r="D435" s="2">
        <f>IFERROR(__xludf.DUMMYFUNCTION("""COMPUTED_VALUE"""),1446.01)</f>
        <v>1446.01</v>
      </c>
      <c r="E435" s="2">
        <f>IFERROR(__xludf.DUMMYFUNCTION("""COMPUTED_VALUE"""),1470.94)</f>
        <v>1470.94</v>
      </c>
      <c r="F435" s="2">
        <f>IFERROR(__xludf.DUMMYFUNCTION("""COMPUTED_VALUE"""),9430300.0)</f>
        <v>9430300</v>
      </c>
      <c r="G435" s="2">
        <f t="shared" si="1"/>
        <v>24.93</v>
      </c>
    </row>
    <row r="436" ht="15.75" customHeight="1">
      <c r="A436" s="1">
        <f>IFERROR(__xludf.DUMMYFUNCTION("""COMPUTED_VALUE"""),44483.66666666667)</f>
        <v>44483.66667</v>
      </c>
      <c r="B436" s="2">
        <f>IFERROR(__xludf.DUMMYFUNCTION("""COMPUTED_VALUE"""),1470.94)</f>
        <v>1470.94</v>
      </c>
      <c r="C436" s="2">
        <f>IFERROR(__xludf.DUMMYFUNCTION("""COMPUTED_VALUE"""),1515.82)</f>
        <v>1515.82</v>
      </c>
      <c r="D436" s="2">
        <f>IFERROR(__xludf.DUMMYFUNCTION("""COMPUTED_VALUE"""),1470.94)</f>
        <v>1470.94</v>
      </c>
      <c r="E436" s="2">
        <f>IFERROR(__xludf.DUMMYFUNCTION("""COMPUTED_VALUE"""),1475.93)</f>
        <v>1475.93</v>
      </c>
      <c r="F436" s="2">
        <f>IFERROR(__xludf.DUMMYFUNCTION("""COMPUTED_VALUE"""),8568700.0)</f>
        <v>8568700</v>
      </c>
      <c r="G436" s="2">
        <f t="shared" si="1"/>
        <v>44.88</v>
      </c>
    </row>
    <row r="437" ht="15.75" customHeight="1">
      <c r="A437" s="1">
        <f>IFERROR(__xludf.DUMMYFUNCTION("""COMPUTED_VALUE"""),44484.66666666667)</f>
        <v>44484.66667</v>
      </c>
      <c r="B437" s="2">
        <f>IFERROR(__xludf.DUMMYFUNCTION("""COMPUTED_VALUE"""),1480.91)</f>
        <v>1480.91</v>
      </c>
      <c r="C437" s="2">
        <f>IFERROR(__xludf.DUMMYFUNCTION("""COMPUTED_VALUE"""),1490.89)</f>
        <v>1490.89</v>
      </c>
      <c r="D437" s="2">
        <f>IFERROR(__xludf.DUMMYFUNCTION("""COMPUTED_VALUE"""),1460.97)</f>
        <v>1460.97</v>
      </c>
      <c r="E437" s="2">
        <f>IFERROR(__xludf.DUMMYFUNCTION("""COMPUTED_VALUE"""),1475.93)</f>
        <v>1475.93</v>
      </c>
      <c r="F437" s="2">
        <f>IFERROR(__xludf.DUMMYFUNCTION("""COMPUTED_VALUE"""),6916700.0)</f>
        <v>6916700</v>
      </c>
      <c r="G437" s="2">
        <f t="shared" si="1"/>
        <v>29.92</v>
      </c>
    </row>
    <row r="438" ht="15.75" customHeight="1">
      <c r="A438" s="1">
        <f>IFERROR(__xludf.DUMMYFUNCTION("""COMPUTED_VALUE"""),44487.625)</f>
        <v>44487.625</v>
      </c>
      <c r="B438" s="2">
        <f>IFERROR(__xludf.DUMMYFUNCTION("""COMPUTED_VALUE"""),1475.93)</f>
        <v>1475.93</v>
      </c>
      <c r="C438" s="2">
        <f>IFERROR(__xludf.DUMMYFUNCTION("""COMPUTED_VALUE"""),1505.85)</f>
        <v>1505.85</v>
      </c>
      <c r="D438" s="2">
        <f>IFERROR(__xludf.DUMMYFUNCTION("""COMPUTED_VALUE"""),1470.94)</f>
        <v>1470.94</v>
      </c>
      <c r="E438" s="2">
        <f>IFERROR(__xludf.DUMMYFUNCTION("""COMPUTED_VALUE"""),1490.89)</f>
        <v>1490.89</v>
      </c>
      <c r="F438" s="2">
        <f>IFERROR(__xludf.DUMMYFUNCTION("""COMPUTED_VALUE"""),9007600.0)</f>
        <v>9007600</v>
      </c>
      <c r="G438" s="2">
        <f t="shared" si="1"/>
        <v>34.91</v>
      </c>
    </row>
    <row r="439" ht="15.75" customHeight="1">
      <c r="A439" s="1">
        <f>IFERROR(__xludf.DUMMYFUNCTION("""COMPUTED_VALUE"""),44488.625)</f>
        <v>44488.625</v>
      </c>
      <c r="B439" s="2">
        <f>IFERROR(__xludf.DUMMYFUNCTION("""COMPUTED_VALUE"""),1490.89)</f>
        <v>1490.89</v>
      </c>
      <c r="C439" s="2">
        <f>IFERROR(__xludf.DUMMYFUNCTION("""COMPUTED_VALUE"""),1500.86)</f>
        <v>1500.86</v>
      </c>
      <c r="D439" s="2">
        <f>IFERROR(__xludf.DUMMYFUNCTION("""COMPUTED_VALUE"""),1465.96)</f>
        <v>1465.96</v>
      </c>
      <c r="E439" s="2">
        <f>IFERROR(__xludf.DUMMYFUNCTION("""COMPUTED_VALUE"""),1465.96)</f>
        <v>1465.96</v>
      </c>
      <c r="F439" s="2">
        <f>IFERROR(__xludf.DUMMYFUNCTION("""COMPUTED_VALUE"""),4507200.0)</f>
        <v>4507200</v>
      </c>
      <c r="G439" s="2">
        <f t="shared" si="1"/>
        <v>34.9</v>
      </c>
    </row>
    <row r="440" ht="15.75" customHeight="1">
      <c r="A440" s="1">
        <f>IFERROR(__xludf.DUMMYFUNCTION("""COMPUTED_VALUE"""),44490.625)</f>
        <v>44490.625</v>
      </c>
      <c r="B440" s="2">
        <f>IFERROR(__xludf.DUMMYFUNCTION("""COMPUTED_VALUE"""),1465.96)</f>
        <v>1465.96</v>
      </c>
      <c r="C440" s="2">
        <f>IFERROR(__xludf.DUMMYFUNCTION("""COMPUTED_VALUE"""),1475.93)</f>
        <v>1475.93</v>
      </c>
      <c r="D440" s="2">
        <f>IFERROR(__xludf.DUMMYFUNCTION("""COMPUTED_VALUE"""),1396.15)</f>
        <v>1396.15</v>
      </c>
      <c r="E440" s="2">
        <f>IFERROR(__xludf.DUMMYFUNCTION("""COMPUTED_VALUE"""),1396.15)</f>
        <v>1396.15</v>
      </c>
      <c r="F440" s="2">
        <f>IFERROR(__xludf.DUMMYFUNCTION("""COMPUTED_VALUE"""),5.50186E7)</f>
        <v>55018600</v>
      </c>
      <c r="G440" s="2">
        <f t="shared" si="1"/>
        <v>79.78</v>
      </c>
    </row>
    <row r="441" ht="15.75" customHeight="1">
      <c r="A441" s="1">
        <f>IFERROR(__xludf.DUMMYFUNCTION("""COMPUTED_VALUE"""),44491.625)</f>
        <v>44491.625</v>
      </c>
      <c r="B441" s="2">
        <f>IFERROR(__xludf.DUMMYFUNCTION("""COMPUTED_VALUE"""),1396.15)</f>
        <v>1396.15</v>
      </c>
      <c r="C441" s="2">
        <f>IFERROR(__xludf.DUMMYFUNCTION("""COMPUTED_VALUE"""),1436.04)</f>
        <v>1436.04</v>
      </c>
      <c r="D441" s="2">
        <f>IFERROR(__xludf.DUMMYFUNCTION("""COMPUTED_VALUE"""),1396.15)</f>
        <v>1396.15</v>
      </c>
      <c r="E441" s="2">
        <f>IFERROR(__xludf.DUMMYFUNCTION("""COMPUTED_VALUE"""),1436.04)</f>
        <v>1436.04</v>
      </c>
      <c r="F441" s="2">
        <f>IFERROR(__xludf.DUMMYFUNCTION("""COMPUTED_VALUE"""),5599800.0)</f>
        <v>5599800</v>
      </c>
      <c r="G441" s="2">
        <f t="shared" si="1"/>
        <v>39.89</v>
      </c>
    </row>
    <row r="442" ht="15.75" customHeight="1">
      <c r="A442" s="1">
        <f>IFERROR(__xludf.DUMMYFUNCTION("""COMPUTED_VALUE"""),44494.625)</f>
        <v>44494.625</v>
      </c>
      <c r="B442" s="2">
        <f>IFERROR(__xludf.DUMMYFUNCTION("""COMPUTED_VALUE"""),1436.04)</f>
        <v>1436.04</v>
      </c>
      <c r="C442" s="2">
        <f>IFERROR(__xludf.DUMMYFUNCTION("""COMPUTED_VALUE"""),1441.02)</f>
        <v>1441.02</v>
      </c>
      <c r="D442" s="2">
        <f>IFERROR(__xludf.DUMMYFUNCTION("""COMPUTED_VALUE"""),1411.11)</f>
        <v>1411.11</v>
      </c>
      <c r="E442" s="2">
        <f>IFERROR(__xludf.DUMMYFUNCTION("""COMPUTED_VALUE"""),1421.08)</f>
        <v>1421.08</v>
      </c>
      <c r="F442" s="2">
        <f>IFERROR(__xludf.DUMMYFUNCTION("""COMPUTED_VALUE"""),6171200.0)</f>
        <v>6171200</v>
      </c>
      <c r="G442" s="2">
        <f t="shared" si="1"/>
        <v>29.91</v>
      </c>
    </row>
    <row r="443" ht="15.75" customHeight="1">
      <c r="A443" s="1">
        <f>IFERROR(__xludf.DUMMYFUNCTION("""COMPUTED_VALUE"""),44495.625)</f>
        <v>44495.625</v>
      </c>
      <c r="B443" s="2">
        <f>IFERROR(__xludf.DUMMYFUNCTION("""COMPUTED_VALUE"""),1431.05)</f>
        <v>1431.05</v>
      </c>
      <c r="C443" s="2">
        <f>IFERROR(__xludf.DUMMYFUNCTION("""COMPUTED_VALUE"""),1436.04)</f>
        <v>1436.04</v>
      </c>
      <c r="D443" s="2">
        <f>IFERROR(__xludf.DUMMYFUNCTION("""COMPUTED_VALUE"""),1421.08)</f>
        <v>1421.08</v>
      </c>
      <c r="E443" s="2">
        <f>IFERROR(__xludf.DUMMYFUNCTION("""COMPUTED_VALUE"""),1426.07)</f>
        <v>1426.07</v>
      </c>
      <c r="F443" s="2">
        <f>IFERROR(__xludf.DUMMYFUNCTION("""COMPUTED_VALUE"""),3329700.0)</f>
        <v>3329700</v>
      </c>
      <c r="G443" s="2">
        <f t="shared" si="1"/>
        <v>14.96</v>
      </c>
    </row>
    <row r="444" ht="15.75" customHeight="1">
      <c r="A444" s="1">
        <f>IFERROR(__xludf.DUMMYFUNCTION("""COMPUTED_VALUE"""),44496.625)</f>
        <v>44496.625</v>
      </c>
      <c r="B444" s="2">
        <f>IFERROR(__xludf.DUMMYFUNCTION("""COMPUTED_VALUE"""),1426.07)</f>
        <v>1426.07</v>
      </c>
      <c r="C444" s="2">
        <f>IFERROR(__xludf.DUMMYFUNCTION("""COMPUTED_VALUE"""),1446.01)</f>
        <v>1446.01</v>
      </c>
      <c r="D444" s="2">
        <f>IFERROR(__xludf.DUMMYFUNCTION("""COMPUTED_VALUE"""),1416.09)</f>
        <v>1416.09</v>
      </c>
      <c r="E444" s="2">
        <f>IFERROR(__xludf.DUMMYFUNCTION("""COMPUTED_VALUE"""),1421.08)</f>
        <v>1421.08</v>
      </c>
      <c r="F444" s="2">
        <f>IFERROR(__xludf.DUMMYFUNCTION("""COMPUTED_VALUE"""),5794000.0)</f>
        <v>5794000</v>
      </c>
      <c r="G444" s="2">
        <f t="shared" si="1"/>
        <v>29.92</v>
      </c>
    </row>
    <row r="445" ht="15.75" customHeight="1">
      <c r="A445" s="1">
        <f>IFERROR(__xludf.DUMMYFUNCTION("""COMPUTED_VALUE"""),44497.625)</f>
        <v>44497.625</v>
      </c>
      <c r="B445" s="2">
        <f>IFERROR(__xludf.DUMMYFUNCTION("""COMPUTED_VALUE"""),1421.08)</f>
        <v>1421.08</v>
      </c>
      <c r="C445" s="2">
        <f>IFERROR(__xludf.DUMMYFUNCTION("""COMPUTED_VALUE"""),1426.07)</f>
        <v>1426.07</v>
      </c>
      <c r="D445" s="2">
        <f>IFERROR(__xludf.DUMMYFUNCTION("""COMPUTED_VALUE"""),1401.13)</f>
        <v>1401.13</v>
      </c>
      <c r="E445" s="2">
        <f>IFERROR(__xludf.DUMMYFUNCTION("""COMPUTED_VALUE"""),1416.09)</f>
        <v>1416.09</v>
      </c>
      <c r="F445" s="2">
        <f>IFERROR(__xludf.DUMMYFUNCTION("""COMPUTED_VALUE"""),6295500.0)</f>
        <v>6295500</v>
      </c>
      <c r="G445" s="2">
        <f t="shared" si="1"/>
        <v>24.94</v>
      </c>
    </row>
    <row r="446" ht="15.75" customHeight="1">
      <c r="A446" s="1">
        <f>IFERROR(__xludf.DUMMYFUNCTION("""COMPUTED_VALUE"""),44498.625)</f>
        <v>44498.625</v>
      </c>
      <c r="B446" s="2">
        <f>IFERROR(__xludf.DUMMYFUNCTION("""COMPUTED_VALUE"""),1421.08)</f>
        <v>1421.08</v>
      </c>
      <c r="C446" s="2">
        <f>IFERROR(__xludf.DUMMYFUNCTION("""COMPUTED_VALUE"""),1426.07)</f>
        <v>1426.07</v>
      </c>
      <c r="D446" s="2">
        <f>IFERROR(__xludf.DUMMYFUNCTION("""COMPUTED_VALUE"""),1411.11)</f>
        <v>1411.11</v>
      </c>
      <c r="E446" s="2">
        <f>IFERROR(__xludf.DUMMYFUNCTION("""COMPUTED_VALUE"""),1421.08)</f>
        <v>1421.08</v>
      </c>
      <c r="F446" s="2">
        <f>IFERROR(__xludf.DUMMYFUNCTION("""COMPUTED_VALUE"""),2817900.0)</f>
        <v>2817900</v>
      </c>
      <c r="G446" s="2">
        <f t="shared" si="1"/>
        <v>14.96</v>
      </c>
    </row>
    <row r="447" ht="15.75" customHeight="1">
      <c r="A447" s="1">
        <f>IFERROR(__xludf.DUMMYFUNCTION("""COMPUTED_VALUE"""),44501.625)</f>
        <v>44501.625</v>
      </c>
      <c r="B447" s="2">
        <f>IFERROR(__xludf.DUMMYFUNCTION("""COMPUTED_VALUE"""),1421.08)</f>
        <v>1421.08</v>
      </c>
      <c r="C447" s="2">
        <f>IFERROR(__xludf.DUMMYFUNCTION("""COMPUTED_VALUE"""),1451.0)</f>
        <v>1451</v>
      </c>
      <c r="D447" s="2">
        <f>IFERROR(__xludf.DUMMYFUNCTION("""COMPUTED_VALUE"""),1421.08)</f>
        <v>1421.08</v>
      </c>
      <c r="E447" s="2">
        <f>IFERROR(__xludf.DUMMYFUNCTION("""COMPUTED_VALUE"""),1441.02)</f>
        <v>1441.02</v>
      </c>
      <c r="F447" s="2">
        <f>IFERROR(__xludf.DUMMYFUNCTION("""COMPUTED_VALUE"""),5827300.0)</f>
        <v>5827300</v>
      </c>
      <c r="G447" s="2">
        <f t="shared" si="1"/>
        <v>29.92</v>
      </c>
    </row>
    <row r="448" ht="15.75" customHeight="1">
      <c r="A448" s="1">
        <f>IFERROR(__xludf.DUMMYFUNCTION("""COMPUTED_VALUE"""),44502.625)</f>
        <v>44502.625</v>
      </c>
      <c r="B448" s="2">
        <f>IFERROR(__xludf.DUMMYFUNCTION("""COMPUTED_VALUE"""),1441.02)</f>
        <v>1441.02</v>
      </c>
      <c r="C448" s="2">
        <f>IFERROR(__xludf.DUMMYFUNCTION("""COMPUTED_VALUE"""),1455.98)</f>
        <v>1455.98</v>
      </c>
      <c r="D448" s="2">
        <f>IFERROR(__xludf.DUMMYFUNCTION("""COMPUTED_VALUE"""),1411.11)</f>
        <v>1411.11</v>
      </c>
      <c r="E448" s="2">
        <f>IFERROR(__xludf.DUMMYFUNCTION("""COMPUTED_VALUE"""),1411.11)</f>
        <v>1411.11</v>
      </c>
      <c r="F448" s="2">
        <f>IFERROR(__xludf.DUMMYFUNCTION("""COMPUTED_VALUE"""),5433000.0)</f>
        <v>5433000</v>
      </c>
      <c r="G448" s="2">
        <f t="shared" si="1"/>
        <v>44.87</v>
      </c>
    </row>
    <row r="449" ht="15.75" customHeight="1">
      <c r="A449" s="1">
        <f>IFERROR(__xludf.DUMMYFUNCTION("""COMPUTED_VALUE"""),44503.625)</f>
        <v>44503.625</v>
      </c>
      <c r="B449" s="2">
        <f>IFERROR(__xludf.DUMMYFUNCTION("""COMPUTED_VALUE"""),1426.07)</f>
        <v>1426.07</v>
      </c>
      <c r="C449" s="2">
        <f>IFERROR(__xludf.DUMMYFUNCTION("""COMPUTED_VALUE"""),1441.02)</f>
        <v>1441.02</v>
      </c>
      <c r="D449" s="2">
        <f>IFERROR(__xludf.DUMMYFUNCTION("""COMPUTED_VALUE"""),1406.12)</f>
        <v>1406.12</v>
      </c>
      <c r="E449" s="2">
        <f>IFERROR(__xludf.DUMMYFUNCTION("""COMPUTED_VALUE"""),1416.09)</f>
        <v>1416.09</v>
      </c>
      <c r="F449" s="2">
        <f>IFERROR(__xludf.DUMMYFUNCTION("""COMPUTED_VALUE"""),2448200.0)</f>
        <v>2448200</v>
      </c>
      <c r="G449" s="2">
        <f t="shared" si="1"/>
        <v>34.9</v>
      </c>
    </row>
    <row r="450" ht="15.75" customHeight="1">
      <c r="A450" s="1">
        <f>IFERROR(__xludf.DUMMYFUNCTION("""COMPUTED_VALUE"""),44504.66666666667)</f>
        <v>44504.66667</v>
      </c>
      <c r="B450" s="2">
        <f>IFERROR(__xludf.DUMMYFUNCTION("""COMPUTED_VALUE"""),1421.08)</f>
        <v>1421.08</v>
      </c>
      <c r="C450" s="2">
        <f>IFERROR(__xludf.DUMMYFUNCTION("""COMPUTED_VALUE"""),1436.04)</f>
        <v>1436.04</v>
      </c>
      <c r="D450" s="2">
        <f>IFERROR(__xludf.DUMMYFUNCTION("""COMPUTED_VALUE"""),1416.09)</f>
        <v>1416.09</v>
      </c>
      <c r="E450" s="2">
        <f>IFERROR(__xludf.DUMMYFUNCTION("""COMPUTED_VALUE"""),1436.04)</f>
        <v>1436.04</v>
      </c>
      <c r="F450" s="2">
        <f>IFERROR(__xludf.DUMMYFUNCTION("""COMPUTED_VALUE"""),1348100.0)</f>
        <v>1348100</v>
      </c>
      <c r="G450" s="2">
        <f t="shared" si="1"/>
        <v>19.95</v>
      </c>
    </row>
    <row r="451" ht="15.75" customHeight="1">
      <c r="A451" s="1">
        <f>IFERROR(__xludf.DUMMYFUNCTION("""COMPUTED_VALUE"""),44505.625)</f>
        <v>44505.625</v>
      </c>
      <c r="B451" s="2">
        <f>IFERROR(__xludf.DUMMYFUNCTION("""COMPUTED_VALUE"""),1436.04)</f>
        <v>1436.04</v>
      </c>
      <c r="C451" s="2">
        <f>IFERROR(__xludf.DUMMYFUNCTION("""COMPUTED_VALUE"""),1436.04)</f>
        <v>1436.04</v>
      </c>
      <c r="D451" s="2">
        <f>IFERROR(__xludf.DUMMYFUNCTION("""COMPUTED_VALUE"""),1416.09)</f>
        <v>1416.09</v>
      </c>
      <c r="E451" s="2">
        <f>IFERROR(__xludf.DUMMYFUNCTION("""COMPUTED_VALUE"""),1416.09)</f>
        <v>1416.09</v>
      </c>
      <c r="F451" s="2">
        <f>IFERROR(__xludf.DUMMYFUNCTION("""COMPUTED_VALUE"""),3266000.0)</f>
        <v>3266000</v>
      </c>
      <c r="G451" s="2">
        <f t="shared" si="1"/>
        <v>19.95</v>
      </c>
    </row>
    <row r="452" ht="15.75" customHeight="1">
      <c r="A452" s="1">
        <f>IFERROR(__xludf.DUMMYFUNCTION("""COMPUTED_VALUE"""),44508.625)</f>
        <v>44508.625</v>
      </c>
      <c r="B452" s="2">
        <f>IFERROR(__xludf.DUMMYFUNCTION("""COMPUTED_VALUE"""),1426.07)</f>
        <v>1426.07</v>
      </c>
      <c r="C452" s="2">
        <f>IFERROR(__xludf.DUMMYFUNCTION("""COMPUTED_VALUE"""),1426.07)</f>
        <v>1426.07</v>
      </c>
      <c r="D452" s="2">
        <f>IFERROR(__xludf.DUMMYFUNCTION("""COMPUTED_VALUE"""),1411.11)</f>
        <v>1411.11</v>
      </c>
      <c r="E452" s="2">
        <f>IFERROR(__xludf.DUMMYFUNCTION("""COMPUTED_VALUE"""),1416.09)</f>
        <v>1416.09</v>
      </c>
      <c r="F452" s="2">
        <f>IFERROR(__xludf.DUMMYFUNCTION("""COMPUTED_VALUE"""),2796700.0)</f>
        <v>2796700</v>
      </c>
      <c r="G452" s="2">
        <f t="shared" si="1"/>
        <v>14.96</v>
      </c>
    </row>
    <row r="453" ht="15.75" customHeight="1">
      <c r="A453" s="1">
        <f>IFERROR(__xludf.DUMMYFUNCTION("""COMPUTED_VALUE"""),44509.625)</f>
        <v>44509.625</v>
      </c>
      <c r="B453" s="2">
        <f>IFERROR(__xludf.DUMMYFUNCTION("""COMPUTED_VALUE"""),1411.11)</f>
        <v>1411.11</v>
      </c>
      <c r="C453" s="2">
        <f>IFERROR(__xludf.DUMMYFUNCTION("""COMPUTED_VALUE"""),1426.07)</f>
        <v>1426.07</v>
      </c>
      <c r="D453" s="2">
        <f>IFERROR(__xludf.DUMMYFUNCTION("""COMPUTED_VALUE"""),1411.11)</f>
        <v>1411.11</v>
      </c>
      <c r="E453" s="2">
        <f>IFERROR(__xludf.DUMMYFUNCTION("""COMPUTED_VALUE"""),1426.07)</f>
        <v>1426.07</v>
      </c>
      <c r="F453" s="2">
        <f>IFERROR(__xludf.DUMMYFUNCTION("""COMPUTED_VALUE"""),1674900.0)</f>
        <v>1674900</v>
      </c>
      <c r="G453" s="2">
        <f t="shared" si="1"/>
        <v>14.96</v>
      </c>
    </row>
    <row r="454" ht="15.75" customHeight="1">
      <c r="A454" s="1">
        <f>IFERROR(__xludf.DUMMYFUNCTION("""COMPUTED_VALUE"""),44510.625)</f>
        <v>44510.625</v>
      </c>
      <c r="B454" s="2">
        <f>IFERROR(__xludf.DUMMYFUNCTION("""COMPUTED_VALUE"""),1426.07)</f>
        <v>1426.07</v>
      </c>
      <c r="C454" s="2">
        <f>IFERROR(__xludf.DUMMYFUNCTION("""COMPUTED_VALUE"""),1426.07)</f>
        <v>1426.07</v>
      </c>
      <c r="D454" s="2">
        <f>IFERROR(__xludf.DUMMYFUNCTION("""COMPUTED_VALUE"""),1416.09)</f>
        <v>1416.09</v>
      </c>
      <c r="E454" s="2">
        <f>IFERROR(__xludf.DUMMYFUNCTION("""COMPUTED_VALUE"""),1421.08)</f>
        <v>1421.08</v>
      </c>
      <c r="F454" s="2">
        <f>IFERROR(__xludf.DUMMYFUNCTION("""COMPUTED_VALUE"""),1975700.0)</f>
        <v>1975700</v>
      </c>
      <c r="G454" s="2">
        <f t="shared" si="1"/>
        <v>9.98</v>
      </c>
    </row>
    <row r="455" ht="15.75" customHeight="1">
      <c r="A455" s="1">
        <f>IFERROR(__xludf.DUMMYFUNCTION("""COMPUTED_VALUE"""),44511.625)</f>
        <v>44511.625</v>
      </c>
      <c r="B455" s="2">
        <f>IFERROR(__xludf.DUMMYFUNCTION("""COMPUTED_VALUE"""),1426.07)</f>
        <v>1426.07</v>
      </c>
      <c r="C455" s="2">
        <f>IFERROR(__xludf.DUMMYFUNCTION("""COMPUTED_VALUE"""),1426.07)</f>
        <v>1426.07</v>
      </c>
      <c r="D455" s="2">
        <f>IFERROR(__xludf.DUMMYFUNCTION("""COMPUTED_VALUE"""),1396.15)</f>
        <v>1396.15</v>
      </c>
      <c r="E455" s="2">
        <f>IFERROR(__xludf.DUMMYFUNCTION("""COMPUTED_VALUE"""),1401.13)</f>
        <v>1401.13</v>
      </c>
      <c r="F455" s="2">
        <f>IFERROR(__xludf.DUMMYFUNCTION("""COMPUTED_VALUE"""),8123100.0)</f>
        <v>8123100</v>
      </c>
      <c r="G455" s="2">
        <f t="shared" si="1"/>
        <v>29.92</v>
      </c>
    </row>
    <row r="456" ht="15.75" customHeight="1">
      <c r="A456" s="1">
        <f>IFERROR(__xludf.DUMMYFUNCTION("""COMPUTED_VALUE"""),44512.625)</f>
        <v>44512.625</v>
      </c>
      <c r="B456" s="2">
        <f>IFERROR(__xludf.DUMMYFUNCTION("""COMPUTED_VALUE"""),1406.12)</f>
        <v>1406.12</v>
      </c>
      <c r="C456" s="2">
        <f>IFERROR(__xludf.DUMMYFUNCTION("""COMPUTED_VALUE"""),1416.09)</f>
        <v>1416.09</v>
      </c>
      <c r="D456" s="2">
        <f>IFERROR(__xludf.DUMMYFUNCTION("""COMPUTED_VALUE"""),1401.13)</f>
        <v>1401.13</v>
      </c>
      <c r="E456" s="2">
        <f>IFERROR(__xludf.DUMMYFUNCTION("""COMPUTED_VALUE"""),1401.13)</f>
        <v>1401.13</v>
      </c>
      <c r="F456" s="2">
        <f>IFERROR(__xludf.DUMMYFUNCTION("""COMPUTED_VALUE"""),2915000.0)</f>
        <v>2915000</v>
      </c>
      <c r="G456" s="2">
        <f t="shared" si="1"/>
        <v>14.96</v>
      </c>
    </row>
    <row r="457" ht="15.75" customHeight="1">
      <c r="A457" s="1">
        <f>IFERROR(__xludf.DUMMYFUNCTION("""COMPUTED_VALUE"""),44515.625)</f>
        <v>44515.625</v>
      </c>
      <c r="B457" s="2">
        <f>IFERROR(__xludf.DUMMYFUNCTION("""COMPUTED_VALUE"""),1406.12)</f>
        <v>1406.12</v>
      </c>
      <c r="C457" s="2">
        <f>IFERROR(__xludf.DUMMYFUNCTION("""COMPUTED_VALUE"""),1406.12)</f>
        <v>1406.12</v>
      </c>
      <c r="D457" s="2">
        <f>IFERROR(__xludf.DUMMYFUNCTION("""COMPUTED_VALUE"""),1376.2)</f>
        <v>1376.2</v>
      </c>
      <c r="E457" s="2">
        <f>IFERROR(__xludf.DUMMYFUNCTION("""COMPUTED_VALUE"""),1381.19)</f>
        <v>1381.19</v>
      </c>
      <c r="F457" s="2">
        <f>IFERROR(__xludf.DUMMYFUNCTION("""COMPUTED_VALUE"""),4903200.0)</f>
        <v>4903200</v>
      </c>
      <c r="G457" s="2">
        <f t="shared" si="1"/>
        <v>29.92</v>
      </c>
    </row>
    <row r="458" ht="15.75" customHeight="1">
      <c r="A458" s="1">
        <f>IFERROR(__xludf.DUMMYFUNCTION("""COMPUTED_VALUE"""),44516.625)</f>
        <v>44516.625</v>
      </c>
      <c r="B458" s="2">
        <f>IFERROR(__xludf.DUMMYFUNCTION("""COMPUTED_VALUE"""),1376.2)</f>
        <v>1376.2</v>
      </c>
      <c r="C458" s="2">
        <f>IFERROR(__xludf.DUMMYFUNCTION("""COMPUTED_VALUE"""),1381.19)</f>
        <v>1381.19</v>
      </c>
      <c r="D458" s="2">
        <f>IFERROR(__xludf.DUMMYFUNCTION("""COMPUTED_VALUE"""),1366.23)</f>
        <v>1366.23</v>
      </c>
      <c r="E458" s="2">
        <f>IFERROR(__xludf.DUMMYFUNCTION("""COMPUTED_VALUE"""),1381.19)</f>
        <v>1381.19</v>
      </c>
      <c r="F458" s="2">
        <f>IFERROR(__xludf.DUMMYFUNCTION("""COMPUTED_VALUE"""),3276900.0)</f>
        <v>3276900</v>
      </c>
      <c r="G458" s="2">
        <f t="shared" si="1"/>
        <v>14.96</v>
      </c>
    </row>
    <row r="459" ht="15.75" customHeight="1">
      <c r="A459" s="1">
        <f>IFERROR(__xludf.DUMMYFUNCTION("""COMPUTED_VALUE"""),44517.625)</f>
        <v>44517.625</v>
      </c>
      <c r="B459" s="2">
        <f>IFERROR(__xludf.DUMMYFUNCTION("""COMPUTED_VALUE"""),1381.19)</f>
        <v>1381.19</v>
      </c>
      <c r="C459" s="2">
        <f>IFERROR(__xludf.DUMMYFUNCTION("""COMPUTED_VALUE"""),1386.18)</f>
        <v>1386.18</v>
      </c>
      <c r="D459" s="2">
        <f>IFERROR(__xludf.DUMMYFUNCTION("""COMPUTED_VALUE"""),1371.22)</f>
        <v>1371.22</v>
      </c>
      <c r="E459" s="2">
        <f>IFERROR(__xludf.DUMMYFUNCTION("""COMPUTED_VALUE"""),1386.18)</f>
        <v>1386.18</v>
      </c>
      <c r="F459" s="2">
        <f>IFERROR(__xludf.DUMMYFUNCTION("""COMPUTED_VALUE"""),1885600.0)</f>
        <v>1885600</v>
      </c>
      <c r="G459" s="2">
        <f t="shared" si="1"/>
        <v>14.96</v>
      </c>
    </row>
    <row r="460" ht="15.75" customHeight="1">
      <c r="A460" s="1">
        <f>IFERROR(__xludf.DUMMYFUNCTION("""COMPUTED_VALUE"""),44518.625)</f>
        <v>44518.625</v>
      </c>
      <c r="B460" s="2">
        <f>IFERROR(__xludf.DUMMYFUNCTION("""COMPUTED_VALUE"""),1396.15)</f>
        <v>1396.15</v>
      </c>
      <c r="C460" s="2">
        <f>IFERROR(__xludf.DUMMYFUNCTION("""COMPUTED_VALUE"""),1396.15)</f>
        <v>1396.15</v>
      </c>
      <c r="D460" s="2">
        <f>IFERROR(__xludf.DUMMYFUNCTION("""COMPUTED_VALUE"""),1381.19)</f>
        <v>1381.19</v>
      </c>
      <c r="E460" s="2">
        <f>IFERROR(__xludf.DUMMYFUNCTION("""COMPUTED_VALUE"""),1396.15)</f>
        <v>1396.15</v>
      </c>
      <c r="F460" s="2">
        <f>IFERROR(__xludf.DUMMYFUNCTION("""COMPUTED_VALUE"""),2339100.0)</f>
        <v>2339100</v>
      </c>
      <c r="G460" s="2">
        <f t="shared" si="1"/>
        <v>14.96</v>
      </c>
    </row>
    <row r="461" ht="15.75" customHeight="1">
      <c r="A461" s="1">
        <f>IFERROR(__xludf.DUMMYFUNCTION("""COMPUTED_VALUE"""),44519.625)</f>
        <v>44519.625</v>
      </c>
      <c r="B461" s="2">
        <f>IFERROR(__xludf.DUMMYFUNCTION("""COMPUTED_VALUE"""),1396.15)</f>
        <v>1396.15</v>
      </c>
      <c r="C461" s="2">
        <f>IFERROR(__xludf.DUMMYFUNCTION("""COMPUTED_VALUE"""),1396.15)</f>
        <v>1396.15</v>
      </c>
      <c r="D461" s="2">
        <f>IFERROR(__xludf.DUMMYFUNCTION("""COMPUTED_VALUE"""),1386.18)</f>
        <v>1386.18</v>
      </c>
      <c r="E461" s="2">
        <f>IFERROR(__xludf.DUMMYFUNCTION("""COMPUTED_VALUE"""),1391.16)</f>
        <v>1391.16</v>
      </c>
      <c r="F461" s="2">
        <f>IFERROR(__xludf.DUMMYFUNCTION("""COMPUTED_VALUE"""),2044800.0)</f>
        <v>2044800</v>
      </c>
      <c r="G461" s="2">
        <f t="shared" si="1"/>
        <v>9.97</v>
      </c>
    </row>
    <row r="462" ht="15.75" customHeight="1">
      <c r="A462" s="1">
        <f>IFERROR(__xludf.DUMMYFUNCTION("""COMPUTED_VALUE"""),44522.625)</f>
        <v>44522.625</v>
      </c>
      <c r="B462" s="2">
        <f>IFERROR(__xludf.DUMMYFUNCTION("""COMPUTED_VALUE"""),1396.15)</f>
        <v>1396.15</v>
      </c>
      <c r="C462" s="2">
        <f>IFERROR(__xludf.DUMMYFUNCTION("""COMPUTED_VALUE"""),1421.08)</f>
        <v>1421.08</v>
      </c>
      <c r="D462" s="2">
        <f>IFERROR(__xludf.DUMMYFUNCTION("""COMPUTED_VALUE"""),1391.16)</f>
        <v>1391.16</v>
      </c>
      <c r="E462" s="2">
        <f>IFERROR(__xludf.DUMMYFUNCTION("""COMPUTED_VALUE"""),1411.11)</f>
        <v>1411.11</v>
      </c>
      <c r="F462" s="2">
        <f>IFERROR(__xludf.DUMMYFUNCTION("""COMPUTED_VALUE"""),4976000.0)</f>
        <v>4976000</v>
      </c>
      <c r="G462" s="2">
        <f t="shared" si="1"/>
        <v>29.92</v>
      </c>
    </row>
    <row r="463" ht="15.75" customHeight="1">
      <c r="A463" s="1">
        <f>IFERROR(__xludf.DUMMYFUNCTION("""COMPUTED_VALUE"""),44523.625)</f>
        <v>44523.625</v>
      </c>
      <c r="B463" s="2">
        <f>IFERROR(__xludf.DUMMYFUNCTION("""COMPUTED_VALUE"""),1411.11)</f>
        <v>1411.11</v>
      </c>
      <c r="C463" s="2">
        <f>IFERROR(__xludf.DUMMYFUNCTION("""COMPUTED_VALUE"""),1416.09)</f>
        <v>1416.09</v>
      </c>
      <c r="D463" s="2">
        <f>IFERROR(__xludf.DUMMYFUNCTION("""COMPUTED_VALUE"""),1396.15)</f>
        <v>1396.15</v>
      </c>
      <c r="E463" s="2">
        <f>IFERROR(__xludf.DUMMYFUNCTION("""COMPUTED_VALUE"""),1411.11)</f>
        <v>1411.11</v>
      </c>
      <c r="F463" s="2">
        <f>IFERROR(__xludf.DUMMYFUNCTION("""COMPUTED_VALUE"""),2315400.0)</f>
        <v>2315400</v>
      </c>
      <c r="G463" s="2">
        <f t="shared" si="1"/>
        <v>19.94</v>
      </c>
    </row>
    <row r="464" ht="15.75" customHeight="1">
      <c r="A464" s="1">
        <f>IFERROR(__xludf.DUMMYFUNCTION("""COMPUTED_VALUE"""),44524.625)</f>
        <v>44524.625</v>
      </c>
      <c r="B464" s="2">
        <f>IFERROR(__xludf.DUMMYFUNCTION("""COMPUTED_VALUE"""),1411.11)</f>
        <v>1411.11</v>
      </c>
      <c r="C464" s="2">
        <f>IFERROR(__xludf.DUMMYFUNCTION("""COMPUTED_VALUE"""),1411.11)</f>
        <v>1411.11</v>
      </c>
      <c r="D464" s="2">
        <f>IFERROR(__xludf.DUMMYFUNCTION("""COMPUTED_VALUE"""),1391.16)</f>
        <v>1391.16</v>
      </c>
      <c r="E464" s="2">
        <f>IFERROR(__xludf.DUMMYFUNCTION("""COMPUTED_VALUE"""),1391.16)</f>
        <v>1391.16</v>
      </c>
      <c r="F464" s="2">
        <f>IFERROR(__xludf.DUMMYFUNCTION("""COMPUTED_VALUE"""),3105200.0)</f>
        <v>3105200</v>
      </c>
      <c r="G464" s="2">
        <f t="shared" si="1"/>
        <v>19.95</v>
      </c>
    </row>
    <row r="465" ht="15.75" customHeight="1">
      <c r="A465" s="1">
        <f>IFERROR(__xludf.DUMMYFUNCTION("""COMPUTED_VALUE"""),44525.625)</f>
        <v>44525.625</v>
      </c>
      <c r="B465" s="2">
        <f>IFERROR(__xludf.DUMMYFUNCTION("""COMPUTED_VALUE"""),1386.18)</f>
        <v>1386.18</v>
      </c>
      <c r="C465" s="2">
        <f>IFERROR(__xludf.DUMMYFUNCTION("""COMPUTED_VALUE"""),1421.08)</f>
        <v>1421.08</v>
      </c>
      <c r="D465" s="2">
        <f>IFERROR(__xludf.DUMMYFUNCTION("""COMPUTED_VALUE"""),1381.19)</f>
        <v>1381.19</v>
      </c>
      <c r="E465" s="2">
        <f>IFERROR(__xludf.DUMMYFUNCTION("""COMPUTED_VALUE"""),1406.12)</f>
        <v>1406.12</v>
      </c>
      <c r="F465" s="2">
        <f>IFERROR(__xludf.DUMMYFUNCTION("""COMPUTED_VALUE"""),1.08501E7)</f>
        <v>10850100</v>
      </c>
      <c r="G465" s="2">
        <f t="shared" si="1"/>
        <v>39.89</v>
      </c>
    </row>
    <row r="466" ht="15.75" customHeight="1">
      <c r="A466" s="1">
        <f>IFERROR(__xludf.DUMMYFUNCTION("""COMPUTED_VALUE"""),44526.625)</f>
        <v>44526.625</v>
      </c>
      <c r="B466" s="2">
        <f>IFERROR(__xludf.DUMMYFUNCTION("""COMPUTED_VALUE"""),1406.12)</f>
        <v>1406.12</v>
      </c>
      <c r="C466" s="2">
        <f>IFERROR(__xludf.DUMMYFUNCTION("""COMPUTED_VALUE"""),1411.11)</f>
        <v>1411.11</v>
      </c>
      <c r="D466" s="2">
        <f>IFERROR(__xludf.DUMMYFUNCTION("""COMPUTED_VALUE"""),1386.18)</f>
        <v>1386.18</v>
      </c>
      <c r="E466" s="2">
        <f>IFERROR(__xludf.DUMMYFUNCTION("""COMPUTED_VALUE"""),1391.16)</f>
        <v>1391.16</v>
      </c>
      <c r="F466" s="2">
        <f>IFERROR(__xludf.DUMMYFUNCTION("""COMPUTED_VALUE"""),5430300.0)</f>
        <v>5430300</v>
      </c>
      <c r="G466" s="2">
        <f t="shared" si="1"/>
        <v>24.93</v>
      </c>
    </row>
    <row r="467" ht="15.75" customHeight="1">
      <c r="A467" s="1">
        <f>IFERROR(__xludf.DUMMYFUNCTION("""COMPUTED_VALUE"""),44529.625)</f>
        <v>44529.625</v>
      </c>
      <c r="B467" s="2">
        <f>IFERROR(__xludf.DUMMYFUNCTION("""COMPUTED_VALUE"""),1386.18)</f>
        <v>1386.18</v>
      </c>
      <c r="C467" s="2">
        <f>IFERROR(__xludf.DUMMYFUNCTION("""COMPUTED_VALUE"""),1386.18)</f>
        <v>1386.18</v>
      </c>
      <c r="D467" s="2">
        <f>IFERROR(__xludf.DUMMYFUNCTION("""COMPUTED_VALUE"""),1341.3)</f>
        <v>1341.3</v>
      </c>
      <c r="E467" s="2">
        <f>IFERROR(__xludf.DUMMYFUNCTION("""COMPUTED_VALUE"""),1356.26)</f>
        <v>1356.26</v>
      </c>
      <c r="F467" s="2">
        <f>IFERROR(__xludf.DUMMYFUNCTION("""COMPUTED_VALUE"""),9123300.0)</f>
        <v>9123300</v>
      </c>
      <c r="G467" s="2">
        <f t="shared" si="1"/>
        <v>49.86</v>
      </c>
    </row>
    <row r="468" ht="15.75" customHeight="1">
      <c r="A468" s="1">
        <f>IFERROR(__xludf.DUMMYFUNCTION("""COMPUTED_VALUE"""),44530.625)</f>
        <v>44530.625</v>
      </c>
      <c r="B468" s="2">
        <f>IFERROR(__xludf.DUMMYFUNCTION("""COMPUTED_VALUE"""),1356.26)</f>
        <v>1356.26</v>
      </c>
      <c r="C468" s="2">
        <f>IFERROR(__xludf.DUMMYFUNCTION("""COMPUTED_VALUE"""),1371.22)</f>
        <v>1371.22</v>
      </c>
      <c r="D468" s="2">
        <f>IFERROR(__xludf.DUMMYFUNCTION("""COMPUTED_VALUE"""),1341.3)</f>
        <v>1341.3</v>
      </c>
      <c r="E468" s="2">
        <f>IFERROR(__xludf.DUMMYFUNCTION("""COMPUTED_VALUE"""),1356.26)</f>
        <v>1356.26</v>
      </c>
      <c r="F468" s="2">
        <f>IFERROR(__xludf.DUMMYFUNCTION("""COMPUTED_VALUE"""),3907600.0)</f>
        <v>3907600</v>
      </c>
      <c r="G468" s="2">
        <f t="shared" si="1"/>
        <v>29.92</v>
      </c>
    </row>
    <row r="469" ht="15.75" customHeight="1">
      <c r="A469" s="1">
        <f>IFERROR(__xludf.DUMMYFUNCTION("""COMPUTED_VALUE"""),44531.66666666667)</f>
        <v>44531.66667</v>
      </c>
      <c r="B469" s="2">
        <f>IFERROR(__xludf.DUMMYFUNCTION("""COMPUTED_VALUE"""),1356.26)</f>
        <v>1356.26</v>
      </c>
      <c r="C469" s="2">
        <f>IFERROR(__xludf.DUMMYFUNCTION("""COMPUTED_VALUE"""),1356.26)</f>
        <v>1356.26</v>
      </c>
      <c r="D469" s="2">
        <f>IFERROR(__xludf.DUMMYFUNCTION("""COMPUTED_VALUE"""),1326.34)</f>
        <v>1326.34</v>
      </c>
      <c r="E469" s="2">
        <f>IFERROR(__xludf.DUMMYFUNCTION("""COMPUTED_VALUE"""),1341.3)</f>
        <v>1341.3</v>
      </c>
      <c r="F469" s="2">
        <f>IFERROR(__xludf.DUMMYFUNCTION("""COMPUTED_VALUE"""),3085900.0)</f>
        <v>3085900</v>
      </c>
      <c r="G469" s="2">
        <f t="shared" si="1"/>
        <v>29.92</v>
      </c>
    </row>
    <row r="470" ht="15.75" customHeight="1">
      <c r="A470" s="1">
        <f>IFERROR(__xludf.DUMMYFUNCTION("""COMPUTED_VALUE"""),44532.66666666667)</f>
        <v>44532.66667</v>
      </c>
      <c r="B470" s="2">
        <f>IFERROR(__xludf.DUMMYFUNCTION("""COMPUTED_VALUE"""),1331.33)</f>
        <v>1331.33</v>
      </c>
      <c r="C470" s="2">
        <f>IFERROR(__xludf.DUMMYFUNCTION("""COMPUTED_VALUE"""),1356.26)</f>
        <v>1356.26</v>
      </c>
      <c r="D470" s="2">
        <f>IFERROR(__xludf.DUMMYFUNCTION("""COMPUTED_VALUE"""),1326.34)</f>
        <v>1326.34</v>
      </c>
      <c r="E470" s="2">
        <f>IFERROR(__xludf.DUMMYFUNCTION("""COMPUTED_VALUE"""),1346.29)</f>
        <v>1346.29</v>
      </c>
      <c r="F470" s="2">
        <f>IFERROR(__xludf.DUMMYFUNCTION("""COMPUTED_VALUE"""),1864000.0)</f>
        <v>1864000</v>
      </c>
      <c r="G470" s="2">
        <f t="shared" si="1"/>
        <v>29.92</v>
      </c>
    </row>
    <row r="471" ht="15.75" customHeight="1">
      <c r="A471" s="1">
        <f>IFERROR(__xludf.DUMMYFUNCTION("""COMPUTED_VALUE"""),44533.66666666667)</f>
        <v>44533.66667</v>
      </c>
      <c r="B471" s="2">
        <f>IFERROR(__xludf.DUMMYFUNCTION("""COMPUTED_VALUE"""),1346.29)</f>
        <v>1346.29</v>
      </c>
      <c r="C471" s="2">
        <f>IFERROR(__xludf.DUMMYFUNCTION("""COMPUTED_VALUE"""),1376.2)</f>
        <v>1376.2</v>
      </c>
      <c r="D471" s="2">
        <f>IFERROR(__xludf.DUMMYFUNCTION("""COMPUTED_VALUE"""),1341.3)</f>
        <v>1341.3</v>
      </c>
      <c r="E471" s="2">
        <f>IFERROR(__xludf.DUMMYFUNCTION("""COMPUTED_VALUE"""),1371.22)</f>
        <v>1371.22</v>
      </c>
      <c r="F471" s="2">
        <f>IFERROR(__xludf.DUMMYFUNCTION("""COMPUTED_VALUE"""),3012000.0)</f>
        <v>3012000</v>
      </c>
      <c r="G471" s="2">
        <f t="shared" si="1"/>
        <v>34.9</v>
      </c>
    </row>
    <row r="472" ht="15.75" customHeight="1">
      <c r="A472" s="1">
        <f>IFERROR(__xludf.DUMMYFUNCTION("""COMPUTED_VALUE"""),44536.66666666667)</f>
        <v>44536.66667</v>
      </c>
      <c r="B472" s="2">
        <f>IFERROR(__xludf.DUMMYFUNCTION("""COMPUTED_VALUE"""),1376.2)</f>
        <v>1376.2</v>
      </c>
      <c r="C472" s="2">
        <f>IFERROR(__xludf.DUMMYFUNCTION("""COMPUTED_VALUE"""),1411.11)</f>
        <v>1411.11</v>
      </c>
      <c r="D472" s="2">
        <f>IFERROR(__xludf.DUMMYFUNCTION("""COMPUTED_VALUE"""),1366.23)</f>
        <v>1366.23</v>
      </c>
      <c r="E472" s="2">
        <f>IFERROR(__xludf.DUMMYFUNCTION("""COMPUTED_VALUE"""),1396.15)</f>
        <v>1396.15</v>
      </c>
      <c r="F472" s="2">
        <f>IFERROR(__xludf.DUMMYFUNCTION("""COMPUTED_VALUE"""),3270700.0)</f>
        <v>3270700</v>
      </c>
      <c r="G472" s="2">
        <f t="shared" si="1"/>
        <v>44.88</v>
      </c>
    </row>
    <row r="473" ht="15.75" customHeight="1">
      <c r="A473" s="1">
        <f>IFERROR(__xludf.DUMMYFUNCTION("""COMPUTED_VALUE"""),44537.66666666667)</f>
        <v>44537.66667</v>
      </c>
      <c r="B473" s="2">
        <f>IFERROR(__xludf.DUMMYFUNCTION("""COMPUTED_VALUE"""),1391.16)</f>
        <v>1391.16</v>
      </c>
      <c r="C473" s="2">
        <f>IFERROR(__xludf.DUMMYFUNCTION("""COMPUTED_VALUE"""),1426.07)</f>
        <v>1426.07</v>
      </c>
      <c r="D473" s="2">
        <f>IFERROR(__xludf.DUMMYFUNCTION("""COMPUTED_VALUE"""),1391.16)</f>
        <v>1391.16</v>
      </c>
      <c r="E473" s="2">
        <f>IFERROR(__xludf.DUMMYFUNCTION("""COMPUTED_VALUE"""),1411.11)</f>
        <v>1411.11</v>
      </c>
      <c r="F473" s="2">
        <f>IFERROR(__xludf.DUMMYFUNCTION("""COMPUTED_VALUE"""),4361600.0)</f>
        <v>4361600</v>
      </c>
      <c r="G473" s="2">
        <f t="shared" si="1"/>
        <v>34.91</v>
      </c>
    </row>
    <row r="474" ht="15.75" customHeight="1">
      <c r="A474" s="1">
        <f>IFERROR(__xludf.DUMMYFUNCTION("""COMPUTED_VALUE"""),44538.66666666667)</f>
        <v>44538.66667</v>
      </c>
      <c r="B474" s="2">
        <f>IFERROR(__xludf.DUMMYFUNCTION("""COMPUTED_VALUE"""),1416.09)</f>
        <v>1416.09</v>
      </c>
      <c r="C474" s="2">
        <f>IFERROR(__xludf.DUMMYFUNCTION("""COMPUTED_VALUE"""),1421.08)</f>
        <v>1421.08</v>
      </c>
      <c r="D474" s="2">
        <f>IFERROR(__xludf.DUMMYFUNCTION("""COMPUTED_VALUE"""),1401.13)</f>
        <v>1401.13</v>
      </c>
      <c r="E474" s="2">
        <f>IFERROR(__xludf.DUMMYFUNCTION("""COMPUTED_VALUE"""),1406.12)</f>
        <v>1406.12</v>
      </c>
      <c r="F474" s="2">
        <f>IFERROR(__xludf.DUMMYFUNCTION("""COMPUTED_VALUE"""),1100600.0)</f>
        <v>1100600</v>
      </c>
      <c r="G474" s="2">
        <f t="shared" si="1"/>
        <v>19.95</v>
      </c>
    </row>
    <row r="475" ht="15.75" customHeight="1">
      <c r="A475" s="1">
        <f>IFERROR(__xludf.DUMMYFUNCTION("""COMPUTED_VALUE"""),44539.66666666667)</f>
        <v>44539.66667</v>
      </c>
      <c r="B475" s="2">
        <f>IFERROR(__xludf.DUMMYFUNCTION("""COMPUTED_VALUE"""),1406.12)</f>
        <v>1406.12</v>
      </c>
      <c r="C475" s="2">
        <f>IFERROR(__xludf.DUMMYFUNCTION("""COMPUTED_VALUE"""),1416.09)</f>
        <v>1416.09</v>
      </c>
      <c r="D475" s="2">
        <f>IFERROR(__xludf.DUMMYFUNCTION("""COMPUTED_VALUE"""),1396.15)</f>
        <v>1396.15</v>
      </c>
      <c r="E475" s="2">
        <f>IFERROR(__xludf.DUMMYFUNCTION("""COMPUTED_VALUE"""),1411.11)</f>
        <v>1411.11</v>
      </c>
      <c r="F475" s="2">
        <f>IFERROR(__xludf.DUMMYFUNCTION("""COMPUTED_VALUE"""),1078900.0)</f>
        <v>1078900</v>
      </c>
      <c r="G475" s="2">
        <f t="shared" si="1"/>
        <v>19.94</v>
      </c>
    </row>
    <row r="476" ht="15.75" customHeight="1">
      <c r="A476" s="1">
        <f>IFERROR(__xludf.DUMMYFUNCTION("""COMPUTED_VALUE"""),44540.66666666667)</f>
        <v>44540.66667</v>
      </c>
      <c r="B476" s="2">
        <f>IFERROR(__xludf.DUMMYFUNCTION("""COMPUTED_VALUE"""),1406.12)</f>
        <v>1406.12</v>
      </c>
      <c r="C476" s="2">
        <f>IFERROR(__xludf.DUMMYFUNCTION("""COMPUTED_VALUE"""),1441.02)</f>
        <v>1441.02</v>
      </c>
      <c r="D476" s="2">
        <f>IFERROR(__xludf.DUMMYFUNCTION("""COMPUTED_VALUE"""),1376.2)</f>
        <v>1376.2</v>
      </c>
      <c r="E476" s="2">
        <f>IFERROR(__xludf.DUMMYFUNCTION("""COMPUTED_VALUE"""),1436.04)</f>
        <v>1436.04</v>
      </c>
      <c r="F476" s="2">
        <f>IFERROR(__xludf.DUMMYFUNCTION("""COMPUTED_VALUE"""),4915500.0)</f>
        <v>4915500</v>
      </c>
      <c r="G476" s="2">
        <f t="shared" si="1"/>
        <v>64.82</v>
      </c>
    </row>
    <row r="477" ht="15.75" customHeight="1">
      <c r="A477" s="1">
        <f>IFERROR(__xludf.DUMMYFUNCTION("""COMPUTED_VALUE"""),44543.66666666667)</f>
        <v>44543.66667</v>
      </c>
      <c r="B477" s="2">
        <f>IFERROR(__xludf.DUMMYFUNCTION("""COMPUTED_VALUE"""),1436.04)</f>
        <v>1436.04</v>
      </c>
      <c r="C477" s="2">
        <f>IFERROR(__xludf.DUMMYFUNCTION("""COMPUTED_VALUE"""),1446.01)</f>
        <v>1446.01</v>
      </c>
      <c r="D477" s="2">
        <f>IFERROR(__xludf.DUMMYFUNCTION("""COMPUTED_VALUE"""),1426.07)</f>
        <v>1426.07</v>
      </c>
      <c r="E477" s="2">
        <f>IFERROR(__xludf.DUMMYFUNCTION("""COMPUTED_VALUE"""),1426.07)</f>
        <v>1426.07</v>
      </c>
      <c r="F477" s="2">
        <f>IFERROR(__xludf.DUMMYFUNCTION("""COMPUTED_VALUE"""),1952600.0)</f>
        <v>1952600</v>
      </c>
      <c r="G477" s="2">
        <f t="shared" si="1"/>
        <v>19.94</v>
      </c>
    </row>
    <row r="478" ht="15.75" customHeight="1">
      <c r="A478" s="1">
        <f>IFERROR(__xludf.DUMMYFUNCTION("""COMPUTED_VALUE"""),44544.66666666667)</f>
        <v>44544.66667</v>
      </c>
      <c r="B478" s="2">
        <f>IFERROR(__xludf.DUMMYFUNCTION("""COMPUTED_VALUE"""),1426.07)</f>
        <v>1426.07</v>
      </c>
      <c r="C478" s="2">
        <f>IFERROR(__xludf.DUMMYFUNCTION("""COMPUTED_VALUE"""),1426.07)</f>
        <v>1426.07</v>
      </c>
      <c r="D478" s="2">
        <f>IFERROR(__xludf.DUMMYFUNCTION("""COMPUTED_VALUE"""),1396.15)</f>
        <v>1396.15</v>
      </c>
      <c r="E478" s="2">
        <f>IFERROR(__xludf.DUMMYFUNCTION("""COMPUTED_VALUE"""),1396.15)</f>
        <v>1396.15</v>
      </c>
      <c r="F478" s="2">
        <f>IFERROR(__xludf.DUMMYFUNCTION("""COMPUTED_VALUE"""),1964400.0)</f>
        <v>1964400</v>
      </c>
      <c r="G478" s="2">
        <f t="shared" si="1"/>
        <v>29.92</v>
      </c>
    </row>
    <row r="479" ht="15.75" customHeight="1">
      <c r="A479" s="1">
        <f>IFERROR(__xludf.DUMMYFUNCTION("""COMPUTED_VALUE"""),44545.66666666667)</f>
        <v>44545.66667</v>
      </c>
      <c r="B479" s="2">
        <f>IFERROR(__xludf.DUMMYFUNCTION("""COMPUTED_VALUE"""),1396.15)</f>
        <v>1396.15</v>
      </c>
      <c r="C479" s="2">
        <f>IFERROR(__xludf.DUMMYFUNCTION("""COMPUTED_VALUE"""),1406.12)</f>
        <v>1406.12</v>
      </c>
      <c r="D479" s="2">
        <f>IFERROR(__xludf.DUMMYFUNCTION("""COMPUTED_VALUE"""),1386.18)</f>
        <v>1386.18</v>
      </c>
      <c r="E479" s="2">
        <f>IFERROR(__xludf.DUMMYFUNCTION("""COMPUTED_VALUE"""),1396.15)</f>
        <v>1396.15</v>
      </c>
      <c r="F479" s="2">
        <f>IFERROR(__xludf.DUMMYFUNCTION("""COMPUTED_VALUE"""),1222600.0)</f>
        <v>1222600</v>
      </c>
      <c r="G479" s="2">
        <f t="shared" si="1"/>
        <v>19.94</v>
      </c>
    </row>
    <row r="480" ht="15.75" customHeight="1">
      <c r="A480" s="1">
        <f>IFERROR(__xludf.DUMMYFUNCTION("""COMPUTED_VALUE"""),44546.66666666667)</f>
        <v>44546.66667</v>
      </c>
      <c r="B480" s="2">
        <f>IFERROR(__xludf.DUMMYFUNCTION("""COMPUTED_VALUE"""),1401.13)</f>
        <v>1401.13</v>
      </c>
      <c r="C480" s="2">
        <f>IFERROR(__xludf.DUMMYFUNCTION("""COMPUTED_VALUE"""),1406.12)</f>
        <v>1406.12</v>
      </c>
      <c r="D480" s="2">
        <f>IFERROR(__xludf.DUMMYFUNCTION("""COMPUTED_VALUE"""),1366.23)</f>
        <v>1366.23</v>
      </c>
      <c r="E480" s="2">
        <f>IFERROR(__xludf.DUMMYFUNCTION("""COMPUTED_VALUE"""),1381.19)</f>
        <v>1381.19</v>
      </c>
      <c r="F480" s="2">
        <f>IFERROR(__xludf.DUMMYFUNCTION("""COMPUTED_VALUE"""),3548700.0)</f>
        <v>3548700</v>
      </c>
      <c r="G480" s="2">
        <f t="shared" si="1"/>
        <v>39.89</v>
      </c>
    </row>
    <row r="481" ht="15.75" customHeight="1">
      <c r="A481" s="1">
        <f>IFERROR(__xludf.DUMMYFUNCTION("""COMPUTED_VALUE"""),44547.66666666667)</f>
        <v>44547.66667</v>
      </c>
      <c r="B481" s="2">
        <f>IFERROR(__xludf.DUMMYFUNCTION("""COMPUTED_VALUE"""),1376.2)</f>
        <v>1376.2</v>
      </c>
      <c r="C481" s="2">
        <f>IFERROR(__xludf.DUMMYFUNCTION("""COMPUTED_VALUE"""),1396.15)</f>
        <v>1396.15</v>
      </c>
      <c r="D481" s="2">
        <f>IFERROR(__xludf.DUMMYFUNCTION("""COMPUTED_VALUE"""),1366.23)</f>
        <v>1366.23</v>
      </c>
      <c r="E481" s="2">
        <f>IFERROR(__xludf.DUMMYFUNCTION("""COMPUTED_VALUE"""),1396.15)</f>
        <v>1396.15</v>
      </c>
      <c r="F481" s="2">
        <f>IFERROR(__xludf.DUMMYFUNCTION("""COMPUTED_VALUE"""),1364100.0)</f>
        <v>1364100</v>
      </c>
      <c r="G481" s="2">
        <f t="shared" si="1"/>
        <v>29.92</v>
      </c>
    </row>
    <row r="482" ht="15.75" customHeight="1">
      <c r="A482" s="1">
        <f>IFERROR(__xludf.DUMMYFUNCTION("""COMPUTED_VALUE"""),44550.66666666667)</f>
        <v>44550.66667</v>
      </c>
      <c r="B482" s="2">
        <f>IFERROR(__xludf.DUMMYFUNCTION("""COMPUTED_VALUE"""),1396.15)</f>
        <v>1396.15</v>
      </c>
      <c r="C482" s="2">
        <f>IFERROR(__xludf.DUMMYFUNCTION("""COMPUTED_VALUE"""),1406.12)</f>
        <v>1406.12</v>
      </c>
      <c r="D482" s="2">
        <f>IFERROR(__xludf.DUMMYFUNCTION("""COMPUTED_VALUE"""),1381.19)</f>
        <v>1381.19</v>
      </c>
      <c r="E482" s="2">
        <f>IFERROR(__xludf.DUMMYFUNCTION("""COMPUTED_VALUE"""),1381.19)</f>
        <v>1381.19</v>
      </c>
      <c r="F482" s="2">
        <f>IFERROR(__xludf.DUMMYFUNCTION("""COMPUTED_VALUE"""),1519600.0)</f>
        <v>1519600</v>
      </c>
      <c r="G482" s="2">
        <f t="shared" si="1"/>
        <v>24.93</v>
      </c>
    </row>
    <row r="483" ht="15.75" customHeight="1">
      <c r="A483" s="1">
        <f>IFERROR(__xludf.DUMMYFUNCTION("""COMPUTED_VALUE"""),44551.66666666667)</f>
        <v>44551.66667</v>
      </c>
      <c r="B483" s="2">
        <f>IFERROR(__xludf.DUMMYFUNCTION("""COMPUTED_VALUE"""),1381.19)</f>
        <v>1381.19</v>
      </c>
      <c r="C483" s="2">
        <f>IFERROR(__xludf.DUMMYFUNCTION("""COMPUTED_VALUE"""),1396.15)</f>
        <v>1396.15</v>
      </c>
      <c r="D483" s="2">
        <f>IFERROR(__xludf.DUMMYFUNCTION("""COMPUTED_VALUE"""),1366.23)</f>
        <v>1366.23</v>
      </c>
      <c r="E483" s="2">
        <f>IFERROR(__xludf.DUMMYFUNCTION("""COMPUTED_VALUE"""),1396.15)</f>
        <v>1396.15</v>
      </c>
      <c r="F483" s="2">
        <f>IFERROR(__xludf.DUMMYFUNCTION("""COMPUTED_VALUE"""),2140600.0)</f>
        <v>2140600</v>
      </c>
      <c r="G483" s="2">
        <f t="shared" si="1"/>
        <v>29.92</v>
      </c>
    </row>
    <row r="484" ht="15.75" customHeight="1">
      <c r="A484" s="1">
        <f>IFERROR(__xludf.DUMMYFUNCTION("""COMPUTED_VALUE"""),44552.66666666667)</f>
        <v>44552.66667</v>
      </c>
      <c r="B484" s="2">
        <f>IFERROR(__xludf.DUMMYFUNCTION("""COMPUTED_VALUE"""),1401.13)</f>
        <v>1401.13</v>
      </c>
      <c r="C484" s="2">
        <f>IFERROR(__xludf.DUMMYFUNCTION("""COMPUTED_VALUE"""),1411.11)</f>
        <v>1411.11</v>
      </c>
      <c r="D484" s="2">
        <f>IFERROR(__xludf.DUMMYFUNCTION("""COMPUTED_VALUE"""),1321.35)</f>
        <v>1321.35</v>
      </c>
      <c r="E484" s="2">
        <f>IFERROR(__xludf.DUMMYFUNCTION("""COMPUTED_VALUE"""),1346.29)</f>
        <v>1346.29</v>
      </c>
      <c r="F484" s="2">
        <f>IFERROR(__xludf.DUMMYFUNCTION("""COMPUTED_VALUE"""),1.24992E7)</f>
        <v>12499200</v>
      </c>
      <c r="G484" s="2">
        <f t="shared" si="1"/>
        <v>89.76</v>
      </c>
    </row>
    <row r="485" ht="15.75" customHeight="1">
      <c r="A485" s="1">
        <f>IFERROR(__xludf.DUMMYFUNCTION("""COMPUTED_VALUE"""),44553.66666666667)</f>
        <v>44553.66667</v>
      </c>
      <c r="B485" s="2">
        <f>IFERROR(__xludf.DUMMYFUNCTION("""COMPUTED_VALUE"""),1346.29)</f>
        <v>1346.29</v>
      </c>
      <c r="C485" s="2">
        <f>IFERROR(__xludf.DUMMYFUNCTION("""COMPUTED_VALUE"""),1356.26)</f>
        <v>1356.26</v>
      </c>
      <c r="D485" s="2">
        <f>IFERROR(__xludf.DUMMYFUNCTION("""COMPUTED_VALUE"""),1296.42)</f>
        <v>1296.42</v>
      </c>
      <c r="E485" s="2">
        <f>IFERROR(__xludf.DUMMYFUNCTION("""COMPUTED_VALUE"""),1336.31)</f>
        <v>1336.31</v>
      </c>
      <c r="F485" s="2">
        <f>IFERROR(__xludf.DUMMYFUNCTION("""COMPUTED_VALUE"""),6996200.0)</f>
        <v>6996200</v>
      </c>
      <c r="G485" s="2">
        <f t="shared" si="1"/>
        <v>59.84</v>
      </c>
    </row>
    <row r="486" ht="15.75" customHeight="1">
      <c r="A486" s="1">
        <f>IFERROR(__xludf.DUMMYFUNCTION("""COMPUTED_VALUE"""),44554.66666666667)</f>
        <v>44554.66667</v>
      </c>
      <c r="B486" s="2">
        <f>IFERROR(__xludf.DUMMYFUNCTION("""COMPUTED_VALUE"""),1346.29)</f>
        <v>1346.29</v>
      </c>
      <c r="C486" s="2">
        <f>IFERROR(__xludf.DUMMYFUNCTION("""COMPUTED_VALUE"""),1346.29)</f>
        <v>1346.29</v>
      </c>
      <c r="D486" s="2">
        <f>IFERROR(__xludf.DUMMYFUNCTION("""COMPUTED_VALUE"""),1326.34)</f>
        <v>1326.34</v>
      </c>
      <c r="E486" s="2">
        <f>IFERROR(__xludf.DUMMYFUNCTION("""COMPUTED_VALUE"""),1341.3)</f>
        <v>1341.3</v>
      </c>
      <c r="F486" s="2">
        <f>IFERROR(__xludf.DUMMYFUNCTION("""COMPUTED_VALUE"""),801400.0)</f>
        <v>801400</v>
      </c>
      <c r="G486" s="2">
        <f t="shared" si="1"/>
        <v>19.95</v>
      </c>
    </row>
    <row r="487" ht="15.75" customHeight="1">
      <c r="A487" s="1">
        <f>IFERROR(__xludf.DUMMYFUNCTION("""COMPUTED_VALUE"""),44557.66666666667)</f>
        <v>44557.66667</v>
      </c>
      <c r="B487" s="2">
        <f>IFERROR(__xludf.DUMMYFUNCTION("""COMPUTED_VALUE"""),1341.3)</f>
        <v>1341.3</v>
      </c>
      <c r="C487" s="2">
        <f>IFERROR(__xludf.DUMMYFUNCTION("""COMPUTED_VALUE"""),1346.29)</f>
        <v>1346.29</v>
      </c>
      <c r="D487" s="2">
        <f>IFERROR(__xludf.DUMMYFUNCTION("""COMPUTED_VALUE"""),1336.31)</f>
        <v>1336.31</v>
      </c>
      <c r="E487" s="2">
        <f>IFERROR(__xludf.DUMMYFUNCTION("""COMPUTED_VALUE"""),1346.29)</f>
        <v>1346.29</v>
      </c>
      <c r="F487" s="2">
        <f>IFERROR(__xludf.DUMMYFUNCTION("""COMPUTED_VALUE"""),1028200.0)</f>
        <v>1028200</v>
      </c>
      <c r="G487" s="2">
        <f t="shared" si="1"/>
        <v>9.98</v>
      </c>
    </row>
    <row r="488" ht="15.75" customHeight="1">
      <c r="A488" s="1">
        <f>IFERROR(__xludf.DUMMYFUNCTION("""COMPUTED_VALUE"""),44558.66666666667)</f>
        <v>44558.66667</v>
      </c>
      <c r="B488" s="2">
        <f>IFERROR(__xludf.DUMMYFUNCTION("""COMPUTED_VALUE"""),1346.29)</f>
        <v>1346.29</v>
      </c>
      <c r="C488" s="2">
        <f>IFERROR(__xludf.DUMMYFUNCTION("""COMPUTED_VALUE"""),1346.29)</f>
        <v>1346.29</v>
      </c>
      <c r="D488" s="2">
        <f>IFERROR(__xludf.DUMMYFUNCTION("""COMPUTED_VALUE"""),1326.34)</f>
        <v>1326.34</v>
      </c>
      <c r="E488" s="2">
        <f>IFERROR(__xludf.DUMMYFUNCTION("""COMPUTED_VALUE"""),1341.3)</f>
        <v>1341.3</v>
      </c>
      <c r="F488" s="2">
        <f>IFERROR(__xludf.DUMMYFUNCTION("""COMPUTED_VALUE"""),2252400.0)</f>
        <v>2252400</v>
      </c>
      <c r="G488" s="2">
        <f t="shared" si="1"/>
        <v>19.95</v>
      </c>
    </row>
    <row r="489" ht="15.75" customHeight="1">
      <c r="A489" s="1">
        <f>IFERROR(__xludf.DUMMYFUNCTION("""COMPUTED_VALUE"""),44559.66666666667)</f>
        <v>44559.66667</v>
      </c>
      <c r="B489" s="2">
        <f>IFERROR(__xludf.DUMMYFUNCTION("""COMPUTED_VALUE"""),1341.3)</f>
        <v>1341.3</v>
      </c>
      <c r="C489" s="2">
        <f>IFERROR(__xludf.DUMMYFUNCTION("""COMPUTED_VALUE"""),1356.26)</f>
        <v>1356.26</v>
      </c>
      <c r="D489" s="2">
        <f>IFERROR(__xludf.DUMMYFUNCTION("""COMPUTED_VALUE"""),1336.31)</f>
        <v>1336.31</v>
      </c>
      <c r="E489" s="2">
        <f>IFERROR(__xludf.DUMMYFUNCTION("""COMPUTED_VALUE"""),1346.29)</f>
        <v>1346.29</v>
      </c>
      <c r="F489" s="2">
        <f>IFERROR(__xludf.DUMMYFUNCTION("""COMPUTED_VALUE"""),1128300.0)</f>
        <v>1128300</v>
      </c>
      <c r="G489" s="2">
        <f t="shared" si="1"/>
        <v>19.95</v>
      </c>
    </row>
    <row r="490" ht="15.75" customHeight="1">
      <c r="A490" s="1">
        <f>IFERROR(__xludf.DUMMYFUNCTION("""COMPUTED_VALUE"""),44560.66666666667)</f>
        <v>44560.66667</v>
      </c>
      <c r="B490" s="2">
        <f>IFERROR(__xludf.DUMMYFUNCTION("""COMPUTED_VALUE"""),1346.29)</f>
        <v>1346.29</v>
      </c>
      <c r="C490" s="2">
        <f>IFERROR(__xludf.DUMMYFUNCTION("""COMPUTED_VALUE"""),1351.27)</f>
        <v>1351.27</v>
      </c>
      <c r="D490" s="2">
        <f>IFERROR(__xludf.DUMMYFUNCTION("""COMPUTED_VALUE"""),1331.33)</f>
        <v>1331.33</v>
      </c>
      <c r="E490" s="2">
        <f>IFERROR(__xludf.DUMMYFUNCTION("""COMPUTED_VALUE"""),1331.33)</f>
        <v>1331.33</v>
      </c>
      <c r="F490" s="2">
        <f>IFERROR(__xludf.DUMMYFUNCTION("""COMPUTED_VALUE"""),1795700.0)</f>
        <v>1795700</v>
      </c>
      <c r="G490" s="2">
        <f t="shared" si="1"/>
        <v>19.94</v>
      </c>
    </row>
    <row r="491" ht="15.75" customHeight="1">
      <c r="A491" s="1">
        <f>IFERROR(__xludf.DUMMYFUNCTION("""COMPUTED_VALUE"""),44564.66666666667)</f>
        <v>44564.66667</v>
      </c>
      <c r="B491" s="2">
        <f>IFERROR(__xludf.DUMMYFUNCTION("""COMPUTED_VALUE"""),1336.31)</f>
        <v>1336.31</v>
      </c>
      <c r="C491" s="2">
        <f>IFERROR(__xludf.DUMMYFUNCTION("""COMPUTED_VALUE"""),1351.27)</f>
        <v>1351.27</v>
      </c>
      <c r="D491" s="2">
        <f>IFERROR(__xludf.DUMMYFUNCTION("""COMPUTED_VALUE"""),1331.33)</f>
        <v>1331.33</v>
      </c>
      <c r="E491" s="2">
        <f>IFERROR(__xludf.DUMMYFUNCTION("""COMPUTED_VALUE"""),1346.29)</f>
        <v>1346.29</v>
      </c>
      <c r="F491" s="2">
        <f>IFERROR(__xludf.DUMMYFUNCTION("""COMPUTED_VALUE"""),878900.0)</f>
        <v>878900</v>
      </c>
      <c r="G491" s="2">
        <f t="shared" si="1"/>
        <v>19.94</v>
      </c>
    </row>
    <row r="492" ht="15.75" customHeight="1">
      <c r="A492" s="1">
        <f>IFERROR(__xludf.DUMMYFUNCTION("""COMPUTED_VALUE"""),44565.66666666667)</f>
        <v>44565.66667</v>
      </c>
      <c r="B492" s="2">
        <f>IFERROR(__xludf.DUMMYFUNCTION("""COMPUTED_VALUE"""),1346.29)</f>
        <v>1346.29</v>
      </c>
      <c r="C492" s="2">
        <f>IFERROR(__xludf.DUMMYFUNCTION("""COMPUTED_VALUE"""),1366.23)</f>
        <v>1366.23</v>
      </c>
      <c r="D492" s="2">
        <f>IFERROR(__xludf.DUMMYFUNCTION("""COMPUTED_VALUE"""),1346.29)</f>
        <v>1346.29</v>
      </c>
      <c r="E492" s="2">
        <f>IFERROR(__xludf.DUMMYFUNCTION("""COMPUTED_VALUE"""),1356.26)</f>
        <v>1356.26</v>
      </c>
      <c r="F492" s="2">
        <f>IFERROR(__xludf.DUMMYFUNCTION("""COMPUTED_VALUE"""),2064900.0)</f>
        <v>2064900</v>
      </c>
      <c r="G492" s="2">
        <f t="shared" si="1"/>
        <v>19.94</v>
      </c>
    </row>
    <row r="493" ht="15.75" customHeight="1">
      <c r="A493" s="1">
        <f>IFERROR(__xludf.DUMMYFUNCTION("""COMPUTED_VALUE"""),44566.66666666667)</f>
        <v>44566.66667</v>
      </c>
      <c r="B493" s="2">
        <f>IFERROR(__xludf.DUMMYFUNCTION("""COMPUTED_VALUE"""),1356.26)</f>
        <v>1356.26</v>
      </c>
      <c r="C493" s="2">
        <f>IFERROR(__xludf.DUMMYFUNCTION("""COMPUTED_VALUE"""),1366.23)</f>
        <v>1366.23</v>
      </c>
      <c r="D493" s="2">
        <f>IFERROR(__xludf.DUMMYFUNCTION("""COMPUTED_VALUE"""),1346.29)</f>
        <v>1346.29</v>
      </c>
      <c r="E493" s="2">
        <f>IFERROR(__xludf.DUMMYFUNCTION("""COMPUTED_VALUE"""),1346.29)</f>
        <v>1346.29</v>
      </c>
      <c r="F493" s="2">
        <f>IFERROR(__xludf.DUMMYFUNCTION("""COMPUTED_VALUE"""),1502500.0)</f>
        <v>1502500</v>
      </c>
      <c r="G493" s="2">
        <f t="shared" si="1"/>
        <v>19.94</v>
      </c>
    </row>
    <row r="494" ht="15.75" customHeight="1">
      <c r="A494" s="1">
        <f>IFERROR(__xludf.DUMMYFUNCTION("""COMPUTED_VALUE"""),44567.66666666667)</f>
        <v>44567.66667</v>
      </c>
      <c r="B494" s="2">
        <f>IFERROR(__xludf.DUMMYFUNCTION("""COMPUTED_VALUE"""),1346.29)</f>
        <v>1346.29</v>
      </c>
      <c r="C494" s="2">
        <f>IFERROR(__xludf.DUMMYFUNCTION("""COMPUTED_VALUE"""),1361.24)</f>
        <v>1361.24</v>
      </c>
      <c r="D494" s="2">
        <f>IFERROR(__xludf.DUMMYFUNCTION("""COMPUTED_VALUE"""),1331.33)</f>
        <v>1331.33</v>
      </c>
      <c r="E494" s="2">
        <f>IFERROR(__xludf.DUMMYFUNCTION("""COMPUTED_VALUE"""),1351.27)</f>
        <v>1351.27</v>
      </c>
      <c r="F494" s="2">
        <f>IFERROR(__xludf.DUMMYFUNCTION("""COMPUTED_VALUE"""),1703600.0)</f>
        <v>1703600</v>
      </c>
      <c r="G494" s="2">
        <f t="shared" si="1"/>
        <v>29.91</v>
      </c>
    </row>
    <row r="495" ht="15.75" customHeight="1">
      <c r="A495" s="1">
        <f>IFERROR(__xludf.DUMMYFUNCTION("""COMPUTED_VALUE"""),44568.66666666667)</f>
        <v>44568.66667</v>
      </c>
      <c r="B495" s="2">
        <f>IFERROR(__xludf.DUMMYFUNCTION("""COMPUTED_VALUE"""),1351.27)</f>
        <v>1351.27</v>
      </c>
      <c r="C495" s="2">
        <f>IFERROR(__xludf.DUMMYFUNCTION("""COMPUTED_VALUE"""),1361.24)</f>
        <v>1361.24</v>
      </c>
      <c r="D495" s="2">
        <f>IFERROR(__xludf.DUMMYFUNCTION("""COMPUTED_VALUE"""),1346.29)</f>
        <v>1346.29</v>
      </c>
      <c r="E495" s="2">
        <f>IFERROR(__xludf.DUMMYFUNCTION("""COMPUTED_VALUE"""),1356.26)</f>
        <v>1356.26</v>
      </c>
      <c r="F495" s="2">
        <f>IFERROR(__xludf.DUMMYFUNCTION("""COMPUTED_VALUE"""),1393900.0)</f>
        <v>1393900</v>
      </c>
      <c r="G495" s="2">
        <f t="shared" si="1"/>
        <v>14.95</v>
      </c>
    </row>
    <row r="496" ht="15.75" customHeight="1">
      <c r="A496" s="1">
        <f>IFERROR(__xludf.DUMMYFUNCTION("""COMPUTED_VALUE"""),44571.66666666667)</f>
        <v>44571.66667</v>
      </c>
      <c r="B496" s="2">
        <f>IFERROR(__xludf.DUMMYFUNCTION("""COMPUTED_VALUE"""),1361.24)</f>
        <v>1361.24</v>
      </c>
      <c r="C496" s="2">
        <f>IFERROR(__xludf.DUMMYFUNCTION("""COMPUTED_VALUE"""),1366.23)</f>
        <v>1366.23</v>
      </c>
      <c r="D496" s="2">
        <f>IFERROR(__xludf.DUMMYFUNCTION("""COMPUTED_VALUE"""),1341.3)</f>
        <v>1341.3</v>
      </c>
      <c r="E496" s="2">
        <f>IFERROR(__xludf.DUMMYFUNCTION("""COMPUTED_VALUE"""),1341.3)</f>
        <v>1341.3</v>
      </c>
      <c r="F496" s="2">
        <f>IFERROR(__xludf.DUMMYFUNCTION("""COMPUTED_VALUE"""),2217200.0)</f>
        <v>2217200</v>
      </c>
      <c r="G496" s="2">
        <f t="shared" si="1"/>
        <v>24.93</v>
      </c>
    </row>
    <row r="497" ht="15.75" customHeight="1">
      <c r="A497" s="1">
        <f>IFERROR(__xludf.DUMMYFUNCTION("""COMPUTED_VALUE"""),44572.66666666667)</f>
        <v>44572.66667</v>
      </c>
      <c r="B497" s="2">
        <f>IFERROR(__xludf.DUMMYFUNCTION("""COMPUTED_VALUE"""),1341.3)</f>
        <v>1341.3</v>
      </c>
      <c r="C497" s="2">
        <f>IFERROR(__xludf.DUMMYFUNCTION("""COMPUTED_VALUE"""),1351.27)</f>
        <v>1351.27</v>
      </c>
      <c r="D497" s="2">
        <f>IFERROR(__xludf.DUMMYFUNCTION("""COMPUTED_VALUE"""),1336.31)</f>
        <v>1336.31</v>
      </c>
      <c r="E497" s="2">
        <f>IFERROR(__xludf.DUMMYFUNCTION("""COMPUTED_VALUE"""),1346.29)</f>
        <v>1346.29</v>
      </c>
      <c r="F497" s="2">
        <f>IFERROR(__xludf.DUMMYFUNCTION("""COMPUTED_VALUE"""),1094500.0)</f>
        <v>1094500</v>
      </c>
      <c r="G497" s="2">
        <f t="shared" si="1"/>
        <v>14.96</v>
      </c>
    </row>
    <row r="498" ht="15.75" customHeight="1">
      <c r="A498" s="1">
        <f>IFERROR(__xludf.DUMMYFUNCTION("""COMPUTED_VALUE"""),44573.66666666667)</f>
        <v>44573.66667</v>
      </c>
      <c r="B498" s="2">
        <f>IFERROR(__xludf.DUMMYFUNCTION("""COMPUTED_VALUE"""),1346.29)</f>
        <v>1346.29</v>
      </c>
      <c r="C498" s="2">
        <f>IFERROR(__xludf.DUMMYFUNCTION("""COMPUTED_VALUE"""),1361.24)</f>
        <v>1361.24</v>
      </c>
      <c r="D498" s="2">
        <f>IFERROR(__xludf.DUMMYFUNCTION("""COMPUTED_VALUE"""),1346.29)</f>
        <v>1346.29</v>
      </c>
      <c r="E498" s="2">
        <f>IFERROR(__xludf.DUMMYFUNCTION("""COMPUTED_VALUE"""),1351.27)</f>
        <v>1351.27</v>
      </c>
      <c r="F498" s="2">
        <f>IFERROR(__xludf.DUMMYFUNCTION("""COMPUTED_VALUE"""),1307100.0)</f>
        <v>1307100</v>
      </c>
      <c r="G498" s="2">
        <f t="shared" si="1"/>
        <v>14.95</v>
      </c>
    </row>
    <row r="499" ht="15.75" customHeight="1">
      <c r="A499" s="1">
        <f>IFERROR(__xludf.DUMMYFUNCTION("""COMPUTED_VALUE"""),44574.66666666667)</f>
        <v>44574.66667</v>
      </c>
      <c r="B499" s="2">
        <f>IFERROR(__xludf.DUMMYFUNCTION("""COMPUTED_VALUE"""),1351.27)</f>
        <v>1351.27</v>
      </c>
      <c r="C499" s="2">
        <f>IFERROR(__xludf.DUMMYFUNCTION("""COMPUTED_VALUE"""),1356.26)</f>
        <v>1356.26</v>
      </c>
      <c r="D499" s="2">
        <f>IFERROR(__xludf.DUMMYFUNCTION("""COMPUTED_VALUE"""),1341.3)</f>
        <v>1341.3</v>
      </c>
      <c r="E499" s="2">
        <f>IFERROR(__xludf.DUMMYFUNCTION("""COMPUTED_VALUE"""),1351.27)</f>
        <v>1351.27</v>
      </c>
      <c r="F499" s="2">
        <f>IFERROR(__xludf.DUMMYFUNCTION("""COMPUTED_VALUE"""),740900.0)</f>
        <v>740900</v>
      </c>
      <c r="G499" s="2">
        <f t="shared" si="1"/>
        <v>14.96</v>
      </c>
    </row>
    <row r="500" ht="15.75" customHeight="1">
      <c r="A500" s="1">
        <f>IFERROR(__xludf.DUMMYFUNCTION("""COMPUTED_VALUE"""),44575.66666666667)</f>
        <v>44575.66667</v>
      </c>
      <c r="B500" s="2">
        <f>IFERROR(__xludf.DUMMYFUNCTION("""COMPUTED_VALUE"""),1351.27)</f>
        <v>1351.27</v>
      </c>
      <c r="C500" s="2">
        <f>IFERROR(__xludf.DUMMYFUNCTION("""COMPUTED_VALUE"""),1361.24)</f>
        <v>1361.24</v>
      </c>
      <c r="D500" s="2">
        <f>IFERROR(__xludf.DUMMYFUNCTION("""COMPUTED_VALUE"""),1341.3)</f>
        <v>1341.3</v>
      </c>
      <c r="E500" s="2">
        <f>IFERROR(__xludf.DUMMYFUNCTION("""COMPUTED_VALUE"""),1346.29)</f>
        <v>1346.29</v>
      </c>
      <c r="F500" s="2">
        <f>IFERROR(__xludf.DUMMYFUNCTION("""COMPUTED_VALUE"""),1981700.0)</f>
        <v>1981700</v>
      </c>
      <c r="G500" s="2">
        <f t="shared" si="1"/>
        <v>19.94</v>
      </c>
    </row>
    <row r="501" ht="15.75" customHeight="1">
      <c r="A501" s="1">
        <f>IFERROR(__xludf.DUMMYFUNCTION("""COMPUTED_VALUE"""),44578.66666666667)</f>
        <v>44578.66667</v>
      </c>
      <c r="B501" s="2">
        <f>IFERROR(__xludf.DUMMYFUNCTION("""COMPUTED_VALUE"""),1361.24)</f>
        <v>1361.24</v>
      </c>
      <c r="C501" s="2">
        <f>IFERROR(__xludf.DUMMYFUNCTION("""COMPUTED_VALUE"""),1361.24)</f>
        <v>1361.24</v>
      </c>
      <c r="D501" s="2">
        <f>IFERROR(__xludf.DUMMYFUNCTION("""COMPUTED_VALUE"""),1341.3)</f>
        <v>1341.3</v>
      </c>
      <c r="E501" s="2">
        <f>IFERROR(__xludf.DUMMYFUNCTION("""COMPUTED_VALUE"""),1341.3)</f>
        <v>1341.3</v>
      </c>
      <c r="F501" s="2">
        <f>IFERROR(__xludf.DUMMYFUNCTION("""COMPUTED_VALUE"""),1491200.0)</f>
        <v>1491200</v>
      </c>
      <c r="G501" s="2">
        <f t="shared" si="1"/>
        <v>19.94</v>
      </c>
    </row>
    <row r="502" ht="15.75" customHeight="1">
      <c r="A502" s="1">
        <f>IFERROR(__xludf.DUMMYFUNCTION("""COMPUTED_VALUE"""),44579.66666666667)</f>
        <v>44579.66667</v>
      </c>
      <c r="B502" s="2">
        <f>IFERROR(__xludf.DUMMYFUNCTION("""COMPUTED_VALUE"""),1346.29)</f>
        <v>1346.29</v>
      </c>
      <c r="C502" s="2">
        <f>IFERROR(__xludf.DUMMYFUNCTION("""COMPUTED_VALUE"""),1351.27)</f>
        <v>1351.27</v>
      </c>
      <c r="D502" s="2">
        <f>IFERROR(__xludf.DUMMYFUNCTION("""COMPUTED_VALUE"""),1321.35)</f>
        <v>1321.35</v>
      </c>
      <c r="E502" s="2">
        <f>IFERROR(__xludf.DUMMYFUNCTION("""COMPUTED_VALUE"""),1331.33)</f>
        <v>1331.33</v>
      </c>
      <c r="F502" s="2">
        <f>IFERROR(__xludf.DUMMYFUNCTION("""COMPUTED_VALUE"""),3010800.0)</f>
        <v>3010800</v>
      </c>
      <c r="G502" s="2">
        <f t="shared" si="1"/>
        <v>29.92</v>
      </c>
    </row>
    <row r="503" ht="15.75" customHeight="1">
      <c r="A503" s="1">
        <f>IFERROR(__xludf.DUMMYFUNCTION("""COMPUTED_VALUE"""),44580.66666666667)</f>
        <v>44580.66667</v>
      </c>
      <c r="B503" s="2">
        <f>IFERROR(__xludf.DUMMYFUNCTION("""COMPUTED_VALUE"""),1331.33)</f>
        <v>1331.33</v>
      </c>
      <c r="C503" s="2">
        <f>IFERROR(__xludf.DUMMYFUNCTION("""COMPUTED_VALUE"""),1331.33)</f>
        <v>1331.33</v>
      </c>
      <c r="D503" s="2">
        <f>IFERROR(__xludf.DUMMYFUNCTION("""COMPUTED_VALUE"""),1296.42)</f>
        <v>1296.42</v>
      </c>
      <c r="E503" s="2">
        <f>IFERROR(__xludf.DUMMYFUNCTION("""COMPUTED_VALUE"""),1296.42)</f>
        <v>1296.42</v>
      </c>
      <c r="F503" s="2">
        <f>IFERROR(__xludf.DUMMYFUNCTION("""COMPUTED_VALUE"""),4460400.0)</f>
        <v>4460400</v>
      </c>
      <c r="G503" s="2">
        <f t="shared" si="1"/>
        <v>34.91</v>
      </c>
    </row>
    <row r="504" ht="15.75" customHeight="1">
      <c r="A504" s="1">
        <f>IFERROR(__xludf.DUMMYFUNCTION("""COMPUTED_VALUE"""),44581.66666666667)</f>
        <v>44581.66667</v>
      </c>
      <c r="B504" s="2">
        <f>IFERROR(__xludf.DUMMYFUNCTION("""COMPUTED_VALUE"""),1296.42)</f>
        <v>1296.42</v>
      </c>
      <c r="C504" s="2">
        <f>IFERROR(__xludf.DUMMYFUNCTION("""COMPUTED_VALUE"""),1311.38)</f>
        <v>1311.38</v>
      </c>
      <c r="D504" s="2">
        <f>IFERROR(__xludf.DUMMYFUNCTION("""COMPUTED_VALUE"""),1271.49)</f>
        <v>1271.49</v>
      </c>
      <c r="E504" s="2">
        <f>IFERROR(__xludf.DUMMYFUNCTION("""COMPUTED_VALUE"""),1301.41)</f>
        <v>1301.41</v>
      </c>
      <c r="F504" s="2">
        <f>IFERROR(__xludf.DUMMYFUNCTION("""COMPUTED_VALUE"""),1812500.0)</f>
        <v>1812500</v>
      </c>
      <c r="G504" s="2">
        <f t="shared" si="1"/>
        <v>39.89</v>
      </c>
    </row>
    <row r="505" ht="15.75" customHeight="1">
      <c r="A505" s="1">
        <f>IFERROR(__xludf.DUMMYFUNCTION("""COMPUTED_VALUE"""),44582.66666666667)</f>
        <v>44582.66667</v>
      </c>
      <c r="B505" s="2">
        <f>IFERROR(__xludf.DUMMYFUNCTION("""COMPUTED_VALUE"""),1296.42)</f>
        <v>1296.42</v>
      </c>
      <c r="C505" s="2">
        <f>IFERROR(__xludf.DUMMYFUNCTION("""COMPUTED_VALUE"""),1321.35)</f>
        <v>1321.35</v>
      </c>
      <c r="D505" s="2">
        <f>IFERROR(__xludf.DUMMYFUNCTION("""COMPUTED_VALUE"""),1296.42)</f>
        <v>1296.42</v>
      </c>
      <c r="E505" s="2">
        <f>IFERROR(__xludf.DUMMYFUNCTION("""COMPUTED_VALUE"""),1301.41)</f>
        <v>1301.41</v>
      </c>
      <c r="F505" s="2">
        <f>IFERROR(__xludf.DUMMYFUNCTION("""COMPUTED_VALUE"""),1777400.0)</f>
        <v>1777400</v>
      </c>
      <c r="G505" s="2">
        <f t="shared" si="1"/>
        <v>24.93</v>
      </c>
    </row>
    <row r="506" ht="15.75" customHeight="1">
      <c r="A506" s="1">
        <f>IFERROR(__xludf.DUMMYFUNCTION("""COMPUTED_VALUE"""),44585.66666666667)</f>
        <v>44585.66667</v>
      </c>
      <c r="B506" s="2">
        <f>IFERROR(__xludf.DUMMYFUNCTION("""COMPUTED_VALUE"""),1306.4)</f>
        <v>1306.4</v>
      </c>
      <c r="C506" s="2">
        <f>IFERROR(__xludf.DUMMYFUNCTION("""COMPUTED_VALUE"""),1306.4)</f>
        <v>1306.4</v>
      </c>
      <c r="D506" s="2">
        <f>IFERROR(__xludf.DUMMYFUNCTION("""COMPUTED_VALUE"""),1296.42)</f>
        <v>1296.42</v>
      </c>
      <c r="E506" s="2">
        <f>IFERROR(__xludf.DUMMYFUNCTION("""COMPUTED_VALUE"""),1306.4)</f>
        <v>1306.4</v>
      </c>
      <c r="F506" s="2">
        <f>IFERROR(__xludf.DUMMYFUNCTION("""COMPUTED_VALUE"""),1562700.0)</f>
        <v>1562700</v>
      </c>
      <c r="G506" s="2">
        <f t="shared" si="1"/>
        <v>9.98</v>
      </c>
    </row>
    <row r="507" ht="15.75" customHeight="1">
      <c r="A507" s="1">
        <f>IFERROR(__xludf.DUMMYFUNCTION("""COMPUTED_VALUE"""),44586.66666666667)</f>
        <v>44586.66667</v>
      </c>
      <c r="B507" s="2">
        <f>IFERROR(__xludf.DUMMYFUNCTION("""COMPUTED_VALUE"""),1306.4)</f>
        <v>1306.4</v>
      </c>
      <c r="C507" s="2">
        <f>IFERROR(__xludf.DUMMYFUNCTION("""COMPUTED_VALUE"""),1311.38)</f>
        <v>1311.38</v>
      </c>
      <c r="D507" s="2">
        <f>IFERROR(__xludf.DUMMYFUNCTION("""COMPUTED_VALUE"""),1286.45)</f>
        <v>1286.45</v>
      </c>
      <c r="E507" s="2">
        <f>IFERROR(__xludf.DUMMYFUNCTION("""COMPUTED_VALUE"""),1291.44)</f>
        <v>1291.44</v>
      </c>
      <c r="F507" s="2">
        <f>IFERROR(__xludf.DUMMYFUNCTION("""COMPUTED_VALUE"""),2676400.0)</f>
        <v>2676400</v>
      </c>
      <c r="G507" s="2">
        <f t="shared" si="1"/>
        <v>24.93</v>
      </c>
    </row>
    <row r="508" ht="15.75" customHeight="1">
      <c r="A508" s="1">
        <f>IFERROR(__xludf.DUMMYFUNCTION("""COMPUTED_VALUE"""),44587.66666666667)</f>
        <v>44587.66667</v>
      </c>
      <c r="B508" s="2">
        <f>IFERROR(__xludf.DUMMYFUNCTION("""COMPUTED_VALUE"""),1291.44)</f>
        <v>1291.44</v>
      </c>
      <c r="C508" s="2">
        <f>IFERROR(__xludf.DUMMYFUNCTION("""COMPUTED_VALUE"""),1306.4)</f>
        <v>1306.4</v>
      </c>
      <c r="D508" s="2">
        <f>IFERROR(__xludf.DUMMYFUNCTION("""COMPUTED_VALUE"""),1291.44)</f>
        <v>1291.44</v>
      </c>
      <c r="E508" s="2">
        <f>IFERROR(__xludf.DUMMYFUNCTION("""COMPUTED_VALUE"""),1301.41)</f>
        <v>1301.41</v>
      </c>
      <c r="F508" s="2">
        <f>IFERROR(__xludf.DUMMYFUNCTION("""COMPUTED_VALUE"""),1193000.0)</f>
        <v>1193000</v>
      </c>
      <c r="G508" s="2">
        <f t="shared" si="1"/>
        <v>14.96</v>
      </c>
    </row>
    <row r="509" ht="15.75" customHeight="1">
      <c r="A509" s="1">
        <f>IFERROR(__xludf.DUMMYFUNCTION("""COMPUTED_VALUE"""),44588.66666666667)</f>
        <v>44588.66667</v>
      </c>
      <c r="B509" s="2">
        <f>IFERROR(__xludf.DUMMYFUNCTION("""COMPUTED_VALUE"""),1301.41)</f>
        <v>1301.41</v>
      </c>
      <c r="C509" s="2">
        <f>IFERROR(__xludf.DUMMYFUNCTION("""COMPUTED_VALUE"""),1306.4)</f>
        <v>1306.4</v>
      </c>
      <c r="D509" s="2">
        <f>IFERROR(__xludf.DUMMYFUNCTION("""COMPUTED_VALUE"""),1286.45)</f>
        <v>1286.45</v>
      </c>
      <c r="E509" s="2">
        <f>IFERROR(__xludf.DUMMYFUNCTION("""COMPUTED_VALUE"""),1291.44)</f>
        <v>1291.44</v>
      </c>
      <c r="F509" s="2">
        <f>IFERROR(__xludf.DUMMYFUNCTION("""COMPUTED_VALUE"""),1551100.0)</f>
        <v>1551100</v>
      </c>
      <c r="G509" s="2">
        <f t="shared" si="1"/>
        <v>19.95</v>
      </c>
    </row>
    <row r="510" ht="15.75" customHeight="1">
      <c r="A510" s="1">
        <f>IFERROR(__xludf.DUMMYFUNCTION("""COMPUTED_VALUE"""),44589.66666666667)</f>
        <v>44589.66667</v>
      </c>
      <c r="B510" s="2">
        <f>IFERROR(__xludf.DUMMYFUNCTION("""COMPUTED_VALUE"""),1291.44)</f>
        <v>1291.44</v>
      </c>
      <c r="C510" s="2">
        <f>IFERROR(__xludf.DUMMYFUNCTION("""COMPUTED_VALUE"""),1311.38)</f>
        <v>1311.38</v>
      </c>
      <c r="D510" s="2">
        <f>IFERROR(__xludf.DUMMYFUNCTION("""COMPUTED_VALUE"""),1286.45)</f>
        <v>1286.45</v>
      </c>
      <c r="E510" s="2">
        <f>IFERROR(__xludf.DUMMYFUNCTION("""COMPUTED_VALUE"""),1311.38)</f>
        <v>1311.38</v>
      </c>
      <c r="F510" s="2">
        <f>IFERROR(__xludf.DUMMYFUNCTION("""COMPUTED_VALUE"""),1256900.0)</f>
        <v>1256900</v>
      </c>
      <c r="G510" s="2">
        <f t="shared" si="1"/>
        <v>24.93</v>
      </c>
    </row>
    <row r="511" ht="15.75" customHeight="1">
      <c r="A511" s="1">
        <f>IFERROR(__xludf.DUMMYFUNCTION("""COMPUTED_VALUE"""),44592.66666666667)</f>
        <v>44592.66667</v>
      </c>
      <c r="B511" s="2">
        <f>IFERROR(__xludf.DUMMYFUNCTION("""COMPUTED_VALUE"""),1311.38)</f>
        <v>1311.38</v>
      </c>
      <c r="C511" s="2">
        <f>IFERROR(__xludf.DUMMYFUNCTION("""COMPUTED_VALUE"""),1321.35)</f>
        <v>1321.35</v>
      </c>
      <c r="D511" s="2">
        <f>IFERROR(__xludf.DUMMYFUNCTION("""COMPUTED_VALUE"""),1306.4)</f>
        <v>1306.4</v>
      </c>
      <c r="E511" s="2">
        <f>IFERROR(__xludf.DUMMYFUNCTION("""COMPUTED_VALUE"""),1316.37)</f>
        <v>1316.37</v>
      </c>
      <c r="F511" s="2">
        <f>IFERROR(__xludf.DUMMYFUNCTION("""COMPUTED_VALUE"""),2074400.0)</f>
        <v>2074400</v>
      </c>
      <c r="G511" s="2">
        <f t="shared" si="1"/>
        <v>14.95</v>
      </c>
    </row>
    <row r="512" ht="15.75" customHeight="1">
      <c r="A512" s="1">
        <f>IFERROR(__xludf.DUMMYFUNCTION("""COMPUTED_VALUE"""),44594.66666666667)</f>
        <v>44594.66667</v>
      </c>
      <c r="B512" s="2">
        <f>IFERROR(__xludf.DUMMYFUNCTION("""COMPUTED_VALUE"""),1321.35)</f>
        <v>1321.35</v>
      </c>
      <c r="C512" s="2">
        <f>IFERROR(__xludf.DUMMYFUNCTION("""COMPUTED_VALUE"""),1321.35)</f>
        <v>1321.35</v>
      </c>
      <c r="D512" s="2">
        <f>IFERROR(__xludf.DUMMYFUNCTION("""COMPUTED_VALUE"""),1306.4)</f>
        <v>1306.4</v>
      </c>
      <c r="E512" s="2">
        <f>IFERROR(__xludf.DUMMYFUNCTION("""COMPUTED_VALUE"""),1311.38)</f>
        <v>1311.38</v>
      </c>
      <c r="F512" s="2">
        <f>IFERROR(__xludf.DUMMYFUNCTION("""COMPUTED_VALUE"""),2261100.0)</f>
        <v>2261100</v>
      </c>
      <c r="G512" s="2">
        <f t="shared" si="1"/>
        <v>14.95</v>
      </c>
    </row>
    <row r="513" ht="15.75" customHeight="1">
      <c r="A513" s="1">
        <f>IFERROR(__xludf.DUMMYFUNCTION("""COMPUTED_VALUE"""),44595.66666666667)</f>
        <v>44595.66667</v>
      </c>
      <c r="B513" s="2">
        <f>IFERROR(__xludf.DUMMYFUNCTION("""COMPUTED_VALUE"""),1316.37)</f>
        <v>1316.37</v>
      </c>
      <c r="C513" s="2">
        <f>IFERROR(__xludf.DUMMYFUNCTION("""COMPUTED_VALUE"""),1321.35)</f>
        <v>1321.35</v>
      </c>
      <c r="D513" s="2">
        <f>IFERROR(__xludf.DUMMYFUNCTION("""COMPUTED_VALUE"""),1311.38)</f>
        <v>1311.38</v>
      </c>
      <c r="E513" s="2">
        <f>IFERROR(__xludf.DUMMYFUNCTION("""COMPUTED_VALUE"""),1316.37)</f>
        <v>1316.37</v>
      </c>
      <c r="F513" s="2">
        <f>IFERROR(__xludf.DUMMYFUNCTION("""COMPUTED_VALUE"""),1266300.0)</f>
        <v>1266300</v>
      </c>
      <c r="G513" s="2">
        <f t="shared" si="1"/>
        <v>9.97</v>
      </c>
    </row>
    <row r="514" ht="15.75" customHeight="1">
      <c r="A514" s="1">
        <f>IFERROR(__xludf.DUMMYFUNCTION("""COMPUTED_VALUE"""),44596.66666666667)</f>
        <v>44596.66667</v>
      </c>
      <c r="B514" s="2">
        <f>IFERROR(__xludf.DUMMYFUNCTION("""COMPUTED_VALUE"""),1321.35)</f>
        <v>1321.35</v>
      </c>
      <c r="C514" s="2">
        <f>IFERROR(__xludf.DUMMYFUNCTION("""COMPUTED_VALUE"""),1356.26)</f>
        <v>1356.26</v>
      </c>
      <c r="D514" s="2">
        <f>IFERROR(__xludf.DUMMYFUNCTION("""COMPUTED_VALUE"""),1316.37)</f>
        <v>1316.37</v>
      </c>
      <c r="E514" s="2">
        <f>IFERROR(__xludf.DUMMYFUNCTION("""COMPUTED_VALUE"""),1331.33)</f>
        <v>1331.33</v>
      </c>
      <c r="F514" s="2">
        <f>IFERROR(__xludf.DUMMYFUNCTION("""COMPUTED_VALUE"""),5432500.0)</f>
        <v>5432500</v>
      </c>
      <c r="G514" s="2">
        <f t="shared" si="1"/>
        <v>39.89</v>
      </c>
    </row>
    <row r="515" ht="15.75" customHeight="1">
      <c r="A515" s="1">
        <f>IFERROR(__xludf.DUMMYFUNCTION("""COMPUTED_VALUE"""),44599.66666666667)</f>
        <v>44599.66667</v>
      </c>
      <c r="B515" s="2">
        <f>IFERROR(__xludf.DUMMYFUNCTION("""COMPUTED_VALUE"""),1336.31)</f>
        <v>1336.31</v>
      </c>
      <c r="C515" s="2">
        <f>IFERROR(__xludf.DUMMYFUNCTION("""COMPUTED_VALUE"""),1356.26)</f>
        <v>1356.26</v>
      </c>
      <c r="D515" s="2">
        <f>IFERROR(__xludf.DUMMYFUNCTION("""COMPUTED_VALUE"""),1331.33)</f>
        <v>1331.33</v>
      </c>
      <c r="E515" s="2">
        <f>IFERROR(__xludf.DUMMYFUNCTION("""COMPUTED_VALUE"""),1351.27)</f>
        <v>1351.27</v>
      </c>
      <c r="F515" s="2">
        <f>IFERROR(__xludf.DUMMYFUNCTION("""COMPUTED_VALUE"""),4943400.0)</f>
        <v>4943400</v>
      </c>
      <c r="G515" s="2">
        <f t="shared" si="1"/>
        <v>24.93</v>
      </c>
    </row>
    <row r="516" ht="15.75" customHeight="1">
      <c r="A516" s="1">
        <f>IFERROR(__xludf.DUMMYFUNCTION("""COMPUTED_VALUE"""),44600.66666666667)</f>
        <v>44600.66667</v>
      </c>
      <c r="B516" s="2">
        <f>IFERROR(__xludf.DUMMYFUNCTION("""COMPUTED_VALUE"""),1351.27)</f>
        <v>1351.27</v>
      </c>
      <c r="C516" s="2">
        <f>IFERROR(__xludf.DUMMYFUNCTION("""COMPUTED_VALUE"""),1386.18)</f>
        <v>1386.18</v>
      </c>
      <c r="D516" s="2">
        <f>IFERROR(__xludf.DUMMYFUNCTION("""COMPUTED_VALUE"""),1351.27)</f>
        <v>1351.27</v>
      </c>
      <c r="E516" s="2">
        <f>IFERROR(__xludf.DUMMYFUNCTION("""COMPUTED_VALUE"""),1366.23)</f>
        <v>1366.23</v>
      </c>
      <c r="F516" s="2">
        <f>IFERROR(__xludf.DUMMYFUNCTION("""COMPUTED_VALUE"""),6509600.0)</f>
        <v>6509600</v>
      </c>
      <c r="G516" s="2">
        <f t="shared" si="1"/>
        <v>34.91</v>
      </c>
    </row>
    <row r="517" ht="15.75" customHeight="1">
      <c r="A517" s="1">
        <f>IFERROR(__xludf.DUMMYFUNCTION("""COMPUTED_VALUE"""),44601.66666666667)</f>
        <v>44601.66667</v>
      </c>
      <c r="B517" s="2">
        <f>IFERROR(__xludf.DUMMYFUNCTION("""COMPUTED_VALUE"""),1366.23)</f>
        <v>1366.23</v>
      </c>
      <c r="C517" s="2">
        <f>IFERROR(__xludf.DUMMYFUNCTION("""COMPUTED_VALUE"""),1391.16)</f>
        <v>1391.16</v>
      </c>
      <c r="D517" s="2">
        <f>IFERROR(__xludf.DUMMYFUNCTION("""COMPUTED_VALUE"""),1366.23)</f>
        <v>1366.23</v>
      </c>
      <c r="E517" s="2">
        <f>IFERROR(__xludf.DUMMYFUNCTION("""COMPUTED_VALUE"""),1386.18)</f>
        <v>1386.18</v>
      </c>
      <c r="F517" s="2">
        <f>IFERROR(__xludf.DUMMYFUNCTION("""COMPUTED_VALUE"""),3853400.0)</f>
        <v>3853400</v>
      </c>
      <c r="G517" s="2">
        <f t="shared" si="1"/>
        <v>24.93</v>
      </c>
    </row>
    <row r="518" ht="15.75" customHeight="1">
      <c r="A518" s="1">
        <f>IFERROR(__xludf.DUMMYFUNCTION("""COMPUTED_VALUE"""),44602.66666666667)</f>
        <v>44602.66667</v>
      </c>
      <c r="B518" s="2">
        <f>IFERROR(__xludf.DUMMYFUNCTION("""COMPUTED_VALUE"""),1386.18)</f>
        <v>1386.18</v>
      </c>
      <c r="C518" s="2">
        <f>IFERROR(__xludf.DUMMYFUNCTION("""COMPUTED_VALUE"""),1396.15)</f>
        <v>1396.15</v>
      </c>
      <c r="D518" s="2">
        <f>IFERROR(__xludf.DUMMYFUNCTION("""COMPUTED_VALUE"""),1366.23)</f>
        <v>1366.23</v>
      </c>
      <c r="E518" s="2">
        <f>IFERROR(__xludf.DUMMYFUNCTION("""COMPUTED_VALUE"""),1376.2)</f>
        <v>1376.2</v>
      </c>
      <c r="F518" s="2">
        <f>IFERROR(__xludf.DUMMYFUNCTION("""COMPUTED_VALUE"""),3635300.0)</f>
        <v>3635300</v>
      </c>
      <c r="G518" s="2">
        <f t="shared" si="1"/>
        <v>29.92</v>
      </c>
    </row>
    <row r="519" ht="15.75" customHeight="1">
      <c r="A519" s="1">
        <f>IFERROR(__xludf.DUMMYFUNCTION("""COMPUTED_VALUE"""),44603.66666666667)</f>
        <v>44603.66667</v>
      </c>
      <c r="B519" s="2">
        <f>IFERROR(__xludf.DUMMYFUNCTION("""COMPUTED_VALUE"""),1376.2)</f>
        <v>1376.2</v>
      </c>
      <c r="C519" s="2">
        <f>IFERROR(__xludf.DUMMYFUNCTION("""COMPUTED_VALUE"""),1411.11)</f>
        <v>1411.11</v>
      </c>
      <c r="D519" s="2">
        <f>IFERROR(__xludf.DUMMYFUNCTION("""COMPUTED_VALUE"""),1366.23)</f>
        <v>1366.23</v>
      </c>
      <c r="E519" s="2">
        <f>IFERROR(__xludf.DUMMYFUNCTION("""COMPUTED_VALUE"""),1396.15)</f>
        <v>1396.15</v>
      </c>
      <c r="F519" s="2">
        <f>IFERROR(__xludf.DUMMYFUNCTION("""COMPUTED_VALUE"""),5969100.0)</f>
        <v>5969100</v>
      </c>
      <c r="G519" s="2">
        <f t="shared" si="1"/>
        <v>44.88</v>
      </c>
    </row>
    <row r="520" ht="15.75" customHeight="1">
      <c r="A520" s="1">
        <f>IFERROR(__xludf.DUMMYFUNCTION("""COMPUTED_VALUE"""),44606.66666666667)</f>
        <v>44606.66667</v>
      </c>
      <c r="B520" s="2">
        <f>IFERROR(__xludf.DUMMYFUNCTION("""COMPUTED_VALUE"""),1406.12)</f>
        <v>1406.12</v>
      </c>
      <c r="C520" s="2">
        <f>IFERROR(__xludf.DUMMYFUNCTION("""COMPUTED_VALUE"""),1416.09)</f>
        <v>1416.09</v>
      </c>
      <c r="D520" s="2">
        <f>IFERROR(__xludf.DUMMYFUNCTION("""COMPUTED_VALUE"""),1371.22)</f>
        <v>1371.22</v>
      </c>
      <c r="E520" s="2">
        <f>IFERROR(__xludf.DUMMYFUNCTION("""COMPUTED_VALUE"""),1376.2)</f>
        <v>1376.2</v>
      </c>
      <c r="F520" s="2">
        <f>IFERROR(__xludf.DUMMYFUNCTION("""COMPUTED_VALUE"""),5468800.0)</f>
        <v>5468800</v>
      </c>
      <c r="G520" s="2">
        <f t="shared" si="1"/>
        <v>44.87</v>
      </c>
    </row>
    <row r="521" ht="15.75" customHeight="1">
      <c r="A521" s="1">
        <f>IFERROR(__xludf.DUMMYFUNCTION("""COMPUTED_VALUE"""),44607.66666666667)</f>
        <v>44607.66667</v>
      </c>
      <c r="B521" s="2">
        <f>IFERROR(__xludf.DUMMYFUNCTION("""COMPUTED_VALUE"""),1381.19)</f>
        <v>1381.19</v>
      </c>
      <c r="C521" s="2">
        <f>IFERROR(__xludf.DUMMYFUNCTION("""COMPUTED_VALUE"""),1401.13)</f>
        <v>1401.13</v>
      </c>
      <c r="D521" s="2">
        <f>IFERROR(__xludf.DUMMYFUNCTION("""COMPUTED_VALUE"""),1376.2)</f>
        <v>1376.2</v>
      </c>
      <c r="E521" s="2">
        <f>IFERROR(__xludf.DUMMYFUNCTION("""COMPUTED_VALUE"""),1401.13)</f>
        <v>1401.13</v>
      </c>
      <c r="F521" s="2">
        <f>IFERROR(__xludf.DUMMYFUNCTION("""COMPUTED_VALUE"""),3476300.0)</f>
        <v>3476300</v>
      </c>
      <c r="G521" s="2">
        <f t="shared" si="1"/>
        <v>24.93</v>
      </c>
    </row>
    <row r="522" ht="15.75" customHeight="1">
      <c r="A522" s="1">
        <f>IFERROR(__xludf.DUMMYFUNCTION("""COMPUTED_VALUE"""),44608.66666666667)</f>
        <v>44608.66667</v>
      </c>
      <c r="B522" s="2">
        <f>IFERROR(__xludf.DUMMYFUNCTION("""COMPUTED_VALUE"""),1401.13)</f>
        <v>1401.13</v>
      </c>
      <c r="C522" s="2">
        <f>IFERROR(__xludf.DUMMYFUNCTION("""COMPUTED_VALUE"""),1416.09)</f>
        <v>1416.09</v>
      </c>
      <c r="D522" s="2">
        <f>IFERROR(__xludf.DUMMYFUNCTION("""COMPUTED_VALUE"""),1401.13)</f>
        <v>1401.13</v>
      </c>
      <c r="E522" s="2">
        <f>IFERROR(__xludf.DUMMYFUNCTION("""COMPUTED_VALUE"""),1406.12)</f>
        <v>1406.12</v>
      </c>
      <c r="F522" s="2">
        <f>IFERROR(__xludf.DUMMYFUNCTION("""COMPUTED_VALUE"""),3452500.0)</f>
        <v>3452500</v>
      </c>
      <c r="G522" s="2">
        <f t="shared" si="1"/>
        <v>14.96</v>
      </c>
    </row>
    <row r="523" ht="15.75" customHeight="1">
      <c r="A523" s="1">
        <f>IFERROR(__xludf.DUMMYFUNCTION("""COMPUTED_VALUE"""),44609.66666666667)</f>
        <v>44609.66667</v>
      </c>
      <c r="B523" s="2">
        <f>IFERROR(__xludf.DUMMYFUNCTION("""COMPUTED_VALUE"""),1406.12)</f>
        <v>1406.12</v>
      </c>
      <c r="C523" s="2">
        <f>IFERROR(__xludf.DUMMYFUNCTION("""COMPUTED_VALUE"""),1411.11)</f>
        <v>1411.11</v>
      </c>
      <c r="D523" s="2">
        <f>IFERROR(__xludf.DUMMYFUNCTION("""COMPUTED_VALUE"""),1391.16)</f>
        <v>1391.16</v>
      </c>
      <c r="E523" s="2">
        <f>IFERROR(__xludf.DUMMYFUNCTION("""COMPUTED_VALUE"""),1401.13)</f>
        <v>1401.13</v>
      </c>
      <c r="F523" s="2">
        <f>IFERROR(__xludf.DUMMYFUNCTION("""COMPUTED_VALUE"""),2079000.0)</f>
        <v>2079000</v>
      </c>
      <c r="G523" s="2">
        <f t="shared" si="1"/>
        <v>19.95</v>
      </c>
    </row>
    <row r="524" ht="15.75" customHeight="1">
      <c r="A524" s="1">
        <f>IFERROR(__xludf.DUMMYFUNCTION("""COMPUTED_VALUE"""),44610.66666666667)</f>
        <v>44610.66667</v>
      </c>
      <c r="B524" s="2">
        <f>IFERROR(__xludf.DUMMYFUNCTION("""COMPUTED_VALUE"""),1406.12)</f>
        <v>1406.12</v>
      </c>
      <c r="C524" s="2">
        <f>IFERROR(__xludf.DUMMYFUNCTION("""COMPUTED_VALUE"""),1406.12)</f>
        <v>1406.12</v>
      </c>
      <c r="D524" s="2">
        <f>IFERROR(__xludf.DUMMYFUNCTION("""COMPUTED_VALUE"""),1386.18)</f>
        <v>1386.18</v>
      </c>
      <c r="E524" s="2">
        <f>IFERROR(__xludf.DUMMYFUNCTION("""COMPUTED_VALUE"""),1391.16)</f>
        <v>1391.16</v>
      </c>
      <c r="F524" s="2">
        <f>IFERROR(__xludf.DUMMYFUNCTION("""COMPUTED_VALUE"""),2363800.0)</f>
        <v>2363800</v>
      </c>
      <c r="G524" s="2">
        <f t="shared" si="1"/>
        <v>19.94</v>
      </c>
    </row>
    <row r="525" ht="15.75" customHeight="1">
      <c r="A525" s="1">
        <f>IFERROR(__xludf.DUMMYFUNCTION("""COMPUTED_VALUE"""),44613.66666666667)</f>
        <v>44613.66667</v>
      </c>
      <c r="B525" s="2">
        <f>IFERROR(__xludf.DUMMYFUNCTION("""COMPUTED_VALUE"""),1396.15)</f>
        <v>1396.15</v>
      </c>
      <c r="C525" s="2">
        <f>IFERROR(__xludf.DUMMYFUNCTION("""COMPUTED_VALUE"""),1411.11)</f>
        <v>1411.11</v>
      </c>
      <c r="D525" s="2">
        <f>IFERROR(__xludf.DUMMYFUNCTION("""COMPUTED_VALUE"""),1391.16)</f>
        <v>1391.16</v>
      </c>
      <c r="E525" s="2">
        <f>IFERROR(__xludf.DUMMYFUNCTION("""COMPUTED_VALUE"""),1401.13)</f>
        <v>1401.13</v>
      </c>
      <c r="F525" s="2">
        <f>IFERROR(__xludf.DUMMYFUNCTION("""COMPUTED_VALUE"""),2692500.0)</f>
        <v>2692500</v>
      </c>
      <c r="G525" s="2">
        <f t="shared" si="1"/>
        <v>19.95</v>
      </c>
    </row>
    <row r="526" ht="15.75" customHeight="1">
      <c r="A526" s="1">
        <f>IFERROR(__xludf.DUMMYFUNCTION("""COMPUTED_VALUE"""),44614.66666666667)</f>
        <v>44614.66667</v>
      </c>
      <c r="B526" s="2">
        <f>IFERROR(__xludf.DUMMYFUNCTION("""COMPUTED_VALUE"""),1411.11)</f>
        <v>1411.11</v>
      </c>
      <c r="C526" s="2">
        <f>IFERROR(__xludf.DUMMYFUNCTION("""COMPUTED_VALUE"""),1411.11)</f>
        <v>1411.11</v>
      </c>
      <c r="D526" s="2">
        <f>IFERROR(__xludf.DUMMYFUNCTION("""COMPUTED_VALUE"""),1396.15)</f>
        <v>1396.15</v>
      </c>
      <c r="E526" s="2">
        <f>IFERROR(__xludf.DUMMYFUNCTION("""COMPUTED_VALUE"""),1401.13)</f>
        <v>1401.13</v>
      </c>
      <c r="F526" s="2">
        <f>IFERROR(__xludf.DUMMYFUNCTION("""COMPUTED_VALUE"""),1903500.0)</f>
        <v>1903500</v>
      </c>
      <c r="G526" s="2">
        <f t="shared" si="1"/>
        <v>14.96</v>
      </c>
    </row>
    <row r="527" ht="15.75" customHeight="1">
      <c r="A527" s="1">
        <f>IFERROR(__xludf.DUMMYFUNCTION("""COMPUTED_VALUE"""),44615.66666666667)</f>
        <v>44615.66667</v>
      </c>
      <c r="B527" s="2">
        <f>IFERROR(__xludf.DUMMYFUNCTION("""COMPUTED_VALUE"""),1401.13)</f>
        <v>1401.13</v>
      </c>
      <c r="C527" s="2">
        <f>IFERROR(__xludf.DUMMYFUNCTION("""COMPUTED_VALUE"""),1411.11)</f>
        <v>1411.11</v>
      </c>
      <c r="D527" s="2">
        <f>IFERROR(__xludf.DUMMYFUNCTION("""COMPUTED_VALUE"""),1396.15)</f>
        <v>1396.15</v>
      </c>
      <c r="E527" s="2">
        <f>IFERROR(__xludf.DUMMYFUNCTION("""COMPUTED_VALUE"""),1406.12)</f>
        <v>1406.12</v>
      </c>
      <c r="F527" s="2">
        <f>IFERROR(__xludf.DUMMYFUNCTION("""COMPUTED_VALUE"""),8235700.0)</f>
        <v>8235700</v>
      </c>
      <c r="G527" s="2">
        <f t="shared" si="1"/>
        <v>14.96</v>
      </c>
    </row>
    <row r="528" ht="15.75" customHeight="1">
      <c r="A528" s="1">
        <f>IFERROR(__xludf.DUMMYFUNCTION("""COMPUTED_VALUE"""),44616.66666666667)</f>
        <v>44616.66667</v>
      </c>
      <c r="B528" s="2">
        <f>IFERROR(__xludf.DUMMYFUNCTION("""COMPUTED_VALUE"""),1406.12)</f>
        <v>1406.12</v>
      </c>
      <c r="C528" s="2">
        <f>IFERROR(__xludf.DUMMYFUNCTION("""COMPUTED_VALUE"""),1426.07)</f>
        <v>1426.07</v>
      </c>
      <c r="D528" s="2">
        <f>IFERROR(__xludf.DUMMYFUNCTION("""COMPUTED_VALUE"""),1341.3)</f>
        <v>1341.3</v>
      </c>
      <c r="E528" s="2">
        <f>IFERROR(__xludf.DUMMYFUNCTION("""COMPUTED_VALUE"""),1381.19)</f>
        <v>1381.19</v>
      </c>
      <c r="F528" s="2">
        <f>IFERROR(__xludf.DUMMYFUNCTION("""COMPUTED_VALUE"""),1.35662E7)</f>
        <v>13566200</v>
      </c>
      <c r="G528" s="2">
        <f t="shared" si="1"/>
        <v>84.77</v>
      </c>
    </row>
    <row r="529" ht="15.75" customHeight="1">
      <c r="A529" s="1">
        <f>IFERROR(__xludf.DUMMYFUNCTION("""COMPUTED_VALUE"""),44617.66666666667)</f>
        <v>44617.66667</v>
      </c>
      <c r="B529" s="2">
        <f>IFERROR(__xludf.DUMMYFUNCTION("""COMPUTED_VALUE"""),1386.18)</f>
        <v>1386.18</v>
      </c>
      <c r="C529" s="2">
        <f>IFERROR(__xludf.DUMMYFUNCTION("""COMPUTED_VALUE"""),1421.08)</f>
        <v>1421.08</v>
      </c>
      <c r="D529" s="2">
        <f>IFERROR(__xludf.DUMMYFUNCTION("""COMPUTED_VALUE"""),1381.19)</f>
        <v>1381.19</v>
      </c>
      <c r="E529" s="2">
        <f>IFERROR(__xludf.DUMMYFUNCTION("""COMPUTED_VALUE"""),1391.16)</f>
        <v>1391.16</v>
      </c>
      <c r="F529" s="2">
        <f>IFERROR(__xludf.DUMMYFUNCTION("""COMPUTED_VALUE"""),6874900.0)</f>
        <v>6874900</v>
      </c>
      <c r="G529" s="2">
        <f t="shared" si="1"/>
        <v>39.89</v>
      </c>
    </row>
    <row r="530" ht="15.75" customHeight="1">
      <c r="A530" s="1">
        <f>IFERROR(__xludf.DUMMYFUNCTION("""COMPUTED_VALUE"""),44621.66666666667)</f>
        <v>44621.66667</v>
      </c>
      <c r="B530" s="2">
        <f>IFERROR(__xludf.DUMMYFUNCTION("""COMPUTED_VALUE"""),1396.15)</f>
        <v>1396.15</v>
      </c>
      <c r="C530" s="2">
        <f>IFERROR(__xludf.DUMMYFUNCTION("""COMPUTED_VALUE"""),1416.09)</f>
        <v>1416.09</v>
      </c>
      <c r="D530" s="2">
        <f>IFERROR(__xludf.DUMMYFUNCTION("""COMPUTED_VALUE"""),1391.16)</f>
        <v>1391.16</v>
      </c>
      <c r="E530" s="2">
        <f>IFERROR(__xludf.DUMMYFUNCTION("""COMPUTED_VALUE"""),1396.15)</f>
        <v>1396.15</v>
      </c>
      <c r="F530" s="2">
        <f>IFERROR(__xludf.DUMMYFUNCTION("""COMPUTED_VALUE"""),4639700.0)</f>
        <v>4639700</v>
      </c>
      <c r="G530" s="2">
        <f t="shared" si="1"/>
        <v>24.93</v>
      </c>
    </row>
    <row r="531" ht="15.75" customHeight="1">
      <c r="A531" s="1">
        <f>IFERROR(__xludf.DUMMYFUNCTION("""COMPUTED_VALUE"""),44622.66666666667)</f>
        <v>44622.66667</v>
      </c>
      <c r="B531" s="2">
        <f>IFERROR(__xludf.DUMMYFUNCTION("""COMPUTED_VALUE"""),1401.13)</f>
        <v>1401.13</v>
      </c>
      <c r="C531" s="2">
        <f>IFERROR(__xludf.DUMMYFUNCTION("""COMPUTED_VALUE"""),1411.11)</f>
        <v>1411.11</v>
      </c>
      <c r="D531" s="2">
        <f>IFERROR(__xludf.DUMMYFUNCTION("""COMPUTED_VALUE"""),1396.15)</f>
        <v>1396.15</v>
      </c>
      <c r="E531" s="2">
        <f>IFERROR(__xludf.DUMMYFUNCTION("""COMPUTED_VALUE"""),1411.11)</f>
        <v>1411.11</v>
      </c>
      <c r="F531" s="2">
        <f>IFERROR(__xludf.DUMMYFUNCTION("""COMPUTED_VALUE"""),1.20337E7)</f>
        <v>12033700</v>
      </c>
      <c r="G531" s="2">
        <f t="shared" si="1"/>
        <v>14.96</v>
      </c>
    </row>
    <row r="532" ht="15.75" customHeight="1">
      <c r="A532" s="1">
        <f>IFERROR(__xludf.DUMMYFUNCTION("""COMPUTED_VALUE"""),44624.66666666667)</f>
        <v>44624.66667</v>
      </c>
      <c r="B532" s="2">
        <f>IFERROR(__xludf.DUMMYFUNCTION("""COMPUTED_VALUE"""),1415.0)</f>
        <v>1415</v>
      </c>
      <c r="C532" s="2">
        <f>IFERROR(__xludf.DUMMYFUNCTION("""COMPUTED_VALUE"""),1415.0)</f>
        <v>1415</v>
      </c>
      <c r="D532" s="2">
        <f>IFERROR(__xludf.DUMMYFUNCTION("""COMPUTED_VALUE"""),1395.0)</f>
        <v>1395</v>
      </c>
      <c r="E532" s="2">
        <f>IFERROR(__xludf.DUMMYFUNCTION("""COMPUTED_VALUE"""),1400.0)</f>
        <v>1400</v>
      </c>
      <c r="F532" s="2">
        <f>IFERROR(__xludf.DUMMYFUNCTION("""COMPUTED_VALUE"""),1.43366E7)</f>
        <v>14336600</v>
      </c>
      <c r="G532" s="2">
        <f t="shared" si="1"/>
        <v>20</v>
      </c>
    </row>
    <row r="533" ht="15.75" customHeight="1">
      <c r="A533" s="1">
        <f>IFERROR(__xludf.DUMMYFUNCTION("""COMPUTED_VALUE"""),44627.66666666667)</f>
        <v>44627.66667</v>
      </c>
      <c r="B533" s="2">
        <f>IFERROR(__xludf.DUMMYFUNCTION("""COMPUTED_VALUE"""),1400.0)</f>
        <v>1400</v>
      </c>
      <c r="C533" s="2">
        <f>IFERROR(__xludf.DUMMYFUNCTION("""COMPUTED_VALUE"""),1405.0)</f>
        <v>1405</v>
      </c>
      <c r="D533" s="2">
        <f>IFERROR(__xludf.DUMMYFUNCTION("""COMPUTED_VALUE"""),1375.0)</f>
        <v>1375</v>
      </c>
      <c r="E533" s="2">
        <f>IFERROR(__xludf.DUMMYFUNCTION("""COMPUTED_VALUE"""),1375.0)</f>
        <v>1375</v>
      </c>
      <c r="F533" s="2">
        <f>IFERROR(__xludf.DUMMYFUNCTION("""COMPUTED_VALUE"""),8273200.0)</f>
        <v>8273200</v>
      </c>
      <c r="G533" s="2">
        <f t="shared" si="1"/>
        <v>30</v>
      </c>
    </row>
    <row r="534" ht="15.75" customHeight="1">
      <c r="A534" s="1">
        <f>IFERROR(__xludf.DUMMYFUNCTION("""COMPUTED_VALUE"""),44628.66666666667)</f>
        <v>44628.66667</v>
      </c>
      <c r="B534" s="2">
        <f>IFERROR(__xludf.DUMMYFUNCTION("""COMPUTED_VALUE"""),1375.0)</f>
        <v>1375</v>
      </c>
      <c r="C534" s="2">
        <f>IFERROR(__xludf.DUMMYFUNCTION("""COMPUTED_VALUE"""),1395.0)</f>
        <v>1395</v>
      </c>
      <c r="D534" s="2">
        <f>IFERROR(__xludf.DUMMYFUNCTION("""COMPUTED_VALUE"""),1370.0)</f>
        <v>1370</v>
      </c>
      <c r="E534" s="2">
        <f>IFERROR(__xludf.DUMMYFUNCTION("""COMPUTED_VALUE"""),1395.0)</f>
        <v>1395</v>
      </c>
      <c r="F534" s="2">
        <f>IFERROR(__xludf.DUMMYFUNCTION("""COMPUTED_VALUE"""),7543400.0)</f>
        <v>7543400</v>
      </c>
      <c r="G534" s="2">
        <f t="shared" si="1"/>
        <v>25</v>
      </c>
    </row>
    <row r="535" ht="15.75" customHeight="1">
      <c r="A535" s="1">
        <f>IFERROR(__xludf.DUMMYFUNCTION("""COMPUTED_VALUE"""),44629.66666666667)</f>
        <v>44629.66667</v>
      </c>
      <c r="B535" s="2">
        <f>IFERROR(__xludf.DUMMYFUNCTION("""COMPUTED_VALUE"""),1395.0)</f>
        <v>1395</v>
      </c>
      <c r="C535" s="2">
        <f>IFERROR(__xludf.DUMMYFUNCTION("""COMPUTED_VALUE"""),1400.0)</f>
        <v>1400</v>
      </c>
      <c r="D535" s="2">
        <f>IFERROR(__xludf.DUMMYFUNCTION("""COMPUTED_VALUE"""),1365.0)</f>
        <v>1365</v>
      </c>
      <c r="E535" s="2">
        <f>IFERROR(__xludf.DUMMYFUNCTION("""COMPUTED_VALUE"""),1380.0)</f>
        <v>1380</v>
      </c>
      <c r="F535" s="2">
        <f>IFERROR(__xludf.DUMMYFUNCTION("""COMPUTED_VALUE"""),1.62724E7)</f>
        <v>16272400</v>
      </c>
      <c r="G535" s="2">
        <f t="shared" si="1"/>
        <v>35</v>
      </c>
    </row>
    <row r="536" ht="15.75" customHeight="1">
      <c r="A536" s="1">
        <f>IFERROR(__xludf.DUMMYFUNCTION("""COMPUTED_VALUE"""),44630.66666666667)</f>
        <v>44630.66667</v>
      </c>
      <c r="B536" s="2">
        <f>IFERROR(__xludf.DUMMYFUNCTION("""COMPUTED_VALUE"""),1380.0)</f>
        <v>1380</v>
      </c>
      <c r="C536" s="2">
        <f>IFERROR(__xludf.DUMMYFUNCTION("""COMPUTED_VALUE"""),1400.0)</f>
        <v>1400</v>
      </c>
      <c r="D536" s="2">
        <f>IFERROR(__xludf.DUMMYFUNCTION("""COMPUTED_VALUE"""),1370.0)</f>
        <v>1370</v>
      </c>
      <c r="E536" s="2">
        <f>IFERROR(__xludf.DUMMYFUNCTION("""COMPUTED_VALUE"""),1385.0)</f>
        <v>1385</v>
      </c>
      <c r="F536" s="2">
        <f>IFERROR(__xludf.DUMMYFUNCTION("""COMPUTED_VALUE"""),1.66937E7)</f>
        <v>16693700</v>
      </c>
      <c r="G536" s="2">
        <f t="shared" si="1"/>
        <v>30</v>
      </c>
    </row>
    <row r="537" ht="15.75" customHeight="1">
      <c r="A537" s="1">
        <f>IFERROR(__xludf.DUMMYFUNCTION("""COMPUTED_VALUE"""),44631.66666666667)</f>
        <v>44631.66667</v>
      </c>
      <c r="B537" s="2">
        <f>IFERROR(__xludf.DUMMYFUNCTION("""COMPUTED_VALUE"""),1385.0)</f>
        <v>1385</v>
      </c>
      <c r="C537" s="2">
        <f>IFERROR(__xludf.DUMMYFUNCTION("""COMPUTED_VALUE"""),1415.0)</f>
        <v>1415</v>
      </c>
      <c r="D537" s="2">
        <f>IFERROR(__xludf.DUMMYFUNCTION("""COMPUTED_VALUE"""),1380.0)</f>
        <v>1380</v>
      </c>
      <c r="E537" s="2">
        <f>IFERROR(__xludf.DUMMYFUNCTION("""COMPUTED_VALUE"""),1405.0)</f>
        <v>1405</v>
      </c>
      <c r="F537" s="2">
        <f>IFERROR(__xludf.DUMMYFUNCTION("""COMPUTED_VALUE"""),9131700.0)</f>
        <v>9131700</v>
      </c>
      <c r="G537" s="2">
        <f t="shared" si="1"/>
        <v>35</v>
      </c>
    </row>
    <row r="538" ht="15.75" customHeight="1">
      <c r="A538" s="1">
        <f>IFERROR(__xludf.DUMMYFUNCTION("""COMPUTED_VALUE"""),44634.66666666667)</f>
        <v>44634.66667</v>
      </c>
      <c r="B538" s="2">
        <f>IFERROR(__xludf.DUMMYFUNCTION("""COMPUTED_VALUE"""),1405.0)</f>
        <v>1405</v>
      </c>
      <c r="C538" s="2">
        <f>IFERROR(__xludf.DUMMYFUNCTION("""COMPUTED_VALUE"""),1455.0)</f>
        <v>1455</v>
      </c>
      <c r="D538" s="2">
        <f>IFERROR(__xludf.DUMMYFUNCTION("""COMPUTED_VALUE"""),1405.0)</f>
        <v>1405</v>
      </c>
      <c r="E538" s="2">
        <f>IFERROR(__xludf.DUMMYFUNCTION("""COMPUTED_VALUE"""),1420.0)</f>
        <v>1420</v>
      </c>
      <c r="F538" s="2">
        <f>IFERROR(__xludf.DUMMYFUNCTION("""COMPUTED_VALUE"""),2.30524E7)</f>
        <v>23052400</v>
      </c>
      <c r="G538" s="2">
        <f t="shared" si="1"/>
        <v>50</v>
      </c>
    </row>
    <row r="539" ht="15.75" customHeight="1">
      <c r="A539" s="1">
        <f>IFERROR(__xludf.DUMMYFUNCTION("""COMPUTED_VALUE"""),44635.66666666667)</f>
        <v>44635.66667</v>
      </c>
      <c r="B539" s="2">
        <f>IFERROR(__xludf.DUMMYFUNCTION("""COMPUTED_VALUE"""),1425.0)</f>
        <v>1425</v>
      </c>
      <c r="C539" s="2">
        <f>IFERROR(__xludf.DUMMYFUNCTION("""COMPUTED_VALUE"""),1440.0)</f>
        <v>1440</v>
      </c>
      <c r="D539" s="2">
        <f>IFERROR(__xludf.DUMMYFUNCTION("""COMPUTED_VALUE"""),1395.0)</f>
        <v>1395</v>
      </c>
      <c r="E539" s="2">
        <f>IFERROR(__xludf.DUMMYFUNCTION("""COMPUTED_VALUE"""),1410.0)</f>
        <v>1410</v>
      </c>
      <c r="F539" s="2">
        <f>IFERROR(__xludf.DUMMYFUNCTION("""COMPUTED_VALUE"""),2.53952E7)</f>
        <v>25395200</v>
      </c>
      <c r="G539" s="2">
        <f t="shared" si="1"/>
        <v>45</v>
      </c>
    </row>
    <row r="540" ht="15.75" customHeight="1">
      <c r="A540" s="1">
        <f>IFERROR(__xludf.DUMMYFUNCTION("""COMPUTED_VALUE"""),44636.66666666667)</f>
        <v>44636.66667</v>
      </c>
      <c r="B540" s="2">
        <f>IFERROR(__xludf.DUMMYFUNCTION("""COMPUTED_VALUE"""),1415.0)</f>
        <v>1415</v>
      </c>
      <c r="C540" s="2">
        <f>IFERROR(__xludf.DUMMYFUNCTION("""COMPUTED_VALUE"""),1425.0)</f>
        <v>1425</v>
      </c>
      <c r="D540" s="2">
        <f>IFERROR(__xludf.DUMMYFUNCTION("""COMPUTED_VALUE"""),1405.0)</f>
        <v>1405</v>
      </c>
      <c r="E540" s="2">
        <f>IFERROR(__xludf.DUMMYFUNCTION("""COMPUTED_VALUE"""),1410.0)</f>
        <v>1410</v>
      </c>
      <c r="F540" s="2">
        <f>IFERROR(__xludf.DUMMYFUNCTION("""COMPUTED_VALUE"""),9712900.0)</f>
        <v>9712900</v>
      </c>
      <c r="G540" s="2">
        <f t="shared" si="1"/>
        <v>20</v>
      </c>
    </row>
    <row r="541" ht="15.75" customHeight="1">
      <c r="A541" s="1">
        <f>IFERROR(__xludf.DUMMYFUNCTION("""COMPUTED_VALUE"""),44637.66666666667)</f>
        <v>44637.66667</v>
      </c>
      <c r="B541" s="2">
        <f>IFERROR(__xludf.DUMMYFUNCTION("""COMPUTED_VALUE"""),1415.0)</f>
        <v>1415</v>
      </c>
      <c r="C541" s="2">
        <f>IFERROR(__xludf.DUMMYFUNCTION("""COMPUTED_VALUE"""),1420.0)</f>
        <v>1420</v>
      </c>
      <c r="D541" s="2">
        <f>IFERROR(__xludf.DUMMYFUNCTION("""COMPUTED_VALUE"""),1400.0)</f>
        <v>1400</v>
      </c>
      <c r="E541" s="2">
        <f>IFERROR(__xludf.DUMMYFUNCTION("""COMPUTED_VALUE"""),1410.0)</f>
        <v>1410</v>
      </c>
      <c r="F541" s="2">
        <f>IFERROR(__xludf.DUMMYFUNCTION("""COMPUTED_VALUE"""),9713600.0)</f>
        <v>9713600</v>
      </c>
      <c r="G541" s="2">
        <f t="shared" si="1"/>
        <v>20</v>
      </c>
    </row>
    <row r="542" ht="15.75" customHeight="1">
      <c r="A542" s="1">
        <f>IFERROR(__xludf.DUMMYFUNCTION("""COMPUTED_VALUE"""),44638.66666666667)</f>
        <v>44638.66667</v>
      </c>
      <c r="B542" s="2">
        <f>IFERROR(__xludf.DUMMYFUNCTION("""COMPUTED_VALUE"""),1410.0)</f>
        <v>1410</v>
      </c>
      <c r="C542" s="2">
        <f>IFERROR(__xludf.DUMMYFUNCTION("""COMPUTED_VALUE"""),1450.0)</f>
        <v>1450</v>
      </c>
      <c r="D542" s="2">
        <f>IFERROR(__xludf.DUMMYFUNCTION("""COMPUTED_VALUE"""),1400.0)</f>
        <v>1400</v>
      </c>
      <c r="E542" s="2">
        <f>IFERROR(__xludf.DUMMYFUNCTION("""COMPUTED_VALUE"""),1450.0)</f>
        <v>1450</v>
      </c>
      <c r="F542" s="2">
        <f>IFERROR(__xludf.DUMMYFUNCTION("""COMPUTED_VALUE"""),9744400.0)</f>
        <v>9744400</v>
      </c>
      <c r="G542" s="2">
        <f t="shared" si="1"/>
        <v>50</v>
      </c>
    </row>
    <row r="543" ht="15.75" customHeight="1">
      <c r="A543" s="1">
        <f>IFERROR(__xludf.DUMMYFUNCTION("""COMPUTED_VALUE"""),44641.66666666667)</f>
        <v>44641.66667</v>
      </c>
      <c r="B543" s="2">
        <f>IFERROR(__xludf.DUMMYFUNCTION("""COMPUTED_VALUE"""),1435.0)</f>
        <v>1435</v>
      </c>
      <c r="C543" s="2">
        <f>IFERROR(__xludf.DUMMYFUNCTION("""COMPUTED_VALUE"""),1445.0)</f>
        <v>1445</v>
      </c>
      <c r="D543" s="2">
        <f>IFERROR(__xludf.DUMMYFUNCTION("""COMPUTED_VALUE"""),1370.0)</f>
        <v>1370</v>
      </c>
      <c r="E543" s="2">
        <f>IFERROR(__xludf.DUMMYFUNCTION("""COMPUTED_VALUE"""),1415.0)</f>
        <v>1415</v>
      </c>
      <c r="F543" s="2">
        <f>IFERROR(__xludf.DUMMYFUNCTION("""COMPUTED_VALUE"""),2.56038E7)</f>
        <v>25603800</v>
      </c>
      <c r="G543" s="2">
        <f t="shared" si="1"/>
        <v>80</v>
      </c>
    </row>
    <row r="544" ht="15.75" customHeight="1">
      <c r="A544" s="1">
        <f>IFERROR(__xludf.DUMMYFUNCTION("""COMPUTED_VALUE"""),44642.66666666667)</f>
        <v>44642.66667</v>
      </c>
      <c r="B544" s="2">
        <f>IFERROR(__xludf.DUMMYFUNCTION("""COMPUTED_VALUE"""),1415.0)</f>
        <v>1415</v>
      </c>
      <c r="C544" s="2">
        <f>IFERROR(__xludf.DUMMYFUNCTION("""COMPUTED_VALUE"""),1435.0)</f>
        <v>1435</v>
      </c>
      <c r="D544" s="2">
        <f>IFERROR(__xludf.DUMMYFUNCTION("""COMPUTED_VALUE"""),1390.0)</f>
        <v>1390</v>
      </c>
      <c r="E544" s="2">
        <f>IFERROR(__xludf.DUMMYFUNCTION("""COMPUTED_VALUE"""),1435.0)</f>
        <v>1435</v>
      </c>
      <c r="F544" s="2">
        <f>IFERROR(__xludf.DUMMYFUNCTION("""COMPUTED_VALUE"""),1.40559E7)</f>
        <v>14055900</v>
      </c>
      <c r="G544" s="2">
        <f t="shared" si="1"/>
        <v>45</v>
      </c>
    </row>
    <row r="545" ht="15.75" customHeight="1">
      <c r="A545" s="1">
        <f>IFERROR(__xludf.DUMMYFUNCTION("""COMPUTED_VALUE"""),44643.66666666667)</f>
        <v>44643.66667</v>
      </c>
      <c r="B545" s="2">
        <f>IFERROR(__xludf.DUMMYFUNCTION("""COMPUTED_VALUE"""),1445.0)</f>
        <v>1445</v>
      </c>
      <c r="C545" s="2">
        <f>IFERROR(__xludf.DUMMYFUNCTION("""COMPUTED_VALUE"""),1450.0)</f>
        <v>1450</v>
      </c>
      <c r="D545" s="2">
        <f>IFERROR(__xludf.DUMMYFUNCTION("""COMPUTED_VALUE"""),1430.0)</f>
        <v>1430</v>
      </c>
      <c r="E545" s="2">
        <f>IFERROR(__xludf.DUMMYFUNCTION("""COMPUTED_VALUE"""),1445.0)</f>
        <v>1445</v>
      </c>
      <c r="F545" s="2">
        <f>IFERROR(__xludf.DUMMYFUNCTION("""COMPUTED_VALUE"""),1.08352E7)</f>
        <v>10835200</v>
      </c>
      <c r="G545" s="2">
        <f t="shared" si="1"/>
        <v>20</v>
      </c>
    </row>
    <row r="546" ht="15.75" customHeight="1">
      <c r="A546" s="1">
        <f>IFERROR(__xludf.DUMMYFUNCTION("""COMPUTED_VALUE"""),44644.66666666667)</f>
        <v>44644.66667</v>
      </c>
      <c r="B546" s="2">
        <f>IFERROR(__xludf.DUMMYFUNCTION("""COMPUTED_VALUE"""),1445.0)</f>
        <v>1445</v>
      </c>
      <c r="C546" s="2">
        <f>IFERROR(__xludf.DUMMYFUNCTION("""COMPUTED_VALUE"""),1480.0)</f>
        <v>1480</v>
      </c>
      <c r="D546" s="2">
        <f>IFERROR(__xludf.DUMMYFUNCTION("""COMPUTED_VALUE"""),1445.0)</f>
        <v>1445</v>
      </c>
      <c r="E546" s="2">
        <f>IFERROR(__xludf.DUMMYFUNCTION("""COMPUTED_VALUE"""),1475.0)</f>
        <v>1475</v>
      </c>
      <c r="F546" s="2">
        <f>IFERROR(__xludf.DUMMYFUNCTION("""COMPUTED_VALUE"""),1.8033E7)</f>
        <v>18033000</v>
      </c>
      <c r="G546" s="2">
        <f t="shared" si="1"/>
        <v>35</v>
      </c>
    </row>
    <row r="547" ht="15.75" customHeight="1">
      <c r="A547" s="1">
        <f>IFERROR(__xludf.DUMMYFUNCTION("""COMPUTED_VALUE"""),44645.66666666667)</f>
        <v>44645.66667</v>
      </c>
      <c r="B547" s="2">
        <f>IFERROR(__xludf.DUMMYFUNCTION("""COMPUTED_VALUE"""),1495.0)</f>
        <v>1495</v>
      </c>
      <c r="C547" s="2">
        <f>IFERROR(__xludf.DUMMYFUNCTION("""COMPUTED_VALUE"""),1510.0)</f>
        <v>1510</v>
      </c>
      <c r="D547" s="2">
        <f>IFERROR(__xludf.DUMMYFUNCTION("""COMPUTED_VALUE"""),1455.0)</f>
        <v>1455</v>
      </c>
      <c r="E547" s="2">
        <f>IFERROR(__xludf.DUMMYFUNCTION("""COMPUTED_VALUE"""),1480.0)</f>
        <v>1480</v>
      </c>
      <c r="F547" s="2">
        <f>IFERROR(__xludf.DUMMYFUNCTION("""COMPUTED_VALUE"""),2.71798E7)</f>
        <v>27179800</v>
      </c>
      <c r="G547" s="2">
        <f t="shared" si="1"/>
        <v>55</v>
      </c>
    </row>
    <row r="548" ht="15.75" customHeight="1">
      <c r="A548" s="1">
        <f>IFERROR(__xludf.DUMMYFUNCTION("""COMPUTED_VALUE"""),44648.66666666667)</f>
        <v>44648.66667</v>
      </c>
      <c r="B548" s="2">
        <f>IFERROR(__xludf.DUMMYFUNCTION("""COMPUTED_VALUE"""),1480.0)</f>
        <v>1480</v>
      </c>
      <c r="C548" s="2">
        <f>IFERROR(__xludf.DUMMYFUNCTION("""COMPUTED_VALUE"""),1530.0)</f>
        <v>1530</v>
      </c>
      <c r="D548" s="2">
        <f>IFERROR(__xludf.DUMMYFUNCTION("""COMPUTED_VALUE"""),1480.0)</f>
        <v>1480</v>
      </c>
      <c r="E548" s="2">
        <f>IFERROR(__xludf.DUMMYFUNCTION("""COMPUTED_VALUE"""),1530.0)</f>
        <v>1530</v>
      </c>
      <c r="F548" s="2">
        <f>IFERROR(__xludf.DUMMYFUNCTION("""COMPUTED_VALUE"""),2.81041E7)</f>
        <v>28104100</v>
      </c>
      <c r="G548" s="2">
        <f t="shared" si="1"/>
        <v>50</v>
      </c>
    </row>
    <row r="549" ht="15.75" customHeight="1">
      <c r="A549" s="1">
        <f>IFERROR(__xludf.DUMMYFUNCTION("""COMPUTED_VALUE"""),44649.66666666667)</f>
        <v>44649.66667</v>
      </c>
      <c r="B549" s="2">
        <f>IFERROR(__xludf.DUMMYFUNCTION("""COMPUTED_VALUE"""),1535.0)</f>
        <v>1535</v>
      </c>
      <c r="C549" s="2">
        <f>IFERROR(__xludf.DUMMYFUNCTION("""COMPUTED_VALUE"""),1560.0)</f>
        <v>1560</v>
      </c>
      <c r="D549" s="2">
        <f>IFERROR(__xludf.DUMMYFUNCTION("""COMPUTED_VALUE"""),1515.0)</f>
        <v>1515</v>
      </c>
      <c r="E549" s="2">
        <f>IFERROR(__xludf.DUMMYFUNCTION("""COMPUTED_VALUE"""),1545.0)</f>
        <v>1545</v>
      </c>
      <c r="F549" s="2">
        <f>IFERROR(__xludf.DUMMYFUNCTION("""COMPUTED_VALUE"""),2.22566E7)</f>
        <v>22256600</v>
      </c>
      <c r="G549" s="2">
        <f t="shared" si="1"/>
        <v>45</v>
      </c>
    </row>
    <row r="550" ht="15.75" customHeight="1">
      <c r="A550" s="1">
        <f>IFERROR(__xludf.DUMMYFUNCTION("""COMPUTED_VALUE"""),44650.66666666667)</f>
        <v>44650.66667</v>
      </c>
      <c r="B550" s="2">
        <f>IFERROR(__xludf.DUMMYFUNCTION("""COMPUTED_VALUE"""),1545.0)</f>
        <v>1545</v>
      </c>
      <c r="C550" s="2">
        <f>IFERROR(__xludf.DUMMYFUNCTION("""COMPUTED_VALUE"""),1560.0)</f>
        <v>1560</v>
      </c>
      <c r="D550" s="2">
        <f>IFERROR(__xludf.DUMMYFUNCTION("""COMPUTED_VALUE"""),1500.0)</f>
        <v>1500</v>
      </c>
      <c r="E550" s="2">
        <f>IFERROR(__xludf.DUMMYFUNCTION("""COMPUTED_VALUE"""),1525.0)</f>
        <v>1525</v>
      </c>
      <c r="F550" s="2">
        <f>IFERROR(__xludf.DUMMYFUNCTION("""COMPUTED_VALUE"""),3.50791E7)</f>
        <v>35079100</v>
      </c>
      <c r="G550" s="2">
        <f t="shared" si="1"/>
        <v>60</v>
      </c>
    </row>
    <row r="551" ht="15.75" customHeight="1">
      <c r="A551" s="1">
        <f>IFERROR(__xludf.DUMMYFUNCTION("""COMPUTED_VALUE"""),44651.66666666667)</f>
        <v>44651.66667</v>
      </c>
      <c r="B551" s="2">
        <f>IFERROR(__xludf.DUMMYFUNCTION("""COMPUTED_VALUE"""),1525.0)</f>
        <v>1525</v>
      </c>
      <c r="C551" s="2">
        <f>IFERROR(__xludf.DUMMYFUNCTION("""COMPUTED_VALUE"""),1535.0)</f>
        <v>1535</v>
      </c>
      <c r="D551" s="2">
        <f>IFERROR(__xludf.DUMMYFUNCTION("""COMPUTED_VALUE"""),1510.0)</f>
        <v>1510</v>
      </c>
      <c r="E551" s="2">
        <f>IFERROR(__xludf.DUMMYFUNCTION("""COMPUTED_VALUE"""),1525.0)</f>
        <v>1525</v>
      </c>
      <c r="F551" s="2">
        <f>IFERROR(__xludf.DUMMYFUNCTION("""COMPUTED_VALUE"""),1.75104E7)</f>
        <v>17510400</v>
      </c>
      <c r="G551" s="2">
        <f t="shared" si="1"/>
        <v>25</v>
      </c>
    </row>
    <row r="552" ht="15.75" customHeight="1">
      <c r="A552" s="1">
        <f>IFERROR(__xludf.DUMMYFUNCTION("""COMPUTED_VALUE"""),44652.66666666667)</f>
        <v>44652.66667</v>
      </c>
      <c r="B552" s="2">
        <f>IFERROR(__xludf.DUMMYFUNCTION("""COMPUTED_VALUE"""),1525.0)</f>
        <v>1525</v>
      </c>
      <c r="C552" s="2">
        <f>IFERROR(__xludf.DUMMYFUNCTION("""COMPUTED_VALUE"""),1535.0)</f>
        <v>1535</v>
      </c>
      <c r="D552" s="2">
        <f>IFERROR(__xludf.DUMMYFUNCTION("""COMPUTED_VALUE"""),1515.0)</f>
        <v>1515</v>
      </c>
      <c r="E552" s="2">
        <f>IFERROR(__xludf.DUMMYFUNCTION("""COMPUTED_VALUE"""),1520.0)</f>
        <v>1520</v>
      </c>
      <c r="F552" s="2">
        <f>IFERROR(__xludf.DUMMYFUNCTION("""COMPUTED_VALUE"""),7630400.0)</f>
        <v>7630400</v>
      </c>
      <c r="G552" s="2">
        <f t="shared" si="1"/>
        <v>20</v>
      </c>
    </row>
    <row r="553" ht="15.75" customHeight="1">
      <c r="A553" s="1">
        <f>IFERROR(__xludf.DUMMYFUNCTION("""COMPUTED_VALUE"""),44655.66666666667)</f>
        <v>44655.66667</v>
      </c>
      <c r="B553" s="2">
        <f>IFERROR(__xludf.DUMMYFUNCTION("""COMPUTED_VALUE"""),1530.0)</f>
        <v>1530</v>
      </c>
      <c r="C553" s="2">
        <f>IFERROR(__xludf.DUMMYFUNCTION("""COMPUTED_VALUE"""),1545.0)</f>
        <v>1545</v>
      </c>
      <c r="D553" s="2">
        <f>IFERROR(__xludf.DUMMYFUNCTION("""COMPUTED_VALUE"""),1510.0)</f>
        <v>1510</v>
      </c>
      <c r="E553" s="2">
        <f>IFERROR(__xludf.DUMMYFUNCTION("""COMPUTED_VALUE"""),1530.0)</f>
        <v>1530</v>
      </c>
      <c r="F553" s="2">
        <f>IFERROR(__xludf.DUMMYFUNCTION("""COMPUTED_VALUE"""),2.19923E7)</f>
        <v>21992300</v>
      </c>
      <c r="G553" s="2">
        <f t="shared" si="1"/>
        <v>35</v>
      </c>
    </row>
    <row r="554" ht="15.75" customHeight="1">
      <c r="A554" s="1">
        <f>IFERROR(__xludf.DUMMYFUNCTION("""COMPUTED_VALUE"""),44656.66666666667)</f>
        <v>44656.66667</v>
      </c>
      <c r="B554" s="2">
        <f>IFERROR(__xludf.DUMMYFUNCTION("""COMPUTED_VALUE"""),1535.0)</f>
        <v>1535</v>
      </c>
      <c r="C554" s="2">
        <f>IFERROR(__xludf.DUMMYFUNCTION("""COMPUTED_VALUE"""),1535.0)</f>
        <v>1535</v>
      </c>
      <c r="D554" s="2">
        <f>IFERROR(__xludf.DUMMYFUNCTION("""COMPUTED_VALUE"""),1505.0)</f>
        <v>1505</v>
      </c>
      <c r="E554" s="2">
        <f>IFERROR(__xludf.DUMMYFUNCTION("""COMPUTED_VALUE"""),1520.0)</f>
        <v>1520</v>
      </c>
      <c r="F554" s="2">
        <f>IFERROR(__xludf.DUMMYFUNCTION("""COMPUTED_VALUE"""),1.90824E7)</f>
        <v>19082400</v>
      </c>
      <c r="G554" s="2">
        <f t="shared" si="1"/>
        <v>30</v>
      </c>
    </row>
    <row r="555" ht="15.75" customHeight="1">
      <c r="A555" s="1">
        <f>IFERROR(__xludf.DUMMYFUNCTION("""COMPUTED_VALUE"""),44657.66666666667)</f>
        <v>44657.66667</v>
      </c>
      <c r="B555" s="2">
        <f>IFERROR(__xludf.DUMMYFUNCTION("""COMPUTED_VALUE"""),1520.0)</f>
        <v>1520</v>
      </c>
      <c r="C555" s="2">
        <f>IFERROR(__xludf.DUMMYFUNCTION("""COMPUTED_VALUE"""),1530.0)</f>
        <v>1530</v>
      </c>
      <c r="D555" s="2">
        <f>IFERROR(__xludf.DUMMYFUNCTION("""COMPUTED_VALUE"""),1510.0)</f>
        <v>1510</v>
      </c>
      <c r="E555" s="2">
        <f>IFERROR(__xludf.DUMMYFUNCTION("""COMPUTED_VALUE"""),1520.0)</f>
        <v>1520</v>
      </c>
      <c r="F555" s="2">
        <f>IFERROR(__xludf.DUMMYFUNCTION("""COMPUTED_VALUE"""),2.39263E7)</f>
        <v>23926300</v>
      </c>
      <c r="G555" s="2">
        <f t="shared" si="1"/>
        <v>20</v>
      </c>
    </row>
    <row r="556" ht="15.75" customHeight="1">
      <c r="A556" s="1">
        <f>IFERROR(__xludf.DUMMYFUNCTION("""COMPUTED_VALUE"""),44658.66666666667)</f>
        <v>44658.66667</v>
      </c>
      <c r="B556" s="2">
        <f>IFERROR(__xludf.DUMMYFUNCTION("""COMPUTED_VALUE"""),1520.0)</f>
        <v>1520</v>
      </c>
      <c r="C556" s="2">
        <f>IFERROR(__xludf.DUMMYFUNCTION("""COMPUTED_VALUE"""),1525.0)</f>
        <v>1525</v>
      </c>
      <c r="D556" s="2">
        <f>IFERROR(__xludf.DUMMYFUNCTION("""COMPUTED_VALUE"""),1485.0)</f>
        <v>1485</v>
      </c>
      <c r="E556" s="2">
        <f>IFERROR(__xludf.DUMMYFUNCTION("""COMPUTED_VALUE"""),1515.0)</f>
        <v>1515</v>
      </c>
      <c r="F556" s="2">
        <f>IFERROR(__xludf.DUMMYFUNCTION("""COMPUTED_VALUE"""),6.62825E7)</f>
        <v>66282500</v>
      </c>
      <c r="G556" s="2">
        <f t="shared" si="1"/>
        <v>40</v>
      </c>
    </row>
    <row r="557" ht="15.75" customHeight="1">
      <c r="A557" s="1">
        <f>IFERROR(__xludf.DUMMYFUNCTION("""COMPUTED_VALUE"""),44659.66666666667)</f>
        <v>44659.66667</v>
      </c>
      <c r="B557" s="2">
        <f>IFERROR(__xludf.DUMMYFUNCTION("""COMPUTED_VALUE"""),1415.0)</f>
        <v>1415</v>
      </c>
      <c r="C557" s="2">
        <f>IFERROR(__xludf.DUMMYFUNCTION("""COMPUTED_VALUE"""),1460.0)</f>
        <v>1460</v>
      </c>
      <c r="D557" s="2">
        <f>IFERROR(__xludf.DUMMYFUNCTION("""COMPUTED_VALUE"""),1410.0)</f>
        <v>1410</v>
      </c>
      <c r="E557" s="2">
        <f>IFERROR(__xludf.DUMMYFUNCTION("""COMPUTED_VALUE"""),1440.0)</f>
        <v>1440</v>
      </c>
      <c r="F557" s="2">
        <f>IFERROR(__xludf.DUMMYFUNCTION("""COMPUTED_VALUE"""),6.40778E7)</f>
        <v>64077800</v>
      </c>
      <c r="G557" s="2">
        <f t="shared" si="1"/>
        <v>105</v>
      </c>
    </row>
    <row r="558" ht="15.75" customHeight="1">
      <c r="A558" s="1">
        <f>IFERROR(__xludf.DUMMYFUNCTION("""COMPUTED_VALUE"""),44662.66666666667)</f>
        <v>44662.66667</v>
      </c>
      <c r="B558" s="2">
        <f>IFERROR(__xludf.DUMMYFUNCTION("""COMPUTED_VALUE"""),1450.0)</f>
        <v>1450</v>
      </c>
      <c r="C558" s="2">
        <f>IFERROR(__xludf.DUMMYFUNCTION("""COMPUTED_VALUE"""),1450.0)</f>
        <v>1450</v>
      </c>
      <c r="D558" s="2">
        <f>IFERROR(__xludf.DUMMYFUNCTION("""COMPUTED_VALUE"""),1420.0)</f>
        <v>1420</v>
      </c>
      <c r="E558" s="2">
        <f>IFERROR(__xludf.DUMMYFUNCTION("""COMPUTED_VALUE"""),1420.0)</f>
        <v>1420</v>
      </c>
      <c r="F558" s="2">
        <f>IFERROR(__xludf.DUMMYFUNCTION("""COMPUTED_VALUE"""),2.43147E7)</f>
        <v>24314700</v>
      </c>
      <c r="G558" s="2">
        <f t="shared" si="1"/>
        <v>30</v>
      </c>
    </row>
    <row r="559" ht="15.75" customHeight="1">
      <c r="A559" s="1">
        <f>IFERROR(__xludf.DUMMYFUNCTION("""COMPUTED_VALUE"""),44663.66666666667)</f>
        <v>44663.66667</v>
      </c>
      <c r="B559" s="2">
        <f>IFERROR(__xludf.DUMMYFUNCTION("""COMPUTED_VALUE"""),1435.0)</f>
        <v>1435</v>
      </c>
      <c r="C559" s="2">
        <f>IFERROR(__xludf.DUMMYFUNCTION("""COMPUTED_VALUE"""),1435.0)</f>
        <v>1435</v>
      </c>
      <c r="D559" s="2">
        <f>IFERROR(__xludf.DUMMYFUNCTION("""COMPUTED_VALUE"""),1405.0)</f>
        <v>1405</v>
      </c>
      <c r="E559" s="2">
        <f>IFERROR(__xludf.DUMMYFUNCTION("""COMPUTED_VALUE"""),1410.0)</f>
        <v>1410</v>
      </c>
      <c r="F559" s="2">
        <f>IFERROR(__xludf.DUMMYFUNCTION("""COMPUTED_VALUE"""),1.37277E7)</f>
        <v>13727700</v>
      </c>
      <c r="G559" s="2">
        <f t="shared" si="1"/>
        <v>30</v>
      </c>
    </row>
    <row r="560" ht="15.75" customHeight="1">
      <c r="A560" s="1">
        <f>IFERROR(__xludf.DUMMYFUNCTION("""COMPUTED_VALUE"""),44664.66666666667)</f>
        <v>44664.66667</v>
      </c>
      <c r="B560" s="2">
        <f>IFERROR(__xludf.DUMMYFUNCTION("""COMPUTED_VALUE"""),1420.0)</f>
        <v>1420</v>
      </c>
      <c r="C560" s="2">
        <f>IFERROR(__xludf.DUMMYFUNCTION("""COMPUTED_VALUE"""),1435.0)</f>
        <v>1435</v>
      </c>
      <c r="D560" s="2">
        <f>IFERROR(__xludf.DUMMYFUNCTION("""COMPUTED_VALUE"""),1410.0)</f>
        <v>1410</v>
      </c>
      <c r="E560" s="2">
        <f>IFERROR(__xludf.DUMMYFUNCTION("""COMPUTED_VALUE"""),1410.0)</f>
        <v>1410</v>
      </c>
      <c r="F560" s="2">
        <f>IFERROR(__xludf.DUMMYFUNCTION("""COMPUTED_VALUE"""),1.303E7)</f>
        <v>13030000</v>
      </c>
      <c r="G560" s="2">
        <f t="shared" si="1"/>
        <v>25</v>
      </c>
    </row>
    <row r="561" ht="15.75" customHeight="1">
      <c r="A561" s="1">
        <f>IFERROR(__xludf.DUMMYFUNCTION("""COMPUTED_VALUE"""),44665.66666666667)</f>
        <v>44665.66667</v>
      </c>
      <c r="B561" s="2">
        <f>IFERROR(__xludf.DUMMYFUNCTION("""COMPUTED_VALUE"""),1410.0)</f>
        <v>1410</v>
      </c>
      <c r="C561" s="2">
        <f>IFERROR(__xludf.DUMMYFUNCTION("""COMPUTED_VALUE"""),1440.0)</f>
        <v>1440</v>
      </c>
      <c r="D561" s="2">
        <f>IFERROR(__xludf.DUMMYFUNCTION("""COMPUTED_VALUE"""),1405.0)</f>
        <v>1405</v>
      </c>
      <c r="E561" s="2">
        <f>IFERROR(__xludf.DUMMYFUNCTION("""COMPUTED_VALUE"""),1435.0)</f>
        <v>1435</v>
      </c>
      <c r="F561" s="2">
        <f>IFERROR(__xludf.DUMMYFUNCTION("""COMPUTED_VALUE"""),1.3707E7)</f>
        <v>13707000</v>
      </c>
      <c r="G561" s="2">
        <f t="shared" si="1"/>
        <v>35</v>
      </c>
    </row>
    <row r="562" ht="15.75" customHeight="1">
      <c r="A562" s="1">
        <f>IFERROR(__xludf.DUMMYFUNCTION("""COMPUTED_VALUE"""),44669.66666666667)</f>
        <v>44669.66667</v>
      </c>
      <c r="B562" s="2">
        <f>IFERROR(__xludf.DUMMYFUNCTION("""COMPUTED_VALUE"""),1450.0)</f>
        <v>1450</v>
      </c>
      <c r="C562" s="2">
        <f>IFERROR(__xludf.DUMMYFUNCTION("""COMPUTED_VALUE"""),1455.0)</f>
        <v>1455</v>
      </c>
      <c r="D562" s="2">
        <f>IFERROR(__xludf.DUMMYFUNCTION("""COMPUTED_VALUE"""),1430.0)</f>
        <v>1430</v>
      </c>
      <c r="E562" s="2">
        <f>IFERROR(__xludf.DUMMYFUNCTION("""COMPUTED_VALUE"""),1450.0)</f>
        <v>1450</v>
      </c>
      <c r="F562" s="2">
        <f>IFERROR(__xludf.DUMMYFUNCTION("""COMPUTED_VALUE"""),1.28245E7)</f>
        <v>12824500</v>
      </c>
      <c r="G562" s="2">
        <f t="shared" si="1"/>
        <v>25</v>
      </c>
    </row>
    <row r="563" ht="15.75" customHeight="1">
      <c r="A563" s="1">
        <f>IFERROR(__xludf.DUMMYFUNCTION("""COMPUTED_VALUE"""),44670.66666666667)</f>
        <v>44670.66667</v>
      </c>
      <c r="B563" s="2">
        <f>IFERROR(__xludf.DUMMYFUNCTION("""COMPUTED_VALUE"""),1450.0)</f>
        <v>1450</v>
      </c>
      <c r="C563" s="2">
        <f>IFERROR(__xludf.DUMMYFUNCTION("""COMPUTED_VALUE"""),1460.0)</f>
        <v>1460</v>
      </c>
      <c r="D563" s="2">
        <f>IFERROR(__xludf.DUMMYFUNCTION("""COMPUTED_VALUE"""),1425.0)</f>
        <v>1425</v>
      </c>
      <c r="E563" s="2">
        <f>IFERROR(__xludf.DUMMYFUNCTION("""COMPUTED_VALUE"""),1430.0)</f>
        <v>1430</v>
      </c>
      <c r="F563" s="2">
        <f>IFERROR(__xludf.DUMMYFUNCTION("""COMPUTED_VALUE"""),6705100.0)</f>
        <v>6705100</v>
      </c>
      <c r="G563" s="2">
        <f t="shared" si="1"/>
        <v>35</v>
      </c>
    </row>
    <row r="564" ht="15.75" customHeight="1">
      <c r="A564" s="1">
        <f>IFERROR(__xludf.DUMMYFUNCTION("""COMPUTED_VALUE"""),44671.66666666667)</f>
        <v>44671.66667</v>
      </c>
      <c r="B564" s="2">
        <f>IFERROR(__xludf.DUMMYFUNCTION("""COMPUTED_VALUE"""),1440.0)</f>
        <v>1440</v>
      </c>
      <c r="C564" s="2">
        <f>IFERROR(__xludf.DUMMYFUNCTION("""COMPUTED_VALUE"""),1450.0)</f>
        <v>1450</v>
      </c>
      <c r="D564" s="2">
        <f>IFERROR(__xludf.DUMMYFUNCTION("""COMPUTED_VALUE"""),1430.0)</f>
        <v>1430</v>
      </c>
      <c r="E564" s="2">
        <f>IFERROR(__xludf.DUMMYFUNCTION("""COMPUTED_VALUE"""),1440.0)</f>
        <v>1440</v>
      </c>
      <c r="F564" s="2">
        <f>IFERROR(__xludf.DUMMYFUNCTION("""COMPUTED_VALUE"""),6704100.0)</f>
        <v>6704100</v>
      </c>
      <c r="G564" s="2">
        <f t="shared" si="1"/>
        <v>20</v>
      </c>
    </row>
    <row r="565" ht="15.75" customHeight="1">
      <c r="A565" s="1">
        <f>IFERROR(__xludf.DUMMYFUNCTION("""COMPUTED_VALUE"""),44672.66666666667)</f>
        <v>44672.66667</v>
      </c>
      <c r="B565" s="2">
        <f>IFERROR(__xludf.DUMMYFUNCTION("""COMPUTED_VALUE"""),1450.0)</f>
        <v>1450</v>
      </c>
      <c r="C565" s="2">
        <f>IFERROR(__xludf.DUMMYFUNCTION("""COMPUTED_VALUE"""),1455.0)</f>
        <v>1455</v>
      </c>
      <c r="D565" s="2">
        <f>IFERROR(__xludf.DUMMYFUNCTION("""COMPUTED_VALUE"""),1445.0)</f>
        <v>1445</v>
      </c>
      <c r="E565" s="2">
        <f>IFERROR(__xludf.DUMMYFUNCTION("""COMPUTED_VALUE"""),1445.0)</f>
        <v>1445</v>
      </c>
      <c r="F565" s="2">
        <f>IFERROR(__xludf.DUMMYFUNCTION("""COMPUTED_VALUE"""),8162100.0)</f>
        <v>8162100</v>
      </c>
      <c r="G565" s="2">
        <f t="shared" si="1"/>
        <v>15</v>
      </c>
    </row>
    <row r="566" ht="15.75" customHeight="1">
      <c r="A566" s="1">
        <f>IFERROR(__xludf.DUMMYFUNCTION("""COMPUTED_VALUE"""),44673.66666666667)</f>
        <v>44673.66667</v>
      </c>
      <c r="B566" s="2">
        <f>IFERROR(__xludf.DUMMYFUNCTION("""COMPUTED_VALUE"""),1450.0)</f>
        <v>1450</v>
      </c>
      <c r="C566" s="2">
        <f>IFERROR(__xludf.DUMMYFUNCTION("""COMPUTED_VALUE"""),1475.0)</f>
        <v>1475</v>
      </c>
      <c r="D566" s="2">
        <f>IFERROR(__xludf.DUMMYFUNCTION("""COMPUTED_VALUE"""),1445.0)</f>
        <v>1445</v>
      </c>
      <c r="E566" s="2">
        <f>IFERROR(__xludf.DUMMYFUNCTION("""COMPUTED_VALUE"""),1455.0)</f>
        <v>1455</v>
      </c>
      <c r="F566" s="2">
        <f>IFERROR(__xludf.DUMMYFUNCTION("""COMPUTED_VALUE"""),4.17818E7)</f>
        <v>41781800</v>
      </c>
      <c r="G566" s="2">
        <f t="shared" si="1"/>
        <v>30</v>
      </c>
    </row>
    <row r="567" ht="15.75" customHeight="1">
      <c r="A567" s="1">
        <f>IFERROR(__xludf.DUMMYFUNCTION("""COMPUTED_VALUE"""),44676.66666666667)</f>
        <v>44676.66667</v>
      </c>
      <c r="B567" s="2">
        <f>IFERROR(__xludf.DUMMYFUNCTION("""COMPUTED_VALUE"""),1440.0)</f>
        <v>1440</v>
      </c>
      <c r="C567" s="2">
        <f>IFERROR(__xludf.DUMMYFUNCTION("""COMPUTED_VALUE"""),1480.0)</f>
        <v>1480</v>
      </c>
      <c r="D567" s="2">
        <f>IFERROR(__xludf.DUMMYFUNCTION("""COMPUTED_VALUE"""),1435.0)</f>
        <v>1435</v>
      </c>
      <c r="E567" s="2">
        <f>IFERROR(__xludf.DUMMYFUNCTION("""COMPUTED_VALUE"""),1460.0)</f>
        <v>1460</v>
      </c>
      <c r="F567" s="2">
        <f>IFERROR(__xludf.DUMMYFUNCTION("""COMPUTED_VALUE"""),2.27291E7)</f>
        <v>22729100</v>
      </c>
      <c r="G567" s="2">
        <f t="shared" si="1"/>
        <v>45</v>
      </c>
    </row>
    <row r="568" ht="15.75" customHeight="1">
      <c r="A568" s="1">
        <f>IFERROR(__xludf.DUMMYFUNCTION("""COMPUTED_VALUE"""),44677.66666666667)</f>
        <v>44677.66667</v>
      </c>
      <c r="B568" s="2">
        <f>IFERROR(__xludf.DUMMYFUNCTION("""COMPUTED_VALUE"""),1470.0)</f>
        <v>1470</v>
      </c>
      <c r="C568" s="2">
        <f>IFERROR(__xludf.DUMMYFUNCTION("""COMPUTED_VALUE"""),1480.0)</f>
        <v>1480</v>
      </c>
      <c r="D568" s="2">
        <f>IFERROR(__xludf.DUMMYFUNCTION("""COMPUTED_VALUE"""),1450.0)</f>
        <v>1450</v>
      </c>
      <c r="E568" s="2">
        <f>IFERROR(__xludf.DUMMYFUNCTION("""COMPUTED_VALUE"""),1465.0)</f>
        <v>1465</v>
      </c>
      <c r="F568" s="2">
        <f>IFERROR(__xludf.DUMMYFUNCTION("""COMPUTED_VALUE"""),8942100.0)</f>
        <v>8942100</v>
      </c>
      <c r="G568" s="2">
        <f t="shared" si="1"/>
        <v>30</v>
      </c>
    </row>
    <row r="569" ht="15.75" customHeight="1">
      <c r="A569" s="1">
        <f>IFERROR(__xludf.DUMMYFUNCTION("""COMPUTED_VALUE"""),44678.66666666667)</f>
        <v>44678.66667</v>
      </c>
      <c r="B569" s="2">
        <f>IFERROR(__xludf.DUMMYFUNCTION("""COMPUTED_VALUE"""),1465.0)</f>
        <v>1465</v>
      </c>
      <c r="C569" s="2">
        <f>IFERROR(__xludf.DUMMYFUNCTION("""COMPUTED_VALUE"""),1470.0)</f>
        <v>1470</v>
      </c>
      <c r="D569" s="2">
        <f>IFERROR(__xludf.DUMMYFUNCTION("""COMPUTED_VALUE"""),1460.0)</f>
        <v>1460</v>
      </c>
      <c r="E569" s="2">
        <f>IFERROR(__xludf.DUMMYFUNCTION("""COMPUTED_VALUE"""),1460.0)</f>
        <v>1460</v>
      </c>
      <c r="F569" s="2">
        <f>IFERROR(__xludf.DUMMYFUNCTION("""COMPUTED_VALUE"""),4617300.0)</f>
        <v>4617300</v>
      </c>
      <c r="G569" s="2">
        <f t="shared" si="1"/>
        <v>10</v>
      </c>
    </row>
    <row r="570" ht="15.75" customHeight="1">
      <c r="A570" s="1">
        <f>IFERROR(__xludf.DUMMYFUNCTION("""COMPUTED_VALUE"""),44679.66666666667)</f>
        <v>44679.66667</v>
      </c>
      <c r="B570" s="2">
        <f>IFERROR(__xludf.DUMMYFUNCTION("""COMPUTED_VALUE"""),1460.0)</f>
        <v>1460</v>
      </c>
      <c r="C570" s="2">
        <f>IFERROR(__xludf.DUMMYFUNCTION("""COMPUTED_VALUE"""),1480.0)</f>
        <v>1480</v>
      </c>
      <c r="D570" s="2">
        <f>IFERROR(__xludf.DUMMYFUNCTION("""COMPUTED_VALUE"""),1455.0)</f>
        <v>1455</v>
      </c>
      <c r="E570" s="2">
        <f>IFERROR(__xludf.DUMMYFUNCTION("""COMPUTED_VALUE"""),1475.0)</f>
        <v>1475</v>
      </c>
      <c r="F570" s="2">
        <f>IFERROR(__xludf.DUMMYFUNCTION("""COMPUTED_VALUE"""),1.83831E7)</f>
        <v>18383100</v>
      </c>
      <c r="G570" s="2">
        <f t="shared" si="1"/>
        <v>25</v>
      </c>
    </row>
    <row r="571" ht="15.75" customHeight="1">
      <c r="A571" s="1">
        <f>IFERROR(__xludf.DUMMYFUNCTION("""COMPUTED_VALUE"""),44690.66666666667)</f>
        <v>44690.66667</v>
      </c>
      <c r="B571" s="2">
        <f>IFERROR(__xludf.DUMMYFUNCTION("""COMPUTED_VALUE"""),1470.0)</f>
        <v>1470</v>
      </c>
      <c r="C571" s="2">
        <f>IFERROR(__xludf.DUMMYFUNCTION("""COMPUTED_VALUE"""),1475.0)</f>
        <v>1475</v>
      </c>
      <c r="D571" s="2">
        <f>IFERROR(__xludf.DUMMYFUNCTION("""COMPUTED_VALUE"""),1425.0)</f>
        <v>1425</v>
      </c>
      <c r="E571" s="2">
        <f>IFERROR(__xludf.DUMMYFUNCTION("""COMPUTED_VALUE"""),1435.0)</f>
        <v>1435</v>
      </c>
      <c r="F571" s="2">
        <f>IFERROR(__xludf.DUMMYFUNCTION("""COMPUTED_VALUE"""),1.17488E7)</f>
        <v>11748800</v>
      </c>
      <c r="G571" s="2">
        <f t="shared" si="1"/>
        <v>50</v>
      </c>
    </row>
    <row r="572" ht="15.75" customHeight="1">
      <c r="A572" s="1">
        <f>IFERROR(__xludf.DUMMYFUNCTION("""COMPUTED_VALUE"""),44691.66666666667)</f>
        <v>44691.66667</v>
      </c>
      <c r="B572" s="2">
        <f>IFERROR(__xludf.DUMMYFUNCTION("""COMPUTED_VALUE"""),1435.0)</f>
        <v>1435</v>
      </c>
      <c r="C572" s="2">
        <f>IFERROR(__xludf.DUMMYFUNCTION("""COMPUTED_VALUE"""),1435.0)</f>
        <v>1435</v>
      </c>
      <c r="D572" s="2">
        <f>IFERROR(__xludf.DUMMYFUNCTION("""COMPUTED_VALUE"""),1405.0)</f>
        <v>1405</v>
      </c>
      <c r="E572" s="2">
        <f>IFERROR(__xludf.DUMMYFUNCTION("""COMPUTED_VALUE"""),1435.0)</f>
        <v>1435</v>
      </c>
      <c r="F572" s="2">
        <f>IFERROR(__xludf.DUMMYFUNCTION("""COMPUTED_VALUE"""),8101100.0)</f>
        <v>8101100</v>
      </c>
      <c r="G572" s="2">
        <f t="shared" si="1"/>
        <v>30</v>
      </c>
    </row>
    <row r="573" ht="15.75" customHeight="1">
      <c r="A573" s="1">
        <f>IFERROR(__xludf.DUMMYFUNCTION("""COMPUTED_VALUE"""),44692.66666666667)</f>
        <v>44692.66667</v>
      </c>
      <c r="B573" s="2">
        <f>IFERROR(__xludf.DUMMYFUNCTION("""COMPUTED_VALUE"""),1435.0)</f>
        <v>1435</v>
      </c>
      <c r="C573" s="2">
        <f>IFERROR(__xludf.DUMMYFUNCTION("""COMPUTED_VALUE"""),1450.0)</f>
        <v>1450</v>
      </c>
      <c r="D573" s="2">
        <f>IFERROR(__xludf.DUMMYFUNCTION("""COMPUTED_VALUE"""),1430.0)</f>
        <v>1430</v>
      </c>
      <c r="E573" s="2">
        <f>IFERROR(__xludf.DUMMYFUNCTION("""COMPUTED_VALUE"""),1430.0)</f>
        <v>1430</v>
      </c>
      <c r="F573" s="2">
        <f>IFERROR(__xludf.DUMMYFUNCTION("""COMPUTED_VALUE"""),6514900.0)</f>
        <v>6514900</v>
      </c>
      <c r="G573" s="2">
        <f t="shared" si="1"/>
        <v>20</v>
      </c>
    </row>
    <row r="574" ht="15.75" customHeight="1">
      <c r="A574" s="1">
        <f>IFERROR(__xludf.DUMMYFUNCTION("""COMPUTED_VALUE"""),44693.66666666667)</f>
        <v>44693.66667</v>
      </c>
      <c r="B574" s="2">
        <f>IFERROR(__xludf.DUMMYFUNCTION("""COMPUTED_VALUE"""),1435.0)</f>
        <v>1435</v>
      </c>
      <c r="C574" s="2">
        <f>IFERROR(__xludf.DUMMYFUNCTION("""COMPUTED_VALUE"""),1450.0)</f>
        <v>1450</v>
      </c>
      <c r="D574" s="2">
        <f>IFERROR(__xludf.DUMMYFUNCTION("""COMPUTED_VALUE"""),1410.0)</f>
        <v>1410</v>
      </c>
      <c r="E574" s="2">
        <f>IFERROR(__xludf.DUMMYFUNCTION("""COMPUTED_VALUE"""),1415.0)</f>
        <v>1415</v>
      </c>
      <c r="F574" s="2">
        <f>IFERROR(__xludf.DUMMYFUNCTION("""COMPUTED_VALUE"""),8884500.0)</f>
        <v>8884500</v>
      </c>
      <c r="G574" s="2">
        <f t="shared" si="1"/>
        <v>40</v>
      </c>
    </row>
    <row r="575" ht="15.75" customHeight="1">
      <c r="A575" s="1">
        <f>IFERROR(__xludf.DUMMYFUNCTION("""COMPUTED_VALUE"""),44694.66666666667)</f>
        <v>44694.66667</v>
      </c>
      <c r="B575" s="2">
        <f>IFERROR(__xludf.DUMMYFUNCTION("""COMPUTED_VALUE"""),1420.0)</f>
        <v>1420</v>
      </c>
      <c r="C575" s="2">
        <f>IFERROR(__xludf.DUMMYFUNCTION("""COMPUTED_VALUE"""),1445.0)</f>
        <v>1445</v>
      </c>
      <c r="D575" s="2">
        <f>IFERROR(__xludf.DUMMYFUNCTION("""COMPUTED_VALUE"""),1410.0)</f>
        <v>1410</v>
      </c>
      <c r="E575" s="2">
        <f>IFERROR(__xludf.DUMMYFUNCTION("""COMPUTED_VALUE"""),1425.0)</f>
        <v>1425</v>
      </c>
      <c r="F575" s="2">
        <f>IFERROR(__xludf.DUMMYFUNCTION("""COMPUTED_VALUE"""),7002500.0)</f>
        <v>7002500</v>
      </c>
      <c r="G575" s="2">
        <f t="shared" si="1"/>
        <v>35</v>
      </c>
    </row>
    <row r="576" ht="15.75" customHeight="1">
      <c r="A576" s="1">
        <f>IFERROR(__xludf.DUMMYFUNCTION("""COMPUTED_VALUE"""),44698.66666666667)</f>
        <v>44698.66667</v>
      </c>
      <c r="B576" s="2">
        <f>IFERROR(__xludf.DUMMYFUNCTION("""COMPUTED_VALUE"""),1435.0)</f>
        <v>1435</v>
      </c>
      <c r="C576" s="2">
        <f>IFERROR(__xludf.DUMMYFUNCTION("""COMPUTED_VALUE"""),1470.0)</f>
        <v>1470</v>
      </c>
      <c r="D576" s="2">
        <f>IFERROR(__xludf.DUMMYFUNCTION("""COMPUTED_VALUE"""),1425.0)</f>
        <v>1425</v>
      </c>
      <c r="E576" s="2">
        <f>IFERROR(__xludf.DUMMYFUNCTION("""COMPUTED_VALUE"""),1455.0)</f>
        <v>1455</v>
      </c>
      <c r="F576" s="2">
        <f>IFERROR(__xludf.DUMMYFUNCTION("""COMPUTED_VALUE"""),8091900.0)</f>
        <v>8091900</v>
      </c>
      <c r="G576" s="2">
        <f t="shared" si="1"/>
        <v>45</v>
      </c>
    </row>
    <row r="577" ht="15.75" customHeight="1">
      <c r="A577" s="1">
        <f>IFERROR(__xludf.DUMMYFUNCTION("""COMPUTED_VALUE"""),44699.66666666667)</f>
        <v>44699.66667</v>
      </c>
      <c r="B577" s="2">
        <f>IFERROR(__xludf.DUMMYFUNCTION("""COMPUTED_VALUE"""),1460.0)</f>
        <v>1460</v>
      </c>
      <c r="C577" s="2">
        <f>IFERROR(__xludf.DUMMYFUNCTION("""COMPUTED_VALUE"""),1470.0)</f>
        <v>1470</v>
      </c>
      <c r="D577" s="2">
        <f>IFERROR(__xludf.DUMMYFUNCTION("""COMPUTED_VALUE"""),1445.0)</f>
        <v>1445</v>
      </c>
      <c r="E577" s="2">
        <f>IFERROR(__xludf.DUMMYFUNCTION("""COMPUTED_VALUE"""),1455.0)</f>
        <v>1455</v>
      </c>
      <c r="F577" s="2">
        <f>IFERROR(__xludf.DUMMYFUNCTION("""COMPUTED_VALUE"""),3201900.0)</f>
        <v>3201900</v>
      </c>
      <c r="G577" s="2">
        <f t="shared" si="1"/>
        <v>25</v>
      </c>
    </row>
    <row r="578" ht="15.75" customHeight="1">
      <c r="A578" s="1">
        <f>IFERROR(__xludf.DUMMYFUNCTION("""COMPUTED_VALUE"""),44700.66666666667)</f>
        <v>44700.66667</v>
      </c>
      <c r="B578" s="2">
        <f>IFERROR(__xludf.DUMMYFUNCTION("""COMPUTED_VALUE"""),1455.0)</f>
        <v>1455</v>
      </c>
      <c r="C578" s="2">
        <f>IFERROR(__xludf.DUMMYFUNCTION("""COMPUTED_VALUE"""),1455.0)</f>
        <v>1455</v>
      </c>
      <c r="D578" s="2">
        <f>IFERROR(__xludf.DUMMYFUNCTION("""COMPUTED_VALUE"""),1435.0)</f>
        <v>1435</v>
      </c>
      <c r="E578" s="2">
        <f>IFERROR(__xludf.DUMMYFUNCTION("""COMPUTED_VALUE"""),1455.0)</f>
        <v>1455</v>
      </c>
      <c r="F578" s="2">
        <f>IFERROR(__xludf.DUMMYFUNCTION("""COMPUTED_VALUE"""),3458200.0)</f>
        <v>3458200</v>
      </c>
      <c r="G578" s="2">
        <f t="shared" si="1"/>
        <v>20</v>
      </c>
    </row>
    <row r="579" ht="15.75" customHeight="1">
      <c r="A579" s="1">
        <f>IFERROR(__xludf.DUMMYFUNCTION("""COMPUTED_VALUE"""),44701.66666666667)</f>
        <v>44701.66667</v>
      </c>
      <c r="B579" s="2">
        <f>IFERROR(__xludf.DUMMYFUNCTION("""COMPUTED_VALUE"""),1465.0)</f>
        <v>1465</v>
      </c>
      <c r="C579" s="2">
        <f>IFERROR(__xludf.DUMMYFUNCTION("""COMPUTED_VALUE"""),1465.0)</f>
        <v>1465</v>
      </c>
      <c r="D579" s="2">
        <f>IFERROR(__xludf.DUMMYFUNCTION("""COMPUTED_VALUE"""),1450.0)</f>
        <v>1450</v>
      </c>
      <c r="E579" s="2">
        <f>IFERROR(__xludf.DUMMYFUNCTION("""COMPUTED_VALUE"""),1460.0)</f>
        <v>1460</v>
      </c>
      <c r="F579" s="2">
        <f>IFERROR(__xludf.DUMMYFUNCTION("""COMPUTED_VALUE"""),3110900.0)</f>
        <v>3110900</v>
      </c>
      <c r="G579" s="2">
        <f t="shared" si="1"/>
        <v>15</v>
      </c>
    </row>
    <row r="580" ht="15.75" customHeight="1">
      <c r="A580" s="1">
        <f>IFERROR(__xludf.DUMMYFUNCTION("""COMPUTED_VALUE"""),44704.66666666667)</f>
        <v>44704.66667</v>
      </c>
      <c r="B580" s="2">
        <f>IFERROR(__xludf.DUMMYFUNCTION("""COMPUTED_VALUE"""),1460.0)</f>
        <v>1460</v>
      </c>
      <c r="C580" s="2">
        <f>IFERROR(__xludf.DUMMYFUNCTION("""COMPUTED_VALUE"""),1465.0)</f>
        <v>1465</v>
      </c>
      <c r="D580" s="2">
        <f>IFERROR(__xludf.DUMMYFUNCTION("""COMPUTED_VALUE"""),1440.0)</f>
        <v>1440</v>
      </c>
      <c r="E580" s="2">
        <f>IFERROR(__xludf.DUMMYFUNCTION("""COMPUTED_VALUE"""),1445.0)</f>
        <v>1445</v>
      </c>
      <c r="F580" s="2">
        <f>IFERROR(__xludf.DUMMYFUNCTION("""COMPUTED_VALUE"""),4709800.0)</f>
        <v>4709800</v>
      </c>
      <c r="G580" s="2">
        <f t="shared" si="1"/>
        <v>25</v>
      </c>
    </row>
    <row r="581" ht="15.75" customHeight="1">
      <c r="A581" s="1">
        <f>IFERROR(__xludf.DUMMYFUNCTION("""COMPUTED_VALUE"""),44705.66666666667)</f>
        <v>44705.66667</v>
      </c>
      <c r="B581" s="2">
        <f>IFERROR(__xludf.DUMMYFUNCTION("""COMPUTED_VALUE"""),1465.0)</f>
        <v>1465</v>
      </c>
      <c r="C581" s="2">
        <f>IFERROR(__xludf.DUMMYFUNCTION("""COMPUTED_VALUE"""),1465.0)</f>
        <v>1465</v>
      </c>
      <c r="D581" s="2">
        <f>IFERROR(__xludf.DUMMYFUNCTION("""COMPUTED_VALUE"""),1440.0)</f>
        <v>1440</v>
      </c>
      <c r="E581" s="2">
        <f>IFERROR(__xludf.DUMMYFUNCTION("""COMPUTED_VALUE"""),1460.0)</f>
        <v>1460</v>
      </c>
      <c r="F581" s="2">
        <f>IFERROR(__xludf.DUMMYFUNCTION("""COMPUTED_VALUE"""),1.03477E7)</f>
        <v>10347700</v>
      </c>
      <c r="G581" s="2">
        <f t="shared" si="1"/>
        <v>25</v>
      </c>
    </row>
    <row r="582" ht="15.75" customHeight="1">
      <c r="A582" s="1">
        <f>IFERROR(__xludf.DUMMYFUNCTION("""COMPUTED_VALUE"""),44706.66666666667)</f>
        <v>44706.66667</v>
      </c>
      <c r="B582" s="2">
        <f>IFERROR(__xludf.DUMMYFUNCTION("""COMPUTED_VALUE"""),1460.0)</f>
        <v>1460</v>
      </c>
      <c r="C582" s="2">
        <f>IFERROR(__xludf.DUMMYFUNCTION("""COMPUTED_VALUE"""),1465.0)</f>
        <v>1465</v>
      </c>
      <c r="D582" s="2">
        <f>IFERROR(__xludf.DUMMYFUNCTION("""COMPUTED_VALUE"""),1435.0)</f>
        <v>1435</v>
      </c>
      <c r="E582" s="2">
        <f>IFERROR(__xludf.DUMMYFUNCTION("""COMPUTED_VALUE"""),1445.0)</f>
        <v>1445</v>
      </c>
      <c r="F582" s="2">
        <f>IFERROR(__xludf.DUMMYFUNCTION("""COMPUTED_VALUE"""),2.81054E7)</f>
        <v>28105400</v>
      </c>
      <c r="G582" s="2">
        <f t="shared" si="1"/>
        <v>30</v>
      </c>
    </row>
    <row r="583" ht="15.75" customHeight="1">
      <c r="A583" s="1">
        <f>IFERROR(__xludf.DUMMYFUNCTION("""COMPUTED_VALUE"""),44708.66666666667)</f>
        <v>44708.66667</v>
      </c>
      <c r="B583" s="2">
        <f>IFERROR(__xludf.DUMMYFUNCTION("""COMPUTED_VALUE"""),1450.0)</f>
        <v>1450</v>
      </c>
      <c r="C583" s="2">
        <f>IFERROR(__xludf.DUMMYFUNCTION("""COMPUTED_VALUE"""),1460.0)</f>
        <v>1460</v>
      </c>
      <c r="D583" s="2">
        <f>IFERROR(__xludf.DUMMYFUNCTION("""COMPUTED_VALUE"""),1440.0)</f>
        <v>1440</v>
      </c>
      <c r="E583" s="2">
        <f>IFERROR(__xludf.DUMMYFUNCTION("""COMPUTED_VALUE"""),1460.0)</f>
        <v>1460</v>
      </c>
      <c r="F583" s="2">
        <f>IFERROR(__xludf.DUMMYFUNCTION("""COMPUTED_VALUE"""),8789400.0)</f>
        <v>8789400</v>
      </c>
      <c r="G583" s="2">
        <f t="shared" si="1"/>
        <v>20</v>
      </c>
    </row>
    <row r="584" ht="15.75" customHeight="1">
      <c r="A584" s="1">
        <f>IFERROR(__xludf.DUMMYFUNCTION("""COMPUTED_VALUE"""),44711.66666666667)</f>
        <v>44711.66667</v>
      </c>
      <c r="B584" s="2">
        <f>IFERROR(__xludf.DUMMYFUNCTION("""COMPUTED_VALUE"""),1460.0)</f>
        <v>1460</v>
      </c>
      <c r="C584" s="2">
        <f>IFERROR(__xludf.DUMMYFUNCTION("""COMPUTED_VALUE"""),1460.0)</f>
        <v>1460</v>
      </c>
      <c r="D584" s="2">
        <f>IFERROR(__xludf.DUMMYFUNCTION("""COMPUTED_VALUE"""),1440.0)</f>
        <v>1440</v>
      </c>
      <c r="E584" s="2">
        <f>IFERROR(__xludf.DUMMYFUNCTION("""COMPUTED_VALUE"""),1445.0)</f>
        <v>1445</v>
      </c>
      <c r="F584" s="2">
        <f>IFERROR(__xludf.DUMMYFUNCTION("""COMPUTED_VALUE"""),1990700.0)</f>
        <v>1990700</v>
      </c>
      <c r="G584" s="2">
        <f t="shared" si="1"/>
        <v>20</v>
      </c>
    </row>
    <row r="585" ht="15.75" customHeight="1">
      <c r="A585" s="1">
        <f>IFERROR(__xludf.DUMMYFUNCTION("""COMPUTED_VALUE"""),44712.66666666667)</f>
        <v>44712.66667</v>
      </c>
      <c r="B585" s="2">
        <f>IFERROR(__xludf.DUMMYFUNCTION("""COMPUTED_VALUE"""),1450.0)</f>
        <v>1450</v>
      </c>
      <c r="C585" s="2">
        <f>IFERROR(__xludf.DUMMYFUNCTION("""COMPUTED_VALUE"""),1465.0)</f>
        <v>1465</v>
      </c>
      <c r="D585" s="2">
        <f>IFERROR(__xludf.DUMMYFUNCTION("""COMPUTED_VALUE"""),1445.0)</f>
        <v>1445</v>
      </c>
      <c r="E585" s="2">
        <f>IFERROR(__xludf.DUMMYFUNCTION("""COMPUTED_VALUE"""),1460.0)</f>
        <v>1460</v>
      </c>
      <c r="F585" s="2">
        <f>IFERROR(__xludf.DUMMYFUNCTION("""COMPUTED_VALUE"""),8737000.0)</f>
        <v>8737000</v>
      </c>
      <c r="G585" s="2">
        <f t="shared" si="1"/>
        <v>20</v>
      </c>
    </row>
    <row r="586" ht="15.75" customHeight="1">
      <c r="A586" s="1">
        <f>IFERROR(__xludf.DUMMYFUNCTION("""COMPUTED_VALUE"""),44714.66666666667)</f>
        <v>44714.66667</v>
      </c>
      <c r="B586" s="2">
        <f>IFERROR(__xludf.DUMMYFUNCTION("""COMPUTED_VALUE"""),1465.0)</f>
        <v>1465</v>
      </c>
      <c r="C586" s="2">
        <f>IFERROR(__xludf.DUMMYFUNCTION("""COMPUTED_VALUE"""),1470.0)</f>
        <v>1470</v>
      </c>
      <c r="D586" s="2">
        <f>IFERROR(__xludf.DUMMYFUNCTION("""COMPUTED_VALUE"""),1445.0)</f>
        <v>1445</v>
      </c>
      <c r="E586" s="2">
        <f>IFERROR(__xludf.DUMMYFUNCTION("""COMPUTED_VALUE"""),1455.0)</f>
        <v>1455</v>
      </c>
      <c r="F586" s="2">
        <f>IFERROR(__xludf.DUMMYFUNCTION("""COMPUTED_VALUE"""),4944700.0)</f>
        <v>4944700</v>
      </c>
      <c r="G586" s="2">
        <f t="shared" si="1"/>
        <v>25</v>
      </c>
    </row>
    <row r="587" ht="15.75" customHeight="1">
      <c r="A587" s="1">
        <f>IFERROR(__xludf.DUMMYFUNCTION("""COMPUTED_VALUE"""),44715.66666666667)</f>
        <v>44715.66667</v>
      </c>
      <c r="B587" s="2">
        <f>IFERROR(__xludf.DUMMYFUNCTION("""COMPUTED_VALUE"""),1455.0)</f>
        <v>1455</v>
      </c>
      <c r="C587" s="2">
        <f>IFERROR(__xludf.DUMMYFUNCTION("""COMPUTED_VALUE"""),1470.0)</f>
        <v>1470</v>
      </c>
      <c r="D587" s="2">
        <f>IFERROR(__xludf.DUMMYFUNCTION("""COMPUTED_VALUE"""),1440.0)</f>
        <v>1440</v>
      </c>
      <c r="E587" s="2">
        <f>IFERROR(__xludf.DUMMYFUNCTION("""COMPUTED_VALUE"""),1455.0)</f>
        <v>1455</v>
      </c>
      <c r="F587" s="2">
        <f>IFERROR(__xludf.DUMMYFUNCTION("""COMPUTED_VALUE"""),1.12857E7)</f>
        <v>11285700</v>
      </c>
      <c r="G587" s="2">
        <f t="shared" si="1"/>
        <v>30</v>
      </c>
    </row>
    <row r="588" ht="15.75" customHeight="1">
      <c r="A588" s="1">
        <f>IFERROR(__xludf.DUMMYFUNCTION("""COMPUTED_VALUE"""),44718.66666666667)</f>
        <v>44718.66667</v>
      </c>
      <c r="B588" s="2">
        <f>IFERROR(__xludf.DUMMYFUNCTION("""COMPUTED_VALUE"""),1455.0)</f>
        <v>1455</v>
      </c>
      <c r="C588" s="2">
        <f>IFERROR(__xludf.DUMMYFUNCTION("""COMPUTED_VALUE"""),1465.0)</f>
        <v>1465</v>
      </c>
      <c r="D588" s="2">
        <f>IFERROR(__xludf.DUMMYFUNCTION("""COMPUTED_VALUE"""),1445.0)</f>
        <v>1445</v>
      </c>
      <c r="E588" s="2">
        <f>IFERROR(__xludf.DUMMYFUNCTION("""COMPUTED_VALUE"""),1450.0)</f>
        <v>1450</v>
      </c>
      <c r="F588" s="2">
        <f>IFERROR(__xludf.DUMMYFUNCTION("""COMPUTED_VALUE"""),1.64289E7)</f>
        <v>16428900</v>
      </c>
      <c r="G588" s="2">
        <f t="shared" si="1"/>
        <v>20</v>
      </c>
    </row>
    <row r="589" ht="15.75" customHeight="1">
      <c r="A589" s="1">
        <f>IFERROR(__xludf.DUMMYFUNCTION("""COMPUTED_VALUE"""),44719.66666666667)</f>
        <v>44719.66667</v>
      </c>
      <c r="B589" s="2">
        <f>IFERROR(__xludf.DUMMYFUNCTION("""COMPUTED_VALUE"""),1460.0)</f>
        <v>1460</v>
      </c>
      <c r="C589" s="2">
        <f>IFERROR(__xludf.DUMMYFUNCTION("""COMPUTED_VALUE"""),1465.0)</f>
        <v>1465</v>
      </c>
      <c r="D589" s="2">
        <f>IFERROR(__xludf.DUMMYFUNCTION("""COMPUTED_VALUE"""),1450.0)</f>
        <v>1450</v>
      </c>
      <c r="E589" s="2">
        <f>IFERROR(__xludf.DUMMYFUNCTION("""COMPUTED_VALUE"""),1465.0)</f>
        <v>1465</v>
      </c>
      <c r="F589" s="2">
        <f>IFERROR(__xludf.DUMMYFUNCTION("""COMPUTED_VALUE"""),1.1905E7)</f>
        <v>11905000</v>
      </c>
      <c r="G589" s="2">
        <f t="shared" si="1"/>
        <v>15</v>
      </c>
    </row>
    <row r="590" ht="15.75" customHeight="1">
      <c r="A590" s="1">
        <f>IFERROR(__xludf.DUMMYFUNCTION("""COMPUTED_VALUE"""),44720.66666666667)</f>
        <v>44720.66667</v>
      </c>
      <c r="B590" s="2">
        <f>IFERROR(__xludf.DUMMYFUNCTION("""COMPUTED_VALUE"""),1465.0)</f>
        <v>1465</v>
      </c>
      <c r="C590" s="2">
        <f>IFERROR(__xludf.DUMMYFUNCTION("""COMPUTED_VALUE"""),1475.0)</f>
        <v>1475</v>
      </c>
      <c r="D590" s="2">
        <f>IFERROR(__xludf.DUMMYFUNCTION("""COMPUTED_VALUE"""),1450.0)</f>
        <v>1450</v>
      </c>
      <c r="E590" s="2">
        <f>IFERROR(__xludf.DUMMYFUNCTION("""COMPUTED_VALUE"""),1475.0)</f>
        <v>1475</v>
      </c>
      <c r="F590" s="2">
        <f>IFERROR(__xludf.DUMMYFUNCTION("""COMPUTED_VALUE"""),1.22568E7)</f>
        <v>12256800</v>
      </c>
      <c r="G590" s="2">
        <f t="shared" si="1"/>
        <v>25</v>
      </c>
    </row>
    <row r="591" ht="15.75" customHeight="1">
      <c r="A591" s="1">
        <f>IFERROR(__xludf.DUMMYFUNCTION("""COMPUTED_VALUE"""),44721.66666666667)</f>
        <v>44721.66667</v>
      </c>
      <c r="B591" s="2">
        <f>IFERROR(__xludf.DUMMYFUNCTION("""COMPUTED_VALUE"""),1475.0)</f>
        <v>1475</v>
      </c>
      <c r="C591" s="2">
        <f>IFERROR(__xludf.DUMMYFUNCTION("""COMPUTED_VALUE"""),1475.0)</f>
        <v>1475</v>
      </c>
      <c r="D591" s="2">
        <f>IFERROR(__xludf.DUMMYFUNCTION("""COMPUTED_VALUE"""),1455.0)</f>
        <v>1455</v>
      </c>
      <c r="E591" s="2">
        <f>IFERROR(__xludf.DUMMYFUNCTION("""COMPUTED_VALUE"""),1460.0)</f>
        <v>1460</v>
      </c>
      <c r="F591" s="2">
        <f>IFERROR(__xludf.DUMMYFUNCTION("""COMPUTED_VALUE"""),3064500.0)</f>
        <v>3064500</v>
      </c>
      <c r="G591" s="2">
        <f t="shared" si="1"/>
        <v>20</v>
      </c>
    </row>
    <row r="592" ht="15.75" customHeight="1">
      <c r="A592" s="1">
        <f>IFERROR(__xludf.DUMMYFUNCTION("""COMPUTED_VALUE"""),44722.66666666667)</f>
        <v>44722.66667</v>
      </c>
      <c r="B592" s="2">
        <f>IFERROR(__xludf.DUMMYFUNCTION("""COMPUTED_VALUE"""),1455.0)</f>
        <v>1455</v>
      </c>
      <c r="C592" s="2">
        <f>IFERROR(__xludf.DUMMYFUNCTION("""COMPUTED_VALUE"""),1460.0)</f>
        <v>1460</v>
      </c>
      <c r="D592" s="2">
        <f>IFERROR(__xludf.DUMMYFUNCTION("""COMPUTED_VALUE"""),1440.0)</f>
        <v>1440</v>
      </c>
      <c r="E592" s="2">
        <f>IFERROR(__xludf.DUMMYFUNCTION("""COMPUTED_VALUE"""),1440.0)</f>
        <v>1440</v>
      </c>
      <c r="F592" s="2">
        <f>IFERROR(__xludf.DUMMYFUNCTION("""COMPUTED_VALUE"""),3597400.0)</f>
        <v>3597400</v>
      </c>
      <c r="G592" s="2">
        <f t="shared" si="1"/>
        <v>20</v>
      </c>
    </row>
    <row r="593" ht="15.75" customHeight="1">
      <c r="A593" s="1">
        <f>IFERROR(__xludf.DUMMYFUNCTION("""COMPUTED_VALUE"""),44725.66666666667)</f>
        <v>44725.66667</v>
      </c>
      <c r="B593" s="2">
        <f>IFERROR(__xludf.DUMMYFUNCTION("""COMPUTED_VALUE"""),1435.0)</f>
        <v>1435</v>
      </c>
      <c r="C593" s="2">
        <f>IFERROR(__xludf.DUMMYFUNCTION("""COMPUTED_VALUE"""),1445.0)</f>
        <v>1445</v>
      </c>
      <c r="D593" s="2">
        <f>IFERROR(__xludf.DUMMYFUNCTION("""COMPUTED_VALUE"""),1410.0)</f>
        <v>1410</v>
      </c>
      <c r="E593" s="2">
        <f>IFERROR(__xludf.DUMMYFUNCTION("""COMPUTED_VALUE"""),1410.0)</f>
        <v>1410</v>
      </c>
      <c r="F593" s="2">
        <f>IFERROR(__xludf.DUMMYFUNCTION("""COMPUTED_VALUE"""),9898900.0)</f>
        <v>9898900</v>
      </c>
      <c r="G593" s="2">
        <f t="shared" si="1"/>
        <v>35</v>
      </c>
    </row>
    <row r="594" ht="15.75" customHeight="1">
      <c r="A594" s="1">
        <f>IFERROR(__xludf.DUMMYFUNCTION("""COMPUTED_VALUE"""),44726.66666666667)</f>
        <v>44726.66667</v>
      </c>
      <c r="B594" s="2">
        <f>IFERROR(__xludf.DUMMYFUNCTION("""COMPUTED_VALUE"""),1405.0)</f>
        <v>1405</v>
      </c>
      <c r="C594" s="2">
        <f>IFERROR(__xludf.DUMMYFUNCTION("""COMPUTED_VALUE"""),1440.0)</f>
        <v>1440</v>
      </c>
      <c r="D594" s="2">
        <f>IFERROR(__xludf.DUMMYFUNCTION("""COMPUTED_VALUE"""),1405.0)</f>
        <v>1405</v>
      </c>
      <c r="E594" s="2">
        <f>IFERROR(__xludf.DUMMYFUNCTION("""COMPUTED_VALUE"""),1440.0)</f>
        <v>1440</v>
      </c>
      <c r="F594" s="2">
        <f>IFERROR(__xludf.DUMMYFUNCTION("""COMPUTED_VALUE"""),6069500.0)</f>
        <v>6069500</v>
      </c>
      <c r="G594" s="2">
        <f t="shared" si="1"/>
        <v>35</v>
      </c>
    </row>
    <row r="595" ht="15.75" customHeight="1">
      <c r="A595" s="1">
        <f>IFERROR(__xludf.DUMMYFUNCTION("""COMPUTED_VALUE"""),44727.66666666667)</f>
        <v>44727.66667</v>
      </c>
      <c r="B595" s="2">
        <f>IFERROR(__xludf.DUMMYFUNCTION("""COMPUTED_VALUE"""),1435.0)</f>
        <v>1435</v>
      </c>
      <c r="C595" s="2">
        <f>IFERROR(__xludf.DUMMYFUNCTION("""COMPUTED_VALUE"""),1440.0)</f>
        <v>1440</v>
      </c>
      <c r="D595" s="2">
        <f>IFERROR(__xludf.DUMMYFUNCTION("""COMPUTED_VALUE"""),1410.0)</f>
        <v>1410</v>
      </c>
      <c r="E595" s="2">
        <f>IFERROR(__xludf.DUMMYFUNCTION("""COMPUTED_VALUE"""),1420.0)</f>
        <v>1420</v>
      </c>
      <c r="F595" s="2">
        <f>IFERROR(__xludf.DUMMYFUNCTION("""COMPUTED_VALUE"""),4928100.0)</f>
        <v>4928100</v>
      </c>
      <c r="G595" s="2">
        <f t="shared" si="1"/>
        <v>30</v>
      </c>
    </row>
    <row r="596" ht="15.75" customHeight="1">
      <c r="A596" s="1">
        <f>IFERROR(__xludf.DUMMYFUNCTION("""COMPUTED_VALUE"""),44728.66666666667)</f>
        <v>44728.66667</v>
      </c>
      <c r="B596" s="2">
        <f>IFERROR(__xludf.DUMMYFUNCTION("""COMPUTED_VALUE"""),1440.0)</f>
        <v>1440</v>
      </c>
      <c r="C596" s="2">
        <f>IFERROR(__xludf.DUMMYFUNCTION("""COMPUTED_VALUE"""),1440.0)</f>
        <v>1440</v>
      </c>
      <c r="D596" s="2">
        <f>IFERROR(__xludf.DUMMYFUNCTION("""COMPUTED_VALUE"""),1415.0)</f>
        <v>1415</v>
      </c>
      <c r="E596" s="2">
        <f>IFERROR(__xludf.DUMMYFUNCTION("""COMPUTED_VALUE"""),1415.0)</f>
        <v>1415</v>
      </c>
      <c r="F596" s="2">
        <f>IFERROR(__xludf.DUMMYFUNCTION("""COMPUTED_VALUE"""),2239400.0)</f>
        <v>2239400</v>
      </c>
      <c r="G596" s="2">
        <f t="shared" si="1"/>
        <v>25</v>
      </c>
    </row>
    <row r="597" ht="15.75" customHeight="1">
      <c r="A597" s="1">
        <f>IFERROR(__xludf.DUMMYFUNCTION("""COMPUTED_VALUE"""),44729.66666666667)</f>
        <v>44729.66667</v>
      </c>
      <c r="B597" s="2">
        <f>IFERROR(__xludf.DUMMYFUNCTION("""COMPUTED_VALUE"""),1420.0)</f>
        <v>1420</v>
      </c>
      <c r="C597" s="2">
        <f>IFERROR(__xludf.DUMMYFUNCTION("""COMPUTED_VALUE"""),1425.0)</f>
        <v>1425</v>
      </c>
      <c r="D597" s="2">
        <f>IFERROR(__xludf.DUMMYFUNCTION("""COMPUTED_VALUE"""),1390.0)</f>
        <v>1390</v>
      </c>
      <c r="E597" s="2">
        <f>IFERROR(__xludf.DUMMYFUNCTION("""COMPUTED_VALUE"""),1390.0)</f>
        <v>1390</v>
      </c>
      <c r="F597" s="2">
        <f>IFERROR(__xludf.DUMMYFUNCTION("""COMPUTED_VALUE"""),3631700.0)</f>
        <v>3631700</v>
      </c>
      <c r="G597" s="2">
        <f t="shared" si="1"/>
        <v>35</v>
      </c>
    </row>
    <row r="598" ht="15.75" customHeight="1">
      <c r="A598" s="1">
        <f>IFERROR(__xludf.DUMMYFUNCTION("""COMPUTED_VALUE"""),44732.66666666667)</f>
        <v>44732.66667</v>
      </c>
      <c r="B598" s="2">
        <f>IFERROR(__xludf.DUMMYFUNCTION("""COMPUTED_VALUE"""),1395.0)</f>
        <v>1395</v>
      </c>
      <c r="C598" s="2">
        <f>IFERROR(__xludf.DUMMYFUNCTION("""COMPUTED_VALUE"""),1400.0)</f>
        <v>1400</v>
      </c>
      <c r="D598" s="2">
        <f>IFERROR(__xludf.DUMMYFUNCTION("""COMPUTED_VALUE"""),1370.0)</f>
        <v>1370</v>
      </c>
      <c r="E598" s="2">
        <f>IFERROR(__xludf.DUMMYFUNCTION("""COMPUTED_VALUE"""),1375.0)</f>
        <v>1375</v>
      </c>
      <c r="F598" s="2">
        <f>IFERROR(__xludf.DUMMYFUNCTION("""COMPUTED_VALUE"""),4051000.0)</f>
        <v>4051000</v>
      </c>
      <c r="G598" s="2">
        <f t="shared" si="1"/>
        <v>30</v>
      </c>
    </row>
    <row r="599" ht="15.75" customHeight="1">
      <c r="A599" s="1">
        <f>IFERROR(__xludf.DUMMYFUNCTION("""COMPUTED_VALUE"""),44733.66666666667)</f>
        <v>44733.66667</v>
      </c>
      <c r="B599" s="2">
        <f>IFERROR(__xludf.DUMMYFUNCTION("""COMPUTED_VALUE"""),1375.0)</f>
        <v>1375</v>
      </c>
      <c r="C599" s="2">
        <f>IFERROR(__xludf.DUMMYFUNCTION("""COMPUTED_VALUE"""),1395.0)</f>
        <v>1395</v>
      </c>
      <c r="D599" s="2">
        <f>IFERROR(__xludf.DUMMYFUNCTION("""COMPUTED_VALUE"""),1365.0)</f>
        <v>1365</v>
      </c>
      <c r="E599" s="2">
        <f>IFERROR(__xludf.DUMMYFUNCTION("""COMPUTED_VALUE"""),1390.0)</f>
        <v>1390</v>
      </c>
      <c r="F599" s="2">
        <f>IFERROR(__xludf.DUMMYFUNCTION("""COMPUTED_VALUE"""),1937900.0)</f>
        <v>1937900</v>
      </c>
      <c r="G599" s="2">
        <f t="shared" si="1"/>
        <v>30</v>
      </c>
    </row>
    <row r="600" ht="15.75" customHeight="1">
      <c r="A600" s="1">
        <f>IFERROR(__xludf.DUMMYFUNCTION("""COMPUTED_VALUE"""),44734.66666666667)</f>
        <v>44734.66667</v>
      </c>
      <c r="B600" s="2">
        <f>IFERROR(__xludf.DUMMYFUNCTION("""COMPUTED_VALUE"""),1395.0)</f>
        <v>1395</v>
      </c>
      <c r="C600" s="2">
        <f>IFERROR(__xludf.DUMMYFUNCTION("""COMPUTED_VALUE"""),1400.0)</f>
        <v>1400</v>
      </c>
      <c r="D600" s="2">
        <f>IFERROR(__xludf.DUMMYFUNCTION("""COMPUTED_VALUE"""),1385.0)</f>
        <v>1385</v>
      </c>
      <c r="E600" s="2">
        <f>IFERROR(__xludf.DUMMYFUNCTION("""COMPUTED_VALUE"""),1395.0)</f>
        <v>1395</v>
      </c>
      <c r="F600" s="2">
        <f>IFERROR(__xludf.DUMMYFUNCTION("""COMPUTED_VALUE"""),4223200.0)</f>
        <v>4223200</v>
      </c>
      <c r="G600" s="2">
        <f t="shared" si="1"/>
        <v>15</v>
      </c>
    </row>
    <row r="601" ht="15.75" customHeight="1">
      <c r="A601" s="1">
        <f>IFERROR(__xludf.DUMMYFUNCTION("""COMPUTED_VALUE"""),44735.66666666667)</f>
        <v>44735.66667</v>
      </c>
      <c r="B601" s="2">
        <f>IFERROR(__xludf.DUMMYFUNCTION("""COMPUTED_VALUE"""),1400.0)</f>
        <v>1400</v>
      </c>
      <c r="C601" s="2">
        <f>IFERROR(__xludf.DUMMYFUNCTION("""COMPUTED_VALUE"""),1405.0)</f>
        <v>1405</v>
      </c>
      <c r="D601" s="2">
        <f>IFERROR(__xludf.DUMMYFUNCTION("""COMPUTED_VALUE"""),1380.0)</f>
        <v>1380</v>
      </c>
      <c r="E601" s="2">
        <f>IFERROR(__xludf.DUMMYFUNCTION("""COMPUTED_VALUE"""),1385.0)</f>
        <v>1385</v>
      </c>
      <c r="F601" s="2">
        <f>IFERROR(__xludf.DUMMYFUNCTION("""COMPUTED_VALUE"""),2647300.0)</f>
        <v>2647300</v>
      </c>
      <c r="G601" s="2">
        <f t="shared" si="1"/>
        <v>25</v>
      </c>
    </row>
    <row r="602" ht="15.75" customHeight="1">
      <c r="A602" s="1">
        <f>IFERROR(__xludf.DUMMYFUNCTION("""COMPUTED_VALUE"""),44736.66666666667)</f>
        <v>44736.66667</v>
      </c>
      <c r="B602" s="2">
        <f>IFERROR(__xludf.DUMMYFUNCTION("""COMPUTED_VALUE"""),1385.0)</f>
        <v>1385</v>
      </c>
      <c r="C602" s="2">
        <f>IFERROR(__xludf.DUMMYFUNCTION("""COMPUTED_VALUE"""),1395.0)</f>
        <v>1395</v>
      </c>
      <c r="D602" s="2">
        <f>IFERROR(__xludf.DUMMYFUNCTION("""COMPUTED_VALUE"""),1385.0)</f>
        <v>1385</v>
      </c>
      <c r="E602" s="2">
        <f>IFERROR(__xludf.DUMMYFUNCTION("""COMPUTED_VALUE"""),1395.0)</f>
        <v>1395</v>
      </c>
      <c r="F602" s="2">
        <f>IFERROR(__xludf.DUMMYFUNCTION("""COMPUTED_VALUE"""),1679300.0)</f>
        <v>1679300</v>
      </c>
      <c r="G602" s="2">
        <f t="shared" si="1"/>
        <v>10</v>
      </c>
    </row>
    <row r="603" ht="15.75" customHeight="1">
      <c r="A603" s="1">
        <f>IFERROR(__xludf.DUMMYFUNCTION("""COMPUTED_VALUE"""),44739.66666666667)</f>
        <v>44739.66667</v>
      </c>
      <c r="B603" s="2">
        <f>IFERROR(__xludf.DUMMYFUNCTION("""COMPUTED_VALUE"""),1395.0)</f>
        <v>1395</v>
      </c>
      <c r="C603" s="2">
        <f>IFERROR(__xludf.DUMMYFUNCTION("""COMPUTED_VALUE"""),1395.0)</f>
        <v>1395</v>
      </c>
      <c r="D603" s="2">
        <f>IFERROR(__xludf.DUMMYFUNCTION("""COMPUTED_VALUE"""),1380.0)</f>
        <v>1380</v>
      </c>
      <c r="E603" s="2">
        <f>IFERROR(__xludf.DUMMYFUNCTION("""COMPUTED_VALUE"""),1380.0)</f>
        <v>1380</v>
      </c>
      <c r="F603" s="2">
        <f>IFERROR(__xludf.DUMMYFUNCTION("""COMPUTED_VALUE"""),1511500.0)</f>
        <v>1511500</v>
      </c>
      <c r="G603" s="2">
        <f t="shared" si="1"/>
        <v>15</v>
      </c>
    </row>
    <row r="604" ht="15.75" customHeight="1">
      <c r="A604" s="1">
        <f>IFERROR(__xludf.DUMMYFUNCTION("""COMPUTED_VALUE"""),44740.66666666667)</f>
        <v>44740.66667</v>
      </c>
      <c r="B604" s="2">
        <f>IFERROR(__xludf.DUMMYFUNCTION("""COMPUTED_VALUE"""),1380.0)</f>
        <v>1380</v>
      </c>
      <c r="C604" s="2">
        <f>IFERROR(__xludf.DUMMYFUNCTION("""COMPUTED_VALUE"""),1395.0)</f>
        <v>1395</v>
      </c>
      <c r="D604" s="2">
        <f>IFERROR(__xludf.DUMMYFUNCTION("""COMPUTED_VALUE"""),1360.0)</f>
        <v>1360</v>
      </c>
      <c r="E604" s="2">
        <f>IFERROR(__xludf.DUMMYFUNCTION("""COMPUTED_VALUE"""),1395.0)</f>
        <v>1395</v>
      </c>
      <c r="F604" s="2">
        <f>IFERROR(__xludf.DUMMYFUNCTION("""COMPUTED_VALUE"""),2153500.0)</f>
        <v>2153500</v>
      </c>
      <c r="G604" s="2">
        <f t="shared" si="1"/>
        <v>35</v>
      </c>
    </row>
    <row r="605" ht="15.75" customHeight="1">
      <c r="A605" s="1">
        <f>IFERROR(__xludf.DUMMYFUNCTION("""COMPUTED_VALUE"""),44741.66666666667)</f>
        <v>44741.66667</v>
      </c>
      <c r="B605" s="2">
        <f>IFERROR(__xludf.DUMMYFUNCTION("""COMPUTED_VALUE"""),1395.0)</f>
        <v>1395</v>
      </c>
      <c r="C605" s="2">
        <f>IFERROR(__xludf.DUMMYFUNCTION("""COMPUTED_VALUE"""),1395.0)</f>
        <v>1395</v>
      </c>
      <c r="D605" s="2">
        <f>IFERROR(__xludf.DUMMYFUNCTION("""COMPUTED_VALUE"""),1375.0)</f>
        <v>1375</v>
      </c>
      <c r="E605" s="2">
        <f>IFERROR(__xludf.DUMMYFUNCTION("""COMPUTED_VALUE"""),1375.0)</f>
        <v>1375</v>
      </c>
      <c r="F605" s="2">
        <f>IFERROR(__xludf.DUMMYFUNCTION("""COMPUTED_VALUE"""),1939300.0)</f>
        <v>1939300</v>
      </c>
      <c r="G605" s="2">
        <f t="shared" si="1"/>
        <v>20</v>
      </c>
    </row>
    <row r="606" ht="15.75" customHeight="1">
      <c r="A606" s="1">
        <f>IFERROR(__xludf.DUMMYFUNCTION("""COMPUTED_VALUE"""),44742.66666666667)</f>
        <v>44742.66667</v>
      </c>
      <c r="B606" s="2">
        <f>IFERROR(__xludf.DUMMYFUNCTION("""COMPUTED_VALUE"""),1375.0)</f>
        <v>1375</v>
      </c>
      <c r="C606" s="2">
        <f>IFERROR(__xludf.DUMMYFUNCTION("""COMPUTED_VALUE"""),1380.0)</f>
        <v>1380</v>
      </c>
      <c r="D606" s="2">
        <f>IFERROR(__xludf.DUMMYFUNCTION("""COMPUTED_VALUE"""),1370.0)</f>
        <v>1370</v>
      </c>
      <c r="E606" s="2">
        <f>IFERROR(__xludf.DUMMYFUNCTION("""COMPUTED_VALUE"""),1375.0)</f>
        <v>1375</v>
      </c>
      <c r="F606" s="2">
        <f>IFERROR(__xludf.DUMMYFUNCTION("""COMPUTED_VALUE"""),1496200.0)</f>
        <v>1496200</v>
      </c>
      <c r="G606" s="2">
        <f t="shared" si="1"/>
        <v>10</v>
      </c>
    </row>
    <row r="607" ht="15.75" customHeight="1">
      <c r="A607" s="1">
        <f>IFERROR(__xludf.DUMMYFUNCTION("""COMPUTED_VALUE"""),44743.66666666667)</f>
        <v>44743.66667</v>
      </c>
      <c r="B607" s="2">
        <f>IFERROR(__xludf.DUMMYFUNCTION("""COMPUTED_VALUE"""),1375.0)</f>
        <v>1375</v>
      </c>
      <c r="C607" s="2">
        <f>IFERROR(__xludf.DUMMYFUNCTION("""COMPUTED_VALUE"""),1375.0)</f>
        <v>1375</v>
      </c>
      <c r="D607" s="2">
        <f>IFERROR(__xludf.DUMMYFUNCTION("""COMPUTED_VALUE"""),1350.0)</f>
        <v>1350</v>
      </c>
      <c r="E607" s="2">
        <f>IFERROR(__xludf.DUMMYFUNCTION("""COMPUTED_VALUE"""),1355.0)</f>
        <v>1355</v>
      </c>
      <c r="F607" s="2">
        <f>IFERROR(__xludf.DUMMYFUNCTION("""COMPUTED_VALUE"""),1622400.0)</f>
        <v>1622400</v>
      </c>
      <c r="G607" s="2">
        <f t="shared" si="1"/>
        <v>25</v>
      </c>
    </row>
    <row r="608" ht="15.75" customHeight="1">
      <c r="A608" s="1">
        <f>IFERROR(__xludf.DUMMYFUNCTION("""COMPUTED_VALUE"""),44746.66666666667)</f>
        <v>44746.66667</v>
      </c>
      <c r="B608" s="2">
        <f>IFERROR(__xludf.DUMMYFUNCTION("""COMPUTED_VALUE"""),1355.0)</f>
        <v>1355</v>
      </c>
      <c r="C608" s="2">
        <f>IFERROR(__xludf.DUMMYFUNCTION("""COMPUTED_VALUE"""),1360.0)</f>
        <v>1360</v>
      </c>
      <c r="D608" s="2">
        <f>IFERROR(__xludf.DUMMYFUNCTION("""COMPUTED_VALUE"""),1320.0)</f>
        <v>1320</v>
      </c>
      <c r="E608" s="2">
        <f>IFERROR(__xludf.DUMMYFUNCTION("""COMPUTED_VALUE"""),1340.0)</f>
        <v>1340</v>
      </c>
      <c r="F608" s="2">
        <f>IFERROR(__xludf.DUMMYFUNCTION("""COMPUTED_VALUE"""),2154800.0)</f>
        <v>2154800</v>
      </c>
      <c r="G608" s="2">
        <f t="shared" si="1"/>
        <v>40</v>
      </c>
    </row>
    <row r="609" ht="15.75" customHeight="1">
      <c r="A609" s="1">
        <f>IFERROR(__xludf.DUMMYFUNCTION("""COMPUTED_VALUE"""),44747.66666666667)</f>
        <v>44747.66667</v>
      </c>
      <c r="B609" s="2">
        <f>IFERROR(__xludf.DUMMYFUNCTION("""COMPUTED_VALUE"""),1340.0)</f>
        <v>1340</v>
      </c>
      <c r="C609" s="2">
        <f>IFERROR(__xludf.DUMMYFUNCTION("""COMPUTED_VALUE"""),1355.0)</f>
        <v>1355</v>
      </c>
      <c r="D609" s="2">
        <f>IFERROR(__xludf.DUMMYFUNCTION("""COMPUTED_VALUE"""),1340.0)</f>
        <v>1340</v>
      </c>
      <c r="E609" s="2">
        <f>IFERROR(__xludf.DUMMYFUNCTION("""COMPUTED_VALUE"""),1345.0)</f>
        <v>1345</v>
      </c>
      <c r="F609" s="2">
        <f>IFERROR(__xludf.DUMMYFUNCTION("""COMPUTED_VALUE"""),537600.0)</f>
        <v>537600</v>
      </c>
      <c r="G609" s="2">
        <f t="shared" si="1"/>
        <v>15</v>
      </c>
    </row>
    <row r="610" ht="15.75" customHeight="1">
      <c r="A610" s="1">
        <f>IFERROR(__xludf.DUMMYFUNCTION("""COMPUTED_VALUE"""),44748.66666666667)</f>
        <v>44748.66667</v>
      </c>
      <c r="B610" s="2">
        <f>IFERROR(__xludf.DUMMYFUNCTION("""COMPUTED_VALUE"""),1345.0)</f>
        <v>1345</v>
      </c>
      <c r="C610" s="2">
        <f>IFERROR(__xludf.DUMMYFUNCTION("""COMPUTED_VALUE"""),1350.0)</f>
        <v>1350</v>
      </c>
      <c r="D610" s="2">
        <f>IFERROR(__xludf.DUMMYFUNCTION("""COMPUTED_VALUE"""),1335.0)</f>
        <v>1335</v>
      </c>
      <c r="E610" s="2">
        <f>IFERROR(__xludf.DUMMYFUNCTION("""COMPUTED_VALUE"""),1340.0)</f>
        <v>1340</v>
      </c>
      <c r="F610" s="2">
        <f>IFERROR(__xludf.DUMMYFUNCTION("""COMPUTED_VALUE"""),780000.0)</f>
        <v>780000</v>
      </c>
      <c r="G610" s="2">
        <f t="shared" si="1"/>
        <v>15</v>
      </c>
    </row>
    <row r="611" ht="15.75" customHeight="1">
      <c r="A611" s="1">
        <f>IFERROR(__xludf.DUMMYFUNCTION("""COMPUTED_VALUE"""),44749.66666666667)</f>
        <v>44749.66667</v>
      </c>
      <c r="B611" s="2">
        <f>IFERROR(__xludf.DUMMYFUNCTION("""COMPUTED_VALUE"""),1340.0)</f>
        <v>1340</v>
      </c>
      <c r="C611" s="2">
        <f>IFERROR(__xludf.DUMMYFUNCTION("""COMPUTED_VALUE"""),1350.0)</f>
        <v>1350</v>
      </c>
      <c r="D611" s="2">
        <f>IFERROR(__xludf.DUMMYFUNCTION("""COMPUTED_VALUE"""),1335.0)</f>
        <v>1335</v>
      </c>
      <c r="E611" s="2">
        <f>IFERROR(__xludf.DUMMYFUNCTION("""COMPUTED_VALUE"""),1340.0)</f>
        <v>1340</v>
      </c>
      <c r="F611" s="2">
        <f>IFERROR(__xludf.DUMMYFUNCTION("""COMPUTED_VALUE"""),365000.0)</f>
        <v>365000</v>
      </c>
      <c r="G611" s="2">
        <f t="shared" si="1"/>
        <v>15</v>
      </c>
    </row>
    <row r="612" ht="15.75" customHeight="1">
      <c r="A612" s="1">
        <f>IFERROR(__xludf.DUMMYFUNCTION("""COMPUTED_VALUE"""),44750.66666666667)</f>
        <v>44750.66667</v>
      </c>
      <c r="B612" s="2">
        <f>IFERROR(__xludf.DUMMYFUNCTION("""COMPUTED_VALUE"""),1340.0)</f>
        <v>1340</v>
      </c>
      <c r="C612" s="2">
        <f>IFERROR(__xludf.DUMMYFUNCTION("""COMPUTED_VALUE"""),1355.0)</f>
        <v>1355</v>
      </c>
      <c r="D612" s="2">
        <f>IFERROR(__xludf.DUMMYFUNCTION("""COMPUTED_VALUE"""),1335.0)</f>
        <v>1335</v>
      </c>
      <c r="E612" s="2">
        <f>IFERROR(__xludf.DUMMYFUNCTION("""COMPUTED_VALUE"""),1340.0)</f>
        <v>1340</v>
      </c>
      <c r="F612" s="2">
        <f>IFERROR(__xludf.DUMMYFUNCTION("""COMPUTED_VALUE"""),534400.0)</f>
        <v>534400</v>
      </c>
      <c r="G612" s="2">
        <f t="shared" si="1"/>
        <v>20</v>
      </c>
    </row>
    <row r="613" ht="15.75" customHeight="1">
      <c r="A613" s="1">
        <f>IFERROR(__xludf.DUMMYFUNCTION("""COMPUTED_VALUE"""),44753.66666666667)</f>
        <v>44753.66667</v>
      </c>
      <c r="B613" s="2">
        <f>IFERROR(__xludf.DUMMYFUNCTION("""COMPUTED_VALUE"""),1340.0)</f>
        <v>1340</v>
      </c>
      <c r="C613" s="2">
        <f>IFERROR(__xludf.DUMMYFUNCTION("""COMPUTED_VALUE"""),1350.0)</f>
        <v>1350</v>
      </c>
      <c r="D613" s="2">
        <f>IFERROR(__xludf.DUMMYFUNCTION("""COMPUTED_VALUE"""),1330.0)</f>
        <v>1330</v>
      </c>
      <c r="E613" s="2">
        <f>IFERROR(__xludf.DUMMYFUNCTION("""COMPUTED_VALUE"""),1330.0)</f>
        <v>1330</v>
      </c>
      <c r="F613" s="2">
        <f>IFERROR(__xludf.DUMMYFUNCTION("""COMPUTED_VALUE"""),792400.0)</f>
        <v>792400</v>
      </c>
      <c r="G613" s="2">
        <f t="shared" si="1"/>
        <v>20</v>
      </c>
    </row>
    <row r="614" ht="15.75" customHeight="1">
      <c r="A614" s="1">
        <f>IFERROR(__xludf.DUMMYFUNCTION("""COMPUTED_VALUE"""),44754.66666666667)</f>
        <v>44754.66667</v>
      </c>
      <c r="B614" s="2">
        <f>IFERROR(__xludf.DUMMYFUNCTION("""COMPUTED_VALUE"""),1330.0)</f>
        <v>1330</v>
      </c>
      <c r="C614" s="2">
        <f>IFERROR(__xludf.DUMMYFUNCTION("""COMPUTED_VALUE"""),1350.0)</f>
        <v>1350</v>
      </c>
      <c r="D614" s="2">
        <f>IFERROR(__xludf.DUMMYFUNCTION("""COMPUTED_VALUE"""),1325.0)</f>
        <v>1325</v>
      </c>
      <c r="E614" s="2">
        <f>IFERROR(__xludf.DUMMYFUNCTION("""COMPUTED_VALUE"""),1345.0)</f>
        <v>1345</v>
      </c>
      <c r="F614" s="2">
        <f>IFERROR(__xludf.DUMMYFUNCTION("""COMPUTED_VALUE"""),674900.0)</f>
        <v>674900</v>
      </c>
      <c r="G614" s="2">
        <f t="shared" si="1"/>
        <v>25</v>
      </c>
    </row>
    <row r="615" ht="15.75" customHeight="1">
      <c r="A615" s="1">
        <f>IFERROR(__xludf.DUMMYFUNCTION("""COMPUTED_VALUE"""),44755.66666666667)</f>
        <v>44755.66667</v>
      </c>
      <c r="B615" s="2">
        <f>IFERROR(__xludf.DUMMYFUNCTION("""COMPUTED_VALUE"""),1345.0)</f>
        <v>1345</v>
      </c>
      <c r="C615" s="2">
        <f>IFERROR(__xludf.DUMMYFUNCTION("""COMPUTED_VALUE"""),1350.0)</f>
        <v>1350</v>
      </c>
      <c r="D615" s="2">
        <f>IFERROR(__xludf.DUMMYFUNCTION("""COMPUTED_VALUE"""),1340.0)</f>
        <v>1340</v>
      </c>
      <c r="E615" s="2">
        <f>IFERROR(__xludf.DUMMYFUNCTION("""COMPUTED_VALUE"""),1345.0)</f>
        <v>1345</v>
      </c>
      <c r="F615" s="2">
        <f>IFERROR(__xludf.DUMMYFUNCTION("""COMPUTED_VALUE"""),613000.0)</f>
        <v>613000</v>
      </c>
      <c r="G615" s="2">
        <f t="shared" si="1"/>
        <v>10</v>
      </c>
    </row>
    <row r="616" ht="15.75" customHeight="1">
      <c r="A616" s="1">
        <f>IFERROR(__xludf.DUMMYFUNCTION("""COMPUTED_VALUE"""),44756.66666666667)</f>
        <v>44756.66667</v>
      </c>
      <c r="B616" s="2">
        <f>IFERROR(__xludf.DUMMYFUNCTION("""COMPUTED_VALUE"""),1340.0)</f>
        <v>1340</v>
      </c>
      <c r="C616" s="2">
        <f>IFERROR(__xludf.DUMMYFUNCTION("""COMPUTED_VALUE"""),1350.0)</f>
        <v>1350</v>
      </c>
      <c r="D616" s="2">
        <f>IFERROR(__xludf.DUMMYFUNCTION("""COMPUTED_VALUE"""),1330.0)</f>
        <v>1330</v>
      </c>
      <c r="E616" s="2">
        <f>IFERROR(__xludf.DUMMYFUNCTION("""COMPUTED_VALUE"""),1335.0)</f>
        <v>1335</v>
      </c>
      <c r="F616" s="2">
        <f>IFERROR(__xludf.DUMMYFUNCTION("""COMPUTED_VALUE"""),1241800.0)</f>
        <v>1241800</v>
      </c>
      <c r="G616" s="2">
        <f t="shared" si="1"/>
        <v>20</v>
      </c>
    </row>
    <row r="617" ht="15.75" customHeight="1">
      <c r="A617" s="1">
        <f>IFERROR(__xludf.DUMMYFUNCTION("""COMPUTED_VALUE"""),44757.66666666667)</f>
        <v>44757.66667</v>
      </c>
      <c r="B617" s="2">
        <f>IFERROR(__xludf.DUMMYFUNCTION("""COMPUTED_VALUE"""),1335.0)</f>
        <v>1335</v>
      </c>
      <c r="C617" s="2">
        <f>IFERROR(__xludf.DUMMYFUNCTION("""COMPUTED_VALUE"""),1345.0)</f>
        <v>1345</v>
      </c>
      <c r="D617" s="2">
        <f>IFERROR(__xludf.DUMMYFUNCTION("""COMPUTED_VALUE"""),1325.0)</f>
        <v>1325</v>
      </c>
      <c r="E617" s="2">
        <f>IFERROR(__xludf.DUMMYFUNCTION("""COMPUTED_VALUE"""),1325.0)</f>
        <v>1325</v>
      </c>
      <c r="F617" s="2">
        <f>IFERROR(__xludf.DUMMYFUNCTION("""COMPUTED_VALUE"""),1650100.0)</f>
        <v>1650100</v>
      </c>
      <c r="G617" s="2">
        <f t="shared" si="1"/>
        <v>20</v>
      </c>
    </row>
    <row r="618" ht="15.75" customHeight="1">
      <c r="A618" s="1">
        <f>IFERROR(__xludf.DUMMYFUNCTION("""COMPUTED_VALUE"""),44760.66666666667)</f>
        <v>44760.66667</v>
      </c>
      <c r="B618" s="2">
        <f>IFERROR(__xludf.DUMMYFUNCTION("""COMPUTED_VALUE"""),1320.0)</f>
        <v>1320</v>
      </c>
      <c r="C618" s="2">
        <f>IFERROR(__xludf.DUMMYFUNCTION("""COMPUTED_VALUE"""),1335.0)</f>
        <v>1335</v>
      </c>
      <c r="D618" s="2">
        <f>IFERROR(__xludf.DUMMYFUNCTION("""COMPUTED_VALUE"""),1315.0)</f>
        <v>1315</v>
      </c>
      <c r="E618" s="2">
        <f>IFERROR(__xludf.DUMMYFUNCTION("""COMPUTED_VALUE"""),1320.0)</f>
        <v>1320</v>
      </c>
      <c r="F618" s="2">
        <f>IFERROR(__xludf.DUMMYFUNCTION("""COMPUTED_VALUE"""),1740300.0)</f>
        <v>1740300</v>
      </c>
      <c r="G618" s="2">
        <f t="shared" si="1"/>
        <v>20</v>
      </c>
    </row>
    <row r="619" ht="15.75" customHeight="1">
      <c r="A619" s="1">
        <f>IFERROR(__xludf.DUMMYFUNCTION("""COMPUTED_VALUE"""),44761.66666666667)</f>
        <v>44761.66667</v>
      </c>
      <c r="B619" s="2">
        <f>IFERROR(__xludf.DUMMYFUNCTION("""COMPUTED_VALUE"""),1325.0)</f>
        <v>1325</v>
      </c>
      <c r="C619" s="2">
        <f>IFERROR(__xludf.DUMMYFUNCTION("""COMPUTED_VALUE"""),1330.0)</f>
        <v>1330</v>
      </c>
      <c r="D619" s="2">
        <f>IFERROR(__xludf.DUMMYFUNCTION("""COMPUTED_VALUE"""),1305.0)</f>
        <v>1305</v>
      </c>
      <c r="E619" s="2">
        <f>IFERROR(__xludf.DUMMYFUNCTION("""COMPUTED_VALUE"""),1310.0)</f>
        <v>1310</v>
      </c>
      <c r="F619" s="2">
        <f>IFERROR(__xludf.DUMMYFUNCTION("""COMPUTED_VALUE"""),3254300.0)</f>
        <v>3254300</v>
      </c>
      <c r="G619" s="2">
        <f t="shared" si="1"/>
        <v>25</v>
      </c>
    </row>
    <row r="620" ht="15.75" customHeight="1">
      <c r="A620" s="1">
        <f>IFERROR(__xludf.DUMMYFUNCTION("""COMPUTED_VALUE"""),44762.66666666667)</f>
        <v>44762.66667</v>
      </c>
      <c r="B620" s="2">
        <f>IFERROR(__xludf.DUMMYFUNCTION("""COMPUTED_VALUE"""),1315.0)</f>
        <v>1315</v>
      </c>
      <c r="C620" s="2">
        <f>IFERROR(__xludf.DUMMYFUNCTION("""COMPUTED_VALUE"""),1340.0)</f>
        <v>1340</v>
      </c>
      <c r="D620" s="2">
        <f>IFERROR(__xludf.DUMMYFUNCTION("""COMPUTED_VALUE"""),1310.0)</f>
        <v>1310</v>
      </c>
      <c r="E620" s="2">
        <f>IFERROR(__xludf.DUMMYFUNCTION("""COMPUTED_VALUE"""),1315.0)</f>
        <v>1315</v>
      </c>
      <c r="F620" s="2">
        <f>IFERROR(__xludf.DUMMYFUNCTION("""COMPUTED_VALUE"""),3768900.0)</f>
        <v>3768900</v>
      </c>
      <c r="G620" s="2">
        <f t="shared" si="1"/>
        <v>30</v>
      </c>
    </row>
    <row r="621" ht="15.75" customHeight="1">
      <c r="A621" s="1">
        <f>IFERROR(__xludf.DUMMYFUNCTION("""COMPUTED_VALUE"""),44763.66666666667)</f>
        <v>44763.66667</v>
      </c>
      <c r="B621" s="2">
        <f>IFERROR(__xludf.DUMMYFUNCTION("""COMPUTED_VALUE"""),1315.0)</f>
        <v>1315</v>
      </c>
      <c r="C621" s="2">
        <f>IFERROR(__xludf.DUMMYFUNCTION("""COMPUTED_VALUE"""),1330.0)</f>
        <v>1330</v>
      </c>
      <c r="D621" s="2">
        <f>IFERROR(__xludf.DUMMYFUNCTION("""COMPUTED_VALUE"""),1315.0)</f>
        <v>1315</v>
      </c>
      <c r="E621" s="2">
        <f>IFERROR(__xludf.DUMMYFUNCTION("""COMPUTED_VALUE"""),1325.0)</f>
        <v>1325</v>
      </c>
      <c r="F621" s="2">
        <f>IFERROR(__xludf.DUMMYFUNCTION("""COMPUTED_VALUE"""),1275800.0)</f>
        <v>1275800</v>
      </c>
      <c r="G621" s="2">
        <f t="shared" si="1"/>
        <v>15</v>
      </c>
    </row>
    <row r="622" ht="15.75" customHeight="1">
      <c r="A622" s="1">
        <f>IFERROR(__xludf.DUMMYFUNCTION("""COMPUTED_VALUE"""),44764.66666666667)</f>
        <v>44764.66667</v>
      </c>
      <c r="B622" s="2">
        <f>IFERROR(__xludf.DUMMYFUNCTION("""COMPUTED_VALUE"""),1325.0)</f>
        <v>1325</v>
      </c>
      <c r="C622" s="2">
        <f>IFERROR(__xludf.DUMMYFUNCTION("""COMPUTED_VALUE"""),1335.0)</f>
        <v>1335</v>
      </c>
      <c r="D622" s="2">
        <f>IFERROR(__xludf.DUMMYFUNCTION("""COMPUTED_VALUE"""),1320.0)</f>
        <v>1320</v>
      </c>
      <c r="E622" s="2">
        <f>IFERROR(__xludf.DUMMYFUNCTION("""COMPUTED_VALUE"""),1335.0)</f>
        <v>1335</v>
      </c>
      <c r="F622" s="2">
        <f>IFERROR(__xludf.DUMMYFUNCTION("""COMPUTED_VALUE"""),2195400.0)</f>
        <v>2195400</v>
      </c>
      <c r="G622" s="2">
        <f t="shared" si="1"/>
        <v>15</v>
      </c>
    </row>
    <row r="623" ht="15.75" customHeight="1">
      <c r="A623" s="1">
        <f>IFERROR(__xludf.DUMMYFUNCTION("""COMPUTED_VALUE"""),44767.66666666667)</f>
        <v>44767.66667</v>
      </c>
      <c r="B623" s="2">
        <f>IFERROR(__xludf.DUMMYFUNCTION("""COMPUTED_VALUE"""),1335.0)</f>
        <v>1335</v>
      </c>
      <c r="C623" s="2">
        <f>IFERROR(__xludf.DUMMYFUNCTION("""COMPUTED_VALUE"""),1350.0)</f>
        <v>1350</v>
      </c>
      <c r="D623" s="2">
        <f>IFERROR(__xludf.DUMMYFUNCTION("""COMPUTED_VALUE"""),1330.0)</f>
        <v>1330</v>
      </c>
      <c r="E623" s="2">
        <f>IFERROR(__xludf.DUMMYFUNCTION("""COMPUTED_VALUE"""),1335.0)</f>
        <v>1335</v>
      </c>
      <c r="F623" s="2">
        <f>IFERROR(__xludf.DUMMYFUNCTION("""COMPUTED_VALUE"""),1941800.0)</f>
        <v>1941800</v>
      </c>
      <c r="G623" s="2">
        <f t="shared" si="1"/>
        <v>20</v>
      </c>
    </row>
    <row r="624" ht="15.75" customHeight="1">
      <c r="A624" s="1">
        <f>IFERROR(__xludf.DUMMYFUNCTION("""COMPUTED_VALUE"""),44768.66666666667)</f>
        <v>44768.66667</v>
      </c>
      <c r="B624" s="2">
        <f>IFERROR(__xludf.DUMMYFUNCTION("""COMPUTED_VALUE"""),1335.0)</f>
        <v>1335</v>
      </c>
      <c r="C624" s="2">
        <f>IFERROR(__xludf.DUMMYFUNCTION("""COMPUTED_VALUE"""),1340.0)</f>
        <v>1340</v>
      </c>
      <c r="D624" s="2">
        <f>IFERROR(__xludf.DUMMYFUNCTION("""COMPUTED_VALUE"""),1310.0)</f>
        <v>1310</v>
      </c>
      <c r="E624" s="2">
        <f>IFERROR(__xludf.DUMMYFUNCTION("""COMPUTED_VALUE"""),1315.0)</f>
        <v>1315</v>
      </c>
      <c r="F624" s="2">
        <f>IFERROR(__xludf.DUMMYFUNCTION("""COMPUTED_VALUE"""),5493200.0)</f>
        <v>5493200</v>
      </c>
      <c r="G624" s="2">
        <f t="shared" si="1"/>
        <v>30</v>
      </c>
    </row>
    <row r="625" ht="15.75" customHeight="1">
      <c r="A625" s="1">
        <f>IFERROR(__xludf.DUMMYFUNCTION("""COMPUTED_VALUE"""),44769.66666666667)</f>
        <v>44769.66667</v>
      </c>
      <c r="B625" s="2">
        <f>IFERROR(__xludf.DUMMYFUNCTION("""COMPUTED_VALUE"""),1320.0)</f>
        <v>1320</v>
      </c>
      <c r="C625" s="2">
        <f>IFERROR(__xludf.DUMMYFUNCTION("""COMPUTED_VALUE"""),1350.0)</f>
        <v>1350</v>
      </c>
      <c r="D625" s="2">
        <f>IFERROR(__xludf.DUMMYFUNCTION("""COMPUTED_VALUE"""),1320.0)</f>
        <v>1320</v>
      </c>
      <c r="E625" s="2">
        <f>IFERROR(__xludf.DUMMYFUNCTION("""COMPUTED_VALUE"""),1345.0)</f>
        <v>1345</v>
      </c>
      <c r="F625" s="2">
        <f>IFERROR(__xludf.DUMMYFUNCTION("""COMPUTED_VALUE"""),3882200.0)</f>
        <v>3882200</v>
      </c>
      <c r="G625" s="2">
        <f t="shared" si="1"/>
        <v>35</v>
      </c>
    </row>
    <row r="626" ht="15.75" customHeight="1">
      <c r="A626" s="1">
        <f>IFERROR(__xludf.DUMMYFUNCTION("""COMPUTED_VALUE"""),44770.66666666667)</f>
        <v>44770.66667</v>
      </c>
      <c r="B626" s="2">
        <f>IFERROR(__xludf.DUMMYFUNCTION("""COMPUTED_VALUE"""),1345.0)</f>
        <v>1345</v>
      </c>
      <c r="C626" s="2">
        <f>IFERROR(__xludf.DUMMYFUNCTION("""COMPUTED_VALUE"""),1355.0)</f>
        <v>1355</v>
      </c>
      <c r="D626" s="2">
        <f>IFERROR(__xludf.DUMMYFUNCTION("""COMPUTED_VALUE"""),1340.0)</f>
        <v>1340</v>
      </c>
      <c r="E626" s="2">
        <f>IFERROR(__xludf.DUMMYFUNCTION("""COMPUTED_VALUE"""),1340.0)</f>
        <v>1340</v>
      </c>
      <c r="F626" s="2">
        <f>IFERROR(__xludf.DUMMYFUNCTION("""COMPUTED_VALUE"""),3256500.0)</f>
        <v>3256500</v>
      </c>
      <c r="G626" s="2">
        <f t="shared" si="1"/>
        <v>15</v>
      </c>
    </row>
    <row r="627" ht="15.75" customHeight="1">
      <c r="A627" s="1">
        <f>IFERROR(__xludf.DUMMYFUNCTION("""COMPUTED_VALUE"""),44771.66666666667)</f>
        <v>44771.66667</v>
      </c>
      <c r="B627" s="2">
        <f>IFERROR(__xludf.DUMMYFUNCTION("""COMPUTED_VALUE"""),1340.0)</f>
        <v>1340</v>
      </c>
      <c r="C627" s="2">
        <f>IFERROR(__xludf.DUMMYFUNCTION("""COMPUTED_VALUE"""),1355.0)</f>
        <v>1355</v>
      </c>
      <c r="D627" s="2">
        <f>IFERROR(__xludf.DUMMYFUNCTION("""COMPUTED_VALUE"""),1340.0)</f>
        <v>1340</v>
      </c>
      <c r="E627" s="2">
        <f>IFERROR(__xludf.DUMMYFUNCTION("""COMPUTED_VALUE"""),1340.0)</f>
        <v>1340</v>
      </c>
      <c r="F627" s="2">
        <f>IFERROR(__xludf.DUMMYFUNCTION("""COMPUTED_VALUE"""),3806400.0)</f>
        <v>3806400</v>
      </c>
      <c r="G627" s="2">
        <f t="shared" si="1"/>
        <v>15</v>
      </c>
    </row>
    <row r="628" ht="15.75" customHeight="1">
      <c r="A628" s="1">
        <f>IFERROR(__xludf.DUMMYFUNCTION("""COMPUTED_VALUE"""),44774.66666666667)</f>
        <v>44774.66667</v>
      </c>
      <c r="B628" s="2">
        <f>IFERROR(__xludf.DUMMYFUNCTION("""COMPUTED_VALUE"""),1340.0)</f>
        <v>1340</v>
      </c>
      <c r="C628" s="2">
        <f>IFERROR(__xludf.DUMMYFUNCTION("""COMPUTED_VALUE"""),1365.0)</f>
        <v>1365</v>
      </c>
      <c r="D628" s="2">
        <f>IFERROR(__xludf.DUMMYFUNCTION("""COMPUTED_VALUE"""),1340.0)</f>
        <v>1340</v>
      </c>
      <c r="E628" s="2">
        <f>IFERROR(__xludf.DUMMYFUNCTION("""COMPUTED_VALUE"""),1360.0)</f>
        <v>1360</v>
      </c>
      <c r="F628" s="2">
        <f>IFERROR(__xludf.DUMMYFUNCTION("""COMPUTED_VALUE"""),2311700.0)</f>
        <v>2311700</v>
      </c>
      <c r="G628" s="2">
        <f t="shared" si="1"/>
        <v>25</v>
      </c>
    </row>
    <row r="629" ht="15.75" customHeight="1">
      <c r="A629" s="1">
        <f>IFERROR(__xludf.DUMMYFUNCTION("""COMPUTED_VALUE"""),44775.66666666667)</f>
        <v>44775.66667</v>
      </c>
      <c r="B629" s="2">
        <f>IFERROR(__xludf.DUMMYFUNCTION("""COMPUTED_VALUE"""),1360.0)</f>
        <v>1360</v>
      </c>
      <c r="C629" s="2">
        <f>IFERROR(__xludf.DUMMYFUNCTION("""COMPUTED_VALUE"""),1375.0)</f>
        <v>1375</v>
      </c>
      <c r="D629" s="2">
        <f>IFERROR(__xludf.DUMMYFUNCTION("""COMPUTED_VALUE"""),1350.0)</f>
        <v>1350</v>
      </c>
      <c r="E629" s="2">
        <f>IFERROR(__xludf.DUMMYFUNCTION("""COMPUTED_VALUE"""),1350.0)</f>
        <v>1350</v>
      </c>
      <c r="F629" s="2">
        <f>IFERROR(__xludf.DUMMYFUNCTION("""COMPUTED_VALUE"""),2268200.0)</f>
        <v>2268200</v>
      </c>
      <c r="G629" s="2">
        <f t="shared" si="1"/>
        <v>25</v>
      </c>
    </row>
    <row r="630" ht="15.75" customHeight="1">
      <c r="A630" s="1">
        <f>IFERROR(__xludf.DUMMYFUNCTION("""COMPUTED_VALUE"""),44776.66666666667)</f>
        <v>44776.66667</v>
      </c>
      <c r="B630" s="2">
        <f>IFERROR(__xludf.DUMMYFUNCTION("""COMPUTED_VALUE"""),1350.0)</f>
        <v>1350</v>
      </c>
      <c r="C630" s="2">
        <f>IFERROR(__xludf.DUMMYFUNCTION("""COMPUTED_VALUE"""),1370.0)</f>
        <v>1370</v>
      </c>
      <c r="D630" s="2">
        <f>IFERROR(__xludf.DUMMYFUNCTION("""COMPUTED_VALUE"""),1350.0)</f>
        <v>1350</v>
      </c>
      <c r="E630" s="2">
        <f>IFERROR(__xludf.DUMMYFUNCTION("""COMPUTED_VALUE"""),1360.0)</f>
        <v>1360</v>
      </c>
      <c r="F630" s="2">
        <f>IFERROR(__xludf.DUMMYFUNCTION("""COMPUTED_VALUE"""),1489200.0)</f>
        <v>1489200</v>
      </c>
      <c r="G630" s="2">
        <f t="shared" si="1"/>
        <v>20</v>
      </c>
    </row>
    <row r="631" ht="15.75" customHeight="1">
      <c r="A631" s="1">
        <f>IFERROR(__xludf.DUMMYFUNCTION("""COMPUTED_VALUE"""),44777.66666666667)</f>
        <v>44777.66667</v>
      </c>
      <c r="B631" s="2">
        <f>IFERROR(__xludf.DUMMYFUNCTION("""COMPUTED_VALUE"""),1370.0)</f>
        <v>1370</v>
      </c>
      <c r="C631" s="2">
        <f>IFERROR(__xludf.DUMMYFUNCTION("""COMPUTED_VALUE"""),1370.0)</f>
        <v>1370</v>
      </c>
      <c r="D631" s="2">
        <f>IFERROR(__xludf.DUMMYFUNCTION("""COMPUTED_VALUE"""),1350.0)</f>
        <v>1350</v>
      </c>
      <c r="E631" s="2">
        <f>IFERROR(__xludf.DUMMYFUNCTION("""COMPUTED_VALUE"""),1360.0)</f>
        <v>1360</v>
      </c>
      <c r="F631" s="2">
        <f>IFERROR(__xludf.DUMMYFUNCTION("""COMPUTED_VALUE"""),5598200.0)</f>
        <v>5598200</v>
      </c>
      <c r="G631" s="2">
        <f t="shared" si="1"/>
        <v>20</v>
      </c>
    </row>
    <row r="632" ht="15.75" customHeight="1">
      <c r="A632" s="1">
        <f>IFERROR(__xludf.DUMMYFUNCTION("""COMPUTED_VALUE"""),44778.66666666667)</f>
        <v>44778.66667</v>
      </c>
      <c r="B632" s="2">
        <f>IFERROR(__xludf.DUMMYFUNCTION("""COMPUTED_VALUE"""),1365.0)</f>
        <v>1365</v>
      </c>
      <c r="C632" s="2">
        <f>IFERROR(__xludf.DUMMYFUNCTION("""COMPUTED_VALUE"""),1375.0)</f>
        <v>1375</v>
      </c>
      <c r="D632" s="2">
        <f>IFERROR(__xludf.DUMMYFUNCTION("""COMPUTED_VALUE"""),1355.0)</f>
        <v>1355</v>
      </c>
      <c r="E632" s="2">
        <f>IFERROR(__xludf.DUMMYFUNCTION("""COMPUTED_VALUE"""),1375.0)</f>
        <v>1375</v>
      </c>
      <c r="F632" s="2">
        <f>IFERROR(__xludf.DUMMYFUNCTION("""COMPUTED_VALUE"""),1632800.0)</f>
        <v>1632800</v>
      </c>
      <c r="G632" s="2">
        <f t="shared" si="1"/>
        <v>20</v>
      </c>
    </row>
    <row r="633" ht="15.75" customHeight="1">
      <c r="A633" s="1">
        <f>IFERROR(__xludf.DUMMYFUNCTION("""COMPUTED_VALUE"""),44781.66666666667)</f>
        <v>44781.66667</v>
      </c>
      <c r="B633" s="2">
        <f>IFERROR(__xludf.DUMMYFUNCTION("""COMPUTED_VALUE"""),1375.0)</f>
        <v>1375</v>
      </c>
      <c r="C633" s="2">
        <f>IFERROR(__xludf.DUMMYFUNCTION("""COMPUTED_VALUE"""),1390.0)</f>
        <v>1390</v>
      </c>
      <c r="D633" s="2">
        <f>IFERROR(__xludf.DUMMYFUNCTION("""COMPUTED_VALUE"""),1375.0)</f>
        <v>1375</v>
      </c>
      <c r="E633" s="2">
        <f>IFERROR(__xludf.DUMMYFUNCTION("""COMPUTED_VALUE"""),1390.0)</f>
        <v>1390</v>
      </c>
      <c r="F633" s="2">
        <f>IFERROR(__xludf.DUMMYFUNCTION("""COMPUTED_VALUE"""),3135000.0)</f>
        <v>3135000</v>
      </c>
      <c r="G633" s="2">
        <f t="shared" si="1"/>
        <v>15</v>
      </c>
    </row>
    <row r="634" ht="15.75" customHeight="1">
      <c r="A634" s="1">
        <f>IFERROR(__xludf.DUMMYFUNCTION("""COMPUTED_VALUE"""),44782.66666666667)</f>
        <v>44782.66667</v>
      </c>
      <c r="B634" s="2">
        <f>IFERROR(__xludf.DUMMYFUNCTION("""COMPUTED_VALUE"""),1390.0)</f>
        <v>1390</v>
      </c>
      <c r="C634" s="2">
        <f>IFERROR(__xludf.DUMMYFUNCTION("""COMPUTED_VALUE"""),1395.0)</f>
        <v>1395</v>
      </c>
      <c r="D634" s="2">
        <f>IFERROR(__xludf.DUMMYFUNCTION("""COMPUTED_VALUE"""),1385.0)</f>
        <v>1385</v>
      </c>
      <c r="E634" s="2">
        <f>IFERROR(__xludf.DUMMYFUNCTION("""COMPUTED_VALUE"""),1385.0)</f>
        <v>1385</v>
      </c>
      <c r="F634" s="2">
        <f>IFERROR(__xludf.DUMMYFUNCTION("""COMPUTED_VALUE"""),1343700.0)</f>
        <v>1343700</v>
      </c>
      <c r="G634" s="2">
        <f t="shared" si="1"/>
        <v>10</v>
      </c>
    </row>
    <row r="635" ht="15.75" customHeight="1">
      <c r="A635" s="1">
        <f>IFERROR(__xludf.DUMMYFUNCTION("""COMPUTED_VALUE"""),44783.66666666667)</f>
        <v>44783.66667</v>
      </c>
      <c r="B635" s="2">
        <f>IFERROR(__xludf.DUMMYFUNCTION("""COMPUTED_VALUE"""),1385.0)</f>
        <v>1385</v>
      </c>
      <c r="C635" s="2">
        <f>IFERROR(__xludf.DUMMYFUNCTION("""COMPUTED_VALUE"""),1390.0)</f>
        <v>1390</v>
      </c>
      <c r="D635" s="2">
        <f>IFERROR(__xludf.DUMMYFUNCTION("""COMPUTED_VALUE"""),1375.0)</f>
        <v>1375</v>
      </c>
      <c r="E635" s="2">
        <f>IFERROR(__xludf.DUMMYFUNCTION("""COMPUTED_VALUE"""),1375.0)</f>
        <v>1375</v>
      </c>
      <c r="F635" s="2">
        <f>IFERROR(__xludf.DUMMYFUNCTION("""COMPUTED_VALUE"""),1215000.0)</f>
        <v>1215000</v>
      </c>
      <c r="G635" s="2">
        <f t="shared" si="1"/>
        <v>15</v>
      </c>
    </row>
    <row r="636" ht="15.75" customHeight="1">
      <c r="A636" s="1">
        <f>IFERROR(__xludf.DUMMYFUNCTION("""COMPUTED_VALUE"""),44784.66666666667)</f>
        <v>44784.66667</v>
      </c>
      <c r="B636" s="2">
        <f>IFERROR(__xludf.DUMMYFUNCTION("""COMPUTED_VALUE"""),1380.0)</f>
        <v>1380</v>
      </c>
      <c r="C636" s="2">
        <f>IFERROR(__xludf.DUMMYFUNCTION("""COMPUTED_VALUE"""),1390.0)</f>
        <v>1390</v>
      </c>
      <c r="D636" s="2">
        <f>IFERROR(__xludf.DUMMYFUNCTION("""COMPUTED_VALUE"""),1375.0)</f>
        <v>1375</v>
      </c>
      <c r="E636" s="2">
        <f>IFERROR(__xludf.DUMMYFUNCTION("""COMPUTED_VALUE"""),1385.0)</f>
        <v>1385</v>
      </c>
      <c r="F636" s="2">
        <f>IFERROR(__xludf.DUMMYFUNCTION("""COMPUTED_VALUE"""),1587800.0)</f>
        <v>1587800</v>
      </c>
      <c r="G636" s="2">
        <f t="shared" si="1"/>
        <v>15</v>
      </c>
    </row>
    <row r="637" ht="15.75" customHeight="1">
      <c r="A637" s="1">
        <f>IFERROR(__xludf.DUMMYFUNCTION("""COMPUTED_VALUE"""),44785.66666666667)</f>
        <v>44785.66667</v>
      </c>
      <c r="B637" s="2">
        <f>IFERROR(__xludf.DUMMYFUNCTION("""COMPUTED_VALUE"""),1385.0)</f>
        <v>1385</v>
      </c>
      <c r="C637" s="2">
        <f>IFERROR(__xludf.DUMMYFUNCTION("""COMPUTED_VALUE"""),1415.0)</f>
        <v>1415</v>
      </c>
      <c r="D637" s="2">
        <f>IFERROR(__xludf.DUMMYFUNCTION("""COMPUTED_VALUE"""),1380.0)</f>
        <v>1380</v>
      </c>
      <c r="E637" s="2">
        <f>IFERROR(__xludf.DUMMYFUNCTION("""COMPUTED_VALUE"""),1415.0)</f>
        <v>1415</v>
      </c>
      <c r="F637" s="2">
        <f>IFERROR(__xludf.DUMMYFUNCTION("""COMPUTED_VALUE"""),4972200.0)</f>
        <v>4972200</v>
      </c>
      <c r="G637" s="2">
        <f t="shared" si="1"/>
        <v>35</v>
      </c>
    </row>
    <row r="638" ht="15.75" customHeight="1">
      <c r="A638" s="1">
        <f>IFERROR(__xludf.DUMMYFUNCTION("""COMPUTED_VALUE"""),44788.66666666667)</f>
        <v>44788.66667</v>
      </c>
      <c r="B638" s="2">
        <f>IFERROR(__xludf.DUMMYFUNCTION("""COMPUTED_VALUE"""),1420.0)</f>
        <v>1420</v>
      </c>
      <c r="C638" s="2">
        <f>IFERROR(__xludf.DUMMYFUNCTION("""COMPUTED_VALUE"""),1420.0)</f>
        <v>1420</v>
      </c>
      <c r="D638" s="2">
        <f>IFERROR(__xludf.DUMMYFUNCTION("""COMPUTED_VALUE"""),1400.0)</f>
        <v>1400</v>
      </c>
      <c r="E638" s="2">
        <f>IFERROR(__xludf.DUMMYFUNCTION("""COMPUTED_VALUE"""),1410.0)</f>
        <v>1410</v>
      </c>
      <c r="F638" s="2">
        <f>IFERROR(__xludf.DUMMYFUNCTION("""COMPUTED_VALUE"""),3456700.0)</f>
        <v>3456700</v>
      </c>
      <c r="G638" s="2">
        <f t="shared" si="1"/>
        <v>20</v>
      </c>
    </row>
    <row r="639" ht="15.75" customHeight="1">
      <c r="A639" s="1">
        <f>IFERROR(__xludf.DUMMYFUNCTION("""COMPUTED_VALUE"""),44789.66666666667)</f>
        <v>44789.66667</v>
      </c>
      <c r="B639" s="2">
        <f>IFERROR(__xludf.DUMMYFUNCTION("""COMPUTED_VALUE"""),1410.0)</f>
        <v>1410</v>
      </c>
      <c r="C639" s="2">
        <f>IFERROR(__xludf.DUMMYFUNCTION("""COMPUTED_VALUE"""),1410.0)</f>
        <v>1410</v>
      </c>
      <c r="D639" s="2">
        <f>IFERROR(__xludf.DUMMYFUNCTION("""COMPUTED_VALUE"""),1395.0)</f>
        <v>1395</v>
      </c>
      <c r="E639" s="2">
        <f>IFERROR(__xludf.DUMMYFUNCTION("""COMPUTED_VALUE"""),1405.0)</f>
        <v>1405</v>
      </c>
      <c r="F639" s="2">
        <f>IFERROR(__xludf.DUMMYFUNCTION("""COMPUTED_VALUE"""),1140300.0)</f>
        <v>1140300</v>
      </c>
      <c r="G639" s="2">
        <f t="shared" si="1"/>
        <v>15</v>
      </c>
    </row>
    <row r="640" ht="15.75" customHeight="1">
      <c r="A640" s="1">
        <f>IFERROR(__xludf.DUMMYFUNCTION("""COMPUTED_VALUE"""),44791.66666666667)</f>
        <v>44791.66667</v>
      </c>
      <c r="B640" s="2">
        <f>IFERROR(__xludf.DUMMYFUNCTION("""COMPUTED_VALUE"""),1405.0)</f>
        <v>1405</v>
      </c>
      <c r="C640" s="2">
        <f>IFERROR(__xludf.DUMMYFUNCTION("""COMPUTED_VALUE"""),1415.0)</f>
        <v>1415</v>
      </c>
      <c r="D640" s="2">
        <f>IFERROR(__xludf.DUMMYFUNCTION("""COMPUTED_VALUE"""),1400.0)</f>
        <v>1400</v>
      </c>
      <c r="E640" s="2">
        <f>IFERROR(__xludf.DUMMYFUNCTION("""COMPUTED_VALUE"""),1405.0)</f>
        <v>1405</v>
      </c>
      <c r="F640" s="2">
        <f>IFERROR(__xludf.DUMMYFUNCTION("""COMPUTED_VALUE"""),1110000.0)</f>
        <v>1110000</v>
      </c>
      <c r="G640" s="2">
        <f t="shared" si="1"/>
        <v>15</v>
      </c>
    </row>
    <row r="641" ht="15.75" customHeight="1">
      <c r="A641" s="1">
        <f>IFERROR(__xludf.DUMMYFUNCTION("""COMPUTED_VALUE"""),44792.66666666667)</f>
        <v>44792.66667</v>
      </c>
      <c r="B641" s="2">
        <f>IFERROR(__xludf.DUMMYFUNCTION("""COMPUTED_VALUE"""),1400.0)</f>
        <v>1400</v>
      </c>
      <c r="C641" s="2">
        <f>IFERROR(__xludf.DUMMYFUNCTION("""COMPUTED_VALUE"""),1415.0)</f>
        <v>1415</v>
      </c>
      <c r="D641" s="2">
        <f>IFERROR(__xludf.DUMMYFUNCTION("""COMPUTED_VALUE"""),1395.0)</f>
        <v>1395</v>
      </c>
      <c r="E641" s="2">
        <f>IFERROR(__xludf.DUMMYFUNCTION("""COMPUTED_VALUE"""),1400.0)</f>
        <v>1400</v>
      </c>
      <c r="F641" s="2">
        <f>IFERROR(__xludf.DUMMYFUNCTION("""COMPUTED_VALUE"""),1042400.0)</f>
        <v>1042400</v>
      </c>
      <c r="G641" s="2">
        <f t="shared" si="1"/>
        <v>20</v>
      </c>
    </row>
    <row r="642" ht="15.75" customHeight="1">
      <c r="A642" s="1">
        <f>IFERROR(__xludf.DUMMYFUNCTION("""COMPUTED_VALUE"""),44795.66666666667)</f>
        <v>44795.66667</v>
      </c>
      <c r="B642" s="2">
        <f>IFERROR(__xludf.DUMMYFUNCTION("""COMPUTED_VALUE"""),1410.0)</f>
        <v>1410</v>
      </c>
      <c r="C642" s="2">
        <f>IFERROR(__xludf.DUMMYFUNCTION("""COMPUTED_VALUE"""),1415.0)</f>
        <v>1415</v>
      </c>
      <c r="D642" s="2">
        <f>IFERROR(__xludf.DUMMYFUNCTION("""COMPUTED_VALUE"""),1380.0)</f>
        <v>1380</v>
      </c>
      <c r="E642" s="2">
        <f>IFERROR(__xludf.DUMMYFUNCTION("""COMPUTED_VALUE"""),1385.0)</f>
        <v>1385</v>
      </c>
      <c r="F642" s="2">
        <f>IFERROR(__xludf.DUMMYFUNCTION("""COMPUTED_VALUE"""),1840100.0)</f>
        <v>1840100</v>
      </c>
      <c r="G642" s="2">
        <f t="shared" si="1"/>
        <v>35</v>
      </c>
    </row>
    <row r="643" ht="15.75" customHeight="1">
      <c r="A643" s="1">
        <f>IFERROR(__xludf.DUMMYFUNCTION("""COMPUTED_VALUE"""),44796.66666666667)</f>
        <v>44796.66667</v>
      </c>
      <c r="B643" s="2">
        <f>IFERROR(__xludf.DUMMYFUNCTION("""COMPUTED_VALUE"""),1385.0)</f>
        <v>1385</v>
      </c>
      <c r="C643" s="2">
        <f>IFERROR(__xludf.DUMMYFUNCTION("""COMPUTED_VALUE"""),1390.0)</f>
        <v>1390</v>
      </c>
      <c r="D643" s="2">
        <f>IFERROR(__xludf.DUMMYFUNCTION("""COMPUTED_VALUE"""),1365.0)</f>
        <v>1365</v>
      </c>
      <c r="E643" s="2">
        <f>IFERROR(__xludf.DUMMYFUNCTION("""COMPUTED_VALUE"""),1385.0)</f>
        <v>1385</v>
      </c>
      <c r="F643" s="2">
        <f>IFERROR(__xludf.DUMMYFUNCTION("""COMPUTED_VALUE"""),2332500.0)</f>
        <v>2332500</v>
      </c>
      <c r="G643" s="2">
        <f t="shared" si="1"/>
        <v>25</v>
      </c>
    </row>
    <row r="644" ht="15.75" customHeight="1">
      <c r="A644" s="1">
        <f>IFERROR(__xludf.DUMMYFUNCTION("""COMPUTED_VALUE"""),44797.66666666667)</f>
        <v>44797.66667</v>
      </c>
      <c r="B644" s="2">
        <f>IFERROR(__xludf.DUMMYFUNCTION("""COMPUTED_VALUE"""),1390.0)</f>
        <v>1390</v>
      </c>
      <c r="C644" s="2">
        <f>IFERROR(__xludf.DUMMYFUNCTION("""COMPUTED_VALUE"""),1405.0)</f>
        <v>1405</v>
      </c>
      <c r="D644" s="2">
        <f>IFERROR(__xludf.DUMMYFUNCTION("""COMPUTED_VALUE"""),1390.0)</f>
        <v>1390</v>
      </c>
      <c r="E644" s="2">
        <f>IFERROR(__xludf.DUMMYFUNCTION("""COMPUTED_VALUE"""),1390.0)</f>
        <v>1390</v>
      </c>
      <c r="F644" s="2">
        <f>IFERROR(__xludf.DUMMYFUNCTION("""COMPUTED_VALUE"""),2074600.0)</f>
        <v>2074600</v>
      </c>
      <c r="G644" s="2">
        <f t="shared" si="1"/>
        <v>20</v>
      </c>
    </row>
    <row r="645" ht="15.75" customHeight="1">
      <c r="A645" s="1">
        <f>IFERROR(__xludf.DUMMYFUNCTION("""COMPUTED_VALUE"""),44798.66666666667)</f>
        <v>44798.66667</v>
      </c>
      <c r="B645" s="2">
        <f>IFERROR(__xludf.DUMMYFUNCTION("""COMPUTED_VALUE"""),1395.0)</f>
        <v>1395</v>
      </c>
      <c r="C645" s="2">
        <f>IFERROR(__xludf.DUMMYFUNCTION("""COMPUTED_VALUE"""),1395.0)</f>
        <v>1395</v>
      </c>
      <c r="D645" s="2">
        <f>IFERROR(__xludf.DUMMYFUNCTION("""COMPUTED_VALUE"""),1385.0)</f>
        <v>1385</v>
      </c>
      <c r="E645" s="2">
        <f>IFERROR(__xludf.DUMMYFUNCTION("""COMPUTED_VALUE"""),1385.0)</f>
        <v>1385</v>
      </c>
      <c r="F645" s="2">
        <f>IFERROR(__xludf.DUMMYFUNCTION("""COMPUTED_VALUE"""),827900.0)</f>
        <v>827900</v>
      </c>
      <c r="G645" s="2">
        <f t="shared" si="1"/>
        <v>10</v>
      </c>
    </row>
    <row r="646" ht="15.75" customHeight="1">
      <c r="A646" s="1">
        <f>IFERROR(__xludf.DUMMYFUNCTION("""COMPUTED_VALUE"""),44799.66666666667)</f>
        <v>44799.66667</v>
      </c>
      <c r="B646" s="2">
        <f>IFERROR(__xludf.DUMMYFUNCTION("""COMPUTED_VALUE"""),1395.0)</f>
        <v>1395</v>
      </c>
      <c r="C646" s="2">
        <f>IFERROR(__xludf.DUMMYFUNCTION("""COMPUTED_VALUE"""),1400.0)</f>
        <v>1400</v>
      </c>
      <c r="D646" s="2">
        <f>IFERROR(__xludf.DUMMYFUNCTION("""COMPUTED_VALUE"""),1380.0)</f>
        <v>1380</v>
      </c>
      <c r="E646" s="2">
        <f>IFERROR(__xludf.DUMMYFUNCTION("""COMPUTED_VALUE"""),1390.0)</f>
        <v>1390</v>
      </c>
      <c r="F646" s="2">
        <f>IFERROR(__xludf.DUMMYFUNCTION("""COMPUTED_VALUE"""),2143100.0)</f>
        <v>2143100</v>
      </c>
      <c r="G646" s="2">
        <f t="shared" si="1"/>
        <v>20</v>
      </c>
    </row>
    <row r="647" ht="15.75" customHeight="1">
      <c r="A647" s="1">
        <f>IFERROR(__xludf.DUMMYFUNCTION("""COMPUTED_VALUE"""),44802.66666666667)</f>
        <v>44802.66667</v>
      </c>
      <c r="B647" s="2">
        <f>IFERROR(__xludf.DUMMYFUNCTION("""COMPUTED_VALUE"""),1390.0)</f>
        <v>1390</v>
      </c>
      <c r="C647" s="2">
        <f>IFERROR(__xludf.DUMMYFUNCTION("""COMPUTED_VALUE"""),1390.0)</f>
        <v>1390</v>
      </c>
      <c r="D647" s="2">
        <f>IFERROR(__xludf.DUMMYFUNCTION("""COMPUTED_VALUE"""),1370.0)</f>
        <v>1370</v>
      </c>
      <c r="E647" s="2">
        <f>IFERROR(__xludf.DUMMYFUNCTION("""COMPUTED_VALUE"""),1380.0)</f>
        <v>1380</v>
      </c>
      <c r="F647" s="2">
        <f>IFERROR(__xludf.DUMMYFUNCTION("""COMPUTED_VALUE"""),1277400.0)</f>
        <v>1277400</v>
      </c>
      <c r="G647" s="2">
        <f t="shared" si="1"/>
        <v>20</v>
      </c>
    </row>
    <row r="648" ht="15.75" customHeight="1">
      <c r="A648" s="1">
        <f>IFERROR(__xludf.DUMMYFUNCTION("""COMPUTED_VALUE"""),44803.66666666667)</f>
        <v>44803.66667</v>
      </c>
      <c r="B648" s="2">
        <f>IFERROR(__xludf.DUMMYFUNCTION("""COMPUTED_VALUE"""),1380.0)</f>
        <v>1380</v>
      </c>
      <c r="C648" s="2">
        <f>IFERROR(__xludf.DUMMYFUNCTION("""COMPUTED_VALUE"""),1390.0)</f>
        <v>1390</v>
      </c>
      <c r="D648" s="2">
        <f>IFERROR(__xludf.DUMMYFUNCTION("""COMPUTED_VALUE"""),1380.0)</f>
        <v>1380</v>
      </c>
      <c r="E648" s="2">
        <f>IFERROR(__xludf.DUMMYFUNCTION("""COMPUTED_VALUE"""),1385.0)</f>
        <v>1385</v>
      </c>
      <c r="F648" s="2">
        <f>IFERROR(__xludf.DUMMYFUNCTION("""COMPUTED_VALUE"""),759700.0)</f>
        <v>759700</v>
      </c>
      <c r="G648" s="2">
        <f t="shared" si="1"/>
        <v>10</v>
      </c>
    </row>
    <row r="649" ht="15.75" customHeight="1">
      <c r="A649" s="1">
        <f>IFERROR(__xludf.DUMMYFUNCTION("""COMPUTED_VALUE"""),44804.66666666667)</f>
        <v>44804.66667</v>
      </c>
      <c r="B649" s="2">
        <f>IFERROR(__xludf.DUMMYFUNCTION("""COMPUTED_VALUE"""),1385.0)</f>
        <v>1385</v>
      </c>
      <c r="C649" s="2">
        <f>IFERROR(__xludf.DUMMYFUNCTION("""COMPUTED_VALUE"""),1390.0)</f>
        <v>1390</v>
      </c>
      <c r="D649" s="2">
        <f>IFERROR(__xludf.DUMMYFUNCTION("""COMPUTED_VALUE"""),1380.0)</f>
        <v>1380</v>
      </c>
      <c r="E649" s="2">
        <f>IFERROR(__xludf.DUMMYFUNCTION("""COMPUTED_VALUE"""),1390.0)</f>
        <v>1390</v>
      </c>
      <c r="F649" s="2">
        <f>IFERROR(__xludf.DUMMYFUNCTION("""COMPUTED_VALUE"""),692300.0)</f>
        <v>692300</v>
      </c>
      <c r="G649" s="2">
        <f t="shared" si="1"/>
        <v>10</v>
      </c>
    </row>
    <row r="650" ht="15.75" customHeight="1">
      <c r="A650" s="1">
        <f>IFERROR(__xludf.DUMMYFUNCTION("""COMPUTED_VALUE"""),44805.625)</f>
        <v>44805.625</v>
      </c>
      <c r="B650" s="2">
        <f>IFERROR(__xludf.DUMMYFUNCTION("""COMPUTED_VALUE"""),1395.0)</f>
        <v>1395</v>
      </c>
      <c r="C650" s="2">
        <f>IFERROR(__xludf.DUMMYFUNCTION("""COMPUTED_VALUE"""),1395.0)</f>
        <v>1395</v>
      </c>
      <c r="D650" s="2">
        <f>IFERROR(__xludf.DUMMYFUNCTION("""COMPUTED_VALUE"""),1385.0)</f>
        <v>1385</v>
      </c>
      <c r="E650" s="2">
        <f>IFERROR(__xludf.DUMMYFUNCTION("""COMPUTED_VALUE"""),1385.0)</f>
        <v>1385</v>
      </c>
      <c r="F650" s="2">
        <f>IFERROR(__xludf.DUMMYFUNCTION("""COMPUTED_VALUE"""),809800.0)</f>
        <v>809800</v>
      </c>
      <c r="G650" s="2">
        <f t="shared" si="1"/>
        <v>10</v>
      </c>
    </row>
    <row r="651" ht="15.75" customHeight="1">
      <c r="A651" s="1">
        <f>IFERROR(__xludf.DUMMYFUNCTION("""COMPUTED_VALUE"""),44806.625)</f>
        <v>44806.625</v>
      </c>
      <c r="B651" s="2">
        <f>IFERROR(__xludf.DUMMYFUNCTION("""COMPUTED_VALUE"""),1390.0)</f>
        <v>1390</v>
      </c>
      <c r="C651" s="2">
        <f>IFERROR(__xludf.DUMMYFUNCTION("""COMPUTED_VALUE"""),1390.0)</f>
        <v>1390</v>
      </c>
      <c r="D651" s="2">
        <f>IFERROR(__xludf.DUMMYFUNCTION("""COMPUTED_VALUE"""),1375.0)</f>
        <v>1375</v>
      </c>
      <c r="E651" s="2">
        <f>IFERROR(__xludf.DUMMYFUNCTION("""COMPUTED_VALUE"""),1385.0)</f>
        <v>1385</v>
      </c>
      <c r="F651" s="2">
        <f>IFERROR(__xludf.DUMMYFUNCTION("""COMPUTED_VALUE"""),3566500.0)</f>
        <v>3566500</v>
      </c>
      <c r="G651" s="2">
        <f t="shared" si="1"/>
        <v>15</v>
      </c>
    </row>
    <row r="652" ht="15.75" customHeight="1">
      <c r="A652" s="1">
        <f>IFERROR(__xludf.DUMMYFUNCTION("""COMPUTED_VALUE"""),44809.66666666667)</f>
        <v>44809.66667</v>
      </c>
      <c r="B652" s="2">
        <f>IFERROR(__xludf.DUMMYFUNCTION("""COMPUTED_VALUE"""),1385.0)</f>
        <v>1385</v>
      </c>
      <c r="C652" s="2">
        <f>IFERROR(__xludf.DUMMYFUNCTION("""COMPUTED_VALUE"""),1390.0)</f>
        <v>1390</v>
      </c>
      <c r="D652" s="2">
        <f>IFERROR(__xludf.DUMMYFUNCTION("""COMPUTED_VALUE"""),1375.0)</f>
        <v>1375</v>
      </c>
      <c r="E652" s="2">
        <f>IFERROR(__xludf.DUMMYFUNCTION("""COMPUTED_VALUE"""),1380.0)</f>
        <v>1380</v>
      </c>
      <c r="F652" s="2">
        <f>IFERROR(__xludf.DUMMYFUNCTION("""COMPUTED_VALUE"""),4054600.0)</f>
        <v>4054600</v>
      </c>
      <c r="G652" s="2">
        <f t="shared" si="1"/>
        <v>15</v>
      </c>
    </row>
    <row r="653" ht="15.75" customHeight="1">
      <c r="A653" s="1">
        <f>IFERROR(__xludf.DUMMYFUNCTION("""COMPUTED_VALUE"""),44810.66666666667)</f>
        <v>44810.66667</v>
      </c>
      <c r="B653" s="2">
        <f>IFERROR(__xludf.DUMMYFUNCTION("""COMPUTED_VALUE"""),1380.0)</f>
        <v>1380</v>
      </c>
      <c r="C653" s="2">
        <f>IFERROR(__xludf.DUMMYFUNCTION("""COMPUTED_VALUE"""),1390.0)</f>
        <v>1390</v>
      </c>
      <c r="D653" s="2">
        <f>IFERROR(__xludf.DUMMYFUNCTION("""COMPUTED_VALUE"""),1375.0)</f>
        <v>1375</v>
      </c>
      <c r="E653" s="2">
        <f>IFERROR(__xludf.DUMMYFUNCTION("""COMPUTED_VALUE"""),1385.0)</f>
        <v>1385</v>
      </c>
      <c r="F653" s="2">
        <f>IFERROR(__xludf.DUMMYFUNCTION("""COMPUTED_VALUE"""),2826500.0)</f>
        <v>2826500</v>
      </c>
      <c r="G653" s="2">
        <f t="shared" si="1"/>
        <v>15</v>
      </c>
    </row>
    <row r="654" ht="15.75" customHeight="1">
      <c r="A654" s="1">
        <f>IFERROR(__xludf.DUMMYFUNCTION("""COMPUTED_VALUE"""),44811.66666666667)</f>
        <v>44811.66667</v>
      </c>
      <c r="B654" s="2">
        <f>IFERROR(__xludf.DUMMYFUNCTION("""COMPUTED_VALUE"""),1385.0)</f>
        <v>1385</v>
      </c>
      <c r="C654" s="2">
        <f>IFERROR(__xludf.DUMMYFUNCTION("""COMPUTED_VALUE"""),1390.0)</f>
        <v>1390</v>
      </c>
      <c r="D654" s="2">
        <f>IFERROR(__xludf.DUMMYFUNCTION("""COMPUTED_VALUE"""),1380.0)</f>
        <v>1380</v>
      </c>
      <c r="E654" s="2">
        <f>IFERROR(__xludf.DUMMYFUNCTION("""COMPUTED_VALUE"""),1380.0)</f>
        <v>1380</v>
      </c>
      <c r="F654" s="2">
        <f>IFERROR(__xludf.DUMMYFUNCTION("""COMPUTED_VALUE"""),2318300.0)</f>
        <v>2318300</v>
      </c>
      <c r="G654" s="2">
        <f t="shared" si="1"/>
        <v>10</v>
      </c>
    </row>
    <row r="655" ht="15.75" customHeight="1">
      <c r="A655" s="1">
        <f>IFERROR(__xludf.DUMMYFUNCTION("""COMPUTED_VALUE"""),44812.66666666667)</f>
        <v>44812.66667</v>
      </c>
      <c r="B655" s="2">
        <f>IFERROR(__xludf.DUMMYFUNCTION("""COMPUTED_VALUE"""),1400.0)</f>
        <v>1400</v>
      </c>
      <c r="C655" s="2">
        <f>IFERROR(__xludf.DUMMYFUNCTION("""COMPUTED_VALUE"""),1400.0)</f>
        <v>1400</v>
      </c>
      <c r="D655" s="2">
        <f>IFERROR(__xludf.DUMMYFUNCTION("""COMPUTED_VALUE"""),1380.0)</f>
        <v>1380</v>
      </c>
      <c r="E655" s="2">
        <f>IFERROR(__xludf.DUMMYFUNCTION("""COMPUTED_VALUE"""),1395.0)</f>
        <v>1395</v>
      </c>
      <c r="F655" s="2">
        <f>IFERROR(__xludf.DUMMYFUNCTION("""COMPUTED_VALUE"""),1941300.0)</f>
        <v>1941300</v>
      </c>
      <c r="G655" s="2">
        <f t="shared" si="1"/>
        <v>20</v>
      </c>
    </row>
    <row r="656" ht="15.75" customHeight="1">
      <c r="A656" s="1">
        <f>IFERROR(__xludf.DUMMYFUNCTION("""COMPUTED_VALUE"""),44813.66666666667)</f>
        <v>44813.66667</v>
      </c>
      <c r="B656" s="2">
        <f>IFERROR(__xludf.DUMMYFUNCTION("""COMPUTED_VALUE"""),1390.0)</f>
        <v>1390</v>
      </c>
      <c r="C656" s="2">
        <f>IFERROR(__xludf.DUMMYFUNCTION("""COMPUTED_VALUE"""),1400.0)</f>
        <v>1400</v>
      </c>
      <c r="D656" s="2">
        <f>IFERROR(__xludf.DUMMYFUNCTION("""COMPUTED_VALUE"""),1390.0)</f>
        <v>1390</v>
      </c>
      <c r="E656" s="2">
        <f>IFERROR(__xludf.DUMMYFUNCTION("""COMPUTED_VALUE"""),1395.0)</f>
        <v>1395</v>
      </c>
      <c r="F656" s="2">
        <f>IFERROR(__xludf.DUMMYFUNCTION("""COMPUTED_VALUE"""),598100.0)</f>
        <v>598100</v>
      </c>
      <c r="G656" s="2">
        <f t="shared" si="1"/>
        <v>10</v>
      </c>
    </row>
    <row r="657" ht="15.75" customHeight="1">
      <c r="A657" s="1">
        <f>IFERROR(__xludf.DUMMYFUNCTION("""COMPUTED_VALUE"""),44816.66666666667)</f>
        <v>44816.66667</v>
      </c>
      <c r="B657" s="2">
        <f>IFERROR(__xludf.DUMMYFUNCTION("""COMPUTED_VALUE"""),1395.0)</f>
        <v>1395</v>
      </c>
      <c r="C657" s="2">
        <f>IFERROR(__xludf.DUMMYFUNCTION("""COMPUTED_VALUE"""),1405.0)</f>
        <v>1405</v>
      </c>
      <c r="D657" s="2">
        <f>IFERROR(__xludf.DUMMYFUNCTION("""COMPUTED_VALUE"""),1390.0)</f>
        <v>1390</v>
      </c>
      <c r="E657" s="2">
        <f>IFERROR(__xludf.DUMMYFUNCTION("""COMPUTED_VALUE"""),1390.0)</f>
        <v>1390</v>
      </c>
      <c r="F657" s="2">
        <f>IFERROR(__xludf.DUMMYFUNCTION("""COMPUTED_VALUE"""),2648700.0)</f>
        <v>2648700</v>
      </c>
      <c r="G657" s="2">
        <f t="shared" si="1"/>
        <v>15</v>
      </c>
    </row>
    <row r="658" ht="15.75" customHeight="1">
      <c r="A658" s="1">
        <f>IFERROR(__xludf.DUMMYFUNCTION("""COMPUTED_VALUE"""),44817.66666666667)</f>
        <v>44817.66667</v>
      </c>
      <c r="B658" s="2">
        <f>IFERROR(__xludf.DUMMYFUNCTION("""COMPUTED_VALUE"""),1390.0)</f>
        <v>1390</v>
      </c>
      <c r="C658" s="2">
        <f>IFERROR(__xludf.DUMMYFUNCTION("""COMPUTED_VALUE"""),1405.0)</f>
        <v>1405</v>
      </c>
      <c r="D658" s="2">
        <f>IFERROR(__xludf.DUMMYFUNCTION("""COMPUTED_VALUE"""),1385.0)</f>
        <v>1385</v>
      </c>
      <c r="E658" s="2">
        <f>IFERROR(__xludf.DUMMYFUNCTION("""COMPUTED_VALUE"""),1395.0)</f>
        <v>1395</v>
      </c>
      <c r="F658" s="2">
        <f>IFERROR(__xludf.DUMMYFUNCTION("""COMPUTED_VALUE"""),3100300.0)</f>
        <v>3100300</v>
      </c>
      <c r="G658" s="2">
        <f t="shared" si="1"/>
        <v>20</v>
      </c>
    </row>
    <row r="659" ht="15.75" customHeight="1">
      <c r="A659" s="1">
        <f>IFERROR(__xludf.DUMMYFUNCTION("""COMPUTED_VALUE"""),44818.66666666667)</f>
        <v>44818.66667</v>
      </c>
      <c r="B659" s="2">
        <f>IFERROR(__xludf.DUMMYFUNCTION("""COMPUTED_VALUE"""),1395.0)</f>
        <v>1395</v>
      </c>
      <c r="C659" s="2">
        <f>IFERROR(__xludf.DUMMYFUNCTION("""COMPUTED_VALUE"""),1405.0)</f>
        <v>1405</v>
      </c>
      <c r="D659" s="2">
        <f>IFERROR(__xludf.DUMMYFUNCTION("""COMPUTED_VALUE"""),1385.0)</f>
        <v>1385</v>
      </c>
      <c r="E659" s="2">
        <f>IFERROR(__xludf.DUMMYFUNCTION("""COMPUTED_VALUE"""),1390.0)</f>
        <v>1390</v>
      </c>
      <c r="F659" s="2">
        <f>IFERROR(__xludf.DUMMYFUNCTION("""COMPUTED_VALUE"""),1.11967E7)</f>
        <v>11196700</v>
      </c>
      <c r="G659" s="2">
        <f t="shared" si="1"/>
        <v>20</v>
      </c>
    </row>
    <row r="660" ht="15.75" customHeight="1">
      <c r="A660" s="1">
        <f>IFERROR(__xludf.DUMMYFUNCTION("""COMPUTED_VALUE"""),44819.66666666667)</f>
        <v>44819.66667</v>
      </c>
      <c r="B660" s="2">
        <f>IFERROR(__xludf.DUMMYFUNCTION("""COMPUTED_VALUE"""),1390.0)</f>
        <v>1390</v>
      </c>
      <c r="C660" s="2">
        <f>IFERROR(__xludf.DUMMYFUNCTION("""COMPUTED_VALUE"""),1420.0)</f>
        <v>1420</v>
      </c>
      <c r="D660" s="2">
        <f>IFERROR(__xludf.DUMMYFUNCTION("""COMPUTED_VALUE"""),1390.0)</f>
        <v>1390</v>
      </c>
      <c r="E660" s="2">
        <f>IFERROR(__xludf.DUMMYFUNCTION("""COMPUTED_VALUE"""),1410.0)</f>
        <v>1410</v>
      </c>
      <c r="F660" s="2">
        <f>IFERROR(__xludf.DUMMYFUNCTION("""COMPUTED_VALUE"""),6110900.0)</f>
        <v>6110900</v>
      </c>
      <c r="G660" s="2">
        <f t="shared" si="1"/>
        <v>30</v>
      </c>
    </row>
    <row r="661" ht="15.75" customHeight="1">
      <c r="A661" s="1">
        <f>IFERROR(__xludf.DUMMYFUNCTION("""COMPUTED_VALUE"""),44820.66666666667)</f>
        <v>44820.66667</v>
      </c>
      <c r="B661" s="2">
        <f>IFERROR(__xludf.DUMMYFUNCTION("""COMPUTED_VALUE"""),1410.0)</f>
        <v>1410</v>
      </c>
      <c r="C661" s="2">
        <f>IFERROR(__xludf.DUMMYFUNCTION("""COMPUTED_VALUE"""),1435.0)</f>
        <v>1435</v>
      </c>
      <c r="D661" s="2">
        <f>IFERROR(__xludf.DUMMYFUNCTION("""COMPUTED_VALUE"""),1395.0)</f>
        <v>1395</v>
      </c>
      <c r="E661" s="2">
        <f>IFERROR(__xludf.DUMMYFUNCTION("""COMPUTED_VALUE"""),1405.0)</f>
        <v>1405</v>
      </c>
      <c r="F661" s="2">
        <f>IFERROR(__xludf.DUMMYFUNCTION("""COMPUTED_VALUE"""),5278000.0)</f>
        <v>5278000</v>
      </c>
      <c r="G661" s="2">
        <f t="shared" si="1"/>
        <v>40</v>
      </c>
    </row>
    <row r="662" ht="15.75" customHeight="1">
      <c r="A662" s="1">
        <f>IFERROR(__xludf.DUMMYFUNCTION("""COMPUTED_VALUE"""),44823.66666666667)</f>
        <v>44823.66667</v>
      </c>
      <c r="B662" s="2">
        <f>IFERROR(__xludf.DUMMYFUNCTION("""COMPUTED_VALUE"""),1405.0)</f>
        <v>1405</v>
      </c>
      <c r="C662" s="2">
        <f>IFERROR(__xludf.DUMMYFUNCTION("""COMPUTED_VALUE"""),1410.0)</f>
        <v>1410</v>
      </c>
      <c r="D662" s="2">
        <f>IFERROR(__xludf.DUMMYFUNCTION("""COMPUTED_VALUE"""),1395.0)</f>
        <v>1395</v>
      </c>
      <c r="E662" s="2">
        <f>IFERROR(__xludf.DUMMYFUNCTION("""COMPUTED_VALUE"""),1410.0)</f>
        <v>1410</v>
      </c>
      <c r="F662" s="2">
        <f>IFERROR(__xludf.DUMMYFUNCTION("""COMPUTED_VALUE"""),2520800.0)</f>
        <v>2520800</v>
      </c>
      <c r="G662" s="2">
        <f t="shared" si="1"/>
        <v>15</v>
      </c>
    </row>
    <row r="663" ht="15.75" customHeight="1">
      <c r="A663" s="1">
        <f>IFERROR(__xludf.DUMMYFUNCTION("""COMPUTED_VALUE"""),44824.66666666667)</f>
        <v>44824.66667</v>
      </c>
      <c r="B663" s="2">
        <f>IFERROR(__xludf.DUMMYFUNCTION("""COMPUTED_VALUE"""),1410.0)</f>
        <v>1410</v>
      </c>
      <c r="C663" s="2">
        <f>IFERROR(__xludf.DUMMYFUNCTION("""COMPUTED_VALUE"""),1415.0)</f>
        <v>1415</v>
      </c>
      <c r="D663" s="2">
        <f>IFERROR(__xludf.DUMMYFUNCTION("""COMPUTED_VALUE"""),1400.0)</f>
        <v>1400</v>
      </c>
      <c r="E663" s="2">
        <f>IFERROR(__xludf.DUMMYFUNCTION("""COMPUTED_VALUE"""),1405.0)</f>
        <v>1405</v>
      </c>
      <c r="F663" s="2">
        <f>IFERROR(__xludf.DUMMYFUNCTION("""COMPUTED_VALUE"""),1560200.0)</f>
        <v>1560200</v>
      </c>
      <c r="G663" s="2">
        <f t="shared" si="1"/>
        <v>15</v>
      </c>
    </row>
    <row r="664" ht="15.75" customHeight="1">
      <c r="A664" s="1">
        <f>IFERROR(__xludf.DUMMYFUNCTION("""COMPUTED_VALUE"""),44825.66666666667)</f>
        <v>44825.66667</v>
      </c>
      <c r="B664" s="2">
        <f>IFERROR(__xludf.DUMMYFUNCTION("""COMPUTED_VALUE"""),1405.0)</f>
        <v>1405</v>
      </c>
      <c r="C664" s="2">
        <f>IFERROR(__xludf.DUMMYFUNCTION("""COMPUTED_VALUE"""),1405.0)</f>
        <v>1405</v>
      </c>
      <c r="D664" s="2">
        <f>IFERROR(__xludf.DUMMYFUNCTION("""COMPUTED_VALUE"""),1390.0)</f>
        <v>1390</v>
      </c>
      <c r="E664" s="2">
        <f>IFERROR(__xludf.DUMMYFUNCTION("""COMPUTED_VALUE"""),1400.0)</f>
        <v>1400</v>
      </c>
      <c r="F664" s="2">
        <f>IFERROR(__xludf.DUMMYFUNCTION("""COMPUTED_VALUE"""),2125800.0)</f>
        <v>2125800</v>
      </c>
      <c r="G664" s="2">
        <f t="shared" si="1"/>
        <v>15</v>
      </c>
    </row>
    <row r="665" ht="15.75" customHeight="1">
      <c r="A665" s="1">
        <f>IFERROR(__xludf.DUMMYFUNCTION("""COMPUTED_VALUE"""),44826.66666666667)</f>
        <v>44826.66667</v>
      </c>
      <c r="B665" s="2">
        <f>IFERROR(__xludf.DUMMYFUNCTION("""COMPUTED_VALUE"""),1400.0)</f>
        <v>1400</v>
      </c>
      <c r="C665" s="2">
        <f>IFERROR(__xludf.DUMMYFUNCTION("""COMPUTED_VALUE"""),1405.0)</f>
        <v>1405</v>
      </c>
      <c r="D665" s="2">
        <f>IFERROR(__xludf.DUMMYFUNCTION("""COMPUTED_VALUE"""),1385.0)</f>
        <v>1385</v>
      </c>
      <c r="E665" s="2">
        <f>IFERROR(__xludf.DUMMYFUNCTION("""COMPUTED_VALUE"""),1390.0)</f>
        <v>1390</v>
      </c>
      <c r="F665" s="2">
        <f>IFERROR(__xludf.DUMMYFUNCTION("""COMPUTED_VALUE"""),2650900.0)</f>
        <v>2650900</v>
      </c>
      <c r="G665" s="2">
        <f t="shared" si="1"/>
        <v>20</v>
      </c>
    </row>
    <row r="666" ht="15.75" customHeight="1">
      <c r="A666" s="1">
        <f>IFERROR(__xludf.DUMMYFUNCTION("""COMPUTED_VALUE"""),44827.66666666667)</f>
        <v>44827.66667</v>
      </c>
      <c r="B666" s="2">
        <f>IFERROR(__xludf.DUMMYFUNCTION("""COMPUTED_VALUE"""),1395.0)</f>
        <v>1395</v>
      </c>
      <c r="C666" s="2">
        <f>IFERROR(__xludf.DUMMYFUNCTION("""COMPUTED_VALUE"""),1400.0)</f>
        <v>1400</v>
      </c>
      <c r="D666" s="2">
        <f>IFERROR(__xludf.DUMMYFUNCTION("""COMPUTED_VALUE"""),1380.0)</f>
        <v>1380</v>
      </c>
      <c r="E666" s="2">
        <f>IFERROR(__xludf.DUMMYFUNCTION("""COMPUTED_VALUE"""),1385.0)</f>
        <v>1385</v>
      </c>
      <c r="F666" s="2">
        <f>IFERROR(__xludf.DUMMYFUNCTION("""COMPUTED_VALUE"""),3887700.0)</f>
        <v>3887700</v>
      </c>
      <c r="G666" s="2">
        <f t="shared" si="1"/>
        <v>20</v>
      </c>
    </row>
    <row r="667" ht="15.75" customHeight="1">
      <c r="A667" s="1">
        <f>IFERROR(__xludf.DUMMYFUNCTION("""COMPUTED_VALUE"""),44830.66666666667)</f>
        <v>44830.66667</v>
      </c>
      <c r="B667" s="2">
        <f>IFERROR(__xludf.DUMMYFUNCTION("""COMPUTED_VALUE"""),1385.0)</f>
        <v>1385</v>
      </c>
      <c r="C667" s="2">
        <f>IFERROR(__xludf.DUMMYFUNCTION("""COMPUTED_VALUE"""),1400.0)</f>
        <v>1400</v>
      </c>
      <c r="D667" s="2">
        <f>IFERROR(__xludf.DUMMYFUNCTION("""COMPUTED_VALUE"""),1375.0)</f>
        <v>1375</v>
      </c>
      <c r="E667" s="2">
        <f>IFERROR(__xludf.DUMMYFUNCTION("""COMPUTED_VALUE"""),1375.0)</f>
        <v>1375</v>
      </c>
      <c r="F667" s="2">
        <f>IFERROR(__xludf.DUMMYFUNCTION("""COMPUTED_VALUE"""),3131200.0)</f>
        <v>3131200</v>
      </c>
      <c r="G667" s="2">
        <f t="shared" si="1"/>
        <v>25</v>
      </c>
    </row>
    <row r="668" ht="15.75" customHeight="1">
      <c r="A668" s="1">
        <f>IFERROR(__xludf.DUMMYFUNCTION("""COMPUTED_VALUE"""),44831.66666666667)</f>
        <v>44831.66667</v>
      </c>
      <c r="B668" s="2">
        <f>IFERROR(__xludf.DUMMYFUNCTION("""COMPUTED_VALUE"""),1375.0)</f>
        <v>1375</v>
      </c>
      <c r="C668" s="2">
        <f>IFERROR(__xludf.DUMMYFUNCTION("""COMPUTED_VALUE"""),1380.0)</f>
        <v>1380</v>
      </c>
      <c r="D668" s="2">
        <f>IFERROR(__xludf.DUMMYFUNCTION("""COMPUTED_VALUE"""),1370.0)</f>
        <v>1370</v>
      </c>
      <c r="E668" s="2">
        <f>IFERROR(__xludf.DUMMYFUNCTION("""COMPUTED_VALUE"""),1370.0)</f>
        <v>1370</v>
      </c>
      <c r="F668" s="2">
        <f>IFERROR(__xludf.DUMMYFUNCTION("""COMPUTED_VALUE"""),3932900.0)</f>
        <v>3932900</v>
      </c>
      <c r="G668" s="2">
        <f t="shared" si="1"/>
        <v>10</v>
      </c>
    </row>
    <row r="669" ht="15.75" customHeight="1">
      <c r="A669" s="1">
        <f>IFERROR(__xludf.DUMMYFUNCTION("""COMPUTED_VALUE"""),44832.66666666667)</f>
        <v>44832.66667</v>
      </c>
      <c r="B669" s="2">
        <f>IFERROR(__xludf.DUMMYFUNCTION("""COMPUTED_VALUE"""),1375.0)</f>
        <v>1375</v>
      </c>
      <c r="C669" s="2">
        <f>IFERROR(__xludf.DUMMYFUNCTION("""COMPUTED_VALUE"""),1375.0)</f>
        <v>1375</v>
      </c>
      <c r="D669" s="2">
        <f>IFERROR(__xludf.DUMMYFUNCTION("""COMPUTED_VALUE"""),1355.0)</f>
        <v>1355</v>
      </c>
      <c r="E669" s="2">
        <f>IFERROR(__xludf.DUMMYFUNCTION("""COMPUTED_VALUE"""),1365.0)</f>
        <v>1365</v>
      </c>
      <c r="F669" s="2">
        <f>IFERROR(__xludf.DUMMYFUNCTION("""COMPUTED_VALUE"""),1672900.0)</f>
        <v>1672900</v>
      </c>
      <c r="G669" s="2">
        <f t="shared" si="1"/>
        <v>20</v>
      </c>
    </row>
    <row r="670" ht="15.75" customHeight="1">
      <c r="A670" s="1">
        <f>IFERROR(__xludf.DUMMYFUNCTION("""COMPUTED_VALUE"""),44833.66666666667)</f>
        <v>44833.66667</v>
      </c>
      <c r="B670" s="2">
        <f>IFERROR(__xludf.DUMMYFUNCTION("""COMPUTED_VALUE"""),1365.0)</f>
        <v>1365</v>
      </c>
      <c r="C670" s="2">
        <f>IFERROR(__xludf.DUMMYFUNCTION("""COMPUTED_VALUE"""),1370.0)</f>
        <v>1370</v>
      </c>
      <c r="D670" s="2">
        <f>IFERROR(__xludf.DUMMYFUNCTION("""COMPUTED_VALUE"""),1355.0)</f>
        <v>1355</v>
      </c>
      <c r="E670" s="2">
        <f>IFERROR(__xludf.DUMMYFUNCTION("""COMPUTED_VALUE"""),1355.0)</f>
        <v>1355</v>
      </c>
      <c r="F670" s="2">
        <f>IFERROR(__xludf.DUMMYFUNCTION("""COMPUTED_VALUE"""),3382700.0)</f>
        <v>3382700</v>
      </c>
      <c r="G670" s="2">
        <f t="shared" si="1"/>
        <v>15</v>
      </c>
    </row>
    <row r="671" ht="15.75" customHeight="1">
      <c r="A671" s="1">
        <f>IFERROR(__xludf.DUMMYFUNCTION("""COMPUTED_VALUE"""),44834.66666666667)</f>
        <v>44834.66667</v>
      </c>
      <c r="B671" s="2">
        <f>IFERROR(__xludf.DUMMYFUNCTION("""COMPUTED_VALUE"""),1355.0)</f>
        <v>1355</v>
      </c>
      <c r="C671" s="2">
        <f>IFERROR(__xludf.DUMMYFUNCTION("""COMPUTED_VALUE"""),1385.0)</f>
        <v>1385</v>
      </c>
      <c r="D671" s="2">
        <f>IFERROR(__xludf.DUMMYFUNCTION("""COMPUTED_VALUE"""),1350.0)</f>
        <v>1350</v>
      </c>
      <c r="E671" s="2">
        <f>IFERROR(__xludf.DUMMYFUNCTION("""COMPUTED_VALUE"""),1355.0)</f>
        <v>1355</v>
      </c>
      <c r="F671" s="2">
        <f>IFERROR(__xludf.DUMMYFUNCTION("""COMPUTED_VALUE"""),2391800.0)</f>
        <v>2391800</v>
      </c>
      <c r="G671" s="2">
        <f t="shared" si="1"/>
        <v>35</v>
      </c>
    </row>
    <row r="672" ht="15.75" customHeight="1">
      <c r="A672" s="1">
        <f>IFERROR(__xludf.DUMMYFUNCTION("""COMPUTED_VALUE"""),44837.66666666667)</f>
        <v>44837.66667</v>
      </c>
      <c r="B672" s="2">
        <f>IFERROR(__xludf.DUMMYFUNCTION("""COMPUTED_VALUE"""),1350.0)</f>
        <v>1350</v>
      </c>
      <c r="C672" s="2">
        <f>IFERROR(__xludf.DUMMYFUNCTION("""COMPUTED_VALUE"""),1370.0)</f>
        <v>1370</v>
      </c>
      <c r="D672" s="2">
        <f>IFERROR(__xludf.DUMMYFUNCTION("""COMPUTED_VALUE"""),1350.0)</f>
        <v>1350</v>
      </c>
      <c r="E672" s="2">
        <f>IFERROR(__xludf.DUMMYFUNCTION("""COMPUTED_VALUE"""),1355.0)</f>
        <v>1355</v>
      </c>
      <c r="F672" s="2">
        <f>IFERROR(__xludf.DUMMYFUNCTION("""COMPUTED_VALUE"""),2377800.0)</f>
        <v>2377800</v>
      </c>
      <c r="G672" s="2">
        <f t="shared" si="1"/>
        <v>20</v>
      </c>
    </row>
    <row r="673" ht="15.75" customHeight="1">
      <c r="A673" s="1">
        <f>IFERROR(__xludf.DUMMYFUNCTION("""COMPUTED_VALUE"""),44838.66666666667)</f>
        <v>44838.66667</v>
      </c>
      <c r="B673" s="2">
        <f>IFERROR(__xludf.DUMMYFUNCTION("""COMPUTED_VALUE"""),1360.0)</f>
        <v>1360</v>
      </c>
      <c r="C673" s="2">
        <f>IFERROR(__xludf.DUMMYFUNCTION("""COMPUTED_VALUE"""),1370.0)</f>
        <v>1370</v>
      </c>
      <c r="D673" s="2">
        <f>IFERROR(__xludf.DUMMYFUNCTION("""COMPUTED_VALUE"""),1355.0)</f>
        <v>1355</v>
      </c>
      <c r="E673" s="2">
        <f>IFERROR(__xludf.DUMMYFUNCTION("""COMPUTED_VALUE"""),1360.0)</f>
        <v>1360</v>
      </c>
      <c r="F673" s="2">
        <f>IFERROR(__xludf.DUMMYFUNCTION("""COMPUTED_VALUE"""),4332000.0)</f>
        <v>4332000</v>
      </c>
      <c r="G673" s="2">
        <f t="shared" si="1"/>
        <v>15</v>
      </c>
    </row>
    <row r="674" ht="15.75" customHeight="1">
      <c r="A674" s="1">
        <f>IFERROR(__xludf.DUMMYFUNCTION("""COMPUTED_VALUE"""),44839.66666666667)</f>
        <v>44839.66667</v>
      </c>
      <c r="B674" s="2">
        <f>IFERROR(__xludf.DUMMYFUNCTION("""COMPUTED_VALUE"""),1365.0)</f>
        <v>1365</v>
      </c>
      <c r="C674" s="2">
        <f>IFERROR(__xludf.DUMMYFUNCTION("""COMPUTED_VALUE"""),1370.0)</f>
        <v>1370</v>
      </c>
      <c r="D674" s="2">
        <f>IFERROR(__xludf.DUMMYFUNCTION("""COMPUTED_VALUE"""),1355.0)</f>
        <v>1355</v>
      </c>
      <c r="E674" s="2">
        <f>IFERROR(__xludf.DUMMYFUNCTION("""COMPUTED_VALUE"""),1355.0)</f>
        <v>1355</v>
      </c>
      <c r="F674" s="2">
        <f>IFERROR(__xludf.DUMMYFUNCTION("""COMPUTED_VALUE"""),3919700.0)</f>
        <v>3919700</v>
      </c>
      <c r="G674" s="2">
        <f t="shared" si="1"/>
        <v>15</v>
      </c>
    </row>
    <row r="675" ht="15.75" customHeight="1">
      <c r="A675" s="1">
        <f>IFERROR(__xludf.DUMMYFUNCTION("""COMPUTED_VALUE"""),44840.66666666667)</f>
        <v>44840.66667</v>
      </c>
      <c r="B675" s="2">
        <f>IFERROR(__xludf.DUMMYFUNCTION("""COMPUTED_VALUE"""),1355.0)</f>
        <v>1355</v>
      </c>
      <c r="C675" s="2">
        <f>IFERROR(__xludf.DUMMYFUNCTION("""COMPUTED_VALUE"""),1370.0)</f>
        <v>1370</v>
      </c>
      <c r="D675" s="2">
        <f>IFERROR(__xludf.DUMMYFUNCTION("""COMPUTED_VALUE"""),1350.0)</f>
        <v>1350</v>
      </c>
      <c r="E675" s="2">
        <f>IFERROR(__xludf.DUMMYFUNCTION("""COMPUTED_VALUE"""),1350.0)</f>
        <v>1350</v>
      </c>
      <c r="F675" s="2">
        <f>IFERROR(__xludf.DUMMYFUNCTION("""COMPUTED_VALUE"""),2937900.0)</f>
        <v>2937900</v>
      </c>
      <c r="G675" s="2">
        <f t="shared" si="1"/>
        <v>20</v>
      </c>
    </row>
    <row r="676" ht="15.75" customHeight="1">
      <c r="A676" s="1">
        <f>IFERROR(__xludf.DUMMYFUNCTION("""COMPUTED_VALUE"""),44841.66666666667)</f>
        <v>44841.66667</v>
      </c>
      <c r="B676" s="2">
        <f>IFERROR(__xludf.DUMMYFUNCTION("""COMPUTED_VALUE"""),1350.0)</f>
        <v>1350</v>
      </c>
      <c r="C676" s="2">
        <f>IFERROR(__xludf.DUMMYFUNCTION("""COMPUTED_VALUE"""),1360.0)</f>
        <v>1360</v>
      </c>
      <c r="D676" s="2">
        <f>IFERROR(__xludf.DUMMYFUNCTION("""COMPUTED_VALUE"""),1350.0)</f>
        <v>1350</v>
      </c>
      <c r="E676" s="2">
        <f>IFERROR(__xludf.DUMMYFUNCTION("""COMPUTED_VALUE"""),1360.0)</f>
        <v>1360</v>
      </c>
      <c r="F676" s="2">
        <f>IFERROR(__xludf.DUMMYFUNCTION("""COMPUTED_VALUE"""),3951400.0)</f>
        <v>3951400</v>
      </c>
      <c r="G676" s="2">
        <f t="shared" si="1"/>
        <v>10</v>
      </c>
    </row>
    <row r="677" ht="15.75" customHeight="1">
      <c r="A677" s="1">
        <f>IFERROR(__xludf.DUMMYFUNCTION("""COMPUTED_VALUE"""),44844.66666666667)</f>
        <v>44844.66667</v>
      </c>
      <c r="B677" s="2">
        <f>IFERROR(__xludf.DUMMYFUNCTION("""COMPUTED_VALUE"""),1365.0)</f>
        <v>1365</v>
      </c>
      <c r="C677" s="2">
        <f>IFERROR(__xludf.DUMMYFUNCTION("""COMPUTED_VALUE"""),1365.0)</f>
        <v>1365</v>
      </c>
      <c r="D677" s="2">
        <f>IFERROR(__xludf.DUMMYFUNCTION("""COMPUTED_VALUE"""),1355.0)</f>
        <v>1355</v>
      </c>
      <c r="E677" s="2">
        <f>IFERROR(__xludf.DUMMYFUNCTION("""COMPUTED_VALUE"""),1360.0)</f>
        <v>1360</v>
      </c>
      <c r="F677" s="2">
        <f>IFERROR(__xludf.DUMMYFUNCTION("""COMPUTED_VALUE"""),1863300.0)</f>
        <v>1863300</v>
      </c>
      <c r="G677" s="2">
        <f t="shared" si="1"/>
        <v>10</v>
      </c>
    </row>
    <row r="678" ht="15.75" customHeight="1">
      <c r="A678" s="1">
        <f>IFERROR(__xludf.DUMMYFUNCTION("""COMPUTED_VALUE"""),44845.66666666667)</f>
        <v>44845.66667</v>
      </c>
      <c r="B678" s="2">
        <f>IFERROR(__xludf.DUMMYFUNCTION("""COMPUTED_VALUE"""),1360.0)</f>
        <v>1360</v>
      </c>
      <c r="C678" s="2">
        <f>IFERROR(__xludf.DUMMYFUNCTION("""COMPUTED_VALUE"""),1365.0)</f>
        <v>1365</v>
      </c>
      <c r="D678" s="2">
        <f>IFERROR(__xludf.DUMMYFUNCTION("""COMPUTED_VALUE"""),1355.0)</f>
        <v>1355</v>
      </c>
      <c r="E678" s="2">
        <f>IFERROR(__xludf.DUMMYFUNCTION("""COMPUTED_VALUE"""),1355.0)</f>
        <v>1355</v>
      </c>
      <c r="F678" s="2">
        <f>IFERROR(__xludf.DUMMYFUNCTION("""COMPUTED_VALUE"""),2152100.0)</f>
        <v>2152100</v>
      </c>
      <c r="G678" s="2">
        <f t="shared" si="1"/>
        <v>10</v>
      </c>
    </row>
    <row r="679" ht="15.75" customHeight="1">
      <c r="A679" s="1">
        <f>IFERROR(__xludf.DUMMYFUNCTION("""COMPUTED_VALUE"""),44846.66666666667)</f>
        <v>44846.66667</v>
      </c>
      <c r="B679" s="2">
        <f>IFERROR(__xludf.DUMMYFUNCTION("""COMPUTED_VALUE"""),1360.0)</f>
        <v>1360</v>
      </c>
      <c r="C679" s="2">
        <f>IFERROR(__xludf.DUMMYFUNCTION("""COMPUTED_VALUE"""),1360.0)</f>
        <v>1360</v>
      </c>
      <c r="D679" s="2">
        <f>IFERROR(__xludf.DUMMYFUNCTION("""COMPUTED_VALUE"""),1345.0)</f>
        <v>1345</v>
      </c>
      <c r="E679" s="2">
        <f>IFERROR(__xludf.DUMMYFUNCTION("""COMPUTED_VALUE"""),1345.0)</f>
        <v>1345</v>
      </c>
      <c r="F679" s="2">
        <f>IFERROR(__xludf.DUMMYFUNCTION("""COMPUTED_VALUE"""),3331400.0)</f>
        <v>3331400</v>
      </c>
      <c r="G679" s="2">
        <f t="shared" si="1"/>
        <v>15</v>
      </c>
    </row>
    <row r="680" ht="15.75" customHeight="1">
      <c r="A680" s="1">
        <f>IFERROR(__xludf.DUMMYFUNCTION("""COMPUTED_VALUE"""),44847.66666666667)</f>
        <v>44847.66667</v>
      </c>
      <c r="B680" s="2">
        <f>IFERROR(__xludf.DUMMYFUNCTION("""COMPUTED_VALUE"""),1345.0)</f>
        <v>1345</v>
      </c>
      <c r="C680" s="2">
        <f>IFERROR(__xludf.DUMMYFUNCTION("""COMPUTED_VALUE"""),1365.0)</f>
        <v>1365</v>
      </c>
      <c r="D680" s="2">
        <f>IFERROR(__xludf.DUMMYFUNCTION("""COMPUTED_VALUE"""),1345.0)</f>
        <v>1345</v>
      </c>
      <c r="E680" s="2">
        <f>IFERROR(__xludf.DUMMYFUNCTION("""COMPUTED_VALUE"""),1350.0)</f>
        <v>1350</v>
      </c>
      <c r="F680" s="2">
        <f>IFERROR(__xludf.DUMMYFUNCTION("""COMPUTED_VALUE"""),2461900.0)</f>
        <v>2461900</v>
      </c>
      <c r="G680" s="2">
        <f t="shared" si="1"/>
        <v>20</v>
      </c>
    </row>
    <row r="681" ht="15.75" customHeight="1">
      <c r="A681" s="1">
        <f>IFERROR(__xludf.DUMMYFUNCTION("""COMPUTED_VALUE"""),44848.66666666667)</f>
        <v>44848.66667</v>
      </c>
      <c r="B681" s="2">
        <f>IFERROR(__xludf.DUMMYFUNCTION("""COMPUTED_VALUE"""),1350.0)</f>
        <v>1350</v>
      </c>
      <c r="C681" s="2">
        <f>IFERROR(__xludf.DUMMYFUNCTION("""COMPUTED_VALUE"""),1360.0)</f>
        <v>1360</v>
      </c>
      <c r="D681" s="2">
        <f>IFERROR(__xludf.DUMMYFUNCTION("""COMPUTED_VALUE"""),1350.0)</f>
        <v>1350</v>
      </c>
      <c r="E681" s="2">
        <f>IFERROR(__xludf.DUMMYFUNCTION("""COMPUTED_VALUE"""),1350.0)</f>
        <v>1350</v>
      </c>
      <c r="F681" s="2">
        <f>IFERROR(__xludf.DUMMYFUNCTION("""COMPUTED_VALUE"""),1125300.0)</f>
        <v>1125300</v>
      </c>
      <c r="G681" s="2">
        <f t="shared" si="1"/>
        <v>10</v>
      </c>
    </row>
    <row r="682" ht="15.75" customHeight="1">
      <c r="A682" s="1">
        <f>IFERROR(__xludf.DUMMYFUNCTION("""COMPUTED_VALUE"""),44851.66666666667)</f>
        <v>44851.66667</v>
      </c>
      <c r="B682" s="2">
        <f>IFERROR(__xludf.DUMMYFUNCTION("""COMPUTED_VALUE"""),1350.0)</f>
        <v>1350</v>
      </c>
      <c r="C682" s="2">
        <f>IFERROR(__xludf.DUMMYFUNCTION("""COMPUTED_VALUE"""),1360.0)</f>
        <v>1360</v>
      </c>
      <c r="D682" s="2">
        <f>IFERROR(__xludf.DUMMYFUNCTION("""COMPUTED_VALUE"""),1345.0)</f>
        <v>1345</v>
      </c>
      <c r="E682" s="2">
        <f>IFERROR(__xludf.DUMMYFUNCTION("""COMPUTED_VALUE"""),1350.0)</f>
        <v>1350</v>
      </c>
      <c r="F682" s="2">
        <f>IFERROR(__xludf.DUMMYFUNCTION("""COMPUTED_VALUE"""),1315900.0)</f>
        <v>1315900</v>
      </c>
      <c r="G682" s="2">
        <f t="shared" si="1"/>
        <v>15</v>
      </c>
    </row>
    <row r="683" ht="15.75" customHeight="1">
      <c r="A683" s="1">
        <f>IFERROR(__xludf.DUMMYFUNCTION("""COMPUTED_VALUE"""),44852.66666666667)</f>
        <v>44852.66667</v>
      </c>
      <c r="B683" s="2">
        <f>IFERROR(__xludf.DUMMYFUNCTION("""COMPUTED_VALUE"""),1350.0)</f>
        <v>1350</v>
      </c>
      <c r="C683" s="2">
        <f>IFERROR(__xludf.DUMMYFUNCTION("""COMPUTED_VALUE"""),1360.0)</f>
        <v>1360</v>
      </c>
      <c r="D683" s="2">
        <f>IFERROR(__xludf.DUMMYFUNCTION("""COMPUTED_VALUE"""),1345.0)</f>
        <v>1345</v>
      </c>
      <c r="E683" s="2">
        <f>IFERROR(__xludf.DUMMYFUNCTION("""COMPUTED_VALUE"""),1355.0)</f>
        <v>1355</v>
      </c>
      <c r="F683" s="2">
        <f>IFERROR(__xludf.DUMMYFUNCTION("""COMPUTED_VALUE"""),1320100.0)</f>
        <v>1320100</v>
      </c>
      <c r="G683" s="2">
        <f t="shared" si="1"/>
        <v>15</v>
      </c>
    </row>
    <row r="684" ht="15.75" customHeight="1">
      <c r="A684" s="1">
        <f>IFERROR(__xludf.DUMMYFUNCTION("""COMPUTED_VALUE"""),44853.66666666667)</f>
        <v>44853.66667</v>
      </c>
      <c r="B684" s="2">
        <f>IFERROR(__xludf.DUMMYFUNCTION("""COMPUTED_VALUE"""),1355.0)</f>
        <v>1355</v>
      </c>
      <c r="C684" s="2">
        <f>IFERROR(__xludf.DUMMYFUNCTION("""COMPUTED_VALUE"""),1355.0)</f>
        <v>1355</v>
      </c>
      <c r="D684" s="2">
        <f>IFERROR(__xludf.DUMMYFUNCTION("""COMPUTED_VALUE"""),1345.0)</f>
        <v>1345</v>
      </c>
      <c r="E684" s="2">
        <f>IFERROR(__xludf.DUMMYFUNCTION("""COMPUTED_VALUE"""),1345.0)</f>
        <v>1345</v>
      </c>
      <c r="F684" s="2">
        <f>IFERROR(__xludf.DUMMYFUNCTION("""COMPUTED_VALUE"""),1159400.0)</f>
        <v>1159400</v>
      </c>
      <c r="G684" s="2">
        <f t="shared" si="1"/>
        <v>10</v>
      </c>
    </row>
    <row r="685" ht="15.75" customHeight="1">
      <c r="A685" s="1">
        <f>IFERROR(__xludf.DUMMYFUNCTION("""COMPUTED_VALUE"""),44854.66666666667)</f>
        <v>44854.66667</v>
      </c>
      <c r="B685" s="2">
        <f>IFERROR(__xludf.DUMMYFUNCTION("""COMPUTED_VALUE"""),1345.0)</f>
        <v>1345</v>
      </c>
      <c r="C685" s="2">
        <f>IFERROR(__xludf.DUMMYFUNCTION("""COMPUTED_VALUE"""),1360.0)</f>
        <v>1360</v>
      </c>
      <c r="D685" s="2">
        <f>IFERROR(__xludf.DUMMYFUNCTION("""COMPUTED_VALUE"""),1310.0)</f>
        <v>1310</v>
      </c>
      <c r="E685" s="2">
        <f>IFERROR(__xludf.DUMMYFUNCTION("""COMPUTED_VALUE"""),1360.0)</f>
        <v>1360</v>
      </c>
      <c r="F685" s="2">
        <f>IFERROR(__xludf.DUMMYFUNCTION("""COMPUTED_VALUE"""),3.16958E7)</f>
        <v>31695800</v>
      </c>
      <c r="G685" s="2">
        <f t="shared" si="1"/>
        <v>50</v>
      </c>
    </row>
    <row r="686" ht="15.75" customHeight="1">
      <c r="A686" s="1">
        <f>IFERROR(__xludf.DUMMYFUNCTION("""COMPUTED_VALUE"""),44855.66666666667)</f>
        <v>44855.66667</v>
      </c>
      <c r="B686" s="2">
        <f>IFERROR(__xludf.DUMMYFUNCTION("""COMPUTED_VALUE"""),1355.0)</f>
        <v>1355</v>
      </c>
      <c r="C686" s="2">
        <f>IFERROR(__xludf.DUMMYFUNCTION("""COMPUTED_VALUE"""),1370.0)</f>
        <v>1370</v>
      </c>
      <c r="D686" s="2">
        <f>IFERROR(__xludf.DUMMYFUNCTION("""COMPUTED_VALUE"""),1340.0)</f>
        <v>1340</v>
      </c>
      <c r="E686" s="2">
        <f>IFERROR(__xludf.DUMMYFUNCTION("""COMPUTED_VALUE"""),1360.0)</f>
        <v>1360</v>
      </c>
      <c r="F686" s="2">
        <f>IFERROR(__xludf.DUMMYFUNCTION("""COMPUTED_VALUE"""),5805700.0)</f>
        <v>5805700</v>
      </c>
      <c r="G686" s="2">
        <f t="shared" si="1"/>
        <v>30</v>
      </c>
    </row>
    <row r="687" ht="15.75" customHeight="1">
      <c r="A687" s="1">
        <f>IFERROR(__xludf.DUMMYFUNCTION("""COMPUTED_VALUE"""),44858.66666666667)</f>
        <v>44858.66667</v>
      </c>
      <c r="B687" s="2">
        <f>IFERROR(__xludf.DUMMYFUNCTION("""COMPUTED_VALUE"""),1360.0)</f>
        <v>1360</v>
      </c>
      <c r="C687" s="2">
        <f>IFERROR(__xludf.DUMMYFUNCTION("""COMPUTED_VALUE"""),1375.0)</f>
        <v>1375</v>
      </c>
      <c r="D687" s="2">
        <f>IFERROR(__xludf.DUMMYFUNCTION("""COMPUTED_VALUE"""),1350.0)</f>
        <v>1350</v>
      </c>
      <c r="E687" s="2">
        <f>IFERROR(__xludf.DUMMYFUNCTION("""COMPUTED_VALUE"""),1375.0)</f>
        <v>1375</v>
      </c>
      <c r="F687" s="2">
        <f>IFERROR(__xludf.DUMMYFUNCTION("""COMPUTED_VALUE"""),6290600.0)</f>
        <v>6290600</v>
      </c>
      <c r="G687" s="2">
        <f t="shared" si="1"/>
        <v>25</v>
      </c>
    </row>
    <row r="688" ht="15.75" customHeight="1">
      <c r="A688" s="1">
        <f>IFERROR(__xludf.DUMMYFUNCTION("""COMPUTED_VALUE"""),44859.66666666667)</f>
        <v>44859.66667</v>
      </c>
      <c r="B688" s="2">
        <f>IFERROR(__xludf.DUMMYFUNCTION("""COMPUTED_VALUE"""),1370.0)</f>
        <v>1370</v>
      </c>
      <c r="C688" s="2">
        <f>IFERROR(__xludf.DUMMYFUNCTION("""COMPUTED_VALUE"""),1375.0)</f>
        <v>1375</v>
      </c>
      <c r="D688" s="2">
        <f>IFERROR(__xludf.DUMMYFUNCTION("""COMPUTED_VALUE"""),1355.0)</f>
        <v>1355</v>
      </c>
      <c r="E688" s="2">
        <f>IFERROR(__xludf.DUMMYFUNCTION("""COMPUTED_VALUE"""),1375.0)</f>
        <v>1375</v>
      </c>
      <c r="F688" s="2">
        <f>IFERROR(__xludf.DUMMYFUNCTION("""COMPUTED_VALUE"""),3608000.0)</f>
        <v>3608000</v>
      </c>
      <c r="G688" s="2">
        <f t="shared" si="1"/>
        <v>20</v>
      </c>
    </row>
    <row r="689" ht="15.75" customHeight="1">
      <c r="A689" s="1">
        <f>IFERROR(__xludf.DUMMYFUNCTION("""COMPUTED_VALUE"""),44860.66666666667)</f>
        <v>44860.66667</v>
      </c>
      <c r="B689" s="2">
        <f>IFERROR(__xludf.DUMMYFUNCTION("""COMPUTED_VALUE"""),1370.0)</f>
        <v>1370</v>
      </c>
      <c r="C689" s="2">
        <f>IFERROR(__xludf.DUMMYFUNCTION("""COMPUTED_VALUE"""),1375.0)</f>
        <v>1375</v>
      </c>
      <c r="D689" s="2">
        <f>IFERROR(__xludf.DUMMYFUNCTION("""COMPUTED_VALUE"""),1360.0)</f>
        <v>1360</v>
      </c>
      <c r="E689" s="2">
        <f>IFERROR(__xludf.DUMMYFUNCTION("""COMPUTED_VALUE"""),1375.0)</f>
        <v>1375</v>
      </c>
      <c r="F689" s="2">
        <f>IFERROR(__xludf.DUMMYFUNCTION("""COMPUTED_VALUE"""),1493200.0)</f>
        <v>1493200</v>
      </c>
      <c r="G689" s="2">
        <f t="shared" si="1"/>
        <v>15</v>
      </c>
    </row>
    <row r="690" ht="15.75" customHeight="1">
      <c r="A690" s="1">
        <f>IFERROR(__xludf.DUMMYFUNCTION("""COMPUTED_VALUE"""),44861.66666666667)</f>
        <v>44861.66667</v>
      </c>
      <c r="B690" s="2">
        <f>IFERROR(__xludf.DUMMYFUNCTION("""COMPUTED_VALUE"""),1370.0)</f>
        <v>1370</v>
      </c>
      <c r="C690" s="2">
        <f>IFERROR(__xludf.DUMMYFUNCTION("""COMPUTED_VALUE"""),1380.0)</f>
        <v>1380</v>
      </c>
      <c r="D690" s="2">
        <f>IFERROR(__xludf.DUMMYFUNCTION("""COMPUTED_VALUE"""),1365.0)</f>
        <v>1365</v>
      </c>
      <c r="E690" s="2">
        <f>IFERROR(__xludf.DUMMYFUNCTION("""COMPUTED_VALUE"""),1375.0)</f>
        <v>1375</v>
      </c>
      <c r="F690" s="2">
        <f>IFERROR(__xludf.DUMMYFUNCTION("""COMPUTED_VALUE"""),2091600.0)</f>
        <v>2091600</v>
      </c>
      <c r="G690" s="2">
        <f t="shared" si="1"/>
        <v>15</v>
      </c>
    </row>
    <row r="691" ht="15.75" customHeight="1">
      <c r="A691" s="1">
        <f>IFERROR(__xludf.DUMMYFUNCTION("""COMPUTED_VALUE"""),44862.66666666667)</f>
        <v>44862.66667</v>
      </c>
      <c r="B691" s="2">
        <f>IFERROR(__xludf.DUMMYFUNCTION("""COMPUTED_VALUE"""),1375.0)</f>
        <v>1375</v>
      </c>
      <c r="C691" s="2">
        <f>IFERROR(__xludf.DUMMYFUNCTION("""COMPUTED_VALUE"""),1380.0)</f>
        <v>1380</v>
      </c>
      <c r="D691" s="2">
        <f>IFERROR(__xludf.DUMMYFUNCTION("""COMPUTED_VALUE"""),1365.0)</f>
        <v>1365</v>
      </c>
      <c r="E691" s="2">
        <f>IFERROR(__xludf.DUMMYFUNCTION("""COMPUTED_VALUE"""),1370.0)</f>
        <v>1370</v>
      </c>
      <c r="F691" s="2">
        <f>IFERROR(__xludf.DUMMYFUNCTION("""COMPUTED_VALUE"""),1384500.0)</f>
        <v>1384500</v>
      </c>
      <c r="G691" s="2">
        <f t="shared" si="1"/>
        <v>15</v>
      </c>
    </row>
    <row r="692" ht="15.75" customHeight="1">
      <c r="A692" s="1">
        <f>IFERROR(__xludf.DUMMYFUNCTION("""COMPUTED_VALUE"""),44865.66666666667)</f>
        <v>44865.66667</v>
      </c>
      <c r="B692" s="2">
        <f>IFERROR(__xludf.DUMMYFUNCTION("""COMPUTED_VALUE"""),1370.0)</f>
        <v>1370</v>
      </c>
      <c r="C692" s="2">
        <f>IFERROR(__xludf.DUMMYFUNCTION("""COMPUTED_VALUE"""),1380.0)</f>
        <v>1380</v>
      </c>
      <c r="D692" s="2">
        <f>IFERROR(__xludf.DUMMYFUNCTION("""COMPUTED_VALUE"""),1365.0)</f>
        <v>1365</v>
      </c>
      <c r="E692" s="2">
        <f>IFERROR(__xludf.DUMMYFUNCTION("""COMPUTED_VALUE"""),1375.0)</f>
        <v>1375</v>
      </c>
      <c r="F692" s="2">
        <f>IFERROR(__xludf.DUMMYFUNCTION("""COMPUTED_VALUE"""),2574900.0)</f>
        <v>2574900</v>
      </c>
      <c r="G692" s="2">
        <f t="shared" si="1"/>
        <v>15</v>
      </c>
    </row>
    <row r="693" ht="15.75" customHeight="1">
      <c r="A693" s="1">
        <f>IFERROR(__xludf.DUMMYFUNCTION("""COMPUTED_VALUE"""),44866.625)</f>
        <v>44866.625</v>
      </c>
      <c r="B693" s="2">
        <f>IFERROR(__xludf.DUMMYFUNCTION("""COMPUTED_VALUE"""),1375.0)</f>
        <v>1375</v>
      </c>
      <c r="C693" s="2">
        <f>IFERROR(__xludf.DUMMYFUNCTION("""COMPUTED_VALUE"""),1400.0)</f>
        <v>1400</v>
      </c>
      <c r="D693" s="2">
        <f>IFERROR(__xludf.DUMMYFUNCTION("""COMPUTED_VALUE"""),1375.0)</f>
        <v>1375</v>
      </c>
      <c r="E693" s="2">
        <f>IFERROR(__xludf.DUMMYFUNCTION("""COMPUTED_VALUE"""),1390.0)</f>
        <v>1390</v>
      </c>
      <c r="F693" s="2">
        <f>IFERROR(__xludf.DUMMYFUNCTION("""COMPUTED_VALUE"""),6587200.0)</f>
        <v>6587200</v>
      </c>
      <c r="G693" s="2">
        <f t="shared" si="1"/>
        <v>25</v>
      </c>
    </row>
    <row r="694" ht="15.75" customHeight="1">
      <c r="A694" s="1">
        <f>IFERROR(__xludf.DUMMYFUNCTION("""COMPUTED_VALUE"""),44867.625)</f>
        <v>44867.625</v>
      </c>
      <c r="B694" s="2">
        <f>IFERROR(__xludf.DUMMYFUNCTION("""COMPUTED_VALUE"""),1390.0)</f>
        <v>1390</v>
      </c>
      <c r="C694" s="2">
        <f>IFERROR(__xludf.DUMMYFUNCTION("""COMPUTED_VALUE"""),1400.0)</f>
        <v>1400</v>
      </c>
      <c r="D694" s="2">
        <f>IFERROR(__xludf.DUMMYFUNCTION("""COMPUTED_VALUE"""),1385.0)</f>
        <v>1385</v>
      </c>
      <c r="E694" s="2">
        <f>IFERROR(__xludf.DUMMYFUNCTION("""COMPUTED_VALUE"""),1390.0)</f>
        <v>1390</v>
      </c>
      <c r="F694" s="2">
        <f>IFERROR(__xludf.DUMMYFUNCTION("""COMPUTED_VALUE"""),1612900.0)</f>
        <v>1612900</v>
      </c>
      <c r="G694" s="2">
        <f t="shared" si="1"/>
        <v>15</v>
      </c>
    </row>
    <row r="695" ht="15.75" customHeight="1">
      <c r="A695" s="1">
        <f>IFERROR(__xludf.DUMMYFUNCTION("""COMPUTED_VALUE"""),44868.66666666667)</f>
        <v>44868.66667</v>
      </c>
      <c r="B695" s="2">
        <f>IFERROR(__xludf.DUMMYFUNCTION("""COMPUTED_VALUE"""),1390.0)</f>
        <v>1390</v>
      </c>
      <c r="C695" s="2">
        <f>IFERROR(__xludf.DUMMYFUNCTION("""COMPUTED_VALUE"""),1395.0)</f>
        <v>1395</v>
      </c>
      <c r="D695" s="2">
        <f>IFERROR(__xludf.DUMMYFUNCTION("""COMPUTED_VALUE"""),1380.0)</f>
        <v>1380</v>
      </c>
      <c r="E695" s="2">
        <f>IFERROR(__xludf.DUMMYFUNCTION("""COMPUTED_VALUE"""),1390.0)</f>
        <v>1390</v>
      </c>
      <c r="F695" s="2">
        <f>IFERROR(__xludf.DUMMYFUNCTION("""COMPUTED_VALUE"""),3460900.0)</f>
        <v>3460900</v>
      </c>
      <c r="G695" s="2">
        <f t="shared" si="1"/>
        <v>15</v>
      </c>
    </row>
    <row r="696" ht="15.75" customHeight="1">
      <c r="A696" s="1">
        <f>IFERROR(__xludf.DUMMYFUNCTION("""COMPUTED_VALUE"""),44869.66666666667)</f>
        <v>44869.66667</v>
      </c>
      <c r="B696" s="2">
        <f>IFERROR(__xludf.DUMMYFUNCTION("""COMPUTED_VALUE"""),1385.0)</f>
        <v>1385</v>
      </c>
      <c r="C696" s="2">
        <f>IFERROR(__xludf.DUMMYFUNCTION("""COMPUTED_VALUE"""),1390.0)</f>
        <v>1390</v>
      </c>
      <c r="D696" s="2">
        <f>IFERROR(__xludf.DUMMYFUNCTION("""COMPUTED_VALUE"""),1380.0)</f>
        <v>1380</v>
      </c>
      <c r="E696" s="2">
        <f>IFERROR(__xludf.DUMMYFUNCTION("""COMPUTED_VALUE"""),1385.0)</f>
        <v>1385</v>
      </c>
      <c r="F696" s="2">
        <f>IFERROR(__xludf.DUMMYFUNCTION("""COMPUTED_VALUE"""),2263400.0)</f>
        <v>2263400</v>
      </c>
      <c r="G696" s="2">
        <f t="shared" si="1"/>
        <v>10</v>
      </c>
    </row>
    <row r="697" ht="15.75" customHeight="1">
      <c r="A697" s="1">
        <f>IFERROR(__xludf.DUMMYFUNCTION("""COMPUTED_VALUE"""),44872.66666666667)</f>
        <v>44872.66667</v>
      </c>
      <c r="B697" s="2">
        <f>IFERROR(__xludf.DUMMYFUNCTION("""COMPUTED_VALUE"""),1385.0)</f>
        <v>1385</v>
      </c>
      <c r="C697" s="2">
        <f>IFERROR(__xludf.DUMMYFUNCTION("""COMPUTED_VALUE"""),1390.0)</f>
        <v>1390</v>
      </c>
      <c r="D697" s="2">
        <f>IFERROR(__xludf.DUMMYFUNCTION("""COMPUTED_VALUE"""),1375.0)</f>
        <v>1375</v>
      </c>
      <c r="E697" s="2">
        <f>IFERROR(__xludf.DUMMYFUNCTION("""COMPUTED_VALUE"""),1380.0)</f>
        <v>1380</v>
      </c>
      <c r="F697" s="2">
        <f>IFERROR(__xludf.DUMMYFUNCTION("""COMPUTED_VALUE"""),2910600.0)</f>
        <v>2910600</v>
      </c>
      <c r="G697" s="2">
        <f t="shared" si="1"/>
        <v>15</v>
      </c>
    </row>
    <row r="698" ht="15.75" customHeight="1">
      <c r="A698" s="1">
        <f>IFERROR(__xludf.DUMMYFUNCTION("""COMPUTED_VALUE"""),44873.66666666667)</f>
        <v>44873.66667</v>
      </c>
      <c r="B698" s="2">
        <f>IFERROR(__xludf.DUMMYFUNCTION("""COMPUTED_VALUE"""),1380.0)</f>
        <v>1380</v>
      </c>
      <c r="C698" s="2">
        <f>IFERROR(__xludf.DUMMYFUNCTION("""COMPUTED_VALUE"""),1390.0)</f>
        <v>1390</v>
      </c>
      <c r="D698" s="2">
        <f>IFERROR(__xludf.DUMMYFUNCTION("""COMPUTED_VALUE"""),1375.0)</f>
        <v>1375</v>
      </c>
      <c r="E698" s="2">
        <f>IFERROR(__xludf.DUMMYFUNCTION("""COMPUTED_VALUE"""),1385.0)</f>
        <v>1385</v>
      </c>
      <c r="F698" s="2">
        <f>IFERROR(__xludf.DUMMYFUNCTION("""COMPUTED_VALUE"""),2162200.0)</f>
        <v>2162200</v>
      </c>
      <c r="G698" s="2">
        <f t="shared" si="1"/>
        <v>15</v>
      </c>
    </row>
    <row r="699" ht="15.75" customHeight="1">
      <c r="A699" s="1">
        <f>IFERROR(__xludf.DUMMYFUNCTION("""COMPUTED_VALUE"""),44874.66666666667)</f>
        <v>44874.66667</v>
      </c>
      <c r="B699" s="2">
        <f>IFERROR(__xludf.DUMMYFUNCTION("""COMPUTED_VALUE"""),1385.0)</f>
        <v>1385</v>
      </c>
      <c r="C699" s="2">
        <f>IFERROR(__xludf.DUMMYFUNCTION("""COMPUTED_VALUE"""),1390.0)</f>
        <v>1390</v>
      </c>
      <c r="D699" s="2">
        <f>IFERROR(__xludf.DUMMYFUNCTION("""COMPUTED_VALUE"""),1375.0)</f>
        <v>1375</v>
      </c>
      <c r="E699" s="2">
        <f>IFERROR(__xludf.DUMMYFUNCTION("""COMPUTED_VALUE"""),1375.0)</f>
        <v>1375</v>
      </c>
      <c r="F699" s="2">
        <f>IFERROR(__xludf.DUMMYFUNCTION("""COMPUTED_VALUE"""),2673900.0)</f>
        <v>2673900</v>
      </c>
      <c r="G699" s="2">
        <f t="shared" si="1"/>
        <v>15</v>
      </c>
    </row>
    <row r="700" ht="15.75" customHeight="1">
      <c r="A700" s="1">
        <f>IFERROR(__xludf.DUMMYFUNCTION("""COMPUTED_VALUE"""),44875.66666666667)</f>
        <v>44875.66667</v>
      </c>
      <c r="B700" s="2">
        <f>IFERROR(__xludf.DUMMYFUNCTION("""COMPUTED_VALUE"""),1375.0)</f>
        <v>1375</v>
      </c>
      <c r="C700" s="2">
        <f>IFERROR(__xludf.DUMMYFUNCTION("""COMPUTED_VALUE"""),1380.0)</f>
        <v>1380</v>
      </c>
      <c r="D700" s="2">
        <f>IFERROR(__xludf.DUMMYFUNCTION("""COMPUTED_VALUE"""),1355.0)</f>
        <v>1355</v>
      </c>
      <c r="E700" s="2">
        <f>IFERROR(__xludf.DUMMYFUNCTION("""COMPUTED_VALUE"""),1360.0)</f>
        <v>1360</v>
      </c>
      <c r="F700" s="2">
        <f>IFERROR(__xludf.DUMMYFUNCTION("""COMPUTED_VALUE"""),6566500.0)</f>
        <v>6566500</v>
      </c>
      <c r="G700" s="2">
        <f t="shared" si="1"/>
        <v>25</v>
      </c>
    </row>
    <row r="701" ht="15.75" customHeight="1">
      <c r="A701" s="1">
        <f>IFERROR(__xludf.DUMMYFUNCTION("""COMPUTED_VALUE"""),44876.66666666667)</f>
        <v>44876.66667</v>
      </c>
      <c r="B701" s="2">
        <f>IFERROR(__xludf.DUMMYFUNCTION("""COMPUTED_VALUE"""),1360.0)</f>
        <v>1360</v>
      </c>
      <c r="C701" s="2">
        <f>IFERROR(__xludf.DUMMYFUNCTION("""COMPUTED_VALUE"""),1375.0)</f>
        <v>1375</v>
      </c>
      <c r="D701" s="2">
        <f>IFERROR(__xludf.DUMMYFUNCTION("""COMPUTED_VALUE"""),1360.0)</f>
        <v>1360</v>
      </c>
      <c r="E701" s="2">
        <f>IFERROR(__xludf.DUMMYFUNCTION("""COMPUTED_VALUE"""),1365.0)</f>
        <v>1365</v>
      </c>
      <c r="F701" s="2">
        <f>IFERROR(__xludf.DUMMYFUNCTION("""COMPUTED_VALUE"""),2369900.0)</f>
        <v>2369900</v>
      </c>
      <c r="G701" s="2">
        <f t="shared" si="1"/>
        <v>15</v>
      </c>
    </row>
    <row r="702" ht="15.75" customHeight="1">
      <c r="A702" s="1">
        <f>IFERROR(__xludf.DUMMYFUNCTION("""COMPUTED_VALUE"""),44879.66666666667)</f>
        <v>44879.66667</v>
      </c>
      <c r="B702" s="2">
        <f>IFERROR(__xludf.DUMMYFUNCTION("""COMPUTED_VALUE"""),1365.0)</f>
        <v>1365</v>
      </c>
      <c r="C702" s="2">
        <f>IFERROR(__xludf.DUMMYFUNCTION("""COMPUTED_VALUE"""),1375.0)</f>
        <v>1375</v>
      </c>
      <c r="D702" s="2">
        <f>IFERROR(__xludf.DUMMYFUNCTION("""COMPUTED_VALUE"""),1365.0)</f>
        <v>1365</v>
      </c>
      <c r="E702" s="2">
        <f>IFERROR(__xludf.DUMMYFUNCTION("""COMPUTED_VALUE"""),1370.0)</f>
        <v>1370</v>
      </c>
      <c r="F702" s="2">
        <f>IFERROR(__xludf.DUMMYFUNCTION("""COMPUTED_VALUE"""),1304400.0)</f>
        <v>1304400</v>
      </c>
      <c r="G702" s="2">
        <f t="shared" si="1"/>
        <v>10</v>
      </c>
    </row>
    <row r="703" ht="15.75" customHeight="1">
      <c r="A703" s="1">
        <f>IFERROR(__xludf.DUMMYFUNCTION("""COMPUTED_VALUE"""),44880.66666666667)</f>
        <v>44880.66667</v>
      </c>
      <c r="B703" s="2">
        <f>IFERROR(__xludf.DUMMYFUNCTION("""COMPUTED_VALUE"""),1370.0)</f>
        <v>1370</v>
      </c>
      <c r="C703" s="2">
        <f>IFERROR(__xludf.DUMMYFUNCTION("""COMPUTED_VALUE"""),1375.0)</f>
        <v>1375</v>
      </c>
      <c r="D703" s="2">
        <f>IFERROR(__xludf.DUMMYFUNCTION("""COMPUTED_VALUE"""),1355.0)</f>
        <v>1355</v>
      </c>
      <c r="E703" s="2">
        <f>IFERROR(__xludf.DUMMYFUNCTION("""COMPUTED_VALUE"""),1360.0)</f>
        <v>1360</v>
      </c>
      <c r="F703" s="2">
        <f>IFERROR(__xludf.DUMMYFUNCTION("""COMPUTED_VALUE"""),3065200.0)</f>
        <v>3065200</v>
      </c>
      <c r="G703" s="2">
        <f t="shared" si="1"/>
        <v>20</v>
      </c>
    </row>
    <row r="704" ht="15.75" customHeight="1">
      <c r="A704" s="1">
        <f>IFERROR(__xludf.DUMMYFUNCTION("""COMPUTED_VALUE"""),44881.66666666667)</f>
        <v>44881.66667</v>
      </c>
      <c r="B704" s="2">
        <f>IFERROR(__xludf.DUMMYFUNCTION("""COMPUTED_VALUE"""),1360.0)</f>
        <v>1360</v>
      </c>
      <c r="C704" s="2">
        <f>IFERROR(__xludf.DUMMYFUNCTION("""COMPUTED_VALUE"""),1370.0)</f>
        <v>1370</v>
      </c>
      <c r="D704" s="2">
        <f>IFERROR(__xludf.DUMMYFUNCTION("""COMPUTED_VALUE"""),1360.0)</f>
        <v>1360</v>
      </c>
      <c r="E704" s="2">
        <f>IFERROR(__xludf.DUMMYFUNCTION("""COMPUTED_VALUE"""),1360.0)</f>
        <v>1360</v>
      </c>
      <c r="F704" s="2">
        <f>IFERROR(__xludf.DUMMYFUNCTION("""COMPUTED_VALUE"""),1104900.0)</f>
        <v>1104900</v>
      </c>
      <c r="G704" s="2">
        <f t="shared" si="1"/>
        <v>10</v>
      </c>
    </row>
    <row r="705" ht="15.75" customHeight="1">
      <c r="A705" s="1">
        <f>IFERROR(__xludf.DUMMYFUNCTION("""COMPUTED_VALUE"""),44882.66666666667)</f>
        <v>44882.66667</v>
      </c>
      <c r="B705" s="2">
        <f>IFERROR(__xludf.DUMMYFUNCTION("""COMPUTED_VALUE"""),1360.0)</f>
        <v>1360</v>
      </c>
      <c r="C705" s="2">
        <f>IFERROR(__xludf.DUMMYFUNCTION("""COMPUTED_VALUE"""),1365.0)</f>
        <v>1365</v>
      </c>
      <c r="D705" s="2">
        <f>IFERROR(__xludf.DUMMYFUNCTION("""COMPUTED_VALUE"""),1355.0)</f>
        <v>1355</v>
      </c>
      <c r="E705" s="2">
        <f>IFERROR(__xludf.DUMMYFUNCTION("""COMPUTED_VALUE"""),1360.0)</f>
        <v>1360</v>
      </c>
      <c r="F705" s="2">
        <f>IFERROR(__xludf.DUMMYFUNCTION("""COMPUTED_VALUE"""),1803500.0)</f>
        <v>1803500</v>
      </c>
      <c r="G705" s="2">
        <f t="shared" si="1"/>
        <v>10</v>
      </c>
    </row>
    <row r="706" ht="15.75" customHeight="1">
      <c r="A706" s="1">
        <f>IFERROR(__xludf.DUMMYFUNCTION("""COMPUTED_VALUE"""),44883.66666666667)</f>
        <v>44883.66667</v>
      </c>
      <c r="B706" s="2">
        <f>IFERROR(__xludf.DUMMYFUNCTION("""COMPUTED_VALUE"""),1365.0)</f>
        <v>1365</v>
      </c>
      <c r="C706" s="2">
        <f>IFERROR(__xludf.DUMMYFUNCTION("""COMPUTED_VALUE"""),1365.0)</f>
        <v>1365</v>
      </c>
      <c r="D706" s="2">
        <f>IFERROR(__xludf.DUMMYFUNCTION("""COMPUTED_VALUE"""),1355.0)</f>
        <v>1355</v>
      </c>
      <c r="E706" s="2">
        <f>IFERROR(__xludf.DUMMYFUNCTION("""COMPUTED_VALUE"""),1360.0)</f>
        <v>1360</v>
      </c>
      <c r="F706" s="2">
        <f>IFERROR(__xludf.DUMMYFUNCTION("""COMPUTED_VALUE"""),1865400.0)</f>
        <v>1865400</v>
      </c>
      <c r="G706" s="2">
        <f t="shared" si="1"/>
        <v>10</v>
      </c>
    </row>
    <row r="707" ht="15.75" customHeight="1">
      <c r="A707" s="1">
        <f>IFERROR(__xludf.DUMMYFUNCTION("""COMPUTED_VALUE"""),44886.66666666667)</f>
        <v>44886.66667</v>
      </c>
      <c r="B707" s="2">
        <f>IFERROR(__xludf.DUMMYFUNCTION("""COMPUTED_VALUE"""),1360.0)</f>
        <v>1360</v>
      </c>
      <c r="C707" s="2">
        <f>IFERROR(__xludf.DUMMYFUNCTION("""COMPUTED_VALUE"""),1370.0)</f>
        <v>1370</v>
      </c>
      <c r="D707" s="2">
        <f>IFERROR(__xludf.DUMMYFUNCTION("""COMPUTED_VALUE"""),1360.0)</f>
        <v>1360</v>
      </c>
      <c r="E707" s="2">
        <f>IFERROR(__xludf.DUMMYFUNCTION("""COMPUTED_VALUE"""),1365.0)</f>
        <v>1365</v>
      </c>
      <c r="F707" s="2">
        <f>IFERROR(__xludf.DUMMYFUNCTION("""COMPUTED_VALUE"""),1476400.0)</f>
        <v>1476400</v>
      </c>
      <c r="G707" s="2">
        <f t="shared" si="1"/>
        <v>10</v>
      </c>
    </row>
    <row r="708" ht="15.75" customHeight="1">
      <c r="A708" s="1">
        <f>IFERROR(__xludf.DUMMYFUNCTION("""COMPUTED_VALUE"""),44887.66666666667)</f>
        <v>44887.66667</v>
      </c>
      <c r="B708" s="2">
        <f>IFERROR(__xludf.DUMMYFUNCTION("""COMPUTED_VALUE"""),1365.0)</f>
        <v>1365</v>
      </c>
      <c r="C708" s="2">
        <f>IFERROR(__xludf.DUMMYFUNCTION("""COMPUTED_VALUE"""),1370.0)</f>
        <v>1370</v>
      </c>
      <c r="D708" s="2">
        <f>IFERROR(__xludf.DUMMYFUNCTION("""COMPUTED_VALUE"""),1360.0)</f>
        <v>1360</v>
      </c>
      <c r="E708" s="2">
        <f>IFERROR(__xludf.DUMMYFUNCTION("""COMPUTED_VALUE"""),1365.0)</f>
        <v>1365</v>
      </c>
      <c r="F708" s="2">
        <f>IFERROR(__xludf.DUMMYFUNCTION("""COMPUTED_VALUE"""),1842900.0)</f>
        <v>1842900</v>
      </c>
      <c r="G708" s="2">
        <f t="shared" si="1"/>
        <v>10</v>
      </c>
    </row>
    <row r="709" ht="15.75" customHeight="1">
      <c r="A709" s="1">
        <f>IFERROR(__xludf.DUMMYFUNCTION("""COMPUTED_VALUE"""),44888.66666666667)</f>
        <v>44888.66667</v>
      </c>
      <c r="B709" s="2">
        <f>IFERROR(__xludf.DUMMYFUNCTION("""COMPUTED_VALUE"""),1365.0)</f>
        <v>1365</v>
      </c>
      <c r="C709" s="2">
        <f>IFERROR(__xludf.DUMMYFUNCTION("""COMPUTED_VALUE"""),1370.0)</f>
        <v>1370</v>
      </c>
      <c r="D709" s="2">
        <f>IFERROR(__xludf.DUMMYFUNCTION("""COMPUTED_VALUE"""),1360.0)</f>
        <v>1360</v>
      </c>
      <c r="E709" s="2">
        <f>IFERROR(__xludf.DUMMYFUNCTION("""COMPUTED_VALUE"""),1360.0)</f>
        <v>1360</v>
      </c>
      <c r="F709" s="2">
        <f>IFERROR(__xludf.DUMMYFUNCTION("""COMPUTED_VALUE"""),1554900.0)</f>
        <v>1554900</v>
      </c>
      <c r="G709" s="2">
        <f t="shared" si="1"/>
        <v>10</v>
      </c>
    </row>
    <row r="710" ht="15.75" customHeight="1">
      <c r="A710" s="1">
        <f>IFERROR(__xludf.DUMMYFUNCTION("""COMPUTED_VALUE"""),44889.66666666667)</f>
        <v>44889.66667</v>
      </c>
      <c r="B710" s="2">
        <f>IFERROR(__xludf.DUMMYFUNCTION("""COMPUTED_VALUE"""),1360.0)</f>
        <v>1360</v>
      </c>
      <c r="C710" s="2">
        <f>IFERROR(__xludf.DUMMYFUNCTION("""COMPUTED_VALUE"""),1365.0)</f>
        <v>1365</v>
      </c>
      <c r="D710" s="2">
        <f>IFERROR(__xludf.DUMMYFUNCTION("""COMPUTED_VALUE"""),1355.0)</f>
        <v>1355</v>
      </c>
      <c r="E710" s="2">
        <f>IFERROR(__xludf.DUMMYFUNCTION("""COMPUTED_VALUE"""),1360.0)</f>
        <v>1360</v>
      </c>
      <c r="F710" s="2">
        <f>IFERROR(__xludf.DUMMYFUNCTION("""COMPUTED_VALUE"""),2732900.0)</f>
        <v>2732900</v>
      </c>
      <c r="G710" s="2">
        <f t="shared" si="1"/>
        <v>10</v>
      </c>
    </row>
    <row r="711" ht="15.75" customHeight="1">
      <c r="A711" s="1">
        <f>IFERROR(__xludf.DUMMYFUNCTION("""COMPUTED_VALUE"""),44890.66666666667)</f>
        <v>44890.66667</v>
      </c>
      <c r="B711" s="2">
        <f>IFERROR(__xludf.DUMMYFUNCTION("""COMPUTED_VALUE"""),1370.0)</f>
        <v>1370</v>
      </c>
      <c r="C711" s="2">
        <f>IFERROR(__xludf.DUMMYFUNCTION("""COMPUTED_VALUE"""),1370.0)</f>
        <v>1370</v>
      </c>
      <c r="D711" s="2">
        <f>IFERROR(__xludf.DUMMYFUNCTION("""COMPUTED_VALUE"""),1350.0)</f>
        <v>1350</v>
      </c>
      <c r="E711" s="2">
        <f>IFERROR(__xludf.DUMMYFUNCTION("""COMPUTED_VALUE"""),1360.0)</f>
        <v>1360</v>
      </c>
      <c r="F711" s="2">
        <f>IFERROR(__xludf.DUMMYFUNCTION("""COMPUTED_VALUE"""),3261600.0)</f>
        <v>3261600</v>
      </c>
      <c r="G711" s="2">
        <f t="shared" si="1"/>
        <v>20</v>
      </c>
    </row>
    <row r="712" ht="15.75" customHeight="1">
      <c r="A712" s="1">
        <f>IFERROR(__xludf.DUMMYFUNCTION("""COMPUTED_VALUE"""),44893.66666666667)</f>
        <v>44893.66667</v>
      </c>
      <c r="B712" s="2">
        <f>IFERROR(__xludf.DUMMYFUNCTION("""COMPUTED_VALUE"""),1360.0)</f>
        <v>1360</v>
      </c>
      <c r="C712" s="2">
        <f>IFERROR(__xludf.DUMMYFUNCTION("""COMPUTED_VALUE"""),1365.0)</f>
        <v>1365</v>
      </c>
      <c r="D712" s="2">
        <f>IFERROR(__xludf.DUMMYFUNCTION("""COMPUTED_VALUE"""),1350.0)</f>
        <v>1350</v>
      </c>
      <c r="E712" s="2">
        <f>IFERROR(__xludf.DUMMYFUNCTION("""COMPUTED_VALUE"""),1360.0)</f>
        <v>1360</v>
      </c>
      <c r="F712" s="2">
        <f>IFERROR(__xludf.DUMMYFUNCTION("""COMPUTED_VALUE"""),3934100.0)</f>
        <v>3934100</v>
      </c>
      <c r="G712" s="2">
        <f t="shared" si="1"/>
        <v>15</v>
      </c>
    </row>
    <row r="713" ht="15.75" customHeight="1">
      <c r="A713" s="1">
        <f>IFERROR(__xludf.DUMMYFUNCTION("""COMPUTED_VALUE"""),44894.66666666667)</f>
        <v>44894.66667</v>
      </c>
      <c r="B713" s="2">
        <f>IFERROR(__xludf.DUMMYFUNCTION("""COMPUTED_VALUE"""),1360.0)</f>
        <v>1360</v>
      </c>
      <c r="C713" s="2">
        <f>IFERROR(__xludf.DUMMYFUNCTION("""COMPUTED_VALUE"""),1360.0)</f>
        <v>1360</v>
      </c>
      <c r="D713" s="2">
        <f>IFERROR(__xludf.DUMMYFUNCTION("""COMPUTED_VALUE"""),1350.0)</f>
        <v>1350</v>
      </c>
      <c r="E713" s="2">
        <f>IFERROR(__xludf.DUMMYFUNCTION("""COMPUTED_VALUE"""),1355.0)</f>
        <v>1355</v>
      </c>
      <c r="F713" s="2">
        <f>IFERROR(__xludf.DUMMYFUNCTION("""COMPUTED_VALUE"""),1185800.0)</f>
        <v>1185800</v>
      </c>
      <c r="G713" s="2">
        <f t="shared" si="1"/>
        <v>10</v>
      </c>
    </row>
    <row r="714" ht="15.75" customHeight="1">
      <c r="A714" s="1">
        <f>IFERROR(__xludf.DUMMYFUNCTION("""COMPUTED_VALUE"""),44895.66666666667)</f>
        <v>44895.66667</v>
      </c>
      <c r="B714" s="2">
        <f>IFERROR(__xludf.DUMMYFUNCTION("""COMPUTED_VALUE"""),1355.0)</f>
        <v>1355</v>
      </c>
      <c r="C714" s="2">
        <f>IFERROR(__xludf.DUMMYFUNCTION("""COMPUTED_VALUE"""),1365.0)</f>
        <v>1365</v>
      </c>
      <c r="D714" s="2">
        <f>IFERROR(__xludf.DUMMYFUNCTION("""COMPUTED_VALUE"""),1355.0)</f>
        <v>1355</v>
      </c>
      <c r="E714" s="2">
        <f>IFERROR(__xludf.DUMMYFUNCTION("""COMPUTED_VALUE"""),1360.0)</f>
        <v>1360</v>
      </c>
      <c r="F714" s="2">
        <f>IFERROR(__xludf.DUMMYFUNCTION("""COMPUTED_VALUE"""),2808100.0)</f>
        <v>2808100</v>
      </c>
      <c r="G714" s="2">
        <f t="shared" si="1"/>
        <v>10</v>
      </c>
    </row>
    <row r="715" ht="15.75" customHeight="1">
      <c r="A715" s="1">
        <f>IFERROR(__xludf.DUMMYFUNCTION("""COMPUTED_VALUE"""),44896.66666666667)</f>
        <v>44896.66667</v>
      </c>
      <c r="B715" s="2">
        <f>IFERROR(__xludf.DUMMYFUNCTION("""COMPUTED_VALUE"""),1360.0)</f>
        <v>1360</v>
      </c>
      <c r="C715" s="2">
        <f>IFERROR(__xludf.DUMMYFUNCTION("""COMPUTED_VALUE"""),1380.0)</f>
        <v>1380</v>
      </c>
      <c r="D715" s="2">
        <f>IFERROR(__xludf.DUMMYFUNCTION("""COMPUTED_VALUE"""),1360.0)</f>
        <v>1360</v>
      </c>
      <c r="E715" s="2">
        <f>IFERROR(__xludf.DUMMYFUNCTION("""COMPUTED_VALUE"""),1370.0)</f>
        <v>1370</v>
      </c>
      <c r="F715" s="2">
        <f>IFERROR(__xludf.DUMMYFUNCTION("""COMPUTED_VALUE"""),3838800.0)</f>
        <v>3838800</v>
      </c>
      <c r="G715" s="2">
        <f t="shared" si="1"/>
        <v>20</v>
      </c>
    </row>
    <row r="716" ht="15.75" customHeight="1">
      <c r="A716" s="1">
        <f>IFERROR(__xludf.DUMMYFUNCTION("""COMPUTED_VALUE"""),44897.66666666667)</f>
        <v>44897.66667</v>
      </c>
      <c r="B716" s="2">
        <f>IFERROR(__xludf.DUMMYFUNCTION("""COMPUTED_VALUE"""),1370.0)</f>
        <v>1370</v>
      </c>
      <c r="C716" s="2">
        <f>IFERROR(__xludf.DUMMYFUNCTION("""COMPUTED_VALUE"""),1380.0)</f>
        <v>1380</v>
      </c>
      <c r="D716" s="2">
        <f>IFERROR(__xludf.DUMMYFUNCTION("""COMPUTED_VALUE"""),1365.0)</f>
        <v>1365</v>
      </c>
      <c r="E716" s="2">
        <f>IFERROR(__xludf.DUMMYFUNCTION("""COMPUTED_VALUE"""),1370.0)</f>
        <v>1370</v>
      </c>
      <c r="F716" s="2">
        <f>IFERROR(__xludf.DUMMYFUNCTION("""COMPUTED_VALUE"""),2215100.0)</f>
        <v>2215100</v>
      </c>
      <c r="G716" s="2">
        <f t="shared" si="1"/>
        <v>15</v>
      </c>
    </row>
    <row r="717" ht="15.75" customHeight="1">
      <c r="A717" s="1">
        <f>IFERROR(__xludf.DUMMYFUNCTION("""COMPUTED_VALUE"""),44900.66666666667)</f>
        <v>44900.66667</v>
      </c>
      <c r="B717" s="2">
        <f>IFERROR(__xludf.DUMMYFUNCTION("""COMPUTED_VALUE"""),1370.0)</f>
        <v>1370</v>
      </c>
      <c r="C717" s="2">
        <f>IFERROR(__xludf.DUMMYFUNCTION("""COMPUTED_VALUE"""),1375.0)</f>
        <v>1375</v>
      </c>
      <c r="D717" s="2">
        <f>IFERROR(__xludf.DUMMYFUNCTION("""COMPUTED_VALUE"""),1360.0)</f>
        <v>1360</v>
      </c>
      <c r="E717" s="2">
        <f>IFERROR(__xludf.DUMMYFUNCTION("""COMPUTED_VALUE"""),1360.0)</f>
        <v>1360</v>
      </c>
      <c r="F717" s="2">
        <f>IFERROR(__xludf.DUMMYFUNCTION("""COMPUTED_VALUE"""),4513400.0)</f>
        <v>4513400</v>
      </c>
      <c r="G717" s="2">
        <f t="shared" si="1"/>
        <v>15</v>
      </c>
    </row>
    <row r="718" ht="15.75" customHeight="1">
      <c r="A718" s="1">
        <f>IFERROR(__xludf.DUMMYFUNCTION("""COMPUTED_VALUE"""),44901.66666666667)</f>
        <v>44901.66667</v>
      </c>
      <c r="B718" s="2">
        <f>IFERROR(__xludf.DUMMYFUNCTION("""COMPUTED_VALUE"""),1360.0)</f>
        <v>1360</v>
      </c>
      <c r="C718" s="2">
        <f>IFERROR(__xludf.DUMMYFUNCTION("""COMPUTED_VALUE"""),1360.0)</f>
        <v>1360</v>
      </c>
      <c r="D718" s="2">
        <f>IFERROR(__xludf.DUMMYFUNCTION("""COMPUTED_VALUE"""),1340.0)</f>
        <v>1340</v>
      </c>
      <c r="E718" s="2">
        <f>IFERROR(__xludf.DUMMYFUNCTION("""COMPUTED_VALUE"""),1340.0)</f>
        <v>1340</v>
      </c>
      <c r="F718" s="2">
        <f>IFERROR(__xludf.DUMMYFUNCTION("""COMPUTED_VALUE"""),7959400.0)</f>
        <v>7959400</v>
      </c>
      <c r="G718" s="2">
        <f t="shared" si="1"/>
        <v>20</v>
      </c>
    </row>
    <row r="719" ht="15.75" customHeight="1">
      <c r="A719" s="1">
        <f>IFERROR(__xludf.DUMMYFUNCTION("""COMPUTED_VALUE"""),44902.66666666667)</f>
        <v>44902.66667</v>
      </c>
      <c r="B719" s="2">
        <f>IFERROR(__xludf.DUMMYFUNCTION("""COMPUTED_VALUE"""),1340.0)</f>
        <v>1340</v>
      </c>
      <c r="C719" s="2">
        <f>IFERROR(__xludf.DUMMYFUNCTION("""COMPUTED_VALUE"""),1350.0)</f>
        <v>1350</v>
      </c>
      <c r="D719" s="2">
        <f>IFERROR(__xludf.DUMMYFUNCTION("""COMPUTED_VALUE"""),1330.0)</f>
        <v>1330</v>
      </c>
      <c r="E719" s="2">
        <f>IFERROR(__xludf.DUMMYFUNCTION("""COMPUTED_VALUE"""),1335.0)</f>
        <v>1335</v>
      </c>
      <c r="F719" s="2">
        <f>IFERROR(__xludf.DUMMYFUNCTION("""COMPUTED_VALUE"""),4418100.0)</f>
        <v>4418100</v>
      </c>
      <c r="G719" s="2">
        <f t="shared" si="1"/>
        <v>20</v>
      </c>
    </row>
    <row r="720" ht="15.75" customHeight="1">
      <c r="A720" s="1">
        <f>IFERROR(__xludf.DUMMYFUNCTION("""COMPUTED_VALUE"""),44903.66666666667)</f>
        <v>44903.66667</v>
      </c>
      <c r="B720" s="2">
        <f>IFERROR(__xludf.DUMMYFUNCTION("""COMPUTED_VALUE"""),1345.0)</f>
        <v>1345</v>
      </c>
      <c r="C720" s="2">
        <f>IFERROR(__xludf.DUMMYFUNCTION("""COMPUTED_VALUE"""),1360.0)</f>
        <v>1360</v>
      </c>
      <c r="D720" s="2">
        <f>IFERROR(__xludf.DUMMYFUNCTION("""COMPUTED_VALUE"""),1315.0)</f>
        <v>1315</v>
      </c>
      <c r="E720" s="2">
        <f>IFERROR(__xludf.DUMMYFUNCTION("""COMPUTED_VALUE"""),1340.0)</f>
        <v>1340</v>
      </c>
      <c r="F720" s="2">
        <f>IFERROR(__xludf.DUMMYFUNCTION("""COMPUTED_VALUE"""),6013400.0)</f>
        <v>6013400</v>
      </c>
      <c r="G720" s="2">
        <f t="shared" si="1"/>
        <v>45</v>
      </c>
    </row>
    <row r="721" ht="15.75" customHeight="1">
      <c r="A721" s="1">
        <f>IFERROR(__xludf.DUMMYFUNCTION("""COMPUTED_VALUE"""),44904.66666666667)</f>
        <v>44904.66667</v>
      </c>
      <c r="B721" s="2">
        <f>IFERROR(__xludf.DUMMYFUNCTION("""COMPUTED_VALUE"""),1340.0)</f>
        <v>1340</v>
      </c>
      <c r="C721" s="2">
        <f>IFERROR(__xludf.DUMMYFUNCTION("""COMPUTED_VALUE"""),1350.0)</f>
        <v>1350</v>
      </c>
      <c r="D721" s="2">
        <f>IFERROR(__xludf.DUMMYFUNCTION("""COMPUTED_VALUE"""),1325.0)</f>
        <v>1325</v>
      </c>
      <c r="E721" s="2">
        <f>IFERROR(__xludf.DUMMYFUNCTION("""COMPUTED_VALUE"""),1340.0)</f>
        <v>1340</v>
      </c>
      <c r="F721" s="2">
        <f>IFERROR(__xludf.DUMMYFUNCTION("""COMPUTED_VALUE"""),2167100.0)</f>
        <v>2167100</v>
      </c>
      <c r="G721" s="2">
        <f t="shared" si="1"/>
        <v>25</v>
      </c>
    </row>
    <row r="722" ht="15.75" customHeight="1">
      <c r="A722" s="1">
        <f>IFERROR(__xludf.DUMMYFUNCTION("""COMPUTED_VALUE"""),44907.66666666667)</f>
        <v>44907.66667</v>
      </c>
      <c r="B722" s="2">
        <f>IFERROR(__xludf.DUMMYFUNCTION("""COMPUTED_VALUE"""),1340.0)</f>
        <v>1340</v>
      </c>
      <c r="C722" s="2">
        <f>IFERROR(__xludf.DUMMYFUNCTION("""COMPUTED_VALUE"""),1350.0)</f>
        <v>1350</v>
      </c>
      <c r="D722" s="2">
        <f>IFERROR(__xludf.DUMMYFUNCTION("""COMPUTED_VALUE"""),1330.0)</f>
        <v>1330</v>
      </c>
      <c r="E722" s="2">
        <f>IFERROR(__xludf.DUMMYFUNCTION("""COMPUTED_VALUE"""),1350.0)</f>
        <v>1350</v>
      </c>
      <c r="F722" s="2">
        <f>IFERROR(__xludf.DUMMYFUNCTION("""COMPUTED_VALUE"""),1026300.0)</f>
        <v>1026300</v>
      </c>
      <c r="G722" s="2">
        <f t="shared" si="1"/>
        <v>20</v>
      </c>
    </row>
    <row r="723" ht="15.75" customHeight="1">
      <c r="A723" s="1">
        <f>IFERROR(__xludf.DUMMYFUNCTION("""COMPUTED_VALUE"""),44908.66666666667)</f>
        <v>44908.66667</v>
      </c>
      <c r="B723" s="2">
        <f>IFERROR(__xludf.DUMMYFUNCTION("""COMPUTED_VALUE"""),1350.0)</f>
        <v>1350</v>
      </c>
      <c r="C723" s="2">
        <f>IFERROR(__xludf.DUMMYFUNCTION("""COMPUTED_VALUE"""),1355.0)</f>
        <v>1355</v>
      </c>
      <c r="D723" s="2">
        <f>IFERROR(__xludf.DUMMYFUNCTION("""COMPUTED_VALUE"""),1345.0)</f>
        <v>1345</v>
      </c>
      <c r="E723" s="2">
        <f>IFERROR(__xludf.DUMMYFUNCTION("""COMPUTED_VALUE"""),1345.0)</f>
        <v>1345</v>
      </c>
      <c r="F723" s="2">
        <f>IFERROR(__xludf.DUMMYFUNCTION("""COMPUTED_VALUE"""),1337700.0)</f>
        <v>1337700</v>
      </c>
      <c r="G723" s="2">
        <f t="shared" si="1"/>
        <v>10</v>
      </c>
    </row>
    <row r="724" ht="15.75" customHeight="1">
      <c r="A724" s="1">
        <f>IFERROR(__xludf.DUMMYFUNCTION("""COMPUTED_VALUE"""),44909.66666666667)</f>
        <v>44909.66667</v>
      </c>
      <c r="B724" s="2">
        <f>IFERROR(__xludf.DUMMYFUNCTION("""COMPUTED_VALUE"""),1350.0)</f>
        <v>1350</v>
      </c>
      <c r="C724" s="2">
        <f>IFERROR(__xludf.DUMMYFUNCTION("""COMPUTED_VALUE"""),1360.0)</f>
        <v>1360</v>
      </c>
      <c r="D724" s="2">
        <f>IFERROR(__xludf.DUMMYFUNCTION("""COMPUTED_VALUE"""),1345.0)</f>
        <v>1345</v>
      </c>
      <c r="E724" s="2">
        <f>IFERROR(__xludf.DUMMYFUNCTION("""COMPUTED_VALUE"""),1350.0)</f>
        <v>1350</v>
      </c>
      <c r="F724" s="2">
        <f>IFERROR(__xludf.DUMMYFUNCTION("""COMPUTED_VALUE"""),1361700.0)</f>
        <v>1361700</v>
      </c>
      <c r="G724" s="2">
        <f t="shared" si="1"/>
        <v>15</v>
      </c>
    </row>
    <row r="725" ht="15.75" customHeight="1">
      <c r="A725" s="1">
        <f>IFERROR(__xludf.DUMMYFUNCTION("""COMPUTED_VALUE"""),44910.66666666667)</f>
        <v>44910.66667</v>
      </c>
      <c r="B725" s="2">
        <f>IFERROR(__xludf.DUMMYFUNCTION("""COMPUTED_VALUE"""),1350.0)</f>
        <v>1350</v>
      </c>
      <c r="C725" s="2">
        <f>IFERROR(__xludf.DUMMYFUNCTION("""COMPUTED_VALUE"""),1355.0)</f>
        <v>1355</v>
      </c>
      <c r="D725" s="2">
        <f>IFERROR(__xludf.DUMMYFUNCTION("""COMPUTED_VALUE"""),1345.0)</f>
        <v>1345</v>
      </c>
      <c r="E725" s="2">
        <f>IFERROR(__xludf.DUMMYFUNCTION("""COMPUTED_VALUE"""),1345.0)</f>
        <v>1345</v>
      </c>
      <c r="F725" s="2">
        <f>IFERROR(__xludf.DUMMYFUNCTION("""COMPUTED_VALUE"""),1329600.0)</f>
        <v>1329600</v>
      </c>
      <c r="G725" s="2">
        <f t="shared" si="1"/>
        <v>10</v>
      </c>
    </row>
    <row r="726" ht="15.75" customHeight="1">
      <c r="A726" s="1">
        <f>IFERROR(__xludf.DUMMYFUNCTION("""COMPUTED_VALUE"""),44911.66666666667)</f>
        <v>44911.66667</v>
      </c>
      <c r="B726" s="2">
        <f>IFERROR(__xludf.DUMMYFUNCTION("""COMPUTED_VALUE"""),1345.0)</f>
        <v>1345</v>
      </c>
      <c r="C726" s="2">
        <f>IFERROR(__xludf.DUMMYFUNCTION("""COMPUTED_VALUE"""),1350.0)</f>
        <v>1350</v>
      </c>
      <c r="D726" s="2">
        <f>IFERROR(__xludf.DUMMYFUNCTION("""COMPUTED_VALUE"""),1340.0)</f>
        <v>1340</v>
      </c>
      <c r="E726" s="2">
        <f>IFERROR(__xludf.DUMMYFUNCTION("""COMPUTED_VALUE"""),1350.0)</f>
        <v>1350</v>
      </c>
      <c r="F726" s="2">
        <f>IFERROR(__xludf.DUMMYFUNCTION("""COMPUTED_VALUE"""),1069100.0)</f>
        <v>1069100</v>
      </c>
      <c r="G726" s="2">
        <f t="shared" si="1"/>
        <v>10</v>
      </c>
    </row>
    <row r="727" ht="15.75" customHeight="1">
      <c r="A727" s="1">
        <f>IFERROR(__xludf.DUMMYFUNCTION("""COMPUTED_VALUE"""),44914.66666666667)</f>
        <v>44914.66667</v>
      </c>
      <c r="B727" s="2">
        <f>IFERROR(__xludf.DUMMYFUNCTION("""COMPUTED_VALUE"""),1345.0)</f>
        <v>1345</v>
      </c>
      <c r="C727" s="2">
        <f>IFERROR(__xludf.DUMMYFUNCTION("""COMPUTED_VALUE"""),1355.0)</f>
        <v>1355</v>
      </c>
      <c r="D727" s="2">
        <f>IFERROR(__xludf.DUMMYFUNCTION("""COMPUTED_VALUE"""),1335.0)</f>
        <v>1335</v>
      </c>
      <c r="E727" s="2">
        <f>IFERROR(__xludf.DUMMYFUNCTION("""COMPUTED_VALUE"""),1340.0)</f>
        <v>1340</v>
      </c>
      <c r="F727" s="2">
        <f>IFERROR(__xludf.DUMMYFUNCTION("""COMPUTED_VALUE"""),1631800.0)</f>
        <v>1631800</v>
      </c>
      <c r="G727" s="2">
        <f t="shared" si="1"/>
        <v>20</v>
      </c>
    </row>
    <row r="728" ht="15.75" customHeight="1">
      <c r="A728" s="1">
        <f>IFERROR(__xludf.DUMMYFUNCTION("""COMPUTED_VALUE"""),44915.66666666667)</f>
        <v>44915.66667</v>
      </c>
      <c r="B728" s="2">
        <f>IFERROR(__xludf.DUMMYFUNCTION("""COMPUTED_VALUE"""),1340.0)</f>
        <v>1340</v>
      </c>
      <c r="C728" s="2">
        <f>IFERROR(__xludf.DUMMYFUNCTION("""COMPUTED_VALUE"""),1345.0)</f>
        <v>1345</v>
      </c>
      <c r="D728" s="2">
        <f>IFERROR(__xludf.DUMMYFUNCTION("""COMPUTED_VALUE"""),1335.0)</f>
        <v>1335</v>
      </c>
      <c r="E728" s="2">
        <f>IFERROR(__xludf.DUMMYFUNCTION("""COMPUTED_VALUE"""),1345.0)</f>
        <v>1345</v>
      </c>
      <c r="F728" s="2">
        <f>IFERROR(__xludf.DUMMYFUNCTION("""COMPUTED_VALUE"""),1599500.0)</f>
        <v>1599500</v>
      </c>
      <c r="G728" s="2">
        <f t="shared" si="1"/>
        <v>10</v>
      </c>
    </row>
    <row r="729" ht="15.75" customHeight="1">
      <c r="A729" s="1">
        <f>IFERROR(__xludf.DUMMYFUNCTION("""COMPUTED_VALUE"""),44916.66666666667)</f>
        <v>44916.66667</v>
      </c>
      <c r="B729" s="2">
        <f>IFERROR(__xludf.DUMMYFUNCTION("""COMPUTED_VALUE"""),1345.0)</f>
        <v>1345</v>
      </c>
      <c r="C729" s="2">
        <f>IFERROR(__xludf.DUMMYFUNCTION("""COMPUTED_VALUE"""),1345.0)</f>
        <v>1345</v>
      </c>
      <c r="D729" s="2">
        <f>IFERROR(__xludf.DUMMYFUNCTION("""COMPUTED_VALUE"""),1335.0)</f>
        <v>1335</v>
      </c>
      <c r="E729" s="2">
        <f>IFERROR(__xludf.DUMMYFUNCTION("""COMPUTED_VALUE"""),1340.0)</f>
        <v>1340</v>
      </c>
      <c r="F729" s="2">
        <f>IFERROR(__xludf.DUMMYFUNCTION("""COMPUTED_VALUE"""),1058000.0)</f>
        <v>1058000</v>
      </c>
      <c r="G729" s="2">
        <f t="shared" si="1"/>
        <v>10</v>
      </c>
    </row>
    <row r="730" ht="15.75" customHeight="1">
      <c r="A730" s="1">
        <f>IFERROR(__xludf.DUMMYFUNCTION("""COMPUTED_VALUE"""),44917.66666666667)</f>
        <v>44917.66667</v>
      </c>
      <c r="B730" s="2">
        <f>IFERROR(__xludf.DUMMYFUNCTION("""COMPUTED_VALUE"""),1340.0)</f>
        <v>1340</v>
      </c>
      <c r="C730" s="2">
        <f>IFERROR(__xludf.DUMMYFUNCTION("""COMPUTED_VALUE"""),1350.0)</f>
        <v>1350</v>
      </c>
      <c r="D730" s="2">
        <f>IFERROR(__xludf.DUMMYFUNCTION("""COMPUTED_VALUE"""),1340.0)</f>
        <v>1340</v>
      </c>
      <c r="E730" s="2">
        <f>IFERROR(__xludf.DUMMYFUNCTION("""COMPUTED_VALUE"""),1340.0)</f>
        <v>1340</v>
      </c>
      <c r="F730" s="2">
        <f>IFERROR(__xludf.DUMMYFUNCTION("""COMPUTED_VALUE"""),1223400.0)</f>
        <v>1223400</v>
      </c>
      <c r="G730" s="2">
        <f t="shared" si="1"/>
        <v>10</v>
      </c>
    </row>
    <row r="731" ht="15.75" customHeight="1">
      <c r="A731" s="1">
        <f>IFERROR(__xludf.DUMMYFUNCTION("""COMPUTED_VALUE"""),44918.66666666667)</f>
        <v>44918.66667</v>
      </c>
      <c r="B731" s="2">
        <f>IFERROR(__xludf.DUMMYFUNCTION("""COMPUTED_VALUE"""),1340.0)</f>
        <v>1340</v>
      </c>
      <c r="C731" s="2">
        <f>IFERROR(__xludf.DUMMYFUNCTION("""COMPUTED_VALUE"""),1350.0)</f>
        <v>1350</v>
      </c>
      <c r="D731" s="2">
        <f>IFERROR(__xludf.DUMMYFUNCTION("""COMPUTED_VALUE"""),1340.0)</f>
        <v>1340</v>
      </c>
      <c r="E731" s="2">
        <f>IFERROR(__xludf.DUMMYFUNCTION("""COMPUTED_VALUE"""),1340.0)</f>
        <v>1340</v>
      </c>
      <c r="F731" s="2">
        <f>IFERROR(__xludf.DUMMYFUNCTION("""COMPUTED_VALUE"""),795100.0)</f>
        <v>795100</v>
      </c>
      <c r="G731" s="2">
        <f t="shared" si="1"/>
        <v>10</v>
      </c>
    </row>
    <row r="732" ht="15.75" customHeight="1">
      <c r="A732" s="1">
        <f>IFERROR(__xludf.DUMMYFUNCTION("""COMPUTED_VALUE"""),44921.66666666667)</f>
        <v>44921.66667</v>
      </c>
      <c r="B732" s="2">
        <f>IFERROR(__xludf.DUMMYFUNCTION("""COMPUTED_VALUE"""),1345.0)</f>
        <v>1345</v>
      </c>
      <c r="C732" s="2">
        <f>IFERROR(__xludf.DUMMYFUNCTION("""COMPUTED_VALUE"""),1350.0)</f>
        <v>1350</v>
      </c>
      <c r="D732" s="2">
        <f>IFERROR(__xludf.DUMMYFUNCTION("""COMPUTED_VALUE"""),1340.0)</f>
        <v>1340</v>
      </c>
      <c r="E732" s="2">
        <f>IFERROR(__xludf.DUMMYFUNCTION("""COMPUTED_VALUE"""),1345.0)</f>
        <v>1345</v>
      </c>
      <c r="F732" s="2">
        <f>IFERROR(__xludf.DUMMYFUNCTION("""COMPUTED_VALUE"""),924000.0)</f>
        <v>924000</v>
      </c>
      <c r="G732" s="2">
        <f t="shared" si="1"/>
        <v>10</v>
      </c>
    </row>
    <row r="733" ht="15.75" customHeight="1">
      <c r="A733" s="1">
        <f>IFERROR(__xludf.DUMMYFUNCTION("""COMPUTED_VALUE"""),44922.66666666667)</f>
        <v>44922.66667</v>
      </c>
      <c r="B733" s="2">
        <f>IFERROR(__xludf.DUMMYFUNCTION("""COMPUTED_VALUE"""),1350.0)</f>
        <v>1350</v>
      </c>
      <c r="C733" s="2">
        <f>IFERROR(__xludf.DUMMYFUNCTION("""COMPUTED_VALUE"""),1350.0)</f>
        <v>1350</v>
      </c>
      <c r="D733" s="2">
        <f>IFERROR(__xludf.DUMMYFUNCTION("""COMPUTED_VALUE"""),1340.0)</f>
        <v>1340</v>
      </c>
      <c r="E733" s="2">
        <f>IFERROR(__xludf.DUMMYFUNCTION("""COMPUTED_VALUE"""),1345.0)</f>
        <v>1345</v>
      </c>
      <c r="F733" s="2">
        <f>IFERROR(__xludf.DUMMYFUNCTION("""COMPUTED_VALUE"""),2498600.0)</f>
        <v>2498600</v>
      </c>
      <c r="G733" s="2">
        <f t="shared" si="1"/>
        <v>10</v>
      </c>
    </row>
    <row r="734" ht="15.75" customHeight="1">
      <c r="A734" s="1">
        <f>IFERROR(__xludf.DUMMYFUNCTION("""COMPUTED_VALUE"""),44923.66666666667)</f>
        <v>44923.66667</v>
      </c>
      <c r="B734" s="2">
        <f>IFERROR(__xludf.DUMMYFUNCTION("""COMPUTED_VALUE"""),1345.0)</f>
        <v>1345</v>
      </c>
      <c r="C734" s="2">
        <f>IFERROR(__xludf.DUMMYFUNCTION("""COMPUTED_VALUE"""),1345.0)</f>
        <v>1345</v>
      </c>
      <c r="D734" s="2">
        <f>IFERROR(__xludf.DUMMYFUNCTION("""COMPUTED_VALUE"""),1335.0)</f>
        <v>1335</v>
      </c>
      <c r="E734" s="2">
        <f>IFERROR(__xludf.DUMMYFUNCTION("""COMPUTED_VALUE"""),1340.0)</f>
        <v>1340</v>
      </c>
      <c r="F734" s="2">
        <f>IFERROR(__xludf.DUMMYFUNCTION("""COMPUTED_VALUE"""),1971800.0)</f>
        <v>1971800</v>
      </c>
      <c r="G734" s="2">
        <f t="shared" si="1"/>
        <v>10</v>
      </c>
    </row>
    <row r="735" ht="15.75" customHeight="1">
      <c r="A735" s="1">
        <f>IFERROR(__xludf.DUMMYFUNCTION("""COMPUTED_VALUE"""),44924.66666666667)</f>
        <v>44924.66667</v>
      </c>
      <c r="B735" s="2">
        <f>IFERROR(__xludf.DUMMYFUNCTION("""COMPUTED_VALUE"""),1345.0)</f>
        <v>1345</v>
      </c>
      <c r="C735" s="2">
        <f>IFERROR(__xludf.DUMMYFUNCTION("""COMPUTED_VALUE"""),1345.0)</f>
        <v>1345</v>
      </c>
      <c r="D735" s="2">
        <f>IFERROR(__xludf.DUMMYFUNCTION("""COMPUTED_VALUE"""),1335.0)</f>
        <v>1335</v>
      </c>
      <c r="E735" s="2">
        <f>IFERROR(__xludf.DUMMYFUNCTION("""COMPUTED_VALUE"""),1345.0)</f>
        <v>1345</v>
      </c>
      <c r="F735" s="2">
        <f>IFERROR(__xludf.DUMMYFUNCTION("""COMPUTED_VALUE"""),840200.0)</f>
        <v>840200</v>
      </c>
      <c r="G735" s="2">
        <f t="shared" si="1"/>
        <v>10</v>
      </c>
    </row>
    <row r="736" ht="15.75" customHeight="1">
      <c r="A736" s="1">
        <f>IFERROR(__xludf.DUMMYFUNCTION("""COMPUTED_VALUE"""),44925.66666666667)</f>
        <v>44925.66667</v>
      </c>
      <c r="B736" s="2">
        <f>IFERROR(__xludf.DUMMYFUNCTION("""COMPUTED_VALUE"""),1345.0)</f>
        <v>1345</v>
      </c>
      <c r="C736" s="2">
        <f>IFERROR(__xludf.DUMMYFUNCTION("""COMPUTED_VALUE"""),1350.0)</f>
        <v>1350</v>
      </c>
      <c r="D736" s="2">
        <f>IFERROR(__xludf.DUMMYFUNCTION("""COMPUTED_VALUE"""),1340.0)</f>
        <v>1340</v>
      </c>
      <c r="E736" s="2">
        <f>IFERROR(__xludf.DUMMYFUNCTION("""COMPUTED_VALUE"""),1345.0)</f>
        <v>1345</v>
      </c>
      <c r="F736" s="2">
        <f>IFERROR(__xludf.DUMMYFUNCTION("""COMPUTED_VALUE"""),605800.0)</f>
        <v>605800</v>
      </c>
      <c r="G736" s="2">
        <f t="shared" si="1"/>
        <v>10</v>
      </c>
    </row>
    <row r="737" ht="15.75" customHeight="1">
      <c r="A737" s="1">
        <f>IFERROR(__xludf.DUMMYFUNCTION("""COMPUTED_VALUE"""),44928.66666666667)</f>
        <v>44928.66667</v>
      </c>
      <c r="B737" s="2">
        <f>IFERROR(__xludf.DUMMYFUNCTION("""COMPUTED_VALUE"""),1345.0)</f>
        <v>1345</v>
      </c>
      <c r="C737" s="2">
        <f>IFERROR(__xludf.DUMMYFUNCTION("""COMPUTED_VALUE"""),1355.0)</f>
        <v>1355</v>
      </c>
      <c r="D737" s="2">
        <f>IFERROR(__xludf.DUMMYFUNCTION("""COMPUTED_VALUE"""),1345.0)</f>
        <v>1345</v>
      </c>
      <c r="E737" s="2">
        <f>IFERROR(__xludf.DUMMYFUNCTION("""COMPUTED_VALUE"""),1350.0)</f>
        <v>1350</v>
      </c>
      <c r="F737" s="2">
        <f>IFERROR(__xludf.DUMMYFUNCTION("""COMPUTED_VALUE"""),557300.0)</f>
        <v>557300</v>
      </c>
      <c r="G737" s="2">
        <f t="shared" si="1"/>
        <v>10</v>
      </c>
    </row>
    <row r="738" ht="15.75" customHeight="1">
      <c r="A738" s="1">
        <f>IFERROR(__xludf.DUMMYFUNCTION("""COMPUTED_VALUE"""),44929.66666666667)</f>
        <v>44929.66667</v>
      </c>
      <c r="B738" s="2">
        <f>IFERROR(__xludf.DUMMYFUNCTION("""COMPUTED_VALUE"""),1350.0)</f>
        <v>1350</v>
      </c>
      <c r="C738" s="2">
        <f>IFERROR(__xludf.DUMMYFUNCTION("""COMPUTED_VALUE"""),1355.0)</f>
        <v>1355</v>
      </c>
      <c r="D738" s="2">
        <f>IFERROR(__xludf.DUMMYFUNCTION("""COMPUTED_VALUE"""),1345.0)</f>
        <v>1345</v>
      </c>
      <c r="E738" s="2">
        <f>IFERROR(__xludf.DUMMYFUNCTION("""COMPUTED_VALUE"""),1355.0)</f>
        <v>1355</v>
      </c>
      <c r="F738" s="2">
        <f>IFERROR(__xludf.DUMMYFUNCTION("""COMPUTED_VALUE"""),940200.0)</f>
        <v>940200</v>
      </c>
      <c r="G738" s="2">
        <f t="shared" si="1"/>
        <v>10</v>
      </c>
    </row>
    <row r="739" ht="15.75" customHeight="1">
      <c r="A739" s="1">
        <f>IFERROR(__xludf.DUMMYFUNCTION("""COMPUTED_VALUE"""),44930.66666666667)</f>
        <v>44930.66667</v>
      </c>
      <c r="B739" s="2">
        <f>IFERROR(__xludf.DUMMYFUNCTION("""COMPUTED_VALUE"""),1355.0)</f>
        <v>1355</v>
      </c>
      <c r="C739" s="2">
        <f>IFERROR(__xludf.DUMMYFUNCTION("""COMPUTED_VALUE"""),1355.0)</f>
        <v>1355</v>
      </c>
      <c r="D739" s="2">
        <f>IFERROR(__xludf.DUMMYFUNCTION("""COMPUTED_VALUE"""),1350.0)</f>
        <v>1350</v>
      </c>
      <c r="E739" s="2">
        <f>IFERROR(__xludf.DUMMYFUNCTION("""COMPUTED_VALUE"""),1350.0)</f>
        <v>1350</v>
      </c>
      <c r="F739" s="2">
        <f>IFERROR(__xludf.DUMMYFUNCTION("""COMPUTED_VALUE"""),2433800.0)</f>
        <v>2433800</v>
      </c>
      <c r="G739" s="2">
        <f t="shared" si="1"/>
        <v>5</v>
      </c>
    </row>
    <row r="740" ht="15.75" customHeight="1">
      <c r="A740" s="1">
        <f>IFERROR(__xludf.DUMMYFUNCTION("""COMPUTED_VALUE"""),44931.66666666667)</f>
        <v>44931.66667</v>
      </c>
      <c r="B740" s="2">
        <f>IFERROR(__xludf.DUMMYFUNCTION("""COMPUTED_VALUE"""),1350.0)</f>
        <v>1350</v>
      </c>
      <c r="C740" s="2">
        <f>IFERROR(__xludf.DUMMYFUNCTION("""COMPUTED_VALUE"""),1350.0)</f>
        <v>1350</v>
      </c>
      <c r="D740" s="2">
        <f>IFERROR(__xludf.DUMMYFUNCTION("""COMPUTED_VALUE"""),1335.0)</f>
        <v>1335</v>
      </c>
      <c r="E740" s="2">
        <f>IFERROR(__xludf.DUMMYFUNCTION("""COMPUTED_VALUE"""),1340.0)</f>
        <v>1340</v>
      </c>
      <c r="F740" s="2">
        <f>IFERROR(__xludf.DUMMYFUNCTION("""COMPUTED_VALUE"""),3152800.0)</f>
        <v>3152800</v>
      </c>
      <c r="G740" s="2">
        <f t="shared" si="1"/>
        <v>15</v>
      </c>
    </row>
    <row r="741" ht="15.75" customHeight="1">
      <c r="A741" s="1">
        <f>IFERROR(__xludf.DUMMYFUNCTION("""COMPUTED_VALUE"""),44932.66666666667)</f>
        <v>44932.66667</v>
      </c>
      <c r="B741" s="2">
        <f>IFERROR(__xludf.DUMMYFUNCTION("""COMPUTED_VALUE"""),1340.0)</f>
        <v>1340</v>
      </c>
      <c r="C741" s="2">
        <f>IFERROR(__xludf.DUMMYFUNCTION("""COMPUTED_VALUE"""),1345.0)</f>
        <v>1345</v>
      </c>
      <c r="D741" s="2">
        <f>IFERROR(__xludf.DUMMYFUNCTION("""COMPUTED_VALUE"""),1330.0)</f>
        <v>1330</v>
      </c>
      <c r="E741" s="2">
        <f>IFERROR(__xludf.DUMMYFUNCTION("""COMPUTED_VALUE"""),1345.0)</f>
        <v>1345</v>
      </c>
      <c r="F741" s="2">
        <f>IFERROR(__xludf.DUMMYFUNCTION("""COMPUTED_VALUE"""),1748300.0)</f>
        <v>1748300</v>
      </c>
      <c r="G741" s="2">
        <f t="shared" si="1"/>
        <v>15</v>
      </c>
    </row>
    <row r="742" ht="15.75" customHeight="1">
      <c r="A742" s="1">
        <f>IFERROR(__xludf.DUMMYFUNCTION("""COMPUTED_VALUE"""),44935.66666666667)</f>
        <v>44935.66667</v>
      </c>
      <c r="B742" s="2">
        <f>IFERROR(__xludf.DUMMYFUNCTION("""COMPUTED_VALUE"""),1345.0)</f>
        <v>1345</v>
      </c>
      <c r="C742" s="2">
        <f>IFERROR(__xludf.DUMMYFUNCTION("""COMPUTED_VALUE"""),1350.0)</f>
        <v>1350</v>
      </c>
      <c r="D742" s="2">
        <f>IFERROR(__xludf.DUMMYFUNCTION("""COMPUTED_VALUE"""),1335.0)</f>
        <v>1335</v>
      </c>
      <c r="E742" s="2">
        <f>IFERROR(__xludf.DUMMYFUNCTION("""COMPUTED_VALUE"""),1345.0)</f>
        <v>1345</v>
      </c>
      <c r="F742" s="2">
        <f>IFERROR(__xludf.DUMMYFUNCTION("""COMPUTED_VALUE"""),1329300.0)</f>
        <v>1329300</v>
      </c>
      <c r="G742" s="2">
        <f t="shared" si="1"/>
        <v>15</v>
      </c>
    </row>
    <row r="743" ht="15.75" customHeight="1">
      <c r="A743" s="1">
        <f>IFERROR(__xludf.DUMMYFUNCTION("""COMPUTED_VALUE"""),44936.66666666667)</f>
        <v>44936.66667</v>
      </c>
      <c r="B743" s="2">
        <f>IFERROR(__xludf.DUMMYFUNCTION("""COMPUTED_VALUE"""),1345.0)</f>
        <v>1345</v>
      </c>
      <c r="C743" s="2">
        <f>IFERROR(__xludf.DUMMYFUNCTION("""COMPUTED_VALUE"""),1350.0)</f>
        <v>1350</v>
      </c>
      <c r="D743" s="2">
        <f>IFERROR(__xludf.DUMMYFUNCTION("""COMPUTED_VALUE"""),1335.0)</f>
        <v>1335</v>
      </c>
      <c r="E743" s="2">
        <f>IFERROR(__xludf.DUMMYFUNCTION("""COMPUTED_VALUE"""),1335.0)</f>
        <v>1335</v>
      </c>
      <c r="F743" s="2">
        <f>IFERROR(__xludf.DUMMYFUNCTION("""COMPUTED_VALUE"""),1603000.0)</f>
        <v>1603000</v>
      </c>
      <c r="G743" s="2">
        <f t="shared" si="1"/>
        <v>15</v>
      </c>
    </row>
    <row r="744" ht="15.75" customHeight="1">
      <c r="A744" s="1">
        <f>IFERROR(__xludf.DUMMYFUNCTION("""COMPUTED_VALUE"""),44937.66666666667)</f>
        <v>44937.66667</v>
      </c>
      <c r="B744" s="2">
        <f>IFERROR(__xludf.DUMMYFUNCTION("""COMPUTED_VALUE"""),1335.0)</f>
        <v>1335</v>
      </c>
      <c r="C744" s="2">
        <f>IFERROR(__xludf.DUMMYFUNCTION("""COMPUTED_VALUE"""),1340.0)</f>
        <v>1340</v>
      </c>
      <c r="D744" s="2">
        <f>IFERROR(__xludf.DUMMYFUNCTION("""COMPUTED_VALUE"""),1325.0)</f>
        <v>1325</v>
      </c>
      <c r="E744" s="2">
        <f>IFERROR(__xludf.DUMMYFUNCTION("""COMPUTED_VALUE"""),1335.0)</f>
        <v>1335</v>
      </c>
      <c r="F744" s="2">
        <f>IFERROR(__xludf.DUMMYFUNCTION("""COMPUTED_VALUE"""),2123600.0)</f>
        <v>2123600</v>
      </c>
      <c r="G744" s="2">
        <f t="shared" si="1"/>
        <v>15</v>
      </c>
    </row>
    <row r="745" ht="15.75" customHeight="1">
      <c r="A745" s="1">
        <f>IFERROR(__xludf.DUMMYFUNCTION("""COMPUTED_VALUE"""),44938.66666666667)</f>
        <v>44938.66667</v>
      </c>
      <c r="B745" s="2">
        <f>IFERROR(__xludf.DUMMYFUNCTION("""COMPUTED_VALUE"""),1335.0)</f>
        <v>1335</v>
      </c>
      <c r="C745" s="2">
        <f>IFERROR(__xludf.DUMMYFUNCTION("""COMPUTED_VALUE"""),1350.0)</f>
        <v>1350</v>
      </c>
      <c r="D745" s="2">
        <f>IFERROR(__xludf.DUMMYFUNCTION("""COMPUTED_VALUE"""),1335.0)</f>
        <v>1335</v>
      </c>
      <c r="E745" s="2">
        <f>IFERROR(__xludf.DUMMYFUNCTION("""COMPUTED_VALUE"""),1350.0)</f>
        <v>1350</v>
      </c>
      <c r="F745" s="2">
        <f>IFERROR(__xludf.DUMMYFUNCTION("""COMPUTED_VALUE"""),1897600.0)</f>
        <v>1897600</v>
      </c>
      <c r="G745" s="2">
        <f t="shared" si="1"/>
        <v>15</v>
      </c>
    </row>
    <row r="746" ht="15.75" customHeight="1">
      <c r="A746" s="1">
        <f>IFERROR(__xludf.DUMMYFUNCTION("""COMPUTED_VALUE"""),44939.66666666667)</f>
        <v>44939.66667</v>
      </c>
      <c r="B746" s="2">
        <f>IFERROR(__xludf.DUMMYFUNCTION("""COMPUTED_VALUE"""),1350.0)</f>
        <v>1350</v>
      </c>
      <c r="C746" s="2">
        <f>IFERROR(__xludf.DUMMYFUNCTION("""COMPUTED_VALUE"""),1350.0)</f>
        <v>1350</v>
      </c>
      <c r="D746" s="2">
        <f>IFERROR(__xludf.DUMMYFUNCTION("""COMPUTED_VALUE"""),1340.0)</f>
        <v>1340</v>
      </c>
      <c r="E746" s="2">
        <f>IFERROR(__xludf.DUMMYFUNCTION("""COMPUTED_VALUE"""),1345.0)</f>
        <v>1345</v>
      </c>
      <c r="F746" s="2">
        <f>IFERROR(__xludf.DUMMYFUNCTION("""COMPUTED_VALUE"""),1030300.0)</f>
        <v>1030300</v>
      </c>
      <c r="G746" s="2">
        <f t="shared" si="1"/>
        <v>10</v>
      </c>
    </row>
    <row r="747" ht="15.75" customHeight="1">
      <c r="A747" s="1">
        <f>IFERROR(__xludf.DUMMYFUNCTION("""COMPUTED_VALUE"""),44942.66666666667)</f>
        <v>44942.66667</v>
      </c>
      <c r="B747" s="2">
        <f>IFERROR(__xludf.DUMMYFUNCTION("""COMPUTED_VALUE"""),1345.0)</f>
        <v>1345</v>
      </c>
      <c r="C747" s="2">
        <f>IFERROR(__xludf.DUMMYFUNCTION("""COMPUTED_VALUE"""),1355.0)</f>
        <v>1355</v>
      </c>
      <c r="D747" s="2">
        <f>IFERROR(__xludf.DUMMYFUNCTION("""COMPUTED_VALUE"""),1340.0)</f>
        <v>1340</v>
      </c>
      <c r="E747" s="2">
        <f>IFERROR(__xludf.DUMMYFUNCTION("""COMPUTED_VALUE"""),1355.0)</f>
        <v>1355</v>
      </c>
      <c r="F747" s="2">
        <f>IFERROR(__xludf.DUMMYFUNCTION("""COMPUTED_VALUE"""),1556900.0)</f>
        <v>1556900</v>
      </c>
      <c r="G747" s="2">
        <f t="shared" si="1"/>
        <v>15</v>
      </c>
    </row>
    <row r="748" ht="15.75" customHeight="1">
      <c r="A748" s="1">
        <f>IFERROR(__xludf.DUMMYFUNCTION("""COMPUTED_VALUE"""),44943.66666666667)</f>
        <v>44943.66667</v>
      </c>
      <c r="B748" s="2">
        <f>IFERROR(__xludf.DUMMYFUNCTION("""COMPUTED_VALUE"""),1355.0)</f>
        <v>1355</v>
      </c>
      <c r="C748" s="2">
        <f>IFERROR(__xludf.DUMMYFUNCTION("""COMPUTED_VALUE"""),1355.0)</f>
        <v>1355</v>
      </c>
      <c r="D748" s="2">
        <f>IFERROR(__xludf.DUMMYFUNCTION("""COMPUTED_VALUE"""),1340.0)</f>
        <v>1340</v>
      </c>
      <c r="E748" s="2">
        <f>IFERROR(__xludf.DUMMYFUNCTION("""COMPUTED_VALUE"""),1340.0)</f>
        <v>1340</v>
      </c>
      <c r="F748" s="2">
        <f>IFERROR(__xludf.DUMMYFUNCTION("""COMPUTED_VALUE"""),3157900.0)</f>
        <v>3157900</v>
      </c>
      <c r="G748" s="2">
        <f t="shared" si="1"/>
        <v>15</v>
      </c>
    </row>
    <row r="749" ht="15.75" customHeight="1">
      <c r="A749" s="1">
        <f>IFERROR(__xludf.DUMMYFUNCTION("""COMPUTED_VALUE"""),44944.66666666667)</f>
        <v>44944.66667</v>
      </c>
      <c r="B749" s="2">
        <f>IFERROR(__xludf.DUMMYFUNCTION("""COMPUTED_VALUE"""),1350.0)</f>
        <v>1350</v>
      </c>
      <c r="C749" s="2">
        <f>IFERROR(__xludf.DUMMYFUNCTION("""COMPUTED_VALUE"""),1350.0)</f>
        <v>1350</v>
      </c>
      <c r="D749" s="2">
        <f>IFERROR(__xludf.DUMMYFUNCTION("""COMPUTED_VALUE"""),1335.0)</f>
        <v>1335</v>
      </c>
      <c r="E749" s="2">
        <f>IFERROR(__xludf.DUMMYFUNCTION("""COMPUTED_VALUE"""),1340.0)</f>
        <v>1340</v>
      </c>
      <c r="F749" s="2">
        <f>IFERROR(__xludf.DUMMYFUNCTION("""COMPUTED_VALUE"""),2909600.0)</f>
        <v>2909600</v>
      </c>
      <c r="G749" s="2">
        <f t="shared" si="1"/>
        <v>15</v>
      </c>
    </row>
    <row r="750" ht="15.75" customHeight="1">
      <c r="A750" s="1">
        <f>IFERROR(__xludf.DUMMYFUNCTION("""COMPUTED_VALUE"""),44945.66666666667)</f>
        <v>44945.66667</v>
      </c>
      <c r="B750" s="2">
        <f>IFERROR(__xludf.DUMMYFUNCTION("""COMPUTED_VALUE"""),1340.0)</f>
        <v>1340</v>
      </c>
      <c r="C750" s="2">
        <f>IFERROR(__xludf.DUMMYFUNCTION("""COMPUTED_VALUE"""),1355.0)</f>
        <v>1355</v>
      </c>
      <c r="D750" s="2">
        <f>IFERROR(__xludf.DUMMYFUNCTION("""COMPUTED_VALUE"""),1340.0)</f>
        <v>1340</v>
      </c>
      <c r="E750" s="2">
        <f>IFERROR(__xludf.DUMMYFUNCTION("""COMPUTED_VALUE"""),1350.0)</f>
        <v>1350</v>
      </c>
      <c r="F750" s="2">
        <f>IFERROR(__xludf.DUMMYFUNCTION("""COMPUTED_VALUE"""),1302700.0)</f>
        <v>1302700</v>
      </c>
      <c r="G750" s="2">
        <f t="shared" si="1"/>
        <v>15</v>
      </c>
    </row>
    <row r="751" ht="15.75" customHeight="1">
      <c r="A751" s="1">
        <f>IFERROR(__xludf.DUMMYFUNCTION("""COMPUTED_VALUE"""),44946.66666666667)</f>
        <v>44946.66667</v>
      </c>
      <c r="B751" s="2">
        <f>IFERROR(__xludf.DUMMYFUNCTION("""COMPUTED_VALUE"""),1350.0)</f>
        <v>1350</v>
      </c>
      <c r="C751" s="2">
        <f>IFERROR(__xludf.DUMMYFUNCTION("""COMPUTED_VALUE"""),1355.0)</f>
        <v>1355</v>
      </c>
      <c r="D751" s="2">
        <f>IFERROR(__xludf.DUMMYFUNCTION("""COMPUTED_VALUE"""),1350.0)</f>
        <v>1350</v>
      </c>
      <c r="E751" s="2">
        <f>IFERROR(__xludf.DUMMYFUNCTION("""COMPUTED_VALUE"""),1355.0)</f>
        <v>1355</v>
      </c>
      <c r="F751" s="2">
        <f>IFERROR(__xludf.DUMMYFUNCTION("""COMPUTED_VALUE"""),1120100.0)</f>
        <v>1120100</v>
      </c>
      <c r="G751" s="2">
        <f t="shared" si="1"/>
        <v>5</v>
      </c>
    </row>
    <row r="752" ht="15.75" customHeight="1">
      <c r="A752" s="1">
        <f>IFERROR(__xludf.DUMMYFUNCTION("""COMPUTED_VALUE"""),44950.66666666667)</f>
        <v>44950.66667</v>
      </c>
      <c r="B752" s="2">
        <f>IFERROR(__xludf.DUMMYFUNCTION("""COMPUTED_VALUE"""),1355.0)</f>
        <v>1355</v>
      </c>
      <c r="C752" s="2">
        <f>IFERROR(__xludf.DUMMYFUNCTION("""COMPUTED_VALUE"""),1360.0)</f>
        <v>1360</v>
      </c>
      <c r="D752" s="2">
        <f>IFERROR(__xludf.DUMMYFUNCTION("""COMPUTED_VALUE"""),1345.0)</f>
        <v>1345</v>
      </c>
      <c r="E752" s="2">
        <f>IFERROR(__xludf.DUMMYFUNCTION("""COMPUTED_VALUE"""),1350.0)</f>
        <v>1350</v>
      </c>
      <c r="F752" s="2">
        <f>IFERROR(__xludf.DUMMYFUNCTION("""COMPUTED_VALUE"""),2765700.0)</f>
        <v>2765700</v>
      </c>
      <c r="G752" s="2">
        <f t="shared" si="1"/>
        <v>15</v>
      </c>
    </row>
    <row r="753" ht="15.75" customHeight="1">
      <c r="A753" s="1">
        <f>IFERROR(__xludf.DUMMYFUNCTION("""COMPUTED_VALUE"""),44951.66666666667)</f>
        <v>44951.66667</v>
      </c>
      <c r="B753" s="2">
        <f>IFERROR(__xludf.DUMMYFUNCTION("""COMPUTED_VALUE"""),1350.0)</f>
        <v>1350</v>
      </c>
      <c r="C753" s="2">
        <f>IFERROR(__xludf.DUMMYFUNCTION("""COMPUTED_VALUE"""),1355.0)</f>
        <v>1355</v>
      </c>
      <c r="D753" s="2">
        <f>IFERROR(__xludf.DUMMYFUNCTION("""COMPUTED_VALUE"""),1350.0)</f>
        <v>1350</v>
      </c>
      <c r="E753" s="2">
        <f>IFERROR(__xludf.DUMMYFUNCTION("""COMPUTED_VALUE"""),1350.0)</f>
        <v>1350</v>
      </c>
      <c r="F753" s="2">
        <f>IFERROR(__xludf.DUMMYFUNCTION("""COMPUTED_VALUE"""),3099300.0)</f>
        <v>3099300</v>
      </c>
      <c r="G753" s="2">
        <f t="shared" si="1"/>
        <v>5</v>
      </c>
    </row>
    <row r="754" ht="15.75" customHeight="1">
      <c r="A754" s="1">
        <f>IFERROR(__xludf.DUMMYFUNCTION("""COMPUTED_VALUE"""),44952.66666666667)</f>
        <v>44952.66667</v>
      </c>
      <c r="B754" s="2">
        <f>IFERROR(__xludf.DUMMYFUNCTION("""COMPUTED_VALUE"""),1355.0)</f>
        <v>1355</v>
      </c>
      <c r="C754" s="2">
        <f>IFERROR(__xludf.DUMMYFUNCTION("""COMPUTED_VALUE"""),1355.0)</f>
        <v>1355</v>
      </c>
      <c r="D754" s="2">
        <f>IFERROR(__xludf.DUMMYFUNCTION("""COMPUTED_VALUE"""),1345.0)</f>
        <v>1345</v>
      </c>
      <c r="E754" s="2">
        <f>IFERROR(__xludf.DUMMYFUNCTION("""COMPUTED_VALUE"""),1350.0)</f>
        <v>1350</v>
      </c>
      <c r="F754" s="2">
        <f>IFERROR(__xludf.DUMMYFUNCTION("""COMPUTED_VALUE"""),3099500.0)</f>
        <v>3099500</v>
      </c>
      <c r="G754" s="2">
        <f t="shared" si="1"/>
        <v>10</v>
      </c>
    </row>
    <row r="755" ht="15.75" customHeight="1">
      <c r="A755" s="1">
        <f>IFERROR(__xludf.DUMMYFUNCTION("""COMPUTED_VALUE"""),44953.66666666667)</f>
        <v>44953.66667</v>
      </c>
      <c r="B755" s="2">
        <f>IFERROR(__xludf.DUMMYFUNCTION("""COMPUTED_VALUE"""),1355.0)</f>
        <v>1355</v>
      </c>
      <c r="C755" s="2">
        <f>IFERROR(__xludf.DUMMYFUNCTION("""COMPUTED_VALUE"""),1360.0)</f>
        <v>1360</v>
      </c>
      <c r="D755" s="2">
        <f>IFERROR(__xludf.DUMMYFUNCTION("""COMPUTED_VALUE"""),1345.0)</f>
        <v>1345</v>
      </c>
      <c r="E755" s="2">
        <f>IFERROR(__xludf.DUMMYFUNCTION("""COMPUTED_VALUE"""),1350.0)</f>
        <v>1350</v>
      </c>
      <c r="F755" s="2">
        <f>IFERROR(__xludf.DUMMYFUNCTION("""COMPUTED_VALUE"""),4670700.0)</f>
        <v>4670700</v>
      </c>
      <c r="G755" s="2">
        <f t="shared" si="1"/>
        <v>15</v>
      </c>
    </row>
    <row r="756" ht="15.75" customHeight="1">
      <c r="A756" s="1">
        <f>IFERROR(__xludf.DUMMYFUNCTION("""COMPUTED_VALUE"""),44956.66666666667)</f>
        <v>44956.66667</v>
      </c>
      <c r="B756" s="2">
        <f>IFERROR(__xludf.DUMMYFUNCTION("""COMPUTED_VALUE"""),1350.0)</f>
        <v>1350</v>
      </c>
      <c r="C756" s="2">
        <f>IFERROR(__xludf.DUMMYFUNCTION("""COMPUTED_VALUE"""),1370.0)</f>
        <v>1370</v>
      </c>
      <c r="D756" s="2">
        <f>IFERROR(__xludf.DUMMYFUNCTION("""COMPUTED_VALUE"""),1350.0)</f>
        <v>1350</v>
      </c>
      <c r="E756" s="2">
        <f>IFERROR(__xludf.DUMMYFUNCTION("""COMPUTED_VALUE"""),1360.0)</f>
        <v>1360</v>
      </c>
      <c r="F756" s="2">
        <f>IFERROR(__xludf.DUMMYFUNCTION("""COMPUTED_VALUE"""),3626400.0)</f>
        <v>3626400</v>
      </c>
      <c r="G756" s="2">
        <f t="shared" si="1"/>
        <v>20</v>
      </c>
    </row>
    <row r="757" ht="15.75" customHeight="1">
      <c r="A757" s="1">
        <f>IFERROR(__xludf.DUMMYFUNCTION("""COMPUTED_VALUE"""),44957.66666666667)</f>
        <v>44957.66667</v>
      </c>
      <c r="B757" s="2">
        <f>IFERROR(__xludf.DUMMYFUNCTION("""COMPUTED_VALUE"""),1360.0)</f>
        <v>1360</v>
      </c>
      <c r="C757" s="2">
        <f>IFERROR(__xludf.DUMMYFUNCTION("""COMPUTED_VALUE"""),1370.0)</f>
        <v>1370</v>
      </c>
      <c r="D757" s="2">
        <f>IFERROR(__xludf.DUMMYFUNCTION("""COMPUTED_VALUE"""),1360.0)</f>
        <v>1360</v>
      </c>
      <c r="E757" s="2">
        <f>IFERROR(__xludf.DUMMYFUNCTION("""COMPUTED_VALUE"""),1365.0)</f>
        <v>1365</v>
      </c>
      <c r="F757" s="2">
        <f>IFERROR(__xludf.DUMMYFUNCTION("""COMPUTED_VALUE"""),2975100.0)</f>
        <v>2975100</v>
      </c>
      <c r="G757" s="2">
        <f t="shared" si="1"/>
        <v>10</v>
      </c>
    </row>
    <row r="758" ht="15.75" customHeight="1">
      <c r="A758" s="1">
        <f>IFERROR(__xludf.DUMMYFUNCTION("""COMPUTED_VALUE"""),44958.66666666667)</f>
        <v>44958.66667</v>
      </c>
      <c r="B758" s="2">
        <f>IFERROR(__xludf.DUMMYFUNCTION("""COMPUTED_VALUE"""),1365.0)</f>
        <v>1365</v>
      </c>
      <c r="C758" s="2">
        <f>IFERROR(__xludf.DUMMYFUNCTION("""COMPUTED_VALUE"""),1385.0)</f>
        <v>1385</v>
      </c>
      <c r="D758" s="2">
        <f>IFERROR(__xludf.DUMMYFUNCTION("""COMPUTED_VALUE"""),1365.0)</f>
        <v>1365</v>
      </c>
      <c r="E758" s="2">
        <f>IFERROR(__xludf.DUMMYFUNCTION("""COMPUTED_VALUE"""),1370.0)</f>
        <v>1370</v>
      </c>
      <c r="F758" s="2">
        <f>IFERROR(__xludf.DUMMYFUNCTION("""COMPUTED_VALUE"""),1.10085E7)</f>
        <v>11008500</v>
      </c>
      <c r="G758" s="2">
        <f t="shared" si="1"/>
        <v>20</v>
      </c>
    </row>
    <row r="759" ht="15.75" customHeight="1">
      <c r="A759" s="1">
        <f>IFERROR(__xludf.DUMMYFUNCTION("""COMPUTED_VALUE"""),44959.66666666667)</f>
        <v>44959.66667</v>
      </c>
      <c r="B759" s="2">
        <f>IFERROR(__xludf.DUMMYFUNCTION("""COMPUTED_VALUE"""),1370.0)</f>
        <v>1370</v>
      </c>
      <c r="C759" s="2">
        <f>IFERROR(__xludf.DUMMYFUNCTION("""COMPUTED_VALUE"""),1395.0)</f>
        <v>1395</v>
      </c>
      <c r="D759" s="2">
        <f>IFERROR(__xludf.DUMMYFUNCTION("""COMPUTED_VALUE"""),1365.0)</f>
        <v>1365</v>
      </c>
      <c r="E759" s="2">
        <f>IFERROR(__xludf.DUMMYFUNCTION("""COMPUTED_VALUE"""),1395.0)</f>
        <v>1395</v>
      </c>
      <c r="F759" s="2">
        <f>IFERROR(__xludf.DUMMYFUNCTION("""COMPUTED_VALUE"""),8542800.0)</f>
        <v>8542800</v>
      </c>
      <c r="G759" s="2">
        <f t="shared" si="1"/>
        <v>30</v>
      </c>
    </row>
    <row r="760" ht="15.75" customHeight="1">
      <c r="A760" s="1">
        <f>IFERROR(__xludf.DUMMYFUNCTION("""COMPUTED_VALUE"""),44960.66666666667)</f>
        <v>44960.66667</v>
      </c>
      <c r="B760" s="2">
        <f>IFERROR(__xludf.DUMMYFUNCTION("""COMPUTED_VALUE"""),1390.0)</f>
        <v>1390</v>
      </c>
      <c r="C760" s="2">
        <f>IFERROR(__xludf.DUMMYFUNCTION("""COMPUTED_VALUE"""),1400.0)</f>
        <v>1400</v>
      </c>
      <c r="D760" s="2">
        <f>IFERROR(__xludf.DUMMYFUNCTION("""COMPUTED_VALUE"""),1365.0)</f>
        <v>1365</v>
      </c>
      <c r="E760" s="2">
        <f>IFERROR(__xludf.DUMMYFUNCTION("""COMPUTED_VALUE"""),1370.0)</f>
        <v>1370</v>
      </c>
      <c r="F760" s="2">
        <f>IFERROR(__xludf.DUMMYFUNCTION("""COMPUTED_VALUE"""),1.44875E7)</f>
        <v>14487500</v>
      </c>
      <c r="G760" s="2">
        <f t="shared" si="1"/>
        <v>35</v>
      </c>
    </row>
    <row r="761" ht="15.75" customHeight="1">
      <c r="A761" s="1">
        <f>IFERROR(__xludf.DUMMYFUNCTION("""COMPUTED_VALUE"""),44963.66666666667)</f>
        <v>44963.66667</v>
      </c>
      <c r="B761" s="2">
        <f>IFERROR(__xludf.DUMMYFUNCTION("""COMPUTED_VALUE"""),1370.0)</f>
        <v>1370</v>
      </c>
      <c r="C761" s="2">
        <f>IFERROR(__xludf.DUMMYFUNCTION("""COMPUTED_VALUE"""),1380.0)</f>
        <v>1380</v>
      </c>
      <c r="D761" s="2">
        <f>IFERROR(__xludf.DUMMYFUNCTION("""COMPUTED_VALUE"""),1370.0)</f>
        <v>1370</v>
      </c>
      <c r="E761" s="2">
        <f>IFERROR(__xludf.DUMMYFUNCTION("""COMPUTED_VALUE"""),1380.0)</f>
        <v>1380</v>
      </c>
      <c r="F761" s="2">
        <f>IFERROR(__xludf.DUMMYFUNCTION("""COMPUTED_VALUE"""),4170800.0)</f>
        <v>4170800</v>
      </c>
      <c r="G761" s="2">
        <f t="shared" si="1"/>
        <v>10</v>
      </c>
    </row>
    <row r="762" ht="15.75" customHeight="1">
      <c r="A762" s="1">
        <f>IFERROR(__xludf.DUMMYFUNCTION("""COMPUTED_VALUE"""),44964.66666666667)</f>
        <v>44964.66667</v>
      </c>
      <c r="B762" s="2">
        <f>IFERROR(__xludf.DUMMYFUNCTION("""COMPUTED_VALUE"""),1380.0)</f>
        <v>1380</v>
      </c>
      <c r="C762" s="2">
        <f>IFERROR(__xludf.DUMMYFUNCTION("""COMPUTED_VALUE"""),1390.0)</f>
        <v>1390</v>
      </c>
      <c r="D762" s="2">
        <f>IFERROR(__xludf.DUMMYFUNCTION("""COMPUTED_VALUE"""),1375.0)</f>
        <v>1375</v>
      </c>
      <c r="E762" s="2">
        <f>IFERROR(__xludf.DUMMYFUNCTION("""COMPUTED_VALUE"""),1390.0)</f>
        <v>1390</v>
      </c>
      <c r="F762" s="2">
        <f>IFERROR(__xludf.DUMMYFUNCTION("""COMPUTED_VALUE"""),4222400.0)</f>
        <v>4222400</v>
      </c>
      <c r="G762" s="2">
        <f t="shared" si="1"/>
        <v>15</v>
      </c>
    </row>
    <row r="763" ht="15.75" customHeight="1">
      <c r="A763" s="1">
        <f>IFERROR(__xludf.DUMMYFUNCTION("""COMPUTED_VALUE"""),44965.66666666667)</f>
        <v>44965.66667</v>
      </c>
      <c r="B763" s="2">
        <f>IFERROR(__xludf.DUMMYFUNCTION("""COMPUTED_VALUE"""),1390.0)</f>
        <v>1390</v>
      </c>
      <c r="C763" s="2">
        <f>IFERROR(__xludf.DUMMYFUNCTION("""COMPUTED_VALUE"""),1400.0)</f>
        <v>1400</v>
      </c>
      <c r="D763" s="2">
        <f>IFERROR(__xludf.DUMMYFUNCTION("""COMPUTED_VALUE"""),1380.0)</f>
        <v>1380</v>
      </c>
      <c r="E763" s="2">
        <f>IFERROR(__xludf.DUMMYFUNCTION("""COMPUTED_VALUE"""),1390.0)</f>
        <v>1390</v>
      </c>
      <c r="F763" s="2">
        <f>IFERROR(__xludf.DUMMYFUNCTION("""COMPUTED_VALUE"""),3523700.0)</f>
        <v>3523700</v>
      </c>
      <c r="G763" s="2">
        <f t="shared" si="1"/>
        <v>20</v>
      </c>
    </row>
    <row r="764" ht="15.75" customHeight="1">
      <c r="A764" s="1">
        <f>IFERROR(__xludf.DUMMYFUNCTION("""COMPUTED_VALUE"""),44966.66666666667)</f>
        <v>44966.66667</v>
      </c>
      <c r="B764" s="2">
        <f>IFERROR(__xludf.DUMMYFUNCTION("""COMPUTED_VALUE"""),1390.0)</f>
        <v>1390</v>
      </c>
      <c r="C764" s="2">
        <f>IFERROR(__xludf.DUMMYFUNCTION("""COMPUTED_VALUE"""),1395.0)</f>
        <v>1395</v>
      </c>
      <c r="D764" s="2">
        <f>IFERROR(__xludf.DUMMYFUNCTION("""COMPUTED_VALUE"""),1380.0)</f>
        <v>1380</v>
      </c>
      <c r="E764" s="2">
        <f>IFERROR(__xludf.DUMMYFUNCTION("""COMPUTED_VALUE"""),1390.0)</f>
        <v>1390</v>
      </c>
      <c r="F764" s="2">
        <f>IFERROR(__xludf.DUMMYFUNCTION("""COMPUTED_VALUE"""),5036500.0)</f>
        <v>5036500</v>
      </c>
      <c r="G764" s="2">
        <f t="shared" si="1"/>
        <v>15</v>
      </c>
    </row>
    <row r="765" ht="15.75" customHeight="1">
      <c r="A765" s="1">
        <f>IFERROR(__xludf.DUMMYFUNCTION("""COMPUTED_VALUE"""),44967.66666666667)</f>
        <v>44967.66667</v>
      </c>
      <c r="B765" s="2">
        <f>IFERROR(__xludf.DUMMYFUNCTION("""COMPUTED_VALUE"""),1390.0)</f>
        <v>1390</v>
      </c>
      <c r="C765" s="2">
        <f>IFERROR(__xludf.DUMMYFUNCTION("""COMPUTED_VALUE"""),1390.0)</f>
        <v>1390</v>
      </c>
      <c r="D765" s="2">
        <f>IFERROR(__xludf.DUMMYFUNCTION("""COMPUTED_VALUE"""),1380.0)</f>
        <v>1380</v>
      </c>
      <c r="E765" s="2">
        <f>IFERROR(__xludf.DUMMYFUNCTION("""COMPUTED_VALUE"""),1390.0)</f>
        <v>1390</v>
      </c>
      <c r="F765" s="2">
        <f>IFERROR(__xludf.DUMMYFUNCTION("""COMPUTED_VALUE"""),2846200.0)</f>
        <v>2846200</v>
      </c>
      <c r="G765" s="2">
        <f t="shared" si="1"/>
        <v>10</v>
      </c>
    </row>
    <row r="766" ht="15.75" customHeight="1">
      <c r="A766" s="1">
        <f>IFERROR(__xludf.DUMMYFUNCTION("""COMPUTED_VALUE"""),44970.66666666667)</f>
        <v>44970.66667</v>
      </c>
      <c r="B766" s="2">
        <f>IFERROR(__xludf.DUMMYFUNCTION("""COMPUTED_VALUE"""),1390.0)</f>
        <v>1390</v>
      </c>
      <c r="C766" s="2">
        <f>IFERROR(__xludf.DUMMYFUNCTION("""COMPUTED_VALUE"""),1400.0)</f>
        <v>1400</v>
      </c>
      <c r="D766" s="2">
        <f>IFERROR(__xludf.DUMMYFUNCTION("""COMPUTED_VALUE"""),1385.0)</f>
        <v>1385</v>
      </c>
      <c r="E766" s="2">
        <f>IFERROR(__xludf.DUMMYFUNCTION("""COMPUTED_VALUE"""),1395.0)</f>
        <v>1395</v>
      </c>
      <c r="F766" s="2">
        <f>IFERROR(__xludf.DUMMYFUNCTION("""COMPUTED_VALUE"""),2977300.0)</f>
        <v>2977300</v>
      </c>
      <c r="G766" s="2">
        <f t="shared" si="1"/>
        <v>15</v>
      </c>
    </row>
    <row r="767" ht="15.75" customHeight="1">
      <c r="A767" s="1">
        <f>IFERROR(__xludf.DUMMYFUNCTION("""COMPUTED_VALUE"""),44971.66666666667)</f>
        <v>44971.66667</v>
      </c>
      <c r="B767" s="2">
        <f>IFERROR(__xludf.DUMMYFUNCTION("""COMPUTED_VALUE"""),1410.0)</f>
        <v>1410</v>
      </c>
      <c r="C767" s="2">
        <f>IFERROR(__xludf.DUMMYFUNCTION("""COMPUTED_VALUE"""),1410.0)</f>
        <v>1410</v>
      </c>
      <c r="D767" s="2">
        <f>IFERROR(__xludf.DUMMYFUNCTION("""COMPUTED_VALUE"""),1385.0)</f>
        <v>1385</v>
      </c>
      <c r="E767" s="2">
        <f>IFERROR(__xludf.DUMMYFUNCTION("""COMPUTED_VALUE"""),1390.0)</f>
        <v>1390</v>
      </c>
      <c r="F767" s="2">
        <f>IFERROR(__xludf.DUMMYFUNCTION("""COMPUTED_VALUE"""),2963500.0)</f>
        <v>2963500</v>
      </c>
      <c r="G767" s="2">
        <f t="shared" si="1"/>
        <v>25</v>
      </c>
    </row>
    <row r="768" ht="15.75" customHeight="1">
      <c r="A768" s="1">
        <f>IFERROR(__xludf.DUMMYFUNCTION("""COMPUTED_VALUE"""),44972.66666666667)</f>
        <v>44972.66667</v>
      </c>
      <c r="B768" s="2">
        <f>IFERROR(__xludf.DUMMYFUNCTION("""COMPUTED_VALUE"""),1390.0)</f>
        <v>1390</v>
      </c>
      <c r="C768" s="2">
        <f>IFERROR(__xludf.DUMMYFUNCTION("""COMPUTED_VALUE"""),1395.0)</f>
        <v>1395</v>
      </c>
      <c r="D768" s="2">
        <f>IFERROR(__xludf.DUMMYFUNCTION("""COMPUTED_VALUE"""),1385.0)</f>
        <v>1385</v>
      </c>
      <c r="E768" s="2">
        <f>IFERROR(__xludf.DUMMYFUNCTION("""COMPUTED_VALUE"""),1390.0)</f>
        <v>1390</v>
      </c>
      <c r="F768" s="2">
        <f>IFERROR(__xludf.DUMMYFUNCTION("""COMPUTED_VALUE"""),2889700.0)</f>
        <v>2889700</v>
      </c>
      <c r="G768" s="2">
        <f t="shared" si="1"/>
        <v>10</v>
      </c>
    </row>
    <row r="769" ht="15.75" customHeight="1">
      <c r="A769" s="1">
        <f>IFERROR(__xludf.DUMMYFUNCTION("""COMPUTED_VALUE"""),44973.66666666667)</f>
        <v>44973.66667</v>
      </c>
      <c r="B769" s="2">
        <f>IFERROR(__xludf.DUMMYFUNCTION("""COMPUTED_VALUE"""),1390.0)</f>
        <v>1390</v>
      </c>
      <c r="C769" s="2">
        <f>IFERROR(__xludf.DUMMYFUNCTION("""COMPUTED_VALUE"""),1395.0)</f>
        <v>1395</v>
      </c>
      <c r="D769" s="2">
        <f>IFERROR(__xludf.DUMMYFUNCTION("""COMPUTED_VALUE"""),1385.0)</f>
        <v>1385</v>
      </c>
      <c r="E769" s="2">
        <f>IFERROR(__xludf.DUMMYFUNCTION("""COMPUTED_VALUE"""),1390.0)</f>
        <v>1390</v>
      </c>
      <c r="F769" s="2">
        <f>IFERROR(__xludf.DUMMYFUNCTION("""COMPUTED_VALUE"""),1937500.0)</f>
        <v>1937500</v>
      </c>
      <c r="G769" s="2">
        <f t="shared" si="1"/>
        <v>10</v>
      </c>
    </row>
    <row r="770" ht="15.75" customHeight="1">
      <c r="A770" s="1">
        <f>IFERROR(__xludf.DUMMYFUNCTION("""COMPUTED_VALUE"""),44974.66666666667)</f>
        <v>44974.66667</v>
      </c>
      <c r="B770" s="2">
        <f>IFERROR(__xludf.DUMMYFUNCTION("""COMPUTED_VALUE"""),1390.0)</f>
        <v>1390</v>
      </c>
      <c r="C770" s="2">
        <f>IFERROR(__xludf.DUMMYFUNCTION("""COMPUTED_VALUE"""),1395.0)</f>
        <v>1395</v>
      </c>
      <c r="D770" s="2">
        <f>IFERROR(__xludf.DUMMYFUNCTION("""COMPUTED_VALUE"""),1385.0)</f>
        <v>1385</v>
      </c>
      <c r="E770" s="2">
        <f>IFERROR(__xludf.DUMMYFUNCTION("""COMPUTED_VALUE"""),1395.0)</f>
        <v>1395</v>
      </c>
      <c r="F770" s="2">
        <f>IFERROR(__xludf.DUMMYFUNCTION("""COMPUTED_VALUE"""),1316500.0)</f>
        <v>1316500</v>
      </c>
      <c r="G770" s="2">
        <f t="shared" si="1"/>
        <v>10</v>
      </c>
    </row>
    <row r="771" ht="15.75" customHeight="1">
      <c r="A771" s="1">
        <f>IFERROR(__xludf.DUMMYFUNCTION("""COMPUTED_VALUE"""),44977.66666666667)</f>
        <v>44977.66667</v>
      </c>
      <c r="B771" s="2">
        <f>IFERROR(__xludf.DUMMYFUNCTION("""COMPUTED_VALUE"""),1400.0)</f>
        <v>1400</v>
      </c>
      <c r="C771" s="2">
        <f>IFERROR(__xludf.DUMMYFUNCTION("""COMPUTED_VALUE"""),1410.0)</f>
        <v>1410</v>
      </c>
      <c r="D771" s="2">
        <f>IFERROR(__xludf.DUMMYFUNCTION("""COMPUTED_VALUE"""),1390.0)</f>
        <v>1390</v>
      </c>
      <c r="E771" s="2">
        <f>IFERROR(__xludf.DUMMYFUNCTION("""COMPUTED_VALUE"""),1390.0)</f>
        <v>1390</v>
      </c>
      <c r="F771" s="2">
        <f>IFERROR(__xludf.DUMMYFUNCTION("""COMPUTED_VALUE"""),5427500.0)</f>
        <v>5427500</v>
      </c>
      <c r="G771" s="2">
        <f t="shared" si="1"/>
        <v>20</v>
      </c>
    </row>
    <row r="772" ht="15.75" customHeight="1">
      <c r="A772" s="1">
        <f>IFERROR(__xludf.DUMMYFUNCTION("""COMPUTED_VALUE"""),44978.66666666667)</f>
        <v>44978.66667</v>
      </c>
      <c r="B772" s="2">
        <f>IFERROR(__xludf.DUMMYFUNCTION("""COMPUTED_VALUE"""),1390.0)</f>
        <v>1390</v>
      </c>
      <c r="C772" s="2">
        <f>IFERROR(__xludf.DUMMYFUNCTION("""COMPUTED_VALUE"""),1400.0)</f>
        <v>1400</v>
      </c>
      <c r="D772" s="2">
        <f>IFERROR(__xludf.DUMMYFUNCTION("""COMPUTED_VALUE"""),1385.0)</f>
        <v>1385</v>
      </c>
      <c r="E772" s="2">
        <f>IFERROR(__xludf.DUMMYFUNCTION("""COMPUTED_VALUE"""),1390.0)</f>
        <v>1390</v>
      </c>
      <c r="F772" s="2">
        <f>IFERROR(__xludf.DUMMYFUNCTION("""COMPUTED_VALUE"""),2882800.0)</f>
        <v>2882800</v>
      </c>
      <c r="G772" s="2">
        <f t="shared" si="1"/>
        <v>15</v>
      </c>
    </row>
    <row r="773" ht="15.75" customHeight="1">
      <c r="A773" s="1">
        <f>IFERROR(__xludf.DUMMYFUNCTION("""COMPUTED_VALUE"""),44979.66666666667)</f>
        <v>44979.66667</v>
      </c>
      <c r="B773" s="2">
        <f>IFERROR(__xludf.DUMMYFUNCTION("""COMPUTED_VALUE"""),1390.0)</f>
        <v>1390</v>
      </c>
      <c r="C773" s="2">
        <f>IFERROR(__xludf.DUMMYFUNCTION("""COMPUTED_VALUE"""),1400.0)</f>
        <v>1400</v>
      </c>
      <c r="D773" s="2">
        <f>IFERROR(__xludf.DUMMYFUNCTION("""COMPUTED_VALUE"""),1380.0)</f>
        <v>1380</v>
      </c>
      <c r="E773" s="2">
        <f>IFERROR(__xludf.DUMMYFUNCTION("""COMPUTED_VALUE"""),1390.0)</f>
        <v>1390</v>
      </c>
      <c r="F773" s="2">
        <f>IFERROR(__xludf.DUMMYFUNCTION("""COMPUTED_VALUE"""),5352400.0)</f>
        <v>5352400</v>
      </c>
      <c r="G773" s="2">
        <f t="shared" si="1"/>
        <v>20</v>
      </c>
    </row>
    <row r="774" ht="15.75" customHeight="1">
      <c r="A774" s="1">
        <f>IFERROR(__xludf.DUMMYFUNCTION("""COMPUTED_VALUE"""),44980.66666666667)</f>
        <v>44980.66667</v>
      </c>
      <c r="B774" s="2">
        <f>IFERROR(__xludf.DUMMYFUNCTION("""COMPUTED_VALUE"""),1385.0)</f>
        <v>1385</v>
      </c>
      <c r="C774" s="2">
        <f>IFERROR(__xludf.DUMMYFUNCTION("""COMPUTED_VALUE"""),1395.0)</f>
        <v>1395</v>
      </c>
      <c r="D774" s="2">
        <f>IFERROR(__xludf.DUMMYFUNCTION("""COMPUTED_VALUE"""),1385.0)</f>
        <v>1385</v>
      </c>
      <c r="E774" s="2">
        <f>IFERROR(__xludf.DUMMYFUNCTION("""COMPUTED_VALUE"""),1395.0)</f>
        <v>1395</v>
      </c>
      <c r="F774" s="2">
        <f>IFERROR(__xludf.DUMMYFUNCTION("""COMPUTED_VALUE"""),2676300.0)</f>
        <v>2676300</v>
      </c>
      <c r="G774" s="2">
        <f t="shared" si="1"/>
        <v>10</v>
      </c>
    </row>
    <row r="775" ht="15.75" customHeight="1">
      <c r="A775" s="1">
        <f>IFERROR(__xludf.DUMMYFUNCTION("""COMPUTED_VALUE"""),44981.66666666667)</f>
        <v>44981.66667</v>
      </c>
      <c r="B775" s="2">
        <f>IFERROR(__xludf.DUMMYFUNCTION("""COMPUTED_VALUE"""),1395.0)</f>
        <v>1395</v>
      </c>
      <c r="C775" s="2">
        <f>IFERROR(__xludf.DUMMYFUNCTION("""COMPUTED_VALUE"""),1400.0)</f>
        <v>1400</v>
      </c>
      <c r="D775" s="2">
        <f>IFERROR(__xludf.DUMMYFUNCTION("""COMPUTED_VALUE"""),1385.0)</f>
        <v>1385</v>
      </c>
      <c r="E775" s="2">
        <f>IFERROR(__xludf.DUMMYFUNCTION("""COMPUTED_VALUE"""),1390.0)</f>
        <v>1390</v>
      </c>
      <c r="F775" s="2">
        <f>IFERROR(__xludf.DUMMYFUNCTION("""COMPUTED_VALUE"""),4162000.0)</f>
        <v>4162000</v>
      </c>
      <c r="G775" s="2">
        <f t="shared" si="1"/>
        <v>15</v>
      </c>
    </row>
    <row r="776" ht="15.75" customHeight="1">
      <c r="A776" s="1">
        <f>IFERROR(__xludf.DUMMYFUNCTION("""COMPUTED_VALUE"""),44984.66666666667)</f>
        <v>44984.66667</v>
      </c>
      <c r="B776" s="2">
        <f>IFERROR(__xludf.DUMMYFUNCTION("""COMPUTED_VALUE"""),1390.0)</f>
        <v>1390</v>
      </c>
      <c r="C776" s="2">
        <f>IFERROR(__xludf.DUMMYFUNCTION("""COMPUTED_VALUE"""),1390.0)</f>
        <v>1390</v>
      </c>
      <c r="D776" s="2">
        <f>IFERROR(__xludf.DUMMYFUNCTION("""COMPUTED_VALUE"""),1370.0)</f>
        <v>1370</v>
      </c>
      <c r="E776" s="2">
        <f>IFERROR(__xludf.DUMMYFUNCTION("""COMPUTED_VALUE"""),1380.0)</f>
        <v>1380</v>
      </c>
      <c r="F776" s="2">
        <f>IFERROR(__xludf.DUMMYFUNCTION("""COMPUTED_VALUE"""),9347600.0)</f>
        <v>9347600</v>
      </c>
      <c r="G776" s="2">
        <f t="shared" si="1"/>
        <v>20</v>
      </c>
    </row>
    <row r="777" ht="15.75" customHeight="1">
      <c r="A777" s="1">
        <f>IFERROR(__xludf.DUMMYFUNCTION("""COMPUTED_VALUE"""),44985.66666666667)</f>
        <v>44985.66667</v>
      </c>
      <c r="B777" s="2">
        <f>IFERROR(__xludf.DUMMYFUNCTION("""COMPUTED_VALUE"""),1380.0)</f>
        <v>1380</v>
      </c>
      <c r="C777" s="2">
        <f>IFERROR(__xludf.DUMMYFUNCTION("""COMPUTED_VALUE"""),1380.0)</f>
        <v>1380</v>
      </c>
      <c r="D777" s="2">
        <f>IFERROR(__xludf.DUMMYFUNCTION("""COMPUTED_VALUE"""),1320.0)</f>
        <v>1320</v>
      </c>
      <c r="E777" s="2">
        <f>IFERROR(__xludf.DUMMYFUNCTION("""COMPUTED_VALUE"""),1320.0)</f>
        <v>1320</v>
      </c>
      <c r="F777" s="2">
        <f>IFERROR(__xludf.DUMMYFUNCTION("""COMPUTED_VALUE"""),2.72356E7)</f>
        <v>27235600</v>
      </c>
      <c r="G777" s="2">
        <f t="shared" si="1"/>
        <v>60</v>
      </c>
    </row>
    <row r="778" ht="15.75" customHeight="1">
      <c r="A778" s="1">
        <f>IFERROR(__xludf.DUMMYFUNCTION("""COMPUTED_VALUE"""),44986.66666666667)</f>
        <v>44986.66667</v>
      </c>
      <c r="B778" s="2">
        <f>IFERROR(__xludf.DUMMYFUNCTION("""COMPUTED_VALUE"""),1325.0)</f>
        <v>1325</v>
      </c>
      <c r="C778" s="2">
        <f>IFERROR(__xludf.DUMMYFUNCTION("""COMPUTED_VALUE"""),1355.0)</f>
        <v>1355</v>
      </c>
      <c r="D778" s="2">
        <f>IFERROR(__xludf.DUMMYFUNCTION("""COMPUTED_VALUE"""),1325.0)</f>
        <v>1325</v>
      </c>
      <c r="E778" s="2">
        <f>IFERROR(__xludf.DUMMYFUNCTION("""COMPUTED_VALUE"""),1350.0)</f>
        <v>1350</v>
      </c>
      <c r="F778" s="2">
        <f>IFERROR(__xludf.DUMMYFUNCTION("""COMPUTED_VALUE"""),9435500.0)</f>
        <v>9435500</v>
      </c>
      <c r="G778" s="2">
        <f t="shared" si="1"/>
        <v>35</v>
      </c>
    </row>
    <row r="779" ht="15.75" customHeight="1">
      <c r="A779" s="1">
        <f>IFERROR(__xludf.DUMMYFUNCTION("""COMPUTED_VALUE"""),44987.66666666667)</f>
        <v>44987.66667</v>
      </c>
      <c r="B779" s="2">
        <f>IFERROR(__xludf.DUMMYFUNCTION("""COMPUTED_VALUE"""),1350.0)</f>
        <v>1350</v>
      </c>
      <c r="C779" s="2">
        <f>IFERROR(__xludf.DUMMYFUNCTION("""COMPUTED_VALUE"""),1365.0)</f>
        <v>1365</v>
      </c>
      <c r="D779" s="2">
        <f>IFERROR(__xludf.DUMMYFUNCTION("""COMPUTED_VALUE"""),1340.0)</f>
        <v>1340</v>
      </c>
      <c r="E779" s="2">
        <f>IFERROR(__xludf.DUMMYFUNCTION("""COMPUTED_VALUE"""),1355.0)</f>
        <v>1355</v>
      </c>
      <c r="F779" s="2">
        <f>IFERROR(__xludf.DUMMYFUNCTION("""COMPUTED_VALUE"""),5675900.0)</f>
        <v>5675900</v>
      </c>
      <c r="G779" s="2">
        <f t="shared" si="1"/>
        <v>25</v>
      </c>
    </row>
    <row r="780" ht="15.75" customHeight="1">
      <c r="A780" s="1">
        <f>IFERROR(__xludf.DUMMYFUNCTION("""COMPUTED_VALUE"""),44988.66666666667)</f>
        <v>44988.66667</v>
      </c>
      <c r="B780" s="2">
        <f>IFERROR(__xludf.DUMMYFUNCTION("""COMPUTED_VALUE"""),1355.0)</f>
        <v>1355</v>
      </c>
      <c r="C780" s="2">
        <f>IFERROR(__xludf.DUMMYFUNCTION("""COMPUTED_VALUE"""),1365.0)</f>
        <v>1365</v>
      </c>
      <c r="D780" s="2">
        <f>IFERROR(__xludf.DUMMYFUNCTION("""COMPUTED_VALUE"""),1355.0)</f>
        <v>1355</v>
      </c>
      <c r="E780" s="2">
        <f>IFERROR(__xludf.DUMMYFUNCTION("""COMPUTED_VALUE"""),1360.0)</f>
        <v>1360</v>
      </c>
      <c r="F780" s="2">
        <f>IFERROR(__xludf.DUMMYFUNCTION("""COMPUTED_VALUE"""),2576700.0)</f>
        <v>2576700</v>
      </c>
      <c r="G780" s="2">
        <f t="shared" si="1"/>
        <v>10</v>
      </c>
    </row>
    <row r="781" ht="15.75" customHeight="1">
      <c r="A781" s="1">
        <f>IFERROR(__xludf.DUMMYFUNCTION("""COMPUTED_VALUE"""),44991.66666666667)</f>
        <v>44991.66667</v>
      </c>
      <c r="B781" s="2">
        <f>IFERROR(__xludf.DUMMYFUNCTION("""COMPUTED_VALUE"""),1360.0)</f>
        <v>1360</v>
      </c>
      <c r="C781" s="2">
        <f>IFERROR(__xludf.DUMMYFUNCTION("""COMPUTED_VALUE"""),1370.0)</f>
        <v>1370</v>
      </c>
      <c r="D781" s="2">
        <f>IFERROR(__xludf.DUMMYFUNCTION("""COMPUTED_VALUE"""),1355.0)</f>
        <v>1355</v>
      </c>
      <c r="E781" s="2">
        <f>IFERROR(__xludf.DUMMYFUNCTION("""COMPUTED_VALUE"""),1355.0)</f>
        <v>1355</v>
      </c>
      <c r="F781" s="2">
        <f>IFERROR(__xludf.DUMMYFUNCTION("""COMPUTED_VALUE"""),4201400.0)</f>
        <v>4201400</v>
      </c>
      <c r="G781" s="2">
        <f t="shared" si="1"/>
        <v>15</v>
      </c>
    </row>
    <row r="782" ht="15.75" customHeight="1">
      <c r="A782" s="1">
        <f>IFERROR(__xludf.DUMMYFUNCTION("""COMPUTED_VALUE"""),44992.66666666667)</f>
        <v>44992.66667</v>
      </c>
      <c r="B782" s="2">
        <f>IFERROR(__xludf.DUMMYFUNCTION("""COMPUTED_VALUE"""),1355.0)</f>
        <v>1355</v>
      </c>
      <c r="C782" s="2">
        <f>IFERROR(__xludf.DUMMYFUNCTION("""COMPUTED_VALUE"""),1365.0)</f>
        <v>1365</v>
      </c>
      <c r="D782" s="2">
        <f>IFERROR(__xludf.DUMMYFUNCTION("""COMPUTED_VALUE"""),1345.0)</f>
        <v>1345</v>
      </c>
      <c r="E782" s="2">
        <f>IFERROR(__xludf.DUMMYFUNCTION("""COMPUTED_VALUE"""),1350.0)</f>
        <v>1350</v>
      </c>
      <c r="F782" s="2">
        <f>IFERROR(__xludf.DUMMYFUNCTION("""COMPUTED_VALUE"""),5395900.0)</f>
        <v>5395900</v>
      </c>
      <c r="G782" s="2">
        <f t="shared" si="1"/>
        <v>20</v>
      </c>
    </row>
    <row r="783" ht="15.75" customHeight="1">
      <c r="A783" s="1">
        <f>IFERROR(__xludf.DUMMYFUNCTION("""COMPUTED_VALUE"""),44993.66666666667)</f>
        <v>44993.66667</v>
      </c>
      <c r="B783" s="2">
        <f>IFERROR(__xludf.DUMMYFUNCTION("""COMPUTED_VALUE"""),1350.0)</f>
        <v>1350</v>
      </c>
      <c r="C783" s="2">
        <f>IFERROR(__xludf.DUMMYFUNCTION("""COMPUTED_VALUE"""),1350.0)</f>
        <v>1350</v>
      </c>
      <c r="D783" s="2">
        <f>IFERROR(__xludf.DUMMYFUNCTION("""COMPUTED_VALUE"""),1335.0)</f>
        <v>1335</v>
      </c>
      <c r="E783" s="2">
        <f>IFERROR(__xludf.DUMMYFUNCTION("""COMPUTED_VALUE"""),1340.0)</f>
        <v>1340</v>
      </c>
      <c r="F783" s="2">
        <f>IFERROR(__xludf.DUMMYFUNCTION("""COMPUTED_VALUE"""),5353800.0)</f>
        <v>5353800</v>
      </c>
      <c r="G783" s="2">
        <f t="shared" si="1"/>
        <v>15</v>
      </c>
    </row>
    <row r="784" ht="15.75" customHeight="1">
      <c r="A784" s="1">
        <f>IFERROR(__xludf.DUMMYFUNCTION("""COMPUTED_VALUE"""),44994.66666666667)</f>
        <v>44994.66667</v>
      </c>
      <c r="B784" s="2">
        <f>IFERROR(__xludf.DUMMYFUNCTION("""COMPUTED_VALUE"""),1345.0)</f>
        <v>1345</v>
      </c>
      <c r="C784" s="2">
        <f>IFERROR(__xludf.DUMMYFUNCTION("""COMPUTED_VALUE"""),1355.0)</f>
        <v>1355</v>
      </c>
      <c r="D784" s="2">
        <f>IFERROR(__xludf.DUMMYFUNCTION("""COMPUTED_VALUE"""),1345.0)</f>
        <v>1345</v>
      </c>
      <c r="E784" s="2">
        <f>IFERROR(__xludf.DUMMYFUNCTION("""COMPUTED_VALUE"""),1350.0)</f>
        <v>1350</v>
      </c>
      <c r="F784" s="2">
        <f>IFERROR(__xludf.DUMMYFUNCTION("""COMPUTED_VALUE"""),1820400.0)</f>
        <v>1820400</v>
      </c>
      <c r="G784" s="2">
        <f t="shared" si="1"/>
        <v>15</v>
      </c>
    </row>
    <row r="785" ht="15.75" customHeight="1">
      <c r="A785" s="1">
        <f>IFERROR(__xludf.DUMMYFUNCTION("""COMPUTED_VALUE"""),44995.66666666667)</f>
        <v>44995.66667</v>
      </c>
      <c r="B785" s="2">
        <f>IFERROR(__xludf.DUMMYFUNCTION("""COMPUTED_VALUE"""),1350.0)</f>
        <v>1350</v>
      </c>
      <c r="C785" s="2">
        <f>IFERROR(__xludf.DUMMYFUNCTION("""COMPUTED_VALUE"""),1350.0)</f>
        <v>1350</v>
      </c>
      <c r="D785" s="2">
        <f>IFERROR(__xludf.DUMMYFUNCTION("""COMPUTED_VALUE"""),1340.0)</f>
        <v>1340</v>
      </c>
      <c r="E785" s="2">
        <f>IFERROR(__xludf.DUMMYFUNCTION("""COMPUTED_VALUE"""),1340.0)</f>
        <v>1340</v>
      </c>
      <c r="F785" s="2">
        <f>IFERROR(__xludf.DUMMYFUNCTION("""COMPUTED_VALUE"""),3753200.0)</f>
        <v>3753200</v>
      </c>
      <c r="G785" s="2">
        <f t="shared" si="1"/>
        <v>10</v>
      </c>
    </row>
    <row r="786" ht="15.75" customHeight="1">
      <c r="A786" s="1">
        <f>IFERROR(__xludf.DUMMYFUNCTION("""COMPUTED_VALUE"""),44998.66666666667)</f>
        <v>44998.66667</v>
      </c>
      <c r="B786" s="2">
        <f>IFERROR(__xludf.DUMMYFUNCTION("""COMPUTED_VALUE"""),1340.0)</f>
        <v>1340</v>
      </c>
      <c r="C786" s="2">
        <f>IFERROR(__xludf.DUMMYFUNCTION("""COMPUTED_VALUE"""),1345.0)</f>
        <v>1345</v>
      </c>
      <c r="D786" s="2">
        <f>IFERROR(__xludf.DUMMYFUNCTION("""COMPUTED_VALUE"""),1330.0)</f>
        <v>1330</v>
      </c>
      <c r="E786" s="2">
        <f>IFERROR(__xludf.DUMMYFUNCTION("""COMPUTED_VALUE"""),1345.0)</f>
        <v>1345</v>
      </c>
      <c r="F786" s="2">
        <f>IFERROR(__xludf.DUMMYFUNCTION("""COMPUTED_VALUE"""),3456200.0)</f>
        <v>3456200</v>
      </c>
      <c r="G786" s="2">
        <f t="shared" si="1"/>
        <v>15</v>
      </c>
    </row>
    <row r="787" ht="15.75" customHeight="1">
      <c r="A787" s="1">
        <f>IFERROR(__xludf.DUMMYFUNCTION("""COMPUTED_VALUE"""),44999.66666666667)</f>
        <v>44999.66667</v>
      </c>
      <c r="B787" s="2">
        <f>IFERROR(__xludf.DUMMYFUNCTION("""COMPUTED_VALUE"""),1345.0)</f>
        <v>1345</v>
      </c>
      <c r="C787" s="2">
        <f>IFERROR(__xludf.DUMMYFUNCTION("""COMPUTED_VALUE"""),1355.0)</f>
        <v>1355</v>
      </c>
      <c r="D787" s="2">
        <f>IFERROR(__xludf.DUMMYFUNCTION("""COMPUTED_VALUE"""),1330.0)</f>
        <v>1330</v>
      </c>
      <c r="E787" s="2">
        <f>IFERROR(__xludf.DUMMYFUNCTION("""COMPUTED_VALUE"""),1330.0)</f>
        <v>1330</v>
      </c>
      <c r="F787" s="2">
        <f>IFERROR(__xludf.DUMMYFUNCTION("""COMPUTED_VALUE"""),5278900.0)</f>
        <v>5278900</v>
      </c>
      <c r="G787" s="2">
        <f t="shared" si="1"/>
        <v>25</v>
      </c>
    </row>
    <row r="788" ht="15.75" customHeight="1">
      <c r="A788" s="1">
        <f>IFERROR(__xludf.DUMMYFUNCTION("""COMPUTED_VALUE"""),45000.66666666667)</f>
        <v>45000.66667</v>
      </c>
      <c r="B788" s="2">
        <f>IFERROR(__xludf.DUMMYFUNCTION("""COMPUTED_VALUE"""),1330.0)</f>
        <v>1330</v>
      </c>
      <c r="C788" s="2">
        <f>IFERROR(__xludf.DUMMYFUNCTION("""COMPUTED_VALUE"""),1340.0)</f>
        <v>1340</v>
      </c>
      <c r="D788" s="2">
        <f>IFERROR(__xludf.DUMMYFUNCTION("""COMPUTED_VALUE"""),1320.0)</f>
        <v>1320</v>
      </c>
      <c r="E788" s="2">
        <f>IFERROR(__xludf.DUMMYFUNCTION("""COMPUTED_VALUE"""),1320.0)</f>
        <v>1320</v>
      </c>
      <c r="F788" s="2">
        <f>IFERROR(__xludf.DUMMYFUNCTION("""COMPUTED_VALUE"""),4720500.0)</f>
        <v>4720500</v>
      </c>
      <c r="G788" s="2">
        <f t="shared" si="1"/>
        <v>20</v>
      </c>
    </row>
    <row r="789" ht="15.75" customHeight="1">
      <c r="A789" s="1">
        <f>IFERROR(__xludf.DUMMYFUNCTION("""COMPUTED_VALUE"""),45001.66666666667)</f>
        <v>45001.66667</v>
      </c>
      <c r="B789" s="2">
        <f>IFERROR(__xludf.DUMMYFUNCTION("""COMPUTED_VALUE"""),1320.0)</f>
        <v>1320</v>
      </c>
      <c r="C789" s="2">
        <f>IFERROR(__xludf.DUMMYFUNCTION("""COMPUTED_VALUE"""),1320.0)</f>
        <v>1320</v>
      </c>
      <c r="D789" s="2">
        <f>IFERROR(__xludf.DUMMYFUNCTION("""COMPUTED_VALUE"""),1280.0)</f>
        <v>1280</v>
      </c>
      <c r="E789" s="2">
        <f>IFERROR(__xludf.DUMMYFUNCTION("""COMPUTED_VALUE"""),1280.0)</f>
        <v>1280</v>
      </c>
      <c r="F789" s="2">
        <f>IFERROR(__xludf.DUMMYFUNCTION("""COMPUTED_VALUE"""),1.28199E7)</f>
        <v>12819900</v>
      </c>
      <c r="G789" s="2">
        <f t="shared" si="1"/>
        <v>40</v>
      </c>
    </row>
    <row r="790" ht="15.75" customHeight="1">
      <c r="A790" s="1">
        <f>IFERROR(__xludf.DUMMYFUNCTION("""COMPUTED_VALUE"""),45002.66666666667)</f>
        <v>45002.66667</v>
      </c>
      <c r="B790" s="2">
        <f>IFERROR(__xludf.DUMMYFUNCTION("""COMPUTED_VALUE"""),1295.0)</f>
        <v>1295</v>
      </c>
      <c r="C790" s="2">
        <f>IFERROR(__xludf.DUMMYFUNCTION("""COMPUTED_VALUE"""),1315.0)</f>
        <v>1315</v>
      </c>
      <c r="D790" s="2">
        <f>IFERROR(__xludf.DUMMYFUNCTION("""COMPUTED_VALUE"""),1280.0)</f>
        <v>1280</v>
      </c>
      <c r="E790" s="2">
        <f>IFERROR(__xludf.DUMMYFUNCTION("""COMPUTED_VALUE"""),1310.0)</f>
        <v>1310</v>
      </c>
      <c r="F790" s="2">
        <f>IFERROR(__xludf.DUMMYFUNCTION("""COMPUTED_VALUE"""),6495200.0)</f>
        <v>6495200</v>
      </c>
      <c r="G790" s="2">
        <f t="shared" si="1"/>
        <v>35</v>
      </c>
    </row>
    <row r="791" ht="15.75" customHeight="1">
      <c r="A791" s="1">
        <f>IFERROR(__xludf.DUMMYFUNCTION("""COMPUTED_VALUE"""),45005.66666666667)</f>
        <v>45005.66667</v>
      </c>
      <c r="B791" s="2">
        <f>IFERROR(__xludf.DUMMYFUNCTION("""COMPUTED_VALUE"""),1310.0)</f>
        <v>1310</v>
      </c>
      <c r="C791" s="2">
        <f>IFERROR(__xludf.DUMMYFUNCTION("""COMPUTED_VALUE"""),1325.0)</f>
        <v>1325</v>
      </c>
      <c r="D791" s="2">
        <f>IFERROR(__xludf.DUMMYFUNCTION("""COMPUTED_VALUE"""),1305.0)</f>
        <v>1305</v>
      </c>
      <c r="E791" s="2">
        <f>IFERROR(__xludf.DUMMYFUNCTION("""COMPUTED_VALUE"""),1310.0)</f>
        <v>1310</v>
      </c>
      <c r="F791" s="2">
        <f>IFERROR(__xludf.DUMMYFUNCTION("""COMPUTED_VALUE"""),1313500.0)</f>
        <v>1313500</v>
      </c>
      <c r="G791" s="2">
        <f t="shared" si="1"/>
        <v>20</v>
      </c>
    </row>
    <row r="792" ht="15.75" customHeight="1">
      <c r="A792" s="1">
        <f>IFERROR(__xludf.DUMMYFUNCTION("""COMPUTED_VALUE"""),45006.66666666667)</f>
        <v>45006.66667</v>
      </c>
      <c r="B792" s="2">
        <f>IFERROR(__xludf.DUMMYFUNCTION("""COMPUTED_VALUE"""),1315.0)</f>
        <v>1315</v>
      </c>
      <c r="C792" s="2">
        <f>IFERROR(__xludf.DUMMYFUNCTION("""COMPUTED_VALUE"""),1330.0)</f>
        <v>1330</v>
      </c>
      <c r="D792" s="2">
        <f>IFERROR(__xludf.DUMMYFUNCTION("""COMPUTED_VALUE"""),1310.0)</f>
        <v>1310</v>
      </c>
      <c r="E792" s="2">
        <f>IFERROR(__xludf.DUMMYFUNCTION("""COMPUTED_VALUE"""),1330.0)</f>
        <v>1330</v>
      </c>
      <c r="F792" s="2">
        <f>IFERROR(__xludf.DUMMYFUNCTION("""COMPUTED_VALUE"""),1142400.0)</f>
        <v>1142400</v>
      </c>
      <c r="G792" s="2">
        <f t="shared" si="1"/>
        <v>20</v>
      </c>
    </row>
    <row r="793" ht="15.75" customHeight="1">
      <c r="A793" s="1">
        <f>IFERROR(__xludf.DUMMYFUNCTION("""COMPUTED_VALUE"""),45009.66666666667)</f>
        <v>45009.66667</v>
      </c>
      <c r="B793" s="2">
        <f>IFERROR(__xludf.DUMMYFUNCTION("""COMPUTED_VALUE"""),1330.0)</f>
        <v>1330</v>
      </c>
      <c r="C793" s="2">
        <f>IFERROR(__xludf.DUMMYFUNCTION("""COMPUTED_VALUE"""),1345.0)</f>
        <v>1345</v>
      </c>
      <c r="D793" s="2">
        <f>IFERROR(__xludf.DUMMYFUNCTION("""COMPUTED_VALUE"""),1325.0)</f>
        <v>1325</v>
      </c>
      <c r="E793" s="2">
        <f>IFERROR(__xludf.DUMMYFUNCTION("""COMPUTED_VALUE"""),1335.0)</f>
        <v>1335</v>
      </c>
      <c r="F793" s="2">
        <f>IFERROR(__xludf.DUMMYFUNCTION("""COMPUTED_VALUE"""),4011900.0)</f>
        <v>4011900</v>
      </c>
      <c r="G793" s="2">
        <f t="shared" si="1"/>
        <v>20</v>
      </c>
    </row>
    <row r="794" ht="15.75" customHeight="1">
      <c r="A794" s="1">
        <f>IFERROR(__xludf.DUMMYFUNCTION("""COMPUTED_VALUE"""),45012.66666666667)</f>
        <v>45012.66667</v>
      </c>
      <c r="B794" s="2">
        <f>IFERROR(__xludf.DUMMYFUNCTION("""COMPUTED_VALUE"""),1360.0)</f>
        <v>1360</v>
      </c>
      <c r="C794" s="2">
        <f>IFERROR(__xludf.DUMMYFUNCTION("""COMPUTED_VALUE"""),1360.0)</f>
        <v>1360</v>
      </c>
      <c r="D794" s="2">
        <f>IFERROR(__xludf.DUMMYFUNCTION("""COMPUTED_VALUE"""),1340.0)</f>
        <v>1340</v>
      </c>
      <c r="E794" s="2">
        <f>IFERROR(__xludf.DUMMYFUNCTION("""COMPUTED_VALUE"""),1350.0)</f>
        <v>1350</v>
      </c>
      <c r="F794" s="2">
        <f>IFERROR(__xludf.DUMMYFUNCTION("""COMPUTED_VALUE"""),4598300.0)</f>
        <v>4598300</v>
      </c>
      <c r="G794" s="2">
        <f t="shared" si="1"/>
        <v>25</v>
      </c>
    </row>
    <row r="795" ht="15.75" customHeight="1">
      <c r="A795" s="1">
        <f>IFERROR(__xludf.DUMMYFUNCTION("""COMPUTED_VALUE"""),45013.66666666667)</f>
        <v>45013.66667</v>
      </c>
      <c r="B795" s="2">
        <f>IFERROR(__xludf.DUMMYFUNCTION("""COMPUTED_VALUE"""),1355.0)</f>
        <v>1355</v>
      </c>
      <c r="C795" s="2">
        <f>IFERROR(__xludf.DUMMYFUNCTION("""COMPUTED_VALUE"""),1360.0)</f>
        <v>1360</v>
      </c>
      <c r="D795" s="2">
        <f>IFERROR(__xludf.DUMMYFUNCTION("""COMPUTED_VALUE"""),1340.0)</f>
        <v>1340</v>
      </c>
      <c r="E795" s="2">
        <f>IFERROR(__xludf.DUMMYFUNCTION("""COMPUTED_VALUE"""),1350.0)</f>
        <v>1350</v>
      </c>
      <c r="F795" s="2">
        <f>IFERROR(__xludf.DUMMYFUNCTION("""COMPUTED_VALUE"""),7397700.0)</f>
        <v>7397700</v>
      </c>
      <c r="G795" s="2">
        <f t="shared" si="1"/>
        <v>20</v>
      </c>
    </row>
    <row r="796" ht="15.75" customHeight="1">
      <c r="A796" s="1">
        <f>IFERROR(__xludf.DUMMYFUNCTION("""COMPUTED_VALUE"""),45014.66666666667)</f>
        <v>45014.66667</v>
      </c>
      <c r="B796" s="2">
        <f>IFERROR(__xludf.DUMMYFUNCTION("""COMPUTED_VALUE"""),1355.0)</f>
        <v>1355</v>
      </c>
      <c r="C796" s="2">
        <f>IFERROR(__xludf.DUMMYFUNCTION("""COMPUTED_VALUE"""),1375.0)</f>
        <v>1375</v>
      </c>
      <c r="D796" s="2">
        <f>IFERROR(__xludf.DUMMYFUNCTION("""COMPUTED_VALUE"""),1345.0)</f>
        <v>1345</v>
      </c>
      <c r="E796" s="2">
        <f>IFERROR(__xludf.DUMMYFUNCTION("""COMPUTED_VALUE"""),1375.0)</f>
        <v>1375</v>
      </c>
      <c r="F796" s="2">
        <f>IFERROR(__xludf.DUMMYFUNCTION("""COMPUTED_VALUE"""),8766100.0)</f>
        <v>8766100</v>
      </c>
      <c r="G796" s="2">
        <f t="shared" si="1"/>
        <v>30</v>
      </c>
    </row>
    <row r="797" ht="15.75" customHeight="1">
      <c r="A797" s="1">
        <f>IFERROR(__xludf.DUMMYFUNCTION("""COMPUTED_VALUE"""),45015.66666666667)</f>
        <v>45015.66667</v>
      </c>
      <c r="B797" s="2">
        <f>IFERROR(__xludf.DUMMYFUNCTION("""COMPUTED_VALUE"""),1370.0)</f>
        <v>1370</v>
      </c>
      <c r="C797" s="2">
        <f>IFERROR(__xludf.DUMMYFUNCTION("""COMPUTED_VALUE"""),1380.0)</f>
        <v>1380</v>
      </c>
      <c r="D797" s="2">
        <f>IFERROR(__xludf.DUMMYFUNCTION("""COMPUTED_VALUE"""),1365.0)</f>
        <v>1365</v>
      </c>
      <c r="E797" s="2">
        <f>IFERROR(__xludf.DUMMYFUNCTION("""COMPUTED_VALUE"""),1370.0)</f>
        <v>1370</v>
      </c>
      <c r="F797" s="2">
        <f>IFERROR(__xludf.DUMMYFUNCTION("""COMPUTED_VALUE"""),4923100.0)</f>
        <v>4923100</v>
      </c>
      <c r="G797" s="2">
        <f t="shared" si="1"/>
        <v>15</v>
      </c>
    </row>
    <row r="798" ht="15.75" customHeight="1">
      <c r="A798" s="1">
        <f>IFERROR(__xludf.DUMMYFUNCTION("""COMPUTED_VALUE"""),45016.66666666667)</f>
        <v>45016.66667</v>
      </c>
      <c r="B798" s="2">
        <f>IFERROR(__xludf.DUMMYFUNCTION("""COMPUTED_VALUE"""),1370.0)</f>
        <v>1370</v>
      </c>
      <c r="C798" s="2">
        <f>IFERROR(__xludf.DUMMYFUNCTION("""COMPUTED_VALUE"""),1375.0)</f>
        <v>1375</v>
      </c>
      <c r="D798" s="2">
        <f>IFERROR(__xludf.DUMMYFUNCTION("""COMPUTED_VALUE"""),1350.0)</f>
        <v>1350</v>
      </c>
      <c r="E798" s="2">
        <f>IFERROR(__xludf.DUMMYFUNCTION("""COMPUTED_VALUE"""),1360.0)</f>
        <v>1360</v>
      </c>
      <c r="F798" s="2">
        <f>IFERROR(__xludf.DUMMYFUNCTION("""COMPUTED_VALUE"""),9204000.0)</f>
        <v>9204000</v>
      </c>
      <c r="G798" s="2">
        <f t="shared" si="1"/>
        <v>25</v>
      </c>
    </row>
    <row r="799" ht="15.75" customHeight="1">
      <c r="A799" s="1">
        <f>IFERROR(__xludf.DUMMYFUNCTION("""COMPUTED_VALUE"""),45019.66666666667)</f>
        <v>45019.66667</v>
      </c>
      <c r="B799" s="2">
        <f>IFERROR(__xludf.DUMMYFUNCTION("""COMPUTED_VALUE"""),1360.0)</f>
        <v>1360</v>
      </c>
      <c r="C799" s="2">
        <f>IFERROR(__xludf.DUMMYFUNCTION("""COMPUTED_VALUE"""),1385.0)</f>
        <v>1385</v>
      </c>
      <c r="D799" s="2">
        <f>IFERROR(__xludf.DUMMYFUNCTION("""COMPUTED_VALUE"""),1355.0)</f>
        <v>1355</v>
      </c>
      <c r="E799" s="2">
        <f>IFERROR(__xludf.DUMMYFUNCTION("""COMPUTED_VALUE"""),1375.0)</f>
        <v>1375</v>
      </c>
      <c r="F799" s="2">
        <f>IFERROR(__xludf.DUMMYFUNCTION("""COMPUTED_VALUE"""),5959700.0)</f>
        <v>5959700</v>
      </c>
      <c r="G799" s="2">
        <f t="shared" si="1"/>
        <v>30</v>
      </c>
    </row>
    <row r="800" ht="15.75" customHeight="1">
      <c r="A800" s="1">
        <f>IFERROR(__xludf.DUMMYFUNCTION("""COMPUTED_VALUE"""),45020.66666666667)</f>
        <v>45020.66667</v>
      </c>
      <c r="B800" s="2">
        <f>IFERROR(__xludf.DUMMYFUNCTION("""COMPUTED_VALUE"""),1375.0)</f>
        <v>1375</v>
      </c>
      <c r="C800" s="2">
        <f>IFERROR(__xludf.DUMMYFUNCTION("""COMPUTED_VALUE"""),1395.0)</f>
        <v>1395</v>
      </c>
      <c r="D800" s="2">
        <f>IFERROR(__xludf.DUMMYFUNCTION("""COMPUTED_VALUE"""),1375.0)</f>
        <v>1375</v>
      </c>
      <c r="E800" s="2">
        <f>IFERROR(__xludf.DUMMYFUNCTION("""COMPUTED_VALUE"""),1380.0)</f>
        <v>1380</v>
      </c>
      <c r="F800" s="2">
        <f>IFERROR(__xludf.DUMMYFUNCTION("""COMPUTED_VALUE"""),1.14223E7)</f>
        <v>11422300</v>
      </c>
      <c r="G800" s="2">
        <f t="shared" si="1"/>
        <v>20</v>
      </c>
    </row>
    <row r="801" ht="15.75" customHeight="1">
      <c r="A801" s="1">
        <f>IFERROR(__xludf.DUMMYFUNCTION("""COMPUTED_VALUE"""),45021.66666666667)</f>
        <v>45021.66667</v>
      </c>
      <c r="B801" s="2">
        <f>IFERROR(__xludf.DUMMYFUNCTION("""COMPUTED_VALUE"""),1380.0)</f>
        <v>1380</v>
      </c>
      <c r="C801" s="2">
        <f>IFERROR(__xludf.DUMMYFUNCTION("""COMPUTED_VALUE"""),1390.0)</f>
        <v>1390</v>
      </c>
      <c r="D801" s="2">
        <f>IFERROR(__xludf.DUMMYFUNCTION("""COMPUTED_VALUE"""),1375.0)</f>
        <v>1375</v>
      </c>
      <c r="E801" s="2">
        <f>IFERROR(__xludf.DUMMYFUNCTION("""COMPUTED_VALUE"""),1380.0)</f>
        <v>1380</v>
      </c>
      <c r="F801" s="2">
        <f>IFERROR(__xludf.DUMMYFUNCTION("""COMPUTED_VALUE"""),1.00626E7)</f>
        <v>10062600</v>
      </c>
      <c r="G801" s="2">
        <f t="shared" si="1"/>
        <v>15</v>
      </c>
    </row>
    <row r="802" ht="15.75" customHeight="1">
      <c r="A802" s="1">
        <f>IFERROR(__xludf.DUMMYFUNCTION("""COMPUTED_VALUE"""),45022.66666666667)</f>
        <v>45022.66667</v>
      </c>
      <c r="B802" s="2">
        <f>IFERROR(__xludf.DUMMYFUNCTION("""COMPUTED_VALUE"""),1385.0)</f>
        <v>1385</v>
      </c>
      <c r="C802" s="2">
        <f>IFERROR(__xludf.DUMMYFUNCTION("""COMPUTED_VALUE"""),1390.0)</f>
        <v>1390</v>
      </c>
      <c r="D802" s="2">
        <f>IFERROR(__xludf.DUMMYFUNCTION("""COMPUTED_VALUE"""),1380.0)</f>
        <v>1380</v>
      </c>
      <c r="E802" s="2">
        <f>IFERROR(__xludf.DUMMYFUNCTION("""COMPUTED_VALUE"""),1385.0)</f>
        <v>1385</v>
      </c>
      <c r="F802" s="2">
        <f>IFERROR(__xludf.DUMMYFUNCTION("""COMPUTED_VALUE"""),9493200.0)</f>
        <v>9493200</v>
      </c>
      <c r="G802" s="2">
        <f t="shared" si="1"/>
        <v>10</v>
      </c>
    </row>
    <row r="803" ht="15.75" customHeight="1">
      <c r="A803" s="1">
        <f>IFERROR(__xludf.DUMMYFUNCTION("""COMPUTED_VALUE"""),45026.66666666667)</f>
        <v>45026.66667</v>
      </c>
      <c r="B803" s="2">
        <f>IFERROR(__xludf.DUMMYFUNCTION("""COMPUTED_VALUE"""),1385.0)</f>
        <v>1385</v>
      </c>
      <c r="C803" s="2">
        <f>IFERROR(__xludf.DUMMYFUNCTION("""COMPUTED_VALUE"""),1395.0)</f>
        <v>1395</v>
      </c>
      <c r="D803" s="2">
        <f>IFERROR(__xludf.DUMMYFUNCTION("""COMPUTED_VALUE"""),1380.0)</f>
        <v>1380</v>
      </c>
      <c r="E803" s="2">
        <f>IFERROR(__xludf.DUMMYFUNCTION("""COMPUTED_VALUE"""),1380.0)</f>
        <v>1380</v>
      </c>
      <c r="F803" s="2">
        <f>IFERROR(__xludf.DUMMYFUNCTION("""COMPUTED_VALUE"""),9233900.0)</f>
        <v>9233900</v>
      </c>
      <c r="G803" s="2">
        <f t="shared" si="1"/>
        <v>15</v>
      </c>
    </row>
    <row r="804" ht="15.75" customHeight="1">
      <c r="A804" s="1">
        <f>IFERROR(__xludf.DUMMYFUNCTION("""COMPUTED_VALUE"""),45027.66666666667)</f>
        <v>45027.66667</v>
      </c>
      <c r="B804" s="2">
        <f>IFERROR(__xludf.DUMMYFUNCTION("""COMPUTED_VALUE"""),1380.0)</f>
        <v>1380</v>
      </c>
      <c r="C804" s="2">
        <f>IFERROR(__xludf.DUMMYFUNCTION("""COMPUTED_VALUE"""),1385.0)</f>
        <v>1385</v>
      </c>
      <c r="D804" s="2">
        <f>IFERROR(__xludf.DUMMYFUNCTION("""COMPUTED_VALUE"""),1370.0)</f>
        <v>1370</v>
      </c>
      <c r="E804" s="2">
        <f>IFERROR(__xludf.DUMMYFUNCTION("""COMPUTED_VALUE"""),1370.0)</f>
        <v>1370</v>
      </c>
      <c r="F804" s="2">
        <f>IFERROR(__xludf.DUMMYFUNCTION("""COMPUTED_VALUE"""),1.17217E7)</f>
        <v>11721700</v>
      </c>
      <c r="G804" s="2">
        <f t="shared" si="1"/>
        <v>15</v>
      </c>
    </row>
    <row r="805" ht="15.75" customHeight="1">
      <c r="A805" s="1">
        <f>IFERROR(__xludf.DUMMYFUNCTION("""COMPUTED_VALUE"""),45028.66666666667)</f>
        <v>45028.66667</v>
      </c>
      <c r="B805" s="2">
        <f>IFERROR(__xludf.DUMMYFUNCTION("""COMPUTED_VALUE"""),1375.0)</f>
        <v>1375</v>
      </c>
      <c r="C805" s="2">
        <f>IFERROR(__xludf.DUMMYFUNCTION("""COMPUTED_VALUE"""),1380.0)</f>
        <v>1380</v>
      </c>
      <c r="D805" s="2">
        <f>IFERROR(__xludf.DUMMYFUNCTION("""COMPUTED_VALUE"""),1365.0)</f>
        <v>1365</v>
      </c>
      <c r="E805" s="2">
        <f>IFERROR(__xludf.DUMMYFUNCTION("""COMPUTED_VALUE"""),1370.0)</f>
        <v>1370</v>
      </c>
      <c r="F805" s="2">
        <f>IFERROR(__xludf.DUMMYFUNCTION("""COMPUTED_VALUE"""),9971100.0)</f>
        <v>9971100</v>
      </c>
      <c r="G805" s="2">
        <f t="shared" si="1"/>
        <v>15</v>
      </c>
    </row>
    <row r="806" ht="15.75" customHeight="1">
      <c r="A806" s="1">
        <f>IFERROR(__xludf.DUMMYFUNCTION("""COMPUTED_VALUE"""),45029.66666666667)</f>
        <v>45029.66667</v>
      </c>
      <c r="B806" s="2">
        <f>IFERROR(__xludf.DUMMYFUNCTION("""COMPUTED_VALUE"""),1375.0)</f>
        <v>1375</v>
      </c>
      <c r="C806" s="2">
        <f>IFERROR(__xludf.DUMMYFUNCTION("""COMPUTED_VALUE"""),1380.0)</f>
        <v>1380</v>
      </c>
      <c r="D806" s="2">
        <f>IFERROR(__xludf.DUMMYFUNCTION("""COMPUTED_VALUE"""),1370.0)</f>
        <v>1370</v>
      </c>
      <c r="E806" s="2">
        <f>IFERROR(__xludf.DUMMYFUNCTION("""COMPUTED_VALUE"""),1380.0)</f>
        <v>1380</v>
      </c>
      <c r="F806" s="2">
        <f>IFERROR(__xludf.DUMMYFUNCTION("""COMPUTED_VALUE"""),2.28013E7)</f>
        <v>22801300</v>
      </c>
      <c r="G806" s="2">
        <f t="shared" si="1"/>
        <v>10</v>
      </c>
    </row>
    <row r="807" ht="15.75" customHeight="1">
      <c r="A807" s="1">
        <f>IFERROR(__xludf.DUMMYFUNCTION("""COMPUTED_VALUE"""),45030.66666666667)</f>
        <v>45030.66667</v>
      </c>
      <c r="B807" s="2">
        <f>IFERROR(__xludf.DUMMYFUNCTION("""COMPUTED_VALUE"""),1285.0)</f>
        <v>1285</v>
      </c>
      <c r="C807" s="2">
        <f>IFERROR(__xludf.DUMMYFUNCTION("""COMPUTED_VALUE"""),1290.0)</f>
        <v>1290</v>
      </c>
      <c r="D807" s="2">
        <f>IFERROR(__xludf.DUMMYFUNCTION("""COMPUTED_VALUE"""),1285.0)</f>
        <v>1285</v>
      </c>
      <c r="E807" s="2">
        <f>IFERROR(__xludf.DUMMYFUNCTION("""COMPUTED_VALUE"""),1285.0)</f>
        <v>1285</v>
      </c>
      <c r="F807" s="2">
        <f>IFERROR(__xludf.DUMMYFUNCTION("""COMPUTED_VALUE"""),2.06676E7)</f>
        <v>20667600</v>
      </c>
      <c r="G807" s="2">
        <f t="shared" si="1"/>
        <v>95</v>
      </c>
    </row>
    <row r="808" ht="15.75" customHeight="1">
      <c r="A808" s="1">
        <f>IFERROR(__xludf.DUMMYFUNCTION("""COMPUTED_VALUE"""),45033.66666666667)</f>
        <v>45033.66667</v>
      </c>
      <c r="B808" s="2">
        <f>IFERROR(__xludf.DUMMYFUNCTION("""COMPUTED_VALUE"""),1285.0)</f>
        <v>1285</v>
      </c>
      <c r="C808" s="2">
        <f>IFERROR(__xludf.DUMMYFUNCTION("""COMPUTED_VALUE"""),1285.0)</f>
        <v>1285</v>
      </c>
      <c r="D808" s="2">
        <f>IFERROR(__xludf.DUMMYFUNCTION("""COMPUTED_VALUE"""),1255.0)</f>
        <v>1255</v>
      </c>
      <c r="E808" s="2">
        <f>IFERROR(__xludf.DUMMYFUNCTION("""COMPUTED_VALUE"""),1255.0)</f>
        <v>1255</v>
      </c>
      <c r="F808" s="2">
        <f>IFERROR(__xludf.DUMMYFUNCTION("""COMPUTED_VALUE"""),1.30594E7)</f>
        <v>13059400</v>
      </c>
      <c r="G808" s="2">
        <f t="shared" si="1"/>
        <v>30</v>
      </c>
    </row>
    <row r="809" ht="15.75" customHeight="1">
      <c r="A809" s="1">
        <f>IFERROR(__xludf.DUMMYFUNCTION("""COMPUTED_VALUE"""),45034.66666666667)</f>
        <v>45034.66667</v>
      </c>
      <c r="B809" s="2">
        <f>IFERROR(__xludf.DUMMYFUNCTION("""COMPUTED_VALUE"""),1270.0)</f>
        <v>1270</v>
      </c>
      <c r="C809" s="2">
        <f>IFERROR(__xludf.DUMMYFUNCTION("""COMPUTED_VALUE"""),1270.0)</f>
        <v>1270</v>
      </c>
      <c r="D809" s="2">
        <f>IFERROR(__xludf.DUMMYFUNCTION("""COMPUTED_VALUE"""),1255.0)</f>
        <v>1255</v>
      </c>
      <c r="E809" s="2">
        <f>IFERROR(__xludf.DUMMYFUNCTION("""COMPUTED_VALUE"""),1265.0)</f>
        <v>1265</v>
      </c>
      <c r="F809" s="2">
        <f>IFERROR(__xludf.DUMMYFUNCTION("""COMPUTED_VALUE"""),8790700.0)</f>
        <v>8790700</v>
      </c>
      <c r="G809" s="2">
        <f t="shared" si="1"/>
        <v>15</v>
      </c>
    </row>
    <row r="810" ht="15.75" customHeight="1">
      <c r="A810" s="1">
        <f>IFERROR(__xludf.DUMMYFUNCTION("""COMPUTED_VALUE"""),45042.66666666667)</f>
        <v>45042.66667</v>
      </c>
      <c r="B810" s="2">
        <f>IFERROR(__xludf.DUMMYFUNCTION("""COMPUTED_VALUE"""),1265.0)</f>
        <v>1265</v>
      </c>
      <c r="C810" s="2">
        <f>IFERROR(__xludf.DUMMYFUNCTION("""COMPUTED_VALUE"""),1280.0)</f>
        <v>1280</v>
      </c>
      <c r="D810" s="2">
        <f>IFERROR(__xludf.DUMMYFUNCTION("""COMPUTED_VALUE"""),1250.0)</f>
        <v>1250</v>
      </c>
      <c r="E810" s="2">
        <f>IFERROR(__xludf.DUMMYFUNCTION("""COMPUTED_VALUE"""),1255.0)</f>
        <v>1255</v>
      </c>
      <c r="F810" s="2">
        <f>IFERROR(__xludf.DUMMYFUNCTION("""COMPUTED_VALUE"""),1.06671E7)</f>
        <v>10667100</v>
      </c>
      <c r="G810" s="2">
        <f t="shared" si="1"/>
        <v>30</v>
      </c>
    </row>
    <row r="811" ht="15.75" customHeight="1">
      <c r="A811" s="1">
        <f>IFERROR(__xludf.DUMMYFUNCTION("""COMPUTED_VALUE"""),45043.66666666667)</f>
        <v>45043.66667</v>
      </c>
      <c r="B811" s="2">
        <f>IFERROR(__xludf.DUMMYFUNCTION("""COMPUTED_VALUE"""),1260.0)</f>
        <v>1260</v>
      </c>
      <c r="C811" s="2">
        <f>IFERROR(__xludf.DUMMYFUNCTION("""COMPUTED_VALUE"""),1265.0)</f>
        <v>1265</v>
      </c>
      <c r="D811" s="2">
        <f>IFERROR(__xludf.DUMMYFUNCTION("""COMPUTED_VALUE"""),1250.0)</f>
        <v>1250</v>
      </c>
      <c r="E811" s="2">
        <f>IFERROR(__xludf.DUMMYFUNCTION("""COMPUTED_VALUE"""),1265.0)</f>
        <v>1265</v>
      </c>
      <c r="F811" s="2">
        <f>IFERROR(__xludf.DUMMYFUNCTION("""COMPUTED_VALUE"""),6712700.0)</f>
        <v>6712700</v>
      </c>
      <c r="G811" s="2">
        <f t="shared" si="1"/>
        <v>15</v>
      </c>
    </row>
    <row r="812" ht="15.75" customHeight="1">
      <c r="A812" s="1">
        <f>IFERROR(__xludf.DUMMYFUNCTION("""COMPUTED_VALUE"""),45044.66666666667)</f>
        <v>45044.66667</v>
      </c>
      <c r="B812" s="2">
        <f>IFERROR(__xludf.DUMMYFUNCTION("""COMPUTED_VALUE"""),1265.0)</f>
        <v>1265</v>
      </c>
      <c r="C812" s="2">
        <f>IFERROR(__xludf.DUMMYFUNCTION("""COMPUTED_VALUE"""),1265.0)</f>
        <v>1265</v>
      </c>
      <c r="D812" s="2">
        <f>IFERROR(__xludf.DUMMYFUNCTION("""COMPUTED_VALUE"""),1245.0)</f>
        <v>1245</v>
      </c>
      <c r="E812" s="2">
        <f>IFERROR(__xludf.DUMMYFUNCTION("""COMPUTED_VALUE"""),1255.0)</f>
        <v>1255</v>
      </c>
      <c r="F812" s="2">
        <f>IFERROR(__xludf.DUMMYFUNCTION("""COMPUTED_VALUE"""),6597800.0)</f>
        <v>6597800</v>
      </c>
      <c r="G812" s="2">
        <f t="shared" si="1"/>
        <v>20</v>
      </c>
    </row>
    <row r="813" ht="15.75" customHeight="1">
      <c r="A813" s="1">
        <f>IFERROR(__xludf.DUMMYFUNCTION("""COMPUTED_VALUE"""),45048.66666666667)</f>
        <v>45048.66667</v>
      </c>
      <c r="B813" s="2">
        <f>IFERROR(__xludf.DUMMYFUNCTION("""COMPUTED_VALUE"""),1250.0)</f>
        <v>1250</v>
      </c>
      <c r="C813" s="2">
        <f>IFERROR(__xludf.DUMMYFUNCTION("""COMPUTED_VALUE"""),1250.0)</f>
        <v>1250</v>
      </c>
      <c r="D813" s="2">
        <f>IFERROR(__xludf.DUMMYFUNCTION("""COMPUTED_VALUE"""),1210.0)</f>
        <v>1210</v>
      </c>
      <c r="E813" s="2">
        <f>IFERROR(__xludf.DUMMYFUNCTION("""COMPUTED_VALUE"""),1220.0)</f>
        <v>1220</v>
      </c>
      <c r="F813" s="2">
        <f>IFERROR(__xludf.DUMMYFUNCTION("""COMPUTED_VALUE"""),1.09709E7)</f>
        <v>10970900</v>
      </c>
      <c r="G813" s="2">
        <f t="shared" si="1"/>
        <v>45</v>
      </c>
    </row>
    <row r="814" ht="15.75" customHeight="1">
      <c r="A814" s="1">
        <f>IFERROR(__xludf.DUMMYFUNCTION("""COMPUTED_VALUE"""),45049.66666666667)</f>
        <v>45049.66667</v>
      </c>
      <c r="B814" s="2">
        <f>IFERROR(__xludf.DUMMYFUNCTION("""COMPUTED_VALUE"""),1220.0)</f>
        <v>1220</v>
      </c>
      <c r="C814" s="2">
        <f>IFERROR(__xludf.DUMMYFUNCTION("""COMPUTED_VALUE"""),1220.0)</f>
        <v>1220</v>
      </c>
      <c r="D814" s="2">
        <f>IFERROR(__xludf.DUMMYFUNCTION("""COMPUTED_VALUE"""),1210.0)</f>
        <v>1210</v>
      </c>
      <c r="E814" s="2">
        <f>IFERROR(__xludf.DUMMYFUNCTION("""COMPUTED_VALUE"""),1210.0)</f>
        <v>1210</v>
      </c>
      <c r="F814" s="2">
        <f>IFERROR(__xludf.DUMMYFUNCTION("""COMPUTED_VALUE"""),3601400.0)</f>
        <v>3601400</v>
      </c>
      <c r="G814" s="2">
        <f t="shared" si="1"/>
        <v>10</v>
      </c>
    </row>
    <row r="815" ht="15.75" customHeight="1">
      <c r="A815" s="1">
        <f>IFERROR(__xludf.DUMMYFUNCTION("""COMPUTED_VALUE"""),45050.66666666667)</f>
        <v>45050.66667</v>
      </c>
      <c r="B815" s="2">
        <f>IFERROR(__xludf.DUMMYFUNCTION("""COMPUTED_VALUE"""),1215.0)</f>
        <v>1215</v>
      </c>
      <c r="C815" s="2">
        <f>IFERROR(__xludf.DUMMYFUNCTION("""COMPUTED_VALUE"""),1215.0)</f>
        <v>1215</v>
      </c>
      <c r="D815" s="2">
        <f>IFERROR(__xludf.DUMMYFUNCTION("""COMPUTED_VALUE"""),1200.0)</f>
        <v>1200</v>
      </c>
      <c r="E815" s="2">
        <f>IFERROR(__xludf.DUMMYFUNCTION("""COMPUTED_VALUE"""),1215.0)</f>
        <v>1215</v>
      </c>
      <c r="F815" s="2">
        <f>IFERROR(__xludf.DUMMYFUNCTION("""COMPUTED_VALUE"""),7099400.0)</f>
        <v>7099400</v>
      </c>
      <c r="G815" s="2">
        <f t="shared" si="1"/>
        <v>15</v>
      </c>
    </row>
    <row r="816" ht="15.75" customHeight="1">
      <c r="A816" s="1">
        <f>IFERROR(__xludf.DUMMYFUNCTION("""COMPUTED_VALUE"""),45051.66666666667)</f>
        <v>45051.66667</v>
      </c>
      <c r="B816" s="2">
        <f>IFERROR(__xludf.DUMMYFUNCTION("""COMPUTED_VALUE"""),1215.0)</f>
        <v>1215</v>
      </c>
      <c r="C816" s="2">
        <f>IFERROR(__xludf.DUMMYFUNCTION("""COMPUTED_VALUE"""),1220.0)</f>
        <v>1220</v>
      </c>
      <c r="D816" s="2">
        <f>IFERROR(__xludf.DUMMYFUNCTION("""COMPUTED_VALUE"""),1205.0)</f>
        <v>1205</v>
      </c>
      <c r="E816" s="2">
        <f>IFERROR(__xludf.DUMMYFUNCTION("""COMPUTED_VALUE"""),1205.0)</f>
        <v>1205</v>
      </c>
      <c r="F816" s="2">
        <f>IFERROR(__xludf.DUMMYFUNCTION("""COMPUTED_VALUE"""),2409400.0)</f>
        <v>2409400</v>
      </c>
      <c r="G816" s="2">
        <f t="shared" si="1"/>
        <v>15</v>
      </c>
    </row>
    <row r="817" ht="15.75" customHeight="1">
      <c r="A817" s="1">
        <f>IFERROR(__xludf.DUMMYFUNCTION("""COMPUTED_VALUE"""),45054.66666666667)</f>
        <v>45054.66667</v>
      </c>
      <c r="B817" s="2">
        <f>IFERROR(__xludf.DUMMYFUNCTION("""COMPUTED_VALUE"""),1220.0)</f>
        <v>1220</v>
      </c>
      <c r="C817" s="2">
        <f>IFERROR(__xludf.DUMMYFUNCTION("""COMPUTED_VALUE"""),1230.0)</f>
        <v>1230</v>
      </c>
      <c r="D817" s="2">
        <f>IFERROR(__xludf.DUMMYFUNCTION("""COMPUTED_VALUE"""),1205.0)</f>
        <v>1205</v>
      </c>
      <c r="E817" s="2">
        <f>IFERROR(__xludf.DUMMYFUNCTION("""COMPUTED_VALUE"""),1220.0)</f>
        <v>1220</v>
      </c>
      <c r="F817" s="2">
        <f>IFERROR(__xludf.DUMMYFUNCTION("""COMPUTED_VALUE"""),3737500.0)</f>
        <v>3737500</v>
      </c>
      <c r="G817" s="2">
        <f t="shared" si="1"/>
        <v>25</v>
      </c>
    </row>
    <row r="818" ht="15.75" customHeight="1">
      <c r="A818" s="1">
        <f>IFERROR(__xludf.DUMMYFUNCTION("""COMPUTED_VALUE"""),45055.66666666667)</f>
        <v>45055.66667</v>
      </c>
      <c r="B818" s="2">
        <f>IFERROR(__xludf.DUMMYFUNCTION("""COMPUTED_VALUE"""),1220.0)</f>
        <v>1220</v>
      </c>
      <c r="C818" s="2">
        <f>IFERROR(__xludf.DUMMYFUNCTION("""COMPUTED_VALUE"""),1220.0)</f>
        <v>1220</v>
      </c>
      <c r="D818" s="2">
        <f>IFERROR(__xludf.DUMMYFUNCTION("""COMPUTED_VALUE"""),1210.0)</f>
        <v>1210</v>
      </c>
      <c r="E818" s="2">
        <f>IFERROR(__xludf.DUMMYFUNCTION("""COMPUTED_VALUE"""),1210.0)</f>
        <v>1210</v>
      </c>
      <c r="F818" s="2">
        <f>IFERROR(__xludf.DUMMYFUNCTION("""COMPUTED_VALUE"""),3488200.0)</f>
        <v>3488200</v>
      </c>
      <c r="G818" s="2">
        <f t="shared" si="1"/>
        <v>10</v>
      </c>
    </row>
    <row r="819" ht="15.75" customHeight="1">
      <c r="A819" s="1">
        <f>IFERROR(__xludf.DUMMYFUNCTION("""COMPUTED_VALUE"""),45056.66666666667)</f>
        <v>45056.66667</v>
      </c>
      <c r="B819" s="2">
        <f>IFERROR(__xludf.DUMMYFUNCTION("""COMPUTED_VALUE"""),1220.0)</f>
        <v>1220</v>
      </c>
      <c r="C819" s="2">
        <f>IFERROR(__xludf.DUMMYFUNCTION("""COMPUTED_VALUE"""),1220.0)</f>
        <v>1220</v>
      </c>
      <c r="D819" s="2">
        <f>IFERROR(__xludf.DUMMYFUNCTION("""COMPUTED_VALUE"""),1210.0)</f>
        <v>1210</v>
      </c>
      <c r="E819" s="2">
        <f>IFERROR(__xludf.DUMMYFUNCTION("""COMPUTED_VALUE"""),1215.0)</f>
        <v>1215</v>
      </c>
      <c r="F819" s="2">
        <f>IFERROR(__xludf.DUMMYFUNCTION("""COMPUTED_VALUE"""),1941800.0)</f>
        <v>1941800</v>
      </c>
      <c r="G819" s="2">
        <f t="shared" si="1"/>
        <v>10</v>
      </c>
    </row>
    <row r="820" ht="15.75" customHeight="1">
      <c r="A820" s="1">
        <f>IFERROR(__xludf.DUMMYFUNCTION("""COMPUTED_VALUE"""),45057.66666666667)</f>
        <v>45057.66667</v>
      </c>
      <c r="B820" s="2">
        <f>IFERROR(__xludf.DUMMYFUNCTION("""COMPUTED_VALUE"""),1215.0)</f>
        <v>1215</v>
      </c>
      <c r="C820" s="2">
        <f>IFERROR(__xludf.DUMMYFUNCTION("""COMPUTED_VALUE"""),1220.0)</f>
        <v>1220</v>
      </c>
      <c r="D820" s="2">
        <f>IFERROR(__xludf.DUMMYFUNCTION("""COMPUTED_VALUE"""),1210.0)</f>
        <v>1210</v>
      </c>
      <c r="E820" s="2">
        <f>IFERROR(__xludf.DUMMYFUNCTION("""COMPUTED_VALUE"""),1210.0)</f>
        <v>1210</v>
      </c>
      <c r="F820" s="2">
        <f>IFERROR(__xludf.DUMMYFUNCTION("""COMPUTED_VALUE"""),2933400.0)</f>
        <v>2933400</v>
      </c>
      <c r="G820" s="2">
        <f t="shared" si="1"/>
        <v>10</v>
      </c>
    </row>
    <row r="821" ht="15.75" customHeight="1">
      <c r="A821" s="1">
        <f>IFERROR(__xludf.DUMMYFUNCTION("""COMPUTED_VALUE"""),45058.66666666667)</f>
        <v>45058.66667</v>
      </c>
      <c r="B821" s="2">
        <f>IFERROR(__xludf.DUMMYFUNCTION("""COMPUTED_VALUE"""),1220.0)</f>
        <v>1220</v>
      </c>
      <c r="C821" s="2">
        <f>IFERROR(__xludf.DUMMYFUNCTION("""COMPUTED_VALUE"""),1220.0)</f>
        <v>1220</v>
      </c>
      <c r="D821" s="2">
        <f>IFERROR(__xludf.DUMMYFUNCTION("""COMPUTED_VALUE"""),1210.0)</f>
        <v>1210</v>
      </c>
      <c r="E821" s="2">
        <f>IFERROR(__xludf.DUMMYFUNCTION("""COMPUTED_VALUE"""),1215.0)</f>
        <v>1215</v>
      </c>
      <c r="F821" s="2">
        <f>IFERROR(__xludf.DUMMYFUNCTION("""COMPUTED_VALUE"""),2160100.0)</f>
        <v>2160100</v>
      </c>
      <c r="G821" s="2">
        <f t="shared" si="1"/>
        <v>10</v>
      </c>
    </row>
    <row r="822" ht="15.75" customHeight="1">
      <c r="A822" s="1">
        <f>IFERROR(__xludf.DUMMYFUNCTION("""COMPUTED_VALUE"""),45061.66666666667)</f>
        <v>45061.66667</v>
      </c>
      <c r="B822" s="2">
        <f>IFERROR(__xludf.DUMMYFUNCTION("""COMPUTED_VALUE"""),1215.0)</f>
        <v>1215</v>
      </c>
      <c r="C822" s="2">
        <f>IFERROR(__xludf.DUMMYFUNCTION("""COMPUTED_VALUE"""),1220.0)</f>
        <v>1220</v>
      </c>
      <c r="D822" s="2">
        <f>IFERROR(__xludf.DUMMYFUNCTION("""COMPUTED_VALUE"""),1205.0)</f>
        <v>1205</v>
      </c>
      <c r="E822" s="2">
        <f>IFERROR(__xludf.DUMMYFUNCTION("""COMPUTED_VALUE"""),1210.0)</f>
        <v>1210</v>
      </c>
      <c r="F822" s="2">
        <f>IFERROR(__xludf.DUMMYFUNCTION("""COMPUTED_VALUE"""),3491100.0)</f>
        <v>3491100</v>
      </c>
      <c r="G822" s="2">
        <f t="shared" si="1"/>
        <v>15</v>
      </c>
    </row>
    <row r="823" ht="15.75" customHeight="1">
      <c r="A823" s="1">
        <f>IFERROR(__xludf.DUMMYFUNCTION("""COMPUTED_VALUE"""),45062.66666666667)</f>
        <v>45062.66667</v>
      </c>
      <c r="B823" s="2">
        <f>IFERROR(__xludf.DUMMYFUNCTION("""COMPUTED_VALUE"""),1210.0)</f>
        <v>1210</v>
      </c>
      <c r="C823" s="2">
        <f>IFERROR(__xludf.DUMMYFUNCTION("""COMPUTED_VALUE"""),1215.0)</f>
        <v>1215</v>
      </c>
      <c r="D823" s="2">
        <f>IFERROR(__xludf.DUMMYFUNCTION("""COMPUTED_VALUE"""),1200.0)</f>
        <v>1200</v>
      </c>
      <c r="E823" s="2">
        <f>IFERROR(__xludf.DUMMYFUNCTION("""COMPUTED_VALUE"""),1200.0)</f>
        <v>1200</v>
      </c>
      <c r="F823" s="2">
        <f>IFERROR(__xludf.DUMMYFUNCTION("""COMPUTED_VALUE"""),2854500.0)</f>
        <v>2854500</v>
      </c>
      <c r="G823" s="2">
        <f t="shared" si="1"/>
        <v>15</v>
      </c>
    </row>
    <row r="824" ht="15.75" customHeight="1">
      <c r="A824" s="1">
        <f>IFERROR(__xludf.DUMMYFUNCTION("""COMPUTED_VALUE"""),45063.66666666667)</f>
        <v>45063.66667</v>
      </c>
      <c r="B824" s="2">
        <f>IFERROR(__xludf.DUMMYFUNCTION("""COMPUTED_VALUE"""),1200.0)</f>
        <v>1200</v>
      </c>
      <c r="C824" s="2">
        <f>IFERROR(__xludf.DUMMYFUNCTION("""COMPUTED_VALUE"""),1215.0)</f>
        <v>1215</v>
      </c>
      <c r="D824" s="2">
        <f>IFERROR(__xludf.DUMMYFUNCTION("""COMPUTED_VALUE"""),1200.0)</f>
        <v>1200</v>
      </c>
      <c r="E824" s="2">
        <f>IFERROR(__xludf.DUMMYFUNCTION("""COMPUTED_VALUE"""),1205.0)</f>
        <v>1205</v>
      </c>
      <c r="F824" s="2">
        <f>IFERROR(__xludf.DUMMYFUNCTION("""COMPUTED_VALUE"""),2652000.0)</f>
        <v>2652000</v>
      </c>
      <c r="G824" s="2">
        <f t="shared" si="1"/>
        <v>15</v>
      </c>
    </row>
    <row r="825" ht="15.75" customHeight="1">
      <c r="A825" s="1">
        <f>IFERROR(__xludf.DUMMYFUNCTION("""COMPUTED_VALUE"""),45065.66666666667)</f>
        <v>45065.66667</v>
      </c>
      <c r="B825" s="2">
        <f>IFERROR(__xludf.DUMMYFUNCTION("""COMPUTED_VALUE"""),1210.0)</f>
        <v>1210</v>
      </c>
      <c r="C825" s="2">
        <f>IFERROR(__xludf.DUMMYFUNCTION("""COMPUTED_VALUE"""),1210.0)</f>
        <v>1210</v>
      </c>
      <c r="D825" s="2">
        <f>IFERROR(__xludf.DUMMYFUNCTION("""COMPUTED_VALUE"""),1165.0)</f>
        <v>1165</v>
      </c>
      <c r="E825" s="2">
        <f>IFERROR(__xludf.DUMMYFUNCTION("""COMPUTED_VALUE"""),1175.0)</f>
        <v>1175</v>
      </c>
      <c r="F825" s="2">
        <f>IFERROR(__xludf.DUMMYFUNCTION("""COMPUTED_VALUE"""),8092500.0)</f>
        <v>8092500</v>
      </c>
      <c r="G825" s="2">
        <f t="shared" si="1"/>
        <v>45</v>
      </c>
    </row>
    <row r="826" ht="15.75" customHeight="1">
      <c r="A826" s="1">
        <f>IFERROR(__xludf.DUMMYFUNCTION("""COMPUTED_VALUE"""),45068.66666666667)</f>
        <v>45068.66667</v>
      </c>
      <c r="B826" s="2">
        <f>IFERROR(__xludf.DUMMYFUNCTION("""COMPUTED_VALUE"""),1175.0)</f>
        <v>1175</v>
      </c>
      <c r="C826" s="2">
        <f>IFERROR(__xludf.DUMMYFUNCTION("""COMPUTED_VALUE"""),1180.0)</f>
        <v>1180</v>
      </c>
      <c r="D826" s="2">
        <f>IFERROR(__xludf.DUMMYFUNCTION("""COMPUTED_VALUE"""),1175.0)</f>
        <v>1175</v>
      </c>
      <c r="E826" s="2">
        <f>IFERROR(__xludf.DUMMYFUNCTION("""COMPUTED_VALUE"""),1180.0)</f>
        <v>1180</v>
      </c>
      <c r="F826" s="2">
        <f>IFERROR(__xludf.DUMMYFUNCTION("""COMPUTED_VALUE"""),1683000.0)</f>
        <v>1683000</v>
      </c>
      <c r="G826" s="2">
        <f t="shared" si="1"/>
        <v>5</v>
      </c>
    </row>
    <row r="827" ht="15.75" customHeight="1">
      <c r="A827" s="1">
        <f>IFERROR(__xludf.DUMMYFUNCTION("""COMPUTED_VALUE"""),45069.66666666667)</f>
        <v>45069.66667</v>
      </c>
      <c r="B827" s="2">
        <f>IFERROR(__xludf.DUMMYFUNCTION("""COMPUTED_VALUE"""),1195.0)</f>
        <v>1195</v>
      </c>
      <c r="C827" s="2">
        <f>IFERROR(__xludf.DUMMYFUNCTION("""COMPUTED_VALUE"""),1195.0)</f>
        <v>1195</v>
      </c>
      <c r="D827" s="2">
        <f>IFERROR(__xludf.DUMMYFUNCTION("""COMPUTED_VALUE"""),1170.0)</f>
        <v>1170</v>
      </c>
      <c r="E827" s="2">
        <f>IFERROR(__xludf.DUMMYFUNCTION("""COMPUTED_VALUE"""),1190.0)</f>
        <v>1190</v>
      </c>
      <c r="F827" s="2">
        <f>IFERROR(__xludf.DUMMYFUNCTION("""COMPUTED_VALUE"""),2424400.0)</f>
        <v>2424400</v>
      </c>
      <c r="G827" s="2">
        <f t="shared" si="1"/>
        <v>25</v>
      </c>
    </row>
    <row r="828" ht="15.75" customHeight="1">
      <c r="A828" s="1">
        <f>IFERROR(__xludf.DUMMYFUNCTION("""COMPUTED_VALUE"""),45070.66666666667)</f>
        <v>45070.66667</v>
      </c>
      <c r="B828" s="2">
        <f>IFERROR(__xludf.DUMMYFUNCTION("""COMPUTED_VALUE"""),1190.0)</f>
        <v>1190</v>
      </c>
      <c r="C828" s="2">
        <f>IFERROR(__xludf.DUMMYFUNCTION("""COMPUTED_VALUE"""),1195.0)</f>
        <v>1195</v>
      </c>
      <c r="D828" s="2">
        <f>IFERROR(__xludf.DUMMYFUNCTION("""COMPUTED_VALUE"""),1185.0)</f>
        <v>1185</v>
      </c>
      <c r="E828" s="2">
        <f>IFERROR(__xludf.DUMMYFUNCTION("""COMPUTED_VALUE"""),1190.0)</f>
        <v>1190</v>
      </c>
      <c r="F828" s="2">
        <f>IFERROR(__xludf.DUMMYFUNCTION("""COMPUTED_VALUE"""),1586300.0)</f>
        <v>1586300</v>
      </c>
      <c r="G828" s="2">
        <f t="shared" si="1"/>
        <v>10</v>
      </c>
    </row>
    <row r="829" ht="15.75" customHeight="1">
      <c r="A829" s="1">
        <f>IFERROR(__xludf.DUMMYFUNCTION("""COMPUTED_VALUE"""),45071.66666666667)</f>
        <v>45071.66667</v>
      </c>
      <c r="B829" s="2">
        <f>IFERROR(__xludf.DUMMYFUNCTION("""COMPUTED_VALUE"""),1190.0)</f>
        <v>1190</v>
      </c>
      <c r="C829" s="2">
        <f>IFERROR(__xludf.DUMMYFUNCTION("""COMPUTED_VALUE"""),1195.0)</f>
        <v>1195</v>
      </c>
      <c r="D829" s="2">
        <f>IFERROR(__xludf.DUMMYFUNCTION("""COMPUTED_VALUE"""),1180.0)</f>
        <v>1180</v>
      </c>
      <c r="E829" s="2">
        <f>IFERROR(__xludf.DUMMYFUNCTION("""COMPUTED_VALUE"""),1190.0)</f>
        <v>1190</v>
      </c>
      <c r="F829" s="2">
        <f>IFERROR(__xludf.DUMMYFUNCTION("""COMPUTED_VALUE"""),1708500.0)</f>
        <v>1708500</v>
      </c>
      <c r="G829" s="2">
        <f t="shared" si="1"/>
        <v>15</v>
      </c>
    </row>
    <row r="830" ht="15.75" customHeight="1">
      <c r="A830" s="1">
        <f>IFERROR(__xludf.DUMMYFUNCTION("""COMPUTED_VALUE"""),45072.66666666667)</f>
        <v>45072.66667</v>
      </c>
      <c r="B830" s="2">
        <f>IFERROR(__xludf.DUMMYFUNCTION("""COMPUTED_VALUE"""),1190.0)</f>
        <v>1190</v>
      </c>
      <c r="C830" s="2">
        <f>IFERROR(__xludf.DUMMYFUNCTION("""COMPUTED_VALUE"""),1195.0)</f>
        <v>1195</v>
      </c>
      <c r="D830" s="2">
        <f>IFERROR(__xludf.DUMMYFUNCTION("""COMPUTED_VALUE"""),1180.0)</f>
        <v>1180</v>
      </c>
      <c r="E830" s="2">
        <f>IFERROR(__xludf.DUMMYFUNCTION("""COMPUTED_VALUE"""),1180.0)</f>
        <v>1180</v>
      </c>
      <c r="F830" s="2">
        <f>IFERROR(__xludf.DUMMYFUNCTION("""COMPUTED_VALUE"""),2506400.0)</f>
        <v>2506400</v>
      </c>
      <c r="G830" s="2">
        <f t="shared" si="1"/>
        <v>15</v>
      </c>
    </row>
    <row r="831" ht="15.75" customHeight="1">
      <c r="A831" s="1">
        <f>IFERROR(__xludf.DUMMYFUNCTION("""COMPUTED_VALUE"""),45075.66666666667)</f>
        <v>45075.66667</v>
      </c>
      <c r="B831" s="2">
        <f>IFERROR(__xludf.DUMMYFUNCTION("""COMPUTED_VALUE"""),1190.0)</f>
        <v>1190</v>
      </c>
      <c r="C831" s="2">
        <f>IFERROR(__xludf.DUMMYFUNCTION("""COMPUTED_VALUE"""),1195.0)</f>
        <v>1195</v>
      </c>
      <c r="D831" s="2">
        <f>IFERROR(__xludf.DUMMYFUNCTION("""COMPUTED_VALUE"""),1170.0)</f>
        <v>1170</v>
      </c>
      <c r="E831" s="2">
        <f>IFERROR(__xludf.DUMMYFUNCTION("""COMPUTED_VALUE"""),1175.0)</f>
        <v>1175</v>
      </c>
      <c r="F831" s="2">
        <f>IFERROR(__xludf.DUMMYFUNCTION("""COMPUTED_VALUE"""),2041400.0)</f>
        <v>2041400</v>
      </c>
      <c r="G831" s="2">
        <f t="shared" si="1"/>
        <v>25</v>
      </c>
    </row>
    <row r="832" ht="15.75" customHeight="1">
      <c r="A832" s="1">
        <f>IFERROR(__xludf.DUMMYFUNCTION("""COMPUTED_VALUE"""),45076.66666666667)</f>
        <v>45076.66667</v>
      </c>
      <c r="B832" s="2">
        <f>IFERROR(__xludf.DUMMYFUNCTION("""COMPUTED_VALUE"""),1175.0)</f>
        <v>1175</v>
      </c>
      <c r="C832" s="2">
        <f>IFERROR(__xludf.DUMMYFUNCTION("""COMPUTED_VALUE"""),1185.0)</f>
        <v>1185</v>
      </c>
      <c r="D832" s="2">
        <f>IFERROR(__xludf.DUMMYFUNCTION("""COMPUTED_VALUE"""),1170.0)</f>
        <v>1170</v>
      </c>
      <c r="E832" s="2">
        <f>IFERROR(__xludf.DUMMYFUNCTION("""COMPUTED_VALUE"""),1175.0)</f>
        <v>1175</v>
      </c>
      <c r="F832" s="2">
        <f>IFERROR(__xludf.DUMMYFUNCTION("""COMPUTED_VALUE"""),983400.0)</f>
        <v>983400</v>
      </c>
      <c r="G832" s="2">
        <f t="shared" si="1"/>
        <v>15</v>
      </c>
    </row>
    <row r="833" ht="15.75" customHeight="1">
      <c r="A833" s="1">
        <f>IFERROR(__xludf.DUMMYFUNCTION("""COMPUTED_VALUE"""),45077.66666666667)</f>
        <v>45077.66667</v>
      </c>
      <c r="B833" s="2">
        <f>IFERROR(__xludf.DUMMYFUNCTION("""COMPUTED_VALUE"""),1175.0)</f>
        <v>1175</v>
      </c>
      <c r="C833" s="2">
        <f>IFERROR(__xludf.DUMMYFUNCTION("""COMPUTED_VALUE"""),1215.0)</f>
        <v>1215</v>
      </c>
      <c r="D833" s="2">
        <f>IFERROR(__xludf.DUMMYFUNCTION("""COMPUTED_VALUE"""),1170.0)</f>
        <v>1170</v>
      </c>
      <c r="E833" s="2">
        <f>IFERROR(__xludf.DUMMYFUNCTION("""COMPUTED_VALUE"""),1215.0)</f>
        <v>1215</v>
      </c>
      <c r="F833" s="2">
        <f>IFERROR(__xludf.DUMMYFUNCTION("""COMPUTED_VALUE"""),6725300.0)</f>
        <v>6725300</v>
      </c>
      <c r="G833" s="2">
        <f t="shared" si="1"/>
        <v>45</v>
      </c>
    </row>
    <row r="834" ht="15.75" customHeight="1">
      <c r="A834" s="1">
        <f>IFERROR(__xludf.DUMMYFUNCTION("""COMPUTED_VALUE"""),45082.66666666667)</f>
        <v>45082.66667</v>
      </c>
      <c r="B834" s="2">
        <f>IFERROR(__xludf.DUMMYFUNCTION("""COMPUTED_VALUE"""),1215.0)</f>
        <v>1215</v>
      </c>
      <c r="C834" s="2">
        <f>IFERROR(__xludf.DUMMYFUNCTION("""COMPUTED_VALUE"""),1215.0)</f>
        <v>1215</v>
      </c>
      <c r="D834" s="2">
        <f>IFERROR(__xludf.DUMMYFUNCTION("""COMPUTED_VALUE"""),1175.0)</f>
        <v>1175</v>
      </c>
      <c r="E834" s="2">
        <f>IFERROR(__xludf.DUMMYFUNCTION("""COMPUTED_VALUE"""),1175.0)</f>
        <v>1175</v>
      </c>
      <c r="F834" s="2">
        <f>IFERROR(__xludf.DUMMYFUNCTION("""COMPUTED_VALUE"""),4323400.0)</f>
        <v>4323400</v>
      </c>
      <c r="G834" s="2">
        <f t="shared" si="1"/>
        <v>40</v>
      </c>
    </row>
    <row r="835" ht="15.75" customHeight="1">
      <c r="A835" s="1">
        <f>IFERROR(__xludf.DUMMYFUNCTION("""COMPUTED_VALUE"""),45083.66666666667)</f>
        <v>45083.66667</v>
      </c>
      <c r="B835" s="2">
        <f>IFERROR(__xludf.DUMMYFUNCTION("""COMPUTED_VALUE"""),1175.0)</f>
        <v>1175</v>
      </c>
      <c r="C835" s="2">
        <f>IFERROR(__xludf.DUMMYFUNCTION("""COMPUTED_VALUE"""),1190.0)</f>
        <v>1190</v>
      </c>
      <c r="D835" s="2">
        <f>IFERROR(__xludf.DUMMYFUNCTION("""COMPUTED_VALUE"""),1170.0)</f>
        <v>1170</v>
      </c>
      <c r="E835" s="2">
        <f>IFERROR(__xludf.DUMMYFUNCTION("""COMPUTED_VALUE"""),1190.0)</f>
        <v>1190</v>
      </c>
      <c r="F835" s="2">
        <f>IFERROR(__xludf.DUMMYFUNCTION("""COMPUTED_VALUE"""),1553200.0)</f>
        <v>1553200</v>
      </c>
      <c r="G835" s="2">
        <f t="shared" si="1"/>
        <v>20</v>
      </c>
    </row>
    <row r="836" ht="15.75" customHeight="1">
      <c r="A836" s="1">
        <f>IFERROR(__xludf.DUMMYFUNCTION("""COMPUTED_VALUE"""),45084.66666666667)</f>
        <v>45084.66667</v>
      </c>
      <c r="B836" s="2">
        <f>IFERROR(__xludf.DUMMYFUNCTION("""COMPUTED_VALUE"""),1190.0)</f>
        <v>1190</v>
      </c>
      <c r="C836" s="2">
        <f>IFERROR(__xludf.DUMMYFUNCTION("""COMPUTED_VALUE"""),1190.0)</f>
        <v>1190</v>
      </c>
      <c r="D836" s="2">
        <f>IFERROR(__xludf.DUMMYFUNCTION("""COMPUTED_VALUE"""),1180.0)</f>
        <v>1180</v>
      </c>
      <c r="E836" s="2">
        <f>IFERROR(__xludf.DUMMYFUNCTION("""COMPUTED_VALUE"""),1180.0)</f>
        <v>1180</v>
      </c>
      <c r="F836" s="2">
        <f>IFERROR(__xludf.DUMMYFUNCTION("""COMPUTED_VALUE"""),1102200.0)</f>
        <v>1102200</v>
      </c>
      <c r="G836" s="2">
        <f t="shared" si="1"/>
        <v>10</v>
      </c>
    </row>
    <row r="837" ht="15.75" customHeight="1">
      <c r="A837" s="1">
        <f>IFERROR(__xludf.DUMMYFUNCTION("""COMPUTED_VALUE"""),45085.66666666667)</f>
        <v>45085.66667</v>
      </c>
      <c r="B837" s="2">
        <f>IFERROR(__xludf.DUMMYFUNCTION("""COMPUTED_VALUE"""),1180.0)</f>
        <v>1180</v>
      </c>
      <c r="C837" s="2">
        <f>IFERROR(__xludf.DUMMYFUNCTION("""COMPUTED_VALUE"""),1190.0)</f>
        <v>1190</v>
      </c>
      <c r="D837" s="2">
        <f>IFERROR(__xludf.DUMMYFUNCTION("""COMPUTED_VALUE"""),1165.0)</f>
        <v>1165</v>
      </c>
      <c r="E837" s="2">
        <f>IFERROR(__xludf.DUMMYFUNCTION("""COMPUTED_VALUE"""),1180.0)</f>
        <v>1180</v>
      </c>
      <c r="F837" s="2">
        <f>IFERROR(__xludf.DUMMYFUNCTION("""COMPUTED_VALUE"""),2602800.0)</f>
        <v>2602800</v>
      </c>
      <c r="G837" s="2">
        <f t="shared" si="1"/>
        <v>25</v>
      </c>
    </row>
    <row r="838" ht="15.75" customHeight="1">
      <c r="A838" s="1">
        <f>IFERROR(__xludf.DUMMYFUNCTION("""COMPUTED_VALUE"""),45086.66666666667)</f>
        <v>45086.66667</v>
      </c>
      <c r="B838" s="2">
        <f>IFERROR(__xludf.DUMMYFUNCTION("""COMPUTED_VALUE"""),1185.0)</f>
        <v>1185</v>
      </c>
      <c r="C838" s="2">
        <f>IFERROR(__xludf.DUMMYFUNCTION("""COMPUTED_VALUE"""),1190.0)</f>
        <v>1190</v>
      </c>
      <c r="D838" s="2">
        <f>IFERROR(__xludf.DUMMYFUNCTION("""COMPUTED_VALUE"""),1180.0)</f>
        <v>1180</v>
      </c>
      <c r="E838" s="2">
        <f>IFERROR(__xludf.DUMMYFUNCTION("""COMPUTED_VALUE"""),1180.0)</f>
        <v>1180</v>
      </c>
      <c r="F838" s="2">
        <f>IFERROR(__xludf.DUMMYFUNCTION("""COMPUTED_VALUE"""),1021000.0)</f>
        <v>1021000</v>
      </c>
      <c r="G838" s="2">
        <f t="shared" si="1"/>
        <v>10</v>
      </c>
    </row>
    <row r="839" ht="15.75" customHeight="1">
      <c r="A839" s="1">
        <f>IFERROR(__xludf.DUMMYFUNCTION("""COMPUTED_VALUE"""),45089.66666666667)</f>
        <v>45089.66667</v>
      </c>
      <c r="B839" s="2">
        <f>IFERROR(__xludf.DUMMYFUNCTION("""COMPUTED_VALUE"""),1180.0)</f>
        <v>1180</v>
      </c>
      <c r="C839" s="2">
        <f>IFERROR(__xludf.DUMMYFUNCTION("""COMPUTED_VALUE"""),1190.0)</f>
        <v>1190</v>
      </c>
      <c r="D839" s="2">
        <f>IFERROR(__xludf.DUMMYFUNCTION("""COMPUTED_VALUE"""),1175.0)</f>
        <v>1175</v>
      </c>
      <c r="E839" s="2">
        <f>IFERROR(__xludf.DUMMYFUNCTION("""COMPUTED_VALUE"""),1180.0)</f>
        <v>1180</v>
      </c>
      <c r="F839" s="2">
        <f>IFERROR(__xludf.DUMMYFUNCTION("""COMPUTED_VALUE"""),1301800.0)</f>
        <v>1301800</v>
      </c>
      <c r="G839" s="2">
        <f t="shared" si="1"/>
        <v>15</v>
      </c>
    </row>
    <row r="840" ht="15.75" customHeight="1">
      <c r="A840" s="1">
        <f>IFERROR(__xludf.DUMMYFUNCTION("""COMPUTED_VALUE"""),45090.66666666667)</f>
        <v>45090.66667</v>
      </c>
      <c r="B840" s="2">
        <f>IFERROR(__xludf.DUMMYFUNCTION("""COMPUTED_VALUE"""),1180.0)</f>
        <v>1180</v>
      </c>
      <c r="C840" s="2">
        <f>IFERROR(__xludf.DUMMYFUNCTION("""COMPUTED_VALUE"""),1185.0)</f>
        <v>1185</v>
      </c>
      <c r="D840" s="2">
        <f>IFERROR(__xludf.DUMMYFUNCTION("""COMPUTED_VALUE"""),1170.0)</f>
        <v>1170</v>
      </c>
      <c r="E840" s="2">
        <f>IFERROR(__xludf.DUMMYFUNCTION("""COMPUTED_VALUE"""),1180.0)</f>
        <v>1180</v>
      </c>
      <c r="F840" s="2">
        <f>IFERROR(__xludf.DUMMYFUNCTION("""COMPUTED_VALUE"""),2570200.0)</f>
        <v>2570200</v>
      </c>
      <c r="G840" s="2">
        <f t="shared" si="1"/>
        <v>15</v>
      </c>
    </row>
    <row r="841" ht="15.75" customHeight="1">
      <c r="A841" s="1">
        <f>IFERROR(__xludf.DUMMYFUNCTION("""COMPUTED_VALUE"""),45091.66666666667)</f>
        <v>45091.66667</v>
      </c>
      <c r="B841" s="2">
        <f>IFERROR(__xludf.DUMMYFUNCTION("""COMPUTED_VALUE"""),1180.0)</f>
        <v>1180</v>
      </c>
      <c r="C841" s="2">
        <f>IFERROR(__xludf.DUMMYFUNCTION("""COMPUTED_VALUE"""),1185.0)</f>
        <v>1185</v>
      </c>
      <c r="D841" s="2">
        <f>IFERROR(__xludf.DUMMYFUNCTION("""COMPUTED_VALUE"""),1175.0)</f>
        <v>1175</v>
      </c>
      <c r="E841" s="2">
        <f>IFERROR(__xludf.DUMMYFUNCTION("""COMPUTED_VALUE"""),1180.0)</f>
        <v>1180</v>
      </c>
      <c r="F841" s="2">
        <f>IFERROR(__xludf.DUMMYFUNCTION("""COMPUTED_VALUE"""),736300.0)</f>
        <v>736300</v>
      </c>
      <c r="G841" s="2">
        <f t="shared" si="1"/>
        <v>10</v>
      </c>
    </row>
    <row r="842" ht="15.75" customHeight="1">
      <c r="A842" s="1">
        <f>IFERROR(__xludf.DUMMYFUNCTION("""COMPUTED_VALUE"""),45092.66666666667)</f>
        <v>45092.66667</v>
      </c>
      <c r="B842" s="2">
        <f>IFERROR(__xludf.DUMMYFUNCTION("""COMPUTED_VALUE"""),1180.0)</f>
        <v>1180</v>
      </c>
      <c r="C842" s="2">
        <f>IFERROR(__xludf.DUMMYFUNCTION("""COMPUTED_VALUE"""),1185.0)</f>
        <v>1185</v>
      </c>
      <c r="D842" s="2">
        <f>IFERROR(__xludf.DUMMYFUNCTION("""COMPUTED_VALUE"""),1175.0)</f>
        <v>1175</v>
      </c>
      <c r="E842" s="2">
        <f>IFERROR(__xludf.DUMMYFUNCTION("""COMPUTED_VALUE"""),1185.0)</f>
        <v>1185</v>
      </c>
      <c r="F842" s="2">
        <f>IFERROR(__xludf.DUMMYFUNCTION("""COMPUTED_VALUE"""),884500.0)</f>
        <v>884500</v>
      </c>
      <c r="G842" s="2">
        <f t="shared" si="1"/>
        <v>10</v>
      </c>
    </row>
    <row r="843" ht="15.75" customHeight="1">
      <c r="A843" s="1">
        <f>IFERROR(__xludf.DUMMYFUNCTION("""COMPUTED_VALUE"""),45093.66666666667)</f>
        <v>45093.66667</v>
      </c>
      <c r="B843" s="2">
        <f>IFERROR(__xludf.DUMMYFUNCTION("""COMPUTED_VALUE"""),1185.0)</f>
        <v>1185</v>
      </c>
      <c r="C843" s="2">
        <f>IFERROR(__xludf.DUMMYFUNCTION("""COMPUTED_VALUE"""),1185.0)</f>
        <v>1185</v>
      </c>
      <c r="D843" s="2">
        <f>IFERROR(__xludf.DUMMYFUNCTION("""COMPUTED_VALUE"""),1175.0)</f>
        <v>1175</v>
      </c>
      <c r="E843" s="2">
        <f>IFERROR(__xludf.DUMMYFUNCTION("""COMPUTED_VALUE"""),1180.0)</f>
        <v>1180</v>
      </c>
      <c r="F843" s="2">
        <f>IFERROR(__xludf.DUMMYFUNCTION("""COMPUTED_VALUE"""),1746500.0)</f>
        <v>1746500</v>
      </c>
      <c r="G843" s="2">
        <f t="shared" si="1"/>
        <v>10</v>
      </c>
    </row>
    <row r="844" ht="15.75" customHeight="1">
      <c r="A844" s="1">
        <f>IFERROR(__xludf.DUMMYFUNCTION("""COMPUTED_VALUE"""),45096.66666666667)</f>
        <v>45096.66667</v>
      </c>
      <c r="B844" s="2">
        <f>IFERROR(__xludf.DUMMYFUNCTION("""COMPUTED_VALUE"""),1180.0)</f>
        <v>1180</v>
      </c>
      <c r="C844" s="2">
        <f>IFERROR(__xludf.DUMMYFUNCTION("""COMPUTED_VALUE"""),1180.0)</f>
        <v>1180</v>
      </c>
      <c r="D844" s="2">
        <f>IFERROR(__xludf.DUMMYFUNCTION("""COMPUTED_VALUE"""),1175.0)</f>
        <v>1175</v>
      </c>
      <c r="E844" s="2">
        <f>IFERROR(__xludf.DUMMYFUNCTION("""COMPUTED_VALUE"""),1180.0)</f>
        <v>1180</v>
      </c>
      <c r="F844" s="2">
        <f>IFERROR(__xludf.DUMMYFUNCTION("""COMPUTED_VALUE"""),1588300.0)</f>
        <v>1588300</v>
      </c>
      <c r="G844" s="2">
        <f t="shared" si="1"/>
        <v>5</v>
      </c>
    </row>
    <row r="845" ht="15.75" customHeight="1">
      <c r="A845" s="1">
        <f>IFERROR(__xludf.DUMMYFUNCTION("""COMPUTED_VALUE"""),45097.66666666667)</f>
        <v>45097.66667</v>
      </c>
      <c r="B845" s="2">
        <f>IFERROR(__xludf.DUMMYFUNCTION("""COMPUTED_VALUE"""),1180.0)</f>
        <v>1180</v>
      </c>
      <c r="C845" s="2">
        <f>IFERROR(__xludf.DUMMYFUNCTION("""COMPUTED_VALUE"""),1180.0)</f>
        <v>1180</v>
      </c>
      <c r="D845" s="2">
        <f>IFERROR(__xludf.DUMMYFUNCTION("""COMPUTED_VALUE"""),1175.0)</f>
        <v>1175</v>
      </c>
      <c r="E845" s="2">
        <f>IFERROR(__xludf.DUMMYFUNCTION("""COMPUTED_VALUE"""),1180.0)</f>
        <v>1180</v>
      </c>
      <c r="F845" s="2">
        <f>IFERROR(__xludf.DUMMYFUNCTION("""COMPUTED_VALUE"""),1209300.0)</f>
        <v>1209300</v>
      </c>
      <c r="G845" s="2">
        <f t="shared" si="1"/>
        <v>5</v>
      </c>
    </row>
    <row r="846" ht="15.75" customHeight="1">
      <c r="A846" s="1">
        <f>IFERROR(__xludf.DUMMYFUNCTION("""COMPUTED_VALUE"""),45098.66666666667)</f>
        <v>45098.66667</v>
      </c>
      <c r="B846" s="2">
        <f>IFERROR(__xludf.DUMMYFUNCTION("""COMPUTED_VALUE"""),1180.0)</f>
        <v>1180</v>
      </c>
      <c r="C846" s="2">
        <f>IFERROR(__xludf.DUMMYFUNCTION("""COMPUTED_VALUE"""),1180.0)</f>
        <v>1180</v>
      </c>
      <c r="D846" s="2">
        <f>IFERROR(__xludf.DUMMYFUNCTION("""COMPUTED_VALUE"""),1175.0)</f>
        <v>1175</v>
      </c>
      <c r="E846" s="2">
        <f>IFERROR(__xludf.DUMMYFUNCTION("""COMPUTED_VALUE"""),1180.0)</f>
        <v>1180</v>
      </c>
      <c r="F846" s="2">
        <f>IFERROR(__xludf.DUMMYFUNCTION("""COMPUTED_VALUE"""),1289400.0)</f>
        <v>1289400</v>
      </c>
      <c r="G846" s="2">
        <f t="shared" si="1"/>
        <v>5</v>
      </c>
    </row>
    <row r="847" ht="15.75" customHeight="1">
      <c r="A847" s="1">
        <f>IFERROR(__xludf.DUMMYFUNCTION("""COMPUTED_VALUE"""),45099.66666666667)</f>
        <v>45099.66667</v>
      </c>
      <c r="B847" s="2">
        <f>IFERROR(__xludf.DUMMYFUNCTION("""COMPUTED_VALUE"""),1180.0)</f>
        <v>1180</v>
      </c>
      <c r="C847" s="2">
        <f>IFERROR(__xludf.DUMMYFUNCTION("""COMPUTED_VALUE"""),1185.0)</f>
        <v>1185</v>
      </c>
      <c r="D847" s="2">
        <f>IFERROR(__xludf.DUMMYFUNCTION("""COMPUTED_VALUE"""),1175.0)</f>
        <v>1175</v>
      </c>
      <c r="E847" s="2">
        <f>IFERROR(__xludf.DUMMYFUNCTION("""COMPUTED_VALUE"""),1175.0)</f>
        <v>1175</v>
      </c>
      <c r="F847" s="2">
        <f>IFERROR(__xludf.DUMMYFUNCTION("""COMPUTED_VALUE"""),3575500.0)</f>
        <v>3575500</v>
      </c>
      <c r="G847" s="2">
        <f t="shared" si="1"/>
        <v>10</v>
      </c>
    </row>
    <row r="848" ht="15.75" customHeight="1">
      <c r="A848" s="1">
        <f>IFERROR(__xludf.DUMMYFUNCTION("""COMPUTED_VALUE"""),45100.66666666667)</f>
        <v>45100.66667</v>
      </c>
      <c r="B848" s="2">
        <f>IFERROR(__xludf.DUMMYFUNCTION("""COMPUTED_VALUE"""),1175.0)</f>
        <v>1175</v>
      </c>
      <c r="C848" s="2">
        <f>IFERROR(__xludf.DUMMYFUNCTION("""COMPUTED_VALUE"""),1185.0)</f>
        <v>1185</v>
      </c>
      <c r="D848" s="2">
        <f>IFERROR(__xludf.DUMMYFUNCTION("""COMPUTED_VALUE"""),1170.0)</f>
        <v>1170</v>
      </c>
      <c r="E848" s="2">
        <f>IFERROR(__xludf.DUMMYFUNCTION("""COMPUTED_VALUE"""),1170.0)</f>
        <v>1170</v>
      </c>
      <c r="F848" s="2">
        <f>IFERROR(__xludf.DUMMYFUNCTION("""COMPUTED_VALUE"""),2087200.0)</f>
        <v>2087200</v>
      </c>
      <c r="G848" s="2">
        <f t="shared" si="1"/>
        <v>15</v>
      </c>
    </row>
    <row r="849" ht="15.75" customHeight="1">
      <c r="A849" s="1">
        <f>IFERROR(__xludf.DUMMYFUNCTION("""COMPUTED_VALUE"""),45103.66666666667)</f>
        <v>45103.66667</v>
      </c>
      <c r="B849" s="2">
        <f>IFERROR(__xludf.DUMMYFUNCTION("""COMPUTED_VALUE"""),1175.0)</f>
        <v>1175</v>
      </c>
      <c r="C849" s="2">
        <f>IFERROR(__xludf.DUMMYFUNCTION("""COMPUTED_VALUE"""),1180.0)</f>
        <v>1180</v>
      </c>
      <c r="D849" s="2">
        <f>IFERROR(__xludf.DUMMYFUNCTION("""COMPUTED_VALUE"""),1170.0)</f>
        <v>1170</v>
      </c>
      <c r="E849" s="2">
        <f>IFERROR(__xludf.DUMMYFUNCTION("""COMPUTED_VALUE"""),1180.0)</f>
        <v>1180</v>
      </c>
      <c r="F849" s="2">
        <f>IFERROR(__xludf.DUMMYFUNCTION("""COMPUTED_VALUE"""),1836000.0)</f>
        <v>1836000</v>
      </c>
      <c r="G849" s="2">
        <f t="shared" si="1"/>
        <v>10</v>
      </c>
    </row>
    <row r="850" ht="15.75" customHeight="1">
      <c r="A850" s="1">
        <f>IFERROR(__xludf.DUMMYFUNCTION("""COMPUTED_VALUE"""),45104.66666666667)</f>
        <v>45104.66667</v>
      </c>
      <c r="B850" s="2">
        <f>IFERROR(__xludf.DUMMYFUNCTION("""COMPUTED_VALUE"""),1180.0)</f>
        <v>1180</v>
      </c>
      <c r="C850" s="2">
        <f>IFERROR(__xludf.DUMMYFUNCTION("""COMPUTED_VALUE"""),1185.0)</f>
        <v>1185</v>
      </c>
      <c r="D850" s="2">
        <f>IFERROR(__xludf.DUMMYFUNCTION("""COMPUTED_VALUE"""),1175.0)</f>
        <v>1175</v>
      </c>
      <c r="E850" s="2">
        <f>IFERROR(__xludf.DUMMYFUNCTION("""COMPUTED_VALUE"""),1180.0)</f>
        <v>1180</v>
      </c>
      <c r="F850" s="2">
        <f>IFERROR(__xludf.DUMMYFUNCTION("""COMPUTED_VALUE"""),1705000.0)</f>
        <v>1705000</v>
      </c>
      <c r="G850" s="2">
        <f t="shared" si="1"/>
        <v>10</v>
      </c>
    </row>
    <row r="851" ht="15.75" customHeight="1">
      <c r="A851" s="1">
        <f>IFERROR(__xludf.DUMMYFUNCTION("""COMPUTED_VALUE"""),45110.66666666667)</f>
        <v>45110.66667</v>
      </c>
      <c r="B851" s="2">
        <f>IFERROR(__xludf.DUMMYFUNCTION("""COMPUTED_VALUE"""),1180.0)</f>
        <v>1180</v>
      </c>
      <c r="C851" s="2">
        <f>IFERROR(__xludf.DUMMYFUNCTION("""COMPUTED_VALUE"""),1180.0)</f>
        <v>1180</v>
      </c>
      <c r="D851" s="2">
        <f>IFERROR(__xludf.DUMMYFUNCTION("""COMPUTED_VALUE"""),1170.0)</f>
        <v>1170</v>
      </c>
      <c r="E851" s="2">
        <f>IFERROR(__xludf.DUMMYFUNCTION("""COMPUTED_VALUE"""),1180.0)</f>
        <v>1180</v>
      </c>
      <c r="F851" s="2">
        <f>IFERROR(__xludf.DUMMYFUNCTION("""COMPUTED_VALUE"""),2921800.0)</f>
        <v>2921800</v>
      </c>
      <c r="G851" s="2">
        <f t="shared" si="1"/>
        <v>10</v>
      </c>
    </row>
    <row r="852" ht="15.75" customHeight="1">
      <c r="A852" s="1">
        <f>IFERROR(__xludf.DUMMYFUNCTION("""COMPUTED_VALUE"""),45111.66666666667)</f>
        <v>45111.66667</v>
      </c>
      <c r="B852" s="2">
        <f>IFERROR(__xludf.DUMMYFUNCTION("""COMPUTED_VALUE"""),1180.0)</f>
        <v>1180</v>
      </c>
      <c r="C852" s="2">
        <f>IFERROR(__xludf.DUMMYFUNCTION("""COMPUTED_VALUE"""),1185.0)</f>
        <v>1185</v>
      </c>
      <c r="D852" s="2">
        <f>IFERROR(__xludf.DUMMYFUNCTION("""COMPUTED_VALUE"""),1175.0)</f>
        <v>1175</v>
      </c>
      <c r="E852" s="2">
        <f>IFERROR(__xludf.DUMMYFUNCTION("""COMPUTED_VALUE"""),1185.0)</f>
        <v>1185</v>
      </c>
      <c r="F852" s="2">
        <f>IFERROR(__xludf.DUMMYFUNCTION("""COMPUTED_VALUE"""),1360900.0)</f>
        <v>1360900</v>
      </c>
      <c r="G852" s="2">
        <f t="shared" si="1"/>
        <v>10</v>
      </c>
    </row>
    <row r="853" ht="15.75" customHeight="1">
      <c r="A853" s="1">
        <f>IFERROR(__xludf.DUMMYFUNCTION("""COMPUTED_VALUE"""),45112.66666666667)</f>
        <v>45112.66667</v>
      </c>
      <c r="B853" s="2">
        <f>IFERROR(__xludf.DUMMYFUNCTION("""COMPUTED_VALUE"""),1185.0)</f>
        <v>1185</v>
      </c>
      <c r="C853" s="2">
        <f>IFERROR(__xludf.DUMMYFUNCTION("""COMPUTED_VALUE"""),1195.0)</f>
        <v>1195</v>
      </c>
      <c r="D853" s="2">
        <f>IFERROR(__xludf.DUMMYFUNCTION("""COMPUTED_VALUE"""),1180.0)</f>
        <v>1180</v>
      </c>
      <c r="E853" s="2">
        <f>IFERROR(__xludf.DUMMYFUNCTION("""COMPUTED_VALUE"""),1185.0)</f>
        <v>1185</v>
      </c>
      <c r="F853" s="2">
        <f>IFERROR(__xludf.DUMMYFUNCTION("""COMPUTED_VALUE"""),3351400.0)</f>
        <v>3351400</v>
      </c>
      <c r="G853" s="2">
        <f t="shared" si="1"/>
        <v>15</v>
      </c>
    </row>
    <row r="854" ht="15.75" customHeight="1">
      <c r="A854" s="1">
        <f>IFERROR(__xludf.DUMMYFUNCTION("""COMPUTED_VALUE"""),45113.66666666667)</f>
        <v>45113.66667</v>
      </c>
      <c r="B854" s="2">
        <f>IFERROR(__xludf.DUMMYFUNCTION("""COMPUTED_VALUE"""),1185.0)</f>
        <v>1185</v>
      </c>
      <c r="C854" s="2">
        <f>IFERROR(__xludf.DUMMYFUNCTION("""COMPUTED_VALUE"""),1190.0)</f>
        <v>1190</v>
      </c>
      <c r="D854" s="2">
        <f>IFERROR(__xludf.DUMMYFUNCTION("""COMPUTED_VALUE"""),1180.0)</f>
        <v>1180</v>
      </c>
      <c r="E854" s="2">
        <f>IFERROR(__xludf.DUMMYFUNCTION("""COMPUTED_VALUE"""),1180.0)</f>
        <v>1180</v>
      </c>
      <c r="F854" s="2">
        <f>IFERROR(__xludf.DUMMYFUNCTION("""COMPUTED_VALUE"""),3221800.0)</f>
        <v>3221800</v>
      </c>
      <c r="G854" s="2">
        <f t="shared" si="1"/>
        <v>10</v>
      </c>
    </row>
    <row r="855" ht="15.75" customHeight="1">
      <c r="A855" s="1">
        <f>IFERROR(__xludf.DUMMYFUNCTION("""COMPUTED_VALUE"""),45114.66666666667)</f>
        <v>45114.66667</v>
      </c>
      <c r="B855" s="2">
        <f>IFERROR(__xludf.DUMMYFUNCTION("""COMPUTED_VALUE"""),1180.0)</f>
        <v>1180</v>
      </c>
      <c r="C855" s="2">
        <f>IFERROR(__xludf.DUMMYFUNCTION("""COMPUTED_VALUE"""),1185.0)</f>
        <v>1185</v>
      </c>
      <c r="D855" s="2">
        <f>IFERROR(__xludf.DUMMYFUNCTION("""COMPUTED_VALUE"""),1180.0)</f>
        <v>1180</v>
      </c>
      <c r="E855" s="2">
        <f>IFERROR(__xludf.DUMMYFUNCTION("""COMPUTED_VALUE"""),1185.0)</f>
        <v>1185</v>
      </c>
      <c r="F855" s="2">
        <f>IFERROR(__xludf.DUMMYFUNCTION("""COMPUTED_VALUE"""),1326600.0)</f>
        <v>1326600</v>
      </c>
      <c r="G855" s="2">
        <f t="shared" si="1"/>
        <v>5</v>
      </c>
    </row>
    <row r="856" ht="15.75" customHeight="1">
      <c r="A856" s="1">
        <f>IFERROR(__xludf.DUMMYFUNCTION("""COMPUTED_VALUE"""),45117.66666666667)</f>
        <v>45117.66667</v>
      </c>
      <c r="B856" s="2">
        <f>IFERROR(__xludf.DUMMYFUNCTION("""COMPUTED_VALUE"""),1185.0)</f>
        <v>1185</v>
      </c>
      <c r="C856" s="2">
        <f>IFERROR(__xludf.DUMMYFUNCTION("""COMPUTED_VALUE"""),1195.0)</f>
        <v>1195</v>
      </c>
      <c r="D856" s="2">
        <f>IFERROR(__xludf.DUMMYFUNCTION("""COMPUTED_VALUE"""),1180.0)</f>
        <v>1180</v>
      </c>
      <c r="E856" s="2">
        <f>IFERROR(__xludf.DUMMYFUNCTION("""COMPUTED_VALUE"""),1185.0)</f>
        <v>1185</v>
      </c>
      <c r="F856" s="2">
        <f>IFERROR(__xludf.DUMMYFUNCTION("""COMPUTED_VALUE"""),3249900.0)</f>
        <v>3249900</v>
      </c>
      <c r="G856" s="2">
        <f t="shared" si="1"/>
        <v>15</v>
      </c>
    </row>
    <row r="857" ht="15.75" customHeight="1">
      <c r="A857" s="1">
        <f>IFERROR(__xludf.DUMMYFUNCTION("""COMPUTED_VALUE"""),45118.66666666667)</f>
        <v>45118.66667</v>
      </c>
      <c r="B857" s="2">
        <f>IFERROR(__xludf.DUMMYFUNCTION("""COMPUTED_VALUE"""),1195.0)</f>
        <v>1195</v>
      </c>
      <c r="C857" s="2">
        <f>IFERROR(__xludf.DUMMYFUNCTION("""COMPUTED_VALUE"""),1195.0)</f>
        <v>1195</v>
      </c>
      <c r="D857" s="2">
        <f>IFERROR(__xludf.DUMMYFUNCTION("""COMPUTED_VALUE"""),1180.0)</f>
        <v>1180</v>
      </c>
      <c r="E857" s="2">
        <f>IFERROR(__xludf.DUMMYFUNCTION("""COMPUTED_VALUE"""),1185.0)</f>
        <v>1185</v>
      </c>
      <c r="F857" s="2">
        <f>IFERROR(__xludf.DUMMYFUNCTION("""COMPUTED_VALUE"""),935100.0)</f>
        <v>935100</v>
      </c>
      <c r="G857" s="2">
        <f t="shared" si="1"/>
        <v>15</v>
      </c>
    </row>
    <row r="858" ht="15.75" customHeight="1">
      <c r="A858" s="1">
        <f>IFERROR(__xludf.DUMMYFUNCTION("""COMPUTED_VALUE"""),45119.66666666667)</f>
        <v>45119.66667</v>
      </c>
      <c r="B858" s="2">
        <f>IFERROR(__xludf.DUMMYFUNCTION("""COMPUTED_VALUE"""),1185.0)</f>
        <v>1185</v>
      </c>
      <c r="C858" s="2">
        <f>IFERROR(__xludf.DUMMYFUNCTION("""COMPUTED_VALUE"""),1195.0)</f>
        <v>1195</v>
      </c>
      <c r="D858" s="2">
        <f>IFERROR(__xludf.DUMMYFUNCTION("""COMPUTED_VALUE"""),1185.0)</f>
        <v>1185</v>
      </c>
      <c r="E858" s="2">
        <f>IFERROR(__xludf.DUMMYFUNCTION("""COMPUTED_VALUE"""),1185.0)</f>
        <v>1185</v>
      </c>
      <c r="F858" s="2">
        <f>IFERROR(__xludf.DUMMYFUNCTION("""COMPUTED_VALUE"""),3128200.0)</f>
        <v>3128200</v>
      </c>
      <c r="G858" s="2">
        <f t="shared" si="1"/>
        <v>10</v>
      </c>
    </row>
    <row r="859" ht="15.75" customHeight="1">
      <c r="A859" s="1">
        <f>IFERROR(__xludf.DUMMYFUNCTION("""COMPUTED_VALUE"""),45120.66666666667)</f>
        <v>45120.66667</v>
      </c>
      <c r="B859" s="2">
        <f>IFERROR(__xludf.DUMMYFUNCTION("""COMPUTED_VALUE"""),1185.0)</f>
        <v>1185</v>
      </c>
      <c r="C859" s="2">
        <f>IFERROR(__xludf.DUMMYFUNCTION("""COMPUTED_VALUE"""),1190.0)</f>
        <v>1190</v>
      </c>
      <c r="D859" s="2">
        <f>IFERROR(__xludf.DUMMYFUNCTION("""COMPUTED_VALUE"""),1185.0)</f>
        <v>1185</v>
      </c>
      <c r="E859" s="2">
        <f>IFERROR(__xludf.DUMMYFUNCTION("""COMPUTED_VALUE"""),1190.0)</f>
        <v>1190</v>
      </c>
      <c r="F859" s="2">
        <f>IFERROR(__xludf.DUMMYFUNCTION("""COMPUTED_VALUE"""),1871900.0)</f>
        <v>1871900</v>
      </c>
      <c r="G859" s="2">
        <f t="shared" si="1"/>
        <v>5</v>
      </c>
    </row>
    <row r="860" ht="15.75" customHeight="1">
      <c r="A860" s="1">
        <f>IFERROR(__xludf.DUMMYFUNCTION("""COMPUTED_VALUE"""),45121.66666666667)</f>
        <v>45121.66667</v>
      </c>
      <c r="B860" s="2">
        <f>IFERROR(__xludf.DUMMYFUNCTION("""COMPUTED_VALUE"""),1190.0)</f>
        <v>1190</v>
      </c>
      <c r="C860" s="2">
        <f>IFERROR(__xludf.DUMMYFUNCTION("""COMPUTED_VALUE"""),1195.0)</f>
        <v>1195</v>
      </c>
      <c r="D860" s="2">
        <f>IFERROR(__xludf.DUMMYFUNCTION("""COMPUTED_VALUE"""),1185.0)</f>
        <v>1185</v>
      </c>
      <c r="E860" s="2">
        <f>IFERROR(__xludf.DUMMYFUNCTION("""COMPUTED_VALUE"""),1195.0)</f>
        <v>1195</v>
      </c>
      <c r="F860" s="2">
        <f>IFERROR(__xludf.DUMMYFUNCTION("""COMPUTED_VALUE"""),3461900.0)</f>
        <v>3461900</v>
      </c>
      <c r="G860" s="2">
        <f t="shared" si="1"/>
        <v>10</v>
      </c>
    </row>
    <row r="861" ht="15.75" customHeight="1">
      <c r="A861" s="1">
        <f>IFERROR(__xludf.DUMMYFUNCTION("""COMPUTED_VALUE"""),45124.66666666667)</f>
        <v>45124.66667</v>
      </c>
      <c r="B861" s="2">
        <f>IFERROR(__xludf.DUMMYFUNCTION("""COMPUTED_VALUE"""),1190.0)</f>
        <v>1190</v>
      </c>
      <c r="C861" s="2">
        <f>IFERROR(__xludf.DUMMYFUNCTION("""COMPUTED_VALUE"""),1215.0)</f>
        <v>1215</v>
      </c>
      <c r="D861" s="2">
        <f>IFERROR(__xludf.DUMMYFUNCTION("""COMPUTED_VALUE"""),1190.0)</f>
        <v>1190</v>
      </c>
      <c r="E861" s="2">
        <f>IFERROR(__xludf.DUMMYFUNCTION("""COMPUTED_VALUE"""),1215.0)</f>
        <v>1215</v>
      </c>
      <c r="F861" s="2">
        <f>IFERROR(__xludf.DUMMYFUNCTION("""COMPUTED_VALUE"""),9568500.0)</f>
        <v>9568500</v>
      </c>
      <c r="G861" s="2">
        <f t="shared" si="1"/>
        <v>25</v>
      </c>
    </row>
    <row r="862" ht="15.75" customHeight="1">
      <c r="A862" s="1">
        <f>IFERROR(__xludf.DUMMYFUNCTION("""COMPUTED_VALUE"""),45125.66666666667)</f>
        <v>45125.66667</v>
      </c>
      <c r="B862" s="2">
        <f>IFERROR(__xludf.DUMMYFUNCTION("""COMPUTED_VALUE"""),1215.0)</f>
        <v>1215</v>
      </c>
      <c r="C862" s="2">
        <f>IFERROR(__xludf.DUMMYFUNCTION("""COMPUTED_VALUE"""),1230.0)</f>
        <v>1230</v>
      </c>
      <c r="D862" s="2">
        <f>IFERROR(__xludf.DUMMYFUNCTION("""COMPUTED_VALUE"""),1205.0)</f>
        <v>1205</v>
      </c>
      <c r="E862" s="2">
        <f>IFERROR(__xludf.DUMMYFUNCTION("""COMPUTED_VALUE"""),1210.0)</f>
        <v>1210</v>
      </c>
      <c r="F862" s="2">
        <f>IFERROR(__xludf.DUMMYFUNCTION("""COMPUTED_VALUE"""),5916800.0)</f>
        <v>5916800</v>
      </c>
      <c r="G862" s="2">
        <f t="shared" si="1"/>
        <v>25</v>
      </c>
    </row>
    <row r="863" ht="15.75" customHeight="1">
      <c r="A863" s="1">
        <f>IFERROR(__xludf.DUMMYFUNCTION("""COMPUTED_VALUE"""),45127.66666666667)</f>
        <v>45127.66667</v>
      </c>
      <c r="B863" s="2">
        <f>IFERROR(__xludf.DUMMYFUNCTION("""COMPUTED_VALUE"""),1210.0)</f>
        <v>1210</v>
      </c>
      <c r="C863" s="2">
        <f>IFERROR(__xludf.DUMMYFUNCTION("""COMPUTED_VALUE"""),1225.0)</f>
        <v>1225</v>
      </c>
      <c r="D863" s="2">
        <f>IFERROR(__xludf.DUMMYFUNCTION("""COMPUTED_VALUE"""),1205.0)</f>
        <v>1205</v>
      </c>
      <c r="E863" s="2">
        <f>IFERROR(__xludf.DUMMYFUNCTION("""COMPUTED_VALUE"""),1215.0)</f>
        <v>1215</v>
      </c>
      <c r="F863" s="2">
        <f>IFERROR(__xludf.DUMMYFUNCTION("""COMPUTED_VALUE"""),3075500.0)</f>
        <v>3075500</v>
      </c>
      <c r="G863" s="2">
        <f t="shared" si="1"/>
        <v>20</v>
      </c>
    </row>
    <row r="864" ht="15.75" customHeight="1">
      <c r="A864" s="1">
        <f>IFERROR(__xludf.DUMMYFUNCTION("""COMPUTED_VALUE"""),45128.66666666667)</f>
        <v>45128.66667</v>
      </c>
      <c r="B864" s="2">
        <f>IFERROR(__xludf.DUMMYFUNCTION("""COMPUTED_VALUE"""),1215.0)</f>
        <v>1215</v>
      </c>
      <c r="C864" s="2">
        <f>IFERROR(__xludf.DUMMYFUNCTION("""COMPUTED_VALUE"""),1220.0)</f>
        <v>1220</v>
      </c>
      <c r="D864" s="2">
        <f>IFERROR(__xludf.DUMMYFUNCTION("""COMPUTED_VALUE"""),1205.0)</f>
        <v>1205</v>
      </c>
      <c r="E864" s="2">
        <f>IFERROR(__xludf.DUMMYFUNCTION("""COMPUTED_VALUE"""),1210.0)</f>
        <v>1210</v>
      </c>
      <c r="F864" s="2">
        <f>IFERROR(__xludf.DUMMYFUNCTION("""COMPUTED_VALUE"""),2624200.0)</f>
        <v>2624200</v>
      </c>
      <c r="G864" s="2">
        <f t="shared" si="1"/>
        <v>15</v>
      </c>
    </row>
    <row r="865" ht="15.75" customHeight="1">
      <c r="A865" s="1">
        <f>IFERROR(__xludf.DUMMYFUNCTION("""COMPUTED_VALUE"""),45131.66666666667)</f>
        <v>45131.66667</v>
      </c>
      <c r="B865" s="2">
        <f>IFERROR(__xludf.DUMMYFUNCTION("""COMPUTED_VALUE"""),1210.0)</f>
        <v>1210</v>
      </c>
      <c r="C865" s="2">
        <f>IFERROR(__xludf.DUMMYFUNCTION("""COMPUTED_VALUE"""),1225.0)</f>
        <v>1225</v>
      </c>
      <c r="D865" s="2">
        <f>IFERROR(__xludf.DUMMYFUNCTION("""COMPUTED_VALUE"""),1210.0)</f>
        <v>1210</v>
      </c>
      <c r="E865" s="2">
        <f>IFERROR(__xludf.DUMMYFUNCTION("""COMPUTED_VALUE"""),1215.0)</f>
        <v>1215</v>
      </c>
      <c r="F865" s="2">
        <f>IFERROR(__xludf.DUMMYFUNCTION("""COMPUTED_VALUE"""),2494900.0)</f>
        <v>2494900</v>
      </c>
      <c r="G865" s="2">
        <f t="shared" si="1"/>
        <v>15</v>
      </c>
    </row>
    <row r="866" ht="15.75" customHeight="1">
      <c r="A866" s="1">
        <f>IFERROR(__xludf.DUMMYFUNCTION("""COMPUTED_VALUE"""),45132.66666666667)</f>
        <v>45132.66667</v>
      </c>
      <c r="B866" s="2">
        <f>IFERROR(__xludf.DUMMYFUNCTION("""COMPUTED_VALUE"""),1220.0)</f>
        <v>1220</v>
      </c>
      <c r="C866" s="2">
        <f>IFERROR(__xludf.DUMMYFUNCTION("""COMPUTED_VALUE"""),1220.0)</f>
        <v>1220</v>
      </c>
      <c r="D866" s="2">
        <f>IFERROR(__xludf.DUMMYFUNCTION("""COMPUTED_VALUE"""),1215.0)</f>
        <v>1215</v>
      </c>
      <c r="E866" s="2">
        <f>IFERROR(__xludf.DUMMYFUNCTION("""COMPUTED_VALUE"""),1220.0)</f>
        <v>1220</v>
      </c>
      <c r="F866" s="2">
        <f>IFERROR(__xludf.DUMMYFUNCTION("""COMPUTED_VALUE"""),1431600.0)</f>
        <v>1431600</v>
      </c>
      <c r="G866" s="2">
        <f t="shared" si="1"/>
        <v>5</v>
      </c>
    </row>
    <row r="867" ht="15.75" customHeight="1">
      <c r="A867" s="1">
        <f>IFERROR(__xludf.DUMMYFUNCTION("""COMPUTED_VALUE"""),45133.66666666667)</f>
        <v>45133.66667</v>
      </c>
      <c r="B867" s="2">
        <f>IFERROR(__xludf.DUMMYFUNCTION("""COMPUTED_VALUE"""),1220.0)</f>
        <v>1220</v>
      </c>
      <c r="C867" s="2">
        <f>IFERROR(__xludf.DUMMYFUNCTION("""COMPUTED_VALUE"""),1220.0)</f>
        <v>1220</v>
      </c>
      <c r="D867" s="2">
        <f>IFERROR(__xludf.DUMMYFUNCTION("""COMPUTED_VALUE"""),1205.0)</f>
        <v>1205</v>
      </c>
      <c r="E867" s="2">
        <f>IFERROR(__xludf.DUMMYFUNCTION("""COMPUTED_VALUE"""),1215.0)</f>
        <v>1215</v>
      </c>
      <c r="F867" s="2">
        <f>IFERROR(__xludf.DUMMYFUNCTION("""COMPUTED_VALUE"""),2210900.0)</f>
        <v>2210900</v>
      </c>
      <c r="G867" s="2">
        <f t="shared" si="1"/>
        <v>15</v>
      </c>
    </row>
    <row r="868" ht="15.75" customHeight="1">
      <c r="A868" s="1">
        <f>IFERROR(__xludf.DUMMYFUNCTION("""COMPUTED_VALUE"""),45134.66666666667)</f>
        <v>45134.66667</v>
      </c>
      <c r="B868" s="2">
        <f>IFERROR(__xludf.DUMMYFUNCTION("""COMPUTED_VALUE"""),1215.0)</f>
        <v>1215</v>
      </c>
      <c r="C868" s="2">
        <f>IFERROR(__xludf.DUMMYFUNCTION("""COMPUTED_VALUE"""),1215.0)</f>
        <v>1215</v>
      </c>
      <c r="D868" s="2">
        <f>IFERROR(__xludf.DUMMYFUNCTION("""COMPUTED_VALUE"""),1205.0)</f>
        <v>1205</v>
      </c>
      <c r="E868" s="2">
        <f>IFERROR(__xludf.DUMMYFUNCTION("""COMPUTED_VALUE"""),1210.0)</f>
        <v>1210</v>
      </c>
      <c r="F868" s="2">
        <f>IFERROR(__xludf.DUMMYFUNCTION("""COMPUTED_VALUE"""),1519100.0)</f>
        <v>1519100</v>
      </c>
      <c r="G868" s="2">
        <f t="shared" si="1"/>
        <v>10</v>
      </c>
    </row>
    <row r="869" ht="15.75" customHeight="1">
      <c r="A869" s="1">
        <f>IFERROR(__xludf.DUMMYFUNCTION("""COMPUTED_VALUE"""),45135.66666666667)</f>
        <v>45135.66667</v>
      </c>
      <c r="B869" s="2">
        <f>IFERROR(__xludf.DUMMYFUNCTION("""COMPUTED_VALUE"""),1215.0)</f>
        <v>1215</v>
      </c>
      <c r="C869" s="2">
        <f>IFERROR(__xludf.DUMMYFUNCTION("""COMPUTED_VALUE"""),1220.0)</f>
        <v>1220</v>
      </c>
      <c r="D869" s="2">
        <f>IFERROR(__xludf.DUMMYFUNCTION("""COMPUTED_VALUE"""),1190.0)</f>
        <v>1190</v>
      </c>
      <c r="E869" s="2">
        <f>IFERROR(__xludf.DUMMYFUNCTION("""COMPUTED_VALUE"""),1205.0)</f>
        <v>1205</v>
      </c>
      <c r="F869" s="2">
        <f>IFERROR(__xludf.DUMMYFUNCTION("""COMPUTED_VALUE"""),5294000.0)</f>
        <v>5294000</v>
      </c>
      <c r="G869" s="2">
        <f t="shared" si="1"/>
        <v>30</v>
      </c>
    </row>
    <row r="870" ht="15.75" customHeight="1">
      <c r="A870" s="1">
        <f>IFERROR(__xludf.DUMMYFUNCTION("""COMPUTED_VALUE"""),45138.66666666667)</f>
        <v>45138.66667</v>
      </c>
      <c r="B870" s="2">
        <f>IFERROR(__xludf.DUMMYFUNCTION("""COMPUTED_VALUE"""),1205.0)</f>
        <v>1205</v>
      </c>
      <c r="C870" s="2">
        <f>IFERROR(__xludf.DUMMYFUNCTION("""COMPUTED_VALUE"""),1215.0)</f>
        <v>1215</v>
      </c>
      <c r="D870" s="2">
        <f>IFERROR(__xludf.DUMMYFUNCTION("""COMPUTED_VALUE"""),1190.0)</f>
        <v>1190</v>
      </c>
      <c r="E870" s="2">
        <f>IFERROR(__xludf.DUMMYFUNCTION("""COMPUTED_VALUE"""),1190.0)</f>
        <v>1190</v>
      </c>
      <c r="F870" s="2">
        <f>IFERROR(__xludf.DUMMYFUNCTION("""COMPUTED_VALUE"""),3985500.0)</f>
        <v>3985500</v>
      </c>
      <c r="G870" s="2">
        <f t="shared" si="1"/>
        <v>25</v>
      </c>
    </row>
    <row r="871" ht="15.75" customHeight="1">
      <c r="A871" s="1">
        <f>IFERROR(__xludf.DUMMYFUNCTION("""COMPUTED_VALUE"""),45139.66666666667)</f>
        <v>45139.66667</v>
      </c>
      <c r="B871" s="2">
        <f>IFERROR(__xludf.DUMMYFUNCTION("""COMPUTED_VALUE"""),1190.0)</f>
        <v>1190</v>
      </c>
      <c r="C871" s="2">
        <f>IFERROR(__xludf.DUMMYFUNCTION("""COMPUTED_VALUE"""),1200.0)</f>
        <v>1200</v>
      </c>
      <c r="D871" s="2">
        <f>IFERROR(__xludf.DUMMYFUNCTION("""COMPUTED_VALUE"""),1185.0)</f>
        <v>1185</v>
      </c>
      <c r="E871" s="2">
        <f>IFERROR(__xludf.DUMMYFUNCTION("""COMPUTED_VALUE"""),1185.0)</f>
        <v>1185</v>
      </c>
      <c r="F871" s="2">
        <f>IFERROR(__xludf.DUMMYFUNCTION("""COMPUTED_VALUE"""),2445000.0)</f>
        <v>2445000</v>
      </c>
      <c r="G871" s="2">
        <f t="shared" si="1"/>
        <v>15</v>
      </c>
    </row>
    <row r="872" ht="15.75" customHeight="1">
      <c r="A872" s="1">
        <f>IFERROR(__xludf.DUMMYFUNCTION("""COMPUTED_VALUE"""),45140.66666666667)</f>
        <v>45140.66667</v>
      </c>
      <c r="B872" s="2">
        <f>IFERROR(__xludf.DUMMYFUNCTION("""COMPUTED_VALUE"""),1190.0)</f>
        <v>1190</v>
      </c>
      <c r="C872" s="2">
        <f>IFERROR(__xludf.DUMMYFUNCTION("""COMPUTED_VALUE"""),1195.0)</f>
        <v>1195</v>
      </c>
      <c r="D872" s="2">
        <f>IFERROR(__xludf.DUMMYFUNCTION("""COMPUTED_VALUE"""),1175.0)</f>
        <v>1175</v>
      </c>
      <c r="E872" s="2">
        <f>IFERROR(__xludf.DUMMYFUNCTION("""COMPUTED_VALUE"""),1180.0)</f>
        <v>1180</v>
      </c>
      <c r="F872" s="2">
        <f>IFERROR(__xludf.DUMMYFUNCTION("""COMPUTED_VALUE"""),3299100.0)</f>
        <v>3299100</v>
      </c>
      <c r="G872" s="2">
        <f t="shared" si="1"/>
        <v>20</v>
      </c>
    </row>
    <row r="873" ht="15.75" customHeight="1">
      <c r="A873" s="1">
        <f>IFERROR(__xludf.DUMMYFUNCTION("""COMPUTED_VALUE"""),45141.66666666667)</f>
        <v>45141.66667</v>
      </c>
      <c r="B873" s="2">
        <f>IFERROR(__xludf.DUMMYFUNCTION("""COMPUTED_VALUE"""),1180.0)</f>
        <v>1180</v>
      </c>
      <c r="C873" s="2">
        <f>IFERROR(__xludf.DUMMYFUNCTION("""COMPUTED_VALUE"""),1190.0)</f>
        <v>1190</v>
      </c>
      <c r="D873" s="2">
        <f>IFERROR(__xludf.DUMMYFUNCTION("""COMPUTED_VALUE"""),1180.0)</f>
        <v>1180</v>
      </c>
      <c r="E873" s="2">
        <f>IFERROR(__xludf.DUMMYFUNCTION("""COMPUTED_VALUE"""),1185.0)</f>
        <v>1185</v>
      </c>
      <c r="F873" s="2">
        <f>IFERROR(__xludf.DUMMYFUNCTION("""COMPUTED_VALUE"""),1494900.0)</f>
        <v>1494900</v>
      </c>
      <c r="G873" s="2">
        <f t="shared" si="1"/>
        <v>10</v>
      </c>
    </row>
    <row r="874" ht="15.75" customHeight="1">
      <c r="A874" s="1">
        <f>IFERROR(__xludf.DUMMYFUNCTION("""COMPUTED_VALUE"""),45142.66666666667)</f>
        <v>45142.66667</v>
      </c>
      <c r="B874" s="2">
        <f>IFERROR(__xludf.DUMMYFUNCTION("""COMPUTED_VALUE"""),1185.0)</f>
        <v>1185</v>
      </c>
      <c r="C874" s="2">
        <f>IFERROR(__xludf.DUMMYFUNCTION("""COMPUTED_VALUE"""),1190.0)</f>
        <v>1190</v>
      </c>
      <c r="D874" s="2">
        <f>IFERROR(__xludf.DUMMYFUNCTION("""COMPUTED_VALUE"""),1180.0)</f>
        <v>1180</v>
      </c>
      <c r="E874" s="2">
        <f>IFERROR(__xludf.DUMMYFUNCTION("""COMPUTED_VALUE"""),1185.0)</f>
        <v>1185</v>
      </c>
      <c r="F874" s="2">
        <f>IFERROR(__xludf.DUMMYFUNCTION("""COMPUTED_VALUE"""),978200.0)</f>
        <v>978200</v>
      </c>
      <c r="G874" s="2">
        <f t="shared" si="1"/>
        <v>10</v>
      </c>
    </row>
    <row r="875" ht="15.75" customHeight="1">
      <c r="A875" s="1">
        <f>IFERROR(__xludf.DUMMYFUNCTION("""COMPUTED_VALUE"""),45145.66666666667)</f>
        <v>45145.66667</v>
      </c>
      <c r="B875" s="2">
        <f>IFERROR(__xludf.DUMMYFUNCTION("""COMPUTED_VALUE"""),1185.0)</f>
        <v>1185</v>
      </c>
      <c r="C875" s="2">
        <f>IFERROR(__xludf.DUMMYFUNCTION("""COMPUTED_VALUE"""),1195.0)</f>
        <v>1195</v>
      </c>
      <c r="D875" s="2">
        <f>IFERROR(__xludf.DUMMYFUNCTION("""COMPUTED_VALUE"""),1180.0)</f>
        <v>1180</v>
      </c>
      <c r="E875" s="2">
        <f>IFERROR(__xludf.DUMMYFUNCTION("""COMPUTED_VALUE"""),1185.0)</f>
        <v>1185</v>
      </c>
      <c r="F875" s="2">
        <f>IFERROR(__xludf.DUMMYFUNCTION("""COMPUTED_VALUE"""),1704400.0)</f>
        <v>1704400</v>
      </c>
      <c r="G875" s="2">
        <f t="shared" si="1"/>
        <v>15</v>
      </c>
    </row>
    <row r="876" ht="15.75" customHeight="1">
      <c r="A876" s="1">
        <f>IFERROR(__xludf.DUMMYFUNCTION("""COMPUTED_VALUE"""),45146.66666666667)</f>
        <v>45146.66667</v>
      </c>
      <c r="B876" s="2">
        <f>IFERROR(__xludf.DUMMYFUNCTION("""COMPUTED_VALUE"""),1190.0)</f>
        <v>1190</v>
      </c>
      <c r="C876" s="2">
        <f>IFERROR(__xludf.DUMMYFUNCTION("""COMPUTED_VALUE"""),1200.0)</f>
        <v>1200</v>
      </c>
      <c r="D876" s="2">
        <f>IFERROR(__xludf.DUMMYFUNCTION("""COMPUTED_VALUE"""),1185.0)</f>
        <v>1185</v>
      </c>
      <c r="E876" s="2">
        <f>IFERROR(__xludf.DUMMYFUNCTION("""COMPUTED_VALUE"""),1190.0)</f>
        <v>1190</v>
      </c>
      <c r="F876" s="2">
        <f>IFERROR(__xludf.DUMMYFUNCTION("""COMPUTED_VALUE"""),1459000.0)</f>
        <v>1459000</v>
      </c>
      <c r="G876" s="2">
        <f t="shared" si="1"/>
        <v>15</v>
      </c>
    </row>
    <row r="877" ht="15.75" customHeight="1">
      <c r="A877" s="1">
        <f>IFERROR(__xludf.DUMMYFUNCTION("""COMPUTED_VALUE"""),45147.66666666667)</f>
        <v>45147.66667</v>
      </c>
      <c r="B877" s="2">
        <f>IFERROR(__xludf.DUMMYFUNCTION("""COMPUTED_VALUE"""),1190.0)</f>
        <v>1190</v>
      </c>
      <c r="C877" s="2">
        <f>IFERROR(__xludf.DUMMYFUNCTION("""COMPUTED_VALUE"""),1195.0)</f>
        <v>1195</v>
      </c>
      <c r="D877" s="2">
        <f>IFERROR(__xludf.DUMMYFUNCTION("""COMPUTED_VALUE"""),1185.0)</f>
        <v>1185</v>
      </c>
      <c r="E877" s="2">
        <f>IFERROR(__xludf.DUMMYFUNCTION("""COMPUTED_VALUE"""),1190.0)</f>
        <v>1190</v>
      </c>
      <c r="F877" s="2">
        <f>IFERROR(__xludf.DUMMYFUNCTION("""COMPUTED_VALUE"""),2510700.0)</f>
        <v>2510700</v>
      </c>
      <c r="G877" s="2">
        <f t="shared" si="1"/>
        <v>10</v>
      </c>
    </row>
    <row r="878" ht="15.75" customHeight="1">
      <c r="A878" s="1">
        <f>IFERROR(__xludf.DUMMYFUNCTION("""COMPUTED_VALUE"""),45148.66666666667)</f>
        <v>45148.66667</v>
      </c>
      <c r="B878" s="2">
        <f>IFERROR(__xludf.DUMMYFUNCTION("""COMPUTED_VALUE"""),1195.0)</f>
        <v>1195</v>
      </c>
      <c r="C878" s="2">
        <f>IFERROR(__xludf.DUMMYFUNCTION("""COMPUTED_VALUE"""),1195.0)</f>
        <v>1195</v>
      </c>
      <c r="D878" s="2">
        <f>IFERROR(__xludf.DUMMYFUNCTION("""COMPUTED_VALUE"""),1185.0)</f>
        <v>1185</v>
      </c>
      <c r="E878" s="2">
        <f>IFERROR(__xludf.DUMMYFUNCTION("""COMPUTED_VALUE"""),1185.0)</f>
        <v>1185</v>
      </c>
      <c r="F878" s="2">
        <f>IFERROR(__xludf.DUMMYFUNCTION("""COMPUTED_VALUE"""),1819800.0)</f>
        <v>1819800</v>
      </c>
      <c r="G878" s="2">
        <f t="shared" si="1"/>
        <v>10</v>
      </c>
    </row>
    <row r="879" ht="15.75" customHeight="1">
      <c r="A879" s="1">
        <f>IFERROR(__xludf.DUMMYFUNCTION("""COMPUTED_VALUE"""),45149.66666666667)</f>
        <v>45149.66667</v>
      </c>
      <c r="B879" s="2">
        <f>IFERROR(__xludf.DUMMYFUNCTION("""COMPUTED_VALUE"""),1185.0)</f>
        <v>1185</v>
      </c>
      <c r="C879" s="2">
        <f>IFERROR(__xludf.DUMMYFUNCTION("""COMPUTED_VALUE"""),1190.0)</f>
        <v>1190</v>
      </c>
      <c r="D879" s="2">
        <f>IFERROR(__xludf.DUMMYFUNCTION("""COMPUTED_VALUE"""),1180.0)</f>
        <v>1180</v>
      </c>
      <c r="E879" s="2">
        <f>IFERROR(__xludf.DUMMYFUNCTION("""COMPUTED_VALUE"""),1180.0)</f>
        <v>1180</v>
      </c>
      <c r="F879" s="2">
        <f>IFERROR(__xludf.DUMMYFUNCTION("""COMPUTED_VALUE"""),1610500.0)</f>
        <v>1610500</v>
      </c>
      <c r="G879" s="2">
        <f t="shared" si="1"/>
        <v>10</v>
      </c>
    </row>
    <row r="880" ht="15.75" customHeight="1">
      <c r="A880" s="1">
        <f>IFERROR(__xludf.DUMMYFUNCTION("""COMPUTED_VALUE"""),45152.66666666667)</f>
        <v>45152.66667</v>
      </c>
      <c r="B880" s="2">
        <f>IFERROR(__xludf.DUMMYFUNCTION("""COMPUTED_VALUE"""),1180.0)</f>
        <v>1180</v>
      </c>
      <c r="C880" s="2">
        <f>IFERROR(__xludf.DUMMYFUNCTION("""COMPUTED_VALUE"""),1190.0)</f>
        <v>1190</v>
      </c>
      <c r="D880" s="2">
        <f>IFERROR(__xludf.DUMMYFUNCTION("""COMPUTED_VALUE"""),1175.0)</f>
        <v>1175</v>
      </c>
      <c r="E880" s="2">
        <f>IFERROR(__xludf.DUMMYFUNCTION("""COMPUTED_VALUE"""),1185.0)</f>
        <v>1185</v>
      </c>
      <c r="F880" s="2">
        <f>IFERROR(__xludf.DUMMYFUNCTION("""COMPUTED_VALUE"""),2123000.0)</f>
        <v>2123000</v>
      </c>
      <c r="G880" s="2">
        <f t="shared" si="1"/>
        <v>15</v>
      </c>
    </row>
    <row r="881" ht="15.75" customHeight="1">
      <c r="A881" s="1">
        <f>IFERROR(__xludf.DUMMYFUNCTION("""COMPUTED_VALUE"""),45153.66666666667)</f>
        <v>45153.66667</v>
      </c>
      <c r="B881" s="2">
        <f>IFERROR(__xludf.DUMMYFUNCTION("""COMPUTED_VALUE"""),1185.0)</f>
        <v>1185</v>
      </c>
      <c r="C881" s="2">
        <f>IFERROR(__xludf.DUMMYFUNCTION("""COMPUTED_VALUE"""),1200.0)</f>
        <v>1200</v>
      </c>
      <c r="D881" s="2">
        <f>IFERROR(__xludf.DUMMYFUNCTION("""COMPUTED_VALUE"""),1180.0)</f>
        <v>1180</v>
      </c>
      <c r="E881" s="2">
        <f>IFERROR(__xludf.DUMMYFUNCTION("""COMPUTED_VALUE"""),1195.0)</f>
        <v>1195</v>
      </c>
      <c r="F881" s="2">
        <f>IFERROR(__xludf.DUMMYFUNCTION("""COMPUTED_VALUE"""),3800000.0)</f>
        <v>3800000</v>
      </c>
      <c r="G881" s="2">
        <f t="shared" si="1"/>
        <v>20</v>
      </c>
    </row>
    <row r="882" ht="15.75" customHeight="1">
      <c r="A882" s="1">
        <f>IFERROR(__xludf.DUMMYFUNCTION("""COMPUTED_VALUE"""),45154.66666666667)</f>
        <v>45154.66667</v>
      </c>
      <c r="B882" s="2">
        <f>IFERROR(__xludf.DUMMYFUNCTION("""COMPUTED_VALUE"""),1195.0)</f>
        <v>1195</v>
      </c>
      <c r="C882" s="2">
        <f>IFERROR(__xludf.DUMMYFUNCTION("""COMPUTED_VALUE"""),1200.0)</f>
        <v>1200</v>
      </c>
      <c r="D882" s="2">
        <f>IFERROR(__xludf.DUMMYFUNCTION("""COMPUTED_VALUE"""),1185.0)</f>
        <v>1185</v>
      </c>
      <c r="E882" s="2">
        <f>IFERROR(__xludf.DUMMYFUNCTION("""COMPUTED_VALUE"""),1185.0)</f>
        <v>1185</v>
      </c>
      <c r="F882" s="2">
        <f>IFERROR(__xludf.DUMMYFUNCTION("""COMPUTED_VALUE"""),823300.0)</f>
        <v>823300</v>
      </c>
      <c r="G882" s="2">
        <f t="shared" si="1"/>
        <v>15</v>
      </c>
    </row>
    <row r="883" ht="15.75" customHeight="1">
      <c r="A883" s="1">
        <f>IFERROR(__xludf.DUMMYFUNCTION("""COMPUTED_VALUE"""),45156.66666666667)</f>
        <v>45156.66667</v>
      </c>
      <c r="B883" s="2">
        <f>IFERROR(__xludf.DUMMYFUNCTION("""COMPUTED_VALUE"""),1185.0)</f>
        <v>1185</v>
      </c>
      <c r="C883" s="2">
        <f>IFERROR(__xludf.DUMMYFUNCTION("""COMPUTED_VALUE"""),1190.0)</f>
        <v>1190</v>
      </c>
      <c r="D883" s="2">
        <f>IFERROR(__xludf.DUMMYFUNCTION("""COMPUTED_VALUE"""),1180.0)</f>
        <v>1180</v>
      </c>
      <c r="E883" s="2">
        <f>IFERROR(__xludf.DUMMYFUNCTION("""COMPUTED_VALUE"""),1180.0)</f>
        <v>1180</v>
      </c>
      <c r="F883" s="2">
        <f>IFERROR(__xludf.DUMMYFUNCTION("""COMPUTED_VALUE"""),2804100.0)</f>
        <v>2804100</v>
      </c>
      <c r="G883" s="2">
        <f t="shared" si="1"/>
        <v>10</v>
      </c>
    </row>
    <row r="884" ht="15.75" customHeight="1">
      <c r="A884" s="1">
        <f>IFERROR(__xludf.DUMMYFUNCTION("""COMPUTED_VALUE"""),45159.66666666667)</f>
        <v>45159.66667</v>
      </c>
      <c r="B884" s="2">
        <f>IFERROR(__xludf.DUMMYFUNCTION("""COMPUTED_VALUE"""),1180.0)</f>
        <v>1180</v>
      </c>
      <c r="C884" s="2">
        <f>IFERROR(__xludf.DUMMYFUNCTION("""COMPUTED_VALUE"""),1185.0)</f>
        <v>1185</v>
      </c>
      <c r="D884" s="2">
        <f>IFERROR(__xludf.DUMMYFUNCTION("""COMPUTED_VALUE"""),1170.0)</f>
        <v>1170</v>
      </c>
      <c r="E884" s="2">
        <f>IFERROR(__xludf.DUMMYFUNCTION("""COMPUTED_VALUE"""),1175.0)</f>
        <v>1175</v>
      </c>
      <c r="F884" s="2">
        <f>IFERROR(__xludf.DUMMYFUNCTION("""COMPUTED_VALUE"""),5208900.0)</f>
        <v>5208900</v>
      </c>
      <c r="G884" s="2">
        <f t="shared" si="1"/>
        <v>15</v>
      </c>
    </row>
    <row r="885" ht="15.75" customHeight="1">
      <c r="A885" s="1">
        <f>IFERROR(__xludf.DUMMYFUNCTION("""COMPUTED_VALUE"""),45160.66666666667)</f>
        <v>45160.66667</v>
      </c>
      <c r="B885" s="2">
        <f>IFERROR(__xludf.DUMMYFUNCTION("""COMPUTED_VALUE"""),1175.0)</f>
        <v>1175</v>
      </c>
      <c r="C885" s="2">
        <f>IFERROR(__xludf.DUMMYFUNCTION("""COMPUTED_VALUE"""),1180.0)</f>
        <v>1180</v>
      </c>
      <c r="D885" s="2">
        <f>IFERROR(__xludf.DUMMYFUNCTION("""COMPUTED_VALUE"""),1170.0)</f>
        <v>1170</v>
      </c>
      <c r="E885" s="2">
        <f>IFERROR(__xludf.DUMMYFUNCTION("""COMPUTED_VALUE"""),1180.0)</f>
        <v>1180</v>
      </c>
      <c r="F885" s="2">
        <f>IFERROR(__xludf.DUMMYFUNCTION("""COMPUTED_VALUE"""),2119200.0)</f>
        <v>2119200</v>
      </c>
      <c r="G885" s="2">
        <f t="shared" si="1"/>
        <v>10</v>
      </c>
    </row>
    <row r="886" ht="15.75" customHeight="1">
      <c r="A886" s="1">
        <f>IFERROR(__xludf.DUMMYFUNCTION("""COMPUTED_VALUE"""),45161.66666666667)</f>
        <v>45161.66667</v>
      </c>
      <c r="B886" s="2">
        <f>IFERROR(__xludf.DUMMYFUNCTION("""COMPUTED_VALUE"""),1180.0)</f>
        <v>1180</v>
      </c>
      <c r="C886" s="2">
        <f>IFERROR(__xludf.DUMMYFUNCTION("""COMPUTED_VALUE"""),1185.0)</f>
        <v>1185</v>
      </c>
      <c r="D886" s="2">
        <f>IFERROR(__xludf.DUMMYFUNCTION("""COMPUTED_VALUE"""),1175.0)</f>
        <v>1175</v>
      </c>
      <c r="E886" s="2">
        <f>IFERROR(__xludf.DUMMYFUNCTION("""COMPUTED_VALUE"""),1175.0)</f>
        <v>1175</v>
      </c>
      <c r="F886" s="2">
        <f>IFERROR(__xludf.DUMMYFUNCTION("""COMPUTED_VALUE"""),1371600.0)</f>
        <v>1371600</v>
      </c>
      <c r="G886" s="2">
        <f t="shared" si="1"/>
        <v>10</v>
      </c>
    </row>
    <row r="887" ht="15.75" customHeight="1">
      <c r="A887" s="1">
        <f>IFERROR(__xludf.DUMMYFUNCTION("""COMPUTED_VALUE"""),45162.66666666667)</f>
        <v>45162.66667</v>
      </c>
      <c r="B887" s="2">
        <f>IFERROR(__xludf.DUMMYFUNCTION("""COMPUTED_VALUE"""),1175.0)</f>
        <v>1175</v>
      </c>
      <c r="C887" s="2">
        <f>IFERROR(__xludf.DUMMYFUNCTION("""COMPUTED_VALUE"""),1185.0)</f>
        <v>1185</v>
      </c>
      <c r="D887" s="2">
        <f>IFERROR(__xludf.DUMMYFUNCTION("""COMPUTED_VALUE"""),1175.0)</f>
        <v>1175</v>
      </c>
      <c r="E887" s="2">
        <f>IFERROR(__xludf.DUMMYFUNCTION("""COMPUTED_VALUE"""),1175.0)</f>
        <v>1175</v>
      </c>
      <c r="F887" s="2">
        <f>IFERROR(__xludf.DUMMYFUNCTION("""COMPUTED_VALUE"""),2161100.0)</f>
        <v>2161100</v>
      </c>
      <c r="G887" s="2">
        <f t="shared" si="1"/>
        <v>10</v>
      </c>
    </row>
    <row r="888" ht="15.75" customHeight="1">
      <c r="A888" s="1">
        <f>IFERROR(__xludf.DUMMYFUNCTION("""COMPUTED_VALUE"""),45163.66666666667)</f>
        <v>45163.66667</v>
      </c>
      <c r="B888" s="2">
        <f>IFERROR(__xludf.DUMMYFUNCTION("""COMPUTED_VALUE"""),1175.0)</f>
        <v>1175</v>
      </c>
      <c r="C888" s="2">
        <f>IFERROR(__xludf.DUMMYFUNCTION("""COMPUTED_VALUE"""),1185.0)</f>
        <v>1185</v>
      </c>
      <c r="D888" s="2">
        <f>IFERROR(__xludf.DUMMYFUNCTION("""COMPUTED_VALUE"""),1175.0)</f>
        <v>1175</v>
      </c>
      <c r="E888" s="2">
        <f>IFERROR(__xludf.DUMMYFUNCTION("""COMPUTED_VALUE"""),1180.0)</f>
        <v>1180</v>
      </c>
      <c r="F888" s="2">
        <f>IFERROR(__xludf.DUMMYFUNCTION("""COMPUTED_VALUE"""),1141700.0)</f>
        <v>1141700</v>
      </c>
      <c r="G888" s="2">
        <f t="shared" si="1"/>
        <v>10</v>
      </c>
    </row>
    <row r="889" ht="15.75" customHeight="1">
      <c r="A889" s="1">
        <f>IFERROR(__xludf.DUMMYFUNCTION("""COMPUTED_VALUE"""),45166.66666666667)</f>
        <v>45166.66667</v>
      </c>
      <c r="B889" s="2">
        <f>IFERROR(__xludf.DUMMYFUNCTION("""COMPUTED_VALUE"""),1180.0)</f>
        <v>1180</v>
      </c>
      <c r="C889" s="2">
        <f>IFERROR(__xludf.DUMMYFUNCTION("""COMPUTED_VALUE"""),1185.0)</f>
        <v>1185</v>
      </c>
      <c r="D889" s="2">
        <f>IFERROR(__xludf.DUMMYFUNCTION("""COMPUTED_VALUE"""),1175.0)</f>
        <v>1175</v>
      </c>
      <c r="E889" s="2">
        <f>IFERROR(__xludf.DUMMYFUNCTION("""COMPUTED_VALUE"""),1175.0)</f>
        <v>1175</v>
      </c>
      <c r="F889" s="2">
        <f>IFERROR(__xludf.DUMMYFUNCTION("""COMPUTED_VALUE"""),2309400.0)</f>
        <v>2309400</v>
      </c>
      <c r="G889" s="2">
        <f t="shared" si="1"/>
        <v>10</v>
      </c>
    </row>
    <row r="890" ht="15.75" customHeight="1">
      <c r="A890" s="1">
        <f>IFERROR(__xludf.DUMMYFUNCTION("""COMPUTED_VALUE"""),45167.66666666667)</f>
        <v>45167.66667</v>
      </c>
      <c r="B890" s="2">
        <f>IFERROR(__xludf.DUMMYFUNCTION("""COMPUTED_VALUE"""),1175.0)</f>
        <v>1175</v>
      </c>
      <c r="C890" s="2">
        <f>IFERROR(__xludf.DUMMYFUNCTION("""COMPUTED_VALUE"""),1190.0)</f>
        <v>1190</v>
      </c>
      <c r="D890" s="2">
        <f>IFERROR(__xludf.DUMMYFUNCTION("""COMPUTED_VALUE"""),1175.0)</f>
        <v>1175</v>
      </c>
      <c r="E890" s="2">
        <f>IFERROR(__xludf.DUMMYFUNCTION("""COMPUTED_VALUE"""),1185.0)</f>
        <v>1185</v>
      </c>
      <c r="F890" s="2">
        <f>IFERROR(__xludf.DUMMYFUNCTION("""COMPUTED_VALUE"""),963700.0)</f>
        <v>963700</v>
      </c>
      <c r="G890" s="2">
        <f t="shared" si="1"/>
        <v>15</v>
      </c>
    </row>
    <row r="891" ht="15.75" customHeight="1">
      <c r="A891" s="1">
        <f>IFERROR(__xludf.DUMMYFUNCTION("""COMPUTED_VALUE"""),45168.66666666667)</f>
        <v>45168.66667</v>
      </c>
      <c r="B891" s="2">
        <f>IFERROR(__xludf.DUMMYFUNCTION("""COMPUTED_VALUE"""),1185.0)</f>
        <v>1185</v>
      </c>
      <c r="C891" s="2">
        <f>IFERROR(__xludf.DUMMYFUNCTION("""COMPUTED_VALUE"""),1185.0)</f>
        <v>1185</v>
      </c>
      <c r="D891" s="2">
        <f>IFERROR(__xludf.DUMMYFUNCTION("""COMPUTED_VALUE"""),1180.0)</f>
        <v>1180</v>
      </c>
      <c r="E891" s="2">
        <f>IFERROR(__xludf.DUMMYFUNCTION("""COMPUTED_VALUE"""),1185.0)</f>
        <v>1185</v>
      </c>
      <c r="F891" s="2">
        <f>IFERROR(__xludf.DUMMYFUNCTION("""COMPUTED_VALUE"""),1211900.0)</f>
        <v>1211900</v>
      </c>
      <c r="G891" s="2">
        <f t="shared" si="1"/>
        <v>5</v>
      </c>
    </row>
    <row r="892" ht="15.75" customHeight="1">
      <c r="A892" s="1">
        <f>IFERROR(__xludf.DUMMYFUNCTION("""COMPUTED_VALUE"""),45169.66666666667)</f>
        <v>45169.66667</v>
      </c>
      <c r="B892" s="2">
        <f>IFERROR(__xludf.DUMMYFUNCTION("""COMPUTED_VALUE"""),1185.0)</f>
        <v>1185</v>
      </c>
      <c r="C892" s="2">
        <f>IFERROR(__xludf.DUMMYFUNCTION("""COMPUTED_VALUE"""),1185.0)</f>
        <v>1185</v>
      </c>
      <c r="D892" s="2">
        <f>IFERROR(__xludf.DUMMYFUNCTION("""COMPUTED_VALUE"""),1180.0)</f>
        <v>1180</v>
      </c>
      <c r="E892" s="2">
        <f>IFERROR(__xludf.DUMMYFUNCTION("""COMPUTED_VALUE"""),1185.0)</f>
        <v>1185</v>
      </c>
      <c r="F892" s="2">
        <f>IFERROR(__xludf.DUMMYFUNCTION("""COMPUTED_VALUE"""),2043800.0)</f>
        <v>2043800</v>
      </c>
      <c r="G892" s="2">
        <f t="shared" si="1"/>
        <v>5</v>
      </c>
    </row>
    <row r="893" ht="15.75" customHeight="1">
      <c r="A893" s="1">
        <f>IFERROR(__xludf.DUMMYFUNCTION("""COMPUTED_VALUE"""),45170.66666666667)</f>
        <v>45170.66667</v>
      </c>
      <c r="B893" s="2">
        <f>IFERROR(__xludf.DUMMYFUNCTION("""COMPUTED_VALUE"""),1180.0)</f>
        <v>1180</v>
      </c>
      <c r="C893" s="2">
        <f>IFERROR(__xludf.DUMMYFUNCTION("""COMPUTED_VALUE"""),1190.0)</f>
        <v>1190</v>
      </c>
      <c r="D893" s="2">
        <f>IFERROR(__xludf.DUMMYFUNCTION("""COMPUTED_VALUE"""),1180.0)</f>
        <v>1180</v>
      </c>
      <c r="E893" s="2">
        <f>IFERROR(__xludf.DUMMYFUNCTION("""COMPUTED_VALUE"""),1190.0)</f>
        <v>1190</v>
      </c>
      <c r="F893" s="2">
        <f>IFERROR(__xludf.DUMMYFUNCTION("""COMPUTED_VALUE"""),2269800.0)</f>
        <v>2269800</v>
      </c>
      <c r="G893" s="2">
        <f t="shared" si="1"/>
        <v>10</v>
      </c>
    </row>
    <row r="894" ht="15.75" customHeight="1">
      <c r="A894" s="1">
        <f>IFERROR(__xludf.DUMMYFUNCTION("""COMPUTED_VALUE"""),45173.66666666667)</f>
        <v>45173.66667</v>
      </c>
      <c r="B894" s="2">
        <f>IFERROR(__xludf.DUMMYFUNCTION("""COMPUTED_VALUE"""),1190.0)</f>
        <v>1190</v>
      </c>
      <c r="C894" s="2">
        <f>IFERROR(__xludf.DUMMYFUNCTION("""COMPUTED_VALUE"""),1190.0)</f>
        <v>1190</v>
      </c>
      <c r="D894" s="2">
        <f>IFERROR(__xludf.DUMMYFUNCTION("""COMPUTED_VALUE"""),1180.0)</f>
        <v>1180</v>
      </c>
      <c r="E894" s="2">
        <f>IFERROR(__xludf.DUMMYFUNCTION("""COMPUTED_VALUE"""),1185.0)</f>
        <v>1185</v>
      </c>
      <c r="F894" s="2">
        <f>IFERROR(__xludf.DUMMYFUNCTION("""COMPUTED_VALUE"""),2079200.0)</f>
        <v>2079200</v>
      </c>
      <c r="G894" s="2">
        <f t="shared" si="1"/>
        <v>10</v>
      </c>
    </row>
    <row r="895" ht="15.75" customHeight="1">
      <c r="A895" s="1">
        <f>IFERROR(__xludf.DUMMYFUNCTION("""COMPUTED_VALUE"""),45174.66666666667)</f>
        <v>45174.66667</v>
      </c>
      <c r="B895" s="2">
        <f>IFERROR(__xludf.DUMMYFUNCTION("""COMPUTED_VALUE"""),1190.0)</f>
        <v>1190</v>
      </c>
      <c r="C895" s="2">
        <f>IFERROR(__xludf.DUMMYFUNCTION("""COMPUTED_VALUE"""),1190.0)</f>
        <v>1190</v>
      </c>
      <c r="D895" s="2">
        <f>IFERROR(__xludf.DUMMYFUNCTION("""COMPUTED_VALUE"""),1185.0)</f>
        <v>1185</v>
      </c>
      <c r="E895" s="2">
        <f>IFERROR(__xludf.DUMMYFUNCTION("""COMPUTED_VALUE"""),1185.0)</f>
        <v>1185</v>
      </c>
      <c r="F895" s="2">
        <f>IFERROR(__xludf.DUMMYFUNCTION("""COMPUTED_VALUE"""),1010500.0)</f>
        <v>1010500</v>
      </c>
      <c r="G895" s="2">
        <f t="shared" si="1"/>
        <v>5</v>
      </c>
    </row>
    <row r="896" ht="15.75" customHeight="1">
      <c r="A896" s="1">
        <f>IFERROR(__xludf.DUMMYFUNCTION("""COMPUTED_VALUE"""),45175.66666666667)</f>
        <v>45175.66667</v>
      </c>
      <c r="B896" s="2">
        <f>IFERROR(__xludf.DUMMYFUNCTION("""COMPUTED_VALUE"""),1185.0)</f>
        <v>1185</v>
      </c>
      <c r="C896" s="2">
        <f>IFERROR(__xludf.DUMMYFUNCTION("""COMPUTED_VALUE"""),1190.0)</f>
        <v>1190</v>
      </c>
      <c r="D896" s="2">
        <f>IFERROR(__xludf.DUMMYFUNCTION("""COMPUTED_VALUE"""),1180.0)</f>
        <v>1180</v>
      </c>
      <c r="E896" s="2">
        <f>IFERROR(__xludf.DUMMYFUNCTION("""COMPUTED_VALUE"""),1190.0)</f>
        <v>1190</v>
      </c>
      <c r="F896" s="2">
        <f>IFERROR(__xludf.DUMMYFUNCTION("""COMPUTED_VALUE"""),1297900.0)</f>
        <v>1297900</v>
      </c>
      <c r="G896" s="2">
        <f t="shared" si="1"/>
        <v>10</v>
      </c>
    </row>
    <row r="897" ht="15.75" customHeight="1">
      <c r="A897" s="1">
        <f>IFERROR(__xludf.DUMMYFUNCTION("""COMPUTED_VALUE"""),45176.66666666667)</f>
        <v>45176.66667</v>
      </c>
      <c r="B897" s="2">
        <f>IFERROR(__xludf.DUMMYFUNCTION("""COMPUTED_VALUE"""),1190.0)</f>
        <v>1190</v>
      </c>
      <c r="C897" s="2">
        <f>IFERROR(__xludf.DUMMYFUNCTION("""COMPUTED_VALUE"""),1190.0)</f>
        <v>1190</v>
      </c>
      <c r="D897" s="2">
        <f>IFERROR(__xludf.DUMMYFUNCTION("""COMPUTED_VALUE"""),1180.0)</f>
        <v>1180</v>
      </c>
      <c r="E897" s="2">
        <f>IFERROR(__xludf.DUMMYFUNCTION("""COMPUTED_VALUE"""),1180.0)</f>
        <v>1180</v>
      </c>
      <c r="F897" s="2">
        <f>IFERROR(__xludf.DUMMYFUNCTION("""COMPUTED_VALUE"""),1309600.0)</f>
        <v>1309600</v>
      </c>
      <c r="G897" s="2">
        <f t="shared" si="1"/>
        <v>10</v>
      </c>
    </row>
    <row r="898" ht="15.75" customHeight="1">
      <c r="A898" s="1">
        <f>IFERROR(__xludf.DUMMYFUNCTION("""COMPUTED_VALUE"""),45177.66666666667)</f>
        <v>45177.66667</v>
      </c>
      <c r="B898" s="2">
        <f>IFERROR(__xludf.DUMMYFUNCTION("""COMPUTED_VALUE"""),1180.0)</f>
        <v>1180</v>
      </c>
      <c r="C898" s="2">
        <f>IFERROR(__xludf.DUMMYFUNCTION("""COMPUTED_VALUE"""),1185.0)</f>
        <v>1185</v>
      </c>
      <c r="D898" s="2">
        <f>IFERROR(__xludf.DUMMYFUNCTION("""COMPUTED_VALUE"""),1175.0)</f>
        <v>1175</v>
      </c>
      <c r="E898" s="2">
        <f>IFERROR(__xludf.DUMMYFUNCTION("""COMPUTED_VALUE"""),1175.0)</f>
        <v>1175</v>
      </c>
      <c r="F898" s="2">
        <f>IFERROR(__xludf.DUMMYFUNCTION("""COMPUTED_VALUE"""),2044400.0)</f>
        <v>2044400</v>
      </c>
      <c r="G898" s="2">
        <f t="shared" si="1"/>
        <v>10</v>
      </c>
    </row>
    <row r="899" ht="15.75" customHeight="1">
      <c r="A899" s="1">
        <f>IFERROR(__xludf.DUMMYFUNCTION("""COMPUTED_VALUE"""),45180.66666666667)</f>
        <v>45180.66667</v>
      </c>
      <c r="B899" s="2">
        <f>IFERROR(__xludf.DUMMYFUNCTION("""COMPUTED_VALUE"""),1175.0)</f>
        <v>1175</v>
      </c>
      <c r="C899" s="2">
        <f>IFERROR(__xludf.DUMMYFUNCTION("""COMPUTED_VALUE"""),1180.0)</f>
        <v>1180</v>
      </c>
      <c r="D899" s="2">
        <f>IFERROR(__xludf.DUMMYFUNCTION("""COMPUTED_VALUE"""),1175.0)</f>
        <v>1175</v>
      </c>
      <c r="E899" s="2">
        <f>IFERROR(__xludf.DUMMYFUNCTION("""COMPUTED_VALUE"""),1180.0)</f>
        <v>1180</v>
      </c>
      <c r="F899" s="2">
        <f>IFERROR(__xludf.DUMMYFUNCTION("""COMPUTED_VALUE"""),1471300.0)</f>
        <v>1471300</v>
      </c>
      <c r="G899" s="2">
        <f t="shared" si="1"/>
        <v>5</v>
      </c>
    </row>
    <row r="900" ht="15.75" customHeight="1">
      <c r="A900" s="1">
        <f>IFERROR(__xludf.DUMMYFUNCTION("""COMPUTED_VALUE"""),45181.66666666667)</f>
        <v>45181.66667</v>
      </c>
      <c r="B900" s="2">
        <f>IFERROR(__xludf.DUMMYFUNCTION("""COMPUTED_VALUE"""),1180.0)</f>
        <v>1180</v>
      </c>
      <c r="C900" s="2">
        <f>IFERROR(__xludf.DUMMYFUNCTION("""COMPUTED_VALUE"""),1185.0)</f>
        <v>1185</v>
      </c>
      <c r="D900" s="2">
        <f>IFERROR(__xludf.DUMMYFUNCTION("""COMPUTED_VALUE"""),1175.0)</f>
        <v>1175</v>
      </c>
      <c r="E900" s="2">
        <f>IFERROR(__xludf.DUMMYFUNCTION("""COMPUTED_VALUE"""),1175.0)</f>
        <v>1175</v>
      </c>
      <c r="F900" s="2">
        <f>IFERROR(__xludf.DUMMYFUNCTION("""COMPUTED_VALUE"""),1545000.0)</f>
        <v>1545000</v>
      </c>
      <c r="G900" s="2">
        <f t="shared" si="1"/>
        <v>10</v>
      </c>
    </row>
    <row r="901" ht="15.75" customHeight="1">
      <c r="A901" s="1">
        <f>IFERROR(__xludf.DUMMYFUNCTION("""COMPUTED_VALUE"""),45182.66666666667)</f>
        <v>45182.66667</v>
      </c>
      <c r="B901" s="2">
        <f>IFERROR(__xludf.DUMMYFUNCTION("""COMPUTED_VALUE"""),1175.0)</f>
        <v>1175</v>
      </c>
      <c r="C901" s="2">
        <f>IFERROR(__xludf.DUMMYFUNCTION("""COMPUTED_VALUE"""),1180.0)</f>
        <v>1180</v>
      </c>
      <c r="D901" s="2">
        <f>IFERROR(__xludf.DUMMYFUNCTION("""COMPUTED_VALUE"""),1175.0)</f>
        <v>1175</v>
      </c>
      <c r="E901" s="2">
        <f>IFERROR(__xludf.DUMMYFUNCTION("""COMPUTED_VALUE"""),1175.0)</f>
        <v>1175</v>
      </c>
      <c r="F901" s="2">
        <f>IFERROR(__xludf.DUMMYFUNCTION("""COMPUTED_VALUE"""),1065000.0)</f>
        <v>1065000</v>
      </c>
      <c r="G901" s="2">
        <f t="shared" si="1"/>
        <v>5</v>
      </c>
    </row>
    <row r="902" ht="15.75" customHeight="1">
      <c r="A902" s="1">
        <f>IFERROR(__xludf.DUMMYFUNCTION("""COMPUTED_VALUE"""),45183.66666666667)</f>
        <v>45183.66667</v>
      </c>
      <c r="B902" s="2">
        <f>IFERROR(__xludf.DUMMYFUNCTION("""COMPUTED_VALUE"""),1180.0)</f>
        <v>1180</v>
      </c>
      <c r="C902" s="2">
        <f>IFERROR(__xludf.DUMMYFUNCTION("""COMPUTED_VALUE"""),1180.0)</f>
        <v>1180</v>
      </c>
      <c r="D902" s="2">
        <f>IFERROR(__xludf.DUMMYFUNCTION("""COMPUTED_VALUE"""),1170.0)</f>
        <v>1170</v>
      </c>
      <c r="E902" s="2">
        <f>IFERROR(__xludf.DUMMYFUNCTION("""COMPUTED_VALUE"""),1175.0)</f>
        <v>1175</v>
      </c>
      <c r="F902" s="2">
        <f>IFERROR(__xludf.DUMMYFUNCTION("""COMPUTED_VALUE"""),2164600.0)</f>
        <v>2164600</v>
      </c>
      <c r="G902" s="2">
        <f t="shared" si="1"/>
        <v>10</v>
      </c>
    </row>
    <row r="903" ht="15.75" customHeight="1">
      <c r="A903" s="1">
        <f>IFERROR(__xludf.DUMMYFUNCTION("""COMPUTED_VALUE"""),45184.66666666667)</f>
        <v>45184.66667</v>
      </c>
      <c r="B903" s="2">
        <f>IFERROR(__xludf.DUMMYFUNCTION("""COMPUTED_VALUE"""),1175.0)</f>
        <v>1175</v>
      </c>
      <c r="C903" s="2">
        <f>IFERROR(__xludf.DUMMYFUNCTION("""COMPUTED_VALUE"""),1185.0)</f>
        <v>1185</v>
      </c>
      <c r="D903" s="2">
        <f>IFERROR(__xludf.DUMMYFUNCTION("""COMPUTED_VALUE"""),1175.0)</f>
        <v>1175</v>
      </c>
      <c r="E903" s="2">
        <f>IFERROR(__xludf.DUMMYFUNCTION("""COMPUTED_VALUE"""),1180.0)</f>
        <v>1180</v>
      </c>
      <c r="F903" s="2">
        <f>IFERROR(__xludf.DUMMYFUNCTION("""COMPUTED_VALUE"""),1446400.0)</f>
        <v>1446400</v>
      </c>
      <c r="G903" s="2">
        <f t="shared" si="1"/>
        <v>10</v>
      </c>
    </row>
    <row r="904" ht="15.75" customHeight="1">
      <c r="A904" s="1">
        <f>IFERROR(__xludf.DUMMYFUNCTION("""COMPUTED_VALUE"""),45187.66666666667)</f>
        <v>45187.66667</v>
      </c>
      <c r="B904" s="2">
        <f>IFERROR(__xludf.DUMMYFUNCTION("""COMPUTED_VALUE"""),1180.0)</f>
        <v>1180</v>
      </c>
      <c r="C904" s="2">
        <f>IFERROR(__xludf.DUMMYFUNCTION("""COMPUTED_VALUE"""),1185.0)</f>
        <v>1185</v>
      </c>
      <c r="D904" s="2">
        <f>IFERROR(__xludf.DUMMYFUNCTION("""COMPUTED_VALUE"""),1170.0)</f>
        <v>1170</v>
      </c>
      <c r="E904" s="2">
        <f>IFERROR(__xludf.DUMMYFUNCTION("""COMPUTED_VALUE"""),1175.0)</f>
        <v>1175</v>
      </c>
      <c r="F904" s="2">
        <f>IFERROR(__xludf.DUMMYFUNCTION("""COMPUTED_VALUE"""),1684800.0)</f>
        <v>1684800</v>
      </c>
      <c r="G904" s="2">
        <f t="shared" si="1"/>
        <v>15</v>
      </c>
    </row>
    <row r="905" ht="15.75" customHeight="1">
      <c r="A905" s="1">
        <f>IFERROR(__xludf.DUMMYFUNCTION("""COMPUTED_VALUE"""),45188.66666666667)</f>
        <v>45188.66667</v>
      </c>
      <c r="B905" s="2">
        <f>IFERROR(__xludf.DUMMYFUNCTION("""COMPUTED_VALUE"""),1175.0)</f>
        <v>1175</v>
      </c>
      <c r="C905" s="2">
        <f>IFERROR(__xludf.DUMMYFUNCTION("""COMPUTED_VALUE"""),1180.0)</f>
        <v>1180</v>
      </c>
      <c r="D905" s="2">
        <f>IFERROR(__xludf.DUMMYFUNCTION("""COMPUTED_VALUE"""),1170.0)</f>
        <v>1170</v>
      </c>
      <c r="E905" s="2">
        <f>IFERROR(__xludf.DUMMYFUNCTION("""COMPUTED_VALUE"""),1175.0)</f>
        <v>1175</v>
      </c>
      <c r="F905" s="2">
        <f>IFERROR(__xludf.DUMMYFUNCTION("""COMPUTED_VALUE"""),1105600.0)</f>
        <v>1105600</v>
      </c>
      <c r="G905" s="2">
        <f t="shared" si="1"/>
        <v>10</v>
      </c>
    </row>
    <row r="906" ht="15.75" customHeight="1">
      <c r="A906" s="1">
        <f>IFERROR(__xludf.DUMMYFUNCTION("""COMPUTED_VALUE"""),45189.66666666667)</f>
        <v>45189.66667</v>
      </c>
      <c r="B906" s="2">
        <f>IFERROR(__xludf.DUMMYFUNCTION("""COMPUTED_VALUE"""),1175.0)</f>
        <v>1175</v>
      </c>
      <c r="C906" s="2">
        <f>IFERROR(__xludf.DUMMYFUNCTION("""COMPUTED_VALUE"""),1180.0)</f>
        <v>1180</v>
      </c>
      <c r="D906" s="2">
        <f>IFERROR(__xludf.DUMMYFUNCTION("""COMPUTED_VALUE"""),1170.0)</f>
        <v>1170</v>
      </c>
      <c r="E906" s="2">
        <f>IFERROR(__xludf.DUMMYFUNCTION("""COMPUTED_VALUE"""),1175.0)</f>
        <v>1175</v>
      </c>
      <c r="F906" s="2">
        <f>IFERROR(__xludf.DUMMYFUNCTION("""COMPUTED_VALUE"""),1416900.0)</f>
        <v>1416900</v>
      </c>
      <c r="G906" s="2">
        <f t="shared" si="1"/>
        <v>10</v>
      </c>
    </row>
    <row r="907" ht="15.75" customHeight="1">
      <c r="A907" s="1">
        <f>IFERROR(__xludf.DUMMYFUNCTION("""COMPUTED_VALUE"""),45190.66666666667)</f>
        <v>45190.66667</v>
      </c>
      <c r="B907" s="2">
        <f>IFERROR(__xludf.DUMMYFUNCTION("""COMPUTED_VALUE"""),1175.0)</f>
        <v>1175</v>
      </c>
      <c r="C907" s="2">
        <f>IFERROR(__xludf.DUMMYFUNCTION("""COMPUTED_VALUE"""),1180.0)</f>
        <v>1180</v>
      </c>
      <c r="D907" s="2">
        <f>IFERROR(__xludf.DUMMYFUNCTION("""COMPUTED_VALUE"""),1170.0)</f>
        <v>1170</v>
      </c>
      <c r="E907" s="2">
        <f>IFERROR(__xludf.DUMMYFUNCTION("""COMPUTED_VALUE"""),1170.0)</f>
        <v>1170</v>
      </c>
      <c r="F907" s="2">
        <f>IFERROR(__xludf.DUMMYFUNCTION("""COMPUTED_VALUE"""),1417000.0)</f>
        <v>1417000</v>
      </c>
      <c r="G907" s="2">
        <f t="shared" si="1"/>
        <v>10</v>
      </c>
    </row>
    <row r="908" ht="15.75" customHeight="1">
      <c r="A908" s="1">
        <f>IFERROR(__xludf.DUMMYFUNCTION("""COMPUTED_VALUE"""),45191.66666666667)</f>
        <v>45191.66667</v>
      </c>
      <c r="B908" s="2">
        <f>IFERROR(__xludf.DUMMYFUNCTION("""COMPUTED_VALUE"""),1175.0)</f>
        <v>1175</v>
      </c>
      <c r="C908" s="2">
        <f>IFERROR(__xludf.DUMMYFUNCTION("""COMPUTED_VALUE"""),1180.0)</f>
        <v>1180</v>
      </c>
      <c r="D908" s="2">
        <f>IFERROR(__xludf.DUMMYFUNCTION("""COMPUTED_VALUE"""),1170.0)</f>
        <v>1170</v>
      </c>
      <c r="E908" s="2">
        <f>IFERROR(__xludf.DUMMYFUNCTION("""COMPUTED_VALUE"""),1175.0)</f>
        <v>1175</v>
      </c>
      <c r="F908" s="2">
        <f>IFERROR(__xludf.DUMMYFUNCTION("""COMPUTED_VALUE"""),1385200.0)</f>
        <v>1385200</v>
      </c>
      <c r="G908" s="2">
        <f t="shared" si="1"/>
        <v>10</v>
      </c>
    </row>
    <row r="909" ht="15.75" customHeight="1">
      <c r="A909" s="1">
        <f>IFERROR(__xludf.DUMMYFUNCTION("""COMPUTED_VALUE"""),45194.66666666667)</f>
        <v>45194.66667</v>
      </c>
      <c r="B909" s="2">
        <f>IFERROR(__xludf.DUMMYFUNCTION("""COMPUTED_VALUE"""),1175.0)</f>
        <v>1175</v>
      </c>
      <c r="C909" s="2">
        <f>IFERROR(__xludf.DUMMYFUNCTION("""COMPUTED_VALUE"""),1180.0)</f>
        <v>1180</v>
      </c>
      <c r="D909" s="2">
        <f>IFERROR(__xludf.DUMMYFUNCTION("""COMPUTED_VALUE"""),1170.0)</f>
        <v>1170</v>
      </c>
      <c r="E909" s="2">
        <f>IFERROR(__xludf.DUMMYFUNCTION("""COMPUTED_VALUE"""),1180.0)</f>
        <v>1180</v>
      </c>
      <c r="F909" s="2">
        <f>IFERROR(__xludf.DUMMYFUNCTION("""COMPUTED_VALUE"""),1071300.0)</f>
        <v>1071300</v>
      </c>
      <c r="G909" s="2">
        <f t="shared" si="1"/>
        <v>10</v>
      </c>
    </row>
    <row r="910" ht="15.75" customHeight="1">
      <c r="A910" s="1">
        <f>IFERROR(__xludf.DUMMYFUNCTION("""COMPUTED_VALUE"""),45195.66666666667)</f>
        <v>45195.66667</v>
      </c>
      <c r="B910" s="2">
        <f>IFERROR(__xludf.DUMMYFUNCTION("""COMPUTED_VALUE"""),1180.0)</f>
        <v>1180</v>
      </c>
      <c r="C910" s="2">
        <f>IFERROR(__xludf.DUMMYFUNCTION("""COMPUTED_VALUE"""),1180.0)</f>
        <v>1180</v>
      </c>
      <c r="D910" s="2">
        <f>IFERROR(__xludf.DUMMYFUNCTION("""COMPUTED_VALUE"""),1170.0)</f>
        <v>1170</v>
      </c>
      <c r="E910" s="2">
        <f>IFERROR(__xludf.DUMMYFUNCTION("""COMPUTED_VALUE"""),1170.0)</f>
        <v>1170</v>
      </c>
      <c r="F910" s="2">
        <f>IFERROR(__xludf.DUMMYFUNCTION("""COMPUTED_VALUE"""),819200.0)</f>
        <v>819200</v>
      </c>
      <c r="G910" s="2">
        <f t="shared" si="1"/>
        <v>10</v>
      </c>
    </row>
    <row r="911" ht="15.75" customHeight="1">
      <c r="A911" s="1">
        <f>IFERROR(__xludf.DUMMYFUNCTION("""COMPUTED_VALUE"""),45196.66666666667)</f>
        <v>45196.66667</v>
      </c>
      <c r="B911" s="2">
        <f>IFERROR(__xludf.DUMMYFUNCTION("""COMPUTED_VALUE"""),1175.0)</f>
        <v>1175</v>
      </c>
      <c r="C911" s="2">
        <f>IFERROR(__xludf.DUMMYFUNCTION("""COMPUTED_VALUE"""),1175.0)</f>
        <v>1175</v>
      </c>
      <c r="D911" s="2">
        <f>IFERROR(__xludf.DUMMYFUNCTION("""COMPUTED_VALUE"""),1170.0)</f>
        <v>1170</v>
      </c>
      <c r="E911" s="2">
        <f>IFERROR(__xludf.DUMMYFUNCTION("""COMPUTED_VALUE"""),1170.0)</f>
        <v>1170</v>
      </c>
      <c r="F911" s="2">
        <f>IFERROR(__xludf.DUMMYFUNCTION("""COMPUTED_VALUE"""),1068100.0)</f>
        <v>1068100</v>
      </c>
      <c r="G911" s="2">
        <f t="shared" si="1"/>
        <v>5</v>
      </c>
    </row>
    <row r="912" ht="15.75" customHeight="1">
      <c r="A912" s="1">
        <f>IFERROR(__xludf.DUMMYFUNCTION("""COMPUTED_VALUE"""),45198.66666666667)</f>
        <v>45198.66667</v>
      </c>
      <c r="B912" s="2">
        <f>IFERROR(__xludf.DUMMYFUNCTION("""COMPUTED_VALUE"""),1170.0)</f>
        <v>1170</v>
      </c>
      <c r="C912" s="2">
        <f>IFERROR(__xludf.DUMMYFUNCTION("""COMPUTED_VALUE"""),1175.0)</f>
        <v>1175</v>
      </c>
      <c r="D912" s="2">
        <f>IFERROR(__xludf.DUMMYFUNCTION("""COMPUTED_VALUE"""),1170.0)</f>
        <v>1170</v>
      </c>
      <c r="E912" s="2">
        <f>IFERROR(__xludf.DUMMYFUNCTION("""COMPUTED_VALUE"""),1170.0)</f>
        <v>1170</v>
      </c>
      <c r="F912" s="2">
        <f>IFERROR(__xludf.DUMMYFUNCTION("""COMPUTED_VALUE"""),1404600.0)</f>
        <v>1404600</v>
      </c>
      <c r="G912" s="2">
        <f t="shared" si="1"/>
        <v>5</v>
      </c>
    </row>
    <row r="913" ht="15.75" customHeight="1">
      <c r="A913" s="1">
        <f>IFERROR(__xludf.DUMMYFUNCTION("""COMPUTED_VALUE"""),45201.66666666667)</f>
        <v>45201.66667</v>
      </c>
      <c r="B913" s="2">
        <f>IFERROR(__xludf.DUMMYFUNCTION("""COMPUTED_VALUE"""),1170.0)</f>
        <v>1170</v>
      </c>
      <c r="C913" s="2">
        <f>IFERROR(__xludf.DUMMYFUNCTION("""COMPUTED_VALUE"""),1175.0)</f>
        <v>1175</v>
      </c>
      <c r="D913" s="2">
        <f>IFERROR(__xludf.DUMMYFUNCTION("""COMPUTED_VALUE"""),1170.0)</f>
        <v>1170</v>
      </c>
      <c r="E913" s="2">
        <f>IFERROR(__xludf.DUMMYFUNCTION("""COMPUTED_VALUE"""),1170.0)</f>
        <v>1170</v>
      </c>
      <c r="F913" s="2">
        <f>IFERROR(__xludf.DUMMYFUNCTION("""COMPUTED_VALUE"""),796100.0)</f>
        <v>796100</v>
      </c>
      <c r="G913" s="2">
        <f t="shared" si="1"/>
        <v>5</v>
      </c>
    </row>
    <row r="914" ht="15.75" customHeight="1">
      <c r="A914" s="1">
        <f>IFERROR(__xludf.DUMMYFUNCTION("""COMPUTED_VALUE"""),45202.66666666667)</f>
        <v>45202.66667</v>
      </c>
      <c r="B914" s="2">
        <f>IFERROR(__xludf.DUMMYFUNCTION("""COMPUTED_VALUE"""),1175.0)</f>
        <v>1175</v>
      </c>
      <c r="C914" s="2">
        <f>IFERROR(__xludf.DUMMYFUNCTION("""COMPUTED_VALUE"""),1175.0)</f>
        <v>1175</v>
      </c>
      <c r="D914" s="2">
        <f>IFERROR(__xludf.DUMMYFUNCTION("""COMPUTED_VALUE"""),1165.0)</f>
        <v>1165</v>
      </c>
      <c r="E914" s="2">
        <f>IFERROR(__xludf.DUMMYFUNCTION("""COMPUTED_VALUE"""),1165.0)</f>
        <v>1165</v>
      </c>
      <c r="F914" s="2">
        <f>IFERROR(__xludf.DUMMYFUNCTION("""COMPUTED_VALUE"""),2188200.0)</f>
        <v>2188200</v>
      </c>
      <c r="G914" s="2">
        <f t="shared" si="1"/>
        <v>10</v>
      </c>
    </row>
    <row r="915" ht="15.75" customHeight="1">
      <c r="A915" s="1">
        <f>IFERROR(__xludf.DUMMYFUNCTION("""COMPUTED_VALUE"""),45203.66666666667)</f>
        <v>45203.66667</v>
      </c>
      <c r="B915" s="2">
        <f>IFERROR(__xludf.DUMMYFUNCTION("""COMPUTED_VALUE"""),1165.0)</f>
        <v>1165</v>
      </c>
      <c r="C915" s="2">
        <f>IFERROR(__xludf.DUMMYFUNCTION("""COMPUTED_VALUE"""),1170.0)</f>
        <v>1170</v>
      </c>
      <c r="D915" s="2">
        <f>IFERROR(__xludf.DUMMYFUNCTION("""COMPUTED_VALUE"""),1150.0)</f>
        <v>1150</v>
      </c>
      <c r="E915" s="2">
        <f>IFERROR(__xludf.DUMMYFUNCTION("""COMPUTED_VALUE"""),1155.0)</f>
        <v>1155</v>
      </c>
      <c r="F915" s="2">
        <f>IFERROR(__xludf.DUMMYFUNCTION("""COMPUTED_VALUE"""),4024900.0)</f>
        <v>4024900</v>
      </c>
      <c r="G915" s="2">
        <f t="shared" si="1"/>
        <v>20</v>
      </c>
    </row>
    <row r="916" ht="15.75" customHeight="1">
      <c r="A916" s="1">
        <f>IFERROR(__xludf.DUMMYFUNCTION("""COMPUTED_VALUE"""),45204.66666666667)</f>
        <v>45204.66667</v>
      </c>
      <c r="B916" s="2">
        <f>IFERROR(__xludf.DUMMYFUNCTION("""COMPUTED_VALUE"""),1165.0)</f>
        <v>1165</v>
      </c>
      <c r="C916" s="2">
        <f>IFERROR(__xludf.DUMMYFUNCTION("""COMPUTED_VALUE"""),1165.0)</f>
        <v>1165</v>
      </c>
      <c r="D916" s="2">
        <f>IFERROR(__xludf.DUMMYFUNCTION("""COMPUTED_VALUE"""),1150.0)</f>
        <v>1150</v>
      </c>
      <c r="E916" s="2">
        <f>IFERROR(__xludf.DUMMYFUNCTION("""COMPUTED_VALUE"""),1150.0)</f>
        <v>1150</v>
      </c>
      <c r="F916" s="2">
        <f>IFERROR(__xludf.DUMMYFUNCTION("""COMPUTED_VALUE"""),2401500.0)</f>
        <v>2401500</v>
      </c>
      <c r="G916" s="2">
        <f t="shared" si="1"/>
        <v>15</v>
      </c>
    </row>
    <row r="917" ht="15.75" customHeight="1">
      <c r="A917" s="1">
        <f>IFERROR(__xludf.DUMMYFUNCTION("""COMPUTED_VALUE"""),45205.66666666667)</f>
        <v>45205.66667</v>
      </c>
      <c r="B917" s="2">
        <f>IFERROR(__xludf.DUMMYFUNCTION("""COMPUTED_VALUE"""),1150.0)</f>
        <v>1150</v>
      </c>
      <c r="C917" s="2">
        <f>IFERROR(__xludf.DUMMYFUNCTION("""COMPUTED_VALUE"""),1155.0)</f>
        <v>1155</v>
      </c>
      <c r="D917" s="2">
        <f>IFERROR(__xludf.DUMMYFUNCTION("""COMPUTED_VALUE"""),1145.0)</f>
        <v>1145</v>
      </c>
      <c r="E917" s="2">
        <f>IFERROR(__xludf.DUMMYFUNCTION("""COMPUTED_VALUE"""),1150.0)</f>
        <v>1150</v>
      </c>
      <c r="F917" s="2">
        <f>IFERROR(__xludf.DUMMYFUNCTION("""COMPUTED_VALUE"""),689900.0)</f>
        <v>689900</v>
      </c>
      <c r="G917" s="2">
        <f t="shared" si="1"/>
        <v>10</v>
      </c>
    </row>
    <row r="918" ht="15.75" customHeight="1">
      <c r="A918" s="1">
        <f>IFERROR(__xludf.DUMMYFUNCTION("""COMPUTED_VALUE"""),45208.66666666667)</f>
        <v>45208.66667</v>
      </c>
      <c r="B918" s="2">
        <f>IFERROR(__xludf.DUMMYFUNCTION("""COMPUTED_VALUE"""),1155.0)</f>
        <v>1155</v>
      </c>
      <c r="C918" s="2">
        <f>IFERROR(__xludf.DUMMYFUNCTION("""COMPUTED_VALUE"""),1160.0)</f>
        <v>1160</v>
      </c>
      <c r="D918" s="2">
        <f>IFERROR(__xludf.DUMMYFUNCTION("""COMPUTED_VALUE"""),1150.0)</f>
        <v>1150</v>
      </c>
      <c r="E918" s="2">
        <f>IFERROR(__xludf.DUMMYFUNCTION("""COMPUTED_VALUE"""),1160.0)</f>
        <v>1160</v>
      </c>
      <c r="F918" s="2">
        <f>IFERROR(__xludf.DUMMYFUNCTION("""COMPUTED_VALUE"""),913200.0)</f>
        <v>913200</v>
      </c>
      <c r="G918" s="2">
        <f t="shared" si="1"/>
        <v>10</v>
      </c>
    </row>
    <row r="919" ht="15.75" customHeight="1">
      <c r="A919" s="1">
        <f>IFERROR(__xludf.DUMMYFUNCTION("""COMPUTED_VALUE"""),45209.66666666667)</f>
        <v>45209.66667</v>
      </c>
      <c r="B919" s="2">
        <f>IFERROR(__xludf.DUMMYFUNCTION("""COMPUTED_VALUE"""),1160.0)</f>
        <v>1160</v>
      </c>
      <c r="C919" s="2">
        <f>IFERROR(__xludf.DUMMYFUNCTION("""COMPUTED_VALUE"""),1160.0)</f>
        <v>1160</v>
      </c>
      <c r="D919" s="2">
        <f>IFERROR(__xludf.DUMMYFUNCTION("""COMPUTED_VALUE"""),1150.0)</f>
        <v>1150</v>
      </c>
      <c r="E919" s="2">
        <f>IFERROR(__xludf.DUMMYFUNCTION("""COMPUTED_VALUE"""),1150.0)</f>
        <v>1150</v>
      </c>
      <c r="F919" s="2">
        <f>IFERROR(__xludf.DUMMYFUNCTION("""COMPUTED_VALUE"""),651000.0)</f>
        <v>651000</v>
      </c>
      <c r="G919" s="2">
        <f t="shared" si="1"/>
        <v>10</v>
      </c>
    </row>
    <row r="920" ht="15.75" customHeight="1">
      <c r="A920" s="1">
        <f>IFERROR(__xludf.DUMMYFUNCTION("""COMPUTED_VALUE"""),45210.66666666667)</f>
        <v>45210.66667</v>
      </c>
      <c r="B920" s="2">
        <f>IFERROR(__xludf.DUMMYFUNCTION("""COMPUTED_VALUE"""),1150.0)</f>
        <v>1150</v>
      </c>
      <c r="C920" s="2">
        <f>IFERROR(__xludf.DUMMYFUNCTION("""COMPUTED_VALUE"""),1165.0)</f>
        <v>1165</v>
      </c>
      <c r="D920" s="2">
        <f>IFERROR(__xludf.DUMMYFUNCTION("""COMPUTED_VALUE"""),1150.0)</f>
        <v>1150</v>
      </c>
      <c r="E920" s="2">
        <f>IFERROR(__xludf.DUMMYFUNCTION("""COMPUTED_VALUE"""),1150.0)</f>
        <v>1150</v>
      </c>
      <c r="F920" s="2">
        <f>IFERROR(__xludf.DUMMYFUNCTION("""COMPUTED_VALUE"""),2174200.0)</f>
        <v>2174200</v>
      </c>
      <c r="G920" s="2">
        <f t="shared" si="1"/>
        <v>15</v>
      </c>
    </row>
    <row r="921" ht="15.75" customHeight="1">
      <c r="A921" s="1">
        <f>IFERROR(__xludf.DUMMYFUNCTION("""COMPUTED_VALUE"""),45211.66666666667)</f>
        <v>45211.66667</v>
      </c>
      <c r="B921" s="2">
        <f>IFERROR(__xludf.DUMMYFUNCTION("""COMPUTED_VALUE"""),1150.0)</f>
        <v>1150</v>
      </c>
      <c r="C921" s="2">
        <f>IFERROR(__xludf.DUMMYFUNCTION("""COMPUTED_VALUE"""),1160.0)</f>
        <v>1160</v>
      </c>
      <c r="D921" s="2">
        <f>IFERROR(__xludf.DUMMYFUNCTION("""COMPUTED_VALUE"""),1150.0)</f>
        <v>1150</v>
      </c>
      <c r="E921" s="2">
        <f>IFERROR(__xludf.DUMMYFUNCTION("""COMPUTED_VALUE"""),1155.0)</f>
        <v>1155</v>
      </c>
      <c r="F921" s="2">
        <f>IFERROR(__xludf.DUMMYFUNCTION("""COMPUTED_VALUE"""),685800.0)</f>
        <v>685800</v>
      </c>
      <c r="G921" s="2">
        <f t="shared" si="1"/>
        <v>10</v>
      </c>
    </row>
    <row r="922" ht="15.75" customHeight="1">
      <c r="A922" s="1">
        <f>IFERROR(__xludf.DUMMYFUNCTION("""COMPUTED_VALUE"""),45212.66666666667)</f>
        <v>45212.66667</v>
      </c>
      <c r="B922" s="2">
        <f>IFERROR(__xludf.DUMMYFUNCTION("""COMPUTED_VALUE"""),1155.0)</f>
        <v>1155</v>
      </c>
      <c r="C922" s="2">
        <f>IFERROR(__xludf.DUMMYFUNCTION("""COMPUTED_VALUE"""),1155.0)</f>
        <v>1155</v>
      </c>
      <c r="D922" s="2">
        <f>IFERROR(__xludf.DUMMYFUNCTION("""COMPUTED_VALUE"""),1150.0)</f>
        <v>1150</v>
      </c>
      <c r="E922" s="2">
        <f>IFERROR(__xludf.DUMMYFUNCTION("""COMPUTED_VALUE"""),1155.0)</f>
        <v>1155</v>
      </c>
      <c r="F922" s="2">
        <f>IFERROR(__xludf.DUMMYFUNCTION("""COMPUTED_VALUE"""),1091500.0)</f>
        <v>1091500</v>
      </c>
      <c r="G922" s="2">
        <f t="shared" si="1"/>
        <v>5</v>
      </c>
    </row>
    <row r="923" ht="15.75" customHeight="1">
      <c r="A923" s="1">
        <f>IFERROR(__xludf.DUMMYFUNCTION("""COMPUTED_VALUE"""),45215.66666666667)</f>
        <v>45215.66667</v>
      </c>
      <c r="B923" s="2">
        <f>IFERROR(__xludf.DUMMYFUNCTION("""COMPUTED_VALUE"""),1160.0)</f>
        <v>1160</v>
      </c>
      <c r="C923" s="2">
        <f>IFERROR(__xludf.DUMMYFUNCTION("""COMPUTED_VALUE"""),1160.0)</f>
        <v>1160</v>
      </c>
      <c r="D923" s="2">
        <f>IFERROR(__xludf.DUMMYFUNCTION("""COMPUTED_VALUE"""),1150.0)</f>
        <v>1150</v>
      </c>
      <c r="E923" s="2">
        <f>IFERROR(__xludf.DUMMYFUNCTION("""COMPUTED_VALUE"""),1150.0)</f>
        <v>1150</v>
      </c>
      <c r="F923" s="2">
        <f>IFERROR(__xludf.DUMMYFUNCTION("""COMPUTED_VALUE"""),1439700.0)</f>
        <v>1439700</v>
      </c>
      <c r="G923" s="2">
        <f t="shared" si="1"/>
        <v>10</v>
      </c>
    </row>
    <row r="924" ht="15.75" customHeight="1">
      <c r="A924" s="1">
        <f>IFERROR(__xludf.DUMMYFUNCTION("""COMPUTED_VALUE"""),45216.66666666667)</f>
        <v>45216.66667</v>
      </c>
      <c r="B924" s="2">
        <f>IFERROR(__xludf.DUMMYFUNCTION("""COMPUTED_VALUE"""),1150.0)</f>
        <v>1150</v>
      </c>
      <c r="C924" s="2">
        <f>IFERROR(__xludf.DUMMYFUNCTION("""COMPUTED_VALUE"""),1155.0)</f>
        <v>1155</v>
      </c>
      <c r="D924" s="2">
        <f>IFERROR(__xludf.DUMMYFUNCTION("""COMPUTED_VALUE"""),1145.0)</f>
        <v>1145</v>
      </c>
      <c r="E924" s="2">
        <f>IFERROR(__xludf.DUMMYFUNCTION("""COMPUTED_VALUE"""),1155.0)</f>
        <v>1155</v>
      </c>
      <c r="F924" s="2">
        <f>IFERROR(__xludf.DUMMYFUNCTION("""COMPUTED_VALUE"""),846000.0)</f>
        <v>846000</v>
      </c>
      <c r="G924" s="2">
        <f t="shared" si="1"/>
        <v>10</v>
      </c>
    </row>
    <row r="925" ht="15.75" customHeight="1">
      <c r="A925" s="1">
        <f>IFERROR(__xludf.DUMMYFUNCTION("""COMPUTED_VALUE"""),45217.66666666667)</f>
        <v>45217.66667</v>
      </c>
      <c r="B925" s="2">
        <f>IFERROR(__xludf.DUMMYFUNCTION("""COMPUTED_VALUE"""),1155.0)</f>
        <v>1155</v>
      </c>
      <c r="C925" s="2">
        <f>IFERROR(__xludf.DUMMYFUNCTION("""COMPUTED_VALUE"""),1170.0)</f>
        <v>1170</v>
      </c>
      <c r="D925" s="2">
        <f>IFERROR(__xludf.DUMMYFUNCTION("""COMPUTED_VALUE"""),1145.0)</f>
        <v>1145</v>
      </c>
      <c r="E925" s="2">
        <f>IFERROR(__xludf.DUMMYFUNCTION("""COMPUTED_VALUE"""),1160.0)</f>
        <v>1160</v>
      </c>
      <c r="F925" s="2">
        <f>IFERROR(__xludf.DUMMYFUNCTION("""COMPUTED_VALUE"""),1266300.0)</f>
        <v>1266300</v>
      </c>
      <c r="G925" s="2">
        <f t="shared" si="1"/>
        <v>25</v>
      </c>
    </row>
    <row r="926" ht="15.75" customHeight="1">
      <c r="A926" s="1">
        <f>IFERROR(__xludf.DUMMYFUNCTION("""COMPUTED_VALUE"""),45218.66666666667)</f>
        <v>45218.66667</v>
      </c>
      <c r="B926" s="2">
        <f>IFERROR(__xludf.DUMMYFUNCTION("""COMPUTED_VALUE"""),1160.0)</f>
        <v>1160</v>
      </c>
      <c r="C926" s="2">
        <f>IFERROR(__xludf.DUMMYFUNCTION("""COMPUTED_VALUE"""),1160.0)</f>
        <v>1160</v>
      </c>
      <c r="D926" s="2">
        <f>IFERROR(__xludf.DUMMYFUNCTION("""COMPUTED_VALUE"""),1140.0)</f>
        <v>1140</v>
      </c>
      <c r="E926" s="2">
        <f>IFERROR(__xludf.DUMMYFUNCTION("""COMPUTED_VALUE"""),1150.0)</f>
        <v>1150</v>
      </c>
      <c r="F926" s="2">
        <f>IFERROR(__xludf.DUMMYFUNCTION("""COMPUTED_VALUE"""),2320500.0)</f>
        <v>2320500</v>
      </c>
      <c r="G926" s="2">
        <f t="shared" si="1"/>
        <v>20</v>
      </c>
    </row>
    <row r="927" ht="15.75" customHeight="1">
      <c r="A927" s="1">
        <f>IFERROR(__xludf.DUMMYFUNCTION("""COMPUTED_VALUE"""),45219.66666666667)</f>
        <v>45219.66667</v>
      </c>
      <c r="B927" s="2">
        <f>IFERROR(__xludf.DUMMYFUNCTION("""COMPUTED_VALUE"""),1150.0)</f>
        <v>1150</v>
      </c>
      <c r="C927" s="2">
        <f>IFERROR(__xludf.DUMMYFUNCTION("""COMPUTED_VALUE"""),1150.0)</f>
        <v>1150</v>
      </c>
      <c r="D927" s="2">
        <f>IFERROR(__xludf.DUMMYFUNCTION("""COMPUTED_VALUE"""),1135.0)</f>
        <v>1135</v>
      </c>
      <c r="E927" s="2">
        <f>IFERROR(__xludf.DUMMYFUNCTION("""COMPUTED_VALUE"""),1135.0)</f>
        <v>1135</v>
      </c>
      <c r="F927" s="2">
        <f>IFERROR(__xludf.DUMMYFUNCTION("""COMPUTED_VALUE"""),2698400.0)</f>
        <v>2698400</v>
      </c>
      <c r="G927" s="2">
        <f t="shared" si="1"/>
        <v>15</v>
      </c>
    </row>
    <row r="928" ht="15.75" customHeight="1">
      <c r="A928" s="1">
        <f>IFERROR(__xludf.DUMMYFUNCTION("""COMPUTED_VALUE"""),45222.66666666667)</f>
        <v>45222.66667</v>
      </c>
      <c r="B928" s="2">
        <f>IFERROR(__xludf.DUMMYFUNCTION("""COMPUTED_VALUE"""),1145.0)</f>
        <v>1145</v>
      </c>
      <c r="C928" s="2">
        <f>IFERROR(__xludf.DUMMYFUNCTION("""COMPUTED_VALUE"""),1145.0)</f>
        <v>1145</v>
      </c>
      <c r="D928" s="2">
        <f>IFERROR(__xludf.DUMMYFUNCTION("""COMPUTED_VALUE"""),1110.0)</f>
        <v>1110</v>
      </c>
      <c r="E928" s="2">
        <f>IFERROR(__xludf.DUMMYFUNCTION("""COMPUTED_VALUE"""),1110.0)</f>
        <v>1110</v>
      </c>
      <c r="F928" s="2">
        <f>IFERROR(__xludf.DUMMYFUNCTION("""COMPUTED_VALUE"""),5146800.0)</f>
        <v>5146800</v>
      </c>
      <c r="G928" s="2">
        <f t="shared" si="1"/>
        <v>35</v>
      </c>
    </row>
    <row r="929" ht="15.75" customHeight="1">
      <c r="A929" s="1">
        <f>IFERROR(__xludf.DUMMYFUNCTION("""COMPUTED_VALUE"""),45223.66666666667)</f>
        <v>45223.66667</v>
      </c>
      <c r="B929" s="2">
        <f>IFERROR(__xludf.DUMMYFUNCTION("""COMPUTED_VALUE"""),1110.0)</f>
        <v>1110</v>
      </c>
      <c r="C929" s="2">
        <f>IFERROR(__xludf.DUMMYFUNCTION("""COMPUTED_VALUE"""),1120.0)</f>
        <v>1120</v>
      </c>
      <c r="D929" s="2">
        <f>IFERROR(__xludf.DUMMYFUNCTION("""COMPUTED_VALUE"""),1105.0)</f>
        <v>1105</v>
      </c>
      <c r="E929" s="2">
        <f>IFERROR(__xludf.DUMMYFUNCTION("""COMPUTED_VALUE"""),1120.0)</f>
        <v>1120</v>
      </c>
      <c r="F929" s="2">
        <f>IFERROR(__xludf.DUMMYFUNCTION("""COMPUTED_VALUE"""),1762200.0)</f>
        <v>1762200</v>
      </c>
      <c r="G929" s="2">
        <f t="shared" si="1"/>
        <v>15</v>
      </c>
    </row>
    <row r="930" ht="15.75" customHeight="1">
      <c r="A930" s="1">
        <f>IFERROR(__xludf.DUMMYFUNCTION("""COMPUTED_VALUE"""),45224.66666666667)</f>
        <v>45224.66667</v>
      </c>
      <c r="B930" s="2">
        <f>IFERROR(__xludf.DUMMYFUNCTION("""COMPUTED_VALUE"""),1120.0)</f>
        <v>1120</v>
      </c>
      <c r="C930" s="2">
        <f>IFERROR(__xludf.DUMMYFUNCTION("""COMPUTED_VALUE"""),1140.0)</f>
        <v>1140</v>
      </c>
      <c r="D930" s="2">
        <f>IFERROR(__xludf.DUMMYFUNCTION("""COMPUTED_VALUE"""),1120.0)</f>
        <v>1120</v>
      </c>
      <c r="E930" s="2">
        <f>IFERROR(__xludf.DUMMYFUNCTION("""COMPUTED_VALUE"""),1135.0)</f>
        <v>1135</v>
      </c>
      <c r="F930" s="2">
        <f>IFERROR(__xludf.DUMMYFUNCTION("""COMPUTED_VALUE"""),2205400.0)</f>
        <v>2205400</v>
      </c>
      <c r="G930" s="2">
        <f t="shared" si="1"/>
        <v>20</v>
      </c>
    </row>
    <row r="931" ht="15.75" customHeight="1">
      <c r="A931" s="1">
        <f>IFERROR(__xludf.DUMMYFUNCTION("""COMPUTED_VALUE"""),45225.66666666667)</f>
        <v>45225.66667</v>
      </c>
      <c r="B931" s="2">
        <f>IFERROR(__xludf.DUMMYFUNCTION("""COMPUTED_VALUE"""),1135.0)</f>
        <v>1135</v>
      </c>
      <c r="C931" s="2">
        <f>IFERROR(__xludf.DUMMYFUNCTION("""COMPUTED_VALUE"""),1140.0)</f>
        <v>1140</v>
      </c>
      <c r="D931" s="2">
        <f>IFERROR(__xludf.DUMMYFUNCTION("""COMPUTED_VALUE"""),1110.0)</f>
        <v>1110</v>
      </c>
      <c r="E931" s="2">
        <f>IFERROR(__xludf.DUMMYFUNCTION("""COMPUTED_VALUE"""),1115.0)</f>
        <v>1115</v>
      </c>
      <c r="F931" s="2">
        <f>IFERROR(__xludf.DUMMYFUNCTION("""COMPUTED_VALUE"""),2368200.0)</f>
        <v>2368200</v>
      </c>
      <c r="G931" s="2">
        <f t="shared" si="1"/>
        <v>30</v>
      </c>
    </row>
    <row r="932" ht="15.75" customHeight="1">
      <c r="A932" s="1">
        <f>IFERROR(__xludf.DUMMYFUNCTION("""COMPUTED_VALUE"""),45226.66666666667)</f>
        <v>45226.66667</v>
      </c>
      <c r="B932" s="2">
        <f>IFERROR(__xludf.DUMMYFUNCTION("""COMPUTED_VALUE"""),1115.0)</f>
        <v>1115</v>
      </c>
      <c r="C932" s="2">
        <f>IFERROR(__xludf.DUMMYFUNCTION("""COMPUTED_VALUE"""),1130.0)</f>
        <v>1130</v>
      </c>
      <c r="D932" s="2">
        <f>IFERROR(__xludf.DUMMYFUNCTION("""COMPUTED_VALUE"""),1115.0)</f>
        <v>1115</v>
      </c>
      <c r="E932" s="2">
        <f>IFERROR(__xludf.DUMMYFUNCTION("""COMPUTED_VALUE"""),1120.0)</f>
        <v>1120</v>
      </c>
      <c r="F932" s="2">
        <f>IFERROR(__xludf.DUMMYFUNCTION("""COMPUTED_VALUE"""),889100.0)</f>
        <v>889100</v>
      </c>
      <c r="G932" s="2">
        <f t="shared" si="1"/>
        <v>15</v>
      </c>
    </row>
    <row r="933" ht="15.75" customHeight="1">
      <c r="A933" s="1">
        <f>IFERROR(__xludf.DUMMYFUNCTION("""COMPUTED_VALUE"""),45229.66666666667)</f>
        <v>45229.66667</v>
      </c>
      <c r="B933" s="2">
        <f>IFERROR(__xludf.DUMMYFUNCTION("""COMPUTED_VALUE"""),1120.0)</f>
        <v>1120</v>
      </c>
      <c r="C933" s="2">
        <f>IFERROR(__xludf.DUMMYFUNCTION("""COMPUTED_VALUE"""),1135.0)</f>
        <v>1135</v>
      </c>
      <c r="D933" s="2">
        <f>IFERROR(__xludf.DUMMYFUNCTION("""COMPUTED_VALUE"""),1115.0)</f>
        <v>1115</v>
      </c>
      <c r="E933" s="2">
        <f>IFERROR(__xludf.DUMMYFUNCTION("""COMPUTED_VALUE"""),1130.0)</f>
        <v>1130</v>
      </c>
      <c r="F933" s="2">
        <f>IFERROR(__xludf.DUMMYFUNCTION("""COMPUTED_VALUE"""),1592500.0)</f>
        <v>1592500</v>
      </c>
      <c r="G933" s="2">
        <f t="shared" si="1"/>
        <v>20</v>
      </c>
    </row>
    <row r="934" ht="15.75" customHeight="1">
      <c r="A934" s="1">
        <f>IFERROR(__xludf.DUMMYFUNCTION("""COMPUTED_VALUE"""),45230.66666666667)</f>
        <v>45230.66667</v>
      </c>
      <c r="B934" s="2">
        <f>IFERROR(__xludf.DUMMYFUNCTION("""COMPUTED_VALUE"""),1130.0)</f>
        <v>1130</v>
      </c>
      <c r="C934" s="2">
        <f>IFERROR(__xludf.DUMMYFUNCTION("""COMPUTED_VALUE"""),1135.0)</f>
        <v>1135</v>
      </c>
      <c r="D934" s="2">
        <f>IFERROR(__xludf.DUMMYFUNCTION("""COMPUTED_VALUE"""),1125.0)</f>
        <v>1125</v>
      </c>
      <c r="E934" s="2">
        <f>IFERROR(__xludf.DUMMYFUNCTION("""COMPUTED_VALUE"""),1135.0)</f>
        <v>1135</v>
      </c>
      <c r="F934" s="2">
        <f>IFERROR(__xludf.DUMMYFUNCTION("""COMPUTED_VALUE"""),1450900.0)</f>
        <v>1450900</v>
      </c>
      <c r="G934" s="2">
        <f t="shared" si="1"/>
        <v>10</v>
      </c>
    </row>
    <row r="935" ht="15.75" customHeight="1">
      <c r="A935" s="1">
        <f>IFERROR(__xludf.DUMMYFUNCTION("""COMPUTED_VALUE"""),45231.66666666667)</f>
        <v>45231.66667</v>
      </c>
      <c r="B935" s="2">
        <f>IFERROR(__xludf.DUMMYFUNCTION("""COMPUTED_VALUE"""),1135.0)</f>
        <v>1135</v>
      </c>
      <c r="C935" s="2">
        <f>IFERROR(__xludf.DUMMYFUNCTION("""COMPUTED_VALUE"""),1135.0)</f>
        <v>1135</v>
      </c>
      <c r="D935" s="2">
        <f>IFERROR(__xludf.DUMMYFUNCTION("""COMPUTED_VALUE"""),1110.0)</f>
        <v>1110</v>
      </c>
      <c r="E935" s="2">
        <f>IFERROR(__xludf.DUMMYFUNCTION("""COMPUTED_VALUE"""),1115.0)</f>
        <v>1115</v>
      </c>
      <c r="F935" s="2">
        <f>IFERROR(__xludf.DUMMYFUNCTION("""COMPUTED_VALUE"""),2237100.0)</f>
        <v>2237100</v>
      </c>
      <c r="G935" s="2">
        <f t="shared" si="1"/>
        <v>25</v>
      </c>
    </row>
    <row r="936" ht="15.75" customHeight="1">
      <c r="A936" s="1">
        <f>IFERROR(__xludf.DUMMYFUNCTION("""COMPUTED_VALUE"""),45232.66666666667)</f>
        <v>45232.66667</v>
      </c>
      <c r="B936" s="2">
        <f>IFERROR(__xludf.DUMMYFUNCTION("""COMPUTED_VALUE"""),1115.0)</f>
        <v>1115</v>
      </c>
      <c r="C936" s="2">
        <f>IFERROR(__xludf.DUMMYFUNCTION("""COMPUTED_VALUE"""),1130.0)</f>
        <v>1130</v>
      </c>
      <c r="D936" s="2">
        <f>IFERROR(__xludf.DUMMYFUNCTION("""COMPUTED_VALUE"""),1115.0)</f>
        <v>1115</v>
      </c>
      <c r="E936" s="2">
        <f>IFERROR(__xludf.DUMMYFUNCTION("""COMPUTED_VALUE"""),1125.0)</f>
        <v>1125</v>
      </c>
      <c r="F936" s="2">
        <f>IFERROR(__xludf.DUMMYFUNCTION("""COMPUTED_VALUE"""),1160800.0)</f>
        <v>1160800</v>
      </c>
      <c r="G936" s="2">
        <f t="shared" si="1"/>
        <v>15</v>
      </c>
    </row>
    <row r="937" ht="15.75" customHeight="1">
      <c r="A937" s="1">
        <f>IFERROR(__xludf.DUMMYFUNCTION("""COMPUTED_VALUE"""),45233.66666666667)</f>
        <v>45233.66667</v>
      </c>
      <c r="B937" s="2">
        <f>IFERROR(__xludf.DUMMYFUNCTION("""COMPUTED_VALUE"""),1130.0)</f>
        <v>1130</v>
      </c>
      <c r="C937" s="2">
        <f>IFERROR(__xludf.DUMMYFUNCTION("""COMPUTED_VALUE"""),1130.0)</f>
        <v>1130</v>
      </c>
      <c r="D937" s="2">
        <f>IFERROR(__xludf.DUMMYFUNCTION("""COMPUTED_VALUE"""),1120.0)</f>
        <v>1120</v>
      </c>
      <c r="E937" s="2">
        <f>IFERROR(__xludf.DUMMYFUNCTION("""COMPUTED_VALUE"""),1125.0)</f>
        <v>1125</v>
      </c>
      <c r="F937" s="2">
        <f>IFERROR(__xludf.DUMMYFUNCTION("""COMPUTED_VALUE"""),558200.0)</f>
        <v>558200</v>
      </c>
      <c r="G937" s="2">
        <f t="shared" si="1"/>
        <v>10</v>
      </c>
    </row>
    <row r="938" ht="15.75" customHeight="1">
      <c r="A938" s="1">
        <f>IFERROR(__xludf.DUMMYFUNCTION("""COMPUTED_VALUE"""),45236.66666666667)</f>
        <v>45236.66667</v>
      </c>
      <c r="B938" s="2">
        <f>IFERROR(__xludf.DUMMYFUNCTION("""COMPUTED_VALUE"""),1130.0)</f>
        <v>1130</v>
      </c>
      <c r="C938" s="2">
        <f>IFERROR(__xludf.DUMMYFUNCTION("""COMPUTED_VALUE"""),1145.0)</f>
        <v>1145</v>
      </c>
      <c r="D938" s="2">
        <f>IFERROR(__xludf.DUMMYFUNCTION("""COMPUTED_VALUE"""),1125.0)</f>
        <v>1125</v>
      </c>
      <c r="E938" s="2">
        <f>IFERROR(__xludf.DUMMYFUNCTION("""COMPUTED_VALUE"""),1135.0)</f>
        <v>1135</v>
      </c>
      <c r="F938" s="2">
        <f>IFERROR(__xludf.DUMMYFUNCTION("""COMPUTED_VALUE"""),1085900.0)</f>
        <v>1085900</v>
      </c>
      <c r="G938" s="2">
        <f t="shared" si="1"/>
        <v>20</v>
      </c>
    </row>
    <row r="939" ht="15.75" customHeight="1">
      <c r="A939" s="1">
        <f>IFERROR(__xludf.DUMMYFUNCTION("""COMPUTED_VALUE"""),45237.66666666667)</f>
        <v>45237.66667</v>
      </c>
      <c r="B939" s="2">
        <f>IFERROR(__xludf.DUMMYFUNCTION("""COMPUTED_VALUE"""),1135.0)</f>
        <v>1135</v>
      </c>
      <c r="C939" s="2">
        <f>IFERROR(__xludf.DUMMYFUNCTION("""COMPUTED_VALUE"""),1160.0)</f>
        <v>1160</v>
      </c>
      <c r="D939" s="2">
        <f>IFERROR(__xludf.DUMMYFUNCTION("""COMPUTED_VALUE"""),1130.0)</f>
        <v>1130</v>
      </c>
      <c r="E939" s="2">
        <f>IFERROR(__xludf.DUMMYFUNCTION("""COMPUTED_VALUE"""),1135.0)</f>
        <v>1135</v>
      </c>
      <c r="F939" s="2">
        <f>IFERROR(__xludf.DUMMYFUNCTION("""COMPUTED_VALUE"""),2561800.0)</f>
        <v>2561800</v>
      </c>
      <c r="G939" s="2">
        <f t="shared" si="1"/>
        <v>30</v>
      </c>
    </row>
    <row r="940" ht="15.75" customHeight="1">
      <c r="A940" s="1">
        <f>IFERROR(__xludf.DUMMYFUNCTION("""COMPUTED_VALUE"""),45238.66666666667)</f>
        <v>45238.66667</v>
      </c>
      <c r="B940" s="2">
        <f>IFERROR(__xludf.DUMMYFUNCTION("""COMPUTED_VALUE"""),1135.0)</f>
        <v>1135</v>
      </c>
      <c r="C940" s="2">
        <f>IFERROR(__xludf.DUMMYFUNCTION("""COMPUTED_VALUE"""),1140.0)</f>
        <v>1140</v>
      </c>
      <c r="D940" s="2">
        <f>IFERROR(__xludf.DUMMYFUNCTION("""COMPUTED_VALUE"""),1120.0)</f>
        <v>1120</v>
      </c>
      <c r="E940" s="2">
        <f>IFERROR(__xludf.DUMMYFUNCTION("""COMPUTED_VALUE"""),1125.0)</f>
        <v>1125</v>
      </c>
      <c r="F940" s="2">
        <f>IFERROR(__xludf.DUMMYFUNCTION("""COMPUTED_VALUE"""),799600.0)</f>
        <v>799600</v>
      </c>
      <c r="G940" s="2">
        <f t="shared" si="1"/>
        <v>20</v>
      </c>
    </row>
    <row r="941" ht="15.75" customHeight="1">
      <c r="A941" s="1">
        <f>IFERROR(__xludf.DUMMYFUNCTION("""COMPUTED_VALUE"""),45239.66666666667)</f>
        <v>45239.66667</v>
      </c>
      <c r="B941" s="2">
        <f>IFERROR(__xludf.DUMMYFUNCTION("""COMPUTED_VALUE"""),1125.0)</f>
        <v>1125</v>
      </c>
      <c r="C941" s="2">
        <f>IFERROR(__xludf.DUMMYFUNCTION("""COMPUTED_VALUE"""),1140.0)</f>
        <v>1140</v>
      </c>
      <c r="D941" s="2">
        <f>IFERROR(__xludf.DUMMYFUNCTION("""COMPUTED_VALUE"""),1125.0)</f>
        <v>1125</v>
      </c>
      <c r="E941" s="2">
        <f>IFERROR(__xludf.DUMMYFUNCTION("""COMPUTED_VALUE"""),1130.0)</f>
        <v>1130</v>
      </c>
      <c r="F941" s="2">
        <f>IFERROR(__xludf.DUMMYFUNCTION("""COMPUTED_VALUE"""),525700.0)</f>
        <v>525700</v>
      </c>
      <c r="G941" s="2">
        <f t="shared" si="1"/>
        <v>15</v>
      </c>
    </row>
    <row r="942" ht="15.75" customHeight="1">
      <c r="A942" s="1">
        <f>IFERROR(__xludf.DUMMYFUNCTION("""COMPUTED_VALUE"""),45240.66666666667)</f>
        <v>45240.66667</v>
      </c>
      <c r="B942" s="2">
        <f>IFERROR(__xludf.DUMMYFUNCTION("""COMPUTED_VALUE"""),1130.0)</f>
        <v>1130</v>
      </c>
      <c r="C942" s="2">
        <f>IFERROR(__xludf.DUMMYFUNCTION("""COMPUTED_VALUE"""),1135.0)</f>
        <v>1135</v>
      </c>
      <c r="D942" s="2">
        <f>IFERROR(__xludf.DUMMYFUNCTION("""COMPUTED_VALUE"""),1125.0)</f>
        <v>1125</v>
      </c>
      <c r="E942" s="2">
        <f>IFERROR(__xludf.DUMMYFUNCTION("""COMPUTED_VALUE"""),1130.0)</f>
        <v>1130</v>
      </c>
      <c r="F942" s="2">
        <f>IFERROR(__xludf.DUMMYFUNCTION("""COMPUTED_VALUE"""),577300.0)</f>
        <v>577300</v>
      </c>
      <c r="G942" s="2">
        <f t="shared" si="1"/>
        <v>10</v>
      </c>
    </row>
    <row r="943" ht="15.75" customHeight="1">
      <c r="A943" s="1">
        <f>IFERROR(__xludf.DUMMYFUNCTION("""COMPUTED_VALUE"""),45243.66666666667)</f>
        <v>45243.66667</v>
      </c>
      <c r="B943" s="2">
        <f>IFERROR(__xludf.DUMMYFUNCTION("""COMPUTED_VALUE"""),1135.0)</f>
        <v>1135</v>
      </c>
      <c r="C943" s="2">
        <f>IFERROR(__xludf.DUMMYFUNCTION("""COMPUTED_VALUE"""),1135.0)</f>
        <v>1135</v>
      </c>
      <c r="D943" s="2">
        <f>IFERROR(__xludf.DUMMYFUNCTION("""COMPUTED_VALUE"""),1120.0)</f>
        <v>1120</v>
      </c>
      <c r="E943" s="2">
        <f>IFERROR(__xludf.DUMMYFUNCTION("""COMPUTED_VALUE"""),1125.0)</f>
        <v>1125</v>
      </c>
      <c r="F943" s="2">
        <f>IFERROR(__xludf.DUMMYFUNCTION("""COMPUTED_VALUE"""),1933800.0)</f>
        <v>1933800</v>
      </c>
      <c r="G943" s="2">
        <f t="shared" si="1"/>
        <v>15</v>
      </c>
    </row>
    <row r="944" ht="15.75" customHeight="1">
      <c r="A944" s="1">
        <f>IFERROR(__xludf.DUMMYFUNCTION("""COMPUTED_VALUE"""),45244.66666666667)</f>
        <v>45244.66667</v>
      </c>
      <c r="B944" s="2">
        <f>IFERROR(__xludf.DUMMYFUNCTION("""COMPUTED_VALUE"""),1125.0)</f>
        <v>1125</v>
      </c>
      <c r="C944" s="2">
        <f>IFERROR(__xludf.DUMMYFUNCTION("""COMPUTED_VALUE"""),1125.0)</f>
        <v>1125</v>
      </c>
      <c r="D944" s="2">
        <f>IFERROR(__xludf.DUMMYFUNCTION("""COMPUTED_VALUE"""),1120.0)</f>
        <v>1120</v>
      </c>
      <c r="E944" s="2">
        <f>IFERROR(__xludf.DUMMYFUNCTION("""COMPUTED_VALUE"""),1125.0)</f>
        <v>1125</v>
      </c>
      <c r="F944" s="2">
        <f>IFERROR(__xludf.DUMMYFUNCTION("""COMPUTED_VALUE"""),680900.0)</f>
        <v>680900</v>
      </c>
      <c r="G944" s="2">
        <f t="shared" si="1"/>
        <v>5</v>
      </c>
    </row>
    <row r="945" ht="15.75" customHeight="1">
      <c r="A945" s="1">
        <f>IFERROR(__xludf.DUMMYFUNCTION("""COMPUTED_VALUE"""),45245.66666666667)</f>
        <v>45245.66667</v>
      </c>
      <c r="B945" s="2">
        <f>IFERROR(__xludf.DUMMYFUNCTION("""COMPUTED_VALUE"""),1125.0)</f>
        <v>1125</v>
      </c>
      <c r="C945" s="2">
        <f>IFERROR(__xludf.DUMMYFUNCTION("""COMPUTED_VALUE"""),1130.0)</f>
        <v>1130</v>
      </c>
      <c r="D945" s="2">
        <f>IFERROR(__xludf.DUMMYFUNCTION("""COMPUTED_VALUE"""),1120.0)</f>
        <v>1120</v>
      </c>
      <c r="E945" s="2">
        <f>IFERROR(__xludf.DUMMYFUNCTION("""COMPUTED_VALUE"""),1125.0)</f>
        <v>1125</v>
      </c>
      <c r="F945" s="2">
        <f>IFERROR(__xludf.DUMMYFUNCTION("""COMPUTED_VALUE"""),1759500.0)</f>
        <v>1759500</v>
      </c>
      <c r="G945" s="2">
        <f t="shared" si="1"/>
        <v>10</v>
      </c>
    </row>
    <row r="946" ht="15.75" customHeight="1">
      <c r="A946" s="1">
        <f>IFERROR(__xludf.DUMMYFUNCTION("""COMPUTED_VALUE"""),45246.66666666667)</f>
        <v>45246.66667</v>
      </c>
      <c r="B946" s="2">
        <f>IFERROR(__xludf.DUMMYFUNCTION("""COMPUTED_VALUE"""),1125.0)</f>
        <v>1125</v>
      </c>
      <c r="C946" s="2">
        <f>IFERROR(__xludf.DUMMYFUNCTION("""COMPUTED_VALUE"""),1130.0)</f>
        <v>1130</v>
      </c>
      <c r="D946" s="2">
        <f>IFERROR(__xludf.DUMMYFUNCTION("""COMPUTED_VALUE"""),1120.0)</f>
        <v>1120</v>
      </c>
      <c r="E946" s="2">
        <f>IFERROR(__xludf.DUMMYFUNCTION("""COMPUTED_VALUE"""),1130.0)</f>
        <v>1130</v>
      </c>
      <c r="F946" s="2">
        <f>IFERROR(__xludf.DUMMYFUNCTION("""COMPUTED_VALUE"""),278100.0)</f>
        <v>278100</v>
      </c>
      <c r="G946" s="2">
        <f t="shared" si="1"/>
        <v>10</v>
      </c>
    </row>
    <row r="947" ht="15.75" customHeight="1">
      <c r="A947" s="1">
        <f>IFERROR(__xludf.DUMMYFUNCTION("""COMPUTED_VALUE"""),45247.66666666667)</f>
        <v>45247.66667</v>
      </c>
      <c r="B947" s="2">
        <f>IFERROR(__xludf.DUMMYFUNCTION("""COMPUTED_VALUE"""),1130.0)</f>
        <v>1130</v>
      </c>
      <c r="C947" s="2">
        <f>IFERROR(__xludf.DUMMYFUNCTION("""COMPUTED_VALUE"""),1130.0)</f>
        <v>1130</v>
      </c>
      <c r="D947" s="2">
        <f>IFERROR(__xludf.DUMMYFUNCTION("""COMPUTED_VALUE"""),1115.0)</f>
        <v>1115</v>
      </c>
      <c r="E947" s="2">
        <f>IFERROR(__xludf.DUMMYFUNCTION("""COMPUTED_VALUE"""),1120.0)</f>
        <v>1120</v>
      </c>
      <c r="F947" s="2">
        <f>IFERROR(__xludf.DUMMYFUNCTION("""COMPUTED_VALUE"""),2458800.0)</f>
        <v>2458800</v>
      </c>
      <c r="G947" s="2">
        <f t="shared" si="1"/>
        <v>15</v>
      </c>
    </row>
    <row r="948" ht="15.75" customHeight="1">
      <c r="A948" s="1">
        <f>IFERROR(__xludf.DUMMYFUNCTION("""COMPUTED_VALUE"""),45250.66666666667)</f>
        <v>45250.66667</v>
      </c>
      <c r="B948" s="2">
        <f>IFERROR(__xludf.DUMMYFUNCTION("""COMPUTED_VALUE"""),1125.0)</f>
        <v>1125</v>
      </c>
      <c r="C948" s="2">
        <f>IFERROR(__xludf.DUMMYFUNCTION("""COMPUTED_VALUE"""),1130.0)</f>
        <v>1130</v>
      </c>
      <c r="D948" s="2">
        <f>IFERROR(__xludf.DUMMYFUNCTION("""COMPUTED_VALUE"""),1115.0)</f>
        <v>1115</v>
      </c>
      <c r="E948" s="2">
        <f>IFERROR(__xludf.DUMMYFUNCTION("""COMPUTED_VALUE"""),1115.0)</f>
        <v>1115</v>
      </c>
      <c r="F948" s="2">
        <f>IFERROR(__xludf.DUMMYFUNCTION("""COMPUTED_VALUE"""),1811100.0)</f>
        <v>1811100</v>
      </c>
      <c r="G948" s="2">
        <f t="shared" si="1"/>
        <v>15</v>
      </c>
    </row>
    <row r="949" ht="15.75" customHeight="1">
      <c r="A949" s="1">
        <f>IFERROR(__xludf.DUMMYFUNCTION("""COMPUTED_VALUE"""),45251.66666666667)</f>
        <v>45251.66667</v>
      </c>
      <c r="B949" s="2">
        <f>IFERROR(__xludf.DUMMYFUNCTION("""COMPUTED_VALUE"""),1115.0)</f>
        <v>1115</v>
      </c>
      <c r="C949" s="2">
        <f>IFERROR(__xludf.DUMMYFUNCTION("""COMPUTED_VALUE"""),1125.0)</f>
        <v>1125</v>
      </c>
      <c r="D949" s="2">
        <f>IFERROR(__xludf.DUMMYFUNCTION("""COMPUTED_VALUE"""),1110.0)</f>
        <v>1110</v>
      </c>
      <c r="E949" s="2">
        <f>IFERROR(__xludf.DUMMYFUNCTION("""COMPUTED_VALUE"""),1125.0)</f>
        <v>1125</v>
      </c>
      <c r="F949" s="2">
        <f>IFERROR(__xludf.DUMMYFUNCTION("""COMPUTED_VALUE"""),1682500.0)</f>
        <v>1682500</v>
      </c>
      <c r="G949" s="2">
        <f t="shared" si="1"/>
        <v>15</v>
      </c>
    </row>
    <row r="950" ht="15.75" customHeight="1">
      <c r="A950" s="1">
        <f>IFERROR(__xludf.DUMMYFUNCTION("""COMPUTED_VALUE"""),45252.66666666667)</f>
        <v>45252.66667</v>
      </c>
      <c r="B950" s="2">
        <f>IFERROR(__xludf.DUMMYFUNCTION("""COMPUTED_VALUE"""),1120.0)</f>
        <v>1120</v>
      </c>
      <c r="C950" s="2">
        <f>IFERROR(__xludf.DUMMYFUNCTION("""COMPUTED_VALUE"""),1130.0)</f>
        <v>1130</v>
      </c>
      <c r="D950" s="2">
        <f>IFERROR(__xludf.DUMMYFUNCTION("""COMPUTED_VALUE"""),1115.0)</f>
        <v>1115</v>
      </c>
      <c r="E950" s="2">
        <f>IFERROR(__xludf.DUMMYFUNCTION("""COMPUTED_VALUE"""),1120.0)</f>
        <v>1120</v>
      </c>
      <c r="F950" s="2">
        <f>IFERROR(__xludf.DUMMYFUNCTION("""COMPUTED_VALUE"""),1110700.0)</f>
        <v>1110700</v>
      </c>
      <c r="G950" s="2">
        <f t="shared" si="1"/>
        <v>15</v>
      </c>
    </row>
    <row r="951" ht="15.75" customHeight="1">
      <c r="A951" s="1">
        <f>IFERROR(__xludf.DUMMYFUNCTION("""COMPUTED_VALUE"""),45253.66666666667)</f>
        <v>45253.66667</v>
      </c>
      <c r="B951" s="2">
        <f>IFERROR(__xludf.DUMMYFUNCTION("""COMPUTED_VALUE"""),1120.0)</f>
        <v>1120</v>
      </c>
      <c r="C951" s="2">
        <f>IFERROR(__xludf.DUMMYFUNCTION("""COMPUTED_VALUE"""),1125.0)</f>
        <v>1125</v>
      </c>
      <c r="D951" s="2">
        <f>IFERROR(__xludf.DUMMYFUNCTION("""COMPUTED_VALUE"""),1115.0)</f>
        <v>1115</v>
      </c>
      <c r="E951" s="2">
        <f>IFERROR(__xludf.DUMMYFUNCTION("""COMPUTED_VALUE"""),1120.0)</f>
        <v>1120</v>
      </c>
      <c r="F951" s="2">
        <f>IFERROR(__xludf.DUMMYFUNCTION("""COMPUTED_VALUE"""),841600.0)</f>
        <v>841600</v>
      </c>
      <c r="G951" s="2">
        <f t="shared" si="1"/>
        <v>10</v>
      </c>
    </row>
    <row r="952" ht="15.75" customHeight="1">
      <c r="A952" s="1">
        <f>IFERROR(__xludf.DUMMYFUNCTION("""COMPUTED_VALUE"""),45254.66666666667)</f>
        <v>45254.66667</v>
      </c>
      <c r="B952" s="2">
        <f>IFERROR(__xludf.DUMMYFUNCTION("""COMPUTED_VALUE"""),1125.0)</f>
        <v>1125</v>
      </c>
      <c r="C952" s="2">
        <f>IFERROR(__xludf.DUMMYFUNCTION("""COMPUTED_VALUE"""),1125.0)</f>
        <v>1125</v>
      </c>
      <c r="D952" s="2">
        <f>IFERROR(__xludf.DUMMYFUNCTION("""COMPUTED_VALUE"""),1115.0)</f>
        <v>1115</v>
      </c>
      <c r="E952" s="2">
        <f>IFERROR(__xludf.DUMMYFUNCTION("""COMPUTED_VALUE"""),1120.0)</f>
        <v>1120</v>
      </c>
      <c r="F952" s="2">
        <f>IFERROR(__xludf.DUMMYFUNCTION("""COMPUTED_VALUE"""),2463600.0)</f>
        <v>2463600</v>
      </c>
      <c r="G952" s="2">
        <f t="shared" si="1"/>
        <v>10</v>
      </c>
    </row>
    <row r="953" ht="15.75" customHeight="1">
      <c r="A953" s="1">
        <f>IFERROR(__xludf.DUMMYFUNCTION("""COMPUTED_VALUE"""),45257.66666666667)</f>
        <v>45257.66667</v>
      </c>
      <c r="B953" s="2">
        <f>IFERROR(__xludf.DUMMYFUNCTION("""COMPUTED_VALUE"""),1125.0)</f>
        <v>1125</v>
      </c>
      <c r="C953" s="2">
        <f>IFERROR(__xludf.DUMMYFUNCTION("""COMPUTED_VALUE"""),1135.0)</f>
        <v>1135</v>
      </c>
      <c r="D953" s="2">
        <f>IFERROR(__xludf.DUMMYFUNCTION("""COMPUTED_VALUE"""),1115.0)</f>
        <v>1115</v>
      </c>
      <c r="E953" s="2">
        <f>IFERROR(__xludf.DUMMYFUNCTION("""COMPUTED_VALUE"""),1120.0)</f>
        <v>1120</v>
      </c>
      <c r="F953" s="2">
        <f>IFERROR(__xludf.DUMMYFUNCTION("""COMPUTED_VALUE"""),2268900.0)</f>
        <v>2268900</v>
      </c>
      <c r="G953" s="2">
        <f t="shared" si="1"/>
        <v>20</v>
      </c>
    </row>
    <row r="954" ht="15.75" customHeight="1">
      <c r="A954" s="1">
        <f>IFERROR(__xludf.DUMMYFUNCTION("""COMPUTED_VALUE"""),45258.66666666667)</f>
        <v>45258.66667</v>
      </c>
      <c r="B954" s="2">
        <f>IFERROR(__xludf.DUMMYFUNCTION("""COMPUTED_VALUE"""),1120.0)</f>
        <v>1120</v>
      </c>
      <c r="C954" s="2">
        <f>IFERROR(__xludf.DUMMYFUNCTION("""COMPUTED_VALUE"""),1140.0)</f>
        <v>1140</v>
      </c>
      <c r="D954" s="2">
        <f>IFERROR(__xludf.DUMMYFUNCTION("""COMPUTED_VALUE"""),1120.0)</f>
        <v>1120</v>
      </c>
      <c r="E954" s="2">
        <f>IFERROR(__xludf.DUMMYFUNCTION("""COMPUTED_VALUE"""),1130.0)</f>
        <v>1130</v>
      </c>
      <c r="F954" s="2">
        <f>IFERROR(__xludf.DUMMYFUNCTION("""COMPUTED_VALUE"""),2458100.0)</f>
        <v>2458100</v>
      </c>
      <c r="G954" s="2">
        <f t="shared" si="1"/>
        <v>20</v>
      </c>
    </row>
    <row r="955" ht="15.75" customHeight="1">
      <c r="A955" s="1">
        <f>IFERROR(__xludf.DUMMYFUNCTION("""COMPUTED_VALUE"""),45259.66666666667)</f>
        <v>45259.66667</v>
      </c>
      <c r="B955" s="2">
        <f>IFERROR(__xludf.DUMMYFUNCTION("""COMPUTED_VALUE"""),1130.0)</f>
        <v>1130</v>
      </c>
      <c r="C955" s="2">
        <f>IFERROR(__xludf.DUMMYFUNCTION("""COMPUTED_VALUE"""),1145.0)</f>
        <v>1145</v>
      </c>
      <c r="D955" s="2">
        <f>IFERROR(__xludf.DUMMYFUNCTION("""COMPUTED_VALUE"""),1125.0)</f>
        <v>1125</v>
      </c>
      <c r="E955" s="2">
        <f>IFERROR(__xludf.DUMMYFUNCTION("""COMPUTED_VALUE"""),1140.0)</f>
        <v>1140</v>
      </c>
      <c r="F955" s="2">
        <f>IFERROR(__xludf.DUMMYFUNCTION("""COMPUTED_VALUE"""),1034100.0)</f>
        <v>1034100</v>
      </c>
      <c r="G955" s="2">
        <f t="shared" si="1"/>
        <v>20</v>
      </c>
    </row>
    <row r="956" ht="15.75" customHeight="1">
      <c r="A956" s="1">
        <f>IFERROR(__xludf.DUMMYFUNCTION("""COMPUTED_VALUE"""),45260.66666666667)</f>
        <v>45260.66667</v>
      </c>
      <c r="B956" s="2">
        <f>IFERROR(__xludf.DUMMYFUNCTION("""COMPUTED_VALUE"""),1140.0)</f>
        <v>1140</v>
      </c>
      <c r="C956" s="2">
        <f>IFERROR(__xludf.DUMMYFUNCTION("""COMPUTED_VALUE"""),1140.0)</f>
        <v>1140</v>
      </c>
      <c r="D956" s="2">
        <f>IFERROR(__xludf.DUMMYFUNCTION("""COMPUTED_VALUE"""),1120.0)</f>
        <v>1120</v>
      </c>
      <c r="E956" s="2">
        <f>IFERROR(__xludf.DUMMYFUNCTION("""COMPUTED_VALUE"""),1120.0)</f>
        <v>1120</v>
      </c>
      <c r="F956" s="2">
        <f>IFERROR(__xludf.DUMMYFUNCTION("""COMPUTED_VALUE"""),3935500.0)</f>
        <v>3935500</v>
      </c>
      <c r="G956" s="2">
        <f t="shared" si="1"/>
        <v>20</v>
      </c>
    </row>
    <row r="957" ht="15.75" customHeight="1">
      <c r="A957" s="1">
        <f>IFERROR(__xludf.DUMMYFUNCTION("""COMPUTED_VALUE"""),45261.66666666667)</f>
        <v>45261.66667</v>
      </c>
      <c r="B957" s="2">
        <f>IFERROR(__xludf.DUMMYFUNCTION("""COMPUTED_VALUE"""),1130.0)</f>
        <v>1130</v>
      </c>
      <c r="C957" s="2">
        <f>IFERROR(__xludf.DUMMYFUNCTION("""COMPUTED_VALUE"""),1135.0)</f>
        <v>1135</v>
      </c>
      <c r="D957" s="2">
        <f>IFERROR(__xludf.DUMMYFUNCTION("""COMPUTED_VALUE"""),1120.0)</f>
        <v>1120</v>
      </c>
      <c r="E957" s="2">
        <f>IFERROR(__xludf.DUMMYFUNCTION("""COMPUTED_VALUE"""),1130.0)</f>
        <v>1130</v>
      </c>
      <c r="F957" s="2">
        <f>IFERROR(__xludf.DUMMYFUNCTION("""COMPUTED_VALUE"""),1287100.0)</f>
        <v>1287100</v>
      </c>
      <c r="G957" s="2">
        <f t="shared" si="1"/>
        <v>15</v>
      </c>
    </row>
    <row r="958" ht="15.75" customHeight="1">
      <c r="A958" s="1">
        <f>IFERROR(__xludf.DUMMYFUNCTION("""COMPUTED_VALUE"""),45264.66666666667)</f>
        <v>45264.66667</v>
      </c>
      <c r="B958" s="2">
        <f>IFERROR(__xludf.DUMMYFUNCTION("""COMPUTED_VALUE"""),1135.0)</f>
        <v>1135</v>
      </c>
      <c r="C958" s="2">
        <f>IFERROR(__xludf.DUMMYFUNCTION("""COMPUTED_VALUE"""),1135.0)</f>
        <v>1135</v>
      </c>
      <c r="D958" s="2">
        <f>IFERROR(__xludf.DUMMYFUNCTION("""COMPUTED_VALUE"""),1125.0)</f>
        <v>1125</v>
      </c>
      <c r="E958" s="2">
        <f>IFERROR(__xludf.DUMMYFUNCTION("""COMPUTED_VALUE"""),1125.0)</f>
        <v>1125</v>
      </c>
      <c r="F958" s="2">
        <f>IFERROR(__xludf.DUMMYFUNCTION("""COMPUTED_VALUE"""),1815400.0)</f>
        <v>1815400</v>
      </c>
      <c r="G958" s="2">
        <f t="shared" si="1"/>
        <v>10</v>
      </c>
    </row>
    <row r="959" ht="15.75" customHeight="1">
      <c r="A959" s="1">
        <f>IFERROR(__xludf.DUMMYFUNCTION("""COMPUTED_VALUE"""),45265.66666666667)</f>
        <v>45265.66667</v>
      </c>
      <c r="B959" s="2">
        <f>IFERROR(__xludf.DUMMYFUNCTION("""COMPUTED_VALUE"""),1130.0)</f>
        <v>1130</v>
      </c>
      <c r="C959" s="2">
        <f>IFERROR(__xludf.DUMMYFUNCTION("""COMPUTED_VALUE"""),1135.0)</f>
        <v>1135</v>
      </c>
      <c r="D959" s="2">
        <f>IFERROR(__xludf.DUMMYFUNCTION("""COMPUTED_VALUE"""),1125.0)</f>
        <v>1125</v>
      </c>
      <c r="E959" s="2">
        <f>IFERROR(__xludf.DUMMYFUNCTION("""COMPUTED_VALUE"""),1130.0)</f>
        <v>1130</v>
      </c>
      <c r="F959" s="2">
        <f>IFERROR(__xludf.DUMMYFUNCTION("""COMPUTED_VALUE"""),435600.0)</f>
        <v>435600</v>
      </c>
      <c r="G959" s="2">
        <f t="shared" si="1"/>
        <v>10</v>
      </c>
    </row>
    <row r="960" ht="15.75" customHeight="1">
      <c r="A960" s="1">
        <f>IFERROR(__xludf.DUMMYFUNCTION("""COMPUTED_VALUE"""),45266.66666666667)</f>
        <v>45266.66667</v>
      </c>
      <c r="B960" s="2">
        <f>IFERROR(__xludf.DUMMYFUNCTION("""COMPUTED_VALUE"""),1130.0)</f>
        <v>1130</v>
      </c>
      <c r="C960" s="2">
        <f>IFERROR(__xludf.DUMMYFUNCTION("""COMPUTED_VALUE"""),1130.0)</f>
        <v>1130</v>
      </c>
      <c r="D960" s="2">
        <f>IFERROR(__xludf.DUMMYFUNCTION("""COMPUTED_VALUE"""),1120.0)</f>
        <v>1120</v>
      </c>
      <c r="E960" s="2">
        <f>IFERROR(__xludf.DUMMYFUNCTION("""COMPUTED_VALUE"""),1125.0)</f>
        <v>1125</v>
      </c>
      <c r="F960" s="2">
        <f>IFERROR(__xludf.DUMMYFUNCTION("""COMPUTED_VALUE"""),1638100.0)</f>
        <v>1638100</v>
      </c>
      <c r="G960" s="2">
        <f t="shared" si="1"/>
        <v>10</v>
      </c>
    </row>
    <row r="961" ht="15.75" customHeight="1">
      <c r="A961" s="1">
        <f>IFERROR(__xludf.DUMMYFUNCTION("""COMPUTED_VALUE"""),45267.66666666667)</f>
        <v>45267.66667</v>
      </c>
      <c r="B961" s="2">
        <f>IFERROR(__xludf.DUMMYFUNCTION("""COMPUTED_VALUE"""),1125.0)</f>
        <v>1125</v>
      </c>
      <c r="C961" s="2">
        <f>IFERROR(__xludf.DUMMYFUNCTION("""COMPUTED_VALUE"""),1145.0)</f>
        <v>1145</v>
      </c>
      <c r="D961" s="2">
        <f>IFERROR(__xludf.DUMMYFUNCTION("""COMPUTED_VALUE"""),1120.0)</f>
        <v>1120</v>
      </c>
      <c r="E961" s="2">
        <f>IFERROR(__xludf.DUMMYFUNCTION("""COMPUTED_VALUE"""),1125.0)</f>
        <v>1125</v>
      </c>
      <c r="F961" s="2">
        <f>IFERROR(__xludf.DUMMYFUNCTION("""COMPUTED_VALUE"""),1877900.0)</f>
        <v>1877900</v>
      </c>
      <c r="G961" s="2">
        <f t="shared" si="1"/>
        <v>25</v>
      </c>
    </row>
    <row r="962" ht="15.75" customHeight="1">
      <c r="A962" s="1">
        <f>IFERROR(__xludf.DUMMYFUNCTION("""COMPUTED_VALUE"""),45268.66666666667)</f>
        <v>45268.66667</v>
      </c>
      <c r="B962" s="2">
        <f>IFERROR(__xludf.DUMMYFUNCTION("""COMPUTED_VALUE"""),1125.0)</f>
        <v>1125</v>
      </c>
      <c r="C962" s="2">
        <f>IFERROR(__xludf.DUMMYFUNCTION("""COMPUTED_VALUE"""),1140.0)</f>
        <v>1140</v>
      </c>
      <c r="D962" s="2">
        <f>IFERROR(__xludf.DUMMYFUNCTION("""COMPUTED_VALUE"""),1125.0)</f>
        <v>1125</v>
      </c>
      <c r="E962" s="2">
        <f>IFERROR(__xludf.DUMMYFUNCTION("""COMPUTED_VALUE"""),1125.0)</f>
        <v>1125</v>
      </c>
      <c r="F962" s="2">
        <f>IFERROR(__xludf.DUMMYFUNCTION("""COMPUTED_VALUE"""),1258100.0)</f>
        <v>1258100</v>
      </c>
      <c r="G962" s="2">
        <f t="shared" si="1"/>
        <v>15</v>
      </c>
    </row>
    <row r="963" ht="15.75" customHeight="1">
      <c r="A963" s="1">
        <f>IFERROR(__xludf.DUMMYFUNCTION("""COMPUTED_VALUE"""),45271.66666666667)</f>
        <v>45271.66667</v>
      </c>
      <c r="B963" s="2">
        <f>IFERROR(__xludf.DUMMYFUNCTION("""COMPUTED_VALUE"""),1125.0)</f>
        <v>1125</v>
      </c>
      <c r="C963" s="2">
        <f>IFERROR(__xludf.DUMMYFUNCTION("""COMPUTED_VALUE"""),1135.0)</f>
        <v>1135</v>
      </c>
      <c r="D963" s="2">
        <f>IFERROR(__xludf.DUMMYFUNCTION("""COMPUTED_VALUE"""),1115.0)</f>
        <v>1115</v>
      </c>
      <c r="E963" s="2">
        <f>IFERROR(__xludf.DUMMYFUNCTION("""COMPUTED_VALUE"""),1120.0)</f>
        <v>1120</v>
      </c>
      <c r="F963" s="2">
        <f>IFERROR(__xludf.DUMMYFUNCTION("""COMPUTED_VALUE"""),1025200.0)</f>
        <v>1025200</v>
      </c>
      <c r="G963" s="2">
        <f t="shared" si="1"/>
        <v>20</v>
      </c>
    </row>
    <row r="964" ht="15.75" customHeight="1">
      <c r="A964" s="1">
        <f>IFERROR(__xludf.DUMMYFUNCTION("""COMPUTED_VALUE"""),45272.66666666667)</f>
        <v>45272.66667</v>
      </c>
      <c r="B964" s="2">
        <f>IFERROR(__xludf.DUMMYFUNCTION("""COMPUTED_VALUE"""),1120.0)</f>
        <v>1120</v>
      </c>
      <c r="C964" s="2">
        <f>IFERROR(__xludf.DUMMYFUNCTION("""COMPUTED_VALUE"""),1125.0)</f>
        <v>1125</v>
      </c>
      <c r="D964" s="2">
        <f>IFERROR(__xludf.DUMMYFUNCTION("""COMPUTED_VALUE"""),1110.0)</f>
        <v>1110</v>
      </c>
      <c r="E964" s="2">
        <f>IFERROR(__xludf.DUMMYFUNCTION("""COMPUTED_VALUE"""),1120.0)</f>
        <v>1120</v>
      </c>
      <c r="F964" s="2">
        <f>IFERROR(__xludf.DUMMYFUNCTION("""COMPUTED_VALUE"""),1062000.0)</f>
        <v>1062000</v>
      </c>
      <c r="G964" s="2">
        <f t="shared" si="1"/>
        <v>15</v>
      </c>
    </row>
    <row r="965" ht="15.75" customHeight="1">
      <c r="A965" s="1">
        <f>IFERROR(__xludf.DUMMYFUNCTION("""COMPUTED_VALUE"""),45273.66666666667)</f>
        <v>45273.66667</v>
      </c>
      <c r="B965" s="2">
        <f>IFERROR(__xludf.DUMMYFUNCTION("""COMPUTED_VALUE"""),1125.0)</f>
        <v>1125</v>
      </c>
      <c r="C965" s="2">
        <f>IFERROR(__xludf.DUMMYFUNCTION("""COMPUTED_VALUE"""),1125.0)</f>
        <v>1125</v>
      </c>
      <c r="D965" s="2">
        <f>IFERROR(__xludf.DUMMYFUNCTION("""COMPUTED_VALUE"""),1115.0)</f>
        <v>1115</v>
      </c>
      <c r="E965" s="2">
        <f>IFERROR(__xludf.DUMMYFUNCTION("""COMPUTED_VALUE"""),1115.0)</f>
        <v>1115</v>
      </c>
      <c r="F965" s="2">
        <f>IFERROR(__xludf.DUMMYFUNCTION("""COMPUTED_VALUE"""),573000.0)</f>
        <v>573000</v>
      </c>
      <c r="G965" s="2">
        <f t="shared" si="1"/>
        <v>10</v>
      </c>
    </row>
    <row r="966" ht="15.75" customHeight="1">
      <c r="A966" s="1">
        <f>IFERROR(__xludf.DUMMYFUNCTION("""COMPUTED_VALUE"""),45274.66666666667)</f>
        <v>45274.66667</v>
      </c>
      <c r="B966" s="2">
        <f>IFERROR(__xludf.DUMMYFUNCTION("""COMPUTED_VALUE"""),1120.0)</f>
        <v>1120</v>
      </c>
      <c r="C966" s="2">
        <f>IFERROR(__xludf.DUMMYFUNCTION("""COMPUTED_VALUE"""),1125.0)</f>
        <v>1125</v>
      </c>
      <c r="D966" s="2">
        <f>IFERROR(__xludf.DUMMYFUNCTION("""COMPUTED_VALUE"""),1115.0)</f>
        <v>1115</v>
      </c>
      <c r="E966" s="2">
        <f>IFERROR(__xludf.DUMMYFUNCTION("""COMPUTED_VALUE"""),1115.0)</f>
        <v>1115</v>
      </c>
      <c r="F966" s="2">
        <f>IFERROR(__xludf.DUMMYFUNCTION("""COMPUTED_VALUE"""),447800.0)</f>
        <v>447800</v>
      </c>
      <c r="G966" s="2">
        <f t="shared" si="1"/>
        <v>10</v>
      </c>
    </row>
    <row r="967" ht="15.75" customHeight="1">
      <c r="A967" s="1">
        <f>IFERROR(__xludf.DUMMYFUNCTION("""COMPUTED_VALUE"""),45275.66666666667)</f>
        <v>45275.66667</v>
      </c>
      <c r="B967" s="2">
        <f>IFERROR(__xludf.DUMMYFUNCTION("""COMPUTED_VALUE"""),1115.0)</f>
        <v>1115</v>
      </c>
      <c r="C967" s="2">
        <f>IFERROR(__xludf.DUMMYFUNCTION("""COMPUTED_VALUE"""),1125.0)</f>
        <v>1125</v>
      </c>
      <c r="D967" s="2">
        <f>IFERROR(__xludf.DUMMYFUNCTION("""COMPUTED_VALUE"""),1105.0)</f>
        <v>1105</v>
      </c>
      <c r="E967" s="2">
        <f>IFERROR(__xludf.DUMMYFUNCTION("""COMPUTED_VALUE"""),1105.0)</f>
        <v>1105</v>
      </c>
      <c r="F967" s="2">
        <f>IFERROR(__xludf.DUMMYFUNCTION("""COMPUTED_VALUE"""),3224600.0)</f>
        <v>3224600</v>
      </c>
      <c r="G967" s="2">
        <f t="shared" si="1"/>
        <v>20</v>
      </c>
    </row>
    <row r="968" ht="15.75" customHeight="1">
      <c r="A968" s="1">
        <f>IFERROR(__xludf.DUMMYFUNCTION("""COMPUTED_VALUE"""),45278.66666666667)</f>
        <v>45278.66667</v>
      </c>
      <c r="B968" s="2">
        <f>IFERROR(__xludf.DUMMYFUNCTION("""COMPUTED_VALUE"""),1115.0)</f>
        <v>1115</v>
      </c>
      <c r="C968" s="2">
        <f>IFERROR(__xludf.DUMMYFUNCTION("""COMPUTED_VALUE"""),1125.0)</f>
        <v>1125</v>
      </c>
      <c r="D968" s="2">
        <f>IFERROR(__xludf.DUMMYFUNCTION("""COMPUTED_VALUE"""),1110.0)</f>
        <v>1110</v>
      </c>
      <c r="E968" s="2">
        <f>IFERROR(__xludf.DUMMYFUNCTION("""COMPUTED_VALUE"""),1115.0)</f>
        <v>1115</v>
      </c>
      <c r="F968" s="2">
        <f>IFERROR(__xludf.DUMMYFUNCTION("""COMPUTED_VALUE"""),1653400.0)</f>
        <v>1653400</v>
      </c>
      <c r="G968" s="2">
        <f t="shared" si="1"/>
        <v>20</v>
      </c>
    </row>
    <row r="969" ht="15.75" customHeight="1">
      <c r="A969" s="1">
        <f>IFERROR(__xludf.DUMMYFUNCTION("""COMPUTED_VALUE"""),45279.66666666667)</f>
        <v>45279.66667</v>
      </c>
      <c r="B969" s="2">
        <f>IFERROR(__xludf.DUMMYFUNCTION("""COMPUTED_VALUE"""),1115.0)</f>
        <v>1115</v>
      </c>
      <c r="C969" s="2">
        <f>IFERROR(__xludf.DUMMYFUNCTION("""COMPUTED_VALUE"""),1125.0)</f>
        <v>1125</v>
      </c>
      <c r="D969" s="2">
        <f>IFERROR(__xludf.DUMMYFUNCTION("""COMPUTED_VALUE"""),1115.0)</f>
        <v>1115</v>
      </c>
      <c r="E969" s="2">
        <f>IFERROR(__xludf.DUMMYFUNCTION("""COMPUTED_VALUE"""),1125.0)</f>
        <v>1125</v>
      </c>
      <c r="F969" s="2">
        <f>IFERROR(__xludf.DUMMYFUNCTION("""COMPUTED_VALUE"""),1032100.0)</f>
        <v>1032100</v>
      </c>
      <c r="G969" s="2">
        <f t="shared" si="1"/>
        <v>10</v>
      </c>
    </row>
    <row r="970" ht="15.75" customHeight="1">
      <c r="A970" s="1">
        <f>IFERROR(__xludf.DUMMYFUNCTION("""COMPUTED_VALUE"""),45280.66666666667)</f>
        <v>45280.66667</v>
      </c>
      <c r="B970" s="2">
        <f>IFERROR(__xludf.DUMMYFUNCTION("""COMPUTED_VALUE"""),1125.0)</f>
        <v>1125</v>
      </c>
      <c r="C970" s="2">
        <f>IFERROR(__xludf.DUMMYFUNCTION("""COMPUTED_VALUE"""),1130.0)</f>
        <v>1130</v>
      </c>
      <c r="D970" s="2">
        <f>IFERROR(__xludf.DUMMYFUNCTION("""COMPUTED_VALUE"""),1120.0)</f>
        <v>1120</v>
      </c>
      <c r="E970" s="2">
        <f>IFERROR(__xludf.DUMMYFUNCTION("""COMPUTED_VALUE"""),1125.0)</f>
        <v>1125</v>
      </c>
      <c r="F970" s="2">
        <f>IFERROR(__xludf.DUMMYFUNCTION("""COMPUTED_VALUE"""),632800.0)</f>
        <v>632800</v>
      </c>
      <c r="G970" s="2">
        <f t="shared" si="1"/>
        <v>10</v>
      </c>
    </row>
    <row r="971" ht="15.75" customHeight="1">
      <c r="A971" s="1">
        <f>IFERROR(__xludf.DUMMYFUNCTION("""COMPUTED_VALUE"""),45281.66666666667)</f>
        <v>45281.66667</v>
      </c>
      <c r="B971" s="2">
        <f>IFERROR(__xludf.DUMMYFUNCTION("""COMPUTED_VALUE"""),1130.0)</f>
        <v>1130</v>
      </c>
      <c r="C971" s="2">
        <f>IFERROR(__xludf.DUMMYFUNCTION("""COMPUTED_VALUE"""),1130.0)</f>
        <v>1130</v>
      </c>
      <c r="D971" s="2">
        <f>IFERROR(__xludf.DUMMYFUNCTION("""COMPUTED_VALUE"""),1115.0)</f>
        <v>1115</v>
      </c>
      <c r="E971" s="2">
        <f>IFERROR(__xludf.DUMMYFUNCTION("""COMPUTED_VALUE"""),1125.0)</f>
        <v>1125</v>
      </c>
      <c r="F971" s="2">
        <f>IFERROR(__xludf.DUMMYFUNCTION("""COMPUTED_VALUE"""),658800.0)</f>
        <v>658800</v>
      </c>
      <c r="G971" s="2">
        <f t="shared" si="1"/>
        <v>15</v>
      </c>
    </row>
    <row r="972" ht="15.75" customHeight="1">
      <c r="A972" s="1">
        <f>IFERROR(__xludf.DUMMYFUNCTION("""COMPUTED_VALUE"""),45282.66666666667)</f>
        <v>45282.66667</v>
      </c>
      <c r="B972" s="2">
        <f>IFERROR(__xludf.DUMMYFUNCTION("""COMPUTED_VALUE"""),1125.0)</f>
        <v>1125</v>
      </c>
      <c r="C972" s="2">
        <f>IFERROR(__xludf.DUMMYFUNCTION("""COMPUTED_VALUE"""),1130.0)</f>
        <v>1130</v>
      </c>
      <c r="D972" s="2">
        <f>IFERROR(__xludf.DUMMYFUNCTION("""COMPUTED_VALUE"""),1120.0)</f>
        <v>1120</v>
      </c>
      <c r="E972" s="2">
        <f>IFERROR(__xludf.DUMMYFUNCTION("""COMPUTED_VALUE"""),1125.0)</f>
        <v>1125</v>
      </c>
      <c r="F972" s="2">
        <f>IFERROR(__xludf.DUMMYFUNCTION("""COMPUTED_VALUE"""),444700.0)</f>
        <v>444700</v>
      </c>
      <c r="G972" s="2">
        <f t="shared" si="1"/>
        <v>10</v>
      </c>
    </row>
    <row r="973" ht="15.75" customHeight="1">
      <c r="A973" s="1">
        <f>IFERROR(__xludf.DUMMYFUNCTION("""COMPUTED_VALUE"""),45287.66666666667)</f>
        <v>45287.66667</v>
      </c>
      <c r="B973" s="2">
        <f>IFERROR(__xludf.DUMMYFUNCTION("""COMPUTED_VALUE"""),1125.0)</f>
        <v>1125</v>
      </c>
      <c r="C973" s="2">
        <f>IFERROR(__xludf.DUMMYFUNCTION("""COMPUTED_VALUE"""),1130.0)</f>
        <v>1130</v>
      </c>
      <c r="D973" s="2">
        <f>IFERROR(__xludf.DUMMYFUNCTION("""COMPUTED_VALUE"""),1120.0)</f>
        <v>1120</v>
      </c>
      <c r="E973" s="2">
        <f>IFERROR(__xludf.DUMMYFUNCTION("""COMPUTED_VALUE"""),1130.0)</f>
        <v>1130</v>
      </c>
      <c r="F973" s="2">
        <f>IFERROR(__xludf.DUMMYFUNCTION("""COMPUTED_VALUE"""),1772000.0)</f>
        <v>1772000</v>
      </c>
      <c r="G973" s="2">
        <f t="shared" si="1"/>
        <v>10</v>
      </c>
    </row>
    <row r="974" ht="15.75" customHeight="1">
      <c r="A974" s="1">
        <f>IFERROR(__xludf.DUMMYFUNCTION("""COMPUTED_VALUE"""),45288.66666666667)</f>
        <v>45288.66667</v>
      </c>
      <c r="B974" s="2">
        <f>IFERROR(__xludf.DUMMYFUNCTION("""COMPUTED_VALUE"""),1130.0)</f>
        <v>1130</v>
      </c>
      <c r="C974" s="2">
        <f>IFERROR(__xludf.DUMMYFUNCTION("""COMPUTED_VALUE"""),1140.0)</f>
        <v>1140</v>
      </c>
      <c r="D974" s="2">
        <f>IFERROR(__xludf.DUMMYFUNCTION("""COMPUTED_VALUE"""),1125.0)</f>
        <v>1125</v>
      </c>
      <c r="E974" s="2">
        <f>IFERROR(__xludf.DUMMYFUNCTION("""COMPUTED_VALUE"""),1140.0)</f>
        <v>1140</v>
      </c>
      <c r="F974" s="2">
        <f>IFERROR(__xludf.DUMMYFUNCTION("""COMPUTED_VALUE"""),1919500.0)</f>
        <v>1919500</v>
      </c>
      <c r="G974" s="2">
        <f t="shared" si="1"/>
        <v>15</v>
      </c>
    </row>
    <row r="975" ht="15.75" customHeight="1">
      <c r="A975" s="1">
        <f>IFERROR(__xludf.DUMMYFUNCTION("""COMPUTED_VALUE"""),45289.66666666667)</f>
        <v>45289.66667</v>
      </c>
      <c r="B975" s="2">
        <f>IFERROR(__xludf.DUMMYFUNCTION("""COMPUTED_VALUE"""),1140.0)</f>
        <v>1140</v>
      </c>
      <c r="C975" s="2">
        <f>IFERROR(__xludf.DUMMYFUNCTION("""COMPUTED_VALUE"""),1150.0)</f>
        <v>1150</v>
      </c>
      <c r="D975" s="2">
        <f>IFERROR(__xludf.DUMMYFUNCTION("""COMPUTED_VALUE"""),1135.0)</f>
        <v>1135</v>
      </c>
      <c r="E975" s="2">
        <f>IFERROR(__xludf.DUMMYFUNCTION("""COMPUTED_VALUE"""),1150.0)</f>
        <v>1150</v>
      </c>
      <c r="F975" s="2">
        <f>IFERROR(__xludf.DUMMYFUNCTION("""COMPUTED_VALUE"""),2024700.0)</f>
        <v>2024700</v>
      </c>
      <c r="G975" s="2">
        <f t="shared" si="1"/>
        <v>15</v>
      </c>
    </row>
    <row r="976" ht="15.75" customHeight="1">
      <c r="A976" s="1">
        <f>IFERROR(__xludf.DUMMYFUNCTION("""COMPUTED_VALUE"""),45293.66666666667)</f>
        <v>45293.66667</v>
      </c>
      <c r="B976" s="2">
        <f>IFERROR(__xludf.DUMMYFUNCTION("""COMPUTED_VALUE"""),1150.0)</f>
        <v>1150</v>
      </c>
      <c r="C976" s="2">
        <f>IFERROR(__xludf.DUMMYFUNCTION("""COMPUTED_VALUE"""),1165.0)</f>
        <v>1165</v>
      </c>
      <c r="D976" s="2">
        <f>IFERROR(__xludf.DUMMYFUNCTION("""COMPUTED_VALUE"""),1145.0)</f>
        <v>1145</v>
      </c>
      <c r="E976" s="2">
        <f>IFERROR(__xludf.DUMMYFUNCTION("""COMPUTED_VALUE"""),1160.0)</f>
        <v>1160</v>
      </c>
      <c r="F976" s="2">
        <f>IFERROR(__xludf.DUMMYFUNCTION("""COMPUTED_VALUE"""),1536300.0)</f>
        <v>1536300</v>
      </c>
      <c r="G976" s="2">
        <f t="shared" si="1"/>
        <v>20</v>
      </c>
    </row>
    <row r="977" ht="15.75" customHeight="1">
      <c r="A977" s="1">
        <f>IFERROR(__xludf.DUMMYFUNCTION("""COMPUTED_VALUE"""),45294.66666666667)</f>
        <v>45294.66667</v>
      </c>
      <c r="B977" s="2">
        <f>IFERROR(__xludf.DUMMYFUNCTION("""COMPUTED_VALUE"""),1160.0)</f>
        <v>1160</v>
      </c>
      <c r="C977" s="2">
        <f>IFERROR(__xludf.DUMMYFUNCTION("""COMPUTED_VALUE"""),1180.0)</f>
        <v>1180</v>
      </c>
      <c r="D977" s="2">
        <f>IFERROR(__xludf.DUMMYFUNCTION("""COMPUTED_VALUE"""),1160.0)</f>
        <v>1160</v>
      </c>
      <c r="E977" s="2">
        <f>IFERROR(__xludf.DUMMYFUNCTION("""COMPUTED_VALUE"""),1170.0)</f>
        <v>1170</v>
      </c>
      <c r="F977" s="2">
        <f>IFERROR(__xludf.DUMMYFUNCTION("""COMPUTED_VALUE"""),2017100.0)</f>
        <v>2017100</v>
      </c>
      <c r="G977" s="2">
        <f t="shared" si="1"/>
        <v>20</v>
      </c>
    </row>
    <row r="978" ht="15.75" customHeight="1">
      <c r="A978" s="1">
        <f>IFERROR(__xludf.DUMMYFUNCTION("""COMPUTED_VALUE"""),45295.66666666667)</f>
        <v>45295.66667</v>
      </c>
      <c r="B978" s="2">
        <f>IFERROR(__xludf.DUMMYFUNCTION("""COMPUTED_VALUE"""),1180.0)</f>
        <v>1180</v>
      </c>
      <c r="C978" s="2">
        <f>IFERROR(__xludf.DUMMYFUNCTION("""COMPUTED_VALUE"""),1185.0)</f>
        <v>1185</v>
      </c>
      <c r="D978" s="2">
        <f>IFERROR(__xludf.DUMMYFUNCTION("""COMPUTED_VALUE"""),1170.0)</f>
        <v>1170</v>
      </c>
      <c r="E978" s="2">
        <f>IFERROR(__xludf.DUMMYFUNCTION("""COMPUTED_VALUE"""),1185.0)</f>
        <v>1185</v>
      </c>
      <c r="F978" s="2">
        <f>IFERROR(__xludf.DUMMYFUNCTION("""COMPUTED_VALUE"""),2333100.0)</f>
        <v>2333100</v>
      </c>
      <c r="G978" s="2">
        <f t="shared" si="1"/>
        <v>15</v>
      </c>
    </row>
    <row r="979" ht="15.75" customHeight="1">
      <c r="A979" s="1">
        <f>IFERROR(__xludf.DUMMYFUNCTION("""COMPUTED_VALUE"""),45296.66666666667)</f>
        <v>45296.66667</v>
      </c>
      <c r="B979" s="2">
        <f>IFERROR(__xludf.DUMMYFUNCTION("""COMPUTED_VALUE"""),1190.0)</f>
        <v>1190</v>
      </c>
      <c r="C979" s="2">
        <f>IFERROR(__xludf.DUMMYFUNCTION("""COMPUTED_VALUE"""),1190.0)</f>
        <v>1190</v>
      </c>
      <c r="D979" s="2">
        <f>IFERROR(__xludf.DUMMYFUNCTION("""COMPUTED_VALUE"""),1175.0)</f>
        <v>1175</v>
      </c>
      <c r="E979" s="2">
        <f>IFERROR(__xludf.DUMMYFUNCTION("""COMPUTED_VALUE"""),1180.0)</f>
        <v>1180</v>
      </c>
      <c r="F979" s="2">
        <f>IFERROR(__xludf.DUMMYFUNCTION("""COMPUTED_VALUE"""),2620500.0)</f>
        <v>2620500</v>
      </c>
      <c r="G979" s="2">
        <f t="shared" si="1"/>
        <v>15</v>
      </c>
    </row>
    <row r="980" ht="15.75" customHeight="1">
      <c r="A980" s="1">
        <f>IFERROR(__xludf.DUMMYFUNCTION("""COMPUTED_VALUE"""),45299.66666666667)</f>
        <v>45299.66667</v>
      </c>
      <c r="B980" s="2">
        <f>IFERROR(__xludf.DUMMYFUNCTION("""COMPUTED_VALUE"""),1180.0)</f>
        <v>1180</v>
      </c>
      <c r="C980" s="2">
        <f>IFERROR(__xludf.DUMMYFUNCTION("""COMPUTED_VALUE"""),1190.0)</f>
        <v>1190</v>
      </c>
      <c r="D980" s="2">
        <f>IFERROR(__xludf.DUMMYFUNCTION("""COMPUTED_VALUE"""),1175.0)</f>
        <v>1175</v>
      </c>
      <c r="E980" s="2">
        <f>IFERROR(__xludf.DUMMYFUNCTION("""COMPUTED_VALUE"""),1180.0)</f>
        <v>1180</v>
      </c>
      <c r="F980" s="2">
        <f>IFERROR(__xludf.DUMMYFUNCTION("""COMPUTED_VALUE"""),1868200.0)</f>
        <v>1868200</v>
      </c>
      <c r="G980" s="2">
        <f t="shared" si="1"/>
        <v>15</v>
      </c>
    </row>
    <row r="981" ht="15.75" customHeight="1">
      <c r="A981" s="1">
        <f>IFERROR(__xludf.DUMMYFUNCTION("""COMPUTED_VALUE"""),45300.66666666667)</f>
        <v>45300.66667</v>
      </c>
      <c r="B981" s="2">
        <f>IFERROR(__xludf.DUMMYFUNCTION("""COMPUTED_VALUE"""),1180.0)</f>
        <v>1180</v>
      </c>
      <c r="C981" s="2">
        <f>IFERROR(__xludf.DUMMYFUNCTION("""COMPUTED_VALUE"""),1185.0)</f>
        <v>1185</v>
      </c>
      <c r="D981" s="2">
        <f>IFERROR(__xludf.DUMMYFUNCTION("""COMPUTED_VALUE"""),1175.0)</f>
        <v>1175</v>
      </c>
      <c r="E981" s="2">
        <f>IFERROR(__xludf.DUMMYFUNCTION("""COMPUTED_VALUE"""),1185.0)</f>
        <v>1185</v>
      </c>
      <c r="F981" s="2">
        <f>IFERROR(__xludf.DUMMYFUNCTION("""COMPUTED_VALUE"""),918900.0)</f>
        <v>918900</v>
      </c>
      <c r="G981" s="2">
        <f t="shared" si="1"/>
        <v>10</v>
      </c>
    </row>
    <row r="982" ht="15.75" customHeight="1">
      <c r="A982" s="1">
        <f>IFERROR(__xludf.DUMMYFUNCTION("""COMPUTED_VALUE"""),45301.66666666667)</f>
        <v>45301.66667</v>
      </c>
      <c r="B982" s="2">
        <f>IFERROR(__xludf.DUMMYFUNCTION("""COMPUTED_VALUE"""),1185.0)</f>
        <v>1185</v>
      </c>
      <c r="C982" s="2">
        <f>IFERROR(__xludf.DUMMYFUNCTION("""COMPUTED_VALUE"""),1185.0)</f>
        <v>1185</v>
      </c>
      <c r="D982" s="2">
        <f>IFERROR(__xludf.DUMMYFUNCTION("""COMPUTED_VALUE"""),1180.0)</f>
        <v>1180</v>
      </c>
      <c r="E982" s="2">
        <f>IFERROR(__xludf.DUMMYFUNCTION("""COMPUTED_VALUE"""),1180.0)</f>
        <v>1180</v>
      </c>
      <c r="F982" s="2">
        <f>IFERROR(__xludf.DUMMYFUNCTION("""COMPUTED_VALUE"""),847300.0)</f>
        <v>847300</v>
      </c>
      <c r="G982" s="2">
        <f t="shared" si="1"/>
        <v>5</v>
      </c>
    </row>
    <row r="983" ht="15.75" customHeight="1">
      <c r="A983" s="1">
        <f>IFERROR(__xludf.DUMMYFUNCTION("""COMPUTED_VALUE"""),45302.66666666667)</f>
        <v>45302.66667</v>
      </c>
      <c r="B983" s="2">
        <f>IFERROR(__xludf.DUMMYFUNCTION("""COMPUTED_VALUE"""),1180.0)</f>
        <v>1180</v>
      </c>
      <c r="C983" s="2">
        <f>IFERROR(__xludf.DUMMYFUNCTION("""COMPUTED_VALUE"""),1195.0)</f>
        <v>1195</v>
      </c>
      <c r="D983" s="2">
        <f>IFERROR(__xludf.DUMMYFUNCTION("""COMPUTED_VALUE"""),1180.0)</f>
        <v>1180</v>
      </c>
      <c r="E983" s="2">
        <f>IFERROR(__xludf.DUMMYFUNCTION("""COMPUTED_VALUE"""),1190.0)</f>
        <v>1190</v>
      </c>
      <c r="F983" s="2">
        <f>IFERROR(__xludf.DUMMYFUNCTION("""COMPUTED_VALUE"""),2084600.0)</f>
        <v>2084600</v>
      </c>
      <c r="G983" s="2">
        <f t="shared" si="1"/>
        <v>15</v>
      </c>
    </row>
    <row r="984" ht="15.75" customHeight="1">
      <c r="A984" s="1">
        <f>IFERROR(__xludf.DUMMYFUNCTION("""COMPUTED_VALUE"""),45303.66666666667)</f>
        <v>45303.66667</v>
      </c>
      <c r="B984" s="2">
        <f>IFERROR(__xludf.DUMMYFUNCTION("""COMPUTED_VALUE"""),1190.0)</f>
        <v>1190</v>
      </c>
      <c r="C984" s="2">
        <f>IFERROR(__xludf.DUMMYFUNCTION("""COMPUTED_VALUE"""),1205.0)</f>
        <v>1205</v>
      </c>
      <c r="D984" s="2">
        <f>IFERROR(__xludf.DUMMYFUNCTION("""COMPUTED_VALUE"""),1190.0)</f>
        <v>1190</v>
      </c>
      <c r="E984" s="2">
        <f>IFERROR(__xludf.DUMMYFUNCTION("""COMPUTED_VALUE"""),1205.0)</f>
        <v>1205</v>
      </c>
      <c r="F984" s="2">
        <f>IFERROR(__xludf.DUMMYFUNCTION("""COMPUTED_VALUE"""),2261100.0)</f>
        <v>2261100</v>
      </c>
      <c r="G984" s="2">
        <f t="shared" si="1"/>
        <v>15</v>
      </c>
    </row>
    <row r="985" ht="15.75" customHeight="1">
      <c r="A985" s="1">
        <f>IFERROR(__xludf.DUMMYFUNCTION("""COMPUTED_VALUE"""),45306.66666666667)</f>
        <v>45306.66667</v>
      </c>
      <c r="B985" s="2">
        <f>IFERROR(__xludf.DUMMYFUNCTION("""COMPUTED_VALUE"""),1205.0)</f>
        <v>1205</v>
      </c>
      <c r="C985" s="2">
        <f>IFERROR(__xludf.DUMMYFUNCTION("""COMPUTED_VALUE"""),1210.0)</f>
        <v>1210</v>
      </c>
      <c r="D985" s="2">
        <f>IFERROR(__xludf.DUMMYFUNCTION("""COMPUTED_VALUE"""),1190.0)</f>
        <v>1190</v>
      </c>
      <c r="E985" s="2">
        <f>IFERROR(__xludf.DUMMYFUNCTION("""COMPUTED_VALUE"""),1195.0)</f>
        <v>1195</v>
      </c>
      <c r="F985" s="2">
        <f>IFERROR(__xludf.DUMMYFUNCTION("""COMPUTED_VALUE"""),3060300.0)</f>
        <v>3060300</v>
      </c>
      <c r="G985" s="2">
        <f t="shared" si="1"/>
        <v>20</v>
      </c>
    </row>
    <row r="986" ht="15.75" customHeight="1">
      <c r="A986" s="1">
        <f>IFERROR(__xludf.DUMMYFUNCTION("""COMPUTED_VALUE"""),45307.66666666667)</f>
        <v>45307.66667</v>
      </c>
      <c r="B986" s="2">
        <f>IFERROR(__xludf.DUMMYFUNCTION("""COMPUTED_VALUE"""),1195.0)</f>
        <v>1195</v>
      </c>
      <c r="C986" s="2">
        <f>IFERROR(__xludf.DUMMYFUNCTION("""COMPUTED_VALUE"""),1200.0)</f>
        <v>1200</v>
      </c>
      <c r="D986" s="2">
        <f>IFERROR(__xludf.DUMMYFUNCTION("""COMPUTED_VALUE"""),1190.0)</f>
        <v>1190</v>
      </c>
      <c r="E986" s="2">
        <f>IFERROR(__xludf.DUMMYFUNCTION("""COMPUTED_VALUE"""),1195.0)</f>
        <v>1195</v>
      </c>
      <c r="F986" s="2">
        <f>IFERROR(__xludf.DUMMYFUNCTION("""COMPUTED_VALUE"""),1430000.0)</f>
        <v>1430000</v>
      </c>
      <c r="G986" s="2">
        <f t="shared" si="1"/>
        <v>10</v>
      </c>
    </row>
    <row r="987" ht="15.75" customHeight="1">
      <c r="A987" s="1">
        <f>IFERROR(__xludf.DUMMYFUNCTION("""COMPUTED_VALUE"""),45308.66666666667)</f>
        <v>45308.66667</v>
      </c>
      <c r="B987" s="2">
        <f>IFERROR(__xludf.DUMMYFUNCTION("""COMPUTED_VALUE"""),1200.0)</f>
        <v>1200</v>
      </c>
      <c r="C987" s="2">
        <f>IFERROR(__xludf.DUMMYFUNCTION("""COMPUTED_VALUE"""),1200.0)</f>
        <v>1200</v>
      </c>
      <c r="D987" s="2">
        <f>IFERROR(__xludf.DUMMYFUNCTION("""COMPUTED_VALUE"""),1185.0)</f>
        <v>1185</v>
      </c>
      <c r="E987" s="2">
        <f>IFERROR(__xludf.DUMMYFUNCTION("""COMPUTED_VALUE"""),1185.0)</f>
        <v>1185</v>
      </c>
      <c r="F987" s="2">
        <f>IFERROR(__xludf.DUMMYFUNCTION("""COMPUTED_VALUE"""),1926400.0)</f>
        <v>1926400</v>
      </c>
      <c r="G987" s="2">
        <f t="shared" si="1"/>
        <v>15</v>
      </c>
    </row>
    <row r="988" ht="15.75" customHeight="1">
      <c r="A988" s="1">
        <f>IFERROR(__xludf.DUMMYFUNCTION("""COMPUTED_VALUE"""),45309.66666666667)</f>
        <v>45309.66667</v>
      </c>
      <c r="B988" s="2">
        <f>IFERROR(__xludf.DUMMYFUNCTION("""COMPUTED_VALUE"""),1185.0)</f>
        <v>1185</v>
      </c>
      <c r="C988" s="2">
        <f>IFERROR(__xludf.DUMMYFUNCTION("""COMPUTED_VALUE"""),1195.0)</f>
        <v>1195</v>
      </c>
      <c r="D988" s="2">
        <f>IFERROR(__xludf.DUMMYFUNCTION("""COMPUTED_VALUE"""),1185.0)</f>
        <v>1185</v>
      </c>
      <c r="E988" s="2">
        <f>IFERROR(__xludf.DUMMYFUNCTION("""COMPUTED_VALUE"""),1190.0)</f>
        <v>1190</v>
      </c>
      <c r="F988" s="2">
        <f>IFERROR(__xludf.DUMMYFUNCTION("""COMPUTED_VALUE"""),751300.0)</f>
        <v>751300</v>
      </c>
      <c r="G988" s="2">
        <f t="shared" si="1"/>
        <v>10</v>
      </c>
    </row>
    <row r="989" ht="15.75" customHeight="1">
      <c r="A989" s="1">
        <f>IFERROR(__xludf.DUMMYFUNCTION("""COMPUTED_VALUE"""),45310.66666666667)</f>
        <v>45310.66667</v>
      </c>
      <c r="B989" s="2">
        <f>IFERROR(__xludf.DUMMYFUNCTION("""COMPUTED_VALUE"""),1190.0)</f>
        <v>1190</v>
      </c>
      <c r="C989" s="2">
        <f>IFERROR(__xludf.DUMMYFUNCTION("""COMPUTED_VALUE"""),1190.0)</f>
        <v>1190</v>
      </c>
      <c r="D989" s="2">
        <f>IFERROR(__xludf.DUMMYFUNCTION("""COMPUTED_VALUE"""),1180.0)</f>
        <v>1180</v>
      </c>
      <c r="E989" s="2">
        <f>IFERROR(__xludf.DUMMYFUNCTION("""COMPUTED_VALUE"""),1185.0)</f>
        <v>1185</v>
      </c>
      <c r="F989" s="2">
        <f>IFERROR(__xludf.DUMMYFUNCTION("""COMPUTED_VALUE"""),828300.0)</f>
        <v>828300</v>
      </c>
      <c r="G989" s="2">
        <f t="shared" si="1"/>
        <v>10</v>
      </c>
    </row>
    <row r="990" ht="15.75" customHeight="1">
      <c r="A990" s="1">
        <f>IFERROR(__xludf.DUMMYFUNCTION("""COMPUTED_VALUE"""),45313.66666666667)</f>
        <v>45313.66667</v>
      </c>
      <c r="B990" s="2">
        <f>IFERROR(__xludf.DUMMYFUNCTION("""COMPUTED_VALUE"""),1190.0)</f>
        <v>1190</v>
      </c>
      <c r="C990" s="2">
        <f>IFERROR(__xludf.DUMMYFUNCTION("""COMPUTED_VALUE"""),1195.0)</f>
        <v>1195</v>
      </c>
      <c r="D990" s="2">
        <f>IFERROR(__xludf.DUMMYFUNCTION("""COMPUTED_VALUE"""),1180.0)</f>
        <v>1180</v>
      </c>
      <c r="E990" s="2">
        <f>IFERROR(__xludf.DUMMYFUNCTION("""COMPUTED_VALUE"""),1190.0)</f>
        <v>1190</v>
      </c>
      <c r="F990" s="2">
        <f>IFERROR(__xludf.DUMMYFUNCTION("""COMPUTED_VALUE"""),1621000.0)</f>
        <v>1621000</v>
      </c>
      <c r="G990" s="2">
        <f t="shared" si="1"/>
        <v>15</v>
      </c>
    </row>
    <row r="991" ht="15.75" customHeight="1">
      <c r="A991" s="1">
        <f>IFERROR(__xludf.DUMMYFUNCTION("""COMPUTED_VALUE"""),45314.66666666667)</f>
        <v>45314.66667</v>
      </c>
      <c r="B991" s="2">
        <f>IFERROR(__xludf.DUMMYFUNCTION("""COMPUTED_VALUE"""),1185.0)</f>
        <v>1185</v>
      </c>
      <c r="C991" s="2">
        <f>IFERROR(__xludf.DUMMYFUNCTION("""COMPUTED_VALUE"""),1190.0)</f>
        <v>1190</v>
      </c>
      <c r="D991" s="2">
        <f>IFERROR(__xludf.DUMMYFUNCTION("""COMPUTED_VALUE"""),1175.0)</f>
        <v>1175</v>
      </c>
      <c r="E991" s="2">
        <f>IFERROR(__xludf.DUMMYFUNCTION("""COMPUTED_VALUE"""),1175.0)</f>
        <v>1175</v>
      </c>
      <c r="F991" s="2">
        <f>IFERROR(__xludf.DUMMYFUNCTION("""COMPUTED_VALUE"""),1558900.0)</f>
        <v>1558900</v>
      </c>
      <c r="G991" s="2">
        <f t="shared" si="1"/>
        <v>15</v>
      </c>
    </row>
    <row r="992" ht="15.75" customHeight="1">
      <c r="A992" s="1">
        <f>IFERROR(__xludf.DUMMYFUNCTION("""COMPUTED_VALUE"""),45315.66666666667)</f>
        <v>45315.66667</v>
      </c>
      <c r="B992" s="2">
        <f>IFERROR(__xludf.DUMMYFUNCTION("""COMPUTED_VALUE"""),1175.0)</f>
        <v>1175</v>
      </c>
      <c r="C992" s="2">
        <f>IFERROR(__xludf.DUMMYFUNCTION("""COMPUTED_VALUE"""),1180.0)</f>
        <v>1180</v>
      </c>
      <c r="D992" s="2">
        <f>IFERROR(__xludf.DUMMYFUNCTION("""COMPUTED_VALUE"""),1155.0)</f>
        <v>1155</v>
      </c>
      <c r="E992" s="2">
        <f>IFERROR(__xludf.DUMMYFUNCTION("""COMPUTED_VALUE"""),1165.0)</f>
        <v>1165</v>
      </c>
      <c r="F992" s="2">
        <f>IFERROR(__xludf.DUMMYFUNCTION("""COMPUTED_VALUE"""),2244800.0)</f>
        <v>2244800</v>
      </c>
      <c r="G992" s="2">
        <f t="shared" si="1"/>
        <v>25</v>
      </c>
    </row>
    <row r="993" ht="15.75" customHeight="1">
      <c r="A993" s="1">
        <f>IFERROR(__xludf.DUMMYFUNCTION("""COMPUTED_VALUE"""),45316.66666666667)</f>
        <v>45316.66667</v>
      </c>
      <c r="B993" s="2">
        <f>IFERROR(__xludf.DUMMYFUNCTION("""COMPUTED_VALUE"""),1165.0)</f>
        <v>1165</v>
      </c>
      <c r="C993" s="2">
        <f>IFERROR(__xludf.DUMMYFUNCTION("""COMPUTED_VALUE"""),1190.0)</f>
        <v>1190</v>
      </c>
      <c r="D993" s="2">
        <f>IFERROR(__xludf.DUMMYFUNCTION("""COMPUTED_VALUE"""),1160.0)</f>
        <v>1160</v>
      </c>
      <c r="E993" s="2">
        <f>IFERROR(__xludf.DUMMYFUNCTION("""COMPUTED_VALUE"""),1170.0)</f>
        <v>1170</v>
      </c>
      <c r="F993" s="2">
        <f>IFERROR(__xludf.DUMMYFUNCTION("""COMPUTED_VALUE"""),1695400.0)</f>
        <v>1695400</v>
      </c>
      <c r="G993" s="2">
        <f t="shared" si="1"/>
        <v>30</v>
      </c>
    </row>
    <row r="994" ht="15.75" customHeight="1">
      <c r="A994" s="1">
        <f>IFERROR(__xludf.DUMMYFUNCTION("""COMPUTED_VALUE"""),45317.66666666667)</f>
        <v>45317.66667</v>
      </c>
      <c r="B994" s="2">
        <f>IFERROR(__xludf.DUMMYFUNCTION("""COMPUTED_VALUE"""),1170.0)</f>
        <v>1170</v>
      </c>
      <c r="C994" s="2">
        <f>IFERROR(__xludf.DUMMYFUNCTION("""COMPUTED_VALUE"""),1180.0)</f>
        <v>1180</v>
      </c>
      <c r="D994" s="2">
        <f>IFERROR(__xludf.DUMMYFUNCTION("""COMPUTED_VALUE"""),1160.0)</f>
        <v>1160</v>
      </c>
      <c r="E994" s="2">
        <f>IFERROR(__xludf.DUMMYFUNCTION("""COMPUTED_VALUE"""),1170.0)</f>
        <v>1170</v>
      </c>
      <c r="F994" s="2">
        <f>IFERROR(__xludf.DUMMYFUNCTION("""COMPUTED_VALUE"""),958600.0)</f>
        <v>958600</v>
      </c>
      <c r="G994" s="2">
        <f t="shared" si="1"/>
        <v>20</v>
      </c>
    </row>
    <row r="995" ht="15.75" customHeight="1">
      <c r="A995" s="1">
        <f>IFERROR(__xludf.DUMMYFUNCTION("""COMPUTED_VALUE"""),45320.66666666667)</f>
        <v>45320.66667</v>
      </c>
      <c r="B995" s="2">
        <f>IFERROR(__xludf.DUMMYFUNCTION("""COMPUTED_VALUE"""),1170.0)</f>
        <v>1170</v>
      </c>
      <c r="C995" s="2">
        <f>IFERROR(__xludf.DUMMYFUNCTION("""COMPUTED_VALUE"""),1180.0)</f>
        <v>1180</v>
      </c>
      <c r="D995" s="2">
        <f>IFERROR(__xludf.DUMMYFUNCTION("""COMPUTED_VALUE"""),1170.0)</f>
        <v>1170</v>
      </c>
      <c r="E995" s="2">
        <f>IFERROR(__xludf.DUMMYFUNCTION("""COMPUTED_VALUE"""),1175.0)</f>
        <v>1175</v>
      </c>
      <c r="F995" s="2">
        <f>IFERROR(__xludf.DUMMYFUNCTION("""COMPUTED_VALUE"""),680600.0)</f>
        <v>680600</v>
      </c>
      <c r="G995" s="2">
        <f t="shared" si="1"/>
        <v>10</v>
      </c>
    </row>
    <row r="996" ht="15.75" customHeight="1">
      <c r="A996" s="1">
        <f>IFERROR(__xludf.DUMMYFUNCTION("""COMPUTED_VALUE"""),45321.66666666667)</f>
        <v>45321.66667</v>
      </c>
      <c r="B996" s="2">
        <f>IFERROR(__xludf.DUMMYFUNCTION("""COMPUTED_VALUE"""),1175.0)</f>
        <v>1175</v>
      </c>
      <c r="C996" s="2">
        <f>IFERROR(__xludf.DUMMYFUNCTION("""COMPUTED_VALUE"""),1185.0)</f>
        <v>1185</v>
      </c>
      <c r="D996" s="2">
        <f>IFERROR(__xludf.DUMMYFUNCTION("""COMPUTED_VALUE"""),1165.0)</f>
        <v>1165</v>
      </c>
      <c r="E996" s="2">
        <f>IFERROR(__xludf.DUMMYFUNCTION("""COMPUTED_VALUE"""),1165.0)</f>
        <v>1165</v>
      </c>
      <c r="F996" s="2">
        <f>IFERROR(__xludf.DUMMYFUNCTION("""COMPUTED_VALUE"""),2175500.0)</f>
        <v>2175500</v>
      </c>
      <c r="G996" s="2">
        <f t="shared" si="1"/>
        <v>20</v>
      </c>
    </row>
    <row r="997" ht="15.75" customHeight="1">
      <c r="A997" s="1">
        <f>IFERROR(__xludf.DUMMYFUNCTION("""COMPUTED_VALUE"""),45322.66666666667)</f>
        <v>45322.66667</v>
      </c>
      <c r="B997" s="2">
        <f>IFERROR(__xludf.DUMMYFUNCTION("""COMPUTED_VALUE"""),1165.0)</f>
        <v>1165</v>
      </c>
      <c r="C997" s="2">
        <f>IFERROR(__xludf.DUMMYFUNCTION("""COMPUTED_VALUE"""),1180.0)</f>
        <v>1180</v>
      </c>
      <c r="D997" s="2">
        <f>IFERROR(__xludf.DUMMYFUNCTION("""COMPUTED_VALUE"""),1165.0)</f>
        <v>1165</v>
      </c>
      <c r="E997" s="2">
        <f>IFERROR(__xludf.DUMMYFUNCTION("""COMPUTED_VALUE"""),1165.0)</f>
        <v>1165</v>
      </c>
      <c r="F997" s="2">
        <f>IFERROR(__xludf.DUMMYFUNCTION("""COMPUTED_VALUE"""),1297700.0)</f>
        <v>1297700</v>
      </c>
      <c r="G997" s="2">
        <f t="shared" si="1"/>
        <v>15</v>
      </c>
    </row>
    <row r="998" ht="15.75" customHeight="1">
      <c r="A998" s="1">
        <f>IFERROR(__xludf.DUMMYFUNCTION("""COMPUTED_VALUE"""),45323.66666666667)</f>
        <v>45323.66667</v>
      </c>
      <c r="B998" s="2">
        <f>IFERROR(__xludf.DUMMYFUNCTION("""COMPUTED_VALUE"""),1165.0)</f>
        <v>1165</v>
      </c>
      <c r="C998" s="2">
        <f>IFERROR(__xludf.DUMMYFUNCTION("""COMPUTED_VALUE"""),1180.0)</f>
        <v>1180</v>
      </c>
      <c r="D998" s="2">
        <f>IFERROR(__xludf.DUMMYFUNCTION("""COMPUTED_VALUE"""),1155.0)</f>
        <v>1155</v>
      </c>
      <c r="E998" s="2">
        <f>IFERROR(__xludf.DUMMYFUNCTION("""COMPUTED_VALUE"""),1155.0)</f>
        <v>1155</v>
      </c>
      <c r="F998" s="2">
        <f>IFERROR(__xludf.DUMMYFUNCTION("""COMPUTED_VALUE"""),2581900.0)</f>
        <v>2581900</v>
      </c>
      <c r="G998" s="2">
        <f t="shared" si="1"/>
        <v>25</v>
      </c>
    </row>
    <row r="999" ht="15.75" customHeight="1">
      <c r="A999" s="1">
        <f>IFERROR(__xludf.DUMMYFUNCTION("""COMPUTED_VALUE"""),45324.66666666667)</f>
        <v>45324.66667</v>
      </c>
      <c r="B999" s="2">
        <f>IFERROR(__xludf.DUMMYFUNCTION("""COMPUTED_VALUE"""),1165.0)</f>
        <v>1165</v>
      </c>
      <c r="C999" s="2">
        <f>IFERROR(__xludf.DUMMYFUNCTION("""COMPUTED_VALUE"""),1175.0)</f>
        <v>1175</v>
      </c>
      <c r="D999" s="2">
        <f>IFERROR(__xludf.DUMMYFUNCTION("""COMPUTED_VALUE"""),1155.0)</f>
        <v>1155</v>
      </c>
      <c r="E999" s="2">
        <f>IFERROR(__xludf.DUMMYFUNCTION("""COMPUTED_VALUE"""),1160.0)</f>
        <v>1160</v>
      </c>
      <c r="F999" s="2">
        <f>IFERROR(__xludf.DUMMYFUNCTION("""COMPUTED_VALUE"""),1416400.0)</f>
        <v>1416400</v>
      </c>
      <c r="G999" s="2">
        <f t="shared" si="1"/>
        <v>20</v>
      </c>
    </row>
    <row r="1000" ht="15.75" customHeight="1">
      <c r="A1000" s="1">
        <f>IFERROR(__xludf.DUMMYFUNCTION("""COMPUTED_VALUE"""),45327.66666666667)</f>
        <v>45327.66667</v>
      </c>
      <c r="B1000" s="2">
        <f>IFERROR(__xludf.DUMMYFUNCTION("""COMPUTED_VALUE"""),1160.0)</f>
        <v>1160</v>
      </c>
      <c r="C1000" s="2">
        <f>IFERROR(__xludf.DUMMYFUNCTION("""COMPUTED_VALUE"""),1175.0)</f>
        <v>1175</v>
      </c>
      <c r="D1000" s="2">
        <f>IFERROR(__xludf.DUMMYFUNCTION("""COMPUTED_VALUE"""),1160.0)</f>
        <v>1160</v>
      </c>
      <c r="E1000" s="2">
        <f>IFERROR(__xludf.DUMMYFUNCTION("""COMPUTED_VALUE"""),1160.0)</f>
        <v>1160</v>
      </c>
      <c r="F1000" s="2">
        <f>IFERROR(__xludf.DUMMYFUNCTION("""COMPUTED_VALUE"""),2037400.0)</f>
        <v>2037400</v>
      </c>
      <c r="G1000" s="2">
        <f t="shared" si="1"/>
        <v>15</v>
      </c>
    </row>
    <row r="1001" ht="15.75" customHeight="1">
      <c r="A1001" s="1">
        <f>IFERROR(__xludf.DUMMYFUNCTION("""COMPUTED_VALUE"""),45328.66666666667)</f>
        <v>45328.66667</v>
      </c>
      <c r="B1001" s="2">
        <f>IFERROR(__xludf.DUMMYFUNCTION("""COMPUTED_VALUE"""),1165.0)</f>
        <v>1165</v>
      </c>
      <c r="C1001" s="2">
        <f>IFERROR(__xludf.DUMMYFUNCTION("""COMPUTED_VALUE"""),1170.0)</f>
        <v>1170</v>
      </c>
      <c r="D1001" s="2">
        <f>IFERROR(__xludf.DUMMYFUNCTION("""COMPUTED_VALUE"""),1160.0)</f>
        <v>1160</v>
      </c>
      <c r="E1001" s="2">
        <f>IFERROR(__xludf.DUMMYFUNCTION("""COMPUTED_VALUE"""),1170.0)</f>
        <v>1170</v>
      </c>
      <c r="F1001" s="2">
        <f>IFERROR(__xludf.DUMMYFUNCTION("""COMPUTED_VALUE"""),958300.0)</f>
        <v>958300</v>
      </c>
      <c r="G1001" s="2">
        <f t="shared" si="1"/>
        <v>10</v>
      </c>
    </row>
    <row r="1002" ht="15.75" customHeight="1">
      <c r="A1002" s="1">
        <f>IFERROR(__xludf.DUMMYFUNCTION("""COMPUTED_VALUE"""),45329.66666666667)</f>
        <v>45329.66667</v>
      </c>
      <c r="B1002" s="2">
        <f>IFERROR(__xludf.DUMMYFUNCTION("""COMPUTED_VALUE"""),1170.0)</f>
        <v>1170</v>
      </c>
      <c r="C1002" s="2">
        <f>IFERROR(__xludf.DUMMYFUNCTION("""COMPUTED_VALUE"""),1170.0)</f>
        <v>1170</v>
      </c>
      <c r="D1002" s="2">
        <f>IFERROR(__xludf.DUMMYFUNCTION("""COMPUTED_VALUE"""),1165.0)</f>
        <v>1165</v>
      </c>
      <c r="E1002" s="2">
        <f>IFERROR(__xludf.DUMMYFUNCTION("""COMPUTED_VALUE"""),1170.0)</f>
        <v>1170</v>
      </c>
      <c r="F1002" s="2">
        <f>IFERROR(__xludf.DUMMYFUNCTION("""COMPUTED_VALUE"""),1125600.0)</f>
        <v>1125600</v>
      </c>
      <c r="G1002" s="2">
        <f t="shared" si="1"/>
        <v>5</v>
      </c>
    </row>
    <row r="1003" ht="15.75" customHeight="1">
      <c r="A1003" s="1">
        <f>IFERROR(__xludf.DUMMYFUNCTION("""COMPUTED_VALUE"""),45334.66666666667)</f>
        <v>45334.66667</v>
      </c>
      <c r="B1003" s="2">
        <f>IFERROR(__xludf.DUMMYFUNCTION("""COMPUTED_VALUE"""),1170.0)</f>
        <v>1170</v>
      </c>
      <c r="C1003" s="2">
        <f>IFERROR(__xludf.DUMMYFUNCTION("""COMPUTED_VALUE"""),1195.0)</f>
        <v>1195</v>
      </c>
      <c r="D1003" s="2">
        <f>IFERROR(__xludf.DUMMYFUNCTION("""COMPUTED_VALUE"""),1165.0)</f>
        <v>1165</v>
      </c>
      <c r="E1003" s="2">
        <f>IFERROR(__xludf.DUMMYFUNCTION("""COMPUTED_VALUE"""),1195.0)</f>
        <v>1195</v>
      </c>
      <c r="F1003" s="2">
        <f>IFERROR(__xludf.DUMMYFUNCTION("""COMPUTED_VALUE"""),5102500.0)</f>
        <v>5102500</v>
      </c>
      <c r="G1003" s="2">
        <f t="shared" si="1"/>
        <v>30</v>
      </c>
    </row>
    <row r="1004" ht="15.75" customHeight="1">
      <c r="A1004" s="1">
        <f>IFERROR(__xludf.DUMMYFUNCTION("""COMPUTED_VALUE"""),45335.66666666667)</f>
        <v>45335.66667</v>
      </c>
      <c r="B1004" s="2">
        <f>IFERROR(__xludf.DUMMYFUNCTION("""COMPUTED_VALUE"""),1200.0)</f>
        <v>1200</v>
      </c>
      <c r="C1004" s="2">
        <f>IFERROR(__xludf.DUMMYFUNCTION("""COMPUTED_VALUE"""),1200.0)</f>
        <v>1200</v>
      </c>
      <c r="D1004" s="2">
        <f>IFERROR(__xludf.DUMMYFUNCTION("""COMPUTED_VALUE"""),1175.0)</f>
        <v>1175</v>
      </c>
      <c r="E1004" s="2">
        <f>IFERROR(__xludf.DUMMYFUNCTION("""COMPUTED_VALUE"""),1190.0)</f>
        <v>1190</v>
      </c>
      <c r="F1004" s="2">
        <f>IFERROR(__xludf.DUMMYFUNCTION("""COMPUTED_VALUE"""),3223500.0)</f>
        <v>3223500</v>
      </c>
      <c r="G1004" s="2">
        <f t="shared" si="1"/>
        <v>25</v>
      </c>
    </row>
    <row r="1005" ht="15.75" customHeight="1">
      <c r="A1005" s="1">
        <f>IFERROR(__xludf.DUMMYFUNCTION("""COMPUTED_VALUE"""),45337.66666666667)</f>
        <v>45337.66667</v>
      </c>
      <c r="B1005" s="2">
        <f>IFERROR(__xludf.DUMMYFUNCTION("""COMPUTED_VALUE"""),1200.0)</f>
        <v>1200</v>
      </c>
      <c r="C1005" s="2">
        <f>IFERROR(__xludf.DUMMYFUNCTION("""COMPUTED_VALUE"""),1205.0)</f>
        <v>1205</v>
      </c>
      <c r="D1005" s="2">
        <f>IFERROR(__xludf.DUMMYFUNCTION("""COMPUTED_VALUE"""),1190.0)</f>
        <v>1190</v>
      </c>
      <c r="E1005" s="2">
        <f>IFERROR(__xludf.DUMMYFUNCTION("""COMPUTED_VALUE"""),1200.0)</f>
        <v>1200</v>
      </c>
      <c r="F1005" s="2">
        <f>IFERROR(__xludf.DUMMYFUNCTION("""COMPUTED_VALUE"""),3258300.0)</f>
        <v>3258300</v>
      </c>
      <c r="G1005" s="2">
        <f t="shared" si="1"/>
        <v>15</v>
      </c>
    </row>
    <row r="1006" ht="15.75" customHeight="1">
      <c r="A1006" s="1">
        <f>IFERROR(__xludf.DUMMYFUNCTION("""COMPUTED_VALUE"""),45338.66666666667)</f>
        <v>45338.66667</v>
      </c>
      <c r="B1006" s="2">
        <f>IFERROR(__xludf.DUMMYFUNCTION("""COMPUTED_VALUE"""),1200.0)</f>
        <v>1200</v>
      </c>
      <c r="C1006" s="2">
        <f>IFERROR(__xludf.DUMMYFUNCTION("""COMPUTED_VALUE"""),1215.0)</f>
        <v>1215</v>
      </c>
      <c r="D1006" s="2">
        <f>IFERROR(__xludf.DUMMYFUNCTION("""COMPUTED_VALUE"""),1200.0)</f>
        <v>1200</v>
      </c>
      <c r="E1006" s="2">
        <f>IFERROR(__xludf.DUMMYFUNCTION("""COMPUTED_VALUE"""),1205.0)</f>
        <v>1205</v>
      </c>
      <c r="F1006" s="2">
        <f>IFERROR(__xludf.DUMMYFUNCTION("""COMPUTED_VALUE"""),1864400.0)</f>
        <v>1864400</v>
      </c>
      <c r="G1006" s="2">
        <f t="shared" si="1"/>
        <v>15</v>
      </c>
    </row>
    <row r="1007" ht="15.75" customHeight="1">
      <c r="A1007" s="1">
        <f>IFERROR(__xludf.DUMMYFUNCTION("""COMPUTED_VALUE"""),45341.66666666667)</f>
        <v>45341.66667</v>
      </c>
      <c r="B1007" s="2">
        <f>IFERROR(__xludf.DUMMYFUNCTION("""COMPUTED_VALUE"""),1210.0)</f>
        <v>1210</v>
      </c>
      <c r="C1007" s="2">
        <f>IFERROR(__xludf.DUMMYFUNCTION("""COMPUTED_VALUE"""),1215.0)</f>
        <v>1215</v>
      </c>
      <c r="D1007" s="2">
        <f>IFERROR(__xludf.DUMMYFUNCTION("""COMPUTED_VALUE"""),1205.0)</f>
        <v>1205</v>
      </c>
      <c r="E1007" s="2">
        <f>IFERROR(__xludf.DUMMYFUNCTION("""COMPUTED_VALUE"""),1205.0)</f>
        <v>1205</v>
      </c>
      <c r="F1007" s="2">
        <f>IFERROR(__xludf.DUMMYFUNCTION("""COMPUTED_VALUE"""),1802700.0)</f>
        <v>1802700</v>
      </c>
      <c r="G1007" s="2">
        <f t="shared" si="1"/>
        <v>10</v>
      </c>
    </row>
    <row r="1008" ht="15.75" customHeight="1">
      <c r="A1008" s="1">
        <f>IFERROR(__xludf.DUMMYFUNCTION("""COMPUTED_VALUE"""),45342.66666666667)</f>
        <v>45342.66667</v>
      </c>
      <c r="B1008" s="2">
        <f>IFERROR(__xludf.DUMMYFUNCTION("""COMPUTED_VALUE"""),1210.0)</f>
        <v>1210</v>
      </c>
      <c r="C1008" s="2">
        <f>IFERROR(__xludf.DUMMYFUNCTION("""COMPUTED_VALUE"""),1230.0)</f>
        <v>1230</v>
      </c>
      <c r="D1008" s="2">
        <f>IFERROR(__xludf.DUMMYFUNCTION("""COMPUTED_VALUE"""),1205.0)</f>
        <v>1205</v>
      </c>
      <c r="E1008" s="2">
        <f>IFERROR(__xludf.DUMMYFUNCTION("""COMPUTED_VALUE"""),1220.0)</f>
        <v>1220</v>
      </c>
      <c r="F1008" s="2">
        <f>IFERROR(__xludf.DUMMYFUNCTION("""COMPUTED_VALUE"""),4798300.0)</f>
        <v>4798300</v>
      </c>
      <c r="G1008" s="2">
        <f t="shared" si="1"/>
        <v>25</v>
      </c>
    </row>
    <row r="1009" ht="15.75" customHeight="1">
      <c r="A1009" s="1">
        <f>IFERROR(__xludf.DUMMYFUNCTION("""COMPUTED_VALUE"""),45343.66666666667)</f>
        <v>45343.66667</v>
      </c>
      <c r="B1009" s="2">
        <f>IFERROR(__xludf.DUMMYFUNCTION("""COMPUTED_VALUE"""),1220.0)</f>
        <v>1220</v>
      </c>
      <c r="C1009" s="2">
        <f>IFERROR(__xludf.DUMMYFUNCTION("""COMPUTED_VALUE"""),1230.0)</f>
        <v>1230</v>
      </c>
      <c r="D1009" s="2">
        <f>IFERROR(__xludf.DUMMYFUNCTION("""COMPUTED_VALUE"""),1205.0)</f>
        <v>1205</v>
      </c>
      <c r="E1009" s="2">
        <f>IFERROR(__xludf.DUMMYFUNCTION("""COMPUTED_VALUE"""),1225.0)</f>
        <v>1225</v>
      </c>
      <c r="F1009" s="2">
        <f>IFERROR(__xludf.DUMMYFUNCTION("""COMPUTED_VALUE"""),2819800.0)</f>
        <v>2819800</v>
      </c>
      <c r="G1009" s="2">
        <f t="shared" si="1"/>
        <v>25</v>
      </c>
    </row>
    <row r="1010" ht="15.75" customHeight="1">
      <c r="A1010" s="1">
        <f>IFERROR(__xludf.DUMMYFUNCTION("""COMPUTED_VALUE"""),45344.66666666667)</f>
        <v>45344.66667</v>
      </c>
      <c r="B1010" s="2">
        <f>IFERROR(__xludf.DUMMYFUNCTION("""COMPUTED_VALUE"""),1225.0)</f>
        <v>1225</v>
      </c>
      <c r="C1010" s="2">
        <f>IFERROR(__xludf.DUMMYFUNCTION("""COMPUTED_VALUE"""),1225.0)</f>
        <v>1225</v>
      </c>
      <c r="D1010" s="2">
        <f>IFERROR(__xludf.DUMMYFUNCTION("""COMPUTED_VALUE"""),1210.0)</f>
        <v>1210</v>
      </c>
      <c r="E1010" s="2">
        <f>IFERROR(__xludf.DUMMYFUNCTION("""COMPUTED_VALUE"""),1215.0)</f>
        <v>1215</v>
      </c>
      <c r="F1010" s="2">
        <f>IFERROR(__xludf.DUMMYFUNCTION("""COMPUTED_VALUE"""),1562000.0)</f>
        <v>1562000</v>
      </c>
      <c r="G1010" s="2">
        <f t="shared" si="1"/>
        <v>15</v>
      </c>
    </row>
    <row r="1011" ht="15.75" customHeight="1">
      <c r="A1011" s="1">
        <f>IFERROR(__xludf.DUMMYFUNCTION("""COMPUTED_VALUE"""),45345.66666666667)</f>
        <v>45345.66667</v>
      </c>
      <c r="B1011" s="2">
        <f>IFERROR(__xludf.DUMMYFUNCTION("""COMPUTED_VALUE"""),1215.0)</f>
        <v>1215</v>
      </c>
      <c r="C1011" s="2">
        <f>IFERROR(__xludf.DUMMYFUNCTION("""COMPUTED_VALUE"""),1220.0)</f>
        <v>1220</v>
      </c>
      <c r="D1011" s="2">
        <f>IFERROR(__xludf.DUMMYFUNCTION("""COMPUTED_VALUE"""),1210.0)</f>
        <v>1210</v>
      </c>
      <c r="E1011" s="2">
        <f>IFERROR(__xludf.DUMMYFUNCTION("""COMPUTED_VALUE"""),1215.0)</f>
        <v>1215</v>
      </c>
      <c r="F1011" s="2">
        <f>IFERROR(__xludf.DUMMYFUNCTION("""COMPUTED_VALUE"""),2522600.0)</f>
        <v>2522600</v>
      </c>
      <c r="G1011" s="2">
        <f t="shared" si="1"/>
        <v>10</v>
      </c>
    </row>
    <row r="1012" ht="15.75" customHeight="1">
      <c r="A1012" s="1">
        <f>IFERROR(__xludf.DUMMYFUNCTION("""COMPUTED_VALUE"""),45348.66666666667)</f>
        <v>45348.66667</v>
      </c>
      <c r="B1012" s="2">
        <f>IFERROR(__xludf.DUMMYFUNCTION("""COMPUTED_VALUE"""),1220.0)</f>
        <v>1220</v>
      </c>
      <c r="C1012" s="2">
        <f>IFERROR(__xludf.DUMMYFUNCTION("""COMPUTED_VALUE"""),1220.0)</f>
        <v>1220</v>
      </c>
      <c r="D1012" s="2">
        <f>IFERROR(__xludf.DUMMYFUNCTION("""COMPUTED_VALUE"""),1205.0)</f>
        <v>1205</v>
      </c>
      <c r="E1012" s="2">
        <f>IFERROR(__xludf.DUMMYFUNCTION("""COMPUTED_VALUE"""),1210.0)</f>
        <v>1210</v>
      </c>
      <c r="F1012" s="2">
        <f>IFERROR(__xludf.DUMMYFUNCTION("""COMPUTED_VALUE"""),2006000.0)</f>
        <v>2006000</v>
      </c>
      <c r="G1012" s="2">
        <f t="shared" si="1"/>
        <v>15</v>
      </c>
    </row>
    <row r="1013" ht="15.75" customHeight="1">
      <c r="A1013" s="1">
        <f>IFERROR(__xludf.DUMMYFUNCTION("""COMPUTED_VALUE"""),45349.66666666667)</f>
        <v>45349.66667</v>
      </c>
      <c r="B1013" s="2">
        <f>IFERROR(__xludf.DUMMYFUNCTION("""COMPUTED_VALUE"""),1210.0)</f>
        <v>1210</v>
      </c>
      <c r="C1013" s="2">
        <f>IFERROR(__xludf.DUMMYFUNCTION("""COMPUTED_VALUE"""),1215.0)</f>
        <v>1215</v>
      </c>
      <c r="D1013" s="2">
        <f>IFERROR(__xludf.DUMMYFUNCTION("""COMPUTED_VALUE"""),1205.0)</f>
        <v>1205</v>
      </c>
      <c r="E1013" s="2">
        <f>IFERROR(__xludf.DUMMYFUNCTION("""COMPUTED_VALUE"""),1210.0)</f>
        <v>1210</v>
      </c>
      <c r="F1013" s="2">
        <f>IFERROR(__xludf.DUMMYFUNCTION("""COMPUTED_VALUE"""),1713100.0)</f>
        <v>1713100</v>
      </c>
      <c r="G1013" s="2">
        <f t="shared" si="1"/>
        <v>10</v>
      </c>
    </row>
    <row r="1014" ht="15.75" customHeight="1">
      <c r="A1014" s="1">
        <f>IFERROR(__xludf.DUMMYFUNCTION("""COMPUTED_VALUE"""),45350.66666666667)</f>
        <v>45350.66667</v>
      </c>
      <c r="B1014" s="2">
        <f>IFERROR(__xludf.DUMMYFUNCTION("""COMPUTED_VALUE"""),1210.0)</f>
        <v>1210</v>
      </c>
      <c r="C1014" s="2">
        <f>IFERROR(__xludf.DUMMYFUNCTION("""COMPUTED_VALUE"""),1220.0)</f>
        <v>1220</v>
      </c>
      <c r="D1014" s="2">
        <f>IFERROR(__xludf.DUMMYFUNCTION("""COMPUTED_VALUE"""),1205.0)</f>
        <v>1205</v>
      </c>
      <c r="E1014" s="2">
        <f>IFERROR(__xludf.DUMMYFUNCTION("""COMPUTED_VALUE"""),1220.0)</f>
        <v>1220</v>
      </c>
      <c r="F1014" s="2">
        <f>IFERROR(__xludf.DUMMYFUNCTION("""COMPUTED_VALUE"""),1813100.0)</f>
        <v>1813100</v>
      </c>
      <c r="G1014" s="2">
        <f t="shared" si="1"/>
        <v>15</v>
      </c>
    </row>
    <row r="1015" ht="15.75" customHeight="1">
      <c r="A1015" s="1">
        <f>IFERROR(__xludf.DUMMYFUNCTION("""COMPUTED_VALUE"""),45351.66666666667)</f>
        <v>45351.66667</v>
      </c>
      <c r="B1015" s="2">
        <f>IFERROR(__xludf.DUMMYFUNCTION("""COMPUTED_VALUE"""),1220.0)</f>
        <v>1220</v>
      </c>
      <c r="C1015" s="2">
        <f>IFERROR(__xludf.DUMMYFUNCTION("""COMPUTED_VALUE"""),1220.0)</f>
        <v>1220</v>
      </c>
      <c r="D1015" s="2">
        <f>IFERROR(__xludf.DUMMYFUNCTION("""COMPUTED_VALUE"""),1205.0)</f>
        <v>1205</v>
      </c>
      <c r="E1015" s="2">
        <f>IFERROR(__xludf.DUMMYFUNCTION("""COMPUTED_VALUE"""),1205.0)</f>
        <v>1205</v>
      </c>
      <c r="F1015" s="2">
        <f>IFERROR(__xludf.DUMMYFUNCTION("""COMPUTED_VALUE"""),2945300.0)</f>
        <v>2945300</v>
      </c>
      <c r="G1015" s="2">
        <f t="shared" si="1"/>
        <v>15</v>
      </c>
    </row>
    <row r="1016" ht="15.75" customHeight="1">
      <c r="A1016" s="1">
        <f>IFERROR(__xludf.DUMMYFUNCTION("""COMPUTED_VALUE"""),45352.66666666667)</f>
        <v>45352.66667</v>
      </c>
      <c r="B1016" s="2">
        <f>IFERROR(__xludf.DUMMYFUNCTION("""COMPUTED_VALUE"""),1205.0)</f>
        <v>1205</v>
      </c>
      <c r="C1016" s="2">
        <f>IFERROR(__xludf.DUMMYFUNCTION("""COMPUTED_VALUE"""),1215.0)</f>
        <v>1215</v>
      </c>
      <c r="D1016" s="2">
        <f>IFERROR(__xludf.DUMMYFUNCTION("""COMPUTED_VALUE"""),1200.0)</f>
        <v>1200</v>
      </c>
      <c r="E1016" s="2">
        <f>IFERROR(__xludf.DUMMYFUNCTION("""COMPUTED_VALUE"""),1205.0)</f>
        <v>1205</v>
      </c>
      <c r="F1016" s="2">
        <f>IFERROR(__xludf.DUMMYFUNCTION("""COMPUTED_VALUE"""),1505600.0)</f>
        <v>1505600</v>
      </c>
      <c r="G1016" s="2">
        <f t="shared" si="1"/>
        <v>15</v>
      </c>
    </row>
    <row r="1017" ht="15.75" customHeight="1">
      <c r="A1017" s="1">
        <f>IFERROR(__xludf.DUMMYFUNCTION("""COMPUTED_VALUE"""),45355.66666666667)</f>
        <v>45355.66667</v>
      </c>
      <c r="B1017" s="2">
        <f>IFERROR(__xludf.DUMMYFUNCTION("""COMPUTED_VALUE"""),1210.0)</f>
        <v>1210</v>
      </c>
      <c r="C1017" s="2">
        <f>IFERROR(__xludf.DUMMYFUNCTION("""COMPUTED_VALUE"""),1215.0)</f>
        <v>1215</v>
      </c>
      <c r="D1017" s="2">
        <f>IFERROR(__xludf.DUMMYFUNCTION("""COMPUTED_VALUE"""),1190.0)</f>
        <v>1190</v>
      </c>
      <c r="E1017" s="2">
        <f>IFERROR(__xludf.DUMMYFUNCTION("""COMPUTED_VALUE"""),1195.0)</f>
        <v>1195</v>
      </c>
      <c r="F1017" s="2">
        <f>IFERROR(__xludf.DUMMYFUNCTION("""COMPUTED_VALUE"""),3300300.0)</f>
        <v>3300300</v>
      </c>
      <c r="G1017" s="2">
        <f t="shared" si="1"/>
        <v>25</v>
      </c>
    </row>
    <row r="1018" ht="15.75" customHeight="1">
      <c r="A1018" s="1">
        <f>IFERROR(__xludf.DUMMYFUNCTION("""COMPUTED_VALUE"""),45356.66666666667)</f>
        <v>45356.66667</v>
      </c>
      <c r="B1018" s="2">
        <f>IFERROR(__xludf.DUMMYFUNCTION("""COMPUTED_VALUE"""),1210.0)</f>
        <v>1210</v>
      </c>
      <c r="C1018" s="2">
        <f>IFERROR(__xludf.DUMMYFUNCTION("""COMPUTED_VALUE"""),1210.0)</f>
        <v>1210</v>
      </c>
      <c r="D1018" s="2">
        <f>IFERROR(__xludf.DUMMYFUNCTION("""COMPUTED_VALUE"""),1170.0)</f>
        <v>1170</v>
      </c>
      <c r="E1018" s="2">
        <f>IFERROR(__xludf.DUMMYFUNCTION("""COMPUTED_VALUE"""),1185.0)</f>
        <v>1185</v>
      </c>
      <c r="F1018" s="2">
        <f>IFERROR(__xludf.DUMMYFUNCTION("""COMPUTED_VALUE"""),3936800.0)</f>
        <v>3936800</v>
      </c>
      <c r="G1018" s="2">
        <f t="shared" si="1"/>
        <v>40</v>
      </c>
    </row>
    <row r="1019" ht="15.75" customHeight="1">
      <c r="A1019" s="1">
        <f>IFERROR(__xludf.DUMMYFUNCTION("""COMPUTED_VALUE"""),45357.66666666667)</f>
        <v>45357.66667</v>
      </c>
      <c r="B1019" s="2">
        <f>IFERROR(__xludf.DUMMYFUNCTION("""COMPUTED_VALUE"""),1185.0)</f>
        <v>1185</v>
      </c>
      <c r="C1019" s="2">
        <f>IFERROR(__xludf.DUMMYFUNCTION("""COMPUTED_VALUE"""),1200.0)</f>
        <v>1200</v>
      </c>
      <c r="D1019" s="2">
        <f>IFERROR(__xludf.DUMMYFUNCTION("""COMPUTED_VALUE"""),1180.0)</f>
        <v>1180</v>
      </c>
      <c r="E1019" s="2">
        <f>IFERROR(__xludf.DUMMYFUNCTION("""COMPUTED_VALUE"""),1200.0)</f>
        <v>1200</v>
      </c>
      <c r="F1019" s="2">
        <f>IFERROR(__xludf.DUMMYFUNCTION("""COMPUTED_VALUE"""),1584400.0)</f>
        <v>1584400</v>
      </c>
      <c r="G1019" s="2">
        <f t="shared" si="1"/>
        <v>20</v>
      </c>
    </row>
    <row r="1020" ht="15.75" customHeight="1">
      <c r="A1020" s="1">
        <f>IFERROR(__xludf.DUMMYFUNCTION("""COMPUTED_VALUE"""),45358.66666666667)</f>
        <v>45358.66667</v>
      </c>
      <c r="B1020" s="2">
        <f>IFERROR(__xludf.DUMMYFUNCTION("""COMPUTED_VALUE"""),1200.0)</f>
        <v>1200</v>
      </c>
      <c r="C1020" s="2">
        <f>IFERROR(__xludf.DUMMYFUNCTION("""COMPUTED_VALUE"""),1200.0)</f>
        <v>1200</v>
      </c>
      <c r="D1020" s="2">
        <f>IFERROR(__xludf.DUMMYFUNCTION("""COMPUTED_VALUE"""),1190.0)</f>
        <v>1190</v>
      </c>
      <c r="E1020" s="2">
        <f>IFERROR(__xludf.DUMMYFUNCTION("""COMPUTED_VALUE"""),1195.0)</f>
        <v>1195</v>
      </c>
      <c r="F1020" s="2">
        <f>IFERROR(__xludf.DUMMYFUNCTION("""COMPUTED_VALUE"""),1233400.0)</f>
        <v>1233400</v>
      </c>
      <c r="G1020" s="2">
        <f t="shared" si="1"/>
        <v>10</v>
      </c>
    </row>
    <row r="1021" ht="15.75" customHeight="1">
      <c r="A1021" s="1">
        <f>IFERROR(__xludf.DUMMYFUNCTION("""COMPUTED_VALUE"""),45359.66666666667)</f>
        <v>45359.66667</v>
      </c>
      <c r="B1021" s="2">
        <f>IFERROR(__xludf.DUMMYFUNCTION("""COMPUTED_VALUE"""),1195.0)</f>
        <v>1195</v>
      </c>
      <c r="C1021" s="2">
        <f>IFERROR(__xludf.DUMMYFUNCTION("""COMPUTED_VALUE"""),1205.0)</f>
        <v>1205</v>
      </c>
      <c r="D1021" s="2">
        <f>IFERROR(__xludf.DUMMYFUNCTION("""COMPUTED_VALUE"""),1195.0)</f>
        <v>1195</v>
      </c>
      <c r="E1021" s="2">
        <f>IFERROR(__xludf.DUMMYFUNCTION("""COMPUTED_VALUE"""),1195.0)</f>
        <v>1195</v>
      </c>
      <c r="F1021" s="2">
        <f>IFERROR(__xludf.DUMMYFUNCTION("""COMPUTED_VALUE"""),1641400.0)</f>
        <v>1641400</v>
      </c>
      <c r="G1021" s="2">
        <f t="shared" si="1"/>
        <v>10</v>
      </c>
    </row>
    <row r="1022" ht="15.75" customHeight="1">
      <c r="A1022" s="1">
        <f>IFERROR(__xludf.DUMMYFUNCTION("""COMPUTED_VALUE"""),45364.66666666667)</f>
        <v>45364.66667</v>
      </c>
      <c r="B1022" s="2">
        <f>IFERROR(__xludf.DUMMYFUNCTION("""COMPUTED_VALUE"""),1195.0)</f>
        <v>1195</v>
      </c>
      <c r="C1022" s="2">
        <f>IFERROR(__xludf.DUMMYFUNCTION("""COMPUTED_VALUE"""),1200.0)</f>
        <v>1200</v>
      </c>
      <c r="D1022" s="2">
        <f>IFERROR(__xludf.DUMMYFUNCTION("""COMPUTED_VALUE"""),1190.0)</f>
        <v>1190</v>
      </c>
      <c r="E1022" s="2">
        <f>IFERROR(__xludf.DUMMYFUNCTION("""COMPUTED_VALUE"""),1190.0)</f>
        <v>1190</v>
      </c>
      <c r="F1022" s="2">
        <f>IFERROR(__xludf.DUMMYFUNCTION("""COMPUTED_VALUE"""),2709100.0)</f>
        <v>2709100</v>
      </c>
      <c r="G1022" s="2">
        <f t="shared" si="1"/>
        <v>10</v>
      </c>
    </row>
    <row r="1023" ht="15.75" customHeight="1">
      <c r="A1023" s="1">
        <f>IFERROR(__xludf.DUMMYFUNCTION("""COMPUTED_VALUE"""),45365.66666666667)</f>
        <v>45365.66667</v>
      </c>
      <c r="B1023" s="2">
        <f>IFERROR(__xludf.DUMMYFUNCTION("""COMPUTED_VALUE"""),1190.0)</f>
        <v>1190</v>
      </c>
      <c r="C1023" s="2">
        <f>IFERROR(__xludf.DUMMYFUNCTION("""COMPUTED_VALUE"""),1200.0)</f>
        <v>1200</v>
      </c>
      <c r="D1023" s="2">
        <f>IFERROR(__xludf.DUMMYFUNCTION("""COMPUTED_VALUE"""),1190.0)</f>
        <v>1190</v>
      </c>
      <c r="E1023" s="2">
        <f>IFERROR(__xludf.DUMMYFUNCTION("""COMPUTED_VALUE"""),1195.0)</f>
        <v>1195</v>
      </c>
      <c r="F1023" s="2">
        <f>IFERROR(__xludf.DUMMYFUNCTION("""COMPUTED_VALUE"""),1118400.0)</f>
        <v>1118400</v>
      </c>
      <c r="G1023" s="2">
        <f t="shared" si="1"/>
        <v>10</v>
      </c>
    </row>
    <row r="1024" ht="15.75" customHeight="1">
      <c r="A1024" s="1">
        <f>IFERROR(__xludf.DUMMYFUNCTION("""COMPUTED_VALUE"""),45366.66666666667)</f>
        <v>45366.66667</v>
      </c>
      <c r="B1024" s="2">
        <f>IFERROR(__xludf.DUMMYFUNCTION("""COMPUTED_VALUE"""),1195.0)</f>
        <v>1195</v>
      </c>
      <c r="C1024" s="2">
        <f>IFERROR(__xludf.DUMMYFUNCTION("""COMPUTED_VALUE"""),1205.0)</f>
        <v>1205</v>
      </c>
      <c r="D1024" s="2">
        <f>IFERROR(__xludf.DUMMYFUNCTION("""COMPUTED_VALUE"""),1190.0)</f>
        <v>1190</v>
      </c>
      <c r="E1024" s="2">
        <f>IFERROR(__xludf.DUMMYFUNCTION("""COMPUTED_VALUE"""),1195.0)</f>
        <v>1195</v>
      </c>
      <c r="F1024" s="2">
        <f>IFERROR(__xludf.DUMMYFUNCTION("""COMPUTED_VALUE"""),2454900.0)</f>
        <v>2454900</v>
      </c>
      <c r="G1024" s="2">
        <f t="shared" si="1"/>
        <v>15</v>
      </c>
    </row>
    <row r="1025" ht="15.75" customHeight="1">
      <c r="A1025" s="1">
        <f>IFERROR(__xludf.DUMMYFUNCTION("""COMPUTED_VALUE"""),45369.66666666667)</f>
        <v>45369.66667</v>
      </c>
      <c r="B1025" s="2">
        <f>IFERROR(__xludf.DUMMYFUNCTION("""COMPUTED_VALUE"""),1195.0)</f>
        <v>1195</v>
      </c>
      <c r="C1025" s="2">
        <f>IFERROR(__xludf.DUMMYFUNCTION("""COMPUTED_VALUE"""),1205.0)</f>
        <v>1205</v>
      </c>
      <c r="D1025" s="2">
        <f>IFERROR(__xludf.DUMMYFUNCTION("""COMPUTED_VALUE"""),1190.0)</f>
        <v>1190</v>
      </c>
      <c r="E1025" s="2">
        <f>IFERROR(__xludf.DUMMYFUNCTION("""COMPUTED_VALUE"""),1200.0)</f>
        <v>1200</v>
      </c>
      <c r="F1025" s="2">
        <f>IFERROR(__xludf.DUMMYFUNCTION("""COMPUTED_VALUE"""),1718400.0)</f>
        <v>1718400</v>
      </c>
      <c r="G1025" s="2">
        <f t="shared" si="1"/>
        <v>15</v>
      </c>
    </row>
    <row r="1026" ht="15.75" customHeight="1">
      <c r="A1026" s="1">
        <f>IFERROR(__xludf.DUMMYFUNCTION("""COMPUTED_VALUE"""),45370.66666666667)</f>
        <v>45370.66667</v>
      </c>
      <c r="B1026" s="2">
        <f>IFERROR(__xludf.DUMMYFUNCTION("""COMPUTED_VALUE"""),1205.0)</f>
        <v>1205</v>
      </c>
      <c r="C1026" s="2">
        <f>IFERROR(__xludf.DUMMYFUNCTION("""COMPUTED_VALUE"""),1205.0)</f>
        <v>1205</v>
      </c>
      <c r="D1026" s="2">
        <f>IFERROR(__xludf.DUMMYFUNCTION("""COMPUTED_VALUE"""),1190.0)</f>
        <v>1190</v>
      </c>
      <c r="E1026" s="2">
        <f>IFERROR(__xludf.DUMMYFUNCTION("""COMPUTED_VALUE"""),1195.0)</f>
        <v>1195</v>
      </c>
      <c r="F1026" s="2">
        <f>IFERROR(__xludf.DUMMYFUNCTION("""COMPUTED_VALUE"""),2428000.0)</f>
        <v>2428000</v>
      </c>
      <c r="G1026" s="2">
        <f t="shared" si="1"/>
        <v>15</v>
      </c>
    </row>
    <row r="1027" ht="15.75" customHeight="1">
      <c r="A1027" s="1">
        <f>IFERROR(__xludf.DUMMYFUNCTION("""COMPUTED_VALUE"""),45371.66666666667)</f>
        <v>45371.66667</v>
      </c>
      <c r="B1027" s="2">
        <f>IFERROR(__xludf.DUMMYFUNCTION("""COMPUTED_VALUE"""),1200.0)</f>
        <v>1200</v>
      </c>
      <c r="C1027" s="2">
        <f>IFERROR(__xludf.DUMMYFUNCTION("""COMPUTED_VALUE"""),1200.0)</f>
        <v>1200</v>
      </c>
      <c r="D1027" s="2">
        <f>IFERROR(__xludf.DUMMYFUNCTION("""COMPUTED_VALUE"""),1190.0)</f>
        <v>1190</v>
      </c>
      <c r="E1027" s="2">
        <f>IFERROR(__xludf.DUMMYFUNCTION("""COMPUTED_VALUE"""),1200.0)</f>
        <v>1200</v>
      </c>
      <c r="F1027" s="2">
        <f>IFERROR(__xludf.DUMMYFUNCTION("""COMPUTED_VALUE"""),2053400.0)</f>
        <v>2053400</v>
      </c>
      <c r="G1027" s="2">
        <f t="shared" si="1"/>
        <v>10</v>
      </c>
    </row>
    <row r="1028" ht="15.75" customHeight="1">
      <c r="A1028" s="1">
        <f>IFERROR(__xludf.DUMMYFUNCTION("""COMPUTED_VALUE"""),45372.66666666667)</f>
        <v>45372.66667</v>
      </c>
      <c r="B1028" s="2">
        <f>IFERROR(__xludf.DUMMYFUNCTION("""COMPUTED_VALUE"""),1200.0)</f>
        <v>1200</v>
      </c>
      <c r="C1028" s="2">
        <f>IFERROR(__xludf.DUMMYFUNCTION("""COMPUTED_VALUE"""),1205.0)</f>
        <v>1205</v>
      </c>
      <c r="D1028" s="2">
        <f>IFERROR(__xludf.DUMMYFUNCTION("""COMPUTED_VALUE"""),1195.0)</f>
        <v>1195</v>
      </c>
      <c r="E1028" s="2">
        <f>IFERROR(__xludf.DUMMYFUNCTION("""COMPUTED_VALUE"""),1200.0)</f>
        <v>1200</v>
      </c>
      <c r="F1028" s="2">
        <f>IFERROR(__xludf.DUMMYFUNCTION("""COMPUTED_VALUE"""),2170500.0)</f>
        <v>2170500</v>
      </c>
      <c r="G1028" s="2">
        <f t="shared" si="1"/>
        <v>10</v>
      </c>
    </row>
    <row r="1029" ht="15.75" customHeight="1">
      <c r="A1029" s="1">
        <f>IFERROR(__xludf.DUMMYFUNCTION("""COMPUTED_VALUE"""),45373.66666666667)</f>
        <v>45373.66667</v>
      </c>
      <c r="B1029" s="2">
        <f>IFERROR(__xludf.DUMMYFUNCTION("""COMPUTED_VALUE"""),1200.0)</f>
        <v>1200</v>
      </c>
      <c r="C1029" s="2">
        <f>IFERROR(__xludf.DUMMYFUNCTION("""COMPUTED_VALUE"""),1205.0)</f>
        <v>1205</v>
      </c>
      <c r="D1029" s="2">
        <f>IFERROR(__xludf.DUMMYFUNCTION("""COMPUTED_VALUE"""),1200.0)</f>
        <v>1200</v>
      </c>
      <c r="E1029" s="2">
        <f>IFERROR(__xludf.DUMMYFUNCTION("""COMPUTED_VALUE"""),1205.0)</f>
        <v>1205</v>
      </c>
      <c r="F1029" s="2">
        <f>IFERROR(__xludf.DUMMYFUNCTION("""COMPUTED_VALUE"""),2210100.0)</f>
        <v>2210100</v>
      </c>
      <c r="G1029" s="2">
        <f t="shared" si="1"/>
        <v>5</v>
      </c>
    </row>
    <row r="1030" ht="15.75" customHeight="1">
      <c r="A1030" s="1">
        <f>IFERROR(__xludf.DUMMYFUNCTION("""COMPUTED_VALUE"""),45376.66666666667)</f>
        <v>45376.66667</v>
      </c>
      <c r="B1030" s="2">
        <f>IFERROR(__xludf.DUMMYFUNCTION("""COMPUTED_VALUE"""),1220.0)</f>
        <v>1220</v>
      </c>
      <c r="C1030" s="2">
        <f>IFERROR(__xludf.DUMMYFUNCTION("""COMPUTED_VALUE"""),1220.0)</f>
        <v>1220</v>
      </c>
      <c r="D1030" s="2">
        <f>IFERROR(__xludf.DUMMYFUNCTION("""COMPUTED_VALUE"""),1205.0)</f>
        <v>1205</v>
      </c>
      <c r="E1030" s="2">
        <f>IFERROR(__xludf.DUMMYFUNCTION("""COMPUTED_VALUE"""),1215.0)</f>
        <v>1215</v>
      </c>
      <c r="F1030" s="2">
        <f>IFERROR(__xludf.DUMMYFUNCTION("""COMPUTED_VALUE"""),3598300.0)</f>
        <v>3598300</v>
      </c>
      <c r="G1030" s="2">
        <f t="shared" si="1"/>
        <v>15</v>
      </c>
    </row>
    <row r="1031" ht="15.75" customHeight="1">
      <c r="A1031" s="1">
        <f>IFERROR(__xludf.DUMMYFUNCTION("""COMPUTED_VALUE"""),45377.66666666667)</f>
        <v>45377.66667</v>
      </c>
      <c r="B1031" s="2">
        <f>IFERROR(__xludf.DUMMYFUNCTION("""COMPUTED_VALUE"""),1220.0)</f>
        <v>1220</v>
      </c>
      <c r="C1031" s="2">
        <f>IFERROR(__xludf.DUMMYFUNCTION("""COMPUTED_VALUE"""),1220.0)</f>
        <v>1220</v>
      </c>
      <c r="D1031" s="2">
        <f>IFERROR(__xludf.DUMMYFUNCTION("""COMPUTED_VALUE"""),1210.0)</f>
        <v>1210</v>
      </c>
      <c r="E1031" s="2">
        <f>IFERROR(__xludf.DUMMYFUNCTION("""COMPUTED_VALUE"""),1220.0)</f>
        <v>1220</v>
      </c>
      <c r="F1031" s="2">
        <f>IFERROR(__xludf.DUMMYFUNCTION("""COMPUTED_VALUE"""),2578800.0)</f>
        <v>2578800</v>
      </c>
      <c r="G1031" s="2">
        <f t="shared" si="1"/>
        <v>10</v>
      </c>
    </row>
    <row r="1032" ht="15.75" customHeight="1">
      <c r="A1032" s="1">
        <f>IFERROR(__xludf.DUMMYFUNCTION("""COMPUTED_VALUE"""),45378.66666666667)</f>
        <v>45378.66667</v>
      </c>
      <c r="B1032" s="2">
        <f>IFERROR(__xludf.DUMMYFUNCTION("""COMPUTED_VALUE"""),1220.0)</f>
        <v>1220</v>
      </c>
      <c r="C1032" s="2">
        <f>IFERROR(__xludf.DUMMYFUNCTION("""COMPUTED_VALUE"""),1220.0)</f>
        <v>1220</v>
      </c>
      <c r="D1032" s="2">
        <f>IFERROR(__xludf.DUMMYFUNCTION("""COMPUTED_VALUE"""),1210.0)</f>
        <v>1210</v>
      </c>
      <c r="E1032" s="2">
        <f>IFERROR(__xludf.DUMMYFUNCTION("""COMPUTED_VALUE"""),1215.0)</f>
        <v>1215</v>
      </c>
      <c r="F1032" s="2">
        <f>IFERROR(__xludf.DUMMYFUNCTION("""COMPUTED_VALUE"""),2768100.0)</f>
        <v>2768100</v>
      </c>
      <c r="G1032" s="2">
        <f t="shared" si="1"/>
        <v>10</v>
      </c>
    </row>
    <row r="1033" ht="15.75" customHeight="1">
      <c r="A1033" s="1">
        <f>IFERROR(__xludf.DUMMYFUNCTION("""COMPUTED_VALUE"""),45379.66666666667)</f>
        <v>45379.66667</v>
      </c>
      <c r="B1033" s="2">
        <f>IFERROR(__xludf.DUMMYFUNCTION("""COMPUTED_VALUE"""),1215.0)</f>
        <v>1215</v>
      </c>
      <c r="C1033" s="2">
        <f>IFERROR(__xludf.DUMMYFUNCTION("""COMPUTED_VALUE"""),1215.0)</f>
        <v>1215</v>
      </c>
      <c r="D1033" s="2">
        <f>IFERROR(__xludf.DUMMYFUNCTION("""COMPUTED_VALUE"""),1205.0)</f>
        <v>1205</v>
      </c>
      <c r="E1033" s="2">
        <f>IFERROR(__xludf.DUMMYFUNCTION("""COMPUTED_VALUE"""),1210.0)</f>
        <v>1210</v>
      </c>
      <c r="F1033" s="2">
        <f>IFERROR(__xludf.DUMMYFUNCTION("""COMPUTED_VALUE"""),2751900.0)</f>
        <v>2751900</v>
      </c>
      <c r="G1033" s="2">
        <f t="shared" si="1"/>
        <v>10</v>
      </c>
    </row>
    <row r="1034" ht="15.75" customHeight="1">
      <c r="A1034" s="1">
        <f>IFERROR(__xludf.DUMMYFUNCTION("""COMPUTED_VALUE"""),45383.66666666667)</f>
        <v>45383.66667</v>
      </c>
      <c r="B1034" s="2">
        <f>IFERROR(__xludf.DUMMYFUNCTION("""COMPUTED_VALUE"""),1210.0)</f>
        <v>1210</v>
      </c>
      <c r="C1034" s="2">
        <f>IFERROR(__xludf.DUMMYFUNCTION("""COMPUTED_VALUE"""),1250.0)</f>
        <v>1250</v>
      </c>
      <c r="D1034" s="2">
        <f>IFERROR(__xludf.DUMMYFUNCTION("""COMPUTED_VALUE"""),1195.0)</f>
        <v>1195</v>
      </c>
      <c r="E1034" s="2">
        <f>IFERROR(__xludf.DUMMYFUNCTION("""COMPUTED_VALUE"""),1210.0)</f>
        <v>1210</v>
      </c>
      <c r="F1034" s="2">
        <f>IFERROR(__xludf.DUMMYFUNCTION("""COMPUTED_VALUE"""),3961300.0)</f>
        <v>3961300</v>
      </c>
      <c r="G1034" s="2">
        <f t="shared" si="1"/>
        <v>55</v>
      </c>
    </row>
    <row r="1035" ht="15.75" customHeight="1">
      <c r="A1035" s="1">
        <f>IFERROR(__xludf.DUMMYFUNCTION("""COMPUTED_VALUE"""),45384.66666666667)</f>
        <v>45384.66667</v>
      </c>
      <c r="B1035" s="2">
        <f>IFERROR(__xludf.DUMMYFUNCTION("""COMPUTED_VALUE"""),1210.0)</f>
        <v>1210</v>
      </c>
      <c r="C1035" s="2">
        <f>IFERROR(__xludf.DUMMYFUNCTION("""COMPUTED_VALUE"""),1215.0)</f>
        <v>1215</v>
      </c>
      <c r="D1035" s="2">
        <f>IFERROR(__xludf.DUMMYFUNCTION("""COMPUTED_VALUE"""),1195.0)</f>
        <v>1195</v>
      </c>
      <c r="E1035" s="2">
        <f>IFERROR(__xludf.DUMMYFUNCTION("""COMPUTED_VALUE"""),1210.0)</f>
        <v>1210</v>
      </c>
      <c r="F1035" s="2">
        <f>IFERROR(__xludf.DUMMYFUNCTION("""COMPUTED_VALUE"""),5115800.0)</f>
        <v>5115800</v>
      </c>
      <c r="G1035" s="2">
        <f t="shared" si="1"/>
        <v>20</v>
      </c>
    </row>
    <row r="1036" ht="15.75" customHeight="1">
      <c r="A1036" s="1">
        <f>IFERROR(__xludf.DUMMYFUNCTION("""COMPUTED_VALUE"""),45385.66666666667)</f>
        <v>45385.66667</v>
      </c>
      <c r="B1036" s="2">
        <f>IFERROR(__xludf.DUMMYFUNCTION("""COMPUTED_VALUE"""),1215.0)</f>
        <v>1215</v>
      </c>
      <c r="C1036" s="2">
        <f>IFERROR(__xludf.DUMMYFUNCTION("""COMPUTED_VALUE"""),1225.0)</f>
        <v>1225</v>
      </c>
      <c r="D1036" s="2">
        <f>IFERROR(__xludf.DUMMYFUNCTION("""COMPUTED_VALUE"""),1205.0)</f>
        <v>1205</v>
      </c>
      <c r="E1036" s="2">
        <f>IFERROR(__xludf.DUMMYFUNCTION("""COMPUTED_VALUE"""),1205.0)</f>
        <v>1205</v>
      </c>
      <c r="F1036" s="2">
        <f>IFERROR(__xludf.DUMMYFUNCTION("""COMPUTED_VALUE"""),4079100.0)</f>
        <v>4079100</v>
      </c>
      <c r="G1036" s="2">
        <f t="shared" si="1"/>
        <v>20</v>
      </c>
    </row>
    <row r="1037" ht="15.75" customHeight="1">
      <c r="A1037" s="1">
        <f>IFERROR(__xludf.DUMMYFUNCTION("""COMPUTED_VALUE"""),45386.66666666667)</f>
        <v>45386.66667</v>
      </c>
      <c r="B1037" s="2">
        <f>IFERROR(__xludf.DUMMYFUNCTION("""COMPUTED_VALUE"""),1210.0)</f>
        <v>1210</v>
      </c>
      <c r="C1037" s="2">
        <f>IFERROR(__xludf.DUMMYFUNCTION("""COMPUTED_VALUE"""),1220.0)</f>
        <v>1220</v>
      </c>
      <c r="D1037" s="2">
        <f>IFERROR(__xludf.DUMMYFUNCTION("""COMPUTED_VALUE"""),1200.0)</f>
        <v>1200</v>
      </c>
      <c r="E1037" s="2">
        <f>IFERROR(__xludf.DUMMYFUNCTION("""COMPUTED_VALUE"""),1220.0)</f>
        <v>1220</v>
      </c>
      <c r="F1037" s="2">
        <f>IFERROR(__xludf.DUMMYFUNCTION("""COMPUTED_VALUE"""),4741100.0)</f>
        <v>4741100</v>
      </c>
      <c r="G1037" s="2">
        <f t="shared" si="1"/>
        <v>20</v>
      </c>
    </row>
    <row r="1038" ht="15.75" customHeight="1">
      <c r="A1038" s="1">
        <f>IFERROR(__xludf.DUMMYFUNCTION("""COMPUTED_VALUE"""),45387.66666666667)</f>
        <v>45387.66667</v>
      </c>
      <c r="B1038" s="2">
        <f>IFERROR(__xludf.DUMMYFUNCTION("""COMPUTED_VALUE"""),1220.0)</f>
        <v>1220</v>
      </c>
      <c r="C1038" s="2">
        <f>IFERROR(__xludf.DUMMYFUNCTION("""COMPUTED_VALUE"""),1225.0)</f>
        <v>1225</v>
      </c>
      <c r="D1038" s="2">
        <f>IFERROR(__xludf.DUMMYFUNCTION("""COMPUTED_VALUE"""),1210.0)</f>
        <v>1210</v>
      </c>
      <c r="E1038" s="2">
        <f>IFERROR(__xludf.DUMMYFUNCTION("""COMPUTED_VALUE"""),1215.0)</f>
        <v>1215</v>
      </c>
      <c r="F1038" s="2">
        <f>IFERROR(__xludf.DUMMYFUNCTION("""COMPUTED_VALUE"""),2402100.0)</f>
        <v>2402100</v>
      </c>
      <c r="G1038" s="2">
        <f t="shared" si="1"/>
        <v>15</v>
      </c>
    </row>
    <row r="1039" ht="15.75" customHeight="1">
      <c r="A1039" s="1">
        <f>IFERROR(__xludf.DUMMYFUNCTION("""COMPUTED_VALUE"""),45398.66666666667)</f>
        <v>45398.66667</v>
      </c>
      <c r="B1039" s="2">
        <f>IFERROR(__xludf.DUMMYFUNCTION("""COMPUTED_VALUE"""),1215.0)</f>
        <v>1215</v>
      </c>
      <c r="C1039" s="2">
        <f>IFERROR(__xludf.DUMMYFUNCTION("""COMPUTED_VALUE"""),1225.0)</f>
        <v>1225</v>
      </c>
      <c r="D1039" s="2">
        <f>IFERROR(__xludf.DUMMYFUNCTION("""COMPUTED_VALUE"""),1190.0)</f>
        <v>1190</v>
      </c>
      <c r="E1039" s="2">
        <f>IFERROR(__xludf.DUMMYFUNCTION("""COMPUTED_VALUE"""),1205.0)</f>
        <v>1205</v>
      </c>
      <c r="F1039" s="2">
        <f>IFERROR(__xludf.DUMMYFUNCTION("""COMPUTED_VALUE"""),9277000.0)</f>
        <v>9277000</v>
      </c>
      <c r="G1039" s="2">
        <f t="shared" si="1"/>
        <v>35</v>
      </c>
    </row>
    <row r="1040" ht="15.75" customHeight="1">
      <c r="A1040" s="1">
        <f>IFERROR(__xludf.DUMMYFUNCTION("""COMPUTED_VALUE"""),45399.66666666667)</f>
        <v>45399.66667</v>
      </c>
      <c r="B1040" s="2">
        <f>IFERROR(__xludf.DUMMYFUNCTION("""COMPUTED_VALUE"""),1205.0)</f>
        <v>1205</v>
      </c>
      <c r="C1040" s="2">
        <f>IFERROR(__xludf.DUMMYFUNCTION("""COMPUTED_VALUE"""),1205.0)</f>
        <v>1205</v>
      </c>
      <c r="D1040" s="2">
        <f>IFERROR(__xludf.DUMMYFUNCTION("""COMPUTED_VALUE"""),1190.0)</f>
        <v>1190</v>
      </c>
      <c r="E1040" s="2">
        <f>IFERROR(__xludf.DUMMYFUNCTION("""COMPUTED_VALUE"""),1195.0)</f>
        <v>1195</v>
      </c>
      <c r="F1040" s="2">
        <f>IFERROR(__xludf.DUMMYFUNCTION("""COMPUTED_VALUE"""),8676600.0)</f>
        <v>8676600</v>
      </c>
      <c r="G1040" s="2">
        <f t="shared" si="1"/>
        <v>15</v>
      </c>
    </row>
    <row r="1041" ht="15.75" customHeight="1">
      <c r="A1041" s="1">
        <f>IFERROR(__xludf.DUMMYFUNCTION("""COMPUTED_VALUE"""),45400.66666666667)</f>
        <v>45400.66667</v>
      </c>
      <c r="B1041" s="2">
        <f>IFERROR(__xludf.DUMMYFUNCTION("""COMPUTED_VALUE"""),1195.0)</f>
        <v>1195</v>
      </c>
      <c r="C1041" s="2">
        <f>IFERROR(__xludf.DUMMYFUNCTION("""COMPUTED_VALUE"""),1200.0)</f>
        <v>1200</v>
      </c>
      <c r="D1041" s="2">
        <f>IFERROR(__xludf.DUMMYFUNCTION("""COMPUTED_VALUE"""),1190.0)</f>
        <v>1190</v>
      </c>
      <c r="E1041" s="2">
        <f>IFERROR(__xludf.DUMMYFUNCTION("""COMPUTED_VALUE"""),1195.0)</f>
        <v>1195</v>
      </c>
      <c r="F1041" s="2">
        <f>IFERROR(__xludf.DUMMYFUNCTION("""COMPUTED_VALUE"""),1.16081E7)</f>
        <v>11608100</v>
      </c>
      <c r="G1041" s="2">
        <f t="shared" si="1"/>
        <v>10</v>
      </c>
    </row>
    <row r="1042" ht="15.75" customHeight="1">
      <c r="A1042" s="1">
        <f>IFERROR(__xludf.DUMMYFUNCTION("""COMPUTED_VALUE"""),45401.66666666667)</f>
        <v>45401.66667</v>
      </c>
      <c r="B1042" s="2">
        <f>IFERROR(__xludf.DUMMYFUNCTION("""COMPUTED_VALUE"""),1140.0)</f>
        <v>1140</v>
      </c>
      <c r="C1042" s="2">
        <f>IFERROR(__xludf.DUMMYFUNCTION("""COMPUTED_VALUE"""),1140.0)</f>
        <v>1140</v>
      </c>
      <c r="D1042" s="2">
        <f>IFERROR(__xludf.DUMMYFUNCTION("""COMPUTED_VALUE"""),1070.0)</f>
        <v>1070</v>
      </c>
      <c r="E1042" s="2">
        <f>IFERROR(__xludf.DUMMYFUNCTION("""COMPUTED_VALUE"""),1075.0)</f>
        <v>1075</v>
      </c>
      <c r="F1042" s="2">
        <f>IFERROR(__xludf.DUMMYFUNCTION("""COMPUTED_VALUE"""),1.28039E7)</f>
        <v>12803900</v>
      </c>
      <c r="G1042" s="2">
        <f t="shared" si="1"/>
        <v>125</v>
      </c>
    </row>
    <row r="1043" ht="15.75" customHeight="1">
      <c r="A1043" s="1">
        <f>IFERROR(__xludf.DUMMYFUNCTION("""COMPUTED_VALUE"""),45404.66666666667)</f>
        <v>45404.66667</v>
      </c>
      <c r="B1043" s="2">
        <f>IFERROR(__xludf.DUMMYFUNCTION("""COMPUTED_VALUE"""),1080.0)</f>
        <v>1080</v>
      </c>
      <c r="C1043" s="2">
        <f>IFERROR(__xludf.DUMMYFUNCTION("""COMPUTED_VALUE"""),1090.0)</f>
        <v>1090</v>
      </c>
      <c r="D1043" s="2">
        <f>IFERROR(__xludf.DUMMYFUNCTION("""COMPUTED_VALUE"""),1045.0)</f>
        <v>1045</v>
      </c>
      <c r="E1043" s="2">
        <f>IFERROR(__xludf.DUMMYFUNCTION("""COMPUTED_VALUE"""),1055.0)</f>
        <v>1055</v>
      </c>
      <c r="F1043" s="2">
        <f>IFERROR(__xludf.DUMMYFUNCTION("""COMPUTED_VALUE"""),4786200.0)</f>
        <v>4786200</v>
      </c>
      <c r="G1043" s="2">
        <f t="shared" si="1"/>
        <v>45</v>
      </c>
    </row>
    <row r="1044" ht="15.75" customHeight="1">
      <c r="A1044" s="1">
        <f>IFERROR(__xludf.DUMMYFUNCTION("""COMPUTED_VALUE"""),45405.66666666667)</f>
        <v>45405.66667</v>
      </c>
      <c r="B1044" s="2">
        <f>IFERROR(__xludf.DUMMYFUNCTION("""COMPUTED_VALUE"""),1060.0)</f>
        <v>1060</v>
      </c>
      <c r="C1044" s="2">
        <f>IFERROR(__xludf.DUMMYFUNCTION("""COMPUTED_VALUE"""),1065.0)</f>
        <v>1065</v>
      </c>
      <c r="D1044" s="2">
        <f>IFERROR(__xludf.DUMMYFUNCTION("""COMPUTED_VALUE"""),1045.0)</f>
        <v>1045</v>
      </c>
      <c r="E1044" s="2">
        <f>IFERROR(__xludf.DUMMYFUNCTION("""COMPUTED_VALUE"""),1050.0)</f>
        <v>1050</v>
      </c>
      <c r="F1044" s="2">
        <f>IFERROR(__xludf.DUMMYFUNCTION("""COMPUTED_VALUE"""),3237400.0)</f>
        <v>3237400</v>
      </c>
      <c r="G1044" s="2">
        <f t="shared" si="1"/>
        <v>20</v>
      </c>
    </row>
    <row r="1045" ht="15.75" customHeight="1">
      <c r="A1045" s="1">
        <f>IFERROR(__xludf.DUMMYFUNCTION("""COMPUTED_VALUE"""),45406.66666666667)</f>
        <v>45406.66667</v>
      </c>
      <c r="B1045" s="2">
        <f>IFERROR(__xludf.DUMMYFUNCTION("""COMPUTED_VALUE"""),1060.0)</f>
        <v>1060</v>
      </c>
      <c r="C1045" s="2">
        <f>IFERROR(__xludf.DUMMYFUNCTION("""COMPUTED_VALUE"""),1060.0)</f>
        <v>1060</v>
      </c>
      <c r="D1045" s="2">
        <f>IFERROR(__xludf.DUMMYFUNCTION("""COMPUTED_VALUE"""),1020.0)</f>
        <v>1020</v>
      </c>
      <c r="E1045" s="2">
        <f>IFERROR(__xludf.DUMMYFUNCTION("""COMPUTED_VALUE"""),1030.0)</f>
        <v>1030</v>
      </c>
      <c r="F1045" s="2">
        <f>IFERROR(__xludf.DUMMYFUNCTION("""COMPUTED_VALUE"""),5097300.0)</f>
        <v>5097300</v>
      </c>
      <c r="G1045" s="2">
        <f t="shared" si="1"/>
        <v>40</v>
      </c>
    </row>
    <row r="1046" ht="15.75" customHeight="1">
      <c r="A1046" s="1">
        <f>IFERROR(__xludf.DUMMYFUNCTION("""COMPUTED_VALUE"""),45407.66666666667)</f>
        <v>45407.66667</v>
      </c>
      <c r="B1046" s="2">
        <f>IFERROR(__xludf.DUMMYFUNCTION("""COMPUTED_VALUE"""),1020.0)</f>
        <v>1020</v>
      </c>
      <c r="C1046" s="2">
        <f>IFERROR(__xludf.DUMMYFUNCTION("""COMPUTED_VALUE"""),1040.0)</f>
        <v>1040</v>
      </c>
      <c r="D1046" s="2">
        <f>IFERROR(__xludf.DUMMYFUNCTION("""COMPUTED_VALUE"""),1000.0)</f>
        <v>1000</v>
      </c>
      <c r="E1046" s="2">
        <f>IFERROR(__xludf.DUMMYFUNCTION("""COMPUTED_VALUE"""),1010.0)</f>
        <v>1010</v>
      </c>
      <c r="F1046" s="2">
        <f>IFERROR(__xludf.DUMMYFUNCTION("""COMPUTED_VALUE"""),7021700.0)</f>
        <v>7021700</v>
      </c>
      <c r="G1046" s="2">
        <f t="shared" si="1"/>
        <v>40</v>
      </c>
    </row>
    <row r="1047" ht="15.75" customHeight="1">
      <c r="A1047" s="1">
        <f>IFERROR(__xludf.DUMMYFUNCTION("""COMPUTED_VALUE"""),45408.66666666667)</f>
        <v>45408.66667</v>
      </c>
      <c r="B1047" s="2">
        <f>IFERROR(__xludf.DUMMYFUNCTION("""COMPUTED_VALUE"""),1015.0)</f>
        <v>1015</v>
      </c>
      <c r="C1047" s="2">
        <f>IFERROR(__xludf.DUMMYFUNCTION("""COMPUTED_VALUE"""),1020.0)</f>
        <v>1020</v>
      </c>
      <c r="D1047" s="2">
        <f>IFERROR(__xludf.DUMMYFUNCTION("""COMPUTED_VALUE"""),995.0)</f>
        <v>995</v>
      </c>
      <c r="E1047" s="2">
        <f>IFERROR(__xludf.DUMMYFUNCTION("""COMPUTED_VALUE"""),1005.0)</f>
        <v>1005</v>
      </c>
      <c r="F1047" s="2">
        <f>IFERROR(__xludf.DUMMYFUNCTION("""COMPUTED_VALUE"""),5822200.0)</f>
        <v>5822200</v>
      </c>
      <c r="G1047" s="2">
        <f t="shared" si="1"/>
        <v>25</v>
      </c>
    </row>
    <row r="1048" ht="15.75" customHeight="1">
      <c r="A1048" s="1">
        <f>IFERROR(__xludf.DUMMYFUNCTION("""COMPUTED_VALUE"""),45411.66666666667)</f>
        <v>45411.66667</v>
      </c>
      <c r="B1048" s="2">
        <f>IFERROR(__xludf.DUMMYFUNCTION("""COMPUTED_VALUE"""),1010.0)</f>
        <v>1010</v>
      </c>
      <c r="C1048" s="2">
        <f>IFERROR(__xludf.DUMMYFUNCTION("""COMPUTED_VALUE"""),1030.0)</f>
        <v>1030</v>
      </c>
      <c r="D1048" s="2">
        <f>IFERROR(__xludf.DUMMYFUNCTION("""COMPUTED_VALUE"""),995.0)</f>
        <v>995</v>
      </c>
      <c r="E1048" s="2">
        <f>IFERROR(__xludf.DUMMYFUNCTION("""COMPUTED_VALUE"""),1030.0)</f>
        <v>1030</v>
      </c>
      <c r="F1048" s="2">
        <f>IFERROR(__xludf.DUMMYFUNCTION("""COMPUTED_VALUE"""),8665200.0)</f>
        <v>8665200</v>
      </c>
      <c r="G1048" s="2">
        <f t="shared" si="1"/>
        <v>35</v>
      </c>
    </row>
    <row r="1049" ht="15.75" customHeight="1">
      <c r="A1049" s="1">
        <f>IFERROR(__xludf.DUMMYFUNCTION("""COMPUTED_VALUE"""),45412.66666666667)</f>
        <v>45412.66667</v>
      </c>
      <c r="B1049" s="2">
        <f>IFERROR(__xludf.DUMMYFUNCTION("""COMPUTED_VALUE"""),1030.0)</f>
        <v>1030</v>
      </c>
      <c r="C1049" s="2">
        <f>IFERROR(__xludf.DUMMYFUNCTION("""COMPUTED_VALUE"""),1035.0)</f>
        <v>1035</v>
      </c>
      <c r="D1049" s="2">
        <f>IFERROR(__xludf.DUMMYFUNCTION("""COMPUTED_VALUE"""),995.0)</f>
        <v>995</v>
      </c>
      <c r="E1049" s="2">
        <f>IFERROR(__xludf.DUMMYFUNCTION("""COMPUTED_VALUE"""),1015.0)</f>
        <v>1015</v>
      </c>
      <c r="F1049" s="2">
        <f>IFERROR(__xludf.DUMMYFUNCTION("""COMPUTED_VALUE"""),1.54349E7)</f>
        <v>15434900</v>
      </c>
      <c r="G1049" s="2">
        <f t="shared" si="1"/>
        <v>40</v>
      </c>
    </row>
    <row r="1050" ht="15.75" customHeight="1">
      <c r="A1050" s="1">
        <f>IFERROR(__xludf.DUMMYFUNCTION("""COMPUTED_VALUE"""),45414.66666666667)</f>
        <v>45414.66667</v>
      </c>
      <c r="B1050" s="2">
        <f>IFERROR(__xludf.DUMMYFUNCTION("""COMPUTED_VALUE"""),1020.0)</f>
        <v>1020</v>
      </c>
      <c r="C1050" s="2">
        <f>IFERROR(__xludf.DUMMYFUNCTION("""COMPUTED_VALUE"""),1020.0)</f>
        <v>1020</v>
      </c>
      <c r="D1050" s="2">
        <f>IFERROR(__xludf.DUMMYFUNCTION("""COMPUTED_VALUE"""),1000.0)</f>
        <v>1000</v>
      </c>
      <c r="E1050" s="2">
        <f>IFERROR(__xludf.DUMMYFUNCTION("""COMPUTED_VALUE"""),1010.0)</f>
        <v>1010</v>
      </c>
      <c r="F1050" s="2">
        <f>IFERROR(__xludf.DUMMYFUNCTION("""COMPUTED_VALUE"""),7264800.0)</f>
        <v>7264800</v>
      </c>
      <c r="G1050" s="2">
        <f t="shared" si="1"/>
        <v>20</v>
      </c>
    </row>
    <row r="1051" ht="15.75" customHeight="1">
      <c r="A1051" s="1">
        <f>IFERROR(__xludf.DUMMYFUNCTION("""COMPUTED_VALUE"""),45415.66666666667)</f>
        <v>45415.66667</v>
      </c>
      <c r="B1051" s="2">
        <f>IFERROR(__xludf.DUMMYFUNCTION("""COMPUTED_VALUE"""),1010.0)</f>
        <v>1010</v>
      </c>
      <c r="C1051" s="2">
        <f>IFERROR(__xludf.DUMMYFUNCTION("""COMPUTED_VALUE"""),1015.0)</f>
        <v>1015</v>
      </c>
      <c r="D1051" s="2">
        <f>IFERROR(__xludf.DUMMYFUNCTION("""COMPUTED_VALUE"""),1005.0)</f>
        <v>1005</v>
      </c>
      <c r="E1051" s="2">
        <f>IFERROR(__xludf.DUMMYFUNCTION("""COMPUTED_VALUE"""),1005.0)</f>
        <v>1005</v>
      </c>
      <c r="F1051" s="2">
        <f>IFERROR(__xludf.DUMMYFUNCTION("""COMPUTED_VALUE"""),3311900.0)</f>
        <v>3311900</v>
      </c>
      <c r="G1051" s="2">
        <f t="shared" si="1"/>
        <v>10</v>
      </c>
    </row>
    <row r="1052" ht="15.75" customHeight="1">
      <c r="A1052" s="1">
        <f>IFERROR(__xludf.DUMMYFUNCTION("""COMPUTED_VALUE"""),45418.66666666667)</f>
        <v>45418.66667</v>
      </c>
      <c r="B1052" s="2">
        <f>IFERROR(__xludf.DUMMYFUNCTION("""COMPUTED_VALUE"""),1005.0)</f>
        <v>1005</v>
      </c>
      <c r="C1052" s="2">
        <f>IFERROR(__xludf.DUMMYFUNCTION("""COMPUTED_VALUE"""),1015.0)</f>
        <v>1015</v>
      </c>
      <c r="D1052" s="2">
        <f>IFERROR(__xludf.DUMMYFUNCTION("""COMPUTED_VALUE"""),1000.0)</f>
        <v>1000</v>
      </c>
      <c r="E1052" s="2">
        <f>IFERROR(__xludf.DUMMYFUNCTION("""COMPUTED_VALUE"""),1005.0)</f>
        <v>1005</v>
      </c>
      <c r="F1052" s="2">
        <f>IFERROR(__xludf.DUMMYFUNCTION("""COMPUTED_VALUE"""),2946800.0)</f>
        <v>2946800</v>
      </c>
      <c r="G1052" s="2">
        <f t="shared" si="1"/>
        <v>15</v>
      </c>
    </row>
    <row r="1053" ht="15.75" customHeight="1">
      <c r="A1053" s="1">
        <f>IFERROR(__xludf.DUMMYFUNCTION("""COMPUTED_VALUE"""),45419.66666666667)</f>
        <v>45419.66667</v>
      </c>
      <c r="B1053" s="2">
        <f>IFERROR(__xludf.DUMMYFUNCTION("""COMPUTED_VALUE"""),1005.0)</f>
        <v>1005</v>
      </c>
      <c r="C1053" s="2">
        <f>IFERROR(__xludf.DUMMYFUNCTION("""COMPUTED_VALUE"""),1010.0)</f>
        <v>1010</v>
      </c>
      <c r="D1053" s="2">
        <f>IFERROR(__xludf.DUMMYFUNCTION("""COMPUTED_VALUE"""),1000.0)</f>
        <v>1000</v>
      </c>
      <c r="E1053" s="2">
        <f>IFERROR(__xludf.DUMMYFUNCTION("""COMPUTED_VALUE"""),1000.0)</f>
        <v>1000</v>
      </c>
      <c r="F1053" s="2">
        <f>IFERROR(__xludf.DUMMYFUNCTION("""COMPUTED_VALUE"""),4839400.0)</f>
        <v>4839400</v>
      </c>
      <c r="G1053" s="2">
        <f t="shared" si="1"/>
        <v>10</v>
      </c>
    </row>
    <row r="1054" ht="15.75" customHeight="1">
      <c r="A1054" s="1">
        <f>IFERROR(__xludf.DUMMYFUNCTION("""COMPUTED_VALUE"""),45420.66666666667)</f>
        <v>45420.66667</v>
      </c>
      <c r="B1054" s="2">
        <f>IFERROR(__xludf.DUMMYFUNCTION("""COMPUTED_VALUE"""),1005.0)</f>
        <v>1005</v>
      </c>
      <c r="C1054" s="2">
        <f>IFERROR(__xludf.DUMMYFUNCTION("""COMPUTED_VALUE"""),1005.0)</f>
        <v>1005</v>
      </c>
      <c r="D1054" s="2">
        <f>IFERROR(__xludf.DUMMYFUNCTION("""COMPUTED_VALUE"""),980.0)</f>
        <v>980</v>
      </c>
      <c r="E1054" s="2">
        <f>IFERROR(__xludf.DUMMYFUNCTION("""COMPUTED_VALUE"""),980.0)</f>
        <v>980</v>
      </c>
      <c r="F1054" s="2">
        <f>IFERROR(__xludf.DUMMYFUNCTION("""COMPUTED_VALUE"""),9802600.0)</f>
        <v>9802600</v>
      </c>
      <c r="G1054" s="2">
        <f t="shared" si="1"/>
        <v>25</v>
      </c>
    </row>
    <row r="1055" ht="15.75" customHeight="1">
      <c r="A1055" s="1">
        <f>IFERROR(__xludf.DUMMYFUNCTION("""COMPUTED_VALUE"""),45425.66666666667)</f>
        <v>45425.66667</v>
      </c>
      <c r="B1055" s="2">
        <f>IFERROR(__xludf.DUMMYFUNCTION("""COMPUTED_VALUE"""),985.0)</f>
        <v>985</v>
      </c>
      <c r="C1055" s="2">
        <f>IFERROR(__xludf.DUMMYFUNCTION("""COMPUTED_VALUE"""),1000.0)</f>
        <v>1000</v>
      </c>
      <c r="D1055" s="2">
        <f>IFERROR(__xludf.DUMMYFUNCTION("""COMPUTED_VALUE"""),980.0)</f>
        <v>980</v>
      </c>
      <c r="E1055" s="2">
        <f>IFERROR(__xludf.DUMMYFUNCTION("""COMPUTED_VALUE"""),990.0)</f>
        <v>990</v>
      </c>
      <c r="F1055" s="2">
        <f>IFERROR(__xludf.DUMMYFUNCTION("""COMPUTED_VALUE"""),1895700.0)</f>
        <v>1895700</v>
      </c>
      <c r="G1055" s="2">
        <f t="shared" si="1"/>
        <v>20</v>
      </c>
    </row>
    <row r="1056" ht="15.75" customHeight="1">
      <c r="A1056" s="1">
        <f>IFERROR(__xludf.DUMMYFUNCTION("""COMPUTED_VALUE"""),45426.66666666667)</f>
        <v>45426.66667</v>
      </c>
      <c r="B1056" s="2">
        <f>IFERROR(__xludf.DUMMYFUNCTION("""COMPUTED_VALUE"""),990.0)</f>
        <v>990</v>
      </c>
      <c r="C1056" s="2">
        <f>IFERROR(__xludf.DUMMYFUNCTION("""COMPUTED_VALUE"""),1005.0)</f>
        <v>1005</v>
      </c>
      <c r="D1056" s="2">
        <f>IFERROR(__xludf.DUMMYFUNCTION("""COMPUTED_VALUE"""),990.0)</f>
        <v>990</v>
      </c>
      <c r="E1056" s="2">
        <f>IFERROR(__xludf.DUMMYFUNCTION("""COMPUTED_VALUE"""),1000.0)</f>
        <v>1000</v>
      </c>
      <c r="F1056" s="2">
        <f>IFERROR(__xludf.DUMMYFUNCTION("""COMPUTED_VALUE"""),2496800.0)</f>
        <v>2496800</v>
      </c>
      <c r="G1056" s="2">
        <f t="shared" si="1"/>
        <v>15</v>
      </c>
    </row>
    <row r="1057" ht="15.75" customHeight="1">
      <c r="A1057" s="1">
        <f>IFERROR(__xludf.DUMMYFUNCTION("""COMPUTED_VALUE"""),45427.66666666667)</f>
        <v>45427.66667</v>
      </c>
      <c r="B1057" s="2">
        <f>IFERROR(__xludf.DUMMYFUNCTION("""COMPUTED_VALUE"""),1000.0)</f>
        <v>1000</v>
      </c>
      <c r="C1057" s="2">
        <f>IFERROR(__xludf.DUMMYFUNCTION("""COMPUTED_VALUE"""),1000.0)</f>
        <v>1000</v>
      </c>
      <c r="D1057" s="2">
        <f>IFERROR(__xludf.DUMMYFUNCTION("""COMPUTED_VALUE"""),995.0)</f>
        <v>995</v>
      </c>
      <c r="E1057" s="2">
        <f>IFERROR(__xludf.DUMMYFUNCTION("""COMPUTED_VALUE"""),995.0)</f>
        <v>995</v>
      </c>
      <c r="F1057" s="2">
        <f>IFERROR(__xludf.DUMMYFUNCTION("""COMPUTED_VALUE"""),1598200.0)</f>
        <v>1598200</v>
      </c>
      <c r="G1057" s="2">
        <f t="shared" si="1"/>
        <v>5</v>
      </c>
    </row>
    <row r="1058" ht="15.75" customHeight="1">
      <c r="A1058" s="1">
        <f>IFERROR(__xludf.DUMMYFUNCTION("""COMPUTED_VALUE"""),45428.66666666667)</f>
        <v>45428.66667</v>
      </c>
      <c r="B1058" s="2">
        <f>IFERROR(__xludf.DUMMYFUNCTION("""COMPUTED_VALUE"""),1000.0)</f>
        <v>1000</v>
      </c>
      <c r="C1058" s="2">
        <f>IFERROR(__xludf.DUMMYFUNCTION("""COMPUTED_VALUE"""),1005.0)</f>
        <v>1005</v>
      </c>
      <c r="D1058" s="2">
        <f>IFERROR(__xludf.DUMMYFUNCTION("""COMPUTED_VALUE"""),995.0)</f>
        <v>995</v>
      </c>
      <c r="E1058" s="2">
        <f>IFERROR(__xludf.DUMMYFUNCTION("""COMPUTED_VALUE"""),995.0)</f>
        <v>995</v>
      </c>
      <c r="F1058" s="2">
        <f>IFERROR(__xludf.DUMMYFUNCTION("""COMPUTED_VALUE"""),3388100.0)</f>
        <v>3388100</v>
      </c>
      <c r="G1058" s="2">
        <f t="shared" si="1"/>
        <v>10</v>
      </c>
    </row>
    <row r="1059" ht="15.75" customHeight="1">
      <c r="A1059" s="1">
        <f>IFERROR(__xludf.DUMMYFUNCTION("""COMPUTED_VALUE"""),45429.66666666667)</f>
        <v>45429.66667</v>
      </c>
      <c r="B1059" s="2">
        <f>IFERROR(__xludf.DUMMYFUNCTION("""COMPUTED_VALUE"""),995.0)</f>
        <v>995</v>
      </c>
      <c r="C1059" s="2">
        <f>IFERROR(__xludf.DUMMYFUNCTION("""COMPUTED_VALUE"""),1005.0)</f>
        <v>1005</v>
      </c>
      <c r="D1059" s="2">
        <f>IFERROR(__xludf.DUMMYFUNCTION("""COMPUTED_VALUE"""),995.0)</f>
        <v>995</v>
      </c>
      <c r="E1059" s="2">
        <f>IFERROR(__xludf.DUMMYFUNCTION("""COMPUTED_VALUE"""),1000.0)</f>
        <v>1000</v>
      </c>
      <c r="F1059" s="2">
        <f>IFERROR(__xludf.DUMMYFUNCTION("""COMPUTED_VALUE"""),2218400.0)</f>
        <v>2218400</v>
      </c>
      <c r="G1059" s="2">
        <f t="shared" si="1"/>
        <v>10</v>
      </c>
    </row>
    <row r="1060" ht="15.75" customHeight="1">
      <c r="A1060" s="1">
        <f>IFERROR(__xludf.DUMMYFUNCTION("""COMPUTED_VALUE"""),45432.66666666667)</f>
        <v>45432.66667</v>
      </c>
      <c r="B1060" s="2">
        <f>IFERROR(__xludf.DUMMYFUNCTION("""COMPUTED_VALUE"""),1010.0)</f>
        <v>1010</v>
      </c>
      <c r="C1060" s="2">
        <f>IFERROR(__xludf.DUMMYFUNCTION("""COMPUTED_VALUE"""),1010.0)</f>
        <v>1010</v>
      </c>
      <c r="D1060" s="2">
        <f>IFERROR(__xludf.DUMMYFUNCTION("""COMPUTED_VALUE"""),995.0)</f>
        <v>995</v>
      </c>
      <c r="E1060" s="2">
        <f>IFERROR(__xludf.DUMMYFUNCTION("""COMPUTED_VALUE"""),995.0)</f>
        <v>995</v>
      </c>
      <c r="F1060" s="2">
        <f>IFERROR(__xludf.DUMMYFUNCTION("""COMPUTED_VALUE"""),2918000.0)</f>
        <v>2918000</v>
      </c>
      <c r="G1060" s="2">
        <f t="shared" si="1"/>
        <v>15</v>
      </c>
    </row>
    <row r="1061" ht="15.75" customHeight="1">
      <c r="A1061" s="1">
        <f>IFERROR(__xludf.DUMMYFUNCTION("""COMPUTED_VALUE"""),45433.66666666667)</f>
        <v>45433.66667</v>
      </c>
      <c r="B1061" s="2">
        <f>IFERROR(__xludf.DUMMYFUNCTION("""COMPUTED_VALUE"""),1000.0)</f>
        <v>1000</v>
      </c>
      <c r="C1061" s="2">
        <f>IFERROR(__xludf.DUMMYFUNCTION("""COMPUTED_VALUE"""),1005.0)</f>
        <v>1005</v>
      </c>
      <c r="D1061" s="2">
        <f>IFERROR(__xludf.DUMMYFUNCTION("""COMPUTED_VALUE"""),990.0)</f>
        <v>990</v>
      </c>
      <c r="E1061" s="2">
        <f>IFERROR(__xludf.DUMMYFUNCTION("""COMPUTED_VALUE"""),990.0)</f>
        <v>990</v>
      </c>
      <c r="F1061" s="2">
        <f>IFERROR(__xludf.DUMMYFUNCTION("""COMPUTED_VALUE"""),3321900.0)</f>
        <v>3321900</v>
      </c>
      <c r="G1061" s="2">
        <f t="shared" si="1"/>
        <v>15</v>
      </c>
    </row>
    <row r="1062" ht="15.75" customHeight="1">
      <c r="A1062" s="1">
        <f>IFERROR(__xludf.DUMMYFUNCTION("""COMPUTED_VALUE"""),45434.66666666667)</f>
        <v>45434.66667</v>
      </c>
      <c r="B1062" s="2">
        <f>IFERROR(__xludf.DUMMYFUNCTION("""COMPUTED_VALUE"""),990.0)</f>
        <v>990</v>
      </c>
      <c r="C1062" s="2">
        <f>IFERROR(__xludf.DUMMYFUNCTION("""COMPUTED_VALUE"""),995.0)</f>
        <v>995</v>
      </c>
      <c r="D1062" s="2">
        <f>IFERROR(__xludf.DUMMYFUNCTION("""COMPUTED_VALUE"""),990.0)</f>
        <v>990</v>
      </c>
      <c r="E1062" s="2">
        <f>IFERROR(__xludf.DUMMYFUNCTION("""COMPUTED_VALUE"""),990.0)</f>
        <v>990</v>
      </c>
      <c r="F1062" s="2">
        <f>IFERROR(__xludf.DUMMYFUNCTION("""COMPUTED_VALUE"""),1485000.0)</f>
        <v>1485000</v>
      </c>
      <c r="G1062" s="2">
        <f t="shared" si="1"/>
        <v>5</v>
      </c>
    </row>
    <row r="1063" ht="15.75" customHeight="1">
      <c r="A1063" s="1">
        <f>IFERROR(__xludf.DUMMYFUNCTION("""COMPUTED_VALUE"""),45439.66666666667)</f>
        <v>45439.66667</v>
      </c>
      <c r="B1063" s="2">
        <f>IFERROR(__xludf.DUMMYFUNCTION("""COMPUTED_VALUE"""),995.0)</f>
        <v>995</v>
      </c>
      <c r="C1063" s="2">
        <f>IFERROR(__xludf.DUMMYFUNCTION("""COMPUTED_VALUE"""),1000.0)</f>
        <v>1000</v>
      </c>
      <c r="D1063" s="2">
        <f>IFERROR(__xludf.DUMMYFUNCTION("""COMPUTED_VALUE"""),985.0)</f>
        <v>985</v>
      </c>
      <c r="E1063" s="2">
        <f>IFERROR(__xludf.DUMMYFUNCTION("""COMPUTED_VALUE"""),990.0)</f>
        <v>990</v>
      </c>
      <c r="F1063" s="2">
        <f>IFERROR(__xludf.DUMMYFUNCTION("""COMPUTED_VALUE"""),2087400.0)</f>
        <v>2087400</v>
      </c>
      <c r="G1063" s="2">
        <f t="shared" si="1"/>
        <v>15</v>
      </c>
    </row>
    <row r="1064" ht="15.75" customHeight="1">
      <c r="A1064" s="1">
        <f>IFERROR(__xludf.DUMMYFUNCTION("""COMPUTED_VALUE"""),45440.66666666667)</f>
        <v>45440.66667</v>
      </c>
      <c r="B1064" s="2">
        <f>IFERROR(__xludf.DUMMYFUNCTION("""COMPUTED_VALUE"""),990.0)</f>
        <v>990</v>
      </c>
      <c r="C1064" s="2">
        <f>IFERROR(__xludf.DUMMYFUNCTION("""COMPUTED_VALUE"""),995.0)</f>
        <v>995</v>
      </c>
      <c r="D1064" s="2">
        <f>IFERROR(__xludf.DUMMYFUNCTION("""COMPUTED_VALUE"""),985.0)</f>
        <v>985</v>
      </c>
      <c r="E1064" s="2">
        <f>IFERROR(__xludf.DUMMYFUNCTION("""COMPUTED_VALUE"""),985.0)</f>
        <v>985</v>
      </c>
      <c r="F1064" s="2">
        <f>IFERROR(__xludf.DUMMYFUNCTION("""COMPUTED_VALUE"""),1259600.0)</f>
        <v>1259600</v>
      </c>
      <c r="G1064" s="2">
        <f t="shared" si="1"/>
        <v>10</v>
      </c>
    </row>
    <row r="1065" ht="15.75" customHeight="1">
      <c r="A1065" s="1">
        <f>IFERROR(__xludf.DUMMYFUNCTION("""COMPUTED_VALUE"""),45441.66666666667)</f>
        <v>45441.66667</v>
      </c>
      <c r="B1065" s="2">
        <f>IFERROR(__xludf.DUMMYFUNCTION("""COMPUTED_VALUE"""),990.0)</f>
        <v>990</v>
      </c>
      <c r="C1065" s="2">
        <f>IFERROR(__xludf.DUMMYFUNCTION("""COMPUTED_VALUE"""),995.0)</f>
        <v>995</v>
      </c>
      <c r="D1065" s="2">
        <f>IFERROR(__xludf.DUMMYFUNCTION("""COMPUTED_VALUE"""),980.0)</f>
        <v>980</v>
      </c>
      <c r="E1065" s="2">
        <f>IFERROR(__xludf.DUMMYFUNCTION("""COMPUTED_VALUE"""),980.0)</f>
        <v>980</v>
      </c>
      <c r="F1065" s="2">
        <f>IFERROR(__xludf.DUMMYFUNCTION("""COMPUTED_VALUE"""),2662800.0)</f>
        <v>2662800</v>
      </c>
      <c r="G1065" s="2">
        <f t="shared" si="1"/>
        <v>15</v>
      </c>
    </row>
    <row r="1066" ht="15.75" customHeight="1">
      <c r="A1066" s="1">
        <f>IFERROR(__xludf.DUMMYFUNCTION("""COMPUTED_VALUE"""),45442.66666666667)</f>
        <v>45442.66667</v>
      </c>
      <c r="B1066" s="2">
        <f>IFERROR(__xludf.DUMMYFUNCTION("""COMPUTED_VALUE"""),980.0)</f>
        <v>980</v>
      </c>
      <c r="C1066" s="2">
        <f>IFERROR(__xludf.DUMMYFUNCTION("""COMPUTED_VALUE"""),985.0)</f>
        <v>985</v>
      </c>
      <c r="D1066" s="2">
        <f>IFERROR(__xludf.DUMMYFUNCTION("""COMPUTED_VALUE"""),970.0)</f>
        <v>970</v>
      </c>
      <c r="E1066" s="2">
        <f>IFERROR(__xludf.DUMMYFUNCTION("""COMPUTED_VALUE"""),975.0)</f>
        <v>975</v>
      </c>
      <c r="F1066" s="2">
        <f>IFERROR(__xludf.DUMMYFUNCTION("""COMPUTED_VALUE"""),1949500.0)</f>
        <v>1949500</v>
      </c>
      <c r="G1066" s="2">
        <f t="shared" si="1"/>
        <v>15</v>
      </c>
    </row>
    <row r="1067" ht="15.75" customHeight="1">
      <c r="A1067" s="1">
        <f>IFERROR(__xludf.DUMMYFUNCTION("""COMPUTED_VALUE"""),45443.66666666667)</f>
        <v>45443.66667</v>
      </c>
      <c r="B1067" s="2">
        <f>IFERROR(__xludf.DUMMYFUNCTION("""COMPUTED_VALUE"""),975.0)</f>
        <v>975</v>
      </c>
      <c r="C1067" s="2">
        <f>IFERROR(__xludf.DUMMYFUNCTION("""COMPUTED_VALUE"""),1010.0)</f>
        <v>1010</v>
      </c>
      <c r="D1067" s="2">
        <f>IFERROR(__xludf.DUMMYFUNCTION("""COMPUTED_VALUE"""),960.0)</f>
        <v>960</v>
      </c>
      <c r="E1067" s="2">
        <f>IFERROR(__xludf.DUMMYFUNCTION("""COMPUTED_VALUE"""),1010.0)</f>
        <v>1010</v>
      </c>
      <c r="F1067" s="2">
        <f>IFERROR(__xludf.DUMMYFUNCTION("""COMPUTED_VALUE"""),1.1286E7)</f>
        <v>11286000</v>
      </c>
      <c r="G1067" s="2">
        <f t="shared" si="1"/>
        <v>50</v>
      </c>
    </row>
    <row r="1068" ht="15.75" customHeight="1">
      <c r="A1068" s="1">
        <f>IFERROR(__xludf.DUMMYFUNCTION("""COMPUTED_VALUE"""),45446.66666666667)</f>
        <v>45446.66667</v>
      </c>
      <c r="B1068" s="2">
        <f>IFERROR(__xludf.DUMMYFUNCTION("""COMPUTED_VALUE"""),1000.0)</f>
        <v>1000</v>
      </c>
      <c r="C1068" s="2">
        <f>IFERROR(__xludf.DUMMYFUNCTION("""COMPUTED_VALUE"""),1010.0)</f>
        <v>1010</v>
      </c>
      <c r="D1068" s="2">
        <f>IFERROR(__xludf.DUMMYFUNCTION("""COMPUTED_VALUE"""),975.0)</f>
        <v>975</v>
      </c>
      <c r="E1068" s="2">
        <f>IFERROR(__xludf.DUMMYFUNCTION("""COMPUTED_VALUE"""),990.0)</f>
        <v>990</v>
      </c>
      <c r="F1068" s="2">
        <f>IFERROR(__xludf.DUMMYFUNCTION("""COMPUTED_VALUE"""),2686800.0)</f>
        <v>2686800</v>
      </c>
      <c r="G1068" s="2">
        <f t="shared" si="1"/>
        <v>35</v>
      </c>
    </row>
    <row r="1069" ht="15.75" customHeight="1">
      <c r="A1069" s="1">
        <f>IFERROR(__xludf.DUMMYFUNCTION("""COMPUTED_VALUE"""),45447.66666666667)</f>
        <v>45447.66667</v>
      </c>
      <c r="B1069" s="2">
        <f>IFERROR(__xludf.DUMMYFUNCTION("""COMPUTED_VALUE"""),995.0)</f>
        <v>995</v>
      </c>
      <c r="C1069" s="2">
        <f>IFERROR(__xludf.DUMMYFUNCTION("""COMPUTED_VALUE"""),1000.0)</f>
        <v>1000</v>
      </c>
      <c r="D1069" s="2">
        <f>IFERROR(__xludf.DUMMYFUNCTION("""COMPUTED_VALUE"""),990.0)</f>
        <v>990</v>
      </c>
      <c r="E1069" s="2">
        <f>IFERROR(__xludf.DUMMYFUNCTION("""COMPUTED_VALUE"""),990.0)</f>
        <v>990</v>
      </c>
      <c r="F1069" s="2">
        <f>IFERROR(__xludf.DUMMYFUNCTION("""COMPUTED_VALUE"""),1275000.0)</f>
        <v>1275000</v>
      </c>
      <c r="G1069" s="2">
        <f t="shared" si="1"/>
        <v>10</v>
      </c>
    </row>
    <row r="1070" ht="15.75" customHeight="1">
      <c r="A1070" s="1">
        <f>IFERROR(__xludf.DUMMYFUNCTION("""COMPUTED_VALUE"""),45448.66666666667)</f>
        <v>45448.66667</v>
      </c>
      <c r="B1070" s="2">
        <f>IFERROR(__xludf.DUMMYFUNCTION("""COMPUTED_VALUE"""),990.0)</f>
        <v>990</v>
      </c>
      <c r="C1070" s="2">
        <f>IFERROR(__xludf.DUMMYFUNCTION("""COMPUTED_VALUE"""),995.0)</f>
        <v>995</v>
      </c>
      <c r="D1070" s="2">
        <f>IFERROR(__xludf.DUMMYFUNCTION("""COMPUTED_VALUE"""),985.0)</f>
        <v>985</v>
      </c>
      <c r="E1070" s="2">
        <f>IFERROR(__xludf.DUMMYFUNCTION("""COMPUTED_VALUE"""),985.0)</f>
        <v>985</v>
      </c>
      <c r="F1070" s="2">
        <f>IFERROR(__xludf.DUMMYFUNCTION("""COMPUTED_VALUE"""),1308000.0)</f>
        <v>1308000</v>
      </c>
      <c r="G1070" s="2">
        <f t="shared" si="1"/>
        <v>10</v>
      </c>
    </row>
    <row r="1071" ht="15.75" customHeight="1">
      <c r="A1071" s="1">
        <f>IFERROR(__xludf.DUMMYFUNCTION("""COMPUTED_VALUE"""),45449.66666666667)</f>
        <v>45449.66667</v>
      </c>
      <c r="B1071" s="2">
        <f>IFERROR(__xludf.DUMMYFUNCTION("""COMPUTED_VALUE"""),990.0)</f>
        <v>990</v>
      </c>
      <c r="C1071" s="2">
        <f>IFERROR(__xludf.DUMMYFUNCTION("""COMPUTED_VALUE"""),995.0)</f>
        <v>995</v>
      </c>
      <c r="D1071" s="2">
        <f>IFERROR(__xludf.DUMMYFUNCTION("""COMPUTED_VALUE"""),980.0)</f>
        <v>980</v>
      </c>
      <c r="E1071" s="2">
        <f>IFERROR(__xludf.DUMMYFUNCTION("""COMPUTED_VALUE"""),995.0)</f>
        <v>995</v>
      </c>
      <c r="F1071" s="2">
        <f>IFERROR(__xludf.DUMMYFUNCTION("""COMPUTED_VALUE"""),987900.0)</f>
        <v>987900</v>
      </c>
      <c r="G1071" s="2">
        <f t="shared" si="1"/>
        <v>15</v>
      </c>
    </row>
    <row r="1072" ht="15.75" customHeight="1">
      <c r="A1072" s="1">
        <f>IFERROR(__xludf.DUMMYFUNCTION("""COMPUTED_VALUE"""),45450.66666666667)</f>
        <v>45450.66667</v>
      </c>
      <c r="B1072" s="2">
        <f>IFERROR(__xludf.DUMMYFUNCTION("""COMPUTED_VALUE"""),995.0)</f>
        <v>995</v>
      </c>
      <c r="C1072" s="2">
        <f>IFERROR(__xludf.DUMMYFUNCTION("""COMPUTED_VALUE"""),995.0)</f>
        <v>995</v>
      </c>
      <c r="D1072" s="2">
        <f>IFERROR(__xludf.DUMMYFUNCTION("""COMPUTED_VALUE"""),985.0)</f>
        <v>985</v>
      </c>
      <c r="E1072" s="2">
        <f>IFERROR(__xludf.DUMMYFUNCTION("""COMPUTED_VALUE"""),985.0)</f>
        <v>985</v>
      </c>
      <c r="F1072" s="2">
        <f>IFERROR(__xludf.DUMMYFUNCTION("""COMPUTED_VALUE"""),1180900.0)</f>
        <v>1180900</v>
      </c>
      <c r="G1072" s="2">
        <f t="shared" si="1"/>
        <v>10</v>
      </c>
    </row>
    <row r="1073" ht="15.75" customHeight="1">
      <c r="A1073" s="1">
        <f>IFERROR(__xludf.DUMMYFUNCTION("""COMPUTED_VALUE"""),45453.66666666667)</f>
        <v>45453.66667</v>
      </c>
      <c r="B1073" s="2">
        <f>IFERROR(__xludf.DUMMYFUNCTION("""COMPUTED_VALUE"""),985.0)</f>
        <v>985</v>
      </c>
      <c r="C1073" s="2">
        <f>IFERROR(__xludf.DUMMYFUNCTION("""COMPUTED_VALUE"""),995.0)</f>
        <v>995</v>
      </c>
      <c r="D1073" s="2">
        <f>IFERROR(__xludf.DUMMYFUNCTION("""COMPUTED_VALUE"""),980.0)</f>
        <v>980</v>
      </c>
      <c r="E1073" s="2">
        <f>IFERROR(__xludf.DUMMYFUNCTION("""COMPUTED_VALUE"""),980.0)</f>
        <v>980</v>
      </c>
      <c r="F1073" s="2">
        <f>IFERROR(__xludf.DUMMYFUNCTION("""COMPUTED_VALUE"""),2664900.0)</f>
        <v>2664900</v>
      </c>
      <c r="G1073" s="2">
        <f t="shared" si="1"/>
        <v>15</v>
      </c>
    </row>
    <row r="1074" ht="15.75" customHeight="1">
      <c r="A1074" s="1">
        <f>IFERROR(__xludf.DUMMYFUNCTION("""COMPUTED_VALUE"""),45454.66666666667)</f>
        <v>45454.66667</v>
      </c>
      <c r="B1074" s="2">
        <f>IFERROR(__xludf.DUMMYFUNCTION("""COMPUTED_VALUE"""),985.0)</f>
        <v>985</v>
      </c>
      <c r="C1074" s="2">
        <f>IFERROR(__xludf.DUMMYFUNCTION("""COMPUTED_VALUE"""),985.0)</f>
        <v>985</v>
      </c>
      <c r="D1074" s="2">
        <f>IFERROR(__xludf.DUMMYFUNCTION("""COMPUTED_VALUE"""),970.0)</f>
        <v>970</v>
      </c>
      <c r="E1074" s="2">
        <f>IFERROR(__xludf.DUMMYFUNCTION("""COMPUTED_VALUE"""),970.0)</f>
        <v>970</v>
      </c>
      <c r="F1074" s="2">
        <f>IFERROR(__xludf.DUMMYFUNCTION("""COMPUTED_VALUE"""),1815700.0)</f>
        <v>1815700</v>
      </c>
      <c r="G1074" s="2">
        <f t="shared" si="1"/>
        <v>15</v>
      </c>
    </row>
    <row r="1075" ht="15.75" customHeight="1">
      <c r="A1075" s="1">
        <f>IFERROR(__xludf.DUMMYFUNCTION("""COMPUTED_VALUE"""),45455.66666666667)</f>
        <v>45455.66667</v>
      </c>
      <c r="B1075" s="2">
        <f>IFERROR(__xludf.DUMMYFUNCTION("""COMPUTED_VALUE"""),970.0)</f>
        <v>970</v>
      </c>
      <c r="C1075" s="2">
        <f>IFERROR(__xludf.DUMMYFUNCTION("""COMPUTED_VALUE"""),975.0)</f>
        <v>975</v>
      </c>
      <c r="D1075" s="2">
        <f>IFERROR(__xludf.DUMMYFUNCTION("""COMPUTED_VALUE"""),955.0)</f>
        <v>955</v>
      </c>
      <c r="E1075" s="2">
        <f>IFERROR(__xludf.DUMMYFUNCTION("""COMPUTED_VALUE"""),955.0)</f>
        <v>955</v>
      </c>
      <c r="F1075" s="2">
        <f>IFERROR(__xludf.DUMMYFUNCTION("""COMPUTED_VALUE"""),1584800.0)</f>
        <v>1584800</v>
      </c>
      <c r="G1075" s="2">
        <f t="shared" si="1"/>
        <v>20</v>
      </c>
    </row>
    <row r="1076" ht="15.75" customHeight="1">
      <c r="A1076" s="1">
        <f>IFERROR(__xludf.DUMMYFUNCTION("""COMPUTED_VALUE"""),45456.66666666667)</f>
        <v>45456.66667</v>
      </c>
      <c r="B1076" s="2">
        <f>IFERROR(__xludf.DUMMYFUNCTION("""COMPUTED_VALUE"""),960.0)</f>
        <v>960</v>
      </c>
      <c r="C1076" s="2">
        <f>IFERROR(__xludf.DUMMYFUNCTION("""COMPUTED_VALUE"""),970.0)</f>
        <v>970</v>
      </c>
      <c r="D1076" s="2">
        <f>IFERROR(__xludf.DUMMYFUNCTION("""COMPUTED_VALUE"""),955.0)</f>
        <v>955</v>
      </c>
      <c r="E1076" s="2">
        <f>IFERROR(__xludf.DUMMYFUNCTION("""COMPUTED_VALUE"""),965.0)</f>
        <v>965</v>
      </c>
      <c r="F1076" s="2">
        <f>IFERROR(__xludf.DUMMYFUNCTION("""COMPUTED_VALUE"""),620600.0)</f>
        <v>620600</v>
      </c>
      <c r="G1076" s="2">
        <f t="shared" si="1"/>
        <v>15</v>
      </c>
    </row>
    <row r="1077" ht="15.75" customHeight="1">
      <c r="A1077" s="1">
        <f>IFERROR(__xludf.DUMMYFUNCTION("""COMPUTED_VALUE"""),45457.66666666667)</f>
        <v>45457.66667</v>
      </c>
      <c r="B1077" s="2">
        <f>IFERROR(__xludf.DUMMYFUNCTION("""COMPUTED_VALUE"""),970.0)</f>
        <v>970</v>
      </c>
      <c r="C1077" s="2">
        <f>IFERROR(__xludf.DUMMYFUNCTION("""COMPUTED_VALUE"""),970.0)</f>
        <v>970</v>
      </c>
      <c r="D1077" s="2">
        <f>IFERROR(__xludf.DUMMYFUNCTION("""COMPUTED_VALUE"""),955.0)</f>
        <v>955</v>
      </c>
      <c r="E1077" s="2">
        <f>IFERROR(__xludf.DUMMYFUNCTION("""COMPUTED_VALUE"""),955.0)</f>
        <v>955</v>
      </c>
      <c r="F1077" s="2">
        <f>IFERROR(__xludf.DUMMYFUNCTION("""COMPUTED_VALUE"""),1325000.0)</f>
        <v>1325000</v>
      </c>
      <c r="G1077" s="2">
        <f t="shared" si="1"/>
        <v>15</v>
      </c>
    </row>
    <row r="1078" ht="15.75" customHeight="1">
      <c r="A1078" s="1">
        <f>IFERROR(__xludf.DUMMYFUNCTION("""COMPUTED_VALUE"""),45462.66666666667)</f>
        <v>45462.66667</v>
      </c>
      <c r="B1078" s="2">
        <f>IFERROR(__xludf.DUMMYFUNCTION("""COMPUTED_VALUE"""),960.0)</f>
        <v>960</v>
      </c>
      <c r="C1078" s="2">
        <f>IFERROR(__xludf.DUMMYFUNCTION("""COMPUTED_VALUE"""),960.0)</f>
        <v>960</v>
      </c>
      <c r="D1078" s="2">
        <f>IFERROR(__xludf.DUMMYFUNCTION("""COMPUTED_VALUE"""),940.0)</f>
        <v>940</v>
      </c>
      <c r="E1078" s="2">
        <f>IFERROR(__xludf.DUMMYFUNCTION("""COMPUTED_VALUE"""),940.0)</f>
        <v>940</v>
      </c>
      <c r="F1078" s="2">
        <f>IFERROR(__xludf.DUMMYFUNCTION("""COMPUTED_VALUE"""),2205200.0)</f>
        <v>2205200</v>
      </c>
      <c r="G1078" s="2">
        <f t="shared" si="1"/>
        <v>20</v>
      </c>
    </row>
    <row r="1079" ht="15.75" customHeight="1">
      <c r="A1079" s="1">
        <f>IFERROR(__xludf.DUMMYFUNCTION("""COMPUTED_VALUE"""),45463.66666666667)</f>
        <v>45463.66667</v>
      </c>
      <c r="B1079" s="2">
        <f>IFERROR(__xludf.DUMMYFUNCTION("""COMPUTED_VALUE"""),945.0)</f>
        <v>945</v>
      </c>
      <c r="C1079" s="2">
        <f>IFERROR(__xludf.DUMMYFUNCTION("""COMPUTED_VALUE"""),950.0)</f>
        <v>950</v>
      </c>
      <c r="D1079" s="2">
        <f>IFERROR(__xludf.DUMMYFUNCTION("""COMPUTED_VALUE"""),935.0)</f>
        <v>935</v>
      </c>
      <c r="E1079" s="2">
        <f>IFERROR(__xludf.DUMMYFUNCTION("""COMPUTED_VALUE"""),950.0)</f>
        <v>950</v>
      </c>
      <c r="F1079" s="2">
        <f>IFERROR(__xludf.DUMMYFUNCTION("""COMPUTED_VALUE"""),1559800.0)</f>
        <v>1559800</v>
      </c>
      <c r="G1079" s="2">
        <f t="shared" si="1"/>
        <v>15</v>
      </c>
    </row>
    <row r="1080" ht="15.75" customHeight="1">
      <c r="A1080" s="1">
        <f>IFERROR(__xludf.DUMMYFUNCTION("""COMPUTED_VALUE"""),45464.66666666667)</f>
        <v>45464.66667</v>
      </c>
      <c r="B1080" s="2">
        <f>IFERROR(__xludf.DUMMYFUNCTION("""COMPUTED_VALUE"""),950.0)</f>
        <v>950</v>
      </c>
      <c r="C1080" s="2">
        <f>IFERROR(__xludf.DUMMYFUNCTION("""COMPUTED_VALUE"""),975.0)</f>
        <v>975</v>
      </c>
      <c r="D1080" s="2">
        <f>IFERROR(__xludf.DUMMYFUNCTION("""COMPUTED_VALUE"""),950.0)</f>
        <v>950</v>
      </c>
      <c r="E1080" s="2">
        <f>IFERROR(__xludf.DUMMYFUNCTION("""COMPUTED_VALUE"""),975.0)</f>
        <v>975</v>
      </c>
      <c r="F1080" s="2">
        <f>IFERROR(__xludf.DUMMYFUNCTION("""COMPUTED_VALUE"""),1812800.0)</f>
        <v>1812800</v>
      </c>
      <c r="G1080" s="2">
        <f t="shared" si="1"/>
        <v>25</v>
      </c>
    </row>
    <row r="1081" ht="15.75" customHeight="1">
      <c r="A1081" s="1">
        <f>IFERROR(__xludf.DUMMYFUNCTION("""COMPUTED_VALUE"""),45467.66666666667)</f>
        <v>45467.66667</v>
      </c>
      <c r="B1081" s="2">
        <f>IFERROR(__xludf.DUMMYFUNCTION("""COMPUTED_VALUE"""),975.0)</f>
        <v>975</v>
      </c>
      <c r="C1081" s="2">
        <f>IFERROR(__xludf.DUMMYFUNCTION("""COMPUTED_VALUE"""),975.0)</f>
        <v>975</v>
      </c>
      <c r="D1081" s="2">
        <f>IFERROR(__xludf.DUMMYFUNCTION("""COMPUTED_VALUE"""),960.0)</f>
        <v>960</v>
      </c>
      <c r="E1081" s="2">
        <f>IFERROR(__xludf.DUMMYFUNCTION("""COMPUTED_VALUE"""),965.0)</f>
        <v>965</v>
      </c>
      <c r="F1081" s="2">
        <f>IFERROR(__xludf.DUMMYFUNCTION("""COMPUTED_VALUE"""),974900.0)</f>
        <v>974900</v>
      </c>
      <c r="G1081" s="2">
        <f t="shared" si="1"/>
        <v>15</v>
      </c>
    </row>
    <row r="1082" ht="15.75" customHeight="1">
      <c r="A1082" s="1">
        <f>IFERROR(__xludf.DUMMYFUNCTION("""COMPUTED_VALUE"""),45468.66666666667)</f>
        <v>45468.66667</v>
      </c>
      <c r="B1082" s="2">
        <f>IFERROR(__xludf.DUMMYFUNCTION("""COMPUTED_VALUE"""),970.0)</f>
        <v>970</v>
      </c>
      <c r="C1082" s="2">
        <f>IFERROR(__xludf.DUMMYFUNCTION("""COMPUTED_VALUE"""),970.0)</f>
        <v>970</v>
      </c>
      <c r="D1082" s="2">
        <f>IFERROR(__xludf.DUMMYFUNCTION("""COMPUTED_VALUE"""),950.0)</f>
        <v>950</v>
      </c>
      <c r="E1082" s="2">
        <f>IFERROR(__xludf.DUMMYFUNCTION("""COMPUTED_VALUE"""),950.0)</f>
        <v>950</v>
      </c>
      <c r="F1082" s="2">
        <f>IFERROR(__xludf.DUMMYFUNCTION("""COMPUTED_VALUE"""),1968300.0)</f>
        <v>1968300</v>
      </c>
      <c r="G1082" s="2">
        <f t="shared" si="1"/>
        <v>20</v>
      </c>
    </row>
    <row r="1083" ht="15.75" customHeight="1">
      <c r="A1083" s="1">
        <f>IFERROR(__xludf.DUMMYFUNCTION("""COMPUTED_VALUE"""),45469.66666666667)</f>
        <v>45469.66667</v>
      </c>
      <c r="B1083" s="2">
        <f>IFERROR(__xludf.DUMMYFUNCTION("""COMPUTED_VALUE"""),950.0)</f>
        <v>950</v>
      </c>
      <c r="C1083" s="2">
        <f>IFERROR(__xludf.DUMMYFUNCTION("""COMPUTED_VALUE"""),965.0)</f>
        <v>965</v>
      </c>
      <c r="D1083" s="2">
        <f>IFERROR(__xludf.DUMMYFUNCTION("""COMPUTED_VALUE"""),950.0)</f>
        <v>950</v>
      </c>
      <c r="E1083" s="2">
        <f>IFERROR(__xludf.DUMMYFUNCTION("""COMPUTED_VALUE"""),955.0)</f>
        <v>955</v>
      </c>
      <c r="F1083" s="2">
        <f>IFERROR(__xludf.DUMMYFUNCTION("""COMPUTED_VALUE"""),730500.0)</f>
        <v>730500</v>
      </c>
      <c r="G1083" s="2">
        <f t="shared" si="1"/>
        <v>15</v>
      </c>
    </row>
    <row r="1084" ht="15.75" customHeight="1">
      <c r="A1084" s="1">
        <f>IFERROR(__xludf.DUMMYFUNCTION("""COMPUTED_VALUE"""),45470.66666666667)</f>
        <v>45470.66667</v>
      </c>
      <c r="B1084" s="2">
        <f>IFERROR(__xludf.DUMMYFUNCTION("""COMPUTED_VALUE"""),990.0)</f>
        <v>990</v>
      </c>
      <c r="C1084" s="2">
        <f>IFERROR(__xludf.DUMMYFUNCTION("""COMPUTED_VALUE"""),990.0)</f>
        <v>990</v>
      </c>
      <c r="D1084" s="2">
        <f>IFERROR(__xludf.DUMMYFUNCTION("""COMPUTED_VALUE"""),955.0)</f>
        <v>955</v>
      </c>
      <c r="E1084" s="2">
        <f>IFERROR(__xludf.DUMMYFUNCTION("""COMPUTED_VALUE"""),965.0)</f>
        <v>965</v>
      </c>
      <c r="F1084" s="2">
        <f>IFERROR(__xludf.DUMMYFUNCTION("""COMPUTED_VALUE"""),722900.0)</f>
        <v>722900</v>
      </c>
      <c r="G1084" s="2">
        <f t="shared" si="1"/>
        <v>35</v>
      </c>
    </row>
    <row r="1085" ht="15.75" customHeight="1">
      <c r="A1085" s="1">
        <f>IFERROR(__xludf.DUMMYFUNCTION("""COMPUTED_VALUE"""),45471.66666666667)</f>
        <v>45471.66667</v>
      </c>
      <c r="B1085" s="2">
        <f>IFERROR(__xludf.DUMMYFUNCTION("""COMPUTED_VALUE"""),965.0)</f>
        <v>965</v>
      </c>
      <c r="C1085" s="2">
        <f>IFERROR(__xludf.DUMMYFUNCTION("""COMPUTED_VALUE"""),985.0)</f>
        <v>985</v>
      </c>
      <c r="D1085" s="2">
        <f>IFERROR(__xludf.DUMMYFUNCTION("""COMPUTED_VALUE"""),965.0)</f>
        <v>965</v>
      </c>
      <c r="E1085" s="2">
        <f>IFERROR(__xludf.DUMMYFUNCTION("""COMPUTED_VALUE"""),970.0)</f>
        <v>970</v>
      </c>
      <c r="F1085" s="2">
        <f>IFERROR(__xludf.DUMMYFUNCTION("""COMPUTED_VALUE"""),1849000.0)</f>
        <v>1849000</v>
      </c>
      <c r="G1085" s="2">
        <f t="shared" si="1"/>
        <v>20</v>
      </c>
    </row>
    <row r="1086" ht="15.75" customHeight="1">
      <c r="A1086" s="1">
        <f>IFERROR(__xludf.DUMMYFUNCTION("""COMPUTED_VALUE"""),45474.66666666667)</f>
        <v>45474.66667</v>
      </c>
      <c r="B1086" s="2">
        <f>IFERROR(__xludf.DUMMYFUNCTION("""COMPUTED_VALUE"""),975.0)</f>
        <v>975</v>
      </c>
      <c r="C1086" s="2">
        <f>IFERROR(__xludf.DUMMYFUNCTION("""COMPUTED_VALUE"""),985.0)</f>
        <v>985</v>
      </c>
      <c r="D1086" s="2">
        <f>IFERROR(__xludf.DUMMYFUNCTION("""COMPUTED_VALUE"""),975.0)</f>
        <v>975</v>
      </c>
      <c r="E1086" s="2">
        <f>IFERROR(__xludf.DUMMYFUNCTION("""COMPUTED_VALUE"""),980.0)</f>
        <v>980</v>
      </c>
      <c r="F1086" s="2">
        <f>IFERROR(__xludf.DUMMYFUNCTION("""COMPUTED_VALUE"""),1470700.0)</f>
        <v>1470700</v>
      </c>
      <c r="G1086" s="2">
        <f t="shared" si="1"/>
        <v>15</v>
      </c>
    </row>
    <row r="1087" ht="15.75" customHeight="1">
      <c r="A1087" s="1">
        <f>IFERROR(__xludf.DUMMYFUNCTION("""COMPUTED_VALUE"""),45475.66666666667)</f>
        <v>45475.66667</v>
      </c>
      <c r="B1087" s="2">
        <f>IFERROR(__xludf.DUMMYFUNCTION("""COMPUTED_VALUE"""),980.0)</f>
        <v>980</v>
      </c>
      <c r="C1087" s="2">
        <f>IFERROR(__xludf.DUMMYFUNCTION("""COMPUTED_VALUE"""),985.0)</f>
        <v>985</v>
      </c>
      <c r="D1087" s="2">
        <f>IFERROR(__xludf.DUMMYFUNCTION("""COMPUTED_VALUE"""),975.0)</f>
        <v>975</v>
      </c>
      <c r="E1087" s="2">
        <f>IFERROR(__xludf.DUMMYFUNCTION("""COMPUTED_VALUE"""),975.0)</f>
        <v>975</v>
      </c>
      <c r="F1087" s="2">
        <f>IFERROR(__xludf.DUMMYFUNCTION("""COMPUTED_VALUE"""),1277200.0)</f>
        <v>1277200</v>
      </c>
      <c r="G1087" s="2">
        <f t="shared" si="1"/>
        <v>10</v>
      </c>
    </row>
    <row r="1088" ht="15.75" customHeight="1">
      <c r="A1088" s="1">
        <f>IFERROR(__xludf.DUMMYFUNCTION("""COMPUTED_VALUE"""),45476.66666666667)</f>
        <v>45476.66667</v>
      </c>
      <c r="B1088" s="2">
        <f>IFERROR(__xludf.DUMMYFUNCTION("""COMPUTED_VALUE"""),980.0)</f>
        <v>980</v>
      </c>
      <c r="C1088" s="2">
        <f>IFERROR(__xludf.DUMMYFUNCTION("""COMPUTED_VALUE"""),985.0)</f>
        <v>985</v>
      </c>
      <c r="D1088" s="2">
        <f>IFERROR(__xludf.DUMMYFUNCTION("""COMPUTED_VALUE"""),975.0)</f>
        <v>975</v>
      </c>
      <c r="E1088" s="2">
        <f>IFERROR(__xludf.DUMMYFUNCTION("""COMPUTED_VALUE"""),985.0)</f>
        <v>985</v>
      </c>
      <c r="F1088" s="2">
        <f>IFERROR(__xludf.DUMMYFUNCTION("""COMPUTED_VALUE"""),555900.0)</f>
        <v>555900</v>
      </c>
      <c r="G1088" s="2">
        <f t="shared" si="1"/>
        <v>10</v>
      </c>
    </row>
    <row r="1089" ht="15.75" customHeight="1">
      <c r="A1089" s="1">
        <f>IFERROR(__xludf.DUMMYFUNCTION("""COMPUTED_VALUE"""),45477.66666666667)</f>
        <v>45477.66667</v>
      </c>
      <c r="B1089" s="2">
        <f>IFERROR(__xludf.DUMMYFUNCTION("""COMPUTED_VALUE"""),985.0)</f>
        <v>985</v>
      </c>
      <c r="C1089" s="2">
        <f>IFERROR(__xludf.DUMMYFUNCTION("""COMPUTED_VALUE"""),995.0)</f>
        <v>995</v>
      </c>
      <c r="D1089" s="2">
        <f>IFERROR(__xludf.DUMMYFUNCTION("""COMPUTED_VALUE"""),985.0)</f>
        <v>985</v>
      </c>
      <c r="E1089" s="2">
        <f>IFERROR(__xludf.DUMMYFUNCTION("""COMPUTED_VALUE"""),990.0)</f>
        <v>990</v>
      </c>
      <c r="F1089" s="2">
        <f>IFERROR(__xludf.DUMMYFUNCTION("""COMPUTED_VALUE"""),1493400.0)</f>
        <v>1493400</v>
      </c>
      <c r="G1089" s="2">
        <f t="shared" si="1"/>
        <v>10</v>
      </c>
    </row>
    <row r="1090" ht="15.75" customHeight="1">
      <c r="A1090" s="1">
        <f>IFERROR(__xludf.DUMMYFUNCTION("""COMPUTED_VALUE"""),45478.66666666667)</f>
        <v>45478.66667</v>
      </c>
      <c r="B1090" s="2">
        <f>IFERROR(__xludf.DUMMYFUNCTION("""COMPUTED_VALUE"""),990.0)</f>
        <v>990</v>
      </c>
      <c r="C1090" s="2">
        <f>IFERROR(__xludf.DUMMYFUNCTION("""COMPUTED_VALUE"""),995.0)</f>
        <v>995</v>
      </c>
      <c r="D1090" s="2">
        <f>IFERROR(__xludf.DUMMYFUNCTION("""COMPUTED_VALUE"""),985.0)</f>
        <v>985</v>
      </c>
      <c r="E1090" s="2">
        <f>IFERROR(__xludf.DUMMYFUNCTION("""COMPUTED_VALUE"""),985.0)</f>
        <v>985</v>
      </c>
      <c r="F1090" s="2">
        <f>IFERROR(__xludf.DUMMYFUNCTION("""COMPUTED_VALUE"""),1264600.0)</f>
        <v>1264600</v>
      </c>
      <c r="G1090" s="2">
        <f t="shared" si="1"/>
        <v>10</v>
      </c>
    </row>
    <row r="1091" ht="15.75" customHeight="1">
      <c r="A1091" s="1">
        <f>IFERROR(__xludf.DUMMYFUNCTION("""COMPUTED_VALUE"""),45481.66666666667)</f>
        <v>45481.66667</v>
      </c>
      <c r="B1091" s="2">
        <f>IFERROR(__xludf.DUMMYFUNCTION("""COMPUTED_VALUE"""),985.0)</f>
        <v>985</v>
      </c>
      <c r="C1091" s="2">
        <f>IFERROR(__xludf.DUMMYFUNCTION("""COMPUTED_VALUE"""),1000.0)</f>
        <v>1000</v>
      </c>
      <c r="D1091" s="2">
        <f>IFERROR(__xludf.DUMMYFUNCTION("""COMPUTED_VALUE"""),985.0)</f>
        <v>985</v>
      </c>
      <c r="E1091" s="2">
        <f>IFERROR(__xludf.DUMMYFUNCTION("""COMPUTED_VALUE"""),995.0)</f>
        <v>995</v>
      </c>
      <c r="F1091" s="2">
        <f>IFERROR(__xludf.DUMMYFUNCTION("""COMPUTED_VALUE"""),1312300.0)</f>
        <v>1312300</v>
      </c>
      <c r="G1091" s="2">
        <f t="shared" si="1"/>
        <v>15</v>
      </c>
    </row>
    <row r="1092" ht="15.75" customHeight="1">
      <c r="A1092" s="1">
        <f>IFERROR(__xludf.DUMMYFUNCTION("""COMPUTED_VALUE"""),45482.66666666667)</f>
        <v>45482.66667</v>
      </c>
      <c r="B1092" s="2">
        <f>IFERROR(__xludf.DUMMYFUNCTION("""COMPUTED_VALUE"""),995.0)</f>
        <v>995</v>
      </c>
      <c r="C1092" s="2">
        <f>IFERROR(__xludf.DUMMYFUNCTION("""COMPUTED_VALUE"""),1010.0)</f>
        <v>1010</v>
      </c>
      <c r="D1092" s="2">
        <f>IFERROR(__xludf.DUMMYFUNCTION("""COMPUTED_VALUE"""),995.0)</f>
        <v>995</v>
      </c>
      <c r="E1092" s="2">
        <f>IFERROR(__xludf.DUMMYFUNCTION("""COMPUTED_VALUE"""),1005.0)</f>
        <v>1005</v>
      </c>
      <c r="F1092" s="2">
        <f>IFERROR(__xludf.DUMMYFUNCTION("""COMPUTED_VALUE"""),3358300.0)</f>
        <v>3358300</v>
      </c>
      <c r="G1092" s="2">
        <f t="shared" si="1"/>
        <v>15</v>
      </c>
    </row>
    <row r="1093" ht="15.75" customHeight="1">
      <c r="A1093" s="1">
        <f>IFERROR(__xludf.DUMMYFUNCTION("""COMPUTED_VALUE"""),45483.66666666667)</f>
        <v>45483.66667</v>
      </c>
      <c r="B1093" s="2">
        <f>IFERROR(__xludf.DUMMYFUNCTION("""COMPUTED_VALUE"""),1005.0)</f>
        <v>1005</v>
      </c>
      <c r="C1093" s="2">
        <f>IFERROR(__xludf.DUMMYFUNCTION("""COMPUTED_VALUE"""),1020.0)</f>
        <v>1020</v>
      </c>
      <c r="D1093" s="2">
        <f>IFERROR(__xludf.DUMMYFUNCTION("""COMPUTED_VALUE"""),1005.0)</f>
        <v>1005</v>
      </c>
      <c r="E1093" s="2">
        <f>IFERROR(__xludf.DUMMYFUNCTION("""COMPUTED_VALUE"""),1015.0)</f>
        <v>1015</v>
      </c>
      <c r="F1093" s="2">
        <f>IFERROR(__xludf.DUMMYFUNCTION("""COMPUTED_VALUE"""),2158900.0)</f>
        <v>2158900</v>
      </c>
      <c r="G1093" s="2">
        <f t="shared" si="1"/>
        <v>15</v>
      </c>
    </row>
    <row r="1094" ht="15.75" customHeight="1">
      <c r="A1094" s="1">
        <f>IFERROR(__xludf.DUMMYFUNCTION("""COMPUTED_VALUE"""),45484.66666666667)</f>
        <v>45484.66667</v>
      </c>
      <c r="B1094" s="2">
        <f>IFERROR(__xludf.DUMMYFUNCTION("""COMPUTED_VALUE"""),1015.0)</f>
        <v>1015</v>
      </c>
      <c r="C1094" s="2">
        <f>IFERROR(__xludf.DUMMYFUNCTION("""COMPUTED_VALUE"""),1020.0)</f>
        <v>1020</v>
      </c>
      <c r="D1094" s="2">
        <f>IFERROR(__xludf.DUMMYFUNCTION("""COMPUTED_VALUE"""),1005.0)</f>
        <v>1005</v>
      </c>
      <c r="E1094" s="2">
        <f>IFERROR(__xludf.DUMMYFUNCTION("""COMPUTED_VALUE"""),1015.0)</f>
        <v>1015</v>
      </c>
      <c r="F1094" s="2">
        <f>IFERROR(__xludf.DUMMYFUNCTION("""COMPUTED_VALUE"""),802000.0)</f>
        <v>802000</v>
      </c>
      <c r="G1094" s="2">
        <f t="shared" si="1"/>
        <v>15</v>
      </c>
    </row>
    <row r="1095" ht="15.75" customHeight="1">
      <c r="A1095" s="1">
        <f>IFERROR(__xludf.DUMMYFUNCTION("""COMPUTED_VALUE"""),45485.66666666667)</f>
        <v>45485.66667</v>
      </c>
      <c r="B1095" s="2">
        <f>IFERROR(__xludf.DUMMYFUNCTION("""COMPUTED_VALUE"""),1015.0)</f>
        <v>1015</v>
      </c>
      <c r="C1095" s="2">
        <f>IFERROR(__xludf.DUMMYFUNCTION("""COMPUTED_VALUE"""),1030.0)</f>
        <v>1030</v>
      </c>
      <c r="D1095" s="2">
        <f>IFERROR(__xludf.DUMMYFUNCTION("""COMPUTED_VALUE"""),1005.0)</f>
        <v>1005</v>
      </c>
      <c r="E1095" s="2">
        <f>IFERROR(__xludf.DUMMYFUNCTION("""COMPUTED_VALUE"""),1025.0)</f>
        <v>1025</v>
      </c>
      <c r="F1095" s="2">
        <f>IFERROR(__xludf.DUMMYFUNCTION("""COMPUTED_VALUE"""),1417200.0)</f>
        <v>1417200</v>
      </c>
      <c r="G1095" s="2">
        <f t="shared" si="1"/>
        <v>25</v>
      </c>
    </row>
    <row r="1096" ht="15.75" customHeight="1">
      <c r="A1096" s="1">
        <f>IFERROR(__xludf.DUMMYFUNCTION("""COMPUTED_VALUE"""),45488.66666666667)</f>
        <v>45488.66667</v>
      </c>
      <c r="B1096" s="2">
        <f>IFERROR(__xludf.DUMMYFUNCTION("""COMPUTED_VALUE"""),1015.0)</f>
        <v>1015</v>
      </c>
      <c r="C1096" s="2">
        <f>IFERROR(__xludf.DUMMYFUNCTION("""COMPUTED_VALUE"""),1030.0)</f>
        <v>1030</v>
      </c>
      <c r="D1096" s="2">
        <f>IFERROR(__xludf.DUMMYFUNCTION("""COMPUTED_VALUE"""),1015.0)</f>
        <v>1015</v>
      </c>
      <c r="E1096" s="2">
        <f>IFERROR(__xludf.DUMMYFUNCTION("""COMPUTED_VALUE"""),1015.0)</f>
        <v>1015</v>
      </c>
      <c r="F1096" s="2">
        <f>IFERROR(__xludf.DUMMYFUNCTION("""COMPUTED_VALUE"""),1465300.0)</f>
        <v>1465300</v>
      </c>
      <c r="G1096" s="2">
        <f t="shared" si="1"/>
        <v>15</v>
      </c>
    </row>
    <row r="1097" ht="15.75" customHeight="1">
      <c r="A1097" s="1">
        <f>IFERROR(__xludf.DUMMYFUNCTION("""COMPUTED_VALUE"""),45489.66666666667)</f>
        <v>45489.66667</v>
      </c>
      <c r="B1097" s="2">
        <f>IFERROR(__xludf.DUMMYFUNCTION("""COMPUTED_VALUE"""),1015.0)</f>
        <v>1015</v>
      </c>
      <c r="C1097" s="2">
        <f>IFERROR(__xludf.DUMMYFUNCTION("""COMPUTED_VALUE"""),1030.0)</f>
        <v>1030</v>
      </c>
      <c r="D1097" s="2">
        <f>IFERROR(__xludf.DUMMYFUNCTION("""COMPUTED_VALUE"""),1005.0)</f>
        <v>1005</v>
      </c>
      <c r="E1097" s="2">
        <f>IFERROR(__xludf.DUMMYFUNCTION("""COMPUTED_VALUE"""),1005.0)</f>
        <v>1005</v>
      </c>
      <c r="F1097" s="2">
        <f>IFERROR(__xludf.DUMMYFUNCTION("""COMPUTED_VALUE"""),2806100.0)</f>
        <v>2806100</v>
      </c>
      <c r="G1097" s="2">
        <f t="shared" si="1"/>
        <v>25</v>
      </c>
    </row>
    <row r="1098" ht="15.75" customHeight="1">
      <c r="A1098" s="1">
        <f>IFERROR(__xludf.DUMMYFUNCTION("""COMPUTED_VALUE"""),45490.66666666667)</f>
        <v>45490.66667</v>
      </c>
      <c r="B1098" s="2">
        <f>IFERROR(__xludf.DUMMYFUNCTION("""COMPUTED_VALUE"""),1020.0)</f>
        <v>1020</v>
      </c>
      <c r="C1098" s="2">
        <f>IFERROR(__xludf.DUMMYFUNCTION("""COMPUTED_VALUE"""),1030.0)</f>
        <v>1030</v>
      </c>
      <c r="D1098" s="2">
        <f>IFERROR(__xludf.DUMMYFUNCTION("""COMPUTED_VALUE"""),1005.0)</f>
        <v>1005</v>
      </c>
      <c r="E1098" s="2">
        <f>IFERROR(__xludf.DUMMYFUNCTION("""COMPUTED_VALUE"""),1015.0)</f>
        <v>1015</v>
      </c>
      <c r="F1098" s="2">
        <f>IFERROR(__xludf.DUMMYFUNCTION("""COMPUTED_VALUE"""),625000.0)</f>
        <v>625000</v>
      </c>
      <c r="G1098" s="2">
        <f t="shared" si="1"/>
        <v>25</v>
      </c>
    </row>
    <row r="1099" ht="15.75" customHeight="1">
      <c r="A1099" s="1">
        <f>IFERROR(__xludf.DUMMYFUNCTION("""COMPUTED_VALUE"""),45491.66666666667)</f>
        <v>45491.66667</v>
      </c>
      <c r="B1099" s="2">
        <f>IFERROR(__xludf.DUMMYFUNCTION("""COMPUTED_VALUE"""),1015.0)</f>
        <v>1015</v>
      </c>
      <c r="C1099" s="2">
        <f>IFERROR(__xludf.DUMMYFUNCTION("""COMPUTED_VALUE"""),1025.0)</f>
        <v>1025</v>
      </c>
      <c r="D1099" s="2">
        <f>IFERROR(__xludf.DUMMYFUNCTION("""COMPUTED_VALUE"""),1015.0)</f>
        <v>1015</v>
      </c>
      <c r="E1099" s="2">
        <f>IFERROR(__xludf.DUMMYFUNCTION("""COMPUTED_VALUE"""),1015.0)</f>
        <v>1015</v>
      </c>
      <c r="F1099" s="2">
        <f>IFERROR(__xludf.DUMMYFUNCTION("""COMPUTED_VALUE"""),955200.0)</f>
        <v>955200</v>
      </c>
      <c r="G1099" s="2">
        <f t="shared" si="1"/>
        <v>10</v>
      </c>
    </row>
    <row r="1100" ht="15.75" customHeight="1">
      <c r="A1100" s="1">
        <f>IFERROR(__xludf.DUMMYFUNCTION("""COMPUTED_VALUE"""),45492.66666666667)</f>
        <v>45492.66667</v>
      </c>
      <c r="B1100" s="2">
        <f>IFERROR(__xludf.DUMMYFUNCTION("""COMPUTED_VALUE"""),1015.0)</f>
        <v>1015</v>
      </c>
      <c r="C1100" s="2">
        <f>IFERROR(__xludf.DUMMYFUNCTION("""COMPUTED_VALUE"""),1025.0)</f>
        <v>1025</v>
      </c>
      <c r="D1100" s="2">
        <f>IFERROR(__xludf.DUMMYFUNCTION("""COMPUTED_VALUE"""),1015.0)</f>
        <v>1015</v>
      </c>
      <c r="E1100" s="2">
        <f>IFERROR(__xludf.DUMMYFUNCTION("""COMPUTED_VALUE"""),1020.0)</f>
        <v>1020</v>
      </c>
      <c r="F1100" s="2">
        <f>IFERROR(__xludf.DUMMYFUNCTION("""COMPUTED_VALUE"""),571300.0)</f>
        <v>571300</v>
      </c>
      <c r="G1100" s="2">
        <f t="shared" si="1"/>
        <v>10</v>
      </c>
    </row>
    <row r="1101" ht="15.75" customHeight="1">
      <c r="A1101" s="1">
        <f>IFERROR(__xludf.DUMMYFUNCTION("""COMPUTED_VALUE"""),45495.66666666667)</f>
        <v>45495.66667</v>
      </c>
      <c r="B1101" s="2">
        <f>IFERROR(__xludf.DUMMYFUNCTION("""COMPUTED_VALUE"""),1020.0)</f>
        <v>1020</v>
      </c>
      <c r="C1101" s="2">
        <f>IFERROR(__xludf.DUMMYFUNCTION("""COMPUTED_VALUE"""),1025.0)</f>
        <v>1025</v>
      </c>
      <c r="D1101" s="2">
        <f>IFERROR(__xludf.DUMMYFUNCTION("""COMPUTED_VALUE"""),1020.0)</f>
        <v>1020</v>
      </c>
      <c r="E1101" s="2">
        <f>IFERROR(__xludf.DUMMYFUNCTION("""COMPUTED_VALUE"""),1025.0)</f>
        <v>1025</v>
      </c>
      <c r="F1101" s="2">
        <f>IFERROR(__xludf.DUMMYFUNCTION("""COMPUTED_VALUE"""),817700.0)</f>
        <v>817700</v>
      </c>
      <c r="G1101" s="2">
        <f t="shared" si="1"/>
        <v>5</v>
      </c>
    </row>
    <row r="1102" ht="15.75" customHeight="1">
      <c r="A1102" s="1">
        <f>IFERROR(__xludf.DUMMYFUNCTION("""COMPUTED_VALUE"""),45496.66666666667)</f>
        <v>45496.66667</v>
      </c>
      <c r="B1102" s="2">
        <f>IFERROR(__xludf.DUMMYFUNCTION("""COMPUTED_VALUE"""),1025.0)</f>
        <v>1025</v>
      </c>
      <c r="C1102" s="2">
        <f>IFERROR(__xludf.DUMMYFUNCTION("""COMPUTED_VALUE"""),1030.0)</f>
        <v>1030</v>
      </c>
      <c r="D1102" s="2">
        <f>IFERROR(__xludf.DUMMYFUNCTION("""COMPUTED_VALUE"""),1015.0)</f>
        <v>1015</v>
      </c>
      <c r="E1102" s="2">
        <f>IFERROR(__xludf.DUMMYFUNCTION("""COMPUTED_VALUE"""),1020.0)</f>
        <v>1020</v>
      </c>
      <c r="F1102" s="2">
        <f>IFERROR(__xludf.DUMMYFUNCTION("""COMPUTED_VALUE"""),841700.0)</f>
        <v>841700</v>
      </c>
      <c r="G1102" s="2">
        <f t="shared" si="1"/>
        <v>15</v>
      </c>
    </row>
    <row r="1103" ht="15.75" customHeight="1">
      <c r="A1103" s="1">
        <f>IFERROR(__xludf.DUMMYFUNCTION("""COMPUTED_VALUE"""),45497.66666666667)</f>
        <v>45497.66667</v>
      </c>
      <c r="B1103" s="2">
        <f>IFERROR(__xludf.DUMMYFUNCTION("""COMPUTED_VALUE"""),1020.0)</f>
        <v>1020</v>
      </c>
      <c r="C1103" s="2">
        <f>IFERROR(__xludf.DUMMYFUNCTION("""COMPUTED_VALUE"""),1020.0)</f>
        <v>1020</v>
      </c>
      <c r="D1103" s="2">
        <f>IFERROR(__xludf.DUMMYFUNCTION("""COMPUTED_VALUE"""),1010.0)</f>
        <v>1010</v>
      </c>
      <c r="E1103" s="2">
        <f>IFERROR(__xludf.DUMMYFUNCTION("""COMPUTED_VALUE"""),1015.0)</f>
        <v>1015</v>
      </c>
      <c r="F1103" s="2">
        <f>IFERROR(__xludf.DUMMYFUNCTION("""COMPUTED_VALUE"""),717200.0)</f>
        <v>717200</v>
      </c>
      <c r="G1103" s="2">
        <f t="shared" si="1"/>
        <v>10</v>
      </c>
    </row>
    <row r="1104" ht="15.75" customHeight="1">
      <c r="A1104" s="1">
        <f>IFERROR(__xludf.DUMMYFUNCTION("""COMPUTED_VALUE"""),45498.66666666667)</f>
        <v>45498.66667</v>
      </c>
      <c r="B1104" s="2">
        <f>IFERROR(__xludf.DUMMYFUNCTION("""COMPUTED_VALUE"""),1015.0)</f>
        <v>1015</v>
      </c>
      <c r="C1104" s="2">
        <f>IFERROR(__xludf.DUMMYFUNCTION("""COMPUTED_VALUE"""),1015.0)</f>
        <v>1015</v>
      </c>
      <c r="D1104" s="2">
        <f>IFERROR(__xludf.DUMMYFUNCTION("""COMPUTED_VALUE"""),995.0)</f>
        <v>995</v>
      </c>
      <c r="E1104" s="2">
        <f>IFERROR(__xludf.DUMMYFUNCTION("""COMPUTED_VALUE"""),1010.0)</f>
        <v>1010</v>
      </c>
      <c r="F1104" s="2">
        <f>IFERROR(__xludf.DUMMYFUNCTION("""COMPUTED_VALUE"""),1313400.0)</f>
        <v>1313400</v>
      </c>
      <c r="G1104" s="2">
        <f t="shared" si="1"/>
        <v>20</v>
      </c>
    </row>
    <row r="1105" ht="15.75" customHeight="1">
      <c r="A1105" s="1">
        <f>IFERROR(__xludf.DUMMYFUNCTION("""COMPUTED_VALUE"""),45499.66666666667)</f>
        <v>45499.66667</v>
      </c>
      <c r="B1105" s="2">
        <f>IFERROR(__xludf.DUMMYFUNCTION("""COMPUTED_VALUE"""),1010.0)</f>
        <v>1010</v>
      </c>
      <c r="C1105" s="2">
        <f>IFERROR(__xludf.DUMMYFUNCTION("""COMPUTED_VALUE"""),1020.0)</f>
        <v>1020</v>
      </c>
      <c r="D1105" s="2">
        <f>IFERROR(__xludf.DUMMYFUNCTION("""COMPUTED_VALUE"""),1005.0)</f>
        <v>1005</v>
      </c>
      <c r="E1105" s="2">
        <f>IFERROR(__xludf.DUMMYFUNCTION("""COMPUTED_VALUE"""),1010.0)</f>
        <v>1010</v>
      </c>
      <c r="F1105" s="2">
        <f>IFERROR(__xludf.DUMMYFUNCTION("""COMPUTED_VALUE"""),722700.0)</f>
        <v>722700</v>
      </c>
      <c r="G1105" s="2">
        <f t="shared" si="1"/>
        <v>15</v>
      </c>
    </row>
    <row r="1106" ht="15.75" customHeight="1">
      <c r="A1106" s="1">
        <f>IFERROR(__xludf.DUMMYFUNCTION("""COMPUTED_VALUE"""),45502.66666666667)</f>
        <v>45502.66667</v>
      </c>
      <c r="B1106" s="2">
        <f>IFERROR(__xludf.DUMMYFUNCTION("""COMPUTED_VALUE"""),1010.0)</f>
        <v>1010</v>
      </c>
      <c r="C1106" s="2">
        <f>IFERROR(__xludf.DUMMYFUNCTION("""COMPUTED_VALUE"""),1020.0)</f>
        <v>1020</v>
      </c>
      <c r="D1106" s="2">
        <f>IFERROR(__xludf.DUMMYFUNCTION("""COMPUTED_VALUE"""),1000.0)</f>
        <v>1000</v>
      </c>
      <c r="E1106" s="2">
        <f>IFERROR(__xludf.DUMMYFUNCTION("""COMPUTED_VALUE"""),1005.0)</f>
        <v>1005</v>
      </c>
      <c r="F1106" s="2">
        <f>IFERROR(__xludf.DUMMYFUNCTION("""COMPUTED_VALUE"""),2205600.0)</f>
        <v>2205600</v>
      </c>
      <c r="G1106" s="2">
        <f t="shared" si="1"/>
        <v>20</v>
      </c>
    </row>
    <row r="1107" ht="15.75" customHeight="1">
      <c r="A1107" s="1">
        <f>IFERROR(__xludf.DUMMYFUNCTION("""COMPUTED_VALUE"""),45503.66666666667)</f>
        <v>45503.66667</v>
      </c>
      <c r="B1107" s="2">
        <f>IFERROR(__xludf.DUMMYFUNCTION("""COMPUTED_VALUE"""),1010.0)</f>
        <v>1010</v>
      </c>
      <c r="C1107" s="2">
        <f>IFERROR(__xludf.DUMMYFUNCTION("""COMPUTED_VALUE"""),1015.0)</f>
        <v>1015</v>
      </c>
      <c r="D1107" s="2">
        <f>IFERROR(__xludf.DUMMYFUNCTION("""COMPUTED_VALUE"""),1000.0)</f>
        <v>1000</v>
      </c>
      <c r="E1107" s="2">
        <f>IFERROR(__xludf.DUMMYFUNCTION("""COMPUTED_VALUE"""),1005.0)</f>
        <v>1005</v>
      </c>
      <c r="F1107" s="2">
        <f>IFERROR(__xludf.DUMMYFUNCTION("""COMPUTED_VALUE"""),1132100.0)</f>
        <v>1132100</v>
      </c>
      <c r="G1107" s="2">
        <f t="shared" si="1"/>
        <v>15</v>
      </c>
    </row>
    <row r="1108" ht="15.75" customHeight="1">
      <c r="A1108" s="1">
        <f>IFERROR(__xludf.DUMMYFUNCTION("""COMPUTED_VALUE"""),45504.66666666667)</f>
        <v>45504.66667</v>
      </c>
      <c r="B1108" s="2">
        <f>IFERROR(__xludf.DUMMYFUNCTION("""COMPUTED_VALUE"""),1005.0)</f>
        <v>1005</v>
      </c>
      <c r="C1108" s="2">
        <f>IFERROR(__xludf.DUMMYFUNCTION("""COMPUTED_VALUE"""),1010.0)</f>
        <v>1010</v>
      </c>
      <c r="D1108" s="2">
        <f>IFERROR(__xludf.DUMMYFUNCTION("""COMPUTED_VALUE"""),990.0)</f>
        <v>990</v>
      </c>
      <c r="E1108" s="2">
        <f>IFERROR(__xludf.DUMMYFUNCTION("""COMPUTED_VALUE"""),990.0)</f>
        <v>990</v>
      </c>
      <c r="F1108" s="2">
        <f>IFERROR(__xludf.DUMMYFUNCTION("""COMPUTED_VALUE"""),3521800.0)</f>
        <v>3521800</v>
      </c>
      <c r="G1108" s="2">
        <f t="shared" si="1"/>
        <v>20</v>
      </c>
    </row>
    <row r="1109" ht="15.75" customHeight="1">
      <c r="A1109" s="1">
        <f>IFERROR(__xludf.DUMMYFUNCTION("""COMPUTED_VALUE"""),45505.66666666667)</f>
        <v>45505.66667</v>
      </c>
      <c r="B1109" s="2">
        <f>IFERROR(__xludf.DUMMYFUNCTION("""COMPUTED_VALUE"""),990.0)</f>
        <v>990</v>
      </c>
      <c r="C1109" s="2">
        <f>IFERROR(__xludf.DUMMYFUNCTION("""COMPUTED_VALUE"""),1000.0)</f>
        <v>1000</v>
      </c>
      <c r="D1109" s="2">
        <f>IFERROR(__xludf.DUMMYFUNCTION("""COMPUTED_VALUE"""),990.0)</f>
        <v>990</v>
      </c>
      <c r="E1109" s="2">
        <f>IFERROR(__xludf.DUMMYFUNCTION("""COMPUTED_VALUE"""),1000.0)</f>
        <v>1000</v>
      </c>
      <c r="F1109" s="2">
        <f>IFERROR(__xludf.DUMMYFUNCTION("""COMPUTED_VALUE"""),1250300.0)</f>
        <v>1250300</v>
      </c>
      <c r="G1109" s="2">
        <f t="shared" si="1"/>
        <v>10</v>
      </c>
    </row>
    <row r="1110" ht="15.75" customHeight="1">
      <c r="A1110" s="1">
        <f>IFERROR(__xludf.DUMMYFUNCTION("""COMPUTED_VALUE"""),45506.66666666667)</f>
        <v>45506.66667</v>
      </c>
      <c r="B1110" s="2">
        <f>IFERROR(__xludf.DUMMYFUNCTION("""COMPUTED_VALUE"""),1000.0)</f>
        <v>1000</v>
      </c>
      <c r="C1110" s="2">
        <f>IFERROR(__xludf.DUMMYFUNCTION("""COMPUTED_VALUE"""),1000.0)</f>
        <v>1000</v>
      </c>
      <c r="D1110" s="2">
        <f>IFERROR(__xludf.DUMMYFUNCTION("""COMPUTED_VALUE"""),990.0)</f>
        <v>990</v>
      </c>
      <c r="E1110" s="2">
        <f>IFERROR(__xludf.DUMMYFUNCTION("""COMPUTED_VALUE"""),995.0)</f>
        <v>995</v>
      </c>
      <c r="F1110" s="2">
        <f>IFERROR(__xludf.DUMMYFUNCTION("""COMPUTED_VALUE"""),1587900.0)</f>
        <v>1587900</v>
      </c>
      <c r="G1110" s="2">
        <f t="shared" si="1"/>
        <v>10</v>
      </c>
    </row>
    <row r="1111" ht="15.75" customHeight="1">
      <c r="A1111" s="1">
        <f>IFERROR(__xludf.DUMMYFUNCTION("""COMPUTED_VALUE"""),45509.66666666667)</f>
        <v>45509.66667</v>
      </c>
      <c r="B1111" s="2">
        <f>IFERROR(__xludf.DUMMYFUNCTION("""COMPUTED_VALUE"""),995.0)</f>
        <v>995</v>
      </c>
      <c r="C1111" s="2">
        <f>IFERROR(__xludf.DUMMYFUNCTION("""COMPUTED_VALUE"""),995.0)</f>
        <v>995</v>
      </c>
      <c r="D1111" s="2">
        <f>IFERROR(__xludf.DUMMYFUNCTION("""COMPUTED_VALUE"""),975.0)</f>
        <v>975</v>
      </c>
      <c r="E1111" s="2">
        <f>IFERROR(__xludf.DUMMYFUNCTION("""COMPUTED_VALUE"""),975.0)</f>
        <v>975</v>
      </c>
      <c r="F1111" s="2">
        <f>IFERROR(__xludf.DUMMYFUNCTION("""COMPUTED_VALUE"""),4721900.0)</f>
        <v>4721900</v>
      </c>
      <c r="G1111" s="2">
        <f t="shared" si="1"/>
        <v>20</v>
      </c>
    </row>
    <row r="1112" ht="15.75" customHeight="1">
      <c r="A1112" s="1">
        <f>IFERROR(__xludf.DUMMYFUNCTION("""COMPUTED_VALUE"""),45510.66666666667)</f>
        <v>45510.66667</v>
      </c>
      <c r="B1112" s="2">
        <f>IFERROR(__xludf.DUMMYFUNCTION("""COMPUTED_VALUE"""),970.0)</f>
        <v>970</v>
      </c>
      <c r="C1112" s="2">
        <f>IFERROR(__xludf.DUMMYFUNCTION("""COMPUTED_VALUE"""),985.0)</f>
        <v>985</v>
      </c>
      <c r="D1112" s="2">
        <f>IFERROR(__xludf.DUMMYFUNCTION("""COMPUTED_VALUE"""),970.0)</f>
        <v>970</v>
      </c>
      <c r="E1112" s="2">
        <f>IFERROR(__xludf.DUMMYFUNCTION("""COMPUTED_VALUE"""),980.0)</f>
        <v>980</v>
      </c>
      <c r="F1112" s="2">
        <f>IFERROR(__xludf.DUMMYFUNCTION("""COMPUTED_VALUE"""),1299500.0)</f>
        <v>1299500</v>
      </c>
      <c r="G1112" s="2">
        <f t="shared" si="1"/>
        <v>15</v>
      </c>
    </row>
    <row r="1113" ht="15.75" customHeight="1">
      <c r="A1113" s="1">
        <f>IFERROR(__xludf.DUMMYFUNCTION("""COMPUTED_VALUE"""),45511.66666666667)</f>
        <v>45511.66667</v>
      </c>
      <c r="B1113" s="2">
        <f>IFERROR(__xludf.DUMMYFUNCTION("""COMPUTED_VALUE"""),980.0)</f>
        <v>980</v>
      </c>
      <c r="C1113" s="2">
        <f>IFERROR(__xludf.DUMMYFUNCTION("""COMPUTED_VALUE"""),990.0)</f>
        <v>990</v>
      </c>
      <c r="D1113" s="2">
        <f>IFERROR(__xludf.DUMMYFUNCTION("""COMPUTED_VALUE"""),975.0)</f>
        <v>975</v>
      </c>
      <c r="E1113" s="2">
        <f>IFERROR(__xludf.DUMMYFUNCTION("""COMPUTED_VALUE"""),980.0)</f>
        <v>980</v>
      </c>
      <c r="F1113" s="2">
        <f>IFERROR(__xludf.DUMMYFUNCTION("""COMPUTED_VALUE"""),903200.0)</f>
        <v>903200</v>
      </c>
      <c r="G1113" s="2">
        <f t="shared" si="1"/>
        <v>15</v>
      </c>
    </row>
    <row r="1114" ht="15.75" customHeight="1">
      <c r="A1114" s="1">
        <f>IFERROR(__xludf.DUMMYFUNCTION("""COMPUTED_VALUE"""),45512.66666666667)</f>
        <v>45512.66667</v>
      </c>
      <c r="B1114" s="2">
        <f>IFERROR(__xludf.DUMMYFUNCTION("""COMPUTED_VALUE"""),980.0)</f>
        <v>980</v>
      </c>
      <c r="C1114" s="2">
        <f>IFERROR(__xludf.DUMMYFUNCTION("""COMPUTED_VALUE"""),990.0)</f>
        <v>990</v>
      </c>
      <c r="D1114" s="2">
        <f>IFERROR(__xludf.DUMMYFUNCTION("""COMPUTED_VALUE"""),970.0)</f>
        <v>970</v>
      </c>
      <c r="E1114" s="2">
        <f>IFERROR(__xludf.DUMMYFUNCTION("""COMPUTED_VALUE"""),980.0)</f>
        <v>980</v>
      </c>
      <c r="F1114" s="2">
        <f>IFERROR(__xludf.DUMMYFUNCTION("""COMPUTED_VALUE"""),2632500.0)</f>
        <v>2632500</v>
      </c>
      <c r="G1114" s="2">
        <f t="shared" si="1"/>
        <v>20</v>
      </c>
    </row>
    <row r="1115" ht="15.75" customHeight="1">
      <c r="A1115" s="1">
        <f>IFERROR(__xludf.DUMMYFUNCTION("""COMPUTED_VALUE"""),45513.66666666667)</f>
        <v>45513.66667</v>
      </c>
      <c r="B1115" s="2">
        <f>IFERROR(__xludf.DUMMYFUNCTION("""COMPUTED_VALUE"""),980.0)</f>
        <v>980</v>
      </c>
      <c r="C1115" s="2">
        <f>IFERROR(__xludf.DUMMYFUNCTION("""COMPUTED_VALUE"""),990.0)</f>
        <v>990</v>
      </c>
      <c r="D1115" s="2">
        <f>IFERROR(__xludf.DUMMYFUNCTION("""COMPUTED_VALUE"""),980.0)</f>
        <v>980</v>
      </c>
      <c r="E1115" s="2">
        <f>IFERROR(__xludf.DUMMYFUNCTION("""COMPUTED_VALUE"""),985.0)</f>
        <v>985</v>
      </c>
      <c r="F1115" s="2">
        <f>IFERROR(__xludf.DUMMYFUNCTION("""COMPUTED_VALUE"""),986900.0)</f>
        <v>986900</v>
      </c>
      <c r="G1115" s="2">
        <f t="shared" si="1"/>
        <v>10</v>
      </c>
    </row>
    <row r="1116" ht="15.75" customHeight="1">
      <c r="A1116" s="1">
        <f>IFERROR(__xludf.DUMMYFUNCTION("""COMPUTED_VALUE"""),45516.66666666667)</f>
        <v>45516.66667</v>
      </c>
      <c r="B1116" s="2">
        <f>IFERROR(__xludf.DUMMYFUNCTION("""COMPUTED_VALUE"""),985.0)</f>
        <v>985</v>
      </c>
      <c r="C1116" s="2">
        <f>IFERROR(__xludf.DUMMYFUNCTION("""COMPUTED_VALUE"""),990.0)</f>
        <v>990</v>
      </c>
      <c r="D1116" s="2">
        <f>IFERROR(__xludf.DUMMYFUNCTION("""COMPUTED_VALUE"""),985.0)</f>
        <v>985</v>
      </c>
      <c r="E1116" s="2">
        <f>IFERROR(__xludf.DUMMYFUNCTION("""COMPUTED_VALUE"""),985.0)</f>
        <v>985</v>
      </c>
      <c r="F1116" s="2">
        <f>IFERROR(__xludf.DUMMYFUNCTION("""COMPUTED_VALUE"""),1188200.0)</f>
        <v>1188200</v>
      </c>
      <c r="G1116" s="2">
        <f t="shared" si="1"/>
        <v>5</v>
      </c>
    </row>
    <row r="1117" ht="15.75" customHeight="1">
      <c r="A1117" s="1">
        <f>IFERROR(__xludf.DUMMYFUNCTION("""COMPUTED_VALUE"""),45517.66666666667)</f>
        <v>45517.66667</v>
      </c>
      <c r="B1117" s="2">
        <f>IFERROR(__xludf.DUMMYFUNCTION("""COMPUTED_VALUE"""),985.0)</f>
        <v>985</v>
      </c>
      <c r="C1117" s="2">
        <f>IFERROR(__xludf.DUMMYFUNCTION("""COMPUTED_VALUE"""),1000.0)</f>
        <v>1000</v>
      </c>
      <c r="D1117" s="2">
        <f>IFERROR(__xludf.DUMMYFUNCTION("""COMPUTED_VALUE"""),985.0)</f>
        <v>985</v>
      </c>
      <c r="E1117" s="2">
        <f>IFERROR(__xludf.DUMMYFUNCTION("""COMPUTED_VALUE"""),995.0)</f>
        <v>995</v>
      </c>
      <c r="F1117" s="2">
        <f>IFERROR(__xludf.DUMMYFUNCTION("""COMPUTED_VALUE"""),1059100.0)</f>
        <v>1059100</v>
      </c>
      <c r="G1117" s="2">
        <f t="shared" si="1"/>
        <v>15</v>
      </c>
    </row>
    <row r="1118" ht="15.75" customHeight="1">
      <c r="A1118" s="1">
        <f>IFERROR(__xludf.DUMMYFUNCTION("""COMPUTED_VALUE"""),45518.66666666667)</f>
        <v>45518.66667</v>
      </c>
      <c r="B1118" s="2">
        <f>IFERROR(__xludf.DUMMYFUNCTION("""COMPUTED_VALUE"""),995.0)</f>
        <v>995</v>
      </c>
      <c r="C1118" s="2">
        <f>IFERROR(__xludf.DUMMYFUNCTION("""COMPUTED_VALUE"""),1000.0)</f>
        <v>1000</v>
      </c>
      <c r="D1118" s="2">
        <f>IFERROR(__xludf.DUMMYFUNCTION("""COMPUTED_VALUE"""),990.0)</f>
        <v>990</v>
      </c>
      <c r="E1118" s="2">
        <f>IFERROR(__xludf.DUMMYFUNCTION("""COMPUTED_VALUE"""),995.0)</f>
        <v>995</v>
      </c>
      <c r="F1118" s="2">
        <f>IFERROR(__xludf.DUMMYFUNCTION("""COMPUTED_VALUE"""),2061700.0)</f>
        <v>2061700</v>
      </c>
      <c r="G1118" s="2">
        <f t="shared" si="1"/>
        <v>10</v>
      </c>
    </row>
    <row r="1119" ht="15.75" customHeight="1">
      <c r="A1119" s="1">
        <f>IFERROR(__xludf.DUMMYFUNCTION("""COMPUTED_VALUE"""),45519.66666666667)</f>
        <v>45519.66667</v>
      </c>
      <c r="B1119" s="2">
        <f>IFERROR(__xludf.DUMMYFUNCTION("""COMPUTED_VALUE"""),995.0)</f>
        <v>995</v>
      </c>
      <c r="C1119" s="2">
        <f>IFERROR(__xludf.DUMMYFUNCTION("""COMPUTED_VALUE"""),1000.0)</f>
        <v>1000</v>
      </c>
      <c r="D1119" s="2">
        <f>IFERROR(__xludf.DUMMYFUNCTION("""COMPUTED_VALUE"""),990.0)</f>
        <v>990</v>
      </c>
      <c r="E1119" s="2">
        <f>IFERROR(__xludf.DUMMYFUNCTION("""COMPUTED_VALUE"""),995.0)</f>
        <v>995</v>
      </c>
      <c r="F1119" s="2">
        <f>IFERROR(__xludf.DUMMYFUNCTION("""COMPUTED_VALUE"""),1066500.0)</f>
        <v>1066500</v>
      </c>
      <c r="G1119" s="2">
        <f t="shared" si="1"/>
        <v>10</v>
      </c>
    </row>
    <row r="1120" ht="15.75" customHeight="1">
      <c r="A1120" s="1">
        <f>IFERROR(__xludf.DUMMYFUNCTION("""COMPUTED_VALUE"""),45520.66666666667)</f>
        <v>45520.66667</v>
      </c>
      <c r="B1120" s="2">
        <f>IFERROR(__xludf.DUMMYFUNCTION("""COMPUTED_VALUE"""),995.0)</f>
        <v>995</v>
      </c>
      <c r="C1120" s="2">
        <f>IFERROR(__xludf.DUMMYFUNCTION("""COMPUTED_VALUE"""),1000.0)</f>
        <v>1000</v>
      </c>
      <c r="D1120" s="2">
        <f>IFERROR(__xludf.DUMMYFUNCTION("""COMPUTED_VALUE"""),990.0)</f>
        <v>990</v>
      </c>
      <c r="E1120" s="2">
        <f>IFERROR(__xludf.DUMMYFUNCTION("""COMPUTED_VALUE"""),995.0)</f>
        <v>995</v>
      </c>
      <c r="F1120" s="2">
        <f>IFERROR(__xludf.DUMMYFUNCTION("""COMPUTED_VALUE"""),1269300.0)</f>
        <v>1269300</v>
      </c>
      <c r="G1120" s="2">
        <f t="shared" si="1"/>
        <v>10</v>
      </c>
    </row>
    <row r="1121" ht="15.75" customHeight="1">
      <c r="A1121" s="1">
        <f>IFERROR(__xludf.DUMMYFUNCTION("""COMPUTED_VALUE"""),45523.66666666667)</f>
        <v>45523.66667</v>
      </c>
      <c r="B1121" s="2">
        <f>IFERROR(__xludf.DUMMYFUNCTION("""COMPUTED_VALUE"""),995.0)</f>
        <v>995</v>
      </c>
      <c r="C1121" s="2">
        <f>IFERROR(__xludf.DUMMYFUNCTION("""COMPUTED_VALUE"""),1000.0)</f>
        <v>1000</v>
      </c>
      <c r="D1121" s="2">
        <f>IFERROR(__xludf.DUMMYFUNCTION("""COMPUTED_VALUE"""),990.0)</f>
        <v>990</v>
      </c>
      <c r="E1121" s="2">
        <f>IFERROR(__xludf.DUMMYFUNCTION("""COMPUTED_VALUE"""),990.0)</f>
        <v>990</v>
      </c>
      <c r="F1121" s="2">
        <f>IFERROR(__xludf.DUMMYFUNCTION("""COMPUTED_VALUE"""),1695200.0)</f>
        <v>1695200</v>
      </c>
      <c r="G1121" s="2">
        <f t="shared" si="1"/>
        <v>10</v>
      </c>
    </row>
    <row r="1122" ht="15.75" customHeight="1">
      <c r="A1122" s="1">
        <f>IFERROR(__xludf.DUMMYFUNCTION("""COMPUTED_VALUE"""),45524.66666666667)</f>
        <v>45524.66667</v>
      </c>
      <c r="B1122" s="2">
        <f>IFERROR(__xludf.DUMMYFUNCTION("""COMPUTED_VALUE"""),990.0)</f>
        <v>990</v>
      </c>
      <c r="C1122" s="2">
        <f>IFERROR(__xludf.DUMMYFUNCTION("""COMPUTED_VALUE"""),1000.0)</f>
        <v>1000</v>
      </c>
      <c r="D1122" s="2">
        <f>IFERROR(__xludf.DUMMYFUNCTION("""COMPUTED_VALUE"""),990.0)</f>
        <v>990</v>
      </c>
      <c r="E1122" s="2">
        <f>IFERROR(__xludf.DUMMYFUNCTION("""COMPUTED_VALUE"""),1000.0)</f>
        <v>1000</v>
      </c>
      <c r="F1122" s="2">
        <f>IFERROR(__xludf.DUMMYFUNCTION("""COMPUTED_VALUE"""),3126100.0)</f>
        <v>3126100</v>
      </c>
      <c r="G1122" s="2">
        <f t="shared" si="1"/>
        <v>10</v>
      </c>
    </row>
    <row r="1123" ht="15.75" customHeight="1">
      <c r="A1123" s="1">
        <f>IFERROR(__xludf.DUMMYFUNCTION("""COMPUTED_VALUE"""),45525.66666666667)</f>
        <v>45525.66667</v>
      </c>
      <c r="B1123" s="2">
        <f>IFERROR(__xludf.DUMMYFUNCTION("""COMPUTED_VALUE"""),1000.0)</f>
        <v>1000</v>
      </c>
      <c r="C1123" s="2">
        <f>IFERROR(__xludf.DUMMYFUNCTION("""COMPUTED_VALUE"""),1015.0)</f>
        <v>1015</v>
      </c>
      <c r="D1123" s="2">
        <f>IFERROR(__xludf.DUMMYFUNCTION("""COMPUTED_VALUE"""),1000.0)</f>
        <v>1000</v>
      </c>
      <c r="E1123" s="2">
        <f>IFERROR(__xludf.DUMMYFUNCTION("""COMPUTED_VALUE"""),1000.0)</f>
        <v>1000</v>
      </c>
      <c r="F1123" s="2">
        <f>IFERROR(__xludf.DUMMYFUNCTION("""COMPUTED_VALUE"""),3486100.0)</f>
        <v>3486100</v>
      </c>
      <c r="G1123" s="2">
        <f t="shared" si="1"/>
        <v>15</v>
      </c>
    </row>
    <row r="1124" ht="15.75" customHeight="1">
      <c r="A1124" s="1">
        <f>IFERROR(__xludf.DUMMYFUNCTION("""COMPUTED_VALUE"""),45526.66666666667)</f>
        <v>45526.66667</v>
      </c>
      <c r="B1124" s="2">
        <f>IFERROR(__xludf.DUMMYFUNCTION("""COMPUTED_VALUE"""),1000.0)</f>
        <v>1000</v>
      </c>
      <c r="C1124" s="2">
        <f>IFERROR(__xludf.DUMMYFUNCTION("""COMPUTED_VALUE"""),1005.0)</f>
        <v>1005</v>
      </c>
      <c r="D1124" s="2">
        <f>IFERROR(__xludf.DUMMYFUNCTION("""COMPUTED_VALUE"""),990.0)</f>
        <v>990</v>
      </c>
      <c r="E1124" s="2">
        <f>IFERROR(__xludf.DUMMYFUNCTION("""COMPUTED_VALUE"""),995.0)</f>
        <v>995</v>
      </c>
      <c r="F1124" s="2">
        <f>IFERROR(__xludf.DUMMYFUNCTION("""COMPUTED_VALUE"""),2845200.0)</f>
        <v>2845200</v>
      </c>
      <c r="G1124" s="2">
        <f t="shared" si="1"/>
        <v>15</v>
      </c>
    </row>
    <row r="1125" ht="15.75" customHeight="1">
      <c r="A1125" s="1">
        <f>IFERROR(__xludf.DUMMYFUNCTION("""COMPUTED_VALUE"""),45527.66666666667)</f>
        <v>45527.66667</v>
      </c>
      <c r="B1125" s="2">
        <f>IFERROR(__xludf.DUMMYFUNCTION("""COMPUTED_VALUE"""),995.0)</f>
        <v>995</v>
      </c>
      <c r="C1125" s="2">
        <f>IFERROR(__xludf.DUMMYFUNCTION("""COMPUTED_VALUE"""),1005.0)</f>
        <v>1005</v>
      </c>
      <c r="D1125" s="2">
        <f>IFERROR(__xludf.DUMMYFUNCTION("""COMPUTED_VALUE"""),990.0)</f>
        <v>990</v>
      </c>
      <c r="E1125" s="2">
        <f>IFERROR(__xludf.DUMMYFUNCTION("""COMPUTED_VALUE"""),1000.0)</f>
        <v>1000</v>
      </c>
      <c r="F1125" s="2">
        <f>IFERROR(__xludf.DUMMYFUNCTION("""COMPUTED_VALUE"""),3529000.0)</f>
        <v>3529000</v>
      </c>
      <c r="G1125" s="2">
        <f t="shared" si="1"/>
        <v>15</v>
      </c>
    </row>
    <row r="1126" ht="15.75" customHeight="1">
      <c r="A1126" s="1">
        <f>IFERROR(__xludf.DUMMYFUNCTION("""COMPUTED_VALUE"""),45530.66666666667)</f>
        <v>45530.66667</v>
      </c>
      <c r="B1126" s="2">
        <f>IFERROR(__xludf.DUMMYFUNCTION("""COMPUTED_VALUE"""),1005.0)</f>
        <v>1005</v>
      </c>
      <c r="C1126" s="2">
        <f>IFERROR(__xludf.DUMMYFUNCTION("""COMPUTED_VALUE"""),1010.0)</f>
        <v>1010</v>
      </c>
      <c r="D1126" s="2">
        <f>IFERROR(__xludf.DUMMYFUNCTION("""COMPUTED_VALUE"""),1000.0)</f>
        <v>1000</v>
      </c>
      <c r="E1126" s="2">
        <f>IFERROR(__xludf.DUMMYFUNCTION("""COMPUTED_VALUE"""),1005.0)</f>
        <v>1005</v>
      </c>
      <c r="F1126" s="2">
        <f>IFERROR(__xludf.DUMMYFUNCTION("""COMPUTED_VALUE"""),3152200.0)</f>
        <v>3152200</v>
      </c>
      <c r="G1126" s="2">
        <f t="shared" si="1"/>
        <v>10</v>
      </c>
    </row>
    <row r="1127" ht="15.75" customHeight="1">
      <c r="A1127" s="1">
        <f>IFERROR(__xludf.DUMMYFUNCTION("""COMPUTED_VALUE"""),45531.66666666667)</f>
        <v>45531.66667</v>
      </c>
      <c r="B1127" s="2">
        <f>IFERROR(__xludf.DUMMYFUNCTION("""COMPUTED_VALUE"""),1005.0)</f>
        <v>1005</v>
      </c>
      <c r="C1127" s="2">
        <f>IFERROR(__xludf.DUMMYFUNCTION("""COMPUTED_VALUE"""),1010.0)</f>
        <v>1010</v>
      </c>
      <c r="D1127" s="2">
        <f>IFERROR(__xludf.DUMMYFUNCTION("""COMPUTED_VALUE"""),1000.0)</f>
        <v>1000</v>
      </c>
      <c r="E1127" s="2">
        <f>IFERROR(__xludf.DUMMYFUNCTION("""COMPUTED_VALUE"""),1005.0)</f>
        <v>1005</v>
      </c>
      <c r="F1127" s="2">
        <f>IFERROR(__xludf.DUMMYFUNCTION("""COMPUTED_VALUE"""),2455800.0)</f>
        <v>2455800</v>
      </c>
      <c r="G1127" s="2">
        <f t="shared" si="1"/>
        <v>10</v>
      </c>
    </row>
    <row r="1128" ht="15.75" customHeight="1">
      <c r="A1128" s="1">
        <f>IFERROR(__xludf.DUMMYFUNCTION("""COMPUTED_VALUE"""),45532.66666666667)</f>
        <v>45532.66667</v>
      </c>
      <c r="B1128" s="2">
        <f>IFERROR(__xludf.DUMMYFUNCTION("""COMPUTED_VALUE"""),1005.0)</f>
        <v>1005</v>
      </c>
      <c r="C1128" s="2">
        <f>IFERROR(__xludf.DUMMYFUNCTION("""COMPUTED_VALUE"""),1010.0)</f>
        <v>1010</v>
      </c>
      <c r="D1128" s="2">
        <f>IFERROR(__xludf.DUMMYFUNCTION("""COMPUTED_VALUE"""),1000.0)</f>
        <v>1000</v>
      </c>
      <c r="E1128" s="2">
        <f>IFERROR(__xludf.DUMMYFUNCTION("""COMPUTED_VALUE"""),1000.0)</f>
        <v>1000</v>
      </c>
      <c r="F1128" s="2">
        <f>IFERROR(__xludf.DUMMYFUNCTION("""COMPUTED_VALUE"""),1512900.0)</f>
        <v>1512900</v>
      </c>
      <c r="G1128" s="2">
        <f t="shared" si="1"/>
        <v>10</v>
      </c>
    </row>
    <row r="1129" ht="15.75" customHeight="1">
      <c r="A1129" s="1">
        <f>IFERROR(__xludf.DUMMYFUNCTION("""COMPUTED_VALUE"""),45533.66666666667)</f>
        <v>45533.66667</v>
      </c>
      <c r="B1129" s="2">
        <f>IFERROR(__xludf.DUMMYFUNCTION("""COMPUTED_VALUE"""),1000.0)</f>
        <v>1000</v>
      </c>
      <c r="C1129" s="2">
        <f>IFERROR(__xludf.DUMMYFUNCTION("""COMPUTED_VALUE"""),1005.0)</f>
        <v>1005</v>
      </c>
      <c r="D1129" s="2">
        <f>IFERROR(__xludf.DUMMYFUNCTION("""COMPUTED_VALUE"""),995.0)</f>
        <v>995</v>
      </c>
      <c r="E1129" s="2">
        <f>IFERROR(__xludf.DUMMYFUNCTION("""COMPUTED_VALUE"""),1000.0)</f>
        <v>1000</v>
      </c>
      <c r="F1129" s="2">
        <f>IFERROR(__xludf.DUMMYFUNCTION("""COMPUTED_VALUE"""),1619900.0)</f>
        <v>1619900</v>
      </c>
      <c r="G1129" s="2">
        <f t="shared" si="1"/>
        <v>10</v>
      </c>
    </row>
    <row r="1130" ht="15.75" customHeight="1">
      <c r="A1130" s="1">
        <f>IFERROR(__xludf.DUMMYFUNCTION("""COMPUTED_VALUE"""),45534.66666666667)</f>
        <v>45534.66667</v>
      </c>
      <c r="B1130" s="2">
        <f>IFERROR(__xludf.DUMMYFUNCTION("""COMPUTED_VALUE"""),1000.0)</f>
        <v>1000</v>
      </c>
      <c r="C1130" s="2">
        <f>IFERROR(__xludf.DUMMYFUNCTION("""COMPUTED_VALUE"""),1000.0)</f>
        <v>1000</v>
      </c>
      <c r="D1130" s="2">
        <f>IFERROR(__xludf.DUMMYFUNCTION("""COMPUTED_VALUE"""),995.0)</f>
        <v>995</v>
      </c>
      <c r="E1130" s="2">
        <f>IFERROR(__xludf.DUMMYFUNCTION("""COMPUTED_VALUE"""),995.0)</f>
        <v>995</v>
      </c>
      <c r="F1130" s="2">
        <f>IFERROR(__xludf.DUMMYFUNCTION("""COMPUTED_VALUE"""),3156700.0)</f>
        <v>3156700</v>
      </c>
      <c r="G1130" s="2">
        <f t="shared" si="1"/>
        <v>5</v>
      </c>
    </row>
    <row r="1131" ht="15.75" customHeight="1">
      <c r="A1131" s="1">
        <f>IFERROR(__xludf.DUMMYFUNCTION("""COMPUTED_VALUE"""),45537.66666666667)</f>
        <v>45537.66667</v>
      </c>
      <c r="B1131" s="2">
        <f>IFERROR(__xludf.DUMMYFUNCTION("""COMPUTED_VALUE"""),995.0)</f>
        <v>995</v>
      </c>
      <c r="C1131" s="2">
        <f>IFERROR(__xludf.DUMMYFUNCTION("""COMPUTED_VALUE"""),1005.0)</f>
        <v>1005</v>
      </c>
      <c r="D1131" s="2">
        <f>IFERROR(__xludf.DUMMYFUNCTION("""COMPUTED_VALUE"""),995.0)</f>
        <v>995</v>
      </c>
      <c r="E1131" s="2">
        <f>IFERROR(__xludf.DUMMYFUNCTION("""COMPUTED_VALUE"""),1000.0)</f>
        <v>1000</v>
      </c>
      <c r="F1131" s="2">
        <f>IFERROR(__xludf.DUMMYFUNCTION("""COMPUTED_VALUE"""),1984600.0)</f>
        <v>1984600</v>
      </c>
      <c r="G1131" s="2">
        <f t="shared" si="1"/>
        <v>10</v>
      </c>
    </row>
    <row r="1132" ht="15.75" customHeight="1">
      <c r="A1132" s="1">
        <f>IFERROR(__xludf.DUMMYFUNCTION("""COMPUTED_VALUE"""),45538.66666666667)</f>
        <v>45538.66667</v>
      </c>
      <c r="B1132" s="2">
        <f>IFERROR(__xludf.DUMMYFUNCTION("""COMPUTED_VALUE"""),1000.0)</f>
        <v>1000</v>
      </c>
      <c r="C1132" s="2">
        <f>IFERROR(__xludf.DUMMYFUNCTION("""COMPUTED_VALUE"""),1005.0)</f>
        <v>1005</v>
      </c>
      <c r="D1132" s="2">
        <f>IFERROR(__xludf.DUMMYFUNCTION("""COMPUTED_VALUE"""),990.0)</f>
        <v>990</v>
      </c>
      <c r="E1132" s="2">
        <f>IFERROR(__xludf.DUMMYFUNCTION("""COMPUTED_VALUE"""),1000.0)</f>
        <v>1000</v>
      </c>
      <c r="F1132" s="2">
        <f>IFERROR(__xludf.DUMMYFUNCTION("""COMPUTED_VALUE"""),3010000.0)</f>
        <v>3010000</v>
      </c>
      <c r="G1132" s="2">
        <f t="shared" si="1"/>
        <v>15</v>
      </c>
    </row>
    <row r="1133" ht="15.75" customHeight="1">
      <c r="A1133" s="1">
        <f>IFERROR(__xludf.DUMMYFUNCTION("""COMPUTED_VALUE"""),45539.66666666667)</f>
        <v>45539.66667</v>
      </c>
      <c r="B1133" s="2">
        <f>IFERROR(__xludf.DUMMYFUNCTION("""COMPUTED_VALUE"""),1000.0)</f>
        <v>1000</v>
      </c>
      <c r="C1133" s="2">
        <f>IFERROR(__xludf.DUMMYFUNCTION("""COMPUTED_VALUE"""),1000.0)</f>
        <v>1000</v>
      </c>
      <c r="D1133" s="2">
        <f>IFERROR(__xludf.DUMMYFUNCTION("""COMPUTED_VALUE"""),990.0)</f>
        <v>990</v>
      </c>
      <c r="E1133" s="2">
        <f>IFERROR(__xludf.DUMMYFUNCTION("""COMPUTED_VALUE"""),1000.0)</f>
        <v>1000</v>
      </c>
      <c r="F1133" s="2">
        <f>IFERROR(__xludf.DUMMYFUNCTION("""COMPUTED_VALUE"""),674500.0)</f>
        <v>674500</v>
      </c>
      <c r="G1133" s="2">
        <f t="shared" si="1"/>
        <v>10</v>
      </c>
    </row>
    <row r="1134" ht="15.75" customHeight="1">
      <c r="A1134" s="1">
        <f>IFERROR(__xludf.DUMMYFUNCTION("""COMPUTED_VALUE"""),45540.66666666667)</f>
        <v>45540.66667</v>
      </c>
      <c r="B1134" s="2">
        <f>IFERROR(__xludf.DUMMYFUNCTION("""COMPUTED_VALUE"""),1000.0)</f>
        <v>1000</v>
      </c>
      <c r="C1134" s="2">
        <f>IFERROR(__xludf.DUMMYFUNCTION("""COMPUTED_VALUE"""),1000.0)</f>
        <v>1000</v>
      </c>
      <c r="D1134" s="2">
        <f>IFERROR(__xludf.DUMMYFUNCTION("""COMPUTED_VALUE"""),990.0)</f>
        <v>990</v>
      </c>
      <c r="E1134" s="2">
        <f>IFERROR(__xludf.DUMMYFUNCTION("""COMPUTED_VALUE"""),1000.0)</f>
        <v>1000</v>
      </c>
      <c r="F1134" s="2">
        <f>IFERROR(__xludf.DUMMYFUNCTION("""COMPUTED_VALUE"""),1361500.0)</f>
        <v>1361500</v>
      </c>
      <c r="G1134" s="2">
        <f t="shared" si="1"/>
        <v>10</v>
      </c>
    </row>
    <row r="1135" ht="15.75" customHeight="1">
      <c r="A1135" s="1">
        <f>IFERROR(__xludf.DUMMYFUNCTION("""COMPUTED_VALUE"""),45541.66666666667)</f>
        <v>45541.66667</v>
      </c>
      <c r="B1135" s="2">
        <f>IFERROR(__xludf.DUMMYFUNCTION("""COMPUTED_VALUE"""),1000.0)</f>
        <v>1000</v>
      </c>
      <c r="C1135" s="2">
        <f>IFERROR(__xludf.DUMMYFUNCTION("""COMPUTED_VALUE"""),1005.0)</f>
        <v>1005</v>
      </c>
      <c r="D1135" s="2">
        <f>IFERROR(__xludf.DUMMYFUNCTION("""COMPUTED_VALUE"""),995.0)</f>
        <v>995</v>
      </c>
      <c r="E1135" s="2">
        <f>IFERROR(__xludf.DUMMYFUNCTION("""COMPUTED_VALUE"""),1000.0)</f>
        <v>1000</v>
      </c>
      <c r="F1135" s="2">
        <f>IFERROR(__xludf.DUMMYFUNCTION("""COMPUTED_VALUE"""),2103200.0)</f>
        <v>2103200</v>
      </c>
      <c r="G1135" s="2">
        <f t="shared" si="1"/>
        <v>10</v>
      </c>
    </row>
    <row r="1136" ht="15.75" customHeight="1">
      <c r="A1136" s="1">
        <f>IFERROR(__xludf.DUMMYFUNCTION("""COMPUTED_VALUE"""),45544.66666666667)</f>
        <v>45544.66667</v>
      </c>
      <c r="B1136" s="2">
        <f>IFERROR(__xludf.DUMMYFUNCTION("""COMPUTED_VALUE"""),1000.0)</f>
        <v>1000</v>
      </c>
      <c r="C1136" s="2">
        <f>IFERROR(__xludf.DUMMYFUNCTION("""COMPUTED_VALUE"""),1005.0)</f>
        <v>1005</v>
      </c>
      <c r="D1136" s="2">
        <f>IFERROR(__xludf.DUMMYFUNCTION("""COMPUTED_VALUE"""),995.0)</f>
        <v>995</v>
      </c>
      <c r="E1136" s="2">
        <f>IFERROR(__xludf.DUMMYFUNCTION("""COMPUTED_VALUE"""),995.0)</f>
        <v>995</v>
      </c>
      <c r="F1136" s="2">
        <f>IFERROR(__xludf.DUMMYFUNCTION("""COMPUTED_VALUE"""),1955000.0)</f>
        <v>1955000</v>
      </c>
      <c r="G1136" s="2">
        <f t="shared" si="1"/>
        <v>10</v>
      </c>
    </row>
    <row r="1137" ht="15.75" customHeight="1">
      <c r="A1137" s="1">
        <f>IFERROR(__xludf.DUMMYFUNCTION("""COMPUTED_VALUE"""),45545.66666666667)</f>
        <v>45545.66667</v>
      </c>
      <c r="B1137" s="2">
        <f>IFERROR(__xludf.DUMMYFUNCTION("""COMPUTED_VALUE"""),995.0)</f>
        <v>995</v>
      </c>
      <c r="C1137" s="2">
        <f>IFERROR(__xludf.DUMMYFUNCTION("""COMPUTED_VALUE"""),1000.0)</f>
        <v>1000</v>
      </c>
      <c r="D1137" s="2">
        <f>IFERROR(__xludf.DUMMYFUNCTION("""COMPUTED_VALUE"""),995.0)</f>
        <v>995</v>
      </c>
      <c r="E1137" s="2">
        <f>IFERROR(__xludf.DUMMYFUNCTION("""COMPUTED_VALUE"""),1000.0)</f>
        <v>1000</v>
      </c>
      <c r="F1137" s="2">
        <f>IFERROR(__xludf.DUMMYFUNCTION("""COMPUTED_VALUE"""),916400.0)</f>
        <v>916400</v>
      </c>
      <c r="G1137" s="2">
        <f t="shared" si="1"/>
        <v>5</v>
      </c>
    </row>
    <row r="1138" ht="15.75" customHeight="1">
      <c r="A1138" s="1">
        <f>IFERROR(__xludf.DUMMYFUNCTION("""COMPUTED_VALUE"""),45546.66666666667)</f>
        <v>45546.66667</v>
      </c>
      <c r="B1138" s="2">
        <f>IFERROR(__xludf.DUMMYFUNCTION("""COMPUTED_VALUE"""),1000.0)</f>
        <v>1000</v>
      </c>
      <c r="C1138" s="2">
        <f>IFERROR(__xludf.DUMMYFUNCTION("""COMPUTED_VALUE"""),1005.0)</f>
        <v>1005</v>
      </c>
      <c r="D1138" s="2">
        <f>IFERROR(__xludf.DUMMYFUNCTION("""COMPUTED_VALUE"""),990.0)</f>
        <v>990</v>
      </c>
      <c r="E1138" s="2">
        <f>IFERROR(__xludf.DUMMYFUNCTION("""COMPUTED_VALUE"""),995.0)</f>
        <v>995</v>
      </c>
      <c r="F1138" s="2">
        <f>IFERROR(__xludf.DUMMYFUNCTION("""COMPUTED_VALUE"""),2014300.0)</f>
        <v>2014300</v>
      </c>
      <c r="G1138" s="2">
        <f t="shared" si="1"/>
        <v>15</v>
      </c>
    </row>
    <row r="1139" ht="15.75" customHeight="1">
      <c r="A1139" s="1">
        <f>IFERROR(__xludf.DUMMYFUNCTION("""COMPUTED_VALUE"""),45547.66666666667)</f>
        <v>45547.66667</v>
      </c>
      <c r="B1139" s="2">
        <f>IFERROR(__xludf.DUMMYFUNCTION("""COMPUTED_VALUE"""),995.0)</f>
        <v>995</v>
      </c>
      <c r="C1139" s="2">
        <f>IFERROR(__xludf.DUMMYFUNCTION("""COMPUTED_VALUE"""),1000.0)</f>
        <v>1000</v>
      </c>
      <c r="D1139" s="2">
        <f>IFERROR(__xludf.DUMMYFUNCTION("""COMPUTED_VALUE"""),990.0)</f>
        <v>990</v>
      </c>
      <c r="E1139" s="2">
        <f>IFERROR(__xludf.DUMMYFUNCTION("""COMPUTED_VALUE"""),995.0)</f>
        <v>995</v>
      </c>
      <c r="F1139" s="2">
        <f>IFERROR(__xludf.DUMMYFUNCTION("""COMPUTED_VALUE"""),2568100.0)</f>
        <v>2568100</v>
      </c>
      <c r="G1139" s="2">
        <f t="shared" si="1"/>
        <v>10</v>
      </c>
    </row>
    <row r="1140" ht="15.75" customHeight="1">
      <c r="A1140" s="1">
        <f>IFERROR(__xludf.DUMMYFUNCTION("""COMPUTED_VALUE"""),45548.66666666667)</f>
        <v>45548.66667</v>
      </c>
      <c r="B1140" s="2">
        <f>IFERROR(__xludf.DUMMYFUNCTION("""COMPUTED_VALUE"""),1000.0)</f>
        <v>1000</v>
      </c>
      <c r="C1140" s="2">
        <f>IFERROR(__xludf.DUMMYFUNCTION("""COMPUTED_VALUE"""),1000.0)</f>
        <v>1000</v>
      </c>
      <c r="D1140" s="2">
        <f>IFERROR(__xludf.DUMMYFUNCTION("""COMPUTED_VALUE"""),990.0)</f>
        <v>990</v>
      </c>
      <c r="E1140" s="2">
        <f>IFERROR(__xludf.DUMMYFUNCTION("""COMPUTED_VALUE"""),995.0)</f>
        <v>995</v>
      </c>
      <c r="F1140" s="2">
        <f>IFERROR(__xludf.DUMMYFUNCTION("""COMPUTED_VALUE"""),4969500.0)</f>
        <v>4969500</v>
      </c>
      <c r="G1140" s="2">
        <f t="shared" si="1"/>
        <v>10</v>
      </c>
    </row>
    <row r="1141" ht="15.75" customHeight="1">
      <c r="A1141" s="1">
        <f>IFERROR(__xludf.DUMMYFUNCTION("""COMPUTED_VALUE"""),45552.66666666667)</f>
        <v>45552.66667</v>
      </c>
      <c r="B1141" s="2">
        <f>IFERROR(__xludf.DUMMYFUNCTION("""COMPUTED_VALUE"""),995.0)</f>
        <v>995</v>
      </c>
      <c r="C1141" s="2">
        <f>IFERROR(__xludf.DUMMYFUNCTION("""COMPUTED_VALUE"""),1000.0)</f>
        <v>1000</v>
      </c>
      <c r="D1141" s="2">
        <f>IFERROR(__xludf.DUMMYFUNCTION("""COMPUTED_VALUE"""),985.0)</f>
        <v>985</v>
      </c>
      <c r="E1141" s="2">
        <f>IFERROR(__xludf.DUMMYFUNCTION("""COMPUTED_VALUE"""),990.0)</f>
        <v>990</v>
      </c>
      <c r="F1141" s="2">
        <f>IFERROR(__xludf.DUMMYFUNCTION("""COMPUTED_VALUE"""),7893100.0)</f>
        <v>7893100</v>
      </c>
      <c r="G1141" s="2">
        <f t="shared" si="1"/>
        <v>15</v>
      </c>
    </row>
    <row r="1142" ht="15.75" customHeight="1">
      <c r="A1142" s="1">
        <f>IFERROR(__xludf.DUMMYFUNCTION("""COMPUTED_VALUE"""),45553.66666666667)</f>
        <v>45553.66667</v>
      </c>
      <c r="B1142" s="2">
        <f>IFERROR(__xludf.DUMMYFUNCTION("""COMPUTED_VALUE"""),990.0)</f>
        <v>990</v>
      </c>
      <c r="C1142" s="2">
        <f>IFERROR(__xludf.DUMMYFUNCTION("""COMPUTED_VALUE"""),1000.0)</f>
        <v>1000</v>
      </c>
      <c r="D1142" s="2">
        <f>IFERROR(__xludf.DUMMYFUNCTION("""COMPUTED_VALUE"""),990.0)</f>
        <v>990</v>
      </c>
      <c r="E1142" s="2">
        <f>IFERROR(__xludf.DUMMYFUNCTION("""COMPUTED_VALUE"""),995.0)</f>
        <v>995</v>
      </c>
      <c r="F1142" s="2">
        <f>IFERROR(__xludf.DUMMYFUNCTION("""COMPUTED_VALUE"""),2703500.0)</f>
        <v>2703500</v>
      </c>
      <c r="G1142" s="2">
        <f t="shared" si="1"/>
        <v>10</v>
      </c>
    </row>
    <row r="1143" ht="15.75" customHeight="1">
      <c r="A1143" s="1">
        <f>IFERROR(__xludf.DUMMYFUNCTION("""COMPUTED_VALUE"""),45554.66666666667)</f>
        <v>45554.66667</v>
      </c>
      <c r="B1143" s="2">
        <f>IFERROR(__xludf.DUMMYFUNCTION("""COMPUTED_VALUE"""),995.0)</f>
        <v>995</v>
      </c>
      <c r="C1143" s="2">
        <f>IFERROR(__xludf.DUMMYFUNCTION("""COMPUTED_VALUE"""),1005.0)</f>
        <v>1005</v>
      </c>
      <c r="D1143" s="2">
        <f>IFERROR(__xludf.DUMMYFUNCTION("""COMPUTED_VALUE"""),995.0)</f>
        <v>995</v>
      </c>
      <c r="E1143" s="2">
        <f>IFERROR(__xludf.DUMMYFUNCTION("""COMPUTED_VALUE"""),1000.0)</f>
        <v>1000</v>
      </c>
      <c r="F1143" s="2">
        <f>IFERROR(__xludf.DUMMYFUNCTION("""COMPUTED_VALUE"""),4025100.0)</f>
        <v>4025100</v>
      </c>
      <c r="G1143" s="2">
        <f t="shared" si="1"/>
        <v>10</v>
      </c>
    </row>
    <row r="1144" ht="15.75" customHeight="1">
      <c r="A1144" s="1">
        <f>IFERROR(__xludf.DUMMYFUNCTION("""COMPUTED_VALUE"""),45555.66666666667)</f>
        <v>45555.66667</v>
      </c>
      <c r="B1144" s="2">
        <f>IFERROR(__xludf.DUMMYFUNCTION("""COMPUTED_VALUE"""),1000.0)</f>
        <v>1000</v>
      </c>
      <c r="C1144" s="2">
        <f>IFERROR(__xludf.DUMMYFUNCTION("""COMPUTED_VALUE"""),1000.0)</f>
        <v>1000</v>
      </c>
      <c r="D1144" s="2">
        <f>IFERROR(__xludf.DUMMYFUNCTION("""COMPUTED_VALUE"""),995.0)</f>
        <v>995</v>
      </c>
      <c r="E1144" s="2">
        <f>IFERROR(__xludf.DUMMYFUNCTION("""COMPUTED_VALUE"""),995.0)</f>
        <v>995</v>
      </c>
      <c r="F1144" s="2">
        <f>IFERROR(__xludf.DUMMYFUNCTION("""COMPUTED_VALUE"""),2755500.0)</f>
        <v>2755500</v>
      </c>
      <c r="G1144" s="2">
        <f t="shared" si="1"/>
        <v>5</v>
      </c>
    </row>
    <row r="1145" ht="15.75" customHeight="1">
      <c r="A1145" s="1">
        <f>IFERROR(__xludf.DUMMYFUNCTION("""COMPUTED_VALUE"""),45558.66666666667)</f>
        <v>45558.66667</v>
      </c>
      <c r="B1145" s="2">
        <f>IFERROR(__xludf.DUMMYFUNCTION("""COMPUTED_VALUE"""),1000.0)</f>
        <v>1000</v>
      </c>
      <c r="C1145" s="2">
        <f>IFERROR(__xludf.DUMMYFUNCTION("""COMPUTED_VALUE"""),1000.0)</f>
        <v>1000</v>
      </c>
      <c r="D1145" s="2">
        <f>IFERROR(__xludf.DUMMYFUNCTION("""COMPUTED_VALUE"""),990.0)</f>
        <v>990</v>
      </c>
      <c r="E1145" s="2">
        <f>IFERROR(__xludf.DUMMYFUNCTION("""COMPUTED_VALUE"""),995.0)</f>
        <v>995</v>
      </c>
      <c r="F1145" s="2">
        <f>IFERROR(__xludf.DUMMYFUNCTION("""COMPUTED_VALUE"""),6485800.0)</f>
        <v>6485800</v>
      </c>
      <c r="G1145" s="2">
        <f t="shared" si="1"/>
        <v>10</v>
      </c>
    </row>
    <row r="1146" ht="15.75" customHeight="1">
      <c r="A1146" s="1">
        <f>IFERROR(__xludf.DUMMYFUNCTION("""COMPUTED_VALUE"""),45559.66666666667)</f>
        <v>45559.66667</v>
      </c>
      <c r="B1146" s="2">
        <f>IFERROR(__xludf.DUMMYFUNCTION("""COMPUTED_VALUE"""),995.0)</f>
        <v>995</v>
      </c>
      <c r="C1146" s="2">
        <f>IFERROR(__xludf.DUMMYFUNCTION("""COMPUTED_VALUE"""),1000.0)</f>
        <v>1000</v>
      </c>
      <c r="D1146" s="2">
        <f>IFERROR(__xludf.DUMMYFUNCTION("""COMPUTED_VALUE"""),985.0)</f>
        <v>985</v>
      </c>
      <c r="E1146" s="2">
        <f>IFERROR(__xludf.DUMMYFUNCTION("""COMPUTED_VALUE"""),990.0)</f>
        <v>990</v>
      </c>
      <c r="F1146" s="2">
        <f>IFERROR(__xludf.DUMMYFUNCTION("""COMPUTED_VALUE"""),1.23658E7)</f>
        <v>12365800</v>
      </c>
      <c r="G1146" s="2">
        <f t="shared" si="1"/>
        <v>15</v>
      </c>
    </row>
    <row r="1147" ht="15.75" customHeight="1">
      <c r="A1147" s="1">
        <f>IFERROR(__xludf.DUMMYFUNCTION("""COMPUTED_VALUE"""),45560.66666666667)</f>
        <v>45560.66667</v>
      </c>
      <c r="B1147" s="2">
        <f>IFERROR(__xludf.DUMMYFUNCTION("""COMPUTED_VALUE"""),990.0)</f>
        <v>990</v>
      </c>
      <c r="C1147" s="2">
        <f>IFERROR(__xludf.DUMMYFUNCTION("""COMPUTED_VALUE"""),995.0)</f>
        <v>995</v>
      </c>
      <c r="D1147" s="2">
        <f>IFERROR(__xludf.DUMMYFUNCTION("""COMPUTED_VALUE"""),970.0)</f>
        <v>970</v>
      </c>
      <c r="E1147" s="2">
        <f>IFERROR(__xludf.DUMMYFUNCTION("""COMPUTED_VALUE"""),980.0)</f>
        <v>980</v>
      </c>
      <c r="F1147" s="2">
        <f>IFERROR(__xludf.DUMMYFUNCTION("""COMPUTED_VALUE"""),2.49312E7)</f>
        <v>24931200</v>
      </c>
      <c r="G1147" s="2">
        <f t="shared" si="1"/>
        <v>25</v>
      </c>
    </row>
    <row r="1148" ht="15.75" customHeight="1">
      <c r="A1148" s="1">
        <f>IFERROR(__xludf.DUMMYFUNCTION("""COMPUTED_VALUE"""),45561.66666666667)</f>
        <v>45561.66667</v>
      </c>
      <c r="B1148" s="2">
        <f>IFERROR(__xludf.DUMMYFUNCTION("""COMPUTED_VALUE"""),980.0)</f>
        <v>980</v>
      </c>
      <c r="C1148" s="2">
        <f>IFERROR(__xludf.DUMMYFUNCTION("""COMPUTED_VALUE"""),985.0)</f>
        <v>985</v>
      </c>
      <c r="D1148" s="2">
        <f>IFERROR(__xludf.DUMMYFUNCTION("""COMPUTED_VALUE"""),975.0)</f>
        <v>975</v>
      </c>
      <c r="E1148" s="2">
        <f>IFERROR(__xludf.DUMMYFUNCTION("""COMPUTED_VALUE"""),980.0)</f>
        <v>980</v>
      </c>
      <c r="F1148" s="2">
        <f>IFERROR(__xludf.DUMMYFUNCTION("""COMPUTED_VALUE"""),5063800.0)</f>
        <v>5063800</v>
      </c>
      <c r="G1148" s="2">
        <f t="shared" si="1"/>
        <v>10</v>
      </c>
    </row>
    <row r="1149" ht="15.75" customHeight="1">
      <c r="A1149" s="1">
        <f>IFERROR(__xludf.DUMMYFUNCTION("""COMPUTED_VALUE"""),45562.66666666667)</f>
        <v>45562.66667</v>
      </c>
      <c r="B1149" s="2">
        <f>IFERROR(__xludf.DUMMYFUNCTION("""COMPUTED_VALUE"""),975.0)</f>
        <v>975</v>
      </c>
      <c r="C1149" s="2">
        <f>IFERROR(__xludf.DUMMYFUNCTION("""COMPUTED_VALUE"""),980.0)</f>
        <v>980</v>
      </c>
      <c r="D1149" s="2">
        <f>IFERROR(__xludf.DUMMYFUNCTION("""COMPUTED_VALUE"""),960.0)</f>
        <v>960</v>
      </c>
      <c r="E1149" s="2">
        <f>IFERROR(__xludf.DUMMYFUNCTION("""COMPUTED_VALUE"""),975.0)</f>
        <v>975</v>
      </c>
      <c r="F1149" s="2">
        <f>IFERROR(__xludf.DUMMYFUNCTION("""COMPUTED_VALUE"""),1.14687E7)</f>
        <v>11468700</v>
      </c>
      <c r="G1149" s="2">
        <f t="shared" si="1"/>
        <v>20</v>
      </c>
    </row>
    <row r="1150" ht="15.75" customHeight="1">
      <c r="A1150" s="1">
        <f>IFERROR(__xludf.DUMMYFUNCTION("""COMPUTED_VALUE"""),45565.66666666667)</f>
        <v>45565.66667</v>
      </c>
      <c r="B1150" s="2">
        <f>IFERROR(__xludf.DUMMYFUNCTION("""COMPUTED_VALUE"""),985.0)</f>
        <v>985</v>
      </c>
      <c r="C1150" s="2">
        <f>IFERROR(__xludf.DUMMYFUNCTION("""COMPUTED_VALUE"""),985.0)</f>
        <v>985</v>
      </c>
      <c r="D1150" s="2">
        <f>IFERROR(__xludf.DUMMYFUNCTION("""COMPUTED_VALUE"""),960.0)</f>
        <v>960</v>
      </c>
      <c r="E1150" s="2">
        <f>IFERROR(__xludf.DUMMYFUNCTION("""COMPUTED_VALUE"""),965.0)</f>
        <v>965</v>
      </c>
      <c r="F1150" s="2">
        <f>IFERROR(__xludf.DUMMYFUNCTION("""COMPUTED_VALUE"""),4904800.0)</f>
        <v>4904800</v>
      </c>
      <c r="G1150" s="2">
        <f t="shared" si="1"/>
        <v>25</v>
      </c>
    </row>
    <row r="1151" ht="15.75" customHeight="1">
      <c r="A1151" s="1">
        <f>IFERROR(__xludf.DUMMYFUNCTION("""COMPUTED_VALUE"""),45566.66666666667)</f>
        <v>45566.66667</v>
      </c>
      <c r="B1151" s="2">
        <f>IFERROR(__xludf.DUMMYFUNCTION("""COMPUTED_VALUE"""),965.0)</f>
        <v>965</v>
      </c>
      <c r="C1151" s="2">
        <f>IFERROR(__xludf.DUMMYFUNCTION("""COMPUTED_VALUE"""),975.0)</f>
        <v>975</v>
      </c>
      <c r="D1151" s="2">
        <f>IFERROR(__xludf.DUMMYFUNCTION("""COMPUTED_VALUE"""),965.0)</f>
        <v>965</v>
      </c>
      <c r="E1151" s="2">
        <f>IFERROR(__xludf.DUMMYFUNCTION("""COMPUTED_VALUE"""),970.0)</f>
        <v>970</v>
      </c>
      <c r="F1151" s="2">
        <f>IFERROR(__xludf.DUMMYFUNCTION("""COMPUTED_VALUE"""),3192900.0)</f>
        <v>3192900</v>
      </c>
      <c r="G1151" s="2">
        <f t="shared" si="1"/>
        <v>10</v>
      </c>
    </row>
    <row r="1152" ht="15.75" customHeight="1">
      <c r="A1152" s="1">
        <f>IFERROR(__xludf.DUMMYFUNCTION("""COMPUTED_VALUE"""),45567.66666666667)</f>
        <v>45567.66667</v>
      </c>
      <c r="B1152" s="2">
        <f>IFERROR(__xludf.DUMMYFUNCTION("""COMPUTED_VALUE"""),970.0)</f>
        <v>970</v>
      </c>
      <c r="C1152" s="2">
        <f>IFERROR(__xludf.DUMMYFUNCTION("""COMPUTED_VALUE"""),975.0)</f>
        <v>975</v>
      </c>
      <c r="D1152" s="2">
        <f>IFERROR(__xludf.DUMMYFUNCTION("""COMPUTED_VALUE"""),965.0)</f>
        <v>965</v>
      </c>
      <c r="E1152" s="2">
        <f>IFERROR(__xludf.DUMMYFUNCTION("""COMPUTED_VALUE"""),965.0)</f>
        <v>965</v>
      </c>
      <c r="F1152" s="2">
        <f>IFERROR(__xludf.DUMMYFUNCTION("""COMPUTED_VALUE"""),1799700.0)</f>
        <v>1799700</v>
      </c>
      <c r="G1152" s="2">
        <f t="shared" si="1"/>
        <v>10</v>
      </c>
    </row>
    <row r="1153" ht="15.75" customHeight="1">
      <c r="A1153" s="1">
        <f>IFERROR(__xludf.DUMMYFUNCTION("""COMPUTED_VALUE"""),45568.66666666667)</f>
        <v>45568.66667</v>
      </c>
      <c r="B1153" s="2">
        <f>IFERROR(__xludf.DUMMYFUNCTION("""COMPUTED_VALUE"""),970.0)</f>
        <v>970</v>
      </c>
      <c r="C1153" s="2">
        <f>IFERROR(__xludf.DUMMYFUNCTION("""COMPUTED_VALUE"""),970.0)</f>
        <v>970</v>
      </c>
      <c r="D1153" s="2">
        <f>IFERROR(__xludf.DUMMYFUNCTION("""COMPUTED_VALUE"""),960.0)</f>
        <v>960</v>
      </c>
      <c r="E1153" s="2">
        <f>IFERROR(__xludf.DUMMYFUNCTION("""COMPUTED_VALUE"""),965.0)</f>
        <v>965</v>
      </c>
      <c r="F1153" s="2">
        <f>IFERROR(__xludf.DUMMYFUNCTION("""COMPUTED_VALUE"""),1747800.0)</f>
        <v>1747800</v>
      </c>
      <c r="G1153" s="2">
        <f t="shared" si="1"/>
        <v>10</v>
      </c>
    </row>
    <row r="1154" ht="15.75" customHeight="1">
      <c r="A1154" s="1">
        <f>IFERROR(__xludf.DUMMYFUNCTION("""COMPUTED_VALUE"""),45569.66666666667)</f>
        <v>45569.66667</v>
      </c>
      <c r="B1154" s="2">
        <f>IFERROR(__xludf.DUMMYFUNCTION("""COMPUTED_VALUE"""),965.0)</f>
        <v>965</v>
      </c>
      <c r="C1154" s="2">
        <f>IFERROR(__xludf.DUMMYFUNCTION("""COMPUTED_VALUE"""),970.0)</f>
        <v>970</v>
      </c>
      <c r="D1154" s="2">
        <f>IFERROR(__xludf.DUMMYFUNCTION("""COMPUTED_VALUE"""),965.0)</f>
        <v>965</v>
      </c>
      <c r="E1154" s="2">
        <f>IFERROR(__xludf.DUMMYFUNCTION("""COMPUTED_VALUE"""),970.0)</f>
        <v>970</v>
      </c>
      <c r="F1154" s="2">
        <f>IFERROR(__xludf.DUMMYFUNCTION("""COMPUTED_VALUE"""),1149100.0)</f>
        <v>1149100</v>
      </c>
      <c r="G1154" s="2">
        <f t="shared" si="1"/>
        <v>5</v>
      </c>
    </row>
    <row r="1155" ht="15.75" customHeight="1">
      <c r="A1155" s="1">
        <f>IFERROR(__xludf.DUMMYFUNCTION("""COMPUTED_VALUE"""),45572.66666666667)</f>
        <v>45572.66667</v>
      </c>
      <c r="B1155" s="2">
        <f>IFERROR(__xludf.DUMMYFUNCTION("""COMPUTED_VALUE"""),970.0)</f>
        <v>970</v>
      </c>
      <c r="C1155" s="2">
        <f>IFERROR(__xludf.DUMMYFUNCTION("""COMPUTED_VALUE"""),975.0)</f>
        <v>975</v>
      </c>
      <c r="D1155" s="2">
        <f>IFERROR(__xludf.DUMMYFUNCTION("""COMPUTED_VALUE"""),965.0)</f>
        <v>965</v>
      </c>
      <c r="E1155" s="2">
        <f>IFERROR(__xludf.DUMMYFUNCTION("""COMPUTED_VALUE"""),975.0)</f>
        <v>975</v>
      </c>
      <c r="F1155" s="2">
        <f>IFERROR(__xludf.DUMMYFUNCTION("""COMPUTED_VALUE"""),1969000.0)</f>
        <v>1969000</v>
      </c>
      <c r="G1155" s="2">
        <f t="shared" si="1"/>
        <v>10</v>
      </c>
    </row>
    <row r="1156" ht="15.75" customHeight="1">
      <c r="A1156" s="1">
        <f>IFERROR(__xludf.DUMMYFUNCTION("""COMPUTED_VALUE"""),45573.66666666667)</f>
        <v>45573.66667</v>
      </c>
      <c r="B1156" s="2">
        <f>IFERROR(__xludf.DUMMYFUNCTION("""COMPUTED_VALUE"""),975.0)</f>
        <v>975</v>
      </c>
      <c r="C1156" s="2">
        <f>IFERROR(__xludf.DUMMYFUNCTION("""COMPUTED_VALUE"""),980.0)</f>
        <v>980</v>
      </c>
      <c r="D1156" s="2">
        <f>IFERROR(__xludf.DUMMYFUNCTION("""COMPUTED_VALUE"""),965.0)</f>
        <v>965</v>
      </c>
      <c r="E1156" s="2">
        <f>IFERROR(__xludf.DUMMYFUNCTION("""COMPUTED_VALUE"""),980.0)</f>
        <v>980</v>
      </c>
      <c r="F1156" s="2">
        <f>IFERROR(__xludf.DUMMYFUNCTION("""COMPUTED_VALUE"""),3229300.0)</f>
        <v>3229300</v>
      </c>
      <c r="G1156" s="2">
        <f t="shared" si="1"/>
        <v>15</v>
      </c>
    </row>
    <row r="1157" ht="15.75" customHeight="1">
      <c r="A1157" s="1">
        <f>IFERROR(__xludf.DUMMYFUNCTION("""COMPUTED_VALUE"""),45574.66666666667)</f>
        <v>45574.66667</v>
      </c>
      <c r="B1157" s="2">
        <f>IFERROR(__xludf.DUMMYFUNCTION("""COMPUTED_VALUE"""),980.0)</f>
        <v>980</v>
      </c>
      <c r="C1157" s="2">
        <f>IFERROR(__xludf.DUMMYFUNCTION("""COMPUTED_VALUE"""),985.0)</f>
        <v>985</v>
      </c>
      <c r="D1157" s="2">
        <f>IFERROR(__xludf.DUMMYFUNCTION("""COMPUTED_VALUE"""),975.0)</f>
        <v>975</v>
      </c>
      <c r="E1157" s="2">
        <f>IFERROR(__xludf.DUMMYFUNCTION("""COMPUTED_VALUE"""),975.0)</f>
        <v>975</v>
      </c>
      <c r="F1157" s="2">
        <f>IFERROR(__xludf.DUMMYFUNCTION("""COMPUTED_VALUE"""),3032600.0)</f>
        <v>3032600</v>
      </c>
      <c r="G1157" s="2">
        <f t="shared" si="1"/>
        <v>10</v>
      </c>
    </row>
    <row r="1158" ht="15.75" customHeight="1">
      <c r="A1158" s="1">
        <f>IFERROR(__xludf.DUMMYFUNCTION("""COMPUTED_VALUE"""),45575.66666666667)</f>
        <v>45575.66667</v>
      </c>
      <c r="B1158" s="2">
        <f>IFERROR(__xludf.DUMMYFUNCTION("""COMPUTED_VALUE"""),975.0)</f>
        <v>975</v>
      </c>
      <c r="C1158" s="2">
        <f>IFERROR(__xludf.DUMMYFUNCTION("""COMPUTED_VALUE"""),980.0)</f>
        <v>980</v>
      </c>
      <c r="D1158" s="2">
        <f>IFERROR(__xludf.DUMMYFUNCTION("""COMPUTED_VALUE"""),970.0)</f>
        <v>970</v>
      </c>
      <c r="E1158" s="2">
        <f>IFERROR(__xludf.DUMMYFUNCTION("""COMPUTED_VALUE"""),975.0)</f>
        <v>975</v>
      </c>
      <c r="F1158" s="2">
        <f>IFERROR(__xludf.DUMMYFUNCTION("""COMPUTED_VALUE"""),1022000.0)</f>
        <v>1022000</v>
      </c>
      <c r="G1158" s="2">
        <f t="shared" si="1"/>
        <v>10</v>
      </c>
    </row>
    <row r="1159" ht="15.75" customHeight="1">
      <c r="A1159" s="1">
        <f>IFERROR(__xludf.DUMMYFUNCTION("""COMPUTED_VALUE"""),45576.66666666667)</f>
        <v>45576.66667</v>
      </c>
      <c r="B1159" s="2">
        <f>IFERROR(__xludf.DUMMYFUNCTION("""COMPUTED_VALUE"""),980.0)</f>
        <v>980</v>
      </c>
      <c r="C1159" s="2">
        <f>IFERROR(__xludf.DUMMYFUNCTION("""COMPUTED_VALUE"""),980.0)</f>
        <v>980</v>
      </c>
      <c r="D1159" s="2">
        <f>IFERROR(__xludf.DUMMYFUNCTION("""COMPUTED_VALUE"""),970.0)</f>
        <v>970</v>
      </c>
      <c r="E1159" s="2">
        <f>IFERROR(__xludf.DUMMYFUNCTION("""COMPUTED_VALUE"""),975.0)</f>
        <v>975</v>
      </c>
      <c r="F1159" s="2">
        <f>IFERROR(__xludf.DUMMYFUNCTION("""COMPUTED_VALUE"""),630200.0)</f>
        <v>630200</v>
      </c>
      <c r="G1159" s="2">
        <f t="shared" si="1"/>
        <v>10</v>
      </c>
    </row>
    <row r="1160" ht="15.75" customHeight="1">
      <c r="A1160" s="1">
        <f>IFERROR(__xludf.DUMMYFUNCTION("""COMPUTED_VALUE"""),45579.66666666667)</f>
        <v>45579.66667</v>
      </c>
      <c r="B1160" s="2">
        <f>IFERROR(__xludf.DUMMYFUNCTION("""COMPUTED_VALUE"""),975.0)</f>
        <v>975</v>
      </c>
      <c r="C1160" s="2">
        <f>IFERROR(__xludf.DUMMYFUNCTION("""COMPUTED_VALUE"""),980.0)</f>
        <v>980</v>
      </c>
      <c r="D1160" s="2">
        <f>IFERROR(__xludf.DUMMYFUNCTION("""COMPUTED_VALUE"""),975.0)</f>
        <v>975</v>
      </c>
      <c r="E1160" s="2">
        <f>IFERROR(__xludf.DUMMYFUNCTION("""COMPUTED_VALUE"""),980.0)</f>
        <v>980</v>
      </c>
      <c r="F1160" s="2">
        <f>IFERROR(__xludf.DUMMYFUNCTION("""COMPUTED_VALUE"""),725600.0)</f>
        <v>725600</v>
      </c>
      <c r="G1160" s="2">
        <f t="shared" si="1"/>
        <v>5</v>
      </c>
    </row>
    <row r="1161" ht="15.75" customHeight="1">
      <c r="A1161" s="1">
        <f>IFERROR(__xludf.DUMMYFUNCTION("""COMPUTED_VALUE"""),45580.66666666667)</f>
        <v>45580.66667</v>
      </c>
      <c r="B1161" s="2">
        <f>IFERROR(__xludf.DUMMYFUNCTION("""COMPUTED_VALUE"""),980.0)</f>
        <v>980</v>
      </c>
      <c r="C1161" s="2">
        <f>IFERROR(__xludf.DUMMYFUNCTION("""COMPUTED_VALUE"""),990.0)</f>
        <v>990</v>
      </c>
      <c r="D1161" s="2">
        <f>IFERROR(__xludf.DUMMYFUNCTION("""COMPUTED_VALUE"""),975.0)</f>
        <v>975</v>
      </c>
      <c r="E1161" s="2">
        <f>IFERROR(__xludf.DUMMYFUNCTION("""COMPUTED_VALUE"""),990.0)</f>
        <v>990</v>
      </c>
      <c r="F1161" s="2">
        <f>IFERROR(__xludf.DUMMYFUNCTION("""COMPUTED_VALUE"""),5575400.0)</f>
        <v>5575400</v>
      </c>
      <c r="G1161" s="2">
        <f t="shared" si="1"/>
        <v>15</v>
      </c>
    </row>
    <row r="1162" ht="15.75" customHeight="1">
      <c r="A1162" s="1">
        <f>IFERROR(__xludf.DUMMYFUNCTION("""COMPUTED_VALUE"""),45581.66666666667)</f>
        <v>45581.66667</v>
      </c>
      <c r="B1162" s="2">
        <f>IFERROR(__xludf.DUMMYFUNCTION("""COMPUTED_VALUE"""),990.0)</f>
        <v>990</v>
      </c>
      <c r="C1162" s="2">
        <f>IFERROR(__xludf.DUMMYFUNCTION("""COMPUTED_VALUE"""),990.0)</f>
        <v>990</v>
      </c>
      <c r="D1162" s="2">
        <f>IFERROR(__xludf.DUMMYFUNCTION("""COMPUTED_VALUE"""),980.0)</f>
        <v>980</v>
      </c>
      <c r="E1162" s="2">
        <f>IFERROR(__xludf.DUMMYFUNCTION("""COMPUTED_VALUE"""),990.0)</f>
        <v>990</v>
      </c>
      <c r="F1162" s="2">
        <f>IFERROR(__xludf.DUMMYFUNCTION("""COMPUTED_VALUE"""),1628000.0)</f>
        <v>1628000</v>
      </c>
      <c r="G1162" s="2">
        <f t="shared" si="1"/>
        <v>10</v>
      </c>
    </row>
    <row r="1163" ht="15.75" customHeight="1">
      <c r="A1163" s="1">
        <f>IFERROR(__xludf.DUMMYFUNCTION("""COMPUTED_VALUE"""),45582.66666666667)</f>
        <v>45582.66667</v>
      </c>
      <c r="B1163" s="2">
        <f>IFERROR(__xludf.DUMMYFUNCTION("""COMPUTED_VALUE"""),990.0)</f>
        <v>990</v>
      </c>
      <c r="C1163" s="2">
        <f>IFERROR(__xludf.DUMMYFUNCTION("""COMPUTED_VALUE"""),995.0)</f>
        <v>995</v>
      </c>
      <c r="D1163" s="2">
        <f>IFERROR(__xludf.DUMMYFUNCTION("""COMPUTED_VALUE"""),985.0)</f>
        <v>985</v>
      </c>
      <c r="E1163" s="2">
        <f>IFERROR(__xludf.DUMMYFUNCTION("""COMPUTED_VALUE"""),985.0)</f>
        <v>985</v>
      </c>
      <c r="F1163" s="2">
        <f>IFERROR(__xludf.DUMMYFUNCTION("""COMPUTED_VALUE"""),2568700.0)</f>
        <v>2568700</v>
      </c>
      <c r="G1163" s="2">
        <f t="shared" si="1"/>
        <v>10</v>
      </c>
    </row>
    <row r="1164" ht="15.75" customHeight="1">
      <c r="A1164" s="1">
        <f>IFERROR(__xludf.DUMMYFUNCTION("""COMPUTED_VALUE"""),45583.66666666667)</f>
        <v>45583.66667</v>
      </c>
      <c r="B1164" s="2">
        <f>IFERROR(__xludf.DUMMYFUNCTION("""COMPUTED_VALUE"""),985.0)</f>
        <v>985</v>
      </c>
      <c r="C1164" s="2">
        <f>IFERROR(__xludf.DUMMYFUNCTION("""COMPUTED_VALUE"""),990.0)</f>
        <v>990</v>
      </c>
      <c r="D1164" s="2">
        <f>IFERROR(__xludf.DUMMYFUNCTION("""COMPUTED_VALUE"""),980.0)</f>
        <v>980</v>
      </c>
      <c r="E1164" s="2">
        <f>IFERROR(__xludf.DUMMYFUNCTION("""COMPUTED_VALUE"""),985.0)</f>
        <v>985</v>
      </c>
      <c r="F1164" s="2">
        <f>IFERROR(__xludf.DUMMYFUNCTION("""COMPUTED_VALUE"""),1687500.0)</f>
        <v>1687500</v>
      </c>
      <c r="G1164" s="2">
        <f t="shared" si="1"/>
        <v>10</v>
      </c>
    </row>
    <row r="1165" ht="15.75" customHeight="1">
      <c r="A1165" s="1">
        <f>IFERROR(__xludf.DUMMYFUNCTION("""COMPUTED_VALUE"""),45586.66666666667)</f>
        <v>45586.66667</v>
      </c>
      <c r="B1165" s="2">
        <f>IFERROR(__xludf.DUMMYFUNCTION("""COMPUTED_VALUE"""),985.0)</f>
        <v>985</v>
      </c>
      <c r="C1165" s="2">
        <f>IFERROR(__xludf.DUMMYFUNCTION("""COMPUTED_VALUE"""),990.0)</f>
        <v>990</v>
      </c>
      <c r="D1165" s="2">
        <f>IFERROR(__xludf.DUMMYFUNCTION("""COMPUTED_VALUE"""),975.0)</f>
        <v>975</v>
      </c>
      <c r="E1165" s="2">
        <f>IFERROR(__xludf.DUMMYFUNCTION("""COMPUTED_VALUE"""),975.0)</f>
        <v>975</v>
      </c>
      <c r="F1165" s="2">
        <f>IFERROR(__xludf.DUMMYFUNCTION("""COMPUTED_VALUE"""),2687500.0)</f>
        <v>2687500</v>
      </c>
      <c r="G1165" s="2">
        <f t="shared" si="1"/>
        <v>15</v>
      </c>
    </row>
    <row r="1166" ht="15.75" customHeight="1">
      <c r="A1166" s="1">
        <f>IFERROR(__xludf.DUMMYFUNCTION("""COMPUTED_VALUE"""),45587.66666666667)</f>
        <v>45587.66667</v>
      </c>
      <c r="B1166" s="2">
        <f>IFERROR(__xludf.DUMMYFUNCTION("""COMPUTED_VALUE"""),980.0)</f>
        <v>980</v>
      </c>
      <c r="C1166" s="2">
        <f>IFERROR(__xludf.DUMMYFUNCTION("""COMPUTED_VALUE"""),990.0)</f>
        <v>990</v>
      </c>
      <c r="D1166" s="2">
        <f>IFERROR(__xludf.DUMMYFUNCTION("""COMPUTED_VALUE"""),975.0)</f>
        <v>975</v>
      </c>
      <c r="E1166" s="2">
        <f>IFERROR(__xludf.DUMMYFUNCTION("""COMPUTED_VALUE"""),990.0)</f>
        <v>990</v>
      </c>
      <c r="F1166" s="2">
        <f>IFERROR(__xludf.DUMMYFUNCTION("""COMPUTED_VALUE"""),4864700.0)</f>
        <v>4864700</v>
      </c>
      <c r="G1166" s="2">
        <f t="shared" si="1"/>
        <v>15</v>
      </c>
    </row>
    <row r="1167" ht="15.75" customHeight="1">
      <c r="A1167" s="1">
        <f>IFERROR(__xludf.DUMMYFUNCTION("""COMPUTED_VALUE"""),45588.66666666667)</f>
        <v>45588.66667</v>
      </c>
      <c r="B1167" s="2">
        <f>IFERROR(__xludf.DUMMYFUNCTION("""COMPUTED_VALUE"""),990.0)</f>
        <v>990</v>
      </c>
      <c r="C1167" s="2">
        <f>IFERROR(__xludf.DUMMYFUNCTION("""COMPUTED_VALUE"""),990.0)</f>
        <v>990</v>
      </c>
      <c r="D1167" s="2">
        <f>IFERROR(__xludf.DUMMYFUNCTION("""COMPUTED_VALUE"""),980.0)</f>
        <v>980</v>
      </c>
      <c r="E1167" s="2">
        <f>IFERROR(__xludf.DUMMYFUNCTION("""COMPUTED_VALUE"""),990.0)</f>
        <v>990</v>
      </c>
      <c r="F1167" s="2">
        <f>IFERROR(__xludf.DUMMYFUNCTION("""COMPUTED_VALUE"""),1790800.0)</f>
        <v>1790800</v>
      </c>
      <c r="G1167" s="2">
        <f t="shared" si="1"/>
        <v>10</v>
      </c>
    </row>
    <row r="1168" ht="15.75" customHeight="1">
      <c r="A1168" s="1">
        <f>IFERROR(__xludf.DUMMYFUNCTION("""COMPUTED_VALUE"""),45589.66666666667)</f>
        <v>45589.66667</v>
      </c>
      <c r="B1168" s="2">
        <f>IFERROR(__xludf.DUMMYFUNCTION("""COMPUTED_VALUE"""),985.0)</f>
        <v>985</v>
      </c>
      <c r="C1168" s="2">
        <f>IFERROR(__xludf.DUMMYFUNCTION("""COMPUTED_VALUE"""),990.0)</f>
        <v>990</v>
      </c>
      <c r="D1168" s="2">
        <f>IFERROR(__xludf.DUMMYFUNCTION("""COMPUTED_VALUE"""),975.0)</f>
        <v>975</v>
      </c>
      <c r="E1168" s="2">
        <f>IFERROR(__xludf.DUMMYFUNCTION("""COMPUTED_VALUE"""),985.0)</f>
        <v>985</v>
      </c>
      <c r="F1168" s="2">
        <f>IFERROR(__xludf.DUMMYFUNCTION("""COMPUTED_VALUE"""),1896900.0)</f>
        <v>1896900</v>
      </c>
      <c r="G1168" s="2">
        <f t="shared" si="1"/>
        <v>15</v>
      </c>
    </row>
    <row r="1169" ht="15.75" customHeight="1">
      <c r="A1169" s="1">
        <f>IFERROR(__xludf.DUMMYFUNCTION("""COMPUTED_VALUE"""),45590.66666666667)</f>
        <v>45590.66667</v>
      </c>
      <c r="B1169" s="2">
        <f>IFERROR(__xludf.DUMMYFUNCTION("""COMPUTED_VALUE"""),985.0)</f>
        <v>985</v>
      </c>
      <c r="C1169" s="2">
        <f>IFERROR(__xludf.DUMMYFUNCTION("""COMPUTED_VALUE"""),985.0)</f>
        <v>985</v>
      </c>
      <c r="D1169" s="2">
        <f>IFERROR(__xludf.DUMMYFUNCTION("""COMPUTED_VALUE"""),975.0)</f>
        <v>975</v>
      </c>
      <c r="E1169" s="2">
        <f>IFERROR(__xludf.DUMMYFUNCTION("""COMPUTED_VALUE"""),980.0)</f>
        <v>980</v>
      </c>
      <c r="F1169" s="2">
        <f>IFERROR(__xludf.DUMMYFUNCTION("""COMPUTED_VALUE"""),1912500.0)</f>
        <v>1912500</v>
      </c>
      <c r="G1169" s="2">
        <f t="shared" si="1"/>
        <v>10</v>
      </c>
    </row>
    <row r="1170" ht="15.75" customHeight="1">
      <c r="A1170" s="1">
        <f>IFERROR(__xludf.DUMMYFUNCTION("""COMPUTED_VALUE"""),45593.66666666667)</f>
        <v>45593.66667</v>
      </c>
      <c r="B1170" s="2">
        <f>IFERROR(__xludf.DUMMYFUNCTION("""COMPUTED_VALUE"""),985.0)</f>
        <v>985</v>
      </c>
      <c r="C1170" s="2">
        <f>IFERROR(__xludf.DUMMYFUNCTION("""COMPUTED_VALUE"""),990.0)</f>
        <v>990</v>
      </c>
      <c r="D1170" s="2">
        <f>IFERROR(__xludf.DUMMYFUNCTION("""COMPUTED_VALUE"""),965.0)</f>
        <v>965</v>
      </c>
      <c r="E1170" s="2">
        <f>IFERROR(__xludf.DUMMYFUNCTION("""COMPUTED_VALUE"""),970.0)</f>
        <v>970</v>
      </c>
      <c r="F1170" s="2">
        <f>IFERROR(__xludf.DUMMYFUNCTION("""COMPUTED_VALUE"""),3283500.0)</f>
        <v>3283500</v>
      </c>
      <c r="G1170" s="2">
        <f t="shared" si="1"/>
        <v>25</v>
      </c>
    </row>
    <row r="1171" ht="15.75" customHeight="1">
      <c r="A1171" s="1">
        <f>IFERROR(__xludf.DUMMYFUNCTION("""COMPUTED_VALUE"""),45594.66666666667)</f>
        <v>45594.66667</v>
      </c>
      <c r="B1171" s="2">
        <f>IFERROR(__xludf.DUMMYFUNCTION("""COMPUTED_VALUE"""),970.0)</f>
        <v>970</v>
      </c>
      <c r="C1171" s="2">
        <f>IFERROR(__xludf.DUMMYFUNCTION("""COMPUTED_VALUE"""),975.0)</f>
        <v>975</v>
      </c>
      <c r="D1171" s="2">
        <f>IFERROR(__xludf.DUMMYFUNCTION("""COMPUTED_VALUE"""),965.0)</f>
        <v>965</v>
      </c>
      <c r="E1171" s="2">
        <f>IFERROR(__xludf.DUMMYFUNCTION("""COMPUTED_VALUE"""),975.0)</f>
        <v>975</v>
      </c>
      <c r="F1171" s="2">
        <f>IFERROR(__xludf.DUMMYFUNCTION("""COMPUTED_VALUE"""),2489800.0)</f>
        <v>2489800</v>
      </c>
      <c r="G1171" s="2">
        <f t="shared" si="1"/>
        <v>10</v>
      </c>
    </row>
    <row r="1172" ht="15.75" customHeight="1">
      <c r="A1172" s="1">
        <f>IFERROR(__xludf.DUMMYFUNCTION("""COMPUTED_VALUE"""),45595.66666666667)</f>
        <v>45595.66667</v>
      </c>
      <c r="B1172" s="2">
        <f>IFERROR(__xludf.DUMMYFUNCTION("""COMPUTED_VALUE"""),975.0)</f>
        <v>975</v>
      </c>
      <c r="C1172" s="2">
        <f>IFERROR(__xludf.DUMMYFUNCTION("""COMPUTED_VALUE"""),980.0)</f>
        <v>980</v>
      </c>
      <c r="D1172" s="2">
        <f>IFERROR(__xludf.DUMMYFUNCTION("""COMPUTED_VALUE"""),965.0)</f>
        <v>965</v>
      </c>
      <c r="E1172" s="2">
        <f>IFERROR(__xludf.DUMMYFUNCTION("""COMPUTED_VALUE"""),975.0)</f>
        <v>975</v>
      </c>
      <c r="F1172" s="2">
        <f>IFERROR(__xludf.DUMMYFUNCTION("""COMPUTED_VALUE"""),3505100.0)</f>
        <v>3505100</v>
      </c>
      <c r="G1172" s="2">
        <f t="shared" si="1"/>
        <v>15</v>
      </c>
    </row>
    <row r="1173" ht="15.75" customHeight="1">
      <c r="A1173" s="1">
        <f>IFERROR(__xludf.DUMMYFUNCTION("""COMPUTED_VALUE"""),45596.66666666667)</f>
        <v>45596.66667</v>
      </c>
      <c r="B1173" s="2">
        <f>IFERROR(__xludf.DUMMYFUNCTION("""COMPUTED_VALUE"""),975.0)</f>
        <v>975</v>
      </c>
      <c r="C1173" s="2">
        <f>IFERROR(__xludf.DUMMYFUNCTION("""COMPUTED_VALUE"""),980.0)</f>
        <v>980</v>
      </c>
      <c r="D1173" s="2">
        <f>IFERROR(__xludf.DUMMYFUNCTION("""COMPUTED_VALUE"""),965.0)</f>
        <v>965</v>
      </c>
      <c r="E1173" s="2">
        <f>IFERROR(__xludf.DUMMYFUNCTION("""COMPUTED_VALUE"""),980.0)</f>
        <v>980</v>
      </c>
      <c r="F1173" s="2">
        <f>IFERROR(__xludf.DUMMYFUNCTION("""COMPUTED_VALUE"""),2242400.0)</f>
        <v>2242400</v>
      </c>
      <c r="G1173" s="2">
        <f t="shared" si="1"/>
        <v>15</v>
      </c>
    </row>
    <row r="1174" ht="15.75" customHeight="1">
      <c r="A1174" s="1">
        <f>IFERROR(__xludf.DUMMYFUNCTION("""COMPUTED_VALUE"""),45597.66666666667)</f>
        <v>45597.66667</v>
      </c>
      <c r="B1174" s="2">
        <f>IFERROR(__xludf.DUMMYFUNCTION("""COMPUTED_VALUE"""),980.0)</f>
        <v>980</v>
      </c>
      <c r="C1174" s="2">
        <f>IFERROR(__xludf.DUMMYFUNCTION("""COMPUTED_VALUE"""),980.0)</f>
        <v>980</v>
      </c>
      <c r="D1174" s="2">
        <f>IFERROR(__xludf.DUMMYFUNCTION("""COMPUTED_VALUE"""),965.0)</f>
        <v>965</v>
      </c>
      <c r="E1174" s="2">
        <f>IFERROR(__xludf.DUMMYFUNCTION("""COMPUTED_VALUE"""),965.0)</f>
        <v>965</v>
      </c>
      <c r="F1174" s="2">
        <f>IFERROR(__xludf.DUMMYFUNCTION("""COMPUTED_VALUE"""),3706200.0)</f>
        <v>3706200</v>
      </c>
      <c r="G1174" s="2">
        <f t="shared" si="1"/>
        <v>15</v>
      </c>
    </row>
    <row r="1175" ht="15.75" customHeight="1">
      <c r="A1175" s="1">
        <f>IFERROR(__xludf.DUMMYFUNCTION("""COMPUTED_VALUE"""),45600.66666666667)</f>
        <v>45600.66667</v>
      </c>
      <c r="B1175" s="2">
        <f>IFERROR(__xludf.DUMMYFUNCTION("""COMPUTED_VALUE"""),975.0)</f>
        <v>975</v>
      </c>
      <c r="C1175" s="2">
        <f>IFERROR(__xludf.DUMMYFUNCTION("""COMPUTED_VALUE"""),975.0)</f>
        <v>975</v>
      </c>
      <c r="D1175" s="2">
        <f>IFERROR(__xludf.DUMMYFUNCTION("""COMPUTED_VALUE"""),955.0)</f>
        <v>955</v>
      </c>
      <c r="E1175" s="2">
        <f>IFERROR(__xludf.DUMMYFUNCTION("""COMPUTED_VALUE"""),965.0)</f>
        <v>965</v>
      </c>
      <c r="F1175" s="2">
        <f>IFERROR(__xludf.DUMMYFUNCTION("""COMPUTED_VALUE"""),4564400.0)</f>
        <v>4564400</v>
      </c>
      <c r="G1175" s="2">
        <f t="shared" si="1"/>
        <v>20</v>
      </c>
    </row>
    <row r="1176" ht="15.75" customHeight="1">
      <c r="A1176" s="1">
        <f>IFERROR(__xludf.DUMMYFUNCTION("""COMPUTED_VALUE"""),45601.66666666667)</f>
        <v>45601.66667</v>
      </c>
      <c r="B1176" s="2">
        <f>IFERROR(__xludf.DUMMYFUNCTION("""COMPUTED_VALUE"""),965.0)</f>
        <v>965</v>
      </c>
      <c r="C1176" s="2">
        <f>IFERROR(__xludf.DUMMYFUNCTION("""COMPUTED_VALUE"""),975.0)</f>
        <v>975</v>
      </c>
      <c r="D1176" s="2">
        <f>IFERROR(__xludf.DUMMYFUNCTION("""COMPUTED_VALUE"""),960.0)</f>
        <v>960</v>
      </c>
      <c r="E1176" s="2">
        <f>IFERROR(__xludf.DUMMYFUNCTION("""COMPUTED_VALUE"""),970.0)</f>
        <v>970</v>
      </c>
      <c r="F1176" s="2">
        <f>IFERROR(__xludf.DUMMYFUNCTION("""COMPUTED_VALUE"""),2477700.0)</f>
        <v>2477700</v>
      </c>
      <c r="G1176" s="2">
        <f t="shared" si="1"/>
        <v>15</v>
      </c>
    </row>
    <row r="1177" ht="15.75" customHeight="1">
      <c r="A1177" s="1">
        <f>IFERROR(__xludf.DUMMYFUNCTION("""COMPUTED_VALUE"""),45602.66666666667)</f>
        <v>45602.66667</v>
      </c>
      <c r="B1177" s="2">
        <f>IFERROR(__xludf.DUMMYFUNCTION("""COMPUTED_VALUE"""),965.0)</f>
        <v>965</v>
      </c>
      <c r="C1177" s="2">
        <f>IFERROR(__xludf.DUMMYFUNCTION("""COMPUTED_VALUE"""),970.0)</f>
        <v>970</v>
      </c>
      <c r="D1177" s="2">
        <f>IFERROR(__xludf.DUMMYFUNCTION("""COMPUTED_VALUE"""),960.0)</f>
        <v>960</v>
      </c>
      <c r="E1177" s="2">
        <f>IFERROR(__xludf.DUMMYFUNCTION("""COMPUTED_VALUE"""),965.0)</f>
        <v>965</v>
      </c>
      <c r="F1177" s="2">
        <f>IFERROR(__xludf.DUMMYFUNCTION("""COMPUTED_VALUE"""),2824100.0)</f>
        <v>2824100</v>
      </c>
      <c r="G1177" s="2">
        <f t="shared" si="1"/>
        <v>10</v>
      </c>
    </row>
    <row r="1178" ht="15.75" customHeight="1">
      <c r="A1178" s="1">
        <f>IFERROR(__xludf.DUMMYFUNCTION("""COMPUTED_VALUE"""),45603.66666666667)</f>
        <v>45603.66667</v>
      </c>
      <c r="B1178" s="2">
        <f>IFERROR(__xludf.DUMMYFUNCTION("""COMPUTED_VALUE"""),960.0)</f>
        <v>960</v>
      </c>
      <c r="C1178" s="2">
        <f>IFERROR(__xludf.DUMMYFUNCTION("""COMPUTED_VALUE"""),970.0)</f>
        <v>970</v>
      </c>
      <c r="D1178" s="2">
        <f>IFERROR(__xludf.DUMMYFUNCTION("""COMPUTED_VALUE"""),955.0)</f>
        <v>955</v>
      </c>
      <c r="E1178" s="2">
        <f>IFERROR(__xludf.DUMMYFUNCTION("""COMPUTED_VALUE"""),960.0)</f>
        <v>960</v>
      </c>
      <c r="F1178" s="2">
        <f>IFERROR(__xludf.DUMMYFUNCTION("""COMPUTED_VALUE"""),2971600.0)</f>
        <v>2971600</v>
      </c>
      <c r="G1178" s="2">
        <f t="shared" si="1"/>
        <v>15</v>
      </c>
    </row>
    <row r="1179" ht="15.75" customHeight="1">
      <c r="A1179" s="1">
        <f>IFERROR(__xludf.DUMMYFUNCTION("""COMPUTED_VALUE"""),45604.66666666667)</f>
        <v>45604.66667</v>
      </c>
      <c r="B1179" s="2">
        <f>IFERROR(__xludf.DUMMYFUNCTION("""COMPUTED_VALUE"""),960.0)</f>
        <v>960</v>
      </c>
      <c r="C1179" s="2">
        <f>IFERROR(__xludf.DUMMYFUNCTION("""COMPUTED_VALUE"""),965.0)</f>
        <v>965</v>
      </c>
      <c r="D1179" s="2">
        <f>IFERROR(__xludf.DUMMYFUNCTION("""COMPUTED_VALUE"""),955.0)</f>
        <v>955</v>
      </c>
      <c r="E1179" s="2">
        <f>IFERROR(__xludf.DUMMYFUNCTION("""COMPUTED_VALUE"""),960.0)</f>
        <v>960</v>
      </c>
      <c r="F1179" s="2">
        <f>IFERROR(__xludf.DUMMYFUNCTION("""COMPUTED_VALUE"""),4009400.0)</f>
        <v>4009400</v>
      </c>
      <c r="G1179" s="2">
        <f t="shared" si="1"/>
        <v>10</v>
      </c>
    </row>
    <row r="1180" ht="15.75" customHeight="1">
      <c r="A1180" s="1">
        <f>IFERROR(__xludf.DUMMYFUNCTION("""COMPUTED_VALUE"""),45607.66666666667)</f>
        <v>45607.66667</v>
      </c>
      <c r="B1180" s="2">
        <f>IFERROR(__xludf.DUMMYFUNCTION("""COMPUTED_VALUE"""),960.0)</f>
        <v>960</v>
      </c>
      <c r="C1180" s="2">
        <f>IFERROR(__xludf.DUMMYFUNCTION("""COMPUTED_VALUE"""),960.0)</f>
        <v>960</v>
      </c>
      <c r="D1180" s="2">
        <f>IFERROR(__xludf.DUMMYFUNCTION("""COMPUTED_VALUE"""),940.0)</f>
        <v>940</v>
      </c>
      <c r="E1180" s="2">
        <f>IFERROR(__xludf.DUMMYFUNCTION("""COMPUTED_VALUE"""),945.0)</f>
        <v>945</v>
      </c>
      <c r="F1180" s="2">
        <f>IFERROR(__xludf.DUMMYFUNCTION("""COMPUTED_VALUE"""),6927400.0)</f>
        <v>6927400</v>
      </c>
      <c r="G1180" s="2">
        <f t="shared" si="1"/>
        <v>20</v>
      </c>
    </row>
    <row r="1181" ht="15.75" customHeight="1">
      <c r="A1181" s="1">
        <f>IFERROR(__xludf.DUMMYFUNCTION("""COMPUTED_VALUE"""),45608.66666666667)</f>
        <v>45608.66667</v>
      </c>
      <c r="B1181" s="2">
        <f>IFERROR(__xludf.DUMMYFUNCTION("""COMPUTED_VALUE"""),950.0)</f>
        <v>950</v>
      </c>
      <c r="C1181" s="2">
        <f>IFERROR(__xludf.DUMMYFUNCTION("""COMPUTED_VALUE"""),960.0)</f>
        <v>960</v>
      </c>
      <c r="D1181" s="2">
        <f>IFERROR(__xludf.DUMMYFUNCTION("""COMPUTED_VALUE"""),945.0)</f>
        <v>945</v>
      </c>
      <c r="E1181" s="2">
        <f>IFERROR(__xludf.DUMMYFUNCTION("""COMPUTED_VALUE"""),945.0)</f>
        <v>945</v>
      </c>
      <c r="F1181" s="2">
        <f>IFERROR(__xludf.DUMMYFUNCTION("""COMPUTED_VALUE"""),3786400.0)</f>
        <v>3786400</v>
      </c>
      <c r="G1181" s="2">
        <f t="shared" si="1"/>
        <v>15</v>
      </c>
    </row>
    <row r="1182" ht="15.75" customHeight="1">
      <c r="A1182" s="1">
        <f>IFERROR(__xludf.DUMMYFUNCTION("""COMPUTED_VALUE"""),45609.66666666667)</f>
        <v>45609.66667</v>
      </c>
      <c r="B1182" s="2">
        <f>IFERROR(__xludf.DUMMYFUNCTION("""COMPUTED_VALUE"""),945.0)</f>
        <v>945</v>
      </c>
      <c r="C1182" s="2">
        <f>IFERROR(__xludf.DUMMYFUNCTION("""COMPUTED_VALUE"""),955.0)</f>
        <v>955</v>
      </c>
      <c r="D1182" s="2">
        <f>IFERROR(__xludf.DUMMYFUNCTION("""COMPUTED_VALUE"""),945.0)</f>
        <v>945</v>
      </c>
      <c r="E1182" s="2">
        <f>IFERROR(__xludf.DUMMYFUNCTION("""COMPUTED_VALUE"""),950.0)</f>
        <v>950</v>
      </c>
      <c r="F1182" s="2">
        <f>IFERROR(__xludf.DUMMYFUNCTION("""COMPUTED_VALUE"""),2051500.0)</f>
        <v>2051500</v>
      </c>
      <c r="G1182" s="2">
        <f t="shared" si="1"/>
        <v>10</v>
      </c>
    </row>
    <row r="1183" ht="15.75" customHeight="1">
      <c r="A1183" s="1">
        <f>IFERROR(__xludf.DUMMYFUNCTION("""COMPUTED_VALUE"""),45610.66666666667)</f>
        <v>45610.66667</v>
      </c>
      <c r="B1183" s="2">
        <f>IFERROR(__xludf.DUMMYFUNCTION("""COMPUTED_VALUE"""),950.0)</f>
        <v>950</v>
      </c>
      <c r="C1183" s="2">
        <f>IFERROR(__xludf.DUMMYFUNCTION("""COMPUTED_VALUE"""),955.0)</f>
        <v>955</v>
      </c>
      <c r="D1183" s="2">
        <f>IFERROR(__xludf.DUMMYFUNCTION("""COMPUTED_VALUE"""),945.0)</f>
        <v>945</v>
      </c>
      <c r="E1183" s="2">
        <f>IFERROR(__xludf.DUMMYFUNCTION("""COMPUTED_VALUE"""),955.0)</f>
        <v>955</v>
      </c>
      <c r="F1183" s="2">
        <f>IFERROR(__xludf.DUMMYFUNCTION("""COMPUTED_VALUE"""),960200.0)</f>
        <v>960200</v>
      </c>
      <c r="G1183" s="2">
        <f t="shared" si="1"/>
        <v>10</v>
      </c>
    </row>
    <row r="1184" ht="15.75" customHeight="1">
      <c r="A1184" s="1">
        <f>IFERROR(__xludf.DUMMYFUNCTION("""COMPUTED_VALUE"""),45611.66666666667)</f>
        <v>45611.66667</v>
      </c>
      <c r="B1184" s="2">
        <f>IFERROR(__xludf.DUMMYFUNCTION("""COMPUTED_VALUE"""),955.0)</f>
        <v>955</v>
      </c>
      <c r="C1184" s="2">
        <f>IFERROR(__xludf.DUMMYFUNCTION("""COMPUTED_VALUE"""),960.0)</f>
        <v>960</v>
      </c>
      <c r="D1184" s="2">
        <f>IFERROR(__xludf.DUMMYFUNCTION("""COMPUTED_VALUE"""),940.0)</f>
        <v>940</v>
      </c>
      <c r="E1184" s="2">
        <f>IFERROR(__xludf.DUMMYFUNCTION("""COMPUTED_VALUE"""),945.0)</f>
        <v>945</v>
      </c>
      <c r="F1184" s="2">
        <f>IFERROR(__xludf.DUMMYFUNCTION("""COMPUTED_VALUE"""),2518800.0)</f>
        <v>2518800</v>
      </c>
      <c r="G1184" s="2">
        <f t="shared" si="1"/>
        <v>20</v>
      </c>
    </row>
    <row r="1185" ht="15.75" customHeight="1">
      <c r="A1185" s="1">
        <f>IFERROR(__xludf.DUMMYFUNCTION("""COMPUTED_VALUE"""),45614.66666666667)</f>
        <v>45614.66667</v>
      </c>
      <c r="B1185" s="2">
        <f>IFERROR(__xludf.DUMMYFUNCTION("""COMPUTED_VALUE"""),950.0)</f>
        <v>950</v>
      </c>
      <c r="C1185" s="2">
        <f>IFERROR(__xludf.DUMMYFUNCTION("""COMPUTED_VALUE"""),950.0)</f>
        <v>950</v>
      </c>
      <c r="D1185" s="2">
        <f>IFERROR(__xludf.DUMMYFUNCTION("""COMPUTED_VALUE"""),940.0)</f>
        <v>940</v>
      </c>
      <c r="E1185" s="2">
        <f>IFERROR(__xludf.DUMMYFUNCTION("""COMPUTED_VALUE"""),940.0)</f>
        <v>940</v>
      </c>
      <c r="F1185" s="2">
        <f>IFERROR(__xludf.DUMMYFUNCTION("""COMPUTED_VALUE"""),2584200.0)</f>
        <v>2584200</v>
      </c>
      <c r="G1185" s="2">
        <f t="shared" si="1"/>
        <v>10</v>
      </c>
    </row>
    <row r="1186" ht="15.75" customHeight="1">
      <c r="A1186" s="1">
        <f>IFERROR(__xludf.DUMMYFUNCTION("""COMPUTED_VALUE"""),45615.66666666667)</f>
        <v>45615.66667</v>
      </c>
      <c r="B1186" s="2">
        <f>IFERROR(__xludf.DUMMYFUNCTION("""COMPUTED_VALUE"""),940.0)</f>
        <v>940</v>
      </c>
      <c r="C1186" s="2">
        <f>IFERROR(__xludf.DUMMYFUNCTION("""COMPUTED_VALUE"""),950.0)</f>
        <v>950</v>
      </c>
      <c r="D1186" s="2">
        <f>IFERROR(__xludf.DUMMYFUNCTION("""COMPUTED_VALUE"""),940.0)</f>
        <v>940</v>
      </c>
      <c r="E1186" s="2">
        <f>IFERROR(__xludf.DUMMYFUNCTION("""COMPUTED_VALUE"""),950.0)</f>
        <v>950</v>
      </c>
      <c r="F1186" s="2">
        <f>IFERROR(__xludf.DUMMYFUNCTION("""COMPUTED_VALUE"""),765500.0)</f>
        <v>765500</v>
      </c>
      <c r="G1186" s="2">
        <f t="shared" si="1"/>
        <v>10</v>
      </c>
    </row>
    <row r="1187" ht="15.75" customHeight="1">
      <c r="A1187" s="1">
        <f>IFERROR(__xludf.DUMMYFUNCTION("""COMPUTED_VALUE"""),45616.66666666667)</f>
        <v>45616.66667</v>
      </c>
      <c r="B1187" s="2">
        <f>IFERROR(__xludf.DUMMYFUNCTION("""COMPUTED_VALUE"""),950.0)</f>
        <v>950</v>
      </c>
      <c r="C1187" s="2">
        <f>IFERROR(__xludf.DUMMYFUNCTION("""COMPUTED_VALUE"""),955.0)</f>
        <v>955</v>
      </c>
      <c r="D1187" s="2">
        <f>IFERROR(__xludf.DUMMYFUNCTION("""COMPUTED_VALUE"""),945.0)</f>
        <v>945</v>
      </c>
      <c r="E1187" s="2">
        <f>IFERROR(__xludf.DUMMYFUNCTION("""COMPUTED_VALUE"""),945.0)</f>
        <v>945</v>
      </c>
      <c r="F1187" s="2">
        <f>IFERROR(__xludf.DUMMYFUNCTION("""COMPUTED_VALUE"""),638200.0)</f>
        <v>638200</v>
      </c>
      <c r="G1187" s="2">
        <f t="shared" si="1"/>
        <v>10</v>
      </c>
    </row>
    <row r="1188" ht="15.75" customHeight="1">
      <c r="A1188" s="1">
        <f>IFERROR(__xludf.DUMMYFUNCTION("""COMPUTED_VALUE"""),45617.66666666667)</f>
        <v>45617.66667</v>
      </c>
      <c r="B1188" s="2">
        <f>IFERROR(__xludf.DUMMYFUNCTION("""COMPUTED_VALUE"""),945.0)</f>
        <v>945</v>
      </c>
      <c r="C1188" s="2">
        <f>IFERROR(__xludf.DUMMYFUNCTION("""COMPUTED_VALUE"""),950.0)</f>
        <v>950</v>
      </c>
      <c r="D1188" s="2">
        <f>IFERROR(__xludf.DUMMYFUNCTION("""COMPUTED_VALUE"""),940.0)</f>
        <v>940</v>
      </c>
      <c r="E1188" s="2">
        <f>IFERROR(__xludf.DUMMYFUNCTION("""COMPUTED_VALUE"""),940.0)</f>
        <v>940</v>
      </c>
      <c r="F1188" s="2">
        <f>IFERROR(__xludf.DUMMYFUNCTION("""COMPUTED_VALUE"""),2137200.0)</f>
        <v>2137200</v>
      </c>
      <c r="G1188" s="2">
        <f t="shared" si="1"/>
        <v>10</v>
      </c>
    </row>
    <row r="1189" ht="15.75" customHeight="1">
      <c r="A1189" s="1">
        <f>IFERROR(__xludf.DUMMYFUNCTION("""COMPUTED_VALUE"""),45618.66666666667)</f>
        <v>45618.66667</v>
      </c>
      <c r="B1189" s="2">
        <f>IFERROR(__xludf.DUMMYFUNCTION("""COMPUTED_VALUE"""),945.0)</f>
        <v>945</v>
      </c>
      <c r="C1189" s="2">
        <f>IFERROR(__xludf.DUMMYFUNCTION("""COMPUTED_VALUE"""),950.0)</f>
        <v>950</v>
      </c>
      <c r="D1189" s="2">
        <f>IFERROR(__xludf.DUMMYFUNCTION("""COMPUTED_VALUE"""),940.0)</f>
        <v>940</v>
      </c>
      <c r="E1189" s="2">
        <f>IFERROR(__xludf.DUMMYFUNCTION("""COMPUTED_VALUE"""),950.0)</f>
        <v>950</v>
      </c>
      <c r="F1189" s="2">
        <f>IFERROR(__xludf.DUMMYFUNCTION("""COMPUTED_VALUE"""),1066800.0)</f>
        <v>1066800</v>
      </c>
      <c r="G1189" s="2">
        <f t="shared" si="1"/>
        <v>10</v>
      </c>
    </row>
    <row r="1190" ht="15.75" customHeight="1">
      <c r="A1190" s="1">
        <f>IFERROR(__xludf.DUMMYFUNCTION("""COMPUTED_VALUE"""),45621.66666666667)</f>
        <v>45621.66667</v>
      </c>
      <c r="B1190" s="2">
        <f>IFERROR(__xludf.DUMMYFUNCTION("""COMPUTED_VALUE"""),950.0)</f>
        <v>950</v>
      </c>
      <c r="C1190" s="2">
        <f>IFERROR(__xludf.DUMMYFUNCTION("""COMPUTED_VALUE"""),965.0)</f>
        <v>965</v>
      </c>
      <c r="D1190" s="2">
        <f>IFERROR(__xludf.DUMMYFUNCTION("""COMPUTED_VALUE"""),945.0)</f>
        <v>945</v>
      </c>
      <c r="E1190" s="2">
        <f>IFERROR(__xludf.DUMMYFUNCTION("""COMPUTED_VALUE"""),960.0)</f>
        <v>960</v>
      </c>
      <c r="F1190" s="2">
        <f>IFERROR(__xludf.DUMMYFUNCTION("""COMPUTED_VALUE"""),2923000.0)</f>
        <v>2923000</v>
      </c>
      <c r="G1190" s="2">
        <f t="shared" si="1"/>
        <v>20</v>
      </c>
    </row>
    <row r="1191" ht="15.75" customHeight="1">
      <c r="A1191" s="1">
        <f>IFERROR(__xludf.DUMMYFUNCTION("""COMPUTED_VALUE"""),45622.66666666667)</f>
        <v>45622.66667</v>
      </c>
      <c r="B1191" s="2">
        <f>IFERROR(__xludf.DUMMYFUNCTION("""COMPUTED_VALUE"""),960.0)</f>
        <v>960</v>
      </c>
      <c r="C1191" s="2">
        <f>IFERROR(__xludf.DUMMYFUNCTION("""COMPUTED_VALUE"""),1005.0)</f>
        <v>1005</v>
      </c>
      <c r="D1191" s="2">
        <f>IFERROR(__xludf.DUMMYFUNCTION("""COMPUTED_VALUE"""),950.0)</f>
        <v>950</v>
      </c>
      <c r="E1191" s="2">
        <f>IFERROR(__xludf.DUMMYFUNCTION("""COMPUTED_VALUE"""),955.0)</f>
        <v>955</v>
      </c>
      <c r="F1191" s="2">
        <f>IFERROR(__xludf.DUMMYFUNCTION("""COMPUTED_VALUE"""),1750200.0)</f>
        <v>1750200</v>
      </c>
      <c r="G1191" s="2">
        <f t="shared" si="1"/>
        <v>55</v>
      </c>
    </row>
    <row r="1192" ht="15.75" customHeight="1">
      <c r="A1192" s="1">
        <f>IFERROR(__xludf.DUMMYFUNCTION("""COMPUTED_VALUE"""),45624.66666666667)</f>
        <v>45624.66667</v>
      </c>
      <c r="B1192" s="2">
        <f>IFERROR(__xludf.DUMMYFUNCTION("""COMPUTED_VALUE"""),955.0)</f>
        <v>955</v>
      </c>
      <c r="C1192" s="2">
        <f>IFERROR(__xludf.DUMMYFUNCTION("""COMPUTED_VALUE"""),960.0)</f>
        <v>960</v>
      </c>
      <c r="D1192" s="2">
        <f>IFERROR(__xludf.DUMMYFUNCTION("""COMPUTED_VALUE"""),950.0)</f>
        <v>950</v>
      </c>
      <c r="E1192" s="2">
        <f>IFERROR(__xludf.DUMMYFUNCTION("""COMPUTED_VALUE"""),950.0)</f>
        <v>950</v>
      </c>
      <c r="F1192" s="2">
        <f>IFERROR(__xludf.DUMMYFUNCTION("""COMPUTED_VALUE"""),588100.0)</f>
        <v>588100</v>
      </c>
      <c r="G1192" s="2">
        <f t="shared" si="1"/>
        <v>10</v>
      </c>
    </row>
    <row r="1193" ht="15.75" customHeight="1">
      <c r="A1193" s="1">
        <f>IFERROR(__xludf.DUMMYFUNCTION("""COMPUTED_VALUE"""),45625.66666666667)</f>
        <v>45625.66667</v>
      </c>
      <c r="B1193" s="2">
        <f>IFERROR(__xludf.DUMMYFUNCTION("""COMPUTED_VALUE"""),960.0)</f>
        <v>960</v>
      </c>
      <c r="C1193" s="2">
        <f>IFERROR(__xludf.DUMMYFUNCTION("""COMPUTED_VALUE"""),960.0)</f>
        <v>960</v>
      </c>
      <c r="D1193" s="2">
        <f>IFERROR(__xludf.DUMMYFUNCTION("""COMPUTED_VALUE"""),940.0)</f>
        <v>940</v>
      </c>
      <c r="E1193" s="2">
        <f>IFERROR(__xludf.DUMMYFUNCTION("""COMPUTED_VALUE"""),940.0)</f>
        <v>940</v>
      </c>
      <c r="F1193" s="2">
        <f>IFERROR(__xludf.DUMMYFUNCTION("""COMPUTED_VALUE"""),2866700.0)</f>
        <v>2866700</v>
      </c>
      <c r="G1193" s="2">
        <f t="shared" si="1"/>
        <v>20</v>
      </c>
    </row>
    <row r="1194" ht="15.75" customHeight="1">
      <c r="A1194" s="1">
        <f>IFERROR(__xludf.DUMMYFUNCTION("""COMPUTED_VALUE"""),45628.66666666667)</f>
        <v>45628.66667</v>
      </c>
      <c r="B1194" s="2">
        <f>IFERROR(__xludf.DUMMYFUNCTION("""COMPUTED_VALUE"""),945.0)</f>
        <v>945</v>
      </c>
      <c r="C1194" s="2">
        <f>IFERROR(__xludf.DUMMYFUNCTION("""COMPUTED_VALUE"""),950.0)</f>
        <v>950</v>
      </c>
      <c r="D1194" s="2">
        <f>IFERROR(__xludf.DUMMYFUNCTION("""COMPUTED_VALUE"""),935.0)</f>
        <v>935</v>
      </c>
      <c r="E1194" s="2">
        <f>IFERROR(__xludf.DUMMYFUNCTION("""COMPUTED_VALUE"""),940.0)</f>
        <v>940</v>
      </c>
      <c r="F1194" s="2">
        <f>IFERROR(__xludf.DUMMYFUNCTION("""COMPUTED_VALUE"""),2775100.0)</f>
        <v>2775100</v>
      </c>
      <c r="G1194" s="2">
        <f t="shared" si="1"/>
        <v>15</v>
      </c>
    </row>
    <row r="1195" ht="15.75" customHeight="1">
      <c r="A1195" s="1">
        <f>IFERROR(__xludf.DUMMYFUNCTION("""COMPUTED_VALUE"""),45629.66666666667)</f>
        <v>45629.66667</v>
      </c>
      <c r="B1195" s="2">
        <f>IFERROR(__xludf.DUMMYFUNCTION("""COMPUTED_VALUE"""),940.0)</f>
        <v>940</v>
      </c>
      <c r="C1195" s="2">
        <f>IFERROR(__xludf.DUMMYFUNCTION("""COMPUTED_VALUE"""),945.0)</f>
        <v>945</v>
      </c>
      <c r="D1195" s="2">
        <f>IFERROR(__xludf.DUMMYFUNCTION("""COMPUTED_VALUE"""),930.0)</f>
        <v>930</v>
      </c>
      <c r="E1195" s="2">
        <f>IFERROR(__xludf.DUMMYFUNCTION("""COMPUTED_VALUE"""),940.0)</f>
        <v>940</v>
      </c>
      <c r="F1195" s="2">
        <f>IFERROR(__xludf.DUMMYFUNCTION("""COMPUTED_VALUE"""),1936200.0)</f>
        <v>1936200</v>
      </c>
      <c r="G1195" s="2">
        <f t="shared" si="1"/>
        <v>15</v>
      </c>
    </row>
    <row r="1196" ht="15.75" customHeight="1">
      <c r="A1196" s="1">
        <f>IFERROR(__xludf.DUMMYFUNCTION("""COMPUTED_VALUE"""),45630.66666666667)</f>
        <v>45630.66667</v>
      </c>
      <c r="B1196" s="2">
        <f>IFERROR(__xludf.DUMMYFUNCTION("""COMPUTED_VALUE"""),940.0)</f>
        <v>940</v>
      </c>
      <c r="C1196" s="2">
        <f>IFERROR(__xludf.DUMMYFUNCTION("""COMPUTED_VALUE"""),950.0)</f>
        <v>950</v>
      </c>
      <c r="D1196" s="2">
        <f>IFERROR(__xludf.DUMMYFUNCTION("""COMPUTED_VALUE"""),935.0)</f>
        <v>935</v>
      </c>
      <c r="E1196" s="2">
        <f>IFERROR(__xludf.DUMMYFUNCTION("""COMPUTED_VALUE"""),940.0)</f>
        <v>940</v>
      </c>
      <c r="F1196" s="2">
        <f>IFERROR(__xludf.DUMMYFUNCTION("""COMPUTED_VALUE"""),3583900.0)</f>
        <v>3583900</v>
      </c>
      <c r="G1196" s="2">
        <f t="shared" si="1"/>
        <v>15</v>
      </c>
    </row>
    <row r="1197" ht="15.75" customHeight="1">
      <c r="A1197" s="1">
        <f>IFERROR(__xludf.DUMMYFUNCTION("""COMPUTED_VALUE"""),45631.66666666667)</f>
        <v>45631.66667</v>
      </c>
      <c r="B1197" s="2">
        <f>IFERROR(__xludf.DUMMYFUNCTION("""COMPUTED_VALUE"""),950.0)</f>
        <v>950</v>
      </c>
      <c r="C1197" s="2">
        <f>IFERROR(__xludf.DUMMYFUNCTION("""COMPUTED_VALUE"""),950.0)</f>
        <v>950</v>
      </c>
      <c r="D1197" s="2">
        <f>IFERROR(__xludf.DUMMYFUNCTION("""COMPUTED_VALUE"""),940.0)</f>
        <v>940</v>
      </c>
      <c r="E1197" s="2">
        <f>IFERROR(__xludf.DUMMYFUNCTION("""COMPUTED_VALUE"""),945.0)</f>
        <v>945</v>
      </c>
      <c r="F1197" s="2">
        <f>IFERROR(__xludf.DUMMYFUNCTION("""COMPUTED_VALUE"""),980000.0)</f>
        <v>980000</v>
      </c>
      <c r="G1197" s="2">
        <f t="shared" si="1"/>
        <v>10</v>
      </c>
    </row>
    <row r="1198" ht="15.75" customHeight="1">
      <c r="A1198" s="1">
        <f>IFERROR(__xludf.DUMMYFUNCTION("""COMPUTED_VALUE"""),45632.66666666667)</f>
        <v>45632.66667</v>
      </c>
      <c r="B1198" s="2">
        <f>IFERROR(__xludf.DUMMYFUNCTION("""COMPUTED_VALUE"""),950.0)</f>
        <v>950</v>
      </c>
      <c r="C1198" s="2">
        <f>IFERROR(__xludf.DUMMYFUNCTION("""COMPUTED_VALUE"""),950.0)</f>
        <v>950</v>
      </c>
      <c r="D1198" s="2">
        <f>IFERROR(__xludf.DUMMYFUNCTION("""COMPUTED_VALUE"""),935.0)</f>
        <v>935</v>
      </c>
      <c r="E1198" s="2">
        <f>IFERROR(__xludf.DUMMYFUNCTION("""COMPUTED_VALUE"""),940.0)</f>
        <v>940</v>
      </c>
      <c r="F1198" s="2">
        <f>IFERROR(__xludf.DUMMYFUNCTION("""COMPUTED_VALUE"""),3002700.0)</f>
        <v>3002700</v>
      </c>
      <c r="G1198" s="2">
        <f t="shared" si="1"/>
        <v>15</v>
      </c>
    </row>
    <row r="1199" ht="15.75" customHeight="1">
      <c r="A1199" s="1">
        <f>IFERROR(__xludf.DUMMYFUNCTION("""COMPUTED_VALUE"""),45635.66666666667)</f>
        <v>45635.66667</v>
      </c>
      <c r="B1199" s="2">
        <f>IFERROR(__xludf.DUMMYFUNCTION("""COMPUTED_VALUE"""),945.0)</f>
        <v>945</v>
      </c>
      <c r="C1199" s="2">
        <f>IFERROR(__xludf.DUMMYFUNCTION("""COMPUTED_VALUE"""),950.0)</f>
        <v>950</v>
      </c>
      <c r="D1199" s="2">
        <f>IFERROR(__xludf.DUMMYFUNCTION("""COMPUTED_VALUE"""),940.0)</f>
        <v>940</v>
      </c>
      <c r="E1199" s="2">
        <f>IFERROR(__xludf.DUMMYFUNCTION("""COMPUTED_VALUE"""),950.0)</f>
        <v>950</v>
      </c>
      <c r="F1199" s="2">
        <f>IFERROR(__xludf.DUMMYFUNCTION("""COMPUTED_VALUE"""),1493500.0)</f>
        <v>1493500</v>
      </c>
      <c r="G1199" s="2">
        <f t="shared" si="1"/>
        <v>10</v>
      </c>
    </row>
    <row r="1200" ht="15.75" customHeight="1">
      <c r="A1200" s="1">
        <f>IFERROR(__xludf.DUMMYFUNCTION("""COMPUTED_VALUE"""),45636.66666666667)</f>
        <v>45636.66667</v>
      </c>
      <c r="B1200" s="2">
        <f>IFERROR(__xludf.DUMMYFUNCTION("""COMPUTED_VALUE"""),950.0)</f>
        <v>950</v>
      </c>
      <c r="C1200" s="2">
        <f>IFERROR(__xludf.DUMMYFUNCTION("""COMPUTED_VALUE"""),955.0)</f>
        <v>955</v>
      </c>
      <c r="D1200" s="2">
        <f>IFERROR(__xludf.DUMMYFUNCTION("""COMPUTED_VALUE"""),945.0)</f>
        <v>945</v>
      </c>
      <c r="E1200" s="2">
        <f>IFERROR(__xludf.DUMMYFUNCTION("""COMPUTED_VALUE"""),950.0)</f>
        <v>950</v>
      </c>
      <c r="F1200" s="2">
        <f>IFERROR(__xludf.DUMMYFUNCTION("""COMPUTED_VALUE"""),1212600.0)</f>
        <v>1212600</v>
      </c>
      <c r="G1200" s="2">
        <f t="shared" si="1"/>
        <v>10</v>
      </c>
    </row>
    <row r="1201" ht="15.75" customHeight="1">
      <c r="A1201" s="1">
        <f>IFERROR(__xludf.DUMMYFUNCTION("""COMPUTED_VALUE"""),45637.66666666667)</f>
        <v>45637.66667</v>
      </c>
      <c r="B1201" s="2">
        <f>IFERROR(__xludf.DUMMYFUNCTION("""COMPUTED_VALUE"""),950.0)</f>
        <v>950</v>
      </c>
      <c r="C1201" s="2">
        <f>IFERROR(__xludf.DUMMYFUNCTION("""COMPUTED_VALUE"""),960.0)</f>
        <v>960</v>
      </c>
      <c r="D1201" s="2">
        <f>IFERROR(__xludf.DUMMYFUNCTION("""COMPUTED_VALUE"""),950.0)</f>
        <v>950</v>
      </c>
      <c r="E1201" s="2">
        <f>IFERROR(__xludf.DUMMYFUNCTION("""COMPUTED_VALUE"""),955.0)</f>
        <v>955</v>
      </c>
      <c r="F1201" s="2">
        <f>IFERROR(__xludf.DUMMYFUNCTION("""COMPUTED_VALUE"""),1231100.0)</f>
        <v>1231100</v>
      </c>
      <c r="G1201" s="2">
        <f t="shared" si="1"/>
        <v>10</v>
      </c>
    </row>
    <row r="1202" ht="15.75" customHeight="1">
      <c r="A1202" s="1">
        <f>IFERROR(__xludf.DUMMYFUNCTION("""COMPUTED_VALUE"""),45638.66666666667)</f>
        <v>45638.66667</v>
      </c>
      <c r="B1202" s="2">
        <f>IFERROR(__xludf.DUMMYFUNCTION("""COMPUTED_VALUE"""),950.0)</f>
        <v>950</v>
      </c>
      <c r="C1202" s="2">
        <f>IFERROR(__xludf.DUMMYFUNCTION("""COMPUTED_VALUE"""),960.0)</f>
        <v>960</v>
      </c>
      <c r="D1202" s="2">
        <f>IFERROR(__xludf.DUMMYFUNCTION("""COMPUTED_VALUE"""),950.0)</f>
        <v>950</v>
      </c>
      <c r="E1202" s="2">
        <f>IFERROR(__xludf.DUMMYFUNCTION("""COMPUTED_VALUE"""),955.0)</f>
        <v>955</v>
      </c>
      <c r="F1202" s="2">
        <f>IFERROR(__xludf.DUMMYFUNCTION("""COMPUTED_VALUE"""),681900.0)</f>
        <v>681900</v>
      </c>
      <c r="G1202" s="2">
        <f t="shared" si="1"/>
        <v>10</v>
      </c>
    </row>
    <row r="1203" ht="15.75" customHeight="1">
      <c r="A1203" s="1">
        <f>IFERROR(__xludf.DUMMYFUNCTION("""COMPUTED_VALUE"""),45639.66666666667)</f>
        <v>45639.66667</v>
      </c>
      <c r="B1203" s="2">
        <f>IFERROR(__xludf.DUMMYFUNCTION("""COMPUTED_VALUE"""),945.0)</f>
        <v>945</v>
      </c>
      <c r="C1203" s="2">
        <f>IFERROR(__xludf.DUMMYFUNCTION("""COMPUTED_VALUE"""),955.0)</f>
        <v>955</v>
      </c>
      <c r="D1203" s="2">
        <f>IFERROR(__xludf.DUMMYFUNCTION("""COMPUTED_VALUE"""),945.0)</f>
        <v>945</v>
      </c>
      <c r="E1203" s="2">
        <f>IFERROR(__xludf.DUMMYFUNCTION("""COMPUTED_VALUE"""),950.0)</f>
        <v>950</v>
      </c>
      <c r="F1203" s="2">
        <f>IFERROR(__xludf.DUMMYFUNCTION("""COMPUTED_VALUE"""),2695400.0)</f>
        <v>2695400</v>
      </c>
      <c r="G1203" s="2">
        <f t="shared" si="1"/>
        <v>10</v>
      </c>
    </row>
    <row r="1204" ht="15.75" customHeight="1">
      <c r="A1204" s="1">
        <f>IFERROR(__xludf.DUMMYFUNCTION("""COMPUTED_VALUE"""),45642.66666666667)</f>
        <v>45642.66667</v>
      </c>
      <c r="B1204" s="2">
        <f>IFERROR(__xludf.DUMMYFUNCTION("""COMPUTED_VALUE"""),945.0)</f>
        <v>945</v>
      </c>
      <c r="C1204" s="2">
        <f>IFERROR(__xludf.DUMMYFUNCTION("""COMPUTED_VALUE"""),950.0)</f>
        <v>950</v>
      </c>
      <c r="D1204" s="2">
        <f>IFERROR(__xludf.DUMMYFUNCTION("""COMPUTED_VALUE"""),940.0)</f>
        <v>940</v>
      </c>
      <c r="E1204" s="2">
        <f>IFERROR(__xludf.DUMMYFUNCTION("""COMPUTED_VALUE"""),945.0)</f>
        <v>945</v>
      </c>
      <c r="F1204" s="2">
        <f>IFERROR(__xludf.DUMMYFUNCTION("""COMPUTED_VALUE"""),2091800.0)</f>
        <v>2091800</v>
      </c>
      <c r="G1204" s="2">
        <f t="shared" si="1"/>
        <v>10</v>
      </c>
    </row>
    <row r="1205" ht="15.75" customHeight="1">
      <c r="A1205" s="1">
        <f>IFERROR(__xludf.DUMMYFUNCTION("""COMPUTED_VALUE"""),45643.66666666667)</f>
        <v>45643.66667</v>
      </c>
      <c r="B1205" s="2">
        <f>IFERROR(__xludf.DUMMYFUNCTION("""COMPUTED_VALUE"""),945.0)</f>
        <v>945</v>
      </c>
      <c r="C1205" s="2">
        <f>IFERROR(__xludf.DUMMYFUNCTION("""COMPUTED_VALUE"""),945.0)</f>
        <v>945</v>
      </c>
      <c r="D1205" s="2">
        <f>IFERROR(__xludf.DUMMYFUNCTION("""COMPUTED_VALUE"""),930.0)</f>
        <v>930</v>
      </c>
      <c r="E1205" s="2">
        <f>IFERROR(__xludf.DUMMYFUNCTION("""COMPUTED_VALUE"""),930.0)</f>
        <v>930</v>
      </c>
      <c r="F1205" s="2">
        <f>IFERROR(__xludf.DUMMYFUNCTION("""COMPUTED_VALUE"""),3658600.0)</f>
        <v>3658600</v>
      </c>
      <c r="G1205" s="2">
        <f t="shared" si="1"/>
        <v>15</v>
      </c>
    </row>
    <row r="1206" ht="15.75" customHeight="1">
      <c r="A1206" s="1">
        <f>IFERROR(__xludf.DUMMYFUNCTION("""COMPUTED_VALUE"""),45644.66666666667)</f>
        <v>45644.66667</v>
      </c>
      <c r="B1206" s="2">
        <f>IFERROR(__xludf.DUMMYFUNCTION("""COMPUTED_VALUE"""),930.0)</f>
        <v>930</v>
      </c>
      <c r="C1206" s="2">
        <f>IFERROR(__xludf.DUMMYFUNCTION("""COMPUTED_VALUE"""),940.0)</f>
        <v>940</v>
      </c>
      <c r="D1206" s="2">
        <f>IFERROR(__xludf.DUMMYFUNCTION("""COMPUTED_VALUE"""),925.0)</f>
        <v>925</v>
      </c>
      <c r="E1206" s="2">
        <f>IFERROR(__xludf.DUMMYFUNCTION("""COMPUTED_VALUE"""),925.0)</f>
        <v>925</v>
      </c>
      <c r="F1206" s="2">
        <f>IFERROR(__xludf.DUMMYFUNCTION("""COMPUTED_VALUE"""),2796500.0)</f>
        <v>2796500</v>
      </c>
      <c r="G1206" s="2">
        <f t="shared" si="1"/>
        <v>15</v>
      </c>
    </row>
    <row r="1207" ht="15.75" customHeight="1">
      <c r="A1207" s="1">
        <f>IFERROR(__xludf.DUMMYFUNCTION("""COMPUTED_VALUE"""),45645.66666666667)</f>
        <v>45645.66667</v>
      </c>
      <c r="B1207" s="2">
        <f>IFERROR(__xludf.DUMMYFUNCTION("""COMPUTED_VALUE"""),925.0)</f>
        <v>925</v>
      </c>
      <c r="C1207" s="2">
        <f>IFERROR(__xludf.DUMMYFUNCTION("""COMPUTED_VALUE"""),930.0)</f>
        <v>930</v>
      </c>
      <c r="D1207" s="2">
        <f>IFERROR(__xludf.DUMMYFUNCTION("""COMPUTED_VALUE"""),910.0)</f>
        <v>910</v>
      </c>
      <c r="E1207" s="2">
        <f>IFERROR(__xludf.DUMMYFUNCTION("""COMPUTED_VALUE"""),915.0)</f>
        <v>915</v>
      </c>
      <c r="F1207" s="2">
        <f>IFERROR(__xludf.DUMMYFUNCTION("""COMPUTED_VALUE"""),3234600.0)</f>
        <v>3234600</v>
      </c>
      <c r="G1207" s="2">
        <f t="shared" si="1"/>
        <v>20</v>
      </c>
    </row>
    <row r="1208" ht="15.75" customHeight="1">
      <c r="A1208" s="1">
        <f>IFERROR(__xludf.DUMMYFUNCTION("""COMPUTED_VALUE"""),45646.66666666667)</f>
        <v>45646.66667</v>
      </c>
      <c r="B1208" s="2">
        <f>IFERROR(__xludf.DUMMYFUNCTION("""COMPUTED_VALUE"""),915.0)</f>
        <v>915</v>
      </c>
      <c r="C1208" s="2">
        <f>IFERROR(__xludf.DUMMYFUNCTION("""COMPUTED_VALUE"""),920.0)</f>
        <v>920</v>
      </c>
      <c r="D1208" s="2">
        <f>IFERROR(__xludf.DUMMYFUNCTION("""COMPUTED_VALUE"""),905.0)</f>
        <v>905</v>
      </c>
      <c r="E1208" s="2">
        <f>IFERROR(__xludf.DUMMYFUNCTION("""COMPUTED_VALUE"""),905.0)</f>
        <v>905</v>
      </c>
      <c r="F1208" s="2">
        <f>IFERROR(__xludf.DUMMYFUNCTION("""COMPUTED_VALUE"""),3034600.0)</f>
        <v>3034600</v>
      </c>
      <c r="G1208" s="2">
        <f t="shared" si="1"/>
        <v>15</v>
      </c>
    </row>
    <row r="1209" ht="15.75" customHeight="1">
      <c r="A1209" s="1">
        <f>IFERROR(__xludf.DUMMYFUNCTION("""COMPUTED_VALUE"""),45649.66666666667)</f>
        <v>45649.66667</v>
      </c>
      <c r="B1209" s="2">
        <f>IFERROR(__xludf.DUMMYFUNCTION("""COMPUTED_VALUE"""),910.0)</f>
        <v>910</v>
      </c>
      <c r="C1209" s="2">
        <f>IFERROR(__xludf.DUMMYFUNCTION("""COMPUTED_VALUE"""),925.0)</f>
        <v>925</v>
      </c>
      <c r="D1209" s="2">
        <f>IFERROR(__xludf.DUMMYFUNCTION("""COMPUTED_VALUE"""),910.0)</f>
        <v>910</v>
      </c>
      <c r="E1209" s="2">
        <f>IFERROR(__xludf.DUMMYFUNCTION("""COMPUTED_VALUE"""),910.0)</f>
        <v>910</v>
      </c>
      <c r="F1209" s="2">
        <f>IFERROR(__xludf.DUMMYFUNCTION("""COMPUTED_VALUE"""),1728700.0)</f>
        <v>1728700</v>
      </c>
      <c r="G1209" s="2">
        <f t="shared" si="1"/>
        <v>20</v>
      </c>
    </row>
    <row r="1210" ht="15.75" customHeight="1">
      <c r="A1210" s="1">
        <f>IFERROR(__xludf.DUMMYFUNCTION("""COMPUTED_VALUE"""),45650.66666666667)</f>
        <v>45650.66667</v>
      </c>
      <c r="B1210" s="2">
        <f>IFERROR(__xludf.DUMMYFUNCTION("""COMPUTED_VALUE"""),910.0)</f>
        <v>910</v>
      </c>
      <c r="C1210" s="2">
        <f>IFERROR(__xludf.DUMMYFUNCTION("""COMPUTED_VALUE"""),920.0)</f>
        <v>920</v>
      </c>
      <c r="D1210" s="2">
        <f>IFERROR(__xludf.DUMMYFUNCTION("""COMPUTED_VALUE"""),905.0)</f>
        <v>905</v>
      </c>
      <c r="E1210" s="2">
        <f>IFERROR(__xludf.DUMMYFUNCTION("""COMPUTED_VALUE"""),910.0)</f>
        <v>910</v>
      </c>
      <c r="F1210" s="2">
        <f>IFERROR(__xludf.DUMMYFUNCTION("""COMPUTED_VALUE"""),1963200.0)</f>
        <v>1963200</v>
      </c>
      <c r="G1210" s="2">
        <f t="shared" si="1"/>
        <v>15</v>
      </c>
    </row>
    <row r="1211" ht="15.75" customHeight="1">
      <c r="A1211" s="1">
        <f>IFERROR(__xludf.DUMMYFUNCTION("""COMPUTED_VALUE"""),45653.66666666667)</f>
        <v>45653.66667</v>
      </c>
      <c r="B1211" s="2">
        <f>IFERROR(__xludf.DUMMYFUNCTION("""COMPUTED_VALUE"""),915.0)</f>
        <v>915</v>
      </c>
      <c r="C1211" s="2">
        <f>IFERROR(__xludf.DUMMYFUNCTION("""COMPUTED_VALUE"""),920.0)</f>
        <v>920</v>
      </c>
      <c r="D1211" s="2">
        <f>IFERROR(__xludf.DUMMYFUNCTION("""COMPUTED_VALUE"""),905.0)</f>
        <v>905</v>
      </c>
      <c r="E1211" s="2">
        <f>IFERROR(__xludf.DUMMYFUNCTION("""COMPUTED_VALUE"""),910.0)</f>
        <v>910</v>
      </c>
      <c r="F1211" s="2">
        <f>IFERROR(__xludf.DUMMYFUNCTION("""COMPUTED_VALUE"""),2084600.0)</f>
        <v>2084600</v>
      </c>
      <c r="G1211" s="2">
        <f t="shared" si="1"/>
        <v>15</v>
      </c>
    </row>
    <row r="1212" ht="15.75" customHeight="1">
      <c r="A1212" s="1">
        <f>IFERROR(__xludf.DUMMYFUNCTION("""COMPUTED_VALUE"""),45656.66666666667)</f>
        <v>45656.66667</v>
      </c>
      <c r="B1212" s="2">
        <f>IFERROR(__xludf.DUMMYFUNCTION("""COMPUTED_VALUE"""),920.0)</f>
        <v>920</v>
      </c>
      <c r="C1212" s="2">
        <f>IFERROR(__xludf.DUMMYFUNCTION("""COMPUTED_VALUE"""),920.0)</f>
        <v>920</v>
      </c>
      <c r="D1212" s="2">
        <f>IFERROR(__xludf.DUMMYFUNCTION("""COMPUTED_VALUE"""),910.0)</f>
        <v>910</v>
      </c>
      <c r="E1212" s="2">
        <f>IFERROR(__xludf.DUMMYFUNCTION("""COMPUTED_VALUE"""),910.0)</f>
        <v>910</v>
      </c>
      <c r="F1212" s="2">
        <f>IFERROR(__xludf.DUMMYFUNCTION("""COMPUTED_VALUE"""),2288500.0)</f>
        <v>2288500</v>
      </c>
      <c r="G1212" s="2">
        <f t="shared" si="1"/>
        <v>10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7" width="12.63"/>
  </cols>
  <sheetData>
    <row r="1" ht="15.75" customHeight="1">
      <c r="A1" s="1" t="str">
        <f>IFERROR(__xludf.DUMMYFUNCTION("GOOGLEFINANCE(""IDX:BJTM"", ""all"", DATE(2020,1,1), DATE(2025,1,1), ""DAILY"")
"),"Date")</f>
        <v>Date</v>
      </c>
      <c r="B1" s="2" t="str">
        <f>IFERROR(__xludf.DUMMYFUNCTION("""COMPUTED_VALUE"""),"Open")</f>
        <v>Open</v>
      </c>
      <c r="C1" s="2" t="str">
        <f>IFERROR(__xludf.DUMMYFUNCTION("""COMPUTED_VALUE"""),"High")</f>
        <v>High</v>
      </c>
      <c r="D1" s="2" t="str">
        <f>IFERROR(__xludf.DUMMYFUNCTION("""COMPUTED_VALUE"""),"Low")</f>
        <v>Low</v>
      </c>
      <c r="E1" s="2" t="str">
        <f>IFERROR(__xludf.DUMMYFUNCTION("""COMPUTED_VALUE"""),"Close")</f>
        <v>Close</v>
      </c>
      <c r="F1" s="2" t="str">
        <f>IFERROR(__xludf.DUMMYFUNCTION("""COMPUTED_VALUE"""),"Volume")</f>
        <v>Volume</v>
      </c>
      <c r="G1" s="3" t="s">
        <v>0</v>
      </c>
    </row>
    <row r="2" ht="15.75" customHeight="1">
      <c r="A2" s="1">
        <f>IFERROR(__xludf.DUMMYFUNCTION("""COMPUTED_VALUE"""),43832.66666666667)</f>
        <v>43832.66667</v>
      </c>
      <c r="B2" s="2">
        <f>IFERROR(__xludf.DUMMYFUNCTION("""COMPUTED_VALUE"""),685.0)</f>
        <v>685</v>
      </c>
      <c r="C2" s="2">
        <f>IFERROR(__xludf.DUMMYFUNCTION("""COMPUTED_VALUE"""),685.0)</f>
        <v>685</v>
      </c>
      <c r="D2" s="2">
        <f>IFERROR(__xludf.DUMMYFUNCTION("""COMPUTED_VALUE"""),680.0)</f>
        <v>680</v>
      </c>
      <c r="E2" s="2">
        <f>IFERROR(__xludf.DUMMYFUNCTION("""COMPUTED_VALUE"""),680.0)</f>
        <v>680</v>
      </c>
      <c r="F2" s="2">
        <f>IFERROR(__xludf.DUMMYFUNCTION("""COMPUTED_VALUE"""),1581400.0)</f>
        <v>1581400</v>
      </c>
      <c r="G2" s="2"/>
    </row>
    <row r="3" ht="15.75" customHeight="1">
      <c r="A3" s="1">
        <f>IFERROR(__xludf.DUMMYFUNCTION("""COMPUTED_VALUE"""),43833.66666666667)</f>
        <v>43833.66667</v>
      </c>
      <c r="B3" s="2">
        <f>IFERROR(__xludf.DUMMYFUNCTION("""COMPUTED_VALUE"""),680.0)</f>
        <v>680</v>
      </c>
      <c r="C3" s="2">
        <f>IFERROR(__xludf.DUMMYFUNCTION("""COMPUTED_VALUE"""),685.0)</f>
        <v>685</v>
      </c>
      <c r="D3" s="2">
        <f>IFERROR(__xludf.DUMMYFUNCTION("""COMPUTED_VALUE"""),680.0)</f>
        <v>680</v>
      </c>
      <c r="E3" s="2">
        <f>IFERROR(__xludf.DUMMYFUNCTION("""COMPUTED_VALUE"""),680.0)</f>
        <v>680</v>
      </c>
      <c r="F3" s="2">
        <f>IFERROR(__xludf.DUMMYFUNCTION("""COMPUTED_VALUE"""),1546300.0)</f>
        <v>1546300</v>
      </c>
      <c r="G3" s="2">
        <f t="shared" ref="G3:G1212" si="1">MAX(C3-D3, ABS(C3-E2), ABS(D3-E2))</f>
        <v>5</v>
      </c>
    </row>
    <row r="4" ht="15.75" customHeight="1">
      <c r="A4" s="1">
        <f>IFERROR(__xludf.DUMMYFUNCTION("""COMPUTED_VALUE"""),43836.66666666667)</f>
        <v>43836.66667</v>
      </c>
      <c r="B4" s="2">
        <f>IFERROR(__xludf.DUMMYFUNCTION("""COMPUTED_VALUE"""),680.0)</f>
        <v>680</v>
      </c>
      <c r="C4" s="2">
        <f>IFERROR(__xludf.DUMMYFUNCTION("""COMPUTED_VALUE"""),680.0)</f>
        <v>680</v>
      </c>
      <c r="D4" s="2">
        <f>IFERROR(__xludf.DUMMYFUNCTION("""COMPUTED_VALUE"""),675.0)</f>
        <v>675</v>
      </c>
      <c r="E4" s="2">
        <f>IFERROR(__xludf.DUMMYFUNCTION("""COMPUTED_VALUE"""),675.0)</f>
        <v>675</v>
      </c>
      <c r="F4" s="2">
        <f>IFERROR(__xludf.DUMMYFUNCTION("""COMPUTED_VALUE"""),1829000.0)</f>
        <v>1829000</v>
      </c>
      <c r="G4" s="2">
        <f t="shared" si="1"/>
        <v>5</v>
      </c>
    </row>
    <row r="5" ht="15.75" customHeight="1">
      <c r="A5" s="1">
        <f>IFERROR(__xludf.DUMMYFUNCTION("""COMPUTED_VALUE"""),43837.66666666667)</f>
        <v>43837.66667</v>
      </c>
      <c r="B5" s="2">
        <f>IFERROR(__xludf.DUMMYFUNCTION("""COMPUTED_VALUE"""),680.0)</f>
        <v>680</v>
      </c>
      <c r="C5" s="2">
        <f>IFERROR(__xludf.DUMMYFUNCTION("""COMPUTED_VALUE"""),685.0)</f>
        <v>685</v>
      </c>
      <c r="D5" s="2">
        <f>IFERROR(__xludf.DUMMYFUNCTION("""COMPUTED_VALUE"""),675.0)</f>
        <v>675</v>
      </c>
      <c r="E5" s="2">
        <f>IFERROR(__xludf.DUMMYFUNCTION("""COMPUTED_VALUE"""),680.0)</f>
        <v>680</v>
      </c>
      <c r="F5" s="2">
        <f>IFERROR(__xludf.DUMMYFUNCTION("""COMPUTED_VALUE"""),5003300.0)</f>
        <v>5003300</v>
      </c>
      <c r="G5" s="2">
        <f t="shared" si="1"/>
        <v>10</v>
      </c>
    </row>
    <row r="6" ht="15.75" customHeight="1">
      <c r="A6" s="1">
        <f>IFERROR(__xludf.DUMMYFUNCTION("""COMPUTED_VALUE"""),43838.66666666667)</f>
        <v>43838.66667</v>
      </c>
      <c r="B6" s="2">
        <f>IFERROR(__xludf.DUMMYFUNCTION("""COMPUTED_VALUE"""),680.0)</f>
        <v>680</v>
      </c>
      <c r="C6" s="2">
        <f>IFERROR(__xludf.DUMMYFUNCTION("""COMPUTED_VALUE"""),680.0)</f>
        <v>680</v>
      </c>
      <c r="D6" s="2">
        <f>IFERROR(__xludf.DUMMYFUNCTION("""COMPUTED_VALUE"""),670.0)</f>
        <v>670</v>
      </c>
      <c r="E6" s="2">
        <f>IFERROR(__xludf.DUMMYFUNCTION("""COMPUTED_VALUE"""),675.0)</f>
        <v>675</v>
      </c>
      <c r="F6" s="2">
        <f>IFERROR(__xludf.DUMMYFUNCTION("""COMPUTED_VALUE"""),3867500.0)</f>
        <v>3867500</v>
      </c>
      <c r="G6" s="2">
        <f t="shared" si="1"/>
        <v>10</v>
      </c>
    </row>
    <row r="7" ht="15.75" customHeight="1">
      <c r="A7" s="1">
        <f>IFERROR(__xludf.DUMMYFUNCTION("""COMPUTED_VALUE"""),43839.66666666667)</f>
        <v>43839.66667</v>
      </c>
      <c r="B7" s="2">
        <f>IFERROR(__xludf.DUMMYFUNCTION("""COMPUTED_VALUE"""),675.0)</f>
        <v>675</v>
      </c>
      <c r="C7" s="2">
        <f>IFERROR(__xludf.DUMMYFUNCTION("""COMPUTED_VALUE"""),680.0)</f>
        <v>680</v>
      </c>
      <c r="D7" s="2">
        <f>IFERROR(__xludf.DUMMYFUNCTION("""COMPUTED_VALUE"""),670.0)</f>
        <v>670</v>
      </c>
      <c r="E7" s="2">
        <f>IFERROR(__xludf.DUMMYFUNCTION("""COMPUTED_VALUE"""),675.0)</f>
        <v>675</v>
      </c>
      <c r="F7" s="2">
        <f>IFERROR(__xludf.DUMMYFUNCTION("""COMPUTED_VALUE"""),4218900.0)</f>
        <v>4218900</v>
      </c>
      <c r="G7" s="2">
        <f t="shared" si="1"/>
        <v>10</v>
      </c>
    </row>
    <row r="8" ht="15.75" customHeight="1">
      <c r="A8" s="1">
        <f>IFERROR(__xludf.DUMMYFUNCTION("""COMPUTED_VALUE"""),43840.66666666667)</f>
        <v>43840.66667</v>
      </c>
      <c r="B8" s="2">
        <f>IFERROR(__xludf.DUMMYFUNCTION("""COMPUTED_VALUE"""),680.0)</f>
        <v>680</v>
      </c>
      <c r="C8" s="2">
        <f>IFERROR(__xludf.DUMMYFUNCTION("""COMPUTED_VALUE"""),680.0)</f>
        <v>680</v>
      </c>
      <c r="D8" s="2">
        <f>IFERROR(__xludf.DUMMYFUNCTION("""COMPUTED_VALUE"""),670.0)</f>
        <v>670</v>
      </c>
      <c r="E8" s="2">
        <f>IFERROR(__xludf.DUMMYFUNCTION("""COMPUTED_VALUE"""),675.0)</f>
        <v>675</v>
      </c>
      <c r="F8" s="2">
        <f>IFERROR(__xludf.DUMMYFUNCTION("""COMPUTED_VALUE"""),4781500.0)</f>
        <v>4781500</v>
      </c>
      <c r="G8" s="2">
        <f t="shared" si="1"/>
        <v>10</v>
      </c>
    </row>
    <row r="9" ht="15.75" customHeight="1">
      <c r="A9" s="1">
        <f>IFERROR(__xludf.DUMMYFUNCTION("""COMPUTED_VALUE"""),43843.66666666667)</f>
        <v>43843.66667</v>
      </c>
      <c r="B9" s="2">
        <f>IFERROR(__xludf.DUMMYFUNCTION("""COMPUTED_VALUE"""),670.0)</f>
        <v>670</v>
      </c>
      <c r="C9" s="2">
        <f>IFERROR(__xludf.DUMMYFUNCTION("""COMPUTED_VALUE"""),675.0)</f>
        <v>675</v>
      </c>
      <c r="D9" s="2">
        <f>IFERROR(__xludf.DUMMYFUNCTION("""COMPUTED_VALUE"""),670.0)</f>
        <v>670</v>
      </c>
      <c r="E9" s="2">
        <f>IFERROR(__xludf.DUMMYFUNCTION("""COMPUTED_VALUE"""),670.0)</f>
        <v>670</v>
      </c>
      <c r="F9" s="2">
        <f>IFERROR(__xludf.DUMMYFUNCTION("""COMPUTED_VALUE"""),4475400.0)</f>
        <v>4475400</v>
      </c>
      <c r="G9" s="2">
        <f t="shared" si="1"/>
        <v>5</v>
      </c>
    </row>
    <row r="10" ht="15.75" customHeight="1">
      <c r="A10" s="1">
        <f>IFERROR(__xludf.DUMMYFUNCTION("""COMPUTED_VALUE"""),43844.66666666667)</f>
        <v>43844.66667</v>
      </c>
      <c r="B10" s="2">
        <f>IFERROR(__xludf.DUMMYFUNCTION("""COMPUTED_VALUE"""),670.0)</f>
        <v>670</v>
      </c>
      <c r="C10" s="2">
        <f>IFERROR(__xludf.DUMMYFUNCTION("""COMPUTED_VALUE"""),675.0)</f>
        <v>675</v>
      </c>
      <c r="D10" s="2">
        <f>IFERROR(__xludf.DUMMYFUNCTION("""COMPUTED_VALUE"""),670.0)</f>
        <v>670</v>
      </c>
      <c r="E10" s="2">
        <f>IFERROR(__xludf.DUMMYFUNCTION("""COMPUTED_VALUE"""),670.0)</f>
        <v>670</v>
      </c>
      <c r="F10" s="2">
        <f>IFERROR(__xludf.DUMMYFUNCTION("""COMPUTED_VALUE"""),3419000.0)</f>
        <v>3419000</v>
      </c>
      <c r="G10" s="2">
        <f t="shared" si="1"/>
        <v>5</v>
      </c>
    </row>
    <row r="11" ht="15.75" customHeight="1">
      <c r="A11" s="1">
        <f>IFERROR(__xludf.DUMMYFUNCTION("""COMPUTED_VALUE"""),43845.66666666667)</f>
        <v>43845.66667</v>
      </c>
      <c r="B11" s="2">
        <f>IFERROR(__xludf.DUMMYFUNCTION("""COMPUTED_VALUE"""),675.0)</f>
        <v>675</v>
      </c>
      <c r="C11" s="2">
        <f>IFERROR(__xludf.DUMMYFUNCTION("""COMPUTED_VALUE"""),675.0)</f>
        <v>675</v>
      </c>
      <c r="D11" s="2">
        <f>IFERROR(__xludf.DUMMYFUNCTION("""COMPUTED_VALUE"""),665.0)</f>
        <v>665</v>
      </c>
      <c r="E11" s="2">
        <f>IFERROR(__xludf.DUMMYFUNCTION("""COMPUTED_VALUE"""),670.0)</f>
        <v>670</v>
      </c>
      <c r="F11" s="2">
        <f>IFERROR(__xludf.DUMMYFUNCTION("""COMPUTED_VALUE"""),1.11735E7)</f>
        <v>11173500</v>
      </c>
      <c r="G11" s="2">
        <f t="shared" si="1"/>
        <v>10</v>
      </c>
    </row>
    <row r="12" ht="15.75" customHeight="1">
      <c r="A12" s="1">
        <f>IFERROR(__xludf.DUMMYFUNCTION("""COMPUTED_VALUE"""),43846.66666666667)</f>
        <v>43846.66667</v>
      </c>
      <c r="B12" s="2">
        <f>IFERROR(__xludf.DUMMYFUNCTION("""COMPUTED_VALUE"""),670.0)</f>
        <v>670</v>
      </c>
      <c r="C12" s="2">
        <f>IFERROR(__xludf.DUMMYFUNCTION("""COMPUTED_VALUE"""),670.0)</f>
        <v>670</v>
      </c>
      <c r="D12" s="2">
        <f>IFERROR(__xludf.DUMMYFUNCTION("""COMPUTED_VALUE"""),665.0)</f>
        <v>665</v>
      </c>
      <c r="E12" s="2">
        <f>IFERROR(__xludf.DUMMYFUNCTION("""COMPUTED_VALUE"""),665.0)</f>
        <v>665</v>
      </c>
      <c r="F12" s="2">
        <f>IFERROR(__xludf.DUMMYFUNCTION("""COMPUTED_VALUE"""),1188200.0)</f>
        <v>1188200</v>
      </c>
      <c r="G12" s="2">
        <f t="shared" si="1"/>
        <v>5</v>
      </c>
    </row>
    <row r="13" ht="15.75" customHeight="1">
      <c r="A13" s="1">
        <f>IFERROR(__xludf.DUMMYFUNCTION("""COMPUTED_VALUE"""),43847.66666666667)</f>
        <v>43847.66667</v>
      </c>
      <c r="B13" s="2">
        <f>IFERROR(__xludf.DUMMYFUNCTION("""COMPUTED_VALUE"""),665.0)</f>
        <v>665</v>
      </c>
      <c r="C13" s="2">
        <f>IFERROR(__xludf.DUMMYFUNCTION("""COMPUTED_VALUE"""),670.0)</f>
        <v>670</v>
      </c>
      <c r="D13" s="2">
        <f>IFERROR(__xludf.DUMMYFUNCTION("""COMPUTED_VALUE"""),665.0)</f>
        <v>665</v>
      </c>
      <c r="E13" s="2">
        <f>IFERROR(__xludf.DUMMYFUNCTION("""COMPUTED_VALUE"""),665.0)</f>
        <v>665</v>
      </c>
      <c r="F13" s="2">
        <f>IFERROR(__xludf.DUMMYFUNCTION("""COMPUTED_VALUE"""),1480100.0)</f>
        <v>1480100</v>
      </c>
      <c r="G13" s="2">
        <f t="shared" si="1"/>
        <v>5</v>
      </c>
    </row>
    <row r="14" ht="15.75" customHeight="1">
      <c r="A14" s="1">
        <f>IFERROR(__xludf.DUMMYFUNCTION("""COMPUTED_VALUE"""),43850.66666666667)</f>
        <v>43850.66667</v>
      </c>
      <c r="B14" s="2">
        <f>IFERROR(__xludf.DUMMYFUNCTION("""COMPUTED_VALUE"""),665.0)</f>
        <v>665</v>
      </c>
      <c r="C14" s="2">
        <f>IFERROR(__xludf.DUMMYFUNCTION("""COMPUTED_VALUE"""),670.0)</f>
        <v>670</v>
      </c>
      <c r="D14" s="2">
        <f>IFERROR(__xludf.DUMMYFUNCTION("""COMPUTED_VALUE"""),645.0)</f>
        <v>645</v>
      </c>
      <c r="E14" s="2">
        <f>IFERROR(__xludf.DUMMYFUNCTION("""COMPUTED_VALUE"""),650.0)</f>
        <v>650</v>
      </c>
      <c r="F14" s="2">
        <f>IFERROR(__xludf.DUMMYFUNCTION("""COMPUTED_VALUE"""),1.45362E7)</f>
        <v>14536200</v>
      </c>
      <c r="G14" s="2">
        <f t="shared" si="1"/>
        <v>25</v>
      </c>
    </row>
    <row r="15" ht="15.75" customHeight="1">
      <c r="A15" s="1">
        <f>IFERROR(__xludf.DUMMYFUNCTION("""COMPUTED_VALUE"""),43851.66666666667)</f>
        <v>43851.66667</v>
      </c>
      <c r="B15" s="2">
        <f>IFERROR(__xludf.DUMMYFUNCTION("""COMPUTED_VALUE"""),650.0)</f>
        <v>650</v>
      </c>
      <c r="C15" s="2">
        <f>IFERROR(__xludf.DUMMYFUNCTION("""COMPUTED_VALUE"""),665.0)</f>
        <v>665</v>
      </c>
      <c r="D15" s="2">
        <f>IFERROR(__xludf.DUMMYFUNCTION("""COMPUTED_VALUE"""),650.0)</f>
        <v>650</v>
      </c>
      <c r="E15" s="2">
        <f>IFERROR(__xludf.DUMMYFUNCTION("""COMPUTED_VALUE"""),650.0)</f>
        <v>650</v>
      </c>
      <c r="F15" s="2">
        <f>IFERROR(__xludf.DUMMYFUNCTION("""COMPUTED_VALUE"""),9382700.0)</f>
        <v>9382700</v>
      </c>
      <c r="G15" s="2">
        <f t="shared" si="1"/>
        <v>15</v>
      </c>
    </row>
    <row r="16" ht="15.75" customHeight="1">
      <c r="A16" s="1">
        <f>IFERROR(__xludf.DUMMYFUNCTION("""COMPUTED_VALUE"""),43852.66666666667)</f>
        <v>43852.66667</v>
      </c>
      <c r="B16" s="2">
        <f>IFERROR(__xludf.DUMMYFUNCTION("""COMPUTED_VALUE"""),655.0)</f>
        <v>655</v>
      </c>
      <c r="C16" s="2">
        <f>IFERROR(__xludf.DUMMYFUNCTION("""COMPUTED_VALUE"""),655.0)</f>
        <v>655</v>
      </c>
      <c r="D16" s="2">
        <f>IFERROR(__xludf.DUMMYFUNCTION("""COMPUTED_VALUE"""),580.0)</f>
        <v>580</v>
      </c>
      <c r="E16" s="2">
        <f>IFERROR(__xludf.DUMMYFUNCTION("""COMPUTED_VALUE"""),635.0)</f>
        <v>635</v>
      </c>
      <c r="F16" s="2">
        <f>IFERROR(__xludf.DUMMYFUNCTION("""COMPUTED_VALUE"""),1.724809E8)</f>
        <v>172480900</v>
      </c>
      <c r="G16" s="2">
        <f t="shared" si="1"/>
        <v>75</v>
      </c>
    </row>
    <row r="17" ht="15.75" customHeight="1">
      <c r="A17" s="1">
        <f>IFERROR(__xludf.DUMMYFUNCTION("""COMPUTED_VALUE"""),43853.66666666667)</f>
        <v>43853.66667</v>
      </c>
      <c r="B17" s="2">
        <f>IFERROR(__xludf.DUMMYFUNCTION("""COMPUTED_VALUE"""),630.0)</f>
        <v>630</v>
      </c>
      <c r="C17" s="2">
        <f>IFERROR(__xludf.DUMMYFUNCTION("""COMPUTED_VALUE"""),635.0)</f>
        <v>635</v>
      </c>
      <c r="D17" s="2">
        <f>IFERROR(__xludf.DUMMYFUNCTION("""COMPUTED_VALUE"""),615.0)</f>
        <v>615</v>
      </c>
      <c r="E17" s="2">
        <f>IFERROR(__xludf.DUMMYFUNCTION("""COMPUTED_VALUE"""),625.0)</f>
        <v>625</v>
      </c>
      <c r="F17" s="2">
        <f>IFERROR(__xludf.DUMMYFUNCTION("""COMPUTED_VALUE"""),7124500.0)</f>
        <v>7124500</v>
      </c>
      <c r="G17" s="2">
        <f t="shared" si="1"/>
        <v>20</v>
      </c>
    </row>
    <row r="18" ht="15.75" customHeight="1">
      <c r="A18" s="1">
        <f>IFERROR(__xludf.DUMMYFUNCTION("""COMPUTED_VALUE"""),43854.66666666667)</f>
        <v>43854.66667</v>
      </c>
      <c r="B18" s="2">
        <f>IFERROR(__xludf.DUMMYFUNCTION("""COMPUTED_VALUE"""),630.0)</f>
        <v>630</v>
      </c>
      <c r="C18" s="2">
        <f>IFERROR(__xludf.DUMMYFUNCTION("""COMPUTED_VALUE"""),645.0)</f>
        <v>645</v>
      </c>
      <c r="D18" s="2">
        <f>IFERROR(__xludf.DUMMYFUNCTION("""COMPUTED_VALUE"""),625.0)</f>
        <v>625</v>
      </c>
      <c r="E18" s="2">
        <f>IFERROR(__xludf.DUMMYFUNCTION("""COMPUTED_VALUE"""),645.0)</f>
        <v>645</v>
      </c>
      <c r="F18" s="2">
        <f>IFERROR(__xludf.DUMMYFUNCTION("""COMPUTED_VALUE"""),4871300.0)</f>
        <v>4871300</v>
      </c>
      <c r="G18" s="2">
        <f t="shared" si="1"/>
        <v>20</v>
      </c>
    </row>
    <row r="19" ht="15.75" customHeight="1">
      <c r="A19" s="1">
        <f>IFERROR(__xludf.DUMMYFUNCTION("""COMPUTED_VALUE"""),43857.66666666667)</f>
        <v>43857.66667</v>
      </c>
      <c r="B19" s="2">
        <f>IFERROR(__xludf.DUMMYFUNCTION("""COMPUTED_VALUE"""),645.0)</f>
        <v>645</v>
      </c>
      <c r="C19" s="2">
        <f>IFERROR(__xludf.DUMMYFUNCTION("""COMPUTED_VALUE"""),645.0)</f>
        <v>645</v>
      </c>
      <c r="D19" s="2">
        <f>IFERROR(__xludf.DUMMYFUNCTION("""COMPUTED_VALUE"""),620.0)</f>
        <v>620</v>
      </c>
      <c r="E19" s="2">
        <f>IFERROR(__xludf.DUMMYFUNCTION("""COMPUTED_VALUE"""),625.0)</f>
        <v>625</v>
      </c>
      <c r="F19" s="2">
        <f>IFERROR(__xludf.DUMMYFUNCTION("""COMPUTED_VALUE"""),1.30594E7)</f>
        <v>13059400</v>
      </c>
      <c r="G19" s="2">
        <f t="shared" si="1"/>
        <v>25</v>
      </c>
    </row>
    <row r="20" ht="15.75" customHeight="1">
      <c r="A20" s="1">
        <f>IFERROR(__xludf.DUMMYFUNCTION("""COMPUTED_VALUE"""),43858.66666666667)</f>
        <v>43858.66667</v>
      </c>
      <c r="B20" s="2">
        <f>IFERROR(__xludf.DUMMYFUNCTION("""COMPUTED_VALUE"""),625.0)</f>
        <v>625</v>
      </c>
      <c r="C20" s="2">
        <f>IFERROR(__xludf.DUMMYFUNCTION("""COMPUTED_VALUE"""),630.0)</f>
        <v>630</v>
      </c>
      <c r="D20" s="2">
        <f>IFERROR(__xludf.DUMMYFUNCTION("""COMPUTED_VALUE"""),615.0)</f>
        <v>615</v>
      </c>
      <c r="E20" s="2">
        <f>IFERROR(__xludf.DUMMYFUNCTION("""COMPUTED_VALUE"""),630.0)</f>
        <v>630</v>
      </c>
      <c r="F20" s="2">
        <f>IFERROR(__xludf.DUMMYFUNCTION("""COMPUTED_VALUE"""),4000100.0)</f>
        <v>4000100</v>
      </c>
      <c r="G20" s="2">
        <f t="shared" si="1"/>
        <v>15</v>
      </c>
    </row>
    <row r="21" ht="15.75" customHeight="1">
      <c r="A21" s="1">
        <f>IFERROR(__xludf.DUMMYFUNCTION("""COMPUTED_VALUE"""),43859.66666666667)</f>
        <v>43859.66667</v>
      </c>
      <c r="B21" s="2">
        <f>IFERROR(__xludf.DUMMYFUNCTION("""COMPUTED_VALUE"""),630.0)</f>
        <v>630</v>
      </c>
      <c r="C21" s="2">
        <f>IFERROR(__xludf.DUMMYFUNCTION("""COMPUTED_VALUE"""),640.0)</f>
        <v>640</v>
      </c>
      <c r="D21" s="2">
        <f>IFERROR(__xludf.DUMMYFUNCTION("""COMPUTED_VALUE"""),625.0)</f>
        <v>625</v>
      </c>
      <c r="E21" s="2">
        <f>IFERROR(__xludf.DUMMYFUNCTION("""COMPUTED_VALUE"""),630.0)</f>
        <v>630</v>
      </c>
      <c r="F21" s="2">
        <f>IFERROR(__xludf.DUMMYFUNCTION("""COMPUTED_VALUE"""),4471000.0)</f>
        <v>4471000</v>
      </c>
      <c r="G21" s="2">
        <f t="shared" si="1"/>
        <v>15</v>
      </c>
    </row>
    <row r="22" ht="15.75" customHeight="1">
      <c r="A22" s="1">
        <f>IFERROR(__xludf.DUMMYFUNCTION("""COMPUTED_VALUE"""),43860.66666666667)</f>
        <v>43860.66667</v>
      </c>
      <c r="B22" s="2">
        <f>IFERROR(__xludf.DUMMYFUNCTION("""COMPUTED_VALUE"""),630.0)</f>
        <v>630</v>
      </c>
      <c r="C22" s="2">
        <f>IFERROR(__xludf.DUMMYFUNCTION("""COMPUTED_VALUE"""),635.0)</f>
        <v>635</v>
      </c>
      <c r="D22" s="2">
        <f>IFERROR(__xludf.DUMMYFUNCTION("""COMPUTED_VALUE"""),615.0)</f>
        <v>615</v>
      </c>
      <c r="E22" s="2">
        <f>IFERROR(__xludf.DUMMYFUNCTION("""COMPUTED_VALUE"""),620.0)</f>
        <v>620</v>
      </c>
      <c r="F22" s="2">
        <f>IFERROR(__xludf.DUMMYFUNCTION("""COMPUTED_VALUE"""),3.293E7)</f>
        <v>32930000</v>
      </c>
      <c r="G22" s="2">
        <f t="shared" si="1"/>
        <v>20</v>
      </c>
    </row>
    <row r="23" ht="15.75" customHeight="1">
      <c r="A23" s="1">
        <f>IFERROR(__xludf.DUMMYFUNCTION("""COMPUTED_VALUE"""),43861.66666666667)</f>
        <v>43861.66667</v>
      </c>
      <c r="B23" s="2">
        <f>IFERROR(__xludf.DUMMYFUNCTION("""COMPUTED_VALUE"""),625.0)</f>
        <v>625</v>
      </c>
      <c r="C23" s="2">
        <f>IFERROR(__xludf.DUMMYFUNCTION("""COMPUTED_VALUE"""),635.0)</f>
        <v>635</v>
      </c>
      <c r="D23" s="2">
        <f>IFERROR(__xludf.DUMMYFUNCTION("""COMPUTED_VALUE"""),610.0)</f>
        <v>610</v>
      </c>
      <c r="E23" s="2">
        <f>IFERROR(__xludf.DUMMYFUNCTION("""COMPUTED_VALUE"""),625.0)</f>
        <v>625</v>
      </c>
      <c r="F23" s="2">
        <f>IFERROR(__xludf.DUMMYFUNCTION("""COMPUTED_VALUE"""),2.57923E7)</f>
        <v>25792300</v>
      </c>
      <c r="G23" s="2">
        <f t="shared" si="1"/>
        <v>25</v>
      </c>
    </row>
    <row r="24" ht="15.75" customHeight="1">
      <c r="A24" s="1">
        <f>IFERROR(__xludf.DUMMYFUNCTION("""COMPUTED_VALUE"""),43864.66666666667)</f>
        <v>43864.66667</v>
      </c>
      <c r="B24" s="2">
        <f>IFERROR(__xludf.DUMMYFUNCTION("""COMPUTED_VALUE"""),625.0)</f>
        <v>625</v>
      </c>
      <c r="C24" s="2">
        <f>IFERROR(__xludf.DUMMYFUNCTION("""COMPUTED_VALUE"""),635.0)</f>
        <v>635</v>
      </c>
      <c r="D24" s="2">
        <f>IFERROR(__xludf.DUMMYFUNCTION("""COMPUTED_VALUE"""),620.0)</f>
        <v>620</v>
      </c>
      <c r="E24" s="2">
        <f>IFERROR(__xludf.DUMMYFUNCTION("""COMPUTED_VALUE"""),625.0)</f>
        <v>625</v>
      </c>
      <c r="F24" s="2">
        <f>IFERROR(__xludf.DUMMYFUNCTION("""COMPUTED_VALUE"""),6413700.0)</f>
        <v>6413700</v>
      </c>
      <c r="G24" s="2">
        <f t="shared" si="1"/>
        <v>15</v>
      </c>
    </row>
    <row r="25" ht="15.75" customHeight="1">
      <c r="A25" s="1">
        <f>IFERROR(__xludf.DUMMYFUNCTION("""COMPUTED_VALUE"""),43865.66666666667)</f>
        <v>43865.66667</v>
      </c>
      <c r="B25" s="2">
        <f>IFERROR(__xludf.DUMMYFUNCTION("""COMPUTED_VALUE"""),630.0)</f>
        <v>630</v>
      </c>
      <c r="C25" s="2">
        <f>IFERROR(__xludf.DUMMYFUNCTION("""COMPUTED_VALUE"""),635.0)</f>
        <v>635</v>
      </c>
      <c r="D25" s="2">
        <f>IFERROR(__xludf.DUMMYFUNCTION("""COMPUTED_VALUE"""),625.0)</f>
        <v>625</v>
      </c>
      <c r="E25" s="2">
        <f>IFERROR(__xludf.DUMMYFUNCTION("""COMPUTED_VALUE"""),630.0)</f>
        <v>630</v>
      </c>
      <c r="F25" s="2">
        <f>IFERROR(__xludf.DUMMYFUNCTION("""COMPUTED_VALUE"""),5666800.0)</f>
        <v>5666800</v>
      </c>
      <c r="G25" s="2">
        <f t="shared" si="1"/>
        <v>10</v>
      </c>
    </row>
    <row r="26" ht="15.75" customHeight="1">
      <c r="A26" s="1">
        <f>IFERROR(__xludf.DUMMYFUNCTION("""COMPUTED_VALUE"""),43866.66666666667)</f>
        <v>43866.66667</v>
      </c>
      <c r="B26" s="2">
        <f>IFERROR(__xludf.DUMMYFUNCTION("""COMPUTED_VALUE"""),635.0)</f>
        <v>635</v>
      </c>
      <c r="C26" s="2">
        <f>IFERROR(__xludf.DUMMYFUNCTION("""COMPUTED_VALUE"""),645.0)</f>
        <v>645</v>
      </c>
      <c r="D26" s="2">
        <f>IFERROR(__xludf.DUMMYFUNCTION("""COMPUTED_VALUE"""),625.0)</f>
        <v>625</v>
      </c>
      <c r="E26" s="2">
        <f>IFERROR(__xludf.DUMMYFUNCTION("""COMPUTED_VALUE"""),640.0)</f>
        <v>640</v>
      </c>
      <c r="F26" s="2">
        <f>IFERROR(__xludf.DUMMYFUNCTION("""COMPUTED_VALUE"""),8157700.0)</f>
        <v>8157700</v>
      </c>
      <c r="G26" s="2">
        <f t="shared" si="1"/>
        <v>20</v>
      </c>
    </row>
    <row r="27" ht="15.75" customHeight="1">
      <c r="A27" s="1">
        <f>IFERROR(__xludf.DUMMYFUNCTION("""COMPUTED_VALUE"""),43867.66666666667)</f>
        <v>43867.66667</v>
      </c>
      <c r="B27" s="2">
        <f>IFERROR(__xludf.DUMMYFUNCTION("""COMPUTED_VALUE"""),645.0)</f>
        <v>645</v>
      </c>
      <c r="C27" s="2">
        <f>IFERROR(__xludf.DUMMYFUNCTION("""COMPUTED_VALUE"""),645.0)</f>
        <v>645</v>
      </c>
      <c r="D27" s="2">
        <f>IFERROR(__xludf.DUMMYFUNCTION("""COMPUTED_VALUE"""),640.0)</f>
        <v>640</v>
      </c>
      <c r="E27" s="2">
        <f>IFERROR(__xludf.DUMMYFUNCTION("""COMPUTED_VALUE"""),640.0)</f>
        <v>640</v>
      </c>
      <c r="F27" s="2">
        <f>IFERROR(__xludf.DUMMYFUNCTION("""COMPUTED_VALUE"""),2408500.0)</f>
        <v>2408500</v>
      </c>
      <c r="G27" s="2">
        <f t="shared" si="1"/>
        <v>5</v>
      </c>
    </row>
    <row r="28" ht="15.75" customHeight="1">
      <c r="A28" s="1">
        <f>IFERROR(__xludf.DUMMYFUNCTION("""COMPUTED_VALUE"""),43868.66666666667)</f>
        <v>43868.66667</v>
      </c>
      <c r="B28" s="2">
        <f>IFERROR(__xludf.DUMMYFUNCTION("""COMPUTED_VALUE"""),645.0)</f>
        <v>645</v>
      </c>
      <c r="C28" s="2">
        <f>IFERROR(__xludf.DUMMYFUNCTION("""COMPUTED_VALUE"""),650.0)</f>
        <v>650</v>
      </c>
      <c r="D28" s="2">
        <f>IFERROR(__xludf.DUMMYFUNCTION("""COMPUTED_VALUE"""),635.0)</f>
        <v>635</v>
      </c>
      <c r="E28" s="2">
        <f>IFERROR(__xludf.DUMMYFUNCTION("""COMPUTED_VALUE"""),650.0)</f>
        <v>650</v>
      </c>
      <c r="F28" s="2">
        <f>IFERROR(__xludf.DUMMYFUNCTION("""COMPUTED_VALUE"""),3967800.0)</f>
        <v>3967800</v>
      </c>
      <c r="G28" s="2">
        <f t="shared" si="1"/>
        <v>15</v>
      </c>
    </row>
    <row r="29" ht="15.75" customHeight="1">
      <c r="A29" s="1">
        <f>IFERROR(__xludf.DUMMYFUNCTION("""COMPUTED_VALUE"""),43871.66666666667)</f>
        <v>43871.66667</v>
      </c>
      <c r="B29" s="2">
        <f>IFERROR(__xludf.DUMMYFUNCTION("""COMPUTED_VALUE"""),650.0)</f>
        <v>650</v>
      </c>
      <c r="C29" s="2">
        <f>IFERROR(__xludf.DUMMYFUNCTION("""COMPUTED_VALUE"""),650.0)</f>
        <v>650</v>
      </c>
      <c r="D29" s="2">
        <f>IFERROR(__xludf.DUMMYFUNCTION("""COMPUTED_VALUE"""),635.0)</f>
        <v>635</v>
      </c>
      <c r="E29" s="2">
        <f>IFERROR(__xludf.DUMMYFUNCTION("""COMPUTED_VALUE"""),645.0)</f>
        <v>645</v>
      </c>
      <c r="F29" s="2">
        <f>IFERROR(__xludf.DUMMYFUNCTION("""COMPUTED_VALUE"""),1930300.0)</f>
        <v>1930300</v>
      </c>
      <c r="G29" s="2">
        <f t="shared" si="1"/>
        <v>15</v>
      </c>
    </row>
    <row r="30" ht="15.75" customHeight="1">
      <c r="A30" s="1">
        <f>IFERROR(__xludf.DUMMYFUNCTION("""COMPUTED_VALUE"""),43872.66666666667)</f>
        <v>43872.66667</v>
      </c>
      <c r="B30" s="2">
        <f>IFERROR(__xludf.DUMMYFUNCTION("""COMPUTED_VALUE"""),635.0)</f>
        <v>635</v>
      </c>
      <c r="C30" s="2">
        <f>IFERROR(__xludf.DUMMYFUNCTION("""COMPUTED_VALUE"""),645.0)</f>
        <v>645</v>
      </c>
      <c r="D30" s="2">
        <f>IFERROR(__xludf.DUMMYFUNCTION("""COMPUTED_VALUE"""),630.0)</f>
        <v>630</v>
      </c>
      <c r="E30" s="2">
        <f>IFERROR(__xludf.DUMMYFUNCTION("""COMPUTED_VALUE"""),640.0)</f>
        <v>640</v>
      </c>
      <c r="F30" s="2">
        <f>IFERROR(__xludf.DUMMYFUNCTION("""COMPUTED_VALUE"""),2306200.0)</f>
        <v>2306200</v>
      </c>
      <c r="G30" s="2">
        <f t="shared" si="1"/>
        <v>15</v>
      </c>
    </row>
    <row r="31" ht="15.75" customHeight="1">
      <c r="A31" s="1">
        <f>IFERROR(__xludf.DUMMYFUNCTION("""COMPUTED_VALUE"""),43873.66666666667)</f>
        <v>43873.66667</v>
      </c>
      <c r="B31" s="2">
        <f>IFERROR(__xludf.DUMMYFUNCTION("""COMPUTED_VALUE"""),640.0)</f>
        <v>640</v>
      </c>
      <c r="C31" s="2">
        <f>IFERROR(__xludf.DUMMYFUNCTION("""COMPUTED_VALUE"""),640.0)</f>
        <v>640</v>
      </c>
      <c r="D31" s="2">
        <f>IFERROR(__xludf.DUMMYFUNCTION("""COMPUTED_VALUE"""),630.0)</f>
        <v>630</v>
      </c>
      <c r="E31" s="2">
        <f>IFERROR(__xludf.DUMMYFUNCTION("""COMPUTED_VALUE"""),630.0)</f>
        <v>630</v>
      </c>
      <c r="F31" s="2">
        <f>IFERROR(__xludf.DUMMYFUNCTION("""COMPUTED_VALUE"""),853200.0)</f>
        <v>853200</v>
      </c>
      <c r="G31" s="2">
        <f t="shared" si="1"/>
        <v>10</v>
      </c>
    </row>
    <row r="32" ht="15.75" customHeight="1">
      <c r="A32" s="1">
        <f>IFERROR(__xludf.DUMMYFUNCTION("""COMPUTED_VALUE"""),43874.66666666667)</f>
        <v>43874.66667</v>
      </c>
      <c r="B32" s="2">
        <f>IFERROR(__xludf.DUMMYFUNCTION("""COMPUTED_VALUE"""),630.0)</f>
        <v>630</v>
      </c>
      <c r="C32" s="2">
        <f>IFERROR(__xludf.DUMMYFUNCTION("""COMPUTED_VALUE"""),640.0)</f>
        <v>640</v>
      </c>
      <c r="D32" s="2">
        <f>IFERROR(__xludf.DUMMYFUNCTION("""COMPUTED_VALUE"""),625.0)</f>
        <v>625</v>
      </c>
      <c r="E32" s="2">
        <f>IFERROR(__xludf.DUMMYFUNCTION("""COMPUTED_VALUE"""),635.0)</f>
        <v>635</v>
      </c>
      <c r="F32" s="2">
        <f>IFERROR(__xludf.DUMMYFUNCTION("""COMPUTED_VALUE"""),6079900.0)</f>
        <v>6079900</v>
      </c>
      <c r="G32" s="2">
        <f t="shared" si="1"/>
        <v>15</v>
      </c>
    </row>
    <row r="33" ht="15.75" customHeight="1">
      <c r="A33" s="1">
        <f>IFERROR(__xludf.DUMMYFUNCTION("""COMPUTED_VALUE"""),43875.66666666667)</f>
        <v>43875.66667</v>
      </c>
      <c r="B33" s="2">
        <f>IFERROR(__xludf.DUMMYFUNCTION("""COMPUTED_VALUE"""),635.0)</f>
        <v>635</v>
      </c>
      <c r="C33" s="2">
        <f>IFERROR(__xludf.DUMMYFUNCTION("""COMPUTED_VALUE"""),640.0)</f>
        <v>640</v>
      </c>
      <c r="D33" s="2">
        <f>IFERROR(__xludf.DUMMYFUNCTION("""COMPUTED_VALUE"""),630.0)</f>
        <v>630</v>
      </c>
      <c r="E33" s="2">
        <f>IFERROR(__xludf.DUMMYFUNCTION("""COMPUTED_VALUE"""),635.0)</f>
        <v>635</v>
      </c>
      <c r="F33" s="2">
        <f>IFERROR(__xludf.DUMMYFUNCTION("""COMPUTED_VALUE"""),1738400.0)</f>
        <v>1738400</v>
      </c>
      <c r="G33" s="2">
        <f t="shared" si="1"/>
        <v>10</v>
      </c>
    </row>
    <row r="34" ht="15.75" customHeight="1">
      <c r="A34" s="1">
        <f>IFERROR(__xludf.DUMMYFUNCTION("""COMPUTED_VALUE"""),43878.66666666667)</f>
        <v>43878.66667</v>
      </c>
      <c r="B34" s="2">
        <f>IFERROR(__xludf.DUMMYFUNCTION("""COMPUTED_VALUE"""),640.0)</f>
        <v>640</v>
      </c>
      <c r="C34" s="2">
        <f>IFERROR(__xludf.DUMMYFUNCTION("""COMPUTED_VALUE"""),640.0)</f>
        <v>640</v>
      </c>
      <c r="D34" s="2">
        <f>IFERROR(__xludf.DUMMYFUNCTION("""COMPUTED_VALUE"""),630.0)</f>
        <v>630</v>
      </c>
      <c r="E34" s="2">
        <f>IFERROR(__xludf.DUMMYFUNCTION("""COMPUTED_VALUE"""),635.0)</f>
        <v>635</v>
      </c>
      <c r="F34" s="2">
        <f>IFERROR(__xludf.DUMMYFUNCTION("""COMPUTED_VALUE"""),994100.0)</f>
        <v>994100</v>
      </c>
      <c r="G34" s="2">
        <f t="shared" si="1"/>
        <v>10</v>
      </c>
    </row>
    <row r="35" ht="15.75" customHeight="1">
      <c r="A35" s="1">
        <f>IFERROR(__xludf.DUMMYFUNCTION("""COMPUTED_VALUE"""),43879.66666666667)</f>
        <v>43879.66667</v>
      </c>
      <c r="B35" s="2">
        <f>IFERROR(__xludf.DUMMYFUNCTION("""COMPUTED_VALUE"""),635.0)</f>
        <v>635</v>
      </c>
      <c r="C35" s="2">
        <f>IFERROR(__xludf.DUMMYFUNCTION("""COMPUTED_VALUE"""),640.0)</f>
        <v>640</v>
      </c>
      <c r="D35" s="2">
        <f>IFERROR(__xludf.DUMMYFUNCTION("""COMPUTED_VALUE"""),630.0)</f>
        <v>630</v>
      </c>
      <c r="E35" s="2">
        <f>IFERROR(__xludf.DUMMYFUNCTION("""COMPUTED_VALUE"""),635.0)</f>
        <v>635</v>
      </c>
      <c r="F35" s="2">
        <f>IFERROR(__xludf.DUMMYFUNCTION("""COMPUTED_VALUE"""),2247300.0)</f>
        <v>2247300</v>
      </c>
      <c r="G35" s="2">
        <f t="shared" si="1"/>
        <v>10</v>
      </c>
    </row>
    <row r="36" ht="15.75" customHeight="1">
      <c r="A36" s="1">
        <f>IFERROR(__xludf.DUMMYFUNCTION("""COMPUTED_VALUE"""),43880.66666666667)</f>
        <v>43880.66667</v>
      </c>
      <c r="B36" s="2">
        <f>IFERROR(__xludf.DUMMYFUNCTION("""COMPUTED_VALUE"""),635.0)</f>
        <v>635</v>
      </c>
      <c r="C36" s="2">
        <f>IFERROR(__xludf.DUMMYFUNCTION("""COMPUTED_VALUE"""),645.0)</f>
        <v>645</v>
      </c>
      <c r="D36" s="2">
        <f>IFERROR(__xludf.DUMMYFUNCTION("""COMPUTED_VALUE"""),635.0)</f>
        <v>635</v>
      </c>
      <c r="E36" s="2">
        <f>IFERROR(__xludf.DUMMYFUNCTION("""COMPUTED_VALUE"""),640.0)</f>
        <v>640</v>
      </c>
      <c r="F36" s="2">
        <f>IFERROR(__xludf.DUMMYFUNCTION("""COMPUTED_VALUE"""),2559100.0)</f>
        <v>2559100</v>
      </c>
      <c r="G36" s="2">
        <f t="shared" si="1"/>
        <v>10</v>
      </c>
    </row>
    <row r="37" ht="15.75" customHeight="1">
      <c r="A37" s="1">
        <f>IFERROR(__xludf.DUMMYFUNCTION("""COMPUTED_VALUE"""),43881.66666666667)</f>
        <v>43881.66667</v>
      </c>
      <c r="B37" s="2">
        <f>IFERROR(__xludf.DUMMYFUNCTION("""COMPUTED_VALUE"""),640.0)</f>
        <v>640</v>
      </c>
      <c r="C37" s="2">
        <f>IFERROR(__xludf.DUMMYFUNCTION("""COMPUTED_VALUE"""),645.0)</f>
        <v>645</v>
      </c>
      <c r="D37" s="2">
        <f>IFERROR(__xludf.DUMMYFUNCTION("""COMPUTED_VALUE"""),635.0)</f>
        <v>635</v>
      </c>
      <c r="E37" s="2">
        <f>IFERROR(__xludf.DUMMYFUNCTION("""COMPUTED_VALUE"""),635.0)</f>
        <v>635</v>
      </c>
      <c r="F37" s="2">
        <f>IFERROR(__xludf.DUMMYFUNCTION("""COMPUTED_VALUE"""),4968400.0)</f>
        <v>4968400</v>
      </c>
      <c r="G37" s="2">
        <f t="shared" si="1"/>
        <v>10</v>
      </c>
    </row>
    <row r="38" ht="15.75" customHeight="1">
      <c r="A38" s="1">
        <f>IFERROR(__xludf.DUMMYFUNCTION("""COMPUTED_VALUE"""),43882.66666666667)</f>
        <v>43882.66667</v>
      </c>
      <c r="B38" s="2">
        <f>IFERROR(__xludf.DUMMYFUNCTION("""COMPUTED_VALUE"""),635.0)</f>
        <v>635</v>
      </c>
      <c r="C38" s="2">
        <f>IFERROR(__xludf.DUMMYFUNCTION("""COMPUTED_VALUE"""),645.0)</f>
        <v>645</v>
      </c>
      <c r="D38" s="2">
        <f>IFERROR(__xludf.DUMMYFUNCTION("""COMPUTED_VALUE"""),635.0)</f>
        <v>635</v>
      </c>
      <c r="E38" s="2">
        <f>IFERROR(__xludf.DUMMYFUNCTION("""COMPUTED_VALUE"""),640.0)</f>
        <v>640</v>
      </c>
      <c r="F38" s="2">
        <f>IFERROR(__xludf.DUMMYFUNCTION("""COMPUTED_VALUE"""),4493200.0)</f>
        <v>4493200</v>
      </c>
      <c r="G38" s="2">
        <f t="shared" si="1"/>
        <v>10</v>
      </c>
    </row>
    <row r="39" ht="15.75" customHeight="1">
      <c r="A39" s="1">
        <f>IFERROR(__xludf.DUMMYFUNCTION("""COMPUTED_VALUE"""),43885.66666666667)</f>
        <v>43885.66667</v>
      </c>
      <c r="B39" s="2">
        <f>IFERROR(__xludf.DUMMYFUNCTION("""COMPUTED_VALUE"""),645.0)</f>
        <v>645</v>
      </c>
      <c r="C39" s="2">
        <f>IFERROR(__xludf.DUMMYFUNCTION("""COMPUTED_VALUE"""),645.0)</f>
        <v>645</v>
      </c>
      <c r="D39" s="2">
        <f>IFERROR(__xludf.DUMMYFUNCTION("""COMPUTED_VALUE"""),620.0)</f>
        <v>620</v>
      </c>
      <c r="E39" s="2">
        <f>IFERROR(__xludf.DUMMYFUNCTION("""COMPUTED_VALUE"""),625.0)</f>
        <v>625</v>
      </c>
      <c r="F39" s="2">
        <f>IFERROR(__xludf.DUMMYFUNCTION("""COMPUTED_VALUE"""),7549700.0)</f>
        <v>7549700</v>
      </c>
      <c r="G39" s="2">
        <f t="shared" si="1"/>
        <v>25</v>
      </c>
    </row>
    <row r="40" ht="15.75" customHeight="1">
      <c r="A40" s="1">
        <f>IFERROR(__xludf.DUMMYFUNCTION("""COMPUTED_VALUE"""),43886.66666666667)</f>
        <v>43886.66667</v>
      </c>
      <c r="B40" s="2">
        <f>IFERROR(__xludf.DUMMYFUNCTION("""COMPUTED_VALUE"""),625.0)</f>
        <v>625</v>
      </c>
      <c r="C40" s="2">
        <f>IFERROR(__xludf.DUMMYFUNCTION("""COMPUTED_VALUE"""),640.0)</f>
        <v>640</v>
      </c>
      <c r="D40" s="2">
        <f>IFERROR(__xludf.DUMMYFUNCTION("""COMPUTED_VALUE"""),620.0)</f>
        <v>620</v>
      </c>
      <c r="E40" s="2">
        <f>IFERROR(__xludf.DUMMYFUNCTION("""COMPUTED_VALUE"""),635.0)</f>
        <v>635</v>
      </c>
      <c r="F40" s="2">
        <f>IFERROR(__xludf.DUMMYFUNCTION("""COMPUTED_VALUE"""),6568900.0)</f>
        <v>6568900</v>
      </c>
      <c r="G40" s="2">
        <f t="shared" si="1"/>
        <v>20</v>
      </c>
    </row>
    <row r="41" ht="15.75" customHeight="1">
      <c r="A41" s="1">
        <f>IFERROR(__xludf.DUMMYFUNCTION("""COMPUTED_VALUE"""),43887.66666666667)</f>
        <v>43887.66667</v>
      </c>
      <c r="B41" s="2">
        <f>IFERROR(__xludf.DUMMYFUNCTION("""COMPUTED_VALUE"""),635.0)</f>
        <v>635</v>
      </c>
      <c r="C41" s="2">
        <f>IFERROR(__xludf.DUMMYFUNCTION("""COMPUTED_VALUE"""),635.0)</f>
        <v>635</v>
      </c>
      <c r="D41" s="2">
        <f>IFERROR(__xludf.DUMMYFUNCTION("""COMPUTED_VALUE"""),625.0)</f>
        <v>625</v>
      </c>
      <c r="E41" s="2">
        <f>IFERROR(__xludf.DUMMYFUNCTION("""COMPUTED_VALUE"""),625.0)</f>
        <v>625</v>
      </c>
      <c r="F41" s="2">
        <f>IFERROR(__xludf.DUMMYFUNCTION("""COMPUTED_VALUE"""),5678700.0)</f>
        <v>5678700</v>
      </c>
      <c r="G41" s="2">
        <f t="shared" si="1"/>
        <v>10</v>
      </c>
    </row>
    <row r="42" ht="15.75" customHeight="1">
      <c r="A42" s="1">
        <f>IFERROR(__xludf.DUMMYFUNCTION("""COMPUTED_VALUE"""),43888.66666666667)</f>
        <v>43888.66667</v>
      </c>
      <c r="B42" s="2">
        <f>IFERROR(__xludf.DUMMYFUNCTION("""COMPUTED_VALUE"""),625.0)</f>
        <v>625</v>
      </c>
      <c r="C42" s="2">
        <f>IFERROR(__xludf.DUMMYFUNCTION("""COMPUTED_VALUE"""),630.0)</f>
        <v>630</v>
      </c>
      <c r="D42" s="2">
        <f>IFERROR(__xludf.DUMMYFUNCTION("""COMPUTED_VALUE"""),610.0)</f>
        <v>610</v>
      </c>
      <c r="E42" s="2">
        <f>IFERROR(__xludf.DUMMYFUNCTION("""COMPUTED_VALUE"""),620.0)</f>
        <v>620</v>
      </c>
      <c r="F42" s="2">
        <f>IFERROR(__xludf.DUMMYFUNCTION("""COMPUTED_VALUE"""),6624200.0)</f>
        <v>6624200</v>
      </c>
      <c r="G42" s="2">
        <f t="shared" si="1"/>
        <v>20</v>
      </c>
    </row>
    <row r="43" ht="15.75" customHeight="1">
      <c r="A43" s="1">
        <f>IFERROR(__xludf.DUMMYFUNCTION("""COMPUTED_VALUE"""),43889.66666666667)</f>
        <v>43889.66667</v>
      </c>
      <c r="B43" s="2">
        <f>IFERROR(__xludf.DUMMYFUNCTION("""COMPUTED_VALUE"""),620.0)</f>
        <v>620</v>
      </c>
      <c r="C43" s="2">
        <f>IFERROR(__xludf.DUMMYFUNCTION("""COMPUTED_VALUE"""),620.0)</f>
        <v>620</v>
      </c>
      <c r="D43" s="2">
        <f>IFERROR(__xludf.DUMMYFUNCTION("""COMPUTED_VALUE"""),595.0)</f>
        <v>595</v>
      </c>
      <c r="E43" s="2">
        <f>IFERROR(__xludf.DUMMYFUNCTION("""COMPUTED_VALUE"""),615.0)</f>
        <v>615</v>
      </c>
      <c r="F43" s="2">
        <f>IFERROR(__xludf.DUMMYFUNCTION("""COMPUTED_VALUE"""),1.7877E7)</f>
        <v>17877000</v>
      </c>
      <c r="G43" s="2">
        <f t="shared" si="1"/>
        <v>25</v>
      </c>
    </row>
    <row r="44" ht="15.75" customHeight="1">
      <c r="A44" s="1">
        <f>IFERROR(__xludf.DUMMYFUNCTION("""COMPUTED_VALUE"""),43892.66666666667)</f>
        <v>43892.66667</v>
      </c>
      <c r="B44" s="2">
        <f>IFERROR(__xludf.DUMMYFUNCTION("""COMPUTED_VALUE"""),615.0)</f>
        <v>615</v>
      </c>
      <c r="C44" s="2">
        <f>IFERROR(__xludf.DUMMYFUNCTION("""COMPUTED_VALUE"""),615.0)</f>
        <v>615</v>
      </c>
      <c r="D44" s="2">
        <f>IFERROR(__xludf.DUMMYFUNCTION("""COMPUTED_VALUE"""),600.0)</f>
        <v>600</v>
      </c>
      <c r="E44" s="2">
        <f>IFERROR(__xludf.DUMMYFUNCTION("""COMPUTED_VALUE"""),610.0)</f>
        <v>610</v>
      </c>
      <c r="F44" s="2">
        <f>IFERROR(__xludf.DUMMYFUNCTION("""COMPUTED_VALUE"""),7328500.0)</f>
        <v>7328500</v>
      </c>
      <c r="G44" s="2">
        <f t="shared" si="1"/>
        <v>15</v>
      </c>
    </row>
    <row r="45" ht="15.75" customHeight="1">
      <c r="A45" s="1">
        <f>IFERROR(__xludf.DUMMYFUNCTION("""COMPUTED_VALUE"""),43893.66666666667)</f>
        <v>43893.66667</v>
      </c>
      <c r="B45" s="2">
        <f>IFERROR(__xludf.DUMMYFUNCTION("""COMPUTED_VALUE"""),610.0)</f>
        <v>610</v>
      </c>
      <c r="C45" s="2">
        <f>IFERROR(__xludf.DUMMYFUNCTION("""COMPUTED_VALUE"""),625.0)</f>
        <v>625</v>
      </c>
      <c r="D45" s="2">
        <f>IFERROR(__xludf.DUMMYFUNCTION("""COMPUTED_VALUE"""),610.0)</f>
        <v>610</v>
      </c>
      <c r="E45" s="2">
        <f>IFERROR(__xludf.DUMMYFUNCTION("""COMPUTED_VALUE"""),615.0)</f>
        <v>615</v>
      </c>
      <c r="F45" s="2">
        <f>IFERROR(__xludf.DUMMYFUNCTION("""COMPUTED_VALUE"""),7304200.0)</f>
        <v>7304200</v>
      </c>
      <c r="G45" s="2">
        <f t="shared" si="1"/>
        <v>15</v>
      </c>
    </row>
    <row r="46" ht="15.75" customHeight="1">
      <c r="A46" s="1">
        <f>IFERROR(__xludf.DUMMYFUNCTION("""COMPUTED_VALUE"""),43894.66666666667)</f>
        <v>43894.66667</v>
      </c>
      <c r="B46" s="2">
        <f>IFERROR(__xludf.DUMMYFUNCTION("""COMPUTED_VALUE"""),615.0)</f>
        <v>615</v>
      </c>
      <c r="C46" s="2">
        <f>IFERROR(__xludf.DUMMYFUNCTION("""COMPUTED_VALUE"""),630.0)</f>
        <v>630</v>
      </c>
      <c r="D46" s="2">
        <f>IFERROR(__xludf.DUMMYFUNCTION("""COMPUTED_VALUE"""),610.0)</f>
        <v>610</v>
      </c>
      <c r="E46" s="2">
        <f>IFERROR(__xludf.DUMMYFUNCTION("""COMPUTED_VALUE"""),630.0)</f>
        <v>630</v>
      </c>
      <c r="F46" s="2">
        <f>IFERROR(__xludf.DUMMYFUNCTION("""COMPUTED_VALUE"""),8490000.0)</f>
        <v>8490000</v>
      </c>
      <c r="G46" s="2">
        <f t="shared" si="1"/>
        <v>20</v>
      </c>
    </row>
    <row r="47" ht="15.75" customHeight="1">
      <c r="A47" s="1">
        <f>IFERROR(__xludf.DUMMYFUNCTION("""COMPUTED_VALUE"""),43895.66666666667)</f>
        <v>43895.66667</v>
      </c>
      <c r="B47" s="2">
        <f>IFERROR(__xludf.DUMMYFUNCTION("""COMPUTED_VALUE"""),630.0)</f>
        <v>630</v>
      </c>
      <c r="C47" s="2">
        <f>IFERROR(__xludf.DUMMYFUNCTION("""COMPUTED_VALUE"""),635.0)</f>
        <v>635</v>
      </c>
      <c r="D47" s="2">
        <f>IFERROR(__xludf.DUMMYFUNCTION("""COMPUTED_VALUE"""),620.0)</f>
        <v>620</v>
      </c>
      <c r="E47" s="2">
        <f>IFERROR(__xludf.DUMMYFUNCTION("""COMPUTED_VALUE"""),625.0)</f>
        <v>625</v>
      </c>
      <c r="F47" s="2">
        <f>IFERROR(__xludf.DUMMYFUNCTION("""COMPUTED_VALUE"""),6088300.0)</f>
        <v>6088300</v>
      </c>
      <c r="G47" s="2">
        <f t="shared" si="1"/>
        <v>15</v>
      </c>
    </row>
    <row r="48" ht="15.75" customHeight="1">
      <c r="A48" s="1">
        <f>IFERROR(__xludf.DUMMYFUNCTION("""COMPUTED_VALUE"""),43896.66666666667)</f>
        <v>43896.66667</v>
      </c>
      <c r="B48" s="2">
        <f>IFERROR(__xludf.DUMMYFUNCTION("""COMPUTED_VALUE"""),625.0)</f>
        <v>625</v>
      </c>
      <c r="C48" s="2">
        <f>IFERROR(__xludf.DUMMYFUNCTION("""COMPUTED_VALUE"""),625.0)</f>
        <v>625</v>
      </c>
      <c r="D48" s="2">
        <f>IFERROR(__xludf.DUMMYFUNCTION("""COMPUTED_VALUE"""),615.0)</f>
        <v>615</v>
      </c>
      <c r="E48" s="2">
        <f>IFERROR(__xludf.DUMMYFUNCTION("""COMPUTED_VALUE"""),620.0)</f>
        <v>620</v>
      </c>
      <c r="F48" s="2">
        <f>IFERROR(__xludf.DUMMYFUNCTION("""COMPUTED_VALUE"""),3066300.0)</f>
        <v>3066300</v>
      </c>
      <c r="G48" s="2">
        <f t="shared" si="1"/>
        <v>10</v>
      </c>
    </row>
    <row r="49" ht="15.75" customHeight="1">
      <c r="A49" s="1">
        <f>IFERROR(__xludf.DUMMYFUNCTION("""COMPUTED_VALUE"""),43899.66666666667)</f>
        <v>43899.66667</v>
      </c>
      <c r="B49" s="2">
        <f>IFERROR(__xludf.DUMMYFUNCTION("""COMPUTED_VALUE"""),615.0)</f>
        <v>615</v>
      </c>
      <c r="C49" s="2">
        <f>IFERROR(__xludf.DUMMYFUNCTION("""COMPUTED_VALUE"""),615.0)</f>
        <v>615</v>
      </c>
      <c r="D49" s="2">
        <f>IFERROR(__xludf.DUMMYFUNCTION("""COMPUTED_VALUE"""),575.0)</f>
        <v>575</v>
      </c>
      <c r="E49" s="2">
        <f>IFERROR(__xludf.DUMMYFUNCTION("""COMPUTED_VALUE"""),585.0)</f>
        <v>585</v>
      </c>
      <c r="F49" s="2">
        <f>IFERROR(__xludf.DUMMYFUNCTION("""COMPUTED_VALUE"""),1.35983E7)</f>
        <v>13598300</v>
      </c>
      <c r="G49" s="2">
        <f t="shared" si="1"/>
        <v>45</v>
      </c>
    </row>
    <row r="50" ht="15.75" customHeight="1">
      <c r="A50" s="1">
        <f>IFERROR(__xludf.DUMMYFUNCTION("""COMPUTED_VALUE"""),43900.66666666667)</f>
        <v>43900.66667</v>
      </c>
      <c r="B50" s="2">
        <f>IFERROR(__xludf.DUMMYFUNCTION("""COMPUTED_VALUE"""),590.0)</f>
        <v>590</v>
      </c>
      <c r="C50" s="2">
        <f>IFERROR(__xludf.DUMMYFUNCTION("""COMPUTED_VALUE"""),605.0)</f>
        <v>605</v>
      </c>
      <c r="D50" s="2">
        <f>IFERROR(__xludf.DUMMYFUNCTION("""COMPUTED_VALUE"""),580.0)</f>
        <v>580</v>
      </c>
      <c r="E50" s="2">
        <f>IFERROR(__xludf.DUMMYFUNCTION("""COMPUTED_VALUE"""),585.0)</f>
        <v>585</v>
      </c>
      <c r="F50" s="2">
        <f>IFERROR(__xludf.DUMMYFUNCTION("""COMPUTED_VALUE"""),9137300.0)</f>
        <v>9137300</v>
      </c>
      <c r="G50" s="2">
        <f t="shared" si="1"/>
        <v>25</v>
      </c>
    </row>
    <row r="51" ht="15.75" customHeight="1">
      <c r="A51" s="1">
        <f>IFERROR(__xludf.DUMMYFUNCTION("""COMPUTED_VALUE"""),43901.66666666667)</f>
        <v>43901.66667</v>
      </c>
      <c r="B51" s="2">
        <f>IFERROR(__xludf.DUMMYFUNCTION("""COMPUTED_VALUE"""),595.0)</f>
        <v>595</v>
      </c>
      <c r="C51" s="2">
        <f>IFERROR(__xludf.DUMMYFUNCTION("""COMPUTED_VALUE"""),595.0)</f>
        <v>595</v>
      </c>
      <c r="D51" s="2">
        <f>IFERROR(__xludf.DUMMYFUNCTION("""COMPUTED_VALUE"""),555.0)</f>
        <v>555</v>
      </c>
      <c r="E51" s="2">
        <f>IFERROR(__xludf.DUMMYFUNCTION("""COMPUTED_VALUE"""),565.0)</f>
        <v>565</v>
      </c>
      <c r="F51" s="2">
        <f>IFERROR(__xludf.DUMMYFUNCTION("""COMPUTED_VALUE"""),1.20145E7)</f>
        <v>12014500</v>
      </c>
      <c r="G51" s="2">
        <f t="shared" si="1"/>
        <v>40</v>
      </c>
    </row>
    <row r="52" ht="15.75" customHeight="1">
      <c r="A52" s="1">
        <f>IFERROR(__xludf.DUMMYFUNCTION("""COMPUTED_VALUE"""),43902.66666666667)</f>
        <v>43902.66667</v>
      </c>
      <c r="B52" s="2">
        <f>IFERROR(__xludf.DUMMYFUNCTION("""COMPUTED_VALUE"""),565.0)</f>
        <v>565</v>
      </c>
      <c r="C52" s="2">
        <f>IFERROR(__xludf.DUMMYFUNCTION("""COMPUTED_VALUE"""),565.0)</f>
        <v>565</v>
      </c>
      <c r="D52" s="2">
        <f>IFERROR(__xludf.DUMMYFUNCTION("""COMPUTED_VALUE"""),525.0)</f>
        <v>525</v>
      </c>
      <c r="E52" s="2">
        <f>IFERROR(__xludf.DUMMYFUNCTION("""COMPUTED_VALUE"""),530.0)</f>
        <v>530</v>
      </c>
      <c r="F52" s="2">
        <f>IFERROR(__xludf.DUMMYFUNCTION("""COMPUTED_VALUE"""),9687300.0)</f>
        <v>9687300</v>
      </c>
      <c r="G52" s="2">
        <f t="shared" si="1"/>
        <v>40</v>
      </c>
    </row>
    <row r="53" ht="15.75" customHeight="1">
      <c r="A53" s="1">
        <f>IFERROR(__xludf.DUMMYFUNCTION("""COMPUTED_VALUE"""),43903.66666666667)</f>
        <v>43903.66667</v>
      </c>
      <c r="B53" s="2">
        <f>IFERROR(__xludf.DUMMYFUNCTION("""COMPUTED_VALUE"""),515.0)</f>
        <v>515</v>
      </c>
      <c r="C53" s="2">
        <f>IFERROR(__xludf.DUMMYFUNCTION("""COMPUTED_VALUE"""),525.0)</f>
        <v>525</v>
      </c>
      <c r="D53" s="2">
        <f>IFERROR(__xludf.DUMMYFUNCTION("""COMPUTED_VALUE"""),494.0)</f>
        <v>494</v>
      </c>
      <c r="E53" s="2">
        <f>IFERROR(__xludf.DUMMYFUNCTION("""COMPUTED_VALUE"""),520.0)</f>
        <v>520</v>
      </c>
      <c r="F53" s="2">
        <f>IFERROR(__xludf.DUMMYFUNCTION("""COMPUTED_VALUE"""),1.14608E7)</f>
        <v>11460800</v>
      </c>
      <c r="G53" s="2">
        <f t="shared" si="1"/>
        <v>36</v>
      </c>
    </row>
    <row r="54" ht="15.75" customHeight="1">
      <c r="A54" s="1">
        <f>IFERROR(__xludf.DUMMYFUNCTION("""COMPUTED_VALUE"""),43906.66666666667)</f>
        <v>43906.66667</v>
      </c>
      <c r="B54" s="2">
        <f>IFERROR(__xludf.DUMMYFUNCTION("""COMPUTED_VALUE"""),515.0)</f>
        <v>515</v>
      </c>
      <c r="C54" s="2">
        <f>IFERROR(__xludf.DUMMYFUNCTION("""COMPUTED_VALUE"""),520.0)</f>
        <v>520</v>
      </c>
      <c r="D54" s="2">
        <f>IFERROR(__xludf.DUMMYFUNCTION("""COMPUTED_VALUE"""),484.0)</f>
        <v>484</v>
      </c>
      <c r="E54" s="2">
        <f>IFERROR(__xludf.DUMMYFUNCTION("""COMPUTED_VALUE"""),486.0)</f>
        <v>486</v>
      </c>
      <c r="F54" s="2">
        <f>IFERROR(__xludf.DUMMYFUNCTION("""COMPUTED_VALUE"""),9098000.0)</f>
        <v>9098000</v>
      </c>
      <c r="G54" s="2">
        <f t="shared" si="1"/>
        <v>36</v>
      </c>
    </row>
    <row r="55" ht="15.75" customHeight="1">
      <c r="A55" s="1">
        <f>IFERROR(__xludf.DUMMYFUNCTION("""COMPUTED_VALUE"""),43907.66666666667)</f>
        <v>43907.66667</v>
      </c>
      <c r="B55" s="2">
        <f>IFERROR(__xludf.DUMMYFUNCTION("""COMPUTED_VALUE"""),486.0)</f>
        <v>486</v>
      </c>
      <c r="C55" s="2">
        <f>IFERROR(__xludf.DUMMYFUNCTION("""COMPUTED_VALUE"""),486.0)</f>
        <v>486</v>
      </c>
      <c r="D55" s="2">
        <f>IFERROR(__xludf.DUMMYFUNCTION("""COMPUTED_VALUE"""),452.0)</f>
        <v>452</v>
      </c>
      <c r="E55" s="2">
        <f>IFERROR(__xludf.DUMMYFUNCTION("""COMPUTED_VALUE"""),452.0)</f>
        <v>452</v>
      </c>
      <c r="F55" s="2">
        <f>IFERROR(__xludf.DUMMYFUNCTION("""COMPUTED_VALUE"""),8572900.0)</f>
        <v>8572900</v>
      </c>
      <c r="G55" s="2">
        <f t="shared" si="1"/>
        <v>34</v>
      </c>
    </row>
    <row r="56" ht="15.75" customHeight="1">
      <c r="A56" s="1">
        <f>IFERROR(__xludf.DUMMYFUNCTION("""COMPUTED_VALUE"""),43908.66666666667)</f>
        <v>43908.66667</v>
      </c>
      <c r="B56" s="2">
        <f>IFERROR(__xludf.DUMMYFUNCTION("""COMPUTED_VALUE"""),452.0)</f>
        <v>452</v>
      </c>
      <c r="C56" s="2">
        <f>IFERROR(__xludf.DUMMYFUNCTION("""COMPUTED_VALUE"""),470.0)</f>
        <v>470</v>
      </c>
      <c r="D56" s="2">
        <f>IFERROR(__xludf.DUMMYFUNCTION("""COMPUTED_VALUE"""),422.0)</f>
        <v>422</v>
      </c>
      <c r="E56" s="2">
        <f>IFERROR(__xludf.DUMMYFUNCTION("""COMPUTED_VALUE"""),432.0)</f>
        <v>432</v>
      </c>
      <c r="F56" s="2">
        <f>IFERROR(__xludf.DUMMYFUNCTION("""COMPUTED_VALUE"""),2.07433E7)</f>
        <v>20743300</v>
      </c>
      <c r="G56" s="2">
        <f t="shared" si="1"/>
        <v>48</v>
      </c>
    </row>
    <row r="57" ht="15.75" customHeight="1">
      <c r="A57" s="1">
        <f>IFERROR(__xludf.DUMMYFUNCTION("""COMPUTED_VALUE"""),43909.66666666667)</f>
        <v>43909.66667</v>
      </c>
      <c r="B57" s="2">
        <f>IFERROR(__xludf.DUMMYFUNCTION("""COMPUTED_VALUE"""),428.0)</f>
        <v>428</v>
      </c>
      <c r="C57" s="2">
        <f>IFERROR(__xludf.DUMMYFUNCTION("""COMPUTED_VALUE"""),428.0)</f>
        <v>428</v>
      </c>
      <c r="D57" s="2">
        <f>IFERROR(__xludf.DUMMYFUNCTION("""COMPUTED_VALUE"""),402.0)</f>
        <v>402</v>
      </c>
      <c r="E57" s="2">
        <f>IFERROR(__xludf.DUMMYFUNCTION("""COMPUTED_VALUE"""),402.0)</f>
        <v>402</v>
      </c>
      <c r="F57" s="2">
        <f>IFERROR(__xludf.DUMMYFUNCTION("""COMPUTED_VALUE"""),6920900.0)</f>
        <v>6920900</v>
      </c>
      <c r="G57" s="2">
        <f t="shared" si="1"/>
        <v>30</v>
      </c>
    </row>
    <row r="58" ht="15.75" customHeight="1">
      <c r="A58" s="1">
        <f>IFERROR(__xludf.DUMMYFUNCTION("""COMPUTED_VALUE"""),43910.66666666667)</f>
        <v>43910.66667</v>
      </c>
      <c r="B58" s="2">
        <f>IFERROR(__xludf.DUMMYFUNCTION("""COMPUTED_VALUE"""),400.0)</f>
        <v>400</v>
      </c>
      <c r="C58" s="2">
        <f>IFERROR(__xludf.DUMMYFUNCTION("""COMPUTED_VALUE"""),428.0)</f>
        <v>428</v>
      </c>
      <c r="D58" s="2">
        <f>IFERROR(__xludf.DUMMYFUNCTION("""COMPUTED_VALUE"""),378.0)</f>
        <v>378</v>
      </c>
      <c r="E58" s="2">
        <f>IFERROR(__xludf.DUMMYFUNCTION("""COMPUTED_VALUE"""),428.0)</f>
        <v>428</v>
      </c>
      <c r="F58" s="2">
        <f>IFERROR(__xludf.DUMMYFUNCTION("""COMPUTED_VALUE"""),1.04666E7)</f>
        <v>10466600</v>
      </c>
      <c r="G58" s="2">
        <f t="shared" si="1"/>
        <v>50</v>
      </c>
    </row>
    <row r="59" ht="15.75" customHeight="1">
      <c r="A59" s="1">
        <f>IFERROR(__xludf.DUMMYFUNCTION("""COMPUTED_VALUE"""),43913.66666666667)</f>
        <v>43913.66667</v>
      </c>
      <c r="B59" s="2">
        <f>IFERROR(__xludf.DUMMYFUNCTION("""COMPUTED_VALUE"""),420.0)</f>
        <v>420</v>
      </c>
      <c r="C59" s="2">
        <f>IFERROR(__xludf.DUMMYFUNCTION("""COMPUTED_VALUE"""),420.0)</f>
        <v>420</v>
      </c>
      <c r="D59" s="2">
        <f>IFERROR(__xludf.DUMMYFUNCTION("""COMPUTED_VALUE"""),400.0)</f>
        <v>400</v>
      </c>
      <c r="E59" s="2">
        <f>IFERROR(__xludf.DUMMYFUNCTION("""COMPUTED_VALUE"""),404.0)</f>
        <v>404</v>
      </c>
      <c r="F59" s="2">
        <f>IFERROR(__xludf.DUMMYFUNCTION("""COMPUTED_VALUE"""),8727000.0)</f>
        <v>8727000</v>
      </c>
      <c r="G59" s="2">
        <f t="shared" si="1"/>
        <v>28</v>
      </c>
    </row>
    <row r="60" ht="15.75" customHeight="1">
      <c r="A60" s="1">
        <f>IFERROR(__xludf.DUMMYFUNCTION("""COMPUTED_VALUE"""),43914.66666666667)</f>
        <v>43914.66667</v>
      </c>
      <c r="B60" s="2">
        <f>IFERROR(__xludf.DUMMYFUNCTION("""COMPUTED_VALUE"""),410.0)</f>
        <v>410</v>
      </c>
      <c r="C60" s="2">
        <f>IFERROR(__xludf.DUMMYFUNCTION("""COMPUTED_VALUE"""),418.0)</f>
        <v>418</v>
      </c>
      <c r="D60" s="2">
        <f>IFERROR(__xludf.DUMMYFUNCTION("""COMPUTED_VALUE"""),394.0)</f>
        <v>394</v>
      </c>
      <c r="E60" s="2">
        <f>IFERROR(__xludf.DUMMYFUNCTION("""COMPUTED_VALUE"""),400.0)</f>
        <v>400</v>
      </c>
      <c r="F60" s="2">
        <f>IFERROR(__xludf.DUMMYFUNCTION("""COMPUTED_VALUE"""),5935100.0)</f>
        <v>5935100</v>
      </c>
      <c r="G60" s="2">
        <f t="shared" si="1"/>
        <v>24</v>
      </c>
    </row>
    <row r="61" ht="15.75" customHeight="1">
      <c r="A61" s="1">
        <f>IFERROR(__xludf.DUMMYFUNCTION("""COMPUTED_VALUE"""),43916.66666666667)</f>
        <v>43916.66667</v>
      </c>
      <c r="B61" s="2">
        <f>IFERROR(__xludf.DUMMYFUNCTION("""COMPUTED_VALUE"""),410.0)</f>
        <v>410</v>
      </c>
      <c r="C61" s="2">
        <f>IFERROR(__xludf.DUMMYFUNCTION("""COMPUTED_VALUE"""),450.0)</f>
        <v>450</v>
      </c>
      <c r="D61" s="2">
        <f>IFERROR(__xludf.DUMMYFUNCTION("""COMPUTED_VALUE"""),404.0)</f>
        <v>404</v>
      </c>
      <c r="E61" s="2">
        <f>IFERROR(__xludf.DUMMYFUNCTION("""COMPUTED_VALUE"""),444.0)</f>
        <v>444</v>
      </c>
      <c r="F61" s="2">
        <f>IFERROR(__xludf.DUMMYFUNCTION("""COMPUTED_VALUE"""),2.08116E7)</f>
        <v>20811600</v>
      </c>
      <c r="G61" s="2">
        <f t="shared" si="1"/>
        <v>50</v>
      </c>
    </row>
    <row r="62" ht="15.75" customHeight="1">
      <c r="A62" s="1">
        <f>IFERROR(__xludf.DUMMYFUNCTION("""COMPUTED_VALUE"""),43917.66666666667)</f>
        <v>43917.66667</v>
      </c>
      <c r="B62" s="2">
        <f>IFERROR(__xludf.DUMMYFUNCTION("""COMPUTED_VALUE"""),460.0)</f>
        <v>460</v>
      </c>
      <c r="C62" s="2">
        <f>IFERROR(__xludf.DUMMYFUNCTION("""COMPUTED_VALUE"""),494.0)</f>
        <v>494</v>
      </c>
      <c r="D62" s="2">
        <f>IFERROR(__xludf.DUMMYFUNCTION("""COMPUTED_VALUE"""),458.0)</f>
        <v>458</v>
      </c>
      <c r="E62" s="2">
        <f>IFERROR(__xludf.DUMMYFUNCTION("""COMPUTED_VALUE"""),458.0)</f>
        <v>458</v>
      </c>
      <c r="F62" s="2">
        <f>IFERROR(__xludf.DUMMYFUNCTION("""COMPUTED_VALUE"""),2.06988E7)</f>
        <v>20698800</v>
      </c>
      <c r="G62" s="2">
        <f t="shared" si="1"/>
        <v>50</v>
      </c>
    </row>
    <row r="63" ht="15.75" customHeight="1">
      <c r="A63" s="1">
        <f>IFERROR(__xludf.DUMMYFUNCTION("""COMPUTED_VALUE"""),43920.66666666667)</f>
        <v>43920.66667</v>
      </c>
      <c r="B63" s="2">
        <f>IFERROR(__xludf.DUMMYFUNCTION("""COMPUTED_VALUE"""),458.0)</f>
        <v>458</v>
      </c>
      <c r="C63" s="2">
        <f>IFERROR(__xludf.DUMMYFUNCTION("""COMPUTED_VALUE"""),458.0)</f>
        <v>458</v>
      </c>
      <c r="D63" s="2">
        <f>IFERROR(__xludf.DUMMYFUNCTION("""COMPUTED_VALUE"""),426.0)</f>
        <v>426</v>
      </c>
      <c r="E63" s="2">
        <f>IFERROR(__xludf.DUMMYFUNCTION("""COMPUTED_VALUE"""),436.0)</f>
        <v>436</v>
      </c>
      <c r="F63" s="2">
        <f>IFERROR(__xludf.DUMMYFUNCTION("""COMPUTED_VALUE"""),4294500.0)</f>
        <v>4294500</v>
      </c>
      <c r="G63" s="2">
        <f t="shared" si="1"/>
        <v>32</v>
      </c>
    </row>
    <row r="64" ht="15.75" customHeight="1">
      <c r="A64" s="1">
        <f>IFERROR(__xludf.DUMMYFUNCTION("""COMPUTED_VALUE"""),43921.66666666667)</f>
        <v>43921.66667</v>
      </c>
      <c r="B64" s="2">
        <f>IFERROR(__xludf.DUMMYFUNCTION("""COMPUTED_VALUE"""),436.0)</f>
        <v>436</v>
      </c>
      <c r="C64" s="2">
        <f>IFERROR(__xludf.DUMMYFUNCTION("""COMPUTED_VALUE"""),464.0)</f>
        <v>464</v>
      </c>
      <c r="D64" s="2">
        <f>IFERROR(__xludf.DUMMYFUNCTION("""COMPUTED_VALUE"""),436.0)</f>
        <v>436</v>
      </c>
      <c r="E64" s="2">
        <f>IFERROR(__xludf.DUMMYFUNCTION("""COMPUTED_VALUE"""),438.0)</f>
        <v>438</v>
      </c>
      <c r="F64" s="2">
        <f>IFERROR(__xludf.DUMMYFUNCTION("""COMPUTED_VALUE"""),3308500.0)</f>
        <v>3308500</v>
      </c>
      <c r="G64" s="2">
        <f t="shared" si="1"/>
        <v>28</v>
      </c>
    </row>
    <row r="65" ht="15.75" customHeight="1">
      <c r="A65" s="1">
        <f>IFERROR(__xludf.DUMMYFUNCTION("""COMPUTED_VALUE"""),43922.66666666667)</f>
        <v>43922.66667</v>
      </c>
      <c r="B65" s="2">
        <f>IFERROR(__xludf.DUMMYFUNCTION("""COMPUTED_VALUE"""),444.0)</f>
        <v>444</v>
      </c>
      <c r="C65" s="2">
        <f>IFERROR(__xludf.DUMMYFUNCTION("""COMPUTED_VALUE"""),456.0)</f>
        <v>456</v>
      </c>
      <c r="D65" s="2">
        <f>IFERROR(__xludf.DUMMYFUNCTION("""COMPUTED_VALUE"""),436.0)</f>
        <v>436</v>
      </c>
      <c r="E65" s="2">
        <f>IFERROR(__xludf.DUMMYFUNCTION("""COMPUTED_VALUE"""),436.0)</f>
        <v>436</v>
      </c>
      <c r="F65" s="2">
        <f>IFERROR(__xludf.DUMMYFUNCTION("""COMPUTED_VALUE"""),3970400.0)</f>
        <v>3970400</v>
      </c>
      <c r="G65" s="2">
        <f t="shared" si="1"/>
        <v>20</v>
      </c>
    </row>
    <row r="66" ht="15.75" customHeight="1">
      <c r="A66" s="1">
        <f>IFERROR(__xludf.DUMMYFUNCTION("""COMPUTED_VALUE"""),43923.66666666667)</f>
        <v>43923.66667</v>
      </c>
      <c r="B66" s="2">
        <f>IFERROR(__xludf.DUMMYFUNCTION("""COMPUTED_VALUE"""),436.0)</f>
        <v>436</v>
      </c>
      <c r="C66" s="2">
        <f>IFERROR(__xludf.DUMMYFUNCTION("""COMPUTED_VALUE"""),468.0)</f>
        <v>468</v>
      </c>
      <c r="D66" s="2">
        <f>IFERROR(__xludf.DUMMYFUNCTION("""COMPUTED_VALUE"""),432.0)</f>
        <v>432</v>
      </c>
      <c r="E66" s="2">
        <f>IFERROR(__xludf.DUMMYFUNCTION("""COMPUTED_VALUE"""),466.0)</f>
        <v>466</v>
      </c>
      <c r="F66" s="2">
        <f>IFERROR(__xludf.DUMMYFUNCTION("""COMPUTED_VALUE"""),5138800.0)</f>
        <v>5138800</v>
      </c>
      <c r="G66" s="2">
        <f t="shared" si="1"/>
        <v>36</v>
      </c>
    </row>
    <row r="67" ht="15.75" customHeight="1">
      <c r="A67" s="1">
        <f>IFERROR(__xludf.DUMMYFUNCTION("""COMPUTED_VALUE"""),43924.66666666667)</f>
        <v>43924.66667</v>
      </c>
      <c r="B67" s="2">
        <f>IFERROR(__xludf.DUMMYFUNCTION("""COMPUTED_VALUE"""),470.0)</f>
        <v>470</v>
      </c>
      <c r="C67" s="2">
        <f>IFERROR(__xludf.DUMMYFUNCTION("""COMPUTED_VALUE"""),500.0)</f>
        <v>500</v>
      </c>
      <c r="D67" s="2">
        <f>IFERROR(__xludf.DUMMYFUNCTION("""COMPUTED_VALUE"""),470.0)</f>
        <v>470</v>
      </c>
      <c r="E67" s="2">
        <f>IFERROR(__xludf.DUMMYFUNCTION("""COMPUTED_VALUE"""),500.0)</f>
        <v>500</v>
      </c>
      <c r="F67" s="2">
        <f>IFERROR(__xludf.DUMMYFUNCTION("""COMPUTED_VALUE"""),1.14384E7)</f>
        <v>11438400</v>
      </c>
      <c r="G67" s="2">
        <f t="shared" si="1"/>
        <v>34</v>
      </c>
    </row>
    <row r="68" ht="15.75" customHeight="1">
      <c r="A68" s="1">
        <f>IFERROR(__xludf.DUMMYFUNCTION("""COMPUTED_VALUE"""),43927.66666666667)</f>
        <v>43927.66667</v>
      </c>
      <c r="B68" s="2">
        <f>IFERROR(__xludf.DUMMYFUNCTION("""COMPUTED_VALUE"""),500.0)</f>
        <v>500</v>
      </c>
      <c r="C68" s="2">
        <f>IFERROR(__xludf.DUMMYFUNCTION("""COMPUTED_VALUE"""),525.0)</f>
        <v>525</v>
      </c>
      <c r="D68" s="2">
        <f>IFERROR(__xludf.DUMMYFUNCTION("""COMPUTED_VALUE"""),500.0)</f>
        <v>500</v>
      </c>
      <c r="E68" s="2">
        <f>IFERROR(__xludf.DUMMYFUNCTION("""COMPUTED_VALUE"""),525.0)</f>
        <v>525</v>
      </c>
      <c r="F68" s="2">
        <f>IFERROR(__xludf.DUMMYFUNCTION("""COMPUTED_VALUE"""),1.06968E7)</f>
        <v>10696800</v>
      </c>
      <c r="G68" s="2">
        <f t="shared" si="1"/>
        <v>25</v>
      </c>
    </row>
    <row r="69" ht="15.75" customHeight="1">
      <c r="A69" s="1">
        <f>IFERROR(__xludf.DUMMYFUNCTION("""COMPUTED_VALUE"""),43928.66666666667)</f>
        <v>43928.66667</v>
      </c>
      <c r="B69" s="2">
        <f>IFERROR(__xludf.DUMMYFUNCTION("""COMPUTED_VALUE"""),525.0)</f>
        <v>525</v>
      </c>
      <c r="C69" s="2">
        <f>IFERROR(__xludf.DUMMYFUNCTION("""COMPUTED_VALUE"""),555.0)</f>
        <v>555</v>
      </c>
      <c r="D69" s="2">
        <f>IFERROR(__xludf.DUMMYFUNCTION("""COMPUTED_VALUE"""),520.0)</f>
        <v>520</v>
      </c>
      <c r="E69" s="2">
        <f>IFERROR(__xludf.DUMMYFUNCTION("""COMPUTED_VALUE"""),540.0)</f>
        <v>540</v>
      </c>
      <c r="F69" s="2">
        <f>IFERROR(__xludf.DUMMYFUNCTION("""COMPUTED_VALUE"""),1.27073E7)</f>
        <v>12707300</v>
      </c>
      <c r="G69" s="2">
        <f t="shared" si="1"/>
        <v>35</v>
      </c>
    </row>
    <row r="70" ht="15.75" customHeight="1">
      <c r="A70" s="1">
        <f>IFERROR(__xludf.DUMMYFUNCTION("""COMPUTED_VALUE"""),43929.66666666667)</f>
        <v>43929.66667</v>
      </c>
      <c r="B70" s="2">
        <f>IFERROR(__xludf.DUMMYFUNCTION("""COMPUTED_VALUE"""),530.0)</f>
        <v>530</v>
      </c>
      <c r="C70" s="2">
        <f>IFERROR(__xludf.DUMMYFUNCTION("""COMPUTED_VALUE"""),545.0)</f>
        <v>545</v>
      </c>
      <c r="D70" s="2">
        <f>IFERROR(__xludf.DUMMYFUNCTION("""COMPUTED_VALUE"""),505.0)</f>
        <v>505</v>
      </c>
      <c r="E70" s="2">
        <f>IFERROR(__xludf.DUMMYFUNCTION("""COMPUTED_VALUE"""),510.0)</f>
        <v>510</v>
      </c>
      <c r="F70" s="2">
        <f>IFERROR(__xludf.DUMMYFUNCTION("""COMPUTED_VALUE"""),8260000.0)</f>
        <v>8260000</v>
      </c>
      <c r="G70" s="2">
        <f t="shared" si="1"/>
        <v>40</v>
      </c>
    </row>
    <row r="71" ht="15.75" customHeight="1">
      <c r="A71" s="1">
        <f>IFERROR(__xludf.DUMMYFUNCTION("""COMPUTED_VALUE"""),43930.66666666667)</f>
        <v>43930.66667</v>
      </c>
      <c r="B71" s="2">
        <f>IFERROR(__xludf.DUMMYFUNCTION("""COMPUTED_VALUE"""),510.0)</f>
        <v>510</v>
      </c>
      <c r="C71" s="2">
        <f>IFERROR(__xludf.DUMMYFUNCTION("""COMPUTED_VALUE"""),525.0)</f>
        <v>525</v>
      </c>
      <c r="D71" s="2">
        <f>IFERROR(__xludf.DUMMYFUNCTION("""COMPUTED_VALUE"""),498.0)</f>
        <v>498</v>
      </c>
      <c r="E71" s="2">
        <f>IFERROR(__xludf.DUMMYFUNCTION("""COMPUTED_VALUE"""),510.0)</f>
        <v>510</v>
      </c>
      <c r="F71" s="2">
        <f>IFERROR(__xludf.DUMMYFUNCTION("""COMPUTED_VALUE"""),4135500.0)</f>
        <v>4135500</v>
      </c>
      <c r="G71" s="2">
        <f t="shared" si="1"/>
        <v>27</v>
      </c>
    </row>
    <row r="72" ht="15.75" customHeight="1">
      <c r="A72" s="1">
        <f>IFERROR(__xludf.DUMMYFUNCTION("""COMPUTED_VALUE"""),43934.66666666667)</f>
        <v>43934.66667</v>
      </c>
      <c r="B72" s="2">
        <f>IFERROR(__xludf.DUMMYFUNCTION("""COMPUTED_VALUE"""),515.0)</f>
        <v>515</v>
      </c>
      <c r="C72" s="2">
        <f>IFERROR(__xludf.DUMMYFUNCTION("""COMPUTED_VALUE"""),530.0)</f>
        <v>530</v>
      </c>
      <c r="D72" s="2">
        <f>IFERROR(__xludf.DUMMYFUNCTION("""COMPUTED_VALUE"""),505.0)</f>
        <v>505</v>
      </c>
      <c r="E72" s="2">
        <f>IFERROR(__xludf.DUMMYFUNCTION("""COMPUTED_VALUE"""),515.0)</f>
        <v>515</v>
      </c>
      <c r="F72" s="2">
        <f>IFERROR(__xludf.DUMMYFUNCTION("""COMPUTED_VALUE"""),2694900.0)</f>
        <v>2694900</v>
      </c>
      <c r="G72" s="2">
        <f t="shared" si="1"/>
        <v>25</v>
      </c>
    </row>
    <row r="73" ht="15.75" customHeight="1">
      <c r="A73" s="1">
        <f>IFERROR(__xludf.DUMMYFUNCTION("""COMPUTED_VALUE"""),43935.66666666667)</f>
        <v>43935.66667</v>
      </c>
      <c r="B73" s="2">
        <f>IFERROR(__xludf.DUMMYFUNCTION("""COMPUTED_VALUE"""),515.0)</f>
        <v>515</v>
      </c>
      <c r="C73" s="2">
        <f>IFERROR(__xludf.DUMMYFUNCTION("""COMPUTED_VALUE"""),550.0)</f>
        <v>550</v>
      </c>
      <c r="D73" s="2">
        <f>IFERROR(__xludf.DUMMYFUNCTION("""COMPUTED_VALUE"""),515.0)</f>
        <v>515</v>
      </c>
      <c r="E73" s="2">
        <f>IFERROR(__xludf.DUMMYFUNCTION("""COMPUTED_VALUE"""),545.0)</f>
        <v>545</v>
      </c>
      <c r="F73" s="2">
        <f>IFERROR(__xludf.DUMMYFUNCTION("""COMPUTED_VALUE"""),9371100.0)</f>
        <v>9371100</v>
      </c>
      <c r="G73" s="2">
        <f t="shared" si="1"/>
        <v>35</v>
      </c>
    </row>
    <row r="74" ht="15.75" customHeight="1">
      <c r="A74" s="1">
        <f>IFERROR(__xludf.DUMMYFUNCTION("""COMPUTED_VALUE"""),43936.66666666667)</f>
        <v>43936.66667</v>
      </c>
      <c r="B74" s="2">
        <f>IFERROR(__xludf.DUMMYFUNCTION("""COMPUTED_VALUE"""),545.0)</f>
        <v>545</v>
      </c>
      <c r="C74" s="2">
        <f>IFERROR(__xludf.DUMMYFUNCTION("""COMPUTED_VALUE"""),565.0)</f>
        <v>565</v>
      </c>
      <c r="D74" s="2">
        <f>IFERROR(__xludf.DUMMYFUNCTION("""COMPUTED_VALUE"""),545.0)</f>
        <v>545</v>
      </c>
      <c r="E74" s="2">
        <f>IFERROR(__xludf.DUMMYFUNCTION("""COMPUTED_VALUE"""),545.0)</f>
        <v>545</v>
      </c>
      <c r="F74" s="2">
        <f>IFERROR(__xludf.DUMMYFUNCTION("""COMPUTED_VALUE"""),1.06201E7)</f>
        <v>10620100</v>
      </c>
      <c r="G74" s="2">
        <f t="shared" si="1"/>
        <v>20</v>
      </c>
    </row>
    <row r="75" ht="15.75" customHeight="1">
      <c r="A75" s="1">
        <f>IFERROR(__xludf.DUMMYFUNCTION("""COMPUTED_VALUE"""),43937.66666666667)</f>
        <v>43937.66667</v>
      </c>
      <c r="B75" s="2">
        <f>IFERROR(__xludf.DUMMYFUNCTION("""COMPUTED_VALUE"""),550.0)</f>
        <v>550</v>
      </c>
      <c r="C75" s="2">
        <f>IFERROR(__xludf.DUMMYFUNCTION("""COMPUTED_VALUE"""),550.0)</f>
        <v>550</v>
      </c>
      <c r="D75" s="2">
        <f>IFERROR(__xludf.DUMMYFUNCTION("""COMPUTED_VALUE"""),530.0)</f>
        <v>530</v>
      </c>
      <c r="E75" s="2">
        <f>IFERROR(__xludf.DUMMYFUNCTION("""COMPUTED_VALUE"""),535.0)</f>
        <v>535</v>
      </c>
      <c r="F75" s="2">
        <f>IFERROR(__xludf.DUMMYFUNCTION("""COMPUTED_VALUE"""),4021400.0)</f>
        <v>4021400</v>
      </c>
      <c r="G75" s="2">
        <f t="shared" si="1"/>
        <v>20</v>
      </c>
    </row>
    <row r="76" ht="15.75" customHeight="1">
      <c r="A76" s="1">
        <f>IFERROR(__xludf.DUMMYFUNCTION("""COMPUTED_VALUE"""),43938.66666666667)</f>
        <v>43938.66667</v>
      </c>
      <c r="B76" s="2">
        <f>IFERROR(__xludf.DUMMYFUNCTION("""COMPUTED_VALUE"""),550.0)</f>
        <v>550</v>
      </c>
      <c r="C76" s="2">
        <f>IFERROR(__xludf.DUMMYFUNCTION("""COMPUTED_VALUE"""),550.0)</f>
        <v>550</v>
      </c>
      <c r="D76" s="2">
        <f>IFERROR(__xludf.DUMMYFUNCTION("""COMPUTED_VALUE"""),540.0)</f>
        <v>540</v>
      </c>
      <c r="E76" s="2">
        <f>IFERROR(__xludf.DUMMYFUNCTION("""COMPUTED_VALUE"""),545.0)</f>
        <v>545</v>
      </c>
      <c r="F76" s="2">
        <f>IFERROR(__xludf.DUMMYFUNCTION("""COMPUTED_VALUE"""),3949100.0)</f>
        <v>3949100</v>
      </c>
      <c r="G76" s="2">
        <f t="shared" si="1"/>
        <v>15</v>
      </c>
    </row>
    <row r="77" ht="15.75" customHeight="1">
      <c r="A77" s="1">
        <f>IFERROR(__xludf.DUMMYFUNCTION("""COMPUTED_VALUE"""),43941.66666666667)</f>
        <v>43941.66667</v>
      </c>
      <c r="B77" s="2">
        <f>IFERROR(__xludf.DUMMYFUNCTION("""COMPUTED_VALUE"""),545.0)</f>
        <v>545</v>
      </c>
      <c r="C77" s="2">
        <f>IFERROR(__xludf.DUMMYFUNCTION("""COMPUTED_VALUE"""),550.0)</f>
        <v>550</v>
      </c>
      <c r="D77" s="2">
        <f>IFERROR(__xludf.DUMMYFUNCTION("""COMPUTED_VALUE"""),535.0)</f>
        <v>535</v>
      </c>
      <c r="E77" s="2">
        <f>IFERROR(__xludf.DUMMYFUNCTION("""COMPUTED_VALUE"""),540.0)</f>
        <v>540</v>
      </c>
      <c r="F77" s="2">
        <f>IFERROR(__xludf.DUMMYFUNCTION("""COMPUTED_VALUE"""),4311200.0)</f>
        <v>4311200</v>
      </c>
      <c r="G77" s="2">
        <f t="shared" si="1"/>
        <v>15</v>
      </c>
    </row>
    <row r="78" ht="15.75" customHeight="1">
      <c r="A78" s="1">
        <f>IFERROR(__xludf.DUMMYFUNCTION("""COMPUTED_VALUE"""),43942.66666666667)</f>
        <v>43942.66667</v>
      </c>
      <c r="B78" s="2">
        <f>IFERROR(__xludf.DUMMYFUNCTION("""COMPUTED_VALUE"""),540.0)</f>
        <v>540</v>
      </c>
      <c r="C78" s="2">
        <f>IFERROR(__xludf.DUMMYFUNCTION("""COMPUTED_VALUE"""),540.0)</f>
        <v>540</v>
      </c>
      <c r="D78" s="2">
        <f>IFERROR(__xludf.DUMMYFUNCTION("""COMPUTED_VALUE"""),530.0)</f>
        <v>530</v>
      </c>
      <c r="E78" s="2">
        <f>IFERROR(__xludf.DUMMYFUNCTION("""COMPUTED_VALUE"""),540.0)</f>
        <v>540</v>
      </c>
      <c r="F78" s="2">
        <f>IFERROR(__xludf.DUMMYFUNCTION("""COMPUTED_VALUE"""),4260700.0)</f>
        <v>4260700</v>
      </c>
      <c r="G78" s="2">
        <f t="shared" si="1"/>
        <v>10</v>
      </c>
    </row>
    <row r="79" ht="15.75" customHeight="1">
      <c r="A79" s="1">
        <f>IFERROR(__xludf.DUMMYFUNCTION("""COMPUTED_VALUE"""),43943.66666666667)</f>
        <v>43943.66667</v>
      </c>
      <c r="B79" s="2">
        <f>IFERROR(__xludf.DUMMYFUNCTION("""COMPUTED_VALUE"""),540.0)</f>
        <v>540</v>
      </c>
      <c r="C79" s="2">
        <f>IFERROR(__xludf.DUMMYFUNCTION("""COMPUTED_VALUE"""),550.0)</f>
        <v>550</v>
      </c>
      <c r="D79" s="2">
        <f>IFERROR(__xludf.DUMMYFUNCTION("""COMPUTED_VALUE"""),535.0)</f>
        <v>535</v>
      </c>
      <c r="E79" s="2">
        <f>IFERROR(__xludf.DUMMYFUNCTION("""COMPUTED_VALUE"""),545.0)</f>
        <v>545</v>
      </c>
      <c r="F79" s="2">
        <f>IFERROR(__xludf.DUMMYFUNCTION("""COMPUTED_VALUE"""),3919800.0)</f>
        <v>3919800</v>
      </c>
      <c r="G79" s="2">
        <f t="shared" si="1"/>
        <v>15</v>
      </c>
    </row>
    <row r="80" ht="15.75" customHeight="1">
      <c r="A80" s="1">
        <f>IFERROR(__xludf.DUMMYFUNCTION("""COMPUTED_VALUE"""),43944.66666666667)</f>
        <v>43944.66667</v>
      </c>
      <c r="B80" s="2">
        <f>IFERROR(__xludf.DUMMYFUNCTION("""COMPUTED_VALUE"""),555.0)</f>
        <v>555</v>
      </c>
      <c r="C80" s="2">
        <f>IFERROR(__xludf.DUMMYFUNCTION("""COMPUTED_VALUE"""),590.0)</f>
        <v>590</v>
      </c>
      <c r="D80" s="2">
        <f>IFERROR(__xludf.DUMMYFUNCTION("""COMPUTED_VALUE"""),550.0)</f>
        <v>550</v>
      </c>
      <c r="E80" s="2">
        <f>IFERROR(__xludf.DUMMYFUNCTION("""COMPUTED_VALUE"""),580.0)</f>
        <v>580</v>
      </c>
      <c r="F80" s="2">
        <f>IFERROR(__xludf.DUMMYFUNCTION("""COMPUTED_VALUE"""),2.09902E7)</f>
        <v>20990200</v>
      </c>
      <c r="G80" s="2">
        <f t="shared" si="1"/>
        <v>45</v>
      </c>
    </row>
    <row r="81" ht="15.75" customHeight="1">
      <c r="A81" s="1">
        <f>IFERROR(__xludf.DUMMYFUNCTION("""COMPUTED_VALUE"""),43945.66666666667)</f>
        <v>43945.66667</v>
      </c>
      <c r="B81" s="2">
        <f>IFERROR(__xludf.DUMMYFUNCTION("""COMPUTED_VALUE"""),590.0)</f>
        <v>590</v>
      </c>
      <c r="C81" s="2">
        <f>IFERROR(__xludf.DUMMYFUNCTION("""COMPUTED_VALUE"""),590.0)</f>
        <v>590</v>
      </c>
      <c r="D81" s="2">
        <f>IFERROR(__xludf.DUMMYFUNCTION("""COMPUTED_VALUE"""),555.0)</f>
        <v>555</v>
      </c>
      <c r="E81" s="2">
        <f>IFERROR(__xludf.DUMMYFUNCTION("""COMPUTED_VALUE"""),555.0)</f>
        <v>555</v>
      </c>
      <c r="F81" s="2">
        <f>IFERROR(__xludf.DUMMYFUNCTION("""COMPUTED_VALUE"""),8248700.0)</f>
        <v>8248700</v>
      </c>
      <c r="G81" s="2">
        <f t="shared" si="1"/>
        <v>35</v>
      </c>
    </row>
    <row r="82" ht="15.75" customHeight="1">
      <c r="A82" s="1">
        <f>IFERROR(__xludf.DUMMYFUNCTION("""COMPUTED_VALUE"""),43948.66666666667)</f>
        <v>43948.66667</v>
      </c>
      <c r="B82" s="2">
        <f>IFERROR(__xludf.DUMMYFUNCTION("""COMPUTED_VALUE"""),560.0)</f>
        <v>560</v>
      </c>
      <c r="C82" s="2">
        <f>IFERROR(__xludf.DUMMYFUNCTION("""COMPUTED_VALUE"""),575.0)</f>
        <v>575</v>
      </c>
      <c r="D82" s="2">
        <f>IFERROR(__xludf.DUMMYFUNCTION("""COMPUTED_VALUE"""),530.0)</f>
        <v>530</v>
      </c>
      <c r="E82" s="2">
        <f>IFERROR(__xludf.DUMMYFUNCTION("""COMPUTED_VALUE"""),540.0)</f>
        <v>540</v>
      </c>
      <c r="F82" s="2">
        <f>IFERROR(__xludf.DUMMYFUNCTION("""COMPUTED_VALUE"""),1.05534E7)</f>
        <v>10553400</v>
      </c>
      <c r="G82" s="2">
        <f t="shared" si="1"/>
        <v>45</v>
      </c>
    </row>
    <row r="83" ht="15.75" customHeight="1">
      <c r="A83" s="1">
        <f>IFERROR(__xludf.DUMMYFUNCTION("""COMPUTED_VALUE"""),43949.66666666667)</f>
        <v>43949.66667</v>
      </c>
      <c r="B83" s="2">
        <f>IFERROR(__xludf.DUMMYFUNCTION("""COMPUTED_VALUE"""),545.0)</f>
        <v>545</v>
      </c>
      <c r="C83" s="2">
        <f>IFERROR(__xludf.DUMMYFUNCTION("""COMPUTED_VALUE"""),545.0)</f>
        <v>545</v>
      </c>
      <c r="D83" s="2">
        <f>IFERROR(__xludf.DUMMYFUNCTION("""COMPUTED_VALUE"""),530.0)</f>
        <v>530</v>
      </c>
      <c r="E83" s="2">
        <f>IFERROR(__xludf.DUMMYFUNCTION("""COMPUTED_VALUE"""),530.0)</f>
        <v>530</v>
      </c>
      <c r="F83" s="2">
        <f>IFERROR(__xludf.DUMMYFUNCTION("""COMPUTED_VALUE"""),4500400.0)</f>
        <v>4500400</v>
      </c>
      <c r="G83" s="2">
        <f t="shared" si="1"/>
        <v>15</v>
      </c>
    </row>
    <row r="84" ht="15.75" customHeight="1">
      <c r="A84" s="1">
        <f>IFERROR(__xludf.DUMMYFUNCTION("""COMPUTED_VALUE"""),43950.66666666667)</f>
        <v>43950.66667</v>
      </c>
      <c r="B84" s="2">
        <f>IFERROR(__xludf.DUMMYFUNCTION("""COMPUTED_VALUE"""),535.0)</f>
        <v>535</v>
      </c>
      <c r="C84" s="2">
        <f>IFERROR(__xludf.DUMMYFUNCTION("""COMPUTED_VALUE"""),555.0)</f>
        <v>555</v>
      </c>
      <c r="D84" s="2">
        <f>IFERROR(__xludf.DUMMYFUNCTION("""COMPUTED_VALUE"""),530.0)</f>
        <v>530</v>
      </c>
      <c r="E84" s="2">
        <f>IFERROR(__xludf.DUMMYFUNCTION("""COMPUTED_VALUE"""),545.0)</f>
        <v>545</v>
      </c>
      <c r="F84" s="2">
        <f>IFERROR(__xludf.DUMMYFUNCTION("""COMPUTED_VALUE"""),8782600.0)</f>
        <v>8782600</v>
      </c>
      <c r="G84" s="2">
        <f t="shared" si="1"/>
        <v>25</v>
      </c>
    </row>
    <row r="85" ht="15.75" customHeight="1">
      <c r="A85" s="1">
        <f>IFERROR(__xludf.DUMMYFUNCTION("""COMPUTED_VALUE"""),43951.66666666667)</f>
        <v>43951.66667</v>
      </c>
      <c r="B85" s="2">
        <f>IFERROR(__xludf.DUMMYFUNCTION("""COMPUTED_VALUE"""),550.0)</f>
        <v>550</v>
      </c>
      <c r="C85" s="2">
        <f>IFERROR(__xludf.DUMMYFUNCTION("""COMPUTED_VALUE"""),565.0)</f>
        <v>565</v>
      </c>
      <c r="D85" s="2">
        <f>IFERROR(__xludf.DUMMYFUNCTION("""COMPUTED_VALUE"""),550.0)</f>
        <v>550</v>
      </c>
      <c r="E85" s="2">
        <f>IFERROR(__xludf.DUMMYFUNCTION("""COMPUTED_VALUE"""),560.0)</f>
        <v>560</v>
      </c>
      <c r="F85" s="2">
        <f>IFERROR(__xludf.DUMMYFUNCTION("""COMPUTED_VALUE"""),1.80518E7)</f>
        <v>18051800</v>
      </c>
      <c r="G85" s="2">
        <f t="shared" si="1"/>
        <v>20</v>
      </c>
    </row>
    <row r="86" ht="15.75" customHeight="1">
      <c r="A86" s="1">
        <f>IFERROR(__xludf.DUMMYFUNCTION("""COMPUTED_VALUE"""),43955.66666666667)</f>
        <v>43955.66667</v>
      </c>
      <c r="B86" s="2">
        <f>IFERROR(__xludf.DUMMYFUNCTION("""COMPUTED_VALUE"""),550.0)</f>
        <v>550</v>
      </c>
      <c r="C86" s="2">
        <f>IFERROR(__xludf.DUMMYFUNCTION("""COMPUTED_VALUE"""),560.0)</f>
        <v>560</v>
      </c>
      <c r="D86" s="2">
        <f>IFERROR(__xludf.DUMMYFUNCTION("""COMPUTED_VALUE"""),540.0)</f>
        <v>540</v>
      </c>
      <c r="E86" s="2">
        <f>IFERROR(__xludf.DUMMYFUNCTION("""COMPUTED_VALUE"""),545.0)</f>
        <v>545</v>
      </c>
      <c r="F86" s="2">
        <f>IFERROR(__xludf.DUMMYFUNCTION("""COMPUTED_VALUE"""),2.26698E7)</f>
        <v>22669800</v>
      </c>
      <c r="G86" s="2">
        <f t="shared" si="1"/>
        <v>20</v>
      </c>
    </row>
    <row r="87" ht="15.75" customHeight="1">
      <c r="A87" s="1">
        <f>IFERROR(__xludf.DUMMYFUNCTION("""COMPUTED_VALUE"""),43956.66666666667)</f>
        <v>43956.66667</v>
      </c>
      <c r="B87" s="2">
        <f>IFERROR(__xludf.DUMMYFUNCTION("""COMPUTED_VALUE"""),550.0)</f>
        <v>550</v>
      </c>
      <c r="C87" s="2">
        <f>IFERROR(__xludf.DUMMYFUNCTION("""COMPUTED_VALUE"""),555.0)</f>
        <v>555</v>
      </c>
      <c r="D87" s="2">
        <f>IFERROR(__xludf.DUMMYFUNCTION("""COMPUTED_VALUE"""),535.0)</f>
        <v>535</v>
      </c>
      <c r="E87" s="2">
        <f>IFERROR(__xludf.DUMMYFUNCTION("""COMPUTED_VALUE"""),540.0)</f>
        <v>540</v>
      </c>
      <c r="F87" s="2">
        <f>IFERROR(__xludf.DUMMYFUNCTION("""COMPUTED_VALUE"""),3.05686E7)</f>
        <v>30568600</v>
      </c>
      <c r="G87" s="2">
        <f t="shared" si="1"/>
        <v>20</v>
      </c>
    </row>
    <row r="88" ht="15.75" customHeight="1">
      <c r="A88" s="1">
        <f>IFERROR(__xludf.DUMMYFUNCTION("""COMPUTED_VALUE"""),43957.66666666667)</f>
        <v>43957.66667</v>
      </c>
      <c r="B88" s="2">
        <f>IFERROR(__xludf.DUMMYFUNCTION("""COMPUTED_VALUE"""),505.0)</f>
        <v>505</v>
      </c>
      <c r="C88" s="2">
        <f>IFERROR(__xludf.DUMMYFUNCTION("""COMPUTED_VALUE"""),505.0)</f>
        <v>505</v>
      </c>
      <c r="D88" s="2">
        <f>IFERROR(__xludf.DUMMYFUNCTION("""COMPUTED_VALUE"""),505.0)</f>
        <v>505</v>
      </c>
      <c r="E88" s="2">
        <f>IFERROR(__xludf.DUMMYFUNCTION("""COMPUTED_VALUE"""),505.0)</f>
        <v>505</v>
      </c>
      <c r="F88" s="2">
        <f>IFERROR(__xludf.DUMMYFUNCTION("""COMPUTED_VALUE"""),6725300.0)</f>
        <v>6725300</v>
      </c>
      <c r="G88" s="2">
        <f t="shared" si="1"/>
        <v>35</v>
      </c>
    </row>
    <row r="89" ht="15.75" customHeight="1">
      <c r="A89" s="1">
        <f>IFERROR(__xludf.DUMMYFUNCTION("""COMPUTED_VALUE"""),43959.66666666667)</f>
        <v>43959.66667</v>
      </c>
      <c r="B89" s="2">
        <f>IFERROR(__xludf.DUMMYFUNCTION("""COMPUTED_VALUE"""),488.0)</f>
        <v>488</v>
      </c>
      <c r="C89" s="2">
        <f>IFERROR(__xludf.DUMMYFUNCTION("""COMPUTED_VALUE"""),498.0)</f>
        <v>498</v>
      </c>
      <c r="D89" s="2">
        <f>IFERROR(__xludf.DUMMYFUNCTION("""COMPUTED_VALUE"""),480.0)</f>
        <v>480</v>
      </c>
      <c r="E89" s="2">
        <f>IFERROR(__xludf.DUMMYFUNCTION("""COMPUTED_VALUE"""),496.0)</f>
        <v>496</v>
      </c>
      <c r="F89" s="2">
        <f>IFERROR(__xludf.DUMMYFUNCTION("""COMPUTED_VALUE"""),2.01091E7)</f>
        <v>20109100</v>
      </c>
      <c r="G89" s="2">
        <f t="shared" si="1"/>
        <v>25</v>
      </c>
    </row>
    <row r="90" ht="15.75" customHeight="1">
      <c r="A90" s="1">
        <f>IFERROR(__xludf.DUMMYFUNCTION("""COMPUTED_VALUE"""),43962.66666666667)</f>
        <v>43962.66667</v>
      </c>
      <c r="B90" s="2">
        <f>IFERROR(__xludf.DUMMYFUNCTION("""COMPUTED_VALUE"""),505.0)</f>
        <v>505</v>
      </c>
      <c r="C90" s="2">
        <f>IFERROR(__xludf.DUMMYFUNCTION("""COMPUTED_VALUE"""),505.0)</f>
        <v>505</v>
      </c>
      <c r="D90" s="2">
        <f>IFERROR(__xludf.DUMMYFUNCTION("""COMPUTED_VALUE"""),492.0)</f>
        <v>492</v>
      </c>
      <c r="E90" s="2">
        <f>IFERROR(__xludf.DUMMYFUNCTION("""COMPUTED_VALUE"""),494.0)</f>
        <v>494</v>
      </c>
      <c r="F90" s="2">
        <f>IFERROR(__xludf.DUMMYFUNCTION("""COMPUTED_VALUE"""),1.07162E7)</f>
        <v>10716200</v>
      </c>
      <c r="G90" s="2">
        <f t="shared" si="1"/>
        <v>13</v>
      </c>
    </row>
    <row r="91" ht="15.75" customHeight="1">
      <c r="A91" s="1">
        <f>IFERROR(__xludf.DUMMYFUNCTION("""COMPUTED_VALUE"""),43963.66666666667)</f>
        <v>43963.66667</v>
      </c>
      <c r="B91" s="2">
        <f>IFERROR(__xludf.DUMMYFUNCTION("""COMPUTED_VALUE"""),496.0)</f>
        <v>496</v>
      </c>
      <c r="C91" s="2">
        <f>IFERROR(__xludf.DUMMYFUNCTION("""COMPUTED_VALUE"""),498.0)</f>
        <v>498</v>
      </c>
      <c r="D91" s="2">
        <f>IFERROR(__xludf.DUMMYFUNCTION("""COMPUTED_VALUE"""),478.0)</f>
        <v>478</v>
      </c>
      <c r="E91" s="2">
        <f>IFERROR(__xludf.DUMMYFUNCTION("""COMPUTED_VALUE"""),484.0)</f>
        <v>484</v>
      </c>
      <c r="F91" s="2">
        <f>IFERROR(__xludf.DUMMYFUNCTION("""COMPUTED_VALUE"""),1.04945E7)</f>
        <v>10494500</v>
      </c>
      <c r="G91" s="2">
        <f t="shared" si="1"/>
        <v>20</v>
      </c>
    </row>
    <row r="92" ht="15.75" customHeight="1">
      <c r="A92" s="1">
        <f>IFERROR(__xludf.DUMMYFUNCTION("""COMPUTED_VALUE"""),43964.66666666667)</f>
        <v>43964.66667</v>
      </c>
      <c r="B92" s="2">
        <f>IFERROR(__xludf.DUMMYFUNCTION("""COMPUTED_VALUE"""),484.0)</f>
        <v>484</v>
      </c>
      <c r="C92" s="2">
        <f>IFERROR(__xludf.DUMMYFUNCTION("""COMPUTED_VALUE"""),486.0)</f>
        <v>486</v>
      </c>
      <c r="D92" s="2">
        <f>IFERROR(__xludf.DUMMYFUNCTION("""COMPUTED_VALUE"""),474.0)</f>
        <v>474</v>
      </c>
      <c r="E92" s="2">
        <f>IFERROR(__xludf.DUMMYFUNCTION("""COMPUTED_VALUE"""),480.0)</f>
        <v>480</v>
      </c>
      <c r="F92" s="2">
        <f>IFERROR(__xludf.DUMMYFUNCTION("""COMPUTED_VALUE"""),6552200.0)</f>
        <v>6552200</v>
      </c>
      <c r="G92" s="2">
        <f t="shared" si="1"/>
        <v>12</v>
      </c>
    </row>
    <row r="93" ht="15.75" customHeight="1">
      <c r="A93" s="1">
        <f>IFERROR(__xludf.DUMMYFUNCTION("""COMPUTED_VALUE"""),43965.66666666667)</f>
        <v>43965.66667</v>
      </c>
      <c r="B93" s="2">
        <f>IFERROR(__xludf.DUMMYFUNCTION("""COMPUTED_VALUE"""),490.0)</f>
        <v>490</v>
      </c>
      <c r="C93" s="2">
        <f>IFERROR(__xludf.DUMMYFUNCTION("""COMPUTED_VALUE"""),490.0)</f>
        <v>490</v>
      </c>
      <c r="D93" s="2">
        <f>IFERROR(__xludf.DUMMYFUNCTION("""COMPUTED_VALUE"""),474.0)</f>
        <v>474</v>
      </c>
      <c r="E93" s="2">
        <f>IFERROR(__xludf.DUMMYFUNCTION("""COMPUTED_VALUE"""),474.0)</f>
        <v>474</v>
      </c>
      <c r="F93" s="2">
        <f>IFERROR(__xludf.DUMMYFUNCTION("""COMPUTED_VALUE"""),4982700.0)</f>
        <v>4982700</v>
      </c>
      <c r="G93" s="2">
        <f t="shared" si="1"/>
        <v>16</v>
      </c>
    </row>
    <row r="94" ht="15.75" customHeight="1">
      <c r="A94" s="1">
        <f>IFERROR(__xludf.DUMMYFUNCTION("""COMPUTED_VALUE"""),43966.66666666667)</f>
        <v>43966.66667</v>
      </c>
      <c r="B94" s="2">
        <f>IFERROR(__xludf.DUMMYFUNCTION("""COMPUTED_VALUE"""),482.0)</f>
        <v>482</v>
      </c>
      <c r="C94" s="2">
        <f>IFERROR(__xludf.DUMMYFUNCTION("""COMPUTED_VALUE"""),484.0)</f>
        <v>484</v>
      </c>
      <c r="D94" s="2">
        <f>IFERROR(__xludf.DUMMYFUNCTION("""COMPUTED_VALUE"""),470.0)</f>
        <v>470</v>
      </c>
      <c r="E94" s="2">
        <f>IFERROR(__xludf.DUMMYFUNCTION("""COMPUTED_VALUE"""),474.0)</f>
        <v>474</v>
      </c>
      <c r="F94" s="2">
        <f>IFERROR(__xludf.DUMMYFUNCTION("""COMPUTED_VALUE"""),3260500.0)</f>
        <v>3260500</v>
      </c>
      <c r="G94" s="2">
        <f t="shared" si="1"/>
        <v>14</v>
      </c>
    </row>
    <row r="95" ht="15.75" customHeight="1">
      <c r="A95" s="1">
        <f>IFERROR(__xludf.DUMMYFUNCTION("""COMPUTED_VALUE"""),43969.66666666667)</f>
        <v>43969.66667</v>
      </c>
      <c r="B95" s="2">
        <f>IFERROR(__xludf.DUMMYFUNCTION("""COMPUTED_VALUE"""),474.0)</f>
        <v>474</v>
      </c>
      <c r="C95" s="2">
        <f>IFERROR(__xludf.DUMMYFUNCTION("""COMPUTED_VALUE"""),478.0)</f>
        <v>478</v>
      </c>
      <c r="D95" s="2">
        <f>IFERROR(__xludf.DUMMYFUNCTION("""COMPUTED_VALUE"""),470.0)</f>
        <v>470</v>
      </c>
      <c r="E95" s="2">
        <f>IFERROR(__xludf.DUMMYFUNCTION("""COMPUTED_VALUE"""),476.0)</f>
        <v>476</v>
      </c>
      <c r="F95" s="2">
        <f>IFERROR(__xludf.DUMMYFUNCTION("""COMPUTED_VALUE"""),2812300.0)</f>
        <v>2812300</v>
      </c>
      <c r="G95" s="2">
        <f t="shared" si="1"/>
        <v>8</v>
      </c>
    </row>
    <row r="96" ht="15.75" customHeight="1">
      <c r="A96" s="1">
        <f>IFERROR(__xludf.DUMMYFUNCTION("""COMPUTED_VALUE"""),43970.66666666667)</f>
        <v>43970.66667</v>
      </c>
      <c r="B96" s="2">
        <f>IFERROR(__xludf.DUMMYFUNCTION("""COMPUTED_VALUE"""),478.0)</f>
        <v>478</v>
      </c>
      <c r="C96" s="2">
        <f>IFERROR(__xludf.DUMMYFUNCTION("""COMPUTED_VALUE"""),492.0)</f>
        <v>492</v>
      </c>
      <c r="D96" s="2">
        <f>IFERROR(__xludf.DUMMYFUNCTION("""COMPUTED_VALUE"""),478.0)</f>
        <v>478</v>
      </c>
      <c r="E96" s="2">
        <f>IFERROR(__xludf.DUMMYFUNCTION("""COMPUTED_VALUE"""),484.0)</f>
        <v>484</v>
      </c>
      <c r="F96" s="2">
        <f>IFERROR(__xludf.DUMMYFUNCTION("""COMPUTED_VALUE"""),5815200.0)</f>
        <v>5815200</v>
      </c>
      <c r="G96" s="2">
        <f t="shared" si="1"/>
        <v>16</v>
      </c>
    </row>
    <row r="97" ht="15.75" customHeight="1">
      <c r="A97" s="1">
        <f>IFERROR(__xludf.DUMMYFUNCTION("""COMPUTED_VALUE"""),43971.66666666667)</f>
        <v>43971.66667</v>
      </c>
      <c r="B97" s="2">
        <f>IFERROR(__xludf.DUMMYFUNCTION("""COMPUTED_VALUE"""),484.0)</f>
        <v>484</v>
      </c>
      <c r="C97" s="2">
        <f>IFERROR(__xludf.DUMMYFUNCTION("""COMPUTED_VALUE"""),488.0)</f>
        <v>488</v>
      </c>
      <c r="D97" s="2">
        <f>IFERROR(__xludf.DUMMYFUNCTION("""COMPUTED_VALUE"""),480.0)</f>
        <v>480</v>
      </c>
      <c r="E97" s="2">
        <f>IFERROR(__xludf.DUMMYFUNCTION("""COMPUTED_VALUE"""),486.0)</f>
        <v>486</v>
      </c>
      <c r="F97" s="2">
        <f>IFERROR(__xludf.DUMMYFUNCTION("""COMPUTED_VALUE"""),3073800.0)</f>
        <v>3073800</v>
      </c>
      <c r="G97" s="2">
        <f t="shared" si="1"/>
        <v>8</v>
      </c>
    </row>
    <row r="98" ht="15.75" customHeight="1">
      <c r="A98" s="1">
        <f>IFERROR(__xludf.DUMMYFUNCTION("""COMPUTED_VALUE"""),43977.66666666667)</f>
        <v>43977.66667</v>
      </c>
      <c r="B98" s="2">
        <f>IFERROR(__xludf.DUMMYFUNCTION("""COMPUTED_VALUE"""),486.0)</f>
        <v>486</v>
      </c>
      <c r="C98" s="2">
        <f>IFERROR(__xludf.DUMMYFUNCTION("""COMPUTED_VALUE"""),492.0)</f>
        <v>492</v>
      </c>
      <c r="D98" s="2">
        <f>IFERROR(__xludf.DUMMYFUNCTION("""COMPUTED_VALUE"""),486.0)</f>
        <v>486</v>
      </c>
      <c r="E98" s="2">
        <f>IFERROR(__xludf.DUMMYFUNCTION("""COMPUTED_VALUE"""),490.0)</f>
        <v>490</v>
      </c>
      <c r="F98" s="2">
        <f>IFERROR(__xludf.DUMMYFUNCTION("""COMPUTED_VALUE"""),4412400.0)</f>
        <v>4412400</v>
      </c>
      <c r="G98" s="2">
        <f t="shared" si="1"/>
        <v>6</v>
      </c>
    </row>
    <row r="99" ht="15.75" customHeight="1">
      <c r="A99" s="1">
        <f>IFERROR(__xludf.DUMMYFUNCTION("""COMPUTED_VALUE"""),43978.66666666667)</f>
        <v>43978.66667</v>
      </c>
      <c r="B99" s="2">
        <f>IFERROR(__xludf.DUMMYFUNCTION("""COMPUTED_VALUE"""),494.0)</f>
        <v>494</v>
      </c>
      <c r="C99" s="2">
        <f>IFERROR(__xludf.DUMMYFUNCTION("""COMPUTED_VALUE"""),498.0)</f>
        <v>498</v>
      </c>
      <c r="D99" s="2">
        <f>IFERROR(__xludf.DUMMYFUNCTION("""COMPUTED_VALUE"""),490.0)</f>
        <v>490</v>
      </c>
      <c r="E99" s="2">
        <f>IFERROR(__xludf.DUMMYFUNCTION("""COMPUTED_VALUE"""),496.0)</f>
        <v>496</v>
      </c>
      <c r="F99" s="2">
        <f>IFERROR(__xludf.DUMMYFUNCTION("""COMPUTED_VALUE"""),3649400.0)</f>
        <v>3649400</v>
      </c>
      <c r="G99" s="2">
        <f t="shared" si="1"/>
        <v>8</v>
      </c>
    </row>
    <row r="100" ht="15.75" customHeight="1">
      <c r="A100" s="1">
        <f>IFERROR(__xludf.DUMMYFUNCTION("""COMPUTED_VALUE"""),43979.66666666667)</f>
        <v>43979.66667</v>
      </c>
      <c r="B100" s="2">
        <f>IFERROR(__xludf.DUMMYFUNCTION("""COMPUTED_VALUE"""),498.0)</f>
        <v>498</v>
      </c>
      <c r="C100" s="2">
        <f>IFERROR(__xludf.DUMMYFUNCTION("""COMPUTED_VALUE"""),510.0)</f>
        <v>510</v>
      </c>
      <c r="D100" s="2">
        <f>IFERROR(__xludf.DUMMYFUNCTION("""COMPUTED_VALUE"""),496.0)</f>
        <v>496</v>
      </c>
      <c r="E100" s="2">
        <f>IFERROR(__xludf.DUMMYFUNCTION("""COMPUTED_VALUE"""),498.0)</f>
        <v>498</v>
      </c>
      <c r="F100" s="2">
        <f>IFERROR(__xludf.DUMMYFUNCTION("""COMPUTED_VALUE"""),9714500.0)</f>
        <v>9714500</v>
      </c>
      <c r="G100" s="2">
        <f t="shared" si="1"/>
        <v>14</v>
      </c>
    </row>
    <row r="101" ht="15.75" customHeight="1">
      <c r="A101" s="1">
        <f>IFERROR(__xludf.DUMMYFUNCTION("""COMPUTED_VALUE"""),43980.66666666667)</f>
        <v>43980.66667</v>
      </c>
      <c r="B101" s="2">
        <f>IFERROR(__xludf.DUMMYFUNCTION("""COMPUTED_VALUE"""),498.0)</f>
        <v>498</v>
      </c>
      <c r="C101" s="2">
        <f>IFERROR(__xludf.DUMMYFUNCTION("""COMPUTED_VALUE"""),498.0)</f>
        <v>498</v>
      </c>
      <c r="D101" s="2">
        <f>IFERROR(__xludf.DUMMYFUNCTION("""COMPUTED_VALUE"""),488.0)</f>
        <v>488</v>
      </c>
      <c r="E101" s="2">
        <f>IFERROR(__xludf.DUMMYFUNCTION("""COMPUTED_VALUE"""),488.0)</f>
        <v>488</v>
      </c>
      <c r="F101" s="2">
        <f>IFERROR(__xludf.DUMMYFUNCTION("""COMPUTED_VALUE"""),1.13215E7)</f>
        <v>11321500</v>
      </c>
      <c r="G101" s="2">
        <f t="shared" si="1"/>
        <v>10</v>
      </c>
    </row>
    <row r="102" ht="15.75" customHeight="1">
      <c r="A102" s="1">
        <f>IFERROR(__xludf.DUMMYFUNCTION("""COMPUTED_VALUE"""),43984.66666666667)</f>
        <v>43984.66667</v>
      </c>
      <c r="B102" s="2">
        <f>IFERROR(__xludf.DUMMYFUNCTION("""COMPUTED_VALUE"""),488.0)</f>
        <v>488</v>
      </c>
      <c r="C102" s="2">
        <f>IFERROR(__xludf.DUMMYFUNCTION("""COMPUTED_VALUE"""),500.0)</f>
        <v>500</v>
      </c>
      <c r="D102" s="2">
        <f>IFERROR(__xludf.DUMMYFUNCTION("""COMPUTED_VALUE"""),488.0)</f>
        <v>488</v>
      </c>
      <c r="E102" s="2">
        <f>IFERROR(__xludf.DUMMYFUNCTION("""COMPUTED_VALUE"""),490.0)</f>
        <v>490</v>
      </c>
      <c r="F102" s="2">
        <f>IFERROR(__xludf.DUMMYFUNCTION("""COMPUTED_VALUE"""),1.76894E7)</f>
        <v>17689400</v>
      </c>
      <c r="G102" s="2">
        <f t="shared" si="1"/>
        <v>12</v>
      </c>
    </row>
    <row r="103" ht="15.75" customHeight="1">
      <c r="A103" s="1">
        <f>IFERROR(__xludf.DUMMYFUNCTION("""COMPUTED_VALUE"""),43985.66666666667)</f>
        <v>43985.66667</v>
      </c>
      <c r="B103" s="2">
        <f>IFERROR(__xludf.DUMMYFUNCTION("""COMPUTED_VALUE"""),490.0)</f>
        <v>490</v>
      </c>
      <c r="C103" s="2">
        <f>IFERROR(__xludf.DUMMYFUNCTION("""COMPUTED_VALUE"""),500.0)</f>
        <v>500</v>
      </c>
      <c r="D103" s="2">
        <f>IFERROR(__xludf.DUMMYFUNCTION("""COMPUTED_VALUE"""),490.0)</f>
        <v>490</v>
      </c>
      <c r="E103" s="2">
        <f>IFERROR(__xludf.DUMMYFUNCTION("""COMPUTED_VALUE"""),496.0)</f>
        <v>496</v>
      </c>
      <c r="F103" s="2">
        <f>IFERROR(__xludf.DUMMYFUNCTION("""COMPUTED_VALUE"""),1.16267E7)</f>
        <v>11626700</v>
      </c>
      <c r="G103" s="2">
        <f t="shared" si="1"/>
        <v>10</v>
      </c>
    </row>
    <row r="104" ht="15.75" customHeight="1">
      <c r="A104" s="1">
        <f>IFERROR(__xludf.DUMMYFUNCTION("""COMPUTED_VALUE"""),43986.66666666667)</f>
        <v>43986.66667</v>
      </c>
      <c r="B104" s="2">
        <f>IFERROR(__xludf.DUMMYFUNCTION("""COMPUTED_VALUE"""),500.0)</f>
        <v>500</v>
      </c>
      <c r="C104" s="2">
        <f>IFERROR(__xludf.DUMMYFUNCTION("""COMPUTED_VALUE"""),530.0)</f>
        <v>530</v>
      </c>
      <c r="D104" s="2">
        <f>IFERROR(__xludf.DUMMYFUNCTION("""COMPUTED_VALUE"""),498.0)</f>
        <v>498</v>
      </c>
      <c r="E104" s="2">
        <f>IFERROR(__xludf.DUMMYFUNCTION("""COMPUTED_VALUE"""),510.0)</f>
        <v>510</v>
      </c>
      <c r="F104" s="2">
        <f>IFERROR(__xludf.DUMMYFUNCTION("""COMPUTED_VALUE"""),3.5471E7)</f>
        <v>35471000</v>
      </c>
      <c r="G104" s="2">
        <f t="shared" si="1"/>
        <v>34</v>
      </c>
    </row>
    <row r="105" ht="15.75" customHeight="1">
      <c r="A105" s="1">
        <f>IFERROR(__xludf.DUMMYFUNCTION("""COMPUTED_VALUE"""),43987.66666666667)</f>
        <v>43987.66667</v>
      </c>
      <c r="B105" s="2">
        <f>IFERROR(__xludf.DUMMYFUNCTION("""COMPUTED_VALUE"""),515.0)</f>
        <v>515</v>
      </c>
      <c r="C105" s="2">
        <f>IFERROR(__xludf.DUMMYFUNCTION("""COMPUTED_VALUE"""),515.0)</f>
        <v>515</v>
      </c>
      <c r="D105" s="2">
        <f>IFERROR(__xludf.DUMMYFUNCTION("""COMPUTED_VALUE"""),500.0)</f>
        <v>500</v>
      </c>
      <c r="E105" s="2">
        <f>IFERROR(__xludf.DUMMYFUNCTION("""COMPUTED_VALUE"""),510.0)</f>
        <v>510</v>
      </c>
      <c r="F105" s="2">
        <f>IFERROR(__xludf.DUMMYFUNCTION("""COMPUTED_VALUE"""),9968600.0)</f>
        <v>9968600</v>
      </c>
      <c r="G105" s="2">
        <f t="shared" si="1"/>
        <v>15</v>
      </c>
    </row>
    <row r="106" ht="15.75" customHeight="1">
      <c r="A106" s="1">
        <f>IFERROR(__xludf.DUMMYFUNCTION("""COMPUTED_VALUE"""),43990.66666666667)</f>
        <v>43990.66667</v>
      </c>
      <c r="B106" s="2">
        <f>IFERROR(__xludf.DUMMYFUNCTION("""COMPUTED_VALUE"""),520.0)</f>
        <v>520</v>
      </c>
      <c r="C106" s="2">
        <f>IFERROR(__xludf.DUMMYFUNCTION("""COMPUTED_VALUE"""),535.0)</f>
        <v>535</v>
      </c>
      <c r="D106" s="2">
        <f>IFERROR(__xludf.DUMMYFUNCTION("""COMPUTED_VALUE"""),510.0)</f>
        <v>510</v>
      </c>
      <c r="E106" s="2">
        <f>IFERROR(__xludf.DUMMYFUNCTION("""COMPUTED_VALUE"""),525.0)</f>
        <v>525</v>
      </c>
      <c r="F106" s="2">
        <f>IFERROR(__xludf.DUMMYFUNCTION("""COMPUTED_VALUE"""),2.54278E7)</f>
        <v>25427800</v>
      </c>
      <c r="G106" s="2">
        <f t="shared" si="1"/>
        <v>25</v>
      </c>
    </row>
    <row r="107" ht="15.75" customHeight="1">
      <c r="A107" s="1">
        <f>IFERROR(__xludf.DUMMYFUNCTION("""COMPUTED_VALUE"""),43991.66666666667)</f>
        <v>43991.66667</v>
      </c>
      <c r="B107" s="2">
        <f>IFERROR(__xludf.DUMMYFUNCTION("""COMPUTED_VALUE"""),540.0)</f>
        <v>540</v>
      </c>
      <c r="C107" s="2">
        <f>IFERROR(__xludf.DUMMYFUNCTION("""COMPUTED_VALUE"""),540.0)</f>
        <v>540</v>
      </c>
      <c r="D107" s="2">
        <f>IFERROR(__xludf.DUMMYFUNCTION("""COMPUTED_VALUE"""),510.0)</f>
        <v>510</v>
      </c>
      <c r="E107" s="2">
        <f>IFERROR(__xludf.DUMMYFUNCTION("""COMPUTED_VALUE"""),510.0)</f>
        <v>510</v>
      </c>
      <c r="F107" s="2">
        <f>IFERROR(__xludf.DUMMYFUNCTION("""COMPUTED_VALUE"""),2.97108E7)</f>
        <v>29710800</v>
      </c>
      <c r="G107" s="2">
        <f t="shared" si="1"/>
        <v>30</v>
      </c>
    </row>
    <row r="108" ht="15.75" customHeight="1">
      <c r="A108" s="1">
        <f>IFERROR(__xludf.DUMMYFUNCTION("""COMPUTED_VALUE"""),43992.66666666667)</f>
        <v>43992.66667</v>
      </c>
      <c r="B108" s="2">
        <f>IFERROR(__xludf.DUMMYFUNCTION("""COMPUTED_VALUE"""),515.0)</f>
        <v>515</v>
      </c>
      <c r="C108" s="2">
        <f>IFERROR(__xludf.DUMMYFUNCTION("""COMPUTED_VALUE"""),520.0)</f>
        <v>520</v>
      </c>
      <c r="D108" s="2">
        <f>IFERROR(__xludf.DUMMYFUNCTION("""COMPUTED_VALUE"""),496.0)</f>
        <v>496</v>
      </c>
      <c r="E108" s="2">
        <f>IFERROR(__xludf.DUMMYFUNCTION("""COMPUTED_VALUE"""),500.0)</f>
        <v>500</v>
      </c>
      <c r="F108" s="2">
        <f>IFERROR(__xludf.DUMMYFUNCTION("""COMPUTED_VALUE"""),1.14695E7)</f>
        <v>11469500</v>
      </c>
      <c r="G108" s="2">
        <f t="shared" si="1"/>
        <v>24</v>
      </c>
    </row>
    <row r="109" ht="15.75" customHeight="1">
      <c r="A109" s="1">
        <f>IFERROR(__xludf.DUMMYFUNCTION("""COMPUTED_VALUE"""),43993.66666666667)</f>
        <v>43993.66667</v>
      </c>
      <c r="B109" s="2">
        <f>IFERROR(__xludf.DUMMYFUNCTION("""COMPUTED_VALUE"""),500.0)</f>
        <v>500</v>
      </c>
      <c r="C109" s="2">
        <f>IFERROR(__xludf.DUMMYFUNCTION("""COMPUTED_VALUE"""),510.0)</f>
        <v>510</v>
      </c>
      <c r="D109" s="2">
        <f>IFERROR(__xludf.DUMMYFUNCTION("""COMPUTED_VALUE"""),492.0)</f>
        <v>492</v>
      </c>
      <c r="E109" s="2">
        <f>IFERROR(__xludf.DUMMYFUNCTION("""COMPUTED_VALUE"""),500.0)</f>
        <v>500</v>
      </c>
      <c r="F109" s="2">
        <f>IFERROR(__xludf.DUMMYFUNCTION("""COMPUTED_VALUE"""),7477900.0)</f>
        <v>7477900</v>
      </c>
      <c r="G109" s="2">
        <f t="shared" si="1"/>
        <v>18</v>
      </c>
    </row>
    <row r="110" ht="15.75" customHeight="1">
      <c r="A110" s="1">
        <f>IFERROR(__xludf.DUMMYFUNCTION("""COMPUTED_VALUE"""),43994.66666666667)</f>
        <v>43994.66667</v>
      </c>
      <c r="B110" s="2">
        <f>IFERROR(__xludf.DUMMYFUNCTION("""COMPUTED_VALUE"""),500.0)</f>
        <v>500</v>
      </c>
      <c r="C110" s="2">
        <f>IFERROR(__xludf.DUMMYFUNCTION("""COMPUTED_VALUE"""),505.0)</f>
        <v>505</v>
      </c>
      <c r="D110" s="2">
        <f>IFERROR(__xludf.DUMMYFUNCTION("""COMPUTED_VALUE"""),488.0)</f>
        <v>488</v>
      </c>
      <c r="E110" s="2">
        <f>IFERROR(__xludf.DUMMYFUNCTION("""COMPUTED_VALUE"""),505.0)</f>
        <v>505</v>
      </c>
      <c r="F110" s="2">
        <f>IFERROR(__xludf.DUMMYFUNCTION("""COMPUTED_VALUE"""),8086600.0)</f>
        <v>8086600</v>
      </c>
      <c r="G110" s="2">
        <f t="shared" si="1"/>
        <v>17</v>
      </c>
    </row>
    <row r="111" ht="15.75" customHeight="1">
      <c r="A111" s="1">
        <f>IFERROR(__xludf.DUMMYFUNCTION("""COMPUTED_VALUE"""),43997.66666666667)</f>
        <v>43997.66667</v>
      </c>
      <c r="B111" s="2">
        <f>IFERROR(__xludf.DUMMYFUNCTION("""COMPUTED_VALUE"""),505.0)</f>
        <v>505</v>
      </c>
      <c r="C111" s="2">
        <f>IFERROR(__xludf.DUMMYFUNCTION("""COMPUTED_VALUE"""),515.0)</f>
        <v>515</v>
      </c>
      <c r="D111" s="2">
        <f>IFERROR(__xludf.DUMMYFUNCTION("""COMPUTED_VALUE"""),498.0)</f>
        <v>498</v>
      </c>
      <c r="E111" s="2">
        <f>IFERROR(__xludf.DUMMYFUNCTION("""COMPUTED_VALUE"""),500.0)</f>
        <v>500</v>
      </c>
      <c r="F111" s="2">
        <f>IFERROR(__xludf.DUMMYFUNCTION("""COMPUTED_VALUE"""),4540000.0)</f>
        <v>4540000</v>
      </c>
      <c r="G111" s="2">
        <f t="shared" si="1"/>
        <v>17</v>
      </c>
    </row>
    <row r="112" ht="15.75" customHeight="1">
      <c r="A112" s="1">
        <f>IFERROR(__xludf.DUMMYFUNCTION("""COMPUTED_VALUE"""),43998.66666666667)</f>
        <v>43998.66667</v>
      </c>
      <c r="B112" s="2">
        <f>IFERROR(__xludf.DUMMYFUNCTION("""COMPUTED_VALUE"""),500.0)</f>
        <v>500</v>
      </c>
      <c r="C112" s="2">
        <f>IFERROR(__xludf.DUMMYFUNCTION("""COMPUTED_VALUE"""),520.0)</f>
        <v>520</v>
      </c>
      <c r="D112" s="2">
        <f>IFERROR(__xludf.DUMMYFUNCTION("""COMPUTED_VALUE"""),500.0)</f>
        <v>500</v>
      </c>
      <c r="E112" s="2">
        <f>IFERROR(__xludf.DUMMYFUNCTION("""COMPUTED_VALUE"""),515.0)</f>
        <v>515</v>
      </c>
      <c r="F112" s="2">
        <f>IFERROR(__xludf.DUMMYFUNCTION("""COMPUTED_VALUE"""),1.45541E7)</f>
        <v>14554100</v>
      </c>
      <c r="G112" s="2">
        <f t="shared" si="1"/>
        <v>20</v>
      </c>
    </row>
    <row r="113" ht="15.75" customHeight="1">
      <c r="A113" s="1">
        <f>IFERROR(__xludf.DUMMYFUNCTION("""COMPUTED_VALUE"""),43999.66666666667)</f>
        <v>43999.66667</v>
      </c>
      <c r="B113" s="2">
        <f>IFERROR(__xludf.DUMMYFUNCTION("""COMPUTED_VALUE"""),520.0)</f>
        <v>520</v>
      </c>
      <c r="C113" s="2">
        <f>IFERROR(__xludf.DUMMYFUNCTION("""COMPUTED_VALUE"""),525.0)</f>
        <v>525</v>
      </c>
      <c r="D113" s="2">
        <f>IFERROR(__xludf.DUMMYFUNCTION("""COMPUTED_VALUE"""),515.0)</f>
        <v>515</v>
      </c>
      <c r="E113" s="2">
        <f>IFERROR(__xludf.DUMMYFUNCTION("""COMPUTED_VALUE"""),520.0)</f>
        <v>520</v>
      </c>
      <c r="F113" s="2">
        <f>IFERROR(__xludf.DUMMYFUNCTION("""COMPUTED_VALUE"""),6765900.0)</f>
        <v>6765900</v>
      </c>
      <c r="G113" s="2">
        <f t="shared" si="1"/>
        <v>10</v>
      </c>
    </row>
    <row r="114" ht="15.75" customHeight="1">
      <c r="A114" s="1">
        <f>IFERROR(__xludf.DUMMYFUNCTION("""COMPUTED_VALUE"""),44000.66666666667)</f>
        <v>44000.66667</v>
      </c>
      <c r="B114" s="2">
        <f>IFERROR(__xludf.DUMMYFUNCTION("""COMPUTED_VALUE"""),520.0)</f>
        <v>520</v>
      </c>
      <c r="C114" s="2">
        <f>IFERROR(__xludf.DUMMYFUNCTION("""COMPUTED_VALUE"""),525.0)</f>
        <v>525</v>
      </c>
      <c r="D114" s="2">
        <f>IFERROR(__xludf.DUMMYFUNCTION("""COMPUTED_VALUE"""),510.0)</f>
        <v>510</v>
      </c>
      <c r="E114" s="2">
        <f>IFERROR(__xludf.DUMMYFUNCTION("""COMPUTED_VALUE"""),510.0)</f>
        <v>510</v>
      </c>
      <c r="F114" s="2">
        <f>IFERROR(__xludf.DUMMYFUNCTION("""COMPUTED_VALUE"""),6371500.0)</f>
        <v>6371500</v>
      </c>
      <c r="G114" s="2">
        <f t="shared" si="1"/>
        <v>15</v>
      </c>
    </row>
    <row r="115" ht="15.75" customHeight="1">
      <c r="A115" s="1">
        <f>IFERROR(__xludf.DUMMYFUNCTION("""COMPUTED_VALUE"""),44001.66666666667)</f>
        <v>44001.66667</v>
      </c>
      <c r="B115" s="2">
        <f>IFERROR(__xludf.DUMMYFUNCTION("""COMPUTED_VALUE"""),515.0)</f>
        <v>515</v>
      </c>
      <c r="C115" s="2">
        <f>IFERROR(__xludf.DUMMYFUNCTION("""COMPUTED_VALUE"""),520.0)</f>
        <v>520</v>
      </c>
      <c r="D115" s="2">
        <f>IFERROR(__xludf.DUMMYFUNCTION("""COMPUTED_VALUE"""),505.0)</f>
        <v>505</v>
      </c>
      <c r="E115" s="2">
        <f>IFERROR(__xludf.DUMMYFUNCTION("""COMPUTED_VALUE"""),505.0)</f>
        <v>505</v>
      </c>
      <c r="F115" s="2">
        <f>IFERROR(__xludf.DUMMYFUNCTION("""COMPUTED_VALUE"""),3352300.0)</f>
        <v>3352300</v>
      </c>
      <c r="G115" s="2">
        <f t="shared" si="1"/>
        <v>15</v>
      </c>
    </row>
    <row r="116" ht="15.75" customHeight="1">
      <c r="A116" s="1">
        <f>IFERROR(__xludf.DUMMYFUNCTION("""COMPUTED_VALUE"""),44004.66666666667)</f>
        <v>44004.66667</v>
      </c>
      <c r="B116" s="2">
        <f>IFERROR(__xludf.DUMMYFUNCTION("""COMPUTED_VALUE"""),510.0)</f>
        <v>510</v>
      </c>
      <c r="C116" s="2">
        <f>IFERROR(__xludf.DUMMYFUNCTION("""COMPUTED_VALUE"""),510.0)</f>
        <v>510</v>
      </c>
      <c r="D116" s="2">
        <f>IFERROR(__xludf.DUMMYFUNCTION("""COMPUTED_VALUE"""),505.0)</f>
        <v>505</v>
      </c>
      <c r="E116" s="2">
        <f>IFERROR(__xludf.DUMMYFUNCTION("""COMPUTED_VALUE"""),510.0)</f>
        <v>510</v>
      </c>
      <c r="F116" s="2">
        <f>IFERROR(__xludf.DUMMYFUNCTION("""COMPUTED_VALUE"""),1615700.0)</f>
        <v>1615700</v>
      </c>
      <c r="G116" s="2">
        <f t="shared" si="1"/>
        <v>5</v>
      </c>
    </row>
    <row r="117" ht="15.75" customHeight="1">
      <c r="A117" s="1">
        <f>IFERROR(__xludf.DUMMYFUNCTION("""COMPUTED_VALUE"""),44005.66666666667)</f>
        <v>44005.66667</v>
      </c>
      <c r="B117" s="2">
        <f>IFERROR(__xludf.DUMMYFUNCTION("""COMPUTED_VALUE"""),510.0)</f>
        <v>510</v>
      </c>
      <c r="C117" s="2">
        <f>IFERROR(__xludf.DUMMYFUNCTION("""COMPUTED_VALUE"""),510.0)</f>
        <v>510</v>
      </c>
      <c r="D117" s="2">
        <f>IFERROR(__xludf.DUMMYFUNCTION("""COMPUTED_VALUE"""),500.0)</f>
        <v>500</v>
      </c>
      <c r="E117" s="2">
        <f>IFERROR(__xludf.DUMMYFUNCTION("""COMPUTED_VALUE"""),505.0)</f>
        <v>505</v>
      </c>
      <c r="F117" s="2">
        <f>IFERROR(__xludf.DUMMYFUNCTION("""COMPUTED_VALUE"""),3506900.0)</f>
        <v>3506900</v>
      </c>
      <c r="G117" s="2">
        <f t="shared" si="1"/>
        <v>10</v>
      </c>
    </row>
    <row r="118" ht="15.75" customHeight="1">
      <c r="A118" s="1">
        <f>IFERROR(__xludf.DUMMYFUNCTION("""COMPUTED_VALUE"""),44006.66666666667)</f>
        <v>44006.66667</v>
      </c>
      <c r="B118" s="2">
        <f>IFERROR(__xludf.DUMMYFUNCTION("""COMPUTED_VALUE"""),505.0)</f>
        <v>505</v>
      </c>
      <c r="C118" s="2">
        <f>IFERROR(__xludf.DUMMYFUNCTION("""COMPUTED_VALUE"""),515.0)</f>
        <v>515</v>
      </c>
      <c r="D118" s="2">
        <f>IFERROR(__xludf.DUMMYFUNCTION("""COMPUTED_VALUE"""),500.0)</f>
        <v>500</v>
      </c>
      <c r="E118" s="2">
        <f>IFERROR(__xludf.DUMMYFUNCTION("""COMPUTED_VALUE"""),505.0)</f>
        <v>505</v>
      </c>
      <c r="F118" s="2">
        <f>IFERROR(__xludf.DUMMYFUNCTION("""COMPUTED_VALUE"""),7760900.0)</f>
        <v>7760900</v>
      </c>
      <c r="G118" s="2">
        <f t="shared" si="1"/>
        <v>15</v>
      </c>
    </row>
    <row r="119" ht="15.75" customHeight="1">
      <c r="A119" s="1">
        <f>IFERROR(__xludf.DUMMYFUNCTION("""COMPUTED_VALUE"""),44007.66666666667)</f>
        <v>44007.66667</v>
      </c>
      <c r="B119" s="2">
        <f>IFERROR(__xludf.DUMMYFUNCTION("""COMPUTED_VALUE"""),505.0)</f>
        <v>505</v>
      </c>
      <c r="C119" s="2">
        <f>IFERROR(__xludf.DUMMYFUNCTION("""COMPUTED_VALUE"""),510.0)</f>
        <v>510</v>
      </c>
      <c r="D119" s="2">
        <f>IFERROR(__xludf.DUMMYFUNCTION("""COMPUTED_VALUE"""),500.0)</f>
        <v>500</v>
      </c>
      <c r="E119" s="2">
        <f>IFERROR(__xludf.DUMMYFUNCTION("""COMPUTED_VALUE"""),505.0)</f>
        <v>505</v>
      </c>
      <c r="F119" s="2">
        <f>IFERROR(__xludf.DUMMYFUNCTION("""COMPUTED_VALUE"""),4397000.0)</f>
        <v>4397000</v>
      </c>
      <c r="G119" s="2">
        <f t="shared" si="1"/>
        <v>10</v>
      </c>
    </row>
    <row r="120" ht="15.75" customHeight="1">
      <c r="A120" s="1">
        <f>IFERROR(__xludf.DUMMYFUNCTION("""COMPUTED_VALUE"""),44008.66666666667)</f>
        <v>44008.66667</v>
      </c>
      <c r="B120" s="2">
        <f>IFERROR(__xludf.DUMMYFUNCTION("""COMPUTED_VALUE"""),505.0)</f>
        <v>505</v>
      </c>
      <c r="C120" s="2">
        <f>IFERROR(__xludf.DUMMYFUNCTION("""COMPUTED_VALUE"""),510.0)</f>
        <v>510</v>
      </c>
      <c r="D120" s="2">
        <f>IFERROR(__xludf.DUMMYFUNCTION("""COMPUTED_VALUE"""),505.0)</f>
        <v>505</v>
      </c>
      <c r="E120" s="2">
        <f>IFERROR(__xludf.DUMMYFUNCTION("""COMPUTED_VALUE"""),510.0)</f>
        <v>510</v>
      </c>
      <c r="F120" s="2">
        <f>IFERROR(__xludf.DUMMYFUNCTION("""COMPUTED_VALUE"""),3211100.0)</f>
        <v>3211100</v>
      </c>
      <c r="G120" s="2">
        <f t="shared" si="1"/>
        <v>5</v>
      </c>
    </row>
    <row r="121" ht="15.75" customHeight="1">
      <c r="A121" s="1">
        <f>IFERROR(__xludf.DUMMYFUNCTION("""COMPUTED_VALUE"""),44011.66666666667)</f>
        <v>44011.66667</v>
      </c>
      <c r="B121" s="2">
        <f>IFERROR(__xludf.DUMMYFUNCTION("""COMPUTED_VALUE"""),510.0)</f>
        <v>510</v>
      </c>
      <c r="C121" s="2">
        <f>IFERROR(__xludf.DUMMYFUNCTION("""COMPUTED_VALUE"""),510.0)</f>
        <v>510</v>
      </c>
      <c r="D121" s="2">
        <f>IFERROR(__xludf.DUMMYFUNCTION("""COMPUTED_VALUE"""),500.0)</f>
        <v>500</v>
      </c>
      <c r="E121" s="2">
        <f>IFERROR(__xludf.DUMMYFUNCTION("""COMPUTED_VALUE"""),500.0)</f>
        <v>500</v>
      </c>
      <c r="F121" s="2">
        <f>IFERROR(__xludf.DUMMYFUNCTION("""COMPUTED_VALUE"""),3051900.0)</f>
        <v>3051900</v>
      </c>
      <c r="G121" s="2">
        <f t="shared" si="1"/>
        <v>10</v>
      </c>
    </row>
    <row r="122" ht="15.75" customHeight="1">
      <c r="A122" s="1">
        <f>IFERROR(__xludf.DUMMYFUNCTION("""COMPUTED_VALUE"""),44012.66666666667)</f>
        <v>44012.66667</v>
      </c>
      <c r="B122" s="2">
        <f>IFERROR(__xludf.DUMMYFUNCTION("""COMPUTED_VALUE"""),505.0)</f>
        <v>505</v>
      </c>
      <c r="C122" s="2">
        <f>IFERROR(__xludf.DUMMYFUNCTION("""COMPUTED_VALUE"""),510.0)</f>
        <v>510</v>
      </c>
      <c r="D122" s="2">
        <f>IFERROR(__xludf.DUMMYFUNCTION("""COMPUTED_VALUE"""),500.0)</f>
        <v>500</v>
      </c>
      <c r="E122" s="2">
        <f>IFERROR(__xludf.DUMMYFUNCTION("""COMPUTED_VALUE"""),500.0)</f>
        <v>500</v>
      </c>
      <c r="F122" s="2">
        <f>IFERROR(__xludf.DUMMYFUNCTION("""COMPUTED_VALUE"""),2862700.0)</f>
        <v>2862700</v>
      </c>
      <c r="G122" s="2">
        <f t="shared" si="1"/>
        <v>10</v>
      </c>
    </row>
    <row r="123" ht="15.75" customHeight="1">
      <c r="A123" s="1">
        <f>IFERROR(__xludf.DUMMYFUNCTION("""COMPUTED_VALUE"""),44013.66666666667)</f>
        <v>44013.66667</v>
      </c>
      <c r="B123" s="2">
        <f>IFERROR(__xludf.DUMMYFUNCTION("""COMPUTED_VALUE"""),500.0)</f>
        <v>500</v>
      </c>
      <c r="C123" s="2">
        <f>IFERROR(__xludf.DUMMYFUNCTION("""COMPUTED_VALUE"""),505.0)</f>
        <v>505</v>
      </c>
      <c r="D123" s="2">
        <f>IFERROR(__xludf.DUMMYFUNCTION("""COMPUTED_VALUE"""),500.0)</f>
        <v>500</v>
      </c>
      <c r="E123" s="2">
        <f>IFERROR(__xludf.DUMMYFUNCTION("""COMPUTED_VALUE"""),505.0)</f>
        <v>505</v>
      </c>
      <c r="F123" s="2">
        <f>IFERROR(__xludf.DUMMYFUNCTION("""COMPUTED_VALUE"""),3059400.0)</f>
        <v>3059400</v>
      </c>
      <c r="G123" s="2">
        <f t="shared" si="1"/>
        <v>5</v>
      </c>
    </row>
    <row r="124" ht="15.75" customHeight="1">
      <c r="A124" s="1">
        <f>IFERROR(__xludf.DUMMYFUNCTION("""COMPUTED_VALUE"""),44014.66666666667)</f>
        <v>44014.66667</v>
      </c>
      <c r="B124" s="2">
        <f>IFERROR(__xludf.DUMMYFUNCTION("""COMPUTED_VALUE"""),505.0)</f>
        <v>505</v>
      </c>
      <c r="C124" s="2">
        <f>IFERROR(__xludf.DUMMYFUNCTION("""COMPUTED_VALUE"""),505.0)</f>
        <v>505</v>
      </c>
      <c r="D124" s="2">
        <f>IFERROR(__xludf.DUMMYFUNCTION("""COMPUTED_VALUE"""),498.0)</f>
        <v>498</v>
      </c>
      <c r="E124" s="2">
        <f>IFERROR(__xludf.DUMMYFUNCTION("""COMPUTED_VALUE"""),500.0)</f>
        <v>500</v>
      </c>
      <c r="F124" s="2">
        <f>IFERROR(__xludf.DUMMYFUNCTION("""COMPUTED_VALUE"""),1.21208E7)</f>
        <v>12120800</v>
      </c>
      <c r="G124" s="2">
        <f t="shared" si="1"/>
        <v>7</v>
      </c>
    </row>
    <row r="125" ht="15.75" customHeight="1">
      <c r="A125" s="1">
        <f>IFERROR(__xludf.DUMMYFUNCTION("""COMPUTED_VALUE"""),44015.66666666667)</f>
        <v>44015.66667</v>
      </c>
      <c r="B125" s="2">
        <f>IFERROR(__xludf.DUMMYFUNCTION("""COMPUTED_VALUE"""),500.0)</f>
        <v>500</v>
      </c>
      <c r="C125" s="2">
        <f>IFERROR(__xludf.DUMMYFUNCTION("""COMPUTED_VALUE"""),565.0)</f>
        <v>565</v>
      </c>
      <c r="D125" s="2">
        <f>IFERROR(__xludf.DUMMYFUNCTION("""COMPUTED_VALUE"""),498.0)</f>
        <v>498</v>
      </c>
      <c r="E125" s="2">
        <f>IFERROR(__xludf.DUMMYFUNCTION("""COMPUTED_VALUE"""),545.0)</f>
        <v>545</v>
      </c>
      <c r="F125" s="2">
        <f>IFERROR(__xludf.DUMMYFUNCTION("""COMPUTED_VALUE"""),1.210221E8)</f>
        <v>121022100</v>
      </c>
      <c r="G125" s="2">
        <f t="shared" si="1"/>
        <v>67</v>
      </c>
    </row>
    <row r="126" ht="15.75" customHeight="1">
      <c r="A126" s="1">
        <f>IFERROR(__xludf.DUMMYFUNCTION("""COMPUTED_VALUE"""),44018.66666666667)</f>
        <v>44018.66667</v>
      </c>
      <c r="B126" s="2">
        <f>IFERROR(__xludf.DUMMYFUNCTION("""COMPUTED_VALUE"""),550.0)</f>
        <v>550</v>
      </c>
      <c r="C126" s="2">
        <f>IFERROR(__xludf.DUMMYFUNCTION("""COMPUTED_VALUE"""),555.0)</f>
        <v>555</v>
      </c>
      <c r="D126" s="2">
        <f>IFERROR(__xludf.DUMMYFUNCTION("""COMPUTED_VALUE"""),520.0)</f>
        <v>520</v>
      </c>
      <c r="E126" s="2">
        <f>IFERROR(__xludf.DUMMYFUNCTION("""COMPUTED_VALUE"""),525.0)</f>
        <v>525</v>
      </c>
      <c r="F126" s="2">
        <f>IFERROR(__xludf.DUMMYFUNCTION("""COMPUTED_VALUE"""),3.84629E7)</f>
        <v>38462900</v>
      </c>
      <c r="G126" s="2">
        <f t="shared" si="1"/>
        <v>35</v>
      </c>
    </row>
    <row r="127" ht="15.75" customHeight="1">
      <c r="A127" s="1">
        <f>IFERROR(__xludf.DUMMYFUNCTION("""COMPUTED_VALUE"""),44019.66666666667)</f>
        <v>44019.66667</v>
      </c>
      <c r="B127" s="2">
        <f>IFERROR(__xludf.DUMMYFUNCTION("""COMPUTED_VALUE"""),530.0)</f>
        <v>530</v>
      </c>
      <c r="C127" s="2">
        <f>IFERROR(__xludf.DUMMYFUNCTION("""COMPUTED_VALUE"""),550.0)</f>
        <v>550</v>
      </c>
      <c r="D127" s="2">
        <f>IFERROR(__xludf.DUMMYFUNCTION("""COMPUTED_VALUE"""),525.0)</f>
        <v>525</v>
      </c>
      <c r="E127" s="2">
        <f>IFERROR(__xludf.DUMMYFUNCTION("""COMPUTED_VALUE"""),545.0)</f>
        <v>545</v>
      </c>
      <c r="F127" s="2">
        <f>IFERROR(__xludf.DUMMYFUNCTION("""COMPUTED_VALUE"""),3.68516E7)</f>
        <v>36851600</v>
      </c>
      <c r="G127" s="2">
        <f t="shared" si="1"/>
        <v>25</v>
      </c>
    </row>
    <row r="128" ht="15.75" customHeight="1">
      <c r="A128" s="1">
        <f>IFERROR(__xludf.DUMMYFUNCTION("""COMPUTED_VALUE"""),44020.66666666667)</f>
        <v>44020.66667</v>
      </c>
      <c r="B128" s="2">
        <f>IFERROR(__xludf.DUMMYFUNCTION("""COMPUTED_VALUE"""),545.0)</f>
        <v>545</v>
      </c>
      <c r="C128" s="2">
        <f>IFERROR(__xludf.DUMMYFUNCTION("""COMPUTED_VALUE"""),565.0)</f>
        <v>565</v>
      </c>
      <c r="D128" s="2">
        <f>IFERROR(__xludf.DUMMYFUNCTION("""COMPUTED_VALUE"""),540.0)</f>
        <v>540</v>
      </c>
      <c r="E128" s="2">
        <f>IFERROR(__xludf.DUMMYFUNCTION("""COMPUTED_VALUE"""),560.0)</f>
        <v>560</v>
      </c>
      <c r="F128" s="2">
        <f>IFERROR(__xludf.DUMMYFUNCTION("""COMPUTED_VALUE"""),4.69373E7)</f>
        <v>46937300</v>
      </c>
      <c r="G128" s="2">
        <f t="shared" si="1"/>
        <v>25</v>
      </c>
    </row>
    <row r="129" ht="15.75" customHeight="1">
      <c r="A129" s="1">
        <f>IFERROR(__xludf.DUMMYFUNCTION("""COMPUTED_VALUE"""),44021.66666666667)</f>
        <v>44021.66667</v>
      </c>
      <c r="B129" s="2">
        <f>IFERROR(__xludf.DUMMYFUNCTION("""COMPUTED_VALUE"""),565.0)</f>
        <v>565</v>
      </c>
      <c r="C129" s="2">
        <f>IFERROR(__xludf.DUMMYFUNCTION("""COMPUTED_VALUE"""),570.0)</f>
        <v>570</v>
      </c>
      <c r="D129" s="2">
        <f>IFERROR(__xludf.DUMMYFUNCTION("""COMPUTED_VALUE"""),545.0)</f>
        <v>545</v>
      </c>
      <c r="E129" s="2">
        <f>IFERROR(__xludf.DUMMYFUNCTION("""COMPUTED_VALUE"""),545.0)</f>
        <v>545</v>
      </c>
      <c r="F129" s="2">
        <f>IFERROR(__xludf.DUMMYFUNCTION("""COMPUTED_VALUE"""),1.31161E7)</f>
        <v>13116100</v>
      </c>
      <c r="G129" s="2">
        <f t="shared" si="1"/>
        <v>25</v>
      </c>
    </row>
    <row r="130" ht="15.75" customHeight="1">
      <c r="A130" s="1">
        <f>IFERROR(__xludf.DUMMYFUNCTION("""COMPUTED_VALUE"""),44022.66666666667)</f>
        <v>44022.66667</v>
      </c>
      <c r="B130" s="2">
        <f>IFERROR(__xludf.DUMMYFUNCTION("""COMPUTED_VALUE"""),545.0)</f>
        <v>545</v>
      </c>
      <c r="C130" s="2">
        <f>IFERROR(__xludf.DUMMYFUNCTION("""COMPUTED_VALUE"""),555.0)</f>
        <v>555</v>
      </c>
      <c r="D130" s="2">
        <f>IFERROR(__xludf.DUMMYFUNCTION("""COMPUTED_VALUE"""),540.0)</f>
        <v>540</v>
      </c>
      <c r="E130" s="2">
        <f>IFERROR(__xludf.DUMMYFUNCTION("""COMPUTED_VALUE"""),545.0)</f>
        <v>545</v>
      </c>
      <c r="F130" s="2">
        <f>IFERROR(__xludf.DUMMYFUNCTION("""COMPUTED_VALUE"""),7496400.0)</f>
        <v>7496400</v>
      </c>
      <c r="G130" s="2">
        <f t="shared" si="1"/>
        <v>15</v>
      </c>
    </row>
    <row r="131" ht="15.75" customHeight="1">
      <c r="A131" s="1">
        <f>IFERROR(__xludf.DUMMYFUNCTION("""COMPUTED_VALUE"""),44025.66666666667)</f>
        <v>44025.66667</v>
      </c>
      <c r="B131" s="2">
        <f>IFERROR(__xludf.DUMMYFUNCTION("""COMPUTED_VALUE"""),545.0)</f>
        <v>545</v>
      </c>
      <c r="C131" s="2">
        <f>IFERROR(__xludf.DUMMYFUNCTION("""COMPUTED_VALUE"""),565.0)</f>
        <v>565</v>
      </c>
      <c r="D131" s="2">
        <f>IFERROR(__xludf.DUMMYFUNCTION("""COMPUTED_VALUE"""),545.0)</f>
        <v>545</v>
      </c>
      <c r="E131" s="2">
        <f>IFERROR(__xludf.DUMMYFUNCTION("""COMPUTED_VALUE"""),550.0)</f>
        <v>550</v>
      </c>
      <c r="F131" s="2">
        <f>IFERROR(__xludf.DUMMYFUNCTION("""COMPUTED_VALUE"""),3.73408E7)</f>
        <v>37340800</v>
      </c>
      <c r="G131" s="2">
        <f t="shared" si="1"/>
        <v>20</v>
      </c>
    </row>
    <row r="132" ht="15.75" customHeight="1">
      <c r="A132" s="1">
        <f>IFERROR(__xludf.DUMMYFUNCTION("""COMPUTED_VALUE"""),44026.66666666667)</f>
        <v>44026.66667</v>
      </c>
      <c r="B132" s="2">
        <f>IFERROR(__xludf.DUMMYFUNCTION("""COMPUTED_VALUE"""),550.0)</f>
        <v>550</v>
      </c>
      <c r="C132" s="2">
        <f>IFERROR(__xludf.DUMMYFUNCTION("""COMPUTED_VALUE"""),560.0)</f>
        <v>560</v>
      </c>
      <c r="D132" s="2">
        <f>IFERROR(__xludf.DUMMYFUNCTION("""COMPUTED_VALUE"""),540.0)</f>
        <v>540</v>
      </c>
      <c r="E132" s="2">
        <f>IFERROR(__xludf.DUMMYFUNCTION("""COMPUTED_VALUE"""),545.0)</f>
        <v>545</v>
      </c>
      <c r="F132" s="2">
        <f>IFERROR(__xludf.DUMMYFUNCTION("""COMPUTED_VALUE"""),1.62474E7)</f>
        <v>16247400</v>
      </c>
      <c r="G132" s="2">
        <f t="shared" si="1"/>
        <v>20</v>
      </c>
    </row>
    <row r="133" ht="15.75" customHeight="1">
      <c r="A133" s="1">
        <f>IFERROR(__xludf.DUMMYFUNCTION("""COMPUTED_VALUE"""),44027.66666666667)</f>
        <v>44027.66667</v>
      </c>
      <c r="B133" s="2">
        <f>IFERROR(__xludf.DUMMYFUNCTION("""COMPUTED_VALUE"""),560.0)</f>
        <v>560</v>
      </c>
      <c r="C133" s="2">
        <f>IFERROR(__xludf.DUMMYFUNCTION("""COMPUTED_VALUE"""),560.0)</f>
        <v>560</v>
      </c>
      <c r="D133" s="2">
        <f>IFERROR(__xludf.DUMMYFUNCTION("""COMPUTED_VALUE"""),540.0)</f>
        <v>540</v>
      </c>
      <c r="E133" s="2">
        <f>IFERROR(__xludf.DUMMYFUNCTION("""COMPUTED_VALUE"""),540.0)</f>
        <v>540</v>
      </c>
      <c r="F133" s="2">
        <f>IFERROR(__xludf.DUMMYFUNCTION("""COMPUTED_VALUE"""),7704200.0)</f>
        <v>7704200</v>
      </c>
      <c r="G133" s="2">
        <f t="shared" si="1"/>
        <v>20</v>
      </c>
    </row>
    <row r="134" ht="15.75" customHeight="1">
      <c r="A134" s="1">
        <f>IFERROR(__xludf.DUMMYFUNCTION("""COMPUTED_VALUE"""),44028.66666666667)</f>
        <v>44028.66667</v>
      </c>
      <c r="B134" s="2">
        <f>IFERROR(__xludf.DUMMYFUNCTION("""COMPUTED_VALUE"""),545.0)</f>
        <v>545</v>
      </c>
      <c r="C134" s="2">
        <f>IFERROR(__xludf.DUMMYFUNCTION("""COMPUTED_VALUE"""),550.0)</f>
        <v>550</v>
      </c>
      <c r="D134" s="2">
        <f>IFERROR(__xludf.DUMMYFUNCTION("""COMPUTED_VALUE"""),540.0)</f>
        <v>540</v>
      </c>
      <c r="E134" s="2">
        <f>IFERROR(__xludf.DUMMYFUNCTION("""COMPUTED_VALUE"""),545.0)</f>
        <v>545</v>
      </c>
      <c r="F134" s="2">
        <f>IFERROR(__xludf.DUMMYFUNCTION("""COMPUTED_VALUE"""),1.02103E7)</f>
        <v>10210300</v>
      </c>
      <c r="G134" s="2">
        <f t="shared" si="1"/>
        <v>10</v>
      </c>
    </row>
    <row r="135" ht="15.75" customHeight="1">
      <c r="A135" s="1">
        <f>IFERROR(__xludf.DUMMYFUNCTION("""COMPUTED_VALUE"""),44029.66666666667)</f>
        <v>44029.66667</v>
      </c>
      <c r="B135" s="2">
        <f>IFERROR(__xludf.DUMMYFUNCTION("""COMPUTED_VALUE"""),545.0)</f>
        <v>545</v>
      </c>
      <c r="C135" s="2">
        <f>IFERROR(__xludf.DUMMYFUNCTION("""COMPUTED_VALUE"""),550.0)</f>
        <v>550</v>
      </c>
      <c r="D135" s="2">
        <f>IFERROR(__xludf.DUMMYFUNCTION("""COMPUTED_VALUE"""),535.0)</f>
        <v>535</v>
      </c>
      <c r="E135" s="2">
        <f>IFERROR(__xludf.DUMMYFUNCTION("""COMPUTED_VALUE"""),540.0)</f>
        <v>540</v>
      </c>
      <c r="F135" s="2">
        <f>IFERROR(__xludf.DUMMYFUNCTION("""COMPUTED_VALUE"""),1.0226E7)</f>
        <v>10226000</v>
      </c>
      <c r="G135" s="2">
        <f t="shared" si="1"/>
        <v>15</v>
      </c>
    </row>
    <row r="136" ht="15.75" customHeight="1">
      <c r="A136" s="1">
        <f>IFERROR(__xludf.DUMMYFUNCTION("""COMPUTED_VALUE"""),44032.66666666667)</f>
        <v>44032.66667</v>
      </c>
      <c r="B136" s="2">
        <f>IFERROR(__xludf.DUMMYFUNCTION("""COMPUTED_VALUE"""),540.0)</f>
        <v>540</v>
      </c>
      <c r="C136" s="2">
        <f>IFERROR(__xludf.DUMMYFUNCTION("""COMPUTED_VALUE"""),545.0)</f>
        <v>545</v>
      </c>
      <c r="D136" s="2">
        <f>IFERROR(__xludf.DUMMYFUNCTION("""COMPUTED_VALUE"""),510.0)</f>
        <v>510</v>
      </c>
      <c r="E136" s="2">
        <f>IFERROR(__xludf.DUMMYFUNCTION("""COMPUTED_VALUE"""),520.0)</f>
        <v>520</v>
      </c>
      <c r="F136" s="2">
        <f>IFERROR(__xludf.DUMMYFUNCTION("""COMPUTED_VALUE"""),3.13964E7)</f>
        <v>31396400</v>
      </c>
      <c r="G136" s="2">
        <f t="shared" si="1"/>
        <v>35</v>
      </c>
    </row>
    <row r="137" ht="15.75" customHeight="1">
      <c r="A137" s="1">
        <f>IFERROR(__xludf.DUMMYFUNCTION("""COMPUTED_VALUE"""),44033.66666666667)</f>
        <v>44033.66667</v>
      </c>
      <c r="B137" s="2">
        <f>IFERROR(__xludf.DUMMYFUNCTION("""COMPUTED_VALUE"""),525.0)</f>
        <v>525</v>
      </c>
      <c r="C137" s="2">
        <f>IFERROR(__xludf.DUMMYFUNCTION("""COMPUTED_VALUE"""),545.0)</f>
        <v>545</v>
      </c>
      <c r="D137" s="2">
        <f>IFERROR(__xludf.DUMMYFUNCTION("""COMPUTED_VALUE"""),525.0)</f>
        <v>525</v>
      </c>
      <c r="E137" s="2">
        <f>IFERROR(__xludf.DUMMYFUNCTION("""COMPUTED_VALUE"""),535.0)</f>
        <v>535</v>
      </c>
      <c r="F137" s="2">
        <f>IFERROR(__xludf.DUMMYFUNCTION("""COMPUTED_VALUE"""),3.46114E7)</f>
        <v>34611400</v>
      </c>
      <c r="G137" s="2">
        <f t="shared" si="1"/>
        <v>25</v>
      </c>
    </row>
    <row r="138" ht="15.75" customHeight="1">
      <c r="A138" s="1">
        <f>IFERROR(__xludf.DUMMYFUNCTION("""COMPUTED_VALUE"""),44034.66666666667)</f>
        <v>44034.66667</v>
      </c>
      <c r="B138" s="2">
        <f>IFERROR(__xludf.DUMMYFUNCTION("""COMPUTED_VALUE"""),535.0)</f>
        <v>535</v>
      </c>
      <c r="C138" s="2">
        <f>IFERROR(__xludf.DUMMYFUNCTION("""COMPUTED_VALUE"""),540.0)</f>
        <v>540</v>
      </c>
      <c r="D138" s="2">
        <f>IFERROR(__xludf.DUMMYFUNCTION("""COMPUTED_VALUE"""),530.0)</f>
        <v>530</v>
      </c>
      <c r="E138" s="2">
        <f>IFERROR(__xludf.DUMMYFUNCTION("""COMPUTED_VALUE"""),535.0)</f>
        <v>535</v>
      </c>
      <c r="F138" s="2">
        <f>IFERROR(__xludf.DUMMYFUNCTION("""COMPUTED_VALUE"""),1.01976E7)</f>
        <v>10197600</v>
      </c>
      <c r="G138" s="2">
        <f t="shared" si="1"/>
        <v>10</v>
      </c>
    </row>
    <row r="139" ht="15.75" customHeight="1">
      <c r="A139" s="1">
        <f>IFERROR(__xludf.DUMMYFUNCTION("""COMPUTED_VALUE"""),44035.66666666667)</f>
        <v>44035.66667</v>
      </c>
      <c r="B139" s="2">
        <f>IFERROR(__xludf.DUMMYFUNCTION("""COMPUTED_VALUE"""),535.0)</f>
        <v>535</v>
      </c>
      <c r="C139" s="2">
        <f>IFERROR(__xludf.DUMMYFUNCTION("""COMPUTED_VALUE"""),550.0)</f>
        <v>550</v>
      </c>
      <c r="D139" s="2">
        <f>IFERROR(__xludf.DUMMYFUNCTION("""COMPUTED_VALUE"""),530.0)</f>
        <v>530</v>
      </c>
      <c r="E139" s="2">
        <f>IFERROR(__xludf.DUMMYFUNCTION("""COMPUTED_VALUE"""),535.0)</f>
        <v>535</v>
      </c>
      <c r="F139" s="2">
        <f>IFERROR(__xludf.DUMMYFUNCTION("""COMPUTED_VALUE"""),2.38053E7)</f>
        <v>23805300</v>
      </c>
      <c r="G139" s="2">
        <f t="shared" si="1"/>
        <v>20</v>
      </c>
    </row>
    <row r="140" ht="15.75" customHeight="1">
      <c r="A140" s="1">
        <f>IFERROR(__xludf.DUMMYFUNCTION("""COMPUTED_VALUE"""),44036.66666666667)</f>
        <v>44036.66667</v>
      </c>
      <c r="B140" s="2">
        <f>IFERROR(__xludf.DUMMYFUNCTION("""COMPUTED_VALUE"""),535.0)</f>
        <v>535</v>
      </c>
      <c r="C140" s="2">
        <f>IFERROR(__xludf.DUMMYFUNCTION("""COMPUTED_VALUE"""),535.0)</f>
        <v>535</v>
      </c>
      <c r="D140" s="2">
        <f>IFERROR(__xludf.DUMMYFUNCTION("""COMPUTED_VALUE"""),530.0)</f>
        <v>530</v>
      </c>
      <c r="E140" s="2">
        <f>IFERROR(__xludf.DUMMYFUNCTION("""COMPUTED_VALUE"""),530.0)</f>
        <v>530</v>
      </c>
      <c r="F140" s="2">
        <f>IFERROR(__xludf.DUMMYFUNCTION("""COMPUTED_VALUE"""),6470800.0)</f>
        <v>6470800</v>
      </c>
      <c r="G140" s="2">
        <f t="shared" si="1"/>
        <v>5</v>
      </c>
    </row>
    <row r="141" ht="15.75" customHeight="1">
      <c r="A141" s="1">
        <f>IFERROR(__xludf.DUMMYFUNCTION("""COMPUTED_VALUE"""),44039.66666666667)</f>
        <v>44039.66667</v>
      </c>
      <c r="B141" s="2">
        <f>IFERROR(__xludf.DUMMYFUNCTION("""COMPUTED_VALUE"""),545.0)</f>
        <v>545</v>
      </c>
      <c r="C141" s="2">
        <f>IFERROR(__xludf.DUMMYFUNCTION("""COMPUTED_VALUE"""),580.0)</f>
        <v>580</v>
      </c>
      <c r="D141" s="2">
        <f>IFERROR(__xludf.DUMMYFUNCTION("""COMPUTED_VALUE"""),535.0)</f>
        <v>535</v>
      </c>
      <c r="E141" s="2">
        <f>IFERROR(__xludf.DUMMYFUNCTION("""COMPUTED_VALUE"""),575.0)</f>
        <v>575</v>
      </c>
      <c r="F141" s="2">
        <f>IFERROR(__xludf.DUMMYFUNCTION("""COMPUTED_VALUE"""),1.108509E8)</f>
        <v>110850900</v>
      </c>
      <c r="G141" s="2">
        <f t="shared" si="1"/>
        <v>50</v>
      </c>
    </row>
    <row r="142" ht="15.75" customHeight="1">
      <c r="A142" s="1">
        <f>IFERROR(__xludf.DUMMYFUNCTION("""COMPUTED_VALUE"""),44040.66666666667)</f>
        <v>44040.66667</v>
      </c>
      <c r="B142" s="2">
        <f>IFERROR(__xludf.DUMMYFUNCTION("""COMPUTED_VALUE"""),590.0)</f>
        <v>590</v>
      </c>
      <c r="C142" s="2">
        <f>IFERROR(__xludf.DUMMYFUNCTION("""COMPUTED_VALUE"""),645.0)</f>
        <v>645</v>
      </c>
      <c r="D142" s="2">
        <f>IFERROR(__xludf.DUMMYFUNCTION("""COMPUTED_VALUE"""),555.0)</f>
        <v>555</v>
      </c>
      <c r="E142" s="2">
        <f>IFERROR(__xludf.DUMMYFUNCTION("""COMPUTED_VALUE"""),560.0)</f>
        <v>560</v>
      </c>
      <c r="F142" s="2">
        <f>IFERROR(__xludf.DUMMYFUNCTION("""COMPUTED_VALUE"""),1.663421E8)</f>
        <v>166342100</v>
      </c>
      <c r="G142" s="2">
        <f t="shared" si="1"/>
        <v>90</v>
      </c>
    </row>
    <row r="143" ht="15.75" customHeight="1">
      <c r="A143" s="1">
        <f>IFERROR(__xludf.DUMMYFUNCTION("""COMPUTED_VALUE"""),44041.66666666667)</f>
        <v>44041.66667</v>
      </c>
      <c r="B143" s="2">
        <f>IFERROR(__xludf.DUMMYFUNCTION("""COMPUTED_VALUE"""),560.0)</f>
        <v>560</v>
      </c>
      <c r="C143" s="2">
        <f>IFERROR(__xludf.DUMMYFUNCTION("""COMPUTED_VALUE"""),570.0)</f>
        <v>570</v>
      </c>
      <c r="D143" s="2">
        <f>IFERROR(__xludf.DUMMYFUNCTION("""COMPUTED_VALUE"""),550.0)</f>
        <v>550</v>
      </c>
      <c r="E143" s="2">
        <f>IFERROR(__xludf.DUMMYFUNCTION("""COMPUTED_VALUE"""),555.0)</f>
        <v>555</v>
      </c>
      <c r="F143" s="2">
        <f>IFERROR(__xludf.DUMMYFUNCTION("""COMPUTED_VALUE"""),2.33548E7)</f>
        <v>23354800</v>
      </c>
      <c r="G143" s="2">
        <f t="shared" si="1"/>
        <v>20</v>
      </c>
    </row>
    <row r="144" ht="15.75" customHeight="1">
      <c r="A144" s="1">
        <f>IFERROR(__xludf.DUMMYFUNCTION("""COMPUTED_VALUE"""),44042.66666666667)</f>
        <v>44042.66667</v>
      </c>
      <c r="B144" s="2">
        <f>IFERROR(__xludf.DUMMYFUNCTION("""COMPUTED_VALUE"""),560.0)</f>
        <v>560</v>
      </c>
      <c r="C144" s="2">
        <f>IFERROR(__xludf.DUMMYFUNCTION("""COMPUTED_VALUE"""),565.0)</f>
        <v>565</v>
      </c>
      <c r="D144" s="2">
        <f>IFERROR(__xludf.DUMMYFUNCTION("""COMPUTED_VALUE"""),545.0)</f>
        <v>545</v>
      </c>
      <c r="E144" s="2">
        <f>IFERROR(__xludf.DUMMYFUNCTION("""COMPUTED_VALUE"""),550.0)</f>
        <v>550</v>
      </c>
      <c r="F144" s="2">
        <f>IFERROR(__xludf.DUMMYFUNCTION("""COMPUTED_VALUE"""),1.97644E7)</f>
        <v>19764400</v>
      </c>
      <c r="G144" s="2">
        <f t="shared" si="1"/>
        <v>20</v>
      </c>
    </row>
    <row r="145" ht="15.75" customHeight="1">
      <c r="A145" s="1">
        <f>IFERROR(__xludf.DUMMYFUNCTION("""COMPUTED_VALUE"""),44046.66666666667)</f>
        <v>44046.66667</v>
      </c>
      <c r="B145" s="2">
        <f>IFERROR(__xludf.DUMMYFUNCTION("""COMPUTED_VALUE"""),555.0)</f>
        <v>555</v>
      </c>
      <c r="C145" s="2">
        <f>IFERROR(__xludf.DUMMYFUNCTION("""COMPUTED_VALUE"""),555.0)</f>
        <v>555</v>
      </c>
      <c r="D145" s="2">
        <f>IFERROR(__xludf.DUMMYFUNCTION("""COMPUTED_VALUE"""),515.0)</f>
        <v>515</v>
      </c>
      <c r="E145" s="2">
        <f>IFERROR(__xludf.DUMMYFUNCTION("""COMPUTED_VALUE"""),520.0)</f>
        <v>520</v>
      </c>
      <c r="F145" s="2">
        <f>IFERROR(__xludf.DUMMYFUNCTION("""COMPUTED_VALUE"""),3.51177E7)</f>
        <v>35117700</v>
      </c>
      <c r="G145" s="2">
        <f t="shared" si="1"/>
        <v>40</v>
      </c>
    </row>
    <row r="146" ht="15.75" customHeight="1">
      <c r="A146" s="1">
        <f>IFERROR(__xludf.DUMMYFUNCTION("""COMPUTED_VALUE"""),44047.66666666667)</f>
        <v>44047.66667</v>
      </c>
      <c r="B146" s="2">
        <f>IFERROR(__xludf.DUMMYFUNCTION("""COMPUTED_VALUE"""),530.0)</f>
        <v>530</v>
      </c>
      <c r="C146" s="2">
        <f>IFERROR(__xludf.DUMMYFUNCTION("""COMPUTED_VALUE"""),565.0)</f>
        <v>565</v>
      </c>
      <c r="D146" s="2">
        <f>IFERROR(__xludf.DUMMYFUNCTION("""COMPUTED_VALUE"""),515.0)</f>
        <v>515</v>
      </c>
      <c r="E146" s="2">
        <f>IFERROR(__xludf.DUMMYFUNCTION("""COMPUTED_VALUE"""),535.0)</f>
        <v>535</v>
      </c>
      <c r="F146" s="2">
        <f>IFERROR(__xludf.DUMMYFUNCTION("""COMPUTED_VALUE"""),5.34112E7)</f>
        <v>53411200</v>
      </c>
      <c r="G146" s="2">
        <f t="shared" si="1"/>
        <v>50</v>
      </c>
    </row>
    <row r="147" ht="15.75" customHeight="1">
      <c r="A147" s="1">
        <f>IFERROR(__xludf.DUMMYFUNCTION("""COMPUTED_VALUE"""),44048.66666666667)</f>
        <v>44048.66667</v>
      </c>
      <c r="B147" s="2">
        <f>IFERROR(__xludf.DUMMYFUNCTION("""COMPUTED_VALUE"""),540.0)</f>
        <v>540</v>
      </c>
      <c r="C147" s="2">
        <f>IFERROR(__xludf.DUMMYFUNCTION("""COMPUTED_VALUE"""),545.0)</f>
        <v>545</v>
      </c>
      <c r="D147" s="2">
        <f>IFERROR(__xludf.DUMMYFUNCTION("""COMPUTED_VALUE"""),535.0)</f>
        <v>535</v>
      </c>
      <c r="E147" s="2">
        <f>IFERROR(__xludf.DUMMYFUNCTION("""COMPUTED_VALUE"""),540.0)</f>
        <v>540</v>
      </c>
      <c r="F147" s="2">
        <f>IFERROR(__xludf.DUMMYFUNCTION("""COMPUTED_VALUE"""),1.13833E7)</f>
        <v>11383300</v>
      </c>
      <c r="G147" s="2">
        <f t="shared" si="1"/>
        <v>10</v>
      </c>
    </row>
    <row r="148" ht="15.75" customHeight="1">
      <c r="A148" s="1">
        <f>IFERROR(__xludf.DUMMYFUNCTION("""COMPUTED_VALUE"""),44049.66666666667)</f>
        <v>44049.66667</v>
      </c>
      <c r="B148" s="2">
        <f>IFERROR(__xludf.DUMMYFUNCTION("""COMPUTED_VALUE"""),535.0)</f>
        <v>535</v>
      </c>
      <c r="C148" s="2">
        <f>IFERROR(__xludf.DUMMYFUNCTION("""COMPUTED_VALUE"""),560.0)</f>
        <v>560</v>
      </c>
      <c r="D148" s="2">
        <f>IFERROR(__xludf.DUMMYFUNCTION("""COMPUTED_VALUE"""),535.0)</f>
        <v>535</v>
      </c>
      <c r="E148" s="2">
        <f>IFERROR(__xludf.DUMMYFUNCTION("""COMPUTED_VALUE"""),555.0)</f>
        <v>555</v>
      </c>
      <c r="F148" s="2">
        <f>IFERROR(__xludf.DUMMYFUNCTION("""COMPUTED_VALUE"""),2.55136E7)</f>
        <v>25513600</v>
      </c>
      <c r="G148" s="2">
        <f t="shared" si="1"/>
        <v>25</v>
      </c>
    </row>
    <row r="149" ht="15.75" customHeight="1">
      <c r="A149" s="1">
        <f>IFERROR(__xludf.DUMMYFUNCTION("""COMPUTED_VALUE"""),44050.66666666667)</f>
        <v>44050.66667</v>
      </c>
      <c r="B149" s="2">
        <f>IFERROR(__xludf.DUMMYFUNCTION("""COMPUTED_VALUE"""),555.0)</f>
        <v>555</v>
      </c>
      <c r="C149" s="2">
        <f>IFERROR(__xludf.DUMMYFUNCTION("""COMPUTED_VALUE"""),560.0)</f>
        <v>560</v>
      </c>
      <c r="D149" s="2">
        <f>IFERROR(__xludf.DUMMYFUNCTION("""COMPUTED_VALUE"""),545.0)</f>
        <v>545</v>
      </c>
      <c r="E149" s="2">
        <f>IFERROR(__xludf.DUMMYFUNCTION("""COMPUTED_VALUE"""),550.0)</f>
        <v>550</v>
      </c>
      <c r="F149" s="2">
        <f>IFERROR(__xludf.DUMMYFUNCTION("""COMPUTED_VALUE"""),1.30953E7)</f>
        <v>13095300</v>
      </c>
      <c r="G149" s="2">
        <f t="shared" si="1"/>
        <v>15</v>
      </c>
    </row>
    <row r="150" ht="15.75" customHeight="1">
      <c r="A150" s="1">
        <f>IFERROR(__xludf.DUMMYFUNCTION("""COMPUTED_VALUE"""),44053.66666666667)</f>
        <v>44053.66667</v>
      </c>
      <c r="B150" s="2">
        <f>IFERROR(__xludf.DUMMYFUNCTION("""COMPUTED_VALUE"""),550.0)</f>
        <v>550</v>
      </c>
      <c r="C150" s="2">
        <f>IFERROR(__xludf.DUMMYFUNCTION("""COMPUTED_VALUE"""),555.0)</f>
        <v>555</v>
      </c>
      <c r="D150" s="2">
        <f>IFERROR(__xludf.DUMMYFUNCTION("""COMPUTED_VALUE"""),545.0)</f>
        <v>545</v>
      </c>
      <c r="E150" s="2">
        <f>IFERROR(__xludf.DUMMYFUNCTION("""COMPUTED_VALUE"""),545.0)</f>
        <v>545</v>
      </c>
      <c r="F150" s="2">
        <f>IFERROR(__xludf.DUMMYFUNCTION("""COMPUTED_VALUE"""),6395600.0)</f>
        <v>6395600</v>
      </c>
      <c r="G150" s="2">
        <f t="shared" si="1"/>
        <v>10</v>
      </c>
    </row>
    <row r="151" ht="15.75" customHeight="1">
      <c r="A151" s="1">
        <f>IFERROR(__xludf.DUMMYFUNCTION("""COMPUTED_VALUE"""),44054.66666666667)</f>
        <v>44054.66667</v>
      </c>
      <c r="B151" s="2">
        <f>IFERROR(__xludf.DUMMYFUNCTION("""COMPUTED_VALUE"""),560.0)</f>
        <v>560</v>
      </c>
      <c r="C151" s="2">
        <f>IFERROR(__xludf.DUMMYFUNCTION("""COMPUTED_VALUE"""),560.0)</f>
        <v>560</v>
      </c>
      <c r="D151" s="2">
        <f>IFERROR(__xludf.DUMMYFUNCTION("""COMPUTED_VALUE"""),545.0)</f>
        <v>545</v>
      </c>
      <c r="E151" s="2">
        <f>IFERROR(__xludf.DUMMYFUNCTION("""COMPUTED_VALUE"""),555.0)</f>
        <v>555</v>
      </c>
      <c r="F151" s="2">
        <f>IFERROR(__xludf.DUMMYFUNCTION("""COMPUTED_VALUE"""),1.70507E7)</f>
        <v>17050700</v>
      </c>
      <c r="G151" s="2">
        <f t="shared" si="1"/>
        <v>15</v>
      </c>
    </row>
    <row r="152" ht="15.75" customHeight="1">
      <c r="A152" s="1">
        <f>IFERROR(__xludf.DUMMYFUNCTION("""COMPUTED_VALUE"""),44055.66666666667)</f>
        <v>44055.66667</v>
      </c>
      <c r="B152" s="2">
        <f>IFERROR(__xludf.DUMMYFUNCTION("""COMPUTED_VALUE"""),555.0)</f>
        <v>555</v>
      </c>
      <c r="C152" s="2">
        <f>IFERROR(__xludf.DUMMYFUNCTION("""COMPUTED_VALUE"""),580.0)</f>
        <v>580</v>
      </c>
      <c r="D152" s="2">
        <f>IFERROR(__xludf.DUMMYFUNCTION("""COMPUTED_VALUE"""),550.0)</f>
        <v>550</v>
      </c>
      <c r="E152" s="2">
        <f>IFERROR(__xludf.DUMMYFUNCTION("""COMPUTED_VALUE"""),570.0)</f>
        <v>570</v>
      </c>
      <c r="F152" s="2">
        <f>IFERROR(__xludf.DUMMYFUNCTION("""COMPUTED_VALUE"""),4.34316E7)</f>
        <v>43431600</v>
      </c>
      <c r="G152" s="2">
        <f t="shared" si="1"/>
        <v>30</v>
      </c>
    </row>
    <row r="153" ht="15.75" customHeight="1">
      <c r="A153" s="1">
        <f>IFERROR(__xludf.DUMMYFUNCTION("""COMPUTED_VALUE"""),44056.66666666667)</f>
        <v>44056.66667</v>
      </c>
      <c r="B153" s="2">
        <f>IFERROR(__xludf.DUMMYFUNCTION("""COMPUTED_VALUE"""),575.0)</f>
        <v>575</v>
      </c>
      <c r="C153" s="2">
        <f>IFERROR(__xludf.DUMMYFUNCTION("""COMPUTED_VALUE"""),580.0)</f>
        <v>580</v>
      </c>
      <c r="D153" s="2">
        <f>IFERROR(__xludf.DUMMYFUNCTION("""COMPUTED_VALUE"""),560.0)</f>
        <v>560</v>
      </c>
      <c r="E153" s="2">
        <f>IFERROR(__xludf.DUMMYFUNCTION("""COMPUTED_VALUE"""),560.0)</f>
        <v>560</v>
      </c>
      <c r="F153" s="2">
        <f>IFERROR(__xludf.DUMMYFUNCTION("""COMPUTED_VALUE"""),1.5349E7)</f>
        <v>15349000</v>
      </c>
      <c r="G153" s="2">
        <f t="shared" si="1"/>
        <v>20</v>
      </c>
    </row>
    <row r="154" ht="15.75" customHeight="1">
      <c r="A154" s="1">
        <f>IFERROR(__xludf.DUMMYFUNCTION("""COMPUTED_VALUE"""),44057.66666666667)</f>
        <v>44057.66667</v>
      </c>
      <c r="B154" s="2">
        <f>IFERROR(__xludf.DUMMYFUNCTION("""COMPUTED_VALUE"""),560.0)</f>
        <v>560</v>
      </c>
      <c r="C154" s="2">
        <f>IFERROR(__xludf.DUMMYFUNCTION("""COMPUTED_VALUE"""),560.0)</f>
        <v>560</v>
      </c>
      <c r="D154" s="2">
        <f>IFERROR(__xludf.DUMMYFUNCTION("""COMPUTED_VALUE"""),550.0)</f>
        <v>550</v>
      </c>
      <c r="E154" s="2">
        <f>IFERROR(__xludf.DUMMYFUNCTION("""COMPUTED_VALUE"""),550.0)</f>
        <v>550</v>
      </c>
      <c r="F154" s="2">
        <f>IFERROR(__xludf.DUMMYFUNCTION("""COMPUTED_VALUE"""),8796700.0)</f>
        <v>8796700</v>
      </c>
      <c r="G154" s="2">
        <f t="shared" si="1"/>
        <v>10</v>
      </c>
    </row>
    <row r="155" ht="15.75" customHeight="1">
      <c r="A155" s="1">
        <f>IFERROR(__xludf.DUMMYFUNCTION("""COMPUTED_VALUE"""),44061.66666666667)</f>
        <v>44061.66667</v>
      </c>
      <c r="B155" s="2">
        <f>IFERROR(__xludf.DUMMYFUNCTION("""COMPUTED_VALUE"""),550.0)</f>
        <v>550</v>
      </c>
      <c r="C155" s="2">
        <f>IFERROR(__xludf.DUMMYFUNCTION("""COMPUTED_VALUE"""),570.0)</f>
        <v>570</v>
      </c>
      <c r="D155" s="2">
        <f>IFERROR(__xludf.DUMMYFUNCTION("""COMPUTED_VALUE"""),550.0)</f>
        <v>550</v>
      </c>
      <c r="E155" s="2">
        <f>IFERROR(__xludf.DUMMYFUNCTION("""COMPUTED_VALUE"""),560.0)</f>
        <v>560</v>
      </c>
      <c r="F155" s="2">
        <f>IFERROR(__xludf.DUMMYFUNCTION("""COMPUTED_VALUE"""),9671800.0)</f>
        <v>9671800</v>
      </c>
      <c r="G155" s="2">
        <f t="shared" si="1"/>
        <v>20</v>
      </c>
    </row>
    <row r="156" ht="15.75" customHeight="1">
      <c r="A156" s="1">
        <f>IFERROR(__xludf.DUMMYFUNCTION("""COMPUTED_VALUE"""),44062.66666666667)</f>
        <v>44062.66667</v>
      </c>
      <c r="B156" s="2">
        <f>IFERROR(__xludf.DUMMYFUNCTION("""COMPUTED_VALUE"""),565.0)</f>
        <v>565</v>
      </c>
      <c r="C156" s="2">
        <f>IFERROR(__xludf.DUMMYFUNCTION("""COMPUTED_VALUE"""),570.0)</f>
        <v>570</v>
      </c>
      <c r="D156" s="2">
        <f>IFERROR(__xludf.DUMMYFUNCTION("""COMPUTED_VALUE"""),555.0)</f>
        <v>555</v>
      </c>
      <c r="E156" s="2">
        <f>IFERROR(__xludf.DUMMYFUNCTION("""COMPUTED_VALUE"""),565.0)</f>
        <v>565</v>
      </c>
      <c r="F156" s="2">
        <f>IFERROR(__xludf.DUMMYFUNCTION("""COMPUTED_VALUE"""),1.74576E7)</f>
        <v>17457600</v>
      </c>
      <c r="G156" s="2">
        <f t="shared" si="1"/>
        <v>15</v>
      </c>
    </row>
    <row r="157" ht="15.75" customHeight="1">
      <c r="A157" s="1">
        <f>IFERROR(__xludf.DUMMYFUNCTION("""COMPUTED_VALUE"""),44067.66666666667)</f>
        <v>44067.66667</v>
      </c>
      <c r="B157" s="2">
        <f>IFERROR(__xludf.DUMMYFUNCTION("""COMPUTED_VALUE"""),565.0)</f>
        <v>565</v>
      </c>
      <c r="C157" s="2">
        <f>IFERROR(__xludf.DUMMYFUNCTION("""COMPUTED_VALUE"""),585.0)</f>
        <v>585</v>
      </c>
      <c r="D157" s="2">
        <f>IFERROR(__xludf.DUMMYFUNCTION("""COMPUTED_VALUE"""),560.0)</f>
        <v>560</v>
      </c>
      <c r="E157" s="2">
        <f>IFERROR(__xludf.DUMMYFUNCTION("""COMPUTED_VALUE"""),580.0)</f>
        <v>580</v>
      </c>
      <c r="F157" s="2">
        <f>IFERROR(__xludf.DUMMYFUNCTION("""COMPUTED_VALUE"""),3.71025E7)</f>
        <v>37102500</v>
      </c>
      <c r="G157" s="2">
        <f t="shared" si="1"/>
        <v>25</v>
      </c>
    </row>
    <row r="158" ht="15.75" customHeight="1">
      <c r="A158" s="1">
        <f>IFERROR(__xludf.DUMMYFUNCTION("""COMPUTED_VALUE"""),44068.66666666667)</f>
        <v>44068.66667</v>
      </c>
      <c r="B158" s="2">
        <f>IFERROR(__xludf.DUMMYFUNCTION("""COMPUTED_VALUE"""),585.0)</f>
        <v>585</v>
      </c>
      <c r="C158" s="2">
        <f>IFERROR(__xludf.DUMMYFUNCTION("""COMPUTED_VALUE"""),595.0)</f>
        <v>595</v>
      </c>
      <c r="D158" s="2">
        <f>IFERROR(__xludf.DUMMYFUNCTION("""COMPUTED_VALUE"""),580.0)</f>
        <v>580</v>
      </c>
      <c r="E158" s="2">
        <f>IFERROR(__xludf.DUMMYFUNCTION("""COMPUTED_VALUE"""),585.0)</f>
        <v>585</v>
      </c>
      <c r="F158" s="2">
        <f>IFERROR(__xludf.DUMMYFUNCTION("""COMPUTED_VALUE"""),2.14877E7)</f>
        <v>21487700</v>
      </c>
      <c r="G158" s="2">
        <f t="shared" si="1"/>
        <v>15</v>
      </c>
    </row>
    <row r="159" ht="15.75" customHeight="1">
      <c r="A159" s="1">
        <f>IFERROR(__xludf.DUMMYFUNCTION("""COMPUTED_VALUE"""),44069.66666666667)</f>
        <v>44069.66667</v>
      </c>
      <c r="B159" s="2">
        <f>IFERROR(__xludf.DUMMYFUNCTION("""COMPUTED_VALUE"""),590.0)</f>
        <v>590</v>
      </c>
      <c r="C159" s="2">
        <f>IFERROR(__xludf.DUMMYFUNCTION("""COMPUTED_VALUE"""),590.0)</f>
        <v>590</v>
      </c>
      <c r="D159" s="2">
        <f>IFERROR(__xludf.DUMMYFUNCTION("""COMPUTED_VALUE"""),580.0)</f>
        <v>580</v>
      </c>
      <c r="E159" s="2">
        <f>IFERROR(__xludf.DUMMYFUNCTION("""COMPUTED_VALUE"""),580.0)</f>
        <v>580</v>
      </c>
      <c r="F159" s="2">
        <f>IFERROR(__xludf.DUMMYFUNCTION("""COMPUTED_VALUE"""),1.48669E7)</f>
        <v>14866900</v>
      </c>
      <c r="G159" s="2">
        <f t="shared" si="1"/>
        <v>10</v>
      </c>
    </row>
    <row r="160" ht="15.75" customHeight="1">
      <c r="A160" s="1">
        <f>IFERROR(__xludf.DUMMYFUNCTION("""COMPUTED_VALUE"""),44070.66666666667)</f>
        <v>44070.66667</v>
      </c>
      <c r="B160" s="2">
        <f>IFERROR(__xludf.DUMMYFUNCTION("""COMPUTED_VALUE"""),585.0)</f>
        <v>585</v>
      </c>
      <c r="C160" s="2">
        <f>IFERROR(__xludf.DUMMYFUNCTION("""COMPUTED_VALUE"""),640.0)</f>
        <v>640</v>
      </c>
      <c r="D160" s="2">
        <f>IFERROR(__xludf.DUMMYFUNCTION("""COMPUTED_VALUE"""),580.0)</f>
        <v>580</v>
      </c>
      <c r="E160" s="2">
        <f>IFERROR(__xludf.DUMMYFUNCTION("""COMPUTED_VALUE"""),615.0)</f>
        <v>615</v>
      </c>
      <c r="F160" s="2">
        <f>IFERROR(__xludf.DUMMYFUNCTION("""COMPUTED_VALUE"""),1.441854E8)</f>
        <v>144185400</v>
      </c>
      <c r="G160" s="2">
        <f t="shared" si="1"/>
        <v>60</v>
      </c>
    </row>
    <row r="161" ht="15.75" customHeight="1">
      <c r="A161" s="1">
        <f>IFERROR(__xludf.DUMMYFUNCTION("""COMPUTED_VALUE"""),44071.66666666667)</f>
        <v>44071.66667</v>
      </c>
      <c r="B161" s="2">
        <f>IFERROR(__xludf.DUMMYFUNCTION("""COMPUTED_VALUE"""),615.0)</f>
        <v>615</v>
      </c>
      <c r="C161" s="2">
        <f>IFERROR(__xludf.DUMMYFUNCTION("""COMPUTED_VALUE"""),625.0)</f>
        <v>625</v>
      </c>
      <c r="D161" s="2">
        <f>IFERROR(__xludf.DUMMYFUNCTION("""COMPUTED_VALUE"""),610.0)</f>
        <v>610</v>
      </c>
      <c r="E161" s="2">
        <f>IFERROR(__xludf.DUMMYFUNCTION("""COMPUTED_VALUE"""),615.0)</f>
        <v>615</v>
      </c>
      <c r="F161" s="2">
        <f>IFERROR(__xludf.DUMMYFUNCTION("""COMPUTED_VALUE"""),4.5424E7)</f>
        <v>45424000</v>
      </c>
      <c r="G161" s="2">
        <f t="shared" si="1"/>
        <v>15</v>
      </c>
    </row>
    <row r="162" ht="15.75" customHeight="1">
      <c r="A162" s="1">
        <f>IFERROR(__xludf.DUMMYFUNCTION("""COMPUTED_VALUE"""),44074.66666666667)</f>
        <v>44074.66667</v>
      </c>
      <c r="B162" s="2">
        <f>IFERROR(__xludf.DUMMYFUNCTION("""COMPUTED_VALUE"""),620.0)</f>
        <v>620</v>
      </c>
      <c r="C162" s="2">
        <f>IFERROR(__xludf.DUMMYFUNCTION("""COMPUTED_VALUE"""),625.0)</f>
        <v>625</v>
      </c>
      <c r="D162" s="2">
        <f>IFERROR(__xludf.DUMMYFUNCTION("""COMPUTED_VALUE"""),580.0)</f>
        <v>580</v>
      </c>
      <c r="E162" s="2">
        <f>IFERROR(__xludf.DUMMYFUNCTION("""COMPUTED_VALUE"""),595.0)</f>
        <v>595</v>
      </c>
      <c r="F162" s="2">
        <f>IFERROR(__xludf.DUMMYFUNCTION("""COMPUTED_VALUE"""),3.15417E7)</f>
        <v>31541700</v>
      </c>
      <c r="G162" s="2">
        <f t="shared" si="1"/>
        <v>45</v>
      </c>
    </row>
    <row r="163" ht="15.75" customHeight="1">
      <c r="A163" s="1">
        <f>IFERROR(__xludf.DUMMYFUNCTION("""COMPUTED_VALUE"""),44075.66666666667)</f>
        <v>44075.66667</v>
      </c>
      <c r="B163" s="2">
        <f>IFERROR(__xludf.DUMMYFUNCTION("""COMPUTED_VALUE"""),595.0)</f>
        <v>595</v>
      </c>
      <c r="C163" s="2">
        <f>IFERROR(__xludf.DUMMYFUNCTION("""COMPUTED_VALUE"""),605.0)</f>
        <v>605</v>
      </c>
      <c r="D163" s="2">
        <f>IFERROR(__xludf.DUMMYFUNCTION("""COMPUTED_VALUE"""),580.0)</f>
        <v>580</v>
      </c>
      <c r="E163" s="2">
        <f>IFERROR(__xludf.DUMMYFUNCTION("""COMPUTED_VALUE"""),590.0)</f>
        <v>590</v>
      </c>
      <c r="F163" s="2">
        <f>IFERROR(__xludf.DUMMYFUNCTION("""COMPUTED_VALUE"""),1.8503E7)</f>
        <v>18503000</v>
      </c>
      <c r="G163" s="2">
        <f t="shared" si="1"/>
        <v>25</v>
      </c>
    </row>
    <row r="164" ht="15.75" customHeight="1">
      <c r="A164" s="1">
        <f>IFERROR(__xludf.DUMMYFUNCTION("""COMPUTED_VALUE"""),44076.66666666667)</f>
        <v>44076.66667</v>
      </c>
      <c r="B164" s="2">
        <f>IFERROR(__xludf.DUMMYFUNCTION("""COMPUTED_VALUE"""),600.0)</f>
        <v>600</v>
      </c>
      <c r="C164" s="2">
        <f>IFERROR(__xludf.DUMMYFUNCTION("""COMPUTED_VALUE"""),600.0)</f>
        <v>600</v>
      </c>
      <c r="D164" s="2">
        <f>IFERROR(__xludf.DUMMYFUNCTION("""COMPUTED_VALUE"""),585.0)</f>
        <v>585</v>
      </c>
      <c r="E164" s="2">
        <f>IFERROR(__xludf.DUMMYFUNCTION("""COMPUTED_VALUE"""),590.0)</f>
        <v>590</v>
      </c>
      <c r="F164" s="2">
        <f>IFERROR(__xludf.DUMMYFUNCTION("""COMPUTED_VALUE"""),1.33908E7)</f>
        <v>13390800</v>
      </c>
      <c r="G164" s="2">
        <f t="shared" si="1"/>
        <v>15</v>
      </c>
    </row>
    <row r="165" ht="15.75" customHeight="1">
      <c r="A165" s="1">
        <f>IFERROR(__xludf.DUMMYFUNCTION("""COMPUTED_VALUE"""),44077.66666666667)</f>
        <v>44077.66667</v>
      </c>
      <c r="B165" s="2">
        <f>IFERROR(__xludf.DUMMYFUNCTION("""COMPUTED_VALUE"""),590.0)</f>
        <v>590</v>
      </c>
      <c r="C165" s="2">
        <f>IFERROR(__xludf.DUMMYFUNCTION("""COMPUTED_VALUE"""),600.0)</f>
        <v>600</v>
      </c>
      <c r="D165" s="2">
        <f>IFERROR(__xludf.DUMMYFUNCTION("""COMPUTED_VALUE"""),580.0)</f>
        <v>580</v>
      </c>
      <c r="E165" s="2">
        <f>IFERROR(__xludf.DUMMYFUNCTION("""COMPUTED_VALUE"""),585.0)</f>
        <v>585</v>
      </c>
      <c r="F165" s="2">
        <f>IFERROR(__xludf.DUMMYFUNCTION("""COMPUTED_VALUE"""),1.81218E7)</f>
        <v>18121800</v>
      </c>
      <c r="G165" s="2">
        <f t="shared" si="1"/>
        <v>20</v>
      </c>
    </row>
    <row r="166" ht="15.75" customHeight="1">
      <c r="A166" s="1">
        <f>IFERROR(__xludf.DUMMYFUNCTION("""COMPUTED_VALUE"""),44078.66666666667)</f>
        <v>44078.66667</v>
      </c>
      <c r="B166" s="2">
        <f>IFERROR(__xludf.DUMMYFUNCTION("""COMPUTED_VALUE"""),580.0)</f>
        <v>580</v>
      </c>
      <c r="C166" s="2">
        <f>IFERROR(__xludf.DUMMYFUNCTION("""COMPUTED_VALUE"""),585.0)</f>
        <v>585</v>
      </c>
      <c r="D166" s="2">
        <f>IFERROR(__xludf.DUMMYFUNCTION("""COMPUTED_VALUE"""),570.0)</f>
        <v>570</v>
      </c>
      <c r="E166" s="2">
        <f>IFERROR(__xludf.DUMMYFUNCTION("""COMPUTED_VALUE"""),585.0)</f>
        <v>585</v>
      </c>
      <c r="F166" s="2">
        <f>IFERROR(__xludf.DUMMYFUNCTION("""COMPUTED_VALUE"""),1.77096E7)</f>
        <v>17709600</v>
      </c>
      <c r="G166" s="2">
        <f t="shared" si="1"/>
        <v>15</v>
      </c>
    </row>
    <row r="167" ht="15.75" customHeight="1">
      <c r="A167" s="1">
        <f>IFERROR(__xludf.DUMMYFUNCTION("""COMPUTED_VALUE"""),44081.66666666667)</f>
        <v>44081.66667</v>
      </c>
      <c r="B167" s="2">
        <f>IFERROR(__xludf.DUMMYFUNCTION("""COMPUTED_VALUE"""),595.0)</f>
        <v>595</v>
      </c>
      <c r="C167" s="2">
        <f>IFERROR(__xludf.DUMMYFUNCTION("""COMPUTED_VALUE"""),595.0)</f>
        <v>595</v>
      </c>
      <c r="D167" s="2">
        <f>IFERROR(__xludf.DUMMYFUNCTION("""COMPUTED_VALUE"""),580.0)</f>
        <v>580</v>
      </c>
      <c r="E167" s="2">
        <f>IFERROR(__xludf.DUMMYFUNCTION("""COMPUTED_VALUE"""),590.0)</f>
        <v>590</v>
      </c>
      <c r="F167" s="2">
        <f>IFERROR(__xludf.DUMMYFUNCTION("""COMPUTED_VALUE"""),8348300.0)</f>
        <v>8348300</v>
      </c>
      <c r="G167" s="2">
        <f t="shared" si="1"/>
        <v>15</v>
      </c>
    </row>
    <row r="168" ht="15.75" customHeight="1">
      <c r="A168" s="1">
        <f>IFERROR(__xludf.DUMMYFUNCTION("""COMPUTED_VALUE"""),44082.66666666667)</f>
        <v>44082.66667</v>
      </c>
      <c r="B168" s="2">
        <f>IFERROR(__xludf.DUMMYFUNCTION("""COMPUTED_VALUE"""),590.0)</f>
        <v>590</v>
      </c>
      <c r="C168" s="2">
        <f>IFERROR(__xludf.DUMMYFUNCTION("""COMPUTED_VALUE"""),600.0)</f>
        <v>600</v>
      </c>
      <c r="D168" s="2">
        <f>IFERROR(__xludf.DUMMYFUNCTION("""COMPUTED_VALUE"""),585.0)</f>
        <v>585</v>
      </c>
      <c r="E168" s="2">
        <f>IFERROR(__xludf.DUMMYFUNCTION("""COMPUTED_VALUE"""),590.0)</f>
        <v>590</v>
      </c>
      <c r="F168" s="2">
        <f>IFERROR(__xludf.DUMMYFUNCTION("""COMPUTED_VALUE"""),5622200.0)</f>
        <v>5622200</v>
      </c>
      <c r="G168" s="2">
        <f t="shared" si="1"/>
        <v>15</v>
      </c>
    </row>
    <row r="169" ht="15.75" customHeight="1">
      <c r="A169" s="1">
        <f>IFERROR(__xludf.DUMMYFUNCTION("""COMPUTED_VALUE"""),44083.66666666667)</f>
        <v>44083.66667</v>
      </c>
      <c r="B169" s="2">
        <f>IFERROR(__xludf.DUMMYFUNCTION("""COMPUTED_VALUE"""),590.0)</f>
        <v>590</v>
      </c>
      <c r="C169" s="2">
        <f>IFERROR(__xludf.DUMMYFUNCTION("""COMPUTED_VALUE"""),590.0)</f>
        <v>590</v>
      </c>
      <c r="D169" s="2">
        <f>IFERROR(__xludf.DUMMYFUNCTION("""COMPUTED_VALUE"""),570.0)</f>
        <v>570</v>
      </c>
      <c r="E169" s="2">
        <f>IFERROR(__xludf.DUMMYFUNCTION("""COMPUTED_VALUE"""),570.0)</f>
        <v>570</v>
      </c>
      <c r="F169" s="2">
        <f>IFERROR(__xludf.DUMMYFUNCTION("""COMPUTED_VALUE"""),1.09835E7)</f>
        <v>10983500</v>
      </c>
      <c r="G169" s="2">
        <f t="shared" si="1"/>
        <v>20</v>
      </c>
    </row>
    <row r="170" ht="15.75" customHeight="1">
      <c r="A170" s="1">
        <f>IFERROR(__xludf.DUMMYFUNCTION("""COMPUTED_VALUE"""),44084.66666666667)</f>
        <v>44084.66667</v>
      </c>
      <c r="B170" s="2">
        <f>IFERROR(__xludf.DUMMYFUNCTION("""COMPUTED_VALUE"""),560.0)</f>
        <v>560</v>
      </c>
      <c r="C170" s="2">
        <f>IFERROR(__xludf.DUMMYFUNCTION("""COMPUTED_VALUE"""),560.0)</f>
        <v>560</v>
      </c>
      <c r="D170" s="2">
        <f>IFERROR(__xludf.DUMMYFUNCTION("""COMPUTED_VALUE"""),535.0)</f>
        <v>535</v>
      </c>
      <c r="E170" s="2">
        <f>IFERROR(__xludf.DUMMYFUNCTION("""COMPUTED_VALUE"""),535.0)</f>
        <v>535</v>
      </c>
      <c r="F170" s="2">
        <f>IFERROR(__xludf.DUMMYFUNCTION("""COMPUTED_VALUE"""),2.618E7)</f>
        <v>26180000</v>
      </c>
      <c r="G170" s="2">
        <f t="shared" si="1"/>
        <v>35</v>
      </c>
    </row>
    <row r="171" ht="15.75" customHeight="1">
      <c r="A171" s="1">
        <f>IFERROR(__xludf.DUMMYFUNCTION("""COMPUTED_VALUE"""),44085.66666666667)</f>
        <v>44085.66667</v>
      </c>
      <c r="B171" s="2">
        <f>IFERROR(__xludf.DUMMYFUNCTION("""COMPUTED_VALUE"""),535.0)</f>
        <v>535</v>
      </c>
      <c r="C171" s="2">
        <f>IFERROR(__xludf.DUMMYFUNCTION("""COMPUTED_VALUE"""),570.0)</f>
        <v>570</v>
      </c>
      <c r="D171" s="2">
        <f>IFERROR(__xludf.DUMMYFUNCTION("""COMPUTED_VALUE"""),515.0)</f>
        <v>515</v>
      </c>
      <c r="E171" s="2">
        <f>IFERROR(__xludf.DUMMYFUNCTION("""COMPUTED_VALUE"""),560.0)</f>
        <v>560</v>
      </c>
      <c r="F171" s="2">
        <f>IFERROR(__xludf.DUMMYFUNCTION("""COMPUTED_VALUE"""),2.2696E7)</f>
        <v>22696000</v>
      </c>
      <c r="G171" s="2">
        <f t="shared" si="1"/>
        <v>55</v>
      </c>
    </row>
    <row r="172" ht="15.75" customHeight="1">
      <c r="A172" s="1">
        <f>IFERROR(__xludf.DUMMYFUNCTION("""COMPUTED_VALUE"""),44088.66666666667)</f>
        <v>44088.66667</v>
      </c>
      <c r="B172" s="2">
        <f>IFERROR(__xludf.DUMMYFUNCTION("""COMPUTED_VALUE"""),565.0)</f>
        <v>565</v>
      </c>
      <c r="C172" s="2">
        <f>IFERROR(__xludf.DUMMYFUNCTION("""COMPUTED_VALUE"""),580.0)</f>
        <v>580</v>
      </c>
      <c r="D172" s="2">
        <f>IFERROR(__xludf.DUMMYFUNCTION("""COMPUTED_VALUE"""),560.0)</f>
        <v>560</v>
      </c>
      <c r="E172" s="2">
        <f>IFERROR(__xludf.DUMMYFUNCTION("""COMPUTED_VALUE"""),575.0)</f>
        <v>575</v>
      </c>
      <c r="F172" s="2">
        <f>IFERROR(__xludf.DUMMYFUNCTION("""COMPUTED_VALUE"""),1.26731E7)</f>
        <v>12673100</v>
      </c>
      <c r="G172" s="2">
        <f t="shared" si="1"/>
        <v>20</v>
      </c>
    </row>
    <row r="173" ht="15.75" customHeight="1">
      <c r="A173" s="1">
        <f>IFERROR(__xludf.DUMMYFUNCTION("""COMPUTED_VALUE"""),44089.66666666667)</f>
        <v>44089.66667</v>
      </c>
      <c r="B173" s="2">
        <f>IFERROR(__xludf.DUMMYFUNCTION("""COMPUTED_VALUE"""),575.0)</f>
        <v>575</v>
      </c>
      <c r="C173" s="2">
        <f>IFERROR(__xludf.DUMMYFUNCTION("""COMPUTED_VALUE"""),580.0)</f>
        <v>580</v>
      </c>
      <c r="D173" s="2">
        <f>IFERROR(__xludf.DUMMYFUNCTION("""COMPUTED_VALUE"""),560.0)</f>
        <v>560</v>
      </c>
      <c r="E173" s="2">
        <f>IFERROR(__xludf.DUMMYFUNCTION("""COMPUTED_VALUE"""),560.0)</f>
        <v>560</v>
      </c>
      <c r="F173" s="2">
        <f>IFERROR(__xludf.DUMMYFUNCTION("""COMPUTED_VALUE"""),9189800.0)</f>
        <v>9189800</v>
      </c>
      <c r="G173" s="2">
        <f t="shared" si="1"/>
        <v>20</v>
      </c>
    </row>
    <row r="174" ht="15.75" customHeight="1">
      <c r="A174" s="1">
        <f>IFERROR(__xludf.DUMMYFUNCTION("""COMPUTED_VALUE"""),44090.66666666667)</f>
        <v>44090.66667</v>
      </c>
      <c r="B174" s="2">
        <f>IFERROR(__xludf.DUMMYFUNCTION("""COMPUTED_VALUE"""),575.0)</f>
        <v>575</v>
      </c>
      <c r="C174" s="2">
        <f>IFERROR(__xludf.DUMMYFUNCTION("""COMPUTED_VALUE"""),575.0)</f>
        <v>575</v>
      </c>
      <c r="D174" s="2">
        <f>IFERROR(__xludf.DUMMYFUNCTION("""COMPUTED_VALUE"""),550.0)</f>
        <v>550</v>
      </c>
      <c r="E174" s="2">
        <f>IFERROR(__xludf.DUMMYFUNCTION("""COMPUTED_VALUE"""),555.0)</f>
        <v>555</v>
      </c>
      <c r="F174" s="2">
        <f>IFERROR(__xludf.DUMMYFUNCTION("""COMPUTED_VALUE"""),7624000.0)</f>
        <v>7624000</v>
      </c>
      <c r="G174" s="2">
        <f t="shared" si="1"/>
        <v>25</v>
      </c>
    </row>
    <row r="175" ht="15.75" customHeight="1">
      <c r="A175" s="1">
        <f>IFERROR(__xludf.DUMMYFUNCTION("""COMPUTED_VALUE"""),44091.66666666667)</f>
        <v>44091.66667</v>
      </c>
      <c r="B175" s="2">
        <f>IFERROR(__xludf.DUMMYFUNCTION("""COMPUTED_VALUE"""),555.0)</f>
        <v>555</v>
      </c>
      <c r="C175" s="2">
        <f>IFERROR(__xludf.DUMMYFUNCTION("""COMPUTED_VALUE"""),555.0)</f>
        <v>555</v>
      </c>
      <c r="D175" s="2">
        <f>IFERROR(__xludf.DUMMYFUNCTION("""COMPUTED_VALUE"""),535.0)</f>
        <v>535</v>
      </c>
      <c r="E175" s="2">
        <f>IFERROR(__xludf.DUMMYFUNCTION("""COMPUTED_VALUE"""),535.0)</f>
        <v>535</v>
      </c>
      <c r="F175" s="2">
        <f>IFERROR(__xludf.DUMMYFUNCTION("""COMPUTED_VALUE"""),1.40229E7)</f>
        <v>14022900</v>
      </c>
      <c r="G175" s="2">
        <f t="shared" si="1"/>
        <v>20</v>
      </c>
    </row>
    <row r="176" ht="15.75" customHeight="1">
      <c r="A176" s="1">
        <f>IFERROR(__xludf.DUMMYFUNCTION("""COMPUTED_VALUE"""),44092.66666666667)</f>
        <v>44092.66667</v>
      </c>
      <c r="B176" s="2">
        <f>IFERROR(__xludf.DUMMYFUNCTION("""COMPUTED_VALUE"""),535.0)</f>
        <v>535</v>
      </c>
      <c r="C176" s="2">
        <f>IFERROR(__xludf.DUMMYFUNCTION("""COMPUTED_VALUE"""),550.0)</f>
        <v>550</v>
      </c>
      <c r="D176" s="2">
        <f>IFERROR(__xludf.DUMMYFUNCTION("""COMPUTED_VALUE"""),535.0)</f>
        <v>535</v>
      </c>
      <c r="E176" s="2">
        <f>IFERROR(__xludf.DUMMYFUNCTION("""COMPUTED_VALUE"""),535.0)</f>
        <v>535</v>
      </c>
      <c r="F176" s="2">
        <f>IFERROR(__xludf.DUMMYFUNCTION("""COMPUTED_VALUE"""),1.06117E7)</f>
        <v>10611700</v>
      </c>
      <c r="G176" s="2">
        <f t="shared" si="1"/>
        <v>15</v>
      </c>
    </row>
    <row r="177" ht="15.75" customHeight="1">
      <c r="A177" s="1">
        <f>IFERROR(__xludf.DUMMYFUNCTION("""COMPUTED_VALUE"""),44095.66666666667)</f>
        <v>44095.66667</v>
      </c>
      <c r="B177" s="2">
        <f>IFERROR(__xludf.DUMMYFUNCTION("""COMPUTED_VALUE"""),540.0)</f>
        <v>540</v>
      </c>
      <c r="C177" s="2">
        <f>IFERROR(__xludf.DUMMYFUNCTION("""COMPUTED_VALUE"""),545.0)</f>
        <v>545</v>
      </c>
      <c r="D177" s="2">
        <f>IFERROR(__xludf.DUMMYFUNCTION("""COMPUTED_VALUE"""),525.0)</f>
        <v>525</v>
      </c>
      <c r="E177" s="2">
        <f>IFERROR(__xludf.DUMMYFUNCTION("""COMPUTED_VALUE"""),525.0)</f>
        <v>525</v>
      </c>
      <c r="F177" s="2">
        <f>IFERROR(__xludf.DUMMYFUNCTION("""COMPUTED_VALUE"""),1.51297E7)</f>
        <v>15129700</v>
      </c>
      <c r="G177" s="2">
        <f t="shared" si="1"/>
        <v>20</v>
      </c>
    </row>
    <row r="178" ht="15.75" customHeight="1">
      <c r="A178" s="1">
        <f>IFERROR(__xludf.DUMMYFUNCTION("""COMPUTED_VALUE"""),44096.66666666667)</f>
        <v>44096.66667</v>
      </c>
      <c r="B178" s="2">
        <f>IFERROR(__xludf.DUMMYFUNCTION("""COMPUTED_VALUE"""),530.0)</f>
        <v>530</v>
      </c>
      <c r="C178" s="2">
        <f>IFERROR(__xludf.DUMMYFUNCTION("""COMPUTED_VALUE"""),530.0)</f>
        <v>530</v>
      </c>
      <c r="D178" s="2">
        <f>IFERROR(__xludf.DUMMYFUNCTION("""COMPUTED_VALUE"""),510.0)</f>
        <v>510</v>
      </c>
      <c r="E178" s="2">
        <f>IFERROR(__xludf.DUMMYFUNCTION("""COMPUTED_VALUE"""),515.0)</f>
        <v>515</v>
      </c>
      <c r="F178" s="2">
        <f>IFERROR(__xludf.DUMMYFUNCTION("""COMPUTED_VALUE"""),1.41363E7)</f>
        <v>14136300</v>
      </c>
      <c r="G178" s="2">
        <f t="shared" si="1"/>
        <v>20</v>
      </c>
    </row>
    <row r="179" ht="15.75" customHeight="1">
      <c r="A179" s="1">
        <f>IFERROR(__xludf.DUMMYFUNCTION("""COMPUTED_VALUE"""),44097.66666666667)</f>
        <v>44097.66667</v>
      </c>
      <c r="B179" s="2">
        <f>IFERROR(__xludf.DUMMYFUNCTION("""COMPUTED_VALUE"""),515.0)</f>
        <v>515</v>
      </c>
      <c r="C179" s="2">
        <f>IFERROR(__xludf.DUMMYFUNCTION("""COMPUTED_VALUE"""),530.0)</f>
        <v>530</v>
      </c>
      <c r="D179" s="2">
        <f>IFERROR(__xludf.DUMMYFUNCTION("""COMPUTED_VALUE"""),510.0)</f>
        <v>510</v>
      </c>
      <c r="E179" s="2">
        <f>IFERROR(__xludf.DUMMYFUNCTION("""COMPUTED_VALUE"""),515.0)</f>
        <v>515</v>
      </c>
      <c r="F179" s="2">
        <f>IFERROR(__xludf.DUMMYFUNCTION("""COMPUTED_VALUE"""),7512300.0)</f>
        <v>7512300</v>
      </c>
      <c r="G179" s="2">
        <f t="shared" si="1"/>
        <v>20</v>
      </c>
    </row>
    <row r="180" ht="15.75" customHeight="1">
      <c r="A180" s="1">
        <f>IFERROR(__xludf.DUMMYFUNCTION("""COMPUTED_VALUE"""),44098.66666666667)</f>
        <v>44098.66667</v>
      </c>
      <c r="B180" s="2">
        <f>IFERROR(__xludf.DUMMYFUNCTION("""COMPUTED_VALUE"""),510.0)</f>
        <v>510</v>
      </c>
      <c r="C180" s="2">
        <f>IFERROR(__xludf.DUMMYFUNCTION("""COMPUTED_VALUE"""),515.0)</f>
        <v>515</v>
      </c>
      <c r="D180" s="2">
        <f>IFERROR(__xludf.DUMMYFUNCTION("""COMPUTED_VALUE"""),505.0)</f>
        <v>505</v>
      </c>
      <c r="E180" s="2">
        <f>IFERROR(__xludf.DUMMYFUNCTION("""COMPUTED_VALUE"""),505.0)</f>
        <v>505</v>
      </c>
      <c r="F180" s="2">
        <f>IFERROR(__xludf.DUMMYFUNCTION("""COMPUTED_VALUE"""),6942800.0)</f>
        <v>6942800</v>
      </c>
      <c r="G180" s="2">
        <f t="shared" si="1"/>
        <v>10</v>
      </c>
    </row>
    <row r="181" ht="15.75" customHeight="1">
      <c r="A181" s="1">
        <f>IFERROR(__xludf.DUMMYFUNCTION("""COMPUTED_VALUE"""),44099.66666666667)</f>
        <v>44099.66667</v>
      </c>
      <c r="B181" s="2">
        <f>IFERROR(__xludf.DUMMYFUNCTION("""COMPUTED_VALUE"""),505.0)</f>
        <v>505</v>
      </c>
      <c r="C181" s="2">
        <f>IFERROR(__xludf.DUMMYFUNCTION("""COMPUTED_VALUE"""),525.0)</f>
        <v>525</v>
      </c>
      <c r="D181" s="2">
        <f>IFERROR(__xludf.DUMMYFUNCTION("""COMPUTED_VALUE"""),505.0)</f>
        <v>505</v>
      </c>
      <c r="E181" s="2">
        <f>IFERROR(__xludf.DUMMYFUNCTION("""COMPUTED_VALUE"""),515.0)</f>
        <v>515</v>
      </c>
      <c r="F181" s="2">
        <f>IFERROR(__xludf.DUMMYFUNCTION("""COMPUTED_VALUE"""),1.30594E7)</f>
        <v>13059400</v>
      </c>
      <c r="G181" s="2">
        <f t="shared" si="1"/>
        <v>20</v>
      </c>
    </row>
    <row r="182" ht="15.75" customHeight="1">
      <c r="A182" s="1">
        <f>IFERROR(__xludf.DUMMYFUNCTION("""COMPUTED_VALUE"""),44102.66666666667)</f>
        <v>44102.66667</v>
      </c>
      <c r="B182" s="2">
        <f>IFERROR(__xludf.DUMMYFUNCTION("""COMPUTED_VALUE"""),515.0)</f>
        <v>515</v>
      </c>
      <c r="C182" s="2">
        <f>IFERROR(__xludf.DUMMYFUNCTION("""COMPUTED_VALUE"""),525.0)</f>
        <v>525</v>
      </c>
      <c r="D182" s="2">
        <f>IFERROR(__xludf.DUMMYFUNCTION("""COMPUTED_VALUE"""),510.0)</f>
        <v>510</v>
      </c>
      <c r="E182" s="2">
        <f>IFERROR(__xludf.DUMMYFUNCTION("""COMPUTED_VALUE"""),515.0)</f>
        <v>515</v>
      </c>
      <c r="F182" s="2">
        <f>IFERROR(__xludf.DUMMYFUNCTION("""COMPUTED_VALUE"""),1.07147E7)</f>
        <v>10714700</v>
      </c>
      <c r="G182" s="2">
        <f t="shared" si="1"/>
        <v>15</v>
      </c>
    </row>
    <row r="183" ht="15.75" customHeight="1">
      <c r="A183" s="1">
        <f>IFERROR(__xludf.DUMMYFUNCTION("""COMPUTED_VALUE"""),44103.66666666667)</f>
        <v>44103.66667</v>
      </c>
      <c r="B183" s="2">
        <f>IFERROR(__xludf.DUMMYFUNCTION("""COMPUTED_VALUE"""),520.0)</f>
        <v>520</v>
      </c>
      <c r="C183" s="2">
        <f>IFERROR(__xludf.DUMMYFUNCTION("""COMPUTED_VALUE"""),525.0)</f>
        <v>525</v>
      </c>
      <c r="D183" s="2">
        <f>IFERROR(__xludf.DUMMYFUNCTION("""COMPUTED_VALUE"""),510.0)</f>
        <v>510</v>
      </c>
      <c r="E183" s="2">
        <f>IFERROR(__xludf.DUMMYFUNCTION("""COMPUTED_VALUE"""),510.0)</f>
        <v>510</v>
      </c>
      <c r="F183" s="2">
        <f>IFERROR(__xludf.DUMMYFUNCTION("""COMPUTED_VALUE"""),8441900.0)</f>
        <v>8441900</v>
      </c>
      <c r="G183" s="2">
        <f t="shared" si="1"/>
        <v>15</v>
      </c>
    </row>
    <row r="184" ht="15.75" customHeight="1">
      <c r="A184" s="1">
        <f>IFERROR(__xludf.DUMMYFUNCTION("""COMPUTED_VALUE"""),44104.66666666667)</f>
        <v>44104.66667</v>
      </c>
      <c r="B184" s="2">
        <f>IFERROR(__xludf.DUMMYFUNCTION("""COMPUTED_VALUE"""),510.0)</f>
        <v>510</v>
      </c>
      <c r="C184" s="2">
        <f>IFERROR(__xludf.DUMMYFUNCTION("""COMPUTED_VALUE"""),515.0)</f>
        <v>515</v>
      </c>
      <c r="D184" s="2">
        <f>IFERROR(__xludf.DUMMYFUNCTION("""COMPUTED_VALUE"""),500.0)</f>
        <v>500</v>
      </c>
      <c r="E184" s="2">
        <f>IFERROR(__xludf.DUMMYFUNCTION("""COMPUTED_VALUE"""),510.0)</f>
        <v>510</v>
      </c>
      <c r="F184" s="2">
        <f>IFERROR(__xludf.DUMMYFUNCTION("""COMPUTED_VALUE"""),8828200.0)</f>
        <v>8828200</v>
      </c>
      <c r="G184" s="2">
        <f t="shared" si="1"/>
        <v>15</v>
      </c>
    </row>
    <row r="185" ht="15.75" customHeight="1">
      <c r="A185" s="1">
        <f>IFERROR(__xludf.DUMMYFUNCTION("""COMPUTED_VALUE"""),44105.66666666667)</f>
        <v>44105.66667</v>
      </c>
      <c r="B185" s="2">
        <f>IFERROR(__xludf.DUMMYFUNCTION("""COMPUTED_VALUE"""),515.0)</f>
        <v>515</v>
      </c>
      <c r="C185" s="2">
        <f>IFERROR(__xludf.DUMMYFUNCTION("""COMPUTED_VALUE"""),530.0)</f>
        <v>530</v>
      </c>
      <c r="D185" s="2">
        <f>IFERROR(__xludf.DUMMYFUNCTION("""COMPUTED_VALUE"""),510.0)</f>
        <v>510</v>
      </c>
      <c r="E185" s="2">
        <f>IFERROR(__xludf.DUMMYFUNCTION("""COMPUTED_VALUE"""),530.0)</f>
        <v>530</v>
      </c>
      <c r="F185" s="2">
        <f>IFERROR(__xludf.DUMMYFUNCTION("""COMPUTED_VALUE"""),8493300.0)</f>
        <v>8493300</v>
      </c>
      <c r="G185" s="2">
        <f t="shared" si="1"/>
        <v>20</v>
      </c>
    </row>
    <row r="186" ht="15.75" customHeight="1">
      <c r="A186" s="1">
        <f>IFERROR(__xludf.DUMMYFUNCTION("""COMPUTED_VALUE"""),44106.66666666667)</f>
        <v>44106.66667</v>
      </c>
      <c r="B186" s="2">
        <f>IFERROR(__xludf.DUMMYFUNCTION("""COMPUTED_VALUE"""),530.0)</f>
        <v>530</v>
      </c>
      <c r="C186" s="2">
        <f>IFERROR(__xludf.DUMMYFUNCTION("""COMPUTED_VALUE"""),535.0)</f>
        <v>535</v>
      </c>
      <c r="D186" s="2">
        <f>IFERROR(__xludf.DUMMYFUNCTION("""COMPUTED_VALUE"""),510.0)</f>
        <v>510</v>
      </c>
      <c r="E186" s="2">
        <f>IFERROR(__xludf.DUMMYFUNCTION("""COMPUTED_VALUE"""),515.0)</f>
        <v>515</v>
      </c>
      <c r="F186" s="2">
        <f>IFERROR(__xludf.DUMMYFUNCTION("""COMPUTED_VALUE"""),1.51452E7)</f>
        <v>15145200</v>
      </c>
      <c r="G186" s="2">
        <f t="shared" si="1"/>
        <v>25</v>
      </c>
    </row>
    <row r="187" ht="15.75" customHeight="1">
      <c r="A187" s="1">
        <f>IFERROR(__xludf.DUMMYFUNCTION("""COMPUTED_VALUE"""),44109.66666666667)</f>
        <v>44109.66667</v>
      </c>
      <c r="B187" s="2">
        <f>IFERROR(__xludf.DUMMYFUNCTION("""COMPUTED_VALUE"""),520.0)</f>
        <v>520</v>
      </c>
      <c r="C187" s="2">
        <f>IFERROR(__xludf.DUMMYFUNCTION("""COMPUTED_VALUE"""),525.0)</f>
        <v>525</v>
      </c>
      <c r="D187" s="2">
        <f>IFERROR(__xludf.DUMMYFUNCTION("""COMPUTED_VALUE"""),510.0)</f>
        <v>510</v>
      </c>
      <c r="E187" s="2">
        <f>IFERROR(__xludf.DUMMYFUNCTION("""COMPUTED_VALUE"""),515.0)</f>
        <v>515</v>
      </c>
      <c r="F187" s="2">
        <f>IFERROR(__xludf.DUMMYFUNCTION("""COMPUTED_VALUE"""),1.30284E7)</f>
        <v>13028400</v>
      </c>
      <c r="G187" s="2">
        <f t="shared" si="1"/>
        <v>15</v>
      </c>
    </row>
    <row r="188" ht="15.75" customHeight="1">
      <c r="A188" s="1">
        <f>IFERROR(__xludf.DUMMYFUNCTION("""COMPUTED_VALUE"""),44110.66666666667)</f>
        <v>44110.66667</v>
      </c>
      <c r="B188" s="2">
        <f>IFERROR(__xludf.DUMMYFUNCTION("""COMPUTED_VALUE"""),520.0)</f>
        <v>520</v>
      </c>
      <c r="C188" s="2">
        <f>IFERROR(__xludf.DUMMYFUNCTION("""COMPUTED_VALUE"""),530.0)</f>
        <v>530</v>
      </c>
      <c r="D188" s="2">
        <f>IFERROR(__xludf.DUMMYFUNCTION("""COMPUTED_VALUE"""),515.0)</f>
        <v>515</v>
      </c>
      <c r="E188" s="2">
        <f>IFERROR(__xludf.DUMMYFUNCTION("""COMPUTED_VALUE"""),530.0)</f>
        <v>530</v>
      </c>
      <c r="F188" s="2">
        <f>IFERROR(__xludf.DUMMYFUNCTION("""COMPUTED_VALUE"""),1.82348E7)</f>
        <v>18234800</v>
      </c>
      <c r="G188" s="2">
        <f t="shared" si="1"/>
        <v>15</v>
      </c>
    </row>
    <row r="189" ht="15.75" customHeight="1">
      <c r="A189" s="1">
        <f>IFERROR(__xludf.DUMMYFUNCTION("""COMPUTED_VALUE"""),44111.66666666667)</f>
        <v>44111.66667</v>
      </c>
      <c r="B189" s="2">
        <f>IFERROR(__xludf.DUMMYFUNCTION("""COMPUTED_VALUE"""),530.0)</f>
        <v>530</v>
      </c>
      <c r="C189" s="2">
        <f>IFERROR(__xludf.DUMMYFUNCTION("""COMPUTED_VALUE"""),530.0)</f>
        <v>530</v>
      </c>
      <c r="D189" s="2">
        <f>IFERROR(__xludf.DUMMYFUNCTION("""COMPUTED_VALUE"""),525.0)</f>
        <v>525</v>
      </c>
      <c r="E189" s="2">
        <f>IFERROR(__xludf.DUMMYFUNCTION("""COMPUTED_VALUE"""),525.0)</f>
        <v>525</v>
      </c>
      <c r="F189" s="2">
        <f>IFERROR(__xludf.DUMMYFUNCTION("""COMPUTED_VALUE"""),9929300.0)</f>
        <v>9929300</v>
      </c>
      <c r="G189" s="2">
        <f t="shared" si="1"/>
        <v>5</v>
      </c>
    </row>
    <row r="190" ht="15.75" customHeight="1">
      <c r="A190" s="1">
        <f>IFERROR(__xludf.DUMMYFUNCTION("""COMPUTED_VALUE"""),44112.66666666667)</f>
        <v>44112.66667</v>
      </c>
      <c r="B190" s="2">
        <f>IFERROR(__xludf.DUMMYFUNCTION("""COMPUTED_VALUE"""),530.0)</f>
        <v>530</v>
      </c>
      <c r="C190" s="2">
        <f>IFERROR(__xludf.DUMMYFUNCTION("""COMPUTED_VALUE"""),545.0)</f>
        <v>545</v>
      </c>
      <c r="D190" s="2">
        <f>IFERROR(__xludf.DUMMYFUNCTION("""COMPUTED_VALUE"""),525.0)</f>
        <v>525</v>
      </c>
      <c r="E190" s="2">
        <f>IFERROR(__xludf.DUMMYFUNCTION("""COMPUTED_VALUE"""),545.0)</f>
        <v>545</v>
      </c>
      <c r="F190" s="2">
        <f>IFERROR(__xludf.DUMMYFUNCTION("""COMPUTED_VALUE"""),2.21965E7)</f>
        <v>22196500</v>
      </c>
      <c r="G190" s="2">
        <f t="shared" si="1"/>
        <v>20</v>
      </c>
    </row>
    <row r="191" ht="15.75" customHeight="1">
      <c r="A191" s="1">
        <f>IFERROR(__xludf.DUMMYFUNCTION("""COMPUTED_VALUE"""),44113.66666666667)</f>
        <v>44113.66667</v>
      </c>
      <c r="B191" s="2">
        <f>IFERROR(__xludf.DUMMYFUNCTION("""COMPUTED_VALUE"""),545.0)</f>
        <v>545</v>
      </c>
      <c r="C191" s="2">
        <f>IFERROR(__xludf.DUMMYFUNCTION("""COMPUTED_VALUE"""),550.0)</f>
        <v>550</v>
      </c>
      <c r="D191" s="2">
        <f>IFERROR(__xludf.DUMMYFUNCTION("""COMPUTED_VALUE"""),540.0)</f>
        <v>540</v>
      </c>
      <c r="E191" s="2">
        <f>IFERROR(__xludf.DUMMYFUNCTION("""COMPUTED_VALUE"""),545.0)</f>
        <v>545</v>
      </c>
      <c r="F191" s="2">
        <f>IFERROR(__xludf.DUMMYFUNCTION("""COMPUTED_VALUE"""),8368000.0)</f>
        <v>8368000</v>
      </c>
      <c r="G191" s="2">
        <f t="shared" si="1"/>
        <v>10</v>
      </c>
    </row>
    <row r="192" ht="15.75" customHeight="1">
      <c r="A192" s="1">
        <f>IFERROR(__xludf.DUMMYFUNCTION("""COMPUTED_VALUE"""),44116.66666666667)</f>
        <v>44116.66667</v>
      </c>
      <c r="B192" s="2">
        <f>IFERROR(__xludf.DUMMYFUNCTION("""COMPUTED_VALUE"""),545.0)</f>
        <v>545</v>
      </c>
      <c r="C192" s="2">
        <f>IFERROR(__xludf.DUMMYFUNCTION("""COMPUTED_VALUE"""),550.0)</f>
        <v>550</v>
      </c>
      <c r="D192" s="2">
        <f>IFERROR(__xludf.DUMMYFUNCTION("""COMPUTED_VALUE"""),530.0)</f>
        <v>530</v>
      </c>
      <c r="E192" s="2">
        <f>IFERROR(__xludf.DUMMYFUNCTION("""COMPUTED_VALUE"""),540.0)</f>
        <v>540</v>
      </c>
      <c r="F192" s="2">
        <f>IFERROR(__xludf.DUMMYFUNCTION("""COMPUTED_VALUE"""),3.98775E7)</f>
        <v>39877500</v>
      </c>
      <c r="G192" s="2">
        <f t="shared" si="1"/>
        <v>20</v>
      </c>
    </row>
    <row r="193" ht="15.75" customHeight="1">
      <c r="A193" s="1">
        <f>IFERROR(__xludf.DUMMYFUNCTION("""COMPUTED_VALUE"""),44117.66666666667)</f>
        <v>44117.66667</v>
      </c>
      <c r="B193" s="2">
        <f>IFERROR(__xludf.DUMMYFUNCTION("""COMPUTED_VALUE"""),545.0)</f>
        <v>545</v>
      </c>
      <c r="C193" s="2">
        <f>IFERROR(__xludf.DUMMYFUNCTION("""COMPUTED_VALUE"""),575.0)</f>
        <v>575</v>
      </c>
      <c r="D193" s="2">
        <f>IFERROR(__xludf.DUMMYFUNCTION("""COMPUTED_VALUE"""),530.0)</f>
        <v>530</v>
      </c>
      <c r="E193" s="2">
        <f>IFERROR(__xludf.DUMMYFUNCTION("""COMPUTED_VALUE"""),555.0)</f>
        <v>555</v>
      </c>
      <c r="F193" s="2">
        <f>IFERROR(__xludf.DUMMYFUNCTION("""COMPUTED_VALUE"""),3.23703E7)</f>
        <v>32370300</v>
      </c>
      <c r="G193" s="2">
        <f t="shared" si="1"/>
        <v>45</v>
      </c>
    </row>
    <row r="194" ht="15.75" customHeight="1">
      <c r="A194" s="1">
        <f>IFERROR(__xludf.DUMMYFUNCTION("""COMPUTED_VALUE"""),44118.66666666667)</f>
        <v>44118.66667</v>
      </c>
      <c r="B194" s="2">
        <f>IFERROR(__xludf.DUMMYFUNCTION("""COMPUTED_VALUE"""),555.0)</f>
        <v>555</v>
      </c>
      <c r="C194" s="2">
        <f>IFERROR(__xludf.DUMMYFUNCTION("""COMPUTED_VALUE"""),565.0)</f>
        <v>565</v>
      </c>
      <c r="D194" s="2">
        <f>IFERROR(__xludf.DUMMYFUNCTION("""COMPUTED_VALUE"""),550.0)</f>
        <v>550</v>
      </c>
      <c r="E194" s="2">
        <f>IFERROR(__xludf.DUMMYFUNCTION("""COMPUTED_VALUE"""),555.0)</f>
        <v>555</v>
      </c>
      <c r="F194" s="2">
        <f>IFERROR(__xludf.DUMMYFUNCTION("""COMPUTED_VALUE"""),1.44527E7)</f>
        <v>14452700</v>
      </c>
      <c r="G194" s="2">
        <f t="shared" si="1"/>
        <v>15</v>
      </c>
    </row>
    <row r="195" ht="15.75" customHeight="1">
      <c r="A195" s="1">
        <f>IFERROR(__xludf.DUMMYFUNCTION("""COMPUTED_VALUE"""),44119.66666666667)</f>
        <v>44119.66667</v>
      </c>
      <c r="B195" s="2">
        <f>IFERROR(__xludf.DUMMYFUNCTION("""COMPUTED_VALUE"""),560.0)</f>
        <v>560</v>
      </c>
      <c r="C195" s="2">
        <f>IFERROR(__xludf.DUMMYFUNCTION("""COMPUTED_VALUE"""),560.0)</f>
        <v>560</v>
      </c>
      <c r="D195" s="2">
        <f>IFERROR(__xludf.DUMMYFUNCTION("""COMPUTED_VALUE"""),550.0)</f>
        <v>550</v>
      </c>
      <c r="E195" s="2">
        <f>IFERROR(__xludf.DUMMYFUNCTION("""COMPUTED_VALUE"""),550.0)</f>
        <v>550</v>
      </c>
      <c r="F195" s="2">
        <f>IFERROR(__xludf.DUMMYFUNCTION("""COMPUTED_VALUE"""),1.08848E7)</f>
        <v>10884800</v>
      </c>
      <c r="G195" s="2">
        <f t="shared" si="1"/>
        <v>10</v>
      </c>
    </row>
    <row r="196" ht="15.75" customHeight="1">
      <c r="A196" s="1">
        <f>IFERROR(__xludf.DUMMYFUNCTION("""COMPUTED_VALUE"""),44120.66666666667)</f>
        <v>44120.66667</v>
      </c>
      <c r="B196" s="2">
        <f>IFERROR(__xludf.DUMMYFUNCTION("""COMPUTED_VALUE"""),545.0)</f>
        <v>545</v>
      </c>
      <c r="C196" s="2">
        <f>IFERROR(__xludf.DUMMYFUNCTION("""COMPUTED_VALUE"""),575.0)</f>
        <v>575</v>
      </c>
      <c r="D196" s="2">
        <f>IFERROR(__xludf.DUMMYFUNCTION("""COMPUTED_VALUE"""),545.0)</f>
        <v>545</v>
      </c>
      <c r="E196" s="2">
        <f>IFERROR(__xludf.DUMMYFUNCTION("""COMPUTED_VALUE"""),565.0)</f>
        <v>565</v>
      </c>
      <c r="F196" s="2">
        <f>IFERROR(__xludf.DUMMYFUNCTION("""COMPUTED_VALUE"""),2.99831E7)</f>
        <v>29983100</v>
      </c>
      <c r="G196" s="2">
        <f t="shared" si="1"/>
        <v>30</v>
      </c>
    </row>
    <row r="197" ht="15.75" customHeight="1">
      <c r="A197" s="1">
        <f>IFERROR(__xludf.DUMMYFUNCTION("""COMPUTED_VALUE"""),44123.66666666667)</f>
        <v>44123.66667</v>
      </c>
      <c r="B197" s="2">
        <f>IFERROR(__xludf.DUMMYFUNCTION("""COMPUTED_VALUE"""),570.0)</f>
        <v>570</v>
      </c>
      <c r="C197" s="2">
        <f>IFERROR(__xludf.DUMMYFUNCTION("""COMPUTED_VALUE"""),580.0)</f>
        <v>580</v>
      </c>
      <c r="D197" s="2">
        <f>IFERROR(__xludf.DUMMYFUNCTION("""COMPUTED_VALUE"""),565.0)</f>
        <v>565</v>
      </c>
      <c r="E197" s="2">
        <f>IFERROR(__xludf.DUMMYFUNCTION("""COMPUTED_VALUE"""),570.0)</f>
        <v>570</v>
      </c>
      <c r="F197" s="2">
        <f>IFERROR(__xludf.DUMMYFUNCTION("""COMPUTED_VALUE"""),1.99215E7)</f>
        <v>19921500</v>
      </c>
      <c r="G197" s="2">
        <f t="shared" si="1"/>
        <v>15</v>
      </c>
    </row>
    <row r="198" ht="15.75" customHeight="1">
      <c r="A198" s="1">
        <f>IFERROR(__xludf.DUMMYFUNCTION("""COMPUTED_VALUE"""),44124.66666666667)</f>
        <v>44124.66667</v>
      </c>
      <c r="B198" s="2">
        <f>IFERROR(__xludf.DUMMYFUNCTION("""COMPUTED_VALUE"""),570.0)</f>
        <v>570</v>
      </c>
      <c r="C198" s="2">
        <f>IFERROR(__xludf.DUMMYFUNCTION("""COMPUTED_VALUE"""),575.0)</f>
        <v>575</v>
      </c>
      <c r="D198" s="2">
        <f>IFERROR(__xludf.DUMMYFUNCTION("""COMPUTED_VALUE"""),560.0)</f>
        <v>560</v>
      </c>
      <c r="E198" s="2">
        <f>IFERROR(__xludf.DUMMYFUNCTION("""COMPUTED_VALUE"""),565.0)</f>
        <v>565</v>
      </c>
      <c r="F198" s="2">
        <f>IFERROR(__xludf.DUMMYFUNCTION("""COMPUTED_VALUE"""),1.43584E7)</f>
        <v>14358400</v>
      </c>
      <c r="G198" s="2">
        <f t="shared" si="1"/>
        <v>15</v>
      </c>
    </row>
    <row r="199" ht="15.75" customHeight="1">
      <c r="A199" s="1">
        <f>IFERROR(__xludf.DUMMYFUNCTION("""COMPUTED_VALUE"""),44125.66666666667)</f>
        <v>44125.66667</v>
      </c>
      <c r="B199" s="2">
        <f>IFERROR(__xludf.DUMMYFUNCTION("""COMPUTED_VALUE"""),570.0)</f>
        <v>570</v>
      </c>
      <c r="C199" s="2">
        <f>IFERROR(__xludf.DUMMYFUNCTION("""COMPUTED_VALUE"""),570.0)</f>
        <v>570</v>
      </c>
      <c r="D199" s="2">
        <f>IFERROR(__xludf.DUMMYFUNCTION("""COMPUTED_VALUE"""),560.0)</f>
        <v>560</v>
      </c>
      <c r="E199" s="2">
        <f>IFERROR(__xludf.DUMMYFUNCTION("""COMPUTED_VALUE"""),565.0)</f>
        <v>565</v>
      </c>
      <c r="F199" s="2">
        <f>IFERROR(__xludf.DUMMYFUNCTION("""COMPUTED_VALUE"""),1.03077E7)</f>
        <v>10307700</v>
      </c>
      <c r="G199" s="2">
        <f t="shared" si="1"/>
        <v>10</v>
      </c>
    </row>
    <row r="200" ht="15.75" customHeight="1">
      <c r="A200" s="1">
        <f>IFERROR(__xludf.DUMMYFUNCTION("""COMPUTED_VALUE"""),44126.66666666667)</f>
        <v>44126.66667</v>
      </c>
      <c r="B200" s="2">
        <f>IFERROR(__xludf.DUMMYFUNCTION("""COMPUTED_VALUE"""),565.0)</f>
        <v>565</v>
      </c>
      <c r="C200" s="2">
        <f>IFERROR(__xludf.DUMMYFUNCTION("""COMPUTED_VALUE"""),590.0)</f>
        <v>590</v>
      </c>
      <c r="D200" s="2">
        <f>IFERROR(__xludf.DUMMYFUNCTION("""COMPUTED_VALUE"""),565.0)</f>
        <v>565</v>
      </c>
      <c r="E200" s="2">
        <f>IFERROR(__xludf.DUMMYFUNCTION("""COMPUTED_VALUE"""),585.0)</f>
        <v>585</v>
      </c>
      <c r="F200" s="2">
        <f>IFERROR(__xludf.DUMMYFUNCTION("""COMPUTED_VALUE"""),6.15015E7)</f>
        <v>61501500</v>
      </c>
      <c r="G200" s="2">
        <f t="shared" si="1"/>
        <v>25</v>
      </c>
    </row>
    <row r="201" ht="15.75" customHeight="1">
      <c r="A201" s="1">
        <f>IFERROR(__xludf.DUMMYFUNCTION("""COMPUTED_VALUE"""),44127.66666666667)</f>
        <v>44127.66667</v>
      </c>
      <c r="B201" s="2">
        <f>IFERROR(__xludf.DUMMYFUNCTION("""COMPUTED_VALUE"""),585.0)</f>
        <v>585</v>
      </c>
      <c r="C201" s="2">
        <f>IFERROR(__xludf.DUMMYFUNCTION("""COMPUTED_VALUE"""),595.0)</f>
        <v>595</v>
      </c>
      <c r="D201" s="2">
        <f>IFERROR(__xludf.DUMMYFUNCTION("""COMPUTED_VALUE"""),570.0)</f>
        <v>570</v>
      </c>
      <c r="E201" s="2">
        <f>IFERROR(__xludf.DUMMYFUNCTION("""COMPUTED_VALUE"""),570.0)</f>
        <v>570</v>
      </c>
      <c r="F201" s="2">
        <f>IFERROR(__xludf.DUMMYFUNCTION("""COMPUTED_VALUE"""),1.34386E7)</f>
        <v>13438600</v>
      </c>
      <c r="G201" s="2">
        <f t="shared" si="1"/>
        <v>25</v>
      </c>
    </row>
    <row r="202" ht="15.75" customHeight="1">
      <c r="A202" s="1">
        <f>IFERROR(__xludf.DUMMYFUNCTION("""COMPUTED_VALUE"""),44130.66666666667)</f>
        <v>44130.66667</v>
      </c>
      <c r="B202" s="2">
        <f>IFERROR(__xludf.DUMMYFUNCTION("""COMPUTED_VALUE"""),580.0)</f>
        <v>580</v>
      </c>
      <c r="C202" s="2">
        <f>IFERROR(__xludf.DUMMYFUNCTION("""COMPUTED_VALUE"""),595.0)</f>
        <v>595</v>
      </c>
      <c r="D202" s="2">
        <f>IFERROR(__xludf.DUMMYFUNCTION("""COMPUTED_VALUE"""),575.0)</f>
        <v>575</v>
      </c>
      <c r="E202" s="2">
        <f>IFERROR(__xludf.DUMMYFUNCTION("""COMPUTED_VALUE"""),580.0)</f>
        <v>580</v>
      </c>
      <c r="F202" s="2">
        <f>IFERROR(__xludf.DUMMYFUNCTION("""COMPUTED_VALUE"""),1.83497E7)</f>
        <v>18349700</v>
      </c>
      <c r="G202" s="2">
        <f t="shared" si="1"/>
        <v>25</v>
      </c>
    </row>
    <row r="203" ht="15.75" customHeight="1">
      <c r="A203" s="1">
        <f>IFERROR(__xludf.DUMMYFUNCTION("""COMPUTED_VALUE"""),44131.66666666667)</f>
        <v>44131.66667</v>
      </c>
      <c r="B203" s="2">
        <f>IFERROR(__xludf.DUMMYFUNCTION("""COMPUTED_VALUE"""),575.0)</f>
        <v>575</v>
      </c>
      <c r="C203" s="2">
        <f>IFERROR(__xludf.DUMMYFUNCTION("""COMPUTED_VALUE"""),590.0)</f>
        <v>590</v>
      </c>
      <c r="D203" s="2">
        <f>IFERROR(__xludf.DUMMYFUNCTION("""COMPUTED_VALUE"""),570.0)</f>
        <v>570</v>
      </c>
      <c r="E203" s="2">
        <f>IFERROR(__xludf.DUMMYFUNCTION("""COMPUTED_VALUE"""),580.0)</f>
        <v>580</v>
      </c>
      <c r="F203" s="2">
        <f>IFERROR(__xludf.DUMMYFUNCTION("""COMPUTED_VALUE"""),1.71798E7)</f>
        <v>17179800</v>
      </c>
      <c r="G203" s="2">
        <f t="shared" si="1"/>
        <v>20</v>
      </c>
    </row>
    <row r="204" ht="15.75" customHeight="1">
      <c r="A204" s="1">
        <f>IFERROR(__xludf.DUMMYFUNCTION("""COMPUTED_VALUE"""),44137.66666666667)</f>
        <v>44137.66667</v>
      </c>
      <c r="B204" s="2">
        <f>IFERROR(__xludf.DUMMYFUNCTION("""COMPUTED_VALUE"""),580.0)</f>
        <v>580</v>
      </c>
      <c r="C204" s="2">
        <f>IFERROR(__xludf.DUMMYFUNCTION("""COMPUTED_VALUE"""),585.0)</f>
        <v>585</v>
      </c>
      <c r="D204" s="2">
        <f>IFERROR(__xludf.DUMMYFUNCTION("""COMPUTED_VALUE"""),560.0)</f>
        <v>560</v>
      </c>
      <c r="E204" s="2">
        <f>IFERROR(__xludf.DUMMYFUNCTION("""COMPUTED_VALUE"""),570.0)</f>
        <v>570</v>
      </c>
      <c r="F204" s="2">
        <f>IFERROR(__xludf.DUMMYFUNCTION("""COMPUTED_VALUE"""),1.57329E7)</f>
        <v>15732900</v>
      </c>
      <c r="G204" s="2">
        <f t="shared" si="1"/>
        <v>25</v>
      </c>
    </row>
    <row r="205" ht="15.75" customHeight="1">
      <c r="A205" s="1">
        <f>IFERROR(__xludf.DUMMYFUNCTION("""COMPUTED_VALUE"""),44138.66666666667)</f>
        <v>44138.66667</v>
      </c>
      <c r="B205" s="2">
        <f>IFERROR(__xludf.DUMMYFUNCTION("""COMPUTED_VALUE"""),575.0)</f>
        <v>575</v>
      </c>
      <c r="C205" s="2">
        <f>IFERROR(__xludf.DUMMYFUNCTION("""COMPUTED_VALUE"""),580.0)</f>
        <v>580</v>
      </c>
      <c r="D205" s="2">
        <f>IFERROR(__xludf.DUMMYFUNCTION("""COMPUTED_VALUE"""),550.0)</f>
        <v>550</v>
      </c>
      <c r="E205" s="2">
        <f>IFERROR(__xludf.DUMMYFUNCTION("""COMPUTED_VALUE"""),560.0)</f>
        <v>560</v>
      </c>
      <c r="F205" s="2">
        <f>IFERROR(__xludf.DUMMYFUNCTION("""COMPUTED_VALUE"""),3.40822E7)</f>
        <v>34082200</v>
      </c>
      <c r="G205" s="2">
        <f t="shared" si="1"/>
        <v>30</v>
      </c>
    </row>
    <row r="206" ht="15.75" customHeight="1">
      <c r="A206" s="1">
        <f>IFERROR(__xludf.DUMMYFUNCTION("""COMPUTED_VALUE"""),44139.66666666667)</f>
        <v>44139.66667</v>
      </c>
      <c r="B206" s="2">
        <f>IFERROR(__xludf.DUMMYFUNCTION("""COMPUTED_VALUE"""),565.0)</f>
        <v>565</v>
      </c>
      <c r="C206" s="2">
        <f>IFERROR(__xludf.DUMMYFUNCTION("""COMPUTED_VALUE"""),570.0)</f>
        <v>570</v>
      </c>
      <c r="D206" s="2">
        <f>IFERROR(__xludf.DUMMYFUNCTION("""COMPUTED_VALUE"""),555.0)</f>
        <v>555</v>
      </c>
      <c r="E206" s="2">
        <f>IFERROR(__xludf.DUMMYFUNCTION("""COMPUTED_VALUE"""),555.0)</f>
        <v>555</v>
      </c>
      <c r="F206" s="2">
        <f>IFERROR(__xludf.DUMMYFUNCTION("""COMPUTED_VALUE"""),1.17056E7)</f>
        <v>11705600</v>
      </c>
      <c r="G206" s="2">
        <f t="shared" si="1"/>
        <v>15</v>
      </c>
    </row>
    <row r="207" ht="15.75" customHeight="1">
      <c r="A207" s="1">
        <f>IFERROR(__xludf.DUMMYFUNCTION("""COMPUTED_VALUE"""),44140.66666666667)</f>
        <v>44140.66667</v>
      </c>
      <c r="B207" s="2">
        <f>IFERROR(__xludf.DUMMYFUNCTION("""COMPUTED_VALUE"""),560.0)</f>
        <v>560</v>
      </c>
      <c r="C207" s="2">
        <f>IFERROR(__xludf.DUMMYFUNCTION("""COMPUTED_VALUE"""),580.0)</f>
        <v>580</v>
      </c>
      <c r="D207" s="2">
        <f>IFERROR(__xludf.DUMMYFUNCTION("""COMPUTED_VALUE"""),560.0)</f>
        <v>560</v>
      </c>
      <c r="E207" s="2">
        <f>IFERROR(__xludf.DUMMYFUNCTION("""COMPUTED_VALUE"""),575.0)</f>
        <v>575</v>
      </c>
      <c r="F207" s="2">
        <f>IFERROR(__xludf.DUMMYFUNCTION("""COMPUTED_VALUE"""),2.3811E7)</f>
        <v>23811000</v>
      </c>
      <c r="G207" s="2">
        <f t="shared" si="1"/>
        <v>25</v>
      </c>
    </row>
    <row r="208" ht="15.75" customHeight="1">
      <c r="A208" s="1">
        <f>IFERROR(__xludf.DUMMYFUNCTION("""COMPUTED_VALUE"""),44141.66666666667)</f>
        <v>44141.66667</v>
      </c>
      <c r="B208" s="2">
        <f>IFERROR(__xludf.DUMMYFUNCTION("""COMPUTED_VALUE"""),575.0)</f>
        <v>575</v>
      </c>
      <c r="C208" s="2">
        <f>IFERROR(__xludf.DUMMYFUNCTION("""COMPUTED_VALUE"""),585.0)</f>
        <v>585</v>
      </c>
      <c r="D208" s="2">
        <f>IFERROR(__xludf.DUMMYFUNCTION("""COMPUTED_VALUE"""),570.0)</f>
        <v>570</v>
      </c>
      <c r="E208" s="2">
        <f>IFERROR(__xludf.DUMMYFUNCTION("""COMPUTED_VALUE"""),580.0)</f>
        <v>580</v>
      </c>
      <c r="F208" s="2">
        <f>IFERROR(__xludf.DUMMYFUNCTION("""COMPUTED_VALUE"""),2.04679E7)</f>
        <v>20467900</v>
      </c>
      <c r="G208" s="2">
        <f t="shared" si="1"/>
        <v>15</v>
      </c>
    </row>
    <row r="209" ht="15.75" customHeight="1">
      <c r="A209" s="1">
        <f>IFERROR(__xludf.DUMMYFUNCTION("""COMPUTED_VALUE"""),44144.66666666667)</f>
        <v>44144.66667</v>
      </c>
      <c r="B209" s="2">
        <f>IFERROR(__xludf.DUMMYFUNCTION("""COMPUTED_VALUE"""),590.0)</f>
        <v>590</v>
      </c>
      <c r="C209" s="2">
        <f>IFERROR(__xludf.DUMMYFUNCTION("""COMPUTED_VALUE"""),595.0)</f>
        <v>595</v>
      </c>
      <c r="D209" s="2">
        <f>IFERROR(__xludf.DUMMYFUNCTION("""COMPUTED_VALUE"""),580.0)</f>
        <v>580</v>
      </c>
      <c r="E209" s="2">
        <f>IFERROR(__xludf.DUMMYFUNCTION("""COMPUTED_VALUE"""),590.0)</f>
        <v>590</v>
      </c>
      <c r="F209" s="2">
        <f>IFERROR(__xludf.DUMMYFUNCTION("""COMPUTED_VALUE"""),1.95453E7)</f>
        <v>19545300</v>
      </c>
      <c r="G209" s="2">
        <f t="shared" si="1"/>
        <v>15</v>
      </c>
    </row>
    <row r="210" ht="15.75" customHeight="1">
      <c r="A210" s="1">
        <f>IFERROR(__xludf.DUMMYFUNCTION("""COMPUTED_VALUE"""),44145.66666666667)</f>
        <v>44145.66667</v>
      </c>
      <c r="B210" s="2">
        <f>IFERROR(__xludf.DUMMYFUNCTION("""COMPUTED_VALUE"""),595.0)</f>
        <v>595</v>
      </c>
      <c r="C210" s="2">
        <f>IFERROR(__xludf.DUMMYFUNCTION("""COMPUTED_VALUE"""),605.0)</f>
        <v>605</v>
      </c>
      <c r="D210" s="2">
        <f>IFERROR(__xludf.DUMMYFUNCTION("""COMPUTED_VALUE"""),595.0)</f>
        <v>595</v>
      </c>
      <c r="E210" s="2">
        <f>IFERROR(__xludf.DUMMYFUNCTION("""COMPUTED_VALUE"""),605.0)</f>
        <v>605</v>
      </c>
      <c r="F210" s="2">
        <f>IFERROR(__xludf.DUMMYFUNCTION("""COMPUTED_VALUE"""),3.17336E7)</f>
        <v>31733600</v>
      </c>
      <c r="G210" s="2">
        <f t="shared" si="1"/>
        <v>15</v>
      </c>
    </row>
    <row r="211" ht="15.75" customHeight="1">
      <c r="A211" s="1">
        <f>IFERROR(__xludf.DUMMYFUNCTION("""COMPUTED_VALUE"""),44146.66666666667)</f>
        <v>44146.66667</v>
      </c>
      <c r="B211" s="2">
        <f>IFERROR(__xludf.DUMMYFUNCTION("""COMPUTED_VALUE"""),605.0)</f>
        <v>605</v>
      </c>
      <c r="C211" s="2">
        <f>IFERROR(__xludf.DUMMYFUNCTION("""COMPUTED_VALUE"""),620.0)</f>
        <v>620</v>
      </c>
      <c r="D211" s="2">
        <f>IFERROR(__xludf.DUMMYFUNCTION("""COMPUTED_VALUE"""),600.0)</f>
        <v>600</v>
      </c>
      <c r="E211" s="2">
        <f>IFERROR(__xludf.DUMMYFUNCTION("""COMPUTED_VALUE"""),615.0)</f>
        <v>615</v>
      </c>
      <c r="F211" s="2">
        <f>IFERROR(__xludf.DUMMYFUNCTION("""COMPUTED_VALUE"""),2.70866E7)</f>
        <v>27086600</v>
      </c>
      <c r="G211" s="2">
        <f t="shared" si="1"/>
        <v>20</v>
      </c>
    </row>
    <row r="212" ht="15.75" customHeight="1">
      <c r="A212" s="1">
        <f>IFERROR(__xludf.DUMMYFUNCTION("""COMPUTED_VALUE"""),44147.66666666667)</f>
        <v>44147.66667</v>
      </c>
      <c r="B212" s="2">
        <f>IFERROR(__xludf.DUMMYFUNCTION("""COMPUTED_VALUE"""),615.0)</f>
        <v>615</v>
      </c>
      <c r="C212" s="2">
        <f>IFERROR(__xludf.DUMMYFUNCTION("""COMPUTED_VALUE"""),620.0)</f>
        <v>620</v>
      </c>
      <c r="D212" s="2">
        <f>IFERROR(__xludf.DUMMYFUNCTION("""COMPUTED_VALUE"""),610.0)</f>
        <v>610</v>
      </c>
      <c r="E212" s="2">
        <f>IFERROR(__xludf.DUMMYFUNCTION("""COMPUTED_VALUE"""),620.0)</f>
        <v>620</v>
      </c>
      <c r="F212" s="2">
        <f>IFERROR(__xludf.DUMMYFUNCTION("""COMPUTED_VALUE"""),1.63639E7)</f>
        <v>16363900</v>
      </c>
      <c r="G212" s="2">
        <f t="shared" si="1"/>
        <v>10</v>
      </c>
    </row>
    <row r="213" ht="15.75" customHeight="1">
      <c r="A213" s="1">
        <f>IFERROR(__xludf.DUMMYFUNCTION("""COMPUTED_VALUE"""),44148.66666666667)</f>
        <v>44148.66667</v>
      </c>
      <c r="B213" s="2">
        <f>IFERROR(__xludf.DUMMYFUNCTION("""COMPUTED_VALUE"""),620.0)</f>
        <v>620</v>
      </c>
      <c r="C213" s="2">
        <f>IFERROR(__xludf.DUMMYFUNCTION("""COMPUTED_VALUE"""),620.0)</f>
        <v>620</v>
      </c>
      <c r="D213" s="2">
        <f>IFERROR(__xludf.DUMMYFUNCTION("""COMPUTED_VALUE"""),610.0)</f>
        <v>610</v>
      </c>
      <c r="E213" s="2">
        <f>IFERROR(__xludf.DUMMYFUNCTION("""COMPUTED_VALUE"""),620.0)</f>
        <v>620</v>
      </c>
      <c r="F213" s="2">
        <f>IFERROR(__xludf.DUMMYFUNCTION("""COMPUTED_VALUE"""),9679900.0)</f>
        <v>9679900</v>
      </c>
      <c r="G213" s="2">
        <f t="shared" si="1"/>
        <v>10</v>
      </c>
    </row>
    <row r="214" ht="15.75" customHeight="1">
      <c r="A214" s="1">
        <f>IFERROR(__xludf.DUMMYFUNCTION("""COMPUTED_VALUE"""),44151.66666666667)</f>
        <v>44151.66667</v>
      </c>
      <c r="B214" s="2">
        <f>IFERROR(__xludf.DUMMYFUNCTION("""COMPUTED_VALUE"""),620.0)</f>
        <v>620</v>
      </c>
      <c r="C214" s="2">
        <f>IFERROR(__xludf.DUMMYFUNCTION("""COMPUTED_VALUE"""),630.0)</f>
        <v>630</v>
      </c>
      <c r="D214" s="2">
        <f>IFERROR(__xludf.DUMMYFUNCTION("""COMPUTED_VALUE"""),615.0)</f>
        <v>615</v>
      </c>
      <c r="E214" s="2">
        <f>IFERROR(__xludf.DUMMYFUNCTION("""COMPUTED_VALUE"""),620.0)</f>
        <v>620</v>
      </c>
      <c r="F214" s="2">
        <f>IFERROR(__xludf.DUMMYFUNCTION("""COMPUTED_VALUE"""),1.36153E7)</f>
        <v>13615300</v>
      </c>
      <c r="G214" s="2">
        <f t="shared" si="1"/>
        <v>15</v>
      </c>
    </row>
    <row r="215" ht="15.75" customHeight="1">
      <c r="A215" s="1">
        <f>IFERROR(__xludf.DUMMYFUNCTION("""COMPUTED_VALUE"""),44152.66666666667)</f>
        <v>44152.66667</v>
      </c>
      <c r="B215" s="2">
        <f>IFERROR(__xludf.DUMMYFUNCTION("""COMPUTED_VALUE"""),615.0)</f>
        <v>615</v>
      </c>
      <c r="C215" s="2">
        <f>IFERROR(__xludf.DUMMYFUNCTION("""COMPUTED_VALUE"""),625.0)</f>
        <v>625</v>
      </c>
      <c r="D215" s="2">
        <f>IFERROR(__xludf.DUMMYFUNCTION("""COMPUTED_VALUE"""),615.0)</f>
        <v>615</v>
      </c>
      <c r="E215" s="2">
        <f>IFERROR(__xludf.DUMMYFUNCTION("""COMPUTED_VALUE"""),615.0)</f>
        <v>615</v>
      </c>
      <c r="F215" s="2">
        <f>IFERROR(__xludf.DUMMYFUNCTION("""COMPUTED_VALUE"""),1.3696E7)</f>
        <v>13696000</v>
      </c>
      <c r="G215" s="2">
        <f t="shared" si="1"/>
        <v>10</v>
      </c>
    </row>
    <row r="216" ht="15.75" customHeight="1">
      <c r="A216" s="1">
        <f>IFERROR(__xludf.DUMMYFUNCTION("""COMPUTED_VALUE"""),44153.66666666667)</f>
        <v>44153.66667</v>
      </c>
      <c r="B216" s="2">
        <f>IFERROR(__xludf.DUMMYFUNCTION("""COMPUTED_VALUE"""),620.0)</f>
        <v>620</v>
      </c>
      <c r="C216" s="2">
        <f>IFERROR(__xludf.DUMMYFUNCTION("""COMPUTED_VALUE"""),620.0)</f>
        <v>620</v>
      </c>
      <c r="D216" s="2">
        <f>IFERROR(__xludf.DUMMYFUNCTION("""COMPUTED_VALUE"""),615.0)</f>
        <v>615</v>
      </c>
      <c r="E216" s="2">
        <f>IFERROR(__xludf.DUMMYFUNCTION("""COMPUTED_VALUE"""),615.0)</f>
        <v>615</v>
      </c>
      <c r="F216" s="2">
        <f>IFERROR(__xludf.DUMMYFUNCTION("""COMPUTED_VALUE"""),9651700.0)</f>
        <v>9651700</v>
      </c>
      <c r="G216" s="2">
        <f t="shared" si="1"/>
        <v>5</v>
      </c>
    </row>
    <row r="217" ht="15.75" customHeight="1">
      <c r="A217" s="1">
        <f>IFERROR(__xludf.DUMMYFUNCTION("""COMPUTED_VALUE"""),44154.66666666667)</f>
        <v>44154.66667</v>
      </c>
      <c r="B217" s="2">
        <f>IFERROR(__xludf.DUMMYFUNCTION("""COMPUTED_VALUE"""),620.0)</f>
        <v>620</v>
      </c>
      <c r="C217" s="2">
        <f>IFERROR(__xludf.DUMMYFUNCTION("""COMPUTED_VALUE"""),620.0)</f>
        <v>620</v>
      </c>
      <c r="D217" s="2">
        <f>IFERROR(__xludf.DUMMYFUNCTION("""COMPUTED_VALUE"""),615.0)</f>
        <v>615</v>
      </c>
      <c r="E217" s="2">
        <f>IFERROR(__xludf.DUMMYFUNCTION("""COMPUTED_VALUE"""),620.0)</f>
        <v>620</v>
      </c>
      <c r="F217" s="2">
        <f>IFERROR(__xludf.DUMMYFUNCTION("""COMPUTED_VALUE"""),1.01678E7)</f>
        <v>10167800</v>
      </c>
      <c r="G217" s="2">
        <f t="shared" si="1"/>
        <v>5</v>
      </c>
    </row>
    <row r="218" ht="15.75" customHeight="1">
      <c r="A218" s="1">
        <f>IFERROR(__xludf.DUMMYFUNCTION("""COMPUTED_VALUE"""),44155.66666666667)</f>
        <v>44155.66667</v>
      </c>
      <c r="B218" s="2">
        <f>IFERROR(__xludf.DUMMYFUNCTION("""COMPUTED_VALUE"""),620.0)</f>
        <v>620</v>
      </c>
      <c r="C218" s="2">
        <f>IFERROR(__xludf.DUMMYFUNCTION("""COMPUTED_VALUE"""),625.0)</f>
        <v>625</v>
      </c>
      <c r="D218" s="2">
        <f>IFERROR(__xludf.DUMMYFUNCTION("""COMPUTED_VALUE"""),610.0)</f>
        <v>610</v>
      </c>
      <c r="E218" s="2">
        <f>IFERROR(__xludf.DUMMYFUNCTION("""COMPUTED_VALUE"""),615.0)</f>
        <v>615</v>
      </c>
      <c r="F218" s="2">
        <f>IFERROR(__xludf.DUMMYFUNCTION("""COMPUTED_VALUE"""),1.28931E7)</f>
        <v>12893100</v>
      </c>
      <c r="G218" s="2">
        <f t="shared" si="1"/>
        <v>15</v>
      </c>
    </row>
    <row r="219" ht="15.75" customHeight="1">
      <c r="A219" s="1">
        <f>IFERROR(__xludf.DUMMYFUNCTION("""COMPUTED_VALUE"""),44158.66666666667)</f>
        <v>44158.66667</v>
      </c>
      <c r="B219" s="2">
        <f>IFERROR(__xludf.DUMMYFUNCTION("""COMPUTED_VALUE"""),615.0)</f>
        <v>615</v>
      </c>
      <c r="C219" s="2">
        <f>IFERROR(__xludf.DUMMYFUNCTION("""COMPUTED_VALUE"""),620.0)</f>
        <v>620</v>
      </c>
      <c r="D219" s="2">
        <f>IFERROR(__xludf.DUMMYFUNCTION("""COMPUTED_VALUE"""),610.0)</f>
        <v>610</v>
      </c>
      <c r="E219" s="2">
        <f>IFERROR(__xludf.DUMMYFUNCTION("""COMPUTED_VALUE"""),615.0)</f>
        <v>615</v>
      </c>
      <c r="F219" s="2">
        <f>IFERROR(__xludf.DUMMYFUNCTION("""COMPUTED_VALUE"""),1.18001E7)</f>
        <v>11800100</v>
      </c>
      <c r="G219" s="2">
        <f t="shared" si="1"/>
        <v>10</v>
      </c>
    </row>
    <row r="220" ht="15.75" customHeight="1">
      <c r="A220" s="1">
        <f>IFERROR(__xludf.DUMMYFUNCTION("""COMPUTED_VALUE"""),44159.66666666667)</f>
        <v>44159.66667</v>
      </c>
      <c r="B220" s="2">
        <f>IFERROR(__xludf.DUMMYFUNCTION("""COMPUTED_VALUE"""),615.0)</f>
        <v>615</v>
      </c>
      <c r="C220" s="2">
        <f>IFERROR(__xludf.DUMMYFUNCTION("""COMPUTED_VALUE"""),630.0)</f>
        <v>630</v>
      </c>
      <c r="D220" s="2">
        <f>IFERROR(__xludf.DUMMYFUNCTION("""COMPUTED_VALUE"""),615.0)</f>
        <v>615</v>
      </c>
      <c r="E220" s="2">
        <f>IFERROR(__xludf.DUMMYFUNCTION("""COMPUTED_VALUE"""),630.0)</f>
        <v>630</v>
      </c>
      <c r="F220" s="2">
        <f>IFERROR(__xludf.DUMMYFUNCTION("""COMPUTED_VALUE"""),3.21847E7)</f>
        <v>32184700</v>
      </c>
      <c r="G220" s="2">
        <f t="shared" si="1"/>
        <v>15</v>
      </c>
    </row>
    <row r="221" ht="15.75" customHeight="1">
      <c r="A221" s="1">
        <f>IFERROR(__xludf.DUMMYFUNCTION("""COMPUTED_VALUE"""),44160.66666666667)</f>
        <v>44160.66667</v>
      </c>
      <c r="B221" s="2">
        <f>IFERROR(__xludf.DUMMYFUNCTION("""COMPUTED_VALUE"""),650.0)</f>
        <v>650</v>
      </c>
      <c r="C221" s="2">
        <f>IFERROR(__xludf.DUMMYFUNCTION("""COMPUTED_VALUE"""),675.0)</f>
        <v>675</v>
      </c>
      <c r="D221" s="2">
        <f>IFERROR(__xludf.DUMMYFUNCTION("""COMPUTED_VALUE"""),635.0)</f>
        <v>635</v>
      </c>
      <c r="E221" s="2">
        <f>IFERROR(__xludf.DUMMYFUNCTION("""COMPUTED_VALUE"""),645.0)</f>
        <v>645</v>
      </c>
      <c r="F221" s="2">
        <f>IFERROR(__xludf.DUMMYFUNCTION("""COMPUTED_VALUE"""),7.0545E7)</f>
        <v>70545000</v>
      </c>
      <c r="G221" s="2">
        <f t="shared" si="1"/>
        <v>45</v>
      </c>
    </row>
    <row r="222" ht="15.75" customHeight="1">
      <c r="A222" s="1">
        <f>IFERROR(__xludf.DUMMYFUNCTION("""COMPUTED_VALUE"""),44161.66666666667)</f>
        <v>44161.66667</v>
      </c>
      <c r="B222" s="2">
        <f>IFERROR(__xludf.DUMMYFUNCTION("""COMPUTED_VALUE"""),645.0)</f>
        <v>645</v>
      </c>
      <c r="C222" s="2">
        <f>IFERROR(__xludf.DUMMYFUNCTION("""COMPUTED_VALUE"""),685.0)</f>
        <v>685</v>
      </c>
      <c r="D222" s="2">
        <f>IFERROR(__xludf.DUMMYFUNCTION("""COMPUTED_VALUE"""),645.0)</f>
        <v>645</v>
      </c>
      <c r="E222" s="2">
        <f>IFERROR(__xludf.DUMMYFUNCTION("""COMPUTED_VALUE"""),670.0)</f>
        <v>670</v>
      </c>
      <c r="F222" s="2">
        <f>IFERROR(__xludf.DUMMYFUNCTION("""COMPUTED_VALUE"""),5.49098E7)</f>
        <v>54909800</v>
      </c>
      <c r="G222" s="2">
        <f t="shared" si="1"/>
        <v>40</v>
      </c>
    </row>
    <row r="223" ht="15.75" customHeight="1">
      <c r="A223" s="1">
        <f>IFERROR(__xludf.DUMMYFUNCTION("""COMPUTED_VALUE"""),44162.66666666667)</f>
        <v>44162.66667</v>
      </c>
      <c r="B223" s="2">
        <f>IFERROR(__xludf.DUMMYFUNCTION("""COMPUTED_VALUE"""),670.0)</f>
        <v>670</v>
      </c>
      <c r="C223" s="2">
        <f>IFERROR(__xludf.DUMMYFUNCTION("""COMPUTED_VALUE"""),685.0)</f>
        <v>685</v>
      </c>
      <c r="D223" s="2">
        <f>IFERROR(__xludf.DUMMYFUNCTION("""COMPUTED_VALUE"""),670.0)</f>
        <v>670</v>
      </c>
      <c r="E223" s="2">
        <f>IFERROR(__xludf.DUMMYFUNCTION("""COMPUTED_VALUE"""),675.0)</f>
        <v>675</v>
      </c>
      <c r="F223" s="2">
        <f>IFERROR(__xludf.DUMMYFUNCTION("""COMPUTED_VALUE"""),1.66533E7)</f>
        <v>16653300</v>
      </c>
      <c r="G223" s="2">
        <f t="shared" si="1"/>
        <v>15</v>
      </c>
    </row>
    <row r="224" ht="15.75" customHeight="1">
      <c r="A224" s="1">
        <f>IFERROR(__xludf.DUMMYFUNCTION("""COMPUTED_VALUE"""),44165.66666666667)</f>
        <v>44165.66667</v>
      </c>
      <c r="B224" s="2">
        <f>IFERROR(__xludf.DUMMYFUNCTION("""COMPUTED_VALUE"""),675.0)</f>
        <v>675</v>
      </c>
      <c r="C224" s="2">
        <f>IFERROR(__xludf.DUMMYFUNCTION("""COMPUTED_VALUE"""),680.0)</f>
        <v>680</v>
      </c>
      <c r="D224" s="2">
        <f>IFERROR(__xludf.DUMMYFUNCTION("""COMPUTED_VALUE"""),630.0)</f>
        <v>630</v>
      </c>
      <c r="E224" s="2">
        <f>IFERROR(__xludf.DUMMYFUNCTION("""COMPUTED_VALUE"""),635.0)</f>
        <v>635</v>
      </c>
      <c r="F224" s="2">
        <f>IFERROR(__xludf.DUMMYFUNCTION("""COMPUTED_VALUE"""),3.86757E7)</f>
        <v>38675700</v>
      </c>
      <c r="G224" s="2">
        <f t="shared" si="1"/>
        <v>50</v>
      </c>
    </row>
    <row r="225" ht="15.75" customHeight="1">
      <c r="A225" s="1">
        <f>IFERROR(__xludf.DUMMYFUNCTION("""COMPUTED_VALUE"""),44166.66666666667)</f>
        <v>44166.66667</v>
      </c>
      <c r="B225" s="2">
        <f>IFERROR(__xludf.DUMMYFUNCTION("""COMPUTED_VALUE"""),650.0)</f>
        <v>650</v>
      </c>
      <c r="C225" s="2">
        <f>IFERROR(__xludf.DUMMYFUNCTION("""COMPUTED_VALUE"""),670.0)</f>
        <v>670</v>
      </c>
      <c r="D225" s="2">
        <f>IFERROR(__xludf.DUMMYFUNCTION("""COMPUTED_VALUE"""),640.0)</f>
        <v>640</v>
      </c>
      <c r="E225" s="2">
        <f>IFERROR(__xludf.DUMMYFUNCTION("""COMPUTED_VALUE"""),665.0)</f>
        <v>665</v>
      </c>
      <c r="F225" s="2">
        <f>IFERROR(__xludf.DUMMYFUNCTION("""COMPUTED_VALUE"""),2.7235E7)</f>
        <v>27235000</v>
      </c>
      <c r="G225" s="2">
        <f t="shared" si="1"/>
        <v>35</v>
      </c>
    </row>
    <row r="226" ht="15.75" customHeight="1">
      <c r="A226" s="1">
        <f>IFERROR(__xludf.DUMMYFUNCTION("""COMPUTED_VALUE"""),44167.66666666667)</f>
        <v>44167.66667</v>
      </c>
      <c r="B226" s="2">
        <f>IFERROR(__xludf.DUMMYFUNCTION("""COMPUTED_VALUE"""),670.0)</f>
        <v>670</v>
      </c>
      <c r="C226" s="2">
        <f>IFERROR(__xludf.DUMMYFUNCTION("""COMPUTED_VALUE"""),675.0)</f>
        <v>675</v>
      </c>
      <c r="D226" s="2">
        <f>IFERROR(__xludf.DUMMYFUNCTION("""COMPUTED_VALUE"""),655.0)</f>
        <v>655</v>
      </c>
      <c r="E226" s="2">
        <f>IFERROR(__xludf.DUMMYFUNCTION("""COMPUTED_VALUE"""),660.0)</f>
        <v>660</v>
      </c>
      <c r="F226" s="2">
        <f>IFERROR(__xludf.DUMMYFUNCTION("""COMPUTED_VALUE"""),2.0161E7)</f>
        <v>20161000</v>
      </c>
      <c r="G226" s="2">
        <f t="shared" si="1"/>
        <v>20</v>
      </c>
    </row>
    <row r="227" ht="15.75" customHeight="1">
      <c r="A227" s="1">
        <f>IFERROR(__xludf.DUMMYFUNCTION("""COMPUTED_VALUE"""),44168.66666666667)</f>
        <v>44168.66667</v>
      </c>
      <c r="B227" s="2">
        <f>IFERROR(__xludf.DUMMYFUNCTION("""COMPUTED_VALUE"""),660.0)</f>
        <v>660</v>
      </c>
      <c r="C227" s="2">
        <f>IFERROR(__xludf.DUMMYFUNCTION("""COMPUTED_VALUE"""),675.0)</f>
        <v>675</v>
      </c>
      <c r="D227" s="2">
        <f>IFERROR(__xludf.DUMMYFUNCTION("""COMPUTED_VALUE"""),660.0)</f>
        <v>660</v>
      </c>
      <c r="E227" s="2">
        <f>IFERROR(__xludf.DUMMYFUNCTION("""COMPUTED_VALUE"""),665.0)</f>
        <v>665</v>
      </c>
      <c r="F227" s="2">
        <f>IFERROR(__xludf.DUMMYFUNCTION("""COMPUTED_VALUE"""),1.42243E7)</f>
        <v>14224300</v>
      </c>
      <c r="G227" s="2">
        <f t="shared" si="1"/>
        <v>15</v>
      </c>
    </row>
    <row r="228" ht="15.75" customHeight="1">
      <c r="A228" s="1">
        <f>IFERROR(__xludf.DUMMYFUNCTION("""COMPUTED_VALUE"""),44169.66666666667)</f>
        <v>44169.66667</v>
      </c>
      <c r="B228" s="2">
        <f>IFERROR(__xludf.DUMMYFUNCTION("""COMPUTED_VALUE"""),665.0)</f>
        <v>665</v>
      </c>
      <c r="C228" s="2">
        <f>IFERROR(__xludf.DUMMYFUNCTION("""COMPUTED_VALUE"""),670.0)</f>
        <v>670</v>
      </c>
      <c r="D228" s="2">
        <f>IFERROR(__xludf.DUMMYFUNCTION("""COMPUTED_VALUE"""),655.0)</f>
        <v>655</v>
      </c>
      <c r="E228" s="2">
        <f>IFERROR(__xludf.DUMMYFUNCTION("""COMPUTED_VALUE"""),660.0)</f>
        <v>660</v>
      </c>
      <c r="F228" s="2">
        <f>IFERROR(__xludf.DUMMYFUNCTION("""COMPUTED_VALUE"""),1.09043E7)</f>
        <v>10904300</v>
      </c>
      <c r="G228" s="2">
        <f t="shared" si="1"/>
        <v>15</v>
      </c>
    </row>
    <row r="229" ht="15.75" customHeight="1">
      <c r="A229" s="1">
        <f>IFERROR(__xludf.DUMMYFUNCTION("""COMPUTED_VALUE"""),44172.66666666667)</f>
        <v>44172.66667</v>
      </c>
      <c r="B229" s="2">
        <f>IFERROR(__xludf.DUMMYFUNCTION("""COMPUTED_VALUE"""),660.0)</f>
        <v>660</v>
      </c>
      <c r="C229" s="2">
        <f>IFERROR(__xludf.DUMMYFUNCTION("""COMPUTED_VALUE"""),675.0)</f>
        <v>675</v>
      </c>
      <c r="D229" s="2">
        <f>IFERROR(__xludf.DUMMYFUNCTION("""COMPUTED_VALUE"""),660.0)</f>
        <v>660</v>
      </c>
      <c r="E229" s="2">
        <f>IFERROR(__xludf.DUMMYFUNCTION("""COMPUTED_VALUE"""),675.0)</f>
        <v>675</v>
      </c>
      <c r="F229" s="2">
        <f>IFERROR(__xludf.DUMMYFUNCTION("""COMPUTED_VALUE"""),1.78138E7)</f>
        <v>17813800</v>
      </c>
      <c r="G229" s="2">
        <f t="shared" si="1"/>
        <v>15</v>
      </c>
    </row>
    <row r="230" ht="15.75" customHeight="1">
      <c r="A230" s="1">
        <f>IFERROR(__xludf.DUMMYFUNCTION("""COMPUTED_VALUE"""),44173.66666666667)</f>
        <v>44173.66667</v>
      </c>
      <c r="B230" s="2">
        <f>IFERROR(__xludf.DUMMYFUNCTION("""COMPUTED_VALUE"""),675.0)</f>
        <v>675</v>
      </c>
      <c r="C230" s="2">
        <f>IFERROR(__xludf.DUMMYFUNCTION("""COMPUTED_VALUE"""),680.0)</f>
        <v>680</v>
      </c>
      <c r="D230" s="2">
        <f>IFERROR(__xludf.DUMMYFUNCTION("""COMPUTED_VALUE"""),660.0)</f>
        <v>660</v>
      </c>
      <c r="E230" s="2">
        <f>IFERROR(__xludf.DUMMYFUNCTION("""COMPUTED_VALUE"""),665.0)</f>
        <v>665</v>
      </c>
      <c r="F230" s="2">
        <f>IFERROR(__xludf.DUMMYFUNCTION("""COMPUTED_VALUE"""),1.81724E7)</f>
        <v>18172400</v>
      </c>
      <c r="G230" s="2">
        <f t="shared" si="1"/>
        <v>20</v>
      </c>
    </row>
    <row r="231" ht="15.75" customHeight="1">
      <c r="A231" s="1">
        <f>IFERROR(__xludf.DUMMYFUNCTION("""COMPUTED_VALUE"""),44175.66666666667)</f>
        <v>44175.66667</v>
      </c>
      <c r="B231" s="2">
        <f>IFERROR(__xludf.DUMMYFUNCTION("""COMPUTED_VALUE"""),670.0)</f>
        <v>670</v>
      </c>
      <c r="C231" s="2">
        <f>IFERROR(__xludf.DUMMYFUNCTION("""COMPUTED_VALUE"""),705.0)</f>
        <v>705</v>
      </c>
      <c r="D231" s="2">
        <f>IFERROR(__xludf.DUMMYFUNCTION("""COMPUTED_VALUE"""),660.0)</f>
        <v>660</v>
      </c>
      <c r="E231" s="2">
        <f>IFERROR(__xludf.DUMMYFUNCTION("""COMPUTED_VALUE"""),680.0)</f>
        <v>680</v>
      </c>
      <c r="F231" s="2">
        <f>IFERROR(__xludf.DUMMYFUNCTION("""COMPUTED_VALUE"""),1.27497E8)</f>
        <v>127497000</v>
      </c>
      <c r="G231" s="2">
        <f t="shared" si="1"/>
        <v>45</v>
      </c>
    </row>
    <row r="232" ht="15.75" customHeight="1">
      <c r="A232" s="1">
        <f>IFERROR(__xludf.DUMMYFUNCTION("""COMPUTED_VALUE"""),44176.66666666667)</f>
        <v>44176.66667</v>
      </c>
      <c r="B232" s="2">
        <f>IFERROR(__xludf.DUMMYFUNCTION("""COMPUTED_VALUE"""),680.0)</f>
        <v>680</v>
      </c>
      <c r="C232" s="2">
        <f>IFERROR(__xludf.DUMMYFUNCTION("""COMPUTED_VALUE"""),690.0)</f>
        <v>690</v>
      </c>
      <c r="D232" s="2">
        <f>IFERROR(__xludf.DUMMYFUNCTION("""COMPUTED_VALUE"""),670.0)</f>
        <v>670</v>
      </c>
      <c r="E232" s="2">
        <f>IFERROR(__xludf.DUMMYFUNCTION("""COMPUTED_VALUE"""),675.0)</f>
        <v>675</v>
      </c>
      <c r="F232" s="2">
        <f>IFERROR(__xludf.DUMMYFUNCTION("""COMPUTED_VALUE"""),3.10475E7)</f>
        <v>31047500</v>
      </c>
      <c r="G232" s="2">
        <f t="shared" si="1"/>
        <v>20</v>
      </c>
    </row>
    <row r="233" ht="15.75" customHeight="1">
      <c r="A233" s="1">
        <f>IFERROR(__xludf.DUMMYFUNCTION("""COMPUTED_VALUE"""),44179.66666666667)</f>
        <v>44179.66667</v>
      </c>
      <c r="B233" s="2">
        <f>IFERROR(__xludf.DUMMYFUNCTION("""COMPUTED_VALUE"""),675.0)</f>
        <v>675</v>
      </c>
      <c r="C233" s="2">
        <f>IFERROR(__xludf.DUMMYFUNCTION("""COMPUTED_VALUE"""),680.0)</f>
        <v>680</v>
      </c>
      <c r="D233" s="2">
        <f>IFERROR(__xludf.DUMMYFUNCTION("""COMPUTED_VALUE"""),665.0)</f>
        <v>665</v>
      </c>
      <c r="E233" s="2">
        <f>IFERROR(__xludf.DUMMYFUNCTION("""COMPUTED_VALUE"""),670.0)</f>
        <v>670</v>
      </c>
      <c r="F233" s="2">
        <f>IFERROR(__xludf.DUMMYFUNCTION("""COMPUTED_VALUE"""),1.87629E7)</f>
        <v>18762900</v>
      </c>
      <c r="G233" s="2">
        <f t="shared" si="1"/>
        <v>15</v>
      </c>
    </row>
    <row r="234" ht="15.75" customHeight="1">
      <c r="A234" s="1">
        <f>IFERROR(__xludf.DUMMYFUNCTION("""COMPUTED_VALUE"""),44180.66666666667)</f>
        <v>44180.66667</v>
      </c>
      <c r="B234" s="2">
        <f>IFERROR(__xludf.DUMMYFUNCTION("""COMPUTED_VALUE"""),675.0)</f>
        <v>675</v>
      </c>
      <c r="C234" s="2">
        <f>IFERROR(__xludf.DUMMYFUNCTION("""COMPUTED_VALUE"""),800.0)</f>
        <v>800</v>
      </c>
      <c r="D234" s="2">
        <f>IFERROR(__xludf.DUMMYFUNCTION("""COMPUTED_VALUE"""),665.0)</f>
        <v>665</v>
      </c>
      <c r="E234" s="2">
        <f>IFERROR(__xludf.DUMMYFUNCTION("""COMPUTED_VALUE"""),715.0)</f>
        <v>715</v>
      </c>
      <c r="F234" s="2">
        <f>IFERROR(__xludf.DUMMYFUNCTION("""COMPUTED_VALUE"""),1.75083E8)</f>
        <v>175083000</v>
      </c>
      <c r="G234" s="2">
        <f t="shared" si="1"/>
        <v>135</v>
      </c>
    </row>
    <row r="235" ht="15.75" customHeight="1">
      <c r="A235" s="1">
        <f>IFERROR(__xludf.DUMMYFUNCTION("""COMPUTED_VALUE"""),44181.66666666667)</f>
        <v>44181.66667</v>
      </c>
      <c r="B235" s="2">
        <f>IFERROR(__xludf.DUMMYFUNCTION("""COMPUTED_VALUE"""),715.0)</f>
        <v>715</v>
      </c>
      <c r="C235" s="2">
        <f>IFERROR(__xludf.DUMMYFUNCTION("""COMPUTED_VALUE"""),730.0)</f>
        <v>730</v>
      </c>
      <c r="D235" s="2">
        <f>IFERROR(__xludf.DUMMYFUNCTION("""COMPUTED_VALUE"""),705.0)</f>
        <v>705</v>
      </c>
      <c r="E235" s="2">
        <f>IFERROR(__xludf.DUMMYFUNCTION("""COMPUTED_VALUE"""),710.0)</f>
        <v>710</v>
      </c>
      <c r="F235" s="2">
        <f>IFERROR(__xludf.DUMMYFUNCTION("""COMPUTED_VALUE"""),4.47458E7)</f>
        <v>44745800</v>
      </c>
      <c r="G235" s="2">
        <f t="shared" si="1"/>
        <v>25</v>
      </c>
    </row>
    <row r="236" ht="15.75" customHeight="1">
      <c r="A236" s="1">
        <f>IFERROR(__xludf.DUMMYFUNCTION("""COMPUTED_VALUE"""),44182.66666666667)</f>
        <v>44182.66667</v>
      </c>
      <c r="B236" s="2">
        <f>IFERROR(__xludf.DUMMYFUNCTION("""COMPUTED_VALUE"""),715.0)</f>
        <v>715</v>
      </c>
      <c r="C236" s="2">
        <f>IFERROR(__xludf.DUMMYFUNCTION("""COMPUTED_VALUE"""),725.0)</f>
        <v>725</v>
      </c>
      <c r="D236" s="2">
        <f>IFERROR(__xludf.DUMMYFUNCTION("""COMPUTED_VALUE"""),705.0)</f>
        <v>705</v>
      </c>
      <c r="E236" s="2">
        <f>IFERROR(__xludf.DUMMYFUNCTION("""COMPUTED_VALUE"""),710.0)</f>
        <v>710</v>
      </c>
      <c r="F236" s="2">
        <f>IFERROR(__xludf.DUMMYFUNCTION("""COMPUTED_VALUE"""),2.57956E7)</f>
        <v>25795600</v>
      </c>
      <c r="G236" s="2">
        <f t="shared" si="1"/>
        <v>20</v>
      </c>
    </row>
    <row r="237" ht="15.75" customHeight="1">
      <c r="A237" s="1">
        <f>IFERROR(__xludf.DUMMYFUNCTION("""COMPUTED_VALUE"""),44183.66666666667)</f>
        <v>44183.66667</v>
      </c>
      <c r="B237" s="2">
        <f>IFERROR(__xludf.DUMMYFUNCTION("""COMPUTED_VALUE"""),710.0)</f>
        <v>710</v>
      </c>
      <c r="C237" s="2">
        <f>IFERROR(__xludf.DUMMYFUNCTION("""COMPUTED_VALUE"""),750.0)</f>
        <v>750</v>
      </c>
      <c r="D237" s="2">
        <f>IFERROR(__xludf.DUMMYFUNCTION("""COMPUTED_VALUE"""),705.0)</f>
        <v>705</v>
      </c>
      <c r="E237" s="2">
        <f>IFERROR(__xludf.DUMMYFUNCTION("""COMPUTED_VALUE"""),725.0)</f>
        <v>725</v>
      </c>
      <c r="F237" s="2">
        <f>IFERROR(__xludf.DUMMYFUNCTION("""COMPUTED_VALUE"""),1.022457E8)</f>
        <v>102245700</v>
      </c>
      <c r="G237" s="2">
        <f t="shared" si="1"/>
        <v>45</v>
      </c>
    </row>
    <row r="238" ht="15.75" customHeight="1">
      <c r="A238" s="1">
        <f>IFERROR(__xludf.DUMMYFUNCTION("""COMPUTED_VALUE"""),44186.66666666667)</f>
        <v>44186.66667</v>
      </c>
      <c r="B238" s="2">
        <f>IFERROR(__xludf.DUMMYFUNCTION("""COMPUTED_VALUE"""),725.0)</f>
        <v>725</v>
      </c>
      <c r="C238" s="2">
        <f>IFERROR(__xludf.DUMMYFUNCTION("""COMPUTED_VALUE"""),760.0)</f>
        <v>760</v>
      </c>
      <c r="D238" s="2">
        <f>IFERROR(__xludf.DUMMYFUNCTION("""COMPUTED_VALUE"""),725.0)</f>
        <v>725</v>
      </c>
      <c r="E238" s="2">
        <f>IFERROR(__xludf.DUMMYFUNCTION("""COMPUTED_VALUE"""),755.0)</f>
        <v>755</v>
      </c>
      <c r="F238" s="2">
        <f>IFERROR(__xludf.DUMMYFUNCTION("""COMPUTED_VALUE"""),6.45558E7)</f>
        <v>64555800</v>
      </c>
      <c r="G238" s="2">
        <f t="shared" si="1"/>
        <v>35</v>
      </c>
    </row>
    <row r="239" ht="15.75" customHeight="1">
      <c r="A239" s="1">
        <f>IFERROR(__xludf.DUMMYFUNCTION("""COMPUTED_VALUE"""),44187.66666666667)</f>
        <v>44187.66667</v>
      </c>
      <c r="B239" s="2">
        <f>IFERROR(__xludf.DUMMYFUNCTION("""COMPUTED_VALUE"""),755.0)</f>
        <v>755</v>
      </c>
      <c r="C239" s="2">
        <f>IFERROR(__xludf.DUMMYFUNCTION("""COMPUTED_VALUE"""),755.0)</f>
        <v>755</v>
      </c>
      <c r="D239" s="2">
        <f>IFERROR(__xludf.DUMMYFUNCTION("""COMPUTED_VALUE"""),710.0)</f>
        <v>710</v>
      </c>
      <c r="E239" s="2">
        <f>IFERROR(__xludf.DUMMYFUNCTION("""COMPUTED_VALUE"""),715.0)</f>
        <v>715</v>
      </c>
      <c r="F239" s="2">
        <f>IFERROR(__xludf.DUMMYFUNCTION("""COMPUTED_VALUE"""),4.08898E7)</f>
        <v>40889800</v>
      </c>
      <c r="G239" s="2">
        <f t="shared" si="1"/>
        <v>45</v>
      </c>
    </row>
    <row r="240" ht="15.75" customHeight="1">
      <c r="A240" s="1">
        <f>IFERROR(__xludf.DUMMYFUNCTION("""COMPUTED_VALUE"""),44188.66666666667)</f>
        <v>44188.66667</v>
      </c>
      <c r="B240" s="2">
        <f>IFERROR(__xludf.DUMMYFUNCTION("""COMPUTED_VALUE"""),725.0)</f>
        <v>725</v>
      </c>
      <c r="C240" s="2">
        <f>IFERROR(__xludf.DUMMYFUNCTION("""COMPUTED_VALUE"""),735.0)</f>
        <v>735</v>
      </c>
      <c r="D240" s="2">
        <f>IFERROR(__xludf.DUMMYFUNCTION("""COMPUTED_VALUE"""),680.0)</f>
        <v>680</v>
      </c>
      <c r="E240" s="2">
        <f>IFERROR(__xludf.DUMMYFUNCTION("""COMPUTED_VALUE"""),705.0)</f>
        <v>705</v>
      </c>
      <c r="F240" s="2">
        <f>IFERROR(__xludf.DUMMYFUNCTION("""COMPUTED_VALUE"""),3.14271E7)</f>
        <v>31427100</v>
      </c>
      <c r="G240" s="2">
        <f t="shared" si="1"/>
        <v>55</v>
      </c>
    </row>
    <row r="241" ht="15.75" customHeight="1">
      <c r="A241" s="1">
        <f>IFERROR(__xludf.DUMMYFUNCTION("""COMPUTED_VALUE"""),44193.66666666667)</f>
        <v>44193.66667</v>
      </c>
      <c r="B241" s="2">
        <f>IFERROR(__xludf.DUMMYFUNCTION("""COMPUTED_VALUE"""),710.0)</f>
        <v>710</v>
      </c>
      <c r="C241" s="2">
        <f>IFERROR(__xludf.DUMMYFUNCTION("""COMPUTED_VALUE"""),715.0)</f>
        <v>715</v>
      </c>
      <c r="D241" s="2">
        <f>IFERROR(__xludf.DUMMYFUNCTION("""COMPUTED_VALUE"""),700.0)</f>
        <v>700</v>
      </c>
      <c r="E241" s="2">
        <f>IFERROR(__xludf.DUMMYFUNCTION("""COMPUTED_VALUE"""),710.0)</f>
        <v>710</v>
      </c>
      <c r="F241" s="2">
        <f>IFERROR(__xludf.DUMMYFUNCTION("""COMPUTED_VALUE"""),2.05781E7)</f>
        <v>20578100</v>
      </c>
      <c r="G241" s="2">
        <f t="shared" si="1"/>
        <v>15</v>
      </c>
    </row>
    <row r="242" ht="15.75" customHeight="1">
      <c r="A242" s="1">
        <f>IFERROR(__xludf.DUMMYFUNCTION("""COMPUTED_VALUE"""),44194.66666666667)</f>
        <v>44194.66667</v>
      </c>
      <c r="B242" s="2">
        <f>IFERROR(__xludf.DUMMYFUNCTION("""COMPUTED_VALUE"""),715.0)</f>
        <v>715</v>
      </c>
      <c r="C242" s="2">
        <f>IFERROR(__xludf.DUMMYFUNCTION("""COMPUTED_VALUE"""),720.0)</f>
        <v>720</v>
      </c>
      <c r="D242" s="2">
        <f>IFERROR(__xludf.DUMMYFUNCTION("""COMPUTED_VALUE"""),690.0)</f>
        <v>690</v>
      </c>
      <c r="E242" s="2">
        <f>IFERROR(__xludf.DUMMYFUNCTION("""COMPUTED_VALUE"""),700.0)</f>
        <v>700</v>
      </c>
      <c r="F242" s="2">
        <f>IFERROR(__xludf.DUMMYFUNCTION("""COMPUTED_VALUE"""),1.65011E7)</f>
        <v>16501100</v>
      </c>
      <c r="G242" s="2">
        <f t="shared" si="1"/>
        <v>30</v>
      </c>
    </row>
    <row r="243" ht="15.75" customHeight="1">
      <c r="A243" s="1">
        <f>IFERROR(__xludf.DUMMYFUNCTION("""COMPUTED_VALUE"""),44195.66666666667)</f>
        <v>44195.66667</v>
      </c>
      <c r="B243" s="2">
        <f>IFERROR(__xludf.DUMMYFUNCTION("""COMPUTED_VALUE"""),700.0)</f>
        <v>700</v>
      </c>
      <c r="C243" s="2">
        <f>IFERROR(__xludf.DUMMYFUNCTION("""COMPUTED_VALUE"""),710.0)</f>
        <v>710</v>
      </c>
      <c r="D243" s="2">
        <f>IFERROR(__xludf.DUMMYFUNCTION("""COMPUTED_VALUE"""),680.0)</f>
        <v>680</v>
      </c>
      <c r="E243" s="2">
        <f>IFERROR(__xludf.DUMMYFUNCTION("""COMPUTED_VALUE"""),680.0)</f>
        <v>680</v>
      </c>
      <c r="F243" s="2">
        <f>IFERROR(__xludf.DUMMYFUNCTION("""COMPUTED_VALUE"""),2.4408E7)</f>
        <v>24408000</v>
      </c>
      <c r="G243" s="2">
        <f t="shared" si="1"/>
        <v>30</v>
      </c>
    </row>
    <row r="244" ht="15.75" customHeight="1">
      <c r="A244" s="1">
        <f>IFERROR(__xludf.DUMMYFUNCTION("""COMPUTED_VALUE"""),44200.625)</f>
        <v>44200.625</v>
      </c>
      <c r="B244" s="2">
        <f>IFERROR(__xludf.DUMMYFUNCTION("""COMPUTED_VALUE"""),695.0)</f>
        <v>695</v>
      </c>
      <c r="C244" s="2">
        <f>IFERROR(__xludf.DUMMYFUNCTION("""COMPUTED_VALUE"""),705.0)</f>
        <v>705</v>
      </c>
      <c r="D244" s="2">
        <f>IFERROR(__xludf.DUMMYFUNCTION("""COMPUTED_VALUE"""),680.0)</f>
        <v>680</v>
      </c>
      <c r="E244" s="2">
        <f>IFERROR(__xludf.DUMMYFUNCTION("""COMPUTED_VALUE"""),705.0)</f>
        <v>705</v>
      </c>
      <c r="F244" s="2">
        <f>IFERROR(__xludf.DUMMYFUNCTION("""COMPUTED_VALUE"""),2.0728E7)</f>
        <v>20728000</v>
      </c>
      <c r="G244" s="2">
        <f t="shared" si="1"/>
        <v>25</v>
      </c>
    </row>
    <row r="245" ht="15.75" customHeight="1">
      <c r="A245" s="1">
        <f>IFERROR(__xludf.DUMMYFUNCTION("""COMPUTED_VALUE"""),44201.625)</f>
        <v>44201.625</v>
      </c>
      <c r="B245" s="2">
        <f>IFERROR(__xludf.DUMMYFUNCTION("""COMPUTED_VALUE"""),710.0)</f>
        <v>710</v>
      </c>
      <c r="C245" s="2">
        <f>IFERROR(__xludf.DUMMYFUNCTION("""COMPUTED_VALUE"""),710.0)</f>
        <v>710</v>
      </c>
      <c r="D245" s="2">
        <f>IFERROR(__xludf.DUMMYFUNCTION("""COMPUTED_VALUE"""),695.0)</f>
        <v>695</v>
      </c>
      <c r="E245" s="2">
        <f>IFERROR(__xludf.DUMMYFUNCTION("""COMPUTED_VALUE"""),695.0)</f>
        <v>695</v>
      </c>
      <c r="F245" s="2">
        <f>IFERROR(__xludf.DUMMYFUNCTION("""COMPUTED_VALUE"""),1.78632E7)</f>
        <v>17863200</v>
      </c>
      <c r="G245" s="2">
        <f t="shared" si="1"/>
        <v>15</v>
      </c>
    </row>
    <row r="246" ht="15.75" customHeight="1">
      <c r="A246" s="1">
        <f>IFERROR(__xludf.DUMMYFUNCTION("""COMPUTED_VALUE"""),44202.625)</f>
        <v>44202.625</v>
      </c>
      <c r="B246" s="2">
        <f>IFERROR(__xludf.DUMMYFUNCTION("""COMPUTED_VALUE"""),695.0)</f>
        <v>695</v>
      </c>
      <c r="C246" s="2">
        <f>IFERROR(__xludf.DUMMYFUNCTION("""COMPUTED_VALUE"""),705.0)</f>
        <v>705</v>
      </c>
      <c r="D246" s="2">
        <f>IFERROR(__xludf.DUMMYFUNCTION("""COMPUTED_VALUE"""),685.0)</f>
        <v>685</v>
      </c>
      <c r="E246" s="2">
        <f>IFERROR(__xludf.DUMMYFUNCTION("""COMPUTED_VALUE"""),695.0)</f>
        <v>695</v>
      </c>
      <c r="F246" s="2">
        <f>IFERROR(__xludf.DUMMYFUNCTION("""COMPUTED_VALUE"""),2.14128E7)</f>
        <v>21412800</v>
      </c>
      <c r="G246" s="2">
        <f t="shared" si="1"/>
        <v>20</v>
      </c>
    </row>
    <row r="247" ht="15.75" customHeight="1">
      <c r="A247" s="1">
        <f>IFERROR(__xludf.DUMMYFUNCTION("""COMPUTED_VALUE"""),44203.66666666667)</f>
        <v>44203.66667</v>
      </c>
      <c r="B247" s="2">
        <f>IFERROR(__xludf.DUMMYFUNCTION("""COMPUTED_VALUE"""),700.0)</f>
        <v>700</v>
      </c>
      <c r="C247" s="2">
        <f>IFERROR(__xludf.DUMMYFUNCTION("""COMPUTED_VALUE"""),705.0)</f>
        <v>705</v>
      </c>
      <c r="D247" s="2">
        <f>IFERROR(__xludf.DUMMYFUNCTION("""COMPUTED_VALUE"""),690.0)</f>
        <v>690</v>
      </c>
      <c r="E247" s="2">
        <f>IFERROR(__xludf.DUMMYFUNCTION("""COMPUTED_VALUE"""),695.0)</f>
        <v>695</v>
      </c>
      <c r="F247" s="2">
        <f>IFERROR(__xludf.DUMMYFUNCTION("""COMPUTED_VALUE"""),1.75397E7)</f>
        <v>17539700</v>
      </c>
      <c r="G247" s="2">
        <f t="shared" si="1"/>
        <v>15</v>
      </c>
    </row>
    <row r="248" ht="15.75" customHeight="1">
      <c r="A248" s="1">
        <f>IFERROR(__xludf.DUMMYFUNCTION("""COMPUTED_VALUE"""),44204.66666666667)</f>
        <v>44204.66667</v>
      </c>
      <c r="B248" s="2">
        <f>IFERROR(__xludf.DUMMYFUNCTION("""COMPUTED_VALUE"""),695.0)</f>
        <v>695</v>
      </c>
      <c r="C248" s="2">
        <f>IFERROR(__xludf.DUMMYFUNCTION("""COMPUTED_VALUE"""),720.0)</f>
        <v>720</v>
      </c>
      <c r="D248" s="2">
        <f>IFERROR(__xludf.DUMMYFUNCTION("""COMPUTED_VALUE"""),690.0)</f>
        <v>690</v>
      </c>
      <c r="E248" s="2">
        <f>IFERROR(__xludf.DUMMYFUNCTION("""COMPUTED_VALUE"""),715.0)</f>
        <v>715</v>
      </c>
      <c r="F248" s="2">
        <f>IFERROR(__xludf.DUMMYFUNCTION("""COMPUTED_VALUE"""),5.08251E7)</f>
        <v>50825100</v>
      </c>
      <c r="G248" s="2">
        <f t="shared" si="1"/>
        <v>30</v>
      </c>
    </row>
    <row r="249" ht="15.75" customHeight="1">
      <c r="A249" s="1">
        <f>IFERROR(__xludf.DUMMYFUNCTION("""COMPUTED_VALUE"""),44207.625)</f>
        <v>44207.625</v>
      </c>
      <c r="B249" s="2">
        <f>IFERROR(__xludf.DUMMYFUNCTION("""COMPUTED_VALUE"""),715.0)</f>
        <v>715</v>
      </c>
      <c r="C249" s="2">
        <f>IFERROR(__xludf.DUMMYFUNCTION("""COMPUTED_VALUE"""),745.0)</f>
        <v>745</v>
      </c>
      <c r="D249" s="2">
        <f>IFERROR(__xludf.DUMMYFUNCTION("""COMPUTED_VALUE"""),715.0)</f>
        <v>715</v>
      </c>
      <c r="E249" s="2">
        <f>IFERROR(__xludf.DUMMYFUNCTION("""COMPUTED_VALUE"""),720.0)</f>
        <v>720</v>
      </c>
      <c r="F249" s="2">
        <f>IFERROR(__xludf.DUMMYFUNCTION("""COMPUTED_VALUE"""),4.60542E7)</f>
        <v>46054200</v>
      </c>
      <c r="G249" s="2">
        <f t="shared" si="1"/>
        <v>30</v>
      </c>
    </row>
    <row r="250" ht="15.75" customHeight="1">
      <c r="A250" s="1">
        <f>IFERROR(__xludf.DUMMYFUNCTION("""COMPUTED_VALUE"""),44208.625)</f>
        <v>44208.625</v>
      </c>
      <c r="B250" s="2">
        <f>IFERROR(__xludf.DUMMYFUNCTION("""COMPUTED_VALUE"""),725.0)</f>
        <v>725</v>
      </c>
      <c r="C250" s="2">
        <f>IFERROR(__xludf.DUMMYFUNCTION("""COMPUTED_VALUE"""),740.0)</f>
        <v>740</v>
      </c>
      <c r="D250" s="2">
        <f>IFERROR(__xludf.DUMMYFUNCTION("""COMPUTED_VALUE"""),715.0)</f>
        <v>715</v>
      </c>
      <c r="E250" s="2">
        <f>IFERROR(__xludf.DUMMYFUNCTION("""COMPUTED_VALUE"""),720.0)</f>
        <v>720</v>
      </c>
      <c r="F250" s="2">
        <f>IFERROR(__xludf.DUMMYFUNCTION("""COMPUTED_VALUE"""),5.40941E7)</f>
        <v>54094100</v>
      </c>
      <c r="G250" s="2">
        <f t="shared" si="1"/>
        <v>25</v>
      </c>
    </row>
    <row r="251" ht="15.75" customHeight="1">
      <c r="A251" s="1">
        <f>IFERROR(__xludf.DUMMYFUNCTION("""COMPUTED_VALUE"""),44209.625)</f>
        <v>44209.625</v>
      </c>
      <c r="B251" s="2">
        <f>IFERROR(__xludf.DUMMYFUNCTION("""COMPUTED_VALUE"""),725.0)</f>
        <v>725</v>
      </c>
      <c r="C251" s="2">
        <f>IFERROR(__xludf.DUMMYFUNCTION("""COMPUTED_VALUE"""),730.0)</f>
        <v>730</v>
      </c>
      <c r="D251" s="2">
        <f>IFERROR(__xludf.DUMMYFUNCTION("""COMPUTED_VALUE"""),710.0)</f>
        <v>710</v>
      </c>
      <c r="E251" s="2">
        <f>IFERROR(__xludf.DUMMYFUNCTION("""COMPUTED_VALUE"""),710.0)</f>
        <v>710</v>
      </c>
      <c r="F251" s="2">
        <f>IFERROR(__xludf.DUMMYFUNCTION("""COMPUTED_VALUE"""),2.19173E7)</f>
        <v>21917300</v>
      </c>
      <c r="G251" s="2">
        <f t="shared" si="1"/>
        <v>20</v>
      </c>
    </row>
    <row r="252" ht="15.75" customHeight="1">
      <c r="A252" s="1">
        <f>IFERROR(__xludf.DUMMYFUNCTION("""COMPUTED_VALUE"""),44210.625)</f>
        <v>44210.625</v>
      </c>
      <c r="B252" s="2">
        <f>IFERROR(__xludf.DUMMYFUNCTION("""COMPUTED_VALUE"""),710.0)</f>
        <v>710</v>
      </c>
      <c r="C252" s="2">
        <f>IFERROR(__xludf.DUMMYFUNCTION("""COMPUTED_VALUE"""),870.0)</f>
        <v>870</v>
      </c>
      <c r="D252" s="2">
        <f>IFERROR(__xludf.DUMMYFUNCTION("""COMPUTED_VALUE"""),705.0)</f>
        <v>705</v>
      </c>
      <c r="E252" s="2">
        <f>IFERROR(__xludf.DUMMYFUNCTION("""COMPUTED_VALUE"""),845.0)</f>
        <v>845</v>
      </c>
      <c r="F252" s="2">
        <f>IFERROR(__xludf.DUMMYFUNCTION("""COMPUTED_VALUE"""),4.081505E8)</f>
        <v>408150500</v>
      </c>
      <c r="G252" s="2">
        <f t="shared" si="1"/>
        <v>165</v>
      </c>
    </row>
    <row r="253" ht="15.75" customHeight="1">
      <c r="A253" s="1">
        <f>IFERROR(__xludf.DUMMYFUNCTION("""COMPUTED_VALUE"""),44211.625)</f>
        <v>44211.625</v>
      </c>
      <c r="B253" s="2">
        <f>IFERROR(__xludf.DUMMYFUNCTION("""COMPUTED_VALUE"""),880.0)</f>
        <v>880</v>
      </c>
      <c r="C253" s="2">
        <f>IFERROR(__xludf.DUMMYFUNCTION("""COMPUTED_VALUE"""),970.0)</f>
        <v>970</v>
      </c>
      <c r="D253" s="2">
        <f>IFERROR(__xludf.DUMMYFUNCTION("""COMPUTED_VALUE"""),880.0)</f>
        <v>880</v>
      </c>
      <c r="E253" s="2">
        <f>IFERROR(__xludf.DUMMYFUNCTION("""COMPUTED_VALUE"""),965.0)</f>
        <v>965</v>
      </c>
      <c r="F253" s="2">
        <f>IFERROR(__xludf.DUMMYFUNCTION("""COMPUTED_VALUE"""),8.162829E8)</f>
        <v>816282900</v>
      </c>
      <c r="G253" s="2">
        <f t="shared" si="1"/>
        <v>125</v>
      </c>
    </row>
    <row r="254" ht="15.75" customHeight="1">
      <c r="A254" s="1">
        <f>IFERROR(__xludf.DUMMYFUNCTION("""COMPUTED_VALUE"""),44214.625)</f>
        <v>44214.625</v>
      </c>
      <c r="B254" s="2">
        <f>IFERROR(__xludf.DUMMYFUNCTION("""COMPUTED_VALUE"""),970.0)</f>
        <v>970</v>
      </c>
      <c r="C254" s="2">
        <f>IFERROR(__xludf.DUMMYFUNCTION("""COMPUTED_VALUE"""),970.0)</f>
        <v>970</v>
      </c>
      <c r="D254" s="2">
        <f>IFERROR(__xludf.DUMMYFUNCTION("""COMPUTED_VALUE"""),900.0)</f>
        <v>900</v>
      </c>
      <c r="E254" s="2">
        <f>IFERROR(__xludf.DUMMYFUNCTION("""COMPUTED_VALUE"""),900.0)</f>
        <v>900</v>
      </c>
      <c r="F254" s="2">
        <f>IFERROR(__xludf.DUMMYFUNCTION("""COMPUTED_VALUE"""),1.975353E8)</f>
        <v>197535300</v>
      </c>
      <c r="G254" s="2">
        <f t="shared" si="1"/>
        <v>70</v>
      </c>
    </row>
    <row r="255" ht="15.75" customHeight="1">
      <c r="A255" s="1">
        <f>IFERROR(__xludf.DUMMYFUNCTION("""COMPUTED_VALUE"""),44215.625)</f>
        <v>44215.625</v>
      </c>
      <c r="B255" s="2">
        <f>IFERROR(__xludf.DUMMYFUNCTION("""COMPUTED_VALUE"""),900.0)</f>
        <v>900</v>
      </c>
      <c r="C255" s="2">
        <f>IFERROR(__xludf.DUMMYFUNCTION("""COMPUTED_VALUE"""),900.0)</f>
        <v>900</v>
      </c>
      <c r="D255" s="2">
        <f>IFERROR(__xludf.DUMMYFUNCTION("""COMPUTED_VALUE"""),840.0)</f>
        <v>840</v>
      </c>
      <c r="E255" s="2">
        <f>IFERROR(__xludf.DUMMYFUNCTION("""COMPUTED_VALUE"""),840.0)</f>
        <v>840</v>
      </c>
      <c r="F255" s="2">
        <f>IFERROR(__xludf.DUMMYFUNCTION("""COMPUTED_VALUE"""),3.70463E7)</f>
        <v>37046300</v>
      </c>
      <c r="G255" s="2">
        <f t="shared" si="1"/>
        <v>60</v>
      </c>
    </row>
    <row r="256" ht="15.75" customHeight="1">
      <c r="A256" s="1">
        <f>IFERROR(__xludf.DUMMYFUNCTION("""COMPUTED_VALUE"""),44216.625)</f>
        <v>44216.625</v>
      </c>
      <c r="B256" s="2">
        <f>IFERROR(__xludf.DUMMYFUNCTION("""COMPUTED_VALUE"""),785.0)</f>
        <v>785</v>
      </c>
      <c r="C256" s="2">
        <f>IFERROR(__xludf.DUMMYFUNCTION("""COMPUTED_VALUE"""),840.0)</f>
        <v>840</v>
      </c>
      <c r="D256" s="2">
        <f>IFERROR(__xludf.DUMMYFUNCTION("""COMPUTED_VALUE"""),785.0)</f>
        <v>785</v>
      </c>
      <c r="E256" s="2">
        <f>IFERROR(__xludf.DUMMYFUNCTION("""COMPUTED_VALUE"""),830.0)</f>
        <v>830</v>
      </c>
      <c r="F256" s="2">
        <f>IFERROR(__xludf.DUMMYFUNCTION("""COMPUTED_VALUE"""),2.652125E8)</f>
        <v>265212500</v>
      </c>
      <c r="G256" s="2">
        <f t="shared" si="1"/>
        <v>55</v>
      </c>
    </row>
    <row r="257" ht="15.75" customHeight="1">
      <c r="A257" s="1">
        <f>IFERROR(__xludf.DUMMYFUNCTION("""COMPUTED_VALUE"""),44217.625)</f>
        <v>44217.625</v>
      </c>
      <c r="B257" s="2">
        <f>IFERROR(__xludf.DUMMYFUNCTION("""COMPUTED_VALUE"""),830.0)</f>
        <v>830</v>
      </c>
      <c r="C257" s="2">
        <f>IFERROR(__xludf.DUMMYFUNCTION("""COMPUTED_VALUE"""),840.0)</f>
        <v>840</v>
      </c>
      <c r="D257" s="2">
        <f>IFERROR(__xludf.DUMMYFUNCTION("""COMPUTED_VALUE"""),790.0)</f>
        <v>790</v>
      </c>
      <c r="E257" s="2">
        <f>IFERROR(__xludf.DUMMYFUNCTION("""COMPUTED_VALUE"""),795.0)</f>
        <v>795</v>
      </c>
      <c r="F257" s="2">
        <f>IFERROR(__xludf.DUMMYFUNCTION("""COMPUTED_VALUE"""),1.304902E8)</f>
        <v>130490200</v>
      </c>
      <c r="G257" s="2">
        <f t="shared" si="1"/>
        <v>50</v>
      </c>
    </row>
    <row r="258" ht="15.75" customHeight="1">
      <c r="A258" s="1">
        <f>IFERROR(__xludf.DUMMYFUNCTION("""COMPUTED_VALUE"""),44218.625)</f>
        <v>44218.625</v>
      </c>
      <c r="B258" s="2">
        <f>IFERROR(__xludf.DUMMYFUNCTION("""COMPUTED_VALUE"""),795.0)</f>
        <v>795</v>
      </c>
      <c r="C258" s="2">
        <f>IFERROR(__xludf.DUMMYFUNCTION("""COMPUTED_VALUE"""),805.0)</f>
        <v>805</v>
      </c>
      <c r="D258" s="2">
        <f>IFERROR(__xludf.DUMMYFUNCTION("""COMPUTED_VALUE"""),745.0)</f>
        <v>745</v>
      </c>
      <c r="E258" s="2">
        <f>IFERROR(__xludf.DUMMYFUNCTION("""COMPUTED_VALUE"""),765.0)</f>
        <v>765</v>
      </c>
      <c r="F258" s="2">
        <f>IFERROR(__xludf.DUMMYFUNCTION("""COMPUTED_VALUE"""),1.179118E8)</f>
        <v>117911800</v>
      </c>
      <c r="G258" s="2">
        <f t="shared" si="1"/>
        <v>60</v>
      </c>
    </row>
    <row r="259" ht="15.75" customHeight="1">
      <c r="A259" s="1">
        <f>IFERROR(__xludf.DUMMYFUNCTION("""COMPUTED_VALUE"""),44221.625)</f>
        <v>44221.625</v>
      </c>
      <c r="B259" s="2">
        <f>IFERROR(__xludf.DUMMYFUNCTION("""COMPUTED_VALUE"""),765.0)</f>
        <v>765</v>
      </c>
      <c r="C259" s="2">
        <f>IFERROR(__xludf.DUMMYFUNCTION("""COMPUTED_VALUE"""),840.0)</f>
        <v>840</v>
      </c>
      <c r="D259" s="2">
        <f>IFERROR(__xludf.DUMMYFUNCTION("""COMPUTED_VALUE"""),735.0)</f>
        <v>735</v>
      </c>
      <c r="E259" s="2">
        <f>IFERROR(__xludf.DUMMYFUNCTION("""COMPUTED_VALUE"""),840.0)</f>
        <v>840</v>
      </c>
      <c r="F259" s="2">
        <f>IFERROR(__xludf.DUMMYFUNCTION("""COMPUTED_VALUE"""),2.17393E8)</f>
        <v>217393000</v>
      </c>
      <c r="G259" s="2">
        <f t="shared" si="1"/>
        <v>105</v>
      </c>
    </row>
    <row r="260" ht="15.75" customHeight="1">
      <c r="A260" s="1">
        <f>IFERROR(__xludf.DUMMYFUNCTION("""COMPUTED_VALUE"""),44222.625)</f>
        <v>44222.625</v>
      </c>
      <c r="B260" s="2">
        <f>IFERROR(__xludf.DUMMYFUNCTION("""COMPUTED_VALUE"""),855.0)</f>
        <v>855</v>
      </c>
      <c r="C260" s="2">
        <f>IFERROR(__xludf.DUMMYFUNCTION("""COMPUTED_VALUE"""),855.0)</f>
        <v>855</v>
      </c>
      <c r="D260" s="2">
        <f>IFERROR(__xludf.DUMMYFUNCTION("""COMPUTED_VALUE"""),785.0)</f>
        <v>785</v>
      </c>
      <c r="E260" s="2">
        <f>IFERROR(__xludf.DUMMYFUNCTION("""COMPUTED_VALUE"""),785.0)</f>
        <v>785</v>
      </c>
      <c r="F260" s="2">
        <f>IFERROR(__xludf.DUMMYFUNCTION("""COMPUTED_VALUE"""),2.016644E8)</f>
        <v>201664400</v>
      </c>
      <c r="G260" s="2">
        <f t="shared" si="1"/>
        <v>70</v>
      </c>
    </row>
    <row r="261" ht="15.75" customHeight="1">
      <c r="A261" s="1">
        <f>IFERROR(__xludf.DUMMYFUNCTION("""COMPUTED_VALUE"""),44223.625)</f>
        <v>44223.625</v>
      </c>
      <c r="B261" s="2">
        <f>IFERROR(__xludf.DUMMYFUNCTION("""COMPUTED_VALUE"""),785.0)</f>
        <v>785</v>
      </c>
      <c r="C261" s="2">
        <f>IFERROR(__xludf.DUMMYFUNCTION("""COMPUTED_VALUE"""),795.0)</f>
        <v>795</v>
      </c>
      <c r="D261" s="2">
        <f>IFERROR(__xludf.DUMMYFUNCTION("""COMPUTED_VALUE"""),735.0)</f>
        <v>735</v>
      </c>
      <c r="E261" s="2">
        <f>IFERROR(__xludf.DUMMYFUNCTION("""COMPUTED_VALUE"""),770.0)</f>
        <v>770</v>
      </c>
      <c r="F261" s="2">
        <f>IFERROR(__xludf.DUMMYFUNCTION("""COMPUTED_VALUE"""),1.092024E8)</f>
        <v>109202400</v>
      </c>
      <c r="G261" s="2">
        <f t="shared" si="1"/>
        <v>60</v>
      </c>
    </row>
    <row r="262" ht="15.75" customHeight="1">
      <c r="A262" s="1">
        <f>IFERROR(__xludf.DUMMYFUNCTION("""COMPUTED_VALUE"""),44224.625)</f>
        <v>44224.625</v>
      </c>
      <c r="B262" s="2">
        <f>IFERROR(__xludf.DUMMYFUNCTION("""COMPUTED_VALUE"""),755.0)</f>
        <v>755</v>
      </c>
      <c r="C262" s="2">
        <f>IFERROR(__xludf.DUMMYFUNCTION("""COMPUTED_VALUE"""),805.0)</f>
        <v>805</v>
      </c>
      <c r="D262" s="2">
        <f>IFERROR(__xludf.DUMMYFUNCTION("""COMPUTED_VALUE"""),735.0)</f>
        <v>735</v>
      </c>
      <c r="E262" s="2">
        <f>IFERROR(__xludf.DUMMYFUNCTION("""COMPUTED_VALUE"""),745.0)</f>
        <v>745</v>
      </c>
      <c r="F262" s="2">
        <f>IFERROR(__xludf.DUMMYFUNCTION("""COMPUTED_VALUE"""),1.17934E8)</f>
        <v>117934000</v>
      </c>
      <c r="G262" s="2">
        <f t="shared" si="1"/>
        <v>70</v>
      </c>
    </row>
    <row r="263" ht="15.75" customHeight="1">
      <c r="A263" s="1">
        <f>IFERROR(__xludf.DUMMYFUNCTION("""COMPUTED_VALUE"""),44225.625)</f>
        <v>44225.625</v>
      </c>
      <c r="B263" s="2">
        <f>IFERROR(__xludf.DUMMYFUNCTION("""COMPUTED_VALUE"""),745.0)</f>
        <v>745</v>
      </c>
      <c r="C263" s="2">
        <f>IFERROR(__xludf.DUMMYFUNCTION("""COMPUTED_VALUE"""),770.0)</f>
        <v>770</v>
      </c>
      <c r="D263" s="2">
        <f>IFERROR(__xludf.DUMMYFUNCTION("""COMPUTED_VALUE"""),725.0)</f>
        <v>725</v>
      </c>
      <c r="E263" s="2">
        <f>IFERROR(__xludf.DUMMYFUNCTION("""COMPUTED_VALUE"""),760.0)</f>
        <v>760</v>
      </c>
      <c r="F263" s="2">
        <f>IFERROR(__xludf.DUMMYFUNCTION("""COMPUTED_VALUE"""),9.52633E7)</f>
        <v>95263300</v>
      </c>
      <c r="G263" s="2">
        <f t="shared" si="1"/>
        <v>45</v>
      </c>
    </row>
    <row r="264" ht="15.75" customHeight="1">
      <c r="A264" s="1">
        <f>IFERROR(__xludf.DUMMYFUNCTION("""COMPUTED_VALUE"""),44228.625)</f>
        <v>44228.625</v>
      </c>
      <c r="B264" s="2">
        <f>IFERROR(__xludf.DUMMYFUNCTION("""COMPUTED_VALUE"""),760.0)</f>
        <v>760</v>
      </c>
      <c r="C264" s="2">
        <f>IFERROR(__xludf.DUMMYFUNCTION("""COMPUTED_VALUE"""),795.0)</f>
        <v>795</v>
      </c>
      <c r="D264" s="2">
        <f>IFERROR(__xludf.DUMMYFUNCTION("""COMPUTED_VALUE"""),735.0)</f>
        <v>735</v>
      </c>
      <c r="E264" s="2">
        <f>IFERROR(__xludf.DUMMYFUNCTION("""COMPUTED_VALUE"""),790.0)</f>
        <v>790</v>
      </c>
      <c r="F264" s="2">
        <f>IFERROR(__xludf.DUMMYFUNCTION("""COMPUTED_VALUE"""),1.089157E8)</f>
        <v>108915700</v>
      </c>
      <c r="G264" s="2">
        <f t="shared" si="1"/>
        <v>60</v>
      </c>
    </row>
    <row r="265" ht="15.75" customHeight="1">
      <c r="A265" s="1">
        <f>IFERROR(__xludf.DUMMYFUNCTION("""COMPUTED_VALUE"""),44229.625)</f>
        <v>44229.625</v>
      </c>
      <c r="B265" s="2">
        <f>IFERROR(__xludf.DUMMYFUNCTION("""COMPUTED_VALUE"""),795.0)</f>
        <v>795</v>
      </c>
      <c r="C265" s="2">
        <f>IFERROR(__xludf.DUMMYFUNCTION("""COMPUTED_VALUE"""),810.0)</f>
        <v>810</v>
      </c>
      <c r="D265" s="2">
        <f>IFERROR(__xludf.DUMMYFUNCTION("""COMPUTED_VALUE"""),750.0)</f>
        <v>750</v>
      </c>
      <c r="E265" s="2">
        <f>IFERROR(__xludf.DUMMYFUNCTION("""COMPUTED_VALUE"""),755.0)</f>
        <v>755</v>
      </c>
      <c r="F265" s="2">
        <f>IFERROR(__xludf.DUMMYFUNCTION("""COMPUTED_VALUE"""),7.29689E7)</f>
        <v>72968900</v>
      </c>
      <c r="G265" s="2">
        <f t="shared" si="1"/>
        <v>60</v>
      </c>
    </row>
    <row r="266" ht="15.75" customHeight="1">
      <c r="A266" s="1">
        <f>IFERROR(__xludf.DUMMYFUNCTION("""COMPUTED_VALUE"""),44230.625)</f>
        <v>44230.625</v>
      </c>
      <c r="B266" s="2">
        <f>IFERROR(__xludf.DUMMYFUNCTION("""COMPUTED_VALUE"""),760.0)</f>
        <v>760</v>
      </c>
      <c r="C266" s="2">
        <f>IFERROR(__xludf.DUMMYFUNCTION("""COMPUTED_VALUE"""),795.0)</f>
        <v>795</v>
      </c>
      <c r="D266" s="2">
        <f>IFERROR(__xludf.DUMMYFUNCTION("""COMPUTED_VALUE"""),755.0)</f>
        <v>755</v>
      </c>
      <c r="E266" s="2">
        <f>IFERROR(__xludf.DUMMYFUNCTION("""COMPUTED_VALUE"""),785.0)</f>
        <v>785</v>
      </c>
      <c r="F266" s="2">
        <f>IFERROR(__xludf.DUMMYFUNCTION("""COMPUTED_VALUE"""),5.14763E7)</f>
        <v>51476300</v>
      </c>
      <c r="G266" s="2">
        <f t="shared" si="1"/>
        <v>40</v>
      </c>
    </row>
    <row r="267" ht="15.75" customHeight="1">
      <c r="A267" s="1">
        <f>IFERROR(__xludf.DUMMYFUNCTION("""COMPUTED_VALUE"""),44231.625)</f>
        <v>44231.625</v>
      </c>
      <c r="B267" s="2">
        <f>IFERROR(__xludf.DUMMYFUNCTION("""COMPUTED_VALUE"""),785.0)</f>
        <v>785</v>
      </c>
      <c r="C267" s="2">
        <f>IFERROR(__xludf.DUMMYFUNCTION("""COMPUTED_VALUE"""),815.0)</f>
        <v>815</v>
      </c>
      <c r="D267" s="2">
        <f>IFERROR(__xludf.DUMMYFUNCTION("""COMPUTED_VALUE"""),780.0)</f>
        <v>780</v>
      </c>
      <c r="E267" s="2">
        <f>IFERROR(__xludf.DUMMYFUNCTION("""COMPUTED_VALUE"""),800.0)</f>
        <v>800</v>
      </c>
      <c r="F267" s="2">
        <f>IFERROR(__xludf.DUMMYFUNCTION("""COMPUTED_VALUE"""),1.01604E8)</f>
        <v>101604000</v>
      </c>
      <c r="G267" s="2">
        <f t="shared" si="1"/>
        <v>35</v>
      </c>
    </row>
    <row r="268" ht="15.75" customHeight="1">
      <c r="A268" s="1">
        <f>IFERROR(__xludf.DUMMYFUNCTION("""COMPUTED_VALUE"""),44232.625)</f>
        <v>44232.625</v>
      </c>
      <c r="B268" s="2">
        <f>IFERROR(__xludf.DUMMYFUNCTION("""COMPUTED_VALUE"""),805.0)</f>
        <v>805</v>
      </c>
      <c r="C268" s="2">
        <f>IFERROR(__xludf.DUMMYFUNCTION("""COMPUTED_VALUE"""),815.0)</f>
        <v>815</v>
      </c>
      <c r="D268" s="2">
        <f>IFERROR(__xludf.DUMMYFUNCTION("""COMPUTED_VALUE"""),790.0)</f>
        <v>790</v>
      </c>
      <c r="E268" s="2">
        <f>IFERROR(__xludf.DUMMYFUNCTION("""COMPUTED_VALUE"""),800.0)</f>
        <v>800</v>
      </c>
      <c r="F268" s="2">
        <f>IFERROR(__xludf.DUMMYFUNCTION("""COMPUTED_VALUE"""),5.61615E7)</f>
        <v>56161500</v>
      </c>
      <c r="G268" s="2">
        <f t="shared" si="1"/>
        <v>25</v>
      </c>
    </row>
    <row r="269" ht="15.75" customHeight="1">
      <c r="A269" s="1">
        <f>IFERROR(__xludf.DUMMYFUNCTION("""COMPUTED_VALUE"""),44235.625)</f>
        <v>44235.625</v>
      </c>
      <c r="B269" s="2">
        <f>IFERROR(__xludf.DUMMYFUNCTION("""COMPUTED_VALUE"""),810.0)</f>
        <v>810</v>
      </c>
      <c r="C269" s="2">
        <f>IFERROR(__xludf.DUMMYFUNCTION("""COMPUTED_VALUE"""),815.0)</f>
        <v>815</v>
      </c>
      <c r="D269" s="2">
        <f>IFERROR(__xludf.DUMMYFUNCTION("""COMPUTED_VALUE"""),800.0)</f>
        <v>800</v>
      </c>
      <c r="E269" s="2">
        <f>IFERROR(__xludf.DUMMYFUNCTION("""COMPUTED_VALUE"""),810.0)</f>
        <v>810</v>
      </c>
      <c r="F269" s="2">
        <f>IFERROR(__xludf.DUMMYFUNCTION("""COMPUTED_VALUE"""),3.71518E7)</f>
        <v>37151800</v>
      </c>
      <c r="G269" s="2">
        <f t="shared" si="1"/>
        <v>15</v>
      </c>
    </row>
    <row r="270" ht="15.75" customHeight="1">
      <c r="A270" s="1">
        <f>IFERROR(__xludf.DUMMYFUNCTION("""COMPUTED_VALUE"""),44236.625)</f>
        <v>44236.625</v>
      </c>
      <c r="B270" s="2">
        <f>IFERROR(__xludf.DUMMYFUNCTION("""COMPUTED_VALUE"""),815.0)</f>
        <v>815</v>
      </c>
      <c r="C270" s="2">
        <f>IFERROR(__xludf.DUMMYFUNCTION("""COMPUTED_VALUE"""),835.0)</f>
        <v>835</v>
      </c>
      <c r="D270" s="2">
        <f>IFERROR(__xludf.DUMMYFUNCTION("""COMPUTED_VALUE"""),775.0)</f>
        <v>775</v>
      </c>
      <c r="E270" s="2">
        <f>IFERROR(__xludf.DUMMYFUNCTION("""COMPUTED_VALUE"""),790.0)</f>
        <v>790</v>
      </c>
      <c r="F270" s="2">
        <f>IFERROR(__xludf.DUMMYFUNCTION("""COMPUTED_VALUE"""),8.43842E7)</f>
        <v>84384200</v>
      </c>
      <c r="G270" s="2">
        <f t="shared" si="1"/>
        <v>60</v>
      </c>
    </row>
    <row r="271" ht="15.75" customHeight="1">
      <c r="A271" s="1">
        <f>IFERROR(__xludf.DUMMYFUNCTION("""COMPUTED_VALUE"""),44237.625)</f>
        <v>44237.625</v>
      </c>
      <c r="B271" s="2">
        <f>IFERROR(__xludf.DUMMYFUNCTION("""COMPUTED_VALUE"""),790.0)</f>
        <v>790</v>
      </c>
      <c r="C271" s="2">
        <f>IFERROR(__xludf.DUMMYFUNCTION("""COMPUTED_VALUE"""),800.0)</f>
        <v>800</v>
      </c>
      <c r="D271" s="2">
        <f>IFERROR(__xludf.DUMMYFUNCTION("""COMPUTED_VALUE"""),780.0)</f>
        <v>780</v>
      </c>
      <c r="E271" s="2">
        <f>IFERROR(__xludf.DUMMYFUNCTION("""COMPUTED_VALUE"""),790.0)</f>
        <v>790</v>
      </c>
      <c r="F271" s="2">
        <f>IFERROR(__xludf.DUMMYFUNCTION("""COMPUTED_VALUE"""),2.85934E7)</f>
        <v>28593400</v>
      </c>
      <c r="G271" s="2">
        <f t="shared" si="1"/>
        <v>20</v>
      </c>
    </row>
    <row r="272" ht="15.75" customHeight="1">
      <c r="A272" s="1">
        <f>IFERROR(__xludf.DUMMYFUNCTION("""COMPUTED_VALUE"""),44238.625)</f>
        <v>44238.625</v>
      </c>
      <c r="B272" s="2">
        <f>IFERROR(__xludf.DUMMYFUNCTION("""COMPUTED_VALUE"""),790.0)</f>
        <v>790</v>
      </c>
      <c r="C272" s="2">
        <f>IFERROR(__xludf.DUMMYFUNCTION("""COMPUTED_VALUE"""),795.0)</f>
        <v>795</v>
      </c>
      <c r="D272" s="2">
        <f>IFERROR(__xludf.DUMMYFUNCTION("""COMPUTED_VALUE"""),780.0)</f>
        <v>780</v>
      </c>
      <c r="E272" s="2">
        <f>IFERROR(__xludf.DUMMYFUNCTION("""COMPUTED_VALUE"""),785.0)</f>
        <v>785</v>
      </c>
      <c r="F272" s="2">
        <f>IFERROR(__xludf.DUMMYFUNCTION("""COMPUTED_VALUE"""),1.99487E7)</f>
        <v>19948700</v>
      </c>
      <c r="G272" s="2">
        <f t="shared" si="1"/>
        <v>15</v>
      </c>
    </row>
    <row r="273" ht="15.75" customHeight="1">
      <c r="A273" s="1">
        <f>IFERROR(__xludf.DUMMYFUNCTION("""COMPUTED_VALUE"""),44242.625)</f>
        <v>44242.625</v>
      </c>
      <c r="B273" s="2">
        <f>IFERROR(__xludf.DUMMYFUNCTION("""COMPUTED_VALUE"""),790.0)</f>
        <v>790</v>
      </c>
      <c r="C273" s="2">
        <f>IFERROR(__xludf.DUMMYFUNCTION("""COMPUTED_VALUE"""),800.0)</f>
        <v>800</v>
      </c>
      <c r="D273" s="2">
        <f>IFERROR(__xludf.DUMMYFUNCTION("""COMPUTED_VALUE"""),785.0)</f>
        <v>785</v>
      </c>
      <c r="E273" s="2">
        <f>IFERROR(__xludf.DUMMYFUNCTION("""COMPUTED_VALUE"""),785.0)</f>
        <v>785</v>
      </c>
      <c r="F273" s="2">
        <f>IFERROR(__xludf.DUMMYFUNCTION("""COMPUTED_VALUE"""),2.32205E7)</f>
        <v>23220500</v>
      </c>
      <c r="G273" s="2">
        <f t="shared" si="1"/>
        <v>15</v>
      </c>
    </row>
    <row r="274" ht="15.75" customHeight="1">
      <c r="A274" s="1">
        <f>IFERROR(__xludf.DUMMYFUNCTION("""COMPUTED_VALUE"""),44243.625)</f>
        <v>44243.625</v>
      </c>
      <c r="B274" s="2">
        <f>IFERROR(__xludf.DUMMYFUNCTION("""COMPUTED_VALUE"""),795.0)</f>
        <v>795</v>
      </c>
      <c r="C274" s="2">
        <f>IFERROR(__xludf.DUMMYFUNCTION("""COMPUTED_VALUE"""),800.0)</f>
        <v>800</v>
      </c>
      <c r="D274" s="2">
        <f>IFERROR(__xludf.DUMMYFUNCTION("""COMPUTED_VALUE"""),785.0)</f>
        <v>785</v>
      </c>
      <c r="E274" s="2">
        <f>IFERROR(__xludf.DUMMYFUNCTION("""COMPUTED_VALUE"""),795.0)</f>
        <v>795</v>
      </c>
      <c r="F274" s="2">
        <f>IFERROR(__xludf.DUMMYFUNCTION("""COMPUTED_VALUE"""),2.88298E7)</f>
        <v>28829800</v>
      </c>
      <c r="G274" s="2">
        <f t="shared" si="1"/>
        <v>15</v>
      </c>
    </row>
    <row r="275" ht="15.75" customHeight="1">
      <c r="A275" s="1">
        <f>IFERROR(__xludf.DUMMYFUNCTION("""COMPUTED_VALUE"""),44244.625)</f>
        <v>44244.625</v>
      </c>
      <c r="B275" s="2">
        <f>IFERROR(__xludf.DUMMYFUNCTION("""COMPUTED_VALUE"""),790.0)</f>
        <v>790</v>
      </c>
      <c r="C275" s="2">
        <f>IFERROR(__xludf.DUMMYFUNCTION("""COMPUTED_VALUE"""),800.0)</f>
        <v>800</v>
      </c>
      <c r="D275" s="2">
        <f>IFERROR(__xludf.DUMMYFUNCTION("""COMPUTED_VALUE"""),780.0)</f>
        <v>780</v>
      </c>
      <c r="E275" s="2">
        <f>IFERROR(__xludf.DUMMYFUNCTION("""COMPUTED_VALUE"""),780.0)</f>
        <v>780</v>
      </c>
      <c r="F275" s="2">
        <f>IFERROR(__xludf.DUMMYFUNCTION("""COMPUTED_VALUE"""),2.54471E7)</f>
        <v>25447100</v>
      </c>
      <c r="G275" s="2">
        <f t="shared" si="1"/>
        <v>20</v>
      </c>
    </row>
    <row r="276" ht="15.75" customHeight="1">
      <c r="A276" s="1">
        <f>IFERROR(__xludf.DUMMYFUNCTION("""COMPUTED_VALUE"""),44245.625)</f>
        <v>44245.625</v>
      </c>
      <c r="B276" s="2">
        <f>IFERROR(__xludf.DUMMYFUNCTION("""COMPUTED_VALUE"""),775.0)</f>
        <v>775</v>
      </c>
      <c r="C276" s="2">
        <f>IFERROR(__xludf.DUMMYFUNCTION("""COMPUTED_VALUE"""),825.0)</f>
        <v>825</v>
      </c>
      <c r="D276" s="2">
        <f>IFERROR(__xludf.DUMMYFUNCTION("""COMPUTED_VALUE"""),775.0)</f>
        <v>775</v>
      </c>
      <c r="E276" s="2">
        <f>IFERROR(__xludf.DUMMYFUNCTION("""COMPUTED_VALUE"""),810.0)</f>
        <v>810</v>
      </c>
      <c r="F276" s="2">
        <f>IFERROR(__xludf.DUMMYFUNCTION("""COMPUTED_VALUE"""),8.4401E7)</f>
        <v>84401000</v>
      </c>
      <c r="G276" s="2">
        <f t="shared" si="1"/>
        <v>50</v>
      </c>
    </row>
    <row r="277" ht="15.75" customHeight="1">
      <c r="A277" s="1">
        <f>IFERROR(__xludf.DUMMYFUNCTION("""COMPUTED_VALUE"""),44246.625)</f>
        <v>44246.625</v>
      </c>
      <c r="B277" s="2">
        <f>IFERROR(__xludf.DUMMYFUNCTION("""COMPUTED_VALUE"""),815.0)</f>
        <v>815</v>
      </c>
      <c r="C277" s="2">
        <f>IFERROR(__xludf.DUMMYFUNCTION("""COMPUTED_VALUE"""),815.0)</f>
        <v>815</v>
      </c>
      <c r="D277" s="2">
        <f>IFERROR(__xludf.DUMMYFUNCTION("""COMPUTED_VALUE"""),795.0)</f>
        <v>795</v>
      </c>
      <c r="E277" s="2">
        <f>IFERROR(__xludf.DUMMYFUNCTION("""COMPUTED_VALUE"""),805.0)</f>
        <v>805</v>
      </c>
      <c r="F277" s="2">
        <f>IFERROR(__xludf.DUMMYFUNCTION("""COMPUTED_VALUE"""),2.96429E7)</f>
        <v>29642900</v>
      </c>
      <c r="G277" s="2">
        <f t="shared" si="1"/>
        <v>20</v>
      </c>
    </row>
    <row r="278" ht="15.75" customHeight="1">
      <c r="A278" s="1">
        <f>IFERROR(__xludf.DUMMYFUNCTION("""COMPUTED_VALUE"""),44249.625)</f>
        <v>44249.625</v>
      </c>
      <c r="B278" s="2">
        <f>IFERROR(__xludf.DUMMYFUNCTION("""COMPUTED_VALUE"""),810.0)</f>
        <v>810</v>
      </c>
      <c r="C278" s="2">
        <f>IFERROR(__xludf.DUMMYFUNCTION("""COMPUTED_VALUE"""),825.0)</f>
        <v>825</v>
      </c>
      <c r="D278" s="2">
        <f>IFERROR(__xludf.DUMMYFUNCTION("""COMPUTED_VALUE"""),800.0)</f>
        <v>800</v>
      </c>
      <c r="E278" s="2">
        <f>IFERROR(__xludf.DUMMYFUNCTION("""COMPUTED_VALUE"""),805.0)</f>
        <v>805</v>
      </c>
      <c r="F278" s="2">
        <f>IFERROR(__xludf.DUMMYFUNCTION("""COMPUTED_VALUE"""),4.98088E7)</f>
        <v>49808800</v>
      </c>
      <c r="G278" s="2">
        <f t="shared" si="1"/>
        <v>25</v>
      </c>
    </row>
    <row r="279" ht="15.75" customHeight="1">
      <c r="A279" s="1">
        <f>IFERROR(__xludf.DUMMYFUNCTION("""COMPUTED_VALUE"""),44250.66666666667)</f>
        <v>44250.66667</v>
      </c>
      <c r="B279" s="2">
        <f>IFERROR(__xludf.DUMMYFUNCTION("""COMPUTED_VALUE"""),810.0)</f>
        <v>810</v>
      </c>
      <c r="C279" s="2">
        <f>IFERROR(__xludf.DUMMYFUNCTION("""COMPUTED_VALUE"""),810.0)</f>
        <v>810</v>
      </c>
      <c r="D279" s="2">
        <f>IFERROR(__xludf.DUMMYFUNCTION("""COMPUTED_VALUE"""),800.0)</f>
        <v>800</v>
      </c>
      <c r="E279" s="2">
        <f>IFERROR(__xludf.DUMMYFUNCTION("""COMPUTED_VALUE"""),810.0)</f>
        <v>810</v>
      </c>
      <c r="F279" s="2">
        <f>IFERROR(__xludf.DUMMYFUNCTION("""COMPUTED_VALUE"""),2.00697E7)</f>
        <v>20069700</v>
      </c>
      <c r="G279" s="2">
        <f t="shared" si="1"/>
        <v>10</v>
      </c>
    </row>
    <row r="280" ht="15.75" customHeight="1">
      <c r="A280" s="1">
        <f>IFERROR(__xludf.DUMMYFUNCTION("""COMPUTED_VALUE"""),44251.625)</f>
        <v>44251.625</v>
      </c>
      <c r="B280" s="2">
        <f>IFERROR(__xludf.DUMMYFUNCTION("""COMPUTED_VALUE"""),810.0)</f>
        <v>810</v>
      </c>
      <c r="C280" s="2">
        <f>IFERROR(__xludf.DUMMYFUNCTION("""COMPUTED_VALUE"""),885.0)</f>
        <v>885</v>
      </c>
      <c r="D280" s="2">
        <f>IFERROR(__xludf.DUMMYFUNCTION("""COMPUTED_VALUE"""),805.0)</f>
        <v>805</v>
      </c>
      <c r="E280" s="2">
        <f>IFERROR(__xludf.DUMMYFUNCTION("""COMPUTED_VALUE"""),885.0)</f>
        <v>885</v>
      </c>
      <c r="F280" s="2">
        <f>IFERROR(__xludf.DUMMYFUNCTION("""COMPUTED_VALUE"""),2.143604E8)</f>
        <v>214360400</v>
      </c>
      <c r="G280" s="2">
        <f t="shared" si="1"/>
        <v>80</v>
      </c>
    </row>
    <row r="281" ht="15.75" customHeight="1">
      <c r="A281" s="1">
        <f>IFERROR(__xludf.DUMMYFUNCTION("""COMPUTED_VALUE"""),44252.625)</f>
        <v>44252.625</v>
      </c>
      <c r="B281" s="2">
        <f>IFERROR(__xludf.DUMMYFUNCTION("""COMPUTED_VALUE"""),885.0)</f>
        <v>885</v>
      </c>
      <c r="C281" s="2">
        <f>IFERROR(__xludf.DUMMYFUNCTION("""COMPUTED_VALUE"""),900.0)</f>
        <v>900</v>
      </c>
      <c r="D281" s="2">
        <f>IFERROR(__xludf.DUMMYFUNCTION("""COMPUTED_VALUE"""),850.0)</f>
        <v>850</v>
      </c>
      <c r="E281" s="2">
        <f>IFERROR(__xludf.DUMMYFUNCTION("""COMPUTED_VALUE"""),855.0)</f>
        <v>855</v>
      </c>
      <c r="F281" s="2">
        <f>IFERROR(__xludf.DUMMYFUNCTION("""COMPUTED_VALUE"""),1.223664E8)</f>
        <v>122366400</v>
      </c>
      <c r="G281" s="2">
        <f t="shared" si="1"/>
        <v>50</v>
      </c>
    </row>
    <row r="282" ht="15.75" customHeight="1">
      <c r="A282" s="1">
        <f>IFERROR(__xludf.DUMMYFUNCTION("""COMPUTED_VALUE"""),44253.625)</f>
        <v>44253.625</v>
      </c>
      <c r="B282" s="2">
        <f>IFERROR(__xludf.DUMMYFUNCTION("""COMPUTED_VALUE"""),840.0)</f>
        <v>840</v>
      </c>
      <c r="C282" s="2">
        <f>IFERROR(__xludf.DUMMYFUNCTION("""COMPUTED_VALUE"""),860.0)</f>
        <v>860</v>
      </c>
      <c r="D282" s="2">
        <f>IFERROR(__xludf.DUMMYFUNCTION("""COMPUTED_VALUE"""),830.0)</f>
        <v>830</v>
      </c>
      <c r="E282" s="2">
        <f>IFERROR(__xludf.DUMMYFUNCTION("""COMPUTED_VALUE"""),845.0)</f>
        <v>845</v>
      </c>
      <c r="F282" s="2">
        <f>IFERROR(__xludf.DUMMYFUNCTION("""COMPUTED_VALUE"""),6.38122E7)</f>
        <v>63812200</v>
      </c>
      <c r="G282" s="2">
        <f t="shared" si="1"/>
        <v>30</v>
      </c>
    </row>
    <row r="283" ht="15.75" customHeight="1">
      <c r="A283" s="1">
        <f>IFERROR(__xludf.DUMMYFUNCTION("""COMPUTED_VALUE"""),44256.625)</f>
        <v>44256.625</v>
      </c>
      <c r="B283" s="2">
        <f>IFERROR(__xludf.DUMMYFUNCTION("""COMPUTED_VALUE"""),850.0)</f>
        <v>850</v>
      </c>
      <c r="C283" s="2">
        <f>IFERROR(__xludf.DUMMYFUNCTION("""COMPUTED_VALUE"""),870.0)</f>
        <v>870</v>
      </c>
      <c r="D283" s="2">
        <f>IFERROR(__xludf.DUMMYFUNCTION("""COMPUTED_VALUE"""),840.0)</f>
        <v>840</v>
      </c>
      <c r="E283" s="2">
        <f>IFERROR(__xludf.DUMMYFUNCTION("""COMPUTED_VALUE"""),855.0)</f>
        <v>855</v>
      </c>
      <c r="F283" s="2">
        <f>IFERROR(__xludf.DUMMYFUNCTION("""COMPUTED_VALUE"""),4.12022E7)</f>
        <v>41202200</v>
      </c>
      <c r="G283" s="2">
        <f t="shared" si="1"/>
        <v>30</v>
      </c>
    </row>
    <row r="284" ht="15.75" customHeight="1">
      <c r="A284" s="1">
        <f>IFERROR(__xludf.DUMMYFUNCTION("""COMPUTED_VALUE"""),44257.625)</f>
        <v>44257.625</v>
      </c>
      <c r="B284" s="2">
        <f>IFERROR(__xludf.DUMMYFUNCTION("""COMPUTED_VALUE"""),855.0)</f>
        <v>855</v>
      </c>
      <c r="C284" s="2">
        <f>IFERROR(__xludf.DUMMYFUNCTION("""COMPUTED_VALUE"""),860.0)</f>
        <v>860</v>
      </c>
      <c r="D284" s="2">
        <f>IFERROR(__xludf.DUMMYFUNCTION("""COMPUTED_VALUE"""),840.0)</f>
        <v>840</v>
      </c>
      <c r="E284" s="2">
        <f>IFERROR(__xludf.DUMMYFUNCTION("""COMPUTED_VALUE"""),840.0)</f>
        <v>840</v>
      </c>
      <c r="F284" s="2">
        <f>IFERROR(__xludf.DUMMYFUNCTION("""COMPUTED_VALUE"""),2.17718E7)</f>
        <v>21771800</v>
      </c>
      <c r="G284" s="2">
        <f t="shared" si="1"/>
        <v>20</v>
      </c>
    </row>
    <row r="285" ht="15.75" customHeight="1">
      <c r="A285" s="1">
        <f>IFERROR(__xludf.DUMMYFUNCTION("""COMPUTED_VALUE"""),44258.625)</f>
        <v>44258.625</v>
      </c>
      <c r="B285" s="2">
        <f>IFERROR(__xludf.DUMMYFUNCTION("""COMPUTED_VALUE"""),845.0)</f>
        <v>845</v>
      </c>
      <c r="C285" s="2">
        <f>IFERROR(__xludf.DUMMYFUNCTION("""COMPUTED_VALUE"""),880.0)</f>
        <v>880</v>
      </c>
      <c r="D285" s="2">
        <f>IFERROR(__xludf.DUMMYFUNCTION("""COMPUTED_VALUE"""),840.0)</f>
        <v>840</v>
      </c>
      <c r="E285" s="2">
        <f>IFERROR(__xludf.DUMMYFUNCTION("""COMPUTED_VALUE"""),865.0)</f>
        <v>865</v>
      </c>
      <c r="F285" s="2">
        <f>IFERROR(__xludf.DUMMYFUNCTION("""COMPUTED_VALUE"""),6.60216E7)</f>
        <v>66021600</v>
      </c>
      <c r="G285" s="2">
        <f t="shared" si="1"/>
        <v>40</v>
      </c>
    </row>
    <row r="286" ht="15.75" customHeight="1">
      <c r="A286" s="1">
        <f>IFERROR(__xludf.DUMMYFUNCTION("""COMPUTED_VALUE"""),44259.625)</f>
        <v>44259.625</v>
      </c>
      <c r="B286" s="2">
        <f>IFERROR(__xludf.DUMMYFUNCTION("""COMPUTED_VALUE"""),865.0)</f>
        <v>865</v>
      </c>
      <c r="C286" s="2">
        <f>IFERROR(__xludf.DUMMYFUNCTION("""COMPUTED_VALUE"""),910.0)</f>
        <v>910</v>
      </c>
      <c r="D286" s="2">
        <f>IFERROR(__xludf.DUMMYFUNCTION("""COMPUTED_VALUE"""),850.0)</f>
        <v>850</v>
      </c>
      <c r="E286" s="2">
        <f>IFERROR(__xludf.DUMMYFUNCTION("""COMPUTED_VALUE"""),860.0)</f>
        <v>860</v>
      </c>
      <c r="F286" s="2">
        <f>IFERROR(__xludf.DUMMYFUNCTION("""COMPUTED_VALUE"""),1.248133E8)</f>
        <v>124813300</v>
      </c>
      <c r="G286" s="2">
        <f t="shared" si="1"/>
        <v>60</v>
      </c>
    </row>
    <row r="287" ht="15.75" customHeight="1">
      <c r="A287" s="1">
        <f>IFERROR(__xludf.DUMMYFUNCTION("""COMPUTED_VALUE"""),44260.625)</f>
        <v>44260.625</v>
      </c>
      <c r="B287" s="2">
        <f>IFERROR(__xludf.DUMMYFUNCTION("""COMPUTED_VALUE"""),855.0)</f>
        <v>855</v>
      </c>
      <c r="C287" s="2">
        <f>IFERROR(__xludf.DUMMYFUNCTION("""COMPUTED_VALUE"""),860.0)</f>
        <v>860</v>
      </c>
      <c r="D287" s="2">
        <f>IFERROR(__xludf.DUMMYFUNCTION("""COMPUTED_VALUE"""),835.0)</f>
        <v>835</v>
      </c>
      <c r="E287" s="2">
        <f>IFERROR(__xludf.DUMMYFUNCTION("""COMPUTED_VALUE"""),835.0)</f>
        <v>835</v>
      </c>
      <c r="F287" s="2">
        <f>IFERROR(__xludf.DUMMYFUNCTION("""COMPUTED_VALUE"""),5.53189E7)</f>
        <v>55318900</v>
      </c>
      <c r="G287" s="2">
        <f t="shared" si="1"/>
        <v>25</v>
      </c>
    </row>
    <row r="288" ht="15.75" customHeight="1">
      <c r="A288" s="1">
        <f>IFERROR(__xludf.DUMMYFUNCTION("""COMPUTED_VALUE"""),44263.66666666667)</f>
        <v>44263.66667</v>
      </c>
      <c r="B288" s="2">
        <f>IFERROR(__xludf.DUMMYFUNCTION("""COMPUTED_VALUE"""),850.0)</f>
        <v>850</v>
      </c>
      <c r="C288" s="2">
        <f>IFERROR(__xludf.DUMMYFUNCTION("""COMPUTED_VALUE"""),850.0)</f>
        <v>850</v>
      </c>
      <c r="D288" s="2">
        <f>IFERROR(__xludf.DUMMYFUNCTION("""COMPUTED_VALUE"""),815.0)</f>
        <v>815</v>
      </c>
      <c r="E288" s="2">
        <f>IFERROR(__xludf.DUMMYFUNCTION("""COMPUTED_VALUE"""),830.0)</f>
        <v>830</v>
      </c>
      <c r="F288" s="2">
        <f>IFERROR(__xludf.DUMMYFUNCTION("""COMPUTED_VALUE"""),5.14352E7)</f>
        <v>51435200</v>
      </c>
      <c r="G288" s="2">
        <f t="shared" si="1"/>
        <v>35</v>
      </c>
    </row>
    <row r="289" ht="15.75" customHeight="1">
      <c r="A289" s="1">
        <f>IFERROR(__xludf.DUMMYFUNCTION("""COMPUTED_VALUE"""),44264.625)</f>
        <v>44264.625</v>
      </c>
      <c r="B289" s="2">
        <f>IFERROR(__xludf.DUMMYFUNCTION("""COMPUTED_VALUE"""),835.0)</f>
        <v>835</v>
      </c>
      <c r="C289" s="2">
        <f>IFERROR(__xludf.DUMMYFUNCTION("""COMPUTED_VALUE"""),845.0)</f>
        <v>845</v>
      </c>
      <c r="D289" s="2">
        <f>IFERROR(__xludf.DUMMYFUNCTION("""COMPUTED_VALUE"""),805.0)</f>
        <v>805</v>
      </c>
      <c r="E289" s="2">
        <f>IFERROR(__xludf.DUMMYFUNCTION("""COMPUTED_VALUE"""),820.0)</f>
        <v>820</v>
      </c>
      <c r="F289" s="2">
        <f>IFERROR(__xludf.DUMMYFUNCTION("""COMPUTED_VALUE"""),3.47691E7)</f>
        <v>34769100</v>
      </c>
      <c r="G289" s="2">
        <f t="shared" si="1"/>
        <v>40</v>
      </c>
    </row>
    <row r="290" ht="15.75" customHeight="1">
      <c r="A290" s="1">
        <f>IFERROR(__xludf.DUMMYFUNCTION("""COMPUTED_VALUE"""),44265.625)</f>
        <v>44265.625</v>
      </c>
      <c r="B290" s="2">
        <f>IFERROR(__xludf.DUMMYFUNCTION("""COMPUTED_VALUE"""),825.0)</f>
        <v>825</v>
      </c>
      <c r="C290" s="2">
        <f>IFERROR(__xludf.DUMMYFUNCTION("""COMPUTED_VALUE"""),835.0)</f>
        <v>835</v>
      </c>
      <c r="D290" s="2">
        <f>IFERROR(__xludf.DUMMYFUNCTION("""COMPUTED_VALUE"""),820.0)</f>
        <v>820</v>
      </c>
      <c r="E290" s="2">
        <f>IFERROR(__xludf.DUMMYFUNCTION("""COMPUTED_VALUE"""),825.0)</f>
        <v>825</v>
      </c>
      <c r="F290" s="2">
        <f>IFERROR(__xludf.DUMMYFUNCTION("""COMPUTED_VALUE"""),2.20276E7)</f>
        <v>22027600</v>
      </c>
      <c r="G290" s="2">
        <f t="shared" si="1"/>
        <v>15</v>
      </c>
    </row>
    <row r="291" ht="15.75" customHeight="1">
      <c r="A291" s="1">
        <f>IFERROR(__xludf.DUMMYFUNCTION("""COMPUTED_VALUE"""),44267.625)</f>
        <v>44267.625</v>
      </c>
      <c r="B291" s="2">
        <f>IFERROR(__xludf.DUMMYFUNCTION("""COMPUTED_VALUE"""),830.0)</f>
        <v>830</v>
      </c>
      <c r="C291" s="2">
        <f>IFERROR(__xludf.DUMMYFUNCTION("""COMPUTED_VALUE"""),845.0)</f>
        <v>845</v>
      </c>
      <c r="D291" s="2">
        <f>IFERROR(__xludf.DUMMYFUNCTION("""COMPUTED_VALUE"""),830.0)</f>
        <v>830</v>
      </c>
      <c r="E291" s="2">
        <f>IFERROR(__xludf.DUMMYFUNCTION("""COMPUTED_VALUE"""),835.0)</f>
        <v>835</v>
      </c>
      <c r="F291" s="2">
        <f>IFERROR(__xludf.DUMMYFUNCTION("""COMPUTED_VALUE"""),3.33683E7)</f>
        <v>33368300</v>
      </c>
      <c r="G291" s="2">
        <f t="shared" si="1"/>
        <v>20</v>
      </c>
    </row>
    <row r="292" ht="15.75" customHeight="1">
      <c r="A292" s="1">
        <f>IFERROR(__xludf.DUMMYFUNCTION("""COMPUTED_VALUE"""),44270.625)</f>
        <v>44270.625</v>
      </c>
      <c r="B292" s="2">
        <f>IFERROR(__xludf.DUMMYFUNCTION("""COMPUTED_VALUE"""),835.0)</f>
        <v>835</v>
      </c>
      <c r="C292" s="2">
        <f>IFERROR(__xludf.DUMMYFUNCTION("""COMPUTED_VALUE"""),840.0)</f>
        <v>840</v>
      </c>
      <c r="D292" s="2">
        <f>IFERROR(__xludf.DUMMYFUNCTION("""COMPUTED_VALUE"""),830.0)</f>
        <v>830</v>
      </c>
      <c r="E292" s="2">
        <f>IFERROR(__xludf.DUMMYFUNCTION("""COMPUTED_VALUE"""),840.0)</f>
        <v>840</v>
      </c>
      <c r="F292" s="2">
        <f>IFERROR(__xludf.DUMMYFUNCTION("""COMPUTED_VALUE"""),2.0056E7)</f>
        <v>20056000</v>
      </c>
      <c r="G292" s="2">
        <f t="shared" si="1"/>
        <v>10</v>
      </c>
    </row>
    <row r="293" ht="15.75" customHeight="1">
      <c r="A293" s="1">
        <f>IFERROR(__xludf.DUMMYFUNCTION("""COMPUTED_VALUE"""),44271.625)</f>
        <v>44271.625</v>
      </c>
      <c r="B293" s="2">
        <f>IFERROR(__xludf.DUMMYFUNCTION("""COMPUTED_VALUE"""),840.0)</f>
        <v>840</v>
      </c>
      <c r="C293" s="2">
        <f>IFERROR(__xludf.DUMMYFUNCTION("""COMPUTED_VALUE"""),885.0)</f>
        <v>885</v>
      </c>
      <c r="D293" s="2">
        <f>IFERROR(__xludf.DUMMYFUNCTION("""COMPUTED_VALUE"""),835.0)</f>
        <v>835</v>
      </c>
      <c r="E293" s="2">
        <f>IFERROR(__xludf.DUMMYFUNCTION("""COMPUTED_VALUE"""),880.0)</f>
        <v>880</v>
      </c>
      <c r="F293" s="2">
        <f>IFERROR(__xludf.DUMMYFUNCTION("""COMPUTED_VALUE"""),1.035408E8)</f>
        <v>103540800</v>
      </c>
      <c r="G293" s="2">
        <f t="shared" si="1"/>
        <v>50</v>
      </c>
    </row>
    <row r="294" ht="15.75" customHeight="1">
      <c r="A294" s="1">
        <f>IFERROR(__xludf.DUMMYFUNCTION("""COMPUTED_VALUE"""),44272.625)</f>
        <v>44272.625</v>
      </c>
      <c r="B294" s="2">
        <f>IFERROR(__xludf.DUMMYFUNCTION("""COMPUTED_VALUE"""),880.0)</f>
        <v>880</v>
      </c>
      <c r="C294" s="2">
        <f>IFERROR(__xludf.DUMMYFUNCTION("""COMPUTED_VALUE"""),880.0)</f>
        <v>880</v>
      </c>
      <c r="D294" s="2">
        <f>IFERROR(__xludf.DUMMYFUNCTION("""COMPUTED_VALUE"""),850.0)</f>
        <v>850</v>
      </c>
      <c r="E294" s="2">
        <f>IFERROR(__xludf.DUMMYFUNCTION("""COMPUTED_VALUE"""),850.0)</f>
        <v>850</v>
      </c>
      <c r="F294" s="2">
        <f>IFERROR(__xludf.DUMMYFUNCTION("""COMPUTED_VALUE"""),3.82699E7)</f>
        <v>38269900</v>
      </c>
      <c r="G294" s="2">
        <f t="shared" si="1"/>
        <v>30</v>
      </c>
    </row>
    <row r="295" ht="15.75" customHeight="1">
      <c r="A295" s="1">
        <f>IFERROR(__xludf.DUMMYFUNCTION("""COMPUTED_VALUE"""),44273.625)</f>
        <v>44273.625</v>
      </c>
      <c r="B295" s="2">
        <f>IFERROR(__xludf.DUMMYFUNCTION("""COMPUTED_VALUE"""),855.0)</f>
        <v>855</v>
      </c>
      <c r="C295" s="2">
        <f>IFERROR(__xludf.DUMMYFUNCTION("""COMPUTED_VALUE"""),860.0)</f>
        <v>860</v>
      </c>
      <c r="D295" s="2">
        <f>IFERROR(__xludf.DUMMYFUNCTION("""COMPUTED_VALUE"""),845.0)</f>
        <v>845</v>
      </c>
      <c r="E295" s="2">
        <f>IFERROR(__xludf.DUMMYFUNCTION("""COMPUTED_VALUE"""),855.0)</f>
        <v>855</v>
      </c>
      <c r="F295" s="2">
        <f>IFERROR(__xludf.DUMMYFUNCTION("""COMPUTED_VALUE"""),1.325E7)</f>
        <v>13250000</v>
      </c>
      <c r="G295" s="2">
        <f t="shared" si="1"/>
        <v>15</v>
      </c>
    </row>
    <row r="296" ht="15.75" customHeight="1">
      <c r="A296" s="1">
        <f>IFERROR(__xludf.DUMMYFUNCTION("""COMPUTED_VALUE"""),44274.625)</f>
        <v>44274.625</v>
      </c>
      <c r="B296" s="2">
        <f>IFERROR(__xludf.DUMMYFUNCTION("""COMPUTED_VALUE"""),855.0)</f>
        <v>855</v>
      </c>
      <c r="C296" s="2">
        <f>IFERROR(__xludf.DUMMYFUNCTION("""COMPUTED_VALUE"""),860.0)</f>
        <v>860</v>
      </c>
      <c r="D296" s="2">
        <f>IFERROR(__xludf.DUMMYFUNCTION("""COMPUTED_VALUE"""),840.0)</f>
        <v>840</v>
      </c>
      <c r="E296" s="2">
        <f>IFERROR(__xludf.DUMMYFUNCTION("""COMPUTED_VALUE"""),840.0)</f>
        <v>840</v>
      </c>
      <c r="F296" s="2">
        <f>IFERROR(__xludf.DUMMYFUNCTION("""COMPUTED_VALUE"""),2.29067E7)</f>
        <v>22906700</v>
      </c>
      <c r="G296" s="2">
        <f t="shared" si="1"/>
        <v>20</v>
      </c>
    </row>
    <row r="297" ht="15.75" customHeight="1">
      <c r="A297" s="1">
        <f>IFERROR(__xludf.DUMMYFUNCTION("""COMPUTED_VALUE"""),44277.625)</f>
        <v>44277.625</v>
      </c>
      <c r="B297" s="2">
        <f>IFERROR(__xludf.DUMMYFUNCTION("""COMPUTED_VALUE"""),845.0)</f>
        <v>845</v>
      </c>
      <c r="C297" s="2">
        <f>IFERROR(__xludf.DUMMYFUNCTION("""COMPUTED_VALUE"""),850.0)</f>
        <v>850</v>
      </c>
      <c r="D297" s="2">
        <f>IFERROR(__xludf.DUMMYFUNCTION("""COMPUTED_VALUE"""),830.0)</f>
        <v>830</v>
      </c>
      <c r="E297" s="2">
        <f>IFERROR(__xludf.DUMMYFUNCTION("""COMPUTED_VALUE"""),835.0)</f>
        <v>835</v>
      </c>
      <c r="F297" s="2">
        <f>IFERROR(__xludf.DUMMYFUNCTION("""COMPUTED_VALUE"""),2.5678E7)</f>
        <v>25678000</v>
      </c>
      <c r="G297" s="2">
        <f t="shared" si="1"/>
        <v>20</v>
      </c>
    </row>
    <row r="298" ht="15.75" customHeight="1">
      <c r="A298" s="1">
        <f>IFERROR(__xludf.DUMMYFUNCTION("""COMPUTED_VALUE"""),44278.625)</f>
        <v>44278.625</v>
      </c>
      <c r="B298" s="2">
        <f>IFERROR(__xludf.DUMMYFUNCTION("""COMPUTED_VALUE"""),835.0)</f>
        <v>835</v>
      </c>
      <c r="C298" s="2">
        <f>IFERROR(__xludf.DUMMYFUNCTION("""COMPUTED_VALUE"""),845.0)</f>
        <v>845</v>
      </c>
      <c r="D298" s="2">
        <f>IFERROR(__xludf.DUMMYFUNCTION("""COMPUTED_VALUE"""),830.0)</f>
        <v>830</v>
      </c>
      <c r="E298" s="2">
        <f>IFERROR(__xludf.DUMMYFUNCTION("""COMPUTED_VALUE"""),830.0)</f>
        <v>830</v>
      </c>
      <c r="F298" s="2">
        <f>IFERROR(__xludf.DUMMYFUNCTION("""COMPUTED_VALUE"""),2.75132E7)</f>
        <v>27513200</v>
      </c>
      <c r="G298" s="2">
        <f t="shared" si="1"/>
        <v>15</v>
      </c>
    </row>
    <row r="299" ht="15.75" customHeight="1">
      <c r="A299" s="1">
        <f>IFERROR(__xludf.DUMMYFUNCTION("""COMPUTED_VALUE"""),44279.625)</f>
        <v>44279.625</v>
      </c>
      <c r="B299" s="2">
        <f>IFERROR(__xludf.DUMMYFUNCTION("""COMPUTED_VALUE"""),835.0)</f>
        <v>835</v>
      </c>
      <c r="C299" s="2">
        <f>IFERROR(__xludf.DUMMYFUNCTION("""COMPUTED_VALUE"""),835.0)</f>
        <v>835</v>
      </c>
      <c r="D299" s="2">
        <f>IFERROR(__xludf.DUMMYFUNCTION("""COMPUTED_VALUE"""),810.0)</f>
        <v>810</v>
      </c>
      <c r="E299" s="2">
        <f>IFERROR(__xludf.DUMMYFUNCTION("""COMPUTED_VALUE"""),810.0)</f>
        <v>810</v>
      </c>
      <c r="F299" s="2">
        <f>IFERROR(__xludf.DUMMYFUNCTION("""COMPUTED_VALUE"""),2.92916E7)</f>
        <v>29291600</v>
      </c>
      <c r="G299" s="2">
        <f t="shared" si="1"/>
        <v>25</v>
      </c>
    </row>
    <row r="300" ht="15.75" customHeight="1">
      <c r="A300" s="1">
        <f>IFERROR(__xludf.DUMMYFUNCTION("""COMPUTED_VALUE"""),44280.625)</f>
        <v>44280.625</v>
      </c>
      <c r="B300" s="2">
        <f>IFERROR(__xludf.DUMMYFUNCTION("""COMPUTED_VALUE"""),810.0)</f>
        <v>810</v>
      </c>
      <c r="C300" s="2">
        <f>IFERROR(__xludf.DUMMYFUNCTION("""COMPUTED_VALUE"""),825.0)</f>
        <v>825</v>
      </c>
      <c r="D300" s="2">
        <f>IFERROR(__xludf.DUMMYFUNCTION("""COMPUTED_VALUE"""),785.0)</f>
        <v>785</v>
      </c>
      <c r="E300" s="2">
        <f>IFERROR(__xludf.DUMMYFUNCTION("""COMPUTED_VALUE"""),790.0)</f>
        <v>790</v>
      </c>
      <c r="F300" s="2">
        <f>IFERROR(__xludf.DUMMYFUNCTION("""COMPUTED_VALUE"""),4.69038E7)</f>
        <v>46903800</v>
      </c>
      <c r="G300" s="2">
        <f t="shared" si="1"/>
        <v>40</v>
      </c>
    </row>
    <row r="301" ht="15.75" customHeight="1">
      <c r="A301" s="1">
        <f>IFERROR(__xludf.DUMMYFUNCTION("""COMPUTED_VALUE"""),44281.625)</f>
        <v>44281.625</v>
      </c>
      <c r="B301" s="2">
        <f>IFERROR(__xludf.DUMMYFUNCTION("""COMPUTED_VALUE"""),800.0)</f>
        <v>800</v>
      </c>
      <c r="C301" s="2">
        <f>IFERROR(__xludf.DUMMYFUNCTION("""COMPUTED_VALUE"""),805.0)</f>
        <v>805</v>
      </c>
      <c r="D301" s="2">
        <f>IFERROR(__xludf.DUMMYFUNCTION("""COMPUTED_VALUE"""),790.0)</f>
        <v>790</v>
      </c>
      <c r="E301" s="2">
        <f>IFERROR(__xludf.DUMMYFUNCTION("""COMPUTED_VALUE"""),805.0)</f>
        <v>805</v>
      </c>
      <c r="F301" s="2">
        <f>IFERROR(__xludf.DUMMYFUNCTION("""COMPUTED_VALUE"""),3.80711E7)</f>
        <v>38071100</v>
      </c>
      <c r="G301" s="2">
        <f t="shared" si="1"/>
        <v>15</v>
      </c>
    </row>
    <row r="302" ht="15.75" customHeight="1">
      <c r="A302" s="1">
        <f>IFERROR(__xludf.DUMMYFUNCTION("""COMPUTED_VALUE"""),44284.625)</f>
        <v>44284.625</v>
      </c>
      <c r="B302" s="2">
        <f>IFERROR(__xludf.DUMMYFUNCTION("""COMPUTED_VALUE"""),810.0)</f>
        <v>810</v>
      </c>
      <c r="C302" s="2">
        <f>IFERROR(__xludf.DUMMYFUNCTION("""COMPUTED_VALUE"""),810.0)</f>
        <v>810</v>
      </c>
      <c r="D302" s="2">
        <f>IFERROR(__xludf.DUMMYFUNCTION("""COMPUTED_VALUE"""),790.0)</f>
        <v>790</v>
      </c>
      <c r="E302" s="2">
        <f>IFERROR(__xludf.DUMMYFUNCTION("""COMPUTED_VALUE"""),795.0)</f>
        <v>795</v>
      </c>
      <c r="F302" s="2">
        <f>IFERROR(__xludf.DUMMYFUNCTION("""COMPUTED_VALUE"""),1.74205E7)</f>
        <v>17420500</v>
      </c>
      <c r="G302" s="2">
        <f t="shared" si="1"/>
        <v>20</v>
      </c>
    </row>
    <row r="303" ht="15.75" customHeight="1">
      <c r="A303" s="1">
        <f>IFERROR(__xludf.DUMMYFUNCTION("""COMPUTED_VALUE"""),44285.625)</f>
        <v>44285.625</v>
      </c>
      <c r="B303" s="2">
        <f>IFERROR(__xludf.DUMMYFUNCTION("""COMPUTED_VALUE"""),800.0)</f>
        <v>800</v>
      </c>
      <c r="C303" s="2">
        <f>IFERROR(__xludf.DUMMYFUNCTION("""COMPUTED_VALUE"""),800.0)</f>
        <v>800</v>
      </c>
      <c r="D303" s="2">
        <f>IFERROR(__xludf.DUMMYFUNCTION("""COMPUTED_VALUE"""),785.0)</f>
        <v>785</v>
      </c>
      <c r="E303" s="2">
        <f>IFERROR(__xludf.DUMMYFUNCTION("""COMPUTED_VALUE"""),790.0)</f>
        <v>790</v>
      </c>
      <c r="F303" s="2">
        <f>IFERROR(__xludf.DUMMYFUNCTION("""COMPUTED_VALUE"""),2.98196E7)</f>
        <v>29819600</v>
      </c>
      <c r="G303" s="2">
        <f t="shared" si="1"/>
        <v>15</v>
      </c>
    </row>
    <row r="304" ht="15.75" customHeight="1">
      <c r="A304" s="1">
        <f>IFERROR(__xludf.DUMMYFUNCTION("""COMPUTED_VALUE"""),44286.625)</f>
        <v>44286.625</v>
      </c>
      <c r="B304" s="2">
        <f>IFERROR(__xludf.DUMMYFUNCTION("""COMPUTED_VALUE"""),790.0)</f>
        <v>790</v>
      </c>
      <c r="C304" s="2">
        <f>IFERROR(__xludf.DUMMYFUNCTION("""COMPUTED_VALUE"""),790.0)</f>
        <v>790</v>
      </c>
      <c r="D304" s="2">
        <f>IFERROR(__xludf.DUMMYFUNCTION("""COMPUTED_VALUE"""),775.0)</f>
        <v>775</v>
      </c>
      <c r="E304" s="2">
        <f>IFERROR(__xludf.DUMMYFUNCTION("""COMPUTED_VALUE"""),785.0)</f>
        <v>785</v>
      </c>
      <c r="F304" s="2">
        <f>IFERROR(__xludf.DUMMYFUNCTION("""COMPUTED_VALUE"""),2.43022E7)</f>
        <v>24302200</v>
      </c>
      <c r="G304" s="2">
        <f t="shared" si="1"/>
        <v>15</v>
      </c>
    </row>
    <row r="305" ht="15.75" customHeight="1">
      <c r="A305" s="1">
        <f>IFERROR(__xludf.DUMMYFUNCTION("""COMPUTED_VALUE"""),44287.625)</f>
        <v>44287.625</v>
      </c>
      <c r="B305" s="2">
        <f>IFERROR(__xludf.DUMMYFUNCTION("""COMPUTED_VALUE"""),790.0)</f>
        <v>790</v>
      </c>
      <c r="C305" s="2">
        <f>IFERROR(__xludf.DUMMYFUNCTION("""COMPUTED_VALUE"""),800.0)</f>
        <v>800</v>
      </c>
      <c r="D305" s="2">
        <f>IFERROR(__xludf.DUMMYFUNCTION("""COMPUTED_VALUE"""),780.0)</f>
        <v>780</v>
      </c>
      <c r="E305" s="2">
        <f>IFERROR(__xludf.DUMMYFUNCTION("""COMPUTED_VALUE"""),795.0)</f>
        <v>795</v>
      </c>
      <c r="F305" s="2">
        <f>IFERROR(__xludf.DUMMYFUNCTION("""COMPUTED_VALUE"""),1.52763E7)</f>
        <v>15276300</v>
      </c>
      <c r="G305" s="2">
        <f t="shared" si="1"/>
        <v>20</v>
      </c>
    </row>
    <row r="306" ht="15.75" customHeight="1">
      <c r="A306" s="1">
        <f>IFERROR(__xludf.DUMMYFUNCTION("""COMPUTED_VALUE"""),44291.625)</f>
        <v>44291.625</v>
      </c>
      <c r="B306" s="2">
        <f>IFERROR(__xludf.DUMMYFUNCTION("""COMPUTED_VALUE"""),800.0)</f>
        <v>800</v>
      </c>
      <c r="C306" s="2">
        <f>IFERROR(__xludf.DUMMYFUNCTION("""COMPUTED_VALUE"""),810.0)</f>
        <v>810</v>
      </c>
      <c r="D306" s="2">
        <f>IFERROR(__xludf.DUMMYFUNCTION("""COMPUTED_VALUE"""),790.0)</f>
        <v>790</v>
      </c>
      <c r="E306" s="2">
        <f>IFERROR(__xludf.DUMMYFUNCTION("""COMPUTED_VALUE"""),810.0)</f>
        <v>810</v>
      </c>
      <c r="F306" s="2">
        <f>IFERROR(__xludf.DUMMYFUNCTION("""COMPUTED_VALUE"""),1.81331E7)</f>
        <v>18133100</v>
      </c>
      <c r="G306" s="2">
        <f t="shared" si="1"/>
        <v>20</v>
      </c>
    </row>
    <row r="307" ht="15.75" customHeight="1">
      <c r="A307" s="1">
        <f>IFERROR(__xludf.DUMMYFUNCTION("""COMPUTED_VALUE"""),44292.625)</f>
        <v>44292.625</v>
      </c>
      <c r="B307" s="2">
        <f>IFERROR(__xludf.DUMMYFUNCTION("""COMPUTED_VALUE"""),810.0)</f>
        <v>810</v>
      </c>
      <c r="C307" s="2">
        <f>IFERROR(__xludf.DUMMYFUNCTION("""COMPUTED_VALUE"""),820.0)</f>
        <v>820</v>
      </c>
      <c r="D307" s="2">
        <f>IFERROR(__xludf.DUMMYFUNCTION("""COMPUTED_VALUE"""),800.0)</f>
        <v>800</v>
      </c>
      <c r="E307" s="2">
        <f>IFERROR(__xludf.DUMMYFUNCTION("""COMPUTED_VALUE"""),815.0)</f>
        <v>815</v>
      </c>
      <c r="F307" s="2">
        <f>IFERROR(__xludf.DUMMYFUNCTION("""COMPUTED_VALUE"""),1.21944E7)</f>
        <v>12194400</v>
      </c>
      <c r="G307" s="2">
        <f t="shared" si="1"/>
        <v>20</v>
      </c>
    </row>
    <row r="308" ht="15.75" customHeight="1">
      <c r="A308" s="1">
        <f>IFERROR(__xludf.DUMMYFUNCTION("""COMPUTED_VALUE"""),44293.625)</f>
        <v>44293.625</v>
      </c>
      <c r="B308" s="2">
        <f>IFERROR(__xludf.DUMMYFUNCTION("""COMPUTED_VALUE"""),815.0)</f>
        <v>815</v>
      </c>
      <c r="C308" s="2">
        <f>IFERROR(__xludf.DUMMYFUNCTION("""COMPUTED_VALUE"""),820.0)</f>
        <v>820</v>
      </c>
      <c r="D308" s="2">
        <f>IFERROR(__xludf.DUMMYFUNCTION("""COMPUTED_VALUE"""),805.0)</f>
        <v>805</v>
      </c>
      <c r="E308" s="2">
        <f>IFERROR(__xludf.DUMMYFUNCTION("""COMPUTED_VALUE"""),815.0)</f>
        <v>815</v>
      </c>
      <c r="F308" s="2">
        <f>IFERROR(__xludf.DUMMYFUNCTION("""COMPUTED_VALUE"""),9731600.0)</f>
        <v>9731600</v>
      </c>
      <c r="G308" s="2">
        <f t="shared" si="1"/>
        <v>15</v>
      </c>
    </row>
    <row r="309" ht="15.75" customHeight="1">
      <c r="A309" s="1">
        <f>IFERROR(__xludf.DUMMYFUNCTION("""COMPUTED_VALUE"""),44294.625)</f>
        <v>44294.625</v>
      </c>
      <c r="B309" s="2">
        <f>IFERROR(__xludf.DUMMYFUNCTION("""COMPUTED_VALUE"""),815.0)</f>
        <v>815</v>
      </c>
      <c r="C309" s="2">
        <f>IFERROR(__xludf.DUMMYFUNCTION("""COMPUTED_VALUE"""),820.0)</f>
        <v>820</v>
      </c>
      <c r="D309" s="2">
        <f>IFERROR(__xludf.DUMMYFUNCTION("""COMPUTED_VALUE"""),805.0)</f>
        <v>805</v>
      </c>
      <c r="E309" s="2">
        <f>IFERROR(__xludf.DUMMYFUNCTION("""COMPUTED_VALUE"""),815.0)</f>
        <v>815</v>
      </c>
      <c r="F309" s="2">
        <f>IFERROR(__xludf.DUMMYFUNCTION("""COMPUTED_VALUE"""),1.50155E7)</f>
        <v>15015500</v>
      </c>
      <c r="G309" s="2">
        <f t="shared" si="1"/>
        <v>15</v>
      </c>
    </row>
    <row r="310" ht="15.75" customHeight="1">
      <c r="A310" s="1">
        <f>IFERROR(__xludf.DUMMYFUNCTION("""COMPUTED_VALUE"""),44295.625)</f>
        <v>44295.625</v>
      </c>
      <c r="B310" s="2">
        <f>IFERROR(__xludf.DUMMYFUNCTION("""COMPUTED_VALUE"""),815.0)</f>
        <v>815</v>
      </c>
      <c r="C310" s="2">
        <f>IFERROR(__xludf.DUMMYFUNCTION("""COMPUTED_VALUE"""),825.0)</f>
        <v>825</v>
      </c>
      <c r="D310" s="2">
        <f>IFERROR(__xludf.DUMMYFUNCTION("""COMPUTED_VALUE"""),785.0)</f>
        <v>785</v>
      </c>
      <c r="E310" s="2">
        <f>IFERROR(__xludf.DUMMYFUNCTION("""COMPUTED_VALUE"""),785.0)</f>
        <v>785</v>
      </c>
      <c r="F310" s="2">
        <f>IFERROR(__xludf.DUMMYFUNCTION("""COMPUTED_VALUE"""),5.49252E7)</f>
        <v>54925200</v>
      </c>
      <c r="G310" s="2">
        <f t="shared" si="1"/>
        <v>40</v>
      </c>
    </row>
    <row r="311" ht="15.75" customHeight="1">
      <c r="A311" s="1">
        <f>IFERROR(__xludf.DUMMYFUNCTION("""COMPUTED_VALUE"""),44298.625)</f>
        <v>44298.625</v>
      </c>
      <c r="B311" s="2">
        <f>IFERROR(__xludf.DUMMYFUNCTION("""COMPUTED_VALUE"""),790.0)</f>
        <v>790</v>
      </c>
      <c r="C311" s="2">
        <f>IFERROR(__xludf.DUMMYFUNCTION("""COMPUTED_VALUE"""),810.0)</f>
        <v>810</v>
      </c>
      <c r="D311" s="2">
        <f>IFERROR(__xludf.DUMMYFUNCTION("""COMPUTED_VALUE"""),785.0)</f>
        <v>785</v>
      </c>
      <c r="E311" s="2">
        <f>IFERROR(__xludf.DUMMYFUNCTION("""COMPUTED_VALUE"""),790.0)</f>
        <v>790</v>
      </c>
      <c r="F311" s="2">
        <f>IFERROR(__xludf.DUMMYFUNCTION("""COMPUTED_VALUE"""),3.17084E7)</f>
        <v>31708400</v>
      </c>
      <c r="G311" s="2">
        <f t="shared" si="1"/>
        <v>25</v>
      </c>
    </row>
    <row r="312" ht="15.75" customHeight="1">
      <c r="A312" s="1">
        <f>IFERROR(__xludf.DUMMYFUNCTION("""COMPUTED_VALUE"""),44299.625)</f>
        <v>44299.625</v>
      </c>
      <c r="B312" s="2">
        <f>IFERROR(__xludf.DUMMYFUNCTION("""COMPUTED_VALUE"""),795.0)</f>
        <v>795</v>
      </c>
      <c r="C312" s="2">
        <f>IFERROR(__xludf.DUMMYFUNCTION("""COMPUTED_VALUE"""),800.0)</f>
        <v>800</v>
      </c>
      <c r="D312" s="2">
        <f>IFERROR(__xludf.DUMMYFUNCTION("""COMPUTED_VALUE"""),785.0)</f>
        <v>785</v>
      </c>
      <c r="E312" s="2">
        <f>IFERROR(__xludf.DUMMYFUNCTION("""COMPUTED_VALUE"""),800.0)</f>
        <v>800</v>
      </c>
      <c r="F312" s="2">
        <f>IFERROR(__xludf.DUMMYFUNCTION("""COMPUTED_VALUE"""),1.85796E7)</f>
        <v>18579600</v>
      </c>
      <c r="G312" s="2">
        <f t="shared" si="1"/>
        <v>15</v>
      </c>
    </row>
    <row r="313" ht="15.75" customHeight="1">
      <c r="A313" s="1">
        <f>IFERROR(__xludf.DUMMYFUNCTION("""COMPUTED_VALUE"""),44300.625)</f>
        <v>44300.625</v>
      </c>
      <c r="B313" s="2">
        <f>IFERROR(__xludf.DUMMYFUNCTION("""COMPUTED_VALUE"""),805.0)</f>
        <v>805</v>
      </c>
      <c r="C313" s="2">
        <f>IFERROR(__xludf.DUMMYFUNCTION("""COMPUTED_VALUE"""),815.0)</f>
        <v>815</v>
      </c>
      <c r="D313" s="2">
        <f>IFERROR(__xludf.DUMMYFUNCTION("""COMPUTED_VALUE"""),795.0)</f>
        <v>795</v>
      </c>
      <c r="E313" s="2">
        <f>IFERROR(__xludf.DUMMYFUNCTION("""COMPUTED_VALUE"""),805.0)</f>
        <v>805</v>
      </c>
      <c r="F313" s="2">
        <f>IFERROR(__xludf.DUMMYFUNCTION("""COMPUTED_VALUE"""),1.87529E7)</f>
        <v>18752900</v>
      </c>
      <c r="G313" s="2">
        <f t="shared" si="1"/>
        <v>20</v>
      </c>
    </row>
    <row r="314" ht="15.75" customHeight="1">
      <c r="A314" s="1">
        <f>IFERROR(__xludf.DUMMYFUNCTION("""COMPUTED_VALUE"""),44301.625)</f>
        <v>44301.625</v>
      </c>
      <c r="B314" s="2">
        <f>IFERROR(__xludf.DUMMYFUNCTION("""COMPUTED_VALUE"""),810.0)</f>
        <v>810</v>
      </c>
      <c r="C314" s="2">
        <f>IFERROR(__xludf.DUMMYFUNCTION("""COMPUTED_VALUE"""),815.0)</f>
        <v>815</v>
      </c>
      <c r="D314" s="2">
        <f>IFERROR(__xludf.DUMMYFUNCTION("""COMPUTED_VALUE"""),790.0)</f>
        <v>790</v>
      </c>
      <c r="E314" s="2">
        <f>IFERROR(__xludf.DUMMYFUNCTION("""COMPUTED_VALUE"""),800.0)</f>
        <v>800</v>
      </c>
      <c r="F314" s="2">
        <f>IFERROR(__xludf.DUMMYFUNCTION("""COMPUTED_VALUE"""),2.40447E7)</f>
        <v>24044700</v>
      </c>
      <c r="G314" s="2">
        <f t="shared" si="1"/>
        <v>25</v>
      </c>
    </row>
    <row r="315" ht="15.75" customHeight="1">
      <c r="A315" s="1">
        <f>IFERROR(__xludf.DUMMYFUNCTION("""COMPUTED_VALUE"""),44302.625)</f>
        <v>44302.625</v>
      </c>
      <c r="B315" s="2">
        <f>IFERROR(__xludf.DUMMYFUNCTION("""COMPUTED_VALUE"""),805.0)</f>
        <v>805</v>
      </c>
      <c r="C315" s="2">
        <f>IFERROR(__xludf.DUMMYFUNCTION("""COMPUTED_VALUE"""),810.0)</f>
        <v>810</v>
      </c>
      <c r="D315" s="2">
        <f>IFERROR(__xludf.DUMMYFUNCTION("""COMPUTED_VALUE"""),795.0)</f>
        <v>795</v>
      </c>
      <c r="E315" s="2">
        <f>IFERROR(__xludf.DUMMYFUNCTION("""COMPUTED_VALUE"""),800.0)</f>
        <v>800</v>
      </c>
      <c r="F315" s="2">
        <f>IFERROR(__xludf.DUMMYFUNCTION("""COMPUTED_VALUE"""),1.56694E7)</f>
        <v>15669400</v>
      </c>
      <c r="G315" s="2">
        <f t="shared" si="1"/>
        <v>15</v>
      </c>
    </row>
    <row r="316" ht="15.75" customHeight="1">
      <c r="A316" s="1">
        <f>IFERROR(__xludf.DUMMYFUNCTION("""COMPUTED_VALUE"""),44305.625)</f>
        <v>44305.625</v>
      </c>
      <c r="B316" s="2">
        <f>IFERROR(__xludf.DUMMYFUNCTION("""COMPUTED_VALUE"""),800.0)</f>
        <v>800</v>
      </c>
      <c r="C316" s="2">
        <f>IFERROR(__xludf.DUMMYFUNCTION("""COMPUTED_VALUE"""),805.0)</f>
        <v>805</v>
      </c>
      <c r="D316" s="2">
        <f>IFERROR(__xludf.DUMMYFUNCTION("""COMPUTED_VALUE"""),800.0)</f>
        <v>800</v>
      </c>
      <c r="E316" s="2">
        <f>IFERROR(__xludf.DUMMYFUNCTION("""COMPUTED_VALUE"""),800.0)</f>
        <v>800</v>
      </c>
      <c r="F316" s="2">
        <f>IFERROR(__xludf.DUMMYFUNCTION("""COMPUTED_VALUE"""),6377300.0)</f>
        <v>6377300</v>
      </c>
      <c r="G316" s="2">
        <f t="shared" si="1"/>
        <v>5</v>
      </c>
    </row>
    <row r="317" ht="15.75" customHeight="1">
      <c r="A317" s="1">
        <f>IFERROR(__xludf.DUMMYFUNCTION("""COMPUTED_VALUE"""),44306.625)</f>
        <v>44306.625</v>
      </c>
      <c r="B317" s="2">
        <f>IFERROR(__xludf.DUMMYFUNCTION("""COMPUTED_VALUE"""),800.0)</f>
        <v>800</v>
      </c>
      <c r="C317" s="2">
        <f>IFERROR(__xludf.DUMMYFUNCTION("""COMPUTED_VALUE"""),805.0)</f>
        <v>805</v>
      </c>
      <c r="D317" s="2">
        <f>IFERROR(__xludf.DUMMYFUNCTION("""COMPUTED_VALUE"""),795.0)</f>
        <v>795</v>
      </c>
      <c r="E317" s="2">
        <f>IFERROR(__xludf.DUMMYFUNCTION("""COMPUTED_VALUE"""),800.0)</f>
        <v>800</v>
      </c>
      <c r="F317" s="2">
        <f>IFERROR(__xludf.DUMMYFUNCTION("""COMPUTED_VALUE"""),6897400.0)</f>
        <v>6897400</v>
      </c>
      <c r="G317" s="2">
        <f t="shared" si="1"/>
        <v>10</v>
      </c>
    </row>
    <row r="318" ht="15.75" customHeight="1">
      <c r="A318" s="1">
        <f>IFERROR(__xludf.DUMMYFUNCTION("""COMPUTED_VALUE"""),44307.625)</f>
        <v>44307.625</v>
      </c>
      <c r="B318" s="2">
        <f>IFERROR(__xludf.DUMMYFUNCTION("""COMPUTED_VALUE"""),800.0)</f>
        <v>800</v>
      </c>
      <c r="C318" s="2">
        <f>IFERROR(__xludf.DUMMYFUNCTION("""COMPUTED_VALUE"""),800.0)</f>
        <v>800</v>
      </c>
      <c r="D318" s="2">
        <f>IFERROR(__xludf.DUMMYFUNCTION("""COMPUTED_VALUE"""),790.0)</f>
        <v>790</v>
      </c>
      <c r="E318" s="2">
        <f>IFERROR(__xludf.DUMMYFUNCTION("""COMPUTED_VALUE"""),790.0)</f>
        <v>790</v>
      </c>
      <c r="F318" s="2">
        <f>IFERROR(__xludf.DUMMYFUNCTION("""COMPUTED_VALUE"""),8334700.0)</f>
        <v>8334700</v>
      </c>
      <c r="G318" s="2">
        <f t="shared" si="1"/>
        <v>10</v>
      </c>
    </row>
    <row r="319" ht="15.75" customHeight="1">
      <c r="A319" s="1">
        <f>IFERROR(__xludf.DUMMYFUNCTION("""COMPUTED_VALUE"""),44308.625)</f>
        <v>44308.625</v>
      </c>
      <c r="B319" s="2">
        <f>IFERROR(__xludf.DUMMYFUNCTION("""COMPUTED_VALUE"""),795.0)</f>
        <v>795</v>
      </c>
      <c r="C319" s="2">
        <f>IFERROR(__xludf.DUMMYFUNCTION("""COMPUTED_VALUE"""),805.0)</f>
        <v>805</v>
      </c>
      <c r="D319" s="2">
        <f>IFERROR(__xludf.DUMMYFUNCTION("""COMPUTED_VALUE"""),790.0)</f>
        <v>790</v>
      </c>
      <c r="E319" s="2">
        <f>IFERROR(__xludf.DUMMYFUNCTION("""COMPUTED_VALUE"""),800.0)</f>
        <v>800</v>
      </c>
      <c r="F319" s="2">
        <f>IFERROR(__xludf.DUMMYFUNCTION("""COMPUTED_VALUE"""),1.02771E7)</f>
        <v>10277100</v>
      </c>
      <c r="G319" s="2">
        <f t="shared" si="1"/>
        <v>15</v>
      </c>
    </row>
    <row r="320" ht="15.75" customHeight="1">
      <c r="A320" s="1">
        <f>IFERROR(__xludf.DUMMYFUNCTION("""COMPUTED_VALUE"""),44309.625)</f>
        <v>44309.625</v>
      </c>
      <c r="B320" s="2">
        <f>IFERROR(__xludf.DUMMYFUNCTION("""COMPUTED_VALUE"""),800.0)</f>
        <v>800</v>
      </c>
      <c r="C320" s="2">
        <f>IFERROR(__xludf.DUMMYFUNCTION("""COMPUTED_VALUE"""),805.0)</f>
        <v>805</v>
      </c>
      <c r="D320" s="2">
        <f>IFERROR(__xludf.DUMMYFUNCTION("""COMPUTED_VALUE"""),795.0)</f>
        <v>795</v>
      </c>
      <c r="E320" s="2">
        <f>IFERROR(__xludf.DUMMYFUNCTION("""COMPUTED_VALUE"""),800.0)</f>
        <v>800</v>
      </c>
      <c r="F320" s="2">
        <f>IFERROR(__xludf.DUMMYFUNCTION("""COMPUTED_VALUE"""),7377200.0)</f>
        <v>7377200</v>
      </c>
      <c r="G320" s="2">
        <f t="shared" si="1"/>
        <v>10</v>
      </c>
    </row>
    <row r="321" ht="15.75" customHeight="1">
      <c r="A321" s="1">
        <f>IFERROR(__xludf.DUMMYFUNCTION("""COMPUTED_VALUE"""),44312.625)</f>
        <v>44312.625</v>
      </c>
      <c r="B321" s="2">
        <f>IFERROR(__xludf.DUMMYFUNCTION("""COMPUTED_VALUE"""),800.0)</f>
        <v>800</v>
      </c>
      <c r="C321" s="2">
        <f>IFERROR(__xludf.DUMMYFUNCTION("""COMPUTED_VALUE"""),805.0)</f>
        <v>805</v>
      </c>
      <c r="D321" s="2">
        <f>IFERROR(__xludf.DUMMYFUNCTION("""COMPUTED_VALUE"""),795.0)</f>
        <v>795</v>
      </c>
      <c r="E321" s="2">
        <f>IFERROR(__xludf.DUMMYFUNCTION("""COMPUTED_VALUE"""),795.0)</f>
        <v>795</v>
      </c>
      <c r="F321" s="2">
        <f>IFERROR(__xludf.DUMMYFUNCTION("""COMPUTED_VALUE"""),5165200.0)</f>
        <v>5165200</v>
      </c>
      <c r="G321" s="2">
        <f t="shared" si="1"/>
        <v>10</v>
      </c>
    </row>
    <row r="322" ht="15.75" customHeight="1">
      <c r="A322" s="1">
        <f>IFERROR(__xludf.DUMMYFUNCTION("""COMPUTED_VALUE"""),44313.625)</f>
        <v>44313.625</v>
      </c>
      <c r="B322" s="2">
        <f>IFERROR(__xludf.DUMMYFUNCTION("""COMPUTED_VALUE"""),800.0)</f>
        <v>800</v>
      </c>
      <c r="C322" s="2">
        <f>IFERROR(__xludf.DUMMYFUNCTION("""COMPUTED_VALUE"""),800.0)</f>
        <v>800</v>
      </c>
      <c r="D322" s="2">
        <f>IFERROR(__xludf.DUMMYFUNCTION("""COMPUTED_VALUE"""),795.0)</f>
        <v>795</v>
      </c>
      <c r="E322" s="2">
        <f>IFERROR(__xludf.DUMMYFUNCTION("""COMPUTED_VALUE"""),795.0)</f>
        <v>795</v>
      </c>
      <c r="F322" s="2">
        <f>IFERROR(__xludf.DUMMYFUNCTION("""COMPUTED_VALUE"""),5690200.0)</f>
        <v>5690200</v>
      </c>
      <c r="G322" s="2">
        <f t="shared" si="1"/>
        <v>5</v>
      </c>
    </row>
    <row r="323" ht="15.75" customHeight="1">
      <c r="A323" s="1">
        <f>IFERROR(__xludf.DUMMYFUNCTION("""COMPUTED_VALUE"""),44314.625)</f>
        <v>44314.625</v>
      </c>
      <c r="B323" s="2">
        <f>IFERROR(__xludf.DUMMYFUNCTION("""COMPUTED_VALUE"""),800.0)</f>
        <v>800</v>
      </c>
      <c r="C323" s="2">
        <f>IFERROR(__xludf.DUMMYFUNCTION("""COMPUTED_VALUE"""),815.0)</f>
        <v>815</v>
      </c>
      <c r="D323" s="2">
        <f>IFERROR(__xludf.DUMMYFUNCTION("""COMPUTED_VALUE"""),795.0)</f>
        <v>795</v>
      </c>
      <c r="E323" s="2">
        <f>IFERROR(__xludf.DUMMYFUNCTION("""COMPUTED_VALUE"""),800.0)</f>
        <v>800</v>
      </c>
      <c r="F323" s="2">
        <f>IFERROR(__xludf.DUMMYFUNCTION("""COMPUTED_VALUE"""),2.60468E7)</f>
        <v>26046800</v>
      </c>
      <c r="G323" s="2">
        <f t="shared" si="1"/>
        <v>20</v>
      </c>
    </row>
    <row r="324" ht="15.75" customHeight="1">
      <c r="A324" s="1">
        <f>IFERROR(__xludf.DUMMYFUNCTION("""COMPUTED_VALUE"""),44315.625)</f>
        <v>44315.625</v>
      </c>
      <c r="B324" s="2">
        <f>IFERROR(__xludf.DUMMYFUNCTION("""COMPUTED_VALUE"""),805.0)</f>
        <v>805</v>
      </c>
      <c r="C324" s="2">
        <f>IFERROR(__xludf.DUMMYFUNCTION("""COMPUTED_VALUE"""),810.0)</f>
        <v>810</v>
      </c>
      <c r="D324" s="2">
        <f>IFERROR(__xludf.DUMMYFUNCTION("""COMPUTED_VALUE"""),800.0)</f>
        <v>800</v>
      </c>
      <c r="E324" s="2">
        <f>IFERROR(__xludf.DUMMYFUNCTION("""COMPUTED_VALUE"""),800.0)</f>
        <v>800</v>
      </c>
      <c r="F324" s="2">
        <f>IFERROR(__xludf.DUMMYFUNCTION("""COMPUTED_VALUE"""),2.45539E7)</f>
        <v>24553900</v>
      </c>
      <c r="G324" s="2">
        <f t="shared" si="1"/>
        <v>10</v>
      </c>
    </row>
    <row r="325" ht="15.75" customHeight="1">
      <c r="A325" s="1">
        <f>IFERROR(__xludf.DUMMYFUNCTION("""COMPUTED_VALUE"""),44316.625)</f>
        <v>44316.625</v>
      </c>
      <c r="B325" s="2">
        <f>IFERROR(__xludf.DUMMYFUNCTION("""COMPUTED_VALUE"""),805.0)</f>
        <v>805</v>
      </c>
      <c r="C325" s="2">
        <f>IFERROR(__xludf.DUMMYFUNCTION("""COMPUTED_VALUE"""),815.0)</f>
        <v>815</v>
      </c>
      <c r="D325" s="2">
        <f>IFERROR(__xludf.DUMMYFUNCTION("""COMPUTED_VALUE"""),800.0)</f>
        <v>800</v>
      </c>
      <c r="E325" s="2">
        <f>IFERROR(__xludf.DUMMYFUNCTION("""COMPUTED_VALUE"""),815.0)</f>
        <v>815</v>
      </c>
      <c r="F325" s="2">
        <f>IFERROR(__xludf.DUMMYFUNCTION("""COMPUTED_VALUE"""),1.87352E7)</f>
        <v>18735200</v>
      </c>
      <c r="G325" s="2">
        <f t="shared" si="1"/>
        <v>15</v>
      </c>
    </row>
    <row r="326" ht="15.75" customHeight="1">
      <c r="A326" s="1">
        <f>IFERROR(__xludf.DUMMYFUNCTION("""COMPUTED_VALUE"""),44319.66666666667)</f>
        <v>44319.66667</v>
      </c>
      <c r="B326" s="2">
        <f>IFERROR(__xludf.DUMMYFUNCTION("""COMPUTED_VALUE"""),815.0)</f>
        <v>815</v>
      </c>
      <c r="C326" s="2">
        <f>IFERROR(__xludf.DUMMYFUNCTION("""COMPUTED_VALUE"""),820.0)</f>
        <v>820</v>
      </c>
      <c r="D326" s="2">
        <f>IFERROR(__xludf.DUMMYFUNCTION("""COMPUTED_VALUE"""),805.0)</f>
        <v>805</v>
      </c>
      <c r="E326" s="2">
        <f>IFERROR(__xludf.DUMMYFUNCTION("""COMPUTED_VALUE"""),805.0)</f>
        <v>805</v>
      </c>
      <c r="F326" s="2">
        <f>IFERROR(__xludf.DUMMYFUNCTION("""COMPUTED_VALUE"""),1.76812E7)</f>
        <v>17681200</v>
      </c>
      <c r="G326" s="2">
        <f t="shared" si="1"/>
        <v>15</v>
      </c>
    </row>
    <row r="327" ht="15.75" customHeight="1">
      <c r="A327" s="1">
        <f>IFERROR(__xludf.DUMMYFUNCTION("""COMPUTED_VALUE"""),44320.66666666667)</f>
        <v>44320.66667</v>
      </c>
      <c r="B327" s="2">
        <f>IFERROR(__xludf.DUMMYFUNCTION("""COMPUTED_VALUE"""),805.0)</f>
        <v>805</v>
      </c>
      <c r="C327" s="2">
        <f>IFERROR(__xludf.DUMMYFUNCTION("""COMPUTED_VALUE"""),810.0)</f>
        <v>810</v>
      </c>
      <c r="D327" s="2">
        <f>IFERROR(__xludf.DUMMYFUNCTION("""COMPUTED_VALUE"""),800.0)</f>
        <v>800</v>
      </c>
      <c r="E327" s="2">
        <f>IFERROR(__xludf.DUMMYFUNCTION("""COMPUTED_VALUE"""),805.0)</f>
        <v>805</v>
      </c>
      <c r="F327" s="2">
        <f>IFERROR(__xludf.DUMMYFUNCTION("""COMPUTED_VALUE"""),1.84073E7)</f>
        <v>18407300</v>
      </c>
      <c r="G327" s="2">
        <f t="shared" si="1"/>
        <v>10</v>
      </c>
    </row>
    <row r="328" ht="15.75" customHeight="1">
      <c r="A328" s="1">
        <f>IFERROR(__xludf.DUMMYFUNCTION("""COMPUTED_VALUE"""),44321.625)</f>
        <v>44321.625</v>
      </c>
      <c r="B328" s="2">
        <f>IFERROR(__xludf.DUMMYFUNCTION("""COMPUTED_VALUE"""),805.0)</f>
        <v>805</v>
      </c>
      <c r="C328" s="2">
        <f>IFERROR(__xludf.DUMMYFUNCTION("""COMPUTED_VALUE"""),815.0)</f>
        <v>815</v>
      </c>
      <c r="D328" s="2">
        <f>IFERROR(__xludf.DUMMYFUNCTION("""COMPUTED_VALUE"""),805.0)</f>
        <v>805</v>
      </c>
      <c r="E328" s="2">
        <f>IFERROR(__xludf.DUMMYFUNCTION("""COMPUTED_VALUE"""),810.0)</f>
        <v>810</v>
      </c>
      <c r="F328" s="2">
        <f>IFERROR(__xludf.DUMMYFUNCTION("""COMPUTED_VALUE"""),2.25297E7)</f>
        <v>22529700</v>
      </c>
      <c r="G328" s="2">
        <f t="shared" si="1"/>
        <v>10</v>
      </c>
    </row>
    <row r="329" ht="15.75" customHeight="1">
      <c r="A329" s="1">
        <f>IFERROR(__xludf.DUMMYFUNCTION("""COMPUTED_VALUE"""),44322.625)</f>
        <v>44322.625</v>
      </c>
      <c r="B329" s="2">
        <f>IFERROR(__xludf.DUMMYFUNCTION("""COMPUTED_VALUE"""),805.0)</f>
        <v>805</v>
      </c>
      <c r="C329" s="2">
        <f>IFERROR(__xludf.DUMMYFUNCTION("""COMPUTED_VALUE"""),815.0)</f>
        <v>815</v>
      </c>
      <c r="D329" s="2">
        <f>IFERROR(__xludf.DUMMYFUNCTION("""COMPUTED_VALUE"""),800.0)</f>
        <v>800</v>
      </c>
      <c r="E329" s="2">
        <f>IFERROR(__xludf.DUMMYFUNCTION("""COMPUTED_VALUE"""),805.0)</f>
        <v>805</v>
      </c>
      <c r="F329" s="2">
        <f>IFERROR(__xludf.DUMMYFUNCTION("""COMPUTED_VALUE"""),2.00709E7)</f>
        <v>20070900</v>
      </c>
      <c r="G329" s="2">
        <f t="shared" si="1"/>
        <v>15</v>
      </c>
    </row>
    <row r="330" ht="15.75" customHeight="1">
      <c r="A330" s="1">
        <f>IFERROR(__xludf.DUMMYFUNCTION("""COMPUTED_VALUE"""),44323.625)</f>
        <v>44323.625</v>
      </c>
      <c r="B330" s="2">
        <f>IFERROR(__xludf.DUMMYFUNCTION("""COMPUTED_VALUE"""),805.0)</f>
        <v>805</v>
      </c>
      <c r="C330" s="2">
        <f>IFERROR(__xludf.DUMMYFUNCTION("""COMPUTED_VALUE"""),815.0)</f>
        <v>815</v>
      </c>
      <c r="D330" s="2">
        <f>IFERROR(__xludf.DUMMYFUNCTION("""COMPUTED_VALUE"""),805.0)</f>
        <v>805</v>
      </c>
      <c r="E330" s="2">
        <f>IFERROR(__xludf.DUMMYFUNCTION("""COMPUTED_VALUE"""),805.0)</f>
        <v>805</v>
      </c>
      <c r="F330" s="2">
        <f>IFERROR(__xludf.DUMMYFUNCTION("""COMPUTED_VALUE"""),1.84275E7)</f>
        <v>18427500</v>
      </c>
      <c r="G330" s="2">
        <f t="shared" si="1"/>
        <v>10</v>
      </c>
    </row>
    <row r="331" ht="15.75" customHeight="1">
      <c r="A331" s="1">
        <f>IFERROR(__xludf.DUMMYFUNCTION("""COMPUTED_VALUE"""),44326.66666666667)</f>
        <v>44326.66667</v>
      </c>
      <c r="B331" s="2">
        <f>IFERROR(__xludf.DUMMYFUNCTION("""COMPUTED_VALUE"""),805.0)</f>
        <v>805</v>
      </c>
      <c r="C331" s="2">
        <f>IFERROR(__xludf.DUMMYFUNCTION("""COMPUTED_VALUE"""),820.0)</f>
        <v>820</v>
      </c>
      <c r="D331" s="2">
        <f>IFERROR(__xludf.DUMMYFUNCTION("""COMPUTED_VALUE"""),805.0)</f>
        <v>805</v>
      </c>
      <c r="E331" s="2">
        <f>IFERROR(__xludf.DUMMYFUNCTION("""COMPUTED_VALUE"""),815.0)</f>
        <v>815</v>
      </c>
      <c r="F331" s="2">
        <f>IFERROR(__xludf.DUMMYFUNCTION("""COMPUTED_VALUE"""),3.33576E7)</f>
        <v>33357600</v>
      </c>
      <c r="G331" s="2">
        <f t="shared" si="1"/>
        <v>15</v>
      </c>
    </row>
    <row r="332" ht="15.75" customHeight="1">
      <c r="A332" s="1">
        <f>IFERROR(__xludf.DUMMYFUNCTION("""COMPUTED_VALUE"""),44327.66666666667)</f>
        <v>44327.66667</v>
      </c>
      <c r="B332" s="2">
        <f>IFERROR(__xludf.DUMMYFUNCTION("""COMPUTED_VALUE"""),805.0)</f>
        <v>805</v>
      </c>
      <c r="C332" s="2">
        <f>IFERROR(__xludf.DUMMYFUNCTION("""COMPUTED_VALUE"""),820.0)</f>
        <v>820</v>
      </c>
      <c r="D332" s="2">
        <f>IFERROR(__xludf.DUMMYFUNCTION("""COMPUTED_VALUE"""),800.0)</f>
        <v>800</v>
      </c>
      <c r="E332" s="2">
        <f>IFERROR(__xludf.DUMMYFUNCTION("""COMPUTED_VALUE"""),815.0)</f>
        <v>815</v>
      </c>
      <c r="F332" s="2">
        <f>IFERROR(__xludf.DUMMYFUNCTION("""COMPUTED_VALUE"""),6.89608E7)</f>
        <v>68960800</v>
      </c>
      <c r="G332" s="2">
        <f t="shared" si="1"/>
        <v>20</v>
      </c>
    </row>
    <row r="333" ht="15.75" customHeight="1">
      <c r="A333" s="1">
        <f>IFERROR(__xludf.DUMMYFUNCTION("""COMPUTED_VALUE"""),44333.625)</f>
        <v>44333.625</v>
      </c>
      <c r="B333" s="2">
        <f>IFERROR(__xludf.DUMMYFUNCTION("""COMPUTED_VALUE"""),760.0)</f>
        <v>760</v>
      </c>
      <c r="C333" s="2">
        <f>IFERROR(__xludf.DUMMYFUNCTION("""COMPUTED_VALUE"""),785.0)</f>
        <v>785</v>
      </c>
      <c r="D333" s="2">
        <f>IFERROR(__xludf.DUMMYFUNCTION("""COMPUTED_VALUE"""),760.0)</f>
        <v>760</v>
      </c>
      <c r="E333" s="2">
        <f>IFERROR(__xludf.DUMMYFUNCTION("""COMPUTED_VALUE"""),760.0)</f>
        <v>760</v>
      </c>
      <c r="F333" s="2">
        <f>IFERROR(__xludf.DUMMYFUNCTION("""COMPUTED_VALUE"""),6.82615E7)</f>
        <v>68261500</v>
      </c>
      <c r="G333" s="2">
        <f t="shared" si="1"/>
        <v>55</v>
      </c>
    </row>
    <row r="334" ht="15.75" customHeight="1">
      <c r="A334" s="1">
        <f>IFERROR(__xludf.DUMMYFUNCTION("""COMPUTED_VALUE"""),44334.625)</f>
        <v>44334.625</v>
      </c>
      <c r="B334" s="2">
        <f>IFERROR(__xludf.DUMMYFUNCTION("""COMPUTED_VALUE"""),765.0)</f>
        <v>765</v>
      </c>
      <c r="C334" s="2">
        <f>IFERROR(__xludf.DUMMYFUNCTION("""COMPUTED_VALUE"""),770.0)</f>
        <v>770</v>
      </c>
      <c r="D334" s="2">
        <f>IFERROR(__xludf.DUMMYFUNCTION("""COMPUTED_VALUE"""),750.0)</f>
        <v>750</v>
      </c>
      <c r="E334" s="2">
        <f>IFERROR(__xludf.DUMMYFUNCTION("""COMPUTED_VALUE"""),755.0)</f>
        <v>755</v>
      </c>
      <c r="F334" s="2">
        <f>IFERROR(__xludf.DUMMYFUNCTION("""COMPUTED_VALUE"""),1.9695E7)</f>
        <v>19695000</v>
      </c>
      <c r="G334" s="2">
        <f t="shared" si="1"/>
        <v>20</v>
      </c>
    </row>
    <row r="335" ht="15.75" customHeight="1">
      <c r="A335" s="1">
        <f>IFERROR(__xludf.DUMMYFUNCTION("""COMPUTED_VALUE"""),44335.625)</f>
        <v>44335.625</v>
      </c>
      <c r="B335" s="2">
        <f>IFERROR(__xludf.DUMMYFUNCTION("""COMPUTED_VALUE"""),755.0)</f>
        <v>755</v>
      </c>
      <c r="C335" s="2">
        <f>IFERROR(__xludf.DUMMYFUNCTION("""COMPUTED_VALUE"""),760.0)</f>
        <v>760</v>
      </c>
      <c r="D335" s="2">
        <f>IFERROR(__xludf.DUMMYFUNCTION("""COMPUTED_VALUE"""),735.0)</f>
        <v>735</v>
      </c>
      <c r="E335" s="2">
        <f>IFERROR(__xludf.DUMMYFUNCTION("""COMPUTED_VALUE"""),735.0)</f>
        <v>735</v>
      </c>
      <c r="F335" s="2">
        <f>IFERROR(__xludf.DUMMYFUNCTION("""COMPUTED_VALUE"""),2.14848E7)</f>
        <v>21484800</v>
      </c>
      <c r="G335" s="2">
        <f t="shared" si="1"/>
        <v>25</v>
      </c>
    </row>
    <row r="336" ht="15.75" customHeight="1">
      <c r="A336" s="1">
        <f>IFERROR(__xludf.DUMMYFUNCTION("""COMPUTED_VALUE"""),44336.625)</f>
        <v>44336.625</v>
      </c>
      <c r="B336" s="2">
        <f>IFERROR(__xludf.DUMMYFUNCTION("""COMPUTED_VALUE"""),735.0)</f>
        <v>735</v>
      </c>
      <c r="C336" s="2">
        <f>IFERROR(__xludf.DUMMYFUNCTION("""COMPUTED_VALUE"""),740.0)</f>
        <v>740</v>
      </c>
      <c r="D336" s="2">
        <f>IFERROR(__xludf.DUMMYFUNCTION("""COMPUTED_VALUE"""),730.0)</f>
        <v>730</v>
      </c>
      <c r="E336" s="2">
        <f>IFERROR(__xludf.DUMMYFUNCTION("""COMPUTED_VALUE"""),730.0)</f>
        <v>730</v>
      </c>
      <c r="F336" s="2">
        <f>IFERROR(__xludf.DUMMYFUNCTION("""COMPUTED_VALUE"""),1.34966E7)</f>
        <v>13496600</v>
      </c>
      <c r="G336" s="2">
        <f t="shared" si="1"/>
        <v>10</v>
      </c>
    </row>
    <row r="337" ht="15.75" customHeight="1">
      <c r="A337" s="1">
        <f>IFERROR(__xludf.DUMMYFUNCTION("""COMPUTED_VALUE"""),44337.625)</f>
        <v>44337.625</v>
      </c>
      <c r="B337" s="2">
        <f>IFERROR(__xludf.DUMMYFUNCTION("""COMPUTED_VALUE"""),735.0)</f>
        <v>735</v>
      </c>
      <c r="C337" s="2">
        <f>IFERROR(__xludf.DUMMYFUNCTION("""COMPUTED_VALUE"""),740.0)</f>
        <v>740</v>
      </c>
      <c r="D337" s="2">
        <f>IFERROR(__xludf.DUMMYFUNCTION("""COMPUTED_VALUE"""),730.0)</f>
        <v>730</v>
      </c>
      <c r="E337" s="2">
        <f>IFERROR(__xludf.DUMMYFUNCTION("""COMPUTED_VALUE"""),730.0)</f>
        <v>730</v>
      </c>
      <c r="F337" s="2">
        <f>IFERROR(__xludf.DUMMYFUNCTION("""COMPUTED_VALUE"""),1.06409E7)</f>
        <v>10640900</v>
      </c>
      <c r="G337" s="2">
        <f t="shared" si="1"/>
        <v>10</v>
      </c>
    </row>
    <row r="338" ht="15.75" customHeight="1">
      <c r="A338" s="1">
        <f>IFERROR(__xludf.DUMMYFUNCTION("""COMPUTED_VALUE"""),44340.625)</f>
        <v>44340.625</v>
      </c>
      <c r="B338" s="2">
        <f>IFERROR(__xludf.DUMMYFUNCTION("""COMPUTED_VALUE"""),740.0)</f>
        <v>740</v>
      </c>
      <c r="C338" s="2">
        <f>IFERROR(__xludf.DUMMYFUNCTION("""COMPUTED_VALUE"""),740.0)</f>
        <v>740</v>
      </c>
      <c r="D338" s="2">
        <f>IFERROR(__xludf.DUMMYFUNCTION("""COMPUTED_VALUE"""),730.0)</f>
        <v>730</v>
      </c>
      <c r="E338" s="2">
        <f>IFERROR(__xludf.DUMMYFUNCTION("""COMPUTED_VALUE"""),730.0)</f>
        <v>730</v>
      </c>
      <c r="F338" s="2">
        <f>IFERROR(__xludf.DUMMYFUNCTION("""COMPUTED_VALUE"""),6836800.0)</f>
        <v>6836800</v>
      </c>
      <c r="G338" s="2">
        <f t="shared" si="1"/>
        <v>10</v>
      </c>
    </row>
    <row r="339" ht="15.75" customHeight="1">
      <c r="A339" s="1">
        <f>IFERROR(__xludf.DUMMYFUNCTION("""COMPUTED_VALUE"""),44341.625)</f>
        <v>44341.625</v>
      </c>
      <c r="B339" s="2">
        <f>IFERROR(__xludf.DUMMYFUNCTION("""COMPUTED_VALUE"""),735.0)</f>
        <v>735</v>
      </c>
      <c r="C339" s="2">
        <f>IFERROR(__xludf.DUMMYFUNCTION("""COMPUTED_VALUE"""),745.0)</f>
        <v>745</v>
      </c>
      <c r="D339" s="2">
        <f>IFERROR(__xludf.DUMMYFUNCTION("""COMPUTED_VALUE"""),730.0)</f>
        <v>730</v>
      </c>
      <c r="E339" s="2">
        <f>IFERROR(__xludf.DUMMYFUNCTION("""COMPUTED_VALUE"""),740.0)</f>
        <v>740</v>
      </c>
      <c r="F339" s="2">
        <f>IFERROR(__xludf.DUMMYFUNCTION("""COMPUTED_VALUE"""),6782000.0)</f>
        <v>6782000</v>
      </c>
      <c r="G339" s="2">
        <f t="shared" si="1"/>
        <v>15</v>
      </c>
    </row>
    <row r="340" ht="15.75" customHeight="1">
      <c r="A340" s="1">
        <f>IFERROR(__xludf.DUMMYFUNCTION("""COMPUTED_VALUE"""),44343.625)</f>
        <v>44343.625</v>
      </c>
      <c r="B340" s="2">
        <f>IFERROR(__xludf.DUMMYFUNCTION("""COMPUTED_VALUE"""),745.0)</f>
        <v>745</v>
      </c>
      <c r="C340" s="2">
        <f>IFERROR(__xludf.DUMMYFUNCTION("""COMPUTED_VALUE"""),755.0)</f>
        <v>755</v>
      </c>
      <c r="D340" s="2">
        <f>IFERROR(__xludf.DUMMYFUNCTION("""COMPUTED_VALUE"""),735.0)</f>
        <v>735</v>
      </c>
      <c r="E340" s="2">
        <f>IFERROR(__xludf.DUMMYFUNCTION("""COMPUTED_VALUE"""),745.0)</f>
        <v>745</v>
      </c>
      <c r="F340" s="2">
        <f>IFERROR(__xludf.DUMMYFUNCTION("""COMPUTED_VALUE"""),1.17304E7)</f>
        <v>11730400</v>
      </c>
      <c r="G340" s="2">
        <f t="shared" si="1"/>
        <v>20</v>
      </c>
    </row>
    <row r="341" ht="15.75" customHeight="1">
      <c r="A341" s="1">
        <f>IFERROR(__xludf.DUMMYFUNCTION("""COMPUTED_VALUE"""),44344.625)</f>
        <v>44344.625</v>
      </c>
      <c r="B341" s="2">
        <f>IFERROR(__xludf.DUMMYFUNCTION("""COMPUTED_VALUE"""),745.0)</f>
        <v>745</v>
      </c>
      <c r="C341" s="2">
        <f>IFERROR(__xludf.DUMMYFUNCTION("""COMPUTED_VALUE"""),755.0)</f>
        <v>755</v>
      </c>
      <c r="D341" s="2">
        <f>IFERROR(__xludf.DUMMYFUNCTION("""COMPUTED_VALUE"""),740.0)</f>
        <v>740</v>
      </c>
      <c r="E341" s="2">
        <f>IFERROR(__xludf.DUMMYFUNCTION("""COMPUTED_VALUE"""),750.0)</f>
        <v>750</v>
      </c>
      <c r="F341" s="2">
        <f>IFERROR(__xludf.DUMMYFUNCTION("""COMPUTED_VALUE"""),7177200.0)</f>
        <v>7177200</v>
      </c>
      <c r="G341" s="2">
        <f t="shared" si="1"/>
        <v>15</v>
      </c>
    </row>
    <row r="342" ht="15.75" customHeight="1">
      <c r="A342" s="1">
        <f>IFERROR(__xludf.DUMMYFUNCTION("""COMPUTED_VALUE"""),44347.625)</f>
        <v>44347.625</v>
      </c>
      <c r="B342" s="2">
        <f>IFERROR(__xludf.DUMMYFUNCTION("""COMPUTED_VALUE"""),745.0)</f>
        <v>745</v>
      </c>
      <c r="C342" s="2">
        <f>IFERROR(__xludf.DUMMYFUNCTION("""COMPUTED_VALUE"""),755.0)</f>
        <v>755</v>
      </c>
      <c r="D342" s="2">
        <f>IFERROR(__xludf.DUMMYFUNCTION("""COMPUTED_VALUE"""),740.0)</f>
        <v>740</v>
      </c>
      <c r="E342" s="2">
        <f>IFERROR(__xludf.DUMMYFUNCTION("""COMPUTED_VALUE"""),755.0)</f>
        <v>755</v>
      </c>
      <c r="F342" s="2">
        <f>IFERROR(__xludf.DUMMYFUNCTION("""COMPUTED_VALUE"""),1.17112E7)</f>
        <v>11711200</v>
      </c>
      <c r="G342" s="2">
        <f t="shared" si="1"/>
        <v>15</v>
      </c>
    </row>
    <row r="343" ht="15.75" customHeight="1">
      <c r="A343" s="1">
        <f>IFERROR(__xludf.DUMMYFUNCTION("""COMPUTED_VALUE"""),44349.625)</f>
        <v>44349.625</v>
      </c>
      <c r="B343" s="2">
        <f>IFERROR(__xludf.DUMMYFUNCTION("""COMPUTED_VALUE"""),755.0)</f>
        <v>755</v>
      </c>
      <c r="C343" s="2">
        <f>IFERROR(__xludf.DUMMYFUNCTION("""COMPUTED_VALUE"""),770.0)</f>
        <v>770</v>
      </c>
      <c r="D343" s="2">
        <f>IFERROR(__xludf.DUMMYFUNCTION("""COMPUTED_VALUE"""),755.0)</f>
        <v>755</v>
      </c>
      <c r="E343" s="2">
        <f>IFERROR(__xludf.DUMMYFUNCTION("""COMPUTED_VALUE"""),765.0)</f>
        <v>765</v>
      </c>
      <c r="F343" s="2">
        <f>IFERROR(__xludf.DUMMYFUNCTION("""COMPUTED_VALUE"""),1.53596E7)</f>
        <v>15359600</v>
      </c>
      <c r="G343" s="2">
        <f t="shared" si="1"/>
        <v>15</v>
      </c>
    </row>
    <row r="344" ht="15.75" customHeight="1">
      <c r="A344" s="1">
        <f>IFERROR(__xludf.DUMMYFUNCTION("""COMPUTED_VALUE"""),44350.625)</f>
        <v>44350.625</v>
      </c>
      <c r="B344" s="2">
        <f>IFERROR(__xludf.DUMMYFUNCTION("""COMPUTED_VALUE"""),765.0)</f>
        <v>765</v>
      </c>
      <c r="C344" s="2">
        <f>IFERROR(__xludf.DUMMYFUNCTION("""COMPUTED_VALUE"""),775.0)</f>
        <v>775</v>
      </c>
      <c r="D344" s="2">
        <f>IFERROR(__xludf.DUMMYFUNCTION("""COMPUTED_VALUE"""),760.0)</f>
        <v>760</v>
      </c>
      <c r="E344" s="2">
        <f>IFERROR(__xludf.DUMMYFUNCTION("""COMPUTED_VALUE"""),775.0)</f>
        <v>775</v>
      </c>
      <c r="F344" s="2">
        <f>IFERROR(__xludf.DUMMYFUNCTION("""COMPUTED_VALUE"""),1.07934E7)</f>
        <v>10793400</v>
      </c>
      <c r="G344" s="2">
        <f t="shared" si="1"/>
        <v>15</v>
      </c>
    </row>
    <row r="345" ht="15.75" customHeight="1">
      <c r="A345" s="1">
        <f>IFERROR(__xludf.DUMMYFUNCTION("""COMPUTED_VALUE"""),44351.625)</f>
        <v>44351.625</v>
      </c>
      <c r="B345" s="2">
        <f>IFERROR(__xludf.DUMMYFUNCTION("""COMPUTED_VALUE"""),775.0)</f>
        <v>775</v>
      </c>
      <c r="C345" s="2">
        <f>IFERROR(__xludf.DUMMYFUNCTION("""COMPUTED_VALUE"""),780.0)</f>
        <v>780</v>
      </c>
      <c r="D345" s="2">
        <f>IFERROR(__xludf.DUMMYFUNCTION("""COMPUTED_VALUE"""),765.0)</f>
        <v>765</v>
      </c>
      <c r="E345" s="2">
        <f>IFERROR(__xludf.DUMMYFUNCTION("""COMPUTED_VALUE"""),770.0)</f>
        <v>770</v>
      </c>
      <c r="F345" s="2">
        <f>IFERROR(__xludf.DUMMYFUNCTION("""COMPUTED_VALUE"""),1.01499E7)</f>
        <v>10149900</v>
      </c>
      <c r="G345" s="2">
        <f t="shared" si="1"/>
        <v>15</v>
      </c>
    </row>
    <row r="346" ht="15.75" customHeight="1">
      <c r="A346" s="1">
        <f>IFERROR(__xludf.DUMMYFUNCTION("""COMPUTED_VALUE"""),44354.625)</f>
        <v>44354.625</v>
      </c>
      <c r="B346" s="2">
        <f>IFERROR(__xludf.DUMMYFUNCTION("""COMPUTED_VALUE"""),770.0)</f>
        <v>770</v>
      </c>
      <c r="C346" s="2">
        <f>IFERROR(__xludf.DUMMYFUNCTION("""COMPUTED_VALUE"""),780.0)</f>
        <v>780</v>
      </c>
      <c r="D346" s="2">
        <f>IFERROR(__xludf.DUMMYFUNCTION("""COMPUTED_VALUE"""),755.0)</f>
        <v>755</v>
      </c>
      <c r="E346" s="2">
        <f>IFERROR(__xludf.DUMMYFUNCTION("""COMPUTED_VALUE"""),760.0)</f>
        <v>760</v>
      </c>
      <c r="F346" s="2">
        <f>IFERROR(__xludf.DUMMYFUNCTION("""COMPUTED_VALUE"""),9141000.0)</f>
        <v>9141000</v>
      </c>
      <c r="G346" s="2">
        <f t="shared" si="1"/>
        <v>25</v>
      </c>
    </row>
    <row r="347" ht="15.75" customHeight="1">
      <c r="A347" s="1">
        <f>IFERROR(__xludf.DUMMYFUNCTION("""COMPUTED_VALUE"""),44355.625)</f>
        <v>44355.625</v>
      </c>
      <c r="B347" s="2">
        <f>IFERROR(__xludf.DUMMYFUNCTION("""COMPUTED_VALUE"""),760.0)</f>
        <v>760</v>
      </c>
      <c r="C347" s="2">
        <f>IFERROR(__xludf.DUMMYFUNCTION("""COMPUTED_VALUE"""),770.0)</f>
        <v>770</v>
      </c>
      <c r="D347" s="2">
        <f>IFERROR(__xludf.DUMMYFUNCTION("""COMPUTED_VALUE"""),750.0)</f>
        <v>750</v>
      </c>
      <c r="E347" s="2">
        <f>IFERROR(__xludf.DUMMYFUNCTION("""COMPUTED_VALUE"""),750.0)</f>
        <v>750</v>
      </c>
      <c r="F347" s="2">
        <f>IFERROR(__xludf.DUMMYFUNCTION("""COMPUTED_VALUE"""),6062400.0)</f>
        <v>6062400</v>
      </c>
      <c r="G347" s="2">
        <f t="shared" si="1"/>
        <v>20</v>
      </c>
    </row>
    <row r="348" ht="15.75" customHeight="1">
      <c r="A348" s="1">
        <f>IFERROR(__xludf.DUMMYFUNCTION("""COMPUTED_VALUE"""),44356.625)</f>
        <v>44356.625</v>
      </c>
      <c r="B348" s="2">
        <f>IFERROR(__xludf.DUMMYFUNCTION("""COMPUTED_VALUE"""),755.0)</f>
        <v>755</v>
      </c>
      <c r="C348" s="2">
        <f>IFERROR(__xludf.DUMMYFUNCTION("""COMPUTED_VALUE"""),755.0)</f>
        <v>755</v>
      </c>
      <c r="D348" s="2">
        <f>IFERROR(__xludf.DUMMYFUNCTION("""COMPUTED_VALUE"""),745.0)</f>
        <v>745</v>
      </c>
      <c r="E348" s="2">
        <f>IFERROR(__xludf.DUMMYFUNCTION("""COMPUTED_VALUE"""),745.0)</f>
        <v>745</v>
      </c>
      <c r="F348" s="2">
        <f>IFERROR(__xludf.DUMMYFUNCTION("""COMPUTED_VALUE"""),6921400.0)</f>
        <v>6921400</v>
      </c>
      <c r="G348" s="2">
        <f t="shared" si="1"/>
        <v>10</v>
      </c>
    </row>
    <row r="349" ht="15.75" customHeight="1">
      <c r="A349" s="1">
        <f>IFERROR(__xludf.DUMMYFUNCTION("""COMPUTED_VALUE"""),44357.625)</f>
        <v>44357.625</v>
      </c>
      <c r="B349" s="2">
        <f>IFERROR(__xludf.DUMMYFUNCTION("""COMPUTED_VALUE"""),745.0)</f>
        <v>745</v>
      </c>
      <c r="C349" s="2">
        <f>IFERROR(__xludf.DUMMYFUNCTION("""COMPUTED_VALUE"""),755.0)</f>
        <v>755</v>
      </c>
      <c r="D349" s="2">
        <f>IFERROR(__xludf.DUMMYFUNCTION("""COMPUTED_VALUE"""),740.0)</f>
        <v>740</v>
      </c>
      <c r="E349" s="2">
        <f>IFERROR(__xludf.DUMMYFUNCTION("""COMPUTED_VALUE"""),750.0)</f>
        <v>750</v>
      </c>
      <c r="F349" s="2">
        <f>IFERROR(__xludf.DUMMYFUNCTION("""COMPUTED_VALUE"""),5206600.0)</f>
        <v>5206600</v>
      </c>
      <c r="G349" s="2">
        <f t="shared" si="1"/>
        <v>15</v>
      </c>
    </row>
    <row r="350" ht="15.75" customHeight="1">
      <c r="A350" s="1">
        <f>IFERROR(__xludf.DUMMYFUNCTION("""COMPUTED_VALUE"""),44358.625)</f>
        <v>44358.625</v>
      </c>
      <c r="B350" s="2">
        <f>IFERROR(__xludf.DUMMYFUNCTION("""COMPUTED_VALUE"""),750.0)</f>
        <v>750</v>
      </c>
      <c r="C350" s="2">
        <f>IFERROR(__xludf.DUMMYFUNCTION("""COMPUTED_VALUE"""),755.0)</f>
        <v>755</v>
      </c>
      <c r="D350" s="2">
        <f>IFERROR(__xludf.DUMMYFUNCTION("""COMPUTED_VALUE"""),750.0)</f>
        <v>750</v>
      </c>
      <c r="E350" s="2">
        <f>IFERROR(__xludf.DUMMYFUNCTION("""COMPUTED_VALUE"""),755.0)</f>
        <v>755</v>
      </c>
      <c r="F350" s="2">
        <f>IFERROR(__xludf.DUMMYFUNCTION("""COMPUTED_VALUE"""),4144300.0)</f>
        <v>4144300</v>
      </c>
      <c r="G350" s="2">
        <f t="shared" si="1"/>
        <v>5</v>
      </c>
    </row>
    <row r="351" ht="15.75" customHeight="1">
      <c r="A351" s="1">
        <f>IFERROR(__xludf.DUMMYFUNCTION("""COMPUTED_VALUE"""),44361.66666666667)</f>
        <v>44361.66667</v>
      </c>
      <c r="B351" s="2">
        <f>IFERROR(__xludf.DUMMYFUNCTION("""COMPUTED_VALUE"""),760.0)</f>
        <v>760</v>
      </c>
      <c r="C351" s="2">
        <f>IFERROR(__xludf.DUMMYFUNCTION("""COMPUTED_VALUE"""),760.0)</f>
        <v>760</v>
      </c>
      <c r="D351" s="2">
        <f>IFERROR(__xludf.DUMMYFUNCTION("""COMPUTED_VALUE"""),745.0)</f>
        <v>745</v>
      </c>
      <c r="E351" s="2">
        <f>IFERROR(__xludf.DUMMYFUNCTION("""COMPUTED_VALUE"""),750.0)</f>
        <v>750</v>
      </c>
      <c r="F351" s="2">
        <f>IFERROR(__xludf.DUMMYFUNCTION("""COMPUTED_VALUE"""),7058300.0)</f>
        <v>7058300</v>
      </c>
      <c r="G351" s="2">
        <f t="shared" si="1"/>
        <v>15</v>
      </c>
    </row>
    <row r="352" ht="15.75" customHeight="1">
      <c r="A352" s="1">
        <f>IFERROR(__xludf.DUMMYFUNCTION("""COMPUTED_VALUE"""),44362.625)</f>
        <v>44362.625</v>
      </c>
      <c r="B352" s="2">
        <f>IFERROR(__xludf.DUMMYFUNCTION("""COMPUTED_VALUE"""),750.0)</f>
        <v>750</v>
      </c>
      <c r="C352" s="2">
        <f>IFERROR(__xludf.DUMMYFUNCTION("""COMPUTED_VALUE"""),755.0)</f>
        <v>755</v>
      </c>
      <c r="D352" s="2">
        <f>IFERROR(__xludf.DUMMYFUNCTION("""COMPUTED_VALUE"""),740.0)</f>
        <v>740</v>
      </c>
      <c r="E352" s="2">
        <f>IFERROR(__xludf.DUMMYFUNCTION("""COMPUTED_VALUE"""),745.0)</f>
        <v>745</v>
      </c>
      <c r="F352" s="2">
        <f>IFERROR(__xludf.DUMMYFUNCTION("""COMPUTED_VALUE"""),7002700.0)</f>
        <v>7002700</v>
      </c>
      <c r="G352" s="2">
        <f t="shared" si="1"/>
        <v>15</v>
      </c>
    </row>
    <row r="353" ht="15.75" customHeight="1">
      <c r="A353" s="1">
        <f>IFERROR(__xludf.DUMMYFUNCTION("""COMPUTED_VALUE"""),44363.625)</f>
        <v>44363.625</v>
      </c>
      <c r="B353" s="2">
        <f>IFERROR(__xludf.DUMMYFUNCTION("""COMPUTED_VALUE"""),745.0)</f>
        <v>745</v>
      </c>
      <c r="C353" s="2">
        <f>IFERROR(__xludf.DUMMYFUNCTION("""COMPUTED_VALUE"""),750.0)</f>
        <v>750</v>
      </c>
      <c r="D353" s="2">
        <f>IFERROR(__xludf.DUMMYFUNCTION("""COMPUTED_VALUE"""),735.0)</f>
        <v>735</v>
      </c>
      <c r="E353" s="2">
        <f>IFERROR(__xludf.DUMMYFUNCTION("""COMPUTED_VALUE"""),740.0)</f>
        <v>740</v>
      </c>
      <c r="F353" s="2">
        <f>IFERROR(__xludf.DUMMYFUNCTION("""COMPUTED_VALUE"""),4629200.0)</f>
        <v>4629200</v>
      </c>
      <c r="G353" s="2">
        <f t="shared" si="1"/>
        <v>15</v>
      </c>
    </row>
    <row r="354" ht="15.75" customHeight="1">
      <c r="A354" s="1">
        <f>IFERROR(__xludf.DUMMYFUNCTION("""COMPUTED_VALUE"""),44364.625)</f>
        <v>44364.625</v>
      </c>
      <c r="B354" s="2">
        <f>IFERROR(__xludf.DUMMYFUNCTION("""COMPUTED_VALUE"""),740.0)</f>
        <v>740</v>
      </c>
      <c r="C354" s="2">
        <f>IFERROR(__xludf.DUMMYFUNCTION("""COMPUTED_VALUE"""),745.0)</f>
        <v>745</v>
      </c>
      <c r="D354" s="2">
        <f>IFERROR(__xludf.DUMMYFUNCTION("""COMPUTED_VALUE"""),730.0)</f>
        <v>730</v>
      </c>
      <c r="E354" s="2">
        <f>IFERROR(__xludf.DUMMYFUNCTION("""COMPUTED_VALUE"""),735.0)</f>
        <v>735</v>
      </c>
      <c r="F354" s="2">
        <f>IFERROR(__xludf.DUMMYFUNCTION("""COMPUTED_VALUE"""),6304500.0)</f>
        <v>6304500</v>
      </c>
      <c r="G354" s="2">
        <f t="shared" si="1"/>
        <v>15</v>
      </c>
    </row>
    <row r="355" ht="15.75" customHeight="1">
      <c r="A355" s="1">
        <f>IFERROR(__xludf.DUMMYFUNCTION("""COMPUTED_VALUE"""),44365.625)</f>
        <v>44365.625</v>
      </c>
      <c r="B355" s="2">
        <f>IFERROR(__xludf.DUMMYFUNCTION("""COMPUTED_VALUE"""),735.0)</f>
        <v>735</v>
      </c>
      <c r="C355" s="2">
        <f>IFERROR(__xludf.DUMMYFUNCTION("""COMPUTED_VALUE"""),740.0)</f>
        <v>740</v>
      </c>
      <c r="D355" s="2">
        <f>IFERROR(__xludf.DUMMYFUNCTION("""COMPUTED_VALUE"""),725.0)</f>
        <v>725</v>
      </c>
      <c r="E355" s="2">
        <f>IFERROR(__xludf.DUMMYFUNCTION("""COMPUTED_VALUE"""),725.0)</f>
        <v>725</v>
      </c>
      <c r="F355" s="2">
        <f>IFERROR(__xludf.DUMMYFUNCTION("""COMPUTED_VALUE"""),1.37501E7)</f>
        <v>13750100</v>
      </c>
      <c r="G355" s="2">
        <f t="shared" si="1"/>
        <v>15</v>
      </c>
    </row>
    <row r="356" ht="15.75" customHeight="1">
      <c r="A356" s="1">
        <f>IFERROR(__xludf.DUMMYFUNCTION("""COMPUTED_VALUE"""),44368.66666666667)</f>
        <v>44368.66667</v>
      </c>
      <c r="B356" s="2">
        <f>IFERROR(__xludf.DUMMYFUNCTION("""COMPUTED_VALUE"""),725.0)</f>
        <v>725</v>
      </c>
      <c r="C356" s="2">
        <f>IFERROR(__xludf.DUMMYFUNCTION("""COMPUTED_VALUE"""),730.0)</f>
        <v>730</v>
      </c>
      <c r="D356" s="2">
        <f>IFERROR(__xludf.DUMMYFUNCTION("""COMPUTED_VALUE"""),700.0)</f>
        <v>700</v>
      </c>
      <c r="E356" s="2">
        <f>IFERROR(__xludf.DUMMYFUNCTION("""COMPUTED_VALUE"""),725.0)</f>
        <v>725</v>
      </c>
      <c r="F356" s="2">
        <f>IFERROR(__xludf.DUMMYFUNCTION("""COMPUTED_VALUE"""),1.60176E7)</f>
        <v>16017600</v>
      </c>
      <c r="G356" s="2">
        <f t="shared" si="1"/>
        <v>30</v>
      </c>
    </row>
    <row r="357" ht="15.75" customHeight="1">
      <c r="A357" s="1">
        <f>IFERROR(__xludf.DUMMYFUNCTION("""COMPUTED_VALUE"""),44369.625)</f>
        <v>44369.625</v>
      </c>
      <c r="B357" s="2">
        <f>IFERROR(__xludf.DUMMYFUNCTION("""COMPUTED_VALUE"""),730.0)</f>
        <v>730</v>
      </c>
      <c r="C357" s="2">
        <f>IFERROR(__xludf.DUMMYFUNCTION("""COMPUTED_VALUE"""),735.0)</f>
        <v>735</v>
      </c>
      <c r="D357" s="2">
        <f>IFERROR(__xludf.DUMMYFUNCTION("""COMPUTED_VALUE"""),720.0)</f>
        <v>720</v>
      </c>
      <c r="E357" s="2">
        <f>IFERROR(__xludf.DUMMYFUNCTION("""COMPUTED_VALUE"""),735.0)</f>
        <v>735</v>
      </c>
      <c r="F357" s="2">
        <f>IFERROR(__xludf.DUMMYFUNCTION("""COMPUTED_VALUE"""),9292900.0)</f>
        <v>9292900</v>
      </c>
      <c r="G357" s="2">
        <f t="shared" si="1"/>
        <v>15</v>
      </c>
    </row>
    <row r="358" ht="15.75" customHeight="1">
      <c r="A358" s="1">
        <f>IFERROR(__xludf.DUMMYFUNCTION("""COMPUTED_VALUE"""),44370.625)</f>
        <v>44370.625</v>
      </c>
      <c r="B358" s="2">
        <f>IFERROR(__xludf.DUMMYFUNCTION("""COMPUTED_VALUE"""),735.0)</f>
        <v>735</v>
      </c>
      <c r="C358" s="2">
        <f>IFERROR(__xludf.DUMMYFUNCTION("""COMPUTED_VALUE"""),740.0)</f>
        <v>740</v>
      </c>
      <c r="D358" s="2">
        <f>IFERROR(__xludf.DUMMYFUNCTION("""COMPUTED_VALUE"""),725.0)</f>
        <v>725</v>
      </c>
      <c r="E358" s="2">
        <f>IFERROR(__xludf.DUMMYFUNCTION("""COMPUTED_VALUE"""),730.0)</f>
        <v>730</v>
      </c>
      <c r="F358" s="2">
        <f>IFERROR(__xludf.DUMMYFUNCTION("""COMPUTED_VALUE"""),8903700.0)</f>
        <v>8903700</v>
      </c>
      <c r="G358" s="2">
        <f t="shared" si="1"/>
        <v>15</v>
      </c>
    </row>
    <row r="359" ht="15.75" customHeight="1">
      <c r="A359" s="1">
        <f>IFERROR(__xludf.DUMMYFUNCTION("""COMPUTED_VALUE"""),44371.625)</f>
        <v>44371.625</v>
      </c>
      <c r="B359" s="2">
        <f>IFERROR(__xludf.DUMMYFUNCTION("""COMPUTED_VALUE"""),730.0)</f>
        <v>730</v>
      </c>
      <c r="C359" s="2">
        <f>IFERROR(__xludf.DUMMYFUNCTION("""COMPUTED_VALUE"""),735.0)</f>
        <v>735</v>
      </c>
      <c r="D359" s="2">
        <f>IFERROR(__xludf.DUMMYFUNCTION("""COMPUTED_VALUE"""),720.0)</f>
        <v>720</v>
      </c>
      <c r="E359" s="2">
        <f>IFERROR(__xludf.DUMMYFUNCTION("""COMPUTED_VALUE"""),720.0)</f>
        <v>720</v>
      </c>
      <c r="F359" s="2">
        <f>IFERROR(__xludf.DUMMYFUNCTION("""COMPUTED_VALUE"""),8056600.0)</f>
        <v>8056600</v>
      </c>
      <c r="G359" s="2">
        <f t="shared" si="1"/>
        <v>15</v>
      </c>
    </row>
    <row r="360" ht="15.75" customHeight="1">
      <c r="A360" s="1">
        <f>IFERROR(__xludf.DUMMYFUNCTION("""COMPUTED_VALUE"""),44372.625)</f>
        <v>44372.625</v>
      </c>
      <c r="B360" s="2">
        <f>IFERROR(__xludf.DUMMYFUNCTION("""COMPUTED_VALUE"""),720.0)</f>
        <v>720</v>
      </c>
      <c r="C360" s="2">
        <f>IFERROR(__xludf.DUMMYFUNCTION("""COMPUTED_VALUE"""),725.0)</f>
        <v>725</v>
      </c>
      <c r="D360" s="2">
        <f>IFERROR(__xludf.DUMMYFUNCTION("""COMPUTED_VALUE"""),715.0)</f>
        <v>715</v>
      </c>
      <c r="E360" s="2">
        <f>IFERROR(__xludf.DUMMYFUNCTION("""COMPUTED_VALUE"""),720.0)</f>
        <v>720</v>
      </c>
      <c r="F360" s="2">
        <f>IFERROR(__xludf.DUMMYFUNCTION("""COMPUTED_VALUE"""),7235700.0)</f>
        <v>7235700</v>
      </c>
      <c r="G360" s="2">
        <f t="shared" si="1"/>
        <v>10</v>
      </c>
    </row>
    <row r="361" ht="15.75" customHeight="1">
      <c r="A361" s="1">
        <f>IFERROR(__xludf.DUMMYFUNCTION("""COMPUTED_VALUE"""),44375.66666666667)</f>
        <v>44375.66667</v>
      </c>
      <c r="B361" s="2">
        <f>IFERROR(__xludf.DUMMYFUNCTION("""COMPUTED_VALUE"""),720.0)</f>
        <v>720</v>
      </c>
      <c r="C361" s="2">
        <f>IFERROR(__xludf.DUMMYFUNCTION("""COMPUTED_VALUE"""),725.0)</f>
        <v>725</v>
      </c>
      <c r="D361" s="2">
        <f>IFERROR(__xludf.DUMMYFUNCTION("""COMPUTED_VALUE"""),705.0)</f>
        <v>705</v>
      </c>
      <c r="E361" s="2">
        <f>IFERROR(__xludf.DUMMYFUNCTION("""COMPUTED_VALUE"""),705.0)</f>
        <v>705</v>
      </c>
      <c r="F361" s="2">
        <f>IFERROR(__xludf.DUMMYFUNCTION("""COMPUTED_VALUE"""),7817300.0)</f>
        <v>7817300</v>
      </c>
      <c r="G361" s="2">
        <f t="shared" si="1"/>
        <v>20</v>
      </c>
    </row>
    <row r="362" ht="15.75" customHeight="1">
      <c r="A362" s="1">
        <f>IFERROR(__xludf.DUMMYFUNCTION("""COMPUTED_VALUE"""),44376.625)</f>
        <v>44376.625</v>
      </c>
      <c r="B362" s="2">
        <f>IFERROR(__xludf.DUMMYFUNCTION("""COMPUTED_VALUE"""),705.0)</f>
        <v>705</v>
      </c>
      <c r="C362" s="2">
        <f>IFERROR(__xludf.DUMMYFUNCTION("""COMPUTED_VALUE"""),710.0)</f>
        <v>710</v>
      </c>
      <c r="D362" s="2">
        <f>IFERROR(__xludf.DUMMYFUNCTION("""COMPUTED_VALUE"""),700.0)</f>
        <v>700</v>
      </c>
      <c r="E362" s="2">
        <f>IFERROR(__xludf.DUMMYFUNCTION("""COMPUTED_VALUE"""),700.0)</f>
        <v>700</v>
      </c>
      <c r="F362" s="2">
        <f>IFERROR(__xludf.DUMMYFUNCTION("""COMPUTED_VALUE"""),6192000.0)</f>
        <v>6192000</v>
      </c>
      <c r="G362" s="2">
        <f t="shared" si="1"/>
        <v>10</v>
      </c>
    </row>
    <row r="363" ht="15.75" customHeight="1">
      <c r="A363" s="1">
        <f>IFERROR(__xludf.DUMMYFUNCTION("""COMPUTED_VALUE"""),44377.625)</f>
        <v>44377.625</v>
      </c>
      <c r="B363" s="2">
        <f>IFERROR(__xludf.DUMMYFUNCTION("""COMPUTED_VALUE"""),700.0)</f>
        <v>700</v>
      </c>
      <c r="C363" s="2">
        <f>IFERROR(__xludf.DUMMYFUNCTION("""COMPUTED_VALUE"""),710.0)</f>
        <v>710</v>
      </c>
      <c r="D363" s="2">
        <f>IFERROR(__xludf.DUMMYFUNCTION("""COMPUTED_VALUE"""),700.0)</f>
        <v>700</v>
      </c>
      <c r="E363" s="2">
        <f>IFERROR(__xludf.DUMMYFUNCTION("""COMPUTED_VALUE"""),705.0)</f>
        <v>705</v>
      </c>
      <c r="F363" s="2">
        <f>IFERROR(__xludf.DUMMYFUNCTION("""COMPUTED_VALUE"""),3807100.0)</f>
        <v>3807100</v>
      </c>
      <c r="G363" s="2">
        <f t="shared" si="1"/>
        <v>10</v>
      </c>
    </row>
    <row r="364" ht="15.75" customHeight="1">
      <c r="A364" s="1">
        <f>IFERROR(__xludf.DUMMYFUNCTION("""COMPUTED_VALUE"""),44378.625)</f>
        <v>44378.625</v>
      </c>
      <c r="B364" s="2">
        <f>IFERROR(__xludf.DUMMYFUNCTION("""COMPUTED_VALUE"""),705.0)</f>
        <v>705</v>
      </c>
      <c r="C364" s="2">
        <f>IFERROR(__xludf.DUMMYFUNCTION("""COMPUTED_VALUE"""),715.0)</f>
        <v>715</v>
      </c>
      <c r="D364" s="2">
        <f>IFERROR(__xludf.DUMMYFUNCTION("""COMPUTED_VALUE"""),700.0)</f>
        <v>700</v>
      </c>
      <c r="E364" s="2">
        <f>IFERROR(__xludf.DUMMYFUNCTION("""COMPUTED_VALUE"""),705.0)</f>
        <v>705</v>
      </c>
      <c r="F364" s="2">
        <f>IFERROR(__xludf.DUMMYFUNCTION("""COMPUTED_VALUE"""),6124000.0)</f>
        <v>6124000</v>
      </c>
      <c r="G364" s="2">
        <f t="shared" si="1"/>
        <v>15</v>
      </c>
    </row>
    <row r="365" ht="15.75" customHeight="1">
      <c r="A365" s="1">
        <f>IFERROR(__xludf.DUMMYFUNCTION("""COMPUTED_VALUE"""),44379.625)</f>
        <v>44379.625</v>
      </c>
      <c r="B365" s="2">
        <f>IFERROR(__xludf.DUMMYFUNCTION("""COMPUTED_VALUE"""),705.0)</f>
        <v>705</v>
      </c>
      <c r="C365" s="2">
        <f>IFERROR(__xludf.DUMMYFUNCTION("""COMPUTED_VALUE"""),715.0)</f>
        <v>715</v>
      </c>
      <c r="D365" s="2">
        <f>IFERROR(__xludf.DUMMYFUNCTION("""COMPUTED_VALUE"""),700.0)</f>
        <v>700</v>
      </c>
      <c r="E365" s="2">
        <f>IFERROR(__xludf.DUMMYFUNCTION("""COMPUTED_VALUE"""),715.0)</f>
        <v>715</v>
      </c>
      <c r="F365" s="2">
        <f>IFERROR(__xludf.DUMMYFUNCTION("""COMPUTED_VALUE"""),5104700.0)</f>
        <v>5104700</v>
      </c>
      <c r="G365" s="2">
        <f t="shared" si="1"/>
        <v>15</v>
      </c>
    </row>
    <row r="366" ht="15.75" customHeight="1">
      <c r="A366" s="1">
        <f>IFERROR(__xludf.DUMMYFUNCTION("""COMPUTED_VALUE"""),44382.625)</f>
        <v>44382.625</v>
      </c>
      <c r="B366" s="2">
        <f>IFERROR(__xludf.DUMMYFUNCTION("""COMPUTED_VALUE"""),715.0)</f>
        <v>715</v>
      </c>
      <c r="C366" s="2">
        <f>IFERROR(__xludf.DUMMYFUNCTION("""COMPUTED_VALUE"""),720.0)</f>
        <v>720</v>
      </c>
      <c r="D366" s="2">
        <f>IFERROR(__xludf.DUMMYFUNCTION("""COMPUTED_VALUE"""),695.0)</f>
        <v>695</v>
      </c>
      <c r="E366" s="2">
        <f>IFERROR(__xludf.DUMMYFUNCTION("""COMPUTED_VALUE"""),700.0)</f>
        <v>700</v>
      </c>
      <c r="F366" s="2">
        <f>IFERROR(__xludf.DUMMYFUNCTION("""COMPUTED_VALUE"""),1.04219E7)</f>
        <v>10421900</v>
      </c>
      <c r="G366" s="2">
        <f t="shared" si="1"/>
        <v>25</v>
      </c>
    </row>
    <row r="367" ht="15.75" customHeight="1">
      <c r="A367" s="1">
        <f>IFERROR(__xludf.DUMMYFUNCTION("""COMPUTED_VALUE"""),44383.625)</f>
        <v>44383.625</v>
      </c>
      <c r="B367" s="2">
        <f>IFERROR(__xludf.DUMMYFUNCTION("""COMPUTED_VALUE"""),705.0)</f>
        <v>705</v>
      </c>
      <c r="C367" s="2">
        <f>IFERROR(__xludf.DUMMYFUNCTION("""COMPUTED_VALUE"""),705.0)</f>
        <v>705</v>
      </c>
      <c r="D367" s="2">
        <f>IFERROR(__xludf.DUMMYFUNCTION("""COMPUTED_VALUE"""),695.0)</f>
        <v>695</v>
      </c>
      <c r="E367" s="2">
        <f>IFERROR(__xludf.DUMMYFUNCTION("""COMPUTED_VALUE"""),700.0)</f>
        <v>700</v>
      </c>
      <c r="F367" s="2">
        <f>IFERROR(__xludf.DUMMYFUNCTION("""COMPUTED_VALUE"""),5690200.0)</f>
        <v>5690200</v>
      </c>
      <c r="G367" s="2">
        <f t="shared" si="1"/>
        <v>10</v>
      </c>
    </row>
    <row r="368" ht="15.75" customHeight="1">
      <c r="A368" s="1">
        <f>IFERROR(__xludf.DUMMYFUNCTION("""COMPUTED_VALUE"""),44384.625)</f>
        <v>44384.625</v>
      </c>
      <c r="B368" s="2">
        <f>IFERROR(__xludf.DUMMYFUNCTION("""COMPUTED_VALUE"""),705.0)</f>
        <v>705</v>
      </c>
      <c r="C368" s="2">
        <f>IFERROR(__xludf.DUMMYFUNCTION("""COMPUTED_VALUE"""),705.0)</f>
        <v>705</v>
      </c>
      <c r="D368" s="2">
        <f>IFERROR(__xludf.DUMMYFUNCTION("""COMPUTED_VALUE"""),695.0)</f>
        <v>695</v>
      </c>
      <c r="E368" s="2">
        <f>IFERROR(__xludf.DUMMYFUNCTION("""COMPUTED_VALUE"""),695.0)</f>
        <v>695</v>
      </c>
      <c r="F368" s="2">
        <f>IFERROR(__xludf.DUMMYFUNCTION("""COMPUTED_VALUE"""),6416200.0)</f>
        <v>6416200</v>
      </c>
      <c r="G368" s="2">
        <f t="shared" si="1"/>
        <v>10</v>
      </c>
    </row>
    <row r="369" ht="15.75" customHeight="1">
      <c r="A369" s="1">
        <f>IFERROR(__xludf.DUMMYFUNCTION("""COMPUTED_VALUE"""),44385.625)</f>
        <v>44385.625</v>
      </c>
      <c r="B369" s="2">
        <f>IFERROR(__xludf.DUMMYFUNCTION("""COMPUTED_VALUE"""),695.0)</f>
        <v>695</v>
      </c>
      <c r="C369" s="2">
        <f>IFERROR(__xludf.DUMMYFUNCTION("""COMPUTED_VALUE"""),705.0)</f>
        <v>705</v>
      </c>
      <c r="D369" s="2">
        <f>IFERROR(__xludf.DUMMYFUNCTION("""COMPUTED_VALUE"""),695.0)</f>
        <v>695</v>
      </c>
      <c r="E369" s="2">
        <f>IFERROR(__xludf.DUMMYFUNCTION("""COMPUTED_VALUE"""),705.0)</f>
        <v>705</v>
      </c>
      <c r="F369" s="2">
        <f>IFERROR(__xludf.DUMMYFUNCTION("""COMPUTED_VALUE"""),5924300.0)</f>
        <v>5924300</v>
      </c>
      <c r="G369" s="2">
        <f t="shared" si="1"/>
        <v>10</v>
      </c>
    </row>
    <row r="370" ht="15.75" customHeight="1">
      <c r="A370" s="1">
        <f>IFERROR(__xludf.DUMMYFUNCTION("""COMPUTED_VALUE"""),44386.625)</f>
        <v>44386.625</v>
      </c>
      <c r="B370" s="2">
        <f>IFERROR(__xludf.DUMMYFUNCTION("""COMPUTED_VALUE"""),705.0)</f>
        <v>705</v>
      </c>
      <c r="C370" s="2">
        <f>IFERROR(__xludf.DUMMYFUNCTION("""COMPUTED_VALUE"""),705.0)</f>
        <v>705</v>
      </c>
      <c r="D370" s="2">
        <f>IFERROR(__xludf.DUMMYFUNCTION("""COMPUTED_VALUE"""),700.0)</f>
        <v>700</v>
      </c>
      <c r="E370" s="2">
        <f>IFERROR(__xludf.DUMMYFUNCTION("""COMPUTED_VALUE"""),700.0)</f>
        <v>700</v>
      </c>
      <c r="F370" s="2">
        <f>IFERROR(__xludf.DUMMYFUNCTION("""COMPUTED_VALUE"""),5520000.0)</f>
        <v>5520000</v>
      </c>
      <c r="G370" s="2">
        <f t="shared" si="1"/>
        <v>5</v>
      </c>
    </row>
    <row r="371" ht="15.75" customHeight="1">
      <c r="A371" s="1">
        <f>IFERROR(__xludf.DUMMYFUNCTION("""COMPUTED_VALUE"""),44389.625)</f>
        <v>44389.625</v>
      </c>
      <c r="B371" s="2">
        <f>IFERROR(__xludf.DUMMYFUNCTION("""COMPUTED_VALUE"""),700.0)</f>
        <v>700</v>
      </c>
      <c r="C371" s="2">
        <f>IFERROR(__xludf.DUMMYFUNCTION("""COMPUTED_VALUE"""),705.0)</f>
        <v>705</v>
      </c>
      <c r="D371" s="2">
        <f>IFERROR(__xludf.DUMMYFUNCTION("""COMPUTED_VALUE"""),700.0)</f>
        <v>700</v>
      </c>
      <c r="E371" s="2">
        <f>IFERROR(__xludf.DUMMYFUNCTION("""COMPUTED_VALUE"""),705.0)</f>
        <v>705</v>
      </c>
      <c r="F371" s="2">
        <f>IFERROR(__xludf.DUMMYFUNCTION("""COMPUTED_VALUE"""),5130500.0)</f>
        <v>5130500</v>
      </c>
      <c r="G371" s="2">
        <f t="shared" si="1"/>
        <v>5</v>
      </c>
    </row>
    <row r="372" ht="15.75" customHeight="1">
      <c r="A372" s="1">
        <f>IFERROR(__xludf.DUMMYFUNCTION("""COMPUTED_VALUE"""),44390.625)</f>
        <v>44390.625</v>
      </c>
      <c r="B372" s="2">
        <f>IFERROR(__xludf.DUMMYFUNCTION("""COMPUTED_VALUE"""),705.0)</f>
        <v>705</v>
      </c>
      <c r="C372" s="2">
        <f>IFERROR(__xludf.DUMMYFUNCTION("""COMPUTED_VALUE"""),710.0)</f>
        <v>710</v>
      </c>
      <c r="D372" s="2">
        <f>IFERROR(__xludf.DUMMYFUNCTION("""COMPUTED_VALUE"""),700.0)</f>
        <v>700</v>
      </c>
      <c r="E372" s="2">
        <f>IFERROR(__xludf.DUMMYFUNCTION("""COMPUTED_VALUE"""),700.0)</f>
        <v>700</v>
      </c>
      <c r="F372" s="2">
        <f>IFERROR(__xludf.DUMMYFUNCTION("""COMPUTED_VALUE"""),4780300.0)</f>
        <v>4780300</v>
      </c>
      <c r="G372" s="2">
        <f t="shared" si="1"/>
        <v>10</v>
      </c>
    </row>
    <row r="373" ht="15.75" customHeight="1">
      <c r="A373" s="1">
        <f>IFERROR(__xludf.DUMMYFUNCTION("""COMPUTED_VALUE"""),44391.625)</f>
        <v>44391.625</v>
      </c>
      <c r="B373" s="2">
        <f>IFERROR(__xludf.DUMMYFUNCTION("""COMPUTED_VALUE"""),700.0)</f>
        <v>700</v>
      </c>
      <c r="C373" s="2">
        <f>IFERROR(__xludf.DUMMYFUNCTION("""COMPUTED_VALUE"""),705.0)</f>
        <v>705</v>
      </c>
      <c r="D373" s="2">
        <f>IFERROR(__xludf.DUMMYFUNCTION("""COMPUTED_VALUE"""),695.0)</f>
        <v>695</v>
      </c>
      <c r="E373" s="2">
        <f>IFERROR(__xludf.DUMMYFUNCTION("""COMPUTED_VALUE"""),695.0)</f>
        <v>695</v>
      </c>
      <c r="F373" s="2">
        <f>IFERROR(__xludf.DUMMYFUNCTION("""COMPUTED_VALUE"""),1.09643E7)</f>
        <v>10964300</v>
      </c>
      <c r="G373" s="2">
        <f t="shared" si="1"/>
        <v>10</v>
      </c>
    </row>
    <row r="374" ht="15.75" customHeight="1">
      <c r="A374" s="1">
        <f>IFERROR(__xludf.DUMMYFUNCTION("""COMPUTED_VALUE"""),44392.625)</f>
        <v>44392.625</v>
      </c>
      <c r="B374" s="2">
        <f>IFERROR(__xludf.DUMMYFUNCTION("""COMPUTED_VALUE"""),695.0)</f>
        <v>695</v>
      </c>
      <c r="C374" s="2">
        <f>IFERROR(__xludf.DUMMYFUNCTION("""COMPUTED_VALUE"""),700.0)</f>
        <v>700</v>
      </c>
      <c r="D374" s="2">
        <f>IFERROR(__xludf.DUMMYFUNCTION("""COMPUTED_VALUE"""),695.0)</f>
        <v>695</v>
      </c>
      <c r="E374" s="2">
        <f>IFERROR(__xludf.DUMMYFUNCTION("""COMPUTED_VALUE"""),695.0)</f>
        <v>695</v>
      </c>
      <c r="F374" s="2">
        <f>IFERROR(__xludf.DUMMYFUNCTION("""COMPUTED_VALUE"""),8871900.0)</f>
        <v>8871900</v>
      </c>
      <c r="G374" s="2">
        <f t="shared" si="1"/>
        <v>5</v>
      </c>
    </row>
    <row r="375" ht="15.75" customHeight="1">
      <c r="A375" s="1">
        <f>IFERROR(__xludf.DUMMYFUNCTION("""COMPUTED_VALUE"""),44393.625)</f>
        <v>44393.625</v>
      </c>
      <c r="B375" s="2">
        <f>IFERROR(__xludf.DUMMYFUNCTION("""COMPUTED_VALUE"""),700.0)</f>
        <v>700</v>
      </c>
      <c r="C375" s="2">
        <f>IFERROR(__xludf.DUMMYFUNCTION("""COMPUTED_VALUE"""),700.0)</f>
        <v>700</v>
      </c>
      <c r="D375" s="2">
        <f>IFERROR(__xludf.DUMMYFUNCTION("""COMPUTED_VALUE"""),685.0)</f>
        <v>685</v>
      </c>
      <c r="E375" s="2">
        <f>IFERROR(__xludf.DUMMYFUNCTION("""COMPUTED_VALUE"""),690.0)</f>
        <v>690</v>
      </c>
      <c r="F375" s="2">
        <f>IFERROR(__xludf.DUMMYFUNCTION("""COMPUTED_VALUE"""),1.99958E7)</f>
        <v>19995800</v>
      </c>
      <c r="G375" s="2">
        <f t="shared" si="1"/>
        <v>15</v>
      </c>
    </row>
    <row r="376" ht="15.75" customHeight="1">
      <c r="A376" s="1">
        <f>IFERROR(__xludf.DUMMYFUNCTION("""COMPUTED_VALUE"""),44396.625)</f>
        <v>44396.625</v>
      </c>
      <c r="B376" s="2">
        <f>IFERROR(__xludf.DUMMYFUNCTION("""COMPUTED_VALUE"""),690.0)</f>
        <v>690</v>
      </c>
      <c r="C376" s="2">
        <f>IFERROR(__xludf.DUMMYFUNCTION("""COMPUTED_VALUE"""),695.0)</f>
        <v>695</v>
      </c>
      <c r="D376" s="2">
        <f>IFERROR(__xludf.DUMMYFUNCTION("""COMPUTED_VALUE"""),685.0)</f>
        <v>685</v>
      </c>
      <c r="E376" s="2">
        <f>IFERROR(__xludf.DUMMYFUNCTION("""COMPUTED_VALUE"""),685.0)</f>
        <v>685</v>
      </c>
      <c r="F376" s="2">
        <f>IFERROR(__xludf.DUMMYFUNCTION("""COMPUTED_VALUE"""),7535400.0)</f>
        <v>7535400</v>
      </c>
      <c r="G376" s="2">
        <f t="shared" si="1"/>
        <v>10</v>
      </c>
    </row>
    <row r="377" ht="15.75" customHeight="1">
      <c r="A377" s="1">
        <f>IFERROR(__xludf.DUMMYFUNCTION("""COMPUTED_VALUE"""),44398.625)</f>
        <v>44398.625</v>
      </c>
      <c r="B377" s="2">
        <f>IFERROR(__xludf.DUMMYFUNCTION("""COMPUTED_VALUE"""),685.0)</f>
        <v>685</v>
      </c>
      <c r="C377" s="2">
        <f>IFERROR(__xludf.DUMMYFUNCTION("""COMPUTED_VALUE"""),700.0)</f>
        <v>700</v>
      </c>
      <c r="D377" s="2">
        <f>IFERROR(__xludf.DUMMYFUNCTION("""COMPUTED_VALUE"""),680.0)</f>
        <v>680</v>
      </c>
      <c r="E377" s="2">
        <f>IFERROR(__xludf.DUMMYFUNCTION("""COMPUTED_VALUE"""),690.0)</f>
        <v>690</v>
      </c>
      <c r="F377" s="2">
        <f>IFERROR(__xludf.DUMMYFUNCTION("""COMPUTED_VALUE"""),1.16131E7)</f>
        <v>11613100</v>
      </c>
      <c r="G377" s="2">
        <f t="shared" si="1"/>
        <v>20</v>
      </c>
    </row>
    <row r="378" ht="15.75" customHeight="1">
      <c r="A378" s="1">
        <f>IFERROR(__xludf.DUMMYFUNCTION("""COMPUTED_VALUE"""),44399.625)</f>
        <v>44399.625</v>
      </c>
      <c r="B378" s="2">
        <f>IFERROR(__xludf.DUMMYFUNCTION("""COMPUTED_VALUE"""),690.0)</f>
        <v>690</v>
      </c>
      <c r="C378" s="2">
        <f>IFERROR(__xludf.DUMMYFUNCTION("""COMPUTED_VALUE"""),710.0)</f>
        <v>710</v>
      </c>
      <c r="D378" s="2">
        <f>IFERROR(__xludf.DUMMYFUNCTION("""COMPUTED_VALUE"""),690.0)</f>
        <v>690</v>
      </c>
      <c r="E378" s="2">
        <f>IFERROR(__xludf.DUMMYFUNCTION("""COMPUTED_VALUE"""),705.0)</f>
        <v>705</v>
      </c>
      <c r="F378" s="2">
        <f>IFERROR(__xludf.DUMMYFUNCTION("""COMPUTED_VALUE"""),1.77267E7)</f>
        <v>17726700</v>
      </c>
      <c r="G378" s="2">
        <f t="shared" si="1"/>
        <v>20</v>
      </c>
    </row>
    <row r="379" ht="15.75" customHeight="1">
      <c r="A379" s="1">
        <f>IFERROR(__xludf.DUMMYFUNCTION("""COMPUTED_VALUE"""),44400.625)</f>
        <v>44400.625</v>
      </c>
      <c r="B379" s="2">
        <f>IFERROR(__xludf.DUMMYFUNCTION("""COMPUTED_VALUE"""),710.0)</f>
        <v>710</v>
      </c>
      <c r="C379" s="2">
        <f>IFERROR(__xludf.DUMMYFUNCTION("""COMPUTED_VALUE"""),710.0)</f>
        <v>710</v>
      </c>
      <c r="D379" s="2">
        <f>IFERROR(__xludf.DUMMYFUNCTION("""COMPUTED_VALUE"""),700.0)</f>
        <v>700</v>
      </c>
      <c r="E379" s="2">
        <f>IFERROR(__xludf.DUMMYFUNCTION("""COMPUTED_VALUE"""),705.0)</f>
        <v>705</v>
      </c>
      <c r="F379" s="2">
        <f>IFERROR(__xludf.DUMMYFUNCTION("""COMPUTED_VALUE"""),6910200.0)</f>
        <v>6910200</v>
      </c>
      <c r="G379" s="2">
        <f t="shared" si="1"/>
        <v>10</v>
      </c>
    </row>
    <row r="380" ht="15.75" customHeight="1">
      <c r="A380" s="1">
        <f>IFERROR(__xludf.DUMMYFUNCTION("""COMPUTED_VALUE"""),44403.625)</f>
        <v>44403.625</v>
      </c>
      <c r="B380" s="2">
        <f>IFERROR(__xludf.DUMMYFUNCTION("""COMPUTED_VALUE"""),705.0)</f>
        <v>705</v>
      </c>
      <c r="C380" s="2">
        <f>IFERROR(__xludf.DUMMYFUNCTION("""COMPUTED_VALUE"""),710.0)</f>
        <v>710</v>
      </c>
      <c r="D380" s="2">
        <f>IFERROR(__xludf.DUMMYFUNCTION("""COMPUTED_VALUE"""),700.0)</f>
        <v>700</v>
      </c>
      <c r="E380" s="2">
        <f>IFERROR(__xludf.DUMMYFUNCTION("""COMPUTED_VALUE"""),700.0)</f>
        <v>700</v>
      </c>
      <c r="F380" s="2">
        <f>IFERROR(__xludf.DUMMYFUNCTION("""COMPUTED_VALUE"""),4799200.0)</f>
        <v>4799200</v>
      </c>
      <c r="G380" s="2">
        <f t="shared" si="1"/>
        <v>10</v>
      </c>
    </row>
    <row r="381" ht="15.75" customHeight="1">
      <c r="A381" s="1">
        <f>IFERROR(__xludf.DUMMYFUNCTION("""COMPUTED_VALUE"""),44404.625)</f>
        <v>44404.625</v>
      </c>
      <c r="B381" s="2">
        <f>IFERROR(__xludf.DUMMYFUNCTION("""COMPUTED_VALUE"""),700.0)</f>
        <v>700</v>
      </c>
      <c r="C381" s="2">
        <f>IFERROR(__xludf.DUMMYFUNCTION("""COMPUTED_VALUE"""),710.0)</f>
        <v>710</v>
      </c>
      <c r="D381" s="2">
        <f>IFERROR(__xludf.DUMMYFUNCTION("""COMPUTED_VALUE"""),700.0)</f>
        <v>700</v>
      </c>
      <c r="E381" s="2">
        <f>IFERROR(__xludf.DUMMYFUNCTION("""COMPUTED_VALUE"""),705.0)</f>
        <v>705</v>
      </c>
      <c r="F381" s="2">
        <f>IFERROR(__xludf.DUMMYFUNCTION("""COMPUTED_VALUE"""),5727500.0)</f>
        <v>5727500</v>
      </c>
      <c r="G381" s="2">
        <f t="shared" si="1"/>
        <v>10</v>
      </c>
    </row>
    <row r="382" ht="15.75" customHeight="1">
      <c r="A382" s="1">
        <f>IFERROR(__xludf.DUMMYFUNCTION("""COMPUTED_VALUE"""),44405.625)</f>
        <v>44405.625</v>
      </c>
      <c r="B382" s="2">
        <f>IFERROR(__xludf.DUMMYFUNCTION("""COMPUTED_VALUE"""),710.0)</f>
        <v>710</v>
      </c>
      <c r="C382" s="2">
        <f>IFERROR(__xludf.DUMMYFUNCTION("""COMPUTED_VALUE"""),710.0)</f>
        <v>710</v>
      </c>
      <c r="D382" s="2">
        <f>IFERROR(__xludf.DUMMYFUNCTION("""COMPUTED_VALUE"""),695.0)</f>
        <v>695</v>
      </c>
      <c r="E382" s="2">
        <f>IFERROR(__xludf.DUMMYFUNCTION("""COMPUTED_VALUE"""),700.0)</f>
        <v>700</v>
      </c>
      <c r="F382" s="2">
        <f>IFERROR(__xludf.DUMMYFUNCTION("""COMPUTED_VALUE"""),6814600.0)</f>
        <v>6814600</v>
      </c>
      <c r="G382" s="2">
        <f t="shared" si="1"/>
        <v>15</v>
      </c>
    </row>
    <row r="383" ht="15.75" customHeight="1">
      <c r="A383" s="1">
        <f>IFERROR(__xludf.DUMMYFUNCTION("""COMPUTED_VALUE"""),44406.625)</f>
        <v>44406.625</v>
      </c>
      <c r="B383" s="2">
        <f>IFERROR(__xludf.DUMMYFUNCTION("""COMPUTED_VALUE"""),705.0)</f>
        <v>705</v>
      </c>
      <c r="C383" s="2">
        <f>IFERROR(__xludf.DUMMYFUNCTION("""COMPUTED_VALUE"""),705.0)</f>
        <v>705</v>
      </c>
      <c r="D383" s="2">
        <f>IFERROR(__xludf.DUMMYFUNCTION("""COMPUTED_VALUE"""),690.0)</f>
        <v>690</v>
      </c>
      <c r="E383" s="2">
        <f>IFERROR(__xludf.DUMMYFUNCTION("""COMPUTED_VALUE"""),690.0)</f>
        <v>690</v>
      </c>
      <c r="F383" s="2">
        <f>IFERROR(__xludf.DUMMYFUNCTION("""COMPUTED_VALUE"""),1.1464E7)</f>
        <v>11464000</v>
      </c>
      <c r="G383" s="2">
        <f t="shared" si="1"/>
        <v>15</v>
      </c>
    </row>
    <row r="384" ht="15.75" customHeight="1">
      <c r="A384" s="1">
        <f>IFERROR(__xludf.DUMMYFUNCTION("""COMPUTED_VALUE"""),44407.625)</f>
        <v>44407.625</v>
      </c>
      <c r="B384" s="2">
        <f>IFERROR(__xludf.DUMMYFUNCTION("""COMPUTED_VALUE"""),700.0)</f>
        <v>700</v>
      </c>
      <c r="C384" s="2">
        <f>IFERROR(__xludf.DUMMYFUNCTION("""COMPUTED_VALUE"""),700.0)</f>
        <v>700</v>
      </c>
      <c r="D384" s="2">
        <f>IFERROR(__xludf.DUMMYFUNCTION("""COMPUTED_VALUE"""),685.0)</f>
        <v>685</v>
      </c>
      <c r="E384" s="2">
        <f>IFERROR(__xludf.DUMMYFUNCTION("""COMPUTED_VALUE"""),695.0)</f>
        <v>695</v>
      </c>
      <c r="F384" s="2">
        <f>IFERROR(__xludf.DUMMYFUNCTION("""COMPUTED_VALUE"""),1.2272E7)</f>
        <v>12272000</v>
      </c>
      <c r="G384" s="2">
        <f t="shared" si="1"/>
        <v>15</v>
      </c>
    </row>
    <row r="385" ht="15.75" customHeight="1">
      <c r="A385" s="1">
        <f>IFERROR(__xludf.DUMMYFUNCTION("""COMPUTED_VALUE"""),44410.625)</f>
        <v>44410.625</v>
      </c>
      <c r="B385" s="2">
        <f>IFERROR(__xludf.DUMMYFUNCTION("""COMPUTED_VALUE"""),695.0)</f>
        <v>695</v>
      </c>
      <c r="C385" s="2">
        <f>IFERROR(__xludf.DUMMYFUNCTION("""COMPUTED_VALUE"""),700.0)</f>
        <v>700</v>
      </c>
      <c r="D385" s="2">
        <f>IFERROR(__xludf.DUMMYFUNCTION("""COMPUTED_VALUE"""),690.0)</f>
        <v>690</v>
      </c>
      <c r="E385" s="2">
        <f>IFERROR(__xludf.DUMMYFUNCTION("""COMPUTED_VALUE"""),695.0)</f>
        <v>695</v>
      </c>
      <c r="F385" s="2">
        <f>IFERROR(__xludf.DUMMYFUNCTION("""COMPUTED_VALUE"""),5734100.0)</f>
        <v>5734100</v>
      </c>
      <c r="G385" s="2">
        <f t="shared" si="1"/>
        <v>10</v>
      </c>
    </row>
    <row r="386" ht="15.75" customHeight="1">
      <c r="A386" s="1">
        <f>IFERROR(__xludf.DUMMYFUNCTION("""COMPUTED_VALUE"""),44411.625)</f>
        <v>44411.625</v>
      </c>
      <c r="B386" s="2">
        <f>IFERROR(__xludf.DUMMYFUNCTION("""COMPUTED_VALUE"""),700.0)</f>
        <v>700</v>
      </c>
      <c r="C386" s="2">
        <f>IFERROR(__xludf.DUMMYFUNCTION("""COMPUTED_VALUE"""),700.0)</f>
        <v>700</v>
      </c>
      <c r="D386" s="2">
        <f>IFERROR(__xludf.DUMMYFUNCTION("""COMPUTED_VALUE"""),695.0)</f>
        <v>695</v>
      </c>
      <c r="E386" s="2">
        <f>IFERROR(__xludf.DUMMYFUNCTION("""COMPUTED_VALUE"""),695.0)</f>
        <v>695</v>
      </c>
      <c r="F386" s="2">
        <f>IFERROR(__xludf.DUMMYFUNCTION("""COMPUTED_VALUE"""),3788400.0)</f>
        <v>3788400</v>
      </c>
      <c r="G386" s="2">
        <f t="shared" si="1"/>
        <v>5</v>
      </c>
    </row>
    <row r="387" ht="15.75" customHeight="1">
      <c r="A387" s="1">
        <f>IFERROR(__xludf.DUMMYFUNCTION("""COMPUTED_VALUE"""),44412.625)</f>
        <v>44412.625</v>
      </c>
      <c r="B387" s="2">
        <f>IFERROR(__xludf.DUMMYFUNCTION("""COMPUTED_VALUE"""),700.0)</f>
        <v>700</v>
      </c>
      <c r="C387" s="2">
        <f>IFERROR(__xludf.DUMMYFUNCTION("""COMPUTED_VALUE"""),710.0)</f>
        <v>710</v>
      </c>
      <c r="D387" s="2">
        <f>IFERROR(__xludf.DUMMYFUNCTION("""COMPUTED_VALUE"""),690.0)</f>
        <v>690</v>
      </c>
      <c r="E387" s="2">
        <f>IFERROR(__xludf.DUMMYFUNCTION("""COMPUTED_VALUE"""),705.0)</f>
        <v>705</v>
      </c>
      <c r="F387" s="2">
        <f>IFERROR(__xludf.DUMMYFUNCTION("""COMPUTED_VALUE"""),1.4193E7)</f>
        <v>14193000</v>
      </c>
      <c r="G387" s="2">
        <f t="shared" si="1"/>
        <v>20</v>
      </c>
    </row>
    <row r="388" ht="15.75" customHeight="1">
      <c r="A388" s="1">
        <f>IFERROR(__xludf.DUMMYFUNCTION("""COMPUTED_VALUE"""),44413.625)</f>
        <v>44413.625</v>
      </c>
      <c r="B388" s="2">
        <f>IFERROR(__xludf.DUMMYFUNCTION("""COMPUTED_VALUE"""),705.0)</f>
        <v>705</v>
      </c>
      <c r="C388" s="2">
        <f>IFERROR(__xludf.DUMMYFUNCTION("""COMPUTED_VALUE"""),740.0)</f>
        <v>740</v>
      </c>
      <c r="D388" s="2">
        <f>IFERROR(__xludf.DUMMYFUNCTION("""COMPUTED_VALUE"""),700.0)</f>
        <v>700</v>
      </c>
      <c r="E388" s="2">
        <f>IFERROR(__xludf.DUMMYFUNCTION("""COMPUTED_VALUE"""),740.0)</f>
        <v>740</v>
      </c>
      <c r="F388" s="2">
        <f>IFERROR(__xludf.DUMMYFUNCTION("""COMPUTED_VALUE"""),3.66787E7)</f>
        <v>36678700</v>
      </c>
      <c r="G388" s="2">
        <f t="shared" si="1"/>
        <v>40</v>
      </c>
    </row>
    <row r="389" ht="15.75" customHeight="1">
      <c r="A389" s="1">
        <f>IFERROR(__xludf.DUMMYFUNCTION("""COMPUTED_VALUE"""),44414.625)</f>
        <v>44414.625</v>
      </c>
      <c r="B389" s="2">
        <f>IFERROR(__xludf.DUMMYFUNCTION("""COMPUTED_VALUE"""),740.0)</f>
        <v>740</v>
      </c>
      <c r="C389" s="2">
        <f>IFERROR(__xludf.DUMMYFUNCTION("""COMPUTED_VALUE"""),750.0)</f>
        <v>750</v>
      </c>
      <c r="D389" s="2">
        <f>IFERROR(__xludf.DUMMYFUNCTION("""COMPUTED_VALUE"""),715.0)</f>
        <v>715</v>
      </c>
      <c r="E389" s="2">
        <f>IFERROR(__xludf.DUMMYFUNCTION("""COMPUTED_VALUE"""),715.0)</f>
        <v>715</v>
      </c>
      <c r="F389" s="2">
        <f>IFERROR(__xludf.DUMMYFUNCTION("""COMPUTED_VALUE"""),1.27688E7)</f>
        <v>12768800</v>
      </c>
      <c r="G389" s="2">
        <f t="shared" si="1"/>
        <v>35</v>
      </c>
    </row>
    <row r="390" ht="15.75" customHeight="1">
      <c r="A390" s="1">
        <f>IFERROR(__xludf.DUMMYFUNCTION("""COMPUTED_VALUE"""),44417.625)</f>
        <v>44417.625</v>
      </c>
      <c r="B390" s="2">
        <f>IFERROR(__xludf.DUMMYFUNCTION("""COMPUTED_VALUE"""),715.0)</f>
        <v>715</v>
      </c>
      <c r="C390" s="2">
        <f>IFERROR(__xludf.DUMMYFUNCTION("""COMPUTED_VALUE"""),725.0)</f>
        <v>725</v>
      </c>
      <c r="D390" s="2">
        <f>IFERROR(__xludf.DUMMYFUNCTION("""COMPUTED_VALUE"""),705.0)</f>
        <v>705</v>
      </c>
      <c r="E390" s="2">
        <f>IFERROR(__xludf.DUMMYFUNCTION("""COMPUTED_VALUE"""),710.0)</f>
        <v>710</v>
      </c>
      <c r="F390" s="2">
        <f>IFERROR(__xludf.DUMMYFUNCTION("""COMPUTED_VALUE"""),6046100.0)</f>
        <v>6046100</v>
      </c>
      <c r="G390" s="2">
        <f t="shared" si="1"/>
        <v>20</v>
      </c>
    </row>
    <row r="391" ht="15.75" customHeight="1">
      <c r="A391" s="1">
        <f>IFERROR(__xludf.DUMMYFUNCTION("""COMPUTED_VALUE"""),44418.625)</f>
        <v>44418.625</v>
      </c>
      <c r="B391" s="2">
        <f>IFERROR(__xludf.DUMMYFUNCTION("""COMPUTED_VALUE"""),710.0)</f>
        <v>710</v>
      </c>
      <c r="C391" s="2">
        <f>IFERROR(__xludf.DUMMYFUNCTION("""COMPUTED_VALUE"""),715.0)</f>
        <v>715</v>
      </c>
      <c r="D391" s="2">
        <f>IFERROR(__xludf.DUMMYFUNCTION("""COMPUTED_VALUE"""),700.0)</f>
        <v>700</v>
      </c>
      <c r="E391" s="2">
        <f>IFERROR(__xludf.DUMMYFUNCTION("""COMPUTED_VALUE"""),710.0)</f>
        <v>710</v>
      </c>
      <c r="F391" s="2">
        <f>IFERROR(__xludf.DUMMYFUNCTION("""COMPUTED_VALUE"""),4729200.0)</f>
        <v>4729200</v>
      </c>
      <c r="G391" s="2">
        <f t="shared" si="1"/>
        <v>15</v>
      </c>
    </row>
    <row r="392" ht="15.75" customHeight="1">
      <c r="A392" s="1">
        <f>IFERROR(__xludf.DUMMYFUNCTION("""COMPUTED_VALUE"""),44420.625)</f>
        <v>44420.625</v>
      </c>
      <c r="B392" s="2">
        <f>IFERROR(__xludf.DUMMYFUNCTION("""COMPUTED_VALUE"""),710.0)</f>
        <v>710</v>
      </c>
      <c r="C392" s="2">
        <f>IFERROR(__xludf.DUMMYFUNCTION("""COMPUTED_VALUE"""),715.0)</f>
        <v>715</v>
      </c>
      <c r="D392" s="2">
        <f>IFERROR(__xludf.DUMMYFUNCTION("""COMPUTED_VALUE"""),705.0)</f>
        <v>705</v>
      </c>
      <c r="E392" s="2">
        <f>IFERROR(__xludf.DUMMYFUNCTION("""COMPUTED_VALUE"""),710.0)</f>
        <v>710</v>
      </c>
      <c r="F392" s="2">
        <f>IFERROR(__xludf.DUMMYFUNCTION("""COMPUTED_VALUE"""),4532600.0)</f>
        <v>4532600</v>
      </c>
      <c r="G392" s="2">
        <f t="shared" si="1"/>
        <v>10</v>
      </c>
    </row>
    <row r="393" ht="15.75" customHeight="1">
      <c r="A393" s="1">
        <f>IFERROR(__xludf.DUMMYFUNCTION("""COMPUTED_VALUE"""),44421.625)</f>
        <v>44421.625</v>
      </c>
      <c r="B393" s="2">
        <f>IFERROR(__xludf.DUMMYFUNCTION("""COMPUTED_VALUE"""),710.0)</f>
        <v>710</v>
      </c>
      <c r="C393" s="2">
        <f>IFERROR(__xludf.DUMMYFUNCTION("""COMPUTED_VALUE"""),720.0)</f>
        <v>720</v>
      </c>
      <c r="D393" s="2">
        <f>IFERROR(__xludf.DUMMYFUNCTION("""COMPUTED_VALUE"""),705.0)</f>
        <v>705</v>
      </c>
      <c r="E393" s="2">
        <f>IFERROR(__xludf.DUMMYFUNCTION("""COMPUTED_VALUE"""),715.0)</f>
        <v>715</v>
      </c>
      <c r="F393" s="2">
        <f>IFERROR(__xludf.DUMMYFUNCTION("""COMPUTED_VALUE"""),3823400.0)</f>
        <v>3823400</v>
      </c>
      <c r="G393" s="2">
        <f t="shared" si="1"/>
        <v>15</v>
      </c>
    </row>
    <row r="394" ht="15.75" customHeight="1">
      <c r="A394" s="1">
        <f>IFERROR(__xludf.DUMMYFUNCTION("""COMPUTED_VALUE"""),44424.625)</f>
        <v>44424.625</v>
      </c>
      <c r="B394" s="2">
        <f>IFERROR(__xludf.DUMMYFUNCTION("""COMPUTED_VALUE"""),715.0)</f>
        <v>715</v>
      </c>
      <c r="C394" s="2">
        <f>IFERROR(__xludf.DUMMYFUNCTION("""COMPUTED_VALUE"""),720.0)</f>
        <v>720</v>
      </c>
      <c r="D394" s="2">
        <f>IFERROR(__xludf.DUMMYFUNCTION("""COMPUTED_VALUE"""),705.0)</f>
        <v>705</v>
      </c>
      <c r="E394" s="2">
        <f>IFERROR(__xludf.DUMMYFUNCTION("""COMPUTED_VALUE"""),720.0)</f>
        <v>720</v>
      </c>
      <c r="F394" s="2">
        <f>IFERROR(__xludf.DUMMYFUNCTION("""COMPUTED_VALUE"""),5358800.0)</f>
        <v>5358800</v>
      </c>
      <c r="G394" s="2">
        <f t="shared" si="1"/>
        <v>15</v>
      </c>
    </row>
    <row r="395" ht="15.75" customHeight="1">
      <c r="A395" s="1">
        <f>IFERROR(__xludf.DUMMYFUNCTION("""COMPUTED_VALUE"""),44426.625)</f>
        <v>44426.625</v>
      </c>
      <c r="B395" s="2">
        <f>IFERROR(__xludf.DUMMYFUNCTION("""COMPUTED_VALUE"""),720.0)</f>
        <v>720</v>
      </c>
      <c r="C395" s="2">
        <f>IFERROR(__xludf.DUMMYFUNCTION("""COMPUTED_VALUE"""),740.0)</f>
        <v>740</v>
      </c>
      <c r="D395" s="2">
        <f>IFERROR(__xludf.DUMMYFUNCTION("""COMPUTED_VALUE"""),710.0)</f>
        <v>710</v>
      </c>
      <c r="E395" s="2">
        <f>IFERROR(__xludf.DUMMYFUNCTION("""COMPUTED_VALUE"""),730.0)</f>
        <v>730</v>
      </c>
      <c r="F395" s="2">
        <f>IFERROR(__xludf.DUMMYFUNCTION("""COMPUTED_VALUE"""),1.84489E7)</f>
        <v>18448900</v>
      </c>
      <c r="G395" s="2">
        <f t="shared" si="1"/>
        <v>30</v>
      </c>
    </row>
    <row r="396" ht="15.75" customHeight="1">
      <c r="A396" s="1">
        <f>IFERROR(__xludf.DUMMYFUNCTION("""COMPUTED_VALUE"""),44427.625)</f>
        <v>44427.625</v>
      </c>
      <c r="B396" s="2">
        <f>IFERROR(__xludf.DUMMYFUNCTION("""COMPUTED_VALUE"""),735.0)</f>
        <v>735</v>
      </c>
      <c r="C396" s="2">
        <f>IFERROR(__xludf.DUMMYFUNCTION("""COMPUTED_VALUE"""),735.0)</f>
        <v>735</v>
      </c>
      <c r="D396" s="2">
        <f>IFERROR(__xludf.DUMMYFUNCTION("""COMPUTED_VALUE"""),705.0)</f>
        <v>705</v>
      </c>
      <c r="E396" s="2">
        <f>IFERROR(__xludf.DUMMYFUNCTION("""COMPUTED_VALUE"""),710.0)</f>
        <v>710</v>
      </c>
      <c r="F396" s="2">
        <f>IFERROR(__xludf.DUMMYFUNCTION("""COMPUTED_VALUE"""),8219100.0)</f>
        <v>8219100</v>
      </c>
      <c r="G396" s="2">
        <f t="shared" si="1"/>
        <v>30</v>
      </c>
    </row>
    <row r="397" ht="15.75" customHeight="1">
      <c r="A397" s="1">
        <f>IFERROR(__xludf.DUMMYFUNCTION("""COMPUTED_VALUE"""),44428.625)</f>
        <v>44428.625</v>
      </c>
      <c r="B397" s="2">
        <f>IFERROR(__xludf.DUMMYFUNCTION("""COMPUTED_VALUE"""),715.0)</f>
        <v>715</v>
      </c>
      <c r="C397" s="2">
        <f>IFERROR(__xludf.DUMMYFUNCTION("""COMPUTED_VALUE"""),720.0)</f>
        <v>720</v>
      </c>
      <c r="D397" s="2">
        <f>IFERROR(__xludf.DUMMYFUNCTION("""COMPUTED_VALUE"""),710.0)</f>
        <v>710</v>
      </c>
      <c r="E397" s="2">
        <f>IFERROR(__xludf.DUMMYFUNCTION("""COMPUTED_VALUE"""),715.0)</f>
        <v>715</v>
      </c>
      <c r="F397" s="2">
        <f>IFERROR(__xludf.DUMMYFUNCTION("""COMPUTED_VALUE"""),3313800.0)</f>
        <v>3313800</v>
      </c>
      <c r="G397" s="2">
        <f t="shared" si="1"/>
        <v>10</v>
      </c>
    </row>
    <row r="398" ht="15.75" customHeight="1">
      <c r="A398" s="1">
        <f>IFERROR(__xludf.DUMMYFUNCTION("""COMPUTED_VALUE"""),44431.66666666667)</f>
        <v>44431.66667</v>
      </c>
      <c r="B398" s="2">
        <f>IFERROR(__xludf.DUMMYFUNCTION("""COMPUTED_VALUE"""),720.0)</f>
        <v>720</v>
      </c>
      <c r="C398" s="2">
        <f>IFERROR(__xludf.DUMMYFUNCTION("""COMPUTED_VALUE"""),720.0)</f>
        <v>720</v>
      </c>
      <c r="D398" s="2">
        <f>IFERROR(__xludf.DUMMYFUNCTION("""COMPUTED_VALUE"""),710.0)</f>
        <v>710</v>
      </c>
      <c r="E398" s="2">
        <f>IFERROR(__xludf.DUMMYFUNCTION("""COMPUTED_VALUE"""),715.0)</f>
        <v>715</v>
      </c>
      <c r="F398" s="2">
        <f>IFERROR(__xludf.DUMMYFUNCTION("""COMPUTED_VALUE"""),3710200.0)</f>
        <v>3710200</v>
      </c>
      <c r="G398" s="2">
        <f t="shared" si="1"/>
        <v>10</v>
      </c>
    </row>
    <row r="399" ht="15.75" customHeight="1">
      <c r="A399" s="1">
        <f>IFERROR(__xludf.DUMMYFUNCTION("""COMPUTED_VALUE"""),44432.66666666667)</f>
        <v>44432.66667</v>
      </c>
      <c r="B399" s="2">
        <f>IFERROR(__xludf.DUMMYFUNCTION("""COMPUTED_VALUE"""),715.0)</f>
        <v>715</v>
      </c>
      <c r="C399" s="2">
        <f>IFERROR(__xludf.DUMMYFUNCTION("""COMPUTED_VALUE"""),720.0)</f>
        <v>720</v>
      </c>
      <c r="D399" s="2">
        <f>IFERROR(__xludf.DUMMYFUNCTION("""COMPUTED_VALUE"""),705.0)</f>
        <v>705</v>
      </c>
      <c r="E399" s="2">
        <f>IFERROR(__xludf.DUMMYFUNCTION("""COMPUTED_VALUE"""),705.0)</f>
        <v>705</v>
      </c>
      <c r="F399" s="2">
        <f>IFERROR(__xludf.DUMMYFUNCTION("""COMPUTED_VALUE"""),6802400.0)</f>
        <v>6802400</v>
      </c>
      <c r="G399" s="2">
        <f t="shared" si="1"/>
        <v>15</v>
      </c>
    </row>
    <row r="400" ht="15.75" customHeight="1">
      <c r="A400" s="1">
        <f>IFERROR(__xludf.DUMMYFUNCTION("""COMPUTED_VALUE"""),44433.625)</f>
        <v>44433.625</v>
      </c>
      <c r="B400" s="2">
        <f>IFERROR(__xludf.DUMMYFUNCTION("""COMPUTED_VALUE"""),705.0)</f>
        <v>705</v>
      </c>
      <c r="C400" s="2">
        <f>IFERROR(__xludf.DUMMYFUNCTION("""COMPUTED_VALUE"""),715.0)</f>
        <v>715</v>
      </c>
      <c r="D400" s="2">
        <f>IFERROR(__xludf.DUMMYFUNCTION("""COMPUTED_VALUE"""),705.0)</f>
        <v>705</v>
      </c>
      <c r="E400" s="2">
        <f>IFERROR(__xludf.DUMMYFUNCTION("""COMPUTED_VALUE"""),710.0)</f>
        <v>710</v>
      </c>
      <c r="F400" s="2">
        <f>IFERROR(__xludf.DUMMYFUNCTION("""COMPUTED_VALUE"""),2474000.0)</f>
        <v>2474000</v>
      </c>
      <c r="G400" s="2">
        <f t="shared" si="1"/>
        <v>10</v>
      </c>
    </row>
    <row r="401" ht="15.75" customHeight="1">
      <c r="A401" s="1">
        <f>IFERROR(__xludf.DUMMYFUNCTION("""COMPUTED_VALUE"""),44434.625)</f>
        <v>44434.625</v>
      </c>
      <c r="B401" s="2">
        <f>IFERROR(__xludf.DUMMYFUNCTION("""COMPUTED_VALUE"""),710.0)</f>
        <v>710</v>
      </c>
      <c r="C401" s="2">
        <f>IFERROR(__xludf.DUMMYFUNCTION("""COMPUTED_VALUE"""),715.0)</f>
        <v>715</v>
      </c>
      <c r="D401" s="2">
        <f>IFERROR(__xludf.DUMMYFUNCTION("""COMPUTED_VALUE"""),705.0)</f>
        <v>705</v>
      </c>
      <c r="E401" s="2">
        <f>IFERROR(__xludf.DUMMYFUNCTION("""COMPUTED_VALUE"""),705.0)</f>
        <v>705</v>
      </c>
      <c r="F401" s="2">
        <f>IFERROR(__xludf.DUMMYFUNCTION("""COMPUTED_VALUE"""),3696700.0)</f>
        <v>3696700</v>
      </c>
      <c r="G401" s="2">
        <f t="shared" si="1"/>
        <v>10</v>
      </c>
    </row>
    <row r="402" ht="15.75" customHeight="1">
      <c r="A402" s="1">
        <f>IFERROR(__xludf.DUMMYFUNCTION("""COMPUTED_VALUE"""),44435.625)</f>
        <v>44435.625</v>
      </c>
      <c r="B402" s="2">
        <f>IFERROR(__xludf.DUMMYFUNCTION("""COMPUTED_VALUE"""),705.0)</f>
        <v>705</v>
      </c>
      <c r="C402" s="2">
        <f>IFERROR(__xludf.DUMMYFUNCTION("""COMPUTED_VALUE"""),715.0)</f>
        <v>715</v>
      </c>
      <c r="D402" s="2">
        <f>IFERROR(__xludf.DUMMYFUNCTION("""COMPUTED_VALUE"""),700.0)</f>
        <v>700</v>
      </c>
      <c r="E402" s="2">
        <f>IFERROR(__xludf.DUMMYFUNCTION("""COMPUTED_VALUE"""),700.0)</f>
        <v>700</v>
      </c>
      <c r="F402" s="2">
        <f>IFERROR(__xludf.DUMMYFUNCTION("""COMPUTED_VALUE"""),6869000.0)</f>
        <v>6869000</v>
      </c>
      <c r="G402" s="2">
        <f t="shared" si="1"/>
        <v>15</v>
      </c>
    </row>
    <row r="403" ht="15.75" customHeight="1">
      <c r="A403" s="1">
        <f>IFERROR(__xludf.DUMMYFUNCTION("""COMPUTED_VALUE"""),44438.625)</f>
        <v>44438.625</v>
      </c>
      <c r="B403" s="2">
        <f>IFERROR(__xludf.DUMMYFUNCTION("""COMPUTED_VALUE"""),705.0)</f>
        <v>705</v>
      </c>
      <c r="C403" s="2">
        <f>IFERROR(__xludf.DUMMYFUNCTION("""COMPUTED_VALUE"""),710.0)</f>
        <v>710</v>
      </c>
      <c r="D403" s="2">
        <f>IFERROR(__xludf.DUMMYFUNCTION("""COMPUTED_VALUE"""),700.0)</f>
        <v>700</v>
      </c>
      <c r="E403" s="2">
        <f>IFERROR(__xludf.DUMMYFUNCTION("""COMPUTED_VALUE"""),705.0)</f>
        <v>705</v>
      </c>
      <c r="F403" s="2">
        <f>IFERROR(__xludf.DUMMYFUNCTION("""COMPUTED_VALUE"""),2734700.0)</f>
        <v>2734700</v>
      </c>
      <c r="G403" s="2">
        <f t="shared" si="1"/>
        <v>10</v>
      </c>
    </row>
    <row r="404" ht="15.75" customHeight="1">
      <c r="A404" s="1">
        <f>IFERROR(__xludf.DUMMYFUNCTION("""COMPUTED_VALUE"""),44439.625)</f>
        <v>44439.625</v>
      </c>
      <c r="B404" s="2">
        <f>IFERROR(__xludf.DUMMYFUNCTION("""COMPUTED_VALUE"""),710.0)</f>
        <v>710</v>
      </c>
      <c r="C404" s="2">
        <f>IFERROR(__xludf.DUMMYFUNCTION("""COMPUTED_VALUE"""),715.0)</f>
        <v>715</v>
      </c>
      <c r="D404" s="2">
        <f>IFERROR(__xludf.DUMMYFUNCTION("""COMPUTED_VALUE"""),705.0)</f>
        <v>705</v>
      </c>
      <c r="E404" s="2">
        <f>IFERROR(__xludf.DUMMYFUNCTION("""COMPUTED_VALUE"""),715.0)</f>
        <v>715</v>
      </c>
      <c r="F404" s="2">
        <f>IFERROR(__xludf.DUMMYFUNCTION("""COMPUTED_VALUE"""),3480300.0)</f>
        <v>3480300</v>
      </c>
      <c r="G404" s="2">
        <f t="shared" si="1"/>
        <v>10</v>
      </c>
    </row>
    <row r="405" ht="15.75" customHeight="1">
      <c r="A405" s="1">
        <f>IFERROR(__xludf.DUMMYFUNCTION("""COMPUTED_VALUE"""),44440.625)</f>
        <v>44440.625</v>
      </c>
      <c r="B405" s="2">
        <f>IFERROR(__xludf.DUMMYFUNCTION("""COMPUTED_VALUE"""),710.0)</f>
        <v>710</v>
      </c>
      <c r="C405" s="2">
        <f>IFERROR(__xludf.DUMMYFUNCTION("""COMPUTED_VALUE"""),715.0)</f>
        <v>715</v>
      </c>
      <c r="D405" s="2">
        <f>IFERROR(__xludf.DUMMYFUNCTION("""COMPUTED_VALUE"""),710.0)</f>
        <v>710</v>
      </c>
      <c r="E405" s="2">
        <f>IFERROR(__xludf.DUMMYFUNCTION("""COMPUTED_VALUE"""),710.0)</f>
        <v>710</v>
      </c>
      <c r="F405" s="2">
        <f>IFERROR(__xludf.DUMMYFUNCTION("""COMPUTED_VALUE"""),3015600.0)</f>
        <v>3015600</v>
      </c>
      <c r="G405" s="2">
        <f t="shared" si="1"/>
        <v>5</v>
      </c>
    </row>
    <row r="406" ht="15.75" customHeight="1">
      <c r="A406" s="1">
        <f>IFERROR(__xludf.DUMMYFUNCTION("""COMPUTED_VALUE"""),44441.625)</f>
        <v>44441.625</v>
      </c>
      <c r="B406" s="2">
        <f>IFERROR(__xludf.DUMMYFUNCTION("""COMPUTED_VALUE"""),715.0)</f>
        <v>715</v>
      </c>
      <c r="C406" s="2">
        <f>IFERROR(__xludf.DUMMYFUNCTION("""COMPUTED_VALUE"""),715.0)</f>
        <v>715</v>
      </c>
      <c r="D406" s="2">
        <f>IFERROR(__xludf.DUMMYFUNCTION("""COMPUTED_VALUE"""),700.0)</f>
        <v>700</v>
      </c>
      <c r="E406" s="2">
        <f>IFERROR(__xludf.DUMMYFUNCTION("""COMPUTED_VALUE"""),705.0)</f>
        <v>705</v>
      </c>
      <c r="F406" s="2">
        <f>IFERROR(__xludf.DUMMYFUNCTION("""COMPUTED_VALUE"""),8260600.0)</f>
        <v>8260600</v>
      </c>
      <c r="G406" s="2">
        <f t="shared" si="1"/>
        <v>15</v>
      </c>
    </row>
    <row r="407" ht="15.75" customHeight="1">
      <c r="A407" s="1">
        <f>IFERROR(__xludf.DUMMYFUNCTION("""COMPUTED_VALUE"""),44442.625)</f>
        <v>44442.625</v>
      </c>
      <c r="B407" s="2">
        <f>IFERROR(__xludf.DUMMYFUNCTION("""COMPUTED_VALUE"""),705.0)</f>
        <v>705</v>
      </c>
      <c r="C407" s="2">
        <f>IFERROR(__xludf.DUMMYFUNCTION("""COMPUTED_VALUE"""),715.0)</f>
        <v>715</v>
      </c>
      <c r="D407" s="2">
        <f>IFERROR(__xludf.DUMMYFUNCTION("""COMPUTED_VALUE"""),705.0)</f>
        <v>705</v>
      </c>
      <c r="E407" s="2">
        <f>IFERROR(__xludf.DUMMYFUNCTION("""COMPUTED_VALUE"""),715.0)</f>
        <v>715</v>
      </c>
      <c r="F407" s="2">
        <f>IFERROR(__xludf.DUMMYFUNCTION("""COMPUTED_VALUE"""),5585100.0)</f>
        <v>5585100</v>
      </c>
      <c r="G407" s="2">
        <f t="shared" si="1"/>
        <v>10</v>
      </c>
    </row>
    <row r="408" ht="15.75" customHeight="1">
      <c r="A408" s="1">
        <f>IFERROR(__xludf.DUMMYFUNCTION("""COMPUTED_VALUE"""),44445.625)</f>
        <v>44445.625</v>
      </c>
      <c r="B408" s="2">
        <f>IFERROR(__xludf.DUMMYFUNCTION("""COMPUTED_VALUE"""),715.0)</f>
        <v>715</v>
      </c>
      <c r="C408" s="2">
        <f>IFERROR(__xludf.DUMMYFUNCTION("""COMPUTED_VALUE"""),725.0)</f>
        <v>725</v>
      </c>
      <c r="D408" s="2">
        <f>IFERROR(__xludf.DUMMYFUNCTION("""COMPUTED_VALUE"""),710.0)</f>
        <v>710</v>
      </c>
      <c r="E408" s="2">
        <f>IFERROR(__xludf.DUMMYFUNCTION("""COMPUTED_VALUE"""),725.0)</f>
        <v>725</v>
      </c>
      <c r="F408" s="2">
        <f>IFERROR(__xludf.DUMMYFUNCTION("""COMPUTED_VALUE"""),8866400.0)</f>
        <v>8866400</v>
      </c>
      <c r="G408" s="2">
        <f t="shared" si="1"/>
        <v>15</v>
      </c>
    </row>
    <row r="409" ht="15.75" customHeight="1">
      <c r="A409" s="1">
        <f>IFERROR(__xludf.DUMMYFUNCTION("""COMPUTED_VALUE"""),44446.625)</f>
        <v>44446.625</v>
      </c>
      <c r="B409" s="2">
        <f>IFERROR(__xludf.DUMMYFUNCTION("""COMPUTED_VALUE"""),725.0)</f>
        <v>725</v>
      </c>
      <c r="C409" s="2">
        <f>IFERROR(__xludf.DUMMYFUNCTION("""COMPUTED_VALUE"""),730.0)</f>
        <v>730</v>
      </c>
      <c r="D409" s="2">
        <f>IFERROR(__xludf.DUMMYFUNCTION("""COMPUTED_VALUE"""),720.0)</f>
        <v>720</v>
      </c>
      <c r="E409" s="2">
        <f>IFERROR(__xludf.DUMMYFUNCTION("""COMPUTED_VALUE"""),725.0)</f>
        <v>725</v>
      </c>
      <c r="F409" s="2">
        <f>IFERROR(__xludf.DUMMYFUNCTION("""COMPUTED_VALUE"""),1.10515E7)</f>
        <v>11051500</v>
      </c>
      <c r="G409" s="2">
        <f t="shared" si="1"/>
        <v>10</v>
      </c>
    </row>
    <row r="410" ht="15.75" customHeight="1">
      <c r="A410" s="1">
        <f>IFERROR(__xludf.DUMMYFUNCTION("""COMPUTED_VALUE"""),44447.625)</f>
        <v>44447.625</v>
      </c>
      <c r="B410" s="2">
        <f>IFERROR(__xludf.DUMMYFUNCTION("""COMPUTED_VALUE"""),725.0)</f>
        <v>725</v>
      </c>
      <c r="C410" s="2">
        <f>IFERROR(__xludf.DUMMYFUNCTION("""COMPUTED_VALUE"""),730.0)</f>
        <v>730</v>
      </c>
      <c r="D410" s="2">
        <f>IFERROR(__xludf.DUMMYFUNCTION("""COMPUTED_VALUE"""),710.0)</f>
        <v>710</v>
      </c>
      <c r="E410" s="2">
        <f>IFERROR(__xludf.DUMMYFUNCTION("""COMPUTED_VALUE"""),715.0)</f>
        <v>715</v>
      </c>
      <c r="F410" s="2">
        <f>IFERROR(__xludf.DUMMYFUNCTION("""COMPUTED_VALUE"""),9899200.0)</f>
        <v>9899200</v>
      </c>
      <c r="G410" s="2">
        <f t="shared" si="1"/>
        <v>20</v>
      </c>
    </row>
    <row r="411" ht="15.75" customHeight="1">
      <c r="A411" s="1">
        <f>IFERROR(__xludf.DUMMYFUNCTION("""COMPUTED_VALUE"""),44448.625)</f>
        <v>44448.625</v>
      </c>
      <c r="B411" s="2">
        <f>IFERROR(__xludf.DUMMYFUNCTION("""COMPUTED_VALUE"""),715.0)</f>
        <v>715</v>
      </c>
      <c r="C411" s="2">
        <f>IFERROR(__xludf.DUMMYFUNCTION("""COMPUTED_VALUE"""),725.0)</f>
        <v>725</v>
      </c>
      <c r="D411" s="2">
        <f>IFERROR(__xludf.DUMMYFUNCTION("""COMPUTED_VALUE"""),710.0)</f>
        <v>710</v>
      </c>
      <c r="E411" s="2">
        <f>IFERROR(__xludf.DUMMYFUNCTION("""COMPUTED_VALUE"""),715.0)</f>
        <v>715</v>
      </c>
      <c r="F411" s="2">
        <f>IFERROR(__xludf.DUMMYFUNCTION("""COMPUTED_VALUE"""),4196100.0)</f>
        <v>4196100</v>
      </c>
      <c r="G411" s="2">
        <f t="shared" si="1"/>
        <v>15</v>
      </c>
    </row>
    <row r="412" ht="15.75" customHeight="1">
      <c r="A412" s="1">
        <f>IFERROR(__xludf.DUMMYFUNCTION("""COMPUTED_VALUE"""),44449.625)</f>
        <v>44449.625</v>
      </c>
      <c r="B412" s="2">
        <f>IFERROR(__xludf.DUMMYFUNCTION("""COMPUTED_VALUE"""),710.0)</f>
        <v>710</v>
      </c>
      <c r="C412" s="2">
        <f>IFERROR(__xludf.DUMMYFUNCTION("""COMPUTED_VALUE"""),720.0)</f>
        <v>720</v>
      </c>
      <c r="D412" s="2">
        <f>IFERROR(__xludf.DUMMYFUNCTION("""COMPUTED_VALUE"""),710.0)</f>
        <v>710</v>
      </c>
      <c r="E412" s="2">
        <f>IFERROR(__xludf.DUMMYFUNCTION("""COMPUTED_VALUE"""),715.0)</f>
        <v>715</v>
      </c>
      <c r="F412" s="2">
        <f>IFERROR(__xludf.DUMMYFUNCTION("""COMPUTED_VALUE"""),5861200.0)</f>
        <v>5861200</v>
      </c>
      <c r="G412" s="2">
        <f t="shared" si="1"/>
        <v>10</v>
      </c>
    </row>
    <row r="413" ht="15.75" customHeight="1">
      <c r="A413" s="1">
        <f>IFERROR(__xludf.DUMMYFUNCTION("""COMPUTED_VALUE"""),44452.625)</f>
        <v>44452.625</v>
      </c>
      <c r="B413" s="2">
        <f>IFERROR(__xludf.DUMMYFUNCTION("""COMPUTED_VALUE"""),715.0)</f>
        <v>715</v>
      </c>
      <c r="C413" s="2">
        <f>IFERROR(__xludf.DUMMYFUNCTION("""COMPUTED_VALUE"""),725.0)</f>
        <v>725</v>
      </c>
      <c r="D413" s="2">
        <f>IFERROR(__xludf.DUMMYFUNCTION("""COMPUTED_VALUE"""),710.0)</f>
        <v>710</v>
      </c>
      <c r="E413" s="2">
        <f>IFERROR(__xludf.DUMMYFUNCTION("""COMPUTED_VALUE"""),715.0)</f>
        <v>715</v>
      </c>
      <c r="F413" s="2">
        <f>IFERROR(__xludf.DUMMYFUNCTION("""COMPUTED_VALUE"""),1.30575E7)</f>
        <v>13057500</v>
      </c>
      <c r="G413" s="2">
        <f t="shared" si="1"/>
        <v>15</v>
      </c>
    </row>
    <row r="414" ht="15.75" customHeight="1">
      <c r="A414" s="1">
        <f>IFERROR(__xludf.DUMMYFUNCTION("""COMPUTED_VALUE"""),44453.625)</f>
        <v>44453.625</v>
      </c>
      <c r="B414" s="2">
        <f>IFERROR(__xludf.DUMMYFUNCTION("""COMPUTED_VALUE"""),715.0)</f>
        <v>715</v>
      </c>
      <c r="C414" s="2">
        <f>IFERROR(__xludf.DUMMYFUNCTION("""COMPUTED_VALUE"""),720.0)</f>
        <v>720</v>
      </c>
      <c r="D414" s="2">
        <f>IFERROR(__xludf.DUMMYFUNCTION("""COMPUTED_VALUE"""),710.0)</f>
        <v>710</v>
      </c>
      <c r="E414" s="2">
        <f>IFERROR(__xludf.DUMMYFUNCTION("""COMPUTED_VALUE"""),715.0)</f>
        <v>715</v>
      </c>
      <c r="F414" s="2">
        <f>IFERROR(__xludf.DUMMYFUNCTION("""COMPUTED_VALUE"""),5618500.0)</f>
        <v>5618500</v>
      </c>
      <c r="G414" s="2">
        <f t="shared" si="1"/>
        <v>10</v>
      </c>
    </row>
    <row r="415" ht="15.75" customHeight="1">
      <c r="A415" s="1">
        <f>IFERROR(__xludf.DUMMYFUNCTION("""COMPUTED_VALUE"""),44454.625)</f>
        <v>44454.625</v>
      </c>
      <c r="B415" s="2">
        <f>IFERROR(__xludf.DUMMYFUNCTION("""COMPUTED_VALUE"""),715.0)</f>
        <v>715</v>
      </c>
      <c r="C415" s="2">
        <f>IFERROR(__xludf.DUMMYFUNCTION("""COMPUTED_VALUE"""),720.0)</f>
        <v>720</v>
      </c>
      <c r="D415" s="2">
        <f>IFERROR(__xludf.DUMMYFUNCTION("""COMPUTED_VALUE"""),710.0)</f>
        <v>710</v>
      </c>
      <c r="E415" s="2">
        <f>IFERROR(__xludf.DUMMYFUNCTION("""COMPUTED_VALUE"""),710.0)</f>
        <v>710</v>
      </c>
      <c r="F415" s="2">
        <f>IFERROR(__xludf.DUMMYFUNCTION("""COMPUTED_VALUE"""),5304700.0)</f>
        <v>5304700</v>
      </c>
      <c r="G415" s="2">
        <f t="shared" si="1"/>
        <v>10</v>
      </c>
    </row>
    <row r="416" ht="15.75" customHeight="1">
      <c r="A416" s="1">
        <f>IFERROR(__xludf.DUMMYFUNCTION("""COMPUTED_VALUE"""),44455.625)</f>
        <v>44455.625</v>
      </c>
      <c r="B416" s="2">
        <f>IFERROR(__xludf.DUMMYFUNCTION("""COMPUTED_VALUE"""),710.0)</f>
        <v>710</v>
      </c>
      <c r="C416" s="2">
        <f>IFERROR(__xludf.DUMMYFUNCTION("""COMPUTED_VALUE"""),715.0)</f>
        <v>715</v>
      </c>
      <c r="D416" s="2">
        <f>IFERROR(__xludf.DUMMYFUNCTION("""COMPUTED_VALUE"""),710.0)</f>
        <v>710</v>
      </c>
      <c r="E416" s="2">
        <f>IFERROR(__xludf.DUMMYFUNCTION("""COMPUTED_VALUE"""),710.0)</f>
        <v>710</v>
      </c>
      <c r="F416" s="2">
        <f>IFERROR(__xludf.DUMMYFUNCTION("""COMPUTED_VALUE"""),3103100.0)</f>
        <v>3103100</v>
      </c>
      <c r="G416" s="2">
        <f t="shared" si="1"/>
        <v>5</v>
      </c>
    </row>
    <row r="417" ht="15.75" customHeight="1">
      <c r="A417" s="1">
        <f>IFERROR(__xludf.DUMMYFUNCTION("""COMPUTED_VALUE"""),44456.625)</f>
        <v>44456.625</v>
      </c>
      <c r="B417" s="2">
        <f>IFERROR(__xludf.DUMMYFUNCTION("""COMPUTED_VALUE"""),710.0)</f>
        <v>710</v>
      </c>
      <c r="C417" s="2">
        <f>IFERROR(__xludf.DUMMYFUNCTION("""COMPUTED_VALUE"""),715.0)</f>
        <v>715</v>
      </c>
      <c r="D417" s="2">
        <f>IFERROR(__xludf.DUMMYFUNCTION("""COMPUTED_VALUE"""),705.0)</f>
        <v>705</v>
      </c>
      <c r="E417" s="2">
        <f>IFERROR(__xludf.DUMMYFUNCTION("""COMPUTED_VALUE"""),710.0)</f>
        <v>710</v>
      </c>
      <c r="F417" s="2">
        <f>IFERROR(__xludf.DUMMYFUNCTION("""COMPUTED_VALUE"""),7919100.0)</f>
        <v>7919100</v>
      </c>
      <c r="G417" s="2">
        <f t="shared" si="1"/>
        <v>10</v>
      </c>
    </row>
    <row r="418" ht="15.75" customHeight="1">
      <c r="A418" s="1">
        <f>IFERROR(__xludf.DUMMYFUNCTION("""COMPUTED_VALUE"""),44459.625)</f>
        <v>44459.625</v>
      </c>
      <c r="B418" s="2">
        <f>IFERROR(__xludf.DUMMYFUNCTION("""COMPUTED_VALUE"""),710.0)</f>
        <v>710</v>
      </c>
      <c r="C418" s="2">
        <f>IFERROR(__xludf.DUMMYFUNCTION("""COMPUTED_VALUE"""),715.0)</f>
        <v>715</v>
      </c>
      <c r="D418" s="2">
        <f>IFERROR(__xludf.DUMMYFUNCTION("""COMPUTED_VALUE"""),705.0)</f>
        <v>705</v>
      </c>
      <c r="E418" s="2">
        <f>IFERROR(__xludf.DUMMYFUNCTION("""COMPUTED_VALUE"""),710.0)</f>
        <v>710</v>
      </c>
      <c r="F418" s="2">
        <f>IFERROR(__xludf.DUMMYFUNCTION("""COMPUTED_VALUE"""),5059100.0)</f>
        <v>5059100</v>
      </c>
      <c r="G418" s="2">
        <f t="shared" si="1"/>
        <v>10</v>
      </c>
    </row>
    <row r="419" ht="15.75" customHeight="1">
      <c r="A419" s="1">
        <f>IFERROR(__xludf.DUMMYFUNCTION("""COMPUTED_VALUE"""),44460.625)</f>
        <v>44460.625</v>
      </c>
      <c r="B419" s="2">
        <f>IFERROR(__xludf.DUMMYFUNCTION("""COMPUTED_VALUE"""),710.0)</f>
        <v>710</v>
      </c>
      <c r="C419" s="2">
        <f>IFERROR(__xludf.DUMMYFUNCTION("""COMPUTED_VALUE"""),710.0)</f>
        <v>710</v>
      </c>
      <c r="D419" s="2">
        <f>IFERROR(__xludf.DUMMYFUNCTION("""COMPUTED_VALUE"""),705.0)</f>
        <v>705</v>
      </c>
      <c r="E419" s="2">
        <f>IFERROR(__xludf.DUMMYFUNCTION("""COMPUTED_VALUE"""),705.0)</f>
        <v>705</v>
      </c>
      <c r="F419" s="2">
        <f>IFERROR(__xludf.DUMMYFUNCTION("""COMPUTED_VALUE"""),2575100.0)</f>
        <v>2575100</v>
      </c>
      <c r="G419" s="2">
        <f t="shared" si="1"/>
        <v>5</v>
      </c>
    </row>
    <row r="420" ht="15.75" customHeight="1">
      <c r="A420" s="1">
        <f>IFERROR(__xludf.DUMMYFUNCTION("""COMPUTED_VALUE"""),44461.625)</f>
        <v>44461.625</v>
      </c>
      <c r="B420" s="2">
        <f>IFERROR(__xludf.DUMMYFUNCTION("""COMPUTED_VALUE"""),710.0)</f>
        <v>710</v>
      </c>
      <c r="C420" s="2">
        <f>IFERROR(__xludf.DUMMYFUNCTION("""COMPUTED_VALUE"""),715.0)</f>
        <v>715</v>
      </c>
      <c r="D420" s="2">
        <f>IFERROR(__xludf.DUMMYFUNCTION("""COMPUTED_VALUE"""),705.0)</f>
        <v>705</v>
      </c>
      <c r="E420" s="2">
        <f>IFERROR(__xludf.DUMMYFUNCTION("""COMPUTED_VALUE"""),705.0)</f>
        <v>705</v>
      </c>
      <c r="F420" s="2">
        <f>IFERROR(__xludf.DUMMYFUNCTION("""COMPUTED_VALUE"""),6880900.0)</f>
        <v>6880900</v>
      </c>
      <c r="G420" s="2">
        <f t="shared" si="1"/>
        <v>10</v>
      </c>
    </row>
    <row r="421" ht="15.75" customHeight="1">
      <c r="A421" s="1">
        <f>IFERROR(__xludf.DUMMYFUNCTION("""COMPUTED_VALUE"""),44462.625)</f>
        <v>44462.625</v>
      </c>
      <c r="B421" s="2">
        <f>IFERROR(__xludf.DUMMYFUNCTION("""COMPUTED_VALUE"""),705.0)</f>
        <v>705</v>
      </c>
      <c r="C421" s="2">
        <f>IFERROR(__xludf.DUMMYFUNCTION("""COMPUTED_VALUE"""),715.0)</f>
        <v>715</v>
      </c>
      <c r="D421" s="2">
        <f>IFERROR(__xludf.DUMMYFUNCTION("""COMPUTED_VALUE"""),705.0)</f>
        <v>705</v>
      </c>
      <c r="E421" s="2">
        <f>IFERROR(__xludf.DUMMYFUNCTION("""COMPUTED_VALUE"""),715.0)</f>
        <v>715</v>
      </c>
      <c r="F421" s="2">
        <f>IFERROR(__xludf.DUMMYFUNCTION("""COMPUTED_VALUE"""),3856000.0)</f>
        <v>3856000</v>
      </c>
      <c r="G421" s="2">
        <f t="shared" si="1"/>
        <v>10</v>
      </c>
    </row>
    <row r="422" ht="15.75" customHeight="1">
      <c r="A422" s="1">
        <f>IFERROR(__xludf.DUMMYFUNCTION("""COMPUTED_VALUE"""),44463.625)</f>
        <v>44463.625</v>
      </c>
      <c r="B422" s="2">
        <f>IFERROR(__xludf.DUMMYFUNCTION("""COMPUTED_VALUE"""),715.0)</f>
        <v>715</v>
      </c>
      <c r="C422" s="2">
        <f>IFERROR(__xludf.DUMMYFUNCTION("""COMPUTED_VALUE"""),715.0)</f>
        <v>715</v>
      </c>
      <c r="D422" s="2">
        <f>IFERROR(__xludf.DUMMYFUNCTION("""COMPUTED_VALUE"""),705.0)</f>
        <v>705</v>
      </c>
      <c r="E422" s="2">
        <f>IFERROR(__xludf.DUMMYFUNCTION("""COMPUTED_VALUE"""),710.0)</f>
        <v>710</v>
      </c>
      <c r="F422" s="2">
        <f>IFERROR(__xludf.DUMMYFUNCTION("""COMPUTED_VALUE"""),4193300.0)</f>
        <v>4193300</v>
      </c>
      <c r="G422" s="2">
        <f t="shared" si="1"/>
        <v>10</v>
      </c>
    </row>
    <row r="423" ht="15.75" customHeight="1">
      <c r="A423" s="1">
        <f>IFERROR(__xludf.DUMMYFUNCTION("""COMPUTED_VALUE"""),44466.625)</f>
        <v>44466.625</v>
      </c>
      <c r="B423" s="2">
        <f>IFERROR(__xludf.DUMMYFUNCTION("""COMPUTED_VALUE"""),710.0)</f>
        <v>710</v>
      </c>
      <c r="C423" s="2">
        <f>IFERROR(__xludf.DUMMYFUNCTION("""COMPUTED_VALUE"""),715.0)</f>
        <v>715</v>
      </c>
      <c r="D423" s="2">
        <f>IFERROR(__xludf.DUMMYFUNCTION("""COMPUTED_VALUE"""),710.0)</f>
        <v>710</v>
      </c>
      <c r="E423" s="2">
        <f>IFERROR(__xludf.DUMMYFUNCTION("""COMPUTED_VALUE"""),710.0)</f>
        <v>710</v>
      </c>
      <c r="F423" s="2">
        <f>IFERROR(__xludf.DUMMYFUNCTION("""COMPUTED_VALUE"""),3869600.0)</f>
        <v>3869600</v>
      </c>
      <c r="G423" s="2">
        <f t="shared" si="1"/>
        <v>5</v>
      </c>
    </row>
    <row r="424" ht="15.75" customHeight="1">
      <c r="A424" s="1">
        <f>IFERROR(__xludf.DUMMYFUNCTION("""COMPUTED_VALUE"""),44467.625)</f>
        <v>44467.625</v>
      </c>
      <c r="B424" s="2">
        <f>IFERROR(__xludf.DUMMYFUNCTION("""COMPUTED_VALUE"""),715.0)</f>
        <v>715</v>
      </c>
      <c r="C424" s="2">
        <f>IFERROR(__xludf.DUMMYFUNCTION("""COMPUTED_VALUE"""),715.0)</f>
        <v>715</v>
      </c>
      <c r="D424" s="2">
        <f>IFERROR(__xludf.DUMMYFUNCTION("""COMPUTED_VALUE"""),705.0)</f>
        <v>705</v>
      </c>
      <c r="E424" s="2">
        <f>IFERROR(__xludf.DUMMYFUNCTION("""COMPUTED_VALUE"""),710.0)</f>
        <v>710</v>
      </c>
      <c r="F424" s="2">
        <f>IFERROR(__xludf.DUMMYFUNCTION("""COMPUTED_VALUE"""),3204800.0)</f>
        <v>3204800</v>
      </c>
      <c r="G424" s="2">
        <f t="shared" si="1"/>
        <v>10</v>
      </c>
    </row>
    <row r="425" ht="15.75" customHeight="1">
      <c r="A425" s="1">
        <f>IFERROR(__xludf.DUMMYFUNCTION("""COMPUTED_VALUE"""),44468.625)</f>
        <v>44468.625</v>
      </c>
      <c r="B425" s="2">
        <f>IFERROR(__xludf.DUMMYFUNCTION("""COMPUTED_VALUE"""),715.0)</f>
        <v>715</v>
      </c>
      <c r="C425" s="2">
        <f>IFERROR(__xludf.DUMMYFUNCTION("""COMPUTED_VALUE"""),715.0)</f>
        <v>715</v>
      </c>
      <c r="D425" s="2">
        <f>IFERROR(__xludf.DUMMYFUNCTION("""COMPUTED_VALUE"""),705.0)</f>
        <v>705</v>
      </c>
      <c r="E425" s="2">
        <f>IFERROR(__xludf.DUMMYFUNCTION("""COMPUTED_VALUE"""),715.0)</f>
        <v>715</v>
      </c>
      <c r="F425" s="2">
        <f>IFERROR(__xludf.DUMMYFUNCTION("""COMPUTED_VALUE"""),8718600.0)</f>
        <v>8718600</v>
      </c>
      <c r="G425" s="2">
        <f t="shared" si="1"/>
        <v>10</v>
      </c>
    </row>
    <row r="426" ht="15.75" customHeight="1">
      <c r="A426" s="1">
        <f>IFERROR(__xludf.DUMMYFUNCTION("""COMPUTED_VALUE"""),44469.625)</f>
        <v>44469.625</v>
      </c>
      <c r="B426" s="2">
        <f>IFERROR(__xludf.DUMMYFUNCTION("""COMPUTED_VALUE"""),715.0)</f>
        <v>715</v>
      </c>
      <c r="C426" s="2">
        <f>IFERROR(__xludf.DUMMYFUNCTION("""COMPUTED_VALUE"""),725.0)</f>
        <v>725</v>
      </c>
      <c r="D426" s="2">
        <f>IFERROR(__xludf.DUMMYFUNCTION("""COMPUTED_VALUE"""),710.0)</f>
        <v>710</v>
      </c>
      <c r="E426" s="2">
        <f>IFERROR(__xludf.DUMMYFUNCTION("""COMPUTED_VALUE"""),720.0)</f>
        <v>720</v>
      </c>
      <c r="F426" s="2">
        <f>IFERROR(__xludf.DUMMYFUNCTION("""COMPUTED_VALUE"""),7598600.0)</f>
        <v>7598600</v>
      </c>
      <c r="G426" s="2">
        <f t="shared" si="1"/>
        <v>15</v>
      </c>
    </row>
    <row r="427" ht="15.75" customHeight="1">
      <c r="A427" s="1">
        <f>IFERROR(__xludf.DUMMYFUNCTION("""COMPUTED_VALUE"""),44470.625)</f>
        <v>44470.625</v>
      </c>
      <c r="B427" s="2">
        <f>IFERROR(__xludf.DUMMYFUNCTION("""COMPUTED_VALUE"""),720.0)</f>
        <v>720</v>
      </c>
      <c r="C427" s="2">
        <f>IFERROR(__xludf.DUMMYFUNCTION("""COMPUTED_VALUE"""),750.0)</f>
        <v>750</v>
      </c>
      <c r="D427" s="2">
        <f>IFERROR(__xludf.DUMMYFUNCTION("""COMPUTED_VALUE"""),715.0)</f>
        <v>715</v>
      </c>
      <c r="E427" s="2">
        <f>IFERROR(__xludf.DUMMYFUNCTION("""COMPUTED_VALUE"""),735.0)</f>
        <v>735</v>
      </c>
      <c r="F427" s="2">
        <f>IFERROR(__xludf.DUMMYFUNCTION("""COMPUTED_VALUE"""),3.96989E7)</f>
        <v>39698900</v>
      </c>
      <c r="G427" s="2">
        <f t="shared" si="1"/>
        <v>35</v>
      </c>
    </row>
    <row r="428" ht="15.75" customHeight="1">
      <c r="A428" s="1">
        <f>IFERROR(__xludf.DUMMYFUNCTION("""COMPUTED_VALUE"""),44473.625)</f>
        <v>44473.625</v>
      </c>
      <c r="B428" s="2">
        <f>IFERROR(__xludf.DUMMYFUNCTION("""COMPUTED_VALUE"""),735.0)</f>
        <v>735</v>
      </c>
      <c r="C428" s="2">
        <f>IFERROR(__xludf.DUMMYFUNCTION("""COMPUTED_VALUE"""),750.0)</f>
        <v>750</v>
      </c>
      <c r="D428" s="2">
        <f>IFERROR(__xludf.DUMMYFUNCTION("""COMPUTED_VALUE"""),735.0)</f>
        <v>735</v>
      </c>
      <c r="E428" s="2">
        <f>IFERROR(__xludf.DUMMYFUNCTION("""COMPUTED_VALUE"""),750.0)</f>
        <v>750</v>
      </c>
      <c r="F428" s="2">
        <f>IFERROR(__xludf.DUMMYFUNCTION("""COMPUTED_VALUE"""),1.76714E7)</f>
        <v>17671400</v>
      </c>
      <c r="G428" s="2">
        <f t="shared" si="1"/>
        <v>15</v>
      </c>
    </row>
    <row r="429" ht="15.75" customHeight="1">
      <c r="A429" s="1">
        <f>IFERROR(__xludf.DUMMYFUNCTION("""COMPUTED_VALUE"""),44474.625)</f>
        <v>44474.625</v>
      </c>
      <c r="B429" s="2">
        <f>IFERROR(__xludf.DUMMYFUNCTION("""COMPUTED_VALUE"""),750.0)</f>
        <v>750</v>
      </c>
      <c r="C429" s="2">
        <f>IFERROR(__xludf.DUMMYFUNCTION("""COMPUTED_VALUE"""),750.0)</f>
        <v>750</v>
      </c>
      <c r="D429" s="2">
        <f>IFERROR(__xludf.DUMMYFUNCTION("""COMPUTED_VALUE"""),730.0)</f>
        <v>730</v>
      </c>
      <c r="E429" s="2">
        <f>IFERROR(__xludf.DUMMYFUNCTION("""COMPUTED_VALUE"""),735.0)</f>
        <v>735</v>
      </c>
      <c r="F429" s="2">
        <f>IFERROR(__xludf.DUMMYFUNCTION("""COMPUTED_VALUE"""),1.14921E7)</f>
        <v>11492100</v>
      </c>
      <c r="G429" s="2">
        <f t="shared" si="1"/>
        <v>20</v>
      </c>
    </row>
    <row r="430" ht="15.75" customHeight="1">
      <c r="A430" s="1">
        <f>IFERROR(__xludf.DUMMYFUNCTION("""COMPUTED_VALUE"""),44475.625)</f>
        <v>44475.625</v>
      </c>
      <c r="B430" s="2">
        <f>IFERROR(__xludf.DUMMYFUNCTION("""COMPUTED_VALUE"""),740.0)</f>
        <v>740</v>
      </c>
      <c r="C430" s="2">
        <f>IFERROR(__xludf.DUMMYFUNCTION("""COMPUTED_VALUE"""),770.0)</f>
        <v>770</v>
      </c>
      <c r="D430" s="2">
        <f>IFERROR(__xludf.DUMMYFUNCTION("""COMPUTED_VALUE"""),740.0)</f>
        <v>740</v>
      </c>
      <c r="E430" s="2">
        <f>IFERROR(__xludf.DUMMYFUNCTION("""COMPUTED_VALUE"""),750.0)</f>
        <v>750</v>
      </c>
      <c r="F430" s="2">
        <f>IFERROR(__xludf.DUMMYFUNCTION("""COMPUTED_VALUE"""),3.31232E7)</f>
        <v>33123200</v>
      </c>
      <c r="G430" s="2">
        <f t="shared" si="1"/>
        <v>35</v>
      </c>
    </row>
    <row r="431" ht="15.75" customHeight="1">
      <c r="A431" s="1">
        <f>IFERROR(__xludf.DUMMYFUNCTION("""COMPUTED_VALUE"""),44476.625)</f>
        <v>44476.625</v>
      </c>
      <c r="B431" s="2">
        <f>IFERROR(__xludf.DUMMYFUNCTION("""COMPUTED_VALUE"""),750.0)</f>
        <v>750</v>
      </c>
      <c r="C431" s="2">
        <f>IFERROR(__xludf.DUMMYFUNCTION("""COMPUTED_VALUE"""),765.0)</f>
        <v>765</v>
      </c>
      <c r="D431" s="2">
        <f>IFERROR(__xludf.DUMMYFUNCTION("""COMPUTED_VALUE"""),745.0)</f>
        <v>745</v>
      </c>
      <c r="E431" s="2">
        <f>IFERROR(__xludf.DUMMYFUNCTION("""COMPUTED_VALUE"""),750.0)</f>
        <v>750</v>
      </c>
      <c r="F431" s="2">
        <f>IFERROR(__xludf.DUMMYFUNCTION("""COMPUTED_VALUE"""),1.20357E7)</f>
        <v>12035700</v>
      </c>
      <c r="G431" s="2">
        <f t="shared" si="1"/>
        <v>20</v>
      </c>
    </row>
    <row r="432" ht="15.75" customHeight="1">
      <c r="A432" s="1">
        <f>IFERROR(__xludf.DUMMYFUNCTION("""COMPUTED_VALUE"""),44477.625)</f>
        <v>44477.625</v>
      </c>
      <c r="B432" s="2">
        <f>IFERROR(__xludf.DUMMYFUNCTION("""COMPUTED_VALUE"""),750.0)</f>
        <v>750</v>
      </c>
      <c r="C432" s="2">
        <f>IFERROR(__xludf.DUMMYFUNCTION("""COMPUTED_VALUE"""),765.0)</f>
        <v>765</v>
      </c>
      <c r="D432" s="2">
        <f>IFERROR(__xludf.DUMMYFUNCTION("""COMPUTED_VALUE"""),750.0)</f>
        <v>750</v>
      </c>
      <c r="E432" s="2">
        <f>IFERROR(__xludf.DUMMYFUNCTION("""COMPUTED_VALUE"""),755.0)</f>
        <v>755</v>
      </c>
      <c r="F432" s="2">
        <f>IFERROR(__xludf.DUMMYFUNCTION("""COMPUTED_VALUE"""),6418500.0)</f>
        <v>6418500</v>
      </c>
      <c r="G432" s="2">
        <f t="shared" si="1"/>
        <v>15</v>
      </c>
    </row>
    <row r="433" ht="15.75" customHeight="1">
      <c r="A433" s="1">
        <f>IFERROR(__xludf.DUMMYFUNCTION("""COMPUTED_VALUE"""),44480.625)</f>
        <v>44480.625</v>
      </c>
      <c r="B433" s="2">
        <f>IFERROR(__xludf.DUMMYFUNCTION("""COMPUTED_VALUE"""),760.0)</f>
        <v>760</v>
      </c>
      <c r="C433" s="2">
        <f>IFERROR(__xludf.DUMMYFUNCTION("""COMPUTED_VALUE"""),760.0)</f>
        <v>760</v>
      </c>
      <c r="D433" s="2">
        <f>IFERROR(__xludf.DUMMYFUNCTION("""COMPUTED_VALUE"""),750.0)</f>
        <v>750</v>
      </c>
      <c r="E433" s="2">
        <f>IFERROR(__xludf.DUMMYFUNCTION("""COMPUTED_VALUE"""),760.0)</f>
        <v>760</v>
      </c>
      <c r="F433" s="2">
        <f>IFERROR(__xludf.DUMMYFUNCTION("""COMPUTED_VALUE"""),5225000.0)</f>
        <v>5225000</v>
      </c>
      <c r="G433" s="2">
        <f t="shared" si="1"/>
        <v>10</v>
      </c>
    </row>
    <row r="434" ht="15.75" customHeight="1">
      <c r="A434" s="1">
        <f>IFERROR(__xludf.DUMMYFUNCTION("""COMPUTED_VALUE"""),44481.66666666667)</f>
        <v>44481.66667</v>
      </c>
      <c r="B434" s="2">
        <f>IFERROR(__xludf.DUMMYFUNCTION("""COMPUTED_VALUE"""),760.0)</f>
        <v>760</v>
      </c>
      <c r="C434" s="2">
        <f>IFERROR(__xludf.DUMMYFUNCTION("""COMPUTED_VALUE"""),775.0)</f>
        <v>775</v>
      </c>
      <c r="D434" s="2">
        <f>IFERROR(__xludf.DUMMYFUNCTION("""COMPUTED_VALUE"""),755.0)</f>
        <v>755</v>
      </c>
      <c r="E434" s="2">
        <f>IFERROR(__xludf.DUMMYFUNCTION("""COMPUTED_VALUE"""),775.0)</f>
        <v>775</v>
      </c>
      <c r="F434" s="2">
        <f>IFERROR(__xludf.DUMMYFUNCTION("""COMPUTED_VALUE"""),2.10018E7)</f>
        <v>21001800</v>
      </c>
      <c r="G434" s="2">
        <f t="shared" si="1"/>
        <v>20</v>
      </c>
    </row>
    <row r="435" ht="15.75" customHeight="1">
      <c r="A435" s="1">
        <f>IFERROR(__xludf.DUMMYFUNCTION("""COMPUTED_VALUE"""),44482.625)</f>
        <v>44482.625</v>
      </c>
      <c r="B435" s="2">
        <f>IFERROR(__xludf.DUMMYFUNCTION("""COMPUTED_VALUE"""),775.0)</f>
        <v>775</v>
      </c>
      <c r="C435" s="2">
        <f>IFERROR(__xludf.DUMMYFUNCTION("""COMPUTED_VALUE"""),780.0)</f>
        <v>780</v>
      </c>
      <c r="D435" s="2">
        <f>IFERROR(__xludf.DUMMYFUNCTION("""COMPUTED_VALUE"""),765.0)</f>
        <v>765</v>
      </c>
      <c r="E435" s="2">
        <f>IFERROR(__xludf.DUMMYFUNCTION("""COMPUTED_VALUE"""),775.0)</f>
        <v>775</v>
      </c>
      <c r="F435" s="2">
        <f>IFERROR(__xludf.DUMMYFUNCTION("""COMPUTED_VALUE"""),1.35137E7)</f>
        <v>13513700</v>
      </c>
      <c r="G435" s="2">
        <f t="shared" si="1"/>
        <v>15</v>
      </c>
    </row>
    <row r="436" ht="15.75" customHeight="1">
      <c r="A436" s="1">
        <f>IFERROR(__xludf.DUMMYFUNCTION("""COMPUTED_VALUE"""),44483.66666666667)</f>
        <v>44483.66667</v>
      </c>
      <c r="B436" s="2">
        <f>IFERROR(__xludf.DUMMYFUNCTION("""COMPUTED_VALUE"""),775.0)</f>
        <v>775</v>
      </c>
      <c r="C436" s="2">
        <f>IFERROR(__xludf.DUMMYFUNCTION("""COMPUTED_VALUE"""),795.0)</f>
        <v>795</v>
      </c>
      <c r="D436" s="2">
        <f>IFERROR(__xludf.DUMMYFUNCTION("""COMPUTED_VALUE"""),770.0)</f>
        <v>770</v>
      </c>
      <c r="E436" s="2">
        <f>IFERROR(__xludf.DUMMYFUNCTION("""COMPUTED_VALUE"""),780.0)</f>
        <v>780</v>
      </c>
      <c r="F436" s="2">
        <f>IFERROR(__xludf.DUMMYFUNCTION("""COMPUTED_VALUE"""),2.25588E7)</f>
        <v>22558800</v>
      </c>
      <c r="G436" s="2">
        <f t="shared" si="1"/>
        <v>25</v>
      </c>
    </row>
    <row r="437" ht="15.75" customHeight="1">
      <c r="A437" s="1">
        <f>IFERROR(__xludf.DUMMYFUNCTION("""COMPUTED_VALUE"""),44484.66666666667)</f>
        <v>44484.66667</v>
      </c>
      <c r="B437" s="2">
        <f>IFERROR(__xludf.DUMMYFUNCTION("""COMPUTED_VALUE"""),780.0)</f>
        <v>780</v>
      </c>
      <c r="C437" s="2">
        <f>IFERROR(__xludf.DUMMYFUNCTION("""COMPUTED_VALUE"""),785.0)</f>
        <v>785</v>
      </c>
      <c r="D437" s="2">
        <f>IFERROR(__xludf.DUMMYFUNCTION("""COMPUTED_VALUE"""),765.0)</f>
        <v>765</v>
      </c>
      <c r="E437" s="2">
        <f>IFERROR(__xludf.DUMMYFUNCTION("""COMPUTED_VALUE"""),775.0)</f>
        <v>775</v>
      </c>
      <c r="F437" s="2">
        <f>IFERROR(__xludf.DUMMYFUNCTION("""COMPUTED_VALUE"""),1.0E7)</f>
        <v>10000000</v>
      </c>
      <c r="G437" s="2">
        <f t="shared" si="1"/>
        <v>20</v>
      </c>
    </row>
    <row r="438" ht="15.75" customHeight="1">
      <c r="A438" s="1">
        <f>IFERROR(__xludf.DUMMYFUNCTION("""COMPUTED_VALUE"""),44487.625)</f>
        <v>44487.625</v>
      </c>
      <c r="B438" s="2">
        <f>IFERROR(__xludf.DUMMYFUNCTION("""COMPUTED_VALUE"""),775.0)</f>
        <v>775</v>
      </c>
      <c r="C438" s="2">
        <f>IFERROR(__xludf.DUMMYFUNCTION("""COMPUTED_VALUE"""),790.0)</f>
        <v>790</v>
      </c>
      <c r="D438" s="2">
        <f>IFERROR(__xludf.DUMMYFUNCTION("""COMPUTED_VALUE"""),770.0)</f>
        <v>770</v>
      </c>
      <c r="E438" s="2">
        <f>IFERROR(__xludf.DUMMYFUNCTION("""COMPUTED_VALUE"""),780.0)</f>
        <v>780</v>
      </c>
      <c r="F438" s="2">
        <f>IFERROR(__xludf.DUMMYFUNCTION("""COMPUTED_VALUE"""),1.38987E7)</f>
        <v>13898700</v>
      </c>
      <c r="G438" s="2">
        <f t="shared" si="1"/>
        <v>20</v>
      </c>
    </row>
    <row r="439" ht="15.75" customHeight="1">
      <c r="A439" s="1">
        <f>IFERROR(__xludf.DUMMYFUNCTION("""COMPUTED_VALUE"""),44488.625)</f>
        <v>44488.625</v>
      </c>
      <c r="B439" s="2">
        <f>IFERROR(__xludf.DUMMYFUNCTION("""COMPUTED_VALUE"""),780.0)</f>
        <v>780</v>
      </c>
      <c r="C439" s="2">
        <f>IFERROR(__xludf.DUMMYFUNCTION("""COMPUTED_VALUE"""),785.0)</f>
        <v>785</v>
      </c>
      <c r="D439" s="2">
        <f>IFERROR(__xludf.DUMMYFUNCTION("""COMPUTED_VALUE"""),770.0)</f>
        <v>770</v>
      </c>
      <c r="E439" s="2">
        <f>IFERROR(__xludf.DUMMYFUNCTION("""COMPUTED_VALUE"""),775.0)</f>
        <v>775</v>
      </c>
      <c r="F439" s="2">
        <f>IFERROR(__xludf.DUMMYFUNCTION("""COMPUTED_VALUE"""),1.01599E7)</f>
        <v>10159900</v>
      </c>
      <c r="G439" s="2">
        <f t="shared" si="1"/>
        <v>15</v>
      </c>
    </row>
    <row r="440" ht="15.75" customHeight="1">
      <c r="A440" s="1">
        <f>IFERROR(__xludf.DUMMYFUNCTION("""COMPUTED_VALUE"""),44490.625)</f>
        <v>44490.625</v>
      </c>
      <c r="B440" s="2">
        <f>IFERROR(__xludf.DUMMYFUNCTION("""COMPUTED_VALUE"""),775.0)</f>
        <v>775</v>
      </c>
      <c r="C440" s="2">
        <f>IFERROR(__xludf.DUMMYFUNCTION("""COMPUTED_VALUE"""),785.0)</f>
        <v>785</v>
      </c>
      <c r="D440" s="2">
        <f>IFERROR(__xludf.DUMMYFUNCTION("""COMPUTED_VALUE"""),750.0)</f>
        <v>750</v>
      </c>
      <c r="E440" s="2">
        <f>IFERROR(__xludf.DUMMYFUNCTION("""COMPUTED_VALUE"""),750.0)</f>
        <v>750</v>
      </c>
      <c r="F440" s="2">
        <f>IFERROR(__xludf.DUMMYFUNCTION("""COMPUTED_VALUE"""),2.54353E7)</f>
        <v>25435300</v>
      </c>
      <c r="G440" s="2">
        <f t="shared" si="1"/>
        <v>35</v>
      </c>
    </row>
    <row r="441" ht="15.75" customHeight="1">
      <c r="A441" s="1">
        <f>IFERROR(__xludf.DUMMYFUNCTION("""COMPUTED_VALUE"""),44491.625)</f>
        <v>44491.625</v>
      </c>
      <c r="B441" s="2">
        <f>IFERROR(__xludf.DUMMYFUNCTION("""COMPUTED_VALUE"""),750.0)</f>
        <v>750</v>
      </c>
      <c r="C441" s="2">
        <f>IFERROR(__xludf.DUMMYFUNCTION("""COMPUTED_VALUE"""),770.0)</f>
        <v>770</v>
      </c>
      <c r="D441" s="2">
        <f>IFERROR(__xludf.DUMMYFUNCTION("""COMPUTED_VALUE"""),750.0)</f>
        <v>750</v>
      </c>
      <c r="E441" s="2">
        <f>IFERROR(__xludf.DUMMYFUNCTION("""COMPUTED_VALUE"""),765.0)</f>
        <v>765</v>
      </c>
      <c r="F441" s="2">
        <f>IFERROR(__xludf.DUMMYFUNCTION("""COMPUTED_VALUE"""),1.03023E7)</f>
        <v>10302300</v>
      </c>
      <c r="G441" s="2">
        <f t="shared" si="1"/>
        <v>20</v>
      </c>
    </row>
    <row r="442" ht="15.75" customHeight="1">
      <c r="A442" s="1">
        <f>IFERROR(__xludf.DUMMYFUNCTION("""COMPUTED_VALUE"""),44494.625)</f>
        <v>44494.625</v>
      </c>
      <c r="B442" s="2">
        <f>IFERROR(__xludf.DUMMYFUNCTION("""COMPUTED_VALUE"""),765.0)</f>
        <v>765</v>
      </c>
      <c r="C442" s="2">
        <f>IFERROR(__xludf.DUMMYFUNCTION("""COMPUTED_VALUE"""),770.0)</f>
        <v>770</v>
      </c>
      <c r="D442" s="2">
        <f>IFERROR(__xludf.DUMMYFUNCTION("""COMPUTED_VALUE"""),760.0)</f>
        <v>760</v>
      </c>
      <c r="E442" s="2">
        <f>IFERROR(__xludf.DUMMYFUNCTION("""COMPUTED_VALUE"""),760.0)</f>
        <v>760</v>
      </c>
      <c r="F442" s="2">
        <f>IFERROR(__xludf.DUMMYFUNCTION("""COMPUTED_VALUE"""),4530600.0)</f>
        <v>4530600</v>
      </c>
      <c r="G442" s="2">
        <f t="shared" si="1"/>
        <v>10</v>
      </c>
    </row>
    <row r="443" ht="15.75" customHeight="1">
      <c r="A443" s="1">
        <f>IFERROR(__xludf.DUMMYFUNCTION("""COMPUTED_VALUE"""),44495.625)</f>
        <v>44495.625</v>
      </c>
      <c r="B443" s="2">
        <f>IFERROR(__xludf.DUMMYFUNCTION("""COMPUTED_VALUE"""),760.0)</f>
        <v>760</v>
      </c>
      <c r="C443" s="2">
        <f>IFERROR(__xludf.DUMMYFUNCTION("""COMPUTED_VALUE"""),770.0)</f>
        <v>770</v>
      </c>
      <c r="D443" s="2">
        <f>IFERROR(__xludf.DUMMYFUNCTION("""COMPUTED_VALUE"""),760.0)</f>
        <v>760</v>
      </c>
      <c r="E443" s="2">
        <f>IFERROR(__xludf.DUMMYFUNCTION("""COMPUTED_VALUE"""),765.0)</f>
        <v>765</v>
      </c>
      <c r="F443" s="2">
        <f>IFERROR(__xludf.DUMMYFUNCTION("""COMPUTED_VALUE"""),4629800.0)</f>
        <v>4629800</v>
      </c>
      <c r="G443" s="2">
        <f t="shared" si="1"/>
        <v>10</v>
      </c>
    </row>
    <row r="444" ht="15.75" customHeight="1">
      <c r="A444" s="1">
        <f>IFERROR(__xludf.DUMMYFUNCTION("""COMPUTED_VALUE"""),44496.625)</f>
        <v>44496.625</v>
      </c>
      <c r="B444" s="2">
        <f>IFERROR(__xludf.DUMMYFUNCTION("""COMPUTED_VALUE"""),770.0)</f>
        <v>770</v>
      </c>
      <c r="C444" s="2">
        <f>IFERROR(__xludf.DUMMYFUNCTION("""COMPUTED_VALUE"""),770.0)</f>
        <v>770</v>
      </c>
      <c r="D444" s="2">
        <f>IFERROR(__xludf.DUMMYFUNCTION("""COMPUTED_VALUE"""),760.0)</f>
        <v>760</v>
      </c>
      <c r="E444" s="2">
        <f>IFERROR(__xludf.DUMMYFUNCTION("""COMPUTED_VALUE"""),760.0)</f>
        <v>760</v>
      </c>
      <c r="F444" s="2">
        <f>IFERROR(__xludf.DUMMYFUNCTION("""COMPUTED_VALUE"""),4099900.0)</f>
        <v>4099900</v>
      </c>
      <c r="G444" s="2">
        <f t="shared" si="1"/>
        <v>10</v>
      </c>
    </row>
    <row r="445" ht="15.75" customHeight="1">
      <c r="A445" s="1">
        <f>IFERROR(__xludf.DUMMYFUNCTION("""COMPUTED_VALUE"""),44497.625)</f>
        <v>44497.625</v>
      </c>
      <c r="B445" s="2">
        <f>IFERROR(__xludf.DUMMYFUNCTION("""COMPUTED_VALUE"""),765.0)</f>
        <v>765</v>
      </c>
      <c r="C445" s="2">
        <f>IFERROR(__xludf.DUMMYFUNCTION("""COMPUTED_VALUE"""),765.0)</f>
        <v>765</v>
      </c>
      <c r="D445" s="2">
        <f>IFERROR(__xludf.DUMMYFUNCTION("""COMPUTED_VALUE"""),740.0)</f>
        <v>740</v>
      </c>
      <c r="E445" s="2">
        <f>IFERROR(__xludf.DUMMYFUNCTION("""COMPUTED_VALUE"""),745.0)</f>
        <v>745</v>
      </c>
      <c r="F445" s="2">
        <f>IFERROR(__xludf.DUMMYFUNCTION("""COMPUTED_VALUE"""),1.23267E7)</f>
        <v>12326700</v>
      </c>
      <c r="G445" s="2">
        <f t="shared" si="1"/>
        <v>25</v>
      </c>
    </row>
    <row r="446" ht="15.75" customHeight="1">
      <c r="A446" s="1">
        <f>IFERROR(__xludf.DUMMYFUNCTION("""COMPUTED_VALUE"""),44498.625)</f>
        <v>44498.625</v>
      </c>
      <c r="B446" s="2">
        <f>IFERROR(__xludf.DUMMYFUNCTION("""COMPUTED_VALUE"""),750.0)</f>
        <v>750</v>
      </c>
      <c r="C446" s="2">
        <f>IFERROR(__xludf.DUMMYFUNCTION("""COMPUTED_VALUE"""),780.0)</f>
        <v>780</v>
      </c>
      <c r="D446" s="2">
        <f>IFERROR(__xludf.DUMMYFUNCTION("""COMPUTED_VALUE"""),740.0)</f>
        <v>740</v>
      </c>
      <c r="E446" s="2">
        <f>IFERROR(__xludf.DUMMYFUNCTION("""COMPUTED_VALUE"""),780.0)</f>
        <v>780</v>
      </c>
      <c r="F446" s="2">
        <f>IFERROR(__xludf.DUMMYFUNCTION("""COMPUTED_VALUE"""),1.86358E7)</f>
        <v>18635800</v>
      </c>
      <c r="G446" s="2">
        <f t="shared" si="1"/>
        <v>40</v>
      </c>
    </row>
    <row r="447" ht="15.75" customHeight="1">
      <c r="A447" s="1">
        <f>IFERROR(__xludf.DUMMYFUNCTION("""COMPUTED_VALUE"""),44501.625)</f>
        <v>44501.625</v>
      </c>
      <c r="B447" s="2">
        <f>IFERROR(__xludf.DUMMYFUNCTION("""COMPUTED_VALUE"""),780.0)</f>
        <v>780</v>
      </c>
      <c r="C447" s="2">
        <f>IFERROR(__xludf.DUMMYFUNCTION("""COMPUTED_VALUE"""),785.0)</f>
        <v>785</v>
      </c>
      <c r="D447" s="2">
        <f>IFERROR(__xludf.DUMMYFUNCTION("""COMPUTED_VALUE"""),765.0)</f>
        <v>765</v>
      </c>
      <c r="E447" s="2">
        <f>IFERROR(__xludf.DUMMYFUNCTION("""COMPUTED_VALUE"""),770.0)</f>
        <v>770</v>
      </c>
      <c r="F447" s="2">
        <f>IFERROR(__xludf.DUMMYFUNCTION("""COMPUTED_VALUE"""),7316500.0)</f>
        <v>7316500</v>
      </c>
      <c r="G447" s="2">
        <f t="shared" si="1"/>
        <v>20</v>
      </c>
    </row>
    <row r="448" ht="15.75" customHeight="1">
      <c r="A448" s="1">
        <f>IFERROR(__xludf.DUMMYFUNCTION("""COMPUTED_VALUE"""),44502.625)</f>
        <v>44502.625</v>
      </c>
      <c r="B448" s="2">
        <f>IFERROR(__xludf.DUMMYFUNCTION("""COMPUTED_VALUE"""),775.0)</f>
        <v>775</v>
      </c>
      <c r="C448" s="2">
        <f>IFERROR(__xludf.DUMMYFUNCTION("""COMPUTED_VALUE"""),775.0)</f>
        <v>775</v>
      </c>
      <c r="D448" s="2">
        <f>IFERROR(__xludf.DUMMYFUNCTION("""COMPUTED_VALUE"""),760.0)</f>
        <v>760</v>
      </c>
      <c r="E448" s="2">
        <f>IFERROR(__xludf.DUMMYFUNCTION("""COMPUTED_VALUE"""),765.0)</f>
        <v>765</v>
      </c>
      <c r="F448" s="2">
        <f>IFERROR(__xludf.DUMMYFUNCTION("""COMPUTED_VALUE"""),8076900.0)</f>
        <v>8076900</v>
      </c>
      <c r="G448" s="2">
        <f t="shared" si="1"/>
        <v>15</v>
      </c>
    </row>
    <row r="449" ht="15.75" customHeight="1">
      <c r="A449" s="1">
        <f>IFERROR(__xludf.DUMMYFUNCTION("""COMPUTED_VALUE"""),44503.625)</f>
        <v>44503.625</v>
      </c>
      <c r="B449" s="2">
        <f>IFERROR(__xludf.DUMMYFUNCTION("""COMPUTED_VALUE"""),765.0)</f>
        <v>765</v>
      </c>
      <c r="C449" s="2">
        <f>IFERROR(__xludf.DUMMYFUNCTION("""COMPUTED_VALUE"""),770.0)</f>
        <v>770</v>
      </c>
      <c r="D449" s="2">
        <f>IFERROR(__xludf.DUMMYFUNCTION("""COMPUTED_VALUE"""),755.0)</f>
        <v>755</v>
      </c>
      <c r="E449" s="2">
        <f>IFERROR(__xludf.DUMMYFUNCTION("""COMPUTED_VALUE"""),760.0)</f>
        <v>760</v>
      </c>
      <c r="F449" s="2">
        <f>IFERROR(__xludf.DUMMYFUNCTION("""COMPUTED_VALUE"""),5205700.0)</f>
        <v>5205700</v>
      </c>
      <c r="G449" s="2">
        <f t="shared" si="1"/>
        <v>15</v>
      </c>
    </row>
    <row r="450" ht="15.75" customHeight="1">
      <c r="A450" s="1">
        <f>IFERROR(__xludf.DUMMYFUNCTION("""COMPUTED_VALUE"""),44504.66666666667)</f>
        <v>44504.66667</v>
      </c>
      <c r="B450" s="2">
        <f>IFERROR(__xludf.DUMMYFUNCTION("""COMPUTED_VALUE"""),765.0)</f>
        <v>765</v>
      </c>
      <c r="C450" s="2">
        <f>IFERROR(__xludf.DUMMYFUNCTION("""COMPUTED_VALUE"""),770.0)</f>
        <v>770</v>
      </c>
      <c r="D450" s="2">
        <f>IFERROR(__xludf.DUMMYFUNCTION("""COMPUTED_VALUE"""),755.0)</f>
        <v>755</v>
      </c>
      <c r="E450" s="2">
        <f>IFERROR(__xludf.DUMMYFUNCTION("""COMPUTED_VALUE"""),765.0)</f>
        <v>765</v>
      </c>
      <c r="F450" s="2">
        <f>IFERROR(__xludf.DUMMYFUNCTION("""COMPUTED_VALUE"""),7069700.0)</f>
        <v>7069700</v>
      </c>
      <c r="G450" s="2">
        <f t="shared" si="1"/>
        <v>15</v>
      </c>
    </row>
    <row r="451" ht="15.75" customHeight="1">
      <c r="A451" s="1">
        <f>IFERROR(__xludf.DUMMYFUNCTION("""COMPUTED_VALUE"""),44505.625)</f>
        <v>44505.625</v>
      </c>
      <c r="B451" s="2">
        <f>IFERROR(__xludf.DUMMYFUNCTION("""COMPUTED_VALUE"""),765.0)</f>
        <v>765</v>
      </c>
      <c r="C451" s="2">
        <f>IFERROR(__xludf.DUMMYFUNCTION("""COMPUTED_VALUE"""),765.0)</f>
        <v>765</v>
      </c>
      <c r="D451" s="2">
        <f>IFERROR(__xludf.DUMMYFUNCTION("""COMPUTED_VALUE"""),755.0)</f>
        <v>755</v>
      </c>
      <c r="E451" s="2">
        <f>IFERROR(__xludf.DUMMYFUNCTION("""COMPUTED_VALUE"""),760.0)</f>
        <v>760</v>
      </c>
      <c r="F451" s="2">
        <f>IFERROR(__xludf.DUMMYFUNCTION("""COMPUTED_VALUE"""),3421200.0)</f>
        <v>3421200</v>
      </c>
      <c r="G451" s="2">
        <f t="shared" si="1"/>
        <v>10</v>
      </c>
    </row>
    <row r="452" ht="15.75" customHeight="1">
      <c r="A452" s="1">
        <f>IFERROR(__xludf.DUMMYFUNCTION("""COMPUTED_VALUE"""),44508.625)</f>
        <v>44508.625</v>
      </c>
      <c r="B452" s="2">
        <f>IFERROR(__xludf.DUMMYFUNCTION("""COMPUTED_VALUE"""),760.0)</f>
        <v>760</v>
      </c>
      <c r="C452" s="2">
        <f>IFERROR(__xludf.DUMMYFUNCTION("""COMPUTED_VALUE"""),770.0)</f>
        <v>770</v>
      </c>
      <c r="D452" s="2">
        <f>IFERROR(__xludf.DUMMYFUNCTION("""COMPUTED_VALUE"""),755.0)</f>
        <v>755</v>
      </c>
      <c r="E452" s="2">
        <f>IFERROR(__xludf.DUMMYFUNCTION("""COMPUTED_VALUE"""),770.0)</f>
        <v>770</v>
      </c>
      <c r="F452" s="2">
        <f>IFERROR(__xludf.DUMMYFUNCTION("""COMPUTED_VALUE"""),6761300.0)</f>
        <v>6761300</v>
      </c>
      <c r="G452" s="2">
        <f t="shared" si="1"/>
        <v>15</v>
      </c>
    </row>
    <row r="453" ht="15.75" customHeight="1">
      <c r="A453" s="1">
        <f>IFERROR(__xludf.DUMMYFUNCTION("""COMPUTED_VALUE"""),44509.625)</f>
        <v>44509.625</v>
      </c>
      <c r="B453" s="2">
        <f>IFERROR(__xludf.DUMMYFUNCTION("""COMPUTED_VALUE"""),770.0)</f>
        <v>770</v>
      </c>
      <c r="C453" s="2">
        <f>IFERROR(__xludf.DUMMYFUNCTION("""COMPUTED_VALUE"""),770.0)</f>
        <v>770</v>
      </c>
      <c r="D453" s="2">
        <f>IFERROR(__xludf.DUMMYFUNCTION("""COMPUTED_VALUE"""),760.0)</f>
        <v>760</v>
      </c>
      <c r="E453" s="2">
        <f>IFERROR(__xludf.DUMMYFUNCTION("""COMPUTED_VALUE"""),765.0)</f>
        <v>765</v>
      </c>
      <c r="F453" s="2">
        <f>IFERROR(__xludf.DUMMYFUNCTION("""COMPUTED_VALUE"""),4134400.0)</f>
        <v>4134400</v>
      </c>
      <c r="G453" s="2">
        <f t="shared" si="1"/>
        <v>10</v>
      </c>
    </row>
    <row r="454" ht="15.75" customHeight="1">
      <c r="A454" s="1">
        <f>IFERROR(__xludf.DUMMYFUNCTION("""COMPUTED_VALUE"""),44510.625)</f>
        <v>44510.625</v>
      </c>
      <c r="B454" s="2">
        <f>IFERROR(__xludf.DUMMYFUNCTION("""COMPUTED_VALUE"""),765.0)</f>
        <v>765</v>
      </c>
      <c r="C454" s="2">
        <f>IFERROR(__xludf.DUMMYFUNCTION("""COMPUTED_VALUE"""),770.0)</f>
        <v>770</v>
      </c>
      <c r="D454" s="2">
        <f>IFERROR(__xludf.DUMMYFUNCTION("""COMPUTED_VALUE"""),760.0)</f>
        <v>760</v>
      </c>
      <c r="E454" s="2">
        <f>IFERROR(__xludf.DUMMYFUNCTION("""COMPUTED_VALUE"""),760.0)</f>
        <v>760</v>
      </c>
      <c r="F454" s="2">
        <f>IFERROR(__xludf.DUMMYFUNCTION("""COMPUTED_VALUE"""),4074600.0)</f>
        <v>4074600</v>
      </c>
      <c r="G454" s="2">
        <f t="shared" si="1"/>
        <v>10</v>
      </c>
    </row>
    <row r="455" ht="15.75" customHeight="1">
      <c r="A455" s="1">
        <f>IFERROR(__xludf.DUMMYFUNCTION("""COMPUTED_VALUE"""),44511.625)</f>
        <v>44511.625</v>
      </c>
      <c r="B455" s="2">
        <f>IFERROR(__xludf.DUMMYFUNCTION("""COMPUTED_VALUE"""),765.0)</f>
        <v>765</v>
      </c>
      <c r="C455" s="2">
        <f>IFERROR(__xludf.DUMMYFUNCTION("""COMPUTED_VALUE"""),765.0)</f>
        <v>765</v>
      </c>
      <c r="D455" s="2">
        <f>IFERROR(__xludf.DUMMYFUNCTION("""COMPUTED_VALUE"""),760.0)</f>
        <v>760</v>
      </c>
      <c r="E455" s="2">
        <f>IFERROR(__xludf.DUMMYFUNCTION("""COMPUTED_VALUE"""),760.0)</f>
        <v>760</v>
      </c>
      <c r="F455" s="2">
        <f>IFERROR(__xludf.DUMMYFUNCTION("""COMPUTED_VALUE"""),4609700.0)</f>
        <v>4609700</v>
      </c>
      <c r="G455" s="2">
        <f t="shared" si="1"/>
        <v>5</v>
      </c>
    </row>
    <row r="456" ht="15.75" customHeight="1">
      <c r="A456" s="1">
        <f>IFERROR(__xludf.DUMMYFUNCTION("""COMPUTED_VALUE"""),44512.625)</f>
        <v>44512.625</v>
      </c>
      <c r="B456" s="2">
        <f>IFERROR(__xludf.DUMMYFUNCTION("""COMPUTED_VALUE"""),765.0)</f>
        <v>765</v>
      </c>
      <c r="C456" s="2">
        <f>IFERROR(__xludf.DUMMYFUNCTION("""COMPUTED_VALUE"""),770.0)</f>
        <v>770</v>
      </c>
      <c r="D456" s="2">
        <f>IFERROR(__xludf.DUMMYFUNCTION("""COMPUTED_VALUE"""),760.0)</f>
        <v>760</v>
      </c>
      <c r="E456" s="2">
        <f>IFERROR(__xludf.DUMMYFUNCTION("""COMPUTED_VALUE"""),760.0)</f>
        <v>760</v>
      </c>
      <c r="F456" s="2">
        <f>IFERROR(__xludf.DUMMYFUNCTION("""COMPUTED_VALUE"""),4570500.0)</f>
        <v>4570500</v>
      </c>
      <c r="G456" s="2">
        <f t="shared" si="1"/>
        <v>10</v>
      </c>
    </row>
    <row r="457" ht="15.75" customHeight="1">
      <c r="A457" s="1">
        <f>IFERROR(__xludf.DUMMYFUNCTION("""COMPUTED_VALUE"""),44515.625)</f>
        <v>44515.625</v>
      </c>
      <c r="B457" s="2">
        <f>IFERROR(__xludf.DUMMYFUNCTION("""COMPUTED_VALUE"""),760.0)</f>
        <v>760</v>
      </c>
      <c r="C457" s="2">
        <f>IFERROR(__xludf.DUMMYFUNCTION("""COMPUTED_VALUE"""),765.0)</f>
        <v>765</v>
      </c>
      <c r="D457" s="2">
        <f>IFERROR(__xludf.DUMMYFUNCTION("""COMPUTED_VALUE"""),755.0)</f>
        <v>755</v>
      </c>
      <c r="E457" s="2">
        <f>IFERROR(__xludf.DUMMYFUNCTION("""COMPUTED_VALUE"""),760.0)</f>
        <v>760</v>
      </c>
      <c r="F457" s="2">
        <f>IFERROR(__xludf.DUMMYFUNCTION("""COMPUTED_VALUE"""),5388800.0)</f>
        <v>5388800</v>
      </c>
      <c r="G457" s="2">
        <f t="shared" si="1"/>
        <v>10</v>
      </c>
    </row>
    <row r="458" ht="15.75" customHeight="1">
      <c r="A458" s="1">
        <f>IFERROR(__xludf.DUMMYFUNCTION("""COMPUTED_VALUE"""),44516.625)</f>
        <v>44516.625</v>
      </c>
      <c r="B458" s="2">
        <f>IFERROR(__xludf.DUMMYFUNCTION("""COMPUTED_VALUE"""),760.0)</f>
        <v>760</v>
      </c>
      <c r="C458" s="2">
        <f>IFERROR(__xludf.DUMMYFUNCTION("""COMPUTED_VALUE"""),765.0)</f>
        <v>765</v>
      </c>
      <c r="D458" s="2">
        <f>IFERROR(__xludf.DUMMYFUNCTION("""COMPUTED_VALUE"""),755.0)</f>
        <v>755</v>
      </c>
      <c r="E458" s="2">
        <f>IFERROR(__xludf.DUMMYFUNCTION("""COMPUTED_VALUE"""),760.0)</f>
        <v>760</v>
      </c>
      <c r="F458" s="2">
        <f>IFERROR(__xludf.DUMMYFUNCTION("""COMPUTED_VALUE"""),5684200.0)</f>
        <v>5684200</v>
      </c>
      <c r="G458" s="2">
        <f t="shared" si="1"/>
        <v>10</v>
      </c>
    </row>
    <row r="459" ht="15.75" customHeight="1">
      <c r="A459" s="1">
        <f>IFERROR(__xludf.DUMMYFUNCTION("""COMPUTED_VALUE"""),44517.625)</f>
        <v>44517.625</v>
      </c>
      <c r="B459" s="2">
        <f>IFERROR(__xludf.DUMMYFUNCTION("""COMPUTED_VALUE"""),760.0)</f>
        <v>760</v>
      </c>
      <c r="C459" s="2">
        <f>IFERROR(__xludf.DUMMYFUNCTION("""COMPUTED_VALUE"""),765.0)</f>
        <v>765</v>
      </c>
      <c r="D459" s="2">
        <f>IFERROR(__xludf.DUMMYFUNCTION("""COMPUTED_VALUE"""),755.0)</f>
        <v>755</v>
      </c>
      <c r="E459" s="2">
        <f>IFERROR(__xludf.DUMMYFUNCTION("""COMPUTED_VALUE"""),755.0)</f>
        <v>755</v>
      </c>
      <c r="F459" s="2">
        <f>IFERROR(__xludf.DUMMYFUNCTION("""COMPUTED_VALUE"""),5947800.0)</f>
        <v>5947800</v>
      </c>
      <c r="G459" s="2">
        <f t="shared" si="1"/>
        <v>10</v>
      </c>
    </row>
    <row r="460" ht="15.75" customHeight="1">
      <c r="A460" s="1">
        <f>IFERROR(__xludf.DUMMYFUNCTION("""COMPUTED_VALUE"""),44518.625)</f>
        <v>44518.625</v>
      </c>
      <c r="B460" s="2">
        <f>IFERROR(__xludf.DUMMYFUNCTION("""COMPUTED_VALUE"""),755.0)</f>
        <v>755</v>
      </c>
      <c r="C460" s="2">
        <f>IFERROR(__xludf.DUMMYFUNCTION("""COMPUTED_VALUE"""),765.0)</f>
        <v>765</v>
      </c>
      <c r="D460" s="2">
        <f>IFERROR(__xludf.DUMMYFUNCTION("""COMPUTED_VALUE"""),755.0)</f>
        <v>755</v>
      </c>
      <c r="E460" s="2">
        <f>IFERROR(__xludf.DUMMYFUNCTION("""COMPUTED_VALUE"""),755.0)</f>
        <v>755</v>
      </c>
      <c r="F460" s="2">
        <f>IFERROR(__xludf.DUMMYFUNCTION("""COMPUTED_VALUE"""),2294000.0)</f>
        <v>2294000</v>
      </c>
      <c r="G460" s="2">
        <f t="shared" si="1"/>
        <v>10</v>
      </c>
    </row>
    <row r="461" ht="15.75" customHeight="1">
      <c r="A461" s="1">
        <f>IFERROR(__xludf.DUMMYFUNCTION("""COMPUTED_VALUE"""),44519.625)</f>
        <v>44519.625</v>
      </c>
      <c r="B461" s="2">
        <f>IFERROR(__xludf.DUMMYFUNCTION("""COMPUTED_VALUE"""),755.0)</f>
        <v>755</v>
      </c>
      <c r="C461" s="2">
        <f>IFERROR(__xludf.DUMMYFUNCTION("""COMPUTED_VALUE"""),765.0)</f>
        <v>765</v>
      </c>
      <c r="D461" s="2">
        <f>IFERROR(__xludf.DUMMYFUNCTION("""COMPUTED_VALUE"""),755.0)</f>
        <v>755</v>
      </c>
      <c r="E461" s="2">
        <f>IFERROR(__xludf.DUMMYFUNCTION("""COMPUTED_VALUE"""),760.0)</f>
        <v>760</v>
      </c>
      <c r="F461" s="2">
        <f>IFERROR(__xludf.DUMMYFUNCTION("""COMPUTED_VALUE"""),6086600.0)</f>
        <v>6086600</v>
      </c>
      <c r="G461" s="2">
        <f t="shared" si="1"/>
        <v>10</v>
      </c>
    </row>
    <row r="462" ht="15.75" customHeight="1">
      <c r="A462" s="1">
        <f>IFERROR(__xludf.DUMMYFUNCTION("""COMPUTED_VALUE"""),44522.625)</f>
        <v>44522.625</v>
      </c>
      <c r="B462" s="2">
        <f>IFERROR(__xludf.DUMMYFUNCTION("""COMPUTED_VALUE"""),760.0)</f>
        <v>760</v>
      </c>
      <c r="C462" s="2">
        <f>IFERROR(__xludf.DUMMYFUNCTION("""COMPUTED_VALUE"""),765.0)</f>
        <v>765</v>
      </c>
      <c r="D462" s="2">
        <f>IFERROR(__xludf.DUMMYFUNCTION("""COMPUTED_VALUE"""),750.0)</f>
        <v>750</v>
      </c>
      <c r="E462" s="2">
        <f>IFERROR(__xludf.DUMMYFUNCTION("""COMPUTED_VALUE"""),765.0)</f>
        <v>765</v>
      </c>
      <c r="F462" s="2">
        <f>IFERROR(__xludf.DUMMYFUNCTION("""COMPUTED_VALUE"""),5748500.0)</f>
        <v>5748500</v>
      </c>
      <c r="G462" s="2">
        <f t="shared" si="1"/>
        <v>15</v>
      </c>
    </row>
    <row r="463" ht="15.75" customHeight="1">
      <c r="A463" s="1">
        <f>IFERROR(__xludf.DUMMYFUNCTION("""COMPUTED_VALUE"""),44523.625)</f>
        <v>44523.625</v>
      </c>
      <c r="B463" s="2">
        <f>IFERROR(__xludf.DUMMYFUNCTION("""COMPUTED_VALUE"""),765.0)</f>
        <v>765</v>
      </c>
      <c r="C463" s="2">
        <f>IFERROR(__xludf.DUMMYFUNCTION("""COMPUTED_VALUE"""),765.0)</f>
        <v>765</v>
      </c>
      <c r="D463" s="2">
        <f>IFERROR(__xludf.DUMMYFUNCTION("""COMPUTED_VALUE"""),760.0)</f>
        <v>760</v>
      </c>
      <c r="E463" s="2">
        <f>IFERROR(__xludf.DUMMYFUNCTION("""COMPUTED_VALUE"""),760.0)</f>
        <v>760</v>
      </c>
      <c r="F463" s="2">
        <f>IFERROR(__xludf.DUMMYFUNCTION("""COMPUTED_VALUE"""),3205600.0)</f>
        <v>3205600</v>
      </c>
      <c r="G463" s="2">
        <f t="shared" si="1"/>
        <v>5</v>
      </c>
    </row>
    <row r="464" ht="15.75" customHeight="1">
      <c r="A464" s="1">
        <f>IFERROR(__xludf.DUMMYFUNCTION("""COMPUTED_VALUE"""),44524.625)</f>
        <v>44524.625</v>
      </c>
      <c r="B464" s="2">
        <f>IFERROR(__xludf.DUMMYFUNCTION("""COMPUTED_VALUE"""),760.0)</f>
        <v>760</v>
      </c>
      <c r="C464" s="2">
        <f>IFERROR(__xludf.DUMMYFUNCTION("""COMPUTED_VALUE"""),765.0)</f>
        <v>765</v>
      </c>
      <c r="D464" s="2">
        <f>IFERROR(__xludf.DUMMYFUNCTION("""COMPUTED_VALUE"""),760.0)</f>
        <v>760</v>
      </c>
      <c r="E464" s="2">
        <f>IFERROR(__xludf.DUMMYFUNCTION("""COMPUTED_VALUE"""),760.0)</f>
        <v>760</v>
      </c>
      <c r="F464" s="2">
        <f>IFERROR(__xludf.DUMMYFUNCTION("""COMPUTED_VALUE"""),2121000.0)</f>
        <v>2121000</v>
      </c>
      <c r="G464" s="2">
        <f t="shared" si="1"/>
        <v>5</v>
      </c>
    </row>
    <row r="465" ht="15.75" customHeight="1">
      <c r="A465" s="1">
        <f>IFERROR(__xludf.DUMMYFUNCTION("""COMPUTED_VALUE"""),44525.625)</f>
        <v>44525.625</v>
      </c>
      <c r="B465" s="2">
        <f>IFERROR(__xludf.DUMMYFUNCTION("""COMPUTED_VALUE"""),765.0)</f>
        <v>765</v>
      </c>
      <c r="C465" s="2">
        <f>IFERROR(__xludf.DUMMYFUNCTION("""COMPUTED_VALUE"""),770.0)</f>
        <v>770</v>
      </c>
      <c r="D465" s="2">
        <f>IFERROR(__xludf.DUMMYFUNCTION("""COMPUTED_VALUE"""),760.0)</f>
        <v>760</v>
      </c>
      <c r="E465" s="2">
        <f>IFERROR(__xludf.DUMMYFUNCTION("""COMPUTED_VALUE"""),770.0)</f>
        <v>770</v>
      </c>
      <c r="F465" s="2">
        <f>IFERROR(__xludf.DUMMYFUNCTION("""COMPUTED_VALUE"""),1.01451E7)</f>
        <v>10145100</v>
      </c>
      <c r="G465" s="2">
        <f t="shared" si="1"/>
        <v>10</v>
      </c>
    </row>
    <row r="466" ht="15.75" customHeight="1">
      <c r="A466" s="1">
        <f>IFERROR(__xludf.DUMMYFUNCTION("""COMPUTED_VALUE"""),44526.625)</f>
        <v>44526.625</v>
      </c>
      <c r="B466" s="2">
        <f>IFERROR(__xludf.DUMMYFUNCTION("""COMPUTED_VALUE"""),770.0)</f>
        <v>770</v>
      </c>
      <c r="C466" s="2">
        <f>IFERROR(__xludf.DUMMYFUNCTION("""COMPUTED_VALUE"""),770.0)</f>
        <v>770</v>
      </c>
      <c r="D466" s="2">
        <f>IFERROR(__xludf.DUMMYFUNCTION("""COMPUTED_VALUE"""),755.0)</f>
        <v>755</v>
      </c>
      <c r="E466" s="2">
        <f>IFERROR(__xludf.DUMMYFUNCTION("""COMPUTED_VALUE"""),755.0)</f>
        <v>755</v>
      </c>
      <c r="F466" s="2">
        <f>IFERROR(__xludf.DUMMYFUNCTION("""COMPUTED_VALUE"""),1.37176E7)</f>
        <v>13717600</v>
      </c>
      <c r="G466" s="2">
        <f t="shared" si="1"/>
        <v>15</v>
      </c>
    </row>
    <row r="467" ht="15.75" customHeight="1">
      <c r="A467" s="1">
        <f>IFERROR(__xludf.DUMMYFUNCTION("""COMPUTED_VALUE"""),44529.625)</f>
        <v>44529.625</v>
      </c>
      <c r="B467" s="2">
        <f>IFERROR(__xludf.DUMMYFUNCTION("""COMPUTED_VALUE"""),755.0)</f>
        <v>755</v>
      </c>
      <c r="C467" s="2">
        <f>IFERROR(__xludf.DUMMYFUNCTION("""COMPUTED_VALUE"""),760.0)</f>
        <v>760</v>
      </c>
      <c r="D467" s="2">
        <f>IFERROR(__xludf.DUMMYFUNCTION("""COMPUTED_VALUE"""),745.0)</f>
        <v>745</v>
      </c>
      <c r="E467" s="2">
        <f>IFERROR(__xludf.DUMMYFUNCTION("""COMPUTED_VALUE"""),750.0)</f>
        <v>750</v>
      </c>
      <c r="F467" s="2">
        <f>IFERROR(__xludf.DUMMYFUNCTION("""COMPUTED_VALUE"""),8886200.0)</f>
        <v>8886200</v>
      </c>
      <c r="G467" s="2">
        <f t="shared" si="1"/>
        <v>15</v>
      </c>
    </row>
    <row r="468" ht="15.75" customHeight="1">
      <c r="A468" s="1">
        <f>IFERROR(__xludf.DUMMYFUNCTION("""COMPUTED_VALUE"""),44530.625)</f>
        <v>44530.625</v>
      </c>
      <c r="B468" s="2">
        <f>IFERROR(__xludf.DUMMYFUNCTION("""COMPUTED_VALUE"""),750.0)</f>
        <v>750</v>
      </c>
      <c r="C468" s="2">
        <f>IFERROR(__xludf.DUMMYFUNCTION("""COMPUTED_VALUE"""),760.0)</f>
        <v>760</v>
      </c>
      <c r="D468" s="2">
        <f>IFERROR(__xludf.DUMMYFUNCTION("""COMPUTED_VALUE"""),745.0)</f>
        <v>745</v>
      </c>
      <c r="E468" s="2">
        <f>IFERROR(__xludf.DUMMYFUNCTION("""COMPUTED_VALUE"""),745.0)</f>
        <v>745</v>
      </c>
      <c r="F468" s="2">
        <f>IFERROR(__xludf.DUMMYFUNCTION("""COMPUTED_VALUE"""),9246600.0)</f>
        <v>9246600</v>
      </c>
      <c r="G468" s="2">
        <f t="shared" si="1"/>
        <v>15</v>
      </c>
    </row>
    <row r="469" ht="15.75" customHeight="1">
      <c r="A469" s="1">
        <f>IFERROR(__xludf.DUMMYFUNCTION("""COMPUTED_VALUE"""),44531.66666666667)</f>
        <v>44531.66667</v>
      </c>
      <c r="B469" s="2">
        <f>IFERROR(__xludf.DUMMYFUNCTION("""COMPUTED_VALUE"""),750.0)</f>
        <v>750</v>
      </c>
      <c r="C469" s="2">
        <f>IFERROR(__xludf.DUMMYFUNCTION("""COMPUTED_VALUE"""),755.0)</f>
        <v>755</v>
      </c>
      <c r="D469" s="2">
        <f>IFERROR(__xludf.DUMMYFUNCTION("""COMPUTED_VALUE"""),745.0)</f>
        <v>745</v>
      </c>
      <c r="E469" s="2">
        <f>IFERROR(__xludf.DUMMYFUNCTION("""COMPUTED_VALUE"""),755.0)</f>
        <v>755</v>
      </c>
      <c r="F469" s="2">
        <f>IFERROR(__xludf.DUMMYFUNCTION("""COMPUTED_VALUE"""),4182500.0)</f>
        <v>4182500</v>
      </c>
      <c r="G469" s="2">
        <f t="shared" si="1"/>
        <v>10</v>
      </c>
    </row>
    <row r="470" ht="15.75" customHeight="1">
      <c r="A470" s="1">
        <f>IFERROR(__xludf.DUMMYFUNCTION("""COMPUTED_VALUE"""),44532.66666666667)</f>
        <v>44532.66667</v>
      </c>
      <c r="B470" s="2">
        <f>IFERROR(__xludf.DUMMYFUNCTION("""COMPUTED_VALUE"""),750.0)</f>
        <v>750</v>
      </c>
      <c r="C470" s="2">
        <f>IFERROR(__xludf.DUMMYFUNCTION("""COMPUTED_VALUE"""),755.0)</f>
        <v>755</v>
      </c>
      <c r="D470" s="2">
        <f>IFERROR(__xludf.DUMMYFUNCTION("""COMPUTED_VALUE"""),745.0)</f>
        <v>745</v>
      </c>
      <c r="E470" s="2">
        <f>IFERROR(__xludf.DUMMYFUNCTION("""COMPUTED_VALUE"""),750.0)</f>
        <v>750</v>
      </c>
      <c r="F470" s="2">
        <f>IFERROR(__xludf.DUMMYFUNCTION("""COMPUTED_VALUE"""),2906000.0)</f>
        <v>2906000</v>
      </c>
      <c r="G470" s="2">
        <f t="shared" si="1"/>
        <v>10</v>
      </c>
    </row>
    <row r="471" ht="15.75" customHeight="1">
      <c r="A471" s="1">
        <f>IFERROR(__xludf.DUMMYFUNCTION("""COMPUTED_VALUE"""),44533.66666666667)</f>
        <v>44533.66667</v>
      </c>
      <c r="B471" s="2">
        <f>IFERROR(__xludf.DUMMYFUNCTION("""COMPUTED_VALUE"""),750.0)</f>
        <v>750</v>
      </c>
      <c r="C471" s="2">
        <f>IFERROR(__xludf.DUMMYFUNCTION("""COMPUTED_VALUE"""),770.0)</f>
        <v>770</v>
      </c>
      <c r="D471" s="2">
        <f>IFERROR(__xludf.DUMMYFUNCTION("""COMPUTED_VALUE"""),750.0)</f>
        <v>750</v>
      </c>
      <c r="E471" s="2">
        <f>IFERROR(__xludf.DUMMYFUNCTION("""COMPUTED_VALUE"""),765.0)</f>
        <v>765</v>
      </c>
      <c r="F471" s="2">
        <f>IFERROR(__xludf.DUMMYFUNCTION("""COMPUTED_VALUE"""),8968400.0)</f>
        <v>8968400</v>
      </c>
      <c r="G471" s="2">
        <f t="shared" si="1"/>
        <v>20</v>
      </c>
    </row>
    <row r="472" ht="15.75" customHeight="1">
      <c r="A472" s="1">
        <f>IFERROR(__xludf.DUMMYFUNCTION("""COMPUTED_VALUE"""),44536.66666666667)</f>
        <v>44536.66667</v>
      </c>
      <c r="B472" s="2">
        <f>IFERROR(__xludf.DUMMYFUNCTION("""COMPUTED_VALUE"""),765.0)</f>
        <v>765</v>
      </c>
      <c r="C472" s="2">
        <f>IFERROR(__xludf.DUMMYFUNCTION("""COMPUTED_VALUE"""),770.0)</f>
        <v>770</v>
      </c>
      <c r="D472" s="2">
        <f>IFERROR(__xludf.DUMMYFUNCTION("""COMPUTED_VALUE"""),760.0)</f>
        <v>760</v>
      </c>
      <c r="E472" s="2">
        <f>IFERROR(__xludf.DUMMYFUNCTION("""COMPUTED_VALUE"""),765.0)</f>
        <v>765</v>
      </c>
      <c r="F472" s="2">
        <f>IFERROR(__xludf.DUMMYFUNCTION("""COMPUTED_VALUE"""),2544200.0)</f>
        <v>2544200</v>
      </c>
      <c r="G472" s="2">
        <f t="shared" si="1"/>
        <v>10</v>
      </c>
    </row>
    <row r="473" ht="15.75" customHeight="1">
      <c r="A473" s="1">
        <f>IFERROR(__xludf.DUMMYFUNCTION("""COMPUTED_VALUE"""),44537.66666666667)</f>
        <v>44537.66667</v>
      </c>
      <c r="B473" s="2">
        <f>IFERROR(__xludf.DUMMYFUNCTION("""COMPUTED_VALUE"""),765.0)</f>
        <v>765</v>
      </c>
      <c r="C473" s="2">
        <f>IFERROR(__xludf.DUMMYFUNCTION("""COMPUTED_VALUE"""),775.0)</f>
        <v>775</v>
      </c>
      <c r="D473" s="2">
        <f>IFERROR(__xludf.DUMMYFUNCTION("""COMPUTED_VALUE"""),760.0)</f>
        <v>760</v>
      </c>
      <c r="E473" s="2">
        <f>IFERROR(__xludf.DUMMYFUNCTION("""COMPUTED_VALUE"""),765.0)</f>
        <v>765</v>
      </c>
      <c r="F473" s="2">
        <f>IFERROR(__xludf.DUMMYFUNCTION("""COMPUTED_VALUE"""),6302600.0)</f>
        <v>6302600</v>
      </c>
      <c r="G473" s="2">
        <f t="shared" si="1"/>
        <v>15</v>
      </c>
    </row>
    <row r="474" ht="15.75" customHeight="1">
      <c r="A474" s="1">
        <f>IFERROR(__xludf.DUMMYFUNCTION("""COMPUTED_VALUE"""),44538.66666666667)</f>
        <v>44538.66667</v>
      </c>
      <c r="B474" s="2">
        <f>IFERROR(__xludf.DUMMYFUNCTION("""COMPUTED_VALUE"""),765.0)</f>
        <v>765</v>
      </c>
      <c r="C474" s="2">
        <f>IFERROR(__xludf.DUMMYFUNCTION("""COMPUTED_VALUE"""),770.0)</f>
        <v>770</v>
      </c>
      <c r="D474" s="2">
        <f>IFERROR(__xludf.DUMMYFUNCTION("""COMPUTED_VALUE"""),760.0)</f>
        <v>760</v>
      </c>
      <c r="E474" s="2">
        <f>IFERROR(__xludf.DUMMYFUNCTION("""COMPUTED_VALUE"""),760.0)</f>
        <v>760</v>
      </c>
      <c r="F474" s="2">
        <f>IFERROR(__xludf.DUMMYFUNCTION("""COMPUTED_VALUE"""),2222600.0)</f>
        <v>2222600</v>
      </c>
      <c r="G474" s="2">
        <f t="shared" si="1"/>
        <v>10</v>
      </c>
    </row>
    <row r="475" ht="15.75" customHeight="1">
      <c r="A475" s="1">
        <f>IFERROR(__xludf.DUMMYFUNCTION("""COMPUTED_VALUE"""),44539.66666666667)</f>
        <v>44539.66667</v>
      </c>
      <c r="B475" s="2">
        <f>IFERROR(__xludf.DUMMYFUNCTION("""COMPUTED_VALUE"""),755.0)</f>
        <v>755</v>
      </c>
      <c r="C475" s="2">
        <f>IFERROR(__xludf.DUMMYFUNCTION("""COMPUTED_VALUE"""),765.0)</f>
        <v>765</v>
      </c>
      <c r="D475" s="2">
        <f>IFERROR(__xludf.DUMMYFUNCTION("""COMPUTED_VALUE"""),755.0)</f>
        <v>755</v>
      </c>
      <c r="E475" s="2">
        <f>IFERROR(__xludf.DUMMYFUNCTION("""COMPUTED_VALUE"""),760.0)</f>
        <v>760</v>
      </c>
      <c r="F475" s="2">
        <f>IFERROR(__xludf.DUMMYFUNCTION("""COMPUTED_VALUE"""),3417100.0)</f>
        <v>3417100</v>
      </c>
      <c r="G475" s="2">
        <f t="shared" si="1"/>
        <v>10</v>
      </c>
    </row>
    <row r="476" ht="15.75" customHeight="1">
      <c r="A476" s="1">
        <f>IFERROR(__xludf.DUMMYFUNCTION("""COMPUTED_VALUE"""),44540.66666666667)</f>
        <v>44540.66667</v>
      </c>
      <c r="B476" s="2">
        <f>IFERROR(__xludf.DUMMYFUNCTION("""COMPUTED_VALUE"""),760.0)</f>
        <v>760</v>
      </c>
      <c r="C476" s="2">
        <f>IFERROR(__xludf.DUMMYFUNCTION("""COMPUTED_VALUE"""),765.0)</f>
        <v>765</v>
      </c>
      <c r="D476" s="2">
        <f>IFERROR(__xludf.DUMMYFUNCTION("""COMPUTED_VALUE"""),755.0)</f>
        <v>755</v>
      </c>
      <c r="E476" s="2">
        <f>IFERROR(__xludf.DUMMYFUNCTION("""COMPUTED_VALUE"""),760.0)</f>
        <v>760</v>
      </c>
      <c r="F476" s="2">
        <f>IFERROR(__xludf.DUMMYFUNCTION("""COMPUTED_VALUE"""),2623700.0)</f>
        <v>2623700</v>
      </c>
      <c r="G476" s="2">
        <f t="shared" si="1"/>
        <v>10</v>
      </c>
    </row>
    <row r="477" ht="15.75" customHeight="1">
      <c r="A477" s="1">
        <f>IFERROR(__xludf.DUMMYFUNCTION("""COMPUTED_VALUE"""),44543.66666666667)</f>
        <v>44543.66667</v>
      </c>
      <c r="B477" s="2">
        <f>IFERROR(__xludf.DUMMYFUNCTION("""COMPUTED_VALUE"""),760.0)</f>
        <v>760</v>
      </c>
      <c r="C477" s="2">
        <f>IFERROR(__xludf.DUMMYFUNCTION("""COMPUTED_VALUE"""),770.0)</f>
        <v>770</v>
      </c>
      <c r="D477" s="2">
        <f>IFERROR(__xludf.DUMMYFUNCTION("""COMPUTED_VALUE"""),755.0)</f>
        <v>755</v>
      </c>
      <c r="E477" s="2">
        <f>IFERROR(__xludf.DUMMYFUNCTION("""COMPUTED_VALUE"""),765.0)</f>
        <v>765</v>
      </c>
      <c r="F477" s="2">
        <f>IFERROR(__xludf.DUMMYFUNCTION("""COMPUTED_VALUE"""),5210000.0)</f>
        <v>5210000</v>
      </c>
      <c r="G477" s="2">
        <f t="shared" si="1"/>
        <v>15</v>
      </c>
    </row>
    <row r="478" ht="15.75" customHeight="1">
      <c r="A478" s="1">
        <f>IFERROR(__xludf.DUMMYFUNCTION("""COMPUTED_VALUE"""),44544.66666666667)</f>
        <v>44544.66667</v>
      </c>
      <c r="B478" s="2">
        <f>IFERROR(__xludf.DUMMYFUNCTION("""COMPUTED_VALUE"""),765.0)</f>
        <v>765</v>
      </c>
      <c r="C478" s="2">
        <f>IFERROR(__xludf.DUMMYFUNCTION("""COMPUTED_VALUE"""),765.0)</f>
        <v>765</v>
      </c>
      <c r="D478" s="2">
        <f>IFERROR(__xludf.DUMMYFUNCTION("""COMPUTED_VALUE"""),755.0)</f>
        <v>755</v>
      </c>
      <c r="E478" s="2">
        <f>IFERROR(__xludf.DUMMYFUNCTION("""COMPUTED_VALUE"""),755.0)</f>
        <v>755</v>
      </c>
      <c r="F478" s="2">
        <f>IFERROR(__xludf.DUMMYFUNCTION("""COMPUTED_VALUE"""),6056200.0)</f>
        <v>6056200</v>
      </c>
      <c r="G478" s="2">
        <f t="shared" si="1"/>
        <v>10</v>
      </c>
    </row>
    <row r="479" ht="15.75" customHeight="1">
      <c r="A479" s="1">
        <f>IFERROR(__xludf.DUMMYFUNCTION("""COMPUTED_VALUE"""),44545.66666666667)</f>
        <v>44545.66667</v>
      </c>
      <c r="B479" s="2">
        <f>IFERROR(__xludf.DUMMYFUNCTION("""COMPUTED_VALUE"""),755.0)</f>
        <v>755</v>
      </c>
      <c r="C479" s="2">
        <f>IFERROR(__xludf.DUMMYFUNCTION("""COMPUTED_VALUE"""),765.0)</f>
        <v>765</v>
      </c>
      <c r="D479" s="2">
        <f>IFERROR(__xludf.DUMMYFUNCTION("""COMPUTED_VALUE"""),755.0)</f>
        <v>755</v>
      </c>
      <c r="E479" s="2">
        <f>IFERROR(__xludf.DUMMYFUNCTION("""COMPUTED_VALUE"""),755.0)</f>
        <v>755</v>
      </c>
      <c r="F479" s="2">
        <f>IFERROR(__xludf.DUMMYFUNCTION("""COMPUTED_VALUE"""),4235500.0)</f>
        <v>4235500</v>
      </c>
      <c r="G479" s="2">
        <f t="shared" si="1"/>
        <v>10</v>
      </c>
    </row>
    <row r="480" ht="15.75" customHeight="1">
      <c r="A480" s="1">
        <f>IFERROR(__xludf.DUMMYFUNCTION("""COMPUTED_VALUE"""),44546.66666666667)</f>
        <v>44546.66667</v>
      </c>
      <c r="B480" s="2">
        <f>IFERROR(__xludf.DUMMYFUNCTION("""COMPUTED_VALUE"""),755.0)</f>
        <v>755</v>
      </c>
      <c r="C480" s="2">
        <f>IFERROR(__xludf.DUMMYFUNCTION("""COMPUTED_VALUE"""),765.0)</f>
        <v>765</v>
      </c>
      <c r="D480" s="2">
        <f>IFERROR(__xludf.DUMMYFUNCTION("""COMPUTED_VALUE"""),750.0)</f>
        <v>750</v>
      </c>
      <c r="E480" s="2">
        <f>IFERROR(__xludf.DUMMYFUNCTION("""COMPUTED_VALUE"""),760.0)</f>
        <v>760</v>
      </c>
      <c r="F480" s="2">
        <f>IFERROR(__xludf.DUMMYFUNCTION("""COMPUTED_VALUE"""),3579900.0)</f>
        <v>3579900</v>
      </c>
      <c r="G480" s="2">
        <f t="shared" si="1"/>
        <v>15</v>
      </c>
    </row>
    <row r="481" ht="15.75" customHeight="1">
      <c r="A481" s="1">
        <f>IFERROR(__xludf.DUMMYFUNCTION("""COMPUTED_VALUE"""),44547.66666666667)</f>
        <v>44547.66667</v>
      </c>
      <c r="B481" s="2">
        <f>IFERROR(__xludf.DUMMYFUNCTION("""COMPUTED_VALUE"""),760.0)</f>
        <v>760</v>
      </c>
      <c r="C481" s="2">
        <f>IFERROR(__xludf.DUMMYFUNCTION("""COMPUTED_VALUE"""),765.0)</f>
        <v>765</v>
      </c>
      <c r="D481" s="2">
        <f>IFERROR(__xludf.DUMMYFUNCTION("""COMPUTED_VALUE"""),755.0)</f>
        <v>755</v>
      </c>
      <c r="E481" s="2">
        <f>IFERROR(__xludf.DUMMYFUNCTION("""COMPUTED_VALUE"""),765.0)</f>
        <v>765</v>
      </c>
      <c r="F481" s="2">
        <f>IFERROR(__xludf.DUMMYFUNCTION("""COMPUTED_VALUE"""),5385900.0)</f>
        <v>5385900</v>
      </c>
      <c r="G481" s="2">
        <f t="shared" si="1"/>
        <v>10</v>
      </c>
    </row>
    <row r="482" ht="15.75" customHeight="1">
      <c r="A482" s="1">
        <f>IFERROR(__xludf.DUMMYFUNCTION("""COMPUTED_VALUE"""),44550.66666666667)</f>
        <v>44550.66667</v>
      </c>
      <c r="B482" s="2">
        <f>IFERROR(__xludf.DUMMYFUNCTION("""COMPUTED_VALUE"""),765.0)</f>
        <v>765</v>
      </c>
      <c r="C482" s="2">
        <f>IFERROR(__xludf.DUMMYFUNCTION("""COMPUTED_VALUE"""),765.0)</f>
        <v>765</v>
      </c>
      <c r="D482" s="2">
        <f>IFERROR(__xludf.DUMMYFUNCTION("""COMPUTED_VALUE"""),750.0)</f>
        <v>750</v>
      </c>
      <c r="E482" s="2">
        <f>IFERROR(__xludf.DUMMYFUNCTION("""COMPUTED_VALUE"""),750.0)</f>
        <v>750</v>
      </c>
      <c r="F482" s="2">
        <f>IFERROR(__xludf.DUMMYFUNCTION("""COMPUTED_VALUE"""),6993000.0)</f>
        <v>6993000</v>
      </c>
      <c r="G482" s="2">
        <f t="shared" si="1"/>
        <v>15</v>
      </c>
    </row>
    <row r="483" ht="15.75" customHeight="1">
      <c r="A483" s="1">
        <f>IFERROR(__xludf.DUMMYFUNCTION("""COMPUTED_VALUE"""),44551.66666666667)</f>
        <v>44551.66667</v>
      </c>
      <c r="B483" s="2">
        <f>IFERROR(__xludf.DUMMYFUNCTION("""COMPUTED_VALUE"""),750.0)</f>
        <v>750</v>
      </c>
      <c r="C483" s="2">
        <f>IFERROR(__xludf.DUMMYFUNCTION("""COMPUTED_VALUE"""),755.0)</f>
        <v>755</v>
      </c>
      <c r="D483" s="2">
        <f>IFERROR(__xludf.DUMMYFUNCTION("""COMPUTED_VALUE"""),750.0)</f>
        <v>750</v>
      </c>
      <c r="E483" s="2">
        <f>IFERROR(__xludf.DUMMYFUNCTION("""COMPUTED_VALUE"""),755.0)</f>
        <v>755</v>
      </c>
      <c r="F483" s="2">
        <f>IFERROR(__xludf.DUMMYFUNCTION("""COMPUTED_VALUE"""),1706200.0)</f>
        <v>1706200</v>
      </c>
      <c r="G483" s="2">
        <f t="shared" si="1"/>
        <v>5</v>
      </c>
    </row>
    <row r="484" ht="15.75" customHeight="1">
      <c r="A484" s="1">
        <f>IFERROR(__xludf.DUMMYFUNCTION("""COMPUTED_VALUE"""),44552.66666666667)</f>
        <v>44552.66667</v>
      </c>
      <c r="B484" s="2">
        <f>IFERROR(__xludf.DUMMYFUNCTION("""COMPUTED_VALUE"""),755.0)</f>
        <v>755</v>
      </c>
      <c r="C484" s="2">
        <f>IFERROR(__xludf.DUMMYFUNCTION("""COMPUTED_VALUE"""),760.0)</f>
        <v>760</v>
      </c>
      <c r="D484" s="2">
        <f>IFERROR(__xludf.DUMMYFUNCTION("""COMPUTED_VALUE"""),730.0)</f>
        <v>730</v>
      </c>
      <c r="E484" s="2">
        <f>IFERROR(__xludf.DUMMYFUNCTION("""COMPUTED_VALUE"""),740.0)</f>
        <v>740</v>
      </c>
      <c r="F484" s="2">
        <f>IFERROR(__xludf.DUMMYFUNCTION("""COMPUTED_VALUE"""),2.08475E7)</f>
        <v>20847500</v>
      </c>
      <c r="G484" s="2">
        <f t="shared" si="1"/>
        <v>30</v>
      </c>
    </row>
    <row r="485" ht="15.75" customHeight="1">
      <c r="A485" s="1">
        <f>IFERROR(__xludf.DUMMYFUNCTION("""COMPUTED_VALUE"""),44553.66666666667)</f>
        <v>44553.66667</v>
      </c>
      <c r="B485" s="2">
        <f>IFERROR(__xludf.DUMMYFUNCTION("""COMPUTED_VALUE"""),740.0)</f>
        <v>740</v>
      </c>
      <c r="C485" s="2">
        <f>IFERROR(__xludf.DUMMYFUNCTION("""COMPUTED_VALUE"""),745.0)</f>
        <v>745</v>
      </c>
      <c r="D485" s="2">
        <f>IFERROR(__xludf.DUMMYFUNCTION("""COMPUTED_VALUE"""),730.0)</f>
        <v>730</v>
      </c>
      <c r="E485" s="2">
        <f>IFERROR(__xludf.DUMMYFUNCTION("""COMPUTED_VALUE"""),740.0)</f>
        <v>740</v>
      </c>
      <c r="F485" s="2">
        <f>IFERROR(__xludf.DUMMYFUNCTION("""COMPUTED_VALUE"""),5324100.0)</f>
        <v>5324100</v>
      </c>
      <c r="G485" s="2">
        <f t="shared" si="1"/>
        <v>15</v>
      </c>
    </row>
    <row r="486" ht="15.75" customHeight="1">
      <c r="A486" s="1">
        <f>IFERROR(__xludf.DUMMYFUNCTION("""COMPUTED_VALUE"""),44554.66666666667)</f>
        <v>44554.66667</v>
      </c>
      <c r="B486" s="2">
        <f>IFERROR(__xludf.DUMMYFUNCTION("""COMPUTED_VALUE"""),745.0)</f>
        <v>745</v>
      </c>
      <c r="C486" s="2">
        <f>IFERROR(__xludf.DUMMYFUNCTION("""COMPUTED_VALUE"""),745.0)</f>
        <v>745</v>
      </c>
      <c r="D486" s="2">
        <f>IFERROR(__xludf.DUMMYFUNCTION("""COMPUTED_VALUE"""),735.0)</f>
        <v>735</v>
      </c>
      <c r="E486" s="2">
        <f>IFERROR(__xludf.DUMMYFUNCTION("""COMPUTED_VALUE"""),745.0)</f>
        <v>745</v>
      </c>
      <c r="F486" s="2">
        <f>IFERROR(__xludf.DUMMYFUNCTION("""COMPUTED_VALUE"""),3071900.0)</f>
        <v>3071900</v>
      </c>
      <c r="G486" s="2">
        <f t="shared" si="1"/>
        <v>10</v>
      </c>
    </row>
    <row r="487" ht="15.75" customHeight="1">
      <c r="A487" s="1">
        <f>IFERROR(__xludf.DUMMYFUNCTION("""COMPUTED_VALUE"""),44557.66666666667)</f>
        <v>44557.66667</v>
      </c>
      <c r="B487" s="2">
        <f>IFERROR(__xludf.DUMMYFUNCTION("""COMPUTED_VALUE"""),745.0)</f>
        <v>745</v>
      </c>
      <c r="C487" s="2">
        <f>IFERROR(__xludf.DUMMYFUNCTION("""COMPUTED_VALUE"""),750.0)</f>
        <v>750</v>
      </c>
      <c r="D487" s="2">
        <f>IFERROR(__xludf.DUMMYFUNCTION("""COMPUTED_VALUE"""),735.0)</f>
        <v>735</v>
      </c>
      <c r="E487" s="2">
        <f>IFERROR(__xludf.DUMMYFUNCTION("""COMPUTED_VALUE"""),750.0)</f>
        <v>750</v>
      </c>
      <c r="F487" s="2">
        <f>IFERROR(__xludf.DUMMYFUNCTION("""COMPUTED_VALUE"""),4400100.0)</f>
        <v>4400100</v>
      </c>
      <c r="G487" s="2">
        <f t="shared" si="1"/>
        <v>15</v>
      </c>
    </row>
    <row r="488" ht="15.75" customHeight="1">
      <c r="A488" s="1">
        <f>IFERROR(__xludf.DUMMYFUNCTION("""COMPUTED_VALUE"""),44558.66666666667)</f>
        <v>44558.66667</v>
      </c>
      <c r="B488" s="2">
        <f>IFERROR(__xludf.DUMMYFUNCTION("""COMPUTED_VALUE"""),750.0)</f>
        <v>750</v>
      </c>
      <c r="C488" s="2">
        <f>IFERROR(__xludf.DUMMYFUNCTION("""COMPUTED_VALUE"""),750.0)</f>
        <v>750</v>
      </c>
      <c r="D488" s="2">
        <f>IFERROR(__xludf.DUMMYFUNCTION("""COMPUTED_VALUE"""),740.0)</f>
        <v>740</v>
      </c>
      <c r="E488" s="2">
        <f>IFERROR(__xludf.DUMMYFUNCTION("""COMPUTED_VALUE"""),745.0)</f>
        <v>745</v>
      </c>
      <c r="F488" s="2">
        <f>IFERROR(__xludf.DUMMYFUNCTION("""COMPUTED_VALUE"""),3561900.0)</f>
        <v>3561900</v>
      </c>
      <c r="G488" s="2">
        <f t="shared" si="1"/>
        <v>10</v>
      </c>
    </row>
    <row r="489" ht="15.75" customHeight="1">
      <c r="A489" s="1">
        <f>IFERROR(__xludf.DUMMYFUNCTION("""COMPUTED_VALUE"""),44559.66666666667)</f>
        <v>44559.66667</v>
      </c>
      <c r="B489" s="2">
        <f>IFERROR(__xludf.DUMMYFUNCTION("""COMPUTED_VALUE"""),745.0)</f>
        <v>745</v>
      </c>
      <c r="C489" s="2">
        <f>IFERROR(__xludf.DUMMYFUNCTION("""COMPUTED_VALUE"""),750.0)</f>
        <v>750</v>
      </c>
      <c r="D489" s="2">
        <f>IFERROR(__xludf.DUMMYFUNCTION("""COMPUTED_VALUE"""),740.0)</f>
        <v>740</v>
      </c>
      <c r="E489" s="2">
        <f>IFERROR(__xludf.DUMMYFUNCTION("""COMPUTED_VALUE"""),745.0)</f>
        <v>745</v>
      </c>
      <c r="F489" s="2">
        <f>IFERROR(__xludf.DUMMYFUNCTION("""COMPUTED_VALUE"""),6283800.0)</f>
        <v>6283800</v>
      </c>
      <c r="G489" s="2">
        <f t="shared" si="1"/>
        <v>10</v>
      </c>
    </row>
    <row r="490" ht="15.75" customHeight="1">
      <c r="A490" s="1">
        <f>IFERROR(__xludf.DUMMYFUNCTION("""COMPUTED_VALUE"""),44560.66666666667)</f>
        <v>44560.66667</v>
      </c>
      <c r="B490" s="2">
        <f>IFERROR(__xludf.DUMMYFUNCTION("""COMPUTED_VALUE"""),745.0)</f>
        <v>745</v>
      </c>
      <c r="C490" s="2">
        <f>IFERROR(__xludf.DUMMYFUNCTION("""COMPUTED_VALUE"""),755.0)</f>
        <v>755</v>
      </c>
      <c r="D490" s="2">
        <f>IFERROR(__xludf.DUMMYFUNCTION("""COMPUTED_VALUE"""),740.0)</f>
        <v>740</v>
      </c>
      <c r="E490" s="2">
        <f>IFERROR(__xludf.DUMMYFUNCTION("""COMPUTED_VALUE"""),750.0)</f>
        <v>750</v>
      </c>
      <c r="F490" s="2">
        <f>IFERROR(__xludf.DUMMYFUNCTION("""COMPUTED_VALUE"""),5703000.0)</f>
        <v>5703000</v>
      </c>
      <c r="G490" s="2">
        <f t="shared" si="1"/>
        <v>15</v>
      </c>
    </row>
    <row r="491" ht="15.75" customHeight="1">
      <c r="A491" s="1">
        <f>IFERROR(__xludf.DUMMYFUNCTION("""COMPUTED_VALUE"""),44564.66666666667)</f>
        <v>44564.66667</v>
      </c>
      <c r="B491" s="2">
        <f>IFERROR(__xludf.DUMMYFUNCTION("""COMPUTED_VALUE"""),750.0)</f>
        <v>750</v>
      </c>
      <c r="C491" s="2">
        <f>IFERROR(__xludf.DUMMYFUNCTION("""COMPUTED_VALUE"""),750.0)</f>
        <v>750</v>
      </c>
      <c r="D491" s="2">
        <f>IFERROR(__xludf.DUMMYFUNCTION("""COMPUTED_VALUE"""),745.0)</f>
        <v>745</v>
      </c>
      <c r="E491" s="2">
        <f>IFERROR(__xludf.DUMMYFUNCTION("""COMPUTED_VALUE"""),750.0)</f>
        <v>750</v>
      </c>
      <c r="F491" s="2">
        <f>IFERROR(__xludf.DUMMYFUNCTION("""COMPUTED_VALUE"""),1672400.0)</f>
        <v>1672400</v>
      </c>
      <c r="G491" s="2">
        <f t="shared" si="1"/>
        <v>5</v>
      </c>
    </row>
    <row r="492" ht="15.75" customHeight="1">
      <c r="A492" s="1">
        <f>IFERROR(__xludf.DUMMYFUNCTION("""COMPUTED_VALUE"""),44565.66666666667)</f>
        <v>44565.66667</v>
      </c>
      <c r="B492" s="2">
        <f>IFERROR(__xludf.DUMMYFUNCTION("""COMPUTED_VALUE"""),750.0)</f>
        <v>750</v>
      </c>
      <c r="C492" s="2">
        <f>IFERROR(__xludf.DUMMYFUNCTION("""COMPUTED_VALUE"""),760.0)</f>
        <v>760</v>
      </c>
      <c r="D492" s="2">
        <f>IFERROR(__xludf.DUMMYFUNCTION("""COMPUTED_VALUE"""),750.0)</f>
        <v>750</v>
      </c>
      <c r="E492" s="2">
        <f>IFERROR(__xludf.DUMMYFUNCTION("""COMPUTED_VALUE"""),760.0)</f>
        <v>760</v>
      </c>
      <c r="F492" s="2">
        <f>IFERROR(__xludf.DUMMYFUNCTION("""COMPUTED_VALUE"""),4632300.0)</f>
        <v>4632300</v>
      </c>
      <c r="G492" s="2">
        <f t="shared" si="1"/>
        <v>10</v>
      </c>
    </row>
    <row r="493" ht="15.75" customHeight="1">
      <c r="A493" s="1">
        <f>IFERROR(__xludf.DUMMYFUNCTION("""COMPUTED_VALUE"""),44566.66666666667)</f>
        <v>44566.66667</v>
      </c>
      <c r="B493" s="2">
        <f>IFERROR(__xludf.DUMMYFUNCTION("""COMPUTED_VALUE"""),760.0)</f>
        <v>760</v>
      </c>
      <c r="C493" s="2">
        <f>IFERROR(__xludf.DUMMYFUNCTION("""COMPUTED_VALUE"""),760.0)</f>
        <v>760</v>
      </c>
      <c r="D493" s="2">
        <f>IFERROR(__xludf.DUMMYFUNCTION("""COMPUTED_VALUE"""),750.0)</f>
        <v>750</v>
      </c>
      <c r="E493" s="2">
        <f>IFERROR(__xludf.DUMMYFUNCTION("""COMPUTED_VALUE"""),750.0)</f>
        <v>750</v>
      </c>
      <c r="F493" s="2">
        <f>IFERROR(__xludf.DUMMYFUNCTION("""COMPUTED_VALUE"""),2653100.0)</f>
        <v>2653100</v>
      </c>
      <c r="G493" s="2">
        <f t="shared" si="1"/>
        <v>10</v>
      </c>
    </row>
    <row r="494" ht="15.75" customHeight="1">
      <c r="A494" s="1">
        <f>IFERROR(__xludf.DUMMYFUNCTION("""COMPUTED_VALUE"""),44567.66666666667)</f>
        <v>44567.66667</v>
      </c>
      <c r="B494" s="2">
        <f>IFERROR(__xludf.DUMMYFUNCTION("""COMPUTED_VALUE"""),750.0)</f>
        <v>750</v>
      </c>
      <c r="C494" s="2">
        <f>IFERROR(__xludf.DUMMYFUNCTION("""COMPUTED_VALUE"""),755.0)</f>
        <v>755</v>
      </c>
      <c r="D494" s="2">
        <f>IFERROR(__xludf.DUMMYFUNCTION("""COMPUTED_VALUE"""),745.0)</f>
        <v>745</v>
      </c>
      <c r="E494" s="2">
        <f>IFERROR(__xludf.DUMMYFUNCTION("""COMPUTED_VALUE"""),750.0)</f>
        <v>750</v>
      </c>
      <c r="F494" s="2">
        <f>IFERROR(__xludf.DUMMYFUNCTION("""COMPUTED_VALUE"""),2639900.0)</f>
        <v>2639900</v>
      </c>
      <c r="G494" s="2">
        <f t="shared" si="1"/>
        <v>10</v>
      </c>
    </row>
    <row r="495" ht="15.75" customHeight="1">
      <c r="A495" s="1">
        <f>IFERROR(__xludf.DUMMYFUNCTION("""COMPUTED_VALUE"""),44568.66666666667)</f>
        <v>44568.66667</v>
      </c>
      <c r="B495" s="2">
        <f>IFERROR(__xludf.DUMMYFUNCTION("""COMPUTED_VALUE"""),750.0)</f>
        <v>750</v>
      </c>
      <c r="C495" s="2">
        <f>IFERROR(__xludf.DUMMYFUNCTION("""COMPUTED_VALUE"""),755.0)</f>
        <v>755</v>
      </c>
      <c r="D495" s="2">
        <f>IFERROR(__xludf.DUMMYFUNCTION("""COMPUTED_VALUE"""),745.0)</f>
        <v>745</v>
      </c>
      <c r="E495" s="2">
        <f>IFERROR(__xludf.DUMMYFUNCTION("""COMPUTED_VALUE"""),755.0)</f>
        <v>755</v>
      </c>
      <c r="F495" s="2">
        <f>IFERROR(__xludf.DUMMYFUNCTION("""COMPUTED_VALUE"""),3808600.0)</f>
        <v>3808600</v>
      </c>
      <c r="G495" s="2">
        <f t="shared" si="1"/>
        <v>10</v>
      </c>
    </row>
    <row r="496" ht="15.75" customHeight="1">
      <c r="A496" s="1">
        <f>IFERROR(__xludf.DUMMYFUNCTION("""COMPUTED_VALUE"""),44571.66666666667)</f>
        <v>44571.66667</v>
      </c>
      <c r="B496" s="2">
        <f>IFERROR(__xludf.DUMMYFUNCTION("""COMPUTED_VALUE"""),755.0)</f>
        <v>755</v>
      </c>
      <c r="C496" s="2">
        <f>IFERROR(__xludf.DUMMYFUNCTION("""COMPUTED_VALUE"""),755.0)</f>
        <v>755</v>
      </c>
      <c r="D496" s="2">
        <f>IFERROR(__xludf.DUMMYFUNCTION("""COMPUTED_VALUE"""),745.0)</f>
        <v>745</v>
      </c>
      <c r="E496" s="2">
        <f>IFERROR(__xludf.DUMMYFUNCTION("""COMPUTED_VALUE"""),750.0)</f>
        <v>750</v>
      </c>
      <c r="F496" s="2">
        <f>IFERROR(__xludf.DUMMYFUNCTION("""COMPUTED_VALUE"""),2277600.0)</f>
        <v>2277600</v>
      </c>
      <c r="G496" s="2">
        <f t="shared" si="1"/>
        <v>10</v>
      </c>
    </row>
    <row r="497" ht="15.75" customHeight="1">
      <c r="A497" s="1">
        <f>IFERROR(__xludf.DUMMYFUNCTION("""COMPUTED_VALUE"""),44572.66666666667)</f>
        <v>44572.66667</v>
      </c>
      <c r="B497" s="2">
        <f>IFERROR(__xludf.DUMMYFUNCTION("""COMPUTED_VALUE"""),750.0)</f>
        <v>750</v>
      </c>
      <c r="C497" s="2">
        <f>IFERROR(__xludf.DUMMYFUNCTION("""COMPUTED_VALUE"""),755.0)</f>
        <v>755</v>
      </c>
      <c r="D497" s="2">
        <f>IFERROR(__xludf.DUMMYFUNCTION("""COMPUTED_VALUE"""),740.0)</f>
        <v>740</v>
      </c>
      <c r="E497" s="2">
        <f>IFERROR(__xludf.DUMMYFUNCTION("""COMPUTED_VALUE"""),745.0)</f>
        <v>745</v>
      </c>
      <c r="F497" s="2">
        <f>IFERROR(__xludf.DUMMYFUNCTION("""COMPUTED_VALUE"""),4806300.0)</f>
        <v>4806300</v>
      </c>
      <c r="G497" s="2">
        <f t="shared" si="1"/>
        <v>15</v>
      </c>
    </row>
    <row r="498" ht="15.75" customHeight="1">
      <c r="A498" s="1">
        <f>IFERROR(__xludf.DUMMYFUNCTION("""COMPUTED_VALUE"""),44573.66666666667)</f>
        <v>44573.66667</v>
      </c>
      <c r="B498" s="2">
        <f>IFERROR(__xludf.DUMMYFUNCTION("""COMPUTED_VALUE"""),750.0)</f>
        <v>750</v>
      </c>
      <c r="C498" s="2">
        <f>IFERROR(__xludf.DUMMYFUNCTION("""COMPUTED_VALUE"""),750.0)</f>
        <v>750</v>
      </c>
      <c r="D498" s="2">
        <f>IFERROR(__xludf.DUMMYFUNCTION("""COMPUTED_VALUE"""),740.0)</f>
        <v>740</v>
      </c>
      <c r="E498" s="2">
        <f>IFERROR(__xludf.DUMMYFUNCTION("""COMPUTED_VALUE"""),745.0)</f>
        <v>745</v>
      </c>
      <c r="F498" s="2">
        <f>IFERROR(__xludf.DUMMYFUNCTION("""COMPUTED_VALUE"""),3055500.0)</f>
        <v>3055500</v>
      </c>
      <c r="G498" s="2">
        <f t="shared" si="1"/>
        <v>10</v>
      </c>
    </row>
    <row r="499" ht="15.75" customHeight="1">
      <c r="A499" s="1">
        <f>IFERROR(__xludf.DUMMYFUNCTION("""COMPUTED_VALUE"""),44574.66666666667)</f>
        <v>44574.66667</v>
      </c>
      <c r="B499" s="2">
        <f>IFERROR(__xludf.DUMMYFUNCTION("""COMPUTED_VALUE"""),745.0)</f>
        <v>745</v>
      </c>
      <c r="C499" s="2">
        <f>IFERROR(__xludf.DUMMYFUNCTION("""COMPUTED_VALUE"""),745.0)</f>
        <v>745</v>
      </c>
      <c r="D499" s="2">
        <f>IFERROR(__xludf.DUMMYFUNCTION("""COMPUTED_VALUE"""),735.0)</f>
        <v>735</v>
      </c>
      <c r="E499" s="2">
        <f>IFERROR(__xludf.DUMMYFUNCTION("""COMPUTED_VALUE"""),745.0)</f>
        <v>745</v>
      </c>
      <c r="F499" s="2">
        <f>IFERROR(__xludf.DUMMYFUNCTION("""COMPUTED_VALUE"""),7156100.0)</f>
        <v>7156100</v>
      </c>
      <c r="G499" s="2">
        <f t="shared" si="1"/>
        <v>10</v>
      </c>
    </row>
    <row r="500" ht="15.75" customHeight="1">
      <c r="A500" s="1">
        <f>IFERROR(__xludf.DUMMYFUNCTION("""COMPUTED_VALUE"""),44575.66666666667)</f>
        <v>44575.66667</v>
      </c>
      <c r="B500" s="2">
        <f>IFERROR(__xludf.DUMMYFUNCTION("""COMPUTED_VALUE"""),745.0)</f>
        <v>745</v>
      </c>
      <c r="C500" s="2">
        <f>IFERROR(__xludf.DUMMYFUNCTION("""COMPUTED_VALUE"""),745.0)</f>
        <v>745</v>
      </c>
      <c r="D500" s="2">
        <f>IFERROR(__xludf.DUMMYFUNCTION("""COMPUTED_VALUE"""),740.0)</f>
        <v>740</v>
      </c>
      <c r="E500" s="2">
        <f>IFERROR(__xludf.DUMMYFUNCTION("""COMPUTED_VALUE"""),745.0)</f>
        <v>745</v>
      </c>
      <c r="F500" s="2">
        <f>IFERROR(__xludf.DUMMYFUNCTION("""COMPUTED_VALUE"""),3243500.0)</f>
        <v>3243500</v>
      </c>
      <c r="G500" s="2">
        <f t="shared" si="1"/>
        <v>5</v>
      </c>
    </row>
    <row r="501" ht="15.75" customHeight="1">
      <c r="A501" s="1">
        <f>IFERROR(__xludf.DUMMYFUNCTION("""COMPUTED_VALUE"""),44578.66666666667)</f>
        <v>44578.66667</v>
      </c>
      <c r="B501" s="2">
        <f>IFERROR(__xludf.DUMMYFUNCTION("""COMPUTED_VALUE"""),745.0)</f>
        <v>745</v>
      </c>
      <c r="C501" s="2">
        <f>IFERROR(__xludf.DUMMYFUNCTION("""COMPUTED_VALUE"""),750.0)</f>
        <v>750</v>
      </c>
      <c r="D501" s="2">
        <f>IFERROR(__xludf.DUMMYFUNCTION("""COMPUTED_VALUE"""),740.0)</f>
        <v>740</v>
      </c>
      <c r="E501" s="2">
        <f>IFERROR(__xludf.DUMMYFUNCTION("""COMPUTED_VALUE"""),740.0)</f>
        <v>740</v>
      </c>
      <c r="F501" s="2">
        <f>IFERROR(__xludf.DUMMYFUNCTION("""COMPUTED_VALUE"""),5431800.0)</f>
        <v>5431800</v>
      </c>
      <c r="G501" s="2">
        <f t="shared" si="1"/>
        <v>10</v>
      </c>
    </row>
    <row r="502" ht="15.75" customHeight="1">
      <c r="A502" s="1">
        <f>IFERROR(__xludf.DUMMYFUNCTION("""COMPUTED_VALUE"""),44579.66666666667)</f>
        <v>44579.66667</v>
      </c>
      <c r="B502" s="2">
        <f>IFERROR(__xludf.DUMMYFUNCTION("""COMPUTED_VALUE"""),740.0)</f>
        <v>740</v>
      </c>
      <c r="C502" s="2">
        <f>IFERROR(__xludf.DUMMYFUNCTION("""COMPUTED_VALUE"""),745.0)</f>
        <v>745</v>
      </c>
      <c r="D502" s="2">
        <f>IFERROR(__xludf.DUMMYFUNCTION("""COMPUTED_VALUE"""),735.0)</f>
        <v>735</v>
      </c>
      <c r="E502" s="2">
        <f>IFERROR(__xludf.DUMMYFUNCTION("""COMPUTED_VALUE"""),740.0)</f>
        <v>740</v>
      </c>
      <c r="F502" s="2">
        <f>IFERROR(__xludf.DUMMYFUNCTION("""COMPUTED_VALUE"""),9063800.0)</f>
        <v>9063800</v>
      </c>
      <c r="G502" s="2">
        <f t="shared" si="1"/>
        <v>10</v>
      </c>
    </row>
    <row r="503" ht="15.75" customHeight="1">
      <c r="A503" s="1">
        <f>IFERROR(__xludf.DUMMYFUNCTION("""COMPUTED_VALUE"""),44580.66666666667)</f>
        <v>44580.66667</v>
      </c>
      <c r="B503" s="2">
        <f>IFERROR(__xludf.DUMMYFUNCTION("""COMPUTED_VALUE"""),740.0)</f>
        <v>740</v>
      </c>
      <c r="C503" s="2">
        <f>IFERROR(__xludf.DUMMYFUNCTION("""COMPUTED_VALUE"""),745.0)</f>
        <v>745</v>
      </c>
      <c r="D503" s="2">
        <f>IFERROR(__xludf.DUMMYFUNCTION("""COMPUTED_VALUE"""),735.0)</f>
        <v>735</v>
      </c>
      <c r="E503" s="2">
        <f>IFERROR(__xludf.DUMMYFUNCTION("""COMPUTED_VALUE"""),740.0)</f>
        <v>740</v>
      </c>
      <c r="F503" s="2">
        <f>IFERROR(__xludf.DUMMYFUNCTION("""COMPUTED_VALUE"""),5977200.0)</f>
        <v>5977200</v>
      </c>
      <c r="G503" s="2">
        <f t="shared" si="1"/>
        <v>10</v>
      </c>
    </row>
    <row r="504" ht="15.75" customHeight="1">
      <c r="A504" s="1">
        <f>IFERROR(__xludf.DUMMYFUNCTION("""COMPUTED_VALUE"""),44581.66666666667)</f>
        <v>44581.66667</v>
      </c>
      <c r="B504" s="2">
        <f>IFERROR(__xludf.DUMMYFUNCTION("""COMPUTED_VALUE"""),740.0)</f>
        <v>740</v>
      </c>
      <c r="C504" s="2">
        <f>IFERROR(__xludf.DUMMYFUNCTION("""COMPUTED_VALUE"""),740.0)</f>
        <v>740</v>
      </c>
      <c r="D504" s="2">
        <f>IFERROR(__xludf.DUMMYFUNCTION("""COMPUTED_VALUE"""),735.0)</f>
        <v>735</v>
      </c>
      <c r="E504" s="2">
        <f>IFERROR(__xludf.DUMMYFUNCTION("""COMPUTED_VALUE"""),740.0)</f>
        <v>740</v>
      </c>
      <c r="F504" s="2">
        <f>IFERROR(__xludf.DUMMYFUNCTION("""COMPUTED_VALUE"""),4531100.0)</f>
        <v>4531100</v>
      </c>
      <c r="G504" s="2">
        <f t="shared" si="1"/>
        <v>5</v>
      </c>
    </row>
    <row r="505" ht="15.75" customHeight="1">
      <c r="A505" s="1">
        <f>IFERROR(__xludf.DUMMYFUNCTION("""COMPUTED_VALUE"""),44582.66666666667)</f>
        <v>44582.66667</v>
      </c>
      <c r="B505" s="2">
        <f>IFERROR(__xludf.DUMMYFUNCTION("""COMPUTED_VALUE"""),740.0)</f>
        <v>740</v>
      </c>
      <c r="C505" s="2">
        <f>IFERROR(__xludf.DUMMYFUNCTION("""COMPUTED_VALUE"""),745.0)</f>
        <v>745</v>
      </c>
      <c r="D505" s="2">
        <f>IFERROR(__xludf.DUMMYFUNCTION("""COMPUTED_VALUE"""),735.0)</f>
        <v>735</v>
      </c>
      <c r="E505" s="2">
        <f>IFERROR(__xludf.DUMMYFUNCTION("""COMPUTED_VALUE"""),745.0)</f>
        <v>745</v>
      </c>
      <c r="F505" s="2">
        <f>IFERROR(__xludf.DUMMYFUNCTION("""COMPUTED_VALUE"""),4411100.0)</f>
        <v>4411100</v>
      </c>
      <c r="G505" s="2">
        <f t="shared" si="1"/>
        <v>10</v>
      </c>
    </row>
    <row r="506" ht="15.75" customHeight="1">
      <c r="A506" s="1">
        <f>IFERROR(__xludf.DUMMYFUNCTION("""COMPUTED_VALUE"""),44585.66666666667)</f>
        <v>44585.66667</v>
      </c>
      <c r="B506" s="2">
        <f>IFERROR(__xludf.DUMMYFUNCTION("""COMPUTED_VALUE"""),745.0)</f>
        <v>745</v>
      </c>
      <c r="C506" s="2">
        <f>IFERROR(__xludf.DUMMYFUNCTION("""COMPUTED_VALUE"""),745.0)</f>
        <v>745</v>
      </c>
      <c r="D506" s="2">
        <f>IFERROR(__xludf.DUMMYFUNCTION("""COMPUTED_VALUE"""),740.0)</f>
        <v>740</v>
      </c>
      <c r="E506" s="2">
        <f>IFERROR(__xludf.DUMMYFUNCTION("""COMPUTED_VALUE"""),745.0)</f>
        <v>745</v>
      </c>
      <c r="F506" s="2">
        <f>IFERROR(__xludf.DUMMYFUNCTION("""COMPUTED_VALUE"""),1952200.0)</f>
        <v>1952200</v>
      </c>
      <c r="G506" s="2">
        <f t="shared" si="1"/>
        <v>5</v>
      </c>
    </row>
    <row r="507" ht="15.75" customHeight="1">
      <c r="A507" s="1">
        <f>IFERROR(__xludf.DUMMYFUNCTION("""COMPUTED_VALUE"""),44586.66666666667)</f>
        <v>44586.66667</v>
      </c>
      <c r="B507" s="2">
        <f>IFERROR(__xludf.DUMMYFUNCTION("""COMPUTED_VALUE"""),745.0)</f>
        <v>745</v>
      </c>
      <c r="C507" s="2">
        <f>IFERROR(__xludf.DUMMYFUNCTION("""COMPUTED_VALUE"""),745.0)</f>
        <v>745</v>
      </c>
      <c r="D507" s="2">
        <f>IFERROR(__xludf.DUMMYFUNCTION("""COMPUTED_VALUE"""),735.0)</f>
        <v>735</v>
      </c>
      <c r="E507" s="2">
        <f>IFERROR(__xludf.DUMMYFUNCTION("""COMPUTED_VALUE"""),740.0)</f>
        <v>740</v>
      </c>
      <c r="F507" s="2">
        <f>IFERROR(__xludf.DUMMYFUNCTION("""COMPUTED_VALUE"""),5775400.0)</f>
        <v>5775400</v>
      </c>
      <c r="G507" s="2">
        <f t="shared" si="1"/>
        <v>10</v>
      </c>
    </row>
    <row r="508" ht="15.75" customHeight="1">
      <c r="A508" s="1">
        <f>IFERROR(__xludf.DUMMYFUNCTION("""COMPUTED_VALUE"""),44587.66666666667)</f>
        <v>44587.66667</v>
      </c>
      <c r="B508" s="2">
        <f>IFERROR(__xludf.DUMMYFUNCTION("""COMPUTED_VALUE"""),740.0)</f>
        <v>740</v>
      </c>
      <c r="C508" s="2">
        <f>IFERROR(__xludf.DUMMYFUNCTION("""COMPUTED_VALUE"""),760.0)</f>
        <v>760</v>
      </c>
      <c r="D508" s="2">
        <f>IFERROR(__xludf.DUMMYFUNCTION("""COMPUTED_VALUE"""),735.0)</f>
        <v>735</v>
      </c>
      <c r="E508" s="2">
        <f>IFERROR(__xludf.DUMMYFUNCTION("""COMPUTED_VALUE"""),750.0)</f>
        <v>750</v>
      </c>
      <c r="F508" s="2">
        <f>IFERROR(__xludf.DUMMYFUNCTION("""COMPUTED_VALUE"""),1.64726E7)</f>
        <v>16472600</v>
      </c>
      <c r="G508" s="2">
        <f t="shared" si="1"/>
        <v>25</v>
      </c>
    </row>
    <row r="509" ht="15.75" customHeight="1">
      <c r="A509" s="1">
        <f>IFERROR(__xludf.DUMMYFUNCTION("""COMPUTED_VALUE"""),44588.66666666667)</f>
        <v>44588.66667</v>
      </c>
      <c r="B509" s="2">
        <f>IFERROR(__xludf.DUMMYFUNCTION("""COMPUTED_VALUE"""),750.0)</f>
        <v>750</v>
      </c>
      <c r="C509" s="2">
        <f>IFERROR(__xludf.DUMMYFUNCTION("""COMPUTED_VALUE"""),755.0)</f>
        <v>755</v>
      </c>
      <c r="D509" s="2">
        <f>IFERROR(__xludf.DUMMYFUNCTION("""COMPUTED_VALUE"""),740.0)</f>
        <v>740</v>
      </c>
      <c r="E509" s="2">
        <f>IFERROR(__xludf.DUMMYFUNCTION("""COMPUTED_VALUE"""),745.0)</f>
        <v>745</v>
      </c>
      <c r="F509" s="2">
        <f>IFERROR(__xludf.DUMMYFUNCTION("""COMPUTED_VALUE"""),2088400.0)</f>
        <v>2088400</v>
      </c>
      <c r="G509" s="2">
        <f t="shared" si="1"/>
        <v>15</v>
      </c>
    </row>
    <row r="510" ht="15.75" customHeight="1">
      <c r="A510" s="1">
        <f>IFERROR(__xludf.DUMMYFUNCTION("""COMPUTED_VALUE"""),44589.66666666667)</f>
        <v>44589.66667</v>
      </c>
      <c r="B510" s="2">
        <f>IFERROR(__xludf.DUMMYFUNCTION("""COMPUTED_VALUE"""),745.0)</f>
        <v>745</v>
      </c>
      <c r="C510" s="2">
        <f>IFERROR(__xludf.DUMMYFUNCTION("""COMPUTED_VALUE"""),755.0)</f>
        <v>755</v>
      </c>
      <c r="D510" s="2">
        <f>IFERROR(__xludf.DUMMYFUNCTION("""COMPUTED_VALUE"""),740.0)</f>
        <v>740</v>
      </c>
      <c r="E510" s="2">
        <f>IFERROR(__xludf.DUMMYFUNCTION("""COMPUTED_VALUE"""),750.0)</f>
        <v>750</v>
      </c>
      <c r="F510" s="2">
        <f>IFERROR(__xludf.DUMMYFUNCTION("""COMPUTED_VALUE"""),5521200.0)</f>
        <v>5521200</v>
      </c>
      <c r="G510" s="2">
        <f t="shared" si="1"/>
        <v>15</v>
      </c>
    </row>
    <row r="511" ht="15.75" customHeight="1">
      <c r="A511" s="1">
        <f>IFERROR(__xludf.DUMMYFUNCTION("""COMPUTED_VALUE"""),44592.66666666667)</f>
        <v>44592.66667</v>
      </c>
      <c r="B511" s="2">
        <f>IFERROR(__xludf.DUMMYFUNCTION("""COMPUTED_VALUE"""),750.0)</f>
        <v>750</v>
      </c>
      <c r="C511" s="2">
        <f>IFERROR(__xludf.DUMMYFUNCTION("""COMPUTED_VALUE"""),760.0)</f>
        <v>760</v>
      </c>
      <c r="D511" s="2">
        <f>IFERROR(__xludf.DUMMYFUNCTION("""COMPUTED_VALUE"""),745.0)</f>
        <v>745</v>
      </c>
      <c r="E511" s="2">
        <f>IFERROR(__xludf.DUMMYFUNCTION("""COMPUTED_VALUE"""),745.0)</f>
        <v>745</v>
      </c>
      <c r="F511" s="2">
        <f>IFERROR(__xludf.DUMMYFUNCTION("""COMPUTED_VALUE"""),9953600.0)</f>
        <v>9953600</v>
      </c>
      <c r="G511" s="2">
        <f t="shared" si="1"/>
        <v>15</v>
      </c>
    </row>
    <row r="512" ht="15.75" customHeight="1">
      <c r="A512" s="1">
        <f>IFERROR(__xludf.DUMMYFUNCTION("""COMPUTED_VALUE"""),44594.66666666667)</f>
        <v>44594.66667</v>
      </c>
      <c r="B512" s="2">
        <f>IFERROR(__xludf.DUMMYFUNCTION("""COMPUTED_VALUE"""),745.0)</f>
        <v>745</v>
      </c>
      <c r="C512" s="2">
        <f>IFERROR(__xludf.DUMMYFUNCTION("""COMPUTED_VALUE"""),750.0)</f>
        <v>750</v>
      </c>
      <c r="D512" s="2">
        <f>IFERROR(__xludf.DUMMYFUNCTION("""COMPUTED_VALUE"""),740.0)</f>
        <v>740</v>
      </c>
      <c r="E512" s="2">
        <f>IFERROR(__xludf.DUMMYFUNCTION("""COMPUTED_VALUE"""),745.0)</f>
        <v>745</v>
      </c>
      <c r="F512" s="2">
        <f>IFERROR(__xludf.DUMMYFUNCTION("""COMPUTED_VALUE"""),5370700.0)</f>
        <v>5370700</v>
      </c>
      <c r="G512" s="2">
        <f t="shared" si="1"/>
        <v>10</v>
      </c>
    </row>
    <row r="513" ht="15.75" customHeight="1">
      <c r="A513" s="1">
        <f>IFERROR(__xludf.DUMMYFUNCTION("""COMPUTED_VALUE"""),44595.66666666667)</f>
        <v>44595.66667</v>
      </c>
      <c r="B513" s="2">
        <f>IFERROR(__xludf.DUMMYFUNCTION("""COMPUTED_VALUE"""),745.0)</f>
        <v>745</v>
      </c>
      <c r="C513" s="2">
        <f>IFERROR(__xludf.DUMMYFUNCTION("""COMPUTED_VALUE"""),750.0)</f>
        <v>750</v>
      </c>
      <c r="D513" s="2">
        <f>IFERROR(__xludf.DUMMYFUNCTION("""COMPUTED_VALUE"""),740.0)</f>
        <v>740</v>
      </c>
      <c r="E513" s="2">
        <f>IFERROR(__xludf.DUMMYFUNCTION("""COMPUTED_VALUE"""),745.0)</f>
        <v>745</v>
      </c>
      <c r="F513" s="2">
        <f>IFERROR(__xludf.DUMMYFUNCTION("""COMPUTED_VALUE"""),2049300.0)</f>
        <v>2049300</v>
      </c>
      <c r="G513" s="2">
        <f t="shared" si="1"/>
        <v>10</v>
      </c>
    </row>
    <row r="514" ht="15.75" customHeight="1">
      <c r="A514" s="1">
        <f>IFERROR(__xludf.DUMMYFUNCTION("""COMPUTED_VALUE"""),44596.66666666667)</f>
        <v>44596.66667</v>
      </c>
      <c r="B514" s="2">
        <f>IFERROR(__xludf.DUMMYFUNCTION("""COMPUTED_VALUE"""),745.0)</f>
        <v>745</v>
      </c>
      <c r="C514" s="2">
        <f>IFERROR(__xludf.DUMMYFUNCTION("""COMPUTED_VALUE"""),755.0)</f>
        <v>755</v>
      </c>
      <c r="D514" s="2">
        <f>IFERROR(__xludf.DUMMYFUNCTION("""COMPUTED_VALUE"""),740.0)</f>
        <v>740</v>
      </c>
      <c r="E514" s="2">
        <f>IFERROR(__xludf.DUMMYFUNCTION("""COMPUTED_VALUE"""),745.0)</f>
        <v>745</v>
      </c>
      <c r="F514" s="2">
        <f>IFERROR(__xludf.DUMMYFUNCTION("""COMPUTED_VALUE"""),8338600.0)</f>
        <v>8338600</v>
      </c>
      <c r="G514" s="2">
        <f t="shared" si="1"/>
        <v>15</v>
      </c>
    </row>
    <row r="515" ht="15.75" customHeight="1">
      <c r="A515" s="1">
        <f>IFERROR(__xludf.DUMMYFUNCTION("""COMPUTED_VALUE"""),44599.66666666667)</f>
        <v>44599.66667</v>
      </c>
      <c r="B515" s="2">
        <f>IFERROR(__xludf.DUMMYFUNCTION("""COMPUTED_VALUE"""),745.0)</f>
        <v>745</v>
      </c>
      <c r="C515" s="2">
        <f>IFERROR(__xludf.DUMMYFUNCTION("""COMPUTED_VALUE"""),770.0)</f>
        <v>770</v>
      </c>
      <c r="D515" s="2">
        <f>IFERROR(__xludf.DUMMYFUNCTION("""COMPUTED_VALUE"""),745.0)</f>
        <v>745</v>
      </c>
      <c r="E515" s="2">
        <f>IFERROR(__xludf.DUMMYFUNCTION("""COMPUTED_VALUE"""),765.0)</f>
        <v>765</v>
      </c>
      <c r="F515" s="2">
        <f>IFERROR(__xludf.DUMMYFUNCTION("""COMPUTED_VALUE"""),1.87323E7)</f>
        <v>18732300</v>
      </c>
      <c r="G515" s="2">
        <f t="shared" si="1"/>
        <v>25</v>
      </c>
    </row>
    <row r="516" ht="15.75" customHeight="1">
      <c r="A516" s="1">
        <f>IFERROR(__xludf.DUMMYFUNCTION("""COMPUTED_VALUE"""),44600.66666666667)</f>
        <v>44600.66667</v>
      </c>
      <c r="B516" s="2">
        <f>IFERROR(__xludf.DUMMYFUNCTION("""COMPUTED_VALUE"""),765.0)</f>
        <v>765</v>
      </c>
      <c r="C516" s="2">
        <f>IFERROR(__xludf.DUMMYFUNCTION("""COMPUTED_VALUE"""),770.0)</f>
        <v>770</v>
      </c>
      <c r="D516" s="2">
        <f>IFERROR(__xludf.DUMMYFUNCTION("""COMPUTED_VALUE"""),755.0)</f>
        <v>755</v>
      </c>
      <c r="E516" s="2">
        <f>IFERROR(__xludf.DUMMYFUNCTION("""COMPUTED_VALUE"""),760.0)</f>
        <v>760</v>
      </c>
      <c r="F516" s="2">
        <f>IFERROR(__xludf.DUMMYFUNCTION("""COMPUTED_VALUE"""),7053900.0)</f>
        <v>7053900</v>
      </c>
      <c r="G516" s="2">
        <f t="shared" si="1"/>
        <v>15</v>
      </c>
    </row>
    <row r="517" ht="15.75" customHeight="1">
      <c r="A517" s="1">
        <f>IFERROR(__xludf.DUMMYFUNCTION("""COMPUTED_VALUE"""),44601.66666666667)</f>
        <v>44601.66667</v>
      </c>
      <c r="B517" s="2">
        <f>IFERROR(__xludf.DUMMYFUNCTION("""COMPUTED_VALUE"""),760.0)</f>
        <v>760</v>
      </c>
      <c r="C517" s="2">
        <f>IFERROR(__xludf.DUMMYFUNCTION("""COMPUTED_VALUE"""),770.0)</f>
        <v>770</v>
      </c>
      <c r="D517" s="2">
        <f>IFERROR(__xludf.DUMMYFUNCTION("""COMPUTED_VALUE"""),755.0)</f>
        <v>755</v>
      </c>
      <c r="E517" s="2">
        <f>IFERROR(__xludf.DUMMYFUNCTION("""COMPUTED_VALUE"""),760.0)</f>
        <v>760</v>
      </c>
      <c r="F517" s="2">
        <f>IFERROR(__xludf.DUMMYFUNCTION("""COMPUTED_VALUE"""),8610800.0)</f>
        <v>8610800</v>
      </c>
      <c r="G517" s="2">
        <f t="shared" si="1"/>
        <v>15</v>
      </c>
    </row>
    <row r="518" ht="15.75" customHeight="1">
      <c r="A518" s="1">
        <f>IFERROR(__xludf.DUMMYFUNCTION("""COMPUTED_VALUE"""),44602.66666666667)</f>
        <v>44602.66667</v>
      </c>
      <c r="B518" s="2">
        <f>IFERROR(__xludf.DUMMYFUNCTION("""COMPUTED_VALUE"""),760.0)</f>
        <v>760</v>
      </c>
      <c r="C518" s="2">
        <f>IFERROR(__xludf.DUMMYFUNCTION("""COMPUTED_VALUE"""),770.0)</f>
        <v>770</v>
      </c>
      <c r="D518" s="2">
        <f>IFERROR(__xludf.DUMMYFUNCTION("""COMPUTED_VALUE"""),755.0)</f>
        <v>755</v>
      </c>
      <c r="E518" s="2">
        <f>IFERROR(__xludf.DUMMYFUNCTION("""COMPUTED_VALUE"""),760.0)</f>
        <v>760</v>
      </c>
      <c r="F518" s="2">
        <f>IFERROR(__xludf.DUMMYFUNCTION("""COMPUTED_VALUE"""),4429300.0)</f>
        <v>4429300</v>
      </c>
      <c r="G518" s="2">
        <f t="shared" si="1"/>
        <v>15</v>
      </c>
    </row>
    <row r="519" ht="15.75" customHeight="1">
      <c r="A519" s="1">
        <f>IFERROR(__xludf.DUMMYFUNCTION("""COMPUTED_VALUE"""),44603.66666666667)</f>
        <v>44603.66667</v>
      </c>
      <c r="B519" s="2">
        <f>IFERROR(__xludf.DUMMYFUNCTION("""COMPUTED_VALUE"""),765.0)</f>
        <v>765</v>
      </c>
      <c r="C519" s="2">
        <f>IFERROR(__xludf.DUMMYFUNCTION("""COMPUTED_VALUE"""),765.0)</f>
        <v>765</v>
      </c>
      <c r="D519" s="2">
        <f>IFERROR(__xludf.DUMMYFUNCTION("""COMPUTED_VALUE"""),755.0)</f>
        <v>755</v>
      </c>
      <c r="E519" s="2">
        <f>IFERROR(__xludf.DUMMYFUNCTION("""COMPUTED_VALUE"""),760.0)</f>
        <v>760</v>
      </c>
      <c r="F519" s="2">
        <f>IFERROR(__xludf.DUMMYFUNCTION("""COMPUTED_VALUE"""),5988700.0)</f>
        <v>5988700</v>
      </c>
      <c r="G519" s="2">
        <f t="shared" si="1"/>
        <v>10</v>
      </c>
    </row>
    <row r="520" ht="15.75" customHeight="1">
      <c r="A520" s="1">
        <f>IFERROR(__xludf.DUMMYFUNCTION("""COMPUTED_VALUE"""),44606.66666666667)</f>
        <v>44606.66667</v>
      </c>
      <c r="B520" s="2">
        <f>IFERROR(__xludf.DUMMYFUNCTION("""COMPUTED_VALUE"""),760.0)</f>
        <v>760</v>
      </c>
      <c r="C520" s="2">
        <f>IFERROR(__xludf.DUMMYFUNCTION("""COMPUTED_VALUE"""),760.0)</f>
        <v>760</v>
      </c>
      <c r="D520" s="2">
        <f>IFERROR(__xludf.DUMMYFUNCTION("""COMPUTED_VALUE"""),750.0)</f>
        <v>750</v>
      </c>
      <c r="E520" s="2">
        <f>IFERROR(__xludf.DUMMYFUNCTION("""COMPUTED_VALUE"""),760.0)</f>
        <v>760</v>
      </c>
      <c r="F520" s="2">
        <f>IFERROR(__xludf.DUMMYFUNCTION("""COMPUTED_VALUE"""),3388900.0)</f>
        <v>3388900</v>
      </c>
      <c r="G520" s="2">
        <f t="shared" si="1"/>
        <v>10</v>
      </c>
    </row>
    <row r="521" ht="15.75" customHeight="1">
      <c r="A521" s="1">
        <f>IFERROR(__xludf.DUMMYFUNCTION("""COMPUTED_VALUE"""),44607.66666666667)</f>
        <v>44607.66667</v>
      </c>
      <c r="B521" s="2">
        <f>IFERROR(__xludf.DUMMYFUNCTION("""COMPUTED_VALUE"""),755.0)</f>
        <v>755</v>
      </c>
      <c r="C521" s="2">
        <f>IFERROR(__xludf.DUMMYFUNCTION("""COMPUTED_VALUE"""),765.0)</f>
        <v>765</v>
      </c>
      <c r="D521" s="2">
        <f>IFERROR(__xludf.DUMMYFUNCTION("""COMPUTED_VALUE"""),750.0)</f>
        <v>750</v>
      </c>
      <c r="E521" s="2">
        <f>IFERROR(__xludf.DUMMYFUNCTION("""COMPUTED_VALUE"""),760.0)</f>
        <v>760</v>
      </c>
      <c r="F521" s="2">
        <f>IFERROR(__xludf.DUMMYFUNCTION("""COMPUTED_VALUE"""),6811500.0)</f>
        <v>6811500</v>
      </c>
      <c r="G521" s="2">
        <f t="shared" si="1"/>
        <v>15</v>
      </c>
    </row>
    <row r="522" ht="15.75" customHeight="1">
      <c r="A522" s="1">
        <f>IFERROR(__xludf.DUMMYFUNCTION("""COMPUTED_VALUE"""),44608.66666666667)</f>
        <v>44608.66667</v>
      </c>
      <c r="B522" s="2">
        <f>IFERROR(__xludf.DUMMYFUNCTION("""COMPUTED_VALUE"""),760.0)</f>
        <v>760</v>
      </c>
      <c r="C522" s="2">
        <f>IFERROR(__xludf.DUMMYFUNCTION("""COMPUTED_VALUE"""),765.0)</f>
        <v>765</v>
      </c>
      <c r="D522" s="2">
        <f>IFERROR(__xludf.DUMMYFUNCTION("""COMPUTED_VALUE"""),755.0)</f>
        <v>755</v>
      </c>
      <c r="E522" s="2">
        <f>IFERROR(__xludf.DUMMYFUNCTION("""COMPUTED_VALUE"""),755.0)</f>
        <v>755</v>
      </c>
      <c r="F522" s="2">
        <f>IFERROR(__xludf.DUMMYFUNCTION("""COMPUTED_VALUE"""),7679500.0)</f>
        <v>7679500</v>
      </c>
      <c r="G522" s="2">
        <f t="shared" si="1"/>
        <v>10</v>
      </c>
    </row>
    <row r="523" ht="15.75" customHeight="1">
      <c r="A523" s="1">
        <f>IFERROR(__xludf.DUMMYFUNCTION("""COMPUTED_VALUE"""),44609.66666666667)</f>
        <v>44609.66667</v>
      </c>
      <c r="B523" s="2">
        <f>IFERROR(__xludf.DUMMYFUNCTION("""COMPUTED_VALUE"""),760.0)</f>
        <v>760</v>
      </c>
      <c r="C523" s="2">
        <f>IFERROR(__xludf.DUMMYFUNCTION("""COMPUTED_VALUE"""),765.0)</f>
        <v>765</v>
      </c>
      <c r="D523" s="2">
        <f>IFERROR(__xludf.DUMMYFUNCTION("""COMPUTED_VALUE"""),750.0)</f>
        <v>750</v>
      </c>
      <c r="E523" s="2">
        <f>IFERROR(__xludf.DUMMYFUNCTION("""COMPUTED_VALUE"""),750.0)</f>
        <v>750</v>
      </c>
      <c r="F523" s="2">
        <f>IFERROR(__xludf.DUMMYFUNCTION("""COMPUTED_VALUE"""),1.16647E7)</f>
        <v>11664700</v>
      </c>
      <c r="G523" s="2">
        <f t="shared" si="1"/>
        <v>15</v>
      </c>
    </row>
    <row r="524" ht="15.75" customHeight="1">
      <c r="A524" s="1">
        <f>IFERROR(__xludf.DUMMYFUNCTION("""COMPUTED_VALUE"""),44610.66666666667)</f>
        <v>44610.66667</v>
      </c>
      <c r="B524" s="2">
        <f>IFERROR(__xludf.DUMMYFUNCTION("""COMPUTED_VALUE"""),760.0)</f>
        <v>760</v>
      </c>
      <c r="C524" s="2">
        <f>IFERROR(__xludf.DUMMYFUNCTION("""COMPUTED_VALUE"""),765.0)</f>
        <v>765</v>
      </c>
      <c r="D524" s="2">
        <f>IFERROR(__xludf.DUMMYFUNCTION("""COMPUTED_VALUE"""),750.0)</f>
        <v>750</v>
      </c>
      <c r="E524" s="2">
        <f>IFERROR(__xludf.DUMMYFUNCTION("""COMPUTED_VALUE"""),760.0)</f>
        <v>760</v>
      </c>
      <c r="F524" s="2">
        <f>IFERROR(__xludf.DUMMYFUNCTION("""COMPUTED_VALUE"""),1.6058E7)</f>
        <v>16058000</v>
      </c>
      <c r="G524" s="2">
        <f t="shared" si="1"/>
        <v>15</v>
      </c>
    </row>
    <row r="525" ht="15.75" customHeight="1">
      <c r="A525" s="1">
        <f>IFERROR(__xludf.DUMMYFUNCTION("""COMPUTED_VALUE"""),44613.66666666667)</f>
        <v>44613.66667</v>
      </c>
      <c r="B525" s="2">
        <f>IFERROR(__xludf.DUMMYFUNCTION("""COMPUTED_VALUE"""),760.0)</f>
        <v>760</v>
      </c>
      <c r="C525" s="2">
        <f>IFERROR(__xludf.DUMMYFUNCTION("""COMPUTED_VALUE"""),785.0)</f>
        <v>785</v>
      </c>
      <c r="D525" s="2">
        <f>IFERROR(__xludf.DUMMYFUNCTION("""COMPUTED_VALUE"""),760.0)</f>
        <v>760</v>
      </c>
      <c r="E525" s="2">
        <f>IFERROR(__xludf.DUMMYFUNCTION("""COMPUTED_VALUE"""),780.0)</f>
        <v>780</v>
      </c>
      <c r="F525" s="2">
        <f>IFERROR(__xludf.DUMMYFUNCTION("""COMPUTED_VALUE"""),1.98953E7)</f>
        <v>19895300</v>
      </c>
      <c r="G525" s="2">
        <f t="shared" si="1"/>
        <v>25</v>
      </c>
    </row>
    <row r="526" ht="15.75" customHeight="1">
      <c r="A526" s="1">
        <f>IFERROR(__xludf.DUMMYFUNCTION("""COMPUTED_VALUE"""),44614.66666666667)</f>
        <v>44614.66667</v>
      </c>
      <c r="B526" s="2">
        <f>IFERROR(__xludf.DUMMYFUNCTION("""COMPUTED_VALUE"""),780.0)</f>
        <v>780</v>
      </c>
      <c r="C526" s="2">
        <f>IFERROR(__xludf.DUMMYFUNCTION("""COMPUTED_VALUE"""),785.0)</f>
        <v>785</v>
      </c>
      <c r="D526" s="2">
        <f>IFERROR(__xludf.DUMMYFUNCTION("""COMPUTED_VALUE"""),765.0)</f>
        <v>765</v>
      </c>
      <c r="E526" s="2">
        <f>IFERROR(__xludf.DUMMYFUNCTION("""COMPUTED_VALUE"""),780.0)</f>
        <v>780</v>
      </c>
      <c r="F526" s="2">
        <f>IFERROR(__xludf.DUMMYFUNCTION("""COMPUTED_VALUE"""),1.14954E7)</f>
        <v>11495400</v>
      </c>
      <c r="G526" s="2">
        <f t="shared" si="1"/>
        <v>20</v>
      </c>
    </row>
    <row r="527" ht="15.75" customHeight="1">
      <c r="A527" s="1">
        <f>IFERROR(__xludf.DUMMYFUNCTION("""COMPUTED_VALUE"""),44615.66666666667)</f>
        <v>44615.66667</v>
      </c>
      <c r="B527" s="2">
        <f>IFERROR(__xludf.DUMMYFUNCTION("""COMPUTED_VALUE"""),780.0)</f>
        <v>780</v>
      </c>
      <c r="C527" s="2">
        <f>IFERROR(__xludf.DUMMYFUNCTION("""COMPUTED_VALUE"""),785.0)</f>
        <v>785</v>
      </c>
      <c r="D527" s="2">
        <f>IFERROR(__xludf.DUMMYFUNCTION("""COMPUTED_VALUE"""),770.0)</f>
        <v>770</v>
      </c>
      <c r="E527" s="2">
        <f>IFERROR(__xludf.DUMMYFUNCTION("""COMPUTED_VALUE"""),780.0)</f>
        <v>780</v>
      </c>
      <c r="F527" s="2">
        <f>IFERROR(__xludf.DUMMYFUNCTION("""COMPUTED_VALUE"""),7573100.0)</f>
        <v>7573100</v>
      </c>
      <c r="G527" s="2">
        <f t="shared" si="1"/>
        <v>15</v>
      </c>
    </row>
    <row r="528" ht="15.75" customHeight="1">
      <c r="A528" s="1">
        <f>IFERROR(__xludf.DUMMYFUNCTION("""COMPUTED_VALUE"""),44616.66666666667)</f>
        <v>44616.66667</v>
      </c>
      <c r="B528" s="2">
        <f>IFERROR(__xludf.DUMMYFUNCTION("""COMPUTED_VALUE"""),780.0)</f>
        <v>780</v>
      </c>
      <c r="C528" s="2">
        <f>IFERROR(__xludf.DUMMYFUNCTION("""COMPUTED_VALUE"""),785.0)</f>
        <v>785</v>
      </c>
      <c r="D528" s="2">
        <f>IFERROR(__xludf.DUMMYFUNCTION("""COMPUTED_VALUE"""),765.0)</f>
        <v>765</v>
      </c>
      <c r="E528" s="2">
        <f>IFERROR(__xludf.DUMMYFUNCTION("""COMPUTED_VALUE"""),775.0)</f>
        <v>775</v>
      </c>
      <c r="F528" s="2">
        <f>IFERROR(__xludf.DUMMYFUNCTION("""COMPUTED_VALUE"""),2.85139E7)</f>
        <v>28513900</v>
      </c>
      <c r="G528" s="2">
        <f t="shared" si="1"/>
        <v>20</v>
      </c>
    </row>
    <row r="529" ht="15.75" customHeight="1">
      <c r="A529" s="1">
        <f>IFERROR(__xludf.DUMMYFUNCTION("""COMPUTED_VALUE"""),44617.66666666667)</f>
        <v>44617.66667</v>
      </c>
      <c r="B529" s="2">
        <f>IFERROR(__xludf.DUMMYFUNCTION("""COMPUTED_VALUE"""),775.0)</f>
        <v>775</v>
      </c>
      <c r="C529" s="2">
        <f>IFERROR(__xludf.DUMMYFUNCTION("""COMPUTED_VALUE"""),785.0)</f>
        <v>785</v>
      </c>
      <c r="D529" s="2">
        <f>IFERROR(__xludf.DUMMYFUNCTION("""COMPUTED_VALUE"""),765.0)</f>
        <v>765</v>
      </c>
      <c r="E529" s="2">
        <f>IFERROR(__xludf.DUMMYFUNCTION("""COMPUTED_VALUE"""),770.0)</f>
        <v>770</v>
      </c>
      <c r="F529" s="2">
        <f>IFERROR(__xludf.DUMMYFUNCTION("""COMPUTED_VALUE"""),1.90139E7)</f>
        <v>19013900</v>
      </c>
      <c r="G529" s="2">
        <f t="shared" si="1"/>
        <v>20</v>
      </c>
    </row>
    <row r="530" ht="15.75" customHeight="1">
      <c r="A530" s="1">
        <f>IFERROR(__xludf.DUMMYFUNCTION("""COMPUTED_VALUE"""),44621.66666666667)</f>
        <v>44621.66667</v>
      </c>
      <c r="B530" s="2">
        <f>IFERROR(__xludf.DUMMYFUNCTION("""COMPUTED_VALUE"""),770.0)</f>
        <v>770</v>
      </c>
      <c r="C530" s="2">
        <f>IFERROR(__xludf.DUMMYFUNCTION("""COMPUTED_VALUE"""),780.0)</f>
        <v>780</v>
      </c>
      <c r="D530" s="2">
        <f>IFERROR(__xludf.DUMMYFUNCTION("""COMPUTED_VALUE"""),765.0)</f>
        <v>765</v>
      </c>
      <c r="E530" s="2">
        <f>IFERROR(__xludf.DUMMYFUNCTION("""COMPUTED_VALUE"""),765.0)</f>
        <v>765</v>
      </c>
      <c r="F530" s="2">
        <f>IFERROR(__xludf.DUMMYFUNCTION("""COMPUTED_VALUE"""),1.55146E7)</f>
        <v>15514600</v>
      </c>
      <c r="G530" s="2">
        <f t="shared" si="1"/>
        <v>15</v>
      </c>
    </row>
    <row r="531" ht="15.75" customHeight="1">
      <c r="A531" s="1">
        <f>IFERROR(__xludf.DUMMYFUNCTION("""COMPUTED_VALUE"""),44622.66666666667)</f>
        <v>44622.66667</v>
      </c>
      <c r="B531" s="2">
        <f>IFERROR(__xludf.DUMMYFUNCTION("""COMPUTED_VALUE"""),775.0)</f>
        <v>775</v>
      </c>
      <c r="C531" s="2">
        <f>IFERROR(__xludf.DUMMYFUNCTION("""COMPUTED_VALUE"""),775.0)</f>
        <v>775</v>
      </c>
      <c r="D531" s="2">
        <f>IFERROR(__xludf.DUMMYFUNCTION("""COMPUTED_VALUE"""),765.0)</f>
        <v>765</v>
      </c>
      <c r="E531" s="2">
        <f>IFERROR(__xludf.DUMMYFUNCTION("""COMPUTED_VALUE"""),770.0)</f>
        <v>770</v>
      </c>
      <c r="F531" s="2">
        <f>IFERROR(__xludf.DUMMYFUNCTION("""COMPUTED_VALUE"""),8496600.0)</f>
        <v>8496600</v>
      </c>
      <c r="G531" s="2">
        <f t="shared" si="1"/>
        <v>10</v>
      </c>
    </row>
    <row r="532" ht="15.75" customHeight="1">
      <c r="A532" s="1">
        <f>IFERROR(__xludf.DUMMYFUNCTION("""COMPUTED_VALUE"""),44624.66666666667)</f>
        <v>44624.66667</v>
      </c>
      <c r="B532" s="2">
        <f>IFERROR(__xludf.DUMMYFUNCTION("""COMPUTED_VALUE"""),770.0)</f>
        <v>770</v>
      </c>
      <c r="C532" s="2">
        <f>IFERROR(__xludf.DUMMYFUNCTION("""COMPUTED_VALUE"""),775.0)</f>
        <v>775</v>
      </c>
      <c r="D532" s="2">
        <f>IFERROR(__xludf.DUMMYFUNCTION("""COMPUTED_VALUE"""),765.0)</f>
        <v>765</v>
      </c>
      <c r="E532" s="2">
        <f>IFERROR(__xludf.DUMMYFUNCTION("""COMPUTED_VALUE"""),765.0)</f>
        <v>765</v>
      </c>
      <c r="F532" s="2">
        <f>IFERROR(__xludf.DUMMYFUNCTION("""COMPUTED_VALUE"""),5859500.0)</f>
        <v>5859500</v>
      </c>
      <c r="G532" s="2">
        <f t="shared" si="1"/>
        <v>10</v>
      </c>
    </row>
    <row r="533" ht="15.75" customHeight="1">
      <c r="A533" s="1">
        <f>IFERROR(__xludf.DUMMYFUNCTION("""COMPUTED_VALUE"""),44627.66666666667)</f>
        <v>44627.66667</v>
      </c>
      <c r="B533" s="2">
        <f>IFERROR(__xludf.DUMMYFUNCTION("""COMPUTED_VALUE"""),765.0)</f>
        <v>765</v>
      </c>
      <c r="C533" s="2">
        <f>IFERROR(__xludf.DUMMYFUNCTION("""COMPUTED_VALUE"""),775.0)</f>
        <v>775</v>
      </c>
      <c r="D533" s="2">
        <f>IFERROR(__xludf.DUMMYFUNCTION("""COMPUTED_VALUE"""),760.0)</f>
        <v>760</v>
      </c>
      <c r="E533" s="2">
        <f>IFERROR(__xludf.DUMMYFUNCTION("""COMPUTED_VALUE"""),765.0)</f>
        <v>765</v>
      </c>
      <c r="F533" s="2">
        <f>IFERROR(__xludf.DUMMYFUNCTION("""COMPUTED_VALUE"""),1.9856E7)</f>
        <v>19856000</v>
      </c>
      <c r="G533" s="2">
        <f t="shared" si="1"/>
        <v>15</v>
      </c>
    </row>
    <row r="534" ht="15.75" customHeight="1">
      <c r="A534" s="1">
        <f>IFERROR(__xludf.DUMMYFUNCTION("""COMPUTED_VALUE"""),44628.66666666667)</f>
        <v>44628.66667</v>
      </c>
      <c r="B534" s="2">
        <f>IFERROR(__xludf.DUMMYFUNCTION("""COMPUTED_VALUE"""),760.0)</f>
        <v>760</v>
      </c>
      <c r="C534" s="2">
        <f>IFERROR(__xludf.DUMMYFUNCTION("""COMPUTED_VALUE"""),770.0)</f>
        <v>770</v>
      </c>
      <c r="D534" s="2">
        <f>IFERROR(__xludf.DUMMYFUNCTION("""COMPUTED_VALUE"""),760.0)</f>
        <v>760</v>
      </c>
      <c r="E534" s="2">
        <f>IFERROR(__xludf.DUMMYFUNCTION("""COMPUTED_VALUE"""),765.0)</f>
        <v>765</v>
      </c>
      <c r="F534" s="2">
        <f>IFERROR(__xludf.DUMMYFUNCTION("""COMPUTED_VALUE"""),8949500.0)</f>
        <v>8949500</v>
      </c>
      <c r="G534" s="2">
        <f t="shared" si="1"/>
        <v>10</v>
      </c>
    </row>
    <row r="535" ht="15.75" customHeight="1">
      <c r="A535" s="1">
        <f>IFERROR(__xludf.DUMMYFUNCTION("""COMPUTED_VALUE"""),44629.66666666667)</f>
        <v>44629.66667</v>
      </c>
      <c r="B535" s="2">
        <f>IFERROR(__xludf.DUMMYFUNCTION("""COMPUTED_VALUE"""),765.0)</f>
        <v>765</v>
      </c>
      <c r="C535" s="2">
        <f>IFERROR(__xludf.DUMMYFUNCTION("""COMPUTED_VALUE"""),770.0)</f>
        <v>770</v>
      </c>
      <c r="D535" s="2">
        <f>IFERROR(__xludf.DUMMYFUNCTION("""COMPUTED_VALUE"""),765.0)</f>
        <v>765</v>
      </c>
      <c r="E535" s="2">
        <f>IFERROR(__xludf.DUMMYFUNCTION("""COMPUTED_VALUE"""),765.0)</f>
        <v>765</v>
      </c>
      <c r="F535" s="2">
        <f>IFERROR(__xludf.DUMMYFUNCTION("""COMPUTED_VALUE"""),5163800.0)</f>
        <v>5163800</v>
      </c>
      <c r="G535" s="2">
        <f t="shared" si="1"/>
        <v>5</v>
      </c>
    </row>
    <row r="536" ht="15.75" customHeight="1">
      <c r="A536" s="1">
        <f>IFERROR(__xludf.DUMMYFUNCTION("""COMPUTED_VALUE"""),44630.66666666667)</f>
        <v>44630.66667</v>
      </c>
      <c r="B536" s="2">
        <f>IFERROR(__xludf.DUMMYFUNCTION("""COMPUTED_VALUE"""),765.0)</f>
        <v>765</v>
      </c>
      <c r="C536" s="2">
        <f>IFERROR(__xludf.DUMMYFUNCTION("""COMPUTED_VALUE"""),775.0)</f>
        <v>775</v>
      </c>
      <c r="D536" s="2">
        <f>IFERROR(__xludf.DUMMYFUNCTION("""COMPUTED_VALUE"""),765.0)</f>
        <v>765</v>
      </c>
      <c r="E536" s="2">
        <f>IFERROR(__xludf.DUMMYFUNCTION("""COMPUTED_VALUE"""),770.0)</f>
        <v>770</v>
      </c>
      <c r="F536" s="2">
        <f>IFERROR(__xludf.DUMMYFUNCTION("""COMPUTED_VALUE"""),6800800.0)</f>
        <v>6800800</v>
      </c>
      <c r="G536" s="2">
        <f t="shared" si="1"/>
        <v>10</v>
      </c>
    </row>
    <row r="537" ht="15.75" customHeight="1">
      <c r="A537" s="1">
        <f>IFERROR(__xludf.DUMMYFUNCTION("""COMPUTED_VALUE"""),44631.66666666667)</f>
        <v>44631.66667</v>
      </c>
      <c r="B537" s="2">
        <f>IFERROR(__xludf.DUMMYFUNCTION("""COMPUTED_VALUE"""),770.0)</f>
        <v>770</v>
      </c>
      <c r="C537" s="2">
        <f>IFERROR(__xludf.DUMMYFUNCTION("""COMPUTED_VALUE"""),780.0)</f>
        <v>780</v>
      </c>
      <c r="D537" s="2">
        <f>IFERROR(__xludf.DUMMYFUNCTION("""COMPUTED_VALUE"""),770.0)</f>
        <v>770</v>
      </c>
      <c r="E537" s="2">
        <f>IFERROR(__xludf.DUMMYFUNCTION("""COMPUTED_VALUE"""),780.0)</f>
        <v>780</v>
      </c>
      <c r="F537" s="2">
        <f>IFERROR(__xludf.DUMMYFUNCTION("""COMPUTED_VALUE"""),4938000.0)</f>
        <v>4938000</v>
      </c>
      <c r="G537" s="2">
        <f t="shared" si="1"/>
        <v>10</v>
      </c>
    </row>
    <row r="538" ht="15.75" customHeight="1">
      <c r="A538" s="1">
        <f>IFERROR(__xludf.DUMMYFUNCTION("""COMPUTED_VALUE"""),44634.66666666667)</f>
        <v>44634.66667</v>
      </c>
      <c r="B538" s="2">
        <f>IFERROR(__xludf.DUMMYFUNCTION("""COMPUTED_VALUE"""),780.0)</f>
        <v>780</v>
      </c>
      <c r="C538" s="2">
        <f>IFERROR(__xludf.DUMMYFUNCTION("""COMPUTED_VALUE"""),810.0)</f>
        <v>810</v>
      </c>
      <c r="D538" s="2">
        <f>IFERROR(__xludf.DUMMYFUNCTION("""COMPUTED_VALUE"""),775.0)</f>
        <v>775</v>
      </c>
      <c r="E538" s="2">
        <f>IFERROR(__xludf.DUMMYFUNCTION("""COMPUTED_VALUE"""),800.0)</f>
        <v>800</v>
      </c>
      <c r="F538" s="2">
        <f>IFERROR(__xludf.DUMMYFUNCTION("""COMPUTED_VALUE"""),3.92435E7)</f>
        <v>39243500</v>
      </c>
      <c r="G538" s="2">
        <f t="shared" si="1"/>
        <v>35</v>
      </c>
    </row>
    <row r="539" ht="15.75" customHeight="1">
      <c r="A539" s="1">
        <f>IFERROR(__xludf.DUMMYFUNCTION("""COMPUTED_VALUE"""),44635.66666666667)</f>
        <v>44635.66667</v>
      </c>
      <c r="B539" s="2">
        <f>IFERROR(__xludf.DUMMYFUNCTION("""COMPUTED_VALUE"""),800.0)</f>
        <v>800</v>
      </c>
      <c r="C539" s="2">
        <f>IFERROR(__xludf.DUMMYFUNCTION("""COMPUTED_VALUE"""),810.0)</f>
        <v>810</v>
      </c>
      <c r="D539" s="2">
        <f>IFERROR(__xludf.DUMMYFUNCTION("""COMPUTED_VALUE"""),790.0)</f>
        <v>790</v>
      </c>
      <c r="E539" s="2">
        <f>IFERROR(__xludf.DUMMYFUNCTION("""COMPUTED_VALUE"""),795.0)</f>
        <v>795</v>
      </c>
      <c r="F539" s="2">
        <f>IFERROR(__xludf.DUMMYFUNCTION("""COMPUTED_VALUE"""),1.24903E7)</f>
        <v>12490300</v>
      </c>
      <c r="G539" s="2">
        <f t="shared" si="1"/>
        <v>20</v>
      </c>
    </row>
    <row r="540" ht="15.75" customHeight="1">
      <c r="A540" s="1">
        <f>IFERROR(__xludf.DUMMYFUNCTION("""COMPUTED_VALUE"""),44636.66666666667)</f>
        <v>44636.66667</v>
      </c>
      <c r="B540" s="2">
        <f>IFERROR(__xludf.DUMMYFUNCTION("""COMPUTED_VALUE"""),795.0)</f>
        <v>795</v>
      </c>
      <c r="C540" s="2">
        <f>IFERROR(__xludf.DUMMYFUNCTION("""COMPUTED_VALUE"""),810.0)</f>
        <v>810</v>
      </c>
      <c r="D540" s="2">
        <f>IFERROR(__xludf.DUMMYFUNCTION("""COMPUTED_VALUE"""),795.0)</f>
        <v>795</v>
      </c>
      <c r="E540" s="2">
        <f>IFERROR(__xludf.DUMMYFUNCTION("""COMPUTED_VALUE"""),810.0)</f>
        <v>810</v>
      </c>
      <c r="F540" s="2">
        <f>IFERROR(__xludf.DUMMYFUNCTION("""COMPUTED_VALUE"""),1.67264E7)</f>
        <v>16726400</v>
      </c>
      <c r="G540" s="2">
        <f t="shared" si="1"/>
        <v>15</v>
      </c>
    </row>
    <row r="541" ht="15.75" customHeight="1">
      <c r="A541" s="1">
        <f>IFERROR(__xludf.DUMMYFUNCTION("""COMPUTED_VALUE"""),44637.66666666667)</f>
        <v>44637.66667</v>
      </c>
      <c r="B541" s="2">
        <f>IFERROR(__xludf.DUMMYFUNCTION("""COMPUTED_VALUE"""),810.0)</f>
        <v>810</v>
      </c>
      <c r="C541" s="2">
        <f>IFERROR(__xludf.DUMMYFUNCTION("""COMPUTED_VALUE"""),825.0)</f>
        <v>825</v>
      </c>
      <c r="D541" s="2">
        <f>IFERROR(__xludf.DUMMYFUNCTION("""COMPUTED_VALUE"""),800.0)</f>
        <v>800</v>
      </c>
      <c r="E541" s="2">
        <f>IFERROR(__xludf.DUMMYFUNCTION("""COMPUTED_VALUE"""),815.0)</f>
        <v>815</v>
      </c>
      <c r="F541" s="2">
        <f>IFERROR(__xludf.DUMMYFUNCTION("""COMPUTED_VALUE"""),3.19556E7)</f>
        <v>31955600</v>
      </c>
      <c r="G541" s="2">
        <f t="shared" si="1"/>
        <v>25</v>
      </c>
    </row>
    <row r="542" ht="15.75" customHeight="1">
      <c r="A542" s="1">
        <f>IFERROR(__xludf.DUMMYFUNCTION("""COMPUTED_VALUE"""),44638.66666666667)</f>
        <v>44638.66667</v>
      </c>
      <c r="B542" s="2">
        <f>IFERROR(__xludf.DUMMYFUNCTION("""COMPUTED_VALUE"""),815.0)</f>
        <v>815</v>
      </c>
      <c r="C542" s="2">
        <f>IFERROR(__xludf.DUMMYFUNCTION("""COMPUTED_VALUE"""),825.0)</f>
        <v>825</v>
      </c>
      <c r="D542" s="2">
        <f>IFERROR(__xludf.DUMMYFUNCTION("""COMPUTED_VALUE"""),805.0)</f>
        <v>805</v>
      </c>
      <c r="E542" s="2">
        <f>IFERROR(__xludf.DUMMYFUNCTION("""COMPUTED_VALUE"""),815.0)</f>
        <v>815</v>
      </c>
      <c r="F542" s="2">
        <f>IFERROR(__xludf.DUMMYFUNCTION("""COMPUTED_VALUE"""),2.62675E7)</f>
        <v>26267500</v>
      </c>
      <c r="G542" s="2">
        <f t="shared" si="1"/>
        <v>20</v>
      </c>
    </row>
    <row r="543" ht="15.75" customHeight="1">
      <c r="A543" s="1">
        <f>IFERROR(__xludf.DUMMYFUNCTION("""COMPUTED_VALUE"""),44641.66666666667)</f>
        <v>44641.66667</v>
      </c>
      <c r="B543" s="2">
        <f>IFERROR(__xludf.DUMMYFUNCTION("""COMPUTED_VALUE"""),820.0)</f>
        <v>820</v>
      </c>
      <c r="C543" s="2">
        <f>IFERROR(__xludf.DUMMYFUNCTION("""COMPUTED_VALUE"""),830.0)</f>
        <v>830</v>
      </c>
      <c r="D543" s="2">
        <f>IFERROR(__xludf.DUMMYFUNCTION("""COMPUTED_VALUE"""),810.0)</f>
        <v>810</v>
      </c>
      <c r="E543" s="2">
        <f>IFERROR(__xludf.DUMMYFUNCTION("""COMPUTED_VALUE"""),815.0)</f>
        <v>815</v>
      </c>
      <c r="F543" s="2">
        <f>IFERROR(__xludf.DUMMYFUNCTION("""COMPUTED_VALUE"""),3.43792E7)</f>
        <v>34379200</v>
      </c>
      <c r="G543" s="2">
        <f t="shared" si="1"/>
        <v>20</v>
      </c>
    </row>
    <row r="544" ht="15.75" customHeight="1">
      <c r="A544" s="1">
        <f>IFERROR(__xludf.DUMMYFUNCTION("""COMPUTED_VALUE"""),44642.66666666667)</f>
        <v>44642.66667</v>
      </c>
      <c r="B544" s="2">
        <f>IFERROR(__xludf.DUMMYFUNCTION("""COMPUTED_VALUE"""),815.0)</f>
        <v>815</v>
      </c>
      <c r="C544" s="2">
        <f>IFERROR(__xludf.DUMMYFUNCTION("""COMPUTED_VALUE"""),820.0)</f>
        <v>820</v>
      </c>
      <c r="D544" s="2">
        <f>IFERROR(__xludf.DUMMYFUNCTION("""COMPUTED_VALUE"""),805.0)</f>
        <v>805</v>
      </c>
      <c r="E544" s="2">
        <f>IFERROR(__xludf.DUMMYFUNCTION("""COMPUTED_VALUE"""),815.0)</f>
        <v>815</v>
      </c>
      <c r="F544" s="2">
        <f>IFERROR(__xludf.DUMMYFUNCTION("""COMPUTED_VALUE"""),3.36179E7)</f>
        <v>33617900</v>
      </c>
      <c r="G544" s="2">
        <f t="shared" si="1"/>
        <v>15</v>
      </c>
    </row>
    <row r="545" ht="15.75" customHeight="1">
      <c r="A545" s="1">
        <f>IFERROR(__xludf.DUMMYFUNCTION("""COMPUTED_VALUE"""),44643.66666666667)</f>
        <v>44643.66667</v>
      </c>
      <c r="B545" s="2">
        <f>IFERROR(__xludf.DUMMYFUNCTION("""COMPUTED_VALUE"""),815.0)</f>
        <v>815</v>
      </c>
      <c r="C545" s="2">
        <f>IFERROR(__xludf.DUMMYFUNCTION("""COMPUTED_VALUE"""),825.0)</f>
        <v>825</v>
      </c>
      <c r="D545" s="2">
        <f>IFERROR(__xludf.DUMMYFUNCTION("""COMPUTED_VALUE"""),815.0)</f>
        <v>815</v>
      </c>
      <c r="E545" s="2">
        <f>IFERROR(__xludf.DUMMYFUNCTION("""COMPUTED_VALUE"""),820.0)</f>
        <v>820</v>
      </c>
      <c r="F545" s="2">
        <f>IFERROR(__xludf.DUMMYFUNCTION("""COMPUTED_VALUE"""),1.34137E7)</f>
        <v>13413700</v>
      </c>
      <c r="G545" s="2">
        <f t="shared" si="1"/>
        <v>10</v>
      </c>
    </row>
    <row r="546" ht="15.75" customHeight="1">
      <c r="A546" s="1">
        <f>IFERROR(__xludf.DUMMYFUNCTION("""COMPUTED_VALUE"""),44644.66666666667)</f>
        <v>44644.66667</v>
      </c>
      <c r="B546" s="2">
        <f>IFERROR(__xludf.DUMMYFUNCTION("""COMPUTED_VALUE"""),820.0)</f>
        <v>820</v>
      </c>
      <c r="C546" s="2">
        <f>IFERROR(__xludf.DUMMYFUNCTION("""COMPUTED_VALUE"""),820.0)</f>
        <v>820</v>
      </c>
      <c r="D546" s="2">
        <f>IFERROR(__xludf.DUMMYFUNCTION("""COMPUTED_VALUE"""),810.0)</f>
        <v>810</v>
      </c>
      <c r="E546" s="2">
        <f>IFERROR(__xludf.DUMMYFUNCTION("""COMPUTED_VALUE"""),815.0)</f>
        <v>815</v>
      </c>
      <c r="F546" s="2">
        <f>IFERROR(__xludf.DUMMYFUNCTION("""COMPUTED_VALUE"""),3.55961E7)</f>
        <v>35596100</v>
      </c>
      <c r="G546" s="2">
        <f t="shared" si="1"/>
        <v>10</v>
      </c>
    </row>
    <row r="547" ht="15.75" customHeight="1">
      <c r="A547" s="1">
        <f>IFERROR(__xludf.DUMMYFUNCTION("""COMPUTED_VALUE"""),44645.66666666667)</f>
        <v>44645.66667</v>
      </c>
      <c r="B547" s="2">
        <f>IFERROR(__xludf.DUMMYFUNCTION("""COMPUTED_VALUE"""),815.0)</f>
        <v>815</v>
      </c>
      <c r="C547" s="2">
        <f>IFERROR(__xludf.DUMMYFUNCTION("""COMPUTED_VALUE"""),825.0)</f>
        <v>825</v>
      </c>
      <c r="D547" s="2">
        <f>IFERROR(__xludf.DUMMYFUNCTION("""COMPUTED_VALUE"""),815.0)</f>
        <v>815</v>
      </c>
      <c r="E547" s="2">
        <f>IFERROR(__xludf.DUMMYFUNCTION("""COMPUTED_VALUE"""),820.0)</f>
        <v>820</v>
      </c>
      <c r="F547" s="2">
        <f>IFERROR(__xludf.DUMMYFUNCTION("""COMPUTED_VALUE"""),6.48679E7)</f>
        <v>64867900</v>
      </c>
      <c r="G547" s="2">
        <f t="shared" si="1"/>
        <v>10</v>
      </c>
    </row>
    <row r="548" ht="15.75" customHeight="1">
      <c r="A548" s="1">
        <f>IFERROR(__xludf.DUMMYFUNCTION("""COMPUTED_VALUE"""),44648.66666666667)</f>
        <v>44648.66667</v>
      </c>
      <c r="B548" s="2">
        <f>IFERROR(__xludf.DUMMYFUNCTION("""COMPUTED_VALUE"""),790.0)</f>
        <v>790</v>
      </c>
      <c r="C548" s="2">
        <f>IFERROR(__xludf.DUMMYFUNCTION("""COMPUTED_VALUE"""),800.0)</f>
        <v>800</v>
      </c>
      <c r="D548" s="2">
        <f>IFERROR(__xludf.DUMMYFUNCTION("""COMPUTED_VALUE"""),765.0)</f>
        <v>765</v>
      </c>
      <c r="E548" s="2">
        <f>IFERROR(__xludf.DUMMYFUNCTION("""COMPUTED_VALUE"""),790.0)</f>
        <v>790</v>
      </c>
      <c r="F548" s="2">
        <f>IFERROR(__xludf.DUMMYFUNCTION("""COMPUTED_VALUE"""),7.70235E7)</f>
        <v>77023500</v>
      </c>
      <c r="G548" s="2">
        <f t="shared" si="1"/>
        <v>55</v>
      </c>
    </row>
    <row r="549" ht="15.75" customHeight="1">
      <c r="A549" s="1">
        <f>IFERROR(__xludf.DUMMYFUNCTION("""COMPUTED_VALUE"""),44649.66666666667)</f>
        <v>44649.66667</v>
      </c>
      <c r="B549" s="2">
        <f>IFERROR(__xludf.DUMMYFUNCTION("""COMPUTED_VALUE"""),795.0)</f>
        <v>795</v>
      </c>
      <c r="C549" s="2">
        <f>IFERROR(__xludf.DUMMYFUNCTION("""COMPUTED_VALUE"""),800.0)</f>
        <v>800</v>
      </c>
      <c r="D549" s="2">
        <f>IFERROR(__xludf.DUMMYFUNCTION("""COMPUTED_VALUE"""),780.0)</f>
        <v>780</v>
      </c>
      <c r="E549" s="2">
        <f>IFERROR(__xludf.DUMMYFUNCTION("""COMPUTED_VALUE"""),785.0)</f>
        <v>785</v>
      </c>
      <c r="F549" s="2">
        <f>IFERROR(__xludf.DUMMYFUNCTION("""COMPUTED_VALUE"""),2.38859E7)</f>
        <v>23885900</v>
      </c>
      <c r="G549" s="2">
        <f t="shared" si="1"/>
        <v>20</v>
      </c>
    </row>
    <row r="550" ht="15.75" customHeight="1">
      <c r="A550" s="1">
        <f>IFERROR(__xludf.DUMMYFUNCTION("""COMPUTED_VALUE"""),44650.66666666667)</f>
        <v>44650.66667</v>
      </c>
      <c r="B550" s="2">
        <f>IFERROR(__xludf.DUMMYFUNCTION("""COMPUTED_VALUE"""),785.0)</f>
        <v>785</v>
      </c>
      <c r="C550" s="2">
        <f>IFERROR(__xludf.DUMMYFUNCTION("""COMPUTED_VALUE"""),800.0)</f>
        <v>800</v>
      </c>
      <c r="D550" s="2">
        <f>IFERROR(__xludf.DUMMYFUNCTION("""COMPUTED_VALUE"""),780.0)</f>
        <v>780</v>
      </c>
      <c r="E550" s="2">
        <f>IFERROR(__xludf.DUMMYFUNCTION("""COMPUTED_VALUE"""),785.0)</f>
        <v>785</v>
      </c>
      <c r="F550" s="2">
        <f>IFERROR(__xludf.DUMMYFUNCTION("""COMPUTED_VALUE"""),4.89184E7)</f>
        <v>48918400</v>
      </c>
      <c r="G550" s="2">
        <f t="shared" si="1"/>
        <v>20</v>
      </c>
    </row>
    <row r="551" ht="15.75" customHeight="1">
      <c r="A551" s="1">
        <f>IFERROR(__xludf.DUMMYFUNCTION("""COMPUTED_VALUE"""),44651.66666666667)</f>
        <v>44651.66667</v>
      </c>
      <c r="B551" s="2">
        <f>IFERROR(__xludf.DUMMYFUNCTION("""COMPUTED_VALUE"""),790.0)</f>
        <v>790</v>
      </c>
      <c r="C551" s="2">
        <f>IFERROR(__xludf.DUMMYFUNCTION("""COMPUTED_VALUE"""),800.0)</f>
        <v>800</v>
      </c>
      <c r="D551" s="2">
        <f>IFERROR(__xludf.DUMMYFUNCTION("""COMPUTED_VALUE"""),785.0)</f>
        <v>785</v>
      </c>
      <c r="E551" s="2">
        <f>IFERROR(__xludf.DUMMYFUNCTION("""COMPUTED_VALUE"""),790.0)</f>
        <v>790</v>
      </c>
      <c r="F551" s="2">
        <f>IFERROR(__xludf.DUMMYFUNCTION("""COMPUTED_VALUE"""),1.48251E7)</f>
        <v>14825100</v>
      </c>
      <c r="G551" s="2">
        <f t="shared" si="1"/>
        <v>15</v>
      </c>
    </row>
    <row r="552" ht="15.75" customHeight="1">
      <c r="A552" s="1">
        <f>IFERROR(__xludf.DUMMYFUNCTION("""COMPUTED_VALUE"""),44652.66666666667)</f>
        <v>44652.66667</v>
      </c>
      <c r="B552" s="2">
        <f>IFERROR(__xludf.DUMMYFUNCTION("""COMPUTED_VALUE"""),785.0)</f>
        <v>785</v>
      </c>
      <c r="C552" s="2">
        <f>IFERROR(__xludf.DUMMYFUNCTION("""COMPUTED_VALUE"""),790.0)</f>
        <v>790</v>
      </c>
      <c r="D552" s="2">
        <f>IFERROR(__xludf.DUMMYFUNCTION("""COMPUTED_VALUE"""),765.0)</f>
        <v>765</v>
      </c>
      <c r="E552" s="2">
        <f>IFERROR(__xludf.DUMMYFUNCTION("""COMPUTED_VALUE"""),765.0)</f>
        <v>765</v>
      </c>
      <c r="F552" s="2">
        <f>IFERROR(__xludf.DUMMYFUNCTION("""COMPUTED_VALUE"""),1.35228E7)</f>
        <v>13522800</v>
      </c>
      <c r="G552" s="2">
        <f t="shared" si="1"/>
        <v>25</v>
      </c>
    </row>
    <row r="553" ht="15.75" customHeight="1">
      <c r="A553" s="1">
        <f>IFERROR(__xludf.DUMMYFUNCTION("""COMPUTED_VALUE"""),44655.66666666667)</f>
        <v>44655.66667</v>
      </c>
      <c r="B553" s="2">
        <f>IFERROR(__xludf.DUMMYFUNCTION("""COMPUTED_VALUE"""),765.0)</f>
        <v>765</v>
      </c>
      <c r="C553" s="2">
        <f>IFERROR(__xludf.DUMMYFUNCTION("""COMPUTED_VALUE"""),785.0)</f>
        <v>785</v>
      </c>
      <c r="D553" s="2">
        <f>IFERROR(__xludf.DUMMYFUNCTION("""COMPUTED_VALUE"""),765.0)</f>
        <v>765</v>
      </c>
      <c r="E553" s="2">
        <f>IFERROR(__xludf.DUMMYFUNCTION("""COMPUTED_VALUE"""),780.0)</f>
        <v>780</v>
      </c>
      <c r="F553" s="2">
        <f>IFERROR(__xludf.DUMMYFUNCTION("""COMPUTED_VALUE"""),1.83784E7)</f>
        <v>18378400</v>
      </c>
      <c r="G553" s="2">
        <f t="shared" si="1"/>
        <v>20</v>
      </c>
    </row>
    <row r="554" ht="15.75" customHeight="1">
      <c r="A554" s="1">
        <f>IFERROR(__xludf.DUMMYFUNCTION("""COMPUTED_VALUE"""),44656.66666666667)</f>
        <v>44656.66667</v>
      </c>
      <c r="B554" s="2">
        <f>IFERROR(__xludf.DUMMYFUNCTION("""COMPUTED_VALUE"""),780.0)</f>
        <v>780</v>
      </c>
      <c r="C554" s="2">
        <f>IFERROR(__xludf.DUMMYFUNCTION("""COMPUTED_VALUE"""),785.0)</f>
        <v>785</v>
      </c>
      <c r="D554" s="2">
        <f>IFERROR(__xludf.DUMMYFUNCTION("""COMPUTED_VALUE"""),775.0)</f>
        <v>775</v>
      </c>
      <c r="E554" s="2">
        <f>IFERROR(__xludf.DUMMYFUNCTION("""COMPUTED_VALUE"""),775.0)</f>
        <v>775</v>
      </c>
      <c r="F554" s="2">
        <f>IFERROR(__xludf.DUMMYFUNCTION("""COMPUTED_VALUE"""),7185500.0)</f>
        <v>7185500</v>
      </c>
      <c r="G554" s="2">
        <f t="shared" si="1"/>
        <v>10</v>
      </c>
    </row>
    <row r="555" ht="15.75" customHeight="1">
      <c r="A555" s="1">
        <f>IFERROR(__xludf.DUMMYFUNCTION("""COMPUTED_VALUE"""),44657.66666666667)</f>
        <v>44657.66667</v>
      </c>
      <c r="B555" s="2">
        <f>IFERROR(__xludf.DUMMYFUNCTION("""COMPUTED_VALUE"""),775.0)</f>
        <v>775</v>
      </c>
      <c r="C555" s="2">
        <f>IFERROR(__xludf.DUMMYFUNCTION("""COMPUTED_VALUE"""),790.0)</f>
        <v>790</v>
      </c>
      <c r="D555" s="2">
        <f>IFERROR(__xludf.DUMMYFUNCTION("""COMPUTED_VALUE"""),775.0)</f>
        <v>775</v>
      </c>
      <c r="E555" s="2">
        <f>IFERROR(__xludf.DUMMYFUNCTION("""COMPUTED_VALUE"""),775.0)</f>
        <v>775</v>
      </c>
      <c r="F555" s="2">
        <f>IFERROR(__xludf.DUMMYFUNCTION("""COMPUTED_VALUE"""),8632600.0)</f>
        <v>8632600</v>
      </c>
      <c r="G555" s="2">
        <f t="shared" si="1"/>
        <v>15</v>
      </c>
    </row>
    <row r="556" ht="15.75" customHeight="1">
      <c r="A556" s="1">
        <f>IFERROR(__xludf.DUMMYFUNCTION("""COMPUTED_VALUE"""),44658.66666666667)</f>
        <v>44658.66667</v>
      </c>
      <c r="B556" s="2">
        <f>IFERROR(__xludf.DUMMYFUNCTION("""COMPUTED_VALUE"""),775.0)</f>
        <v>775</v>
      </c>
      <c r="C556" s="2">
        <f>IFERROR(__xludf.DUMMYFUNCTION("""COMPUTED_VALUE"""),780.0)</f>
        <v>780</v>
      </c>
      <c r="D556" s="2">
        <f>IFERROR(__xludf.DUMMYFUNCTION("""COMPUTED_VALUE"""),755.0)</f>
        <v>755</v>
      </c>
      <c r="E556" s="2">
        <f>IFERROR(__xludf.DUMMYFUNCTION("""COMPUTED_VALUE"""),765.0)</f>
        <v>765</v>
      </c>
      <c r="F556" s="2">
        <f>IFERROR(__xludf.DUMMYFUNCTION("""COMPUTED_VALUE"""),1.90206E7)</f>
        <v>19020600</v>
      </c>
      <c r="G556" s="2">
        <f t="shared" si="1"/>
        <v>25</v>
      </c>
    </row>
    <row r="557" ht="15.75" customHeight="1">
      <c r="A557" s="1">
        <f>IFERROR(__xludf.DUMMYFUNCTION("""COMPUTED_VALUE"""),44659.66666666667)</f>
        <v>44659.66667</v>
      </c>
      <c r="B557" s="2">
        <f>IFERROR(__xludf.DUMMYFUNCTION("""COMPUTED_VALUE"""),770.0)</f>
        <v>770</v>
      </c>
      <c r="C557" s="2">
        <f>IFERROR(__xludf.DUMMYFUNCTION("""COMPUTED_VALUE"""),780.0)</f>
        <v>780</v>
      </c>
      <c r="D557" s="2">
        <f>IFERROR(__xludf.DUMMYFUNCTION("""COMPUTED_VALUE"""),765.0)</f>
        <v>765</v>
      </c>
      <c r="E557" s="2">
        <f>IFERROR(__xludf.DUMMYFUNCTION("""COMPUTED_VALUE"""),770.0)</f>
        <v>770</v>
      </c>
      <c r="F557" s="2">
        <f>IFERROR(__xludf.DUMMYFUNCTION("""COMPUTED_VALUE"""),8001400.0)</f>
        <v>8001400</v>
      </c>
      <c r="G557" s="2">
        <f t="shared" si="1"/>
        <v>15</v>
      </c>
    </row>
    <row r="558" ht="15.75" customHeight="1">
      <c r="A558" s="1">
        <f>IFERROR(__xludf.DUMMYFUNCTION("""COMPUTED_VALUE"""),44662.66666666667)</f>
        <v>44662.66667</v>
      </c>
      <c r="B558" s="2">
        <f>IFERROR(__xludf.DUMMYFUNCTION("""COMPUTED_VALUE"""),780.0)</f>
        <v>780</v>
      </c>
      <c r="C558" s="2">
        <f>IFERROR(__xludf.DUMMYFUNCTION("""COMPUTED_VALUE"""),800.0)</f>
        <v>800</v>
      </c>
      <c r="D558" s="2">
        <f>IFERROR(__xludf.DUMMYFUNCTION("""COMPUTED_VALUE"""),760.0)</f>
        <v>760</v>
      </c>
      <c r="E558" s="2">
        <f>IFERROR(__xludf.DUMMYFUNCTION("""COMPUTED_VALUE"""),760.0)</f>
        <v>760</v>
      </c>
      <c r="F558" s="2">
        <f>IFERROR(__xludf.DUMMYFUNCTION("""COMPUTED_VALUE"""),7751500.0)</f>
        <v>7751500</v>
      </c>
      <c r="G558" s="2">
        <f t="shared" si="1"/>
        <v>40</v>
      </c>
    </row>
    <row r="559" ht="15.75" customHeight="1">
      <c r="A559" s="1">
        <f>IFERROR(__xludf.DUMMYFUNCTION("""COMPUTED_VALUE"""),44663.66666666667)</f>
        <v>44663.66667</v>
      </c>
      <c r="B559" s="2">
        <f>IFERROR(__xludf.DUMMYFUNCTION("""COMPUTED_VALUE"""),760.0)</f>
        <v>760</v>
      </c>
      <c r="C559" s="2">
        <f>IFERROR(__xludf.DUMMYFUNCTION("""COMPUTED_VALUE"""),780.0)</f>
        <v>780</v>
      </c>
      <c r="D559" s="2">
        <f>IFERROR(__xludf.DUMMYFUNCTION("""COMPUTED_VALUE"""),760.0)</f>
        <v>760</v>
      </c>
      <c r="E559" s="2">
        <f>IFERROR(__xludf.DUMMYFUNCTION("""COMPUTED_VALUE"""),770.0)</f>
        <v>770</v>
      </c>
      <c r="F559" s="2">
        <f>IFERROR(__xludf.DUMMYFUNCTION("""COMPUTED_VALUE"""),2.14331E7)</f>
        <v>21433100</v>
      </c>
      <c r="G559" s="2">
        <f t="shared" si="1"/>
        <v>20</v>
      </c>
    </row>
    <row r="560" ht="15.75" customHeight="1">
      <c r="A560" s="1">
        <f>IFERROR(__xludf.DUMMYFUNCTION("""COMPUTED_VALUE"""),44664.66666666667)</f>
        <v>44664.66667</v>
      </c>
      <c r="B560" s="2">
        <f>IFERROR(__xludf.DUMMYFUNCTION("""COMPUTED_VALUE"""),770.0)</f>
        <v>770</v>
      </c>
      <c r="C560" s="2">
        <f>IFERROR(__xludf.DUMMYFUNCTION("""COMPUTED_VALUE"""),785.0)</f>
        <v>785</v>
      </c>
      <c r="D560" s="2">
        <f>IFERROR(__xludf.DUMMYFUNCTION("""COMPUTED_VALUE"""),760.0)</f>
        <v>760</v>
      </c>
      <c r="E560" s="2">
        <f>IFERROR(__xludf.DUMMYFUNCTION("""COMPUTED_VALUE"""),760.0)</f>
        <v>760</v>
      </c>
      <c r="F560" s="2">
        <f>IFERROR(__xludf.DUMMYFUNCTION("""COMPUTED_VALUE"""),3.53792E7)</f>
        <v>35379200</v>
      </c>
      <c r="G560" s="2">
        <f t="shared" si="1"/>
        <v>25</v>
      </c>
    </row>
    <row r="561" ht="15.75" customHeight="1">
      <c r="A561" s="1">
        <f>IFERROR(__xludf.DUMMYFUNCTION("""COMPUTED_VALUE"""),44665.66666666667)</f>
        <v>44665.66667</v>
      </c>
      <c r="B561" s="2">
        <f>IFERROR(__xludf.DUMMYFUNCTION("""COMPUTED_VALUE"""),760.0)</f>
        <v>760</v>
      </c>
      <c r="C561" s="2">
        <f>IFERROR(__xludf.DUMMYFUNCTION("""COMPUTED_VALUE"""),770.0)</f>
        <v>770</v>
      </c>
      <c r="D561" s="2">
        <f>IFERROR(__xludf.DUMMYFUNCTION("""COMPUTED_VALUE"""),755.0)</f>
        <v>755</v>
      </c>
      <c r="E561" s="2">
        <f>IFERROR(__xludf.DUMMYFUNCTION("""COMPUTED_VALUE"""),765.0)</f>
        <v>765</v>
      </c>
      <c r="F561" s="2">
        <f>IFERROR(__xludf.DUMMYFUNCTION("""COMPUTED_VALUE"""),1.11387E7)</f>
        <v>11138700</v>
      </c>
      <c r="G561" s="2">
        <f t="shared" si="1"/>
        <v>15</v>
      </c>
    </row>
    <row r="562" ht="15.75" customHeight="1">
      <c r="A562" s="1">
        <f>IFERROR(__xludf.DUMMYFUNCTION("""COMPUTED_VALUE"""),44669.66666666667)</f>
        <v>44669.66667</v>
      </c>
      <c r="B562" s="2">
        <f>IFERROR(__xludf.DUMMYFUNCTION("""COMPUTED_VALUE"""),765.0)</f>
        <v>765</v>
      </c>
      <c r="C562" s="2">
        <f>IFERROR(__xludf.DUMMYFUNCTION("""COMPUTED_VALUE"""),770.0)</f>
        <v>770</v>
      </c>
      <c r="D562" s="2">
        <f>IFERROR(__xludf.DUMMYFUNCTION("""COMPUTED_VALUE"""),760.0)</f>
        <v>760</v>
      </c>
      <c r="E562" s="2">
        <f>IFERROR(__xludf.DUMMYFUNCTION("""COMPUTED_VALUE"""),765.0)</f>
        <v>765</v>
      </c>
      <c r="F562" s="2">
        <f>IFERROR(__xludf.DUMMYFUNCTION("""COMPUTED_VALUE"""),2554100.0)</f>
        <v>2554100</v>
      </c>
      <c r="G562" s="2">
        <f t="shared" si="1"/>
        <v>10</v>
      </c>
    </row>
    <row r="563" ht="15.75" customHeight="1">
      <c r="A563" s="1">
        <f>IFERROR(__xludf.DUMMYFUNCTION("""COMPUTED_VALUE"""),44670.66666666667)</f>
        <v>44670.66667</v>
      </c>
      <c r="B563" s="2">
        <f>IFERROR(__xludf.DUMMYFUNCTION("""COMPUTED_VALUE"""),770.0)</f>
        <v>770</v>
      </c>
      <c r="C563" s="2">
        <f>IFERROR(__xludf.DUMMYFUNCTION("""COMPUTED_VALUE"""),785.0)</f>
        <v>785</v>
      </c>
      <c r="D563" s="2">
        <f>IFERROR(__xludf.DUMMYFUNCTION("""COMPUTED_VALUE"""),760.0)</f>
        <v>760</v>
      </c>
      <c r="E563" s="2">
        <f>IFERROR(__xludf.DUMMYFUNCTION("""COMPUTED_VALUE"""),780.0)</f>
        <v>780</v>
      </c>
      <c r="F563" s="2">
        <f>IFERROR(__xludf.DUMMYFUNCTION("""COMPUTED_VALUE"""),2.66896E7)</f>
        <v>26689600</v>
      </c>
      <c r="G563" s="2">
        <f t="shared" si="1"/>
        <v>25</v>
      </c>
    </row>
    <row r="564" ht="15.75" customHeight="1">
      <c r="A564" s="1">
        <f>IFERROR(__xludf.DUMMYFUNCTION("""COMPUTED_VALUE"""),44671.66666666667)</f>
        <v>44671.66667</v>
      </c>
      <c r="B564" s="2">
        <f>IFERROR(__xludf.DUMMYFUNCTION("""COMPUTED_VALUE"""),780.0)</f>
        <v>780</v>
      </c>
      <c r="C564" s="2">
        <f>IFERROR(__xludf.DUMMYFUNCTION("""COMPUTED_VALUE"""),790.0)</f>
        <v>790</v>
      </c>
      <c r="D564" s="2">
        <f>IFERROR(__xludf.DUMMYFUNCTION("""COMPUTED_VALUE"""),770.0)</f>
        <v>770</v>
      </c>
      <c r="E564" s="2">
        <f>IFERROR(__xludf.DUMMYFUNCTION("""COMPUTED_VALUE"""),785.0)</f>
        <v>785</v>
      </c>
      <c r="F564" s="2">
        <f>IFERROR(__xludf.DUMMYFUNCTION("""COMPUTED_VALUE"""),1.65257E7)</f>
        <v>16525700</v>
      </c>
      <c r="G564" s="2">
        <f t="shared" si="1"/>
        <v>20</v>
      </c>
    </row>
    <row r="565" ht="15.75" customHeight="1">
      <c r="A565" s="1">
        <f>IFERROR(__xludf.DUMMYFUNCTION("""COMPUTED_VALUE"""),44672.66666666667)</f>
        <v>44672.66667</v>
      </c>
      <c r="B565" s="2">
        <f>IFERROR(__xludf.DUMMYFUNCTION("""COMPUTED_VALUE"""),785.0)</f>
        <v>785</v>
      </c>
      <c r="C565" s="2">
        <f>IFERROR(__xludf.DUMMYFUNCTION("""COMPUTED_VALUE"""),790.0)</f>
        <v>790</v>
      </c>
      <c r="D565" s="2">
        <f>IFERROR(__xludf.DUMMYFUNCTION("""COMPUTED_VALUE"""),775.0)</f>
        <v>775</v>
      </c>
      <c r="E565" s="2">
        <f>IFERROR(__xludf.DUMMYFUNCTION("""COMPUTED_VALUE"""),775.0)</f>
        <v>775</v>
      </c>
      <c r="F565" s="2">
        <f>IFERROR(__xludf.DUMMYFUNCTION("""COMPUTED_VALUE"""),1.00155E7)</f>
        <v>10015500</v>
      </c>
      <c r="G565" s="2">
        <f t="shared" si="1"/>
        <v>15</v>
      </c>
    </row>
    <row r="566" ht="15.75" customHeight="1">
      <c r="A566" s="1">
        <f>IFERROR(__xludf.DUMMYFUNCTION("""COMPUTED_VALUE"""),44673.66666666667)</f>
        <v>44673.66667</v>
      </c>
      <c r="B566" s="2">
        <f>IFERROR(__xludf.DUMMYFUNCTION("""COMPUTED_VALUE"""),775.0)</f>
        <v>775</v>
      </c>
      <c r="C566" s="2">
        <f>IFERROR(__xludf.DUMMYFUNCTION("""COMPUTED_VALUE"""),785.0)</f>
        <v>785</v>
      </c>
      <c r="D566" s="2">
        <f>IFERROR(__xludf.DUMMYFUNCTION("""COMPUTED_VALUE"""),775.0)</f>
        <v>775</v>
      </c>
      <c r="E566" s="2">
        <f>IFERROR(__xludf.DUMMYFUNCTION("""COMPUTED_VALUE"""),780.0)</f>
        <v>780</v>
      </c>
      <c r="F566" s="2">
        <f>IFERROR(__xludf.DUMMYFUNCTION("""COMPUTED_VALUE"""),1.03857E7)</f>
        <v>10385700</v>
      </c>
      <c r="G566" s="2">
        <f t="shared" si="1"/>
        <v>10</v>
      </c>
    </row>
    <row r="567" ht="15.75" customHeight="1">
      <c r="A567" s="1">
        <f>IFERROR(__xludf.DUMMYFUNCTION("""COMPUTED_VALUE"""),44676.66666666667)</f>
        <v>44676.66667</v>
      </c>
      <c r="B567" s="2">
        <f>IFERROR(__xludf.DUMMYFUNCTION("""COMPUTED_VALUE"""),785.0)</f>
        <v>785</v>
      </c>
      <c r="C567" s="2">
        <f>IFERROR(__xludf.DUMMYFUNCTION("""COMPUTED_VALUE"""),790.0)</f>
        <v>790</v>
      </c>
      <c r="D567" s="2">
        <f>IFERROR(__xludf.DUMMYFUNCTION("""COMPUTED_VALUE"""),775.0)</f>
        <v>775</v>
      </c>
      <c r="E567" s="2">
        <f>IFERROR(__xludf.DUMMYFUNCTION("""COMPUTED_VALUE"""),785.0)</f>
        <v>785</v>
      </c>
      <c r="F567" s="2">
        <f>IFERROR(__xludf.DUMMYFUNCTION("""COMPUTED_VALUE"""),9584500.0)</f>
        <v>9584500</v>
      </c>
      <c r="G567" s="2">
        <f t="shared" si="1"/>
        <v>15</v>
      </c>
    </row>
    <row r="568" ht="15.75" customHeight="1">
      <c r="A568" s="1">
        <f>IFERROR(__xludf.DUMMYFUNCTION("""COMPUTED_VALUE"""),44677.66666666667)</f>
        <v>44677.66667</v>
      </c>
      <c r="B568" s="2">
        <f>IFERROR(__xludf.DUMMYFUNCTION("""COMPUTED_VALUE"""),785.0)</f>
        <v>785</v>
      </c>
      <c r="C568" s="2">
        <f>IFERROR(__xludf.DUMMYFUNCTION("""COMPUTED_VALUE"""),790.0)</f>
        <v>790</v>
      </c>
      <c r="D568" s="2">
        <f>IFERROR(__xludf.DUMMYFUNCTION("""COMPUTED_VALUE"""),780.0)</f>
        <v>780</v>
      </c>
      <c r="E568" s="2">
        <f>IFERROR(__xludf.DUMMYFUNCTION("""COMPUTED_VALUE"""),790.0)</f>
        <v>790</v>
      </c>
      <c r="F568" s="2">
        <f>IFERROR(__xludf.DUMMYFUNCTION("""COMPUTED_VALUE"""),6453600.0)</f>
        <v>6453600</v>
      </c>
      <c r="G568" s="2">
        <f t="shared" si="1"/>
        <v>10</v>
      </c>
    </row>
    <row r="569" ht="15.75" customHeight="1">
      <c r="A569" s="1">
        <f>IFERROR(__xludf.DUMMYFUNCTION("""COMPUTED_VALUE"""),44678.66666666667)</f>
        <v>44678.66667</v>
      </c>
      <c r="B569" s="2">
        <f>IFERROR(__xludf.DUMMYFUNCTION("""COMPUTED_VALUE"""),790.0)</f>
        <v>790</v>
      </c>
      <c r="C569" s="2">
        <f>IFERROR(__xludf.DUMMYFUNCTION("""COMPUTED_VALUE"""),795.0)</f>
        <v>795</v>
      </c>
      <c r="D569" s="2">
        <f>IFERROR(__xludf.DUMMYFUNCTION("""COMPUTED_VALUE"""),780.0)</f>
        <v>780</v>
      </c>
      <c r="E569" s="2">
        <f>IFERROR(__xludf.DUMMYFUNCTION("""COMPUTED_VALUE"""),785.0)</f>
        <v>785</v>
      </c>
      <c r="F569" s="2">
        <f>IFERROR(__xludf.DUMMYFUNCTION("""COMPUTED_VALUE"""),9814900.0)</f>
        <v>9814900</v>
      </c>
      <c r="G569" s="2">
        <f t="shared" si="1"/>
        <v>15</v>
      </c>
    </row>
    <row r="570" ht="15.75" customHeight="1">
      <c r="A570" s="1">
        <f>IFERROR(__xludf.DUMMYFUNCTION("""COMPUTED_VALUE"""),44679.66666666667)</f>
        <v>44679.66667</v>
      </c>
      <c r="B570" s="2">
        <f>IFERROR(__xludf.DUMMYFUNCTION("""COMPUTED_VALUE"""),790.0)</f>
        <v>790</v>
      </c>
      <c r="C570" s="2">
        <f>IFERROR(__xludf.DUMMYFUNCTION("""COMPUTED_VALUE"""),795.0)</f>
        <v>795</v>
      </c>
      <c r="D570" s="2">
        <f>IFERROR(__xludf.DUMMYFUNCTION("""COMPUTED_VALUE"""),780.0)</f>
        <v>780</v>
      </c>
      <c r="E570" s="2">
        <f>IFERROR(__xludf.DUMMYFUNCTION("""COMPUTED_VALUE"""),795.0)</f>
        <v>795</v>
      </c>
      <c r="F570" s="2">
        <f>IFERROR(__xludf.DUMMYFUNCTION("""COMPUTED_VALUE"""),3730100.0)</f>
        <v>3730100</v>
      </c>
      <c r="G570" s="2">
        <f t="shared" si="1"/>
        <v>15</v>
      </c>
    </row>
    <row r="571" ht="15.75" customHeight="1">
      <c r="A571" s="1">
        <f>IFERROR(__xludf.DUMMYFUNCTION("""COMPUTED_VALUE"""),44690.66666666667)</f>
        <v>44690.66667</v>
      </c>
      <c r="B571" s="2">
        <f>IFERROR(__xludf.DUMMYFUNCTION("""COMPUTED_VALUE"""),790.0)</f>
        <v>790</v>
      </c>
      <c r="C571" s="2">
        <f>IFERROR(__xludf.DUMMYFUNCTION("""COMPUTED_VALUE"""),795.0)</f>
        <v>795</v>
      </c>
      <c r="D571" s="2">
        <f>IFERROR(__xludf.DUMMYFUNCTION("""COMPUTED_VALUE"""),760.0)</f>
        <v>760</v>
      </c>
      <c r="E571" s="2">
        <f>IFERROR(__xludf.DUMMYFUNCTION("""COMPUTED_VALUE"""),770.0)</f>
        <v>770</v>
      </c>
      <c r="F571" s="2">
        <f>IFERROR(__xludf.DUMMYFUNCTION("""COMPUTED_VALUE"""),1.5214E7)</f>
        <v>15214000</v>
      </c>
      <c r="G571" s="2">
        <f t="shared" si="1"/>
        <v>35</v>
      </c>
    </row>
    <row r="572" ht="15.75" customHeight="1">
      <c r="A572" s="1">
        <f>IFERROR(__xludf.DUMMYFUNCTION("""COMPUTED_VALUE"""),44691.66666666667)</f>
        <v>44691.66667</v>
      </c>
      <c r="B572" s="2">
        <f>IFERROR(__xludf.DUMMYFUNCTION("""COMPUTED_VALUE"""),770.0)</f>
        <v>770</v>
      </c>
      <c r="C572" s="2">
        <f>IFERROR(__xludf.DUMMYFUNCTION("""COMPUTED_VALUE"""),770.0)</f>
        <v>770</v>
      </c>
      <c r="D572" s="2">
        <f>IFERROR(__xludf.DUMMYFUNCTION("""COMPUTED_VALUE"""),745.0)</f>
        <v>745</v>
      </c>
      <c r="E572" s="2">
        <f>IFERROR(__xludf.DUMMYFUNCTION("""COMPUTED_VALUE"""),760.0)</f>
        <v>760</v>
      </c>
      <c r="F572" s="2">
        <f>IFERROR(__xludf.DUMMYFUNCTION("""COMPUTED_VALUE"""),2.12019E7)</f>
        <v>21201900</v>
      </c>
      <c r="G572" s="2">
        <f t="shared" si="1"/>
        <v>25</v>
      </c>
    </row>
    <row r="573" ht="15.75" customHeight="1">
      <c r="A573" s="1">
        <f>IFERROR(__xludf.DUMMYFUNCTION("""COMPUTED_VALUE"""),44692.66666666667)</f>
        <v>44692.66667</v>
      </c>
      <c r="B573" s="2">
        <f>IFERROR(__xludf.DUMMYFUNCTION("""COMPUTED_VALUE"""),760.0)</f>
        <v>760</v>
      </c>
      <c r="C573" s="2">
        <f>IFERROR(__xludf.DUMMYFUNCTION("""COMPUTED_VALUE"""),765.0)</f>
        <v>765</v>
      </c>
      <c r="D573" s="2">
        <f>IFERROR(__xludf.DUMMYFUNCTION("""COMPUTED_VALUE"""),750.0)</f>
        <v>750</v>
      </c>
      <c r="E573" s="2">
        <f>IFERROR(__xludf.DUMMYFUNCTION("""COMPUTED_VALUE"""),755.0)</f>
        <v>755</v>
      </c>
      <c r="F573" s="2">
        <f>IFERROR(__xludf.DUMMYFUNCTION("""COMPUTED_VALUE"""),6998000.0)</f>
        <v>6998000</v>
      </c>
      <c r="G573" s="2">
        <f t="shared" si="1"/>
        <v>15</v>
      </c>
    </row>
    <row r="574" ht="15.75" customHeight="1">
      <c r="A574" s="1">
        <f>IFERROR(__xludf.DUMMYFUNCTION("""COMPUTED_VALUE"""),44693.66666666667)</f>
        <v>44693.66667</v>
      </c>
      <c r="B574" s="2">
        <f>IFERROR(__xludf.DUMMYFUNCTION("""COMPUTED_VALUE"""),755.0)</f>
        <v>755</v>
      </c>
      <c r="C574" s="2">
        <f>IFERROR(__xludf.DUMMYFUNCTION("""COMPUTED_VALUE"""),760.0)</f>
        <v>760</v>
      </c>
      <c r="D574" s="2">
        <f>IFERROR(__xludf.DUMMYFUNCTION("""COMPUTED_VALUE"""),740.0)</f>
        <v>740</v>
      </c>
      <c r="E574" s="2">
        <f>IFERROR(__xludf.DUMMYFUNCTION("""COMPUTED_VALUE"""),745.0)</f>
        <v>745</v>
      </c>
      <c r="F574" s="2">
        <f>IFERROR(__xludf.DUMMYFUNCTION("""COMPUTED_VALUE"""),1.4781E7)</f>
        <v>14781000</v>
      </c>
      <c r="G574" s="2">
        <f t="shared" si="1"/>
        <v>20</v>
      </c>
    </row>
    <row r="575" ht="15.75" customHeight="1">
      <c r="A575" s="1">
        <f>IFERROR(__xludf.DUMMYFUNCTION("""COMPUTED_VALUE"""),44694.66666666667)</f>
        <v>44694.66667</v>
      </c>
      <c r="B575" s="2">
        <f>IFERROR(__xludf.DUMMYFUNCTION("""COMPUTED_VALUE"""),745.0)</f>
        <v>745</v>
      </c>
      <c r="C575" s="2">
        <f>IFERROR(__xludf.DUMMYFUNCTION("""COMPUTED_VALUE"""),755.0)</f>
        <v>755</v>
      </c>
      <c r="D575" s="2">
        <f>IFERROR(__xludf.DUMMYFUNCTION("""COMPUTED_VALUE"""),740.0)</f>
        <v>740</v>
      </c>
      <c r="E575" s="2">
        <f>IFERROR(__xludf.DUMMYFUNCTION("""COMPUTED_VALUE"""),755.0)</f>
        <v>755</v>
      </c>
      <c r="F575" s="2">
        <f>IFERROR(__xludf.DUMMYFUNCTION("""COMPUTED_VALUE"""),2.34786E7)</f>
        <v>23478600</v>
      </c>
      <c r="G575" s="2">
        <f t="shared" si="1"/>
        <v>15</v>
      </c>
    </row>
    <row r="576" ht="15.75" customHeight="1">
      <c r="A576" s="1">
        <f>IFERROR(__xludf.DUMMYFUNCTION("""COMPUTED_VALUE"""),44698.66666666667)</f>
        <v>44698.66667</v>
      </c>
      <c r="B576" s="2">
        <f>IFERROR(__xludf.DUMMYFUNCTION("""COMPUTED_VALUE"""),755.0)</f>
        <v>755</v>
      </c>
      <c r="C576" s="2">
        <f>IFERROR(__xludf.DUMMYFUNCTION("""COMPUTED_VALUE"""),765.0)</f>
        <v>765</v>
      </c>
      <c r="D576" s="2">
        <f>IFERROR(__xludf.DUMMYFUNCTION("""COMPUTED_VALUE"""),745.0)</f>
        <v>745</v>
      </c>
      <c r="E576" s="2">
        <f>IFERROR(__xludf.DUMMYFUNCTION("""COMPUTED_VALUE"""),755.0)</f>
        <v>755</v>
      </c>
      <c r="F576" s="2">
        <f>IFERROR(__xludf.DUMMYFUNCTION("""COMPUTED_VALUE"""),1.85106E7)</f>
        <v>18510600</v>
      </c>
      <c r="G576" s="2">
        <f t="shared" si="1"/>
        <v>20</v>
      </c>
    </row>
    <row r="577" ht="15.75" customHeight="1">
      <c r="A577" s="1">
        <f>IFERROR(__xludf.DUMMYFUNCTION("""COMPUTED_VALUE"""),44699.66666666667)</f>
        <v>44699.66667</v>
      </c>
      <c r="B577" s="2">
        <f>IFERROR(__xludf.DUMMYFUNCTION("""COMPUTED_VALUE"""),755.0)</f>
        <v>755</v>
      </c>
      <c r="C577" s="2">
        <f>IFERROR(__xludf.DUMMYFUNCTION("""COMPUTED_VALUE"""),770.0)</f>
        <v>770</v>
      </c>
      <c r="D577" s="2">
        <f>IFERROR(__xludf.DUMMYFUNCTION("""COMPUTED_VALUE"""),755.0)</f>
        <v>755</v>
      </c>
      <c r="E577" s="2">
        <f>IFERROR(__xludf.DUMMYFUNCTION("""COMPUTED_VALUE"""),765.0)</f>
        <v>765</v>
      </c>
      <c r="F577" s="2">
        <f>IFERROR(__xludf.DUMMYFUNCTION("""COMPUTED_VALUE"""),5837400.0)</f>
        <v>5837400</v>
      </c>
      <c r="G577" s="2">
        <f t="shared" si="1"/>
        <v>15</v>
      </c>
    </row>
    <row r="578" ht="15.75" customHeight="1">
      <c r="A578" s="1">
        <f>IFERROR(__xludf.DUMMYFUNCTION("""COMPUTED_VALUE"""),44700.66666666667)</f>
        <v>44700.66667</v>
      </c>
      <c r="B578" s="2">
        <f>IFERROR(__xludf.DUMMYFUNCTION("""COMPUTED_VALUE"""),765.0)</f>
        <v>765</v>
      </c>
      <c r="C578" s="2">
        <f>IFERROR(__xludf.DUMMYFUNCTION("""COMPUTED_VALUE"""),765.0)</f>
        <v>765</v>
      </c>
      <c r="D578" s="2">
        <f>IFERROR(__xludf.DUMMYFUNCTION("""COMPUTED_VALUE"""),750.0)</f>
        <v>750</v>
      </c>
      <c r="E578" s="2">
        <f>IFERROR(__xludf.DUMMYFUNCTION("""COMPUTED_VALUE"""),760.0)</f>
        <v>760</v>
      </c>
      <c r="F578" s="2">
        <f>IFERROR(__xludf.DUMMYFUNCTION("""COMPUTED_VALUE"""),8570400.0)</f>
        <v>8570400</v>
      </c>
      <c r="G578" s="2">
        <f t="shared" si="1"/>
        <v>15</v>
      </c>
    </row>
    <row r="579" ht="15.75" customHeight="1">
      <c r="A579" s="1">
        <f>IFERROR(__xludf.DUMMYFUNCTION("""COMPUTED_VALUE"""),44701.66666666667)</f>
        <v>44701.66667</v>
      </c>
      <c r="B579" s="2">
        <f>IFERROR(__xludf.DUMMYFUNCTION("""COMPUTED_VALUE"""),760.0)</f>
        <v>760</v>
      </c>
      <c r="C579" s="2">
        <f>IFERROR(__xludf.DUMMYFUNCTION("""COMPUTED_VALUE"""),765.0)</f>
        <v>765</v>
      </c>
      <c r="D579" s="2">
        <f>IFERROR(__xludf.DUMMYFUNCTION("""COMPUTED_VALUE"""),755.0)</f>
        <v>755</v>
      </c>
      <c r="E579" s="2">
        <f>IFERROR(__xludf.DUMMYFUNCTION("""COMPUTED_VALUE"""),765.0)</f>
        <v>765</v>
      </c>
      <c r="F579" s="2">
        <f>IFERROR(__xludf.DUMMYFUNCTION("""COMPUTED_VALUE"""),2278000.0)</f>
        <v>2278000</v>
      </c>
      <c r="G579" s="2">
        <f t="shared" si="1"/>
        <v>10</v>
      </c>
    </row>
    <row r="580" ht="15.75" customHeight="1">
      <c r="A580" s="1">
        <f>IFERROR(__xludf.DUMMYFUNCTION("""COMPUTED_VALUE"""),44704.66666666667)</f>
        <v>44704.66667</v>
      </c>
      <c r="B580" s="2">
        <f>IFERROR(__xludf.DUMMYFUNCTION("""COMPUTED_VALUE"""),765.0)</f>
        <v>765</v>
      </c>
      <c r="C580" s="2">
        <f>IFERROR(__xludf.DUMMYFUNCTION("""COMPUTED_VALUE"""),765.0)</f>
        <v>765</v>
      </c>
      <c r="D580" s="2">
        <f>IFERROR(__xludf.DUMMYFUNCTION("""COMPUTED_VALUE"""),755.0)</f>
        <v>755</v>
      </c>
      <c r="E580" s="2">
        <f>IFERROR(__xludf.DUMMYFUNCTION("""COMPUTED_VALUE"""),755.0)</f>
        <v>755</v>
      </c>
      <c r="F580" s="2">
        <f>IFERROR(__xludf.DUMMYFUNCTION("""COMPUTED_VALUE"""),4339500.0)</f>
        <v>4339500</v>
      </c>
      <c r="G580" s="2">
        <f t="shared" si="1"/>
        <v>10</v>
      </c>
    </row>
    <row r="581" ht="15.75" customHeight="1">
      <c r="A581" s="1">
        <f>IFERROR(__xludf.DUMMYFUNCTION("""COMPUTED_VALUE"""),44705.66666666667)</f>
        <v>44705.66667</v>
      </c>
      <c r="B581" s="2">
        <f>IFERROR(__xludf.DUMMYFUNCTION("""COMPUTED_VALUE"""),755.0)</f>
        <v>755</v>
      </c>
      <c r="C581" s="2">
        <f>IFERROR(__xludf.DUMMYFUNCTION("""COMPUTED_VALUE"""),765.0)</f>
        <v>765</v>
      </c>
      <c r="D581" s="2">
        <f>IFERROR(__xludf.DUMMYFUNCTION("""COMPUTED_VALUE"""),755.0)</f>
        <v>755</v>
      </c>
      <c r="E581" s="2">
        <f>IFERROR(__xludf.DUMMYFUNCTION("""COMPUTED_VALUE"""),760.0)</f>
        <v>760</v>
      </c>
      <c r="F581" s="2">
        <f>IFERROR(__xludf.DUMMYFUNCTION("""COMPUTED_VALUE"""),7477400.0)</f>
        <v>7477400</v>
      </c>
      <c r="G581" s="2">
        <f t="shared" si="1"/>
        <v>10</v>
      </c>
    </row>
    <row r="582" ht="15.75" customHeight="1">
      <c r="A582" s="1">
        <f>IFERROR(__xludf.DUMMYFUNCTION("""COMPUTED_VALUE"""),44706.66666666667)</f>
        <v>44706.66667</v>
      </c>
      <c r="B582" s="2">
        <f>IFERROR(__xludf.DUMMYFUNCTION("""COMPUTED_VALUE"""),760.0)</f>
        <v>760</v>
      </c>
      <c r="C582" s="2">
        <f>IFERROR(__xludf.DUMMYFUNCTION("""COMPUTED_VALUE"""),765.0)</f>
        <v>765</v>
      </c>
      <c r="D582" s="2">
        <f>IFERROR(__xludf.DUMMYFUNCTION("""COMPUTED_VALUE"""),755.0)</f>
        <v>755</v>
      </c>
      <c r="E582" s="2">
        <f>IFERROR(__xludf.DUMMYFUNCTION("""COMPUTED_VALUE"""),755.0)</f>
        <v>755</v>
      </c>
      <c r="F582" s="2">
        <f>IFERROR(__xludf.DUMMYFUNCTION("""COMPUTED_VALUE"""),3634700.0)</f>
        <v>3634700</v>
      </c>
      <c r="G582" s="2">
        <f t="shared" si="1"/>
        <v>10</v>
      </c>
    </row>
    <row r="583" ht="15.75" customHeight="1">
      <c r="A583" s="1">
        <f>IFERROR(__xludf.DUMMYFUNCTION("""COMPUTED_VALUE"""),44708.66666666667)</f>
        <v>44708.66667</v>
      </c>
      <c r="B583" s="2">
        <f>IFERROR(__xludf.DUMMYFUNCTION("""COMPUTED_VALUE"""),760.0)</f>
        <v>760</v>
      </c>
      <c r="C583" s="2">
        <f>IFERROR(__xludf.DUMMYFUNCTION("""COMPUTED_VALUE"""),765.0)</f>
        <v>765</v>
      </c>
      <c r="D583" s="2">
        <f>IFERROR(__xludf.DUMMYFUNCTION("""COMPUTED_VALUE"""),755.0)</f>
        <v>755</v>
      </c>
      <c r="E583" s="2">
        <f>IFERROR(__xludf.DUMMYFUNCTION("""COMPUTED_VALUE"""),760.0)</f>
        <v>760</v>
      </c>
      <c r="F583" s="2">
        <f>IFERROR(__xludf.DUMMYFUNCTION("""COMPUTED_VALUE"""),7962900.0)</f>
        <v>7962900</v>
      </c>
      <c r="G583" s="2">
        <f t="shared" si="1"/>
        <v>10</v>
      </c>
    </row>
    <row r="584" ht="15.75" customHeight="1">
      <c r="A584" s="1">
        <f>IFERROR(__xludf.DUMMYFUNCTION("""COMPUTED_VALUE"""),44711.66666666667)</f>
        <v>44711.66667</v>
      </c>
      <c r="B584" s="2">
        <f>IFERROR(__xludf.DUMMYFUNCTION("""COMPUTED_VALUE"""),760.0)</f>
        <v>760</v>
      </c>
      <c r="C584" s="2">
        <f>IFERROR(__xludf.DUMMYFUNCTION("""COMPUTED_VALUE"""),765.0)</f>
        <v>765</v>
      </c>
      <c r="D584" s="2">
        <f>IFERROR(__xludf.DUMMYFUNCTION("""COMPUTED_VALUE"""),755.0)</f>
        <v>755</v>
      </c>
      <c r="E584" s="2">
        <f>IFERROR(__xludf.DUMMYFUNCTION("""COMPUTED_VALUE"""),760.0)</f>
        <v>760</v>
      </c>
      <c r="F584" s="2">
        <f>IFERROR(__xludf.DUMMYFUNCTION("""COMPUTED_VALUE"""),4204800.0)</f>
        <v>4204800</v>
      </c>
      <c r="G584" s="2">
        <f t="shared" si="1"/>
        <v>10</v>
      </c>
    </row>
    <row r="585" ht="15.75" customHeight="1">
      <c r="A585" s="1">
        <f>IFERROR(__xludf.DUMMYFUNCTION("""COMPUTED_VALUE"""),44712.66666666667)</f>
        <v>44712.66667</v>
      </c>
      <c r="B585" s="2">
        <f>IFERROR(__xludf.DUMMYFUNCTION("""COMPUTED_VALUE"""),765.0)</f>
        <v>765</v>
      </c>
      <c r="C585" s="2">
        <f>IFERROR(__xludf.DUMMYFUNCTION("""COMPUTED_VALUE"""),785.0)</f>
        <v>785</v>
      </c>
      <c r="D585" s="2">
        <f>IFERROR(__xludf.DUMMYFUNCTION("""COMPUTED_VALUE"""),760.0)</f>
        <v>760</v>
      </c>
      <c r="E585" s="2">
        <f>IFERROR(__xludf.DUMMYFUNCTION("""COMPUTED_VALUE"""),780.0)</f>
        <v>780</v>
      </c>
      <c r="F585" s="2">
        <f>IFERROR(__xludf.DUMMYFUNCTION("""COMPUTED_VALUE"""),2.86936E7)</f>
        <v>28693600</v>
      </c>
      <c r="G585" s="2">
        <f t="shared" si="1"/>
        <v>25</v>
      </c>
    </row>
    <row r="586" ht="15.75" customHeight="1">
      <c r="A586" s="1">
        <f>IFERROR(__xludf.DUMMYFUNCTION("""COMPUTED_VALUE"""),44714.66666666667)</f>
        <v>44714.66667</v>
      </c>
      <c r="B586" s="2">
        <f>IFERROR(__xludf.DUMMYFUNCTION("""COMPUTED_VALUE"""),780.0)</f>
        <v>780</v>
      </c>
      <c r="C586" s="2">
        <f>IFERROR(__xludf.DUMMYFUNCTION("""COMPUTED_VALUE"""),785.0)</f>
        <v>785</v>
      </c>
      <c r="D586" s="2">
        <f>IFERROR(__xludf.DUMMYFUNCTION("""COMPUTED_VALUE"""),770.0)</f>
        <v>770</v>
      </c>
      <c r="E586" s="2">
        <f>IFERROR(__xludf.DUMMYFUNCTION("""COMPUTED_VALUE"""),775.0)</f>
        <v>775</v>
      </c>
      <c r="F586" s="2">
        <f>IFERROR(__xludf.DUMMYFUNCTION("""COMPUTED_VALUE"""),4783400.0)</f>
        <v>4783400</v>
      </c>
      <c r="G586" s="2">
        <f t="shared" si="1"/>
        <v>15</v>
      </c>
    </row>
    <row r="587" ht="15.75" customHeight="1">
      <c r="A587" s="1">
        <f>IFERROR(__xludf.DUMMYFUNCTION("""COMPUTED_VALUE"""),44715.66666666667)</f>
        <v>44715.66667</v>
      </c>
      <c r="B587" s="2">
        <f>IFERROR(__xludf.DUMMYFUNCTION("""COMPUTED_VALUE"""),780.0)</f>
        <v>780</v>
      </c>
      <c r="C587" s="2">
        <f>IFERROR(__xludf.DUMMYFUNCTION("""COMPUTED_VALUE"""),780.0)</f>
        <v>780</v>
      </c>
      <c r="D587" s="2">
        <f>IFERROR(__xludf.DUMMYFUNCTION("""COMPUTED_VALUE"""),770.0)</f>
        <v>770</v>
      </c>
      <c r="E587" s="2">
        <f>IFERROR(__xludf.DUMMYFUNCTION("""COMPUTED_VALUE"""),770.0)</f>
        <v>770</v>
      </c>
      <c r="F587" s="2">
        <f>IFERROR(__xludf.DUMMYFUNCTION("""COMPUTED_VALUE"""),1810600.0)</f>
        <v>1810600</v>
      </c>
      <c r="G587" s="2">
        <f t="shared" si="1"/>
        <v>10</v>
      </c>
    </row>
    <row r="588" ht="15.75" customHeight="1">
      <c r="A588" s="1">
        <f>IFERROR(__xludf.DUMMYFUNCTION("""COMPUTED_VALUE"""),44718.66666666667)</f>
        <v>44718.66667</v>
      </c>
      <c r="B588" s="2">
        <f>IFERROR(__xludf.DUMMYFUNCTION("""COMPUTED_VALUE"""),775.0)</f>
        <v>775</v>
      </c>
      <c r="C588" s="2">
        <f>IFERROR(__xludf.DUMMYFUNCTION("""COMPUTED_VALUE"""),780.0)</f>
        <v>780</v>
      </c>
      <c r="D588" s="2">
        <f>IFERROR(__xludf.DUMMYFUNCTION("""COMPUTED_VALUE"""),765.0)</f>
        <v>765</v>
      </c>
      <c r="E588" s="2">
        <f>IFERROR(__xludf.DUMMYFUNCTION("""COMPUTED_VALUE"""),765.0)</f>
        <v>765</v>
      </c>
      <c r="F588" s="2">
        <f>IFERROR(__xludf.DUMMYFUNCTION("""COMPUTED_VALUE"""),3496200.0)</f>
        <v>3496200</v>
      </c>
      <c r="G588" s="2">
        <f t="shared" si="1"/>
        <v>15</v>
      </c>
    </row>
    <row r="589" ht="15.75" customHeight="1">
      <c r="A589" s="1">
        <f>IFERROR(__xludf.DUMMYFUNCTION("""COMPUTED_VALUE"""),44719.66666666667)</f>
        <v>44719.66667</v>
      </c>
      <c r="B589" s="2">
        <f>IFERROR(__xludf.DUMMYFUNCTION("""COMPUTED_VALUE"""),770.0)</f>
        <v>770</v>
      </c>
      <c r="C589" s="2">
        <f>IFERROR(__xludf.DUMMYFUNCTION("""COMPUTED_VALUE"""),770.0)</f>
        <v>770</v>
      </c>
      <c r="D589" s="2">
        <f>IFERROR(__xludf.DUMMYFUNCTION("""COMPUTED_VALUE"""),760.0)</f>
        <v>760</v>
      </c>
      <c r="E589" s="2">
        <f>IFERROR(__xludf.DUMMYFUNCTION("""COMPUTED_VALUE"""),765.0)</f>
        <v>765</v>
      </c>
      <c r="F589" s="2">
        <f>IFERROR(__xludf.DUMMYFUNCTION("""COMPUTED_VALUE"""),2777800.0)</f>
        <v>2777800</v>
      </c>
      <c r="G589" s="2">
        <f t="shared" si="1"/>
        <v>10</v>
      </c>
    </row>
    <row r="590" ht="15.75" customHeight="1">
      <c r="A590" s="1">
        <f>IFERROR(__xludf.DUMMYFUNCTION("""COMPUTED_VALUE"""),44720.66666666667)</f>
        <v>44720.66667</v>
      </c>
      <c r="B590" s="2">
        <f>IFERROR(__xludf.DUMMYFUNCTION("""COMPUTED_VALUE"""),770.0)</f>
        <v>770</v>
      </c>
      <c r="C590" s="2">
        <f>IFERROR(__xludf.DUMMYFUNCTION("""COMPUTED_VALUE"""),775.0)</f>
        <v>775</v>
      </c>
      <c r="D590" s="2">
        <f>IFERROR(__xludf.DUMMYFUNCTION("""COMPUTED_VALUE"""),755.0)</f>
        <v>755</v>
      </c>
      <c r="E590" s="2">
        <f>IFERROR(__xludf.DUMMYFUNCTION("""COMPUTED_VALUE"""),755.0)</f>
        <v>755</v>
      </c>
      <c r="F590" s="2">
        <f>IFERROR(__xludf.DUMMYFUNCTION("""COMPUTED_VALUE"""),1.11073E7)</f>
        <v>11107300</v>
      </c>
      <c r="G590" s="2">
        <f t="shared" si="1"/>
        <v>20</v>
      </c>
    </row>
    <row r="591" ht="15.75" customHeight="1">
      <c r="A591" s="1">
        <f>IFERROR(__xludf.DUMMYFUNCTION("""COMPUTED_VALUE"""),44721.66666666667)</f>
        <v>44721.66667</v>
      </c>
      <c r="B591" s="2">
        <f>IFERROR(__xludf.DUMMYFUNCTION("""COMPUTED_VALUE"""),760.0)</f>
        <v>760</v>
      </c>
      <c r="C591" s="2">
        <f>IFERROR(__xludf.DUMMYFUNCTION("""COMPUTED_VALUE"""),765.0)</f>
        <v>765</v>
      </c>
      <c r="D591" s="2">
        <f>IFERROR(__xludf.DUMMYFUNCTION("""COMPUTED_VALUE"""),755.0)</f>
        <v>755</v>
      </c>
      <c r="E591" s="2">
        <f>IFERROR(__xludf.DUMMYFUNCTION("""COMPUTED_VALUE"""),755.0)</f>
        <v>755</v>
      </c>
      <c r="F591" s="2">
        <f>IFERROR(__xludf.DUMMYFUNCTION("""COMPUTED_VALUE"""),2775700.0)</f>
        <v>2775700</v>
      </c>
      <c r="G591" s="2">
        <f t="shared" si="1"/>
        <v>10</v>
      </c>
    </row>
    <row r="592" ht="15.75" customHeight="1">
      <c r="A592" s="1">
        <f>IFERROR(__xludf.DUMMYFUNCTION("""COMPUTED_VALUE"""),44722.66666666667)</f>
        <v>44722.66667</v>
      </c>
      <c r="B592" s="2">
        <f>IFERROR(__xludf.DUMMYFUNCTION("""COMPUTED_VALUE"""),760.0)</f>
        <v>760</v>
      </c>
      <c r="C592" s="2">
        <f>IFERROR(__xludf.DUMMYFUNCTION("""COMPUTED_VALUE"""),760.0)</f>
        <v>760</v>
      </c>
      <c r="D592" s="2">
        <f>IFERROR(__xludf.DUMMYFUNCTION("""COMPUTED_VALUE"""),750.0)</f>
        <v>750</v>
      </c>
      <c r="E592" s="2">
        <f>IFERROR(__xludf.DUMMYFUNCTION("""COMPUTED_VALUE"""),755.0)</f>
        <v>755</v>
      </c>
      <c r="F592" s="2">
        <f>IFERROR(__xludf.DUMMYFUNCTION("""COMPUTED_VALUE"""),4180700.0)</f>
        <v>4180700</v>
      </c>
      <c r="G592" s="2">
        <f t="shared" si="1"/>
        <v>10</v>
      </c>
    </row>
    <row r="593" ht="15.75" customHeight="1">
      <c r="A593" s="1">
        <f>IFERROR(__xludf.DUMMYFUNCTION("""COMPUTED_VALUE"""),44725.66666666667)</f>
        <v>44725.66667</v>
      </c>
      <c r="B593" s="2">
        <f>IFERROR(__xludf.DUMMYFUNCTION("""COMPUTED_VALUE"""),755.0)</f>
        <v>755</v>
      </c>
      <c r="C593" s="2">
        <f>IFERROR(__xludf.DUMMYFUNCTION("""COMPUTED_VALUE"""),755.0)</f>
        <v>755</v>
      </c>
      <c r="D593" s="2">
        <f>IFERROR(__xludf.DUMMYFUNCTION("""COMPUTED_VALUE"""),745.0)</f>
        <v>745</v>
      </c>
      <c r="E593" s="2">
        <f>IFERROR(__xludf.DUMMYFUNCTION("""COMPUTED_VALUE"""),750.0)</f>
        <v>750</v>
      </c>
      <c r="F593" s="2">
        <f>IFERROR(__xludf.DUMMYFUNCTION("""COMPUTED_VALUE"""),4487500.0)</f>
        <v>4487500</v>
      </c>
      <c r="G593" s="2">
        <f t="shared" si="1"/>
        <v>10</v>
      </c>
    </row>
    <row r="594" ht="15.75" customHeight="1">
      <c r="A594" s="1">
        <f>IFERROR(__xludf.DUMMYFUNCTION("""COMPUTED_VALUE"""),44726.66666666667)</f>
        <v>44726.66667</v>
      </c>
      <c r="B594" s="2">
        <f>IFERROR(__xludf.DUMMYFUNCTION("""COMPUTED_VALUE"""),750.0)</f>
        <v>750</v>
      </c>
      <c r="C594" s="2">
        <f>IFERROR(__xludf.DUMMYFUNCTION("""COMPUTED_VALUE"""),760.0)</f>
        <v>760</v>
      </c>
      <c r="D594" s="2">
        <f>IFERROR(__xludf.DUMMYFUNCTION("""COMPUTED_VALUE"""),745.0)</f>
        <v>745</v>
      </c>
      <c r="E594" s="2">
        <f>IFERROR(__xludf.DUMMYFUNCTION("""COMPUTED_VALUE"""),750.0)</f>
        <v>750</v>
      </c>
      <c r="F594" s="2">
        <f>IFERROR(__xludf.DUMMYFUNCTION("""COMPUTED_VALUE"""),4075900.0)</f>
        <v>4075900</v>
      </c>
      <c r="G594" s="2">
        <f t="shared" si="1"/>
        <v>15</v>
      </c>
    </row>
    <row r="595" ht="15.75" customHeight="1">
      <c r="A595" s="1">
        <f>IFERROR(__xludf.DUMMYFUNCTION("""COMPUTED_VALUE"""),44727.66666666667)</f>
        <v>44727.66667</v>
      </c>
      <c r="B595" s="2">
        <f>IFERROR(__xludf.DUMMYFUNCTION("""COMPUTED_VALUE"""),750.0)</f>
        <v>750</v>
      </c>
      <c r="C595" s="2">
        <f>IFERROR(__xludf.DUMMYFUNCTION("""COMPUTED_VALUE"""),760.0)</f>
        <v>760</v>
      </c>
      <c r="D595" s="2">
        <f>IFERROR(__xludf.DUMMYFUNCTION("""COMPUTED_VALUE"""),745.0)</f>
        <v>745</v>
      </c>
      <c r="E595" s="2">
        <f>IFERROR(__xludf.DUMMYFUNCTION("""COMPUTED_VALUE"""),755.0)</f>
        <v>755</v>
      </c>
      <c r="F595" s="2">
        <f>IFERROR(__xludf.DUMMYFUNCTION("""COMPUTED_VALUE"""),1.30746E7)</f>
        <v>13074600</v>
      </c>
      <c r="G595" s="2">
        <f t="shared" si="1"/>
        <v>15</v>
      </c>
    </row>
    <row r="596" ht="15.75" customHeight="1">
      <c r="A596" s="1">
        <f>IFERROR(__xludf.DUMMYFUNCTION("""COMPUTED_VALUE"""),44728.66666666667)</f>
        <v>44728.66667</v>
      </c>
      <c r="B596" s="2">
        <f>IFERROR(__xludf.DUMMYFUNCTION("""COMPUTED_VALUE"""),755.0)</f>
        <v>755</v>
      </c>
      <c r="C596" s="2">
        <f>IFERROR(__xludf.DUMMYFUNCTION("""COMPUTED_VALUE"""),765.0)</f>
        <v>765</v>
      </c>
      <c r="D596" s="2">
        <f>IFERROR(__xludf.DUMMYFUNCTION("""COMPUTED_VALUE"""),750.0)</f>
        <v>750</v>
      </c>
      <c r="E596" s="2">
        <f>IFERROR(__xludf.DUMMYFUNCTION("""COMPUTED_VALUE"""),755.0)</f>
        <v>755</v>
      </c>
      <c r="F596" s="2">
        <f>IFERROR(__xludf.DUMMYFUNCTION("""COMPUTED_VALUE"""),9856800.0)</f>
        <v>9856800</v>
      </c>
      <c r="G596" s="2">
        <f t="shared" si="1"/>
        <v>15</v>
      </c>
    </row>
    <row r="597" ht="15.75" customHeight="1">
      <c r="A597" s="1">
        <f>IFERROR(__xludf.DUMMYFUNCTION("""COMPUTED_VALUE"""),44729.66666666667)</f>
        <v>44729.66667</v>
      </c>
      <c r="B597" s="2">
        <f>IFERROR(__xludf.DUMMYFUNCTION("""COMPUTED_VALUE"""),755.0)</f>
        <v>755</v>
      </c>
      <c r="C597" s="2">
        <f>IFERROR(__xludf.DUMMYFUNCTION("""COMPUTED_VALUE"""),760.0)</f>
        <v>760</v>
      </c>
      <c r="D597" s="2">
        <f>IFERROR(__xludf.DUMMYFUNCTION("""COMPUTED_VALUE"""),750.0)</f>
        <v>750</v>
      </c>
      <c r="E597" s="2">
        <f>IFERROR(__xludf.DUMMYFUNCTION("""COMPUTED_VALUE"""),750.0)</f>
        <v>750</v>
      </c>
      <c r="F597" s="2">
        <f>IFERROR(__xludf.DUMMYFUNCTION("""COMPUTED_VALUE"""),3307400.0)</f>
        <v>3307400</v>
      </c>
      <c r="G597" s="2">
        <f t="shared" si="1"/>
        <v>10</v>
      </c>
    </row>
    <row r="598" ht="15.75" customHeight="1">
      <c r="A598" s="1">
        <f>IFERROR(__xludf.DUMMYFUNCTION("""COMPUTED_VALUE"""),44732.66666666667)</f>
        <v>44732.66667</v>
      </c>
      <c r="B598" s="2">
        <f>IFERROR(__xludf.DUMMYFUNCTION("""COMPUTED_VALUE"""),750.0)</f>
        <v>750</v>
      </c>
      <c r="C598" s="2">
        <f>IFERROR(__xludf.DUMMYFUNCTION("""COMPUTED_VALUE"""),755.0)</f>
        <v>755</v>
      </c>
      <c r="D598" s="2">
        <f>IFERROR(__xludf.DUMMYFUNCTION("""COMPUTED_VALUE"""),745.0)</f>
        <v>745</v>
      </c>
      <c r="E598" s="2">
        <f>IFERROR(__xludf.DUMMYFUNCTION("""COMPUTED_VALUE"""),755.0)</f>
        <v>755</v>
      </c>
      <c r="F598" s="2">
        <f>IFERROR(__xludf.DUMMYFUNCTION("""COMPUTED_VALUE"""),3072900.0)</f>
        <v>3072900</v>
      </c>
      <c r="G598" s="2">
        <f t="shared" si="1"/>
        <v>10</v>
      </c>
    </row>
    <row r="599" ht="15.75" customHeight="1">
      <c r="A599" s="1">
        <f>IFERROR(__xludf.DUMMYFUNCTION("""COMPUTED_VALUE"""),44733.66666666667)</f>
        <v>44733.66667</v>
      </c>
      <c r="B599" s="2">
        <f>IFERROR(__xludf.DUMMYFUNCTION("""COMPUTED_VALUE"""),755.0)</f>
        <v>755</v>
      </c>
      <c r="C599" s="2">
        <f>IFERROR(__xludf.DUMMYFUNCTION("""COMPUTED_VALUE"""),760.0)</f>
        <v>760</v>
      </c>
      <c r="D599" s="2">
        <f>IFERROR(__xludf.DUMMYFUNCTION("""COMPUTED_VALUE"""),750.0)</f>
        <v>750</v>
      </c>
      <c r="E599" s="2">
        <f>IFERROR(__xludf.DUMMYFUNCTION("""COMPUTED_VALUE"""),760.0)</f>
        <v>760</v>
      </c>
      <c r="F599" s="2">
        <f>IFERROR(__xludf.DUMMYFUNCTION("""COMPUTED_VALUE"""),2202200.0)</f>
        <v>2202200</v>
      </c>
      <c r="G599" s="2">
        <f t="shared" si="1"/>
        <v>10</v>
      </c>
    </row>
    <row r="600" ht="15.75" customHeight="1">
      <c r="A600" s="1">
        <f>IFERROR(__xludf.DUMMYFUNCTION("""COMPUTED_VALUE"""),44734.66666666667)</f>
        <v>44734.66667</v>
      </c>
      <c r="B600" s="2">
        <f>IFERROR(__xludf.DUMMYFUNCTION("""COMPUTED_VALUE"""),760.0)</f>
        <v>760</v>
      </c>
      <c r="C600" s="2">
        <f>IFERROR(__xludf.DUMMYFUNCTION("""COMPUTED_VALUE"""),760.0)</f>
        <v>760</v>
      </c>
      <c r="D600" s="2">
        <f>IFERROR(__xludf.DUMMYFUNCTION("""COMPUTED_VALUE"""),750.0)</f>
        <v>750</v>
      </c>
      <c r="E600" s="2">
        <f>IFERROR(__xludf.DUMMYFUNCTION("""COMPUTED_VALUE"""),760.0)</f>
        <v>760</v>
      </c>
      <c r="F600" s="2">
        <f>IFERROR(__xludf.DUMMYFUNCTION("""COMPUTED_VALUE"""),2535700.0)</f>
        <v>2535700</v>
      </c>
      <c r="G600" s="2">
        <f t="shared" si="1"/>
        <v>10</v>
      </c>
    </row>
    <row r="601" ht="15.75" customHeight="1">
      <c r="A601" s="1">
        <f>IFERROR(__xludf.DUMMYFUNCTION("""COMPUTED_VALUE"""),44735.66666666667)</f>
        <v>44735.66667</v>
      </c>
      <c r="B601" s="2">
        <f>IFERROR(__xludf.DUMMYFUNCTION("""COMPUTED_VALUE"""),760.0)</f>
        <v>760</v>
      </c>
      <c r="C601" s="2">
        <f>IFERROR(__xludf.DUMMYFUNCTION("""COMPUTED_VALUE"""),760.0)</f>
        <v>760</v>
      </c>
      <c r="D601" s="2">
        <f>IFERROR(__xludf.DUMMYFUNCTION("""COMPUTED_VALUE"""),750.0)</f>
        <v>750</v>
      </c>
      <c r="E601" s="2">
        <f>IFERROR(__xludf.DUMMYFUNCTION("""COMPUTED_VALUE"""),755.0)</f>
        <v>755</v>
      </c>
      <c r="F601" s="2">
        <f>IFERROR(__xludf.DUMMYFUNCTION("""COMPUTED_VALUE"""),2571100.0)</f>
        <v>2571100</v>
      </c>
      <c r="G601" s="2">
        <f t="shared" si="1"/>
        <v>10</v>
      </c>
    </row>
    <row r="602" ht="15.75" customHeight="1">
      <c r="A602" s="1">
        <f>IFERROR(__xludf.DUMMYFUNCTION("""COMPUTED_VALUE"""),44736.66666666667)</f>
        <v>44736.66667</v>
      </c>
      <c r="B602" s="2">
        <f>IFERROR(__xludf.DUMMYFUNCTION("""COMPUTED_VALUE"""),755.0)</f>
        <v>755</v>
      </c>
      <c r="C602" s="2">
        <f>IFERROR(__xludf.DUMMYFUNCTION("""COMPUTED_VALUE"""),770.0)</f>
        <v>770</v>
      </c>
      <c r="D602" s="2">
        <f>IFERROR(__xludf.DUMMYFUNCTION("""COMPUTED_VALUE"""),750.0)</f>
        <v>750</v>
      </c>
      <c r="E602" s="2">
        <f>IFERROR(__xludf.DUMMYFUNCTION("""COMPUTED_VALUE"""),760.0)</f>
        <v>760</v>
      </c>
      <c r="F602" s="2">
        <f>IFERROR(__xludf.DUMMYFUNCTION("""COMPUTED_VALUE"""),8616100.0)</f>
        <v>8616100</v>
      </c>
      <c r="G602" s="2">
        <f t="shared" si="1"/>
        <v>20</v>
      </c>
    </row>
    <row r="603" ht="15.75" customHeight="1">
      <c r="A603" s="1">
        <f>IFERROR(__xludf.DUMMYFUNCTION("""COMPUTED_VALUE"""),44739.66666666667)</f>
        <v>44739.66667</v>
      </c>
      <c r="B603" s="2">
        <f>IFERROR(__xludf.DUMMYFUNCTION("""COMPUTED_VALUE"""),760.0)</f>
        <v>760</v>
      </c>
      <c r="C603" s="2">
        <f>IFERROR(__xludf.DUMMYFUNCTION("""COMPUTED_VALUE"""),760.0)</f>
        <v>760</v>
      </c>
      <c r="D603" s="2">
        <f>IFERROR(__xludf.DUMMYFUNCTION("""COMPUTED_VALUE"""),750.0)</f>
        <v>750</v>
      </c>
      <c r="E603" s="2">
        <f>IFERROR(__xludf.DUMMYFUNCTION("""COMPUTED_VALUE"""),755.0)</f>
        <v>755</v>
      </c>
      <c r="F603" s="2">
        <f>IFERROR(__xludf.DUMMYFUNCTION("""COMPUTED_VALUE"""),1706100.0)</f>
        <v>1706100</v>
      </c>
      <c r="G603" s="2">
        <f t="shared" si="1"/>
        <v>10</v>
      </c>
    </row>
    <row r="604" ht="15.75" customHeight="1">
      <c r="A604" s="1">
        <f>IFERROR(__xludf.DUMMYFUNCTION("""COMPUTED_VALUE"""),44740.66666666667)</f>
        <v>44740.66667</v>
      </c>
      <c r="B604" s="2">
        <f>IFERROR(__xludf.DUMMYFUNCTION("""COMPUTED_VALUE"""),760.0)</f>
        <v>760</v>
      </c>
      <c r="C604" s="2">
        <f>IFERROR(__xludf.DUMMYFUNCTION("""COMPUTED_VALUE"""),760.0)</f>
        <v>760</v>
      </c>
      <c r="D604" s="2">
        <f>IFERROR(__xludf.DUMMYFUNCTION("""COMPUTED_VALUE"""),750.0)</f>
        <v>750</v>
      </c>
      <c r="E604" s="2">
        <f>IFERROR(__xludf.DUMMYFUNCTION("""COMPUTED_VALUE"""),755.0)</f>
        <v>755</v>
      </c>
      <c r="F604" s="2">
        <f>IFERROR(__xludf.DUMMYFUNCTION("""COMPUTED_VALUE"""),1498700.0)</f>
        <v>1498700</v>
      </c>
      <c r="G604" s="2">
        <f t="shared" si="1"/>
        <v>10</v>
      </c>
    </row>
    <row r="605" ht="15.75" customHeight="1">
      <c r="A605" s="1">
        <f>IFERROR(__xludf.DUMMYFUNCTION("""COMPUTED_VALUE"""),44741.66666666667)</f>
        <v>44741.66667</v>
      </c>
      <c r="B605" s="2">
        <f>IFERROR(__xludf.DUMMYFUNCTION("""COMPUTED_VALUE"""),750.0)</f>
        <v>750</v>
      </c>
      <c r="C605" s="2">
        <f>IFERROR(__xludf.DUMMYFUNCTION("""COMPUTED_VALUE"""),755.0)</f>
        <v>755</v>
      </c>
      <c r="D605" s="2">
        <f>IFERROR(__xludf.DUMMYFUNCTION("""COMPUTED_VALUE"""),740.0)</f>
        <v>740</v>
      </c>
      <c r="E605" s="2">
        <f>IFERROR(__xludf.DUMMYFUNCTION("""COMPUTED_VALUE"""),740.0)</f>
        <v>740</v>
      </c>
      <c r="F605" s="2">
        <f>IFERROR(__xludf.DUMMYFUNCTION("""COMPUTED_VALUE"""),1.27936E7)</f>
        <v>12793600</v>
      </c>
      <c r="G605" s="2">
        <f t="shared" si="1"/>
        <v>15</v>
      </c>
    </row>
    <row r="606" ht="15.75" customHeight="1">
      <c r="A606" s="1">
        <f>IFERROR(__xludf.DUMMYFUNCTION("""COMPUTED_VALUE"""),44742.66666666667)</f>
        <v>44742.66667</v>
      </c>
      <c r="B606" s="2">
        <f>IFERROR(__xludf.DUMMYFUNCTION("""COMPUTED_VALUE"""),750.0)</f>
        <v>750</v>
      </c>
      <c r="C606" s="2">
        <f>IFERROR(__xludf.DUMMYFUNCTION("""COMPUTED_VALUE"""),750.0)</f>
        <v>750</v>
      </c>
      <c r="D606" s="2">
        <f>IFERROR(__xludf.DUMMYFUNCTION("""COMPUTED_VALUE"""),735.0)</f>
        <v>735</v>
      </c>
      <c r="E606" s="2">
        <f>IFERROR(__xludf.DUMMYFUNCTION("""COMPUTED_VALUE"""),740.0)</f>
        <v>740</v>
      </c>
      <c r="F606" s="2">
        <f>IFERROR(__xludf.DUMMYFUNCTION("""COMPUTED_VALUE"""),6492200.0)</f>
        <v>6492200</v>
      </c>
      <c r="G606" s="2">
        <f t="shared" si="1"/>
        <v>15</v>
      </c>
    </row>
    <row r="607" ht="15.75" customHeight="1">
      <c r="A607" s="1">
        <f>IFERROR(__xludf.DUMMYFUNCTION("""COMPUTED_VALUE"""),44743.66666666667)</f>
        <v>44743.66667</v>
      </c>
      <c r="B607" s="2">
        <f>IFERROR(__xludf.DUMMYFUNCTION("""COMPUTED_VALUE"""),740.0)</f>
        <v>740</v>
      </c>
      <c r="C607" s="2">
        <f>IFERROR(__xludf.DUMMYFUNCTION("""COMPUTED_VALUE"""),740.0)</f>
        <v>740</v>
      </c>
      <c r="D607" s="2">
        <f>IFERROR(__xludf.DUMMYFUNCTION("""COMPUTED_VALUE"""),735.0)</f>
        <v>735</v>
      </c>
      <c r="E607" s="2">
        <f>IFERROR(__xludf.DUMMYFUNCTION("""COMPUTED_VALUE"""),735.0)</f>
        <v>735</v>
      </c>
      <c r="F607" s="2">
        <f>IFERROR(__xludf.DUMMYFUNCTION("""COMPUTED_VALUE"""),3395700.0)</f>
        <v>3395700</v>
      </c>
      <c r="G607" s="2">
        <f t="shared" si="1"/>
        <v>5</v>
      </c>
    </row>
    <row r="608" ht="15.75" customHeight="1">
      <c r="A608" s="1">
        <f>IFERROR(__xludf.DUMMYFUNCTION("""COMPUTED_VALUE"""),44746.66666666667)</f>
        <v>44746.66667</v>
      </c>
      <c r="B608" s="2">
        <f>IFERROR(__xludf.DUMMYFUNCTION("""COMPUTED_VALUE"""),740.0)</f>
        <v>740</v>
      </c>
      <c r="C608" s="2">
        <f>IFERROR(__xludf.DUMMYFUNCTION("""COMPUTED_VALUE"""),740.0)</f>
        <v>740</v>
      </c>
      <c r="D608" s="2">
        <f>IFERROR(__xludf.DUMMYFUNCTION("""COMPUTED_VALUE"""),720.0)</f>
        <v>720</v>
      </c>
      <c r="E608" s="2">
        <f>IFERROR(__xludf.DUMMYFUNCTION("""COMPUTED_VALUE"""),730.0)</f>
        <v>730</v>
      </c>
      <c r="F608" s="2">
        <f>IFERROR(__xludf.DUMMYFUNCTION("""COMPUTED_VALUE"""),6577000.0)</f>
        <v>6577000</v>
      </c>
      <c r="G608" s="2">
        <f t="shared" si="1"/>
        <v>20</v>
      </c>
    </row>
    <row r="609" ht="15.75" customHeight="1">
      <c r="A609" s="1">
        <f>IFERROR(__xludf.DUMMYFUNCTION("""COMPUTED_VALUE"""),44747.66666666667)</f>
        <v>44747.66667</v>
      </c>
      <c r="B609" s="2">
        <f>IFERROR(__xludf.DUMMYFUNCTION("""COMPUTED_VALUE"""),735.0)</f>
        <v>735</v>
      </c>
      <c r="C609" s="2">
        <f>IFERROR(__xludf.DUMMYFUNCTION("""COMPUTED_VALUE"""),735.0)</f>
        <v>735</v>
      </c>
      <c r="D609" s="2">
        <f>IFERROR(__xludf.DUMMYFUNCTION("""COMPUTED_VALUE"""),725.0)</f>
        <v>725</v>
      </c>
      <c r="E609" s="2">
        <f>IFERROR(__xludf.DUMMYFUNCTION("""COMPUTED_VALUE"""),735.0)</f>
        <v>735</v>
      </c>
      <c r="F609" s="2">
        <f>IFERROR(__xludf.DUMMYFUNCTION("""COMPUTED_VALUE"""),3016800.0)</f>
        <v>3016800</v>
      </c>
      <c r="G609" s="2">
        <f t="shared" si="1"/>
        <v>10</v>
      </c>
    </row>
    <row r="610" ht="15.75" customHeight="1">
      <c r="A610" s="1">
        <f>IFERROR(__xludf.DUMMYFUNCTION("""COMPUTED_VALUE"""),44748.66666666667)</f>
        <v>44748.66667</v>
      </c>
      <c r="B610" s="2">
        <f>IFERROR(__xludf.DUMMYFUNCTION("""COMPUTED_VALUE"""),735.0)</f>
        <v>735</v>
      </c>
      <c r="C610" s="2">
        <f>IFERROR(__xludf.DUMMYFUNCTION("""COMPUTED_VALUE"""),735.0)</f>
        <v>735</v>
      </c>
      <c r="D610" s="2">
        <f>IFERROR(__xludf.DUMMYFUNCTION("""COMPUTED_VALUE"""),720.0)</f>
        <v>720</v>
      </c>
      <c r="E610" s="2">
        <f>IFERROR(__xludf.DUMMYFUNCTION("""COMPUTED_VALUE"""),725.0)</f>
        <v>725</v>
      </c>
      <c r="F610" s="2">
        <f>IFERROR(__xludf.DUMMYFUNCTION("""COMPUTED_VALUE"""),1.47729E7)</f>
        <v>14772900</v>
      </c>
      <c r="G610" s="2">
        <f t="shared" si="1"/>
        <v>15</v>
      </c>
    </row>
    <row r="611" ht="15.75" customHeight="1">
      <c r="A611" s="1">
        <f>IFERROR(__xludf.DUMMYFUNCTION("""COMPUTED_VALUE"""),44749.66666666667)</f>
        <v>44749.66667</v>
      </c>
      <c r="B611" s="2">
        <f>IFERROR(__xludf.DUMMYFUNCTION("""COMPUTED_VALUE"""),730.0)</f>
        <v>730</v>
      </c>
      <c r="C611" s="2">
        <f>IFERROR(__xludf.DUMMYFUNCTION("""COMPUTED_VALUE"""),730.0)</f>
        <v>730</v>
      </c>
      <c r="D611" s="2">
        <f>IFERROR(__xludf.DUMMYFUNCTION("""COMPUTED_VALUE"""),715.0)</f>
        <v>715</v>
      </c>
      <c r="E611" s="2">
        <f>IFERROR(__xludf.DUMMYFUNCTION("""COMPUTED_VALUE"""),720.0)</f>
        <v>720</v>
      </c>
      <c r="F611" s="2">
        <f>IFERROR(__xludf.DUMMYFUNCTION("""COMPUTED_VALUE"""),5372000.0)</f>
        <v>5372000</v>
      </c>
      <c r="G611" s="2">
        <f t="shared" si="1"/>
        <v>15</v>
      </c>
    </row>
    <row r="612" ht="15.75" customHeight="1">
      <c r="A612" s="1">
        <f>IFERROR(__xludf.DUMMYFUNCTION("""COMPUTED_VALUE"""),44750.66666666667)</f>
        <v>44750.66667</v>
      </c>
      <c r="B612" s="2">
        <f>IFERROR(__xludf.DUMMYFUNCTION("""COMPUTED_VALUE"""),720.0)</f>
        <v>720</v>
      </c>
      <c r="C612" s="2">
        <f>IFERROR(__xludf.DUMMYFUNCTION("""COMPUTED_VALUE"""),730.0)</f>
        <v>730</v>
      </c>
      <c r="D612" s="2">
        <f>IFERROR(__xludf.DUMMYFUNCTION("""COMPUTED_VALUE"""),720.0)</f>
        <v>720</v>
      </c>
      <c r="E612" s="2">
        <f>IFERROR(__xludf.DUMMYFUNCTION("""COMPUTED_VALUE"""),720.0)</f>
        <v>720</v>
      </c>
      <c r="F612" s="2">
        <f>IFERROR(__xludf.DUMMYFUNCTION("""COMPUTED_VALUE"""),2721000.0)</f>
        <v>2721000</v>
      </c>
      <c r="G612" s="2">
        <f t="shared" si="1"/>
        <v>10</v>
      </c>
    </row>
    <row r="613" ht="15.75" customHeight="1">
      <c r="A613" s="1">
        <f>IFERROR(__xludf.DUMMYFUNCTION("""COMPUTED_VALUE"""),44753.66666666667)</f>
        <v>44753.66667</v>
      </c>
      <c r="B613" s="2">
        <f>IFERROR(__xludf.DUMMYFUNCTION("""COMPUTED_VALUE"""),720.0)</f>
        <v>720</v>
      </c>
      <c r="C613" s="2">
        <f>IFERROR(__xludf.DUMMYFUNCTION("""COMPUTED_VALUE"""),730.0)</f>
        <v>730</v>
      </c>
      <c r="D613" s="2">
        <f>IFERROR(__xludf.DUMMYFUNCTION("""COMPUTED_VALUE"""),720.0)</f>
        <v>720</v>
      </c>
      <c r="E613" s="2">
        <f>IFERROR(__xludf.DUMMYFUNCTION("""COMPUTED_VALUE"""),725.0)</f>
        <v>725</v>
      </c>
      <c r="F613" s="2">
        <f>IFERROR(__xludf.DUMMYFUNCTION("""COMPUTED_VALUE"""),886500.0)</f>
        <v>886500</v>
      </c>
      <c r="G613" s="2">
        <f t="shared" si="1"/>
        <v>10</v>
      </c>
    </row>
    <row r="614" ht="15.75" customHeight="1">
      <c r="A614" s="1">
        <f>IFERROR(__xludf.DUMMYFUNCTION("""COMPUTED_VALUE"""),44754.66666666667)</f>
        <v>44754.66667</v>
      </c>
      <c r="B614" s="2">
        <f>IFERROR(__xludf.DUMMYFUNCTION("""COMPUTED_VALUE"""),725.0)</f>
        <v>725</v>
      </c>
      <c r="C614" s="2">
        <f>IFERROR(__xludf.DUMMYFUNCTION("""COMPUTED_VALUE"""),730.0)</f>
        <v>730</v>
      </c>
      <c r="D614" s="2">
        <f>IFERROR(__xludf.DUMMYFUNCTION("""COMPUTED_VALUE"""),720.0)</f>
        <v>720</v>
      </c>
      <c r="E614" s="2">
        <f>IFERROR(__xludf.DUMMYFUNCTION("""COMPUTED_VALUE"""),730.0)</f>
        <v>730</v>
      </c>
      <c r="F614" s="2">
        <f>IFERROR(__xludf.DUMMYFUNCTION("""COMPUTED_VALUE"""),607700.0)</f>
        <v>607700</v>
      </c>
      <c r="G614" s="2">
        <f t="shared" si="1"/>
        <v>10</v>
      </c>
    </row>
    <row r="615" ht="15.75" customHeight="1">
      <c r="A615" s="1">
        <f>IFERROR(__xludf.DUMMYFUNCTION("""COMPUTED_VALUE"""),44755.66666666667)</f>
        <v>44755.66667</v>
      </c>
      <c r="B615" s="2">
        <f>IFERROR(__xludf.DUMMYFUNCTION("""COMPUTED_VALUE"""),730.0)</f>
        <v>730</v>
      </c>
      <c r="C615" s="2">
        <f>IFERROR(__xludf.DUMMYFUNCTION("""COMPUTED_VALUE"""),730.0)</f>
        <v>730</v>
      </c>
      <c r="D615" s="2">
        <f>IFERROR(__xludf.DUMMYFUNCTION("""COMPUTED_VALUE"""),720.0)</f>
        <v>720</v>
      </c>
      <c r="E615" s="2">
        <f>IFERROR(__xludf.DUMMYFUNCTION("""COMPUTED_VALUE"""),730.0)</f>
        <v>730</v>
      </c>
      <c r="F615" s="2">
        <f>IFERROR(__xludf.DUMMYFUNCTION("""COMPUTED_VALUE"""),1839700.0)</f>
        <v>1839700</v>
      </c>
      <c r="G615" s="2">
        <f t="shared" si="1"/>
        <v>10</v>
      </c>
    </row>
    <row r="616" ht="15.75" customHeight="1">
      <c r="A616" s="1">
        <f>IFERROR(__xludf.DUMMYFUNCTION("""COMPUTED_VALUE"""),44756.66666666667)</f>
        <v>44756.66667</v>
      </c>
      <c r="B616" s="2">
        <f>IFERROR(__xludf.DUMMYFUNCTION("""COMPUTED_VALUE"""),725.0)</f>
        <v>725</v>
      </c>
      <c r="C616" s="2">
        <f>IFERROR(__xludf.DUMMYFUNCTION("""COMPUTED_VALUE"""),730.0)</f>
        <v>730</v>
      </c>
      <c r="D616" s="2">
        <f>IFERROR(__xludf.DUMMYFUNCTION("""COMPUTED_VALUE"""),720.0)</f>
        <v>720</v>
      </c>
      <c r="E616" s="2">
        <f>IFERROR(__xludf.DUMMYFUNCTION("""COMPUTED_VALUE"""),725.0)</f>
        <v>725</v>
      </c>
      <c r="F616" s="2">
        <f>IFERROR(__xludf.DUMMYFUNCTION("""COMPUTED_VALUE"""),1553900.0)</f>
        <v>1553900</v>
      </c>
      <c r="G616" s="2">
        <f t="shared" si="1"/>
        <v>10</v>
      </c>
    </row>
    <row r="617" ht="15.75" customHeight="1">
      <c r="A617" s="1">
        <f>IFERROR(__xludf.DUMMYFUNCTION("""COMPUTED_VALUE"""),44757.66666666667)</f>
        <v>44757.66667</v>
      </c>
      <c r="B617" s="2">
        <f>IFERROR(__xludf.DUMMYFUNCTION("""COMPUTED_VALUE"""),725.0)</f>
        <v>725</v>
      </c>
      <c r="C617" s="2">
        <f>IFERROR(__xludf.DUMMYFUNCTION("""COMPUTED_VALUE"""),725.0)</f>
        <v>725</v>
      </c>
      <c r="D617" s="2">
        <f>IFERROR(__xludf.DUMMYFUNCTION("""COMPUTED_VALUE"""),715.0)</f>
        <v>715</v>
      </c>
      <c r="E617" s="2">
        <f>IFERROR(__xludf.DUMMYFUNCTION("""COMPUTED_VALUE"""),720.0)</f>
        <v>720</v>
      </c>
      <c r="F617" s="2">
        <f>IFERROR(__xludf.DUMMYFUNCTION("""COMPUTED_VALUE"""),4173800.0)</f>
        <v>4173800</v>
      </c>
      <c r="G617" s="2">
        <f t="shared" si="1"/>
        <v>10</v>
      </c>
    </row>
    <row r="618" ht="15.75" customHeight="1">
      <c r="A618" s="1">
        <f>IFERROR(__xludf.DUMMYFUNCTION("""COMPUTED_VALUE"""),44760.66666666667)</f>
        <v>44760.66667</v>
      </c>
      <c r="B618" s="2">
        <f>IFERROR(__xludf.DUMMYFUNCTION("""COMPUTED_VALUE"""),720.0)</f>
        <v>720</v>
      </c>
      <c r="C618" s="2">
        <f>IFERROR(__xludf.DUMMYFUNCTION("""COMPUTED_VALUE"""),725.0)</f>
        <v>725</v>
      </c>
      <c r="D618" s="2">
        <f>IFERROR(__xludf.DUMMYFUNCTION("""COMPUTED_VALUE"""),715.0)</f>
        <v>715</v>
      </c>
      <c r="E618" s="2">
        <f>IFERROR(__xludf.DUMMYFUNCTION("""COMPUTED_VALUE"""),720.0)</f>
        <v>720</v>
      </c>
      <c r="F618" s="2">
        <f>IFERROR(__xludf.DUMMYFUNCTION("""COMPUTED_VALUE"""),3884100.0)</f>
        <v>3884100</v>
      </c>
      <c r="G618" s="2">
        <f t="shared" si="1"/>
        <v>10</v>
      </c>
    </row>
    <row r="619" ht="15.75" customHeight="1">
      <c r="A619" s="1">
        <f>IFERROR(__xludf.DUMMYFUNCTION("""COMPUTED_VALUE"""),44761.66666666667)</f>
        <v>44761.66667</v>
      </c>
      <c r="B619" s="2">
        <f>IFERROR(__xludf.DUMMYFUNCTION("""COMPUTED_VALUE"""),720.0)</f>
        <v>720</v>
      </c>
      <c r="C619" s="2">
        <f>IFERROR(__xludf.DUMMYFUNCTION("""COMPUTED_VALUE"""),720.0)</f>
        <v>720</v>
      </c>
      <c r="D619" s="2">
        <f>IFERROR(__xludf.DUMMYFUNCTION("""COMPUTED_VALUE"""),715.0)</f>
        <v>715</v>
      </c>
      <c r="E619" s="2">
        <f>IFERROR(__xludf.DUMMYFUNCTION("""COMPUTED_VALUE"""),715.0)</f>
        <v>715</v>
      </c>
      <c r="F619" s="2">
        <f>IFERROR(__xludf.DUMMYFUNCTION("""COMPUTED_VALUE"""),2003000.0)</f>
        <v>2003000</v>
      </c>
      <c r="G619" s="2">
        <f t="shared" si="1"/>
        <v>5</v>
      </c>
    </row>
    <row r="620" ht="15.75" customHeight="1">
      <c r="A620" s="1">
        <f>IFERROR(__xludf.DUMMYFUNCTION("""COMPUTED_VALUE"""),44762.66666666667)</f>
        <v>44762.66667</v>
      </c>
      <c r="B620" s="2">
        <f>IFERROR(__xludf.DUMMYFUNCTION("""COMPUTED_VALUE"""),725.0)</f>
        <v>725</v>
      </c>
      <c r="C620" s="2">
        <f>IFERROR(__xludf.DUMMYFUNCTION("""COMPUTED_VALUE"""),725.0)</f>
        <v>725</v>
      </c>
      <c r="D620" s="2">
        <f>IFERROR(__xludf.DUMMYFUNCTION("""COMPUTED_VALUE"""),715.0)</f>
        <v>715</v>
      </c>
      <c r="E620" s="2">
        <f>IFERROR(__xludf.DUMMYFUNCTION("""COMPUTED_VALUE"""),720.0)</f>
        <v>720</v>
      </c>
      <c r="F620" s="2">
        <f>IFERROR(__xludf.DUMMYFUNCTION("""COMPUTED_VALUE"""),7136300.0)</f>
        <v>7136300</v>
      </c>
      <c r="G620" s="2">
        <f t="shared" si="1"/>
        <v>10</v>
      </c>
    </row>
    <row r="621" ht="15.75" customHeight="1">
      <c r="A621" s="1">
        <f>IFERROR(__xludf.DUMMYFUNCTION("""COMPUTED_VALUE"""),44763.66666666667)</f>
        <v>44763.66667</v>
      </c>
      <c r="B621" s="2">
        <f>IFERROR(__xludf.DUMMYFUNCTION("""COMPUTED_VALUE"""),720.0)</f>
        <v>720</v>
      </c>
      <c r="C621" s="2">
        <f>IFERROR(__xludf.DUMMYFUNCTION("""COMPUTED_VALUE"""),725.0)</f>
        <v>725</v>
      </c>
      <c r="D621" s="2">
        <f>IFERROR(__xludf.DUMMYFUNCTION("""COMPUTED_VALUE"""),715.0)</f>
        <v>715</v>
      </c>
      <c r="E621" s="2">
        <f>IFERROR(__xludf.DUMMYFUNCTION("""COMPUTED_VALUE"""),720.0)</f>
        <v>720</v>
      </c>
      <c r="F621" s="2">
        <f>IFERROR(__xludf.DUMMYFUNCTION("""COMPUTED_VALUE"""),2760000.0)</f>
        <v>2760000</v>
      </c>
      <c r="G621" s="2">
        <f t="shared" si="1"/>
        <v>10</v>
      </c>
    </row>
    <row r="622" ht="15.75" customHeight="1">
      <c r="A622" s="1">
        <f>IFERROR(__xludf.DUMMYFUNCTION("""COMPUTED_VALUE"""),44764.66666666667)</f>
        <v>44764.66667</v>
      </c>
      <c r="B622" s="2">
        <f>IFERROR(__xludf.DUMMYFUNCTION("""COMPUTED_VALUE"""),720.0)</f>
        <v>720</v>
      </c>
      <c r="C622" s="2">
        <f>IFERROR(__xludf.DUMMYFUNCTION("""COMPUTED_VALUE"""),720.0)</f>
        <v>720</v>
      </c>
      <c r="D622" s="2">
        <f>IFERROR(__xludf.DUMMYFUNCTION("""COMPUTED_VALUE"""),715.0)</f>
        <v>715</v>
      </c>
      <c r="E622" s="2">
        <f>IFERROR(__xludf.DUMMYFUNCTION("""COMPUTED_VALUE"""),715.0)</f>
        <v>715</v>
      </c>
      <c r="F622" s="2">
        <f>IFERROR(__xludf.DUMMYFUNCTION("""COMPUTED_VALUE"""),3758900.0)</f>
        <v>3758900</v>
      </c>
      <c r="G622" s="2">
        <f t="shared" si="1"/>
        <v>5</v>
      </c>
    </row>
    <row r="623" ht="15.75" customHeight="1">
      <c r="A623" s="1">
        <f>IFERROR(__xludf.DUMMYFUNCTION("""COMPUTED_VALUE"""),44767.66666666667)</f>
        <v>44767.66667</v>
      </c>
      <c r="B623" s="2">
        <f>IFERROR(__xludf.DUMMYFUNCTION("""COMPUTED_VALUE"""),720.0)</f>
        <v>720</v>
      </c>
      <c r="C623" s="2">
        <f>IFERROR(__xludf.DUMMYFUNCTION("""COMPUTED_VALUE"""),725.0)</f>
        <v>725</v>
      </c>
      <c r="D623" s="2">
        <f>IFERROR(__xludf.DUMMYFUNCTION("""COMPUTED_VALUE"""),715.0)</f>
        <v>715</v>
      </c>
      <c r="E623" s="2">
        <f>IFERROR(__xludf.DUMMYFUNCTION("""COMPUTED_VALUE"""),715.0)</f>
        <v>715</v>
      </c>
      <c r="F623" s="2">
        <f>IFERROR(__xludf.DUMMYFUNCTION("""COMPUTED_VALUE"""),8321700.0)</f>
        <v>8321700</v>
      </c>
      <c r="G623" s="2">
        <f t="shared" si="1"/>
        <v>10</v>
      </c>
    </row>
    <row r="624" ht="15.75" customHeight="1">
      <c r="A624" s="1">
        <f>IFERROR(__xludf.DUMMYFUNCTION("""COMPUTED_VALUE"""),44768.66666666667)</f>
        <v>44768.66667</v>
      </c>
      <c r="B624" s="2">
        <f>IFERROR(__xludf.DUMMYFUNCTION("""COMPUTED_VALUE"""),720.0)</f>
        <v>720</v>
      </c>
      <c r="C624" s="2">
        <f>IFERROR(__xludf.DUMMYFUNCTION("""COMPUTED_VALUE"""),720.0)</f>
        <v>720</v>
      </c>
      <c r="D624" s="2">
        <f>IFERROR(__xludf.DUMMYFUNCTION("""COMPUTED_VALUE"""),710.0)</f>
        <v>710</v>
      </c>
      <c r="E624" s="2">
        <f>IFERROR(__xludf.DUMMYFUNCTION("""COMPUTED_VALUE"""),715.0)</f>
        <v>715</v>
      </c>
      <c r="F624" s="2">
        <f>IFERROR(__xludf.DUMMYFUNCTION("""COMPUTED_VALUE"""),8337800.0)</f>
        <v>8337800</v>
      </c>
      <c r="G624" s="2">
        <f t="shared" si="1"/>
        <v>10</v>
      </c>
    </row>
    <row r="625" ht="15.75" customHeight="1">
      <c r="A625" s="1">
        <f>IFERROR(__xludf.DUMMYFUNCTION("""COMPUTED_VALUE"""),44769.66666666667)</f>
        <v>44769.66667</v>
      </c>
      <c r="B625" s="2">
        <f>IFERROR(__xludf.DUMMYFUNCTION("""COMPUTED_VALUE"""),715.0)</f>
        <v>715</v>
      </c>
      <c r="C625" s="2">
        <f>IFERROR(__xludf.DUMMYFUNCTION("""COMPUTED_VALUE"""),715.0)</f>
        <v>715</v>
      </c>
      <c r="D625" s="2">
        <f>IFERROR(__xludf.DUMMYFUNCTION("""COMPUTED_VALUE"""),710.0)</f>
        <v>710</v>
      </c>
      <c r="E625" s="2">
        <f>IFERROR(__xludf.DUMMYFUNCTION("""COMPUTED_VALUE"""),715.0)</f>
        <v>715</v>
      </c>
      <c r="F625" s="2">
        <f>IFERROR(__xludf.DUMMYFUNCTION("""COMPUTED_VALUE"""),8140800.0)</f>
        <v>8140800</v>
      </c>
      <c r="G625" s="2">
        <f t="shared" si="1"/>
        <v>5</v>
      </c>
    </row>
    <row r="626" ht="15.75" customHeight="1">
      <c r="A626" s="1">
        <f>IFERROR(__xludf.DUMMYFUNCTION("""COMPUTED_VALUE"""),44770.66666666667)</f>
        <v>44770.66667</v>
      </c>
      <c r="B626" s="2">
        <f>IFERROR(__xludf.DUMMYFUNCTION("""COMPUTED_VALUE"""),715.0)</f>
        <v>715</v>
      </c>
      <c r="C626" s="2">
        <f>IFERROR(__xludf.DUMMYFUNCTION("""COMPUTED_VALUE"""),725.0)</f>
        <v>725</v>
      </c>
      <c r="D626" s="2">
        <f>IFERROR(__xludf.DUMMYFUNCTION("""COMPUTED_VALUE"""),715.0)</f>
        <v>715</v>
      </c>
      <c r="E626" s="2">
        <f>IFERROR(__xludf.DUMMYFUNCTION("""COMPUTED_VALUE"""),715.0)</f>
        <v>715</v>
      </c>
      <c r="F626" s="2">
        <f>IFERROR(__xludf.DUMMYFUNCTION("""COMPUTED_VALUE"""),8583000.0)</f>
        <v>8583000</v>
      </c>
      <c r="G626" s="2">
        <f t="shared" si="1"/>
        <v>10</v>
      </c>
    </row>
    <row r="627" ht="15.75" customHeight="1">
      <c r="A627" s="1">
        <f>IFERROR(__xludf.DUMMYFUNCTION("""COMPUTED_VALUE"""),44771.66666666667)</f>
        <v>44771.66667</v>
      </c>
      <c r="B627" s="2">
        <f>IFERROR(__xludf.DUMMYFUNCTION("""COMPUTED_VALUE"""),720.0)</f>
        <v>720</v>
      </c>
      <c r="C627" s="2">
        <f>IFERROR(__xludf.DUMMYFUNCTION("""COMPUTED_VALUE"""),720.0)</f>
        <v>720</v>
      </c>
      <c r="D627" s="2">
        <f>IFERROR(__xludf.DUMMYFUNCTION("""COMPUTED_VALUE"""),710.0)</f>
        <v>710</v>
      </c>
      <c r="E627" s="2">
        <f>IFERROR(__xludf.DUMMYFUNCTION("""COMPUTED_VALUE"""),710.0)</f>
        <v>710</v>
      </c>
      <c r="F627" s="2">
        <f>IFERROR(__xludf.DUMMYFUNCTION("""COMPUTED_VALUE"""),9628300.0)</f>
        <v>9628300</v>
      </c>
      <c r="G627" s="2">
        <f t="shared" si="1"/>
        <v>10</v>
      </c>
    </row>
    <row r="628" ht="15.75" customHeight="1">
      <c r="A628" s="1">
        <f>IFERROR(__xludf.DUMMYFUNCTION("""COMPUTED_VALUE"""),44774.66666666667)</f>
        <v>44774.66667</v>
      </c>
      <c r="B628" s="2">
        <f>IFERROR(__xludf.DUMMYFUNCTION("""COMPUTED_VALUE"""),710.0)</f>
        <v>710</v>
      </c>
      <c r="C628" s="2">
        <f>IFERROR(__xludf.DUMMYFUNCTION("""COMPUTED_VALUE"""),720.0)</f>
        <v>720</v>
      </c>
      <c r="D628" s="2">
        <f>IFERROR(__xludf.DUMMYFUNCTION("""COMPUTED_VALUE"""),710.0)</f>
        <v>710</v>
      </c>
      <c r="E628" s="2">
        <f>IFERROR(__xludf.DUMMYFUNCTION("""COMPUTED_VALUE"""),715.0)</f>
        <v>715</v>
      </c>
      <c r="F628" s="2">
        <f>IFERROR(__xludf.DUMMYFUNCTION("""COMPUTED_VALUE"""),8644600.0)</f>
        <v>8644600</v>
      </c>
      <c r="G628" s="2">
        <f t="shared" si="1"/>
        <v>10</v>
      </c>
    </row>
    <row r="629" ht="15.75" customHeight="1">
      <c r="A629" s="1">
        <f>IFERROR(__xludf.DUMMYFUNCTION("""COMPUTED_VALUE"""),44775.66666666667)</f>
        <v>44775.66667</v>
      </c>
      <c r="B629" s="2">
        <f>IFERROR(__xludf.DUMMYFUNCTION("""COMPUTED_VALUE"""),715.0)</f>
        <v>715</v>
      </c>
      <c r="C629" s="2">
        <f>IFERROR(__xludf.DUMMYFUNCTION("""COMPUTED_VALUE"""),715.0)</f>
        <v>715</v>
      </c>
      <c r="D629" s="2">
        <f>IFERROR(__xludf.DUMMYFUNCTION("""COMPUTED_VALUE"""),710.0)</f>
        <v>710</v>
      </c>
      <c r="E629" s="2">
        <f>IFERROR(__xludf.DUMMYFUNCTION("""COMPUTED_VALUE"""),710.0)</f>
        <v>710</v>
      </c>
      <c r="F629" s="2">
        <f>IFERROR(__xludf.DUMMYFUNCTION("""COMPUTED_VALUE"""),3317500.0)</f>
        <v>3317500</v>
      </c>
      <c r="G629" s="2">
        <f t="shared" si="1"/>
        <v>5</v>
      </c>
    </row>
    <row r="630" ht="15.75" customHeight="1">
      <c r="A630" s="1">
        <f>IFERROR(__xludf.DUMMYFUNCTION("""COMPUTED_VALUE"""),44776.66666666667)</f>
        <v>44776.66667</v>
      </c>
      <c r="B630" s="2">
        <f>IFERROR(__xludf.DUMMYFUNCTION("""COMPUTED_VALUE"""),710.0)</f>
        <v>710</v>
      </c>
      <c r="C630" s="2">
        <f>IFERROR(__xludf.DUMMYFUNCTION("""COMPUTED_VALUE"""),715.0)</f>
        <v>715</v>
      </c>
      <c r="D630" s="2">
        <f>IFERROR(__xludf.DUMMYFUNCTION("""COMPUTED_VALUE"""),710.0)</f>
        <v>710</v>
      </c>
      <c r="E630" s="2">
        <f>IFERROR(__xludf.DUMMYFUNCTION("""COMPUTED_VALUE"""),715.0)</f>
        <v>715</v>
      </c>
      <c r="F630" s="2">
        <f>IFERROR(__xludf.DUMMYFUNCTION("""COMPUTED_VALUE"""),4249900.0)</f>
        <v>4249900</v>
      </c>
      <c r="G630" s="2">
        <f t="shared" si="1"/>
        <v>5</v>
      </c>
    </row>
    <row r="631" ht="15.75" customHeight="1">
      <c r="A631" s="1">
        <f>IFERROR(__xludf.DUMMYFUNCTION("""COMPUTED_VALUE"""),44777.66666666667)</f>
        <v>44777.66667</v>
      </c>
      <c r="B631" s="2">
        <f>IFERROR(__xludf.DUMMYFUNCTION("""COMPUTED_VALUE"""),715.0)</f>
        <v>715</v>
      </c>
      <c r="C631" s="2">
        <f>IFERROR(__xludf.DUMMYFUNCTION("""COMPUTED_VALUE"""),715.0)</f>
        <v>715</v>
      </c>
      <c r="D631" s="2">
        <f>IFERROR(__xludf.DUMMYFUNCTION("""COMPUTED_VALUE"""),710.0)</f>
        <v>710</v>
      </c>
      <c r="E631" s="2">
        <f>IFERROR(__xludf.DUMMYFUNCTION("""COMPUTED_VALUE"""),715.0)</f>
        <v>715</v>
      </c>
      <c r="F631" s="2">
        <f>IFERROR(__xludf.DUMMYFUNCTION("""COMPUTED_VALUE"""),4439900.0)</f>
        <v>4439900</v>
      </c>
      <c r="G631" s="2">
        <f t="shared" si="1"/>
        <v>5</v>
      </c>
    </row>
    <row r="632" ht="15.75" customHeight="1">
      <c r="A632" s="1">
        <f>IFERROR(__xludf.DUMMYFUNCTION("""COMPUTED_VALUE"""),44778.66666666667)</f>
        <v>44778.66667</v>
      </c>
      <c r="B632" s="2">
        <f>IFERROR(__xludf.DUMMYFUNCTION("""COMPUTED_VALUE"""),715.0)</f>
        <v>715</v>
      </c>
      <c r="C632" s="2">
        <f>IFERROR(__xludf.DUMMYFUNCTION("""COMPUTED_VALUE"""),720.0)</f>
        <v>720</v>
      </c>
      <c r="D632" s="2">
        <f>IFERROR(__xludf.DUMMYFUNCTION("""COMPUTED_VALUE"""),710.0)</f>
        <v>710</v>
      </c>
      <c r="E632" s="2">
        <f>IFERROR(__xludf.DUMMYFUNCTION("""COMPUTED_VALUE"""),715.0)</f>
        <v>715</v>
      </c>
      <c r="F632" s="2">
        <f>IFERROR(__xludf.DUMMYFUNCTION("""COMPUTED_VALUE"""),6997600.0)</f>
        <v>6997600</v>
      </c>
      <c r="G632" s="2">
        <f t="shared" si="1"/>
        <v>10</v>
      </c>
    </row>
    <row r="633" ht="15.75" customHeight="1">
      <c r="A633" s="1">
        <f>IFERROR(__xludf.DUMMYFUNCTION("""COMPUTED_VALUE"""),44781.66666666667)</f>
        <v>44781.66667</v>
      </c>
      <c r="B633" s="2">
        <f>IFERROR(__xludf.DUMMYFUNCTION("""COMPUTED_VALUE"""),715.0)</f>
        <v>715</v>
      </c>
      <c r="C633" s="2">
        <f>IFERROR(__xludf.DUMMYFUNCTION("""COMPUTED_VALUE"""),720.0)</f>
        <v>720</v>
      </c>
      <c r="D633" s="2">
        <f>IFERROR(__xludf.DUMMYFUNCTION("""COMPUTED_VALUE"""),710.0)</f>
        <v>710</v>
      </c>
      <c r="E633" s="2">
        <f>IFERROR(__xludf.DUMMYFUNCTION("""COMPUTED_VALUE"""),720.0)</f>
        <v>720</v>
      </c>
      <c r="F633" s="2">
        <f>IFERROR(__xludf.DUMMYFUNCTION("""COMPUTED_VALUE"""),7447100.0)</f>
        <v>7447100</v>
      </c>
      <c r="G633" s="2">
        <f t="shared" si="1"/>
        <v>10</v>
      </c>
    </row>
    <row r="634" ht="15.75" customHeight="1">
      <c r="A634" s="1">
        <f>IFERROR(__xludf.DUMMYFUNCTION("""COMPUTED_VALUE"""),44782.66666666667)</f>
        <v>44782.66667</v>
      </c>
      <c r="B634" s="2">
        <f>IFERROR(__xludf.DUMMYFUNCTION("""COMPUTED_VALUE"""),720.0)</f>
        <v>720</v>
      </c>
      <c r="C634" s="2">
        <f>IFERROR(__xludf.DUMMYFUNCTION("""COMPUTED_VALUE"""),725.0)</f>
        <v>725</v>
      </c>
      <c r="D634" s="2">
        <f>IFERROR(__xludf.DUMMYFUNCTION("""COMPUTED_VALUE"""),715.0)</f>
        <v>715</v>
      </c>
      <c r="E634" s="2">
        <f>IFERROR(__xludf.DUMMYFUNCTION("""COMPUTED_VALUE"""),725.0)</f>
        <v>725</v>
      </c>
      <c r="F634" s="2">
        <f>IFERROR(__xludf.DUMMYFUNCTION("""COMPUTED_VALUE"""),2709400.0)</f>
        <v>2709400</v>
      </c>
      <c r="G634" s="2">
        <f t="shared" si="1"/>
        <v>10</v>
      </c>
    </row>
    <row r="635" ht="15.75" customHeight="1">
      <c r="A635" s="1">
        <f>IFERROR(__xludf.DUMMYFUNCTION("""COMPUTED_VALUE"""),44783.66666666667)</f>
        <v>44783.66667</v>
      </c>
      <c r="B635" s="2">
        <f>IFERROR(__xludf.DUMMYFUNCTION("""COMPUTED_VALUE"""),725.0)</f>
        <v>725</v>
      </c>
      <c r="C635" s="2">
        <f>IFERROR(__xludf.DUMMYFUNCTION("""COMPUTED_VALUE"""),725.0)</f>
        <v>725</v>
      </c>
      <c r="D635" s="2">
        <f>IFERROR(__xludf.DUMMYFUNCTION("""COMPUTED_VALUE"""),715.0)</f>
        <v>715</v>
      </c>
      <c r="E635" s="2">
        <f>IFERROR(__xludf.DUMMYFUNCTION("""COMPUTED_VALUE"""),715.0)</f>
        <v>715</v>
      </c>
      <c r="F635" s="2">
        <f>IFERROR(__xludf.DUMMYFUNCTION("""COMPUTED_VALUE"""),3510400.0)</f>
        <v>3510400</v>
      </c>
      <c r="G635" s="2">
        <f t="shared" si="1"/>
        <v>10</v>
      </c>
    </row>
    <row r="636" ht="15.75" customHeight="1">
      <c r="A636" s="1">
        <f>IFERROR(__xludf.DUMMYFUNCTION("""COMPUTED_VALUE"""),44784.66666666667)</f>
        <v>44784.66667</v>
      </c>
      <c r="B636" s="2">
        <f>IFERROR(__xludf.DUMMYFUNCTION("""COMPUTED_VALUE"""),720.0)</f>
        <v>720</v>
      </c>
      <c r="C636" s="2">
        <f>IFERROR(__xludf.DUMMYFUNCTION("""COMPUTED_VALUE"""),725.0)</f>
        <v>725</v>
      </c>
      <c r="D636" s="2">
        <f>IFERROR(__xludf.DUMMYFUNCTION("""COMPUTED_VALUE"""),715.0)</f>
        <v>715</v>
      </c>
      <c r="E636" s="2">
        <f>IFERROR(__xludf.DUMMYFUNCTION("""COMPUTED_VALUE"""),720.0)</f>
        <v>720</v>
      </c>
      <c r="F636" s="2">
        <f>IFERROR(__xludf.DUMMYFUNCTION("""COMPUTED_VALUE"""),5402100.0)</f>
        <v>5402100</v>
      </c>
      <c r="G636" s="2">
        <f t="shared" si="1"/>
        <v>10</v>
      </c>
    </row>
    <row r="637" ht="15.75" customHeight="1">
      <c r="A637" s="1">
        <f>IFERROR(__xludf.DUMMYFUNCTION("""COMPUTED_VALUE"""),44785.66666666667)</f>
        <v>44785.66667</v>
      </c>
      <c r="B637" s="2">
        <f>IFERROR(__xludf.DUMMYFUNCTION("""COMPUTED_VALUE"""),720.0)</f>
        <v>720</v>
      </c>
      <c r="C637" s="2">
        <f>IFERROR(__xludf.DUMMYFUNCTION("""COMPUTED_VALUE"""),725.0)</f>
        <v>725</v>
      </c>
      <c r="D637" s="2">
        <f>IFERROR(__xludf.DUMMYFUNCTION("""COMPUTED_VALUE"""),715.0)</f>
        <v>715</v>
      </c>
      <c r="E637" s="2">
        <f>IFERROR(__xludf.DUMMYFUNCTION("""COMPUTED_VALUE"""),720.0)</f>
        <v>720</v>
      </c>
      <c r="F637" s="2">
        <f>IFERROR(__xludf.DUMMYFUNCTION("""COMPUTED_VALUE"""),5302000.0)</f>
        <v>5302000</v>
      </c>
      <c r="G637" s="2">
        <f t="shared" si="1"/>
        <v>10</v>
      </c>
    </row>
    <row r="638" ht="15.75" customHeight="1">
      <c r="A638" s="1">
        <f>IFERROR(__xludf.DUMMYFUNCTION("""COMPUTED_VALUE"""),44788.66666666667)</f>
        <v>44788.66667</v>
      </c>
      <c r="B638" s="2">
        <f>IFERROR(__xludf.DUMMYFUNCTION("""COMPUTED_VALUE"""),720.0)</f>
        <v>720</v>
      </c>
      <c r="C638" s="2">
        <f>IFERROR(__xludf.DUMMYFUNCTION("""COMPUTED_VALUE"""),730.0)</f>
        <v>730</v>
      </c>
      <c r="D638" s="2">
        <f>IFERROR(__xludf.DUMMYFUNCTION("""COMPUTED_VALUE"""),720.0)</f>
        <v>720</v>
      </c>
      <c r="E638" s="2">
        <f>IFERROR(__xludf.DUMMYFUNCTION("""COMPUTED_VALUE"""),725.0)</f>
        <v>725</v>
      </c>
      <c r="F638" s="2">
        <f>IFERROR(__xludf.DUMMYFUNCTION("""COMPUTED_VALUE"""),6679600.0)</f>
        <v>6679600</v>
      </c>
      <c r="G638" s="2">
        <f t="shared" si="1"/>
        <v>10</v>
      </c>
    </row>
    <row r="639" ht="15.75" customHeight="1">
      <c r="A639" s="1">
        <f>IFERROR(__xludf.DUMMYFUNCTION("""COMPUTED_VALUE"""),44789.66666666667)</f>
        <v>44789.66667</v>
      </c>
      <c r="B639" s="2">
        <f>IFERROR(__xludf.DUMMYFUNCTION("""COMPUTED_VALUE"""),725.0)</f>
        <v>725</v>
      </c>
      <c r="C639" s="2">
        <f>IFERROR(__xludf.DUMMYFUNCTION("""COMPUTED_VALUE"""),730.0)</f>
        <v>730</v>
      </c>
      <c r="D639" s="2">
        <f>IFERROR(__xludf.DUMMYFUNCTION("""COMPUTED_VALUE"""),725.0)</f>
        <v>725</v>
      </c>
      <c r="E639" s="2">
        <f>IFERROR(__xludf.DUMMYFUNCTION("""COMPUTED_VALUE"""),725.0)</f>
        <v>725</v>
      </c>
      <c r="F639" s="2">
        <f>IFERROR(__xludf.DUMMYFUNCTION("""COMPUTED_VALUE"""),2325800.0)</f>
        <v>2325800</v>
      </c>
      <c r="G639" s="2">
        <f t="shared" si="1"/>
        <v>5</v>
      </c>
    </row>
    <row r="640" ht="15.75" customHeight="1">
      <c r="A640" s="1">
        <f>IFERROR(__xludf.DUMMYFUNCTION("""COMPUTED_VALUE"""),44791.66666666667)</f>
        <v>44791.66667</v>
      </c>
      <c r="B640" s="2">
        <f>IFERROR(__xludf.DUMMYFUNCTION("""COMPUTED_VALUE"""),725.0)</f>
        <v>725</v>
      </c>
      <c r="C640" s="2">
        <f>IFERROR(__xludf.DUMMYFUNCTION("""COMPUTED_VALUE"""),730.0)</f>
        <v>730</v>
      </c>
      <c r="D640" s="2">
        <f>IFERROR(__xludf.DUMMYFUNCTION("""COMPUTED_VALUE"""),720.0)</f>
        <v>720</v>
      </c>
      <c r="E640" s="2">
        <f>IFERROR(__xludf.DUMMYFUNCTION("""COMPUTED_VALUE"""),725.0)</f>
        <v>725</v>
      </c>
      <c r="F640" s="2">
        <f>IFERROR(__xludf.DUMMYFUNCTION("""COMPUTED_VALUE"""),2895800.0)</f>
        <v>2895800</v>
      </c>
      <c r="G640" s="2">
        <f t="shared" si="1"/>
        <v>10</v>
      </c>
    </row>
    <row r="641" ht="15.75" customHeight="1">
      <c r="A641" s="1">
        <f>IFERROR(__xludf.DUMMYFUNCTION("""COMPUTED_VALUE"""),44792.66666666667)</f>
        <v>44792.66667</v>
      </c>
      <c r="B641" s="2">
        <f>IFERROR(__xludf.DUMMYFUNCTION("""COMPUTED_VALUE"""),725.0)</f>
        <v>725</v>
      </c>
      <c r="C641" s="2">
        <f>IFERROR(__xludf.DUMMYFUNCTION("""COMPUTED_VALUE"""),725.0)</f>
        <v>725</v>
      </c>
      <c r="D641" s="2">
        <f>IFERROR(__xludf.DUMMYFUNCTION("""COMPUTED_VALUE"""),720.0)</f>
        <v>720</v>
      </c>
      <c r="E641" s="2">
        <f>IFERROR(__xludf.DUMMYFUNCTION("""COMPUTED_VALUE"""),725.0)</f>
        <v>725</v>
      </c>
      <c r="F641" s="2">
        <f>IFERROR(__xludf.DUMMYFUNCTION("""COMPUTED_VALUE"""),3851000.0)</f>
        <v>3851000</v>
      </c>
      <c r="G641" s="2">
        <f t="shared" si="1"/>
        <v>5</v>
      </c>
    </row>
    <row r="642" ht="15.75" customHeight="1">
      <c r="A642" s="1">
        <f>IFERROR(__xludf.DUMMYFUNCTION("""COMPUTED_VALUE"""),44795.66666666667)</f>
        <v>44795.66667</v>
      </c>
      <c r="B642" s="2">
        <f>IFERROR(__xludf.DUMMYFUNCTION("""COMPUTED_VALUE"""),725.0)</f>
        <v>725</v>
      </c>
      <c r="C642" s="2">
        <f>IFERROR(__xludf.DUMMYFUNCTION("""COMPUTED_VALUE"""),725.0)</f>
        <v>725</v>
      </c>
      <c r="D642" s="2">
        <f>IFERROR(__xludf.DUMMYFUNCTION("""COMPUTED_VALUE"""),720.0)</f>
        <v>720</v>
      </c>
      <c r="E642" s="2">
        <f>IFERROR(__xludf.DUMMYFUNCTION("""COMPUTED_VALUE"""),720.0)</f>
        <v>720</v>
      </c>
      <c r="F642" s="2">
        <f>IFERROR(__xludf.DUMMYFUNCTION("""COMPUTED_VALUE"""),3271200.0)</f>
        <v>3271200</v>
      </c>
      <c r="G642" s="2">
        <f t="shared" si="1"/>
        <v>5</v>
      </c>
    </row>
    <row r="643" ht="15.75" customHeight="1">
      <c r="A643" s="1">
        <f>IFERROR(__xludf.DUMMYFUNCTION("""COMPUTED_VALUE"""),44796.66666666667)</f>
        <v>44796.66667</v>
      </c>
      <c r="B643" s="2">
        <f>IFERROR(__xludf.DUMMYFUNCTION("""COMPUTED_VALUE"""),720.0)</f>
        <v>720</v>
      </c>
      <c r="C643" s="2">
        <f>IFERROR(__xludf.DUMMYFUNCTION("""COMPUTED_VALUE"""),725.0)</f>
        <v>725</v>
      </c>
      <c r="D643" s="2">
        <f>IFERROR(__xludf.DUMMYFUNCTION("""COMPUTED_VALUE"""),720.0)</f>
        <v>720</v>
      </c>
      <c r="E643" s="2">
        <f>IFERROR(__xludf.DUMMYFUNCTION("""COMPUTED_VALUE"""),720.0)</f>
        <v>720</v>
      </c>
      <c r="F643" s="2">
        <f>IFERROR(__xludf.DUMMYFUNCTION("""COMPUTED_VALUE"""),2590800.0)</f>
        <v>2590800</v>
      </c>
      <c r="G643" s="2">
        <f t="shared" si="1"/>
        <v>5</v>
      </c>
    </row>
    <row r="644" ht="15.75" customHeight="1">
      <c r="A644" s="1">
        <f>IFERROR(__xludf.DUMMYFUNCTION("""COMPUTED_VALUE"""),44797.66666666667)</f>
        <v>44797.66667</v>
      </c>
      <c r="B644" s="2">
        <f>IFERROR(__xludf.DUMMYFUNCTION("""COMPUTED_VALUE"""),720.0)</f>
        <v>720</v>
      </c>
      <c r="C644" s="2">
        <f>IFERROR(__xludf.DUMMYFUNCTION("""COMPUTED_VALUE"""),725.0)</f>
        <v>725</v>
      </c>
      <c r="D644" s="2">
        <f>IFERROR(__xludf.DUMMYFUNCTION("""COMPUTED_VALUE"""),715.0)</f>
        <v>715</v>
      </c>
      <c r="E644" s="2">
        <f>IFERROR(__xludf.DUMMYFUNCTION("""COMPUTED_VALUE"""),725.0)</f>
        <v>725</v>
      </c>
      <c r="F644" s="2">
        <f>IFERROR(__xludf.DUMMYFUNCTION("""COMPUTED_VALUE"""),4433300.0)</f>
        <v>4433300</v>
      </c>
      <c r="G644" s="2">
        <f t="shared" si="1"/>
        <v>10</v>
      </c>
    </row>
    <row r="645" ht="15.75" customHeight="1">
      <c r="A645" s="1">
        <f>IFERROR(__xludf.DUMMYFUNCTION("""COMPUTED_VALUE"""),44798.66666666667)</f>
        <v>44798.66667</v>
      </c>
      <c r="B645" s="2">
        <f>IFERROR(__xludf.DUMMYFUNCTION("""COMPUTED_VALUE"""),725.0)</f>
        <v>725</v>
      </c>
      <c r="C645" s="2">
        <f>IFERROR(__xludf.DUMMYFUNCTION("""COMPUTED_VALUE"""),725.0)</f>
        <v>725</v>
      </c>
      <c r="D645" s="2">
        <f>IFERROR(__xludf.DUMMYFUNCTION("""COMPUTED_VALUE"""),720.0)</f>
        <v>720</v>
      </c>
      <c r="E645" s="2">
        <f>IFERROR(__xludf.DUMMYFUNCTION("""COMPUTED_VALUE"""),720.0)</f>
        <v>720</v>
      </c>
      <c r="F645" s="2">
        <f>IFERROR(__xludf.DUMMYFUNCTION("""COMPUTED_VALUE"""),4272600.0)</f>
        <v>4272600</v>
      </c>
      <c r="G645" s="2">
        <f t="shared" si="1"/>
        <v>5</v>
      </c>
    </row>
    <row r="646" ht="15.75" customHeight="1">
      <c r="A646" s="1">
        <f>IFERROR(__xludf.DUMMYFUNCTION("""COMPUTED_VALUE"""),44799.66666666667)</f>
        <v>44799.66667</v>
      </c>
      <c r="B646" s="2">
        <f>IFERROR(__xludf.DUMMYFUNCTION("""COMPUTED_VALUE"""),720.0)</f>
        <v>720</v>
      </c>
      <c r="C646" s="2">
        <f>IFERROR(__xludf.DUMMYFUNCTION("""COMPUTED_VALUE"""),725.0)</f>
        <v>725</v>
      </c>
      <c r="D646" s="2">
        <f>IFERROR(__xludf.DUMMYFUNCTION("""COMPUTED_VALUE"""),720.0)</f>
        <v>720</v>
      </c>
      <c r="E646" s="2">
        <f>IFERROR(__xludf.DUMMYFUNCTION("""COMPUTED_VALUE"""),720.0)</f>
        <v>720</v>
      </c>
      <c r="F646" s="2">
        <f>IFERROR(__xludf.DUMMYFUNCTION("""COMPUTED_VALUE"""),1832500.0)</f>
        <v>1832500</v>
      </c>
      <c r="G646" s="2">
        <f t="shared" si="1"/>
        <v>5</v>
      </c>
    </row>
    <row r="647" ht="15.75" customHeight="1">
      <c r="A647" s="1">
        <f>IFERROR(__xludf.DUMMYFUNCTION("""COMPUTED_VALUE"""),44802.66666666667)</f>
        <v>44802.66667</v>
      </c>
      <c r="B647" s="2">
        <f>IFERROR(__xludf.DUMMYFUNCTION("""COMPUTED_VALUE"""),720.0)</f>
        <v>720</v>
      </c>
      <c r="C647" s="2">
        <f>IFERROR(__xludf.DUMMYFUNCTION("""COMPUTED_VALUE"""),725.0)</f>
        <v>725</v>
      </c>
      <c r="D647" s="2">
        <f>IFERROR(__xludf.DUMMYFUNCTION("""COMPUTED_VALUE"""),715.0)</f>
        <v>715</v>
      </c>
      <c r="E647" s="2">
        <f>IFERROR(__xludf.DUMMYFUNCTION("""COMPUTED_VALUE"""),720.0)</f>
        <v>720</v>
      </c>
      <c r="F647" s="2">
        <f>IFERROR(__xludf.DUMMYFUNCTION("""COMPUTED_VALUE"""),2781900.0)</f>
        <v>2781900</v>
      </c>
      <c r="G647" s="2">
        <f t="shared" si="1"/>
        <v>10</v>
      </c>
    </row>
    <row r="648" ht="15.75" customHeight="1">
      <c r="A648" s="1">
        <f>IFERROR(__xludf.DUMMYFUNCTION("""COMPUTED_VALUE"""),44803.66666666667)</f>
        <v>44803.66667</v>
      </c>
      <c r="B648" s="2">
        <f>IFERROR(__xludf.DUMMYFUNCTION("""COMPUTED_VALUE"""),720.0)</f>
        <v>720</v>
      </c>
      <c r="C648" s="2">
        <f>IFERROR(__xludf.DUMMYFUNCTION("""COMPUTED_VALUE"""),720.0)</f>
        <v>720</v>
      </c>
      <c r="D648" s="2">
        <f>IFERROR(__xludf.DUMMYFUNCTION("""COMPUTED_VALUE"""),715.0)</f>
        <v>715</v>
      </c>
      <c r="E648" s="2">
        <f>IFERROR(__xludf.DUMMYFUNCTION("""COMPUTED_VALUE"""),720.0)</f>
        <v>720</v>
      </c>
      <c r="F648" s="2">
        <f>IFERROR(__xludf.DUMMYFUNCTION("""COMPUTED_VALUE"""),4344700.0)</f>
        <v>4344700</v>
      </c>
      <c r="G648" s="2">
        <f t="shared" si="1"/>
        <v>5</v>
      </c>
    </row>
    <row r="649" ht="15.75" customHeight="1">
      <c r="A649" s="1">
        <f>IFERROR(__xludf.DUMMYFUNCTION("""COMPUTED_VALUE"""),44804.66666666667)</f>
        <v>44804.66667</v>
      </c>
      <c r="B649" s="2">
        <f>IFERROR(__xludf.DUMMYFUNCTION("""COMPUTED_VALUE"""),720.0)</f>
        <v>720</v>
      </c>
      <c r="C649" s="2">
        <f>IFERROR(__xludf.DUMMYFUNCTION("""COMPUTED_VALUE"""),725.0)</f>
        <v>725</v>
      </c>
      <c r="D649" s="2">
        <f>IFERROR(__xludf.DUMMYFUNCTION("""COMPUTED_VALUE"""),715.0)</f>
        <v>715</v>
      </c>
      <c r="E649" s="2">
        <f>IFERROR(__xludf.DUMMYFUNCTION("""COMPUTED_VALUE"""),720.0)</f>
        <v>720</v>
      </c>
      <c r="F649" s="2">
        <f>IFERROR(__xludf.DUMMYFUNCTION("""COMPUTED_VALUE"""),4301600.0)</f>
        <v>4301600</v>
      </c>
      <c r="G649" s="2">
        <f t="shared" si="1"/>
        <v>10</v>
      </c>
    </row>
    <row r="650" ht="15.75" customHeight="1">
      <c r="A650" s="1">
        <f>IFERROR(__xludf.DUMMYFUNCTION("""COMPUTED_VALUE"""),44805.625)</f>
        <v>44805.625</v>
      </c>
      <c r="B650" s="2">
        <f>IFERROR(__xludf.DUMMYFUNCTION("""COMPUTED_VALUE"""),720.0)</f>
        <v>720</v>
      </c>
      <c r="C650" s="2">
        <f>IFERROR(__xludf.DUMMYFUNCTION("""COMPUTED_VALUE"""),725.0)</f>
        <v>725</v>
      </c>
      <c r="D650" s="2">
        <f>IFERROR(__xludf.DUMMYFUNCTION("""COMPUTED_VALUE"""),715.0)</f>
        <v>715</v>
      </c>
      <c r="E650" s="2">
        <f>IFERROR(__xludf.DUMMYFUNCTION("""COMPUTED_VALUE"""),725.0)</f>
        <v>725</v>
      </c>
      <c r="F650" s="2">
        <f>IFERROR(__xludf.DUMMYFUNCTION("""COMPUTED_VALUE"""),3315000.0)</f>
        <v>3315000</v>
      </c>
      <c r="G650" s="2">
        <f t="shared" si="1"/>
        <v>10</v>
      </c>
    </row>
    <row r="651" ht="15.75" customHeight="1">
      <c r="A651" s="1">
        <f>IFERROR(__xludf.DUMMYFUNCTION("""COMPUTED_VALUE"""),44806.625)</f>
        <v>44806.625</v>
      </c>
      <c r="B651" s="2">
        <f>IFERROR(__xludf.DUMMYFUNCTION("""COMPUTED_VALUE"""),725.0)</f>
        <v>725</v>
      </c>
      <c r="C651" s="2">
        <f>IFERROR(__xludf.DUMMYFUNCTION("""COMPUTED_VALUE"""),725.0)</f>
        <v>725</v>
      </c>
      <c r="D651" s="2">
        <f>IFERROR(__xludf.DUMMYFUNCTION("""COMPUTED_VALUE"""),720.0)</f>
        <v>720</v>
      </c>
      <c r="E651" s="2">
        <f>IFERROR(__xludf.DUMMYFUNCTION("""COMPUTED_VALUE"""),725.0)</f>
        <v>725</v>
      </c>
      <c r="F651" s="2">
        <f>IFERROR(__xludf.DUMMYFUNCTION("""COMPUTED_VALUE"""),3194500.0)</f>
        <v>3194500</v>
      </c>
      <c r="G651" s="2">
        <f t="shared" si="1"/>
        <v>5</v>
      </c>
    </row>
    <row r="652" ht="15.75" customHeight="1">
      <c r="A652" s="1">
        <f>IFERROR(__xludf.DUMMYFUNCTION("""COMPUTED_VALUE"""),44809.66666666667)</f>
        <v>44809.66667</v>
      </c>
      <c r="B652" s="2">
        <f>IFERROR(__xludf.DUMMYFUNCTION("""COMPUTED_VALUE"""),725.0)</f>
        <v>725</v>
      </c>
      <c r="C652" s="2">
        <f>IFERROR(__xludf.DUMMYFUNCTION("""COMPUTED_VALUE"""),730.0)</f>
        <v>730</v>
      </c>
      <c r="D652" s="2">
        <f>IFERROR(__xludf.DUMMYFUNCTION("""COMPUTED_VALUE"""),720.0)</f>
        <v>720</v>
      </c>
      <c r="E652" s="2">
        <f>IFERROR(__xludf.DUMMYFUNCTION("""COMPUTED_VALUE"""),720.0)</f>
        <v>720</v>
      </c>
      <c r="F652" s="2">
        <f>IFERROR(__xludf.DUMMYFUNCTION("""COMPUTED_VALUE"""),4291100.0)</f>
        <v>4291100</v>
      </c>
      <c r="G652" s="2">
        <f t="shared" si="1"/>
        <v>10</v>
      </c>
    </row>
    <row r="653" ht="15.75" customHeight="1">
      <c r="A653" s="1">
        <f>IFERROR(__xludf.DUMMYFUNCTION("""COMPUTED_VALUE"""),44810.66666666667)</f>
        <v>44810.66667</v>
      </c>
      <c r="B653" s="2">
        <f>IFERROR(__xludf.DUMMYFUNCTION("""COMPUTED_VALUE"""),725.0)</f>
        <v>725</v>
      </c>
      <c r="C653" s="2">
        <f>IFERROR(__xludf.DUMMYFUNCTION("""COMPUTED_VALUE"""),730.0)</f>
        <v>730</v>
      </c>
      <c r="D653" s="2">
        <f>IFERROR(__xludf.DUMMYFUNCTION("""COMPUTED_VALUE"""),720.0)</f>
        <v>720</v>
      </c>
      <c r="E653" s="2">
        <f>IFERROR(__xludf.DUMMYFUNCTION("""COMPUTED_VALUE"""),720.0)</f>
        <v>720</v>
      </c>
      <c r="F653" s="2">
        <f>IFERROR(__xludf.DUMMYFUNCTION("""COMPUTED_VALUE"""),6357600.0)</f>
        <v>6357600</v>
      </c>
      <c r="G653" s="2">
        <f t="shared" si="1"/>
        <v>10</v>
      </c>
    </row>
    <row r="654" ht="15.75" customHeight="1">
      <c r="A654" s="1">
        <f>IFERROR(__xludf.DUMMYFUNCTION("""COMPUTED_VALUE"""),44811.66666666667)</f>
        <v>44811.66667</v>
      </c>
      <c r="B654" s="2">
        <f>IFERROR(__xludf.DUMMYFUNCTION("""COMPUTED_VALUE"""),720.0)</f>
        <v>720</v>
      </c>
      <c r="C654" s="2">
        <f>IFERROR(__xludf.DUMMYFUNCTION("""COMPUTED_VALUE"""),725.0)</f>
        <v>725</v>
      </c>
      <c r="D654" s="2">
        <f>IFERROR(__xludf.DUMMYFUNCTION("""COMPUTED_VALUE"""),720.0)</f>
        <v>720</v>
      </c>
      <c r="E654" s="2">
        <f>IFERROR(__xludf.DUMMYFUNCTION("""COMPUTED_VALUE"""),720.0)</f>
        <v>720</v>
      </c>
      <c r="F654" s="2">
        <f>IFERROR(__xludf.DUMMYFUNCTION("""COMPUTED_VALUE"""),3627600.0)</f>
        <v>3627600</v>
      </c>
      <c r="G654" s="2">
        <f t="shared" si="1"/>
        <v>5</v>
      </c>
    </row>
    <row r="655" ht="15.75" customHeight="1">
      <c r="A655" s="1">
        <f>IFERROR(__xludf.DUMMYFUNCTION("""COMPUTED_VALUE"""),44812.66666666667)</f>
        <v>44812.66667</v>
      </c>
      <c r="B655" s="2">
        <f>IFERROR(__xludf.DUMMYFUNCTION("""COMPUTED_VALUE"""),720.0)</f>
        <v>720</v>
      </c>
      <c r="C655" s="2">
        <f>IFERROR(__xludf.DUMMYFUNCTION("""COMPUTED_VALUE"""),730.0)</f>
        <v>730</v>
      </c>
      <c r="D655" s="2">
        <f>IFERROR(__xludf.DUMMYFUNCTION("""COMPUTED_VALUE"""),720.0)</f>
        <v>720</v>
      </c>
      <c r="E655" s="2">
        <f>IFERROR(__xludf.DUMMYFUNCTION("""COMPUTED_VALUE"""),725.0)</f>
        <v>725</v>
      </c>
      <c r="F655" s="2">
        <f>IFERROR(__xludf.DUMMYFUNCTION("""COMPUTED_VALUE"""),1.04029E7)</f>
        <v>10402900</v>
      </c>
      <c r="G655" s="2">
        <f t="shared" si="1"/>
        <v>10</v>
      </c>
    </row>
    <row r="656" ht="15.75" customHeight="1">
      <c r="A656" s="1">
        <f>IFERROR(__xludf.DUMMYFUNCTION("""COMPUTED_VALUE"""),44813.66666666667)</f>
        <v>44813.66667</v>
      </c>
      <c r="B656" s="2">
        <f>IFERROR(__xludf.DUMMYFUNCTION("""COMPUTED_VALUE"""),725.0)</f>
        <v>725</v>
      </c>
      <c r="C656" s="2">
        <f>IFERROR(__xludf.DUMMYFUNCTION("""COMPUTED_VALUE"""),730.0)</f>
        <v>730</v>
      </c>
      <c r="D656" s="2">
        <f>IFERROR(__xludf.DUMMYFUNCTION("""COMPUTED_VALUE"""),720.0)</f>
        <v>720</v>
      </c>
      <c r="E656" s="2">
        <f>IFERROR(__xludf.DUMMYFUNCTION("""COMPUTED_VALUE"""),725.0)</f>
        <v>725</v>
      </c>
      <c r="F656" s="2">
        <f>IFERROR(__xludf.DUMMYFUNCTION("""COMPUTED_VALUE"""),3458100.0)</f>
        <v>3458100</v>
      </c>
      <c r="G656" s="2">
        <f t="shared" si="1"/>
        <v>10</v>
      </c>
    </row>
    <row r="657" ht="15.75" customHeight="1">
      <c r="A657" s="1">
        <f>IFERROR(__xludf.DUMMYFUNCTION("""COMPUTED_VALUE"""),44816.66666666667)</f>
        <v>44816.66667</v>
      </c>
      <c r="B657" s="2">
        <f>IFERROR(__xludf.DUMMYFUNCTION("""COMPUTED_VALUE"""),725.0)</f>
        <v>725</v>
      </c>
      <c r="C657" s="2">
        <f>IFERROR(__xludf.DUMMYFUNCTION("""COMPUTED_VALUE"""),730.0)</f>
        <v>730</v>
      </c>
      <c r="D657" s="2">
        <f>IFERROR(__xludf.DUMMYFUNCTION("""COMPUTED_VALUE"""),720.0)</f>
        <v>720</v>
      </c>
      <c r="E657" s="2">
        <f>IFERROR(__xludf.DUMMYFUNCTION("""COMPUTED_VALUE"""),720.0)</f>
        <v>720</v>
      </c>
      <c r="F657" s="2">
        <f>IFERROR(__xludf.DUMMYFUNCTION("""COMPUTED_VALUE"""),3774800.0)</f>
        <v>3774800</v>
      </c>
      <c r="G657" s="2">
        <f t="shared" si="1"/>
        <v>10</v>
      </c>
    </row>
    <row r="658" ht="15.75" customHeight="1">
      <c r="A658" s="1">
        <f>IFERROR(__xludf.DUMMYFUNCTION("""COMPUTED_VALUE"""),44817.66666666667)</f>
        <v>44817.66667</v>
      </c>
      <c r="B658" s="2">
        <f>IFERROR(__xludf.DUMMYFUNCTION("""COMPUTED_VALUE"""),725.0)</f>
        <v>725</v>
      </c>
      <c r="C658" s="2">
        <f>IFERROR(__xludf.DUMMYFUNCTION("""COMPUTED_VALUE"""),730.0)</f>
        <v>730</v>
      </c>
      <c r="D658" s="2">
        <f>IFERROR(__xludf.DUMMYFUNCTION("""COMPUTED_VALUE"""),720.0)</f>
        <v>720</v>
      </c>
      <c r="E658" s="2">
        <f>IFERROR(__xludf.DUMMYFUNCTION("""COMPUTED_VALUE"""),720.0)</f>
        <v>720</v>
      </c>
      <c r="F658" s="2">
        <f>IFERROR(__xludf.DUMMYFUNCTION("""COMPUTED_VALUE"""),7682200.0)</f>
        <v>7682200</v>
      </c>
      <c r="G658" s="2">
        <f t="shared" si="1"/>
        <v>10</v>
      </c>
    </row>
    <row r="659" ht="15.75" customHeight="1">
      <c r="A659" s="1">
        <f>IFERROR(__xludf.DUMMYFUNCTION("""COMPUTED_VALUE"""),44818.66666666667)</f>
        <v>44818.66667</v>
      </c>
      <c r="B659" s="2">
        <f>IFERROR(__xludf.DUMMYFUNCTION("""COMPUTED_VALUE"""),720.0)</f>
        <v>720</v>
      </c>
      <c r="C659" s="2">
        <f>IFERROR(__xludf.DUMMYFUNCTION("""COMPUTED_VALUE"""),725.0)</f>
        <v>725</v>
      </c>
      <c r="D659" s="2">
        <f>IFERROR(__xludf.DUMMYFUNCTION("""COMPUTED_VALUE"""),715.0)</f>
        <v>715</v>
      </c>
      <c r="E659" s="2">
        <f>IFERROR(__xludf.DUMMYFUNCTION("""COMPUTED_VALUE"""),720.0)</f>
        <v>720</v>
      </c>
      <c r="F659" s="2">
        <f>IFERROR(__xludf.DUMMYFUNCTION("""COMPUTED_VALUE"""),1.6193E7)</f>
        <v>16193000</v>
      </c>
      <c r="G659" s="2">
        <f t="shared" si="1"/>
        <v>10</v>
      </c>
    </row>
    <row r="660" ht="15.75" customHeight="1">
      <c r="A660" s="1">
        <f>IFERROR(__xludf.DUMMYFUNCTION("""COMPUTED_VALUE"""),44819.66666666667)</f>
        <v>44819.66667</v>
      </c>
      <c r="B660" s="2">
        <f>IFERROR(__xludf.DUMMYFUNCTION("""COMPUTED_VALUE"""),720.0)</f>
        <v>720</v>
      </c>
      <c r="C660" s="2">
        <f>IFERROR(__xludf.DUMMYFUNCTION("""COMPUTED_VALUE"""),725.0)</f>
        <v>725</v>
      </c>
      <c r="D660" s="2">
        <f>IFERROR(__xludf.DUMMYFUNCTION("""COMPUTED_VALUE"""),715.0)</f>
        <v>715</v>
      </c>
      <c r="E660" s="2">
        <f>IFERROR(__xludf.DUMMYFUNCTION("""COMPUTED_VALUE"""),725.0)</f>
        <v>725</v>
      </c>
      <c r="F660" s="2">
        <f>IFERROR(__xludf.DUMMYFUNCTION("""COMPUTED_VALUE"""),1.19922E7)</f>
        <v>11992200</v>
      </c>
      <c r="G660" s="2">
        <f t="shared" si="1"/>
        <v>10</v>
      </c>
    </row>
    <row r="661" ht="15.75" customHeight="1">
      <c r="A661" s="1">
        <f>IFERROR(__xludf.DUMMYFUNCTION("""COMPUTED_VALUE"""),44820.66666666667)</f>
        <v>44820.66667</v>
      </c>
      <c r="B661" s="2">
        <f>IFERROR(__xludf.DUMMYFUNCTION("""COMPUTED_VALUE"""),725.0)</f>
        <v>725</v>
      </c>
      <c r="C661" s="2">
        <f>IFERROR(__xludf.DUMMYFUNCTION("""COMPUTED_VALUE"""),725.0)</f>
        <v>725</v>
      </c>
      <c r="D661" s="2">
        <f>IFERROR(__xludf.DUMMYFUNCTION("""COMPUTED_VALUE"""),720.0)</f>
        <v>720</v>
      </c>
      <c r="E661" s="2">
        <f>IFERROR(__xludf.DUMMYFUNCTION("""COMPUTED_VALUE"""),720.0)</f>
        <v>720</v>
      </c>
      <c r="F661" s="2">
        <f>IFERROR(__xludf.DUMMYFUNCTION("""COMPUTED_VALUE"""),5090100.0)</f>
        <v>5090100</v>
      </c>
      <c r="G661" s="2">
        <f t="shared" si="1"/>
        <v>5</v>
      </c>
    </row>
    <row r="662" ht="15.75" customHeight="1">
      <c r="A662" s="1">
        <f>IFERROR(__xludf.DUMMYFUNCTION("""COMPUTED_VALUE"""),44823.66666666667)</f>
        <v>44823.66667</v>
      </c>
      <c r="B662" s="2">
        <f>IFERROR(__xludf.DUMMYFUNCTION("""COMPUTED_VALUE"""),720.0)</f>
        <v>720</v>
      </c>
      <c r="C662" s="2">
        <f>IFERROR(__xludf.DUMMYFUNCTION("""COMPUTED_VALUE"""),725.0)</f>
        <v>725</v>
      </c>
      <c r="D662" s="2">
        <f>IFERROR(__xludf.DUMMYFUNCTION("""COMPUTED_VALUE"""),720.0)</f>
        <v>720</v>
      </c>
      <c r="E662" s="2">
        <f>IFERROR(__xludf.DUMMYFUNCTION("""COMPUTED_VALUE"""),720.0)</f>
        <v>720</v>
      </c>
      <c r="F662" s="2">
        <f>IFERROR(__xludf.DUMMYFUNCTION("""COMPUTED_VALUE"""),2893900.0)</f>
        <v>2893900</v>
      </c>
      <c r="G662" s="2">
        <f t="shared" si="1"/>
        <v>5</v>
      </c>
    </row>
    <row r="663" ht="15.75" customHeight="1">
      <c r="A663" s="1">
        <f>IFERROR(__xludf.DUMMYFUNCTION("""COMPUTED_VALUE"""),44824.66666666667)</f>
        <v>44824.66667</v>
      </c>
      <c r="B663" s="2">
        <f>IFERROR(__xludf.DUMMYFUNCTION("""COMPUTED_VALUE"""),720.0)</f>
        <v>720</v>
      </c>
      <c r="C663" s="2">
        <f>IFERROR(__xludf.DUMMYFUNCTION("""COMPUTED_VALUE"""),725.0)</f>
        <v>725</v>
      </c>
      <c r="D663" s="2">
        <f>IFERROR(__xludf.DUMMYFUNCTION("""COMPUTED_VALUE"""),715.0)</f>
        <v>715</v>
      </c>
      <c r="E663" s="2">
        <f>IFERROR(__xludf.DUMMYFUNCTION("""COMPUTED_VALUE"""),720.0)</f>
        <v>720</v>
      </c>
      <c r="F663" s="2">
        <f>IFERROR(__xludf.DUMMYFUNCTION("""COMPUTED_VALUE"""),6874700.0)</f>
        <v>6874700</v>
      </c>
      <c r="G663" s="2">
        <f t="shared" si="1"/>
        <v>10</v>
      </c>
    </row>
    <row r="664" ht="15.75" customHeight="1">
      <c r="A664" s="1">
        <f>IFERROR(__xludf.DUMMYFUNCTION("""COMPUTED_VALUE"""),44825.66666666667)</f>
        <v>44825.66667</v>
      </c>
      <c r="B664" s="2">
        <f>IFERROR(__xludf.DUMMYFUNCTION("""COMPUTED_VALUE"""),720.0)</f>
        <v>720</v>
      </c>
      <c r="C664" s="2">
        <f>IFERROR(__xludf.DUMMYFUNCTION("""COMPUTED_VALUE"""),720.0)</f>
        <v>720</v>
      </c>
      <c r="D664" s="2">
        <f>IFERROR(__xludf.DUMMYFUNCTION("""COMPUTED_VALUE"""),715.0)</f>
        <v>715</v>
      </c>
      <c r="E664" s="2">
        <f>IFERROR(__xludf.DUMMYFUNCTION("""COMPUTED_VALUE"""),715.0)</f>
        <v>715</v>
      </c>
      <c r="F664" s="2">
        <f>IFERROR(__xludf.DUMMYFUNCTION("""COMPUTED_VALUE"""),1.33783E7)</f>
        <v>13378300</v>
      </c>
      <c r="G664" s="2">
        <f t="shared" si="1"/>
        <v>5</v>
      </c>
    </row>
    <row r="665" ht="15.75" customHeight="1">
      <c r="A665" s="1">
        <f>IFERROR(__xludf.DUMMYFUNCTION("""COMPUTED_VALUE"""),44826.66666666667)</f>
        <v>44826.66667</v>
      </c>
      <c r="B665" s="2">
        <f>IFERROR(__xludf.DUMMYFUNCTION("""COMPUTED_VALUE"""),720.0)</f>
        <v>720</v>
      </c>
      <c r="C665" s="2">
        <f>IFERROR(__xludf.DUMMYFUNCTION("""COMPUTED_VALUE"""),720.0)</f>
        <v>720</v>
      </c>
      <c r="D665" s="2">
        <f>IFERROR(__xludf.DUMMYFUNCTION("""COMPUTED_VALUE"""),710.0)</f>
        <v>710</v>
      </c>
      <c r="E665" s="2">
        <f>IFERROR(__xludf.DUMMYFUNCTION("""COMPUTED_VALUE"""),720.0)</f>
        <v>720</v>
      </c>
      <c r="F665" s="2">
        <f>IFERROR(__xludf.DUMMYFUNCTION("""COMPUTED_VALUE"""),3630400.0)</f>
        <v>3630400</v>
      </c>
      <c r="G665" s="2">
        <f t="shared" si="1"/>
        <v>10</v>
      </c>
    </row>
    <row r="666" ht="15.75" customHeight="1">
      <c r="A666" s="1">
        <f>IFERROR(__xludf.DUMMYFUNCTION("""COMPUTED_VALUE"""),44827.66666666667)</f>
        <v>44827.66667</v>
      </c>
      <c r="B666" s="2">
        <f>IFERROR(__xludf.DUMMYFUNCTION("""COMPUTED_VALUE"""),720.0)</f>
        <v>720</v>
      </c>
      <c r="C666" s="2">
        <f>IFERROR(__xludf.DUMMYFUNCTION("""COMPUTED_VALUE"""),720.0)</f>
        <v>720</v>
      </c>
      <c r="D666" s="2">
        <f>IFERROR(__xludf.DUMMYFUNCTION("""COMPUTED_VALUE"""),715.0)</f>
        <v>715</v>
      </c>
      <c r="E666" s="2">
        <f>IFERROR(__xludf.DUMMYFUNCTION("""COMPUTED_VALUE"""),720.0)</f>
        <v>720</v>
      </c>
      <c r="F666" s="2">
        <f>IFERROR(__xludf.DUMMYFUNCTION("""COMPUTED_VALUE"""),2245700.0)</f>
        <v>2245700</v>
      </c>
      <c r="G666" s="2">
        <f t="shared" si="1"/>
        <v>5</v>
      </c>
    </row>
    <row r="667" ht="15.75" customHeight="1">
      <c r="A667" s="1">
        <f>IFERROR(__xludf.DUMMYFUNCTION("""COMPUTED_VALUE"""),44830.66666666667)</f>
        <v>44830.66667</v>
      </c>
      <c r="B667" s="2">
        <f>IFERROR(__xludf.DUMMYFUNCTION("""COMPUTED_VALUE"""),720.0)</f>
        <v>720</v>
      </c>
      <c r="C667" s="2">
        <f>IFERROR(__xludf.DUMMYFUNCTION("""COMPUTED_VALUE"""),720.0)</f>
        <v>720</v>
      </c>
      <c r="D667" s="2">
        <f>IFERROR(__xludf.DUMMYFUNCTION("""COMPUTED_VALUE"""),710.0)</f>
        <v>710</v>
      </c>
      <c r="E667" s="2">
        <f>IFERROR(__xludf.DUMMYFUNCTION("""COMPUTED_VALUE"""),710.0)</f>
        <v>710</v>
      </c>
      <c r="F667" s="2">
        <f>IFERROR(__xludf.DUMMYFUNCTION("""COMPUTED_VALUE"""),7079400.0)</f>
        <v>7079400</v>
      </c>
      <c r="G667" s="2">
        <f t="shared" si="1"/>
        <v>10</v>
      </c>
    </row>
    <row r="668" ht="15.75" customHeight="1">
      <c r="A668" s="1">
        <f>IFERROR(__xludf.DUMMYFUNCTION("""COMPUTED_VALUE"""),44831.66666666667)</f>
        <v>44831.66667</v>
      </c>
      <c r="B668" s="2">
        <f>IFERROR(__xludf.DUMMYFUNCTION("""COMPUTED_VALUE"""),715.0)</f>
        <v>715</v>
      </c>
      <c r="C668" s="2">
        <f>IFERROR(__xludf.DUMMYFUNCTION("""COMPUTED_VALUE"""),720.0)</f>
        <v>720</v>
      </c>
      <c r="D668" s="2">
        <f>IFERROR(__xludf.DUMMYFUNCTION("""COMPUTED_VALUE"""),710.0)</f>
        <v>710</v>
      </c>
      <c r="E668" s="2">
        <f>IFERROR(__xludf.DUMMYFUNCTION("""COMPUTED_VALUE"""),715.0)</f>
        <v>715</v>
      </c>
      <c r="F668" s="2">
        <f>IFERROR(__xludf.DUMMYFUNCTION("""COMPUTED_VALUE"""),2287800.0)</f>
        <v>2287800</v>
      </c>
      <c r="G668" s="2">
        <f t="shared" si="1"/>
        <v>10</v>
      </c>
    </row>
    <row r="669" ht="15.75" customHeight="1">
      <c r="A669" s="1">
        <f>IFERROR(__xludf.DUMMYFUNCTION("""COMPUTED_VALUE"""),44832.66666666667)</f>
        <v>44832.66667</v>
      </c>
      <c r="B669" s="2">
        <f>IFERROR(__xludf.DUMMYFUNCTION("""COMPUTED_VALUE"""),715.0)</f>
        <v>715</v>
      </c>
      <c r="C669" s="2">
        <f>IFERROR(__xludf.DUMMYFUNCTION("""COMPUTED_VALUE"""),720.0)</f>
        <v>720</v>
      </c>
      <c r="D669" s="2">
        <f>IFERROR(__xludf.DUMMYFUNCTION("""COMPUTED_VALUE"""),710.0)</f>
        <v>710</v>
      </c>
      <c r="E669" s="2">
        <f>IFERROR(__xludf.DUMMYFUNCTION("""COMPUTED_VALUE"""),715.0)</f>
        <v>715</v>
      </c>
      <c r="F669" s="2">
        <f>IFERROR(__xludf.DUMMYFUNCTION("""COMPUTED_VALUE"""),4247300.0)</f>
        <v>4247300</v>
      </c>
      <c r="G669" s="2">
        <f t="shared" si="1"/>
        <v>10</v>
      </c>
    </row>
    <row r="670" ht="15.75" customHeight="1">
      <c r="A670" s="1">
        <f>IFERROR(__xludf.DUMMYFUNCTION("""COMPUTED_VALUE"""),44833.66666666667)</f>
        <v>44833.66667</v>
      </c>
      <c r="B670" s="2">
        <f>IFERROR(__xludf.DUMMYFUNCTION("""COMPUTED_VALUE"""),715.0)</f>
        <v>715</v>
      </c>
      <c r="C670" s="2">
        <f>IFERROR(__xludf.DUMMYFUNCTION("""COMPUTED_VALUE"""),715.0)</f>
        <v>715</v>
      </c>
      <c r="D670" s="2">
        <f>IFERROR(__xludf.DUMMYFUNCTION("""COMPUTED_VALUE"""),710.0)</f>
        <v>710</v>
      </c>
      <c r="E670" s="2">
        <f>IFERROR(__xludf.DUMMYFUNCTION("""COMPUTED_VALUE"""),710.0)</f>
        <v>710</v>
      </c>
      <c r="F670" s="2">
        <f>IFERROR(__xludf.DUMMYFUNCTION("""COMPUTED_VALUE"""),5088800.0)</f>
        <v>5088800</v>
      </c>
      <c r="G670" s="2">
        <f t="shared" si="1"/>
        <v>5</v>
      </c>
    </row>
    <row r="671" ht="15.75" customHeight="1">
      <c r="A671" s="1">
        <f>IFERROR(__xludf.DUMMYFUNCTION("""COMPUTED_VALUE"""),44834.66666666667)</f>
        <v>44834.66667</v>
      </c>
      <c r="B671" s="2">
        <f>IFERROR(__xludf.DUMMYFUNCTION("""COMPUTED_VALUE"""),710.0)</f>
        <v>710</v>
      </c>
      <c r="C671" s="2">
        <f>IFERROR(__xludf.DUMMYFUNCTION("""COMPUTED_VALUE"""),715.0)</f>
        <v>715</v>
      </c>
      <c r="D671" s="2">
        <f>IFERROR(__xludf.DUMMYFUNCTION("""COMPUTED_VALUE"""),705.0)</f>
        <v>705</v>
      </c>
      <c r="E671" s="2">
        <f>IFERROR(__xludf.DUMMYFUNCTION("""COMPUTED_VALUE"""),710.0)</f>
        <v>710</v>
      </c>
      <c r="F671" s="2">
        <f>IFERROR(__xludf.DUMMYFUNCTION("""COMPUTED_VALUE"""),8050500.0)</f>
        <v>8050500</v>
      </c>
      <c r="G671" s="2">
        <f t="shared" si="1"/>
        <v>10</v>
      </c>
    </row>
    <row r="672" ht="15.75" customHeight="1">
      <c r="A672" s="1">
        <f>IFERROR(__xludf.DUMMYFUNCTION("""COMPUTED_VALUE"""),44837.66666666667)</f>
        <v>44837.66667</v>
      </c>
      <c r="B672" s="2">
        <f>IFERROR(__xludf.DUMMYFUNCTION("""COMPUTED_VALUE"""),710.0)</f>
        <v>710</v>
      </c>
      <c r="C672" s="2">
        <f>IFERROR(__xludf.DUMMYFUNCTION("""COMPUTED_VALUE"""),715.0)</f>
        <v>715</v>
      </c>
      <c r="D672" s="2">
        <f>IFERROR(__xludf.DUMMYFUNCTION("""COMPUTED_VALUE"""),705.0)</f>
        <v>705</v>
      </c>
      <c r="E672" s="2">
        <f>IFERROR(__xludf.DUMMYFUNCTION("""COMPUTED_VALUE"""),710.0)</f>
        <v>710</v>
      </c>
      <c r="F672" s="2">
        <f>IFERROR(__xludf.DUMMYFUNCTION("""COMPUTED_VALUE"""),5572700.0)</f>
        <v>5572700</v>
      </c>
      <c r="G672" s="2">
        <f t="shared" si="1"/>
        <v>10</v>
      </c>
    </row>
    <row r="673" ht="15.75" customHeight="1">
      <c r="A673" s="1">
        <f>IFERROR(__xludf.DUMMYFUNCTION("""COMPUTED_VALUE"""),44838.66666666667)</f>
        <v>44838.66667</v>
      </c>
      <c r="B673" s="2">
        <f>IFERROR(__xludf.DUMMYFUNCTION("""COMPUTED_VALUE"""),710.0)</f>
        <v>710</v>
      </c>
      <c r="C673" s="2">
        <f>IFERROR(__xludf.DUMMYFUNCTION("""COMPUTED_VALUE"""),715.0)</f>
        <v>715</v>
      </c>
      <c r="D673" s="2">
        <f>IFERROR(__xludf.DUMMYFUNCTION("""COMPUTED_VALUE"""),705.0)</f>
        <v>705</v>
      </c>
      <c r="E673" s="2">
        <f>IFERROR(__xludf.DUMMYFUNCTION("""COMPUTED_VALUE"""),705.0)</f>
        <v>705</v>
      </c>
      <c r="F673" s="2">
        <f>IFERROR(__xludf.DUMMYFUNCTION("""COMPUTED_VALUE"""),4978700.0)</f>
        <v>4978700</v>
      </c>
      <c r="G673" s="2">
        <f t="shared" si="1"/>
        <v>10</v>
      </c>
    </row>
    <row r="674" ht="15.75" customHeight="1">
      <c r="A674" s="1">
        <f>IFERROR(__xludf.DUMMYFUNCTION("""COMPUTED_VALUE"""),44839.66666666667)</f>
        <v>44839.66667</v>
      </c>
      <c r="B674" s="2">
        <f>IFERROR(__xludf.DUMMYFUNCTION("""COMPUTED_VALUE"""),705.0)</f>
        <v>705</v>
      </c>
      <c r="C674" s="2">
        <f>IFERROR(__xludf.DUMMYFUNCTION("""COMPUTED_VALUE"""),715.0)</f>
        <v>715</v>
      </c>
      <c r="D674" s="2">
        <f>IFERROR(__xludf.DUMMYFUNCTION("""COMPUTED_VALUE"""),705.0)</f>
        <v>705</v>
      </c>
      <c r="E674" s="2">
        <f>IFERROR(__xludf.DUMMYFUNCTION("""COMPUTED_VALUE"""),710.0)</f>
        <v>710</v>
      </c>
      <c r="F674" s="2">
        <f>IFERROR(__xludf.DUMMYFUNCTION("""COMPUTED_VALUE"""),4667700.0)</f>
        <v>4667700</v>
      </c>
      <c r="G674" s="2">
        <f t="shared" si="1"/>
        <v>10</v>
      </c>
    </row>
    <row r="675" ht="15.75" customHeight="1">
      <c r="A675" s="1">
        <f>IFERROR(__xludf.DUMMYFUNCTION("""COMPUTED_VALUE"""),44840.66666666667)</f>
        <v>44840.66667</v>
      </c>
      <c r="B675" s="2">
        <f>IFERROR(__xludf.DUMMYFUNCTION("""COMPUTED_VALUE"""),710.0)</f>
        <v>710</v>
      </c>
      <c r="C675" s="2">
        <f>IFERROR(__xludf.DUMMYFUNCTION("""COMPUTED_VALUE"""),715.0)</f>
        <v>715</v>
      </c>
      <c r="D675" s="2">
        <f>IFERROR(__xludf.DUMMYFUNCTION("""COMPUTED_VALUE"""),705.0)</f>
        <v>705</v>
      </c>
      <c r="E675" s="2">
        <f>IFERROR(__xludf.DUMMYFUNCTION("""COMPUTED_VALUE"""),710.0)</f>
        <v>710</v>
      </c>
      <c r="F675" s="2">
        <f>IFERROR(__xludf.DUMMYFUNCTION("""COMPUTED_VALUE"""),2889400.0)</f>
        <v>2889400</v>
      </c>
      <c r="G675" s="2">
        <f t="shared" si="1"/>
        <v>10</v>
      </c>
    </row>
    <row r="676" ht="15.75" customHeight="1">
      <c r="A676" s="1">
        <f>IFERROR(__xludf.DUMMYFUNCTION("""COMPUTED_VALUE"""),44841.66666666667)</f>
        <v>44841.66667</v>
      </c>
      <c r="B676" s="2">
        <f>IFERROR(__xludf.DUMMYFUNCTION("""COMPUTED_VALUE"""),710.0)</f>
        <v>710</v>
      </c>
      <c r="C676" s="2">
        <f>IFERROR(__xludf.DUMMYFUNCTION("""COMPUTED_VALUE"""),710.0)</f>
        <v>710</v>
      </c>
      <c r="D676" s="2">
        <f>IFERROR(__xludf.DUMMYFUNCTION("""COMPUTED_VALUE"""),705.0)</f>
        <v>705</v>
      </c>
      <c r="E676" s="2">
        <f>IFERROR(__xludf.DUMMYFUNCTION("""COMPUTED_VALUE"""),705.0)</f>
        <v>705</v>
      </c>
      <c r="F676" s="2">
        <f>IFERROR(__xludf.DUMMYFUNCTION("""COMPUTED_VALUE"""),4258800.0)</f>
        <v>4258800</v>
      </c>
      <c r="G676" s="2">
        <f t="shared" si="1"/>
        <v>5</v>
      </c>
    </row>
    <row r="677" ht="15.75" customHeight="1">
      <c r="A677" s="1">
        <f>IFERROR(__xludf.DUMMYFUNCTION("""COMPUTED_VALUE"""),44844.66666666667)</f>
        <v>44844.66667</v>
      </c>
      <c r="B677" s="2">
        <f>IFERROR(__xludf.DUMMYFUNCTION("""COMPUTED_VALUE"""),705.0)</f>
        <v>705</v>
      </c>
      <c r="C677" s="2">
        <f>IFERROR(__xludf.DUMMYFUNCTION("""COMPUTED_VALUE"""),710.0)</f>
        <v>710</v>
      </c>
      <c r="D677" s="2">
        <f>IFERROR(__xludf.DUMMYFUNCTION("""COMPUTED_VALUE"""),705.0)</f>
        <v>705</v>
      </c>
      <c r="E677" s="2">
        <f>IFERROR(__xludf.DUMMYFUNCTION("""COMPUTED_VALUE"""),705.0)</f>
        <v>705</v>
      </c>
      <c r="F677" s="2">
        <f>IFERROR(__xludf.DUMMYFUNCTION("""COMPUTED_VALUE"""),2263900.0)</f>
        <v>2263900</v>
      </c>
      <c r="G677" s="2">
        <f t="shared" si="1"/>
        <v>5</v>
      </c>
    </row>
    <row r="678" ht="15.75" customHeight="1">
      <c r="A678" s="1">
        <f>IFERROR(__xludf.DUMMYFUNCTION("""COMPUTED_VALUE"""),44845.66666666667)</f>
        <v>44845.66667</v>
      </c>
      <c r="B678" s="2">
        <f>IFERROR(__xludf.DUMMYFUNCTION("""COMPUTED_VALUE"""),705.0)</f>
        <v>705</v>
      </c>
      <c r="C678" s="2">
        <f>IFERROR(__xludf.DUMMYFUNCTION("""COMPUTED_VALUE"""),710.0)</f>
        <v>710</v>
      </c>
      <c r="D678" s="2">
        <f>IFERROR(__xludf.DUMMYFUNCTION("""COMPUTED_VALUE"""),700.0)</f>
        <v>700</v>
      </c>
      <c r="E678" s="2">
        <f>IFERROR(__xludf.DUMMYFUNCTION("""COMPUTED_VALUE"""),700.0)</f>
        <v>700</v>
      </c>
      <c r="F678" s="2">
        <f>IFERROR(__xludf.DUMMYFUNCTION("""COMPUTED_VALUE"""),4415600.0)</f>
        <v>4415600</v>
      </c>
      <c r="G678" s="2">
        <f t="shared" si="1"/>
        <v>10</v>
      </c>
    </row>
    <row r="679" ht="15.75" customHeight="1">
      <c r="A679" s="1">
        <f>IFERROR(__xludf.DUMMYFUNCTION("""COMPUTED_VALUE"""),44846.66666666667)</f>
        <v>44846.66667</v>
      </c>
      <c r="B679" s="2">
        <f>IFERROR(__xludf.DUMMYFUNCTION("""COMPUTED_VALUE"""),700.0)</f>
        <v>700</v>
      </c>
      <c r="C679" s="2">
        <f>IFERROR(__xludf.DUMMYFUNCTION("""COMPUTED_VALUE"""),710.0)</f>
        <v>710</v>
      </c>
      <c r="D679" s="2">
        <f>IFERROR(__xludf.DUMMYFUNCTION("""COMPUTED_VALUE"""),700.0)</f>
        <v>700</v>
      </c>
      <c r="E679" s="2">
        <f>IFERROR(__xludf.DUMMYFUNCTION("""COMPUTED_VALUE"""),700.0)</f>
        <v>700</v>
      </c>
      <c r="F679" s="2">
        <f>IFERROR(__xludf.DUMMYFUNCTION("""COMPUTED_VALUE"""),7311900.0)</f>
        <v>7311900</v>
      </c>
      <c r="G679" s="2">
        <f t="shared" si="1"/>
        <v>10</v>
      </c>
    </row>
    <row r="680" ht="15.75" customHeight="1">
      <c r="A680" s="1">
        <f>IFERROR(__xludf.DUMMYFUNCTION("""COMPUTED_VALUE"""),44847.66666666667)</f>
        <v>44847.66667</v>
      </c>
      <c r="B680" s="2">
        <f>IFERROR(__xludf.DUMMYFUNCTION("""COMPUTED_VALUE"""),700.0)</f>
        <v>700</v>
      </c>
      <c r="C680" s="2">
        <f>IFERROR(__xludf.DUMMYFUNCTION("""COMPUTED_VALUE"""),705.0)</f>
        <v>705</v>
      </c>
      <c r="D680" s="2">
        <f>IFERROR(__xludf.DUMMYFUNCTION("""COMPUTED_VALUE"""),700.0)</f>
        <v>700</v>
      </c>
      <c r="E680" s="2">
        <f>IFERROR(__xludf.DUMMYFUNCTION("""COMPUTED_VALUE"""),700.0)</f>
        <v>700</v>
      </c>
      <c r="F680" s="2">
        <f>IFERROR(__xludf.DUMMYFUNCTION("""COMPUTED_VALUE"""),5245500.0)</f>
        <v>5245500</v>
      </c>
      <c r="G680" s="2">
        <f t="shared" si="1"/>
        <v>5</v>
      </c>
    </row>
    <row r="681" ht="15.75" customHeight="1">
      <c r="A681" s="1">
        <f>IFERROR(__xludf.DUMMYFUNCTION("""COMPUTED_VALUE"""),44848.66666666667)</f>
        <v>44848.66667</v>
      </c>
      <c r="B681" s="2">
        <f>IFERROR(__xludf.DUMMYFUNCTION("""COMPUTED_VALUE"""),705.0)</f>
        <v>705</v>
      </c>
      <c r="C681" s="2">
        <f>IFERROR(__xludf.DUMMYFUNCTION("""COMPUTED_VALUE"""),710.0)</f>
        <v>710</v>
      </c>
      <c r="D681" s="2">
        <f>IFERROR(__xludf.DUMMYFUNCTION("""COMPUTED_VALUE"""),690.0)</f>
        <v>690</v>
      </c>
      <c r="E681" s="2">
        <f>IFERROR(__xludf.DUMMYFUNCTION("""COMPUTED_VALUE"""),695.0)</f>
        <v>695</v>
      </c>
      <c r="F681" s="2">
        <f>IFERROR(__xludf.DUMMYFUNCTION("""COMPUTED_VALUE"""),8557000.0)</f>
        <v>8557000</v>
      </c>
      <c r="G681" s="2">
        <f t="shared" si="1"/>
        <v>20</v>
      </c>
    </row>
    <row r="682" ht="15.75" customHeight="1">
      <c r="A682" s="1">
        <f>IFERROR(__xludf.DUMMYFUNCTION("""COMPUTED_VALUE"""),44851.66666666667)</f>
        <v>44851.66667</v>
      </c>
      <c r="B682" s="2">
        <f>IFERROR(__xludf.DUMMYFUNCTION("""COMPUTED_VALUE"""),695.0)</f>
        <v>695</v>
      </c>
      <c r="C682" s="2">
        <f>IFERROR(__xludf.DUMMYFUNCTION("""COMPUTED_VALUE"""),700.0)</f>
        <v>700</v>
      </c>
      <c r="D682" s="2">
        <f>IFERROR(__xludf.DUMMYFUNCTION("""COMPUTED_VALUE"""),690.0)</f>
        <v>690</v>
      </c>
      <c r="E682" s="2">
        <f>IFERROR(__xludf.DUMMYFUNCTION("""COMPUTED_VALUE"""),695.0)</f>
        <v>695</v>
      </c>
      <c r="F682" s="2">
        <f>IFERROR(__xludf.DUMMYFUNCTION("""COMPUTED_VALUE"""),6606800.0)</f>
        <v>6606800</v>
      </c>
      <c r="G682" s="2">
        <f t="shared" si="1"/>
        <v>10</v>
      </c>
    </row>
    <row r="683" ht="15.75" customHeight="1">
      <c r="A683" s="1">
        <f>IFERROR(__xludf.DUMMYFUNCTION("""COMPUTED_VALUE"""),44852.66666666667)</f>
        <v>44852.66667</v>
      </c>
      <c r="B683" s="2">
        <f>IFERROR(__xludf.DUMMYFUNCTION("""COMPUTED_VALUE"""),700.0)</f>
        <v>700</v>
      </c>
      <c r="C683" s="2">
        <f>IFERROR(__xludf.DUMMYFUNCTION("""COMPUTED_VALUE"""),700.0)</f>
        <v>700</v>
      </c>
      <c r="D683" s="2">
        <f>IFERROR(__xludf.DUMMYFUNCTION("""COMPUTED_VALUE"""),690.0)</f>
        <v>690</v>
      </c>
      <c r="E683" s="2">
        <f>IFERROR(__xludf.DUMMYFUNCTION("""COMPUTED_VALUE"""),700.0)</f>
        <v>700</v>
      </c>
      <c r="F683" s="2">
        <f>IFERROR(__xludf.DUMMYFUNCTION("""COMPUTED_VALUE"""),3276900.0)</f>
        <v>3276900</v>
      </c>
      <c r="G683" s="2">
        <f t="shared" si="1"/>
        <v>10</v>
      </c>
    </row>
    <row r="684" ht="15.75" customHeight="1">
      <c r="A684" s="1">
        <f>IFERROR(__xludf.DUMMYFUNCTION("""COMPUTED_VALUE"""),44853.66666666667)</f>
        <v>44853.66667</v>
      </c>
      <c r="B684" s="2">
        <f>IFERROR(__xludf.DUMMYFUNCTION("""COMPUTED_VALUE"""),700.0)</f>
        <v>700</v>
      </c>
      <c r="C684" s="2">
        <f>IFERROR(__xludf.DUMMYFUNCTION("""COMPUTED_VALUE"""),700.0)</f>
        <v>700</v>
      </c>
      <c r="D684" s="2">
        <f>IFERROR(__xludf.DUMMYFUNCTION("""COMPUTED_VALUE"""),690.0)</f>
        <v>690</v>
      </c>
      <c r="E684" s="2">
        <f>IFERROR(__xludf.DUMMYFUNCTION("""COMPUTED_VALUE"""),695.0)</f>
        <v>695</v>
      </c>
      <c r="F684" s="2">
        <f>IFERROR(__xludf.DUMMYFUNCTION("""COMPUTED_VALUE"""),4702600.0)</f>
        <v>4702600</v>
      </c>
      <c r="G684" s="2">
        <f t="shared" si="1"/>
        <v>10</v>
      </c>
    </row>
    <row r="685" ht="15.75" customHeight="1">
      <c r="A685" s="1">
        <f>IFERROR(__xludf.DUMMYFUNCTION("""COMPUTED_VALUE"""),44854.66666666667)</f>
        <v>44854.66667</v>
      </c>
      <c r="B685" s="2">
        <f>IFERROR(__xludf.DUMMYFUNCTION("""COMPUTED_VALUE"""),695.0)</f>
        <v>695</v>
      </c>
      <c r="C685" s="2">
        <f>IFERROR(__xludf.DUMMYFUNCTION("""COMPUTED_VALUE"""),695.0)</f>
        <v>695</v>
      </c>
      <c r="D685" s="2">
        <f>IFERROR(__xludf.DUMMYFUNCTION("""COMPUTED_VALUE"""),675.0)</f>
        <v>675</v>
      </c>
      <c r="E685" s="2">
        <f>IFERROR(__xludf.DUMMYFUNCTION("""COMPUTED_VALUE"""),695.0)</f>
        <v>695</v>
      </c>
      <c r="F685" s="2">
        <f>IFERROR(__xludf.DUMMYFUNCTION("""COMPUTED_VALUE"""),5.17283E7)</f>
        <v>51728300</v>
      </c>
      <c r="G685" s="2">
        <f t="shared" si="1"/>
        <v>20</v>
      </c>
    </row>
    <row r="686" ht="15.75" customHeight="1">
      <c r="A686" s="1">
        <f>IFERROR(__xludf.DUMMYFUNCTION("""COMPUTED_VALUE"""),44855.66666666667)</f>
        <v>44855.66667</v>
      </c>
      <c r="B686" s="2">
        <f>IFERROR(__xludf.DUMMYFUNCTION("""COMPUTED_VALUE"""),695.0)</f>
        <v>695</v>
      </c>
      <c r="C686" s="2">
        <f>IFERROR(__xludf.DUMMYFUNCTION("""COMPUTED_VALUE"""),695.0)</f>
        <v>695</v>
      </c>
      <c r="D686" s="2">
        <f>IFERROR(__xludf.DUMMYFUNCTION("""COMPUTED_VALUE"""),685.0)</f>
        <v>685</v>
      </c>
      <c r="E686" s="2">
        <f>IFERROR(__xludf.DUMMYFUNCTION("""COMPUTED_VALUE"""),690.0)</f>
        <v>690</v>
      </c>
      <c r="F686" s="2">
        <f>IFERROR(__xludf.DUMMYFUNCTION("""COMPUTED_VALUE"""),1.76707E7)</f>
        <v>17670700</v>
      </c>
      <c r="G686" s="2">
        <f t="shared" si="1"/>
        <v>10</v>
      </c>
    </row>
    <row r="687" ht="15.75" customHeight="1">
      <c r="A687" s="1">
        <f>IFERROR(__xludf.DUMMYFUNCTION("""COMPUTED_VALUE"""),44858.66666666667)</f>
        <v>44858.66667</v>
      </c>
      <c r="B687" s="2">
        <f>IFERROR(__xludf.DUMMYFUNCTION("""COMPUTED_VALUE"""),690.0)</f>
        <v>690</v>
      </c>
      <c r="C687" s="2">
        <f>IFERROR(__xludf.DUMMYFUNCTION("""COMPUTED_VALUE"""),695.0)</f>
        <v>695</v>
      </c>
      <c r="D687" s="2">
        <f>IFERROR(__xludf.DUMMYFUNCTION("""COMPUTED_VALUE"""),690.0)</f>
        <v>690</v>
      </c>
      <c r="E687" s="2">
        <f>IFERROR(__xludf.DUMMYFUNCTION("""COMPUTED_VALUE"""),695.0)</f>
        <v>695</v>
      </c>
      <c r="F687" s="2">
        <f>IFERROR(__xludf.DUMMYFUNCTION("""COMPUTED_VALUE"""),8023100.0)</f>
        <v>8023100</v>
      </c>
      <c r="G687" s="2">
        <f t="shared" si="1"/>
        <v>5</v>
      </c>
    </row>
    <row r="688" ht="15.75" customHeight="1">
      <c r="A688" s="1">
        <f>IFERROR(__xludf.DUMMYFUNCTION("""COMPUTED_VALUE"""),44859.66666666667)</f>
        <v>44859.66667</v>
      </c>
      <c r="B688" s="2">
        <f>IFERROR(__xludf.DUMMYFUNCTION("""COMPUTED_VALUE"""),695.0)</f>
        <v>695</v>
      </c>
      <c r="C688" s="2">
        <f>IFERROR(__xludf.DUMMYFUNCTION("""COMPUTED_VALUE"""),695.0)</f>
        <v>695</v>
      </c>
      <c r="D688" s="2">
        <f>IFERROR(__xludf.DUMMYFUNCTION("""COMPUTED_VALUE"""),690.0)</f>
        <v>690</v>
      </c>
      <c r="E688" s="2">
        <f>IFERROR(__xludf.DUMMYFUNCTION("""COMPUTED_VALUE"""),690.0)</f>
        <v>690</v>
      </c>
      <c r="F688" s="2">
        <f>IFERROR(__xludf.DUMMYFUNCTION("""COMPUTED_VALUE"""),7310300.0)</f>
        <v>7310300</v>
      </c>
      <c r="G688" s="2">
        <f t="shared" si="1"/>
        <v>5</v>
      </c>
    </row>
    <row r="689" ht="15.75" customHeight="1">
      <c r="A689" s="1">
        <f>IFERROR(__xludf.DUMMYFUNCTION("""COMPUTED_VALUE"""),44860.66666666667)</f>
        <v>44860.66667</v>
      </c>
      <c r="B689" s="2">
        <f>IFERROR(__xludf.DUMMYFUNCTION("""COMPUTED_VALUE"""),695.0)</f>
        <v>695</v>
      </c>
      <c r="C689" s="2">
        <f>IFERROR(__xludf.DUMMYFUNCTION("""COMPUTED_VALUE"""),695.0)</f>
        <v>695</v>
      </c>
      <c r="D689" s="2">
        <f>IFERROR(__xludf.DUMMYFUNCTION("""COMPUTED_VALUE"""),690.0)</f>
        <v>690</v>
      </c>
      <c r="E689" s="2">
        <f>IFERROR(__xludf.DUMMYFUNCTION("""COMPUTED_VALUE"""),695.0)</f>
        <v>695</v>
      </c>
      <c r="F689" s="2">
        <f>IFERROR(__xludf.DUMMYFUNCTION("""COMPUTED_VALUE"""),1731300.0)</f>
        <v>1731300</v>
      </c>
      <c r="G689" s="2">
        <f t="shared" si="1"/>
        <v>5</v>
      </c>
    </row>
    <row r="690" ht="15.75" customHeight="1">
      <c r="A690" s="1">
        <f>IFERROR(__xludf.DUMMYFUNCTION("""COMPUTED_VALUE"""),44861.66666666667)</f>
        <v>44861.66667</v>
      </c>
      <c r="B690" s="2">
        <f>IFERROR(__xludf.DUMMYFUNCTION("""COMPUTED_VALUE"""),690.0)</f>
        <v>690</v>
      </c>
      <c r="C690" s="2">
        <f>IFERROR(__xludf.DUMMYFUNCTION("""COMPUTED_VALUE"""),695.0)</f>
        <v>695</v>
      </c>
      <c r="D690" s="2">
        <f>IFERROR(__xludf.DUMMYFUNCTION("""COMPUTED_VALUE"""),690.0)</f>
        <v>690</v>
      </c>
      <c r="E690" s="2">
        <f>IFERROR(__xludf.DUMMYFUNCTION("""COMPUTED_VALUE"""),695.0)</f>
        <v>695</v>
      </c>
      <c r="F690" s="2">
        <f>IFERROR(__xludf.DUMMYFUNCTION("""COMPUTED_VALUE"""),5175600.0)</f>
        <v>5175600</v>
      </c>
      <c r="G690" s="2">
        <f t="shared" si="1"/>
        <v>5</v>
      </c>
    </row>
    <row r="691" ht="15.75" customHeight="1">
      <c r="A691" s="1">
        <f>IFERROR(__xludf.DUMMYFUNCTION("""COMPUTED_VALUE"""),44862.66666666667)</f>
        <v>44862.66667</v>
      </c>
      <c r="B691" s="2">
        <f>IFERROR(__xludf.DUMMYFUNCTION("""COMPUTED_VALUE"""),695.0)</f>
        <v>695</v>
      </c>
      <c r="C691" s="2">
        <f>IFERROR(__xludf.DUMMYFUNCTION("""COMPUTED_VALUE"""),695.0)</f>
        <v>695</v>
      </c>
      <c r="D691" s="2">
        <f>IFERROR(__xludf.DUMMYFUNCTION("""COMPUTED_VALUE"""),690.0)</f>
        <v>690</v>
      </c>
      <c r="E691" s="2">
        <f>IFERROR(__xludf.DUMMYFUNCTION("""COMPUTED_VALUE"""),695.0)</f>
        <v>695</v>
      </c>
      <c r="F691" s="2">
        <f>IFERROR(__xludf.DUMMYFUNCTION("""COMPUTED_VALUE"""),4354100.0)</f>
        <v>4354100</v>
      </c>
      <c r="G691" s="2">
        <f t="shared" si="1"/>
        <v>5</v>
      </c>
    </row>
    <row r="692" ht="15.75" customHeight="1">
      <c r="A692" s="1">
        <f>IFERROR(__xludf.DUMMYFUNCTION("""COMPUTED_VALUE"""),44865.66666666667)</f>
        <v>44865.66667</v>
      </c>
      <c r="B692" s="2">
        <f>IFERROR(__xludf.DUMMYFUNCTION("""COMPUTED_VALUE"""),695.0)</f>
        <v>695</v>
      </c>
      <c r="C692" s="2">
        <f>IFERROR(__xludf.DUMMYFUNCTION("""COMPUTED_VALUE"""),705.0)</f>
        <v>705</v>
      </c>
      <c r="D692" s="2">
        <f>IFERROR(__xludf.DUMMYFUNCTION("""COMPUTED_VALUE"""),690.0)</f>
        <v>690</v>
      </c>
      <c r="E692" s="2">
        <f>IFERROR(__xludf.DUMMYFUNCTION("""COMPUTED_VALUE"""),705.0)</f>
        <v>705</v>
      </c>
      <c r="F692" s="2">
        <f>IFERROR(__xludf.DUMMYFUNCTION("""COMPUTED_VALUE"""),8259000.0)</f>
        <v>8259000</v>
      </c>
      <c r="G692" s="2">
        <f t="shared" si="1"/>
        <v>15</v>
      </c>
    </row>
    <row r="693" ht="15.75" customHeight="1">
      <c r="A693" s="1">
        <f>IFERROR(__xludf.DUMMYFUNCTION("""COMPUTED_VALUE"""),44866.625)</f>
        <v>44866.625</v>
      </c>
      <c r="B693" s="2">
        <f>IFERROR(__xludf.DUMMYFUNCTION("""COMPUTED_VALUE"""),705.0)</f>
        <v>705</v>
      </c>
      <c r="C693" s="2">
        <f>IFERROR(__xludf.DUMMYFUNCTION("""COMPUTED_VALUE"""),710.0)</f>
        <v>710</v>
      </c>
      <c r="D693" s="2">
        <f>IFERROR(__xludf.DUMMYFUNCTION("""COMPUTED_VALUE"""),700.0)</f>
        <v>700</v>
      </c>
      <c r="E693" s="2">
        <f>IFERROR(__xludf.DUMMYFUNCTION("""COMPUTED_VALUE"""),700.0)</f>
        <v>700</v>
      </c>
      <c r="F693" s="2">
        <f>IFERROR(__xludf.DUMMYFUNCTION("""COMPUTED_VALUE"""),5397300.0)</f>
        <v>5397300</v>
      </c>
      <c r="G693" s="2">
        <f t="shared" si="1"/>
        <v>10</v>
      </c>
    </row>
    <row r="694" ht="15.75" customHeight="1">
      <c r="A694" s="1">
        <f>IFERROR(__xludf.DUMMYFUNCTION("""COMPUTED_VALUE"""),44867.625)</f>
        <v>44867.625</v>
      </c>
      <c r="B694" s="2">
        <f>IFERROR(__xludf.DUMMYFUNCTION("""COMPUTED_VALUE"""),700.0)</f>
        <v>700</v>
      </c>
      <c r="C694" s="2">
        <f>IFERROR(__xludf.DUMMYFUNCTION("""COMPUTED_VALUE"""),710.0)</f>
        <v>710</v>
      </c>
      <c r="D694" s="2">
        <f>IFERROR(__xludf.DUMMYFUNCTION("""COMPUTED_VALUE"""),700.0)</f>
        <v>700</v>
      </c>
      <c r="E694" s="2">
        <f>IFERROR(__xludf.DUMMYFUNCTION("""COMPUTED_VALUE"""),705.0)</f>
        <v>705</v>
      </c>
      <c r="F694" s="2">
        <f>IFERROR(__xludf.DUMMYFUNCTION("""COMPUTED_VALUE"""),3160700.0)</f>
        <v>3160700</v>
      </c>
      <c r="G694" s="2">
        <f t="shared" si="1"/>
        <v>10</v>
      </c>
    </row>
    <row r="695" ht="15.75" customHeight="1">
      <c r="A695" s="1">
        <f>IFERROR(__xludf.DUMMYFUNCTION("""COMPUTED_VALUE"""),44868.66666666667)</f>
        <v>44868.66667</v>
      </c>
      <c r="B695" s="2">
        <f>IFERROR(__xludf.DUMMYFUNCTION("""COMPUTED_VALUE"""),705.0)</f>
        <v>705</v>
      </c>
      <c r="C695" s="2">
        <f>IFERROR(__xludf.DUMMYFUNCTION("""COMPUTED_VALUE"""),705.0)</f>
        <v>705</v>
      </c>
      <c r="D695" s="2">
        <f>IFERROR(__xludf.DUMMYFUNCTION("""COMPUTED_VALUE"""),700.0)</f>
        <v>700</v>
      </c>
      <c r="E695" s="2">
        <f>IFERROR(__xludf.DUMMYFUNCTION("""COMPUTED_VALUE"""),700.0)</f>
        <v>700</v>
      </c>
      <c r="F695" s="2">
        <f>IFERROR(__xludf.DUMMYFUNCTION("""COMPUTED_VALUE"""),2126400.0)</f>
        <v>2126400</v>
      </c>
      <c r="G695" s="2">
        <f t="shared" si="1"/>
        <v>5</v>
      </c>
    </row>
    <row r="696" ht="15.75" customHeight="1">
      <c r="A696" s="1">
        <f>IFERROR(__xludf.DUMMYFUNCTION("""COMPUTED_VALUE"""),44869.66666666667)</f>
        <v>44869.66667</v>
      </c>
      <c r="B696" s="2">
        <f>IFERROR(__xludf.DUMMYFUNCTION("""COMPUTED_VALUE"""),700.0)</f>
        <v>700</v>
      </c>
      <c r="C696" s="2">
        <f>IFERROR(__xludf.DUMMYFUNCTION("""COMPUTED_VALUE"""),705.0)</f>
        <v>705</v>
      </c>
      <c r="D696" s="2">
        <f>IFERROR(__xludf.DUMMYFUNCTION("""COMPUTED_VALUE"""),700.0)</f>
        <v>700</v>
      </c>
      <c r="E696" s="2">
        <f>IFERROR(__xludf.DUMMYFUNCTION("""COMPUTED_VALUE"""),700.0)</f>
        <v>700</v>
      </c>
      <c r="F696" s="2">
        <f>IFERROR(__xludf.DUMMYFUNCTION("""COMPUTED_VALUE"""),2285800.0)</f>
        <v>2285800</v>
      </c>
      <c r="G696" s="2">
        <f t="shared" si="1"/>
        <v>5</v>
      </c>
    </row>
    <row r="697" ht="15.75" customHeight="1">
      <c r="A697" s="1">
        <f>IFERROR(__xludf.DUMMYFUNCTION("""COMPUTED_VALUE"""),44872.66666666667)</f>
        <v>44872.66667</v>
      </c>
      <c r="B697" s="2">
        <f>IFERROR(__xludf.DUMMYFUNCTION("""COMPUTED_VALUE"""),700.0)</f>
        <v>700</v>
      </c>
      <c r="C697" s="2">
        <f>IFERROR(__xludf.DUMMYFUNCTION("""COMPUTED_VALUE"""),710.0)</f>
        <v>710</v>
      </c>
      <c r="D697" s="2">
        <f>IFERROR(__xludf.DUMMYFUNCTION("""COMPUTED_VALUE"""),700.0)</f>
        <v>700</v>
      </c>
      <c r="E697" s="2">
        <f>IFERROR(__xludf.DUMMYFUNCTION("""COMPUTED_VALUE"""),710.0)</f>
        <v>710</v>
      </c>
      <c r="F697" s="2">
        <f>IFERROR(__xludf.DUMMYFUNCTION("""COMPUTED_VALUE"""),8046100.0)</f>
        <v>8046100</v>
      </c>
      <c r="G697" s="2">
        <f t="shared" si="1"/>
        <v>10</v>
      </c>
    </row>
    <row r="698" ht="15.75" customHeight="1">
      <c r="A698" s="1">
        <f>IFERROR(__xludf.DUMMYFUNCTION("""COMPUTED_VALUE"""),44873.66666666667)</f>
        <v>44873.66667</v>
      </c>
      <c r="B698" s="2">
        <f>IFERROR(__xludf.DUMMYFUNCTION("""COMPUTED_VALUE"""),710.0)</f>
        <v>710</v>
      </c>
      <c r="C698" s="2">
        <f>IFERROR(__xludf.DUMMYFUNCTION("""COMPUTED_VALUE"""),710.0)</f>
        <v>710</v>
      </c>
      <c r="D698" s="2">
        <f>IFERROR(__xludf.DUMMYFUNCTION("""COMPUTED_VALUE"""),705.0)</f>
        <v>705</v>
      </c>
      <c r="E698" s="2">
        <f>IFERROR(__xludf.DUMMYFUNCTION("""COMPUTED_VALUE"""),710.0)</f>
        <v>710</v>
      </c>
      <c r="F698" s="2">
        <f>IFERROR(__xludf.DUMMYFUNCTION("""COMPUTED_VALUE"""),3579900.0)</f>
        <v>3579900</v>
      </c>
      <c r="G698" s="2">
        <f t="shared" si="1"/>
        <v>5</v>
      </c>
    </row>
    <row r="699" ht="15.75" customHeight="1">
      <c r="A699" s="1">
        <f>IFERROR(__xludf.DUMMYFUNCTION("""COMPUTED_VALUE"""),44874.66666666667)</f>
        <v>44874.66667</v>
      </c>
      <c r="B699" s="2">
        <f>IFERROR(__xludf.DUMMYFUNCTION("""COMPUTED_VALUE"""),710.0)</f>
        <v>710</v>
      </c>
      <c r="C699" s="2">
        <f>IFERROR(__xludf.DUMMYFUNCTION("""COMPUTED_VALUE"""),710.0)</f>
        <v>710</v>
      </c>
      <c r="D699" s="2">
        <f>IFERROR(__xludf.DUMMYFUNCTION("""COMPUTED_VALUE"""),700.0)</f>
        <v>700</v>
      </c>
      <c r="E699" s="2">
        <f>IFERROR(__xludf.DUMMYFUNCTION("""COMPUTED_VALUE"""),705.0)</f>
        <v>705</v>
      </c>
      <c r="F699" s="2">
        <f>IFERROR(__xludf.DUMMYFUNCTION("""COMPUTED_VALUE"""),1.00309E7)</f>
        <v>10030900</v>
      </c>
      <c r="G699" s="2">
        <f t="shared" si="1"/>
        <v>10</v>
      </c>
    </row>
    <row r="700" ht="15.75" customHeight="1">
      <c r="A700" s="1">
        <f>IFERROR(__xludf.DUMMYFUNCTION("""COMPUTED_VALUE"""),44875.66666666667)</f>
        <v>44875.66667</v>
      </c>
      <c r="B700" s="2">
        <f>IFERROR(__xludf.DUMMYFUNCTION("""COMPUTED_VALUE"""),705.0)</f>
        <v>705</v>
      </c>
      <c r="C700" s="2">
        <f>IFERROR(__xludf.DUMMYFUNCTION("""COMPUTED_VALUE"""),705.0)</f>
        <v>705</v>
      </c>
      <c r="D700" s="2">
        <f>IFERROR(__xludf.DUMMYFUNCTION("""COMPUTED_VALUE"""),695.0)</f>
        <v>695</v>
      </c>
      <c r="E700" s="2">
        <f>IFERROR(__xludf.DUMMYFUNCTION("""COMPUTED_VALUE"""),700.0)</f>
        <v>700</v>
      </c>
      <c r="F700" s="2">
        <f>IFERROR(__xludf.DUMMYFUNCTION("""COMPUTED_VALUE"""),9231700.0)</f>
        <v>9231700</v>
      </c>
      <c r="G700" s="2">
        <f t="shared" si="1"/>
        <v>10</v>
      </c>
    </row>
    <row r="701" ht="15.75" customHeight="1">
      <c r="A701" s="1">
        <f>IFERROR(__xludf.DUMMYFUNCTION("""COMPUTED_VALUE"""),44876.66666666667)</f>
        <v>44876.66667</v>
      </c>
      <c r="B701" s="2">
        <f>IFERROR(__xludf.DUMMYFUNCTION("""COMPUTED_VALUE"""),705.0)</f>
        <v>705</v>
      </c>
      <c r="C701" s="2">
        <f>IFERROR(__xludf.DUMMYFUNCTION("""COMPUTED_VALUE"""),710.0)</f>
        <v>710</v>
      </c>
      <c r="D701" s="2">
        <f>IFERROR(__xludf.DUMMYFUNCTION("""COMPUTED_VALUE"""),700.0)</f>
        <v>700</v>
      </c>
      <c r="E701" s="2">
        <f>IFERROR(__xludf.DUMMYFUNCTION("""COMPUTED_VALUE"""),700.0)</f>
        <v>700</v>
      </c>
      <c r="F701" s="2">
        <f>IFERROR(__xludf.DUMMYFUNCTION("""COMPUTED_VALUE"""),8003000.0)</f>
        <v>8003000</v>
      </c>
      <c r="G701" s="2">
        <f t="shared" si="1"/>
        <v>10</v>
      </c>
    </row>
    <row r="702" ht="15.75" customHeight="1">
      <c r="A702" s="1">
        <f>IFERROR(__xludf.DUMMYFUNCTION("""COMPUTED_VALUE"""),44879.66666666667)</f>
        <v>44879.66667</v>
      </c>
      <c r="B702" s="2">
        <f>IFERROR(__xludf.DUMMYFUNCTION("""COMPUTED_VALUE"""),700.0)</f>
        <v>700</v>
      </c>
      <c r="C702" s="2">
        <f>IFERROR(__xludf.DUMMYFUNCTION("""COMPUTED_VALUE"""),705.0)</f>
        <v>705</v>
      </c>
      <c r="D702" s="2">
        <f>IFERROR(__xludf.DUMMYFUNCTION("""COMPUTED_VALUE"""),695.0)</f>
        <v>695</v>
      </c>
      <c r="E702" s="2">
        <f>IFERROR(__xludf.DUMMYFUNCTION("""COMPUTED_VALUE"""),700.0)</f>
        <v>700</v>
      </c>
      <c r="F702" s="2">
        <f>IFERROR(__xludf.DUMMYFUNCTION("""COMPUTED_VALUE"""),7034500.0)</f>
        <v>7034500</v>
      </c>
      <c r="G702" s="2">
        <f t="shared" si="1"/>
        <v>10</v>
      </c>
    </row>
    <row r="703" ht="15.75" customHeight="1">
      <c r="A703" s="1">
        <f>IFERROR(__xludf.DUMMYFUNCTION("""COMPUTED_VALUE"""),44880.66666666667)</f>
        <v>44880.66667</v>
      </c>
      <c r="B703" s="2">
        <f>IFERROR(__xludf.DUMMYFUNCTION("""COMPUTED_VALUE"""),700.0)</f>
        <v>700</v>
      </c>
      <c r="C703" s="2">
        <f>IFERROR(__xludf.DUMMYFUNCTION("""COMPUTED_VALUE"""),710.0)</f>
        <v>710</v>
      </c>
      <c r="D703" s="2">
        <f>IFERROR(__xludf.DUMMYFUNCTION("""COMPUTED_VALUE"""),700.0)</f>
        <v>700</v>
      </c>
      <c r="E703" s="2">
        <f>IFERROR(__xludf.DUMMYFUNCTION("""COMPUTED_VALUE"""),710.0)</f>
        <v>710</v>
      </c>
      <c r="F703" s="2">
        <f>IFERROR(__xludf.DUMMYFUNCTION("""COMPUTED_VALUE"""),4412600.0)</f>
        <v>4412600</v>
      </c>
      <c r="G703" s="2">
        <f t="shared" si="1"/>
        <v>10</v>
      </c>
    </row>
    <row r="704" ht="15.75" customHeight="1">
      <c r="A704" s="1">
        <f>IFERROR(__xludf.DUMMYFUNCTION("""COMPUTED_VALUE"""),44881.66666666667)</f>
        <v>44881.66667</v>
      </c>
      <c r="B704" s="2">
        <f>IFERROR(__xludf.DUMMYFUNCTION("""COMPUTED_VALUE"""),710.0)</f>
        <v>710</v>
      </c>
      <c r="C704" s="2">
        <f>IFERROR(__xludf.DUMMYFUNCTION("""COMPUTED_VALUE"""),710.0)</f>
        <v>710</v>
      </c>
      <c r="D704" s="2">
        <f>IFERROR(__xludf.DUMMYFUNCTION("""COMPUTED_VALUE"""),700.0)</f>
        <v>700</v>
      </c>
      <c r="E704" s="2">
        <f>IFERROR(__xludf.DUMMYFUNCTION("""COMPUTED_VALUE"""),700.0)</f>
        <v>700</v>
      </c>
      <c r="F704" s="2">
        <f>IFERROR(__xludf.DUMMYFUNCTION("""COMPUTED_VALUE"""),2305400.0)</f>
        <v>2305400</v>
      </c>
      <c r="G704" s="2">
        <f t="shared" si="1"/>
        <v>10</v>
      </c>
    </row>
    <row r="705" ht="15.75" customHeight="1">
      <c r="A705" s="1">
        <f>IFERROR(__xludf.DUMMYFUNCTION("""COMPUTED_VALUE"""),44882.66666666667)</f>
        <v>44882.66667</v>
      </c>
      <c r="B705" s="2">
        <f>IFERROR(__xludf.DUMMYFUNCTION("""COMPUTED_VALUE"""),700.0)</f>
        <v>700</v>
      </c>
      <c r="C705" s="2">
        <f>IFERROR(__xludf.DUMMYFUNCTION("""COMPUTED_VALUE"""),710.0)</f>
        <v>710</v>
      </c>
      <c r="D705" s="2">
        <f>IFERROR(__xludf.DUMMYFUNCTION("""COMPUTED_VALUE"""),700.0)</f>
        <v>700</v>
      </c>
      <c r="E705" s="2">
        <f>IFERROR(__xludf.DUMMYFUNCTION("""COMPUTED_VALUE"""),705.0)</f>
        <v>705</v>
      </c>
      <c r="F705" s="2">
        <f>IFERROR(__xludf.DUMMYFUNCTION("""COMPUTED_VALUE"""),1.1081E7)</f>
        <v>11081000</v>
      </c>
      <c r="G705" s="2">
        <f t="shared" si="1"/>
        <v>10</v>
      </c>
    </row>
    <row r="706" ht="15.75" customHeight="1">
      <c r="A706" s="1">
        <f>IFERROR(__xludf.DUMMYFUNCTION("""COMPUTED_VALUE"""),44883.66666666667)</f>
        <v>44883.66667</v>
      </c>
      <c r="B706" s="2">
        <f>IFERROR(__xludf.DUMMYFUNCTION("""COMPUTED_VALUE"""),705.0)</f>
        <v>705</v>
      </c>
      <c r="C706" s="2">
        <f>IFERROR(__xludf.DUMMYFUNCTION("""COMPUTED_VALUE"""),715.0)</f>
        <v>715</v>
      </c>
      <c r="D706" s="2">
        <f>IFERROR(__xludf.DUMMYFUNCTION("""COMPUTED_VALUE"""),705.0)</f>
        <v>705</v>
      </c>
      <c r="E706" s="2">
        <f>IFERROR(__xludf.DUMMYFUNCTION("""COMPUTED_VALUE"""),710.0)</f>
        <v>710</v>
      </c>
      <c r="F706" s="2">
        <f>IFERROR(__xludf.DUMMYFUNCTION("""COMPUTED_VALUE"""),4023500.0)</f>
        <v>4023500</v>
      </c>
      <c r="G706" s="2">
        <f t="shared" si="1"/>
        <v>10</v>
      </c>
    </row>
    <row r="707" ht="15.75" customHeight="1">
      <c r="A707" s="1">
        <f>IFERROR(__xludf.DUMMYFUNCTION("""COMPUTED_VALUE"""),44886.66666666667)</f>
        <v>44886.66667</v>
      </c>
      <c r="B707" s="2">
        <f>IFERROR(__xludf.DUMMYFUNCTION("""COMPUTED_VALUE"""),715.0)</f>
        <v>715</v>
      </c>
      <c r="C707" s="2">
        <f>IFERROR(__xludf.DUMMYFUNCTION("""COMPUTED_VALUE"""),715.0)</f>
        <v>715</v>
      </c>
      <c r="D707" s="2">
        <f>IFERROR(__xludf.DUMMYFUNCTION("""COMPUTED_VALUE"""),700.0)</f>
        <v>700</v>
      </c>
      <c r="E707" s="2">
        <f>IFERROR(__xludf.DUMMYFUNCTION("""COMPUTED_VALUE"""),700.0)</f>
        <v>700</v>
      </c>
      <c r="F707" s="2">
        <f>IFERROR(__xludf.DUMMYFUNCTION("""COMPUTED_VALUE"""),1.5267E7)</f>
        <v>15267000</v>
      </c>
      <c r="G707" s="2">
        <f t="shared" si="1"/>
        <v>15</v>
      </c>
    </row>
    <row r="708" ht="15.75" customHeight="1">
      <c r="A708" s="1">
        <f>IFERROR(__xludf.DUMMYFUNCTION("""COMPUTED_VALUE"""),44887.66666666667)</f>
        <v>44887.66667</v>
      </c>
      <c r="B708" s="2">
        <f>IFERROR(__xludf.DUMMYFUNCTION("""COMPUTED_VALUE"""),705.0)</f>
        <v>705</v>
      </c>
      <c r="C708" s="2">
        <f>IFERROR(__xludf.DUMMYFUNCTION("""COMPUTED_VALUE"""),710.0)</f>
        <v>710</v>
      </c>
      <c r="D708" s="2">
        <f>IFERROR(__xludf.DUMMYFUNCTION("""COMPUTED_VALUE"""),700.0)</f>
        <v>700</v>
      </c>
      <c r="E708" s="2">
        <f>IFERROR(__xludf.DUMMYFUNCTION("""COMPUTED_VALUE"""),705.0)</f>
        <v>705</v>
      </c>
      <c r="F708" s="2">
        <f>IFERROR(__xludf.DUMMYFUNCTION("""COMPUTED_VALUE"""),2177400.0)</f>
        <v>2177400</v>
      </c>
      <c r="G708" s="2">
        <f t="shared" si="1"/>
        <v>10</v>
      </c>
    </row>
    <row r="709" ht="15.75" customHeight="1">
      <c r="A709" s="1">
        <f>IFERROR(__xludf.DUMMYFUNCTION("""COMPUTED_VALUE"""),44888.66666666667)</f>
        <v>44888.66667</v>
      </c>
      <c r="B709" s="2">
        <f>IFERROR(__xludf.DUMMYFUNCTION("""COMPUTED_VALUE"""),705.0)</f>
        <v>705</v>
      </c>
      <c r="C709" s="2">
        <f>IFERROR(__xludf.DUMMYFUNCTION("""COMPUTED_VALUE"""),710.0)</f>
        <v>710</v>
      </c>
      <c r="D709" s="2">
        <f>IFERROR(__xludf.DUMMYFUNCTION("""COMPUTED_VALUE"""),700.0)</f>
        <v>700</v>
      </c>
      <c r="E709" s="2">
        <f>IFERROR(__xludf.DUMMYFUNCTION("""COMPUTED_VALUE"""),710.0)</f>
        <v>710</v>
      </c>
      <c r="F709" s="2">
        <f>IFERROR(__xludf.DUMMYFUNCTION("""COMPUTED_VALUE"""),2223600.0)</f>
        <v>2223600</v>
      </c>
      <c r="G709" s="2">
        <f t="shared" si="1"/>
        <v>10</v>
      </c>
    </row>
    <row r="710" ht="15.75" customHeight="1">
      <c r="A710" s="1">
        <f>IFERROR(__xludf.DUMMYFUNCTION("""COMPUTED_VALUE"""),44889.66666666667)</f>
        <v>44889.66667</v>
      </c>
      <c r="B710" s="2">
        <f>IFERROR(__xludf.DUMMYFUNCTION("""COMPUTED_VALUE"""),710.0)</f>
        <v>710</v>
      </c>
      <c r="C710" s="2">
        <f>IFERROR(__xludf.DUMMYFUNCTION("""COMPUTED_VALUE"""),710.0)</f>
        <v>710</v>
      </c>
      <c r="D710" s="2">
        <f>IFERROR(__xludf.DUMMYFUNCTION("""COMPUTED_VALUE"""),705.0)</f>
        <v>705</v>
      </c>
      <c r="E710" s="2">
        <f>IFERROR(__xludf.DUMMYFUNCTION("""COMPUTED_VALUE"""),710.0)</f>
        <v>710</v>
      </c>
      <c r="F710" s="2">
        <f>IFERROR(__xludf.DUMMYFUNCTION("""COMPUTED_VALUE"""),2497600.0)</f>
        <v>2497600</v>
      </c>
      <c r="G710" s="2">
        <f t="shared" si="1"/>
        <v>5</v>
      </c>
    </row>
    <row r="711" ht="15.75" customHeight="1">
      <c r="A711" s="1">
        <f>IFERROR(__xludf.DUMMYFUNCTION("""COMPUTED_VALUE"""),44890.66666666667)</f>
        <v>44890.66667</v>
      </c>
      <c r="B711" s="2">
        <f>IFERROR(__xludf.DUMMYFUNCTION("""COMPUTED_VALUE"""),710.0)</f>
        <v>710</v>
      </c>
      <c r="C711" s="2">
        <f>IFERROR(__xludf.DUMMYFUNCTION("""COMPUTED_VALUE"""),715.0)</f>
        <v>715</v>
      </c>
      <c r="D711" s="2">
        <f>IFERROR(__xludf.DUMMYFUNCTION("""COMPUTED_VALUE"""),705.0)</f>
        <v>705</v>
      </c>
      <c r="E711" s="2">
        <f>IFERROR(__xludf.DUMMYFUNCTION("""COMPUTED_VALUE"""),710.0)</f>
        <v>710</v>
      </c>
      <c r="F711" s="2">
        <f>IFERROR(__xludf.DUMMYFUNCTION("""COMPUTED_VALUE"""),2201900.0)</f>
        <v>2201900</v>
      </c>
      <c r="G711" s="2">
        <f t="shared" si="1"/>
        <v>10</v>
      </c>
    </row>
    <row r="712" ht="15.75" customHeight="1">
      <c r="A712" s="1">
        <f>IFERROR(__xludf.DUMMYFUNCTION("""COMPUTED_VALUE"""),44893.66666666667)</f>
        <v>44893.66667</v>
      </c>
      <c r="B712" s="2">
        <f>IFERROR(__xludf.DUMMYFUNCTION("""COMPUTED_VALUE"""),710.0)</f>
        <v>710</v>
      </c>
      <c r="C712" s="2">
        <f>IFERROR(__xludf.DUMMYFUNCTION("""COMPUTED_VALUE"""),715.0)</f>
        <v>715</v>
      </c>
      <c r="D712" s="2">
        <f>IFERROR(__xludf.DUMMYFUNCTION("""COMPUTED_VALUE"""),705.0)</f>
        <v>705</v>
      </c>
      <c r="E712" s="2">
        <f>IFERROR(__xludf.DUMMYFUNCTION("""COMPUTED_VALUE"""),710.0)</f>
        <v>710</v>
      </c>
      <c r="F712" s="2">
        <f>IFERROR(__xludf.DUMMYFUNCTION("""COMPUTED_VALUE"""),3424400.0)</f>
        <v>3424400</v>
      </c>
      <c r="G712" s="2">
        <f t="shared" si="1"/>
        <v>10</v>
      </c>
    </row>
    <row r="713" ht="15.75" customHeight="1">
      <c r="A713" s="1">
        <f>IFERROR(__xludf.DUMMYFUNCTION("""COMPUTED_VALUE"""),44894.66666666667)</f>
        <v>44894.66667</v>
      </c>
      <c r="B713" s="2">
        <f>IFERROR(__xludf.DUMMYFUNCTION("""COMPUTED_VALUE"""),710.0)</f>
        <v>710</v>
      </c>
      <c r="C713" s="2">
        <f>IFERROR(__xludf.DUMMYFUNCTION("""COMPUTED_VALUE"""),715.0)</f>
        <v>715</v>
      </c>
      <c r="D713" s="2">
        <f>IFERROR(__xludf.DUMMYFUNCTION("""COMPUTED_VALUE"""),705.0)</f>
        <v>705</v>
      </c>
      <c r="E713" s="2">
        <f>IFERROR(__xludf.DUMMYFUNCTION("""COMPUTED_VALUE"""),710.0)</f>
        <v>710</v>
      </c>
      <c r="F713" s="2">
        <f>IFERROR(__xludf.DUMMYFUNCTION("""COMPUTED_VALUE"""),3580900.0)</f>
        <v>3580900</v>
      </c>
      <c r="G713" s="2">
        <f t="shared" si="1"/>
        <v>10</v>
      </c>
    </row>
    <row r="714" ht="15.75" customHeight="1">
      <c r="A714" s="1">
        <f>IFERROR(__xludf.DUMMYFUNCTION("""COMPUTED_VALUE"""),44895.66666666667)</f>
        <v>44895.66667</v>
      </c>
      <c r="B714" s="2">
        <f>IFERROR(__xludf.DUMMYFUNCTION("""COMPUTED_VALUE"""),710.0)</f>
        <v>710</v>
      </c>
      <c r="C714" s="2">
        <f>IFERROR(__xludf.DUMMYFUNCTION("""COMPUTED_VALUE"""),730.0)</f>
        <v>730</v>
      </c>
      <c r="D714" s="2">
        <f>IFERROR(__xludf.DUMMYFUNCTION("""COMPUTED_VALUE"""),705.0)</f>
        <v>705</v>
      </c>
      <c r="E714" s="2">
        <f>IFERROR(__xludf.DUMMYFUNCTION("""COMPUTED_VALUE"""),730.0)</f>
        <v>730</v>
      </c>
      <c r="F714" s="2">
        <f>IFERROR(__xludf.DUMMYFUNCTION("""COMPUTED_VALUE"""),1.31338E7)</f>
        <v>13133800</v>
      </c>
      <c r="G714" s="2">
        <f t="shared" si="1"/>
        <v>25</v>
      </c>
    </row>
    <row r="715" ht="15.75" customHeight="1">
      <c r="A715" s="1">
        <f>IFERROR(__xludf.DUMMYFUNCTION("""COMPUTED_VALUE"""),44896.66666666667)</f>
        <v>44896.66667</v>
      </c>
      <c r="B715" s="2">
        <f>IFERROR(__xludf.DUMMYFUNCTION("""COMPUTED_VALUE"""),730.0)</f>
        <v>730</v>
      </c>
      <c r="C715" s="2">
        <f>IFERROR(__xludf.DUMMYFUNCTION("""COMPUTED_VALUE"""),730.0)</f>
        <v>730</v>
      </c>
      <c r="D715" s="2">
        <f>IFERROR(__xludf.DUMMYFUNCTION("""COMPUTED_VALUE"""),720.0)</f>
        <v>720</v>
      </c>
      <c r="E715" s="2">
        <f>IFERROR(__xludf.DUMMYFUNCTION("""COMPUTED_VALUE"""),720.0)</f>
        <v>720</v>
      </c>
      <c r="F715" s="2">
        <f>IFERROR(__xludf.DUMMYFUNCTION("""COMPUTED_VALUE"""),4724300.0)</f>
        <v>4724300</v>
      </c>
      <c r="G715" s="2">
        <f t="shared" si="1"/>
        <v>10</v>
      </c>
    </row>
    <row r="716" ht="15.75" customHeight="1">
      <c r="A716" s="1">
        <f>IFERROR(__xludf.DUMMYFUNCTION("""COMPUTED_VALUE"""),44897.66666666667)</f>
        <v>44897.66667</v>
      </c>
      <c r="B716" s="2">
        <f>IFERROR(__xludf.DUMMYFUNCTION("""COMPUTED_VALUE"""),720.0)</f>
        <v>720</v>
      </c>
      <c r="C716" s="2">
        <f>IFERROR(__xludf.DUMMYFUNCTION("""COMPUTED_VALUE"""),725.0)</f>
        <v>725</v>
      </c>
      <c r="D716" s="2">
        <f>IFERROR(__xludf.DUMMYFUNCTION("""COMPUTED_VALUE"""),715.0)</f>
        <v>715</v>
      </c>
      <c r="E716" s="2">
        <f>IFERROR(__xludf.DUMMYFUNCTION("""COMPUTED_VALUE"""),715.0)</f>
        <v>715</v>
      </c>
      <c r="F716" s="2">
        <f>IFERROR(__xludf.DUMMYFUNCTION("""COMPUTED_VALUE"""),4600400.0)</f>
        <v>4600400</v>
      </c>
      <c r="G716" s="2">
        <f t="shared" si="1"/>
        <v>10</v>
      </c>
    </row>
    <row r="717" ht="15.75" customHeight="1">
      <c r="A717" s="1">
        <f>IFERROR(__xludf.DUMMYFUNCTION("""COMPUTED_VALUE"""),44900.66666666667)</f>
        <v>44900.66667</v>
      </c>
      <c r="B717" s="2">
        <f>IFERROR(__xludf.DUMMYFUNCTION("""COMPUTED_VALUE"""),715.0)</f>
        <v>715</v>
      </c>
      <c r="C717" s="2">
        <f>IFERROR(__xludf.DUMMYFUNCTION("""COMPUTED_VALUE"""),725.0)</f>
        <v>725</v>
      </c>
      <c r="D717" s="2">
        <f>IFERROR(__xludf.DUMMYFUNCTION("""COMPUTED_VALUE"""),715.0)</f>
        <v>715</v>
      </c>
      <c r="E717" s="2">
        <f>IFERROR(__xludf.DUMMYFUNCTION("""COMPUTED_VALUE"""),720.0)</f>
        <v>720</v>
      </c>
      <c r="F717" s="2">
        <f>IFERROR(__xludf.DUMMYFUNCTION("""COMPUTED_VALUE"""),3552400.0)</f>
        <v>3552400</v>
      </c>
      <c r="G717" s="2">
        <f t="shared" si="1"/>
        <v>10</v>
      </c>
    </row>
    <row r="718" ht="15.75" customHeight="1">
      <c r="A718" s="1">
        <f>IFERROR(__xludf.DUMMYFUNCTION("""COMPUTED_VALUE"""),44901.66666666667)</f>
        <v>44901.66667</v>
      </c>
      <c r="B718" s="2">
        <f>IFERROR(__xludf.DUMMYFUNCTION("""COMPUTED_VALUE"""),720.0)</f>
        <v>720</v>
      </c>
      <c r="C718" s="2">
        <f>IFERROR(__xludf.DUMMYFUNCTION("""COMPUTED_VALUE"""),725.0)</f>
        <v>725</v>
      </c>
      <c r="D718" s="2">
        <f>IFERROR(__xludf.DUMMYFUNCTION("""COMPUTED_VALUE"""),705.0)</f>
        <v>705</v>
      </c>
      <c r="E718" s="2">
        <f>IFERROR(__xludf.DUMMYFUNCTION("""COMPUTED_VALUE"""),710.0)</f>
        <v>710</v>
      </c>
      <c r="F718" s="2">
        <f>IFERROR(__xludf.DUMMYFUNCTION("""COMPUTED_VALUE"""),1.02665E7)</f>
        <v>10266500</v>
      </c>
      <c r="G718" s="2">
        <f t="shared" si="1"/>
        <v>20</v>
      </c>
    </row>
    <row r="719" ht="15.75" customHeight="1">
      <c r="A719" s="1">
        <f>IFERROR(__xludf.DUMMYFUNCTION("""COMPUTED_VALUE"""),44902.66666666667)</f>
        <v>44902.66667</v>
      </c>
      <c r="B719" s="2">
        <f>IFERROR(__xludf.DUMMYFUNCTION("""COMPUTED_VALUE"""),710.0)</f>
        <v>710</v>
      </c>
      <c r="C719" s="2">
        <f>IFERROR(__xludf.DUMMYFUNCTION("""COMPUTED_VALUE"""),715.0)</f>
        <v>715</v>
      </c>
      <c r="D719" s="2">
        <f>IFERROR(__xludf.DUMMYFUNCTION("""COMPUTED_VALUE"""),700.0)</f>
        <v>700</v>
      </c>
      <c r="E719" s="2">
        <f>IFERROR(__xludf.DUMMYFUNCTION("""COMPUTED_VALUE"""),700.0)</f>
        <v>700</v>
      </c>
      <c r="F719" s="2">
        <f>IFERROR(__xludf.DUMMYFUNCTION("""COMPUTED_VALUE"""),1.44699E7)</f>
        <v>14469900</v>
      </c>
      <c r="G719" s="2">
        <f t="shared" si="1"/>
        <v>15</v>
      </c>
    </row>
    <row r="720" ht="15.75" customHeight="1">
      <c r="A720" s="1">
        <f>IFERROR(__xludf.DUMMYFUNCTION("""COMPUTED_VALUE"""),44903.66666666667)</f>
        <v>44903.66667</v>
      </c>
      <c r="B720" s="2">
        <f>IFERROR(__xludf.DUMMYFUNCTION("""COMPUTED_VALUE"""),700.0)</f>
        <v>700</v>
      </c>
      <c r="C720" s="2">
        <f>IFERROR(__xludf.DUMMYFUNCTION("""COMPUTED_VALUE"""),705.0)</f>
        <v>705</v>
      </c>
      <c r="D720" s="2">
        <f>IFERROR(__xludf.DUMMYFUNCTION("""COMPUTED_VALUE"""),690.0)</f>
        <v>690</v>
      </c>
      <c r="E720" s="2">
        <f>IFERROR(__xludf.DUMMYFUNCTION("""COMPUTED_VALUE"""),700.0)</f>
        <v>700</v>
      </c>
      <c r="F720" s="2">
        <f>IFERROR(__xludf.DUMMYFUNCTION("""COMPUTED_VALUE"""),1.71645E7)</f>
        <v>17164500</v>
      </c>
      <c r="G720" s="2">
        <f t="shared" si="1"/>
        <v>15</v>
      </c>
    </row>
    <row r="721" ht="15.75" customHeight="1">
      <c r="A721" s="1">
        <f>IFERROR(__xludf.DUMMYFUNCTION("""COMPUTED_VALUE"""),44904.66666666667)</f>
        <v>44904.66667</v>
      </c>
      <c r="B721" s="2">
        <f>IFERROR(__xludf.DUMMYFUNCTION("""COMPUTED_VALUE"""),700.0)</f>
        <v>700</v>
      </c>
      <c r="C721" s="2">
        <f>IFERROR(__xludf.DUMMYFUNCTION("""COMPUTED_VALUE"""),705.0)</f>
        <v>705</v>
      </c>
      <c r="D721" s="2">
        <f>IFERROR(__xludf.DUMMYFUNCTION("""COMPUTED_VALUE"""),690.0)</f>
        <v>690</v>
      </c>
      <c r="E721" s="2">
        <f>IFERROR(__xludf.DUMMYFUNCTION("""COMPUTED_VALUE"""),690.0)</f>
        <v>690</v>
      </c>
      <c r="F721" s="2">
        <f>IFERROR(__xludf.DUMMYFUNCTION("""COMPUTED_VALUE"""),1.52638E7)</f>
        <v>15263800</v>
      </c>
      <c r="G721" s="2">
        <f t="shared" si="1"/>
        <v>15</v>
      </c>
    </row>
    <row r="722" ht="15.75" customHeight="1">
      <c r="A722" s="1">
        <f>IFERROR(__xludf.DUMMYFUNCTION("""COMPUTED_VALUE"""),44907.66666666667)</f>
        <v>44907.66667</v>
      </c>
      <c r="B722" s="2">
        <f>IFERROR(__xludf.DUMMYFUNCTION("""COMPUTED_VALUE"""),690.0)</f>
        <v>690</v>
      </c>
      <c r="C722" s="2">
        <f>IFERROR(__xludf.DUMMYFUNCTION("""COMPUTED_VALUE"""),700.0)</f>
        <v>700</v>
      </c>
      <c r="D722" s="2">
        <f>IFERROR(__xludf.DUMMYFUNCTION("""COMPUTED_VALUE"""),690.0)</f>
        <v>690</v>
      </c>
      <c r="E722" s="2">
        <f>IFERROR(__xludf.DUMMYFUNCTION("""COMPUTED_VALUE"""),700.0)</f>
        <v>700</v>
      </c>
      <c r="F722" s="2">
        <f>IFERROR(__xludf.DUMMYFUNCTION("""COMPUTED_VALUE"""),6362500.0)</f>
        <v>6362500</v>
      </c>
      <c r="G722" s="2">
        <f t="shared" si="1"/>
        <v>10</v>
      </c>
    </row>
    <row r="723" ht="15.75" customHeight="1">
      <c r="A723" s="1">
        <f>IFERROR(__xludf.DUMMYFUNCTION("""COMPUTED_VALUE"""),44908.66666666667)</f>
        <v>44908.66667</v>
      </c>
      <c r="B723" s="2">
        <f>IFERROR(__xludf.DUMMYFUNCTION("""COMPUTED_VALUE"""),700.0)</f>
        <v>700</v>
      </c>
      <c r="C723" s="2">
        <f>IFERROR(__xludf.DUMMYFUNCTION("""COMPUTED_VALUE"""),705.0)</f>
        <v>705</v>
      </c>
      <c r="D723" s="2">
        <f>IFERROR(__xludf.DUMMYFUNCTION("""COMPUTED_VALUE"""),695.0)</f>
        <v>695</v>
      </c>
      <c r="E723" s="2">
        <f>IFERROR(__xludf.DUMMYFUNCTION("""COMPUTED_VALUE"""),705.0)</f>
        <v>705</v>
      </c>
      <c r="F723" s="2">
        <f>IFERROR(__xludf.DUMMYFUNCTION("""COMPUTED_VALUE"""),5250100.0)</f>
        <v>5250100</v>
      </c>
      <c r="G723" s="2">
        <f t="shared" si="1"/>
        <v>10</v>
      </c>
    </row>
    <row r="724" ht="15.75" customHeight="1">
      <c r="A724" s="1">
        <f>IFERROR(__xludf.DUMMYFUNCTION("""COMPUTED_VALUE"""),44909.66666666667)</f>
        <v>44909.66667</v>
      </c>
      <c r="B724" s="2">
        <f>IFERROR(__xludf.DUMMYFUNCTION("""COMPUTED_VALUE"""),705.0)</f>
        <v>705</v>
      </c>
      <c r="C724" s="2">
        <f>IFERROR(__xludf.DUMMYFUNCTION("""COMPUTED_VALUE"""),710.0)</f>
        <v>710</v>
      </c>
      <c r="D724" s="2">
        <f>IFERROR(__xludf.DUMMYFUNCTION("""COMPUTED_VALUE"""),700.0)</f>
        <v>700</v>
      </c>
      <c r="E724" s="2">
        <f>IFERROR(__xludf.DUMMYFUNCTION("""COMPUTED_VALUE"""),700.0)</f>
        <v>700</v>
      </c>
      <c r="F724" s="2">
        <f>IFERROR(__xludf.DUMMYFUNCTION("""COMPUTED_VALUE"""),3048100.0)</f>
        <v>3048100</v>
      </c>
      <c r="G724" s="2">
        <f t="shared" si="1"/>
        <v>10</v>
      </c>
    </row>
    <row r="725" ht="15.75" customHeight="1">
      <c r="A725" s="1">
        <f>IFERROR(__xludf.DUMMYFUNCTION("""COMPUTED_VALUE"""),44910.66666666667)</f>
        <v>44910.66667</v>
      </c>
      <c r="B725" s="2">
        <f>IFERROR(__xludf.DUMMYFUNCTION("""COMPUTED_VALUE"""),705.0)</f>
        <v>705</v>
      </c>
      <c r="C725" s="2">
        <f>IFERROR(__xludf.DUMMYFUNCTION("""COMPUTED_VALUE"""),710.0)</f>
        <v>710</v>
      </c>
      <c r="D725" s="2">
        <f>IFERROR(__xludf.DUMMYFUNCTION("""COMPUTED_VALUE"""),700.0)</f>
        <v>700</v>
      </c>
      <c r="E725" s="2">
        <f>IFERROR(__xludf.DUMMYFUNCTION("""COMPUTED_VALUE"""),705.0)</f>
        <v>705</v>
      </c>
      <c r="F725" s="2">
        <f>IFERROR(__xludf.DUMMYFUNCTION("""COMPUTED_VALUE"""),2266300.0)</f>
        <v>2266300</v>
      </c>
      <c r="G725" s="2">
        <f t="shared" si="1"/>
        <v>10</v>
      </c>
    </row>
    <row r="726" ht="15.75" customHeight="1">
      <c r="A726" s="1">
        <f>IFERROR(__xludf.DUMMYFUNCTION("""COMPUTED_VALUE"""),44911.66666666667)</f>
        <v>44911.66667</v>
      </c>
      <c r="B726" s="2">
        <f>IFERROR(__xludf.DUMMYFUNCTION("""COMPUTED_VALUE"""),700.0)</f>
        <v>700</v>
      </c>
      <c r="C726" s="2">
        <f>IFERROR(__xludf.DUMMYFUNCTION("""COMPUTED_VALUE"""),710.0)</f>
        <v>710</v>
      </c>
      <c r="D726" s="2">
        <f>IFERROR(__xludf.DUMMYFUNCTION("""COMPUTED_VALUE"""),700.0)</f>
        <v>700</v>
      </c>
      <c r="E726" s="2">
        <f>IFERROR(__xludf.DUMMYFUNCTION("""COMPUTED_VALUE"""),710.0)</f>
        <v>710</v>
      </c>
      <c r="F726" s="2">
        <f>IFERROR(__xludf.DUMMYFUNCTION("""COMPUTED_VALUE"""),2567300.0)</f>
        <v>2567300</v>
      </c>
      <c r="G726" s="2">
        <f t="shared" si="1"/>
        <v>10</v>
      </c>
    </row>
    <row r="727" ht="15.75" customHeight="1">
      <c r="A727" s="1">
        <f>IFERROR(__xludf.DUMMYFUNCTION("""COMPUTED_VALUE"""),44914.66666666667)</f>
        <v>44914.66667</v>
      </c>
      <c r="B727" s="2">
        <f>IFERROR(__xludf.DUMMYFUNCTION("""COMPUTED_VALUE"""),710.0)</f>
        <v>710</v>
      </c>
      <c r="C727" s="2">
        <f>IFERROR(__xludf.DUMMYFUNCTION("""COMPUTED_VALUE"""),710.0)</f>
        <v>710</v>
      </c>
      <c r="D727" s="2">
        <f>IFERROR(__xludf.DUMMYFUNCTION("""COMPUTED_VALUE"""),705.0)</f>
        <v>705</v>
      </c>
      <c r="E727" s="2">
        <f>IFERROR(__xludf.DUMMYFUNCTION("""COMPUTED_VALUE"""),710.0)</f>
        <v>710</v>
      </c>
      <c r="F727" s="2">
        <f>IFERROR(__xludf.DUMMYFUNCTION("""COMPUTED_VALUE"""),1414600.0)</f>
        <v>1414600</v>
      </c>
      <c r="G727" s="2">
        <f t="shared" si="1"/>
        <v>5</v>
      </c>
    </row>
    <row r="728" ht="15.75" customHeight="1">
      <c r="A728" s="1">
        <f>IFERROR(__xludf.DUMMYFUNCTION("""COMPUTED_VALUE"""),44915.66666666667)</f>
        <v>44915.66667</v>
      </c>
      <c r="B728" s="2">
        <f>IFERROR(__xludf.DUMMYFUNCTION("""COMPUTED_VALUE"""),710.0)</f>
        <v>710</v>
      </c>
      <c r="C728" s="2">
        <f>IFERROR(__xludf.DUMMYFUNCTION("""COMPUTED_VALUE"""),710.0)</f>
        <v>710</v>
      </c>
      <c r="D728" s="2">
        <f>IFERROR(__xludf.DUMMYFUNCTION("""COMPUTED_VALUE"""),705.0)</f>
        <v>705</v>
      </c>
      <c r="E728" s="2">
        <f>IFERROR(__xludf.DUMMYFUNCTION("""COMPUTED_VALUE"""),705.0)</f>
        <v>705</v>
      </c>
      <c r="F728" s="2">
        <f>IFERROR(__xludf.DUMMYFUNCTION("""COMPUTED_VALUE"""),1951600.0)</f>
        <v>1951600</v>
      </c>
      <c r="G728" s="2">
        <f t="shared" si="1"/>
        <v>5</v>
      </c>
    </row>
    <row r="729" ht="15.75" customHeight="1">
      <c r="A729" s="1">
        <f>IFERROR(__xludf.DUMMYFUNCTION("""COMPUTED_VALUE"""),44916.66666666667)</f>
        <v>44916.66667</v>
      </c>
      <c r="B729" s="2">
        <f>IFERROR(__xludf.DUMMYFUNCTION("""COMPUTED_VALUE"""),710.0)</f>
        <v>710</v>
      </c>
      <c r="C729" s="2">
        <f>IFERROR(__xludf.DUMMYFUNCTION("""COMPUTED_VALUE"""),710.0)</f>
        <v>710</v>
      </c>
      <c r="D729" s="2">
        <f>IFERROR(__xludf.DUMMYFUNCTION("""COMPUTED_VALUE"""),705.0)</f>
        <v>705</v>
      </c>
      <c r="E729" s="2">
        <f>IFERROR(__xludf.DUMMYFUNCTION("""COMPUTED_VALUE"""),705.0)</f>
        <v>705</v>
      </c>
      <c r="F729" s="2">
        <f>IFERROR(__xludf.DUMMYFUNCTION("""COMPUTED_VALUE"""),3740200.0)</f>
        <v>3740200</v>
      </c>
      <c r="G729" s="2">
        <f t="shared" si="1"/>
        <v>5</v>
      </c>
    </row>
    <row r="730" ht="15.75" customHeight="1">
      <c r="A730" s="1">
        <f>IFERROR(__xludf.DUMMYFUNCTION("""COMPUTED_VALUE"""),44917.66666666667)</f>
        <v>44917.66667</v>
      </c>
      <c r="B730" s="2">
        <f>IFERROR(__xludf.DUMMYFUNCTION("""COMPUTED_VALUE"""),705.0)</f>
        <v>705</v>
      </c>
      <c r="C730" s="2">
        <f>IFERROR(__xludf.DUMMYFUNCTION("""COMPUTED_VALUE"""),710.0)</f>
        <v>710</v>
      </c>
      <c r="D730" s="2">
        <f>IFERROR(__xludf.DUMMYFUNCTION("""COMPUTED_VALUE"""),705.0)</f>
        <v>705</v>
      </c>
      <c r="E730" s="2">
        <f>IFERROR(__xludf.DUMMYFUNCTION("""COMPUTED_VALUE"""),710.0)</f>
        <v>710</v>
      </c>
      <c r="F730" s="2">
        <f>IFERROR(__xludf.DUMMYFUNCTION("""COMPUTED_VALUE"""),1684100.0)</f>
        <v>1684100</v>
      </c>
      <c r="G730" s="2">
        <f t="shared" si="1"/>
        <v>5</v>
      </c>
    </row>
    <row r="731" ht="15.75" customHeight="1">
      <c r="A731" s="1">
        <f>IFERROR(__xludf.DUMMYFUNCTION("""COMPUTED_VALUE"""),44918.66666666667)</f>
        <v>44918.66667</v>
      </c>
      <c r="B731" s="2">
        <f>IFERROR(__xludf.DUMMYFUNCTION("""COMPUTED_VALUE"""),710.0)</f>
        <v>710</v>
      </c>
      <c r="C731" s="2">
        <f>IFERROR(__xludf.DUMMYFUNCTION("""COMPUTED_VALUE"""),710.0)</f>
        <v>710</v>
      </c>
      <c r="D731" s="2">
        <f>IFERROR(__xludf.DUMMYFUNCTION("""COMPUTED_VALUE"""),705.0)</f>
        <v>705</v>
      </c>
      <c r="E731" s="2">
        <f>IFERROR(__xludf.DUMMYFUNCTION("""COMPUTED_VALUE"""),705.0)</f>
        <v>705</v>
      </c>
      <c r="F731" s="2">
        <f>IFERROR(__xludf.DUMMYFUNCTION("""COMPUTED_VALUE"""),2309900.0)</f>
        <v>2309900</v>
      </c>
      <c r="G731" s="2">
        <f t="shared" si="1"/>
        <v>5</v>
      </c>
    </row>
    <row r="732" ht="15.75" customHeight="1">
      <c r="A732" s="1">
        <f>IFERROR(__xludf.DUMMYFUNCTION("""COMPUTED_VALUE"""),44921.66666666667)</f>
        <v>44921.66667</v>
      </c>
      <c r="B732" s="2">
        <f>IFERROR(__xludf.DUMMYFUNCTION("""COMPUTED_VALUE"""),710.0)</f>
        <v>710</v>
      </c>
      <c r="C732" s="2">
        <f>IFERROR(__xludf.DUMMYFUNCTION("""COMPUTED_VALUE"""),710.0)</f>
        <v>710</v>
      </c>
      <c r="D732" s="2">
        <f>IFERROR(__xludf.DUMMYFUNCTION("""COMPUTED_VALUE"""),705.0)</f>
        <v>705</v>
      </c>
      <c r="E732" s="2">
        <f>IFERROR(__xludf.DUMMYFUNCTION("""COMPUTED_VALUE"""),705.0)</f>
        <v>705</v>
      </c>
      <c r="F732" s="2">
        <f>IFERROR(__xludf.DUMMYFUNCTION("""COMPUTED_VALUE"""),2908000.0)</f>
        <v>2908000</v>
      </c>
      <c r="G732" s="2">
        <f t="shared" si="1"/>
        <v>5</v>
      </c>
    </row>
    <row r="733" ht="15.75" customHeight="1">
      <c r="A733" s="1">
        <f>IFERROR(__xludf.DUMMYFUNCTION("""COMPUTED_VALUE"""),44922.66666666667)</f>
        <v>44922.66667</v>
      </c>
      <c r="B733" s="2">
        <f>IFERROR(__xludf.DUMMYFUNCTION("""COMPUTED_VALUE"""),705.0)</f>
        <v>705</v>
      </c>
      <c r="C733" s="2">
        <f>IFERROR(__xludf.DUMMYFUNCTION("""COMPUTED_VALUE"""),710.0)</f>
        <v>710</v>
      </c>
      <c r="D733" s="2">
        <f>IFERROR(__xludf.DUMMYFUNCTION("""COMPUTED_VALUE"""),705.0)</f>
        <v>705</v>
      </c>
      <c r="E733" s="2">
        <f>IFERROR(__xludf.DUMMYFUNCTION("""COMPUTED_VALUE"""),705.0)</f>
        <v>705</v>
      </c>
      <c r="F733" s="2">
        <f>IFERROR(__xludf.DUMMYFUNCTION("""COMPUTED_VALUE"""),2556900.0)</f>
        <v>2556900</v>
      </c>
      <c r="G733" s="2">
        <f t="shared" si="1"/>
        <v>5</v>
      </c>
    </row>
    <row r="734" ht="15.75" customHeight="1">
      <c r="A734" s="1">
        <f>IFERROR(__xludf.DUMMYFUNCTION("""COMPUTED_VALUE"""),44923.66666666667)</f>
        <v>44923.66667</v>
      </c>
      <c r="B734" s="2">
        <f>IFERROR(__xludf.DUMMYFUNCTION("""COMPUTED_VALUE"""),705.0)</f>
        <v>705</v>
      </c>
      <c r="C734" s="2">
        <f>IFERROR(__xludf.DUMMYFUNCTION("""COMPUTED_VALUE"""),710.0)</f>
        <v>710</v>
      </c>
      <c r="D734" s="2">
        <f>IFERROR(__xludf.DUMMYFUNCTION("""COMPUTED_VALUE"""),705.0)</f>
        <v>705</v>
      </c>
      <c r="E734" s="2">
        <f>IFERROR(__xludf.DUMMYFUNCTION("""COMPUTED_VALUE"""),710.0)</f>
        <v>710</v>
      </c>
      <c r="F734" s="2">
        <f>IFERROR(__xludf.DUMMYFUNCTION("""COMPUTED_VALUE"""),2960500.0)</f>
        <v>2960500</v>
      </c>
      <c r="G734" s="2">
        <f t="shared" si="1"/>
        <v>5</v>
      </c>
    </row>
    <row r="735" ht="15.75" customHeight="1">
      <c r="A735" s="1">
        <f>IFERROR(__xludf.DUMMYFUNCTION("""COMPUTED_VALUE"""),44924.66666666667)</f>
        <v>44924.66667</v>
      </c>
      <c r="B735" s="2">
        <f>IFERROR(__xludf.DUMMYFUNCTION("""COMPUTED_VALUE"""),710.0)</f>
        <v>710</v>
      </c>
      <c r="C735" s="2">
        <f>IFERROR(__xludf.DUMMYFUNCTION("""COMPUTED_VALUE"""),710.0)</f>
        <v>710</v>
      </c>
      <c r="D735" s="2">
        <f>IFERROR(__xludf.DUMMYFUNCTION("""COMPUTED_VALUE"""),705.0)</f>
        <v>705</v>
      </c>
      <c r="E735" s="2">
        <f>IFERROR(__xludf.DUMMYFUNCTION("""COMPUTED_VALUE"""),710.0)</f>
        <v>710</v>
      </c>
      <c r="F735" s="2">
        <f>IFERROR(__xludf.DUMMYFUNCTION("""COMPUTED_VALUE"""),2342900.0)</f>
        <v>2342900</v>
      </c>
      <c r="G735" s="2">
        <f t="shared" si="1"/>
        <v>5</v>
      </c>
    </row>
    <row r="736" ht="15.75" customHeight="1">
      <c r="A736" s="1">
        <f>IFERROR(__xludf.DUMMYFUNCTION("""COMPUTED_VALUE"""),44925.66666666667)</f>
        <v>44925.66667</v>
      </c>
      <c r="B736" s="2">
        <f>IFERROR(__xludf.DUMMYFUNCTION("""COMPUTED_VALUE"""),710.0)</f>
        <v>710</v>
      </c>
      <c r="C736" s="2">
        <f>IFERROR(__xludf.DUMMYFUNCTION("""COMPUTED_VALUE"""),710.0)</f>
        <v>710</v>
      </c>
      <c r="D736" s="2">
        <f>IFERROR(__xludf.DUMMYFUNCTION("""COMPUTED_VALUE"""),705.0)</f>
        <v>705</v>
      </c>
      <c r="E736" s="2">
        <f>IFERROR(__xludf.DUMMYFUNCTION("""COMPUTED_VALUE"""),710.0)</f>
        <v>710</v>
      </c>
      <c r="F736" s="2">
        <f>IFERROR(__xludf.DUMMYFUNCTION("""COMPUTED_VALUE"""),2811400.0)</f>
        <v>2811400</v>
      </c>
      <c r="G736" s="2">
        <f t="shared" si="1"/>
        <v>5</v>
      </c>
    </row>
    <row r="737" ht="15.75" customHeight="1">
      <c r="A737" s="1">
        <f>IFERROR(__xludf.DUMMYFUNCTION("""COMPUTED_VALUE"""),44928.66666666667)</f>
        <v>44928.66667</v>
      </c>
      <c r="B737" s="2">
        <f>IFERROR(__xludf.DUMMYFUNCTION("""COMPUTED_VALUE"""),710.0)</f>
        <v>710</v>
      </c>
      <c r="C737" s="2">
        <f>IFERROR(__xludf.DUMMYFUNCTION("""COMPUTED_VALUE"""),710.0)</f>
        <v>710</v>
      </c>
      <c r="D737" s="2">
        <f>IFERROR(__xludf.DUMMYFUNCTION("""COMPUTED_VALUE"""),705.0)</f>
        <v>705</v>
      </c>
      <c r="E737" s="2">
        <f>IFERROR(__xludf.DUMMYFUNCTION("""COMPUTED_VALUE"""),710.0)</f>
        <v>710</v>
      </c>
      <c r="F737" s="2">
        <f>IFERROR(__xludf.DUMMYFUNCTION("""COMPUTED_VALUE"""),2281000.0)</f>
        <v>2281000</v>
      </c>
      <c r="G737" s="2">
        <f t="shared" si="1"/>
        <v>5</v>
      </c>
    </row>
    <row r="738" ht="15.75" customHeight="1">
      <c r="A738" s="1">
        <f>IFERROR(__xludf.DUMMYFUNCTION("""COMPUTED_VALUE"""),44929.66666666667)</f>
        <v>44929.66667</v>
      </c>
      <c r="B738" s="2">
        <f>IFERROR(__xludf.DUMMYFUNCTION("""COMPUTED_VALUE"""),710.0)</f>
        <v>710</v>
      </c>
      <c r="C738" s="2">
        <f>IFERROR(__xludf.DUMMYFUNCTION("""COMPUTED_VALUE"""),715.0)</f>
        <v>715</v>
      </c>
      <c r="D738" s="2">
        <f>IFERROR(__xludf.DUMMYFUNCTION("""COMPUTED_VALUE"""),705.0)</f>
        <v>705</v>
      </c>
      <c r="E738" s="2">
        <f>IFERROR(__xludf.DUMMYFUNCTION("""COMPUTED_VALUE"""),710.0)</f>
        <v>710</v>
      </c>
      <c r="F738" s="2">
        <f>IFERROR(__xludf.DUMMYFUNCTION("""COMPUTED_VALUE"""),3469400.0)</f>
        <v>3469400</v>
      </c>
      <c r="G738" s="2">
        <f t="shared" si="1"/>
        <v>10</v>
      </c>
    </row>
    <row r="739" ht="15.75" customHeight="1">
      <c r="A739" s="1">
        <f>IFERROR(__xludf.DUMMYFUNCTION("""COMPUTED_VALUE"""),44930.66666666667)</f>
        <v>44930.66667</v>
      </c>
      <c r="B739" s="2">
        <f>IFERROR(__xludf.DUMMYFUNCTION("""COMPUTED_VALUE"""),710.0)</f>
        <v>710</v>
      </c>
      <c r="C739" s="2">
        <f>IFERROR(__xludf.DUMMYFUNCTION("""COMPUTED_VALUE"""),715.0)</f>
        <v>715</v>
      </c>
      <c r="D739" s="2">
        <f>IFERROR(__xludf.DUMMYFUNCTION("""COMPUTED_VALUE"""),710.0)</f>
        <v>710</v>
      </c>
      <c r="E739" s="2">
        <f>IFERROR(__xludf.DUMMYFUNCTION("""COMPUTED_VALUE"""),710.0)</f>
        <v>710</v>
      </c>
      <c r="F739" s="2">
        <f>IFERROR(__xludf.DUMMYFUNCTION("""COMPUTED_VALUE"""),1699800.0)</f>
        <v>1699800</v>
      </c>
      <c r="G739" s="2">
        <f t="shared" si="1"/>
        <v>5</v>
      </c>
    </row>
    <row r="740" ht="15.75" customHeight="1">
      <c r="A740" s="1">
        <f>IFERROR(__xludf.DUMMYFUNCTION("""COMPUTED_VALUE"""),44931.66666666667)</f>
        <v>44931.66667</v>
      </c>
      <c r="B740" s="2">
        <f>IFERROR(__xludf.DUMMYFUNCTION("""COMPUTED_VALUE"""),710.0)</f>
        <v>710</v>
      </c>
      <c r="C740" s="2">
        <f>IFERROR(__xludf.DUMMYFUNCTION("""COMPUTED_VALUE"""),715.0)</f>
        <v>715</v>
      </c>
      <c r="D740" s="2">
        <f>IFERROR(__xludf.DUMMYFUNCTION("""COMPUTED_VALUE"""),705.0)</f>
        <v>705</v>
      </c>
      <c r="E740" s="2">
        <f>IFERROR(__xludf.DUMMYFUNCTION("""COMPUTED_VALUE"""),705.0)</f>
        <v>705</v>
      </c>
      <c r="F740" s="2">
        <f>IFERROR(__xludf.DUMMYFUNCTION("""COMPUTED_VALUE"""),5884500.0)</f>
        <v>5884500</v>
      </c>
      <c r="G740" s="2">
        <f t="shared" si="1"/>
        <v>10</v>
      </c>
    </row>
    <row r="741" ht="15.75" customHeight="1">
      <c r="A741" s="1">
        <f>IFERROR(__xludf.DUMMYFUNCTION("""COMPUTED_VALUE"""),44932.66666666667)</f>
        <v>44932.66667</v>
      </c>
      <c r="B741" s="2">
        <f>IFERROR(__xludf.DUMMYFUNCTION("""COMPUTED_VALUE"""),705.0)</f>
        <v>705</v>
      </c>
      <c r="C741" s="2">
        <f>IFERROR(__xludf.DUMMYFUNCTION("""COMPUTED_VALUE"""),710.0)</f>
        <v>710</v>
      </c>
      <c r="D741" s="2">
        <f>IFERROR(__xludf.DUMMYFUNCTION("""COMPUTED_VALUE"""),700.0)</f>
        <v>700</v>
      </c>
      <c r="E741" s="2">
        <f>IFERROR(__xludf.DUMMYFUNCTION("""COMPUTED_VALUE"""),705.0)</f>
        <v>705</v>
      </c>
      <c r="F741" s="2">
        <f>IFERROR(__xludf.DUMMYFUNCTION("""COMPUTED_VALUE"""),3505000.0)</f>
        <v>3505000</v>
      </c>
      <c r="G741" s="2">
        <f t="shared" si="1"/>
        <v>10</v>
      </c>
    </row>
    <row r="742" ht="15.75" customHeight="1">
      <c r="A742" s="1">
        <f>IFERROR(__xludf.DUMMYFUNCTION("""COMPUTED_VALUE"""),44935.66666666667)</f>
        <v>44935.66667</v>
      </c>
      <c r="B742" s="2">
        <f>IFERROR(__xludf.DUMMYFUNCTION("""COMPUTED_VALUE"""),705.0)</f>
        <v>705</v>
      </c>
      <c r="C742" s="2">
        <f>IFERROR(__xludf.DUMMYFUNCTION("""COMPUTED_VALUE"""),710.0)</f>
        <v>710</v>
      </c>
      <c r="D742" s="2">
        <f>IFERROR(__xludf.DUMMYFUNCTION("""COMPUTED_VALUE"""),700.0)</f>
        <v>700</v>
      </c>
      <c r="E742" s="2">
        <f>IFERROR(__xludf.DUMMYFUNCTION("""COMPUTED_VALUE"""),705.0)</f>
        <v>705</v>
      </c>
      <c r="F742" s="2">
        <f>IFERROR(__xludf.DUMMYFUNCTION("""COMPUTED_VALUE"""),5156300.0)</f>
        <v>5156300</v>
      </c>
      <c r="G742" s="2">
        <f t="shared" si="1"/>
        <v>10</v>
      </c>
    </row>
    <row r="743" ht="15.75" customHeight="1">
      <c r="A743" s="1">
        <f>IFERROR(__xludf.DUMMYFUNCTION("""COMPUTED_VALUE"""),44936.66666666667)</f>
        <v>44936.66667</v>
      </c>
      <c r="B743" s="2">
        <f>IFERROR(__xludf.DUMMYFUNCTION("""COMPUTED_VALUE"""),710.0)</f>
        <v>710</v>
      </c>
      <c r="C743" s="2">
        <f>IFERROR(__xludf.DUMMYFUNCTION("""COMPUTED_VALUE"""),710.0)</f>
        <v>710</v>
      </c>
      <c r="D743" s="2">
        <f>IFERROR(__xludf.DUMMYFUNCTION("""COMPUTED_VALUE"""),700.0)</f>
        <v>700</v>
      </c>
      <c r="E743" s="2">
        <f>IFERROR(__xludf.DUMMYFUNCTION("""COMPUTED_VALUE"""),705.0)</f>
        <v>705</v>
      </c>
      <c r="F743" s="2">
        <f>IFERROR(__xludf.DUMMYFUNCTION("""COMPUTED_VALUE"""),4133700.0)</f>
        <v>4133700</v>
      </c>
      <c r="G743" s="2">
        <f t="shared" si="1"/>
        <v>10</v>
      </c>
    </row>
    <row r="744" ht="15.75" customHeight="1">
      <c r="A744" s="1">
        <f>IFERROR(__xludf.DUMMYFUNCTION("""COMPUTED_VALUE"""),44937.66666666667)</f>
        <v>44937.66667</v>
      </c>
      <c r="B744" s="2">
        <f>IFERROR(__xludf.DUMMYFUNCTION("""COMPUTED_VALUE"""),705.0)</f>
        <v>705</v>
      </c>
      <c r="C744" s="2">
        <f>IFERROR(__xludf.DUMMYFUNCTION("""COMPUTED_VALUE"""),710.0)</f>
        <v>710</v>
      </c>
      <c r="D744" s="2">
        <f>IFERROR(__xludf.DUMMYFUNCTION("""COMPUTED_VALUE"""),700.0)</f>
        <v>700</v>
      </c>
      <c r="E744" s="2">
        <f>IFERROR(__xludf.DUMMYFUNCTION("""COMPUTED_VALUE"""),705.0)</f>
        <v>705</v>
      </c>
      <c r="F744" s="2">
        <f>IFERROR(__xludf.DUMMYFUNCTION("""COMPUTED_VALUE"""),5381700.0)</f>
        <v>5381700</v>
      </c>
      <c r="G744" s="2">
        <f t="shared" si="1"/>
        <v>10</v>
      </c>
    </row>
    <row r="745" ht="15.75" customHeight="1">
      <c r="A745" s="1">
        <f>IFERROR(__xludf.DUMMYFUNCTION("""COMPUTED_VALUE"""),44938.66666666667)</f>
        <v>44938.66667</v>
      </c>
      <c r="B745" s="2">
        <f>IFERROR(__xludf.DUMMYFUNCTION("""COMPUTED_VALUE"""),705.0)</f>
        <v>705</v>
      </c>
      <c r="C745" s="2">
        <f>IFERROR(__xludf.DUMMYFUNCTION("""COMPUTED_VALUE"""),710.0)</f>
        <v>710</v>
      </c>
      <c r="D745" s="2">
        <f>IFERROR(__xludf.DUMMYFUNCTION("""COMPUTED_VALUE"""),705.0)</f>
        <v>705</v>
      </c>
      <c r="E745" s="2">
        <f>IFERROR(__xludf.DUMMYFUNCTION("""COMPUTED_VALUE"""),710.0)</f>
        <v>710</v>
      </c>
      <c r="F745" s="2">
        <f>IFERROR(__xludf.DUMMYFUNCTION("""COMPUTED_VALUE"""),1715700.0)</f>
        <v>1715700</v>
      </c>
      <c r="G745" s="2">
        <f t="shared" si="1"/>
        <v>5</v>
      </c>
    </row>
    <row r="746" ht="15.75" customHeight="1">
      <c r="A746" s="1">
        <f>IFERROR(__xludf.DUMMYFUNCTION("""COMPUTED_VALUE"""),44939.66666666667)</f>
        <v>44939.66667</v>
      </c>
      <c r="B746" s="2">
        <f>IFERROR(__xludf.DUMMYFUNCTION("""COMPUTED_VALUE"""),710.0)</f>
        <v>710</v>
      </c>
      <c r="C746" s="2">
        <f>IFERROR(__xludf.DUMMYFUNCTION("""COMPUTED_VALUE"""),715.0)</f>
        <v>715</v>
      </c>
      <c r="D746" s="2">
        <f>IFERROR(__xludf.DUMMYFUNCTION("""COMPUTED_VALUE"""),705.0)</f>
        <v>705</v>
      </c>
      <c r="E746" s="2">
        <f>IFERROR(__xludf.DUMMYFUNCTION("""COMPUTED_VALUE"""),710.0)</f>
        <v>710</v>
      </c>
      <c r="F746" s="2">
        <f>IFERROR(__xludf.DUMMYFUNCTION("""COMPUTED_VALUE"""),3118500.0)</f>
        <v>3118500</v>
      </c>
      <c r="G746" s="2">
        <f t="shared" si="1"/>
        <v>10</v>
      </c>
    </row>
    <row r="747" ht="15.75" customHeight="1">
      <c r="A747" s="1">
        <f>IFERROR(__xludf.DUMMYFUNCTION("""COMPUTED_VALUE"""),44942.66666666667)</f>
        <v>44942.66667</v>
      </c>
      <c r="B747" s="2">
        <f>IFERROR(__xludf.DUMMYFUNCTION("""COMPUTED_VALUE"""),710.0)</f>
        <v>710</v>
      </c>
      <c r="C747" s="2">
        <f>IFERROR(__xludf.DUMMYFUNCTION("""COMPUTED_VALUE"""),715.0)</f>
        <v>715</v>
      </c>
      <c r="D747" s="2">
        <f>IFERROR(__xludf.DUMMYFUNCTION("""COMPUTED_VALUE"""),705.0)</f>
        <v>705</v>
      </c>
      <c r="E747" s="2">
        <f>IFERROR(__xludf.DUMMYFUNCTION("""COMPUTED_VALUE"""),710.0)</f>
        <v>710</v>
      </c>
      <c r="F747" s="2">
        <f>IFERROR(__xludf.DUMMYFUNCTION("""COMPUTED_VALUE"""),2509500.0)</f>
        <v>2509500</v>
      </c>
      <c r="G747" s="2">
        <f t="shared" si="1"/>
        <v>10</v>
      </c>
    </row>
    <row r="748" ht="15.75" customHeight="1">
      <c r="A748" s="1">
        <f>IFERROR(__xludf.DUMMYFUNCTION("""COMPUTED_VALUE"""),44943.66666666667)</f>
        <v>44943.66667</v>
      </c>
      <c r="B748" s="2">
        <f>IFERROR(__xludf.DUMMYFUNCTION("""COMPUTED_VALUE"""),710.0)</f>
        <v>710</v>
      </c>
      <c r="C748" s="2">
        <f>IFERROR(__xludf.DUMMYFUNCTION("""COMPUTED_VALUE"""),715.0)</f>
        <v>715</v>
      </c>
      <c r="D748" s="2">
        <f>IFERROR(__xludf.DUMMYFUNCTION("""COMPUTED_VALUE"""),705.0)</f>
        <v>705</v>
      </c>
      <c r="E748" s="2">
        <f>IFERROR(__xludf.DUMMYFUNCTION("""COMPUTED_VALUE"""),710.0)</f>
        <v>710</v>
      </c>
      <c r="F748" s="2">
        <f>IFERROR(__xludf.DUMMYFUNCTION("""COMPUTED_VALUE"""),2369100.0)</f>
        <v>2369100</v>
      </c>
      <c r="G748" s="2">
        <f t="shared" si="1"/>
        <v>10</v>
      </c>
    </row>
    <row r="749" ht="15.75" customHeight="1">
      <c r="A749" s="1">
        <f>IFERROR(__xludf.DUMMYFUNCTION("""COMPUTED_VALUE"""),44944.66666666667)</f>
        <v>44944.66667</v>
      </c>
      <c r="B749" s="2">
        <f>IFERROR(__xludf.DUMMYFUNCTION("""COMPUTED_VALUE"""),715.0)</f>
        <v>715</v>
      </c>
      <c r="C749" s="2">
        <f>IFERROR(__xludf.DUMMYFUNCTION("""COMPUTED_VALUE"""),715.0)</f>
        <v>715</v>
      </c>
      <c r="D749" s="2">
        <f>IFERROR(__xludf.DUMMYFUNCTION("""COMPUTED_VALUE"""),710.0)</f>
        <v>710</v>
      </c>
      <c r="E749" s="2">
        <f>IFERROR(__xludf.DUMMYFUNCTION("""COMPUTED_VALUE"""),710.0)</f>
        <v>710</v>
      </c>
      <c r="F749" s="2">
        <f>IFERROR(__xludf.DUMMYFUNCTION("""COMPUTED_VALUE"""),2235200.0)</f>
        <v>2235200</v>
      </c>
      <c r="G749" s="2">
        <f t="shared" si="1"/>
        <v>5</v>
      </c>
    </row>
    <row r="750" ht="15.75" customHeight="1">
      <c r="A750" s="1">
        <f>IFERROR(__xludf.DUMMYFUNCTION("""COMPUTED_VALUE"""),44945.66666666667)</f>
        <v>44945.66667</v>
      </c>
      <c r="B750" s="2">
        <f>IFERROR(__xludf.DUMMYFUNCTION("""COMPUTED_VALUE"""),710.0)</f>
        <v>710</v>
      </c>
      <c r="C750" s="2">
        <f>IFERROR(__xludf.DUMMYFUNCTION("""COMPUTED_VALUE"""),720.0)</f>
        <v>720</v>
      </c>
      <c r="D750" s="2">
        <f>IFERROR(__xludf.DUMMYFUNCTION("""COMPUTED_VALUE"""),710.0)</f>
        <v>710</v>
      </c>
      <c r="E750" s="2">
        <f>IFERROR(__xludf.DUMMYFUNCTION("""COMPUTED_VALUE"""),720.0)</f>
        <v>720</v>
      </c>
      <c r="F750" s="2">
        <f>IFERROR(__xludf.DUMMYFUNCTION("""COMPUTED_VALUE"""),4780700.0)</f>
        <v>4780700</v>
      </c>
      <c r="G750" s="2">
        <f t="shared" si="1"/>
        <v>10</v>
      </c>
    </row>
    <row r="751" ht="15.75" customHeight="1">
      <c r="A751" s="1">
        <f>IFERROR(__xludf.DUMMYFUNCTION("""COMPUTED_VALUE"""),44946.66666666667)</f>
        <v>44946.66667</v>
      </c>
      <c r="B751" s="2">
        <f>IFERROR(__xludf.DUMMYFUNCTION("""COMPUTED_VALUE"""),720.0)</f>
        <v>720</v>
      </c>
      <c r="C751" s="2">
        <f>IFERROR(__xludf.DUMMYFUNCTION("""COMPUTED_VALUE"""),720.0)</f>
        <v>720</v>
      </c>
      <c r="D751" s="2">
        <f>IFERROR(__xludf.DUMMYFUNCTION("""COMPUTED_VALUE"""),715.0)</f>
        <v>715</v>
      </c>
      <c r="E751" s="2">
        <f>IFERROR(__xludf.DUMMYFUNCTION("""COMPUTED_VALUE"""),720.0)</f>
        <v>720</v>
      </c>
      <c r="F751" s="2">
        <f>IFERROR(__xludf.DUMMYFUNCTION("""COMPUTED_VALUE"""),3992000.0)</f>
        <v>3992000</v>
      </c>
      <c r="G751" s="2">
        <f t="shared" si="1"/>
        <v>5</v>
      </c>
    </row>
    <row r="752" ht="15.75" customHeight="1">
      <c r="A752" s="1">
        <f>IFERROR(__xludf.DUMMYFUNCTION("""COMPUTED_VALUE"""),44950.66666666667)</f>
        <v>44950.66667</v>
      </c>
      <c r="B752" s="2">
        <f>IFERROR(__xludf.DUMMYFUNCTION("""COMPUTED_VALUE"""),720.0)</f>
        <v>720</v>
      </c>
      <c r="C752" s="2">
        <f>IFERROR(__xludf.DUMMYFUNCTION("""COMPUTED_VALUE"""),720.0)</f>
        <v>720</v>
      </c>
      <c r="D752" s="2">
        <f>IFERROR(__xludf.DUMMYFUNCTION("""COMPUTED_VALUE"""),715.0)</f>
        <v>715</v>
      </c>
      <c r="E752" s="2">
        <f>IFERROR(__xludf.DUMMYFUNCTION("""COMPUTED_VALUE"""),720.0)</f>
        <v>720</v>
      </c>
      <c r="F752" s="2">
        <f>IFERROR(__xludf.DUMMYFUNCTION("""COMPUTED_VALUE"""),2054500.0)</f>
        <v>2054500</v>
      </c>
      <c r="G752" s="2">
        <f t="shared" si="1"/>
        <v>5</v>
      </c>
    </row>
    <row r="753" ht="15.75" customHeight="1">
      <c r="A753" s="1">
        <f>IFERROR(__xludf.DUMMYFUNCTION("""COMPUTED_VALUE"""),44951.66666666667)</f>
        <v>44951.66667</v>
      </c>
      <c r="B753" s="2">
        <f>IFERROR(__xludf.DUMMYFUNCTION("""COMPUTED_VALUE"""),720.0)</f>
        <v>720</v>
      </c>
      <c r="C753" s="2">
        <f>IFERROR(__xludf.DUMMYFUNCTION("""COMPUTED_VALUE"""),725.0)</f>
        <v>725</v>
      </c>
      <c r="D753" s="2">
        <f>IFERROR(__xludf.DUMMYFUNCTION("""COMPUTED_VALUE"""),715.0)</f>
        <v>715</v>
      </c>
      <c r="E753" s="2">
        <f>IFERROR(__xludf.DUMMYFUNCTION("""COMPUTED_VALUE"""),720.0)</f>
        <v>720</v>
      </c>
      <c r="F753" s="2">
        <f>IFERROR(__xludf.DUMMYFUNCTION("""COMPUTED_VALUE"""),1786500.0)</f>
        <v>1786500</v>
      </c>
      <c r="G753" s="2">
        <f t="shared" si="1"/>
        <v>10</v>
      </c>
    </row>
    <row r="754" ht="15.75" customHeight="1">
      <c r="A754" s="1">
        <f>IFERROR(__xludf.DUMMYFUNCTION("""COMPUTED_VALUE"""),44952.66666666667)</f>
        <v>44952.66667</v>
      </c>
      <c r="B754" s="2">
        <f>IFERROR(__xludf.DUMMYFUNCTION("""COMPUTED_VALUE"""),720.0)</f>
        <v>720</v>
      </c>
      <c r="C754" s="2">
        <f>IFERROR(__xludf.DUMMYFUNCTION("""COMPUTED_VALUE"""),725.0)</f>
        <v>725</v>
      </c>
      <c r="D754" s="2">
        <f>IFERROR(__xludf.DUMMYFUNCTION("""COMPUTED_VALUE"""),720.0)</f>
        <v>720</v>
      </c>
      <c r="E754" s="2">
        <f>IFERROR(__xludf.DUMMYFUNCTION("""COMPUTED_VALUE"""),725.0)</f>
        <v>725</v>
      </c>
      <c r="F754" s="2">
        <f>IFERROR(__xludf.DUMMYFUNCTION("""COMPUTED_VALUE"""),2802000.0)</f>
        <v>2802000</v>
      </c>
      <c r="G754" s="2">
        <f t="shared" si="1"/>
        <v>5</v>
      </c>
    </row>
    <row r="755" ht="15.75" customHeight="1">
      <c r="A755" s="1">
        <f>IFERROR(__xludf.DUMMYFUNCTION("""COMPUTED_VALUE"""),44953.66666666667)</f>
        <v>44953.66667</v>
      </c>
      <c r="B755" s="2">
        <f>IFERROR(__xludf.DUMMYFUNCTION("""COMPUTED_VALUE"""),725.0)</f>
        <v>725</v>
      </c>
      <c r="C755" s="2">
        <f>IFERROR(__xludf.DUMMYFUNCTION("""COMPUTED_VALUE"""),730.0)</f>
        <v>730</v>
      </c>
      <c r="D755" s="2">
        <f>IFERROR(__xludf.DUMMYFUNCTION("""COMPUTED_VALUE"""),720.0)</f>
        <v>720</v>
      </c>
      <c r="E755" s="2">
        <f>IFERROR(__xludf.DUMMYFUNCTION("""COMPUTED_VALUE"""),730.0)</f>
        <v>730</v>
      </c>
      <c r="F755" s="2">
        <f>IFERROR(__xludf.DUMMYFUNCTION("""COMPUTED_VALUE"""),4395600.0)</f>
        <v>4395600</v>
      </c>
      <c r="G755" s="2">
        <f t="shared" si="1"/>
        <v>10</v>
      </c>
    </row>
    <row r="756" ht="15.75" customHeight="1">
      <c r="A756" s="1">
        <f>IFERROR(__xludf.DUMMYFUNCTION("""COMPUTED_VALUE"""),44956.66666666667)</f>
        <v>44956.66667</v>
      </c>
      <c r="B756" s="2">
        <f>IFERROR(__xludf.DUMMYFUNCTION("""COMPUTED_VALUE"""),730.0)</f>
        <v>730</v>
      </c>
      <c r="C756" s="2">
        <f>IFERROR(__xludf.DUMMYFUNCTION("""COMPUTED_VALUE"""),735.0)</f>
        <v>735</v>
      </c>
      <c r="D756" s="2">
        <f>IFERROR(__xludf.DUMMYFUNCTION("""COMPUTED_VALUE"""),725.0)</f>
        <v>725</v>
      </c>
      <c r="E756" s="2">
        <f>IFERROR(__xludf.DUMMYFUNCTION("""COMPUTED_VALUE"""),730.0)</f>
        <v>730</v>
      </c>
      <c r="F756" s="2">
        <f>IFERROR(__xludf.DUMMYFUNCTION("""COMPUTED_VALUE"""),5383700.0)</f>
        <v>5383700</v>
      </c>
      <c r="G756" s="2">
        <f t="shared" si="1"/>
        <v>10</v>
      </c>
    </row>
    <row r="757" ht="15.75" customHeight="1">
      <c r="A757" s="1">
        <f>IFERROR(__xludf.DUMMYFUNCTION("""COMPUTED_VALUE"""),44957.66666666667)</f>
        <v>44957.66667</v>
      </c>
      <c r="B757" s="2">
        <f>IFERROR(__xludf.DUMMYFUNCTION("""COMPUTED_VALUE"""),730.0)</f>
        <v>730</v>
      </c>
      <c r="C757" s="2">
        <f>IFERROR(__xludf.DUMMYFUNCTION("""COMPUTED_VALUE"""),735.0)</f>
        <v>735</v>
      </c>
      <c r="D757" s="2">
        <f>IFERROR(__xludf.DUMMYFUNCTION("""COMPUTED_VALUE"""),730.0)</f>
        <v>730</v>
      </c>
      <c r="E757" s="2">
        <f>IFERROR(__xludf.DUMMYFUNCTION("""COMPUTED_VALUE"""),735.0)</f>
        <v>735</v>
      </c>
      <c r="F757" s="2">
        <f>IFERROR(__xludf.DUMMYFUNCTION("""COMPUTED_VALUE"""),4006500.0)</f>
        <v>4006500</v>
      </c>
      <c r="G757" s="2">
        <f t="shared" si="1"/>
        <v>5</v>
      </c>
    </row>
    <row r="758" ht="15.75" customHeight="1">
      <c r="A758" s="1">
        <f>IFERROR(__xludf.DUMMYFUNCTION("""COMPUTED_VALUE"""),44958.66666666667)</f>
        <v>44958.66667</v>
      </c>
      <c r="B758" s="2">
        <f>IFERROR(__xludf.DUMMYFUNCTION("""COMPUTED_VALUE"""),735.0)</f>
        <v>735</v>
      </c>
      <c r="C758" s="2">
        <f>IFERROR(__xludf.DUMMYFUNCTION("""COMPUTED_VALUE"""),740.0)</f>
        <v>740</v>
      </c>
      <c r="D758" s="2">
        <f>IFERROR(__xludf.DUMMYFUNCTION("""COMPUTED_VALUE"""),730.0)</f>
        <v>730</v>
      </c>
      <c r="E758" s="2">
        <f>IFERROR(__xludf.DUMMYFUNCTION("""COMPUTED_VALUE"""),735.0)</f>
        <v>735</v>
      </c>
      <c r="F758" s="2">
        <f>IFERROR(__xludf.DUMMYFUNCTION("""COMPUTED_VALUE"""),3920700.0)</f>
        <v>3920700</v>
      </c>
      <c r="G758" s="2">
        <f t="shared" si="1"/>
        <v>10</v>
      </c>
    </row>
    <row r="759" ht="15.75" customHeight="1">
      <c r="A759" s="1">
        <f>IFERROR(__xludf.DUMMYFUNCTION("""COMPUTED_VALUE"""),44959.66666666667)</f>
        <v>44959.66667</v>
      </c>
      <c r="B759" s="2">
        <f>IFERROR(__xludf.DUMMYFUNCTION("""COMPUTED_VALUE"""),740.0)</f>
        <v>740</v>
      </c>
      <c r="C759" s="2">
        <f>IFERROR(__xludf.DUMMYFUNCTION("""COMPUTED_VALUE"""),745.0)</f>
        <v>745</v>
      </c>
      <c r="D759" s="2">
        <f>IFERROR(__xludf.DUMMYFUNCTION("""COMPUTED_VALUE"""),730.0)</f>
        <v>730</v>
      </c>
      <c r="E759" s="2">
        <f>IFERROR(__xludf.DUMMYFUNCTION("""COMPUTED_VALUE"""),745.0)</f>
        <v>745</v>
      </c>
      <c r="F759" s="2">
        <f>IFERROR(__xludf.DUMMYFUNCTION("""COMPUTED_VALUE"""),1.26701E7)</f>
        <v>12670100</v>
      </c>
      <c r="G759" s="2">
        <f t="shared" si="1"/>
        <v>15</v>
      </c>
    </row>
    <row r="760" ht="15.75" customHeight="1">
      <c r="A760" s="1">
        <f>IFERROR(__xludf.DUMMYFUNCTION("""COMPUTED_VALUE"""),44960.66666666667)</f>
        <v>44960.66667</v>
      </c>
      <c r="B760" s="2">
        <f>IFERROR(__xludf.DUMMYFUNCTION("""COMPUTED_VALUE"""),745.0)</f>
        <v>745</v>
      </c>
      <c r="C760" s="2">
        <f>IFERROR(__xludf.DUMMYFUNCTION("""COMPUTED_VALUE"""),750.0)</f>
        <v>750</v>
      </c>
      <c r="D760" s="2">
        <f>IFERROR(__xludf.DUMMYFUNCTION("""COMPUTED_VALUE"""),735.0)</f>
        <v>735</v>
      </c>
      <c r="E760" s="2">
        <f>IFERROR(__xludf.DUMMYFUNCTION("""COMPUTED_VALUE"""),745.0)</f>
        <v>745</v>
      </c>
      <c r="F760" s="2">
        <f>IFERROR(__xludf.DUMMYFUNCTION("""COMPUTED_VALUE"""),5329800.0)</f>
        <v>5329800</v>
      </c>
      <c r="G760" s="2">
        <f t="shared" si="1"/>
        <v>15</v>
      </c>
    </row>
    <row r="761" ht="15.75" customHeight="1">
      <c r="A761" s="1">
        <f>IFERROR(__xludf.DUMMYFUNCTION("""COMPUTED_VALUE"""),44963.66666666667)</f>
        <v>44963.66667</v>
      </c>
      <c r="B761" s="2">
        <f>IFERROR(__xludf.DUMMYFUNCTION("""COMPUTED_VALUE"""),750.0)</f>
        <v>750</v>
      </c>
      <c r="C761" s="2">
        <f>IFERROR(__xludf.DUMMYFUNCTION("""COMPUTED_VALUE"""),750.0)</f>
        <v>750</v>
      </c>
      <c r="D761" s="2">
        <f>IFERROR(__xludf.DUMMYFUNCTION("""COMPUTED_VALUE"""),740.0)</f>
        <v>740</v>
      </c>
      <c r="E761" s="2">
        <f>IFERROR(__xludf.DUMMYFUNCTION("""COMPUTED_VALUE"""),745.0)</f>
        <v>745</v>
      </c>
      <c r="F761" s="2">
        <f>IFERROR(__xludf.DUMMYFUNCTION("""COMPUTED_VALUE"""),4452700.0)</f>
        <v>4452700</v>
      </c>
      <c r="G761" s="2">
        <f t="shared" si="1"/>
        <v>10</v>
      </c>
    </row>
    <row r="762" ht="15.75" customHeight="1">
      <c r="A762" s="1">
        <f>IFERROR(__xludf.DUMMYFUNCTION("""COMPUTED_VALUE"""),44964.66666666667)</f>
        <v>44964.66667</v>
      </c>
      <c r="B762" s="2">
        <f>IFERROR(__xludf.DUMMYFUNCTION("""COMPUTED_VALUE"""),745.0)</f>
        <v>745</v>
      </c>
      <c r="C762" s="2">
        <f>IFERROR(__xludf.DUMMYFUNCTION("""COMPUTED_VALUE"""),755.0)</f>
        <v>755</v>
      </c>
      <c r="D762" s="2">
        <f>IFERROR(__xludf.DUMMYFUNCTION("""COMPUTED_VALUE"""),745.0)</f>
        <v>745</v>
      </c>
      <c r="E762" s="2">
        <f>IFERROR(__xludf.DUMMYFUNCTION("""COMPUTED_VALUE"""),755.0)</f>
        <v>755</v>
      </c>
      <c r="F762" s="2">
        <f>IFERROR(__xludf.DUMMYFUNCTION("""COMPUTED_VALUE"""),5023300.0)</f>
        <v>5023300</v>
      </c>
      <c r="G762" s="2">
        <f t="shared" si="1"/>
        <v>10</v>
      </c>
    </row>
    <row r="763" ht="15.75" customHeight="1">
      <c r="A763" s="1">
        <f>IFERROR(__xludf.DUMMYFUNCTION("""COMPUTED_VALUE"""),44965.66666666667)</f>
        <v>44965.66667</v>
      </c>
      <c r="B763" s="2">
        <f>IFERROR(__xludf.DUMMYFUNCTION("""COMPUTED_VALUE"""),755.0)</f>
        <v>755</v>
      </c>
      <c r="C763" s="2">
        <f>IFERROR(__xludf.DUMMYFUNCTION("""COMPUTED_VALUE"""),755.0)</f>
        <v>755</v>
      </c>
      <c r="D763" s="2">
        <f>IFERROR(__xludf.DUMMYFUNCTION("""COMPUTED_VALUE"""),750.0)</f>
        <v>750</v>
      </c>
      <c r="E763" s="2">
        <f>IFERROR(__xludf.DUMMYFUNCTION("""COMPUTED_VALUE"""),755.0)</f>
        <v>755</v>
      </c>
      <c r="F763" s="2">
        <f>IFERROR(__xludf.DUMMYFUNCTION("""COMPUTED_VALUE"""),3384200.0)</f>
        <v>3384200</v>
      </c>
      <c r="G763" s="2">
        <f t="shared" si="1"/>
        <v>5</v>
      </c>
    </row>
    <row r="764" ht="15.75" customHeight="1">
      <c r="A764" s="1">
        <f>IFERROR(__xludf.DUMMYFUNCTION("""COMPUTED_VALUE"""),44966.66666666667)</f>
        <v>44966.66667</v>
      </c>
      <c r="B764" s="2">
        <f>IFERROR(__xludf.DUMMYFUNCTION("""COMPUTED_VALUE"""),750.0)</f>
        <v>750</v>
      </c>
      <c r="C764" s="2">
        <f>IFERROR(__xludf.DUMMYFUNCTION("""COMPUTED_VALUE"""),755.0)</f>
        <v>755</v>
      </c>
      <c r="D764" s="2">
        <f>IFERROR(__xludf.DUMMYFUNCTION("""COMPUTED_VALUE"""),745.0)</f>
        <v>745</v>
      </c>
      <c r="E764" s="2">
        <f>IFERROR(__xludf.DUMMYFUNCTION("""COMPUTED_VALUE"""),745.0)</f>
        <v>745</v>
      </c>
      <c r="F764" s="2">
        <f>IFERROR(__xludf.DUMMYFUNCTION("""COMPUTED_VALUE"""),6897200.0)</f>
        <v>6897200</v>
      </c>
      <c r="G764" s="2">
        <f t="shared" si="1"/>
        <v>10</v>
      </c>
    </row>
    <row r="765" ht="15.75" customHeight="1">
      <c r="A765" s="1">
        <f>IFERROR(__xludf.DUMMYFUNCTION("""COMPUTED_VALUE"""),44967.66666666667)</f>
        <v>44967.66667</v>
      </c>
      <c r="B765" s="2">
        <f>IFERROR(__xludf.DUMMYFUNCTION("""COMPUTED_VALUE"""),750.0)</f>
        <v>750</v>
      </c>
      <c r="C765" s="2">
        <f>IFERROR(__xludf.DUMMYFUNCTION("""COMPUTED_VALUE"""),750.0)</f>
        <v>750</v>
      </c>
      <c r="D765" s="2">
        <f>IFERROR(__xludf.DUMMYFUNCTION("""COMPUTED_VALUE"""),735.0)</f>
        <v>735</v>
      </c>
      <c r="E765" s="2">
        <f>IFERROR(__xludf.DUMMYFUNCTION("""COMPUTED_VALUE"""),745.0)</f>
        <v>745</v>
      </c>
      <c r="F765" s="2">
        <f>IFERROR(__xludf.DUMMYFUNCTION("""COMPUTED_VALUE"""),8864200.0)</f>
        <v>8864200</v>
      </c>
      <c r="G765" s="2">
        <f t="shared" si="1"/>
        <v>15</v>
      </c>
    </row>
    <row r="766" ht="15.75" customHeight="1">
      <c r="A766" s="1">
        <f>IFERROR(__xludf.DUMMYFUNCTION("""COMPUTED_VALUE"""),44970.66666666667)</f>
        <v>44970.66667</v>
      </c>
      <c r="B766" s="2">
        <f>IFERROR(__xludf.DUMMYFUNCTION("""COMPUTED_VALUE"""),745.0)</f>
        <v>745</v>
      </c>
      <c r="C766" s="2">
        <f>IFERROR(__xludf.DUMMYFUNCTION("""COMPUTED_VALUE"""),750.0)</f>
        <v>750</v>
      </c>
      <c r="D766" s="2">
        <f>IFERROR(__xludf.DUMMYFUNCTION("""COMPUTED_VALUE"""),740.0)</f>
        <v>740</v>
      </c>
      <c r="E766" s="2">
        <f>IFERROR(__xludf.DUMMYFUNCTION("""COMPUTED_VALUE"""),750.0)</f>
        <v>750</v>
      </c>
      <c r="F766" s="2">
        <f>IFERROR(__xludf.DUMMYFUNCTION("""COMPUTED_VALUE"""),3028400.0)</f>
        <v>3028400</v>
      </c>
      <c r="G766" s="2">
        <f t="shared" si="1"/>
        <v>10</v>
      </c>
    </row>
    <row r="767" ht="15.75" customHeight="1">
      <c r="A767" s="1">
        <f>IFERROR(__xludf.DUMMYFUNCTION("""COMPUTED_VALUE"""),44971.66666666667)</f>
        <v>44971.66667</v>
      </c>
      <c r="B767" s="2">
        <f>IFERROR(__xludf.DUMMYFUNCTION("""COMPUTED_VALUE"""),750.0)</f>
        <v>750</v>
      </c>
      <c r="C767" s="2">
        <f>IFERROR(__xludf.DUMMYFUNCTION("""COMPUTED_VALUE"""),750.0)</f>
        <v>750</v>
      </c>
      <c r="D767" s="2">
        <f>IFERROR(__xludf.DUMMYFUNCTION("""COMPUTED_VALUE"""),740.0)</f>
        <v>740</v>
      </c>
      <c r="E767" s="2">
        <f>IFERROR(__xludf.DUMMYFUNCTION("""COMPUTED_VALUE"""),750.0)</f>
        <v>750</v>
      </c>
      <c r="F767" s="2">
        <f>IFERROR(__xludf.DUMMYFUNCTION("""COMPUTED_VALUE"""),3006100.0)</f>
        <v>3006100</v>
      </c>
      <c r="G767" s="2">
        <f t="shared" si="1"/>
        <v>10</v>
      </c>
    </row>
    <row r="768" ht="15.75" customHeight="1">
      <c r="A768" s="1">
        <f>IFERROR(__xludf.DUMMYFUNCTION("""COMPUTED_VALUE"""),44972.66666666667)</f>
        <v>44972.66667</v>
      </c>
      <c r="B768" s="2">
        <f>IFERROR(__xludf.DUMMYFUNCTION("""COMPUTED_VALUE"""),750.0)</f>
        <v>750</v>
      </c>
      <c r="C768" s="2">
        <f>IFERROR(__xludf.DUMMYFUNCTION("""COMPUTED_VALUE"""),750.0)</f>
        <v>750</v>
      </c>
      <c r="D768" s="2">
        <f>IFERROR(__xludf.DUMMYFUNCTION("""COMPUTED_VALUE"""),740.0)</f>
        <v>740</v>
      </c>
      <c r="E768" s="2">
        <f>IFERROR(__xludf.DUMMYFUNCTION("""COMPUTED_VALUE"""),745.0)</f>
        <v>745</v>
      </c>
      <c r="F768" s="2">
        <f>IFERROR(__xludf.DUMMYFUNCTION("""COMPUTED_VALUE"""),2535100.0)</f>
        <v>2535100</v>
      </c>
      <c r="G768" s="2">
        <f t="shared" si="1"/>
        <v>10</v>
      </c>
    </row>
    <row r="769" ht="15.75" customHeight="1">
      <c r="A769" s="1">
        <f>IFERROR(__xludf.DUMMYFUNCTION("""COMPUTED_VALUE"""),44973.66666666667)</f>
        <v>44973.66667</v>
      </c>
      <c r="B769" s="2">
        <f>IFERROR(__xludf.DUMMYFUNCTION("""COMPUTED_VALUE"""),740.0)</f>
        <v>740</v>
      </c>
      <c r="C769" s="2">
        <f>IFERROR(__xludf.DUMMYFUNCTION("""COMPUTED_VALUE"""),745.0)</f>
        <v>745</v>
      </c>
      <c r="D769" s="2">
        <f>IFERROR(__xludf.DUMMYFUNCTION("""COMPUTED_VALUE"""),740.0)</f>
        <v>740</v>
      </c>
      <c r="E769" s="2">
        <f>IFERROR(__xludf.DUMMYFUNCTION("""COMPUTED_VALUE"""),745.0)</f>
        <v>745</v>
      </c>
      <c r="F769" s="2">
        <f>IFERROR(__xludf.DUMMYFUNCTION("""COMPUTED_VALUE"""),3981100.0)</f>
        <v>3981100</v>
      </c>
      <c r="G769" s="2">
        <f t="shared" si="1"/>
        <v>5</v>
      </c>
    </row>
    <row r="770" ht="15.75" customHeight="1">
      <c r="A770" s="1">
        <f>IFERROR(__xludf.DUMMYFUNCTION("""COMPUTED_VALUE"""),44974.66666666667)</f>
        <v>44974.66667</v>
      </c>
      <c r="B770" s="2">
        <f>IFERROR(__xludf.DUMMYFUNCTION("""COMPUTED_VALUE"""),745.0)</f>
        <v>745</v>
      </c>
      <c r="C770" s="2">
        <f>IFERROR(__xludf.DUMMYFUNCTION("""COMPUTED_VALUE"""),745.0)</f>
        <v>745</v>
      </c>
      <c r="D770" s="2">
        <f>IFERROR(__xludf.DUMMYFUNCTION("""COMPUTED_VALUE"""),740.0)</f>
        <v>740</v>
      </c>
      <c r="E770" s="2">
        <f>IFERROR(__xludf.DUMMYFUNCTION("""COMPUTED_VALUE"""),745.0)</f>
        <v>745</v>
      </c>
      <c r="F770" s="2">
        <f>IFERROR(__xludf.DUMMYFUNCTION("""COMPUTED_VALUE"""),2230000.0)</f>
        <v>2230000</v>
      </c>
      <c r="G770" s="2">
        <f t="shared" si="1"/>
        <v>5</v>
      </c>
    </row>
    <row r="771" ht="15.75" customHeight="1">
      <c r="A771" s="1">
        <f>IFERROR(__xludf.DUMMYFUNCTION("""COMPUTED_VALUE"""),44977.66666666667)</f>
        <v>44977.66667</v>
      </c>
      <c r="B771" s="2">
        <f>IFERROR(__xludf.DUMMYFUNCTION("""COMPUTED_VALUE"""),745.0)</f>
        <v>745</v>
      </c>
      <c r="C771" s="2">
        <f>IFERROR(__xludf.DUMMYFUNCTION("""COMPUTED_VALUE"""),745.0)</f>
        <v>745</v>
      </c>
      <c r="D771" s="2">
        <f>IFERROR(__xludf.DUMMYFUNCTION("""COMPUTED_VALUE"""),740.0)</f>
        <v>740</v>
      </c>
      <c r="E771" s="2">
        <f>IFERROR(__xludf.DUMMYFUNCTION("""COMPUTED_VALUE"""),745.0)</f>
        <v>745</v>
      </c>
      <c r="F771" s="2">
        <f>IFERROR(__xludf.DUMMYFUNCTION("""COMPUTED_VALUE"""),2360700.0)</f>
        <v>2360700</v>
      </c>
      <c r="G771" s="2">
        <f t="shared" si="1"/>
        <v>5</v>
      </c>
    </row>
    <row r="772" ht="15.75" customHeight="1">
      <c r="A772" s="1">
        <f>IFERROR(__xludf.DUMMYFUNCTION("""COMPUTED_VALUE"""),44978.66666666667)</f>
        <v>44978.66667</v>
      </c>
      <c r="B772" s="2">
        <f>IFERROR(__xludf.DUMMYFUNCTION("""COMPUTED_VALUE"""),740.0)</f>
        <v>740</v>
      </c>
      <c r="C772" s="2">
        <f>IFERROR(__xludf.DUMMYFUNCTION("""COMPUTED_VALUE"""),745.0)</f>
        <v>745</v>
      </c>
      <c r="D772" s="2">
        <f>IFERROR(__xludf.DUMMYFUNCTION("""COMPUTED_VALUE"""),740.0)</f>
        <v>740</v>
      </c>
      <c r="E772" s="2">
        <f>IFERROR(__xludf.DUMMYFUNCTION("""COMPUTED_VALUE"""),745.0)</f>
        <v>745</v>
      </c>
      <c r="F772" s="2">
        <f>IFERROR(__xludf.DUMMYFUNCTION("""COMPUTED_VALUE"""),4516500.0)</f>
        <v>4516500</v>
      </c>
      <c r="G772" s="2">
        <f t="shared" si="1"/>
        <v>5</v>
      </c>
    </row>
    <row r="773" ht="15.75" customHeight="1">
      <c r="A773" s="1">
        <f>IFERROR(__xludf.DUMMYFUNCTION("""COMPUTED_VALUE"""),44979.66666666667)</f>
        <v>44979.66667</v>
      </c>
      <c r="B773" s="2">
        <f>IFERROR(__xludf.DUMMYFUNCTION("""COMPUTED_VALUE"""),745.0)</f>
        <v>745</v>
      </c>
      <c r="C773" s="2">
        <f>IFERROR(__xludf.DUMMYFUNCTION("""COMPUTED_VALUE"""),745.0)</f>
        <v>745</v>
      </c>
      <c r="D773" s="2">
        <f>IFERROR(__xludf.DUMMYFUNCTION("""COMPUTED_VALUE"""),735.0)</f>
        <v>735</v>
      </c>
      <c r="E773" s="2">
        <f>IFERROR(__xludf.DUMMYFUNCTION("""COMPUTED_VALUE"""),745.0)</f>
        <v>745</v>
      </c>
      <c r="F773" s="2">
        <f>IFERROR(__xludf.DUMMYFUNCTION("""COMPUTED_VALUE"""),5207800.0)</f>
        <v>5207800</v>
      </c>
      <c r="G773" s="2">
        <f t="shared" si="1"/>
        <v>10</v>
      </c>
    </row>
    <row r="774" ht="15.75" customHeight="1">
      <c r="A774" s="1">
        <f>IFERROR(__xludf.DUMMYFUNCTION("""COMPUTED_VALUE"""),44980.66666666667)</f>
        <v>44980.66667</v>
      </c>
      <c r="B774" s="2">
        <f>IFERROR(__xludf.DUMMYFUNCTION("""COMPUTED_VALUE"""),745.0)</f>
        <v>745</v>
      </c>
      <c r="C774" s="2">
        <f>IFERROR(__xludf.DUMMYFUNCTION("""COMPUTED_VALUE"""),745.0)</f>
        <v>745</v>
      </c>
      <c r="D774" s="2">
        <f>IFERROR(__xludf.DUMMYFUNCTION("""COMPUTED_VALUE"""),740.0)</f>
        <v>740</v>
      </c>
      <c r="E774" s="2">
        <f>IFERROR(__xludf.DUMMYFUNCTION("""COMPUTED_VALUE"""),745.0)</f>
        <v>745</v>
      </c>
      <c r="F774" s="2">
        <f>IFERROR(__xludf.DUMMYFUNCTION("""COMPUTED_VALUE"""),2721400.0)</f>
        <v>2721400</v>
      </c>
      <c r="G774" s="2">
        <f t="shared" si="1"/>
        <v>5</v>
      </c>
    </row>
    <row r="775" ht="15.75" customHeight="1">
      <c r="A775" s="1">
        <f>IFERROR(__xludf.DUMMYFUNCTION("""COMPUTED_VALUE"""),44981.66666666667)</f>
        <v>44981.66667</v>
      </c>
      <c r="B775" s="2">
        <f>IFERROR(__xludf.DUMMYFUNCTION("""COMPUTED_VALUE"""),745.0)</f>
        <v>745</v>
      </c>
      <c r="C775" s="2">
        <f>IFERROR(__xludf.DUMMYFUNCTION("""COMPUTED_VALUE"""),745.0)</f>
        <v>745</v>
      </c>
      <c r="D775" s="2">
        <f>IFERROR(__xludf.DUMMYFUNCTION("""COMPUTED_VALUE"""),740.0)</f>
        <v>740</v>
      </c>
      <c r="E775" s="2">
        <f>IFERROR(__xludf.DUMMYFUNCTION("""COMPUTED_VALUE"""),745.0)</f>
        <v>745</v>
      </c>
      <c r="F775" s="2">
        <f>IFERROR(__xludf.DUMMYFUNCTION("""COMPUTED_VALUE"""),2116600.0)</f>
        <v>2116600</v>
      </c>
      <c r="G775" s="2">
        <f t="shared" si="1"/>
        <v>5</v>
      </c>
    </row>
    <row r="776" ht="15.75" customHeight="1">
      <c r="A776" s="1">
        <f>IFERROR(__xludf.DUMMYFUNCTION("""COMPUTED_VALUE"""),44984.66666666667)</f>
        <v>44984.66667</v>
      </c>
      <c r="B776" s="2">
        <f>IFERROR(__xludf.DUMMYFUNCTION("""COMPUTED_VALUE"""),745.0)</f>
        <v>745</v>
      </c>
      <c r="C776" s="2">
        <f>IFERROR(__xludf.DUMMYFUNCTION("""COMPUTED_VALUE"""),750.0)</f>
        <v>750</v>
      </c>
      <c r="D776" s="2">
        <f>IFERROR(__xludf.DUMMYFUNCTION("""COMPUTED_VALUE"""),740.0)</f>
        <v>740</v>
      </c>
      <c r="E776" s="2">
        <f>IFERROR(__xludf.DUMMYFUNCTION("""COMPUTED_VALUE"""),750.0)</f>
        <v>750</v>
      </c>
      <c r="F776" s="2">
        <f>IFERROR(__xludf.DUMMYFUNCTION("""COMPUTED_VALUE"""),3822200.0)</f>
        <v>3822200</v>
      </c>
      <c r="G776" s="2">
        <f t="shared" si="1"/>
        <v>10</v>
      </c>
    </row>
    <row r="777" ht="15.75" customHeight="1">
      <c r="A777" s="1">
        <f>IFERROR(__xludf.DUMMYFUNCTION("""COMPUTED_VALUE"""),44985.66666666667)</f>
        <v>44985.66667</v>
      </c>
      <c r="B777" s="2">
        <f>IFERROR(__xludf.DUMMYFUNCTION("""COMPUTED_VALUE"""),745.0)</f>
        <v>745</v>
      </c>
      <c r="C777" s="2">
        <f>IFERROR(__xludf.DUMMYFUNCTION("""COMPUTED_VALUE"""),750.0)</f>
        <v>750</v>
      </c>
      <c r="D777" s="2">
        <f>IFERROR(__xludf.DUMMYFUNCTION("""COMPUTED_VALUE"""),740.0)</f>
        <v>740</v>
      </c>
      <c r="E777" s="2">
        <f>IFERROR(__xludf.DUMMYFUNCTION("""COMPUTED_VALUE"""),740.0)</f>
        <v>740</v>
      </c>
      <c r="F777" s="2">
        <f>IFERROR(__xludf.DUMMYFUNCTION("""COMPUTED_VALUE"""),8042300.0)</f>
        <v>8042300</v>
      </c>
      <c r="G777" s="2">
        <f t="shared" si="1"/>
        <v>10</v>
      </c>
    </row>
    <row r="778" ht="15.75" customHeight="1">
      <c r="A778" s="1">
        <f>IFERROR(__xludf.DUMMYFUNCTION("""COMPUTED_VALUE"""),44986.66666666667)</f>
        <v>44986.66667</v>
      </c>
      <c r="B778" s="2">
        <f>IFERROR(__xludf.DUMMYFUNCTION("""COMPUTED_VALUE"""),745.0)</f>
        <v>745</v>
      </c>
      <c r="C778" s="2">
        <f>IFERROR(__xludf.DUMMYFUNCTION("""COMPUTED_VALUE"""),745.0)</f>
        <v>745</v>
      </c>
      <c r="D778" s="2">
        <f>IFERROR(__xludf.DUMMYFUNCTION("""COMPUTED_VALUE"""),735.0)</f>
        <v>735</v>
      </c>
      <c r="E778" s="2">
        <f>IFERROR(__xludf.DUMMYFUNCTION("""COMPUTED_VALUE"""),740.0)</f>
        <v>740</v>
      </c>
      <c r="F778" s="2">
        <f>IFERROR(__xludf.DUMMYFUNCTION("""COMPUTED_VALUE"""),5716300.0)</f>
        <v>5716300</v>
      </c>
      <c r="G778" s="2">
        <f t="shared" si="1"/>
        <v>10</v>
      </c>
    </row>
    <row r="779" ht="15.75" customHeight="1">
      <c r="A779" s="1">
        <f>IFERROR(__xludf.DUMMYFUNCTION("""COMPUTED_VALUE"""),44987.66666666667)</f>
        <v>44987.66667</v>
      </c>
      <c r="B779" s="2">
        <f>IFERROR(__xludf.DUMMYFUNCTION("""COMPUTED_VALUE"""),740.0)</f>
        <v>740</v>
      </c>
      <c r="C779" s="2">
        <f>IFERROR(__xludf.DUMMYFUNCTION("""COMPUTED_VALUE"""),745.0)</f>
        <v>745</v>
      </c>
      <c r="D779" s="2">
        <f>IFERROR(__xludf.DUMMYFUNCTION("""COMPUTED_VALUE"""),740.0)</f>
        <v>740</v>
      </c>
      <c r="E779" s="2">
        <f>IFERROR(__xludf.DUMMYFUNCTION("""COMPUTED_VALUE"""),745.0)</f>
        <v>745</v>
      </c>
      <c r="F779" s="2">
        <f>IFERROR(__xludf.DUMMYFUNCTION("""COMPUTED_VALUE"""),2883800.0)</f>
        <v>2883800</v>
      </c>
      <c r="G779" s="2">
        <f t="shared" si="1"/>
        <v>5</v>
      </c>
    </row>
    <row r="780" ht="15.75" customHeight="1">
      <c r="A780" s="1">
        <f>IFERROR(__xludf.DUMMYFUNCTION("""COMPUTED_VALUE"""),44988.66666666667)</f>
        <v>44988.66667</v>
      </c>
      <c r="B780" s="2">
        <f>IFERROR(__xludf.DUMMYFUNCTION("""COMPUTED_VALUE"""),745.0)</f>
        <v>745</v>
      </c>
      <c r="C780" s="2">
        <f>IFERROR(__xludf.DUMMYFUNCTION("""COMPUTED_VALUE"""),745.0)</f>
        <v>745</v>
      </c>
      <c r="D780" s="2">
        <f>IFERROR(__xludf.DUMMYFUNCTION("""COMPUTED_VALUE"""),740.0)</f>
        <v>740</v>
      </c>
      <c r="E780" s="2">
        <f>IFERROR(__xludf.DUMMYFUNCTION("""COMPUTED_VALUE"""),745.0)</f>
        <v>745</v>
      </c>
      <c r="F780" s="2">
        <f>IFERROR(__xludf.DUMMYFUNCTION("""COMPUTED_VALUE"""),4270800.0)</f>
        <v>4270800</v>
      </c>
      <c r="G780" s="2">
        <f t="shared" si="1"/>
        <v>5</v>
      </c>
    </row>
    <row r="781" ht="15.75" customHeight="1">
      <c r="A781" s="1">
        <f>IFERROR(__xludf.DUMMYFUNCTION("""COMPUTED_VALUE"""),44991.66666666667)</f>
        <v>44991.66667</v>
      </c>
      <c r="B781" s="2">
        <f>IFERROR(__xludf.DUMMYFUNCTION("""COMPUTED_VALUE"""),745.0)</f>
        <v>745</v>
      </c>
      <c r="C781" s="2">
        <f>IFERROR(__xludf.DUMMYFUNCTION("""COMPUTED_VALUE"""),750.0)</f>
        <v>750</v>
      </c>
      <c r="D781" s="2">
        <f>IFERROR(__xludf.DUMMYFUNCTION("""COMPUTED_VALUE"""),740.0)</f>
        <v>740</v>
      </c>
      <c r="E781" s="2">
        <f>IFERROR(__xludf.DUMMYFUNCTION("""COMPUTED_VALUE"""),740.0)</f>
        <v>740</v>
      </c>
      <c r="F781" s="2">
        <f>IFERROR(__xludf.DUMMYFUNCTION("""COMPUTED_VALUE"""),5322700.0)</f>
        <v>5322700</v>
      </c>
      <c r="G781" s="2">
        <f t="shared" si="1"/>
        <v>10</v>
      </c>
    </row>
    <row r="782" ht="15.75" customHeight="1">
      <c r="A782" s="1">
        <f>IFERROR(__xludf.DUMMYFUNCTION("""COMPUTED_VALUE"""),44992.66666666667)</f>
        <v>44992.66667</v>
      </c>
      <c r="B782" s="2">
        <f>IFERROR(__xludf.DUMMYFUNCTION("""COMPUTED_VALUE"""),740.0)</f>
        <v>740</v>
      </c>
      <c r="C782" s="2">
        <f>IFERROR(__xludf.DUMMYFUNCTION("""COMPUTED_VALUE"""),745.0)</f>
        <v>745</v>
      </c>
      <c r="D782" s="2">
        <f>IFERROR(__xludf.DUMMYFUNCTION("""COMPUTED_VALUE"""),740.0)</f>
        <v>740</v>
      </c>
      <c r="E782" s="2">
        <f>IFERROR(__xludf.DUMMYFUNCTION("""COMPUTED_VALUE"""),740.0)</f>
        <v>740</v>
      </c>
      <c r="F782" s="2">
        <f>IFERROR(__xludf.DUMMYFUNCTION("""COMPUTED_VALUE"""),4676700.0)</f>
        <v>4676700</v>
      </c>
      <c r="G782" s="2">
        <f t="shared" si="1"/>
        <v>5</v>
      </c>
    </row>
    <row r="783" ht="15.75" customHeight="1">
      <c r="A783" s="1">
        <f>IFERROR(__xludf.DUMMYFUNCTION("""COMPUTED_VALUE"""),44993.66666666667)</f>
        <v>44993.66667</v>
      </c>
      <c r="B783" s="2">
        <f>IFERROR(__xludf.DUMMYFUNCTION("""COMPUTED_VALUE"""),745.0)</f>
        <v>745</v>
      </c>
      <c r="C783" s="2">
        <f>IFERROR(__xludf.DUMMYFUNCTION("""COMPUTED_VALUE"""),745.0)</f>
        <v>745</v>
      </c>
      <c r="D783" s="2">
        <f>IFERROR(__xludf.DUMMYFUNCTION("""COMPUTED_VALUE"""),735.0)</f>
        <v>735</v>
      </c>
      <c r="E783" s="2">
        <f>IFERROR(__xludf.DUMMYFUNCTION("""COMPUTED_VALUE"""),740.0)</f>
        <v>740</v>
      </c>
      <c r="F783" s="2">
        <f>IFERROR(__xludf.DUMMYFUNCTION("""COMPUTED_VALUE"""),8563300.0)</f>
        <v>8563300</v>
      </c>
      <c r="G783" s="2">
        <f t="shared" si="1"/>
        <v>10</v>
      </c>
    </row>
    <row r="784" ht="15.75" customHeight="1">
      <c r="A784" s="1">
        <f>IFERROR(__xludf.DUMMYFUNCTION("""COMPUTED_VALUE"""),44994.66666666667)</f>
        <v>44994.66667</v>
      </c>
      <c r="B784" s="2">
        <f>IFERROR(__xludf.DUMMYFUNCTION("""COMPUTED_VALUE"""),735.0)</f>
        <v>735</v>
      </c>
      <c r="C784" s="2">
        <f>IFERROR(__xludf.DUMMYFUNCTION("""COMPUTED_VALUE"""),745.0)</f>
        <v>745</v>
      </c>
      <c r="D784" s="2">
        <f>IFERROR(__xludf.DUMMYFUNCTION("""COMPUTED_VALUE"""),735.0)</f>
        <v>735</v>
      </c>
      <c r="E784" s="2">
        <f>IFERROR(__xludf.DUMMYFUNCTION("""COMPUTED_VALUE"""),740.0)</f>
        <v>740</v>
      </c>
      <c r="F784" s="2">
        <f>IFERROR(__xludf.DUMMYFUNCTION("""COMPUTED_VALUE"""),6629600.0)</f>
        <v>6629600</v>
      </c>
      <c r="G784" s="2">
        <f t="shared" si="1"/>
        <v>10</v>
      </c>
    </row>
    <row r="785" ht="15.75" customHeight="1">
      <c r="A785" s="1">
        <f>IFERROR(__xludf.DUMMYFUNCTION("""COMPUTED_VALUE"""),44995.66666666667)</f>
        <v>44995.66667</v>
      </c>
      <c r="B785" s="2">
        <f>IFERROR(__xludf.DUMMYFUNCTION("""COMPUTED_VALUE"""),740.0)</f>
        <v>740</v>
      </c>
      <c r="C785" s="2">
        <f>IFERROR(__xludf.DUMMYFUNCTION("""COMPUTED_VALUE"""),740.0)</f>
        <v>740</v>
      </c>
      <c r="D785" s="2">
        <f>IFERROR(__xludf.DUMMYFUNCTION("""COMPUTED_VALUE"""),735.0)</f>
        <v>735</v>
      </c>
      <c r="E785" s="2">
        <f>IFERROR(__xludf.DUMMYFUNCTION("""COMPUTED_VALUE"""),740.0)</f>
        <v>740</v>
      </c>
      <c r="F785" s="2">
        <f>IFERROR(__xludf.DUMMYFUNCTION("""COMPUTED_VALUE"""),3153100.0)</f>
        <v>3153100</v>
      </c>
      <c r="G785" s="2">
        <f t="shared" si="1"/>
        <v>5</v>
      </c>
    </row>
    <row r="786" ht="15.75" customHeight="1">
      <c r="A786" s="1">
        <f>IFERROR(__xludf.DUMMYFUNCTION("""COMPUTED_VALUE"""),44998.66666666667)</f>
        <v>44998.66667</v>
      </c>
      <c r="B786" s="2">
        <f>IFERROR(__xludf.DUMMYFUNCTION("""COMPUTED_VALUE"""),740.0)</f>
        <v>740</v>
      </c>
      <c r="C786" s="2">
        <f>IFERROR(__xludf.DUMMYFUNCTION("""COMPUTED_VALUE"""),740.0)</f>
        <v>740</v>
      </c>
      <c r="D786" s="2">
        <f>IFERROR(__xludf.DUMMYFUNCTION("""COMPUTED_VALUE"""),730.0)</f>
        <v>730</v>
      </c>
      <c r="E786" s="2">
        <f>IFERROR(__xludf.DUMMYFUNCTION("""COMPUTED_VALUE"""),730.0)</f>
        <v>730</v>
      </c>
      <c r="F786" s="2">
        <f>IFERROR(__xludf.DUMMYFUNCTION("""COMPUTED_VALUE"""),8100300.0)</f>
        <v>8100300</v>
      </c>
      <c r="G786" s="2">
        <f t="shared" si="1"/>
        <v>10</v>
      </c>
    </row>
    <row r="787" ht="15.75" customHeight="1">
      <c r="A787" s="1">
        <f>IFERROR(__xludf.DUMMYFUNCTION("""COMPUTED_VALUE"""),44999.66666666667)</f>
        <v>44999.66667</v>
      </c>
      <c r="B787" s="2">
        <f>IFERROR(__xludf.DUMMYFUNCTION("""COMPUTED_VALUE"""),730.0)</f>
        <v>730</v>
      </c>
      <c r="C787" s="2">
        <f>IFERROR(__xludf.DUMMYFUNCTION("""COMPUTED_VALUE"""),735.0)</f>
        <v>735</v>
      </c>
      <c r="D787" s="2">
        <f>IFERROR(__xludf.DUMMYFUNCTION("""COMPUTED_VALUE"""),715.0)</f>
        <v>715</v>
      </c>
      <c r="E787" s="2">
        <f>IFERROR(__xludf.DUMMYFUNCTION("""COMPUTED_VALUE"""),725.0)</f>
        <v>725</v>
      </c>
      <c r="F787" s="2">
        <f>IFERROR(__xludf.DUMMYFUNCTION("""COMPUTED_VALUE"""),1.35985E7)</f>
        <v>13598500</v>
      </c>
      <c r="G787" s="2">
        <f t="shared" si="1"/>
        <v>20</v>
      </c>
    </row>
    <row r="788" ht="15.75" customHeight="1">
      <c r="A788" s="1">
        <f>IFERROR(__xludf.DUMMYFUNCTION("""COMPUTED_VALUE"""),45000.66666666667)</f>
        <v>45000.66667</v>
      </c>
      <c r="B788" s="2">
        <f>IFERROR(__xludf.DUMMYFUNCTION("""COMPUTED_VALUE"""),725.0)</f>
        <v>725</v>
      </c>
      <c r="C788" s="2">
        <f>IFERROR(__xludf.DUMMYFUNCTION("""COMPUTED_VALUE"""),725.0)</f>
        <v>725</v>
      </c>
      <c r="D788" s="2">
        <f>IFERROR(__xludf.DUMMYFUNCTION("""COMPUTED_VALUE"""),715.0)</f>
        <v>715</v>
      </c>
      <c r="E788" s="2">
        <f>IFERROR(__xludf.DUMMYFUNCTION("""COMPUTED_VALUE"""),715.0)</f>
        <v>715</v>
      </c>
      <c r="F788" s="2">
        <f>IFERROR(__xludf.DUMMYFUNCTION("""COMPUTED_VALUE"""),4891500.0)</f>
        <v>4891500</v>
      </c>
      <c r="G788" s="2">
        <f t="shared" si="1"/>
        <v>10</v>
      </c>
    </row>
    <row r="789" ht="15.75" customHeight="1">
      <c r="A789" s="1">
        <f>IFERROR(__xludf.DUMMYFUNCTION("""COMPUTED_VALUE"""),45001.66666666667)</f>
        <v>45001.66667</v>
      </c>
      <c r="B789" s="2">
        <f>IFERROR(__xludf.DUMMYFUNCTION("""COMPUTED_VALUE"""),715.0)</f>
        <v>715</v>
      </c>
      <c r="C789" s="2">
        <f>IFERROR(__xludf.DUMMYFUNCTION("""COMPUTED_VALUE"""),715.0)</f>
        <v>715</v>
      </c>
      <c r="D789" s="2">
        <f>IFERROR(__xludf.DUMMYFUNCTION("""COMPUTED_VALUE"""),700.0)</f>
        <v>700</v>
      </c>
      <c r="E789" s="2">
        <f>IFERROR(__xludf.DUMMYFUNCTION("""COMPUTED_VALUE"""),705.0)</f>
        <v>705</v>
      </c>
      <c r="F789" s="2">
        <f>IFERROR(__xludf.DUMMYFUNCTION("""COMPUTED_VALUE"""),1.07199E7)</f>
        <v>10719900</v>
      </c>
      <c r="G789" s="2">
        <f t="shared" si="1"/>
        <v>15</v>
      </c>
    </row>
    <row r="790" ht="15.75" customHeight="1">
      <c r="A790" s="1">
        <f>IFERROR(__xludf.DUMMYFUNCTION("""COMPUTED_VALUE"""),45002.66666666667)</f>
        <v>45002.66667</v>
      </c>
      <c r="B790" s="2">
        <f>IFERROR(__xludf.DUMMYFUNCTION("""COMPUTED_VALUE"""),705.0)</f>
        <v>705</v>
      </c>
      <c r="C790" s="2">
        <f>IFERROR(__xludf.DUMMYFUNCTION("""COMPUTED_VALUE"""),720.0)</f>
        <v>720</v>
      </c>
      <c r="D790" s="2">
        <f>IFERROR(__xludf.DUMMYFUNCTION("""COMPUTED_VALUE"""),705.0)</f>
        <v>705</v>
      </c>
      <c r="E790" s="2">
        <f>IFERROR(__xludf.DUMMYFUNCTION("""COMPUTED_VALUE"""),720.0)</f>
        <v>720</v>
      </c>
      <c r="F790" s="2">
        <f>IFERROR(__xludf.DUMMYFUNCTION("""COMPUTED_VALUE"""),4623400.0)</f>
        <v>4623400</v>
      </c>
      <c r="G790" s="2">
        <f t="shared" si="1"/>
        <v>15</v>
      </c>
    </row>
    <row r="791" ht="15.75" customHeight="1">
      <c r="A791" s="1">
        <f>IFERROR(__xludf.DUMMYFUNCTION("""COMPUTED_VALUE"""),45005.66666666667)</f>
        <v>45005.66667</v>
      </c>
      <c r="B791" s="2">
        <f>IFERROR(__xludf.DUMMYFUNCTION("""COMPUTED_VALUE"""),715.0)</f>
        <v>715</v>
      </c>
      <c r="C791" s="2">
        <f>IFERROR(__xludf.DUMMYFUNCTION("""COMPUTED_VALUE"""),720.0)</f>
        <v>720</v>
      </c>
      <c r="D791" s="2">
        <f>IFERROR(__xludf.DUMMYFUNCTION("""COMPUTED_VALUE"""),710.0)</f>
        <v>710</v>
      </c>
      <c r="E791" s="2">
        <f>IFERROR(__xludf.DUMMYFUNCTION("""COMPUTED_VALUE"""),715.0)</f>
        <v>715</v>
      </c>
      <c r="F791" s="2">
        <f>IFERROR(__xludf.DUMMYFUNCTION("""COMPUTED_VALUE"""),4717900.0)</f>
        <v>4717900</v>
      </c>
      <c r="G791" s="2">
        <f t="shared" si="1"/>
        <v>10</v>
      </c>
    </row>
    <row r="792" ht="15.75" customHeight="1">
      <c r="A792" s="1">
        <f>IFERROR(__xludf.DUMMYFUNCTION("""COMPUTED_VALUE"""),45006.66666666667)</f>
        <v>45006.66667</v>
      </c>
      <c r="B792" s="2">
        <f>IFERROR(__xludf.DUMMYFUNCTION("""COMPUTED_VALUE"""),715.0)</f>
        <v>715</v>
      </c>
      <c r="C792" s="2">
        <f>IFERROR(__xludf.DUMMYFUNCTION("""COMPUTED_VALUE"""),725.0)</f>
        <v>725</v>
      </c>
      <c r="D792" s="2">
        <f>IFERROR(__xludf.DUMMYFUNCTION("""COMPUTED_VALUE"""),710.0)</f>
        <v>710</v>
      </c>
      <c r="E792" s="2">
        <f>IFERROR(__xludf.DUMMYFUNCTION("""COMPUTED_VALUE"""),725.0)</f>
        <v>725</v>
      </c>
      <c r="F792" s="2">
        <f>IFERROR(__xludf.DUMMYFUNCTION("""COMPUTED_VALUE"""),3924000.0)</f>
        <v>3924000</v>
      </c>
      <c r="G792" s="2">
        <f t="shared" si="1"/>
        <v>15</v>
      </c>
    </row>
    <row r="793" ht="15.75" customHeight="1">
      <c r="A793" s="1">
        <f>IFERROR(__xludf.DUMMYFUNCTION("""COMPUTED_VALUE"""),45009.66666666667)</f>
        <v>45009.66667</v>
      </c>
      <c r="B793" s="2">
        <f>IFERROR(__xludf.DUMMYFUNCTION("""COMPUTED_VALUE"""),685.0)</f>
        <v>685</v>
      </c>
      <c r="C793" s="2">
        <f>IFERROR(__xludf.DUMMYFUNCTION("""COMPUTED_VALUE"""),735.0)</f>
        <v>735</v>
      </c>
      <c r="D793" s="2">
        <f>IFERROR(__xludf.DUMMYFUNCTION("""COMPUTED_VALUE"""),685.0)</f>
        <v>685</v>
      </c>
      <c r="E793" s="2">
        <f>IFERROR(__xludf.DUMMYFUNCTION("""COMPUTED_VALUE"""),735.0)</f>
        <v>735</v>
      </c>
      <c r="F793" s="2">
        <f>IFERROR(__xludf.DUMMYFUNCTION("""COMPUTED_VALUE"""),6796700.0)</f>
        <v>6796700</v>
      </c>
      <c r="G793" s="2">
        <f t="shared" si="1"/>
        <v>50</v>
      </c>
    </row>
    <row r="794" ht="15.75" customHeight="1">
      <c r="A794" s="1">
        <f>IFERROR(__xludf.DUMMYFUNCTION("""COMPUTED_VALUE"""),45012.66666666667)</f>
        <v>45012.66667</v>
      </c>
      <c r="B794" s="2">
        <f>IFERROR(__xludf.DUMMYFUNCTION("""COMPUTED_VALUE"""),735.0)</f>
        <v>735</v>
      </c>
      <c r="C794" s="2">
        <f>IFERROR(__xludf.DUMMYFUNCTION("""COMPUTED_VALUE"""),740.0)</f>
        <v>740</v>
      </c>
      <c r="D794" s="2">
        <f>IFERROR(__xludf.DUMMYFUNCTION("""COMPUTED_VALUE"""),730.0)</f>
        <v>730</v>
      </c>
      <c r="E794" s="2">
        <f>IFERROR(__xludf.DUMMYFUNCTION("""COMPUTED_VALUE"""),735.0)</f>
        <v>735</v>
      </c>
      <c r="F794" s="2">
        <f>IFERROR(__xludf.DUMMYFUNCTION("""COMPUTED_VALUE"""),4369300.0)</f>
        <v>4369300</v>
      </c>
      <c r="G794" s="2">
        <f t="shared" si="1"/>
        <v>10</v>
      </c>
    </row>
    <row r="795" ht="15.75" customHeight="1">
      <c r="A795" s="1">
        <f>IFERROR(__xludf.DUMMYFUNCTION("""COMPUTED_VALUE"""),45013.66666666667)</f>
        <v>45013.66667</v>
      </c>
      <c r="B795" s="2">
        <f>IFERROR(__xludf.DUMMYFUNCTION("""COMPUTED_VALUE"""),735.0)</f>
        <v>735</v>
      </c>
      <c r="C795" s="2">
        <f>IFERROR(__xludf.DUMMYFUNCTION("""COMPUTED_VALUE"""),740.0)</f>
        <v>740</v>
      </c>
      <c r="D795" s="2">
        <f>IFERROR(__xludf.DUMMYFUNCTION("""COMPUTED_VALUE"""),730.0)</f>
        <v>730</v>
      </c>
      <c r="E795" s="2">
        <f>IFERROR(__xludf.DUMMYFUNCTION("""COMPUTED_VALUE"""),730.0)</f>
        <v>730</v>
      </c>
      <c r="F795" s="2">
        <f>IFERROR(__xludf.DUMMYFUNCTION("""COMPUTED_VALUE"""),4862100.0)</f>
        <v>4862100</v>
      </c>
      <c r="G795" s="2">
        <f t="shared" si="1"/>
        <v>10</v>
      </c>
    </row>
    <row r="796" ht="15.75" customHeight="1">
      <c r="A796" s="1">
        <f>IFERROR(__xludf.DUMMYFUNCTION("""COMPUTED_VALUE"""),45014.66666666667)</f>
        <v>45014.66667</v>
      </c>
      <c r="B796" s="2">
        <f>IFERROR(__xludf.DUMMYFUNCTION("""COMPUTED_VALUE"""),730.0)</f>
        <v>730</v>
      </c>
      <c r="C796" s="2">
        <f>IFERROR(__xludf.DUMMYFUNCTION("""COMPUTED_VALUE"""),740.0)</f>
        <v>740</v>
      </c>
      <c r="D796" s="2">
        <f>IFERROR(__xludf.DUMMYFUNCTION("""COMPUTED_VALUE"""),730.0)</f>
        <v>730</v>
      </c>
      <c r="E796" s="2">
        <f>IFERROR(__xludf.DUMMYFUNCTION("""COMPUTED_VALUE"""),735.0)</f>
        <v>735</v>
      </c>
      <c r="F796" s="2">
        <f>IFERROR(__xludf.DUMMYFUNCTION("""COMPUTED_VALUE"""),3925100.0)</f>
        <v>3925100</v>
      </c>
      <c r="G796" s="2">
        <f t="shared" si="1"/>
        <v>10</v>
      </c>
    </row>
    <row r="797" ht="15.75" customHeight="1">
      <c r="A797" s="1">
        <f>IFERROR(__xludf.DUMMYFUNCTION("""COMPUTED_VALUE"""),45015.66666666667)</f>
        <v>45015.66667</v>
      </c>
      <c r="B797" s="2">
        <f>IFERROR(__xludf.DUMMYFUNCTION("""COMPUTED_VALUE"""),740.0)</f>
        <v>740</v>
      </c>
      <c r="C797" s="2">
        <f>IFERROR(__xludf.DUMMYFUNCTION("""COMPUTED_VALUE"""),745.0)</f>
        <v>745</v>
      </c>
      <c r="D797" s="2">
        <f>IFERROR(__xludf.DUMMYFUNCTION("""COMPUTED_VALUE"""),730.0)</f>
        <v>730</v>
      </c>
      <c r="E797" s="2">
        <f>IFERROR(__xludf.DUMMYFUNCTION("""COMPUTED_VALUE"""),735.0)</f>
        <v>735</v>
      </c>
      <c r="F797" s="2">
        <f>IFERROR(__xludf.DUMMYFUNCTION("""COMPUTED_VALUE"""),1.39115E7)</f>
        <v>13911500</v>
      </c>
      <c r="G797" s="2">
        <f t="shared" si="1"/>
        <v>15</v>
      </c>
    </row>
    <row r="798" ht="15.75" customHeight="1">
      <c r="A798" s="1">
        <f>IFERROR(__xludf.DUMMYFUNCTION("""COMPUTED_VALUE"""),45016.66666666667)</f>
        <v>45016.66667</v>
      </c>
      <c r="B798" s="2">
        <f>IFERROR(__xludf.DUMMYFUNCTION("""COMPUTED_VALUE"""),735.0)</f>
        <v>735</v>
      </c>
      <c r="C798" s="2">
        <f>IFERROR(__xludf.DUMMYFUNCTION("""COMPUTED_VALUE"""),740.0)</f>
        <v>740</v>
      </c>
      <c r="D798" s="2">
        <f>IFERROR(__xludf.DUMMYFUNCTION("""COMPUTED_VALUE"""),730.0)</f>
        <v>730</v>
      </c>
      <c r="E798" s="2">
        <f>IFERROR(__xludf.DUMMYFUNCTION("""COMPUTED_VALUE"""),735.0)</f>
        <v>735</v>
      </c>
      <c r="F798" s="2">
        <f>IFERROR(__xludf.DUMMYFUNCTION("""COMPUTED_VALUE"""),3755100.0)</f>
        <v>3755100</v>
      </c>
      <c r="G798" s="2">
        <f t="shared" si="1"/>
        <v>10</v>
      </c>
    </row>
    <row r="799" ht="15.75" customHeight="1">
      <c r="A799" s="1">
        <f>IFERROR(__xludf.DUMMYFUNCTION("""COMPUTED_VALUE"""),45019.66666666667)</f>
        <v>45019.66667</v>
      </c>
      <c r="B799" s="2">
        <f>IFERROR(__xludf.DUMMYFUNCTION("""COMPUTED_VALUE"""),735.0)</f>
        <v>735</v>
      </c>
      <c r="C799" s="2">
        <f>IFERROR(__xludf.DUMMYFUNCTION("""COMPUTED_VALUE"""),740.0)</f>
        <v>740</v>
      </c>
      <c r="D799" s="2">
        <f>IFERROR(__xludf.DUMMYFUNCTION("""COMPUTED_VALUE"""),730.0)</f>
        <v>730</v>
      </c>
      <c r="E799" s="2">
        <f>IFERROR(__xludf.DUMMYFUNCTION("""COMPUTED_VALUE"""),740.0)</f>
        <v>740</v>
      </c>
      <c r="F799" s="2">
        <f>IFERROR(__xludf.DUMMYFUNCTION("""COMPUTED_VALUE"""),8952300.0)</f>
        <v>8952300</v>
      </c>
      <c r="G799" s="2">
        <f t="shared" si="1"/>
        <v>10</v>
      </c>
    </row>
    <row r="800" ht="15.75" customHeight="1">
      <c r="A800" s="1">
        <f>IFERROR(__xludf.DUMMYFUNCTION("""COMPUTED_VALUE"""),45020.66666666667)</f>
        <v>45020.66667</v>
      </c>
      <c r="B800" s="2">
        <f>IFERROR(__xludf.DUMMYFUNCTION("""COMPUTED_VALUE"""),740.0)</f>
        <v>740</v>
      </c>
      <c r="C800" s="2">
        <f>IFERROR(__xludf.DUMMYFUNCTION("""COMPUTED_VALUE"""),745.0)</f>
        <v>745</v>
      </c>
      <c r="D800" s="2">
        <f>IFERROR(__xludf.DUMMYFUNCTION("""COMPUTED_VALUE"""),725.0)</f>
        <v>725</v>
      </c>
      <c r="E800" s="2">
        <f>IFERROR(__xludf.DUMMYFUNCTION("""COMPUTED_VALUE"""),730.0)</f>
        <v>730</v>
      </c>
      <c r="F800" s="2">
        <f>IFERROR(__xludf.DUMMYFUNCTION("""COMPUTED_VALUE"""),1.70757E7)</f>
        <v>17075700</v>
      </c>
      <c r="G800" s="2">
        <f t="shared" si="1"/>
        <v>20</v>
      </c>
    </row>
    <row r="801" ht="15.75" customHeight="1">
      <c r="A801" s="1">
        <f>IFERROR(__xludf.DUMMYFUNCTION("""COMPUTED_VALUE"""),45021.66666666667)</f>
        <v>45021.66667</v>
      </c>
      <c r="B801" s="2">
        <f>IFERROR(__xludf.DUMMYFUNCTION("""COMPUTED_VALUE"""),730.0)</f>
        <v>730</v>
      </c>
      <c r="C801" s="2">
        <f>IFERROR(__xludf.DUMMYFUNCTION("""COMPUTED_VALUE"""),735.0)</f>
        <v>735</v>
      </c>
      <c r="D801" s="2">
        <f>IFERROR(__xludf.DUMMYFUNCTION("""COMPUTED_VALUE"""),725.0)</f>
        <v>725</v>
      </c>
      <c r="E801" s="2">
        <f>IFERROR(__xludf.DUMMYFUNCTION("""COMPUTED_VALUE"""),725.0)</f>
        <v>725</v>
      </c>
      <c r="F801" s="2">
        <f>IFERROR(__xludf.DUMMYFUNCTION("""COMPUTED_VALUE"""),1.52948E7)</f>
        <v>15294800</v>
      </c>
      <c r="G801" s="2">
        <f t="shared" si="1"/>
        <v>10</v>
      </c>
    </row>
    <row r="802" ht="15.75" customHeight="1">
      <c r="A802" s="1">
        <f>IFERROR(__xludf.DUMMYFUNCTION("""COMPUTED_VALUE"""),45022.66666666667)</f>
        <v>45022.66667</v>
      </c>
      <c r="B802" s="2">
        <f>IFERROR(__xludf.DUMMYFUNCTION("""COMPUTED_VALUE"""),730.0)</f>
        <v>730</v>
      </c>
      <c r="C802" s="2">
        <f>IFERROR(__xludf.DUMMYFUNCTION("""COMPUTED_VALUE"""),735.0)</f>
        <v>735</v>
      </c>
      <c r="D802" s="2">
        <f>IFERROR(__xludf.DUMMYFUNCTION("""COMPUTED_VALUE"""),725.0)</f>
        <v>725</v>
      </c>
      <c r="E802" s="2">
        <f>IFERROR(__xludf.DUMMYFUNCTION("""COMPUTED_VALUE"""),730.0)</f>
        <v>730</v>
      </c>
      <c r="F802" s="2">
        <f>IFERROR(__xludf.DUMMYFUNCTION("""COMPUTED_VALUE"""),9212800.0)</f>
        <v>9212800</v>
      </c>
      <c r="G802" s="2">
        <f t="shared" si="1"/>
        <v>10</v>
      </c>
    </row>
    <row r="803" ht="15.75" customHeight="1">
      <c r="A803" s="1">
        <f>IFERROR(__xludf.DUMMYFUNCTION("""COMPUTED_VALUE"""),45026.66666666667)</f>
        <v>45026.66667</v>
      </c>
      <c r="B803" s="2">
        <f>IFERROR(__xludf.DUMMYFUNCTION("""COMPUTED_VALUE"""),730.0)</f>
        <v>730</v>
      </c>
      <c r="C803" s="2">
        <f>IFERROR(__xludf.DUMMYFUNCTION("""COMPUTED_VALUE"""),735.0)</f>
        <v>735</v>
      </c>
      <c r="D803" s="2">
        <f>IFERROR(__xludf.DUMMYFUNCTION("""COMPUTED_VALUE"""),720.0)</f>
        <v>720</v>
      </c>
      <c r="E803" s="2">
        <f>IFERROR(__xludf.DUMMYFUNCTION("""COMPUTED_VALUE"""),725.0)</f>
        <v>725</v>
      </c>
      <c r="F803" s="2">
        <f>IFERROR(__xludf.DUMMYFUNCTION("""COMPUTED_VALUE"""),1.7331E7)</f>
        <v>17331000</v>
      </c>
      <c r="G803" s="2">
        <f t="shared" si="1"/>
        <v>15</v>
      </c>
    </row>
    <row r="804" ht="15.75" customHeight="1">
      <c r="A804" s="1">
        <f>IFERROR(__xludf.DUMMYFUNCTION("""COMPUTED_VALUE"""),45027.66666666667)</f>
        <v>45027.66667</v>
      </c>
      <c r="B804" s="2">
        <f>IFERROR(__xludf.DUMMYFUNCTION("""COMPUTED_VALUE"""),725.0)</f>
        <v>725</v>
      </c>
      <c r="C804" s="2">
        <f>IFERROR(__xludf.DUMMYFUNCTION("""COMPUTED_VALUE"""),730.0)</f>
        <v>730</v>
      </c>
      <c r="D804" s="2">
        <f>IFERROR(__xludf.DUMMYFUNCTION("""COMPUTED_VALUE"""),720.0)</f>
        <v>720</v>
      </c>
      <c r="E804" s="2">
        <f>IFERROR(__xludf.DUMMYFUNCTION("""COMPUTED_VALUE"""),725.0)</f>
        <v>725</v>
      </c>
      <c r="F804" s="2">
        <f>IFERROR(__xludf.DUMMYFUNCTION("""COMPUTED_VALUE"""),1.87036E7)</f>
        <v>18703600</v>
      </c>
      <c r="G804" s="2">
        <f t="shared" si="1"/>
        <v>10</v>
      </c>
    </row>
    <row r="805" ht="15.75" customHeight="1">
      <c r="A805" s="1">
        <f>IFERROR(__xludf.DUMMYFUNCTION("""COMPUTED_VALUE"""),45028.66666666667)</f>
        <v>45028.66667</v>
      </c>
      <c r="B805" s="2">
        <f>IFERROR(__xludf.DUMMYFUNCTION("""COMPUTED_VALUE"""),730.0)</f>
        <v>730</v>
      </c>
      <c r="C805" s="2">
        <f>IFERROR(__xludf.DUMMYFUNCTION("""COMPUTED_VALUE"""),730.0)</f>
        <v>730</v>
      </c>
      <c r="D805" s="2">
        <f>IFERROR(__xludf.DUMMYFUNCTION("""COMPUTED_VALUE"""),720.0)</f>
        <v>720</v>
      </c>
      <c r="E805" s="2">
        <f>IFERROR(__xludf.DUMMYFUNCTION("""COMPUTED_VALUE"""),720.0)</f>
        <v>720</v>
      </c>
      <c r="F805" s="2">
        <f>IFERROR(__xludf.DUMMYFUNCTION("""COMPUTED_VALUE"""),2.85432E7)</f>
        <v>28543200</v>
      </c>
      <c r="G805" s="2">
        <f t="shared" si="1"/>
        <v>10</v>
      </c>
    </row>
    <row r="806" ht="15.75" customHeight="1">
      <c r="A806" s="1">
        <f>IFERROR(__xludf.DUMMYFUNCTION("""COMPUTED_VALUE"""),45029.66666666667)</f>
        <v>45029.66667</v>
      </c>
      <c r="B806" s="2">
        <f>IFERROR(__xludf.DUMMYFUNCTION("""COMPUTED_VALUE"""),725.0)</f>
        <v>725</v>
      </c>
      <c r="C806" s="2">
        <f>IFERROR(__xludf.DUMMYFUNCTION("""COMPUTED_VALUE"""),725.0)</f>
        <v>725</v>
      </c>
      <c r="D806" s="2">
        <f>IFERROR(__xludf.DUMMYFUNCTION("""COMPUTED_VALUE"""),715.0)</f>
        <v>715</v>
      </c>
      <c r="E806" s="2">
        <f>IFERROR(__xludf.DUMMYFUNCTION("""COMPUTED_VALUE"""),720.0)</f>
        <v>720</v>
      </c>
      <c r="F806" s="2">
        <f>IFERROR(__xludf.DUMMYFUNCTION("""COMPUTED_VALUE"""),1.90549E7)</f>
        <v>19054900</v>
      </c>
      <c r="G806" s="2">
        <f t="shared" si="1"/>
        <v>10</v>
      </c>
    </row>
    <row r="807" ht="15.75" customHeight="1">
      <c r="A807" s="1">
        <f>IFERROR(__xludf.DUMMYFUNCTION("""COMPUTED_VALUE"""),45030.66666666667)</f>
        <v>45030.66667</v>
      </c>
      <c r="B807" s="2">
        <f>IFERROR(__xludf.DUMMYFUNCTION("""COMPUTED_VALUE"""),725.0)</f>
        <v>725</v>
      </c>
      <c r="C807" s="2">
        <f>IFERROR(__xludf.DUMMYFUNCTION("""COMPUTED_VALUE"""),725.0)</f>
        <v>725</v>
      </c>
      <c r="D807" s="2">
        <f>IFERROR(__xludf.DUMMYFUNCTION("""COMPUTED_VALUE"""),715.0)</f>
        <v>715</v>
      </c>
      <c r="E807" s="2">
        <f>IFERROR(__xludf.DUMMYFUNCTION("""COMPUTED_VALUE"""),720.0)</f>
        <v>720</v>
      </c>
      <c r="F807" s="2">
        <f>IFERROR(__xludf.DUMMYFUNCTION("""COMPUTED_VALUE"""),1.3711E7)</f>
        <v>13711000</v>
      </c>
      <c r="G807" s="2">
        <f t="shared" si="1"/>
        <v>10</v>
      </c>
    </row>
    <row r="808" ht="15.75" customHeight="1">
      <c r="A808" s="1">
        <f>IFERROR(__xludf.DUMMYFUNCTION("""COMPUTED_VALUE"""),45033.66666666667)</f>
        <v>45033.66667</v>
      </c>
      <c r="B808" s="2">
        <f>IFERROR(__xludf.DUMMYFUNCTION("""COMPUTED_VALUE"""),720.0)</f>
        <v>720</v>
      </c>
      <c r="C808" s="2">
        <f>IFERROR(__xludf.DUMMYFUNCTION("""COMPUTED_VALUE"""),725.0)</f>
        <v>725</v>
      </c>
      <c r="D808" s="2">
        <f>IFERROR(__xludf.DUMMYFUNCTION("""COMPUTED_VALUE"""),715.0)</f>
        <v>715</v>
      </c>
      <c r="E808" s="2">
        <f>IFERROR(__xludf.DUMMYFUNCTION("""COMPUTED_VALUE"""),715.0)</f>
        <v>715</v>
      </c>
      <c r="F808" s="2">
        <f>IFERROR(__xludf.DUMMYFUNCTION("""COMPUTED_VALUE"""),2.6874E7)</f>
        <v>26874000</v>
      </c>
      <c r="G808" s="2">
        <f t="shared" si="1"/>
        <v>10</v>
      </c>
    </row>
    <row r="809" ht="15.75" customHeight="1">
      <c r="A809" s="1">
        <f>IFERROR(__xludf.DUMMYFUNCTION("""COMPUTED_VALUE"""),45034.66666666667)</f>
        <v>45034.66667</v>
      </c>
      <c r="B809" s="2">
        <f>IFERROR(__xludf.DUMMYFUNCTION("""COMPUTED_VALUE"""),715.0)</f>
        <v>715</v>
      </c>
      <c r="C809" s="2">
        <f>IFERROR(__xludf.DUMMYFUNCTION("""COMPUTED_VALUE"""),720.0)</f>
        <v>720</v>
      </c>
      <c r="D809" s="2">
        <f>IFERROR(__xludf.DUMMYFUNCTION("""COMPUTED_VALUE"""),710.0)</f>
        <v>710</v>
      </c>
      <c r="E809" s="2">
        <f>IFERROR(__xludf.DUMMYFUNCTION("""COMPUTED_VALUE"""),715.0)</f>
        <v>715</v>
      </c>
      <c r="F809" s="2">
        <f>IFERROR(__xludf.DUMMYFUNCTION("""COMPUTED_VALUE"""),3.49038E7)</f>
        <v>34903800</v>
      </c>
      <c r="G809" s="2">
        <f t="shared" si="1"/>
        <v>10</v>
      </c>
    </row>
    <row r="810" ht="15.75" customHeight="1">
      <c r="A810" s="1">
        <f>IFERROR(__xludf.DUMMYFUNCTION("""COMPUTED_VALUE"""),45042.66666666667)</f>
        <v>45042.66667</v>
      </c>
      <c r="B810" s="2">
        <f>IFERROR(__xludf.DUMMYFUNCTION("""COMPUTED_VALUE"""),720.0)</f>
        <v>720</v>
      </c>
      <c r="C810" s="2">
        <f>IFERROR(__xludf.DUMMYFUNCTION("""COMPUTED_VALUE"""),730.0)</f>
        <v>730</v>
      </c>
      <c r="D810" s="2">
        <f>IFERROR(__xludf.DUMMYFUNCTION("""COMPUTED_VALUE"""),715.0)</f>
        <v>715</v>
      </c>
      <c r="E810" s="2">
        <f>IFERROR(__xludf.DUMMYFUNCTION("""COMPUTED_VALUE"""),725.0)</f>
        <v>725</v>
      </c>
      <c r="F810" s="2">
        <f>IFERROR(__xludf.DUMMYFUNCTION("""COMPUTED_VALUE"""),4.4921E7)</f>
        <v>44921000</v>
      </c>
      <c r="G810" s="2">
        <f t="shared" si="1"/>
        <v>15</v>
      </c>
    </row>
    <row r="811" ht="15.75" customHeight="1">
      <c r="A811" s="1">
        <f>IFERROR(__xludf.DUMMYFUNCTION("""COMPUTED_VALUE"""),45043.66666666667)</f>
        <v>45043.66667</v>
      </c>
      <c r="B811" s="2">
        <f>IFERROR(__xludf.DUMMYFUNCTION("""COMPUTED_VALUE"""),725.0)</f>
        <v>725</v>
      </c>
      <c r="C811" s="2">
        <f>IFERROR(__xludf.DUMMYFUNCTION("""COMPUTED_VALUE"""),730.0)</f>
        <v>730</v>
      </c>
      <c r="D811" s="2">
        <f>IFERROR(__xludf.DUMMYFUNCTION("""COMPUTED_VALUE"""),715.0)</f>
        <v>715</v>
      </c>
      <c r="E811" s="2">
        <f>IFERROR(__xludf.DUMMYFUNCTION("""COMPUTED_VALUE"""),720.0)</f>
        <v>720</v>
      </c>
      <c r="F811" s="2">
        <f>IFERROR(__xludf.DUMMYFUNCTION("""COMPUTED_VALUE"""),4.80739E7)</f>
        <v>48073900</v>
      </c>
      <c r="G811" s="2">
        <f t="shared" si="1"/>
        <v>15</v>
      </c>
    </row>
    <row r="812" ht="15.75" customHeight="1">
      <c r="A812" s="1">
        <f>IFERROR(__xludf.DUMMYFUNCTION("""COMPUTED_VALUE"""),45044.66666666667)</f>
        <v>45044.66667</v>
      </c>
      <c r="B812" s="2">
        <f>IFERROR(__xludf.DUMMYFUNCTION("""COMPUTED_VALUE"""),675.0)</f>
        <v>675</v>
      </c>
      <c r="C812" s="2">
        <f>IFERROR(__xludf.DUMMYFUNCTION("""COMPUTED_VALUE"""),680.0)</f>
        <v>680</v>
      </c>
      <c r="D812" s="2">
        <f>IFERROR(__xludf.DUMMYFUNCTION("""COMPUTED_VALUE"""),670.0)</f>
        <v>670</v>
      </c>
      <c r="E812" s="2">
        <f>IFERROR(__xludf.DUMMYFUNCTION("""COMPUTED_VALUE"""),675.0)</f>
        <v>675</v>
      </c>
      <c r="F812" s="2">
        <f>IFERROR(__xludf.DUMMYFUNCTION("""COMPUTED_VALUE"""),6.15507E7)</f>
        <v>61550700</v>
      </c>
      <c r="G812" s="2">
        <f t="shared" si="1"/>
        <v>50</v>
      </c>
    </row>
    <row r="813" ht="15.75" customHeight="1">
      <c r="A813" s="1">
        <f>IFERROR(__xludf.DUMMYFUNCTION("""COMPUTED_VALUE"""),45048.66666666667)</f>
        <v>45048.66667</v>
      </c>
      <c r="B813" s="2">
        <f>IFERROR(__xludf.DUMMYFUNCTION("""COMPUTED_VALUE"""),670.0)</f>
        <v>670</v>
      </c>
      <c r="C813" s="2">
        <f>IFERROR(__xludf.DUMMYFUNCTION("""COMPUTED_VALUE"""),680.0)</f>
        <v>680</v>
      </c>
      <c r="D813" s="2">
        <f>IFERROR(__xludf.DUMMYFUNCTION("""COMPUTED_VALUE"""),655.0)</f>
        <v>655</v>
      </c>
      <c r="E813" s="2">
        <f>IFERROR(__xludf.DUMMYFUNCTION("""COMPUTED_VALUE"""),665.0)</f>
        <v>665</v>
      </c>
      <c r="F813" s="2">
        <f>IFERROR(__xludf.DUMMYFUNCTION("""COMPUTED_VALUE"""),2.68719E7)</f>
        <v>26871900</v>
      </c>
      <c r="G813" s="2">
        <f t="shared" si="1"/>
        <v>25</v>
      </c>
    </row>
    <row r="814" ht="15.75" customHeight="1">
      <c r="A814" s="1">
        <f>IFERROR(__xludf.DUMMYFUNCTION("""COMPUTED_VALUE"""),45049.66666666667)</f>
        <v>45049.66667</v>
      </c>
      <c r="B814" s="2">
        <f>IFERROR(__xludf.DUMMYFUNCTION("""COMPUTED_VALUE"""),665.0)</f>
        <v>665</v>
      </c>
      <c r="C814" s="2">
        <f>IFERROR(__xludf.DUMMYFUNCTION("""COMPUTED_VALUE"""),665.0)</f>
        <v>665</v>
      </c>
      <c r="D814" s="2">
        <f>IFERROR(__xludf.DUMMYFUNCTION("""COMPUTED_VALUE"""),655.0)</f>
        <v>655</v>
      </c>
      <c r="E814" s="2">
        <f>IFERROR(__xludf.DUMMYFUNCTION("""COMPUTED_VALUE"""),655.0)</f>
        <v>655</v>
      </c>
      <c r="F814" s="2">
        <f>IFERROR(__xludf.DUMMYFUNCTION("""COMPUTED_VALUE"""),1.10894E7)</f>
        <v>11089400</v>
      </c>
      <c r="G814" s="2">
        <f t="shared" si="1"/>
        <v>10</v>
      </c>
    </row>
    <row r="815" ht="15.75" customHeight="1">
      <c r="A815" s="1">
        <f>IFERROR(__xludf.DUMMYFUNCTION("""COMPUTED_VALUE"""),45050.66666666667)</f>
        <v>45050.66667</v>
      </c>
      <c r="B815" s="2">
        <f>IFERROR(__xludf.DUMMYFUNCTION("""COMPUTED_VALUE"""),660.0)</f>
        <v>660</v>
      </c>
      <c r="C815" s="2">
        <f>IFERROR(__xludf.DUMMYFUNCTION("""COMPUTED_VALUE"""),660.0)</f>
        <v>660</v>
      </c>
      <c r="D815" s="2">
        <f>IFERROR(__xludf.DUMMYFUNCTION("""COMPUTED_VALUE"""),650.0)</f>
        <v>650</v>
      </c>
      <c r="E815" s="2">
        <f>IFERROR(__xludf.DUMMYFUNCTION("""COMPUTED_VALUE"""),655.0)</f>
        <v>655</v>
      </c>
      <c r="F815" s="2">
        <f>IFERROR(__xludf.DUMMYFUNCTION("""COMPUTED_VALUE"""),1.06262E7)</f>
        <v>10626200</v>
      </c>
      <c r="G815" s="2">
        <f t="shared" si="1"/>
        <v>10</v>
      </c>
    </row>
    <row r="816" ht="15.75" customHeight="1">
      <c r="A816" s="1">
        <f>IFERROR(__xludf.DUMMYFUNCTION("""COMPUTED_VALUE"""),45051.66666666667)</f>
        <v>45051.66667</v>
      </c>
      <c r="B816" s="2">
        <f>IFERROR(__xludf.DUMMYFUNCTION("""COMPUTED_VALUE"""),655.0)</f>
        <v>655</v>
      </c>
      <c r="C816" s="2">
        <f>IFERROR(__xludf.DUMMYFUNCTION("""COMPUTED_VALUE"""),655.0)</f>
        <v>655</v>
      </c>
      <c r="D816" s="2">
        <f>IFERROR(__xludf.DUMMYFUNCTION("""COMPUTED_VALUE"""),645.0)</f>
        <v>645</v>
      </c>
      <c r="E816" s="2">
        <f>IFERROR(__xludf.DUMMYFUNCTION("""COMPUTED_VALUE"""),645.0)</f>
        <v>645</v>
      </c>
      <c r="F816" s="2">
        <f>IFERROR(__xludf.DUMMYFUNCTION("""COMPUTED_VALUE"""),1.28089E7)</f>
        <v>12808900</v>
      </c>
      <c r="G816" s="2">
        <f t="shared" si="1"/>
        <v>10</v>
      </c>
    </row>
    <row r="817" ht="15.75" customHeight="1">
      <c r="A817" s="1">
        <f>IFERROR(__xludf.DUMMYFUNCTION("""COMPUTED_VALUE"""),45054.66666666667)</f>
        <v>45054.66667</v>
      </c>
      <c r="B817" s="2">
        <f>IFERROR(__xludf.DUMMYFUNCTION("""COMPUTED_VALUE"""),650.0)</f>
        <v>650</v>
      </c>
      <c r="C817" s="2">
        <f>IFERROR(__xludf.DUMMYFUNCTION("""COMPUTED_VALUE"""),650.0)</f>
        <v>650</v>
      </c>
      <c r="D817" s="2">
        <f>IFERROR(__xludf.DUMMYFUNCTION("""COMPUTED_VALUE"""),640.0)</f>
        <v>640</v>
      </c>
      <c r="E817" s="2">
        <f>IFERROR(__xludf.DUMMYFUNCTION("""COMPUTED_VALUE"""),650.0)</f>
        <v>650</v>
      </c>
      <c r="F817" s="2">
        <f>IFERROR(__xludf.DUMMYFUNCTION("""COMPUTED_VALUE"""),1.45603E7)</f>
        <v>14560300</v>
      </c>
      <c r="G817" s="2">
        <f t="shared" si="1"/>
        <v>10</v>
      </c>
    </row>
    <row r="818" ht="15.75" customHeight="1">
      <c r="A818" s="1">
        <f>IFERROR(__xludf.DUMMYFUNCTION("""COMPUTED_VALUE"""),45055.66666666667)</f>
        <v>45055.66667</v>
      </c>
      <c r="B818" s="2">
        <f>IFERROR(__xludf.DUMMYFUNCTION("""COMPUTED_VALUE"""),650.0)</f>
        <v>650</v>
      </c>
      <c r="C818" s="2">
        <f>IFERROR(__xludf.DUMMYFUNCTION("""COMPUTED_VALUE"""),650.0)</f>
        <v>650</v>
      </c>
      <c r="D818" s="2">
        <f>IFERROR(__xludf.DUMMYFUNCTION("""COMPUTED_VALUE"""),645.0)</f>
        <v>645</v>
      </c>
      <c r="E818" s="2">
        <f>IFERROR(__xludf.DUMMYFUNCTION("""COMPUTED_VALUE"""),645.0)</f>
        <v>645</v>
      </c>
      <c r="F818" s="2">
        <f>IFERROR(__xludf.DUMMYFUNCTION("""COMPUTED_VALUE"""),7547300.0)</f>
        <v>7547300</v>
      </c>
      <c r="G818" s="2">
        <f t="shared" si="1"/>
        <v>5</v>
      </c>
    </row>
    <row r="819" ht="15.75" customHeight="1">
      <c r="A819" s="1">
        <f>IFERROR(__xludf.DUMMYFUNCTION("""COMPUTED_VALUE"""),45056.66666666667)</f>
        <v>45056.66667</v>
      </c>
      <c r="B819" s="2">
        <f>IFERROR(__xludf.DUMMYFUNCTION("""COMPUTED_VALUE"""),645.0)</f>
        <v>645</v>
      </c>
      <c r="C819" s="2">
        <f>IFERROR(__xludf.DUMMYFUNCTION("""COMPUTED_VALUE"""),655.0)</f>
        <v>655</v>
      </c>
      <c r="D819" s="2">
        <f>IFERROR(__xludf.DUMMYFUNCTION("""COMPUTED_VALUE"""),645.0)</f>
        <v>645</v>
      </c>
      <c r="E819" s="2">
        <f>IFERROR(__xludf.DUMMYFUNCTION("""COMPUTED_VALUE"""),655.0)</f>
        <v>655</v>
      </c>
      <c r="F819" s="2">
        <f>IFERROR(__xludf.DUMMYFUNCTION("""COMPUTED_VALUE"""),8961100.0)</f>
        <v>8961100</v>
      </c>
      <c r="G819" s="2">
        <f t="shared" si="1"/>
        <v>10</v>
      </c>
    </row>
    <row r="820" ht="15.75" customHeight="1">
      <c r="A820" s="1">
        <f>IFERROR(__xludf.DUMMYFUNCTION("""COMPUTED_VALUE"""),45057.66666666667)</f>
        <v>45057.66667</v>
      </c>
      <c r="B820" s="2">
        <f>IFERROR(__xludf.DUMMYFUNCTION("""COMPUTED_VALUE"""),655.0)</f>
        <v>655</v>
      </c>
      <c r="C820" s="2">
        <f>IFERROR(__xludf.DUMMYFUNCTION("""COMPUTED_VALUE"""),655.0)</f>
        <v>655</v>
      </c>
      <c r="D820" s="2">
        <f>IFERROR(__xludf.DUMMYFUNCTION("""COMPUTED_VALUE"""),645.0)</f>
        <v>645</v>
      </c>
      <c r="E820" s="2">
        <f>IFERROR(__xludf.DUMMYFUNCTION("""COMPUTED_VALUE"""),650.0)</f>
        <v>650</v>
      </c>
      <c r="F820" s="2">
        <f>IFERROR(__xludf.DUMMYFUNCTION("""COMPUTED_VALUE"""),6592600.0)</f>
        <v>6592600</v>
      </c>
      <c r="G820" s="2">
        <f t="shared" si="1"/>
        <v>10</v>
      </c>
    </row>
    <row r="821" ht="15.75" customHeight="1">
      <c r="A821" s="1">
        <f>IFERROR(__xludf.DUMMYFUNCTION("""COMPUTED_VALUE"""),45058.66666666667)</f>
        <v>45058.66667</v>
      </c>
      <c r="B821" s="2">
        <f>IFERROR(__xludf.DUMMYFUNCTION("""COMPUTED_VALUE"""),650.0)</f>
        <v>650</v>
      </c>
      <c r="C821" s="2">
        <f>IFERROR(__xludf.DUMMYFUNCTION("""COMPUTED_VALUE"""),655.0)</f>
        <v>655</v>
      </c>
      <c r="D821" s="2">
        <f>IFERROR(__xludf.DUMMYFUNCTION("""COMPUTED_VALUE"""),645.0)</f>
        <v>645</v>
      </c>
      <c r="E821" s="2">
        <f>IFERROR(__xludf.DUMMYFUNCTION("""COMPUTED_VALUE"""),650.0)</f>
        <v>650</v>
      </c>
      <c r="F821" s="2">
        <f>IFERROR(__xludf.DUMMYFUNCTION("""COMPUTED_VALUE"""),6275600.0)</f>
        <v>6275600</v>
      </c>
      <c r="G821" s="2">
        <f t="shared" si="1"/>
        <v>10</v>
      </c>
    </row>
    <row r="822" ht="15.75" customHeight="1">
      <c r="A822" s="1">
        <f>IFERROR(__xludf.DUMMYFUNCTION("""COMPUTED_VALUE"""),45061.66666666667)</f>
        <v>45061.66667</v>
      </c>
      <c r="B822" s="2">
        <f>IFERROR(__xludf.DUMMYFUNCTION("""COMPUTED_VALUE"""),650.0)</f>
        <v>650</v>
      </c>
      <c r="C822" s="2">
        <f>IFERROR(__xludf.DUMMYFUNCTION("""COMPUTED_VALUE"""),655.0)</f>
        <v>655</v>
      </c>
      <c r="D822" s="2">
        <f>IFERROR(__xludf.DUMMYFUNCTION("""COMPUTED_VALUE"""),650.0)</f>
        <v>650</v>
      </c>
      <c r="E822" s="2">
        <f>IFERROR(__xludf.DUMMYFUNCTION("""COMPUTED_VALUE"""),650.0)</f>
        <v>650</v>
      </c>
      <c r="F822" s="2">
        <f>IFERROR(__xludf.DUMMYFUNCTION("""COMPUTED_VALUE"""),5689400.0)</f>
        <v>5689400</v>
      </c>
      <c r="G822" s="2">
        <f t="shared" si="1"/>
        <v>5</v>
      </c>
    </row>
    <row r="823" ht="15.75" customHeight="1">
      <c r="A823" s="1">
        <f>IFERROR(__xludf.DUMMYFUNCTION("""COMPUTED_VALUE"""),45062.66666666667)</f>
        <v>45062.66667</v>
      </c>
      <c r="B823" s="2">
        <f>IFERROR(__xludf.DUMMYFUNCTION("""COMPUTED_VALUE"""),655.0)</f>
        <v>655</v>
      </c>
      <c r="C823" s="2">
        <f>IFERROR(__xludf.DUMMYFUNCTION("""COMPUTED_VALUE"""),655.0)</f>
        <v>655</v>
      </c>
      <c r="D823" s="2">
        <f>IFERROR(__xludf.DUMMYFUNCTION("""COMPUTED_VALUE"""),645.0)</f>
        <v>645</v>
      </c>
      <c r="E823" s="2">
        <f>IFERROR(__xludf.DUMMYFUNCTION("""COMPUTED_VALUE"""),645.0)</f>
        <v>645</v>
      </c>
      <c r="F823" s="2">
        <f>IFERROR(__xludf.DUMMYFUNCTION("""COMPUTED_VALUE"""),7588100.0)</f>
        <v>7588100</v>
      </c>
      <c r="G823" s="2">
        <f t="shared" si="1"/>
        <v>10</v>
      </c>
    </row>
    <row r="824" ht="15.75" customHeight="1">
      <c r="A824" s="1">
        <f>IFERROR(__xludf.DUMMYFUNCTION("""COMPUTED_VALUE"""),45063.66666666667)</f>
        <v>45063.66667</v>
      </c>
      <c r="B824" s="2">
        <f>IFERROR(__xludf.DUMMYFUNCTION("""COMPUTED_VALUE"""),645.0)</f>
        <v>645</v>
      </c>
      <c r="C824" s="2">
        <f>IFERROR(__xludf.DUMMYFUNCTION("""COMPUTED_VALUE"""),650.0)</f>
        <v>650</v>
      </c>
      <c r="D824" s="2">
        <f>IFERROR(__xludf.DUMMYFUNCTION("""COMPUTED_VALUE"""),645.0)</f>
        <v>645</v>
      </c>
      <c r="E824" s="2">
        <f>IFERROR(__xludf.DUMMYFUNCTION("""COMPUTED_VALUE"""),650.0)</f>
        <v>650</v>
      </c>
      <c r="F824" s="2">
        <f>IFERROR(__xludf.DUMMYFUNCTION("""COMPUTED_VALUE"""),7441500.0)</f>
        <v>7441500</v>
      </c>
      <c r="G824" s="2">
        <f t="shared" si="1"/>
        <v>5</v>
      </c>
    </row>
    <row r="825" ht="15.75" customHeight="1">
      <c r="A825" s="1">
        <f>IFERROR(__xludf.DUMMYFUNCTION("""COMPUTED_VALUE"""),45065.66666666667)</f>
        <v>45065.66667</v>
      </c>
      <c r="B825" s="2">
        <f>IFERROR(__xludf.DUMMYFUNCTION("""COMPUTED_VALUE"""),650.0)</f>
        <v>650</v>
      </c>
      <c r="C825" s="2">
        <f>IFERROR(__xludf.DUMMYFUNCTION("""COMPUTED_VALUE"""),650.0)</f>
        <v>650</v>
      </c>
      <c r="D825" s="2">
        <f>IFERROR(__xludf.DUMMYFUNCTION("""COMPUTED_VALUE"""),640.0)</f>
        <v>640</v>
      </c>
      <c r="E825" s="2">
        <f>IFERROR(__xludf.DUMMYFUNCTION("""COMPUTED_VALUE"""),650.0)</f>
        <v>650</v>
      </c>
      <c r="F825" s="2">
        <f>IFERROR(__xludf.DUMMYFUNCTION("""COMPUTED_VALUE"""),7971600.0)</f>
        <v>7971600</v>
      </c>
      <c r="G825" s="2">
        <f t="shared" si="1"/>
        <v>10</v>
      </c>
    </row>
    <row r="826" ht="15.75" customHeight="1">
      <c r="A826" s="1">
        <f>IFERROR(__xludf.DUMMYFUNCTION("""COMPUTED_VALUE"""),45068.66666666667)</f>
        <v>45068.66667</v>
      </c>
      <c r="B826" s="2">
        <f>IFERROR(__xludf.DUMMYFUNCTION("""COMPUTED_VALUE"""),645.0)</f>
        <v>645</v>
      </c>
      <c r="C826" s="2">
        <f>IFERROR(__xludf.DUMMYFUNCTION("""COMPUTED_VALUE"""),650.0)</f>
        <v>650</v>
      </c>
      <c r="D826" s="2">
        <f>IFERROR(__xludf.DUMMYFUNCTION("""COMPUTED_VALUE"""),645.0)</f>
        <v>645</v>
      </c>
      <c r="E826" s="2">
        <f>IFERROR(__xludf.DUMMYFUNCTION("""COMPUTED_VALUE"""),645.0)</f>
        <v>645</v>
      </c>
      <c r="F826" s="2">
        <f>IFERROR(__xludf.DUMMYFUNCTION("""COMPUTED_VALUE"""),7024300.0)</f>
        <v>7024300</v>
      </c>
      <c r="G826" s="2">
        <f t="shared" si="1"/>
        <v>5</v>
      </c>
    </row>
    <row r="827" ht="15.75" customHeight="1">
      <c r="A827" s="1">
        <f>IFERROR(__xludf.DUMMYFUNCTION("""COMPUTED_VALUE"""),45069.66666666667)</f>
        <v>45069.66667</v>
      </c>
      <c r="B827" s="2">
        <f>IFERROR(__xludf.DUMMYFUNCTION("""COMPUTED_VALUE"""),645.0)</f>
        <v>645</v>
      </c>
      <c r="C827" s="2">
        <f>IFERROR(__xludf.DUMMYFUNCTION("""COMPUTED_VALUE"""),650.0)</f>
        <v>650</v>
      </c>
      <c r="D827" s="2">
        <f>IFERROR(__xludf.DUMMYFUNCTION("""COMPUTED_VALUE"""),640.0)</f>
        <v>640</v>
      </c>
      <c r="E827" s="2">
        <f>IFERROR(__xludf.DUMMYFUNCTION("""COMPUTED_VALUE"""),645.0)</f>
        <v>645</v>
      </c>
      <c r="F827" s="2">
        <f>IFERROR(__xludf.DUMMYFUNCTION("""COMPUTED_VALUE"""),7221700.0)</f>
        <v>7221700</v>
      </c>
      <c r="G827" s="2">
        <f t="shared" si="1"/>
        <v>10</v>
      </c>
    </row>
    <row r="828" ht="15.75" customHeight="1">
      <c r="A828" s="1">
        <f>IFERROR(__xludf.DUMMYFUNCTION("""COMPUTED_VALUE"""),45070.66666666667)</f>
        <v>45070.66667</v>
      </c>
      <c r="B828" s="2">
        <f>IFERROR(__xludf.DUMMYFUNCTION("""COMPUTED_VALUE"""),645.0)</f>
        <v>645</v>
      </c>
      <c r="C828" s="2">
        <f>IFERROR(__xludf.DUMMYFUNCTION("""COMPUTED_VALUE"""),650.0)</f>
        <v>650</v>
      </c>
      <c r="D828" s="2">
        <f>IFERROR(__xludf.DUMMYFUNCTION("""COMPUTED_VALUE"""),645.0)</f>
        <v>645</v>
      </c>
      <c r="E828" s="2">
        <f>IFERROR(__xludf.DUMMYFUNCTION("""COMPUTED_VALUE"""),645.0)</f>
        <v>645</v>
      </c>
      <c r="F828" s="2">
        <f>IFERROR(__xludf.DUMMYFUNCTION("""COMPUTED_VALUE"""),3638000.0)</f>
        <v>3638000</v>
      </c>
      <c r="G828" s="2">
        <f t="shared" si="1"/>
        <v>5</v>
      </c>
    </row>
    <row r="829" ht="15.75" customHeight="1">
      <c r="A829" s="1">
        <f>IFERROR(__xludf.DUMMYFUNCTION("""COMPUTED_VALUE"""),45071.66666666667)</f>
        <v>45071.66667</v>
      </c>
      <c r="B829" s="2">
        <f>IFERROR(__xludf.DUMMYFUNCTION("""COMPUTED_VALUE"""),650.0)</f>
        <v>650</v>
      </c>
      <c r="C829" s="2">
        <f>IFERROR(__xludf.DUMMYFUNCTION("""COMPUTED_VALUE"""),655.0)</f>
        <v>655</v>
      </c>
      <c r="D829" s="2">
        <f>IFERROR(__xludf.DUMMYFUNCTION("""COMPUTED_VALUE"""),645.0)</f>
        <v>645</v>
      </c>
      <c r="E829" s="2">
        <f>IFERROR(__xludf.DUMMYFUNCTION("""COMPUTED_VALUE"""),655.0)</f>
        <v>655</v>
      </c>
      <c r="F829" s="2">
        <f>IFERROR(__xludf.DUMMYFUNCTION("""COMPUTED_VALUE"""),1.04445E7)</f>
        <v>10444500</v>
      </c>
      <c r="G829" s="2">
        <f t="shared" si="1"/>
        <v>10</v>
      </c>
    </row>
    <row r="830" ht="15.75" customHeight="1">
      <c r="A830" s="1">
        <f>IFERROR(__xludf.DUMMYFUNCTION("""COMPUTED_VALUE"""),45072.66666666667)</f>
        <v>45072.66667</v>
      </c>
      <c r="B830" s="2">
        <f>IFERROR(__xludf.DUMMYFUNCTION("""COMPUTED_VALUE"""),655.0)</f>
        <v>655</v>
      </c>
      <c r="C830" s="2">
        <f>IFERROR(__xludf.DUMMYFUNCTION("""COMPUTED_VALUE"""),655.0)</f>
        <v>655</v>
      </c>
      <c r="D830" s="2">
        <f>IFERROR(__xludf.DUMMYFUNCTION("""COMPUTED_VALUE"""),650.0)</f>
        <v>650</v>
      </c>
      <c r="E830" s="2">
        <f>IFERROR(__xludf.DUMMYFUNCTION("""COMPUTED_VALUE"""),650.0)</f>
        <v>650</v>
      </c>
      <c r="F830" s="2">
        <f>IFERROR(__xludf.DUMMYFUNCTION("""COMPUTED_VALUE"""),3525200.0)</f>
        <v>3525200</v>
      </c>
      <c r="G830" s="2">
        <f t="shared" si="1"/>
        <v>5</v>
      </c>
    </row>
    <row r="831" ht="15.75" customHeight="1">
      <c r="A831" s="1">
        <f>IFERROR(__xludf.DUMMYFUNCTION("""COMPUTED_VALUE"""),45075.66666666667)</f>
        <v>45075.66667</v>
      </c>
      <c r="B831" s="2">
        <f>IFERROR(__xludf.DUMMYFUNCTION("""COMPUTED_VALUE"""),655.0)</f>
        <v>655</v>
      </c>
      <c r="C831" s="2">
        <f>IFERROR(__xludf.DUMMYFUNCTION("""COMPUTED_VALUE"""),655.0)</f>
        <v>655</v>
      </c>
      <c r="D831" s="2">
        <f>IFERROR(__xludf.DUMMYFUNCTION("""COMPUTED_VALUE"""),645.0)</f>
        <v>645</v>
      </c>
      <c r="E831" s="2">
        <f>IFERROR(__xludf.DUMMYFUNCTION("""COMPUTED_VALUE"""),650.0)</f>
        <v>650</v>
      </c>
      <c r="F831" s="2">
        <f>IFERROR(__xludf.DUMMYFUNCTION("""COMPUTED_VALUE"""),6027200.0)</f>
        <v>6027200</v>
      </c>
      <c r="G831" s="2">
        <f t="shared" si="1"/>
        <v>10</v>
      </c>
    </row>
    <row r="832" ht="15.75" customHeight="1">
      <c r="A832" s="1">
        <f>IFERROR(__xludf.DUMMYFUNCTION("""COMPUTED_VALUE"""),45076.66666666667)</f>
        <v>45076.66667</v>
      </c>
      <c r="B832" s="2">
        <f>IFERROR(__xludf.DUMMYFUNCTION("""COMPUTED_VALUE"""),650.0)</f>
        <v>650</v>
      </c>
      <c r="C832" s="2">
        <f>IFERROR(__xludf.DUMMYFUNCTION("""COMPUTED_VALUE"""),650.0)</f>
        <v>650</v>
      </c>
      <c r="D832" s="2">
        <f>IFERROR(__xludf.DUMMYFUNCTION("""COMPUTED_VALUE"""),645.0)</f>
        <v>645</v>
      </c>
      <c r="E832" s="2">
        <f>IFERROR(__xludf.DUMMYFUNCTION("""COMPUTED_VALUE"""),645.0)</f>
        <v>645</v>
      </c>
      <c r="F832" s="2">
        <f>IFERROR(__xludf.DUMMYFUNCTION("""COMPUTED_VALUE"""),4260200.0)</f>
        <v>4260200</v>
      </c>
      <c r="G832" s="2">
        <f t="shared" si="1"/>
        <v>5</v>
      </c>
    </row>
    <row r="833" ht="15.75" customHeight="1">
      <c r="A833" s="1">
        <f>IFERROR(__xludf.DUMMYFUNCTION("""COMPUTED_VALUE"""),45077.66666666667)</f>
        <v>45077.66667</v>
      </c>
      <c r="B833" s="2">
        <f>IFERROR(__xludf.DUMMYFUNCTION("""COMPUTED_VALUE"""),645.0)</f>
        <v>645</v>
      </c>
      <c r="C833" s="2">
        <f>IFERROR(__xludf.DUMMYFUNCTION("""COMPUTED_VALUE"""),650.0)</f>
        <v>650</v>
      </c>
      <c r="D833" s="2">
        <f>IFERROR(__xludf.DUMMYFUNCTION("""COMPUTED_VALUE"""),645.0)</f>
        <v>645</v>
      </c>
      <c r="E833" s="2">
        <f>IFERROR(__xludf.DUMMYFUNCTION("""COMPUTED_VALUE"""),650.0)</f>
        <v>650</v>
      </c>
      <c r="F833" s="2">
        <f>IFERROR(__xludf.DUMMYFUNCTION("""COMPUTED_VALUE"""),1.03056E7)</f>
        <v>10305600</v>
      </c>
      <c r="G833" s="2">
        <f t="shared" si="1"/>
        <v>5</v>
      </c>
    </row>
    <row r="834" ht="15.75" customHeight="1">
      <c r="A834" s="1">
        <f>IFERROR(__xludf.DUMMYFUNCTION("""COMPUTED_VALUE"""),45082.66666666667)</f>
        <v>45082.66667</v>
      </c>
      <c r="B834" s="2">
        <f>IFERROR(__xludf.DUMMYFUNCTION("""COMPUTED_VALUE"""),645.0)</f>
        <v>645</v>
      </c>
      <c r="C834" s="2">
        <f>IFERROR(__xludf.DUMMYFUNCTION("""COMPUTED_VALUE"""),655.0)</f>
        <v>655</v>
      </c>
      <c r="D834" s="2">
        <f>IFERROR(__xludf.DUMMYFUNCTION("""COMPUTED_VALUE"""),645.0)</f>
        <v>645</v>
      </c>
      <c r="E834" s="2">
        <f>IFERROR(__xludf.DUMMYFUNCTION("""COMPUTED_VALUE"""),650.0)</f>
        <v>650</v>
      </c>
      <c r="F834" s="2">
        <f>IFERROR(__xludf.DUMMYFUNCTION("""COMPUTED_VALUE"""),5607300.0)</f>
        <v>5607300</v>
      </c>
      <c r="G834" s="2">
        <f t="shared" si="1"/>
        <v>10</v>
      </c>
    </row>
    <row r="835" ht="15.75" customHeight="1">
      <c r="A835" s="1">
        <f>IFERROR(__xludf.DUMMYFUNCTION("""COMPUTED_VALUE"""),45083.66666666667)</f>
        <v>45083.66667</v>
      </c>
      <c r="B835" s="2">
        <f>IFERROR(__xludf.DUMMYFUNCTION("""COMPUTED_VALUE"""),650.0)</f>
        <v>650</v>
      </c>
      <c r="C835" s="2">
        <f>IFERROR(__xludf.DUMMYFUNCTION("""COMPUTED_VALUE"""),650.0)</f>
        <v>650</v>
      </c>
      <c r="D835" s="2">
        <f>IFERROR(__xludf.DUMMYFUNCTION("""COMPUTED_VALUE"""),645.0)</f>
        <v>645</v>
      </c>
      <c r="E835" s="2">
        <f>IFERROR(__xludf.DUMMYFUNCTION("""COMPUTED_VALUE"""),650.0)</f>
        <v>650</v>
      </c>
      <c r="F835" s="2">
        <f>IFERROR(__xludf.DUMMYFUNCTION("""COMPUTED_VALUE"""),5096900.0)</f>
        <v>5096900</v>
      </c>
      <c r="G835" s="2">
        <f t="shared" si="1"/>
        <v>5</v>
      </c>
    </row>
    <row r="836" ht="15.75" customHeight="1">
      <c r="A836" s="1">
        <f>IFERROR(__xludf.DUMMYFUNCTION("""COMPUTED_VALUE"""),45084.66666666667)</f>
        <v>45084.66667</v>
      </c>
      <c r="B836" s="2">
        <f>IFERROR(__xludf.DUMMYFUNCTION("""COMPUTED_VALUE"""),650.0)</f>
        <v>650</v>
      </c>
      <c r="C836" s="2">
        <f>IFERROR(__xludf.DUMMYFUNCTION("""COMPUTED_VALUE"""),650.0)</f>
        <v>650</v>
      </c>
      <c r="D836" s="2">
        <f>IFERROR(__xludf.DUMMYFUNCTION("""COMPUTED_VALUE"""),645.0)</f>
        <v>645</v>
      </c>
      <c r="E836" s="2">
        <f>IFERROR(__xludf.DUMMYFUNCTION("""COMPUTED_VALUE"""),650.0)</f>
        <v>650</v>
      </c>
      <c r="F836" s="2">
        <f>IFERROR(__xludf.DUMMYFUNCTION("""COMPUTED_VALUE"""),6281300.0)</f>
        <v>6281300</v>
      </c>
      <c r="G836" s="2">
        <f t="shared" si="1"/>
        <v>5</v>
      </c>
    </row>
    <row r="837" ht="15.75" customHeight="1">
      <c r="A837" s="1">
        <f>IFERROR(__xludf.DUMMYFUNCTION("""COMPUTED_VALUE"""),45085.66666666667)</f>
        <v>45085.66667</v>
      </c>
      <c r="B837" s="2">
        <f>IFERROR(__xludf.DUMMYFUNCTION("""COMPUTED_VALUE"""),650.0)</f>
        <v>650</v>
      </c>
      <c r="C837" s="2">
        <f>IFERROR(__xludf.DUMMYFUNCTION("""COMPUTED_VALUE"""),650.0)</f>
        <v>650</v>
      </c>
      <c r="D837" s="2">
        <f>IFERROR(__xludf.DUMMYFUNCTION("""COMPUTED_VALUE"""),645.0)</f>
        <v>645</v>
      </c>
      <c r="E837" s="2">
        <f>IFERROR(__xludf.DUMMYFUNCTION("""COMPUTED_VALUE"""),650.0)</f>
        <v>650</v>
      </c>
      <c r="F837" s="2">
        <f>IFERROR(__xludf.DUMMYFUNCTION("""COMPUTED_VALUE"""),3509300.0)</f>
        <v>3509300</v>
      </c>
      <c r="G837" s="2">
        <f t="shared" si="1"/>
        <v>5</v>
      </c>
    </row>
    <row r="838" ht="15.75" customHeight="1">
      <c r="A838" s="1">
        <f>IFERROR(__xludf.DUMMYFUNCTION("""COMPUTED_VALUE"""),45086.66666666667)</f>
        <v>45086.66667</v>
      </c>
      <c r="B838" s="2">
        <f>IFERROR(__xludf.DUMMYFUNCTION("""COMPUTED_VALUE"""),650.0)</f>
        <v>650</v>
      </c>
      <c r="C838" s="2">
        <f>IFERROR(__xludf.DUMMYFUNCTION("""COMPUTED_VALUE"""),650.0)</f>
        <v>650</v>
      </c>
      <c r="D838" s="2">
        <f>IFERROR(__xludf.DUMMYFUNCTION("""COMPUTED_VALUE"""),645.0)</f>
        <v>645</v>
      </c>
      <c r="E838" s="2">
        <f>IFERROR(__xludf.DUMMYFUNCTION("""COMPUTED_VALUE"""),645.0)</f>
        <v>645</v>
      </c>
      <c r="F838" s="2">
        <f>IFERROR(__xludf.DUMMYFUNCTION("""COMPUTED_VALUE"""),4311400.0)</f>
        <v>4311400</v>
      </c>
      <c r="G838" s="2">
        <f t="shared" si="1"/>
        <v>5</v>
      </c>
    </row>
    <row r="839" ht="15.75" customHeight="1">
      <c r="A839" s="1">
        <f>IFERROR(__xludf.DUMMYFUNCTION("""COMPUTED_VALUE"""),45089.66666666667)</f>
        <v>45089.66667</v>
      </c>
      <c r="B839" s="2">
        <f>IFERROR(__xludf.DUMMYFUNCTION("""COMPUTED_VALUE"""),645.0)</f>
        <v>645</v>
      </c>
      <c r="C839" s="2">
        <f>IFERROR(__xludf.DUMMYFUNCTION("""COMPUTED_VALUE"""),650.0)</f>
        <v>650</v>
      </c>
      <c r="D839" s="2">
        <f>IFERROR(__xludf.DUMMYFUNCTION("""COMPUTED_VALUE"""),645.0)</f>
        <v>645</v>
      </c>
      <c r="E839" s="2">
        <f>IFERROR(__xludf.DUMMYFUNCTION("""COMPUTED_VALUE"""),645.0)</f>
        <v>645</v>
      </c>
      <c r="F839" s="2">
        <f>IFERROR(__xludf.DUMMYFUNCTION("""COMPUTED_VALUE"""),5937000.0)</f>
        <v>5937000</v>
      </c>
      <c r="G839" s="2">
        <f t="shared" si="1"/>
        <v>5</v>
      </c>
    </row>
    <row r="840" ht="15.75" customHeight="1">
      <c r="A840" s="1">
        <f>IFERROR(__xludf.DUMMYFUNCTION("""COMPUTED_VALUE"""),45090.66666666667)</f>
        <v>45090.66667</v>
      </c>
      <c r="B840" s="2">
        <f>IFERROR(__xludf.DUMMYFUNCTION("""COMPUTED_VALUE"""),645.0)</f>
        <v>645</v>
      </c>
      <c r="C840" s="2">
        <f>IFERROR(__xludf.DUMMYFUNCTION("""COMPUTED_VALUE"""),650.0)</f>
        <v>650</v>
      </c>
      <c r="D840" s="2">
        <f>IFERROR(__xludf.DUMMYFUNCTION("""COMPUTED_VALUE"""),645.0)</f>
        <v>645</v>
      </c>
      <c r="E840" s="2">
        <f>IFERROR(__xludf.DUMMYFUNCTION("""COMPUTED_VALUE"""),645.0)</f>
        <v>645</v>
      </c>
      <c r="F840" s="2">
        <f>IFERROR(__xludf.DUMMYFUNCTION("""COMPUTED_VALUE"""),2670800.0)</f>
        <v>2670800</v>
      </c>
      <c r="G840" s="2">
        <f t="shared" si="1"/>
        <v>5</v>
      </c>
    </row>
    <row r="841" ht="15.75" customHeight="1">
      <c r="A841" s="1">
        <f>IFERROR(__xludf.DUMMYFUNCTION("""COMPUTED_VALUE"""),45091.66666666667)</f>
        <v>45091.66667</v>
      </c>
      <c r="B841" s="2">
        <f>IFERROR(__xludf.DUMMYFUNCTION("""COMPUTED_VALUE"""),645.0)</f>
        <v>645</v>
      </c>
      <c r="C841" s="2">
        <f>IFERROR(__xludf.DUMMYFUNCTION("""COMPUTED_VALUE"""),650.0)</f>
        <v>650</v>
      </c>
      <c r="D841" s="2">
        <f>IFERROR(__xludf.DUMMYFUNCTION("""COMPUTED_VALUE"""),645.0)</f>
        <v>645</v>
      </c>
      <c r="E841" s="2">
        <f>IFERROR(__xludf.DUMMYFUNCTION("""COMPUTED_VALUE"""),650.0)</f>
        <v>650</v>
      </c>
      <c r="F841" s="2">
        <f>IFERROR(__xludf.DUMMYFUNCTION("""COMPUTED_VALUE"""),5196000.0)</f>
        <v>5196000</v>
      </c>
      <c r="G841" s="2">
        <f t="shared" si="1"/>
        <v>5</v>
      </c>
    </row>
    <row r="842" ht="15.75" customHeight="1">
      <c r="A842" s="1">
        <f>IFERROR(__xludf.DUMMYFUNCTION("""COMPUTED_VALUE"""),45092.66666666667)</f>
        <v>45092.66667</v>
      </c>
      <c r="B842" s="2">
        <f>IFERROR(__xludf.DUMMYFUNCTION("""COMPUTED_VALUE"""),650.0)</f>
        <v>650</v>
      </c>
      <c r="C842" s="2">
        <f>IFERROR(__xludf.DUMMYFUNCTION("""COMPUTED_VALUE"""),650.0)</f>
        <v>650</v>
      </c>
      <c r="D842" s="2">
        <f>IFERROR(__xludf.DUMMYFUNCTION("""COMPUTED_VALUE"""),645.0)</f>
        <v>645</v>
      </c>
      <c r="E842" s="2">
        <f>IFERROR(__xludf.DUMMYFUNCTION("""COMPUTED_VALUE"""),645.0)</f>
        <v>645</v>
      </c>
      <c r="F842" s="2">
        <f>IFERROR(__xludf.DUMMYFUNCTION("""COMPUTED_VALUE"""),4742900.0)</f>
        <v>4742900</v>
      </c>
      <c r="G842" s="2">
        <f t="shared" si="1"/>
        <v>5</v>
      </c>
    </row>
    <row r="843" ht="15.75" customHeight="1">
      <c r="A843" s="1">
        <f>IFERROR(__xludf.DUMMYFUNCTION("""COMPUTED_VALUE"""),45093.66666666667)</f>
        <v>45093.66667</v>
      </c>
      <c r="B843" s="2">
        <f>IFERROR(__xludf.DUMMYFUNCTION("""COMPUTED_VALUE"""),645.0)</f>
        <v>645</v>
      </c>
      <c r="C843" s="2">
        <f>IFERROR(__xludf.DUMMYFUNCTION("""COMPUTED_VALUE"""),650.0)</f>
        <v>650</v>
      </c>
      <c r="D843" s="2">
        <f>IFERROR(__xludf.DUMMYFUNCTION("""COMPUTED_VALUE"""),645.0)</f>
        <v>645</v>
      </c>
      <c r="E843" s="2">
        <f>IFERROR(__xludf.DUMMYFUNCTION("""COMPUTED_VALUE"""),645.0)</f>
        <v>645</v>
      </c>
      <c r="F843" s="2">
        <f>IFERROR(__xludf.DUMMYFUNCTION("""COMPUTED_VALUE"""),5879500.0)</f>
        <v>5879500</v>
      </c>
      <c r="G843" s="2">
        <f t="shared" si="1"/>
        <v>5</v>
      </c>
    </row>
    <row r="844" ht="15.75" customHeight="1">
      <c r="A844" s="1">
        <f>IFERROR(__xludf.DUMMYFUNCTION("""COMPUTED_VALUE"""),45096.66666666667)</f>
        <v>45096.66667</v>
      </c>
      <c r="B844" s="2">
        <f>IFERROR(__xludf.DUMMYFUNCTION("""COMPUTED_VALUE"""),650.0)</f>
        <v>650</v>
      </c>
      <c r="C844" s="2">
        <f>IFERROR(__xludf.DUMMYFUNCTION("""COMPUTED_VALUE"""),650.0)</f>
        <v>650</v>
      </c>
      <c r="D844" s="2">
        <f>IFERROR(__xludf.DUMMYFUNCTION("""COMPUTED_VALUE"""),645.0)</f>
        <v>645</v>
      </c>
      <c r="E844" s="2">
        <f>IFERROR(__xludf.DUMMYFUNCTION("""COMPUTED_VALUE"""),650.0)</f>
        <v>650</v>
      </c>
      <c r="F844" s="2">
        <f>IFERROR(__xludf.DUMMYFUNCTION("""COMPUTED_VALUE"""),3082900.0)</f>
        <v>3082900</v>
      </c>
      <c r="G844" s="2">
        <f t="shared" si="1"/>
        <v>5</v>
      </c>
    </row>
    <row r="845" ht="15.75" customHeight="1">
      <c r="A845" s="1">
        <f>IFERROR(__xludf.DUMMYFUNCTION("""COMPUTED_VALUE"""),45097.66666666667)</f>
        <v>45097.66667</v>
      </c>
      <c r="B845" s="2">
        <f>IFERROR(__xludf.DUMMYFUNCTION("""COMPUTED_VALUE"""),650.0)</f>
        <v>650</v>
      </c>
      <c r="C845" s="2">
        <f>IFERROR(__xludf.DUMMYFUNCTION("""COMPUTED_VALUE"""),650.0)</f>
        <v>650</v>
      </c>
      <c r="D845" s="2">
        <f>IFERROR(__xludf.DUMMYFUNCTION("""COMPUTED_VALUE"""),645.0)</f>
        <v>645</v>
      </c>
      <c r="E845" s="2">
        <f>IFERROR(__xludf.DUMMYFUNCTION("""COMPUTED_VALUE"""),645.0)</f>
        <v>645</v>
      </c>
      <c r="F845" s="2">
        <f>IFERROR(__xludf.DUMMYFUNCTION("""COMPUTED_VALUE"""),3847500.0)</f>
        <v>3847500</v>
      </c>
      <c r="G845" s="2">
        <f t="shared" si="1"/>
        <v>5</v>
      </c>
    </row>
    <row r="846" ht="15.75" customHeight="1">
      <c r="A846" s="1">
        <f>IFERROR(__xludf.DUMMYFUNCTION("""COMPUTED_VALUE"""),45098.66666666667)</f>
        <v>45098.66667</v>
      </c>
      <c r="B846" s="2">
        <f>IFERROR(__xludf.DUMMYFUNCTION("""COMPUTED_VALUE"""),650.0)</f>
        <v>650</v>
      </c>
      <c r="C846" s="2">
        <f>IFERROR(__xludf.DUMMYFUNCTION("""COMPUTED_VALUE"""),650.0)</f>
        <v>650</v>
      </c>
      <c r="D846" s="2">
        <f>IFERROR(__xludf.DUMMYFUNCTION("""COMPUTED_VALUE"""),645.0)</f>
        <v>645</v>
      </c>
      <c r="E846" s="2">
        <f>IFERROR(__xludf.DUMMYFUNCTION("""COMPUTED_VALUE"""),645.0)</f>
        <v>645</v>
      </c>
      <c r="F846" s="2">
        <f>IFERROR(__xludf.DUMMYFUNCTION("""COMPUTED_VALUE"""),2593800.0)</f>
        <v>2593800</v>
      </c>
      <c r="G846" s="2">
        <f t="shared" si="1"/>
        <v>5</v>
      </c>
    </row>
    <row r="847" ht="15.75" customHeight="1">
      <c r="A847" s="1">
        <f>IFERROR(__xludf.DUMMYFUNCTION("""COMPUTED_VALUE"""),45099.66666666667)</f>
        <v>45099.66667</v>
      </c>
      <c r="B847" s="2">
        <f>IFERROR(__xludf.DUMMYFUNCTION("""COMPUTED_VALUE"""),645.0)</f>
        <v>645</v>
      </c>
      <c r="C847" s="2">
        <f>IFERROR(__xludf.DUMMYFUNCTION("""COMPUTED_VALUE"""),650.0)</f>
        <v>650</v>
      </c>
      <c r="D847" s="2">
        <f>IFERROR(__xludf.DUMMYFUNCTION("""COMPUTED_VALUE"""),640.0)</f>
        <v>640</v>
      </c>
      <c r="E847" s="2">
        <f>IFERROR(__xludf.DUMMYFUNCTION("""COMPUTED_VALUE"""),645.0)</f>
        <v>645</v>
      </c>
      <c r="F847" s="2">
        <f>IFERROR(__xludf.DUMMYFUNCTION("""COMPUTED_VALUE"""),5746400.0)</f>
        <v>5746400</v>
      </c>
      <c r="G847" s="2">
        <f t="shared" si="1"/>
        <v>10</v>
      </c>
    </row>
    <row r="848" ht="15.75" customHeight="1">
      <c r="A848" s="1">
        <f>IFERROR(__xludf.DUMMYFUNCTION("""COMPUTED_VALUE"""),45100.66666666667)</f>
        <v>45100.66667</v>
      </c>
      <c r="B848" s="2">
        <f>IFERROR(__xludf.DUMMYFUNCTION("""COMPUTED_VALUE"""),640.0)</f>
        <v>640</v>
      </c>
      <c r="C848" s="2">
        <f>IFERROR(__xludf.DUMMYFUNCTION("""COMPUTED_VALUE"""),650.0)</f>
        <v>650</v>
      </c>
      <c r="D848" s="2">
        <f>IFERROR(__xludf.DUMMYFUNCTION("""COMPUTED_VALUE"""),640.0)</f>
        <v>640</v>
      </c>
      <c r="E848" s="2">
        <f>IFERROR(__xludf.DUMMYFUNCTION("""COMPUTED_VALUE"""),645.0)</f>
        <v>645</v>
      </c>
      <c r="F848" s="2">
        <f>IFERROR(__xludf.DUMMYFUNCTION("""COMPUTED_VALUE"""),4903000.0)</f>
        <v>4903000</v>
      </c>
      <c r="G848" s="2">
        <f t="shared" si="1"/>
        <v>10</v>
      </c>
    </row>
    <row r="849" ht="15.75" customHeight="1">
      <c r="A849" s="1">
        <f>IFERROR(__xludf.DUMMYFUNCTION("""COMPUTED_VALUE"""),45103.66666666667)</f>
        <v>45103.66667</v>
      </c>
      <c r="B849" s="2">
        <f>IFERROR(__xludf.DUMMYFUNCTION("""COMPUTED_VALUE"""),645.0)</f>
        <v>645</v>
      </c>
      <c r="C849" s="2">
        <f>IFERROR(__xludf.DUMMYFUNCTION("""COMPUTED_VALUE"""),645.0)</f>
        <v>645</v>
      </c>
      <c r="D849" s="2">
        <f>IFERROR(__xludf.DUMMYFUNCTION("""COMPUTED_VALUE"""),640.0)</f>
        <v>640</v>
      </c>
      <c r="E849" s="2">
        <f>IFERROR(__xludf.DUMMYFUNCTION("""COMPUTED_VALUE"""),645.0)</f>
        <v>645</v>
      </c>
      <c r="F849" s="2">
        <f>IFERROR(__xludf.DUMMYFUNCTION("""COMPUTED_VALUE"""),4374200.0)</f>
        <v>4374200</v>
      </c>
      <c r="G849" s="2">
        <f t="shared" si="1"/>
        <v>5</v>
      </c>
    </row>
    <row r="850" ht="15.75" customHeight="1">
      <c r="A850" s="1">
        <f>IFERROR(__xludf.DUMMYFUNCTION("""COMPUTED_VALUE"""),45104.66666666667)</f>
        <v>45104.66667</v>
      </c>
      <c r="B850" s="2">
        <f>IFERROR(__xludf.DUMMYFUNCTION("""COMPUTED_VALUE"""),645.0)</f>
        <v>645</v>
      </c>
      <c r="C850" s="2">
        <f>IFERROR(__xludf.DUMMYFUNCTION("""COMPUTED_VALUE"""),650.0)</f>
        <v>650</v>
      </c>
      <c r="D850" s="2">
        <f>IFERROR(__xludf.DUMMYFUNCTION("""COMPUTED_VALUE"""),640.0)</f>
        <v>640</v>
      </c>
      <c r="E850" s="2">
        <f>IFERROR(__xludf.DUMMYFUNCTION("""COMPUTED_VALUE"""),645.0)</f>
        <v>645</v>
      </c>
      <c r="F850" s="2">
        <f>IFERROR(__xludf.DUMMYFUNCTION("""COMPUTED_VALUE"""),3775700.0)</f>
        <v>3775700</v>
      </c>
      <c r="G850" s="2">
        <f t="shared" si="1"/>
        <v>10</v>
      </c>
    </row>
    <row r="851" ht="15.75" customHeight="1">
      <c r="A851" s="1">
        <f>IFERROR(__xludf.DUMMYFUNCTION("""COMPUTED_VALUE"""),45110.66666666667)</f>
        <v>45110.66667</v>
      </c>
      <c r="B851" s="2">
        <f>IFERROR(__xludf.DUMMYFUNCTION("""COMPUTED_VALUE"""),650.0)</f>
        <v>650</v>
      </c>
      <c r="C851" s="2">
        <f>IFERROR(__xludf.DUMMYFUNCTION("""COMPUTED_VALUE"""),650.0)</f>
        <v>650</v>
      </c>
      <c r="D851" s="2">
        <f>IFERROR(__xludf.DUMMYFUNCTION("""COMPUTED_VALUE"""),640.0)</f>
        <v>640</v>
      </c>
      <c r="E851" s="2">
        <f>IFERROR(__xludf.DUMMYFUNCTION("""COMPUTED_VALUE"""),645.0)</f>
        <v>645</v>
      </c>
      <c r="F851" s="2">
        <f>IFERROR(__xludf.DUMMYFUNCTION("""COMPUTED_VALUE"""),3270200.0)</f>
        <v>3270200</v>
      </c>
      <c r="G851" s="2">
        <f t="shared" si="1"/>
        <v>10</v>
      </c>
    </row>
    <row r="852" ht="15.75" customHeight="1">
      <c r="A852" s="1">
        <f>IFERROR(__xludf.DUMMYFUNCTION("""COMPUTED_VALUE"""),45111.66666666667)</f>
        <v>45111.66667</v>
      </c>
      <c r="B852" s="2">
        <f>IFERROR(__xludf.DUMMYFUNCTION("""COMPUTED_VALUE"""),645.0)</f>
        <v>645</v>
      </c>
      <c r="C852" s="2">
        <f>IFERROR(__xludf.DUMMYFUNCTION("""COMPUTED_VALUE"""),650.0)</f>
        <v>650</v>
      </c>
      <c r="D852" s="2">
        <f>IFERROR(__xludf.DUMMYFUNCTION("""COMPUTED_VALUE"""),645.0)</f>
        <v>645</v>
      </c>
      <c r="E852" s="2">
        <f>IFERROR(__xludf.DUMMYFUNCTION("""COMPUTED_VALUE"""),645.0)</f>
        <v>645</v>
      </c>
      <c r="F852" s="2">
        <f>IFERROR(__xludf.DUMMYFUNCTION("""COMPUTED_VALUE"""),4045700.0)</f>
        <v>4045700</v>
      </c>
      <c r="G852" s="2">
        <f t="shared" si="1"/>
        <v>5</v>
      </c>
    </row>
    <row r="853" ht="15.75" customHeight="1">
      <c r="A853" s="1">
        <f>IFERROR(__xludf.DUMMYFUNCTION("""COMPUTED_VALUE"""),45112.66666666667)</f>
        <v>45112.66667</v>
      </c>
      <c r="B853" s="2">
        <f>IFERROR(__xludf.DUMMYFUNCTION("""COMPUTED_VALUE"""),645.0)</f>
        <v>645</v>
      </c>
      <c r="C853" s="2">
        <f>IFERROR(__xludf.DUMMYFUNCTION("""COMPUTED_VALUE"""),650.0)</f>
        <v>650</v>
      </c>
      <c r="D853" s="2">
        <f>IFERROR(__xludf.DUMMYFUNCTION("""COMPUTED_VALUE"""),645.0)</f>
        <v>645</v>
      </c>
      <c r="E853" s="2">
        <f>IFERROR(__xludf.DUMMYFUNCTION("""COMPUTED_VALUE"""),650.0)</f>
        <v>650</v>
      </c>
      <c r="F853" s="2">
        <f>IFERROR(__xludf.DUMMYFUNCTION("""COMPUTED_VALUE"""),4371800.0)</f>
        <v>4371800</v>
      </c>
      <c r="G853" s="2">
        <f t="shared" si="1"/>
        <v>5</v>
      </c>
    </row>
    <row r="854" ht="15.75" customHeight="1">
      <c r="A854" s="1">
        <f>IFERROR(__xludf.DUMMYFUNCTION("""COMPUTED_VALUE"""),45113.66666666667)</f>
        <v>45113.66667</v>
      </c>
      <c r="B854" s="2">
        <f>IFERROR(__xludf.DUMMYFUNCTION("""COMPUTED_VALUE"""),650.0)</f>
        <v>650</v>
      </c>
      <c r="C854" s="2">
        <f>IFERROR(__xludf.DUMMYFUNCTION("""COMPUTED_VALUE"""),650.0)</f>
        <v>650</v>
      </c>
      <c r="D854" s="2">
        <f>IFERROR(__xludf.DUMMYFUNCTION("""COMPUTED_VALUE"""),645.0)</f>
        <v>645</v>
      </c>
      <c r="E854" s="2">
        <f>IFERROR(__xludf.DUMMYFUNCTION("""COMPUTED_VALUE"""),650.0)</f>
        <v>650</v>
      </c>
      <c r="F854" s="2">
        <f>IFERROR(__xludf.DUMMYFUNCTION("""COMPUTED_VALUE"""),5966400.0)</f>
        <v>5966400</v>
      </c>
      <c r="G854" s="2">
        <f t="shared" si="1"/>
        <v>5</v>
      </c>
    </row>
    <row r="855" ht="15.75" customHeight="1">
      <c r="A855" s="1">
        <f>IFERROR(__xludf.DUMMYFUNCTION("""COMPUTED_VALUE"""),45114.66666666667)</f>
        <v>45114.66667</v>
      </c>
      <c r="B855" s="2">
        <f>IFERROR(__xludf.DUMMYFUNCTION("""COMPUTED_VALUE"""),655.0)</f>
        <v>655</v>
      </c>
      <c r="C855" s="2">
        <f>IFERROR(__xludf.DUMMYFUNCTION("""COMPUTED_VALUE"""),655.0)</f>
        <v>655</v>
      </c>
      <c r="D855" s="2">
        <f>IFERROR(__xludf.DUMMYFUNCTION("""COMPUTED_VALUE"""),645.0)</f>
        <v>645</v>
      </c>
      <c r="E855" s="2">
        <f>IFERROR(__xludf.DUMMYFUNCTION("""COMPUTED_VALUE"""),650.0)</f>
        <v>650</v>
      </c>
      <c r="F855" s="2">
        <f>IFERROR(__xludf.DUMMYFUNCTION("""COMPUTED_VALUE"""),8234900.0)</f>
        <v>8234900</v>
      </c>
      <c r="G855" s="2">
        <f t="shared" si="1"/>
        <v>10</v>
      </c>
    </row>
    <row r="856" ht="15.75" customHeight="1">
      <c r="A856" s="1">
        <f>IFERROR(__xludf.DUMMYFUNCTION("""COMPUTED_VALUE"""),45117.66666666667)</f>
        <v>45117.66667</v>
      </c>
      <c r="B856" s="2">
        <f>IFERROR(__xludf.DUMMYFUNCTION("""COMPUTED_VALUE"""),650.0)</f>
        <v>650</v>
      </c>
      <c r="C856" s="2">
        <f>IFERROR(__xludf.DUMMYFUNCTION("""COMPUTED_VALUE"""),655.0)</f>
        <v>655</v>
      </c>
      <c r="D856" s="2">
        <f>IFERROR(__xludf.DUMMYFUNCTION("""COMPUTED_VALUE"""),645.0)</f>
        <v>645</v>
      </c>
      <c r="E856" s="2">
        <f>IFERROR(__xludf.DUMMYFUNCTION("""COMPUTED_VALUE"""),650.0)</f>
        <v>650</v>
      </c>
      <c r="F856" s="2">
        <f>IFERROR(__xludf.DUMMYFUNCTION("""COMPUTED_VALUE"""),6267500.0)</f>
        <v>6267500</v>
      </c>
      <c r="G856" s="2">
        <f t="shared" si="1"/>
        <v>10</v>
      </c>
    </row>
    <row r="857" ht="15.75" customHeight="1">
      <c r="A857" s="1">
        <f>IFERROR(__xludf.DUMMYFUNCTION("""COMPUTED_VALUE"""),45118.66666666667)</f>
        <v>45118.66667</v>
      </c>
      <c r="B857" s="2">
        <f>IFERROR(__xludf.DUMMYFUNCTION("""COMPUTED_VALUE"""),650.0)</f>
        <v>650</v>
      </c>
      <c r="C857" s="2">
        <f>IFERROR(__xludf.DUMMYFUNCTION("""COMPUTED_VALUE"""),655.0)</f>
        <v>655</v>
      </c>
      <c r="D857" s="2">
        <f>IFERROR(__xludf.DUMMYFUNCTION("""COMPUTED_VALUE"""),645.0)</f>
        <v>645</v>
      </c>
      <c r="E857" s="2">
        <f>IFERROR(__xludf.DUMMYFUNCTION("""COMPUTED_VALUE"""),655.0)</f>
        <v>655</v>
      </c>
      <c r="F857" s="2">
        <f>IFERROR(__xludf.DUMMYFUNCTION("""COMPUTED_VALUE"""),4702900.0)</f>
        <v>4702900</v>
      </c>
      <c r="G857" s="2">
        <f t="shared" si="1"/>
        <v>10</v>
      </c>
    </row>
    <row r="858" ht="15.75" customHeight="1">
      <c r="A858" s="1">
        <f>IFERROR(__xludf.DUMMYFUNCTION("""COMPUTED_VALUE"""),45119.66666666667)</f>
        <v>45119.66667</v>
      </c>
      <c r="B858" s="2">
        <f>IFERROR(__xludf.DUMMYFUNCTION("""COMPUTED_VALUE"""),655.0)</f>
        <v>655</v>
      </c>
      <c r="C858" s="2">
        <f>IFERROR(__xludf.DUMMYFUNCTION("""COMPUTED_VALUE"""),655.0)</f>
        <v>655</v>
      </c>
      <c r="D858" s="2">
        <f>IFERROR(__xludf.DUMMYFUNCTION("""COMPUTED_VALUE"""),650.0)</f>
        <v>650</v>
      </c>
      <c r="E858" s="2">
        <f>IFERROR(__xludf.DUMMYFUNCTION("""COMPUTED_VALUE"""),650.0)</f>
        <v>650</v>
      </c>
      <c r="F858" s="2">
        <f>IFERROR(__xludf.DUMMYFUNCTION("""COMPUTED_VALUE"""),2597800.0)</f>
        <v>2597800</v>
      </c>
      <c r="G858" s="2">
        <f t="shared" si="1"/>
        <v>5</v>
      </c>
    </row>
    <row r="859" ht="15.75" customHeight="1">
      <c r="A859" s="1">
        <f>IFERROR(__xludf.DUMMYFUNCTION("""COMPUTED_VALUE"""),45120.66666666667)</f>
        <v>45120.66667</v>
      </c>
      <c r="B859" s="2">
        <f>IFERROR(__xludf.DUMMYFUNCTION("""COMPUTED_VALUE"""),655.0)</f>
        <v>655</v>
      </c>
      <c r="C859" s="2">
        <f>IFERROR(__xludf.DUMMYFUNCTION("""COMPUTED_VALUE"""),655.0)</f>
        <v>655</v>
      </c>
      <c r="D859" s="2">
        <f>IFERROR(__xludf.DUMMYFUNCTION("""COMPUTED_VALUE"""),650.0)</f>
        <v>650</v>
      </c>
      <c r="E859" s="2">
        <f>IFERROR(__xludf.DUMMYFUNCTION("""COMPUTED_VALUE"""),650.0)</f>
        <v>650</v>
      </c>
      <c r="F859" s="2">
        <f>IFERROR(__xludf.DUMMYFUNCTION("""COMPUTED_VALUE"""),3107200.0)</f>
        <v>3107200</v>
      </c>
      <c r="G859" s="2">
        <f t="shared" si="1"/>
        <v>5</v>
      </c>
    </row>
    <row r="860" ht="15.75" customHeight="1">
      <c r="A860" s="1">
        <f>IFERROR(__xludf.DUMMYFUNCTION("""COMPUTED_VALUE"""),45121.66666666667)</f>
        <v>45121.66667</v>
      </c>
      <c r="B860" s="2">
        <f>IFERROR(__xludf.DUMMYFUNCTION("""COMPUTED_VALUE"""),650.0)</f>
        <v>650</v>
      </c>
      <c r="C860" s="2">
        <f>IFERROR(__xludf.DUMMYFUNCTION("""COMPUTED_VALUE"""),655.0)</f>
        <v>655</v>
      </c>
      <c r="D860" s="2">
        <f>IFERROR(__xludf.DUMMYFUNCTION("""COMPUTED_VALUE"""),650.0)</f>
        <v>650</v>
      </c>
      <c r="E860" s="2">
        <f>IFERROR(__xludf.DUMMYFUNCTION("""COMPUTED_VALUE"""),650.0)</f>
        <v>650</v>
      </c>
      <c r="F860" s="2">
        <f>IFERROR(__xludf.DUMMYFUNCTION("""COMPUTED_VALUE"""),6179000.0)</f>
        <v>6179000</v>
      </c>
      <c r="G860" s="2">
        <f t="shared" si="1"/>
        <v>5</v>
      </c>
    </row>
    <row r="861" ht="15.75" customHeight="1">
      <c r="A861" s="1">
        <f>IFERROR(__xludf.DUMMYFUNCTION("""COMPUTED_VALUE"""),45124.66666666667)</f>
        <v>45124.66667</v>
      </c>
      <c r="B861" s="2">
        <f>IFERROR(__xludf.DUMMYFUNCTION("""COMPUTED_VALUE"""),640.0)</f>
        <v>640</v>
      </c>
      <c r="C861" s="2">
        <f>IFERROR(__xludf.DUMMYFUNCTION("""COMPUTED_VALUE"""),665.0)</f>
        <v>665</v>
      </c>
      <c r="D861" s="2">
        <f>IFERROR(__xludf.DUMMYFUNCTION("""COMPUTED_VALUE"""),640.0)</f>
        <v>640</v>
      </c>
      <c r="E861" s="2">
        <f>IFERROR(__xludf.DUMMYFUNCTION("""COMPUTED_VALUE"""),665.0)</f>
        <v>665</v>
      </c>
      <c r="F861" s="2">
        <f>IFERROR(__xludf.DUMMYFUNCTION("""COMPUTED_VALUE"""),1.02886E7)</f>
        <v>10288600</v>
      </c>
      <c r="G861" s="2">
        <f t="shared" si="1"/>
        <v>25</v>
      </c>
    </row>
    <row r="862" ht="15.75" customHeight="1">
      <c r="A862" s="1">
        <f>IFERROR(__xludf.DUMMYFUNCTION("""COMPUTED_VALUE"""),45125.66666666667)</f>
        <v>45125.66667</v>
      </c>
      <c r="B862" s="2">
        <f>IFERROR(__xludf.DUMMYFUNCTION("""COMPUTED_VALUE"""),665.0)</f>
        <v>665</v>
      </c>
      <c r="C862" s="2">
        <f>IFERROR(__xludf.DUMMYFUNCTION("""COMPUTED_VALUE"""),670.0)</f>
        <v>670</v>
      </c>
      <c r="D862" s="2">
        <f>IFERROR(__xludf.DUMMYFUNCTION("""COMPUTED_VALUE"""),660.0)</f>
        <v>660</v>
      </c>
      <c r="E862" s="2">
        <f>IFERROR(__xludf.DUMMYFUNCTION("""COMPUTED_VALUE"""),660.0)</f>
        <v>660</v>
      </c>
      <c r="F862" s="2">
        <f>IFERROR(__xludf.DUMMYFUNCTION("""COMPUTED_VALUE"""),8170700.0)</f>
        <v>8170700</v>
      </c>
      <c r="G862" s="2">
        <f t="shared" si="1"/>
        <v>10</v>
      </c>
    </row>
    <row r="863" ht="15.75" customHeight="1">
      <c r="A863" s="1">
        <f>IFERROR(__xludf.DUMMYFUNCTION("""COMPUTED_VALUE"""),45127.66666666667)</f>
        <v>45127.66667</v>
      </c>
      <c r="B863" s="2">
        <f>IFERROR(__xludf.DUMMYFUNCTION("""COMPUTED_VALUE"""),660.0)</f>
        <v>660</v>
      </c>
      <c r="C863" s="2">
        <f>IFERROR(__xludf.DUMMYFUNCTION("""COMPUTED_VALUE"""),665.0)</f>
        <v>665</v>
      </c>
      <c r="D863" s="2">
        <f>IFERROR(__xludf.DUMMYFUNCTION("""COMPUTED_VALUE"""),655.0)</f>
        <v>655</v>
      </c>
      <c r="E863" s="2">
        <f>IFERROR(__xludf.DUMMYFUNCTION("""COMPUTED_VALUE"""),660.0)</f>
        <v>660</v>
      </c>
      <c r="F863" s="2">
        <f>IFERROR(__xludf.DUMMYFUNCTION("""COMPUTED_VALUE"""),2628600.0)</f>
        <v>2628600</v>
      </c>
      <c r="G863" s="2">
        <f t="shared" si="1"/>
        <v>10</v>
      </c>
    </row>
    <row r="864" ht="15.75" customHeight="1">
      <c r="A864" s="1">
        <f>IFERROR(__xludf.DUMMYFUNCTION("""COMPUTED_VALUE"""),45128.66666666667)</f>
        <v>45128.66667</v>
      </c>
      <c r="B864" s="2">
        <f>IFERROR(__xludf.DUMMYFUNCTION("""COMPUTED_VALUE"""),665.0)</f>
        <v>665</v>
      </c>
      <c r="C864" s="2">
        <f>IFERROR(__xludf.DUMMYFUNCTION("""COMPUTED_VALUE"""),665.0)</f>
        <v>665</v>
      </c>
      <c r="D864" s="2">
        <f>IFERROR(__xludf.DUMMYFUNCTION("""COMPUTED_VALUE"""),660.0)</f>
        <v>660</v>
      </c>
      <c r="E864" s="2">
        <f>IFERROR(__xludf.DUMMYFUNCTION("""COMPUTED_VALUE"""),660.0)</f>
        <v>660</v>
      </c>
      <c r="F864" s="2">
        <f>IFERROR(__xludf.DUMMYFUNCTION("""COMPUTED_VALUE"""),1870300.0)</f>
        <v>1870300</v>
      </c>
      <c r="G864" s="2">
        <f t="shared" si="1"/>
        <v>5</v>
      </c>
    </row>
    <row r="865" ht="15.75" customHeight="1">
      <c r="A865" s="1">
        <f>IFERROR(__xludf.DUMMYFUNCTION("""COMPUTED_VALUE"""),45131.66666666667)</f>
        <v>45131.66667</v>
      </c>
      <c r="B865" s="2">
        <f>IFERROR(__xludf.DUMMYFUNCTION("""COMPUTED_VALUE"""),660.0)</f>
        <v>660</v>
      </c>
      <c r="C865" s="2">
        <f>IFERROR(__xludf.DUMMYFUNCTION("""COMPUTED_VALUE"""),670.0)</f>
        <v>670</v>
      </c>
      <c r="D865" s="2">
        <f>IFERROR(__xludf.DUMMYFUNCTION("""COMPUTED_VALUE"""),660.0)</f>
        <v>660</v>
      </c>
      <c r="E865" s="2">
        <f>IFERROR(__xludf.DUMMYFUNCTION("""COMPUTED_VALUE"""),670.0)</f>
        <v>670</v>
      </c>
      <c r="F865" s="2">
        <f>IFERROR(__xludf.DUMMYFUNCTION("""COMPUTED_VALUE"""),5354000.0)</f>
        <v>5354000</v>
      </c>
      <c r="G865" s="2">
        <f t="shared" si="1"/>
        <v>10</v>
      </c>
    </row>
    <row r="866" ht="15.75" customHeight="1">
      <c r="A866" s="1">
        <f>IFERROR(__xludf.DUMMYFUNCTION("""COMPUTED_VALUE"""),45132.66666666667)</f>
        <v>45132.66667</v>
      </c>
      <c r="B866" s="2">
        <f>IFERROR(__xludf.DUMMYFUNCTION("""COMPUTED_VALUE"""),665.0)</f>
        <v>665</v>
      </c>
      <c r="C866" s="2">
        <f>IFERROR(__xludf.DUMMYFUNCTION("""COMPUTED_VALUE"""),670.0)</f>
        <v>670</v>
      </c>
      <c r="D866" s="2">
        <f>IFERROR(__xludf.DUMMYFUNCTION("""COMPUTED_VALUE"""),660.0)</f>
        <v>660</v>
      </c>
      <c r="E866" s="2">
        <f>IFERROR(__xludf.DUMMYFUNCTION("""COMPUTED_VALUE"""),665.0)</f>
        <v>665</v>
      </c>
      <c r="F866" s="2">
        <f>IFERROR(__xludf.DUMMYFUNCTION("""COMPUTED_VALUE"""),3928600.0)</f>
        <v>3928600</v>
      </c>
      <c r="G866" s="2">
        <f t="shared" si="1"/>
        <v>10</v>
      </c>
    </row>
    <row r="867" ht="15.75" customHeight="1">
      <c r="A867" s="1">
        <f>IFERROR(__xludf.DUMMYFUNCTION("""COMPUTED_VALUE"""),45133.66666666667)</f>
        <v>45133.66667</v>
      </c>
      <c r="B867" s="2">
        <f>IFERROR(__xludf.DUMMYFUNCTION("""COMPUTED_VALUE"""),670.0)</f>
        <v>670</v>
      </c>
      <c r="C867" s="2">
        <f>IFERROR(__xludf.DUMMYFUNCTION("""COMPUTED_VALUE"""),670.0)</f>
        <v>670</v>
      </c>
      <c r="D867" s="2">
        <f>IFERROR(__xludf.DUMMYFUNCTION("""COMPUTED_VALUE"""),655.0)</f>
        <v>655</v>
      </c>
      <c r="E867" s="2">
        <f>IFERROR(__xludf.DUMMYFUNCTION("""COMPUTED_VALUE"""),660.0)</f>
        <v>660</v>
      </c>
      <c r="F867" s="2">
        <f>IFERROR(__xludf.DUMMYFUNCTION("""COMPUTED_VALUE"""),1.25762E7)</f>
        <v>12576200</v>
      </c>
      <c r="G867" s="2">
        <f t="shared" si="1"/>
        <v>15</v>
      </c>
    </row>
    <row r="868" ht="15.75" customHeight="1">
      <c r="A868" s="1">
        <f>IFERROR(__xludf.DUMMYFUNCTION("""COMPUTED_VALUE"""),45134.66666666667)</f>
        <v>45134.66667</v>
      </c>
      <c r="B868" s="2">
        <f>IFERROR(__xludf.DUMMYFUNCTION("""COMPUTED_VALUE"""),665.0)</f>
        <v>665</v>
      </c>
      <c r="C868" s="2">
        <f>IFERROR(__xludf.DUMMYFUNCTION("""COMPUTED_VALUE"""),665.0)</f>
        <v>665</v>
      </c>
      <c r="D868" s="2">
        <f>IFERROR(__xludf.DUMMYFUNCTION("""COMPUTED_VALUE"""),660.0)</f>
        <v>660</v>
      </c>
      <c r="E868" s="2">
        <f>IFERROR(__xludf.DUMMYFUNCTION("""COMPUTED_VALUE"""),660.0)</f>
        <v>660</v>
      </c>
      <c r="F868" s="2">
        <f>IFERROR(__xludf.DUMMYFUNCTION("""COMPUTED_VALUE"""),3228600.0)</f>
        <v>3228600</v>
      </c>
      <c r="G868" s="2">
        <f t="shared" si="1"/>
        <v>5</v>
      </c>
    </row>
    <row r="869" ht="15.75" customHeight="1">
      <c r="A869" s="1">
        <f>IFERROR(__xludf.DUMMYFUNCTION("""COMPUTED_VALUE"""),45135.66666666667)</f>
        <v>45135.66667</v>
      </c>
      <c r="B869" s="2">
        <f>IFERROR(__xludf.DUMMYFUNCTION("""COMPUTED_VALUE"""),665.0)</f>
        <v>665</v>
      </c>
      <c r="C869" s="2">
        <f>IFERROR(__xludf.DUMMYFUNCTION("""COMPUTED_VALUE"""),665.0)</f>
        <v>665</v>
      </c>
      <c r="D869" s="2">
        <f>IFERROR(__xludf.DUMMYFUNCTION("""COMPUTED_VALUE"""),655.0)</f>
        <v>655</v>
      </c>
      <c r="E869" s="2">
        <f>IFERROR(__xludf.DUMMYFUNCTION("""COMPUTED_VALUE"""),660.0)</f>
        <v>660</v>
      </c>
      <c r="F869" s="2">
        <f>IFERROR(__xludf.DUMMYFUNCTION("""COMPUTED_VALUE"""),6665500.0)</f>
        <v>6665500</v>
      </c>
      <c r="G869" s="2">
        <f t="shared" si="1"/>
        <v>10</v>
      </c>
    </row>
    <row r="870" ht="15.75" customHeight="1">
      <c r="A870" s="1">
        <f>IFERROR(__xludf.DUMMYFUNCTION("""COMPUTED_VALUE"""),45138.66666666667)</f>
        <v>45138.66667</v>
      </c>
      <c r="B870" s="2">
        <f>IFERROR(__xludf.DUMMYFUNCTION("""COMPUTED_VALUE"""),660.0)</f>
        <v>660</v>
      </c>
      <c r="C870" s="2">
        <f>IFERROR(__xludf.DUMMYFUNCTION("""COMPUTED_VALUE"""),665.0)</f>
        <v>665</v>
      </c>
      <c r="D870" s="2">
        <f>IFERROR(__xludf.DUMMYFUNCTION("""COMPUTED_VALUE"""),660.0)</f>
        <v>660</v>
      </c>
      <c r="E870" s="2">
        <f>IFERROR(__xludf.DUMMYFUNCTION("""COMPUTED_VALUE"""),660.0)</f>
        <v>660</v>
      </c>
      <c r="F870" s="2">
        <f>IFERROR(__xludf.DUMMYFUNCTION("""COMPUTED_VALUE"""),1.1907E7)</f>
        <v>11907000</v>
      </c>
      <c r="G870" s="2">
        <f t="shared" si="1"/>
        <v>5</v>
      </c>
    </row>
    <row r="871" ht="15.75" customHeight="1">
      <c r="A871" s="1">
        <f>IFERROR(__xludf.DUMMYFUNCTION("""COMPUTED_VALUE"""),45139.66666666667)</f>
        <v>45139.66667</v>
      </c>
      <c r="B871" s="2">
        <f>IFERROR(__xludf.DUMMYFUNCTION("""COMPUTED_VALUE"""),655.0)</f>
        <v>655</v>
      </c>
      <c r="C871" s="2">
        <f>IFERROR(__xludf.DUMMYFUNCTION("""COMPUTED_VALUE"""),665.0)</f>
        <v>665</v>
      </c>
      <c r="D871" s="2">
        <f>IFERROR(__xludf.DUMMYFUNCTION("""COMPUTED_VALUE"""),655.0)</f>
        <v>655</v>
      </c>
      <c r="E871" s="2">
        <f>IFERROR(__xludf.DUMMYFUNCTION("""COMPUTED_VALUE"""),660.0)</f>
        <v>660</v>
      </c>
      <c r="F871" s="2">
        <f>IFERROR(__xludf.DUMMYFUNCTION("""COMPUTED_VALUE"""),3750300.0)</f>
        <v>3750300</v>
      </c>
      <c r="G871" s="2">
        <f t="shared" si="1"/>
        <v>10</v>
      </c>
    </row>
    <row r="872" ht="15.75" customHeight="1">
      <c r="A872" s="1">
        <f>IFERROR(__xludf.DUMMYFUNCTION("""COMPUTED_VALUE"""),45140.66666666667)</f>
        <v>45140.66667</v>
      </c>
      <c r="B872" s="2">
        <f>IFERROR(__xludf.DUMMYFUNCTION("""COMPUTED_VALUE"""),660.0)</f>
        <v>660</v>
      </c>
      <c r="C872" s="2">
        <f>IFERROR(__xludf.DUMMYFUNCTION("""COMPUTED_VALUE"""),660.0)</f>
        <v>660</v>
      </c>
      <c r="D872" s="2">
        <f>IFERROR(__xludf.DUMMYFUNCTION("""COMPUTED_VALUE"""),655.0)</f>
        <v>655</v>
      </c>
      <c r="E872" s="2">
        <f>IFERROR(__xludf.DUMMYFUNCTION("""COMPUTED_VALUE"""),655.0)</f>
        <v>655</v>
      </c>
      <c r="F872" s="2">
        <f>IFERROR(__xludf.DUMMYFUNCTION("""COMPUTED_VALUE"""),6128000.0)</f>
        <v>6128000</v>
      </c>
      <c r="G872" s="2">
        <f t="shared" si="1"/>
        <v>5</v>
      </c>
    </row>
    <row r="873" ht="15.75" customHeight="1">
      <c r="A873" s="1">
        <f>IFERROR(__xludf.DUMMYFUNCTION("""COMPUTED_VALUE"""),45141.66666666667)</f>
        <v>45141.66667</v>
      </c>
      <c r="B873" s="2">
        <f>IFERROR(__xludf.DUMMYFUNCTION("""COMPUTED_VALUE"""),655.0)</f>
        <v>655</v>
      </c>
      <c r="C873" s="2">
        <f>IFERROR(__xludf.DUMMYFUNCTION("""COMPUTED_VALUE"""),660.0)</f>
        <v>660</v>
      </c>
      <c r="D873" s="2">
        <f>IFERROR(__xludf.DUMMYFUNCTION("""COMPUTED_VALUE"""),655.0)</f>
        <v>655</v>
      </c>
      <c r="E873" s="2">
        <f>IFERROR(__xludf.DUMMYFUNCTION("""COMPUTED_VALUE"""),655.0)</f>
        <v>655</v>
      </c>
      <c r="F873" s="2">
        <f>IFERROR(__xludf.DUMMYFUNCTION("""COMPUTED_VALUE"""),3174700.0)</f>
        <v>3174700</v>
      </c>
      <c r="G873" s="2">
        <f t="shared" si="1"/>
        <v>5</v>
      </c>
    </row>
    <row r="874" ht="15.75" customHeight="1">
      <c r="A874" s="1">
        <f>IFERROR(__xludf.DUMMYFUNCTION("""COMPUTED_VALUE"""),45142.66666666667)</f>
        <v>45142.66667</v>
      </c>
      <c r="B874" s="2">
        <f>IFERROR(__xludf.DUMMYFUNCTION("""COMPUTED_VALUE"""),660.0)</f>
        <v>660</v>
      </c>
      <c r="C874" s="2">
        <f>IFERROR(__xludf.DUMMYFUNCTION("""COMPUTED_VALUE"""),660.0)</f>
        <v>660</v>
      </c>
      <c r="D874" s="2">
        <f>IFERROR(__xludf.DUMMYFUNCTION("""COMPUTED_VALUE"""),655.0)</f>
        <v>655</v>
      </c>
      <c r="E874" s="2">
        <f>IFERROR(__xludf.DUMMYFUNCTION("""COMPUTED_VALUE"""),660.0)</f>
        <v>660</v>
      </c>
      <c r="F874" s="2">
        <f>IFERROR(__xludf.DUMMYFUNCTION("""COMPUTED_VALUE"""),4615200.0)</f>
        <v>4615200</v>
      </c>
      <c r="G874" s="2">
        <f t="shared" si="1"/>
        <v>5</v>
      </c>
    </row>
    <row r="875" ht="15.75" customHeight="1">
      <c r="A875" s="1">
        <f>IFERROR(__xludf.DUMMYFUNCTION("""COMPUTED_VALUE"""),45145.66666666667)</f>
        <v>45145.66667</v>
      </c>
      <c r="B875" s="2">
        <f>IFERROR(__xludf.DUMMYFUNCTION("""COMPUTED_VALUE"""),660.0)</f>
        <v>660</v>
      </c>
      <c r="C875" s="2">
        <f>IFERROR(__xludf.DUMMYFUNCTION("""COMPUTED_VALUE"""),665.0)</f>
        <v>665</v>
      </c>
      <c r="D875" s="2">
        <f>IFERROR(__xludf.DUMMYFUNCTION("""COMPUTED_VALUE"""),655.0)</f>
        <v>655</v>
      </c>
      <c r="E875" s="2">
        <f>IFERROR(__xludf.DUMMYFUNCTION("""COMPUTED_VALUE"""),660.0)</f>
        <v>660</v>
      </c>
      <c r="F875" s="2">
        <f>IFERROR(__xludf.DUMMYFUNCTION("""COMPUTED_VALUE"""),6733900.0)</f>
        <v>6733900</v>
      </c>
      <c r="G875" s="2">
        <f t="shared" si="1"/>
        <v>10</v>
      </c>
    </row>
    <row r="876" ht="15.75" customHeight="1">
      <c r="A876" s="1">
        <f>IFERROR(__xludf.DUMMYFUNCTION("""COMPUTED_VALUE"""),45146.66666666667)</f>
        <v>45146.66667</v>
      </c>
      <c r="B876" s="2">
        <f>IFERROR(__xludf.DUMMYFUNCTION("""COMPUTED_VALUE"""),665.0)</f>
        <v>665</v>
      </c>
      <c r="C876" s="2">
        <f>IFERROR(__xludf.DUMMYFUNCTION("""COMPUTED_VALUE"""),665.0)</f>
        <v>665</v>
      </c>
      <c r="D876" s="2">
        <f>IFERROR(__xludf.DUMMYFUNCTION("""COMPUTED_VALUE"""),660.0)</f>
        <v>660</v>
      </c>
      <c r="E876" s="2">
        <f>IFERROR(__xludf.DUMMYFUNCTION("""COMPUTED_VALUE"""),660.0)</f>
        <v>660</v>
      </c>
      <c r="F876" s="2">
        <f>IFERROR(__xludf.DUMMYFUNCTION("""COMPUTED_VALUE"""),2666000.0)</f>
        <v>2666000</v>
      </c>
      <c r="G876" s="2">
        <f t="shared" si="1"/>
        <v>5</v>
      </c>
    </row>
    <row r="877" ht="15.75" customHeight="1">
      <c r="A877" s="1">
        <f>IFERROR(__xludf.DUMMYFUNCTION("""COMPUTED_VALUE"""),45147.66666666667)</f>
        <v>45147.66667</v>
      </c>
      <c r="B877" s="2">
        <f>IFERROR(__xludf.DUMMYFUNCTION("""COMPUTED_VALUE"""),660.0)</f>
        <v>660</v>
      </c>
      <c r="C877" s="2">
        <f>IFERROR(__xludf.DUMMYFUNCTION("""COMPUTED_VALUE"""),665.0)</f>
        <v>665</v>
      </c>
      <c r="D877" s="2">
        <f>IFERROR(__xludf.DUMMYFUNCTION("""COMPUTED_VALUE"""),655.0)</f>
        <v>655</v>
      </c>
      <c r="E877" s="2">
        <f>IFERROR(__xludf.DUMMYFUNCTION("""COMPUTED_VALUE"""),660.0)</f>
        <v>660</v>
      </c>
      <c r="F877" s="2">
        <f>IFERROR(__xludf.DUMMYFUNCTION("""COMPUTED_VALUE"""),3662800.0)</f>
        <v>3662800</v>
      </c>
      <c r="G877" s="2">
        <f t="shared" si="1"/>
        <v>10</v>
      </c>
    </row>
    <row r="878" ht="15.75" customHeight="1">
      <c r="A878" s="1">
        <f>IFERROR(__xludf.DUMMYFUNCTION("""COMPUTED_VALUE"""),45148.66666666667)</f>
        <v>45148.66667</v>
      </c>
      <c r="B878" s="2">
        <f>IFERROR(__xludf.DUMMYFUNCTION("""COMPUTED_VALUE"""),660.0)</f>
        <v>660</v>
      </c>
      <c r="C878" s="2">
        <f>IFERROR(__xludf.DUMMYFUNCTION("""COMPUTED_VALUE"""),665.0)</f>
        <v>665</v>
      </c>
      <c r="D878" s="2">
        <f>IFERROR(__xludf.DUMMYFUNCTION("""COMPUTED_VALUE"""),655.0)</f>
        <v>655</v>
      </c>
      <c r="E878" s="2">
        <f>IFERROR(__xludf.DUMMYFUNCTION("""COMPUTED_VALUE"""),655.0)</f>
        <v>655</v>
      </c>
      <c r="F878" s="2">
        <f>IFERROR(__xludf.DUMMYFUNCTION("""COMPUTED_VALUE"""),3583200.0)</f>
        <v>3583200</v>
      </c>
      <c r="G878" s="2">
        <f t="shared" si="1"/>
        <v>10</v>
      </c>
    </row>
    <row r="879" ht="15.75" customHeight="1">
      <c r="A879" s="1">
        <f>IFERROR(__xludf.DUMMYFUNCTION("""COMPUTED_VALUE"""),45149.66666666667)</f>
        <v>45149.66667</v>
      </c>
      <c r="B879" s="2">
        <f>IFERROR(__xludf.DUMMYFUNCTION("""COMPUTED_VALUE"""),655.0)</f>
        <v>655</v>
      </c>
      <c r="C879" s="2">
        <f>IFERROR(__xludf.DUMMYFUNCTION("""COMPUTED_VALUE"""),660.0)</f>
        <v>660</v>
      </c>
      <c r="D879" s="2">
        <f>IFERROR(__xludf.DUMMYFUNCTION("""COMPUTED_VALUE"""),655.0)</f>
        <v>655</v>
      </c>
      <c r="E879" s="2">
        <f>IFERROR(__xludf.DUMMYFUNCTION("""COMPUTED_VALUE"""),660.0)</f>
        <v>660</v>
      </c>
      <c r="F879" s="2">
        <f>IFERROR(__xludf.DUMMYFUNCTION("""COMPUTED_VALUE"""),5442100.0)</f>
        <v>5442100</v>
      </c>
      <c r="G879" s="2">
        <f t="shared" si="1"/>
        <v>5</v>
      </c>
    </row>
    <row r="880" ht="15.75" customHeight="1">
      <c r="A880" s="1">
        <f>IFERROR(__xludf.DUMMYFUNCTION("""COMPUTED_VALUE"""),45152.66666666667)</f>
        <v>45152.66667</v>
      </c>
      <c r="B880" s="2">
        <f>IFERROR(__xludf.DUMMYFUNCTION("""COMPUTED_VALUE"""),660.0)</f>
        <v>660</v>
      </c>
      <c r="C880" s="2">
        <f>IFERROR(__xludf.DUMMYFUNCTION("""COMPUTED_VALUE"""),660.0)</f>
        <v>660</v>
      </c>
      <c r="D880" s="2">
        <f>IFERROR(__xludf.DUMMYFUNCTION("""COMPUTED_VALUE"""),650.0)</f>
        <v>650</v>
      </c>
      <c r="E880" s="2">
        <f>IFERROR(__xludf.DUMMYFUNCTION("""COMPUTED_VALUE"""),660.0)</f>
        <v>660</v>
      </c>
      <c r="F880" s="2">
        <f>IFERROR(__xludf.DUMMYFUNCTION("""COMPUTED_VALUE"""),1.10018E7)</f>
        <v>11001800</v>
      </c>
      <c r="G880" s="2">
        <f t="shared" si="1"/>
        <v>10</v>
      </c>
    </row>
    <row r="881" ht="15.75" customHeight="1">
      <c r="A881" s="1">
        <f>IFERROR(__xludf.DUMMYFUNCTION("""COMPUTED_VALUE"""),45153.66666666667)</f>
        <v>45153.66667</v>
      </c>
      <c r="B881" s="2">
        <f>IFERROR(__xludf.DUMMYFUNCTION("""COMPUTED_VALUE"""),660.0)</f>
        <v>660</v>
      </c>
      <c r="C881" s="2">
        <f>IFERROR(__xludf.DUMMYFUNCTION("""COMPUTED_VALUE"""),660.0)</f>
        <v>660</v>
      </c>
      <c r="D881" s="2">
        <f>IFERROR(__xludf.DUMMYFUNCTION("""COMPUTED_VALUE"""),655.0)</f>
        <v>655</v>
      </c>
      <c r="E881" s="2">
        <f>IFERROR(__xludf.DUMMYFUNCTION("""COMPUTED_VALUE"""),660.0)</f>
        <v>660</v>
      </c>
      <c r="F881" s="2">
        <f>IFERROR(__xludf.DUMMYFUNCTION("""COMPUTED_VALUE"""),4462200.0)</f>
        <v>4462200</v>
      </c>
      <c r="G881" s="2">
        <f t="shared" si="1"/>
        <v>5</v>
      </c>
    </row>
    <row r="882" ht="15.75" customHeight="1">
      <c r="A882" s="1">
        <f>IFERROR(__xludf.DUMMYFUNCTION("""COMPUTED_VALUE"""),45154.66666666667)</f>
        <v>45154.66667</v>
      </c>
      <c r="B882" s="2">
        <f>IFERROR(__xludf.DUMMYFUNCTION("""COMPUTED_VALUE"""),660.0)</f>
        <v>660</v>
      </c>
      <c r="C882" s="2">
        <f>IFERROR(__xludf.DUMMYFUNCTION("""COMPUTED_VALUE"""),660.0)</f>
        <v>660</v>
      </c>
      <c r="D882" s="2">
        <f>IFERROR(__xludf.DUMMYFUNCTION("""COMPUTED_VALUE"""),655.0)</f>
        <v>655</v>
      </c>
      <c r="E882" s="2">
        <f>IFERROR(__xludf.DUMMYFUNCTION("""COMPUTED_VALUE"""),660.0)</f>
        <v>660</v>
      </c>
      <c r="F882" s="2">
        <f>IFERROR(__xludf.DUMMYFUNCTION("""COMPUTED_VALUE"""),1539900.0)</f>
        <v>1539900</v>
      </c>
      <c r="G882" s="2">
        <f t="shared" si="1"/>
        <v>5</v>
      </c>
    </row>
    <row r="883" ht="15.75" customHeight="1">
      <c r="A883" s="1">
        <f>IFERROR(__xludf.DUMMYFUNCTION("""COMPUTED_VALUE"""),45156.66666666667)</f>
        <v>45156.66667</v>
      </c>
      <c r="B883" s="2">
        <f>IFERROR(__xludf.DUMMYFUNCTION("""COMPUTED_VALUE"""),660.0)</f>
        <v>660</v>
      </c>
      <c r="C883" s="2">
        <f>IFERROR(__xludf.DUMMYFUNCTION("""COMPUTED_VALUE"""),660.0)</f>
        <v>660</v>
      </c>
      <c r="D883" s="2">
        <f>IFERROR(__xludf.DUMMYFUNCTION("""COMPUTED_VALUE"""),655.0)</f>
        <v>655</v>
      </c>
      <c r="E883" s="2">
        <f>IFERROR(__xludf.DUMMYFUNCTION("""COMPUTED_VALUE"""),660.0)</f>
        <v>660</v>
      </c>
      <c r="F883" s="2">
        <f>IFERROR(__xludf.DUMMYFUNCTION("""COMPUTED_VALUE"""),2452000.0)</f>
        <v>2452000</v>
      </c>
      <c r="G883" s="2">
        <f t="shared" si="1"/>
        <v>5</v>
      </c>
    </row>
    <row r="884" ht="15.75" customHeight="1">
      <c r="A884" s="1">
        <f>IFERROR(__xludf.DUMMYFUNCTION("""COMPUTED_VALUE"""),45159.66666666667)</f>
        <v>45159.66667</v>
      </c>
      <c r="B884" s="2">
        <f>IFERROR(__xludf.DUMMYFUNCTION("""COMPUTED_VALUE"""),660.0)</f>
        <v>660</v>
      </c>
      <c r="C884" s="2">
        <f>IFERROR(__xludf.DUMMYFUNCTION("""COMPUTED_VALUE"""),660.0)</f>
        <v>660</v>
      </c>
      <c r="D884" s="2">
        <f>IFERROR(__xludf.DUMMYFUNCTION("""COMPUTED_VALUE"""),655.0)</f>
        <v>655</v>
      </c>
      <c r="E884" s="2">
        <f>IFERROR(__xludf.DUMMYFUNCTION("""COMPUTED_VALUE"""),660.0)</f>
        <v>660</v>
      </c>
      <c r="F884" s="2">
        <f>IFERROR(__xludf.DUMMYFUNCTION("""COMPUTED_VALUE"""),3388400.0)</f>
        <v>3388400</v>
      </c>
      <c r="G884" s="2">
        <f t="shared" si="1"/>
        <v>5</v>
      </c>
    </row>
    <row r="885" ht="15.75" customHeight="1">
      <c r="A885" s="1">
        <f>IFERROR(__xludf.DUMMYFUNCTION("""COMPUTED_VALUE"""),45160.66666666667)</f>
        <v>45160.66667</v>
      </c>
      <c r="B885" s="2">
        <f>IFERROR(__xludf.DUMMYFUNCTION("""COMPUTED_VALUE"""),660.0)</f>
        <v>660</v>
      </c>
      <c r="C885" s="2">
        <f>IFERROR(__xludf.DUMMYFUNCTION("""COMPUTED_VALUE"""),660.0)</f>
        <v>660</v>
      </c>
      <c r="D885" s="2">
        <f>IFERROR(__xludf.DUMMYFUNCTION("""COMPUTED_VALUE"""),655.0)</f>
        <v>655</v>
      </c>
      <c r="E885" s="2">
        <f>IFERROR(__xludf.DUMMYFUNCTION("""COMPUTED_VALUE"""),655.0)</f>
        <v>655</v>
      </c>
      <c r="F885" s="2">
        <f>IFERROR(__xludf.DUMMYFUNCTION("""COMPUTED_VALUE"""),5809400.0)</f>
        <v>5809400</v>
      </c>
      <c r="G885" s="2">
        <f t="shared" si="1"/>
        <v>5</v>
      </c>
    </row>
    <row r="886" ht="15.75" customHeight="1">
      <c r="A886" s="1">
        <f>IFERROR(__xludf.DUMMYFUNCTION("""COMPUTED_VALUE"""),45161.66666666667)</f>
        <v>45161.66667</v>
      </c>
      <c r="B886" s="2">
        <f>IFERROR(__xludf.DUMMYFUNCTION("""COMPUTED_VALUE"""),655.0)</f>
        <v>655</v>
      </c>
      <c r="C886" s="2">
        <f>IFERROR(__xludf.DUMMYFUNCTION("""COMPUTED_VALUE"""),660.0)</f>
        <v>660</v>
      </c>
      <c r="D886" s="2">
        <f>IFERROR(__xludf.DUMMYFUNCTION("""COMPUTED_VALUE"""),650.0)</f>
        <v>650</v>
      </c>
      <c r="E886" s="2">
        <f>IFERROR(__xludf.DUMMYFUNCTION("""COMPUTED_VALUE"""),655.0)</f>
        <v>655</v>
      </c>
      <c r="F886" s="2">
        <f>IFERROR(__xludf.DUMMYFUNCTION("""COMPUTED_VALUE"""),4480500.0)</f>
        <v>4480500</v>
      </c>
      <c r="G886" s="2">
        <f t="shared" si="1"/>
        <v>10</v>
      </c>
    </row>
    <row r="887" ht="15.75" customHeight="1">
      <c r="A887" s="1">
        <f>IFERROR(__xludf.DUMMYFUNCTION("""COMPUTED_VALUE"""),45162.66666666667)</f>
        <v>45162.66667</v>
      </c>
      <c r="B887" s="2">
        <f>IFERROR(__xludf.DUMMYFUNCTION("""COMPUTED_VALUE"""),655.0)</f>
        <v>655</v>
      </c>
      <c r="C887" s="2">
        <f>IFERROR(__xludf.DUMMYFUNCTION("""COMPUTED_VALUE"""),660.0)</f>
        <v>660</v>
      </c>
      <c r="D887" s="2">
        <f>IFERROR(__xludf.DUMMYFUNCTION("""COMPUTED_VALUE"""),655.0)</f>
        <v>655</v>
      </c>
      <c r="E887" s="2">
        <f>IFERROR(__xludf.DUMMYFUNCTION("""COMPUTED_VALUE"""),655.0)</f>
        <v>655</v>
      </c>
      <c r="F887" s="2">
        <f>IFERROR(__xludf.DUMMYFUNCTION("""COMPUTED_VALUE"""),2053000.0)</f>
        <v>2053000</v>
      </c>
      <c r="G887" s="2">
        <f t="shared" si="1"/>
        <v>5</v>
      </c>
    </row>
    <row r="888" ht="15.75" customHeight="1">
      <c r="A888" s="1">
        <f>IFERROR(__xludf.DUMMYFUNCTION("""COMPUTED_VALUE"""),45163.66666666667)</f>
        <v>45163.66667</v>
      </c>
      <c r="B888" s="2">
        <f>IFERROR(__xludf.DUMMYFUNCTION("""COMPUTED_VALUE"""),655.0)</f>
        <v>655</v>
      </c>
      <c r="C888" s="2">
        <f>IFERROR(__xludf.DUMMYFUNCTION("""COMPUTED_VALUE"""),660.0)</f>
        <v>660</v>
      </c>
      <c r="D888" s="2">
        <f>IFERROR(__xludf.DUMMYFUNCTION("""COMPUTED_VALUE"""),650.0)</f>
        <v>650</v>
      </c>
      <c r="E888" s="2">
        <f>IFERROR(__xludf.DUMMYFUNCTION("""COMPUTED_VALUE"""),655.0)</f>
        <v>655</v>
      </c>
      <c r="F888" s="2">
        <f>IFERROR(__xludf.DUMMYFUNCTION("""COMPUTED_VALUE"""),3144400.0)</f>
        <v>3144400</v>
      </c>
      <c r="G888" s="2">
        <f t="shared" si="1"/>
        <v>10</v>
      </c>
    </row>
    <row r="889" ht="15.75" customHeight="1">
      <c r="A889" s="1">
        <f>IFERROR(__xludf.DUMMYFUNCTION("""COMPUTED_VALUE"""),45166.66666666667)</f>
        <v>45166.66667</v>
      </c>
      <c r="B889" s="2">
        <f>IFERROR(__xludf.DUMMYFUNCTION("""COMPUTED_VALUE"""),655.0)</f>
        <v>655</v>
      </c>
      <c r="C889" s="2">
        <f>IFERROR(__xludf.DUMMYFUNCTION("""COMPUTED_VALUE"""),660.0)</f>
        <v>660</v>
      </c>
      <c r="D889" s="2">
        <f>IFERROR(__xludf.DUMMYFUNCTION("""COMPUTED_VALUE"""),650.0)</f>
        <v>650</v>
      </c>
      <c r="E889" s="2">
        <f>IFERROR(__xludf.DUMMYFUNCTION("""COMPUTED_VALUE"""),660.0)</f>
        <v>660</v>
      </c>
      <c r="F889" s="2">
        <f>IFERROR(__xludf.DUMMYFUNCTION("""COMPUTED_VALUE"""),3249900.0)</f>
        <v>3249900</v>
      </c>
      <c r="G889" s="2">
        <f t="shared" si="1"/>
        <v>10</v>
      </c>
    </row>
    <row r="890" ht="15.75" customHeight="1">
      <c r="A890" s="1">
        <f>IFERROR(__xludf.DUMMYFUNCTION("""COMPUTED_VALUE"""),45167.66666666667)</f>
        <v>45167.66667</v>
      </c>
      <c r="B890" s="2">
        <f>IFERROR(__xludf.DUMMYFUNCTION("""COMPUTED_VALUE"""),660.0)</f>
        <v>660</v>
      </c>
      <c r="C890" s="2">
        <f>IFERROR(__xludf.DUMMYFUNCTION("""COMPUTED_VALUE"""),660.0)</f>
        <v>660</v>
      </c>
      <c r="D890" s="2">
        <f>IFERROR(__xludf.DUMMYFUNCTION("""COMPUTED_VALUE"""),655.0)</f>
        <v>655</v>
      </c>
      <c r="E890" s="2">
        <f>IFERROR(__xludf.DUMMYFUNCTION("""COMPUTED_VALUE"""),660.0)</f>
        <v>660</v>
      </c>
      <c r="F890" s="2">
        <f>IFERROR(__xludf.DUMMYFUNCTION("""COMPUTED_VALUE"""),7176900.0)</f>
        <v>7176900</v>
      </c>
      <c r="G890" s="2">
        <f t="shared" si="1"/>
        <v>5</v>
      </c>
    </row>
    <row r="891" ht="15.75" customHeight="1">
      <c r="A891" s="1">
        <f>IFERROR(__xludf.DUMMYFUNCTION("""COMPUTED_VALUE"""),45168.66666666667)</f>
        <v>45168.66667</v>
      </c>
      <c r="B891" s="2">
        <f>IFERROR(__xludf.DUMMYFUNCTION("""COMPUTED_VALUE"""),660.0)</f>
        <v>660</v>
      </c>
      <c r="C891" s="2">
        <f>IFERROR(__xludf.DUMMYFUNCTION("""COMPUTED_VALUE"""),665.0)</f>
        <v>665</v>
      </c>
      <c r="D891" s="2">
        <f>IFERROR(__xludf.DUMMYFUNCTION("""COMPUTED_VALUE"""),655.0)</f>
        <v>655</v>
      </c>
      <c r="E891" s="2">
        <f>IFERROR(__xludf.DUMMYFUNCTION("""COMPUTED_VALUE"""),660.0)</f>
        <v>660</v>
      </c>
      <c r="F891" s="2">
        <f>IFERROR(__xludf.DUMMYFUNCTION("""COMPUTED_VALUE"""),5261700.0)</f>
        <v>5261700</v>
      </c>
      <c r="G891" s="2">
        <f t="shared" si="1"/>
        <v>10</v>
      </c>
    </row>
    <row r="892" ht="15.75" customHeight="1">
      <c r="A892" s="1">
        <f>IFERROR(__xludf.DUMMYFUNCTION("""COMPUTED_VALUE"""),45169.66666666667)</f>
        <v>45169.66667</v>
      </c>
      <c r="B892" s="2">
        <f>IFERROR(__xludf.DUMMYFUNCTION("""COMPUTED_VALUE"""),660.0)</f>
        <v>660</v>
      </c>
      <c r="C892" s="2">
        <f>IFERROR(__xludf.DUMMYFUNCTION("""COMPUTED_VALUE"""),660.0)</f>
        <v>660</v>
      </c>
      <c r="D892" s="2">
        <f>IFERROR(__xludf.DUMMYFUNCTION("""COMPUTED_VALUE"""),655.0)</f>
        <v>655</v>
      </c>
      <c r="E892" s="2">
        <f>IFERROR(__xludf.DUMMYFUNCTION("""COMPUTED_VALUE"""),655.0)</f>
        <v>655</v>
      </c>
      <c r="F892" s="2">
        <f>IFERROR(__xludf.DUMMYFUNCTION("""COMPUTED_VALUE"""),1.13848E7)</f>
        <v>11384800</v>
      </c>
      <c r="G892" s="2">
        <f t="shared" si="1"/>
        <v>5</v>
      </c>
    </row>
    <row r="893" ht="15.75" customHeight="1">
      <c r="A893" s="1">
        <f>IFERROR(__xludf.DUMMYFUNCTION("""COMPUTED_VALUE"""),45170.66666666667)</f>
        <v>45170.66667</v>
      </c>
      <c r="B893" s="2">
        <f>IFERROR(__xludf.DUMMYFUNCTION("""COMPUTED_VALUE"""),655.0)</f>
        <v>655</v>
      </c>
      <c r="C893" s="2">
        <f>IFERROR(__xludf.DUMMYFUNCTION("""COMPUTED_VALUE"""),660.0)</f>
        <v>660</v>
      </c>
      <c r="D893" s="2">
        <f>IFERROR(__xludf.DUMMYFUNCTION("""COMPUTED_VALUE"""),655.0)</f>
        <v>655</v>
      </c>
      <c r="E893" s="2">
        <f>IFERROR(__xludf.DUMMYFUNCTION("""COMPUTED_VALUE"""),660.0)</f>
        <v>660</v>
      </c>
      <c r="F893" s="2">
        <f>IFERROR(__xludf.DUMMYFUNCTION("""COMPUTED_VALUE"""),2906100.0)</f>
        <v>2906100</v>
      </c>
      <c r="G893" s="2">
        <f t="shared" si="1"/>
        <v>5</v>
      </c>
    </row>
    <row r="894" ht="15.75" customHeight="1">
      <c r="A894" s="1">
        <f>IFERROR(__xludf.DUMMYFUNCTION("""COMPUTED_VALUE"""),45173.66666666667)</f>
        <v>45173.66667</v>
      </c>
      <c r="B894" s="2">
        <f>IFERROR(__xludf.DUMMYFUNCTION("""COMPUTED_VALUE"""),660.0)</f>
        <v>660</v>
      </c>
      <c r="C894" s="2">
        <f>IFERROR(__xludf.DUMMYFUNCTION("""COMPUTED_VALUE"""),660.0)</f>
        <v>660</v>
      </c>
      <c r="D894" s="2">
        <f>IFERROR(__xludf.DUMMYFUNCTION("""COMPUTED_VALUE"""),655.0)</f>
        <v>655</v>
      </c>
      <c r="E894" s="2">
        <f>IFERROR(__xludf.DUMMYFUNCTION("""COMPUTED_VALUE"""),655.0)</f>
        <v>655</v>
      </c>
      <c r="F894" s="2">
        <f>IFERROR(__xludf.DUMMYFUNCTION("""COMPUTED_VALUE"""),2436500.0)</f>
        <v>2436500</v>
      </c>
      <c r="G894" s="2">
        <f t="shared" si="1"/>
        <v>5</v>
      </c>
    </row>
    <row r="895" ht="15.75" customHeight="1">
      <c r="A895" s="1">
        <f>IFERROR(__xludf.DUMMYFUNCTION("""COMPUTED_VALUE"""),45174.66666666667)</f>
        <v>45174.66667</v>
      </c>
      <c r="B895" s="2">
        <f>IFERROR(__xludf.DUMMYFUNCTION("""COMPUTED_VALUE"""),660.0)</f>
        <v>660</v>
      </c>
      <c r="C895" s="2">
        <f>IFERROR(__xludf.DUMMYFUNCTION("""COMPUTED_VALUE"""),660.0)</f>
        <v>660</v>
      </c>
      <c r="D895" s="2">
        <f>IFERROR(__xludf.DUMMYFUNCTION("""COMPUTED_VALUE"""),655.0)</f>
        <v>655</v>
      </c>
      <c r="E895" s="2">
        <f>IFERROR(__xludf.DUMMYFUNCTION("""COMPUTED_VALUE"""),660.0)</f>
        <v>660</v>
      </c>
      <c r="F895" s="2">
        <f>IFERROR(__xludf.DUMMYFUNCTION("""COMPUTED_VALUE"""),7141200.0)</f>
        <v>7141200</v>
      </c>
      <c r="G895" s="2">
        <f t="shared" si="1"/>
        <v>5</v>
      </c>
    </row>
    <row r="896" ht="15.75" customHeight="1">
      <c r="A896" s="1">
        <f>IFERROR(__xludf.DUMMYFUNCTION("""COMPUTED_VALUE"""),45175.66666666667)</f>
        <v>45175.66667</v>
      </c>
      <c r="B896" s="2">
        <f>IFERROR(__xludf.DUMMYFUNCTION("""COMPUTED_VALUE"""),660.0)</f>
        <v>660</v>
      </c>
      <c r="C896" s="2">
        <f>IFERROR(__xludf.DUMMYFUNCTION("""COMPUTED_VALUE"""),660.0)</f>
        <v>660</v>
      </c>
      <c r="D896" s="2">
        <f>IFERROR(__xludf.DUMMYFUNCTION("""COMPUTED_VALUE"""),650.0)</f>
        <v>650</v>
      </c>
      <c r="E896" s="2">
        <f>IFERROR(__xludf.DUMMYFUNCTION("""COMPUTED_VALUE"""),660.0)</f>
        <v>660</v>
      </c>
      <c r="F896" s="2">
        <f>IFERROR(__xludf.DUMMYFUNCTION("""COMPUTED_VALUE"""),1.04351E7)</f>
        <v>10435100</v>
      </c>
      <c r="G896" s="2">
        <f t="shared" si="1"/>
        <v>10</v>
      </c>
    </row>
    <row r="897" ht="15.75" customHeight="1">
      <c r="A897" s="1">
        <f>IFERROR(__xludf.DUMMYFUNCTION("""COMPUTED_VALUE"""),45176.66666666667)</f>
        <v>45176.66667</v>
      </c>
      <c r="B897" s="2">
        <f>IFERROR(__xludf.DUMMYFUNCTION("""COMPUTED_VALUE"""),660.0)</f>
        <v>660</v>
      </c>
      <c r="C897" s="2">
        <f>IFERROR(__xludf.DUMMYFUNCTION("""COMPUTED_VALUE"""),660.0)</f>
        <v>660</v>
      </c>
      <c r="D897" s="2">
        <f>IFERROR(__xludf.DUMMYFUNCTION("""COMPUTED_VALUE"""),650.0)</f>
        <v>650</v>
      </c>
      <c r="E897" s="2">
        <f>IFERROR(__xludf.DUMMYFUNCTION("""COMPUTED_VALUE"""),655.0)</f>
        <v>655</v>
      </c>
      <c r="F897" s="2">
        <f>IFERROR(__xludf.DUMMYFUNCTION("""COMPUTED_VALUE"""),5438600.0)</f>
        <v>5438600</v>
      </c>
      <c r="G897" s="2">
        <f t="shared" si="1"/>
        <v>10</v>
      </c>
    </row>
    <row r="898" ht="15.75" customHeight="1">
      <c r="A898" s="1">
        <f>IFERROR(__xludf.DUMMYFUNCTION("""COMPUTED_VALUE"""),45177.66666666667)</f>
        <v>45177.66667</v>
      </c>
      <c r="B898" s="2">
        <f>IFERROR(__xludf.DUMMYFUNCTION("""COMPUTED_VALUE"""),655.0)</f>
        <v>655</v>
      </c>
      <c r="C898" s="2">
        <f>IFERROR(__xludf.DUMMYFUNCTION("""COMPUTED_VALUE"""),655.0)</f>
        <v>655</v>
      </c>
      <c r="D898" s="2">
        <f>IFERROR(__xludf.DUMMYFUNCTION("""COMPUTED_VALUE"""),650.0)</f>
        <v>650</v>
      </c>
      <c r="E898" s="2">
        <f>IFERROR(__xludf.DUMMYFUNCTION("""COMPUTED_VALUE"""),650.0)</f>
        <v>650</v>
      </c>
      <c r="F898" s="2">
        <f>IFERROR(__xludf.DUMMYFUNCTION("""COMPUTED_VALUE"""),5850600.0)</f>
        <v>5850600</v>
      </c>
      <c r="G898" s="2">
        <f t="shared" si="1"/>
        <v>5</v>
      </c>
    </row>
    <row r="899" ht="15.75" customHeight="1">
      <c r="A899" s="1">
        <f>IFERROR(__xludf.DUMMYFUNCTION("""COMPUTED_VALUE"""),45180.66666666667)</f>
        <v>45180.66667</v>
      </c>
      <c r="B899" s="2">
        <f>IFERROR(__xludf.DUMMYFUNCTION("""COMPUTED_VALUE"""),650.0)</f>
        <v>650</v>
      </c>
      <c r="C899" s="2">
        <f>IFERROR(__xludf.DUMMYFUNCTION("""COMPUTED_VALUE"""),655.0)</f>
        <v>655</v>
      </c>
      <c r="D899" s="2">
        <f>IFERROR(__xludf.DUMMYFUNCTION("""COMPUTED_VALUE"""),645.0)</f>
        <v>645</v>
      </c>
      <c r="E899" s="2">
        <f>IFERROR(__xludf.DUMMYFUNCTION("""COMPUTED_VALUE"""),650.0)</f>
        <v>650</v>
      </c>
      <c r="F899" s="2">
        <f>IFERROR(__xludf.DUMMYFUNCTION("""COMPUTED_VALUE"""),8198300.0)</f>
        <v>8198300</v>
      </c>
      <c r="G899" s="2">
        <f t="shared" si="1"/>
        <v>10</v>
      </c>
    </row>
    <row r="900" ht="15.75" customHeight="1">
      <c r="A900" s="1">
        <f>IFERROR(__xludf.DUMMYFUNCTION("""COMPUTED_VALUE"""),45181.66666666667)</f>
        <v>45181.66667</v>
      </c>
      <c r="B900" s="2">
        <f>IFERROR(__xludf.DUMMYFUNCTION("""COMPUTED_VALUE"""),650.0)</f>
        <v>650</v>
      </c>
      <c r="C900" s="2">
        <f>IFERROR(__xludf.DUMMYFUNCTION("""COMPUTED_VALUE"""),650.0)</f>
        <v>650</v>
      </c>
      <c r="D900" s="2">
        <f>IFERROR(__xludf.DUMMYFUNCTION("""COMPUTED_VALUE"""),645.0)</f>
        <v>645</v>
      </c>
      <c r="E900" s="2">
        <f>IFERROR(__xludf.DUMMYFUNCTION("""COMPUTED_VALUE"""),650.0)</f>
        <v>650</v>
      </c>
      <c r="F900" s="2">
        <f>IFERROR(__xludf.DUMMYFUNCTION("""COMPUTED_VALUE"""),3822300.0)</f>
        <v>3822300</v>
      </c>
      <c r="G900" s="2">
        <f t="shared" si="1"/>
        <v>5</v>
      </c>
    </row>
    <row r="901" ht="15.75" customHeight="1">
      <c r="A901" s="1">
        <f>IFERROR(__xludf.DUMMYFUNCTION("""COMPUTED_VALUE"""),45182.66666666667)</f>
        <v>45182.66667</v>
      </c>
      <c r="B901" s="2">
        <f>IFERROR(__xludf.DUMMYFUNCTION("""COMPUTED_VALUE"""),650.0)</f>
        <v>650</v>
      </c>
      <c r="C901" s="2">
        <f>IFERROR(__xludf.DUMMYFUNCTION("""COMPUTED_VALUE"""),650.0)</f>
        <v>650</v>
      </c>
      <c r="D901" s="2">
        <f>IFERROR(__xludf.DUMMYFUNCTION("""COMPUTED_VALUE"""),645.0)</f>
        <v>645</v>
      </c>
      <c r="E901" s="2">
        <f>IFERROR(__xludf.DUMMYFUNCTION("""COMPUTED_VALUE"""),650.0)</f>
        <v>650</v>
      </c>
      <c r="F901" s="2">
        <f>IFERROR(__xludf.DUMMYFUNCTION("""COMPUTED_VALUE"""),3389500.0)</f>
        <v>3389500</v>
      </c>
      <c r="G901" s="2">
        <f t="shared" si="1"/>
        <v>5</v>
      </c>
    </row>
    <row r="902" ht="15.75" customHeight="1">
      <c r="A902" s="1">
        <f>IFERROR(__xludf.DUMMYFUNCTION("""COMPUTED_VALUE"""),45183.66666666667)</f>
        <v>45183.66667</v>
      </c>
      <c r="B902" s="2">
        <f>IFERROR(__xludf.DUMMYFUNCTION("""COMPUTED_VALUE"""),650.0)</f>
        <v>650</v>
      </c>
      <c r="C902" s="2">
        <f>IFERROR(__xludf.DUMMYFUNCTION("""COMPUTED_VALUE"""),650.0)</f>
        <v>650</v>
      </c>
      <c r="D902" s="2">
        <f>IFERROR(__xludf.DUMMYFUNCTION("""COMPUTED_VALUE"""),645.0)</f>
        <v>645</v>
      </c>
      <c r="E902" s="2">
        <f>IFERROR(__xludf.DUMMYFUNCTION("""COMPUTED_VALUE"""),650.0)</f>
        <v>650</v>
      </c>
      <c r="F902" s="2">
        <f>IFERROR(__xludf.DUMMYFUNCTION("""COMPUTED_VALUE"""),5654700.0)</f>
        <v>5654700</v>
      </c>
      <c r="G902" s="2">
        <f t="shared" si="1"/>
        <v>5</v>
      </c>
    </row>
    <row r="903" ht="15.75" customHeight="1">
      <c r="A903" s="1">
        <f>IFERROR(__xludf.DUMMYFUNCTION("""COMPUTED_VALUE"""),45184.66666666667)</f>
        <v>45184.66667</v>
      </c>
      <c r="B903" s="2">
        <f>IFERROR(__xludf.DUMMYFUNCTION("""COMPUTED_VALUE"""),650.0)</f>
        <v>650</v>
      </c>
      <c r="C903" s="2">
        <f>IFERROR(__xludf.DUMMYFUNCTION("""COMPUTED_VALUE"""),650.0)</f>
        <v>650</v>
      </c>
      <c r="D903" s="2">
        <f>IFERROR(__xludf.DUMMYFUNCTION("""COMPUTED_VALUE"""),645.0)</f>
        <v>645</v>
      </c>
      <c r="E903" s="2">
        <f>IFERROR(__xludf.DUMMYFUNCTION("""COMPUTED_VALUE"""),650.0)</f>
        <v>650</v>
      </c>
      <c r="F903" s="2">
        <f>IFERROR(__xludf.DUMMYFUNCTION("""COMPUTED_VALUE"""),3935900.0)</f>
        <v>3935900</v>
      </c>
      <c r="G903" s="2">
        <f t="shared" si="1"/>
        <v>5</v>
      </c>
    </row>
    <row r="904" ht="15.75" customHeight="1">
      <c r="A904" s="1">
        <f>IFERROR(__xludf.DUMMYFUNCTION("""COMPUTED_VALUE"""),45187.66666666667)</f>
        <v>45187.66667</v>
      </c>
      <c r="B904" s="2">
        <f>IFERROR(__xludf.DUMMYFUNCTION("""COMPUTED_VALUE"""),650.0)</f>
        <v>650</v>
      </c>
      <c r="C904" s="2">
        <f>IFERROR(__xludf.DUMMYFUNCTION("""COMPUTED_VALUE"""),650.0)</f>
        <v>650</v>
      </c>
      <c r="D904" s="2">
        <f>IFERROR(__xludf.DUMMYFUNCTION("""COMPUTED_VALUE"""),640.0)</f>
        <v>640</v>
      </c>
      <c r="E904" s="2">
        <f>IFERROR(__xludf.DUMMYFUNCTION("""COMPUTED_VALUE"""),640.0)</f>
        <v>640</v>
      </c>
      <c r="F904" s="2">
        <f>IFERROR(__xludf.DUMMYFUNCTION("""COMPUTED_VALUE"""),9043100.0)</f>
        <v>9043100</v>
      </c>
      <c r="G904" s="2">
        <f t="shared" si="1"/>
        <v>10</v>
      </c>
    </row>
    <row r="905" ht="15.75" customHeight="1">
      <c r="A905" s="1">
        <f>IFERROR(__xludf.DUMMYFUNCTION("""COMPUTED_VALUE"""),45188.66666666667)</f>
        <v>45188.66667</v>
      </c>
      <c r="B905" s="2">
        <f>IFERROR(__xludf.DUMMYFUNCTION("""COMPUTED_VALUE"""),640.0)</f>
        <v>640</v>
      </c>
      <c r="C905" s="2">
        <f>IFERROR(__xludf.DUMMYFUNCTION("""COMPUTED_VALUE"""),645.0)</f>
        <v>645</v>
      </c>
      <c r="D905" s="2">
        <f>IFERROR(__xludf.DUMMYFUNCTION("""COMPUTED_VALUE"""),640.0)</f>
        <v>640</v>
      </c>
      <c r="E905" s="2">
        <f>IFERROR(__xludf.DUMMYFUNCTION("""COMPUTED_VALUE"""),645.0)</f>
        <v>645</v>
      </c>
      <c r="F905" s="2">
        <f>IFERROR(__xludf.DUMMYFUNCTION("""COMPUTED_VALUE"""),4688100.0)</f>
        <v>4688100</v>
      </c>
      <c r="G905" s="2">
        <f t="shared" si="1"/>
        <v>5</v>
      </c>
    </row>
    <row r="906" ht="15.75" customHeight="1">
      <c r="A906" s="1">
        <f>IFERROR(__xludf.DUMMYFUNCTION("""COMPUTED_VALUE"""),45189.66666666667)</f>
        <v>45189.66667</v>
      </c>
      <c r="B906" s="2">
        <f>IFERROR(__xludf.DUMMYFUNCTION("""COMPUTED_VALUE"""),645.0)</f>
        <v>645</v>
      </c>
      <c r="C906" s="2">
        <f>IFERROR(__xludf.DUMMYFUNCTION("""COMPUTED_VALUE"""),645.0)</f>
        <v>645</v>
      </c>
      <c r="D906" s="2">
        <f>IFERROR(__xludf.DUMMYFUNCTION("""COMPUTED_VALUE"""),640.0)</f>
        <v>640</v>
      </c>
      <c r="E906" s="2">
        <f>IFERROR(__xludf.DUMMYFUNCTION("""COMPUTED_VALUE"""),645.0)</f>
        <v>645</v>
      </c>
      <c r="F906" s="2">
        <f>IFERROR(__xludf.DUMMYFUNCTION("""COMPUTED_VALUE"""),4569600.0)</f>
        <v>4569600</v>
      </c>
      <c r="G906" s="2">
        <f t="shared" si="1"/>
        <v>5</v>
      </c>
    </row>
    <row r="907" ht="15.75" customHeight="1">
      <c r="A907" s="1">
        <f>IFERROR(__xludf.DUMMYFUNCTION("""COMPUTED_VALUE"""),45190.66666666667)</f>
        <v>45190.66667</v>
      </c>
      <c r="B907" s="2">
        <f>IFERROR(__xludf.DUMMYFUNCTION("""COMPUTED_VALUE"""),645.0)</f>
        <v>645</v>
      </c>
      <c r="C907" s="2">
        <f>IFERROR(__xludf.DUMMYFUNCTION("""COMPUTED_VALUE"""),645.0)</f>
        <v>645</v>
      </c>
      <c r="D907" s="2">
        <f>IFERROR(__xludf.DUMMYFUNCTION("""COMPUTED_VALUE"""),640.0)</f>
        <v>640</v>
      </c>
      <c r="E907" s="2">
        <f>IFERROR(__xludf.DUMMYFUNCTION("""COMPUTED_VALUE"""),640.0)</f>
        <v>640</v>
      </c>
      <c r="F907" s="2">
        <f>IFERROR(__xludf.DUMMYFUNCTION("""COMPUTED_VALUE"""),6678900.0)</f>
        <v>6678900</v>
      </c>
      <c r="G907" s="2">
        <f t="shared" si="1"/>
        <v>5</v>
      </c>
    </row>
    <row r="908" ht="15.75" customHeight="1">
      <c r="A908" s="1">
        <f>IFERROR(__xludf.DUMMYFUNCTION("""COMPUTED_VALUE"""),45191.66666666667)</f>
        <v>45191.66667</v>
      </c>
      <c r="B908" s="2">
        <f>IFERROR(__xludf.DUMMYFUNCTION("""COMPUTED_VALUE"""),645.0)</f>
        <v>645</v>
      </c>
      <c r="C908" s="2">
        <f>IFERROR(__xludf.DUMMYFUNCTION("""COMPUTED_VALUE"""),645.0)</f>
        <v>645</v>
      </c>
      <c r="D908" s="2">
        <f>IFERROR(__xludf.DUMMYFUNCTION("""COMPUTED_VALUE"""),635.0)</f>
        <v>635</v>
      </c>
      <c r="E908" s="2">
        <f>IFERROR(__xludf.DUMMYFUNCTION("""COMPUTED_VALUE"""),640.0)</f>
        <v>640</v>
      </c>
      <c r="F908" s="2">
        <f>IFERROR(__xludf.DUMMYFUNCTION("""COMPUTED_VALUE"""),1.13499E7)</f>
        <v>11349900</v>
      </c>
      <c r="G908" s="2">
        <f t="shared" si="1"/>
        <v>10</v>
      </c>
    </row>
    <row r="909" ht="15.75" customHeight="1">
      <c r="A909" s="1">
        <f>IFERROR(__xludf.DUMMYFUNCTION("""COMPUTED_VALUE"""),45194.66666666667)</f>
        <v>45194.66667</v>
      </c>
      <c r="B909" s="2">
        <f>IFERROR(__xludf.DUMMYFUNCTION("""COMPUTED_VALUE"""),640.0)</f>
        <v>640</v>
      </c>
      <c r="C909" s="2">
        <f>IFERROR(__xludf.DUMMYFUNCTION("""COMPUTED_VALUE"""),645.0)</f>
        <v>645</v>
      </c>
      <c r="D909" s="2">
        <f>IFERROR(__xludf.DUMMYFUNCTION("""COMPUTED_VALUE"""),640.0)</f>
        <v>640</v>
      </c>
      <c r="E909" s="2">
        <f>IFERROR(__xludf.DUMMYFUNCTION("""COMPUTED_VALUE"""),640.0)</f>
        <v>640</v>
      </c>
      <c r="F909" s="2">
        <f>IFERROR(__xludf.DUMMYFUNCTION("""COMPUTED_VALUE"""),1832900.0)</f>
        <v>1832900</v>
      </c>
      <c r="G909" s="2">
        <f t="shared" si="1"/>
        <v>5</v>
      </c>
    </row>
    <row r="910" ht="15.75" customHeight="1">
      <c r="A910" s="1">
        <f>IFERROR(__xludf.DUMMYFUNCTION("""COMPUTED_VALUE"""),45195.66666666667)</f>
        <v>45195.66667</v>
      </c>
      <c r="B910" s="2">
        <f>IFERROR(__xludf.DUMMYFUNCTION("""COMPUTED_VALUE"""),640.0)</f>
        <v>640</v>
      </c>
      <c r="C910" s="2">
        <f>IFERROR(__xludf.DUMMYFUNCTION("""COMPUTED_VALUE"""),645.0)</f>
        <v>645</v>
      </c>
      <c r="D910" s="2">
        <f>IFERROR(__xludf.DUMMYFUNCTION("""COMPUTED_VALUE"""),640.0)</f>
        <v>640</v>
      </c>
      <c r="E910" s="2">
        <f>IFERROR(__xludf.DUMMYFUNCTION("""COMPUTED_VALUE"""),640.0)</f>
        <v>640</v>
      </c>
      <c r="F910" s="2">
        <f>IFERROR(__xludf.DUMMYFUNCTION("""COMPUTED_VALUE"""),3334300.0)</f>
        <v>3334300</v>
      </c>
      <c r="G910" s="2">
        <f t="shared" si="1"/>
        <v>5</v>
      </c>
    </row>
    <row r="911" ht="15.75" customHeight="1">
      <c r="A911" s="1">
        <f>IFERROR(__xludf.DUMMYFUNCTION("""COMPUTED_VALUE"""),45196.66666666667)</f>
        <v>45196.66667</v>
      </c>
      <c r="B911" s="2">
        <f>IFERROR(__xludf.DUMMYFUNCTION("""COMPUTED_VALUE"""),640.0)</f>
        <v>640</v>
      </c>
      <c r="C911" s="2">
        <f>IFERROR(__xludf.DUMMYFUNCTION("""COMPUTED_VALUE"""),645.0)</f>
        <v>645</v>
      </c>
      <c r="D911" s="2">
        <f>IFERROR(__xludf.DUMMYFUNCTION("""COMPUTED_VALUE"""),635.0)</f>
        <v>635</v>
      </c>
      <c r="E911" s="2">
        <f>IFERROR(__xludf.DUMMYFUNCTION("""COMPUTED_VALUE"""),635.0)</f>
        <v>635</v>
      </c>
      <c r="F911" s="2">
        <f>IFERROR(__xludf.DUMMYFUNCTION("""COMPUTED_VALUE"""),7896200.0)</f>
        <v>7896200</v>
      </c>
      <c r="G911" s="2">
        <f t="shared" si="1"/>
        <v>10</v>
      </c>
    </row>
    <row r="912" ht="15.75" customHeight="1">
      <c r="A912" s="1">
        <f>IFERROR(__xludf.DUMMYFUNCTION("""COMPUTED_VALUE"""),45198.66666666667)</f>
        <v>45198.66667</v>
      </c>
      <c r="B912" s="2">
        <f>IFERROR(__xludf.DUMMYFUNCTION("""COMPUTED_VALUE"""),635.0)</f>
        <v>635</v>
      </c>
      <c r="C912" s="2">
        <f>IFERROR(__xludf.DUMMYFUNCTION("""COMPUTED_VALUE"""),640.0)</f>
        <v>640</v>
      </c>
      <c r="D912" s="2">
        <f>IFERROR(__xludf.DUMMYFUNCTION("""COMPUTED_VALUE"""),635.0)</f>
        <v>635</v>
      </c>
      <c r="E912" s="2">
        <f>IFERROR(__xludf.DUMMYFUNCTION("""COMPUTED_VALUE"""),635.0)</f>
        <v>635</v>
      </c>
      <c r="F912" s="2">
        <f>IFERROR(__xludf.DUMMYFUNCTION("""COMPUTED_VALUE"""),3762200.0)</f>
        <v>3762200</v>
      </c>
      <c r="G912" s="2">
        <f t="shared" si="1"/>
        <v>5</v>
      </c>
    </row>
    <row r="913" ht="15.75" customHeight="1">
      <c r="A913" s="1">
        <f>IFERROR(__xludf.DUMMYFUNCTION("""COMPUTED_VALUE"""),45201.66666666667)</f>
        <v>45201.66667</v>
      </c>
      <c r="B913" s="2">
        <f>IFERROR(__xludf.DUMMYFUNCTION("""COMPUTED_VALUE"""),640.0)</f>
        <v>640</v>
      </c>
      <c r="C913" s="2">
        <f>IFERROR(__xludf.DUMMYFUNCTION("""COMPUTED_VALUE"""),640.0)</f>
        <v>640</v>
      </c>
      <c r="D913" s="2">
        <f>IFERROR(__xludf.DUMMYFUNCTION("""COMPUTED_VALUE"""),635.0)</f>
        <v>635</v>
      </c>
      <c r="E913" s="2">
        <f>IFERROR(__xludf.DUMMYFUNCTION("""COMPUTED_VALUE"""),635.0)</f>
        <v>635</v>
      </c>
      <c r="F913" s="2">
        <f>IFERROR(__xludf.DUMMYFUNCTION("""COMPUTED_VALUE"""),6568800.0)</f>
        <v>6568800</v>
      </c>
      <c r="G913" s="2">
        <f t="shared" si="1"/>
        <v>5</v>
      </c>
    </row>
    <row r="914" ht="15.75" customHeight="1">
      <c r="A914" s="1">
        <f>IFERROR(__xludf.DUMMYFUNCTION("""COMPUTED_VALUE"""),45202.66666666667)</f>
        <v>45202.66667</v>
      </c>
      <c r="B914" s="2">
        <f>IFERROR(__xludf.DUMMYFUNCTION("""COMPUTED_VALUE"""),635.0)</f>
        <v>635</v>
      </c>
      <c r="C914" s="2">
        <f>IFERROR(__xludf.DUMMYFUNCTION("""COMPUTED_VALUE"""),640.0)</f>
        <v>640</v>
      </c>
      <c r="D914" s="2">
        <f>IFERROR(__xludf.DUMMYFUNCTION("""COMPUTED_VALUE"""),630.0)</f>
        <v>630</v>
      </c>
      <c r="E914" s="2">
        <f>IFERROR(__xludf.DUMMYFUNCTION("""COMPUTED_VALUE"""),630.0)</f>
        <v>630</v>
      </c>
      <c r="F914" s="2">
        <f>IFERROR(__xludf.DUMMYFUNCTION("""COMPUTED_VALUE"""),6436400.0)</f>
        <v>6436400</v>
      </c>
      <c r="G914" s="2">
        <f t="shared" si="1"/>
        <v>10</v>
      </c>
    </row>
    <row r="915" ht="15.75" customHeight="1">
      <c r="A915" s="1">
        <f>IFERROR(__xludf.DUMMYFUNCTION("""COMPUTED_VALUE"""),45203.66666666667)</f>
        <v>45203.66667</v>
      </c>
      <c r="B915" s="2">
        <f>IFERROR(__xludf.DUMMYFUNCTION("""COMPUTED_VALUE"""),630.0)</f>
        <v>630</v>
      </c>
      <c r="C915" s="2">
        <f>IFERROR(__xludf.DUMMYFUNCTION("""COMPUTED_VALUE"""),635.0)</f>
        <v>635</v>
      </c>
      <c r="D915" s="2">
        <f>IFERROR(__xludf.DUMMYFUNCTION("""COMPUTED_VALUE"""),630.0)</f>
        <v>630</v>
      </c>
      <c r="E915" s="2">
        <f>IFERROR(__xludf.DUMMYFUNCTION("""COMPUTED_VALUE"""),630.0)</f>
        <v>630</v>
      </c>
      <c r="F915" s="2">
        <f>IFERROR(__xludf.DUMMYFUNCTION("""COMPUTED_VALUE"""),5946300.0)</f>
        <v>5946300</v>
      </c>
      <c r="G915" s="2">
        <f t="shared" si="1"/>
        <v>5</v>
      </c>
    </row>
    <row r="916" ht="15.75" customHeight="1">
      <c r="A916" s="1">
        <f>IFERROR(__xludf.DUMMYFUNCTION("""COMPUTED_VALUE"""),45204.66666666667)</f>
        <v>45204.66667</v>
      </c>
      <c r="B916" s="2">
        <f>IFERROR(__xludf.DUMMYFUNCTION("""COMPUTED_VALUE"""),630.0)</f>
        <v>630</v>
      </c>
      <c r="C916" s="2">
        <f>IFERROR(__xludf.DUMMYFUNCTION("""COMPUTED_VALUE"""),635.0)</f>
        <v>635</v>
      </c>
      <c r="D916" s="2">
        <f>IFERROR(__xludf.DUMMYFUNCTION("""COMPUTED_VALUE"""),625.0)</f>
        <v>625</v>
      </c>
      <c r="E916" s="2">
        <f>IFERROR(__xludf.DUMMYFUNCTION("""COMPUTED_VALUE"""),625.0)</f>
        <v>625</v>
      </c>
      <c r="F916" s="2">
        <f>IFERROR(__xludf.DUMMYFUNCTION("""COMPUTED_VALUE"""),5954800.0)</f>
        <v>5954800</v>
      </c>
      <c r="G916" s="2">
        <f t="shared" si="1"/>
        <v>10</v>
      </c>
    </row>
    <row r="917" ht="15.75" customHeight="1">
      <c r="A917" s="1">
        <f>IFERROR(__xludf.DUMMYFUNCTION("""COMPUTED_VALUE"""),45205.66666666667)</f>
        <v>45205.66667</v>
      </c>
      <c r="B917" s="2">
        <f>IFERROR(__xludf.DUMMYFUNCTION("""COMPUTED_VALUE"""),630.0)</f>
        <v>630</v>
      </c>
      <c r="C917" s="2">
        <f>IFERROR(__xludf.DUMMYFUNCTION("""COMPUTED_VALUE"""),630.0)</f>
        <v>630</v>
      </c>
      <c r="D917" s="2">
        <f>IFERROR(__xludf.DUMMYFUNCTION("""COMPUTED_VALUE"""),620.0)</f>
        <v>620</v>
      </c>
      <c r="E917" s="2">
        <f>IFERROR(__xludf.DUMMYFUNCTION("""COMPUTED_VALUE"""),625.0)</f>
        <v>625</v>
      </c>
      <c r="F917" s="2">
        <f>IFERROR(__xludf.DUMMYFUNCTION("""COMPUTED_VALUE"""),6400800.0)</f>
        <v>6400800</v>
      </c>
      <c r="G917" s="2">
        <f t="shared" si="1"/>
        <v>10</v>
      </c>
    </row>
    <row r="918" ht="15.75" customHeight="1">
      <c r="A918" s="1">
        <f>IFERROR(__xludf.DUMMYFUNCTION("""COMPUTED_VALUE"""),45208.66666666667)</f>
        <v>45208.66667</v>
      </c>
      <c r="B918" s="2">
        <f>IFERROR(__xludf.DUMMYFUNCTION("""COMPUTED_VALUE"""),620.0)</f>
        <v>620</v>
      </c>
      <c r="C918" s="2">
        <f>IFERROR(__xludf.DUMMYFUNCTION("""COMPUTED_VALUE"""),630.0)</f>
        <v>630</v>
      </c>
      <c r="D918" s="2">
        <f>IFERROR(__xludf.DUMMYFUNCTION("""COMPUTED_VALUE"""),620.0)</f>
        <v>620</v>
      </c>
      <c r="E918" s="2">
        <f>IFERROR(__xludf.DUMMYFUNCTION("""COMPUTED_VALUE"""),630.0)</f>
        <v>630</v>
      </c>
      <c r="F918" s="2">
        <f>IFERROR(__xludf.DUMMYFUNCTION("""COMPUTED_VALUE"""),3545100.0)</f>
        <v>3545100</v>
      </c>
      <c r="G918" s="2">
        <f t="shared" si="1"/>
        <v>10</v>
      </c>
    </row>
    <row r="919" ht="15.75" customHeight="1">
      <c r="A919" s="1">
        <f>IFERROR(__xludf.DUMMYFUNCTION("""COMPUTED_VALUE"""),45209.66666666667)</f>
        <v>45209.66667</v>
      </c>
      <c r="B919" s="2">
        <f>IFERROR(__xludf.DUMMYFUNCTION("""COMPUTED_VALUE"""),630.0)</f>
        <v>630</v>
      </c>
      <c r="C919" s="2">
        <f>IFERROR(__xludf.DUMMYFUNCTION("""COMPUTED_VALUE"""),630.0)</f>
        <v>630</v>
      </c>
      <c r="D919" s="2">
        <f>IFERROR(__xludf.DUMMYFUNCTION("""COMPUTED_VALUE"""),625.0)</f>
        <v>625</v>
      </c>
      <c r="E919" s="2">
        <f>IFERROR(__xludf.DUMMYFUNCTION("""COMPUTED_VALUE"""),625.0)</f>
        <v>625</v>
      </c>
      <c r="F919" s="2">
        <f>IFERROR(__xludf.DUMMYFUNCTION("""COMPUTED_VALUE"""),2524100.0)</f>
        <v>2524100</v>
      </c>
      <c r="G919" s="2">
        <f t="shared" si="1"/>
        <v>5</v>
      </c>
    </row>
    <row r="920" ht="15.75" customHeight="1">
      <c r="A920" s="1">
        <f>IFERROR(__xludf.DUMMYFUNCTION("""COMPUTED_VALUE"""),45210.66666666667)</f>
        <v>45210.66667</v>
      </c>
      <c r="B920" s="2">
        <f>IFERROR(__xludf.DUMMYFUNCTION("""COMPUTED_VALUE"""),625.0)</f>
        <v>625</v>
      </c>
      <c r="C920" s="2">
        <f>IFERROR(__xludf.DUMMYFUNCTION("""COMPUTED_VALUE"""),630.0)</f>
        <v>630</v>
      </c>
      <c r="D920" s="2">
        <f>IFERROR(__xludf.DUMMYFUNCTION("""COMPUTED_VALUE"""),625.0)</f>
        <v>625</v>
      </c>
      <c r="E920" s="2">
        <f>IFERROR(__xludf.DUMMYFUNCTION("""COMPUTED_VALUE"""),625.0)</f>
        <v>625</v>
      </c>
      <c r="F920" s="2">
        <f>IFERROR(__xludf.DUMMYFUNCTION("""COMPUTED_VALUE"""),5099600.0)</f>
        <v>5099600</v>
      </c>
      <c r="G920" s="2">
        <f t="shared" si="1"/>
        <v>5</v>
      </c>
    </row>
    <row r="921" ht="15.75" customHeight="1">
      <c r="A921" s="1">
        <f>IFERROR(__xludf.DUMMYFUNCTION("""COMPUTED_VALUE"""),45211.66666666667)</f>
        <v>45211.66667</v>
      </c>
      <c r="B921" s="2">
        <f>IFERROR(__xludf.DUMMYFUNCTION("""COMPUTED_VALUE"""),625.0)</f>
        <v>625</v>
      </c>
      <c r="C921" s="2">
        <f>IFERROR(__xludf.DUMMYFUNCTION("""COMPUTED_VALUE"""),630.0)</f>
        <v>630</v>
      </c>
      <c r="D921" s="2">
        <f>IFERROR(__xludf.DUMMYFUNCTION("""COMPUTED_VALUE"""),625.0)</f>
        <v>625</v>
      </c>
      <c r="E921" s="2">
        <f>IFERROR(__xludf.DUMMYFUNCTION("""COMPUTED_VALUE"""),630.0)</f>
        <v>630</v>
      </c>
      <c r="F921" s="2">
        <f>IFERROR(__xludf.DUMMYFUNCTION("""COMPUTED_VALUE"""),1058800.0)</f>
        <v>1058800</v>
      </c>
      <c r="G921" s="2">
        <f t="shared" si="1"/>
        <v>5</v>
      </c>
    </row>
    <row r="922" ht="15.75" customHeight="1">
      <c r="A922" s="1">
        <f>IFERROR(__xludf.DUMMYFUNCTION("""COMPUTED_VALUE"""),45212.66666666667)</f>
        <v>45212.66667</v>
      </c>
      <c r="B922" s="2">
        <f>IFERROR(__xludf.DUMMYFUNCTION("""COMPUTED_VALUE"""),630.0)</f>
        <v>630</v>
      </c>
      <c r="C922" s="2">
        <f>IFERROR(__xludf.DUMMYFUNCTION("""COMPUTED_VALUE"""),630.0)</f>
        <v>630</v>
      </c>
      <c r="D922" s="2">
        <f>IFERROR(__xludf.DUMMYFUNCTION("""COMPUTED_VALUE"""),625.0)</f>
        <v>625</v>
      </c>
      <c r="E922" s="2">
        <f>IFERROR(__xludf.DUMMYFUNCTION("""COMPUTED_VALUE"""),625.0)</f>
        <v>625</v>
      </c>
      <c r="F922" s="2">
        <f>IFERROR(__xludf.DUMMYFUNCTION("""COMPUTED_VALUE"""),4440200.0)</f>
        <v>4440200</v>
      </c>
      <c r="G922" s="2">
        <f t="shared" si="1"/>
        <v>5</v>
      </c>
    </row>
    <row r="923" ht="15.75" customHeight="1">
      <c r="A923" s="1">
        <f>IFERROR(__xludf.DUMMYFUNCTION("""COMPUTED_VALUE"""),45215.66666666667)</f>
        <v>45215.66667</v>
      </c>
      <c r="B923" s="2">
        <f>IFERROR(__xludf.DUMMYFUNCTION("""COMPUTED_VALUE"""),625.0)</f>
        <v>625</v>
      </c>
      <c r="C923" s="2">
        <f>IFERROR(__xludf.DUMMYFUNCTION("""COMPUTED_VALUE"""),630.0)</f>
        <v>630</v>
      </c>
      <c r="D923" s="2">
        <f>IFERROR(__xludf.DUMMYFUNCTION("""COMPUTED_VALUE"""),620.0)</f>
        <v>620</v>
      </c>
      <c r="E923" s="2">
        <f>IFERROR(__xludf.DUMMYFUNCTION("""COMPUTED_VALUE"""),625.0)</f>
        <v>625</v>
      </c>
      <c r="F923" s="2">
        <f>IFERROR(__xludf.DUMMYFUNCTION("""COMPUTED_VALUE"""),6077200.0)</f>
        <v>6077200</v>
      </c>
      <c r="G923" s="2">
        <f t="shared" si="1"/>
        <v>10</v>
      </c>
    </row>
    <row r="924" ht="15.75" customHeight="1">
      <c r="A924" s="1">
        <f>IFERROR(__xludf.DUMMYFUNCTION("""COMPUTED_VALUE"""),45216.66666666667)</f>
        <v>45216.66667</v>
      </c>
      <c r="B924" s="2">
        <f>IFERROR(__xludf.DUMMYFUNCTION("""COMPUTED_VALUE"""),625.0)</f>
        <v>625</v>
      </c>
      <c r="C924" s="2">
        <f>IFERROR(__xludf.DUMMYFUNCTION("""COMPUTED_VALUE"""),625.0)</f>
        <v>625</v>
      </c>
      <c r="D924" s="2">
        <f>IFERROR(__xludf.DUMMYFUNCTION("""COMPUTED_VALUE"""),620.0)</f>
        <v>620</v>
      </c>
      <c r="E924" s="2">
        <f>IFERROR(__xludf.DUMMYFUNCTION("""COMPUTED_VALUE"""),620.0)</f>
        <v>620</v>
      </c>
      <c r="F924" s="2">
        <f>IFERROR(__xludf.DUMMYFUNCTION("""COMPUTED_VALUE"""),4865200.0)</f>
        <v>4865200</v>
      </c>
      <c r="G924" s="2">
        <f t="shared" si="1"/>
        <v>5</v>
      </c>
    </row>
    <row r="925" ht="15.75" customHeight="1">
      <c r="A925" s="1">
        <f>IFERROR(__xludf.DUMMYFUNCTION("""COMPUTED_VALUE"""),45217.66666666667)</f>
        <v>45217.66667</v>
      </c>
      <c r="B925" s="2">
        <f>IFERROR(__xludf.DUMMYFUNCTION("""COMPUTED_VALUE"""),625.0)</f>
        <v>625</v>
      </c>
      <c r="C925" s="2">
        <f>IFERROR(__xludf.DUMMYFUNCTION("""COMPUTED_VALUE"""),625.0)</f>
        <v>625</v>
      </c>
      <c r="D925" s="2">
        <f>IFERROR(__xludf.DUMMYFUNCTION("""COMPUTED_VALUE"""),620.0)</f>
        <v>620</v>
      </c>
      <c r="E925" s="2">
        <f>IFERROR(__xludf.DUMMYFUNCTION("""COMPUTED_VALUE"""),625.0)</f>
        <v>625</v>
      </c>
      <c r="F925" s="2">
        <f>IFERROR(__xludf.DUMMYFUNCTION("""COMPUTED_VALUE"""),2587900.0)</f>
        <v>2587900</v>
      </c>
      <c r="G925" s="2">
        <f t="shared" si="1"/>
        <v>5</v>
      </c>
    </row>
    <row r="926" ht="15.75" customHeight="1">
      <c r="A926" s="1">
        <f>IFERROR(__xludf.DUMMYFUNCTION("""COMPUTED_VALUE"""),45218.66666666667)</f>
        <v>45218.66667</v>
      </c>
      <c r="B926" s="2">
        <f>IFERROR(__xludf.DUMMYFUNCTION("""COMPUTED_VALUE"""),620.0)</f>
        <v>620</v>
      </c>
      <c r="C926" s="2">
        <f>IFERROR(__xludf.DUMMYFUNCTION("""COMPUTED_VALUE"""),625.0)</f>
        <v>625</v>
      </c>
      <c r="D926" s="2">
        <f>IFERROR(__xludf.DUMMYFUNCTION("""COMPUTED_VALUE"""),615.0)</f>
        <v>615</v>
      </c>
      <c r="E926" s="2">
        <f>IFERROR(__xludf.DUMMYFUNCTION("""COMPUTED_VALUE"""),615.0)</f>
        <v>615</v>
      </c>
      <c r="F926" s="2">
        <f>IFERROR(__xludf.DUMMYFUNCTION("""COMPUTED_VALUE"""),4992900.0)</f>
        <v>4992900</v>
      </c>
      <c r="G926" s="2">
        <f t="shared" si="1"/>
        <v>10</v>
      </c>
    </row>
    <row r="927" ht="15.75" customHeight="1">
      <c r="A927" s="1">
        <f>IFERROR(__xludf.DUMMYFUNCTION("""COMPUTED_VALUE"""),45219.66666666667)</f>
        <v>45219.66667</v>
      </c>
      <c r="B927" s="2">
        <f>IFERROR(__xludf.DUMMYFUNCTION("""COMPUTED_VALUE"""),615.0)</f>
        <v>615</v>
      </c>
      <c r="C927" s="2">
        <f>IFERROR(__xludf.DUMMYFUNCTION("""COMPUTED_VALUE"""),620.0)</f>
        <v>620</v>
      </c>
      <c r="D927" s="2">
        <f>IFERROR(__xludf.DUMMYFUNCTION("""COMPUTED_VALUE"""),610.0)</f>
        <v>610</v>
      </c>
      <c r="E927" s="2">
        <f>IFERROR(__xludf.DUMMYFUNCTION("""COMPUTED_VALUE"""),610.0)</f>
        <v>610</v>
      </c>
      <c r="F927" s="2">
        <f>IFERROR(__xludf.DUMMYFUNCTION("""COMPUTED_VALUE"""),5787200.0)</f>
        <v>5787200</v>
      </c>
      <c r="G927" s="2">
        <f t="shared" si="1"/>
        <v>10</v>
      </c>
    </row>
    <row r="928" ht="15.75" customHeight="1">
      <c r="A928" s="1">
        <f>IFERROR(__xludf.DUMMYFUNCTION("""COMPUTED_VALUE"""),45222.66666666667)</f>
        <v>45222.66667</v>
      </c>
      <c r="B928" s="2">
        <f>IFERROR(__xludf.DUMMYFUNCTION("""COMPUTED_VALUE"""),610.0)</f>
        <v>610</v>
      </c>
      <c r="C928" s="2">
        <f>IFERROR(__xludf.DUMMYFUNCTION("""COMPUTED_VALUE"""),615.0)</f>
        <v>615</v>
      </c>
      <c r="D928" s="2">
        <f>IFERROR(__xludf.DUMMYFUNCTION("""COMPUTED_VALUE"""),600.0)</f>
        <v>600</v>
      </c>
      <c r="E928" s="2">
        <f>IFERROR(__xludf.DUMMYFUNCTION("""COMPUTED_VALUE"""),600.0)</f>
        <v>600</v>
      </c>
      <c r="F928" s="2">
        <f>IFERROR(__xludf.DUMMYFUNCTION("""COMPUTED_VALUE"""),1.05447E7)</f>
        <v>10544700</v>
      </c>
      <c r="G928" s="2">
        <f t="shared" si="1"/>
        <v>15</v>
      </c>
    </row>
    <row r="929" ht="15.75" customHeight="1">
      <c r="A929" s="1">
        <f>IFERROR(__xludf.DUMMYFUNCTION("""COMPUTED_VALUE"""),45223.66666666667)</f>
        <v>45223.66667</v>
      </c>
      <c r="B929" s="2">
        <f>IFERROR(__xludf.DUMMYFUNCTION("""COMPUTED_VALUE"""),605.0)</f>
        <v>605</v>
      </c>
      <c r="C929" s="2">
        <f>IFERROR(__xludf.DUMMYFUNCTION("""COMPUTED_VALUE"""),615.0)</f>
        <v>615</v>
      </c>
      <c r="D929" s="2">
        <f>IFERROR(__xludf.DUMMYFUNCTION("""COMPUTED_VALUE"""),600.0)</f>
        <v>600</v>
      </c>
      <c r="E929" s="2">
        <f>IFERROR(__xludf.DUMMYFUNCTION("""COMPUTED_VALUE"""),610.0)</f>
        <v>610</v>
      </c>
      <c r="F929" s="2">
        <f>IFERROR(__xludf.DUMMYFUNCTION("""COMPUTED_VALUE"""),4991100.0)</f>
        <v>4991100</v>
      </c>
      <c r="G929" s="2">
        <f t="shared" si="1"/>
        <v>15</v>
      </c>
    </row>
    <row r="930" ht="15.75" customHeight="1">
      <c r="A930" s="1">
        <f>IFERROR(__xludf.DUMMYFUNCTION("""COMPUTED_VALUE"""),45224.66666666667)</f>
        <v>45224.66667</v>
      </c>
      <c r="B930" s="2">
        <f>IFERROR(__xludf.DUMMYFUNCTION("""COMPUTED_VALUE"""),615.0)</f>
        <v>615</v>
      </c>
      <c r="C930" s="2">
        <f>IFERROR(__xludf.DUMMYFUNCTION("""COMPUTED_VALUE"""),625.0)</f>
        <v>625</v>
      </c>
      <c r="D930" s="2">
        <f>IFERROR(__xludf.DUMMYFUNCTION("""COMPUTED_VALUE"""),610.0)</f>
        <v>610</v>
      </c>
      <c r="E930" s="2">
        <f>IFERROR(__xludf.DUMMYFUNCTION("""COMPUTED_VALUE"""),615.0)</f>
        <v>615</v>
      </c>
      <c r="F930" s="2">
        <f>IFERROR(__xludf.DUMMYFUNCTION("""COMPUTED_VALUE"""),3066700.0)</f>
        <v>3066700</v>
      </c>
      <c r="G930" s="2">
        <f t="shared" si="1"/>
        <v>15</v>
      </c>
    </row>
    <row r="931" ht="15.75" customHeight="1">
      <c r="A931" s="1">
        <f>IFERROR(__xludf.DUMMYFUNCTION("""COMPUTED_VALUE"""),45225.66666666667)</f>
        <v>45225.66667</v>
      </c>
      <c r="B931" s="2">
        <f>IFERROR(__xludf.DUMMYFUNCTION("""COMPUTED_VALUE"""),620.0)</f>
        <v>620</v>
      </c>
      <c r="C931" s="2">
        <f>IFERROR(__xludf.DUMMYFUNCTION("""COMPUTED_VALUE"""),620.0)</f>
        <v>620</v>
      </c>
      <c r="D931" s="2">
        <f>IFERROR(__xludf.DUMMYFUNCTION("""COMPUTED_VALUE"""),605.0)</f>
        <v>605</v>
      </c>
      <c r="E931" s="2">
        <f>IFERROR(__xludf.DUMMYFUNCTION("""COMPUTED_VALUE"""),605.0)</f>
        <v>605</v>
      </c>
      <c r="F931" s="2">
        <f>IFERROR(__xludf.DUMMYFUNCTION("""COMPUTED_VALUE"""),8204900.0)</f>
        <v>8204900</v>
      </c>
      <c r="G931" s="2">
        <f t="shared" si="1"/>
        <v>15</v>
      </c>
    </row>
    <row r="932" ht="15.75" customHeight="1">
      <c r="A932" s="1">
        <f>IFERROR(__xludf.DUMMYFUNCTION("""COMPUTED_VALUE"""),45226.66666666667)</f>
        <v>45226.66667</v>
      </c>
      <c r="B932" s="2">
        <f>IFERROR(__xludf.DUMMYFUNCTION("""COMPUTED_VALUE"""),610.0)</f>
        <v>610</v>
      </c>
      <c r="C932" s="2">
        <f>IFERROR(__xludf.DUMMYFUNCTION("""COMPUTED_VALUE"""),615.0)</f>
        <v>615</v>
      </c>
      <c r="D932" s="2">
        <f>IFERROR(__xludf.DUMMYFUNCTION("""COMPUTED_VALUE"""),605.0)</f>
        <v>605</v>
      </c>
      <c r="E932" s="2">
        <f>IFERROR(__xludf.DUMMYFUNCTION("""COMPUTED_VALUE"""),610.0)</f>
        <v>610</v>
      </c>
      <c r="F932" s="2">
        <f>IFERROR(__xludf.DUMMYFUNCTION("""COMPUTED_VALUE"""),3602800.0)</f>
        <v>3602800</v>
      </c>
      <c r="G932" s="2">
        <f t="shared" si="1"/>
        <v>10</v>
      </c>
    </row>
    <row r="933" ht="15.75" customHeight="1">
      <c r="A933" s="1">
        <f>IFERROR(__xludf.DUMMYFUNCTION("""COMPUTED_VALUE"""),45229.66666666667)</f>
        <v>45229.66667</v>
      </c>
      <c r="B933" s="2">
        <f>IFERROR(__xludf.DUMMYFUNCTION("""COMPUTED_VALUE"""),610.0)</f>
        <v>610</v>
      </c>
      <c r="C933" s="2">
        <f>IFERROR(__xludf.DUMMYFUNCTION("""COMPUTED_VALUE"""),615.0)</f>
        <v>615</v>
      </c>
      <c r="D933" s="2">
        <f>IFERROR(__xludf.DUMMYFUNCTION("""COMPUTED_VALUE"""),600.0)</f>
        <v>600</v>
      </c>
      <c r="E933" s="2">
        <f>IFERROR(__xludf.DUMMYFUNCTION("""COMPUTED_VALUE"""),605.0)</f>
        <v>605</v>
      </c>
      <c r="F933" s="2">
        <f>IFERROR(__xludf.DUMMYFUNCTION("""COMPUTED_VALUE"""),5814900.0)</f>
        <v>5814900</v>
      </c>
      <c r="G933" s="2">
        <f t="shared" si="1"/>
        <v>15</v>
      </c>
    </row>
    <row r="934" ht="15.75" customHeight="1">
      <c r="A934" s="1">
        <f>IFERROR(__xludf.DUMMYFUNCTION("""COMPUTED_VALUE"""),45230.66666666667)</f>
        <v>45230.66667</v>
      </c>
      <c r="B934" s="2">
        <f>IFERROR(__xludf.DUMMYFUNCTION("""COMPUTED_VALUE"""),610.0)</f>
        <v>610</v>
      </c>
      <c r="C934" s="2">
        <f>IFERROR(__xludf.DUMMYFUNCTION("""COMPUTED_VALUE"""),610.0)</f>
        <v>610</v>
      </c>
      <c r="D934" s="2">
        <f>IFERROR(__xludf.DUMMYFUNCTION("""COMPUTED_VALUE"""),600.0)</f>
        <v>600</v>
      </c>
      <c r="E934" s="2">
        <f>IFERROR(__xludf.DUMMYFUNCTION("""COMPUTED_VALUE"""),605.0)</f>
        <v>605</v>
      </c>
      <c r="F934" s="2">
        <f>IFERROR(__xludf.DUMMYFUNCTION("""COMPUTED_VALUE"""),6653300.0)</f>
        <v>6653300</v>
      </c>
      <c r="G934" s="2">
        <f t="shared" si="1"/>
        <v>10</v>
      </c>
    </row>
    <row r="935" ht="15.75" customHeight="1">
      <c r="A935" s="1">
        <f>IFERROR(__xludf.DUMMYFUNCTION("""COMPUTED_VALUE"""),45231.66666666667)</f>
        <v>45231.66667</v>
      </c>
      <c r="B935" s="2">
        <f>IFERROR(__xludf.DUMMYFUNCTION("""COMPUTED_VALUE"""),605.0)</f>
        <v>605</v>
      </c>
      <c r="C935" s="2">
        <f>IFERROR(__xludf.DUMMYFUNCTION("""COMPUTED_VALUE"""),610.0)</f>
        <v>610</v>
      </c>
      <c r="D935" s="2">
        <f>IFERROR(__xludf.DUMMYFUNCTION("""COMPUTED_VALUE"""),600.0)</f>
        <v>600</v>
      </c>
      <c r="E935" s="2">
        <f>IFERROR(__xludf.DUMMYFUNCTION("""COMPUTED_VALUE"""),600.0)</f>
        <v>600</v>
      </c>
      <c r="F935" s="2">
        <f>IFERROR(__xludf.DUMMYFUNCTION("""COMPUTED_VALUE"""),5987300.0)</f>
        <v>5987300</v>
      </c>
      <c r="G935" s="2">
        <f t="shared" si="1"/>
        <v>10</v>
      </c>
    </row>
    <row r="936" ht="15.75" customHeight="1">
      <c r="A936" s="1">
        <f>IFERROR(__xludf.DUMMYFUNCTION("""COMPUTED_VALUE"""),45232.66666666667)</f>
        <v>45232.66667</v>
      </c>
      <c r="B936" s="2">
        <f>IFERROR(__xludf.DUMMYFUNCTION("""COMPUTED_VALUE"""),600.0)</f>
        <v>600</v>
      </c>
      <c r="C936" s="2">
        <f>IFERROR(__xludf.DUMMYFUNCTION("""COMPUTED_VALUE"""),610.0)</f>
        <v>610</v>
      </c>
      <c r="D936" s="2">
        <f>IFERROR(__xludf.DUMMYFUNCTION("""COMPUTED_VALUE"""),600.0)</f>
        <v>600</v>
      </c>
      <c r="E936" s="2">
        <f>IFERROR(__xludf.DUMMYFUNCTION("""COMPUTED_VALUE"""),600.0)</f>
        <v>600</v>
      </c>
      <c r="F936" s="2">
        <f>IFERROR(__xludf.DUMMYFUNCTION("""COMPUTED_VALUE"""),5136700.0)</f>
        <v>5136700</v>
      </c>
      <c r="G936" s="2">
        <f t="shared" si="1"/>
        <v>10</v>
      </c>
    </row>
    <row r="937" ht="15.75" customHeight="1">
      <c r="A937" s="1">
        <f>IFERROR(__xludf.DUMMYFUNCTION("""COMPUTED_VALUE"""),45233.66666666667)</f>
        <v>45233.66667</v>
      </c>
      <c r="B937" s="2">
        <f>IFERROR(__xludf.DUMMYFUNCTION("""COMPUTED_VALUE"""),605.0)</f>
        <v>605</v>
      </c>
      <c r="C937" s="2">
        <f>IFERROR(__xludf.DUMMYFUNCTION("""COMPUTED_VALUE"""),610.0)</f>
        <v>610</v>
      </c>
      <c r="D937" s="2">
        <f>IFERROR(__xludf.DUMMYFUNCTION("""COMPUTED_VALUE"""),605.0)</f>
        <v>605</v>
      </c>
      <c r="E937" s="2">
        <f>IFERROR(__xludf.DUMMYFUNCTION("""COMPUTED_VALUE"""),610.0)</f>
        <v>610</v>
      </c>
      <c r="F937" s="2">
        <f>IFERROR(__xludf.DUMMYFUNCTION("""COMPUTED_VALUE"""),2436800.0)</f>
        <v>2436800</v>
      </c>
      <c r="G937" s="2">
        <f t="shared" si="1"/>
        <v>10</v>
      </c>
    </row>
    <row r="938" ht="15.75" customHeight="1">
      <c r="A938" s="1">
        <f>IFERROR(__xludf.DUMMYFUNCTION("""COMPUTED_VALUE"""),45236.66666666667)</f>
        <v>45236.66667</v>
      </c>
      <c r="B938" s="2">
        <f>IFERROR(__xludf.DUMMYFUNCTION("""COMPUTED_VALUE"""),610.0)</f>
        <v>610</v>
      </c>
      <c r="C938" s="2">
        <f>IFERROR(__xludf.DUMMYFUNCTION("""COMPUTED_VALUE"""),620.0)</f>
        <v>620</v>
      </c>
      <c r="D938" s="2">
        <f>IFERROR(__xludf.DUMMYFUNCTION("""COMPUTED_VALUE"""),610.0)</f>
        <v>610</v>
      </c>
      <c r="E938" s="2">
        <f>IFERROR(__xludf.DUMMYFUNCTION("""COMPUTED_VALUE"""),610.0)</f>
        <v>610</v>
      </c>
      <c r="F938" s="2">
        <f>IFERROR(__xludf.DUMMYFUNCTION("""COMPUTED_VALUE"""),4797900.0)</f>
        <v>4797900</v>
      </c>
      <c r="G938" s="2">
        <f t="shared" si="1"/>
        <v>10</v>
      </c>
    </row>
    <row r="939" ht="15.75" customHeight="1">
      <c r="A939" s="1">
        <f>IFERROR(__xludf.DUMMYFUNCTION("""COMPUTED_VALUE"""),45237.66666666667)</f>
        <v>45237.66667</v>
      </c>
      <c r="B939" s="2">
        <f>IFERROR(__xludf.DUMMYFUNCTION("""COMPUTED_VALUE"""),610.0)</f>
        <v>610</v>
      </c>
      <c r="C939" s="2">
        <f>IFERROR(__xludf.DUMMYFUNCTION("""COMPUTED_VALUE"""),620.0)</f>
        <v>620</v>
      </c>
      <c r="D939" s="2">
        <f>IFERROR(__xludf.DUMMYFUNCTION("""COMPUTED_VALUE"""),610.0)</f>
        <v>610</v>
      </c>
      <c r="E939" s="2">
        <f>IFERROR(__xludf.DUMMYFUNCTION("""COMPUTED_VALUE"""),615.0)</f>
        <v>615</v>
      </c>
      <c r="F939" s="2">
        <f>IFERROR(__xludf.DUMMYFUNCTION("""COMPUTED_VALUE"""),2550400.0)</f>
        <v>2550400</v>
      </c>
      <c r="G939" s="2">
        <f t="shared" si="1"/>
        <v>10</v>
      </c>
    </row>
    <row r="940" ht="15.75" customHeight="1">
      <c r="A940" s="1">
        <f>IFERROR(__xludf.DUMMYFUNCTION("""COMPUTED_VALUE"""),45238.66666666667)</f>
        <v>45238.66667</v>
      </c>
      <c r="B940" s="2">
        <f>IFERROR(__xludf.DUMMYFUNCTION("""COMPUTED_VALUE"""),615.0)</f>
        <v>615</v>
      </c>
      <c r="C940" s="2">
        <f>IFERROR(__xludf.DUMMYFUNCTION("""COMPUTED_VALUE"""),625.0)</f>
        <v>625</v>
      </c>
      <c r="D940" s="2">
        <f>IFERROR(__xludf.DUMMYFUNCTION("""COMPUTED_VALUE"""),610.0)</f>
        <v>610</v>
      </c>
      <c r="E940" s="2">
        <f>IFERROR(__xludf.DUMMYFUNCTION("""COMPUTED_VALUE"""),610.0)</f>
        <v>610</v>
      </c>
      <c r="F940" s="2">
        <f>IFERROR(__xludf.DUMMYFUNCTION("""COMPUTED_VALUE"""),3944300.0)</f>
        <v>3944300</v>
      </c>
      <c r="G940" s="2">
        <f t="shared" si="1"/>
        <v>15</v>
      </c>
    </row>
    <row r="941" ht="15.75" customHeight="1">
      <c r="A941" s="1">
        <f>IFERROR(__xludf.DUMMYFUNCTION("""COMPUTED_VALUE"""),45239.66666666667)</f>
        <v>45239.66667</v>
      </c>
      <c r="B941" s="2">
        <f>IFERROR(__xludf.DUMMYFUNCTION("""COMPUTED_VALUE"""),615.0)</f>
        <v>615</v>
      </c>
      <c r="C941" s="2">
        <f>IFERROR(__xludf.DUMMYFUNCTION("""COMPUTED_VALUE"""),620.0)</f>
        <v>620</v>
      </c>
      <c r="D941" s="2">
        <f>IFERROR(__xludf.DUMMYFUNCTION("""COMPUTED_VALUE"""),610.0)</f>
        <v>610</v>
      </c>
      <c r="E941" s="2">
        <f>IFERROR(__xludf.DUMMYFUNCTION("""COMPUTED_VALUE"""),610.0)</f>
        <v>610</v>
      </c>
      <c r="F941" s="2">
        <f>IFERROR(__xludf.DUMMYFUNCTION("""COMPUTED_VALUE"""),1851400.0)</f>
        <v>1851400</v>
      </c>
      <c r="G941" s="2">
        <f t="shared" si="1"/>
        <v>10</v>
      </c>
    </row>
    <row r="942" ht="15.75" customHeight="1">
      <c r="A942" s="1">
        <f>IFERROR(__xludf.DUMMYFUNCTION("""COMPUTED_VALUE"""),45240.66666666667)</f>
        <v>45240.66667</v>
      </c>
      <c r="B942" s="2">
        <f>IFERROR(__xludf.DUMMYFUNCTION("""COMPUTED_VALUE"""),615.0)</f>
        <v>615</v>
      </c>
      <c r="C942" s="2">
        <f>IFERROR(__xludf.DUMMYFUNCTION("""COMPUTED_VALUE"""),620.0)</f>
        <v>620</v>
      </c>
      <c r="D942" s="2">
        <f>IFERROR(__xludf.DUMMYFUNCTION("""COMPUTED_VALUE"""),605.0)</f>
        <v>605</v>
      </c>
      <c r="E942" s="2">
        <f>IFERROR(__xludf.DUMMYFUNCTION("""COMPUTED_VALUE"""),605.0)</f>
        <v>605</v>
      </c>
      <c r="F942" s="2">
        <f>IFERROR(__xludf.DUMMYFUNCTION("""COMPUTED_VALUE"""),6896800.0)</f>
        <v>6896800</v>
      </c>
      <c r="G942" s="2">
        <f t="shared" si="1"/>
        <v>15</v>
      </c>
    </row>
    <row r="943" ht="15.75" customHeight="1">
      <c r="A943" s="1">
        <f>IFERROR(__xludf.DUMMYFUNCTION("""COMPUTED_VALUE"""),45243.66666666667)</f>
        <v>45243.66667</v>
      </c>
      <c r="B943" s="2">
        <f>IFERROR(__xludf.DUMMYFUNCTION("""COMPUTED_VALUE"""),605.0)</f>
        <v>605</v>
      </c>
      <c r="C943" s="2">
        <f>IFERROR(__xludf.DUMMYFUNCTION("""COMPUTED_VALUE"""),615.0)</f>
        <v>615</v>
      </c>
      <c r="D943" s="2">
        <f>IFERROR(__xludf.DUMMYFUNCTION("""COMPUTED_VALUE"""),605.0)</f>
        <v>605</v>
      </c>
      <c r="E943" s="2">
        <f>IFERROR(__xludf.DUMMYFUNCTION("""COMPUTED_VALUE"""),615.0)</f>
        <v>615</v>
      </c>
      <c r="F943" s="2">
        <f>IFERROR(__xludf.DUMMYFUNCTION("""COMPUTED_VALUE"""),2769800.0)</f>
        <v>2769800</v>
      </c>
      <c r="G943" s="2">
        <f t="shared" si="1"/>
        <v>10</v>
      </c>
    </row>
    <row r="944" ht="15.75" customHeight="1">
      <c r="A944" s="1">
        <f>IFERROR(__xludf.DUMMYFUNCTION("""COMPUTED_VALUE"""),45244.66666666667)</f>
        <v>45244.66667</v>
      </c>
      <c r="B944" s="2">
        <f>IFERROR(__xludf.DUMMYFUNCTION("""COMPUTED_VALUE"""),615.0)</f>
        <v>615</v>
      </c>
      <c r="C944" s="2">
        <f>IFERROR(__xludf.DUMMYFUNCTION("""COMPUTED_VALUE"""),615.0)</f>
        <v>615</v>
      </c>
      <c r="D944" s="2">
        <f>IFERROR(__xludf.DUMMYFUNCTION("""COMPUTED_VALUE"""),605.0)</f>
        <v>605</v>
      </c>
      <c r="E944" s="2">
        <f>IFERROR(__xludf.DUMMYFUNCTION("""COMPUTED_VALUE"""),610.0)</f>
        <v>610</v>
      </c>
      <c r="F944" s="2">
        <f>IFERROR(__xludf.DUMMYFUNCTION("""COMPUTED_VALUE"""),5700900.0)</f>
        <v>5700900</v>
      </c>
      <c r="G944" s="2">
        <f t="shared" si="1"/>
        <v>10</v>
      </c>
    </row>
    <row r="945" ht="15.75" customHeight="1">
      <c r="A945" s="1">
        <f>IFERROR(__xludf.DUMMYFUNCTION("""COMPUTED_VALUE"""),45245.66666666667)</f>
        <v>45245.66667</v>
      </c>
      <c r="B945" s="2">
        <f>IFERROR(__xludf.DUMMYFUNCTION("""COMPUTED_VALUE"""),615.0)</f>
        <v>615</v>
      </c>
      <c r="C945" s="2">
        <f>IFERROR(__xludf.DUMMYFUNCTION("""COMPUTED_VALUE"""),620.0)</f>
        <v>620</v>
      </c>
      <c r="D945" s="2">
        <f>IFERROR(__xludf.DUMMYFUNCTION("""COMPUTED_VALUE"""),610.0)</f>
        <v>610</v>
      </c>
      <c r="E945" s="2">
        <f>IFERROR(__xludf.DUMMYFUNCTION("""COMPUTED_VALUE"""),615.0)</f>
        <v>615</v>
      </c>
      <c r="F945" s="2">
        <f>IFERROR(__xludf.DUMMYFUNCTION("""COMPUTED_VALUE"""),3568700.0)</f>
        <v>3568700</v>
      </c>
      <c r="G945" s="2">
        <f t="shared" si="1"/>
        <v>10</v>
      </c>
    </row>
    <row r="946" ht="15.75" customHeight="1">
      <c r="A946" s="1">
        <f>IFERROR(__xludf.DUMMYFUNCTION("""COMPUTED_VALUE"""),45246.66666666667)</f>
        <v>45246.66667</v>
      </c>
      <c r="B946" s="2">
        <f>IFERROR(__xludf.DUMMYFUNCTION("""COMPUTED_VALUE"""),615.0)</f>
        <v>615</v>
      </c>
      <c r="C946" s="2">
        <f>IFERROR(__xludf.DUMMYFUNCTION("""COMPUTED_VALUE"""),620.0)</f>
        <v>620</v>
      </c>
      <c r="D946" s="2">
        <f>IFERROR(__xludf.DUMMYFUNCTION("""COMPUTED_VALUE"""),610.0)</f>
        <v>610</v>
      </c>
      <c r="E946" s="2">
        <f>IFERROR(__xludf.DUMMYFUNCTION("""COMPUTED_VALUE"""),615.0)</f>
        <v>615</v>
      </c>
      <c r="F946" s="2">
        <f>IFERROR(__xludf.DUMMYFUNCTION("""COMPUTED_VALUE"""),1571700.0)</f>
        <v>1571700</v>
      </c>
      <c r="G946" s="2">
        <f t="shared" si="1"/>
        <v>10</v>
      </c>
    </row>
    <row r="947" ht="15.75" customHeight="1">
      <c r="A947" s="1">
        <f>IFERROR(__xludf.DUMMYFUNCTION("""COMPUTED_VALUE"""),45247.66666666667)</f>
        <v>45247.66667</v>
      </c>
      <c r="B947" s="2">
        <f>IFERROR(__xludf.DUMMYFUNCTION("""COMPUTED_VALUE"""),615.0)</f>
        <v>615</v>
      </c>
      <c r="C947" s="2">
        <f>IFERROR(__xludf.DUMMYFUNCTION("""COMPUTED_VALUE"""),620.0)</f>
        <v>620</v>
      </c>
      <c r="D947" s="2">
        <f>IFERROR(__xludf.DUMMYFUNCTION("""COMPUTED_VALUE"""),610.0)</f>
        <v>610</v>
      </c>
      <c r="E947" s="2">
        <f>IFERROR(__xludf.DUMMYFUNCTION("""COMPUTED_VALUE"""),615.0)</f>
        <v>615</v>
      </c>
      <c r="F947" s="2">
        <f>IFERROR(__xludf.DUMMYFUNCTION("""COMPUTED_VALUE"""),2185200.0)</f>
        <v>2185200</v>
      </c>
      <c r="G947" s="2">
        <f t="shared" si="1"/>
        <v>10</v>
      </c>
    </row>
    <row r="948" ht="15.75" customHeight="1">
      <c r="A948" s="1">
        <f>IFERROR(__xludf.DUMMYFUNCTION("""COMPUTED_VALUE"""),45250.66666666667)</f>
        <v>45250.66667</v>
      </c>
      <c r="B948" s="2">
        <f>IFERROR(__xludf.DUMMYFUNCTION("""COMPUTED_VALUE"""),615.0)</f>
        <v>615</v>
      </c>
      <c r="C948" s="2">
        <f>IFERROR(__xludf.DUMMYFUNCTION("""COMPUTED_VALUE"""),620.0)</f>
        <v>620</v>
      </c>
      <c r="D948" s="2">
        <f>IFERROR(__xludf.DUMMYFUNCTION("""COMPUTED_VALUE"""),615.0)</f>
        <v>615</v>
      </c>
      <c r="E948" s="2">
        <f>IFERROR(__xludf.DUMMYFUNCTION("""COMPUTED_VALUE"""),620.0)</f>
        <v>620</v>
      </c>
      <c r="F948" s="2">
        <f>IFERROR(__xludf.DUMMYFUNCTION("""COMPUTED_VALUE"""),1183400.0)</f>
        <v>1183400</v>
      </c>
      <c r="G948" s="2">
        <f t="shared" si="1"/>
        <v>5</v>
      </c>
    </row>
    <row r="949" ht="15.75" customHeight="1">
      <c r="A949" s="1">
        <f>IFERROR(__xludf.DUMMYFUNCTION("""COMPUTED_VALUE"""),45251.66666666667)</f>
        <v>45251.66667</v>
      </c>
      <c r="B949" s="2">
        <f>IFERROR(__xludf.DUMMYFUNCTION("""COMPUTED_VALUE"""),620.0)</f>
        <v>620</v>
      </c>
      <c r="C949" s="2">
        <f>IFERROR(__xludf.DUMMYFUNCTION("""COMPUTED_VALUE"""),625.0)</f>
        <v>625</v>
      </c>
      <c r="D949" s="2">
        <f>IFERROR(__xludf.DUMMYFUNCTION("""COMPUTED_VALUE"""),615.0)</f>
        <v>615</v>
      </c>
      <c r="E949" s="2">
        <f>IFERROR(__xludf.DUMMYFUNCTION("""COMPUTED_VALUE"""),620.0)</f>
        <v>620</v>
      </c>
      <c r="F949" s="2">
        <f>IFERROR(__xludf.DUMMYFUNCTION("""COMPUTED_VALUE"""),3367300.0)</f>
        <v>3367300</v>
      </c>
      <c r="G949" s="2">
        <f t="shared" si="1"/>
        <v>10</v>
      </c>
    </row>
    <row r="950" ht="15.75" customHeight="1">
      <c r="A950" s="1">
        <f>IFERROR(__xludf.DUMMYFUNCTION("""COMPUTED_VALUE"""),45252.66666666667)</f>
        <v>45252.66667</v>
      </c>
      <c r="B950" s="2">
        <f>IFERROR(__xludf.DUMMYFUNCTION("""COMPUTED_VALUE"""),620.0)</f>
        <v>620</v>
      </c>
      <c r="C950" s="2">
        <f>IFERROR(__xludf.DUMMYFUNCTION("""COMPUTED_VALUE"""),625.0)</f>
        <v>625</v>
      </c>
      <c r="D950" s="2">
        <f>IFERROR(__xludf.DUMMYFUNCTION("""COMPUTED_VALUE"""),615.0)</f>
        <v>615</v>
      </c>
      <c r="E950" s="2">
        <f>IFERROR(__xludf.DUMMYFUNCTION("""COMPUTED_VALUE"""),620.0)</f>
        <v>620</v>
      </c>
      <c r="F950" s="2">
        <f>IFERROR(__xludf.DUMMYFUNCTION("""COMPUTED_VALUE"""),1424300.0)</f>
        <v>1424300</v>
      </c>
      <c r="G950" s="2">
        <f t="shared" si="1"/>
        <v>10</v>
      </c>
    </row>
    <row r="951" ht="15.75" customHeight="1">
      <c r="A951" s="1">
        <f>IFERROR(__xludf.DUMMYFUNCTION("""COMPUTED_VALUE"""),45253.66666666667)</f>
        <v>45253.66667</v>
      </c>
      <c r="B951" s="2">
        <f>IFERROR(__xludf.DUMMYFUNCTION("""COMPUTED_VALUE"""),620.0)</f>
        <v>620</v>
      </c>
      <c r="C951" s="2">
        <f>IFERROR(__xludf.DUMMYFUNCTION("""COMPUTED_VALUE"""),620.0)</f>
        <v>620</v>
      </c>
      <c r="D951" s="2">
        <f>IFERROR(__xludf.DUMMYFUNCTION("""COMPUTED_VALUE"""),615.0)</f>
        <v>615</v>
      </c>
      <c r="E951" s="2">
        <f>IFERROR(__xludf.DUMMYFUNCTION("""COMPUTED_VALUE"""),620.0)</f>
        <v>620</v>
      </c>
      <c r="F951" s="2">
        <f>IFERROR(__xludf.DUMMYFUNCTION("""COMPUTED_VALUE"""),1883400.0)</f>
        <v>1883400</v>
      </c>
      <c r="G951" s="2">
        <f t="shared" si="1"/>
        <v>5</v>
      </c>
    </row>
    <row r="952" ht="15.75" customHeight="1">
      <c r="A952" s="1">
        <f>IFERROR(__xludf.DUMMYFUNCTION("""COMPUTED_VALUE"""),45254.66666666667)</f>
        <v>45254.66667</v>
      </c>
      <c r="B952" s="2">
        <f>IFERROR(__xludf.DUMMYFUNCTION("""COMPUTED_VALUE"""),620.0)</f>
        <v>620</v>
      </c>
      <c r="C952" s="2">
        <f>IFERROR(__xludf.DUMMYFUNCTION("""COMPUTED_VALUE"""),625.0)</f>
        <v>625</v>
      </c>
      <c r="D952" s="2">
        <f>IFERROR(__xludf.DUMMYFUNCTION("""COMPUTED_VALUE"""),615.0)</f>
        <v>615</v>
      </c>
      <c r="E952" s="2">
        <f>IFERROR(__xludf.DUMMYFUNCTION("""COMPUTED_VALUE"""),620.0)</f>
        <v>620</v>
      </c>
      <c r="F952" s="2">
        <f>IFERROR(__xludf.DUMMYFUNCTION("""COMPUTED_VALUE"""),2411900.0)</f>
        <v>2411900</v>
      </c>
      <c r="G952" s="2">
        <f t="shared" si="1"/>
        <v>10</v>
      </c>
    </row>
    <row r="953" ht="15.75" customHeight="1">
      <c r="A953" s="1">
        <f>IFERROR(__xludf.DUMMYFUNCTION("""COMPUTED_VALUE"""),45257.66666666667)</f>
        <v>45257.66667</v>
      </c>
      <c r="B953" s="2">
        <f>IFERROR(__xludf.DUMMYFUNCTION("""COMPUTED_VALUE"""),620.0)</f>
        <v>620</v>
      </c>
      <c r="C953" s="2">
        <f>IFERROR(__xludf.DUMMYFUNCTION("""COMPUTED_VALUE"""),625.0)</f>
        <v>625</v>
      </c>
      <c r="D953" s="2">
        <f>IFERROR(__xludf.DUMMYFUNCTION("""COMPUTED_VALUE"""),620.0)</f>
        <v>620</v>
      </c>
      <c r="E953" s="2">
        <f>IFERROR(__xludf.DUMMYFUNCTION("""COMPUTED_VALUE"""),620.0)</f>
        <v>620</v>
      </c>
      <c r="F953" s="2">
        <f>IFERROR(__xludf.DUMMYFUNCTION("""COMPUTED_VALUE"""),4466600.0)</f>
        <v>4466600</v>
      </c>
      <c r="G953" s="2">
        <f t="shared" si="1"/>
        <v>5</v>
      </c>
    </row>
    <row r="954" ht="15.75" customHeight="1">
      <c r="A954" s="1">
        <f>IFERROR(__xludf.DUMMYFUNCTION("""COMPUTED_VALUE"""),45258.66666666667)</f>
        <v>45258.66667</v>
      </c>
      <c r="B954" s="2">
        <f>IFERROR(__xludf.DUMMYFUNCTION("""COMPUTED_VALUE"""),620.0)</f>
        <v>620</v>
      </c>
      <c r="C954" s="2">
        <f>IFERROR(__xludf.DUMMYFUNCTION("""COMPUTED_VALUE"""),625.0)</f>
        <v>625</v>
      </c>
      <c r="D954" s="2">
        <f>IFERROR(__xludf.DUMMYFUNCTION("""COMPUTED_VALUE"""),620.0)</f>
        <v>620</v>
      </c>
      <c r="E954" s="2">
        <f>IFERROR(__xludf.DUMMYFUNCTION("""COMPUTED_VALUE"""),625.0)</f>
        <v>625</v>
      </c>
      <c r="F954" s="2">
        <f>IFERROR(__xludf.DUMMYFUNCTION("""COMPUTED_VALUE"""),2598400.0)</f>
        <v>2598400</v>
      </c>
      <c r="G954" s="2">
        <f t="shared" si="1"/>
        <v>5</v>
      </c>
    </row>
    <row r="955" ht="15.75" customHeight="1">
      <c r="A955" s="1">
        <f>IFERROR(__xludf.DUMMYFUNCTION("""COMPUTED_VALUE"""),45259.66666666667)</f>
        <v>45259.66667</v>
      </c>
      <c r="B955" s="2">
        <f>IFERROR(__xludf.DUMMYFUNCTION("""COMPUTED_VALUE"""),625.0)</f>
        <v>625</v>
      </c>
      <c r="C955" s="2">
        <f>IFERROR(__xludf.DUMMYFUNCTION("""COMPUTED_VALUE"""),630.0)</f>
        <v>630</v>
      </c>
      <c r="D955" s="2">
        <f>IFERROR(__xludf.DUMMYFUNCTION("""COMPUTED_VALUE"""),620.0)</f>
        <v>620</v>
      </c>
      <c r="E955" s="2">
        <f>IFERROR(__xludf.DUMMYFUNCTION("""COMPUTED_VALUE"""),630.0)</f>
        <v>630</v>
      </c>
      <c r="F955" s="2">
        <f>IFERROR(__xludf.DUMMYFUNCTION("""COMPUTED_VALUE"""),2226000.0)</f>
        <v>2226000</v>
      </c>
      <c r="G955" s="2">
        <f t="shared" si="1"/>
        <v>10</v>
      </c>
    </row>
    <row r="956" ht="15.75" customHeight="1">
      <c r="A956" s="1">
        <f>IFERROR(__xludf.DUMMYFUNCTION("""COMPUTED_VALUE"""),45260.66666666667)</f>
        <v>45260.66667</v>
      </c>
      <c r="B956" s="2">
        <f>IFERROR(__xludf.DUMMYFUNCTION("""COMPUTED_VALUE"""),630.0)</f>
        <v>630</v>
      </c>
      <c r="C956" s="2">
        <f>IFERROR(__xludf.DUMMYFUNCTION("""COMPUTED_VALUE"""),630.0)</f>
        <v>630</v>
      </c>
      <c r="D956" s="2">
        <f>IFERROR(__xludf.DUMMYFUNCTION("""COMPUTED_VALUE"""),620.0)</f>
        <v>620</v>
      </c>
      <c r="E956" s="2">
        <f>IFERROR(__xludf.DUMMYFUNCTION("""COMPUTED_VALUE"""),620.0)</f>
        <v>620</v>
      </c>
      <c r="F956" s="2">
        <f>IFERROR(__xludf.DUMMYFUNCTION("""COMPUTED_VALUE"""),6896700.0)</f>
        <v>6896700</v>
      </c>
      <c r="G956" s="2">
        <f t="shared" si="1"/>
        <v>10</v>
      </c>
    </row>
    <row r="957" ht="15.75" customHeight="1">
      <c r="A957" s="1">
        <f>IFERROR(__xludf.DUMMYFUNCTION("""COMPUTED_VALUE"""),45261.66666666667)</f>
        <v>45261.66667</v>
      </c>
      <c r="B957" s="2">
        <f>IFERROR(__xludf.DUMMYFUNCTION("""COMPUTED_VALUE"""),625.0)</f>
        <v>625</v>
      </c>
      <c r="C957" s="2">
        <f>IFERROR(__xludf.DUMMYFUNCTION("""COMPUTED_VALUE"""),625.0)</f>
        <v>625</v>
      </c>
      <c r="D957" s="2">
        <f>IFERROR(__xludf.DUMMYFUNCTION("""COMPUTED_VALUE"""),620.0)</f>
        <v>620</v>
      </c>
      <c r="E957" s="2">
        <f>IFERROR(__xludf.DUMMYFUNCTION("""COMPUTED_VALUE"""),625.0)</f>
        <v>625</v>
      </c>
      <c r="F957" s="2">
        <f>IFERROR(__xludf.DUMMYFUNCTION("""COMPUTED_VALUE"""),2229200.0)</f>
        <v>2229200</v>
      </c>
      <c r="G957" s="2">
        <f t="shared" si="1"/>
        <v>5</v>
      </c>
    </row>
    <row r="958" ht="15.75" customHeight="1">
      <c r="A958" s="1">
        <f>IFERROR(__xludf.DUMMYFUNCTION("""COMPUTED_VALUE"""),45264.66666666667)</f>
        <v>45264.66667</v>
      </c>
      <c r="B958" s="2">
        <f>IFERROR(__xludf.DUMMYFUNCTION("""COMPUTED_VALUE"""),625.0)</f>
        <v>625</v>
      </c>
      <c r="C958" s="2">
        <f>IFERROR(__xludf.DUMMYFUNCTION("""COMPUTED_VALUE"""),625.0)</f>
        <v>625</v>
      </c>
      <c r="D958" s="2">
        <f>IFERROR(__xludf.DUMMYFUNCTION("""COMPUTED_VALUE"""),620.0)</f>
        <v>620</v>
      </c>
      <c r="E958" s="2">
        <f>IFERROR(__xludf.DUMMYFUNCTION("""COMPUTED_VALUE"""),625.0)</f>
        <v>625</v>
      </c>
      <c r="F958" s="2">
        <f>IFERROR(__xludf.DUMMYFUNCTION("""COMPUTED_VALUE"""),4355700.0)</f>
        <v>4355700</v>
      </c>
      <c r="G958" s="2">
        <f t="shared" si="1"/>
        <v>5</v>
      </c>
    </row>
    <row r="959" ht="15.75" customHeight="1">
      <c r="A959" s="1">
        <f>IFERROR(__xludf.DUMMYFUNCTION("""COMPUTED_VALUE"""),45265.66666666667)</f>
        <v>45265.66667</v>
      </c>
      <c r="B959" s="2">
        <f>IFERROR(__xludf.DUMMYFUNCTION("""COMPUTED_VALUE"""),625.0)</f>
        <v>625</v>
      </c>
      <c r="C959" s="2">
        <f>IFERROR(__xludf.DUMMYFUNCTION("""COMPUTED_VALUE"""),625.0)</f>
        <v>625</v>
      </c>
      <c r="D959" s="2">
        <f>IFERROR(__xludf.DUMMYFUNCTION("""COMPUTED_VALUE"""),615.0)</f>
        <v>615</v>
      </c>
      <c r="E959" s="2">
        <f>IFERROR(__xludf.DUMMYFUNCTION("""COMPUTED_VALUE"""),620.0)</f>
        <v>620</v>
      </c>
      <c r="F959" s="2">
        <f>IFERROR(__xludf.DUMMYFUNCTION("""COMPUTED_VALUE"""),6565900.0)</f>
        <v>6565900</v>
      </c>
      <c r="G959" s="2">
        <f t="shared" si="1"/>
        <v>10</v>
      </c>
    </row>
    <row r="960" ht="15.75" customHeight="1">
      <c r="A960" s="1">
        <f>IFERROR(__xludf.DUMMYFUNCTION("""COMPUTED_VALUE"""),45266.66666666667)</f>
        <v>45266.66667</v>
      </c>
      <c r="B960" s="2">
        <f>IFERROR(__xludf.DUMMYFUNCTION("""COMPUTED_VALUE"""),625.0)</f>
        <v>625</v>
      </c>
      <c r="C960" s="2">
        <f>IFERROR(__xludf.DUMMYFUNCTION("""COMPUTED_VALUE"""),625.0)</f>
        <v>625</v>
      </c>
      <c r="D960" s="2">
        <f>IFERROR(__xludf.DUMMYFUNCTION("""COMPUTED_VALUE"""),615.0)</f>
        <v>615</v>
      </c>
      <c r="E960" s="2">
        <f>IFERROR(__xludf.DUMMYFUNCTION("""COMPUTED_VALUE"""),615.0)</f>
        <v>615</v>
      </c>
      <c r="F960" s="2">
        <f>IFERROR(__xludf.DUMMYFUNCTION("""COMPUTED_VALUE"""),4300900.0)</f>
        <v>4300900</v>
      </c>
      <c r="G960" s="2">
        <f t="shared" si="1"/>
        <v>10</v>
      </c>
    </row>
    <row r="961" ht="15.75" customHeight="1">
      <c r="A961" s="1">
        <f>IFERROR(__xludf.DUMMYFUNCTION("""COMPUTED_VALUE"""),45267.66666666667)</f>
        <v>45267.66667</v>
      </c>
      <c r="B961" s="2">
        <f>IFERROR(__xludf.DUMMYFUNCTION("""COMPUTED_VALUE"""),615.0)</f>
        <v>615</v>
      </c>
      <c r="C961" s="2">
        <f>IFERROR(__xludf.DUMMYFUNCTION("""COMPUTED_VALUE"""),620.0)</f>
        <v>620</v>
      </c>
      <c r="D961" s="2">
        <f>IFERROR(__xludf.DUMMYFUNCTION("""COMPUTED_VALUE"""),615.0)</f>
        <v>615</v>
      </c>
      <c r="E961" s="2">
        <f>IFERROR(__xludf.DUMMYFUNCTION("""COMPUTED_VALUE"""),615.0)</f>
        <v>615</v>
      </c>
      <c r="F961" s="2">
        <f>IFERROR(__xludf.DUMMYFUNCTION("""COMPUTED_VALUE"""),4627900.0)</f>
        <v>4627900</v>
      </c>
      <c r="G961" s="2">
        <f t="shared" si="1"/>
        <v>5</v>
      </c>
    </row>
    <row r="962" ht="15.75" customHeight="1">
      <c r="A962" s="1">
        <f>IFERROR(__xludf.DUMMYFUNCTION("""COMPUTED_VALUE"""),45268.66666666667)</f>
        <v>45268.66667</v>
      </c>
      <c r="B962" s="2">
        <f>IFERROR(__xludf.DUMMYFUNCTION("""COMPUTED_VALUE"""),615.0)</f>
        <v>615</v>
      </c>
      <c r="C962" s="2">
        <f>IFERROR(__xludf.DUMMYFUNCTION("""COMPUTED_VALUE"""),620.0)</f>
        <v>620</v>
      </c>
      <c r="D962" s="2">
        <f>IFERROR(__xludf.DUMMYFUNCTION("""COMPUTED_VALUE"""),615.0)</f>
        <v>615</v>
      </c>
      <c r="E962" s="2">
        <f>IFERROR(__xludf.DUMMYFUNCTION("""COMPUTED_VALUE"""),615.0)</f>
        <v>615</v>
      </c>
      <c r="F962" s="2">
        <f>IFERROR(__xludf.DUMMYFUNCTION("""COMPUTED_VALUE"""),3805500.0)</f>
        <v>3805500</v>
      </c>
      <c r="G962" s="2">
        <f t="shared" si="1"/>
        <v>5</v>
      </c>
    </row>
    <row r="963" ht="15.75" customHeight="1">
      <c r="A963" s="1">
        <f>IFERROR(__xludf.DUMMYFUNCTION("""COMPUTED_VALUE"""),45271.66666666667)</f>
        <v>45271.66667</v>
      </c>
      <c r="B963" s="2">
        <f>IFERROR(__xludf.DUMMYFUNCTION("""COMPUTED_VALUE"""),615.0)</f>
        <v>615</v>
      </c>
      <c r="C963" s="2">
        <f>IFERROR(__xludf.DUMMYFUNCTION("""COMPUTED_VALUE"""),620.0)</f>
        <v>620</v>
      </c>
      <c r="D963" s="2">
        <f>IFERROR(__xludf.DUMMYFUNCTION("""COMPUTED_VALUE"""),600.0)</f>
        <v>600</v>
      </c>
      <c r="E963" s="2">
        <f>IFERROR(__xludf.DUMMYFUNCTION("""COMPUTED_VALUE"""),605.0)</f>
        <v>605</v>
      </c>
      <c r="F963" s="2">
        <f>IFERROR(__xludf.DUMMYFUNCTION("""COMPUTED_VALUE"""),2.24325E7)</f>
        <v>22432500</v>
      </c>
      <c r="G963" s="2">
        <f t="shared" si="1"/>
        <v>20</v>
      </c>
    </row>
    <row r="964" ht="15.75" customHeight="1">
      <c r="A964" s="1">
        <f>IFERROR(__xludf.DUMMYFUNCTION("""COMPUTED_VALUE"""),45272.66666666667)</f>
        <v>45272.66667</v>
      </c>
      <c r="B964" s="2">
        <f>IFERROR(__xludf.DUMMYFUNCTION("""COMPUTED_VALUE"""),610.0)</f>
        <v>610</v>
      </c>
      <c r="C964" s="2">
        <f>IFERROR(__xludf.DUMMYFUNCTION("""COMPUTED_VALUE"""),610.0)</f>
        <v>610</v>
      </c>
      <c r="D964" s="2">
        <f>IFERROR(__xludf.DUMMYFUNCTION("""COMPUTED_VALUE"""),605.0)</f>
        <v>605</v>
      </c>
      <c r="E964" s="2">
        <f>IFERROR(__xludf.DUMMYFUNCTION("""COMPUTED_VALUE"""),610.0)</f>
        <v>610</v>
      </c>
      <c r="F964" s="2">
        <f>IFERROR(__xludf.DUMMYFUNCTION("""COMPUTED_VALUE"""),1641900.0)</f>
        <v>1641900</v>
      </c>
      <c r="G964" s="2">
        <f t="shared" si="1"/>
        <v>5</v>
      </c>
    </row>
    <row r="965" ht="15.75" customHeight="1">
      <c r="A965" s="1">
        <f>IFERROR(__xludf.DUMMYFUNCTION("""COMPUTED_VALUE"""),45273.66666666667)</f>
        <v>45273.66667</v>
      </c>
      <c r="B965" s="2">
        <f>IFERROR(__xludf.DUMMYFUNCTION("""COMPUTED_VALUE"""),610.0)</f>
        <v>610</v>
      </c>
      <c r="C965" s="2">
        <f>IFERROR(__xludf.DUMMYFUNCTION("""COMPUTED_VALUE"""),615.0)</f>
        <v>615</v>
      </c>
      <c r="D965" s="2">
        <f>IFERROR(__xludf.DUMMYFUNCTION("""COMPUTED_VALUE"""),605.0)</f>
        <v>605</v>
      </c>
      <c r="E965" s="2">
        <f>IFERROR(__xludf.DUMMYFUNCTION("""COMPUTED_VALUE"""),605.0)</f>
        <v>605</v>
      </c>
      <c r="F965" s="2">
        <f>IFERROR(__xludf.DUMMYFUNCTION("""COMPUTED_VALUE"""),5294600.0)</f>
        <v>5294600</v>
      </c>
      <c r="G965" s="2">
        <f t="shared" si="1"/>
        <v>10</v>
      </c>
    </row>
    <row r="966" ht="15.75" customHeight="1">
      <c r="A966" s="1">
        <f>IFERROR(__xludf.DUMMYFUNCTION("""COMPUTED_VALUE"""),45274.66666666667)</f>
        <v>45274.66667</v>
      </c>
      <c r="B966" s="2">
        <f>IFERROR(__xludf.DUMMYFUNCTION("""COMPUTED_VALUE"""),605.0)</f>
        <v>605</v>
      </c>
      <c r="C966" s="2">
        <f>IFERROR(__xludf.DUMMYFUNCTION("""COMPUTED_VALUE"""),615.0)</f>
        <v>615</v>
      </c>
      <c r="D966" s="2">
        <f>IFERROR(__xludf.DUMMYFUNCTION("""COMPUTED_VALUE"""),605.0)</f>
        <v>605</v>
      </c>
      <c r="E966" s="2">
        <f>IFERROR(__xludf.DUMMYFUNCTION("""COMPUTED_VALUE"""),610.0)</f>
        <v>610</v>
      </c>
      <c r="F966" s="2">
        <f>IFERROR(__xludf.DUMMYFUNCTION("""COMPUTED_VALUE"""),4248200.0)</f>
        <v>4248200</v>
      </c>
      <c r="G966" s="2">
        <f t="shared" si="1"/>
        <v>10</v>
      </c>
    </row>
    <row r="967" ht="15.75" customHeight="1">
      <c r="A967" s="1">
        <f>IFERROR(__xludf.DUMMYFUNCTION("""COMPUTED_VALUE"""),45275.66666666667)</f>
        <v>45275.66667</v>
      </c>
      <c r="B967" s="2">
        <f>IFERROR(__xludf.DUMMYFUNCTION("""COMPUTED_VALUE"""),610.0)</f>
        <v>610</v>
      </c>
      <c r="C967" s="2">
        <f>IFERROR(__xludf.DUMMYFUNCTION("""COMPUTED_VALUE"""),615.0)</f>
        <v>615</v>
      </c>
      <c r="D967" s="2">
        <f>IFERROR(__xludf.DUMMYFUNCTION("""COMPUTED_VALUE"""),605.0)</f>
        <v>605</v>
      </c>
      <c r="E967" s="2">
        <f>IFERROR(__xludf.DUMMYFUNCTION("""COMPUTED_VALUE"""),605.0)</f>
        <v>605</v>
      </c>
      <c r="F967" s="2">
        <f>IFERROR(__xludf.DUMMYFUNCTION("""COMPUTED_VALUE"""),3974300.0)</f>
        <v>3974300</v>
      </c>
      <c r="G967" s="2">
        <f t="shared" si="1"/>
        <v>10</v>
      </c>
    </row>
    <row r="968" ht="15.75" customHeight="1">
      <c r="A968" s="1">
        <f>IFERROR(__xludf.DUMMYFUNCTION("""COMPUTED_VALUE"""),45278.66666666667)</f>
        <v>45278.66667</v>
      </c>
      <c r="B968" s="2">
        <f>IFERROR(__xludf.DUMMYFUNCTION("""COMPUTED_VALUE"""),610.0)</f>
        <v>610</v>
      </c>
      <c r="C968" s="2">
        <f>IFERROR(__xludf.DUMMYFUNCTION("""COMPUTED_VALUE"""),615.0)</f>
        <v>615</v>
      </c>
      <c r="D968" s="2">
        <f>IFERROR(__xludf.DUMMYFUNCTION("""COMPUTED_VALUE"""),605.0)</f>
        <v>605</v>
      </c>
      <c r="E968" s="2">
        <f>IFERROR(__xludf.DUMMYFUNCTION("""COMPUTED_VALUE"""),610.0)</f>
        <v>610</v>
      </c>
      <c r="F968" s="2">
        <f>IFERROR(__xludf.DUMMYFUNCTION("""COMPUTED_VALUE"""),2519400.0)</f>
        <v>2519400</v>
      </c>
      <c r="G968" s="2">
        <f t="shared" si="1"/>
        <v>10</v>
      </c>
    </row>
    <row r="969" ht="15.75" customHeight="1">
      <c r="A969" s="1">
        <f>IFERROR(__xludf.DUMMYFUNCTION("""COMPUTED_VALUE"""),45279.66666666667)</f>
        <v>45279.66667</v>
      </c>
      <c r="B969" s="2">
        <f>IFERROR(__xludf.DUMMYFUNCTION("""COMPUTED_VALUE"""),610.0)</f>
        <v>610</v>
      </c>
      <c r="C969" s="2">
        <f>IFERROR(__xludf.DUMMYFUNCTION("""COMPUTED_VALUE"""),615.0)</f>
        <v>615</v>
      </c>
      <c r="D969" s="2">
        <f>IFERROR(__xludf.DUMMYFUNCTION("""COMPUTED_VALUE"""),605.0)</f>
        <v>605</v>
      </c>
      <c r="E969" s="2">
        <f>IFERROR(__xludf.DUMMYFUNCTION("""COMPUTED_VALUE"""),610.0)</f>
        <v>610</v>
      </c>
      <c r="F969" s="2">
        <f>IFERROR(__xludf.DUMMYFUNCTION("""COMPUTED_VALUE"""),4654600.0)</f>
        <v>4654600</v>
      </c>
      <c r="G969" s="2">
        <f t="shared" si="1"/>
        <v>10</v>
      </c>
    </row>
    <row r="970" ht="15.75" customHeight="1">
      <c r="A970" s="1">
        <f>IFERROR(__xludf.DUMMYFUNCTION("""COMPUTED_VALUE"""),45280.66666666667)</f>
        <v>45280.66667</v>
      </c>
      <c r="B970" s="2">
        <f>IFERROR(__xludf.DUMMYFUNCTION("""COMPUTED_VALUE"""),610.0)</f>
        <v>610</v>
      </c>
      <c r="C970" s="2">
        <f>IFERROR(__xludf.DUMMYFUNCTION("""COMPUTED_VALUE"""),615.0)</f>
        <v>615</v>
      </c>
      <c r="D970" s="2">
        <f>IFERROR(__xludf.DUMMYFUNCTION("""COMPUTED_VALUE"""),605.0)</f>
        <v>605</v>
      </c>
      <c r="E970" s="2">
        <f>IFERROR(__xludf.DUMMYFUNCTION("""COMPUTED_VALUE"""),610.0)</f>
        <v>610</v>
      </c>
      <c r="F970" s="2">
        <f>IFERROR(__xludf.DUMMYFUNCTION("""COMPUTED_VALUE"""),2384000.0)</f>
        <v>2384000</v>
      </c>
      <c r="G970" s="2">
        <f t="shared" si="1"/>
        <v>10</v>
      </c>
    </row>
    <row r="971" ht="15.75" customHeight="1">
      <c r="A971" s="1">
        <f>IFERROR(__xludf.DUMMYFUNCTION("""COMPUTED_VALUE"""),45281.66666666667)</f>
        <v>45281.66667</v>
      </c>
      <c r="B971" s="2">
        <f>IFERROR(__xludf.DUMMYFUNCTION("""COMPUTED_VALUE"""),605.0)</f>
        <v>605</v>
      </c>
      <c r="C971" s="2">
        <f>IFERROR(__xludf.DUMMYFUNCTION("""COMPUTED_VALUE"""),615.0)</f>
        <v>615</v>
      </c>
      <c r="D971" s="2">
        <f>IFERROR(__xludf.DUMMYFUNCTION("""COMPUTED_VALUE"""),605.0)</f>
        <v>605</v>
      </c>
      <c r="E971" s="2">
        <f>IFERROR(__xludf.DUMMYFUNCTION("""COMPUTED_VALUE"""),610.0)</f>
        <v>610</v>
      </c>
      <c r="F971" s="2">
        <f>IFERROR(__xludf.DUMMYFUNCTION("""COMPUTED_VALUE"""),3008100.0)</f>
        <v>3008100</v>
      </c>
      <c r="G971" s="2">
        <f t="shared" si="1"/>
        <v>10</v>
      </c>
    </row>
    <row r="972" ht="15.75" customHeight="1">
      <c r="A972" s="1">
        <f>IFERROR(__xludf.DUMMYFUNCTION("""COMPUTED_VALUE"""),45282.66666666667)</f>
        <v>45282.66667</v>
      </c>
      <c r="B972" s="2">
        <f>IFERROR(__xludf.DUMMYFUNCTION("""COMPUTED_VALUE"""),615.0)</f>
        <v>615</v>
      </c>
      <c r="C972" s="2">
        <f>IFERROR(__xludf.DUMMYFUNCTION("""COMPUTED_VALUE"""),620.0)</f>
        <v>620</v>
      </c>
      <c r="D972" s="2">
        <f>IFERROR(__xludf.DUMMYFUNCTION("""COMPUTED_VALUE"""),610.0)</f>
        <v>610</v>
      </c>
      <c r="E972" s="2">
        <f>IFERROR(__xludf.DUMMYFUNCTION("""COMPUTED_VALUE"""),615.0)</f>
        <v>615</v>
      </c>
      <c r="F972" s="2">
        <f>IFERROR(__xludf.DUMMYFUNCTION("""COMPUTED_VALUE"""),3615300.0)</f>
        <v>3615300</v>
      </c>
      <c r="G972" s="2">
        <f t="shared" si="1"/>
        <v>10</v>
      </c>
    </row>
    <row r="973" ht="15.75" customHeight="1">
      <c r="A973" s="1">
        <f>IFERROR(__xludf.DUMMYFUNCTION("""COMPUTED_VALUE"""),45287.66666666667)</f>
        <v>45287.66667</v>
      </c>
      <c r="B973" s="2">
        <f>IFERROR(__xludf.DUMMYFUNCTION("""COMPUTED_VALUE"""),615.0)</f>
        <v>615</v>
      </c>
      <c r="C973" s="2">
        <f>IFERROR(__xludf.DUMMYFUNCTION("""COMPUTED_VALUE"""),620.0)</f>
        <v>620</v>
      </c>
      <c r="D973" s="2">
        <f>IFERROR(__xludf.DUMMYFUNCTION("""COMPUTED_VALUE"""),610.0)</f>
        <v>610</v>
      </c>
      <c r="E973" s="2">
        <f>IFERROR(__xludf.DUMMYFUNCTION("""COMPUTED_VALUE"""),620.0)</f>
        <v>620</v>
      </c>
      <c r="F973" s="2">
        <f>IFERROR(__xludf.DUMMYFUNCTION("""COMPUTED_VALUE"""),2561100.0)</f>
        <v>2561100</v>
      </c>
      <c r="G973" s="2">
        <f t="shared" si="1"/>
        <v>10</v>
      </c>
    </row>
    <row r="974" ht="15.75" customHeight="1">
      <c r="A974" s="1">
        <f>IFERROR(__xludf.DUMMYFUNCTION("""COMPUTED_VALUE"""),45288.66666666667)</f>
        <v>45288.66667</v>
      </c>
      <c r="B974" s="2">
        <f>IFERROR(__xludf.DUMMYFUNCTION("""COMPUTED_VALUE"""),620.0)</f>
        <v>620</v>
      </c>
      <c r="C974" s="2">
        <f>IFERROR(__xludf.DUMMYFUNCTION("""COMPUTED_VALUE"""),625.0)</f>
        <v>625</v>
      </c>
      <c r="D974" s="2">
        <f>IFERROR(__xludf.DUMMYFUNCTION("""COMPUTED_VALUE"""),615.0)</f>
        <v>615</v>
      </c>
      <c r="E974" s="2">
        <f>IFERROR(__xludf.DUMMYFUNCTION("""COMPUTED_VALUE"""),620.0)</f>
        <v>620</v>
      </c>
      <c r="F974" s="2">
        <f>IFERROR(__xludf.DUMMYFUNCTION("""COMPUTED_VALUE"""),5572100.0)</f>
        <v>5572100</v>
      </c>
      <c r="G974" s="2">
        <f t="shared" si="1"/>
        <v>10</v>
      </c>
    </row>
    <row r="975" ht="15.75" customHeight="1">
      <c r="A975" s="1">
        <f>IFERROR(__xludf.DUMMYFUNCTION("""COMPUTED_VALUE"""),45289.66666666667)</f>
        <v>45289.66667</v>
      </c>
      <c r="B975" s="2">
        <f>IFERROR(__xludf.DUMMYFUNCTION("""COMPUTED_VALUE"""),620.0)</f>
        <v>620</v>
      </c>
      <c r="C975" s="2">
        <f>IFERROR(__xludf.DUMMYFUNCTION("""COMPUTED_VALUE"""),625.0)</f>
        <v>625</v>
      </c>
      <c r="D975" s="2">
        <f>IFERROR(__xludf.DUMMYFUNCTION("""COMPUTED_VALUE"""),620.0)</f>
        <v>620</v>
      </c>
      <c r="E975" s="2">
        <f>IFERROR(__xludf.DUMMYFUNCTION("""COMPUTED_VALUE"""),625.0)</f>
        <v>625</v>
      </c>
      <c r="F975" s="2">
        <f>IFERROR(__xludf.DUMMYFUNCTION("""COMPUTED_VALUE"""),4583500.0)</f>
        <v>4583500</v>
      </c>
      <c r="G975" s="2">
        <f t="shared" si="1"/>
        <v>5</v>
      </c>
    </row>
    <row r="976" ht="15.75" customHeight="1">
      <c r="A976" s="1">
        <f>IFERROR(__xludf.DUMMYFUNCTION("""COMPUTED_VALUE"""),45293.66666666667)</f>
        <v>45293.66667</v>
      </c>
      <c r="B976" s="2">
        <f>IFERROR(__xludf.DUMMYFUNCTION("""COMPUTED_VALUE"""),625.0)</f>
        <v>625</v>
      </c>
      <c r="C976" s="2">
        <f>IFERROR(__xludf.DUMMYFUNCTION("""COMPUTED_VALUE"""),630.0)</f>
        <v>630</v>
      </c>
      <c r="D976" s="2">
        <f>IFERROR(__xludf.DUMMYFUNCTION("""COMPUTED_VALUE"""),620.0)</f>
        <v>620</v>
      </c>
      <c r="E976" s="2">
        <f>IFERROR(__xludf.DUMMYFUNCTION("""COMPUTED_VALUE"""),625.0)</f>
        <v>625</v>
      </c>
      <c r="F976" s="2">
        <f>IFERROR(__xludf.DUMMYFUNCTION("""COMPUTED_VALUE"""),4400600.0)</f>
        <v>4400600</v>
      </c>
      <c r="G976" s="2">
        <f t="shared" si="1"/>
        <v>10</v>
      </c>
    </row>
    <row r="977" ht="15.75" customHeight="1">
      <c r="A977" s="1">
        <f>IFERROR(__xludf.DUMMYFUNCTION("""COMPUTED_VALUE"""),45294.66666666667)</f>
        <v>45294.66667</v>
      </c>
      <c r="B977" s="2">
        <f>IFERROR(__xludf.DUMMYFUNCTION("""COMPUTED_VALUE"""),630.0)</f>
        <v>630</v>
      </c>
      <c r="C977" s="2">
        <f>IFERROR(__xludf.DUMMYFUNCTION("""COMPUTED_VALUE"""),645.0)</f>
        <v>645</v>
      </c>
      <c r="D977" s="2">
        <f>IFERROR(__xludf.DUMMYFUNCTION("""COMPUTED_VALUE"""),620.0)</f>
        <v>620</v>
      </c>
      <c r="E977" s="2">
        <f>IFERROR(__xludf.DUMMYFUNCTION("""COMPUTED_VALUE"""),645.0)</f>
        <v>645</v>
      </c>
      <c r="F977" s="2">
        <f>IFERROR(__xludf.DUMMYFUNCTION("""COMPUTED_VALUE"""),1.1241E7)</f>
        <v>11241000</v>
      </c>
      <c r="G977" s="2">
        <f t="shared" si="1"/>
        <v>25</v>
      </c>
    </row>
    <row r="978" ht="15.75" customHeight="1">
      <c r="A978" s="1">
        <f>IFERROR(__xludf.DUMMYFUNCTION("""COMPUTED_VALUE"""),45295.66666666667)</f>
        <v>45295.66667</v>
      </c>
      <c r="B978" s="2">
        <f>IFERROR(__xludf.DUMMYFUNCTION("""COMPUTED_VALUE"""),645.0)</f>
        <v>645</v>
      </c>
      <c r="C978" s="2">
        <f>IFERROR(__xludf.DUMMYFUNCTION("""COMPUTED_VALUE"""),650.0)</f>
        <v>650</v>
      </c>
      <c r="D978" s="2">
        <f>IFERROR(__xludf.DUMMYFUNCTION("""COMPUTED_VALUE"""),640.0)</f>
        <v>640</v>
      </c>
      <c r="E978" s="2">
        <f>IFERROR(__xludf.DUMMYFUNCTION("""COMPUTED_VALUE"""),650.0)</f>
        <v>650</v>
      </c>
      <c r="F978" s="2">
        <f>IFERROR(__xludf.DUMMYFUNCTION("""COMPUTED_VALUE"""),1.06563E7)</f>
        <v>10656300</v>
      </c>
      <c r="G978" s="2">
        <f t="shared" si="1"/>
        <v>10</v>
      </c>
    </row>
    <row r="979" ht="15.75" customHeight="1">
      <c r="A979" s="1">
        <f>IFERROR(__xludf.DUMMYFUNCTION("""COMPUTED_VALUE"""),45296.66666666667)</f>
        <v>45296.66667</v>
      </c>
      <c r="B979" s="2">
        <f>IFERROR(__xludf.DUMMYFUNCTION("""COMPUTED_VALUE"""),650.0)</f>
        <v>650</v>
      </c>
      <c r="C979" s="2">
        <f>IFERROR(__xludf.DUMMYFUNCTION("""COMPUTED_VALUE"""),650.0)</f>
        <v>650</v>
      </c>
      <c r="D979" s="2">
        <f>IFERROR(__xludf.DUMMYFUNCTION("""COMPUTED_VALUE"""),645.0)</f>
        <v>645</v>
      </c>
      <c r="E979" s="2">
        <f>IFERROR(__xludf.DUMMYFUNCTION("""COMPUTED_VALUE"""),650.0)</f>
        <v>650</v>
      </c>
      <c r="F979" s="2">
        <f>IFERROR(__xludf.DUMMYFUNCTION("""COMPUTED_VALUE"""),4318300.0)</f>
        <v>4318300</v>
      </c>
      <c r="G979" s="2">
        <f t="shared" si="1"/>
        <v>5</v>
      </c>
    </row>
    <row r="980" ht="15.75" customHeight="1">
      <c r="A980" s="1">
        <f>IFERROR(__xludf.DUMMYFUNCTION("""COMPUTED_VALUE"""),45299.66666666667)</f>
        <v>45299.66667</v>
      </c>
      <c r="B980" s="2">
        <f>IFERROR(__xludf.DUMMYFUNCTION("""COMPUTED_VALUE"""),650.0)</f>
        <v>650</v>
      </c>
      <c r="C980" s="2">
        <f>IFERROR(__xludf.DUMMYFUNCTION("""COMPUTED_VALUE"""),650.0)</f>
        <v>650</v>
      </c>
      <c r="D980" s="2">
        <f>IFERROR(__xludf.DUMMYFUNCTION("""COMPUTED_VALUE"""),640.0)</f>
        <v>640</v>
      </c>
      <c r="E980" s="2">
        <f>IFERROR(__xludf.DUMMYFUNCTION("""COMPUTED_VALUE"""),645.0)</f>
        <v>645</v>
      </c>
      <c r="F980" s="2">
        <f>IFERROR(__xludf.DUMMYFUNCTION("""COMPUTED_VALUE"""),6282400.0)</f>
        <v>6282400</v>
      </c>
      <c r="G980" s="2">
        <f t="shared" si="1"/>
        <v>10</v>
      </c>
    </row>
    <row r="981" ht="15.75" customHeight="1">
      <c r="A981" s="1">
        <f>IFERROR(__xludf.DUMMYFUNCTION("""COMPUTED_VALUE"""),45300.66666666667)</f>
        <v>45300.66667</v>
      </c>
      <c r="B981" s="2">
        <f>IFERROR(__xludf.DUMMYFUNCTION("""COMPUTED_VALUE"""),645.0)</f>
        <v>645</v>
      </c>
      <c r="C981" s="2">
        <f>IFERROR(__xludf.DUMMYFUNCTION("""COMPUTED_VALUE"""),650.0)</f>
        <v>650</v>
      </c>
      <c r="D981" s="2">
        <f>IFERROR(__xludf.DUMMYFUNCTION("""COMPUTED_VALUE"""),645.0)</f>
        <v>645</v>
      </c>
      <c r="E981" s="2">
        <f>IFERROR(__xludf.DUMMYFUNCTION("""COMPUTED_VALUE"""),650.0)</f>
        <v>650</v>
      </c>
      <c r="F981" s="2">
        <f>IFERROR(__xludf.DUMMYFUNCTION("""COMPUTED_VALUE"""),4970800.0)</f>
        <v>4970800</v>
      </c>
      <c r="G981" s="2">
        <f t="shared" si="1"/>
        <v>5</v>
      </c>
    </row>
    <row r="982" ht="15.75" customHeight="1">
      <c r="A982" s="1">
        <f>IFERROR(__xludf.DUMMYFUNCTION("""COMPUTED_VALUE"""),45301.66666666667)</f>
        <v>45301.66667</v>
      </c>
      <c r="B982" s="2">
        <f>IFERROR(__xludf.DUMMYFUNCTION("""COMPUTED_VALUE"""),650.0)</f>
        <v>650</v>
      </c>
      <c r="C982" s="2">
        <f>IFERROR(__xludf.DUMMYFUNCTION("""COMPUTED_VALUE"""),660.0)</f>
        <v>660</v>
      </c>
      <c r="D982" s="2">
        <f>IFERROR(__xludf.DUMMYFUNCTION("""COMPUTED_VALUE"""),645.0)</f>
        <v>645</v>
      </c>
      <c r="E982" s="2">
        <f>IFERROR(__xludf.DUMMYFUNCTION("""COMPUTED_VALUE"""),655.0)</f>
        <v>655</v>
      </c>
      <c r="F982" s="2">
        <f>IFERROR(__xludf.DUMMYFUNCTION("""COMPUTED_VALUE"""),6304800.0)</f>
        <v>6304800</v>
      </c>
      <c r="G982" s="2">
        <f t="shared" si="1"/>
        <v>15</v>
      </c>
    </row>
    <row r="983" ht="15.75" customHeight="1">
      <c r="A983" s="1">
        <f>IFERROR(__xludf.DUMMYFUNCTION("""COMPUTED_VALUE"""),45302.66666666667)</f>
        <v>45302.66667</v>
      </c>
      <c r="B983" s="2">
        <f>IFERROR(__xludf.DUMMYFUNCTION("""COMPUTED_VALUE"""),655.0)</f>
        <v>655</v>
      </c>
      <c r="C983" s="2">
        <f>IFERROR(__xludf.DUMMYFUNCTION("""COMPUTED_VALUE"""),665.0)</f>
        <v>665</v>
      </c>
      <c r="D983" s="2">
        <f>IFERROR(__xludf.DUMMYFUNCTION("""COMPUTED_VALUE"""),650.0)</f>
        <v>650</v>
      </c>
      <c r="E983" s="2">
        <f>IFERROR(__xludf.DUMMYFUNCTION("""COMPUTED_VALUE"""),660.0)</f>
        <v>660</v>
      </c>
      <c r="F983" s="2">
        <f>IFERROR(__xludf.DUMMYFUNCTION("""COMPUTED_VALUE"""),7585000.0)</f>
        <v>7585000</v>
      </c>
      <c r="G983" s="2">
        <f t="shared" si="1"/>
        <v>15</v>
      </c>
    </row>
    <row r="984" ht="15.75" customHeight="1">
      <c r="A984" s="1">
        <f>IFERROR(__xludf.DUMMYFUNCTION("""COMPUTED_VALUE"""),45303.66666666667)</f>
        <v>45303.66667</v>
      </c>
      <c r="B984" s="2">
        <f>IFERROR(__xludf.DUMMYFUNCTION("""COMPUTED_VALUE"""),660.0)</f>
        <v>660</v>
      </c>
      <c r="C984" s="2">
        <f>IFERROR(__xludf.DUMMYFUNCTION("""COMPUTED_VALUE"""),665.0)</f>
        <v>665</v>
      </c>
      <c r="D984" s="2">
        <f>IFERROR(__xludf.DUMMYFUNCTION("""COMPUTED_VALUE"""),655.0)</f>
        <v>655</v>
      </c>
      <c r="E984" s="2">
        <f>IFERROR(__xludf.DUMMYFUNCTION("""COMPUTED_VALUE"""),660.0)</f>
        <v>660</v>
      </c>
      <c r="F984" s="2">
        <f>IFERROR(__xludf.DUMMYFUNCTION("""COMPUTED_VALUE"""),3780300.0)</f>
        <v>3780300</v>
      </c>
      <c r="G984" s="2">
        <f t="shared" si="1"/>
        <v>10</v>
      </c>
    </row>
    <row r="985" ht="15.75" customHeight="1">
      <c r="A985" s="1">
        <f>IFERROR(__xludf.DUMMYFUNCTION("""COMPUTED_VALUE"""),45306.66666666667)</f>
        <v>45306.66667</v>
      </c>
      <c r="B985" s="2">
        <f>IFERROR(__xludf.DUMMYFUNCTION("""COMPUTED_VALUE"""),660.0)</f>
        <v>660</v>
      </c>
      <c r="C985" s="2">
        <f>IFERROR(__xludf.DUMMYFUNCTION("""COMPUTED_VALUE"""),665.0)</f>
        <v>665</v>
      </c>
      <c r="D985" s="2">
        <f>IFERROR(__xludf.DUMMYFUNCTION("""COMPUTED_VALUE"""),650.0)</f>
        <v>650</v>
      </c>
      <c r="E985" s="2">
        <f>IFERROR(__xludf.DUMMYFUNCTION("""COMPUTED_VALUE"""),665.0)</f>
        <v>665</v>
      </c>
      <c r="F985" s="2">
        <f>IFERROR(__xludf.DUMMYFUNCTION("""COMPUTED_VALUE"""),9502700.0)</f>
        <v>9502700</v>
      </c>
      <c r="G985" s="2">
        <f t="shared" si="1"/>
        <v>15</v>
      </c>
    </row>
    <row r="986" ht="15.75" customHeight="1">
      <c r="A986" s="1">
        <f>IFERROR(__xludf.DUMMYFUNCTION("""COMPUTED_VALUE"""),45307.66666666667)</f>
        <v>45307.66667</v>
      </c>
      <c r="B986" s="2">
        <f>IFERROR(__xludf.DUMMYFUNCTION("""COMPUTED_VALUE"""),665.0)</f>
        <v>665</v>
      </c>
      <c r="C986" s="2">
        <f>IFERROR(__xludf.DUMMYFUNCTION("""COMPUTED_VALUE"""),665.0)</f>
        <v>665</v>
      </c>
      <c r="D986" s="2">
        <f>IFERROR(__xludf.DUMMYFUNCTION("""COMPUTED_VALUE"""),660.0)</f>
        <v>660</v>
      </c>
      <c r="E986" s="2">
        <f>IFERROR(__xludf.DUMMYFUNCTION("""COMPUTED_VALUE"""),660.0)</f>
        <v>660</v>
      </c>
      <c r="F986" s="2">
        <f>IFERROR(__xludf.DUMMYFUNCTION("""COMPUTED_VALUE"""),2902500.0)</f>
        <v>2902500</v>
      </c>
      <c r="G986" s="2">
        <f t="shared" si="1"/>
        <v>5</v>
      </c>
    </row>
    <row r="987" ht="15.75" customHeight="1">
      <c r="A987" s="1">
        <f>IFERROR(__xludf.DUMMYFUNCTION("""COMPUTED_VALUE"""),45308.66666666667)</f>
        <v>45308.66667</v>
      </c>
      <c r="B987" s="2">
        <f>IFERROR(__xludf.DUMMYFUNCTION("""COMPUTED_VALUE"""),660.0)</f>
        <v>660</v>
      </c>
      <c r="C987" s="2">
        <f>IFERROR(__xludf.DUMMYFUNCTION("""COMPUTED_VALUE"""),665.0)</f>
        <v>665</v>
      </c>
      <c r="D987" s="2">
        <f>IFERROR(__xludf.DUMMYFUNCTION("""COMPUTED_VALUE"""),655.0)</f>
        <v>655</v>
      </c>
      <c r="E987" s="2">
        <f>IFERROR(__xludf.DUMMYFUNCTION("""COMPUTED_VALUE"""),660.0)</f>
        <v>660</v>
      </c>
      <c r="F987" s="2">
        <f>IFERROR(__xludf.DUMMYFUNCTION("""COMPUTED_VALUE"""),6820900.0)</f>
        <v>6820900</v>
      </c>
      <c r="G987" s="2">
        <f t="shared" si="1"/>
        <v>10</v>
      </c>
    </row>
    <row r="988" ht="15.75" customHeight="1">
      <c r="A988" s="1">
        <f>IFERROR(__xludf.DUMMYFUNCTION("""COMPUTED_VALUE"""),45309.66666666667)</f>
        <v>45309.66667</v>
      </c>
      <c r="B988" s="2">
        <f>IFERROR(__xludf.DUMMYFUNCTION("""COMPUTED_VALUE"""),660.0)</f>
        <v>660</v>
      </c>
      <c r="C988" s="2">
        <f>IFERROR(__xludf.DUMMYFUNCTION("""COMPUTED_VALUE"""),660.0)</f>
        <v>660</v>
      </c>
      <c r="D988" s="2">
        <f>IFERROR(__xludf.DUMMYFUNCTION("""COMPUTED_VALUE"""),655.0)</f>
        <v>655</v>
      </c>
      <c r="E988" s="2">
        <f>IFERROR(__xludf.DUMMYFUNCTION("""COMPUTED_VALUE"""),660.0)</f>
        <v>660</v>
      </c>
      <c r="F988" s="2">
        <f>IFERROR(__xludf.DUMMYFUNCTION("""COMPUTED_VALUE"""),3966300.0)</f>
        <v>3966300</v>
      </c>
      <c r="G988" s="2">
        <f t="shared" si="1"/>
        <v>5</v>
      </c>
    </row>
    <row r="989" ht="15.75" customHeight="1">
      <c r="A989" s="1">
        <f>IFERROR(__xludf.DUMMYFUNCTION("""COMPUTED_VALUE"""),45310.66666666667)</f>
        <v>45310.66667</v>
      </c>
      <c r="B989" s="2">
        <f>IFERROR(__xludf.DUMMYFUNCTION("""COMPUTED_VALUE"""),660.0)</f>
        <v>660</v>
      </c>
      <c r="C989" s="2">
        <f>IFERROR(__xludf.DUMMYFUNCTION("""COMPUTED_VALUE"""),660.0)</f>
        <v>660</v>
      </c>
      <c r="D989" s="2">
        <f>IFERROR(__xludf.DUMMYFUNCTION("""COMPUTED_VALUE"""),655.0)</f>
        <v>655</v>
      </c>
      <c r="E989" s="2">
        <f>IFERROR(__xludf.DUMMYFUNCTION("""COMPUTED_VALUE"""),660.0)</f>
        <v>660</v>
      </c>
      <c r="F989" s="2">
        <f>IFERROR(__xludf.DUMMYFUNCTION("""COMPUTED_VALUE"""),4972200.0)</f>
        <v>4972200</v>
      </c>
      <c r="G989" s="2">
        <f t="shared" si="1"/>
        <v>5</v>
      </c>
    </row>
    <row r="990" ht="15.75" customHeight="1">
      <c r="A990" s="1">
        <f>IFERROR(__xludf.DUMMYFUNCTION("""COMPUTED_VALUE"""),45313.66666666667)</f>
        <v>45313.66667</v>
      </c>
      <c r="B990" s="2">
        <f>IFERROR(__xludf.DUMMYFUNCTION("""COMPUTED_VALUE"""),660.0)</f>
        <v>660</v>
      </c>
      <c r="C990" s="2">
        <f>IFERROR(__xludf.DUMMYFUNCTION("""COMPUTED_VALUE"""),665.0)</f>
        <v>665</v>
      </c>
      <c r="D990" s="2">
        <f>IFERROR(__xludf.DUMMYFUNCTION("""COMPUTED_VALUE"""),655.0)</f>
        <v>655</v>
      </c>
      <c r="E990" s="2">
        <f>IFERROR(__xludf.DUMMYFUNCTION("""COMPUTED_VALUE"""),655.0)</f>
        <v>655</v>
      </c>
      <c r="F990" s="2">
        <f>IFERROR(__xludf.DUMMYFUNCTION("""COMPUTED_VALUE"""),8272300.0)</f>
        <v>8272300</v>
      </c>
      <c r="G990" s="2">
        <f t="shared" si="1"/>
        <v>10</v>
      </c>
    </row>
    <row r="991" ht="15.75" customHeight="1">
      <c r="A991" s="1">
        <f>IFERROR(__xludf.DUMMYFUNCTION("""COMPUTED_VALUE"""),45314.66666666667)</f>
        <v>45314.66667</v>
      </c>
      <c r="B991" s="2">
        <f>IFERROR(__xludf.DUMMYFUNCTION("""COMPUTED_VALUE"""),660.0)</f>
        <v>660</v>
      </c>
      <c r="C991" s="2">
        <f>IFERROR(__xludf.DUMMYFUNCTION("""COMPUTED_VALUE"""),665.0)</f>
        <v>665</v>
      </c>
      <c r="D991" s="2">
        <f>IFERROR(__xludf.DUMMYFUNCTION("""COMPUTED_VALUE"""),650.0)</f>
        <v>650</v>
      </c>
      <c r="E991" s="2">
        <f>IFERROR(__xludf.DUMMYFUNCTION("""COMPUTED_VALUE"""),655.0)</f>
        <v>655</v>
      </c>
      <c r="F991" s="2">
        <f>IFERROR(__xludf.DUMMYFUNCTION("""COMPUTED_VALUE"""),6999500.0)</f>
        <v>6999500</v>
      </c>
      <c r="G991" s="2">
        <f t="shared" si="1"/>
        <v>15</v>
      </c>
    </row>
    <row r="992" ht="15.75" customHeight="1">
      <c r="A992" s="1">
        <f>IFERROR(__xludf.DUMMYFUNCTION("""COMPUTED_VALUE"""),45315.66666666667)</f>
        <v>45315.66667</v>
      </c>
      <c r="B992" s="2">
        <f>IFERROR(__xludf.DUMMYFUNCTION("""COMPUTED_VALUE"""),655.0)</f>
        <v>655</v>
      </c>
      <c r="C992" s="2">
        <f>IFERROR(__xludf.DUMMYFUNCTION("""COMPUTED_VALUE"""),655.0)</f>
        <v>655</v>
      </c>
      <c r="D992" s="2">
        <f>IFERROR(__xludf.DUMMYFUNCTION("""COMPUTED_VALUE"""),645.0)</f>
        <v>645</v>
      </c>
      <c r="E992" s="2">
        <f>IFERROR(__xludf.DUMMYFUNCTION("""COMPUTED_VALUE"""),650.0)</f>
        <v>650</v>
      </c>
      <c r="F992" s="2">
        <f>IFERROR(__xludf.DUMMYFUNCTION("""COMPUTED_VALUE"""),5981900.0)</f>
        <v>5981900</v>
      </c>
      <c r="G992" s="2">
        <f t="shared" si="1"/>
        <v>10</v>
      </c>
    </row>
    <row r="993" ht="15.75" customHeight="1">
      <c r="A993" s="1">
        <f>IFERROR(__xludf.DUMMYFUNCTION("""COMPUTED_VALUE"""),45316.66666666667)</f>
        <v>45316.66667</v>
      </c>
      <c r="B993" s="2">
        <f>IFERROR(__xludf.DUMMYFUNCTION("""COMPUTED_VALUE"""),650.0)</f>
        <v>650</v>
      </c>
      <c r="C993" s="2">
        <f>IFERROR(__xludf.DUMMYFUNCTION("""COMPUTED_VALUE"""),655.0)</f>
        <v>655</v>
      </c>
      <c r="D993" s="2">
        <f>IFERROR(__xludf.DUMMYFUNCTION("""COMPUTED_VALUE"""),645.0)</f>
        <v>645</v>
      </c>
      <c r="E993" s="2">
        <f>IFERROR(__xludf.DUMMYFUNCTION("""COMPUTED_VALUE"""),655.0)</f>
        <v>655</v>
      </c>
      <c r="F993" s="2">
        <f>IFERROR(__xludf.DUMMYFUNCTION("""COMPUTED_VALUE"""),2818200.0)</f>
        <v>2818200</v>
      </c>
      <c r="G993" s="2">
        <f t="shared" si="1"/>
        <v>10</v>
      </c>
    </row>
    <row r="994" ht="15.75" customHeight="1">
      <c r="A994" s="1">
        <f>IFERROR(__xludf.DUMMYFUNCTION("""COMPUTED_VALUE"""),45317.66666666667)</f>
        <v>45317.66667</v>
      </c>
      <c r="B994" s="2">
        <f>IFERROR(__xludf.DUMMYFUNCTION("""COMPUTED_VALUE"""),655.0)</f>
        <v>655</v>
      </c>
      <c r="C994" s="2">
        <f>IFERROR(__xludf.DUMMYFUNCTION("""COMPUTED_VALUE"""),655.0)</f>
        <v>655</v>
      </c>
      <c r="D994" s="2">
        <f>IFERROR(__xludf.DUMMYFUNCTION("""COMPUTED_VALUE"""),645.0)</f>
        <v>645</v>
      </c>
      <c r="E994" s="2">
        <f>IFERROR(__xludf.DUMMYFUNCTION("""COMPUTED_VALUE"""),650.0)</f>
        <v>650</v>
      </c>
      <c r="F994" s="2">
        <f>IFERROR(__xludf.DUMMYFUNCTION("""COMPUTED_VALUE"""),2957000.0)</f>
        <v>2957000</v>
      </c>
      <c r="G994" s="2">
        <f t="shared" si="1"/>
        <v>10</v>
      </c>
    </row>
    <row r="995" ht="15.75" customHeight="1">
      <c r="A995" s="1">
        <f>IFERROR(__xludf.DUMMYFUNCTION("""COMPUTED_VALUE"""),45320.66666666667)</f>
        <v>45320.66667</v>
      </c>
      <c r="B995" s="2">
        <f>IFERROR(__xludf.DUMMYFUNCTION("""COMPUTED_VALUE"""),650.0)</f>
        <v>650</v>
      </c>
      <c r="C995" s="2">
        <f>IFERROR(__xludf.DUMMYFUNCTION("""COMPUTED_VALUE"""),655.0)</f>
        <v>655</v>
      </c>
      <c r="D995" s="2">
        <f>IFERROR(__xludf.DUMMYFUNCTION("""COMPUTED_VALUE"""),645.0)</f>
        <v>645</v>
      </c>
      <c r="E995" s="2">
        <f>IFERROR(__xludf.DUMMYFUNCTION("""COMPUTED_VALUE"""),655.0)</f>
        <v>655</v>
      </c>
      <c r="F995" s="2">
        <f>IFERROR(__xludf.DUMMYFUNCTION("""COMPUTED_VALUE"""),2231300.0)</f>
        <v>2231300</v>
      </c>
      <c r="G995" s="2">
        <f t="shared" si="1"/>
        <v>10</v>
      </c>
    </row>
    <row r="996" ht="15.75" customHeight="1">
      <c r="A996" s="1">
        <f>IFERROR(__xludf.DUMMYFUNCTION("""COMPUTED_VALUE"""),45321.66666666667)</f>
        <v>45321.66667</v>
      </c>
      <c r="B996" s="2">
        <f>IFERROR(__xludf.DUMMYFUNCTION("""COMPUTED_VALUE"""),655.0)</f>
        <v>655</v>
      </c>
      <c r="C996" s="2">
        <f>IFERROR(__xludf.DUMMYFUNCTION("""COMPUTED_VALUE"""),655.0)</f>
        <v>655</v>
      </c>
      <c r="D996" s="2">
        <f>IFERROR(__xludf.DUMMYFUNCTION("""COMPUTED_VALUE"""),650.0)</f>
        <v>650</v>
      </c>
      <c r="E996" s="2">
        <f>IFERROR(__xludf.DUMMYFUNCTION("""COMPUTED_VALUE"""),650.0)</f>
        <v>650</v>
      </c>
      <c r="F996" s="2">
        <f>IFERROR(__xludf.DUMMYFUNCTION("""COMPUTED_VALUE"""),2692300.0)</f>
        <v>2692300</v>
      </c>
      <c r="G996" s="2">
        <f t="shared" si="1"/>
        <v>5</v>
      </c>
    </row>
    <row r="997" ht="15.75" customHeight="1">
      <c r="A997" s="1">
        <f>IFERROR(__xludf.DUMMYFUNCTION("""COMPUTED_VALUE"""),45322.66666666667)</f>
        <v>45322.66667</v>
      </c>
      <c r="B997" s="2">
        <f>IFERROR(__xludf.DUMMYFUNCTION("""COMPUTED_VALUE"""),650.0)</f>
        <v>650</v>
      </c>
      <c r="C997" s="2">
        <f>IFERROR(__xludf.DUMMYFUNCTION("""COMPUTED_VALUE"""),655.0)</f>
        <v>655</v>
      </c>
      <c r="D997" s="2">
        <f>IFERROR(__xludf.DUMMYFUNCTION("""COMPUTED_VALUE"""),650.0)</f>
        <v>650</v>
      </c>
      <c r="E997" s="2">
        <f>IFERROR(__xludf.DUMMYFUNCTION("""COMPUTED_VALUE"""),650.0)</f>
        <v>650</v>
      </c>
      <c r="F997" s="2">
        <f>IFERROR(__xludf.DUMMYFUNCTION("""COMPUTED_VALUE"""),4193400.0)</f>
        <v>4193400</v>
      </c>
      <c r="G997" s="2">
        <f t="shared" si="1"/>
        <v>5</v>
      </c>
    </row>
    <row r="998" ht="15.75" customHeight="1">
      <c r="A998" s="1">
        <f>IFERROR(__xludf.DUMMYFUNCTION("""COMPUTED_VALUE"""),45323.66666666667)</f>
        <v>45323.66667</v>
      </c>
      <c r="B998" s="2">
        <f>IFERROR(__xludf.DUMMYFUNCTION("""COMPUTED_VALUE"""),655.0)</f>
        <v>655</v>
      </c>
      <c r="C998" s="2">
        <f>IFERROR(__xludf.DUMMYFUNCTION("""COMPUTED_VALUE"""),655.0)</f>
        <v>655</v>
      </c>
      <c r="D998" s="2">
        <f>IFERROR(__xludf.DUMMYFUNCTION("""COMPUTED_VALUE"""),650.0)</f>
        <v>650</v>
      </c>
      <c r="E998" s="2">
        <f>IFERROR(__xludf.DUMMYFUNCTION("""COMPUTED_VALUE"""),650.0)</f>
        <v>650</v>
      </c>
      <c r="F998" s="2">
        <f>IFERROR(__xludf.DUMMYFUNCTION("""COMPUTED_VALUE"""),5015000.0)</f>
        <v>5015000</v>
      </c>
      <c r="G998" s="2">
        <f t="shared" si="1"/>
        <v>5</v>
      </c>
    </row>
    <row r="999" ht="15.75" customHeight="1">
      <c r="A999" s="1">
        <f>IFERROR(__xludf.DUMMYFUNCTION("""COMPUTED_VALUE"""),45324.66666666667)</f>
        <v>45324.66667</v>
      </c>
      <c r="B999" s="2">
        <f>IFERROR(__xludf.DUMMYFUNCTION("""COMPUTED_VALUE"""),650.0)</f>
        <v>650</v>
      </c>
      <c r="C999" s="2">
        <f>IFERROR(__xludf.DUMMYFUNCTION("""COMPUTED_VALUE"""),655.0)</f>
        <v>655</v>
      </c>
      <c r="D999" s="2">
        <f>IFERROR(__xludf.DUMMYFUNCTION("""COMPUTED_VALUE"""),645.0)</f>
        <v>645</v>
      </c>
      <c r="E999" s="2">
        <f>IFERROR(__xludf.DUMMYFUNCTION("""COMPUTED_VALUE"""),655.0)</f>
        <v>655</v>
      </c>
      <c r="F999" s="2">
        <f>IFERROR(__xludf.DUMMYFUNCTION("""COMPUTED_VALUE"""),6620700.0)</f>
        <v>6620700</v>
      </c>
      <c r="G999" s="2">
        <f t="shared" si="1"/>
        <v>10</v>
      </c>
    </row>
    <row r="1000" ht="15.75" customHeight="1">
      <c r="A1000" s="1">
        <f>IFERROR(__xludf.DUMMYFUNCTION("""COMPUTED_VALUE"""),45327.66666666667)</f>
        <v>45327.66667</v>
      </c>
      <c r="B1000" s="2">
        <f>IFERROR(__xludf.DUMMYFUNCTION("""COMPUTED_VALUE"""),655.0)</f>
        <v>655</v>
      </c>
      <c r="C1000" s="2">
        <f>IFERROR(__xludf.DUMMYFUNCTION("""COMPUTED_VALUE"""),660.0)</f>
        <v>660</v>
      </c>
      <c r="D1000" s="2">
        <f>IFERROR(__xludf.DUMMYFUNCTION("""COMPUTED_VALUE"""),650.0)</f>
        <v>650</v>
      </c>
      <c r="E1000" s="2">
        <f>IFERROR(__xludf.DUMMYFUNCTION("""COMPUTED_VALUE"""),660.0)</f>
        <v>660</v>
      </c>
      <c r="F1000" s="2">
        <f>IFERROR(__xludf.DUMMYFUNCTION("""COMPUTED_VALUE"""),6063400.0)</f>
        <v>6063400</v>
      </c>
      <c r="G1000" s="2">
        <f t="shared" si="1"/>
        <v>10</v>
      </c>
    </row>
    <row r="1001" ht="15.75" customHeight="1">
      <c r="A1001" s="1">
        <f>IFERROR(__xludf.DUMMYFUNCTION("""COMPUTED_VALUE"""),45328.66666666667)</f>
        <v>45328.66667</v>
      </c>
      <c r="B1001" s="2">
        <f>IFERROR(__xludf.DUMMYFUNCTION("""COMPUTED_VALUE"""),655.0)</f>
        <v>655</v>
      </c>
      <c r="C1001" s="2">
        <f>IFERROR(__xludf.DUMMYFUNCTION("""COMPUTED_VALUE"""),665.0)</f>
        <v>665</v>
      </c>
      <c r="D1001" s="2">
        <f>IFERROR(__xludf.DUMMYFUNCTION("""COMPUTED_VALUE"""),655.0)</f>
        <v>655</v>
      </c>
      <c r="E1001" s="2">
        <f>IFERROR(__xludf.DUMMYFUNCTION("""COMPUTED_VALUE"""),660.0)</f>
        <v>660</v>
      </c>
      <c r="F1001" s="2">
        <f>IFERROR(__xludf.DUMMYFUNCTION("""COMPUTED_VALUE"""),3314300.0)</f>
        <v>3314300</v>
      </c>
      <c r="G1001" s="2">
        <f t="shared" si="1"/>
        <v>10</v>
      </c>
    </row>
    <row r="1002" ht="15.75" customHeight="1">
      <c r="A1002" s="1">
        <f>IFERROR(__xludf.DUMMYFUNCTION("""COMPUTED_VALUE"""),45329.66666666667)</f>
        <v>45329.66667</v>
      </c>
      <c r="B1002" s="2">
        <f>IFERROR(__xludf.DUMMYFUNCTION("""COMPUTED_VALUE"""),660.0)</f>
        <v>660</v>
      </c>
      <c r="C1002" s="2">
        <f>IFERROR(__xludf.DUMMYFUNCTION("""COMPUTED_VALUE"""),675.0)</f>
        <v>675</v>
      </c>
      <c r="D1002" s="2">
        <f>IFERROR(__xludf.DUMMYFUNCTION("""COMPUTED_VALUE"""),655.0)</f>
        <v>655</v>
      </c>
      <c r="E1002" s="2">
        <f>IFERROR(__xludf.DUMMYFUNCTION("""COMPUTED_VALUE"""),665.0)</f>
        <v>665</v>
      </c>
      <c r="F1002" s="2">
        <f>IFERROR(__xludf.DUMMYFUNCTION("""COMPUTED_VALUE"""),1.90619E7)</f>
        <v>19061900</v>
      </c>
      <c r="G1002" s="2">
        <f t="shared" si="1"/>
        <v>20</v>
      </c>
    </row>
    <row r="1003" ht="15.75" customHeight="1">
      <c r="A1003" s="1">
        <f>IFERROR(__xludf.DUMMYFUNCTION("""COMPUTED_VALUE"""),45334.66666666667)</f>
        <v>45334.66667</v>
      </c>
      <c r="B1003" s="2">
        <f>IFERROR(__xludf.DUMMYFUNCTION("""COMPUTED_VALUE"""),655.0)</f>
        <v>655</v>
      </c>
      <c r="C1003" s="2">
        <f>IFERROR(__xludf.DUMMYFUNCTION("""COMPUTED_VALUE"""),680.0)</f>
        <v>680</v>
      </c>
      <c r="D1003" s="2">
        <f>IFERROR(__xludf.DUMMYFUNCTION("""COMPUTED_VALUE"""),655.0)</f>
        <v>655</v>
      </c>
      <c r="E1003" s="2">
        <f>IFERROR(__xludf.DUMMYFUNCTION("""COMPUTED_VALUE"""),680.0)</f>
        <v>680</v>
      </c>
      <c r="F1003" s="2">
        <f>IFERROR(__xludf.DUMMYFUNCTION("""COMPUTED_VALUE"""),1.64539E7)</f>
        <v>16453900</v>
      </c>
      <c r="G1003" s="2">
        <f t="shared" si="1"/>
        <v>25</v>
      </c>
    </row>
    <row r="1004" ht="15.75" customHeight="1">
      <c r="A1004" s="1">
        <f>IFERROR(__xludf.DUMMYFUNCTION("""COMPUTED_VALUE"""),45335.66666666667)</f>
        <v>45335.66667</v>
      </c>
      <c r="B1004" s="2">
        <f>IFERROR(__xludf.DUMMYFUNCTION("""COMPUTED_VALUE"""),680.0)</f>
        <v>680</v>
      </c>
      <c r="C1004" s="2">
        <f>IFERROR(__xludf.DUMMYFUNCTION("""COMPUTED_VALUE"""),680.0)</f>
        <v>680</v>
      </c>
      <c r="D1004" s="2">
        <f>IFERROR(__xludf.DUMMYFUNCTION("""COMPUTED_VALUE"""),670.0)</f>
        <v>670</v>
      </c>
      <c r="E1004" s="2">
        <f>IFERROR(__xludf.DUMMYFUNCTION("""COMPUTED_VALUE"""),675.0)</f>
        <v>675</v>
      </c>
      <c r="F1004" s="2">
        <f>IFERROR(__xludf.DUMMYFUNCTION("""COMPUTED_VALUE"""),6961100.0)</f>
        <v>6961100</v>
      </c>
      <c r="G1004" s="2">
        <f t="shared" si="1"/>
        <v>10</v>
      </c>
    </row>
    <row r="1005" ht="15.75" customHeight="1">
      <c r="A1005" s="1">
        <f>IFERROR(__xludf.DUMMYFUNCTION("""COMPUTED_VALUE"""),45337.66666666667)</f>
        <v>45337.66667</v>
      </c>
      <c r="B1005" s="2">
        <f>IFERROR(__xludf.DUMMYFUNCTION("""COMPUTED_VALUE"""),680.0)</f>
        <v>680</v>
      </c>
      <c r="C1005" s="2">
        <f>IFERROR(__xludf.DUMMYFUNCTION("""COMPUTED_VALUE"""),690.0)</f>
        <v>690</v>
      </c>
      <c r="D1005" s="2">
        <f>IFERROR(__xludf.DUMMYFUNCTION("""COMPUTED_VALUE"""),675.0)</f>
        <v>675</v>
      </c>
      <c r="E1005" s="2">
        <f>IFERROR(__xludf.DUMMYFUNCTION("""COMPUTED_VALUE"""),690.0)</f>
        <v>690</v>
      </c>
      <c r="F1005" s="2">
        <f>IFERROR(__xludf.DUMMYFUNCTION("""COMPUTED_VALUE"""),2.52006E7)</f>
        <v>25200600</v>
      </c>
      <c r="G1005" s="2">
        <f t="shared" si="1"/>
        <v>15</v>
      </c>
    </row>
    <row r="1006" ht="15.75" customHeight="1">
      <c r="A1006" s="1">
        <f>IFERROR(__xludf.DUMMYFUNCTION("""COMPUTED_VALUE"""),45338.66666666667)</f>
        <v>45338.66667</v>
      </c>
      <c r="B1006" s="2">
        <f>IFERROR(__xludf.DUMMYFUNCTION("""COMPUTED_VALUE"""),690.0)</f>
        <v>690</v>
      </c>
      <c r="C1006" s="2">
        <f>IFERROR(__xludf.DUMMYFUNCTION("""COMPUTED_VALUE"""),695.0)</f>
        <v>695</v>
      </c>
      <c r="D1006" s="2">
        <f>IFERROR(__xludf.DUMMYFUNCTION("""COMPUTED_VALUE"""),685.0)</f>
        <v>685</v>
      </c>
      <c r="E1006" s="2">
        <f>IFERROR(__xludf.DUMMYFUNCTION("""COMPUTED_VALUE"""),685.0)</f>
        <v>685</v>
      </c>
      <c r="F1006" s="2">
        <f>IFERROR(__xludf.DUMMYFUNCTION("""COMPUTED_VALUE"""),2.11249E7)</f>
        <v>21124900</v>
      </c>
      <c r="G1006" s="2">
        <f t="shared" si="1"/>
        <v>10</v>
      </c>
    </row>
    <row r="1007" ht="15.75" customHeight="1">
      <c r="A1007" s="1">
        <f>IFERROR(__xludf.DUMMYFUNCTION("""COMPUTED_VALUE"""),45341.66666666667)</f>
        <v>45341.66667</v>
      </c>
      <c r="B1007" s="2">
        <f>IFERROR(__xludf.DUMMYFUNCTION("""COMPUTED_VALUE"""),685.0)</f>
        <v>685</v>
      </c>
      <c r="C1007" s="2">
        <f>IFERROR(__xludf.DUMMYFUNCTION("""COMPUTED_VALUE"""),690.0)</f>
        <v>690</v>
      </c>
      <c r="D1007" s="2">
        <f>IFERROR(__xludf.DUMMYFUNCTION("""COMPUTED_VALUE"""),680.0)</f>
        <v>680</v>
      </c>
      <c r="E1007" s="2">
        <f>IFERROR(__xludf.DUMMYFUNCTION("""COMPUTED_VALUE"""),680.0)</f>
        <v>680</v>
      </c>
      <c r="F1007" s="2">
        <f>IFERROR(__xludf.DUMMYFUNCTION("""COMPUTED_VALUE"""),5.21369E7)</f>
        <v>52136900</v>
      </c>
      <c r="G1007" s="2">
        <f t="shared" si="1"/>
        <v>10</v>
      </c>
    </row>
    <row r="1008" ht="15.75" customHeight="1">
      <c r="A1008" s="1">
        <f>IFERROR(__xludf.DUMMYFUNCTION("""COMPUTED_VALUE"""),45342.66666666667)</f>
        <v>45342.66667</v>
      </c>
      <c r="B1008" s="2">
        <f>IFERROR(__xludf.DUMMYFUNCTION("""COMPUTED_VALUE"""),680.0)</f>
        <v>680</v>
      </c>
      <c r="C1008" s="2">
        <f>IFERROR(__xludf.DUMMYFUNCTION("""COMPUTED_VALUE"""),685.0)</f>
        <v>685</v>
      </c>
      <c r="D1008" s="2">
        <f>IFERROR(__xludf.DUMMYFUNCTION("""COMPUTED_VALUE"""),670.0)</f>
        <v>670</v>
      </c>
      <c r="E1008" s="2">
        <f>IFERROR(__xludf.DUMMYFUNCTION("""COMPUTED_VALUE"""),675.0)</f>
        <v>675</v>
      </c>
      <c r="F1008" s="2">
        <f>IFERROR(__xludf.DUMMYFUNCTION("""COMPUTED_VALUE"""),5.50162E7)</f>
        <v>55016200</v>
      </c>
      <c r="G1008" s="2">
        <f t="shared" si="1"/>
        <v>15</v>
      </c>
    </row>
    <row r="1009" ht="15.75" customHeight="1">
      <c r="A1009" s="1">
        <f>IFERROR(__xludf.DUMMYFUNCTION("""COMPUTED_VALUE"""),45343.66666666667)</f>
        <v>45343.66667</v>
      </c>
      <c r="B1009" s="2">
        <f>IFERROR(__xludf.DUMMYFUNCTION("""COMPUTED_VALUE"""),640.0)</f>
        <v>640</v>
      </c>
      <c r="C1009" s="2">
        <f>IFERROR(__xludf.DUMMYFUNCTION("""COMPUTED_VALUE"""),640.0)</f>
        <v>640</v>
      </c>
      <c r="D1009" s="2">
        <f>IFERROR(__xludf.DUMMYFUNCTION("""COMPUTED_VALUE"""),610.0)</f>
        <v>610</v>
      </c>
      <c r="E1009" s="2">
        <f>IFERROR(__xludf.DUMMYFUNCTION("""COMPUTED_VALUE"""),620.0)</f>
        <v>620</v>
      </c>
      <c r="F1009" s="2">
        <f>IFERROR(__xludf.DUMMYFUNCTION("""COMPUTED_VALUE"""),6.22466E7)</f>
        <v>62246600</v>
      </c>
      <c r="G1009" s="2">
        <f t="shared" si="1"/>
        <v>65</v>
      </c>
    </row>
    <row r="1010" ht="15.75" customHeight="1">
      <c r="A1010" s="1">
        <f>IFERROR(__xludf.DUMMYFUNCTION("""COMPUTED_VALUE"""),45344.66666666667)</f>
        <v>45344.66667</v>
      </c>
      <c r="B1010" s="2">
        <f>IFERROR(__xludf.DUMMYFUNCTION("""COMPUTED_VALUE"""),620.0)</f>
        <v>620</v>
      </c>
      <c r="C1010" s="2">
        <f>IFERROR(__xludf.DUMMYFUNCTION("""COMPUTED_VALUE"""),620.0)</f>
        <v>620</v>
      </c>
      <c r="D1010" s="2">
        <f>IFERROR(__xludf.DUMMYFUNCTION("""COMPUTED_VALUE"""),610.0)</f>
        <v>610</v>
      </c>
      <c r="E1010" s="2">
        <f>IFERROR(__xludf.DUMMYFUNCTION("""COMPUTED_VALUE"""),615.0)</f>
        <v>615</v>
      </c>
      <c r="F1010" s="2">
        <f>IFERROR(__xludf.DUMMYFUNCTION("""COMPUTED_VALUE"""),1.43569E7)</f>
        <v>14356900</v>
      </c>
      <c r="G1010" s="2">
        <f t="shared" si="1"/>
        <v>10</v>
      </c>
    </row>
    <row r="1011" ht="15.75" customHeight="1">
      <c r="A1011" s="1">
        <f>IFERROR(__xludf.DUMMYFUNCTION("""COMPUTED_VALUE"""),45345.66666666667)</f>
        <v>45345.66667</v>
      </c>
      <c r="B1011" s="2">
        <f>IFERROR(__xludf.DUMMYFUNCTION("""COMPUTED_VALUE"""),615.0)</f>
        <v>615</v>
      </c>
      <c r="C1011" s="2">
        <f>IFERROR(__xludf.DUMMYFUNCTION("""COMPUTED_VALUE"""),615.0)</f>
        <v>615</v>
      </c>
      <c r="D1011" s="2">
        <f>IFERROR(__xludf.DUMMYFUNCTION("""COMPUTED_VALUE"""),605.0)</f>
        <v>605</v>
      </c>
      <c r="E1011" s="2">
        <f>IFERROR(__xludf.DUMMYFUNCTION("""COMPUTED_VALUE"""),610.0)</f>
        <v>610</v>
      </c>
      <c r="F1011" s="2">
        <f>IFERROR(__xludf.DUMMYFUNCTION("""COMPUTED_VALUE"""),1.85468E7)</f>
        <v>18546800</v>
      </c>
      <c r="G1011" s="2">
        <f t="shared" si="1"/>
        <v>10</v>
      </c>
    </row>
    <row r="1012" ht="15.75" customHeight="1">
      <c r="A1012" s="1">
        <f>IFERROR(__xludf.DUMMYFUNCTION("""COMPUTED_VALUE"""),45348.66666666667)</f>
        <v>45348.66667</v>
      </c>
      <c r="B1012" s="2">
        <f>IFERROR(__xludf.DUMMYFUNCTION("""COMPUTED_VALUE"""),610.0)</f>
        <v>610</v>
      </c>
      <c r="C1012" s="2">
        <f>IFERROR(__xludf.DUMMYFUNCTION("""COMPUTED_VALUE"""),610.0)</f>
        <v>610</v>
      </c>
      <c r="D1012" s="2">
        <f>IFERROR(__xludf.DUMMYFUNCTION("""COMPUTED_VALUE"""),605.0)</f>
        <v>605</v>
      </c>
      <c r="E1012" s="2">
        <f>IFERROR(__xludf.DUMMYFUNCTION("""COMPUTED_VALUE"""),605.0)</f>
        <v>605</v>
      </c>
      <c r="F1012" s="2">
        <f>IFERROR(__xludf.DUMMYFUNCTION("""COMPUTED_VALUE"""),6567900.0)</f>
        <v>6567900</v>
      </c>
      <c r="G1012" s="2">
        <f t="shared" si="1"/>
        <v>5</v>
      </c>
    </row>
    <row r="1013" ht="15.75" customHeight="1">
      <c r="A1013" s="1">
        <f>IFERROR(__xludf.DUMMYFUNCTION("""COMPUTED_VALUE"""),45349.66666666667)</f>
        <v>45349.66667</v>
      </c>
      <c r="B1013" s="2">
        <f>IFERROR(__xludf.DUMMYFUNCTION("""COMPUTED_VALUE"""),610.0)</f>
        <v>610</v>
      </c>
      <c r="C1013" s="2">
        <f>IFERROR(__xludf.DUMMYFUNCTION("""COMPUTED_VALUE"""),610.0)</f>
        <v>610</v>
      </c>
      <c r="D1013" s="2">
        <f>IFERROR(__xludf.DUMMYFUNCTION("""COMPUTED_VALUE"""),605.0)</f>
        <v>605</v>
      </c>
      <c r="E1013" s="2">
        <f>IFERROR(__xludf.DUMMYFUNCTION("""COMPUTED_VALUE"""),605.0)</f>
        <v>605</v>
      </c>
      <c r="F1013" s="2">
        <f>IFERROR(__xludf.DUMMYFUNCTION("""COMPUTED_VALUE"""),4838200.0)</f>
        <v>4838200</v>
      </c>
      <c r="G1013" s="2">
        <f t="shared" si="1"/>
        <v>5</v>
      </c>
    </row>
    <row r="1014" ht="15.75" customHeight="1">
      <c r="A1014" s="1">
        <f>IFERROR(__xludf.DUMMYFUNCTION("""COMPUTED_VALUE"""),45350.66666666667)</f>
        <v>45350.66667</v>
      </c>
      <c r="B1014" s="2">
        <f>IFERROR(__xludf.DUMMYFUNCTION("""COMPUTED_VALUE"""),605.0)</f>
        <v>605</v>
      </c>
      <c r="C1014" s="2">
        <f>IFERROR(__xludf.DUMMYFUNCTION("""COMPUTED_VALUE"""),610.0)</f>
        <v>610</v>
      </c>
      <c r="D1014" s="2">
        <f>IFERROR(__xludf.DUMMYFUNCTION("""COMPUTED_VALUE"""),605.0)</f>
        <v>605</v>
      </c>
      <c r="E1014" s="2">
        <f>IFERROR(__xludf.DUMMYFUNCTION("""COMPUTED_VALUE"""),605.0)</f>
        <v>605</v>
      </c>
      <c r="F1014" s="2">
        <f>IFERROR(__xludf.DUMMYFUNCTION("""COMPUTED_VALUE"""),6461000.0)</f>
        <v>6461000</v>
      </c>
      <c r="G1014" s="2">
        <f t="shared" si="1"/>
        <v>5</v>
      </c>
    </row>
    <row r="1015" ht="15.75" customHeight="1">
      <c r="A1015" s="1">
        <f>IFERROR(__xludf.DUMMYFUNCTION("""COMPUTED_VALUE"""),45351.66666666667)</f>
        <v>45351.66667</v>
      </c>
      <c r="B1015" s="2">
        <f>IFERROR(__xludf.DUMMYFUNCTION("""COMPUTED_VALUE"""),610.0)</f>
        <v>610</v>
      </c>
      <c r="C1015" s="2">
        <f>IFERROR(__xludf.DUMMYFUNCTION("""COMPUTED_VALUE"""),610.0)</f>
        <v>610</v>
      </c>
      <c r="D1015" s="2">
        <f>IFERROR(__xludf.DUMMYFUNCTION("""COMPUTED_VALUE"""),605.0)</f>
        <v>605</v>
      </c>
      <c r="E1015" s="2">
        <f>IFERROR(__xludf.DUMMYFUNCTION("""COMPUTED_VALUE"""),605.0)</f>
        <v>605</v>
      </c>
      <c r="F1015" s="2">
        <f>IFERROR(__xludf.DUMMYFUNCTION("""COMPUTED_VALUE"""),1.16349E7)</f>
        <v>11634900</v>
      </c>
      <c r="G1015" s="2">
        <f t="shared" si="1"/>
        <v>5</v>
      </c>
    </row>
    <row r="1016" ht="15.75" customHeight="1">
      <c r="A1016" s="1">
        <f>IFERROR(__xludf.DUMMYFUNCTION("""COMPUTED_VALUE"""),45352.66666666667)</f>
        <v>45352.66667</v>
      </c>
      <c r="B1016" s="2">
        <f>IFERROR(__xludf.DUMMYFUNCTION("""COMPUTED_VALUE"""),610.0)</f>
        <v>610</v>
      </c>
      <c r="C1016" s="2">
        <f>IFERROR(__xludf.DUMMYFUNCTION("""COMPUTED_VALUE"""),610.0)</f>
        <v>610</v>
      </c>
      <c r="D1016" s="2">
        <f>IFERROR(__xludf.DUMMYFUNCTION("""COMPUTED_VALUE"""),605.0)</f>
        <v>605</v>
      </c>
      <c r="E1016" s="2">
        <f>IFERROR(__xludf.DUMMYFUNCTION("""COMPUTED_VALUE"""),610.0)</f>
        <v>610</v>
      </c>
      <c r="F1016" s="2">
        <f>IFERROR(__xludf.DUMMYFUNCTION("""COMPUTED_VALUE"""),4818800.0)</f>
        <v>4818800</v>
      </c>
      <c r="G1016" s="2">
        <f t="shared" si="1"/>
        <v>5</v>
      </c>
    </row>
    <row r="1017" ht="15.75" customHeight="1">
      <c r="A1017" s="1">
        <f>IFERROR(__xludf.DUMMYFUNCTION("""COMPUTED_VALUE"""),45355.66666666667)</f>
        <v>45355.66667</v>
      </c>
      <c r="B1017" s="2">
        <f>IFERROR(__xludf.DUMMYFUNCTION("""COMPUTED_VALUE"""),610.0)</f>
        <v>610</v>
      </c>
      <c r="C1017" s="2">
        <f>IFERROR(__xludf.DUMMYFUNCTION("""COMPUTED_VALUE"""),610.0)</f>
        <v>610</v>
      </c>
      <c r="D1017" s="2">
        <f>IFERROR(__xludf.DUMMYFUNCTION("""COMPUTED_VALUE"""),600.0)</f>
        <v>600</v>
      </c>
      <c r="E1017" s="2">
        <f>IFERROR(__xludf.DUMMYFUNCTION("""COMPUTED_VALUE"""),605.0)</f>
        <v>605</v>
      </c>
      <c r="F1017" s="2">
        <f>IFERROR(__xludf.DUMMYFUNCTION("""COMPUTED_VALUE"""),1.4459E7)</f>
        <v>14459000</v>
      </c>
      <c r="G1017" s="2">
        <f t="shared" si="1"/>
        <v>10</v>
      </c>
    </row>
    <row r="1018" ht="15.75" customHeight="1">
      <c r="A1018" s="1">
        <f>IFERROR(__xludf.DUMMYFUNCTION("""COMPUTED_VALUE"""),45356.66666666667)</f>
        <v>45356.66667</v>
      </c>
      <c r="B1018" s="2">
        <f>IFERROR(__xludf.DUMMYFUNCTION("""COMPUTED_VALUE"""),605.0)</f>
        <v>605</v>
      </c>
      <c r="C1018" s="2">
        <f>IFERROR(__xludf.DUMMYFUNCTION("""COMPUTED_VALUE"""),605.0)</f>
        <v>605</v>
      </c>
      <c r="D1018" s="2">
        <f>IFERROR(__xludf.DUMMYFUNCTION("""COMPUTED_VALUE"""),595.0)</f>
        <v>595</v>
      </c>
      <c r="E1018" s="2">
        <f>IFERROR(__xludf.DUMMYFUNCTION("""COMPUTED_VALUE"""),600.0)</f>
        <v>600</v>
      </c>
      <c r="F1018" s="2">
        <f>IFERROR(__xludf.DUMMYFUNCTION("""COMPUTED_VALUE"""),1.65827E7)</f>
        <v>16582700</v>
      </c>
      <c r="G1018" s="2">
        <f t="shared" si="1"/>
        <v>10</v>
      </c>
    </row>
    <row r="1019" ht="15.75" customHeight="1">
      <c r="A1019" s="1">
        <f>IFERROR(__xludf.DUMMYFUNCTION("""COMPUTED_VALUE"""),45357.66666666667)</f>
        <v>45357.66667</v>
      </c>
      <c r="B1019" s="2">
        <f>IFERROR(__xludf.DUMMYFUNCTION("""COMPUTED_VALUE"""),600.0)</f>
        <v>600</v>
      </c>
      <c r="C1019" s="2">
        <f>IFERROR(__xludf.DUMMYFUNCTION("""COMPUTED_VALUE"""),605.0)</f>
        <v>605</v>
      </c>
      <c r="D1019" s="2">
        <f>IFERROR(__xludf.DUMMYFUNCTION("""COMPUTED_VALUE"""),595.0)</f>
        <v>595</v>
      </c>
      <c r="E1019" s="2">
        <f>IFERROR(__xludf.DUMMYFUNCTION("""COMPUTED_VALUE"""),605.0)</f>
        <v>605</v>
      </c>
      <c r="F1019" s="2">
        <f>IFERROR(__xludf.DUMMYFUNCTION("""COMPUTED_VALUE"""),3260500.0)</f>
        <v>3260500</v>
      </c>
      <c r="G1019" s="2">
        <f t="shared" si="1"/>
        <v>10</v>
      </c>
    </row>
    <row r="1020" ht="15.75" customHeight="1">
      <c r="A1020" s="1">
        <f>IFERROR(__xludf.DUMMYFUNCTION("""COMPUTED_VALUE"""),45358.66666666667)</f>
        <v>45358.66667</v>
      </c>
      <c r="B1020" s="2">
        <f>IFERROR(__xludf.DUMMYFUNCTION("""COMPUTED_VALUE"""),605.0)</f>
        <v>605</v>
      </c>
      <c r="C1020" s="2">
        <f>IFERROR(__xludf.DUMMYFUNCTION("""COMPUTED_VALUE"""),610.0)</f>
        <v>610</v>
      </c>
      <c r="D1020" s="2">
        <f>IFERROR(__xludf.DUMMYFUNCTION("""COMPUTED_VALUE"""),600.0)</f>
        <v>600</v>
      </c>
      <c r="E1020" s="2">
        <f>IFERROR(__xludf.DUMMYFUNCTION("""COMPUTED_VALUE"""),600.0)</f>
        <v>600</v>
      </c>
      <c r="F1020" s="2">
        <f>IFERROR(__xludf.DUMMYFUNCTION("""COMPUTED_VALUE"""),2.07587E7)</f>
        <v>20758700</v>
      </c>
      <c r="G1020" s="2">
        <f t="shared" si="1"/>
        <v>10</v>
      </c>
    </row>
    <row r="1021" ht="15.75" customHeight="1">
      <c r="A1021" s="1">
        <f>IFERROR(__xludf.DUMMYFUNCTION("""COMPUTED_VALUE"""),45359.66666666667)</f>
        <v>45359.66667</v>
      </c>
      <c r="B1021" s="2">
        <f>IFERROR(__xludf.DUMMYFUNCTION("""COMPUTED_VALUE"""),600.0)</f>
        <v>600</v>
      </c>
      <c r="C1021" s="2">
        <f>IFERROR(__xludf.DUMMYFUNCTION("""COMPUTED_VALUE"""),605.0)</f>
        <v>605</v>
      </c>
      <c r="D1021" s="2">
        <f>IFERROR(__xludf.DUMMYFUNCTION("""COMPUTED_VALUE"""),595.0)</f>
        <v>595</v>
      </c>
      <c r="E1021" s="2">
        <f>IFERROR(__xludf.DUMMYFUNCTION("""COMPUTED_VALUE"""),600.0)</f>
        <v>600</v>
      </c>
      <c r="F1021" s="2">
        <f>IFERROR(__xludf.DUMMYFUNCTION("""COMPUTED_VALUE"""),1.00376E7)</f>
        <v>10037600</v>
      </c>
      <c r="G1021" s="2">
        <f t="shared" si="1"/>
        <v>10</v>
      </c>
    </row>
    <row r="1022" ht="15.75" customHeight="1">
      <c r="A1022" s="1">
        <f>IFERROR(__xludf.DUMMYFUNCTION("""COMPUTED_VALUE"""),45364.66666666667)</f>
        <v>45364.66667</v>
      </c>
      <c r="B1022" s="2">
        <f>IFERROR(__xludf.DUMMYFUNCTION("""COMPUTED_VALUE"""),600.0)</f>
        <v>600</v>
      </c>
      <c r="C1022" s="2">
        <f>IFERROR(__xludf.DUMMYFUNCTION("""COMPUTED_VALUE"""),605.0)</f>
        <v>605</v>
      </c>
      <c r="D1022" s="2">
        <f>IFERROR(__xludf.DUMMYFUNCTION("""COMPUTED_VALUE"""),595.0)</f>
        <v>595</v>
      </c>
      <c r="E1022" s="2">
        <f>IFERROR(__xludf.DUMMYFUNCTION("""COMPUTED_VALUE"""),600.0)</f>
        <v>600</v>
      </c>
      <c r="F1022" s="2">
        <f>IFERROR(__xludf.DUMMYFUNCTION("""COMPUTED_VALUE"""),1.27008E7)</f>
        <v>12700800</v>
      </c>
      <c r="G1022" s="2">
        <f t="shared" si="1"/>
        <v>10</v>
      </c>
    </row>
    <row r="1023" ht="15.75" customHeight="1">
      <c r="A1023" s="1">
        <f>IFERROR(__xludf.DUMMYFUNCTION("""COMPUTED_VALUE"""),45365.66666666667)</f>
        <v>45365.66667</v>
      </c>
      <c r="B1023" s="2">
        <f>IFERROR(__xludf.DUMMYFUNCTION("""COMPUTED_VALUE"""),600.0)</f>
        <v>600</v>
      </c>
      <c r="C1023" s="2">
        <f>IFERROR(__xludf.DUMMYFUNCTION("""COMPUTED_VALUE"""),605.0)</f>
        <v>605</v>
      </c>
      <c r="D1023" s="2">
        <f>IFERROR(__xludf.DUMMYFUNCTION("""COMPUTED_VALUE"""),595.0)</f>
        <v>595</v>
      </c>
      <c r="E1023" s="2">
        <f>IFERROR(__xludf.DUMMYFUNCTION("""COMPUTED_VALUE"""),595.0)</f>
        <v>595</v>
      </c>
      <c r="F1023" s="2">
        <f>IFERROR(__xludf.DUMMYFUNCTION("""COMPUTED_VALUE"""),1.01468E7)</f>
        <v>10146800</v>
      </c>
      <c r="G1023" s="2">
        <f t="shared" si="1"/>
        <v>10</v>
      </c>
    </row>
    <row r="1024" ht="15.75" customHeight="1">
      <c r="A1024" s="1">
        <f>IFERROR(__xludf.DUMMYFUNCTION("""COMPUTED_VALUE"""),45366.66666666667)</f>
        <v>45366.66667</v>
      </c>
      <c r="B1024" s="2">
        <f>IFERROR(__xludf.DUMMYFUNCTION("""COMPUTED_VALUE"""),595.0)</f>
        <v>595</v>
      </c>
      <c r="C1024" s="2">
        <f>IFERROR(__xludf.DUMMYFUNCTION("""COMPUTED_VALUE"""),600.0)</f>
        <v>600</v>
      </c>
      <c r="D1024" s="2">
        <f>IFERROR(__xludf.DUMMYFUNCTION("""COMPUTED_VALUE"""),595.0)</f>
        <v>595</v>
      </c>
      <c r="E1024" s="2">
        <f>IFERROR(__xludf.DUMMYFUNCTION("""COMPUTED_VALUE"""),595.0)</f>
        <v>595</v>
      </c>
      <c r="F1024" s="2">
        <f>IFERROR(__xludf.DUMMYFUNCTION("""COMPUTED_VALUE"""),6653600.0)</f>
        <v>6653600</v>
      </c>
      <c r="G1024" s="2">
        <f t="shared" si="1"/>
        <v>5</v>
      </c>
    </row>
    <row r="1025" ht="15.75" customHeight="1">
      <c r="A1025" s="1">
        <f>IFERROR(__xludf.DUMMYFUNCTION("""COMPUTED_VALUE"""),45369.66666666667)</f>
        <v>45369.66667</v>
      </c>
      <c r="B1025" s="2">
        <f>IFERROR(__xludf.DUMMYFUNCTION("""COMPUTED_VALUE"""),600.0)</f>
        <v>600</v>
      </c>
      <c r="C1025" s="2">
        <f>IFERROR(__xludf.DUMMYFUNCTION("""COMPUTED_VALUE"""),600.0)</f>
        <v>600</v>
      </c>
      <c r="D1025" s="2">
        <f>IFERROR(__xludf.DUMMYFUNCTION("""COMPUTED_VALUE"""),595.0)</f>
        <v>595</v>
      </c>
      <c r="E1025" s="2">
        <f>IFERROR(__xludf.DUMMYFUNCTION("""COMPUTED_VALUE"""),600.0)</f>
        <v>600</v>
      </c>
      <c r="F1025" s="2">
        <f>IFERROR(__xludf.DUMMYFUNCTION("""COMPUTED_VALUE"""),6793300.0)</f>
        <v>6793300</v>
      </c>
      <c r="G1025" s="2">
        <f t="shared" si="1"/>
        <v>5</v>
      </c>
    </row>
    <row r="1026" ht="15.75" customHeight="1">
      <c r="A1026" s="1">
        <f>IFERROR(__xludf.DUMMYFUNCTION("""COMPUTED_VALUE"""),45370.66666666667)</f>
        <v>45370.66667</v>
      </c>
      <c r="B1026" s="2">
        <f>IFERROR(__xludf.DUMMYFUNCTION("""COMPUTED_VALUE"""),600.0)</f>
        <v>600</v>
      </c>
      <c r="C1026" s="2">
        <f>IFERROR(__xludf.DUMMYFUNCTION("""COMPUTED_VALUE"""),600.0)</f>
        <v>600</v>
      </c>
      <c r="D1026" s="2">
        <f>IFERROR(__xludf.DUMMYFUNCTION("""COMPUTED_VALUE"""),595.0)</f>
        <v>595</v>
      </c>
      <c r="E1026" s="2">
        <f>IFERROR(__xludf.DUMMYFUNCTION("""COMPUTED_VALUE"""),595.0)</f>
        <v>595</v>
      </c>
      <c r="F1026" s="2">
        <f>IFERROR(__xludf.DUMMYFUNCTION("""COMPUTED_VALUE"""),5401800.0)</f>
        <v>5401800</v>
      </c>
      <c r="G1026" s="2">
        <f t="shared" si="1"/>
        <v>5</v>
      </c>
    </row>
    <row r="1027" ht="15.75" customHeight="1">
      <c r="A1027" s="1">
        <f>IFERROR(__xludf.DUMMYFUNCTION("""COMPUTED_VALUE"""),45371.66666666667)</f>
        <v>45371.66667</v>
      </c>
      <c r="B1027" s="2">
        <f>IFERROR(__xludf.DUMMYFUNCTION("""COMPUTED_VALUE"""),600.0)</f>
        <v>600</v>
      </c>
      <c r="C1027" s="2">
        <f>IFERROR(__xludf.DUMMYFUNCTION("""COMPUTED_VALUE"""),600.0)</f>
        <v>600</v>
      </c>
      <c r="D1027" s="2">
        <f>IFERROR(__xludf.DUMMYFUNCTION("""COMPUTED_VALUE"""),595.0)</f>
        <v>595</v>
      </c>
      <c r="E1027" s="2">
        <f>IFERROR(__xludf.DUMMYFUNCTION("""COMPUTED_VALUE"""),595.0)</f>
        <v>595</v>
      </c>
      <c r="F1027" s="2">
        <f>IFERROR(__xludf.DUMMYFUNCTION("""COMPUTED_VALUE"""),9313800.0)</f>
        <v>9313800</v>
      </c>
      <c r="G1027" s="2">
        <f t="shared" si="1"/>
        <v>5</v>
      </c>
    </row>
    <row r="1028" ht="15.75" customHeight="1">
      <c r="A1028" s="1">
        <f>IFERROR(__xludf.DUMMYFUNCTION("""COMPUTED_VALUE"""),45372.66666666667)</f>
        <v>45372.66667</v>
      </c>
      <c r="B1028" s="2">
        <f>IFERROR(__xludf.DUMMYFUNCTION("""COMPUTED_VALUE"""),600.0)</f>
        <v>600</v>
      </c>
      <c r="C1028" s="2">
        <f>IFERROR(__xludf.DUMMYFUNCTION("""COMPUTED_VALUE"""),600.0)</f>
        <v>600</v>
      </c>
      <c r="D1028" s="2">
        <f>IFERROR(__xludf.DUMMYFUNCTION("""COMPUTED_VALUE"""),595.0)</f>
        <v>595</v>
      </c>
      <c r="E1028" s="2">
        <f>IFERROR(__xludf.DUMMYFUNCTION("""COMPUTED_VALUE"""),600.0)</f>
        <v>600</v>
      </c>
      <c r="F1028" s="2">
        <f>IFERROR(__xludf.DUMMYFUNCTION("""COMPUTED_VALUE"""),6735100.0)</f>
        <v>6735100</v>
      </c>
      <c r="G1028" s="2">
        <f t="shared" si="1"/>
        <v>5</v>
      </c>
    </row>
    <row r="1029" ht="15.75" customHeight="1">
      <c r="A1029" s="1">
        <f>IFERROR(__xludf.DUMMYFUNCTION("""COMPUTED_VALUE"""),45373.66666666667)</f>
        <v>45373.66667</v>
      </c>
      <c r="B1029" s="2">
        <f>IFERROR(__xludf.DUMMYFUNCTION("""COMPUTED_VALUE"""),600.0)</f>
        <v>600</v>
      </c>
      <c r="C1029" s="2">
        <f>IFERROR(__xludf.DUMMYFUNCTION("""COMPUTED_VALUE"""),605.0)</f>
        <v>605</v>
      </c>
      <c r="D1029" s="2">
        <f>IFERROR(__xludf.DUMMYFUNCTION("""COMPUTED_VALUE"""),595.0)</f>
        <v>595</v>
      </c>
      <c r="E1029" s="2">
        <f>IFERROR(__xludf.DUMMYFUNCTION("""COMPUTED_VALUE"""),600.0)</f>
        <v>600</v>
      </c>
      <c r="F1029" s="2">
        <f>IFERROR(__xludf.DUMMYFUNCTION("""COMPUTED_VALUE"""),9215000.0)</f>
        <v>9215000</v>
      </c>
      <c r="G1029" s="2">
        <f t="shared" si="1"/>
        <v>10</v>
      </c>
    </row>
    <row r="1030" ht="15.75" customHeight="1">
      <c r="A1030" s="1">
        <f>IFERROR(__xludf.DUMMYFUNCTION("""COMPUTED_VALUE"""),45376.66666666667)</f>
        <v>45376.66667</v>
      </c>
      <c r="B1030" s="2">
        <f>IFERROR(__xludf.DUMMYFUNCTION("""COMPUTED_VALUE"""),605.0)</f>
        <v>605</v>
      </c>
      <c r="C1030" s="2">
        <f>IFERROR(__xludf.DUMMYFUNCTION("""COMPUTED_VALUE"""),605.0)</f>
        <v>605</v>
      </c>
      <c r="D1030" s="2">
        <f>IFERROR(__xludf.DUMMYFUNCTION("""COMPUTED_VALUE"""),595.0)</f>
        <v>595</v>
      </c>
      <c r="E1030" s="2">
        <f>IFERROR(__xludf.DUMMYFUNCTION("""COMPUTED_VALUE"""),600.0)</f>
        <v>600</v>
      </c>
      <c r="F1030" s="2">
        <f>IFERROR(__xludf.DUMMYFUNCTION("""COMPUTED_VALUE"""),2.54678E7)</f>
        <v>25467800</v>
      </c>
      <c r="G1030" s="2">
        <f t="shared" si="1"/>
        <v>10</v>
      </c>
    </row>
    <row r="1031" ht="15.75" customHeight="1">
      <c r="A1031" s="1">
        <f>IFERROR(__xludf.DUMMYFUNCTION("""COMPUTED_VALUE"""),45377.66666666667)</f>
        <v>45377.66667</v>
      </c>
      <c r="B1031" s="2">
        <f>IFERROR(__xludf.DUMMYFUNCTION("""COMPUTED_VALUE"""),605.0)</f>
        <v>605</v>
      </c>
      <c r="C1031" s="2">
        <f>IFERROR(__xludf.DUMMYFUNCTION("""COMPUTED_VALUE"""),605.0)</f>
        <v>605</v>
      </c>
      <c r="D1031" s="2">
        <f>IFERROR(__xludf.DUMMYFUNCTION("""COMPUTED_VALUE"""),595.0)</f>
        <v>595</v>
      </c>
      <c r="E1031" s="2">
        <f>IFERROR(__xludf.DUMMYFUNCTION("""COMPUTED_VALUE"""),600.0)</f>
        <v>600</v>
      </c>
      <c r="F1031" s="2">
        <f>IFERROR(__xludf.DUMMYFUNCTION("""COMPUTED_VALUE"""),2.79401E7)</f>
        <v>27940100</v>
      </c>
      <c r="G1031" s="2">
        <f t="shared" si="1"/>
        <v>10</v>
      </c>
    </row>
    <row r="1032" ht="15.75" customHeight="1">
      <c r="A1032" s="1">
        <f>IFERROR(__xludf.DUMMYFUNCTION("""COMPUTED_VALUE"""),45378.66666666667)</f>
        <v>45378.66667</v>
      </c>
      <c r="B1032" s="2">
        <f>IFERROR(__xludf.DUMMYFUNCTION("""COMPUTED_VALUE"""),600.0)</f>
        <v>600</v>
      </c>
      <c r="C1032" s="2">
        <f>IFERROR(__xludf.DUMMYFUNCTION("""COMPUTED_VALUE"""),605.0)</f>
        <v>605</v>
      </c>
      <c r="D1032" s="2">
        <f>IFERROR(__xludf.DUMMYFUNCTION("""COMPUTED_VALUE"""),595.0)</f>
        <v>595</v>
      </c>
      <c r="E1032" s="2">
        <f>IFERROR(__xludf.DUMMYFUNCTION("""COMPUTED_VALUE"""),600.0)</f>
        <v>600</v>
      </c>
      <c r="F1032" s="2">
        <f>IFERROR(__xludf.DUMMYFUNCTION("""COMPUTED_VALUE"""),2.47671E7)</f>
        <v>24767100</v>
      </c>
      <c r="G1032" s="2">
        <f t="shared" si="1"/>
        <v>10</v>
      </c>
    </row>
    <row r="1033" ht="15.75" customHeight="1">
      <c r="A1033" s="1">
        <f>IFERROR(__xludf.DUMMYFUNCTION("""COMPUTED_VALUE"""),45379.66666666667)</f>
        <v>45379.66667</v>
      </c>
      <c r="B1033" s="2">
        <f>IFERROR(__xludf.DUMMYFUNCTION("""COMPUTED_VALUE"""),600.0)</f>
        <v>600</v>
      </c>
      <c r="C1033" s="2">
        <f>IFERROR(__xludf.DUMMYFUNCTION("""COMPUTED_VALUE"""),605.0)</f>
        <v>605</v>
      </c>
      <c r="D1033" s="2">
        <f>IFERROR(__xludf.DUMMYFUNCTION("""COMPUTED_VALUE"""),600.0)</f>
        <v>600</v>
      </c>
      <c r="E1033" s="2">
        <f>IFERROR(__xludf.DUMMYFUNCTION("""COMPUTED_VALUE"""),600.0)</f>
        <v>600</v>
      </c>
      <c r="F1033" s="2">
        <f>IFERROR(__xludf.DUMMYFUNCTION("""COMPUTED_VALUE"""),1.71123E7)</f>
        <v>17112300</v>
      </c>
      <c r="G1033" s="2">
        <f t="shared" si="1"/>
        <v>5</v>
      </c>
    </row>
    <row r="1034" ht="15.75" customHeight="1">
      <c r="A1034" s="1">
        <f>IFERROR(__xludf.DUMMYFUNCTION("""COMPUTED_VALUE"""),45383.66666666667)</f>
        <v>45383.66667</v>
      </c>
      <c r="B1034" s="2">
        <f>IFERROR(__xludf.DUMMYFUNCTION("""COMPUTED_VALUE"""),600.0)</f>
        <v>600</v>
      </c>
      <c r="C1034" s="2">
        <f>IFERROR(__xludf.DUMMYFUNCTION("""COMPUTED_VALUE"""),605.0)</f>
        <v>605</v>
      </c>
      <c r="D1034" s="2">
        <f>IFERROR(__xludf.DUMMYFUNCTION("""COMPUTED_VALUE"""),595.0)</f>
        <v>595</v>
      </c>
      <c r="E1034" s="2">
        <f>IFERROR(__xludf.DUMMYFUNCTION("""COMPUTED_VALUE"""),600.0)</f>
        <v>600</v>
      </c>
      <c r="F1034" s="2">
        <f>IFERROR(__xludf.DUMMYFUNCTION("""COMPUTED_VALUE"""),8042600.0)</f>
        <v>8042600</v>
      </c>
      <c r="G1034" s="2">
        <f t="shared" si="1"/>
        <v>10</v>
      </c>
    </row>
    <row r="1035" ht="15.75" customHeight="1">
      <c r="A1035" s="1">
        <f>IFERROR(__xludf.DUMMYFUNCTION("""COMPUTED_VALUE"""),45384.66666666667)</f>
        <v>45384.66667</v>
      </c>
      <c r="B1035" s="2">
        <f>IFERROR(__xludf.DUMMYFUNCTION("""COMPUTED_VALUE"""),600.0)</f>
        <v>600</v>
      </c>
      <c r="C1035" s="2">
        <f>IFERROR(__xludf.DUMMYFUNCTION("""COMPUTED_VALUE"""),600.0)</f>
        <v>600</v>
      </c>
      <c r="D1035" s="2">
        <f>IFERROR(__xludf.DUMMYFUNCTION("""COMPUTED_VALUE"""),595.0)</f>
        <v>595</v>
      </c>
      <c r="E1035" s="2">
        <f>IFERROR(__xludf.DUMMYFUNCTION("""COMPUTED_VALUE"""),600.0)</f>
        <v>600</v>
      </c>
      <c r="F1035" s="2">
        <f>IFERROR(__xludf.DUMMYFUNCTION("""COMPUTED_VALUE"""),5169400.0)</f>
        <v>5169400</v>
      </c>
      <c r="G1035" s="2">
        <f t="shared" si="1"/>
        <v>5</v>
      </c>
    </row>
    <row r="1036" ht="15.75" customHeight="1">
      <c r="A1036" s="1">
        <f>IFERROR(__xludf.DUMMYFUNCTION("""COMPUTED_VALUE"""),45385.66666666667)</f>
        <v>45385.66667</v>
      </c>
      <c r="B1036" s="2">
        <f>IFERROR(__xludf.DUMMYFUNCTION("""COMPUTED_VALUE"""),600.0)</f>
        <v>600</v>
      </c>
      <c r="C1036" s="2">
        <f>IFERROR(__xludf.DUMMYFUNCTION("""COMPUTED_VALUE"""),600.0)</f>
        <v>600</v>
      </c>
      <c r="D1036" s="2">
        <f>IFERROR(__xludf.DUMMYFUNCTION("""COMPUTED_VALUE"""),595.0)</f>
        <v>595</v>
      </c>
      <c r="E1036" s="2">
        <f>IFERROR(__xludf.DUMMYFUNCTION("""COMPUTED_VALUE"""),595.0)</f>
        <v>595</v>
      </c>
      <c r="F1036" s="2">
        <f>IFERROR(__xludf.DUMMYFUNCTION("""COMPUTED_VALUE"""),5793900.0)</f>
        <v>5793900</v>
      </c>
      <c r="G1036" s="2">
        <f t="shared" si="1"/>
        <v>5</v>
      </c>
    </row>
    <row r="1037" ht="15.75" customHeight="1">
      <c r="A1037" s="1">
        <f>IFERROR(__xludf.DUMMYFUNCTION("""COMPUTED_VALUE"""),45386.66666666667)</f>
        <v>45386.66667</v>
      </c>
      <c r="B1037" s="2">
        <f>IFERROR(__xludf.DUMMYFUNCTION("""COMPUTED_VALUE"""),600.0)</f>
        <v>600</v>
      </c>
      <c r="C1037" s="2">
        <f>IFERROR(__xludf.DUMMYFUNCTION("""COMPUTED_VALUE"""),600.0)</f>
        <v>600</v>
      </c>
      <c r="D1037" s="2">
        <f>IFERROR(__xludf.DUMMYFUNCTION("""COMPUTED_VALUE"""),595.0)</f>
        <v>595</v>
      </c>
      <c r="E1037" s="2">
        <f>IFERROR(__xludf.DUMMYFUNCTION("""COMPUTED_VALUE"""),600.0)</f>
        <v>600</v>
      </c>
      <c r="F1037" s="2">
        <f>IFERROR(__xludf.DUMMYFUNCTION("""COMPUTED_VALUE"""),7242300.0)</f>
        <v>7242300</v>
      </c>
      <c r="G1037" s="2">
        <f t="shared" si="1"/>
        <v>5</v>
      </c>
    </row>
    <row r="1038" ht="15.75" customHeight="1">
      <c r="A1038" s="1">
        <f>IFERROR(__xludf.DUMMYFUNCTION("""COMPUTED_VALUE"""),45387.66666666667)</f>
        <v>45387.66667</v>
      </c>
      <c r="B1038" s="2">
        <f>IFERROR(__xludf.DUMMYFUNCTION("""COMPUTED_VALUE"""),600.0)</f>
        <v>600</v>
      </c>
      <c r="C1038" s="2">
        <f>IFERROR(__xludf.DUMMYFUNCTION("""COMPUTED_VALUE"""),600.0)</f>
        <v>600</v>
      </c>
      <c r="D1038" s="2">
        <f>IFERROR(__xludf.DUMMYFUNCTION("""COMPUTED_VALUE"""),595.0)</f>
        <v>595</v>
      </c>
      <c r="E1038" s="2">
        <f>IFERROR(__xludf.DUMMYFUNCTION("""COMPUTED_VALUE"""),595.0)</f>
        <v>595</v>
      </c>
      <c r="F1038" s="2">
        <f>IFERROR(__xludf.DUMMYFUNCTION("""COMPUTED_VALUE"""),5668500.0)</f>
        <v>5668500</v>
      </c>
      <c r="G1038" s="2">
        <f t="shared" si="1"/>
        <v>5</v>
      </c>
    </row>
    <row r="1039" ht="15.75" customHeight="1">
      <c r="A1039" s="1">
        <f>IFERROR(__xludf.DUMMYFUNCTION("""COMPUTED_VALUE"""),45398.66666666667)</f>
        <v>45398.66667</v>
      </c>
      <c r="B1039" s="2">
        <f>IFERROR(__xludf.DUMMYFUNCTION("""COMPUTED_VALUE"""),595.0)</f>
        <v>595</v>
      </c>
      <c r="C1039" s="2">
        <f>IFERROR(__xludf.DUMMYFUNCTION("""COMPUTED_VALUE"""),595.0)</f>
        <v>595</v>
      </c>
      <c r="D1039" s="2">
        <f>IFERROR(__xludf.DUMMYFUNCTION("""COMPUTED_VALUE"""),585.0)</f>
        <v>585</v>
      </c>
      <c r="E1039" s="2">
        <f>IFERROR(__xludf.DUMMYFUNCTION("""COMPUTED_VALUE"""),585.0)</f>
        <v>585</v>
      </c>
      <c r="F1039" s="2">
        <f>IFERROR(__xludf.DUMMYFUNCTION("""COMPUTED_VALUE"""),2.00989E7)</f>
        <v>20098900</v>
      </c>
      <c r="G1039" s="2">
        <f t="shared" si="1"/>
        <v>10</v>
      </c>
    </row>
    <row r="1040" ht="15.75" customHeight="1">
      <c r="A1040" s="1">
        <f>IFERROR(__xludf.DUMMYFUNCTION("""COMPUTED_VALUE"""),45399.66666666667)</f>
        <v>45399.66667</v>
      </c>
      <c r="B1040" s="2">
        <f>IFERROR(__xludf.DUMMYFUNCTION("""COMPUTED_VALUE"""),590.0)</f>
        <v>590</v>
      </c>
      <c r="C1040" s="2">
        <f>IFERROR(__xludf.DUMMYFUNCTION("""COMPUTED_VALUE"""),595.0)</f>
        <v>595</v>
      </c>
      <c r="D1040" s="2">
        <f>IFERROR(__xludf.DUMMYFUNCTION("""COMPUTED_VALUE"""),585.0)</f>
        <v>585</v>
      </c>
      <c r="E1040" s="2">
        <f>IFERROR(__xludf.DUMMYFUNCTION("""COMPUTED_VALUE"""),590.0)</f>
        <v>590</v>
      </c>
      <c r="F1040" s="2">
        <f>IFERROR(__xludf.DUMMYFUNCTION("""COMPUTED_VALUE"""),1.16522E7)</f>
        <v>11652200</v>
      </c>
      <c r="G1040" s="2">
        <f t="shared" si="1"/>
        <v>10</v>
      </c>
    </row>
    <row r="1041" ht="15.75" customHeight="1">
      <c r="A1041" s="1">
        <f>IFERROR(__xludf.DUMMYFUNCTION("""COMPUTED_VALUE"""),45400.66666666667)</f>
        <v>45400.66667</v>
      </c>
      <c r="B1041" s="2">
        <f>IFERROR(__xludf.DUMMYFUNCTION("""COMPUTED_VALUE"""),590.0)</f>
        <v>590</v>
      </c>
      <c r="C1041" s="2">
        <f>IFERROR(__xludf.DUMMYFUNCTION("""COMPUTED_VALUE"""),595.0)</f>
        <v>595</v>
      </c>
      <c r="D1041" s="2">
        <f>IFERROR(__xludf.DUMMYFUNCTION("""COMPUTED_VALUE"""),590.0)</f>
        <v>590</v>
      </c>
      <c r="E1041" s="2">
        <f>IFERROR(__xludf.DUMMYFUNCTION("""COMPUTED_VALUE"""),595.0)</f>
        <v>595</v>
      </c>
      <c r="F1041" s="2">
        <f>IFERROR(__xludf.DUMMYFUNCTION("""COMPUTED_VALUE"""),3046900.0)</f>
        <v>3046900</v>
      </c>
      <c r="G1041" s="2">
        <f t="shared" si="1"/>
        <v>5</v>
      </c>
    </row>
    <row r="1042" ht="15.75" customHeight="1">
      <c r="A1042" s="1">
        <f>IFERROR(__xludf.DUMMYFUNCTION("""COMPUTED_VALUE"""),45401.66666666667)</f>
        <v>45401.66667</v>
      </c>
      <c r="B1042" s="2">
        <f>IFERROR(__xludf.DUMMYFUNCTION("""COMPUTED_VALUE"""),595.0)</f>
        <v>595</v>
      </c>
      <c r="C1042" s="2">
        <f>IFERROR(__xludf.DUMMYFUNCTION("""COMPUTED_VALUE"""),595.0)</f>
        <v>595</v>
      </c>
      <c r="D1042" s="2">
        <f>IFERROR(__xludf.DUMMYFUNCTION("""COMPUTED_VALUE"""),585.0)</f>
        <v>585</v>
      </c>
      <c r="E1042" s="2">
        <f>IFERROR(__xludf.DUMMYFUNCTION("""COMPUTED_VALUE"""),590.0)</f>
        <v>590</v>
      </c>
      <c r="F1042" s="2">
        <f>IFERROR(__xludf.DUMMYFUNCTION("""COMPUTED_VALUE"""),7710200.0)</f>
        <v>7710200</v>
      </c>
      <c r="G1042" s="2">
        <f t="shared" si="1"/>
        <v>10</v>
      </c>
    </row>
    <row r="1043" ht="15.75" customHeight="1">
      <c r="A1043" s="1">
        <f>IFERROR(__xludf.DUMMYFUNCTION("""COMPUTED_VALUE"""),45404.66666666667)</f>
        <v>45404.66667</v>
      </c>
      <c r="B1043" s="2">
        <f>IFERROR(__xludf.DUMMYFUNCTION("""COMPUTED_VALUE"""),590.0)</f>
        <v>590</v>
      </c>
      <c r="C1043" s="2">
        <f>IFERROR(__xludf.DUMMYFUNCTION("""COMPUTED_VALUE"""),595.0)</f>
        <v>595</v>
      </c>
      <c r="D1043" s="2">
        <f>IFERROR(__xludf.DUMMYFUNCTION("""COMPUTED_VALUE"""),585.0)</f>
        <v>585</v>
      </c>
      <c r="E1043" s="2">
        <f>IFERROR(__xludf.DUMMYFUNCTION("""COMPUTED_VALUE"""),590.0)</f>
        <v>590</v>
      </c>
      <c r="F1043" s="2">
        <f>IFERROR(__xludf.DUMMYFUNCTION("""COMPUTED_VALUE"""),7939300.0)</f>
        <v>7939300</v>
      </c>
      <c r="G1043" s="2">
        <f t="shared" si="1"/>
        <v>10</v>
      </c>
    </row>
    <row r="1044" ht="15.75" customHeight="1">
      <c r="A1044" s="1">
        <f>IFERROR(__xludf.DUMMYFUNCTION("""COMPUTED_VALUE"""),45405.66666666667)</f>
        <v>45405.66667</v>
      </c>
      <c r="B1044" s="2">
        <f>IFERROR(__xludf.DUMMYFUNCTION("""COMPUTED_VALUE"""),595.0)</f>
        <v>595</v>
      </c>
      <c r="C1044" s="2">
        <f>IFERROR(__xludf.DUMMYFUNCTION("""COMPUTED_VALUE"""),595.0)</f>
        <v>595</v>
      </c>
      <c r="D1044" s="2">
        <f>IFERROR(__xludf.DUMMYFUNCTION("""COMPUTED_VALUE"""),585.0)</f>
        <v>585</v>
      </c>
      <c r="E1044" s="2">
        <f>IFERROR(__xludf.DUMMYFUNCTION("""COMPUTED_VALUE"""),590.0)</f>
        <v>590</v>
      </c>
      <c r="F1044" s="2">
        <f>IFERROR(__xludf.DUMMYFUNCTION("""COMPUTED_VALUE"""),3435600.0)</f>
        <v>3435600</v>
      </c>
      <c r="G1044" s="2">
        <f t="shared" si="1"/>
        <v>10</v>
      </c>
    </row>
    <row r="1045" ht="15.75" customHeight="1">
      <c r="A1045" s="1">
        <f>IFERROR(__xludf.DUMMYFUNCTION("""COMPUTED_VALUE"""),45406.66666666667)</f>
        <v>45406.66667</v>
      </c>
      <c r="B1045" s="2">
        <f>IFERROR(__xludf.DUMMYFUNCTION("""COMPUTED_VALUE"""),590.0)</f>
        <v>590</v>
      </c>
      <c r="C1045" s="2">
        <f>IFERROR(__xludf.DUMMYFUNCTION("""COMPUTED_VALUE"""),590.0)</f>
        <v>590</v>
      </c>
      <c r="D1045" s="2">
        <f>IFERROR(__xludf.DUMMYFUNCTION("""COMPUTED_VALUE"""),585.0)</f>
        <v>585</v>
      </c>
      <c r="E1045" s="2">
        <f>IFERROR(__xludf.DUMMYFUNCTION("""COMPUTED_VALUE"""),585.0)</f>
        <v>585</v>
      </c>
      <c r="F1045" s="2">
        <f>IFERROR(__xludf.DUMMYFUNCTION("""COMPUTED_VALUE"""),4700600.0)</f>
        <v>4700600</v>
      </c>
      <c r="G1045" s="2">
        <f t="shared" si="1"/>
        <v>5</v>
      </c>
    </row>
    <row r="1046" ht="15.75" customHeight="1">
      <c r="A1046" s="1">
        <f>IFERROR(__xludf.DUMMYFUNCTION("""COMPUTED_VALUE"""),45407.66666666667)</f>
        <v>45407.66667</v>
      </c>
      <c r="B1046" s="2">
        <f>IFERROR(__xludf.DUMMYFUNCTION("""COMPUTED_VALUE"""),590.0)</f>
        <v>590</v>
      </c>
      <c r="C1046" s="2">
        <f>IFERROR(__xludf.DUMMYFUNCTION("""COMPUTED_VALUE"""),590.0)</f>
        <v>590</v>
      </c>
      <c r="D1046" s="2">
        <f>IFERROR(__xludf.DUMMYFUNCTION("""COMPUTED_VALUE"""),580.0)</f>
        <v>580</v>
      </c>
      <c r="E1046" s="2">
        <f>IFERROR(__xludf.DUMMYFUNCTION("""COMPUTED_VALUE"""),585.0)</f>
        <v>585</v>
      </c>
      <c r="F1046" s="2">
        <f>IFERROR(__xludf.DUMMYFUNCTION("""COMPUTED_VALUE"""),6494400.0)</f>
        <v>6494400</v>
      </c>
      <c r="G1046" s="2">
        <f t="shared" si="1"/>
        <v>10</v>
      </c>
    </row>
    <row r="1047" ht="15.75" customHeight="1">
      <c r="A1047" s="1">
        <f>IFERROR(__xludf.DUMMYFUNCTION("""COMPUTED_VALUE"""),45408.66666666667)</f>
        <v>45408.66667</v>
      </c>
      <c r="B1047" s="2">
        <f>IFERROR(__xludf.DUMMYFUNCTION("""COMPUTED_VALUE"""),585.0)</f>
        <v>585</v>
      </c>
      <c r="C1047" s="2">
        <f>IFERROR(__xludf.DUMMYFUNCTION("""COMPUTED_VALUE"""),585.0)</f>
        <v>585</v>
      </c>
      <c r="D1047" s="2">
        <f>IFERROR(__xludf.DUMMYFUNCTION("""COMPUTED_VALUE"""),565.0)</f>
        <v>565</v>
      </c>
      <c r="E1047" s="2">
        <f>IFERROR(__xludf.DUMMYFUNCTION("""COMPUTED_VALUE"""),575.0)</f>
        <v>575</v>
      </c>
      <c r="F1047" s="2">
        <f>IFERROR(__xludf.DUMMYFUNCTION("""COMPUTED_VALUE"""),1.45274E7)</f>
        <v>14527400</v>
      </c>
      <c r="G1047" s="2">
        <f t="shared" si="1"/>
        <v>20</v>
      </c>
    </row>
    <row r="1048" ht="15.75" customHeight="1">
      <c r="A1048" s="1">
        <f>IFERROR(__xludf.DUMMYFUNCTION("""COMPUTED_VALUE"""),45411.66666666667)</f>
        <v>45411.66667</v>
      </c>
      <c r="B1048" s="2">
        <f>IFERROR(__xludf.DUMMYFUNCTION("""COMPUTED_VALUE"""),580.0)</f>
        <v>580</v>
      </c>
      <c r="C1048" s="2">
        <f>IFERROR(__xludf.DUMMYFUNCTION("""COMPUTED_VALUE"""),590.0)</f>
        <v>590</v>
      </c>
      <c r="D1048" s="2">
        <f>IFERROR(__xludf.DUMMYFUNCTION("""COMPUTED_VALUE"""),570.0)</f>
        <v>570</v>
      </c>
      <c r="E1048" s="2">
        <f>IFERROR(__xludf.DUMMYFUNCTION("""COMPUTED_VALUE"""),590.0)</f>
        <v>590</v>
      </c>
      <c r="F1048" s="2">
        <f>IFERROR(__xludf.DUMMYFUNCTION("""COMPUTED_VALUE"""),1.23387E7)</f>
        <v>12338700</v>
      </c>
      <c r="G1048" s="2">
        <f t="shared" si="1"/>
        <v>20</v>
      </c>
    </row>
    <row r="1049" ht="15.75" customHeight="1">
      <c r="A1049" s="1">
        <f>IFERROR(__xludf.DUMMYFUNCTION("""COMPUTED_VALUE"""),45412.66666666667)</f>
        <v>45412.66667</v>
      </c>
      <c r="B1049" s="2">
        <f>IFERROR(__xludf.DUMMYFUNCTION("""COMPUTED_VALUE"""),590.0)</f>
        <v>590</v>
      </c>
      <c r="C1049" s="2">
        <f>IFERROR(__xludf.DUMMYFUNCTION("""COMPUTED_VALUE"""),595.0)</f>
        <v>595</v>
      </c>
      <c r="D1049" s="2">
        <f>IFERROR(__xludf.DUMMYFUNCTION("""COMPUTED_VALUE"""),585.0)</f>
        <v>585</v>
      </c>
      <c r="E1049" s="2">
        <f>IFERROR(__xludf.DUMMYFUNCTION("""COMPUTED_VALUE"""),595.0)</f>
        <v>595</v>
      </c>
      <c r="F1049" s="2">
        <f>IFERROR(__xludf.DUMMYFUNCTION("""COMPUTED_VALUE"""),5745400.0)</f>
        <v>5745400</v>
      </c>
      <c r="G1049" s="2">
        <f t="shared" si="1"/>
        <v>10</v>
      </c>
    </row>
    <row r="1050" ht="15.75" customHeight="1">
      <c r="A1050" s="1">
        <f>IFERROR(__xludf.DUMMYFUNCTION("""COMPUTED_VALUE"""),45414.66666666667)</f>
        <v>45414.66667</v>
      </c>
      <c r="B1050" s="2">
        <f>IFERROR(__xludf.DUMMYFUNCTION("""COMPUTED_VALUE"""),595.0)</f>
        <v>595</v>
      </c>
      <c r="C1050" s="2">
        <f>IFERROR(__xludf.DUMMYFUNCTION("""COMPUTED_VALUE"""),595.0)</f>
        <v>595</v>
      </c>
      <c r="D1050" s="2">
        <f>IFERROR(__xludf.DUMMYFUNCTION("""COMPUTED_VALUE"""),575.0)</f>
        <v>575</v>
      </c>
      <c r="E1050" s="2">
        <f>IFERROR(__xludf.DUMMYFUNCTION("""COMPUTED_VALUE"""),580.0)</f>
        <v>580</v>
      </c>
      <c r="F1050" s="2">
        <f>IFERROR(__xludf.DUMMYFUNCTION("""COMPUTED_VALUE"""),9574600.0)</f>
        <v>9574600</v>
      </c>
      <c r="G1050" s="2">
        <f t="shared" si="1"/>
        <v>20</v>
      </c>
    </row>
    <row r="1051" ht="15.75" customHeight="1">
      <c r="A1051" s="1">
        <f>IFERROR(__xludf.DUMMYFUNCTION("""COMPUTED_VALUE"""),45415.66666666667)</f>
        <v>45415.66667</v>
      </c>
      <c r="B1051" s="2">
        <f>IFERROR(__xludf.DUMMYFUNCTION("""COMPUTED_VALUE"""),585.0)</f>
        <v>585</v>
      </c>
      <c r="C1051" s="2">
        <f>IFERROR(__xludf.DUMMYFUNCTION("""COMPUTED_VALUE"""),595.0)</f>
        <v>595</v>
      </c>
      <c r="D1051" s="2">
        <f>IFERROR(__xludf.DUMMYFUNCTION("""COMPUTED_VALUE"""),580.0)</f>
        <v>580</v>
      </c>
      <c r="E1051" s="2">
        <f>IFERROR(__xludf.DUMMYFUNCTION("""COMPUTED_VALUE"""),585.0)</f>
        <v>585</v>
      </c>
      <c r="F1051" s="2">
        <f>IFERROR(__xludf.DUMMYFUNCTION("""COMPUTED_VALUE"""),6833400.0)</f>
        <v>6833400</v>
      </c>
      <c r="G1051" s="2">
        <f t="shared" si="1"/>
        <v>15</v>
      </c>
    </row>
    <row r="1052" ht="15.75" customHeight="1">
      <c r="A1052" s="1">
        <f>IFERROR(__xludf.DUMMYFUNCTION("""COMPUTED_VALUE"""),45418.66666666667)</f>
        <v>45418.66667</v>
      </c>
      <c r="B1052" s="2">
        <f>IFERROR(__xludf.DUMMYFUNCTION("""COMPUTED_VALUE"""),585.0)</f>
        <v>585</v>
      </c>
      <c r="C1052" s="2">
        <f>IFERROR(__xludf.DUMMYFUNCTION("""COMPUTED_VALUE"""),595.0)</f>
        <v>595</v>
      </c>
      <c r="D1052" s="2">
        <f>IFERROR(__xludf.DUMMYFUNCTION("""COMPUTED_VALUE"""),585.0)</f>
        <v>585</v>
      </c>
      <c r="E1052" s="2">
        <f>IFERROR(__xludf.DUMMYFUNCTION("""COMPUTED_VALUE"""),585.0)</f>
        <v>585</v>
      </c>
      <c r="F1052" s="2">
        <f>IFERROR(__xludf.DUMMYFUNCTION("""COMPUTED_VALUE"""),4508100.0)</f>
        <v>4508100</v>
      </c>
      <c r="G1052" s="2">
        <f t="shared" si="1"/>
        <v>10</v>
      </c>
    </row>
    <row r="1053" ht="15.75" customHeight="1">
      <c r="A1053" s="1">
        <f>IFERROR(__xludf.DUMMYFUNCTION("""COMPUTED_VALUE"""),45419.66666666667)</f>
        <v>45419.66667</v>
      </c>
      <c r="B1053" s="2">
        <f>IFERROR(__xludf.DUMMYFUNCTION("""COMPUTED_VALUE"""),585.0)</f>
        <v>585</v>
      </c>
      <c r="C1053" s="2">
        <f>IFERROR(__xludf.DUMMYFUNCTION("""COMPUTED_VALUE"""),590.0)</f>
        <v>590</v>
      </c>
      <c r="D1053" s="2">
        <f>IFERROR(__xludf.DUMMYFUNCTION("""COMPUTED_VALUE"""),580.0)</f>
        <v>580</v>
      </c>
      <c r="E1053" s="2">
        <f>IFERROR(__xludf.DUMMYFUNCTION("""COMPUTED_VALUE"""),580.0)</f>
        <v>580</v>
      </c>
      <c r="F1053" s="2">
        <f>IFERROR(__xludf.DUMMYFUNCTION("""COMPUTED_VALUE"""),4506300.0)</f>
        <v>4506300</v>
      </c>
      <c r="G1053" s="2">
        <f t="shared" si="1"/>
        <v>10</v>
      </c>
    </row>
    <row r="1054" ht="15.75" customHeight="1">
      <c r="A1054" s="1">
        <f>IFERROR(__xludf.DUMMYFUNCTION("""COMPUTED_VALUE"""),45420.66666666667)</f>
        <v>45420.66667</v>
      </c>
      <c r="B1054" s="2">
        <f>IFERROR(__xludf.DUMMYFUNCTION("""COMPUTED_VALUE"""),580.0)</f>
        <v>580</v>
      </c>
      <c r="C1054" s="2">
        <f>IFERROR(__xludf.DUMMYFUNCTION("""COMPUTED_VALUE"""),585.0)</f>
        <v>585</v>
      </c>
      <c r="D1054" s="2">
        <f>IFERROR(__xludf.DUMMYFUNCTION("""COMPUTED_VALUE"""),570.0)</f>
        <v>570</v>
      </c>
      <c r="E1054" s="2">
        <f>IFERROR(__xludf.DUMMYFUNCTION("""COMPUTED_VALUE"""),570.0)</f>
        <v>570</v>
      </c>
      <c r="F1054" s="2">
        <f>IFERROR(__xludf.DUMMYFUNCTION("""COMPUTED_VALUE"""),1.38781E7)</f>
        <v>13878100</v>
      </c>
      <c r="G1054" s="2">
        <f t="shared" si="1"/>
        <v>15</v>
      </c>
    </row>
    <row r="1055" ht="15.75" customHeight="1">
      <c r="A1055" s="1">
        <f>IFERROR(__xludf.DUMMYFUNCTION("""COMPUTED_VALUE"""),45425.66666666667)</f>
        <v>45425.66667</v>
      </c>
      <c r="B1055" s="2">
        <f>IFERROR(__xludf.DUMMYFUNCTION("""COMPUTED_VALUE"""),575.0)</f>
        <v>575</v>
      </c>
      <c r="C1055" s="2">
        <f>IFERROR(__xludf.DUMMYFUNCTION("""COMPUTED_VALUE"""),585.0)</f>
        <v>585</v>
      </c>
      <c r="D1055" s="2">
        <f>IFERROR(__xludf.DUMMYFUNCTION("""COMPUTED_VALUE"""),570.0)</f>
        <v>570</v>
      </c>
      <c r="E1055" s="2">
        <f>IFERROR(__xludf.DUMMYFUNCTION("""COMPUTED_VALUE"""),575.0)</f>
        <v>575</v>
      </c>
      <c r="F1055" s="2">
        <f>IFERROR(__xludf.DUMMYFUNCTION("""COMPUTED_VALUE"""),3267200.0)</f>
        <v>3267200</v>
      </c>
      <c r="G1055" s="2">
        <f t="shared" si="1"/>
        <v>15</v>
      </c>
    </row>
    <row r="1056" ht="15.75" customHeight="1">
      <c r="A1056" s="1">
        <f>IFERROR(__xludf.DUMMYFUNCTION("""COMPUTED_VALUE"""),45426.66666666667)</f>
        <v>45426.66667</v>
      </c>
      <c r="B1056" s="2">
        <f>IFERROR(__xludf.DUMMYFUNCTION("""COMPUTED_VALUE"""),575.0)</f>
        <v>575</v>
      </c>
      <c r="C1056" s="2">
        <f>IFERROR(__xludf.DUMMYFUNCTION("""COMPUTED_VALUE"""),585.0)</f>
        <v>585</v>
      </c>
      <c r="D1056" s="2">
        <f>IFERROR(__xludf.DUMMYFUNCTION("""COMPUTED_VALUE"""),575.0)</f>
        <v>575</v>
      </c>
      <c r="E1056" s="2">
        <f>IFERROR(__xludf.DUMMYFUNCTION("""COMPUTED_VALUE"""),580.0)</f>
        <v>580</v>
      </c>
      <c r="F1056" s="2">
        <f>IFERROR(__xludf.DUMMYFUNCTION("""COMPUTED_VALUE"""),4111400.0)</f>
        <v>4111400</v>
      </c>
      <c r="G1056" s="2">
        <f t="shared" si="1"/>
        <v>10</v>
      </c>
    </row>
    <row r="1057" ht="15.75" customHeight="1">
      <c r="A1057" s="1">
        <f>IFERROR(__xludf.DUMMYFUNCTION("""COMPUTED_VALUE"""),45427.66666666667)</f>
        <v>45427.66667</v>
      </c>
      <c r="B1057" s="2">
        <f>IFERROR(__xludf.DUMMYFUNCTION("""COMPUTED_VALUE"""),580.0)</f>
        <v>580</v>
      </c>
      <c r="C1057" s="2">
        <f>IFERROR(__xludf.DUMMYFUNCTION("""COMPUTED_VALUE"""),585.0)</f>
        <v>585</v>
      </c>
      <c r="D1057" s="2">
        <f>IFERROR(__xludf.DUMMYFUNCTION("""COMPUTED_VALUE"""),580.0)</f>
        <v>580</v>
      </c>
      <c r="E1057" s="2">
        <f>IFERROR(__xludf.DUMMYFUNCTION("""COMPUTED_VALUE"""),585.0)</f>
        <v>585</v>
      </c>
      <c r="F1057" s="2">
        <f>IFERROR(__xludf.DUMMYFUNCTION("""COMPUTED_VALUE"""),6964200.0)</f>
        <v>6964200</v>
      </c>
      <c r="G1057" s="2">
        <f t="shared" si="1"/>
        <v>5</v>
      </c>
    </row>
    <row r="1058" ht="15.75" customHeight="1">
      <c r="A1058" s="1">
        <f>IFERROR(__xludf.DUMMYFUNCTION("""COMPUTED_VALUE"""),45428.66666666667)</f>
        <v>45428.66667</v>
      </c>
      <c r="B1058" s="2">
        <f>IFERROR(__xludf.DUMMYFUNCTION("""COMPUTED_VALUE"""),585.0)</f>
        <v>585</v>
      </c>
      <c r="C1058" s="2">
        <f>IFERROR(__xludf.DUMMYFUNCTION("""COMPUTED_VALUE"""),590.0)</f>
        <v>590</v>
      </c>
      <c r="D1058" s="2">
        <f>IFERROR(__xludf.DUMMYFUNCTION("""COMPUTED_VALUE"""),580.0)</f>
        <v>580</v>
      </c>
      <c r="E1058" s="2">
        <f>IFERROR(__xludf.DUMMYFUNCTION("""COMPUTED_VALUE"""),590.0)</f>
        <v>590</v>
      </c>
      <c r="F1058" s="2">
        <f>IFERROR(__xludf.DUMMYFUNCTION("""COMPUTED_VALUE"""),2675700.0)</f>
        <v>2675700</v>
      </c>
      <c r="G1058" s="2">
        <f t="shared" si="1"/>
        <v>10</v>
      </c>
    </row>
    <row r="1059" ht="15.75" customHeight="1">
      <c r="A1059" s="1">
        <f>IFERROR(__xludf.DUMMYFUNCTION("""COMPUTED_VALUE"""),45429.66666666667)</f>
        <v>45429.66667</v>
      </c>
      <c r="B1059" s="2">
        <f>IFERROR(__xludf.DUMMYFUNCTION("""COMPUTED_VALUE"""),590.0)</f>
        <v>590</v>
      </c>
      <c r="C1059" s="2">
        <f>IFERROR(__xludf.DUMMYFUNCTION("""COMPUTED_VALUE"""),595.0)</f>
        <v>595</v>
      </c>
      <c r="D1059" s="2">
        <f>IFERROR(__xludf.DUMMYFUNCTION("""COMPUTED_VALUE"""),585.0)</f>
        <v>585</v>
      </c>
      <c r="E1059" s="2">
        <f>IFERROR(__xludf.DUMMYFUNCTION("""COMPUTED_VALUE"""),585.0)</f>
        <v>585</v>
      </c>
      <c r="F1059" s="2">
        <f>IFERROR(__xludf.DUMMYFUNCTION("""COMPUTED_VALUE"""),4892700.0)</f>
        <v>4892700</v>
      </c>
      <c r="G1059" s="2">
        <f t="shared" si="1"/>
        <v>10</v>
      </c>
    </row>
    <row r="1060" ht="15.75" customHeight="1">
      <c r="A1060" s="1">
        <f>IFERROR(__xludf.DUMMYFUNCTION("""COMPUTED_VALUE"""),45432.66666666667)</f>
        <v>45432.66667</v>
      </c>
      <c r="B1060" s="2">
        <f>IFERROR(__xludf.DUMMYFUNCTION("""COMPUTED_VALUE"""),585.0)</f>
        <v>585</v>
      </c>
      <c r="C1060" s="2">
        <f>IFERROR(__xludf.DUMMYFUNCTION("""COMPUTED_VALUE"""),590.0)</f>
        <v>590</v>
      </c>
      <c r="D1060" s="2">
        <f>IFERROR(__xludf.DUMMYFUNCTION("""COMPUTED_VALUE"""),575.0)</f>
        <v>575</v>
      </c>
      <c r="E1060" s="2">
        <f>IFERROR(__xludf.DUMMYFUNCTION("""COMPUTED_VALUE"""),575.0)</f>
        <v>575</v>
      </c>
      <c r="F1060" s="2">
        <f>IFERROR(__xludf.DUMMYFUNCTION("""COMPUTED_VALUE"""),1.70849E7)</f>
        <v>17084900</v>
      </c>
      <c r="G1060" s="2">
        <f t="shared" si="1"/>
        <v>15</v>
      </c>
    </row>
    <row r="1061" ht="15.75" customHeight="1">
      <c r="A1061" s="1">
        <f>IFERROR(__xludf.DUMMYFUNCTION("""COMPUTED_VALUE"""),45433.66666666667)</f>
        <v>45433.66667</v>
      </c>
      <c r="B1061" s="2">
        <f>IFERROR(__xludf.DUMMYFUNCTION("""COMPUTED_VALUE"""),580.0)</f>
        <v>580</v>
      </c>
      <c r="C1061" s="2">
        <f>IFERROR(__xludf.DUMMYFUNCTION("""COMPUTED_VALUE"""),580.0)</f>
        <v>580</v>
      </c>
      <c r="D1061" s="2">
        <f>IFERROR(__xludf.DUMMYFUNCTION("""COMPUTED_VALUE"""),570.0)</f>
        <v>570</v>
      </c>
      <c r="E1061" s="2">
        <f>IFERROR(__xludf.DUMMYFUNCTION("""COMPUTED_VALUE"""),570.0)</f>
        <v>570</v>
      </c>
      <c r="F1061" s="2">
        <f>IFERROR(__xludf.DUMMYFUNCTION("""COMPUTED_VALUE"""),1.09191E7)</f>
        <v>10919100</v>
      </c>
      <c r="G1061" s="2">
        <f t="shared" si="1"/>
        <v>10</v>
      </c>
    </row>
    <row r="1062" ht="15.75" customHeight="1">
      <c r="A1062" s="1">
        <f>IFERROR(__xludf.DUMMYFUNCTION("""COMPUTED_VALUE"""),45434.66666666667)</f>
        <v>45434.66667</v>
      </c>
      <c r="B1062" s="2">
        <f>IFERROR(__xludf.DUMMYFUNCTION("""COMPUTED_VALUE"""),575.0)</f>
        <v>575</v>
      </c>
      <c r="C1062" s="2">
        <f>IFERROR(__xludf.DUMMYFUNCTION("""COMPUTED_VALUE"""),575.0)</f>
        <v>575</v>
      </c>
      <c r="D1062" s="2">
        <f>IFERROR(__xludf.DUMMYFUNCTION("""COMPUTED_VALUE"""),565.0)</f>
        <v>565</v>
      </c>
      <c r="E1062" s="2">
        <f>IFERROR(__xludf.DUMMYFUNCTION("""COMPUTED_VALUE"""),570.0)</f>
        <v>570</v>
      </c>
      <c r="F1062" s="2">
        <f>IFERROR(__xludf.DUMMYFUNCTION("""COMPUTED_VALUE"""),1.88077E7)</f>
        <v>18807700</v>
      </c>
      <c r="G1062" s="2">
        <f t="shared" si="1"/>
        <v>10</v>
      </c>
    </row>
    <row r="1063" ht="15.75" customHeight="1">
      <c r="A1063" s="1">
        <f>IFERROR(__xludf.DUMMYFUNCTION("""COMPUTED_VALUE"""),45439.66666666667)</f>
        <v>45439.66667</v>
      </c>
      <c r="B1063" s="2">
        <f>IFERROR(__xludf.DUMMYFUNCTION("""COMPUTED_VALUE"""),570.0)</f>
        <v>570</v>
      </c>
      <c r="C1063" s="2">
        <f>IFERROR(__xludf.DUMMYFUNCTION("""COMPUTED_VALUE"""),570.0)</f>
        <v>570</v>
      </c>
      <c r="D1063" s="2">
        <f>IFERROR(__xludf.DUMMYFUNCTION("""COMPUTED_VALUE"""),565.0)</f>
        <v>565</v>
      </c>
      <c r="E1063" s="2">
        <f>IFERROR(__xludf.DUMMYFUNCTION("""COMPUTED_VALUE"""),565.0)</f>
        <v>565</v>
      </c>
      <c r="F1063" s="2">
        <f>IFERROR(__xludf.DUMMYFUNCTION("""COMPUTED_VALUE"""),7011900.0)</f>
        <v>7011900</v>
      </c>
      <c r="G1063" s="2">
        <f t="shared" si="1"/>
        <v>5</v>
      </c>
    </row>
    <row r="1064" ht="15.75" customHeight="1">
      <c r="A1064" s="1">
        <f>IFERROR(__xludf.DUMMYFUNCTION("""COMPUTED_VALUE"""),45440.66666666667)</f>
        <v>45440.66667</v>
      </c>
      <c r="B1064" s="2">
        <f>IFERROR(__xludf.DUMMYFUNCTION("""COMPUTED_VALUE"""),565.0)</f>
        <v>565</v>
      </c>
      <c r="C1064" s="2">
        <f>IFERROR(__xludf.DUMMYFUNCTION("""COMPUTED_VALUE"""),575.0)</f>
        <v>575</v>
      </c>
      <c r="D1064" s="2">
        <f>IFERROR(__xludf.DUMMYFUNCTION("""COMPUTED_VALUE"""),565.0)</f>
        <v>565</v>
      </c>
      <c r="E1064" s="2">
        <f>IFERROR(__xludf.DUMMYFUNCTION("""COMPUTED_VALUE"""),570.0)</f>
        <v>570</v>
      </c>
      <c r="F1064" s="2">
        <f>IFERROR(__xludf.DUMMYFUNCTION("""COMPUTED_VALUE"""),4769700.0)</f>
        <v>4769700</v>
      </c>
      <c r="G1064" s="2">
        <f t="shared" si="1"/>
        <v>10</v>
      </c>
    </row>
    <row r="1065" ht="15.75" customHeight="1">
      <c r="A1065" s="1">
        <f>IFERROR(__xludf.DUMMYFUNCTION("""COMPUTED_VALUE"""),45441.66666666667)</f>
        <v>45441.66667</v>
      </c>
      <c r="B1065" s="2">
        <f>IFERROR(__xludf.DUMMYFUNCTION("""COMPUTED_VALUE"""),570.0)</f>
        <v>570</v>
      </c>
      <c r="C1065" s="2">
        <f>IFERROR(__xludf.DUMMYFUNCTION("""COMPUTED_VALUE"""),575.0)</f>
        <v>575</v>
      </c>
      <c r="D1065" s="2">
        <f>IFERROR(__xludf.DUMMYFUNCTION("""COMPUTED_VALUE"""),550.0)</f>
        <v>550</v>
      </c>
      <c r="E1065" s="2">
        <f>IFERROR(__xludf.DUMMYFUNCTION("""COMPUTED_VALUE"""),550.0)</f>
        <v>550</v>
      </c>
      <c r="F1065" s="2">
        <f>IFERROR(__xludf.DUMMYFUNCTION("""COMPUTED_VALUE"""),3.47046E7)</f>
        <v>34704600</v>
      </c>
      <c r="G1065" s="2">
        <f t="shared" si="1"/>
        <v>25</v>
      </c>
    </row>
    <row r="1066" ht="15.75" customHeight="1">
      <c r="A1066" s="1">
        <f>IFERROR(__xludf.DUMMYFUNCTION("""COMPUTED_VALUE"""),45442.66666666667)</f>
        <v>45442.66667</v>
      </c>
      <c r="B1066" s="2">
        <f>IFERROR(__xludf.DUMMYFUNCTION("""COMPUTED_VALUE"""),550.0)</f>
        <v>550</v>
      </c>
      <c r="C1066" s="2">
        <f>IFERROR(__xludf.DUMMYFUNCTION("""COMPUTED_VALUE"""),555.0)</f>
        <v>555</v>
      </c>
      <c r="D1066" s="2">
        <f>IFERROR(__xludf.DUMMYFUNCTION("""COMPUTED_VALUE"""),525.0)</f>
        <v>525</v>
      </c>
      <c r="E1066" s="2">
        <f>IFERROR(__xludf.DUMMYFUNCTION("""COMPUTED_VALUE"""),535.0)</f>
        <v>535</v>
      </c>
      <c r="F1066" s="2">
        <f>IFERROR(__xludf.DUMMYFUNCTION("""COMPUTED_VALUE"""),3.69203E7)</f>
        <v>36920300</v>
      </c>
      <c r="G1066" s="2">
        <f t="shared" si="1"/>
        <v>30</v>
      </c>
    </row>
    <row r="1067" ht="15.75" customHeight="1">
      <c r="A1067" s="1">
        <f>IFERROR(__xludf.DUMMYFUNCTION("""COMPUTED_VALUE"""),45443.66666666667)</f>
        <v>45443.66667</v>
      </c>
      <c r="B1067" s="2">
        <f>IFERROR(__xludf.DUMMYFUNCTION("""COMPUTED_VALUE"""),535.0)</f>
        <v>535</v>
      </c>
      <c r="C1067" s="2">
        <f>IFERROR(__xludf.DUMMYFUNCTION("""COMPUTED_VALUE"""),540.0)</f>
        <v>540</v>
      </c>
      <c r="D1067" s="2">
        <f>IFERROR(__xludf.DUMMYFUNCTION("""COMPUTED_VALUE"""),500.0)</f>
        <v>500</v>
      </c>
      <c r="E1067" s="2">
        <f>IFERROR(__xludf.DUMMYFUNCTION("""COMPUTED_VALUE"""),500.0)</f>
        <v>500</v>
      </c>
      <c r="F1067" s="2">
        <f>IFERROR(__xludf.DUMMYFUNCTION("""COMPUTED_VALUE"""),1.040025E8)</f>
        <v>104002500</v>
      </c>
      <c r="G1067" s="2">
        <f t="shared" si="1"/>
        <v>40</v>
      </c>
    </row>
    <row r="1068" ht="15.75" customHeight="1">
      <c r="A1068" s="1">
        <f>IFERROR(__xludf.DUMMYFUNCTION("""COMPUTED_VALUE"""),45446.66666666667)</f>
        <v>45446.66667</v>
      </c>
      <c r="B1068" s="2">
        <f>IFERROR(__xludf.DUMMYFUNCTION("""COMPUTED_VALUE"""),510.0)</f>
        <v>510</v>
      </c>
      <c r="C1068" s="2">
        <f>IFERROR(__xludf.DUMMYFUNCTION("""COMPUTED_VALUE"""),540.0)</f>
        <v>540</v>
      </c>
      <c r="D1068" s="2">
        <f>IFERROR(__xludf.DUMMYFUNCTION("""COMPUTED_VALUE"""),505.0)</f>
        <v>505</v>
      </c>
      <c r="E1068" s="2">
        <f>IFERROR(__xludf.DUMMYFUNCTION("""COMPUTED_VALUE"""),535.0)</f>
        <v>535</v>
      </c>
      <c r="F1068" s="2">
        <f>IFERROR(__xludf.DUMMYFUNCTION("""COMPUTED_VALUE"""),1.85824E7)</f>
        <v>18582400</v>
      </c>
      <c r="G1068" s="2">
        <f t="shared" si="1"/>
        <v>40</v>
      </c>
    </row>
    <row r="1069" ht="15.75" customHeight="1">
      <c r="A1069" s="1">
        <f>IFERROR(__xludf.DUMMYFUNCTION("""COMPUTED_VALUE"""),45447.66666666667)</f>
        <v>45447.66667</v>
      </c>
      <c r="B1069" s="2">
        <f>IFERROR(__xludf.DUMMYFUNCTION("""COMPUTED_VALUE"""),535.0)</f>
        <v>535</v>
      </c>
      <c r="C1069" s="2">
        <f>IFERROR(__xludf.DUMMYFUNCTION("""COMPUTED_VALUE"""),545.0)</f>
        <v>545</v>
      </c>
      <c r="D1069" s="2">
        <f>IFERROR(__xludf.DUMMYFUNCTION("""COMPUTED_VALUE"""),530.0)</f>
        <v>530</v>
      </c>
      <c r="E1069" s="2">
        <f>IFERROR(__xludf.DUMMYFUNCTION("""COMPUTED_VALUE"""),530.0)</f>
        <v>530</v>
      </c>
      <c r="F1069" s="2">
        <f>IFERROR(__xludf.DUMMYFUNCTION("""COMPUTED_VALUE"""),1.20631E7)</f>
        <v>12063100</v>
      </c>
      <c r="G1069" s="2">
        <f t="shared" si="1"/>
        <v>15</v>
      </c>
    </row>
    <row r="1070" ht="15.75" customHeight="1">
      <c r="A1070" s="1">
        <f>IFERROR(__xludf.DUMMYFUNCTION("""COMPUTED_VALUE"""),45448.66666666667)</f>
        <v>45448.66667</v>
      </c>
      <c r="B1070" s="2">
        <f>IFERROR(__xludf.DUMMYFUNCTION("""COMPUTED_VALUE"""),535.0)</f>
        <v>535</v>
      </c>
      <c r="C1070" s="2">
        <f>IFERROR(__xludf.DUMMYFUNCTION("""COMPUTED_VALUE"""),540.0)</f>
        <v>540</v>
      </c>
      <c r="D1070" s="2">
        <f>IFERROR(__xludf.DUMMYFUNCTION("""COMPUTED_VALUE"""),530.0)</f>
        <v>530</v>
      </c>
      <c r="E1070" s="2">
        <f>IFERROR(__xludf.DUMMYFUNCTION("""COMPUTED_VALUE"""),535.0)</f>
        <v>535</v>
      </c>
      <c r="F1070" s="2">
        <f>IFERROR(__xludf.DUMMYFUNCTION("""COMPUTED_VALUE"""),7440200.0)</f>
        <v>7440200</v>
      </c>
      <c r="G1070" s="2">
        <f t="shared" si="1"/>
        <v>10</v>
      </c>
    </row>
    <row r="1071" ht="15.75" customHeight="1">
      <c r="A1071" s="1">
        <f>IFERROR(__xludf.DUMMYFUNCTION("""COMPUTED_VALUE"""),45449.66666666667)</f>
        <v>45449.66667</v>
      </c>
      <c r="B1071" s="2">
        <f>IFERROR(__xludf.DUMMYFUNCTION("""COMPUTED_VALUE"""),535.0)</f>
        <v>535</v>
      </c>
      <c r="C1071" s="2">
        <f>IFERROR(__xludf.DUMMYFUNCTION("""COMPUTED_VALUE"""),540.0)</f>
        <v>540</v>
      </c>
      <c r="D1071" s="2">
        <f>IFERROR(__xludf.DUMMYFUNCTION("""COMPUTED_VALUE"""),535.0)</f>
        <v>535</v>
      </c>
      <c r="E1071" s="2">
        <f>IFERROR(__xludf.DUMMYFUNCTION("""COMPUTED_VALUE"""),535.0)</f>
        <v>535</v>
      </c>
      <c r="F1071" s="2">
        <f>IFERROR(__xludf.DUMMYFUNCTION("""COMPUTED_VALUE"""),5565800.0)</f>
        <v>5565800</v>
      </c>
      <c r="G1071" s="2">
        <f t="shared" si="1"/>
        <v>5</v>
      </c>
    </row>
    <row r="1072" ht="15.75" customHeight="1">
      <c r="A1072" s="1">
        <f>IFERROR(__xludf.DUMMYFUNCTION("""COMPUTED_VALUE"""),45450.66666666667)</f>
        <v>45450.66667</v>
      </c>
      <c r="B1072" s="2">
        <f>IFERROR(__xludf.DUMMYFUNCTION("""COMPUTED_VALUE"""),540.0)</f>
        <v>540</v>
      </c>
      <c r="C1072" s="2">
        <f>IFERROR(__xludf.DUMMYFUNCTION("""COMPUTED_VALUE"""),540.0)</f>
        <v>540</v>
      </c>
      <c r="D1072" s="2">
        <f>IFERROR(__xludf.DUMMYFUNCTION("""COMPUTED_VALUE"""),535.0)</f>
        <v>535</v>
      </c>
      <c r="E1072" s="2">
        <f>IFERROR(__xludf.DUMMYFUNCTION("""COMPUTED_VALUE"""),535.0)</f>
        <v>535</v>
      </c>
      <c r="F1072" s="2">
        <f>IFERROR(__xludf.DUMMYFUNCTION("""COMPUTED_VALUE"""),6375300.0)</f>
        <v>6375300</v>
      </c>
      <c r="G1072" s="2">
        <f t="shared" si="1"/>
        <v>5</v>
      </c>
    </row>
    <row r="1073" ht="15.75" customHeight="1">
      <c r="A1073" s="1">
        <f>IFERROR(__xludf.DUMMYFUNCTION("""COMPUTED_VALUE"""),45453.66666666667)</f>
        <v>45453.66667</v>
      </c>
      <c r="B1073" s="2">
        <f>IFERROR(__xludf.DUMMYFUNCTION("""COMPUTED_VALUE"""),535.0)</f>
        <v>535</v>
      </c>
      <c r="C1073" s="2">
        <f>IFERROR(__xludf.DUMMYFUNCTION("""COMPUTED_VALUE"""),540.0)</f>
        <v>540</v>
      </c>
      <c r="D1073" s="2">
        <f>IFERROR(__xludf.DUMMYFUNCTION("""COMPUTED_VALUE"""),520.0)</f>
        <v>520</v>
      </c>
      <c r="E1073" s="2">
        <f>IFERROR(__xludf.DUMMYFUNCTION("""COMPUTED_VALUE"""),525.0)</f>
        <v>525</v>
      </c>
      <c r="F1073" s="2">
        <f>IFERROR(__xludf.DUMMYFUNCTION("""COMPUTED_VALUE"""),1.92351E7)</f>
        <v>19235100</v>
      </c>
      <c r="G1073" s="2">
        <f t="shared" si="1"/>
        <v>20</v>
      </c>
    </row>
    <row r="1074" ht="15.75" customHeight="1">
      <c r="A1074" s="1">
        <f>IFERROR(__xludf.DUMMYFUNCTION("""COMPUTED_VALUE"""),45454.66666666667)</f>
        <v>45454.66667</v>
      </c>
      <c r="B1074" s="2">
        <f>IFERROR(__xludf.DUMMYFUNCTION("""COMPUTED_VALUE"""),525.0)</f>
        <v>525</v>
      </c>
      <c r="C1074" s="2">
        <f>IFERROR(__xludf.DUMMYFUNCTION("""COMPUTED_VALUE"""),530.0)</f>
        <v>530</v>
      </c>
      <c r="D1074" s="2">
        <f>IFERROR(__xludf.DUMMYFUNCTION("""COMPUTED_VALUE"""),510.0)</f>
        <v>510</v>
      </c>
      <c r="E1074" s="2">
        <f>IFERROR(__xludf.DUMMYFUNCTION("""COMPUTED_VALUE"""),515.0)</f>
        <v>515</v>
      </c>
      <c r="F1074" s="2">
        <f>IFERROR(__xludf.DUMMYFUNCTION("""COMPUTED_VALUE"""),1.86356E7)</f>
        <v>18635600</v>
      </c>
      <c r="G1074" s="2">
        <f t="shared" si="1"/>
        <v>20</v>
      </c>
    </row>
    <row r="1075" ht="15.75" customHeight="1">
      <c r="A1075" s="1">
        <f>IFERROR(__xludf.DUMMYFUNCTION("""COMPUTED_VALUE"""),45455.66666666667)</f>
        <v>45455.66667</v>
      </c>
      <c r="B1075" s="2">
        <f>IFERROR(__xludf.DUMMYFUNCTION("""COMPUTED_VALUE"""),515.0)</f>
        <v>515</v>
      </c>
      <c r="C1075" s="2">
        <f>IFERROR(__xludf.DUMMYFUNCTION("""COMPUTED_VALUE"""),520.0)</f>
        <v>520</v>
      </c>
      <c r="D1075" s="2">
        <f>IFERROR(__xludf.DUMMYFUNCTION("""COMPUTED_VALUE"""),496.0)</f>
        <v>496</v>
      </c>
      <c r="E1075" s="2">
        <f>IFERROR(__xludf.DUMMYFUNCTION("""COMPUTED_VALUE"""),505.0)</f>
        <v>505</v>
      </c>
      <c r="F1075" s="2">
        <f>IFERROR(__xludf.DUMMYFUNCTION("""COMPUTED_VALUE"""),5.39771E7)</f>
        <v>53977100</v>
      </c>
      <c r="G1075" s="2">
        <f t="shared" si="1"/>
        <v>24</v>
      </c>
    </row>
    <row r="1076" ht="15.75" customHeight="1">
      <c r="A1076" s="1">
        <f>IFERROR(__xludf.DUMMYFUNCTION("""COMPUTED_VALUE"""),45456.66666666667)</f>
        <v>45456.66667</v>
      </c>
      <c r="B1076" s="2">
        <f>IFERROR(__xludf.DUMMYFUNCTION("""COMPUTED_VALUE"""),505.0)</f>
        <v>505</v>
      </c>
      <c r="C1076" s="2">
        <f>IFERROR(__xludf.DUMMYFUNCTION("""COMPUTED_VALUE"""),515.0)</f>
        <v>515</v>
      </c>
      <c r="D1076" s="2">
        <f>IFERROR(__xludf.DUMMYFUNCTION("""COMPUTED_VALUE"""),505.0)</f>
        <v>505</v>
      </c>
      <c r="E1076" s="2">
        <f>IFERROR(__xludf.DUMMYFUNCTION("""COMPUTED_VALUE"""),510.0)</f>
        <v>510</v>
      </c>
      <c r="F1076" s="2">
        <f>IFERROR(__xludf.DUMMYFUNCTION("""COMPUTED_VALUE"""),1.27962E7)</f>
        <v>12796200</v>
      </c>
      <c r="G1076" s="2">
        <f t="shared" si="1"/>
        <v>10</v>
      </c>
    </row>
    <row r="1077" ht="15.75" customHeight="1">
      <c r="A1077" s="1">
        <f>IFERROR(__xludf.DUMMYFUNCTION("""COMPUTED_VALUE"""),45457.66666666667)</f>
        <v>45457.66667</v>
      </c>
      <c r="B1077" s="2">
        <f>IFERROR(__xludf.DUMMYFUNCTION("""COMPUTED_VALUE"""),510.0)</f>
        <v>510</v>
      </c>
      <c r="C1077" s="2">
        <f>IFERROR(__xludf.DUMMYFUNCTION("""COMPUTED_VALUE"""),510.0)</f>
        <v>510</v>
      </c>
      <c r="D1077" s="2">
        <f>IFERROR(__xludf.DUMMYFUNCTION("""COMPUTED_VALUE"""),500.0)</f>
        <v>500</v>
      </c>
      <c r="E1077" s="2">
        <f>IFERROR(__xludf.DUMMYFUNCTION("""COMPUTED_VALUE"""),500.0)</f>
        <v>500</v>
      </c>
      <c r="F1077" s="2">
        <f>IFERROR(__xludf.DUMMYFUNCTION("""COMPUTED_VALUE"""),1.76413E7)</f>
        <v>17641300</v>
      </c>
      <c r="G1077" s="2">
        <f t="shared" si="1"/>
        <v>10</v>
      </c>
    </row>
    <row r="1078" ht="15.75" customHeight="1">
      <c r="A1078" s="1">
        <f>IFERROR(__xludf.DUMMYFUNCTION("""COMPUTED_VALUE"""),45462.66666666667)</f>
        <v>45462.66667</v>
      </c>
      <c r="B1078" s="2">
        <f>IFERROR(__xludf.DUMMYFUNCTION("""COMPUTED_VALUE"""),500.0)</f>
        <v>500</v>
      </c>
      <c r="C1078" s="2">
        <f>IFERROR(__xludf.DUMMYFUNCTION("""COMPUTED_VALUE"""),510.0)</f>
        <v>510</v>
      </c>
      <c r="D1078" s="2">
        <f>IFERROR(__xludf.DUMMYFUNCTION("""COMPUTED_VALUE"""),500.0)</f>
        <v>500</v>
      </c>
      <c r="E1078" s="2">
        <f>IFERROR(__xludf.DUMMYFUNCTION("""COMPUTED_VALUE"""),500.0)</f>
        <v>500</v>
      </c>
      <c r="F1078" s="2">
        <f>IFERROR(__xludf.DUMMYFUNCTION("""COMPUTED_VALUE"""),1.21529E7)</f>
        <v>12152900</v>
      </c>
      <c r="G1078" s="2">
        <f t="shared" si="1"/>
        <v>10</v>
      </c>
    </row>
    <row r="1079" ht="15.75" customHeight="1">
      <c r="A1079" s="1">
        <f>IFERROR(__xludf.DUMMYFUNCTION("""COMPUTED_VALUE"""),45463.66666666667)</f>
        <v>45463.66667</v>
      </c>
      <c r="B1079" s="2">
        <f>IFERROR(__xludf.DUMMYFUNCTION("""COMPUTED_VALUE"""),505.0)</f>
        <v>505</v>
      </c>
      <c r="C1079" s="2">
        <f>IFERROR(__xludf.DUMMYFUNCTION("""COMPUTED_VALUE"""),510.0)</f>
        <v>510</v>
      </c>
      <c r="D1079" s="2">
        <f>IFERROR(__xludf.DUMMYFUNCTION("""COMPUTED_VALUE"""),500.0)</f>
        <v>500</v>
      </c>
      <c r="E1079" s="2">
        <f>IFERROR(__xludf.DUMMYFUNCTION("""COMPUTED_VALUE"""),505.0)</f>
        <v>505</v>
      </c>
      <c r="F1079" s="2">
        <f>IFERROR(__xludf.DUMMYFUNCTION("""COMPUTED_VALUE"""),9180500.0)</f>
        <v>9180500</v>
      </c>
      <c r="G1079" s="2">
        <f t="shared" si="1"/>
        <v>10</v>
      </c>
    </row>
    <row r="1080" ht="15.75" customHeight="1">
      <c r="A1080" s="1">
        <f>IFERROR(__xludf.DUMMYFUNCTION("""COMPUTED_VALUE"""),45464.66666666667)</f>
        <v>45464.66667</v>
      </c>
      <c r="B1080" s="2">
        <f>IFERROR(__xludf.DUMMYFUNCTION("""COMPUTED_VALUE"""),505.0)</f>
        <v>505</v>
      </c>
      <c r="C1080" s="2">
        <f>IFERROR(__xludf.DUMMYFUNCTION("""COMPUTED_VALUE"""),520.0)</f>
        <v>520</v>
      </c>
      <c r="D1080" s="2">
        <f>IFERROR(__xludf.DUMMYFUNCTION("""COMPUTED_VALUE"""),505.0)</f>
        <v>505</v>
      </c>
      <c r="E1080" s="2">
        <f>IFERROR(__xludf.DUMMYFUNCTION("""COMPUTED_VALUE"""),520.0)</f>
        <v>520</v>
      </c>
      <c r="F1080" s="2">
        <f>IFERROR(__xludf.DUMMYFUNCTION("""COMPUTED_VALUE"""),1.01601E7)</f>
        <v>10160100</v>
      </c>
      <c r="G1080" s="2">
        <f t="shared" si="1"/>
        <v>15</v>
      </c>
    </row>
    <row r="1081" ht="15.75" customHeight="1">
      <c r="A1081" s="1">
        <f>IFERROR(__xludf.DUMMYFUNCTION("""COMPUTED_VALUE"""),45467.66666666667)</f>
        <v>45467.66667</v>
      </c>
      <c r="B1081" s="2">
        <f>IFERROR(__xludf.DUMMYFUNCTION("""COMPUTED_VALUE"""),520.0)</f>
        <v>520</v>
      </c>
      <c r="C1081" s="2">
        <f>IFERROR(__xludf.DUMMYFUNCTION("""COMPUTED_VALUE"""),530.0)</f>
        <v>530</v>
      </c>
      <c r="D1081" s="2">
        <f>IFERROR(__xludf.DUMMYFUNCTION("""COMPUTED_VALUE"""),515.0)</f>
        <v>515</v>
      </c>
      <c r="E1081" s="2">
        <f>IFERROR(__xludf.DUMMYFUNCTION("""COMPUTED_VALUE"""),520.0)</f>
        <v>520</v>
      </c>
      <c r="F1081" s="2">
        <f>IFERROR(__xludf.DUMMYFUNCTION("""COMPUTED_VALUE"""),8771700.0)</f>
        <v>8771700</v>
      </c>
      <c r="G1081" s="2">
        <f t="shared" si="1"/>
        <v>15</v>
      </c>
    </row>
    <row r="1082" ht="15.75" customHeight="1">
      <c r="A1082" s="1">
        <f>IFERROR(__xludf.DUMMYFUNCTION("""COMPUTED_VALUE"""),45468.66666666667)</f>
        <v>45468.66667</v>
      </c>
      <c r="B1082" s="2">
        <f>IFERROR(__xludf.DUMMYFUNCTION("""COMPUTED_VALUE"""),525.0)</f>
        <v>525</v>
      </c>
      <c r="C1082" s="2">
        <f>IFERROR(__xludf.DUMMYFUNCTION("""COMPUTED_VALUE"""),525.0)</f>
        <v>525</v>
      </c>
      <c r="D1082" s="2">
        <f>IFERROR(__xludf.DUMMYFUNCTION("""COMPUTED_VALUE"""),510.0)</f>
        <v>510</v>
      </c>
      <c r="E1082" s="2">
        <f>IFERROR(__xludf.DUMMYFUNCTION("""COMPUTED_VALUE"""),515.0)</f>
        <v>515</v>
      </c>
      <c r="F1082" s="2">
        <f>IFERROR(__xludf.DUMMYFUNCTION("""COMPUTED_VALUE"""),7963900.0)</f>
        <v>7963900</v>
      </c>
      <c r="G1082" s="2">
        <f t="shared" si="1"/>
        <v>15</v>
      </c>
    </row>
    <row r="1083" ht="15.75" customHeight="1">
      <c r="A1083" s="1">
        <f>IFERROR(__xludf.DUMMYFUNCTION("""COMPUTED_VALUE"""),45469.66666666667)</f>
        <v>45469.66667</v>
      </c>
      <c r="B1083" s="2">
        <f>IFERROR(__xludf.DUMMYFUNCTION("""COMPUTED_VALUE"""),515.0)</f>
        <v>515</v>
      </c>
      <c r="C1083" s="2">
        <f>IFERROR(__xludf.DUMMYFUNCTION("""COMPUTED_VALUE"""),520.0)</f>
        <v>520</v>
      </c>
      <c r="D1083" s="2">
        <f>IFERROR(__xludf.DUMMYFUNCTION("""COMPUTED_VALUE"""),510.0)</f>
        <v>510</v>
      </c>
      <c r="E1083" s="2">
        <f>IFERROR(__xludf.DUMMYFUNCTION("""COMPUTED_VALUE"""),515.0)</f>
        <v>515</v>
      </c>
      <c r="F1083" s="2">
        <f>IFERROR(__xludf.DUMMYFUNCTION("""COMPUTED_VALUE"""),5954800.0)</f>
        <v>5954800</v>
      </c>
      <c r="G1083" s="2">
        <f t="shared" si="1"/>
        <v>10</v>
      </c>
    </row>
    <row r="1084" ht="15.75" customHeight="1">
      <c r="A1084" s="1">
        <f>IFERROR(__xludf.DUMMYFUNCTION("""COMPUTED_VALUE"""),45470.66666666667)</f>
        <v>45470.66667</v>
      </c>
      <c r="B1084" s="2">
        <f>IFERROR(__xludf.DUMMYFUNCTION("""COMPUTED_VALUE"""),515.0)</f>
        <v>515</v>
      </c>
      <c r="C1084" s="2">
        <f>IFERROR(__xludf.DUMMYFUNCTION("""COMPUTED_VALUE"""),520.0)</f>
        <v>520</v>
      </c>
      <c r="D1084" s="2">
        <f>IFERROR(__xludf.DUMMYFUNCTION("""COMPUTED_VALUE"""),510.0)</f>
        <v>510</v>
      </c>
      <c r="E1084" s="2">
        <f>IFERROR(__xludf.DUMMYFUNCTION("""COMPUTED_VALUE"""),515.0)</f>
        <v>515</v>
      </c>
      <c r="F1084" s="2">
        <f>IFERROR(__xludf.DUMMYFUNCTION("""COMPUTED_VALUE"""),7244300.0)</f>
        <v>7244300</v>
      </c>
      <c r="G1084" s="2">
        <f t="shared" si="1"/>
        <v>10</v>
      </c>
    </row>
    <row r="1085" ht="15.75" customHeight="1">
      <c r="A1085" s="1">
        <f>IFERROR(__xludf.DUMMYFUNCTION("""COMPUTED_VALUE"""),45471.66666666667)</f>
        <v>45471.66667</v>
      </c>
      <c r="B1085" s="2">
        <f>IFERROR(__xludf.DUMMYFUNCTION("""COMPUTED_VALUE"""),515.0)</f>
        <v>515</v>
      </c>
      <c r="C1085" s="2">
        <f>IFERROR(__xludf.DUMMYFUNCTION("""COMPUTED_VALUE"""),530.0)</f>
        <v>530</v>
      </c>
      <c r="D1085" s="2">
        <f>IFERROR(__xludf.DUMMYFUNCTION("""COMPUTED_VALUE"""),515.0)</f>
        <v>515</v>
      </c>
      <c r="E1085" s="2">
        <f>IFERROR(__xludf.DUMMYFUNCTION("""COMPUTED_VALUE"""),525.0)</f>
        <v>525</v>
      </c>
      <c r="F1085" s="2">
        <f>IFERROR(__xludf.DUMMYFUNCTION("""COMPUTED_VALUE"""),1.31758E7)</f>
        <v>13175800</v>
      </c>
      <c r="G1085" s="2">
        <f t="shared" si="1"/>
        <v>15</v>
      </c>
    </row>
    <row r="1086" ht="15.75" customHeight="1">
      <c r="A1086" s="1">
        <f>IFERROR(__xludf.DUMMYFUNCTION("""COMPUTED_VALUE"""),45474.66666666667)</f>
        <v>45474.66667</v>
      </c>
      <c r="B1086" s="2">
        <f>IFERROR(__xludf.DUMMYFUNCTION("""COMPUTED_VALUE"""),525.0)</f>
        <v>525</v>
      </c>
      <c r="C1086" s="2">
        <f>IFERROR(__xludf.DUMMYFUNCTION("""COMPUTED_VALUE"""),530.0)</f>
        <v>530</v>
      </c>
      <c r="D1086" s="2">
        <f>IFERROR(__xludf.DUMMYFUNCTION("""COMPUTED_VALUE"""),520.0)</f>
        <v>520</v>
      </c>
      <c r="E1086" s="2">
        <f>IFERROR(__xludf.DUMMYFUNCTION("""COMPUTED_VALUE"""),525.0)</f>
        <v>525</v>
      </c>
      <c r="F1086" s="2">
        <f>IFERROR(__xludf.DUMMYFUNCTION("""COMPUTED_VALUE"""),1.40927E7)</f>
        <v>14092700</v>
      </c>
      <c r="G1086" s="2">
        <f t="shared" si="1"/>
        <v>10</v>
      </c>
    </row>
    <row r="1087" ht="15.75" customHeight="1">
      <c r="A1087" s="1">
        <f>IFERROR(__xludf.DUMMYFUNCTION("""COMPUTED_VALUE"""),45475.66666666667)</f>
        <v>45475.66667</v>
      </c>
      <c r="B1087" s="2">
        <f>IFERROR(__xludf.DUMMYFUNCTION("""COMPUTED_VALUE"""),525.0)</f>
        <v>525</v>
      </c>
      <c r="C1087" s="2">
        <f>IFERROR(__xludf.DUMMYFUNCTION("""COMPUTED_VALUE"""),530.0)</f>
        <v>530</v>
      </c>
      <c r="D1087" s="2">
        <f>IFERROR(__xludf.DUMMYFUNCTION("""COMPUTED_VALUE"""),520.0)</f>
        <v>520</v>
      </c>
      <c r="E1087" s="2">
        <f>IFERROR(__xludf.DUMMYFUNCTION("""COMPUTED_VALUE"""),525.0)</f>
        <v>525</v>
      </c>
      <c r="F1087" s="2">
        <f>IFERROR(__xludf.DUMMYFUNCTION("""COMPUTED_VALUE"""),7737400.0)</f>
        <v>7737400</v>
      </c>
      <c r="G1087" s="2">
        <f t="shared" si="1"/>
        <v>10</v>
      </c>
    </row>
    <row r="1088" ht="15.75" customHeight="1">
      <c r="A1088" s="1">
        <f>IFERROR(__xludf.DUMMYFUNCTION("""COMPUTED_VALUE"""),45476.66666666667)</f>
        <v>45476.66667</v>
      </c>
      <c r="B1088" s="2">
        <f>IFERROR(__xludf.DUMMYFUNCTION("""COMPUTED_VALUE"""),525.0)</f>
        <v>525</v>
      </c>
      <c r="C1088" s="2">
        <f>IFERROR(__xludf.DUMMYFUNCTION("""COMPUTED_VALUE"""),525.0)</f>
        <v>525</v>
      </c>
      <c r="D1088" s="2">
        <f>IFERROR(__xludf.DUMMYFUNCTION("""COMPUTED_VALUE"""),520.0)</f>
        <v>520</v>
      </c>
      <c r="E1088" s="2">
        <f>IFERROR(__xludf.DUMMYFUNCTION("""COMPUTED_VALUE"""),525.0)</f>
        <v>525</v>
      </c>
      <c r="F1088" s="2">
        <f>IFERROR(__xludf.DUMMYFUNCTION("""COMPUTED_VALUE"""),7533900.0)</f>
        <v>7533900</v>
      </c>
      <c r="G1088" s="2">
        <f t="shared" si="1"/>
        <v>5</v>
      </c>
    </row>
    <row r="1089" ht="15.75" customHeight="1">
      <c r="A1089" s="1">
        <f>IFERROR(__xludf.DUMMYFUNCTION("""COMPUTED_VALUE"""),45477.66666666667)</f>
        <v>45477.66667</v>
      </c>
      <c r="B1089" s="2">
        <f>IFERROR(__xludf.DUMMYFUNCTION("""COMPUTED_VALUE"""),525.0)</f>
        <v>525</v>
      </c>
      <c r="C1089" s="2">
        <f>IFERROR(__xludf.DUMMYFUNCTION("""COMPUTED_VALUE"""),535.0)</f>
        <v>535</v>
      </c>
      <c r="D1089" s="2">
        <f>IFERROR(__xludf.DUMMYFUNCTION("""COMPUTED_VALUE"""),520.0)</f>
        <v>520</v>
      </c>
      <c r="E1089" s="2">
        <f>IFERROR(__xludf.DUMMYFUNCTION("""COMPUTED_VALUE"""),530.0)</f>
        <v>530</v>
      </c>
      <c r="F1089" s="2">
        <f>IFERROR(__xludf.DUMMYFUNCTION("""COMPUTED_VALUE"""),1.50918E7)</f>
        <v>15091800</v>
      </c>
      <c r="G1089" s="2">
        <f t="shared" si="1"/>
        <v>15</v>
      </c>
    </row>
    <row r="1090" ht="15.75" customHeight="1">
      <c r="A1090" s="1">
        <f>IFERROR(__xludf.DUMMYFUNCTION("""COMPUTED_VALUE"""),45478.66666666667)</f>
        <v>45478.66667</v>
      </c>
      <c r="B1090" s="2">
        <f>IFERROR(__xludf.DUMMYFUNCTION("""COMPUTED_VALUE"""),530.0)</f>
        <v>530</v>
      </c>
      <c r="C1090" s="2">
        <f>IFERROR(__xludf.DUMMYFUNCTION("""COMPUTED_VALUE"""),535.0)</f>
        <v>535</v>
      </c>
      <c r="D1090" s="2">
        <f>IFERROR(__xludf.DUMMYFUNCTION("""COMPUTED_VALUE"""),525.0)</f>
        <v>525</v>
      </c>
      <c r="E1090" s="2">
        <f>IFERROR(__xludf.DUMMYFUNCTION("""COMPUTED_VALUE"""),530.0)</f>
        <v>530</v>
      </c>
      <c r="F1090" s="2">
        <f>IFERROR(__xludf.DUMMYFUNCTION("""COMPUTED_VALUE"""),1.03096E7)</f>
        <v>10309600</v>
      </c>
      <c r="G1090" s="2">
        <f t="shared" si="1"/>
        <v>10</v>
      </c>
    </row>
    <row r="1091" ht="15.75" customHeight="1">
      <c r="A1091" s="1">
        <f>IFERROR(__xludf.DUMMYFUNCTION("""COMPUTED_VALUE"""),45481.66666666667)</f>
        <v>45481.66667</v>
      </c>
      <c r="B1091" s="2">
        <f>IFERROR(__xludf.DUMMYFUNCTION("""COMPUTED_VALUE"""),535.0)</f>
        <v>535</v>
      </c>
      <c r="C1091" s="2">
        <f>IFERROR(__xludf.DUMMYFUNCTION("""COMPUTED_VALUE"""),540.0)</f>
        <v>540</v>
      </c>
      <c r="D1091" s="2">
        <f>IFERROR(__xludf.DUMMYFUNCTION("""COMPUTED_VALUE"""),530.0)</f>
        <v>530</v>
      </c>
      <c r="E1091" s="2">
        <f>IFERROR(__xludf.DUMMYFUNCTION("""COMPUTED_VALUE"""),535.0)</f>
        <v>535</v>
      </c>
      <c r="F1091" s="2">
        <f>IFERROR(__xludf.DUMMYFUNCTION("""COMPUTED_VALUE"""),1.27337E7)</f>
        <v>12733700</v>
      </c>
      <c r="G1091" s="2">
        <f t="shared" si="1"/>
        <v>10</v>
      </c>
    </row>
    <row r="1092" ht="15.75" customHeight="1">
      <c r="A1092" s="1">
        <f>IFERROR(__xludf.DUMMYFUNCTION("""COMPUTED_VALUE"""),45482.66666666667)</f>
        <v>45482.66667</v>
      </c>
      <c r="B1092" s="2">
        <f>IFERROR(__xludf.DUMMYFUNCTION("""COMPUTED_VALUE"""),535.0)</f>
        <v>535</v>
      </c>
      <c r="C1092" s="2">
        <f>IFERROR(__xludf.DUMMYFUNCTION("""COMPUTED_VALUE"""),550.0)</f>
        <v>550</v>
      </c>
      <c r="D1092" s="2">
        <f>IFERROR(__xludf.DUMMYFUNCTION("""COMPUTED_VALUE"""),535.0)</f>
        <v>535</v>
      </c>
      <c r="E1092" s="2">
        <f>IFERROR(__xludf.DUMMYFUNCTION("""COMPUTED_VALUE"""),545.0)</f>
        <v>545</v>
      </c>
      <c r="F1092" s="2">
        <f>IFERROR(__xludf.DUMMYFUNCTION("""COMPUTED_VALUE"""),9700500.0)</f>
        <v>9700500</v>
      </c>
      <c r="G1092" s="2">
        <f t="shared" si="1"/>
        <v>15</v>
      </c>
    </row>
    <row r="1093" ht="15.75" customHeight="1">
      <c r="A1093" s="1">
        <f>IFERROR(__xludf.DUMMYFUNCTION("""COMPUTED_VALUE"""),45483.66666666667)</f>
        <v>45483.66667</v>
      </c>
      <c r="B1093" s="2">
        <f>IFERROR(__xludf.DUMMYFUNCTION("""COMPUTED_VALUE"""),545.0)</f>
        <v>545</v>
      </c>
      <c r="C1093" s="2">
        <f>IFERROR(__xludf.DUMMYFUNCTION("""COMPUTED_VALUE"""),560.0)</f>
        <v>560</v>
      </c>
      <c r="D1093" s="2">
        <f>IFERROR(__xludf.DUMMYFUNCTION("""COMPUTED_VALUE"""),545.0)</f>
        <v>545</v>
      </c>
      <c r="E1093" s="2">
        <f>IFERROR(__xludf.DUMMYFUNCTION("""COMPUTED_VALUE"""),550.0)</f>
        <v>550</v>
      </c>
      <c r="F1093" s="2">
        <f>IFERROR(__xludf.DUMMYFUNCTION("""COMPUTED_VALUE"""),1.04897E7)</f>
        <v>10489700</v>
      </c>
      <c r="G1093" s="2">
        <f t="shared" si="1"/>
        <v>15</v>
      </c>
    </row>
    <row r="1094" ht="15.75" customHeight="1">
      <c r="A1094" s="1">
        <f>IFERROR(__xludf.DUMMYFUNCTION("""COMPUTED_VALUE"""),45484.66666666667)</f>
        <v>45484.66667</v>
      </c>
      <c r="B1094" s="2">
        <f>IFERROR(__xludf.DUMMYFUNCTION("""COMPUTED_VALUE"""),550.0)</f>
        <v>550</v>
      </c>
      <c r="C1094" s="2">
        <f>IFERROR(__xludf.DUMMYFUNCTION("""COMPUTED_VALUE"""),555.0)</f>
        <v>555</v>
      </c>
      <c r="D1094" s="2">
        <f>IFERROR(__xludf.DUMMYFUNCTION("""COMPUTED_VALUE"""),550.0)</f>
        <v>550</v>
      </c>
      <c r="E1094" s="2">
        <f>IFERROR(__xludf.DUMMYFUNCTION("""COMPUTED_VALUE"""),550.0)</f>
        <v>550</v>
      </c>
      <c r="F1094" s="2">
        <f>IFERROR(__xludf.DUMMYFUNCTION("""COMPUTED_VALUE"""),3319900.0)</f>
        <v>3319900</v>
      </c>
      <c r="G1094" s="2">
        <f t="shared" si="1"/>
        <v>5</v>
      </c>
    </row>
    <row r="1095" ht="15.75" customHeight="1">
      <c r="A1095" s="1">
        <f>IFERROR(__xludf.DUMMYFUNCTION("""COMPUTED_VALUE"""),45485.66666666667)</f>
        <v>45485.66667</v>
      </c>
      <c r="B1095" s="2">
        <f>IFERROR(__xludf.DUMMYFUNCTION("""COMPUTED_VALUE"""),555.0)</f>
        <v>555</v>
      </c>
      <c r="C1095" s="2">
        <f>IFERROR(__xludf.DUMMYFUNCTION("""COMPUTED_VALUE"""),560.0)</f>
        <v>560</v>
      </c>
      <c r="D1095" s="2">
        <f>IFERROR(__xludf.DUMMYFUNCTION("""COMPUTED_VALUE"""),550.0)</f>
        <v>550</v>
      </c>
      <c r="E1095" s="2">
        <f>IFERROR(__xludf.DUMMYFUNCTION("""COMPUTED_VALUE"""),555.0)</f>
        <v>555</v>
      </c>
      <c r="F1095" s="2">
        <f>IFERROR(__xludf.DUMMYFUNCTION("""COMPUTED_VALUE"""),5588700.0)</f>
        <v>5588700</v>
      </c>
      <c r="G1095" s="2">
        <f t="shared" si="1"/>
        <v>10</v>
      </c>
    </row>
    <row r="1096" ht="15.75" customHeight="1">
      <c r="A1096" s="1">
        <f>IFERROR(__xludf.DUMMYFUNCTION("""COMPUTED_VALUE"""),45488.66666666667)</f>
        <v>45488.66667</v>
      </c>
      <c r="B1096" s="2">
        <f>IFERROR(__xludf.DUMMYFUNCTION("""COMPUTED_VALUE"""),560.0)</f>
        <v>560</v>
      </c>
      <c r="C1096" s="2">
        <f>IFERROR(__xludf.DUMMYFUNCTION("""COMPUTED_VALUE"""),560.0)</f>
        <v>560</v>
      </c>
      <c r="D1096" s="2">
        <f>IFERROR(__xludf.DUMMYFUNCTION("""COMPUTED_VALUE"""),550.0)</f>
        <v>550</v>
      </c>
      <c r="E1096" s="2">
        <f>IFERROR(__xludf.DUMMYFUNCTION("""COMPUTED_VALUE"""),555.0)</f>
        <v>555</v>
      </c>
      <c r="F1096" s="2">
        <f>IFERROR(__xludf.DUMMYFUNCTION("""COMPUTED_VALUE"""),8626500.0)</f>
        <v>8626500</v>
      </c>
      <c r="G1096" s="2">
        <f t="shared" si="1"/>
        <v>10</v>
      </c>
    </row>
    <row r="1097" ht="15.75" customHeight="1">
      <c r="A1097" s="1">
        <f>IFERROR(__xludf.DUMMYFUNCTION("""COMPUTED_VALUE"""),45489.66666666667)</f>
        <v>45489.66667</v>
      </c>
      <c r="B1097" s="2">
        <f>IFERROR(__xludf.DUMMYFUNCTION("""COMPUTED_VALUE"""),555.0)</f>
        <v>555</v>
      </c>
      <c r="C1097" s="2">
        <f>IFERROR(__xludf.DUMMYFUNCTION("""COMPUTED_VALUE"""),560.0)</f>
        <v>560</v>
      </c>
      <c r="D1097" s="2">
        <f>IFERROR(__xludf.DUMMYFUNCTION("""COMPUTED_VALUE"""),550.0)</f>
        <v>550</v>
      </c>
      <c r="E1097" s="2">
        <f>IFERROR(__xludf.DUMMYFUNCTION("""COMPUTED_VALUE"""),555.0)</f>
        <v>555</v>
      </c>
      <c r="F1097" s="2">
        <f>IFERROR(__xludf.DUMMYFUNCTION("""COMPUTED_VALUE"""),9349500.0)</f>
        <v>9349500</v>
      </c>
      <c r="G1097" s="2">
        <f t="shared" si="1"/>
        <v>10</v>
      </c>
    </row>
    <row r="1098" ht="15.75" customHeight="1">
      <c r="A1098" s="1">
        <f>IFERROR(__xludf.DUMMYFUNCTION("""COMPUTED_VALUE"""),45490.66666666667)</f>
        <v>45490.66667</v>
      </c>
      <c r="B1098" s="2">
        <f>IFERROR(__xludf.DUMMYFUNCTION("""COMPUTED_VALUE"""),555.0)</f>
        <v>555</v>
      </c>
      <c r="C1098" s="2">
        <f>IFERROR(__xludf.DUMMYFUNCTION("""COMPUTED_VALUE"""),555.0)</f>
        <v>555</v>
      </c>
      <c r="D1098" s="2">
        <f>IFERROR(__xludf.DUMMYFUNCTION("""COMPUTED_VALUE"""),540.0)</f>
        <v>540</v>
      </c>
      <c r="E1098" s="2">
        <f>IFERROR(__xludf.DUMMYFUNCTION("""COMPUTED_VALUE"""),545.0)</f>
        <v>545</v>
      </c>
      <c r="F1098" s="2">
        <f>IFERROR(__xludf.DUMMYFUNCTION("""COMPUTED_VALUE"""),1.01814E7)</f>
        <v>10181400</v>
      </c>
      <c r="G1098" s="2">
        <f t="shared" si="1"/>
        <v>15</v>
      </c>
    </row>
    <row r="1099" ht="15.75" customHeight="1">
      <c r="A1099" s="1">
        <f>IFERROR(__xludf.DUMMYFUNCTION("""COMPUTED_VALUE"""),45491.66666666667)</f>
        <v>45491.66667</v>
      </c>
      <c r="B1099" s="2">
        <f>IFERROR(__xludf.DUMMYFUNCTION("""COMPUTED_VALUE"""),545.0)</f>
        <v>545</v>
      </c>
      <c r="C1099" s="2">
        <f>IFERROR(__xludf.DUMMYFUNCTION("""COMPUTED_VALUE"""),555.0)</f>
        <v>555</v>
      </c>
      <c r="D1099" s="2">
        <f>IFERROR(__xludf.DUMMYFUNCTION("""COMPUTED_VALUE"""),545.0)</f>
        <v>545</v>
      </c>
      <c r="E1099" s="2">
        <f>IFERROR(__xludf.DUMMYFUNCTION("""COMPUTED_VALUE"""),550.0)</f>
        <v>550</v>
      </c>
      <c r="F1099" s="2">
        <f>IFERROR(__xludf.DUMMYFUNCTION("""COMPUTED_VALUE"""),4690700.0)</f>
        <v>4690700</v>
      </c>
      <c r="G1099" s="2">
        <f t="shared" si="1"/>
        <v>10</v>
      </c>
    </row>
    <row r="1100" ht="15.75" customHeight="1">
      <c r="A1100" s="1">
        <f>IFERROR(__xludf.DUMMYFUNCTION("""COMPUTED_VALUE"""),45492.66666666667)</f>
        <v>45492.66667</v>
      </c>
      <c r="B1100" s="2">
        <f>IFERROR(__xludf.DUMMYFUNCTION("""COMPUTED_VALUE"""),555.0)</f>
        <v>555</v>
      </c>
      <c r="C1100" s="2">
        <f>IFERROR(__xludf.DUMMYFUNCTION("""COMPUTED_VALUE"""),555.0)</f>
        <v>555</v>
      </c>
      <c r="D1100" s="2">
        <f>IFERROR(__xludf.DUMMYFUNCTION("""COMPUTED_VALUE"""),550.0)</f>
        <v>550</v>
      </c>
      <c r="E1100" s="2">
        <f>IFERROR(__xludf.DUMMYFUNCTION("""COMPUTED_VALUE"""),550.0)</f>
        <v>550</v>
      </c>
      <c r="F1100" s="2">
        <f>IFERROR(__xludf.DUMMYFUNCTION("""COMPUTED_VALUE"""),2002300.0)</f>
        <v>2002300</v>
      </c>
      <c r="G1100" s="2">
        <f t="shared" si="1"/>
        <v>5</v>
      </c>
    </row>
    <row r="1101" ht="15.75" customHeight="1">
      <c r="A1101" s="1">
        <f>IFERROR(__xludf.DUMMYFUNCTION("""COMPUTED_VALUE"""),45495.66666666667)</f>
        <v>45495.66667</v>
      </c>
      <c r="B1101" s="2">
        <f>IFERROR(__xludf.DUMMYFUNCTION("""COMPUTED_VALUE"""),550.0)</f>
        <v>550</v>
      </c>
      <c r="C1101" s="2">
        <f>IFERROR(__xludf.DUMMYFUNCTION("""COMPUTED_VALUE"""),560.0)</f>
        <v>560</v>
      </c>
      <c r="D1101" s="2">
        <f>IFERROR(__xludf.DUMMYFUNCTION("""COMPUTED_VALUE"""),550.0)</f>
        <v>550</v>
      </c>
      <c r="E1101" s="2">
        <f>IFERROR(__xludf.DUMMYFUNCTION("""COMPUTED_VALUE"""),560.0)</f>
        <v>560</v>
      </c>
      <c r="F1101" s="2">
        <f>IFERROR(__xludf.DUMMYFUNCTION("""COMPUTED_VALUE"""),4477900.0)</f>
        <v>4477900</v>
      </c>
      <c r="G1101" s="2">
        <f t="shared" si="1"/>
        <v>10</v>
      </c>
    </row>
    <row r="1102" ht="15.75" customHeight="1">
      <c r="A1102" s="1">
        <f>IFERROR(__xludf.DUMMYFUNCTION("""COMPUTED_VALUE"""),45496.66666666667)</f>
        <v>45496.66667</v>
      </c>
      <c r="B1102" s="2">
        <f>IFERROR(__xludf.DUMMYFUNCTION("""COMPUTED_VALUE"""),560.0)</f>
        <v>560</v>
      </c>
      <c r="C1102" s="2">
        <f>IFERROR(__xludf.DUMMYFUNCTION("""COMPUTED_VALUE"""),560.0)</f>
        <v>560</v>
      </c>
      <c r="D1102" s="2">
        <f>IFERROR(__xludf.DUMMYFUNCTION("""COMPUTED_VALUE"""),555.0)</f>
        <v>555</v>
      </c>
      <c r="E1102" s="2">
        <f>IFERROR(__xludf.DUMMYFUNCTION("""COMPUTED_VALUE"""),555.0)</f>
        <v>555</v>
      </c>
      <c r="F1102" s="2">
        <f>IFERROR(__xludf.DUMMYFUNCTION("""COMPUTED_VALUE"""),3456600.0)</f>
        <v>3456600</v>
      </c>
      <c r="G1102" s="2">
        <f t="shared" si="1"/>
        <v>5</v>
      </c>
    </row>
    <row r="1103" ht="15.75" customHeight="1">
      <c r="A1103" s="1">
        <f>IFERROR(__xludf.DUMMYFUNCTION("""COMPUTED_VALUE"""),45497.66666666667)</f>
        <v>45497.66667</v>
      </c>
      <c r="B1103" s="2">
        <f>IFERROR(__xludf.DUMMYFUNCTION("""COMPUTED_VALUE"""),555.0)</f>
        <v>555</v>
      </c>
      <c r="C1103" s="2">
        <f>IFERROR(__xludf.DUMMYFUNCTION("""COMPUTED_VALUE"""),560.0)</f>
        <v>560</v>
      </c>
      <c r="D1103" s="2">
        <f>IFERROR(__xludf.DUMMYFUNCTION("""COMPUTED_VALUE"""),550.0)</f>
        <v>550</v>
      </c>
      <c r="E1103" s="2">
        <f>IFERROR(__xludf.DUMMYFUNCTION("""COMPUTED_VALUE"""),550.0)</f>
        <v>550</v>
      </c>
      <c r="F1103" s="2">
        <f>IFERROR(__xludf.DUMMYFUNCTION("""COMPUTED_VALUE"""),7071200.0)</f>
        <v>7071200</v>
      </c>
      <c r="G1103" s="2">
        <f t="shared" si="1"/>
        <v>10</v>
      </c>
    </row>
    <row r="1104" ht="15.75" customHeight="1">
      <c r="A1104" s="1">
        <f>IFERROR(__xludf.DUMMYFUNCTION("""COMPUTED_VALUE"""),45498.66666666667)</f>
        <v>45498.66667</v>
      </c>
      <c r="B1104" s="2">
        <f>IFERROR(__xludf.DUMMYFUNCTION("""COMPUTED_VALUE"""),550.0)</f>
        <v>550</v>
      </c>
      <c r="C1104" s="2">
        <f>IFERROR(__xludf.DUMMYFUNCTION("""COMPUTED_VALUE"""),555.0)</f>
        <v>555</v>
      </c>
      <c r="D1104" s="2">
        <f>IFERROR(__xludf.DUMMYFUNCTION("""COMPUTED_VALUE"""),545.0)</f>
        <v>545</v>
      </c>
      <c r="E1104" s="2">
        <f>IFERROR(__xludf.DUMMYFUNCTION("""COMPUTED_VALUE"""),550.0)</f>
        <v>550</v>
      </c>
      <c r="F1104" s="2">
        <f>IFERROR(__xludf.DUMMYFUNCTION("""COMPUTED_VALUE"""),8590400.0)</f>
        <v>8590400</v>
      </c>
      <c r="G1104" s="2">
        <f t="shared" si="1"/>
        <v>10</v>
      </c>
    </row>
    <row r="1105" ht="15.75" customHeight="1">
      <c r="A1105" s="1">
        <f>IFERROR(__xludf.DUMMYFUNCTION("""COMPUTED_VALUE"""),45499.66666666667)</f>
        <v>45499.66667</v>
      </c>
      <c r="B1105" s="2">
        <f>IFERROR(__xludf.DUMMYFUNCTION("""COMPUTED_VALUE"""),550.0)</f>
        <v>550</v>
      </c>
      <c r="C1105" s="2">
        <f>IFERROR(__xludf.DUMMYFUNCTION("""COMPUTED_VALUE"""),555.0)</f>
        <v>555</v>
      </c>
      <c r="D1105" s="2">
        <f>IFERROR(__xludf.DUMMYFUNCTION("""COMPUTED_VALUE"""),545.0)</f>
        <v>545</v>
      </c>
      <c r="E1105" s="2">
        <f>IFERROR(__xludf.DUMMYFUNCTION("""COMPUTED_VALUE"""),550.0)</f>
        <v>550</v>
      </c>
      <c r="F1105" s="2">
        <f>IFERROR(__xludf.DUMMYFUNCTION("""COMPUTED_VALUE"""),2498200.0)</f>
        <v>2498200</v>
      </c>
      <c r="G1105" s="2">
        <f t="shared" si="1"/>
        <v>10</v>
      </c>
    </row>
    <row r="1106" ht="15.75" customHeight="1">
      <c r="A1106" s="1">
        <f>IFERROR(__xludf.DUMMYFUNCTION("""COMPUTED_VALUE"""),45502.66666666667)</f>
        <v>45502.66667</v>
      </c>
      <c r="B1106" s="2">
        <f>IFERROR(__xludf.DUMMYFUNCTION("""COMPUTED_VALUE"""),550.0)</f>
        <v>550</v>
      </c>
      <c r="C1106" s="2">
        <f>IFERROR(__xludf.DUMMYFUNCTION("""COMPUTED_VALUE"""),560.0)</f>
        <v>560</v>
      </c>
      <c r="D1106" s="2">
        <f>IFERROR(__xludf.DUMMYFUNCTION("""COMPUTED_VALUE"""),550.0)</f>
        <v>550</v>
      </c>
      <c r="E1106" s="2">
        <f>IFERROR(__xludf.DUMMYFUNCTION("""COMPUTED_VALUE"""),550.0)</f>
        <v>550</v>
      </c>
      <c r="F1106" s="2">
        <f>IFERROR(__xludf.DUMMYFUNCTION("""COMPUTED_VALUE"""),4281800.0)</f>
        <v>4281800</v>
      </c>
      <c r="G1106" s="2">
        <f t="shared" si="1"/>
        <v>10</v>
      </c>
    </row>
    <row r="1107" ht="15.75" customHeight="1">
      <c r="A1107" s="1">
        <f>IFERROR(__xludf.DUMMYFUNCTION("""COMPUTED_VALUE"""),45503.66666666667)</f>
        <v>45503.66667</v>
      </c>
      <c r="B1107" s="2">
        <f>IFERROR(__xludf.DUMMYFUNCTION("""COMPUTED_VALUE"""),555.0)</f>
        <v>555</v>
      </c>
      <c r="C1107" s="2">
        <f>IFERROR(__xludf.DUMMYFUNCTION("""COMPUTED_VALUE"""),555.0)</f>
        <v>555</v>
      </c>
      <c r="D1107" s="2">
        <f>IFERROR(__xludf.DUMMYFUNCTION("""COMPUTED_VALUE"""),545.0)</f>
        <v>545</v>
      </c>
      <c r="E1107" s="2">
        <f>IFERROR(__xludf.DUMMYFUNCTION("""COMPUTED_VALUE"""),555.0)</f>
        <v>555</v>
      </c>
      <c r="F1107" s="2">
        <f>IFERROR(__xludf.DUMMYFUNCTION("""COMPUTED_VALUE"""),6043500.0)</f>
        <v>6043500</v>
      </c>
      <c r="G1107" s="2">
        <f t="shared" si="1"/>
        <v>10</v>
      </c>
    </row>
    <row r="1108" ht="15.75" customHeight="1">
      <c r="A1108" s="1">
        <f>IFERROR(__xludf.DUMMYFUNCTION("""COMPUTED_VALUE"""),45504.66666666667)</f>
        <v>45504.66667</v>
      </c>
      <c r="B1108" s="2">
        <f>IFERROR(__xludf.DUMMYFUNCTION("""COMPUTED_VALUE"""),550.0)</f>
        <v>550</v>
      </c>
      <c r="C1108" s="2">
        <f>IFERROR(__xludf.DUMMYFUNCTION("""COMPUTED_VALUE"""),555.0)</f>
        <v>555</v>
      </c>
      <c r="D1108" s="2">
        <f>IFERROR(__xludf.DUMMYFUNCTION("""COMPUTED_VALUE"""),545.0)</f>
        <v>545</v>
      </c>
      <c r="E1108" s="2">
        <f>IFERROR(__xludf.DUMMYFUNCTION("""COMPUTED_VALUE"""),550.0)</f>
        <v>550</v>
      </c>
      <c r="F1108" s="2">
        <f>IFERROR(__xludf.DUMMYFUNCTION("""COMPUTED_VALUE"""),7958700.0)</f>
        <v>7958700</v>
      </c>
      <c r="G1108" s="2">
        <f t="shared" si="1"/>
        <v>10</v>
      </c>
    </row>
    <row r="1109" ht="15.75" customHeight="1">
      <c r="A1109" s="1">
        <f>IFERROR(__xludf.DUMMYFUNCTION("""COMPUTED_VALUE"""),45505.66666666667)</f>
        <v>45505.66667</v>
      </c>
      <c r="B1109" s="2">
        <f>IFERROR(__xludf.DUMMYFUNCTION("""COMPUTED_VALUE"""),545.0)</f>
        <v>545</v>
      </c>
      <c r="C1109" s="2">
        <f>IFERROR(__xludf.DUMMYFUNCTION("""COMPUTED_VALUE"""),555.0)</f>
        <v>555</v>
      </c>
      <c r="D1109" s="2">
        <f>IFERROR(__xludf.DUMMYFUNCTION("""COMPUTED_VALUE"""),545.0)</f>
        <v>545</v>
      </c>
      <c r="E1109" s="2">
        <f>IFERROR(__xludf.DUMMYFUNCTION("""COMPUTED_VALUE"""),550.0)</f>
        <v>550</v>
      </c>
      <c r="F1109" s="2">
        <f>IFERROR(__xludf.DUMMYFUNCTION("""COMPUTED_VALUE"""),6039200.0)</f>
        <v>6039200</v>
      </c>
      <c r="G1109" s="2">
        <f t="shared" si="1"/>
        <v>10</v>
      </c>
    </row>
    <row r="1110" ht="15.75" customHeight="1">
      <c r="A1110" s="1">
        <f>IFERROR(__xludf.DUMMYFUNCTION("""COMPUTED_VALUE"""),45506.66666666667)</f>
        <v>45506.66667</v>
      </c>
      <c r="B1110" s="2">
        <f>IFERROR(__xludf.DUMMYFUNCTION("""COMPUTED_VALUE"""),550.0)</f>
        <v>550</v>
      </c>
      <c r="C1110" s="2">
        <f>IFERROR(__xludf.DUMMYFUNCTION("""COMPUTED_VALUE"""),555.0)</f>
        <v>555</v>
      </c>
      <c r="D1110" s="2">
        <f>IFERROR(__xludf.DUMMYFUNCTION("""COMPUTED_VALUE"""),545.0)</f>
        <v>545</v>
      </c>
      <c r="E1110" s="2">
        <f>IFERROR(__xludf.DUMMYFUNCTION("""COMPUTED_VALUE"""),550.0)</f>
        <v>550</v>
      </c>
      <c r="F1110" s="2">
        <f>IFERROR(__xludf.DUMMYFUNCTION("""COMPUTED_VALUE"""),5276200.0)</f>
        <v>5276200</v>
      </c>
      <c r="G1110" s="2">
        <f t="shared" si="1"/>
        <v>10</v>
      </c>
    </row>
    <row r="1111" ht="15.75" customHeight="1">
      <c r="A1111" s="1">
        <f>IFERROR(__xludf.DUMMYFUNCTION("""COMPUTED_VALUE"""),45509.66666666667)</f>
        <v>45509.66667</v>
      </c>
      <c r="B1111" s="2">
        <f>IFERROR(__xludf.DUMMYFUNCTION("""COMPUTED_VALUE"""),550.0)</f>
        <v>550</v>
      </c>
      <c r="C1111" s="2">
        <f>IFERROR(__xludf.DUMMYFUNCTION("""COMPUTED_VALUE"""),550.0)</f>
        <v>550</v>
      </c>
      <c r="D1111" s="2">
        <f>IFERROR(__xludf.DUMMYFUNCTION("""COMPUTED_VALUE"""),530.0)</f>
        <v>530</v>
      </c>
      <c r="E1111" s="2">
        <f>IFERROR(__xludf.DUMMYFUNCTION("""COMPUTED_VALUE"""),535.0)</f>
        <v>535</v>
      </c>
      <c r="F1111" s="2">
        <f>IFERROR(__xludf.DUMMYFUNCTION("""COMPUTED_VALUE"""),1.87957E7)</f>
        <v>18795700</v>
      </c>
      <c r="G1111" s="2">
        <f t="shared" si="1"/>
        <v>20</v>
      </c>
    </row>
    <row r="1112" ht="15.75" customHeight="1">
      <c r="A1112" s="1">
        <f>IFERROR(__xludf.DUMMYFUNCTION("""COMPUTED_VALUE"""),45510.66666666667)</f>
        <v>45510.66667</v>
      </c>
      <c r="B1112" s="2">
        <f>IFERROR(__xludf.DUMMYFUNCTION("""COMPUTED_VALUE"""),535.0)</f>
        <v>535</v>
      </c>
      <c r="C1112" s="2">
        <f>IFERROR(__xludf.DUMMYFUNCTION("""COMPUTED_VALUE"""),545.0)</f>
        <v>545</v>
      </c>
      <c r="D1112" s="2">
        <f>IFERROR(__xludf.DUMMYFUNCTION("""COMPUTED_VALUE"""),530.0)</f>
        <v>530</v>
      </c>
      <c r="E1112" s="2">
        <f>IFERROR(__xludf.DUMMYFUNCTION("""COMPUTED_VALUE"""),540.0)</f>
        <v>540</v>
      </c>
      <c r="F1112" s="2">
        <f>IFERROR(__xludf.DUMMYFUNCTION("""COMPUTED_VALUE"""),6945100.0)</f>
        <v>6945100</v>
      </c>
      <c r="G1112" s="2">
        <f t="shared" si="1"/>
        <v>15</v>
      </c>
    </row>
    <row r="1113" ht="15.75" customHeight="1">
      <c r="A1113" s="1">
        <f>IFERROR(__xludf.DUMMYFUNCTION("""COMPUTED_VALUE"""),45511.66666666667)</f>
        <v>45511.66667</v>
      </c>
      <c r="B1113" s="2">
        <f>IFERROR(__xludf.DUMMYFUNCTION("""COMPUTED_VALUE"""),545.0)</f>
        <v>545</v>
      </c>
      <c r="C1113" s="2">
        <f>IFERROR(__xludf.DUMMYFUNCTION("""COMPUTED_VALUE"""),545.0)</f>
        <v>545</v>
      </c>
      <c r="D1113" s="2">
        <f>IFERROR(__xludf.DUMMYFUNCTION("""COMPUTED_VALUE"""),535.0)</f>
        <v>535</v>
      </c>
      <c r="E1113" s="2">
        <f>IFERROR(__xludf.DUMMYFUNCTION("""COMPUTED_VALUE"""),540.0)</f>
        <v>540</v>
      </c>
      <c r="F1113" s="2">
        <f>IFERROR(__xludf.DUMMYFUNCTION("""COMPUTED_VALUE"""),7594800.0)</f>
        <v>7594800</v>
      </c>
      <c r="G1113" s="2">
        <f t="shared" si="1"/>
        <v>10</v>
      </c>
    </row>
    <row r="1114" ht="15.75" customHeight="1">
      <c r="A1114" s="1">
        <f>IFERROR(__xludf.DUMMYFUNCTION("""COMPUTED_VALUE"""),45512.66666666667)</f>
        <v>45512.66667</v>
      </c>
      <c r="B1114" s="2">
        <f>IFERROR(__xludf.DUMMYFUNCTION("""COMPUTED_VALUE"""),540.0)</f>
        <v>540</v>
      </c>
      <c r="C1114" s="2">
        <f>IFERROR(__xludf.DUMMYFUNCTION("""COMPUTED_VALUE"""),550.0)</f>
        <v>550</v>
      </c>
      <c r="D1114" s="2">
        <f>IFERROR(__xludf.DUMMYFUNCTION("""COMPUTED_VALUE"""),535.0)</f>
        <v>535</v>
      </c>
      <c r="E1114" s="2">
        <f>IFERROR(__xludf.DUMMYFUNCTION("""COMPUTED_VALUE"""),545.0)</f>
        <v>545</v>
      </c>
      <c r="F1114" s="2">
        <f>IFERROR(__xludf.DUMMYFUNCTION("""COMPUTED_VALUE"""),1.30447E7)</f>
        <v>13044700</v>
      </c>
      <c r="G1114" s="2">
        <f t="shared" si="1"/>
        <v>15</v>
      </c>
    </row>
    <row r="1115" ht="15.75" customHeight="1">
      <c r="A1115" s="1">
        <f>IFERROR(__xludf.DUMMYFUNCTION("""COMPUTED_VALUE"""),45513.66666666667)</f>
        <v>45513.66667</v>
      </c>
      <c r="B1115" s="2">
        <f>IFERROR(__xludf.DUMMYFUNCTION("""COMPUTED_VALUE"""),545.0)</f>
        <v>545</v>
      </c>
      <c r="C1115" s="2">
        <f>IFERROR(__xludf.DUMMYFUNCTION("""COMPUTED_VALUE"""),550.0)</f>
        <v>550</v>
      </c>
      <c r="D1115" s="2">
        <f>IFERROR(__xludf.DUMMYFUNCTION("""COMPUTED_VALUE"""),540.0)</f>
        <v>540</v>
      </c>
      <c r="E1115" s="2">
        <f>IFERROR(__xludf.DUMMYFUNCTION("""COMPUTED_VALUE"""),540.0)</f>
        <v>540</v>
      </c>
      <c r="F1115" s="2">
        <f>IFERROR(__xludf.DUMMYFUNCTION("""COMPUTED_VALUE"""),5215300.0)</f>
        <v>5215300</v>
      </c>
      <c r="G1115" s="2">
        <f t="shared" si="1"/>
        <v>10</v>
      </c>
    </row>
    <row r="1116" ht="15.75" customHeight="1">
      <c r="A1116" s="1">
        <f>IFERROR(__xludf.DUMMYFUNCTION("""COMPUTED_VALUE"""),45516.66666666667)</f>
        <v>45516.66667</v>
      </c>
      <c r="B1116" s="2">
        <f>IFERROR(__xludf.DUMMYFUNCTION("""COMPUTED_VALUE"""),540.0)</f>
        <v>540</v>
      </c>
      <c r="C1116" s="2">
        <f>IFERROR(__xludf.DUMMYFUNCTION("""COMPUTED_VALUE"""),550.0)</f>
        <v>550</v>
      </c>
      <c r="D1116" s="2">
        <f>IFERROR(__xludf.DUMMYFUNCTION("""COMPUTED_VALUE"""),540.0)</f>
        <v>540</v>
      </c>
      <c r="E1116" s="2">
        <f>IFERROR(__xludf.DUMMYFUNCTION("""COMPUTED_VALUE"""),545.0)</f>
        <v>545</v>
      </c>
      <c r="F1116" s="2">
        <f>IFERROR(__xludf.DUMMYFUNCTION("""COMPUTED_VALUE"""),5266900.0)</f>
        <v>5266900</v>
      </c>
      <c r="G1116" s="2">
        <f t="shared" si="1"/>
        <v>10</v>
      </c>
    </row>
    <row r="1117" ht="15.75" customHeight="1">
      <c r="A1117" s="1">
        <f>IFERROR(__xludf.DUMMYFUNCTION("""COMPUTED_VALUE"""),45517.66666666667)</f>
        <v>45517.66667</v>
      </c>
      <c r="B1117" s="2">
        <f>IFERROR(__xludf.DUMMYFUNCTION("""COMPUTED_VALUE"""),550.0)</f>
        <v>550</v>
      </c>
      <c r="C1117" s="2">
        <f>IFERROR(__xludf.DUMMYFUNCTION("""COMPUTED_VALUE"""),550.0)</f>
        <v>550</v>
      </c>
      <c r="D1117" s="2">
        <f>IFERROR(__xludf.DUMMYFUNCTION("""COMPUTED_VALUE"""),545.0)</f>
        <v>545</v>
      </c>
      <c r="E1117" s="2">
        <f>IFERROR(__xludf.DUMMYFUNCTION("""COMPUTED_VALUE"""),550.0)</f>
        <v>550</v>
      </c>
      <c r="F1117" s="2">
        <f>IFERROR(__xludf.DUMMYFUNCTION("""COMPUTED_VALUE"""),2755000.0)</f>
        <v>2755000</v>
      </c>
      <c r="G1117" s="2">
        <f t="shared" si="1"/>
        <v>5</v>
      </c>
    </row>
    <row r="1118" ht="15.75" customHeight="1">
      <c r="A1118" s="1">
        <f>IFERROR(__xludf.DUMMYFUNCTION("""COMPUTED_VALUE"""),45518.66666666667)</f>
        <v>45518.66667</v>
      </c>
      <c r="B1118" s="2">
        <f>IFERROR(__xludf.DUMMYFUNCTION("""COMPUTED_VALUE"""),550.0)</f>
        <v>550</v>
      </c>
      <c r="C1118" s="2">
        <f>IFERROR(__xludf.DUMMYFUNCTION("""COMPUTED_VALUE"""),560.0)</f>
        <v>560</v>
      </c>
      <c r="D1118" s="2">
        <f>IFERROR(__xludf.DUMMYFUNCTION("""COMPUTED_VALUE"""),545.0)</f>
        <v>545</v>
      </c>
      <c r="E1118" s="2">
        <f>IFERROR(__xludf.DUMMYFUNCTION("""COMPUTED_VALUE"""),555.0)</f>
        <v>555</v>
      </c>
      <c r="F1118" s="2">
        <f>IFERROR(__xludf.DUMMYFUNCTION("""COMPUTED_VALUE"""),8766200.0)</f>
        <v>8766200</v>
      </c>
      <c r="G1118" s="2">
        <f t="shared" si="1"/>
        <v>15</v>
      </c>
    </row>
    <row r="1119" ht="15.75" customHeight="1">
      <c r="A1119" s="1">
        <f>IFERROR(__xludf.DUMMYFUNCTION("""COMPUTED_VALUE"""),45519.66666666667)</f>
        <v>45519.66667</v>
      </c>
      <c r="B1119" s="2">
        <f>IFERROR(__xludf.DUMMYFUNCTION("""COMPUTED_VALUE"""),555.0)</f>
        <v>555</v>
      </c>
      <c r="C1119" s="2">
        <f>IFERROR(__xludf.DUMMYFUNCTION("""COMPUTED_VALUE"""),560.0)</f>
        <v>560</v>
      </c>
      <c r="D1119" s="2">
        <f>IFERROR(__xludf.DUMMYFUNCTION("""COMPUTED_VALUE"""),550.0)</f>
        <v>550</v>
      </c>
      <c r="E1119" s="2">
        <f>IFERROR(__xludf.DUMMYFUNCTION("""COMPUTED_VALUE"""),550.0)</f>
        <v>550</v>
      </c>
      <c r="F1119" s="2">
        <f>IFERROR(__xludf.DUMMYFUNCTION("""COMPUTED_VALUE"""),2355700.0)</f>
        <v>2355700</v>
      </c>
      <c r="G1119" s="2">
        <f t="shared" si="1"/>
        <v>10</v>
      </c>
    </row>
    <row r="1120" ht="15.75" customHeight="1">
      <c r="A1120" s="1">
        <f>IFERROR(__xludf.DUMMYFUNCTION("""COMPUTED_VALUE"""),45520.66666666667)</f>
        <v>45520.66667</v>
      </c>
      <c r="B1120" s="2">
        <f>IFERROR(__xludf.DUMMYFUNCTION("""COMPUTED_VALUE"""),550.0)</f>
        <v>550</v>
      </c>
      <c r="C1120" s="2">
        <f>IFERROR(__xludf.DUMMYFUNCTION("""COMPUTED_VALUE"""),560.0)</f>
        <v>560</v>
      </c>
      <c r="D1120" s="2">
        <f>IFERROR(__xludf.DUMMYFUNCTION("""COMPUTED_VALUE"""),550.0)</f>
        <v>550</v>
      </c>
      <c r="E1120" s="2">
        <f>IFERROR(__xludf.DUMMYFUNCTION("""COMPUTED_VALUE"""),555.0)</f>
        <v>555</v>
      </c>
      <c r="F1120" s="2">
        <f>IFERROR(__xludf.DUMMYFUNCTION("""COMPUTED_VALUE"""),3581500.0)</f>
        <v>3581500</v>
      </c>
      <c r="G1120" s="2">
        <f t="shared" si="1"/>
        <v>10</v>
      </c>
    </row>
    <row r="1121" ht="15.75" customHeight="1">
      <c r="A1121" s="1">
        <f>IFERROR(__xludf.DUMMYFUNCTION("""COMPUTED_VALUE"""),45523.66666666667)</f>
        <v>45523.66667</v>
      </c>
      <c r="B1121" s="2">
        <f>IFERROR(__xludf.DUMMYFUNCTION("""COMPUTED_VALUE"""),560.0)</f>
        <v>560</v>
      </c>
      <c r="C1121" s="2">
        <f>IFERROR(__xludf.DUMMYFUNCTION("""COMPUTED_VALUE"""),560.0)</f>
        <v>560</v>
      </c>
      <c r="D1121" s="2">
        <f>IFERROR(__xludf.DUMMYFUNCTION("""COMPUTED_VALUE"""),550.0)</f>
        <v>550</v>
      </c>
      <c r="E1121" s="2">
        <f>IFERROR(__xludf.DUMMYFUNCTION("""COMPUTED_VALUE"""),555.0)</f>
        <v>555</v>
      </c>
      <c r="F1121" s="2">
        <f>IFERROR(__xludf.DUMMYFUNCTION("""COMPUTED_VALUE"""),5412500.0)</f>
        <v>5412500</v>
      </c>
      <c r="G1121" s="2">
        <f t="shared" si="1"/>
        <v>10</v>
      </c>
    </row>
    <row r="1122" ht="15.75" customHeight="1">
      <c r="A1122" s="1">
        <f>IFERROR(__xludf.DUMMYFUNCTION("""COMPUTED_VALUE"""),45524.66666666667)</f>
        <v>45524.66667</v>
      </c>
      <c r="B1122" s="2">
        <f>IFERROR(__xludf.DUMMYFUNCTION("""COMPUTED_VALUE"""),555.0)</f>
        <v>555</v>
      </c>
      <c r="C1122" s="2">
        <f>IFERROR(__xludf.DUMMYFUNCTION("""COMPUTED_VALUE"""),560.0)</f>
        <v>560</v>
      </c>
      <c r="D1122" s="2">
        <f>IFERROR(__xludf.DUMMYFUNCTION("""COMPUTED_VALUE"""),550.0)</f>
        <v>550</v>
      </c>
      <c r="E1122" s="2">
        <f>IFERROR(__xludf.DUMMYFUNCTION("""COMPUTED_VALUE"""),560.0)</f>
        <v>560</v>
      </c>
      <c r="F1122" s="2">
        <f>IFERROR(__xludf.DUMMYFUNCTION("""COMPUTED_VALUE"""),8759800.0)</f>
        <v>8759800</v>
      </c>
      <c r="G1122" s="2">
        <f t="shared" si="1"/>
        <v>10</v>
      </c>
    </row>
    <row r="1123" ht="15.75" customHeight="1">
      <c r="A1123" s="1">
        <f>IFERROR(__xludf.DUMMYFUNCTION("""COMPUTED_VALUE"""),45525.66666666667)</f>
        <v>45525.66667</v>
      </c>
      <c r="B1123" s="2">
        <f>IFERROR(__xludf.DUMMYFUNCTION("""COMPUTED_VALUE"""),560.0)</f>
        <v>560</v>
      </c>
      <c r="C1123" s="2">
        <f>IFERROR(__xludf.DUMMYFUNCTION("""COMPUTED_VALUE"""),570.0)</f>
        <v>570</v>
      </c>
      <c r="D1123" s="2">
        <f>IFERROR(__xludf.DUMMYFUNCTION("""COMPUTED_VALUE"""),555.0)</f>
        <v>555</v>
      </c>
      <c r="E1123" s="2">
        <f>IFERROR(__xludf.DUMMYFUNCTION("""COMPUTED_VALUE"""),565.0)</f>
        <v>565</v>
      </c>
      <c r="F1123" s="2">
        <f>IFERROR(__xludf.DUMMYFUNCTION("""COMPUTED_VALUE"""),1.14366E7)</f>
        <v>11436600</v>
      </c>
      <c r="G1123" s="2">
        <f t="shared" si="1"/>
        <v>15</v>
      </c>
    </row>
    <row r="1124" ht="15.75" customHeight="1">
      <c r="A1124" s="1">
        <f>IFERROR(__xludf.DUMMYFUNCTION("""COMPUTED_VALUE"""),45526.66666666667)</f>
        <v>45526.66667</v>
      </c>
      <c r="B1124" s="2">
        <f>IFERROR(__xludf.DUMMYFUNCTION("""COMPUTED_VALUE"""),565.0)</f>
        <v>565</v>
      </c>
      <c r="C1124" s="2">
        <f>IFERROR(__xludf.DUMMYFUNCTION("""COMPUTED_VALUE"""),565.0)</f>
        <v>565</v>
      </c>
      <c r="D1124" s="2">
        <f>IFERROR(__xludf.DUMMYFUNCTION("""COMPUTED_VALUE"""),555.0)</f>
        <v>555</v>
      </c>
      <c r="E1124" s="2">
        <f>IFERROR(__xludf.DUMMYFUNCTION("""COMPUTED_VALUE"""),555.0)</f>
        <v>555</v>
      </c>
      <c r="F1124" s="2">
        <f>IFERROR(__xludf.DUMMYFUNCTION("""COMPUTED_VALUE"""),1.05491E7)</f>
        <v>10549100</v>
      </c>
      <c r="G1124" s="2">
        <f t="shared" si="1"/>
        <v>10</v>
      </c>
    </row>
    <row r="1125" ht="15.75" customHeight="1">
      <c r="A1125" s="1">
        <f>IFERROR(__xludf.DUMMYFUNCTION("""COMPUTED_VALUE"""),45527.66666666667)</f>
        <v>45527.66667</v>
      </c>
      <c r="B1125" s="2">
        <f>IFERROR(__xludf.DUMMYFUNCTION("""COMPUTED_VALUE"""),555.0)</f>
        <v>555</v>
      </c>
      <c r="C1125" s="2">
        <f>IFERROR(__xludf.DUMMYFUNCTION("""COMPUTED_VALUE"""),565.0)</f>
        <v>565</v>
      </c>
      <c r="D1125" s="2">
        <f>IFERROR(__xludf.DUMMYFUNCTION("""COMPUTED_VALUE"""),550.0)</f>
        <v>550</v>
      </c>
      <c r="E1125" s="2">
        <f>IFERROR(__xludf.DUMMYFUNCTION("""COMPUTED_VALUE"""),565.0)</f>
        <v>565</v>
      </c>
      <c r="F1125" s="2">
        <f>IFERROR(__xludf.DUMMYFUNCTION("""COMPUTED_VALUE"""),3507700.0)</f>
        <v>3507700</v>
      </c>
      <c r="G1125" s="2">
        <f t="shared" si="1"/>
        <v>15</v>
      </c>
    </row>
    <row r="1126" ht="15.75" customHeight="1">
      <c r="A1126" s="1">
        <f>IFERROR(__xludf.DUMMYFUNCTION("""COMPUTED_VALUE"""),45530.66666666667)</f>
        <v>45530.66667</v>
      </c>
      <c r="B1126" s="2">
        <f>IFERROR(__xludf.DUMMYFUNCTION("""COMPUTED_VALUE"""),565.0)</f>
        <v>565</v>
      </c>
      <c r="C1126" s="2">
        <f>IFERROR(__xludf.DUMMYFUNCTION("""COMPUTED_VALUE"""),575.0)</f>
        <v>575</v>
      </c>
      <c r="D1126" s="2">
        <f>IFERROR(__xludf.DUMMYFUNCTION("""COMPUTED_VALUE"""),560.0)</f>
        <v>560</v>
      </c>
      <c r="E1126" s="2">
        <f>IFERROR(__xludf.DUMMYFUNCTION("""COMPUTED_VALUE"""),575.0)</f>
        <v>575</v>
      </c>
      <c r="F1126" s="2">
        <f>IFERROR(__xludf.DUMMYFUNCTION("""COMPUTED_VALUE"""),1.13007E7)</f>
        <v>11300700</v>
      </c>
      <c r="G1126" s="2">
        <f t="shared" si="1"/>
        <v>15</v>
      </c>
    </row>
    <row r="1127" ht="15.75" customHeight="1">
      <c r="A1127" s="1">
        <f>IFERROR(__xludf.DUMMYFUNCTION("""COMPUTED_VALUE"""),45531.66666666667)</f>
        <v>45531.66667</v>
      </c>
      <c r="B1127" s="2">
        <f>IFERROR(__xludf.DUMMYFUNCTION("""COMPUTED_VALUE"""),575.0)</f>
        <v>575</v>
      </c>
      <c r="C1127" s="2">
        <f>IFERROR(__xludf.DUMMYFUNCTION("""COMPUTED_VALUE"""),580.0)</f>
        <v>580</v>
      </c>
      <c r="D1127" s="2">
        <f>IFERROR(__xludf.DUMMYFUNCTION("""COMPUTED_VALUE"""),565.0)</f>
        <v>565</v>
      </c>
      <c r="E1127" s="2">
        <f>IFERROR(__xludf.DUMMYFUNCTION("""COMPUTED_VALUE"""),570.0)</f>
        <v>570</v>
      </c>
      <c r="F1127" s="2">
        <f>IFERROR(__xludf.DUMMYFUNCTION("""COMPUTED_VALUE"""),6149300.0)</f>
        <v>6149300</v>
      </c>
      <c r="G1127" s="2">
        <f t="shared" si="1"/>
        <v>15</v>
      </c>
    </row>
    <row r="1128" ht="15.75" customHeight="1">
      <c r="A1128" s="1">
        <f>IFERROR(__xludf.DUMMYFUNCTION("""COMPUTED_VALUE"""),45532.66666666667)</f>
        <v>45532.66667</v>
      </c>
      <c r="B1128" s="2">
        <f>IFERROR(__xludf.DUMMYFUNCTION("""COMPUTED_VALUE"""),570.0)</f>
        <v>570</v>
      </c>
      <c r="C1128" s="2">
        <f>IFERROR(__xludf.DUMMYFUNCTION("""COMPUTED_VALUE"""),575.0)</f>
        <v>575</v>
      </c>
      <c r="D1128" s="2">
        <f>IFERROR(__xludf.DUMMYFUNCTION("""COMPUTED_VALUE"""),565.0)</f>
        <v>565</v>
      </c>
      <c r="E1128" s="2">
        <f>IFERROR(__xludf.DUMMYFUNCTION("""COMPUTED_VALUE"""),575.0)</f>
        <v>575</v>
      </c>
      <c r="F1128" s="2">
        <f>IFERROR(__xludf.DUMMYFUNCTION("""COMPUTED_VALUE"""),3310500.0)</f>
        <v>3310500</v>
      </c>
      <c r="G1128" s="2">
        <f t="shared" si="1"/>
        <v>10</v>
      </c>
    </row>
    <row r="1129" ht="15.75" customHeight="1">
      <c r="A1129" s="1">
        <f>IFERROR(__xludf.DUMMYFUNCTION("""COMPUTED_VALUE"""),45533.66666666667)</f>
        <v>45533.66667</v>
      </c>
      <c r="B1129" s="2">
        <f>IFERROR(__xludf.DUMMYFUNCTION("""COMPUTED_VALUE"""),575.0)</f>
        <v>575</v>
      </c>
      <c r="C1129" s="2">
        <f>IFERROR(__xludf.DUMMYFUNCTION("""COMPUTED_VALUE"""),575.0)</f>
        <v>575</v>
      </c>
      <c r="D1129" s="2">
        <f>IFERROR(__xludf.DUMMYFUNCTION("""COMPUTED_VALUE"""),565.0)</f>
        <v>565</v>
      </c>
      <c r="E1129" s="2">
        <f>IFERROR(__xludf.DUMMYFUNCTION("""COMPUTED_VALUE"""),575.0)</f>
        <v>575</v>
      </c>
      <c r="F1129" s="2">
        <f>IFERROR(__xludf.DUMMYFUNCTION("""COMPUTED_VALUE"""),2987300.0)</f>
        <v>2987300</v>
      </c>
      <c r="G1129" s="2">
        <f t="shared" si="1"/>
        <v>10</v>
      </c>
    </row>
    <row r="1130" ht="15.75" customHeight="1">
      <c r="A1130" s="1">
        <f>IFERROR(__xludf.DUMMYFUNCTION("""COMPUTED_VALUE"""),45534.66666666667)</f>
        <v>45534.66667</v>
      </c>
      <c r="B1130" s="2">
        <f>IFERROR(__xludf.DUMMYFUNCTION("""COMPUTED_VALUE"""),575.0)</f>
        <v>575</v>
      </c>
      <c r="C1130" s="2">
        <f>IFERROR(__xludf.DUMMYFUNCTION("""COMPUTED_VALUE"""),575.0)</f>
        <v>575</v>
      </c>
      <c r="D1130" s="2">
        <f>IFERROR(__xludf.DUMMYFUNCTION("""COMPUTED_VALUE"""),570.0)</f>
        <v>570</v>
      </c>
      <c r="E1130" s="2">
        <f>IFERROR(__xludf.DUMMYFUNCTION("""COMPUTED_VALUE"""),570.0)</f>
        <v>570</v>
      </c>
      <c r="F1130" s="2">
        <f>IFERROR(__xludf.DUMMYFUNCTION("""COMPUTED_VALUE"""),3943400.0)</f>
        <v>3943400</v>
      </c>
      <c r="G1130" s="2">
        <f t="shared" si="1"/>
        <v>5</v>
      </c>
    </row>
    <row r="1131" ht="15.75" customHeight="1">
      <c r="A1131" s="1">
        <f>IFERROR(__xludf.DUMMYFUNCTION("""COMPUTED_VALUE"""),45537.66666666667)</f>
        <v>45537.66667</v>
      </c>
      <c r="B1131" s="2">
        <f>IFERROR(__xludf.DUMMYFUNCTION("""COMPUTED_VALUE"""),575.0)</f>
        <v>575</v>
      </c>
      <c r="C1131" s="2">
        <f>IFERROR(__xludf.DUMMYFUNCTION("""COMPUTED_VALUE"""),575.0)</f>
        <v>575</v>
      </c>
      <c r="D1131" s="2">
        <f>IFERROR(__xludf.DUMMYFUNCTION("""COMPUTED_VALUE"""),565.0)</f>
        <v>565</v>
      </c>
      <c r="E1131" s="2">
        <f>IFERROR(__xludf.DUMMYFUNCTION("""COMPUTED_VALUE"""),575.0)</f>
        <v>575</v>
      </c>
      <c r="F1131" s="2">
        <f>IFERROR(__xludf.DUMMYFUNCTION("""COMPUTED_VALUE"""),5263000.0)</f>
        <v>5263000</v>
      </c>
      <c r="G1131" s="2">
        <f t="shared" si="1"/>
        <v>10</v>
      </c>
    </row>
    <row r="1132" ht="15.75" customHeight="1">
      <c r="A1132" s="1">
        <f>IFERROR(__xludf.DUMMYFUNCTION("""COMPUTED_VALUE"""),45538.66666666667)</f>
        <v>45538.66667</v>
      </c>
      <c r="B1132" s="2">
        <f>IFERROR(__xludf.DUMMYFUNCTION("""COMPUTED_VALUE"""),575.0)</f>
        <v>575</v>
      </c>
      <c r="C1132" s="2">
        <f>IFERROR(__xludf.DUMMYFUNCTION("""COMPUTED_VALUE"""),575.0)</f>
        <v>575</v>
      </c>
      <c r="D1132" s="2">
        <f>IFERROR(__xludf.DUMMYFUNCTION("""COMPUTED_VALUE"""),565.0)</f>
        <v>565</v>
      </c>
      <c r="E1132" s="2">
        <f>IFERROR(__xludf.DUMMYFUNCTION("""COMPUTED_VALUE"""),565.0)</f>
        <v>565</v>
      </c>
      <c r="F1132" s="2">
        <f>IFERROR(__xludf.DUMMYFUNCTION("""COMPUTED_VALUE"""),4082400.0)</f>
        <v>4082400</v>
      </c>
      <c r="G1132" s="2">
        <f t="shared" si="1"/>
        <v>10</v>
      </c>
    </row>
    <row r="1133" ht="15.75" customHeight="1">
      <c r="A1133" s="1">
        <f>IFERROR(__xludf.DUMMYFUNCTION("""COMPUTED_VALUE"""),45539.66666666667)</f>
        <v>45539.66667</v>
      </c>
      <c r="B1133" s="2">
        <f>IFERROR(__xludf.DUMMYFUNCTION("""COMPUTED_VALUE"""),565.0)</f>
        <v>565</v>
      </c>
      <c r="C1133" s="2">
        <f>IFERROR(__xludf.DUMMYFUNCTION("""COMPUTED_VALUE"""),570.0)</f>
        <v>570</v>
      </c>
      <c r="D1133" s="2">
        <f>IFERROR(__xludf.DUMMYFUNCTION("""COMPUTED_VALUE"""),560.0)</f>
        <v>560</v>
      </c>
      <c r="E1133" s="2">
        <f>IFERROR(__xludf.DUMMYFUNCTION("""COMPUTED_VALUE"""),565.0)</f>
        <v>565</v>
      </c>
      <c r="F1133" s="2">
        <f>IFERROR(__xludf.DUMMYFUNCTION("""COMPUTED_VALUE"""),2570500.0)</f>
        <v>2570500</v>
      </c>
      <c r="G1133" s="2">
        <f t="shared" si="1"/>
        <v>10</v>
      </c>
    </row>
    <row r="1134" ht="15.75" customHeight="1">
      <c r="A1134" s="1">
        <f>IFERROR(__xludf.DUMMYFUNCTION("""COMPUTED_VALUE"""),45540.66666666667)</f>
        <v>45540.66667</v>
      </c>
      <c r="B1134" s="2">
        <f>IFERROR(__xludf.DUMMYFUNCTION("""COMPUTED_VALUE"""),565.0)</f>
        <v>565</v>
      </c>
      <c r="C1134" s="2">
        <f>IFERROR(__xludf.DUMMYFUNCTION("""COMPUTED_VALUE"""),570.0)</f>
        <v>570</v>
      </c>
      <c r="D1134" s="2">
        <f>IFERROR(__xludf.DUMMYFUNCTION("""COMPUTED_VALUE"""),565.0)</f>
        <v>565</v>
      </c>
      <c r="E1134" s="2">
        <f>IFERROR(__xludf.DUMMYFUNCTION("""COMPUTED_VALUE"""),565.0)</f>
        <v>565</v>
      </c>
      <c r="F1134" s="2">
        <f>IFERROR(__xludf.DUMMYFUNCTION("""COMPUTED_VALUE"""),2974000.0)</f>
        <v>2974000</v>
      </c>
      <c r="G1134" s="2">
        <f t="shared" si="1"/>
        <v>5</v>
      </c>
    </row>
    <row r="1135" ht="15.75" customHeight="1">
      <c r="A1135" s="1">
        <f>IFERROR(__xludf.DUMMYFUNCTION("""COMPUTED_VALUE"""),45541.66666666667)</f>
        <v>45541.66667</v>
      </c>
      <c r="B1135" s="2">
        <f>IFERROR(__xludf.DUMMYFUNCTION("""COMPUTED_VALUE"""),565.0)</f>
        <v>565</v>
      </c>
      <c r="C1135" s="2">
        <f>IFERROR(__xludf.DUMMYFUNCTION("""COMPUTED_VALUE"""),580.0)</f>
        <v>580</v>
      </c>
      <c r="D1135" s="2">
        <f>IFERROR(__xludf.DUMMYFUNCTION("""COMPUTED_VALUE"""),565.0)</f>
        <v>565</v>
      </c>
      <c r="E1135" s="2">
        <f>IFERROR(__xludf.DUMMYFUNCTION("""COMPUTED_VALUE"""),575.0)</f>
        <v>575</v>
      </c>
      <c r="F1135" s="2">
        <f>IFERROR(__xludf.DUMMYFUNCTION("""COMPUTED_VALUE"""),1.2589E7)</f>
        <v>12589000</v>
      </c>
      <c r="G1135" s="2">
        <f t="shared" si="1"/>
        <v>15</v>
      </c>
    </row>
    <row r="1136" ht="15.75" customHeight="1">
      <c r="A1136" s="1">
        <f>IFERROR(__xludf.DUMMYFUNCTION("""COMPUTED_VALUE"""),45544.66666666667)</f>
        <v>45544.66667</v>
      </c>
      <c r="B1136" s="2">
        <f>IFERROR(__xludf.DUMMYFUNCTION("""COMPUTED_VALUE"""),575.0)</f>
        <v>575</v>
      </c>
      <c r="C1136" s="2">
        <f>IFERROR(__xludf.DUMMYFUNCTION("""COMPUTED_VALUE"""),575.0)</f>
        <v>575</v>
      </c>
      <c r="D1136" s="2">
        <f>IFERROR(__xludf.DUMMYFUNCTION("""COMPUTED_VALUE"""),570.0)</f>
        <v>570</v>
      </c>
      <c r="E1136" s="2">
        <f>IFERROR(__xludf.DUMMYFUNCTION("""COMPUTED_VALUE"""),575.0)</f>
        <v>575</v>
      </c>
      <c r="F1136" s="2">
        <f>IFERROR(__xludf.DUMMYFUNCTION("""COMPUTED_VALUE"""),2544800.0)</f>
        <v>2544800</v>
      </c>
      <c r="G1136" s="2">
        <f t="shared" si="1"/>
        <v>5</v>
      </c>
    </row>
    <row r="1137" ht="15.75" customHeight="1">
      <c r="A1137" s="1">
        <f>IFERROR(__xludf.DUMMYFUNCTION("""COMPUTED_VALUE"""),45545.66666666667)</f>
        <v>45545.66667</v>
      </c>
      <c r="B1137" s="2">
        <f>IFERROR(__xludf.DUMMYFUNCTION("""COMPUTED_VALUE"""),575.0)</f>
        <v>575</v>
      </c>
      <c r="C1137" s="2">
        <f>IFERROR(__xludf.DUMMYFUNCTION("""COMPUTED_VALUE"""),575.0)</f>
        <v>575</v>
      </c>
      <c r="D1137" s="2">
        <f>IFERROR(__xludf.DUMMYFUNCTION("""COMPUTED_VALUE"""),565.0)</f>
        <v>565</v>
      </c>
      <c r="E1137" s="2">
        <f>IFERROR(__xludf.DUMMYFUNCTION("""COMPUTED_VALUE"""),565.0)</f>
        <v>565</v>
      </c>
      <c r="F1137" s="2">
        <f>IFERROR(__xludf.DUMMYFUNCTION("""COMPUTED_VALUE"""),6569200.0)</f>
        <v>6569200</v>
      </c>
      <c r="G1137" s="2">
        <f t="shared" si="1"/>
        <v>10</v>
      </c>
    </row>
    <row r="1138" ht="15.75" customHeight="1">
      <c r="A1138" s="1">
        <f>IFERROR(__xludf.DUMMYFUNCTION("""COMPUTED_VALUE"""),45546.66666666667)</f>
        <v>45546.66667</v>
      </c>
      <c r="B1138" s="2">
        <f>IFERROR(__xludf.DUMMYFUNCTION("""COMPUTED_VALUE"""),570.0)</f>
        <v>570</v>
      </c>
      <c r="C1138" s="2">
        <f>IFERROR(__xludf.DUMMYFUNCTION("""COMPUTED_VALUE"""),570.0)</f>
        <v>570</v>
      </c>
      <c r="D1138" s="2">
        <f>IFERROR(__xludf.DUMMYFUNCTION("""COMPUTED_VALUE"""),565.0)</f>
        <v>565</v>
      </c>
      <c r="E1138" s="2">
        <f>IFERROR(__xludf.DUMMYFUNCTION("""COMPUTED_VALUE"""),570.0)</f>
        <v>570</v>
      </c>
      <c r="F1138" s="2">
        <f>IFERROR(__xludf.DUMMYFUNCTION("""COMPUTED_VALUE"""),4534800.0)</f>
        <v>4534800</v>
      </c>
      <c r="G1138" s="2">
        <f t="shared" si="1"/>
        <v>5</v>
      </c>
    </row>
    <row r="1139" ht="15.75" customHeight="1">
      <c r="A1139" s="1">
        <f>IFERROR(__xludf.DUMMYFUNCTION("""COMPUTED_VALUE"""),45547.66666666667)</f>
        <v>45547.66667</v>
      </c>
      <c r="B1139" s="2">
        <f>IFERROR(__xludf.DUMMYFUNCTION("""COMPUTED_VALUE"""),570.0)</f>
        <v>570</v>
      </c>
      <c r="C1139" s="2">
        <f>IFERROR(__xludf.DUMMYFUNCTION("""COMPUTED_VALUE"""),575.0)</f>
        <v>575</v>
      </c>
      <c r="D1139" s="2">
        <f>IFERROR(__xludf.DUMMYFUNCTION("""COMPUTED_VALUE"""),565.0)</f>
        <v>565</v>
      </c>
      <c r="E1139" s="2">
        <f>IFERROR(__xludf.DUMMYFUNCTION("""COMPUTED_VALUE"""),570.0)</f>
        <v>570</v>
      </c>
      <c r="F1139" s="2">
        <f>IFERROR(__xludf.DUMMYFUNCTION("""COMPUTED_VALUE"""),3828600.0)</f>
        <v>3828600</v>
      </c>
      <c r="G1139" s="2">
        <f t="shared" si="1"/>
        <v>10</v>
      </c>
    </row>
    <row r="1140" ht="15.75" customHeight="1">
      <c r="A1140" s="1">
        <f>IFERROR(__xludf.DUMMYFUNCTION("""COMPUTED_VALUE"""),45548.66666666667)</f>
        <v>45548.66667</v>
      </c>
      <c r="B1140" s="2">
        <f>IFERROR(__xludf.DUMMYFUNCTION("""COMPUTED_VALUE"""),575.0)</f>
        <v>575</v>
      </c>
      <c r="C1140" s="2">
        <f>IFERROR(__xludf.DUMMYFUNCTION("""COMPUTED_VALUE"""),575.0)</f>
        <v>575</v>
      </c>
      <c r="D1140" s="2">
        <f>IFERROR(__xludf.DUMMYFUNCTION("""COMPUTED_VALUE"""),570.0)</f>
        <v>570</v>
      </c>
      <c r="E1140" s="2">
        <f>IFERROR(__xludf.DUMMYFUNCTION("""COMPUTED_VALUE"""),570.0)</f>
        <v>570</v>
      </c>
      <c r="F1140" s="2">
        <f>IFERROR(__xludf.DUMMYFUNCTION("""COMPUTED_VALUE"""),2958400.0)</f>
        <v>2958400</v>
      </c>
      <c r="G1140" s="2">
        <f t="shared" si="1"/>
        <v>5</v>
      </c>
    </row>
    <row r="1141" ht="15.75" customHeight="1">
      <c r="A1141" s="1">
        <f>IFERROR(__xludf.DUMMYFUNCTION("""COMPUTED_VALUE"""),45552.66666666667)</f>
        <v>45552.66667</v>
      </c>
      <c r="B1141" s="2">
        <f>IFERROR(__xludf.DUMMYFUNCTION("""COMPUTED_VALUE"""),575.0)</f>
        <v>575</v>
      </c>
      <c r="C1141" s="2">
        <f>IFERROR(__xludf.DUMMYFUNCTION("""COMPUTED_VALUE"""),575.0)</f>
        <v>575</v>
      </c>
      <c r="D1141" s="2">
        <f>IFERROR(__xludf.DUMMYFUNCTION("""COMPUTED_VALUE"""),570.0)</f>
        <v>570</v>
      </c>
      <c r="E1141" s="2">
        <f>IFERROR(__xludf.DUMMYFUNCTION("""COMPUTED_VALUE"""),570.0)</f>
        <v>570</v>
      </c>
      <c r="F1141" s="2">
        <f>IFERROR(__xludf.DUMMYFUNCTION("""COMPUTED_VALUE"""),3056000.0)</f>
        <v>3056000</v>
      </c>
      <c r="G1141" s="2">
        <f t="shared" si="1"/>
        <v>5</v>
      </c>
    </row>
    <row r="1142" ht="15.75" customHeight="1">
      <c r="A1142" s="1">
        <f>IFERROR(__xludf.DUMMYFUNCTION("""COMPUTED_VALUE"""),45553.66666666667)</f>
        <v>45553.66667</v>
      </c>
      <c r="B1142" s="2">
        <f>IFERROR(__xludf.DUMMYFUNCTION("""COMPUTED_VALUE"""),575.0)</f>
        <v>575</v>
      </c>
      <c r="C1142" s="2">
        <f>IFERROR(__xludf.DUMMYFUNCTION("""COMPUTED_VALUE"""),580.0)</f>
        <v>580</v>
      </c>
      <c r="D1142" s="2">
        <f>IFERROR(__xludf.DUMMYFUNCTION("""COMPUTED_VALUE"""),570.0)</f>
        <v>570</v>
      </c>
      <c r="E1142" s="2">
        <f>IFERROR(__xludf.DUMMYFUNCTION("""COMPUTED_VALUE"""),580.0)</f>
        <v>580</v>
      </c>
      <c r="F1142" s="2">
        <f>IFERROR(__xludf.DUMMYFUNCTION("""COMPUTED_VALUE"""),4845300.0)</f>
        <v>4845300</v>
      </c>
      <c r="G1142" s="2">
        <f t="shared" si="1"/>
        <v>10</v>
      </c>
    </row>
    <row r="1143" ht="15.75" customHeight="1">
      <c r="A1143" s="1">
        <f>IFERROR(__xludf.DUMMYFUNCTION("""COMPUTED_VALUE"""),45554.66666666667)</f>
        <v>45554.66667</v>
      </c>
      <c r="B1143" s="2">
        <f>IFERROR(__xludf.DUMMYFUNCTION("""COMPUTED_VALUE"""),580.0)</f>
        <v>580</v>
      </c>
      <c r="C1143" s="2">
        <f>IFERROR(__xludf.DUMMYFUNCTION("""COMPUTED_VALUE"""),585.0)</f>
        <v>585</v>
      </c>
      <c r="D1143" s="2">
        <f>IFERROR(__xludf.DUMMYFUNCTION("""COMPUTED_VALUE"""),575.0)</f>
        <v>575</v>
      </c>
      <c r="E1143" s="2">
        <f>IFERROR(__xludf.DUMMYFUNCTION("""COMPUTED_VALUE"""),580.0)</f>
        <v>580</v>
      </c>
      <c r="F1143" s="2">
        <f>IFERROR(__xludf.DUMMYFUNCTION("""COMPUTED_VALUE"""),7070400.0)</f>
        <v>7070400</v>
      </c>
      <c r="G1143" s="2">
        <f t="shared" si="1"/>
        <v>10</v>
      </c>
    </row>
    <row r="1144" ht="15.75" customHeight="1">
      <c r="A1144" s="1">
        <f>IFERROR(__xludf.DUMMYFUNCTION("""COMPUTED_VALUE"""),45555.66666666667)</f>
        <v>45555.66667</v>
      </c>
      <c r="B1144" s="2">
        <f>IFERROR(__xludf.DUMMYFUNCTION("""COMPUTED_VALUE"""),580.0)</f>
        <v>580</v>
      </c>
      <c r="C1144" s="2">
        <f>IFERROR(__xludf.DUMMYFUNCTION("""COMPUTED_VALUE"""),585.0)</f>
        <v>585</v>
      </c>
      <c r="D1144" s="2">
        <f>IFERROR(__xludf.DUMMYFUNCTION("""COMPUTED_VALUE"""),575.0)</f>
        <v>575</v>
      </c>
      <c r="E1144" s="2">
        <f>IFERROR(__xludf.DUMMYFUNCTION("""COMPUTED_VALUE"""),585.0)</f>
        <v>585</v>
      </c>
      <c r="F1144" s="2">
        <f>IFERROR(__xludf.DUMMYFUNCTION("""COMPUTED_VALUE"""),4344400.0)</f>
        <v>4344400</v>
      </c>
      <c r="G1144" s="2">
        <f t="shared" si="1"/>
        <v>10</v>
      </c>
    </row>
    <row r="1145" ht="15.75" customHeight="1">
      <c r="A1145" s="1">
        <f>IFERROR(__xludf.DUMMYFUNCTION("""COMPUTED_VALUE"""),45558.66666666667)</f>
        <v>45558.66667</v>
      </c>
      <c r="B1145" s="2">
        <f>IFERROR(__xludf.DUMMYFUNCTION("""COMPUTED_VALUE"""),585.0)</f>
        <v>585</v>
      </c>
      <c r="C1145" s="2">
        <f>IFERROR(__xludf.DUMMYFUNCTION("""COMPUTED_VALUE"""),585.0)</f>
        <v>585</v>
      </c>
      <c r="D1145" s="2">
        <f>IFERROR(__xludf.DUMMYFUNCTION("""COMPUTED_VALUE"""),575.0)</f>
        <v>575</v>
      </c>
      <c r="E1145" s="2">
        <f>IFERROR(__xludf.DUMMYFUNCTION("""COMPUTED_VALUE"""),580.0)</f>
        <v>580</v>
      </c>
      <c r="F1145" s="2">
        <f>IFERROR(__xludf.DUMMYFUNCTION("""COMPUTED_VALUE"""),6708900.0)</f>
        <v>6708900</v>
      </c>
      <c r="G1145" s="2">
        <f t="shared" si="1"/>
        <v>10</v>
      </c>
    </row>
    <row r="1146" ht="15.75" customHeight="1">
      <c r="A1146" s="1">
        <f>IFERROR(__xludf.DUMMYFUNCTION("""COMPUTED_VALUE"""),45559.66666666667)</f>
        <v>45559.66667</v>
      </c>
      <c r="B1146" s="2">
        <f>IFERROR(__xludf.DUMMYFUNCTION("""COMPUTED_VALUE"""),580.0)</f>
        <v>580</v>
      </c>
      <c r="C1146" s="2">
        <f>IFERROR(__xludf.DUMMYFUNCTION("""COMPUTED_VALUE"""),585.0)</f>
        <v>585</v>
      </c>
      <c r="D1146" s="2">
        <f>IFERROR(__xludf.DUMMYFUNCTION("""COMPUTED_VALUE"""),575.0)</f>
        <v>575</v>
      </c>
      <c r="E1146" s="2">
        <f>IFERROR(__xludf.DUMMYFUNCTION("""COMPUTED_VALUE"""),585.0)</f>
        <v>585</v>
      </c>
      <c r="F1146" s="2">
        <f>IFERROR(__xludf.DUMMYFUNCTION("""COMPUTED_VALUE"""),5215600.0)</f>
        <v>5215600</v>
      </c>
      <c r="G1146" s="2">
        <f t="shared" si="1"/>
        <v>10</v>
      </c>
    </row>
    <row r="1147" ht="15.75" customHeight="1">
      <c r="A1147" s="1">
        <f>IFERROR(__xludf.DUMMYFUNCTION("""COMPUTED_VALUE"""),45560.66666666667)</f>
        <v>45560.66667</v>
      </c>
      <c r="B1147" s="2">
        <f>IFERROR(__xludf.DUMMYFUNCTION("""COMPUTED_VALUE"""),585.0)</f>
        <v>585</v>
      </c>
      <c r="C1147" s="2">
        <f>IFERROR(__xludf.DUMMYFUNCTION("""COMPUTED_VALUE"""),585.0)</f>
        <v>585</v>
      </c>
      <c r="D1147" s="2">
        <f>IFERROR(__xludf.DUMMYFUNCTION("""COMPUTED_VALUE"""),575.0)</f>
        <v>575</v>
      </c>
      <c r="E1147" s="2">
        <f>IFERROR(__xludf.DUMMYFUNCTION("""COMPUTED_VALUE"""),575.0)</f>
        <v>575</v>
      </c>
      <c r="F1147" s="2">
        <f>IFERROR(__xludf.DUMMYFUNCTION("""COMPUTED_VALUE"""),9700700.0)</f>
        <v>9700700</v>
      </c>
      <c r="G1147" s="2">
        <f t="shared" si="1"/>
        <v>10</v>
      </c>
    </row>
    <row r="1148" ht="15.75" customHeight="1">
      <c r="A1148" s="1">
        <f>IFERROR(__xludf.DUMMYFUNCTION("""COMPUTED_VALUE"""),45561.66666666667)</f>
        <v>45561.66667</v>
      </c>
      <c r="B1148" s="2">
        <f>IFERROR(__xludf.DUMMYFUNCTION("""COMPUTED_VALUE"""),575.0)</f>
        <v>575</v>
      </c>
      <c r="C1148" s="2">
        <f>IFERROR(__xludf.DUMMYFUNCTION("""COMPUTED_VALUE"""),580.0)</f>
        <v>580</v>
      </c>
      <c r="D1148" s="2">
        <f>IFERROR(__xludf.DUMMYFUNCTION("""COMPUTED_VALUE"""),570.0)</f>
        <v>570</v>
      </c>
      <c r="E1148" s="2">
        <f>IFERROR(__xludf.DUMMYFUNCTION("""COMPUTED_VALUE"""),575.0)</f>
        <v>575</v>
      </c>
      <c r="F1148" s="2">
        <f>IFERROR(__xludf.DUMMYFUNCTION("""COMPUTED_VALUE"""),5323700.0)</f>
        <v>5323700</v>
      </c>
      <c r="G1148" s="2">
        <f t="shared" si="1"/>
        <v>10</v>
      </c>
    </row>
    <row r="1149" ht="15.75" customHeight="1">
      <c r="A1149" s="1">
        <f>IFERROR(__xludf.DUMMYFUNCTION("""COMPUTED_VALUE"""),45562.66666666667)</f>
        <v>45562.66667</v>
      </c>
      <c r="B1149" s="2">
        <f>IFERROR(__xludf.DUMMYFUNCTION("""COMPUTED_VALUE"""),575.0)</f>
        <v>575</v>
      </c>
      <c r="C1149" s="2">
        <f>IFERROR(__xludf.DUMMYFUNCTION("""COMPUTED_VALUE"""),580.0)</f>
        <v>580</v>
      </c>
      <c r="D1149" s="2">
        <f>IFERROR(__xludf.DUMMYFUNCTION("""COMPUTED_VALUE"""),565.0)</f>
        <v>565</v>
      </c>
      <c r="E1149" s="2">
        <f>IFERROR(__xludf.DUMMYFUNCTION("""COMPUTED_VALUE"""),570.0)</f>
        <v>570</v>
      </c>
      <c r="F1149" s="2">
        <f>IFERROR(__xludf.DUMMYFUNCTION("""COMPUTED_VALUE"""),6680500.0)</f>
        <v>6680500</v>
      </c>
      <c r="G1149" s="2">
        <f t="shared" si="1"/>
        <v>15</v>
      </c>
    </row>
    <row r="1150" ht="15.75" customHeight="1">
      <c r="A1150" s="1">
        <f>IFERROR(__xludf.DUMMYFUNCTION("""COMPUTED_VALUE"""),45565.66666666667)</f>
        <v>45565.66667</v>
      </c>
      <c r="B1150" s="2">
        <f>IFERROR(__xludf.DUMMYFUNCTION("""COMPUTED_VALUE"""),575.0)</f>
        <v>575</v>
      </c>
      <c r="C1150" s="2">
        <f>IFERROR(__xludf.DUMMYFUNCTION("""COMPUTED_VALUE"""),575.0)</f>
        <v>575</v>
      </c>
      <c r="D1150" s="2">
        <f>IFERROR(__xludf.DUMMYFUNCTION("""COMPUTED_VALUE"""),565.0)</f>
        <v>565</v>
      </c>
      <c r="E1150" s="2">
        <f>IFERROR(__xludf.DUMMYFUNCTION("""COMPUTED_VALUE"""),570.0)</f>
        <v>570</v>
      </c>
      <c r="F1150" s="2">
        <f>IFERROR(__xludf.DUMMYFUNCTION("""COMPUTED_VALUE"""),5537100.0)</f>
        <v>5537100</v>
      </c>
      <c r="G1150" s="2">
        <f t="shared" si="1"/>
        <v>10</v>
      </c>
    </row>
    <row r="1151" ht="15.75" customHeight="1">
      <c r="A1151" s="1">
        <f>IFERROR(__xludf.DUMMYFUNCTION("""COMPUTED_VALUE"""),45566.66666666667)</f>
        <v>45566.66667</v>
      </c>
      <c r="B1151" s="2">
        <f>IFERROR(__xludf.DUMMYFUNCTION("""COMPUTED_VALUE"""),570.0)</f>
        <v>570</v>
      </c>
      <c r="C1151" s="2">
        <f>IFERROR(__xludf.DUMMYFUNCTION("""COMPUTED_VALUE"""),570.0)</f>
        <v>570</v>
      </c>
      <c r="D1151" s="2">
        <f>IFERROR(__xludf.DUMMYFUNCTION("""COMPUTED_VALUE"""),560.0)</f>
        <v>560</v>
      </c>
      <c r="E1151" s="2">
        <f>IFERROR(__xludf.DUMMYFUNCTION("""COMPUTED_VALUE"""),570.0)</f>
        <v>570</v>
      </c>
      <c r="F1151" s="2">
        <f>IFERROR(__xludf.DUMMYFUNCTION("""COMPUTED_VALUE"""),7584500.0)</f>
        <v>7584500</v>
      </c>
      <c r="G1151" s="2">
        <f t="shared" si="1"/>
        <v>10</v>
      </c>
    </row>
    <row r="1152" ht="15.75" customHeight="1">
      <c r="A1152" s="1">
        <f>IFERROR(__xludf.DUMMYFUNCTION("""COMPUTED_VALUE"""),45567.66666666667)</f>
        <v>45567.66667</v>
      </c>
      <c r="B1152" s="2">
        <f>IFERROR(__xludf.DUMMYFUNCTION("""COMPUTED_VALUE"""),570.0)</f>
        <v>570</v>
      </c>
      <c r="C1152" s="2">
        <f>IFERROR(__xludf.DUMMYFUNCTION("""COMPUTED_VALUE"""),570.0)</f>
        <v>570</v>
      </c>
      <c r="D1152" s="2">
        <f>IFERROR(__xludf.DUMMYFUNCTION("""COMPUTED_VALUE"""),560.0)</f>
        <v>560</v>
      </c>
      <c r="E1152" s="2">
        <f>IFERROR(__xludf.DUMMYFUNCTION("""COMPUTED_VALUE"""),565.0)</f>
        <v>565</v>
      </c>
      <c r="F1152" s="2">
        <f>IFERROR(__xludf.DUMMYFUNCTION("""COMPUTED_VALUE"""),5393300.0)</f>
        <v>5393300</v>
      </c>
      <c r="G1152" s="2">
        <f t="shared" si="1"/>
        <v>10</v>
      </c>
    </row>
    <row r="1153" ht="15.75" customHeight="1">
      <c r="A1153" s="1">
        <f>IFERROR(__xludf.DUMMYFUNCTION("""COMPUTED_VALUE"""),45568.66666666667)</f>
        <v>45568.66667</v>
      </c>
      <c r="B1153" s="2">
        <f>IFERROR(__xludf.DUMMYFUNCTION("""COMPUTED_VALUE"""),565.0)</f>
        <v>565</v>
      </c>
      <c r="C1153" s="2">
        <f>IFERROR(__xludf.DUMMYFUNCTION("""COMPUTED_VALUE"""),565.0)</f>
        <v>565</v>
      </c>
      <c r="D1153" s="2">
        <f>IFERROR(__xludf.DUMMYFUNCTION("""COMPUTED_VALUE"""),560.0)</f>
        <v>560</v>
      </c>
      <c r="E1153" s="2">
        <f>IFERROR(__xludf.DUMMYFUNCTION("""COMPUTED_VALUE"""),560.0)</f>
        <v>560</v>
      </c>
      <c r="F1153" s="2">
        <f>IFERROR(__xludf.DUMMYFUNCTION("""COMPUTED_VALUE"""),3567600.0)</f>
        <v>3567600</v>
      </c>
      <c r="G1153" s="2">
        <f t="shared" si="1"/>
        <v>5</v>
      </c>
    </row>
    <row r="1154" ht="15.75" customHeight="1">
      <c r="A1154" s="1">
        <f>IFERROR(__xludf.DUMMYFUNCTION("""COMPUTED_VALUE"""),45569.66666666667)</f>
        <v>45569.66667</v>
      </c>
      <c r="B1154" s="2">
        <f>IFERROR(__xludf.DUMMYFUNCTION("""COMPUTED_VALUE"""),565.0)</f>
        <v>565</v>
      </c>
      <c r="C1154" s="2">
        <f>IFERROR(__xludf.DUMMYFUNCTION("""COMPUTED_VALUE"""),565.0)</f>
        <v>565</v>
      </c>
      <c r="D1154" s="2">
        <f>IFERROR(__xludf.DUMMYFUNCTION("""COMPUTED_VALUE"""),560.0)</f>
        <v>560</v>
      </c>
      <c r="E1154" s="2">
        <f>IFERROR(__xludf.DUMMYFUNCTION("""COMPUTED_VALUE"""),565.0)</f>
        <v>565</v>
      </c>
      <c r="F1154" s="2">
        <f>IFERROR(__xludf.DUMMYFUNCTION("""COMPUTED_VALUE"""),2136000.0)</f>
        <v>2136000</v>
      </c>
      <c r="G1154" s="2">
        <f t="shared" si="1"/>
        <v>5</v>
      </c>
    </row>
    <row r="1155" ht="15.75" customHeight="1">
      <c r="A1155" s="1">
        <f>IFERROR(__xludf.DUMMYFUNCTION("""COMPUTED_VALUE"""),45572.66666666667)</f>
        <v>45572.66667</v>
      </c>
      <c r="B1155" s="2">
        <f>IFERROR(__xludf.DUMMYFUNCTION("""COMPUTED_VALUE"""),565.0)</f>
        <v>565</v>
      </c>
      <c r="C1155" s="2">
        <f>IFERROR(__xludf.DUMMYFUNCTION("""COMPUTED_VALUE"""),565.0)</f>
        <v>565</v>
      </c>
      <c r="D1155" s="2">
        <f>IFERROR(__xludf.DUMMYFUNCTION("""COMPUTED_VALUE"""),560.0)</f>
        <v>560</v>
      </c>
      <c r="E1155" s="2">
        <f>IFERROR(__xludf.DUMMYFUNCTION("""COMPUTED_VALUE"""),565.0)</f>
        <v>565</v>
      </c>
      <c r="F1155" s="2">
        <f>IFERROR(__xludf.DUMMYFUNCTION("""COMPUTED_VALUE"""),4605300.0)</f>
        <v>4605300</v>
      </c>
      <c r="G1155" s="2">
        <f t="shared" si="1"/>
        <v>5</v>
      </c>
    </row>
    <row r="1156" ht="15.75" customHeight="1">
      <c r="A1156" s="1">
        <f>IFERROR(__xludf.DUMMYFUNCTION("""COMPUTED_VALUE"""),45573.66666666667)</f>
        <v>45573.66667</v>
      </c>
      <c r="B1156" s="2">
        <f>IFERROR(__xludf.DUMMYFUNCTION("""COMPUTED_VALUE"""),565.0)</f>
        <v>565</v>
      </c>
      <c r="C1156" s="2">
        <f>IFERROR(__xludf.DUMMYFUNCTION("""COMPUTED_VALUE"""),570.0)</f>
        <v>570</v>
      </c>
      <c r="D1156" s="2">
        <f>IFERROR(__xludf.DUMMYFUNCTION("""COMPUTED_VALUE"""),560.0)</f>
        <v>560</v>
      </c>
      <c r="E1156" s="2">
        <f>IFERROR(__xludf.DUMMYFUNCTION("""COMPUTED_VALUE"""),565.0)</f>
        <v>565</v>
      </c>
      <c r="F1156" s="2">
        <f>IFERROR(__xludf.DUMMYFUNCTION("""COMPUTED_VALUE"""),4903100.0)</f>
        <v>4903100</v>
      </c>
      <c r="G1156" s="2">
        <f t="shared" si="1"/>
        <v>10</v>
      </c>
    </row>
    <row r="1157" ht="15.75" customHeight="1">
      <c r="A1157" s="1">
        <f>IFERROR(__xludf.DUMMYFUNCTION("""COMPUTED_VALUE"""),45574.66666666667)</f>
        <v>45574.66667</v>
      </c>
      <c r="B1157" s="2">
        <f>IFERROR(__xludf.DUMMYFUNCTION("""COMPUTED_VALUE"""),565.0)</f>
        <v>565</v>
      </c>
      <c r="C1157" s="2">
        <f>IFERROR(__xludf.DUMMYFUNCTION("""COMPUTED_VALUE"""),570.0)</f>
        <v>570</v>
      </c>
      <c r="D1157" s="2">
        <f>IFERROR(__xludf.DUMMYFUNCTION("""COMPUTED_VALUE"""),560.0)</f>
        <v>560</v>
      </c>
      <c r="E1157" s="2">
        <f>IFERROR(__xludf.DUMMYFUNCTION("""COMPUTED_VALUE"""),570.0)</f>
        <v>570</v>
      </c>
      <c r="F1157" s="2">
        <f>IFERROR(__xludf.DUMMYFUNCTION("""COMPUTED_VALUE"""),3989600.0)</f>
        <v>3989600</v>
      </c>
      <c r="G1157" s="2">
        <f t="shared" si="1"/>
        <v>10</v>
      </c>
    </row>
    <row r="1158" ht="15.75" customHeight="1">
      <c r="A1158" s="1">
        <f>IFERROR(__xludf.DUMMYFUNCTION("""COMPUTED_VALUE"""),45575.66666666667)</f>
        <v>45575.66667</v>
      </c>
      <c r="B1158" s="2">
        <f>IFERROR(__xludf.DUMMYFUNCTION("""COMPUTED_VALUE"""),570.0)</f>
        <v>570</v>
      </c>
      <c r="C1158" s="2">
        <f>IFERROR(__xludf.DUMMYFUNCTION("""COMPUTED_VALUE"""),570.0)</f>
        <v>570</v>
      </c>
      <c r="D1158" s="2">
        <f>IFERROR(__xludf.DUMMYFUNCTION("""COMPUTED_VALUE"""),560.0)</f>
        <v>560</v>
      </c>
      <c r="E1158" s="2">
        <f>IFERROR(__xludf.DUMMYFUNCTION("""COMPUTED_VALUE"""),560.0)</f>
        <v>560</v>
      </c>
      <c r="F1158" s="2">
        <f>IFERROR(__xludf.DUMMYFUNCTION("""COMPUTED_VALUE"""),3621400.0)</f>
        <v>3621400</v>
      </c>
      <c r="G1158" s="2">
        <f t="shared" si="1"/>
        <v>10</v>
      </c>
    </row>
    <row r="1159" ht="15.75" customHeight="1">
      <c r="A1159" s="1">
        <f>IFERROR(__xludf.DUMMYFUNCTION("""COMPUTED_VALUE"""),45576.66666666667)</f>
        <v>45576.66667</v>
      </c>
      <c r="B1159" s="2">
        <f>IFERROR(__xludf.DUMMYFUNCTION("""COMPUTED_VALUE"""),565.0)</f>
        <v>565</v>
      </c>
      <c r="C1159" s="2">
        <f>IFERROR(__xludf.DUMMYFUNCTION("""COMPUTED_VALUE"""),570.0)</f>
        <v>570</v>
      </c>
      <c r="D1159" s="2">
        <f>IFERROR(__xludf.DUMMYFUNCTION("""COMPUTED_VALUE"""),560.0)</f>
        <v>560</v>
      </c>
      <c r="E1159" s="2">
        <f>IFERROR(__xludf.DUMMYFUNCTION("""COMPUTED_VALUE"""),565.0)</f>
        <v>565</v>
      </c>
      <c r="F1159" s="2">
        <f>IFERROR(__xludf.DUMMYFUNCTION("""COMPUTED_VALUE"""),2217200.0)</f>
        <v>2217200</v>
      </c>
      <c r="G1159" s="2">
        <f t="shared" si="1"/>
        <v>10</v>
      </c>
    </row>
    <row r="1160" ht="15.75" customHeight="1">
      <c r="A1160" s="1">
        <f>IFERROR(__xludf.DUMMYFUNCTION("""COMPUTED_VALUE"""),45579.66666666667)</f>
        <v>45579.66667</v>
      </c>
      <c r="B1160" s="2">
        <f>IFERROR(__xludf.DUMMYFUNCTION("""COMPUTED_VALUE"""),570.0)</f>
        <v>570</v>
      </c>
      <c r="C1160" s="2">
        <f>IFERROR(__xludf.DUMMYFUNCTION("""COMPUTED_VALUE"""),570.0)</f>
        <v>570</v>
      </c>
      <c r="D1160" s="2">
        <f>IFERROR(__xludf.DUMMYFUNCTION("""COMPUTED_VALUE"""),560.0)</f>
        <v>560</v>
      </c>
      <c r="E1160" s="2">
        <f>IFERROR(__xludf.DUMMYFUNCTION("""COMPUTED_VALUE"""),565.0)</f>
        <v>565</v>
      </c>
      <c r="F1160" s="2">
        <f>IFERROR(__xludf.DUMMYFUNCTION("""COMPUTED_VALUE"""),4656300.0)</f>
        <v>4656300</v>
      </c>
      <c r="G1160" s="2">
        <f t="shared" si="1"/>
        <v>10</v>
      </c>
    </row>
    <row r="1161" ht="15.75" customHeight="1">
      <c r="A1161" s="1">
        <f>IFERROR(__xludf.DUMMYFUNCTION("""COMPUTED_VALUE"""),45580.66666666667)</f>
        <v>45580.66667</v>
      </c>
      <c r="B1161" s="2">
        <f>IFERROR(__xludf.DUMMYFUNCTION("""COMPUTED_VALUE"""),570.0)</f>
        <v>570</v>
      </c>
      <c r="C1161" s="2">
        <f>IFERROR(__xludf.DUMMYFUNCTION("""COMPUTED_VALUE"""),570.0)</f>
        <v>570</v>
      </c>
      <c r="D1161" s="2">
        <f>IFERROR(__xludf.DUMMYFUNCTION("""COMPUTED_VALUE"""),565.0)</f>
        <v>565</v>
      </c>
      <c r="E1161" s="2">
        <f>IFERROR(__xludf.DUMMYFUNCTION("""COMPUTED_VALUE"""),565.0)</f>
        <v>565</v>
      </c>
      <c r="F1161" s="2">
        <f>IFERROR(__xludf.DUMMYFUNCTION("""COMPUTED_VALUE"""),2338200.0)</f>
        <v>2338200</v>
      </c>
      <c r="G1161" s="2">
        <f t="shared" si="1"/>
        <v>5</v>
      </c>
    </row>
    <row r="1162" ht="15.75" customHeight="1">
      <c r="A1162" s="1">
        <f>IFERROR(__xludf.DUMMYFUNCTION("""COMPUTED_VALUE"""),45581.66666666667)</f>
        <v>45581.66667</v>
      </c>
      <c r="B1162" s="2">
        <f>IFERROR(__xludf.DUMMYFUNCTION("""COMPUTED_VALUE"""),570.0)</f>
        <v>570</v>
      </c>
      <c r="C1162" s="2">
        <f>IFERROR(__xludf.DUMMYFUNCTION("""COMPUTED_VALUE"""),570.0)</f>
        <v>570</v>
      </c>
      <c r="D1162" s="2">
        <f>IFERROR(__xludf.DUMMYFUNCTION("""COMPUTED_VALUE"""),565.0)</f>
        <v>565</v>
      </c>
      <c r="E1162" s="2">
        <f>IFERROR(__xludf.DUMMYFUNCTION("""COMPUTED_VALUE"""),565.0)</f>
        <v>565</v>
      </c>
      <c r="F1162" s="2">
        <f>IFERROR(__xludf.DUMMYFUNCTION("""COMPUTED_VALUE"""),6183900.0)</f>
        <v>6183900</v>
      </c>
      <c r="G1162" s="2">
        <f t="shared" si="1"/>
        <v>5</v>
      </c>
    </row>
    <row r="1163" ht="15.75" customHeight="1">
      <c r="A1163" s="1">
        <f>IFERROR(__xludf.DUMMYFUNCTION("""COMPUTED_VALUE"""),45582.66666666667)</f>
        <v>45582.66667</v>
      </c>
      <c r="B1163" s="2">
        <f>IFERROR(__xludf.DUMMYFUNCTION("""COMPUTED_VALUE"""),565.0)</f>
        <v>565</v>
      </c>
      <c r="C1163" s="2">
        <f>IFERROR(__xludf.DUMMYFUNCTION("""COMPUTED_VALUE"""),575.0)</f>
        <v>575</v>
      </c>
      <c r="D1163" s="2">
        <f>IFERROR(__xludf.DUMMYFUNCTION("""COMPUTED_VALUE"""),565.0)</f>
        <v>565</v>
      </c>
      <c r="E1163" s="2">
        <f>IFERROR(__xludf.DUMMYFUNCTION("""COMPUTED_VALUE"""),570.0)</f>
        <v>570</v>
      </c>
      <c r="F1163" s="2">
        <f>IFERROR(__xludf.DUMMYFUNCTION("""COMPUTED_VALUE"""),6581400.0)</f>
        <v>6581400</v>
      </c>
      <c r="G1163" s="2">
        <f t="shared" si="1"/>
        <v>10</v>
      </c>
    </row>
    <row r="1164" ht="15.75" customHeight="1">
      <c r="A1164" s="1">
        <f>IFERROR(__xludf.DUMMYFUNCTION("""COMPUTED_VALUE"""),45583.66666666667)</f>
        <v>45583.66667</v>
      </c>
      <c r="B1164" s="2">
        <f>IFERROR(__xludf.DUMMYFUNCTION("""COMPUTED_VALUE"""),570.0)</f>
        <v>570</v>
      </c>
      <c r="C1164" s="2">
        <f>IFERROR(__xludf.DUMMYFUNCTION("""COMPUTED_VALUE"""),575.0)</f>
        <v>575</v>
      </c>
      <c r="D1164" s="2">
        <f>IFERROR(__xludf.DUMMYFUNCTION("""COMPUTED_VALUE"""),570.0)</f>
        <v>570</v>
      </c>
      <c r="E1164" s="2">
        <f>IFERROR(__xludf.DUMMYFUNCTION("""COMPUTED_VALUE"""),575.0)</f>
        <v>575</v>
      </c>
      <c r="F1164" s="2">
        <f>IFERROR(__xludf.DUMMYFUNCTION("""COMPUTED_VALUE"""),3211300.0)</f>
        <v>3211300</v>
      </c>
      <c r="G1164" s="2">
        <f t="shared" si="1"/>
        <v>5</v>
      </c>
    </row>
    <row r="1165" ht="15.75" customHeight="1">
      <c r="A1165" s="1">
        <f>IFERROR(__xludf.DUMMYFUNCTION("""COMPUTED_VALUE"""),45586.66666666667)</f>
        <v>45586.66667</v>
      </c>
      <c r="B1165" s="2">
        <f>IFERROR(__xludf.DUMMYFUNCTION("""COMPUTED_VALUE"""),575.0)</f>
        <v>575</v>
      </c>
      <c r="C1165" s="2">
        <f>IFERROR(__xludf.DUMMYFUNCTION("""COMPUTED_VALUE"""),575.0)</f>
        <v>575</v>
      </c>
      <c r="D1165" s="2">
        <f>IFERROR(__xludf.DUMMYFUNCTION("""COMPUTED_VALUE"""),565.0)</f>
        <v>565</v>
      </c>
      <c r="E1165" s="2">
        <f>IFERROR(__xludf.DUMMYFUNCTION("""COMPUTED_VALUE"""),570.0)</f>
        <v>570</v>
      </c>
      <c r="F1165" s="2">
        <f>IFERROR(__xludf.DUMMYFUNCTION("""COMPUTED_VALUE"""),4907000.0)</f>
        <v>4907000</v>
      </c>
      <c r="G1165" s="2">
        <f t="shared" si="1"/>
        <v>10</v>
      </c>
    </row>
    <row r="1166" ht="15.75" customHeight="1">
      <c r="A1166" s="1">
        <f>IFERROR(__xludf.DUMMYFUNCTION("""COMPUTED_VALUE"""),45587.66666666667)</f>
        <v>45587.66667</v>
      </c>
      <c r="B1166" s="2">
        <f>IFERROR(__xludf.DUMMYFUNCTION("""COMPUTED_VALUE"""),570.0)</f>
        <v>570</v>
      </c>
      <c r="C1166" s="2">
        <f>IFERROR(__xludf.DUMMYFUNCTION("""COMPUTED_VALUE"""),575.0)</f>
        <v>575</v>
      </c>
      <c r="D1166" s="2">
        <f>IFERROR(__xludf.DUMMYFUNCTION("""COMPUTED_VALUE"""),565.0)</f>
        <v>565</v>
      </c>
      <c r="E1166" s="2">
        <f>IFERROR(__xludf.DUMMYFUNCTION("""COMPUTED_VALUE"""),570.0)</f>
        <v>570</v>
      </c>
      <c r="F1166" s="2">
        <f>IFERROR(__xludf.DUMMYFUNCTION("""COMPUTED_VALUE"""),4112300.0)</f>
        <v>4112300</v>
      </c>
      <c r="G1166" s="2">
        <f t="shared" si="1"/>
        <v>10</v>
      </c>
    </row>
    <row r="1167" ht="15.75" customHeight="1">
      <c r="A1167" s="1">
        <f>IFERROR(__xludf.DUMMYFUNCTION("""COMPUTED_VALUE"""),45588.66666666667)</f>
        <v>45588.66667</v>
      </c>
      <c r="B1167" s="2">
        <f>IFERROR(__xludf.DUMMYFUNCTION("""COMPUTED_VALUE"""),555.0)</f>
        <v>555</v>
      </c>
      <c r="C1167" s="2">
        <f>IFERROR(__xludf.DUMMYFUNCTION("""COMPUTED_VALUE"""),570.0)</f>
        <v>570</v>
      </c>
      <c r="D1167" s="2">
        <f>IFERROR(__xludf.DUMMYFUNCTION("""COMPUTED_VALUE"""),555.0)</f>
        <v>555</v>
      </c>
      <c r="E1167" s="2">
        <f>IFERROR(__xludf.DUMMYFUNCTION("""COMPUTED_VALUE"""),570.0)</f>
        <v>570</v>
      </c>
      <c r="F1167" s="2">
        <f>IFERROR(__xludf.DUMMYFUNCTION("""COMPUTED_VALUE"""),4735600.0)</f>
        <v>4735600</v>
      </c>
      <c r="G1167" s="2">
        <f t="shared" si="1"/>
        <v>15</v>
      </c>
    </row>
    <row r="1168" ht="15.75" customHeight="1">
      <c r="A1168" s="1">
        <f>IFERROR(__xludf.DUMMYFUNCTION("""COMPUTED_VALUE"""),45589.66666666667)</f>
        <v>45589.66667</v>
      </c>
      <c r="B1168" s="2">
        <f>IFERROR(__xludf.DUMMYFUNCTION("""COMPUTED_VALUE"""),570.0)</f>
        <v>570</v>
      </c>
      <c r="C1168" s="2">
        <f>IFERROR(__xludf.DUMMYFUNCTION("""COMPUTED_VALUE"""),570.0)</f>
        <v>570</v>
      </c>
      <c r="D1168" s="2">
        <f>IFERROR(__xludf.DUMMYFUNCTION("""COMPUTED_VALUE"""),565.0)</f>
        <v>565</v>
      </c>
      <c r="E1168" s="2">
        <f>IFERROR(__xludf.DUMMYFUNCTION("""COMPUTED_VALUE"""),565.0)</f>
        <v>565</v>
      </c>
      <c r="F1168" s="2">
        <f>IFERROR(__xludf.DUMMYFUNCTION("""COMPUTED_VALUE"""),4828600.0)</f>
        <v>4828600</v>
      </c>
      <c r="G1168" s="2">
        <f t="shared" si="1"/>
        <v>5</v>
      </c>
    </row>
    <row r="1169" ht="15.75" customHeight="1">
      <c r="A1169" s="1">
        <f>IFERROR(__xludf.DUMMYFUNCTION("""COMPUTED_VALUE"""),45590.66666666667)</f>
        <v>45590.66667</v>
      </c>
      <c r="B1169" s="2">
        <f>IFERROR(__xludf.DUMMYFUNCTION("""COMPUTED_VALUE"""),565.0)</f>
        <v>565</v>
      </c>
      <c r="C1169" s="2">
        <f>IFERROR(__xludf.DUMMYFUNCTION("""COMPUTED_VALUE"""),570.0)</f>
        <v>570</v>
      </c>
      <c r="D1169" s="2">
        <f>IFERROR(__xludf.DUMMYFUNCTION("""COMPUTED_VALUE"""),560.0)</f>
        <v>560</v>
      </c>
      <c r="E1169" s="2">
        <f>IFERROR(__xludf.DUMMYFUNCTION("""COMPUTED_VALUE"""),565.0)</f>
        <v>565</v>
      </c>
      <c r="F1169" s="2">
        <f>IFERROR(__xludf.DUMMYFUNCTION("""COMPUTED_VALUE"""),5007400.0)</f>
        <v>5007400</v>
      </c>
      <c r="G1169" s="2">
        <f t="shared" si="1"/>
        <v>10</v>
      </c>
    </row>
    <row r="1170" ht="15.75" customHeight="1">
      <c r="A1170" s="1">
        <f>IFERROR(__xludf.DUMMYFUNCTION("""COMPUTED_VALUE"""),45593.66666666667)</f>
        <v>45593.66667</v>
      </c>
      <c r="B1170" s="2">
        <f>IFERROR(__xludf.DUMMYFUNCTION("""COMPUTED_VALUE"""),565.0)</f>
        <v>565</v>
      </c>
      <c r="C1170" s="2">
        <f>IFERROR(__xludf.DUMMYFUNCTION("""COMPUTED_VALUE"""),565.0)</f>
        <v>565</v>
      </c>
      <c r="D1170" s="2">
        <f>IFERROR(__xludf.DUMMYFUNCTION("""COMPUTED_VALUE"""),560.0)</f>
        <v>560</v>
      </c>
      <c r="E1170" s="2">
        <f>IFERROR(__xludf.DUMMYFUNCTION("""COMPUTED_VALUE"""),565.0)</f>
        <v>565</v>
      </c>
      <c r="F1170" s="2">
        <f>IFERROR(__xludf.DUMMYFUNCTION("""COMPUTED_VALUE"""),4473200.0)</f>
        <v>4473200</v>
      </c>
      <c r="G1170" s="2">
        <f t="shared" si="1"/>
        <v>5</v>
      </c>
    </row>
    <row r="1171" ht="15.75" customHeight="1">
      <c r="A1171" s="1">
        <f>IFERROR(__xludf.DUMMYFUNCTION("""COMPUTED_VALUE"""),45594.66666666667)</f>
        <v>45594.66667</v>
      </c>
      <c r="B1171" s="2">
        <f>IFERROR(__xludf.DUMMYFUNCTION("""COMPUTED_VALUE"""),565.0)</f>
        <v>565</v>
      </c>
      <c r="C1171" s="2">
        <f>IFERROR(__xludf.DUMMYFUNCTION("""COMPUTED_VALUE"""),565.0)</f>
        <v>565</v>
      </c>
      <c r="D1171" s="2">
        <f>IFERROR(__xludf.DUMMYFUNCTION("""COMPUTED_VALUE"""),560.0)</f>
        <v>560</v>
      </c>
      <c r="E1171" s="2">
        <f>IFERROR(__xludf.DUMMYFUNCTION("""COMPUTED_VALUE"""),560.0)</f>
        <v>560</v>
      </c>
      <c r="F1171" s="2">
        <f>IFERROR(__xludf.DUMMYFUNCTION("""COMPUTED_VALUE"""),3761700.0)</f>
        <v>3761700</v>
      </c>
      <c r="G1171" s="2">
        <f t="shared" si="1"/>
        <v>5</v>
      </c>
    </row>
    <row r="1172" ht="15.75" customHeight="1">
      <c r="A1172" s="1">
        <f>IFERROR(__xludf.DUMMYFUNCTION("""COMPUTED_VALUE"""),45595.66666666667)</f>
        <v>45595.66667</v>
      </c>
      <c r="B1172" s="2">
        <f>IFERROR(__xludf.DUMMYFUNCTION("""COMPUTED_VALUE"""),560.0)</f>
        <v>560</v>
      </c>
      <c r="C1172" s="2">
        <f>IFERROR(__xludf.DUMMYFUNCTION("""COMPUTED_VALUE"""),565.0)</f>
        <v>565</v>
      </c>
      <c r="D1172" s="2">
        <f>IFERROR(__xludf.DUMMYFUNCTION("""COMPUTED_VALUE"""),550.0)</f>
        <v>550</v>
      </c>
      <c r="E1172" s="2">
        <f>IFERROR(__xludf.DUMMYFUNCTION("""COMPUTED_VALUE"""),555.0)</f>
        <v>555</v>
      </c>
      <c r="F1172" s="2">
        <f>IFERROR(__xludf.DUMMYFUNCTION("""COMPUTED_VALUE"""),1.96815E7)</f>
        <v>19681500</v>
      </c>
      <c r="G1172" s="2">
        <f t="shared" si="1"/>
        <v>15</v>
      </c>
    </row>
    <row r="1173" ht="15.75" customHeight="1">
      <c r="A1173" s="1">
        <f>IFERROR(__xludf.DUMMYFUNCTION("""COMPUTED_VALUE"""),45596.66666666667)</f>
        <v>45596.66667</v>
      </c>
      <c r="B1173" s="2">
        <f>IFERROR(__xludf.DUMMYFUNCTION("""COMPUTED_VALUE"""),560.0)</f>
        <v>560</v>
      </c>
      <c r="C1173" s="2">
        <f>IFERROR(__xludf.DUMMYFUNCTION("""COMPUTED_VALUE"""),560.0)</f>
        <v>560</v>
      </c>
      <c r="D1173" s="2">
        <f>IFERROR(__xludf.DUMMYFUNCTION("""COMPUTED_VALUE"""),555.0)</f>
        <v>555</v>
      </c>
      <c r="E1173" s="2">
        <f>IFERROR(__xludf.DUMMYFUNCTION("""COMPUTED_VALUE"""),560.0)</f>
        <v>560</v>
      </c>
      <c r="F1173" s="2">
        <f>IFERROR(__xludf.DUMMYFUNCTION("""COMPUTED_VALUE"""),4730300.0)</f>
        <v>4730300</v>
      </c>
      <c r="G1173" s="2">
        <f t="shared" si="1"/>
        <v>5</v>
      </c>
    </row>
    <row r="1174" ht="15.75" customHeight="1">
      <c r="A1174" s="1">
        <f>IFERROR(__xludf.DUMMYFUNCTION("""COMPUTED_VALUE"""),45597.66666666667)</f>
        <v>45597.66667</v>
      </c>
      <c r="B1174" s="2">
        <f>IFERROR(__xludf.DUMMYFUNCTION("""COMPUTED_VALUE"""),560.0)</f>
        <v>560</v>
      </c>
      <c r="C1174" s="2">
        <f>IFERROR(__xludf.DUMMYFUNCTION("""COMPUTED_VALUE"""),565.0)</f>
        <v>565</v>
      </c>
      <c r="D1174" s="2">
        <f>IFERROR(__xludf.DUMMYFUNCTION("""COMPUTED_VALUE"""),555.0)</f>
        <v>555</v>
      </c>
      <c r="E1174" s="2">
        <f>IFERROR(__xludf.DUMMYFUNCTION("""COMPUTED_VALUE"""),555.0)</f>
        <v>555</v>
      </c>
      <c r="F1174" s="2">
        <f>IFERROR(__xludf.DUMMYFUNCTION("""COMPUTED_VALUE"""),6394700.0)</f>
        <v>6394700</v>
      </c>
      <c r="G1174" s="2">
        <f t="shared" si="1"/>
        <v>10</v>
      </c>
    </row>
    <row r="1175" ht="15.75" customHeight="1">
      <c r="A1175" s="1">
        <f>IFERROR(__xludf.DUMMYFUNCTION("""COMPUTED_VALUE"""),45600.66666666667)</f>
        <v>45600.66667</v>
      </c>
      <c r="B1175" s="2">
        <f>IFERROR(__xludf.DUMMYFUNCTION("""COMPUTED_VALUE"""),560.0)</f>
        <v>560</v>
      </c>
      <c r="C1175" s="2">
        <f>IFERROR(__xludf.DUMMYFUNCTION("""COMPUTED_VALUE"""),560.0)</f>
        <v>560</v>
      </c>
      <c r="D1175" s="2">
        <f>IFERROR(__xludf.DUMMYFUNCTION("""COMPUTED_VALUE"""),550.0)</f>
        <v>550</v>
      </c>
      <c r="E1175" s="2">
        <f>IFERROR(__xludf.DUMMYFUNCTION("""COMPUTED_VALUE"""),555.0)</f>
        <v>555</v>
      </c>
      <c r="F1175" s="2">
        <f>IFERROR(__xludf.DUMMYFUNCTION("""COMPUTED_VALUE"""),9074300.0)</f>
        <v>9074300</v>
      </c>
      <c r="G1175" s="2">
        <f t="shared" si="1"/>
        <v>10</v>
      </c>
    </row>
    <row r="1176" ht="15.75" customHeight="1">
      <c r="A1176" s="1">
        <f>IFERROR(__xludf.DUMMYFUNCTION("""COMPUTED_VALUE"""),45601.66666666667)</f>
        <v>45601.66667</v>
      </c>
      <c r="B1176" s="2">
        <f>IFERROR(__xludf.DUMMYFUNCTION("""COMPUTED_VALUE"""),555.0)</f>
        <v>555</v>
      </c>
      <c r="C1176" s="2">
        <f>IFERROR(__xludf.DUMMYFUNCTION("""COMPUTED_VALUE"""),555.0)</f>
        <v>555</v>
      </c>
      <c r="D1176" s="2">
        <f>IFERROR(__xludf.DUMMYFUNCTION("""COMPUTED_VALUE"""),550.0)</f>
        <v>550</v>
      </c>
      <c r="E1176" s="2">
        <f>IFERROR(__xludf.DUMMYFUNCTION("""COMPUTED_VALUE"""),550.0)</f>
        <v>550</v>
      </c>
      <c r="F1176" s="2">
        <f>IFERROR(__xludf.DUMMYFUNCTION("""COMPUTED_VALUE"""),3780300.0)</f>
        <v>3780300</v>
      </c>
      <c r="G1176" s="2">
        <f t="shared" si="1"/>
        <v>5</v>
      </c>
    </row>
    <row r="1177" ht="15.75" customHeight="1">
      <c r="A1177" s="1">
        <f>IFERROR(__xludf.DUMMYFUNCTION("""COMPUTED_VALUE"""),45602.66666666667)</f>
        <v>45602.66667</v>
      </c>
      <c r="B1177" s="2">
        <f>IFERROR(__xludf.DUMMYFUNCTION("""COMPUTED_VALUE"""),550.0)</f>
        <v>550</v>
      </c>
      <c r="C1177" s="2">
        <f>IFERROR(__xludf.DUMMYFUNCTION("""COMPUTED_VALUE"""),555.0)</f>
        <v>555</v>
      </c>
      <c r="D1177" s="2">
        <f>IFERROR(__xludf.DUMMYFUNCTION("""COMPUTED_VALUE"""),550.0)</f>
        <v>550</v>
      </c>
      <c r="E1177" s="2">
        <f>IFERROR(__xludf.DUMMYFUNCTION("""COMPUTED_VALUE"""),555.0)</f>
        <v>555</v>
      </c>
      <c r="F1177" s="2">
        <f>IFERROR(__xludf.DUMMYFUNCTION("""COMPUTED_VALUE"""),7858200.0)</f>
        <v>7858200</v>
      </c>
      <c r="G1177" s="2">
        <f t="shared" si="1"/>
        <v>5</v>
      </c>
    </row>
    <row r="1178" ht="15.75" customHeight="1">
      <c r="A1178" s="1">
        <f>IFERROR(__xludf.DUMMYFUNCTION("""COMPUTED_VALUE"""),45603.66666666667)</f>
        <v>45603.66667</v>
      </c>
      <c r="B1178" s="2">
        <f>IFERROR(__xludf.DUMMYFUNCTION("""COMPUTED_VALUE"""),555.0)</f>
        <v>555</v>
      </c>
      <c r="C1178" s="2">
        <f>IFERROR(__xludf.DUMMYFUNCTION("""COMPUTED_VALUE"""),555.0)</f>
        <v>555</v>
      </c>
      <c r="D1178" s="2">
        <f>IFERROR(__xludf.DUMMYFUNCTION("""COMPUTED_VALUE"""),550.0)</f>
        <v>550</v>
      </c>
      <c r="E1178" s="2">
        <f>IFERROR(__xludf.DUMMYFUNCTION("""COMPUTED_VALUE"""),550.0)</f>
        <v>550</v>
      </c>
      <c r="F1178" s="2">
        <f>IFERROR(__xludf.DUMMYFUNCTION("""COMPUTED_VALUE"""),8691600.0)</f>
        <v>8691600</v>
      </c>
      <c r="G1178" s="2">
        <f t="shared" si="1"/>
        <v>5</v>
      </c>
    </row>
    <row r="1179" ht="15.75" customHeight="1">
      <c r="A1179" s="1">
        <f>IFERROR(__xludf.DUMMYFUNCTION("""COMPUTED_VALUE"""),45604.66666666667)</f>
        <v>45604.66667</v>
      </c>
      <c r="B1179" s="2">
        <f>IFERROR(__xludf.DUMMYFUNCTION("""COMPUTED_VALUE"""),550.0)</f>
        <v>550</v>
      </c>
      <c r="C1179" s="2">
        <f>IFERROR(__xludf.DUMMYFUNCTION("""COMPUTED_VALUE"""),555.0)</f>
        <v>555</v>
      </c>
      <c r="D1179" s="2">
        <f>IFERROR(__xludf.DUMMYFUNCTION("""COMPUTED_VALUE"""),545.0)</f>
        <v>545</v>
      </c>
      <c r="E1179" s="2">
        <f>IFERROR(__xludf.DUMMYFUNCTION("""COMPUTED_VALUE"""),550.0)</f>
        <v>550</v>
      </c>
      <c r="F1179" s="2">
        <f>IFERROR(__xludf.DUMMYFUNCTION("""COMPUTED_VALUE"""),5086300.0)</f>
        <v>5086300</v>
      </c>
      <c r="G1179" s="2">
        <f t="shared" si="1"/>
        <v>10</v>
      </c>
    </row>
    <row r="1180" ht="15.75" customHeight="1">
      <c r="A1180" s="1">
        <f>IFERROR(__xludf.DUMMYFUNCTION("""COMPUTED_VALUE"""),45607.66666666667)</f>
        <v>45607.66667</v>
      </c>
      <c r="B1180" s="2">
        <f>IFERROR(__xludf.DUMMYFUNCTION("""COMPUTED_VALUE"""),555.0)</f>
        <v>555</v>
      </c>
      <c r="C1180" s="2">
        <f>IFERROR(__xludf.DUMMYFUNCTION("""COMPUTED_VALUE"""),555.0)</f>
        <v>555</v>
      </c>
      <c r="D1180" s="2">
        <f>IFERROR(__xludf.DUMMYFUNCTION("""COMPUTED_VALUE"""),530.0)</f>
        <v>530</v>
      </c>
      <c r="E1180" s="2">
        <f>IFERROR(__xludf.DUMMYFUNCTION("""COMPUTED_VALUE"""),545.0)</f>
        <v>545</v>
      </c>
      <c r="F1180" s="2">
        <f>IFERROR(__xludf.DUMMYFUNCTION("""COMPUTED_VALUE"""),1.26427E7)</f>
        <v>12642700</v>
      </c>
      <c r="G1180" s="2">
        <f t="shared" si="1"/>
        <v>25</v>
      </c>
    </row>
    <row r="1181" ht="15.75" customHeight="1">
      <c r="A1181" s="1">
        <f>IFERROR(__xludf.DUMMYFUNCTION("""COMPUTED_VALUE"""),45608.66666666667)</f>
        <v>45608.66667</v>
      </c>
      <c r="B1181" s="2">
        <f>IFERROR(__xludf.DUMMYFUNCTION("""COMPUTED_VALUE"""),545.0)</f>
        <v>545</v>
      </c>
      <c r="C1181" s="2">
        <f>IFERROR(__xludf.DUMMYFUNCTION("""COMPUTED_VALUE"""),550.0)</f>
        <v>550</v>
      </c>
      <c r="D1181" s="2">
        <f>IFERROR(__xludf.DUMMYFUNCTION("""COMPUTED_VALUE"""),540.0)</f>
        <v>540</v>
      </c>
      <c r="E1181" s="2">
        <f>IFERROR(__xludf.DUMMYFUNCTION("""COMPUTED_VALUE"""),545.0)</f>
        <v>545</v>
      </c>
      <c r="F1181" s="2">
        <f>IFERROR(__xludf.DUMMYFUNCTION("""COMPUTED_VALUE"""),3571400.0)</f>
        <v>3571400</v>
      </c>
      <c r="G1181" s="2">
        <f t="shared" si="1"/>
        <v>10</v>
      </c>
    </row>
    <row r="1182" ht="15.75" customHeight="1">
      <c r="A1182" s="1">
        <f>IFERROR(__xludf.DUMMYFUNCTION("""COMPUTED_VALUE"""),45609.66666666667)</f>
        <v>45609.66667</v>
      </c>
      <c r="B1182" s="2">
        <f>IFERROR(__xludf.DUMMYFUNCTION("""COMPUTED_VALUE"""),545.0)</f>
        <v>545</v>
      </c>
      <c r="C1182" s="2">
        <f>IFERROR(__xludf.DUMMYFUNCTION("""COMPUTED_VALUE"""),550.0)</f>
        <v>550</v>
      </c>
      <c r="D1182" s="2">
        <f>IFERROR(__xludf.DUMMYFUNCTION("""COMPUTED_VALUE"""),545.0)</f>
        <v>545</v>
      </c>
      <c r="E1182" s="2">
        <f>IFERROR(__xludf.DUMMYFUNCTION("""COMPUTED_VALUE"""),550.0)</f>
        <v>550</v>
      </c>
      <c r="F1182" s="2">
        <f>IFERROR(__xludf.DUMMYFUNCTION("""COMPUTED_VALUE"""),4092200.0)</f>
        <v>4092200</v>
      </c>
      <c r="G1182" s="2">
        <f t="shared" si="1"/>
        <v>5</v>
      </c>
    </row>
    <row r="1183" ht="15.75" customHeight="1">
      <c r="A1183" s="1">
        <f>IFERROR(__xludf.DUMMYFUNCTION("""COMPUTED_VALUE"""),45610.66666666667)</f>
        <v>45610.66667</v>
      </c>
      <c r="B1183" s="2">
        <f>IFERROR(__xludf.DUMMYFUNCTION("""COMPUTED_VALUE"""),550.0)</f>
        <v>550</v>
      </c>
      <c r="C1183" s="2">
        <f>IFERROR(__xludf.DUMMYFUNCTION("""COMPUTED_VALUE"""),550.0)</f>
        <v>550</v>
      </c>
      <c r="D1183" s="2">
        <f>IFERROR(__xludf.DUMMYFUNCTION("""COMPUTED_VALUE"""),540.0)</f>
        <v>540</v>
      </c>
      <c r="E1183" s="2">
        <f>IFERROR(__xludf.DUMMYFUNCTION("""COMPUTED_VALUE"""),545.0)</f>
        <v>545</v>
      </c>
      <c r="F1183" s="2">
        <f>IFERROR(__xludf.DUMMYFUNCTION("""COMPUTED_VALUE"""),3455700.0)</f>
        <v>3455700</v>
      </c>
      <c r="G1183" s="2">
        <f t="shared" si="1"/>
        <v>10</v>
      </c>
    </row>
    <row r="1184" ht="15.75" customHeight="1">
      <c r="A1184" s="1">
        <f>IFERROR(__xludf.DUMMYFUNCTION("""COMPUTED_VALUE"""),45611.66666666667)</f>
        <v>45611.66667</v>
      </c>
      <c r="B1184" s="2">
        <f>IFERROR(__xludf.DUMMYFUNCTION("""COMPUTED_VALUE"""),545.0)</f>
        <v>545</v>
      </c>
      <c r="C1184" s="2">
        <f>IFERROR(__xludf.DUMMYFUNCTION("""COMPUTED_VALUE"""),550.0)</f>
        <v>550</v>
      </c>
      <c r="D1184" s="2">
        <f>IFERROR(__xludf.DUMMYFUNCTION("""COMPUTED_VALUE"""),540.0)</f>
        <v>540</v>
      </c>
      <c r="E1184" s="2">
        <f>IFERROR(__xludf.DUMMYFUNCTION("""COMPUTED_VALUE"""),545.0)</f>
        <v>545</v>
      </c>
      <c r="F1184" s="2">
        <f>IFERROR(__xludf.DUMMYFUNCTION("""COMPUTED_VALUE"""),2756300.0)</f>
        <v>2756300</v>
      </c>
      <c r="G1184" s="2">
        <f t="shared" si="1"/>
        <v>10</v>
      </c>
    </row>
    <row r="1185" ht="15.75" customHeight="1">
      <c r="A1185" s="1">
        <f>IFERROR(__xludf.DUMMYFUNCTION("""COMPUTED_VALUE"""),45614.66666666667)</f>
        <v>45614.66667</v>
      </c>
      <c r="B1185" s="2">
        <f>IFERROR(__xludf.DUMMYFUNCTION("""COMPUTED_VALUE"""),545.0)</f>
        <v>545</v>
      </c>
      <c r="C1185" s="2">
        <f>IFERROR(__xludf.DUMMYFUNCTION("""COMPUTED_VALUE"""),545.0)</f>
        <v>545</v>
      </c>
      <c r="D1185" s="2">
        <f>IFERROR(__xludf.DUMMYFUNCTION("""COMPUTED_VALUE"""),535.0)</f>
        <v>535</v>
      </c>
      <c r="E1185" s="2">
        <f>IFERROR(__xludf.DUMMYFUNCTION("""COMPUTED_VALUE"""),540.0)</f>
        <v>540</v>
      </c>
      <c r="F1185" s="2">
        <f>IFERROR(__xludf.DUMMYFUNCTION("""COMPUTED_VALUE"""),6315800.0)</f>
        <v>6315800</v>
      </c>
      <c r="G1185" s="2">
        <f t="shared" si="1"/>
        <v>10</v>
      </c>
    </row>
    <row r="1186" ht="15.75" customHeight="1">
      <c r="A1186" s="1">
        <f>IFERROR(__xludf.DUMMYFUNCTION("""COMPUTED_VALUE"""),45615.66666666667)</f>
        <v>45615.66667</v>
      </c>
      <c r="B1186" s="2">
        <f>IFERROR(__xludf.DUMMYFUNCTION("""COMPUTED_VALUE"""),540.0)</f>
        <v>540</v>
      </c>
      <c r="C1186" s="2">
        <f>IFERROR(__xludf.DUMMYFUNCTION("""COMPUTED_VALUE"""),545.0)</f>
        <v>545</v>
      </c>
      <c r="D1186" s="2">
        <f>IFERROR(__xludf.DUMMYFUNCTION("""COMPUTED_VALUE"""),535.0)</f>
        <v>535</v>
      </c>
      <c r="E1186" s="2">
        <f>IFERROR(__xludf.DUMMYFUNCTION("""COMPUTED_VALUE"""),540.0)</f>
        <v>540</v>
      </c>
      <c r="F1186" s="2">
        <f>IFERROR(__xludf.DUMMYFUNCTION("""COMPUTED_VALUE"""),3104300.0)</f>
        <v>3104300</v>
      </c>
      <c r="G1186" s="2">
        <f t="shared" si="1"/>
        <v>10</v>
      </c>
    </row>
    <row r="1187" ht="15.75" customHeight="1">
      <c r="A1187" s="1">
        <f>IFERROR(__xludf.DUMMYFUNCTION("""COMPUTED_VALUE"""),45616.66666666667)</f>
        <v>45616.66667</v>
      </c>
      <c r="B1187" s="2">
        <f>IFERROR(__xludf.DUMMYFUNCTION("""COMPUTED_VALUE"""),540.0)</f>
        <v>540</v>
      </c>
      <c r="C1187" s="2">
        <f>IFERROR(__xludf.DUMMYFUNCTION("""COMPUTED_VALUE"""),545.0)</f>
        <v>545</v>
      </c>
      <c r="D1187" s="2">
        <f>IFERROR(__xludf.DUMMYFUNCTION("""COMPUTED_VALUE"""),540.0)</f>
        <v>540</v>
      </c>
      <c r="E1187" s="2">
        <f>IFERROR(__xludf.DUMMYFUNCTION("""COMPUTED_VALUE"""),540.0)</f>
        <v>540</v>
      </c>
      <c r="F1187" s="2">
        <f>IFERROR(__xludf.DUMMYFUNCTION("""COMPUTED_VALUE"""),1365000.0)</f>
        <v>1365000</v>
      </c>
      <c r="G1187" s="2">
        <f t="shared" si="1"/>
        <v>5</v>
      </c>
    </row>
    <row r="1188" ht="15.75" customHeight="1">
      <c r="A1188" s="1">
        <f>IFERROR(__xludf.DUMMYFUNCTION("""COMPUTED_VALUE"""),45617.66666666667)</f>
        <v>45617.66667</v>
      </c>
      <c r="B1188" s="2">
        <f>IFERROR(__xludf.DUMMYFUNCTION("""COMPUTED_VALUE"""),545.0)</f>
        <v>545</v>
      </c>
      <c r="C1188" s="2">
        <f>IFERROR(__xludf.DUMMYFUNCTION("""COMPUTED_VALUE"""),545.0)</f>
        <v>545</v>
      </c>
      <c r="D1188" s="2">
        <f>IFERROR(__xludf.DUMMYFUNCTION("""COMPUTED_VALUE"""),540.0)</f>
        <v>540</v>
      </c>
      <c r="E1188" s="2">
        <f>IFERROR(__xludf.DUMMYFUNCTION("""COMPUTED_VALUE"""),540.0)</f>
        <v>540</v>
      </c>
      <c r="F1188" s="2">
        <f>IFERROR(__xludf.DUMMYFUNCTION("""COMPUTED_VALUE"""),2832100.0)</f>
        <v>2832100</v>
      </c>
      <c r="G1188" s="2">
        <f t="shared" si="1"/>
        <v>5</v>
      </c>
    </row>
    <row r="1189" ht="15.75" customHeight="1">
      <c r="A1189" s="1">
        <f>IFERROR(__xludf.DUMMYFUNCTION("""COMPUTED_VALUE"""),45618.66666666667)</f>
        <v>45618.66667</v>
      </c>
      <c r="B1189" s="2">
        <f>IFERROR(__xludf.DUMMYFUNCTION("""COMPUTED_VALUE"""),540.0)</f>
        <v>540</v>
      </c>
      <c r="C1189" s="2">
        <f>IFERROR(__xludf.DUMMYFUNCTION("""COMPUTED_VALUE"""),545.0)</f>
        <v>545</v>
      </c>
      <c r="D1189" s="2">
        <f>IFERROR(__xludf.DUMMYFUNCTION("""COMPUTED_VALUE"""),540.0)</f>
        <v>540</v>
      </c>
      <c r="E1189" s="2">
        <f>IFERROR(__xludf.DUMMYFUNCTION("""COMPUTED_VALUE"""),545.0)</f>
        <v>545</v>
      </c>
      <c r="F1189" s="2">
        <f>IFERROR(__xludf.DUMMYFUNCTION("""COMPUTED_VALUE"""),2150400.0)</f>
        <v>2150400</v>
      </c>
      <c r="G1189" s="2">
        <f t="shared" si="1"/>
        <v>5</v>
      </c>
    </row>
    <row r="1190" ht="15.75" customHeight="1">
      <c r="A1190" s="1">
        <f>IFERROR(__xludf.DUMMYFUNCTION("""COMPUTED_VALUE"""),45621.66666666667)</f>
        <v>45621.66667</v>
      </c>
      <c r="B1190" s="2">
        <f>IFERROR(__xludf.DUMMYFUNCTION("""COMPUTED_VALUE"""),545.0)</f>
        <v>545</v>
      </c>
      <c r="C1190" s="2">
        <f>IFERROR(__xludf.DUMMYFUNCTION("""COMPUTED_VALUE"""),560.0)</f>
        <v>560</v>
      </c>
      <c r="D1190" s="2">
        <f>IFERROR(__xludf.DUMMYFUNCTION("""COMPUTED_VALUE"""),540.0)</f>
        <v>540</v>
      </c>
      <c r="E1190" s="2">
        <f>IFERROR(__xludf.DUMMYFUNCTION("""COMPUTED_VALUE"""),555.0)</f>
        <v>555</v>
      </c>
      <c r="F1190" s="2">
        <f>IFERROR(__xludf.DUMMYFUNCTION("""COMPUTED_VALUE"""),7540800.0)</f>
        <v>7540800</v>
      </c>
      <c r="G1190" s="2">
        <f t="shared" si="1"/>
        <v>20</v>
      </c>
    </row>
    <row r="1191" ht="15.75" customHeight="1">
      <c r="A1191" s="1">
        <f>IFERROR(__xludf.DUMMYFUNCTION("""COMPUTED_VALUE"""),45622.66666666667)</f>
        <v>45622.66667</v>
      </c>
      <c r="B1191" s="2">
        <f>IFERROR(__xludf.DUMMYFUNCTION("""COMPUTED_VALUE"""),555.0)</f>
        <v>555</v>
      </c>
      <c r="C1191" s="2">
        <f>IFERROR(__xludf.DUMMYFUNCTION("""COMPUTED_VALUE"""),560.0)</f>
        <v>560</v>
      </c>
      <c r="D1191" s="2">
        <f>IFERROR(__xludf.DUMMYFUNCTION("""COMPUTED_VALUE"""),550.0)</f>
        <v>550</v>
      </c>
      <c r="E1191" s="2">
        <f>IFERROR(__xludf.DUMMYFUNCTION("""COMPUTED_VALUE"""),555.0)</f>
        <v>555</v>
      </c>
      <c r="F1191" s="2">
        <f>IFERROR(__xludf.DUMMYFUNCTION("""COMPUTED_VALUE"""),4295500.0)</f>
        <v>4295500</v>
      </c>
      <c r="G1191" s="2">
        <f t="shared" si="1"/>
        <v>10</v>
      </c>
    </row>
    <row r="1192" ht="15.75" customHeight="1">
      <c r="A1192" s="1">
        <f>IFERROR(__xludf.DUMMYFUNCTION("""COMPUTED_VALUE"""),45624.66666666667)</f>
        <v>45624.66667</v>
      </c>
      <c r="B1192" s="2">
        <f>IFERROR(__xludf.DUMMYFUNCTION("""COMPUTED_VALUE"""),560.0)</f>
        <v>560</v>
      </c>
      <c r="C1192" s="2">
        <f>IFERROR(__xludf.DUMMYFUNCTION("""COMPUTED_VALUE"""),560.0)</f>
        <v>560</v>
      </c>
      <c r="D1192" s="2">
        <f>IFERROR(__xludf.DUMMYFUNCTION("""COMPUTED_VALUE"""),545.0)</f>
        <v>545</v>
      </c>
      <c r="E1192" s="2">
        <f>IFERROR(__xludf.DUMMYFUNCTION("""COMPUTED_VALUE"""),545.0)</f>
        <v>545</v>
      </c>
      <c r="F1192" s="2">
        <f>IFERROR(__xludf.DUMMYFUNCTION("""COMPUTED_VALUE"""),5176600.0)</f>
        <v>5176600</v>
      </c>
      <c r="G1192" s="2">
        <f t="shared" si="1"/>
        <v>15</v>
      </c>
    </row>
    <row r="1193" ht="15.75" customHeight="1">
      <c r="A1193" s="1">
        <f>IFERROR(__xludf.DUMMYFUNCTION("""COMPUTED_VALUE"""),45625.66666666667)</f>
        <v>45625.66667</v>
      </c>
      <c r="B1193" s="2">
        <f>IFERROR(__xludf.DUMMYFUNCTION("""COMPUTED_VALUE"""),550.0)</f>
        <v>550</v>
      </c>
      <c r="C1193" s="2">
        <f>IFERROR(__xludf.DUMMYFUNCTION("""COMPUTED_VALUE"""),550.0)</f>
        <v>550</v>
      </c>
      <c r="D1193" s="2">
        <f>IFERROR(__xludf.DUMMYFUNCTION("""COMPUTED_VALUE"""),540.0)</f>
        <v>540</v>
      </c>
      <c r="E1193" s="2">
        <f>IFERROR(__xludf.DUMMYFUNCTION("""COMPUTED_VALUE"""),545.0)</f>
        <v>545</v>
      </c>
      <c r="F1193" s="2">
        <f>IFERROR(__xludf.DUMMYFUNCTION("""COMPUTED_VALUE"""),5826200.0)</f>
        <v>5826200</v>
      </c>
      <c r="G1193" s="2">
        <f t="shared" si="1"/>
        <v>10</v>
      </c>
    </row>
    <row r="1194" ht="15.75" customHeight="1">
      <c r="A1194" s="1">
        <f>IFERROR(__xludf.DUMMYFUNCTION("""COMPUTED_VALUE"""),45628.66666666667)</f>
        <v>45628.66667</v>
      </c>
      <c r="B1194" s="2">
        <f>IFERROR(__xludf.DUMMYFUNCTION("""COMPUTED_VALUE"""),545.0)</f>
        <v>545</v>
      </c>
      <c r="C1194" s="2">
        <f>IFERROR(__xludf.DUMMYFUNCTION("""COMPUTED_VALUE"""),545.0)</f>
        <v>545</v>
      </c>
      <c r="D1194" s="2">
        <f>IFERROR(__xludf.DUMMYFUNCTION("""COMPUTED_VALUE"""),535.0)</f>
        <v>535</v>
      </c>
      <c r="E1194" s="2">
        <f>IFERROR(__xludf.DUMMYFUNCTION("""COMPUTED_VALUE"""),545.0)</f>
        <v>545</v>
      </c>
      <c r="F1194" s="2">
        <f>IFERROR(__xludf.DUMMYFUNCTION("""COMPUTED_VALUE"""),9863800.0)</f>
        <v>9863800</v>
      </c>
      <c r="G1194" s="2">
        <f t="shared" si="1"/>
        <v>10</v>
      </c>
    </row>
    <row r="1195" ht="15.75" customHeight="1">
      <c r="A1195" s="1">
        <f>IFERROR(__xludf.DUMMYFUNCTION("""COMPUTED_VALUE"""),45629.66666666667)</f>
        <v>45629.66667</v>
      </c>
      <c r="B1195" s="2">
        <f>IFERROR(__xludf.DUMMYFUNCTION("""COMPUTED_VALUE"""),545.0)</f>
        <v>545</v>
      </c>
      <c r="C1195" s="2">
        <f>IFERROR(__xludf.DUMMYFUNCTION("""COMPUTED_VALUE"""),550.0)</f>
        <v>550</v>
      </c>
      <c r="D1195" s="2">
        <f>IFERROR(__xludf.DUMMYFUNCTION("""COMPUTED_VALUE"""),540.0)</f>
        <v>540</v>
      </c>
      <c r="E1195" s="2">
        <f>IFERROR(__xludf.DUMMYFUNCTION("""COMPUTED_VALUE"""),545.0)</f>
        <v>545</v>
      </c>
      <c r="F1195" s="2">
        <f>IFERROR(__xludf.DUMMYFUNCTION("""COMPUTED_VALUE"""),2899200.0)</f>
        <v>2899200</v>
      </c>
      <c r="G1195" s="2">
        <f t="shared" si="1"/>
        <v>10</v>
      </c>
    </row>
    <row r="1196" ht="15.75" customHeight="1">
      <c r="A1196" s="1">
        <f>IFERROR(__xludf.DUMMYFUNCTION("""COMPUTED_VALUE"""),45630.66666666667)</f>
        <v>45630.66667</v>
      </c>
      <c r="B1196" s="2">
        <f>IFERROR(__xludf.DUMMYFUNCTION("""COMPUTED_VALUE"""),545.0)</f>
        <v>545</v>
      </c>
      <c r="C1196" s="2">
        <f>IFERROR(__xludf.DUMMYFUNCTION("""COMPUTED_VALUE"""),555.0)</f>
        <v>555</v>
      </c>
      <c r="D1196" s="2">
        <f>IFERROR(__xludf.DUMMYFUNCTION("""COMPUTED_VALUE"""),545.0)</f>
        <v>545</v>
      </c>
      <c r="E1196" s="2">
        <f>IFERROR(__xludf.DUMMYFUNCTION("""COMPUTED_VALUE"""),550.0)</f>
        <v>550</v>
      </c>
      <c r="F1196" s="2">
        <f>IFERROR(__xludf.DUMMYFUNCTION("""COMPUTED_VALUE"""),3018500.0)</f>
        <v>3018500</v>
      </c>
      <c r="G1196" s="2">
        <f t="shared" si="1"/>
        <v>10</v>
      </c>
    </row>
    <row r="1197" ht="15.75" customHeight="1">
      <c r="A1197" s="1">
        <f>IFERROR(__xludf.DUMMYFUNCTION("""COMPUTED_VALUE"""),45631.66666666667)</f>
        <v>45631.66667</v>
      </c>
      <c r="B1197" s="2">
        <f>IFERROR(__xludf.DUMMYFUNCTION("""COMPUTED_VALUE"""),545.0)</f>
        <v>545</v>
      </c>
      <c r="C1197" s="2">
        <f>IFERROR(__xludf.DUMMYFUNCTION("""COMPUTED_VALUE"""),555.0)</f>
        <v>555</v>
      </c>
      <c r="D1197" s="2">
        <f>IFERROR(__xludf.DUMMYFUNCTION("""COMPUTED_VALUE"""),545.0)</f>
        <v>545</v>
      </c>
      <c r="E1197" s="2">
        <f>IFERROR(__xludf.DUMMYFUNCTION("""COMPUTED_VALUE"""),550.0)</f>
        <v>550</v>
      </c>
      <c r="F1197" s="2">
        <f>IFERROR(__xludf.DUMMYFUNCTION("""COMPUTED_VALUE"""),7987000.0)</f>
        <v>7987000</v>
      </c>
      <c r="G1197" s="2">
        <f t="shared" si="1"/>
        <v>10</v>
      </c>
    </row>
    <row r="1198" ht="15.75" customHeight="1">
      <c r="A1198" s="1">
        <f>IFERROR(__xludf.DUMMYFUNCTION("""COMPUTED_VALUE"""),45632.66666666667)</f>
        <v>45632.66667</v>
      </c>
      <c r="B1198" s="2">
        <f>IFERROR(__xludf.DUMMYFUNCTION("""COMPUTED_VALUE"""),550.0)</f>
        <v>550</v>
      </c>
      <c r="C1198" s="2">
        <f>IFERROR(__xludf.DUMMYFUNCTION("""COMPUTED_VALUE"""),560.0)</f>
        <v>560</v>
      </c>
      <c r="D1198" s="2">
        <f>IFERROR(__xludf.DUMMYFUNCTION("""COMPUTED_VALUE"""),545.0)</f>
        <v>545</v>
      </c>
      <c r="E1198" s="2">
        <f>IFERROR(__xludf.DUMMYFUNCTION("""COMPUTED_VALUE"""),555.0)</f>
        <v>555</v>
      </c>
      <c r="F1198" s="2">
        <f>IFERROR(__xludf.DUMMYFUNCTION("""COMPUTED_VALUE"""),4976800.0)</f>
        <v>4976800</v>
      </c>
      <c r="G1198" s="2">
        <f t="shared" si="1"/>
        <v>15</v>
      </c>
    </row>
    <row r="1199" ht="15.75" customHeight="1">
      <c r="A1199" s="1">
        <f>IFERROR(__xludf.DUMMYFUNCTION("""COMPUTED_VALUE"""),45635.66666666667)</f>
        <v>45635.66667</v>
      </c>
      <c r="B1199" s="2">
        <f>IFERROR(__xludf.DUMMYFUNCTION("""COMPUTED_VALUE"""),555.0)</f>
        <v>555</v>
      </c>
      <c r="C1199" s="2">
        <f>IFERROR(__xludf.DUMMYFUNCTION("""COMPUTED_VALUE"""),565.0)</f>
        <v>565</v>
      </c>
      <c r="D1199" s="2">
        <f>IFERROR(__xludf.DUMMYFUNCTION("""COMPUTED_VALUE"""),555.0)</f>
        <v>555</v>
      </c>
      <c r="E1199" s="2">
        <f>IFERROR(__xludf.DUMMYFUNCTION("""COMPUTED_VALUE"""),555.0)</f>
        <v>555</v>
      </c>
      <c r="F1199" s="2">
        <f>IFERROR(__xludf.DUMMYFUNCTION("""COMPUTED_VALUE"""),5355100.0)</f>
        <v>5355100</v>
      </c>
      <c r="G1199" s="2">
        <f t="shared" si="1"/>
        <v>10</v>
      </c>
    </row>
    <row r="1200" ht="15.75" customHeight="1">
      <c r="A1200" s="1">
        <f>IFERROR(__xludf.DUMMYFUNCTION("""COMPUTED_VALUE"""),45636.66666666667)</f>
        <v>45636.66667</v>
      </c>
      <c r="B1200" s="2">
        <f>IFERROR(__xludf.DUMMYFUNCTION("""COMPUTED_VALUE"""),560.0)</f>
        <v>560</v>
      </c>
      <c r="C1200" s="2">
        <f>IFERROR(__xludf.DUMMYFUNCTION("""COMPUTED_VALUE"""),560.0)</f>
        <v>560</v>
      </c>
      <c r="D1200" s="2">
        <f>IFERROR(__xludf.DUMMYFUNCTION("""COMPUTED_VALUE"""),550.0)</f>
        <v>550</v>
      </c>
      <c r="E1200" s="2">
        <f>IFERROR(__xludf.DUMMYFUNCTION("""COMPUTED_VALUE"""),555.0)</f>
        <v>555</v>
      </c>
      <c r="F1200" s="2">
        <f>IFERROR(__xludf.DUMMYFUNCTION("""COMPUTED_VALUE"""),3741200.0)</f>
        <v>3741200</v>
      </c>
      <c r="G1200" s="2">
        <f t="shared" si="1"/>
        <v>10</v>
      </c>
    </row>
    <row r="1201" ht="15.75" customHeight="1">
      <c r="A1201" s="1">
        <f>IFERROR(__xludf.DUMMYFUNCTION("""COMPUTED_VALUE"""),45637.66666666667)</f>
        <v>45637.66667</v>
      </c>
      <c r="B1201" s="2">
        <f>IFERROR(__xludf.DUMMYFUNCTION("""COMPUTED_VALUE"""),555.0)</f>
        <v>555</v>
      </c>
      <c r="C1201" s="2">
        <f>IFERROR(__xludf.DUMMYFUNCTION("""COMPUTED_VALUE"""),560.0)</f>
        <v>560</v>
      </c>
      <c r="D1201" s="2">
        <f>IFERROR(__xludf.DUMMYFUNCTION("""COMPUTED_VALUE"""),550.0)</f>
        <v>550</v>
      </c>
      <c r="E1201" s="2">
        <f>IFERROR(__xludf.DUMMYFUNCTION("""COMPUTED_VALUE"""),555.0)</f>
        <v>555</v>
      </c>
      <c r="F1201" s="2">
        <f>IFERROR(__xludf.DUMMYFUNCTION("""COMPUTED_VALUE"""),5957100.0)</f>
        <v>5957100</v>
      </c>
      <c r="G1201" s="2">
        <f t="shared" si="1"/>
        <v>10</v>
      </c>
    </row>
    <row r="1202" ht="15.75" customHeight="1">
      <c r="A1202" s="1">
        <f>IFERROR(__xludf.DUMMYFUNCTION("""COMPUTED_VALUE"""),45638.66666666667)</f>
        <v>45638.66667</v>
      </c>
      <c r="B1202" s="2">
        <f>IFERROR(__xludf.DUMMYFUNCTION("""COMPUTED_VALUE"""),555.0)</f>
        <v>555</v>
      </c>
      <c r="C1202" s="2">
        <f>IFERROR(__xludf.DUMMYFUNCTION("""COMPUTED_VALUE"""),560.0)</f>
        <v>560</v>
      </c>
      <c r="D1202" s="2">
        <f>IFERROR(__xludf.DUMMYFUNCTION("""COMPUTED_VALUE"""),550.0)</f>
        <v>550</v>
      </c>
      <c r="E1202" s="2">
        <f>IFERROR(__xludf.DUMMYFUNCTION("""COMPUTED_VALUE"""),555.0)</f>
        <v>555</v>
      </c>
      <c r="F1202" s="2">
        <f>IFERROR(__xludf.DUMMYFUNCTION("""COMPUTED_VALUE"""),2936600.0)</f>
        <v>2936600</v>
      </c>
      <c r="G1202" s="2">
        <f t="shared" si="1"/>
        <v>10</v>
      </c>
    </row>
    <row r="1203" ht="15.75" customHeight="1">
      <c r="A1203" s="1">
        <f>IFERROR(__xludf.DUMMYFUNCTION("""COMPUTED_VALUE"""),45639.66666666667)</f>
        <v>45639.66667</v>
      </c>
      <c r="B1203" s="2">
        <f>IFERROR(__xludf.DUMMYFUNCTION("""COMPUTED_VALUE"""),555.0)</f>
        <v>555</v>
      </c>
      <c r="C1203" s="2">
        <f>IFERROR(__xludf.DUMMYFUNCTION("""COMPUTED_VALUE"""),555.0)</f>
        <v>555</v>
      </c>
      <c r="D1203" s="2">
        <f>IFERROR(__xludf.DUMMYFUNCTION("""COMPUTED_VALUE"""),550.0)</f>
        <v>550</v>
      </c>
      <c r="E1203" s="2">
        <f>IFERROR(__xludf.DUMMYFUNCTION("""COMPUTED_VALUE"""),550.0)</f>
        <v>550</v>
      </c>
      <c r="F1203" s="2">
        <f>IFERROR(__xludf.DUMMYFUNCTION("""COMPUTED_VALUE"""),4566900.0)</f>
        <v>4566900</v>
      </c>
      <c r="G1203" s="2">
        <f t="shared" si="1"/>
        <v>5</v>
      </c>
    </row>
    <row r="1204" ht="15.75" customHeight="1">
      <c r="A1204" s="1">
        <f>IFERROR(__xludf.DUMMYFUNCTION("""COMPUTED_VALUE"""),45642.66666666667)</f>
        <v>45642.66667</v>
      </c>
      <c r="B1204" s="2">
        <f>IFERROR(__xludf.DUMMYFUNCTION("""COMPUTED_VALUE"""),550.0)</f>
        <v>550</v>
      </c>
      <c r="C1204" s="2">
        <f>IFERROR(__xludf.DUMMYFUNCTION("""COMPUTED_VALUE"""),555.0)</f>
        <v>555</v>
      </c>
      <c r="D1204" s="2">
        <f>IFERROR(__xludf.DUMMYFUNCTION("""COMPUTED_VALUE"""),540.0)</f>
        <v>540</v>
      </c>
      <c r="E1204" s="2">
        <f>IFERROR(__xludf.DUMMYFUNCTION("""COMPUTED_VALUE"""),545.0)</f>
        <v>545</v>
      </c>
      <c r="F1204" s="2">
        <f>IFERROR(__xludf.DUMMYFUNCTION("""COMPUTED_VALUE"""),6640200.0)</f>
        <v>6640200</v>
      </c>
      <c r="G1204" s="2">
        <f t="shared" si="1"/>
        <v>15</v>
      </c>
    </row>
    <row r="1205" ht="15.75" customHeight="1">
      <c r="A1205" s="1">
        <f>IFERROR(__xludf.DUMMYFUNCTION("""COMPUTED_VALUE"""),45643.66666666667)</f>
        <v>45643.66667</v>
      </c>
      <c r="B1205" s="2">
        <f>IFERROR(__xludf.DUMMYFUNCTION("""COMPUTED_VALUE"""),545.0)</f>
        <v>545</v>
      </c>
      <c r="C1205" s="2">
        <f>IFERROR(__xludf.DUMMYFUNCTION("""COMPUTED_VALUE"""),550.0)</f>
        <v>550</v>
      </c>
      <c r="D1205" s="2">
        <f>IFERROR(__xludf.DUMMYFUNCTION("""COMPUTED_VALUE"""),540.0)</f>
        <v>540</v>
      </c>
      <c r="E1205" s="2">
        <f>IFERROR(__xludf.DUMMYFUNCTION("""COMPUTED_VALUE"""),540.0)</f>
        <v>540</v>
      </c>
      <c r="F1205" s="2">
        <f>IFERROR(__xludf.DUMMYFUNCTION("""COMPUTED_VALUE"""),5163700.0)</f>
        <v>5163700</v>
      </c>
      <c r="G1205" s="2">
        <f t="shared" si="1"/>
        <v>10</v>
      </c>
    </row>
    <row r="1206" ht="15.75" customHeight="1">
      <c r="A1206" s="1">
        <f>IFERROR(__xludf.DUMMYFUNCTION("""COMPUTED_VALUE"""),45644.66666666667)</f>
        <v>45644.66667</v>
      </c>
      <c r="B1206" s="2">
        <f>IFERROR(__xludf.DUMMYFUNCTION("""COMPUTED_VALUE"""),540.0)</f>
        <v>540</v>
      </c>
      <c r="C1206" s="2">
        <f>IFERROR(__xludf.DUMMYFUNCTION("""COMPUTED_VALUE"""),545.0)</f>
        <v>545</v>
      </c>
      <c r="D1206" s="2">
        <f>IFERROR(__xludf.DUMMYFUNCTION("""COMPUTED_VALUE"""),535.0)</f>
        <v>535</v>
      </c>
      <c r="E1206" s="2">
        <f>IFERROR(__xludf.DUMMYFUNCTION("""COMPUTED_VALUE"""),540.0)</f>
        <v>540</v>
      </c>
      <c r="F1206" s="2">
        <f>IFERROR(__xludf.DUMMYFUNCTION("""COMPUTED_VALUE"""),7219800.0)</f>
        <v>7219800</v>
      </c>
      <c r="G1206" s="2">
        <f t="shared" si="1"/>
        <v>10</v>
      </c>
    </row>
    <row r="1207" ht="15.75" customHeight="1">
      <c r="A1207" s="1">
        <f>IFERROR(__xludf.DUMMYFUNCTION("""COMPUTED_VALUE"""),45645.66666666667)</f>
        <v>45645.66667</v>
      </c>
      <c r="B1207" s="2">
        <f>IFERROR(__xludf.DUMMYFUNCTION("""COMPUTED_VALUE"""),545.0)</f>
        <v>545</v>
      </c>
      <c r="C1207" s="2">
        <f>IFERROR(__xludf.DUMMYFUNCTION("""COMPUTED_VALUE"""),545.0)</f>
        <v>545</v>
      </c>
      <c r="D1207" s="2">
        <f>IFERROR(__xludf.DUMMYFUNCTION("""COMPUTED_VALUE"""),525.0)</f>
        <v>525</v>
      </c>
      <c r="E1207" s="2">
        <f>IFERROR(__xludf.DUMMYFUNCTION("""COMPUTED_VALUE"""),530.0)</f>
        <v>530</v>
      </c>
      <c r="F1207" s="2">
        <f>IFERROR(__xludf.DUMMYFUNCTION("""COMPUTED_VALUE"""),1.33454E7)</f>
        <v>13345400</v>
      </c>
      <c r="G1207" s="2">
        <f t="shared" si="1"/>
        <v>20</v>
      </c>
    </row>
    <row r="1208" ht="15.75" customHeight="1">
      <c r="A1208" s="1">
        <f>IFERROR(__xludf.DUMMYFUNCTION("""COMPUTED_VALUE"""),45646.66666666667)</f>
        <v>45646.66667</v>
      </c>
      <c r="B1208" s="2">
        <f>IFERROR(__xludf.DUMMYFUNCTION("""COMPUTED_VALUE"""),530.0)</f>
        <v>530</v>
      </c>
      <c r="C1208" s="2">
        <f>IFERROR(__xludf.DUMMYFUNCTION("""COMPUTED_VALUE"""),535.0)</f>
        <v>535</v>
      </c>
      <c r="D1208" s="2">
        <f>IFERROR(__xludf.DUMMYFUNCTION("""COMPUTED_VALUE"""),530.0)</f>
        <v>530</v>
      </c>
      <c r="E1208" s="2">
        <f>IFERROR(__xludf.DUMMYFUNCTION("""COMPUTED_VALUE"""),535.0)</f>
        <v>535</v>
      </c>
      <c r="F1208" s="2">
        <f>IFERROR(__xludf.DUMMYFUNCTION("""COMPUTED_VALUE"""),3428900.0)</f>
        <v>3428900</v>
      </c>
      <c r="G1208" s="2">
        <f t="shared" si="1"/>
        <v>5</v>
      </c>
    </row>
    <row r="1209" ht="15.75" customHeight="1">
      <c r="A1209" s="1">
        <f>IFERROR(__xludf.DUMMYFUNCTION("""COMPUTED_VALUE"""),45649.66666666667)</f>
        <v>45649.66667</v>
      </c>
      <c r="B1209" s="2">
        <f>IFERROR(__xludf.DUMMYFUNCTION("""COMPUTED_VALUE"""),535.0)</f>
        <v>535</v>
      </c>
      <c r="C1209" s="2">
        <f>IFERROR(__xludf.DUMMYFUNCTION("""COMPUTED_VALUE"""),540.0)</f>
        <v>540</v>
      </c>
      <c r="D1209" s="2">
        <f>IFERROR(__xludf.DUMMYFUNCTION("""COMPUTED_VALUE"""),530.0)</f>
        <v>530</v>
      </c>
      <c r="E1209" s="2">
        <f>IFERROR(__xludf.DUMMYFUNCTION("""COMPUTED_VALUE"""),535.0)</f>
        <v>535</v>
      </c>
      <c r="F1209" s="2">
        <f>IFERROR(__xludf.DUMMYFUNCTION("""COMPUTED_VALUE"""),4900700.0)</f>
        <v>4900700</v>
      </c>
      <c r="G1209" s="2">
        <f t="shared" si="1"/>
        <v>10</v>
      </c>
    </row>
    <row r="1210" ht="15.75" customHeight="1">
      <c r="A1210" s="1">
        <f>IFERROR(__xludf.DUMMYFUNCTION("""COMPUTED_VALUE"""),45650.66666666667)</f>
        <v>45650.66667</v>
      </c>
      <c r="B1210" s="2">
        <f>IFERROR(__xludf.DUMMYFUNCTION("""COMPUTED_VALUE"""),535.0)</f>
        <v>535</v>
      </c>
      <c r="C1210" s="2">
        <f>IFERROR(__xludf.DUMMYFUNCTION("""COMPUTED_VALUE"""),540.0)</f>
        <v>540</v>
      </c>
      <c r="D1210" s="2">
        <f>IFERROR(__xludf.DUMMYFUNCTION("""COMPUTED_VALUE"""),530.0)</f>
        <v>530</v>
      </c>
      <c r="E1210" s="2">
        <f>IFERROR(__xludf.DUMMYFUNCTION("""COMPUTED_VALUE"""),540.0)</f>
        <v>540</v>
      </c>
      <c r="F1210" s="2">
        <f>IFERROR(__xludf.DUMMYFUNCTION("""COMPUTED_VALUE"""),4516000.0)</f>
        <v>4516000</v>
      </c>
      <c r="G1210" s="2">
        <f t="shared" si="1"/>
        <v>10</v>
      </c>
    </row>
    <row r="1211" ht="15.75" customHeight="1">
      <c r="A1211" s="1">
        <f>IFERROR(__xludf.DUMMYFUNCTION("""COMPUTED_VALUE"""),45653.66666666667)</f>
        <v>45653.66667</v>
      </c>
      <c r="B1211" s="2">
        <f>IFERROR(__xludf.DUMMYFUNCTION("""COMPUTED_VALUE"""),540.0)</f>
        <v>540</v>
      </c>
      <c r="C1211" s="2">
        <f>IFERROR(__xludf.DUMMYFUNCTION("""COMPUTED_VALUE"""),540.0)</f>
        <v>540</v>
      </c>
      <c r="D1211" s="2">
        <f>IFERROR(__xludf.DUMMYFUNCTION("""COMPUTED_VALUE"""),535.0)</f>
        <v>535</v>
      </c>
      <c r="E1211" s="2">
        <f>IFERROR(__xludf.DUMMYFUNCTION("""COMPUTED_VALUE"""),535.0)</f>
        <v>535</v>
      </c>
      <c r="F1211" s="2">
        <f>IFERROR(__xludf.DUMMYFUNCTION("""COMPUTED_VALUE"""),2522600.0)</f>
        <v>2522600</v>
      </c>
      <c r="G1211" s="2">
        <f t="shared" si="1"/>
        <v>5</v>
      </c>
    </row>
    <row r="1212" ht="15.75" customHeight="1">
      <c r="A1212" s="1">
        <f>IFERROR(__xludf.DUMMYFUNCTION("""COMPUTED_VALUE"""),45656.66666666667)</f>
        <v>45656.66667</v>
      </c>
      <c r="B1212" s="2">
        <f>IFERROR(__xludf.DUMMYFUNCTION("""COMPUTED_VALUE"""),535.0)</f>
        <v>535</v>
      </c>
      <c r="C1212" s="2">
        <f>IFERROR(__xludf.DUMMYFUNCTION("""COMPUTED_VALUE"""),540.0)</f>
        <v>540</v>
      </c>
      <c r="D1212" s="2">
        <f>IFERROR(__xludf.DUMMYFUNCTION("""COMPUTED_VALUE"""),535.0)</f>
        <v>535</v>
      </c>
      <c r="E1212" s="2">
        <f>IFERROR(__xludf.DUMMYFUNCTION("""COMPUTED_VALUE"""),540.0)</f>
        <v>540</v>
      </c>
      <c r="F1212" s="2">
        <f>IFERROR(__xludf.DUMMYFUNCTION("""COMPUTED_VALUE"""),4311200.0)</f>
        <v>4311200</v>
      </c>
      <c r="G1212" s="2">
        <f t="shared" si="1"/>
        <v>5</v>
      </c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7" width="12.63"/>
  </cols>
  <sheetData>
    <row r="1" ht="15.75" customHeight="1">
      <c r="A1" s="1" t="str">
        <f>IFERROR(__xludf.DUMMYFUNCTION("GOOGLEFINANCE(""IDX:BMRI"", ""all"", DATE(2020,1,1), DATE(2025,1,1), ""DAILY"")
"),"Date")</f>
        <v>Date</v>
      </c>
      <c r="B1" s="2" t="str">
        <f>IFERROR(__xludf.DUMMYFUNCTION("""COMPUTED_VALUE"""),"Open")</f>
        <v>Open</v>
      </c>
      <c r="C1" s="2" t="str">
        <f>IFERROR(__xludf.DUMMYFUNCTION("""COMPUTED_VALUE"""),"High")</f>
        <v>High</v>
      </c>
      <c r="D1" s="2" t="str">
        <f>IFERROR(__xludf.DUMMYFUNCTION("""COMPUTED_VALUE"""),"Low")</f>
        <v>Low</v>
      </c>
      <c r="E1" s="2" t="str">
        <f>IFERROR(__xludf.DUMMYFUNCTION("""COMPUTED_VALUE"""),"Close")</f>
        <v>Close</v>
      </c>
      <c r="F1" s="2" t="str">
        <f>IFERROR(__xludf.DUMMYFUNCTION("""COMPUTED_VALUE"""),"Volume")</f>
        <v>Volume</v>
      </c>
      <c r="G1" s="3" t="s">
        <v>0</v>
      </c>
    </row>
    <row r="2" ht="15.75" customHeight="1">
      <c r="A2" s="1">
        <f>IFERROR(__xludf.DUMMYFUNCTION("""COMPUTED_VALUE"""),43832.66666666667)</f>
        <v>43832.66667</v>
      </c>
      <c r="B2" s="2">
        <f>IFERROR(__xludf.DUMMYFUNCTION("""COMPUTED_VALUE"""),3837.5)</f>
        <v>3837.5</v>
      </c>
      <c r="C2" s="2">
        <f>IFERROR(__xludf.DUMMYFUNCTION("""COMPUTED_VALUE"""),3887.5)</f>
        <v>3887.5</v>
      </c>
      <c r="D2" s="2">
        <f>IFERROR(__xludf.DUMMYFUNCTION("""COMPUTED_VALUE"""),3825.0)</f>
        <v>3825</v>
      </c>
      <c r="E2" s="2">
        <f>IFERROR(__xludf.DUMMYFUNCTION("""COMPUTED_VALUE"""),3875.0)</f>
        <v>3875</v>
      </c>
      <c r="F2" s="2">
        <f>IFERROR(__xludf.DUMMYFUNCTION("""COMPUTED_VALUE"""),1.86899E7)</f>
        <v>18689900</v>
      </c>
      <c r="G2" s="2"/>
    </row>
    <row r="3" ht="15.75" customHeight="1">
      <c r="A3" s="1">
        <f>IFERROR(__xludf.DUMMYFUNCTION("""COMPUTED_VALUE"""),43833.66666666667)</f>
        <v>43833.66667</v>
      </c>
      <c r="B3" s="2">
        <f>IFERROR(__xludf.DUMMYFUNCTION("""COMPUTED_VALUE"""),3875.0)</f>
        <v>3875</v>
      </c>
      <c r="C3" s="2">
        <f>IFERROR(__xludf.DUMMYFUNCTION("""COMPUTED_VALUE"""),3912.5)</f>
        <v>3912.5</v>
      </c>
      <c r="D3" s="2">
        <f>IFERROR(__xludf.DUMMYFUNCTION("""COMPUTED_VALUE"""),3812.5)</f>
        <v>3812.5</v>
      </c>
      <c r="E3" s="2">
        <f>IFERROR(__xludf.DUMMYFUNCTION("""COMPUTED_VALUE"""),3862.5)</f>
        <v>3862.5</v>
      </c>
      <c r="F3" s="2">
        <f>IFERROR(__xludf.DUMMYFUNCTION("""COMPUTED_VALUE"""),3.51473E7)</f>
        <v>35147300</v>
      </c>
      <c r="G3" s="2">
        <f t="shared" ref="G3:G1212" si="1">MAX(C3-D3, ABS(C3-E2), ABS(D3-E2))</f>
        <v>100</v>
      </c>
    </row>
    <row r="4" ht="15.75" customHeight="1">
      <c r="A4" s="1">
        <f>IFERROR(__xludf.DUMMYFUNCTION("""COMPUTED_VALUE"""),43836.66666666667)</f>
        <v>43836.66667</v>
      </c>
      <c r="B4" s="2">
        <f>IFERROR(__xludf.DUMMYFUNCTION("""COMPUTED_VALUE"""),3825.0)</f>
        <v>3825</v>
      </c>
      <c r="C4" s="2">
        <f>IFERROR(__xludf.DUMMYFUNCTION("""COMPUTED_VALUE"""),3837.5)</f>
        <v>3837.5</v>
      </c>
      <c r="D4" s="2">
        <f>IFERROR(__xludf.DUMMYFUNCTION("""COMPUTED_VALUE"""),3762.5)</f>
        <v>3762.5</v>
      </c>
      <c r="E4" s="2">
        <f>IFERROR(__xludf.DUMMYFUNCTION("""COMPUTED_VALUE"""),3800.0)</f>
        <v>3800</v>
      </c>
      <c r="F4" s="2">
        <f>IFERROR(__xludf.DUMMYFUNCTION("""COMPUTED_VALUE"""),3.0946E7)</f>
        <v>30946000</v>
      </c>
      <c r="G4" s="2">
        <f t="shared" si="1"/>
        <v>100</v>
      </c>
    </row>
    <row r="5" ht="15.75" customHeight="1">
      <c r="A5" s="1">
        <f>IFERROR(__xludf.DUMMYFUNCTION("""COMPUTED_VALUE"""),43837.66666666667)</f>
        <v>43837.66667</v>
      </c>
      <c r="B5" s="2">
        <f>IFERROR(__xludf.DUMMYFUNCTION("""COMPUTED_VALUE"""),3862.5)</f>
        <v>3862.5</v>
      </c>
      <c r="C5" s="2">
        <f>IFERROR(__xludf.DUMMYFUNCTION("""COMPUTED_VALUE"""),3862.5)</f>
        <v>3862.5</v>
      </c>
      <c r="D5" s="2">
        <f>IFERROR(__xludf.DUMMYFUNCTION("""COMPUTED_VALUE"""),3787.5)</f>
        <v>3787.5</v>
      </c>
      <c r="E5" s="2">
        <f>IFERROR(__xludf.DUMMYFUNCTION("""COMPUTED_VALUE"""),3800.0)</f>
        <v>3800</v>
      </c>
      <c r="F5" s="2">
        <f>IFERROR(__xludf.DUMMYFUNCTION("""COMPUTED_VALUE"""),3.54478E7)</f>
        <v>35447800</v>
      </c>
      <c r="G5" s="2">
        <f t="shared" si="1"/>
        <v>75</v>
      </c>
    </row>
    <row r="6" ht="15.75" customHeight="1">
      <c r="A6" s="1">
        <f>IFERROR(__xludf.DUMMYFUNCTION("""COMPUTED_VALUE"""),43838.66666666667)</f>
        <v>43838.66667</v>
      </c>
      <c r="B6" s="2">
        <f>IFERROR(__xludf.DUMMYFUNCTION("""COMPUTED_VALUE"""),3775.0)</f>
        <v>3775</v>
      </c>
      <c r="C6" s="2">
        <f>IFERROR(__xludf.DUMMYFUNCTION("""COMPUTED_VALUE"""),3775.0)</f>
        <v>3775</v>
      </c>
      <c r="D6" s="2">
        <f>IFERROR(__xludf.DUMMYFUNCTION("""COMPUTED_VALUE"""),3687.5)</f>
        <v>3687.5</v>
      </c>
      <c r="E6" s="2">
        <f>IFERROR(__xludf.DUMMYFUNCTION("""COMPUTED_VALUE"""),3750.0)</f>
        <v>3750</v>
      </c>
      <c r="F6" s="2">
        <f>IFERROR(__xludf.DUMMYFUNCTION("""COMPUTED_VALUE"""),5.25403E7)</f>
        <v>52540300</v>
      </c>
      <c r="G6" s="2">
        <f t="shared" si="1"/>
        <v>112.5</v>
      </c>
    </row>
    <row r="7" ht="15.75" customHeight="1">
      <c r="A7" s="1">
        <f>IFERROR(__xludf.DUMMYFUNCTION("""COMPUTED_VALUE"""),43839.66666666667)</f>
        <v>43839.66667</v>
      </c>
      <c r="B7" s="2">
        <f>IFERROR(__xludf.DUMMYFUNCTION("""COMPUTED_VALUE"""),3775.0)</f>
        <v>3775</v>
      </c>
      <c r="C7" s="2">
        <f>IFERROR(__xludf.DUMMYFUNCTION("""COMPUTED_VALUE"""),3862.5)</f>
        <v>3862.5</v>
      </c>
      <c r="D7" s="2">
        <f>IFERROR(__xludf.DUMMYFUNCTION("""COMPUTED_VALUE"""),3762.5)</f>
        <v>3762.5</v>
      </c>
      <c r="E7" s="2">
        <f>IFERROR(__xludf.DUMMYFUNCTION("""COMPUTED_VALUE"""),3850.0)</f>
        <v>3850</v>
      </c>
      <c r="F7" s="2">
        <f>IFERROR(__xludf.DUMMYFUNCTION("""COMPUTED_VALUE"""),3.77935E7)</f>
        <v>37793500</v>
      </c>
      <c r="G7" s="2">
        <f t="shared" si="1"/>
        <v>112.5</v>
      </c>
    </row>
    <row r="8" ht="15.75" customHeight="1">
      <c r="A8" s="1">
        <f>IFERROR(__xludf.DUMMYFUNCTION("""COMPUTED_VALUE"""),43840.66666666667)</f>
        <v>43840.66667</v>
      </c>
      <c r="B8" s="2">
        <f>IFERROR(__xludf.DUMMYFUNCTION("""COMPUTED_VALUE"""),3850.0)</f>
        <v>3850</v>
      </c>
      <c r="C8" s="2">
        <f>IFERROR(__xludf.DUMMYFUNCTION("""COMPUTED_VALUE"""),3862.5)</f>
        <v>3862.5</v>
      </c>
      <c r="D8" s="2">
        <f>IFERROR(__xludf.DUMMYFUNCTION("""COMPUTED_VALUE"""),3825.0)</f>
        <v>3825</v>
      </c>
      <c r="E8" s="2">
        <f>IFERROR(__xludf.DUMMYFUNCTION("""COMPUTED_VALUE"""),3862.5)</f>
        <v>3862.5</v>
      </c>
      <c r="F8" s="2">
        <f>IFERROR(__xludf.DUMMYFUNCTION("""COMPUTED_VALUE"""),3.21159E7)</f>
        <v>32115900</v>
      </c>
      <c r="G8" s="2">
        <f t="shared" si="1"/>
        <v>37.5</v>
      </c>
    </row>
    <row r="9" ht="15.75" customHeight="1">
      <c r="A9" s="1">
        <f>IFERROR(__xludf.DUMMYFUNCTION("""COMPUTED_VALUE"""),43843.66666666667)</f>
        <v>43843.66667</v>
      </c>
      <c r="B9" s="2">
        <f>IFERROR(__xludf.DUMMYFUNCTION("""COMPUTED_VALUE"""),3862.5)</f>
        <v>3862.5</v>
      </c>
      <c r="C9" s="2">
        <f>IFERROR(__xludf.DUMMYFUNCTION("""COMPUTED_VALUE"""),3875.0)</f>
        <v>3875</v>
      </c>
      <c r="D9" s="2">
        <f>IFERROR(__xludf.DUMMYFUNCTION("""COMPUTED_VALUE"""),3825.0)</f>
        <v>3825</v>
      </c>
      <c r="E9" s="2">
        <f>IFERROR(__xludf.DUMMYFUNCTION("""COMPUTED_VALUE"""),3862.5)</f>
        <v>3862.5</v>
      </c>
      <c r="F9" s="2">
        <f>IFERROR(__xludf.DUMMYFUNCTION("""COMPUTED_VALUE"""),3.76998E7)</f>
        <v>37699800</v>
      </c>
      <c r="G9" s="2">
        <f t="shared" si="1"/>
        <v>50</v>
      </c>
    </row>
    <row r="10" ht="15.75" customHeight="1">
      <c r="A10" s="1">
        <f>IFERROR(__xludf.DUMMYFUNCTION("""COMPUTED_VALUE"""),43844.66666666667)</f>
        <v>43844.66667</v>
      </c>
      <c r="B10" s="2">
        <f>IFERROR(__xludf.DUMMYFUNCTION("""COMPUTED_VALUE"""),3900.0)</f>
        <v>3900</v>
      </c>
      <c r="C10" s="2">
        <f>IFERROR(__xludf.DUMMYFUNCTION("""COMPUTED_VALUE"""),3900.0)</f>
        <v>3900</v>
      </c>
      <c r="D10" s="2">
        <f>IFERROR(__xludf.DUMMYFUNCTION("""COMPUTED_VALUE"""),3850.0)</f>
        <v>3850</v>
      </c>
      <c r="E10" s="2">
        <f>IFERROR(__xludf.DUMMYFUNCTION("""COMPUTED_VALUE"""),3875.0)</f>
        <v>3875</v>
      </c>
      <c r="F10" s="2">
        <f>IFERROR(__xludf.DUMMYFUNCTION("""COMPUTED_VALUE"""),5.20672E7)</f>
        <v>52067200</v>
      </c>
      <c r="G10" s="2">
        <f t="shared" si="1"/>
        <v>50</v>
      </c>
    </row>
    <row r="11" ht="15.75" customHeight="1">
      <c r="A11" s="1">
        <f>IFERROR(__xludf.DUMMYFUNCTION("""COMPUTED_VALUE"""),43845.66666666667)</f>
        <v>43845.66667</v>
      </c>
      <c r="B11" s="2">
        <f>IFERROR(__xludf.DUMMYFUNCTION("""COMPUTED_VALUE"""),3875.0)</f>
        <v>3875</v>
      </c>
      <c r="C11" s="2">
        <f>IFERROR(__xludf.DUMMYFUNCTION("""COMPUTED_VALUE"""),3900.0)</f>
        <v>3900</v>
      </c>
      <c r="D11" s="2">
        <f>IFERROR(__xludf.DUMMYFUNCTION("""COMPUTED_VALUE"""),3800.0)</f>
        <v>3800</v>
      </c>
      <c r="E11" s="2">
        <f>IFERROR(__xludf.DUMMYFUNCTION("""COMPUTED_VALUE"""),3825.0)</f>
        <v>3825</v>
      </c>
      <c r="F11" s="2">
        <f>IFERROR(__xludf.DUMMYFUNCTION("""COMPUTED_VALUE"""),4.48976E7)</f>
        <v>44897600</v>
      </c>
      <c r="G11" s="2">
        <f t="shared" si="1"/>
        <v>100</v>
      </c>
    </row>
    <row r="12" ht="15.75" customHeight="1">
      <c r="A12" s="1">
        <f>IFERROR(__xludf.DUMMYFUNCTION("""COMPUTED_VALUE"""),43846.66666666667)</f>
        <v>43846.66667</v>
      </c>
      <c r="B12" s="2">
        <f>IFERROR(__xludf.DUMMYFUNCTION("""COMPUTED_VALUE"""),3800.0)</f>
        <v>3800</v>
      </c>
      <c r="C12" s="2">
        <f>IFERROR(__xludf.DUMMYFUNCTION("""COMPUTED_VALUE"""),3837.5)</f>
        <v>3837.5</v>
      </c>
      <c r="D12" s="2">
        <f>IFERROR(__xludf.DUMMYFUNCTION("""COMPUTED_VALUE"""),3762.5)</f>
        <v>3762.5</v>
      </c>
      <c r="E12" s="2">
        <f>IFERROR(__xludf.DUMMYFUNCTION("""COMPUTED_VALUE"""),3775.0)</f>
        <v>3775</v>
      </c>
      <c r="F12" s="2">
        <f>IFERROR(__xludf.DUMMYFUNCTION("""COMPUTED_VALUE"""),7.27161E7)</f>
        <v>72716100</v>
      </c>
      <c r="G12" s="2">
        <f t="shared" si="1"/>
        <v>75</v>
      </c>
    </row>
    <row r="13" ht="15.75" customHeight="1">
      <c r="A13" s="1">
        <f>IFERROR(__xludf.DUMMYFUNCTION("""COMPUTED_VALUE"""),43847.66666666667)</f>
        <v>43847.66667</v>
      </c>
      <c r="B13" s="2">
        <f>IFERROR(__xludf.DUMMYFUNCTION("""COMPUTED_VALUE"""),3787.5)</f>
        <v>3787.5</v>
      </c>
      <c r="C13" s="2">
        <f>IFERROR(__xludf.DUMMYFUNCTION("""COMPUTED_VALUE"""),3875.0)</f>
        <v>3875</v>
      </c>
      <c r="D13" s="2">
        <f>IFERROR(__xludf.DUMMYFUNCTION("""COMPUTED_VALUE"""),3762.5)</f>
        <v>3762.5</v>
      </c>
      <c r="E13" s="2">
        <f>IFERROR(__xludf.DUMMYFUNCTION("""COMPUTED_VALUE"""),3862.5)</f>
        <v>3862.5</v>
      </c>
      <c r="F13" s="2">
        <f>IFERROR(__xludf.DUMMYFUNCTION("""COMPUTED_VALUE"""),6.52501E7)</f>
        <v>65250100</v>
      </c>
      <c r="G13" s="2">
        <f t="shared" si="1"/>
        <v>112.5</v>
      </c>
    </row>
    <row r="14" ht="15.75" customHeight="1">
      <c r="A14" s="1">
        <f>IFERROR(__xludf.DUMMYFUNCTION("""COMPUTED_VALUE"""),43850.66666666667)</f>
        <v>43850.66667</v>
      </c>
      <c r="B14" s="2">
        <f>IFERROR(__xludf.DUMMYFUNCTION("""COMPUTED_VALUE"""),3900.0)</f>
        <v>3900</v>
      </c>
      <c r="C14" s="2">
        <f>IFERROR(__xludf.DUMMYFUNCTION("""COMPUTED_VALUE"""),3900.0)</f>
        <v>3900</v>
      </c>
      <c r="D14" s="2">
        <f>IFERROR(__xludf.DUMMYFUNCTION("""COMPUTED_VALUE"""),3800.0)</f>
        <v>3800</v>
      </c>
      <c r="E14" s="2">
        <f>IFERROR(__xludf.DUMMYFUNCTION("""COMPUTED_VALUE"""),3812.5)</f>
        <v>3812.5</v>
      </c>
      <c r="F14" s="2">
        <f>IFERROR(__xludf.DUMMYFUNCTION("""COMPUTED_VALUE"""),1.20159E7)</f>
        <v>12015900</v>
      </c>
      <c r="G14" s="2">
        <f t="shared" si="1"/>
        <v>100</v>
      </c>
    </row>
    <row r="15" ht="15.75" customHeight="1">
      <c r="A15" s="1">
        <f>IFERROR(__xludf.DUMMYFUNCTION("""COMPUTED_VALUE"""),43851.66666666667)</f>
        <v>43851.66667</v>
      </c>
      <c r="B15" s="2">
        <f>IFERROR(__xludf.DUMMYFUNCTION("""COMPUTED_VALUE"""),3875.0)</f>
        <v>3875</v>
      </c>
      <c r="C15" s="2">
        <f>IFERROR(__xludf.DUMMYFUNCTION("""COMPUTED_VALUE"""),3875.0)</f>
        <v>3875</v>
      </c>
      <c r="D15" s="2">
        <f>IFERROR(__xludf.DUMMYFUNCTION("""COMPUTED_VALUE"""),3812.5)</f>
        <v>3812.5</v>
      </c>
      <c r="E15" s="2">
        <f>IFERROR(__xludf.DUMMYFUNCTION("""COMPUTED_VALUE"""),3850.0)</f>
        <v>3850</v>
      </c>
      <c r="F15" s="2">
        <f>IFERROR(__xludf.DUMMYFUNCTION("""COMPUTED_VALUE"""),1.95833E7)</f>
        <v>19583300</v>
      </c>
      <c r="G15" s="2">
        <f t="shared" si="1"/>
        <v>62.5</v>
      </c>
    </row>
    <row r="16" ht="15.75" customHeight="1">
      <c r="A16" s="1">
        <f>IFERROR(__xludf.DUMMYFUNCTION("""COMPUTED_VALUE"""),43852.66666666667)</f>
        <v>43852.66667</v>
      </c>
      <c r="B16" s="2">
        <f>IFERROR(__xludf.DUMMYFUNCTION("""COMPUTED_VALUE"""),3875.0)</f>
        <v>3875</v>
      </c>
      <c r="C16" s="2">
        <f>IFERROR(__xludf.DUMMYFUNCTION("""COMPUTED_VALUE"""),3925.0)</f>
        <v>3925</v>
      </c>
      <c r="D16" s="2">
        <f>IFERROR(__xludf.DUMMYFUNCTION("""COMPUTED_VALUE"""),3862.5)</f>
        <v>3862.5</v>
      </c>
      <c r="E16" s="2">
        <f>IFERROR(__xludf.DUMMYFUNCTION("""COMPUTED_VALUE"""),3900.0)</f>
        <v>3900</v>
      </c>
      <c r="F16" s="2">
        <f>IFERROR(__xludf.DUMMYFUNCTION("""COMPUTED_VALUE"""),6.10876E7)</f>
        <v>61087600</v>
      </c>
      <c r="G16" s="2">
        <f t="shared" si="1"/>
        <v>75</v>
      </c>
    </row>
    <row r="17" ht="15.75" customHeight="1">
      <c r="A17" s="1">
        <f>IFERROR(__xludf.DUMMYFUNCTION("""COMPUTED_VALUE"""),43853.66666666667)</f>
        <v>43853.66667</v>
      </c>
      <c r="B17" s="2">
        <f>IFERROR(__xludf.DUMMYFUNCTION("""COMPUTED_VALUE"""),3900.0)</f>
        <v>3900</v>
      </c>
      <c r="C17" s="2">
        <f>IFERROR(__xludf.DUMMYFUNCTION("""COMPUTED_VALUE"""),3912.5)</f>
        <v>3912.5</v>
      </c>
      <c r="D17" s="2">
        <f>IFERROR(__xludf.DUMMYFUNCTION("""COMPUTED_VALUE"""),3850.0)</f>
        <v>3850</v>
      </c>
      <c r="E17" s="2">
        <f>IFERROR(__xludf.DUMMYFUNCTION("""COMPUTED_VALUE"""),3887.5)</f>
        <v>3887.5</v>
      </c>
      <c r="F17" s="2">
        <f>IFERROR(__xludf.DUMMYFUNCTION("""COMPUTED_VALUE"""),4.15639E7)</f>
        <v>41563900</v>
      </c>
      <c r="G17" s="2">
        <f t="shared" si="1"/>
        <v>62.5</v>
      </c>
    </row>
    <row r="18" ht="15.75" customHeight="1">
      <c r="A18" s="1">
        <f>IFERROR(__xludf.DUMMYFUNCTION("""COMPUTED_VALUE"""),43854.66666666667)</f>
        <v>43854.66667</v>
      </c>
      <c r="B18" s="2">
        <f>IFERROR(__xludf.DUMMYFUNCTION("""COMPUTED_VALUE"""),3912.5)</f>
        <v>3912.5</v>
      </c>
      <c r="C18" s="2">
        <f>IFERROR(__xludf.DUMMYFUNCTION("""COMPUTED_VALUE"""),4000.0)</f>
        <v>4000</v>
      </c>
      <c r="D18" s="2">
        <f>IFERROR(__xludf.DUMMYFUNCTION("""COMPUTED_VALUE"""),3862.5)</f>
        <v>3862.5</v>
      </c>
      <c r="E18" s="2">
        <f>IFERROR(__xludf.DUMMYFUNCTION("""COMPUTED_VALUE"""),3962.5)</f>
        <v>3962.5</v>
      </c>
      <c r="F18" s="2">
        <f>IFERROR(__xludf.DUMMYFUNCTION("""COMPUTED_VALUE"""),7.7351E7)</f>
        <v>77351000</v>
      </c>
      <c r="G18" s="2">
        <f t="shared" si="1"/>
        <v>137.5</v>
      </c>
    </row>
    <row r="19" ht="15.75" customHeight="1">
      <c r="A19" s="1">
        <f>IFERROR(__xludf.DUMMYFUNCTION("""COMPUTED_VALUE"""),43857.66666666667)</f>
        <v>43857.66667</v>
      </c>
      <c r="B19" s="2">
        <f>IFERROR(__xludf.DUMMYFUNCTION("""COMPUTED_VALUE"""),3975.0)</f>
        <v>3975</v>
      </c>
      <c r="C19" s="2">
        <f>IFERROR(__xludf.DUMMYFUNCTION("""COMPUTED_VALUE"""),3987.5)</f>
        <v>3987.5</v>
      </c>
      <c r="D19" s="2">
        <f>IFERROR(__xludf.DUMMYFUNCTION("""COMPUTED_VALUE"""),3850.0)</f>
        <v>3850</v>
      </c>
      <c r="E19" s="2">
        <f>IFERROR(__xludf.DUMMYFUNCTION("""COMPUTED_VALUE"""),3862.5)</f>
        <v>3862.5</v>
      </c>
      <c r="F19" s="2">
        <f>IFERROR(__xludf.DUMMYFUNCTION("""COMPUTED_VALUE"""),4.914E7)</f>
        <v>49140000</v>
      </c>
      <c r="G19" s="2">
        <f t="shared" si="1"/>
        <v>137.5</v>
      </c>
    </row>
    <row r="20" ht="15.75" customHeight="1">
      <c r="A20" s="1">
        <f>IFERROR(__xludf.DUMMYFUNCTION("""COMPUTED_VALUE"""),43858.66666666667)</f>
        <v>43858.66667</v>
      </c>
      <c r="B20" s="2">
        <f>IFERROR(__xludf.DUMMYFUNCTION("""COMPUTED_VALUE"""),3825.0)</f>
        <v>3825</v>
      </c>
      <c r="C20" s="2">
        <f>IFERROR(__xludf.DUMMYFUNCTION("""COMPUTED_VALUE"""),3912.5)</f>
        <v>3912.5</v>
      </c>
      <c r="D20" s="2">
        <f>IFERROR(__xludf.DUMMYFUNCTION("""COMPUTED_VALUE"""),3800.0)</f>
        <v>3800</v>
      </c>
      <c r="E20" s="2">
        <f>IFERROR(__xludf.DUMMYFUNCTION("""COMPUTED_VALUE"""),3875.0)</f>
        <v>3875</v>
      </c>
      <c r="F20" s="2">
        <f>IFERROR(__xludf.DUMMYFUNCTION("""COMPUTED_VALUE"""),3.46748E7)</f>
        <v>34674800</v>
      </c>
      <c r="G20" s="2">
        <f t="shared" si="1"/>
        <v>112.5</v>
      </c>
    </row>
    <row r="21" ht="15.75" customHeight="1">
      <c r="A21" s="1">
        <f>IFERROR(__xludf.DUMMYFUNCTION("""COMPUTED_VALUE"""),43859.66666666667)</f>
        <v>43859.66667</v>
      </c>
      <c r="B21" s="2">
        <f>IFERROR(__xludf.DUMMYFUNCTION("""COMPUTED_VALUE"""),3912.5)</f>
        <v>3912.5</v>
      </c>
      <c r="C21" s="2">
        <f>IFERROR(__xludf.DUMMYFUNCTION("""COMPUTED_VALUE"""),3962.5)</f>
        <v>3962.5</v>
      </c>
      <c r="D21" s="2">
        <f>IFERROR(__xludf.DUMMYFUNCTION("""COMPUTED_VALUE"""),3887.5)</f>
        <v>3887.5</v>
      </c>
      <c r="E21" s="2">
        <f>IFERROR(__xludf.DUMMYFUNCTION("""COMPUTED_VALUE"""),3900.0)</f>
        <v>3900</v>
      </c>
      <c r="F21" s="2">
        <f>IFERROR(__xludf.DUMMYFUNCTION("""COMPUTED_VALUE"""),5.48305E7)</f>
        <v>54830500</v>
      </c>
      <c r="G21" s="2">
        <f t="shared" si="1"/>
        <v>87.5</v>
      </c>
    </row>
    <row r="22" ht="15.75" customHeight="1">
      <c r="A22" s="1">
        <f>IFERROR(__xludf.DUMMYFUNCTION("""COMPUTED_VALUE"""),43860.66666666667)</f>
        <v>43860.66667</v>
      </c>
      <c r="B22" s="2">
        <f>IFERROR(__xludf.DUMMYFUNCTION("""COMPUTED_VALUE"""),3900.0)</f>
        <v>3900</v>
      </c>
      <c r="C22" s="2">
        <f>IFERROR(__xludf.DUMMYFUNCTION("""COMPUTED_VALUE"""),3912.5)</f>
        <v>3912.5</v>
      </c>
      <c r="D22" s="2">
        <f>IFERROR(__xludf.DUMMYFUNCTION("""COMPUTED_VALUE"""),3800.0)</f>
        <v>3800</v>
      </c>
      <c r="E22" s="2">
        <f>IFERROR(__xludf.DUMMYFUNCTION("""COMPUTED_VALUE"""),3825.0)</f>
        <v>3825</v>
      </c>
      <c r="F22" s="2">
        <f>IFERROR(__xludf.DUMMYFUNCTION("""COMPUTED_VALUE"""),4.26978E7)</f>
        <v>42697800</v>
      </c>
      <c r="G22" s="2">
        <f t="shared" si="1"/>
        <v>112.5</v>
      </c>
    </row>
    <row r="23" ht="15.75" customHeight="1">
      <c r="A23" s="1">
        <f>IFERROR(__xludf.DUMMYFUNCTION("""COMPUTED_VALUE"""),43861.66666666667)</f>
        <v>43861.66667</v>
      </c>
      <c r="B23" s="2">
        <f>IFERROR(__xludf.DUMMYFUNCTION("""COMPUTED_VALUE"""),3837.5)</f>
        <v>3837.5</v>
      </c>
      <c r="C23" s="2">
        <f>IFERROR(__xludf.DUMMYFUNCTION("""COMPUTED_VALUE"""),3850.0)</f>
        <v>3850</v>
      </c>
      <c r="D23" s="2">
        <f>IFERROR(__xludf.DUMMYFUNCTION("""COMPUTED_VALUE"""),3725.0)</f>
        <v>3725</v>
      </c>
      <c r="E23" s="2">
        <f>IFERROR(__xludf.DUMMYFUNCTION("""COMPUTED_VALUE"""),3775.0)</f>
        <v>3775</v>
      </c>
      <c r="F23" s="2">
        <f>IFERROR(__xludf.DUMMYFUNCTION("""COMPUTED_VALUE"""),7.88305E7)</f>
        <v>78830500</v>
      </c>
      <c r="G23" s="2">
        <f t="shared" si="1"/>
        <v>125</v>
      </c>
    </row>
    <row r="24" ht="15.75" customHeight="1">
      <c r="A24" s="1">
        <f>IFERROR(__xludf.DUMMYFUNCTION("""COMPUTED_VALUE"""),43864.66666666667)</f>
        <v>43864.66667</v>
      </c>
      <c r="B24" s="2">
        <f>IFERROR(__xludf.DUMMYFUNCTION("""COMPUTED_VALUE"""),3700.0)</f>
        <v>3700</v>
      </c>
      <c r="C24" s="2">
        <f>IFERROR(__xludf.DUMMYFUNCTION("""COMPUTED_VALUE"""),3787.5)</f>
        <v>3787.5</v>
      </c>
      <c r="D24" s="2">
        <f>IFERROR(__xludf.DUMMYFUNCTION("""COMPUTED_VALUE"""),3675.0)</f>
        <v>3675</v>
      </c>
      <c r="E24" s="2">
        <f>IFERROR(__xludf.DUMMYFUNCTION("""COMPUTED_VALUE"""),3750.0)</f>
        <v>3750</v>
      </c>
      <c r="F24" s="2">
        <f>IFERROR(__xludf.DUMMYFUNCTION("""COMPUTED_VALUE"""),4.36359E7)</f>
        <v>43635900</v>
      </c>
      <c r="G24" s="2">
        <f t="shared" si="1"/>
        <v>112.5</v>
      </c>
    </row>
    <row r="25" ht="15.75" customHeight="1">
      <c r="A25" s="1">
        <f>IFERROR(__xludf.DUMMYFUNCTION("""COMPUTED_VALUE"""),43865.66666666667)</f>
        <v>43865.66667</v>
      </c>
      <c r="B25" s="2">
        <f>IFERROR(__xludf.DUMMYFUNCTION("""COMPUTED_VALUE"""),3800.0)</f>
        <v>3800</v>
      </c>
      <c r="C25" s="2">
        <f>IFERROR(__xludf.DUMMYFUNCTION("""COMPUTED_VALUE"""),3837.5)</f>
        <v>3837.5</v>
      </c>
      <c r="D25" s="2">
        <f>IFERROR(__xludf.DUMMYFUNCTION("""COMPUTED_VALUE"""),3750.0)</f>
        <v>3750</v>
      </c>
      <c r="E25" s="2">
        <f>IFERROR(__xludf.DUMMYFUNCTION("""COMPUTED_VALUE"""),3762.5)</f>
        <v>3762.5</v>
      </c>
      <c r="F25" s="2">
        <f>IFERROR(__xludf.DUMMYFUNCTION("""COMPUTED_VALUE"""),6.94287E7)</f>
        <v>69428700</v>
      </c>
      <c r="G25" s="2">
        <f t="shared" si="1"/>
        <v>87.5</v>
      </c>
    </row>
    <row r="26" ht="15.75" customHeight="1">
      <c r="A26" s="1">
        <f>IFERROR(__xludf.DUMMYFUNCTION("""COMPUTED_VALUE"""),43866.66666666667)</f>
        <v>43866.66667</v>
      </c>
      <c r="B26" s="2">
        <f>IFERROR(__xludf.DUMMYFUNCTION("""COMPUTED_VALUE"""),3800.0)</f>
        <v>3800</v>
      </c>
      <c r="C26" s="2">
        <f>IFERROR(__xludf.DUMMYFUNCTION("""COMPUTED_VALUE"""),3850.0)</f>
        <v>3850</v>
      </c>
      <c r="D26" s="2">
        <f>IFERROR(__xludf.DUMMYFUNCTION("""COMPUTED_VALUE"""),3775.0)</f>
        <v>3775</v>
      </c>
      <c r="E26" s="2">
        <f>IFERROR(__xludf.DUMMYFUNCTION("""COMPUTED_VALUE"""),3850.0)</f>
        <v>3850</v>
      </c>
      <c r="F26" s="2">
        <f>IFERROR(__xludf.DUMMYFUNCTION("""COMPUTED_VALUE"""),6.51056E7)</f>
        <v>65105600</v>
      </c>
      <c r="G26" s="2">
        <f t="shared" si="1"/>
        <v>87.5</v>
      </c>
    </row>
    <row r="27" ht="15.75" customHeight="1">
      <c r="A27" s="1">
        <f>IFERROR(__xludf.DUMMYFUNCTION("""COMPUTED_VALUE"""),43867.66666666667)</f>
        <v>43867.66667</v>
      </c>
      <c r="B27" s="2">
        <f>IFERROR(__xludf.DUMMYFUNCTION("""COMPUTED_VALUE"""),3900.0)</f>
        <v>3900</v>
      </c>
      <c r="C27" s="2">
        <f>IFERROR(__xludf.DUMMYFUNCTION("""COMPUTED_VALUE"""),3925.0)</f>
        <v>3925</v>
      </c>
      <c r="D27" s="2">
        <f>IFERROR(__xludf.DUMMYFUNCTION("""COMPUTED_VALUE"""),3837.5)</f>
        <v>3837.5</v>
      </c>
      <c r="E27" s="2">
        <f>IFERROR(__xludf.DUMMYFUNCTION("""COMPUTED_VALUE"""),3850.0)</f>
        <v>3850</v>
      </c>
      <c r="F27" s="2">
        <f>IFERROR(__xludf.DUMMYFUNCTION("""COMPUTED_VALUE"""),5.55147E7)</f>
        <v>55514700</v>
      </c>
      <c r="G27" s="2">
        <f t="shared" si="1"/>
        <v>87.5</v>
      </c>
    </row>
    <row r="28" ht="15.75" customHeight="1">
      <c r="A28" s="1">
        <f>IFERROR(__xludf.DUMMYFUNCTION("""COMPUTED_VALUE"""),43868.66666666667)</f>
        <v>43868.66667</v>
      </c>
      <c r="B28" s="2">
        <f>IFERROR(__xludf.DUMMYFUNCTION("""COMPUTED_VALUE"""),3837.5)</f>
        <v>3837.5</v>
      </c>
      <c r="C28" s="2">
        <f>IFERROR(__xludf.DUMMYFUNCTION("""COMPUTED_VALUE"""),3875.0)</f>
        <v>3875</v>
      </c>
      <c r="D28" s="2">
        <f>IFERROR(__xludf.DUMMYFUNCTION("""COMPUTED_VALUE"""),3837.5)</f>
        <v>3837.5</v>
      </c>
      <c r="E28" s="2">
        <f>IFERROR(__xludf.DUMMYFUNCTION("""COMPUTED_VALUE"""),3862.5)</f>
        <v>3862.5</v>
      </c>
      <c r="F28" s="2">
        <f>IFERROR(__xludf.DUMMYFUNCTION("""COMPUTED_VALUE"""),4.32193E7)</f>
        <v>43219300</v>
      </c>
      <c r="G28" s="2">
        <f t="shared" si="1"/>
        <v>37.5</v>
      </c>
    </row>
    <row r="29" ht="15.75" customHeight="1">
      <c r="A29" s="1">
        <f>IFERROR(__xludf.DUMMYFUNCTION("""COMPUTED_VALUE"""),43871.66666666667)</f>
        <v>43871.66667</v>
      </c>
      <c r="B29" s="2">
        <f>IFERROR(__xludf.DUMMYFUNCTION("""COMPUTED_VALUE"""),3850.0)</f>
        <v>3850</v>
      </c>
      <c r="C29" s="2">
        <f>IFERROR(__xludf.DUMMYFUNCTION("""COMPUTED_VALUE"""),3875.0)</f>
        <v>3875</v>
      </c>
      <c r="D29" s="2">
        <f>IFERROR(__xludf.DUMMYFUNCTION("""COMPUTED_VALUE"""),3800.0)</f>
        <v>3800</v>
      </c>
      <c r="E29" s="2">
        <f>IFERROR(__xludf.DUMMYFUNCTION("""COMPUTED_VALUE"""),3862.5)</f>
        <v>3862.5</v>
      </c>
      <c r="F29" s="2">
        <f>IFERROR(__xludf.DUMMYFUNCTION("""COMPUTED_VALUE"""),3.92769E7)</f>
        <v>39276900</v>
      </c>
      <c r="G29" s="2">
        <f t="shared" si="1"/>
        <v>75</v>
      </c>
    </row>
    <row r="30" ht="15.75" customHeight="1">
      <c r="A30" s="1">
        <f>IFERROR(__xludf.DUMMYFUNCTION("""COMPUTED_VALUE"""),43872.66666666667)</f>
        <v>43872.66667</v>
      </c>
      <c r="B30" s="2">
        <f>IFERROR(__xludf.DUMMYFUNCTION("""COMPUTED_VALUE"""),3862.5)</f>
        <v>3862.5</v>
      </c>
      <c r="C30" s="2">
        <f>IFERROR(__xludf.DUMMYFUNCTION("""COMPUTED_VALUE"""),3912.5)</f>
        <v>3912.5</v>
      </c>
      <c r="D30" s="2">
        <f>IFERROR(__xludf.DUMMYFUNCTION("""COMPUTED_VALUE"""),3837.5)</f>
        <v>3837.5</v>
      </c>
      <c r="E30" s="2">
        <f>IFERROR(__xludf.DUMMYFUNCTION("""COMPUTED_VALUE"""),3887.5)</f>
        <v>3887.5</v>
      </c>
      <c r="F30" s="2">
        <f>IFERROR(__xludf.DUMMYFUNCTION("""COMPUTED_VALUE"""),4.92601E7)</f>
        <v>49260100</v>
      </c>
      <c r="G30" s="2">
        <f t="shared" si="1"/>
        <v>75</v>
      </c>
    </row>
    <row r="31" ht="15.75" customHeight="1">
      <c r="A31" s="1">
        <f>IFERROR(__xludf.DUMMYFUNCTION("""COMPUTED_VALUE"""),43873.66666666667)</f>
        <v>43873.66667</v>
      </c>
      <c r="B31" s="2">
        <f>IFERROR(__xludf.DUMMYFUNCTION("""COMPUTED_VALUE"""),3912.5)</f>
        <v>3912.5</v>
      </c>
      <c r="C31" s="2">
        <f>IFERROR(__xludf.DUMMYFUNCTION("""COMPUTED_VALUE"""),3950.0)</f>
        <v>3950</v>
      </c>
      <c r="D31" s="2">
        <f>IFERROR(__xludf.DUMMYFUNCTION("""COMPUTED_VALUE"""),3887.5)</f>
        <v>3887.5</v>
      </c>
      <c r="E31" s="2">
        <f>IFERROR(__xludf.DUMMYFUNCTION("""COMPUTED_VALUE"""),3900.0)</f>
        <v>3900</v>
      </c>
      <c r="F31" s="2">
        <f>IFERROR(__xludf.DUMMYFUNCTION("""COMPUTED_VALUE"""),5.23394E7)</f>
        <v>52339400</v>
      </c>
      <c r="G31" s="2">
        <f t="shared" si="1"/>
        <v>62.5</v>
      </c>
    </row>
    <row r="32" ht="15.75" customHeight="1">
      <c r="A32" s="1">
        <f>IFERROR(__xludf.DUMMYFUNCTION("""COMPUTED_VALUE"""),43874.66666666667)</f>
        <v>43874.66667</v>
      </c>
      <c r="B32" s="2">
        <f>IFERROR(__xludf.DUMMYFUNCTION("""COMPUTED_VALUE"""),3912.5)</f>
        <v>3912.5</v>
      </c>
      <c r="C32" s="2">
        <f>IFERROR(__xludf.DUMMYFUNCTION("""COMPUTED_VALUE"""),3975.0)</f>
        <v>3975</v>
      </c>
      <c r="D32" s="2">
        <f>IFERROR(__xludf.DUMMYFUNCTION("""COMPUTED_VALUE"""),3900.0)</f>
        <v>3900</v>
      </c>
      <c r="E32" s="2">
        <f>IFERROR(__xludf.DUMMYFUNCTION("""COMPUTED_VALUE"""),3925.0)</f>
        <v>3925</v>
      </c>
      <c r="F32" s="2">
        <f>IFERROR(__xludf.DUMMYFUNCTION("""COMPUTED_VALUE"""),4.3952E7)</f>
        <v>43952000</v>
      </c>
      <c r="G32" s="2">
        <f t="shared" si="1"/>
        <v>75</v>
      </c>
    </row>
    <row r="33" ht="15.75" customHeight="1">
      <c r="A33" s="1">
        <f>IFERROR(__xludf.DUMMYFUNCTION("""COMPUTED_VALUE"""),43875.66666666667)</f>
        <v>43875.66667</v>
      </c>
      <c r="B33" s="2">
        <f>IFERROR(__xludf.DUMMYFUNCTION("""COMPUTED_VALUE"""),3875.0)</f>
        <v>3875</v>
      </c>
      <c r="C33" s="2">
        <f>IFERROR(__xludf.DUMMYFUNCTION("""COMPUTED_VALUE"""),3925.0)</f>
        <v>3925</v>
      </c>
      <c r="D33" s="2">
        <f>IFERROR(__xludf.DUMMYFUNCTION("""COMPUTED_VALUE"""),3875.0)</f>
        <v>3875</v>
      </c>
      <c r="E33" s="2">
        <f>IFERROR(__xludf.DUMMYFUNCTION("""COMPUTED_VALUE"""),3912.5)</f>
        <v>3912.5</v>
      </c>
      <c r="F33" s="2">
        <f>IFERROR(__xludf.DUMMYFUNCTION("""COMPUTED_VALUE"""),2.06726E7)</f>
        <v>20672600</v>
      </c>
      <c r="G33" s="2">
        <f t="shared" si="1"/>
        <v>50</v>
      </c>
    </row>
    <row r="34" ht="15.75" customHeight="1">
      <c r="A34" s="1">
        <f>IFERROR(__xludf.DUMMYFUNCTION("""COMPUTED_VALUE"""),43878.66666666667)</f>
        <v>43878.66667</v>
      </c>
      <c r="B34" s="2">
        <f>IFERROR(__xludf.DUMMYFUNCTION("""COMPUTED_VALUE"""),3925.0)</f>
        <v>3925</v>
      </c>
      <c r="C34" s="2">
        <f>IFERROR(__xludf.DUMMYFUNCTION("""COMPUTED_VALUE"""),3937.5)</f>
        <v>3937.5</v>
      </c>
      <c r="D34" s="2">
        <f>IFERROR(__xludf.DUMMYFUNCTION("""COMPUTED_VALUE"""),3900.0)</f>
        <v>3900</v>
      </c>
      <c r="E34" s="2">
        <f>IFERROR(__xludf.DUMMYFUNCTION("""COMPUTED_VALUE"""),3925.0)</f>
        <v>3925</v>
      </c>
      <c r="F34" s="2">
        <f>IFERROR(__xludf.DUMMYFUNCTION("""COMPUTED_VALUE"""),1.49083E7)</f>
        <v>14908300</v>
      </c>
      <c r="G34" s="2">
        <f t="shared" si="1"/>
        <v>37.5</v>
      </c>
    </row>
    <row r="35" ht="15.75" customHeight="1">
      <c r="A35" s="1">
        <f>IFERROR(__xludf.DUMMYFUNCTION("""COMPUTED_VALUE"""),43879.66666666667)</f>
        <v>43879.66667</v>
      </c>
      <c r="B35" s="2">
        <f>IFERROR(__xludf.DUMMYFUNCTION("""COMPUTED_VALUE"""),3900.0)</f>
        <v>3900</v>
      </c>
      <c r="C35" s="2">
        <f>IFERROR(__xludf.DUMMYFUNCTION("""COMPUTED_VALUE"""),3925.0)</f>
        <v>3925</v>
      </c>
      <c r="D35" s="2">
        <f>IFERROR(__xludf.DUMMYFUNCTION("""COMPUTED_VALUE"""),3900.0)</f>
        <v>3900</v>
      </c>
      <c r="E35" s="2">
        <f>IFERROR(__xludf.DUMMYFUNCTION("""COMPUTED_VALUE"""),3912.5)</f>
        <v>3912.5</v>
      </c>
      <c r="F35" s="2">
        <f>IFERROR(__xludf.DUMMYFUNCTION("""COMPUTED_VALUE"""),3.2721E7)</f>
        <v>32721000</v>
      </c>
      <c r="G35" s="2">
        <f t="shared" si="1"/>
        <v>25</v>
      </c>
    </row>
    <row r="36" ht="15.75" customHeight="1">
      <c r="A36" s="1">
        <f>IFERROR(__xludf.DUMMYFUNCTION("""COMPUTED_VALUE"""),43880.66666666667)</f>
        <v>43880.66667</v>
      </c>
      <c r="B36" s="2">
        <f>IFERROR(__xludf.DUMMYFUNCTION("""COMPUTED_VALUE"""),3925.0)</f>
        <v>3925</v>
      </c>
      <c r="C36" s="2">
        <f>IFERROR(__xludf.DUMMYFUNCTION("""COMPUTED_VALUE"""),3975.0)</f>
        <v>3975</v>
      </c>
      <c r="D36" s="2">
        <f>IFERROR(__xludf.DUMMYFUNCTION("""COMPUTED_VALUE"""),3900.0)</f>
        <v>3900</v>
      </c>
      <c r="E36" s="2">
        <f>IFERROR(__xludf.DUMMYFUNCTION("""COMPUTED_VALUE"""),3975.0)</f>
        <v>3975</v>
      </c>
      <c r="F36" s="2">
        <f>IFERROR(__xludf.DUMMYFUNCTION("""COMPUTED_VALUE"""),6.08071E7)</f>
        <v>60807100</v>
      </c>
      <c r="G36" s="2">
        <f t="shared" si="1"/>
        <v>75</v>
      </c>
    </row>
    <row r="37" ht="15.75" customHeight="1">
      <c r="A37" s="1">
        <f>IFERROR(__xludf.DUMMYFUNCTION("""COMPUTED_VALUE"""),43881.66666666667)</f>
        <v>43881.66667</v>
      </c>
      <c r="B37" s="2">
        <f>IFERROR(__xludf.DUMMYFUNCTION("""COMPUTED_VALUE"""),4012.5)</f>
        <v>4012.5</v>
      </c>
      <c r="C37" s="2">
        <f>IFERROR(__xludf.DUMMYFUNCTION("""COMPUTED_VALUE"""),4025.0)</f>
        <v>4025</v>
      </c>
      <c r="D37" s="2">
        <f>IFERROR(__xludf.DUMMYFUNCTION("""COMPUTED_VALUE"""),3962.5)</f>
        <v>3962.5</v>
      </c>
      <c r="E37" s="2">
        <f>IFERROR(__xludf.DUMMYFUNCTION("""COMPUTED_VALUE"""),4000.0)</f>
        <v>4000</v>
      </c>
      <c r="F37" s="2">
        <f>IFERROR(__xludf.DUMMYFUNCTION("""COMPUTED_VALUE"""),5.72688E7)</f>
        <v>57268800</v>
      </c>
      <c r="G37" s="2">
        <f t="shared" si="1"/>
        <v>62.5</v>
      </c>
    </row>
    <row r="38" ht="15.75" customHeight="1">
      <c r="A38" s="1">
        <f>IFERROR(__xludf.DUMMYFUNCTION("""COMPUTED_VALUE"""),43882.66666666667)</f>
        <v>43882.66667</v>
      </c>
      <c r="B38" s="2">
        <f>IFERROR(__xludf.DUMMYFUNCTION("""COMPUTED_VALUE"""),3975.0)</f>
        <v>3975</v>
      </c>
      <c r="C38" s="2">
        <f>IFERROR(__xludf.DUMMYFUNCTION("""COMPUTED_VALUE"""),4000.0)</f>
        <v>4000</v>
      </c>
      <c r="D38" s="2">
        <f>IFERROR(__xludf.DUMMYFUNCTION("""COMPUTED_VALUE"""),3912.5)</f>
        <v>3912.5</v>
      </c>
      <c r="E38" s="2">
        <f>IFERROR(__xludf.DUMMYFUNCTION("""COMPUTED_VALUE"""),3950.0)</f>
        <v>3950</v>
      </c>
      <c r="F38" s="2">
        <f>IFERROR(__xludf.DUMMYFUNCTION("""COMPUTED_VALUE"""),4.5899E7)</f>
        <v>45899000</v>
      </c>
      <c r="G38" s="2">
        <f t="shared" si="1"/>
        <v>87.5</v>
      </c>
    </row>
    <row r="39" ht="15.75" customHeight="1">
      <c r="A39" s="1">
        <f>IFERROR(__xludf.DUMMYFUNCTION("""COMPUTED_VALUE"""),43885.66666666667)</f>
        <v>43885.66667</v>
      </c>
      <c r="B39" s="2">
        <f>IFERROR(__xludf.DUMMYFUNCTION("""COMPUTED_VALUE"""),3900.0)</f>
        <v>3900</v>
      </c>
      <c r="C39" s="2">
        <f>IFERROR(__xludf.DUMMYFUNCTION("""COMPUTED_VALUE"""),3912.5)</f>
        <v>3912.5</v>
      </c>
      <c r="D39" s="2">
        <f>IFERROR(__xludf.DUMMYFUNCTION("""COMPUTED_VALUE"""),3825.0)</f>
        <v>3825</v>
      </c>
      <c r="E39" s="2">
        <f>IFERROR(__xludf.DUMMYFUNCTION("""COMPUTED_VALUE"""),3887.5)</f>
        <v>3887.5</v>
      </c>
      <c r="F39" s="2">
        <f>IFERROR(__xludf.DUMMYFUNCTION("""COMPUTED_VALUE"""),6.43844E7)</f>
        <v>64384400</v>
      </c>
      <c r="G39" s="2">
        <f t="shared" si="1"/>
        <v>125</v>
      </c>
    </row>
    <row r="40" ht="15.75" customHeight="1">
      <c r="A40" s="1">
        <f>IFERROR(__xludf.DUMMYFUNCTION("""COMPUTED_VALUE"""),43886.66666666667)</f>
        <v>43886.66667</v>
      </c>
      <c r="B40" s="2">
        <f>IFERROR(__xludf.DUMMYFUNCTION("""COMPUTED_VALUE"""),3887.5)</f>
        <v>3887.5</v>
      </c>
      <c r="C40" s="2">
        <f>IFERROR(__xludf.DUMMYFUNCTION("""COMPUTED_VALUE"""),3950.0)</f>
        <v>3950</v>
      </c>
      <c r="D40" s="2">
        <f>IFERROR(__xludf.DUMMYFUNCTION("""COMPUTED_VALUE"""),3850.0)</f>
        <v>3850</v>
      </c>
      <c r="E40" s="2">
        <f>IFERROR(__xludf.DUMMYFUNCTION("""COMPUTED_VALUE"""),3900.0)</f>
        <v>3900</v>
      </c>
      <c r="F40" s="2">
        <f>IFERROR(__xludf.DUMMYFUNCTION("""COMPUTED_VALUE"""),5.29759E7)</f>
        <v>52975900</v>
      </c>
      <c r="G40" s="2">
        <f t="shared" si="1"/>
        <v>100</v>
      </c>
    </row>
    <row r="41" ht="15.75" customHeight="1">
      <c r="A41" s="1">
        <f>IFERROR(__xludf.DUMMYFUNCTION("""COMPUTED_VALUE"""),43887.66666666667)</f>
        <v>43887.66667</v>
      </c>
      <c r="B41" s="2">
        <f>IFERROR(__xludf.DUMMYFUNCTION("""COMPUTED_VALUE"""),3875.0)</f>
        <v>3875</v>
      </c>
      <c r="C41" s="2">
        <f>IFERROR(__xludf.DUMMYFUNCTION("""COMPUTED_VALUE"""),3875.0)</f>
        <v>3875</v>
      </c>
      <c r="D41" s="2">
        <f>IFERROR(__xludf.DUMMYFUNCTION("""COMPUTED_VALUE"""),3825.0)</f>
        <v>3825</v>
      </c>
      <c r="E41" s="2">
        <f>IFERROR(__xludf.DUMMYFUNCTION("""COMPUTED_VALUE"""),3825.0)</f>
        <v>3825</v>
      </c>
      <c r="F41" s="2">
        <f>IFERROR(__xludf.DUMMYFUNCTION("""COMPUTED_VALUE"""),9.90855E7)</f>
        <v>99085500</v>
      </c>
      <c r="G41" s="2">
        <f t="shared" si="1"/>
        <v>75</v>
      </c>
    </row>
    <row r="42" ht="15.75" customHeight="1">
      <c r="A42" s="1">
        <f>IFERROR(__xludf.DUMMYFUNCTION("""COMPUTED_VALUE"""),43888.66666666667)</f>
        <v>43888.66667</v>
      </c>
      <c r="B42" s="2">
        <f>IFERROR(__xludf.DUMMYFUNCTION("""COMPUTED_VALUE"""),3825.0)</f>
        <v>3825</v>
      </c>
      <c r="C42" s="2">
        <f>IFERROR(__xludf.DUMMYFUNCTION("""COMPUTED_VALUE"""),3850.0)</f>
        <v>3850</v>
      </c>
      <c r="D42" s="2">
        <f>IFERROR(__xludf.DUMMYFUNCTION("""COMPUTED_VALUE"""),3625.0)</f>
        <v>3625</v>
      </c>
      <c r="E42" s="2">
        <f>IFERROR(__xludf.DUMMYFUNCTION("""COMPUTED_VALUE"""),3675.0)</f>
        <v>3675</v>
      </c>
      <c r="F42" s="2">
        <f>IFERROR(__xludf.DUMMYFUNCTION("""COMPUTED_VALUE"""),1.115443E8)</f>
        <v>111544300</v>
      </c>
      <c r="G42" s="2">
        <f t="shared" si="1"/>
        <v>225</v>
      </c>
    </row>
    <row r="43" ht="15.75" customHeight="1">
      <c r="A43" s="1">
        <f>IFERROR(__xludf.DUMMYFUNCTION("""COMPUTED_VALUE"""),43889.66666666667)</f>
        <v>43889.66667</v>
      </c>
      <c r="B43" s="2">
        <f>IFERROR(__xludf.DUMMYFUNCTION("""COMPUTED_VALUE"""),3375.0)</f>
        <v>3375</v>
      </c>
      <c r="C43" s="2">
        <f>IFERROR(__xludf.DUMMYFUNCTION("""COMPUTED_VALUE"""),3637.5)</f>
        <v>3637.5</v>
      </c>
      <c r="D43" s="2">
        <f>IFERROR(__xludf.DUMMYFUNCTION("""COMPUTED_VALUE"""),3275.0)</f>
        <v>3275</v>
      </c>
      <c r="E43" s="2">
        <f>IFERROR(__xludf.DUMMYFUNCTION("""COMPUTED_VALUE"""),3637.5)</f>
        <v>3637.5</v>
      </c>
      <c r="F43" s="2">
        <f>IFERROR(__xludf.DUMMYFUNCTION("""COMPUTED_VALUE"""),9.44341E7)</f>
        <v>94434100</v>
      </c>
      <c r="G43" s="2">
        <f t="shared" si="1"/>
        <v>400</v>
      </c>
    </row>
    <row r="44" ht="15.75" customHeight="1">
      <c r="A44" s="1">
        <f>IFERROR(__xludf.DUMMYFUNCTION("""COMPUTED_VALUE"""),43892.66666666667)</f>
        <v>43892.66667</v>
      </c>
      <c r="B44" s="2">
        <f>IFERROR(__xludf.DUMMYFUNCTION("""COMPUTED_VALUE"""),3575.0)</f>
        <v>3575</v>
      </c>
      <c r="C44" s="2">
        <f>IFERROR(__xludf.DUMMYFUNCTION("""COMPUTED_VALUE"""),3625.0)</f>
        <v>3625</v>
      </c>
      <c r="D44" s="2">
        <f>IFERROR(__xludf.DUMMYFUNCTION("""COMPUTED_VALUE"""),3475.0)</f>
        <v>3475</v>
      </c>
      <c r="E44" s="2">
        <f>IFERROR(__xludf.DUMMYFUNCTION("""COMPUTED_VALUE"""),3475.0)</f>
        <v>3475</v>
      </c>
      <c r="F44" s="2">
        <f>IFERROR(__xludf.DUMMYFUNCTION("""COMPUTED_VALUE"""),5.07751E7)</f>
        <v>50775100</v>
      </c>
      <c r="G44" s="2">
        <f t="shared" si="1"/>
        <v>162.5</v>
      </c>
    </row>
    <row r="45" ht="15.75" customHeight="1">
      <c r="A45" s="1">
        <f>IFERROR(__xludf.DUMMYFUNCTION("""COMPUTED_VALUE"""),43893.66666666667)</f>
        <v>43893.66667</v>
      </c>
      <c r="B45" s="2">
        <f>IFERROR(__xludf.DUMMYFUNCTION("""COMPUTED_VALUE"""),3550.0)</f>
        <v>3550</v>
      </c>
      <c r="C45" s="2">
        <f>IFERROR(__xludf.DUMMYFUNCTION("""COMPUTED_VALUE"""),3675.0)</f>
        <v>3675</v>
      </c>
      <c r="D45" s="2">
        <f>IFERROR(__xludf.DUMMYFUNCTION("""COMPUTED_VALUE"""),3512.5)</f>
        <v>3512.5</v>
      </c>
      <c r="E45" s="2">
        <f>IFERROR(__xludf.DUMMYFUNCTION("""COMPUTED_VALUE"""),3600.0)</f>
        <v>3600</v>
      </c>
      <c r="F45" s="2">
        <f>IFERROR(__xludf.DUMMYFUNCTION("""COMPUTED_VALUE"""),4.82226E7)</f>
        <v>48222600</v>
      </c>
      <c r="G45" s="2">
        <f t="shared" si="1"/>
        <v>200</v>
      </c>
    </row>
    <row r="46" ht="15.75" customHeight="1">
      <c r="A46" s="1">
        <f>IFERROR(__xludf.DUMMYFUNCTION("""COMPUTED_VALUE"""),43894.66666666667)</f>
        <v>43894.66667</v>
      </c>
      <c r="B46" s="2">
        <f>IFERROR(__xludf.DUMMYFUNCTION("""COMPUTED_VALUE"""),3625.0)</f>
        <v>3625</v>
      </c>
      <c r="C46" s="2">
        <f>IFERROR(__xludf.DUMMYFUNCTION("""COMPUTED_VALUE"""),3750.0)</f>
        <v>3750</v>
      </c>
      <c r="D46" s="2">
        <f>IFERROR(__xludf.DUMMYFUNCTION("""COMPUTED_VALUE"""),3612.5)</f>
        <v>3612.5</v>
      </c>
      <c r="E46" s="2">
        <f>IFERROR(__xludf.DUMMYFUNCTION("""COMPUTED_VALUE"""),3737.5)</f>
        <v>3737.5</v>
      </c>
      <c r="F46" s="2">
        <f>IFERROR(__xludf.DUMMYFUNCTION("""COMPUTED_VALUE"""),4.62777E7)</f>
        <v>46277700</v>
      </c>
      <c r="G46" s="2">
        <f t="shared" si="1"/>
        <v>150</v>
      </c>
    </row>
    <row r="47" ht="15.75" customHeight="1">
      <c r="A47" s="1">
        <f>IFERROR(__xludf.DUMMYFUNCTION("""COMPUTED_VALUE"""),43895.66666666667)</f>
        <v>43895.66667</v>
      </c>
      <c r="B47" s="2">
        <f>IFERROR(__xludf.DUMMYFUNCTION("""COMPUTED_VALUE"""),3775.0)</f>
        <v>3775</v>
      </c>
      <c r="C47" s="2">
        <f>IFERROR(__xludf.DUMMYFUNCTION("""COMPUTED_VALUE"""),3825.0)</f>
        <v>3825</v>
      </c>
      <c r="D47" s="2">
        <f>IFERROR(__xludf.DUMMYFUNCTION("""COMPUTED_VALUE"""),3750.0)</f>
        <v>3750</v>
      </c>
      <c r="E47" s="2">
        <f>IFERROR(__xludf.DUMMYFUNCTION("""COMPUTED_VALUE"""),3800.0)</f>
        <v>3800</v>
      </c>
      <c r="F47" s="2">
        <f>IFERROR(__xludf.DUMMYFUNCTION("""COMPUTED_VALUE"""),5.23743E7)</f>
        <v>52374300</v>
      </c>
      <c r="G47" s="2">
        <f t="shared" si="1"/>
        <v>87.5</v>
      </c>
    </row>
    <row r="48" ht="15.75" customHeight="1">
      <c r="A48" s="1">
        <f>IFERROR(__xludf.DUMMYFUNCTION("""COMPUTED_VALUE"""),43896.66666666667)</f>
        <v>43896.66667</v>
      </c>
      <c r="B48" s="2">
        <f>IFERROR(__xludf.DUMMYFUNCTION("""COMPUTED_VALUE"""),3700.0)</f>
        <v>3700</v>
      </c>
      <c r="C48" s="2">
        <f>IFERROR(__xludf.DUMMYFUNCTION("""COMPUTED_VALUE"""),3700.0)</f>
        <v>3700</v>
      </c>
      <c r="D48" s="2">
        <f>IFERROR(__xludf.DUMMYFUNCTION("""COMPUTED_VALUE"""),3612.5)</f>
        <v>3612.5</v>
      </c>
      <c r="E48" s="2">
        <f>IFERROR(__xludf.DUMMYFUNCTION("""COMPUTED_VALUE"""),3625.0)</f>
        <v>3625</v>
      </c>
      <c r="F48" s="2">
        <f>IFERROR(__xludf.DUMMYFUNCTION("""COMPUTED_VALUE"""),3.61556E7)</f>
        <v>36155600</v>
      </c>
      <c r="G48" s="2">
        <f t="shared" si="1"/>
        <v>187.5</v>
      </c>
    </row>
    <row r="49" ht="15.75" customHeight="1">
      <c r="A49" s="1">
        <f>IFERROR(__xludf.DUMMYFUNCTION("""COMPUTED_VALUE"""),43899.66666666667)</f>
        <v>43899.66667</v>
      </c>
      <c r="B49" s="2">
        <f>IFERROR(__xludf.DUMMYFUNCTION("""COMPUTED_VALUE"""),3500.0)</f>
        <v>3500</v>
      </c>
      <c r="C49" s="2">
        <f>IFERROR(__xludf.DUMMYFUNCTION("""COMPUTED_VALUE"""),3500.0)</f>
        <v>3500</v>
      </c>
      <c r="D49" s="2">
        <f>IFERROR(__xludf.DUMMYFUNCTION("""COMPUTED_VALUE"""),3287.5)</f>
        <v>3287.5</v>
      </c>
      <c r="E49" s="2">
        <f>IFERROR(__xludf.DUMMYFUNCTION("""COMPUTED_VALUE"""),3287.5)</f>
        <v>3287.5</v>
      </c>
      <c r="F49" s="2">
        <f>IFERROR(__xludf.DUMMYFUNCTION("""COMPUTED_VALUE"""),5.65662E7)</f>
        <v>56566200</v>
      </c>
      <c r="G49" s="2">
        <f t="shared" si="1"/>
        <v>337.5</v>
      </c>
    </row>
    <row r="50" ht="15.75" customHeight="1">
      <c r="A50" s="1">
        <f>IFERROR(__xludf.DUMMYFUNCTION("""COMPUTED_VALUE"""),43900.66666666667)</f>
        <v>43900.66667</v>
      </c>
      <c r="B50" s="2">
        <f>IFERROR(__xludf.DUMMYFUNCTION("""COMPUTED_VALUE"""),3325.0)</f>
        <v>3325</v>
      </c>
      <c r="C50" s="2">
        <f>IFERROR(__xludf.DUMMYFUNCTION("""COMPUTED_VALUE"""),3500.0)</f>
        <v>3500</v>
      </c>
      <c r="D50" s="2">
        <f>IFERROR(__xludf.DUMMYFUNCTION("""COMPUTED_VALUE"""),3325.0)</f>
        <v>3325</v>
      </c>
      <c r="E50" s="2">
        <f>IFERROR(__xludf.DUMMYFUNCTION("""COMPUTED_VALUE"""),3437.5)</f>
        <v>3437.5</v>
      </c>
      <c r="F50" s="2">
        <f>IFERROR(__xludf.DUMMYFUNCTION("""COMPUTED_VALUE"""),5.7026E7)</f>
        <v>57026000</v>
      </c>
      <c r="G50" s="2">
        <f t="shared" si="1"/>
        <v>212.5</v>
      </c>
    </row>
    <row r="51" ht="15.75" customHeight="1">
      <c r="A51" s="1">
        <f>IFERROR(__xludf.DUMMYFUNCTION("""COMPUTED_VALUE"""),43901.66666666667)</f>
        <v>43901.66667</v>
      </c>
      <c r="B51" s="2">
        <f>IFERROR(__xludf.DUMMYFUNCTION("""COMPUTED_VALUE"""),3462.5)</f>
        <v>3462.5</v>
      </c>
      <c r="C51" s="2">
        <f>IFERROR(__xludf.DUMMYFUNCTION("""COMPUTED_VALUE"""),3525.0)</f>
        <v>3525</v>
      </c>
      <c r="D51" s="2">
        <f>IFERROR(__xludf.DUMMYFUNCTION("""COMPUTED_VALUE"""),3312.5)</f>
        <v>3312.5</v>
      </c>
      <c r="E51" s="2">
        <f>IFERROR(__xludf.DUMMYFUNCTION("""COMPUTED_VALUE"""),3412.5)</f>
        <v>3412.5</v>
      </c>
      <c r="F51" s="2">
        <f>IFERROR(__xludf.DUMMYFUNCTION("""COMPUTED_VALUE"""),4.85844E7)</f>
        <v>48584400</v>
      </c>
      <c r="G51" s="2">
        <f t="shared" si="1"/>
        <v>212.5</v>
      </c>
    </row>
    <row r="52" ht="15.75" customHeight="1">
      <c r="A52" s="1">
        <f>IFERROR(__xludf.DUMMYFUNCTION("""COMPUTED_VALUE"""),43902.66666666667)</f>
        <v>43902.66667</v>
      </c>
      <c r="B52" s="2">
        <f>IFERROR(__xludf.DUMMYFUNCTION("""COMPUTED_VALUE"""),3237.5)</f>
        <v>3237.5</v>
      </c>
      <c r="C52" s="2">
        <f>IFERROR(__xludf.DUMMYFUNCTION("""COMPUTED_VALUE"""),3337.5)</f>
        <v>3337.5</v>
      </c>
      <c r="D52" s="2">
        <f>IFERROR(__xludf.DUMMYFUNCTION("""COMPUTED_VALUE"""),3112.5)</f>
        <v>3112.5</v>
      </c>
      <c r="E52" s="2">
        <f>IFERROR(__xludf.DUMMYFUNCTION("""COMPUTED_VALUE"""),3212.5)</f>
        <v>3212.5</v>
      </c>
      <c r="F52" s="2">
        <f>IFERROR(__xludf.DUMMYFUNCTION("""COMPUTED_VALUE"""),4.57891E7)</f>
        <v>45789100</v>
      </c>
      <c r="G52" s="2">
        <f t="shared" si="1"/>
        <v>300</v>
      </c>
    </row>
    <row r="53" ht="15.75" customHeight="1">
      <c r="A53" s="1">
        <f>IFERROR(__xludf.DUMMYFUNCTION("""COMPUTED_VALUE"""),43903.66666666667)</f>
        <v>43903.66667</v>
      </c>
      <c r="B53" s="2">
        <f>IFERROR(__xludf.DUMMYFUNCTION("""COMPUTED_VALUE"""),3100.0)</f>
        <v>3100</v>
      </c>
      <c r="C53" s="2">
        <f>IFERROR(__xludf.DUMMYFUNCTION("""COMPUTED_VALUE"""),3237.5)</f>
        <v>3237.5</v>
      </c>
      <c r="D53" s="2">
        <f>IFERROR(__xludf.DUMMYFUNCTION("""COMPUTED_VALUE"""),3000.0)</f>
        <v>3000</v>
      </c>
      <c r="E53" s="2">
        <f>IFERROR(__xludf.DUMMYFUNCTION("""COMPUTED_VALUE"""),3175.0)</f>
        <v>3175</v>
      </c>
      <c r="F53" s="2">
        <f>IFERROR(__xludf.DUMMYFUNCTION("""COMPUTED_VALUE"""),1.193119E8)</f>
        <v>119311900</v>
      </c>
      <c r="G53" s="2">
        <f t="shared" si="1"/>
        <v>237.5</v>
      </c>
    </row>
    <row r="54" ht="15.75" customHeight="1">
      <c r="A54" s="1">
        <f>IFERROR(__xludf.DUMMYFUNCTION("""COMPUTED_VALUE"""),43906.66666666667)</f>
        <v>43906.66667</v>
      </c>
      <c r="B54" s="2">
        <f>IFERROR(__xludf.DUMMYFUNCTION("""COMPUTED_VALUE"""),3100.0)</f>
        <v>3100</v>
      </c>
      <c r="C54" s="2">
        <f>IFERROR(__xludf.DUMMYFUNCTION("""COMPUTED_VALUE"""),3100.0)</f>
        <v>3100</v>
      </c>
      <c r="D54" s="2">
        <f>IFERROR(__xludf.DUMMYFUNCTION("""COMPUTED_VALUE"""),2962.5)</f>
        <v>2962.5</v>
      </c>
      <c r="E54" s="2">
        <f>IFERROR(__xludf.DUMMYFUNCTION("""COMPUTED_VALUE"""),2962.5)</f>
        <v>2962.5</v>
      </c>
      <c r="F54" s="2">
        <f>IFERROR(__xludf.DUMMYFUNCTION("""COMPUTED_VALUE"""),6.11348E7)</f>
        <v>61134800</v>
      </c>
      <c r="G54" s="2">
        <f t="shared" si="1"/>
        <v>212.5</v>
      </c>
    </row>
    <row r="55" ht="15.75" customHeight="1">
      <c r="A55" s="1">
        <f>IFERROR(__xludf.DUMMYFUNCTION("""COMPUTED_VALUE"""),43907.66666666667)</f>
        <v>43907.66667</v>
      </c>
      <c r="B55" s="2">
        <f>IFERROR(__xludf.DUMMYFUNCTION("""COMPUTED_VALUE"""),2962.5)</f>
        <v>2962.5</v>
      </c>
      <c r="C55" s="2">
        <f>IFERROR(__xludf.DUMMYFUNCTION("""COMPUTED_VALUE"""),2962.5)</f>
        <v>2962.5</v>
      </c>
      <c r="D55" s="2">
        <f>IFERROR(__xludf.DUMMYFUNCTION("""COMPUTED_VALUE"""),2762.5)</f>
        <v>2762.5</v>
      </c>
      <c r="E55" s="2">
        <f>IFERROR(__xludf.DUMMYFUNCTION("""COMPUTED_VALUE"""),2762.5)</f>
        <v>2762.5</v>
      </c>
      <c r="F55" s="2">
        <f>IFERROR(__xludf.DUMMYFUNCTION("""COMPUTED_VALUE"""),9.31902E7)</f>
        <v>93190200</v>
      </c>
      <c r="G55" s="2">
        <f t="shared" si="1"/>
        <v>200</v>
      </c>
    </row>
    <row r="56" ht="15.75" customHeight="1">
      <c r="A56" s="1">
        <f>IFERROR(__xludf.DUMMYFUNCTION("""COMPUTED_VALUE"""),43908.66666666667)</f>
        <v>43908.66667</v>
      </c>
      <c r="B56" s="2">
        <f>IFERROR(__xludf.DUMMYFUNCTION("""COMPUTED_VALUE"""),2800.0)</f>
        <v>2800</v>
      </c>
      <c r="C56" s="2">
        <f>IFERROR(__xludf.DUMMYFUNCTION("""COMPUTED_VALUE"""),2825.0)</f>
        <v>2825</v>
      </c>
      <c r="D56" s="2">
        <f>IFERROR(__xludf.DUMMYFUNCTION("""COMPUTED_VALUE"""),2575.0)</f>
        <v>2575</v>
      </c>
      <c r="E56" s="2">
        <f>IFERROR(__xludf.DUMMYFUNCTION("""COMPUTED_VALUE"""),2575.0)</f>
        <v>2575</v>
      </c>
      <c r="F56" s="2">
        <f>IFERROR(__xludf.DUMMYFUNCTION("""COMPUTED_VALUE"""),1.075517E8)</f>
        <v>107551700</v>
      </c>
      <c r="G56" s="2">
        <f t="shared" si="1"/>
        <v>250</v>
      </c>
    </row>
    <row r="57" ht="15.75" customHeight="1">
      <c r="A57" s="1">
        <f>IFERROR(__xludf.DUMMYFUNCTION("""COMPUTED_VALUE"""),43909.66666666667)</f>
        <v>43909.66667</v>
      </c>
      <c r="B57" s="2">
        <f>IFERROR(__xludf.DUMMYFUNCTION("""COMPUTED_VALUE"""),2500.0)</f>
        <v>2500</v>
      </c>
      <c r="C57" s="2">
        <f>IFERROR(__xludf.DUMMYFUNCTION("""COMPUTED_VALUE"""),2500.0)</f>
        <v>2500</v>
      </c>
      <c r="D57" s="2">
        <f>IFERROR(__xludf.DUMMYFUNCTION("""COMPUTED_VALUE"""),2395.0)</f>
        <v>2395</v>
      </c>
      <c r="E57" s="2">
        <f>IFERROR(__xludf.DUMMYFUNCTION("""COMPUTED_VALUE"""),2395.0)</f>
        <v>2395</v>
      </c>
      <c r="F57" s="2">
        <f>IFERROR(__xludf.DUMMYFUNCTION("""COMPUTED_VALUE"""),8.39381E7)</f>
        <v>83938100</v>
      </c>
      <c r="G57" s="2">
        <f t="shared" si="1"/>
        <v>180</v>
      </c>
    </row>
    <row r="58" ht="15.75" customHeight="1">
      <c r="A58" s="1">
        <f>IFERROR(__xludf.DUMMYFUNCTION("""COMPUTED_VALUE"""),43910.66666666667)</f>
        <v>43910.66667</v>
      </c>
      <c r="B58" s="2">
        <f>IFERROR(__xludf.DUMMYFUNCTION("""COMPUTED_VALUE"""),2370.0)</f>
        <v>2370</v>
      </c>
      <c r="C58" s="2">
        <f>IFERROR(__xludf.DUMMYFUNCTION("""COMPUTED_VALUE"""),2370.0)</f>
        <v>2370</v>
      </c>
      <c r="D58" s="2">
        <f>IFERROR(__xludf.DUMMYFUNCTION("""COMPUTED_VALUE"""),2230.0)</f>
        <v>2230</v>
      </c>
      <c r="E58" s="2">
        <f>IFERROR(__xludf.DUMMYFUNCTION("""COMPUTED_VALUE"""),2230.0)</f>
        <v>2230</v>
      </c>
      <c r="F58" s="2">
        <f>IFERROR(__xludf.DUMMYFUNCTION("""COMPUTED_VALUE"""),2.391183E8)</f>
        <v>239118300</v>
      </c>
      <c r="G58" s="2">
        <f t="shared" si="1"/>
        <v>165</v>
      </c>
    </row>
    <row r="59" ht="15.75" customHeight="1">
      <c r="A59" s="1">
        <f>IFERROR(__xludf.DUMMYFUNCTION("""COMPUTED_VALUE"""),43913.66666666667)</f>
        <v>43913.66667</v>
      </c>
      <c r="B59" s="2">
        <f>IFERROR(__xludf.DUMMYFUNCTION("""COMPUTED_VALUE"""),2175.0)</f>
        <v>2175</v>
      </c>
      <c r="C59" s="2">
        <f>IFERROR(__xludf.DUMMYFUNCTION("""COMPUTED_VALUE"""),2175.0)</f>
        <v>2175</v>
      </c>
      <c r="D59" s="2">
        <f>IFERROR(__xludf.DUMMYFUNCTION("""COMPUTED_VALUE"""),2075.0)</f>
        <v>2075</v>
      </c>
      <c r="E59" s="2">
        <f>IFERROR(__xludf.DUMMYFUNCTION("""COMPUTED_VALUE"""),2075.0)</f>
        <v>2075</v>
      </c>
      <c r="F59" s="2">
        <f>IFERROR(__xludf.DUMMYFUNCTION("""COMPUTED_VALUE"""),2.99929E7)</f>
        <v>29992900</v>
      </c>
      <c r="G59" s="2">
        <f t="shared" si="1"/>
        <v>155</v>
      </c>
    </row>
    <row r="60" ht="15.75" customHeight="1">
      <c r="A60" s="1">
        <f>IFERROR(__xludf.DUMMYFUNCTION("""COMPUTED_VALUE"""),43914.66666666667)</f>
        <v>43914.66667</v>
      </c>
      <c r="B60" s="2">
        <f>IFERROR(__xludf.DUMMYFUNCTION("""COMPUTED_VALUE"""),2075.0)</f>
        <v>2075</v>
      </c>
      <c r="C60" s="2">
        <f>IFERROR(__xludf.DUMMYFUNCTION("""COMPUTED_VALUE"""),2115.0)</f>
        <v>2115</v>
      </c>
      <c r="D60" s="2">
        <f>IFERROR(__xludf.DUMMYFUNCTION("""COMPUTED_VALUE"""),1930.0)</f>
        <v>1930</v>
      </c>
      <c r="E60" s="2">
        <f>IFERROR(__xludf.DUMMYFUNCTION("""COMPUTED_VALUE"""),1930.0)</f>
        <v>1930</v>
      </c>
      <c r="F60" s="2">
        <f>IFERROR(__xludf.DUMMYFUNCTION("""COMPUTED_VALUE"""),1.186481E8)</f>
        <v>118648100</v>
      </c>
      <c r="G60" s="2">
        <f t="shared" si="1"/>
        <v>185</v>
      </c>
    </row>
    <row r="61" ht="15.75" customHeight="1">
      <c r="A61" s="1">
        <f>IFERROR(__xludf.DUMMYFUNCTION("""COMPUTED_VALUE"""),43916.66666666667)</f>
        <v>43916.66667</v>
      </c>
      <c r="B61" s="2">
        <f>IFERROR(__xludf.DUMMYFUNCTION("""COMPUTED_VALUE"""),1900.0)</f>
        <v>1900</v>
      </c>
      <c r="C61" s="2">
        <f>IFERROR(__xludf.DUMMYFUNCTION("""COMPUTED_VALUE"""),2290.0)</f>
        <v>2290</v>
      </c>
      <c r="D61" s="2">
        <f>IFERROR(__xludf.DUMMYFUNCTION("""COMPUTED_VALUE"""),1890.0)</f>
        <v>1890</v>
      </c>
      <c r="E61" s="2">
        <f>IFERROR(__xludf.DUMMYFUNCTION("""COMPUTED_VALUE"""),2235.0)</f>
        <v>2235</v>
      </c>
      <c r="F61" s="2">
        <f>IFERROR(__xludf.DUMMYFUNCTION("""COMPUTED_VALUE"""),1.932786E8)</f>
        <v>193278600</v>
      </c>
      <c r="G61" s="2">
        <f t="shared" si="1"/>
        <v>400</v>
      </c>
    </row>
    <row r="62" ht="15.75" customHeight="1">
      <c r="A62" s="1">
        <f>IFERROR(__xludf.DUMMYFUNCTION("""COMPUTED_VALUE"""),43917.66666666667)</f>
        <v>43917.66667</v>
      </c>
      <c r="B62" s="2">
        <f>IFERROR(__xludf.DUMMYFUNCTION("""COMPUTED_VALUE"""),2255.0)</f>
        <v>2255</v>
      </c>
      <c r="C62" s="2">
        <f>IFERROR(__xludf.DUMMYFUNCTION("""COMPUTED_VALUE"""),2612.5)</f>
        <v>2612.5</v>
      </c>
      <c r="D62" s="2">
        <f>IFERROR(__xludf.DUMMYFUNCTION("""COMPUTED_VALUE"""),2250.0)</f>
        <v>2250</v>
      </c>
      <c r="E62" s="2">
        <f>IFERROR(__xludf.DUMMYFUNCTION("""COMPUTED_VALUE"""),2470.0)</f>
        <v>2470</v>
      </c>
      <c r="F62" s="2">
        <f>IFERROR(__xludf.DUMMYFUNCTION("""COMPUTED_VALUE"""),1.98406E8)</f>
        <v>198406000</v>
      </c>
      <c r="G62" s="2">
        <f t="shared" si="1"/>
        <v>377.5</v>
      </c>
    </row>
    <row r="63" ht="15.75" customHeight="1">
      <c r="A63" s="1">
        <f>IFERROR(__xludf.DUMMYFUNCTION("""COMPUTED_VALUE"""),43920.66666666667)</f>
        <v>43920.66667</v>
      </c>
      <c r="B63" s="2">
        <f>IFERROR(__xludf.DUMMYFUNCTION("""COMPUTED_VALUE"""),2420.0)</f>
        <v>2420</v>
      </c>
      <c r="C63" s="2">
        <f>IFERROR(__xludf.DUMMYFUNCTION("""COMPUTED_VALUE"""),2420.0)</f>
        <v>2420</v>
      </c>
      <c r="D63" s="2">
        <f>IFERROR(__xludf.DUMMYFUNCTION("""COMPUTED_VALUE"""),2300.0)</f>
        <v>2300</v>
      </c>
      <c r="E63" s="2">
        <f>IFERROR(__xludf.DUMMYFUNCTION("""COMPUTED_VALUE"""),2300.0)</f>
        <v>2300</v>
      </c>
      <c r="F63" s="2">
        <f>IFERROR(__xludf.DUMMYFUNCTION("""COMPUTED_VALUE"""),1.98833E7)</f>
        <v>19883300</v>
      </c>
      <c r="G63" s="2">
        <f t="shared" si="1"/>
        <v>170</v>
      </c>
    </row>
    <row r="64" ht="15.75" customHeight="1">
      <c r="A64" s="1">
        <f>IFERROR(__xludf.DUMMYFUNCTION("""COMPUTED_VALUE"""),43921.66666666667)</f>
        <v>43921.66667</v>
      </c>
      <c r="B64" s="2">
        <f>IFERROR(__xludf.DUMMYFUNCTION("""COMPUTED_VALUE"""),2325.0)</f>
        <v>2325</v>
      </c>
      <c r="C64" s="2">
        <f>IFERROR(__xludf.DUMMYFUNCTION("""COMPUTED_VALUE"""),2410.0)</f>
        <v>2410</v>
      </c>
      <c r="D64" s="2">
        <f>IFERROR(__xludf.DUMMYFUNCTION("""COMPUTED_VALUE"""),2225.0)</f>
        <v>2225</v>
      </c>
      <c r="E64" s="2">
        <f>IFERROR(__xludf.DUMMYFUNCTION("""COMPUTED_VALUE"""),2340.0)</f>
        <v>2340</v>
      </c>
      <c r="F64" s="2">
        <f>IFERROR(__xludf.DUMMYFUNCTION("""COMPUTED_VALUE"""),1.040238E8)</f>
        <v>104023800</v>
      </c>
      <c r="G64" s="2">
        <f t="shared" si="1"/>
        <v>185</v>
      </c>
    </row>
    <row r="65" ht="15.75" customHeight="1">
      <c r="A65" s="1">
        <f>IFERROR(__xludf.DUMMYFUNCTION("""COMPUTED_VALUE"""),43922.66666666667)</f>
        <v>43922.66667</v>
      </c>
      <c r="B65" s="2">
        <f>IFERROR(__xludf.DUMMYFUNCTION("""COMPUTED_VALUE"""),2325.0)</f>
        <v>2325</v>
      </c>
      <c r="C65" s="2">
        <f>IFERROR(__xludf.DUMMYFUNCTION("""COMPUTED_VALUE"""),2440.0)</f>
        <v>2440</v>
      </c>
      <c r="D65" s="2">
        <f>IFERROR(__xludf.DUMMYFUNCTION("""COMPUTED_VALUE"""),2220.0)</f>
        <v>2220</v>
      </c>
      <c r="E65" s="2">
        <f>IFERROR(__xludf.DUMMYFUNCTION("""COMPUTED_VALUE"""),2305.0)</f>
        <v>2305</v>
      </c>
      <c r="F65" s="2">
        <f>IFERROR(__xludf.DUMMYFUNCTION("""COMPUTED_VALUE"""),7.61835E7)</f>
        <v>76183500</v>
      </c>
      <c r="G65" s="2">
        <f t="shared" si="1"/>
        <v>220</v>
      </c>
    </row>
    <row r="66" ht="15.75" customHeight="1">
      <c r="A66" s="1">
        <f>IFERROR(__xludf.DUMMYFUNCTION("""COMPUTED_VALUE"""),43923.66666666667)</f>
        <v>43923.66667</v>
      </c>
      <c r="B66" s="2">
        <f>IFERROR(__xludf.DUMMYFUNCTION("""COMPUTED_VALUE"""),2285.0)</f>
        <v>2285</v>
      </c>
      <c r="C66" s="2">
        <f>IFERROR(__xludf.DUMMYFUNCTION("""COMPUTED_VALUE"""),2375.0)</f>
        <v>2375</v>
      </c>
      <c r="D66" s="2">
        <f>IFERROR(__xludf.DUMMYFUNCTION("""COMPUTED_VALUE"""),2180.0)</f>
        <v>2180</v>
      </c>
      <c r="E66" s="2">
        <f>IFERROR(__xludf.DUMMYFUNCTION("""COMPUTED_VALUE"""),2375.0)</f>
        <v>2375</v>
      </c>
      <c r="F66" s="2">
        <f>IFERROR(__xludf.DUMMYFUNCTION("""COMPUTED_VALUE"""),6.61126E7)</f>
        <v>66112600</v>
      </c>
      <c r="G66" s="2">
        <f t="shared" si="1"/>
        <v>195</v>
      </c>
    </row>
    <row r="67" ht="15.75" customHeight="1">
      <c r="A67" s="1">
        <f>IFERROR(__xludf.DUMMYFUNCTION("""COMPUTED_VALUE"""),43924.66666666667)</f>
        <v>43924.66667</v>
      </c>
      <c r="B67" s="2">
        <f>IFERROR(__xludf.DUMMYFUNCTION("""COMPUTED_VALUE"""),2400.0)</f>
        <v>2400</v>
      </c>
      <c r="C67" s="2">
        <f>IFERROR(__xludf.DUMMYFUNCTION("""COMPUTED_VALUE"""),2512.5)</f>
        <v>2512.5</v>
      </c>
      <c r="D67" s="2">
        <f>IFERROR(__xludf.DUMMYFUNCTION("""COMPUTED_VALUE"""),2400.0)</f>
        <v>2400</v>
      </c>
      <c r="E67" s="2">
        <f>IFERROR(__xludf.DUMMYFUNCTION("""COMPUTED_VALUE"""),2512.5)</f>
        <v>2512.5</v>
      </c>
      <c r="F67" s="2">
        <f>IFERROR(__xludf.DUMMYFUNCTION("""COMPUTED_VALUE"""),5.26128E7)</f>
        <v>52612800</v>
      </c>
      <c r="G67" s="2">
        <f t="shared" si="1"/>
        <v>137.5</v>
      </c>
    </row>
    <row r="68" ht="15.75" customHeight="1">
      <c r="A68" s="1">
        <f>IFERROR(__xludf.DUMMYFUNCTION("""COMPUTED_VALUE"""),43927.66666666667)</f>
        <v>43927.66667</v>
      </c>
      <c r="B68" s="2">
        <f>IFERROR(__xludf.DUMMYFUNCTION("""COMPUTED_VALUE"""),2512.5)</f>
        <v>2512.5</v>
      </c>
      <c r="C68" s="2">
        <f>IFERROR(__xludf.DUMMYFUNCTION("""COMPUTED_VALUE"""),2612.5)</f>
        <v>2612.5</v>
      </c>
      <c r="D68" s="2">
        <f>IFERROR(__xludf.DUMMYFUNCTION("""COMPUTED_VALUE"""),2450.0)</f>
        <v>2450</v>
      </c>
      <c r="E68" s="2">
        <f>IFERROR(__xludf.DUMMYFUNCTION("""COMPUTED_VALUE"""),2600.0)</f>
        <v>2600</v>
      </c>
      <c r="F68" s="2">
        <f>IFERROR(__xludf.DUMMYFUNCTION("""COMPUTED_VALUE"""),5.69902E7)</f>
        <v>56990200</v>
      </c>
      <c r="G68" s="2">
        <f t="shared" si="1"/>
        <v>162.5</v>
      </c>
    </row>
    <row r="69" ht="15.75" customHeight="1">
      <c r="A69" s="1">
        <f>IFERROR(__xludf.DUMMYFUNCTION("""COMPUTED_VALUE"""),43928.66666666667)</f>
        <v>43928.66667</v>
      </c>
      <c r="B69" s="2">
        <f>IFERROR(__xludf.DUMMYFUNCTION("""COMPUTED_VALUE"""),2700.0)</f>
        <v>2700</v>
      </c>
      <c r="C69" s="2">
        <f>IFERROR(__xludf.DUMMYFUNCTION("""COMPUTED_VALUE"""),2800.0)</f>
        <v>2800</v>
      </c>
      <c r="D69" s="2">
        <f>IFERROR(__xludf.DUMMYFUNCTION("""COMPUTED_VALUE"""),2485.0)</f>
        <v>2485</v>
      </c>
      <c r="E69" s="2">
        <f>IFERROR(__xludf.DUMMYFUNCTION("""COMPUTED_VALUE"""),2562.5)</f>
        <v>2562.5</v>
      </c>
      <c r="F69" s="2">
        <f>IFERROR(__xludf.DUMMYFUNCTION("""COMPUTED_VALUE"""),9.57323E7)</f>
        <v>95732300</v>
      </c>
      <c r="G69" s="2">
        <f t="shared" si="1"/>
        <v>315</v>
      </c>
    </row>
    <row r="70" ht="15.75" customHeight="1">
      <c r="A70" s="1">
        <f>IFERROR(__xludf.DUMMYFUNCTION("""COMPUTED_VALUE"""),43929.66666666667)</f>
        <v>43929.66667</v>
      </c>
      <c r="B70" s="2">
        <f>IFERROR(__xludf.DUMMYFUNCTION("""COMPUTED_VALUE"""),2587.5)</f>
        <v>2587.5</v>
      </c>
      <c r="C70" s="2">
        <f>IFERROR(__xludf.DUMMYFUNCTION("""COMPUTED_VALUE"""),2587.5)</f>
        <v>2587.5</v>
      </c>
      <c r="D70" s="2">
        <f>IFERROR(__xludf.DUMMYFUNCTION("""COMPUTED_VALUE"""),2385.0)</f>
        <v>2385</v>
      </c>
      <c r="E70" s="2">
        <f>IFERROR(__xludf.DUMMYFUNCTION("""COMPUTED_VALUE"""),2385.0)</f>
        <v>2385</v>
      </c>
      <c r="F70" s="2">
        <f>IFERROR(__xludf.DUMMYFUNCTION("""COMPUTED_VALUE"""),7.79174E7)</f>
        <v>77917400</v>
      </c>
      <c r="G70" s="2">
        <f t="shared" si="1"/>
        <v>202.5</v>
      </c>
    </row>
    <row r="71" ht="15.75" customHeight="1">
      <c r="A71" s="1">
        <f>IFERROR(__xludf.DUMMYFUNCTION("""COMPUTED_VALUE"""),43930.66666666667)</f>
        <v>43930.66667</v>
      </c>
      <c r="B71" s="2">
        <f>IFERROR(__xludf.DUMMYFUNCTION("""COMPUTED_VALUE"""),2400.0)</f>
        <v>2400</v>
      </c>
      <c r="C71" s="2">
        <f>IFERROR(__xludf.DUMMYFUNCTION("""COMPUTED_VALUE"""),2450.0)</f>
        <v>2450</v>
      </c>
      <c r="D71" s="2">
        <f>IFERROR(__xludf.DUMMYFUNCTION("""COMPUTED_VALUE"""),2305.0)</f>
        <v>2305</v>
      </c>
      <c r="E71" s="2">
        <f>IFERROR(__xludf.DUMMYFUNCTION("""COMPUTED_VALUE"""),2335.0)</f>
        <v>2335</v>
      </c>
      <c r="F71" s="2">
        <f>IFERROR(__xludf.DUMMYFUNCTION("""COMPUTED_VALUE"""),8.17854E7)</f>
        <v>81785400</v>
      </c>
      <c r="G71" s="2">
        <f t="shared" si="1"/>
        <v>145</v>
      </c>
    </row>
    <row r="72" ht="15.75" customHeight="1">
      <c r="A72" s="1">
        <f>IFERROR(__xludf.DUMMYFUNCTION("""COMPUTED_VALUE"""),43934.66666666667)</f>
        <v>43934.66667</v>
      </c>
      <c r="B72" s="2">
        <f>IFERROR(__xludf.DUMMYFUNCTION("""COMPUTED_VALUE"""),2340.0)</f>
        <v>2340</v>
      </c>
      <c r="C72" s="2">
        <f>IFERROR(__xludf.DUMMYFUNCTION("""COMPUTED_VALUE"""),2340.0)</f>
        <v>2340</v>
      </c>
      <c r="D72" s="2">
        <f>IFERROR(__xludf.DUMMYFUNCTION("""COMPUTED_VALUE"""),2235.0)</f>
        <v>2235</v>
      </c>
      <c r="E72" s="2">
        <f>IFERROR(__xludf.DUMMYFUNCTION("""COMPUTED_VALUE"""),2235.0)</f>
        <v>2235</v>
      </c>
      <c r="F72" s="2">
        <f>IFERROR(__xludf.DUMMYFUNCTION("""COMPUTED_VALUE"""),5.76655E7)</f>
        <v>57665500</v>
      </c>
      <c r="G72" s="2">
        <f t="shared" si="1"/>
        <v>105</v>
      </c>
    </row>
    <row r="73" ht="15.75" customHeight="1">
      <c r="A73" s="1">
        <f>IFERROR(__xludf.DUMMYFUNCTION("""COMPUTED_VALUE"""),43935.66666666667)</f>
        <v>43935.66667</v>
      </c>
      <c r="B73" s="2">
        <f>IFERROR(__xludf.DUMMYFUNCTION("""COMPUTED_VALUE"""),2240.0)</f>
        <v>2240</v>
      </c>
      <c r="C73" s="2">
        <f>IFERROR(__xludf.DUMMYFUNCTION("""COMPUTED_VALUE"""),2320.0)</f>
        <v>2320</v>
      </c>
      <c r="D73" s="2">
        <f>IFERROR(__xludf.DUMMYFUNCTION("""COMPUTED_VALUE"""),2200.0)</f>
        <v>2200</v>
      </c>
      <c r="E73" s="2">
        <f>IFERROR(__xludf.DUMMYFUNCTION("""COMPUTED_VALUE"""),2285.0)</f>
        <v>2285</v>
      </c>
      <c r="F73" s="2">
        <f>IFERROR(__xludf.DUMMYFUNCTION("""COMPUTED_VALUE"""),6.6424E7)</f>
        <v>66424000</v>
      </c>
      <c r="G73" s="2">
        <f t="shared" si="1"/>
        <v>120</v>
      </c>
    </row>
    <row r="74" ht="15.75" customHeight="1">
      <c r="A74" s="1">
        <f>IFERROR(__xludf.DUMMYFUNCTION("""COMPUTED_VALUE"""),43936.66666666667)</f>
        <v>43936.66667</v>
      </c>
      <c r="B74" s="2">
        <f>IFERROR(__xludf.DUMMYFUNCTION("""COMPUTED_VALUE"""),2320.0)</f>
        <v>2320</v>
      </c>
      <c r="C74" s="2">
        <f>IFERROR(__xludf.DUMMYFUNCTION("""COMPUTED_VALUE"""),2345.0)</f>
        <v>2345</v>
      </c>
      <c r="D74" s="2">
        <f>IFERROR(__xludf.DUMMYFUNCTION("""COMPUTED_VALUE"""),2200.0)</f>
        <v>2200</v>
      </c>
      <c r="E74" s="2">
        <f>IFERROR(__xludf.DUMMYFUNCTION("""COMPUTED_VALUE"""),2200.0)</f>
        <v>2200</v>
      </c>
      <c r="F74" s="2">
        <f>IFERROR(__xludf.DUMMYFUNCTION("""COMPUTED_VALUE"""),6.23305E7)</f>
        <v>62330500</v>
      </c>
      <c r="G74" s="2">
        <f t="shared" si="1"/>
        <v>145</v>
      </c>
    </row>
    <row r="75" ht="15.75" customHeight="1">
      <c r="A75" s="1">
        <f>IFERROR(__xludf.DUMMYFUNCTION("""COMPUTED_VALUE"""),43937.66666666667)</f>
        <v>43937.66667</v>
      </c>
      <c r="B75" s="2">
        <f>IFERROR(__xludf.DUMMYFUNCTION("""COMPUTED_VALUE"""),2200.0)</f>
        <v>2200</v>
      </c>
      <c r="C75" s="2">
        <f>IFERROR(__xludf.DUMMYFUNCTION("""COMPUTED_VALUE"""),2200.0)</f>
        <v>2200</v>
      </c>
      <c r="D75" s="2">
        <f>IFERROR(__xludf.DUMMYFUNCTION("""COMPUTED_VALUE"""),2075.0)</f>
        <v>2075</v>
      </c>
      <c r="E75" s="2">
        <f>IFERROR(__xludf.DUMMYFUNCTION("""COMPUTED_VALUE"""),2105.0)</f>
        <v>2105</v>
      </c>
      <c r="F75" s="2">
        <f>IFERROR(__xludf.DUMMYFUNCTION("""COMPUTED_VALUE"""),1.07612E8)</f>
        <v>107612000</v>
      </c>
      <c r="G75" s="2">
        <f t="shared" si="1"/>
        <v>125</v>
      </c>
    </row>
    <row r="76" ht="15.75" customHeight="1">
      <c r="A76" s="1">
        <f>IFERROR(__xludf.DUMMYFUNCTION("""COMPUTED_VALUE"""),43938.66666666667)</f>
        <v>43938.66667</v>
      </c>
      <c r="B76" s="2">
        <f>IFERROR(__xludf.DUMMYFUNCTION("""COMPUTED_VALUE"""),2110.0)</f>
        <v>2110</v>
      </c>
      <c r="C76" s="2">
        <f>IFERROR(__xludf.DUMMYFUNCTION("""COMPUTED_VALUE"""),2210.0)</f>
        <v>2210</v>
      </c>
      <c r="D76" s="2">
        <f>IFERROR(__xludf.DUMMYFUNCTION("""COMPUTED_VALUE"""),2110.0)</f>
        <v>2110</v>
      </c>
      <c r="E76" s="2">
        <f>IFERROR(__xludf.DUMMYFUNCTION("""COMPUTED_VALUE"""),2190.0)</f>
        <v>2190</v>
      </c>
      <c r="F76" s="2">
        <f>IFERROR(__xludf.DUMMYFUNCTION("""COMPUTED_VALUE"""),8.17038E7)</f>
        <v>81703800</v>
      </c>
      <c r="G76" s="2">
        <f t="shared" si="1"/>
        <v>105</v>
      </c>
    </row>
    <row r="77" ht="15.75" customHeight="1">
      <c r="A77" s="1">
        <f>IFERROR(__xludf.DUMMYFUNCTION("""COMPUTED_VALUE"""),43941.66666666667)</f>
        <v>43941.66667</v>
      </c>
      <c r="B77" s="2">
        <f>IFERROR(__xludf.DUMMYFUNCTION("""COMPUTED_VALUE"""),2225.0)</f>
        <v>2225</v>
      </c>
      <c r="C77" s="2">
        <f>IFERROR(__xludf.DUMMYFUNCTION("""COMPUTED_VALUE"""),2265.0)</f>
        <v>2265</v>
      </c>
      <c r="D77" s="2">
        <f>IFERROR(__xludf.DUMMYFUNCTION("""COMPUTED_VALUE"""),2135.0)</f>
        <v>2135</v>
      </c>
      <c r="E77" s="2">
        <f>IFERROR(__xludf.DUMMYFUNCTION("""COMPUTED_VALUE"""),2185.0)</f>
        <v>2185</v>
      </c>
      <c r="F77" s="2">
        <f>IFERROR(__xludf.DUMMYFUNCTION("""COMPUTED_VALUE"""),6.0336E7)</f>
        <v>60336000</v>
      </c>
      <c r="G77" s="2">
        <f t="shared" si="1"/>
        <v>130</v>
      </c>
    </row>
    <row r="78" ht="15.75" customHeight="1">
      <c r="A78" s="1">
        <f>IFERROR(__xludf.DUMMYFUNCTION("""COMPUTED_VALUE"""),43942.66666666667)</f>
        <v>43942.66667</v>
      </c>
      <c r="B78" s="2">
        <f>IFERROR(__xludf.DUMMYFUNCTION("""COMPUTED_VALUE"""),2185.0)</f>
        <v>2185</v>
      </c>
      <c r="C78" s="2">
        <f>IFERROR(__xludf.DUMMYFUNCTION("""COMPUTED_VALUE"""),2205.0)</f>
        <v>2205</v>
      </c>
      <c r="D78" s="2">
        <f>IFERROR(__xludf.DUMMYFUNCTION("""COMPUTED_VALUE"""),2125.0)</f>
        <v>2125</v>
      </c>
      <c r="E78" s="2">
        <f>IFERROR(__xludf.DUMMYFUNCTION("""COMPUTED_VALUE"""),2175.0)</f>
        <v>2175</v>
      </c>
      <c r="F78" s="2">
        <f>IFERROR(__xludf.DUMMYFUNCTION("""COMPUTED_VALUE"""),4.61016E7)</f>
        <v>46101600</v>
      </c>
      <c r="G78" s="2">
        <f t="shared" si="1"/>
        <v>80</v>
      </c>
    </row>
    <row r="79" ht="15.75" customHeight="1">
      <c r="A79" s="1">
        <f>IFERROR(__xludf.DUMMYFUNCTION("""COMPUTED_VALUE"""),43943.66666666667)</f>
        <v>43943.66667</v>
      </c>
      <c r="B79" s="2">
        <f>IFERROR(__xludf.DUMMYFUNCTION("""COMPUTED_VALUE"""),2165.0)</f>
        <v>2165</v>
      </c>
      <c r="C79" s="2">
        <f>IFERROR(__xludf.DUMMYFUNCTION("""COMPUTED_VALUE"""),2250.0)</f>
        <v>2250</v>
      </c>
      <c r="D79" s="2">
        <f>IFERROR(__xludf.DUMMYFUNCTION("""COMPUTED_VALUE"""),2125.0)</f>
        <v>2125</v>
      </c>
      <c r="E79" s="2">
        <f>IFERROR(__xludf.DUMMYFUNCTION("""COMPUTED_VALUE"""),2245.0)</f>
        <v>2245</v>
      </c>
      <c r="F79" s="2">
        <f>IFERROR(__xludf.DUMMYFUNCTION("""COMPUTED_VALUE"""),6.33934E7)</f>
        <v>63393400</v>
      </c>
      <c r="G79" s="2">
        <f t="shared" si="1"/>
        <v>125</v>
      </c>
    </row>
    <row r="80" ht="15.75" customHeight="1">
      <c r="A80" s="1">
        <f>IFERROR(__xludf.DUMMYFUNCTION("""COMPUTED_VALUE"""),43944.66666666667)</f>
        <v>43944.66667</v>
      </c>
      <c r="B80" s="2">
        <f>IFERROR(__xludf.DUMMYFUNCTION("""COMPUTED_VALUE"""),2245.0)</f>
        <v>2245</v>
      </c>
      <c r="C80" s="2">
        <f>IFERROR(__xludf.DUMMYFUNCTION("""COMPUTED_VALUE"""),2285.0)</f>
        <v>2285</v>
      </c>
      <c r="D80" s="2">
        <f>IFERROR(__xludf.DUMMYFUNCTION("""COMPUTED_VALUE"""),2240.0)</f>
        <v>2240</v>
      </c>
      <c r="E80" s="2">
        <f>IFERROR(__xludf.DUMMYFUNCTION("""COMPUTED_VALUE"""),2250.0)</f>
        <v>2250</v>
      </c>
      <c r="F80" s="2">
        <f>IFERROR(__xludf.DUMMYFUNCTION("""COMPUTED_VALUE"""),5.76682E7)</f>
        <v>57668200</v>
      </c>
      <c r="G80" s="2">
        <f t="shared" si="1"/>
        <v>45</v>
      </c>
    </row>
    <row r="81" ht="15.75" customHeight="1">
      <c r="A81" s="1">
        <f>IFERROR(__xludf.DUMMYFUNCTION("""COMPUTED_VALUE"""),43945.66666666667)</f>
        <v>43945.66667</v>
      </c>
      <c r="B81" s="2">
        <f>IFERROR(__xludf.DUMMYFUNCTION("""COMPUTED_VALUE"""),2250.0)</f>
        <v>2250</v>
      </c>
      <c r="C81" s="2">
        <f>IFERROR(__xludf.DUMMYFUNCTION("""COMPUTED_VALUE"""),2250.0)</f>
        <v>2250</v>
      </c>
      <c r="D81" s="2">
        <f>IFERROR(__xludf.DUMMYFUNCTION("""COMPUTED_VALUE"""),2140.0)</f>
        <v>2140</v>
      </c>
      <c r="E81" s="2">
        <f>IFERROR(__xludf.DUMMYFUNCTION("""COMPUTED_VALUE"""),2140.0)</f>
        <v>2140</v>
      </c>
      <c r="F81" s="2">
        <f>IFERROR(__xludf.DUMMYFUNCTION("""COMPUTED_VALUE"""),6.58157E7)</f>
        <v>65815700</v>
      </c>
      <c r="G81" s="2">
        <f t="shared" si="1"/>
        <v>110</v>
      </c>
    </row>
    <row r="82" ht="15.75" customHeight="1">
      <c r="A82" s="1">
        <f>IFERROR(__xludf.DUMMYFUNCTION("""COMPUTED_VALUE"""),43948.66666666667)</f>
        <v>43948.66667</v>
      </c>
      <c r="B82" s="2">
        <f>IFERROR(__xludf.DUMMYFUNCTION("""COMPUTED_VALUE"""),2155.0)</f>
        <v>2155</v>
      </c>
      <c r="C82" s="2">
        <f>IFERROR(__xludf.DUMMYFUNCTION("""COMPUTED_VALUE"""),2175.0)</f>
        <v>2175</v>
      </c>
      <c r="D82" s="2">
        <f>IFERROR(__xludf.DUMMYFUNCTION("""COMPUTED_VALUE"""),2045.0)</f>
        <v>2045</v>
      </c>
      <c r="E82" s="2">
        <f>IFERROR(__xludf.DUMMYFUNCTION("""COMPUTED_VALUE"""),2075.0)</f>
        <v>2075</v>
      </c>
      <c r="F82" s="2">
        <f>IFERROR(__xludf.DUMMYFUNCTION("""COMPUTED_VALUE"""),1.026913E8)</f>
        <v>102691300</v>
      </c>
      <c r="G82" s="2">
        <f t="shared" si="1"/>
        <v>130</v>
      </c>
    </row>
    <row r="83" ht="15.75" customHeight="1">
      <c r="A83" s="1">
        <f>IFERROR(__xludf.DUMMYFUNCTION("""COMPUTED_VALUE"""),43949.66666666667)</f>
        <v>43949.66667</v>
      </c>
      <c r="B83" s="2">
        <f>IFERROR(__xludf.DUMMYFUNCTION("""COMPUTED_VALUE"""),2095.0)</f>
        <v>2095</v>
      </c>
      <c r="C83" s="2">
        <f>IFERROR(__xludf.DUMMYFUNCTION("""COMPUTED_VALUE"""),2120.0)</f>
        <v>2120</v>
      </c>
      <c r="D83" s="2">
        <f>IFERROR(__xludf.DUMMYFUNCTION("""COMPUTED_VALUE"""),2035.0)</f>
        <v>2035</v>
      </c>
      <c r="E83" s="2">
        <f>IFERROR(__xludf.DUMMYFUNCTION("""COMPUTED_VALUE"""),2075.0)</f>
        <v>2075</v>
      </c>
      <c r="F83" s="2">
        <f>IFERROR(__xludf.DUMMYFUNCTION("""COMPUTED_VALUE"""),7.86853E7)</f>
        <v>78685300</v>
      </c>
      <c r="G83" s="2">
        <f t="shared" si="1"/>
        <v>85</v>
      </c>
    </row>
    <row r="84" ht="15.75" customHeight="1">
      <c r="A84" s="1">
        <f>IFERROR(__xludf.DUMMYFUNCTION("""COMPUTED_VALUE"""),43950.66666666667)</f>
        <v>43950.66667</v>
      </c>
      <c r="B84" s="2">
        <f>IFERROR(__xludf.DUMMYFUNCTION("""COMPUTED_VALUE"""),2100.0)</f>
        <v>2100</v>
      </c>
      <c r="C84" s="2">
        <f>IFERROR(__xludf.DUMMYFUNCTION("""COMPUTED_VALUE"""),2110.0)</f>
        <v>2110</v>
      </c>
      <c r="D84" s="2">
        <f>IFERROR(__xludf.DUMMYFUNCTION("""COMPUTED_VALUE"""),2000.0)</f>
        <v>2000</v>
      </c>
      <c r="E84" s="2">
        <f>IFERROR(__xludf.DUMMYFUNCTION("""COMPUTED_VALUE"""),2000.0)</f>
        <v>2000</v>
      </c>
      <c r="F84" s="2">
        <f>IFERROR(__xludf.DUMMYFUNCTION("""COMPUTED_VALUE"""),9.63251E7)</f>
        <v>96325100</v>
      </c>
      <c r="G84" s="2">
        <f t="shared" si="1"/>
        <v>110</v>
      </c>
    </row>
    <row r="85" ht="15.75" customHeight="1">
      <c r="A85" s="1">
        <f>IFERROR(__xludf.DUMMYFUNCTION("""COMPUTED_VALUE"""),43951.66666666667)</f>
        <v>43951.66667</v>
      </c>
      <c r="B85" s="2">
        <f>IFERROR(__xludf.DUMMYFUNCTION("""COMPUTED_VALUE"""),2035.0)</f>
        <v>2035</v>
      </c>
      <c r="C85" s="2">
        <f>IFERROR(__xludf.DUMMYFUNCTION("""COMPUTED_VALUE"""),2240.0)</f>
        <v>2240</v>
      </c>
      <c r="D85" s="2">
        <f>IFERROR(__xludf.DUMMYFUNCTION("""COMPUTED_VALUE"""),2030.0)</f>
        <v>2030</v>
      </c>
      <c r="E85" s="2">
        <f>IFERROR(__xludf.DUMMYFUNCTION("""COMPUTED_VALUE"""),2230.0)</f>
        <v>2230</v>
      </c>
      <c r="F85" s="2">
        <f>IFERROR(__xludf.DUMMYFUNCTION("""COMPUTED_VALUE"""),1.147548E8)</f>
        <v>114754800</v>
      </c>
      <c r="G85" s="2">
        <f t="shared" si="1"/>
        <v>240</v>
      </c>
    </row>
    <row r="86" ht="15.75" customHeight="1">
      <c r="A86" s="1">
        <f>IFERROR(__xludf.DUMMYFUNCTION("""COMPUTED_VALUE"""),43955.66666666667)</f>
        <v>43955.66667</v>
      </c>
      <c r="B86" s="2">
        <f>IFERROR(__xludf.DUMMYFUNCTION("""COMPUTED_VALUE"""),2230.0)</f>
        <v>2230</v>
      </c>
      <c r="C86" s="2">
        <f>IFERROR(__xludf.DUMMYFUNCTION("""COMPUTED_VALUE"""),2230.0)</f>
        <v>2230</v>
      </c>
      <c r="D86" s="2">
        <f>IFERROR(__xludf.DUMMYFUNCTION("""COMPUTED_VALUE"""),2120.0)</f>
        <v>2120</v>
      </c>
      <c r="E86" s="2">
        <f>IFERROR(__xludf.DUMMYFUNCTION("""COMPUTED_VALUE"""),2145.0)</f>
        <v>2145</v>
      </c>
      <c r="F86" s="2">
        <f>IFERROR(__xludf.DUMMYFUNCTION("""COMPUTED_VALUE"""),4.02863E7)</f>
        <v>40286300</v>
      </c>
      <c r="G86" s="2">
        <f t="shared" si="1"/>
        <v>110</v>
      </c>
    </row>
    <row r="87" ht="15.75" customHeight="1">
      <c r="A87" s="1">
        <f>IFERROR(__xludf.DUMMYFUNCTION("""COMPUTED_VALUE"""),43956.66666666667)</f>
        <v>43956.66667</v>
      </c>
      <c r="B87" s="2">
        <f>IFERROR(__xludf.DUMMYFUNCTION("""COMPUTED_VALUE"""),2150.0)</f>
        <v>2150</v>
      </c>
      <c r="C87" s="2">
        <f>IFERROR(__xludf.DUMMYFUNCTION("""COMPUTED_VALUE"""),2200.0)</f>
        <v>2200</v>
      </c>
      <c r="D87" s="2">
        <f>IFERROR(__xludf.DUMMYFUNCTION("""COMPUTED_VALUE"""),2080.0)</f>
        <v>2080</v>
      </c>
      <c r="E87" s="2">
        <f>IFERROR(__xludf.DUMMYFUNCTION("""COMPUTED_VALUE"""),2110.0)</f>
        <v>2110</v>
      </c>
      <c r="F87" s="2">
        <f>IFERROR(__xludf.DUMMYFUNCTION("""COMPUTED_VALUE"""),9.26412E7)</f>
        <v>92641200</v>
      </c>
      <c r="G87" s="2">
        <f t="shared" si="1"/>
        <v>120</v>
      </c>
    </row>
    <row r="88" ht="15.75" customHeight="1">
      <c r="A88" s="1">
        <f>IFERROR(__xludf.DUMMYFUNCTION("""COMPUTED_VALUE"""),43957.66666666667)</f>
        <v>43957.66667</v>
      </c>
      <c r="B88" s="2">
        <f>IFERROR(__xludf.DUMMYFUNCTION("""COMPUTED_VALUE"""),2125.0)</f>
        <v>2125</v>
      </c>
      <c r="C88" s="2">
        <f>IFERROR(__xludf.DUMMYFUNCTION("""COMPUTED_VALUE"""),2130.0)</f>
        <v>2130</v>
      </c>
      <c r="D88" s="2">
        <f>IFERROR(__xludf.DUMMYFUNCTION("""COMPUTED_VALUE"""),2080.0)</f>
        <v>2080</v>
      </c>
      <c r="E88" s="2">
        <f>IFERROR(__xludf.DUMMYFUNCTION("""COMPUTED_VALUE"""),2080.0)</f>
        <v>2080</v>
      </c>
      <c r="F88" s="2">
        <f>IFERROR(__xludf.DUMMYFUNCTION("""COMPUTED_VALUE"""),6.93665E7)</f>
        <v>69366500</v>
      </c>
      <c r="G88" s="2">
        <f t="shared" si="1"/>
        <v>50</v>
      </c>
    </row>
    <row r="89" ht="15.75" customHeight="1">
      <c r="A89" s="1">
        <f>IFERROR(__xludf.DUMMYFUNCTION("""COMPUTED_VALUE"""),43959.66666666667)</f>
        <v>43959.66667</v>
      </c>
      <c r="B89" s="2">
        <f>IFERROR(__xludf.DUMMYFUNCTION("""COMPUTED_VALUE"""),2100.0)</f>
        <v>2100</v>
      </c>
      <c r="C89" s="2">
        <f>IFERROR(__xludf.DUMMYFUNCTION("""COMPUTED_VALUE"""),2155.0)</f>
        <v>2155</v>
      </c>
      <c r="D89" s="2">
        <f>IFERROR(__xludf.DUMMYFUNCTION("""COMPUTED_VALUE"""),2090.0)</f>
        <v>2090</v>
      </c>
      <c r="E89" s="2">
        <f>IFERROR(__xludf.DUMMYFUNCTION("""COMPUTED_VALUE"""),2100.0)</f>
        <v>2100</v>
      </c>
      <c r="F89" s="2">
        <f>IFERROR(__xludf.DUMMYFUNCTION("""COMPUTED_VALUE"""),6.37411E7)</f>
        <v>63741100</v>
      </c>
      <c r="G89" s="2">
        <f t="shared" si="1"/>
        <v>75</v>
      </c>
    </row>
    <row r="90" ht="15.75" customHeight="1">
      <c r="A90" s="1">
        <f>IFERROR(__xludf.DUMMYFUNCTION("""COMPUTED_VALUE"""),43962.66666666667)</f>
        <v>43962.66667</v>
      </c>
      <c r="B90" s="2">
        <f>IFERROR(__xludf.DUMMYFUNCTION("""COMPUTED_VALUE"""),2140.0)</f>
        <v>2140</v>
      </c>
      <c r="C90" s="2">
        <f>IFERROR(__xludf.DUMMYFUNCTION("""COMPUTED_VALUE"""),2140.0)</f>
        <v>2140</v>
      </c>
      <c r="D90" s="2">
        <f>IFERROR(__xludf.DUMMYFUNCTION("""COMPUTED_VALUE"""),2095.0)</f>
        <v>2095</v>
      </c>
      <c r="E90" s="2">
        <f>IFERROR(__xludf.DUMMYFUNCTION("""COMPUTED_VALUE"""),2115.0)</f>
        <v>2115</v>
      </c>
      <c r="F90" s="2">
        <f>IFERROR(__xludf.DUMMYFUNCTION("""COMPUTED_VALUE"""),4.17761E7)</f>
        <v>41776100</v>
      </c>
      <c r="G90" s="2">
        <f t="shared" si="1"/>
        <v>45</v>
      </c>
    </row>
    <row r="91" ht="15.75" customHeight="1">
      <c r="A91" s="1">
        <f>IFERROR(__xludf.DUMMYFUNCTION("""COMPUTED_VALUE"""),43963.66666666667)</f>
        <v>43963.66667</v>
      </c>
      <c r="B91" s="2">
        <f>IFERROR(__xludf.DUMMYFUNCTION("""COMPUTED_VALUE"""),2115.0)</f>
        <v>2115</v>
      </c>
      <c r="C91" s="2">
        <f>IFERROR(__xludf.DUMMYFUNCTION("""COMPUTED_VALUE"""),2115.0)</f>
        <v>2115</v>
      </c>
      <c r="D91" s="2">
        <f>IFERROR(__xludf.DUMMYFUNCTION("""COMPUTED_VALUE"""),2000.0)</f>
        <v>2000</v>
      </c>
      <c r="E91" s="2">
        <f>IFERROR(__xludf.DUMMYFUNCTION("""COMPUTED_VALUE"""),2005.0)</f>
        <v>2005</v>
      </c>
      <c r="F91" s="2">
        <f>IFERROR(__xludf.DUMMYFUNCTION("""COMPUTED_VALUE"""),9.4289E7)</f>
        <v>94289000</v>
      </c>
      <c r="G91" s="2">
        <f t="shared" si="1"/>
        <v>115</v>
      </c>
    </row>
    <row r="92" ht="15.75" customHeight="1">
      <c r="A92" s="1">
        <f>IFERROR(__xludf.DUMMYFUNCTION("""COMPUTED_VALUE"""),43964.66666666667)</f>
        <v>43964.66667</v>
      </c>
      <c r="B92" s="2">
        <f>IFERROR(__xludf.DUMMYFUNCTION("""COMPUTED_VALUE"""),1995.0)</f>
        <v>1995</v>
      </c>
      <c r="C92" s="2">
        <f>IFERROR(__xludf.DUMMYFUNCTION("""COMPUTED_VALUE"""),2025.0)</f>
        <v>2025</v>
      </c>
      <c r="D92" s="2">
        <f>IFERROR(__xludf.DUMMYFUNCTION("""COMPUTED_VALUE"""),1950.0)</f>
        <v>1950</v>
      </c>
      <c r="E92" s="2">
        <f>IFERROR(__xludf.DUMMYFUNCTION("""COMPUTED_VALUE"""),2005.0)</f>
        <v>2005</v>
      </c>
      <c r="F92" s="2">
        <f>IFERROR(__xludf.DUMMYFUNCTION("""COMPUTED_VALUE"""),6.74108E7)</f>
        <v>67410800</v>
      </c>
      <c r="G92" s="2">
        <f t="shared" si="1"/>
        <v>75</v>
      </c>
    </row>
    <row r="93" ht="15.75" customHeight="1">
      <c r="A93" s="1">
        <f>IFERROR(__xludf.DUMMYFUNCTION("""COMPUTED_VALUE"""),43965.66666666667)</f>
        <v>43965.66667</v>
      </c>
      <c r="B93" s="2">
        <f>IFERROR(__xludf.DUMMYFUNCTION("""COMPUTED_VALUE"""),1985.0)</f>
        <v>1985</v>
      </c>
      <c r="C93" s="2">
        <f>IFERROR(__xludf.DUMMYFUNCTION("""COMPUTED_VALUE"""),2005.0)</f>
        <v>2005</v>
      </c>
      <c r="D93" s="2">
        <f>IFERROR(__xludf.DUMMYFUNCTION("""COMPUTED_VALUE"""),1950.0)</f>
        <v>1950</v>
      </c>
      <c r="E93" s="2">
        <f>IFERROR(__xludf.DUMMYFUNCTION("""COMPUTED_VALUE"""),1975.0)</f>
        <v>1975</v>
      </c>
      <c r="F93" s="2">
        <f>IFERROR(__xludf.DUMMYFUNCTION("""COMPUTED_VALUE"""),7.06944E7)</f>
        <v>70694400</v>
      </c>
      <c r="G93" s="2">
        <f t="shared" si="1"/>
        <v>55</v>
      </c>
    </row>
    <row r="94" ht="15.75" customHeight="1">
      <c r="A94" s="1">
        <f>IFERROR(__xludf.DUMMYFUNCTION("""COMPUTED_VALUE"""),43966.66666666667)</f>
        <v>43966.66667</v>
      </c>
      <c r="B94" s="2">
        <f>IFERROR(__xludf.DUMMYFUNCTION("""COMPUTED_VALUE"""),1975.0)</f>
        <v>1975</v>
      </c>
      <c r="C94" s="2">
        <f>IFERROR(__xludf.DUMMYFUNCTION("""COMPUTED_VALUE"""),1995.0)</f>
        <v>1995</v>
      </c>
      <c r="D94" s="2">
        <f>IFERROR(__xludf.DUMMYFUNCTION("""COMPUTED_VALUE"""),1840.0)</f>
        <v>1840</v>
      </c>
      <c r="E94" s="2">
        <f>IFERROR(__xludf.DUMMYFUNCTION("""COMPUTED_VALUE"""),1880.0)</f>
        <v>1880</v>
      </c>
      <c r="F94" s="2">
        <f>IFERROR(__xludf.DUMMYFUNCTION("""COMPUTED_VALUE"""),1.136171E8)</f>
        <v>113617100</v>
      </c>
      <c r="G94" s="2">
        <f t="shared" si="1"/>
        <v>155</v>
      </c>
    </row>
    <row r="95" ht="15.75" customHeight="1">
      <c r="A95" s="1">
        <f>IFERROR(__xludf.DUMMYFUNCTION("""COMPUTED_VALUE"""),43969.66666666667)</f>
        <v>43969.66667</v>
      </c>
      <c r="B95" s="2">
        <f>IFERROR(__xludf.DUMMYFUNCTION("""COMPUTED_VALUE"""),1900.0)</f>
        <v>1900</v>
      </c>
      <c r="C95" s="2">
        <f>IFERROR(__xludf.DUMMYFUNCTION("""COMPUTED_VALUE"""),1900.0)</f>
        <v>1900</v>
      </c>
      <c r="D95" s="2">
        <f>IFERROR(__xludf.DUMMYFUNCTION("""COMPUTED_VALUE"""),1830.0)</f>
        <v>1830</v>
      </c>
      <c r="E95" s="2">
        <f>IFERROR(__xludf.DUMMYFUNCTION("""COMPUTED_VALUE"""),1860.0)</f>
        <v>1860</v>
      </c>
      <c r="F95" s="2">
        <f>IFERROR(__xludf.DUMMYFUNCTION("""COMPUTED_VALUE"""),7.93553E7)</f>
        <v>79355300</v>
      </c>
      <c r="G95" s="2">
        <f t="shared" si="1"/>
        <v>70</v>
      </c>
    </row>
    <row r="96" ht="15.75" customHeight="1">
      <c r="A96" s="1">
        <f>IFERROR(__xludf.DUMMYFUNCTION("""COMPUTED_VALUE"""),43970.66666666667)</f>
        <v>43970.66667</v>
      </c>
      <c r="B96" s="2">
        <f>IFERROR(__xludf.DUMMYFUNCTION("""COMPUTED_VALUE"""),1880.0)</f>
        <v>1880</v>
      </c>
      <c r="C96" s="2">
        <f>IFERROR(__xludf.DUMMYFUNCTION("""COMPUTED_VALUE"""),2000.0)</f>
        <v>2000</v>
      </c>
      <c r="D96" s="2">
        <f>IFERROR(__xludf.DUMMYFUNCTION("""COMPUTED_VALUE"""),1880.0)</f>
        <v>1880</v>
      </c>
      <c r="E96" s="2">
        <f>IFERROR(__xludf.DUMMYFUNCTION("""COMPUTED_VALUE"""),1930.0)</f>
        <v>1930</v>
      </c>
      <c r="F96" s="2">
        <f>IFERROR(__xludf.DUMMYFUNCTION("""COMPUTED_VALUE"""),9.98275E7)</f>
        <v>99827500</v>
      </c>
      <c r="G96" s="2">
        <f t="shared" si="1"/>
        <v>140</v>
      </c>
    </row>
    <row r="97" ht="15.75" customHeight="1">
      <c r="A97" s="1">
        <f>IFERROR(__xludf.DUMMYFUNCTION("""COMPUTED_VALUE"""),43971.66666666667)</f>
        <v>43971.66667</v>
      </c>
      <c r="B97" s="2">
        <f>IFERROR(__xludf.DUMMYFUNCTION("""COMPUTED_VALUE"""),1925.0)</f>
        <v>1925</v>
      </c>
      <c r="C97" s="2">
        <f>IFERROR(__xludf.DUMMYFUNCTION("""COMPUTED_VALUE"""),2060.0)</f>
        <v>2060</v>
      </c>
      <c r="D97" s="2">
        <f>IFERROR(__xludf.DUMMYFUNCTION("""COMPUTED_VALUE"""),1915.0)</f>
        <v>1915</v>
      </c>
      <c r="E97" s="2">
        <f>IFERROR(__xludf.DUMMYFUNCTION("""COMPUTED_VALUE"""),2035.0)</f>
        <v>2035</v>
      </c>
      <c r="F97" s="2">
        <f>IFERROR(__xludf.DUMMYFUNCTION("""COMPUTED_VALUE"""),1.188222E8)</f>
        <v>118822200</v>
      </c>
      <c r="G97" s="2">
        <f t="shared" si="1"/>
        <v>145</v>
      </c>
    </row>
    <row r="98" ht="15.75" customHeight="1">
      <c r="A98" s="1">
        <f>IFERROR(__xludf.DUMMYFUNCTION("""COMPUTED_VALUE"""),43977.66666666667)</f>
        <v>43977.66667</v>
      </c>
      <c r="B98" s="2">
        <f>IFERROR(__xludf.DUMMYFUNCTION("""COMPUTED_VALUE"""),2065.0)</f>
        <v>2065</v>
      </c>
      <c r="C98" s="2">
        <f>IFERROR(__xludf.DUMMYFUNCTION("""COMPUTED_VALUE"""),2080.0)</f>
        <v>2080</v>
      </c>
      <c r="D98" s="2">
        <f>IFERROR(__xludf.DUMMYFUNCTION("""COMPUTED_VALUE"""),2030.0)</f>
        <v>2030</v>
      </c>
      <c r="E98" s="2">
        <f>IFERROR(__xludf.DUMMYFUNCTION("""COMPUTED_VALUE"""),2050.0)</f>
        <v>2050</v>
      </c>
      <c r="F98" s="2">
        <f>IFERROR(__xludf.DUMMYFUNCTION("""COMPUTED_VALUE"""),9.02725E7)</f>
        <v>90272500</v>
      </c>
      <c r="G98" s="2">
        <f t="shared" si="1"/>
        <v>50</v>
      </c>
    </row>
    <row r="99" ht="15.75" customHeight="1">
      <c r="A99" s="1">
        <f>IFERROR(__xludf.DUMMYFUNCTION("""COMPUTED_VALUE"""),43978.66666666667)</f>
        <v>43978.66667</v>
      </c>
      <c r="B99" s="2">
        <f>IFERROR(__xludf.DUMMYFUNCTION("""COMPUTED_VALUE"""),2075.0)</f>
        <v>2075</v>
      </c>
      <c r="C99" s="2">
        <f>IFERROR(__xludf.DUMMYFUNCTION("""COMPUTED_VALUE"""),2100.0)</f>
        <v>2100</v>
      </c>
      <c r="D99" s="2">
        <f>IFERROR(__xludf.DUMMYFUNCTION("""COMPUTED_VALUE"""),2005.0)</f>
        <v>2005</v>
      </c>
      <c r="E99" s="2">
        <f>IFERROR(__xludf.DUMMYFUNCTION("""COMPUTED_VALUE"""),2055.0)</f>
        <v>2055</v>
      </c>
      <c r="F99" s="2">
        <f>IFERROR(__xludf.DUMMYFUNCTION("""COMPUTED_VALUE"""),6.21648E7)</f>
        <v>62164800</v>
      </c>
      <c r="G99" s="2">
        <f t="shared" si="1"/>
        <v>95</v>
      </c>
    </row>
    <row r="100" ht="15.75" customHeight="1">
      <c r="A100" s="1">
        <f>IFERROR(__xludf.DUMMYFUNCTION("""COMPUTED_VALUE"""),43979.66666666667)</f>
        <v>43979.66667</v>
      </c>
      <c r="B100" s="2">
        <f>IFERROR(__xludf.DUMMYFUNCTION("""COMPUTED_VALUE"""),2075.0)</f>
        <v>2075</v>
      </c>
      <c r="C100" s="2">
        <f>IFERROR(__xludf.DUMMYFUNCTION("""COMPUTED_VALUE"""),2170.0)</f>
        <v>2170</v>
      </c>
      <c r="D100" s="2">
        <f>IFERROR(__xludf.DUMMYFUNCTION("""COMPUTED_VALUE"""),2075.0)</f>
        <v>2075</v>
      </c>
      <c r="E100" s="2">
        <f>IFERROR(__xludf.DUMMYFUNCTION("""COMPUTED_VALUE"""),2145.0)</f>
        <v>2145</v>
      </c>
      <c r="F100" s="2">
        <f>IFERROR(__xludf.DUMMYFUNCTION("""COMPUTED_VALUE"""),1.327301E8)</f>
        <v>132730100</v>
      </c>
      <c r="G100" s="2">
        <f t="shared" si="1"/>
        <v>115</v>
      </c>
    </row>
    <row r="101" ht="15.75" customHeight="1">
      <c r="A101" s="1">
        <f>IFERROR(__xludf.DUMMYFUNCTION("""COMPUTED_VALUE"""),43980.66666666667)</f>
        <v>43980.66667</v>
      </c>
      <c r="B101" s="2">
        <f>IFERROR(__xludf.DUMMYFUNCTION("""COMPUTED_VALUE"""),2145.0)</f>
        <v>2145</v>
      </c>
      <c r="C101" s="2">
        <f>IFERROR(__xludf.DUMMYFUNCTION("""COMPUTED_VALUE"""),2245.0)</f>
        <v>2245</v>
      </c>
      <c r="D101" s="2">
        <f>IFERROR(__xludf.DUMMYFUNCTION("""COMPUTED_VALUE"""),2125.0)</f>
        <v>2125</v>
      </c>
      <c r="E101" s="2">
        <f>IFERROR(__xludf.DUMMYFUNCTION("""COMPUTED_VALUE"""),2235.0)</f>
        <v>2235</v>
      </c>
      <c r="F101" s="2">
        <f>IFERROR(__xludf.DUMMYFUNCTION("""COMPUTED_VALUE"""),1.752734E8)</f>
        <v>175273400</v>
      </c>
      <c r="G101" s="2">
        <f t="shared" si="1"/>
        <v>120</v>
      </c>
    </row>
    <row r="102" ht="15.75" customHeight="1">
      <c r="A102" s="1">
        <f>IFERROR(__xludf.DUMMYFUNCTION("""COMPUTED_VALUE"""),43984.66666666667)</f>
        <v>43984.66667</v>
      </c>
      <c r="B102" s="2">
        <f>IFERROR(__xludf.DUMMYFUNCTION("""COMPUTED_VALUE"""),2275.0)</f>
        <v>2275</v>
      </c>
      <c r="C102" s="2">
        <f>IFERROR(__xludf.DUMMYFUNCTION("""COMPUTED_VALUE"""),2495.0)</f>
        <v>2495</v>
      </c>
      <c r="D102" s="2">
        <f>IFERROR(__xludf.DUMMYFUNCTION("""COMPUTED_VALUE"""),2265.0)</f>
        <v>2265</v>
      </c>
      <c r="E102" s="2">
        <f>IFERROR(__xludf.DUMMYFUNCTION("""COMPUTED_VALUE"""),2310.0)</f>
        <v>2310</v>
      </c>
      <c r="F102" s="2">
        <f>IFERROR(__xludf.DUMMYFUNCTION("""COMPUTED_VALUE"""),1.038177E8)</f>
        <v>103817700</v>
      </c>
      <c r="G102" s="2">
        <f t="shared" si="1"/>
        <v>260</v>
      </c>
    </row>
    <row r="103" ht="15.75" customHeight="1">
      <c r="A103" s="1">
        <f>IFERROR(__xludf.DUMMYFUNCTION("""COMPUTED_VALUE"""),43985.66666666667)</f>
        <v>43985.66667</v>
      </c>
      <c r="B103" s="2">
        <f>IFERROR(__xludf.DUMMYFUNCTION("""COMPUTED_VALUE"""),2335.0)</f>
        <v>2335</v>
      </c>
      <c r="C103" s="2">
        <f>IFERROR(__xludf.DUMMYFUNCTION("""COMPUTED_VALUE"""),2475.0)</f>
        <v>2475</v>
      </c>
      <c r="D103" s="2">
        <f>IFERROR(__xludf.DUMMYFUNCTION("""COMPUTED_VALUE"""),2295.0)</f>
        <v>2295</v>
      </c>
      <c r="E103" s="2">
        <f>IFERROR(__xludf.DUMMYFUNCTION("""COMPUTED_VALUE"""),2430.0)</f>
        <v>2430</v>
      </c>
      <c r="F103" s="2">
        <f>IFERROR(__xludf.DUMMYFUNCTION("""COMPUTED_VALUE"""),1.483039E8)</f>
        <v>148303900</v>
      </c>
      <c r="G103" s="2">
        <f t="shared" si="1"/>
        <v>180</v>
      </c>
    </row>
    <row r="104" ht="15.75" customHeight="1">
      <c r="A104" s="1">
        <f>IFERROR(__xludf.DUMMYFUNCTION("""COMPUTED_VALUE"""),43986.66666666667)</f>
        <v>43986.66667</v>
      </c>
      <c r="B104" s="2">
        <f>IFERROR(__xludf.DUMMYFUNCTION("""COMPUTED_VALUE"""),2450.0)</f>
        <v>2450</v>
      </c>
      <c r="C104" s="2">
        <f>IFERROR(__xludf.DUMMYFUNCTION("""COMPUTED_VALUE"""),2500.0)</f>
        <v>2500</v>
      </c>
      <c r="D104" s="2">
        <f>IFERROR(__xludf.DUMMYFUNCTION("""COMPUTED_VALUE"""),2360.0)</f>
        <v>2360</v>
      </c>
      <c r="E104" s="2">
        <f>IFERROR(__xludf.DUMMYFUNCTION("""COMPUTED_VALUE"""),2365.0)</f>
        <v>2365</v>
      </c>
      <c r="F104" s="2">
        <f>IFERROR(__xludf.DUMMYFUNCTION("""COMPUTED_VALUE"""),8.49181E7)</f>
        <v>84918100</v>
      </c>
      <c r="G104" s="2">
        <f t="shared" si="1"/>
        <v>140</v>
      </c>
    </row>
    <row r="105" ht="15.75" customHeight="1">
      <c r="A105" s="1">
        <f>IFERROR(__xludf.DUMMYFUNCTION("""COMPUTED_VALUE"""),43987.66666666667)</f>
        <v>43987.66667</v>
      </c>
      <c r="B105" s="2">
        <f>IFERROR(__xludf.DUMMYFUNCTION("""COMPUTED_VALUE"""),2365.0)</f>
        <v>2365</v>
      </c>
      <c r="C105" s="2">
        <f>IFERROR(__xludf.DUMMYFUNCTION("""COMPUTED_VALUE"""),2435.0)</f>
        <v>2435</v>
      </c>
      <c r="D105" s="2">
        <f>IFERROR(__xludf.DUMMYFUNCTION("""COMPUTED_VALUE"""),2300.0)</f>
        <v>2300</v>
      </c>
      <c r="E105" s="2">
        <f>IFERROR(__xludf.DUMMYFUNCTION("""COMPUTED_VALUE"""),2425.0)</f>
        <v>2425</v>
      </c>
      <c r="F105" s="2">
        <f>IFERROR(__xludf.DUMMYFUNCTION("""COMPUTED_VALUE"""),9.26955E7)</f>
        <v>92695500</v>
      </c>
      <c r="G105" s="2">
        <f t="shared" si="1"/>
        <v>135</v>
      </c>
    </row>
    <row r="106" ht="15.75" customHeight="1">
      <c r="A106" s="1">
        <f>IFERROR(__xludf.DUMMYFUNCTION("""COMPUTED_VALUE"""),43990.66666666667)</f>
        <v>43990.66667</v>
      </c>
      <c r="B106" s="2">
        <f>IFERROR(__xludf.DUMMYFUNCTION("""COMPUTED_VALUE"""),2500.0)</f>
        <v>2500</v>
      </c>
      <c r="C106" s="2">
        <f>IFERROR(__xludf.DUMMYFUNCTION("""COMPUTED_VALUE"""),2662.5)</f>
        <v>2662.5</v>
      </c>
      <c r="D106" s="2">
        <f>IFERROR(__xludf.DUMMYFUNCTION("""COMPUTED_VALUE"""),2475.0)</f>
        <v>2475</v>
      </c>
      <c r="E106" s="2">
        <f>IFERROR(__xludf.DUMMYFUNCTION("""COMPUTED_VALUE"""),2625.0)</f>
        <v>2625</v>
      </c>
      <c r="F106" s="2">
        <f>IFERROR(__xludf.DUMMYFUNCTION("""COMPUTED_VALUE"""),1.463026E8)</f>
        <v>146302600</v>
      </c>
      <c r="G106" s="2">
        <f t="shared" si="1"/>
        <v>237.5</v>
      </c>
    </row>
    <row r="107" ht="15.75" customHeight="1">
      <c r="A107" s="1">
        <f>IFERROR(__xludf.DUMMYFUNCTION("""COMPUTED_VALUE"""),43991.66666666667)</f>
        <v>43991.66667</v>
      </c>
      <c r="B107" s="2">
        <f>IFERROR(__xludf.DUMMYFUNCTION("""COMPUTED_VALUE"""),2650.0)</f>
        <v>2650</v>
      </c>
      <c r="C107" s="2">
        <f>IFERROR(__xludf.DUMMYFUNCTION("""COMPUTED_VALUE"""),2725.0)</f>
        <v>2725</v>
      </c>
      <c r="D107" s="2">
        <f>IFERROR(__xludf.DUMMYFUNCTION("""COMPUTED_VALUE"""),2575.0)</f>
        <v>2575</v>
      </c>
      <c r="E107" s="2">
        <f>IFERROR(__xludf.DUMMYFUNCTION("""COMPUTED_VALUE"""),2637.5)</f>
        <v>2637.5</v>
      </c>
      <c r="F107" s="2">
        <f>IFERROR(__xludf.DUMMYFUNCTION("""COMPUTED_VALUE"""),7.37068E7)</f>
        <v>73706800</v>
      </c>
      <c r="G107" s="2">
        <f t="shared" si="1"/>
        <v>150</v>
      </c>
    </row>
    <row r="108" ht="15.75" customHeight="1">
      <c r="A108" s="1">
        <f>IFERROR(__xludf.DUMMYFUNCTION("""COMPUTED_VALUE"""),43992.66666666667)</f>
        <v>43992.66667</v>
      </c>
      <c r="B108" s="2">
        <f>IFERROR(__xludf.DUMMYFUNCTION("""COMPUTED_VALUE"""),2600.0)</f>
        <v>2600</v>
      </c>
      <c r="C108" s="2">
        <f>IFERROR(__xludf.DUMMYFUNCTION("""COMPUTED_VALUE"""),2612.5)</f>
        <v>2612.5</v>
      </c>
      <c r="D108" s="2">
        <f>IFERROR(__xludf.DUMMYFUNCTION("""COMPUTED_VALUE"""),2455.0)</f>
        <v>2455</v>
      </c>
      <c r="E108" s="2">
        <f>IFERROR(__xludf.DUMMYFUNCTION("""COMPUTED_VALUE"""),2455.0)</f>
        <v>2455</v>
      </c>
      <c r="F108" s="2">
        <f>IFERROR(__xludf.DUMMYFUNCTION("""COMPUTED_VALUE"""),1.448221E8)</f>
        <v>144822100</v>
      </c>
      <c r="G108" s="2">
        <f t="shared" si="1"/>
        <v>182.5</v>
      </c>
    </row>
    <row r="109" ht="15.75" customHeight="1">
      <c r="A109" s="1">
        <f>IFERROR(__xludf.DUMMYFUNCTION("""COMPUTED_VALUE"""),43993.66666666667)</f>
        <v>43993.66667</v>
      </c>
      <c r="B109" s="2">
        <f>IFERROR(__xludf.DUMMYFUNCTION("""COMPUTED_VALUE"""),2400.0)</f>
        <v>2400</v>
      </c>
      <c r="C109" s="2">
        <f>IFERROR(__xludf.DUMMYFUNCTION("""COMPUTED_VALUE"""),2435.0)</f>
        <v>2435</v>
      </c>
      <c r="D109" s="2">
        <f>IFERROR(__xludf.DUMMYFUNCTION("""COMPUTED_VALUE"""),2285.0)</f>
        <v>2285</v>
      </c>
      <c r="E109" s="2">
        <f>IFERROR(__xludf.DUMMYFUNCTION("""COMPUTED_VALUE"""),2345.0)</f>
        <v>2345</v>
      </c>
      <c r="F109" s="2">
        <f>IFERROR(__xludf.DUMMYFUNCTION("""COMPUTED_VALUE"""),1.823919E8)</f>
        <v>182391900</v>
      </c>
      <c r="G109" s="2">
        <f t="shared" si="1"/>
        <v>170</v>
      </c>
    </row>
    <row r="110" ht="15.75" customHeight="1">
      <c r="A110" s="1">
        <f>IFERROR(__xludf.DUMMYFUNCTION("""COMPUTED_VALUE"""),43994.66666666667)</f>
        <v>43994.66667</v>
      </c>
      <c r="B110" s="2">
        <f>IFERROR(__xludf.DUMMYFUNCTION("""COMPUTED_VALUE"""),2295.0)</f>
        <v>2295</v>
      </c>
      <c r="C110" s="2">
        <f>IFERROR(__xludf.DUMMYFUNCTION("""COMPUTED_VALUE"""),2450.0)</f>
        <v>2450</v>
      </c>
      <c r="D110" s="2">
        <f>IFERROR(__xludf.DUMMYFUNCTION("""COMPUTED_VALUE"""),2215.0)</f>
        <v>2215</v>
      </c>
      <c r="E110" s="2">
        <f>IFERROR(__xludf.DUMMYFUNCTION("""COMPUTED_VALUE"""),2445.0)</f>
        <v>2445</v>
      </c>
      <c r="F110" s="2">
        <f>IFERROR(__xludf.DUMMYFUNCTION("""COMPUTED_VALUE"""),1.449797E8)</f>
        <v>144979700</v>
      </c>
      <c r="G110" s="2">
        <f t="shared" si="1"/>
        <v>235</v>
      </c>
    </row>
    <row r="111" ht="15.75" customHeight="1">
      <c r="A111" s="1">
        <f>IFERROR(__xludf.DUMMYFUNCTION("""COMPUTED_VALUE"""),43997.66666666667)</f>
        <v>43997.66667</v>
      </c>
      <c r="B111" s="2">
        <f>IFERROR(__xludf.DUMMYFUNCTION("""COMPUTED_VALUE"""),2425.0)</f>
        <v>2425</v>
      </c>
      <c r="C111" s="2">
        <f>IFERROR(__xludf.DUMMYFUNCTION("""COMPUTED_VALUE"""),2455.0)</f>
        <v>2455</v>
      </c>
      <c r="D111" s="2">
        <f>IFERROR(__xludf.DUMMYFUNCTION("""COMPUTED_VALUE"""),2345.0)</f>
        <v>2345</v>
      </c>
      <c r="E111" s="2">
        <f>IFERROR(__xludf.DUMMYFUNCTION("""COMPUTED_VALUE"""),2360.0)</f>
        <v>2360</v>
      </c>
      <c r="F111" s="2">
        <f>IFERROR(__xludf.DUMMYFUNCTION("""COMPUTED_VALUE"""),8.49073E7)</f>
        <v>84907300</v>
      </c>
      <c r="G111" s="2">
        <f t="shared" si="1"/>
        <v>110</v>
      </c>
    </row>
    <row r="112" ht="15.75" customHeight="1">
      <c r="A112" s="1">
        <f>IFERROR(__xludf.DUMMYFUNCTION("""COMPUTED_VALUE"""),43998.66666666667)</f>
        <v>43998.66667</v>
      </c>
      <c r="B112" s="2">
        <f>IFERROR(__xludf.DUMMYFUNCTION("""COMPUTED_VALUE"""),2410.0)</f>
        <v>2410</v>
      </c>
      <c r="C112" s="2">
        <f>IFERROR(__xludf.DUMMYFUNCTION("""COMPUTED_VALUE"""),2525.0)</f>
        <v>2525</v>
      </c>
      <c r="D112" s="2">
        <f>IFERROR(__xludf.DUMMYFUNCTION("""COMPUTED_VALUE"""),2410.0)</f>
        <v>2410</v>
      </c>
      <c r="E112" s="2">
        <f>IFERROR(__xludf.DUMMYFUNCTION("""COMPUTED_VALUE"""),2512.5)</f>
        <v>2512.5</v>
      </c>
      <c r="F112" s="2">
        <f>IFERROR(__xludf.DUMMYFUNCTION("""COMPUTED_VALUE"""),7.30583E7)</f>
        <v>73058300</v>
      </c>
      <c r="G112" s="2">
        <f t="shared" si="1"/>
        <v>165</v>
      </c>
    </row>
    <row r="113" ht="15.75" customHeight="1">
      <c r="A113" s="1">
        <f>IFERROR(__xludf.DUMMYFUNCTION("""COMPUTED_VALUE"""),43999.66666666667)</f>
        <v>43999.66667</v>
      </c>
      <c r="B113" s="2">
        <f>IFERROR(__xludf.DUMMYFUNCTION("""COMPUTED_VALUE"""),2550.0)</f>
        <v>2550</v>
      </c>
      <c r="C113" s="2">
        <f>IFERROR(__xludf.DUMMYFUNCTION("""COMPUTED_VALUE"""),2600.0)</f>
        <v>2600</v>
      </c>
      <c r="D113" s="2">
        <f>IFERROR(__xludf.DUMMYFUNCTION("""COMPUTED_VALUE"""),2445.0)</f>
        <v>2445</v>
      </c>
      <c r="E113" s="2">
        <f>IFERROR(__xludf.DUMMYFUNCTION("""COMPUTED_VALUE"""),2450.0)</f>
        <v>2450</v>
      </c>
      <c r="F113" s="2">
        <f>IFERROR(__xludf.DUMMYFUNCTION("""COMPUTED_VALUE"""),1.069723E8)</f>
        <v>106972300</v>
      </c>
      <c r="G113" s="2">
        <f t="shared" si="1"/>
        <v>155</v>
      </c>
    </row>
    <row r="114" ht="15.75" customHeight="1">
      <c r="A114" s="1">
        <f>IFERROR(__xludf.DUMMYFUNCTION("""COMPUTED_VALUE"""),44000.66666666667)</f>
        <v>44000.66667</v>
      </c>
      <c r="B114" s="2">
        <f>IFERROR(__xludf.DUMMYFUNCTION("""COMPUTED_VALUE"""),2420.0)</f>
        <v>2420</v>
      </c>
      <c r="C114" s="2">
        <f>IFERROR(__xludf.DUMMYFUNCTION("""COMPUTED_VALUE"""),2485.0)</f>
        <v>2485</v>
      </c>
      <c r="D114" s="2">
        <f>IFERROR(__xludf.DUMMYFUNCTION("""COMPUTED_VALUE"""),2390.0)</f>
        <v>2390</v>
      </c>
      <c r="E114" s="2">
        <f>IFERROR(__xludf.DUMMYFUNCTION("""COMPUTED_VALUE"""),2410.0)</f>
        <v>2410</v>
      </c>
      <c r="F114" s="2">
        <f>IFERROR(__xludf.DUMMYFUNCTION("""COMPUTED_VALUE"""),7.60876E7)</f>
        <v>76087600</v>
      </c>
      <c r="G114" s="2">
        <f t="shared" si="1"/>
        <v>95</v>
      </c>
    </row>
    <row r="115" ht="15.75" customHeight="1">
      <c r="A115" s="1">
        <f>IFERROR(__xludf.DUMMYFUNCTION("""COMPUTED_VALUE"""),44001.66666666667)</f>
        <v>44001.66667</v>
      </c>
      <c r="B115" s="2">
        <f>IFERROR(__xludf.DUMMYFUNCTION("""COMPUTED_VALUE"""),2440.0)</f>
        <v>2440</v>
      </c>
      <c r="C115" s="2">
        <f>IFERROR(__xludf.DUMMYFUNCTION("""COMPUTED_VALUE"""),2475.0)</f>
        <v>2475</v>
      </c>
      <c r="D115" s="2">
        <f>IFERROR(__xludf.DUMMYFUNCTION("""COMPUTED_VALUE"""),2410.0)</f>
        <v>2410</v>
      </c>
      <c r="E115" s="2">
        <f>IFERROR(__xludf.DUMMYFUNCTION("""COMPUTED_VALUE"""),2440.0)</f>
        <v>2440</v>
      </c>
      <c r="F115" s="2">
        <f>IFERROR(__xludf.DUMMYFUNCTION("""COMPUTED_VALUE"""),6.31784E7)</f>
        <v>63178400</v>
      </c>
      <c r="G115" s="2">
        <f t="shared" si="1"/>
        <v>65</v>
      </c>
    </row>
    <row r="116" ht="15.75" customHeight="1">
      <c r="A116" s="1">
        <f>IFERROR(__xludf.DUMMYFUNCTION("""COMPUTED_VALUE"""),44004.66666666667)</f>
        <v>44004.66667</v>
      </c>
      <c r="B116" s="2">
        <f>IFERROR(__xludf.DUMMYFUNCTION("""COMPUTED_VALUE"""),2440.0)</f>
        <v>2440</v>
      </c>
      <c r="C116" s="2">
        <f>IFERROR(__xludf.DUMMYFUNCTION("""COMPUTED_VALUE"""),2455.0)</f>
        <v>2455</v>
      </c>
      <c r="D116" s="2">
        <f>IFERROR(__xludf.DUMMYFUNCTION("""COMPUTED_VALUE"""),2400.0)</f>
        <v>2400</v>
      </c>
      <c r="E116" s="2">
        <f>IFERROR(__xludf.DUMMYFUNCTION("""COMPUTED_VALUE"""),2405.0)</f>
        <v>2405</v>
      </c>
      <c r="F116" s="2">
        <f>IFERROR(__xludf.DUMMYFUNCTION("""COMPUTED_VALUE"""),3.34125E7)</f>
        <v>33412500</v>
      </c>
      <c r="G116" s="2">
        <f t="shared" si="1"/>
        <v>55</v>
      </c>
    </row>
    <row r="117" ht="15.75" customHeight="1">
      <c r="A117" s="1">
        <f>IFERROR(__xludf.DUMMYFUNCTION("""COMPUTED_VALUE"""),44005.66666666667)</f>
        <v>44005.66667</v>
      </c>
      <c r="B117" s="2">
        <f>IFERROR(__xludf.DUMMYFUNCTION("""COMPUTED_VALUE"""),2425.0)</f>
        <v>2425</v>
      </c>
      <c r="C117" s="2">
        <f>IFERROR(__xludf.DUMMYFUNCTION("""COMPUTED_VALUE"""),2425.0)</f>
        <v>2425</v>
      </c>
      <c r="D117" s="2">
        <f>IFERROR(__xludf.DUMMYFUNCTION("""COMPUTED_VALUE"""),2345.0)</f>
        <v>2345</v>
      </c>
      <c r="E117" s="2">
        <f>IFERROR(__xludf.DUMMYFUNCTION("""COMPUTED_VALUE"""),2395.0)</f>
        <v>2395</v>
      </c>
      <c r="F117" s="2">
        <f>IFERROR(__xludf.DUMMYFUNCTION("""COMPUTED_VALUE"""),4.75052E7)</f>
        <v>47505200</v>
      </c>
      <c r="G117" s="2">
        <f t="shared" si="1"/>
        <v>80</v>
      </c>
    </row>
    <row r="118" ht="15.75" customHeight="1">
      <c r="A118" s="1">
        <f>IFERROR(__xludf.DUMMYFUNCTION("""COMPUTED_VALUE"""),44006.66666666667)</f>
        <v>44006.66667</v>
      </c>
      <c r="B118" s="2">
        <f>IFERROR(__xludf.DUMMYFUNCTION("""COMPUTED_VALUE"""),2445.0)</f>
        <v>2445</v>
      </c>
      <c r="C118" s="2">
        <f>IFERROR(__xludf.DUMMYFUNCTION("""COMPUTED_VALUE"""),2600.0)</f>
        <v>2600</v>
      </c>
      <c r="D118" s="2">
        <f>IFERROR(__xludf.DUMMYFUNCTION("""COMPUTED_VALUE"""),2445.0)</f>
        <v>2445</v>
      </c>
      <c r="E118" s="2">
        <f>IFERROR(__xludf.DUMMYFUNCTION("""COMPUTED_VALUE"""),2575.0)</f>
        <v>2575</v>
      </c>
      <c r="F118" s="2">
        <f>IFERROR(__xludf.DUMMYFUNCTION("""COMPUTED_VALUE"""),1.392085E8)</f>
        <v>139208500</v>
      </c>
      <c r="G118" s="2">
        <f t="shared" si="1"/>
        <v>205</v>
      </c>
    </row>
    <row r="119" ht="15.75" customHeight="1">
      <c r="A119" s="1">
        <f>IFERROR(__xludf.DUMMYFUNCTION("""COMPUTED_VALUE"""),44007.66666666667)</f>
        <v>44007.66667</v>
      </c>
      <c r="B119" s="2">
        <f>IFERROR(__xludf.DUMMYFUNCTION("""COMPUTED_VALUE"""),2537.5)</f>
        <v>2537.5</v>
      </c>
      <c r="C119" s="2">
        <f>IFERROR(__xludf.DUMMYFUNCTION("""COMPUTED_VALUE"""),2600.0)</f>
        <v>2600</v>
      </c>
      <c r="D119" s="2">
        <f>IFERROR(__xludf.DUMMYFUNCTION("""COMPUTED_VALUE"""),2470.0)</f>
        <v>2470</v>
      </c>
      <c r="E119" s="2">
        <f>IFERROR(__xludf.DUMMYFUNCTION("""COMPUTED_VALUE"""),2512.5)</f>
        <v>2512.5</v>
      </c>
      <c r="F119" s="2">
        <f>IFERROR(__xludf.DUMMYFUNCTION("""COMPUTED_VALUE"""),7.30615E7)</f>
        <v>73061500</v>
      </c>
      <c r="G119" s="2">
        <f t="shared" si="1"/>
        <v>130</v>
      </c>
    </row>
    <row r="120" ht="15.75" customHeight="1">
      <c r="A120" s="1">
        <f>IFERROR(__xludf.DUMMYFUNCTION("""COMPUTED_VALUE"""),44008.66666666667)</f>
        <v>44008.66667</v>
      </c>
      <c r="B120" s="2">
        <f>IFERROR(__xludf.DUMMYFUNCTION("""COMPUTED_VALUE"""),2562.5)</f>
        <v>2562.5</v>
      </c>
      <c r="C120" s="2">
        <f>IFERROR(__xludf.DUMMYFUNCTION("""COMPUTED_VALUE"""),2575.0)</f>
        <v>2575</v>
      </c>
      <c r="D120" s="2">
        <f>IFERROR(__xludf.DUMMYFUNCTION("""COMPUTED_VALUE"""),2490.0)</f>
        <v>2490</v>
      </c>
      <c r="E120" s="2">
        <f>IFERROR(__xludf.DUMMYFUNCTION("""COMPUTED_VALUE"""),2500.0)</f>
        <v>2500</v>
      </c>
      <c r="F120" s="2">
        <f>IFERROR(__xludf.DUMMYFUNCTION("""COMPUTED_VALUE"""),4.29145E7)</f>
        <v>42914500</v>
      </c>
      <c r="G120" s="2">
        <f t="shared" si="1"/>
        <v>85</v>
      </c>
    </row>
    <row r="121" ht="15.75" customHeight="1">
      <c r="A121" s="1">
        <f>IFERROR(__xludf.DUMMYFUNCTION("""COMPUTED_VALUE"""),44011.66666666667)</f>
        <v>44011.66667</v>
      </c>
      <c r="B121" s="2">
        <f>IFERROR(__xludf.DUMMYFUNCTION("""COMPUTED_VALUE"""),2490.0)</f>
        <v>2490</v>
      </c>
      <c r="C121" s="2">
        <f>IFERROR(__xludf.DUMMYFUNCTION("""COMPUTED_VALUE"""),2500.0)</f>
        <v>2500</v>
      </c>
      <c r="D121" s="2">
        <f>IFERROR(__xludf.DUMMYFUNCTION("""COMPUTED_VALUE"""),2435.0)</f>
        <v>2435</v>
      </c>
      <c r="E121" s="2">
        <f>IFERROR(__xludf.DUMMYFUNCTION("""COMPUTED_VALUE"""),2470.0)</f>
        <v>2470</v>
      </c>
      <c r="F121" s="2">
        <f>IFERROR(__xludf.DUMMYFUNCTION("""COMPUTED_VALUE"""),4.95615E7)</f>
        <v>49561500</v>
      </c>
      <c r="G121" s="2">
        <f t="shared" si="1"/>
        <v>65</v>
      </c>
    </row>
    <row r="122" ht="15.75" customHeight="1">
      <c r="A122" s="1">
        <f>IFERROR(__xludf.DUMMYFUNCTION("""COMPUTED_VALUE"""),44012.66666666667)</f>
        <v>44012.66667</v>
      </c>
      <c r="B122" s="2">
        <f>IFERROR(__xludf.DUMMYFUNCTION("""COMPUTED_VALUE"""),2512.5)</f>
        <v>2512.5</v>
      </c>
      <c r="C122" s="2">
        <f>IFERROR(__xludf.DUMMYFUNCTION("""COMPUTED_VALUE"""),2525.0)</f>
        <v>2525</v>
      </c>
      <c r="D122" s="2">
        <f>IFERROR(__xludf.DUMMYFUNCTION("""COMPUTED_VALUE"""),2475.0)</f>
        <v>2475</v>
      </c>
      <c r="E122" s="2">
        <f>IFERROR(__xludf.DUMMYFUNCTION("""COMPUTED_VALUE"""),2475.0)</f>
        <v>2475</v>
      </c>
      <c r="F122" s="2">
        <f>IFERROR(__xludf.DUMMYFUNCTION("""COMPUTED_VALUE"""),5.69972E7)</f>
        <v>56997200</v>
      </c>
      <c r="G122" s="2">
        <f t="shared" si="1"/>
        <v>55</v>
      </c>
    </row>
    <row r="123" ht="15.75" customHeight="1">
      <c r="A123" s="1">
        <f>IFERROR(__xludf.DUMMYFUNCTION("""COMPUTED_VALUE"""),44013.66666666667)</f>
        <v>44013.66667</v>
      </c>
      <c r="B123" s="2">
        <f>IFERROR(__xludf.DUMMYFUNCTION("""COMPUTED_VALUE"""),2500.0)</f>
        <v>2500</v>
      </c>
      <c r="C123" s="2">
        <f>IFERROR(__xludf.DUMMYFUNCTION("""COMPUTED_VALUE"""),2512.5)</f>
        <v>2512.5</v>
      </c>
      <c r="D123" s="2">
        <f>IFERROR(__xludf.DUMMYFUNCTION("""COMPUTED_VALUE"""),2455.0)</f>
        <v>2455</v>
      </c>
      <c r="E123" s="2">
        <f>IFERROR(__xludf.DUMMYFUNCTION("""COMPUTED_VALUE"""),2495.0)</f>
        <v>2495</v>
      </c>
      <c r="F123" s="2">
        <f>IFERROR(__xludf.DUMMYFUNCTION("""COMPUTED_VALUE"""),3.38738E7)</f>
        <v>33873800</v>
      </c>
      <c r="G123" s="2">
        <f t="shared" si="1"/>
        <v>57.5</v>
      </c>
    </row>
    <row r="124" ht="15.75" customHeight="1">
      <c r="A124" s="1">
        <f>IFERROR(__xludf.DUMMYFUNCTION("""COMPUTED_VALUE"""),44014.66666666667)</f>
        <v>44014.66667</v>
      </c>
      <c r="B124" s="2">
        <f>IFERROR(__xludf.DUMMYFUNCTION("""COMPUTED_VALUE"""),2490.0)</f>
        <v>2490</v>
      </c>
      <c r="C124" s="2">
        <f>IFERROR(__xludf.DUMMYFUNCTION("""COMPUTED_VALUE"""),2512.5)</f>
        <v>2512.5</v>
      </c>
      <c r="D124" s="2">
        <f>IFERROR(__xludf.DUMMYFUNCTION("""COMPUTED_VALUE"""),2480.0)</f>
        <v>2480</v>
      </c>
      <c r="E124" s="2">
        <f>IFERROR(__xludf.DUMMYFUNCTION("""COMPUTED_VALUE"""),2500.0)</f>
        <v>2500</v>
      </c>
      <c r="F124" s="2">
        <f>IFERROR(__xludf.DUMMYFUNCTION("""COMPUTED_VALUE"""),4.03033E7)</f>
        <v>40303300</v>
      </c>
      <c r="G124" s="2">
        <f t="shared" si="1"/>
        <v>32.5</v>
      </c>
    </row>
    <row r="125" ht="15.75" customHeight="1">
      <c r="A125" s="1">
        <f>IFERROR(__xludf.DUMMYFUNCTION("""COMPUTED_VALUE"""),44015.66666666667)</f>
        <v>44015.66667</v>
      </c>
      <c r="B125" s="2">
        <f>IFERROR(__xludf.DUMMYFUNCTION("""COMPUTED_VALUE"""),2480.0)</f>
        <v>2480</v>
      </c>
      <c r="C125" s="2">
        <f>IFERROR(__xludf.DUMMYFUNCTION("""COMPUTED_VALUE"""),2537.5)</f>
        <v>2537.5</v>
      </c>
      <c r="D125" s="2">
        <f>IFERROR(__xludf.DUMMYFUNCTION("""COMPUTED_VALUE"""),2450.0)</f>
        <v>2450</v>
      </c>
      <c r="E125" s="2">
        <f>IFERROR(__xludf.DUMMYFUNCTION("""COMPUTED_VALUE"""),2500.0)</f>
        <v>2500</v>
      </c>
      <c r="F125" s="2">
        <f>IFERROR(__xludf.DUMMYFUNCTION("""COMPUTED_VALUE"""),2.89199E7)</f>
        <v>28919900</v>
      </c>
      <c r="G125" s="2">
        <f t="shared" si="1"/>
        <v>87.5</v>
      </c>
    </row>
    <row r="126" ht="15.75" customHeight="1">
      <c r="A126" s="1">
        <f>IFERROR(__xludf.DUMMYFUNCTION("""COMPUTED_VALUE"""),44018.66666666667)</f>
        <v>44018.66667</v>
      </c>
      <c r="B126" s="2">
        <f>IFERROR(__xludf.DUMMYFUNCTION("""COMPUTED_VALUE"""),2500.0)</f>
        <v>2500</v>
      </c>
      <c r="C126" s="2">
        <f>IFERROR(__xludf.DUMMYFUNCTION("""COMPUTED_VALUE"""),2575.0)</f>
        <v>2575</v>
      </c>
      <c r="D126" s="2">
        <f>IFERROR(__xludf.DUMMYFUNCTION("""COMPUTED_VALUE"""),2500.0)</f>
        <v>2500</v>
      </c>
      <c r="E126" s="2">
        <f>IFERROR(__xludf.DUMMYFUNCTION("""COMPUTED_VALUE"""),2537.5)</f>
        <v>2537.5</v>
      </c>
      <c r="F126" s="2">
        <f>IFERROR(__xludf.DUMMYFUNCTION("""COMPUTED_VALUE"""),4.50095E7)</f>
        <v>45009500</v>
      </c>
      <c r="G126" s="2">
        <f t="shared" si="1"/>
        <v>75</v>
      </c>
    </row>
    <row r="127" ht="15.75" customHeight="1">
      <c r="A127" s="1">
        <f>IFERROR(__xludf.DUMMYFUNCTION("""COMPUTED_VALUE"""),44019.66666666667)</f>
        <v>44019.66667</v>
      </c>
      <c r="B127" s="2">
        <f>IFERROR(__xludf.DUMMYFUNCTION("""COMPUTED_VALUE"""),2562.5)</f>
        <v>2562.5</v>
      </c>
      <c r="C127" s="2">
        <f>IFERROR(__xludf.DUMMYFUNCTION("""COMPUTED_VALUE"""),2575.0)</f>
        <v>2575</v>
      </c>
      <c r="D127" s="2">
        <f>IFERROR(__xludf.DUMMYFUNCTION("""COMPUTED_VALUE"""),2525.0)</f>
        <v>2525</v>
      </c>
      <c r="E127" s="2">
        <f>IFERROR(__xludf.DUMMYFUNCTION("""COMPUTED_VALUE"""),2525.0)</f>
        <v>2525</v>
      </c>
      <c r="F127" s="2">
        <f>IFERROR(__xludf.DUMMYFUNCTION("""COMPUTED_VALUE"""),4.02238E7)</f>
        <v>40223800</v>
      </c>
      <c r="G127" s="2">
        <f t="shared" si="1"/>
        <v>50</v>
      </c>
    </row>
    <row r="128" ht="15.75" customHeight="1">
      <c r="A128" s="1">
        <f>IFERROR(__xludf.DUMMYFUNCTION("""COMPUTED_VALUE"""),44020.66666666667)</f>
        <v>44020.66667</v>
      </c>
      <c r="B128" s="2">
        <f>IFERROR(__xludf.DUMMYFUNCTION("""COMPUTED_VALUE"""),2525.0)</f>
        <v>2525</v>
      </c>
      <c r="C128" s="2">
        <f>IFERROR(__xludf.DUMMYFUNCTION("""COMPUTED_VALUE"""),2675.0)</f>
        <v>2675</v>
      </c>
      <c r="D128" s="2">
        <f>IFERROR(__xludf.DUMMYFUNCTION("""COMPUTED_VALUE"""),2512.5)</f>
        <v>2512.5</v>
      </c>
      <c r="E128" s="2">
        <f>IFERROR(__xludf.DUMMYFUNCTION("""COMPUTED_VALUE"""),2637.5)</f>
        <v>2637.5</v>
      </c>
      <c r="F128" s="2">
        <f>IFERROR(__xludf.DUMMYFUNCTION("""COMPUTED_VALUE"""),7.47334E7)</f>
        <v>74733400</v>
      </c>
      <c r="G128" s="2">
        <f t="shared" si="1"/>
        <v>162.5</v>
      </c>
    </row>
    <row r="129" ht="15.75" customHeight="1">
      <c r="A129" s="1">
        <f>IFERROR(__xludf.DUMMYFUNCTION("""COMPUTED_VALUE"""),44021.66666666667)</f>
        <v>44021.66667</v>
      </c>
      <c r="B129" s="2">
        <f>IFERROR(__xludf.DUMMYFUNCTION("""COMPUTED_VALUE"""),2675.0)</f>
        <v>2675</v>
      </c>
      <c r="C129" s="2">
        <f>IFERROR(__xludf.DUMMYFUNCTION("""COMPUTED_VALUE"""),2700.0)</f>
        <v>2700</v>
      </c>
      <c r="D129" s="2">
        <f>IFERROR(__xludf.DUMMYFUNCTION("""COMPUTED_VALUE"""),2600.0)</f>
        <v>2600</v>
      </c>
      <c r="E129" s="2">
        <f>IFERROR(__xludf.DUMMYFUNCTION("""COMPUTED_VALUE"""),2625.0)</f>
        <v>2625</v>
      </c>
      <c r="F129" s="2">
        <f>IFERROR(__xludf.DUMMYFUNCTION("""COMPUTED_VALUE"""),4.91386E7)</f>
        <v>49138600</v>
      </c>
      <c r="G129" s="2">
        <f t="shared" si="1"/>
        <v>100</v>
      </c>
    </row>
    <row r="130" ht="15.75" customHeight="1">
      <c r="A130" s="1">
        <f>IFERROR(__xludf.DUMMYFUNCTION("""COMPUTED_VALUE"""),44022.66666666667)</f>
        <v>44022.66667</v>
      </c>
      <c r="B130" s="2">
        <f>IFERROR(__xludf.DUMMYFUNCTION("""COMPUTED_VALUE"""),2625.0)</f>
        <v>2625</v>
      </c>
      <c r="C130" s="2">
        <f>IFERROR(__xludf.DUMMYFUNCTION("""COMPUTED_VALUE"""),2637.5)</f>
        <v>2637.5</v>
      </c>
      <c r="D130" s="2">
        <f>IFERROR(__xludf.DUMMYFUNCTION("""COMPUTED_VALUE"""),2562.5)</f>
        <v>2562.5</v>
      </c>
      <c r="E130" s="2">
        <f>IFERROR(__xludf.DUMMYFUNCTION("""COMPUTED_VALUE"""),2587.5)</f>
        <v>2587.5</v>
      </c>
      <c r="F130" s="2">
        <f>IFERROR(__xludf.DUMMYFUNCTION("""COMPUTED_VALUE"""),3.8925E7)</f>
        <v>38925000</v>
      </c>
      <c r="G130" s="2">
        <f t="shared" si="1"/>
        <v>75</v>
      </c>
    </row>
    <row r="131" ht="15.75" customHeight="1">
      <c r="A131" s="1">
        <f>IFERROR(__xludf.DUMMYFUNCTION("""COMPUTED_VALUE"""),44025.66666666667)</f>
        <v>44025.66667</v>
      </c>
      <c r="B131" s="2">
        <f>IFERROR(__xludf.DUMMYFUNCTION("""COMPUTED_VALUE"""),2625.0)</f>
        <v>2625</v>
      </c>
      <c r="C131" s="2">
        <f>IFERROR(__xludf.DUMMYFUNCTION("""COMPUTED_VALUE"""),2662.5)</f>
        <v>2662.5</v>
      </c>
      <c r="D131" s="2">
        <f>IFERROR(__xludf.DUMMYFUNCTION("""COMPUTED_VALUE"""),2612.5)</f>
        <v>2612.5</v>
      </c>
      <c r="E131" s="2">
        <f>IFERROR(__xludf.DUMMYFUNCTION("""COMPUTED_VALUE"""),2625.0)</f>
        <v>2625</v>
      </c>
      <c r="F131" s="2">
        <f>IFERROR(__xludf.DUMMYFUNCTION("""COMPUTED_VALUE"""),3.63441E7)</f>
        <v>36344100</v>
      </c>
      <c r="G131" s="2">
        <f t="shared" si="1"/>
        <v>75</v>
      </c>
    </row>
    <row r="132" ht="15.75" customHeight="1">
      <c r="A132" s="1">
        <f>IFERROR(__xludf.DUMMYFUNCTION("""COMPUTED_VALUE"""),44026.66666666667)</f>
        <v>44026.66667</v>
      </c>
      <c r="B132" s="2">
        <f>IFERROR(__xludf.DUMMYFUNCTION("""COMPUTED_VALUE"""),2650.0)</f>
        <v>2650</v>
      </c>
      <c r="C132" s="2">
        <f>IFERROR(__xludf.DUMMYFUNCTION("""COMPUTED_VALUE"""),2662.5)</f>
        <v>2662.5</v>
      </c>
      <c r="D132" s="2">
        <f>IFERROR(__xludf.DUMMYFUNCTION("""COMPUTED_VALUE"""),2600.0)</f>
        <v>2600</v>
      </c>
      <c r="E132" s="2">
        <f>IFERROR(__xludf.DUMMYFUNCTION("""COMPUTED_VALUE"""),2650.0)</f>
        <v>2650</v>
      </c>
      <c r="F132" s="2">
        <f>IFERROR(__xludf.DUMMYFUNCTION("""COMPUTED_VALUE"""),3.91299E7)</f>
        <v>39129900</v>
      </c>
      <c r="G132" s="2">
        <f t="shared" si="1"/>
        <v>62.5</v>
      </c>
    </row>
    <row r="133" ht="15.75" customHeight="1">
      <c r="A133" s="1">
        <f>IFERROR(__xludf.DUMMYFUNCTION("""COMPUTED_VALUE"""),44027.66666666667)</f>
        <v>44027.66667</v>
      </c>
      <c r="B133" s="2">
        <f>IFERROR(__xludf.DUMMYFUNCTION("""COMPUTED_VALUE"""),2675.0)</f>
        <v>2675</v>
      </c>
      <c r="C133" s="2">
        <f>IFERROR(__xludf.DUMMYFUNCTION("""COMPUTED_VALUE"""),2712.5)</f>
        <v>2712.5</v>
      </c>
      <c r="D133" s="2">
        <f>IFERROR(__xludf.DUMMYFUNCTION("""COMPUTED_VALUE"""),2625.0)</f>
        <v>2625</v>
      </c>
      <c r="E133" s="2">
        <f>IFERROR(__xludf.DUMMYFUNCTION("""COMPUTED_VALUE"""),2637.5)</f>
        <v>2637.5</v>
      </c>
      <c r="F133" s="2">
        <f>IFERROR(__xludf.DUMMYFUNCTION("""COMPUTED_VALUE"""),3.03777E7)</f>
        <v>30377700</v>
      </c>
      <c r="G133" s="2">
        <f t="shared" si="1"/>
        <v>87.5</v>
      </c>
    </row>
    <row r="134" ht="15.75" customHeight="1">
      <c r="A134" s="1">
        <f>IFERROR(__xludf.DUMMYFUNCTION("""COMPUTED_VALUE"""),44028.66666666667)</f>
        <v>44028.66667</v>
      </c>
      <c r="B134" s="2">
        <f>IFERROR(__xludf.DUMMYFUNCTION("""COMPUTED_VALUE"""),2637.5)</f>
        <v>2637.5</v>
      </c>
      <c r="C134" s="2">
        <f>IFERROR(__xludf.DUMMYFUNCTION("""COMPUTED_VALUE"""),2675.0)</f>
        <v>2675</v>
      </c>
      <c r="D134" s="2">
        <f>IFERROR(__xludf.DUMMYFUNCTION("""COMPUTED_VALUE"""),2625.0)</f>
        <v>2625</v>
      </c>
      <c r="E134" s="2">
        <f>IFERROR(__xludf.DUMMYFUNCTION("""COMPUTED_VALUE"""),2637.5)</f>
        <v>2637.5</v>
      </c>
      <c r="F134" s="2">
        <f>IFERROR(__xludf.DUMMYFUNCTION("""COMPUTED_VALUE"""),2.19297E7)</f>
        <v>21929700</v>
      </c>
      <c r="G134" s="2">
        <f t="shared" si="1"/>
        <v>50</v>
      </c>
    </row>
    <row r="135" ht="15.75" customHeight="1">
      <c r="A135" s="1">
        <f>IFERROR(__xludf.DUMMYFUNCTION("""COMPUTED_VALUE"""),44029.66666666667)</f>
        <v>44029.66667</v>
      </c>
      <c r="B135" s="2">
        <f>IFERROR(__xludf.DUMMYFUNCTION("""COMPUTED_VALUE"""),2637.5)</f>
        <v>2637.5</v>
      </c>
      <c r="C135" s="2">
        <f>IFERROR(__xludf.DUMMYFUNCTION("""COMPUTED_VALUE"""),2650.0)</f>
        <v>2650</v>
      </c>
      <c r="D135" s="2">
        <f>IFERROR(__xludf.DUMMYFUNCTION("""COMPUTED_VALUE"""),2587.5)</f>
        <v>2587.5</v>
      </c>
      <c r="E135" s="2">
        <f>IFERROR(__xludf.DUMMYFUNCTION("""COMPUTED_VALUE"""),2587.5)</f>
        <v>2587.5</v>
      </c>
      <c r="F135" s="2">
        <f>IFERROR(__xludf.DUMMYFUNCTION("""COMPUTED_VALUE"""),3.00885E7)</f>
        <v>30088500</v>
      </c>
      <c r="G135" s="2">
        <f t="shared" si="1"/>
        <v>62.5</v>
      </c>
    </row>
    <row r="136" ht="15.75" customHeight="1">
      <c r="A136" s="1">
        <f>IFERROR(__xludf.DUMMYFUNCTION("""COMPUTED_VALUE"""),44032.66666666667)</f>
        <v>44032.66667</v>
      </c>
      <c r="B136" s="2">
        <f>IFERROR(__xludf.DUMMYFUNCTION("""COMPUTED_VALUE"""),2587.5)</f>
        <v>2587.5</v>
      </c>
      <c r="C136" s="2">
        <f>IFERROR(__xludf.DUMMYFUNCTION("""COMPUTED_VALUE"""),2612.5)</f>
        <v>2612.5</v>
      </c>
      <c r="D136" s="2">
        <f>IFERROR(__xludf.DUMMYFUNCTION("""COMPUTED_VALUE"""),2525.0)</f>
        <v>2525</v>
      </c>
      <c r="E136" s="2">
        <f>IFERROR(__xludf.DUMMYFUNCTION("""COMPUTED_VALUE"""),2550.0)</f>
        <v>2550</v>
      </c>
      <c r="F136" s="2">
        <f>IFERROR(__xludf.DUMMYFUNCTION("""COMPUTED_VALUE"""),2.60558E7)</f>
        <v>26055800</v>
      </c>
      <c r="G136" s="2">
        <f t="shared" si="1"/>
        <v>87.5</v>
      </c>
    </row>
    <row r="137" ht="15.75" customHeight="1">
      <c r="A137" s="1">
        <f>IFERROR(__xludf.DUMMYFUNCTION("""COMPUTED_VALUE"""),44033.66666666667)</f>
        <v>44033.66667</v>
      </c>
      <c r="B137" s="2">
        <f>IFERROR(__xludf.DUMMYFUNCTION("""COMPUTED_VALUE"""),2575.0)</f>
        <v>2575</v>
      </c>
      <c r="C137" s="2">
        <f>IFERROR(__xludf.DUMMYFUNCTION("""COMPUTED_VALUE"""),2725.0)</f>
        <v>2725</v>
      </c>
      <c r="D137" s="2">
        <f>IFERROR(__xludf.DUMMYFUNCTION("""COMPUTED_VALUE"""),2537.5)</f>
        <v>2537.5</v>
      </c>
      <c r="E137" s="2">
        <f>IFERROR(__xludf.DUMMYFUNCTION("""COMPUTED_VALUE"""),2650.0)</f>
        <v>2650</v>
      </c>
      <c r="F137" s="2">
        <f>IFERROR(__xludf.DUMMYFUNCTION("""COMPUTED_VALUE"""),7.25257E7)</f>
        <v>72525700</v>
      </c>
      <c r="G137" s="2">
        <f t="shared" si="1"/>
        <v>187.5</v>
      </c>
    </row>
    <row r="138" ht="15.75" customHeight="1">
      <c r="A138" s="1">
        <f>IFERROR(__xludf.DUMMYFUNCTION("""COMPUTED_VALUE"""),44034.66666666667)</f>
        <v>44034.66667</v>
      </c>
      <c r="B138" s="2">
        <f>IFERROR(__xludf.DUMMYFUNCTION("""COMPUTED_VALUE"""),2687.5)</f>
        <v>2687.5</v>
      </c>
      <c r="C138" s="2">
        <f>IFERROR(__xludf.DUMMYFUNCTION("""COMPUTED_VALUE"""),2762.5)</f>
        <v>2762.5</v>
      </c>
      <c r="D138" s="2">
        <f>IFERROR(__xludf.DUMMYFUNCTION("""COMPUTED_VALUE"""),2650.0)</f>
        <v>2650</v>
      </c>
      <c r="E138" s="2">
        <f>IFERROR(__xludf.DUMMYFUNCTION("""COMPUTED_VALUE"""),2712.5)</f>
        <v>2712.5</v>
      </c>
      <c r="F138" s="2">
        <f>IFERROR(__xludf.DUMMYFUNCTION("""COMPUTED_VALUE"""),5.96225E7)</f>
        <v>59622500</v>
      </c>
      <c r="G138" s="2">
        <f t="shared" si="1"/>
        <v>112.5</v>
      </c>
    </row>
    <row r="139" ht="15.75" customHeight="1">
      <c r="A139" s="1">
        <f>IFERROR(__xludf.DUMMYFUNCTION("""COMPUTED_VALUE"""),44035.66666666667)</f>
        <v>44035.66667</v>
      </c>
      <c r="B139" s="2">
        <f>IFERROR(__xludf.DUMMYFUNCTION("""COMPUTED_VALUE"""),2737.5)</f>
        <v>2737.5</v>
      </c>
      <c r="C139" s="2">
        <f>IFERROR(__xludf.DUMMYFUNCTION("""COMPUTED_VALUE"""),2887.5)</f>
        <v>2887.5</v>
      </c>
      <c r="D139" s="2">
        <f>IFERROR(__xludf.DUMMYFUNCTION("""COMPUTED_VALUE"""),2712.5)</f>
        <v>2712.5</v>
      </c>
      <c r="E139" s="2">
        <f>IFERROR(__xludf.DUMMYFUNCTION("""COMPUTED_VALUE"""),2850.0)</f>
        <v>2850</v>
      </c>
      <c r="F139" s="2">
        <f>IFERROR(__xludf.DUMMYFUNCTION("""COMPUTED_VALUE"""),7.29148E7)</f>
        <v>72914800</v>
      </c>
      <c r="G139" s="2">
        <f t="shared" si="1"/>
        <v>175</v>
      </c>
    </row>
    <row r="140" ht="15.75" customHeight="1">
      <c r="A140" s="1">
        <f>IFERROR(__xludf.DUMMYFUNCTION("""COMPUTED_VALUE"""),44036.66666666667)</f>
        <v>44036.66667</v>
      </c>
      <c r="B140" s="2">
        <f>IFERROR(__xludf.DUMMYFUNCTION("""COMPUTED_VALUE"""),2850.0)</f>
        <v>2850</v>
      </c>
      <c r="C140" s="2">
        <f>IFERROR(__xludf.DUMMYFUNCTION("""COMPUTED_VALUE"""),2850.0)</f>
        <v>2850</v>
      </c>
      <c r="D140" s="2">
        <f>IFERROR(__xludf.DUMMYFUNCTION("""COMPUTED_VALUE"""),2775.0)</f>
        <v>2775</v>
      </c>
      <c r="E140" s="2">
        <f>IFERROR(__xludf.DUMMYFUNCTION("""COMPUTED_VALUE"""),2800.0)</f>
        <v>2800</v>
      </c>
      <c r="F140" s="2">
        <f>IFERROR(__xludf.DUMMYFUNCTION("""COMPUTED_VALUE"""),3.33017E7)</f>
        <v>33301700</v>
      </c>
      <c r="G140" s="2">
        <f t="shared" si="1"/>
        <v>75</v>
      </c>
    </row>
    <row r="141" ht="15.75" customHeight="1">
      <c r="A141" s="1">
        <f>IFERROR(__xludf.DUMMYFUNCTION("""COMPUTED_VALUE"""),44039.66666666667)</f>
        <v>44039.66667</v>
      </c>
      <c r="B141" s="2">
        <f>IFERROR(__xludf.DUMMYFUNCTION("""COMPUTED_VALUE"""),2812.5)</f>
        <v>2812.5</v>
      </c>
      <c r="C141" s="2">
        <f>IFERROR(__xludf.DUMMYFUNCTION("""COMPUTED_VALUE"""),2937.5)</f>
        <v>2937.5</v>
      </c>
      <c r="D141" s="2">
        <f>IFERROR(__xludf.DUMMYFUNCTION("""COMPUTED_VALUE"""),2775.0)</f>
        <v>2775</v>
      </c>
      <c r="E141" s="2">
        <f>IFERROR(__xludf.DUMMYFUNCTION("""COMPUTED_VALUE"""),2937.5)</f>
        <v>2937.5</v>
      </c>
      <c r="F141" s="2">
        <f>IFERROR(__xludf.DUMMYFUNCTION("""COMPUTED_VALUE"""),2.94241E7)</f>
        <v>29424100</v>
      </c>
      <c r="G141" s="2">
        <f t="shared" si="1"/>
        <v>162.5</v>
      </c>
    </row>
    <row r="142" ht="15.75" customHeight="1">
      <c r="A142" s="1">
        <f>IFERROR(__xludf.DUMMYFUNCTION("""COMPUTED_VALUE"""),44040.66666666667)</f>
        <v>44040.66667</v>
      </c>
      <c r="B142" s="2">
        <f>IFERROR(__xludf.DUMMYFUNCTION("""COMPUTED_VALUE"""),2950.0)</f>
        <v>2950</v>
      </c>
      <c r="C142" s="2">
        <f>IFERROR(__xludf.DUMMYFUNCTION("""COMPUTED_VALUE"""),3000.0)</f>
        <v>3000</v>
      </c>
      <c r="D142" s="2">
        <f>IFERROR(__xludf.DUMMYFUNCTION("""COMPUTED_VALUE"""),2887.5)</f>
        <v>2887.5</v>
      </c>
      <c r="E142" s="2">
        <f>IFERROR(__xludf.DUMMYFUNCTION("""COMPUTED_VALUE"""),2925.0)</f>
        <v>2925</v>
      </c>
      <c r="F142" s="2">
        <f>IFERROR(__xludf.DUMMYFUNCTION("""COMPUTED_VALUE"""),3.72623E7)</f>
        <v>37262300</v>
      </c>
      <c r="G142" s="2">
        <f t="shared" si="1"/>
        <v>112.5</v>
      </c>
    </row>
    <row r="143" ht="15.75" customHeight="1">
      <c r="A143" s="1">
        <f>IFERROR(__xludf.DUMMYFUNCTION("""COMPUTED_VALUE"""),44041.66666666667)</f>
        <v>44041.66667</v>
      </c>
      <c r="B143" s="2">
        <f>IFERROR(__xludf.DUMMYFUNCTION("""COMPUTED_VALUE"""),2925.0)</f>
        <v>2925</v>
      </c>
      <c r="C143" s="2">
        <f>IFERROR(__xludf.DUMMYFUNCTION("""COMPUTED_VALUE"""),2925.0)</f>
        <v>2925</v>
      </c>
      <c r="D143" s="2">
        <f>IFERROR(__xludf.DUMMYFUNCTION("""COMPUTED_VALUE"""),2837.5)</f>
        <v>2837.5</v>
      </c>
      <c r="E143" s="2">
        <f>IFERROR(__xludf.DUMMYFUNCTION("""COMPUTED_VALUE"""),2850.0)</f>
        <v>2850</v>
      </c>
      <c r="F143" s="2">
        <f>IFERROR(__xludf.DUMMYFUNCTION("""COMPUTED_VALUE"""),3.48686E7)</f>
        <v>34868600</v>
      </c>
      <c r="G143" s="2">
        <f t="shared" si="1"/>
        <v>87.5</v>
      </c>
    </row>
    <row r="144" ht="15.75" customHeight="1">
      <c r="A144" s="1">
        <f>IFERROR(__xludf.DUMMYFUNCTION("""COMPUTED_VALUE"""),44042.66666666667)</f>
        <v>44042.66667</v>
      </c>
      <c r="B144" s="2">
        <f>IFERROR(__xludf.DUMMYFUNCTION("""COMPUTED_VALUE"""),2862.5)</f>
        <v>2862.5</v>
      </c>
      <c r="C144" s="2">
        <f>IFERROR(__xludf.DUMMYFUNCTION("""COMPUTED_VALUE"""),2900.0)</f>
        <v>2900</v>
      </c>
      <c r="D144" s="2">
        <f>IFERROR(__xludf.DUMMYFUNCTION("""COMPUTED_VALUE"""),2812.5)</f>
        <v>2812.5</v>
      </c>
      <c r="E144" s="2">
        <f>IFERROR(__xludf.DUMMYFUNCTION("""COMPUTED_VALUE"""),2900.0)</f>
        <v>2900</v>
      </c>
      <c r="F144" s="2">
        <f>IFERROR(__xludf.DUMMYFUNCTION("""COMPUTED_VALUE"""),2.63223E7)</f>
        <v>26322300</v>
      </c>
      <c r="G144" s="2">
        <f t="shared" si="1"/>
        <v>87.5</v>
      </c>
    </row>
    <row r="145" ht="15.75" customHeight="1">
      <c r="A145" s="1">
        <f>IFERROR(__xludf.DUMMYFUNCTION("""COMPUTED_VALUE"""),44046.66666666667)</f>
        <v>44046.66667</v>
      </c>
      <c r="B145" s="2">
        <f>IFERROR(__xludf.DUMMYFUNCTION("""COMPUTED_VALUE"""),2925.0)</f>
        <v>2925</v>
      </c>
      <c r="C145" s="2">
        <f>IFERROR(__xludf.DUMMYFUNCTION("""COMPUTED_VALUE"""),2937.5)</f>
        <v>2937.5</v>
      </c>
      <c r="D145" s="2">
        <f>IFERROR(__xludf.DUMMYFUNCTION("""COMPUTED_VALUE"""),2725.0)</f>
        <v>2725</v>
      </c>
      <c r="E145" s="2">
        <f>IFERROR(__xludf.DUMMYFUNCTION("""COMPUTED_VALUE"""),2750.0)</f>
        <v>2750</v>
      </c>
      <c r="F145" s="2">
        <f>IFERROR(__xludf.DUMMYFUNCTION("""COMPUTED_VALUE"""),1.298604E8)</f>
        <v>129860400</v>
      </c>
      <c r="G145" s="2">
        <f t="shared" si="1"/>
        <v>212.5</v>
      </c>
    </row>
    <row r="146" ht="15.75" customHeight="1">
      <c r="A146" s="1">
        <f>IFERROR(__xludf.DUMMYFUNCTION("""COMPUTED_VALUE"""),44047.66666666667)</f>
        <v>44047.66667</v>
      </c>
      <c r="B146" s="2">
        <f>IFERROR(__xludf.DUMMYFUNCTION("""COMPUTED_VALUE"""),2762.5)</f>
        <v>2762.5</v>
      </c>
      <c r="C146" s="2">
        <f>IFERROR(__xludf.DUMMYFUNCTION("""COMPUTED_VALUE"""),2800.0)</f>
        <v>2800</v>
      </c>
      <c r="D146" s="2">
        <f>IFERROR(__xludf.DUMMYFUNCTION("""COMPUTED_VALUE"""),2725.0)</f>
        <v>2725</v>
      </c>
      <c r="E146" s="2">
        <f>IFERROR(__xludf.DUMMYFUNCTION("""COMPUTED_VALUE"""),2787.5)</f>
        <v>2787.5</v>
      </c>
      <c r="F146" s="2">
        <f>IFERROR(__xludf.DUMMYFUNCTION("""COMPUTED_VALUE"""),4.45869E7)</f>
        <v>44586900</v>
      </c>
      <c r="G146" s="2">
        <f t="shared" si="1"/>
        <v>75</v>
      </c>
    </row>
    <row r="147" ht="15.75" customHeight="1">
      <c r="A147" s="1">
        <f>IFERROR(__xludf.DUMMYFUNCTION("""COMPUTED_VALUE"""),44048.66666666667)</f>
        <v>44048.66667</v>
      </c>
      <c r="B147" s="2">
        <f>IFERROR(__xludf.DUMMYFUNCTION("""COMPUTED_VALUE"""),2775.0)</f>
        <v>2775</v>
      </c>
      <c r="C147" s="2">
        <f>IFERROR(__xludf.DUMMYFUNCTION("""COMPUTED_VALUE"""),2850.0)</f>
        <v>2850</v>
      </c>
      <c r="D147" s="2">
        <f>IFERROR(__xludf.DUMMYFUNCTION("""COMPUTED_VALUE"""),2725.0)</f>
        <v>2725</v>
      </c>
      <c r="E147" s="2">
        <f>IFERROR(__xludf.DUMMYFUNCTION("""COMPUTED_VALUE"""),2850.0)</f>
        <v>2850</v>
      </c>
      <c r="F147" s="2">
        <f>IFERROR(__xludf.DUMMYFUNCTION("""COMPUTED_VALUE"""),6.69223E7)</f>
        <v>66922300</v>
      </c>
      <c r="G147" s="2">
        <f t="shared" si="1"/>
        <v>125</v>
      </c>
    </row>
    <row r="148" ht="15.75" customHeight="1">
      <c r="A148" s="1">
        <f>IFERROR(__xludf.DUMMYFUNCTION("""COMPUTED_VALUE"""),44049.66666666667)</f>
        <v>44049.66667</v>
      </c>
      <c r="B148" s="2">
        <f>IFERROR(__xludf.DUMMYFUNCTION("""COMPUTED_VALUE"""),2850.0)</f>
        <v>2850</v>
      </c>
      <c r="C148" s="2">
        <f>IFERROR(__xludf.DUMMYFUNCTION("""COMPUTED_VALUE"""),2937.5)</f>
        <v>2937.5</v>
      </c>
      <c r="D148" s="2">
        <f>IFERROR(__xludf.DUMMYFUNCTION("""COMPUTED_VALUE"""),2850.0)</f>
        <v>2850</v>
      </c>
      <c r="E148" s="2">
        <f>IFERROR(__xludf.DUMMYFUNCTION("""COMPUTED_VALUE"""),2887.5)</f>
        <v>2887.5</v>
      </c>
      <c r="F148" s="2">
        <f>IFERROR(__xludf.DUMMYFUNCTION("""COMPUTED_VALUE"""),4.54556E7)</f>
        <v>45455600</v>
      </c>
      <c r="G148" s="2">
        <f t="shared" si="1"/>
        <v>87.5</v>
      </c>
    </row>
    <row r="149" ht="15.75" customHeight="1">
      <c r="A149" s="1">
        <f>IFERROR(__xludf.DUMMYFUNCTION("""COMPUTED_VALUE"""),44050.66666666667)</f>
        <v>44050.66667</v>
      </c>
      <c r="B149" s="2">
        <f>IFERROR(__xludf.DUMMYFUNCTION("""COMPUTED_VALUE"""),2850.0)</f>
        <v>2850</v>
      </c>
      <c r="C149" s="2">
        <f>IFERROR(__xludf.DUMMYFUNCTION("""COMPUTED_VALUE"""),2900.0)</f>
        <v>2900</v>
      </c>
      <c r="D149" s="2">
        <f>IFERROR(__xludf.DUMMYFUNCTION("""COMPUTED_VALUE"""),2812.5)</f>
        <v>2812.5</v>
      </c>
      <c r="E149" s="2">
        <f>IFERROR(__xludf.DUMMYFUNCTION("""COMPUTED_VALUE"""),2900.0)</f>
        <v>2900</v>
      </c>
      <c r="F149" s="2">
        <f>IFERROR(__xludf.DUMMYFUNCTION("""COMPUTED_VALUE"""),2.86144E7)</f>
        <v>28614400</v>
      </c>
      <c r="G149" s="2">
        <f t="shared" si="1"/>
        <v>87.5</v>
      </c>
    </row>
    <row r="150" ht="15.75" customHeight="1">
      <c r="A150" s="1">
        <f>IFERROR(__xludf.DUMMYFUNCTION("""COMPUTED_VALUE"""),44053.66666666667)</f>
        <v>44053.66667</v>
      </c>
      <c r="B150" s="2">
        <f>IFERROR(__xludf.DUMMYFUNCTION("""COMPUTED_VALUE"""),2900.0)</f>
        <v>2900</v>
      </c>
      <c r="C150" s="2">
        <f>IFERROR(__xludf.DUMMYFUNCTION("""COMPUTED_VALUE"""),2912.5)</f>
        <v>2912.5</v>
      </c>
      <c r="D150" s="2">
        <f>IFERROR(__xludf.DUMMYFUNCTION("""COMPUTED_VALUE"""),2825.0)</f>
        <v>2825</v>
      </c>
      <c r="E150" s="2">
        <f>IFERROR(__xludf.DUMMYFUNCTION("""COMPUTED_VALUE"""),2900.0)</f>
        <v>2900</v>
      </c>
      <c r="F150" s="2">
        <f>IFERROR(__xludf.DUMMYFUNCTION("""COMPUTED_VALUE"""),2.50812E7)</f>
        <v>25081200</v>
      </c>
      <c r="G150" s="2">
        <f t="shared" si="1"/>
        <v>87.5</v>
      </c>
    </row>
    <row r="151" ht="15.75" customHeight="1">
      <c r="A151" s="1">
        <f>IFERROR(__xludf.DUMMYFUNCTION("""COMPUTED_VALUE"""),44054.66666666667)</f>
        <v>44054.66667</v>
      </c>
      <c r="B151" s="2">
        <f>IFERROR(__xludf.DUMMYFUNCTION("""COMPUTED_VALUE"""),2912.5)</f>
        <v>2912.5</v>
      </c>
      <c r="C151" s="2">
        <f>IFERROR(__xludf.DUMMYFUNCTION("""COMPUTED_VALUE"""),3050.0)</f>
        <v>3050</v>
      </c>
      <c r="D151" s="2">
        <f>IFERROR(__xludf.DUMMYFUNCTION("""COMPUTED_VALUE"""),2900.0)</f>
        <v>2900</v>
      </c>
      <c r="E151" s="2">
        <f>IFERROR(__xludf.DUMMYFUNCTION("""COMPUTED_VALUE"""),2987.5)</f>
        <v>2987.5</v>
      </c>
      <c r="F151" s="2">
        <f>IFERROR(__xludf.DUMMYFUNCTION("""COMPUTED_VALUE"""),5.89891E7)</f>
        <v>58989100</v>
      </c>
      <c r="G151" s="2">
        <f t="shared" si="1"/>
        <v>150</v>
      </c>
    </row>
    <row r="152" ht="15.75" customHeight="1">
      <c r="A152" s="1">
        <f>IFERROR(__xludf.DUMMYFUNCTION("""COMPUTED_VALUE"""),44055.66666666667)</f>
        <v>44055.66667</v>
      </c>
      <c r="B152" s="2">
        <f>IFERROR(__xludf.DUMMYFUNCTION("""COMPUTED_VALUE"""),3000.0)</f>
        <v>3000</v>
      </c>
      <c r="C152" s="2">
        <f>IFERROR(__xludf.DUMMYFUNCTION("""COMPUTED_VALUE"""),3137.5)</f>
        <v>3137.5</v>
      </c>
      <c r="D152" s="2">
        <f>IFERROR(__xludf.DUMMYFUNCTION("""COMPUTED_VALUE"""),2975.0)</f>
        <v>2975</v>
      </c>
      <c r="E152" s="2">
        <f>IFERROR(__xludf.DUMMYFUNCTION("""COMPUTED_VALUE"""),3075.0)</f>
        <v>3075</v>
      </c>
      <c r="F152" s="2">
        <f>IFERROR(__xludf.DUMMYFUNCTION("""COMPUTED_VALUE"""),4.64552E7)</f>
        <v>46455200</v>
      </c>
      <c r="G152" s="2">
        <f t="shared" si="1"/>
        <v>162.5</v>
      </c>
    </row>
    <row r="153" ht="15.75" customHeight="1">
      <c r="A153" s="1">
        <f>IFERROR(__xludf.DUMMYFUNCTION("""COMPUTED_VALUE"""),44056.66666666667)</f>
        <v>44056.66667</v>
      </c>
      <c r="B153" s="2">
        <f>IFERROR(__xludf.DUMMYFUNCTION("""COMPUTED_VALUE"""),3125.0)</f>
        <v>3125</v>
      </c>
      <c r="C153" s="2">
        <f>IFERROR(__xludf.DUMMYFUNCTION("""COMPUTED_VALUE"""),3125.0)</f>
        <v>3125</v>
      </c>
      <c r="D153" s="2">
        <f>IFERROR(__xludf.DUMMYFUNCTION("""COMPUTED_VALUE"""),3025.0)</f>
        <v>3025</v>
      </c>
      <c r="E153" s="2">
        <f>IFERROR(__xludf.DUMMYFUNCTION("""COMPUTED_VALUE"""),3025.0)</f>
        <v>3025</v>
      </c>
      <c r="F153" s="2">
        <f>IFERROR(__xludf.DUMMYFUNCTION("""COMPUTED_VALUE"""),4.29946E7)</f>
        <v>42994600</v>
      </c>
      <c r="G153" s="2">
        <f t="shared" si="1"/>
        <v>100</v>
      </c>
    </row>
    <row r="154" ht="15.75" customHeight="1">
      <c r="A154" s="1">
        <f>IFERROR(__xludf.DUMMYFUNCTION("""COMPUTED_VALUE"""),44057.66666666667)</f>
        <v>44057.66667</v>
      </c>
      <c r="B154" s="2">
        <f>IFERROR(__xludf.DUMMYFUNCTION("""COMPUTED_VALUE"""),3037.5)</f>
        <v>3037.5</v>
      </c>
      <c r="C154" s="2">
        <f>IFERROR(__xludf.DUMMYFUNCTION("""COMPUTED_VALUE"""),3050.0)</f>
        <v>3050</v>
      </c>
      <c r="D154" s="2">
        <f>IFERROR(__xludf.DUMMYFUNCTION("""COMPUTED_VALUE"""),2975.0)</f>
        <v>2975</v>
      </c>
      <c r="E154" s="2">
        <f>IFERROR(__xludf.DUMMYFUNCTION("""COMPUTED_VALUE"""),3012.5)</f>
        <v>3012.5</v>
      </c>
      <c r="F154" s="2">
        <f>IFERROR(__xludf.DUMMYFUNCTION("""COMPUTED_VALUE"""),3.33267E7)</f>
        <v>33326700</v>
      </c>
      <c r="G154" s="2">
        <f t="shared" si="1"/>
        <v>75</v>
      </c>
    </row>
    <row r="155" ht="15.75" customHeight="1">
      <c r="A155" s="1">
        <f>IFERROR(__xludf.DUMMYFUNCTION("""COMPUTED_VALUE"""),44061.66666666667)</f>
        <v>44061.66667</v>
      </c>
      <c r="B155" s="2">
        <f>IFERROR(__xludf.DUMMYFUNCTION("""COMPUTED_VALUE"""),3012.5)</f>
        <v>3012.5</v>
      </c>
      <c r="C155" s="2">
        <f>IFERROR(__xludf.DUMMYFUNCTION("""COMPUTED_VALUE"""),3112.5)</f>
        <v>3112.5</v>
      </c>
      <c r="D155" s="2">
        <f>IFERROR(__xludf.DUMMYFUNCTION("""COMPUTED_VALUE"""),3012.5)</f>
        <v>3012.5</v>
      </c>
      <c r="E155" s="2">
        <f>IFERROR(__xludf.DUMMYFUNCTION("""COMPUTED_VALUE"""),3075.0)</f>
        <v>3075</v>
      </c>
      <c r="F155" s="2">
        <f>IFERROR(__xludf.DUMMYFUNCTION("""COMPUTED_VALUE"""),5.79906E7)</f>
        <v>57990600</v>
      </c>
      <c r="G155" s="2">
        <f t="shared" si="1"/>
        <v>100</v>
      </c>
    </row>
    <row r="156" ht="15.75" customHeight="1">
      <c r="A156" s="1">
        <f>IFERROR(__xludf.DUMMYFUNCTION("""COMPUTED_VALUE"""),44062.66666666667)</f>
        <v>44062.66667</v>
      </c>
      <c r="B156" s="2">
        <f>IFERROR(__xludf.DUMMYFUNCTION("""COMPUTED_VALUE"""),3087.5)</f>
        <v>3087.5</v>
      </c>
      <c r="C156" s="2">
        <f>IFERROR(__xludf.DUMMYFUNCTION("""COMPUTED_VALUE"""),3125.0)</f>
        <v>3125</v>
      </c>
      <c r="D156" s="2">
        <f>IFERROR(__xludf.DUMMYFUNCTION("""COMPUTED_VALUE"""),3037.5)</f>
        <v>3037.5</v>
      </c>
      <c r="E156" s="2">
        <f>IFERROR(__xludf.DUMMYFUNCTION("""COMPUTED_VALUE"""),3050.0)</f>
        <v>3050</v>
      </c>
      <c r="F156" s="2">
        <f>IFERROR(__xludf.DUMMYFUNCTION("""COMPUTED_VALUE"""),3.22559E7)</f>
        <v>32255900</v>
      </c>
      <c r="G156" s="2">
        <f t="shared" si="1"/>
        <v>87.5</v>
      </c>
    </row>
    <row r="157" ht="15.75" customHeight="1">
      <c r="A157" s="1">
        <f>IFERROR(__xludf.DUMMYFUNCTION("""COMPUTED_VALUE"""),44067.66666666667)</f>
        <v>44067.66667</v>
      </c>
      <c r="B157" s="2">
        <f>IFERROR(__xludf.DUMMYFUNCTION("""COMPUTED_VALUE"""),3025.0)</f>
        <v>3025</v>
      </c>
      <c r="C157" s="2">
        <f>IFERROR(__xludf.DUMMYFUNCTION("""COMPUTED_VALUE"""),3087.5)</f>
        <v>3087.5</v>
      </c>
      <c r="D157" s="2">
        <f>IFERROR(__xludf.DUMMYFUNCTION("""COMPUTED_VALUE"""),2962.5)</f>
        <v>2962.5</v>
      </c>
      <c r="E157" s="2">
        <f>IFERROR(__xludf.DUMMYFUNCTION("""COMPUTED_VALUE"""),3000.0)</f>
        <v>3000</v>
      </c>
      <c r="F157" s="2">
        <f>IFERROR(__xludf.DUMMYFUNCTION("""COMPUTED_VALUE"""),6.62432E7)</f>
        <v>66243200</v>
      </c>
      <c r="G157" s="2">
        <f t="shared" si="1"/>
        <v>125</v>
      </c>
    </row>
    <row r="158" ht="15.75" customHeight="1">
      <c r="A158" s="1">
        <f>IFERROR(__xludf.DUMMYFUNCTION("""COMPUTED_VALUE"""),44068.66666666667)</f>
        <v>44068.66667</v>
      </c>
      <c r="B158" s="2">
        <f>IFERROR(__xludf.DUMMYFUNCTION("""COMPUTED_VALUE"""),3025.0)</f>
        <v>3025</v>
      </c>
      <c r="C158" s="2">
        <f>IFERROR(__xludf.DUMMYFUNCTION("""COMPUTED_VALUE"""),3137.5)</f>
        <v>3137.5</v>
      </c>
      <c r="D158" s="2">
        <f>IFERROR(__xludf.DUMMYFUNCTION("""COMPUTED_VALUE"""),3025.0)</f>
        <v>3025</v>
      </c>
      <c r="E158" s="2">
        <f>IFERROR(__xludf.DUMMYFUNCTION("""COMPUTED_VALUE"""),3125.0)</f>
        <v>3125</v>
      </c>
      <c r="F158" s="2">
        <f>IFERROR(__xludf.DUMMYFUNCTION("""COMPUTED_VALUE"""),6.61829E7)</f>
        <v>66182900</v>
      </c>
      <c r="G158" s="2">
        <f t="shared" si="1"/>
        <v>137.5</v>
      </c>
    </row>
    <row r="159" ht="15.75" customHeight="1">
      <c r="A159" s="1">
        <f>IFERROR(__xludf.DUMMYFUNCTION("""COMPUTED_VALUE"""),44069.66666666667)</f>
        <v>44069.66667</v>
      </c>
      <c r="B159" s="2">
        <f>IFERROR(__xludf.DUMMYFUNCTION("""COMPUTED_VALUE"""),3125.0)</f>
        <v>3125</v>
      </c>
      <c r="C159" s="2">
        <f>IFERROR(__xludf.DUMMYFUNCTION("""COMPUTED_VALUE"""),3175.0)</f>
        <v>3175</v>
      </c>
      <c r="D159" s="2">
        <f>IFERROR(__xludf.DUMMYFUNCTION("""COMPUTED_VALUE"""),3087.5)</f>
        <v>3087.5</v>
      </c>
      <c r="E159" s="2">
        <f>IFERROR(__xludf.DUMMYFUNCTION("""COMPUTED_VALUE"""),3175.0)</f>
        <v>3175</v>
      </c>
      <c r="F159" s="2">
        <f>IFERROR(__xludf.DUMMYFUNCTION("""COMPUTED_VALUE"""),3.93517E7)</f>
        <v>39351700</v>
      </c>
      <c r="G159" s="2">
        <f t="shared" si="1"/>
        <v>87.5</v>
      </c>
    </row>
    <row r="160" ht="15.75" customHeight="1">
      <c r="A160" s="1">
        <f>IFERROR(__xludf.DUMMYFUNCTION("""COMPUTED_VALUE"""),44070.66666666667)</f>
        <v>44070.66667</v>
      </c>
      <c r="B160" s="2">
        <f>IFERROR(__xludf.DUMMYFUNCTION("""COMPUTED_VALUE"""),3175.0)</f>
        <v>3175</v>
      </c>
      <c r="C160" s="2">
        <f>IFERROR(__xludf.DUMMYFUNCTION("""COMPUTED_VALUE"""),3175.0)</f>
        <v>3175</v>
      </c>
      <c r="D160" s="2">
        <f>IFERROR(__xludf.DUMMYFUNCTION("""COMPUTED_VALUE"""),3100.0)</f>
        <v>3100</v>
      </c>
      <c r="E160" s="2">
        <f>IFERROR(__xludf.DUMMYFUNCTION("""COMPUTED_VALUE"""),3150.0)</f>
        <v>3150</v>
      </c>
      <c r="F160" s="2">
        <f>IFERROR(__xludf.DUMMYFUNCTION("""COMPUTED_VALUE"""),4.67251E7)</f>
        <v>46725100</v>
      </c>
      <c r="G160" s="2">
        <f t="shared" si="1"/>
        <v>75</v>
      </c>
    </row>
    <row r="161" ht="15.75" customHeight="1">
      <c r="A161" s="1">
        <f>IFERROR(__xludf.DUMMYFUNCTION("""COMPUTED_VALUE"""),44071.66666666667)</f>
        <v>44071.66667</v>
      </c>
      <c r="B161" s="2">
        <f>IFERROR(__xludf.DUMMYFUNCTION("""COMPUTED_VALUE"""),3137.5)</f>
        <v>3137.5</v>
      </c>
      <c r="C161" s="2">
        <f>IFERROR(__xludf.DUMMYFUNCTION("""COMPUTED_VALUE"""),3175.0)</f>
        <v>3175</v>
      </c>
      <c r="D161" s="2">
        <f>IFERROR(__xludf.DUMMYFUNCTION("""COMPUTED_VALUE"""),3100.0)</f>
        <v>3100</v>
      </c>
      <c r="E161" s="2">
        <f>IFERROR(__xludf.DUMMYFUNCTION("""COMPUTED_VALUE"""),3112.5)</f>
        <v>3112.5</v>
      </c>
      <c r="F161" s="2">
        <f>IFERROR(__xludf.DUMMYFUNCTION("""COMPUTED_VALUE"""),3.78275E7)</f>
        <v>37827500</v>
      </c>
      <c r="G161" s="2">
        <f t="shared" si="1"/>
        <v>75</v>
      </c>
    </row>
    <row r="162" ht="15.75" customHeight="1">
      <c r="A162" s="1">
        <f>IFERROR(__xludf.DUMMYFUNCTION("""COMPUTED_VALUE"""),44074.66666666667)</f>
        <v>44074.66667</v>
      </c>
      <c r="B162" s="2">
        <f>IFERROR(__xludf.DUMMYFUNCTION("""COMPUTED_VALUE"""),3112.5)</f>
        <v>3112.5</v>
      </c>
      <c r="C162" s="2">
        <f>IFERROR(__xludf.DUMMYFUNCTION("""COMPUTED_VALUE"""),3150.0)</f>
        <v>3150</v>
      </c>
      <c r="D162" s="2">
        <f>IFERROR(__xludf.DUMMYFUNCTION("""COMPUTED_VALUE"""),2950.0)</f>
        <v>2950</v>
      </c>
      <c r="E162" s="2">
        <f>IFERROR(__xludf.DUMMYFUNCTION("""COMPUTED_VALUE"""),2975.0)</f>
        <v>2975</v>
      </c>
      <c r="F162" s="2">
        <f>IFERROR(__xludf.DUMMYFUNCTION("""COMPUTED_VALUE"""),1.114094E8)</f>
        <v>111409400</v>
      </c>
      <c r="G162" s="2">
        <f t="shared" si="1"/>
        <v>200</v>
      </c>
    </row>
    <row r="163" ht="15.75" customHeight="1">
      <c r="A163" s="1">
        <f>IFERROR(__xludf.DUMMYFUNCTION("""COMPUTED_VALUE"""),44075.66666666667)</f>
        <v>44075.66667</v>
      </c>
      <c r="B163" s="2">
        <f>IFERROR(__xludf.DUMMYFUNCTION("""COMPUTED_VALUE"""),2987.5)</f>
        <v>2987.5</v>
      </c>
      <c r="C163" s="2">
        <f>IFERROR(__xludf.DUMMYFUNCTION("""COMPUTED_VALUE"""),3062.5)</f>
        <v>3062.5</v>
      </c>
      <c r="D163" s="2">
        <f>IFERROR(__xludf.DUMMYFUNCTION("""COMPUTED_VALUE"""),2937.5)</f>
        <v>2937.5</v>
      </c>
      <c r="E163" s="2">
        <f>IFERROR(__xludf.DUMMYFUNCTION("""COMPUTED_VALUE"""),3062.5)</f>
        <v>3062.5</v>
      </c>
      <c r="F163" s="2">
        <f>IFERROR(__xludf.DUMMYFUNCTION("""COMPUTED_VALUE"""),4.26654E7)</f>
        <v>42665400</v>
      </c>
      <c r="G163" s="2">
        <f t="shared" si="1"/>
        <v>125</v>
      </c>
    </row>
    <row r="164" ht="15.75" customHeight="1">
      <c r="A164" s="1">
        <f>IFERROR(__xludf.DUMMYFUNCTION("""COMPUTED_VALUE"""),44076.66666666667)</f>
        <v>44076.66667</v>
      </c>
      <c r="B164" s="2">
        <f>IFERROR(__xludf.DUMMYFUNCTION("""COMPUTED_VALUE"""),3062.5)</f>
        <v>3062.5</v>
      </c>
      <c r="C164" s="2">
        <f>IFERROR(__xludf.DUMMYFUNCTION("""COMPUTED_VALUE"""),3100.0)</f>
        <v>3100</v>
      </c>
      <c r="D164" s="2">
        <f>IFERROR(__xludf.DUMMYFUNCTION("""COMPUTED_VALUE"""),3025.0)</f>
        <v>3025</v>
      </c>
      <c r="E164" s="2">
        <f>IFERROR(__xludf.DUMMYFUNCTION("""COMPUTED_VALUE"""),3037.5)</f>
        <v>3037.5</v>
      </c>
      <c r="F164" s="2">
        <f>IFERROR(__xludf.DUMMYFUNCTION("""COMPUTED_VALUE"""),4.66018E7)</f>
        <v>46601800</v>
      </c>
      <c r="G164" s="2">
        <f t="shared" si="1"/>
        <v>75</v>
      </c>
    </row>
    <row r="165" ht="15.75" customHeight="1">
      <c r="A165" s="1">
        <f>IFERROR(__xludf.DUMMYFUNCTION("""COMPUTED_VALUE"""),44077.66666666667)</f>
        <v>44077.66667</v>
      </c>
      <c r="B165" s="2">
        <f>IFERROR(__xludf.DUMMYFUNCTION("""COMPUTED_VALUE"""),3037.5)</f>
        <v>3037.5</v>
      </c>
      <c r="C165" s="2">
        <f>IFERROR(__xludf.DUMMYFUNCTION("""COMPUTED_VALUE"""),3075.0)</f>
        <v>3075</v>
      </c>
      <c r="D165" s="2">
        <f>IFERROR(__xludf.DUMMYFUNCTION("""COMPUTED_VALUE"""),2975.0)</f>
        <v>2975</v>
      </c>
      <c r="E165" s="2">
        <f>IFERROR(__xludf.DUMMYFUNCTION("""COMPUTED_VALUE"""),2987.5)</f>
        <v>2987.5</v>
      </c>
      <c r="F165" s="2">
        <f>IFERROR(__xludf.DUMMYFUNCTION("""COMPUTED_VALUE"""),6.45074E7)</f>
        <v>64507400</v>
      </c>
      <c r="G165" s="2">
        <f t="shared" si="1"/>
        <v>100</v>
      </c>
    </row>
    <row r="166" ht="15.75" customHeight="1">
      <c r="A166" s="1">
        <f>IFERROR(__xludf.DUMMYFUNCTION("""COMPUTED_VALUE"""),44078.66666666667)</f>
        <v>44078.66667</v>
      </c>
      <c r="B166" s="2">
        <f>IFERROR(__xludf.DUMMYFUNCTION("""COMPUTED_VALUE"""),2975.0)</f>
        <v>2975</v>
      </c>
      <c r="C166" s="2">
        <f>IFERROR(__xludf.DUMMYFUNCTION("""COMPUTED_VALUE"""),2987.5)</f>
        <v>2987.5</v>
      </c>
      <c r="D166" s="2">
        <f>IFERROR(__xludf.DUMMYFUNCTION("""COMPUTED_VALUE"""),2925.0)</f>
        <v>2925</v>
      </c>
      <c r="E166" s="2">
        <f>IFERROR(__xludf.DUMMYFUNCTION("""COMPUTED_VALUE"""),2962.5)</f>
        <v>2962.5</v>
      </c>
      <c r="F166" s="2">
        <f>IFERROR(__xludf.DUMMYFUNCTION("""COMPUTED_VALUE"""),5.34222E7)</f>
        <v>53422200</v>
      </c>
      <c r="G166" s="2">
        <f t="shared" si="1"/>
        <v>62.5</v>
      </c>
    </row>
    <row r="167" ht="15.75" customHeight="1">
      <c r="A167" s="1">
        <f>IFERROR(__xludf.DUMMYFUNCTION("""COMPUTED_VALUE"""),44081.66666666667)</f>
        <v>44081.66667</v>
      </c>
      <c r="B167" s="2">
        <f>IFERROR(__xludf.DUMMYFUNCTION("""COMPUTED_VALUE"""),2962.5)</f>
        <v>2962.5</v>
      </c>
      <c r="C167" s="2">
        <f>IFERROR(__xludf.DUMMYFUNCTION("""COMPUTED_VALUE"""),2975.0)</f>
        <v>2975</v>
      </c>
      <c r="D167" s="2">
        <f>IFERROR(__xludf.DUMMYFUNCTION("""COMPUTED_VALUE"""),2887.5)</f>
        <v>2887.5</v>
      </c>
      <c r="E167" s="2">
        <f>IFERROR(__xludf.DUMMYFUNCTION("""COMPUTED_VALUE"""),2925.0)</f>
        <v>2925</v>
      </c>
      <c r="F167" s="2">
        <f>IFERROR(__xludf.DUMMYFUNCTION("""COMPUTED_VALUE"""),5.03368E7)</f>
        <v>50336800</v>
      </c>
      <c r="G167" s="2">
        <f t="shared" si="1"/>
        <v>87.5</v>
      </c>
    </row>
    <row r="168" ht="15.75" customHeight="1">
      <c r="A168" s="1">
        <f>IFERROR(__xludf.DUMMYFUNCTION("""COMPUTED_VALUE"""),44082.66666666667)</f>
        <v>44082.66667</v>
      </c>
      <c r="B168" s="2">
        <f>IFERROR(__xludf.DUMMYFUNCTION("""COMPUTED_VALUE"""),2950.0)</f>
        <v>2950</v>
      </c>
      <c r="C168" s="2">
        <f>IFERROR(__xludf.DUMMYFUNCTION("""COMPUTED_VALUE"""),3000.0)</f>
        <v>3000</v>
      </c>
      <c r="D168" s="2">
        <f>IFERROR(__xludf.DUMMYFUNCTION("""COMPUTED_VALUE"""),2937.5)</f>
        <v>2937.5</v>
      </c>
      <c r="E168" s="2">
        <f>IFERROR(__xludf.DUMMYFUNCTION("""COMPUTED_VALUE"""),2987.5)</f>
        <v>2987.5</v>
      </c>
      <c r="F168" s="2">
        <f>IFERROR(__xludf.DUMMYFUNCTION("""COMPUTED_VALUE"""),3.0173E7)</f>
        <v>30173000</v>
      </c>
      <c r="G168" s="2">
        <f t="shared" si="1"/>
        <v>75</v>
      </c>
    </row>
    <row r="169" ht="15.75" customHeight="1">
      <c r="A169" s="1">
        <f>IFERROR(__xludf.DUMMYFUNCTION("""COMPUTED_VALUE"""),44083.66666666667)</f>
        <v>44083.66667</v>
      </c>
      <c r="B169" s="2">
        <f>IFERROR(__xludf.DUMMYFUNCTION("""COMPUTED_VALUE"""),2950.0)</f>
        <v>2950</v>
      </c>
      <c r="C169" s="2">
        <f>IFERROR(__xludf.DUMMYFUNCTION("""COMPUTED_VALUE"""),2950.0)</f>
        <v>2950</v>
      </c>
      <c r="D169" s="2">
        <f>IFERROR(__xludf.DUMMYFUNCTION("""COMPUTED_VALUE"""),2875.0)</f>
        <v>2875</v>
      </c>
      <c r="E169" s="2">
        <f>IFERROR(__xludf.DUMMYFUNCTION("""COMPUTED_VALUE"""),2887.5)</f>
        <v>2887.5</v>
      </c>
      <c r="F169" s="2">
        <f>IFERROR(__xludf.DUMMYFUNCTION("""COMPUTED_VALUE"""),4.91411E7)</f>
        <v>49141100</v>
      </c>
      <c r="G169" s="2">
        <f t="shared" si="1"/>
        <v>112.5</v>
      </c>
    </row>
    <row r="170" ht="15.75" customHeight="1">
      <c r="A170" s="1">
        <f>IFERROR(__xludf.DUMMYFUNCTION("""COMPUTED_VALUE"""),44084.66666666667)</f>
        <v>44084.66667</v>
      </c>
      <c r="B170" s="2">
        <f>IFERROR(__xludf.DUMMYFUNCTION("""COMPUTED_VALUE"""),2762.5)</f>
        <v>2762.5</v>
      </c>
      <c r="C170" s="2">
        <f>IFERROR(__xludf.DUMMYFUNCTION("""COMPUTED_VALUE"""),2762.5)</f>
        <v>2762.5</v>
      </c>
      <c r="D170" s="2">
        <f>IFERROR(__xludf.DUMMYFUNCTION("""COMPUTED_VALUE"""),2687.5)</f>
        <v>2687.5</v>
      </c>
      <c r="E170" s="2">
        <f>IFERROR(__xludf.DUMMYFUNCTION("""COMPUTED_VALUE"""),2687.5)</f>
        <v>2687.5</v>
      </c>
      <c r="F170" s="2">
        <f>IFERROR(__xludf.DUMMYFUNCTION("""COMPUTED_VALUE"""),8.63876E7)</f>
        <v>86387600</v>
      </c>
      <c r="G170" s="2">
        <f t="shared" si="1"/>
        <v>200</v>
      </c>
    </row>
    <row r="171" ht="15.75" customHeight="1">
      <c r="A171" s="1">
        <f>IFERROR(__xludf.DUMMYFUNCTION("""COMPUTED_VALUE"""),44085.66666666667)</f>
        <v>44085.66667</v>
      </c>
      <c r="B171" s="2">
        <f>IFERROR(__xludf.DUMMYFUNCTION("""COMPUTED_VALUE"""),2525.0)</f>
        <v>2525</v>
      </c>
      <c r="C171" s="2">
        <f>IFERROR(__xludf.DUMMYFUNCTION("""COMPUTED_VALUE"""),2762.5)</f>
        <v>2762.5</v>
      </c>
      <c r="D171" s="2">
        <f>IFERROR(__xludf.DUMMYFUNCTION("""COMPUTED_VALUE"""),2525.0)</f>
        <v>2525</v>
      </c>
      <c r="E171" s="2">
        <f>IFERROR(__xludf.DUMMYFUNCTION("""COMPUTED_VALUE"""),2737.5)</f>
        <v>2737.5</v>
      </c>
      <c r="F171" s="2">
        <f>IFERROR(__xludf.DUMMYFUNCTION("""COMPUTED_VALUE"""),1.355779E8)</f>
        <v>135577900</v>
      </c>
      <c r="G171" s="2">
        <f t="shared" si="1"/>
        <v>237.5</v>
      </c>
    </row>
    <row r="172" ht="15.75" customHeight="1">
      <c r="A172" s="1">
        <f>IFERROR(__xludf.DUMMYFUNCTION("""COMPUTED_VALUE"""),44088.66666666667)</f>
        <v>44088.66667</v>
      </c>
      <c r="B172" s="2">
        <f>IFERROR(__xludf.DUMMYFUNCTION("""COMPUTED_VALUE"""),2737.5)</f>
        <v>2737.5</v>
      </c>
      <c r="C172" s="2">
        <f>IFERROR(__xludf.DUMMYFUNCTION("""COMPUTED_VALUE"""),2887.5)</f>
        <v>2887.5</v>
      </c>
      <c r="D172" s="2">
        <f>IFERROR(__xludf.DUMMYFUNCTION("""COMPUTED_VALUE"""),2737.5)</f>
        <v>2737.5</v>
      </c>
      <c r="E172" s="2">
        <f>IFERROR(__xludf.DUMMYFUNCTION("""COMPUTED_VALUE"""),2875.0)</f>
        <v>2875</v>
      </c>
      <c r="F172" s="2">
        <f>IFERROR(__xludf.DUMMYFUNCTION("""COMPUTED_VALUE"""),7.17849E7)</f>
        <v>71784900</v>
      </c>
      <c r="G172" s="2">
        <f t="shared" si="1"/>
        <v>150</v>
      </c>
    </row>
    <row r="173" ht="15.75" customHeight="1">
      <c r="A173" s="1">
        <f>IFERROR(__xludf.DUMMYFUNCTION("""COMPUTED_VALUE"""),44089.66666666667)</f>
        <v>44089.66667</v>
      </c>
      <c r="B173" s="2">
        <f>IFERROR(__xludf.DUMMYFUNCTION("""COMPUTED_VALUE"""),2875.0)</f>
        <v>2875</v>
      </c>
      <c r="C173" s="2">
        <f>IFERROR(__xludf.DUMMYFUNCTION("""COMPUTED_VALUE"""),2912.5)</f>
        <v>2912.5</v>
      </c>
      <c r="D173" s="2">
        <f>IFERROR(__xludf.DUMMYFUNCTION("""COMPUTED_VALUE"""),2800.0)</f>
        <v>2800</v>
      </c>
      <c r="E173" s="2">
        <f>IFERROR(__xludf.DUMMYFUNCTION("""COMPUTED_VALUE"""),2837.5)</f>
        <v>2837.5</v>
      </c>
      <c r="F173" s="2">
        <f>IFERROR(__xludf.DUMMYFUNCTION("""COMPUTED_VALUE"""),6.44637E7)</f>
        <v>64463700</v>
      </c>
      <c r="G173" s="2">
        <f t="shared" si="1"/>
        <v>112.5</v>
      </c>
    </row>
    <row r="174" ht="15.75" customHeight="1">
      <c r="A174" s="1">
        <f>IFERROR(__xludf.DUMMYFUNCTION("""COMPUTED_VALUE"""),44090.66666666667)</f>
        <v>44090.66667</v>
      </c>
      <c r="B174" s="2">
        <f>IFERROR(__xludf.DUMMYFUNCTION("""COMPUTED_VALUE"""),2875.0)</f>
        <v>2875</v>
      </c>
      <c r="C174" s="2">
        <f>IFERROR(__xludf.DUMMYFUNCTION("""COMPUTED_VALUE"""),2875.0)</f>
        <v>2875</v>
      </c>
      <c r="D174" s="2">
        <f>IFERROR(__xludf.DUMMYFUNCTION("""COMPUTED_VALUE"""),2812.5)</f>
        <v>2812.5</v>
      </c>
      <c r="E174" s="2">
        <f>IFERROR(__xludf.DUMMYFUNCTION("""COMPUTED_VALUE"""),2825.0)</f>
        <v>2825</v>
      </c>
      <c r="F174" s="2">
        <f>IFERROR(__xludf.DUMMYFUNCTION("""COMPUTED_VALUE"""),2.8968E7)</f>
        <v>28968000</v>
      </c>
      <c r="G174" s="2">
        <f t="shared" si="1"/>
        <v>62.5</v>
      </c>
    </row>
    <row r="175" ht="15.75" customHeight="1">
      <c r="A175" s="1">
        <f>IFERROR(__xludf.DUMMYFUNCTION("""COMPUTED_VALUE"""),44091.66666666667)</f>
        <v>44091.66667</v>
      </c>
      <c r="B175" s="2">
        <f>IFERROR(__xludf.DUMMYFUNCTION("""COMPUTED_VALUE"""),2800.0)</f>
        <v>2800</v>
      </c>
      <c r="C175" s="2">
        <f>IFERROR(__xludf.DUMMYFUNCTION("""COMPUTED_VALUE"""),2875.0)</f>
        <v>2875</v>
      </c>
      <c r="D175" s="2">
        <f>IFERROR(__xludf.DUMMYFUNCTION("""COMPUTED_VALUE"""),2762.5)</f>
        <v>2762.5</v>
      </c>
      <c r="E175" s="2">
        <f>IFERROR(__xludf.DUMMYFUNCTION("""COMPUTED_VALUE"""),2787.5)</f>
        <v>2787.5</v>
      </c>
      <c r="F175" s="2">
        <f>IFERROR(__xludf.DUMMYFUNCTION("""COMPUTED_VALUE"""),3.8216E7)</f>
        <v>38216000</v>
      </c>
      <c r="G175" s="2">
        <f t="shared" si="1"/>
        <v>112.5</v>
      </c>
    </row>
    <row r="176" ht="15.75" customHeight="1">
      <c r="A176" s="1">
        <f>IFERROR(__xludf.DUMMYFUNCTION("""COMPUTED_VALUE"""),44092.66666666667)</f>
        <v>44092.66667</v>
      </c>
      <c r="B176" s="2">
        <f>IFERROR(__xludf.DUMMYFUNCTION("""COMPUTED_VALUE"""),2787.5)</f>
        <v>2787.5</v>
      </c>
      <c r="C176" s="2">
        <f>IFERROR(__xludf.DUMMYFUNCTION("""COMPUTED_VALUE"""),2837.5)</f>
        <v>2837.5</v>
      </c>
      <c r="D176" s="2">
        <f>IFERROR(__xludf.DUMMYFUNCTION("""COMPUTED_VALUE"""),2750.0)</f>
        <v>2750</v>
      </c>
      <c r="E176" s="2">
        <f>IFERROR(__xludf.DUMMYFUNCTION("""COMPUTED_VALUE"""),2787.5)</f>
        <v>2787.5</v>
      </c>
      <c r="F176" s="2">
        <f>IFERROR(__xludf.DUMMYFUNCTION("""COMPUTED_VALUE"""),4.57983E7)</f>
        <v>45798300</v>
      </c>
      <c r="G176" s="2">
        <f t="shared" si="1"/>
        <v>87.5</v>
      </c>
    </row>
    <row r="177" ht="15.75" customHeight="1">
      <c r="A177" s="1">
        <f>IFERROR(__xludf.DUMMYFUNCTION("""COMPUTED_VALUE"""),44095.66666666667)</f>
        <v>44095.66667</v>
      </c>
      <c r="B177" s="2">
        <f>IFERROR(__xludf.DUMMYFUNCTION("""COMPUTED_VALUE"""),2787.5)</f>
        <v>2787.5</v>
      </c>
      <c r="C177" s="2">
        <f>IFERROR(__xludf.DUMMYFUNCTION("""COMPUTED_VALUE"""),2812.5)</f>
        <v>2812.5</v>
      </c>
      <c r="D177" s="2">
        <f>IFERROR(__xludf.DUMMYFUNCTION("""COMPUTED_VALUE"""),2700.0)</f>
        <v>2700</v>
      </c>
      <c r="E177" s="2">
        <f>IFERROR(__xludf.DUMMYFUNCTION("""COMPUTED_VALUE"""),2737.5)</f>
        <v>2737.5</v>
      </c>
      <c r="F177" s="2">
        <f>IFERROR(__xludf.DUMMYFUNCTION("""COMPUTED_VALUE"""),2.6465E7)</f>
        <v>26465000</v>
      </c>
      <c r="G177" s="2">
        <f t="shared" si="1"/>
        <v>112.5</v>
      </c>
    </row>
    <row r="178" ht="15.75" customHeight="1">
      <c r="A178" s="1">
        <f>IFERROR(__xludf.DUMMYFUNCTION("""COMPUTED_VALUE"""),44096.66666666667)</f>
        <v>44096.66667</v>
      </c>
      <c r="B178" s="2">
        <f>IFERROR(__xludf.DUMMYFUNCTION("""COMPUTED_VALUE"""),2650.0)</f>
        <v>2650</v>
      </c>
      <c r="C178" s="2">
        <f>IFERROR(__xludf.DUMMYFUNCTION("""COMPUTED_VALUE"""),2712.5)</f>
        <v>2712.5</v>
      </c>
      <c r="D178" s="2">
        <f>IFERROR(__xludf.DUMMYFUNCTION("""COMPUTED_VALUE"""),2637.5)</f>
        <v>2637.5</v>
      </c>
      <c r="E178" s="2">
        <f>IFERROR(__xludf.DUMMYFUNCTION("""COMPUTED_VALUE"""),2650.0)</f>
        <v>2650</v>
      </c>
      <c r="F178" s="2">
        <f>IFERROR(__xludf.DUMMYFUNCTION("""COMPUTED_VALUE"""),5.67983E7)</f>
        <v>56798300</v>
      </c>
      <c r="G178" s="2">
        <f t="shared" si="1"/>
        <v>100</v>
      </c>
    </row>
    <row r="179" ht="15.75" customHeight="1">
      <c r="A179" s="1">
        <f>IFERROR(__xludf.DUMMYFUNCTION("""COMPUTED_VALUE"""),44097.66666666667)</f>
        <v>44097.66667</v>
      </c>
      <c r="B179" s="2">
        <f>IFERROR(__xludf.DUMMYFUNCTION("""COMPUTED_VALUE"""),2650.0)</f>
        <v>2650</v>
      </c>
      <c r="C179" s="2">
        <f>IFERROR(__xludf.DUMMYFUNCTION("""COMPUTED_VALUE"""),2687.5)</f>
        <v>2687.5</v>
      </c>
      <c r="D179" s="2">
        <f>IFERROR(__xludf.DUMMYFUNCTION("""COMPUTED_VALUE"""),2562.5)</f>
        <v>2562.5</v>
      </c>
      <c r="E179" s="2">
        <f>IFERROR(__xludf.DUMMYFUNCTION("""COMPUTED_VALUE"""),2600.0)</f>
        <v>2600</v>
      </c>
      <c r="F179" s="2">
        <f>IFERROR(__xludf.DUMMYFUNCTION("""COMPUTED_VALUE"""),4.23554E7)</f>
        <v>42355400</v>
      </c>
      <c r="G179" s="2">
        <f t="shared" si="1"/>
        <v>125</v>
      </c>
    </row>
    <row r="180" ht="15.75" customHeight="1">
      <c r="A180" s="1">
        <f>IFERROR(__xludf.DUMMYFUNCTION("""COMPUTED_VALUE"""),44098.66666666667)</f>
        <v>44098.66667</v>
      </c>
      <c r="B180" s="2">
        <f>IFERROR(__xludf.DUMMYFUNCTION("""COMPUTED_VALUE"""),2525.0)</f>
        <v>2525</v>
      </c>
      <c r="C180" s="2">
        <f>IFERROR(__xludf.DUMMYFUNCTION("""COMPUTED_VALUE"""),2575.0)</f>
        <v>2575</v>
      </c>
      <c r="D180" s="2">
        <f>IFERROR(__xludf.DUMMYFUNCTION("""COMPUTED_VALUE"""),2500.0)</f>
        <v>2500</v>
      </c>
      <c r="E180" s="2">
        <f>IFERROR(__xludf.DUMMYFUNCTION("""COMPUTED_VALUE"""),2537.5)</f>
        <v>2537.5</v>
      </c>
      <c r="F180" s="2">
        <f>IFERROR(__xludf.DUMMYFUNCTION("""COMPUTED_VALUE"""),6.09825E7)</f>
        <v>60982500</v>
      </c>
      <c r="G180" s="2">
        <f t="shared" si="1"/>
        <v>100</v>
      </c>
    </row>
    <row r="181" ht="15.75" customHeight="1">
      <c r="A181" s="1">
        <f>IFERROR(__xludf.DUMMYFUNCTION("""COMPUTED_VALUE"""),44099.66666666667)</f>
        <v>44099.66667</v>
      </c>
      <c r="B181" s="2">
        <f>IFERROR(__xludf.DUMMYFUNCTION("""COMPUTED_VALUE"""),2600.0)</f>
        <v>2600</v>
      </c>
      <c r="C181" s="2">
        <f>IFERROR(__xludf.DUMMYFUNCTION("""COMPUTED_VALUE"""),2675.0)</f>
        <v>2675</v>
      </c>
      <c r="D181" s="2">
        <f>IFERROR(__xludf.DUMMYFUNCTION("""COMPUTED_VALUE"""),2537.5)</f>
        <v>2537.5</v>
      </c>
      <c r="E181" s="2">
        <f>IFERROR(__xludf.DUMMYFUNCTION("""COMPUTED_VALUE"""),2675.0)</f>
        <v>2675</v>
      </c>
      <c r="F181" s="2">
        <f>IFERROR(__xludf.DUMMYFUNCTION("""COMPUTED_VALUE"""),7.02278E7)</f>
        <v>70227800</v>
      </c>
      <c r="G181" s="2">
        <f t="shared" si="1"/>
        <v>137.5</v>
      </c>
    </row>
    <row r="182" ht="15.75" customHeight="1">
      <c r="A182" s="1">
        <f>IFERROR(__xludf.DUMMYFUNCTION("""COMPUTED_VALUE"""),44102.66666666667)</f>
        <v>44102.66667</v>
      </c>
      <c r="B182" s="2">
        <f>IFERROR(__xludf.DUMMYFUNCTION("""COMPUTED_VALUE"""),2700.0)</f>
        <v>2700</v>
      </c>
      <c r="C182" s="2">
        <f>IFERROR(__xludf.DUMMYFUNCTION("""COMPUTED_VALUE"""),2712.5)</f>
        <v>2712.5</v>
      </c>
      <c r="D182" s="2">
        <f>IFERROR(__xludf.DUMMYFUNCTION("""COMPUTED_VALUE"""),2575.0)</f>
        <v>2575</v>
      </c>
      <c r="E182" s="2">
        <f>IFERROR(__xludf.DUMMYFUNCTION("""COMPUTED_VALUE"""),2575.0)</f>
        <v>2575</v>
      </c>
      <c r="F182" s="2">
        <f>IFERROR(__xludf.DUMMYFUNCTION("""COMPUTED_VALUE"""),4.98513E7)</f>
        <v>49851300</v>
      </c>
      <c r="G182" s="2">
        <f t="shared" si="1"/>
        <v>137.5</v>
      </c>
    </row>
    <row r="183" ht="15.75" customHeight="1">
      <c r="A183" s="1">
        <f>IFERROR(__xludf.DUMMYFUNCTION("""COMPUTED_VALUE"""),44103.66666666667)</f>
        <v>44103.66667</v>
      </c>
      <c r="B183" s="2">
        <f>IFERROR(__xludf.DUMMYFUNCTION("""COMPUTED_VALUE"""),2600.0)</f>
        <v>2600</v>
      </c>
      <c r="C183" s="2">
        <f>IFERROR(__xludf.DUMMYFUNCTION("""COMPUTED_VALUE"""),2625.0)</f>
        <v>2625</v>
      </c>
      <c r="D183" s="2">
        <f>IFERROR(__xludf.DUMMYFUNCTION("""COMPUTED_VALUE"""),2512.5)</f>
        <v>2512.5</v>
      </c>
      <c r="E183" s="2">
        <f>IFERROR(__xludf.DUMMYFUNCTION("""COMPUTED_VALUE"""),2537.5)</f>
        <v>2537.5</v>
      </c>
      <c r="F183" s="2">
        <f>IFERROR(__xludf.DUMMYFUNCTION("""COMPUTED_VALUE"""),5.56628E7)</f>
        <v>55662800</v>
      </c>
      <c r="G183" s="2">
        <f t="shared" si="1"/>
        <v>112.5</v>
      </c>
    </row>
    <row r="184" ht="15.75" customHeight="1">
      <c r="A184" s="1">
        <f>IFERROR(__xludf.DUMMYFUNCTION("""COMPUTED_VALUE"""),44104.66666666667)</f>
        <v>44104.66667</v>
      </c>
      <c r="B184" s="2">
        <f>IFERROR(__xludf.DUMMYFUNCTION("""COMPUTED_VALUE"""),2550.0)</f>
        <v>2550</v>
      </c>
      <c r="C184" s="2">
        <f>IFERROR(__xludf.DUMMYFUNCTION("""COMPUTED_VALUE"""),2575.0)</f>
        <v>2575</v>
      </c>
      <c r="D184" s="2">
        <f>IFERROR(__xludf.DUMMYFUNCTION("""COMPUTED_VALUE"""),2430.0)</f>
        <v>2430</v>
      </c>
      <c r="E184" s="2">
        <f>IFERROR(__xludf.DUMMYFUNCTION("""COMPUTED_VALUE"""),2480.0)</f>
        <v>2480</v>
      </c>
      <c r="F184" s="2">
        <f>IFERROR(__xludf.DUMMYFUNCTION("""COMPUTED_VALUE"""),7.57649E7)</f>
        <v>75764900</v>
      </c>
      <c r="G184" s="2">
        <f t="shared" si="1"/>
        <v>145</v>
      </c>
    </row>
    <row r="185" ht="15.75" customHeight="1">
      <c r="A185" s="1">
        <f>IFERROR(__xludf.DUMMYFUNCTION("""COMPUTED_VALUE"""),44105.66666666667)</f>
        <v>44105.66667</v>
      </c>
      <c r="B185" s="2">
        <f>IFERROR(__xludf.DUMMYFUNCTION("""COMPUTED_VALUE"""),2500.0)</f>
        <v>2500</v>
      </c>
      <c r="C185" s="2">
        <f>IFERROR(__xludf.DUMMYFUNCTION("""COMPUTED_VALUE"""),2600.0)</f>
        <v>2600</v>
      </c>
      <c r="D185" s="2">
        <f>IFERROR(__xludf.DUMMYFUNCTION("""COMPUTED_VALUE"""),2490.0)</f>
        <v>2490</v>
      </c>
      <c r="E185" s="2">
        <f>IFERROR(__xludf.DUMMYFUNCTION("""COMPUTED_VALUE"""),2600.0)</f>
        <v>2600</v>
      </c>
      <c r="F185" s="2">
        <f>IFERROR(__xludf.DUMMYFUNCTION("""COMPUTED_VALUE"""),3.94771E7)</f>
        <v>39477100</v>
      </c>
      <c r="G185" s="2">
        <f t="shared" si="1"/>
        <v>120</v>
      </c>
    </row>
    <row r="186" ht="15.75" customHeight="1">
      <c r="A186" s="1">
        <f>IFERROR(__xludf.DUMMYFUNCTION("""COMPUTED_VALUE"""),44106.66666666667)</f>
        <v>44106.66667</v>
      </c>
      <c r="B186" s="2">
        <f>IFERROR(__xludf.DUMMYFUNCTION("""COMPUTED_VALUE"""),2587.5)</f>
        <v>2587.5</v>
      </c>
      <c r="C186" s="2">
        <f>IFERROR(__xludf.DUMMYFUNCTION("""COMPUTED_VALUE"""),2612.5)</f>
        <v>2612.5</v>
      </c>
      <c r="D186" s="2">
        <f>IFERROR(__xludf.DUMMYFUNCTION("""COMPUTED_VALUE"""),2500.0)</f>
        <v>2500</v>
      </c>
      <c r="E186" s="2">
        <f>IFERROR(__xludf.DUMMYFUNCTION("""COMPUTED_VALUE"""),2600.0)</f>
        <v>2600</v>
      </c>
      <c r="F186" s="2">
        <f>IFERROR(__xludf.DUMMYFUNCTION("""COMPUTED_VALUE"""),4.95717E7)</f>
        <v>49571700</v>
      </c>
      <c r="G186" s="2">
        <f t="shared" si="1"/>
        <v>112.5</v>
      </c>
    </row>
    <row r="187" ht="15.75" customHeight="1">
      <c r="A187" s="1">
        <f>IFERROR(__xludf.DUMMYFUNCTION("""COMPUTED_VALUE"""),44109.66666666667)</f>
        <v>44109.66667</v>
      </c>
      <c r="B187" s="2">
        <f>IFERROR(__xludf.DUMMYFUNCTION("""COMPUTED_VALUE"""),2625.0)</f>
        <v>2625</v>
      </c>
      <c r="C187" s="2">
        <f>IFERROR(__xludf.DUMMYFUNCTION("""COMPUTED_VALUE"""),2687.5)</f>
        <v>2687.5</v>
      </c>
      <c r="D187" s="2">
        <f>IFERROR(__xludf.DUMMYFUNCTION("""COMPUTED_VALUE"""),2587.5)</f>
        <v>2587.5</v>
      </c>
      <c r="E187" s="2">
        <f>IFERROR(__xludf.DUMMYFUNCTION("""COMPUTED_VALUE"""),2675.0)</f>
        <v>2675</v>
      </c>
      <c r="F187" s="2">
        <f>IFERROR(__xludf.DUMMYFUNCTION("""COMPUTED_VALUE"""),3.71504E7)</f>
        <v>37150400</v>
      </c>
      <c r="G187" s="2">
        <f t="shared" si="1"/>
        <v>100</v>
      </c>
    </row>
    <row r="188" ht="15.75" customHeight="1">
      <c r="A188" s="1">
        <f>IFERROR(__xludf.DUMMYFUNCTION("""COMPUTED_VALUE"""),44110.66666666667)</f>
        <v>44110.66667</v>
      </c>
      <c r="B188" s="2">
        <f>IFERROR(__xludf.DUMMYFUNCTION("""COMPUTED_VALUE"""),2750.0)</f>
        <v>2750</v>
      </c>
      <c r="C188" s="2">
        <f>IFERROR(__xludf.DUMMYFUNCTION("""COMPUTED_VALUE"""),2775.0)</f>
        <v>2775</v>
      </c>
      <c r="D188" s="2">
        <f>IFERROR(__xludf.DUMMYFUNCTION("""COMPUTED_VALUE"""),2725.0)</f>
        <v>2725</v>
      </c>
      <c r="E188" s="2">
        <f>IFERROR(__xludf.DUMMYFUNCTION("""COMPUTED_VALUE"""),2750.0)</f>
        <v>2750</v>
      </c>
      <c r="F188" s="2">
        <f>IFERROR(__xludf.DUMMYFUNCTION("""COMPUTED_VALUE"""),4.45522E7)</f>
        <v>44552200</v>
      </c>
      <c r="G188" s="2">
        <f t="shared" si="1"/>
        <v>100</v>
      </c>
    </row>
    <row r="189" ht="15.75" customHeight="1">
      <c r="A189" s="1">
        <f>IFERROR(__xludf.DUMMYFUNCTION("""COMPUTED_VALUE"""),44111.66666666667)</f>
        <v>44111.66667</v>
      </c>
      <c r="B189" s="2">
        <f>IFERROR(__xludf.DUMMYFUNCTION("""COMPUTED_VALUE"""),2700.0)</f>
        <v>2700</v>
      </c>
      <c r="C189" s="2">
        <f>IFERROR(__xludf.DUMMYFUNCTION("""COMPUTED_VALUE"""),2775.0)</f>
        <v>2775</v>
      </c>
      <c r="D189" s="2">
        <f>IFERROR(__xludf.DUMMYFUNCTION("""COMPUTED_VALUE"""),2687.5)</f>
        <v>2687.5</v>
      </c>
      <c r="E189" s="2">
        <f>IFERROR(__xludf.DUMMYFUNCTION("""COMPUTED_VALUE"""),2775.0)</f>
        <v>2775</v>
      </c>
      <c r="F189" s="2">
        <f>IFERROR(__xludf.DUMMYFUNCTION("""COMPUTED_VALUE"""),4.43743E7)</f>
        <v>44374300</v>
      </c>
      <c r="G189" s="2">
        <f t="shared" si="1"/>
        <v>87.5</v>
      </c>
    </row>
    <row r="190" ht="15.75" customHeight="1">
      <c r="A190" s="1">
        <f>IFERROR(__xludf.DUMMYFUNCTION("""COMPUTED_VALUE"""),44112.66666666667)</f>
        <v>44112.66667</v>
      </c>
      <c r="B190" s="2">
        <f>IFERROR(__xludf.DUMMYFUNCTION("""COMPUTED_VALUE"""),2775.0)</f>
        <v>2775</v>
      </c>
      <c r="C190" s="2">
        <f>IFERROR(__xludf.DUMMYFUNCTION("""COMPUTED_VALUE"""),2787.5)</f>
        <v>2787.5</v>
      </c>
      <c r="D190" s="2">
        <f>IFERROR(__xludf.DUMMYFUNCTION("""COMPUTED_VALUE"""),2712.5)</f>
        <v>2712.5</v>
      </c>
      <c r="E190" s="2">
        <f>IFERROR(__xludf.DUMMYFUNCTION("""COMPUTED_VALUE"""),2725.0)</f>
        <v>2725</v>
      </c>
      <c r="F190" s="2">
        <f>IFERROR(__xludf.DUMMYFUNCTION("""COMPUTED_VALUE"""),4.43817E7)</f>
        <v>44381700</v>
      </c>
      <c r="G190" s="2">
        <f t="shared" si="1"/>
        <v>75</v>
      </c>
    </row>
    <row r="191" ht="15.75" customHeight="1">
      <c r="A191" s="1">
        <f>IFERROR(__xludf.DUMMYFUNCTION("""COMPUTED_VALUE"""),44113.66666666667)</f>
        <v>44113.66667</v>
      </c>
      <c r="B191" s="2">
        <f>IFERROR(__xludf.DUMMYFUNCTION("""COMPUTED_VALUE"""),2725.0)</f>
        <v>2725</v>
      </c>
      <c r="C191" s="2">
        <f>IFERROR(__xludf.DUMMYFUNCTION("""COMPUTED_VALUE"""),2787.5)</f>
        <v>2787.5</v>
      </c>
      <c r="D191" s="2">
        <f>IFERROR(__xludf.DUMMYFUNCTION("""COMPUTED_VALUE"""),2725.0)</f>
        <v>2725</v>
      </c>
      <c r="E191" s="2">
        <f>IFERROR(__xludf.DUMMYFUNCTION("""COMPUTED_VALUE"""),2775.0)</f>
        <v>2775</v>
      </c>
      <c r="F191" s="2">
        <f>IFERROR(__xludf.DUMMYFUNCTION("""COMPUTED_VALUE"""),4.51243E7)</f>
        <v>45124300</v>
      </c>
      <c r="G191" s="2">
        <f t="shared" si="1"/>
        <v>62.5</v>
      </c>
    </row>
    <row r="192" ht="15.75" customHeight="1">
      <c r="A192" s="1">
        <f>IFERROR(__xludf.DUMMYFUNCTION("""COMPUTED_VALUE"""),44116.66666666667)</f>
        <v>44116.66667</v>
      </c>
      <c r="B192" s="2">
        <f>IFERROR(__xludf.DUMMYFUNCTION("""COMPUTED_VALUE"""),2787.5)</f>
        <v>2787.5</v>
      </c>
      <c r="C192" s="2">
        <f>IFERROR(__xludf.DUMMYFUNCTION("""COMPUTED_VALUE"""),2825.0)</f>
        <v>2825</v>
      </c>
      <c r="D192" s="2">
        <f>IFERROR(__xludf.DUMMYFUNCTION("""COMPUTED_VALUE"""),2775.0)</f>
        <v>2775</v>
      </c>
      <c r="E192" s="2">
        <f>IFERROR(__xludf.DUMMYFUNCTION("""COMPUTED_VALUE"""),2812.5)</f>
        <v>2812.5</v>
      </c>
      <c r="F192" s="2">
        <f>IFERROR(__xludf.DUMMYFUNCTION("""COMPUTED_VALUE"""),3.89735E7)</f>
        <v>38973500</v>
      </c>
      <c r="G192" s="2">
        <f t="shared" si="1"/>
        <v>50</v>
      </c>
    </row>
    <row r="193" ht="15.75" customHeight="1">
      <c r="A193" s="1">
        <f>IFERROR(__xludf.DUMMYFUNCTION("""COMPUTED_VALUE"""),44117.66666666667)</f>
        <v>44117.66667</v>
      </c>
      <c r="B193" s="2">
        <f>IFERROR(__xludf.DUMMYFUNCTION("""COMPUTED_VALUE"""),2812.5)</f>
        <v>2812.5</v>
      </c>
      <c r="C193" s="2">
        <f>IFERROR(__xludf.DUMMYFUNCTION("""COMPUTED_VALUE"""),2837.5)</f>
        <v>2837.5</v>
      </c>
      <c r="D193" s="2">
        <f>IFERROR(__xludf.DUMMYFUNCTION("""COMPUTED_VALUE"""),2762.5)</f>
        <v>2762.5</v>
      </c>
      <c r="E193" s="2">
        <f>IFERROR(__xludf.DUMMYFUNCTION("""COMPUTED_VALUE"""),2837.5)</f>
        <v>2837.5</v>
      </c>
      <c r="F193" s="2">
        <f>IFERROR(__xludf.DUMMYFUNCTION("""COMPUTED_VALUE"""),3.49317E7)</f>
        <v>34931700</v>
      </c>
      <c r="G193" s="2">
        <f t="shared" si="1"/>
        <v>75</v>
      </c>
    </row>
    <row r="194" ht="15.75" customHeight="1">
      <c r="A194" s="1">
        <f>IFERROR(__xludf.DUMMYFUNCTION("""COMPUTED_VALUE"""),44118.66666666667)</f>
        <v>44118.66667</v>
      </c>
      <c r="B194" s="2">
        <f>IFERROR(__xludf.DUMMYFUNCTION("""COMPUTED_VALUE"""),2862.5)</f>
        <v>2862.5</v>
      </c>
      <c r="C194" s="2">
        <f>IFERROR(__xludf.DUMMYFUNCTION("""COMPUTED_VALUE"""),2887.5)</f>
        <v>2887.5</v>
      </c>
      <c r="D194" s="2">
        <f>IFERROR(__xludf.DUMMYFUNCTION("""COMPUTED_VALUE"""),2812.5)</f>
        <v>2812.5</v>
      </c>
      <c r="E194" s="2">
        <f>IFERROR(__xludf.DUMMYFUNCTION("""COMPUTED_VALUE"""),2887.5)</f>
        <v>2887.5</v>
      </c>
      <c r="F194" s="2">
        <f>IFERROR(__xludf.DUMMYFUNCTION("""COMPUTED_VALUE"""),5.48936E7)</f>
        <v>54893600</v>
      </c>
      <c r="G194" s="2">
        <f t="shared" si="1"/>
        <v>75</v>
      </c>
    </row>
    <row r="195" ht="15.75" customHeight="1">
      <c r="A195" s="1">
        <f>IFERROR(__xludf.DUMMYFUNCTION("""COMPUTED_VALUE"""),44119.66666666667)</f>
        <v>44119.66667</v>
      </c>
      <c r="B195" s="2">
        <f>IFERROR(__xludf.DUMMYFUNCTION("""COMPUTED_VALUE"""),2850.0)</f>
        <v>2850</v>
      </c>
      <c r="C195" s="2">
        <f>IFERROR(__xludf.DUMMYFUNCTION("""COMPUTED_VALUE"""),2875.0)</f>
        <v>2875</v>
      </c>
      <c r="D195" s="2">
        <f>IFERROR(__xludf.DUMMYFUNCTION("""COMPUTED_VALUE"""),2800.0)</f>
        <v>2800</v>
      </c>
      <c r="E195" s="2">
        <f>IFERROR(__xludf.DUMMYFUNCTION("""COMPUTED_VALUE"""),2800.0)</f>
        <v>2800</v>
      </c>
      <c r="F195" s="2">
        <f>IFERROR(__xludf.DUMMYFUNCTION("""COMPUTED_VALUE"""),3.86446E7)</f>
        <v>38644600</v>
      </c>
      <c r="G195" s="2">
        <f t="shared" si="1"/>
        <v>87.5</v>
      </c>
    </row>
    <row r="196" ht="15.75" customHeight="1">
      <c r="A196" s="1">
        <f>IFERROR(__xludf.DUMMYFUNCTION("""COMPUTED_VALUE"""),44120.66666666667)</f>
        <v>44120.66667</v>
      </c>
      <c r="B196" s="2">
        <f>IFERROR(__xludf.DUMMYFUNCTION("""COMPUTED_VALUE"""),2800.0)</f>
        <v>2800</v>
      </c>
      <c r="C196" s="2">
        <f>IFERROR(__xludf.DUMMYFUNCTION("""COMPUTED_VALUE"""),2825.0)</f>
        <v>2825</v>
      </c>
      <c r="D196" s="2">
        <f>IFERROR(__xludf.DUMMYFUNCTION("""COMPUTED_VALUE"""),2725.0)</f>
        <v>2725</v>
      </c>
      <c r="E196" s="2">
        <f>IFERROR(__xludf.DUMMYFUNCTION("""COMPUTED_VALUE"""),2787.5)</f>
        <v>2787.5</v>
      </c>
      <c r="F196" s="2">
        <f>IFERROR(__xludf.DUMMYFUNCTION("""COMPUTED_VALUE"""),3.39089E7)</f>
        <v>33908900</v>
      </c>
      <c r="G196" s="2">
        <f t="shared" si="1"/>
        <v>100</v>
      </c>
    </row>
    <row r="197" ht="15.75" customHeight="1">
      <c r="A197" s="1">
        <f>IFERROR(__xludf.DUMMYFUNCTION("""COMPUTED_VALUE"""),44123.66666666667)</f>
        <v>44123.66667</v>
      </c>
      <c r="B197" s="2">
        <f>IFERROR(__xludf.DUMMYFUNCTION("""COMPUTED_VALUE"""),2800.0)</f>
        <v>2800</v>
      </c>
      <c r="C197" s="2">
        <f>IFERROR(__xludf.DUMMYFUNCTION("""COMPUTED_VALUE"""),2862.5)</f>
        <v>2862.5</v>
      </c>
      <c r="D197" s="2">
        <f>IFERROR(__xludf.DUMMYFUNCTION("""COMPUTED_VALUE"""),2787.5)</f>
        <v>2787.5</v>
      </c>
      <c r="E197" s="2">
        <f>IFERROR(__xludf.DUMMYFUNCTION("""COMPUTED_VALUE"""),2850.0)</f>
        <v>2850</v>
      </c>
      <c r="F197" s="2">
        <f>IFERROR(__xludf.DUMMYFUNCTION("""COMPUTED_VALUE"""),2.94681E7)</f>
        <v>29468100</v>
      </c>
      <c r="G197" s="2">
        <f t="shared" si="1"/>
        <v>75</v>
      </c>
    </row>
    <row r="198" ht="15.75" customHeight="1">
      <c r="A198" s="1">
        <f>IFERROR(__xludf.DUMMYFUNCTION("""COMPUTED_VALUE"""),44124.66666666667)</f>
        <v>44124.66667</v>
      </c>
      <c r="B198" s="2">
        <f>IFERROR(__xludf.DUMMYFUNCTION("""COMPUTED_VALUE"""),2862.5)</f>
        <v>2862.5</v>
      </c>
      <c r="C198" s="2">
        <f>IFERROR(__xludf.DUMMYFUNCTION("""COMPUTED_VALUE"""),2875.0)</f>
        <v>2875</v>
      </c>
      <c r="D198" s="2">
        <f>IFERROR(__xludf.DUMMYFUNCTION("""COMPUTED_VALUE"""),2800.0)</f>
        <v>2800</v>
      </c>
      <c r="E198" s="2">
        <f>IFERROR(__xludf.DUMMYFUNCTION("""COMPUTED_VALUE"""),2825.0)</f>
        <v>2825</v>
      </c>
      <c r="F198" s="2">
        <f>IFERROR(__xludf.DUMMYFUNCTION("""COMPUTED_VALUE"""),3.86066E7)</f>
        <v>38606600</v>
      </c>
      <c r="G198" s="2">
        <f t="shared" si="1"/>
        <v>75</v>
      </c>
    </row>
    <row r="199" ht="15.75" customHeight="1">
      <c r="A199" s="1">
        <f>IFERROR(__xludf.DUMMYFUNCTION("""COMPUTED_VALUE"""),44125.66666666667)</f>
        <v>44125.66667</v>
      </c>
      <c r="B199" s="2">
        <f>IFERROR(__xludf.DUMMYFUNCTION("""COMPUTED_VALUE"""),2837.5)</f>
        <v>2837.5</v>
      </c>
      <c r="C199" s="2">
        <f>IFERROR(__xludf.DUMMYFUNCTION("""COMPUTED_VALUE"""),2862.5)</f>
        <v>2862.5</v>
      </c>
      <c r="D199" s="2">
        <f>IFERROR(__xludf.DUMMYFUNCTION("""COMPUTED_VALUE"""),2737.5)</f>
        <v>2737.5</v>
      </c>
      <c r="E199" s="2">
        <f>IFERROR(__xludf.DUMMYFUNCTION("""COMPUTED_VALUE"""),2762.5)</f>
        <v>2762.5</v>
      </c>
      <c r="F199" s="2">
        <f>IFERROR(__xludf.DUMMYFUNCTION("""COMPUTED_VALUE"""),5.69509E7)</f>
        <v>56950900</v>
      </c>
      <c r="G199" s="2">
        <f t="shared" si="1"/>
        <v>125</v>
      </c>
    </row>
    <row r="200" ht="15.75" customHeight="1">
      <c r="A200" s="1">
        <f>IFERROR(__xludf.DUMMYFUNCTION("""COMPUTED_VALUE"""),44126.66666666667)</f>
        <v>44126.66667</v>
      </c>
      <c r="B200" s="2">
        <f>IFERROR(__xludf.DUMMYFUNCTION("""COMPUTED_VALUE"""),2750.0)</f>
        <v>2750</v>
      </c>
      <c r="C200" s="2">
        <f>IFERROR(__xludf.DUMMYFUNCTION("""COMPUTED_VALUE"""),2775.0)</f>
        <v>2775</v>
      </c>
      <c r="D200" s="2">
        <f>IFERROR(__xludf.DUMMYFUNCTION("""COMPUTED_VALUE"""),2700.0)</f>
        <v>2700</v>
      </c>
      <c r="E200" s="2">
        <f>IFERROR(__xludf.DUMMYFUNCTION("""COMPUTED_VALUE"""),2725.0)</f>
        <v>2725</v>
      </c>
      <c r="F200" s="2">
        <f>IFERROR(__xludf.DUMMYFUNCTION("""COMPUTED_VALUE"""),6.93507E7)</f>
        <v>69350700</v>
      </c>
      <c r="G200" s="2">
        <f t="shared" si="1"/>
        <v>75</v>
      </c>
    </row>
    <row r="201" ht="15.75" customHeight="1">
      <c r="A201" s="1">
        <f>IFERROR(__xludf.DUMMYFUNCTION("""COMPUTED_VALUE"""),44127.66666666667)</f>
        <v>44127.66667</v>
      </c>
      <c r="B201" s="2">
        <f>IFERROR(__xludf.DUMMYFUNCTION("""COMPUTED_VALUE"""),2762.5)</f>
        <v>2762.5</v>
      </c>
      <c r="C201" s="2">
        <f>IFERROR(__xludf.DUMMYFUNCTION("""COMPUTED_VALUE"""),2787.5)</f>
        <v>2787.5</v>
      </c>
      <c r="D201" s="2">
        <f>IFERROR(__xludf.DUMMYFUNCTION("""COMPUTED_VALUE"""),2737.5)</f>
        <v>2737.5</v>
      </c>
      <c r="E201" s="2">
        <f>IFERROR(__xludf.DUMMYFUNCTION("""COMPUTED_VALUE"""),2775.0)</f>
        <v>2775</v>
      </c>
      <c r="F201" s="2">
        <f>IFERROR(__xludf.DUMMYFUNCTION("""COMPUTED_VALUE"""),3.29501E7)</f>
        <v>32950100</v>
      </c>
      <c r="G201" s="2">
        <f t="shared" si="1"/>
        <v>62.5</v>
      </c>
    </row>
    <row r="202" ht="15.75" customHeight="1">
      <c r="A202" s="1">
        <f>IFERROR(__xludf.DUMMYFUNCTION("""COMPUTED_VALUE"""),44130.66666666667)</f>
        <v>44130.66667</v>
      </c>
      <c r="B202" s="2">
        <f>IFERROR(__xludf.DUMMYFUNCTION("""COMPUTED_VALUE"""),2812.5)</f>
        <v>2812.5</v>
      </c>
      <c r="C202" s="2">
        <f>IFERROR(__xludf.DUMMYFUNCTION("""COMPUTED_VALUE"""),2925.0)</f>
        <v>2925</v>
      </c>
      <c r="D202" s="2">
        <f>IFERROR(__xludf.DUMMYFUNCTION("""COMPUTED_VALUE"""),2812.5)</f>
        <v>2812.5</v>
      </c>
      <c r="E202" s="2">
        <f>IFERROR(__xludf.DUMMYFUNCTION("""COMPUTED_VALUE"""),2887.5)</f>
        <v>2887.5</v>
      </c>
      <c r="F202" s="2">
        <f>IFERROR(__xludf.DUMMYFUNCTION("""COMPUTED_VALUE"""),9.42872E7)</f>
        <v>94287200</v>
      </c>
      <c r="G202" s="2">
        <f t="shared" si="1"/>
        <v>150</v>
      </c>
    </row>
    <row r="203" ht="15.75" customHeight="1">
      <c r="A203" s="1">
        <f>IFERROR(__xludf.DUMMYFUNCTION("""COMPUTED_VALUE"""),44131.66666666667)</f>
        <v>44131.66667</v>
      </c>
      <c r="B203" s="2">
        <f>IFERROR(__xludf.DUMMYFUNCTION("""COMPUTED_VALUE"""),2875.0)</f>
        <v>2875</v>
      </c>
      <c r="C203" s="2">
        <f>IFERROR(__xludf.DUMMYFUNCTION("""COMPUTED_VALUE"""),2925.0)</f>
        <v>2925</v>
      </c>
      <c r="D203" s="2">
        <f>IFERROR(__xludf.DUMMYFUNCTION("""COMPUTED_VALUE"""),2850.0)</f>
        <v>2850</v>
      </c>
      <c r="E203" s="2">
        <f>IFERROR(__xludf.DUMMYFUNCTION("""COMPUTED_VALUE"""),2887.5)</f>
        <v>2887.5</v>
      </c>
      <c r="F203" s="2">
        <f>IFERROR(__xludf.DUMMYFUNCTION("""COMPUTED_VALUE"""),5.63479E7)</f>
        <v>56347900</v>
      </c>
      <c r="G203" s="2">
        <f t="shared" si="1"/>
        <v>75</v>
      </c>
    </row>
    <row r="204" ht="15.75" customHeight="1">
      <c r="A204" s="1">
        <f>IFERROR(__xludf.DUMMYFUNCTION("""COMPUTED_VALUE"""),44137.66666666667)</f>
        <v>44137.66667</v>
      </c>
      <c r="B204" s="2">
        <f>IFERROR(__xludf.DUMMYFUNCTION("""COMPUTED_VALUE"""),2837.5)</f>
        <v>2837.5</v>
      </c>
      <c r="C204" s="2">
        <f>IFERROR(__xludf.DUMMYFUNCTION("""COMPUTED_VALUE"""),3012.5)</f>
        <v>3012.5</v>
      </c>
      <c r="D204" s="2">
        <f>IFERROR(__xludf.DUMMYFUNCTION("""COMPUTED_VALUE"""),2800.0)</f>
        <v>2800</v>
      </c>
      <c r="E204" s="2">
        <f>IFERROR(__xludf.DUMMYFUNCTION("""COMPUTED_VALUE"""),2987.5)</f>
        <v>2987.5</v>
      </c>
      <c r="F204" s="2">
        <f>IFERROR(__xludf.DUMMYFUNCTION("""COMPUTED_VALUE"""),1.084314E8)</f>
        <v>108431400</v>
      </c>
      <c r="G204" s="2">
        <f t="shared" si="1"/>
        <v>212.5</v>
      </c>
    </row>
    <row r="205" ht="15.75" customHeight="1">
      <c r="A205" s="1">
        <f>IFERROR(__xludf.DUMMYFUNCTION("""COMPUTED_VALUE"""),44138.66666666667)</f>
        <v>44138.66667</v>
      </c>
      <c r="B205" s="2">
        <f>IFERROR(__xludf.DUMMYFUNCTION("""COMPUTED_VALUE"""),2987.5)</f>
        <v>2987.5</v>
      </c>
      <c r="C205" s="2">
        <f>IFERROR(__xludf.DUMMYFUNCTION("""COMPUTED_VALUE"""),3000.0)</f>
        <v>3000</v>
      </c>
      <c r="D205" s="2">
        <f>IFERROR(__xludf.DUMMYFUNCTION("""COMPUTED_VALUE"""),2950.0)</f>
        <v>2950</v>
      </c>
      <c r="E205" s="2">
        <f>IFERROR(__xludf.DUMMYFUNCTION("""COMPUTED_VALUE"""),3000.0)</f>
        <v>3000</v>
      </c>
      <c r="F205" s="2">
        <f>IFERROR(__xludf.DUMMYFUNCTION("""COMPUTED_VALUE"""),3.79817E7)</f>
        <v>37981700</v>
      </c>
      <c r="G205" s="2">
        <f t="shared" si="1"/>
        <v>50</v>
      </c>
    </row>
    <row r="206" ht="15.75" customHeight="1">
      <c r="A206" s="1">
        <f>IFERROR(__xludf.DUMMYFUNCTION("""COMPUTED_VALUE"""),44139.66666666667)</f>
        <v>44139.66667</v>
      </c>
      <c r="B206" s="2">
        <f>IFERROR(__xludf.DUMMYFUNCTION("""COMPUTED_VALUE"""),2975.0)</f>
        <v>2975</v>
      </c>
      <c r="C206" s="2">
        <f>IFERROR(__xludf.DUMMYFUNCTION("""COMPUTED_VALUE"""),3012.5)</f>
        <v>3012.5</v>
      </c>
      <c r="D206" s="2">
        <f>IFERROR(__xludf.DUMMYFUNCTION("""COMPUTED_VALUE"""),2850.0)</f>
        <v>2850</v>
      </c>
      <c r="E206" s="2">
        <f>IFERROR(__xludf.DUMMYFUNCTION("""COMPUTED_VALUE"""),2850.0)</f>
        <v>2850</v>
      </c>
      <c r="F206" s="2">
        <f>IFERROR(__xludf.DUMMYFUNCTION("""COMPUTED_VALUE"""),7.64087E7)</f>
        <v>76408700</v>
      </c>
      <c r="G206" s="2">
        <f t="shared" si="1"/>
        <v>162.5</v>
      </c>
    </row>
    <row r="207" ht="15.75" customHeight="1">
      <c r="A207" s="1">
        <f>IFERROR(__xludf.DUMMYFUNCTION("""COMPUTED_VALUE"""),44140.66666666667)</f>
        <v>44140.66667</v>
      </c>
      <c r="B207" s="2">
        <f>IFERROR(__xludf.DUMMYFUNCTION("""COMPUTED_VALUE"""),2937.5)</f>
        <v>2937.5</v>
      </c>
      <c r="C207" s="2">
        <f>IFERROR(__xludf.DUMMYFUNCTION("""COMPUTED_VALUE"""),3000.0)</f>
        <v>3000</v>
      </c>
      <c r="D207" s="2">
        <f>IFERROR(__xludf.DUMMYFUNCTION("""COMPUTED_VALUE"""),2912.5)</f>
        <v>2912.5</v>
      </c>
      <c r="E207" s="2">
        <f>IFERROR(__xludf.DUMMYFUNCTION("""COMPUTED_VALUE"""),2987.5)</f>
        <v>2987.5</v>
      </c>
      <c r="F207" s="2">
        <f>IFERROR(__xludf.DUMMYFUNCTION("""COMPUTED_VALUE"""),8.79387E7)</f>
        <v>87938700</v>
      </c>
      <c r="G207" s="2">
        <f t="shared" si="1"/>
        <v>150</v>
      </c>
    </row>
    <row r="208" ht="15.75" customHeight="1">
      <c r="A208" s="1">
        <f>IFERROR(__xludf.DUMMYFUNCTION("""COMPUTED_VALUE"""),44141.66666666667)</f>
        <v>44141.66667</v>
      </c>
      <c r="B208" s="2">
        <f>IFERROR(__xludf.DUMMYFUNCTION("""COMPUTED_VALUE"""),2987.5)</f>
        <v>2987.5</v>
      </c>
      <c r="C208" s="2">
        <f>IFERROR(__xludf.DUMMYFUNCTION("""COMPUTED_VALUE"""),3050.0)</f>
        <v>3050</v>
      </c>
      <c r="D208" s="2">
        <f>IFERROR(__xludf.DUMMYFUNCTION("""COMPUTED_VALUE"""),2962.5)</f>
        <v>2962.5</v>
      </c>
      <c r="E208" s="2">
        <f>IFERROR(__xludf.DUMMYFUNCTION("""COMPUTED_VALUE"""),3025.0)</f>
        <v>3025</v>
      </c>
      <c r="F208" s="2">
        <f>IFERROR(__xludf.DUMMYFUNCTION("""COMPUTED_VALUE"""),8.21095E7)</f>
        <v>82109500</v>
      </c>
      <c r="G208" s="2">
        <f t="shared" si="1"/>
        <v>87.5</v>
      </c>
    </row>
    <row r="209" ht="15.75" customHeight="1">
      <c r="A209" s="1">
        <f>IFERROR(__xludf.DUMMYFUNCTION("""COMPUTED_VALUE"""),44144.66666666667)</f>
        <v>44144.66667</v>
      </c>
      <c r="B209" s="2">
        <f>IFERROR(__xludf.DUMMYFUNCTION("""COMPUTED_VALUE"""),3125.0)</f>
        <v>3125</v>
      </c>
      <c r="C209" s="2">
        <f>IFERROR(__xludf.DUMMYFUNCTION("""COMPUTED_VALUE"""),3150.0)</f>
        <v>3150</v>
      </c>
      <c r="D209" s="2">
        <f>IFERROR(__xludf.DUMMYFUNCTION("""COMPUTED_VALUE"""),3025.0)</f>
        <v>3025</v>
      </c>
      <c r="E209" s="2">
        <f>IFERROR(__xludf.DUMMYFUNCTION("""COMPUTED_VALUE"""),3075.0)</f>
        <v>3075</v>
      </c>
      <c r="F209" s="2">
        <f>IFERROR(__xludf.DUMMYFUNCTION("""COMPUTED_VALUE"""),6.13266E7)</f>
        <v>61326600</v>
      </c>
      <c r="G209" s="2">
        <f t="shared" si="1"/>
        <v>125</v>
      </c>
    </row>
    <row r="210" ht="15.75" customHeight="1">
      <c r="A210" s="1">
        <f>IFERROR(__xludf.DUMMYFUNCTION("""COMPUTED_VALUE"""),44145.66666666667)</f>
        <v>44145.66667</v>
      </c>
      <c r="B210" s="2">
        <f>IFERROR(__xludf.DUMMYFUNCTION("""COMPUTED_VALUE"""),3200.0)</f>
        <v>3200</v>
      </c>
      <c r="C210" s="2">
        <f>IFERROR(__xludf.DUMMYFUNCTION("""COMPUTED_VALUE"""),3262.5)</f>
        <v>3262.5</v>
      </c>
      <c r="D210" s="2">
        <f>IFERROR(__xludf.DUMMYFUNCTION("""COMPUTED_VALUE"""),3150.0)</f>
        <v>3150</v>
      </c>
      <c r="E210" s="2">
        <f>IFERROR(__xludf.DUMMYFUNCTION("""COMPUTED_VALUE"""),3187.5)</f>
        <v>3187.5</v>
      </c>
      <c r="F210" s="2">
        <f>IFERROR(__xludf.DUMMYFUNCTION("""COMPUTED_VALUE"""),1.247944E8)</f>
        <v>124794400</v>
      </c>
      <c r="G210" s="2">
        <f t="shared" si="1"/>
        <v>187.5</v>
      </c>
    </row>
    <row r="211" ht="15.75" customHeight="1">
      <c r="A211" s="1">
        <f>IFERROR(__xludf.DUMMYFUNCTION("""COMPUTED_VALUE"""),44146.66666666667)</f>
        <v>44146.66667</v>
      </c>
      <c r="B211" s="2">
        <f>IFERROR(__xludf.DUMMYFUNCTION("""COMPUTED_VALUE"""),3212.5)</f>
        <v>3212.5</v>
      </c>
      <c r="C211" s="2">
        <f>IFERROR(__xludf.DUMMYFUNCTION("""COMPUTED_VALUE"""),3250.0)</f>
        <v>3250</v>
      </c>
      <c r="D211" s="2">
        <f>IFERROR(__xludf.DUMMYFUNCTION("""COMPUTED_VALUE"""),3175.0)</f>
        <v>3175</v>
      </c>
      <c r="E211" s="2">
        <f>IFERROR(__xludf.DUMMYFUNCTION("""COMPUTED_VALUE"""),3187.5)</f>
        <v>3187.5</v>
      </c>
      <c r="F211" s="2">
        <f>IFERROR(__xludf.DUMMYFUNCTION("""COMPUTED_VALUE"""),8.32451E7)</f>
        <v>83245100</v>
      </c>
      <c r="G211" s="2">
        <f t="shared" si="1"/>
        <v>75</v>
      </c>
    </row>
    <row r="212" ht="15.75" customHeight="1">
      <c r="A212" s="1">
        <f>IFERROR(__xludf.DUMMYFUNCTION("""COMPUTED_VALUE"""),44147.66666666667)</f>
        <v>44147.66667</v>
      </c>
      <c r="B212" s="2">
        <f>IFERROR(__xludf.DUMMYFUNCTION("""COMPUTED_VALUE"""),3187.5)</f>
        <v>3187.5</v>
      </c>
      <c r="C212" s="2">
        <f>IFERROR(__xludf.DUMMYFUNCTION("""COMPUTED_VALUE"""),3200.0)</f>
        <v>3200</v>
      </c>
      <c r="D212" s="2">
        <f>IFERROR(__xludf.DUMMYFUNCTION("""COMPUTED_VALUE"""),3050.0)</f>
        <v>3050</v>
      </c>
      <c r="E212" s="2">
        <f>IFERROR(__xludf.DUMMYFUNCTION("""COMPUTED_VALUE"""),3087.5)</f>
        <v>3087.5</v>
      </c>
      <c r="F212" s="2">
        <f>IFERROR(__xludf.DUMMYFUNCTION("""COMPUTED_VALUE"""),6.80753E7)</f>
        <v>68075300</v>
      </c>
      <c r="G212" s="2">
        <f t="shared" si="1"/>
        <v>150</v>
      </c>
    </row>
    <row r="213" ht="15.75" customHeight="1">
      <c r="A213" s="1">
        <f>IFERROR(__xludf.DUMMYFUNCTION("""COMPUTED_VALUE"""),44148.66666666667)</f>
        <v>44148.66667</v>
      </c>
      <c r="B213" s="2">
        <f>IFERROR(__xludf.DUMMYFUNCTION("""COMPUTED_VALUE"""),3050.0)</f>
        <v>3050</v>
      </c>
      <c r="C213" s="2">
        <f>IFERROR(__xludf.DUMMYFUNCTION("""COMPUTED_VALUE"""),3125.0)</f>
        <v>3125</v>
      </c>
      <c r="D213" s="2">
        <f>IFERROR(__xludf.DUMMYFUNCTION("""COMPUTED_VALUE"""),3037.5)</f>
        <v>3037.5</v>
      </c>
      <c r="E213" s="2">
        <f>IFERROR(__xludf.DUMMYFUNCTION("""COMPUTED_VALUE"""),3125.0)</f>
        <v>3125</v>
      </c>
      <c r="F213" s="2">
        <f>IFERROR(__xludf.DUMMYFUNCTION("""COMPUTED_VALUE"""),6.10219E7)</f>
        <v>61021900</v>
      </c>
      <c r="G213" s="2">
        <f t="shared" si="1"/>
        <v>87.5</v>
      </c>
    </row>
    <row r="214" ht="15.75" customHeight="1">
      <c r="A214" s="1">
        <f>IFERROR(__xludf.DUMMYFUNCTION("""COMPUTED_VALUE"""),44151.66666666667)</f>
        <v>44151.66667</v>
      </c>
      <c r="B214" s="2">
        <f>IFERROR(__xludf.DUMMYFUNCTION("""COMPUTED_VALUE"""),3150.0)</f>
        <v>3150</v>
      </c>
      <c r="C214" s="2">
        <f>IFERROR(__xludf.DUMMYFUNCTION("""COMPUTED_VALUE"""),3225.0)</f>
        <v>3225</v>
      </c>
      <c r="D214" s="2">
        <f>IFERROR(__xludf.DUMMYFUNCTION("""COMPUTED_VALUE"""),3075.0)</f>
        <v>3075</v>
      </c>
      <c r="E214" s="2">
        <f>IFERROR(__xludf.DUMMYFUNCTION("""COMPUTED_VALUE"""),3100.0)</f>
        <v>3100</v>
      </c>
      <c r="F214" s="2">
        <f>IFERROR(__xludf.DUMMYFUNCTION("""COMPUTED_VALUE"""),6.69588E7)</f>
        <v>66958800</v>
      </c>
      <c r="G214" s="2">
        <f t="shared" si="1"/>
        <v>150</v>
      </c>
    </row>
    <row r="215" ht="15.75" customHeight="1">
      <c r="A215" s="1">
        <f>IFERROR(__xludf.DUMMYFUNCTION("""COMPUTED_VALUE"""),44152.66666666667)</f>
        <v>44152.66667</v>
      </c>
      <c r="B215" s="2">
        <f>IFERROR(__xludf.DUMMYFUNCTION("""COMPUTED_VALUE"""),3137.5)</f>
        <v>3137.5</v>
      </c>
      <c r="C215" s="2">
        <f>IFERROR(__xludf.DUMMYFUNCTION("""COMPUTED_VALUE"""),3187.5)</f>
        <v>3187.5</v>
      </c>
      <c r="D215" s="2">
        <f>IFERROR(__xludf.DUMMYFUNCTION("""COMPUTED_VALUE"""),3100.0)</f>
        <v>3100</v>
      </c>
      <c r="E215" s="2">
        <f>IFERROR(__xludf.DUMMYFUNCTION("""COMPUTED_VALUE"""),3125.0)</f>
        <v>3125</v>
      </c>
      <c r="F215" s="2">
        <f>IFERROR(__xludf.DUMMYFUNCTION("""COMPUTED_VALUE"""),5.31308E7)</f>
        <v>53130800</v>
      </c>
      <c r="G215" s="2">
        <f t="shared" si="1"/>
        <v>87.5</v>
      </c>
    </row>
    <row r="216" ht="15.75" customHeight="1">
      <c r="A216" s="1">
        <f>IFERROR(__xludf.DUMMYFUNCTION("""COMPUTED_VALUE"""),44153.66666666667)</f>
        <v>44153.66667</v>
      </c>
      <c r="B216" s="2">
        <f>IFERROR(__xludf.DUMMYFUNCTION("""COMPUTED_VALUE"""),3075.0)</f>
        <v>3075</v>
      </c>
      <c r="C216" s="2">
        <f>IFERROR(__xludf.DUMMYFUNCTION("""COMPUTED_VALUE"""),3175.0)</f>
        <v>3175</v>
      </c>
      <c r="D216" s="2">
        <f>IFERROR(__xludf.DUMMYFUNCTION("""COMPUTED_VALUE"""),3075.0)</f>
        <v>3075</v>
      </c>
      <c r="E216" s="2">
        <f>IFERROR(__xludf.DUMMYFUNCTION("""COMPUTED_VALUE"""),3175.0)</f>
        <v>3175</v>
      </c>
      <c r="F216" s="2">
        <f>IFERROR(__xludf.DUMMYFUNCTION("""COMPUTED_VALUE"""),6.2468E7)</f>
        <v>62468000</v>
      </c>
      <c r="G216" s="2">
        <f t="shared" si="1"/>
        <v>100</v>
      </c>
    </row>
    <row r="217" ht="15.75" customHeight="1">
      <c r="A217" s="1">
        <f>IFERROR(__xludf.DUMMYFUNCTION("""COMPUTED_VALUE"""),44154.66666666667)</f>
        <v>44154.66667</v>
      </c>
      <c r="B217" s="2">
        <f>IFERROR(__xludf.DUMMYFUNCTION("""COMPUTED_VALUE"""),3125.0)</f>
        <v>3125</v>
      </c>
      <c r="C217" s="2">
        <f>IFERROR(__xludf.DUMMYFUNCTION("""COMPUTED_VALUE"""),3175.0)</f>
        <v>3175</v>
      </c>
      <c r="D217" s="2">
        <f>IFERROR(__xludf.DUMMYFUNCTION("""COMPUTED_VALUE"""),3100.0)</f>
        <v>3100</v>
      </c>
      <c r="E217" s="2">
        <f>IFERROR(__xludf.DUMMYFUNCTION("""COMPUTED_VALUE"""),3162.5)</f>
        <v>3162.5</v>
      </c>
      <c r="F217" s="2">
        <f>IFERROR(__xludf.DUMMYFUNCTION("""COMPUTED_VALUE"""),4.74041E7)</f>
        <v>47404100</v>
      </c>
      <c r="G217" s="2">
        <f t="shared" si="1"/>
        <v>75</v>
      </c>
    </row>
    <row r="218" ht="15.75" customHeight="1">
      <c r="A218" s="1">
        <f>IFERROR(__xludf.DUMMYFUNCTION("""COMPUTED_VALUE"""),44155.66666666667)</f>
        <v>44155.66667</v>
      </c>
      <c r="B218" s="2">
        <f>IFERROR(__xludf.DUMMYFUNCTION("""COMPUTED_VALUE"""),3137.5)</f>
        <v>3137.5</v>
      </c>
      <c r="C218" s="2">
        <f>IFERROR(__xludf.DUMMYFUNCTION("""COMPUTED_VALUE"""),3175.0)</f>
        <v>3175</v>
      </c>
      <c r="D218" s="2">
        <f>IFERROR(__xludf.DUMMYFUNCTION("""COMPUTED_VALUE"""),3125.0)</f>
        <v>3125</v>
      </c>
      <c r="E218" s="2">
        <f>IFERROR(__xludf.DUMMYFUNCTION("""COMPUTED_VALUE"""),3150.0)</f>
        <v>3150</v>
      </c>
      <c r="F218" s="2">
        <f>IFERROR(__xludf.DUMMYFUNCTION("""COMPUTED_VALUE"""),5.02868E7)</f>
        <v>50286800</v>
      </c>
      <c r="G218" s="2">
        <f t="shared" si="1"/>
        <v>50</v>
      </c>
    </row>
    <row r="219" ht="15.75" customHeight="1">
      <c r="A219" s="1">
        <f>IFERROR(__xludf.DUMMYFUNCTION("""COMPUTED_VALUE"""),44158.66666666667)</f>
        <v>44158.66667</v>
      </c>
      <c r="B219" s="2">
        <f>IFERROR(__xludf.DUMMYFUNCTION("""COMPUTED_VALUE"""),3150.0)</f>
        <v>3150</v>
      </c>
      <c r="C219" s="2">
        <f>IFERROR(__xludf.DUMMYFUNCTION("""COMPUTED_VALUE"""),3212.5)</f>
        <v>3212.5</v>
      </c>
      <c r="D219" s="2">
        <f>IFERROR(__xludf.DUMMYFUNCTION("""COMPUTED_VALUE"""),3137.5)</f>
        <v>3137.5</v>
      </c>
      <c r="E219" s="2">
        <f>IFERROR(__xludf.DUMMYFUNCTION("""COMPUTED_VALUE"""),3200.0)</f>
        <v>3200</v>
      </c>
      <c r="F219" s="2">
        <f>IFERROR(__xludf.DUMMYFUNCTION("""COMPUTED_VALUE"""),5.34527E7)</f>
        <v>53452700</v>
      </c>
      <c r="G219" s="2">
        <f t="shared" si="1"/>
        <v>75</v>
      </c>
    </row>
    <row r="220" ht="15.75" customHeight="1">
      <c r="A220" s="1">
        <f>IFERROR(__xludf.DUMMYFUNCTION("""COMPUTED_VALUE"""),44159.66666666667)</f>
        <v>44159.66667</v>
      </c>
      <c r="B220" s="2">
        <f>IFERROR(__xludf.DUMMYFUNCTION("""COMPUTED_VALUE"""),3225.0)</f>
        <v>3225</v>
      </c>
      <c r="C220" s="2">
        <f>IFERROR(__xludf.DUMMYFUNCTION("""COMPUTED_VALUE"""),3250.0)</f>
        <v>3250</v>
      </c>
      <c r="D220" s="2">
        <f>IFERROR(__xludf.DUMMYFUNCTION("""COMPUTED_VALUE"""),3187.5)</f>
        <v>3187.5</v>
      </c>
      <c r="E220" s="2">
        <f>IFERROR(__xludf.DUMMYFUNCTION("""COMPUTED_VALUE"""),3212.5)</f>
        <v>3212.5</v>
      </c>
      <c r="F220" s="2">
        <f>IFERROR(__xludf.DUMMYFUNCTION("""COMPUTED_VALUE"""),7.04646E7)</f>
        <v>70464600</v>
      </c>
      <c r="G220" s="2">
        <f t="shared" si="1"/>
        <v>62.5</v>
      </c>
    </row>
    <row r="221" ht="15.75" customHeight="1">
      <c r="A221" s="1">
        <f>IFERROR(__xludf.DUMMYFUNCTION("""COMPUTED_VALUE"""),44160.66666666667)</f>
        <v>44160.66667</v>
      </c>
      <c r="B221" s="2">
        <f>IFERROR(__xludf.DUMMYFUNCTION("""COMPUTED_VALUE"""),3250.0)</f>
        <v>3250</v>
      </c>
      <c r="C221" s="2">
        <f>IFERROR(__xludf.DUMMYFUNCTION("""COMPUTED_VALUE"""),3325.0)</f>
        <v>3325</v>
      </c>
      <c r="D221" s="2">
        <f>IFERROR(__xludf.DUMMYFUNCTION("""COMPUTED_VALUE"""),3250.0)</f>
        <v>3250</v>
      </c>
      <c r="E221" s="2">
        <f>IFERROR(__xludf.DUMMYFUNCTION("""COMPUTED_VALUE"""),3262.5)</f>
        <v>3262.5</v>
      </c>
      <c r="F221" s="2">
        <f>IFERROR(__xludf.DUMMYFUNCTION("""COMPUTED_VALUE"""),9.8852E7)</f>
        <v>98852000</v>
      </c>
      <c r="G221" s="2">
        <f t="shared" si="1"/>
        <v>112.5</v>
      </c>
    </row>
    <row r="222" ht="15.75" customHeight="1">
      <c r="A222" s="1">
        <f>IFERROR(__xludf.DUMMYFUNCTION("""COMPUTED_VALUE"""),44161.66666666667)</f>
        <v>44161.66667</v>
      </c>
      <c r="B222" s="2">
        <f>IFERROR(__xludf.DUMMYFUNCTION("""COMPUTED_VALUE"""),3300.0)</f>
        <v>3300</v>
      </c>
      <c r="C222" s="2">
        <f>IFERROR(__xludf.DUMMYFUNCTION("""COMPUTED_VALUE"""),3362.5)</f>
        <v>3362.5</v>
      </c>
      <c r="D222" s="2">
        <f>IFERROR(__xludf.DUMMYFUNCTION("""COMPUTED_VALUE"""),3275.0)</f>
        <v>3275</v>
      </c>
      <c r="E222" s="2">
        <f>IFERROR(__xludf.DUMMYFUNCTION("""COMPUTED_VALUE"""),3362.5)</f>
        <v>3362.5</v>
      </c>
      <c r="F222" s="2">
        <f>IFERROR(__xludf.DUMMYFUNCTION("""COMPUTED_VALUE"""),6.61377E7)</f>
        <v>66137700</v>
      </c>
      <c r="G222" s="2">
        <f t="shared" si="1"/>
        <v>100</v>
      </c>
    </row>
    <row r="223" ht="15.75" customHeight="1">
      <c r="A223" s="1">
        <f>IFERROR(__xludf.DUMMYFUNCTION("""COMPUTED_VALUE"""),44162.66666666667)</f>
        <v>44162.66667</v>
      </c>
      <c r="B223" s="2">
        <f>IFERROR(__xludf.DUMMYFUNCTION("""COMPUTED_VALUE"""),3387.5)</f>
        <v>3387.5</v>
      </c>
      <c r="C223" s="2">
        <f>IFERROR(__xludf.DUMMYFUNCTION("""COMPUTED_VALUE"""),3400.0)</f>
        <v>3400</v>
      </c>
      <c r="D223" s="2">
        <f>IFERROR(__xludf.DUMMYFUNCTION("""COMPUTED_VALUE"""),3312.5)</f>
        <v>3312.5</v>
      </c>
      <c r="E223" s="2">
        <f>IFERROR(__xludf.DUMMYFUNCTION("""COMPUTED_VALUE"""),3325.0)</f>
        <v>3325</v>
      </c>
      <c r="F223" s="2">
        <f>IFERROR(__xludf.DUMMYFUNCTION("""COMPUTED_VALUE"""),6.21734E7)</f>
        <v>62173400</v>
      </c>
      <c r="G223" s="2">
        <f t="shared" si="1"/>
        <v>87.5</v>
      </c>
    </row>
    <row r="224" ht="15.75" customHeight="1">
      <c r="A224" s="1">
        <f>IFERROR(__xludf.DUMMYFUNCTION("""COMPUTED_VALUE"""),44165.66666666667)</f>
        <v>44165.66667</v>
      </c>
      <c r="B224" s="2">
        <f>IFERROR(__xludf.DUMMYFUNCTION("""COMPUTED_VALUE"""),3275.0)</f>
        <v>3275</v>
      </c>
      <c r="C224" s="2">
        <f>IFERROR(__xludf.DUMMYFUNCTION("""COMPUTED_VALUE"""),3312.5)</f>
        <v>3312.5</v>
      </c>
      <c r="D224" s="2">
        <f>IFERROR(__xludf.DUMMYFUNCTION("""COMPUTED_VALUE"""),3112.5)</f>
        <v>3112.5</v>
      </c>
      <c r="E224" s="2">
        <f>IFERROR(__xludf.DUMMYFUNCTION("""COMPUTED_VALUE"""),3162.5)</f>
        <v>3162.5</v>
      </c>
      <c r="F224" s="2">
        <f>IFERROR(__xludf.DUMMYFUNCTION("""COMPUTED_VALUE"""),1.539504E8)</f>
        <v>153950400</v>
      </c>
      <c r="G224" s="2">
        <f t="shared" si="1"/>
        <v>212.5</v>
      </c>
    </row>
    <row r="225" ht="15.75" customHeight="1">
      <c r="A225" s="1">
        <f>IFERROR(__xludf.DUMMYFUNCTION("""COMPUTED_VALUE"""),44166.66666666667)</f>
        <v>44166.66667</v>
      </c>
      <c r="B225" s="2">
        <f>IFERROR(__xludf.DUMMYFUNCTION("""COMPUTED_VALUE"""),3162.5)</f>
        <v>3162.5</v>
      </c>
      <c r="C225" s="2">
        <f>IFERROR(__xludf.DUMMYFUNCTION("""COMPUTED_VALUE"""),3312.5)</f>
        <v>3312.5</v>
      </c>
      <c r="D225" s="2">
        <f>IFERROR(__xludf.DUMMYFUNCTION("""COMPUTED_VALUE"""),3162.5)</f>
        <v>3162.5</v>
      </c>
      <c r="E225" s="2">
        <f>IFERROR(__xludf.DUMMYFUNCTION("""COMPUTED_VALUE"""),3262.5)</f>
        <v>3262.5</v>
      </c>
      <c r="F225" s="2">
        <f>IFERROR(__xludf.DUMMYFUNCTION("""COMPUTED_VALUE"""),8.8284E7)</f>
        <v>88284000</v>
      </c>
      <c r="G225" s="2">
        <f t="shared" si="1"/>
        <v>150</v>
      </c>
    </row>
    <row r="226" ht="15.75" customHeight="1">
      <c r="A226" s="1">
        <f>IFERROR(__xludf.DUMMYFUNCTION("""COMPUTED_VALUE"""),44167.66666666667)</f>
        <v>44167.66667</v>
      </c>
      <c r="B226" s="2">
        <f>IFERROR(__xludf.DUMMYFUNCTION("""COMPUTED_VALUE"""),3262.5)</f>
        <v>3262.5</v>
      </c>
      <c r="C226" s="2">
        <f>IFERROR(__xludf.DUMMYFUNCTION("""COMPUTED_VALUE"""),3325.0)</f>
        <v>3325</v>
      </c>
      <c r="D226" s="2">
        <f>IFERROR(__xludf.DUMMYFUNCTION("""COMPUTED_VALUE"""),3237.5)</f>
        <v>3237.5</v>
      </c>
      <c r="E226" s="2">
        <f>IFERROR(__xludf.DUMMYFUNCTION("""COMPUTED_VALUE"""),3325.0)</f>
        <v>3325</v>
      </c>
      <c r="F226" s="2">
        <f>IFERROR(__xludf.DUMMYFUNCTION("""COMPUTED_VALUE"""),5.73608E7)</f>
        <v>57360800</v>
      </c>
      <c r="G226" s="2">
        <f t="shared" si="1"/>
        <v>87.5</v>
      </c>
    </row>
    <row r="227" ht="15.75" customHeight="1">
      <c r="A227" s="1">
        <f>IFERROR(__xludf.DUMMYFUNCTION("""COMPUTED_VALUE"""),44168.66666666667)</f>
        <v>44168.66667</v>
      </c>
      <c r="B227" s="2">
        <f>IFERROR(__xludf.DUMMYFUNCTION("""COMPUTED_VALUE"""),3325.0)</f>
        <v>3325</v>
      </c>
      <c r="C227" s="2">
        <f>IFERROR(__xludf.DUMMYFUNCTION("""COMPUTED_VALUE"""),3337.5)</f>
        <v>3337.5</v>
      </c>
      <c r="D227" s="2">
        <f>IFERROR(__xludf.DUMMYFUNCTION("""COMPUTED_VALUE"""),3262.5)</f>
        <v>3262.5</v>
      </c>
      <c r="E227" s="2">
        <f>IFERROR(__xludf.DUMMYFUNCTION("""COMPUTED_VALUE"""),3287.5)</f>
        <v>3287.5</v>
      </c>
      <c r="F227" s="2">
        <f>IFERROR(__xludf.DUMMYFUNCTION("""COMPUTED_VALUE"""),7.76712E7)</f>
        <v>77671200</v>
      </c>
      <c r="G227" s="2">
        <f t="shared" si="1"/>
        <v>75</v>
      </c>
    </row>
    <row r="228" ht="15.75" customHeight="1">
      <c r="A228" s="1">
        <f>IFERROR(__xludf.DUMMYFUNCTION("""COMPUTED_VALUE"""),44169.66666666667)</f>
        <v>44169.66667</v>
      </c>
      <c r="B228" s="2">
        <f>IFERROR(__xludf.DUMMYFUNCTION("""COMPUTED_VALUE"""),3250.0)</f>
        <v>3250</v>
      </c>
      <c r="C228" s="2">
        <f>IFERROR(__xludf.DUMMYFUNCTION("""COMPUTED_VALUE"""),3300.0)</f>
        <v>3300</v>
      </c>
      <c r="D228" s="2">
        <f>IFERROR(__xludf.DUMMYFUNCTION("""COMPUTED_VALUE"""),3212.5)</f>
        <v>3212.5</v>
      </c>
      <c r="E228" s="2">
        <f>IFERROR(__xludf.DUMMYFUNCTION("""COMPUTED_VALUE"""),3300.0)</f>
        <v>3300</v>
      </c>
      <c r="F228" s="2">
        <f>IFERROR(__xludf.DUMMYFUNCTION("""COMPUTED_VALUE"""),3.7488E7)</f>
        <v>37488000</v>
      </c>
      <c r="G228" s="2">
        <f t="shared" si="1"/>
        <v>87.5</v>
      </c>
    </row>
    <row r="229" ht="15.75" customHeight="1">
      <c r="A229" s="1">
        <f>IFERROR(__xludf.DUMMYFUNCTION("""COMPUTED_VALUE"""),44172.66666666667)</f>
        <v>44172.66667</v>
      </c>
      <c r="B229" s="2">
        <f>IFERROR(__xludf.DUMMYFUNCTION("""COMPUTED_VALUE"""),3337.5)</f>
        <v>3337.5</v>
      </c>
      <c r="C229" s="2">
        <f>IFERROR(__xludf.DUMMYFUNCTION("""COMPUTED_VALUE"""),3375.0)</f>
        <v>3375</v>
      </c>
      <c r="D229" s="2">
        <f>IFERROR(__xludf.DUMMYFUNCTION("""COMPUTED_VALUE"""),3312.5)</f>
        <v>3312.5</v>
      </c>
      <c r="E229" s="2">
        <f>IFERROR(__xludf.DUMMYFUNCTION("""COMPUTED_VALUE"""),3350.0)</f>
        <v>3350</v>
      </c>
      <c r="F229" s="2">
        <f>IFERROR(__xludf.DUMMYFUNCTION("""COMPUTED_VALUE"""),6.67929E7)</f>
        <v>66792900</v>
      </c>
      <c r="G229" s="2">
        <f t="shared" si="1"/>
        <v>75</v>
      </c>
    </row>
    <row r="230" ht="15.75" customHeight="1">
      <c r="A230" s="1">
        <f>IFERROR(__xludf.DUMMYFUNCTION("""COMPUTED_VALUE"""),44173.66666666667)</f>
        <v>44173.66667</v>
      </c>
      <c r="B230" s="2">
        <f>IFERROR(__xludf.DUMMYFUNCTION("""COMPUTED_VALUE"""),3337.5)</f>
        <v>3337.5</v>
      </c>
      <c r="C230" s="2">
        <f>IFERROR(__xludf.DUMMYFUNCTION("""COMPUTED_VALUE"""),3362.5)</f>
        <v>3362.5</v>
      </c>
      <c r="D230" s="2">
        <f>IFERROR(__xludf.DUMMYFUNCTION("""COMPUTED_VALUE"""),3300.0)</f>
        <v>3300</v>
      </c>
      <c r="E230" s="2">
        <f>IFERROR(__xludf.DUMMYFUNCTION("""COMPUTED_VALUE"""),3337.5)</f>
        <v>3337.5</v>
      </c>
      <c r="F230" s="2">
        <f>IFERROR(__xludf.DUMMYFUNCTION("""COMPUTED_VALUE"""),3.51752E7)</f>
        <v>35175200</v>
      </c>
      <c r="G230" s="2">
        <f t="shared" si="1"/>
        <v>62.5</v>
      </c>
    </row>
    <row r="231" ht="15.75" customHeight="1">
      <c r="A231" s="1">
        <f>IFERROR(__xludf.DUMMYFUNCTION("""COMPUTED_VALUE"""),44175.66666666667)</f>
        <v>44175.66667</v>
      </c>
      <c r="B231" s="2">
        <f>IFERROR(__xludf.DUMMYFUNCTION("""COMPUTED_VALUE"""),3387.5)</f>
        <v>3387.5</v>
      </c>
      <c r="C231" s="2">
        <f>IFERROR(__xludf.DUMMYFUNCTION("""COMPUTED_VALUE"""),3425.0)</f>
        <v>3425</v>
      </c>
      <c r="D231" s="2">
        <f>IFERROR(__xludf.DUMMYFUNCTION("""COMPUTED_VALUE"""),3362.5)</f>
        <v>3362.5</v>
      </c>
      <c r="E231" s="2">
        <f>IFERROR(__xludf.DUMMYFUNCTION("""COMPUTED_VALUE"""),3400.0)</f>
        <v>3400</v>
      </c>
      <c r="F231" s="2">
        <f>IFERROR(__xludf.DUMMYFUNCTION("""COMPUTED_VALUE"""),9.39235E7)</f>
        <v>93923500</v>
      </c>
      <c r="G231" s="2">
        <f t="shared" si="1"/>
        <v>87.5</v>
      </c>
    </row>
    <row r="232" ht="15.75" customHeight="1">
      <c r="A232" s="1">
        <f>IFERROR(__xludf.DUMMYFUNCTION("""COMPUTED_VALUE"""),44176.66666666667)</f>
        <v>44176.66667</v>
      </c>
      <c r="B232" s="2">
        <f>IFERROR(__xludf.DUMMYFUNCTION("""COMPUTED_VALUE"""),3425.0)</f>
        <v>3425</v>
      </c>
      <c r="C232" s="2">
        <f>IFERROR(__xludf.DUMMYFUNCTION("""COMPUTED_VALUE"""),3437.5)</f>
        <v>3437.5</v>
      </c>
      <c r="D232" s="2">
        <f>IFERROR(__xludf.DUMMYFUNCTION("""COMPUTED_VALUE"""),3350.0)</f>
        <v>3350</v>
      </c>
      <c r="E232" s="2">
        <f>IFERROR(__xludf.DUMMYFUNCTION("""COMPUTED_VALUE"""),3387.5)</f>
        <v>3387.5</v>
      </c>
      <c r="F232" s="2">
        <f>IFERROR(__xludf.DUMMYFUNCTION("""COMPUTED_VALUE"""),4.72709E7)</f>
        <v>47270900</v>
      </c>
      <c r="G232" s="2">
        <f t="shared" si="1"/>
        <v>87.5</v>
      </c>
    </row>
    <row r="233" ht="15.75" customHeight="1">
      <c r="A233" s="1">
        <f>IFERROR(__xludf.DUMMYFUNCTION("""COMPUTED_VALUE"""),44179.66666666667)</f>
        <v>44179.66667</v>
      </c>
      <c r="B233" s="2">
        <f>IFERROR(__xludf.DUMMYFUNCTION("""COMPUTED_VALUE"""),3362.5)</f>
        <v>3362.5</v>
      </c>
      <c r="C233" s="2">
        <f>IFERROR(__xludf.DUMMYFUNCTION("""COMPUTED_VALUE"""),3400.0)</f>
        <v>3400</v>
      </c>
      <c r="D233" s="2">
        <f>IFERROR(__xludf.DUMMYFUNCTION("""COMPUTED_VALUE"""),3337.5)</f>
        <v>3337.5</v>
      </c>
      <c r="E233" s="2">
        <f>IFERROR(__xludf.DUMMYFUNCTION("""COMPUTED_VALUE"""),3362.5)</f>
        <v>3362.5</v>
      </c>
      <c r="F233" s="2">
        <f>IFERROR(__xludf.DUMMYFUNCTION("""COMPUTED_VALUE"""),4.73226E7)</f>
        <v>47322600</v>
      </c>
      <c r="G233" s="2">
        <f t="shared" si="1"/>
        <v>62.5</v>
      </c>
    </row>
    <row r="234" ht="15.75" customHeight="1">
      <c r="A234" s="1">
        <f>IFERROR(__xludf.DUMMYFUNCTION("""COMPUTED_VALUE"""),44180.66666666667)</f>
        <v>44180.66667</v>
      </c>
      <c r="B234" s="2">
        <f>IFERROR(__xludf.DUMMYFUNCTION("""COMPUTED_VALUE"""),3350.0)</f>
        <v>3350</v>
      </c>
      <c r="C234" s="2">
        <f>IFERROR(__xludf.DUMMYFUNCTION("""COMPUTED_VALUE"""),3362.5)</f>
        <v>3362.5</v>
      </c>
      <c r="D234" s="2">
        <f>IFERROR(__xludf.DUMMYFUNCTION("""COMPUTED_VALUE"""),3300.0)</f>
        <v>3300</v>
      </c>
      <c r="E234" s="2">
        <f>IFERROR(__xludf.DUMMYFUNCTION("""COMPUTED_VALUE"""),3350.0)</f>
        <v>3350</v>
      </c>
      <c r="F234" s="2">
        <f>IFERROR(__xludf.DUMMYFUNCTION("""COMPUTED_VALUE"""),6.78319E7)</f>
        <v>67831900</v>
      </c>
      <c r="G234" s="2">
        <f t="shared" si="1"/>
        <v>62.5</v>
      </c>
    </row>
    <row r="235" ht="15.75" customHeight="1">
      <c r="A235" s="1">
        <f>IFERROR(__xludf.DUMMYFUNCTION("""COMPUTED_VALUE"""),44181.66666666667)</f>
        <v>44181.66667</v>
      </c>
      <c r="B235" s="2">
        <f>IFERROR(__xludf.DUMMYFUNCTION("""COMPUTED_VALUE"""),3400.0)</f>
        <v>3400</v>
      </c>
      <c r="C235" s="2">
        <f>IFERROR(__xludf.DUMMYFUNCTION("""COMPUTED_VALUE"""),3412.5)</f>
        <v>3412.5</v>
      </c>
      <c r="D235" s="2">
        <f>IFERROR(__xludf.DUMMYFUNCTION("""COMPUTED_VALUE"""),3362.5)</f>
        <v>3362.5</v>
      </c>
      <c r="E235" s="2">
        <f>IFERROR(__xludf.DUMMYFUNCTION("""COMPUTED_VALUE"""),3387.5)</f>
        <v>3387.5</v>
      </c>
      <c r="F235" s="2">
        <f>IFERROR(__xludf.DUMMYFUNCTION("""COMPUTED_VALUE"""),4.86809E7)</f>
        <v>48680900</v>
      </c>
      <c r="G235" s="2">
        <f t="shared" si="1"/>
        <v>62.5</v>
      </c>
    </row>
    <row r="236" ht="15.75" customHeight="1">
      <c r="A236" s="1">
        <f>IFERROR(__xludf.DUMMYFUNCTION("""COMPUTED_VALUE"""),44182.66666666667)</f>
        <v>44182.66667</v>
      </c>
      <c r="B236" s="2">
        <f>IFERROR(__xludf.DUMMYFUNCTION("""COMPUTED_VALUE"""),3387.5)</f>
        <v>3387.5</v>
      </c>
      <c r="C236" s="2">
        <f>IFERROR(__xludf.DUMMYFUNCTION("""COMPUTED_VALUE"""),3437.5)</f>
        <v>3437.5</v>
      </c>
      <c r="D236" s="2">
        <f>IFERROR(__xludf.DUMMYFUNCTION("""COMPUTED_VALUE"""),3387.5)</f>
        <v>3387.5</v>
      </c>
      <c r="E236" s="2">
        <f>IFERROR(__xludf.DUMMYFUNCTION("""COMPUTED_VALUE"""),3437.5)</f>
        <v>3437.5</v>
      </c>
      <c r="F236" s="2">
        <f>IFERROR(__xludf.DUMMYFUNCTION("""COMPUTED_VALUE"""),5.4983E7)</f>
        <v>54983000</v>
      </c>
      <c r="G236" s="2">
        <f t="shared" si="1"/>
        <v>50</v>
      </c>
    </row>
    <row r="237" ht="15.75" customHeight="1">
      <c r="A237" s="1">
        <f>IFERROR(__xludf.DUMMYFUNCTION("""COMPUTED_VALUE"""),44183.66666666667)</f>
        <v>44183.66667</v>
      </c>
      <c r="B237" s="2">
        <f>IFERROR(__xludf.DUMMYFUNCTION("""COMPUTED_VALUE"""),3400.0)</f>
        <v>3400</v>
      </c>
      <c r="C237" s="2">
        <f>IFERROR(__xludf.DUMMYFUNCTION("""COMPUTED_VALUE"""),3412.5)</f>
        <v>3412.5</v>
      </c>
      <c r="D237" s="2">
        <f>IFERROR(__xludf.DUMMYFUNCTION("""COMPUTED_VALUE"""),3350.0)</f>
        <v>3350</v>
      </c>
      <c r="E237" s="2">
        <f>IFERROR(__xludf.DUMMYFUNCTION("""COMPUTED_VALUE"""),3350.0)</f>
        <v>3350</v>
      </c>
      <c r="F237" s="2">
        <f>IFERROR(__xludf.DUMMYFUNCTION("""COMPUTED_VALUE"""),7.13989E7)</f>
        <v>71398900</v>
      </c>
      <c r="G237" s="2">
        <f t="shared" si="1"/>
        <v>87.5</v>
      </c>
    </row>
    <row r="238" ht="15.75" customHeight="1">
      <c r="A238" s="1">
        <f>IFERROR(__xludf.DUMMYFUNCTION("""COMPUTED_VALUE"""),44186.66666666667)</f>
        <v>44186.66667</v>
      </c>
      <c r="B238" s="2">
        <f>IFERROR(__xludf.DUMMYFUNCTION("""COMPUTED_VALUE"""),3387.5)</f>
        <v>3387.5</v>
      </c>
      <c r="C238" s="2">
        <f>IFERROR(__xludf.DUMMYFUNCTION("""COMPUTED_VALUE"""),3400.0)</f>
        <v>3400</v>
      </c>
      <c r="D238" s="2">
        <f>IFERROR(__xludf.DUMMYFUNCTION("""COMPUTED_VALUE"""),3337.5)</f>
        <v>3337.5</v>
      </c>
      <c r="E238" s="2">
        <f>IFERROR(__xludf.DUMMYFUNCTION("""COMPUTED_VALUE"""),3350.0)</f>
        <v>3350</v>
      </c>
      <c r="F238" s="2">
        <f>IFERROR(__xludf.DUMMYFUNCTION("""COMPUTED_VALUE"""),4.15873E7)</f>
        <v>41587300</v>
      </c>
      <c r="G238" s="2">
        <f t="shared" si="1"/>
        <v>62.5</v>
      </c>
    </row>
    <row r="239" ht="15.75" customHeight="1">
      <c r="A239" s="1">
        <f>IFERROR(__xludf.DUMMYFUNCTION("""COMPUTED_VALUE"""),44187.66666666667)</f>
        <v>44187.66667</v>
      </c>
      <c r="B239" s="2">
        <f>IFERROR(__xludf.DUMMYFUNCTION("""COMPUTED_VALUE"""),3287.5)</f>
        <v>3287.5</v>
      </c>
      <c r="C239" s="2">
        <f>IFERROR(__xludf.DUMMYFUNCTION("""COMPUTED_VALUE"""),3312.5)</f>
        <v>3312.5</v>
      </c>
      <c r="D239" s="2">
        <f>IFERROR(__xludf.DUMMYFUNCTION("""COMPUTED_VALUE"""),3175.0)</f>
        <v>3175</v>
      </c>
      <c r="E239" s="2">
        <f>IFERROR(__xludf.DUMMYFUNCTION("""COMPUTED_VALUE"""),3200.0)</f>
        <v>3200</v>
      </c>
      <c r="F239" s="2">
        <f>IFERROR(__xludf.DUMMYFUNCTION("""COMPUTED_VALUE"""),8.29649E7)</f>
        <v>82964900</v>
      </c>
      <c r="G239" s="2">
        <f t="shared" si="1"/>
        <v>175</v>
      </c>
    </row>
    <row r="240" ht="15.75" customHeight="1">
      <c r="A240" s="1">
        <f>IFERROR(__xludf.DUMMYFUNCTION("""COMPUTED_VALUE"""),44188.66666666667)</f>
        <v>44188.66667</v>
      </c>
      <c r="B240" s="2">
        <f>IFERROR(__xludf.DUMMYFUNCTION("""COMPUTED_VALUE"""),3250.0)</f>
        <v>3250</v>
      </c>
      <c r="C240" s="2">
        <f>IFERROR(__xludf.DUMMYFUNCTION("""COMPUTED_VALUE"""),3300.0)</f>
        <v>3300</v>
      </c>
      <c r="D240" s="2">
        <f>IFERROR(__xludf.DUMMYFUNCTION("""COMPUTED_VALUE"""),3100.0)</f>
        <v>3100</v>
      </c>
      <c r="E240" s="2">
        <f>IFERROR(__xludf.DUMMYFUNCTION("""COMPUTED_VALUE"""),3175.0)</f>
        <v>3175</v>
      </c>
      <c r="F240" s="2">
        <f>IFERROR(__xludf.DUMMYFUNCTION("""COMPUTED_VALUE"""),5.50162E7)</f>
        <v>55016200</v>
      </c>
      <c r="G240" s="2">
        <f t="shared" si="1"/>
        <v>200</v>
      </c>
    </row>
    <row r="241" ht="15.75" customHeight="1">
      <c r="A241" s="1">
        <f>IFERROR(__xludf.DUMMYFUNCTION("""COMPUTED_VALUE"""),44193.66666666667)</f>
        <v>44193.66667</v>
      </c>
      <c r="B241" s="2">
        <f>IFERROR(__xludf.DUMMYFUNCTION("""COMPUTED_VALUE"""),3250.0)</f>
        <v>3250</v>
      </c>
      <c r="C241" s="2">
        <f>IFERROR(__xludf.DUMMYFUNCTION("""COMPUTED_VALUE"""),3287.5)</f>
        <v>3287.5</v>
      </c>
      <c r="D241" s="2">
        <f>IFERROR(__xludf.DUMMYFUNCTION("""COMPUTED_VALUE"""),3150.0)</f>
        <v>3150</v>
      </c>
      <c r="E241" s="2">
        <f>IFERROR(__xludf.DUMMYFUNCTION("""COMPUTED_VALUE"""),3262.5)</f>
        <v>3262.5</v>
      </c>
      <c r="F241" s="2">
        <f>IFERROR(__xludf.DUMMYFUNCTION("""COMPUTED_VALUE"""),3.77635E7)</f>
        <v>37763500</v>
      </c>
      <c r="G241" s="2">
        <f t="shared" si="1"/>
        <v>137.5</v>
      </c>
    </row>
    <row r="242" ht="15.75" customHeight="1">
      <c r="A242" s="1">
        <f>IFERROR(__xludf.DUMMYFUNCTION("""COMPUTED_VALUE"""),44194.66666666667)</f>
        <v>44194.66667</v>
      </c>
      <c r="B242" s="2">
        <f>IFERROR(__xludf.DUMMYFUNCTION("""COMPUTED_VALUE"""),3287.5)</f>
        <v>3287.5</v>
      </c>
      <c r="C242" s="2">
        <f>IFERROR(__xludf.DUMMYFUNCTION("""COMPUTED_VALUE"""),3300.0)</f>
        <v>3300</v>
      </c>
      <c r="D242" s="2">
        <f>IFERROR(__xludf.DUMMYFUNCTION("""COMPUTED_VALUE"""),3200.0)</f>
        <v>3200</v>
      </c>
      <c r="E242" s="2">
        <f>IFERROR(__xludf.DUMMYFUNCTION("""COMPUTED_VALUE"""),3212.5)</f>
        <v>3212.5</v>
      </c>
      <c r="F242" s="2">
        <f>IFERROR(__xludf.DUMMYFUNCTION("""COMPUTED_VALUE"""),2.87113E7)</f>
        <v>28711300</v>
      </c>
      <c r="G242" s="2">
        <f t="shared" si="1"/>
        <v>100</v>
      </c>
    </row>
    <row r="243" ht="15.75" customHeight="1">
      <c r="A243" s="1">
        <f>IFERROR(__xludf.DUMMYFUNCTION("""COMPUTED_VALUE"""),44195.66666666667)</f>
        <v>44195.66667</v>
      </c>
      <c r="B243" s="2">
        <f>IFERROR(__xludf.DUMMYFUNCTION("""COMPUTED_VALUE"""),3262.5)</f>
        <v>3262.5</v>
      </c>
      <c r="C243" s="2">
        <f>IFERROR(__xludf.DUMMYFUNCTION("""COMPUTED_VALUE"""),3262.5)</f>
        <v>3262.5</v>
      </c>
      <c r="D243" s="2">
        <f>IFERROR(__xludf.DUMMYFUNCTION("""COMPUTED_VALUE"""),3162.5)</f>
        <v>3162.5</v>
      </c>
      <c r="E243" s="2">
        <f>IFERROR(__xludf.DUMMYFUNCTION("""COMPUTED_VALUE"""),3162.5)</f>
        <v>3162.5</v>
      </c>
      <c r="F243" s="2">
        <f>IFERROR(__xludf.DUMMYFUNCTION("""COMPUTED_VALUE"""),4.44707E7)</f>
        <v>44470700</v>
      </c>
      <c r="G243" s="2">
        <f t="shared" si="1"/>
        <v>100</v>
      </c>
    </row>
    <row r="244" ht="15.75" customHeight="1">
      <c r="A244" s="1">
        <f>IFERROR(__xludf.DUMMYFUNCTION("""COMPUTED_VALUE"""),44200.625)</f>
        <v>44200.625</v>
      </c>
      <c r="B244" s="2">
        <f>IFERROR(__xludf.DUMMYFUNCTION("""COMPUTED_VALUE"""),3175.0)</f>
        <v>3175</v>
      </c>
      <c r="C244" s="2">
        <f>IFERROR(__xludf.DUMMYFUNCTION("""COMPUTED_VALUE"""),3262.5)</f>
        <v>3262.5</v>
      </c>
      <c r="D244" s="2">
        <f>IFERROR(__xludf.DUMMYFUNCTION("""COMPUTED_VALUE"""),3112.5)</f>
        <v>3112.5</v>
      </c>
      <c r="E244" s="2">
        <f>IFERROR(__xludf.DUMMYFUNCTION("""COMPUTED_VALUE"""),3250.0)</f>
        <v>3250</v>
      </c>
      <c r="F244" s="2">
        <f>IFERROR(__xludf.DUMMYFUNCTION("""COMPUTED_VALUE"""),3.0529E7)</f>
        <v>30529000</v>
      </c>
      <c r="G244" s="2">
        <f t="shared" si="1"/>
        <v>150</v>
      </c>
    </row>
    <row r="245" ht="15.75" customHeight="1">
      <c r="A245" s="1">
        <f>IFERROR(__xludf.DUMMYFUNCTION("""COMPUTED_VALUE"""),44201.625)</f>
        <v>44201.625</v>
      </c>
      <c r="B245" s="2">
        <f>IFERROR(__xludf.DUMMYFUNCTION("""COMPUTED_VALUE"""),3275.0)</f>
        <v>3275</v>
      </c>
      <c r="C245" s="2">
        <f>IFERROR(__xludf.DUMMYFUNCTION("""COMPUTED_VALUE"""),3275.0)</f>
        <v>3275</v>
      </c>
      <c r="D245" s="2">
        <f>IFERROR(__xludf.DUMMYFUNCTION("""COMPUTED_VALUE"""),3200.0)</f>
        <v>3200</v>
      </c>
      <c r="E245" s="2">
        <f>IFERROR(__xludf.DUMMYFUNCTION("""COMPUTED_VALUE"""),3212.5)</f>
        <v>3212.5</v>
      </c>
      <c r="F245" s="2">
        <f>IFERROR(__xludf.DUMMYFUNCTION("""COMPUTED_VALUE"""),3.49641E7)</f>
        <v>34964100</v>
      </c>
      <c r="G245" s="2">
        <f t="shared" si="1"/>
        <v>75</v>
      </c>
    </row>
    <row r="246" ht="15.75" customHeight="1">
      <c r="A246" s="1">
        <f>IFERROR(__xludf.DUMMYFUNCTION("""COMPUTED_VALUE"""),44202.625)</f>
        <v>44202.625</v>
      </c>
      <c r="B246" s="2">
        <f>IFERROR(__xludf.DUMMYFUNCTION("""COMPUTED_VALUE"""),3212.5)</f>
        <v>3212.5</v>
      </c>
      <c r="C246" s="2">
        <f>IFERROR(__xludf.DUMMYFUNCTION("""COMPUTED_VALUE"""),3262.5)</f>
        <v>3262.5</v>
      </c>
      <c r="D246" s="2">
        <f>IFERROR(__xludf.DUMMYFUNCTION("""COMPUTED_VALUE"""),3137.5)</f>
        <v>3137.5</v>
      </c>
      <c r="E246" s="2">
        <f>IFERROR(__xludf.DUMMYFUNCTION("""COMPUTED_VALUE"""),3212.5)</f>
        <v>3212.5</v>
      </c>
      <c r="F246" s="2">
        <f>IFERROR(__xludf.DUMMYFUNCTION("""COMPUTED_VALUE"""),4.35545E7)</f>
        <v>43554500</v>
      </c>
      <c r="G246" s="2">
        <f t="shared" si="1"/>
        <v>125</v>
      </c>
    </row>
    <row r="247" ht="15.75" customHeight="1">
      <c r="A247" s="1">
        <f>IFERROR(__xludf.DUMMYFUNCTION("""COMPUTED_VALUE"""),44203.66666666667)</f>
        <v>44203.66667</v>
      </c>
      <c r="B247" s="2">
        <f>IFERROR(__xludf.DUMMYFUNCTION("""COMPUTED_VALUE"""),3225.0)</f>
        <v>3225</v>
      </c>
      <c r="C247" s="2">
        <f>IFERROR(__xludf.DUMMYFUNCTION("""COMPUTED_VALUE"""),3262.5)</f>
        <v>3262.5</v>
      </c>
      <c r="D247" s="2">
        <f>IFERROR(__xludf.DUMMYFUNCTION("""COMPUTED_VALUE"""),3212.5)</f>
        <v>3212.5</v>
      </c>
      <c r="E247" s="2">
        <f>IFERROR(__xludf.DUMMYFUNCTION("""COMPUTED_VALUE"""),3237.5)</f>
        <v>3237.5</v>
      </c>
      <c r="F247" s="2">
        <f>IFERROR(__xludf.DUMMYFUNCTION("""COMPUTED_VALUE"""),4.00571E7)</f>
        <v>40057100</v>
      </c>
      <c r="G247" s="2">
        <f t="shared" si="1"/>
        <v>50</v>
      </c>
    </row>
    <row r="248" ht="15.75" customHeight="1">
      <c r="A248" s="1">
        <f>IFERROR(__xludf.DUMMYFUNCTION("""COMPUTED_VALUE"""),44204.66666666667)</f>
        <v>44204.66667</v>
      </c>
      <c r="B248" s="2">
        <f>IFERROR(__xludf.DUMMYFUNCTION("""COMPUTED_VALUE"""),3237.5)</f>
        <v>3237.5</v>
      </c>
      <c r="C248" s="2">
        <f>IFERROR(__xludf.DUMMYFUNCTION("""COMPUTED_VALUE"""),3287.5)</f>
        <v>3287.5</v>
      </c>
      <c r="D248" s="2">
        <f>IFERROR(__xludf.DUMMYFUNCTION("""COMPUTED_VALUE"""),3225.0)</f>
        <v>3225</v>
      </c>
      <c r="E248" s="2">
        <f>IFERROR(__xludf.DUMMYFUNCTION("""COMPUTED_VALUE"""),3275.0)</f>
        <v>3275</v>
      </c>
      <c r="F248" s="2">
        <f>IFERROR(__xludf.DUMMYFUNCTION("""COMPUTED_VALUE"""),4.68178E7)</f>
        <v>46817800</v>
      </c>
      <c r="G248" s="2">
        <f t="shared" si="1"/>
        <v>62.5</v>
      </c>
    </row>
    <row r="249" ht="15.75" customHeight="1">
      <c r="A249" s="1">
        <f>IFERROR(__xludf.DUMMYFUNCTION("""COMPUTED_VALUE"""),44207.625)</f>
        <v>44207.625</v>
      </c>
      <c r="B249" s="2">
        <f>IFERROR(__xludf.DUMMYFUNCTION("""COMPUTED_VALUE"""),3287.5)</f>
        <v>3287.5</v>
      </c>
      <c r="C249" s="2">
        <f>IFERROR(__xludf.DUMMYFUNCTION("""COMPUTED_VALUE"""),3425.0)</f>
        <v>3425</v>
      </c>
      <c r="D249" s="2">
        <f>IFERROR(__xludf.DUMMYFUNCTION("""COMPUTED_VALUE"""),3275.0)</f>
        <v>3275</v>
      </c>
      <c r="E249" s="2">
        <f>IFERROR(__xludf.DUMMYFUNCTION("""COMPUTED_VALUE"""),3425.0)</f>
        <v>3425</v>
      </c>
      <c r="F249" s="2">
        <f>IFERROR(__xludf.DUMMYFUNCTION("""COMPUTED_VALUE"""),1.063815E8)</f>
        <v>106381500</v>
      </c>
      <c r="G249" s="2">
        <f t="shared" si="1"/>
        <v>150</v>
      </c>
    </row>
    <row r="250" ht="15.75" customHeight="1">
      <c r="A250" s="1">
        <f>IFERROR(__xludf.DUMMYFUNCTION("""COMPUTED_VALUE"""),44208.625)</f>
        <v>44208.625</v>
      </c>
      <c r="B250" s="2">
        <f>IFERROR(__xludf.DUMMYFUNCTION("""COMPUTED_VALUE"""),3450.0)</f>
        <v>3450</v>
      </c>
      <c r="C250" s="2">
        <f>IFERROR(__xludf.DUMMYFUNCTION("""COMPUTED_VALUE"""),3500.0)</f>
        <v>3500</v>
      </c>
      <c r="D250" s="2">
        <f>IFERROR(__xludf.DUMMYFUNCTION("""COMPUTED_VALUE"""),3412.5)</f>
        <v>3412.5</v>
      </c>
      <c r="E250" s="2">
        <f>IFERROR(__xludf.DUMMYFUNCTION("""COMPUTED_VALUE"""),3475.0)</f>
        <v>3475</v>
      </c>
      <c r="F250" s="2">
        <f>IFERROR(__xludf.DUMMYFUNCTION("""COMPUTED_VALUE"""),8.4313E7)</f>
        <v>84313000</v>
      </c>
      <c r="G250" s="2">
        <f t="shared" si="1"/>
        <v>87.5</v>
      </c>
    </row>
    <row r="251" ht="15.75" customHeight="1">
      <c r="A251" s="1">
        <f>IFERROR(__xludf.DUMMYFUNCTION("""COMPUTED_VALUE"""),44209.625)</f>
        <v>44209.625</v>
      </c>
      <c r="B251" s="2">
        <f>IFERROR(__xludf.DUMMYFUNCTION("""COMPUTED_VALUE"""),3525.0)</f>
        <v>3525</v>
      </c>
      <c r="C251" s="2">
        <f>IFERROR(__xludf.DUMMYFUNCTION("""COMPUTED_VALUE"""),3537.5)</f>
        <v>3537.5</v>
      </c>
      <c r="D251" s="2">
        <f>IFERROR(__xludf.DUMMYFUNCTION("""COMPUTED_VALUE"""),3462.5)</f>
        <v>3462.5</v>
      </c>
      <c r="E251" s="2">
        <f>IFERROR(__xludf.DUMMYFUNCTION("""COMPUTED_VALUE"""),3462.5)</f>
        <v>3462.5</v>
      </c>
      <c r="F251" s="2">
        <f>IFERROR(__xludf.DUMMYFUNCTION("""COMPUTED_VALUE"""),5.36961E7)</f>
        <v>53696100</v>
      </c>
      <c r="G251" s="2">
        <f t="shared" si="1"/>
        <v>75</v>
      </c>
    </row>
    <row r="252" ht="15.75" customHeight="1">
      <c r="A252" s="1">
        <f>IFERROR(__xludf.DUMMYFUNCTION("""COMPUTED_VALUE"""),44210.625)</f>
        <v>44210.625</v>
      </c>
      <c r="B252" s="2">
        <f>IFERROR(__xludf.DUMMYFUNCTION("""COMPUTED_VALUE"""),3525.0)</f>
        <v>3525</v>
      </c>
      <c r="C252" s="2">
        <f>IFERROR(__xludf.DUMMYFUNCTION("""COMPUTED_VALUE"""),3525.0)</f>
        <v>3525</v>
      </c>
      <c r="D252" s="2">
        <f>IFERROR(__xludf.DUMMYFUNCTION("""COMPUTED_VALUE"""),3412.5)</f>
        <v>3412.5</v>
      </c>
      <c r="E252" s="2">
        <f>IFERROR(__xludf.DUMMYFUNCTION("""COMPUTED_VALUE"""),3425.0)</f>
        <v>3425</v>
      </c>
      <c r="F252" s="2">
        <f>IFERROR(__xludf.DUMMYFUNCTION("""COMPUTED_VALUE"""),3.51475E7)</f>
        <v>35147500</v>
      </c>
      <c r="G252" s="2">
        <f t="shared" si="1"/>
        <v>112.5</v>
      </c>
    </row>
    <row r="253" ht="15.75" customHeight="1">
      <c r="A253" s="1">
        <f>IFERROR(__xludf.DUMMYFUNCTION("""COMPUTED_VALUE"""),44211.625)</f>
        <v>44211.625</v>
      </c>
      <c r="B253" s="2">
        <f>IFERROR(__xludf.DUMMYFUNCTION("""COMPUTED_VALUE"""),3437.5)</f>
        <v>3437.5</v>
      </c>
      <c r="C253" s="2">
        <f>IFERROR(__xludf.DUMMYFUNCTION("""COMPUTED_VALUE"""),3462.5)</f>
        <v>3462.5</v>
      </c>
      <c r="D253" s="2">
        <f>IFERROR(__xludf.DUMMYFUNCTION("""COMPUTED_VALUE"""),3312.5)</f>
        <v>3312.5</v>
      </c>
      <c r="E253" s="2">
        <f>IFERROR(__xludf.DUMMYFUNCTION("""COMPUTED_VALUE"""),3362.5)</f>
        <v>3362.5</v>
      </c>
      <c r="F253" s="2">
        <f>IFERROR(__xludf.DUMMYFUNCTION("""COMPUTED_VALUE"""),3.86178E7)</f>
        <v>38617800</v>
      </c>
      <c r="G253" s="2">
        <f t="shared" si="1"/>
        <v>150</v>
      </c>
    </row>
    <row r="254" ht="15.75" customHeight="1">
      <c r="A254" s="1">
        <f>IFERROR(__xludf.DUMMYFUNCTION("""COMPUTED_VALUE"""),44214.625)</f>
        <v>44214.625</v>
      </c>
      <c r="B254" s="2">
        <f>IFERROR(__xludf.DUMMYFUNCTION("""COMPUTED_VALUE"""),3300.0)</f>
        <v>3300</v>
      </c>
      <c r="C254" s="2">
        <f>IFERROR(__xludf.DUMMYFUNCTION("""COMPUTED_VALUE"""),3475.0)</f>
        <v>3475</v>
      </c>
      <c r="D254" s="2">
        <f>IFERROR(__xludf.DUMMYFUNCTION("""COMPUTED_VALUE"""),3300.0)</f>
        <v>3300</v>
      </c>
      <c r="E254" s="2">
        <f>IFERROR(__xludf.DUMMYFUNCTION("""COMPUTED_VALUE"""),3462.5)</f>
        <v>3462.5</v>
      </c>
      <c r="F254" s="2">
        <f>IFERROR(__xludf.DUMMYFUNCTION("""COMPUTED_VALUE"""),5.95034E7)</f>
        <v>59503400</v>
      </c>
      <c r="G254" s="2">
        <f t="shared" si="1"/>
        <v>175</v>
      </c>
    </row>
    <row r="255" ht="15.75" customHeight="1">
      <c r="A255" s="1">
        <f>IFERROR(__xludf.DUMMYFUNCTION("""COMPUTED_VALUE"""),44215.625)</f>
        <v>44215.625</v>
      </c>
      <c r="B255" s="2">
        <f>IFERROR(__xludf.DUMMYFUNCTION("""COMPUTED_VALUE"""),3500.0)</f>
        <v>3500</v>
      </c>
      <c r="C255" s="2">
        <f>IFERROR(__xludf.DUMMYFUNCTION("""COMPUTED_VALUE"""),3512.5)</f>
        <v>3512.5</v>
      </c>
      <c r="D255" s="2">
        <f>IFERROR(__xludf.DUMMYFUNCTION("""COMPUTED_VALUE"""),3425.0)</f>
        <v>3425</v>
      </c>
      <c r="E255" s="2">
        <f>IFERROR(__xludf.DUMMYFUNCTION("""COMPUTED_VALUE"""),3487.5)</f>
        <v>3487.5</v>
      </c>
      <c r="F255" s="2">
        <f>IFERROR(__xludf.DUMMYFUNCTION("""COMPUTED_VALUE"""),3.89173E7)</f>
        <v>38917300</v>
      </c>
      <c r="G255" s="2">
        <f t="shared" si="1"/>
        <v>87.5</v>
      </c>
    </row>
    <row r="256" ht="15.75" customHeight="1">
      <c r="A256" s="1">
        <f>IFERROR(__xludf.DUMMYFUNCTION("""COMPUTED_VALUE"""),44216.625)</f>
        <v>44216.625</v>
      </c>
      <c r="B256" s="2">
        <f>IFERROR(__xludf.DUMMYFUNCTION("""COMPUTED_VALUE"""),3500.0)</f>
        <v>3500</v>
      </c>
      <c r="C256" s="2">
        <f>IFERROR(__xludf.DUMMYFUNCTION("""COMPUTED_VALUE"""),3725.0)</f>
        <v>3725</v>
      </c>
      <c r="D256" s="2">
        <f>IFERROR(__xludf.DUMMYFUNCTION("""COMPUTED_VALUE"""),3500.0)</f>
        <v>3500</v>
      </c>
      <c r="E256" s="2">
        <f>IFERROR(__xludf.DUMMYFUNCTION("""COMPUTED_VALUE"""),3687.5)</f>
        <v>3687.5</v>
      </c>
      <c r="F256" s="2">
        <f>IFERROR(__xludf.DUMMYFUNCTION("""COMPUTED_VALUE"""),1.104673E8)</f>
        <v>110467300</v>
      </c>
      <c r="G256" s="2">
        <f t="shared" si="1"/>
        <v>237.5</v>
      </c>
    </row>
    <row r="257" ht="15.75" customHeight="1">
      <c r="A257" s="1">
        <f>IFERROR(__xludf.DUMMYFUNCTION("""COMPUTED_VALUE"""),44217.625)</f>
        <v>44217.625</v>
      </c>
      <c r="B257" s="2">
        <f>IFERROR(__xludf.DUMMYFUNCTION("""COMPUTED_VALUE"""),3687.5)</f>
        <v>3687.5</v>
      </c>
      <c r="C257" s="2">
        <f>IFERROR(__xludf.DUMMYFUNCTION("""COMPUTED_VALUE"""),3687.5)</f>
        <v>3687.5</v>
      </c>
      <c r="D257" s="2">
        <f>IFERROR(__xludf.DUMMYFUNCTION("""COMPUTED_VALUE"""),3600.0)</f>
        <v>3600</v>
      </c>
      <c r="E257" s="2">
        <f>IFERROR(__xludf.DUMMYFUNCTION("""COMPUTED_VALUE"""),3625.0)</f>
        <v>3625</v>
      </c>
      <c r="F257" s="2">
        <f>IFERROR(__xludf.DUMMYFUNCTION("""COMPUTED_VALUE"""),4.1026E7)</f>
        <v>41026000</v>
      </c>
      <c r="G257" s="2">
        <f t="shared" si="1"/>
        <v>87.5</v>
      </c>
    </row>
    <row r="258" ht="15.75" customHeight="1">
      <c r="A258" s="1">
        <f>IFERROR(__xludf.DUMMYFUNCTION("""COMPUTED_VALUE"""),44218.625)</f>
        <v>44218.625</v>
      </c>
      <c r="B258" s="2">
        <f>IFERROR(__xludf.DUMMYFUNCTION("""COMPUTED_VALUE"""),3637.5)</f>
        <v>3637.5</v>
      </c>
      <c r="C258" s="2">
        <f>IFERROR(__xludf.DUMMYFUNCTION("""COMPUTED_VALUE"""),3675.0)</f>
        <v>3675</v>
      </c>
      <c r="D258" s="2">
        <f>IFERROR(__xludf.DUMMYFUNCTION("""COMPUTED_VALUE"""),3562.5)</f>
        <v>3562.5</v>
      </c>
      <c r="E258" s="2">
        <f>IFERROR(__xludf.DUMMYFUNCTION("""COMPUTED_VALUE"""),3600.0)</f>
        <v>3600</v>
      </c>
      <c r="F258" s="2">
        <f>IFERROR(__xludf.DUMMYFUNCTION("""COMPUTED_VALUE"""),5.86836E7)</f>
        <v>58683600</v>
      </c>
      <c r="G258" s="2">
        <f t="shared" si="1"/>
        <v>112.5</v>
      </c>
    </row>
    <row r="259" ht="15.75" customHeight="1">
      <c r="A259" s="1">
        <f>IFERROR(__xludf.DUMMYFUNCTION("""COMPUTED_VALUE"""),44221.625)</f>
        <v>44221.625</v>
      </c>
      <c r="B259" s="2">
        <f>IFERROR(__xludf.DUMMYFUNCTION("""COMPUTED_VALUE"""),3625.0)</f>
        <v>3625</v>
      </c>
      <c r="C259" s="2">
        <f>IFERROR(__xludf.DUMMYFUNCTION("""COMPUTED_VALUE"""),3650.0)</f>
        <v>3650</v>
      </c>
      <c r="D259" s="2">
        <f>IFERROR(__xludf.DUMMYFUNCTION("""COMPUTED_VALUE"""),3512.5)</f>
        <v>3512.5</v>
      </c>
      <c r="E259" s="2">
        <f>IFERROR(__xludf.DUMMYFUNCTION("""COMPUTED_VALUE"""),3650.0)</f>
        <v>3650</v>
      </c>
      <c r="F259" s="2">
        <f>IFERROR(__xludf.DUMMYFUNCTION("""COMPUTED_VALUE"""),5.03238E7)</f>
        <v>50323800</v>
      </c>
      <c r="G259" s="2">
        <f t="shared" si="1"/>
        <v>137.5</v>
      </c>
    </row>
    <row r="260" ht="15.75" customHeight="1">
      <c r="A260" s="1">
        <f>IFERROR(__xludf.DUMMYFUNCTION("""COMPUTED_VALUE"""),44222.625)</f>
        <v>44222.625</v>
      </c>
      <c r="B260" s="2">
        <f>IFERROR(__xludf.DUMMYFUNCTION("""COMPUTED_VALUE"""),3650.0)</f>
        <v>3650</v>
      </c>
      <c r="C260" s="2">
        <f>IFERROR(__xludf.DUMMYFUNCTION("""COMPUTED_VALUE"""),3725.0)</f>
        <v>3725</v>
      </c>
      <c r="D260" s="2">
        <f>IFERROR(__xludf.DUMMYFUNCTION("""COMPUTED_VALUE"""),3625.0)</f>
        <v>3625</v>
      </c>
      <c r="E260" s="2">
        <f>IFERROR(__xludf.DUMMYFUNCTION("""COMPUTED_VALUE"""),3687.5)</f>
        <v>3687.5</v>
      </c>
      <c r="F260" s="2">
        <f>IFERROR(__xludf.DUMMYFUNCTION("""COMPUTED_VALUE"""),1.033562E8)</f>
        <v>103356200</v>
      </c>
      <c r="G260" s="2">
        <f t="shared" si="1"/>
        <v>100</v>
      </c>
    </row>
    <row r="261" ht="15.75" customHeight="1">
      <c r="A261" s="1">
        <f>IFERROR(__xludf.DUMMYFUNCTION("""COMPUTED_VALUE"""),44223.625)</f>
        <v>44223.625</v>
      </c>
      <c r="B261" s="2">
        <f>IFERROR(__xludf.DUMMYFUNCTION("""COMPUTED_VALUE"""),3700.0)</f>
        <v>3700</v>
      </c>
      <c r="C261" s="2">
        <f>IFERROR(__xludf.DUMMYFUNCTION("""COMPUTED_VALUE"""),3700.0)</f>
        <v>3700</v>
      </c>
      <c r="D261" s="2">
        <f>IFERROR(__xludf.DUMMYFUNCTION("""COMPUTED_VALUE"""),3587.5)</f>
        <v>3587.5</v>
      </c>
      <c r="E261" s="2">
        <f>IFERROR(__xludf.DUMMYFUNCTION("""COMPUTED_VALUE"""),3650.0)</f>
        <v>3650</v>
      </c>
      <c r="F261" s="2">
        <f>IFERROR(__xludf.DUMMYFUNCTION("""COMPUTED_VALUE"""),8.57907E7)</f>
        <v>85790700</v>
      </c>
      <c r="G261" s="2">
        <f t="shared" si="1"/>
        <v>112.5</v>
      </c>
    </row>
    <row r="262" ht="15.75" customHeight="1">
      <c r="A262" s="1">
        <f>IFERROR(__xludf.DUMMYFUNCTION("""COMPUTED_VALUE"""),44224.625)</f>
        <v>44224.625</v>
      </c>
      <c r="B262" s="2">
        <f>IFERROR(__xludf.DUMMYFUNCTION("""COMPUTED_VALUE"""),3575.0)</f>
        <v>3575</v>
      </c>
      <c r="C262" s="2">
        <f>IFERROR(__xludf.DUMMYFUNCTION("""COMPUTED_VALUE"""),3625.0)</f>
        <v>3625</v>
      </c>
      <c r="D262" s="2">
        <f>IFERROR(__xludf.DUMMYFUNCTION("""COMPUTED_VALUE"""),3450.0)</f>
        <v>3450</v>
      </c>
      <c r="E262" s="2">
        <f>IFERROR(__xludf.DUMMYFUNCTION("""COMPUTED_VALUE"""),3525.0)</f>
        <v>3525</v>
      </c>
      <c r="F262" s="2">
        <f>IFERROR(__xludf.DUMMYFUNCTION("""COMPUTED_VALUE"""),6.78725E7)</f>
        <v>67872500</v>
      </c>
      <c r="G262" s="2">
        <f t="shared" si="1"/>
        <v>200</v>
      </c>
    </row>
    <row r="263" ht="15.75" customHeight="1">
      <c r="A263" s="1">
        <f>IFERROR(__xludf.DUMMYFUNCTION("""COMPUTED_VALUE"""),44225.625)</f>
        <v>44225.625</v>
      </c>
      <c r="B263" s="2">
        <f>IFERROR(__xludf.DUMMYFUNCTION("""COMPUTED_VALUE"""),3550.0)</f>
        <v>3550</v>
      </c>
      <c r="C263" s="2">
        <f>IFERROR(__xludf.DUMMYFUNCTION("""COMPUTED_VALUE"""),3612.5)</f>
        <v>3612.5</v>
      </c>
      <c r="D263" s="2">
        <f>IFERROR(__xludf.DUMMYFUNCTION("""COMPUTED_VALUE"""),3287.5)</f>
        <v>3287.5</v>
      </c>
      <c r="E263" s="2">
        <f>IFERROR(__xludf.DUMMYFUNCTION("""COMPUTED_VALUE"""),3287.5)</f>
        <v>3287.5</v>
      </c>
      <c r="F263" s="2">
        <f>IFERROR(__xludf.DUMMYFUNCTION("""COMPUTED_VALUE"""),1.671138E8)</f>
        <v>167113800</v>
      </c>
      <c r="G263" s="2">
        <f t="shared" si="1"/>
        <v>325</v>
      </c>
    </row>
    <row r="264" ht="15.75" customHeight="1">
      <c r="A264" s="1">
        <f>IFERROR(__xludf.DUMMYFUNCTION("""COMPUTED_VALUE"""),44228.625)</f>
        <v>44228.625</v>
      </c>
      <c r="B264" s="2">
        <f>IFERROR(__xludf.DUMMYFUNCTION("""COMPUTED_VALUE"""),3325.0)</f>
        <v>3325</v>
      </c>
      <c r="C264" s="2">
        <f>IFERROR(__xludf.DUMMYFUNCTION("""COMPUTED_VALUE"""),3362.5)</f>
        <v>3362.5</v>
      </c>
      <c r="D264" s="2">
        <f>IFERROR(__xludf.DUMMYFUNCTION("""COMPUTED_VALUE"""),3100.0)</f>
        <v>3100</v>
      </c>
      <c r="E264" s="2">
        <f>IFERROR(__xludf.DUMMYFUNCTION("""COMPUTED_VALUE"""),3350.0)</f>
        <v>3350</v>
      </c>
      <c r="F264" s="2">
        <f>IFERROR(__xludf.DUMMYFUNCTION("""COMPUTED_VALUE"""),1.212701E8)</f>
        <v>121270100</v>
      </c>
      <c r="G264" s="2">
        <f t="shared" si="1"/>
        <v>262.5</v>
      </c>
    </row>
    <row r="265" ht="15.75" customHeight="1">
      <c r="A265" s="1">
        <f>IFERROR(__xludf.DUMMYFUNCTION("""COMPUTED_VALUE"""),44229.625)</f>
        <v>44229.625</v>
      </c>
      <c r="B265" s="2">
        <f>IFERROR(__xludf.DUMMYFUNCTION("""COMPUTED_VALUE"""),3400.0)</f>
        <v>3400</v>
      </c>
      <c r="C265" s="2">
        <f>IFERROR(__xludf.DUMMYFUNCTION("""COMPUTED_VALUE"""),3400.0)</f>
        <v>3400</v>
      </c>
      <c r="D265" s="2">
        <f>IFERROR(__xludf.DUMMYFUNCTION("""COMPUTED_VALUE"""),3200.0)</f>
        <v>3200</v>
      </c>
      <c r="E265" s="2">
        <f>IFERROR(__xludf.DUMMYFUNCTION("""COMPUTED_VALUE"""),3237.5)</f>
        <v>3237.5</v>
      </c>
      <c r="F265" s="2">
        <f>IFERROR(__xludf.DUMMYFUNCTION("""COMPUTED_VALUE"""),8.02414E7)</f>
        <v>80241400</v>
      </c>
      <c r="G265" s="2">
        <f t="shared" si="1"/>
        <v>200</v>
      </c>
    </row>
    <row r="266" ht="15.75" customHeight="1">
      <c r="A266" s="1">
        <f>IFERROR(__xludf.DUMMYFUNCTION("""COMPUTED_VALUE"""),44230.625)</f>
        <v>44230.625</v>
      </c>
      <c r="B266" s="2">
        <f>IFERROR(__xludf.DUMMYFUNCTION("""COMPUTED_VALUE"""),3300.0)</f>
        <v>3300</v>
      </c>
      <c r="C266" s="2">
        <f>IFERROR(__xludf.DUMMYFUNCTION("""COMPUTED_VALUE"""),3325.0)</f>
        <v>3325</v>
      </c>
      <c r="D266" s="2">
        <f>IFERROR(__xludf.DUMMYFUNCTION("""COMPUTED_VALUE"""),3225.0)</f>
        <v>3225</v>
      </c>
      <c r="E266" s="2">
        <f>IFERROR(__xludf.DUMMYFUNCTION("""COMPUTED_VALUE"""),3250.0)</f>
        <v>3250</v>
      </c>
      <c r="F266" s="2">
        <f>IFERROR(__xludf.DUMMYFUNCTION("""COMPUTED_VALUE"""),8.35223E7)</f>
        <v>83522300</v>
      </c>
      <c r="G266" s="2">
        <f t="shared" si="1"/>
        <v>100</v>
      </c>
    </row>
    <row r="267" ht="15.75" customHeight="1">
      <c r="A267" s="1">
        <f>IFERROR(__xludf.DUMMYFUNCTION("""COMPUTED_VALUE"""),44231.625)</f>
        <v>44231.625</v>
      </c>
      <c r="B267" s="2">
        <f>IFERROR(__xludf.DUMMYFUNCTION("""COMPUTED_VALUE"""),3287.5)</f>
        <v>3287.5</v>
      </c>
      <c r="C267" s="2">
        <f>IFERROR(__xludf.DUMMYFUNCTION("""COMPUTED_VALUE"""),3337.5)</f>
        <v>3337.5</v>
      </c>
      <c r="D267" s="2">
        <f>IFERROR(__xludf.DUMMYFUNCTION("""COMPUTED_VALUE"""),3225.0)</f>
        <v>3225</v>
      </c>
      <c r="E267" s="2">
        <f>IFERROR(__xludf.DUMMYFUNCTION("""COMPUTED_VALUE"""),3287.5)</f>
        <v>3287.5</v>
      </c>
      <c r="F267" s="2">
        <f>IFERROR(__xludf.DUMMYFUNCTION("""COMPUTED_VALUE"""),6.95202E7)</f>
        <v>69520200</v>
      </c>
      <c r="G267" s="2">
        <f t="shared" si="1"/>
        <v>112.5</v>
      </c>
    </row>
    <row r="268" ht="15.75" customHeight="1">
      <c r="A268" s="1">
        <f>IFERROR(__xludf.DUMMYFUNCTION("""COMPUTED_VALUE"""),44232.625)</f>
        <v>44232.625</v>
      </c>
      <c r="B268" s="2">
        <f>IFERROR(__xludf.DUMMYFUNCTION("""COMPUTED_VALUE"""),3350.0)</f>
        <v>3350</v>
      </c>
      <c r="C268" s="2">
        <f>IFERROR(__xludf.DUMMYFUNCTION("""COMPUTED_VALUE"""),3350.0)</f>
        <v>3350</v>
      </c>
      <c r="D268" s="2">
        <f>IFERROR(__xludf.DUMMYFUNCTION("""COMPUTED_VALUE"""),3225.0)</f>
        <v>3225</v>
      </c>
      <c r="E268" s="2">
        <f>IFERROR(__xludf.DUMMYFUNCTION("""COMPUTED_VALUE"""),3275.0)</f>
        <v>3275</v>
      </c>
      <c r="F268" s="2">
        <f>IFERROR(__xludf.DUMMYFUNCTION("""COMPUTED_VALUE"""),4.85998E7)</f>
        <v>48599800</v>
      </c>
      <c r="G268" s="2">
        <f t="shared" si="1"/>
        <v>125</v>
      </c>
    </row>
    <row r="269" ht="15.75" customHeight="1">
      <c r="A269" s="1">
        <f>IFERROR(__xludf.DUMMYFUNCTION("""COMPUTED_VALUE"""),44235.625)</f>
        <v>44235.625</v>
      </c>
      <c r="B269" s="2">
        <f>IFERROR(__xludf.DUMMYFUNCTION("""COMPUTED_VALUE"""),3300.0)</f>
        <v>3300</v>
      </c>
      <c r="C269" s="2">
        <f>IFERROR(__xludf.DUMMYFUNCTION("""COMPUTED_VALUE"""),3337.5)</f>
        <v>3337.5</v>
      </c>
      <c r="D269" s="2">
        <f>IFERROR(__xludf.DUMMYFUNCTION("""COMPUTED_VALUE"""),3275.0)</f>
        <v>3275</v>
      </c>
      <c r="E269" s="2">
        <f>IFERROR(__xludf.DUMMYFUNCTION("""COMPUTED_VALUE"""),3287.5)</f>
        <v>3287.5</v>
      </c>
      <c r="F269" s="2">
        <f>IFERROR(__xludf.DUMMYFUNCTION("""COMPUTED_VALUE"""),6.25254E7)</f>
        <v>62525400</v>
      </c>
      <c r="G269" s="2">
        <f t="shared" si="1"/>
        <v>62.5</v>
      </c>
    </row>
    <row r="270" ht="15.75" customHeight="1">
      <c r="A270" s="1">
        <f>IFERROR(__xludf.DUMMYFUNCTION("""COMPUTED_VALUE"""),44236.625)</f>
        <v>44236.625</v>
      </c>
      <c r="B270" s="2">
        <f>IFERROR(__xludf.DUMMYFUNCTION("""COMPUTED_VALUE"""),3300.0)</f>
        <v>3300</v>
      </c>
      <c r="C270" s="2">
        <f>IFERROR(__xludf.DUMMYFUNCTION("""COMPUTED_VALUE"""),3350.0)</f>
        <v>3350</v>
      </c>
      <c r="D270" s="2">
        <f>IFERROR(__xludf.DUMMYFUNCTION("""COMPUTED_VALUE"""),3225.0)</f>
        <v>3225</v>
      </c>
      <c r="E270" s="2">
        <f>IFERROR(__xludf.DUMMYFUNCTION("""COMPUTED_VALUE"""),3250.0)</f>
        <v>3250</v>
      </c>
      <c r="F270" s="2">
        <f>IFERROR(__xludf.DUMMYFUNCTION("""COMPUTED_VALUE"""),1.041902E8)</f>
        <v>104190200</v>
      </c>
      <c r="G270" s="2">
        <f t="shared" si="1"/>
        <v>125</v>
      </c>
    </row>
    <row r="271" ht="15.75" customHeight="1">
      <c r="A271" s="1">
        <f>IFERROR(__xludf.DUMMYFUNCTION("""COMPUTED_VALUE"""),44237.625)</f>
        <v>44237.625</v>
      </c>
      <c r="B271" s="2">
        <f>IFERROR(__xludf.DUMMYFUNCTION("""COMPUTED_VALUE"""),3287.5)</f>
        <v>3287.5</v>
      </c>
      <c r="C271" s="2">
        <f>IFERROR(__xludf.DUMMYFUNCTION("""COMPUTED_VALUE"""),3287.5)</f>
        <v>3287.5</v>
      </c>
      <c r="D271" s="2">
        <f>IFERROR(__xludf.DUMMYFUNCTION("""COMPUTED_VALUE"""),3237.5)</f>
        <v>3237.5</v>
      </c>
      <c r="E271" s="2">
        <f>IFERROR(__xludf.DUMMYFUNCTION("""COMPUTED_VALUE"""),3250.0)</f>
        <v>3250</v>
      </c>
      <c r="F271" s="2">
        <f>IFERROR(__xludf.DUMMYFUNCTION("""COMPUTED_VALUE"""),5.13468E7)</f>
        <v>51346800</v>
      </c>
      <c r="G271" s="2">
        <f t="shared" si="1"/>
        <v>50</v>
      </c>
    </row>
    <row r="272" ht="15.75" customHeight="1">
      <c r="A272" s="1">
        <f>IFERROR(__xludf.DUMMYFUNCTION("""COMPUTED_VALUE"""),44238.625)</f>
        <v>44238.625</v>
      </c>
      <c r="B272" s="2">
        <f>IFERROR(__xludf.DUMMYFUNCTION("""COMPUTED_VALUE"""),3275.0)</f>
        <v>3275</v>
      </c>
      <c r="C272" s="2">
        <f>IFERROR(__xludf.DUMMYFUNCTION("""COMPUTED_VALUE"""),3275.0)</f>
        <v>3275</v>
      </c>
      <c r="D272" s="2">
        <f>IFERROR(__xludf.DUMMYFUNCTION("""COMPUTED_VALUE"""),3250.0)</f>
        <v>3250</v>
      </c>
      <c r="E272" s="2">
        <f>IFERROR(__xludf.DUMMYFUNCTION("""COMPUTED_VALUE"""),3250.0)</f>
        <v>3250</v>
      </c>
      <c r="F272" s="2">
        <f>IFERROR(__xludf.DUMMYFUNCTION("""COMPUTED_VALUE"""),1.79397E7)</f>
        <v>17939700</v>
      </c>
      <c r="G272" s="2">
        <f t="shared" si="1"/>
        <v>25</v>
      </c>
    </row>
    <row r="273" ht="15.75" customHeight="1">
      <c r="A273" s="1">
        <f>IFERROR(__xludf.DUMMYFUNCTION("""COMPUTED_VALUE"""),44242.625)</f>
        <v>44242.625</v>
      </c>
      <c r="B273" s="2">
        <f>IFERROR(__xludf.DUMMYFUNCTION("""COMPUTED_VALUE"""),3275.0)</f>
        <v>3275</v>
      </c>
      <c r="C273" s="2">
        <f>IFERROR(__xludf.DUMMYFUNCTION("""COMPUTED_VALUE"""),3287.5)</f>
        <v>3287.5</v>
      </c>
      <c r="D273" s="2">
        <f>IFERROR(__xludf.DUMMYFUNCTION("""COMPUTED_VALUE"""),3250.0)</f>
        <v>3250</v>
      </c>
      <c r="E273" s="2">
        <f>IFERROR(__xludf.DUMMYFUNCTION("""COMPUTED_VALUE"""),3250.0)</f>
        <v>3250</v>
      </c>
      <c r="F273" s="2">
        <f>IFERROR(__xludf.DUMMYFUNCTION("""COMPUTED_VALUE"""),2.44976E7)</f>
        <v>24497600</v>
      </c>
      <c r="G273" s="2">
        <f t="shared" si="1"/>
        <v>37.5</v>
      </c>
    </row>
    <row r="274" ht="15.75" customHeight="1">
      <c r="A274" s="1">
        <f>IFERROR(__xludf.DUMMYFUNCTION("""COMPUTED_VALUE"""),44243.625)</f>
        <v>44243.625</v>
      </c>
      <c r="B274" s="2">
        <f>IFERROR(__xludf.DUMMYFUNCTION("""COMPUTED_VALUE"""),3250.0)</f>
        <v>3250</v>
      </c>
      <c r="C274" s="2">
        <f>IFERROR(__xludf.DUMMYFUNCTION("""COMPUTED_VALUE"""),3275.0)</f>
        <v>3275</v>
      </c>
      <c r="D274" s="2">
        <f>IFERROR(__xludf.DUMMYFUNCTION("""COMPUTED_VALUE"""),3225.0)</f>
        <v>3225</v>
      </c>
      <c r="E274" s="2">
        <f>IFERROR(__xludf.DUMMYFUNCTION("""COMPUTED_VALUE"""),3237.5)</f>
        <v>3237.5</v>
      </c>
      <c r="F274" s="2">
        <f>IFERROR(__xludf.DUMMYFUNCTION("""COMPUTED_VALUE"""),3.1601E7)</f>
        <v>31601000</v>
      </c>
      <c r="G274" s="2">
        <f t="shared" si="1"/>
        <v>50</v>
      </c>
    </row>
    <row r="275" ht="15.75" customHeight="1">
      <c r="A275" s="1">
        <f>IFERROR(__xludf.DUMMYFUNCTION("""COMPUTED_VALUE"""),44244.625)</f>
        <v>44244.625</v>
      </c>
      <c r="B275" s="2">
        <f>IFERROR(__xludf.DUMMYFUNCTION("""COMPUTED_VALUE"""),3225.0)</f>
        <v>3225</v>
      </c>
      <c r="C275" s="2">
        <f>IFERROR(__xludf.DUMMYFUNCTION("""COMPUTED_VALUE"""),3237.5)</f>
        <v>3237.5</v>
      </c>
      <c r="D275" s="2">
        <f>IFERROR(__xludf.DUMMYFUNCTION("""COMPUTED_VALUE"""),3150.0)</f>
        <v>3150</v>
      </c>
      <c r="E275" s="2">
        <f>IFERROR(__xludf.DUMMYFUNCTION("""COMPUTED_VALUE"""),3175.0)</f>
        <v>3175</v>
      </c>
      <c r="F275" s="2">
        <f>IFERROR(__xludf.DUMMYFUNCTION("""COMPUTED_VALUE"""),5.87068E7)</f>
        <v>58706800</v>
      </c>
      <c r="G275" s="2">
        <f t="shared" si="1"/>
        <v>87.5</v>
      </c>
    </row>
    <row r="276" ht="15.75" customHeight="1">
      <c r="A276" s="1">
        <f>IFERROR(__xludf.DUMMYFUNCTION("""COMPUTED_VALUE"""),44245.625)</f>
        <v>44245.625</v>
      </c>
      <c r="B276" s="2">
        <f>IFERROR(__xludf.DUMMYFUNCTION("""COMPUTED_VALUE"""),3125.0)</f>
        <v>3125</v>
      </c>
      <c r="C276" s="2">
        <f>IFERROR(__xludf.DUMMYFUNCTION("""COMPUTED_VALUE"""),3200.0)</f>
        <v>3200</v>
      </c>
      <c r="D276" s="2">
        <f>IFERROR(__xludf.DUMMYFUNCTION("""COMPUTED_VALUE"""),3112.5)</f>
        <v>3112.5</v>
      </c>
      <c r="E276" s="2">
        <f>IFERROR(__xludf.DUMMYFUNCTION("""COMPUTED_VALUE"""),3125.0)</f>
        <v>3125</v>
      </c>
      <c r="F276" s="2">
        <f>IFERROR(__xludf.DUMMYFUNCTION("""COMPUTED_VALUE"""),5.69945E7)</f>
        <v>56994500</v>
      </c>
      <c r="G276" s="2">
        <f t="shared" si="1"/>
        <v>87.5</v>
      </c>
    </row>
    <row r="277" ht="15.75" customHeight="1">
      <c r="A277" s="1">
        <f>IFERROR(__xludf.DUMMYFUNCTION("""COMPUTED_VALUE"""),44246.625)</f>
        <v>44246.625</v>
      </c>
      <c r="B277" s="2">
        <f>IFERROR(__xludf.DUMMYFUNCTION("""COMPUTED_VALUE"""),3125.0)</f>
        <v>3125</v>
      </c>
      <c r="C277" s="2">
        <f>IFERROR(__xludf.DUMMYFUNCTION("""COMPUTED_VALUE"""),3200.0)</f>
        <v>3200</v>
      </c>
      <c r="D277" s="2">
        <f>IFERROR(__xludf.DUMMYFUNCTION("""COMPUTED_VALUE"""),3100.0)</f>
        <v>3100</v>
      </c>
      <c r="E277" s="2">
        <f>IFERROR(__xludf.DUMMYFUNCTION("""COMPUTED_VALUE"""),3187.5)</f>
        <v>3187.5</v>
      </c>
      <c r="F277" s="2">
        <f>IFERROR(__xludf.DUMMYFUNCTION("""COMPUTED_VALUE"""),5.10102E7)</f>
        <v>51010200</v>
      </c>
      <c r="G277" s="2">
        <f t="shared" si="1"/>
        <v>100</v>
      </c>
    </row>
    <row r="278" ht="15.75" customHeight="1">
      <c r="A278" s="1">
        <f>IFERROR(__xludf.DUMMYFUNCTION("""COMPUTED_VALUE"""),44249.625)</f>
        <v>44249.625</v>
      </c>
      <c r="B278" s="2">
        <f>IFERROR(__xludf.DUMMYFUNCTION("""COMPUTED_VALUE"""),3225.0)</f>
        <v>3225</v>
      </c>
      <c r="C278" s="2">
        <f>IFERROR(__xludf.DUMMYFUNCTION("""COMPUTED_VALUE"""),3250.0)</f>
        <v>3250</v>
      </c>
      <c r="D278" s="2">
        <f>IFERROR(__xludf.DUMMYFUNCTION("""COMPUTED_VALUE"""),3187.5)</f>
        <v>3187.5</v>
      </c>
      <c r="E278" s="2">
        <f>IFERROR(__xludf.DUMMYFUNCTION("""COMPUTED_VALUE"""),3187.5)</f>
        <v>3187.5</v>
      </c>
      <c r="F278" s="2">
        <f>IFERROR(__xludf.DUMMYFUNCTION("""COMPUTED_VALUE"""),5.38403E7)</f>
        <v>53840300</v>
      </c>
      <c r="G278" s="2">
        <f t="shared" si="1"/>
        <v>62.5</v>
      </c>
    </row>
    <row r="279" ht="15.75" customHeight="1">
      <c r="A279" s="1">
        <f>IFERROR(__xludf.DUMMYFUNCTION("""COMPUTED_VALUE"""),44250.66666666667)</f>
        <v>44250.66667</v>
      </c>
      <c r="B279" s="2">
        <f>IFERROR(__xludf.DUMMYFUNCTION("""COMPUTED_VALUE"""),3150.0)</f>
        <v>3150</v>
      </c>
      <c r="C279" s="2">
        <f>IFERROR(__xludf.DUMMYFUNCTION("""COMPUTED_VALUE"""),3187.5)</f>
        <v>3187.5</v>
      </c>
      <c r="D279" s="2">
        <f>IFERROR(__xludf.DUMMYFUNCTION("""COMPUTED_VALUE"""),3150.0)</f>
        <v>3150</v>
      </c>
      <c r="E279" s="2">
        <f>IFERROR(__xludf.DUMMYFUNCTION("""COMPUTED_VALUE"""),3162.5)</f>
        <v>3162.5</v>
      </c>
      <c r="F279" s="2">
        <f>IFERROR(__xludf.DUMMYFUNCTION("""COMPUTED_VALUE"""),4.45539E7)</f>
        <v>44553900</v>
      </c>
      <c r="G279" s="2">
        <f t="shared" si="1"/>
        <v>37.5</v>
      </c>
    </row>
    <row r="280" ht="15.75" customHeight="1">
      <c r="A280" s="1">
        <f>IFERROR(__xludf.DUMMYFUNCTION("""COMPUTED_VALUE"""),44251.625)</f>
        <v>44251.625</v>
      </c>
      <c r="B280" s="2">
        <f>IFERROR(__xludf.DUMMYFUNCTION("""COMPUTED_VALUE"""),3175.0)</f>
        <v>3175</v>
      </c>
      <c r="C280" s="2">
        <f>IFERROR(__xludf.DUMMYFUNCTION("""COMPUTED_VALUE"""),3200.0)</f>
        <v>3200</v>
      </c>
      <c r="D280" s="2">
        <f>IFERROR(__xludf.DUMMYFUNCTION("""COMPUTED_VALUE"""),3162.5)</f>
        <v>3162.5</v>
      </c>
      <c r="E280" s="2">
        <f>IFERROR(__xludf.DUMMYFUNCTION("""COMPUTED_VALUE"""),3187.5)</f>
        <v>3187.5</v>
      </c>
      <c r="F280" s="2">
        <f>IFERROR(__xludf.DUMMYFUNCTION("""COMPUTED_VALUE"""),4.12493E7)</f>
        <v>41249300</v>
      </c>
      <c r="G280" s="2">
        <f t="shared" si="1"/>
        <v>37.5</v>
      </c>
    </row>
    <row r="281" ht="15.75" customHeight="1">
      <c r="A281" s="1">
        <f>IFERROR(__xludf.DUMMYFUNCTION("""COMPUTED_VALUE"""),44252.625)</f>
        <v>44252.625</v>
      </c>
      <c r="B281" s="2">
        <f>IFERROR(__xludf.DUMMYFUNCTION("""COMPUTED_VALUE"""),3212.5)</f>
        <v>3212.5</v>
      </c>
      <c r="C281" s="2">
        <f>IFERROR(__xludf.DUMMYFUNCTION("""COMPUTED_VALUE"""),3237.5)</f>
        <v>3237.5</v>
      </c>
      <c r="D281" s="2">
        <f>IFERROR(__xludf.DUMMYFUNCTION("""COMPUTED_VALUE"""),3137.5)</f>
        <v>3137.5</v>
      </c>
      <c r="E281" s="2">
        <f>IFERROR(__xludf.DUMMYFUNCTION("""COMPUTED_VALUE"""),3137.5)</f>
        <v>3137.5</v>
      </c>
      <c r="F281" s="2">
        <f>IFERROR(__xludf.DUMMYFUNCTION("""COMPUTED_VALUE"""),6.68074E7)</f>
        <v>66807400</v>
      </c>
      <c r="G281" s="2">
        <f t="shared" si="1"/>
        <v>100</v>
      </c>
    </row>
    <row r="282" ht="15.75" customHeight="1">
      <c r="A282" s="1">
        <f>IFERROR(__xludf.DUMMYFUNCTION("""COMPUTED_VALUE"""),44253.625)</f>
        <v>44253.625</v>
      </c>
      <c r="B282" s="2">
        <f>IFERROR(__xludf.DUMMYFUNCTION("""COMPUTED_VALUE"""),3087.5)</f>
        <v>3087.5</v>
      </c>
      <c r="C282" s="2">
        <f>IFERROR(__xludf.DUMMYFUNCTION("""COMPUTED_VALUE"""),3162.5)</f>
        <v>3162.5</v>
      </c>
      <c r="D282" s="2">
        <f>IFERROR(__xludf.DUMMYFUNCTION("""COMPUTED_VALUE"""),3050.0)</f>
        <v>3050</v>
      </c>
      <c r="E282" s="2">
        <f>IFERROR(__xludf.DUMMYFUNCTION("""COMPUTED_VALUE"""),3075.0)</f>
        <v>3075</v>
      </c>
      <c r="F282" s="2">
        <f>IFERROR(__xludf.DUMMYFUNCTION("""COMPUTED_VALUE"""),1.230953E8)</f>
        <v>123095300</v>
      </c>
      <c r="G282" s="2">
        <f t="shared" si="1"/>
        <v>112.5</v>
      </c>
    </row>
    <row r="283" ht="15.75" customHeight="1">
      <c r="A283" s="1">
        <f>IFERROR(__xludf.DUMMYFUNCTION("""COMPUTED_VALUE"""),44256.625)</f>
        <v>44256.625</v>
      </c>
      <c r="B283" s="2">
        <f>IFERROR(__xludf.DUMMYFUNCTION("""COMPUTED_VALUE"""),3112.5)</f>
        <v>3112.5</v>
      </c>
      <c r="C283" s="2">
        <f>IFERROR(__xludf.DUMMYFUNCTION("""COMPUTED_VALUE"""),3300.0)</f>
        <v>3300</v>
      </c>
      <c r="D283" s="2">
        <f>IFERROR(__xludf.DUMMYFUNCTION("""COMPUTED_VALUE"""),3112.5)</f>
        <v>3112.5</v>
      </c>
      <c r="E283" s="2">
        <f>IFERROR(__xludf.DUMMYFUNCTION("""COMPUTED_VALUE"""),3287.5)</f>
        <v>3287.5</v>
      </c>
      <c r="F283" s="2">
        <f>IFERROR(__xludf.DUMMYFUNCTION("""COMPUTED_VALUE"""),1.103927E8)</f>
        <v>110392700</v>
      </c>
      <c r="G283" s="2">
        <f t="shared" si="1"/>
        <v>225</v>
      </c>
    </row>
    <row r="284" ht="15.75" customHeight="1">
      <c r="A284" s="1">
        <f>IFERROR(__xludf.DUMMYFUNCTION("""COMPUTED_VALUE"""),44257.625)</f>
        <v>44257.625</v>
      </c>
      <c r="B284" s="2">
        <f>IFERROR(__xludf.DUMMYFUNCTION("""COMPUTED_VALUE"""),3325.0)</f>
        <v>3325</v>
      </c>
      <c r="C284" s="2">
        <f>IFERROR(__xludf.DUMMYFUNCTION("""COMPUTED_VALUE"""),3325.0)</f>
        <v>3325</v>
      </c>
      <c r="D284" s="2">
        <f>IFERROR(__xludf.DUMMYFUNCTION("""COMPUTED_VALUE"""),3250.0)</f>
        <v>3250</v>
      </c>
      <c r="E284" s="2">
        <f>IFERROR(__xludf.DUMMYFUNCTION("""COMPUTED_VALUE"""),3300.0)</f>
        <v>3300</v>
      </c>
      <c r="F284" s="2">
        <f>IFERROR(__xludf.DUMMYFUNCTION("""COMPUTED_VALUE"""),8.16483E7)</f>
        <v>81648300</v>
      </c>
      <c r="G284" s="2">
        <f t="shared" si="1"/>
        <v>75</v>
      </c>
    </row>
    <row r="285" ht="15.75" customHeight="1">
      <c r="A285" s="1">
        <f>IFERROR(__xludf.DUMMYFUNCTION("""COMPUTED_VALUE"""),44258.625)</f>
        <v>44258.625</v>
      </c>
      <c r="B285" s="2">
        <f>IFERROR(__xludf.DUMMYFUNCTION("""COMPUTED_VALUE"""),3337.5)</f>
        <v>3337.5</v>
      </c>
      <c r="C285" s="2">
        <f>IFERROR(__xludf.DUMMYFUNCTION("""COMPUTED_VALUE"""),3337.5)</f>
        <v>3337.5</v>
      </c>
      <c r="D285" s="2">
        <f>IFERROR(__xludf.DUMMYFUNCTION("""COMPUTED_VALUE"""),3262.5)</f>
        <v>3262.5</v>
      </c>
      <c r="E285" s="2">
        <f>IFERROR(__xludf.DUMMYFUNCTION("""COMPUTED_VALUE"""),3300.0)</f>
        <v>3300</v>
      </c>
      <c r="F285" s="2">
        <f>IFERROR(__xludf.DUMMYFUNCTION("""COMPUTED_VALUE"""),3.92661E7)</f>
        <v>39266100</v>
      </c>
      <c r="G285" s="2">
        <f t="shared" si="1"/>
        <v>75</v>
      </c>
    </row>
    <row r="286" ht="15.75" customHeight="1">
      <c r="A286" s="1">
        <f>IFERROR(__xludf.DUMMYFUNCTION("""COMPUTED_VALUE"""),44259.625)</f>
        <v>44259.625</v>
      </c>
      <c r="B286" s="2">
        <f>IFERROR(__xludf.DUMMYFUNCTION("""COMPUTED_VALUE"""),3312.5)</f>
        <v>3312.5</v>
      </c>
      <c r="C286" s="2">
        <f>IFERROR(__xludf.DUMMYFUNCTION("""COMPUTED_VALUE"""),3325.0)</f>
        <v>3325</v>
      </c>
      <c r="D286" s="2">
        <f>IFERROR(__xludf.DUMMYFUNCTION("""COMPUTED_VALUE"""),3262.5)</f>
        <v>3262.5</v>
      </c>
      <c r="E286" s="2">
        <f>IFERROR(__xludf.DUMMYFUNCTION("""COMPUTED_VALUE"""),3275.0)</f>
        <v>3275</v>
      </c>
      <c r="F286" s="2">
        <f>IFERROR(__xludf.DUMMYFUNCTION("""COMPUTED_VALUE"""),6.03063E7)</f>
        <v>60306300</v>
      </c>
      <c r="G286" s="2">
        <f t="shared" si="1"/>
        <v>62.5</v>
      </c>
    </row>
    <row r="287" ht="15.75" customHeight="1">
      <c r="A287" s="1">
        <f>IFERROR(__xludf.DUMMYFUNCTION("""COMPUTED_VALUE"""),44260.625)</f>
        <v>44260.625</v>
      </c>
      <c r="B287" s="2">
        <f>IFERROR(__xludf.DUMMYFUNCTION("""COMPUTED_VALUE"""),3262.5)</f>
        <v>3262.5</v>
      </c>
      <c r="C287" s="2">
        <f>IFERROR(__xludf.DUMMYFUNCTION("""COMPUTED_VALUE"""),3287.5)</f>
        <v>3287.5</v>
      </c>
      <c r="D287" s="2">
        <f>IFERROR(__xludf.DUMMYFUNCTION("""COMPUTED_VALUE"""),3225.0)</f>
        <v>3225</v>
      </c>
      <c r="E287" s="2">
        <f>IFERROR(__xludf.DUMMYFUNCTION("""COMPUTED_VALUE"""),3237.5)</f>
        <v>3237.5</v>
      </c>
      <c r="F287" s="2">
        <f>IFERROR(__xludf.DUMMYFUNCTION("""COMPUTED_VALUE"""),4.36195E7)</f>
        <v>43619500</v>
      </c>
      <c r="G287" s="2">
        <f t="shared" si="1"/>
        <v>62.5</v>
      </c>
    </row>
    <row r="288" ht="15.75" customHeight="1">
      <c r="A288" s="1">
        <f>IFERROR(__xludf.DUMMYFUNCTION("""COMPUTED_VALUE"""),44263.66666666667)</f>
        <v>44263.66667</v>
      </c>
      <c r="B288" s="2">
        <f>IFERROR(__xludf.DUMMYFUNCTION("""COMPUTED_VALUE"""),3275.0)</f>
        <v>3275</v>
      </c>
      <c r="C288" s="2">
        <f>IFERROR(__xludf.DUMMYFUNCTION("""COMPUTED_VALUE"""),3287.5)</f>
        <v>3287.5</v>
      </c>
      <c r="D288" s="2">
        <f>IFERROR(__xludf.DUMMYFUNCTION("""COMPUTED_VALUE"""),3187.5)</f>
        <v>3187.5</v>
      </c>
      <c r="E288" s="2">
        <f>IFERROR(__xludf.DUMMYFUNCTION("""COMPUTED_VALUE"""),3212.5)</f>
        <v>3212.5</v>
      </c>
      <c r="F288" s="2">
        <f>IFERROR(__xludf.DUMMYFUNCTION("""COMPUTED_VALUE"""),2.7049E7)</f>
        <v>27049000</v>
      </c>
      <c r="G288" s="2">
        <f t="shared" si="1"/>
        <v>100</v>
      </c>
    </row>
    <row r="289" ht="15.75" customHeight="1">
      <c r="A289" s="1">
        <f>IFERROR(__xludf.DUMMYFUNCTION("""COMPUTED_VALUE"""),44264.625)</f>
        <v>44264.625</v>
      </c>
      <c r="B289" s="2">
        <f>IFERROR(__xludf.DUMMYFUNCTION("""COMPUTED_VALUE"""),3187.5)</f>
        <v>3187.5</v>
      </c>
      <c r="C289" s="2">
        <f>IFERROR(__xludf.DUMMYFUNCTION("""COMPUTED_VALUE"""),3262.5)</f>
        <v>3262.5</v>
      </c>
      <c r="D289" s="2">
        <f>IFERROR(__xludf.DUMMYFUNCTION("""COMPUTED_VALUE"""),3187.5)</f>
        <v>3187.5</v>
      </c>
      <c r="E289" s="2">
        <f>IFERROR(__xludf.DUMMYFUNCTION("""COMPUTED_VALUE"""),3212.5)</f>
        <v>3212.5</v>
      </c>
      <c r="F289" s="2">
        <f>IFERROR(__xludf.DUMMYFUNCTION("""COMPUTED_VALUE"""),5.59194E7)</f>
        <v>55919400</v>
      </c>
      <c r="G289" s="2">
        <f t="shared" si="1"/>
        <v>75</v>
      </c>
    </row>
    <row r="290" ht="15.75" customHeight="1">
      <c r="A290" s="1">
        <f>IFERROR(__xludf.DUMMYFUNCTION("""COMPUTED_VALUE"""),44265.625)</f>
        <v>44265.625</v>
      </c>
      <c r="B290" s="2">
        <f>IFERROR(__xludf.DUMMYFUNCTION("""COMPUTED_VALUE"""),3250.0)</f>
        <v>3250</v>
      </c>
      <c r="C290" s="2">
        <f>IFERROR(__xludf.DUMMYFUNCTION("""COMPUTED_VALUE"""),3250.0)</f>
        <v>3250</v>
      </c>
      <c r="D290" s="2">
        <f>IFERROR(__xludf.DUMMYFUNCTION("""COMPUTED_VALUE"""),3225.0)</f>
        <v>3225</v>
      </c>
      <c r="E290" s="2">
        <f>IFERROR(__xludf.DUMMYFUNCTION("""COMPUTED_VALUE"""),3250.0)</f>
        <v>3250</v>
      </c>
      <c r="F290" s="2">
        <f>IFERROR(__xludf.DUMMYFUNCTION("""COMPUTED_VALUE"""),2.59515E7)</f>
        <v>25951500</v>
      </c>
      <c r="G290" s="2">
        <f t="shared" si="1"/>
        <v>37.5</v>
      </c>
    </row>
    <row r="291" ht="15.75" customHeight="1">
      <c r="A291" s="1">
        <f>IFERROR(__xludf.DUMMYFUNCTION("""COMPUTED_VALUE"""),44267.625)</f>
        <v>44267.625</v>
      </c>
      <c r="B291" s="2">
        <f>IFERROR(__xludf.DUMMYFUNCTION("""COMPUTED_VALUE"""),3275.0)</f>
        <v>3275</v>
      </c>
      <c r="C291" s="2">
        <f>IFERROR(__xludf.DUMMYFUNCTION("""COMPUTED_VALUE"""),3375.0)</f>
        <v>3375</v>
      </c>
      <c r="D291" s="2">
        <f>IFERROR(__xludf.DUMMYFUNCTION("""COMPUTED_VALUE"""),3275.0)</f>
        <v>3275</v>
      </c>
      <c r="E291" s="2">
        <f>IFERROR(__xludf.DUMMYFUNCTION("""COMPUTED_VALUE"""),3362.5)</f>
        <v>3362.5</v>
      </c>
      <c r="F291" s="2">
        <f>IFERROR(__xludf.DUMMYFUNCTION("""COMPUTED_VALUE"""),7.96012E7)</f>
        <v>79601200</v>
      </c>
      <c r="G291" s="2">
        <f t="shared" si="1"/>
        <v>125</v>
      </c>
    </row>
    <row r="292" ht="15.75" customHeight="1">
      <c r="A292" s="1">
        <f>IFERROR(__xludf.DUMMYFUNCTION("""COMPUTED_VALUE"""),44270.625)</f>
        <v>44270.625</v>
      </c>
      <c r="B292" s="2">
        <f>IFERROR(__xludf.DUMMYFUNCTION("""COMPUTED_VALUE"""),3387.5)</f>
        <v>3387.5</v>
      </c>
      <c r="C292" s="2">
        <f>IFERROR(__xludf.DUMMYFUNCTION("""COMPUTED_VALUE"""),3387.5)</f>
        <v>3387.5</v>
      </c>
      <c r="D292" s="2">
        <f>IFERROR(__xludf.DUMMYFUNCTION("""COMPUTED_VALUE"""),3312.5)</f>
        <v>3312.5</v>
      </c>
      <c r="E292" s="2">
        <f>IFERROR(__xludf.DUMMYFUNCTION("""COMPUTED_VALUE"""),3325.0)</f>
        <v>3325</v>
      </c>
      <c r="F292" s="2">
        <f>IFERROR(__xludf.DUMMYFUNCTION("""COMPUTED_VALUE"""),3.99612E7)</f>
        <v>39961200</v>
      </c>
      <c r="G292" s="2">
        <f t="shared" si="1"/>
        <v>75</v>
      </c>
    </row>
    <row r="293" ht="15.75" customHeight="1">
      <c r="A293" s="1">
        <f>IFERROR(__xludf.DUMMYFUNCTION("""COMPUTED_VALUE"""),44271.625)</f>
        <v>44271.625</v>
      </c>
      <c r="B293" s="2">
        <f>IFERROR(__xludf.DUMMYFUNCTION("""COMPUTED_VALUE"""),3325.0)</f>
        <v>3325</v>
      </c>
      <c r="C293" s="2">
        <f>IFERROR(__xludf.DUMMYFUNCTION("""COMPUTED_VALUE"""),3362.5)</f>
        <v>3362.5</v>
      </c>
      <c r="D293" s="2">
        <f>IFERROR(__xludf.DUMMYFUNCTION("""COMPUTED_VALUE"""),3250.0)</f>
        <v>3250</v>
      </c>
      <c r="E293" s="2">
        <f>IFERROR(__xludf.DUMMYFUNCTION("""COMPUTED_VALUE"""),3275.0)</f>
        <v>3275</v>
      </c>
      <c r="F293" s="2">
        <f>IFERROR(__xludf.DUMMYFUNCTION("""COMPUTED_VALUE"""),5.61242E7)</f>
        <v>56124200</v>
      </c>
      <c r="G293" s="2">
        <f t="shared" si="1"/>
        <v>112.5</v>
      </c>
    </row>
    <row r="294" ht="15.75" customHeight="1">
      <c r="A294" s="1">
        <f>IFERROR(__xludf.DUMMYFUNCTION("""COMPUTED_VALUE"""),44272.625)</f>
        <v>44272.625</v>
      </c>
      <c r="B294" s="2">
        <f>IFERROR(__xludf.DUMMYFUNCTION("""COMPUTED_VALUE"""),3300.0)</f>
        <v>3300</v>
      </c>
      <c r="C294" s="2">
        <f>IFERROR(__xludf.DUMMYFUNCTION("""COMPUTED_VALUE"""),3325.0)</f>
        <v>3325</v>
      </c>
      <c r="D294" s="2">
        <f>IFERROR(__xludf.DUMMYFUNCTION("""COMPUTED_VALUE"""),3262.5)</f>
        <v>3262.5</v>
      </c>
      <c r="E294" s="2">
        <f>IFERROR(__xludf.DUMMYFUNCTION("""COMPUTED_VALUE"""),3262.5)</f>
        <v>3262.5</v>
      </c>
      <c r="F294" s="2">
        <f>IFERROR(__xludf.DUMMYFUNCTION("""COMPUTED_VALUE"""),2.54206E7)</f>
        <v>25420600</v>
      </c>
      <c r="G294" s="2">
        <f t="shared" si="1"/>
        <v>62.5</v>
      </c>
    </row>
    <row r="295" ht="15.75" customHeight="1">
      <c r="A295" s="1">
        <f>IFERROR(__xludf.DUMMYFUNCTION("""COMPUTED_VALUE"""),44273.625)</f>
        <v>44273.625</v>
      </c>
      <c r="B295" s="2">
        <f>IFERROR(__xludf.DUMMYFUNCTION("""COMPUTED_VALUE"""),3312.5)</f>
        <v>3312.5</v>
      </c>
      <c r="C295" s="2">
        <f>IFERROR(__xludf.DUMMYFUNCTION("""COMPUTED_VALUE"""),3425.0)</f>
        <v>3425</v>
      </c>
      <c r="D295" s="2">
        <f>IFERROR(__xludf.DUMMYFUNCTION("""COMPUTED_VALUE"""),3312.5)</f>
        <v>3312.5</v>
      </c>
      <c r="E295" s="2">
        <f>IFERROR(__xludf.DUMMYFUNCTION("""COMPUTED_VALUE"""),3400.0)</f>
        <v>3400</v>
      </c>
      <c r="F295" s="2">
        <f>IFERROR(__xludf.DUMMYFUNCTION("""COMPUTED_VALUE"""),7.62138E7)</f>
        <v>76213800</v>
      </c>
      <c r="G295" s="2">
        <f t="shared" si="1"/>
        <v>162.5</v>
      </c>
    </row>
    <row r="296" ht="15.75" customHeight="1">
      <c r="A296" s="1">
        <f>IFERROR(__xludf.DUMMYFUNCTION("""COMPUTED_VALUE"""),44274.625)</f>
        <v>44274.625</v>
      </c>
      <c r="B296" s="2">
        <f>IFERROR(__xludf.DUMMYFUNCTION("""COMPUTED_VALUE"""),3400.0)</f>
        <v>3400</v>
      </c>
      <c r="C296" s="2">
        <f>IFERROR(__xludf.DUMMYFUNCTION("""COMPUTED_VALUE"""),3400.0)</f>
        <v>3400</v>
      </c>
      <c r="D296" s="2">
        <f>IFERROR(__xludf.DUMMYFUNCTION("""COMPUTED_VALUE"""),3350.0)</f>
        <v>3350</v>
      </c>
      <c r="E296" s="2">
        <f>IFERROR(__xludf.DUMMYFUNCTION("""COMPUTED_VALUE"""),3387.5)</f>
        <v>3387.5</v>
      </c>
      <c r="F296" s="2">
        <f>IFERROR(__xludf.DUMMYFUNCTION("""COMPUTED_VALUE"""),7.53569E7)</f>
        <v>75356900</v>
      </c>
      <c r="G296" s="2">
        <f t="shared" si="1"/>
        <v>50</v>
      </c>
    </row>
    <row r="297" ht="15.75" customHeight="1">
      <c r="A297" s="1">
        <f>IFERROR(__xludf.DUMMYFUNCTION("""COMPUTED_VALUE"""),44277.625)</f>
        <v>44277.625</v>
      </c>
      <c r="B297" s="2">
        <f>IFERROR(__xludf.DUMMYFUNCTION("""COMPUTED_VALUE"""),3375.0)</f>
        <v>3375</v>
      </c>
      <c r="C297" s="2">
        <f>IFERROR(__xludf.DUMMYFUNCTION("""COMPUTED_VALUE"""),3412.5)</f>
        <v>3412.5</v>
      </c>
      <c r="D297" s="2">
        <f>IFERROR(__xludf.DUMMYFUNCTION("""COMPUTED_VALUE"""),3312.5)</f>
        <v>3312.5</v>
      </c>
      <c r="E297" s="2">
        <f>IFERROR(__xludf.DUMMYFUNCTION("""COMPUTED_VALUE"""),3312.5)</f>
        <v>3312.5</v>
      </c>
      <c r="F297" s="2">
        <f>IFERROR(__xludf.DUMMYFUNCTION("""COMPUTED_VALUE"""),5.79896E7)</f>
        <v>57989600</v>
      </c>
      <c r="G297" s="2">
        <f t="shared" si="1"/>
        <v>100</v>
      </c>
    </row>
    <row r="298" ht="15.75" customHeight="1">
      <c r="A298" s="1">
        <f>IFERROR(__xludf.DUMMYFUNCTION("""COMPUTED_VALUE"""),44278.625)</f>
        <v>44278.625</v>
      </c>
      <c r="B298" s="2">
        <f>IFERROR(__xludf.DUMMYFUNCTION("""COMPUTED_VALUE"""),3375.0)</f>
        <v>3375</v>
      </c>
      <c r="C298" s="2">
        <f>IFERROR(__xludf.DUMMYFUNCTION("""COMPUTED_VALUE"""),3375.0)</f>
        <v>3375</v>
      </c>
      <c r="D298" s="2">
        <f>IFERROR(__xludf.DUMMYFUNCTION("""COMPUTED_VALUE"""),3312.5)</f>
        <v>3312.5</v>
      </c>
      <c r="E298" s="2">
        <f>IFERROR(__xludf.DUMMYFUNCTION("""COMPUTED_VALUE"""),3337.5)</f>
        <v>3337.5</v>
      </c>
      <c r="F298" s="2">
        <f>IFERROR(__xludf.DUMMYFUNCTION("""COMPUTED_VALUE"""),4.86448E7)</f>
        <v>48644800</v>
      </c>
      <c r="G298" s="2">
        <f t="shared" si="1"/>
        <v>62.5</v>
      </c>
    </row>
    <row r="299" ht="15.75" customHeight="1">
      <c r="A299" s="1">
        <f>IFERROR(__xludf.DUMMYFUNCTION("""COMPUTED_VALUE"""),44279.625)</f>
        <v>44279.625</v>
      </c>
      <c r="B299" s="2">
        <f>IFERROR(__xludf.DUMMYFUNCTION("""COMPUTED_VALUE"""),3250.0)</f>
        <v>3250</v>
      </c>
      <c r="C299" s="2">
        <f>IFERROR(__xludf.DUMMYFUNCTION("""COMPUTED_VALUE"""),3262.5)</f>
        <v>3262.5</v>
      </c>
      <c r="D299" s="2">
        <f>IFERROR(__xludf.DUMMYFUNCTION("""COMPUTED_VALUE"""),3200.0)</f>
        <v>3200</v>
      </c>
      <c r="E299" s="2">
        <f>IFERROR(__xludf.DUMMYFUNCTION("""COMPUTED_VALUE"""),3212.5)</f>
        <v>3212.5</v>
      </c>
      <c r="F299" s="2">
        <f>IFERROR(__xludf.DUMMYFUNCTION("""COMPUTED_VALUE"""),5.76271E7)</f>
        <v>57627100</v>
      </c>
      <c r="G299" s="2">
        <f t="shared" si="1"/>
        <v>137.5</v>
      </c>
    </row>
    <row r="300" ht="15.75" customHeight="1">
      <c r="A300" s="1">
        <f>IFERROR(__xludf.DUMMYFUNCTION("""COMPUTED_VALUE"""),44280.625)</f>
        <v>44280.625</v>
      </c>
      <c r="B300" s="2">
        <f>IFERROR(__xludf.DUMMYFUNCTION("""COMPUTED_VALUE"""),3225.0)</f>
        <v>3225</v>
      </c>
      <c r="C300" s="2">
        <f>IFERROR(__xludf.DUMMYFUNCTION("""COMPUTED_VALUE"""),3237.5)</f>
        <v>3237.5</v>
      </c>
      <c r="D300" s="2">
        <f>IFERROR(__xludf.DUMMYFUNCTION("""COMPUTED_VALUE"""),3162.5)</f>
        <v>3162.5</v>
      </c>
      <c r="E300" s="2">
        <f>IFERROR(__xludf.DUMMYFUNCTION("""COMPUTED_VALUE"""),3200.0)</f>
        <v>3200</v>
      </c>
      <c r="F300" s="2">
        <f>IFERROR(__xludf.DUMMYFUNCTION("""COMPUTED_VALUE"""),3.58333E7)</f>
        <v>35833300</v>
      </c>
      <c r="G300" s="2">
        <f t="shared" si="1"/>
        <v>75</v>
      </c>
    </row>
    <row r="301" ht="15.75" customHeight="1">
      <c r="A301" s="1">
        <f>IFERROR(__xludf.DUMMYFUNCTION("""COMPUTED_VALUE"""),44281.625)</f>
        <v>44281.625</v>
      </c>
      <c r="B301" s="2">
        <f>IFERROR(__xludf.DUMMYFUNCTION("""COMPUTED_VALUE"""),3225.0)</f>
        <v>3225</v>
      </c>
      <c r="C301" s="2">
        <f>IFERROR(__xludf.DUMMYFUNCTION("""COMPUTED_VALUE"""),3237.5)</f>
        <v>3237.5</v>
      </c>
      <c r="D301" s="2">
        <f>IFERROR(__xludf.DUMMYFUNCTION("""COMPUTED_VALUE"""),3175.0)</f>
        <v>3175</v>
      </c>
      <c r="E301" s="2">
        <f>IFERROR(__xludf.DUMMYFUNCTION("""COMPUTED_VALUE"""),3212.5)</f>
        <v>3212.5</v>
      </c>
      <c r="F301" s="2">
        <f>IFERROR(__xludf.DUMMYFUNCTION("""COMPUTED_VALUE"""),4.2239E7)</f>
        <v>42239000</v>
      </c>
      <c r="G301" s="2">
        <f t="shared" si="1"/>
        <v>62.5</v>
      </c>
    </row>
    <row r="302" ht="15.75" customHeight="1">
      <c r="A302" s="1">
        <f>IFERROR(__xludf.DUMMYFUNCTION("""COMPUTED_VALUE"""),44284.625)</f>
        <v>44284.625</v>
      </c>
      <c r="B302" s="2">
        <f>IFERROR(__xludf.DUMMYFUNCTION("""COMPUTED_VALUE"""),3200.0)</f>
        <v>3200</v>
      </c>
      <c r="C302" s="2">
        <f>IFERROR(__xludf.DUMMYFUNCTION("""COMPUTED_VALUE"""),3250.0)</f>
        <v>3250</v>
      </c>
      <c r="D302" s="2">
        <f>IFERROR(__xludf.DUMMYFUNCTION("""COMPUTED_VALUE"""),3187.5)</f>
        <v>3187.5</v>
      </c>
      <c r="E302" s="2">
        <f>IFERROR(__xludf.DUMMYFUNCTION("""COMPUTED_VALUE"""),3187.5)</f>
        <v>3187.5</v>
      </c>
      <c r="F302" s="2">
        <f>IFERROR(__xludf.DUMMYFUNCTION("""COMPUTED_VALUE"""),3.97602E7)</f>
        <v>39760200</v>
      </c>
      <c r="G302" s="2">
        <f t="shared" si="1"/>
        <v>62.5</v>
      </c>
    </row>
    <row r="303" ht="15.75" customHeight="1">
      <c r="A303" s="1">
        <f>IFERROR(__xludf.DUMMYFUNCTION("""COMPUTED_VALUE"""),44285.625)</f>
        <v>44285.625</v>
      </c>
      <c r="B303" s="2">
        <f>IFERROR(__xludf.DUMMYFUNCTION("""COMPUTED_VALUE"""),3200.0)</f>
        <v>3200</v>
      </c>
      <c r="C303" s="2">
        <f>IFERROR(__xludf.DUMMYFUNCTION("""COMPUTED_VALUE"""),3212.5)</f>
        <v>3212.5</v>
      </c>
      <c r="D303" s="2">
        <f>IFERROR(__xludf.DUMMYFUNCTION("""COMPUTED_VALUE"""),3137.5)</f>
        <v>3137.5</v>
      </c>
      <c r="E303" s="2">
        <f>IFERROR(__xludf.DUMMYFUNCTION("""COMPUTED_VALUE"""),3162.5)</f>
        <v>3162.5</v>
      </c>
      <c r="F303" s="2">
        <f>IFERROR(__xludf.DUMMYFUNCTION("""COMPUTED_VALUE"""),2.05903E7)</f>
        <v>20590300</v>
      </c>
      <c r="G303" s="2">
        <f t="shared" si="1"/>
        <v>75</v>
      </c>
    </row>
    <row r="304" ht="15.75" customHeight="1">
      <c r="A304" s="1">
        <f>IFERROR(__xludf.DUMMYFUNCTION("""COMPUTED_VALUE"""),44286.625)</f>
        <v>44286.625</v>
      </c>
      <c r="B304" s="2">
        <f>IFERROR(__xludf.DUMMYFUNCTION("""COMPUTED_VALUE"""),3125.0)</f>
        <v>3125</v>
      </c>
      <c r="C304" s="2">
        <f>IFERROR(__xludf.DUMMYFUNCTION("""COMPUTED_VALUE"""),3162.5)</f>
        <v>3162.5</v>
      </c>
      <c r="D304" s="2">
        <f>IFERROR(__xludf.DUMMYFUNCTION("""COMPUTED_VALUE"""),3062.5)</f>
        <v>3062.5</v>
      </c>
      <c r="E304" s="2">
        <f>IFERROR(__xludf.DUMMYFUNCTION("""COMPUTED_VALUE"""),3075.0)</f>
        <v>3075</v>
      </c>
      <c r="F304" s="2">
        <f>IFERROR(__xludf.DUMMYFUNCTION("""COMPUTED_VALUE"""),7.95779E7)</f>
        <v>79577900</v>
      </c>
      <c r="G304" s="2">
        <f t="shared" si="1"/>
        <v>100</v>
      </c>
    </row>
    <row r="305" ht="15.75" customHeight="1">
      <c r="A305" s="1">
        <f>IFERROR(__xludf.DUMMYFUNCTION("""COMPUTED_VALUE"""),44287.625)</f>
        <v>44287.625</v>
      </c>
      <c r="B305" s="2">
        <f>IFERROR(__xludf.DUMMYFUNCTION("""COMPUTED_VALUE"""),3125.0)</f>
        <v>3125</v>
      </c>
      <c r="C305" s="2">
        <f>IFERROR(__xludf.DUMMYFUNCTION("""COMPUTED_VALUE"""),3162.5)</f>
        <v>3162.5</v>
      </c>
      <c r="D305" s="2">
        <f>IFERROR(__xludf.DUMMYFUNCTION("""COMPUTED_VALUE"""),3075.0)</f>
        <v>3075</v>
      </c>
      <c r="E305" s="2">
        <f>IFERROR(__xludf.DUMMYFUNCTION("""COMPUTED_VALUE"""),3100.0)</f>
        <v>3100</v>
      </c>
      <c r="F305" s="2">
        <f>IFERROR(__xludf.DUMMYFUNCTION("""COMPUTED_VALUE"""),3.88576E7)</f>
        <v>38857600</v>
      </c>
      <c r="G305" s="2">
        <f t="shared" si="1"/>
        <v>87.5</v>
      </c>
    </row>
    <row r="306" ht="15.75" customHeight="1">
      <c r="A306" s="1">
        <f>IFERROR(__xludf.DUMMYFUNCTION("""COMPUTED_VALUE"""),44291.625)</f>
        <v>44291.625</v>
      </c>
      <c r="B306" s="2">
        <f>IFERROR(__xludf.DUMMYFUNCTION("""COMPUTED_VALUE"""),3150.0)</f>
        <v>3150</v>
      </c>
      <c r="C306" s="2">
        <f>IFERROR(__xludf.DUMMYFUNCTION("""COMPUTED_VALUE"""),3150.0)</f>
        <v>3150</v>
      </c>
      <c r="D306" s="2">
        <f>IFERROR(__xludf.DUMMYFUNCTION("""COMPUTED_VALUE"""),3100.0)</f>
        <v>3100</v>
      </c>
      <c r="E306" s="2">
        <f>IFERROR(__xludf.DUMMYFUNCTION("""COMPUTED_VALUE"""),3112.5)</f>
        <v>3112.5</v>
      </c>
      <c r="F306" s="2">
        <f>IFERROR(__xludf.DUMMYFUNCTION("""COMPUTED_VALUE"""),1.97342E7)</f>
        <v>19734200</v>
      </c>
      <c r="G306" s="2">
        <f t="shared" si="1"/>
        <v>50</v>
      </c>
    </row>
    <row r="307" ht="15.75" customHeight="1">
      <c r="A307" s="1">
        <f>IFERROR(__xludf.DUMMYFUNCTION("""COMPUTED_VALUE"""),44292.625)</f>
        <v>44292.625</v>
      </c>
      <c r="B307" s="2">
        <f>IFERROR(__xludf.DUMMYFUNCTION("""COMPUTED_VALUE"""),3112.5)</f>
        <v>3112.5</v>
      </c>
      <c r="C307" s="2">
        <f>IFERROR(__xludf.DUMMYFUNCTION("""COMPUTED_VALUE"""),3150.0)</f>
        <v>3150</v>
      </c>
      <c r="D307" s="2">
        <f>IFERROR(__xludf.DUMMYFUNCTION("""COMPUTED_VALUE"""),3075.0)</f>
        <v>3075</v>
      </c>
      <c r="E307" s="2">
        <f>IFERROR(__xludf.DUMMYFUNCTION("""COMPUTED_VALUE"""),3137.5)</f>
        <v>3137.5</v>
      </c>
      <c r="F307" s="2">
        <f>IFERROR(__xludf.DUMMYFUNCTION("""COMPUTED_VALUE"""),1.48253E7)</f>
        <v>14825300</v>
      </c>
      <c r="G307" s="2">
        <f t="shared" si="1"/>
        <v>75</v>
      </c>
    </row>
    <row r="308" ht="15.75" customHeight="1">
      <c r="A308" s="1">
        <f>IFERROR(__xludf.DUMMYFUNCTION("""COMPUTED_VALUE"""),44293.625)</f>
        <v>44293.625</v>
      </c>
      <c r="B308" s="2">
        <f>IFERROR(__xludf.DUMMYFUNCTION("""COMPUTED_VALUE"""),3150.0)</f>
        <v>3150</v>
      </c>
      <c r="C308" s="2">
        <f>IFERROR(__xludf.DUMMYFUNCTION("""COMPUTED_VALUE"""),3162.5)</f>
        <v>3162.5</v>
      </c>
      <c r="D308" s="2">
        <f>IFERROR(__xludf.DUMMYFUNCTION("""COMPUTED_VALUE"""),3125.0)</f>
        <v>3125</v>
      </c>
      <c r="E308" s="2">
        <f>IFERROR(__xludf.DUMMYFUNCTION("""COMPUTED_VALUE"""),3162.5)</f>
        <v>3162.5</v>
      </c>
      <c r="F308" s="2">
        <f>IFERROR(__xludf.DUMMYFUNCTION("""COMPUTED_VALUE"""),2.32101E7)</f>
        <v>23210100</v>
      </c>
      <c r="G308" s="2">
        <f t="shared" si="1"/>
        <v>37.5</v>
      </c>
    </row>
    <row r="309" ht="15.75" customHeight="1">
      <c r="A309" s="1">
        <f>IFERROR(__xludf.DUMMYFUNCTION("""COMPUTED_VALUE"""),44294.625)</f>
        <v>44294.625</v>
      </c>
      <c r="B309" s="2">
        <f>IFERROR(__xludf.DUMMYFUNCTION("""COMPUTED_VALUE"""),3125.0)</f>
        <v>3125</v>
      </c>
      <c r="C309" s="2">
        <f>IFERROR(__xludf.DUMMYFUNCTION("""COMPUTED_VALUE"""),3187.5)</f>
        <v>3187.5</v>
      </c>
      <c r="D309" s="2">
        <f>IFERROR(__xludf.DUMMYFUNCTION("""COMPUTED_VALUE"""),3100.0)</f>
        <v>3100</v>
      </c>
      <c r="E309" s="2">
        <f>IFERROR(__xludf.DUMMYFUNCTION("""COMPUTED_VALUE"""),3137.5)</f>
        <v>3137.5</v>
      </c>
      <c r="F309" s="2">
        <f>IFERROR(__xludf.DUMMYFUNCTION("""COMPUTED_VALUE"""),4.42248E7)</f>
        <v>44224800</v>
      </c>
      <c r="G309" s="2">
        <f t="shared" si="1"/>
        <v>87.5</v>
      </c>
    </row>
    <row r="310" ht="15.75" customHeight="1">
      <c r="A310" s="1">
        <f>IFERROR(__xludf.DUMMYFUNCTION("""COMPUTED_VALUE"""),44295.625)</f>
        <v>44295.625</v>
      </c>
      <c r="B310" s="2">
        <f>IFERROR(__xludf.DUMMYFUNCTION("""COMPUTED_VALUE"""),3187.5)</f>
        <v>3187.5</v>
      </c>
      <c r="C310" s="2">
        <f>IFERROR(__xludf.DUMMYFUNCTION("""COMPUTED_VALUE"""),3275.0)</f>
        <v>3275</v>
      </c>
      <c r="D310" s="2">
        <f>IFERROR(__xludf.DUMMYFUNCTION("""COMPUTED_VALUE"""),3162.5)</f>
        <v>3162.5</v>
      </c>
      <c r="E310" s="2">
        <f>IFERROR(__xludf.DUMMYFUNCTION("""COMPUTED_VALUE"""),3237.5)</f>
        <v>3237.5</v>
      </c>
      <c r="F310" s="2">
        <f>IFERROR(__xludf.DUMMYFUNCTION("""COMPUTED_VALUE"""),6.32101E7)</f>
        <v>63210100</v>
      </c>
      <c r="G310" s="2">
        <f t="shared" si="1"/>
        <v>137.5</v>
      </c>
    </row>
    <row r="311" ht="15.75" customHeight="1">
      <c r="A311" s="1">
        <f>IFERROR(__xludf.DUMMYFUNCTION("""COMPUTED_VALUE"""),44298.625)</f>
        <v>44298.625</v>
      </c>
      <c r="B311" s="2">
        <f>IFERROR(__xludf.DUMMYFUNCTION("""COMPUTED_VALUE"""),3212.5)</f>
        <v>3212.5</v>
      </c>
      <c r="C311" s="2">
        <f>IFERROR(__xludf.DUMMYFUNCTION("""COMPUTED_VALUE"""),3250.0)</f>
        <v>3250</v>
      </c>
      <c r="D311" s="2">
        <f>IFERROR(__xludf.DUMMYFUNCTION("""COMPUTED_VALUE"""),3137.5)</f>
        <v>3137.5</v>
      </c>
      <c r="E311" s="2">
        <f>IFERROR(__xludf.DUMMYFUNCTION("""COMPUTED_VALUE"""),3150.0)</f>
        <v>3150</v>
      </c>
      <c r="F311" s="2">
        <f>IFERROR(__xludf.DUMMYFUNCTION("""COMPUTED_VALUE"""),2.42145E7)</f>
        <v>24214500</v>
      </c>
      <c r="G311" s="2">
        <f t="shared" si="1"/>
        <v>112.5</v>
      </c>
    </row>
    <row r="312" ht="15.75" customHeight="1">
      <c r="A312" s="1">
        <f>IFERROR(__xludf.DUMMYFUNCTION("""COMPUTED_VALUE"""),44299.625)</f>
        <v>44299.625</v>
      </c>
      <c r="B312" s="2">
        <f>IFERROR(__xludf.DUMMYFUNCTION("""COMPUTED_VALUE"""),3100.0)</f>
        <v>3100</v>
      </c>
      <c r="C312" s="2">
        <f>IFERROR(__xludf.DUMMYFUNCTION("""COMPUTED_VALUE"""),3175.0)</f>
        <v>3175</v>
      </c>
      <c r="D312" s="2">
        <f>IFERROR(__xludf.DUMMYFUNCTION("""COMPUTED_VALUE"""),3100.0)</f>
        <v>3100</v>
      </c>
      <c r="E312" s="2">
        <f>IFERROR(__xludf.DUMMYFUNCTION("""COMPUTED_VALUE"""),3150.0)</f>
        <v>3150</v>
      </c>
      <c r="F312" s="2">
        <f>IFERROR(__xludf.DUMMYFUNCTION("""COMPUTED_VALUE"""),3.81635E7)</f>
        <v>38163500</v>
      </c>
      <c r="G312" s="2">
        <f t="shared" si="1"/>
        <v>75</v>
      </c>
    </row>
    <row r="313" ht="15.75" customHeight="1">
      <c r="A313" s="1">
        <f>IFERROR(__xludf.DUMMYFUNCTION("""COMPUTED_VALUE"""),44300.625)</f>
        <v>44300.625</v>
      </c>
      <c r="B313" s="2">
        <f>IFERROR(__xludf.DUMMYFUNCTION("""COMPUTED_VALUE"""),3175.0)</f>
        <v>3175</v>
      </c>
      <c r="C313" s="2">
        <f>IFERROR(__xludf.DUMMYFUNCTION("""COMPUTED_VALUE"""),3200.0)</f>
        <v>3200</v>
      </c>
      <c r="D313" s="2">
        <f>IFERROR(__xludf.DUMMYFUNCTION("""COMPUTED_VALUE"""),3125.0)</f>
        <v>3125</v>
      </c>
      <c r="E313" s="2">
        <f>IFERROR(__xludf.DUMMYFUNCTION("""COMPUTED_VALUE"""),3162.5)</f>
        <v>3162.5</v>
      </c>
      <c r="F313" s="2">
        <f>IFERROR(__xludf.DUMMYFUNCTION("""COMPUTED_VALUE"""),4.0457E7)</f>
        <v>40457000</v>
      </c>
      <c r="G313" s="2">
        <f t="shared" si="1"/>
        <v>75</v>
      </c>
    </row>
    <row r="314" ht="15.75" customHeight="1">
      <c r="A314" s="1">
        <f>IFERROR(__xludf.DUMMYFUNCTION("""COMPUTED_VALUE"""),44301.625)</f>
        <v>44301.625</v>
      </c>
      <c r="B314" s="2">
        <f>IFERROR(__xludf.DUMMYFUNCTION("""COMPUTED_VALUE"""),3200.0)</f>
        <v>3200</v>
      </c>
      <c r="C314" s="2">
        <f>IFERROR(__xludf.DUMMYFUNCTION("""COMPUTED_VALUE"""),3200.0)</f>
        <v>3200</v>
      </c>
      <c r="D314" s="2">
        <f>IFERROR(__xludf.DUMMYFUNCTION("""COMPUTED_VALUE"""),3112.5)</f>
        <v>3112.5</v>
      </c>
      <c r="E314" s="2">
        <f>IFERROR(__xludf.DUMMYFUNCTION("""COMPUTED_VALUE"""),3150.0)</f>
        <v>3150</v>
      </c>
      <c r="F314" s="2">
        <f>IFERROR(__xludf.DUMMYFUNCTION("""COMPUTED_VALUE"""),3.41687E7)</f>
        <v>34168700</v>
      </c>
      <c r="G314" s="2">
        <f t="shared" si="1"/>
        <v>87.5</v>
      </c>
    </row>
    <row r="315" ht="15.75" customHeight="1">
      <c r="A315" s="1">
        <f>IFERROR(__xludf.DUMMYFUNCTION("""COMPUTED_VALUE"""),44302.625)</f>
        <v>44302.625</v>
      </c>
      <c r="B315" s="2">
        <f>IFERROR(__xludf.DUMMYFUNCTION("""COMPUTED_VALUE"""),3175.0)</f>
        <v>3175</v>
      </c>
      <c r="C315" s="2">
        <f>IFERROR(__xludf.DUMMYFUNCTION("""COMPUTED_VALUE"""),3175.0)</f>
        <v>3175</v>
      </c>
      <c r="D315" s="2">
        <f>IFERROR(__xludf.DUMMYFUNCTION("""COMPUTED_VALUE"""),3125.0)</f>
        <v>3125</v>
      </c>
      <c r="E315" s="2">
        <f>IFERROR(__xludf.DUMMYFUNCTION("""COMPUTED_VALUE"""),3150.0)</f>
        <v>3150</v>
      </c>
      <c r="F315" s="2">
        <f>IFERROR(__xludf.DUMMYFUNCTION("""COMPUTED_VALUE"""),3.15972E7)</f>
        <v>31597200</v>
      </c>
      <c r="G315" s="2">
        <f t="shared" si="1"/>
        <v>50</v>
      </c>
    </row>
    <row r="316" ht="15.75" customHeight="1">
      <c r="A316" s="1">
        <f>IFERROR(__xludf.DUMMYFUNCTION("""COMPUTED_VALUE"""),44305.625)</f>
        <v>44305.625</v>
      </c>
      <c r="B316" s="2">
        <f>IFERROR(__xludf.DUMMYFUNCTION("""COMPUTED_VALUE"""),3125.0)</f>
        <v>3125</v>
      </c>
      <c r="C316" s="2">
        <f>IFERROR(__xludf.DUMMYFUNCTION("""COMPUTED_VALUE"""),3137.5)</f>
        <v>3137.5</v>
      </c>
      <c r="D316" s="2">
        <f>IFERROR(__xludf.DUMMYFUNCTION("""COMPUTED_VALUE"""),3100.0)</f>
        <v>3100</v>
      </c>
      <c r="E316" s="2">
        <f>IFERROR(__xludf.DUMMYFUNCTION("""COMPUTED_VALUE"""),3112.5)</f>
        <v>3112.5</v>
      </c>
      <c r="F316" s="2">
        <f>IFERROR(__xludf.DUMMYFUNCTION("""COMPUTED_VALUE"""),2.17993E7)</f>
        <v>21799300</v>
      </c>
      <c r="G316" s="2">
        <f t="shared" si="1"/>
        <v>50</v>
      </c>
    </row>
    <row r="317" ht="15.75" customHeight="1">
      <c r="A317" s="1">
        <f>IFERROR(__xludf.DUMMYFUNCTION("""COMPUTED_VALUE"""),44306.625)</f>
        <v>44306.625</v>
      </c>
      <c r="B317" s="2">
        <f>IFERROR(__xludf.DUMMYFUNCTION("""COMPUTED_VALUE"""),3100.0)</f>
        <v>3100</v>
      </c>
      <c r="C317" s="2">
        <f>IFERROR(__xludf.DUMMYFUNCTION("""COMPUTED_VALUE"""),3125.0)</f>
        <v>3125</v>
      </c>
      <c r="D317" s="2">
        <f>IFERROR(__xludf.DUMMYFUNCTION("""COMPUTED_VALUE"""),3087.5)</f>
        <v>3087.5</v>
      </c>
      <c r="E317" s="2">
        <f>IFERROR(__xludf.DUMMYFUNCTION("""COMPUTED_VALUE"""),3100.0)</f>
        <v>3100</v>
      </c>
      <c r="F317" s="2">
        <f>IFERROR(__xludf.DUMMYFUNCTION("""COMPUTED_VALUE"""),3.19413E7)</f>
        <v>31941300</v>
      </c>
      <c r="G317" s="2">
        <f t="shared" si="1"/>
        <v>37.5</v>
      </c>
    </row>
    <row r="318" ht="15.75" customHeight="1">
      <c r="A318" s="1">
        <f>IFERROR(__xludf.DUMMYFUNCTION("""COMPUTED_VALUE"""),44307.625)</f>
        <v>44307.625</v>
      </c>
      <c r="B318" s="2">
        <f>IFERROR(__xludf.DUMMYFUNCTION("""COMPUTED_VALUE"""),3075.0)</f>
        <v>3075</v>
      </c>
      <c r="C318" s="2">
        <f>IFERROR(__xludf.DUMMYFUNCTION("""COMPUTED_VALUE"""),3087.5)</f>
        <v>3087.5</v>
      </c>
      <c r="D318" s="2">
        <f>IFERROR(__xludf.DUMMYFUNCTION("""COMPUTED_VALUE"""),3062.5)</f>
        <v>3062.5</v>
      </c>
      <c r="E318" s="2">
        <f>IFERROR(__xludf.DUMMYFUNCTION("""COMPUTED_VALUE"""),3062.5)</f>
        <v>3062.5</v>
      </c>
      <c r="F318" s="2">
        <f>IFERROR(__xludf.DUMMYFUNCTION("""COMPUTED_VALUE"""),3.27128E7)</f>
        <v>32712800</v>
      </c>
      <c r="G318" s="2">
        <f t="shared" si="1"/>
        <v>37.5</v>
      </c>
    </row>
    <row r="319" ht="15.75" customHeight="1">
      <c r="A319" s="1">
        <f>IFERROR(__xludf.DUMMYFUNCTION("""COMPUTED_VALUE"""),44308.625)</f>
        <v>44308.625</v>
      </c>
      <c r="B319" s="2">
        <f>IFERROR(__xludf.DUMMYFUNCTION("""COMPUTED_VALUE"""),3087.5)</f>
        <v>3087.5</v>
      </c>
      <c r="C319" s="2">
        <f>IFERROR(__xludf.DUMMYFUNCTION("""COMPUTED_VALUE"""),3112.5)</f>
        <v>3112.5</v>
      </c>
      <c r="D319" s="2">
        <f>IFERROR(__xludf.DUMMYFUNCTION("""COMPUTED_VALUE"""),3050.0)</f>
        <v>3050</v>
      </c>
      <c r="E319" s="2">
        <f>IFERROR(__xludf.DUMMYFUNCTION("""COMPUTED_VALUE"""),3062.5)</f>
        <v>3062.5</v>
      </c>
      <c r="F319" s="2">
        <f>IFERROR(__xludf.DUMMYFUNCTION("""COMPUTED_VALUE"""),3.5726E7)</f>
        <v>35726000</v>
      </c>
      <c r="G319" s="2">
        <f t="shared" si="1"/>
        <v>62.5</v>
      </c>
    </row>
    <row r="320" ht="15.75" customHeight="1">
      <c r="A320" s="1">
        <f>IFERROR(__xludf.DUMMYFUNCTION("""COMPUTED_VALUE"""),44309.625)</f>
        <v>44309.625</v>
      </c>
      <c r="B320" s="2">
        <f>IFERROR(__xludf.DUMMYFUNCTION("""COMPUTED_VALUE"""),3025.0)</f>
        <v>3025</v>
      </c>
      <c r="C320" s="2">
        <f>IFERROR(__xludf.DUMMYFUNCTION("""COMPUTED_VALUE"""),3075.0)</f>
        <v>3075</v>
      </c>
      <c r="D320" s="2">
        <f>IFERROR(__xludf.DUMMYFUNCTION("""COMPUTED_VALUE"""),3012.5)</f>
        <v>3012.5</v>
      </c>
      <c r="E320" s="2">
        <f>IFERROR(__xludf.DUMMYFUNCTION("""COMPUTED_VALUE"""),3075.0)</f>
        <v>3075</v>
      </c>
      <c r="F320" s="2">
        <f>IFERROR(__xludf.DUMMYFUNCTION("""COMPUTED_VALUE"""),5.24642E7)</f>
        <v>52464200</v>
      </c>
      <c r="G320" s="2">
        <f t="shared" si="1"/>
        <v>62.5</v>
      </c>
    </row>
    <row r="321" ht="15.75" customHeight="1">
      <c r="A321" s="1">
        <f>IFERROR(__xludf.DUMMYFUNCTION("""COMPUTED_VALUE"""),44312.625)</f>
        <v>44312.625</v>
      </c>
      <c r="B321" s="2">
        <f>IFERROR(__xludf.DUMMYFUNCTION("""COMPUTED_VALUE"""),3050.0)</f>
        <v>3050</v>
      </c>
      <c r="C321" s="2">
        <f>IFERROR(__xludf.DUMMYFUNCTION("""COMPUTED_VALUE"""),3062.5)</f>
        <v>3062.5</v>
      </c>
      <c r="D321" s="2">
        <f>IFERROR(__xludf.DUMMYFUNCTION("""COMPUTED_VALUE"""),2975.0)</f>
        <v>2975</v>
      </c>
      <c r="E321" s="2">
        <f>IFERROR(__xludf.DUMMYFUNCTION("""COMPUTED_VALUE"""),2987.5)</f>
        <v>2987.5</v>
      </c>
      <c r="F321" s="2">
        <f>IFERROR(__xludf.DUMMYFUNCTION("""COMPUTED_VALUE"""),5.76525E7)</f>
        <v>57652500</v>
      </c>
      <c r="G321" s="2">
        <f t="shared" si="1"/>
        <v>100</v>
      </c>
    </row>
    <row r="322" ht="15.75" customHeight="1">
      <c r="A322" s="1">
        <f>IFERROR(__xludf.DUMMYFUNCTION("""COMPUTED_VALUE"""),44313.625)</f>
        <v>44313.625</v>
      </c>
      <c r="B322" s="2">
        <f>IFERROR(__xludf.DUMMYFUNCTION("""COMPUTED_VALUE"""),2987.5)</f>
        <v>2987.5</v>
      </c>
      <c r="C322" s="2">
        <f>IFERROR(__xludf.DUMMYFUNCTION("""COMPUTED_VALUE"""),3037.5)</f>
        <v>3037.5</v>
      </c>
      <c r="D322" s="2">
        <f>IFERROR(__xludf.DUMMYFUNCTION("""COMPUTED_VALUE"""),2975.0)</f>
        <v>2975</v>
      </c>
      <c r="E322" s="2">
        <f>IFERROR(__xludf.DUMMYFUNCTION("""COMPUTED_VALUE"""),3025.0)</f>
        <v>3025</v>
      </c>
      <c r="F322" s="2">
        <f>IFERROR(__xludf.DUMMYFUNCTION("""COMPUTED_VALUE"""),4.84254E7)</f>
        <v>48425400</v>
      </c>
      <c r="G322" s="2">
        <f t="shared" si="1"/>
        <v>62.5</v>
      </c>
    </row>
    <row r="323" ht="15.75" customHeight="1">
      <c r="A323" s="1">
        <f>IFERROR(__xludf.DUMMYFUNCTION("""COMPUTED_VALUE"""),44314.625)</f>
        <v>44314.625</v>
      </c>
      <c r="B323" s="2">
        <f>IFERROR(__xludf.DUMMYFUNCTION("""COMPUTED_VALUE"""),3050.0)</f>
        <v>3050</v>
      </c>
      <c r="C323" s="2">
        <f>IFERROR(__xludf.DUMMYFUNCTION("""COMPUTED_VALUE"""),3137.5)</f>
        <v>3137.5</v>
      </c>
      <c r="D323" s="2">
        <f>IFERROR(__xludf.DUMMYFUNCTION("""COMPUTED_VALUE"""),3050.0)</f>
        <v>3050</v>
      </c>
      <c r="E323" s="2">
        <f>IFERROR(__xludf.DUMMYFUNCTION("""COMPUTED_VALUE"""),3100.0)</f>
        <v>3100</v>
      </c>
      <c r="F323" s="2">
        <f>IFERROR(__xludf.DUMMYFUNCTION("""COMPUTED_VALUE"""),8.05813E7)</f>
        <v>80581300</v>
      </c>
      <c r="G323" s="2">
        <f t="shared" si="1"/>
        <v>112.5</v>
      </c>
    </row>
    <row r="324" ht="15.75" customHeight="1">
      <c r="A324" s="1">
        <f>IFERROR(__xludf.DUMMYFUNCTION("""COMPUTED_VALUE"""),44315.625)</f>
        <v>44315.625</v>
      </c>
      <c r="B324" s="2">
        <f>IFERROR(__xludf.DUMMYFUNCTION("""COMPUTED_VALUE"""),3112.5)</f>
        <v>3112.5</v>
      </c>
      <c r="C324" s="2">
        <f>IFERROR(__xludf.DUMMYFUNCTION("""COMPUTED_VALUE"""),3137.5)</f>
        <v>3137.5</v>
      </c>
      <c r="D324" s="2">
        <f>IFERROR(__xludf.DUMMYFUNCTION("""COMPUTED_VALUE"""),3075.0)</f>
        <v>3075</v>
      </c>
      <c r="E324" s="2">
        <f>IFERROR(__xludf.DUMMYFUNCTION("""COMPUTED_VALUE"""),3112.5)</f>
        <v>3112.5</v>
      </c>
      <c r="F324" s="2">
        <f>IFERROR(__xludf.DUMMYFUNCTION("""COMPUTED_VALUE"""),4.14353E7)</f>
        <v>41435300</v>
      </c>
      <c r="G324" s="2">
        <f t="shared" si="1"/>
        <v>62.5</v>
      </c>
    </row>
    <row r="325" ht="15.75" customHeight="1">
      <c r="A325" s="1">
        <f>IFERROR(__xludf.DUMMYFUNCTION("""COMPUTED_VALUE"""),44316.625)</f>
        <v>44316.625</v>
      </c>
      <c r="B325" s="2">
        <f>IFERROR(__xludf.DUMMYFUNCTION("""COMPUTED_VALUE"""),3112.5)</f>
        <v>3112.5</v>
      </c>
      <c r="C325" s="2">
        <f>IFERROR(__xludf.DUMMYFUNCTION("""COMPUTED_VALUE"""),3125.0)</f>
        <v>3125</v>
      </c>
      <c r="D325" s="2">
        <f>IFERROR(__xludf.DUMMYFUNCTION("""COMPUTED_VALUE"""),3062.5)</f>
        <v>3062.5</v>
      </c>
      <c r="E325" s="2">
        <f>IFERROR(__xludf.DUMMYFUNCTION("""COMPUTED_VALUE"""),3087.5)</f>
        <v>3087.5</v>
      </c>
      <c r="F325" s="2">
        <f>IFERROR(__xludf.DUMMYFUNCTION("""COMPUTED_VALUE"""),3.49708E7)</f>
        <v>34970800</v>
      </c>
      <c r="G325" s="2">
        <f t="shared" si="1"/>
        <v>62.5</v>
      </c>
    </row>
    <row r="326" ht="15.75" customHeight="1">
      <c r="A326" s="1">
        <f>IFERROR(__xludf.DUMMYFUNCTION("""COMPUTED_VALUE"""),44319.66666666667)</f>
        <v>44319.66667</v>
      </c>
      <c r="B326" s="2">
        <f>IFERROR(__xludf.DUMMYFUNCTION("""COMPUTED_VALUE"""),3050.0)</f>
        <v>3050</v>
      </c>
      <c r="C326" s="2">
        <f>IFERROR(__xludf.DUMMYFUNCTION("""COMPUTED_VALUE"""),3075.0)</f>
        <v>3075</v>
      </c>
      <c r="D326" s="2">
        <f>IFERROR(__xludf.DUMMYFUNCTION("""COMPUTED_VALUE"""),3000.0)</f>
        <v>3000</v>
      </c>
      <c r="E326" s="2">
        <f>IFERROR(__xludf.DUMMYFUNCTION("""COMPUTED_VALUE"""),3025.0)</f>
        <v>3025</v>
      </c>
      <c r="F326" s="2">
        <f>IFERROR(__xludf.DUMMYFUNCTION("""COMPUTED_VALUE"""),3.2667E7)</f>
        <v>32667000</v>
      </c>
      <c r="G326" s="2">
        <f t="shared" si="1"/>
        <v>87.5</v>
      </c>
    </row>
    <row r="327" ht="15.75" customHeight="1">
      <c r="A327" s="1">
        <f>IFERROR(__xludf.DUMMYFUNCTION("""COMPUTED_VALUE"""),44320.66666666667)</f>
        <v>44320.66667</v>
      </c>
      <c r="B327" s="2">
        <f>IFERROR(__xludf.DUMMYFUNCTION("""COMPUTED_VALUE"""),3025.0)</f>
        <v>3025</v>
      </c>
      <c r="C327" s="2">
        <f>IFERROR(__xludf.DUMMYFUNCTION("""COMPUTED_VALUE"""),3050.0)</f>
        <v>3050</v>
      </c>
      <c r="D327" s="2">
        <f>IFERROR(__xludf.DUMMYFUNCTION("""COMPUTED_VALUE"""),2987.5)</f>
        <v>2987.5</v>
      </c>
      <c r="E327" s="2">
        <f>IFERROR(__xludf.DUMMYFUNCTION("""COMPUTED_VALUE"""),3050.0)</f>
        <v>3050</v>
      </c>
      <c r="F327" s="2">
        <f>IFERROR(__xludf.DUMMYFUNCTION("""COMPUTED_VALUE"""),2.81776E7)</f>
        <v>28177600</v>
      </c>
      <c r="G327" s="2">
        <f t="shared" si="1"/>
        <v>62.5</v>
      </c>
    </row>
    <row r="328" ht="15.75" customHeight="1">
      <c r="A328" s="1">
        <f>IFERROR(__xludf.DUMMYFUNCTION("""COMPUTED_VALUE"""),44321.625)</f>
        <v>44321.625</v>
      </c>
      <c r="B328" s="2">
        <f>IFERROR(__xludf.DUMMYFUNCTION("""COMPUTED_VALUE"""),3075.0)</f>
        <v>3075</v>
      </c>
      <c r="C328" s="2">
        <f>IFERROR(__xludf.DUMMYFUNCTION("""COMPUTED_VALUE"""),3075.0)</f>
        <v>3075</v>
      </c>
      <c r="D328" s="2">
        <f>IFERROR(__xludf.DUMMYFUNCTION("""COMPUTED_VALUE"""),3025.0)</f>
        <v>3025</v>
      </c>
      <c r="E328" s="2">
        <f>IFERROR(__xludf.DUMMYFUNCTION("""COMPUTED_VALUE"""),3025.0)</f>
        <v>3025</v>
      </c>
      <c r="F328" s="2">
        <f>IFERROR(__xludf.DUMMYFUNCTION("""COMPUTED_VALUE"""),2.29259E7)</f>
        <v>22925900</v>
      </c>
      <c r="G328" s="2">
        <f t="shared" si="1"/>
        <v>50</v>
      </c>
    </row>
    <row r="329" ht="15.75" customHeight="1">
      <c r="A329" s="1">
        <f>IFERROR(__xludf.DUMMYFUNCTION("""COMPUTED_VALUE"""),44322.625)</f>
        <v>44322.625</v>
      </c>
      <c r="B329" s="2">
        <f>IFERROR(__xludf.DUMMYFUNCTION("""COMPUTED_VALUE"""),3062.5)</f>
        <v>3062.5</v>
      </c>
      <c r="C329" s="2">
        <f>IFERROR(__xludf.DUMMYFUNCTION("""COMPUTED_VALUE"""),3062.5)</f>
        <v>3062.5</v>
      </c>
      <c r="D329" s="2">
        <f>IFERROR(__xludf.DUMMYFUNCTION("""COMPUTED_VALUE"""),3012.5)</f>
        <v>3012.5</v>
      </c>
      <c r="E329" s="2">
        <f>IFERROR(__xludf.DUMMYFUNCTION("""COMPUTED_VALUE"""),3037.5)</f>
        <v>3037.5</v>
      </c>
      <c r="F329" s="2">
        <f>IFERROR(__xludf.DUMMYFUNCTION("""COMPUTED_VALUE"""),1.85455E7)</f>
        <v>18545500</v>
      </c>
      <c r="G329" s="2">
        <f t="shared" si="1"/>
        <v>50</v>
      </c>
    </row>
    <row r="330" ht="15.75" customHeight="1">
      <c r="A330" s="1">
        <f>IFERROR(__xludf.DUMMYFUNCTION("""COMPUTED_VALUE"""),44323.625)</f>
        <v>44323.625</v>
      </c>
      <c r="B330" s="2">
        <f>IFERROR(__xludf.DUMMYFUNCTION("""COMPUTED_VALUE"""),3062.5)</f>
        <v>3062.5</v>
      </c>
      <c r="C330" s="2">
        <f>IFERROR(__xludf.DUMMYFUNCTION("""COMPUTED_VALUE"""),3062.5)</f>
        <v>3062.5</v>
      </c>
      <c r="D330" s="2">
        <f>IFERROR(__xludf.DUMMYFUNCTION("""COMPUTED_VALUE"""),2975.0)</f>
        <v>2975</v>
      </c>
      <c r="E330" s="2">
        <f>IFERROR(__xludf.DUMMYFUNCTION("""COMPUTED_VALUE"""),2975.0)</f>
        <v>2975</v>
      </c>
      <c r="F330" s="2">
        <f>IFERROR(__xludf.DUMMYFUNCTION("""COMPUTED_VALUE"""),3.26659E7)</f>
        <v>32665900</v>
      </c>
      <c r="G330" s="2">
        <f t="shared" si="1"/>
        <v>87.5</v>
      </c>
    </row>
    <row r="331" ht="15.75" customHeight="1">
      <c r="A331" s="1">
        <f>IFERROR(__xludf.DUMMYFUNCTION("""COMPUTED_VALUE"""),44326.66666666667)</f>
        <v>44326.66667</v>
      </c>
      <c r="B331" s="2">
        <f>IFERROR(__xludf.DUMMYFUNCTION("""COMPUTED_VALUE"""),3012.5)</f>
        <v>3012.5</v>
      </c>
      <c r="C331" s="2">
        <f>IFERROR(__xludf.DUMMYFUNCTION("""COMPUTED_VALUE"""),3012.5)</f>
        <v>3012.5</v>
      </c>
      <c r="D331" s="2">
        <f>IFERROR(__xludf.DUMMYFUNCTION("""COMPUTED_VALUE"""),2975.0)</f>
        <v>2975</v>
      </c>
      <c r="E331" s="2">
        <f>IFERROR(__xludf.DUMMYFUNCTION("""COMPUTED_VALUE"""),2987.5)</f>
        <v>2987.5</v>
      </c>
      <c r="F331" s="2">
        <f>IFERROR(__xludf.DUMMYFUNCTION("""COMPUTED_VALUE"""),1.77407E7)</f>
        <v>17740700</v>
      </c>
      <c r="G331" s="2">
        <f t="shared" si="1"/>
        <v>37.5</v>
      </c>
    </row>
    <row r="332" ht="15.75" customHeight="1">
      <c r="A332" s="1">
        <f>IFERROR(__xludf.DUMMYFUNCTION("""COMPUTED_VALUE"""),44327.66666666667)</f>
        <v>44327.66667</v>
      </c>
      <c r="B332" s="2">
        <f>IFERROR(__xludf.DUMMYFUNCTION("""COMPUTED_VALUE"""),3000.0)</f>
        <v>3000</v>
      </c>
      <c r="C332" s="2">
        <f>IFERROR(__xludf.DUMMYFUNCTION("""COMPUTED_VALUE"""),3000.0)</f>
        <v>3000</v>
      </c>
      <c r="D332" s="2">
        <f>IFERROR(__xludf.DUMMYFUNCTION("""COMPUTED_VALUE"""),2925.0)</f>
        <v>2925</v>
      </c>
      <c r="E332" s="2">
        <f>IFERROR(__xludf.DUMMYFUNCTION("""COMPUTED_VALUE"""),2950.0)</f>
        <v>2950</v>
      </c>
      <c r="F332" s="2">
        <f>IFERROR(__xludf.DUMMYFUNCTION("""COMPUTED_VALUE"""),3.46909E7)</f>
        <v>34690900</v>
      </c>
      <c r="G332" s="2">
        <f t="shared" si="1"/>
        <v>75</v>
      </c>
    </row>
    <row r="333" ht="15.75" customHeight="1">
      <c r="A333" s="1">
        <f>IFERROR(__xludf.DUMMYFUNCTION("""COMPUTED_VALUE"""),44333.625)</f>
        <v>44333.625</v>
      </c>
      <c r="B333" s="2">
        <f>IFERROR(__xludf.DUMMYFUNCTION("""COMPUTED_VALUE"""),2987.5)</f>
        <v>2987.5</v>
      </c>
      <c r="C333" s="2">
        <f>IFERROR(__xludf.DUMMYFUNCTION("""COMPUTED_VALUE"""),3000.0)</f>
        <v>3000</v>
      </c>
      <c r="D333" s="2">
        <f>IFERROR(__xludf.DUMMYFUNCTION("""COMPUTED_VALUE"""),2937.5)</f>
        <v>2937.5</v>
      </c>
      <c r="E333" s="2">
        <f>IFERROR(__xludf.DUMMYFUNCTION("""COMPUTED_VALUE"""),2962.5)</f>
        <v>2962.5</v>
      </c>
      <c r="F333" s="2">
        <f>IFERROR(__xludf.DUMMYFUNCTION("""COMPUTED_VALUE"""),4.75499E7)</f>
        <v>47549900</v>
      </c>
      <c r="G333" s="2">
        <f t="shared" si="1"/>
        <v>62.5</v>
      </c>
    </row>
    <row r="334" ht="15.75" customHeight="1">
      <c r="A334" s="1">
        <f>IFERROR(__xludf.DUMMYFUNCTION("""COMPUTED_VALUE"""),44334.625)</f>
        <v>44334.625</v>
      </c>
      <c r="B334" s="2">
        <f>IFERROR(__xludf.DUMMYFUNCTION("""COMPUTED_VALUE"""),2987.5)</f>
        <v>2987.5</v>
      </c>
      <c r="C334" s="2">
        <f>IFERROR(__xludf.DUMMYFUNCTION("""COMPUTED_VALUE"""),3000.0)</f>
        <v>3000</v>
      </c>
      <c r="D334" s="2">
        <f>IFERROR(__xludf.DUMMYFUNCTION("""COMPUTED_VALUE"""),2912.5)</f>
        <v>2912.5</v>
      </c>
      <c r="E334" s="2">
        <f>IFERROR(__xludf.DUMMYFUNCTION("""COMPUTED_VALUE"""),2950.0)</f>
        <v>2950</v>
      </c>
      <c r="F334" s="2">
        <f>IFERROR(__xludf.DUMMYFUNCTION("""COMPUTED_VALUE"""),3.69826E7)</f>
        <v>36982600</v>
      </c>
      <c r="G334" s="2">
        <f t="shared" si="1"/>
        <v>87.5</v>
      </c>
    </row>
    <row r="335" ht="15.75" customHeight="1">
      <c r="A335" s="1">
        <f>IFERROR(__xludf.DUMMYFUNCTION("""COMPUTED_VALUE"""),44335.625)</f>
        <v>44335.625</v>
      </c>
      <c r="B335" s="2">
        <f>IFERROR(__xludf.DUMMYFUNCTION("""COMPUTED_VALUE"""),2900.0)</f>
        <v>2900</v>
      </c>
      <c r="C335" s="2">
        <f>IFERROR(__xludf.DUMMYFUNCTION("""COMPUTED_VALUE"""),2925.0)</f>
        <v>2925</v>
      </c>
      <c r="D335" s="2">
        <f>IFERROR(__xludf.DUMMYFUNCTION("""COMPUTED_VALUE"""),2812.5)</f>
        <v>2812.5</v>
      </c>
      <c r="E335" s="2">
        <f>IFERROR(__xludf.DUMMYFUNCTION("""COMPUTED_VALUE"""),2837.5)</f>
        <v>2837.5</v>
      </c>
      <c r="F335" s="2">
        <f>IFERROR(__xludf.DUMMYFUNCTION("""COMPUTED_VALUE"""),4.9218E7)</f>
        <v>49218000</v>
      </c>
      <c r="G335" s="2">
        <f t="shared" si="1"/>
        <v>137.5</v>
      </c>
    </row>
    <row r="336" ht="15.75" customHeight="1">
      <c r="A336" s="1">
        <f>IFERROR(__xludf.DUMMYFUNCTION("""COMPUTED_VALUE"""),44336.625)</f>
        <v>44336.625</v>
      </c>
      <c r="B336" s="2">
        <f>IFERROR(__xludf.DUMMYFUNCTION("""COMPUTED_VALUE"""),2825.0)</f>
        <v>2825</v>
      </c>
      <c r="C336" s="2">
        <f>IFERROR(__xludf.DUMMYFUNCTION("""COMPUTED_VALUE"""),2875.0)</f>
        <v>2875</v>
      </c>
      <c r="D336" s="2">
        <f>IFERROR(__xludf.DUMMYFUNCTION("""COMPUTED_VALUE"""),2800.0)</f>
        <v>2800</v>
      </c>
      <c r="E336" s="2">
        <f>IFERROR(__xludf.DUMMYFUNCTION("""COMPUTED_VALUE"""),2825.0)</f>
        <v>2825</v>
      </c>
      <c r="F336" s="2">
        <f>IFERROR(__xludf.DUMMYFUNCTION("""COMPUTED_VALUE"""),3.4805E7)</f>
        <v>34805000</v>
      </c>
      <c r="G336" s="2">
        <f t="shared" si="1"/>
        <v>75</v>
      </c>
    </row>
    <row r="337" ht="15.75" customHeight="1">
      <c r="A337" s="1">
        <f>IFERROR(__xludf.DUMMYFUNCTION("""COMPUTED_VALUE"""),44337.625)</f>
        <v>44337.625</v>
      </c>
      <c r="B337" s="2">
        <f>IFERROR(__xludf.DUMMYFUNCTION("""COMPUTED_VALUE"""),2862.5)</f>
        <v>2862.5</v>
      </c>
      <c r="C337" s="2">
        <f>IFERROR(__xludf.DUMMYFUNCTION("""COMPUTED_VALUE"""),2950.0)</f>
        <v>2950</v>
      </c>
      <c r="D337" s="2">
        <f>IFERROR(__xludf.DUMMYFUNCTION("""COMPUTED_VALUE"""),2837.5)</f>
        <v>2837.5</v>
      </c>
      <c r="E337" s="2">
        <f>IFERROR(__xludf.DUMMYFUNCTION("""COMPUTED_VALUE"""),2912.5)</f>
        <v>2912.5</v>
      </c>
      <c r="F337" s="2">
        <f>IFERROR(__xludf.DUMMYFUNCTION("""COMPUTED_VALUE"""),7.02265E7)</f>
        <v>70226500</v>
      </c>
      <c r="G337" s="2">
        <f t="shared" si="1"/>
        <v>125</v>
      </c>
    </row>
    <row r="338" ht="15.75" customHeight="1">
      <c r="A338" s="1">
        <f>IFERROR(__xludf.DUMMYFUNCTION("""COMPUTED_VALUE"""),44340.625)</f>
        <v>44340.625</v>
      </c>
      <c r="B338" s="2">
        <f>IFERROR(__xludf.DUMMYFUNCTION("""COMPUTED_VALUE"""),2937.5)</f>
        <v>2937.5</v>
      </c>
      <c r="C338" s="2">
        <f>IFERROR(__xludf.DUMMYFUNCTION("""COMPUTED_VALUE"""),2937.5)</f>
        <v>2937.5</v>
      </c>
      <c r="D338" s="2">
        <f>IFERROR(__xludf.DUMMYFUNCTION("""COMPUTED_VALUE"""),2875.0)</f>
        <v>2875</v>
      </c>
      <c r="E338" s="2">
        <f>IFERROR(__xludf.DUMMYFUNCTION("""COMPUTED_VALUE"""),2875.0)</f>
        <v>2875</v>
      </c>
      <c r="F338" s="2">
        <f>IFERROR(__xludf.DUMMYFUNCTION("""COMPUTED_VALUE"""),2.74488E7)</f>
        <v>27448800</v>
      </c>
      <c r="G338" s="2">
        <f t="shared" si="1"/>
        <v>62.5</v>
      </c>
    </row>
    <row r="339" ht="15.75" customHeight="1">
      <c r="A339" s="1">
        <f>IFERROR(__xludf.DUMMYFUNCTION("""COMPUTED_VALUE"""),44341.625)</f>
        <v>44341.625</v>
      </c>
      <c r="B339" s="2">
        <f>IFERROR(__xludf.DUMMYFUNCTION("""COMPUTED_VALUE"""),2887.5)</f>
        <v>2887.5</v>
      </c>
      <c r="C339" s="2">
        <f>IFERROR(__xludf.DUMMYFUNCTION("""COMPUTED_VALUE"""),2975.0)</f>
        <v>2975</v>
      </c>
      <c r="D339" s="2">
        <f>IFERROR(__xludf.DUMMYFUNCTION("""COMPUTED_VALUE"""),2887.5)</f>
        <v>2887.5</v>
      </c>
      <c r="E339" s="2">
        <f>IFERROR(__xludf.DUMMYFUNCTION("""COMPUTED_VALUE"""),2950.0)</f>
        <v>2950</v>
      </c>
      <c r="F339" s="2">
        <f>IFERROR(__xludf.DUMMYFUNCTION("""COMPUTED_VALUE"""),4.52972E7)</f>
        <v>45297200</v>
      </c>
      <c r="G339" s="2">
        <f t="shared" si="1"/>
        <v>100</v>
      </c>
    </row>
    <row r="340" ht="15.75" customHeight="1">
      <c r="A340" s="1">
        <f>IFERROR(__xludf.DUMMYFUNCTION("""COMPUTED_VALUE"""),44343.625)</f>
        <v>44343.625</v>
      </c>
      <c r="B340" s="2">
        <f>IFERROR(__xludf.DUMMYFUNCTION("""COMPUTED_VALUE"""),3000.0)</f>
        <v>3000</v>
      </c>
      <c r="C340" s="2">
        <f>IFERROR(__xludf.DUMMYFUNCTION("""COMPUTED_VALUE"""),3000.0)</f>
        <v>3000</v>
      </c>
      <c r="D340" s="2">
        <f>IFERROR(__xludf.DUMMYFUNCTION("""COMPUTED_VALUE"""),2875.0)</f>
        <v>2875</v>
      </c>
      <c r="E340" s="2">
        <f>IFERROR(__xludf.DUMMYFUNCTION("""COMPUTED_VALUE"""),2875.0)</f>
        <v>2875</v>
      </c>
      <c r="F340" s="2">
        <f>IFERROR(__xludf.DUMMYFUNCTION("""COMPUTED_VALUE"""),1.769449E8)</f>
        <v>176944900</v>
      </c>
      <c r="G340" s="2">
        <f t="shared" si="1"/>
        <v>125</v>
      </c>
    </row>
    <row r="341" ht="15.75" customHeight="1">
      <c r="A341" s="1">
        <f>IFERROR(__xludf.DUMMYFUNCTION("""COMPUTED_VALUE"""),44344.625)</f>
        <v>44344.625</v>
      </c>
      <c r="B341" s="2">
        <f>IFERROR(__xludf.DUMMYFUNCTION("""COMPUTED_VALUE"""),2912.5)</f>
        <v>2912.5</v>
      </c>
      <c r="C341" s="2">
        <f>IFERROR(__xludf.DUMMYFUNCTION("""COMPUTED_VALUE"""),2950.0)</f>
        <v>2950</v>
      </c>
      <c r="D341" s="2">
        <f>IFERROR(__xludf.DUMMYFUNCTION("""COMPUTED_VALUE"""),2887.5)</f>
        <v>2887.5</v>
      </c>
      <c r="E341" s="2">
        <f>IFERROR(__xludf.DUMMYFUNCTION("""COMPUTED_VALUE"""),2900.0)</f>
        <v>2900</v>
      </c>
      <c r="F341" s="2">
        <f>IFERROR(__xludf.DUMMYFUNCTION("""COMPUTED_VALUE"""),3.91529E7)</f>
        <v>39152900</v>
      </c>
      <c r="G341" s="2">
        <f t="shared" si="1"/>
        <v>75</v>
      </c>
    </row>
    <row r="342" ht="15.75" customHeight="1">
      <c r="A342" s="1">
        <f>IFERROR(__xludf.DUMMYFUNCTION("""COMPUTED_VALUE"""),44347.625)</f>
        <v>44347.625</v>
      </c>
      <c r="B342" s="2">
        <f>IFERROR(__xludf.DUMMYFUNCTION("""COMPUTED_VALUE"""),2937.5)</f>
        <v>2937.5</v>
      </c>
      <c r="C342" s="2">
        <f>IFERROR(__xludf.DUMMYFUNCTION("""COMPUTED_VALUE"""),3050.0)</f>
        <v>3050</v>
      </c>
      <c r="D342" s="2">
        <f>IFERROR(__xludf.DUMMYFUNCTION("""COMPUTED_VALUE"""),2912.5)</f>
        <v>2912.5</v>
      </c>
      <c r="E342" s="2">
        <f>IFERROR(__xludf.DUMMYFUNCTION("""COMPUTED_VALUE"""),3000.0)</f>
        <v>3000</v>
      </c>
      <c r="F342" s="2">
        <f>IFERROR(__xludf.DUMMYFUNCTION("""COMPUTED_VALUE"""),4.833E7)</f>
        <v>48330000</v>
      </c>
      <c r="G342" s="2">
        <f t="shared" si="1"/>
        <v>150</v>
      </c>
    </row>
    <row r="343" ht="15.75" customHeight="1">
      <c r="A343" s="1">
        <f>IFERROR(__xludf.DUMMYFUNCTION("""COMPUTED_VALUE"""),44349.625)</f>
        <v>44349.625</v>
      </c>
      <c r="B343" s="2">
        <f>IFERROR(__xludf.DUMMYFUNCTION("""COMPUTED_VALUE"""),3075.0)</f>
        <v>3075</v>
      </c>
      <c r="C343" s="2">
        <f>IFERROR(__xludf.DUMMYFUNCTION("""COMPUTED_VALUE"""),3100.0)</f>
        <v>3100</v>
      </c>
      <c r="D343" s="2">
        <f>IFERROR(__xludf.DUMMYFUNCTION("""COMPUTED_VALUE"""),3037.5)</f>
        <v>3037.5</v>
      </c>
      <c r="E343" s="2">
        <f>IFERROR(__xludf.DUMMYFUNCTION("""COMPUTED_VALUE"""),3050.0)</f>
        <v>3050</v>
      </c>
      <c r="F343" s="2">
        <f>IFERROR(__xludf.DUMMYFUNCTION("""COMPUTED_VALUE"""),7.86678E7)</f>
        <v>78667800</v>
      </c>
      <c r="G343" s="2">
        <f t="shared" si="1"/>
        <v>100</v>
      </c>
    </row>
    <row r="344" ht="15.75" customHeight="1">
      <c r="A344" s="1">
        <f>IFERROR(__xludf.DUMMYFUNCTION("""COMPUTED_VALUE"""),44350.625)</f>
        <v>44350.625</v>
      </c>
      <c r="B344" s="2">
        <f>IFERROR(__xludf.DUMMYFUNCTION("""COMPUTED_VALUE"""),3087.5)</f>
        <v>3087.5</v>
      </c>
      <c r="C344" s="2">
        <f>IFERROR(__xludf.DUMMYFUNCTION("""COMPUTED_VALUE"""),3137.5)</f>
        <v>3137.5</v>
      </c>
      <c r="D344" s="2">
        <f>IFERROR(__xludf.DUMMYFUNCTION("""COMPUTED_VALUE"""),3062.5)</f>
        <v>3062.5</v>
      </c>
      <c r="E344" s="2">
        <f>IFERROR(__xludf.DUMMYFUNCTION("""COMPUTED_VALUE"""),3125.0)</f>
        <v>3125</v>
      </c>
      <c r="F344" s="2">
        <f>IFERROR(__xludf.DUMMYFUNCTION("""COMPUTED_VALUE"""),4.32132E7)</f>
        <v>43213200</v>
      </c>
      <c r="G344" s="2">
        <f t="shared" si="1"/>
        <v>87.5</v>
      </c>
    </row>
    <row r="345" ht="15.75" customHeight="1">
      <c r="A345" s="1">
        <f>IFERROR(__xludf.DUMMYFUNCTION("""COMPUTED_VALUE"""),44351.625)</f>
        <v>44351.625</v>
      </c>
      <c r="B345" s="2">
        <f>IFERROR(__xludf.DUMMYFUNCTION("""COMPUTED_VALUE"""),3125.0)</f>
        <v>3125</v>
      </c>
      <c r="C345" s="2">
        <f>IFERROR(__xludf.DUMMYFUNCTION("""COMPUTED_VALUE"""),3162.5)</f>
        <v>3162.5</v>
      </c>
      <c r="D345" s="2">
        <f>IFERROR(__xludf.DUMMYFUNCTION("""COMPUTED_VALUE"""),3062.5)</f>
        <v>3062.5</v>
      </c>
      <c r="E345" s="2">
        <f>IFERROR(__xludf.DUMMYFUNCTION("""COMPUTED_VALUE"""),3062.5)</f>
        <v>3062.5</v>
      </c>
      <c r="F345" s="2">
        <f>IFERROR(__xludf.DUMMYFUNCTION("""COMPUTED_VALUE"""),3.81539E7)</f>
        <v>38153900</v>
      </c>
      <c r="G345" s="2">
        <f t="shared" si="1"/>
        <v>100</v>
      </c>
    </row>
    <row r="346" ht="15.75" customHeight="1">
      <c r="A346" s="1">
        <f>IFERROR(__xludf.DUMMYFUNCTION("""COMPUTED_VALUE"""),44354.625)</f>
        <v>44354.625</v>
      </c>
      <c r="B346" s="2">
        <f>IFERROR(__xludf.DUMMYFUNCTION("""COMPUTED_VALUE"""),3100.0)</f>
        <v>3100</v>
      </c>
      <c r="C346" s="2">
        <f>IFERROR(__xludf.DUMMYFUNCTION("""COMPUTED_VALUE"""),3100.0)</f>
        <v>3100</v>
      </c>
      <c r="D346" s="2">
        <f>IFERROR(__xludf.DUMMYFUNCTION("""COMPUTED_VALUE"""),3037.5)</f>
        <v>3037.5</v>
      </c>
      <c r="E346" s="2">
        <f>IFERROR(__xludf.DUMMYFUNCTION("""COMPUTED_VALUE"""),3062.5)</f>
        <v>3062.5</v>
      </c>
      <c r="F346" s="2">
        <f>IFERROR(__xludf.DUMMYFUNCTION("""COMPUTED_VALUE"""),2.12572E7)</f>
        <v>21257200</v>
      </c>
      <c r="G346" s="2">
        <f t="shared" si="1"/>
        <v>62.5</v>
      </c>
    </row>
    <row r="347" ht="15.75" customHeight="1">
      <c r="A347" s="1">
        <f>IFERROR(__xludf.DUMMYFUNCTION("""COMPUTED_VALUE"""),44355.625)</f>
        <v>44355.625</v>
      </c>
      <c r="B347" s="2">
        <f>IFERROR(__xludf.DUMMYFUNCTION("""COMPUTED_VALUE"""),3075.0)</f>
        <v>3075</v>
      </c>
      <c r="C347" s="2">
        <f>IFERROR(__xludf.DUMMYFUNCTION("""COMPUTED_VALUE"""),3075.0)</f>
        <v>3075</v>
      </c>
      <c r="D347" s="2">
        <f>IFERROR(__xludf.DUMMYFUNCTION("""COMPUTED_VALUE"""),3000.0)</f>
        <v>3000</v>
      </c>
      <c r="E347" s="2">
        <f>IFERROR(__xludf.DUMMYFUNCTION("""COMPUTED_VALUE"""),3000.0)</f>
        <v>3000</v>
      </c>
      <c r="F347" s="2">
        <f>IFERROR(__xludf.DUMMYFUNCTION("""COMPUTED_VALUE"""),2.8542E7)</f>
        <v>28542000</v>
      </c>
      <c r="G347" s="2">
        <f t="shared" si="1"/>
        <v>75</v>
      </c>
    </row>
    <row r="348" ht="15.75" customHeight="1">
      <c r="A348" s="1">
        <f>IFERROR(__xludf.DUMMYFUNCTION("""COMPUTED_VALUE"""),44356.625)</f>
        <v>44356.625</v>
      </c>
      <c r="B348" s="2">
        <f>IFERROR(__xludf.DUMMYFUNCTION("""COMPUTED_VALUE"""),3037.5)</f>
        <v>3037.5</v>
      </c>
      <c r="C348" s="2">
        <f>IFERROR(__xludf.DUMMYFUNCTION("""COMPUTED_VALUE"""),3087.5)</f>
        <v>3087.5</v>
      </c>
      <c r="D348" s="2">
        <f>IFERROR(__xludf.DUMMYFUNCTION("""COMPUTED_VALUE"""),3000.0)</f>
        <v>3000</v>
      </c>
      <c r="E348" s="2">
        <f>IFERROR(__xludf.DUMMYFUNCTION("""COMPUTED_VALUE"""),3075.0)</f>
        <v>3075</v>
      </c>
      <c r="F348" s="2">
        <f>IFERROR(__xludf.DUMMYFUNCTION("""COMPUTED_VALUE"""),2.35393E7)</f>
        <v>23539300</v>
      </c>
      <c r="G348" s="2">
        <f t="shared" si="1"/>
        <v>87.5</v>
      </c>
    </row>
    <row r="349" ht="15.75" customHeight="1">
      <c r="A349" s="1">
        <f>IFERROR(__xludf.DUMMYFUNCTION("""COMPUTED_VALUE"""),44357.625)</f>
        <v>44357.625</v>
      </c>
      <c r="B349" s="2">
        <f>IFERROR(__xludf.DUMMYFUNCTION("""COMPUTED_VALUE"""),3087.5)</f>
        <v>3087.5</v>
      </c>
      <c r="C349" s="2">
        <f>IFERROR(__xludf.DUMMYFUNCTION("""COMPUTED_VALUE"""),3125.0)</f>
        <v>3125</v>
      </c>
      <c r="D349" s="2">
        <f>IFERROR(__xludf.DUMMYFUNCTION("""COMPUTED_VALUE"""),3062.5)</f>
        <v>3062.5</v>
      </c>
      <c r="E349" s="2">
        <f>IFERROR(__xludf.DUMMYFUNCTION("""COMPUTED_VALUE"""),3100.0)</f>
        <v>3100</v>
      </c>
      <c r="F349" s="2">
        <f>IFERROR(__xludf.DUMMYFUNCTION("""COMPUTED_VALUE"""),2.17718E7)</f>
        <v>21771800</v>
      </c>
      <c r="G349" s="2">
        <f t="shared" si="1"/>
        <v>62.5</v>
      </c>
    </row>
    <row r="350" ht="15.75" customHeight="1">
      <c r="A350" s="1">
        <f>IFERROR(__xludf.DUMMYFUNCTION("""COMPUTED_VALUE"""),44358.625)</f>
        <v>44358.625</v>
      </c>
      <c r="B350" s="2">
        <f>IFERROR(__xludf.DUMMYFUNCTION("""COMPUTED_VALUE"""),3137.5)</f>
        <v>3137.5</v>
      </c>
      <c r="C350" s="2">
        <f>IFERROR(__xludf.DUMMYFUNCTION("""COMPUTED_VALUE"""),3150.0)</f>
        <v>3150</v>
      </c>
      <c r="D350" s="2">
        <f>IFERROR(__xludf.DUMMYFUNCTION("""COMPUTED_VALUE"""),3112.5)</f>
        <v>3112.5</v>
      </c>
      <c r="E350" s="2">
        <f>IFERROR(__xludf.DUMMYFUNCTION("""COMPUTED_VALUE"""),3137.5)</f>
        <v>3137.5</v>
      </c>
      <c r="F350" s="2">
        <f>IFERROR(__xludf.DUMMYFUNCTION("""COMPUTED_VALUE"""),3.88789E7)</f>
        <v>38878900</v>
      </c>
      <c r="G350" s="2">
        <f t="shared" si="1"/>
        <v>50</v>
      </c>
    </row>
    <row r="351" ht="15.75" customHeight="1">
      <c r="A351" s="1">
        <f>IFERROR(__xludf.DUMMYFUNCTION("""COMPUTED_VALUE"""),44361.66666666667)</f>
        <v>44361.66667</v>
      </c>
      <c r="B351" s="2">
        <f>IFERROR(__xludf.DUMMYFUNCTION("""COMPUTED_VALUE"""),3150.0)</f>
        <v>3150</v>
      </c>
      <c r="C351" s="2">
        <f>IFERROR(__xludf.DUMMYFUNCTION("""COMPUTED_VALUE"""),3150.0)</f>
        <v>3150</v>
      </c>
      <c r="D351" s="2">
        <f>IFERROR(__xludf.DUMMYFUNCTION("""COMPUTED_VALUE"""),3112.5)</f>
        <v>3112.5</v>
      </c>
      <c r="E351" s="2">
        <f>IFERROR(__xludf.DUMMYFUNCTION("""COMPUTED_VALUE"""),3137.5)</f>
        <v>3137.5</v>
      </c>
      <c r="F351" s="2">
        <f>IFERROR(__xludf.DUMMYFUNCTION("""COMPUTED_VALUE"""),2.50217E7)</f>
        <v>25021700</v>
      </c>
      <c r="G351" s="2">
        <f t="shared" si="1"/>
        <v>37.5</v>
      </c>
    </row>
    <row r="352" ht="15.75" customHeight="1">
      <c r="A352" s="1">
        <f>IFERROR(__xludf.DUMMYFUNCTION("""COMPUTED_VALUE"""),44362.625)</f>
        <v>44362.625</v>
      </c>
      <c r="B352" s="2">
        <f>IFERROR(__xludf.DUMMYFUNCTION("""COMPUTED_VALUE"""),3150.0)</f>
        <v>3150</v>
      </c>
      <c r="C352" s="2">
        <f>IFERROR(__xludf.DUMMYFUNCTION("""COMPUTED_VALUE"""),3162.5)</f>
        <v>3162.5</v>
      </c>
      <c r="D352" s="2">
        <f>IFERROR(__xludf.DUMMYFUNCTION("""COMPUTED_VALUE"""),3112.5)</f>
        <v>3112.5</v>
      </c>
      <c r="E352" s="2">
        <f>IFERROR(__xludf.DUMMYFUNCTION("""COMPUTED_VALUE"""),3162.5)</f>
        <v>3162.5</v>
      </c>
      <c r="F352" s="2">
        <f>IFERROR(__xludf.DUMMYFUNCTION("""COMPUTED_VALUE"""),5.35939E7)</f>
        <v>53593900</v>
      </c>
      <c r="G352" s="2">
        <f t="shared" si="1"/>
        <v>50</v>
      </c>
    </row>
    <row r="353" ht="15.75" customHeight="1">
      <c r="A353" s="1">
        <f>IFERROR(__xludf.DUMMYFUNCTION("""COMPUTED_VALUE"""),44363.625)</f>
        <v>44363.625</v>
      </c>
      <c r="B353" s="2">
        <f>IFERROR(__xludf.DUMMYFUNCTION("""COMPUTED_VALUE"""),3162.5)</f>
        <v>3162.5</v>
      </c>
      <c r="C353" s="2">
        <f>IFERROR(__xludf.DUMMYFUNCTION("""COMPUTED_VALUE"""),3175.0)</f>
        <v>3175</v>
      </c>
      <c r="D353" s="2">
        <f>IFERROR(__xludf.DUMMYFUNCTION("""COMPUTED_VALUE"""),3100.0)</f>
        <v>3100</v>
      </c>
      <c r="E353" s="2">
        <f>IFERROR(__xludf.DUMMYFUNCTION("""COMPUTED_VALUE"""),3137.5)</f>
        <v>3137.5</v>
      </c>
      <c r="F353" s="2">
        <f>IFERROR(__xludf.DUMMYFUNCTION("""COMPUTED_VALUE"""),4.50258E7)</f>
        <v>45025800</v>
      </c>
      <c r="G353" s="2">
        <f t="shared" si="1"/>
        <v>75</v>
      </c>
    </row>
    <row r="354" ht="15.75" customHeight="1">
      <c r="A354" s="1">
        <f>IFERROR(__xludf.DUMMYFUNCTION("""COMPUTED_VALUE"""),44364.625)</f>
        <v>44364.625</v>
      </c>
      <c r="B354" s="2">
        <f>IFERROR(__xludf.DUMMYFUNCTION("""COMPUTED_VALUE"""),3125.0)</f>
        <v>3125</v>
      </c>
      <c r="C354" s="2">
        <f>IFERROR(__xludf.DUMMYFUNCTION("""COMPUTED_VALUE"""),3137.5)</f>
        <v>3137.5</v>
      </c>
      <c r="D354" s="2">
        <f>IFERROR(__xludf.DUMMYFUNCTION("""COMPUTED_VALUE"""),3100.0)</f>
        <v>3100</v>
      </c>
      <c r="E354" s="2">
        <f>IFERROR(__xludf.DUMMYFUNCTION("""COMPUTED_VALUE"""),3100.0)</f>
        <v>3100</v>
      </c>
      <c r="F354" s="2">
        <f>IFERROR(__xludf.DUMMYFUNCTION("""COMPUTED_VALUE"""),7.32586E7)</f>
        <v>73258600</v>
      </c>
      <c r="G354" s="2">
        <f t="shared" si="1"/>
        <v>37.5</v>
      </c>
    </row>
    <row r="355" ht="15.75" customHeight="1">
      <c r="A355" s="1">
        <f>IFERROR(__xludf.DUMMYFUNCTION("""COMPUTED_VALUE"""),44365.625)</f>
        <v>44365.625</v>
      </c>
      <c r="B355" s="2">
        <f>IFERROR(__xludf.DUMMYFUNCTION("""COMPUTED_VALUE"""),3087.5)</f>
        <v>3087.5</v>
      </c>
      <c r="C355" s="2">
        <f>IFERROR(__xludf.DUMMYFUNCTION("""COMPUTED_VALUE"""),3100.0)</f>
        <v>3100</v>
      </c>
      <c r="D355" s="2">
        <f>IFERROR(__xludf.DUMMYFUNCTION("""COMPUTED_VALUE"""),2975.0)</f>
        <v>2975</v>
      </c>
      <c r="E355" s="2">
        <f>IFERROR(__xludf.DUMMYFUNCTION("""COMPUTED_VALUE"""),3100.0)</f>
        <v>3100</v>
      </c>
      <c r="F355" s="2">
        <f>IFERROR(__xludf.DUMMYFUNCTION("""COMPUTED_VALUE"""),1.006677E8)</f>
        <v>100667700</v>
      </c>
      <c r="G355" s="2">
        <f t="shared" si="1"/>
        <v>125</v>
      </c>
    </row>
    <row r="356" ht="15.75" customHeight="1">
      <c r="A356" s="1">
        <f>IFERROR(__xludf.DUMMYFUNCTION("""COMPUTED_VALUE"""),44368.66666666667)</f>
        <v>44368.66667</v>
      </c>
      <c r="B356" s="2">
        <f>IFERROR(__xludf.DUMMYFUNCTION("""COMPUTED_VALUE"""),3050.0)</f>
        <v>3050</v>
      </c>
      <c r="C356" s="2">
        <f>IFERROR(__xludf.DUMMYFUNCTION("""COMPUTED_VALUE"""),3050.0)</f>
        <v>3050</v>
      </c>
      <c r="D356" s="2">
        <f>IFERROR(__xludf.DUMMYFUNCTION("""COMPUTED_VALUE"""),2975.0)</f>
        <v>2975</v>
      </c>
      <c r="E356" s="2">
        <f>IFERROR(__xludf.DUMMYFUNCTION("""COMPUTED_VALUE"""),3012.5)</f>
        <v>3012.5</v>
      </c>
      <c r="F356" s="2">
        <f>IFERROR(__xludf.DUMMYFUNCTION("""COMPUTED_VALUE"""),6.94746E7)</f>
        <v>69474600</v>
      </c>
      <c r="G356" s="2">
        <f t="shared" si="1"/>
        <v>125</v>
      </c>
    </row>
    <row r="357" ht="15.75" customHeight="1">
      <c r="A357" s="1">
        <f>IFERROR(__xludf.DUMMYFUNCTION("""COMPUTED_VALUE"""),44369.625)</f>
        <v>44369.625</v>
      </c>
      <c r="B357" s="2">
        <f>IFERROR(__xludf.DUMMYFUNCTION("""COMPUTED_VALUE"""),3037.5)</f>
        <v>3037.5</v>
      </c>
      <c r="C357" s="2">
        <f>IFERROR(__xludf.DUMMYFUNCTION("""COMPUTED_VALUE"""),3125.0)</f>
        <v>3125</v>
      </c>
      <c r="D357" s="2">
        <f>IFERROR(__xludf.DUMMYFUNCTION("""COMPUTED_VALUE"""),3012.5)</f>
        <v>3012.5</v>
      </c>
      <c r="E357" s="2">
        <f>IFERROR(__xludf.DUMMYFUNCTION("""COMPUTED_VALUE"""),3087.5)</f>
        <v>3087.5</v>
      </c>
      <c r="F357" s="2">
        <f>IFERROR(__xludf.DUMMYFUNCTION("""COMPUTED_VALUE"""),4.83403E7)</f>
        <v>48340300</v>
      </c>
      <c r="G357" s="2">
        <f t="shared" si="1"/>
        <v>112.5</v>
      </c>
    </row>
    <row r="358" ht="15.75" customHeight="1">
      <c r="A358" s="1">
        <f>IFERROR(__xludf.DUMMYFUNCTION("""COMPUTED_VALUE"""),44370.625)</f>
        <v>44370.625</v>
      </c>
      <c r="B358" s="2">
        <f>IFERROR(__xludf.DUMMYFUNCTION("""COMPUTED_VALUE"""),3112.5)</f>
        <v>3112.5</v>
      </c>
      <c r="C358" s="2">
        <f>IFERROR(__xludf.DUMMYFUNCTION("""COMPUTED_VALUE"""),3112.5)</f>
        <v>3112.5</v>
      </c>
      <c r="D358" s="2">
        <f>IFERROR(__xludf.DUMMYFUNCTION("""COMPUTED_VALUE"""),3012.5)</f>
        <v>3012.5</v>
      </c>
      <c r="E358" s="2">
        <f>IFERROR(__xludf.DUMMYFUNCTION("""COMPUTED_VALUE"""),3012.5)</f>
        <v>3012.5</v>
      </c>
      <c r="F358" s="2">
        <f>IFERROR(__xludf.DUMMYFUNCTION("""COMPUTED_VALUE"""),3.30371E7)</f>
        <v>33037100</v>
      </c>
      <c r="G358" s="2">
        <f t="shared" si="1"/>
        <v>100</v>
      </c>
    </row>
    <row r="359" ht="15.75" customHeight="1">
      <c r="A359" s="1">
        <f>IFERROR(__xludf.DUMMYFUNCTION("""COMPUTED_VALUE"""),44371.625)</f>
        <v>44371.625</v>
      </c>
      <c r="B359" s="2">
        <f>IFERROR(__xludf.DUMMYFUNCTION("""COMPUTED_VALUE"""),3050.0)</f>
        <v>3050</v>
      </c>
      <c r="C359" s="2">
        <f>IFERROR(__xludf.DUMMYFUNCTION("""COMPUTED_VALUE"""),3050.0)</f>
        <v>3050</v>
      </c>
      <c r="D359" s="2">
        <f>IFERROR(__xludf.DUMMYFUNCTION("""COMPUTED_VALUE"""),2987.5)</f>
        <v>2987.5</v>
      </c>
      <c r="E359" s="2">
        <f>IFERROR(__xludf.DUMMYFUNCTION("""COMPUTED_VALUE"""),2987.5)</f>
        <v>2987.5</v>
      </c>
      <c r="F359" s="2">
        <f>IFERROR(__xludf.DUMMYFUNCTION("""COMPUTED_VALUE"""),2.6124E7)</f>
        <v>26124000</v>
      </c>
      <c r="G359" s="2">
        <f t="shared" si="1"/>
        <v>62.5</v>
      </c>
    </row>
    <row r="360" ht="15.75" customHeight="1">
      <c r="A360" s="1">
        <f>IFERROR(__xludf.DUMMYFUNCTION("""COMPUTED_VALUE"""),44372.625)</f>
        <v>44372.625</v>
      </c>
      <c r="B360" s="2">
        <f>IFERROR(__xludf.DUMMYFUNCTION("""COMPUTED_VALUE"""),3000.0)</f>
        <v>3000</v>
      </c>
      <c r="C360" s="2">
        <f>IFERROR(__xludf.DUMMYFUNCTION("""COMPUTED_VALUE"""),3012.5)</f>
        <v>3012.5</v>
      </c>
      <c r="D360" s="2">
        <f>IFERROR(__xludf.DUMMYFUNCTION("""COMPUTED_VALUE"""),2950.0)</f>
        <v>2950</v>
      </c>
      <c r="E360" s="2">
        <f>IFERROR(__xludf.DUMMYFUNCTION("""COMPUTED_VALUE"""),2950.0)</f>
        <v>2950</v>
      </c>
      <c r="F360" s="2">
        <f>IFERROR(__xludf.DUMMYFUNCTION("""COMPUTED_VALUE"""),3.0526E7)</f>
        <v>30526000</v>
      </c>
      <c r="G360" s="2">
        <f t="shared" si="1"/>
        <v>62.5</v>
      </c>
    </row>
    <row r="361" ht="15.75" customHeight="1">
      <c r="A361" s="1">
        <f>IFERROR(__xludf.DUMMYFUNCTION("""COMPUTED_VALUE"""),44375.66666666667)</f>
        <v>44375.66667</v>
      </c>
      <c r="B361" s="2">
        <f>IFERROR(__xludf.DUMMYFUNCTION("""COMPUTED_VALUE"""),2912.5)</f>
        <v>2912.5</v>
      </c>
      <c r="C361" s="2">
        <f>IFERROR(__xludf.DUMMYFUNCTION("""COMPUTED_VALUE"""),2950.0)</f>
        <v>2950</v>
      </c>
      <c r="D361" s="2">
        <f>IFERROR(__xludf.DUMMYFUNCTION("""COMPUTED_VALUE"""),2837.5)</f>
        <v>2837.5</v>
      </c>
      <c r="E361" s="2">
        <f>IFERROR(__xludf.DUMMYFUNCTION("""COMPUTED_VALUE"""),2850.0)</f>
        <v>2850</v>
      </c>
      <c r="F361" s="2">
        <f>IFERROR(__xludf.DUMMYFUNCTION("""COMPUTED_VALUE"""),6.35545E7)</f>
        <v>63554500</v>
      </c>
      <c r="G361" s="2">
        <f t="shared" si="1"/>
        <v>112.5</v>
      </c>
    </row>
    <row r="362" ht="15.75" customHeight="1">
      <c r="A362" s="1">
        <f>IFERROR(__xludf.DUMMYFUNCTION("""COMPUTED_VALUE"""),44376.625)</f>
        <v>44376.625</v>
      </c>
      <c r="B362" s="2">
        <f>IFERROR(__xludf.DUMMYFUNCTION("""COMPUTED_VALUE"""),2925.0)</f>
        <v>2925</v>
      </c>
      <c r="C362" s="2">
        <f>IFERROR(__xludf.DUMMYFUNCTION("""COMPUTED_VALUE"""),2925.0)</f>
        <v>2925</v>
      </c>
      <c r="D362" s="2">
        <f>IFERROR(__xludf.DUMMYFUNCTION("""COMPUTED_VALUE"""),2850.0)</f>
        <v>2850</v>
      </c>
      <c r="E362" s="2">
        <f>IFERROR(__xludf.DUMMYFUNCTION("""COMPUTED_VALUE"""),2887.5)</f>
        <v>2887.5</v>
      </c>
      <c r="F362" s="2">
        <f>IFERROR(__xludf.DUMMYFUNCTION("""COMPUTED_VALUE"""),4.84854E7)</f>
        <v>48485400</v>
      </c>
      <c r="G362" s="2">
        <f t="shared" si="1"/>
        <v>75</v>
      </c>
    </row>
    <row r="363" ht="15.75" customHeight="1">
      <c r="A363" s="1">
        <f>IFERROR(__xludf.DUMMYFUNCTION("""COMPUTED_VALUE"""),44377.625)</f>
        <v>44377.625</v>
      </c>
      <c r="B363" s="2">
        <f>IFERROR(__xludf.DUMMYFUNCTION("""COMPUTED_VALUE"""),2925.0)</f>
        <v>2925</v>
      </c>
      <c r="C363" s="2">
        <f>IFERROR(__xludf.DUMMYFUNCTION("""COMPUTED_VALUE"""),2975.0)</f>
        <v>2975</v>
      </c>
      <c r="D363" s="2">
        <f>IFERROR(__xludf.DUMMYFUNCTION("""COMPUTED_VALUE"""),2900.0)</f>
        <v>2900</v>
      </c>
      <c r="E363" s="2">
        <f>IFERROR(__xludf.DUMMYFUNCTION("""COMPUTED_VALUE"""),2950.0)</f>
        <v>2950</v>
      </c>
      <c r="F363" s="2">
        <f>IFERROR(__xludf.DUMMYFUNCTION("""COMPUTED_VALUE"""),7.32801E7)</f>
        <v>73280100</v>
      </c>
      <c r="G363" s="2">
        <f t="shared" si="1"/>
        <v>87.5</v>
      </c>
    </row>
    <row r="364" ht="15.75" customHeight="1">
      <c r="A364" s="1">
        <f>IFERROR(__xludf.DUMMYFUNCTION("""COMPUTED_VALUE"""),44378.625)</f>
        <v>44378.625</v>
      </c>
      <c r="B364" s="2">
        <f>IFERROR(__xludf.DUMMYFUNCTION("""COMPUTED_VALUE"""),2975.0)</f>
        <v>2975</v>
      </c>
      <c r="C364" s="2">
        <f>IFERROR(__xludf.DUMMYFUNCTION("""COMPUTED_VALUE"""),3000.0)</f>
        <v>3000</v>
      </c>
      <c r="D364" s="2">
        <f>IFERROR(__xludf.DUMMYFUNCTION("""COMPUTED_VALUE"""),2950.0)</f>
        <v>2950</v>
      </c>
      <c r="E364" s="2">
        <f>IFERROR(__xludf.DUMMYFUNCTION("""COMPUTED_VALUE"""),2987.5)</f>
        <v>2987.5</v>
      </c>
      <c r="F364" s="2">
        <f>IFERROR(__xludf.DUMMYFUNCTION("""COMPUTED_VALUE"""),4.36927E7)</f>
        <v>43692700</v>
      </c>
      <c r="G364" s="2">
        <f t="shared" si="1"/>
        <v>50</v>
      </c>
    </row>
    <row r="365" ht="15.75" customHeight="1">
      <c r="A365" s="1">
        <f>IFERROR(__xludf.DUMMYFUNCTION("""COMPUTED_VALUE"""),44379.625)</f>
        <v>44379.625</v>
      </c>
      <c r="B365" s="2">
        <f>IFERROR(__xludf.DUMMYFUNCTION("""COMPUTED_VALUE"""),2987.5)</f>
        <v>2987.5</v>
      </c>
      <c r="C365" s="2">
        <f>IFERROR(__xludf.DUMMYFUNCTION("""COMPUTED_VALUE"""),3012.5)</f>
        <v>3012.5</v>
      </c>
      <c r="D365" s="2">
        <f>IFERROR(__xludf.DUMMYFUNCTION("""COMPUTED_VALUE"""),2962.5)</f>
        <v>2962.5</v>
      </c>
      <c r="E365" s="2">
        <f>IFERROR(__xludf.DUMMYFUNCTION("""COMPUTED_VALUE"""),2975.0)</f>
        <v>2975</v>
      </c>
      <c r="F365" s="2">
        <f>IFERROR(__xludf.DUMMYFUNCTION("""COMPUTED_VALUE"""),4.02112E7)</f>
        <v>40211200</v>
      </c>
      <c r="G365" s="2">
        <f t="shared" si="1"/>
        <v>50</v>
      </c>
    </row>
    <row r="366" ht="15.75" customHeight="1">
      <c r="A366" s="1">
        <f>IFERROR(__xludf.DUMMYFUNCTION("""COMPUTED_VALUE"""),44382.625)</f>
        <v>44382.625</v>
      </c>
      <c r="B366" s="2">
        <f>IFERROR(__xludf.DUMMYFUNCTION("""COMPUTED_VALUE"""),2987.5)</f>
        <v>2987.5</v>
      </c>
      <c r="C366" s="2">
        <f>IFERROR(__xludf.DUMMYFUNCTION("""COMPUTED_VALUE"""),2987.5)</f>
        <v>2987.5</v>
      </c>
      <c r="D366" s="2">
        <f>IFERROR(__xludf.DUMMYFUNCTION("""COMPUTED_VALUE"""),2900.0)</f>
        <v>2900</v>
      </c>
      <c r="E366" s="2">
        <f>IFERROR(__xludf.DUMMYFUNCTION("""COMPUTED_VALUE"""),2925.0)</f>
        <v>2925</v>
      </c>
      <c r="F366" s="2">
        <f>IFERROR(__xludf.DUMMYFUNCTION("""COMPUTED_VALUE"""),1.46212E7)</f>
        <v>14621200</v>
      </c>
      <c r="G366" s="2">
        <f t="shared" si="1"/>
        <v>87.5</v>
      </c>
    </row>
    <row r="367" ht="15.75" customHeight="1">
      <c r="A367" s="1">
        <f>IFERROR(__xludf.DUMMYFUNCTION("""COMPUTED_VALUE"""),44383.625)</f>
        <v>44383.625</v>
      </c>
      <c r="B367" s="2">
        <f>IFERROR(__xludf.DUMMYFUNCTION("""COMPUTED_VALUE"""),2950.0)</f>
        <v>2950</v>
      </c>
      <c r="C367" s="2">
        <f>IFERROR(__xludf.DUMMYFUNCTION("""COMPUTED_VALUE"""),2950.0)</f>
        <v>2950</v>
      </c>
      <c r="D367" s="2">
        <f>IFERROR(__xludf.DUMMYFUNCTION("""COMPUTED_VALUE"""),2875.0)</f>
        <v>2875</v>
      </c>
      <c r="E367" s="2">
        <f>IFERROR(__xludf.DUMMYFUNCTION("""COMPUTED_VALUE"""),2887.5)</f>
        <v>2887.5</v>
      </c>
      <c r="F367" s="2">
        <f>IFERROR(__xludf.DUMMYFUNCTION("""COMPUTED_VALUE"""),2.80331E7)</f>
        <v>28033100</v>
      </c>
      <c r="G367" s="2">
        <f t="shared" si="1"/>
        <v>75</v>
      </c>
    </row>
    <row r="368" ht="15.75" customHeight="1">
      <c r="A368" s="1">
        <f>IFERROR(__xludf.DUMMYFUNCTION("""COMPUTED_VALUE"""),44384.625)</f>
        <v>44384.625</v>
      </c>
      <c r="B368" s="2">
        <f>IFERROR(__xludf.DUMMYFUNCTION("""COMPUTED_VALUE"""),2887.5)</f>
        <v>2887.5</v>
      </c>
      <c r="C368" s="2">
        <f>IFERROR(__xludf.DUMMYFUNCTION("""COMPUTED_VALUE"""),2912.5)</f>
        <v>2912.5</v>
      </c>
      <c r="D368" s="2">
        <f>IFERROR(__xludf.DUMMYFUNCTION("""COMPUTED_VALUE"""),2837.5)</f>
        <v>2837.5</v>
      </c>
      <c r="E368" s="2">
        <f>IFERROR(__xludf.DUMMYFUNCTION("""COMPUTED_VALUE"""),2875.0)</f>
        <v>2875</v>
      </c>
      <c r="F368" s="2">
        <f>IFERROR(__xludf.DUMMYFUNCTION("""COMPUTED_VALUE"""),4.83455E7)</f>
        <v>48345500</v>
      </c>
      <c r="G368" s="2">
        <f t="shared" si="1"/>
        <v>75</v>
      </c>
    </row>
    <row r="369" ht="15.75" customHeight="1">
      <c r="A369" s="1">
        <f>IFERROR(__xludf.DUMMYFUNCTION("""COMPUTED_VALUE"""),44385.625)</f>
        <v>44385.625</v>
      </c>
      <c r="B369" s="2">
        <f>IFERROR(__xludf.DUMMYFUNCTION("""COMPUTED_VALUE"""),2925.0)</f>
        <v>2925</v>
      </c>
      <c r="C369" s="2">
        <f>IFERROR(__xludf.DUMMYFUNCTION("""COMPUTED_VALUE"""),2950.0)</f>
        <v>2950</v>
      </c>
      <c r="D369" s="2">
        <f>IFERROR(__xludf.DUMMYFUNCTION("""COMPUTED_VALUE"""),2875.0)</f>
        <v>2875</v>
      </c>
      <c r="E369" s="2">
        <f>IFERROR(__xludf.DUMMYFUNCTION("""COMPUTED_VALUE"""),2950.0)</f>
        <v>2950</v>
      </c>
      <c r="F369" s="2">
        <f>IFERROR(__xludf.DUMMYFUNCTION("""COMPUTED_VALUE"""),4.07295E7)</f>
        <v>40729500</v>
      </c>
      <c r="G369" s="2">
        <f t="shared" si="1"/>
        <v>75</v>
      </c>
    </row>
    <row r="370" ht="15.75" customHeight="1">
      <c r="A370" s="1">
        <f>IFERROR(__xludf.DUMMYFUNCTION("""COMPUTED_VALUE"""),44386.625)</f>
        <v>44386.625</v>
      </c>
      <c r="B370" s="2">
        <f>IFERROR(__xludf.DUMMYFUNCTION("""COMPUTED_VALUE"""),2950.0)</f>
        <v>2950</v>
      </c>
      <c r="C370" s="2">
        <f>IFERROR(__xludf.DUMMYFUNCTION("""COMPUTED_VALUE"""),2950.0)</f>
        <v>2950</v>
      </c>
      <c r="D370" s="2">
        <f>IFERROR(__xludf.DUMMYFUNCTION("""COMPUTED_VALUE"""),2887.5)</f>
        <v>2887.5</v>
      </c>
      <c r="E370" s="2">
        <f>IFERROR(__xludf.DUMMYFUNCTION("""COMPUTED_VALUE"""),2887.5)</f>
        <v>2887.5</v>
      </c>
      <c r="F370" s="2">
        <f>IFERROR(__xludf.DUMMYFUNCTION("""COMPUTED_VALUE"""),2.54112E7)</f>
        <v>25411200</v>
      </c>
      <c r="G370" s="2">
        <f t="shared" si="1"/>
        <v>62.5</v>
      </c>
    </row>
    <row r="371" ht="15.75" customHeight="1">
      <c r="A371" s="1">
        <f>IFERROR(__xludf.DUMMYFUNCTION("""COMPUTED_VALUE"""),44389.625)</f>
        <v>44389.625</v>
      </c>
      <c r="B371" s="2">
        <f>IFERROR(__xludf.DUMMYFUNCTION("""COMPUTED_VALUE"""),2937.5)</f>
        <v>2937.5</v>
      </c>
      <c r="C371" s="2">
        <f>IFERROR(__xludf.DUMMYFUNCTION("""COMPUTED_VALUE"""),2937.5)</f>
        <v>2937.5</v>
      </c>
      <c r="D371" s="2">
        <f>IFERROR(__xludf.DUMMYFUNCTION("""COMPUTED_VALUE"""),2887.5)</f>
        <v>2887.5</v>
      </c>
      <c r="E371" s="2">
        <f>IFERROR(__xludf.DUMMYFUNCTION("""COMPUTED_VALUE"""),2900.0)</f>
        <v>2900</v>
      </c>
      <c r="F371" s="2">
        <f>IFERROR(__xludf.DUMMYFUNCTION("""COMPUTED_VALUE"""),1.98463E7)</f>
        <v>19846300</v>
      </c>
      <c r="G371" s="2">
        <f t="shared" si="1"/>
        <v>50</v>
      </c>
    </row>
    <row r="372" ht="15.75" customHeight="1">
      <c r="A372" s="1">
        <f>IFERROR(__xludf.DUMMYFUNCTION("""COMPUTED_VALUE"""),44390.625)</f>
        <v>44390.625</v>
      </c>
      <c r="B372" s="2">
        <f>IFERROR(__xludf.DUMMYFUNCTION("""COMPUTED_VALUE"""),2925.0)</f>
        <v>2925</v>
      </c>
      <c r="C372" s="2">
        <f>IFERROR(__xludf.DUMMYFUNCTION("""COMPUTED_VALUE"""),2950.0)</f>
        <v>2950</v>
      </c>
      <c r="D372" s="2">
        <f>IFERROR(__xludf.DUMMYFUNCTION("""COMPUTED_VALUE"""),2887.5)</f>
        <v>2887.5</v>
      </c>
      <c r="E372" s="2">
        <f>IFERROR(__xludf.DUMMYFUNCTION("""COMPUTED_VALUE"""),2887.5)</f>
        <v>2887.5</v>
      </c>
      <c r="F372" s="2">
        <f>IFERROR(__xludf.DUMMYFUNCTION("""COMPUTED_VALUE"""),3.25585E7)</f>
        <v>32558500</v>
      </c>
      <c r="G372" s="2">
        <f t="shared" si="1"/>
        <v>62.5</v>
      </c>
    </row>
    <row r="373" ht="15.75" customHeight="1">
      <c r="A373" s="1">
        <f>IFERROR(__xludf.DUMMYFUNCTION("""COMPUTED_VALUE"""),44391.625)</f>
        <v>44391.625</v>
      </c>
      <c r="B373" s="2">
        <f>IFERROR(__xludf.DUMMYFUNCTION("""COMPUTED_VALUE"""),2900.0)</f>
        <v>2900</v>
      </c>
      <c r="C373" s="2">
        <f>IFERROR(__xludf.DUMMYFUNCTION("""COMPUTED_VALUE"""),2912.5)</f>
        <v>2912.5</v>
      </c>
      <c r="D373" s="2">
        <f>IFERROR(__xludf.DUMMYFUNCTION("""COMPUTED_VALUE"""),2825.0)</f>
        <v>2825</v>
      </c>
      <c r="E373" s="2">
        <f>IFERROR(__xludf.DUMMYFUNCTION("""COMPUTED_VALUE"""),2850.0)</f>
        <v>2850</v>
      </c>
      <c r="F373" s="2">
        <f>IFERROR(__xludf.DUMMYFUNCTION("""COMPUTED_VALUE"""),2.96126E7)</f>
        <v>29612600</v>
      </c>
      <c r="G373" s="2">
        <f t="shared" si="1"/>
        <v>87.5</v>
      </c>
    </row>
    <row r="374" ht="15.75" customHeight="1">
      <c r="A374" s="1">
        <f>IFERROR(__xludf.DUMMYFUNCTION("""COMPUTED_VALUE"""),44392.625)</f>
        <v>44392.625</v>
      </c>
      <c r="B374" s="2">
        <f>IFERROR(__xludf.DUMMYFUNCTION("""COMPUTED_VALUE"""),2862.5)</f>
        <v>2862.5</v>
      </c>
      <c r="C374" s="2">
        <f>IFERROR(__xludf.DUMMYFUNCTION("""COMPUTED_VALUE"""),2950.0)</f>
        <v>2950</v>
      </c>
      <c r="D374" s="2">
        <f>IFERROR(__xludf.DUMMYFUNCTION("""COMPUTED_VALUE"""),2837.5)</f>
        <v>2837.5</v>
      </c>
      <c r="E374" s="2">
        <f>IFERROR(__xludf.DUMMYFUNCTION("""COMPUTED_VALUE"""),2937.5)</f>
        <v>2937.5</v>
      </c>
      <c r="F374" s="2">
        <f>IFERROR(__xludf.DUMMYFUNCTION("""COMPUTED_VALUE"""),4.72192E7)</f>
        <v>47219200</v>
      </c>
      <c r="G374" s="2">
        <f t="shared" si="1"/>
        <v>112.5</v>
      </c>
    </row>
    <row r="375" ht="15.75" customHeight="1">
      <c r="A375" s="1">
        <f>IFERROR(__xludf.DUMMYFUNCTION("""COMPUTED_VALUE"""),44393.625)</f>
        <v>44393.625</v>
      </c>
      <c r="B375" s="2">
        <f>IFERROR(__xludf.DUMMYFUNCTION("""COMPUTED_VALUE"""),2937.5)</f>
        <v>2937.5</v>
      </c>
      <c r="C375" s="2">
        <f>IFERROR(__xludf.DUMMYFUNCTION("""COMPUTED_VALUE"""),2950.0)</f>
        <v>2950</v>
      </c>
      <c r="D375" s="2">
        <f>IFERROR(__xludf.DUMMYFUNCTION("""COMPUTED_VALUE"""),2912.5)</f>
        <v>2912.5</v>
      </c>
      <c r="E375" s="2">
        <f>IFERROR(__xludf.DUMMYFUNCTION("""COMPUTED_VALUE"""),2937.5)</f>
        <v>2937.5</v>
      </c>
      <c r="F375" s="2">
        <f>IFERROR(__xludf.DUMMYFUNCTION("""COMPUTED_VALUE"""),1.97838E7)</f>
        <v>19783800</v>
      </c>
      <c r="G375" s="2">
        <f t="shared" si="1"/>
        <v>37.5</v>
      </c>
    </row>
    <row r="376" ht="15.75" customHeight="1">
      <c r="A376" s="1">
        <f>IFERROR(__xludf.DUMMYFUNCTION("""COMPUTED_VALUE"""),44396.625)</f>
        <v>44396.625</v>
      </c>
      <c r="B376" s="2">
        <f>IFERROR(__xludf.DUMMYFUNCTION("""COMPUTED_VALUE"""),2900.0)</f>
        <v>2900</v>
      </c>
      <c r="C376" s="2">
        <f>IFERROR(__xludf.DUMMYFUNCTION("""COMPUTED_VALUE"""),2925.0)</f>
        <v>2925</v>
      </c>
      <c r="D376" s="2">
        <f>IFERROR(__xludf.DUMMYFUNCTION("""COMPUTED_VALUE"""),2875.0)</f>
        <v>2875</v>
      </c>
      <c r="E376" s="2">
        <f>IFERROR(__xludf.DUMMYFUNCTION("""COMPUTED_VALUE"""),2875.0)</f>
        <v>2875</v>
      </c>
      <c r="F376" s="2">
        <f>IFERROR(__xludf.DUMMYFUNCTION("""COMPUTED_VALUE"""),1.57301E7)</f>
        <v>15730100</v>
      </c>
      <c r="G376" s="2">
        <f t="shared" si="1"/>
        <v>62.5</v>
      </c>
    </row>
    <row r="377" ht="15.75" customHeight="1">
      <c r="A377" s="1">
        <f>IFERROR(__xludf.DUMMYFUNCTION("""COMPUTED_VALUE"""),44398.625)</f>
        <v>44398.625</v>
      </c>
      <c r="B377" s="2">
        <f>IFERROR(__xludf.DUMMYFUNCTION("""COMPUTED_VALUE"""),2912.5)</f>
        <v>2912.5</v>
      </c>
      <c r="C377" s="2">
        <f>IFERROR(__xludf.DUMMYFUNCTION("""COMPUTED_VALUE"""),2975.0)</f>
        <v>2975</v>
      </c>
      <c r="D377" s="2">
        <f>IFERROR(__xludf.DUMMYFUNCTION("""COMPUTED_VALUE"""),2900.0)</f>
        <v>2900</v>
      </c>
      <c r="E377" s="2">
        <f>IFERROR(__xludf.DUMMYFUNCTION("""COMPUTED_VALUE"""),2962.5)</f>
        <v>2962.5</v>
      </c>
      <c r="F377" s="2">
        <f>IFERROR(__xludf.DUMMYFUNCTION("""COMPUTED_VALUE"""),4.35501E7)</f>
        <v>43550100</v>
      </c>
      <c r="G377" s="2">
        <f t="shared" si="1"/>
        <v>100</v>
      </c>
    </row>
    <row r="378" ht="15.75" customHeight="1">
      <c r="A378" s="1">
        <f>IFERROR(__xludf.DUMMYFUNCTION("""COMPUTED_VALUE"""),44399.625)</f>
        <v>44399.625</v>
      </c>
      <c r="B378" s="2">
        <f>IFERROR(__xludf.DUMMYFUNCTION("""COMPUTED_VALUE"""),2987.5)</f>
        <v>2987.5</v>
      </c>
      <c r="C378" s="2">
        <f>IFERROR(__xludf.DUMMYFUNCTION("""COMPUTED_VALUE"""),3050.0)</f>
        <v>3050</v>
      </c>
      <c r="D378" s="2">
        <f>IFERROR(__xludf.DUMMYFUNCTION("""COMPUTED_VALUE"""),2975.0)</f>
        <v>2975</v>
      </c>
      <c r="E378" s="2">
        <f>IFERROR(__xludf.DUMMYFUNCTION("""COMPUTED_VALUE"""),3025.0)</f>
        <v>3025</v>
      </c>
      <c r="F378" s="2">
        <f>IFERROR(__xludf.DUMMYFUNCTION("""COMPUTED_VALUE"""),2.75857E7)</f>
        <v>27585700</v>
      </c>
      <c r="G378" s="2">
        <f t="shared" si="1"/>
        <v>87.5</v>
      </c>
    </row>
    <row r="379" ht="15.75" customHeight="1">
      <c r="A379" s="1">
        <f>IFERROR(__xludf.DUMMYFUNCTION("""COMPUTED_VALUE"""),44400.625)</f>
        <v>44400.625</v>
      </c>
      <c r="B379" s="2">
        <f>IFERROR(__xludf.DUMMYFUNCTION("""COMPUTED_VALUE"""),3000.0)</f>
        <v>3000</v>
      </c>
      <c r="C379" s="2">
        <f>IFERROR(__xludf.DUMMYFUNCTION("""COMPUTED_VALUE"""),3025.0)</f>
        <v>3025</v>
      </c>
      <c r="D379" s="2">
        <f>IFERROR(__xludf.DUMMYFUNCTION("""COMPUTED_VALUE"""),2975.0)</f>
        <v>2975</v>
      </c>
      <c r="E379" s="2">
        <f>IFERROR(__xludf.DUMMYFUNCTION("""COMPUTED_VALUE"""),2987.5)</f>
        <v>2987.5</v>
      </c>
      <c r="F379" s="2">
        <f>IFERROR(__xludf.DUMMYFUNCTION("""COMPUTED_VALUE"""),1.87288E7)</f>
        <v>18728800</v>
      </c>
      <c r="G379" s="2">
        <f t="shared" si="1"/>
        <v>50</v>
      </c>
    </row>
    <row r="380" ht="15.75" customHeight="1">
      <c r="A380" s="1">
        <f>IFERROR(__xludf.DUMMYFUNCTION("""COMPUTED_VALUE"""),44403.625)</f>
        <v>44403.625</v>
      </c>
      <c r="B380" s="2">
        <f>IFERROR(__xludf.DUMMYFUNCTION("""COMPUTED_VALUE"""),2987.5)</f>
        <v>2987.5</v>
      </c>
      <c r="C380" s="2">
        <f>IFERROR(__xludf.DUMMYFUNCTION("""COMPUTED_VALUE"""),3000.0)</f>
        <v>3000</v>
      </c>
      <c r="D380" s="2">
        <f>IFERROR(__xludf.DUMMYFUNCTION("""COMPUTED_VALUE"""),2900.0)</f>
        <v>2900</v>
      </c>
      <c r="E380" s="2">
        <f>IFERROR(__xludf.DUMMYFUNCTION("""COMPUTED_VALUE"""),2900.0)</f>
        <v>2900</v>
      </c>
      <c r="F380" s="2">
        <f>IFERROR(__xludf.DUMMYFUNCTION("""COMPUTED_VALUE"""),3.85801E7)</f>
        <v>38580100</v>
      </c>
      <c r="G380" s="2">
        <f t="shared" si="1"/>
        <v>100</v>
      </c>
    </row>
    <row r="381" ht="15.75" customHeight="1">
      <c r="A381" s="1">
        <f>IFERROR(__xludf.DUMMYFUNCTION("""COMPUTED_VALUE"""),44404.625)</f>
        <v>44404.625</v>
      </c>
      <c r="B381" s="2">
        <f>IFERROR(__xludf.DUMMYFUNCTION("""COMPUTED_VALUE"""),2925.0)</f>
        <v>2925</v>
      </c>
      <c r="C381" s="2">
        <f>IFERROR(__xludf.DUMMYFUNCTION("""COMPUTED_VALUE"""),2950.0)</f>
        <v>2950</v>
      </c>
      <c r="D381" s="2">
        <f>IFERROR(__xludf.DUMMYFUNCTION("""COMPUTED_VALUE"""),2875.0)</f>
        <v>2875</v>
      </c>
      <c r="E381" s="2">
        <f>IFERROR(__xludf.DUMMYFUNCTION("""COMPUTED_VALUE"""),2912.5)</f>
        <v>2912.5</v>
      </c>
      <c r="F381" s="2">
        <f>IFERROR(__xludf.DUMMYFUNCTION("""COMPUTED_VALUE"""),3.96397E7)</f>
        <v>39639700</v>
      </c>
      <c r="G381" s="2">
        <f t="shared" si="1"/>
        <v>75</v>
      </c>
    </row>
    <row r="382" ht="15.75" customHeight="1">
      <c r="A382" s="1">
        <f>IFERROR(__xludf.DUMMYFUNCTION("""COMPUTED_VALUE"""),44405.625)</f>
        <v>44405.625</v>
      </c>
      <c r="B382" s="2">
        <f>IFERROR(__xludf.DUMMYFUNCTION("""COMPUTED_VALUE"""),2875.0)</f>
        <v>2875</v>
      </c>
      <c r="C382" s="2">
        <f>IFERROR(__xludf.DUMMYFUNCTION("""COMPUTED_VALUE"""),2950.0)</f>
        <v>2950</v>
      </c>
      <c r="D382" s="2">
        <f>IFERROR(__xludf.DUMMYFUNCTION("""COMPUTED_VALUE"""),2875.0)</f>
        <v>2875</v>
      </c>
      <c r="E382" s="2">
        <f>IFERROR(__xludf.DUMMYFUNCTION("""COMPUTED_VALUE"""),2950.0)</f>
        <v>2950</v>
      </c>
      <c r="F382" s="2">
        <f>IFERROR(__xludf.DUMMYFUNCTION("""COMPUTED_VALUE"""),2.0633E7)</f>
        <v>20633000</v>
      </c>
      <c r="G382" s="2">
        <f t="shared" si="1"/>
        <v>75</v>
      </c>
    </row>
    <row r="383" ht="15.75" customHeight="1">
      <c r="A383" s="1">
        <f>IFERROR(__xludf.DUMMYFUNCTION("""COMPUTED_VALUE"""),44406.625)</f>
        <v>44406.625</v>
      </c>
      <c r="B383" s="2">
        <f>IFERROR(__xludf.DUMMYFUNCTION("""COMPUTED_VALUE"""),2950.0)</f>
        <v>2950</v>
      </c>
      <c r="C383" s="2">
        <f>IFERROR(__xludf.DUMMYFUNCTION("""COMPUTED_VALUE"""),2950.0)</f>
        <v>2950</v>
      </c>
      <c r="D383" s="2">
        <f>IFERROR(__xludf.DUMMYFUNCTION("""COMPUTED_VALUE"""),2875.0)</f>
        <v>2875</v>
      </c>
      <c r="E383" s="2">
        <f>IFERROR(__xludf.DUMMYFUNCTION("""COMPUTED_VALUE"""),2875.0)</f>
        <v>2875</v>
      </c>
      <c r="F383" s="2">
        <f>IFERROR(__xludf.DUMMYFUNCTION("""COMPUTED_VALUE"""),3.40842E7)</f>
        <v>34084200</v>
      </c>
      <c r="G383" s="2">
        <f t="shared" si="1"/>
        <v>75</v>
      </c>
    </row>
    <row r="384" ht="15.75" customHeight="1">
      <c r="A384" s="1">
        <f>IFERROR(__xludf.DUMMYFUNCTION("""COMPUTED_VALUE"""),44407.625)</f>
        <v>44407.625</v>
      </c>
      <c r="B384" s="2">
        <f>IFERROR(__xludf.DUMMYFUNCTION("""COMPUTED_VALUE"""),2912.5)</f>
        <v>2912.5</v>
      </c>
      <c r="C384" s="2">
        <f>IFERROR(__xludf.DUMMYFUNCTION("""COMPUTED_VALUE"""),2912.5)</f>
        <v>2912.5</v>
      </c>
      <c r="D384" s="2">
        <f>IFERROR(__xludf.DUMMYFUNCTION("""COMPUTED_VALUE"""),2850.0)</f>
        <v>2850</v>
      </c>
      <c r="E384" s="2">
        <f>IFERROR(__xludf.DUMMYFUNCTION("""COMPUTED_VALUE"""),2850.0)</f>
        <v>2850</v>
      </c>
      <c r="F384" s="2">
        <f>IFERROR(__xludf.DUMMYFUNCTION("""COMPUTED_VALUE"""),4.60662E7)</f>
        <v>46066200</v>
      </c>
      <c r="G384" s="2">
        <f t="shared" si="1"/>
        <v>62.5</v>
      </c>
    </row>
    <row r="385" ht="15.75" customHeight="1">
      <c r="A385" s="1">
        <f>IFERROR(__xludf.DUMMYFUNCTION("""COMPUTED_VALUE"""),44410.625)</f>
        <v>44410.625</v>
      </c>
      <c r="B385" s="2">
        <f>IFERROR(__xludf.DUMMYFUNCTION("""COMPUTED_VALUE"""),2887.5)</f>
        <v>2887.5</v>
      </c>
      <c r="C385" s="2">
        <f>IFERROR(__xludf.DUMMYFUNCTION("""COMPUTED_VALUE"""),2887.5)</f>
        <v>2887.5</v>
      </c>
      <c r="D385" s="2">
        <f>IFERROR(__xludf.DUMMYFUNCTION("""COMPUTED_VALUE"""),2812.5)</f>
        <v>2812.5</v>
      </c>
      <c r="E385" s="2">
        <f>IFERROR(__xludf.DUMMYFUNCTION("""COMPUTED_VALUE"""),2837.5)</f>
        <v>2837.5</v>
      </c>
      <c r="F385" s="2">
        <f>IFERROR(__xludf.DUMMYFUNCTION("""COMPUTED_VALUE"""),3.42855E7)</f>
        <v>34285500</v>
      </c>
      <c r="G385" s="2">
        <f t="shared" si="1"/>
        <v>75</v>
      </c>
    </row>
    <row r="386" ht="15.75" customHeight="1">
      <c r="A386" s="1">
        <f>IFERROR(__xludf.DUMMYFUNCTION("""COMPUTED_VALUE"""),44411.625)</f>
        <v>44411.625</v>
      </c>
      <c r="B386" s="2">
        <f>IFERROR(__xludf.DUMMYFUNCTION("""COMPUTED_VALUE"""),2850.0)</f>
        <v>2850</v>
      </c>
      <c r="C386" s="2">
        <f>IFERROR(__xludf.DUMMYFUNCTION("""COMPUTED_VALUE"""),2900.0)</f>
        <v>2900</v>
      </c>
      <c r="D386" s="2">
        <f>IFERROR(__xludf.DUMMYFUNCTION("""COMPUTED_VALUE"""),2825.0)</f>
        <v>2825</v>
      </c>
      <c r="E386" s="2">
        <f>IFERROR(__xludf.DUMMYFUNCTION("""COMPUTED_VALUE"""),2887.5)</f>
        <v>2887.5</v>
      </c>
      <c r="F386" s="2">
        <f>IFERROR(__xludf.DUMMYFUNCTION("""COMPUTED_VALUE"""),3.54787E7)</f>
        <v>35478700</v>
      </c>
      <c r="G386" s="2">
        <f t="shared" si="1"/>
        <v>75</v>
      </c>
    </row>
    <row r="387" ht="15.75" customHeight="1">
      <c r="A387" s="1">
        <f>IFERROR(__xludf.DUMMYFUNCTION("""COMPUTED_VALUE"""),44412.625)</f>
        <v>44412.625</v>
      </c>
      <c r="B387" s="2">
        <f>IFERROR(__xludf.DUMMYFUNCTION("""COMPUTED_VALUE"""),2912.5)</f>
        <v>2912.5</v>
      </c>
      <c r="C387" s="2">
        <f>IFERROR(__xludf.DUMMYFUNCTION("""COMPUTED_VALUE"""),2950.0)</f>
        <v>2950</v>
      </c>
      <c r="D387" s="2">
        <f>IFERROR(__xludf.DUMMYFUNCTION("""COMPUTED_VALUE"""),2887.5)</f>
        <v>2887.5</v>
      </c>
      <c r="E387" s="2">
        <f>IFERROR(__xludf.DUMMYFUNCTION("""COMPUTED_VALUE"""),2912.5)</f>
        <v>2912.5</v>
      </c>
      <c r="F387" s="2">
        <f>IFERROR(__xludf.DUMMYFUNCTION("""COMPUTED_VALUE"""),3.37052E7)</f>
        <v>33705200</v>
      </c>
      <c r="G387" s="2">
        <f t="shared" si="1"/>
        <v>62.5</v>
      </c>
    </row>
    <row r="388" ht="15.75" customHeight="1">
      <c r="A388" s="1">
        <f>IFERROR(__xludf.DUMMYFUNCTION("""COMPUTED_VALUE"""),44413.625)</f>
        <v>44413.625</v>
      </c>
      <c r="B388" s="2">
        <f>IFERROR(__xludf.DUMMYFUNCTION("""COMPUTED_VALUE"""),2937.5)</f>
        <v>2937.5</v>
      </c>
      <c r="C388" s="2">
        <f>IFERROR(__xludf.DUMMYFUNCTION("""COMPUTED_VALUE"""),3037.5)</f>
        <v>3037.5</v>
      </c>
      <c r="D388" s="2">
        <f>IFERROR(__xludf.DUMMYFUNCTION("""COMPUTED_VALUE"""),2925.0)</f>
        <v>2925</v>
      </c>
      <c r="E388" s="2">
        <f>IFERROR(__xludf.DUMMYFUNCTION("""COMPUTED_VALUE"""),3025.0)</f>
        <v>3025</v>
      </c>
      <c r="F388" s="2">
        <f>IFERROR(__xludf.DUMMYFUNCTION("""COMPUTED_VALUE"""),7.0127E7)</f>
        <v>70127000</v>
      </c>
      <c r="G388" s="2">
        <f t="shared" si="1"/>
        <v>125</v>
      </c>
    </row>
    <row r="389" ht="15.75" customHeight="1">
      <c r="A389" s="1">
        <f>IFERROR(__xludf.DUMMYFUNCTION("""COMPUTED_VALUE"""),44414.625)</f>
        <v>44414.625</v>
      </c>
      <c r="B389" s="2">
        <f>IFERROR(__xludf.DUMMYFUNCTION("""COMPUTED_VALUE"""),3037.5)</f>
        <v>3037.5</v>
      </c>
      <c r="C389" s="2">
        <f>IFERROR(__xludf.DUMMYFUNCTION("""COMPUTED_VALUE"""),3050.0)</f>
        <v>3050</v>
      </c>
      <c r="D389" s="2">
        <f>IFERROR(__xludf.DUMMYFUNCTION("""COMPUTED_VALUE"""),2975.0)</f>
        <v>2975</v>
      </c>
      <c r="E389" s="2">
        <f>IFERROR(__xludf.DUMMYFUNCTION("""COMPUTED_VALUE"""),2987.5)</f>
        <v>2987.5</v>
      </c>
      <c r="F389" s="2">
        <f>IFERROR(__xludf.DUMMYFUNCTION("""COMPUTED_VALUE"""),3.1841E7)</f>
        <v>31841000</v>
      </c>
      <c r="G389" s="2">
        <f t="shared" si="1"/>
        <v>75</v>
      </c>
    </row>
    <row r="390" ht="15.75" customHeight="1">
      <c r="A390" s="1">
        <f>IFERROR(__xludf.DUMMYFUNCTION("""COMPUTED_VALUE"""),44417.625)</f>
        <v>44417.625</v>
      </c>
      <c r="B390" s="2">
        <f>IFERROR(__xludf.DUMMYFUNCTION("""COMPUTED_VALUE"""),3000.0)</f>
        <v>3000</v>
      </c>
      <c r="C390" s="2">
        <f>IFERROR(__xludf.DUMMYFUNCTION("""COMPUTED_VALUE"""),3012.5)</f>
        <v>3012.5</v>
      </c>
      <c r="D390" s="2">
        <f>IFERROR(__xludf.DUMMYFUNCTION("""COMPUTED_VALUE"""),2900.0)</f>
        <v>2900</v>
      </c>
      <c r="E390" s="2">
        <f>IFERROR(__xludf.DUMMYFUNCTION("""COMPUTED_VALUE"""),2900.0)</f>
        <v>2900</v>
      </c>
      <c r="F390" s="2">
        <f>IFERROR(__xludf.DUMMYFUNCTION("""COMPUTED_VALUE"""),2.51587E7)</f>
        <v>25158700</v>
      </c>
      <c r="G390" s="2">
        <f t="shared" si="1"/>
        <v>112.5</v>
      </c>
    </row>
    <row r="391" ht="15.75" customHeight="1">
      <c r="A391" s="1">
        <f>IFERROR(__xludf.DUMMYFUNCTION("""COMPUTED_VALUE"""),44418.625)</f>
        <v>44418.625</v>
      </c>
      <c r="B391" s="2">
        <f>IFERROR(__xludf.DUMMYFUNCTION("""COMPUTED_VALUE"""),2900.0)</f>
        <v>2900</v>
      </c>
      <c r="C391" s="2">
        <f>IFERROR(__xludf.DUMMYFUNCTION("""COMPUTED_VALUE"""),2937.5)</f>
        <v>2937.5</v>
      </c>
      <c r="D391" s="2">
        <f>IFERROR(__xludf.DUMMYFUNCTION("""COMPUTED_VALUE"""),2887.5)</f>
        <v>2887.5</v>
      </c>
      <c r="E391" s="2">
        <f>IFERROR(__xludf.DUMMYFUNCTION("""COMPUTED_VALUE"""),2900.0)</f>
        <v>2900</v>
      </c>
      <c r="F391" s="2">
        <f>IFERROR(__xludf.DUMMYFUNCTION("""COMPUTED_VALUE"""),2.74467E7)</f>
        <v>27446700</v>
      </c>
      <c r="G391" s="2">
        <f t="shared" si="1"/>
        <v>50</v>
      </c>
    </row>
    <row r="392" ht="15.75" customHeight="1">
      <c r="A392" s="1">
        <f>IFERROR(__xludf.DUMMYFUNCTION("""COMPUTED_VALUE"""),44420.625)</f>
        <v>44420.625</v>
      </c>
      <c r="B392" s="2">
        <f>IFERROR(__xludf.DUMMYFUNCTION("""COMPUTED_VALUE"""),2937.5)</f>
        <v>2937.5</v>
      </c>
      <c r="C392" s="2">
        <f>IFERROR(__xludf.DUMMYFUNCTION("""COMPUTED_VALUE"""),2975.0)</f>
        <v>2975</v>
      </c>
      <c r="D392" s="2">
        <f>IFERROR(__xludf.DUMMYFUNCTION("""COMPUTED_VALUE"""),2912.5)</f>
        <v>2912.5</v>
      </c>
      <c r="E392" s="2">
        <f>IFERROR(__xludf.DUMMYFUNCTION("""COMPUTED_VALUE"""),2962.5)</f>
        <v>2962.5</v>
      </c>
      <c r="F392" s="2">
        <f>IFERROR(__xludf.DUMMYFUNCTION("""COMPUTED_VALUE"""),2.56644E7)</f>
        <v>25664400</v>
      </c>
      <c r="G392" s="2">
        <f t="shared" si="1"/>
        <v>75</v>
      </c>
    </row>
    <row r="393" ht="15.75" customHeight="1">
      <c r="A393" s="1">
        <f>IFERROR(__xludf.DUMMYFUNCTION("""COMPUTED_VALUE"""),44421.625)</f>
        <v>44421.625</v>
      </c>
      <c r="B393" s="2">
        <f>IFERROR(__xludf.DUMMYFUNCTION("""COMPUTED_VALUE"""),2987.5)</f>
        <v>2987.5</v>
      </c>
      <c r="C393" s="2">
        <f>IFERROR(__xludf.DUMMYFUNCTION("""COMPUTED_VALUE"""),3025.0)</f>
        <v>3025</v>
      </c>
      <c r="D393" s="2">
        <f>IFERROR(__xludf.DUMMYFUNCTION("""COMPUTED_VALUE"""),2950.0)</f>
        <v>2950</v>
      </c>
      <c r="E393" s="2">
        <f>IFERROR(__xludf.DUMMYFUNCTION("""COMPUTED_VALUE"""),3000.0)</f>
        <v>3000</v>
      </c>
      <c r="F393" s="2">
        <f>IFERROR(__xludf.DUMMYFUNCTION("""COMPUTED_VALUE"""),2.08858E7)</f>
        <v>20885800</v>
      </c>
      <c r="G393" s="2">
        <f t="shared" si="1"/>
        <v>75</v>
      </c>
    </row>
    <row r="394" ht="15.75" customHeight="1">
      <c r="A394" s="1">
        <f>IFERROR(__xludf.DUMMYFUNCTION("""COMPUTED_VALUE"""),44424.625)</f>
        <v>44424.625</v>
      </c>
      <c r="B394" s="2">
        <f>IFERROR(__xludf.DUMMYFUNCTION("""COMPUTED_VALUE"""),3000.0)</f>
        <v>3000</v>
      </c>
      <c r="C394" s="2">
        <f>IFERROR(__xludf.DUMMYFUNCTION("""COMPUTED_VALUE"""),3025.0)</f>
        <v>3025</v>
      </c>
      <c r="D394" s="2">
        <f>IFERROR(__xludf.DUMMYFUNCTION("""COMPUTED_VALUE"""),2925.0)</f>
        <v>2925</v>
      </c>
      <c r="E394" s="2">
        <f>IFERROR(__xludf.DUMMYFUNCTION("""COMPUTED_VALUE"""),2987.5)</f>
        <v>2987.5</v>
      </c>
      <c r="F394" s="2">
        <f>IFERROR(__xludf.DUMMYFUNCTION("""COMPUTED_VALUE"""),2.6537E7)</f>
        <v>26537000</v>
      </c>
      <c r="G394" s="2">
        <f t="shared" si="1"/>
        <v>100</v>
      </c>
    </row>
    <row r="395" ht="15.75" customHeight="1">
      <c r="A395" s="1">
        <f>IFERROR(__xludf.DUMMYFUNCTION("""COMPUTED_VALUE"""),44426.625)</f>
        <v>44426.625</v>
      </c>
      <c r="B395" s="2">
        <f>IFERROR(__xludf.DUMMYFUNCTION("""COMPUTED_VALUE"""),3000.0)</f>
        <v>3000</v>
      </c>
      <c r="C395" s="2">
        <f>IFERROR(__xludf.DUMMYFUNCTION("""COMPUTED_VALUE"""),3087.5)</f>
        <v>3087.5</v>
      </c>
      <c r="D395" s="2">
        <f>IFERROR(__xludf.DUMMYFUNCTION("""COMPUTED_VALUE"""),2962.5)</f>
        <v>2962.5</v>
      </c>
      <c r="E395" s="2">
        <f>IFERROR(__xludf.DUMMYFUNCTION("""COMPUTED_VALUE"""),3025.0)</f>
        <v>3025</v>
      </c>
      <c r="F395" s="2">
        <f>IFERROR(__xludf.DUMMYFUNCTION("""COMPUTED_VALUE"""),7.06147E7)</f>
        <v>70614700</v>
      </c>
      <c r="G395" s="2">
        <f t="shared" si="1"/>
        <v>125</v>
      </c>
    </row>
    <row r="396" ht="15.75" customHeight="1">
      <c r="A396" s="1">
        <f>IFERROR(__xludf.DUMMYFUNCTION("""COMPUTED_VALUE"""),44427.625)</f>
        <v>44427.625</v>
      </c>
      <c r="B396" s="2">
        <f>IFERROR(__xludf.DUMMYFUNCTION("""COMPUTED_VALUE"""),3050.0)</f>
        <v>3050</v>
      </c>
      <c r="C396" s="2">
        <f>IFERROR(__xludf.DUMMYFUNCTION("""COMPUTED_VALUE"""),3050.0)</f>
        <v>3050</v>
      </c>
      <c r="D396" s="2">
        <f>IFERROR(__xludf.DUMMYFUNCTION("""COMPUTED_VALUE"""),2900.0)</f>
        <v>2900</v>
      </c>
      <c r="E396" s="2">
        <f>IFERROR(__xludf.DUMMYFUNCTION("""COMPUTED_VALUE"""),2925.0)</f>
        <v>2925</v>
      </c>
      <c r="F396" s="2">
        <f>IFERROR(__xludf.DUMMYFUNCTION("""COMPUTED_VALUE"""),5.09884E7)</f>
        <v>50988400</v>
      </c>
      <c r="G396" s="2">
        <f t="shared" si="1"/>
        <v>150</v>
      </c>
    </row>
    <row r="397" ht="15.75" customHeight="1">
      <c r="A397" s="1">
        <f>IFERROR(__xludf.DUMMYFUNCTION("""COMPUTED_VALUE"""),44428.625)</f>
        <v>44428.625</v>
      </c>
      <c r="B397" s="2">
        <f>IFERROR(__xludf.DUMMYFUNCTION("""COMPUTED_VALUE"""),2950.0)</f>
        <v>2950</v>
      </c>
      <c r="C397" s="2">
        <f>IFERROR(__xludf.DUMMYFUNCTION("""COMPUTED_VALUE"""),2975.0)</f>
        <v>2975</v>
      </c>
      <c r="D397" s="2">
        <f>IFERROR(__xludf.DUMMYFUNCTION("""COMPUTED_VALUE"""),2900.0)</f>
        <v>2900</v>
      </c>
      <c r="E397" s="2">
        <f>IFERROR(__xludf.DUMMYFUNCTION("""COMPUTED_VALUE"""),2950.0)</f>
        <v>2950</v>
      </c>
      <c r="F397" s="2">
        <f>IFERROR(__xludf.DUMMYFUNCTION("""COMPUTED_VALUE"""),3.14208E7)</f>
        <v>31420800</v>
      </c>
      <c r="G397" s="2">
        <f t="shared" si="1"/>
        <v>75</v>
      </c>
    </row>
    <row r="398" ht="15.75" customHeight="1">
      <c r="A398" s="1">
        <f>IFERROR(__xludf.DUMMYFUNCTION("""COMPUTED_VALUE"""),44431.66666666667)</f>
        <v>44431.66667</v>
      </c>
      <c r="B398" s="2">
        <f>IFERROR(__xludf.DUMMYFUNCTION("""COMPUTED_VALUE"""),2950.0)</f>
        <v>2950</v>
      </c>
      <c r="C398" s="2">
        <f>IFERROR(__xludf.DUMMYFUNCTION("""COMPUTED_VALUE"""),3000.0)</f>
        <v>3000</v>
      </c>
      <c r="D398" s="2">
        <f>IFERROR(__xludf.DUMMYFUNCTION("""COMPUTED_VALUE"""),2950.0)</f>
        <v>2950</v>
      </c>
      <c r="E398" s="2">
        <f>IFERROR(__xludf.DUMMYFUNCTION("""COMPUTED_VALUE"""),2987.5)</f>
        <v>2987.5</v>
      </c>
      <c r="F398" s="2">
        <f>IFERROR(__xludf.DUMMYFUNCTION("""COMPUTED_VALUE"""),2.31731E7)</f>
        <v>23173100</v>
      </c>
      <c r="G398" s="2">
        <f t="shared" si="1"/>
        <v>50</v>
      </c>
    </row>
    <row r="399" ht="15.75" customHeight="1">
      <c r="A399" s="1">
        <f>IFERROR(__xludf.DUMMYFUNCTION("""COMPUTED_VALUE"""),44432.66666666667)</f>
        <v>44432.66667</v>
      </c>
      <c r="B399" s="2">
        <f>IFERROR(__xludf.DUMMYFUNCTION("""COMPUTED_VALUE"""),2975.0)</f>
        <v>2975</v>
      </c>
      <c r="C399" s="2">
        <f>IFERROR(__xludf.DUMMYFUNCTION("""COMPUTED_VALUE"""),2987.5)</f>
        <v>2987.5</v>
      </c>
      <c r="D399" s="2">
        <f>IFERROR(__xludf.DUMMYFUNCTION("""COMPUTED_VALUE"""),2900.0)</f>
        <v>2900</v>
      </c>
      <c r="E399" s="2">
        <f>IFERROR(__xludf.DUMMYFUNCTION("""COMPUTED_VALUE"""),2912.5)</f>
        <v>2912.5</v>
      </c>
      <c r="F399" s="2">
        <f>IFERROR(__xludf.DUMMYFUNCTION("""COMPUTED_VALUE"""),4.26088E7)</f>
        <v>42608800</v>
      </c>
      <c r="G399" s="2">
        <f t="shared" si="1"/>
        <v>87.5</v>
      </c>
    </row>
    <row r="400" ht="15.75" customHeight="1">
      <c r="A400" s="1">
        <f>IFERROR(__xludf.DUMMYFUNCTION("""COMPUTED_VALUE"""),44433.625)</f>
        <v>44433.625</v>
      </c>
      <c r="B400" s="2">
        <f>IFERROR(__xludf.DUMMYFUNCTION("""COMPUTED_VALUE"""),2937.5)</f>
        <v>2937.5</v>
      </c>
      <c r="C400" s="2">
        <f>IFERROR(__xludf.DUMMYFUNCTION("""COMPUTED_VALUE"""),2987.5)</f>
        <v>2987.5</v>
      </c>
      <c r="D400" s="2">
        <f>IFERROR(__xludf.DUMMYFUNCTION("""COMPUTED_VALUE"""),2925.0)</f>
        <v>2925</v>
      </c>
      <c r="E400" s="2">
        <f>IFERROR(__xludf.DUMMYFUNCTION("""COMPUTED_VALUE"""),2975.0)</f>
        <v>2975</v>
      </c>
      <c r="F400" s="2">
        <f>IFERROR(__xludf.DUMMYFUNCTION("""COMPUTED_VALUE"""),3.03634E7)</f>
        <v>30363400</v>
      </c>
      <c r="G400" s="2">
        <f t="shared" si="1"/>
        <v>75</v>
      </c>
    </row>
    <row r="401" ht="15.75" customHeight="1">
      <c r="A401" s="1">
        <f>IFERROR(__xludf.DUMMYFUNCTION("""COMPUTED_VALUE"""),44434.625)</f>
        <v>44434.625</v>
      </c>
      <c r="B401" s="2">
        <f>IFERROR(__xludf.DUMMYFUNCTION("""COMPUTED_VALUE"""),2925.0)</f>
        <v>2925</v>
      </c>
      <c r="C401" s="2">
        <f>IFERROR(__xludf.DUMMYFUNCTION("""COMPUTED_VALUE"""),2962.5)</f>
        <v>2962.5</v>
      </c>
      <c r="D401" s="2">
        <f>IFERROR(__xludf.DUMMYFUNCTION("""COMPUTED_VALUE"""),2912.5)</f>
        <v>2912.5</v>
      </c>
      <c r="E401" s="2">
        <f>IFERROR(__xludf.DUMMYFUNCTION("""COMPUTED_VALUE"""),2912.5)</f>
        <v>2912.5</v>
      </c>
      <c r="F401" s="2">
        <f>IFERROR(__xludf.DUMMYFUNCTION("""COMPUTED_VALUE"""),2.75251E7)</f>
        <v>27525100</v>
      </c>
      <c r="G401" s="2">
        <f t="shared" si="1"/>
        <v>62.5</v>
      </c>
    </row>
    <row r="402" ht="15.75" customHeight="1">
      <c r="A402" s="1">
        <f>IFERROR(__xludf.DUMMYFUNCTION("""COMPUTED_VALUE"""),44435.625)</f>
        <v>44435.625</v>
      </c>
      <c r="B402" s="2">
        <f>IFERROR(__xludf.DUMMYFUNCTION("""COMPUTED_VALUE"""),2912.5)</f>
        <v>2912.5</v>
      </c>
      <c r="C402" s="2">
        <f>IFERROR(__xludf.DUMMYFUNCTION("""COMPUTED_VALUE"""),2937.5)</f>
        <v>2937.5</v>
      </c>
      <c r="D402" s="2">
        <f>IFERROR(__xludf.DUMMYFUNCTION("""COMPUTED_VALUE"""),2887.5)</f>
        <v>2887.5</v>
      </c>
      <c r="E402" s="2">
        <f>IFERROR(__xludf.DUMMYFUNCTION("""COMPUTED_VALUE"""),2900.0)</f>
        <v>2900</v>
      </c>
      <c r="F402" s="2">
        <f>IFERROR(__xludf.DUMMYFUNCTION("""COMPUTED_VALUE"""),1.78825E7)</f>
        <v>17882500</v>
      </c>
      <c r="G402" s="2">
        <f t="shared" si="1"/>
        <v>50</v>
      </c>
    </row>
    <row r="403" ht="15.75" customHeight="1">
      <c r="A403" s="1">
        <f>IFERROR(__xludf.DUMMYFUNCTION("""COMPUTED_VALUE"""),44438.625)</f>
        <v>44438.625</v>
      </c>
      <c r="B403" s="2">
        <f>IFERROR(__xludf.DUMMYFUNCTION("""COMPUTED_VALUE"""),2925.0)</f>
        <v>2925</v>
      </c>
      <c r="C403" s="2">
        <f>IFERROR(__xludf.DUMMYFUNCTION("""COMPUTED_VALUE"""),2975.0)</f>
        <v>2975</v>
      </c>
      <c r="D403" s="2">
        <f>IFERROR(__xludf.DUMMYFUNCTION("""COMPUTED_VALUE"""),2912.5)</f>
        <v>2912.5</v>
      </c>
      <c r="E403" s="2">
        <f>IFERROR(__xludf.DUMMYFUNCTION("""COMPUTED_VALUE"""),2975.0)</f>
        <v>2975</v>
      </c>
      <c r="F403" s="2">
        <f>IFERROR(__xludf.DUMMYFUNCTION("""COMPUTED_VALUE"""),3.2531E7)</f>
        <v>32531000</v>
      </c>
      <c r="G403" s="2">
        <f t="shared" si="1"/>
        <v>75</v>
      </c>
    </row>
    <row r="404" ht="15.75" customHeight="1">
      <c r="A404" s="1">
        <f>IFERROR(__xludf.DUMMYFUNCTION("""COMPUTED_VALUE"""),44439.625)</f>
        <v>44439.625</v>
      </c>
      <c r="B404" s="2">
        <f>IFERROR(__xludf.DUMMYFUNCTION("""COMPUTED_VALUE"""),3000.0)</f>
        <v>3000</v>
      </c>
      <c r="C404" s="2">
        <f>IFERROR(__xludf.DUMMYFUNCTION("""COMPUTED_VALUE"""),3050.0)</f>
        <v>3050</v>
      </c>
      <c r="D404" s="2">
        <f>IFERROR(__xludf.DUMMYFUNCTION("""COMPUTED_VALUE"""),2975.0)</f>
        <v>2975</v>
      </c>
      <c r="E404" s="2">
        <f>IFERROR(__xludf.DUMMYFUNCTION("""COMPUTED_VALUE"""),3050.0)</f>
        <v>3050</v>
      </c>
      <c r="F404" s="2">
        <f>IFERROR(__xludf.DUMMYFUNCTION("""COMPUTED_VALUE"""),6.78502E7)</f>
        <v>67850200</v>
      </c>
      <c r="G404" s="2">
        <f t="shared" si="1"/>
        <v>75</v>
      </c>
    </row>
    <row r="405" ht="15.75" customHeight="1">
      <c r="A405" s="1">
        <f>IFERROR(__xludf.DUMMYFUNCTION("""COMPUTED_VALUE"""),44440.625)</f>
        <v>44440.625</v>
      </c>
      <c r="B405" s="2">
        <f>IFERROR(__xludf.DUMMYFUNCTION("""COMPUTED_VALUE"""),3050.0)</f>
        <v>3050</v>
      </c>
      <c r="C405" s="2">
        <f>IFERROR(__xludf.DUMMYFUNCTION("""COMPUTED_VALUE"""),3050.0)</f>
        <v>3050</v>
      </c>
      <c r="D405" s="2">
        <f>IFERROR(__xludf.DUMMYFUNCTION("""COMPUTED_VALUE"""),3000.0)</f>
        <v>3000</v>
      </c>
      <c r="E405" s="2">
        <f>IFERROR(__xludf.DUMMYFUNCTION("""COMPUTED_VALUE"""),3000.0)</f>
        <v>3000</v>
      </c>
      <c r="F405" s="2">
        <f>IFERROR(__xludf.DUMMYFUNCTION("""COMPUTED_VALUE"""),3.5041E7)</f>
        <v>35041000</v>
      </c>
      <c r="G405" s="2">
        <f t="shared" si="1"/>
        <v>50</v>
      </c>
    </row>
    <row r="406" ht="15.75" customHeight="1">
      <c r="A406" s="1">
        <f>IFERROR(__xludf.DUMMYFUNCTION("""COMPUTED_VALUE"""),44441.625)</f>
        <v>44441.625</v>
      </c>
      <c r="B406" s="2">
        <f>IFERROR(__xludf.DUMMYFUNCTION("""COMPUTED_VALUE"""),3025.0)</f>
        <v>3025</v>
      </c>
      <c r="C406" s="2">
        <f>IFERROR(__xludf.DUMMYFUNCTION("""COMPUTED_VALUE"""),3050.0)</f>
        <v>3050</v>
      </c>
      <c r="D406" s="2">
        <f>IFERROR(__xludf.DUMMYFUNCTION("""COMPUTED_VALUE"""),2987.5)</f>
        <v>2987.5</v>
      </c>
      <c r="E406" s="2">
        <f>IFERROR(__xludf.DUMMYFUNCTION("""COMPUTED_VALUE"""),3025.0)</f>
        <v>3025</v>
      </c>
      <c r="F406" s="2">
        <f>IFERROR(__xludf.DUMMYFUNCTION("""COMPUTED_VALUE"""),2.57772E7)</f>
        <v>25777200</v>
      </c>
      <c r="G406" s="2">
        <f t="shared" si="1"/>
        <v>62.5</v>
      </c>
    </row>
    <row r="407" ht="15.75" customHeight="1">
      <c r="A407" s="1">
        <f>IFERROR(__xludf.DUMMYFUNCTION("""COMPUTED_VALUE"""),44442.625)</f>
        <v>44442.625</v>
      </c>
      <c r="B407" s="2">
        <f>IFERROR(__xludf.DUMMYFUNCTION("""COMPUTED_VALUE"""),3050.0)</f>
        <v>3050</v>
      </c>
      <c r="C407" s="2">
        <f>IFERROR(__xludf.DUMMYFUNCTION("""COMPUTED_VALUE"""),3075.0)</f>
        <v>3075</v>
      </c>
      <c r="D407" s="2">
        <f>IFERROR(__xludf.DUMMYFUNCTION("""COMPUTED_VALUE"""),3000.0)</f>
        <v>3000</v>
      </c>
      <c r="E407" s="2">
        <f>IFERROR(__xludf.DUMMYFUNCTION("""COMPUTED_VALUE"""),3062.5)</f>
        <v>3062.5</v>
      </c>
      <c r="F407" s="2">
        <f>IFERROR(__xludf.DUMMYFUNCTION("""COMPUTED_VALUE"""),2.538E7)</f>
        <v>25380000</v>
      </c>
      <c r="G407" s="2">
        <f t="shared" si="1"/>
        <v>75</v>
      </c>
    </row>
    <row r="408" ht="15.75" customHeight="1">
      <c r="A408" s="1">
        <f>IFERROR(__xludf.DUMMYFUNCTION("""COMPUTED_VALUE"""),44445.625)</f>
        <v>44445.625</v>
      </c>
      <c r="B408" s="2">
        <f>IFERROR(__xludf.DUMMYFUNCTION("""COMPUTED_VALUE"""),3100.0)</f>
        <v>3100</v>
      </c>
      <c r="C408" s="2">
        <f>IFERROR(__xludf.DUMMYFUNCTION("""COMPUTED_VALUE"""),3162.5)</f>
        <v>3162.5</v>
      </c>
      <c r="D408" s="2">
        <f>IFERROR(__xludf.DUMMYFUNCTION("""COMPUTED_VALUE"""),3062.5)</f>
        <v>3062.5</v>
      </c>
      <c r="E408" s="2">
        <f>IFERROR(__xludf.DUMMYFUNCTION("""COMPUTED_VALUE"""),3100.0)</f>
        <v>3100</v>
      </c>
      <c r="F408" s="2">
        <f>IFERROR(__xludf.DUMMYFUNCTION("""COMPUTED_VALUE"""),2.58422E7)</f>
        <v>25842200</v>
      </c>
      <c r="G408" s="2">
        <f t="shared" si="1"/>
        <v>100</v>
      </c>
    </row>
    <row r="409" ht="15.75" customHeight="1">
      <c r="A409" s="1">
        <f>IFERROR(__xludf.DUMMYFUNCTION("""COMPUTED_VALUE"""),44446.625)</f>
        <v>44446.625</v>
      </c>
      <c r="B409" s="2">
        <f>IFERROR(__xludf.DUMMYFUNCTION("""COMPUTED_VALUE"""),3125.0)</f>
        <v>3125</v>
      </c>
      <c r="C409" s="2">
        <f>IFERROR(__xludf.DUMMYFUNCTION("""COMPUTED_VALUE"""),3175.0)</f>
        <v>3175</v>
      </c>
      <c r="D409" s="2">
        <f>IFERROR(__xludf.DUMMYFUNCTION("""COMPUTED_VALUE"""),3112.5)</f>
        <v>3112.5</v>
      </c>
      <c r="E409" s="2">
        <f>IFERROR(__xludf.DUMMYFUNCTION("""COMPUTED_VALUE"""),3125.0)</f>
        <v>3125</v>
      </c>
      <c r="F409" s="2">
        <f>IFERROR(__xludf.DUMMYFUNCTION("""COMPUTED_VALUE"""),3.52242E7)</f>
        <v>35224200</v>
      </c>
      <c r="G409" s="2">
        <f t="shared" si="1"/>
        <v>75</v>
      </c>
    </row>
    <row r="410" ht="15.75" customHeight="1">
      <c r="A410" s="1">
        <f>IFERROR(__xludf.DUMMYFUNCTION("""COMPUTED_VALUE"""),44447.625)</f>
        <v>44447.625</v>
      </c>
      <c r="B410" s="2">
        <f>IFERROR(__xludf.DUMMYFUNCTION("""COMPUTED_VALUE"""),3150.0)</f>
        <v>3150</v>
      </c>
      <c r="C410" s="2">
        <f>IFERROR(__xludf.DUMMYFUNCTION("""COMPUTED_VALUE"""),3150.0)</f>
        <v>3150</v>
      </c>
      <c r="D410" s="2">
        <f>IFERROR(__xludf.DUMMYFUNCTION("""COMPUTED_VALUE"""),3062.5)</f>
        <v>3062.5</v>
      </c>
      <c r="E410" s="2">
        <f>IFERROR(__xludf.DUMMYFUNCTION("""COMPUTED_VALUE"""),3125.0)</f>
        <v>3125</v>
      </c>
      <c r="F410" s="2">
        <f>IFERROR(__xludf.DUMMYFUNCTION("""COMPUTED_VALUE"""),4.23303E7)</f>
        <v>42330300</v>
      </c>
      <c r="G410" s="2">
        <f t="shared" si="1"/>
        <v>87.5</v>
      </c>
    </row>
    <row r="411" ht="15.75" customHeight="1">
      <c r="A411" s="1">
        <f>IFERROR(__xludf.DUMMYFUNCTION("""COMPUTED_VALUE"""),44448.625)</f>
        <v>44448.625</v>
      </c>
      <c r="B411" s="2">
        <f>IFERROR(__xludf.DUMMYFUNCTION("""COMPUTED_VALUE"""),3150.0)</f>
        <v>3150</v>
      </c>
      <c r="C411" s="2">
        <f>IFERROR(__xludf.DUMMYFUNCTION("""COMPUTED_VALUE"""),3175.0)</f>
        <v>3175</v>
      </c>
      <c r="D411" s="2">
        <f>IFERROR(__xludf.DUMMYFUNCTION("""COMPUTED_VALUE"""),3062.5)</f>
        <v>3062.5</v>
      </c>
      <c r="E411" s="2">
        <f>IFERROR(__xludf.DUMMYFUNCTION("""COMPUTED_VALUE"""),3175.0)</f>
        <v>3175</v>
      </c>
      <c r="F411" s="2">
        <f>IFERROR(__xludf.DUMMYFUNCTION("""COMPUTED_VALUE"""),4.66658E7)</f>
        <v>46665800</v>
      </c>
      <c r="G411" s="2">
        <f t="shared" si="1"/>
        <v>112.5</v>
      </c>
    </row>
    <row r="412" ht="15.75" customHeight="1">
      <c r="A412" s="1">
        <f>IFERROR(__xludf.DUMMYFUNCTION("""COMPUTED_VALUE"""),44449.625)</f>
        <v>44449.625</v>
      </c>
      <c r="B412" s="2">
        <f>IFERROR(__xludf.DUMMYFUNCTION("""COMPUTED_VALUE"""),3137.5)</f>
        <v>3137.5</v>
      </c>
      <c r="C412" s="2">
        <f>IFERROR(__xludf.DUMMYFUNCTION("""COMPUTED_VALUE"""),3150.0)</f>
        <v>3150</v>
      </c>
      <c r="D412" s="2">
        <f>IFERROR(__xludf.DUMMYFUNCTION("""COMPUTED_VALUE"""),3087.5)</f>
        <v>3087.5</v>
      </c>
      <c r="E412" s="2">
        <f>IFERROR(__xludf.DUMMYFUNCTION("""COMPUTED_VALUE"""),3100.0)</f>
        <v>3100</v>
      </c>
      <c r="F412" s="2">
        <f>IFERROR(__xludf.DUMMYFUNCTION("""COMPUTED_VALUE"""),5.37884E7)</f>
        <v>53788400</v>
      </c>
      <c r="G412" s="2">
        <f t="shared" si="1"/>
        <v>87.5</v>
      </c>
    </row>
    <row r="413" ht="15.75" customHeight="1">
      <c r="A413" s="1">
        <f>IFERROR(__xludf.DUMMYFUNCTION("""COMPUTED_VALUE"""),44452.625)</f>
        <v>44452.625</v>
      </c>
      <c r="B413" s="2">
        <f>IFERROR(__xludf.DUMMYFUNCTION("""COMPUTED_VALUE"""),3050.0)</f>
        <v>3050</v>
      </c>
      <c r="C413" s="2">
        <f>IFERROR(__xludf.DUMMYFUNCTION("""COMPUTED_VALUE"""),3112.5)</f>
        <v>3112.5</v>
      </c>
      <c r="D413" s="2">
        <f>IFERROR(__xludf.DUMMYFUNCTION("""COMPUTED_VALUE"""),3025.0)</f>
        <v>3025</v>
      </c>
      <c r="E413" s="2">
        <f>IFERROR(__xludf.DUMMYFUNCTION("""COMPUTED_VALUE"""),3075.0)</f>
        <v>3075</v>
      </c>
      <c r="F413" s="2">
        <f>IFERROR(__xludf.DUMMYFUNCTION("""COMPUTED_VALUE"""),5.24033E7)</f>
        <v>52403300</v>
      </c>
      <c r="G413" s="2">
        <f t="shared" si="1"/>
        <v>87.5</v>
      </c>
    </row>
    <row r="414" ht="15.75" customHeight="1">
      <c r="A414" s="1">
        <f>IFERROR(__xludf.DUMMYFUNCTION("""COMPUTED_VALUE"""),44453.625)</f>
        <v>44453.625</v>
      </c>
      <c r="B414" s="2">
        <f>IFERROR(__xludf.DUMMYFUNCTION("""COMPUTED_VALUE"""),3075.0)</f>
        <v>3075</v>
      </c>
      <c r="C414" s="2">
        <f>IFERROR(__xludf.DUMMYFUNCTION("""COMPUTED_VALUE"""),3100.0)</f>
        <v>3100</v>
      </c>
      <c r="D414" s="2">
        <f>IFERROR(__xludf.DUMMYFUNCTION("""COMPUTED_VALUE"""),3037.5)</f>
        <v>3037.5</v>
      </c>
      <c r="E414" s="2">
        <f>IFERROR(__xludf.DUMMYFUNCTION("""COMPUTED_VALUE"""),3050.0)</f>
        <v>3050</v>
      </c>
      <c r="F414" s="2">
        <f>IFERROR(__xludf.DUMMYFUNCTION("""COMPUTED_VALUE"""),4.24657E7)</f>
        <v>42465700</v>
      </c>
      <c r="G414" s="2">
        <f t="shared" si="1"/>
        <v>62.5</v>
      </c>
    </row>
    <row r="415" ht="15.75" customHeight="1">
      <c r="A415" s="1">
        <f>IFERROR(__xludf.DUMMYFUNCTION("""COMPUTED_VALUE"""),44454.625)</f>
        <v>44454.625</v>
      </c>
      <c r="B415" s="2">
        <f>IFERROR(__xludf.DUMMYFUNCTION("""COMPUTED_VALUE"""),3087.5)</f>
        <v>3087.5</v>
      </c>
      <c r="C415" s="2">
        <f>IFERROR(__xludf.DUMMYFUNCTION("""COMPUTED_VALUE"""),3100.0)</f>
        <v>3100</v>
      </c>
      <c r="D415" s="2">
        <f>IFERROR(__xludf.DUMMYFUNCTION("""COMPUTED_VALUE"""),3050.0)</f>
        <v>3050</v>
      </c>
      <c r="E415" s="2">
        <f>IFERROR(__xludf.DUMMYFUNCTION("""COMPUTED_VALUE"""),3062.5)</f>
        <v>3062.5</v>
      </c>
      <c r="F415" s="2">
        <f>IFERROR(__xludf.DUMMYFUNCTION("""COMPUTED_VALUE"""),6.77489E7)</f>
        <v>67748900</v>
      </c>
      <c r="G415" s="2">
        <f t="shared" si="1"/>
        <v>50</v>
      </c>
    </row>
    <row r="416" ht="15.75" customHeight="1">
      <c r="A416" s="1">
        <f>IFERROR(__xludf.DUMMYFUNCTION("""COMPUTED_VALUE"""),44455.625)</f>
        <v>44455.625</v>
      </c>
      <c r="B416" s="2">
        <f>IFERROR(__xludf.DUMMYFUNCTION("""COMPUTED_VALUE"""),3087.5)</f>
        <v>3087.5</v>
      </c>
      <c r="C416" s="2">
        <f>IFERROR(__xludf.DUMMYFUNCTION("""COMPUTED_VALUE"""),3100.0)</f>
        <v>3100</v>
      </c>
      <c r="D416" s="2">
        <f>IFERROR(__xludf.DUMMYFUNCTION("""COMPUTED_VALUE"""),3062.5)</f>
        <v>3062.5</v>
      </c>
      <c r="E416" s="2">
        <f>IFERROR(__xludf.DUMMYFUNCTION("""COMPUTED_VALUE"""),3075.0)</f>
        <v>3075</v>
      </c>
      <c r="F416" s="2">
        <f>IFERROR(__xludf.DUMMYFUNCTION("""COMPUTED_VALUE"""),3.06721E7)</f>
        <v>30672100</v>
      </c>
      <c r="G416" s="2">
        <f t="shared" si="1"/>
        <v>37.5</v>
      </c>
    </row>
    <row r="417" ht="15.75" customHeight="1">
      <c r="A417" s="1">
        <f>IFERROR(__xludf.DUMMYFUNCTION("""COMPUTED_VALUE"""),44456.625)</f>
        <v>44456.625</v>
      </c>
      <c r="B417" s="2">
        <f>IFERROR(__xludf.DUMMYFUNCTION("""COMPUTED_VALUE"""),3062.5)</f>
        <v>3062.5</v>
      </c>
      <c r="C417" s="2">
        <f>IFERROR(__xludf.DUMMYFUNCTION("""COMPUTED_VALUE"""),3075.0)</f>
        <v>3075</v>
      </c>
      <c r="D417" s="2">
        <f>IFERROR(__xludf.DUMMYFUNCTION("""COMPUTED_VALUE"""),3025.0)</f>
        <v>3025</v>
      </c>
      <c r="E417" s="2">
        <f>IFERROR(__xludf.DUMMYFUNCTION("""COMPUTED_VALUE"""),3025.0)</f>
        <v>3025</v>
      </c>
      <c r="F417" s="2">
        <f>IFERROR(__xludf.DUMMYFUNCTION("""COMPUTED_VALUE"""),4.12264E7)</f>
        <v>41226400</v>
      </c>
      <c r="G417" s="2">
        <f t="shared" si="1"/>
        <v>50</v>
      </c>
    </row>
    <row r="418" ht="15.75" customHeight="1">
      <c r="A418" s="1">
        <f>IFERROR(__xludf.DUMMYFUNCTION("""COMPUTED_VALUE"""),44459.625)</f>
        <v>44459.625</v>
      </c>
      <c r="B418" s="2">
        <f>IFERROR(__xludf.DUMMYFUNCTION("""COMPUTED_VALUE"""),3012.5)</f>
        <v>3012.5</v>
      </c>
      <c r="C418" s="2">
        <f>IFERROR(__xludf.DUMMYFUNCTION("""COMPUTED_VALUE"""),3037.5)</f>
        <v>3037.5</v>
      </c>
      <c r="D418" s="2">
        <f>IFERROR(__xludf.DUMMYFUNCTION("""COMPUTED_VALUE"""),2962.5)</f>
        <v>2962.5</v>
      </c>
      <c r="E418" s="2">
        <f>IFERROR(__xludf.DUMMYFUNCTION("""COMPUTED_VALUE"""),3012.5)</f>
        <v>3012.5</v>
      </c>
      <c r="F418" s="2">
        <f>IFERROR(__xludf.DUMMYFUNCTION("""COMPUTED_VALUE"""),2.87846E7)</f>
        <v>28784600</v>
      </c>
      <c r="G418" s="2">
        <f t="shared" si="1"/>
        <v>75</v>
      </c>
    </row>
    <row r="419" ht="15.75" customHeight="1">
      <c r="A419" s="1">
        <f>IFERROR(__xludf.DUMMYFUNCTION("""COMPUTED_VALUE"""),44460.625)</f>
        <v>44460.625</v>
      </c>
      <c r="B419" s="2">
        <f>IFERROR(__xludf.DUMMYFUNCTION("""COMPUTED_VALUE"""),3012.5)</f>
        <v>3012.5</v>
      </c>
      <c r="C419" s="2">
        <f>IFERROR(__xludf.DUMMYFUNCTION("""COMPUTED_VALUE"""),3012.5)</f>
        <v>3012.5</v>
      </c>
      <c r="D419" s="2">
        <f>IFERROR(__xludf.DUMMYFUNCTION("""COMPUTED_VALUE"""),2962.5)</f>
        <v>2962.5</v>
      </c>
      <c r="E419" s="2">
        <f>IFERROR(__xludf.DUMMYFUNCTION("""COMPUTED_VALUE"""),2987.5)</f>
        <v>2987.5</v>
      </c>
      <c r="F419" s="2">
        <f>IFERROR(__xludf.DUMMYFUNCTION("""COMPUTED_VALUE"""),2.25767E7)</f>
        <v>22576700</v>
      </c>
      <c r="G419" s="2">
        <f t="shared" si="1"/>
        <v>50</v>
      </c>
    </row>
    <row r="420" ht="15.75" customHeight="1">
      <c r="A420" s="1">
        <f>IFERROR(__xludf.DUMMYFUNCTION("""COMPUTED_VALUE"""),44461.625)</f>
        <v>44461.625</v>
      </c>
      <c r="B420" s="2">
        <f>IFERROR(__xludf.DUMMYFUNCTION("""COMPUTED_VALUE"""),2987.5)</f>
        <v>2987.5</v>
      </c>
      <c r="C420" s="2">
        <f>IFERROR(__xludf.DUMMYFUNCTION("""COMPUTED_VALUE"""),3050.0)</f>
        <v>3050</v>
      </c>
      <c r="D420" s="2">
        <f>IFERROR(__xludf.DUMMYFUNCTION("""COMPUTED_VALUE"""),2975.0)</f>
        <v>2975</v>
      </c>
      <c r="E420" s="2">
        <f>IFERROR(__xludf.DUMMYFUNCTION("""COMPUTED_VALUE"""),3037.5)</f>
        <v>3037.5</v>
      </c>
      <c r="F420" s="2">
        <f>IFERROR(__xludf.DUMMYFUNCTION("""COMPUTED_VALUE"""),1.33556E7)</f>
        <v>13355600</v>
      </c>
      <c r="G420" s="2">
        <f t="shared" si="1"/>
        <v>75</v>
      </c>
    </row>
    <row r="421" ht="15.75" customHeight="1">
      <c r="A421" s="1">
        <f>IFERROR(__xludf.DUMMYFUNCTION("""COMPUTED_VALUE"""),44462.625)</f>
        <v>44462.625</v>
      </c>
      <c r="B421" s="2">
        <f>IFERROR(__xludf.DUMMYFUNCTION("""COMPUTED_VALUE"""),3062.5)</f>
        <v>3062.5</v>
      </c>
      <c r="C421" s="2">
        <f>IFERROR(__xludf.DUMMYFUNCTION("""COMPUTED_VALUE"""),3062.5)</f>
        <v>3062.5</v>
      </c>
      <c r="D421" s="2">
        <f>IFERROR(__xludf.DUMMYFUNCTION("""COMPUTED_VALUE"""),3012.5)</f>
        <v>3012.5</v>
      </c>
      <c r="E421" s="2">
        <f>IFERROR(__xludf.DUMMYFUNCTION("""COMPUTED_VALUE"""),3037.5)</f>
        <v>3037.5</v>
      </c>
      <c r="F421" s="2">
        <f>IFERROR(__xludf.DUMMYFUNCTION("""COMPUTED_VALUE"""),2.0303E7)</f>
        <v>20303000</v>
      </c>
      <c r="G421" s="2">
        <f t="shared" si="1"/>
        <v>50</v>
      </c>
    </row>
    <row r="422" ht="15.75" customHeight="1">
      <c r="A422" s="1">
        <f>IFERROR(__xludf.DUMMYFUNCTION("""COMPUTED_VALUE"""),44463.625)</f>
        <v>44463.625</v>
      </c>
      <c r="B422" s="2">
        <f>IFERROR(__xludf.DUMMYFUNCTION("""COMPUTED_VALUE"""),3037.5)</f>
        <v>3037.5</v>
      </c>
      <c r="C422" s="2">
        <f>IFERROR(__xludf.DUMMYFUNCTION("""COMPUTED_VALUE"""),3050.0)</f>
        <v>3050</v>
      </c>
      <c r="D422" s="2">
        <f>IFERROR(__xludf.DUMMYFUNCTION("""COMPUTED_VALUE"""),2962.5)</f>
        <v>2962.5</v>
      </c>
      <c r="E422" s="2">
        <f>IFERROR(__xludf.DUMMYFUNCTION("""COMPUTED_VALUE"""),2987.5)</f>
        <v>2987.5</v>
      </c>
      <c r="F422" s="2">
        <f>IFERROR(__xludf.DUMMYFUNCTION("""COMPUTED_VALUE"""),2.51392E7)</f>
        <v>25139200</v>
      </c>
      <c r="G422" s="2">
        <f t="shared" si="1"/>
        <v>87.5</v>
      </c>
    </row>
    <row r="423" ht="15.75" customHeight="1">
      <c r="A423" s="1">
        <f>IFERROR(__xludf.DUMMYFUNCTION("""COMPUTED_VALUE"""),44466.625)</f>
        <v>44466.625</v>
      </c>
      <c r="B423" s="2">
        <f>IFERROR(__xludf.DUMMYFUNCTION("""COMPUTED_VALUE"""),3000.0)</f>
        <v>3000</v>
      </c>
      <c r="C423" s="2">
        <f>IFERROR(__xludf.DUMMYFUNCTION("""COMPUTED_VALUE"""),3012.5)</f>
        <v>3012.5</v>
      </c>
      <c r="D423" s="2">
        <f>IFERROR(__xludf.DUMMYFUNCTION("""COMPUTED_VALUE"""),2950.0)</f>
        <v>2950</v>
      </c>
      <c r="E423" s="2">
        <f>IFERROR(__xludf.DUMMYFUNCTION("""COMPUTED_VALUE"""),2950.0)</f>
        <v>2950</v>
      </c>
      <c r="F423" s="2">
        <f>IFERROR(__xludf.DUMMYFUNCTION("""COMPUTED_VALUE"""),3.42504E7)</f>
        <v>34250400</v>
      </c>
      <c r="G423" s="2">
        <f t="shared" si="1"/>
        <v>62.5</v>
      </c>
    </row>
    <row r="424" ht="15.75" customHeight="1">
      <c r="A424" s="1">
        <f>IFERROR(__xludf.DUMMYFUNCTION("""COMPUTED_VALUE"""),44467.625)</f>
        <v>44467.625</v>
      </c>
      <c r="B424" s="2">
        <f>IFERROR(__xludf.DUMMYFUNCTION("""COMPUTED_VALUE"""),2975.0)</f>
        <v>2975</v>
      </c>
      <c r="C424" s="2">
        <f>IFERROR(__xludf.DUMMYFUNCTION("""COMPUTED_VALUE"""),3012.5)</f>
        <v>3012.5</v>
      </c>
      <c r="D424" s="2">
        <f>IFERROR(__xludf.DUMMYFUNCTION("""COMPUTED_VALUE"""),2950.0)</f>
        <v>2950</v>
      </c>
      <c r="E424" s="2">
        <f>IFERROR(__xludf.DUMMYFUNCTION("""COMPUTED_VALUE"""),2975.0)</f>
        <v>2975</v>
      </c>
      <c r="F424" s="2">
        <f>IFERROR(__xludf.DUMMYFUNCTION("""COMPUTED_VALUE"""),3.23261E7)</f>
        <v>32326100</v>
      </c>
      <c r="G424" s="2">
        <f t="shared" si="1"/>
        <v>62.5</v>
      </c>
    </row>
    <row r="425" ht="15.75" customHeight="1">
      <c r="A425" s="1">
        <f>IFERROR(__xludf.DUMMYFUNCTION("""COMPUTED_VALUE"""),44468.625)</f>
        <v>44468.625</v>
      </c>
      <c r="B425" s="2">
        <f>IFERROR(__xludf.DUMMYFUNCTION("""COMPUTED_VALUE"""),2975.0)</f>
        <v>2975</v>
      </c>
      <c r="C425" s="2">
        <f>IFERROR(__xludf.DUMMYFUNCTION("""COMPUTED_VALUE"""),3025.0)</f>
        <v>3025</v>
      </c>
      <c r="D425" s="2">
        <f>IFERROR(__xludf.DUMMYFUNCTION("""COMPUTED_VALUE"""),2962.5)</f>
        <v>2962.5</v>
      </c>
      <c r="E425" s="2">
        <f>IFERROR(__xludf.DUMMYFUNCTION("""COMPUTED_VALUE"""),3000.0)</f>
        <v>3000</v>
      </c>
      <c r="F425" s="2">
        <f>IFERROR(__xludf.DUMMYFUNCTION("""COMPUTED_VALUE"""),2.82337E7)</f>
        <v>28233700</v>
      </c>
      <c r="G425" s="2">
        <f t="shared" si="1"/>
        <v>62.5</v>
      </c>
    </row>
    <row r="426" ht="15.75" customHeight="1">
      <c r="A426" s="1">
        <f>IFERROR(__xludf.DUMMYFUNCTION("""COMPUTED_VALUE"""),44469.625)</f>
        <v>44469.625</v>
      </c>
      <c r="B426" s="2">
        <f>IFERROR(__xludf.DUMMYFUNCTION("""COMPUTED_VALUE"""),3025.0)</f>
        <v>3025</v>
      </c>
      <c r="C426" s="2">
        <f>IFERROR(__xludf.DUMMYFUNCTION("""COMPUTED_VALUE"""),3075.0)</f>
        <v>3075</v>
      </c>
      <c r="D426" s="2">
        <f>IFERROR(__xludf.DUMMYFUNCTION("""COMPUTED_VALUE"""),3000.0)</f>
        <v>3000</v>
      </c>
      <c r="E426" s="2">
        <f>IFERROR(__xludf.DUMMYFUNCTION("""COMPUTED_VALUE"""),3075.0)</f>
        <v>3075</v>
      </c>
      <c r="F426" s="2">
        <f>IFERROR(__xludf.DUMMYFUNCTION("""COMPUTED_VALUE"""),4.1406E7)</f>
        <v>41406000</v>
      </c>
      <c r="G426" s="2">
        <f t="shared" si="1"/>
        <v>75</v>
      </c>
    </row>
    <row r="427" ht="15.75" customHeight="1">
      <c r="A427" s="1">
        <f>IFERROR(__xludf.DUMMYFUNCTION("""COMPUTED_VALUE"""),44470.625)</f>
        <v>44470.625</v>
      </c>
      <c r="B427" s="2">
        <f>IFERROR(__xludf.DUMMYFUNCTION("""COMPUTED_VALUE"""),3075.0)</f>
        <v>3075</v>
      </c>
      <c r="C427" s="2">
        <f>IFERROR(__xludf.DUMMYFUNCTION("""COMPUTED_VALUE"""),3100.0)</f>
        <v>3100</v>
      </c>
      <c r="D427" s="2">
        <f>IFERROR(__xludf.DUMMYFUNCTION("""COMPUTED_VALUE"""),3025.0)</f>
        <v>3025</v>
      </c>
      <c r="E427" s="2">
        <f>IFERROR(__xludf.DUMMYFUNCTION("""COMPUTED_VALUE"""),3050.0)</f>
        <v>3050</v>
      </c>
      <c r="F427" s="2">
        <f>IFERROR(__xludf.DUMMYFUNCTION("""COMPUTED_VALUE"""),3.74877E7)</f>
        <v>37487700</v>
      </c>
      <c r="G427" s="2">
        <f t="shared" si="1"/>
        <v>75</v>
      </c>
    </row>
    <row r="428" ht="15.75" customHeight="1">
      <c r="A428" s="1">
        <f>IFERROR(__xludf.DUMMYFUNCTION("""COMPUTED_VALUE"""),44473.625)</f>
        <v>44473.625</v>
      </c>
      <c r="B428" s="2">
        <f>IFERROR(__xludf.DUMMYFUNCTION("""COMPUTED_VALUE"""),3087.5)</f>
        <v>3087.5</v>
      </c>
      <c r="C428" s="2">
        <f>IFERROR(__xludf.DUMMYFUNCTION("""COMPUTED_VALUE"""),3250.0)</f>
        <v>3250</v>
      </c>
      <c r="D428" s="2">
        <f>IFERROR(__xludf.DUMMYFUNCTION("""COMPUTED_VALUE"""),3075.0)</f>
        <v>3075</v>
      </c>
      <c r="E428" s="2">
        <f>IFERROR(__xludf.DUMMYFUNCTION("""COMPUTED_VALUE"""),3237.5)</f>
        <v>3237.5</v>
      </c>
      <c r="F428" s="2">
        <f>IFERROR(__xludf.DUMMYFUNCTION("""COMPUTED_VALUE"""),7.83458E7)</f>
        <v>78345800</v>
      </c>
      <c r="G428" s="2">
        <f t="shared" si="1"/>
        <v>200</v>
      </c>
    </row>
    <row r="429" ht="15.75" customHeight="1">
      <c r="A429" s="1">
        <f>IFERROR(__xludf.DUMMYFUNCTION("""COMPUTED_VALUE"""),44474.625)</f>
        <v>44474.625</v>
      </c>
      <c r="B429" s="2">
        <f>IFERROR(__xludf.DUMMYFUNCTION("""COMPUTED_VALUE"""),3225.0)</f>
        <v>3225</v>
      </c>
      <c r="C429" s="2">
        <f>IFERROR(__xludf.DUMMYFUNCTION("""COMPUTED_VALUE"""),3275.0)</f>
        <v>3275</v>
      </c>
      <c r="D429" s="2">
        <f>IFERROR(__xludf.DUMMYFUNCTION("""COMPUTED_VALUE"""),3187.5)</f>
        <v>3187.5</v>
      </c>
      <c r="E429" s="2">
        <f>IFERROR(__xludf.DUMMYFUNCTION("""COMPUTED_VALUE"""),3212.5)</f>
        <v>3212.5</v>
      </c>
      <c r="F429" s="2">
        <f>IFERROR(__xludf.DUMMYFUNCTION("""COMPUTED_VALUE"""),4.74431E7)</f>
        <v>47443100</v>
      </c>
      <c r="G429" s="2">
        <f t="shared" si="1"/>
        <v>87.5</v>
      </c>
    </row>
    <row r="430" ht="15.75" customHeight="1">
      <c r="A430" s="1">
        <f>IFERROR(__xludf.DUMMYFUNCTION("""COMPUTED_VALUE"""),44475.625)</f>
        <v>44475.625</v>
      </c>
      <c r="B430" s="2">
        <f>IFERROR(__xludf.DUMMYFUNCTION("""COMPUTED_VALUE"""),3237.5)</f>
        <v>3237.5</v>
      </c>
      <c r="C430" s="2">
        <f>IFERROR(__xludf.DUMMYFUNCTION("""COMPUTED_VALUE"""),3337.5)</f>
        <v>3337.5</v>
      </c>
      <c r="D430" s="2">
        <f>IFERROR(__xludf.DUMMYFUNCTION("""COMPUTED_VALUE"""),3225.0)</f>
        <v>3225</v>
      </c>
      <c r="E430" s="2">
        <f>IFERROR(__xludf.DUMMYFUNCTION("""COMPUTED_VALUE"""),3300.0)</f>
        <v>3300</v>
      </c>
      <c r="F430" s="2">
        <f>IFERROR(__xludf.DUMMYFUNCTION("""COMPUTED_VALUE"""),8.43879E7)</f>
        <v>84387900</v>
      </c>
      <c r="G430" s="2">
        <f t="shared" si="1"/>
        <v>125</v>
      </c>
    </row>
    <row r="431" ht="15.75" customHeight="1">
      <c r="A431" s="1">
        <f>IFERROR(__xludf.DUMMYFUNCTION("""COMPUTED_VALUE"""),44476.625)</f>
        <v>44476.625</v>
      </c>
      <c r="B431" s="2">
        <f>IFERROR(__xludf.DUMMYFUNCTION("""COMPUTED_VALUE"""),3325.0)</f>
        <v>3325</v>
      </c>
      <c r="C431" s="2">
        <f>IFERROR(__xludf.DUMMYFUNCTION("""COMPUTED_VALUE"""),3412.5)</f>
        <v>3412.5</v>
      </c>
      <c r="D431" s="2">
        <f>IFERROR(__xludf.DUMMYFUNCTION("""COMPUTED_VALUE"""),3312.5)</f>
        <v>3312.5</v>
      </c>
      <c r="E431" s="2">
        <f>IFERROR(__xludf.DUMMYFUNCTION("""COMPUTED_VALUE"""),3350.0)</f>
        <v>3350</v>
      </c>
      <c r="F431" s="2">
        <f>IFERROR(__xludf.DUMMYFUNCTION("""COMPUTED_VALUE"""),1.265983E8)</f>
        <v>126598300</v>
      </c>
      <c r="G431" s="2">
        <f t="shared" si="1"/>
        <v>112.5</v>
      </c>
    </row>
    <row r="432" ht="15.75" customHeight="1">
      <c r="A432" s="1">
        <f>IFERROR(__xludf.DUMMYFUNCTION("""COMPUTED_VALUE"""),44477.625)</f>
        <v>44477.625</v>
      </c>
      <c r="B432" s="2">
        <f>IFERROR(__xludf.DUMMYFUNCTION("""COMPUTED_VALUE"""),3362.5)</f>
        <v>3362.5</v>
      </c>
      <c r="C432" s="2">
        <f>IFERROR(__xludf.DUMMYFUNCTION("""COMPUTED_VALUE"""),3487.5)</f>
        <v>3487.5</v>
      </c>
      <c r="D432" s="2">
        <f>IFERROR(__xludf.DUMMYFUNCTION("""COMPUTED_VALUE"""),3362.5)</f>
        <v>3362.5</v>
      </c>
      <c r="E432" s="2">
        <f>IFERROR(__xludf.DUMMYFUNCTION("""COMPUTED_VALUE"""),3450.0)</f>
        <v>3450</v>
      </c>
      <c r="F432" s="2">
        <f>IFERROR(__xludf.DUMMYFUNCTION("""COMPUTED_VALUE"""),1.11796E8)</f>
        <v>111796000</v>
      </c>
      <c r="G432" s="2">
        <f t="shared" si="1"/>
        <v>137.5</v>
      </c>
    </row>
    <row r="433" ht="15.75" customHeight="1">
      <c r="A433" s="1">
        <f>IFERROR(__xludf.DUMMYFUNCTION("""COMPUTED_VALUE"""),44480.625)</f>
        <v>44480.625</v>
      </c>
      <c r="B433" s="2">
        <f>IFERROR(__xludf.DUMMYFUNCTION("""COMPUTED_VALUE"""),3450.0)</f>
        <v>3450</v>
      </c>
      <c r="C433" s="2">
        <f>IFERROR(__xludf.DUMMYFUNCTION("""COMPUTED_VALUE"""),3462.5)</f>
        <v>3462.5</v>
      </c>
      <c r="D433" s="2">
        <f>IFERROR(__xludf.DUMMYFUNCTION("""COMPUTED_VALUE"""),3400.0)</f>
        <v>3400</v>
      </c>
      <c r="E433" s="2">
        <f>IFERROR(__xludf.DUMMYFUNCTION("""COMPUTED_VALUE"""),3450.0)</f>
        <v>3450</v>
      </c>
      <c r="F433" s="2">
        <f>IFERROR(__xludf.DUMMYFUNCTION("""COMPUTED_VALUE"""),6.15101E7)</f>
        <v>61510100</v>
      </c>
      <c r="G433" s="2">
        <f t="shared" si="1"/>
        <v>62.5</v>
      </c>
    </row>
    <row r="434" ht="15.75" customHeight="1">
      <c r="A434" s="1">
        <f>IFERROR(__xludf.DUMMYFUNCTION("""COMPUTED_VALUE"""),44481.66666666667)</f>
        <v>44481.66667</v>
      </c>
      <c r="B434" s="2">
        <f>IFERROR(__xludf.DUMMYFUNCTION("""COMPUTED_VALUE"""),3487.5)</f>
        <v>3487.5</v>
      </c>
      <c r="C434" s="2">
        <f>IFERROR(__xludf.DUMMYFUNCTION("""COMPUTED_VALUE"""),3525.0)</f>
        <v>3525</v>
      </c>
      <c r="D434" s="2">
        <f>IFERROR(__xludf.DUMMYFUNCTION("""COMPUTED_VALUE"""),3462.5)</f>
        <v>3462.5</v>
      </c>
      <c r="E434" s="2">
        <f>IFERROR(__xludf.DUMMYFUNCTION("""COMPUTED_VALUE"""),3500.0)</f>
        <v>3500</v>
      </c>
      <c r="F434" s="2">
        <f>IFERROR(__xludf.DUMMYFUNCTION("""COMPUTED_VALUE"""),9.55221E7)</f>
        <v>95522100</v>
      </c>
      <c r="G434" s="2">
        <f t="shared" si="1"/>
        <v>75</v>
      </c>
    </row>
    <row r="435" ht="15.75" customHeight="1">
      <c r="A435" s="1">
        <f>IFERROR(__xludf.DUMMYFUNCTION("""COMPUTED_VALUE"""),44482.625)</f>
        <v>44482.625</v>
      </c>
      <c r="B435" s="2">
        <f>IFERROR(__xludf.DUMMYFUNCTION("""COMPUTED_VALUE"""),3537.5)</f>
        <v>3537.5</v>
      </c>
      <c r="C435" s="2">
        <f>IFERROR(__xludf.DUMMYFUNCTION("""COMPUTED_VALUE"""),3550.0)</f>
        <v>3550</v>
      </c>
      <c r="D435" s="2">
        <f>IFERROR(__xludf.DUMMYFUNCTION("""COMPUTED_VALUE"""),3475.0)</f>
        <v>3475</v>
      </c>
      <c r="E435" s="2">
        <f>IFERROR(__xludf.DUMMYFUNCTION("""COMPUTED_VALUE"""),3550.0)</f>
        <v>3550</v>
      </c>
      <c r="F435" s="2">
        <f>IFERROR(__xludf.DUMMYFUNCTION("""COMPUTED_VALUE"""),6.7499E7)</f>
        <v>67499000</v>
      </c>
      <c r="G435" s="2">
        <f t="shared" si="1"/>
        <v>75</v>
      </c>
    </row>
    <row r="436" ht="15.75" customHeight="1">
      <c r="A436" s="1">
        <f>IFERROR(__xludf.DUMMYFUNCTION("""COMPUTED_VALUE"""),44483.66666666667)</f>
        <v>44483.66667</v>
      </c>
      <c r="B436" s="2">
        <f>IFERROR(__xludf.DUMMYFUNCTION("""COMPUTED_VALUE"""),3562.5)</f>
        <v>3562.5</v>
      </c>
      <c r="C436" s="2">
        <f>IFERROR(__xludf.DUMMYFUNCTION("""COMPUTED_VALUE"""),3587.5)</f>
        <v>3587.5</v>
      </c>
      <c r="D436" s="2">
        <f>IFERROR(__xludf.DUMMYFUNCTION("""COMPUTED_VALUE"""),3525.0)</f>
        <v>3525</v>
      </c>
      <c r="E436" s="2">
        <f>IFERROR(__xludf.DUMMYFUNCTION("""COMPUTED_VALUE"""),3587.5)</f>
        <v>3587.5</v>
      </c>
      <c r="F436" s="2">
        <f>IFERROR(__xludf.DUMMYFUNCTION("""COMPUTED_VALUE"""),5.21539E7)</f>
        <v>52153900</v>
      </c>
      <c r="G436" s="2">
        <f t="shared" si="1"/>
        <v>62.5</v>
      </c>
    </row>
    <row r="437" ht="15.75" customHeight="1">
      <c r="A437" s="1">
        <f>IFERROR(__xludf.DUMMYFUNCTION("""COMPUTED_VALUE"""),44484.66666666667)</f>
        <v>44484.66667</v>
      </c>
      <c r="B437" s="2">
        <f>IFERROR(__xludf.DUMMYFUNCTION("""COMPUTED_VALUE"""),3587.5)</f>
        <v>3587.5</v>
      </c>
      <c r="C437" s="2">
        <f>IFERROR(__xludf.DUMMYFUNCTION("""COMPUTED_VALUE"""),3600.0)</f>
        <v>3600</v>
      </c>
      <c r="D437" s="2">
        <f>IFERROR(__xludf.DUMMYFUNCTION("""COMPUTED_VALUE"""),3537.5)</f>
        <v>3537.5</v>
      </c>
      <c r="E437" s="2">
        <f>IFERROR(__xludf.DUMMYFUNCTION("""COMPUTED_VALUE"""),3575.0)</f>
        <v>3575</v>
      </c>
      <c r="F437" s="2">
        <f>IFERROR(__xludf.DUMMYFUNCTION("""COMPUTED_VALUE"""),4.21765E7)</f>
        <v>42176500</v>
      </c>
      <c r="G437" s="2">
        <f t="shared" si="1"/>
        <v>62.5</v>
      </c>
    </row>
    <row r="438" ht="15.75" customHeight="1">
      <c r="A438" s="1">
        <f>IFERROR(__xludf.DUMMYFUNCTION("""COMPUTED_VALUE"""),44487.625)</f>
        <v>44487.625</v>
      </c>
      <c r="B438" s="2">
        <f>IFERROR(__xludf.DUMMYFUNCTION("""COMPUTED_VALUE"""),3600.0)</f>
        <v>3600</v>
      </c>
      <c r="C438" s="2">
        <f>IFERROR(__xludf.DUMMYFUNCTION("""COMPUTED_VALUE"""),3662.5)</f>
        <v>3662.5</v>
      </c>
      <c r="D438" s="2">
        <f>IFERROR(__xludf.DUMMYFUNCTION("""COMPUTED_VALUE"""),3575.0)</f>
        <v>3575</v>
      </c>
      <c r="E438" s="2">
        <f>IFERROR(__xludf.DUMMYFUNCTION("""COMPUTED_VALUE"""),3587.5)</f>
        <v>3587.5</v>
      </c>
      <c r="F438" s="2">
        <f>IFERROR(__xludf.DUMMYFUNCTION("""COMPUTED_VALUE"""),7.64758E7)</f>
        <v>76475800</v>
      </c>
      <c r="G438" s="2">
        <f t="shared" si="1"/>
        <v>87.5</v>
      </c>
    </row>
    <row r="439" ht="15.75" customHeight="1">
      <c r="A439" s="1">
        <f>IFERROR(__xludf.DUMMYFUNCTION("""COMPUTED_VALUE"""),44488.625)</f>
        <v>44488.625</v>
      </c>
      <c r="B439" s="2">
        <f>IFERROR(__xludf.DUMMYFUNCTION("""COMPUTED_VALUE"""),3625.0)</f>
        <v>3625</v>
      </c>
      <c r="C439" s="2">
        <f>IFERROR(__xludf.DUMMYFUNCTION("""COMPUTED_VALUE"""),3625.0)</f>
        <v>3625</v>
      </c>
      <c r="D439" s="2">
        <f>IFERROR(__xludf.DUMMYFUNCTION("""COMPUTED_VALUE"""),3525.0)</f>
        <v>3525</v>
      </c>
      <c r="E439" s="2">
        <f>IFERROR(__xludf.DUMMYFUNCTION("""COMPUTED_VALUE"""),3600.0)</f>
        <v>3600</v>
      </c>
      <c r="F439" s="2">
        <f>IFERROR(__xludf.DUMMYFUNCTION("""COMPUTED_VALUE"""),4.9679E7)</f>
        <v>49679000</v>
      </c>
      <c r="G439" s="2">
        <f t="shared" si="1"/>
        <v>100</v>
      </c>
    </row>
    <row r="440" ht="15.75" customHeight="1">
      <c r="A440" s="1">
        <f>IFERROR(__xludf.DUMMYFUNCTION("""COMPUTED_VALUE"""),44490.625)</f>
        <v>44490.625</v>
      </c>
      <c r="B440" s="2">
        <f>IFERROR(__xludf.DUMMYFUNCTION("""COMPUTED_VALUE"""),3587.5)</f>
        <v>3587.5</v>
      </c>
      <c r="C440" s="2">
        <f>IFERROR(__xludf.DUMMYFUNCTION("""COMPUTED_VALUE"""),3662.5)</f>
        <v>3662.5</v>
      </c>
      <c r="D440" s="2">
        <f>IFERROR(__xludf.DUMMYFUNCTION("""COMPUTED_VALUE"""),3562.5)</f>
        <v>3562.5</v>
      </c>
      <c r="E440" s="2">
        <f>IFERROR(__xludf.DUMMYFUNCTION("""COMPUTED_VALUE"""),3587.5)</f>
        <v>3587.5</v>
      </c>
      <c r="F440" s="2">
        <f>IFERROR(__xludf.DUMMYFUNCTION("""COMPUTED_VALUE"""),9.4632E7)</f>
        <v>94632000</v>
      </c>
      <c r="G440" s="2">
        <f t="shared" si="1"/>
        <v>100</v>
      </c>
    </row>
    <row r="441" ht="15.75" customHeight="1">
      <c r="A441" s="1">
        <f>IFERROR(__xludf.DUMMYFUNCTION("""COMPUTED_VALUE"""),44491.625)</f>
        <v>44491.625</v>
      </c>
      <c r="B441" s="2">
        <f>IFERROR(__xludf.DUMMYFUNCTION("""COMPUTED_VALUE"""),3550.0)</f>
        <v>3550</v>
      </c>
      <c r="C441" s="2">
        <f>IFERROR(__xludf.DUMMYFUNCTION("""COMPUTED_VALUE"""),3612.5)</f>
        <v>3612.5</v>
      </c>
      <c r="D441" s="2">
        <f>IFERROR(__xludf.DUMMYFUNCTION("""COMPUTED_VALUE"""),3537.5)</f>
        <v>3537.5</v>
      </c>
      <c r="E441" s="2">
        <f>IFERROR(__xludf.DUMMYFUNCTION("""COMPUTED_VALUE"""),3600.0)</f>
        <v>3600</v>
      </c>
      <c r="F441" s="2">
        <f>IFERROR(__xludf.DUMMYFUNCTION("""COMPUTED_VALUE"""),3.28913E7)</f>
        <v>32891300</v>
      </c>
      <c r="G441" s="2">
        <f t="shared" si="1"/>
        <v>75</v>
      </c>
    </row>
    <row r="442" ht="15.75" customHeight="1">
      <c r="A442" s="1">
        <f>IFERROR(__xludf.DUMMYFUNCTION("""COMPUTED_VALUE"""),44494.625)</f>
        <v>44494.625</v>
      </c>
      <c r="B442" s="2">
        <f>IFERROR(__xludf.DUMMYFUNCTION("""COMPUTED_VALUE"""),3587.5)</f>
        <v>3587.5</v>
      </c>
      <c r="C442" s="2">
        <f>IFERROR(__xludf.DUMMYFUNCTION("""COMPUTED_VALUE"""),3625.0)</f>
        <v>3625</v>
      </c>
      <c r="D442" s="2">
        <f>IFERROR(__xludf.DUMMYFUNCTION("""COMPUTED_VALUE"""),3562.5)</f>
        <v>3562.5</v>
      </c>
      <c r="E442" s="2">
        <f>IFERROR(__xludf.DUMMYFUNCTION("""COMPUTED_VALUE"""),3562.5)</f>
        <v>3562.5</v>
      </c>
      <c r="F442" s="2">
        <f>IFERROR(__xludf.DUMMYFUNCTION("""COMPUTED_VALUE"""),3.81481E7)</f>
        <v>38148100</v>
      </c>
      <c r="G442" s="2">
        <f t="shared" si="1"/>
        <v>62.5</v>
      </c>
    </row>
    <row r="443" ht="15.75" customHeight="1">
      <c r="A443" s="1">
        <f>IFERROR(__xludf.DUMMYFUNCTION("""COMPUTED_VALUE"""),44495.625)</f>
        <v>44495.625</v>
      </c>
      <c r="B443" s="2">
        <f>IFERROR(__xludf.DUMMYFUNCTION("""COMPUTED_VALUE"""),3550.0)</f>
        <v>3550</v>
      </c>
      <c r="C443" s="2">
        <f>IFERROR(__xludf.DUMMYFUNCTION("""COMPUTED_VALUE"""),3600.0)</f>
        <v>3600</v>
      </c>
      <c r="D443" s="2">
        <f>IFERROR(__xludf.DUMMYFUNCTION("""COMPUTED_VALUE"""),3550.0)</f>
        <v>3550</v>
      </c>
      <c r="E443" s="2">
        <f>IFERROR(__xludf.DUMMYFUNCTION("""COMPUTED_VALUE"""),3587.5)</f>
        <v>3587.5</v>
      </c>
      <c r="F443" s="2">
        <f>IFERROR(__xludf.DUMMYFUNCTION("""COMPUTED_VALUE"""),2.79364E7)</f>
        <v>27936400</v>
      </c>
      <c r="G443" s="2">
        <f t="shared" si="1"/>
        <v>50</v>
      </c>
    </row>
    <row r="444" ht="15.75" customHeight="1">
      <c r="A444" s="1">
        <f>IFERROR(__xludf.DUMMYFUNCTION("""COMPUTED_VALUE"""),44496.625)</f>
        <v>44496.625</v>
      </c>
      <c r="B444" s="2">
        <f>IFERROR(__xludf.DUMMYFUNCTION("""COMPUTED_VALUE"""),3600.0)</f>
        <v>3600</v>
      </c>
      <c r="C444" s="2">
        <f>IFERROR(__xludf.DUMMYFUNCTION("""COMPUTED_VALUE"""),3612.5)</f>
        <v>3612.5</v>
      </c>
      <c r="D444" s="2">
        <f>IFERROR(__xludf.DUMMYFUNCTION("""COMPUTED_VALUE"""),3562.5)</f>
        <v>3562.5</v>
      </c>
      <c r="E444" s="2">
        <f>IFERROR(__xludf.DUMMYFUNCTION("""COMPUTED_VALUE"""),3575.0)</f>
        <v>3575</v>
      </c>
      <c r="F444" s="2">
        <f>IFERROR(__xludf.DUMMYFUNCTION("""COMPUTED_VALUE"""),4.14626E7)</f>
        <v>41462600</v>
      </c>
      <c r="G444" s="2">
        <f t="shared" si="1"/>
        <v>50</v>
      </c>
    </row>
    <row r="445" ht="15.75" customHeight="1">
      <c r="A445" s="1">
        <f>IFERROR(__xludf.DUMMYFUNCTION("""COMPUTED_VALUE"""),44497.625)</f>
        <v>44497.625</v>
      </c>
      <c r="B445" s="2">
        <f>IFERROR(__xludf.DUMMYFUNCTION("""COMPUTED_VALUE"""),3562.5)</f>
        <v>3562.5</v>
      </c>
      <c r="C445" s="2">
        <f>IFERROR(__xludf.DUMMYFUNCTION("""COMPUTED_VALUE"""),3575.0)</f>
        <v>3575</v>
      </c>
      <c r="D445" s="2">
        <f>IFERROR(__xludf.DUMMYFUNCTION("""COMPUTED_VALUE"""),3500.0)</f>
        <v>3500</v>
      </c>
      <c r="E445" s="2">
        <f>IFERROR(__xludf.DUMMYFUNCTION("""COMPUTED_VALUE"""),3512.5)</f>
        <v>3512.5</v>
      </c>
      <c r="F445" s="2">
        <f>IFERROR(__xludf.DUMMYFUNCTION("""COMPUTED_VALUE"""),4.95118E7)</f>
        <v>49511800</v>
      </c>
      <c r="G445" s="2">
        <f t="shared" si="1"/>
        <v>75</v>
      </c>
    </row>
    <row r="446" ht="15.75" customHeight="1">
      <c r="A446" s="1">
        <f>IFERROR(__xludf.DUMMYFUNCTION("""COMPUTED_VALUE"""),44498.625)</f>
        <v>44498.625</v>
      </c>
      <c r="B446" s="2">
        <f>IFERROR(__xludf.DUMMYFUNCTION("""COMPUTED_VALUE"""),3587.5)</f>
        <v>3587.5</v>
      </c>
      <c r="C446" s="2">
        <f>IFERROR(__xludf.DUMMYFUNCTION("""COMPUTED_VALUE"""),3650.0)</f>
        <v>3650</v>
      </c>
      <c r="D446" s="2">
        <f>IFERROR(__xludf.DUMMYFUNCTION("""COMPUTED_VALUE"""),3575.0)</f>
        <v>3575</v>
      </c>
      <c r="E446" s="2">
        <f>IFERROR(__xludf.DUMMYFUNCTION("""COMPUTED_VALUE"""),3587.5)</f>
        <v>3587.5</v>
      </c>
      <c r="F446" s="2">
        <f>IFERROR(__xludf.DUMMYFUNCTION("""COMPUTED_VALUE"""),8.04762E7)</f>
        <v>80476200</v>
      </c>
      <c r="G446" s="2">
        <f t="shared" si="1"/>
        <v>137.5</v>
      </c>
    </row>
    <row r="447" ht="15.75" customHeight="1">
      <c r="A447" s="1">
        <f>IFERROR(__xludf.DUMMYFUNCTION("""COMPUTED_VALUE"""),44501.625)</f>
        <v>44501.625</v>
      </c>
      <c r="B447" s="2">
        <f>IFERROR(__xludf.DUMMYFUNCTION("""COMPUTED_VALUE"""),3625.0)</f>
        <v>3625</v>
      </c>
      <c r="C447" s="2">
        <f>IFERROR(__xludf.DUMMYFUNCTION("""COMPUTED_VALUE"""),3625.0)</f>
        <v>3625</v>
      </c>
      <c r="D447" s="2">
        <f>IFERROR(__xludf.DUMMYFUNCTION("""COMPUTED_VALUE"""),3575.0)</f>
        <v>3575</v>
      </c>
      <c r="E447" s="2">
        <f>IFERROR(__xludf.DUMMYFUNCTION("""COMPUTED_VALUE"""),3587.5)</f>
        <v>3587.5</v>
      </c>
      <c r="F447" s="2">
        <f>IFERROR(__xludf.DUMMYFUNCTION("""COMPUTED_VALUE"""),3.28107E7)</f>
        <v>32810700</v>
      </c>
      <c r="G447" s="2">
        <f t="shared" si="1"/>
        <v>50</v>
      </c>
    </row>
    <row r="448" ht="15.75" customHeight="1">
      <c r="A448" s="1">
        <f>IFERROR(__xludf.DUMMYFUNCTION("""COMPUTED_VALUE"""),44502.625)</f>
        <v>44502.625</v>
      </c>
      <c r="B448" s="2">
        <f>IFERROR(__xludf.DUMMYFUNCTION("""COMPUTED_VALUE"""),3587.5)</f>
        <v>3587.5</v>
      </c>
      <c r="C448" s="2">
        <f>IFERROR(__xludf.DUMMYFUNCTION("""COMPUTED_VALUE"""),3600.0)</f>
        <v>3600</v>
      </c>
      <c r="D448" s="2">
        <f>IFERROR(__xludf.DUMMYFUNCTION("""COMPUTED_VALUE"""),3500.0)</f>
        <v>3500</v>
      </c>
      <c r="E448" s="2">
        <f>IFERROR(__xludf.DUMMYFUNCTION("""COMPUTED_VALUE"""),3512.5)</f>
        <v>3512.5</v>
      </c>
      <c r="F448" s="2">
        <f>IFERROR(__xludf.DUMMYFUNCTION("""COMPUTED_VALUE"""),2.59617E7)</f>
        <v>25961700</v>
      </c>
      <c r="G448" s="2">
        <f t="shared" si="1"/>
        <v>100</v>
      </c>
    </row>
    <row r="449" ht="15.75" customHeight="1">
      <c r="A449" s="1">
        <f>IFERROR(__xludf.DUMMYFUNCTION("""COMPUTED_VALUE"""),44503.625)</f>
        <v>44503.625</v>
      </c>
      <c r="B449" s="2">
        <f>IFERROR(__xludf.DUMMYFUNCTION("""COMPUTED_VALUE"""),3487.5)</f>
        <v>3487.5</v>
      </c>
      <c r="C449" s="2">
        <f>IFERROR(__xludf.DUMMYFUNCTION("""COMPUTED_VALUE"""),3625.0)</f>
        <v>3625</v>
      </c>
      <c r="D449" s="2">
        <f>IFERROR(__xludf.DUMMYFUNCTION("""COMPUTED_VALUE"""),3462.5)</f>
        <v>3462.5</v>
      </c>
      <c r="E449" s="2">
        <f>IFERROR(__xludf.DUMMYFUNCTION("""COMPUTED_VALUE"""),3562.5)</f>
        <v>3562.5</v>
      </c>
      <c r="F449" s="2">
        <f>IFERROR(__xludf.DUMMYFUNCTION("""COMPUTED_VALUE"""),5.37783E7)</f>
        <v>53778300</v>
      </c>
      <c r="G449" s="2">
        <f t="shared" si="1"/>
        <v>162.5</v>
      </c>
    </row>
    <row r="450" ht="15.75" customHeight="1">
      <c r="A450" s="1">
        <f>IFERROR(__xludf.DUMMYFUNCTION("""COMPUTED_VALUE"""),44504.66666666667)</f>
        <v>44504.66667</v>
      </c>
      <c r="B450" s="2">
        <f>IFERROR(__xludf.DUMMYFUNCTION("""COMPUTED_VALUE"""),3625.0)</f>
        <v>3625</v>
      </c>
      <c r="C450" s="2">
        <f>IFERROR(__xludf.DUMMYFUNCTION("""COMPUTED_VALUE"""),3650.0)</f>
        <v>3650</v>
      </c>
      <c r="D450" s="2">
        <f>IFERROR(__xludf.DUMMYFUNCTION("""COMPUTED_VALUE"""),3587.5)</f>
        <v>3587.5</v>
      </c>
      <c r="E450" s="2">
        <f>IFERROR(__xludf.DUMMYFUNCTION("""COMPUTED_VALUE"""),3587.5)</f>
        <v>3587.5</v>
      </c>
      <c r="F450" s="2">
        <f>IFERROR(__xludf.DUMMYFUNCTION("""COMPUTED_VALUE"""),5.18632E7)</f>
        <v>51863200</v>
      </c>
      <c r="G450" s="2">
        <f t="shared" si="1"/>
        <v>87.5</v>
      </c>
    </row>
    <row r="451" ht="15.75" customHeight="1">
      <c r="A451" s="1">
        <f>IFERROR(__xludf.DUMMYFUNCTION("""COMPUTED_VALUE"""),44505.625)</f>
        <v>44505.625</v>
      </c>
      <c r="B451" s="2">
        <f>IFERROR(__xludf.DUMMYFUNCTION("""COMPUTED_VALUE"""),3625.0)</f>
        <v>3625</v>
      </c>
      <c r="C451" s="2">
        <f>IFERROR(__xludf.DUMMYFUNCTION("""COMPUTED_VALUE"""),3625.0)</f>
        <v>3625</v>
      </c>
      <c r="D451" s="2">
        <f>IFERROR(__xludf.DUMMYFUNCTION("""COMPUTED_VALUE"""),3500.0)</f>
        <v>3500</v>
      </c>
      <c r="E451" s="2">
        <f>IFERROR(__xludf.DUMMYFUNCTION("""COMPUTED_VALUE"""),3550.0)</f>
        <v>3550</v>
      </c>
      <c r="F451" s="2">
        <f>IFERROR(__xludf.DUMMYFUNCTION("""COMPUTED_VALUE"""),2.40178E7)</f>
        <v>24017800</v>
      </c>
      <c r="G451" s="2">
        <f t="shared" si="1"/>
        <v>125</v>
      </c>
    </row>
    <row r="452" ht="15.75" customHeight="1">
      <c r="A452" s="1">
        <f>IFERROR(__xludf.DUMMYFUNCTION("""COMPUTED_VALUE"""),44508.625)</f>
        <v>44508.625</v>
      </c>
      <c r="B452" s="2">
        <f>IFERROR(__xludf.DUMMYFUNCTION("""COMPUTED_VALUE"""),3600.0)</f>
        <v>3600</v>
      </c>
      <c r="C452" s="2">
        <f>IFERROR(__xludf.DUMMYFUNCTION("""COMPUTED_VALUE"""),3600.0)</f>
        <v>3600</v>
      </c>
      <c r="D452" s="2">
        <f>IFERROR(__xludf.DUMMYFUNCTION("""COMPUTED_VALUE"""),3500.0)</f>
        <v>3500</v>
      </c>
      <c r="E452" s="2">
        <f>IFERROR(__xludf.DUMMYFUNCTION("""COMPUTED_VALUE"""),3500.0)</f>
        <v>3500</v>
      </c>
      <c r="F452" s="2">
        <f>IFERROR(__xludf.DUMMYFUNCTION("""COMPUTED_VALUE"""),2.52587E7)</f>
        <v>25258700</v>
      </c>
      <c r="G452" s="2">
        <f t="shared" si="1"/>
        <v>100</v>
      </c>
    </row>
    <row r="453" ht="15.75" customHeight="1">
      <c r="A453" s="1">
        <f>IFERROR(__xludf.DUMMYFUNCTION("""COMPUTED_VALUE"""),44509.625)</f>
        <v>44509.625</v>
      </c>
      <c r="B453" s="2">
        <f>IFERROR(__xludf.DUMMYFUNCTION("""COMPUTED_VALUE"""),3525.0)</f>
        <v>3525</v>
      </c>
      <c r="C453" s="2">
        <f>IFERROR(__xludf.DUMMYFUNCTION("""COMPUTED_VALUE"""),3550.0)</f>
        <v>3550</v>
      </c>
      <c r="D453" s="2">
        <f>IFERROR(__xludf.DUMMYFUNCTION("""COMPUTED_VALUE"""),3425.0)</f>
        <v>3425</v>
      </c>
      <c r="E453" s="2">
        <f>IFERROR(__xludf.DUMMYFUNCTION("""COMPUTED_VALUE"""),3437.5)</f>
        <v>3437.5</v>
      </c>
      <c r="F453" s="2">
        <f>IFERROR(__xludf.DUMMYFUNCTION("""COMPUTED_VALUE"""),6.02871E7)</f>
        <v>60287100</v>
      </c>
      <c r="G453" s="2">
        <f t="shared" si="1"/>
        <v>125</v>
      </c>
    </row>
    <row r="454" ht="15.75" customHeight="1">
      <c r="A454" s="1">
        <f>IFERROR(__xludf.DUMMYFUNCTION("""COMPUTED_VALUE"""),44510.625)</f>
        <v>44510.625</v>
      </c>
      <c r="B454" s="2">
        <f>IFERROR(__xludf.DUMMYFUNCTION("""COMPUTED_VALUE"""),3437.5)</f>
        <v>3437.5</v>
      </c>
      <c r="C454" s="2">
        <f>IFERROR(__xludf.DUMMYFUNCTION("""COMPUTED_VALUE"""),3575.0)</f>
        <v>3575</v>
      </c>
      <c r="D454" s="2">
        <f>IFERROR(__xludf.DUMMYFUNCTION("""COMPUTED_VALUE"""),3437.5)</f>
        <v>3437.5</v>
      </c>
      <c r="E454" s="2">
        <f>IFERROR(__xludf.DUMMYFUNCTION("""COMPUTED_VALUE"""),3575.0)</f>
        <v>3575</v>
      </c>
      <c r="F454" s="2">
        <f>IFERROR(__xludf.DUMMYFUNCTION("""COMPUTED_VALUE"""),7.8059E7)</f>
        <v>78059000</v>
      </c>
      <c r="G454" s="2">
        <f t="shared" si="1"/>
        <v>137.5</v>
      </c>
    </row>
    <row r="455" ht="15.75" customHeight="1">
      <c r="A455" s="1">
        <f>IFERROR(__xludf.DUMMYFUNCTION("""COMPUTED_VALUE"""),44511.625)</f>
        <v>44511.625</v>
      </c>
      <c r="B455" s="2">
        <f>IFERROR(__xludf.DUMMYFUNCTION("""COMPUTED_VALUE"""),3562.5)</f>
        <v>3562.5</v>
      </c>
      <c r="C455" s="2">
        <f>IFERROR(__xludf.DUMMYFUNCTION("""COMPUTED_VALUE"""),3612.5)</f>
        <v>3612.5</v>
      </c>
      <c r="D455" s="2">
        <f>IFERROR(__xludf.DUMMYFUNCTION("""COMPUTED_VALUE"""),3512.5)</f>
        <v>3512.5</v>
      </c>
      <c r="E455" s="2">
        <f>IFERROR(__xludf.DUMMYFUNCTION("""COMPUTED_VALUE"""),3612.5)</f>
        <v>3612.5</v>
      </c>
      <c r="F455" s="2">
        <f>IFERROR(__xludf.DUMMYFUNCTION("""COMPUTED_VALUE"""),4.31812E7)</f>
        <v>43181200</v>
      </c>
      <c r="G455" s="2">
        <f t="shared" si="1"/>
        <v>100</v>
      </c>
    </row>
    <row r="456" ht="15.75" customHeight="1">
      <c r="A456" s="1">
        <f>IFERROR(__xludf.DUMMYFUNCTION("""COMPUTED_VALUE"""),44512.625)</f>
        <v>44512.625</v>
      </c>
      <c r="B456" s="2">
        <f>IFERROR(__xludf.DUMMYFUNCTION("""COMPUTED_VALUE"""),3637.5)</f>
        <v>3637.5</v>
      </c>
      <c r="C456" s="2">
        <f>IFERROR(__xludf.DUMMYFUNCTION("""COMPUTED_VALUE"""),3637.5)</f>
        <v>3637.5</v>
      </c>
      <c r="D456" s="2">
        <f>IFERROR(__xludf.DUMMYFUNCTION("""COMPUTED_VALUE"""),3525.0)</f>
        <v>3525</v>
      </c>
      <c r="E456" s="2">
        <f>IFERROR(__xludf.DUMMYFUNCTION("""COMPUTED_VALUE"""),3550.0)</f>
        <v>3550</v>
      </c>
      <c r="F456" s="2">
        <f>IFERROR(__xludf.DUMMYFUNCTION("""COMPUTED_VALUE"""),2.84035E7)</f>
        <v>28403500</v>
      </c>
      <c r="G456" s="2">
        <f t="shared" si="1"/>
        <v>112.5</v>
      </c>
    </row>
    <row r="457" ht="15.75" customHeight="1">
      <c r="A457" s="1">
        <f>IFERROR(__xludf.DUMMYFUNCTION("""COMPUTED_VALUE"""),44515.625)</f>
        <v>44515.625</v>
      </c>
      <c r="B457" s="2">
        <f>IFERROR(__xludf.DUMMYFUNCTION("""COMPUTED_VALUE"""),3550.0)</f>
        <v>3550</v>
      </c>
      <c r="C457" s="2">
        <f>IFERROR(__xludf.DUMMYFUNCTION("""COMPUTED_VALUE"""),3575.0)</f>
        <v>3575</v>
      </c>
      <c r="D457" s="2">
        <f>IFERROR(__xludf.DUMMYFUNCTION("""COMPUTED_VALUE"""),3525.0)</f>
        <v>3525</v>
      </c>
      <c r="E457" s="2">
        <f>IFERROR(__xludf.DUMMYFUNCTION("""COMPUTED_VALUE"""),3525.0)</f>
        <v>3525</v>
      </c>
      <c r="F457" s="2">
        <f>IFERROR(__xludf.DUMMYFUNCTION("""COMPUTED_VALUE"""),2.00655E7)</f>
        <v>20065500</v>
      </c>
      <c r="G457" s="2">
        <f t="shared" si="1"/>
        <v>50</v>
      </c>
    </row>
    <row r="458" ht="15.75" customHeight="1">
      <c r="A458" s="1">
        <f>IFERROR(__xludf.DUMMYFUNCTION("""COMPUTED_VALUE"""),44516.625)</f>
        <v>44516.625</v>
      </c>
      <c r="B458" s="2">
        <f>IFERROR(__xludf.DUMMYFUNCTION("""COMPUTED_VALUE"""),3525.0)</f>
        <v>3525</v>
      </c>
      <c r="C458" s="2">
        <f>IFERROR(__xludf.DUMMYFUNCTION("""COMPUTED_VALUE"""),3612.5)</f>
        <v>3612.5</v>
      </c>
      <c r="D458" s="2">
        <f>IFERROR(__xludf.DUMMYFUNCTION("""COMPUTED_VALUE"""),3512.5)</f>
        <v>3512.5</v>
      </c>
      <c r="E458" s="2">
        <f>IFERROR(__xludf.DUMMYFUNCTION("""COMPUTED_VALUE"""),3612.5)</f>
        <v>3612.5</v>
      </c>
      <c r="F458" s="2">
        <f>IFERROR(__xludf.DUMMYFUNCTION("""COMPUTED_VALUE"""),3.80701E7)</f>
        <v>38070100</v>
      </c>
      <c r="G458" s="2">
        <f t="shared" si="1"/>
        <v>100</v>
      </c>
    </row>
    <row r="459" ht="15.75" customHeight="1">
      <c r="A459" s="1">
        <f>IFERROR(__xludf.DUMMYFUNCTION("""COMPUTED_VALUE"""),44517.625)</f>
        <v>44517.625</v>
      </c>
      <c r="B459" s="2">
        <f>IFERROR(__xludf.DUMMYFUNCTION("""COMPUTED_VALUE"""),3612.5)</f>
        <v>3612.5</v>
      </c>
      <c r="C459" s="2">
        <f>IFERROR(__xludf.DUMMYFUNCTION("""COMPUTED_VALUE"""),3625.0)</f>
        <v>3625</v>
      </c>
      <c r="D459" s="2">
        <f>IFERROR(__xludf.DUMMYFUNCTION("""COMPUTED_VALUE"""),3575.0)</f>
        <v>3575</v>
      </c>
      <c r="E459" s="2">
        <f>IFERROR(__xludf.DUMMYFUNCTION("""COMPUTED_VALUE"""),3612.5)</f>
        <v>3612.5</v>
      </c>
      <c r="F459" s="2">
        <f>IFERROR(__xludf.DUMMYFUNCTION("""COMPUTED_VALUE"""),3.63948E7)</f>
        <v>36394800</v>
      </c>
      <c r="G459" s="2">
        <f t="shared" si="1"/>
        <v>50</v>
      </c>
    </row>
    <row r="460" ht="15.75" customHeight="1">
      <c r="A460" s="1">
        <f>IFERROR(__xludf.DUMMYFUNCTION("""COMPUTED_VALUE"""),44518.625)</f>
        <v>44518.625</v>
      </c>
      <c r="B460" s="2">
        <f>IFERROR(__xludf.DUMMYFUNCTION("""COMPUTED_VALUE"""),3600.0)</f>
        <v>3600</v>
      </c>
      <c r="C460" s="2">
        <f>IFERROR(__xludf.DUMMYFUNCTION("""COMPUTED_VALUE"""),3612.5)</f>
        <v>3612.5</v>
      </c>
      <c r="D460" s="2">
        <f>IFERROR(__xludf.DUMMYFUNCTION("""COMPUTED_VALUE"""),3575.0)</f>
        <v>3575</v>
      </c>
      <c r="E460" s="2">
        <f>IFERROR(__xludf.DUMMYFUNCTION("""COMPUTED_VALUE"""),3587.5)</f>
        <v>3587.5</v>
      </c>
      <c r="F460" s="2">
        <f>IFERROR(__xludf.DUMMYFUNCTION("""COMPUTED_VALUE"""),1.54558E7)</f>
        <v>15455800</v>
      </c>
      <c r="G460" s="2">
        <f t="shared" si="1"/>
        <v>37.5</v>
      </c>
    </row>
    <row r="461" ht="15.75" customHeight="1">
      <c r="A461" s="1">
        <f>IFERROR(__xludf.DUMMYFUNCTION("""COMPUTED_VALUE"""),44519.625)</f>
        <v>44519.625</v>
      </c>
      <c r="B461" s="2">
        <f>IFERROR(__xludf.DUMMYFUNCTION("""COMPUTED_VALUE"""),3587.5)</f>
        <v>3587.5</v>
      </c>
      <c r="C461" s="2">
        <f>IFERROR(__xludf.DUMMYFUNCTION("""COMPUTED_VALUE"""),3650.0)</f>
        <v>3650</v>
      </c>
      <c r="D461" s="2">
        <f>IFERROR(__xludf.DUMMYFUNCTION("""COMPUTED_VALUE"""),3575.0)</f>
        <v>3575</v>
      </c>
      <c r="E461" s="2">
        <f>IFERROR(__xludf.DUMMYFUNCTION("""COMPUTED_VALUE"""),3625.0)</f>
        <v>3625</v>
      </c>
      <c r="F461" s="2">
        <f>IFERROR(__xludf.DUMMYFUNCTION("""COMPUTED_VALUE"""),5.05629E7)</f>
        <v>50562900</v>
      </c>
      <c r="G461" s="2">
        <f t="shared" si="1"/>
        <v>75</v>
      </c>
    </row>
    <row r="462" ht="15.75" customHeight="1">
      <c r="A462" s="1">
        <f>IFERROR(__xludf.DUMMYFUNCTION("""COMPUTED_VALUE"""),44522.625)</f>
        <v>44522.625</v>
      </c>
      <c r="B462" s="2">
        <f>IFERROR(__xludf.DUMMYFUNCTION("""COMPUTED_VALUE"""),3675.0)</f>
        <v>3675</v>
      </c>
      <c r="C462" s="2">
        <f>IFERROR(__xludf.DUMMYFUNCTION("""COMPUTED_VALUE"""),3750.0)</f>
        <v>3750</v>
      </c>
      <c r="D462" s="2">
        <f>IFERROR(__xludf.DUMMYFUNCTION("""COMPUTED_VALUE"""),3612.5)</f>
        <v>3612.5</v>
      </c>
      <c r="E462" s="2">
        <f>IFERROR(__xludf.DUMMYFUNCTION("""COMPUTED_VALUE"""),3675.0)</f>
        <v>3675</v>
      </c>
      <c r="F462" s="2">
        <f>IFERROR(__xludf.DUMMYFUNCTION("""COMPUTED_VALUE"""),4.61872E7)</f>
        <v>46187200</v>
      </c>
      <c r="G462" s="2">
        <f t="shared" si="1"/>
        <v>137.5</v>
      </c>
    </row>
    <row r="463" ht="15.75" customHeight="1">
      <c r="A463" s="1">
        <f>IFERROR(__xludf.DUMMYFUNCTION("""COMPUTED_VALUE"""),44523.625)</f>
        <v>44523.625</v>
      </c>
      <c r="B463" s="2">
        <f>IFERROR(__xludf.DUMMYFUNCTION("""COMPUTED_VALUE"""),3612.5)</f>
        <v>3612.5</v>
      </c>
      <c r="C463" s="2">
        <f>IFERROR(__xludf.DUMMYFUNCTION("""COMPUTED_VALUE"""),3637.5)</f>
        <v>3637.5</v>
      </c>
      <c r="D463" s="2">
        <f>IFERROR(__xludf.DUMMYFUNCTION("""COMPUTED_VALUE"""),3550.0)</f>
        <v>3550</v>
      </c>
      <c r="E463" s="2">
        <f>IFERROR(__xludf.DUMMYFUNCTION("""COMPUTED_VALUE"""),3575.0)</f>
        <v>3575</v>
      </c>
      <c r="F463" s="2">
        <f>IFERROR(__xludf.DUMMYFUNCTION("""COMPUTED_VALUE"""),3.15638E7)</f>
        <v>31563800</v>
      </c>
      <c r="G463" s="2">
        <f t="shared" si="1"/>
        <v>125</v>
      </c>
    </row>
    <row r="464" ht="15.75" customHeight="1">
      <c r="A464" s="1">
        <f>IFERROR(__xludf.DUMMYFUNCTION("""COMPUTED_VALUE"""),44524.625)</f>
        <v>44524.625</v>
      </c>
      <c r="B464" s="2">
        <f>IFERROR(__xludf.DUMMYFUNCTION("""COMPUTED_VALUE"""),3562.5)</f>
        <v>3562.5</v>
      </c>
      <c r="C464" s="2">
        <f>IFERROR(__xludf.DUMMYFUNCTION("""COMPUTED_VALUE"""),3587.5)</f>
        <v>3587.5</v>
      </c>
      <c r="D464" s="2">
        <f>IFERROR(__xludf.DUMMYFUNCTION("""COMPUTED_VALUE"""),3550.0)</f>
        <v>3550</v>
      </c>
      <c r="E464" s="2">
        <f>IFERROR(__xludf.DUMMYFUNCTION("""COMPUTED_VALUE"""),3575.0)</f>
        <v>3575</v>
      </c>
      <c r="F464" s="2">
        <f>IFERROR(__xludf.DUMMYFUNCTION("""COMPUTED_VALUE"""),2.81085E7)</f>
        <v>28108500</v>
      </c>
      <c r="G464" s="2">
        <f t="shared" si="1"/>
        <v>37.5</v>
      </c>
    </row>
    <row r="465" ht="15.75" customHeight="1">
      <c r="A465" s="1">
        <f>IFERROR(__xludf.DUMMYFUNCTION("""COMPUTED_VALUE"""),44525.625)</f>
        <v>44525.625</v>
      </c>
      <c r="B465" s="2">
        <f>IFERROR(__xludf.DUMMYFUNCTION("""COMPUTED_VALUE"""),3612.5)</f>
        <v>3612.5</v>
      </c>
      <c r="C465" s="2">
        <f>IFERROR(__xludf.DUMMYFUNCTION("""COMPUTED_VALUE"""),3687.5)</f>
        <v>3687.5</v>
      </c>
      <c r="D465" s="2">
        <f>IFERROR(__xludf.DUMMYFUNCTION("""COMPUTED_VALUE"""),3587.5)</f>
        <v>3587.5</v>
      </c>
      <c r="E465" s="2">
        <f>IFERROR(__xludf.DUMMYFUNCTION("""COMPUTED_VALUE"""),3675.0)</f>
        <v>3675</v>
      </c>
      <c r="F465" s="2">
        <f>IFERROR(__xludf.DUMMYFUNCTION("""COMPUTED_VALUE"""),4.87367E7)</f>
        <v>48736700</v>
      </c>
      <c r="G465" s="2">
        <f t="shared" si="1"/>
        <v>112.5</v>
      </c>
    </row>
    <row r="466" ht="15.75" customHeight="1">
      <c r="A466" s="1">
        <f>IFERROR(__xludf.DUMMYFUNCTION("""COMPUTED_VALUE"""),44526.625)</f>
        <v>44526.625</v>
      </c>
      <c r="B466" s="2">
        <f>IFERROR(__xludf.DUMMYFUNCTION("""COMPUTED_VALUE"""),3662.5)</f>
        <v>3662.5</v>
      </c>
      <c r="C466" s="2">
        <f>IFERROR(__xludf.DUMMYFUNCTION("""COMPUTED_VALUE"""),3662.5)</f>
        <v>3662.5</v>
      </c>
      <c r="D466" s="2">
        <f>IFERROR(__xludf.DUMMYFUNCTION("""COMPUTED_VALUE"""),3537.5)</f>
        <v>3537.5</v>
      </c>
      <c r="E466" s="2">
        <f>IFERROR(__xludf.DUMMYFUNCTION("""COMPUTED_VALUE"""),3550.0)</f>
        <v>3550</v>
      </c>
      <c r="F466" s="2">
        <f>IFERROR(__xludf.DUMMYFUNCTION("""COMPUTED_VALUE"""),3.93167E7)</f>
        <v>39316700</v>
      </c>
      <c r="G466" s="2">
        <f t="shared" si="1"/>
        <v>137.5</v>
      </c>
    </row>
    <row r="467" ht="15.75" customHeight="1">
      <c r="A467" s="1">
        <f>IFERROR(__xludf.DUMMYFUNCTION("""COMPUTED_VALUE"""),44529.625)</f>
        <v>44529.625</v>
      </c>
      <c r="B467" s="2">
        <f>IFERROR(__xludf.DUMMYFUNCTION("""COMPUTED_VALUE"""),3550.0)</f>
        <v>3550</v>
      </c>
      <c r="C467" s="2">
        <f>IFERROR(__xludf.DUMMYFUNCTION("""COMPUTED_VALUE"""),3637.5)</f>
        <v>3637.5</v>
      </c>
      <c r="D467" s="2">
        <f>IFERROR(__xludf.DUMMYFUNCTION("""COMPUTED_VALUE"""),3462.5)</f>
        <v>3462.5</v>
      </c>
      <c r="E467" s="2">
        <f>IFERROR(__xludf.DUMMYFUNCTION("""COMPUTED_VALUE"""),3587.5)</f>
        <v>3587.5</v>
      </c>
      <c r="F467" s="2">
        <f>IFERROR(__xludf.DUMMYFUNCTION("""COMPUTED_VALUE"""),5.63365E7)</f>
        <v>56336500</v>
      </c>
      <c r="G467" s="2">
        <f t="shared" si="1"/>
        <v>175</v>
      </c>
    </row>
    <row r="468" ht="15.75" customHeight="1">
      <c r="A468" s="1">
        <f>IFERROR(__xludf.DUMMYFUNCTION("""COMPUTED_VALUE"""),44530.625)</f>
        <v>44530.625</v>
      </c>
      <c r="B468" s="2">
        <f>IFERROR(__xludf.DUMMYFUNCTION("""COMPUTED_VALUE"""),3625.0)</f>
        <v>3625</v>
      </c>
      <c r="C468" s="2">
        <f>IFERROR(__xludf.DUMMYFUNCTION("""COMPUTED_VALUE"""),3625.0)</f>
        <v>3625</v>
      </c>
      <c r="D468" s="2">
        <f>IFERROR(__xludf.DUMMYFUNCTION("""COMPUTED_VALUE"""),3475.0)</f>
        <v>3475</v>
      </c>
      <c r="E468" s="2">
        <f>IFERROR(__xludf.DUMMYFUNCTION("""COMPUTED_VALUE"""),3500.0)</f>
        <v>3500</v>
      </c>
      <c r="F468" s="2">
        <f>IFERROR(__xludf.DUMMYFUNCTION("""COMPUTED_VALUE"""),1.096702E8)</f>
        <v>109670200</v>
      </c>
      <c r="G468" s="2">
        <f t="shared" si="1"/>
        <v>150</v>
      </c>
    </row>
    <row r="469" ht="15.75" customHeight="1">
      <c r="A469" s="1">
        <f>IFERROR(__xludf.DUMMYFUNCTION("""COMPUTED_VALUE"""),44531.66666666667)</f>
        <v>44531.66667</v>
      </c>
      <c r="B469" s="2">
        <f>IFERROR(__xludf.DUMMYFUNCTION("""COMPUTED_VALUE"""),3500.0)</f>
        <v>3500</v>
      </c>
      <c r="C469" s="2">
        <f>IFERROR(__xludf.DUMMYFUNCTION("""COMPUTED_VALUE"""),3562.5)</f>
        <v>3562.5</v>
      </c>
      <c r="D469" s="2">
        <f>IFERROR(__xludf.DUMMYFUNCTION("""COMPUTED_VALUE"""),3475.0)</f>
        <v>3475</v>
      </c>
      <c r="E469" s="2">
        <f>IFERROR(__xludf.DUMMYFUNCTION("""COMPUTED_VALUE"""),3537.5)</f>
        <v>3537.5</v>
      </c>
      <c r="F469" s="2">
        <f>IFERROR(__xludf.DUMMYFUNCTION("""COMPUTED_VALUE"""),4.65599E7)</f>
        <v>46559900</v>
      </c>
      <c r="G469" s="2">
        <f t="shared" si="1"/>
        <v>87.5</v>
      </c>
    </row>
    <row r="470" ht="15.75" customHeight="1">
      <c r="A470" s="1">
        <f>IFERROR(__xludf.DUMMYFUNCTION("""COMPUTED_VALUE"""),44532.66666666667)</f>
        <v>44532.66667</v>
      </c>
      <c r="B470" s="2">
        <f>IFERROR(__xludf.DUMMYFUNCTION("""COMPUTED_VALUE"""),3537.5)</f>
        <v>3537.5</v>
      </c>
      <c r="C470" s="2">
        <f>IFERROR(__xludf.DUMMYFUNCTION("""COMPUTED_VALUE"""),3625.0)</f>
        <v>3625</v>
      </c>
      <c r="D470" s="2">
        <f>IFERROR(__xludf.DUMMYFUNCTION("""COMPUTED_VALUE"""),3500.0)</f>
        <v>3500</v>
      </c>
      <c r="E470" s="2">
        <f>IFERROR(__xludf.DUMMYFUNCTION("""COMPUTED_VALUE"""),3600.0)</f>
        <v>3600</v>
      </c>
      <c r="F470" s="2">
        <f>IFERROR(__xludf.DUMMYFUNCTION("""COMPUTED_VALUE"""),3.52082E7)</f>
        <v>35208200</v>
      </c>
      <c r="G470" s="2">
        <f t="shared" si="1"/>
        <v>125</v>
      </c>
    </row>
    <row r="471" ht="15.75" customHeight="1">
      <c r="A471" s="1">
        <f>IFERROR(__xludf.DUMMYFUNCTION("""COMPUTED_VALUE"""),44533.66666666667)</f>
        <v>44533.66667</v>
      </c>
      <c r="B471" s="2">
        <f>IFERROR(__xludf.DUMMYFUNCTION("""COMPUTED_VALUE"""),3600.0)</f>
        <v>3600</v>
      </c>
      <c r="C471" s="2">
        <f>IFERROR(__xludf.DUMMYFUNCTION("""COMPUTED_VALUE"""),3612.5)</f>
        <v>3612.5</v>
      </c>
      <c r="D471" s="2">
        <f>IFERROR(__xludf.DUMMYFUNCTION("""COMPUTED_VALUE"""),3550.0)</f>
        <v>3550</v>
      </c>
      <c r="E471" s="2">
        <f>IFERROR(__xludf.DUMMYFUNCTION("""COMPUTED_VALUE"""),3575.0)</f>
        <v>3575</v>
      </c>
      <c r="F471" s="2">
        <f>IFERROR(__xludf.DUMMYFUNCTION("""COMPUTED_VALUE"""),2.30547E7)</f>
        <v>23054700</v>
      </c>
      <c r="G471" s="2">
        <f t="shared" si="1"/>
        <v>62.5</v>
      </c>
    </row>
    <row r="472" ht="15.75" customHeight="1">
      <c r="A472" s="1">
        <f>IFERROR(__xludf.DUMMYFUNCTION("""COMPUTED_VALUE"""),44536.66666666667)</f>
        <v>44536.66667</v>
      </c>
      <c r="B472" s="2">
        <f>IFERROR(__xludf.DUMMYFUNCTION("""COMPUTED_VALUE"""),3575.0)</f>
        <v>3575</v>
      </c>
      <c r="C472" s="2">
        <f>IFERROR(__xludf.DUMMYFUNCTION("""COMPUTED_VALUE"""),3625.0)</f>
        <v>3625</v>
      </c>
      <c r="D472" s="2">
        <f>IFERROR(__xludf.DUMMYFUNCTION("""COMPUTED_VALUE"""),3550.0)</f>
        <v>3550</v>
      </c>
      <c r="E472" s="2">
        <f>IFERROR(__xludf.DUMMYFUNCTION("""COMPUTED_VALUE"""),3587.5)</f>
        <v>3587.5</v>
      </c>
      <c r="F472" s="2">
        <f>IFERROR(__xludf.DUMMYFUNCTION("""COMPUTED_VALUE"""),2.60252E7)</f>
        <v>26025200</v>
      </c>
      <c r="G472" s="2">
        <f t="shared" si="1"/>
        <v>75</v>
      </c>
    </row>
    <row r="473" ht="15.75" customHeight="1">
      <c r="A473" s="1">
        <f>IFERROR(__xludf.DUMMYFUNCTION("""COMPUTED_VALUE"""),44537.66666666667)</f>
        <v>44537.66667</v>
      </c>
      <c r="B473" s="2">
        <f>IFERROR(__xludf.DUMMYFUNCTION("""COMPUTED_VALUE"""),3587.5)</f>
        <v>3587.5</v>
      </c>
      <c r="C473" s="2">
        <f>IFERROR(__xludf.DUMMYFUNCTION("""COMPUTED_VALUE"""),3650.0)</f>
        <v>3650</v>
      </c>
      <c r="D473" s="2">
        <f>IFERROR(__xludf.DUMMYFUNCTION("""COMPUTED_VALUE"""),3587.5)</f>
        <v>3587.5</v>
      </c>
      <c r="E473" s="2">
        <f>IFERROR(__xludf.DUMMYFUNCTION("""COMPUTED_VALUE"""),3650.0)</f>
        <v>3650</v>
      </c>
      <c r="F473" s="2">
        <f>IFERROR(__xludf.DUMMYFUNCTION("""COMPUTED_VALUE"""),3.21447E7)</f>
        <v>32144700</v>
      </c>
      <c r="G473" s="2">
        <f t="shared" si="1"/>
        <v>62.5</v>
      </c>
    </row>
    <row r="474" ht="15.75" customHeight="1">
      <c r="A474" s="1">
        <f>IFERROR(__xludf.DUMMYFUNCTION("""COMPUTED_VALUE"""),44538.66666666667)</f>
        <v>44538.66667</v>
      </c>
      <c r="B474" s="2">
        <f>IFERROR(__xludf.DUMMYFUNCTION("""COMPUTED_VALUE"""),3637.5)</f>
        <v>3637.5</v>
      </c>
      <c r="C474" s="2">
        <f>IFERROR(__xludf.DUMMYFUNCTION("""COMPUTED_VALUE"""),3650.0)</f>
        <v>3650</v>
      </c>
      <c r="D474" s="2">
        <f>IFERROR(__xludf.DUMMYFUNCTION("""COMPUTED_VALUE"""),3575.0)</f>
        <v>3575</v>
      </c>
      <c r="E474" s="2">
        <f>IFERROR(__xludf.DUMMYFUNCTION("""COMPUTED_VALUE"""),3575.0)</f>
        <v>3575</v>
      </c>
      <c r="F474" s="2">
        <f>IFERROR(__xludf.DUMMYFUNCTION("""COMPUTED_VALUE"""),2.80321E7)</f>
        <v>28032100</v>
      </c>
      <c r="G474" s="2">
        <f t="shared" si="1"/>
        <v>75</v>
      </c>
    </row>
    <row r="475" ht="15.75" customHeight="1">
      <c r="A475" s="1">
        <f>IFERROR(__xludf.DUMMYFUNCTION("""COMPUTED_VALUE"""),44539.66666666667)</f>
        <v>44539.66667</v>
      </c>
      <c r="B475" s="2">
        <f>IFERROR(__xludf.DUMMYFUNCTION("""COMPUTED_VALUE"""),3625.0)</f>
        <v>3625</v>
      </c>
      <c r="C475" s="2">
        <f>IFERROR(__xludf.DUMMYFUNCTION("""COMPUTED_VALUE"""),3675.0)</f>
        <v>3675</v>
      </c>
      <c r="D475" s="2">
        <f>IFERROR(__xludf.DUMMYFUNCTION("""COMPUTED_VALUE"""),3562.5)</f>
        <v>3562.5</v>
      </c>
      <c r="E475" s="2">
        <f>IFERROR(__xludf.DUMMYFUNCTION("""COMPUTED_VALUE"""),3675.0)</f>
        <v>3675</v>
      </c>
      <c r="F475" s="2">
        <f>IFERROR(__xludf.DUMMYFUNCTION("""COMPUTED_VALUE"""),2.13443E7)</f>
        <v>21344300</v>
      </c>
      <c r="G475" s="2">
        <f t="shared" si="1"/>
        <v>112.5</v>
      </c>
    </row>
    <row r="476" ht="15.75" customHeight="1">
      <c r="A476" s="1">
        <f>IFERROR(__xludf.DUMMYFUNCTION("""COMPUTED_VALUE"""),44540.66666666667)</f>
        <v>44540.66667</v>
      </c>
      <c r="B476" s="2">
        <f>IFERROR(__xludf.DUMMYFUNCTION("""COMPUTED_VALUE"""),3600.0)</f>
        <v>3600</v>
      </c>
      <c r="C476" s="2">
        <f>IFERROR(__xludf.DUMMYFUNCTION("""COMPUTED_VALUE"""),3612.5)</f>
        <v>3612.5</v>
      </c>
      <c r="D476" s="2">
        <f>IFERROR(__xludf.DUMMYFUNCTION("""COMPUTED_VALUE"""),3550.0)</f>
        <v>3550</v>
      </c>
      <c r="E476" s="2">
        <f>IFERROR(__xludf.DUMMYFUNCTION("""COMPUTED_VALUE"""),3600.0)</f>
        <v>3600</v>
      </c>
      <c r="F476" s="2">
        <f>IFERROR(__xludf.DUMMYFUNCTION("""COMPUTED_VALUE"""),4.67661E7)</f>
        <v>46766100</v>
      </c>
      <c r="G476" s="2">
        <f t="shared" si="1"/>
        <v>125</v>
      </c>
    </row>
    <row r="477" ht="15.75" customHeight="1">
      <c r="A477" s="1">
        <f>IFERROR(__xludf.DUMMYFUNCTION("""COMPUTED_VALUE"""),44543.66666666667)</f>
        <v>44543.66667</v>
      </c>
      <c r="B477" s="2">
        <f>IFERROR(__xludf.DUMMYFUNCTION("""COMPUTED_VALUE"""),3600.0)</f>
        <v>3600</v>
      </c>
      <c r="C477" s="2">
        <f>IFERROR(__xludf.DUMMYFUNCTION("""COMPUTED_VALUE"""),3612.5)</f>
        <v>3612.5</v>
      </c>
      <c r="D477" s="2">
        <f>IFERROR(__xludf.DUMMYFUNCTION("""COMPUTED_VALUE"""),3562.5)</f>
        <v>3562.5</v>
      </c>
      <c r="E477" s="2">
        <f>IFERROR(__xludf.DUMMYFUNCTION("""COMPUTED_VALUE"""),3562.5)</f>
        <v>3562.5</v>
      </c>
      <c r="F477" s="2">
        <f>IFERROR(__xludf.DUMMYFUNCTION("""COMPUTED_VALUE"""),2.50456E7)</f>
        <v>25045600</v>
      </c>
      <c r="G477" s="2">
        <f t="shared" si="1"/>
        <v>50</v>
      </c>
    </row>
    <row r="478" ht="15.75" customHeight="1">
      <c r="A478" s="1">
        <f>IFERROR(__xludf.DUMMYFUNCTION("""COMPUTED_VALUE"""),44544.66666666667)</f>
        <v>44544.66667</v>
      </c>
      <c r="B478" s="2">
        <f>IFERROR(__xludf.DUMMYFUNCTION("""COMPUTED_VALUE"""),3562.5)</f>
        <v>3562.5</v>
      </c>
      <c r="C478" s="2">
        <f>IFERROR(__xludf.DUMMYFUNCTION("""COMPUTED_VALUE"""),3600.0)</f>
        <v>3600</v>
      </c>
      <c r="D478" s="2">
        <f>IFERROR(__xludf.DUMMYFUNCTION("""COMPUTED_VALUE"""),3550.0)</f>
        <v>3550</v>
      </c>
      <c r="E478" s="2">
        <f>IFERROR(__xludf.DUMMYFUNCTION("""COMPUTED_VALUE"""),3587.5)</f>
        <v>3587.5</v>
      </c>
      <c r="F478" s="2">
        <f>IFERROR(__xludf.DUMMYFUNCTION("""COMPUTED_VALUE"""),3.25307E7)</f>
        <v>32530700</v>
      </c>
      <c r="G478" s="2">
        <f t="shared" si="1"/>
        <v>50</v>
      </c>
    </row>
    <row r="479" ht="15.75" customHeight="1">
      <c r="A479" s="1">
        <f>IFERROR(__xludf.DUMMYFUNCTION("""COMPUTED_VALUE"""),44545.66666666667)</f>
        <v>44545.66667</v>
      </c>
      <c r="B479" s="2">
        <f>IFERROR(__xludf.DUMMYFUNCTION("""COMPUTED_VALUE"""),3575.0)</f>
        <v>3575</v>
      </c>
      <c r="C479" s="2">
        <f>IFERROR(__xludf.DUMMYFUNCTION("""COMPUTED_VALUE"""),3662.5)</f>
        <v>3662.5</v>
      </c>
      <c r="D479" s="2">
        <f>IFERROR(__xludf.DUMMYFUNCTION("""COMPUTED_VALUE"""),3562.5)</f>
        <v>3562.5</v>
      </c>
      <c r="E479" s="2">
        <f>IFERROR(__xludf.DUMMYFUNCTION("""COMPUTED_VALUE"""),3637.5)</f>
        <v>3637.5</v>
      </c>
      <c r="F479" s="2">
        <f>IFERROR(__xludf.DUMMYFUNCTION("""COMPUTED_VALUE"""),3.78387E7)</f>
        <v>37838700</v>
      </c>
      <c r="G479" s="2">
        <f t="shared" si="1"/>
        <v>100</v>
      </c>
    </row>
    <row r="480" ht="15.75" customHeight="1">
      <c r="A480" s="1">
        <f>IFERROR(__xludf.DUMMYFUNCTION("""COMPUTED_VALUE"""),44546.66666666667)</f>
        <v>44546.66667</v>
      </c>
      <c r="B480" s="2">
        <f>IFERROR(__xludf.DUMMYFUNCTION("""COMPUTED_VALUE"""),3650.0)</f>
        <v>3650</v>
      </c>
      <c r="C480" s="2">
        <f>IFERROR(__xludf.DUMMYFUNCTION("""COMPUTED_VALUE"""),3662.5)</f>
        <v>3662.5</v>
      </c>
      <c r="D480" s="2">
        <f>IFERROR(__xludf.DUMMYFUNCTION("""COMPUTED_VALUE"""),3600.0)</f>
        <v>3600</v>
      </c>
      <c r="E480" s="2">
        <f>IFERROR(__xludf.DUMMYFUNCTION("""COMPUTED_VALUE"""),3625.0)</f>
        <v>3625</v>
      </c>
      <c r="F480" s="2">
        <f>IFERROR(__xludf.DUMMYFUNCTION("""COMPUTED_VALUE"""),3.45412E7)</f>
        <v>34541200</v>
      </c>
      <c r="G480" s="2">
        <f t="shared" si="1"/>
        <v>62.5</v>
      </c>
    </row>
    <row r="481" ht="15.75" customHeight="1">
      <c r="A481" s="1">
        <f>IFERROR(__xludf.DUMMYFUNCTION("""COMPUTED_VALUE"""),44547.66666666667)</f>
        <v>44547.66667</v>
      </c>
      <c r="B481" s="2">
        <f>IFERROR(__xludf.DUMMYFUNCTION("""COMPUTED_VALUE"""),3612.5)</f>
        <v>3612.5</v>
      </c>
      <c r="C481" s="2">
        <f>IFERROR(__xludf.DUMMYFUNCTION("""COMPUTED_VALUE"""),3612.5)</f>
        <v>3612.5</v>
      </c>
      <c r="D481" s="2">
        <f>IFERROR(__xludf.DUMMYFUNCTION("""COMPUTED_VALUE"""),3537.5)</f>
        <v>3537.5</v>
      </c>
      <c r="E481" s="2">
        <f>IFERROR(__xludf.DUMMYFUNCTION("""COMPUTED_VALUE"""),3575.0)</f>
        <v>3575</v>
      </c>
      <c r="F481" s="2">
        <f>IFERROR(__xludf.DUMMYFUNCTION("""COMPUTED_VALUE"""),4.19726E7)</f>
        <v>41972600</v>
      </c>
      <c r="G481" s="2">
        <f t="shared" si="1"/>
        <v>87.5</v>
      </c>
    </row>
    <row r="482" ht="15.75" customHeight="1">
      <c r="A482" s="1">
        <f>IFERROR(__xludf.DUMMYFUNCTION("""COMPUTED_VALUE"""),44550.66666666667)</f>
        <v>44550.66667</v>
      </c>
      <c r="B482" s="2">
        <f>IFERROR(__xludf.DUMMYFUNCTION("""COMPUTED_VALUE"""),3550.0)</f>
        <v>3550</v>
      </c>
      <c r="C482" s="2">
        <f>IFERROR(__xludf.DUMMYFUNCTION("""COMPUTED_VALUE"""),3575.0)</f>
        <v>3575</v>
      </c>
      <c r="D482" s="2">
        <f>IFERROR(__xludf.DUMMYFUNCTION("""COMPUTED_VALUE"""),3537.5)</f>
        <v>3537.5</v>
      </c>
      <c r="E482" s="2">
        <f>IFERROR(__xludf.DUMMYFUNCTION("""COMPUTED_VALUE"""),3537.5)</f>
        <v>3537.5</v>
      </c>
      <c r="F482" s="2">
        <f>IFERROR(__xludf.DUMMYFUNCTION("""COMPUTED_VALUE"""),2.89663E7)</f>
        <v>28966300</v>
      </c>
      <c r="G482" s="2">
        <f t="shared" si="1"/>
        <v>37.5</v>
      </c>
    </row>
    <row r="483" ht="15.75" customHeight="1">
      <c r="A483" s="1">
        <f>IFERROR(__xludf.DUMMYFUNCTION("""COMPUTED_VALUE"""),44551.66666666667)</f>
        <v>44551.66667</v>
      </c>
      <c r="B483" s="2">
        <f>IFERROR(__xludf.DUMMYFUNCTION("""COMPUTED_VALUE"""),3575.0)</f>
        <v>3575</v>
      </c>
      <c r="C483" s="2">
        <f>IFERROR(__xludf.DUMMYFUNCTION("""COMPUTED_VALUE"""),3625.0)</f>
        <v>3625</v>
      </c>
      <c r="D483" s="2">
        <f>IFERROR(__xludf.DUMMYFUNCTION("""COMPUTED_VALUE"""),3550.0)</f>
        <v>3550</v>
      </c>
      <c r="E483" s="2">
        <f>IFERROR(__xludf.DUMMYFUNCTION("""COMPUTED_VALUE"""),3575.0)</f>
        <v>3575</v>
      </c>
      <c r="F483" s="2">
        <f>IFERROR(__xludf.DUMMYFUNCTION("""COMPUTED_VALUE"""),2.49298E7)</f>
        <v>24929800</v>
      </c>
      <c r="G483" s="2">
        <f t="shared" si="1"/>
        <v>87.5</v>
      </c>
    </row>
    <row r="484" ht="15.75" customHeight="1">
      <c r="A484" s="1">
        <f>IFERROR(__xludf.DUMMYFUNCTION("""COMPUTED_VALUE"""),44552.66666666667)</f>
        <v>44552.66667</v>
      </c>
      <c r="B484" s="2">
        <f>IFERROR(__xludf.DUMMYFUNCTION("""COMPUTED_VALUE"""),3587.5)</f>
        <v>3587.5</v>
      </c>
      <c r="C484" s="2">
        <f>IFERROR(__xludf.DUMMYFUNCTION("""COMPUTED_VALUE"""),3600.0)</f>
        <v>3600</v>
      </c>
      <c r="D484" s="2">
        <f>IFERROR(__xludf.DUMMYFUNCTION("""COMPUTED_VALUE"""),3525.0)</f>
        <v>3525</v>
      </c>
      <c r="E484" s="2">
        <f>IFERROR(__xludf.DUMMYFUNCTION("""COMPUTED_VALUE"""),3525.0)</f>
        <v>3525</v>
      </c>
      <c r="F484" s="2">
        <f>IFERROR(__xludf.DUMMYFUNCTION("""COMPUTED_VALUE"""),1.74072E7)</f>
        <v>17407200</v>
      </c>
      <c r="G484" s="2">
        <f t="shared" si="1"/>
        <v>75</v>
      </c>
    </row>
    <row r="485" ht="15.75" customHeight="1">
      <c r="A485" s="1">
        <f>IFERROR(__xludf.DUMMYFUNCTION("""COMPUTED_VALUE"""),44553.66666666667)</f>
        <v>44553.66667</v>
      </c>
      <c r="B485" s="2">
        <f>IFERROR(__xludf.DUMMYFUNCTION("""COMPUTED_VALUE"""),3525.0)</f>
        <v>3525</v>
      </c>
      <c r="C485" s="2">
        <f>IFERROR(__xludf.DUMMYFUNCTION("""COMPUTED_VALUE"""),3575.0)</f>
        <v>3575</v>
      </c>
      <c r="D485" s="2">
        <f>IFERROR(__xludf.DUMMYFUNCTION("""COMPUTED_VALUE"""),3525.0)</f>
        <v>3525</v>
      </c>
      <c r="E485" s="2">
        <f>IFERROR(__xludf.DUMMYFUNCTION("""COMPUTED_VALUE"""),3537.5)</f>
        <v>3537.5</v>
      </c>
      <c r="F485" s="2">
        <f>IFERROR(__xludf.DUMMYFUNCTION("""COMPUTED_VALUE"""),2.22825E7)</f>
        <v>22282500</v>
      </c>
      <c r="G485" s="2">
        <f t="shared" si="1"/>
        <v>50</v>
      </c>
    </row>
    <row r="486" ht="15.75" customHeight="1">
      <c r="A486" s="1">
        <f>IFERROR(__xludf.DUMMYFUNCTION("""COMPUTED_VALUE"""),44554.66666666667)</f>
        <v>44554.66667</v>
      </c>
      <c r="B486" s="2">
        <f>IFERROR(__xludf.DUMMYFUNCTION("""COMPUTED_VALUE"""),3550.0)</f>
        <v>3550</v>
      </c>
      <c r="C486" s="2">
        <f>IFERROR(__xludf.DUMMYFUNCTION("""COMPUTED_VALUE"""),3575.0)</f>
        <v>3575</v>
      </c>
      <c r="D486" s="2">
        <f>IFERROR(__xludf.DUMMYFUNCTION("""COMPUTED_VALUE"""),3475.0)</f>
        <v>3475</v>
      </c>
      <c r="E486" s="2">
        <f>IFERROR(__xludf.DUMMYFUNCTION("""COMPUTED_VALUE"""),3525.0)</f>
        <v>3525</v>
      </c>
      <c r="F486" s="2">
        <f>IFERROR(__xludf.DUMMYFUNCTION("""COMPUTED_VALUE"""),2.74511E7)</f>
        <v>27451100</v>
      </c>
      <c r="G486" s="2">
        <f t="shared" si="1"/>
        <v>100</v>
      </c>
    </row>
    <row r="487" ht="15.75" customHeight="1">
      <c r="A487" s="1">
        <f>IFERROR(__xludf.DUMMYFUNCTION("""COMPUTED_VALUE"""),44557.66666666667)</f>
        <v>44557.66667</v>
      </c>
      <c r="B487" s="2">
        <f>IFERROR(__xludf.DUMMYFUNCTION("""COMPUTED_VALUE"""),3525.0)</f>
        <v>3525</v>
      </c>
      <c r="C487" s="2">
        <f>IFERROR(__xludf.DUMMYFUNCTION("""COMPUTED_VALUE"""),3550.0)</f>
        <v>3550</v>
      </c>
      <c r="D487" s="2">
        <f>IFERROR(__xludf.DUMMYFUNCTION("""COMPUTED_VALUE"""),3487.5)</f>
        <v>3487.5</v>
      </c>
      <c r="E487" s="2">
        <f>IFERROR(__xludf.DUMMYFUNCTION("""COMPUTED_VALUE"""),3500.0)</f>
        <v>3500</v>
      </c>
      <c r="F487" s="2">
        <f>IFERROR(__xludf.DUMMYFUNCTION("""COMPUTED_VALUE"""),1.70482E7)</f>
        <v>17048200</v>
      </c>
      <c r="G487" s="2">
        <f t="shared" si="1"/>
        <v>62.5</v>
      </c>
    </row>
    <row r="488" ht="15.75" customHeight="1">
      <c r="A488" s="1">
        <f>IFERROR(__xludf.DUMMYFUNCTION("""COMPUTED_VALUE"""),44558.66666666667)</f>
        <v>44558.66667</v>
      </c>
      <c r="B488" s="2">
        <f>IFERROR(__xludf.DUMMYFUNCTION("""COMPUTED_VALUE"""),3525.0)</f>
        <v>3525</v>
      </c>
      <c r="C488" s="2">
        <f>IFERROR(__xludf.DUMMYFUNCTION("""COMPUTED_VALUE"""),3525.0)</f>
        <v>3525</v>
      </c>
      <c r="D488" s="2">
        <f>IFERROR(__xludf.DUMMYFUNCTION("""COMPUTED_VALUE"""),3487.5)</f>
        <v>3487.5</v>
      </c>
      <c r="E488" s="2">
        <f>IFERROR(__xludf.DUMMYFUNCTION("""COMPUTED_VALUE"""),3525.0)</f>
        <v>3525</v>
      </c>
      <c r="F488" s="2">
        <f>IFERROR(__xludf.DUMMYFUNCTION("""COMPUTED_VALUE"""),1.99177E7)</f>
        <v>19917700</v>
      </c>
      <c r="G488" s="2">
        <f t="shared" si="1"/>
        <v>37.5</v>
      </c>
    </row>
    <row r="489" ht="15.75" customHeight="1">
      <c r="A489" s="1">
        <f>IFERROR(__xludf.DUMMYFUNCTION("""COMPUTED_VALUE"""),44559.66666666667)</f>
        <v>44559.66667</v>
      </c>
      <c r="B489" s="2">
        <f>IFERROR(__xludf.DUMMYFUNCTION("""COMPUTED_VALUE"""),3537.5)</f>
        <v>3537.5</v>
      </c>
      <c r="C489" s="2">
        <f>IFERROR(__xludf.DUMMYFUNCTION("""COMPUTED_VALUE"""),3562.5)</f>
        <v>3562.5</v>
      </c>
      <c r="D489" s="2">
        <f>IFERROR(__xludf.DUMMYFUNCTION("""COMPUTED_VALUE"""),3500.0)</f>
        <v>3500</v>
      </c>
      <c r="E489" s="2">
        <f>IFERROR(__xludf.DUMMYFUNCTION("""COMPUTED_VALUE"""),3550.0)</f>
        <v>3550</v>
      </c>
      <c r="F489" s="2">
        <f>IFERROR(__xludf.DUMMYFUNCTION("""COMPUTED_VALUE"""),1.04301E7)</f>
        <v>10430100</v>
      </c>
      <c r="G489" s="2">
        <f t="shared" si="1"/>
        <v>62.5</v>
      </c>
    </row>
    <row r="490" ht="15.75" customHeight="1">
      <c r="A490" s="1">
        <f>IFERROR(__xludf.DUMMYFUNCTION("""COMPUTED_VALUE"""),44560.66666666667)</f>
        <v>44560.66667</v>
      </c>
      <c r="B490" s="2">
        <f>IFERROR(__xludf.DUMMYFUNCTION("""COMPUTED_VALUE"""),3550.0)</f>
        <v>3550</v>
      </c>
      <c r="C490" s="2">
        <f>IFERROR(__xludf.DUMMYFUNCTION("""COMPUTED_VALUE"""),3562.5)</f>
        <v>3562.5</v>
      </c>
      <c r="D490" s="2">
        <f>IFERROR(__xludf.DUMMYFUNCTION("""COMPUTED_VALUE"""),3512.5)</f>
        <v>3512.5</v>
      </c>
      <c r="E490" s="2">
        <f>IFERROR(__xludf.DUMMYFUNCTION("""COMPUTED_VALUE"""),3512.5)</f>
        <v>3512.5</v>
      </c>
      <c r="F490" s="2">
        <f>IFERROR(__xludf.DUMMYFUNCTION("""COMPUTED_VALUE"""),1.74758E7)</f>
        <v>17475800</v>
      </c>
      <c r="G490" s="2">
        <f t="shared" si="1"/>
        <v>50</v>
      </c>
    </row>
    <row r="491" ht="15.75" customHeight="1">
      <c r="A491" s="1">
        <f>IFERROR(__xludf.DUMMYFUNCTION("""COMPUTED_VALUE"""),44564.66666666667)</f>
        <v>44564.66667</v>
      </c>
      <c r="B491" s="2">
        <f>IFERROR(__xludf.DUMMYFUNCTION("""COMPUTED_VALUE"""),3550.0)</f>
        <v>3550</v>
      </c>
      <c r="C491" s="2">
        <f>IFERROR(__xludf.DUMMYFUNCTION("""COMPUTED_VALUE"""),3562.5)</f>
        <v>3562.5</v>
      </c>
      <c r="D491" s="2">
        <f>IFERROR(__xludf.DUMMYFUNCTION("""COMPUTED_VALUE"""),3512.5)</f>
        <v>3512.5</v>
      </c>
      <c r="E491" s="2">
        <f>IFERROR(__xludf.DUMMYFUNCTION("""COMPUTED_VALUE"""),3525.0)</f>
        <v>3525</v>
      </c>
      <c r="F491" s="2">
        <f>IFERROR(__xludf.DUMMYFUNCTION("""COMPUTED_VALUE"""),1.54998E7)</f>
        <v>15499800</v>
      </c>
      <c r="G491" s="2">
        <f t="shared" si="1"/>
        <v>50</v>
      </c>
    </row>
    <row r="492" ht="15.75" customHeight="1">
      <c r="A492" s="1">
        <f>IFERROR(__xludf.DUMMYFUNCTION("""COMPUTED_VALUE"""),44565.66666666667)</f>
        <v>44565.66667</v>
      </c>
      <c r="B492" s="2">
        <f>IFERROR(__xludf.DUMMYFUNCTION("""COMPUTED_VALUE"""),3537.5)</f>
        <v>3537.5</v>
      </c>
      <c r="C492" s="2">
        <f>IFERROR(__xludf.DUMMYFUNCTION("""COMPUTED_VALUE"""),3600.0)</f>
        <v>3600</v>
      </c>
      <c r="D492" s="2">
        <f>IFERROR(__xludf.DUMMYFUNCTION("""COMPUTED_VALUE"""),3525.0)</f>
        <v>3525</v>
      </c>
      <c r="E492" s="2">
        <f>IFERROR(__xludf.DUMMYFUNCTION("""COMPUTED_VALUE"""),3587.5)</f>
        <v>3587.5</v>
      </c>
      <c r="F492" s="2">
        <f>IFERROR(__xludf.DUMMYFUNCTION("""COMPUTED_VALUE"""),2.22707E7)</f>
        <v>22270700</v>
      </c>
      <c r="G492" s="2">
        <f t="shared" si="1"/>
        <v>75</v>
      </c>
    </row>
    <row r="493" ht="15.75" customHeight="1">
      <c r="A493" s="1">
        <f>IFERROR(__xludf.DUMMYFUNCTION("""COMPUTED_VALUE"""),44566.66666666667)</f>
        <v>44566.66667</v>
      </c>
      <c r="B493" s="2">
        <f>IFERROR(__xludf.DUMMYFUNCTION("""COMPUTED_VALUE"""),3575.0)</f>
        <v>3575</v>
      </c>
      <c r="C493" s="2">
        <f>IFERROR(__xludf.DUMMYFUNCTION("""COMPUTED_VALUE"""),3587.5)</f>
        <v>3587.5</v>
      </c>
      <c r="D493" s="2">
        <f>IFERROR(__xludf.DUMMYFUNCTION("""COMPUTED_VALUE"""),3462.5)</f>
        <v>3462.5</v>
      </c>
      <c r="E493" s="2">
        <f>IFERROR(__xludf.DUMMYFUNCTION("""COMPUTED_VALUE"""),3512.5)</f>
        <v>3512.5</v>
      </c>
      <c r="F493" s="2">
        <f>IFERROR(__xludf.DUMMYFUNCTION("""COMPUTED_VALUE"""),4.94551E7)</f>
        <v>49455100</v>
      </c>
      <c r="G493" s="2">
        <f t="shared" si="1"/>
        <v>125</v>
      </c>
    </row>
    <row r="494" ht="15.75" customHeight="1">
      <c r="A494" s="1">
        <f>IFERROR(__xludf.DUMMYFUNCTION("""COMPUTED_VALUE"""),44567.66666666667)</f>
        <v>44567.66667</v>
      </c>
      <c r="B494" s="2">
        <f>IFERROR(__xludf.DUMMYFUNCTION("""COMPUTED_VALUE"""),3537.5)</f>
        <v>3537.5</v>
      </c>
      <c r="C494" s="2">
        <f>IFERROR(__xludf.DUMMYFUNCTION("""COMPUTED_VALUE"""),3537.5)</f>
        <v>3537.5</v>
      </c>
      <c r="D494" s="2">
        <f>IFERROR(__xludf.DUMMYFUNCTION("""COMPUTED_VALUE"""),3475.0)</f>
        <v>3475</v>
      </c>
      <c r="E494" s="2">
        <f>IFERROR(__xludf.DUMMYFUNCTION("""COMPUTED_VALUE"""),3512.5)</f>
        <v>3512.5</v>
      </c>
      <c r="F494" s="2">
        <f>IFERROR(__xludf.DUMMYFUNCTION("""COMPUTED_VALUE"""),3.28256E7)</f>
        <v>32825600</v>
      </c>
      <c r="G494" s="2">
        <f t="shared" si="1"/>
        <v>62.5</v>
      </c>
    </row>
    <row r="495" ht="15.75" customHeight="1">
      <c r="A495" s="1">
        <f>IFERROR(__xludf.DUMMYFUNCTION("""COMPUTED_VALUE"""),44568.66666666667)</f>
        <v>44568.66667</v>
      </c>
      <c r="B495" s="2">
        <f>IFERROR(__xludf.DUMMYFUNCTION("""COMPUTED_VALUE"""),3512.5)</f>
        <v>3512.5</v>
      </c>
      <c r="C495" s="2">
        <f>IFERROR(__xludf.DUMMYFUNCTION("""COMPUTED_VALUE"""),3550.0)</f>
        <v>3550</v>
      </c>
      <c r="D495" s="2">
        <f>IFERROR(__xludf.DUMMYFUNCTION("""COMPUTED_VALUE"""),3512.5)</f>
        <v>3512.5</v>
      </c>
      <c r="E495" s="2">
        <f>IFERROR(__xludf.DUMMYFUNCTION("""COMPUTED_VALUE"""),3525.0)</f>
        <v>3525</v>
      </c>
      <c r="F495" s="2">
        <f>IFERROR(__xludf.DUMMYFUNCTION("""COMPUTED_VALUE"""),3.42264E7)</f>
        <v>34226400</v>
      </c>
      <c r="G495" s="2">
        <f t="shared" si="1"/>
        <v>37.5</v>
      </c>
    </row>
    <row r="496" ht="15.75" customHeight="1">
      <c r="A496" s="1">
        <f>IFERROR(__xludf.DUMMYFUNCTION("""COMPUTED_VALUE"""),44571.66666666667)</f>
        <v>44571.66667</v>
      </c>
      <c r="B496" s="2">
        <f>IFERROR(__xludf.DUMMYFUNCTION("""COMPUTED_VALUE"""),3537.5)</f>
        <v>3537.5</v>
      </c>
      <c r="C496" s="2">
        <f>IFERROR(__xludf.DUMMYFUNCTION("""COMPUTED_VALUE"""),3550.0)</f>
        <v>3550</v>
      </c>
      <c r="D496" s="2">
        <f>IFERROR(__xludf.DUMMYFUNCTION("""COMPUTED_VALUE"""),3525.0)</f>
        <v>3525</v>
      </c>
      <c r="E496" s="2">
        <f>IFERROR(__xludf.DUMMYFUNCTION("""COMPUTED_VALUE"""),3525.0)</f>
        <v>3525</v>
      </c>
      <c r="F496" s="2">
        <f>IFERROR(__xludf.DUMMYFUNCTION("""COMPUTED_VALUE"""),2.21893E7)</f>
        <v>22189300</v>
      </c>
      <c r="G496" s="2">
        <f t="shared" si="1"/>
        <v>25</v>
      </c>
    </row>
    <row r="497" ht="15.75" customHeight="1">
      <c r="A497" s="1">
        <f>IFERROR(__xludf.DUMMYFUNCTION("""COMPUTED_VALUE"""),44572.66666666667)</f>
        <v>44572.66667</v>
      </c>
      <c r="B497" s="2">
        <f>IFERROR(__xludf.DUMMYFUNCTION("""COMPUTED_VALUE"""),3550.0)</f>
        <v>3550</v>
      </c>
      <c r="C497" s="2">
        <f>IFERROR(__xludf.DUMMYFUNCTION("""COMPUTED_VALUE"""),3550.0)</f>
        <v>3550</v>
      </c>
      <c r="D497" s="2">
        <f>IFERROR(__xludf.DUMMYFUNCTION("""COMPUTED_VALUE"""),3500.0)</f>
        <v>3500</v>
      </c>
      <c r="E497" s="2">
        <f>IFERROR(__xludf.DUMMYFUNCTION("""COMPUTED_VALUE"""),3525.0)</f>
        <v>3525</v>
      </c>
      <c r="F497" s="2">
        <f>IFERROR(__xludf.DUMMYFUNCTION("""COMPUTED_VALUE"""),2.51838E7)</f>
        <v>25183800</v>
      </c>
      <c r="G497" s="2">
        <f t="shared" si="1"/>
        <v>50</v>
      </c>
    </row>
    <row r="498" ht="15.75" customHeight="1">
      <c r="A498" s="1">
        <f>IFERROR(__xludf.DUMMYFUNCTION("""COMPUTED_VALUE"""),44573.66666666667)</f>
        <v>44573.66667</v>
      </c>
      <c r="B498" s="2">
        <f>IFERROR(__xludf.DUMMYFUNCTION("""COMPUTED_VALUE"""),3525.0)</f>
        <v>3525</v>
      </c>
      <c r="C498" s="2">
        <f>IFERROR(__xludf.DUMMYFUNCTION("""COMPUTED_VALUE"""),3575.0)</f>
        <v>3575</v>
      </c>
      <c r="D498" s="2">
        <f>IFERROR(__xludf.DUMMYFUNCTION("""COMPUTED_VALUE"""),3525.0)</f>
        <v>3525</v>
      </c>
      <c r="E498" s="2">
        <f>IFERROR(__xludf.DUMMYFUNCTION("""COMPUTED_VALUE"""),3575.0)</f>
        <v>3575</v>
      </c>
      <c r="F498" s="2">
        <f>IFERROR(__xludf.DUMMYFUNCTION("""COMPUTED_VALUE"""),1.71246E7)</f>
        <v>17124600</v>
      </c>
      <c r="G498" s="2">
        <f t="shared" si="1"/>
        <v>50</v>
      </c>
    </row>
    <row r="499" ht="15.75" customHeight="1">
      <c r="A499" s="1">
        <f>IFERROR(__xludf.DUMMYFUNCTION("""COMPUTED_VALUE"""),44574.66666666667)</f>
        <v>44574.66667</v>
      </c>
      <c r="B499" s="2">
        <f>IFERROR(__xludf.DUMMYFUNCTION("""COMPUTED_VALUE"""),3575.0)</f>
        <v>3575</v>
      </c>
      <c r="C499" s="2">
        <f>IFERROR(__xludf.DUMMYFUNCTION("""COMPUTED_VALUE"""),3587.5)</f>
        <v>3587.5</v>
      </c>
      <c r="D499" s="2">
        <f>IFERROR(__xludf.DUMMYFUNCTION("""COMPUTED_VALUE"""),3550.0)</f>
        <v>3550</v>
      </c>
      <c r="E499" s="2">
        <f>IFERROR(__xludf.DUMMYFUNCTION("""COMPUTED_VALUE"""),3562.5)</f>
        <v>3562.5</v>
      </c>
      <c r="F499" s="2">
        <f>IFERROR(__xludf.DUMMYFUNCTION("""COMPUTED_VALUE"""),1.78819E7)</f>
        <v>17881900</v>
      </c>
      <c r="G499" s="2">
        <f t="shared" si="1"/>
        <v>37.5</v>
      </c>
    </row>
    <row r="500" ht="15.75" customHeight="1">
      <c r="A500" s="1">
        <f>IFERROR(__xludf.DUMMYFUNCTION("""COMPUTED_VALUE"""),44575.66666666667)</f>
        <v>44575.66667</v>
      </c>
      <c r="B500" s="2">
        <f>IFERROR(__xludf.DUMMYFUNCTION("""COMPUTED_VALUE"""),3537.5)</f>
        <v>3537.5</v>
      </c>
      <c r="C500" s="2">
        <f>IFERROR(__xludf.DUMMYFUNCTION("""COMPUTED_VALUE"""),3612.5)</f>
        <v>3612.5</v>
      </c>
      <c r="D500" s="2">
        <f>IFERROR(__xludf.DUMMYFUNCTION("""COMPUTED_VALUE"""),3537.5)</f>
        <v>3537.5</v>
      </c>
      <c r="E500" s="2">
        <f>IFERROR(__xludf.DUMMYFUNCTION("""COMPUTED_VALUE"""),3587.5)</f>
        <v>3587.5</v>
      </c>
      <c r="F500" s="2">
        <f>IFERROR(__xludf.DUMMYFUNCTION("""COMPUTED_VALUE"""),2.18257E7)</f>
        <v>21825700</v>
      </c>
      <c r="G500" s="2">
        <f t="shared" si="1"/>
        <v>75</v>
      </c>
    </row>
    <row r="501" ht="15.75" customHeight="1">
      <c r="A501" s="1">
        <f>IFERROR(__xludf.DUMMYFUNCTION("""COMPUTED_VALUE"""),44578.66666666667)</f>
        <v>44578.66667</v>
      </c>
      <c r="B501" s="2">
        <f>IFERROR(__xludf.DUMMYFUNCTION("""COMPUTED_VALUE"""),3625.0)</f>
        <v>3625</v>
      </c>
      <c r="C501" s="2">
        <f>IFERROR(__xludf.DUMMYFUNCTION("""COMPUTED_VALUE"""),3637.5)</f>
        <v>3637.5</v>
      </c>
      <c r="D501" s="2">
        <f>IFERROR(__xludf.DUMMYFUNCTION("""COMPUTED_VALUE"""),3575.0)</f>
        <v>3575</v>
      </c>
      <c r="E501" s="2">
        <f>IFERROR(__xludf.DUMMYFUNCTION("""COMPUTED_VALUE"""),3600.0)</f>
        <v>3600</v>
      </c>
      <c r="F501" s="2">
        <f>IFERROR(__xludf.DUMMYFUNCTION("""COMPUTED_VALUE"""),2.1594E7)</f>
        <v>21594000</v>
      </c>
      <c r="G501" s="2">
        <f t="shared" si="1"/>
        <v>62.5</v>
      </c>
    </row>
    <row r="502" ht="15.75" customHeight="1">
      <c r="A502" s="1">
        <f>IFERROR(__xludf.DUMMYFUNCTION("""COMPUTED_VALUE"""),44579.66666666667)</f>
        <v>44579.66667</v>
      </c>
      <c r="B502" s="2">
        <f>IFERROR(__xludf.DUMMYFUNCTION("""COMPUTED_VALUE"""),3587.5)</f>
        <v>3587.5</v>
      </c>
      <c r="C502" s="2">
        <f>IFERROR(__xludf.DUMMYFUNCTION("""COMPUTED_VALUE"""),3625.0)</f>
        <v>3625</v>
      </c>
      <c r="D502" s="2">
        <f>IFERROR(__xludf.DUMMYFUNCTION("""COMPUTED_VALUE"""),3550.0)</f>
        <v>3550</v>
      </c>
      <c r="E502" s="2">
        <f>IFERROR(__xludf.DUMMYFUNCTION("""COMPUTED_VALUE"""),3625.0)</f>
        <v>3625</v>
      </c>
      <c r="F502" s="2">
        <f>IFERROR(__xludf.DUMMYFUNCTION("""COMPUTED_VALUE"""),3.22424E7)</f>
        <v>32242400</v>
      </c>
      <c r="G502" s="2">
        <f t="shared" si="1"/>
        <v>75</v>
      </c>
    </row>
    <row r="503" ht="15.75" customHeight="1">
      <c r="A503" s="1">
        <f>IFERROR(__xludf.DUMMYFUNCTION("""COMPUTED_VALUE"""),44580.66666666667)</f>
        <v>44580.66667</v>
      </c>
      <c r="B503" s="2">
        <f>IFERROR(__xludf.DUMMYFUNCTION("""COMPUTED_VALUE"""),3587.5)</f>
        <v>3587.5</v>
      </c>
      <c r="C503" s="2">
        <f>IFERROR(__xludf.DUMMYFUNCTION("""COMPUTED_VALUE"""),3600.0)</f>
        <v>3600</v>
      </c>
      <c r="D503" s="2">
        <f>IFERROR(__xludf.DUMMYFUNCTION("""COMPUTED_VALUE"""),3500.0)</f>
        <v>3500</v>
      </c>
      <c r="E503" s="2">
        <f>IFERROR(__xludf.DUMMYFUNCTION("""COMPUTED_VALUE"""),3512.5)</f>
        <v>3512.5</v>
      </c>
      <c r="F503" s="2">
        <f>IFERROR(__xludf.DUMMYFUNCTION("""COMPUTED_VALUE"""),5.15468E7)</f>
        <v>51546800</v>
      </c>
      <c r="G503" s="2">
        <f t="shared" si="1"/>
        <v>125</v>
      </c>
    </row>
    <row r="504" ht="15.75" customHeight="1">
      <c r="A504" s="1">
        <f>IFERROR(__xludf.DUMMYFUNCTION("""COMPUTED_VALUE"""),44581.66666666667)</f>
        <v>44581.66667</v>
      </c>
      <c r="B504" s="2">
        <f>IFERROR(__xludf.DUMMYFUNCTION("""COMPUTED_VALUE"""),3550.0)</f>
        <v>3550</v>
      </c>
      <c r="C504" s="2">
        <f>IFERROR(__xludf.DUMMYFUNCTION("""COMPUTED_VALUE"""),3587.5)</f>
        <v>3587.5</v>
      </c>
      <c r="D504" s="2">
        <f>IFERROR(__xludf.DUMMYFUNCTION("""COMPUTED_VALUE"""),3512.5)</f>
        <v>3512.5</v>
      </c>
      <c r="E504" s="2">
        <f>IFERROR(__xludf.DUMMYFUNCTION("""COMPUTED_VALUE"""),3587.5)</f>
        <v>3587.5</v>
      </c>
      <c r="F504" s="2">
        <f>IFERROR(__xludf.DUMMYFUNCTION("""COMPUTED_VALUE"""),2.65335E7)</f>
        <v>26533500</v>
      </c>
      <c r="G504" s="2">
        <f t="shared" si="1"/>
        <v>75</v>
      </c>
    </row>
    <row r="505" ht="15.75" customHeight="1">
      <c r="A505" s="1">
        <f>IFERROR(__xludf.DUMMYFUNCTION("""COMPUTED_VALUE"""),44582.66666666667)</f>
        <v>44582.66667</v>
      </c>
      <c r="B505" s="2">
        <f>IFERROR(__xludf.DUMMYFUNCTION("""COMPUTED_VALUE"""),3587.5)</f>
        <v>3587.5</v>
      </c>
      <c r="C505" s="2">
        <f>IFERROR(__xludf.DUMMYFUNCTION("""COMPUTED_VALUE"""),3650.0)</f>
        <v>3650</v>
      </c>
      <c r="D505" s="2">
        <f>IFERROR(__xludf.DUMMYFUNCTION("""COMPUTED_VALUE"""),3562.5)</f>
        <v>3562.5</v>
      </c>
      <c r="E505" s="2">
        <f>IFERROR(__xludf.DUMMYFUNCTION("""COMPUTED_VALUE"""),3650.0)</f>
        <v>3650</v>
      </c>
      <c r="F505" s="2">
        <f>IFERROR(__xludf.DUMMYFUNCTION("""COMPUTED_VALUE"""),3.84034E7)</f>
        <v>38403400</v>
      </c>
      <c r="G505" s="2">
        <f t="shared" si="1"/>
        <v>87.5</v>
      </c>
    </row>
    <row r="506" ht="15.75" customHeight="1">
      <c r="A506" s="1">
        <f>IFERROR(__xludf.DUMMYFUNCTION("""COMPUTED_VALUE"""),44585.66666666667)</f>
        <v>44585.66667</v>
      </c>
      <c r="B506" s="2">
        <f>IFERROR(__xludf.DUMMYFUNCTION("""COMPUTED_VALUE"""),3637.5)</f>
        <v>3637.5</v>
      </c>
      <c r="C506" s="2">
        <f>IFERROR(__xludf.DUMMYFUNCTION("""COMPUTED_VALUE"""),3637.5)</f>
        <v>3637.5</v>
      </c>
      <c r="D506" s="2">
        <f>IFERROR(__xludf.DUMMYFUNCTION("""COMPUTED_VALUE"""),3600.0)</f>
        <v>3600</v>
      </c>
      <c r="E506" s="2">
        <f>IFERROR(__xludf.DUMMYFUNCTION("""COMPUTED_VALUE"""),3637.5)</f>
        <v>3637.5</v>
      </c>
      <c r="F506" s="2">
        <f>IFERROR(__xludf.DUMMYFUNCTION("""COMPUTED_VALUE"""),2.22384E7)</f>
        <v>22238400</v>
      </c>
      <c r="G506" s="2">
        <f t="shared" si="1"/>
        <v>50</v>
      </c>
    </row>
    <row r="507" ht="15.75" customHeight="1">
      <c r="A507" s="1">
        <f>IFERROR(__xludf.DUMMYFUNCTION("""COMPUTED_VALUE"""),44586.66666666667)</f>
        <v>44586.66667</v>
      </c>
      <c r="B507" s="2">
        <f>IFERROR(__xludf.DUMMYFUNCTION("""COMPUTED_VALUE"""),3600.0)</f>
        <v>3600</v>
      </c>
      <c r="C507" s="2">
        <f>IFERROR(__xludf.DUMMYFUNCTION("""COMPUTED_VALUE"""),3625.0)</f>
        <v>3625</v>
      </c>
      <c r="D507" s="2">
        <f>IFERROR(__xludf.DUMMYFUNCTION("""COMPUTED_VALUE"""),3575.0)</f>
        <v>3575</v>
      </c>
      <c r="E507" s="2">
        <f>IFERROR(__xludf.DUMMYFUNCTION("""COMPUTED_VALUE"""),3612.5)</f>
        <v>3612.5</v>
      </c>
      <c r="F507" s="2">
        <f>IFERROR(__xludf.DUMMYFUNCTION("""COMPUTED_VALUE"""),3.4634E7)</f>
        <v>34634000</v>
      </c>
      <c r="G507" s="2">
        <f t="shared" si="1"/>
        <v>62.5</v>
      </c>
    </row>
    <row r="508" ht="15.75" customHeight="1">
      <c r="A508" s="1">
        <f>IFERROR(__xludf.DUMMYFUNCTION("""COMPUTED_VALUE"""),44587.66666666667)</f>
        <v>44587.66667</v>
      </c>
      <c r="B508" s="2">
        <f>IFERROR(__xludf.DUMMYFUNCTION("""COMPUTED_VALUE"""),3650.0)</f>
        <v>3650</v>
      </c>
      <c r="C508" s="2">
        <f>IFERROR(__xludf.DUMMYFUNCTION("""COMPUTED_VALUE"""),3737.5)</f>
        <v>3737.5</v>
      </c>
      <c r="D508" s="2">
        <f>IFERROR(__xludf.DUMMYFUNCTION("""COMPUTED_VALUE"""),3612.5)</f>
        <v>3612.5</v>
      </c>
      <c r="E508" s="2">
        <f>IFERROR(__xludf.DUMMYFUNCTION("""COMPUTED_VALUE"""),3737.5)</f>
        <v>3737.5</v>
      </c>
      <c r="F508" s="2">
        <f>IFERROR(__xludf.DUMMYFUNCTION("""COMPUTED_VALUE"""),7.03182E7)</f>
        <v>70318200</v>
      </c>
      <c r="G508" s="2">
        <f t="shared" si="1"/>
        <v>125</v>
      </c>
    </row>
    <row r="509" ht="15.75" customHeight="1">
      <c r="A509" s="1">
        <f>IFERROR(__xludf.DUMMYFUNCTION("""COMPUTED_VALUE"""),44588.66666666667)</f>
        <v>44588.66667</v>
      </c>
      <c r="B509" s="2">
        <f>IFERROR(__xludf.DUMMYFUNCTION("""COMPUTED_VALUE"""),3737.5)</f>
        <v>3737.5</v>
      </c>
      <c r="C509" s="2">
        <f>IFERROR(__xludf.DUMMYFUNCTION("""COMPUTED_VALUE"""),3800.0)</f>
        <v>3800</v>
      </c>
      <c r="D509" s="2">
        <f>IFERROR(__xludf.DUMMYFUNCTION("""COMPUTED_VALUE"""),3700.0)</f>
        <v>3700</v>
      </c>
      <c r="E509" s="2">
        <f>IFERROR(__xludf.DUMMYFUNCTION("""COMPUTED_VALUE"""),3775.0)</f>
        <v>3775</v>
      </c>
      <c r="F509" s="2">
        <f>IFERROR(__xludf.DUMMYFUNCTION("""COMPUTED_VALUE"""),5.6809E7)</f>
        <v>56809000</v>
      </c>
      <c r="G509" s="2">
        <f t="shared" si="1"/>
        <v>100</v>
      </c>
    </row>
    <row r="510" ht="15.75" customHeight="1">
      <c r="A510" s="1">
        <f>IFERROR(__xludf.DUMMYFUNCTION("""COMPUTED_VALUE"""),44589.66666666667)</f>
        <v>44589.66667</v>
      </c>
      <c r="B510" s="2">
        <f>IFERROR(__xludf.DUMMYFUNCTION("""COMPUTED_VALUE"""),3812.5)</f>
        <v>3812.5</v>
      </c>
      <c r="C510" s="2">
        <f>IFERROR(__xludf.DUMMYFUNCTION("""COMPUTED_VALUE"""),3825.0)</f>
        <v>3825</v>
      </c>
      <c r="D510" s="2">
        <f>IFERROR(__xludf.DUMMYFUNCTION("""COMPUTED_VALUE"""),3775.0)</f>
        <v>3775</v>
      </c>
      <c r="E510" s="2">
        <f>IFERROR(__xludf.DUMMYFUNCTION("""COMPUTED_VALUE"""),3825.0)</f>
        <v>3825</v>
      </c>
      <c r="F510" s="2">
        <f>IFERROR(__xludf.DUMMYFUNCTION("""COMPUTED_VALUE"""),6.05726E7)</f>
        <v>60572600</v>
      </c>
      <c r="G510" s="2">
        <f t="shared" si="1"/>
        <v>50</v>
      </c>
    </row>
    <row r="511" ht="15.75" customHeight="1">
      <c r="A511" s="1">
        <f>IFERROR(__xludf.DUMMYFUNCTION("""COMPUTED_VALUE"""),44592.66666666667)</f>
        <v>44592.66667</v>
      </c>
      <c r="B511" s="2">
        <f>IFERROR(__xludf.DUMMYFUNCTION("""COMPUTED_VALUE"""),3887.5)</f>
        <v>3887.5</v>
      </c>
      <c r="C511" s="2">
        <f>IFERROR(__xludf.DUMMYFUNCTION("""COMPUTED_VALUE"""),3887.5)</f>
        <v>3887.5</v>
      </c>
      <c r="D511" s="2">
        <f>IFERROR(__xludf.DUMMYFUNCTION("""COMPUTED_VALUE"""),3725.0)</f>
        <v>3725</v>
      </c>
      <c r="E511" s="2">
        <f>IFERROR(__xludf.DUMMYFUNCTION("""COMPUTED_VALUE"""),3737.5)</f>
        <v>3737.5</v>
      </c>
      <c r="F511" s="2">
        <f>IFERROR(__xludf.DUMMYFUNCTION("""COMPUTED_VALUE"""),5.08504E7)</f>
        <v>50850400</v>
      </c>
      <c r="G511" s="2">
        <f t="shared" si="1"/>
        <v>162.5</v>
      </c>
    </row>
    <row r="512" ht="15.75" customHeight="1">
      <c r="A512" s="1">
        <f>IFERROR(__xludf.DUMMYFUNCTION("""COMPUTED_VALUE"""),44594.66666666667)</f>
        <v>44594.66667</v>
      </c>
      <c r="B512" s="2">
        <f>IFERROR(__xludf.DUMMYFUNCTION("""COMPUTED_VALUE"""),3762.5)</f>
        <v>3762.5</v>
      </c>
      <c r="C512" s="2">
        <f>IFERROR(__xludf.DUMMYFUNCTION("""COMPUTED_VALUE"""),3762.5)</f>
        <v>3762.5</v>
      </c>
      <c r="D512" s="2">
        <f>IFERROR(__xludf.DUMMYFUNCTION("""COMPUTED_VALUE"""),3725.0)</f>
        <v>3725</v>
      </c>
      <c r="E512" s="2">
        <f>IFERROR(__xludf.DUMMYFUNCTION("""COMPUTED_VALUE"""),3737.5)</f>
        <v>3737.5</v>
      </c>
      <c r="F512" s="2">
        <f>IFERROR(__xludf.DUMMYFUNCTION("""COMPUTED_VALUE"""),3.43845E7)</f>
        <v>34384500</v>
      </c>
      <c r="G512" s="2">
        <f t="shared" si="1"/>
        <v>37.5</v>
      </c>
    </row>
    <row r="513" ht="15.75" customHeight="1">
      <c r="A513" s="1">
        <f>IFERROR(__xludf.DUMMYFUNCTION("""COMPUTED_VALUE"""),44595.66666666667)</f>
        <v>44595.66667</v>
      </c>
      <c r="B513" s="2">
        <f>IFERROR(__xludf.DUMMYFUNCTION("""COMPUTED_VALUE"""),3737.5)</f>
        <v>3737.5</v>
      </c>
      <c r="C513" s="2">
        <f>IFERROR(__xludf.DUMMYFUNCTION("""COMPUTED_VALUE"""),3737.5)</f>
        <v>3737.5</v>
      </c>
      <c r="D513" s="2">
        <f>IFERROR(__xludf.DUMMYFUNCTION("""COMPUTED_VALUE"""),3675.0)</f>
        <v>3675</v>
      </c>
      <c r="E513" s="2">
        <f>IFERROR(__xludf.DUMMYFUNCTION("""COMPUTED_VALUE"""),3737.5)</f>
        <v>3737.5</v>
      </c>
      <c r="F513" s="2">
        <f>IFERROR(__xludf.DUMMYFUNCTION("""COMPUTED_VALUE"""),3.0102E7)</f>
        <v>30102000</v>
      </c>
      <c r="G513" s="2">
        <f t="shared" si="1"/>
        <v>62.5</v>
      </c>
    </row>
    <row r="514" ht="15.75" customHeight="1">
      <c r="A514" s="1">
        <f>IFERROR(__xludf.DUMMYFUNCTION("""COMPUTED_VALUE"""),44596.66666666667)</f>
        <v>44596.66667</v>
      </c>
      <c r="B514" s="2">
        <f>IFERROR(__xludf.DUMMYFUNCTION("""COMPUTED_VALUE"""),3725.0)</f>
        <v>3725</v>
      </c>
      <c r="C514" s="2">
        <f>IFERROR(__xludf.DUMMYFUNCTION("""COMPUTED_VALUE"""),3762.5)</f>
        <v>3762.5</v>
      </c>
      <c r="D514" s="2">
        <f>IFERROR(__xludf.DUMMYFUNCTION("""COMPUTED_VALUE"""),3700.0)</f>
        <v>3700</v>
      </c>
      <c r="E514" s="2">
        <f>IFERROR(__xludf.DUMMYFUNCTION("""COMPUTED_VALUE"""),3737.5)</f>
        <v>3737.5</v>
      </c>
      <c r="F514" s="2">
        <f>IFERROR(__xludf.DUMMYFUNCTION("""COMPUTED_VALUE"""),1.83147E7)</f>
        <v>18314700</v>
      </c>
      <c r="G514" s="2">
        <f t="shared" si="1"/>
        <v>62.5</v>
      </c>
    </row>
    <row r="515" ht="15.75" customHeight="1">
      <c r="A515" s="1">
        <f>IFERROR(__xludf.DUMMYFUNCTION("""COMPUTED_VALUE"""),44599.66666666667)</f>
        <v>44599.66667</v>
      </c>
      <c r="B515" s="2">
        <f>IFERROR(__xludf.DUMMYFUNCTION("""COMPUTED_VALUE"""),3825.0)</f>
        <v>3825</v>
      </c>
      <c r="C515" s="2">
        <f>IFERROR(__xludf.DUMMYFUNCTION("""COMPUTED_VALUE"""),3825.0)</f>
        <v>3825</v>
      </c>
      <c r="D515" s="2">
        <f>IFERROR(__xludf.DUMMYFUNCTION("""COMPUTED_VALUE"""),3737.5)</f>
        <v>3737.5</v>
      </c>
      <c r="E515" s="2">
        <f>IFERROR(__xludf.DUMMYFUNCTION("""COMPUTED_VALUE"""),3750.0)</f>
        <v>3750</v>
      </c>
      <c r="F515" s="2">
        <f>IFERROR(__xludf.DUMMYFUNCTION("""COMPUTED_VALUE"""),3.44339E7)</f>
        <v>34433900</v>
      </c>
      <c r="G515" s="2">
        <f t="shared" si="1"/>
        <v>87.5</v>
      </c>
    </row>
    <row r="516" ht="15.75" customHeight="1">
      <c r="A516" s="1">
        <f>IFERROR(__xludf.DUMMYFUNCTION("""COMPUTED_VALUE"""),44600.66666666667)</f>
        <v>44600.66667</v>
      </c>
      <c r="B516" s="2">
        <f>IFERROR(__xludf.DUMMYFUNCTION("""COMPUTED_VALUE"""),3800.0)</f>
        <v>3800</v>
      </c>
      <c r="C516" s="2">
        <f>IFERROR(__xludf.DUMMYFUNCTION("""COMPUTED_VALUE"""),3862.5)</f>
        <v>3862.5</v>
      </c>
      <c r="D516" s="2">
        <f>IFERROR(__xludf.DUMMYFUNCTION("""COMPUTED_VALUE"""),3775.0)</f>
        <v>3775</v>
      </c>
      <c r="E516" s="2">
        <f>IFERROR(__xludf.DUMMYFUNCTION("""COMPUTED_VALUE"""),3812.5)</f>
        <v>3812.5</v>
      </c>
      <c r="F516" s="2">
        <f>IFERROR(__xludf.DUMMYFUNCTION("""COMPUTED_VALUE"""),7.92909E7)</f>
        <v>79290900</v>
      </c>
      <c r="G516" s="2">
        <f t="shared" si="1"/>
        <v>112.5</v>
      </c>
    </row>
    <row r="517" ht="15.75" customHeight="1">
      <c r="A517" s="1">
        <f>IFERROR(__xludf.DUMMYFUNCTION("""COMPUTED_VALUE"""),44601.66666666667)</f>
        <v>44601.66667</v>
      </c>
      <c r="B517" s="2">
        <f>IFERROR(__xludf.DUMMYFUNCTION("""COMPUTED_VALUE"""),3850.0)</f>
        <v>3850</v>
      </c>
      <c r="C517" s="2">
        <f>IFERROR(__xludf.DUMMYFUNCTION("""COMPUTED_VALUE"""),3862.5)</f>
        <v>3862.5</v>
      </c>
      <c r="D517" s="2">
        <f>IFERROR(__xludf.DUMMYFUNCTION("""COMPUTED_VALUE"""),3800.0)</f>
        <v>3800</v>
      </c>
      <c r="E517" s="2">
        <f>IFERROR(__xludf.DUMMYFUNCTION("""COMPUTED_VALUE"""),3837.5)</f>
        <v>3837.5</v>
      </c>
      <c r="F517" s="2">
        <f>IFERROR(__xludf.DUMMYFUNCTION("""COMPUTED_VALUE"""),5.36804E7)</f>
        <v>53680400</v>
      </c>
      <c r="G517" s="2">
        <f t="shared" si="1"/>
        <v>62.5</v>
      </c>
    </row>
    <row r="518" ht="15.75" customHeight="1">
      <c r="A518" s="1">
        <f>IFERROR(__xludf.DUMMYFUNCTION("""COMPUTED_VALUE"""),44602.66666666667)</f>
        <v>44602.66667</v>
      </c>
      <c r="B518" s="2">
        <f>IFERROR(__xludf.DUMMYFUNCTION("""COMPUTED_VALUE"""),3850.0)</f>
        <v>3850</v>
      </c>
      <c r="C518" s="2">
        <f>IFERROR(__xludf.DUMMYFUNCTION("""COMPUTED_VALUE"""),3875.0)</f>
        <v>3875</v>
      </c>
      <c r="D518" s="2">
        <f>IFERROR(__xludf.DUMMYFUNCTION("""COMPUTED_VALUE"""),3825.0)</f>
        <v>3825</v>
      </c>
      <c r="E518" s="2">
        <f>IFERROR(__xludf.DUMMYFUNCTION("""COMPUTED_VALUE"""),3862.5)</f>
        <v>3862.5</v>
      </c>
      <c r="F518" s="2">
        <f>IFERROR(__xludf.DUMMYFUNCTION("""COMPUTED_VALUE"""),5.38397E7)</f>
        <v>53839700</v>
      </c>
      <c r="G518" s="2">
        <f t="shared" si="1"/>
        <v>50</v>
      </c>
    </row>
    <row r="519" ht="15.75" customHeight="1">
      <c r="A519" s="1">
        <f>IFERROR(__xludf.DUMMYFUNCTION("""COMPUTED_VALUE"""),44603.66666666667)</f>
        <v>44603.66667</v>
      </c>
      <c r="B519" s="2">
        <f>IFERROR(__xludf.DUMMYFUNCTION("""COMPUTED_VALUE"""),3887.5)</f>
        <v>3887.5</v>
      </c>
      <c r="C519" s="2">
        <f>IFERROR(__xludf.DUMMYFUNCTION("""COMPUTED_VALUE"""),3887.5)</f>
        <v>3887.5</v>
      </c>
      <c r="D519" s="2">
        <f>IFERROR(__xludf.DUMMYFUNCTION("""COMPUTED_VALUE"""),3825.0)</f>
        <v>3825</v>
      </c>
      <c r="E519" s="2">
        <f>IFERROR(__xludf.DUMMYFUNCTION("""COMPUTED_VALUE"""),3862.5)</f>
        <v>3862.5</v>
      </c>
      <c r="F519" s="2">
        <f>IFERROR(__xludf.DUMMYFUNCTION("""COMPUTED_VALUE"""),4.07913E7)</f>
        <v>40791300</v>
      </c>
      <c r="G519" s="2">
        <f t="shared" si="1"/>
        <v>62.5</v>
      </c>
    </row>
    <row r="520" ht="15.75" customHeight="1">
      <c r="A520" s="1">
        <f>IFERROR(__xludf.DUMMYFUNCTION("""COMPUTED_VALUE"""),44606.66666666667)</f>
        <v>44606.66667</v>
      </c>
      <c r="B520" s="2">
        <f>IFERROR(__xludf.DUMMYFUNCTION("""COMPUTED_VALUE"""),3850.0)</f>
        <v>3850</v>
      </c>
      <c r="C520" s="2">
        <f>IFERROR(__xludf.DUMMYFUNCTION("""COMPUTED_VALUE"""),3900.0)</f>
        <v>3900</v>
      </c>
      <c r="D520" s="2">
        <f>IFERROR(__xludf.DUMMYFUNCTION("""COMPUTED_VALUE"""),3812.5)</f>
        <v>3812.5</v>
      </c>
      <c r="E520" s="2">
        <f>IFERROR(__xludf.DUMMYFUNCTION("""COMPUTED_VALUE"""),3900.0)</f>
        <v>3900</v>
      </c>
      <c r="F520" s="2">
        <f>IFERROR(__xludf.DUMMYFUNCTION("""COMPUTED_VALUE"""),3.81316E7)</f>
        <v>38131600</v>
      </c>
      <c r="G520" s="2">
        <f t="shared" si="1"/>
        <v>87.5</v>
      </c>
    </row>
    <row r="521" ht="15.75" customHeight="1">
      <c r="A521" s="1">
        <f>IFERROR(__xludf.DUMMYFUNCTION("""COMPUTED_VALUE"""),44607.66666666667)</f>
        <v>44607.66667</v>
      </c>
      <c r="B521" s="2">
        <f>IFERROR(__xludf.DUMMYFUNCTION("""COMPUTED_VALUE"""),3900.0)</f>
        <v>3900</v>
      </c>
      <c r="C521" s="2">
        <f>IFERROR(__xludf.DUMMYFUNCTION("""COMPUTED_VALUE"""),3950.0)</f>
        <v>3950</v>
      </c>
      <c r="D521" s="2">
        <f>IFERROR(__xludf.DUMMYFUNCTION("""COMPUTED_VALUE"""),3837.5)</f>
        <v>3837.5</v>
      </c>
      <c r="E521" s="2">
        <f>IFERROR(__xludf.DUMMYFUNCTION("""COMPUTED_VALUE"""),3950.0)</f>
        <v>3950</v>
      </c>
      <c r="F521" s="2">
        <f>IFERROR(__xludf.DUMMYFUNCTION("""COMPUTED_VALUE"""),3.39022E7)</f>
        <v>33902200</v>
      </c>
      <c r="G521" s="2">
        <f t="shared" si="1"/>
        <v>112.5</v>
      </c>
    </row>
    <row r="522" ht="15.75" customHeight="1">
      <c r="A522" s="1">
        <f>IFERROR(__xludf.DUMMYFUNCTION("""COMPUTED_VALUE"""),44608.66666666667)</f>
        <v>44608.66667</v>
      </c>
      <c r="B522" s="2">
        <f>IFERROR(__xludf.DUMMYFUNCTION("""COMPUTED_VALUE"""),3962.5)</f>
        <v>3962.5</v>
      </c>
      <c r="C522" s="2">
        <f>IFERROR(__xludf.DUMMYFUNCTION("""COMPUTED_VALUE"""),3962.5)</f>
        <v>3962.5</v>
      </c>
      <c r="D522" s="2">
        <f>IFERROR(__xludf.DUMMYFUNCTION("""COMPUTED_VALUE"""),3875.0)</f>
        <v>3875</v>
      </c>
      <c r="E522" s="2">
        <f>IFERROR(__xludf.DUMMYFUNCTION("""COMPUTED_VALUE"""),3925.0)</f>
        <v>3925</v>
      </c>
      <c r="F522" s="2">
        <f>IFERROR(__xludf.DUMMYFUNCTION("""COMPUTED_VALUE"""),3.73925E7)</f>
        <v>37392500</v>
      </c>
      <c r="G522" s="2">
        <f t="shared" si="1"/>
        <v>87.5</v>
      </c>
    </row>
    <row r="523" ht="15.75" customHeight="1">
      <c r="A523" s="1">
        <f>IFERROR(__xludf.DUMMYFUNCTION("""COMPUTED_VALUE"""),44609.66666666667)</f>
        <v>44609.66667</v>
      </c>
      <c r="B523" s="2">
        <f>IFERROR(__xludf.DUMMYFUNCTION("""COMPUTED_VALUE"""),3937.5)</f>
        <v>3937.5</v>
      </c>
      <c r="C523" s="2">
        <f>IFERROR(__xludf.DUMMYFUNCTION("""COMPUTED_VALUE"""),3937.5)</f>
        <v>3937.5</v>
      </c>
      <c r="D523" s="2">
        <f>IFERROR(__xludf.DUMMYFUNCTION("""COMPUTED_VALUE"""),3837.5)</f>
        <v>3837.5</v>
      </c>
      <c r="E523" s="2">
        <f>IFERROR(__xludf.DUMMYFUNCTION("""COMPUTED_VALUE"""),3925.0)</f>
        <v>3925</v>
      </c>
      <c r="F523" s="2">
        <f>IFERROR(__xludf.DUMMYFUNCTION("""COMPUTED_VALUE"""),5.15194E7)</f>
        <v>51519400</v>
      </c>
      <c r="G523" s="2">
        <f t="shared" si="1"/>
        <v>100</v>
      </c>
    </row>
    <row r="524" ht="15.75" customHeight="1">
      <c r="A524" s="1">
        <f>IFERROR(__xludf.DUMMYFUNCTION("""COMPUTED_VALUE"""),44610.66666666667)</f>
        <v>44610.66667</v>
      </c>
      <c r="B524" s="2">
        <f>IFERROR(__xludf.DUMMYFUNCTION("""COMPUTED_VALUE"""),3912.5)</f>
        <v>3912.5</v>
      </c>
      <c r="C524" s="2">
        <f>IFERROR(__xludf.DUMMYFUNCTION("""COMPUTED_VALUE"""),3975.0)</f>
        <v>3975</v>
      </c>
      <c r="D524" s="2">
        <f>IFERROR(__xludf.DUMMYFUNCTION("""COMPUTED_VALUE"""),3875.0)</f>
        <v>3875</v>
      </c>
      <c r="E524" s="2">
        <f>IFERROR(__xludf.DUMMYFUNCTION("""COMPUTED_VALUE"""),3925.0)</f>
        <v>3925</v>
      </c>
      <c r="F524" s="2">
        <f>IFERROR(__xludf.DUMMYFUNCTION("""COMPUTED_VALUE"""),4.06516E7)</f>
        <v>40651600</v>
      </c>
      <c r="G524" s="2">
        <f t="shared" si="1"/>
        <v>100</v>
      </c>
    </row>
    <row r="525" ht="15.75" customHeight="1">
      <c r="A525" s="1">
        <f>IFERROR(__xludf.DUMMYFUNCTION("""COMPUTED_VALUE"""),44613.66666666667)</f>
        <v>44613.66667</v>
      </c>
      <c r="B525" s="2">
        <f>IFERROR(__xludf.DUMMYFUNCTION("""COMPUTED_VALUE"""),3925.0)</f>
        <v>3925</v>
      </c>
      <c r="C525" s="2">
        <f>IFERROR(__xludf.DUMMYFUNCTION("""COMPUTED_VALUE"""),3962.5)</f>
        <v>3962.5</v>
      </c>
      <c r="D525" s="2">
        <f>IFERROR(__xludf.DUMMYFUNCTION("""COMPUTED_VALUE"""),3925.0)</f>
        <v>3925</v>
      </c>
      <c r="E525" s="2">
        <f>IFERROR(__xludf.DUMMYFUNCTION("""COMPUTED_VALUE"""),3925.0)</f>
        <v>3925</v>
      </c>
      <c r="F525" s="2">
        <f>IFERROR(__xludf.DUMMYFUNCTION("""COMPUTED_VALUE"""),1.58604E7)</f>
        <v>15860400</v>
      </c>
      <c r="G525" s="2">
        <f t="shared" si="1"/>
        <v>37.5</v>
      </c>
    </row>
    <row r="526" ht="15.75" customHeight="1">
      <c r="A526" s="1">
        <f>IFERROR(__xludf.DUMMYFUNCTION("""COMPUTED_VALUE"""),44614.66666666667)</f>
        <v>44614.66667</v>
      </c>
      <c r="B526" s="2">
        <f>IFERROR(__xludf.DUMMYFUNCTION("""COMPUTED_VALUE"""),3912.5)</f>
        <v>3912.5</v>
      </c>
      <c r="C526" s="2">
        <f>IFERROR(__xludf.DUMMYFUNCTION("""COMPUTED_VALUE"""),3950.0)</f>
        <v>3950</v>
      </c>
      <c r="D526" s="2">
        <f>IFERROR(__xludf.DUMMYFUNCTION("""COMPUTED_VALUE"""),3887.5)</f>
        <v>3887.5</v>
      </c>
      <c r="E526" s="2">
        <f>IFERROR(__xludf.DUMMYFUNCTION("""COMPUTED_VALUE"""),3937.5)</f>
        <v>3937.5</v>
      </c>
      <c r="F526" s="2">
        <f>IFERROR(__xludf.DUMMYFUNCTION("""COMPUTED_VALUE"""),3.47383E7)</f>
        <v>34738300</v>
      </c>
      <c r="G526" s="2">
        <f t="shared" si="1"/>
        <v>62.5</v>
      </c>
    </row>
    <row r="527" ht="15.75" customHeight="1">
      <c r="A527" s="1">
        <f>IFERROR(__xludf.DUMMYFUNCTION("""COMPUTED_VALUE"""),44615.66666666667)</f>
        <v>44615.66667</v>
      </c>
      <c r="B527" s="2">
        <f>IFERROR(__xludf.DUMMYFUNCTION("""COMPUTED_VALUE"""),3962.5)</f>
        <v>3962.5</v>
      </c>
      <c r="C527" s="2">
        <f>IFERROR(__xludf.DUMMYFUNCTION("""COMPUTED_VALUE"""),3975.0)</f>
        <v>3975</v>
      </c>
      <c r="D527" s="2">
        <f>IFERROR(__xludf.DUMMYFUNCTION("""COMPUTED_VALUE"""),3912.5)</f>
        <v>3912.5</v>
      </c>
      <c r="E527" s="2">
        <f>IFERROR(__xludf.DUMMYFUNCTION("""COMPUTED_VALUE"""),3937.5)</f>
        <v>3937.5</v>
      </c>
      <c r="F527" s="2">
        <f>IFERROR(__xludf.DUMMYFUNCTION("""COMPUTED_VALUE"""),4.29955E7)</f>
        <v>42995500</v>
      </c>
      <c r="G527" s="2">
        <f t="shared" si="1"/>
        <v>62.5</v>
      </c>
    </row>
    <row r="528" ht="15.75" customHeight="1">
      <c r="A528" s="1">
        <f>IFERROR(__xludf.DUMMYFUNCTION("""COMPUTED_VALUE"""),44616.66666666667)</f>
        <v>44616.66667</v>
      </c>
      <c r="B528" s="2">
        <f>IFERROR(__xludf.DUMMYFUNCTION("""COMPUTED_VALUE"""),3862.5)</f>
        <v>3862.5</v>
      </c>
      <c r="C528" s="2">
        <f>IFERROR(__xludf.DUMMYFUNCTION("""COMPUTED_VALUE"""),3937.5)</f>
        <v>3937.5</v>
      </c>
      <c r="D528" s="2">
        <f>IFERROR(__xludf.DUMMYFUNCTION("""COMPUTED_VALUE"""),3825.0)</f>
        <v>3825</v>
      </c>
      <c r="E528" s="2">
        <f>IFERROR(__xludf.DUMMYFUNCTION("""COMPUTED_VALUE"""),3850.0)</f>
        <v>3850</v>
      </c>
      <c r="F528" s="2">
        <f>IFERROR(__xludf.DUMMYFUNCTION("""COMPUTED_VALUE"""),8.51485E7)</f>
        <v>85148500</v>
      </c>
      <c r="G528" s="2">
        <f t="shared" si="1"/>
        <v>112.5</v>
      </c>
    </row>
    <row r="529" ht="15.75" customHeight="1">
      <c r="A529" s="1">
        <f>IFERROR(__xludf.DUMMYFUNCTION("""COMPUTED_VALUE"""),44617.66666666667)</f>
        <v>44617.66667</v>
      </c>
      <c r="B529" s="2">
        <f>IFERROR(__xludf.DUMMYFUNCTION("""COMPUTED_VALUE"""),3862.5)</f>
        <v>3862.5</v>
      </c>
      <c r="C529" s="2">
        <f>IFERROR(__xludf.DUMMYFUNCTION("""COMPUTED_VALUE"""),3875.0)</f>
        <v>3875</v>
      </c>
      <c r="D529" s="2">
        <f>IFERROR(__xludf.DUMMYFUNCTION("""COMPUTED_VALUE"""),3825.0)</f>
        <v>3825</v>
      </c>
      <c r="E529" s="2">
        <f>IFERROR(__xludf.DUMMYFUNCTION("""COMPUTED_VALUE"""),3850.0)</f>
        <v>3850</v>
      </c>
      <c r="F529" s="2">
        <f>IFERROR(__xludf.DUMMYFUNCTION("""COMPUTED_VALUE"""),8.16499E7)</f>
        <v>81649900</v>
      </c>
      <c r="G529" s="2">
        <f t="shared" si="1"/>
        <v>50</v>
      </c>
    </row>
    <row r="530" ht="15.75" customHeight="1">
      <c r="A530" s="1">
        <f>IFERROR(__xludf.DUMMYFUNCTION("""COMPUTED_VALUE"""),44621.66666666667)</f>
        <v>44621.66667</v>
      </c>
      <c r="B530" s="2">
        <f>IFERROR(__xludf.DUMMYFUNCTION("""COMPUTED_VALUE"""),3837.5)</f>
        <v>3837.5</v>
      </c>
      <c r="C530" s="2">
        <f>IFERROR(__xludf.DUMMYFUNCTION("""COMPUTED_VALUE"""),3925.0)</f>
        <v>3925</v>
      </c>
      <c r="D530" s="2">
        <f>IFERROR(__xludf.DUMMYFUNCTION("""COMPUTED_VALUE"""),3825.0)</f>
        <v>3825</v>
      </c>
      <c r="E530" s="2">
        <f>IFERROR(__xludf.DUMMYFUNCTION("""COMPUTED_VALUE"""),3825.0)</f>
        <v>3825</v>
      </c>
      <c r="F530" s="2">
        <f>IFERROR(__xludf.DUMMYFUNCTION("""COMPUTED_VALUE"""),7.47661E7)</f>
        <v>74766100</v>
      </c>
      <c r="G530" s="2">
        <f t="shared" si="1"/>
        <v>100</v>
      </c>
    </row>
    <row r="531" ht="15.75" customHeight="1">
      <c r="A531" s="1">
        <f>IFERROR(__xludf.DUMMYFUNCTION("""COMPUTED_VALUE"""),44622.66666666667)</f>
        <v>44622.66667</v>
      </c>
      <c r="B531" s="2">
        <f>IFERROR(__xludf.DUMMYFUNCTION("""COMPUTED_VALUE"""),3825.0)</f>
        <v>3825</v>
      </c>
      <c r="C531" s="2">
        <f>IFERROR(__xludf.DUMMYFUNCTION("""COMPUTED_VALUE"""),3862.5)</f>
        <v>3862.5</v>
      </c>
      <c r="D531" s="2">
        <f>IFERROR(__xludf.DUMMYFUNCTION("""COMPUTED_VALUE"""),3775.0)</f>
        <v>3775</v>
      </c>
      <c r="E531" s="2">
        <f>IFERROR(__xludf.DUMMYFUNCTION("""COMPUTED_VALUE"""),3812.5)</f>
        <v>3812.5</v>
      </c>
      <c r="F531" s="2">
        <f>IFERROR(__xludf.DUMMYFUNCTION("""COMPUTED_VALUE"""),5.5412E7)</f>
        <v>55412000</v>
      </c>
      <c r="G531" s="2">
        <f t="shared" si="1"/>
        <v>87.5</v>
      </c>
    </row>
    <row r="532" ht="15.75" customHeight="1">
      <c r="A532" s="1">
        <f>IFERROR(__xludf.DUMMYFUNCTION("""COMPUTED_VALUE"""),44624.66666666667)</f>
        <v>44624.66667</v>
      </c>
      <c r="B532" s="2">
        <f>IFERROR(__xludf.DUMMYFUNCTION("""COMPUTED_VALUE"""),3850.0)</f>
        <v>3850</v>
      </c>
      <c r="C532" s="2">
        <f>IFERROR(__xludf.DUMMYFUNCTION("""COMPUTED_VALUE"""),3862.5)</f>
        <v>3862.5</v>
      </c>
      <c r="D532" s="2">
        <f>IFERROR(__xludf.DUMMYFUNCTION("""COMPUTED_VALUE"""),3800.0)</f>
        <v>3800</v>
      </c>
      <c r="E532" s="2">
        <f>IFERROR(__xludf.DUMMYFUNCTION("""COMPUTED_VALUE"""),3825.0)</f>
        <v>3825</v>
      </c>
      <c r="F532" s="2">
        <f>IFERROR(__xludf.DUMMYFUNCTION("""COMPUTED_VALUE"""),5.24573E7)</f>
        <v>52457300</v>
      </c>
      <c r="G532" s="2">
        <f t="shared" si="1"/>
        <v>62.5</v>
      </c>
    </row>
    <row r="533" ht="15.75" customHeight="1">
      <c r="A533" s="1">
        <f>IFERROR(__xludf.DUMMYFUNCTION("""COMPUTED_VALUE"""),44627.66666666667)</f>
        <v>44627.66667</v>
      </c>
      <c r="B533" s="2">
        <f>IFERROR(__xludf.DUMMYFUNCTION("""COMPUTED_VALUE"""),3775.0)</f>
        <v>3775</v>
      </c>
      <c r="C533" s="2">
        <f>IFERROR(__xludf.DUMMYFUNCTION("""COMPUTED_VALUE"""),3812.5)</f>
        <v>3812.5</v>
      </c>
      <c r="D533" s="2">
        <f>IFERROR(__xludf.DUMMYFUNCTION("""COMPUTED_VALUE"""),3750.0)</f>
        <v>3750</v>
      </c>
      <c r="E533" s="2">
        <f>IFERROR(__xludf.DUMMYFUNCTION("""COMPUTED_VALUE"""),3775.0)</f>
        <v>3775</v>
      </c>
      <c r="F533" s="2">
        <f>IFERROR(__xludf.DUMMYFUNCTION("""COMPUTED_VALUE"""),6.88338E7)</f>
        <v>68833800</v>
      </c>
      <c r="G533" s="2">
        <f t="shared" si="1"/>
        <v>75</v>
      </c>
    </row>
    <row r="534" ht="15.75" customHeight="1">
      <c r="A534" s="1">
        <f>IFERROR(__xludf.DUMMYFUNCTION("""COMPUTED_VALUE"""),44628.66666666667)</f>
        <v>44628.66667</v>
      </c>
      <c r="B534" s="2">
        <f>IFERROR(__xludf.DUMMYFUNCTION("""COMPUTED_VALUE"""),3812.5)</f>
        <v>3812.5</v>
      </c>
      <c r="C534" s="2">
        <f>IFERROR(__xludf.DUMMYFUNCTION("""COMPUTED_VALUE"""),3850.0)</f>
        <v>3850</v>
      </c>
      <c r="D534" s="2">
        <f>IFERROR(__xludf.DUMMYFUNCTION("""COMPUTED_VALUE"""),3775.0)</f>
        <v>3775</v>
      </c>
      <c r="E534" s="2">
        <f>IFERROR(__xludf.DUMMYFUNCTION("""COMPUTED_VALUE"""),3775.0)</f>
        <v>3775</v>
      </c>
      <c r="F534" s="2">
        <f>IFERROR(__xludf.DUMMYFUNCTION("""COMPUTED_VALUE"""),5.20361E7)</f>
        <v>52036100</v>
      </c>
      <c r="G534" s="2">
        <f t="shared" si="1"/>
        <v>75</v>
      </c>
    </row>
    <row r="535" ht="15.75" customHeight="1">
      <c r="A535" s="1">
        <f>IFERROR(__xludf.DUMMYFUNCTION("""COMPUTED_VALUE"""),44629.66666666667)</f>
        <v>44629.66667</v>
      </c>
      <c r="B535" s="2">
        <f>IFERROR(__xludf.DUMMYFUNCTION("""COMPUTED_VALUE"""),3787.5)</f>
        <v>3787.5</v>
      </c>
      <c r="C535" s="2">
        <f>IFERROR(__xludf.DUMMYFUNCTION("""COMPUTED_VALUE"""),3862.5)</f>
        <v>3862.5</v>
      </c>
      <c r="D535" s="2">
        <f>IFERROR(__xludf.DUMMYFUNCTION("""COMPUTED_VALUE"""),3787.5)</f>
        <v>3787.5</v>
      </c>
      <c r="E535" s="2">
        <f>IFERROR(__xludf.DUMMYFUNCTION("""COMPUTED_VALUE"""),3812.5)</f>
        <v>3812.5</v>
      </c>
      <c r="F535" s="2">
        <f>IFERROR(__xludf.DUMMYFUNCTION("""COMPUTED_VALUE"""),5.75546E7)</f>
        <v>57554600</v>
      </c>
      <c r="G535" s="2">
        <f t="shared" si="1"/>
        <v>87.5</v>
      </c>
    </row>
    <row r="536" ht="15.75" customHeight="1">
      <c r="A536" s="1">
        <f>IFERROR(__xludf.DUMMYFUNCTION("""COMPUTED_VALUE"""),44630.66666666667)</f>
        <v>44630.66667</v>
      </c>
      <c r="B536" s="2">
        <f>IFERROR(__xludf.DUMMYFUNCTION("""COMPUTED_VALUE"""),3850.0)</f>
        <v>3850</v>
      </c>
      <c r="C536" s="2">
        <f>IFERROR(__xludf.DUMMYFUNCTION("""COMPUTED_VALUE"""),3875.0)</f>
        <v>3875</v>
      </c>
      <c r="D536" s="2">
        <f>IFERROR(__xludf.DUMMYFUNCTION("""COMPUTED_VALUE"""),3800.0)</f>
        <v>3800</v>
      </c>
      <c r="E536" s="2">
        <f>IFERROR(__xludf.DUMMYFUNCTION("""COMPUTED_VALUE"""),3837.5)</f>
        <v>3837.5</v>
      </c>
      <c r="F536" s="2">
        <f>IFERROR(__xludf.DUMMYFUNCTION("""COMPUTED_VALUE"""),5.29015E7)</f>
        <v>52901500</v>
      </c>
      <c r="G536" s="2">
        <f t="shared" si="1"/>
        <v>75</v>
      </c>
    </row>
    <row r="537" ht="15.75" customHeight="1">
      <c r="A537" s="1">
        <f>IFERROR(__xludf.DUMMYFUNCTION("""COMPUTED_VALUE"""),44631.66666666667)</f>
        <v>44631.66667</v>
      </c>
      <c r="B537" s="2">
        <f>IFERROR(__xludf.DUMMYFUNCTION("""COMPUTED_VALUE"""),3862.5)</f>
        <v>3862.5</v>
      </c>
      <c r="C537" s="2">
        <f>IFERROR(__xludf.DUMMYFUNCTION("""COMPUTED_VALUE"""),3862.5)</f>
        <v>3862.5</v>
      </c>
      <c r="D537" s="2">
        <f>IFERROR(__xludf.DUMMYFUNCTION("""COMPUTED_VALUE"""),3800.0)</f>
        <v>3800</v>
      </c>
      <c r="E537" s="2">
        <f>IFERROR(__xludf.DUMMYFUNCTION("""COMPUTED_VALUE"""),3825.0)</f>
        <v>3825</v>
      </c>
      <c r="F537" s="2">
        <f>IFERROR(__xludf.DUMMYFUNCTION("""COMPUTED_VALUE"""),6.12008E7)</f>
        <v>61200800</v>
      </c>
      <c r="G537" s="2">
        <f t="shared" si="1"/>
        <v>62.5</v>
      </c>
    </row>
    <row r="538" ht="15.75" customHeight="1">
      <c r="A538" s="1">
        <f>IFERROR(__xludf.DUMMYFUNCTION("""COMPUTED_VALUE"""),44634.66666666667)</f>
        <v>44634.66667</v>
      </c>
      <c r="B538" s="2">
        <f>IFERROR(__xludf.DUMMYFUNCTION("""COMPUTED_VALUE"""),3825.0)</f>
        <v>3825</v>
      </c>
      <c r="C538" s="2">
        <f>IFERROR(__xludf.DUMMYFUNCTION("""COMPUTED_VALUE"""),3912.5)</f>
        <v>3912.5</v>
      </c>
      <c r="D538" s="2">
        <f>IFERROR(__xludf.DUMMYFUNCTION("""COMPUTED_VALUE"""),3812.5)</f>
        <v>3812.5</v>
      </c>
      <c r="E538" s="2">
        <f>IFERROR(__xludf.DUMMYFUNCTION("""COMPUTED_VALUE"""),3875.0)</f>
        <v>3875</v>
      </c>
      <c r="F538" s="2">
        <f>IFERROR(__xludf.DUMMYFUNCTION("""COMPUTED_VALUE"""),8.67567E7)</f>
        <v>86756700</v>
      </c>
      <c r="G538" s="2">
        <f t="shared" si="1"/>
        <v>100</v>
      </c>
    </row>
    <row r="539" ht="15.75" customHeight="1">
      <c r="A539" s="1">
        <f>IFERROR(__xludf.DUMMYFUNCTION("""COMPUTED_VALUE"""),44635.66666666667)</f>
        <v>44635.66667</v>
      </c>
      <c r="B539" s="2">
        <f>IFERROR(__xludf.DUMMYFUNCTION("""COMPUTED_VALUE"""),3900.0)</f>
        <v>3900</v>
      </c>
      <c r="C539" s="2">
        <f>IFERROR(__xludf.DUMMYFUNCTION("""COMPUTED_VALUE"""),3937.5)</f>
        <v>3937.5</v>
      </c>
      <c r="D539" s="2">
        <f>IFERROR(__xludf.DUMMYFUNCTION("""COMPUTED_VALUE"""),3887.5)</f>
        <v>3887.5</v>
      </c>
      <c r="E539" s="2">
        <f>IFERROR(__xludf.DUMMYFUNCTION("""COMPUTED_VALUE"""),3887.5)</f>
        <v>3887.5</v>
      </c>
      <c r="F539" s="2">
        <f>IFERROR(__xludf.DUMMYFUNCTION("""COMPUTED_VALUE"""),7.33677E7)</f>
        <v>73367700</v>
      </c>
      <c r="G539" s="2">
        <f t="shared" si="1"/>
        <v>62.5</v>
      </c>
    </row>
    <row r="540" ht="15.75" customHeight="1">
      <c r="A540" s="1">
        <f>IFERROR(__xludf.DUMMYFUNCTION("""COMPUTED_VALUE"""),44636.66666666667)</f>
        <v>44636.66667</v>
      </c>
      <c r="B540" s="2">
        <f>IFERROR(__xludf.DUMMYFUNCTION("""COMPUTED_VALUE"""),3900.0)</f>
        <v>3900</v>
      </c>
      <c r="C540" s="2">
        <f>IFERROR(__xludf.DUMMYFUNCTION("""COMPUTED_VALUE"""),4025.0)</f>
        <v>4025</v>
      </c>
      <c r="D540" s="2">
        <f>IFERROR(__xludf.DUMMYFUNCTION("""COMPUTED_VALUE"""),3900.0)</f>
        <v>3900</v>
      </c>
      <c r="E540" s="2">
        <f>IFERROR(__xludf.DUMMYFUNCTION("""COMPUTED_VALUE"""),3975.0)</f>
        <v>3975</v>
      </c>
      <c r="F540" s="2">
        <f>IFERROR(__xludf.DUMMYFUNCTION("""COMPUTED_VALUE"""),1.459549E8)</f>
        <v>145954900</v>
      </c>
      <c r="G540" s="2">
        <f t="shared" si="1"/>
        <v>137.5</v>
      </c>
    </row>
    <row r="541" ht="15.75" customHeight="1">
      <c r="A541" s="1">
        <f>IFERROR(__xludf.DUMMYFUNCTION("""COMPUTED_VALUE"""),44637.66666666667)</f>
        <v>44637.66667</v>
      </c>
      <c r="B541" s="2">
        <f>IFERROR(__xludf.DUMMYFUNCTION("""COMPUTED_VALUE"""),4000.0)</f>
        <v>4000</v>
      </c>
      <c r="C541" s="2">
        <f>IFERROR(__xludf.DUMMYFUNCTION("""COMPUTED_VALUE"""),4050.0)</f>
        <v>4050</v>
      </c>
      <c r="D541" s="2">
        <f>IFERROR(__xludf.DUMMYFUNCTION("""COMPUTED_VALUE"""),3975.0)</f>
        <v>3975</v>
      </c>
      <c r="E541" s="2">
        <f>IFERROR(__xludf.DUMMYFUNCTION("""COMPUTED_VALUE"""),3975.0)</f>
        <v>3975</v>
      </c>
      <c r="F541" s="2">
        <f>IFERROR(__xludf.DUMMYFUNCTION("""COMPUTED_VALUE"""),1.177795E8)</f>
        <v>117779500</v>
      </c>
      <c r="G541" s="2">
        <f t="shared" si="1"/>
        <v>75</v>
      </c>
    </row>
    <row r="542" ht="15.75" customHeight="1">
      <c r="A542" s="1">
        <f>IFERROR(__xludf.DUMMYFUNCTION("""COMPUTED_VALUE"""),44638.66666666667)</f>
        <v>44638.66667</v>
      </c>
      <c r="B542" s="2">
        <f>IFERROR(__xludf.DUMMYFUNCTION("""COMPUTED_VALUE"""),3987.5)</f>
        <v>3987.5</v>
      </c>
      <c r="C542" s="2">
        <f>IFERROR(__xludf.DUMMYFUNCTION("""COMPUTED_VALUE"""),4000.0)</f>
        <v>4000</v>
      </c>
      <c r="D542" s="2">
        <f>IFERROR(__xludf.DUMMYFUNCTION("""COMPUTED_VALUE"""),3937.5)</f>
        <v>3937.5</v>
      </c>
      <c r="E542" s="2">
        <f>IFERROR(__xludf.DUMMYFUNCTION("""COMPUTED_VALUE"""),3962.5)</f>
        <v>3962.5</v>
      </c>
      <c r="F542" s="2">
        <f>IFERROR(__xludf.DUMMYFUNCTION("""COMPUTED_VALUE"""),1.061167E8)</f>
        <v>106116700</v>
      </c>
      <c r="G542" s="2">
        <f t="shared" si="1"/>
        <v>62.5</v>
      </c>
    </row>
    <row r="543" ht="15.75" customHeight="1">
      <c r="A543" s="1">
        <f>IFERROR(__xludf.DUMMYFUNCTION("""COMPUTED_VALUE"""),44641.66666666667)</f>
        <v>44641.66667</v>
      </c>
      <c r="B543" s="2">
        <f>IFERROR(__xludf.DUMMYFUNCTION("""COMPUTED_VALUE"""),3837.5)</f>
        <v>3837.5</v>
      </c>
      <c r="C543" s="2">
        <f>IFERROR(__xludf.DUMMYFUNCTION("""COMPUTED_VALUE"""),3862.5)</f>
        <v>3862.5</v>
      </c>
      <c r="D543" s="2">
        <f>IFERROR(__xludf.DUMMYFUNCTION("""COMPUTED_VALUE"""),3800.0)</f>
        <v>3800</v>
      </c>
      <c r="E543" s="2">
        <f>IFERROR(__xludf.DUMMYFUNCTION("""COMPUTED_VALUE"""),3825.0)</f>
        <v>3825</v>
      </c>
      <c r="F543" s="2">
        <f>IFERROR(__xludf.DUMMYFUNCTION("""COMPUTED_VALUE"""),8.11822E7)</f>
        <v>81182200</v>
      </c>
      <c r="G543" s="2">
        <f t="shared" si="1"/>
        <v>162.5</v>
      </c>
    </row>
    <row r="544" ht="15.75" customHeight="1">
      <c r="A544" s="1">
        <f>IFERROR(__xludf.DUMMYFUNCTION("""COMPUTED_VALUE"""),44642.66666666667)</f>
        <v>44642.66667</v>
      </c>
      <c r="B544" s="2">
        <f>IFERROR(__xludf.DUMMYFUNCTION("""COMPUTED_VALUE"""),3850.0)</f>
        <v>3850</v>
      </c>
      <c r="C544" s="2">
        <f>IFERROR(__xludf.DUMMYFUNCTION("""COMPUTED_VALUE"""),3875.0)</f>
        <v>3875</v>
      </c>
      <c r="D544" s="2">
        <f>IFERROR(__xludf.DUMMYFUNCTION("""COMPUTED_VALUE"""),3825.0)</f>
        <v>3825</v>
      </c>
      <c r="E544" s="2">
        <f>IFERROR(__xludf.DUMMYFUNCTION("""COMPUTED_VALUE"""),3837.5)</f>
        <v>3837.5</v>
      </c>
      <c r="F544" s="2">
        <f>IFERROR(__xludf.DUMMYFUNCTION("""COMPUTED_VALUE"""),5.63362E7)</f>
        <v>56336200</v>
      </c>
      <c r="G544" s="2">
        <f t="shared" si="1"/>
        <v>50</v>
      </c>
    </row>
    <row r="545" ht="15.75" customHeight="1">
      <c r="A545" s="1">
        <f>IFERROR(__xludf.DUMMYFUNCTION("""COMPUTED_VALUE"""),44643.66666666667)</f>
        <v>44643.66667</v>
      </c>
      <c r="B545" s="2">
        <f>IFERROR(__xludf.DUMMYFUNCTION("""COMPUTED_VALUE"""),3837.5)</f>
        <v>3837.5</v>
      </c>
      <c r="C545" s="2">
        <f>IFERROR(__xludf.DUMMYFUNCTION("""COMPUTED_VALUE"""),3900.0)</f>
        <v>3900</v>
      </c>
      <c r="D545" s="2">
        <f>IFERROR(__xludf.DUMMYFUNCTION("""COMPUTED_VALUE"""),3825.0)</f>
        <v>3825</v>
      </c>
      <c r="E545" s="2">
        <f>IFERROR(__xludf.DUMMYFUNCTION("""COMPUTED_VALUE"""),3887.5)</f>
        <v>3887.5</v>
      </c>
      <c r="F545" s="2">
        <f>IFERROR(__xludf.DUMMYFUNCTION("""COMPUTED_VALUE"""),9.19474E7)</f>
        <v>91947400</v>
      </c>
      <c r="G545" s="2">
        <f t="shared" si="1"/>
        <v>75</v>
      </c>
    </row>
    <row r="546" ht="15.75" customHeight="1">
      <c r="A546" s="1">
        <f>IFERROR(__xludf.DUMMYFUNCTION("""COMPUTED_VALUE"""),44644.66666666667)</f>
        <v>44644.66667</v>
      </c>
      <c r="B546" s="2">
        <f>IFERROR(__xludf.DUMMYFUNCTION("""COMPUTED_VALUE"""),3850.0)</f>
        <v>3850</v>
      </c>
      <c r="C546" s="2">
        <f>IFERROR(__xludf.DUMMYFUNCTION("""COMPUTED_VALUE"""),3962.5)</f>
        <v>3962.5</v>
      </c>
      <c r="D546" s="2">
        <f>IFERROR(__xludf.DUMMYFUNCTION("""COMPUTED_VALUE"""),3850.0)</f>
        <v>3850</v>
      </c>
      <c r="E546" s="2">
        <f>IFERROR(__xludf.DUMMYFUNCTION("""COMPUTED_VALUE"""),3962.5)</f>
        <v>3962.5</v>
      </c>
      <c r="F546" s="2">
        <f>IFERROR(__xludf.DUMMYFUNCTION("""COMPUTED_VALUE"""),1.054549E8)</f>
        <v>105454900</v>
      </c>
      <c r="G546" s="2">
        <f t="shared" si="1"/>
        <v>112.5</v>
      </c>
    </row>
    <row r="547" ht="15.75" customHeight="1">
      <c r="A547" s="1">
        <f>IFERROR(__xludf.DUMMYFUNCTION("""COMPUTED_VALUE"""),44645.66666666667)</f>
        <v>44645.66667</v>
      </c>
      <c r="B547" s="2">
        <f>IFERROR(__xludf.DUMMYFUNCTION("""COMPUTED_VALUE"""),3975.0)</f>
        <v>3975</v>
      </c>
      <c r="C547" s="2">
        <f>IFERROR(__xludf.DUMMYFUNCTION("""COMPUTED_VALUE"""),3987.5)</f>
        <v>3987.5</v>
      </c>
      <c r="D547" s="2">
        <f>IFERROR(__xludf.DUMMYFUNCTION("""COMPUTED_VALUE"""),3887.5)</f>
        <v>3887.5</v>
      </c>
      <c r="E547" s="2">
        <f>IFERROR(__xludf.DUMMYFUNCTION("""COMPUTED_VALUE"""),3925.0)</f>
        <v>3925</v>
      </c>
      <c r="F547" s="2">
        <f>IFERROR(__xludf.DUMMYFUNCTION("""COMPUTED_VALUE"""),6.80415E7)</f>
        <v>68041500</v>
      </c>
      <c r="G547" s="2">
        <f t="shared" si="1"/>
        <v>100</v>
      </c>
    </row>
    <row r="548" ht="15.75" customHeight="1">
      <c r="A548" s="1">
        <f>IFERROR(__xludf.DUMMYFUNCTION("""COMPUTED_VALUE"""),44648.66666666667)</f>
        <v>44648.66667</v>
      </c>
      <c r="B548" s="2">
        <f>IFERROR(__xludf.DUMMYFUNCTION("""COMPUTED_VALUE"""),3937.5)</f>
        <v>3937.5</v>
      </c>
      <c r="C548" s="2">
        <f>IFERROR(__xludf.DUMMYFUNCTION("""COMPUTED_VALUE"""),3950.0)</f>
        <v>3950</v>
      </c>
      <c r="D548" s="2">
        <f>IFERROR(__xludf.DUMMYFUNCTION("""COMPUTED_VALUE"""),3900.0)</f>
        <v>3900</v>
      </c>
      <c r="E548" s="2">
        <f>IFERROR(__xludf.DUMMYFUNCTION("""COMPUTED_VALUE"""),3937.5)</f>
        <v>3937.5</v>
      </c>
      <c r="F548" s="2">
        <f>IFERROR(__xludf.DUMMYFUNCTION("""COMPUTED_VALUE"""),4.76772E7)</f>
        <v>47677200</v>
      </c>
      <c r="G548" s="2">
        <f t="shared" si="1"/>
        <v>50</v>
      </c>
    </row>
    <row r="549" ht="15.75" customHeight="1">
      <c r="A549" s="1">
        <f>IFERROR(__xludf.DUMMYFUNCTION("""COMPUTED_VALUE"""),44649.66666666667)</f>
        <v>44649.66667</v>
      </c>
      <c r="B549" s="2">
        <f>IFERROR(__xludf.DUMMYFUNCTION("""COMPUTED_VALUE"""),3987.5)</f>
        <v>3987.5</v>
      </c>
      <c r="C549" s="2">
        <f>IFERROR(__xludf.DUMMYFUNCTION("""COMPUTED_VALUE"""),4012.5)</f>
        <v>4012.5</v>
      </c>
      <c r="D549" s="2">
        <f>IFERROR(__xludf.DUMMYFUNCTION("""COMPUTED_VALUE"""),3937.5)</f>
        <v>3937.5</v>
      </c>
      <c r="E549" s="2">
        <f>IFERROR(__xludf.DUMMYFUNCTION("""COMPUTED_VALUE"""),3962.5)</f>
        <v>3962.5</v>
      </c>
      <c r="F549" s="2">
        <f>IFERROR(__xludf.DUMMYFUNCTION("""COMPUTED_VALUE"""),8.00561E7)</f>
        <v>80056100</v>
      </c>
      <c r="G549" s="2">
        <f t="shared" si="1"/>
        <v>75</v>
      </c>
    </row>
    <row r="550" ht="15.75" customHeight="1">
      <c r="A550" s="1">
        <f>IFERROR(__xludf.DUMMYFUNCTION("""COMPUTED_VALUE"""),44650.66666666667)</f>
        <v>44650.66667</v>
      </c>
      <c r="B550" s="2">
        <f>IFERROR(__xludf.DUMMYFUNCTION("""COMPUTED_VALUE"""),3975.0)</f>
        <v>3975</v>
      </c>
      <c r="C550" s="2">
        <f>IFERROR(__xludf.DUMMYFUNCTION("""COMPUTED_VALUE"""),3987.5)</f>
        <v>3987.5</v>
      </c>
      <c r="D550" s="2">
        <f>IFERROR(__xludf.DUMMYFUNCTION("""COMPUTED_VALUE"""),3925.0)</f>
        <v>3925</v>
      </c>
      <c r="E550" s="2">
        <f>IFERROR(__xludf.DUMMYFUNCTION("""COMPUTED_VALUE"""),3937.5)</f>
        <v>3937.5</v>
      </c>
      <c r="F550" s="2">
        <f>IFERROR(__xludf.DUMMYFUNCTION("""COMPUTED_VALUE"""),4.1238E7)</f>
        <v>41238000</v>
      </c>
      <c r="G550" s="2">
        <f t="shared" si="1"/>
        <v>62.5</v>
      </c>
    </row>
    <row r="551" ht="15.75" customHeight="1">
      <c r="A551" s="1">
        <f>IFERROR(__xludf.DUMMYFUNCTION("""COMPUTED_VALUE"""),44651.66666666667)</f>
        <v>44651.66667</v>
      </c>
      <c r="B551" s="2">
        <f>IFERROR(__xludf.DUMMYFUNCTION("""COMPUTED_VALUE"""),3962.5)</f>
        <v>3962.5</v>
      </c>
      <c r="C551" s="2">
        <f>IFERROR(__xludf.DUMMYFUNCTION("""COMPUTED_VALUE"""),3987.5)</f>
        <v>3987.5</v>
      </c>
      <c r="D551" s="2">
        <f>IFERROR(__xludf.DUMMYFUNCTION("""COMPUTED_VALUE"""),3925.0)</f>
        <v>3925</v>
      </c>
      <c r="E551" s="2">
        <f>IFERROR(__xludf.DUMMYFUNCTION("""COMPUTED_VALUE"""),3950.0)</f>
        <v>3950</v>
      </c>
      <c r="F551" s="2">
        <f>IFERROR(__xludf.DUMMYFUNCTION("""COMPUTED_VALUE"""),3.4587E7)</f>
        <v>34587000</v>
      </c>
      <c r="G551" s="2">
        <f t="shared" si="1"/>
        <v>62.5</v>
      </c>
    </row>
    <row r="552" ht="15.75" customHeight="1">
      <c r="A552" s="1">
        <f>IFERROR(__xludf.DUMMYFUNCTION("""COMPUTED_VALUE"""),44652.66666666667)</f>
        <v>44652.66667</v>
      </c>
      <c r="B552" s="2">
        <f>IFERROR(__xludf.DUMMYFUNCTION("""COMPUTED_VALUE"""),3950.0)</f>
        <v>3950</v>
      </c>
      <c r="C552" s="2">
        <f>IFERROR(__xludf.DUMMYFUNCTION("""COMPUTED_VALUE"""),3950.0)</f>
        <v>3950</v>
      </c>
      <c r="D552" s="2">
        <f>IFERROR(__xludf.DUMMYFUNCTION("""COMPUTED_VALUE"""),3887.5)</f>
        <v>3887.5</v>
      </c>
      <c r="E552" s="2">
        <f>IFERROR(__xludf.DUMMYFUNCTION("""COMPUTED_VALUE"""),3937.5)</f>
        <v>3937.5</v>
      </c>
      <c r="F552" s="2">
        <f>IFERROR(__xludf.DUMMYFUNCTION("""COMPUTED_VALUE"""),3.14562E7)</f>
        <v>31456200</v>
      </c>
      <c r="G552" s="2">
        <f t="shared" si="1"/>
        <v>62.5</v>
      </c>
    </row>
    <row r="553" ht="15.75" customHeight="1">
      <c r="A553" s="1">
        <f>IFERROR(__xludf.DUMMYFUNCTION("""COMPUTED_VALUE"""),44655.66666666667)</f>
        <v>44655.66667</v>
      </c>
      <c r="B553" s="2">
        <f>IFERROR(__xludf.DUMMYFUNCTION("""COMPUTED_VALUE"""),3912.5)</f>
        <v>3912.5</v>
      </c>
      <c r="C553" s="2">
        <f>IFERROR(__xludf.DUMMYFUNCTION("""COMPUTED_VALUE"""),3950.0)</f>
        <v>3950</v>
      </c>
      <c r="D553" s="2">
        <f>IFERROR(__xludf.DUMMYFUNCTION("""COMPUTED_VALUE"""),3887.5)</f>
        <v>3887.5</v>
      </c>
      <c r="E553" s="2">
        <f>IFERROR(__xludf.DUMMYFUNCTION("""COMPUTED_VALUE"""),3912.5)</f>
        <v>3912.5</v>
      </c>
      <c r="F553" s="2">
        <f>IFERROR(__xludf.DUMMYFUNCTION("""COMPUTED_VALUE"""),4.10069E7)</f>
        <v>41006900</v>
      </c>
      <c r="G553" s="2">
        <f t="shared" si="1"/>
        <v>62.5</v>
      </c>
    </row>
    <row r="554" ht="15.75" customHeight="1">
      <c r="A554" s="1">
        <f>IFERROR(__xludf.DUMMYFUNCTION("""COMPUTED_VALUE"""),44656.66666666667)</f>
        <v>44656.66667</v>
      </c>
      <c r="B554" s="2">
        <f>IFERROR(__xludf.DUMMYFUNCTION("""COMPUTED_VALUE"""),3900.0)</f>
        <v>3900</v>
      </c>
      <c r="C554" s="2">
        <f>IFERROR(__xludf.DUMMYFUNCTION("""COMPUTED_VALUE"""),3937.5)</f>
        <v>3937.5</v>
      </c>
      <c r="D554" s="2">
        <f>IFERROR(__xludf.DUMMYFUNCTION("""COMPUTED_VALUE"""),3900.0)</f>
        <v>3900</v>
      </c>
      <c r="E554" s="2">
        <f>IFERROR(__xludf.DUMMYFUNCTION("""COMPUTED_VALUE"""),3912.5)</f>
        <v>3912.5</v>
      </c>
      <c r="F554" s="2">
        <f>IFERROR(__xludf.DUMMYFUNCTION("""COMPUTED_VALUE"""),4.11891E7)</f>
        <v>41189100</v>
      </c>
      <c r="G554" s="2">
        <f t="shared" si="1"/>
        <v>37.5</v>
      </c>
    </row>
    <row r="555" ht="15.75" customHeight="1">
      <c r="A555" s="1">
        <f>IFERROR(__xludf.DUMMYFUNCTION("""COMPUTED_VALUE"""),44657.66666666667)</f>
        <v>44657.66667</v>
      </c>
      <c r="B555" s="2">
        <f>IFERROR(__xludf.DUMMYFUNCTION("""COMPUTED_VALUE"""),3900.0)</f>
        <v>3900</v>
      </c>
      <c r="C555" s="2">
        <f>IFERROR(__xludf.DUMMYFUNCTION("""COMPUTED_VALUE"""),3900.0)</f>
        <v>3900</v>
      </c>
      <c r="D555" s="2">
        <f>IFERROR(__xludf.DUMMYFUNCTION("""COMPUTED_VALUE"""),3825.0)</f>
        <v>3825</v>
      </c>
      <c r="E555" s="2">
        <f>IFERROR(__xludf.DUMMYFUNCTION("""COMPUTED_VALUE"""),3837.5)</f>
        <v>3837.5</v>
      </c>
      <c r="F555" s="2">
        <f>IFERROR(__xludf.DUMMYFUNCTION("""COMPUTED_VALUE"""),6.47382E7)</f>
        <v>64738200</v>
      </c>
      <c r="G555" s="2">
        <f t="shared" si="1"/>
        <v>87.5</v>
      </c>
    </row>
    <row r="556" ht="15.75" customHeight="1">
      <c r="A556" s="1">
        <f>IFERROR(__xludf.DUMMYFUNCTION("""COMPUTED_VALUE"""),44658.66666666667)</f>
        <v>44658.66667</v>
      </c>
      <c r="B556" s="2">
        <f>IFERROR(__xludf.DUMMYFUNCTION("""COMPUTED_VALUE"""),3837.5)</f>
        <v>3837.5</v>
      </c>
      <c r="C556" s="2">
        <f>IFERROR(__xludf.DUMMYFUNCTION("""COMPUTED_VALUE"""),3887.5)</f>
        <v>3887.5</v>
      </c>
      <c r="D556" s="2">
        <f>IFERROR(__xludf.DUMMYFUNCTION("""COMPUTED_VALUE"""),3812.5)</f>
        <v>3812.5</v>
      </c>
      <c r="E556" s="2">
        <f>IFERROR(__xludf.DUMMYFUNCTION("""COMPUTED_VALUE"""),3850.0)</f>
        <v>3850</v>
      </c>
      <c r="F556" s="2">
        <f>IFERROR(__xludf.DUMMYFUNCTION("""COMPUTED_VALUE"""),6.80814E7)</f>
        <v>68081400</v>
      </c>
      <c r="G556" s="2">
        <f t="shared" si="1"/>
        <v>75</v>
      </c>
    </row>
    <row r="557" ht="15.75" customHeight="1">
      <c r="A557" s="1">
        <f>IFERROR(__xludf.DUMMYFUNCTION("""COMPUTED_VALUE"""),44659.66666666667)</f>
        <v>44659.66667</v>
      </c>
      <c r="B557" s="2">
        <f>IFERROR(__xludf.DUMMYFUNCTION("""COMPUTED_VALUE"""),3900.0)</f>
        <v>3900</v>
      </c>
      <c r="C557" s="2">
        <f>IFERROR(__xludf.DUMMYFUNCTION("""COMPUTED_VALUE"""),3900.0)</f>
        <v>3900</v>
      </c>
      <c r="D557" s="2">
        <f>IFERROR(__xludf.DUMMYFUNCTION("""COMPUTED_VALUE"""),3837.5)</f>
        <v>3837.5</v>
      </c>
      <c r="E557" s="2">
        <f>IFERROR(__xludf.DUMMYFUNCTION("""COMPUTED_VALUE"""),3850.0)</f>
        <v>3850</v>
      </c>
      <c r="F557" s="2">
        <f>IFERROR(__xludf.DUMMYFUNCTION("""COMPUTED_VALUE"""),4.73112E7)</f>
        <v>47311200</v>
      </c>
      <c r="G557" s="2">
        <f t="shared" si="1"/>
        <v>62.5</v>
      </c>
    </row>
    <row r="558" ht="15.75" customHeight="1">
      <c r="A558" s="1">
        <f>IFERROR(__xludf.DUMMYFUNCTION("""COMPUTED_VALUE"""),44662.66666666667)</f>
        <v>44662.66667</v>
      </c>
      <c r="B558" s="2">
        <f>IFERROR(__xludf.DUMMYFUNCTION("""COMPUTED_VALUE"""),3850.0)</f>
        <v>3850</v>
      </c>
      <c r="C558" s="2">
        <f>IFERROR(__xludf.DUMMYFUNCTION("""COMPUTED_VALUE"""),3875.0)</f>
        <v>3875</v>
      </c>
      <c r="D558" s="2">
        <f>IFERROR(__xludf.DUMMYFUNCTION("""COMPUTED_VALUE"""),3825.0)</f>
        <v>3825</v>
      </c>
      <c r="E558" s="2">
        <f>IFERROR(__xludf.DUMMYFUNCTION("""COMPUTED_VALUE"""),3837.5)</f>
        <v>3837.5</v>
      </c>
      <c r="F558" s="2">
        <f>IFERROR(__xludf.DUMMYFUNCTION("""COMPUTED_VALUE"""),5.39832E7)</f>
        <v>53983200</v>
      </c>
      <c r="G558" s="2">
        <f t="shared" si="1"/>
        <v>50</v>
      </c>
    </row>
    <row r="559" ht="15.75" customHeight="1">
      <c r="A559" s="1">
        <f>IFERROR(__xludf.DUMMYFUNCTION("""COMPUTED_VALUE"""),44663.66666666667)</f>
        <v>44663.66667</v>
      </c>
      <c r="B559" s="2">
        <f>IFERROR(__xludf.DUMMYFUNCTION("""COMPUTED_VALUE"""),3837.5)</f>
        <v>3837.5</v>
      </c>
      <c r="C559" s="2">
        <f>IFERROR(__xludf.DUMMYFUNCTION("""COMPUTED_VALUE"""),3875.0)</f>
        <v>3875</v>
      </c>
      <c r="D559" s="2">
        <f>IFERROR(__xludf.DUMMYFUNCTION("""COMPUTED_VALUE"""),3812.5)</f>
        <v>3812.5</v>
      </c>
      <c r="E559" s="2">
        <f>IFERROR(__xludf.DUMMYFUNCTION("""COMPUTED_VALUE"""),3850.0)</f>
        <v>3850</v>
      </c>
      <c r="F559" s="2">
        <f>IFERROR(__xludf.DUMMYFUNCTION("""COMPUTED_VALUE"""),4.63456E7)</f>
        <v>46345600</v>
      </c>
      <c r="G559" s="2">
        <f t="shared" si="1"/>
        <v>62.5</v>
      </c>
    </row>
    <row r="560" ht="15.75" customHeight="1">
      <c r="A560" s="1">
        <f>IFERROR(__xludf.DUMMYFUNCTION("""COMPUTED_VALUE"""),44664.66666666667)</f>
        <v>44664.66667</v>
      </c>
      <c r="B560" s="2">
        <f>IFERROR(__xludf.DUMMYFUNCTION("""COMPUTED_VALUE"""),3837.5)</f>
        <v>3837.5</v>
      </c>
      <c r="C560" s="2">
        <f>IFERROR(__xludf.DUMMYFUNCTION("""COMPUTED_VALUE"""),3875.0)</f>
        <v>3875</v>
      </c>
      <c r="D560" s="2">
        <f>IFERROR(__xludf.DUMMYFUNCTION("""COMPUTED_VALUE"""),3825.0)</f>
        <v>3825</v>
      </c>
      <c r="E560" s="2">
        <f>IFERROR(__xludf.DUMMYFUNCTION("""COMPUTED_VALUE"""),3862.5)</f>
        <v>3862.5</v>
      </c>
      <c r="F560" s="2">
        <f>IFERROR(__xludf.DUMMYFUNCTION("""COMPUTED_VALUE"""),4.52793E7)</f>
        <v>45279300</v>
      </c>
      <c r="G560" s="2">
        <f t="shared" si="1"/>
        <v>50</v>
      </c>
    </row>
    <row r="561" ht="15.75" customHeight="1">
      <c r="A561" s="1">
        <f>IFERROR(__xludf.DUMMYFUNCTION("""COMPUTED_VALUE"""),44665.66666666667)</f>
        <v>44665.66667</v>
      </c>
      <c r="B561" s="2">
        <f>IFERROR(__xludf.DUMMYFUNCTION("""COMPUTED_VALUE"""),3862.5)</f>
        <v>3862.5</v>
      </c>
      <c r="C561" s="2">
        <f>IFERROR(__xludf.DUMMYFUNCTION("""COMPUTED_VALUE"""),3875.0)</f>
        <v>3875</v>
      </c>
      <c r="D561" s="2">
        <f>IFERROR(__xludf.DUMMYFUNCTION("""COMPUTED_VALUE"""),3825.0)</f>
        <v>3825</v>
      </c>
      <c r="E561" s="2">
        <f>IFERROR(__xludf.DUMMYFUNCTION("""COMPUTED_VALUE"""),3837.5)</f>
        <v>3837.5</v>
      </c>
      <c r="F561" s="2">
        <f>IFERROR(__xludf.DUMMYFUNCTION("""COMPUTED_VALUE"""),3.16378E7)</f>
        <v>31637800</v>
      </c>
      <c r="G561" s="2">
        <f t="shared" si="1"/>
        <v>50</v>
      </c>
    </row>
    <row r="562" ht="15.75" customHeight="1">
      <c r="A562" s="1">
        <f>IFERROR(__xludf.DUMMYFUNCTION("""COMPUTED_VALUE"""),44669.66666666667)</f>
        <v>44669.66667</v>
      </c>
      <c r="B562" s="2">
        <f>IFERROR(__xludf.DUMMYFUNCTION("""COMPUTED_VALUE"""),3837.5)</f>
        <v>3837.5</v>
      </c>
      <c r="C562" s="2">
        <f>IFERROR(__xludf.DUMMYFUNCTION("""COMPUTED_VALUE"""),3862.5)</f>
        <v>3862.5</v>
      </c>
      <c r="D562" s="2">
        <f>IFERROR(__xludf.DUMMYFUNCTION("""COMPUTED_VALUE"""),3787.5)</f>
        <v>3787.5</v>
      </c>
      <c r="E562" s="2">
        <f>IFERROR(__xludf.DUMMYFUNCTION("""COMPUTED_VALUE"""),3812.5)</f>
        <v>3812.5</v>
      </c>
      <c r="F562" s="2">
        <f>IFERROR(__xludf.DUMMYFUNCTION("""COMPUTED_VALUE"""),5.0748E7)</f>
        <v>50748000</v>
      </c>
      <c r="G562" s="2">
        <f t="shared" si="1"/>
        <v>75</v>
      </c>
    </row>
    <row r="563" ht="15.75" customHeight="1">
      <c r="A563" s="1">
        <f>IFERROR(__xludf.DUMMYFUNCTION("""COMPUTED_VALUE"""),44670.66666666667)</f>
        <v>44670.66667</v>
      </c>
      <c r="B563" s="2">
        <f>IFERROR(__xludf.DUMMYFUNCTION("""COMPUTED_VALUE"""),3812.5)</f>
        <v>3812.5</v>
      </c>
      <c r="C563" s="2">
        <f>IFERROR(__xludf.DUMMYFUNCTION("""COMPUTED_VALUE"""),3837.5)</f>
        <v>3837.5</v>
      </c>
      <c r="D563" s="2">
        <f>IFERROR(__xludf.DUMMYFUNCTION("""COMPUTED_VALUE"""),3787.5)</f>
        <v>3787.5</v>
      </c>
      <c r="E563" s="2">
        <f>IFERROR(__xludf.DUMMYFUNCTION("""COMPUTED_VALUE"""),3787.5)</f>
        <v>3787.5</v>
      </c>
      <c r="F563" s="2">
        <f>IFERROR(__xludf.DUMMYFUNCTION("""COMPUTED_VALUE"""),5.22542E7)</f>
        <v>52254200</v>
      </c>
      <c r="G563" s="2">
        <f t="shared" si="1"/>
        <v>50</v>
      </c>
    </row>
    <row r="564" ht="15.75" customHeight="1">
      <c r="A564" s="1">
        <f>IFERROR(__xludf.DUMMYFUNCTION("""COMPUTED_VALUE"""),44671.66666666667)</f>
        <v>44671.66667</v>
      </c>
      <c r="B564" s="2">
        <f>IFERROR(__xludf.DUMMYFUNCTION("""COMPUTED_VALUE"""),3825.0)</f>
        <v>3825</v>
      </c>
      <c r="C564" s="2">
        <f>IFERROR(__xludf.DUMMYFUNCTION("""COMPUTED_VALUE"""),3950.0)</f>
        <v>3950</v>
      </c>
      <c r="D564" s="2">
        <f>IFERROR(__xludf.DUMMYFUNCTION("""COMPUTED_VALUE"""),3812.5)</f>
        <v>3812.5</v>
      </c>
      <c r="E564" s="2">
        <f>IFERROR(__xludf.DUMMYFUNCTION("""COMPUTED_VALUE"""),3925.0)</f>
        <v>3925</v>
      </c>
      <c r="F564" s="2">
        <f>IFERROR(__xludf.DUMMYFUNCTION("""COMPUTED_VALUE"""),8.21774E7)</f>
        <v>82177400</v>
      </c>
      <c r="G564" s="2">
        <f t="shared" si="1"/>
        <v>162.5</v>
      </c>
    </row>
    <row r="565" ht="15.75" customHeight="1">
      <c r="A565" s="1">
        <f>IFERROR(__xludf.DUMMYFUNCTION("""COMPUTED_VALUE"""),44672.66666666667)</f>
        <v>44672.66667</v>
      </c>
      <c r="B565" s="2">
        <f>IFERROR(__xludf.DUMMYFUNCTION("""COMPUTED_VALUE"""),4000.0)</f>
        <v>4000</v>
      </c>
      <c r="C565" s="2">
        <f>IFERROR(__xludf.DUMMYFUNCTION("""COMPUTED_VALUE"""),4200.0)</f>
        <v>4200</v>
      </c>
      <c r="D565" s="2">
        <f>IFERROR(__xludf.DUMMYFUNCTION("""COMPUTED_VALUE"""),3962.5)</f>
        <v>3962.5</v>
      </c>
      <c r="E565" s="2">
        <f>IFERROR(__xludf.DUMMYFUNCTION("""COMPUTED_VALUE"""),4150.0)</f>
        <v>4150</v>
      </c>
      <c r="F565" s="2">
        <f>IFERROR(__xludf.DUMMYFUNCTION("""COMPUTED_VALUE"""),1.686816E8)</f>
        <v>168681600</v>
      </c>
      <c r="G565" s="2">
        <f t="shared" si="1"/>
        <v>275</v>
      </c>
    </row>
    <row r="566" ht="15.75" customHeight="1">
      <c r="A566" s="1">
        <f>IFERROR(__xludf.DUMMYFUNCTION("""COMPUTED_VALUE"""),44673.66666666667)</f>
        <v>44673.66667</v>
      </c>
      <c r="B566" s="2">
        <f>IFERROR(__xludf.DUMMYFUNCTION("""COMPUTED_VALUE"""),4100.0)</f>
        <v>4100</v>
      </c>
      <c r="C566" s="2">
        <f>IFERROR(__xludf.DUMMYFUNCTION("""COMPUTED_VALUE"""),4162.5)</f>
        <v>4162.5</v>
      </c>
      <c r="D566" s="2">
        <f>IFERROR(__xludf.DUMMYFUNCTION("""COMPUTED_VALUE"""),4037.5)</f>
        <v>4037.5</v>
      </c>
      <c r="E566" s="2">
        <f>IFERROR(__xludf.DUMMYFUNCTION("""COMPUTED_VALUE"""),4137.5)</f>
        <v>4137.5</v>
      </c>
      <c r="F566" s="2">
        <f>IFERROR(__xludf.DUMMYFUNCTION("""COMPUTED_VALUE"""),8.41509E7)</f>
        <v>84150900</v>
      </c>
      <c r="G566" s="2">
        <f t="shared" si="1"/>
        <v>125</v>
      </c>
    </row>
    <row r="567" ht="15.75" customHeight="1">
      <c r="A567" s="1">
        <f>IFERROR(__xludf.DUMMYFUNCTION("""COMPUTED_VALUE"""),44676.66666666667)</f>
        <v>44676.66667</v>
      </c>
      <c r="B567" s="2">
        <f>IFERROR(__xludf.DUMMYFUNCTION("""COMPUTED_VALUE"""),4100.0)</f>
        <v>4100</v>
      </c>
      <c r="C567" s="2">
        <f>IFERROR(__xludf.DUMMYFUNCTION("""COMPUTED_VALUE"""),4225.0)</f>
        <v>4225</v>
      </c>
      <c r="D567" s="2">
        <f>IFERROR(__xludf.DUMMYFUNCTION("""COMPUTED_VALUE"""),4012.5)</f>
        <v>4012.5</v>
      </c>
      <c r="E567" s="2">
        <f>IFERROR(__xludf.DUMMYFUNCTION("""COMPUTED_VALUE"""),4112.5)</f>
        <v>4112.5</v>
      </c>
      <c r="F567" s="2">
        <f>IFERROR(__xludf.DUMMYFUNCTION("""COMPUTED_VALUE"""),8.95413E7)</f>
        <v>89541300</v>
      </c>
      <c r="G567" s="2">
        <f t="shared" si="1"/>
        <v>212.5</v>
      </c>
    </row>
    <row r="568" ht="15.75" customHeight="1">
      <c r="A568" s="1">
        <f>IFERROR(__xludf.DUMMYFUNCTION("""COMPUTED_VALUE"""),44677.66666666667)</f>
        <v>44677.66667</v>
      </c>
      <c r="B568" s="2">
        <f>IFERROR(__xludf.DUMMYFUNCTION("""COMPUTED_VALUE"""),4125.0)</f>
        <v>4125</v>
      </c>
      <c r="C568" s="2">
        <f>IFERROR(__xludf.DUMMYFUNCTION("""COMPUTED_VALUE"""),4212.5)</f>
        <v>4212.5</v>
      </c>
      <c r="D568" s="2">
        <f>IFERROR(__xludf.DUMMYFUNCTION("""COMPUTED_VALUE"""),4112.5)</f>
        <v>4112.5</v>
      </c>
      <c r="E568" s="2">
        <f>IFERROR(__xludf.DUMMYFUNCTION("""COMPUTED_VALUE"""),4175.0)</f>
        <v>4175</v>
      </c>
      <c r="F568" s="2">
        <f>IFERROR(__xludf.DUMMYFUNCTION("""COMPUTED_VALUE"""),6.59653E7)</f>
        <v>65965300</v>
      </c>
      <c r="G568" s="2">
        <f t="shared" si="1"/>
        <v>100</v>
      </c>
    </row>
    <row r="569" ht="15.75" customHeight="1">
      <c r="A569" s="1">
        <f>IFERROR(__xludf.DUMMYFUNCTION("""COMPUTED_VALUE"""),44678.66666666667)</f>
        <v>44678.66667</v>
      </c>
      <c r="B569" s="2">
        <f>IFERROR(__xludf.DUMMYFUNCTION("""COMPUTED_VALUE"""),4137.5)</f>
        <v>4137.5</v>
      </c>
      <c r="C569" s="2">
        <f>IFERROR(__xludf.DUMMYFUNCTION("""COMPUTED_VALUE"""),4212.5)</f>
        <v>4212.5</v>
      </c>
      <c r="D569" s="2">
        <f>IFERROR(__xludf.DUMMYFUNCTION("""COMPUTED_VALUE"""),4112.5)</f>
        <v>4112.5</v>
      </c>
      <c r="E569" s="2">
        <f>IFERROR(__xludf.DUMMYFUNCTION("""COMPUTED_VALUE"""),4112.5)</f>
        <v>4112.5</v>
      </c>
      <c r="F569" s="2">
        <f>IFERROR(__xludf.DUMMYFUNCTION("""COMPUTED_VALUE"""),5.91364E7)</f>
        <v>59136400</v>
      </c>
      <c r="G569" s="2">
        <f t="shared" si="1"/>
        <v>100</v>
      </c>
    </row>
    <row r="570" ht="15.75" customHeight="1">
      <c r="A570" s="1">
        <f>IFERROR(__xludf.DUMMYFUNCTION("""COMPUTED_VALUE"""),44679.66666666667)</f>
        <v>44679.66667</v>
      </c>
      <c r="B570" s="2">
        <f>IFERROR(__xludf.DUMMYFUNCTION("""COMPUTED_VALUE"""),4387.5)</f>
        <v>4387.5</v>
      </c>
      <c r="C570" s="2">
        <f>IFERROR(__xludf.DUMMYFUNCTION("""COMPUTED_VALUE"""),4537.5)</f>
        <v>4537.5</v>
      </c>
      <c r="D570" s="2">
        <f>IFERROR(__xludf.DUMMYFUNCTION("""COMPUTED_VALUE"""),4337.5)</f>
        <v>4337.5</v>
      </c>
      <c r="E570" s="2">
        <f>IFERROR(__xludf.DUMMYFUNCTION("""COMPUTED_VALUE"""),4475.0)</f>
        <v>4475</v>
      </c>
      <c r="F570" s="2">
        <f>IFERROR(__xludf.DUMMYFUNCTION("""COMPUTED_VALUE"""),2.215819E8)</f>
        <v>221581900</v>
      </c>
      <c r="G570" s="2">
        <f t="shared" si="1"/>
        <v>425</v>
      </c>
    </row>
    <row r="571" ht="15.75" customHeight="1">
      <c r="A571" s="1">
        <f>IFERROR(__xludf.DUMMYFUNCTION("""COMPUTED_VALUE"""),44690.66666666667)</f>
        <v>44690.66667</v>
      </c>
      <c r="B571" s="2">
        <f>IFERROR(__xludf.DUMMYFUNCTION("""COMPUTED_VALUE"""),4312.5)</f>
        <v>4312.5</v>
      </c>
      <c r="C571" s="2">
        <f>IFERROR(__xludf.DUMMYFUNCTION("""COMPUTED_VALUE"""),4337.5)</f>
        <v>4337.5</v>
      </c>
      <c r="D571" s="2">
        <f>IFERROR(__xludf.DUMMYFUNCTION("""COMPUTED_VALUE"""),4162.5)</f>
        <v>4162.5</v>
      </c>
      <c r="E571" s="2">
        <f>IFERROR(__xludf.DUMMYFUNCTION("""COMPUTED_VALUE"""),4162.5)</f>
        <v>4162.5</v>
      </c>
      <c r="F571" s="2">
        <f>IFERROR(__xludf.DUMMYFUNCTION("""COMPUTED_VALUE"""),1.758189E8)</f>
        <v>175818900</v>
      </c>
      <c r="G571" s="2">
        <f t="shared" si="1"/>
        <v>312.5</v>
      </c>
    </row>
    <row r="572" ht="15.75" customHeight="1">
      <c r="A572" s="1">
        <f>IFERROR(__xludf.DUMMYFUNCTION("""COMPUTED_VALUE"""),44691.66666666667)</f>
        <v>44691.66667</v>
      </c>
      <c r="B572" s="2">
        <f>IFERROR(__xludf.DUMMYFUNCTION("""COMPUTED_VALUE"""),3912.5)</f>
        <v>3912.5</v>
      </c>
      <c r="C572" s="2">
        <f>IFERROR(__xludf.DUMMYFUNCTION("""COMPUTED_VALUE"""),4087.5)</f>
        <v>4087.5</v>
      </c>
      <c r="D572" s="2">
        <f>IFERROR(__xludf.DUMMYFUNCTION("""COMPUTED_VALUE"""),3912.5)</f>
        <v>3912.5</v>
      </c>
      <c r="E572" s="2">
        <f>IFERROR(__xludf.DUMMYFUNCTION("""COMPUTED_VALUE"""),4050.0)</f>
        <v>4050</v>
      </c>
      <c r="F572" s="2">
        <f>IFERROR(__xludf.DUMMYFUNCTION("""COMPUTED_VALUE"""),2.492224E8)</f>
        <v>249222400</v>
      </c>
      <c r="G572" s="2">
        <f t="shared" si="1"/>
        <v>250</v>
      </c>
    </row>
    <row r="573" ht="15.75" customHeight="1">
      <c r="A573" s="1">
        <f>IFERROR(__xludf.DUMMYFUNCTION("""COMPUTED_VALUE"""),44692.66666666667)</f>
        <v>44692.66667</v>
      </c>
      <c r="B573" s="2">
        <f>IFERROR(__xludf.DUMMYFUNCTION("""COMPUTED_VALUE"""),4050.0)</f>
        <v>4050</v>
      </c>
      <c r="C573" s="2">
        <f>IFERROR(__xludf.DUMMYFUNCTION("""COMPUTED_VALUE"""),4100.0)</f>
        <v>4100</v>
      </c>
      <c r="D573" s="2">
        <f>IFERROR(__xludf.DUMMYFUNCTION("""COMPUTED_VALUE"""),4000.0)</f>
        <v>4000</v>
      </c>
      <c r="E573" s="2">
        <f>IFERROR(__xludf.DUMMYFUNCTION("""COMPUTED_VALUE"""),4000.0)</f>
        <v>4000</v>
      </c>
      <c r="F573" s="2">
        <f>IFERROR(__xludf.DUMMYFUNCTION("""COMPUTED_VALUE"""),9.94613E7)</f>
        <v>99461300</v>
      </c>
      <c r="G573" s="2">
        <f t="shared" si="1"/>
        <v>100</v>
      </c>
    </row>
    <row r="574" ht="15.75" customHeight="1">
      <c r="A574" s="1">
        <f>IFERROR(__xludf.DUMMYFUNCTION("""COMPUTED_VALUE"""),44693.66666666667)</f>
        <v>44693.66667</v>
      </c>
      <c r="B574" s="2">
        <f>IFERROR(__xludf.DUMMYFUNCTION("""COMPUTED_VALUE"""),3987.5)</f>
        <v>3987.5</v>
      </c>
      <c r="C574" s="2">
        <f>IFERROR(__xludf.DUMMYFUNCTION("""COMPUTED_VALUE"""),4025.0)</f>
        <v>4025</v>
      </c>
      <c r="D574" s="2">
        <f>IFERROR(__xludf.DUMMYFUNCTION("""COMPUTED_VALUE"""),3862.5)</f>
        <v>3862.5</v>
      </c>
      <c r="E574" s="2">
        <f>IFERROR(__xludf.DUMMYFUNCTION("""COMPUTED_VALUE"""),3937.5)</f>
        <v>3937.5</v>
      </c>
      <c r="F574" s="2">
        <f>IFERROR(__xludf.DUMMYFUNCTION("""COMPUTED_VALUE"""),8.13636E7)</f>
        <v>81363600</v>
      </c>
      <c r="G574" s="2">
        <f t="shared" si="1"/>
        <v>162.5</v>
      </c>
    </row>
    <row r="575" ht="15.75" customHeight="1">
      <c r="A575" s="1">
        <f>IFERROR(__xludf.DUMMYFUNCTION("""COMPUTED_VALUE"""),44694.66666666667)</f>
        <v>44694.66667</v>
      </c>
      <c r="B575" s="2">
        <f>IFERROR(__xludf.DUMMYFUNCTION("""COMPUTED_VALUE"""),3937.5)</f>
        <v>3937.5</v>
      </c>
      <c r="C575" s="2">
        <f>IFERROR(__xludf.DUMMYFUNCTION("""COMPUTED_VALUE"""),3950.0)</f>
        <v>3950</v>
      </c>
      <c r="D575" s="2">
        <f>IFERROR(__xludf.DUMMYFUNCTION("""COMPUTED_VALUE"""),3875.0)</f>
        <v>3875</v>
      </c>
      <c r="E575" s="2">
        <f>IFERROR(__xludf.DUMMYFUNCTION("""COMPUTED_VALUE"""),3900.0)</f>
        <v>3900</v>
      </c>
      <c r="F575" s="2">
        <f>IFERROR(__xludf.DUMMYFUNCTION("""COMPUTED_VALUE"""),8.27539E7)</f>
        <v>82753900</v>
      </c>
      <c r="G575" s="2">
        <f t="shared" si="1"/>
        <v>75</v>
      </c>
    </row>
    <row r="576" ht="15.75" customHeight="1">
      <c r="A576" s="1">
        <f>IFERROR(__xludf.DUMMYFUNCTION("""COMPUTED_VALUE"""),44698.66666666667)</f>
        <v>44698.66667</v>
      </c>
      <c r="B576" s="2">
        <f>IFERROR(__xludf.DUMMYFUNCTION("""COMPUTED_VALUE"""),3900.0)</f>
        <v>3900</v>
      </c>
      <c r="C576" s="2">
        <f>IFERROR(__xludf.DUMMYFUNCTION("""COMPUTED_VALUE"""),4000.0)</f>
        <v>4000</v>
      </c>
      <c r="D576" s="2">
        <f>IFERROR(__xludf.DUMMYFUNCTION("""COMPUTED_VALUE"""),3900.0)</f>
        <v>3900</v>
      </c>
      <c r="E576" s="2">
        <f>IFERROR(__xludf.DUMMYFUNCTION("""COMPUTED_VALUE"""),3925.0)</f>
        <v>3925</v>
      </c>
      <c r="F576" s="2">
        <f>IFERROR(__xludf.DUMMYFUNCTION("""COMPUTED_VALUE"""),7.47744E7)</f>
        <v>74774400</v>
      </c>
      <c r="G576" s="2">
        <f t="shared" si="1"/>
        <v>100</v>
      </c>
    </row>
    <row r="577" ht="15.75" customHeight="1">
      <c r="A577" s="1">
        <f>IFERROR(__xludf.DUMMYFUNCTION("""COMPUTED_VALUE"""),44699.66666666667)</f>
        <v>44699.66667</v>
      </c>
      <c r="B577" s="2">
        <f>IFERROR(__xludf.DUMMYFUNCTION("""COMPUTED_VALUE"""),3987.5)</f>
        <v>3987.5</v>
      </c>
      <c r="C577" s="2">
        <f>IFERROR(__xludf.DUMMYFUNCTION("""COMPUTED_VALUE"""),4012.5)</f>
        <v>4012.5</v>
      </c>
      <c r="D577" s="2">
        <f>IFERROR(__xludf.DUMMYFUNCTION("""COMPUTED_VALUE"""),3900.0)</f>
        <v>3900</v>
      </c>
      <c r="E577" s="2">
        <f>IFERROR(__xludf.DUMMYFUNCTION("""COMPUTED_VALUE"""),3950.0)</f>
        <v>3950</v>
      </c>
      <c r="F577" s="2">
        <f>IFERROR(__xludf.DUMMYFUNCTION("""COMPUTED_VALUE"""),8.12596E7)</f>
        <v>81259600</v>
      </c>
      <c r="G577" s="2">
        <f t="shared" si="1"/>
        <v>112.5</v>
      </c>
    </row>
    <row r="578" ht="15.75" customHeight="1">
      <c r="A578" s="1">
        <f>IFERROR(__xludf.DUMMYFUNCTION("""COMPUTED_VALUE"""),44700.66666666667)</f>
        <v>44700.66667</v>
      </c>
      <c r="B578" s="2">
        <f>IFERROR(__xludf.DUMMYFUNCTION("""COMPUTED_VALUE"""),3900.0)</f>
        <v>3900</v>
      </c>
      <c r="C578" s="2">
        <f>IFERROR(__xludf.DUMMYFUNCTION("""COMPUTED_VALUE"""),3962.5)</f>
        <v>3962.5</v>
      </c>
      <c r="D578" s="2">
        <f>IFERROR(__xludf.DUMMYFUNCTION("""COMPUTED_VALUE"""),3875.0)</f>
        <v>3875</v>
      </c>
      <c r="E578" s="2">
        <f>IFERROR(__xludf.DUMMYFUNCTION("""COMPUTED_VALUE"""),3950.0)</f>
        <v>3950</v>
      </c>
      <c r="F578" s="2">
        <f>IFERROR(__xludf.DUMMYFUNCTION("""COMPUTED_VALUE"""),6.38702E7)</f>
        <v>63870200</v>
      </c>
      <c r="G578" s="2">
        <f t="shared" si="1"/>
        <v>87.5</v>
      </c>
    </row>
    <row r="579" ht="15.75" customHeight="1">
      <c r="A579" s="1">
        <f>IFERROR(__xludf.DUMMYFUNCTION("""COMPUTED_VALUE"""),44701.66666666667)</f>
        <v>44701.66667</v>
      </c>
      <c r="B579" s="2">
        <f>IFERROR(__xludf.DUMMYFUNCTION("""COMPUTED_VALUE"""),3975.0)</f>
        <v>3975</v>
      </c>
      <c r="C579" s="2">
        <f>IFERROR(__xludf.DUMMYFUNCTION("""COMPUTED_VALUE"""),4025.0)</f>
        <v>4025</v>
      </c>
      <c r="D579" s="2">
        <f>IFERROR(__xludf.DUMMYFUNCTION("""COMPUTED_VALUE"""),3975.0)</f>
        <v>3975</v>
      </c>
      <c r="E579" s="2">
        <f>IFERROR(__xludf.DUMMYFUNCTION("""COMPUTED_VALUE"""),4000.0)</f>
        <v>4000</v>
      </c>
      <c r="F579" s="2">
        <f>IFERROR(__xludf.DUMMYFUNCTION("""COMPUTED_VALUE"""),5.34332E7)</f>
        <v>53433200</v>
      </c>
      <c r="G579" s="2">
        <f t="shared" si="1"/>
        <v>75</v>
      </c>
    </row>
    <row r="580" ht="15.75" customHeight="1">
      <c r="A580" s="1">
        <f>IFERROR(__xludf.DUMMYFUNCTION("""COMPUTED_VALUE"""),44704.66666666667)</f>
        <v>44704.66667</v>
      </c>
      <c r="B580" s="2">
        <f>IFERROR(__xludf.DUMMYFUNCTION("""COMPUTED_VALUE"""),4025.0)</f>
        <v>4025</v>
      </c>
      <c r="C580" s="2">
        <f>IFERROR(__xludf.DUMMYFUNCTION("""COMPUTED_VALUE"""),4037.5)</f>
        <v>4037.5</v>
      </c>
      <c r="D580" s="2">
        <f>IFERROR(__xludf.DUMMYFUNCTION("""COMPUTED_VALUE"""),3900.0)</f>
        <v>3900</v>
      </c>
      <c r="E580" s="2">
        <f>IFERROR(__xludf.DUMMYFUNCTION("""COMPUTED_VALUE"""),3937.5)</f>
        <v>3937.5</v>
      </c>
      <c r="F580" s="2">
        <f>IFERROR(__xludf.DUMMYFUNCTION("""COMPUTED_VALUE"""),7.20026E7)</f>
        <v>72002600</v>
      </c>
      <c r="G580" s="2">
        <f t="shared" si="1"/>
        <v>137.5</v>
      </c>
    </row>
    <row r="581" ht="15.75" customHeight="1">
      <c r="A581" s="1">
        <f>IFERROR(__xludf.DUMMYFUNCTION("""COMPUTED_VALUE"""),44705.66666666667)</f>
        <v>44705.66667</v>
      </c>
      <c r="B581" s="2">
        <f>IFERROR(__xludf.DUMMYFUNCTION("""COMPUTED_VALUE"""),3975.0)</f>
        <v>3975</v>
      </c>
      <c r="C581" s="2">
        <f>IFERROR(__xludf.DUMMYFUNCTION("""COMPUTED_VALUE"""),4025.0)</f>
        <v>4025</v>
      </c>
      <c r="D581" s="2">
        <f>IFERROR(__xludf.DUMMYFUNCTION("""COMPUTED_VALUE"""),3950.0)</f>
        <v>3950</v>
      </c>
      <c r="E581" s="2">
        <f>IFERROR(__xludf.DUMMYFUNCTION("""COMPUTED_VALUE"""),3962.5)</f>
        <v>3962.5</v>
      </c>
      <c r="F581" s="2">
        <f>IFERROR(__xludf.DUMMYFUNCTION("""COMPUTED_VALUE"""),6.72775E7)</f>
        <v>67277500</v>
      </c>
      <c r="G581" s="2">
        <f t="shared" si="1"/>
        <v>87.5</v>
      </c>
    </row>
    <row r="582" ht="15.75" customHeight="1">
      <c r="A582" s="1">
        <f>IFERROR(__xludf.DUMMYFUNCTION("""COMPUTED_VALUE"""),44706.66666666667)</f>
        <v>44706.66667</v>
      </c>
      <c r="B582" s="2">
        <f>IFERROR(__xludf.DUMMYFUNCTION("""COMPUTED_VALUE"""),3950.0)</f>
        <v>3950</v>
      </c>
      <c r="C582" s="2">
        <f>IFERROR(__xludf.DUMMYFUNCTION("""COMPUTED_VALUE"""),4025.0)</f>
        <v>4025</v>
      </c>
      <c r="D582" s="2">
        <f>IFERROR(__xludf.DUMMYFUNCTION("""COMPUTED_VALUE"""),3912.5)</f>
        <v>3912.5</v>
      </c>
      <c r="E582" s="2">
        <f>IFERROR(__xludf.DUMMYFUNCTION("""COMPUTED_VALUE"""),3925.0)</f>
        <v>3925</v>
      </c>
      <c r="F582" s="2">
        <f>IFERROR(__xludf.DUMMYFUNCTION("""COMPUTED_VALUE"""),6.63177E7)</f>
        <v>66317700</v>
      </c>
      <c r="G582" s="2">
        <f t="shared" si="1"/>
        <v>112.5</v>
      </c>
    </row>
    <row r="583" ht="15.75" customHeight="1">
      <c r="A583" s="1">
        <f>IFERROR(__xludf.DUMMYFUNCTION("""COMPUTED_VALUE"""),44708.66666666667)</f>
        <v>44708.66667</v>
      </c>
      <c r="B583" s="2">
        <f>IFERROR(__xludf.DUMMYFUNCTION("""COMPUTED_VALUE"""),4000.0)</f>
        <v>4000</v>
      </c>
      <c r="C583" s="2">
        <f>IFERROR(__xludf.DUMMYFUNCTION("""COMPUTED_VALUE"""),4062.5)</f>
        <v>4062.5</v>
      </c>
      <c r="D583" s="2">
        <f>IFERROR(__xludf.DUMMYFUNCTION("""COMPUTED_VALUE"""),3975.0)</f>
        <v>3975</v>
      </c>
      <c r="E583" s="2">
        <f>IFERROR(__xludf.DUMMYFUNCTION("""COMPUTED_VALUE"""),4050.0)</f>
        <v>4050</v>
      </c>
      <c r="F583" s="2">
        <f>IFERROR(__xludf.DUMMYFUNCTION("""COMPUTED_VALUE"""),7.75393E7)</f>
        <v>77539300</v>
      </c>
      <c r="G583" s="2">
        <f t="shared" si="1"/>
        <v>137.5</v>
      </c>
    </row>
    <row r="584" ht="15.75" customHeight="1">
      <c r="A584" s="1">
        <f>IFERROR(__xludf.DUMMYFUNCTION("""COMPUTED_VALUE"""),44711.66666666667)</f>
        <v>44711.66667</v>
      </c>
      <c r="B584" s="2">
        <f>IFERROR(__xludf.DUMMYFUNCTION("""COMPUTED_VALUE"""),4100.0)</f>
        <v>4100</v>
      </c>
      <c r="C584" s="2">
        <f>IFERROR(__xludf.DUMMYFUNCTION("""COMPUTED_VALUE"""),4100.0)</f>
        <v>4100</v>
      </c>
      <c r="D584" s="2">
        <f>IFERROR(__xludf.DUMMYFUNCTION("""COMPUTED_VALUE"""),4000.0)</f>
        <v>4000</v>
      </c>
      <c r="E584" s="2">
        <f>IFERROR(__xludf.DUMMYFUNCTION("""COMPUTED_VALUE"""),4100.0)</f>
        <v>4100</v>
      </c>
      <c r="F584" s="2">
        <f>IFERROR(__xludf.DUMMYFUNCTION("""COMPUTED_VALUE"""),5.88086E7)</f>
        <v>58808600</v>
      </c>
      <c r="G584" s="2">
        <f t="shared" si="1"/>
        <v>100</v>
      </c>
    </row>
    <row r="585" ht="15.75" customHeight="1">
      <c r="A585" s="1">
        <f>IFERROR(__xludf.DUMMYFUNCTION("""COMPUTED_VALUE"""),44712.66666666667)</f>
        <v>44712.66667</v>
      </c>
      <c r="B585" s="2">
        <f>IFERROR(__xludf.DUMMYFUNCTION("""COMPUTED_VALUE"""),4137.5)</f>
        <v>4137.5</v>
      </c>
      <c r="C585" s="2">
        <f>IFERROR(__xludf.DUMMYFUNCTION("""COMPUTED_VALUE"""),4250.0)</f>
        <v>4250</v>
      </c>
      <c r="D585" s="2">
        <f>IFERROR(__xludf.DUMMYFUNCTION("""COMPUTED_VALUE"""),4112.5)</f>
        <v>4112.5</v>
      </c>
      <c r="E585" s="2">
        <f>IFERROR(__xludf.DUMMYFUNCTION("""COMPUTED_VALUE"""),4250.0)</f>
        <v>4250</v>
      </c>
      <c r="F585" s="2">
        <f>IFERROR(__xludf.DUMMYFUNCTION("""COMPUTED_VALUE"""),1.31027E8)</f>
        <v>131027000</v>
      </c>
      <c r="G585" s="2">
        <f t="shared" si="1"/>
        <v>150</v>
      </c>
    </row>
    <row r="586" ht="15.75" customHeight="1">
      <c r="A586" s="1">
        <f>IFERROR(__xludf.DUMMYFUNCTION("""COMPUTED_VALUE"""),44714.66666666667)</f>
        <v>44714.66667</v>
      </c>
      <c r="B586" s="2">
        <f>IFERROR(__xludf.DUMMYFUNCTION("""COMPUTED_VALUE"""),4162.5)</f>
        <v>4162.5</v>
      </c>
      <c r="C586" s="2">
        <f>IFERROR(__xludf.DUMMYFUNCTION("""COMPUTED_VALUE"""),4175.0)</f>
        <v>4175</v>
      </c>
      <c r="D586" s="2">
        <f>IFERROR(__xludf.DUMMYFUNCTION("""COMPUTED_VALUE"""),4025.0)</f>
        <v>4025</v>
      </c>
      <c r="E586" s="2">
        <f>IFERROR(__xludf.DUMMYFUNCTION("""COMPUTED_VALUE"""),4100.0)</f>
        <v>4100</v>
      </c>
      <c r="F586" s="2">
        <f>IFERROR(__xludf.DUMMYFUNCTION("""COMPUTED_VALUE"""),1.015109E8)</f>
        <v>101510900</v>
      </c>
      <c r="G586" s="2">
        <f t="shared" si="1"/>
        <v>225</v>
      </c>
    </row>
    <row r="587" ht="15.75" customHeight="1">
      <c r="A587" s="1">
        <f>IFERROR(__xludf.DUMMYFUNCTION("""COMPUTED_VALUE"""),44715.66666666667)</f>
        <v>44715.66667</v>
      </c>
      <c r="B587" s="2">
        <f>IFERROR(__xludf.DUMMYFUNCTION("""COMPUTED_VALUE"""),4137.5)</f>
        <v>4137.5</v>
      </c>
      <c r="C587" s="2">
        <f>IFERROR(__xludf.DUMMYFUNCTION("""COMPUTED_VALUE"""),4150.0)</f>
        <v>4150</v>
      </c>
      <c r="D587" s="2">
        <f>IFERROR(__xludf.DUMMYFUNCTION("""COMPUTED_VALUE"""),4100.0)</f>
        <v>4100</v>
      </c>
      <c r="E587" s="2">
        <f>IFERROR(__xludf.DUMMYFUNCTION("""COMPUTED_VALUE"""),4100.0)</f>
        <v>4100</v>
      </c>
      <c r="F587" s="2">
        <f>IFERROR(__xludf.DUMMYFUNCTION("""COMPUTED_VALUE"""),7.398E7)</f>
        <v>73980000</v>
      </c>
      <c r="G587" s="2">
        <f t="shared" si="1"/>
        <v>50</v>
      </c>
    </row>
    <row r="588" ht="15.75" customHeight="1">
      <c r="A588" s="1">
        <f>IFERROR(__xludf.DUMMYFUNCTION("""COMPUTED_VALUE"""),44718.66666666667)</f>
        <v>44718.66667</v>
      </c>
      <c r="B588" s="2">
        <f>IFERROR(__xludf.DUMMYFUNCTION("""COMPUTED_VALUE"""),4100.0)</f>
        <v>4100</v>
      </c>
      <c r="C588" s="2">
        <f>IFERROR(__xludf.DUMMYFUNCTION("""COMPUTED_VALUE"""),4175.0)</f>
        <v>4175</v>
      </c>
      <c r="D588" s="2">
        <f>IFERROR(__xludf.DUMMYFUNCTION("""COMPUTED_VALUE"""),4012.5)</f>
        <v>4012.5</v>
      </c>
      <c r="E588" s="2">
        <f>IFERROR(__xludf.DUMMYFUNCTION("""COMPUTED_VALUE"""),4075.0)</f>
        <v>4075</v>
      </c>
      <c r="F588" s="2">
        <f>IFERROR(__xludf.DUMMYFUNCTION("""COMPUTED_VALUE"""),7.43925E7)</f>
        <v>74392500</v>
      </c>
      <c r="G588" s="2">
        <f t="shared" si="1"/>
        <v>162.5</v>
      </c>
    </row>
    <row r="589" ht="15.75" customHeight="1">
      <c r="A589" s="1">
        <f>IFERROR(__xludf.DUMMYFUNCTION("""COMPUTED_VALUE"""),44719.66666666667)</f>
        <v>44719.66667</v>
      </c>
      <c r="B589" s="2">
        <f>IFERROR(__xludf.DUMMYFUNCTION("""COMPUTED_VALUE"""),4100.0)</f>
        <v>4100</v>
      </c>
      <c r="C589" s="2">
        <f>IFERROR(__xludf.DUMMYFUNCTION("""COMPUTED_VALUE"""),4175.0)</f>
        <v>4175</v>
      </c>
      <c r="D589" s="2">
        <f>IFERROR(__xludf.DUMMYFUNCTION("""COMPUTED_VALUE"""),4075.0)</f>
        <v>4075</v>
      </c>
      <c r="E589" s="2">
        <f>IFERROR(__xludf.DUMMYFUNCTION("""COMPUTED_VALUE"""),4150.0)</f>
        <v>4150</v>
      </c>
      <c r="F589" s="2">
        <f>IFERROR(__xludf.DUMMYFUNCTION("""COMPUTED_VALUE"""),6.63369E7)</f>
        <v>66336900</v>
      </c>
      <c r="G589" s="2">
        <f t="shared" si="1"/>
        <v>100</v>
      </c>
    </row>
    <row r="590" ht="15.75" customHeight="1">
      <c r="A590" s="1">
        <f>IFERROR(__xludf.DUMMYFUNCTION("""COMPUTED_VALUE"""),44720.66666666667)</f>
        <v>44720.66667</v>
      </c>
      <c r="B590" s="2">
        <f>IFERROR(__xludf.DUMMYFUNCTION("""COMPUTED_VALUE"""),4112.5)</f>
        <v>4112.5</v>
      </c>
      <c r="C590" s="2">
        <f>IFERROR(__xludf.DUMMYFUNCTION("""COMPUTED_VALUE"""),4212.5)</f>
        <v>4212.5</v>
      </c>
      <c r="D590" s="2">
        <f>IFERROR(__xludf.DUMMYFUNCTION("""COMPUTED_VALUE"""),4075.0)</f>
        <v>4075</v>
      </c>
      <c r="E590" s="2">
        <f>IFERROR(__xludf.DUMMYFUNCTION("""COMPUTED_VALUE"""),4200.0)</f>
        <v>4200</v>
      </c>
      <c r="F590" s="2">
        <f>IFERROR(__xludf.DUMMYFUNCTION("""COMPUTED_VALUE"""),7.67046E7)</f>
        <v>76704600</v>
      </c>
      <c r="G590" s="2">
        <f t="shared" si="1"/>
        <v>137.5</v>
      </c>
    </row>
    <row r="591" ht="15.75" customHeight="1">
      <c r="A591" s="1">
        <f>IFERROR(__xludf.DUMMYFUNCTION("""COMPUTED_VALUE"""),44721.66666666667)</f>
        <v>44721.66667</v>
      </c>
      <c r="B591" s="2">
        <f>IFERROR(__xludf.DUMMYFUNCTION("""COMPUTED_VALUE"""),4200.0)</f>
        <v>4200</v>
      </c>
      <c r="C591" s="2">
        <f>IFERROR(__xludf.DUMMYFUNCTION("""COMPUTED_VALUE"""),4250.0)</f>
        <v>4250</v>
      </c>
      <c r="D591" s="2">
        <f>IFERROR(__xludf.DUMMYFUNCTION("""COMPUTED_VALUE"""),4175.0)</f>
        <v>4175</v>
      </c>
      <c r="E591" s="2">
        <f>IFERROR(__xludf.DUMMYFUNCTION("""COMPUTED_VALUE"""),4212.5)</f>
        <v>4212.5</v>
      </c>
      <c r="F591" s="2">
        <f>IFERROR(__xludf.DUMMYFUNCTION("""COMPUTED_VALUE"""),1.084022E8)</f>
        <v>108402200</v>
      </c>
      <c r="G591" s="2">
        <f t="shared" si="1"/>
        <v>75</v>
      </c>
    </row>
    <row r="592" ht="15.75" customHeight="1">
      <c r="A592" s="1">
        <f>IFERROR(__xludf.DUMMYFUNCTION("""COMPUTED_VALUE"""),44722.66666666667)</f>
        <v>44722.66667</v>
      </c>
      <c r="B592" s="2">
        <f>IFERROR(__xludf.DUMMYFUNCTION("""COMPUTED_VALUE"""),4137.5)</f>
        <v>4137.5</v>
      </c>
      <c r="C592" s="2">
        <f>IFERROR(__xludf.DUMMYFUNCTION("""COMPUTED_VALUE"""),4162.5)</f>
        <v>4162.5</v>
      </c>
      <c r="D592" s="2">
        <f>IFERROR(__xludf.DUMMYFUNCTION("""COMPUTED_VALUE"""),4075.0)</f>
        <v>4075</v>
      </c>
      <c r="E592" s="2">
        <f>IFERROR(__xludf.DUMMYFUNCTION("""COMPUTED_VALUE"""),4087.5)</f>
        <v>4087.5</v>
      </c>
      <c r="F592" s="2">
        <f>IFERROR(__xludf.DUMMYFUNCTION("""COMPUTED_VALUE"""),8.25598E7)</f>
        <v>82559800</v>
      </c>
      <c r="G592" s="2">
        <f t="shared" si="1"/>
        <v>137.5</v>
      </c>
    </row>
    <row r="593" ht="15.75" customHeight="1">
      <c r="A593" s="1">
        <f>IFERROR(__xludf.DUMMYFUNCTION("""COMPUTED_VALUE"""),44725.66666666667)</f>
        <v>44725.66667</v>
      </c>
      <c r="B593" s="2">
        <f>IFERROR(__xludf.DUMMYFUNCTION("""COMPUTED_VALUE"""),4000.0)</f>
        <v>4000</v>
      </c>
      <c r="C593" s="2">
        <f>IFERROR(__xludf.DUMMYFUNCTION("""COMPUTED_VALUE"""),4050.0)</f>
        <v>4050</v>
      </c>
      <c r="D593" s="2">
        <f>IFERROR(__xludf.DUMMYFUNCTION("""COMPUTED_VALUE"""),3975.0)</f>
        <v>3975</v>
      </c>
      <c r="E593" s="2">
        <f>IFERROR(__xludf.DUMMYFUNCTION("""COMPUTED_VALUE"""),4050.0)</f>
        <v>4050</v>
      </c>
      <c r="F593" s="2">
        <f>IFERROR(__xludf.DUMMYFUNCTION("""COMPUTED_VALUE"""),6.12336E7)</f>
        <v>61233600</v>
      </c>
      <c r="G593" s="2">
        <f t="shared" si="1"/>
        <v>112.5</v>
      </c>
    </row>
    <row r="594" ht="15.75" customHeight="1">
      <c r="A594" s="1">
        <f>IFERROR(__xludf.DUMMYFUNCTION("""COMPUTED_VALUE"""),44726.66666666667)</f>
        <v>44726.66667</v>
      </c>
      <c r="B594" s="2">
        <f>IFERROR(__xludf.DUMMYFUNCTION("""COMPUTED_VALUE"""),4000.0)</f>
        <v>4000</v>
      </c>
      <c r="C594" s="2">
        <f>IFERROR(__xludf.DUMMYFUNCTION("""COMPUTED_VALUE"""),4100.0)</f>
        <v>4100</v>
      </c>
      <c r="D594" s="2">
        <f>IFERROR(__xludf.DUMMYFUNCTION("""COMPUTED_VALUE"""),4000.0)</f>
        <v>4000</v>
      </c>
      <c r="E594" s="2">
        <f>IFERROR(__xludf.DUMMYFUNCTION("""COMPUTED_VALUE"""),4100.0)</f>
        <v>4100</v>
      </c>
      <c r="F594" s="2">
        <f>IFERROR(__xludf.DUMMYFUNCTION("""COMPUTED_VALUE"""),5.00683E7)</f>
        <v>50068300</v>
      </c>
      <c r="G594" s="2">
        <f t="shared" si="1"/>
        <v>100</v>
      </c>
    </row>
    <row r="595" ht="15.75" customHeight="1">
      <c r="A595" s="1">
        <f>IFERROR(__xludf.DUMMYFUNCTION("""COMPUTED_VALUE"""),44727.66666666667)</f>
        <v>44727.66667</v>
      </c>
      <c r="B595" s="2">
        <f>IFERROR(__xludf.DUMMYFUNCTION("""COMPUTED_VALUE"""),4062.5)</f>
        <v>4062.5</v>
      </c>
      <c r="C595" s="2">
        <f>IFERROR(__xludf.DUMMYFUNCTION("""COMPUTED_VALUE"""),4162.5)</f>
        <v>4162.5</v>
      </c>
      <c r="D595" s="2">
        <f>IFERROR(__xludf.DUMMYFUNCTION("""COMPUTED_VALUE"""),4062.5)</f>
        <v>4062.5</v>
      </c>
      <c r="E595" s="2">
        <f>IFERROR(__xludf.DUMMYFUNCTION("""COMPUTED_VALUE"""),4150.0)</f>
        <v>4150</v>
      </c>
      <c r="F595" s="2">
        <f>IFERROR(__xludf.DUMMYFUNCTION("""COMPUTED_VALUE"""),7.12004E7)</f>
        <v>71200400</v>
      </c>
      <c r="G595" s="2">
        <f t="shared" si="1"/>
        <v>100</v>
      </c>
    </row>
    <row r="596" ht="15.75" customHeight="1">
      <c r="A596" s="1">
        <f>IFERROR(__xludf.DUMMYFUNCTION("""COMPUTED_VALUE"""),44728.66666666667)</f>
        <v>44728.66667</v>
      </c>
      <c r="B596" s="2">
        <f>IFERROR(__xludf.DUMMYFUNCTION("""COMPUTED_VALUE"""),4250.0)</f>
        <v>4250</v>
      </c>
      <c r="C596" s="2">
        <f>IFERROR(__xludf.DUMMYFUNCTION("""COMPUTED_VALUE"""),4250.0)</f>
        <v>4250</v>
      </c>
      <c r="D596" s="2">
        <f>IFERROR(__xludf.DUMMYFUNCTION("""COMPUTED_VALUE"""),4150.0)</f>
        <v>4150</v>
      </c>
      <c r="E596" s="2">
        <f>IFERROR(__xludf.DUMMYFUNCTION("""COMPUTED_VALUE"""),4187.5)</f>
        <v>4187.5</v>
      </c>
      <c r="F596" s="2">
        <f>IFERROR(__xludf.DUMMYFUNCTION("""COMPUTED_VALUE"""),9.33463E7)</f>
        <v>93346300</v>
      </c>
      <c r="G596" s="2">
        <f t="shared" si="1"/>
        <v>100</v>
      </c>
    </row>
    <row r="597" ht="15.75" customHeight="1">
      <c r="A597" s="1">
        <f>IFERROR(__xludf.DUMMYFUNCTION("""COMPUTED_VALUE"""),44729.66666666667)</f>
        <v>44729.66667</v>
      </c>
      <c r="B597" s="2">
        <f>IFERROR(__xludf.DUMMYFUNCTION("""COMPUTED_VALUE"""),4087.5)</f>
        <v>4087.5</v>
      </c>
      <c r="C597" s="2">
        <f>IFERROR(__xludf.DUMMYFUNCTION("""COMPUTED_VALUE"""),4125.0)</f>
        <v>4125</v>
      </c>
      <c r="D597" s="2">
        <f>IFERROR(__xludf.DUMMYFUNCTION("""COMPUTED_VALUE"""),4037.5)</f>
        <v>4037.5</v>
      </c>
      <c r="E597" s="2">
        <f>IFERROR(__xludf.DUMMYFUNCTION("""COMPUTED_VALUE"""),4037.5)</f>
        <v>4037.5</v>
      </c>
      <c r="F597" s="2">
        <f>IFERROR(__xludf.DUMMYFUNCTION("""COMPUTED_VALUE"""),7.84181E7)</f>
        <v>78418100</v>
      </c>
      <c r="G597" s="2">
        <f t="shared" si="1"/>
        <v>150</v>
      </c>
    </row>
    <row r="598" ht="15.75" customHeight="1">
      <c r="A598" s="1">
        <f>IFERROR(__xludf.DUMMYFUNCTION("""COMPUTED_VALUE"""),44732.66666666667)</f>
        <v>44732.66667</v>
      </c>
      <c r="B598" s="2">
        <f>IFERROR(__xludf.DUMMYFUNCTION("""COMPUTED_VALUE"""),4050.0)</f>
        <v>4050</v>
      </c>
      <c r="C598" s="2">
        <f>IFERROR(__xludf.DUMMYFUNCTION("""COMPUTED_VALUE"""),4125.0)</f>
        <v>4125</v>
      </c>
      <c r="D598" s="2">
        <f>IFERROR(__xludf.DUMMYFUNCTION("""COMPUTED_VALUE"""),4025.0)</f>
        <v>4025</v>
      </c>
      <c r="E598" s="2">
        <f>IFERROR(__xludf.DUMMYFUNCTION("""COMPUTED_VALUE"""),4125.0)</f>
        <v>4125</v>
      </c>
      <c r="F598" s="2">
        <f>IFERROR(__xludf.DUMMYFUNCTION("""COMPUTED_VALUE"""),3.74891E7)</f>
        <v>37489100</v>
      </c>
      <c r="G598" s="2">
        <f t="shared" si="1"/>
        <v>100</v>
      </c>
    </row>
    <row r="599" ht="15.75" customHeight="1">
      <c r="A599" s="1">
        <f>IFERROR(__xludf.DUMMYFUNCTION("""COMPUTED_VALUE"""),44733.66666666667)</f>
        <v>44733.66667</v>
      </c>
      <c r="B599" s="2">
        <f>IFERROR(__xludf.DUMMYFUNCTION("""COMPUTED_VALUE"""),4150.0)</f>
        <v>4150</v>
      </c>
      <c r="C599" s="2">
        <f>IFERROR(__xludf.DUMMYFUNCTION("""COMPUTED_VALUE"""),4175.0)</f>
        <v>4175</v>
      </c>
      <c r="D599" s="2">
        <f>IFERROR(__xludf.DUMMYFUNCTION("""COMPUTED_VALUE"""),4100.0)</f>
        <v>4100</v>
      </c>
      <c r="E599" s="2">
        <f>IFERROR(__xludf.DUMMYFUNCTION("""COMPUTED_VALUE"""),4125.0)</f>
        <v>4125</v>
      </c>
      <c r="F599" s="2">
        <f>IFERROR(__xludf.DUMMYFUNCTION("""COMPUTED_VALUE"""),3.14983E7)</f>
        <v>31498300</v>
      </c>
      <c r="G599" s="2">
        <f t="shared" si="1"/>
        <v>75</v>
      </c>
    </row>
    <row r="600" ht="15.75" customHeight="1">
      <c r="A600" s="1">
        <f>IFERROR(__xludf.DUMMYFUNCTION("""COMPUTED_VALUE"""),44734.66666666667)</f>
        <v>44734.66667</v>
      </c>
      <c r="B600" s="2">
        <f>IFERROR(__xludf.DUMMYFUNCTION("""COMPUTED_VALUE"""),4100.0)</f>
        <v>4100</v>
      </c>
      <c r="C600" s="2">
        <f>IFERROR(__xludf.DUMMYFUNCTION("""COMPUTED_VALUE"""),4137.5)</f>
        <v>4137.5</v>
      </c>
      <c r="D600" s="2">
        <f>IFERROR(__xludf.DUMMYFUNCTION("""COMPUTED_VALUE"""),4062.5)</f>
        <v>4062.5</v>
      </c>
      <c r="E600" s="2">
        <f>IFERROR(__xludf.DUMMYFUNCTION("""COMPUTED_VALUE"""),4075.0)</f>
        <v>4075</v>
      </c>
      <c r="F600" s="2">
        <f>IFERROR(__xludf.DUMMYFUNCTION("""COMPUTED_VALUE"""),4.41533E7)</f>
        <v>44153300</v>
      </c>
      <c r="G600" s="2">
        <f t="shared" si="1"/>
        <v>75</v>
      </c>
    </row>
    <row r="601" ht="15.75" customHeight="1">
      <c r="A601" s="1">
        <f>IFERROR(__xludf.DUMMYFUNCTION("""COMPUTED_VALUE"""),44735.66666666667)</f>
        <v>44735.66667</v>
      </c>
      <c r="B601" s="2">
        <f>IFERROR(__xludf.DUMMYFUNCTION("""COMPUTED_VALUE"""),4075.0)</f>
        <v>4075</v>
      </c>
      <c r="C601" s="2">
        <f>IFERROR(__xludf.DUMMYFUNCTION("""COMPUTED_VALUE"""),4112.5)</f>
        <v>4112.5</v>
      </c>
      <c r="D601" s="2">
        <f>IFERROR(__xludf.DUMMYFUNCTION("""COMPUTED_VALUE"""),4050.0)</f>
        <v>4050</v>
      </c>
      <c r="E601" s="2">
        <f>IFERROR(__xludf.DUMMYFUNCTION("""COMPUTED_VALUE"""),4075.0)</f>
        <v>4075</v>
      </c>
      <c r="F601" s="2">
        <f>IFERROR(__xludf.DUMMYFUNCTION("""COMPUTED_VALUE"""),2.44087E7)</f>
        <v>24408700</v>
      </c>
      <c r="G601" s="2">
        <f t="shared" si="1"/>
        <v>62.5</v>
      </c>
    </row>
    <row r="602" ht="15.75" customHeight="1">
      <c r="A602" s="1">
        <f>IFERROR(__xludf.DUMMYFUNCTION("""COMPUTED_VALUE"""),44736.66666666667)</f>
        <v>44736.66667</v>
      </c>
      <c r="B602" s="2">
        <f>IFERROR(__xludf.DUMMYFUNCTION("""COMPUTED_VALUE"""),4100.0)</f>
        <v>4100</v>
      </c>
      <c r="C602" s="2">
        <f>IFERROR(__xludf.DUMMYFUNCTION("""COMPUTED_VALUE"""),4150.0)</f>
        <v>4150</v>
      </c>
      <c r="D602" s="2">
        <f>IFERROR(__xludf.DUMMYFUNCTION("""COMPUTED_VALUE"""),4075.0)</f>
        <v>4075</v>
      </c>
      <c r="E602" s="2">
        <f>IFERROR(__xludf.DUMMYFUNCTION("""COMPUTED_VALUE"""),4150.0)</f>
        <v>4150</v>
      </c>
      <c r="F602" s="2">
        <f>IFERROR(__xludf.DUMMYFUNCTION("""COMPUTED_VALUE"""),3.03192E7)</f>
        <v>30319200</v>
      </c>
      <c r="G602" s="2">
        <f t="shared" si="1"/>
        <v>75</v>
      </c>
    </row>
    <row r="603" ht="15.75" customHeight="1">
      <c r="A603" s="1">
        <f>IFERROR(__xludf.DUMMYFUNCTION("""COMPUTED_VALUE"""),44739.66666666667)</f>
        <v>44739.66667</v>
      </c>
      <c r="B603" s="2">
        <f>IFERROR(__xludf.DUMMYFUNCTION("""COMPUTED_VALUE"""),4200.0)</f>
        <v>4200</v>
      </c>
      <c r="C603" s="2">
        <f>IFERROR(__xludf.DUMMYFUNCTION("""COMPUTED_VALUE"""),4200.0)</f>
        <v>4200</v>
      </c>
      <c r="D603" s="2">
        <f>IFERROR(__xludf.DUMMYFUNCTION("""COMPUTED_VALUE"""),4037.5)</f>
        <v>4037.5</v>
      </c>
      <c r="E603" s="2">
        <f>IFERROR(__xludf.DUMMYFUNCTION("""COMPUTED_VALUE"""),4112.5)</f>
        <v>4112.5</v>
      </c>
      <c r="F603" s="2">
        <f>IFERROR(__xludf.DUMMYFUNCTION("""COMPUTED_VALUE"""),3.82872E7)</f>
        <v>38287200</v>
      </c>
      <c r="G603" s="2">
        <f t="shared" si="1"/>
        <v>162.5</v>
      </c>
    </row>
    <row r="604" ht="15.75" customHeight="1">
      <c r="A604" s="1">
        <f>IFERROR(__xludf.DUMMYFUNCTION("""COMPUTED_VALUE"""),44740.66666666667)</f>
        <v>44740.66667</v>
      </c>
      <c r="B604" s="2">
        <f>IFERROR(__xludf.DUMMYFUNCTION("""COMPUTED_VALUE"""),4075.0)</f>
        <v>4075</v>
      </c>
      <c r="C604" s="2">
        <f>IFERROR(__xludf.DUMMYFUNCTION("""COMPUTED_VALUE"""),4100.0)</f>
        <v>4100</v>
      </c>
      <c r="D604" s="2">
        <f>IFERROR(__xludf.DUMMYFUNCTION("""COMPUTED_VALUE"""),4000.0)</f>
        <v>4000</v>
      </c>
      <c r="E604" s="2">
        <f>IFERROR(__xludf.DUMMYFUNCTION("""COMPUTED_VALUE"""),4062.5)</f>
        <v>4062.5</v>
      </c>
      <c r="F604" s="2">
        <f>IFERROR(__xludf.DUMMYFUNCTION("""COMPUTED_VALUE"""),5.50656E7)</f>
        <v>55065600</v>
      </c>
      <c r="G604" s="2">
        <f t="shared" si="1"/>
        <v>112.5</v>
      </c>
    </row>
    <row r="605" ht="15.75" customHeight="1">
      <c r="A605" s="1">
        <f>IFERROR(__xludf.DUMMYFUNCTION("""COMPUTED_VALUE"""),44741.66666666667)</f>
        <v>44741.66667</v>
      </c>
      <c r="B605" s="2">
        <f>IFERROR(__xludf.DUMMYFUNCTION("""COMPUTED_VALUE"""),4050.0)</f>
        <v>4050</v>
      </c>
      <c r="C605" s="2">
        <f>IFERROR(__xludf.DUMMYFUNCTION("""COMPUTED_VALUE"""),4062.5)</f>
        <v>4062.5</v>
      </c>
      <c r="D605" s="2">
        <f>IFERROR(__xludf.DUMMYFUNCTION("""COMPUTED_VALUE"""),3975.0)</f>
        <v>3975</v>
      </c>
      <c r="E605" s="2">
        <f>IFERROR(__xludf.DUMMYFUNCTION("""COMPUTED_VALUE"""),3975.0)</f>
        <v>3975</v>
      </c>
      <c r="F605" s="2">
        <f>IFERROR(__xludf.DUMMYFUNCTION("""COMPUTED_VALUE"""),5.66082E7)</f>
        <v>56608200</v>
      </c>
      <c r="G605" s="2">
        <f t="shared" si="1"/>
        <v>87.5</v>
      </c>
    </row>
    <row r="606" ht="15.75" customHeight="1">
      <c r="A606" s="1">
        <f>IFERROR(__xludf.DUMMYFUNCTION("""COMPUTED_VALUE"""),44742.66666666667)</f>
        <v>44742.66667</v>
      </c>
      <c r="B606" s="2">
        <f>IFERROR(__xludf.DUMMYFUNCTION("""COMPUTED_VALUE"""),4000.0)</f>
        <v>4000</v>
      </c>
      <c r="C606" s="2">
        <f>IFERROR(__xludf.DUMMYFUNCTION("""COMPUTED_VALUE"""),4050.0)</f>
        <v>4050</v>
      </c>
      <c r="D606" s="2">
        <f>IFERROR(__xludf.DUMMYFUNCTION("""COMPUTED_VALUE"""),3950.0)</f>
        <v>3950</v>
      </c>
      <c r="E606" s="2">
        <f>IFERROR(__xludf.DUMMYFUNCTION("""COMPUTED_VALUE"""),3962.5)</f>
        <v>3962.5</v>
      </c>
      <c r="F606" s="2">
        <f>IFERROR(__xludf.DUMMYFUNCTION("""COMPUTED_VALUE"""),6.27538E7)</f>
        <v>62753800</v>
      </c>
      <c r="G606" s="2">
        <f t="shared" si="1"/>
        <v>100</v>
      </c>
    </row>
    <row r="607" ht="15.75" customHeight="1">
      <c r="A607" s="1">
        <f>IFERROR(__xludf.DUMMYFUNCTION("""COMPUTED_VALUE"""),44743.66666666667)</f>
        <v>44743.66667</v>
      </c>
      <c r="B607" s="2">
        <f>IFERROR(__xludf.DUMMYFUNCTION("""COMPUTED_VALUE"""),3937.5)</f>
        <v>3937.5</v>
      </c>
      <c r="C607" s="2">
        <f>IFERROR(__xludf.DUMMYFUNCTION("""COMPUTED_VALUE"""),3962.5)</f>
        <v>3962.5</v>
      </c>
      <c r="D607" s="2">
        <f>IFERROR(__xludf.DUMMYFUNCTION("""COMPUTED_VALUE"""),3787.5)</f>
        <v>3787.5</v>
      </c>
      <c r="E607" s="2">
        <f>IFERROR(__xludf.DUMMYFUNCTION("""COMPUTED_VALUE"""),3800.0)</f>
        <v>3800</v>
      </c>
      <c r="F607" s="2">
        <f>IFERROR(__xludf.DUMMYFUNCTION("""COMPUTED_VALUE"""),9.58361E7)</f>
        <v>95836100</v>
      </c>
      <c r="G607" s="2">
        <f t="shared" si="1"/>
        <v>175</v>
      </c>
    </row>
    <row r="608" ht="15.75" customHeight="1">
      <c r="A608" s="1">
        <f>IFERROR(__xludf.DUMMYFUNCTION("""COMPUTED_VALUE"""),44746.66666666667)</f>
        <v>44746.66667</v>
      </c>
      <c r="B608" s="2">
        <f>IFERROR(__xludf.DUMMYFUNCTION("""COMPUTED_VALUE"""),3787.5)</f>
        <v>3787.5</v>
      </c>
      <c r="C608" s="2">
        <f>IFERROR(__xludf.DUMMYFUNCTION("""COMPUTED_VALUE"""),3837.5)</f>
        <v>3837.5</v>
      </c>
      <c r="D608" s="2">
        <f>IFERROR(__xludf.DUMMYFUNCTION("""COMPUTED_VALUE"""),3637.5)</f>
        <v>3637.5</v>
      </c>
      <c r="E608" s="2">
        <f>IFERROR(__xludf.DUMMYFUNCTION("""COMPUTED_VALUE"""),3700.0)</f>
        <v>3700</v>
      </c>
      <c r="F608" s="2">
        <f>IFERROR(__xludf.DUMMYFUNCTION("""COMPUTED_VALUE"""),1.232085E8)</f>
        <v>123208500</v>
      </c>
      <c r="G608" s="2">
        <f t="shared" si="1"/>
        <v>200</v>
      </c>
    </row>
    <row r="609" ht="15.75" customHeight="1">
      <c r="A609" s="1">
        <f>IFERROR(__xludf.DUMMYFUNCTION("""COMPUTED_VALUE"""),44747.66666666667)</f>
        <v>44747.66667</v>
      </c>
      <c r="B609" s="2">
        <f>IFERROR(__xludf.DUMMYFUNCTION("""COMPUTED_VALUE"""),3725.0)</f>
        <v>3725</v>
      </c>
      <c r="C609" s="2">
        <f>IFERROR(__xludf.DUMMYFUNCTION("""COMPUTED_VALUE"""),3862.5)</f>
        <v>3862.5</v>
      </c>
      <c r="D609" s="2">
        <f>IFERROR(__xludf.DUMMYFUNCTION("""COMPUTED_VALUE"""),3725.0)</f>
        <v>3725</v>
      </c>
      <c r="E609" s="2">
        <f>IFERROR(__xludf.DUMMYFUNCTION("""COMPUTED_VALUE"""),3825.0)</f>
        <v>3825</v>
      </c>
      <c r="F609" s="2">
        <f>IFERROR(__xludf.DUMMYFUNCTION("""COMPUTED_VALUE"""),4.54599E7)</f>
        <v>45459900</v>
      </c>
      <c r="G609" s="2">
        <f t="shared" si="1"/>
        <v>162.5</v>
      </c>
    </row>
    <row r="610" ht="15.75" customHeight="1">
      <c r="A610" s="1">
        <f>IFERROR(__xludf.DUMMYFUNCTION("""COMPUTED_VALUE"""),44748.66666666667)</f>
        <v>44748.66667</v>
      </c>
      <c r="B610" s="2">
        <f>IFERROR(__xludf.DUMMYFUNCTION("""COMPUTED_VALUE"""),3825.0)</f>
        <v>3825</v>
      </c>
      <c r="C610" s="2">
        <f>IFERROR(__xludf.DUMMYFUNCTION("""COMPUTED_VALUE"""),3825.0)</f>
        <v>3825</v>
      </c>
      <c r="D610" s="2">
        <f>IFERROR(__xludf.DUMMYFUNCTION("""COMPUTED_VALUE"""),3675.0)</f>
        <v>3675</v>
      </c>
      <c r="E610" s="2">
        <f>IFERROR(__xludf.DUMMYFUNCTION("""COMPUTED_VALUE"""),3762.5)</f>
        <v>3762.5</v>
      </c>
      <c r="F610" s="2">
        <f>IFERROR(__xludf.DUMMYFUNCTION("""COMPUTED_VALUE"""),9.04064E7)</f>
        <v>90406400</v>
      </c>
      <c r="G610" s="2">
        <f t="shared" si="1"/>
        <v>150</v>
      </c>
    </row>
    <row r="611" ht="15.75" customHeight="1">
      <c r="A611" s="1">
        <f>IFERROR(__xludf.DUMMYFUNCTION("""COMPUTED_VALUE"""),44749.66666666667)</f>
        <v>44749.66667</v>
      </c>
      <c r="B611" s="2">
        <f>IFERROR(__xludf.DUMMYFUNCTION("""COMPUTED_VALUE"""),3750.0)</f>
        <v>3750</v>
      </c>
      <c r="C611" s="2">
        <f>IFERROR(__xludf.DUMMYFUNCTION("""COMPUTED_VALUE"""),3775.0)</f>
        <v>3775</v>
      </c>
      <c r="D611" s="2">
        <f>IFERROR(__xludf.DUMMYFUNCTION("""COMPUTED_VALUE"""),3712.5)</f>
        <v>3712.5</v>
      </c>
      <c r="E611" s="2">
        <f>IFERROR(__xludf.DUMMYFUNCTION("""COMPUTED_VALUE"""),3712.5)</f>
        <v>3712.5</v>
      </c>
      <c r="F611" s="2">
        <f>IFERROR(__xludf.DUMMYFUNCTION("""COMPUTED_VALUE"""),6.02224E7)</f>
        <v>60222400</v>
      </c>
      <c r="G611" s="2">
        <f t="shared" si="1"/>
        <v>62.5</v>
      </c>
    </row>
    <row r="612" ht="15.75" customHeight="1">
      <c r="A612" s="1">
        <f>IFERROR(__xludf.DUMMYFUNCTION("""COMPUTED_VALUE"""),44750.66666666667)</f>
        <v>44750.66667</v>
      </c>
      <c r="B612" s="2">
        <f>IFERROR(__xludf.DUMMYFUNCTION("""COMPUTED_VALUE"""),3775.0)</f>
        <v>3775</v>
      </c>
      <c r="C612" s="2">
        <f>IFERROR(__xludf.DUMMYFUNCTION("""COMPUTED_VALUE"""),3775.0)</f>
        <v>3775</v>
      </c>
      <c r="D612" s="2">
        <f>IFERROR(__xludf.DUMMYFUNCTION("""COMPUTED_VALUE"""),3700.0)</f>
        <v>3700</v>
      </c>
      <c r="E612" s="2">
        <f>IFERROR(__xludf.DUMMYFUNCTION("""COMPUTED_VALUE"""),3737.5)</f>
        <v>3737.5</v>
      </c>
      <c r="F612" s="2">
        <f>IFERROR(__xludf.DUMMYFUNCTION("""COMPUTED_VALUE"""),2.85783E7)</f>
        <v>28578300</v>
      </c>
      <c r="G612" s="2">
        <f t="shared" si="1"/>
        <v>75</v>
      </c>
    </row>
    <row r="613" ht="15.75" customHeight="1">
      <c r="A613" s="1">
        <f>IFERROR(__xludf.DUMMYFUNCTION("""COMPUTED_VALUE"""),44753.66666666667)</f>
        <v>44753.66667</v>
      </c>
      <c r="B613" s="2">
        <f>IFERROR(__xludf.DUMMYFUNCTION("""COMPUTED_VALUE"""),3737.5)</f>
        <v>3737.5</v>
      </c>
      <c r="C613" s="2">
        <f>IFERROR(__xludf.DUMMYFUNCTION("""COMPUTED_VALUE"""),3762.5)</f>
        <v>3762.5</v>
      </c>
      <c r="D613" s="2">
        <f>IFERROR(__xludf.DUMMYFUNCTION("""COMPUTED_VALUE"""),3700.0)</f>
        <v>3700</v>
      </c>
      <c r="E613" s="2">
        <f>IFERROR(__xludf.DUMMYFUNCTION("""COMPUTED_VALUE"""),3737.5)</f>
        <v>3737.5</v>
      </c>
      <c r="F613" s="2">
        <f>IFERROR(__xludf.DUMMYFUNCTION("""COMPUTED_VALUE"""),1.14304E7)</f>
        <v>11430400</v>
      </c>
      <c r="G613" s="2">
        <f t="shared" si="1"/>
        <v>62.5</v>
      </c>
    </row>
    <row r="614" ht="15.75" customHeight="1">
      <c r="A614" s="1">
        <f>IFERROR(__xludf.DUMMYFUNCTION("""COMPUTED_VALUE"""),44754.66666666667)</f>
        <v>44754.66667</v>
      </c>
      <c r="B614" s="2">
        <f>IFERROR(__xludf.DUMMYFUNCTION("""COMPUTED_VALUE"""),3737.5)</f>
        <v>3737.5</v>
      </c>
      <c r="C614" s="2">
        <f>IFERROR(__xludf.DUMMYFUNCTION("""COMPUTED_VALUE"""),3737.5)</f>
        <v>3737.5</v>
      </c>
      <c r="D614" s="2">
        <f>IFERROR(__xludf.DUMMYFUNCTION("""COMPUTED_VALUE"""),3687.5)</f>
        <v>3687.5</v>
      </c>
      <c r="E614" s="2">
        <f>IFERROR(__xludf.DUMMYFUNCTION("""COMPUTED_VALUE"""),3712.5)</f>
        <v>3712.5</v>
      </c>
      <c r="F614" s="2">
        <f>IFERROR(__xludf.DUMMYFUNCTION("""COMPUTED_VALUE"""),2.57622E7)</f>
        <v>25762200</v>
      </c>
      <c r="G614" s="2">
        <f t="shared" si="1"/>
        <v>50</v>
      </c>
    </row>
    <row r="615" ht="15.75" customHeight="1">
      <c r="A615" s="1">
        <f>IFERROR(__xludf.DUMMYFUNCTION("""COMPUTED_VALUE"""),44755.66666666667)</f>
        <v>44755.66667</v>
      </c>
      <c r="B615" s="2">
        <f>IFERROR(__xludf.DUMMYFUNCTION("""COMPUTED_VALUE"""),3700.0)</f>
        <v>3700</v>
      </c>
      <c r="C615" s="2">
        <f>IFERROR(__xludf.DUMMYFUNCTION("""COMPUTED_VALUE"""),3712.5)</f>
        <v>3712.5</v>
      </c>
      <c r="D615" s="2">
        <f>IFERROR(__xludf.DUMMYFUNCTION("""COMPUTED_VALUE"""),3637.5)</f>
        <v>3637.5</v>
      </c>
      <c r="E615" s="2">
        <f>IFERROR(__xludf.DUMMYFUNCTION("""COMPUTED_VALUE"""),3637.5)</f>
        <v>3637.5</v>
      </c>
      <c r="F615" s="2">
        <f>IFERROR(__xludf.DUMMYFUNCTION("""COMPUTED_VALUE"""),7.12471E7)</f>
        <v>71247100</v>
      </c>
      <c r="G615" s="2">
        <f t="shared" si="1"/>
        <v>75</v>
      </c>
    </row>
    <row r="616" ht="15.75" customHeight="1">
      <c r="A616" s="1">
        <f>IFERROR(__xludf.DUMMYFUNCTION("""COMPUTED_VALUE"""),44756.66666666667)</f>
        <v>44756.66667</v>
      </c>
      <c r="B616" s="2">
        <f>IFERROR(__xludf.DUMMYFUNCTION("""COMPUTED_VALUE"""),3625.0)</f>
        <v>3625</v>
      </c>
      <c r="C616" s="2">
        <f>IFERROR(__xludf.DUMMYFUNCTION("""COMPUTED_VALUE"""),3687.5)</f>
        <v>3687.5</v>
      </c>
      <c r="D616" s="2">
        <f>IFERROR(__xludf.DUMMYFUNCTION("""COMPUTED_VALUE"""),3600.0)</f>
        <v>3600</v>
      </c>
      <c r="E616" s="2">
        <f>IFERROR(__xludf.DUMMYFUNCTION("""COMPUTED_VALUE"""),3637.5)</f>
        <v>3637.5</v>
      </c>
      <c r="F616" s="2">
        <f>IFERROR(__xludf.DUMMYFUNCTION("""COMPUTED_VALUE"""),7.92191E7)</f>
        <v>79219100</v>
      </c>
      <c r="G616" s="2">
        <f t="shared" si="1"/>
        <v>87.5</v>
      </c>
    </row>
    <row r="617" ht="15.75" customHeight="1">
      <c r="A617" s="1">
        <f>IFERROR(__xludf.DUMMYFUNCTION("""COMPUTED_VALUE"""),44757.66666666667)</f>
        <v>44757.66667</v>
      </c>
      <c r="B617" s="2">
        <f>IFERROR(__xludf.DUMMYFUNCTION("""COMPUTED_VALUE"""),3650.0)</f>
        <v>3650</v>
      </c>
      <c r="C617" s="2">
        <f>IFERROR(__xludf.DUMMYFUNCTION("""COMPUTED_VALUE"""),3700.0)</f>
        <v>3700</v>
      </c>
      <c r="D617" s="2">
        <f>IFERROR(__xludf.DUMMYFUNCTION("""COMPUTED_VALUE"""),3587.5)</f>
        <v>3587.5</v>
      </c>
      <c r="E617" s="2">
        <f>IFERROR(__xludf.DUMMYFUNCTION("""COMPUTED_VALUE"""),3587.5)</f>
        <v>3587.5</v>
      </c>
      <c r="F617" s="2">
        <f>IFERROR(__xludf.DUMMYFUNCTION("""COMPUTED_VALUE"""),9.59747E7)</f>
        <v>95974700</v>
      </c>
      <c r="G617" s="2">
        <f t="shared" si="1"/>
        <v>112.5</v>
      </c>
    </row>
    <row r="618" ht="15.75" customHeight="1">
      <c r="A618" s="1">
        <f>IFERROR(__xludf.DUMMYFUNCTION("""COMPUTED_VALUE"""),44760.66666666667)</f>
        <v>44760.66667</v>
      </c>
      <c r="B618" s="2">
        <f>IFERROR(__xludf.DUMMYFUNCTION("""COMPUTED_VALUE"""),3612.5)</f>
        <v>3612.5</v>
      </c>
      <c r="C618" s="2">
        <f>IFERROR(__xludf.DUMMYFUNCTION("""COMPUTED_VALUE"""),3675.0)</f>
        <v>3675</v>
      </c>
      <c r="D618" s="2">
        <f>IFERROR(__xludf.DUMMYFUNCTION("""COMPUTED_VALUE"""),3612.5)</f>
        <v>3612.5</v>
      </c>
      <c r="E618" s="2">
        <f>IFERROR(__xludf.DUMMYFUNCTION("""COMPUTED_VALUE"""),3675.0)</f>
        <v>3675</v>
      </c>
      <c r="F618" s="2">
        <f>IFERROR(__xludf.DUMMYFUNCTION("""COMPUTED_VALUE"""),7.60392E7)</f>
        <v>76039200</v>
      </c>
      <c r="G618" s="2">
        <f t="shared" si="1"/>
        <v>87.5</v>
      </c>
    </row>
    <row r="619" ht="15.75" customHeight="1">
      <c r="A619" s="1">
        <f>IFERROR(__xludf.DUMMYFUNCTION("""COMPUTED_VALUE"""),44761.66666666667)</f>
        <v>44761.66667</v>
      </c>
      <c r="B619" s="2">
        <f>IFERROR(__xludf.DUMMYFUNCTION("""COMPUTED_VALUE"""),3675.0)</f>
        <v>3675</v>
      </c>
      <c r="C619" s="2">
        <f>IFERROR(__xludf.DUMMYFUNCTION("""COMPUTED_VALUE"""),3725.0)</f>
        <v>3725</v>
      </c>
      <c r="D619" s="2">
        <f>IFERROR(__xludf.DUMMYFUNCTION("""COMPUTED_VALUE"""),3637.5)</f>
        <v>3637.5</v>
      </c>
      <c r="E619" s="2">
        <f>IFERROR(__xludf.DUMMYFUNCTION("""COMPUTED_VALUE"""),3712.5)</f>
        <v>3712.5</v>
      </c>
      <c r="F619" s="2">
        <f>IFERROR(__xludf.DUMMYFUNCTION("""COMPUTED_VALUE"""),6.44818E7)</f>
        <v>64481800</v>
      </c>
      <c r="G619" s="2">
        <f t="shared" si="1"/>
        <v>87.5</v>
      </c>
    </row>
    <row r="620" ht="15.75" customHeight="1">
      <c r="A620" s="1">
        <f>IFERROR(__xludf.DUMMYFUNCTION("""COMPUTED_VALUE"""),44762.66666666667)</f>
        <v>44762.66667</v>
      </c>
      <c r="B620" s="2">
        <f>IFERROR(__xludf.DUMMYFUNCTION("""COMPUTED_VALUE"""),3775.0)</f>
        <v>3775</v>
      </c>
      <c r="C620" s="2">
        <f>IFERROR(__xludf.DUMMYFUNCTION("""COMPUTED_VALUE"""),3975.0)</f>
        <v>3975</v>
      </c>
      <c r="D620" s="2">
        <f>IFERROR(__xludf.DUMMYFUNCTION("""COMPUTED_VALUE"""),3775.0)</f>
        <v>3775</v>
      </c>
      <c r="E620" s="2">
        <f>IFERROR(__xludf.DUMMYFUNCTION("""COMPUTED_VALUE"""),3950.0)</f>
        <v>3950</v>
      </c>
      <c r="F620" s="2">
        <f>IFERROR(__xludf.DUMMYFUNCTION("""COMPUTED_VALUE"""),1.078563E8)</f>
        <v>107856300</v>
      </c>
      <c r="G620" s="2">
        <f t="shared" si="1"/>
        <v>262.5</v>
      </c>
    </row>
    <row r="621" ht="15.75" customHeight="1">
      <c r="A621" s="1">
        <f>IFERROR(__xludf.DUMMYFUNCTION("""COMPUTED_VALUE"""),44763.66666666667)</f>
        <v>44763.66667</v>
      </c>
      <c r="B621" s="2">
        <f>IFERROR(__xludf.DUMMYFUNCTION("""COMPUTED_VALUE"""),4000.0)</f>
        <v>4000</v>
      </c>
      <c r="C621" s="2">
        <f>IFERROR(__xludf.DUMMYFUNCTION("""COMPUTED_VALUE"""),4000.0)</f>
        <v>4000</v>
      </c>
      <c r="D621" s="2">
        <f>IFERROR(__xludf.DUMMYFUNCTION("""COMPUTED_VALUE"""),3862.5)</f>
        <v>3862.5</v>
      </c>
      <c r="E621" s="2">
        <f>IFERROR(__xludf.DUMMYFUNCTION("""COMPUTED_VALUE"""),3950.0)</f>
        <v>3950</v>
      </c>
      <c r="F621" s="2">
        <f>IFERROR(__xludf.DUMMYFUNCTION("""COMPUTED_VALUE"""),6.28496E7)</f>
        <v>62849600</v>
      </c>
      <c r="G621" s="2">
        <f t="shared" si="1"/>
        <v>137.5</v>
      </c>
    </row>
    <row r="622" ht="15.75" customHeight="1">
      <c r="A622" s="1">
        <f>IFERROR(__xludf.DUMMYFUNCTION("""COMPUTED_VALUE"""),44764.66666666667)</f>
        <v>44764.66667</v>
      </c>
      <c r="B622" s="2">
        <f>IFERROR(__xludf.DUMMYFUNCTION("""COMPUTED_VALUE"""),3962.5)</f>
        <v>3962.5</v>
      </c>
      <c r="C622" s="2">
        <f>IFERROR(__xludf.DUMMYFUNCTION("""COMPUTED_VALUE"""),3962.5)</f>
        <v>3962.5</v>
      </c>
      <c r="D622" s="2">
        <f>IFERROR(__xludf.DUMMYFUNCTION("""COMPUTED_VALUE"""),3887.5)</f>
        <v>3887.5</v>
      </c>
      <c r="E622" s="2">
        <f>IFERROR(__xludf.DUMMYFUNCTION("""COMPUTED_VALUE"""),3925.0)</f>
        <v>3925</v>
      </c>
      <c r="F622" s="2">
        <f>IFERROR(__xludf.DUMMYFUNCTION("""COMPUTED_VALUE"""),2.72306E7)</f>
        <v>27230600</v>
      </c>
      <c r="G622" s="2">
        <f t="shared" si="1"/>
        <v>75</v>
      </c>
    </row>
    <row r="623" ht="15.75" customHeight="1">
      <c r="A623" s="1">
        <f>IFERROR(__xludf.DUMMYFUNCTION("""COMPUTED_VALUE"""),44767.66666666667)</f>
        <v>44767.66667</v>
      </c>
      <c r="B623" s="2">
        <f>IFERROR(__xludf.DUMMYFUNCTION("""COMPUTED_VALUE"""),3937.5)</f>
        <v>3937.5</v>
      </c>
      <c r="C623" s="2">
        <f>IFERROR(__xludf.DUMMYFUNCTION("""COMPUTED_VALUE"""),3950.0)</f>
        <v>3950</v>
      </c>
      <c r="D623" s="2">
        <f>IFERROR(__xludf.DUMMYFUNCTION("""COMPUTED_VALUE"""),3887.5)</f>
        <v>3887.5</v>
      </c>
      <c r="E623" s="2">
        <f>IFERROR(__xludf.DUMMYFUNCTION("""COMPUTED_VALUE"""),3887.5)</f>
        <v>3887.5</v>
      </c>
      <c r="F623" s="2">
        <f>IFERROR(__xludf.DUMMYFUNCTION("""COMPUTED_VALUE"""),1.53753E7)</f>
        <v>15375300</v>
      </c>
      <c r="G623" s="2">
        <f t="shared" si="1"/>
        <v>62.5</v>
      </c>
    </row>
    <row r="624" ht="15.75" customHeight="1">
      <c r="A624" s="1">
        <f>IFERROR(__xludf.DUMMYFUNCTION("""COMPUTED_VALUE"""),44768.66666666667)</f>
        <v>44768.66667</v>
      </c>
      <c r="B624" s="2">
        <f>IFERROR(__xludf.DUMMYFUNCTION("""COMPUTED_VALUE"""),3912.5)</f>
        <v>3912.5</v>
      </c>
      <c r="C624" s="2">
        <f>IFERROR(__xludf.DUMMYFUNCTION("""COMPUTED_VALUE"""),4012.5)</f>
        <v>4012.5</v>
      </c>
      <c r="D624" s="2">
        <f>IFERROR(__xludf.DUMMYFUNCTION("""COMPUTED_VALUE"""),3900.0)</f>
        <v>3900</v>
      </c>
      <c r="E624" s="2">
        <f>IFERROR(__xludf.DUMMYFUNCTION("""COMPUTED_VALUE"""),4000.0)</f>
        <v>4000</v>
      </c>
      <c r="F624" s="2">
        <f>IFERROR(__xludf.DUMMYFUNCTION("""COMPUTED_VALUE"""),2.91588E7)</f>
        <v>29158800</v>
      </c>
      <c r="G624" s="2">
        <f t="shared" si="1"/>
        <v>125</v>
      </c>
    </row>
    <row r="625" ht="15.75" customHeight="1">
      <c r="A625" s="1">
        <f>IFERROR(__xludf.DUMMYFUNCTION("""COMPUTED_VALUE"""),44769.66666666667)</f>
        <v>44769.66667</v>
      </c>
      <c r="B625" s="2">
        <f>IFERROR(__xludf.DUMMYFUNCTION("""COMPUTED_VALUE"""),4025.0)</f>
        <v>4025</v>
      </c>
      <c r="C625" s="2">
        <f>IFERROR(__xludf.DUMMYFUNCTION("""COMPUTED_VALUE"""),4062.5)</f>
        <v>4062.5</v>
      </c>
      <c r="D625" s="2">
        <f>IFERROR(__xludf.DUMMYFUNCTION("""COMPUTED_VALUE"""),4000.0)</f>
        <v>4000</v>
      </c>
      <c r="E625" s="2">
        <f>IFERROR(__xludf.DUMMYFUNCTION("""COMPUTED_VALUE"""),4050.0)</f>
        <v>4050</v>
      </c>
      <c r="F625" s="2">
        <f>IFERROR(__xludf.DUMMYFUNCTION("""COMPUTED_VALUE"""),4.37196E7)</f>
        <v>43719600</v>
      </c>
      <c r="G625" s="2">
        <f t="shared" si="1"/>
        <v>62.5</v>
      </c>
    </row>
    <row r="626" ht="15.75" customHeight="1">
      <c r="A626" s="1">
        <f>IFERROR(__xludf.DUMMYFUNCTION("""COMPUTED_VALUE"""),44770.66666666667)</f>
        <v>44770.66667</v>
      </c>
      <c r="B626" s="2">
        <f>IFERROR(__xludf.DUMMYFUNCTION("""COMPUTED_VALUE"""),4012.5)</f>
        <v>4012.5</v>
      </c>
      <c r="C626" s="2">
        <f>IFERROR(__xludf.DUMMYFUNCTION("""COMPUTED_VALUE"""),4100.0)</f>
        <v>4100</v>
      </c>
      <c r="D626" s="2">
        <f>IFERROR(__xludf.DUMMYFUNCTION("""COMPUTED_VALUE"""),4012.5)</f>
        <v>4012.5</v>
      </c>
      <c r="E626" s="2">
        <f>IFERROR(__xludf.DUMMYFUNCTION("""COMPUTED_VALUE"""),4025.0)</f>
        <v>4025</v>
      </c>
      <c r="F626" s="2">
        <f>IFERROR(__xludf.DUMMYFUNCTION("""COMPUTED_VALUE"""),4.72137E7)</f>
        <v>47213700</v>
      </c>
      <c r="G626" s="2">
        <f t="shared" si="1"/>
        <v>87.5</v>
      </c>
    </row>
    <row r="627" ht="15.75" customHeight="1">
      <c r="A627" s="1">
        <f>IFERROR(__xludf.DUMMYFUNCTION("""COMPUTED_VALUE"""),44771.66666666667)</f>
        <v>44771.66667</v>
      </c>
      <c r="B627" s="2">
        <f>IFERROR(__xludf.DUMMYFUNCTION("""COMPUTED_VALUE"""),4112.5)</f>
        <v>4112.5</v>
      </c>
      <c r="C627" s="2">
        <f>IFERROR(__xludf.DUMMYFUNCTION("""COMPUTED_VALUE"""),4175.0)</f>
        <v>4175</v>
      </c>
      <c r="D627" s="2">
        <f>IFERROR(__xludf.DUMMYFUNCTION("""COMPUTED_VALUE"""),4075.0)</f>
        <v>4075</v>
      </c>
      <c r="E627" s="2">
        <f>IFERROR(__xludf.DUMMYFUNCTION("""COMPUTED_VALUE"""),4137.5)</f>
        <v>4137.5</v>
      </c>
      <c r="F627" s="2">
        <f>IFERROR(__xludf.DUMMYFUNCTION("""COMPUTED_VALUE"""),6.63547E7)</f>
        <v>66354700</v>
      </c>
      <c r="G627" s="2">
        <f t="shared" si="1"/>
        <v>150</v>
      </c>
    </row>
    <row r="628" ht="15.75" customHeight="1">
      <c r="A628" s="1">
        <f>IFERROR(__xludf.DUMMYFUNCTION("""COMPUTED_VALUE"""),44774.66666666667)</f>
        <v>44774.66667</v>
      </c>
      <c r="B628" s="2">
        <f>IFERROR(__xludf.DUMMYFUNCTION("""COMPUTED_VALUE"""),4100.0)</f>
        <v>4100</v>
      </c>
      <c r="C628" s="2">
        <f>IFERROR(__xludf.DUMMYFUNCTION("""COMPUTED_VALUE"""),4112.5)</f>
        <v>4112.5</v>
      </c>
      <c r="D628" s="2">
        <f>IFERROR(__xludf.DUMMYFUNCTION("""COMPUTED_VALUE"""),3987.5)</f>
        <v>3987.5</v>
      </c>
      <c r="E628" s="2">
        <f>IFERROR(__xludf.DUMMYFUNCTION("""COMPUTED_VALUE"""),3987.5)</f>
        <v>3987.5</v>
      </c>
      <c r="F628" s="2">
        <f>IFERROR(__xludf.DUMMYFUNCTION("""COMPUTED_VALUE"""),4.79545E7)</f>
        <v>47954500</v>
      </c>
      <c r="G628" s="2">
        <f t="shared" si="1"/>
        <v>150</v>
      </c>
    </row>
    <row r="629" ht="15.75" customHeight="1">
      <c r="A629" s="1">
        <f>IFERROR(__xludf.DUMMYFUNCTION("""COMPUTED_VALUE"""),44775.66666666667)</f>
        <v>44775.66667</v>
      </c>
      <c r="B629" s="2">
        <f>IFERROR(__xludf.DUMMYFUNCTION("""COMPUTED_VALUE"""),4000.0)</f>
        <v>4000</v>
      </c>
      <c r="C629" s="2">
        <f>IFERROR(__xludf.DUMMYFUNCTION("""COMPUTED_VALUE"""),4087.5)</f>
        <v>4087.5</v>
      </c>
      <c r="D629" s="2">
        <f>IFERROR(__xludf.DUMMYFUNCTION("""COMPUTED_VALUE"""),3987.5)</f>
        <v>3987.5</v>
      </c>
      <c r="E629" s="2">
        <f>IFERROR(__xludf.DUMMYFUNCTION("""COMPUTED_VALUE"""),4087.5)</f>
        <v>4087.5</v>
      </c>
      <c r="F629" s="2">
        <f>IFERROR(__xludf.DUMMYFUNCTION("""COMPUTED_VALUE"""),2.87291E7)</f>
        <v>28729100</v>
      </c>
      <c r="G629" s="2">
        <f t="shared" si="1"/>
        <v>100</v>
      </c>
    </row>
    <row r="630" ht="15.75" customHeight="1">
      <c r="A630" s="1">
        <f>IFERROR(__xludf.DUMMYFUNCTION("""COMPUTED_VALUE"""),44776.66666666667)</f>
        <v>44776.66667</v>
      </c>
      <c r="B630" s="2">
        <f>IFERROR(__xludf.DUMMYFUNCTION("""COMPUTED_VALUE"""),4087.5)</f>
        <v>4087.5</v>
      </c>
      <c r="C630" s="2">
        <f>IFERROR(__xludf.DUMMYFUNCTION("""COMPUTED_VALUE"""),4125.0)</f>
        <v>4125</v>
      </c>
      <c r="D630" s="2">
        <f>IFERROR(__xludf.DUMMYFUNCTION("""COMPUTED_VALUE"""),4025.0)</f>
        <v>4025</v>
      </c>
      <c r="E630" s="2">
        <f>IFERROR(__xludf.DUMMYFUNCTION("""COMPUTED_VALUE"""),4125.0)</f>
        <v>4125</v>
      </c>
      <c r="F630" s="2">
        <f>IFERROR(__xludf.DUMMYFUNCTION("""COMPUTED_VALUE"""),2.79114E7)</f>
        <v>27911400</v>
      </c>
      <c r="G630" s="2">
        <f t="shared" si="1"/>
        <v>100</v>
      </c>
    </row>
    <row r="631" ht="15.75" customHeight="1">
      <c r="A631" s="1">
        <f>IFERROR(__xludf.DUMMYFUNCTION("""COMPUTED_VALUE"""),44777.66666666667)</f>
        <v>44777.66667</v>
      </c>
      <c r="B631" s="2">
        <f>IFERROR(__xludf.DUMMYFUNCTION("""COMPUTED_VALUE"""),4150.0)</f>
        <v>4150</v>
      </c>
      <c r="C631" s="2">
        <f>IFERROR(__xludf.DUMMYFUNCTION("""COMPUTED_VALUE"""),4150.0)</f>
        <v>4150</v>
      </c>
      <c r="D631" s="2">
        <f>IFERROR(__xludf.DUMMYFUNCTION("""COMPUTED_VALUE"""),4075.0)</f>
        <v>4075</v>
      </c>
      <c r="E631" s="2">
        <f>IFERROR(__xludf.DUMMYFUNCTION("""COMPUTED_VALUE"""),4125.0)</f>
        <v>4125</v>
      </c>
      <c r="F631" s="2">
        <f>IFERROR(__xludf.DUMMYFUNCTION("""COMPUTED_VALUE"""),3.75943E7)</f>
        <v>37594300</v>
      </c>
      <c r="G631" s="2">
        <f t="shared" si="1"/>
        <v>75</v>
      </c>
    </row>
    <row r="632" ht="15.75" customHeight="1">
      <c r="A632" s="1">
        <f>IFERROR(__xludf.DUMMYFUNCTION("""COMPUTED_VALUE"""),44778.66666666667)</f>
        <v>44778.66667</v>
      </c>
      <c r="B632" s="2">
        <f>IFERROR(__xludf.DUMMYFUNCTION("""COMPUTED_VALUE"""),4137.5)</f>
        <v>4137.5</v>
      </c>
      <c r="C632" s="2">
        <f>IFERROR(__xludf.DUMMYFUNCTION("""COMPUTED_VALUE"""),4150.0)</f>
        <v>4150</v>
      </c>
      <c r="D632" s="2">
        <f>IFERROR(__xludf.DUMMYFUNCTION("""COMPUTED_VALUE"""),4087.5)</f>
        <v>4087.5</v>
      </c>
      <c r="E632" s="2">
        <f>IFERROR(__xludf.DUMMYFUNCTION("""COMPUTED_VALUE"""),4125.0)</f>
        <v>4125</v>
      </c>
      <c r="F632" s="2">
        <f>IFERROR(__xludf.DUMMYFUNCTION("""COMPUTED_VALUE"""),3.20754E7)</f>
        <v>32075400</v>
      </c>
      <c r="G632" s="2">
        <f t="shared" si="1"/>
        <v>62.5</v>
      </c>
    </row>
    <row r="633" ht="15.75" customHeight="1">
      <c r="A633" s="1">
        <f>IFERROR(__xludf.DUMMYFUNCTION("""COMPUTED_VALUE"""),44781.66666666667)</f>
        <v>44781.66667</v>
      </c>
      <c r="B633" s="2">
        <f>IFERROR(__xludf.DUMMYFUNCTION("""COMPUTED_VALUE"""),4125.0)</f>
        <v>4125</v>
      </c>
      <c r="C633" s="2">
        <f>IFERROR(__xludf.DUMMYFUNCTION("""COMPUTED_VALUE"""),4175.0)</f>
        <v>4175</v>
      </c>
      <c r="D633" s="2">
        <f>IFERROR(__xludf.DUMMYFUNCTION("""COMPUTED_VALUE"""),4112.5)</f>
        <v>4112.5</v>
      </c>
      <c r="E633" s="2">
        <f>IFERROR(__xludf.DUMMYFUNCTION("""COMPUTED_VALUE"""),4175.0)</f>
        <v>4175</v>
      </c>
      <c r="F633" s="2">
        <f>IFERROR(__xludf.DUMMYFUNCTION("""COMPUTED_VALUE"""),4.1261E7)</f>
        <v>41261000</v>
      </c>
      <c r="G633" s="2">
        <f t="shared" si="1"/>
        <v>62.5</v>
      </c>
    </row>
    <row r="634" ht="15.75" customHeight="1">
      <c r="A634" s="1">
        <f>IFERROR(__xludf.DUMMYFUNCTION("""COMPUTED_VALUE"""),44782.66666666667)</f>
        <v>44782.66667</v>
      </c>
      <c r="B634" s="2">
        <f>IFERROR(__xludf.DUMMYFUNCTION("""COMPUTED_VALUE"""),4212.5)</f>
        <v>4212.5</v>
      </c>
      <c r="C634" s="2">
        <f>IFERROR(__xludf.DUMMYFUNCTION("""COMPUTED_VALUE"""),4300.0)</f>
        <v>4300</v>
      </c>
      <c r="D634" s="2">
        <f>IFERROR(__xludf.DUMMYFUNCTION("""COMPUTED_VALUE"""),4200.0)</f>
        <v>4200</v>
      </c>
      <c r="E634" s="2">
        <f>IFERROR(__xludf.DUMMYFUNCTION("""COMPUTED_VALUE"""),4237.5)</f>
        <v>4237.5</v>
      </c>
      <c r="F634" s="2">
        <f>IFERROR(__xludf.DUMMYFUNCTION("""COMPUTED_VALUE"""),5.85741E7)</f>
        <v>58574100</v>
      </c>
      <c r="G634" s="2">
        <f t="shared" si="1"/>
        <v>125</v>
      </c>
    </row>
    <row r="635" ht="15.75" customHeight="1">
      <c r="A635" s="1">
        <f>IFERROR(__xludf.DUMMYFUNCTION("""COMPUTED_VALUE"""),44783.66666666667)</f>
        <v>44783.66667</v>
      </c>
      <c r="B635" s="2">
        <f>IFERROR(__xludf.DUMMYFUNCTION("""COMPUTED_VALUE"""),4175.0)</f>
        <v>4175</v>
      </c>
      <c r="C635" s="2">
        <f>IFERROR(__xludf.DUMMYFUNCTION("""COMPUTED_VALUE"""),4300.0)</f>
        <v>4300</v>
      </c>
      <c r="D635" s="2">
        <f>IFERROR(__xludf.DUMMYFUNCTION("""COMPUTED_VALUE"""),4125.0)</f>
        <v>4125</v>
      </c>
      <c r="E635" s="2">
        <f>IFERROR(__xludf.DUMMYFUNCTION("""COMPUTED_VALUE"""),4300.0)</f>
        <v>4300</v>
      </c>
      <c r="F635" s="2">
        <f>IFERROR(__xludf.DUMMYFUNCTION("""COMPUTED_VALUE"""),3.99751E7)</f>
        <v>39975100</v>
      </c>
      <c r="G635" s="2">
        <f t="shared" si="1"/>
        <v>175</v>
      </c>
    </row>
    <row r="636" ht="15.75" customHeight="1">
      <c r="A636" s="1">
        <f>IFERROR(__xludf.DUMMYFUNCTION("""COMPUTED_VALUE"""),44784.66666666667)</f>
        <v>44784.66667</v>
      </c>
      <c r="B636" s="2">
        <f>IFERROR(__xludf.DUMMYFUNCTION("""COMPUTED_VALUE"""),4312.5)</f>
        <v>4312.5</v>
      </c>
      <c r="C636" s="2">
        <f>IFERROR(__xludf.DUMMYFUNCTION("""COMPUTED_VALUE"""),4337.5)</f>
        <v>4337.5</v>
      </c>
      <c r="D636" s="2">
        <f>IFERROR(__xludf.DUMMYFUNCTION("""COMPUTED_VALUE"""),4212.5)</f>
        <v>4212.5</v>
      </c>
      <c r="E636" s="2">
        <f>IFERROR(__xludf.DUMMYFUNCTION("""COMPUTED_VALUE"""),4262.5)</f>
        <v>4262.5</v>
      </c>
      <c r="F636" s="2">
        <f>IFERROR(__xludf.DUMMYFUNCTION("""COMPUTED_VALUE"""),5.33137E7)</f>
        <v>53313700</v>
      </c>
      <c r="G636" s="2">
        <f t="shared" si="1"/>
        <v>125</v>
      </c>
    </row>
    <row r="637" ht="15.75" customHeight="1">
      <c r="A637" s="1">
        <f>IFERROR(__xludf.DUMMYFUNCTION("""COMPUTED_VALUE"""),44785.66666666667)</f>
        <v>44785.66667</v>
      </c>
      <c r="B637" s="2">
        <f>IFERROR(__xludf.DUMMYFUNCTION("""COMPUTED_VALUE"""),4262.5)</f>
        <v>4262.5</v>
      </c>
      <c r="C637" s="2">
        <f>IFERROR(__xludf.DUMMYFUNCTION("""COMPUTED_VALUE"""),4287.5)</f>
        <v>4287.5</v>
      </c>
      <c r="D637" s="2">
        <f>IFERROR(__xludf.DUMMYFUNCTION("""COMPUTED_VALUE"""),4212.5)</f>
        <v>4212.5</v>
      </c>
      <c r="E637" s="2">
        <f>IFERROR(__xludf.DUMMYFUNCTION("""COMPUTED_VALUE"""),4237.5)</f>
        <v>4237.5</v>
      </c>
      <c r="F637" s="2">
        <f>IFERROR(__xludf.DUMMYFUNCTION("""COMPUTED_VALUE"""),3.13131E7)</f>
        <v>31313100</v>
      </c>
      <c r="G637" s="2">
        <f t="shared" si="1"/>
        <v>75</v>
      </c>
    </row>
    <row r="638" ht="15.75" customHeight="1">
      <c r="A638" s="1">
        <f>IFERROR(__xludf.DUMMYFUNCTION("""COMPUTED_VALUE"""),44788.66666666667)</f>
        <v>44788.66667</v>
      </c>
      <c r="B638" s="2">
        <f>IFERROR(__xludf.DUMMYFUNCTION("""COMPUTED_VALUE"""),4225.0)</f>
        <v>4225</v>
      </c>
      <c r="C638" s="2">
        <f>IFERROR(__xludf.DUMMYFUNCTION("""COMPUTED_VALUE"""),4275.0)</f>
        <v>4275</v>
      </c>
      <c r="D638" s="2">
        <f>IFERROR(__xludf.DUMMYFUNCTION("""COMPUTED_VALUE"""),4200.0)</f>
        <v>4200</v>
      </c>
      <c r="E638" s="2">
        <f>IFERROR(__xludf.DUMMYFUNCTION("""COMPUTED_VALUE"""),4225.0)</f>
        <v>4225</v>
      </c>
      <c r="F638" s="2">
        <f>IFERROR(__xludf.DUMMYFUNCTION("""COMPUTED_VALUE"""),2.22324E7)</f>
        <v>22232400</v>
      </c>
      <c r="G638" s="2">
        <f t="shared" si="1"/>
        <v>75</v>
      </c>
    </row>
    <row r="639" ht="15.75" customHeight="1">
      <c r="A639" s="1">
        <f>IFERROR(__xludf.DUMMYFUNCTION("""COMPUTED_VALUE"""),44789.66666666667)</f>
        <v>44789.66667</v>
      </c>
      <c r="B639" s="2">
        <f>IFERROR(__xludf.DUMMYFUNCTION("""COMPUTED_VALUE"""),4275.0)</f>
        <v>4275</v>
      </c>
      <c r="C639" s="2">
        <f>IFERROR(__xludf.DUMMYFUNCTION("""COMPUTED_VALUE"""),4325.0)</f>
        <v>4325</v>
      </c>
      <c r="D639" s="2">
        <f>IFERROR(__xludf.DUMMYFUNCTION("""COMPUTED_VALUE"""),4237.5)</f>
        <v>4237.5</v>
      </c>
      <c r="E639" s="2">
        <f>IFERROR(__xludf.DUMMYFUNCTION("""COMPUTED_VALUE"""),4262.5)</f>
        <v>4262.5</v>
      </c>
      <c r="F639" s="2">
        <f>IFERROR(__xludf.DUMMYFUNCTION("""COMPUTED_VALUE"""),5.46302E7)</f>
        <v>54630200</v>
      </c>
      <c r="G639" s="2">
        <f t="shared" si="1"/>
        <v>100</v>
      </c>
    </row>
    <row r="640" ht="15.75" customHeight="1">
      <c r="A640" s="1">
        <f>IFERROR(__xludf.DUMMYFUNCTION("""COMPUTED_VALUE"""),44791.66666666667)</f>
        <v>44791.66667</v>
      </c>
      <c r="B640" s="2">
        <f>IFERROR(__xludf.DUMMYFUNCTION("""COMPUTED_VALUE"""),4387.5)</f>
        <v>4387.5</v>
      </c>
      <c r="C640" s="2">
        <f>IFERROR(__xludf.DUMMYFUNCTION("""COMPUTED_VALUE"""),4400.0)</f>
        <v>4400</v>
      </c>
      <c r="D640" s="2">
        <f>IFERROR(__xludf.DUMMYFUNCTION("""COMPUTED_VALUE"""),4287.5)</f>
        <v>4287.5</v>
      </c>
      <c r="E640" s="2">
        <f>IFERROR(__xludf.DUMMYFUNCTION("""COMPUTED_VALUE"""),4300.0)</f>
        <v>4300</v>
      </c>
      <c r="F640" s="2">
        <f>IFERROR(__xludf.DUMMYFUNCTION("""COMPUTED_VALUE"""),5.83466E7)</f>
        <v>58346600</v>
      </c>
      <c r="G640" s="2">
        <f t="shared" si="1"/>
        <v>137.5</v>
      </c>
    </row>
    <row r="641" ht="15.75" customHeight="1">
      <c r="A641" s="1">
        <f>IFERROR(__xludf.DUMMYFUNCTION("""COMPUTED_VALUE"""),44792.66666666667)</f>
        <v>44792.66667</v>
      </c>
      <c r="B641" s="2">
        <f>IFERROR(__xludf.DUMMYFUNCTION("""COMPUTED_VALUE"""),4300.0)</f>
        <v>4300</v>
      </c>
      <c r="C641" s="2">
        <f>IFERROR(__xludf.DUMMYFUNCTION("""COMPUTED_VALUE"""),4325.0)</f>
        <v>4325</v>
      </c>
      <c r="D641" s="2">
        <f>IFERROR(__xludf.DUMMYFUNCTION("""COMPUTED_VALUE"""),4250.0)</f>
        <v>4250</v>
      </c>
      <c r="E641" s="2">
        <f>IFERROR(__xludf.DUMMYFUNCTION("""COMPUTED_VALUE"""),4250.0)</f>
        <v>4250</v>
      </c>
      <c r="F641" s="2">
        <f>IFERROR(__xludf.DUMMYFUNCTION("""COMPUTED_VALUE"""),2.41451E7)</f>
        <v>24145100</v>
      </c>
      <c r="G641" s="2">
        <f t="shared" si="1"/>
        <v>75</v>
      </c>
    </row>
    <row r="642" ht="15.75" customHeight="1">
      <c r="A642" s="1">
        <f>IFERROR(__xludf.DUMMYFUNCTION("""COMPUTED_VALUE"""),44795.66666666667)</f>
        <v>44795.66667</v>
      </c>
      <c r="B642" s="2">
        <f>IFERROR(__xludf.DUMMYFUNCTION("""COMPUTED_VALUE"""),4212.5)</f>
        <v>4212.5</v>
      </c>
      <c r="C642" s="2">
        <f>IFERROR(__xludf.DUMMYFUNCTION("""COMPUTED_VALUE"""),4275.0)</f>
        <v>4275</v>
      </c>
      <c r="D642" s="2">
        <f>IFERROR(__xludf.DUMMYFUNCTION("""COMPUTED_VALUE"""),4175.0)</f>
        <v>4175</v>
      </c>
      <c r="E642" s="2">
        <f>IFERROR(__xludf.DUMMYFUNCTION("""COMPUTED_VALUE"""),4262.5)</f>
        <v>4262.5</v>
      </c>
      <c r="F642" s="2">
        <f>IFERROR(__xludf.DUMMYFUNCTION("""COMPUTED_VALUE"""),6.06999E7)</f>
        <v>60699900</v>
      </c>
      <c r="G642" s="2">
        <f t="shared" si="1"/>
        <v>100</v>
      </c>
    </row>
    <row r="643" ht="15.75" customHeight="1">
      <c r="A643" s="1">
        <f>IFERROR(__xludf.DUMMYFUNCTION("""COMPUTED_VALUE"""),44796.66666666667)</f>
        <v>44796.66667</v>
      </c>
      <c r="B643" s="2">
        <f>IFERROR(__xludf.DUMMYFUNCTION("""COMPUTED_VALUE"""),4250.0)</f>
        <v>4250</v>
      </c>
      <c r="C643" s="2">
        <f>IFERROR(__xludf.DUMMYFUNCTION("""COMPUTED_VALUE"""),4337.5)</f>
        <v>4337.5</v>
      </c>
      <c r="D643" s="2">
        <f>IFERROR(__xludf.DUMMYFUNCTION("""COMPUTED_VALUE"""),4225.0)</f>
        <v>4225</v>
      </c>
      <c r="E643" s="2">
        <f>IFERROR(__xludf.DUMMYFUNCTION("""COMPUTED_VALUE"""),4312.5)</f>
        <v>4312.5</v>
      </c>
      <c r="F643" s="2">
        <f>IFERROR(__xludf.DUMMYFUNCTION("""COMPUTED_VALUE"""),4.77767E7)</f>
        <v>47776700</v>
      </c>
      <c r="G643" s="2">
        <f t="shared" si="1"/>
        <v>112.5</v>
      </c>
    </row>
    <row r="644" ht="15.75" customHeight="1">
      <c r="A644" s="1">
        <f>IFERROR(__xludf.DUMMYFUNCTION("""COMPUTED_VALUE"""),44797.66666666667)</f>
        <v>44797.66667</v>
      </c>
      <c r="B644" s="2">
        <f>IFERROR(__xludf.DUMMYFUNCTION("""COMPUTED_VALUE"""),4300.0)</f>
        <v>4300</v>
      </c>
      <c r="C644" s="2">
        <f>IFERROR(__xludf.DUMMYFUNCTION("""COMPUTED_VALUE"""),4350.0)</f>
        <v>4350</v>
      </c>
      <c r="D644" s="2">
        <f>IFERROR(__xludf.DUMMYFUNCTION("""COMPUTED_VALUE"""),4275.0)</f>
        <v>4275</v>
      </c>
      <c r="E644" s="2">
        <f>IFERROR(__xludf.DUMMYFUNCTION("""COMPUTED_VALUE"""),4312.5)</f>
        <v>4312.5</v>
      </c>
      <c r="F644" s="2">
        <f>IFERROR(__xludf.DUMMYFUNCTION("""COMPUTED_VALUE"""),3.04791E7)</f>
        <v>30479100</v>
      </c>
      <c r="G644" s="2">
        <f t="shared" si="1"/>
        <v>75</v>
      </c>
    </row>
    <row r="645" ht="15.75" customHeight="1">
      <c r="A645" s="1">
        <f>IFERROR(__xludf.DUMMYFUNCTION("""COMPUTED_VALUE"""),44798.66666666667)</f>
        <v>44798.66667</v>
      </c>
      <c r="B645" s="2">
        <f>IFERROR(__xludf.DUMMYFUNCTION("""COMPUTED_VALUE"""),4275.0)</f>
        <v>4275</v>
      </c>
      <c r="C645" s="2">
        <f>IFERROR(__xludf.DUMMYFUNCTION("""COMPUTED_VALUE"""),4312.5)</f>
        <v>4312.5</v>
      </c>
      <c r="D645" s="2">
        <f>IFERROR(__xludf.DUMMYFUNCTION("""COMPUTED_VALUE"""),4212.5)</f>
        <v>4212.5</v>
      </c>
      <c r="E645" s="2">
        <f>IFERROR(__xludf.DUMMYFUNCTION("""COMPUTED_VALUE"""),4287.5)</f>
        <v>4287.5</v>
      </c>
      <c r="F645" s="2">
        <f>IFERROR(__xludf.DUMMYFUNCTION("""COMPUTED_VALUE"""),3.86274E7)</f>
        <v>38627400</v>
      </c>
      <c r="G645" s="2">
        <f t="shared" si="1"/>
        <v>100</v>
      </c>
    </row>
    <row r="646" ht="15.75" customHeight="1">
      <c r="A646" s="1">
        <f>IFERROR(__xludf.DUMMYFUNCTION("""COMPUTED_VALUE"""),44799.66666666667)</f>
        <v>44799.66667</v>
      </c>
      <c r="B646" s="2">
        <f>IFERROR(__xludf.DUMMYFUNCTION("""COMPUTED_VALUE"""),4312.5)</f>
        <v>4312.5</v>
      </c>
      <c r="C646" s="2">
        <f>IFERROR(__xludf.DUMMYFUNCTION("""COMPUTED_VALUE"""),4325.0)</f>
        <v>4325</v>
      </c>
      <c r="D646" s="2">
        <f>IFERROR(__xludf.DUMMYFUNCTION("""COMPUTED_VALUE"""),4250.0)</f>
        <v>4250</v>
      </c>
      <c r="E646" s="2">
        <f>IFERROR(__xludf.DUMMYFUNCTION("""COMPUTED_VALUE"""),4250.0)</f>
        <v>4250</v>
      </c>
      <c r="F646" s="2">
        <f>IFERROR(__xludf.DUMMYFUNCTION("""COMPUTED_VALUE"""),4.11783E7)</f>
        <v>41178300</v>
      </c>
      <c r="G646" s="2">
        <f t="shared" si="1"/>
        <v>75</v>
      </c>
    </row>
    <row r="647" ht="15.75" customHeight="1">
      <c r="A647" s="1">
        <f>IFERROR(__xludf.DUMMYFUNCTION("""COMPUTED_VALUE"""),44802.66666666667)</f>
        <v>44802.66667</v>
      </c>
      <c r="B647" s="2">
        <f>IFERROR(__xludf.DUMMYFUNCTION("""COMPUTED_VALUE"""),4200.0)</f>
        <v>4200</v>
      </c>
      <c r="C647" s="2">
        <f>IFERROR(__xludf.DUMMYFUNCTION("""COMPUTED_VALUE"""),4300.0)</f>
        <v>4300</v>
      </c>
      <c r="D647" s="2">
        <f>IFERROR(__xludf.DUMMYFUNCTION("""COMPUTED_VALUE"""),4175.0)</f>
        <v>4175</v>
      </c>
      <c r="E647" s="2">
        <f>IFERROR(__xludf.DUMMYFUNCTION("""COMPUTED_VALUE"""),4275.0)</f>
        <v>4275</v>
      </c>
      <c r="F647" s="2">
        <f>IFERROR(__xludf.DUMMYFUNCTION("""COMPUTED_VALUE"""),3.13419E7)</f>
        <v>31341900</v>
      </c>
      <c r="G647" s="2">
        <f t="shared" si="1"/>
        <v>125</v>
      </c>
    </row>
    <row r="648" ht="15.75" customHeight="1">
      <c r="A648" s="1">
        <f>IFERROR(__xludf.DUMMYFUNCTION("""COMPUTED_VALUE"""),44803.66666666667)</f>
        <v>44803.66667</v>
      </c>
      <c r="B648" s="2">
        <f>IFERROR(__xludf.DUMMYFUNCTION("""COMPUTED_VALUE"""),4312.5)</f>
        <v>4312.5</v>
      </c>
      <c r="C648" s="2">
        <f>IFERROR(__xludf.DUMMYFUNCTION("""COMPUTED_VALUE"""),4375.0)</f>
        <v>4375</v>
      </c>
      <c r="D648" s="2">
        <f>IFERROR(__xludf.DUMMYFUNCTION("""COMPUTED_VALUE"""),4287.5)</f>
        <v>4287.5</v>
      </c>
      <c r="E648" s="2">
        <f>IFERROR(__xludf.DUMMYFUNCTION("""COMPUTED_VALUE"""),4325.0)</f>
        <v>4325</v>
      </c>
      <c r="F648" s="2">
        <f>IFERROR(__xludf.DUMMYFUNCTION("""COMPUTED_VALUE"""),5.48247E7)</f>
        <v>54824700</v>
      </c>
      <c r="G648" s="2">
        <f t="shared" si="1"/>
        <v>100</v>
      </c>
    </row>
    <row r="649" ht="15.75" customHeight="1">
      <c r="A649" s="1">
        <f>IFERROR(__xludf.DUMMYFUNCTION("""COMPUTED_VALUE"""),44804.66666666667)</f>
        <v>44804.66667</v>
      </c>
      <c r="B649" s="2">
        <f>IFERROR(__xludf.DUMMYFUNCTION("""COMPUTED_VALUE"""),4250.0)</f>
        <v>4250</v>
      </c>
      <c r="C649" s="2">
        <f>IFERROR(__xludf.DUMMYFUNCTION("""COMPUTED_VALUE"""),4425.0)</f>
        <v>4425</v>
      </c>
      <c r="D649" s="2">
        <f>IFERROR(__xludf.DUMMYFUNCTION("""COMPUTED_VALUE"""),4225.0)</f>
        <v>4225</v>
      </c>
      <c r="E649" s="2">
        <f>IFERROR(__xludf.DUMMYFUNCTION("""COMPUTED_VALUE"""),4425.0)</f>
        <v>4425</v>
      </c>
      <c r="F649" s="2">
        <f>IFERROR(__xludf.DUMMYFUNCTION("""COMPUTED_VALUE"""),7.58158E7)</f>
        <v>75815800</v>
      </c>
      <c r="G649" s="2">
        <f t="shared" si="1"/>
        <v>200</v>
      </c>
    </row>
    <row r="650" ht="15.75" customHeight="1">
      <c r="A650" s="1">
        <f>IFERROR(__xludf.DUMMYFUNCTION("""COMPUTED_VALUE"""),44805.625)</f>
        <v>44805.625</v>
      </c>
      <c r="B650" s="2">
        <f>IFERROR(__xludf.DUMMYFUNCTION("""COMPUTED_VALUE"""),4425.0)</f>
        <v>4425</v>
      </c>
      <c r="C650" s="2">
        <f>IFERROR(__xludf.DUMMYFUNCTION("""COMPUTED_VALUE"""),4475.0)</f>
        <v>4475</v>
      </c>
      <c r="D650" s="2">
        <f>IFERROR(__xludf.DUMMYFUNCTION("""COMPUTED_VALUE"""),4337.5)</f>
        <v>4337.5</v>
      </c>
      <c r="E650" s="2">
        <f>IFERROR(__xludf.DUMMYFUNCTION("""COMPUTED_VALUE"""),4462.5)</f>
        <v>4462.5</v>
      </c>
      <c r="F650" s="2">
        <f>IFERROR(__xludf.DUMMYFUNCTION("""COMPUTED_VALUE"""),6.04839E7)</f>
        <v>60483900</v>
      </c>
      <c r="G650" s="2">
        <f t="shared" si="1"/>
        <v>137.5</v>
      </c>
    </row>
    <row r="651" ht="15.75" customHeight="1">
      <c r="A651" s="1">
        <f>IFERROR(__xludf.DUMMYFUNCTION("""COMPUTED_VALUE"""),44806.625)</f>
        <v>44806.625</v>
      </c>
      <c r="B651" s="2">
        <f>IFERROR(__xludf.DUMMYFUNCTION("""COMPUTED_VALUE"""),4487.5)</f>
        <v>4487.5</v>
      </c>
      <c r="C651" s="2">
        <f>IFERROR(__xludf.DUMMYFUNCTION("""COMPUTED_VALUE"""),4500.0)</f>
        <v>4500</v>
      </c>
      <c r="D651" s="2">
        <f>IFERROR(__xludf.DUMMYFUNCTION("""COMPUTED_VALUE"""),4362.5)</f>
        <v>4362.5</v>
      </c>
      <c r="E651" s="2">
        <f>IFERROR(__xludf.DUMMYFUNCTION("""COMPUTED_VALUE"""),4425.0)</f>
        <v>4425</v>
      </c>
      <c r="F651" s="2">
        <f>IFERROR(__xludf.DUMMYFUNCTION("""COMPUTED_VALUE"""),4.50223E7)</f>
        <v>45022300</v>
      </c>
      <c r="G651" s="2">
        <f t="shared" si="1"/>
        <v>137.5</v>
      </c>
    </row>
    <row r="652" ht="15.75" customHeight="1">
      <c r="A652" s="1">
        <f>IFERROR(__xludf.DUMMYFUNCTION("""COMPUTED_VALUE"""),44809.66666666667)</f>
        <v>44809.66667</v>
      </c>
      <c r="B652" s="2">
        <f>IFERROR(__xludf.DUMMYFUNCTION("""COMPUTED_VALUE"""),4425.0)</f>
        <v>4425</v>
      </c>
      <c r="C652" s="2">
        <f>IFERROR(__xludf.DUMMYFUNCTION("""COMPUTED_VALUE"""),4500.0)</f>
        <v>4500</v>
      </c>
      <c r="D652" s="2">
        <f>IFERROR(__xludf.DUMMYFUNCTION("""COMPUTED_VALUE"""),4400.0)</f>
        <v>4400</v>
      </c>
      <c r="E652" s="2">
        <f>IFERROR(__xludf.DUMMYFUNCTION("""COMPUTED_VALUE"""),4475.0)</f>
        <v>4475</v>
      </c>
      <c r="F652" s="2">
        <f>IFERROR(__xludf.DUMMYFUNCTION("""COMPUTED_VALUE"""),3.02455E7)</f>
        <v>30245500</v>
      </c>
      <c r="G652" s="2">
        <f t="shared" si="1"/>
        <v>100</v>
      </c>
    </row>
    <row r="653" ht="15.75" customHeight="1">
      <c r="A653" s="1">
        <f>IFERROR(__xludf.DUMMYFUNCTION("""COMPUTED_VALUE"""),44810.66666666667)</f>
        <v>44810.66667</v>
      </c>
      <c r="B653" s="2">
        <f>IFERROR(__xludf.DUMMYFUNCTION("""COMPUTED_VALUE"""),4487.5)</f>
        <v>4487.5</v>
      </c>
      <c r="C653" s="2">
        <f>IFERROR(__xludf.DUMMYFUNCTION("""COMPUTED_VALUE"""),4500.0)</f>
        <v>4500</v>
      </c>
      <c r="D653" s="2">
        <f>IFERROR(__xludf.DUMMYFUNCTION("""COMPUTED_VALUE"""),4400.0)</f>
        <v>4400</v>
      </c>
      <c r="E653" s="2">
        <f>IFERROR(__xludf.DUMMYFUNCTION("""COMPUTED_VALUE"""),4412.5)</f>
        <v>4412.5</v>
      </c>
      <c r="F653" s="2">
        <f>IFERROR(__xludf.DUMMYFUNCTION("""COMPUTED_VALUE"""),3.26481E7)</f>
        <v>32648100</v>
      </c>
      <c r="G653" s="2">
        <f t="shared" si="1"/>
        <v>100</v>
      </c>
    </row>
    <row r="654" ht="15.75" customHeight="1">
      <c r="A654" s="1">
        <f>IFERROR(__xludf.DUMMYFUNCTION("""COMPUTED_VALUE"""),44811.66666666667)</f>
        <v>44811.66667</v>
      </c>
      <c r="B654" s="2">
        <f>IFERROR(__xludf.DUMMYFUNCTION("""COMPUTED_VALUE"""),4387.5)</f>
        <v>4387.5</v>
      </c>
      <c r="C654" s="2">
        <f>IFERROR(__xludf.DUMMYFUNCTION("""COMPUTED_VALUE"""),4437.5)</f>
        <v>4437.5</v>
      </c>
      <c r="D654" s="2">
        <f>IFERROR(__xludf.DUMMYFUNCTION("""COMPUTED_VALUE"""),4362.5)</f>
        <v>4362.5</v>
      </c>
      <c r="E654" s="2">
        <f>IFERROR(__xludf.DUMMYFUNCTION("""COMPUTED_VALUE"""),4437.5)</f>
        <v>4437.5</v>
      </c>
      <c r="F654" s="2">
        <f>IFERROR(__xludf.DUMMYFUNCTION("""COMPUTED_VALUE"""),4.88857E7)</f>
        <v>48885700</v>
      </c>
      <c r="G654" s="2">
        <f t="shared" si="1"/>
        <v>75</v>
      </c>
    </row>
    <row r="655" ht="15.75" customHeight="1">
      <c r="A655" s="1">
        <f>IFERROR(__xludf.DUMMYFUNCTION("""COMPUTED_VALUE"""),44812.66666666667)</f>
        <v>44812.66667</v>
      </c>
      <c r="B655" s="2">
        <f>IFERROR(__xludf.DUMMYFUNCTION("""COMPUTED_VALUE"""),4450.0)</f>
        <v>4450</v>
      </c>
      <c r="C655" s="2">
        <f>IFERROR(__xludf.DUMMYFUNCTION("""COMPUTED_VALUE"""),4550.0)</f>
        <v>4550</v>
      </c>
      <c r="D655" s="2">
        <f>IFERROR(__xludf.DUMMYFUNCTION("""COMPUTED_VALUE"""),4412.5)</f>
        <v>4412.5</v>
      </c>
      <c r="E655" s="2">
        <f>IFERROR(__xludf.DUMMYFUNCTION("""COMPUTED_VALUE"""),4475.0)</f>
        <v>4475</v>
      </c>
      <c r="F655" s="2">
        <f>IFERROR(__xludf.DUMMYFUNCTION("""COMPUTED_VALUE"""),4.84655E7)</f>
        <v>48465500</v>
      </c>
      <c r="G655" s="2">
        <f t="shared" si="1"/>
        <v>137.5</v>
      </c>
    </row>
    <row r="656" ht="15.75" customHeight="1">
      <c r="A656" s="1">
        <f>IFERROR(__xludf.DUMMYFUNCTION("""COMPUTED_VALUE"""),44813.66666666667)</f>
        <v>44813.66667</v>
      </c>
      <c r="B656" s="2">
        <f>IFERROR(__xludf.DUMMYFUNCTION("""COMPUTED_VALUE"""),4537.5)</f>
        <v>4537.5</v>
      </c>
      <c r="C656" s="2">
        <f>IFERROR(__xludf.DUMMYFUNCTION("""COMPUTED_VALUE"""),4550.0)</f>
        <v>4550</v>
      </c>
      <c r="D656" s="2">
        <f>IFERROR(__xludf.DUMMYFUNCTION("""COMPUTED_VALUE"""),4475.0)</f>
        <v>4475</v>
      </c>
      <c r="E656" s="2">
        <f>IFERROR(__xludf.DUMMYFUNCTION("""COMPUTED_VALUE"""),4537.5)</f>
        <v>4537.5</v>
      </c>
      <c r="F656" s="2">
        <f>IFERROR(__xludf.DUMMYFUNCTION("""COMPUTED_VALUE"""),6.42554E7)</f>
        <v>64255400</v>
      </c>
      <c r="G656" s="2">
        <f t="shared" si="1"/>
        <v>75</v>
      </c>
    </row>
    <row r="657" ht="15.75" customHeight="1">
      <c r="A657" s="1">
        <f>IFERROR(__xludf.DUMMYFUNCTION("""COMPUTED_VALUE"""),44816.66666666667)</f>
        <v>44816.66667</v>
      </c>
      <c r="B657" s="2">
        <f>IFERROR(__xludf.DUMMYFUNCTION("""COMPUTED_VALUE"""),4575.0)</f>
        <v>4575</v>
      </c>
      <c r="C657" s="2">
        <f>IFERROR(__xludf.DUMMYFUNCTION("""COMPUTED_VALUE"""),4600.0)</f>
        <v>4600</v>
      </c>
      <c r="D657" s="2">
        <f>IFERROR(__xludf.DUMMYFUNCTION("""COMPUTED_VALUE"""),4537.5)</f>
        <v>4537.5</v>
      </c>
      <c r="E657" s="2">
        <f>IFERROR(__xludf.DUMMYFUNCTION("""COMPUTED_VALUE"""),4587.5)</f>
        <v>4587.5</v>
      </c>
      <c r="F657" s="2">
        <f>IFERROR(__xludf.DUMMYFUNCTION("""COMPUTED_VALUE"""),5.54095E7)</f>
        <v>55409500</v>
      </c>
      <c r="G657" s="2">
        <f t="shared" si="1"/>
        <v>62.5</v>
      </c>
    </row>
    <row r="658" ht="15.75" customHeight="1">
      <c r="A658" s="1">
        <f>IFERROR(__xludf.DUMMYFUNCTION("""COMPUTED_VALUE"""),44817.66666666667)</f>
        <v>44817.66667</v>
      </c>
      <c r="B658" s="2">
        <f>IFERROR(__xludf.DUMMYFUNCTION("""COMPUTED_VALUE"""),4625.0)</f>
        <v>4625</v>
      </c>
      <c r="C658" s="2">
        <f>IFERROR(__xludf.DUMMYFUNCTION("""COMPUTED_VALUE"""),4750.0)</f>
        <v>4750</v>
      </c>
      <c r="D658" s="2">
        <f>IFERROR(__xludf.DUMMYFUNCTION("""COMPUTED_VALUE"""),4612.5)</f>
        <v>4612.5</v>
      </c>
      <c r="E658" s="2">
        <f>IFERROR(__xludf.DUMMYFUNCTION("""COMPUTED_VALUE"""),4725.0)</f>
        <v>4725</v>
      </c>
      <c r="F658" s="2">
        <f>IFERROR(__xludf.DUMMYFUNCTION("""COMPUTED_VALUE"""),9.27439E7)</f>
        <v>92743900</v>
      </c>
      <c r="G658" s="2">
        <f t="shared" si="1"/>
        <v>162.5</v>
      </c>
    </row>
    <row r="659" ht="15.75" customHeight="1">
      <c r="A659" s="1">
        <f>IFERROR(__xludf.DUMMYFUNCTION("""COMPUTED_VALUE"""),44818.66666666667)</f>
        <v>44818.66667</v>
      </c>
      <c r="B659" s="2">
        <f>IFERROR(__xludf.DUMMYFUNCTION("""COMPUTED_VALUE"""),4637.5)</f>
        <v>4637.5</v>
      </c>
      <c r="C659" s="2">
        <f>IFERROR(__xludf.DUMMYFUNCTION("""COMPUTED_VALUE"""),4700.0)</f>
        <v>4700</v>
      </c>
      <c r="D659" s="2">
        <f>IFERROR(__xludf.DUMMYFUNCTION("""COMPUTED_VALUE"""),4600.0)</f>
        <v>4600</v>
      </c>
      <c r="E659" s="2">
        <f>IFERROR(__xludf.DUMMYFUNCTION("""COMPUTED_VALUE"""),4650.0)</f>
        <v>4650</v>
      </c>
      <c r="F659" s="2">
        <f>IFERROR(__xludf.DUMMYFUNCTION("""COMPUTED_VALUE"""),5.98156E7)</f>
        <v>59815600</v>
      </c>
      <c r="G659" s="2">
        <f t="shared" si="1"/>
        <v>125</v>
      </c>
    </row>
    <row r="660" ht="15.75" customHeight="1">
      <c r="A660" s="1">
        <f>IFERROR(__xludf.DUMMYFUNCTION("""COMPUTED_VALUE"""),44819.66666666667)</f>
        <v>44819.66667</v>
      </c>
      <c r="B660" s="2">
        <f>IFERROR(__xludf.DUMMYFUNCTION("""COMPUTED_VALUE"""),4700.0)</f>
        <v>4700</v>
      </c>
      <c r="C660" s="2">
        <f>IFERROR(__xludf.DUMMYFUNCTION("""COMPUTED_VALUE"""),4750.0)</f>
        <v>4750</v>
      </c>
      <c r="D660" s="2">
        <f>IFERROR(__xludf.DUMMYFUNCTION("""COMPUTED_VALUE"""),4650.0)</f>
        <v>4650</v>
      </c>
      <c r="E660" s="2">
        <f>IFERROR(__xludf.DUMMYFUNCTION("""COMPUTED_VALUE"""),4675.0)</f>
        <v>4675</v>
      </c>
      <c r="F660" s="2">
        <f>IFERROR(__xludf.DUMMYFUNCTION("""COMPUTED_VALUE"""),7.83753E7)</f>
        <v>78375300</v>
      </c>
      <c r="G660" s="2">
        <f t="shared" si="1"/>
        <v>100</v>
      </c>
    </row>
    <row r="661" ht="15.75" customHeight="1">
      <c r="A661" s="1">
        <f>IFERROR(__xludf.DUMMYFUNCTION("""COMPUTED_VALUE"""),44820.66666666667)</f>
        <v>44820.66667</v>
      </c>
      <c r="B661" s="2">
        <f>IFERROR(__xludf.DUMMYFUNCTION("""COMPUTED_VALUE"""),4637.5)</f>
        <v>4637.5</v>
      </c>
      <c r="C661" s="2">
        <f>IFERROR(__xludf.DUMMYFUNCTION("""COMPUTED_VALUE"""),4650.0)</f>
        <v>4650</v>
      </c>
      <c r="D661" s="2">
        <f>IFERROR(__xludf.DUMMYFUNCTION("""COMPUTED_VALUE"""),4512.5)</f>
        <v>4512.5</v>
      </c>
      <c r="E661" s="2">
        <f>IFERROR(__xludf.DUMMYFUNCTION("""COMPUTED_VALUE"""),4550.0)</f>
        <v>4550</v>
      </c>
      <c r="F661" s="2">
        <f>IFERROR(__xludf.DUMMYFUNCTION("""COMPUTED_VALUE"""),8.39063E7)</f>
        <v>83906300</v>
      </c>
      <c r="G661" s="2">
        <f t="shared" si="1"/>
        <v>162.5</v>
      </c>
    </row>
    <row r="662" ht="15.75" customHeight="1">
      <c r="A662" s="1">
        <f>IFERROR(__xludf.DUMMYFUNCTION("""COMPUTED_VALUE"""),44823.66666666667)</f>
        <v>44823.66667</v>
      </c>
      <c r="B662" s="2">
        <f>IFERROR(__xludf.DUMMYFUNCTION("""COMPUTED_VALUE"""),4625.0)</f>
        <v>4625</v>
      </c>
      <c r="C662" s="2">
        <f>IFERROR(__xludf.DUMMYFUNCTION("""COMPUTED_VALUE"""),4650.0)</f>
        <v>4650</v>
      </c>
      <c r="D662" s="2">
        <f>IFERROR(__xludf.DUMMYFUNCTION("""COMPUTED_VALUE"""),4575.0)</f>
        <v>4575</v>
      </c>
      <c r="E662" s="2">
        <f>IFERROR(__xludf.DUMMYFUNCTION("""COMPUTED_VALUE"""),4612.5)</f>
        <v>4612.5</v>
      </c>
      <c r="F662" s="2">
        <f>IFERROR(__xludf.DUMMYFUNCTION("""COMPUTED_VALUE"""),6.86983E7)</f>
        <v>68698300</v>
      </c>
      <c r="G662" s="2">
        <f t="shared" si="1"/>
        <v>100</v>
      </c>
    </row>
    <row r="663" ht="15.75" customHeight="1">
      <c r="A663" s="1">
        <f>IFERROR(__xludf.DUMMYFUNCTION("""COMPUTED_VALUE"""),44824.66666666667)</f>
        <v>44824.66667</v>
      </c>
      <c r="B663" s="2">
        <f>IFERROR(__xludf.DUMMYFUNCTION("""COMPUTED_VALUE"""),4662.5)</f>
        <v>4662.5</v>
      </c>
      <c r="C663" s="2">
        <f>IFERROR(__xludf.DUMMYFUNCTION("""COMPUTED_VALUE"""),4687.5)</f>
        <v>4687.5</v>
      </c>
      <c r="D663" s="2">
        <f>IFERROR(__xludf.DUMMYFUNCTION("""COMPUTED_VALUE"""),4600.0)</f>
        <v>4600</v>
      </c>
      <c r="E663" s="2">
        <f>IFERROR(__xludf.DUMMYFUNCTION("""COMPUTED_VALUE"""),4600.0)</f>
        <v>4600</v>
      </c>
      <c r="F663" s="2">
        <f>IFERROR(__xludf.DUMMYFUNCTION("""COMPUTED_VALUE"""),7.03761E7)</f>
        <v>70376100</v>
      </c>
      <c r="G663" s="2">
        <f t="shared" si="1"/>
        <v>87.5</v>
      </c>
    </row>
    <row r="664" ht="15.75" customHeight="1">
      <c r="A664" s="1">
        <f>IFERROR(__xludf.DUMMYFUNCTION("""COMPUTED_VALUE"""),44825.66666666667)</f>
        <v>44825.66667</v>
      </c>
      <c r="B664" s="2">
        <f>IFERROR(__xludf.DUMMYFUNCTION("""COMPUTED_VALUE"""),4575.0)</f>
        <v>4575</v>
      </c>
      <c r="C664" s="2">
        <f>IFERROR(__xludf.DUMMYFUNCTION("""COMPUTED_VALUE"""),4637.5)</f>
        <v>4637.5</v>
      </c>
      <c r="D664" s="2">
        <f>IFERROR(__xludf.DUMMYFUNCTION("""COMPUTED_VALUE"""),4550.0)</f>
        <v>4550</v>
      </c>
      <c r="E664" s="2">
        <f>IFERROR(__xludf.DUMMYFUNCTION("""COMPUTED_VALUE"""),4637.5)</f>
        <v>4637.5</v>
      </c>
      <c r="F664" s="2">
        <f>IFERROR(__xludf.DUMMYFUNCTION("""COMPUTED_VALUE"""),3.55222E7)</f>
        <v>35522200</v>
      </c>
      <c r="G664" s="2">
        <f t="shared" si="1"/>
        <v>87.5</v>
      </c>
    </row>
    <row r="665" ht="15.75" customHeight="1">
      <c r="A665" s="1">
        <f>IFERROR(__xludf.DUMMYFUNCTION("""COMPUTED_VALUE"""),44826.66666666667)</f>
        <v>44826.66667</v>
      </c>
      <c r="B665" s="2">
        <f>IFERROR(__xludf.DUMMYFUNCTION("""COMPUTED_VALUE"""),4637.5)</f>
        <v>4637.5</v>
      </c>
      <c r="C665" s="2">
        <f>IFERROR(__xludf.DUMMYFUNCTION("""COMPUTED_VALUE"""),4650.0)</f>
        <v>4650</v>
      </c>
      <c r="D665" s="2">
        <f>IFERROR(__xludf.DUMMYFUNCTION("""COMPUTED_VALUE"""),4587.5)</f>
        <v>4587.5</v>
      </c>
      <c r="E665" s="2">
        <f>IFERROR(__xludf.DUMMYFUNCTION("""COMPUTED_VALUE"""),4600.0)</f>
        <v>4600</v>
      </c>
      <c r="F665" s="2">
        <f>IFERROR(__xludf.DUMMYFUNCTION("""COMPUTED_VALUE"""),4.82396E7)</f>
        <v>48239600</v>
      </c>
      <c r="G665" s="2">
        <f t="shared" si="1"/>
        <v>62.5</v>
      </c>
    </row>
    <row r="666" ht="15.75" customHeight="1">
      <c r="A666" s="1">
        <f>IFERROR(__xludf.DUMMYFUNCTION("""COMPUTED_VALUE"""),44827.66666666667)</f>
        <v>44827.66667</v>
      </c>
      <c r="B666" s="2">
        <f>IFERROR(__xludf.DUMMYFUNCTION("""COMPUTED_VALUE"""),4600.0)</f>
        <v>4600</v>
      </c>
      <c r="C666" s="2">
        <f>IFERROR(__xludf.DUMMYFUNCTION("""COMPUTED_VALUE"""),4625.0)</f>
        <v>4625</v>
      </c>
      <c r="D666" s="2">
        <f>IFERROR(__xludf.DUMMYFUNCTION("""COMPUTED_VALUE"""),4575.0)</f>
        <v>4575</v>
      </c>
      <c r="E666" s="2">
        <f>IFERROR(__xludf.DUMMYFUNCTION("""COMPUTED_VALUE"""),4600.0)</f>
        <v>4600</v>
      </c>
      <c r="F666" s="2">
        <f>IFERROR(__xludf.DUMMYFUNCTION("""COMPUTED_VALUE"""),3.09385E7)</f>
        <v>30938500</v>
      </c>
      <c r="G666" s="2">
        <f t="shared" si="1"/>
        <v>50</v>
      </c>
    </row>
    <row r="667" ht="15.75" customHeight="1">
      <c r="A667" s="1">
        <f>IFERROR(__xludf.DUMMYFUNCTION("""COMPUTED_VALUE"""),44830.66666666667)</f>
        <v>44830.66667</v>
      </c>
      <c r="B667" s="2">
        <f>IFERROR(__xludf.DUMMYFUNCTION("""COMPUTED_VALUE"""),4562.5)</f>
        <v>4562.5</v>
      </c>
      <c r="C667" s="2">
        <f>IFERROR(__xludf.DUMMYFUNCTION("""COMPUTED_VALUE"""),4687.5)</f>
        <v>4687.5</v>
      </c>
      <c r="D667" s="2">
        <f>IFERROR(__xludf.DUMMYFUNCTION("""COMPUTED_VALUE"""),4475.0)</f>
        <v>4475</v>
      </c>
      <c r="E667" s="2">
        <f>IFERROR(__xludf.DUMMYFUNCTION("""COMPUTED_VALUE"""),4625.0)</f>
        <v>4625</v>
      </c>
      <c r="F667" s="2">
        <f>IFERROR(__xludf.DUMMYFUNCTION("""COMPUTED_VALUE"""),6.68848E7)</f>
        <v>66884800</v>
      </c>
      <c r="G667" s="2">
        <f t="shared" si="1"/>
        <v>212.5</v>
      </c>
    </row>
    <row r="668" ht="15.75" customHeight="1">
      <c r="A668" s="1">
        <f>IFERROR(__xludf.DUMMYFUNCTION("""COMPUTED_VALUE"""),44831.66666666667)</f>
        <v>44831.66667</v>
      </c>
      <c r="B668" s="2">
        <f>IFERROR(__xludf.DUMMYFUNCTION("""COMPUTED_VALUE"""),4625.0)</f>
        <v>4625</v>
      </c>
      <c r="C668" s="2">
        <f>IFERROR(__xludf.DUMMYFUNCTION("""COMPUTED_VALUE"""),4675.0)</f>
        <v>4675</v>
      </c>
      <c r="D668" s="2">
        <f>IFERROR(__xludf.DUMMYFUNCTION("""COMPUTED_VALUE"""),4600.0)</f>
        <v>4600</v>
      </c>
      <c r="E668" s="2">
        <f>IFERROR(__xludf.DUMMYFUNCTION("""COMPUTED_VALUE"""),4675.0)</f>
        <v>4675</v>
      </c>
      <c r="F668" s="2">
        <f>IFERROR(__xludf.DUMMYFUNCTION("""COMPUTED_VALUE"""),6.54797E7)</f>
        <v>65479700</v>
      </c>
      <c r="G668" s="2">
        <f t="shared" si="1"/>
        <v>75</v>
      </c>
    </row>
    <row r="669" ht="15.75" customHeight="1">
      <c r="A669" s="1">
        <f>IFERROR(__xludf.DUMMYFUNCTION("""COMPUTED_VALUE"""),44832.66666666667)</f>
        <v>44832.66667</v>
      </c>
      <c r="B669" s="2">
        <f>IFERROR(__xludf.DUMMYFUNCTION("""COMPUTED_VALUE"""),4725.0)</f>
        <v>4725</v>
      </c>
      <c r="C669" s="2">
        <f>IFERROR(__xludf.DUMMYFUNCTION("""COMPUTED_VALUE"""),4800.0)</f>
        <v>4800</v>
      </c>
      <c r="D669" s="2">
        <f>IFERROR(__xludf.DUMMYFUNCTION("""COMPUTED_VALUE"""),4637.5)</f>
        <v>4637.5</v>
      </c>
      <c r="E669" s="2">
        <f>IFERROR(__xludf.DUMMYFUNCTION("""COMPUTED_VALUE"""),4650.0)</f>
        <v>4650</v>
      </c>
      <c r="F669" s="2">
        <f>IFERROR(__xludf.DUMMYFUNCTION("""COMPUTED_VALUE"""),6.65425E7)</f>
        <v>66542500</v>
      </c>
      <c r="G669" s="2">
        <f t="shared" si="1"/>
        <v>162.5</v>
      </c>
    </row>
    <row r="670" ht="15.75" customHeight="1">
      <c r="A670" s="1">
        <f>IFERROR(__xludf.DUMMYFUNCTION("""COMPUTED_VALUE"""),44833.66666666667)</f>
        <v>44833.66667</v>
      </c>
      <c r="B670" s="2">
        <f>IFERROR(__xludf.DUMMYFUNCTION("""COMPUTED_VALUE"""),4675.0)</f>
        <v>4675</v>
      </c>
      <c r="C670" s="2">
        <f>IFERROR(__xludf.DUMMYFUNCTION("""COMPUTED_VALUE"""),4687.5)</f>
        <v>4687.5</v>
      </c>
      <c r="D670" s="2">
        <f>IFERROR(__xludf.DUMMYFUNCTION("""COMPUTED_VALUE"""),4600.0)</f>
        <v>4600</v>
      </c>
      <c r="E670" s="2">
        <f>IFERROR(__xludf.DUMMYFUNCTION("""COMPUTED_VALUE"""),4625.0)</f>
        <v>4625</v>
      </c>
      <c r="F670" s="2">
        <f>IFERROR(__xludf.DUMMYFUNCTION("""COMPUTED_VALUE"""),3.39726E7)</f>
        <v>33972600</v>
      </c>
      <c r="G670" s="2">
        <f t="shared" si="1"/>
        <v>87.5</v>
      </c>
    </row>
    <row r="671" ht="15.75" customHeight="1">
      <c r="A671" s="1">
        <f>IFERROR(__xludf.DUMMYFUNCTION("""COMPUTED_VALUE"""),44834.66666666667)</f>
        <v>44834.66667</v>
      </c>
      <c r="B671" s="2">
        <f>IFERROR(__xludf.DUMMYFUNCTION("""COMPUTED_VALUE"""),4650.0)</f>
        <v>4650</v>
      </c>
      <c r="C671" s="2">
        <f>IFERROR(__xludf.DUMMYFUNCTION("""COMPUTED_VALUE"""),4712.5)</f>
        <v>4712.5</v>
      </c>
      <c r="D671" s="2">
        <f>IFERROR(__xludf.DUMMYFUNCTION("""COMPUTED_VALUE"""),4612.5)</f>
        <v>4612.5</v>
      </c>
      <c r="E671" s="2">
        <f>IFERROR(__xludf.DUMMYFUNCTION("""COMPUTED_VALUE"""),4712.5)</f>
        <v>4712.5</v>
      </c>
      <c r="F671" s="2">
        <f>IFERROR(__xludf.DUMMYFUNCTION("""COMPUTED_VALUE"""),5.67505E7)</f>
        <v>56750500</v>
      </c>
      <c r="G671" s="2">
        <f t="shared" si="1"/>
        <v>100</v>
      </c>
    </row>
    <row r="672" ht="15.75" customHeight="1">
      <c r="A672" s="1">
        <f>IFERROR(__xludf.DUMMYFUNCTION("""COMPUTED_VALUE"""),44837.66666666667)</f>
        <v>44837.66667</v>
      </c>
      <c r="B672" s="2">
        <f>IFERROR(__xludf.DUMMYFUNCTION("""COMPUTED_VALUE"""),4662.5)</f>
        <v>4662.5</v>
      </c>
      <c r="C672" s="2">
        <f>IFERROR(__xludf.DUMMYFUNCTION("""COMPUTED_VALUE"""),4687.5)</f>
        <v>4687.5</v>
      </c>
      <c r="D672" s="2">
        <f>IFERROR(__xludf.DUMMYFUNCTION("""COMPUTED_VALUE"""),4612.5)</f>
        <v>4612.5</v>
      </c>
      <c r="E672" s="2">
        <f>IFERROR(__xludf.DUMMYFUNCTION("""COMPUTED_VALUE"""),4637.5)</f>
        <v>4637.5</v>
      </c>
      <c r="F672" s="2">
        <f>IFERROR(__xludf.DUMMYFUNCTION("""COMPUTED_VALUE"""),2.73312E7)</f>
        <v>27331200</v>
      </c>
      <c r="G672" s="2">
        <f t="shared" si="1"/>
        <v>100</v>
      </c>
    </row>
    <row r="673" ht="15.75" customHeight="1">
      <c r="A673" s="1">
        <f>IFERROR(__xludf.DUMMYFUNCTION("""COMPUTED_VALUE"""),44838.66666666667)</f>
        <v>44838.66667</v>
      </c>
      <c r="B673" s="2">
        <f>IFERROR(__xludf.DUMMYFUNCTION("""COMPUTED_VALUE"""),4650.0)</f>
        <v>4650</v>
      </c>
      <c r="C673" s="2">
        <f>IFERROR(__xludf.DUMMYFUNCTION("""COMPUTED_VALUE"""),4687.5)</f>
        <v>4687.5</v>
      </c>
      <c r="D673" s="2">
        <f>IFERROR(__xludf.DUMMYFUNCTION("""COMPUTED_VALUE"""),4612.5)</f>
        <v>4612.5</v>
      </c>
      <c r="E673" s="2">
        <f>IFERROR(__xludf.DUMMYFUNCTION("""COMPUTED_VALUE"""),4612.5)</f>
        <v>4612.5</v>
      </c>
      <c r="F673" s="2">
        <f>IFERROR(__xludf.DUMMYFUNCTION("""COMPUTED_VALUE"""),4.51235E7)</f>
        <v>45123500</v>
      </c>
      <c r="G673" s="2">
        <f t="shared" si="1"/>
        <v>75</v>
      </c>
    </row>
    <row r="674" ht="15.75" customHeight="1">
      <c r="A674" s="1">
        <f>IFERROR(__xludf.DUMMYFUNCTION("""COMPUTED_VALUE"""),44839.66666666667)</f>
        <v>44839.66667</v>
      </c>
      <c r="B674" s="2">
        <f>IFERROR(__xludf.DUMMYFUNCTION("""COMPUTED_VALUE"""),4650.0)</f>
        <v>4650</v>
      </c>
      <c r="C674" s="2">
        <f>IFERROR(__xludf.DUMMYFUNCTION("""COMPUTED_VALUE"""),4737.5)</f>
        <v>4737.5</v>
      </c>
      <c r="D674" s="2">
        <f>IFERROR(__xludf.DUMMYFUNCTION("""COMPUTED_VALUE"""),4637.5)</f>
        <v>4637.5</v>
      </c>
      <c r="E674" s="2">
        <f>IFERROR(__xludf.DUMMYFUNCTION("""COMPUTED_VALUE"""),4637.5)</f>
        <v>4637.5</v>
      </c>
      <c r="F674" s="2">
        <f>IFERROR(__xludf.DUMMYFUNCTION("""COMPUTED_VALUE"""),3.79458E7)</f>
        <v>37945800</v>
      </c>
      <c r="G674" s="2">
        <f t="shared" si="1"/>
        <v>125</v>
      </c>
    </row>
    <row r="675" ht="15.75" customHeight="1">
      <c r="A675" s="1">
        <f>IFERROR(__xludf.DUMMYFUNCTION("""COMPUTED_VALUE"""),44840.66666666667)</f>
        <v>44840.66667</v>
      </c>
      <c r="B675" s="2">
        <f>IFERROR(__xludf.DUMMYFUNCTION("""COMPUTED_VALUE"""),4650.0)</f>
        <v>4650</v>
      </c>
      <c r="C675" s="2">
        <f>IFERROR(__xludf.DUMMYFUNCTION("""COMPUTED_VALUE"""),4662.5)</f>
        <v>4662.5</v>
      </c>
      <c r="D675" s="2">
        <f>IFERROR(__xludf.DUMMYFUNCTION("""COMPUTED_VALUE"""),4612.5)</f>
        <v>4612.5</v>
      </c>
      <c r="E675" s="2">
        <f>IFERROR(__xludf.DUMMYFUNCTION("""COMPUTED_VALUE"""),4662.5)</f>
        <v>4662.5</v>
      </c>
      <c r="F675" s="2">
        <f>IFERROR(__xludf.DUMMYFUNCTION("""COMPUTED_VALUE"""),2.16396E7)</f>
        <v>21639600</v>
      </c>
      <c r="G675" s="2">
        <f t="shared" si="1"/>
        <v>50</v>
      </c>
    </row>
    <row r="676" ht="15.75" customHeight="1">
      <c r="A676" s="1">
        <f>IFERROR(__xludf.DUMMYFUNCTION("""COMPUTED_VALUE"""),44841.66666666667)</f>
        <v>44841.66667</v>
      </c>
      <c r="B676" s="2">
        <f>IFERROR(__xludf.DUMMYFUNCTION("""COMPUTED_VALUE"""),4662.5)</f>
        <v>4662.5</v>
      </c>
      <c r="C676" s="2">
        <f>IFERROR(__xludf.DUMMYFUNCTION("""COMPUTED_VALUE"""),4712.5)</f>
        <v>4712.5</v>
      </c>
      <c r="D676" s="2">
        <f>IFERROR(__xludf.DUMMYFUNCTION("""COMPUTED_VALUE"""),4637.5)</f>
        <v>4637.5</v>
      </c>
      <c r="E676" s="2">
        <f>IFERROR(__xludf.DUMMYFUNCTION("""COMPUTED_VALUE"""),4712.5)</f>
        <v>4712.5</v>
      </c>
      <c r="F676" s="2">
        <f>IFERROR(__xludf.DUMMYFUNCTION("""COMPUTED_VALUE"""),2.56335E7)</f>
        <v>25633500</v>
      </c>
      <c r="G676" s="2">
        <f t="shared" si="1"/>
        <v>75</v>
      </c>
    </row>
    <row r="677" ht="15.75" customHeight="1">
      <c r="A677" s="1">
        <f>IFERROR(__xludf.DUMMYFUNCTION("""COMPUTED_VALUE"""),44844.66666666667)</f>
        <v>44844.66667</v>
      </c>
      <c r="B677" s="2">
        <f>IFERROR(__xludf.DUMMYFUNCTION("""COMPUTED_VALUE"""),4687.5)</f>
        <v>4687.5</v>
      </c>
      <c r="C677" s="2">
        <f>IFERROR(__xludf.DUMMYFUNCTION("""COMPUTED_VALUE"""),4700.0)</f>
        <v>4700</v>
      </c>
      <c r="D677" s="2">
        <f>IFERROR(__xludf.DUMMYFUNCTION("""COMPUTED_VALUE"""),4637.5)</f>
        <v>4637.5</v>
      </c>
      <c r="E677" s="2">
        <f>IFERROR(__xludf.DUMMYFUNCTION("""COMPUTED_VALUE"""),4650.0)</f>
        <v>4650</v>
      </c>
      <c r="F677" s="2">
        <f>IFERROR(__xludf.DUMMYFUNCTION("""COMPUTED_VALUE"""),2.77325E7)</f>
        <v>27732500</v>
      </c>
      <c r="G677" s="2">
        <f t="shared" si="1"/>
        <v>75</v>
      </c>
    </row>
    <row r="678" ht="15.75" customHeight="1">
      <c r="A678" s="1">
        <f>IFERROR(__xludf.DUMMYFUNCTION("""COMPUTED_VALUE"""),44845.66666666667)</f>
        <v>44845.66667</v>
      </c>
      <c r="B678" s="2">
        <f>IFERROR(__xludf.DUMMYFUNCTION("""COMPUTED_VALUE"""),4712.5)</f>
        <v>4712.5</v>
      </c>
      <c r="C678" s="2">
        <f>IFERROR(__xludf.DUMMYFUNCTION("""COMPUTED_VALUE"""),4712.5)</f>
        <v>4712.5</v>
      </c>
      <c r="D678" s="2">
        <f>IFERROR(__xludf.DUMMYFUNCTION("""COMPUTED_VALUE"""),4625.0)</f>
        <v>4625</v>
      </c>
      <c r="E678" s="2">
        <f>IFERROR(__xludf.DUMMYFUNCTION("""COMPUTED_VALUE"""),4650.0)</f>
        <v>4650</v>
      </c>
      <c r="F678" s="2">
        <f>IFERROR(__xludf.DUMMYFUNCTION("""COMPUTED_VALUE"""),3.59628E7)</f>
        <v>35962800</v>
      </c>
      <c r="G678" s="2">
        <f t="shared" si="1"/>
        <v>87.5</v>
      </c>
    </row>
    <row r="679" ht="15.75" customHeight="1">
      <c r="A679" s="1">
        <f>IFERROR(__xludf.DUMMYFUNCTION("""COMPUTED_VALUE"""),44846.66666666667)</f>
        <v>44846.66667</v>
      </c>
      <c r="B679" s="2">
        <f>IFERROR(__xludf.DUMMYFUNCTION("""COMPUTED_VALUE"""),4687.5)</f>
        <v>4687.5</v>
      </c>
      <c r="C679" s="2">
        <f>IFERROR(__xludf.DUMMYFUNCTION("""COMPUTED_VALUE"""),4750.0)</f>
        <v>4750</v>
      </c>
      <c r="D679" s="2">
        <f>IFERROR(__xludf.DUMMYFUNCTION("""COMPUTED_VALUE"""),4650.0)</f>
        <v>4650</v>
      </c>
      <c r="E679" s="2">
        <f>IFERROR(__xludf.DUMMYFUNCTION("""COMPUTED_VALUE"""),4712.5)</f>
        <v>4712.5</v>
      </c>
      <c r="F679" s="2">
        <f>IFERROR(__xludf.DUMMYFUNCTION("""COMPUTED_VALUE"""),5.93657E7)</f>
        <v>59365700</v>
      </c>
      <c r="G679" s="2">
        <f t="shared" si="1"/>
        <v>100</v>
      </c>
    </row>
    <row r="680" ht="15.75" customHeight="1">
      <c r="A680" s="1">
        <f>IFERROR(__xludf.DUMMYFUNCTION("""COMPUTED_VALUE"""),44847.66666666667)</f>
        <v>44847.66667</v>
      </c>
      <c r="B680" s="2">
        <f>IFERROR(__xludf.DUMMYFUNCTION("""COMPUTED_VALUE"""),4750.0)</f>
        <v>4750</v>
      </c>
      <c r="C680" s="2">
        <f>IFERROR(__xludf.DUMMYFUNCTION("""COMPUTED_VALUE"""),4775.0)</f>
        <v>4775</v>
      </c>
      <c r="D680" s="2">
        <f>IFERROR(__xludf.DUMMYFUNCTION("""COMPUTED_VALUE"""),4662.5)</f>
        <v>4662.5</v>
      </c>
      <c r="E680" s="2">
        <f>IFERROR(__xludf.DUMMYFUNCTION("""COMPUTED_VALUE"""),4737.5)</f>
        <v>4737.5</v>
      </c>
      <c r="F680" s="2">
        <f>IFERROR(__xludf.DUMMYFUNCTION("""COMPUTED_VALUE"""),2.9416E7)</f>
        <v>29416000</v>
      </c>
      <c r="G680" s="2">
        <f t="shared" si="1"/>
        <v>112.5</v>
      </c>
    </row>
    <row r="681" ht="15.75" customHeight="1">
      <c r="A681" s="1">
        <f>IFERROR(__xludf.DUMMYFUNCTION("""COMPUTED_VALUE"""),44848.66666666667)</f>
        <v>44848.66667</v>
      </c>
      <c r="B681" s="2">
        <f>IFERROR(__xludf.DUMMYFUNCTION("""COMPUTED_VALUE"""),4825.0)</f>
        <v>4825</v>
      </c>
      <c r="C681" s="2">
        <f>IFERROR(__xludf.DUMMYFUNCTION("""COMPUTED_VALUE"""),4825.0)</f>
        <v>4825</v>
      </c>
      <c r="D681" s="2">
        <f>IFERROR(__xludf.DUMMYFUNCTION("""COMPUTED_VALUE"""),4687.5)</f>
        <v>4687.5</v>
      </c>
      <c r="E681" s="2">
        <f>IFERROR(__xludf.DUMMYFUNCTION("""COMPUTED_VALUE"""),4700.0)</f>
        <v>4700</v>
      </c>
      <c r="F681" s="2">
        <f>IFERROR(__xludf.DUMMYFUNCTION("""COMPUTED_VALUE"""),5.32008E7)</f>
        <v>53200800</v>
      </c>
      <c r="G681" s="2">
        <f t="shared" si="1"/>
        <v>137.5</v>
      </c>
    </row>
    <row r="682" ht="15.75" customHeight="1">
      <c r="A682" s="1">
        <f>IFERROR(__xludf.DUMMYFUNCTION("""COMPUTED_VALUE"""),44851.66666666667)</f>
        <v>44851.66667</v>
      </c>
      <c r="B682" s="2">
        <f>IFERROR(__xludf.DUMMYFUNCTION("""COMPUTED_VALUE"""),4725.0)</f>
        <v>4725</v>
      </c>
      <c r="C682" s="2">
        <f>IFERROR(__xludf.DUMMYFUNCTION("""COMPUTED_VALUE"""),4737.5)</f>
        <v>4737.5</v>
      </c>
      <c r="D682" s="2">
        <f>IFERROR(__xludf.DUMMYFUNCTION("""COMPUTED_VALUE"""),4650.0)</f>
        <v>4650</v>
      </c>
      <c r="E682" s="2">
        <f>IFERROR(__xludf.DUMMYFUNCTION("""COMPUTED_VALUE"""),4725.0)</f>
        <v>4725</v>
      </c>
      <c r="F682" s="2">
        <f>IFERROR(__xludf.DUMMYFUNCTION("""COMPUTED_VALUE"""),3.04526E7)</f>
        <v>30452600</v>
      </c>
      <c r="G682" s="2">
        <f t="shared" si="1"/>
        <v>87.5</v>
      </c>
    </row>
    <row r="683" ht="15.75" customHeight="1">
      <c r="A683" s="1">
        <f>IFERROR(__xludf.DUMMYFUNCTION("""COMPUTED_VALUE"""),44852.66666666667)</f>
        <v>44852.66667</v>
      </c>
      <c r="B683" s="2">
        <f>IFERROR(__xludf.DUMMYFUNCTION("""COMPUTED_VALUE"""),4750.0)</f>
        <v>4750</v>
      </c>
      <c r="C683" s="2">
        <f>IFERROR(__xludf.DUMMYFUNCTION("""COMPUTED_VALUE"""),4787.5)</f>
        <v>4787.5</v>
      </c>
      <c r="D683" s="2">
        <f>IFERROR(__xludf.DUMMYFUNCTION("""COMPUTED_VALUE"""),4725.0)</f>
        <v>4725</v>
      </c>
      <c r="E683" s="2">
        <f>IFERROR(__xludf.DUMMYFUNCTION("""COMPUTED_VALUE"""),4750.0)</f>
        <v>4750</v>
      </c>
      <c r="F683" s="2">
        <f>IFERROR(__xludf.DUMMYFUNCTION("""COMPUTED_VALUE"""),3.39522E7)</f>
        <v>33952200</v>
      </c>
      <c r="G683" s="2">
        <f t="shared" si="1"/>
        <v>62.5</v>
      </c>
    </row>
    <row r="684" ht="15.75" customHeight="1">
      <c r="A684" s="1">
        <f>IFERROR(__xludf.DUMMYFUNCTION("""COMPUTED_VALUE"""),44853.66666666667)</f>
        <v>44853.66667</v>
      </c>
      <c r="B684" s="2">
        <f>IFERROR(__xludf.DUMMYFUNCTION("""COMPUTED_VALUE"""),4687.5)</f>
        <v>4687.5</v>
      </c>
      <c r="C684" s="2">
        <f>IFERROR(__xludf.DUMMYFUNCTION("""COMPUTED_VALUE"""),4787.5)</f>
        <v>4787.5</v>
      </c>
      <c r="D684" s="2">
        <f>IFERROR(__xludf.DUMMYFUNCTION("""COMPUTED_VALUE"""),4662.5)</f>
        <v>4662.5</v>
      </c>
      <c r="E684" s="2">
        <f>IFERROR(__xludf.DUMMYFUNCTION("""COMPUTED_VALUE"""),4737.5)</f>
        <v>4737.5</v>
      </c>
      <c r="F684" s="2">
        <f>IFERROR(__xludf.DUMMYFUNCTION("""COMPUTED_VALUE"""),3.57724E7)</f>
        <v>35772400</v>
      </c>
      <c r="G684" s="2">
        <f t="shared" si="1"/>
        <v>125</v>
      </c>
    </row>
    <row r="685" ht="15.75" customHeight="1">
      <c r="A685" s="1">
        <f>IFERROR(__xludf.DUMMYFUNCTION("""COMPUTED_VALUE"""),44854.66666666667)</f>
        <v>44854.66667</v>
      </c>
      <c r="B685" s="2">
        <f>IFERROR(__xludf.DUMMYFUNCTION("""COMPUTED_VALUE"""),4675.0)</f>
        <v>4675</v>
      </c>
      <c r="C685" s="2">
        <f>IFERROR(__xludf.DUMMYFUNCTION("""COMPUTED_VALUE"""),4962.5)</f>
        <v>4962.5</v>
      </c>
      <c r="D685" s="2">
        <f>IFERROR(__xludf.DUMMYFUNCTION("""COMPUTED_VALUE"""),4675.0)</f>
        <v>4675</v>
      </c>
      <c r="E685" s="2">
        <f>IFERROR(__xludf.DUMMYFUNCTION("""COMPUTED_VALUE"""),4950.0)</f>
        <v>4950</v>
      </c>
      <c r="F685" s="2">
        <f>IFERROR(__xludf.DUMMYFUNCTION("""COMPUTED_VALUE"""),5.12112E7)</f>
        <v>51211200</v>
      </c>
      <c r="G685" s="2">
        <f t="shared" si="1"/>
        <v>287.5</v>
      </c>
    </row>
    <row r="686" ht="15.75" customHeight="1">
      <c r="A686" s="1">
        <f>IFERROR(__xludf.DUMMYFUNCTION("""COMPUTED_VALUE"""),44855.66666666667)</f>
        <v>44855.66667</v>
      </c>
      <c r="B686" s="2">
        <f>IFERROR(__xludf.DUMMYFUNCTION("""COMPUTED_VALUE"""),5000.0)</f>
        <v>5000</v>
      </c>
      <c r="C686" s="2">
        <f>IFERROR(__xludf.DUMMYFUNCTION("""COMPUTED_VALUE"""),5225.0)</f>
        <v>5225</v>
      </c>
      <c r="D686" s="2">
        <f>IFERROR(__xludf.DUMMYFUNCTION("""COMPUTED_VALUE"""),4962.5)</f>
        <v>4962.5</v>
      </c>
      <c r="E686" s="2">
        <f>IFERROR(__xludf.DUMMYFUNCTION("""COMPUTED_VALUE"""),5175.0)</f>
        <v>5175</v>
      </c>
      <c r="F686" s="2">
        <f>IFERROR(__xludf.DUMMYFUNCTION("""COMPUTED_VALUE"""),9.19939E7)</f>
        <v>91993900</v>
      </c>
      <c r="G686" s="2">
        <f t="shared" si="1"/>
        <v>275</v>
      </c>
    </row>
    <row r="687" ht="15.75" customHeight="1">
      <c r="A687" s="1">
        <f>IFERROR(__xludf.DUMMYFUNCTION("""COMPUTED_VALUE"""),44858.66666666667)</f>
        <v>44858.66667</v>
      </c>
      <c r="B687" s="2">
        <f>IFERROR(__xludf.DUMMYFUNCTION("""COMPUTED_VALUE"""),5162.5)</f>
        <v>5162.5</v>
      </c>
      <c r="C687" s="2">
        <f>IFERROR(__xludf.DUMMYFUNCTION("""COMPUTED_VALUE"""),5250.0)</f>
        <v>5250</v>
      </c>
      <c r="D687" s="2">
        <f>IFERROR(__xludf.DUMMYFUNCTION("""COMPUTED_VALUE"""),5125.0)</f>
        <v>5125</v>
      </c>
      <c r="E687" s="2">
        <f>IFERROR(__xludf.DUMMYFUNCTION("""COMPUTED_VALUE"""),5125.0)</f>
        <v>5125</v>
      </c>
      <c r="F687" s="2">
        <f>IFERROR(__xludf.DUMMYFUNCTION("""COMPUTED_VALUE"""),5.1084E7)</f>
        <v>51084000</v>
      </c>
      <c r="G687" s="2">
        <f t="shared" si="1"/>
        <v>125</v>
      </c>
    </row>
    <row r="688" ht="15.75" customHeight="1">
      <c r="A688" s="1">
        <f>IFERROR(__xludf.DUMMYFUNCTION("""COMPUTED_VALUE"""),44859.66666666667)</f>
        <v>44859.66667</v>
      </c>
      <c r="B688" s="2">
        <f>IFERROR(__xludf.DUMMYFUNCTION("""COMPUTED_VALUE"""),5137.5)</f>
        <v>5137.5</v>
      </c>
      <c r="C688" s="2">
        <f>IFERROR(__xludf.DUMMYFUNCTION("""COMPUTED_VALUE"""),5225.0)</f>
        <v>5225</v>
      </c>
      <c r="D688" s="2">
        <f>IFERROR(__xludf.DUMMYFUNCTION("""COMPUTED_VALUE"""),5112.5)</f>
        <v>5112.5</v>
      </c>
      <c r="E688" s="2">
        <f>IFERROR(__xludf.DUMMYFUNCTION("""COMPUTED_VALUE"""),5112.5)</f>
        <v>5112.5</v>
      </c>
      <c r="F688" s="2">
        <f>IFERROR(__xludf.DUMMYFUNCTION("""COMPUTED_VALUE"""),4.16526E7)</f>
        <v>41652600</v>
      </c>
      <c r="G688" s="2">
        <f t="shared" si="1"/>
        <v>112.5</v>
      </c>
    </row>
    <row r="689" ht="15.75" customHeight="1">
      <c r="A689" s="1">
        <f>IFERROR(__xludf.DUMMYFUNCTION("""COMPUTED_VALUE"""),44860.66666666667)</f>
        <v>44860.66667</v>
      </c>
      <c r="B689" s="2">
        <f>IFERROR(__xludf.DUMMYFUNCTION("""COMPUTED_VALUE"""),5112.5)</f>
        <v>5112.5</v>
      </c>
      <c r="C689" s="2">
        <f>IFERROR(__xludf.DUMMYFUNCTION("""COMPUTED_VALUE"""),5125.0)</f>
        <v>5125</v>
      </c>
      <c r="D689" s="2">
        <f>IFERROR(__xludf.DUMMYFUNCTION("""COMPUTED_VALUE"""),5000.0)</f>
        <v>5000</v>
      </c>
      <c r="E689" s="2">
        <f>IFERROR(__xludf.DUMMYFUNCTION("""COMPUTED_VALUE"""),5100.0)</f>
        <v>5100</v>
      </c>
      <c r="F689" s="2">
        <f>IFERROR(__xludf.DUMMYFUNCTION("""COMPUTED_VALUE"""),4.02657E7)</f>
        <v>40265700</v>
      </c>
      <c r="G689" s="2">
        <f t="shared" si="1"/>
        <v>125</v>
      </c>
    </row>
    <row r="690" ht="15.75" customHeight="1">
      <c r="A690" s="1">
        <f>IFERROR(__xludf.DUMMYFUNCTION("""COMPUTED_VALUE"""),44861.66666666667)</f>
        <v>44861.66667</v>
      </c>
      <c r="B690" s="2">
        <f>IFERROR(__xludf.DUMMYFUNCTION("""COMPUTED_VALUE"""),5100.0)</f>
        <v>5100</v>
      </c>
      <c r="C690" s="2">
        <f>IFERROR(__xludf.DUMMYFUNCTION("""COMPUTED_VALUE"""),5162.5)</f>
        <v>5162.5</v>
      </c>
      <c r="D690" s="2">
        <f>IFERROR(__xludf.DUMMYFUNCTION("""COMPUTED_VALUE"""),5025.0)</f>
        <v>5025</v>
      </c>
      <c r="E690" s="2">
        <f>IFERROR(__xludf.DUMMYFUNCTION("""COMPUTED_VALUE"""),5100.0)</f>
        <v>5100</v>
      </c>
      <c r="F690" s="2">
        <f>IFERROR(__xludf.DUMMYFUNCTION("""COMPUTED_VALUE"""),4.22656E7)</f>
        <v>42265600</v>
      </c>
      <c r="G690" s="2">
        <f t="shared" si="1"/>
        <v>137.5</v>
      </c>
    </row>
    <row r="691" ht="15.75" customHeight="1">
      <c r="A691" s="1">
        <f>IFERROR(__xludf.DUMMYFUNCTION("""COMPUTED_VALUE"""),44862.66666666667)</f>
        <v>44862.66667</v>
      </c>
      <c r="B691" s="2">
        <f>IFERROR(__xludf.DUMMYFUNCTION("""COMPUTED_VALUE"""),5062.5)</f>
        <v>5062.5</v>
      </c>
      <c r="C691" s="2">
        <f>IFERROR(__xludf.DUMMYFUNCTION("""COMPUTED_VALUE"""),5112.5)</f>
        <v>5112.5</v>
      </c>
      <c r="D691" s="2">
        <f>IFERROR(__xludf.DUMMYFUNCTION("""COMPUTED_VALUE"""),5050.0)</f>
        <v>5050</v>
      </c>
      <c r="E691" s="2">
        <f>IFERROR(__xludf.DUMMYFUNCTION("""COMPUTED_VALUE"""),5100.0)</f>
        <v>5100</v>
      </c>
      <c r="F691" s="2">
        <f>IFERROR(__xludf.DUMMYFUNCTION("""COMPUTED_VALUE"""),5.12187E7)</f>
        <v>51218700</v>
      </c>
      <c r="G691" s="2">
        <f t="shared" si="1"/>
        <v>62.5</v>
      </c>
    </row>
    <row r="692" ht="15.75" customHeight="1">
      <c r="A692" s="1">
        <f>IFERROR(__xludf.DUMMYFUNCTION("""COMPUTED_VALUE"""),44865.66666666667)</f>
        <v>44865.66667</v>
      </c>
      <c r="B692" s="2">
        <f>IFERROR(__xludf.DUMMYFUNCTION("""COMPUTED_VALUE"""),5150.0)</f>
        <v>5150</v>
      </c>
      <c r="C692" s="2">
        <f>IFERROR(__xludf.DUMMYFUNCTION("""COMPUTED_VALUE"""),5275.0)</f>
        <v>5275</v>
      </c>
      <c r="D692" s="2">
        <f>IFERROR(__xludf.DUMMYFUNCTION("""COMPUTED_VALUE"""),5112.5)</f>
        <v>5112.5</v>
      </c>
      <c r="E692" s="2">
        <f>IFERROR(__xludf.DUMMYFUNCTION("""COMPUTED_VALUE"""),5275.0)</f>
        <v>5275</v>
      </c>
      <c r="F692" s="2">
        <f>IFERROR(__xludf.DUMMYFUNCTION("""COMPUTED_VALUE"""),8.69373E7)</f>
        <v>86937300</v>
      </c>
      <c r="G692" s="2">
        <f t="shared" si="1"/>
        <v>175</v>
      </c>
    </row>
    <row r="693" ht="15.75" customHeight="1">
      <c r="A693" s="1">
        <f>IFERROR(__xludf.DUMMYFUNCTION("""COMPUTED_VALUE"""),44866.625)</f>
        <v>44866.625</v>
      </c>
      <c r="B693" s="2">
        <f>IFERROR(__xludf.DUMMYFUNCTION("""COMPUTED_VALUE"""),5300.0)</f>
        <v>5300</v>
      </c>
      <c r="C693" s="2">
        <f>IFERROR(__xludf.DUMMYFUNCTION("""COMPUTED_VALUE"""),5300.0)</f>
        <v>5300</v>
      </c>
      <c r="D693" s="2">
        <f>IFERROR(__xludf.DUMMYFUNCTION("""COMPUTED_VALUE"""),5112.5)</f>
        <v>5112.5</v>
      </c>
      <c r="E693" s="2">
        <f>IFERROR(__xludf.DUMMYFUNCTION("""COMPUTED_VALUE"""),5200.0)</f>
        <v>5200</v>
      </c>
      <c r="F693" s="2">
        <f>IFERROR(__xludf.DUMMYFUNCTION("""COMPUTED_VALUE"""),5.5949E7)</f>
        <v>55949000</v>
      </c>
      <c r="G693" s="2">
        <f t="shared" si="1"/>
        <v>187.5</v>
      </c>
    </row>
    <row r="694" ht="15.75" customHeight="1">
      <c r="A694" s="1">
        <f>IFERROR(__xludf.DUMMYFUNCTION("""COMPUTED_VALUE"""),44867.625)</f>
        <v>44867.625</v>
      </c>
      <c r="B694" s="2">
        <f>IFERROR(__xludf.DUMMYFUNCTION("""COMPUTED_VALUE"""),5187.5)</f>
        <v>5187.5</v>
      </c>
      <c r="C694" s="2">
        <f>IFERROR(__xludf.DUMMYFUNCTION("""COMPUTED_VALUE"""),5200.0)</f>
        <v>5200</v>
      </c>
      <c r="D694" s="2">
        <f>IFERROR(__xludf.DUMMYFUNCTION("""COMPUTED_VALUE"""),4987.5)</f>
        <v>4987.5</v>
      </c>
      <c r="E694" s="2">
        <f>IFERROR(__xludf.DUMMYFUNCTION("""COMPUTED_VALUE"""),5037.5)</f>
        <v>5037.5</v>
      </c>
      <c r="F694" s="2">
        <f>IFERROR(__xludf.DUMMYFUNCTION("""COMPUTED_VALUE"""),6.37577E7)</f>
        <v>63757700</v>
      </c>
      <c r="G694" s="2">
        <f t="shared" si="1"/>
        <v>212.5</v>
      </c>
    </row>
    <row r="695" ht="15.75" customHeight="1">
      <c r="A695" s="1">
        <f>IFERROR(__xludf.DUMMYFUNCTION("""COMPUTED_VALUE"""),44868.66666666667)</f>
        <v>44868.66667</v>
      </c>
      <c r="B695" s="2">
        <f>IFERROR(__xludf.DUMMYFUNCTION("""COMPUTED_VALUE"""),4975.0)</f>
        <v>4975</v>
      </c>
      <c r="C695" s="2">
        <f>IFERROR(__xludf.DUMMYFUNCTION("""COMPUTED_VALUE"""),5100.0)</f>
        <v>5100</v>
      </c>
      <c r="D695" s="2">
        <f>IFERROR(__xludf.DUMMYFUNCTION("""COMPUTED_VALUE"""),4975.0)</f>
        <v>4975</v>
      </c>
      <c r="E695" s="2">
        <f>IFERROR(__xludf.DUMMYFUNCTION("""COMPUTED_VALUE"""),5087.5)</f>
        <v>5087.5</v>
      </c>
      <c r="F695" s="2">
        <f>IFERROR(__xludf.DUMMYFUNCTION("""COMPUTED_VALUE"""),5.97993E7)</f>
        <v>59799300</v>
      </c>
      <c r="G695" s="2">
        <f t="shared" si="1"/>
        <v>125</v>
      </c>
    </row>
    <row r="696" ht="15.75" customHeight="1">
      <c r="A696" s="1">
        <f>IFERROR(__xludf.DUMMYFUNCTION("""COMPUTED_VALUE"""),44869.66666666667)</f>
        <v>44869.66667</v>
      </c>
      <c r="B696" s="2">
        <f>IFERROR(__xludf.DUMMYFUNCTION("""COMPUTED_VALUE"""),5012.5)</f>
        <v>5012.5</v>
      </c>
      <c r="C696" s="2">
        <f>IFERROR(__xludf.DUMMYFUNCTION("""COMPUTED_VALUE"""),5075.0)</f>
        <v>5075</v>
      </c>
      <c r="D696" s="2">
        <f>IFERROR(__xludf.DUMMYFUNCTION("""COMPUTED_VALUE"""),5000.0)</f>
        <v>5000</v>
      </c>
      <c r="E696" s="2">
        <f>IFERROR(__xludf.DUMMYFUNCTION("""COMPUTED_VALUE"""),5075.0)</f>
        <v>5075</v>
      </c>
      <c r="F696" s="2">
        <f>IFERROR(__xludf.DUMMYFUNCTION("""COMPUTED_VALUE"""),3.53906E7)</f>
        <v>35390600</v>
      </c>
      <c r="G696" s="2">
        <f t="shared" si="1"/>
        <v>87.5</v>
      </c>
    </row>
    <row r="697" ht="15.75" customHeight="1">
      <c r="A697" s="1">
        <f>IFERROR(__xludf.DUMMYFUNCTION("""COMPUTED_VALUE"""),44872.66666666667)</f>
        <v>44872.66667</v>
      </c>
      <c r="B697" s="2">
        <f>IFERROR(__xludf.DUMMYFUNCTION("""COMPUTED_VALUE"""),5087.5)</f>
        <v>5087.5</v>
      </c>
      <c r="C697" s="2">
        <f>IFERROR(__xludf.DUMMYFUNCTION("""COMPUTED_VALUE"""),5125.0)</f>
        <v>5125</v>
      </c>
      <c r="D697" s="2">
        <f>IFERROR(__xludf.DUMMYFUNCTION("""COMPUTED_VALUE"""),5000.0)</f>
        <v>5000</v>
      </c>
      <c r="E697" s="2">
        <f>IFERROR(__xludf.DUMMYFUNCTION("""COMPUTED_VALUE"""),5125.0)</f>
        <v>5125</v>
      </c>
      <c r="F697" s="2">
        <f>IFERROR(__xludf.DUMMYFUNCTION("""COMPUTED_VALUE"""),4.90172E7)</f>
        <v>49017200</v>
      </c>
      <c r="G697" s="2">
        <f t="shared" si="1"/>
        <v>125</v>
      </c>
    </row>
    <row r="698" ht="15.75" customHeight="1">
      <c r="A698" s="1">
        <f>IFERROR(__xludf.DUMMYFUNCTION("""COMPUTED_VALUE"""),44873.66666666667)</f>
        <v>44873.66667</v>
      </c>
      <c r="B698" s="2">
        <f>IFERROR(__xludf.DUMMYFUNCTION("""COMPUTED_VALUE"""),5137.5)</f>
        <v>5137.5</v>
      </c>
      <c r="C698" s="2">
        <f>IFERROR(__xludf.DUMMYFUNCTION("""COMPUTED_VALUE"""),5137.5)</f>
        <v>5137.5</v>
      </c>
      <c r="D698" s="2">
        <f>IFERROR(__xludf.DUMMYFUNCTION("""COMPUTED_VALUE"""),5037.5)</f>
        <v>5037.5</v>
      </c>
      <c r="E698" s="2">
        <f>IFERROR(__xludf.DUMMYFUNCTION("""COMPUTED_VALUE"""),5075.0)</f>
        <v>5075</v>
      </c>
      <c r="F698" s="2">
        <f>IFERROR(__xludf.DUMMYFUNCTION("""COMPUTED_VALUE"""),1.97929E7)</f>
        <v>19792900</v>
      </c>
      <c r="G698" s="2">
        <f t="shared" si="1"/>
        <v>100</v>
      </c>
    </row>
    <row r="699" ht="15.75" customHeight="1">
      <c r="A699" s="1">
        <f>IFERROR(__xludf.DUMMYFUNCTION("""COMPUTED_VALUE"""),44874.66666666667)</f>
        <v>44874.66667</v>
      </c>
      <c r="B699" s="2">
        <f>IFERROR(__xludf.DUMMYFUNCTION("""COMPUTED_VALUE"""),5025.0)</f>
        <v>5025</v>
      </c>
      <c r="C699" s="2">
        <f>IFERROR(__xludf.DUMMYFUNCTION("""COMPUTED_VALUE"""),5075.0)</f>
        <v>5075</v>
      </c>
      <c r="D699" s="2">
        <f>IFERROR(__xludf.DUMMYFUNCTION("""COMPUTED_VALUE"""),5025.0)</f>
        <v>5025</v>
      </c>
      <c r="E699" s="2">
        <f>IFERROR(__xludf.DUMMYFUNCTION("""COMPUTED_VALUE"""),5075.0)</f>
        <v>5075</v>
      </c>
      <c r="F699" s="2">
        <f>IFERROR(__xludf.DUMMYFUNCTION("""COMPUTED_VALUE"""),3.40052E7)</f>
        <v>34005200</v>
      </c>
      <c r="G699" s="2">
        <f t="shared" si="1"/>
        <v>50</v>
      </c>
    </row>
    <row r="700" ht="15.75" customHeight="1">
      <c r="A700" s="1">
        <f>IFERROR(__xludf.DUMMYFUNCTION("""COMPUTED_VALUE"""),44875.66666666667)</f>
        <v>44875.66667</v>
      </c>
      <c r="B700" s="2">
        <f>IFERROR(__xludf.DUMMYFUNCTION("""COMPUTED_VALUE"""),5025.0)</f>
        <v>5025</v>
      </c>
      <c r="C700" s="2">
        <f>IFERROR(__xludf.DUMMYFUNCTION("""COMPUTED_VALUE"""),5075.0)</f>
        <v>5075</v>
      </c>
      <c r="D700" s="2">
        <f>IFERROR(__xludf.DUMMYFUNCTION("""COMPUTED_VALUE"""),5000.0)</f>
        <v>5000</v>
      </c>
      <c r="E700" s="2">
        <f>IFERROR(__xludf.DUMMYFUNCTION("""COMPUTED_VALUE"""),5050.0)</f>
        <v>5050</v>
      </c>
      <c r="F700" s="2">
        <f>IFERROR(__xludf.DUMMYFUNCTION("""COMPUTED_VALUE"""),3.0982E7)</f>
        <v>30982000</v>
      </c>
      <c r="G700" s="2">
        <f t="shared" si="1"/>
        <v>75</v>
      </c>
    </row>
    <row r="701" ht="15.75" customHeight="1">
      <c r="A701" s="1">
        <f>IFERROR(__xludf.DUMMYFUNCTION("""COMPUTED_VALUE"""),44876.66666666667)</f>
        <v>44876.66667</v>
      </c>
      <c r="B701" s="2">
        <f>IFERROR(__xludf.DUMMYFUNCTION("""COMPUTED_VALUE"""),5150.0)</f>
        <v>5150</v>
      </c>
      <c r="C701" s="2">
        <f>IFERROR(__xludf.DUMMYFUNCTION("""COMPUTED_VALUE"""),5225.0)</f>
        <v>5225</v>
      </c>
      <c r="D701" s="2">
        <f>IFERROR(__xludf.DUMMYFUNCTION("""COMPUTED_VALUE"""),5112.5)</f>
        <v>5112.5</v>
      </c>
      <c r="E701" s="2">
        <f>IFERROR(__xludf.DUMMYFUNCTION("""COMPUTED_VALUE"""),5212.5)</f>
        <v>5212.5</v>
      </c>
      <c r="F701" s="2">
        <f>IFERROR(__xludf.DUMMYFUNCTION("""COMPUTED_VALUE"""),5.10041E7)</f>
        <v>51004100</v>
      </c>
      <c r="G701" s="2">
        <f t="shared" si="1"/>
        <v>175</v>
      </c>
    </row>
    <row r="702" ht="15.75" customHeight="1">
      <c r="A702" s="1">
        <f>IFERROR(__xludf.DUMMYFUNCTION("""COMPUTED_VALUE"""),44879.66666666667)</f>
        <v>44879.66667</v>
      </c>
      <c r="B702" s="2">
        <f>IFERROR(__xludf.DUMMYFUNCTION("""COMPUTED_VALUE"""),5275.0)</f>
        <v>5275</v>
      </c>
      <c r="C702" s="2">
        <f>IFERROR(__xludf.DUMMYFUNCTION("""COMPUTED_VALUE"""),5275.0)</f>
        <v>5275</v>
      </c>
      <c r="D702" s="2">
        <f>IFERROR(__xludf.DUMMYFUNCTION("""COMPUTED_VALUE"""),5075.0)</f>
        <v>5075</v>
      </c>
      <c r="E702" s="2">
        <f>IFERROR(__xludf.DUMMYFUNCTION("""COMPUTED_VALUE"""),5125.0)</f>
        <v>5125</v>
      </c>
      <c r="F702" s="2">
        <f>IFERROR(__xludf.DUMMYFUNCTION("""COMPUTED_VALUE"""),3.05276E7)</f>
        <v>30527600</v>
      </c>
      <c r="G702" s="2">
        <f t="shared" si="1"/>
        <v>200</v>
      </c>
    </row>
    <row r="703" ht="15.75" customHeight="1">
      <c r="A703" s="1">
        <f>IFERROR(__xludf.DUMMYFUNCTION("""COMPUTED_VALUE"""),44880.66666666667)</f>
        <v>44880.66667</v>
      </c>
      <c r="B703" s="2">
        <f>IFERROR(__xludf.DUMMYFUNCTION("""COMPUTED_VALUE"""),5150.0)</f>
        <v>5150</v>
      </c>
      <c r="C703" s="2">
        <f>IFERROR(__xludf.DUMMYFUNCTION("""COMPUTED_VALUE"""),5150.0)</f>
        <v>5150</v>
      </c>
      <c r="D703" s="2">
        <f>IFERROR(__xludf.DUMMYFUNCTION("""COMPUTED_VALUE"""),5050.0)</f>
        <v>5050</v>
      </c>
      <c r="E703" s="2">
        <f>IFERROR(__xludf.DUMMYFUNCTION("""COMPUTED_VALUE"""),5125.0)</f>
        <v>5125</v>
      </c>
      <c r="F703" s="2">
        <f>IFERROR(__xludf.DUMMYFUNCTION("""COMPUTED_VALUE"""),4.15004E7)</f>
        <v>41500400</v>
      </c>
      <c r="G703" s="2">
        <f t="shared" si="1"/>
        <v>100</v>
      </c>
    </row>
    <row r="704" ht="15.75" customHeight="1">
      <c r="A704" s="1">
        <f>IFERROR(__xludf.DUMMYFUNCTION("""COMPUTED_VALUE"""),44881.66666666667)</f>
        <v>44881.66667</v>
      </c>
      <c r="B704" s="2">
        <f>IFERROR(__xludf.DUMMYFUNCTION("""COMPUTED_VALUE"""),5050.0)</f>
        <v>5050</v>
      </c>
      <c r="C704" s="2">
        <f>IFERROR(__xludf.DUMMYFUNCTION("""COMPUTED_VALUE"""),5087.5)</f>
        <v>5087.5</v>
      </c>
      <c r="D704" s="2">
        <f>IFERROR(__xludf.DUMMYFUNCTION("""COMPUTED_VALUE"""),4950.0)</f>
        <v>4950</v>
      </c>
      <c r="E704" s="2">
        <f>IFERROR(__xludf.DUMMYFUNCTION("""COMPUTED_VALUE"""),5000.0)</f>
        <v>5000</v>
      </c>
      <c r="F704" s="2">
        <f>IFERROR(__xludf.DUMMYFUNCTION("""COMPUTED_VALUE"""),6.41289E7)</f>
        <v>64128900</v>
      </c>
      <c r="G704" s="2">
        <f t="shared" si="1"/>
        <v>175</v>
      </c>
    </row>
    <row r="705" ht="15.75" customHeight="1">
      <c r="A705" s="1">
        <f>IFERROR(__xludf.DUMMYFUNCTION("""COMPUTED_VALUE"""),44882.66666666667)</f>
        <v>44882.66667</v>
      </c>
      <c r="B705" s="2">
        <f>IFERROR(__xludf.DUMMYFUNCTION("""COMPUTED_VALUE"""),4925.0)</f>
        <v>4925</v>
      </c>
      <c r="C705" s="2">
        <f>IFERROR(__xludf.DUMMYFUNCTION("""COMPUTED_VALUE"""),5012.5)</f>
        <v>5012.5</v>
      </c>
      <c r="D705" s="2">
        <f>IFERROR(__xludf.DUMMYFUNCTION("""COMPUTED_VALUE"""),4925.0)</f>
        <v>4925</v>
      </c>
      <c r="E705" s="2">
        <f>IFERROR(__xludf.DUMMYFUNCTION("""COMPUTED_VALUE"""),4950.0)</f>
        <v>4950</v>
      </c>
      <c r="F705" s="2">
        <f>IFERROR(__xludf.DUMMYFUNCTION("""COMPUTED_VALUE"""),8.37813E7)</f>
        <v>83781300</v>
      </c>
      <c r="G705" s="2">
        <f t="shared" si="1"/>
        <v>87.5</v>
      </c>
    </row>
    <row r="706" ht="15.75" customHeight="1">
      <c r="A706" s="1">
        <f>IFERROR(__xludf.DUMMYFUNCTION("""COMPUTED_VALUE"""),44883.66666666667)</f>
        <v>44883.66667</v>
      </c>
      <c r="B706" s="2">
        <f>IFERROR(__xludf.DUMMYFUNCTION("""COMPUTED_VALUE"""),4975.0)</f>
        <v>4975</v>
      </c>
      <c r="C706" s="2">
        <f>IFERROR(__xludf.DUMMYFUNCTION("""COMPUTED_VALUE"""),5112.5)</f>
        <v>5112.5</v>
      </c>
      <c r="D706" s="2">
        <f>IFERROR(__xludf.DUMMYFUNCTION("""COMPUTED_VALUE"""),4962.5)</f>
        <v>4962.5</v>
      </c>
      <c r="E706" s="2">
        <f>IFERROR(__xludf.DUMMYFUNCTION("""COMPUTED_VALUE"""),5087.5)</f>
        <v>5087.5</v>
      </c>
      <c r="F706" s="2">
        <f>IFERROR(__xludf.DUMMYFUNCTION("""COMPUTED_VALUE"""),5.58231E7)</f>
        <v>55823100</v>
      </c>
      <c r="G706" s="2">
        <f t="shared" si="1"/>
        <v>162.5</v>
      </c>
    </row>
    <row r="707" ht="15.75" customHeight="1">
      <c r="A707" s="1">
        <f>IFERROR(__xludf.DUMMYFUNCTION("""COMPUTED_VALUE"""),44886.66666666667)</f>
        <v>44886.66667</v>
      </c>
      <c r="B707" s="2">
        <f>IFERROR(__xludf.DUMMYFUNCTION("""COMPUTED_VALUE"""),5087.5)</f>
        <v>5087.5</v>
      </c>
      <c r="C707" s="2">
        <f>IFERROR(__xludf.DUMMYFUNCTION("""COMPUTED_VALUE"""),5100.0)</f>
        <v>5100</v>
      </c>
      <c r="D707" s="2">
        <f>IFERROR(__xludf.DUMMYFUNCTION("""COMPUTED_VALUE"""),5012.5)</f>
        <v>5012.5</v>
      </c>
      <c r="E707" s="2">
        <f>IFERROR(__xludf.DUMMYFUNCTION("""COMPUTED_VALUE"""),5050.0)</f>
        <v>5050</v>
      </c>
      <c r="F707" s="2">
        <f>IFERROR(__xludf.DUMMYFUNCTION("""COMPUTED_VALUE"""),2.61558E7)</f>
        <v>26155800</v>
      </c>
      <c r="G707" s="2">
        <f t="shared" si="1"/>
        <v>87.5</v>
      </c>
    </row>
    <row r="708" ht="15.75" customHeight="1">
      <c r="A708" s="1">
        <f>IFERROR(__xludf.DUMMYFUNCTION("""COMPUTED_VALUE"""),44887.66666666667)</f>
        <v>44887.66667</v>
      </c>
      <c r="B708" s="2">
        <f>IFERROR(__xludf.DUMMYFUNCTION("""COMPUTED_VALUE"""),5025.0)</f>
        <v>5025</v>
      </c>
      <c r="C708" s="2">
        <f>IFERROR(__xludf.DUMMYFUNCTION("""COMPUTED_VALUE"""),5125.0)</f>
        <v>5125</v>
      </c>
      <c r="D708" s="2">
        <f>IFERROR(__xludf.DUMMYFUNCTION("""COMPUTED_VALUE"""),5025.0)</f>
        <v>5025</v>
      </c>
      <c r="E708" s="2">
        <f>IFERROR(__xludf.DUMMYFUNCTION("""COMPUTED_VALUE"""),5062.5)</f>
        <v>5062.5</v>
      </c>
      <c r="F708" s="2">
        <f>IFERROR(__xludf.DUMMYFUNCTION("""COMPUTED_VALUE"""),3.99253E7)</f>
        <v>39925300</v>
      </c>
      <c r="G708" s="2">
        <f t="shared" si="1"/>
        <v>100</v>
      </c>
    </row>
    <row r="709" ht="15.75" customHeight="1">
      <c r="A709" s="1">
        <f>IFERROR(__xludf.DUMMYFUNCTION("""COMPUTED_VALUE"""),44888.66666666667)</f>
        <v>44888.66667</v>
      </c>
      <c r="B709" s="2">
        <f>IFERROR(__xludf.DUMMYFUNCTION("""COMPUTED_VALUE"""),5062.5)</f>
        <v>5062.5</v>
      </c>
      <c r="C709" s="2">
        <f>IFERROR(__xludf.DUMMYFUNCTION("""COMPUTED_VALUE"""),5150.0)</f>
        <v>5150</v>
      </c>
      <c r="D709" s="2">
        <f>IFERROR(__xludf.DUMMYFUNCTION("""COMPUTED_VALUE"""),5062.5)</f>
        <v>5062.5</v>
      </c>
      <c r="E709" s="2">
        <f>IFERROR(__xludf.DUMMYFUNCTION("""COMPUTED_VALUE"""),5100.0)</f>
        <v>5100</v>
      </c>
      <c r="F709" s="2">
        <f>IFERROR(__xludf.DUMMYFUNCTION("""COMPUTED_VALUE"""),3.91253E7)</f>
        <v>39125300</v>
      </c>
      <c r="G709" s="2">
        <f t="shared" si="1"/>
        <v>87.5</v>
      </c>
    </row>
    <row r="710" ht="15.75" customHeight="1">
      <c r="A710" s="1">
        <f>IFERROR(__xludf.DUMMYFUNCTION("""COMPUTED_VALUE"""),44889.66666666667)</f>
        <v>44889.66667</v>
      </c>
      <c r="B710" s="2">
        <f>IFERROR(__xludf.DUMMYFUNCTION("""COMPUTED_VALUE"""),5112.5)</f>
        <v>5112.5</v>
      </c>
      <c r="C710" s="2">
        <f>IFERROR(__xludf.DUMMYFUNCTION("""COMPUTED_VALUE"""),5150.0)</f>
        <v>5150</v>
      </c>
      <c r="D710" s="2">
        <f>IFERROR(__xludf.DUMMYFUNCTION("""COMPUTED_VALUE"""),5100.0)</f>
        <v>5100</v>
      </c>
      <c r="E710" s="2">
        <f>IFERROR(__xludf.DUMMYFUNCTION("""COMPUTED_VALUE"""),5112.5)</f>
        <v>5112.5</v>
      </c>
      <c r="F710" s="2">
        <f>IFERROR(__xludf.DUMMYFUNCTION("""COMPUTED_VALUE"""),2.98507E7)</f>
        <v>29850700</v>
      </c>
      <c r="G710" s="2">
        <f t="shared" si="1"/>
        <v>50</v>
      </c>
    </row>
    <row r="711" ht="15.75" customHeight="1">
      <c r="A711" s="1">
        <f>IFERROR(__xludf.DUMMYFUNCTION("""COMPUTED_VALUE"""),44890.66666666667)</f>
        <v>44890.66667</v>
      </c>
      <c r="B711" s="2">
        <f>IFERROR(__xludf.DUMMYFUNCTION("""COMPUTED_VALUE"""),5112.5)</f>
        <v>5112.5</v>
      </c>
      <c r="C711" s="2">
        <f>IFERROR(__xludf.DUMMYFUNCTION("""COMPUTED_VALUE"""),5112.5)</f>
        <v>5112.5</v>
      </c>
      <c r="D711" s="2">
        <f>IFERROR(__xludf.DUMMYFUNCTION("""COMPUTED_VALUE"""),5050.0)</f>
        <v>5050</v>
      </c>
      <c r="E711" s="2">
        <f>IFERROR(__xludf.DUMMYFUNCTION("""COMPUTED_VALUE"""),5087.5)</f>
        <v>5087.5</v>
      </c>
      <c r="F711" s="2">
        <f>IFERROR(__xludf.DUMMYFUNCTION("""COMPUTED_VALUE"""),3.89924E7)</f>
        <v>38992400</v>
      </c>
      <c r="G711" s="2">
        <f t="shared" si="1"/>
        <v>62.5</v>
      </c>
    </row>
    <row r="712" ht="15.75" customHeight="1">
      <c r="A712" s="1">
        <f>IFERROR(__xludf.DUMMYFUNCTION("""COMPUTED_VALUE"""),44893.66666666667)</f>
        <v>44893.66667</v>
      </c>
      <c r="B712" s="2">
        <f>IFERROR(__xludf.DUMMYFUNCTION("""COMPUTED_VALUE"""),5087.5)</f>
        <v>5087.5</v>
      </c>
      <c r="C712" s="2">
        <f>IFERROR(__xludf.DUMMYFUNCTION("""COMPUTED_VALUE"""),5137.5)</f>
        <v>5137.5</v>
      </c>
      <c r="D712" s="2">
        <f>IFERROR(__xludf.DUMMYFUNCTION("""COMPUTED_VALUE"""),5062.5)</f>
        <v>5062.5</v>
      </c>
      <c r="E712" s="2">
        <f>IFERROR(__xludf.DUMMYFUNCTION("""COMPUTED_VALUE"""),5062.5)</f>
        <v>5062.5</v>
      </c>
      <c r="F712" s="2">
        <f>IFERROR(__xludf.DUMMYFUNCTION("""COMPUTED_VALUE"""),3.23895E7)</f>
        <v>32389500</v>
      </c>
      <c r="G712" s="2">
        <f t="shared" si="1"/>
        <v>75</v>
      </c>
    </row>
    <row r="713" ht="15.75" customHeight="1">
      <c r="A713" s="1">
        <f>IFERROR(__xludf.DUMMYFUNCTION("""COMPUTED_VALUE"""),44894.66666666667)</f>
        <v>44894.66667</v>
      </c>
      <c r="B713" s="2">
        <f>IFERROR(__xludf.DUMMYFUNCTION("""COMPUTED_VALUE"""),5125.0)</f>
        <v>5125</v>
      </c>
      <c r="C713" s="2">
        <f>IFERROR(__xludf.DUMMYFUNCTION("""COMPUTED_VALUE"""),5225.0)</f>
        <v>5225</v>
      </c>
      <c r="D713" s="2">
        <f>IFERROR(__xludf.DUMMYFUNCTION("""COMPUTED_VALUE"""),5100.0)</f>
        <v>5100</v>
      </c>
      <c r="E713" s="2">
        <f>IFERROR(__xludf.DUMMYFUNCTION("""COMPUTED_VALUE"""),5162.5)</f>
        <v>5162.5</v>
      </c>
      <c r="F713" s="2">
        <f>IFERROR(__xludf.DUMMYFUNCTION("""COMPUTED_VALUE"""),3.61305E7)</f>
        <v>36130500</v>
      </c>
      <c r="G713" s="2">
        <f t="shared" si="1"/>
        <v>162.5</v>
      </c>
    </row>
    <row r="714" ht="15.75" customHeight="1">
      <c r="A714" s="1">
        <f>IFERROR(__xludf.DUMMYFUNCTION("""COMPUTED_VALUE"""),44895.66666666667)</f>
        <v>44895.66667</v>
      </c>
      <c r="B714" s="2">
        <f>IFERROR(__xludf.DUMMYFUNCTION("""COMPUTED_VALUE"""),5162.5)</f>
        <v>5162.5</v>
      </c>
      <c r="C714" s="2">
        <f>IFERROR(__xludf.DUMMYFUNCTION("""COMPUTED_VALUE"""),5400.0)</f>
        <v>5400</v>
      </c>
      <c r="D714" s="2">
        <f>IFERROR(__xludf.DUMMYFUNCTION("""COMPUTED_VALUE"""),5162.5)</f>
        <v>5162.5</v>
      </c>
      <c r="E714" s="2">
        <f>IFERROR(__xludf.DUMMYFUNCTION("""COMPUTED_VALUE"""),5262.5)</f>
        <v>5262.5</v>
      </c>
      <c r="F714" s="2">
        <f>IFERROR(__xludf.DUMMYFUNCTION("""COMPUTED_VALUE"""),1.735684E8)</f>
        <v>173568400</v>
      </c>
      <c r="G714" s="2">
        <f t="shared" si="1"/>
        <v>237.5</v>
      </c>
    </row>
    <row r="715" ht="15.75" customHeight="1">
      <c r="A715" s="1">
        <f>IFERROR(__xludf.DUMMYFUNCTION("""COMPUTED_VALUE"""),44896.66666666667)</f>
        <v>44896.66667</v>
      </c>
      <c r="B715" s="2">
        <f>IFERROR(__xludf.DUMMYFUNCTION("""COMPUTED_VALUE"""),5262.5)</f>
        <v>5262.5</v>
      </c>
      <c r="C715" s="2">
        <f>IFERROR(__xludf.DUMMYFUNCTION("""COMPUTED_VALUE"""),5325.0)</f>
        <v>5325</v>
      </c>
      <c r="D715" s="2">
        <f>IFERROR(__xludf.DUMMYFUNCTION("""COMPUTED_VALUE"""),5200.0)</f>
        <v>5200</v>
      </c>
      <c r="E715" s="2">
        <f>IFERROR(__xludf.DUMMYFUNCTION("""COMPUTED_VALUE"""),5200.0)</f>
        <v>5200</v>
      </c>
      <c r="F715" s="2">
        <f>IFERROR(__xludf.DUMMYFUNCTION("""COMPUTED_VALUE"""),7.07465E7)</f>
        <v>70746500</v>
      </c>
      <c r="G715" s="2">
        <f t="shared" si="1"/>
        <v>125</v>
      </c>
    </row>
    <row r="716" ht="15.75" customHeight="1">
      <c r="A716" s="1">
        <f>IFERROR(__xludf.DUMMYFUNCTION("""COMPUTED_VALUE"""),44897.66666666667)</f>
        <v>44897.66667</v>
      </c>
      <c r="B716" s="2">
        <f>IFERROR(__xludf.DUMMYFUNCTION("""COMPUTED_VALUE"""),5200.0)</f>
        <v>5200</v>
      </c>
      <c r="C716" s="2">
        <f>IFERROR(__xludf.DUMMYFUNCTION("""COMPUTED_VALUE"""),5262.5)</f>
        <v>5262.5</v>
      </c>
      <c r="D716" s="2">
        <f>IFERROR(__xludf.DUMMYFUNCTION("""COMPUTED_VALUE"""),5162.5)</f>
        <v>5162.5</v>
      </c>
      <c r="E716" s="2">
        <f>IFERROR(__xludf.DUMMYFUNCTION("""COMPUTED_VALUE"""),5262.5)</f>
        <v>5262.5</v>
      </c>
      <c r="F716" s="2">
        <f>IFERROR(__xludf.DUMMYFUNCTION("""COMPUTED_VALUE"""),3.54057E7)</f>
        <v>35405700</v>
      </c>
      <c r="G716" s="2">
        <f t="shared" si="1"/>
        <v>100</v>
      </c>
    </row>
    <row r="717" ht="15.75" customHeight="1">
      <c r="A717" s="1">
        <f>IFERROR(__xludf.DUMMYFUNCTION("""COMPUTED_VALUE"""),44900.66666666667)</f>
        <v>44900.66667</v>
      </c>
      <c r="B717" s="2">
        <f>IFERROR(__xludf.DUMMYFUNCTION("""COMPUTED_VALUE"""),5325.0)</f>
        <v>5325</v>
      </c>
      <c r="C717" s="2">
        <f>IFERROR(__xludf.DUMMYFUNCTION("""COMPUTED_VALUE"""),5500.0)</f>
        <v>5500</v>
      </c>
      <c r="D717" s="2">
        <f>IFERROR(__xludf.DUMMYFUNCTION("""COMPUTED_VALUE"""),5287.5)</f>
        <v>5287.5</v>
      </c>
      <c r="E717" s="2">
        <f>IFERROR(__xludf.DUMMYFUNCTION("""COMPUTED_VALUE"""),5437.5)</f>
        <v>5437.5</v>
      </c>
      <c r="F717" s="2">
        <f>IFERROR(__xludf.DUMMYFUNCTION("""COMPUTED_VALUE"""),7.32364E7)</f>
        <v>73236400</v>
      </c>
      <c r="G717" s="2">
        <f t="shared" si="1"/>
        <v>237.5</v>
      </c>
    </row>
    <row r="718" ht="15.75" customHeight="1">
      <c r="A718" s="1">
        <f>IFERROR(__xludf.DUMMYFUNCTION("""COMPUTED_VALUE"""),44901.66666666667)</f>
        <v>44901.66667</v>
      </c>
      <c r="B718" s="2">
        <f>IFERROR(__xludf.DUMMYFUNCTION("""COMPUTED_VALUE"""),5437.5)</f>
        <v>5437.5</v>
      </c>
      <c r="C718" s="2">
        <f>IFERROR(__xludf.DUMMYFUNCTION("""COMPUTED_VALUE"""),5500.0)</f>
        <v>5500</v>
      </c>
      <c r="D718" s="2">
        <f>IFERROR(__xludf.DUMMYFUNCTION("""COMPUTED_VALUE"""),5362.5)</f>
        <v>5362.5</v>
      </c>
      <c r="E718" s="2">
        <f>IFERROR(__xludf.DUMMYFUNCTION("""COMPUTED_VALUE"""),5450.0)</f>
        <v>5450</v>
      </c>
      <c r="F718" s="2">
        <f>IFERROR(__xludf.DUMMYFUNCTION("""COMPUTED_VALUE"""),6.96801E7)</f>
        <v>69680100</v>
      </c>
      <c r="G718" s="2">
        <f t="shared" si="1"/>
        <v>137.5</v>
      </c>
    </row>
    <row r="719" ht="15.75" customHeight="1">
      <c r="A719" s="1">
        <f>IFERROR(__xludf.DUMMYFUNCTION("""COMPUTED_VALUE"""),44902.66666666667)</f>
        <v>44902.66667</v>
      </c>
      <c r="B719" s="2">
        <f>IFERROR(__xludf.DUMMYFUNCTION("""COMPUTED_VALUE"""),5312.5)</f>
        <v>5312.5</v>
      </c>
      <c r="C719" s="2">
        <f>IFERROR(__xludf.DUMMYFUNCTION("""COMPUTED_VALUE"""),5350.0)</f>
        <v>5350</v>
      </c>
      <c r="D719" s="2">
        <f>IFERROR(__xludf.DUMMYFUNCTION("""COMPUTED_VALUE"""),5187.5)</f>
        <v>5187.5</v>
      </c>
      <c r="E719" s="2">
        <f>IFERROR(__xludf.DUMMYFUNCTION("""COMPUTED_VALUE"""),5187.5)</f>
        <v>5187.5</v>
      </c>
      <c r="F719" s="2">
        <f>IFERROR(__xludf.DUMMYFUNCTION("""COMPUTED_VALUE"""),1.004431E8)</f>
        <v>100443100</v>
      </c>
      <c r="G719" s="2">
        <f t="shared" si="1"/>
        <v>262.5</v>
      </c>
    </row>
    <row r="720" ht="15.75" customHeight="1">
      <c r="A720" s="1">
        <f>IFERROR(__xludf.DUMMYFUNCTION("""COMPUTED_VALUE"""),44903.66666666667)</f>
        <v>44903.66667</v>
      </c>
      <c r="B720" s="2">
        <f>IFERROR(__xludf.DUMMYFUNCTION("""COMPUTED_VALUE"""),5037.5)</f>
        <v>5037.5</v>
      </c>
      <c r="C720" s="2">
        <f>IFERROR(__xludf.DUMMYFUNCTION("""COMPUTED_VALUE"""),5112.5)</f>
        <v>5112.5</v>
      </c>
      <c r="D720" s="2">
        <f>IFERROR(__xludf.DUMMYFUNCTION("""COMPUTED_VALUE"""),4987.5)</f>
        <v>4987.5</v>
      </c>
      <c r="E720" s="2">
        <f>IFERROR(__xludf.DUMMYFUNCTION("""COMPUTED_VALUE"""),5025.0)</f>
        <v>5025</v>
      </c>
      <c r="F720" s="2">
        <f>IFERROR(__xludf.DUMMYFUNCTION("""COMPUTED_VALUE"""),1.399542E8)</f>
        <v>139954200</v>
      </c>
      <c r="G720" s="2">
        <f t="shared" si="1"/>
        <v>200</v>
      </c>
    </row>
    <row r="721" ht="15.75" customHeight="1">
      <c r="A721" s="1">
        <f>IFERROR(__xludf.DUMMYFUNCTION("""COMPUTED_VALUE"""),44904.66666666667)</f>
        <v>44904.66667</v>
      </c>
      <c r="B721" s="2">
        <f>IFERROR(__xludf.DUMMYFUNCTION("""COMPUTED_VALUE"""),4975.0)</f>
        <v>4975</v>
      </c>
      <c r="C721" s="2">
        <f>IFERROR(__xludf.DUMMYFUNCTION("""COMPUTED_VALUE"""),5025.0)</f>
        <v>5025</v>
      </c>
      <c r="D721" s="2">
        <f>IFERROR(__xludf.DUMMYFUNCTION("""COMPUTED_VALUE"""),4912.5)</f>
        <v>4912.5</v>
      </c>
      <c r="E721" s="2">
        <f>IFERROR(__xludf.DUMMYFUNCTION("""COMPUTED_VALUE"""),4962.5)</f>
        <v>4962.5</v>
      </c>
      <c r="F721" s="2">
        <f>IFERROR(__xludf.DUMMYFUNCTION("""COMPUTED_VALUE"""),1.206691E8)</f>
        <v>120669100</v>
      </c>
      <c r="G721" s="2">
        <f t="shared" si="1"/>
        <v>112.5</v>
      </c>
    </row>
    <row r="722" ht="15.75" customHeight="1">
      <c r="A722" s="1">
        <f>IFERROR(__xludf.DUMMYFUNCTION("""COMPUTED_VALUE"""),44907.66666666667)</f>
        <v>44907.66667</v>
      </c>
      <c r="B722" s="2">
        <f>IFERROR(__xludf.DUMMYFUNCTION("""COMPUTED_VALUE"""),4912.5)</f>
        <v>4912.5</v>
      </c>
      <c r="C722" s="2">
        <f>IFERROR(__xludf.DUMMYFUNCTION("""COMPUTED_VALUE"""),5000.0)</f>
        <v>5000</v>
      </c>
      <c r="D722" s="2">
        <f>IFERROR(__xludf.DUMMYFUNCTION("""COMPUTED_VALUE"""),4887.5)</f>
        <v>4887.5</v>
      </c>
      <c r="E722" s="2">
        <f>IFERROR(__xludf.DUMMYFUNCTION("""COMPUTED_VALUE"""),4975.0)</f>
        <v>4975</v>
      </c>
      <c r="F722" s="2">
        <f>IFERROR(__xludf.DUMMYFUNCTION("""COMPUTED_VALUE"""),9.18588E7)</f>
        <v>91858800</v>
      </c>
      <c r="G722" s="2">
        <f t="shared" si="1"/>
        <v>112.5</v>
      </c>
    </row>
    <row r="723" ht="15.75" customHeight="1">
      <c r="A723" s="1">
        <f>IFERROR(__xludf.DUMMYFUNCTION("""COMPUTED_VALUE"""),44908.66666666667)</f>
        <v>44908.66667</v>
      </c>
      <c r="B723" s="2">
        <f>IFERROR(__xludf.DUMMYFUNCTION("""COMPUTED_VALUE"""),4887.5)</f>
        <v>4887.5</v>
      </c>
      <c r="C723" s="2">
        <f>IFERROR(__xludf.DUMMYFUNCTION("""COMPUTED_VALUE"""),5000.0)</f>
        <v>5000</v>
      </c>
      <c r="D723" s="2">
        <f>IFERROR(__xludf.DUMMYFUNCTION("""COMPUTED_VALUE"""),4887.5)</f>
        <v>4887.5</v>
      </c>
      <c r="E723" s="2">
        <f>IFERROR(__xludf.DUMMYFUNCTION("""COMPUTED_VALUE"""),4950.0)</f>
        <v>4950</v>
      </c>
      <c r="F723" s="2">
        <f>IFERROR(__xludf.DUMMYFUNCTION("""COMPUTED_VALUE"""),1.12088E8)</f>
        <v>112088000</v>
      </c>
      <c r="G723" s="2">
        <f t="shared" si="1"/>
        <v>112.5</v>
      </c>
    </row>
    <row r="724" ht="15.75" customHeight="1">
      <c r="A724" s="1">
        <f>IFERROR(__xludf.DUMMYFUNCTION("""COMPUTED_VALUE"""),44909.66666666667)</f>
        <v>44909.66667</v>
      </c>
      <c r="B724" s="2">
        <f>IFERROR(__xludf.DUMMYFUNCTION("""COMPUTED_VALUE"""),5037.5)</f>
        <v>5037.5</v>
      </c>
      <c r="C724" s="2">
        <f>IFERROR(__xludf.DUMMYFUNCTION("""COMPUTED_VALUE"""),5050.0)</f>
        <v>5050</v>
      </c>
      <c r="D724" s="2">
        <f>IFERROR(__xludf.DUMMYFUNCTION("""COMPUTED_VALUE"""),4975.0)</f>
        <v>4975</v>
      </c>
      <c r="E724" s="2">
        <f>IFERROR(__xludf.DUMMYFUNCTION("""COMPUTED_VALUE"""),4975.0)</f>
        <v>4975</v>
      </c>
      <c r="F724" s="2">
        <f>IFERROR(__xludf.DUMMYFUNCTION("""COMPUTED_VALUE"""),8.13446E7)</f>
        <v>81344600</v>
      </c>
      <c r="G724" s="2">
        <f t="shared" si="1"/>
        <v>100</v>
      </c>
    </row>
    <row r="725" ht="15.75" customHeight="1">
      <c r="A725" s="1">
        <f>IFERROR(__xludf.DUMMYFUNCTION("""COMPUTED_VALUE"""),44910.66666666667)</f>
        <v>44910.66667</v>
      </c>
      <c r="B725" s="2">
        <f>IFERROR(__xludf.DUMMYFUNCTION("""COMPUTED_VALUE"""),4950.0)</f>
        <v>4950</v>
      </c>
      <c r="C725" s="2">
        <f>IFERROR(__xludf.DUMMYFUNCTION("""COMPUTED_VALUE"""),5012.5)</f>
        <v>5012.5</v>
      </c>
      <c r="D725" s="2">
        <f>IFERROR(__xludf.DUMMYFUNCTION("""COMPUTED_VALUE"""),4950.0)</f>
        <v>4950</v>
      </c>
      <c r="E725" s="2">
        <f>IFERROR(__xludf.DUMMYFUNCTION("""COMPUTED_VALUE"""),4950.0)</f>
        <v>4950</v>
      </c>
      <c r="F725" s="2">
        <f>IFERROR(__xludf.DUMMYFUNCTION("""COMPUTED_VALUE"""),4.13367E7)</f>
        <v>41336700</v>
      </c>
      <c r="G725" s="2">
        <f t="shared" si="1"/>
        <v>62.5</v>
      </c>
    </row>
    <row r="726" ht="15.75" customHeight="1">
      <c r="A726" s="1">
        <f>IFERROR(__xludf.DUMMYFUNCTION("""COMPUTED_VALUE"""),44911.66666666667)</f>
        <v>44911.66667</v>
      </c>
      <c r="B726" s="2">
        <f>IFERROR(__xludf.DUMMYFUNCTION("""COMPUTED_VALUE"""),4912.5)</f>
        <v>4912.5</v>
      </c>
      <c r="C726" s="2">
        <f>IFERROR(__xludf.DUMMYFUNCTION("""COMPUTED_VALUE"""),5050.0)</f>
        <v>5050</v>
      </c>
      <c r="D726" s="2">
        <f>IFERROR(__xludf.DUMMYFUNCTION("""COMPUTED_VALUE"""),4912.5)</f>
        <v>4912.5</v>
      </c>
      <c r="E726" s="2">
        <f>IFERROR(__xludf.DUMMYFUNCTION("""COMPUTED_VALUE"""),5050.0)</f>
        <v>5050</v>
      </c>
      <c r="F726" s="2">
        <f>IFERROR(__xludf.DUMMYFUNCTION("""COMPUTED_VALUE"""),3.851262E8)</f>
        <v>385126200</v>
      </c>
      <c r="G726" s="2">
        <f t="shared" si="1"/>
        <v>137.5</v>
      </c>
    </row>
    <row r="727" ht="15.75" customHeight="1">
      <c r="A727" s="1">
        <f>IFERROR(__xludf.DUMMYFUNCTION("""COMPUTED_VALUE"""),44914.66666666667)</f>
        <v>44914.66667</v>
      </c>
      <c r="B727" s="2">
        <f>IFERROR(__xludf.DUMMYFUNCTION("""COMPUTED_VALUE"""),5000.0)</f>
        <v>5000</v>
      </c>
      <c r="C727" s="2">
        <f>IFERROR(__xludf.DUMMYFUNCTION("""COMPUTED_VALUE"""),5037.5)</f>
        <v>5037.5</v>
      </c>
      <c r="D727" s="2">
        <f>IFERROR(__xludf.DUMMYFUNCTION("""COMPUTED_VALUE"""),4950.0)</f>
        <v>4950</v>
      </c>
      <c r="E727" s="2">
        <f>IFERROR(__xludf.DUMMYFUNCTION("""COMPUTED_VALUE"""),5000.0)</f>
        <v>5000</v>
      </c>
      <c r="F727" s="2">
        <f>IFERROR(__xludf.DUMMYFUNCTION("""COMPUTED_VALUE"""),5.04357E7)</f>
        <v>50435700</v>
      </c>
      <c r="G727" s="2">
        <f t="shared" si="1"/>
        <v>100</v>
      </c>
    </row>
    <row r="728" ht="15.75" customHeight="1">
      <c r="A728" s="1">
        <f>IFERROR(__xludf.DUMMYFUNCTION("""COMPUTED_VALUE"""),44915.66666666667)</f>
        <v>44915.66667</v>
      </c>
      <c r="B728" s="2">
        <f>IFERROR(__xludf.DUMMYFUNCTION("""COMPUTED_VALUE"""),5000.0)</f>
        <v>5000</v>
      </c>
      <c r="C728" s="2">
        <f>IFERROR(__xludf.DUMMYFUNCTION("""COMPUTED_VALUE"""),5025.0)</f>
        <v>5025</v>
      </c>
      <c r="D728" s="2">
        <f>IFERROR(__xludf.DUMMYFUNCTION("""COMPUTED_VALUE"""),4975.0)</f>
        <v>4975</v>
      </c>
      <c r="E728" s="2">
        <f>IFERROR(__xludf.DUMMYFUNCTION("""COMPUTED_VALUE"""),5025.0)</f>
        <v>5025</v>
      </c>
      <c r="F728" s="2">
        <f>IFERROR(__xludf.DUMMYFUNCTION("""COMPUTED_VALUE"""),2.83169E7)</f>
        <v>28316900</v>
      </c>
      <c r="G728" s="2">
        <f t="shared" si="1"/>
        <v>50</v>
      </c>
    </row>
    <row r="729" ht="15.75" customHeight="1">
      <c r="A729" s="1">
        <f>IFERROR(__xludf.DUMMYFUNCTION("""COMPUTED_VALUE"""),44916.66666666667)</f>
        <v>44916.66667</v>
      </c>
      <c r="B729" s="2">
        <f>IFERROR(__xludf.DUMMYFUNCTION("""COMPUTED_VALUE"""),5062.5)</f>
        <v>5062.5</v>
      </c>
      <c r="C729" s="2">
        <f>IFERROR(__xludf.DUMMYFUNCTION("""COMPUTED_VALUE"""),5062.5)</f>
        <v>5062.5</v>
      </c>
      <c r="D729" s="2">
        <f>IFERROR(__xludf.DUMMYFUNCTION("""COMPUTED_VALUE"""),5000.0)</f>
        <v>5000</v>
      </c>
      <c r="E729" s="2">
        <f>IFERROR(__xludf.DUMMYFUNCTION("""COMPUTED_VALUE"""),5000.0)</f>
        <v>5000</v>
      </c>
      <c r="F729" s="2">
        <f>IFERROR(__xludf.DUMMYFUNCTION("""COMPUTED_VALUE"""),1.89726E7)</f>
        <v>18972600</v>
      </c>
      <c r="G729" s="2">
        <f t="shared" si="1"/>
        <v>62.5</v>
      </c>
    </row>
    <row r="730" ht="15.75" customHeight="1">
      <c r="A730" s="1">
        <f>IFERROR(__xludf.DUMMYFUNCTION("""COMPUTED_VALUE"""),44917.66666666667)</f>
        <v>44917.66667</v>
      </c>
      <c r="B730" s="2">
        <f>IFERROR(__xludf.DUMMYFUNCTION("""COMPUTED_VALUE"""),5050.0)</f>
        <v>5050</v>
      </c>
      <c r="C730" s="2">
        <f>IFERROR(__xludf.DUMMYFUNCTION("""COMPUTED_VALUE"""),5050.0)</f>
        <v>5050</v>
      </c>
      <c r="D730" s="2">
        <f>IFERROR(__xludf.DUMMYFUNCTION("""COMPUTED_VALUE"""),4975.0)</f>
        <v>4975</v>
      </c>
      <c r="E730" s="2">
        <f>IFERROR(__xludf.DUMMYFUNCTION("""COMPUTED_VALUE"""),4975.0)</f>
        <v>4975</v>
      </c>
      <c r="F730" s="2">
        <f>IFERROR(__xludf.DUMMYFUNCTION("""COMPUTED_VALUE"""),3.94181E7)</f>
        <v>39418100</v>
      </c>
      <c r="G730" s="2">
        <f t="shared" si="1"/>
        <v>75</v>
      </c>
    </row>
    <row r="731" ht="15.75" customHeight="1">
      <c r="A731" s="1">
        <f>IFERROR(__xludf.DUMMYFUNCTION("""COMPUTED_VALUE"""),44918.66666666667)</f>
        <v>44918.66667</v>
      </c>
      <c r="B731" s="2">
        <f>IFERROR(__xludf.DUMMYFUNCTION("""COMPUTED_VALUE"""),4950.0)</f>
        <v>4950</v>
      </c>
      <c r="C731" s="2">
        <f>IFERROR(__xludf.DUMMYFUNCTION("""COMPUTED_VALUE"""),5000.0)</f>
        <v>5000</v>
      </c>
      <c r="D731" s="2">
        <f>IFERROR(__xludf.DUMMYFUNCTION("""COMPUTED_VALUE"""),4950.0)</f>
        <v>4950</v>
      </c>
      <c r="E731" s="2">
        <f>IFERROR(__xludf.DUMMYFUNCTION("""COMPUTED_VALUE"""),4962.5)</f>
        <v>4962.5</v>
      </c>
      <c r="F731" s="2">
        <f>IFERROR(__xludf.DUMMYFUNCTION("""COMPUTED_VALUE"""),1.92856E7)</f>
        <v>19285600</v>
      </c>
      <c r="G731" s="2">
        <f t="shared" si="1"/>
        <v>50</v>
      </c>
    </row>
    <row r="732" ht="15.75" customHeight="1">
      <c r="A732" s="1">
        <f>IFERROR(__xludf.DUMMYFUNCTION("""COMPUTED_VALUE"""),44921.66666666667)</f>
        <v>44921.66667</v>
      </c>
      <c r="B732" s="2">
        <f>IFERROR(__xludf.DUMMYFUNCTION("""COMPUTED_VALUE"""),4987.5)</f>
        <v>4987.5</v>
      </c>
      <c r="C732" s="2">
        <f>IFERROR(__xludf.DUMMYFUNCTION("""COMPUTED_VALUE"""),5025.0)</f>
        <v>5025</v>
      </c>
      <c r="D732" s="2">
        <f>IFERROR(__xludf.DUMMYFUNCTION("""COMPUTED_VALUE"""),4975.0)</f>
        <v>4975</v>
      </c>
      <c r="E732" s="2">
        <f>IFERROR(__xludf.DUMMYFUNCTION("""COMPUTED_VALUE"""),5025.0)</f>
        <v>5025</v>
      </c>
      <c r="F732" s="2">
        <f>IFERROR(__xludf.DUMMYFUNCTION("""COMPUTED_VALUE"""),9789400.0)</f>
        <v>9789400</v>
      </c>
      <c r="G732" s="2">
        <f t="shared" si="1"/>
        <v>62.5</v>
      </c>
    </row>
    <row r="733" ht="15.75" customHeight="1">
      <c r="A733" s="1">
        <f>IFERROR(__xludf.DUMMYFUNCTION("""COMPUTED_VALUE"""),44922.66666666667)</f>
        <v>44922.66667</v>
      </c>
      <c r="B733" s="2">
        <f>IFERROR(__xludf.DUMMYFUNCTION("""COMPUTED_VALUE"""),5025.0)</f>
        <v>5025</v>
      </c>
      <c r="C733" s="2">
        <f>IFERROR(__xludf.DUMMYFUNCTION("""COMPUTED_VALUE"""),5025.0)</f>
        <v>5025</v>
      </c>
      <c r="D733" s="2">
        <f>IFERROR(__xludf.DUMMYFUNCTION("""COMPUTED_VALUE"""),4937.5)</f>
        <v>4937.5</v>
      </c>
      <c r="E733" s="2">
        <f>IFERROR(__xludf.DUMMYFUNCTION("""COMPUTED_VALUE"""),4975.0)</f>
        <v>4975</v>
      </c>
      <c r="F733" s="2">
        <f>IFERROR(__xludf.DUMMYFUNCTION("""COMPUTED_VALUE"""),2.1641E7)</f>
        <v>21641000</v>
      </c>
      <c r="G733" s="2">
        <f t="shared" si="1"/>
        <v>87.5</v>
      </c>
    </row>
    <row r="734" ht="15.75" customHeight="1">
      <c r="A734" s="1">
        <f>IFERROR(__xludf.DUMMYFUNCTION("""COMPUTED_VALUE"""),44923.66666666667)</f>
        <v>44923.66667</v>
      </c>
      <c r="B734" s="2">
        <f>IFERROR(__xludf.DUMMYFUNCTION("""COMPUTED_VALUE"""),5000.0)</f>
        <v>5000</v>
      </c>
      <c r="C734" s="2">
        <f>IFERROR(__xludf.DUMMYFUNCTION("""COMPUTED_VALUE"""),5000.0)</f>
        <v>5000</v>
      </c>
      <c r="D734" s="2">
        <f>IFERROR(__xludf.DUMMYFUNCTION("""COMPUTED_VALUE"""),4925.0)</f>
        <v>4925</v>
      </c>
      <c r="E734" s="2">
        <f>IFERROR(__xludf.DUMMYFUNCTION("""COMPUTED_VALUE"""),4987.5)</f>
        <v>4987.5</v>
      </c>
      <c r="F734" s="2">
        <f>IFERROR(__xludf.DUMMYFUNCTION("""COMPUTED_VALUE"""),1.51292E7)</f>
        <v>15129200</v>
      </c>
      <c r="G734" s="2">
        <f t="shared" si="1"/>
        <v>75</v>
      </c>
    </row>
    <row r="735" ht="15.75" customHeight="1">
      <c r="A735" s="1">
        <f>IFERROR(__xludf.DUMMYFUNCTION("""COMPUTED_VALUE"""),44924.66666666667)</f>
        <v>44924.66667</v>
      </c>
      <c r="B735" s="2">
        <f>IFERROR(__xludf.DUMMYFUNCTION("""COMPUTED_VALUE"""),4950.0)</f>
        <v>4950</v>
      </c>
      <c r="C735" s="2">
        <f>IFERROR(__xludf.DUMMYFUNCTION("""COMPUTED_VALUE"""),4987.5)</f>
        <v>4987.5</v>
      </c>
      <c r="D735" s="2">
        <f>IFERROR(__xludf.DUMMYFUNCTION("""COMPUTED_VALUE"""),4937.5)</f>
        <v>4937.5</v>
      </c>
      <c r="E735" s="2">
        <f>IFERROR(__xludf.DUMMYFUNCTION("""COMPUTED_VALUE"""),4987.5)</f>
        <v>4987.5</v>
      </c>
      <c r="F735" s="2">
        <f>IFERROR(__xludf.DUMMYFUNCTION("""COMPUTED_VALUE"""),2.84907E7)</f>
        <v>28490700</v>
      </c>
      <c r="G735" s="2">
        <f t="shared" si="1"/>
        <v>50</v>
      </c>
    </row>
    <row r="736" ht="15.75" customHeight="1">
      <c r="A736" s="1">
        <f>IFERROR(__xludf.DUMMYFUNCTION("""COMPUTED_VALUE"""),44925.66666666667)</f>
        <v>44925.66667</v>
      </c>
      <c r="B736" s="2">
        <f>IFERROR(__xludf.DUMMYFUNCTION("""COMPUTED_VALUE"""),5000.0)</f>
        <v>5000</v>
      </c>
      <c r="C736" s="2">
        <f>IFERROR(__xludf.DUMMYFUNCTION("""COMPUTED_VALUE"""),5025.0)</f>
        <v>5025</v>
      </c>
      <c r="D736" s="2">
        <f>IFERROR(__xludf.DUMMYFUNCTION("""COMPUTED_VALUE"""),4962.5)</f>
        <v>4962.5</v>
      </c>
      <c r="E736" s="2">
        <f>IFERROR(__xludf.DUMMYFUNCTION("""COMPUTED_VALUE"""),4962.5)</f>
        <v>4962.5</v>
      </c>
      <c r="F736" s="2">
        <f>IFERROR(__xludf.DUMMYFUNCTION("""COMPUTED_VALUE"""),2.03279E7)</f>
        <v>20327900</v>
      </c>
      <c r="G736" s="2">
        <f t="shared" si="1"/>
        <v>62.5</v>
      </c>
    </row>
    <row r="737" ht="15.75" customHeight="1">
      <c r="A737" s="1">
        <f>IFERROR(__xludf.DUMMYFUNCTION("""COMPUTED_VALUE"""),44928.66666666667)</f>
        <v>44928.66667</v>
      </c>
      <c r="B737" s="2">
        <f>IFERROR(__xludf.DUMMYFUNCTION("""COMPUTED_VALUE"""),4962.5)</f>
        <v>4962.5</v>
      </c>
      <c r="C737" s="2">
        <f>IFERROR(__xludf.DUMMYFUNCTION("""COMPUTED_VALUE"""),4987.5)</f>
        <v>4987.5</v>
      </c>
      <c r="D737" s="2">
        <f>IFERROR(__xludf.DUMMYFUNCTION("""COMPUTED_VALUE"""),4937.5)</f>
        <v>4937.5</v>
      </c>
      <c r="E737" s="2">
        <f>IFERROR(__xludf.DUMMYFUNCTION("""COMPUTED_VALUE"""),4937.5)</f>
        <v>4937.5</v>
      </c>
      <c r="F737" s="2">
        <f>IFERROR(__xludf.DUMMYFUNCTION("""COMPUTED_VALUE"""),2992700.0)</f>
        <v>2992700</v>
      </c>
      <c r="G737" s="2">
        <f t="shared" si="1"/>
        <v>50</v>
      </c>
    </row>
    <row r="738" ht="15.75" customHeight="1">
      <c r="A738" s="1">
        <f>IFERROR(__xludf.DUMMYFUNCTION("""COMPUTED_VALUE"""),44929.66666666667)</f>
        <v>44929.66667</v>
      </c>
      <c r="B738" s="2">
        <f>IFERROR(__xludf.DUMMYFUNCTION("""COMPUTED_VALUE"""),4925.0)</f>
        <v>4925</v>
      </c>
      <c r="C738" s="2">
        <f>IFERROR(__xludf.DUMMYFUNCTION("""COMPUTED_VALUE"""),4987.5)</f>
        <v>4987.5</v>
      </c>
      <c r="D738" s="2">
        <f>IFERROR(__xludf.DUMMYFUNCTION("""COMPUTED_VALUE"""),4925.0)</f>
        <v>4925</v>
      </c>
      <c r="E738" s="2">
        <f>IFERROR(__xludf.DUMMYFUNCTION("""COMPUTED_VALUE"""),4975.0)</f>
        <v>4975</v>
      </c>
      <c r="F738" s="2">
        <f>IFERROR(__xludf.DUMMYFUNCTION("""COMPUTED_VALUE"""),6907600.0)</f>
        <v>6907600</v>
      </c>
      <c r="G738" s="2">
        <f t="shared" si="1"/>
        <v>62.5</v>
      </c>
    </row>
    <row r="739" ht="15.75" customHeight="1">
      <c r="A739" s="1">
        <f>IFERROR(__xludf.DUMMYFUNCTION("""COMPUTED_VALUE"""),44930.66666666667)</f>
        <v>44930.66667</v>
      </c>
      <c r="B739" s="2">
        <f>IFERROR(__xludf.DUMMYFUNCTION("""COMPUTED_VALUE"""),5012.5)</f>
        <v>5012.5</v>
      </c>
      <c r="C739" s="2">
        <f>IFERROR(__xludf.DUMMYFUNCTION("""COMPUTED_VALUE"""),5037.5)</f>
        <v>5037.5</v>
      </c>
      <c r="D739" s="2">
        <f>IFERROR(__xludf.DUMMYFUNCTION("""COMPUTED_VALUE"""),4987.5)</f>
        <v>4987.5</v>
      </c>
      <c r="E739" s="2">
        <f>IFERROR(__xludf.DUMMYFUNCTION("""COMPUTED_VALUE"""),5012.5)</f>
        <v>5012.5</v>
      </c>
      <c r="F739" s="2">
        <f>IFERROR(__xludf.DUMMYFUNCTION("""COMPUTED_VALUE"""),1.92879E7)</f>
        <v>19287900</v>
      </c>
      <c r="G739" s="2">
        <f t="shared" si="1"/>
        <v>62.5</v>
      </c>
    </row>
    <row r="740" ht="15.75" customHeight="1">
      <c r="A740" s="1">
        <f>IFERROR(__xludf.DUMMYFUNCTION("""COMPUTED_VALUE"""),44931.66666666667)</f>
        <v>44931.66667</v>
      </c>
      <c r="B740" s="2">
        <f>IFERROR(__xludf.DUMMYFUNCTION("""COMPUTED_VALUE"""),5025.0)</f>
        <v>5025</v>
      </c>
      <c r="C740" s="2">
        <f>IFERROR(__xludf.DUMMYFUNCTION("""COMPUTED_VALUE"""),5025.0)</f>
        <v>5025</v>
      </c>
      <c r="D740" s="2">
        <f>IFERROR(__xludf.DUMMYFUNCTION("""COMPUTED_VALUE"""),4862.5)</f>
        <v>4862.5</v>
      </c>
      <c r="E740" s="2">
        <f>IFERROR(__xludf.DUMMYFUNCTION("""COMPUTED_VALUE"""),4912.5)</f>
        <v>4912.5</v>
      </c>
      <c r="F740" s="2">
        <f>IFERROR(__xludf.DUMMYFUNCTION("""COMPUTED_VALUE"""),4.24729E7)</f>
        <v>42472900</v>
      </c>
      <c r="G740" s="2">
        <f t="shared" si="1"/>
        <v>162.5</v>
      </c>
    </row>
    <row r="741" ht="15.75" customHeight="1">
      <c r="A741" s="1">
        <f>IFERROR(__xludf.DUMMYFUNCTION("""COMPUTED_VALUE"""),44932.66666666667)</f>
        <v>44932.66667</v>
      </c>
      <c r="B741" s="2">
        <f>IFERROR(__xludf.DUMMYFUNCTION("""COMPUTED_VALUE"""),4862.5)</f>
        <v>4862.5</v>
      </c>
      <c r="C741" s="2">
        <f>IFERROR(__xludf.DUMMYFUNCTION("""COMPUTED_VALUE"""),4900.0)</f>
        <v>4900</v>
      </c>
      <c r="D741" s="2">
        <f>IFERROR(__xludf.DUMMYFUNCTION("""COMPUTED_VALUE"""),4800.0)</f>
        <v>4800</v>
      </c>
      <c r="E741" s="2">
        <f>IFERROR(__xludf.DUMMYFUNCTION("""COMPUTED_VALUE"""),4900.0)</f>
        <v>4900</v>
      </c>
      <c r="F741" s="2">
        <f>IFERROR(__xludf.DUMMYFUNCTION("""COMPUTED_VALUE"""),2.20485E7)</f>
        <v>22048500</v>
      </c>
      <c r="G741" s="2">
        <f t="shared" si="1"/>
        <v>112.5</v>
      </c>
    </row>
    <row r="742" ht="15.75" customHeight="1">
      <c r="A742" s="1">
        <f>IFERROR(__xludf.DUMMYFUNCTION("""COMPUTED_VALUE"""),44935.66666666667)</f>
        <v>44935.66667</v>
      </c>
      <c r="B742" s="2">
        <f>IFERROR(__xludf.DUMMYFUNCTION("""COMPUTED_VALUE"""),4875.0)</f>
        <v>4875</v>
      </c>
      <c r="C742" s="2">
        <f>IFERROR(__xludf.DUMMYFUNCTION("""COMPUTED_VALUE"""),4925.0)</f>
        <v>4925</v>
      </c>
      <c r="D742" s="2">
        <f>IFERROR(__xludf.DUMMYFUNCTION("""COMPUTED_VALUE"""),4800.0)</f>
        <v>4800</v>
      </c>
      <c r="E742" s="2">
        <f>IFERROR(__xludf.DUMMYFUNCTION("""COMPUTED_VALUE"""),4862.5)</f>
        <v>4862.5</v>
      </c>
      <c r="F742" s="2">
        <f>IFERROR(__xludf.DUMMYFUNCTION("""COMPUTED_VALUE"""),3.36253E7)</f>
        <v>33625300</v>
      </c>
      <c r="G742" s="2">
        <f t="shared" si="1"/>
        <v>125</v>
      </c>
    </row>
    <row r="743" ht="15.75" customHeight="1">
      <c r="A743" s="1">
        <f>IFERROR(__xludf.DUMMYFUNCTION("""COMPUTED_VALUE"""),44936.66666666667)</f>
        <v>44936.66667</v>
      </c>
      <c r="B743" s="2">
        <f>IFERROR(__xludf.DUMMYFUNCTION("""COMPUTED_VALUE"""),4750.0)</f>
        <v>4750</v>
      </c>
      <c r="C743" s="2">
        <f>IFERROR(__xludf.DUMMYFUNCTION("""COMPUTED_VALUE"""),4775.0)</f>
        <v>4775</v>
      </c>
      <c r="D743" s="2">
        <f>IFERROR(__xludf.DUMMYFUNCTION("""COMPUTED_VALUE"""),4587.5)</f>
        <v>4587.5</v>
      </c>
      <c r="E743" s="2">
        <f>IFERROR(__xludf.DUMMYFUNCTION("""COMPUTED_VALUE"""),4637.5)</f>
        <v>4637.5</v>
      </c>
      <c r="F743" s="2">
        <f>IFERROR(__xludf.DUMMYFUNCTION("""COMPUTED_VALUE"""),1.072694E8)</f>
        <v>107269400</v>
      </c>
      <c r="G743" s="2">
        <f t="shared" si="1"/>
        <v>275</v>
      </c>
    </row>
    <row r="744" ht="15.75" customHeight="1">
      <c r="A744" s="1">
        <f>IFERROR(__xludf.DUMMYFUNCTION("""COMPUTED_VALUE"""),44937.66666666667)</f>
        <v>44937.66667</v>
      </c>
      <c r="B744" s="2">
        <f>IFERROR(__xludf.DUMMYFUNCTION("""COMPUTED_VALUE"""),4537.5)</f>
        <v>4537.5</v>
      </c>
      <c r="C744" s="2">
        <f>IFERROR(__xludf.DUMMYFUNCTION("""COMPUTED_VALUE"""),4587.5)</f>
        <v>4587.5</v>
      </c>
      <c r="D744" s="2">
        <f>IFERROR(__xludf.DUMMYFUNCTION("""COMPUTED_VALUE"""),4450.0)</f>
        <v>4450</v>
      </c>
      <c r="E744" s="2">
        <f>IFERROR(__xludf.DUMMYFUNCTION("""COMPUTED_VALUE"""),4475.0)</f>
        <v>4475</v>
      </c>
      <c r="F744" s="2">
        <f>IFERROR(__xludf.DUMMYFUNCTION("""COMPUTED_VALUE"""),9.69575E7)</f>
        <v>96957500</v>
      </c>
      <c r="G744" s="2">
        <f t="shared" si="1"/>
        <v>187.5</v>
      </c>
    </row>
    <row r="745" ht="15.75" customHeight="1">
      <c r="A745" s="1">
        <f>IFERROR(__xludf.DUMMYFUNCTION("""COMPUTED_VALUE"""),44938.66666666667)</f>
        <v>44938.66667</v>
      </c>
      <c r="B745" s="2">
        <f>IFERROR(__xludf.DUMMYFUNCTION("""COMPUTED_VALUE"""),4500.0)</f>
        <v>4500</v>
      </c>
      <c r="C745" s="2">
        <f>IFERROR(__xludf.DUMMYFUNCTION("""COMPUTED_VALUE"""),4725.0)</f>
        <v>4725</v>
      </c>
      <c r="D745" s="2">
        <f>IFERROR(__xludf.DUMMYFUNCTION("""COMPUTED_VALUE"""),4500.0)</f>
        <v>4500</v>
      </c>
      <c r="E745" s="2">
        <f>IFERROR(__xludf.DUMMYFUNCTION("""COMPUTED_VALUE"""),4600.0)</f>
        <v>4600</v>
      </c>
      <c r="F745" s="2">
        <f>IFERROR(__xludf.DUMMYFUNCTION("""COMPUTED_VALUE"""),1.098297E8)</f>
        <v>109829700</v>
      </c>
      <c r="G745" s="2">
        <f t="shared" si="1"/>
        <v>250</v>
      </c>
    </row>
    <row r="746" ht="15.75" customHeight="1">
      <c r="A746" s="1">
        <f>IFERROR(__xludf.DUMMYFUNCTION("""COMPUTED_VALUE"""),44939.66666666667)</f>
        <v>44939.66667</v>
      </c>
      <c r="B746" s="2">
        <f>IFERROR(__xludf.DUMMYFUNCTION("""COMPUTED_VALUE"""),4562.5)</f>
        <v>4562.5</v>
      </c>
      <c r="C746" s="2">
        <f>IFERROR(__xludf.DUMMYFUNCTION("""COMPUTED_VALUE"""),4612.5)</f>
        <v>4612.5</v>
      </c>
      <c r="D746" s="2">
        <f>IFERROR(__xludf.DUMMYFUNCTION("""COMPUTED_VALUE"""),4525.0)</f>
        <v>4525</v>
      </c>
      <c r="E746" s="2">
        <f>IFERROR(__xludf.DUMMYFUNCTION("""COMPUTED_VALUE"""),4587.5)</f>
        <v>4587.5</v>
      </c>
      <c r="F746" s="2">
        <f>IFERROR(__xludf.DUMMYFUNCTION("""COMPUTED_VALUE"""),5.37419E7)</f>
        <v>53741900</v>
      </c>
      <c r="G746" s="2">
        <f t="shared" si="1"/>
        <v>87.5</v>
      </c>
    </row>
    <row r="747" ht="15.75" customHeight="1">
      <c r="A747" s="1">
        <f>IFERROR(__xludf.DUMMYFUNCTION("""COMPUTED_VALUE"""),44942.66666666667)</f>
        <v>44942.66667</v>
      </c>
      <c r="B747" s="2">
        <f>IFERROR(__xludf.DUMMYFUNCTION("""COMPUTED_VALUE"""),4550.0)</f>
        <v>4550</v>
      </c>
      <c r="C747" s="2">
        <f>IFERROR(__xludf.DUMMYFUNCTION("""COMPUTED_VALUE"""),4675.0)</f>
        <v>4675</v>
      </c>
      <c r="D747" s="2">
        <f>IFERROR(__xludf.DUMMYFUNCTION("""COMPUTED_VALUE"""),4550.0)</f>
        <v>4550</v>
      </c>
      <c r="E747" s="2">
        <f>IFERROR(__xludf.DUMMYFUNCTION("""COMPUTED_VALUE"""),4650.0)</f>
        <v>4650</v>
      </c>
      <c r="F747" s="2">
        <f>IFERROR(__xludf.DUMMYFUNCTION("""COMPUTED_VALUE"""),7.2855E7)</f>
        <v>72855000</v>
      </c>
      <c r="G747" s="2">
        <f t="shared" si="1"/>
        <v>125</v>
      </c>
    </row>
    <row r="748" ht="15.75" customHeight="1">
      <c r="A748" s="1">
        <f>IFERROR(__xludf.DUMMYFUNCTION("""COMPUTED_VALUE"""),44943.66666666667)</f>
        <v>44943.66667</v>
      </c>
      <c r="B748" s="2">
        <f>IFERROR(__xludf.DUMMYFUNCTION("""COMPUTED_VALUE"""),4700.0)</f>
        <v>4700</v>
      </c>
      <c r="C748" s="2">
        <f>IFERROR(__xludf.DUMMYFUNCTION("""COMPUTED_VALUE"""),4912.5)</f>
        <v>4912.5</v>
      </c>
      <c r="D748" s="2">
        <f>IFERROR(__xludf.DUMMYFUNCTION("""COMPUTED_VALUE"""),4687.5)</f>
        <v>4687.5</v>
      </c>
      <c r="E748" s="2">
        <f>IFERROR(__xludf.DUMMYFUNCTION("""COMPUTED_VALUE"""),4875.0)</f>
        <v>4875</v>
      </c>
      <c r="F748" s="2">
        <f>IFERROR(__xludf.DUMMYFUNCTION("""COMPUTED_VALUE"""),7.3119E7)</f>
        <v>73119000</v>
      </c>
      <c r="G748" s="2">
        <f t="shared" si="1"/>
        <v>262.5</v>
      </c>
    </row>
    <row r="749" ht="15.75" customHeight="1">
      <c r="A749" s="1">
        <f>IFERROR(__xludf.DUMMYFUNCTION("""COMPUTED_VALUE"""),44944.66666666667)</f>
        <v>44944.66667</v>
      </c>
      <c r="B749" s="2">
        <f>IFERROR(__xludf.DUMMYFUNCTION("""COMPUTED_VALUE"""),4825.0)</f>
        <v>4825</v>
      </c>
      <c r="C749" s="2">
        <f>IFERROR(__xludf.DUMMYFUNCTION("""COMPUTED_VALUE"""),4887.5)</f>
        <v>4887.5</v>
      </c>
      <c r="D749" s="2">
        <f>IFERROR(__xludf.DUMMYFUNCTION("""COMPUTED_VALUE"""),4750.0)</f>
        <v>4750</v>
      </c>
      <c r="E749" s="2">
        <f>IFERROR(__xludf.DUMMYFUNCTION("""COMPUTED_VALUE"""),4775.0)</f>
        <v>4775</v>
      </c>
      <c r="F749" s="2">
        <f>IFERROR(__xludf.DUMMYFUNCTION("""COMPUTED_VALUE"""),4.76803E7)</f>
        <v>47680300</v>
      </c>
      <c r="G749" s="2">
        <f t="shared" si="1"/>
        <v>137.5</v>
      </c>
    </row>
    <row r="750" ht="15.75" customHeight="1">
      <c r="A750" s="1">
        <f>IFERROR(__xludf.DUMMYFUNCTION("""COMPUTED_VALUE"""),44945.66666666667)</f>
        <v>44945.66667</v>
      </c>
      <c r="B750" s="2">
        <f>IFERROR(__xludf.DUMMYFUNCTION("""COMPUTED_VALUE"""),4800.0)</f>
        <v>4800</v>
      </c>
      <c r="C750" s="2">
        <f>IFERROR(__xludf.DUMMYFUNCTION("""COMPUTED_VALUE"""),4912.5)</f>
        <v>4912.5</v>
      </c>
      <c r="D750" s="2">
        <f>IFERROR(__xludf.DUMMYFUNCTION("""COMPUTED_VALUE"""),4762.5)</f>
        <v>4762.5</v>
      </c>
      <c r="E750" s="2">
        <f>IFERROR(__xludf.DUMMYFUNCTION("""COMPUTED_VALUE"""),4875.0)</f>
        <v>4875</v>
      </c>
      <c r="F750" s="2">
        <f>IFERROR(__xludf.DUMMYFUNCTION("""COMPUTED_VALUE"""),4.08521E7)</f>
        <v>40852100</v>
      </c>
      <c r="G750" s="2">
        <f t="shared" si="1"/>
        <v>150</v>
      </c>
    </row>
    <row r="751" ht="15.75" customHeight="1">
      <c r="A751" s="1">
        <f>IFERROR(__xludf.DUMMYFUNCTION("""COMPUTED_VALUE"""),44946.66666666667)</f>
        <v>44946.66667</v>
      </c>
      <c r="B751" s="2">
        <f>IFERROR(__xludf.DUMMYFUNCTION("""COMPUTED_VALUE"""),4925.0)</f>
        <v>4925</v>
      </c>
      <c r="C751" s="2">
        <f>IFERROR(__xludf.DUMMYFUNCTION("""COMPUTED_VALUE"""),5000.0)</f>
        <v>5000</v>
      </c>
      <c r="D751" s="2">
        <f>IFERROR(__xludf.DUMMYFUNCTION("""COMPUTED_VALUE"""),4900.0)</f>
        <v>4900</v>
      </c>
      <c r="E751" s="2">
        <f>IFERROR(__xludf.DUMMYFUNCTION("""COMPUTED_VALUE"""),4987.5)</f>
        <v>4987.5</v>
      </c>
      <c r="F751" s="2">
        <f>IFERROR(__xludf.DUMMYFUNCTION("""COMPUTED_VALUE"""),4.66137E7)</f>
        <v>46613700</v>
      </c>
      <c r="G751" s="2">
        <f t="shared" si="1"/>
        <v>125</v>
      </c>
    </row>
    <row r="752" ht="15.75" customHeight="1">
      <c r="A752" s="1">
        <f>IFERROR(__xludf.DUMMYFUNCTION("""COMPUTED_VALUE"""),44950.66666666667)</f>
        <v>44950.66667</v>
      </c>
      <c r="B752" s="2">
        <f>IFERROR(__xludf.DUMMYFUNCTION("""COMPUTED_VALUE"""),4925.0)</f>
        <v>4925</v>
      </c>
      <c r="C752" s="2">
        <f>IFERROR(__xludf.DUMMYFUNCTION("""COMPUTED_VALUE"""),4987.5)</f>
        <v>4987.5</v>
      </c>
      <c r="D752" s="2">
        <f>IFERROR(__xludf.DUMMYFUNCTION("""COMPUTED_VALUE"""),4900.0)</f>
        <v>4900</v>
      </c>
      <c r="E752" s="2">
        <f>IFERROR(__xludf.DUMMYFUNCTION("""COMPUTED_VALUE"""),4950.0)</f>
        <v>4950</v>
      </c>
      <c r="F752" s="2">
        <f>IFERROR(__xludf.DUMMYFUNCTION("""COMPUTED_VALUE"""),1.7514E7)</f>
        <v>17514000</v>
      </c>
      <c r="G752" s="2">
        <f t="shared" si="1"/>
        <v>87.5</v>
      </c>
    </row>
    <row r="753" ht="15.75" customHeight="1">
      <c r="A753" s="1">
        <f>IFERROR(__xludf.DUMMYFUNCTION("""COMPUTED_VALUE"""),44951.66666666667)</f>
        <v>44951.66667</v>
      </c>
      <c r="B753" s="2">
        <f>IFERROR(__xludf.DUMMYFUNCTION("""COMPUTED_VALUE"""),4900.0)</f>
        <v>4900</v>
      </c>
      <c r="C753" s="2">
        <f>IFERROR(__xludf.DUMMYFUNCTION("""COMPUTED_VALUE"""),4925.0)</f>
        <v>4925</v>
      </c>
      <c r="D753" s="2">
        <f>IFERROR(__xludf.DUMMYFUNCTION("""COMPUTED_VALUE"""),4850.0)</f>
        <v>4850</v>
      </c>
      <c r="E753" s="2">
        <f>IFERROR(__xludf.DUMMYFUNCTION("""COMPUTED_VALUE"""),4850.0)</f>
        <v>4850</v>
      </c>
      <c r="F753" s="2">
        <f>IFERROR(__xludf.DUMMYFUNCTION("""COMPUTED_VALUE"""),3.63839E7)</f>
        <v>36383900</v>
      </c>
      <c r="G753" s="2">
        <f t="shared" si="1"/>
        <v>100</v>
      </c>
    </row>
    <row r="754" ht="15.75" customHeight="1">
      <c r="A754" s="1">
        <f>IFERROR(__xludf.DUMMYFUNCTION("""COMPUTED_VALUE"""),44952.66666666667)</f>
        <v>44952.66667</v>
      </c>
      <c r="B754" s="2">
        <f>IFERROR(__xludf.DUMMYFUNCTION("""COMPUTED_VALUE"""),4887.5)</f>
        <v>4887.5</v>
      </c>
      <c r="C754" s="2">
        <f>IFERROR(__xludf.DUMMYFUNCTION("""COMPUTED_VALUE"""),4937.5)</f>
        <v>4937.5</v>
      </c>
      <c r="D754" s="2">
        <f>IFERROR(__xludf.DUMMYFUNCTION("""COMPUTED_VALUE"""),4875.0)</f>
        <v>4875</v>
      </c>
      <c r="E754" s="2">
        <f>IFERROR(__xludf.DUMMYFUNCTION("""COMPUTED_VALUE"""),4912.5)</f>
        <v>4912.5</v>
      </c>
      <c r="F754" s="2">
        <f>IFERROR(__xludf.DUMMYFUNCTION("""COMPUTED_VALUE"""),3.52793E7)</f>
        <v>35279300</v>
      </c>
      <c r="G754" s="2">
        <f t="shared" si="1"/>
        <v>87.5</v>
      </c>
    </row>
    <row r="755" ht="15.75" customHeight="1">
      <c r="A755" s="1">
        <f>IFERROR(__xludf.DUMMYFUNCTION("""COMPUTED_VALUE"""),44953.66666666667)</f>
        <v>44953.66667</v>
      </c>
      <c r="B755" s="2">
        <f>IFERROR(__xludf.DUMMYFUNCTION("""COMPUTED_VALUE"""),4950.0)</f>
        <v>4950</v>
      </c>
      <c r="C755" s="2">
        <f>IFERROR(__xludf.DUMMYFUNCTION("""COMPUTED_VALUE"""),5075.0)</f>
        <v>5075</v>
      </c>
      <c r="D755" s="2">
        <f>IFERROR(__xludf.DUMMYFUNCTION("""COMPUTED_VALUE"""),4950.0)</f>
        <v>4950</v>
      </c>
      <c r="E755" s="2">
        <f>IFERROR(__xludf.DUMMYFUNCTION("""COMPUTED_VALUE"""),5012.5)</f>
        <v>5012.5</v>
      </c>
      <c r="F755" s="2">
        <f>IFERROR(__xludf.DUMMYFUNCTION("""COMPUTED_VALUE"""),1.083942E8)</f>
        <v>108394200</v>
      </c>
      <c r="G755" s="2">
        <f t="shared" si="1"/>
        <v>162.5</v>
      </c>
    </row>
    <row r="756" ht="15.75" customHeight="1">
      <c r="A756" s="1">
        <f>IFERROR(__xludf.DUMMYFUNCTION("""COMPUTED_VALUE"""),44956.66666666667)</f>
        <v>44956.66667</v>
      </c>
      <c r="B756" s="2">
        <f>IFERROR(__xludf.DUMMYFUNCTION("""COMPUTED_VALUE"""),5012.5)</f>
        <v>5012.5</v>
      </c>
      <c r="C756" s="2">
        <f>IFERROR(__xludf.DUMMYFUNCTION("""COMPUTED_VALUE"""),5062.5)</f>
        <v>5062.5</v>
      </c>
      <c r="D756" s="2">
        <f>IFERROR(__xludf.DUMMYFUNCTION("""COMPUTED_VALUE"""),4937.5)</f>
        <v>4937.5</v>
      </c>
      <c r="E756" s="2">
        <f>IFERROR(__xludf.DUMMYFUNCTION("""COMPUTED_VALUE"""),4975.0)</f>
        <v>4975</v>
      </c>
      <c r="F756" s="2">
        <f>IFERROR(__xludf.DUMMYFUNCTION("""COMPUTED_VALUE"""),4.12947E7)</f>
        <v>41294700</v>
      </c>
      <c r="G756" s="2">
        <f t="shared" si="1"/>
        <v>125</v>
      </c>
    </row>
    <row r="757" ht="15.75" customHeight="1">
      <c r="A757" s="1">
        <f>IFERROR(__xludf.DUMMYFUNCTION("""COMPUTED_VALUE"""),44957.66666666667)</f>
        <v>44957.66667</v>
      </c>
      <c r="B757" s="2">
        <f>IFERROR(__xludf.DUMMYFUNCTION("""COMPUTED_VALUE"""),5012.5)</f>
        <v>5012.5</v>
      </c>
      <c r="C757" s="2">
        <f>IFERROR(__xludf.DUMMYFUNCTION("""COMPUTED_VALUE"""),5050.0)</f>
        <v>5050</v>
      </c>
      <c r="D757" s="2">
        <f>IFERROR(__xludf.DUMMYFUNCTION("""COMPUTED_VALUE"""),4937.5)</f>
        <v>4937.5</v>
      </c>
      <c r="E757" s="2">
        <f>IFERROR(__xludf.DUMMYFUNCTION("""COMPUTED_VALUE"""),4975.0)</f>
        <v>4975</v>
      </c>
      <c r="F757" s="2">
        <f>IFERROR(__xludf.DUMMYFUNCTION("""COMPUTED_VALUE"""),8.36485E7)</f>
        <v>83648500</v>
      </c>
      <c r="G757" s="2">
        <f t="shared" si="1"/>
        <v>112.5</v>
      </c>
    </row>
    <row r="758" ht="15.75" customHeight="1">
      <c r="A758" s="1">
        <f>IFERROR(__xludf.DUMMYFUNCTION("""COMPUTED_VALUE"""),44958.66666666667)</f>
        <v>44958.66667</v>
      </c>
      <c r="B758" s="2">
        <f>IFERROR(__xludf.DUMMYFUNCTION("""COMPUTED_VALUE"""),4975.0)</f>
        <v>4975</v>
      </c>
      <c r="C758" s="2">
        <f>IFERROR(__xludf.DUMMYFUNCTION("""COMPUTED_VALUE"""),5025.0)</f>
        <v>5025</v>
      </c>
      <c r="D758" s="2">
        <f>IFERROR(__xludf.DUMMYFUNCTION("""COMPUTED_VALUE"""),4837.5)</f>
        <v>4837.5</v>
      </c>
      <c r="E758" s="2">
        <f>IFERROR(__xludf.DUMMYFUNCTION("""COMPUTED_VALUE"""),4850.0)</f>
        <v>4850</v>
      </c>
      <c r="F758" s="2">
        <f>IFERROR(__xludf.DUMMYFUNCTION("""COMPUTED_VALUE"""),8.28144E7)</f>
        <v>82814400</v>
      </c>
      <c r="G758" s="2">
        <f t="shared" si="1"/>
        <v>187.5</v>
      </c>
    </row>
    <row r="759" ht="15.75" customHeight="1">
      <c r="A759" s="1">
        <f>IFERROR(__xludf.DUMMYFUNCTION("""COMPUTED_VALUE"""),44959.66666666667)</f>
        <v>44959.66667</v>
      </c>
      <c r="B759" s="2">
        <f>IFERROR(__xludf.DUMMYFUNCTION("""COMPUTED_VALUE"""),4862.5)</f>
        <v>4862.5</v>
      </c>
      <c r="C759" s="2">
        <f>IFERROR(__xludf.DUMMYFUNCTION("""COMPUTED_VALUE"""),4875.0)</f>
        <v>4875</v>
      </c>
      <c r="D759" s="2">
        <f>IFERROR(__xludf.DUMMYFUNCTION("""COMPUTED_VALUE"""),4787.5)</f>
        <v>4787.5</v>
      </c>
      <c r="E759" s="2">
        <f>IFERROR(__xludf.DUMMYFUNCTION("""COMPUTED_VALUE"""),4862.5)</f>
        <v>4862.5</v>
      </c>
      <c r="F759" s="2">
        <f>IFERROR(__xludf.DUMMYFUNCTION("""COMPUTED_VALUE"""),4.96759E7)</f>
        <v>49675900</v>
      </c>
      <c r="G759" s="2">
        <f t="shared" si="1"/>
        <v>87.5</v>
      </c>
    </row>
    <row r="760" ht="15.75" customHeight="1">
      <c r="A760" s="1">
        <f>IFERROR(__xludf.DUMMYFUNCTION("""COMPUTED_VALUE"""),44960.66666666667)</f>
        <v>44960.66667</v>
      </c>
      <c r="B760" s="2">
        <f>IFERROR(__xludf.DUMMYFUNCTION("""COMPUTED_VALUE"""),4875.0)</f>
        <v>4875</v>
      </c>
      <c r="C760" s="2">
        <f>IFERROR(__xludf.DUMMYFUNCTION("""COMPUTED_VALUE"""),4975.0)</f>
        <v>4975</v>
      </c>
      <c r="D760" s="2">
        <f>IFERROR(__xludf.DUMMYFUNCTION("""COMPUTED_VALUE"""),4875.0)</f>
        <v>4875</v>
      </c>
      <c r="E760" s="2">
        <f>IFERROR(__xludf.DUMMYFUNCTION("""COMPUTED_VALUE"""),4962.5)</f>
        <v>4962.5</v>
      </c>
      <c r="F760" s="2">
        <f>IFERROR(__xludf.DUMMYFUNCTION("""COMPUTED_VALUE"""),5.40627E7)</f>
        <v>54062700</v>
      </c>
      <c r="G760" s="2">
        <f t="shared" si="1"/>
        <v>112.5</v>
      </c>
    </row>
    <row r="761" ht="15.75" customHeight="1">
      <c r="A761" s="1">
        <f>IFERROR(__xludf.DUMMYFUNCTION("""COMPUTED_VALUE"""),44963.66666666667)</f>
        <v>44963.66667</v>
      </c>
      <c r="B761" s="2">
        <f>IFERROR(__xludf.DUMMYFUNCTION("""COMPUTED_VALUE"""),4962.5)</f>
        <v>4962.5</v>
      </c>
      <c r="C761" s="2">
        <f>IFERROR(__xludf.DUMMYFUNCTION("""COMPUTED_VALUE"""),5025.0)</f>
        <v>5025</v>
      </c>
      <c r="D761" s="2">
        <f>IFERROR(__xludf.DUMMYFUNCTION("""COMPUTED_VALUE"""),4875.0)</f>
        <v>4875</v>
      </c>
      <c r="E761" s="2">
        <f>IFERROR(__xludf.DUMMYFUNCTION("""COMPUTED_VALUE"""),4937.5)</f>
        <v>4937.5</v>
      </c>
      <c r="F761" s="2">
        <f>IFERROR(__xludf.DUMMYFUNCTION("""COMPUTED_VALUE"""),5.45492E7)</f>
        <v>54549200</v>
      </c>
      <c r="G761" s="2">
        <f t="shared" si="1"/>
        <v>150</v>
      </c>
    </row>
    <row r="762" ht="15.75" customHeight="1">
      <c r="A762" s="1">
        <f>IFERROR(__xludf.DUMMYFUNCTION("""COMPUTED_VALUE"""),44964.66666666667)</f>
        <v>44964.66667</v>
      </c>
      <c r="B762" s="2">
        <f>IFERROR(__xludf.DUMMYFUNCTION("""COMPUTED_VALUE"""),4975.0)</f>
        <v>4975</v>
      </c>
      <c r="C762" s="2">
        <f>IFERROR(__xludf.DUMMYFUNCTION("""COMPUTED_VALUE"""),5112.5)</f>
        <v>5112.5</v>
      </c>
      <c r="D762" s="2">
        <f>IFERROR(__xludf.DUMMYFUNCTION("""COMPUTED_VALUE"""),4950.0)</f>
        <v>4950</v>
      </c>
      <c r="E762" s="2">
        <f>IFERROR(__xludf.DUMMYFUNCTION("""COMPUTED_VALUE"""),5087.5)</f>
        <v>5087.5</v>
      </c>
      <c r="F762" s="2">
        <f>IFERROR(__xludf.DUMMYFUNCTION("""COMPUTED_VALUE"""),5.9066E7)</f>
        <v>59066000</v>
      </c>
      <c r="G762" s="2">
        <f t="shared" si="1"/>
        <v>175</v>
      </c>
    </row>
    <row r="763" ht="15.75" customHeight="1">
      <c r="A763" s="1">
        <f>IFERROR(__xludf.DUMMYFUNCTION("""COMPUTED_VALUE"""),44965.66666666667)</f>
        <v>44965.66667</v>
      </c>
      <c r="B763" s="2">
        <f>IFERROR(__xludf.DUMMYFUNCTION("""COMPUTED_VALUE"""),5062.5)</f>
        <v>5062.5</v>
      </c>
      <c r="C763" s="2">
        <f>IFERROR(__xludf.DUMMYFUNCTION("""COMPUTED_VALUE"""),5112.5)</f>
        <v>5112.5</v>
      </c>
      <c r="D763" s="2">
        <f>IFERROR(__xludf.DUMMYFUNCTION("""COMPUTED_VALUE"""),5050.0)</f>
        <v>5050</v>
      </c>
      <c r="E763" s="2">
        <f>IFERROR(__xludf.DUMMYFUNCTION("""COMPUTED_VALUE"""),5100.0)</f>
        <v>5100</v>
      </c>
      <c r="F763" s="2">
        <f>IFERROR(__xludf.DUMMYFUNCTION("""COMPUTED_VALUE"""),3.7828E7)</f>
        <v>37828000</v>
      </c>
      <c r="G763" s="2">
        <f t="shared" si="1"/>
        <v>62.5</v>
      </c>
    </row>
    <row r="764" ht="15.75" customHeight="1">
      <c r="A764" s="1">
        <f>IFERROR(__xludf.DUMMYFUNCTION("""COMPUTED_VALUE"""),44966.66666666667)</f>
        <v>44966.66667</v>
      </c>
      <c r="B764" s="2">
        <f>IFERROR(__xludf.DUMMYFUNCTION("""COMPUTED_VALUE"""),5150.0)</f>
        <v>5150</v>
      </c>
      <c r="C764" s="2">
        <f>IFERROR(__xludf.DUMMYFUNCTION("""COMPUTED_VALUE"""),5200.0)</f>
        <v>5200</v>
      </c>
      <c r="D764" s="2">
        <f>IFERROR(__xludf.DUMMYFUNCTION("""COMPUTED_VALUE"""),5125.0)</f>
        <v>5125</v>
      </c>
      <c r="E764" s="2">
        <f>IFERROR(__xludf.DUMMYFUNCTION("""COMPUTED_VALUE"""),5125.0)</f>
        <v>5125</v>
      </c>
      <c r="F764" s="2">
        <f>IFERROR(__xludf.DUMMYFUNCTION("""COMPUTED_VALUE"""),6.08787E7)</f>
        <v>60878700</v>
      </c>
      <c r="G764" s="2">
        <f t="shared" si="1"/>
        <v>100</v>
      </c>
    </row>
    <row r="765" ht="15.75" customHeight="1">
      <c r="A765" s="1">
        <f>IFERROR(__xludf.DUMMYFUNCTION("""COMPUTED_VALUE"""),44967.66666666667)</f>
        <v>44967.66667</v>
      </c>
      <c r="B765" s="2">
        <f>IFERROR(__xludf.DUMMYFUNCTION("""COMPUTED_VALUE"""),5225.0)</f>
        <v>5225</v>
      </c>
      <c r="C765" s="2">
        <f>IFERROR(__xludf.DUMMYFUNCTION("""COMPUTED_VALUE"""),5225.0)</f>
        <v>5225</v>
      </c>
      <c r="D765" s="2">
        <f>IFERROR(__xludf.DUMMYFUNCTION("""COMPUTED_VALUE"""),5075.0)</f>
        <v>5075</v>
      </c>
      <c r="E765" s="2">
        <f>IFERROR(__xludf.DUMMYFUNCTION("""COMPUTED_VALUE"""),5150.0)</f>
        <v>5150</v>
      </c>
      <c r="F765" s="2">
        <f>IFERROR(__xludf.DUMMYFUNCTION("""COMPUTED_VALUE"""),4.05573E7)</f>
        <v>40557300</v>
      </c>
      <c r="G765" s="2">
        <f t="shared" si="1"/>
        <v>150</v>
      </c>
    </row>
    <row r="766" ht="15.75" customHeight="1">
      <c r="A766" s="1">
        <f>IFERROR(__xludf.DUMMYFUNCTION("""COMPUTED_VALUE"""),44970.66666666667)</f>
        <v>44970.66667</v>
      </c>
      <c r="B766" s="2">
        <f>IFERROR(__xludf.DUMMYFUNCTION("""COMPUTED_VALUE"""),5275.0)</f>
        <v>5275</v>
      </c>
      <c r="C766" s="2">
        <f>IFERROR(__xludf.DUMMYFUNCTION("""COMPUTED_VALUE"""),5275.0)</f>
        <v>5275</v>
      </c>
      <c r="D766" s="2">
        <f>IFERROR(__xludf.DUMMYFUNCTION("""COMPUTED_VALUE"""),5125.0)</f>
        <v>5125</v>
      </c>
      <c r="E766" s="2">
        <f>IFERROR(__xludf.DUMMYFUNCTION("""COMPUTED_VALUE"""),5175.0)</f>
        <v>5175</v>
      </c>
      <c r="F766" s="2">
        <f>IFERROR(__xludf.DUMMYFUNCTION("""COMPUTED_VALUE"""),2.83859E7)</f>
        <v>28385900</v>
      </c>
      <c r="G766" s="2">
        <f t="shared" si="1"/>
        <v>150</v>
      </c>
    </row>
    <row r="767" ht="15.75" customHeight="1">
      <c r="A767" s="1">
        <f>IFERROR(__xludf.DUMMYFUNCTION("""COMPUTED_VALUE"""),44971.66666666667)</f>
        <v>44971.66667</v>
      </c>
      <c r="B767" s="2">
        <f>IFERROR(__xludf.DUMMYFUNCTION("""COMPUTED_VALUE"""),5225.0)</f>
        <v>5225</v>
      </c>
      <c r="C767" s="2">
        <f>IFERROR(__xludf.DUMMYFUNCTION("""COMPUTED_VALUE"""),5225.0)</f>
        <v>5225</v>
      </c>
      <c r="D767" s="2">
        <f>IFERROR(__xludf.DUMMYFUNCTION("""COMPUTED_VALUE"""),5137.5)</f>
        <v>5137.5</v>
      </c>
      <c r="E767" s="2">
        <f>IFERROR(__xludf.DUMMYFUNCTION("""COMPUTED_VALUE"""),5187.5)</f>
        <v>5187.5</v>
      </c>
      <c r="F767" s="2">
        <f>IFERROR(__xludf.DUMMYFUNCTION("""COMPUTED_VALUE"""),1.97853E7)</f>
        <v>19785300</v>
      </c>
      <c r="G767" s="2">
        <f t="shared" si="1"/>
        <v>87.5</v>
      </c>
    </row>
    <row r="768" ht="15.75" customHeight="1">
      <c r="A768" s="1">
        <f>IFERROR(__xludf.DUMMYFUNCTION("""COMPUTED_VALUE"""),44972.66666666667)</f>
        <v>44972.66667</v>
      </c>
      <c r="B768" s="2">
        <f>IFERROR(__xludf.DUMMYFUNCTION("""COMPUTED_VALUE"""),5150.0)</f>
        <v>5150</v>
      </c>
      <c r="C768" s="2">
        <f>IFERROR(__xludf.DUMMYFUNCTION("""COMPUTED_VALUE"""),5175.0)</f>
        <v>5175</v>
      </c>
      <c r="D768" s="2">
        <f>IFERROR(__xludf.DUMMYFUNCTION("""COMPUTED_VALUE"""),5050.0)</f>
        <v>5050</v>
      </c>
      <c r="E768" s="2">
        <f>IFERROR(__xludf.DUMMYFUNCTION("""COMPUTED_VALUE"""),5112.5)</f>
        <v>5112.5</v>
      </c>
      <c r="F768" s="2">
        <f>IFERROR(__xludf.DUMMYFUNCTION("""COMPUTED_VALUE"""),3.77976E7)</f>
        <v>37797600</v>
      </c>
      <c r="G768" s="2">
        <f t="shared" si="1"/>
        <v>137.5</v>
      </c>
    </row>
    <row r="769" ht="15.75" customHeight="1">
      <c r="A769" s="1">
        <f>IFERROR(__xludf.DUMMYFUNCTION("""COMPUTED_VALUE"""),44973.66666666667)</f>
        <v>44973.66667</v>
      </c>
      <c r="B769" s="2">
        <f>IFERROR(__xludf.DUMMYFUNCTION("""COMPUTED_VALUE"""),5112.5)</f>
        <v>5112.5</v>
      </c>
      <c r="C769" s="2">
        <f>IFERROR(__xludf.DUMMYFUNCTION("""COMPUTED_VALUE"""),5137.5)</f>
        <v>5137.5</v>
      </c>
      <c r="D769" s="2">
        <f>IFERROR(__xludf.DUMMYFUNCTION("""COMPUTED_VALUE"""),5062.5)</f>
        <v>5062.5</v>
      </c>
      <c r="E769" s="2">
        <f>IFERROR(__xludf.DUMMYFUNCTION("""COMPUTED_VALUE"""),5087.5)</f>
        <v>5087.5</v>
      </c>
      <c r="F769" s="2">
        <f>IFERROR(__xludf.DUMMYFUNCTION("""COMPUTED_VALUE"""),2.47845E7)</f>
        <v>24784500</v>
      </c>
      <c r="G769" s="2">
        <f t="shared" si="1"/>
        <v>75</v>
      </c>
    </row>
    <row r="770" ht="15.75" customHeight="1">
      <c r="A770" s="1">
        <f>IFERROR(__xludf.DUMMYFUNCTION("""COMPUTED_VALUE"""),44974.66666666667)</f>
        <v>44974.66667</v>
      </c>
      <c r="B770" s="2">
        <f>IFERROR(__xludf.DUMMYFUNCTION("""COMPUTED_VALUE"""),5087.5)</f>
        <v>5087.5</v>
      </c>
      <c r="C770" s="2">
        <f>IFERROR(__xludf.DUMMYFUNCTION("""COMPUTED_VALUE"""),5150.0)</f>
        <v>5150</v>
      </c>
      <c r="D770" s="2">
        <f>IFERROR(__xludf.DUMMYFUNCTION("""COMPUTED_VALUE"""),5050.0)</f>
        <v>5050</v>
      </c>
      <c r="E770" s="2">
        <f>IFERROR(__xludf.DUMMYFUNCTION("""COMPUTED_VALUE"""),5150.0)</f>
        <v>5150</v>
      </c>
      <c r="F770" s="2">
        <f>IFERROR(__xludf.DUMMYFUNCTION("""COMPUTED_VALUE"""),2.92605E7)</f>
        <v>29260500</v>
      </c>
      <c r="G770" s="2">
        <f t="shared" si="1"/>
        <v>100</v>
      </c>
    </row>
    <row r="771" ht="15.75" customHeight="1">
      <c r="A771" s="1">
        <f>IFERROR(__xludf.DUMMYFUNCTION("""COMPUTED_VALUE"""),44977.66666666667)</f>
        <v>44977.66667</v>
      </c>
      <c r="B771" s="2">
        <f>IFERROR(__xludf.DUMMYFUNCTION("""COMPUTED_VALUE"""),5150.0)</f>
        <v>5150</v>
      </c>
      <c r="C771" s="2">
        <f>IFERROR(__xludf.DUMMYFUNCTION("""COMPUTED_VALUE"""),5150.0)</f>
        <v>5150</v>
      </c>
      <c r="D771" s="2">
        <f>IFERROR(__xludf.DUMMYFUNCTION("""COMPUTED_VALUE"""),5100.0)</f>
        <v>5100</v>
      </c>
      <c r="E771" s="2">
        <f>IFERROR(__xludf.DUMMYFUNCTION("""COMPUTED_VALUE"""),5137.5)</f>
        <v>5137.5</v>
      </c>
      <c r="F771" s="2">
        <f>IFERROR(__xludf.DUMMYFUNCTION("""COMPUTED_VALUE"""),2.03482E7)</f>
        <v>20348200</v>
      </c>
      <c r="G771" s="2">
        <f t="shared" si="1"/>
        <v>50</v>
      </c>
    </row>
    <row r="772" ht="15.75" customHeight="1">
      <c r="A772" s="1">
        <f>IFERROR(__xludf.DUMMYFUNCTION("""COMPUTED_VALUE"""),44978.66666666667)</f>
        <v>44978.66667</v>
      </c>
      <c r="B772" s="2">
        <f>IFERROR(__xludf.DUMMYFUNCTION("""COMPUTED_VALUE"""),5150.0)</f>
        <v>5150</v>
      </c>
      <c r="C772" s="2">
        <f>IFERROR(__xludf.DUMMYFUNCTION("""COMPUTED_VALUE"""),5150.0)</f>
        <v>5150</v>
      </c>
      <c r="D772" s="2">
        <f>IFERROR(__xludf.DUMMYFUNCTION("""COMPUTED_VALUE"""),5087.5)</f>
        <v>5087.5</v>
      </c>
      <c r="E772" s="2">
        <f>IFERROR(__xludf.DUMMYFUNCTION("""COMPUTED_VALUE"""),5100.0)</f>
        <v>5100</v>
      </c>
      <c r="F772" s="2">
        <f>IFERROR(__xludf.DUMMYFUNCTION("""COMPUTED_VALUE"""),2.63022E7)</f>
        <v>26302200</v>
      </c>
      <c r="G772" s="2">
        <f t="shared" si="1"/>
        <v>62.5</v>
      </c>
    </row>
    <row r="773" ht="15.75" customHeight="1">
      <c r="A773" s="1">
        <f>IFERROR(__xludf.DUMMYFUNCTION("""COMPUTED_VALUE"""),44979.66666666667)</f>
        <v>44979.66667</v>
      </c>
      <c r="B773" s="2">
        <f>IFERROR(__xludf.DUMMYFUNCTION("""COMPUTED_VALUE"""),5062.5)</f>
        <v>5062.5</v>
      </c>
      <c r="C773" s="2">
        <f>IFERROR(__xludf.DUMMYFUNCTION("""COMPUTED_VALUE"""),5087.5)</f>
        <v>5087.5</v>
      </c>
      <c r="D773" s="2">
        <f>IFERROR(__xludf.DUMMYFUNCTION("""COMPUTED_VALUE"""),4975.0)</f>
        <v>4975</v>
      </c>
      <c r="E773" s="2">
        <f>IFERROR(__xludf.DUMMYFUNCTION("""COMPUTED_VALUE"""),5000.0)</f>
        <v>5000</v>
      </c>
      <c r="F773" s="2">
        <f>IFERROR(__xludf.DUMMYFUNCTION("""COMPUTED_VALUE"""),3.77567E7)</f>
        <v>37756700</v>
      </c>
      <c r="G773" s="2">
        <f t="shared" si="1"/>
        <v>125</v>
      </c>
    </row>
    <row r="774" ht="15.75" customHeight="1">
      <c r="A774" s="1">
        <f>IFERROR(__xludf.DUMMYFUNCTION("""COMPUTED_VALUE"""),44980.66666666667)</f>
        <v>44980.66667</v>
      </c>
      <c r="B774" s="2">
        <f>IFERROR(__xludf.DUMMYFUNCTION("""COMPUTED_VALUE"""),4987.5)</f>
        <v>4987.5</v>
      </c>
      <c r="C774" s="2">
        <f>IFERROR(__xludf.DUMMYFUNCTION("""COMPUTED_VALUE"""),5050.0)</f>
        <v>5050</v>
      </c>
      <c r="D774" s="2">
        <f>IFERROR(__xludf.DUMMYFUNCTION("""COMPUTED_VALUE"""),4962.5)</f>
        <v>4962.5</v>
      </c>
      <c r="E774" s="2">
        <f>IFERROR(__xludf.DUMMYFUNCTION("""COMPUTED_VALUE"""),5037.5)</f>
        <v>5037.5</v>
      </c>
      <c r="F774" s="2">
        <f>IFERROR(__xludf.DUMMYFUNCTION("""COMPUTED_VALUE"""),8.87526E7)</f>
        <v>88752600</v>
      </c>
      <c r="G774" s="2">
        <f t="shared" si="1"/>
        <v>87.5</v>
      </c>
    </row>
    <row r="775" ht="15.75" customHeight="1">
      <c r="A775" s="1">
        <f>IFERROR(__xludf.DUMMYFUNCTION("""COMPUTED_VALUE"""),44981.66666666667)</f>
        <v>44981.66667</v>
      </c>
      <c r="B775" s="2">
        <f>IFERROR(__xludf.DUMMYFUNCTION("""COMPUTED_VALUE"""),5062.5)</f>
        <v>5062.5</v>
      </c>
      <c r="C775" s="2">
        <f>IFERROR(__xludf.DUMMYFUNCTION("""COMPUTED_VALUE"""),5112.5)</f>
        <v>5112.5</v>
      </c>
      <c r="D775" s="2">
        <f>IFERROR(__xludf.DUMMYFUNCTION("""COMPUTED_VALUE"""),5037.5)</f>
        <v>5037.5</v>
      </c>
      <c r="E775" s="2">
        <f>IFERROR(__xludf.DUMMYFUNCTION("""COMPUTED_VALUE"""),5062.5)</f>
        <v>5062.5</v>
      </c>
      <c r="F775" s="2">
        <f>IFERROR(__xludf.DUMMYFUNCTION("""COMPUTED_VALUE"""),2.70691E7)</f>
        <v>27069100</v>
      </c>
      <c r="G775" s="2">
        <f t="shared" si="1"/>
        <v>75</v>
      </c>
    </row>
    <row r="776" ht="15.75" customHeight="1">
      <c r="A776" s="1">
        <f>IFERROR(__xludf.DUMMYFUNCTION("""COMPUTED_VALUE"""),44984.66666666667)</f>
        <v>44984.66667</v>
      </c>
      <c r="B776" s="2">
        <f>IFERROR(__xludf.DUMMYFUNCTION("""COMPUTED_VALUE"""),5037.5)</f>
        <v>5037.5</v>
      </c>
      <c r="C776" s="2">
        <f>IFERROR(__xludf.DUMMYFUNCTION("""COMPUTED_VALUE"""),5075.0)</f>
        <v>5075</v>
      </c>
      <c r="D776" s="2">
        <f>IFERROR(__xludf.DUMMYFUNCTION("""COMPUTED_VALUE"""),5025.0)</f>
        <v>5025</v>
      </c>
      <c r="E776" s="2">
        <f>IFERROR(__xludf.DUMMYFUNCTION("""COMPUTED_VALUE"""),5075.0)</f>
        <v>5075</v>
      </c>
      <c r="F776" s="2">
        <f>IFERROR(__xludf.DUMMYFUNCTION("""COMPUTED_VALUE"""),2.39509E7)</f>
        <v>23950900</v>
      </c>
      <c r="G776" s="2">
        <f t="shared" si="1"/>
        <v>50</v>
      </c>
    </row>
    <row r="777" ht="15.75" customHeight="1">
      <c r="A777" s="1">
        <f>IFERROR(__xludf.DUMMYFUNCTION("""COMPUTED_VALUE"""),44985.66666666667)</f>
        <v>44985.66667</v>
      </c>
      <c r="B777" s="2">
        <f>IFERROR(__xludf.DUMMYFUNCTION("""COMPUTED_VALUE"""),5037.5)</f>
        <v>5037.5</v>
      </c>
      <c r="C777" s="2">
        <f>IFERROR(__xludf.DUMMYFUNCTION("""COMPUTED_VALUE"""),5075.0)</f>
        <v>5075</v>
      </c>
      <c r="D777" s="2">
        <f>IFERROR(__xludf.DUMMYFUNCTION("""COMPUTED_VALUE"""),5000.0)</f>
        <v>5000</v>
      </c>
      <c r="E777" s="2">
        <f>IFERROR(__xludf.DUMMYFUNCTION("""COMPUTED_VALUE"""),5000.0)</f>
        <v>5000</v>
      </c>
      <c r="F777" s="2">
        <f>IFERROR(__xludf.DUMMYFUNCTION("""COMPUTED_VALUE"""),7.32202E7)</f>
        <v>73220200</v>
      </c>
      <c r="G777" s="2">
        <f t="shared" si="1"/>
        <v>75</v>
      </c>
    </row>
    <row r="778" ht="15.75" customHeight="1">
      <c r="A778" s="1">
        <f>IFERROR(__xludf.DUMMYFUNCTION("""COMPUTED_VALUE"""),44986.66666666667)</f>
        <v>44986.66667</v>
      </c>
      <c r="B778" s="2">
        <f>IFERROR(__xludf.DUMMYFUNCTION("""COMPUTED_VALUE"""),5075.0)</f>
        <v>5075</v>
      </c>
      <c r="C778" s="2">
        <f>IFERROR(__xludf.DUMMYFUNCTION("""COMPUTED_VALUE"""),5100.0)</f>
        <v>5100</v>
      </c>
      <c r="D778" s="2">
        <f>IFERROR(__xludf.DUMMYFUNCTION("""COMPUTED_VALUE"""),5025.0)</f>
        <v>5025</v>
      </c>
      <c r="E778" s="2">
        <f>IFERROR(__xludf.DUMMYFUNCTION("""COMPUTED_VALUE"""),5050.0)</f>
        <v>5050</v>
      </c>
      <c r="F778" s="2">
        <f>IFERROR(__xludf.DUMMYFUNCTION("""COMPUTED_VALUE"""),4.47828E7)</f>
        <v>44782800</v>
      </c>
      <c r="G778" s="2">
        <f t="shared" si="1"/>
        <v>100</v>
      </c>
    </row>
    <row r="779" ht="15.75" customHeight="1">
      <c r="A779" s="1">
        <f>IFERROR(__xludf.DUMMYFUNCTION("""COMPUTED_VALUE"""),44987.66666666667)</f>
        <v>44987.66667</v>
      </c>
      <c r="B779" s="2">
        <f>IFERROR(__xludf.DUMMYFUNCTION("""COMPUTED_VALUE"""),5075.0)</f>
        <v>5075</v>
      </c>
      <c r="C779" s="2">
        <f>IFERROR(__xludf.DUMMYFUNCTION("""COMPUTED_VALUE"""),5150.0)</f>
        <v>5150</v>
      </c>
      <c r="D779" s="2">
        <f>IFERROR(__xludf.DUMMYFUNCTION("""COMPUTED_VALUE"""),5075.0)</f>
        <v>5075</v>
      </c>
      <c r="E779" s="2">
        <f>IFERROR(__xludf.DUMMYFUNCTION("""COMPUTED_VALUE"""),5112.5)</f>
        <v>5112.5</v>
      </c>
      <c r="F779" s="2">
        <f>IFERROR(__xludf.DUMMYFUNCTION("""COMPUTED_VALUE"""),3.64959E7)</f>
        <v>36495900</v>
      </c>
      <c r="G779" s="2">
        <f t="shared" si="1"/>
        <v>100</v>
      </c>
    </row>
    <row r="780" ht="15.75" customHeight="1">
      <c r="A780" s="1">
        <f>IFERROR(__xludf.DUMMYFUNCTION("""COMPUTED_VALUE"""),44988.66666666667)</f>
        <v>44988.66667</v>
      </c>
      <c r="B780" s="2">
        <f>IFERROR(__xludf.DUMMYFUNCTION("""COMPUTED_VALUE"""),5100.0)</f>
        <v>5100</v>
      </c>
      <c r="C780" s="2">
        <f>IFERROR(__xludf.DUMMYFUNCTION("""COMPUTED_VALUE"""),5125.0)</f>
        <v>5125</v>
      </c>
      <c r="D780" s="2">
        <f>IFERROR(__xludf.DUMMYFUNCTION("""COMPUTED_VALUE"""),5012.5)</f>
        <v>5012.5</v>
      </c>
      <c r="E780" s="2">
        <f>IFERROR(__xludf.DUMMYFUNCTION("""COMPUTED_VALUE"""),5025.0)</f>
        <v>5025</v>
      </c>
      <c r="F780" s="2">
        <f>IFERROR(__xludf.DUMMYFUNCTION("""COMPUTED_VALUE"""),4.43153E7)</f>
        <v>44315300</v>
      </c>
      <c r="G780" s="2">
        <f t="shared" si="1"/>
        <v>112.5</v>
      </c>
    </row>
    <row r="781" ht="15.75" customHeight="1">
      <c r="A781" s="1">
        <f>IFERROR(__xludf.DUMMYFUNCTION("""COMPUTED_VALUE"""),44991.66666666667)</f>
        <v>44991.66667</v>
      </c>
      <c r="B781" s="2">
        <f>IFERROR(__xludf.DUMMYFUNCTION("""COMPUTED_VALUE"""),5087.5)</f>
        <v>5087.5</v>
      </c>
      <c r="C781" s="2">
        <f>IFERROR(__xludf.DUMMYFUNCTION("""COMPUTED_VALUE"""),5112.5)</f>
        <v>5112.5</v>
      </c>
      <c r="D781" s="2">
        <f>IFERROR(__xludf.DUMMYFUNCTION("""COMPUTED_VALUE"""),5037.5)</f>
        <v>5037.5</v>
      </c>
      <c r="E781" s="2">
        <f>IFERROR(__xludf.DUMMYFUNCTION("""COMPUTED_VALUE"""),5062.5)</f>
        <v>5062.5</v>
      </c>
      <c r="F781" s="2">
        <f>IFERROR(__xludf.DUMMYFUNCTION("""COMPUTED_VALUE"""),2.68644E7)</f>
        <v>26864400</v>
      </c>
      <c r="G781" s="2">
        <f t="shared" si="1"/>
        <v>87.5</v>
      </c>
    </row>
    <row r="782" ht="15.75" customHeight="1">
      <c r="A782" s="1">
        <f>IFERROR(__xludf.DUMMYFUNCTION("""COMPUTED_VALUE"""),44992.66666666667)</f>
        <v>44992.66667</v>
      </c>
      <c r="B782" s="2">
        <f>IFERROR(__xludf.DUMMYFUNCTION("""COMPUTED_VALUE"""),5075.0)</f>
        <v>5075</v>
      </c>
      <c r="C782" s="2">
        <f>IFERROR(__xludf.DUMMYFUNCTION("""COMPUTED_VALUE"""),5137.5)</f>
        <v>5137.5</v>
      </c>
      <c r="D782" s="2">
        <f>IFERROR(__xludf.DUMMYFUNCTION("""COMPUTED_VALUE"""),5062.5)</f>
        <v>5062.5</v>
      </c>
      <c r="E782" s="2">
        <f>IFERROR(__xludf.DUMMYFUNCTION("""COMPUTED_VALUE"""),5087.5)</f>
        <v>5087.5</v>
      </c>
      <c r="F782" s="2">
        <f>IFERROR(__xludf.DUMMYFUNCTION("""COMPUTED_VALUE"""),4.00329E7)</f>
        <v>40032900</v>
      </c>
      <c r="G782" s="2">
        <f t="shared" si="1"/>
        <v>75</v>
      </c>
    </row>
    <row r="783" ht="15.75" customHeight="1">
      <c r="A783" s="1">
        <f>IFERROR(__xludf.DUMMYFUNCTION("""COMPUTED_VALUE"""),44993.66666666667)</f>
        <v>44993.66667</v>
      </c>
      <c r="B783" s="2">
        <f>IFERROR(__xludf.DUMMYFUNCTION("""COMPUTED_VALUE"""),5125.0)</f>
        <v>5125</v>
      </c>
      <c r="C783" s="2">
        <f>IFERROR(__xludf.DUMMYFUNCTION("""COMPUTED_VALUE"""),5137.5)</f>
        <v>5137.5</v>
      </c>
      <c r="D783" s="2">
        <f>IFERROR(__xludf.DUMMYFUNCTION("""COMPUTED_VALUE"""),5087.5)</f>
        <v>5087.5</v>
      </c>
      <c r="E783" s="2">
        <f>IFERROR(__xludf.DUMMYFUNCTION("""COMPUTED_VALUE"""),5137.5)</f>
        <v>5137.5</v>
      </c>
      <c r="F783" s="2">
        <f>IFERROR(__xludf.DUMMYFUNCTION("""COMPUTED_VALUE"""),5.24191E7)</f>
        <v>52419100</v>
      </c>
      <c r="G783" s="2">
        <f t="shared" si="1"/>
        <v>50</v>
      </c>
    </row>
    <row r="784" ht="15.75" customHeight="1">
      <c r="A784" s="1">
        <f>IFERROR(__xludf.DUMMYFUNCTION("""COMPUTED_VALUE"""),44994.66666666667)</f>
        <v>44994.66667</v>
      </c>
      <c r="B784" s="2">
        <f>IFERROR(__xludf.DUMMYFUNCTION("""COMPUTED_VALUE"""),5200.0)</f>
        <v>5200</v>
      </c>
      <c r="C784" s="2">
        <f>IFERROR(__xludf.DUMMYFUNCTION("""COMPUTED_VALUE"""),5250.0)</f>
        <v>5250</v>
      </c>
      <c r="D784" s="2">
        <f>IFERROR(__xludf.DUMMYFUNCTION("""COMPUTED_VALUE"""),5175.0)</f>
        <v>5175</v>
      </c>
      <c r="E784" s="2">
        <f>IFERROR(__xludf.DUMMYFUNCTION("""COMPUTED_VALUE"""),5225.0)</f>
        <v>5225</v>
      </c>
      <c r="F784" s="2">
        <f>IFERROR(__xludf.DUMMYFUNCTION("""COMPUTED_VALUE"""),4.1643E7)</f>
        <v>41643000</v>
      </c>
      <c r="G784" s="2">
        <f t="shared" si="1"/>
        <v>112.5</v>
      </c>
    </row>
    <row r="785" ht="15.75" customHeight="1">
      <c r="A785" s="1">
        <f>IFERROR(__xludf.DUMMYFUNCTION("""COMPUTED_VALUE"""),44995.66666666667)</f>
        <v>44995.66667</v>
      </c>
      <c r="B785" s="2">
        <f>IFERROR(__xludf.DUMMYFUNCTION("""COMPUTED_VALUE"""),5212.5)</f>
        <v>5212.5</v>
      </c>
      <c r="C785" s="2">
        <f>IFERROR(__xludf.DUMMYFUNCTION("""COMPUTED_VALUE"""),5212.5)</f>
        <v>5212.5</v>
      </c>
      <c r="D785" s="2">
        <f>IFERROR(__xludf.DUMMYFUNCTION("""COMPUTED_VALUE"""),5137.5)</f>
        <v>5137.5</v>
      </c>
      <c r="E785" s="2">
        <f>IFERROR(__xludf.DUMMYFUNCTION("""COMPUTED_VALUE"""),5187.5)</f>
        <v>5187.5</v>
      </c>
      <c r="F785" s="2">
        <f>IFERROR(__xludf.DUMMYFUNCTION("""COMPUTED_VALUE"""),5.37655E7)</f>
        <v>53765500</v>
      </c>
      <c r="G785" s="2">
        <f t="shared" si="1"/>
        <v>87.5</v>
      </c>
    </row>
    <row r="786" ht="15.75" customHeight="1">
      <c r="A786" s="1">
        <f>IFERROR(__xludf.DUMMYFUNCTION("""COMPUTED_VALUE"""),44998.66666666667)</f>
        <v>44998.66667</v>
      </c>
      <c r="B786" s="2">
        <f>IFERROR(__xludf.DUMMYFUNCTION("""COMPUTED_VALUE"""),5137.5)</f>
        <v>5137.5</v>
      </c>
      <c r="C786" s="2">
        <f>IFERROR(__xludf.DUMMYFUNCTION("""COMPUTED_VALUE"""),5187.5)</f>
        <v>5187.5</v>
      </c>
      <c r="D786" s="2">
        <f>IFERROR(__xludf.DUMMYFUNCTION("""COMPUTED_VALUE"""),5112.5)</f>
        <v>5112.5</v>
      </c>
      <c r="E786" s="2">
        <f>IFERROR(__xludf.DUMMYFUNCTION("""COMPUTED_VALUE"""),5175.0)</f>
        <v>5175</v>
      </c>
      <c r="F786" s="2">
        <f>IFERROR(__xludf.DUMMYFUNCTION("""COMPUTED_VALUE"""),4.64138E7)</f>
        <v>46413800</v>
      </c>
      <c r="G786" s="2">
        <f t="shared" si="1"/>
        <v>75</v>
      </c>
    </row>
    <row r="787" ht="15.75" customHeight="1">
      <c r="A787" s="1">
        <f>IFERROR(__xludf.DUMMYFUNCTION("""COMPUTED_VALUE"""),44999.66666666667)</f>
        <v>44999.66667</v>
      </c>
      <c r="B787" s="2">
        <f>IFERROR(__xludf.DUMMYFUNCTION("""COMPUTED_VALUE"""),5100.0)</f>
        <v>5100</v>
      </c>
      <c r="C787" s="2">
        <f>IFERROR(__xludf.DUMMYFUNCTION("""COMPUTED_VALUE"""),5137.5)</f>
        <v>5137.5</v>
      </c>
      <c r="D787" s="2">
        <f>IFERROR(__xludf.DUMMYFUNCTION("""COMPUTED_VALUE"""),4925.0)</f>
        <v>4925</v>
      </c>
      <c r="E787" s="2">
        <f>IFERROR(__xludf.DUMMYFUNCTION("""COMPUTED_VALUE"""),4962.5)</f>
        <v>4962.5</v>
      </c>
      <c r="F787" s="2">
        <f>IFERROR(__xludf.DUMMYFUNCTION("""COMPUTED_VALUE"""),9.59492E7)</f>
        <v>95949200</v>
      </c>
      <c r="G787" s="2">
        <f t="shared" si="1"/>
        <v>250</v>
      </c>
    </row>
    <row r="788" ht="15.75" customHeight="1">
      <c r="A788" s="1">
        <f>IFERROR(__xludf.DUMMYFUNCTION("""COMPUTED_VALUE"""),45000.66666666667)</f>
        <v>45000.66667</v>
      </c>
      <c r="B788" s="2">
        <f>IFERROR(__xludf.DUMMYFUNCTION("""COMPUTED_VALUE"""),5025.0)</f>
        <v>5025</v>
      </c>
      <c r="C788" s="2">
        <f>IFERROR(__xludf.DUMMYFUNCTION("""COMPUTED_VALUE"""),5087.5)</f>
        <v>5087.5</v>
      </c>
      <c r="D788" s="2">
        <f>IFERROR(__xludf.DUMMYFUNCTION("""COMPUTED_VALUE"""),4925.0)</f>
        <v>4925</v>
      </c>
      <c r="E788" s="2">
        <f>IFERROR(__xludf.DUMMYFUNCTION("""COMPUTED_VALUE"""),5025.0)</f>
        <v>5025</v>
      </c>
      <c r="F788" s="2">
        <f>IFERROR(__xludf.DUMMYFUNCTION("""COMPUTED_VALUE"""),1.314143E8)</f>
        <v>131414300</v>
      </c>
      <c r="G788" s="2">
        <f t="shared" si="1"/>
        <v>162.5</v>
      </c>
    </row>
    <row r="789" ht="15.75" customHeight="1">
      <c r="A789" s="1">
        <f>IFERROR(__xludf.DUMMYFUNCTION("""COMPUTED_VALUE"""),45001.66666666667)</f>
        <v>45001.66667</v>
      </c>
      <c r="B789" s="2">
        <f>IFERROR(__xludf.DUMMYFUNCTION("""COMPUTED_VALUE"""),5037.5)</f>
        <v>5037.5</v>
      </c>
      <c r="C789" s="2">
        <f>IFERROR(__xludf.DUMMYFUNCTION("""COMPUTED_VALUE"""),5037.5)</f>
        <v>5037.5</v>
      </c>
      <c r="D789" s="2">
        <f>IFERROR(__xludf.DUMMYFUNCTION("""COMPUTED_VALUE"""),4912.5)</f>
        <v>4912.5</v>
      </c>
      <c r="E789" s="2">
        <f>IFERROR(__xludf.DUMMYFUNCTION("""COMPUTED_VALUE"""),4925.0)</f>
        <v>4925</v>
      </c>
      <c r="F789" s="2">
        <f>IFERROR(__xludf.DUMMYFUNCTION("""COMPUTED_VALUE"""),6.77337E7)</f>
        <v>67733700</v>
      </c>
      <c r="G789" s="2">
        <f t="shared" si="1"/>
        <v>125</v>
      </c>
    </row>
    <row r="790" ht="15.75" customHeight="1">
      <c r="A790" s="1">
        <f>IFERROR(__xludf.DUMMYFUNCTION("""COMPUTED_VALUE"""),45002.66666666667)</f>
        <v>45002.66667</v>
      </c>
      <c r="B790" s="2">
        <f>IFERROR(__xludf.DUMMYFUNCTION("""COMPUTED_VALUE"""),4975.0)</f>
        <v>4975</v>
      </c>
      <c r="C790" s="2">
        <f>IFERROR(__xludf.DUMMYFUNCTION("""COMPUTED_VALUE"""),5062.5)</f>
        <v>5062.5</v>
      </c>
      <c r="D790" s="2">
        <f>IFERROR(__xludf.DUMMYFUNCTION("""COMPUTED_VALUE"""),4962.5)</f>
        <v>4962.5</v>
      </c>
      <c r="E790" s="2">
        <f>IFERROR(__xludf.DUMMYFUNCTION("""COMPUTED_VALUE"""),5050.0)</f>
        <v>5050</v>
      </c>
      <c r="F790" s="2">
        <f>IFERROR(__xludf.DUMMYFUNCTION("""COMPUTED_VALUE"""),1.120858E8)</f>
        <v>112085800</v>
      </c>
      <c r="G790" s="2">
        <f t="shared" si="1"/>
        <v>137.5</v>
      </c>
    </row>
    <row r="791" ht="15.75" customHeight="1">
      <c r="A791" s="1">
        <f>IFERROR(__xludf.DUMMYFUNCTION("""COMPUTED_VALUE"""),45005.66666666667)</f>
        <v>45005.66667</v>
      </c>
      <c r="B791" s="2">
        <f>IFERROR(__xludf.DUMMYFUNCTION("""COMPUTED_VALUE"""),5025.0)</f>
        <v>5025</v>
      </c>
      <c r="C791" s="2">
        <f>IFERROR(__xludf.DUMMYFUNCTION("""COMPUTED_VALUE"""),5050.0)</f>
        <v>5050</v>
      </c>
      <c r="D791" s="2">
        <f>IFERROR(__xludf.DUMMYFUNCTION("""COMPUTED_VALUE"""),5000.0)</f>
        <v>5000</v>
      </c>
      <c r="E791" s="2">
        <f>IFERROR(__xludf.DUMMYFUNCTION("""COMPUTED_VALUE"""),5000.0)</f>
        <v>5000</v>
      </c>
      <c r="F791" s="2">
        <f>IFERROR(__xludf.DUMMYFUNCTION("""COMPUTED_VALUE"""),2.31665E7)</f>
        <v>23166500</v>
      </c>
      <c r="G791" s="2">
        <f t="shared" si="1"/>
        <v>50</v>
      </c>
    </row>
    <row r="792" ht="15.75" customHeight="1">
      <c r="A792" s="1">
        <f>IFERROR(__xludf.DUMMYFUNCTION("""COMPUTED_VALUE"""),45006.66666666667)</f>
        <v>45006.66667</v>
      </c>
      <c r="B792" s="2">
        <f>IFERROR(__xludf.DUMMYFUNCTION("""COMPUTED_VALUE"""),5050.0)</f>
        <v>5050</v>
      </c>
      <c r="C792" s="2">
        <f>IFERROR(__xludf.DUMMYFUNCTION("""COMPUTED_VALUE"""),5250.0)</f>
        <v>5250</v>
      </c>
      <c r="D792" s="2">
        <f>IFERROR(__xludf.DUMMYFUNCTION("""COMPUTED_VALUE"""),5037.5)</f>
        <v>5037.5</v>
      </c>
      <c r="E792" s="2">
        <f>IFERROR(__xludf.DUMMYFUNCTION("""COMPUTED_VALUE"""),5250.0)</f>
        <v>5250</v>
      </c>
      <c r="F792" s="2">
        <f>IFERROR(__xludf.DUMMYFUNCTION("""COMPUTED_VALUE"""),6.56655E7)</f>
        <v>65665500</v>
      </c>
      <c r="G792" s="2">
        <f t="shared" si="1"/>
        <v>250</v>
      </c>
    </row>
    <row r="793" ht="15.75" customHeight="1">
      <c r="A793" s="1">
        <f>IFERROR(__xludf.DUMMYFUNCTION("""COMPUTED_VALUE"""),45009.66666666667)</f>
        <v>45009.66667</v>
      </c>
      <c r="B793" s="2">
        <f>IFERROR(__xludf.DUMMYFUNCTION("""COMPUTED_VALUE"""),5312.5)</f>
        <v>5312.5</v>
      </c>
      <c r="C793" s="2">
        <f>IFERROR(__xludf.DUMMYFUNCTION("""COMPUTED_VALUE"""),5475.0)</f>
        <v>5475</v>
      </c>
      <c r="D793" s="2">
        <f>IFERROR(__xludf.DUMMYFUNCTION("""COMPUTED_VALUE"""),5287.5)</f>
        <v>5287.5</v>
      </c>
      <c r="E793" s="2">
        <f>IFERROR(__xludf.DUMMYFUNCTION("""COMPUTED_VALUE"""),5450.0)</f>
        <v>5450</v>
      </c>
      <c r="F793" s="2">
        <f>IFERROR(__xludf.DUMMYFUNCTION("""COMPUTED_VALUE"""),1.110781E8)</f>
        <v>111078100</v>
      </c>
      <c r="G793" s="2">
        <f t="shared" si="1"/>
        <v>225</v>
      </c>
    </row>
    <row r="794" ht="15.75" customHeight="1">
      <c r="A794" s="1">
        <f>IFERROR(__xludf.DUMMYFUNCTION("""COMPUTED_VALUE"""),45012.66666666667)</f>
        <v>45012.66667</v>
      </c>
      <c r="B794" s="2">
        <f>IFERROR(__xludf.DUMMYFUNCTION("""COMPUTED_VALUE"""),5200.0)</f>
        <v>5200</v>
      </c>
      <c r="C794" s="2">
        <f>IFERROR(__xludf.DUMMYFUNCTION("""COMPUTED_VALUE"""),5212.5)</f>
        <v>5212.5</v>
      </c>
      <c r="D794" s="2">
        <f>IFERROR(__xludf.DUMMYFUNCTION("""COMPUTED_VALUE"""),5100.0)</f>
        <v>5100</v>
      </c>
      <c r="E794" s="2">
        <f>IFERROR(__xludf.DUMMYFUNCTION("""COMPUTED_VALUE"""),5100.0)</f>
        <v>5100</v>
      </c>
      <c r="F794" s="2">
        <f>IFERROR(__xludf.DUMMYFUNCTION("""COMPUTED_VALUE"""),7.59128E7)</f>
        <v>75912800</v>
      </c>
      <c r="G794" s="2">
        <f t="shared" si="1"/>
        <v>350</v>
      </c>
    </row>
    <row r="795" ht="15.75" customHeight="1">
      <c r="A795" s="1">
        <f>IFERROR(__xludf.DUMMYFUNCTION("""COMPUTED_VALUE"""),45013.66666666667)</f>
        <v>45013.66667</v>
      </c>
      <c r="B795" s="2">
        <f>IFERROR(__xludf.DUMMYFUNCTION("""COMPUTED_VALUE"""),5100.0)</f>
        <v>5100</v>
      </c>
      <c r="C795" s="2">
        <f>IFERROR(__xludf.DUMMYFUNCTION("""COMPUTED_VALUE"""),5137.5)</f>
        <v>5137.5</v>
      </c>
      <c r="D795" s="2">
        <f>IFERROR(__xludf.DUMMYFUNCTION("""COMPUTED_VALUE"""),5050.0)</f>
        <v>5050</v>
      </c>
      <c r="E795" s="2">
        <f>IFERROR(__xludf.DUMMYFUNCTION("""COMPUTED_VALUE"""),5062.5)</f>
        <v>5062.5</v>
      </c>
      <c r="F795" s="2">
        <f>IFERROR(__xludf.DUMMYFUNCTION("""COMPUTED_VALUE"""),5.19755E7)</f>
        <v>51975500</v>
      </c>
      <c r="G795" s="2">
        <f t="shared" si="1"/>
        <v>87.5</v>
      </c>
    </row>
    <row r="796" ht="15.75" customHeight="1">
      <c r="A796" s="1">
        <f>IFERROR(__xludf.DUMMYFUNCTION("""COMPUTED_VALUE"""),45014.66666666667)</f>
        <v>45014.66667</v>
      </c>
      <c r="B796" s="2">
        <f>IFERROR(__xludf.DUMMYFUNCTION("""COMPUTED_VALUE"""),5125.0)</f>
        <v>5125</v>
      </c>
      <c r="C796" s="2">
        <f>IFERROR(__xludf.DUMMYFUNCTION("""COMPUTED_VALUE"""),5187.5)</f>
        <v>5187.5</v>
      </c>
      <c r="D796" s="2">
        <f>IFERROR(__xludf.DUMMYFUNCTION("""COMPUTED_VALUE"""),5100.0)</f>
        <v>5100</v>
      </c>
      <c r="E796" s="2">
        <f>IFERROR(__xludf.DUMMYFUNCTION("""COMPUTED_VALUE"""),5175.0)</f>
        <v>5175</v>
      </c>
      <c r="F796" s="2">
        <f>IFERROR(__xludf.DUMMYFUNCTION("""COMPUTED_VALUE"""),5.37273E7)</f>
        <v>53727300</v>
      </c>
      <c r="G796" s="2">
        <f t="shared" si="1"/>
        <v>125</v>
      </c>
    </row>
    <row r="797" ht="15.75" customHeight="1">
      <c r="A797" s="1">
        <f>IFERROR(__xludf.DUMMYFUNCTION("""COMPUTED_VALUE"""),45015.66666666667)</f>
        <v>45015.66667</v>
      </c>
      <c r="B797" s="2">
        <f>IFERROR(__xludf.DUMMYFUNCTION("""COMPUTED_VALUE"""),5175.0)</f>
        <v>5175</v>
      </c>
      <c r="C797" s="2">
        <f>IFERROR(__xludf.DUMMYFUNCTION("""COMPUTED_VALUE"""),5200.0)</f>
        <v>5200</v>
      </c>
      <c r="D797" s="2">
        <f>IFERROR(__xludf.DUMMYFUNCTION("""COMPUTED_VALUE"""),5112.5)</f>
        <v>5112.5</v>
      </c>
      <c r="E797" s="2">
        <f>IFERROR(__xludf.DUMMYFUNCTION("""COMPUTED_VALUE"""),5112.5)</f>
        <v>5112.5</v>
      </c>
      <c r="F797" s="2">
        <f>IFERROR(__xludf.DUMMYFUNCTION("""COMPUTED_VALUE"""),4.85931E7)</f>
        <v>48593100</v>
      </c>
      <c r="G797" s="2">
        <f t="shared" si="1"/>
        <v>87.5</v>
      </c>
    </row>
    <row r="798" ht="15.75" customHeight="1">
      <c r="A798" s="1">
        <f>IFERROR(__xludf.DUMMYFUNCTION("""COMPUTED_VALUE"""),45016.66666666667)</f>
        <v>45016.66667</v>
      </c>
      <c r="B798" s="2">
        <f>IFERROR(__xludf.DUMMYFUNCTION("""COMPUTED_VALUE"""),5137.5)</f>
        <v>5137.5</v>
      </c>
      <c r="C798" s="2">
        <f>IFERROR(__xludf.DUMMYFUNCTION("""COMPUTED_VALUE"""),5162.5)</f>
        <v>5162.5</v>
      </c>
      <c r="D798" s="2">
        <f>IFERROR(__xludf.DUMMYFUNCTION("""COMPUTED_VALUE"""),5100.0)</f>
        <v>5100</v>
      </c>
      <c r="E798" s="2">
        <f>IFERROR(__xludf.DUMMYFUNCTION("""COMPUTED_VALUE"""),5162.5)</f>
        <v>5162.5</v>
      </c>
      <c r="F798" s="2">
        <f>IFERROR(__xludf.DUMMYFUNCTION("""COMPUTED_VALUE"""),4.60066E7)</f>
        <v>46006600</v>
      </c>
      <c r="G798" s="2">
        <f t="shared" si="1"/>
        <v>62.5</v>
      </c>
    </row>
    <row r="799" ht="15.75" customHeight="1">
      <c r="A799" s="1">
        <f>IFERROR(__xludf.DUMMYFUNCTION("""COMPUTED_VALUE"""),45019.66666666667)</f>
        <v>45019.66667</v>
      </c>
      <c r="B799" s="2">
        <f>IFERROR(__xludf.DUMMYFUNCTION("""COMPUTED_VALUE"""),5200.0)</f>
        <v>5200</v>
      </c>
      <c r="C799" s="2">
        <f>IFERROR(__xludf.DUMMYFUNCTION("""COMPUTED_VALUE"""),5262.5)</f>
        <v>5262.5</v>
      </c>
      <c r="D799" s="2">
        <f>IFERROR(__xludf.DUMMYFUNCTION("""COMPUTED_VALUE"""),5200.0)</f>
        <v>5200</v>
      </c>
      <c r="E799" s="2">
        <f>IFERROR(__xludf.DUMMYFUNCTION("""COMPUTED_VALUE"""),5262.5)</f>
        <v>5262.5</v>
      </c>
      <c r="F799" s="2">
        <f>IFERROR(__xludf.DUMMYFUNCTION("""COMPUTED_VALUE"""),5.08622E7)</f>
        <v>50862200</v>
      </c>
      <c r="G799" s="2">
        <f t="shared" si="1"/>
        <v>100</v>
      </c>
    </row>
    <row r="800" ht="15.75" customHeight="1">
      <c r="A800" s="1">
        <f>IFERROR(__xludf.DUMMYFUNCTION("""COMPUTED_VALUE"""),45020.66666666667)</f>
        <v>45020.66667</v>
      </c>
      <c r="B800" s="2">
        <f>IFERROR(__xludf.DUMMYFUNCTION("""COMPUTED_VALUE"""),5250.0)</f>
        <v>5250</v>
      </c>
      <c r="C800" s="2">
        <f>IFERROR(__xludf.DUMMYFUNCTION("""COMPUTED_VALUE"""),5300.0)</f>
        <v>5300</v>
      </c>
      <c r="D800" s="2">
        <f>IFERROR(__xludf.DUMMYFUNCTION("""COMPUTED_VALUE"""),5100.0)</f>
        <v>5100</v>
      </c>
      <c r="E800" s="2">
        <f>IFERROR(__xludf.DUMMYFUNCTION("""COMPUTED_VALUE"""),5200.0)</f>
        <v>5200</v>
      </c>
      <c r="F800" s="2">
        <f>IFERROR(__xludf.DUMMYFUNCTION("""COMPUTED_VALUE"""),9.44826E7)</f>
        <v>94482600</v>
      </c>
      <c r="G800" s="2">
        <f t="shared" si="1"/>
        <v>200</v>
      </c>
    </row>
    <row r="801" ht="15.75" customHeight="1">
      <c r="A801" s="1">
        <f>IFERROR(__xludf.DUMMYFUNCTION("""COMPUTED_VALUE"""),45021.66666666667)</f>
        <v>45021.66667</v>
      </c>
      <c r="B801" s="2">
        <f>IFERROR(__xludf.DUMMYFUNCTION("""COMPUTED_VALUE"""),5150.0)</f>
        <v>5150</v>
      </c>
      <c r="C801" s="2">
        <f>IFERROR(__xludf.DUMMYFUNCTION("""COMPUTED_VALUE"""),5250.0)</f>
        <v>5250</v>
      </c>
      <c r="D801" s="2">
        <f>IFERROR(__xludf.DUMMYFUNCTION("""COMPUTED_VALUE"""),5150.0)</f>
        <v>5150</v>
      </c>
      <c r="E801" s="2">
        <f>IFERROR(__xludf.DUMMYFUNCTION("""COMPUTED_VALUE"""),5225.0)</f>
        <v>5225</v>
      </c>
      <c r="F801" s="2">
        <f>IFERROR(__xludf.DUMMYFUNCTION("""COMPUTED_VALUE"""),4.26555E7)</f>
        <v>42655500</v>
      </c>
      <c r="G801" s="2">
        <f t="shared" si="1"/>
        <v>100</v>
      </c>
    </row>
    <row r="802" ht="15.75" customHeight="1">
      <c r="A802" s="1">
        <f>IFERROR(__xludf.DUMMYFUNCTION("""COMPUTED_VALUE"""),45022.66666666667)</f>
        <v>45022.66667</v>
      </c>
      <c r="B802" s="2">
        <f>IFERROR(__xludf.DUMMYFUNCTION("""COMPUTED_VALUE"""),5225.0)</f>
        <v>5225</v>
      </c>
      <c r="C802" s="2">
        <f>IFERROR(__xludf.DUMMYFUNCTION("""COMPUTED_VALUE"""),5225.0)</f>
        <v>5225</v>
      </c>
      <c r="D802" s="2">
        <f>IFERROR(__xludf.DUMMYFUNCTION("""COMPUTED_VALUE"""),5150.0)</f>
        <v>5150</v>
      </c>
      <c r="E802" s="2">
        <f>IFERROR(__xludf.DUMMYFUNCTION("""COMPUTED_VALUE"""),5175.0)</f>
        <v>5175</v>
      </c>
      <c r="F802" s="2">
        <f>IFERROR(__xludf.DUMMYFUNCTION("""COMPUTED_VALUE"""),4.79994E7)</f>
        <v>47999400</v>
      </c>
      <c r="G802" s="2">
        <f t="shared" si="1"/>
        <v>75</v>
      </c>
    </row>
    <row r="803" ht="15.75" customHeight="1">
      <c r="A803" s="1">
        <f>IFERROR(__xludf.DUMMYFUNCTION("""COMPUTED_VALUE"""),45026.66666666667)</f>
        <v>45026.66667</v>
      </c>
      <c r="B803" s="2">
        <f>IFERROR(__xludf.DUMMYFUNCTION("""COMPUTED_VALUE"""),5150.0)</f>
        <v>5150</v>
      </c>
      <c r="C803" s="2">
        <f>IFERROR(__xludf.DUMMYFUNCTION("""COMPUTED_VALUE"""),5175.0)</f>
        <v>5175</v>
      </c>
      <c r="D803" s="2">
        <f>IFERROR(__xludf.DUMMYFUNCTION("""COMPUTED_VALUE"""),5050.0)</f>
        <v>5050</v>
      </c>
      <c r="E803" s="2">
        <f>IFERROR(__xludf.DUMMYFUNCTION("""COMPUTED_VALUE"""),5100.0)</f>
        <v>5100</v>
      </c>
      <c r="F803" s="2">
        <f>IFERROR(__xludf.DUMMYFUNCTION("""COMPUTED_VALUE"""),7.47878E7)</f>
        <v>74787800</v>
      </c>
      <c r="G803" s="2">
        <f t="shared" si="1"/>
        <v>125</v>
      </c>
    </row>
    <row r="804" ht="15.75" customHeight="1">
      <c r="A804" s="1">
        <f>IFERROR(__xludf.DUMMYFUNCTION("""COMPUTED_VALUE"""),45027.66666666667)</f>
        <v>45027.66667</v>
      </c>
      <c r="B804" s="2">
        <f>IFERROR(__xludf.DUMMYFUNCTION("""COMPUTED_VALUE"""),5100.0)</f>
        <v>5100</v>
      </c>
      <c r="C804" s="2">
        <f>IFERROR(__xludf.DUMMYFUNCTION("""COMPUTED_VALUE"""),5100.0)</f>
        <v>5100</v>
      </c>
      <c r="D804" s="2">
        <f>IFERROR(__xludf.DUMMYFUNCTION("""COMPUTED_VALUE"""),5050.0)</f>
        <v>5050</v>
      </c>
      <c r="E804" s="2">
        <f>IFERROR(__xludf.DUMMYFUNCTION("""COMPUTED_VALUE"""),5100.0)</f>
        <v>5100</v>
      </c>
      <c r="F804" s="2">
        <f>IFERROR(__xludf.DUMMYFUNCTION("""COMPUTED_VALUE"""),3.77448E7)</f>
        <v>37744800</v>
      </c>
      <c r="G804" s="2">
        <f t="shared" si="1"/>
        <v>50</v>
      </c>
    </row>
    <row r="805" ht="15.75" customHeight="1">
      <c r="A805" s="1">
        <f>IFERROR(__xludf.DUMMYFUNCTION("""COMPUTED_VALUE"""),45028.66666666667)</f>
        <v>45028.66667</v>
      </c>
      <c r="B805" s="2">
        <f>IFERROR(__xludf.DUMMYFUNCTION("""COMPUTED_VALUE"""),5100.0)</f>
        <v>5100</v>
      </c>
      <c r="C805" s="2">
        <f>IFERROR(__xludf.DUMMYFUNCTION("""COMPUTED_VALUE"""),5225.0)</f>
        <v>5225</v>
      </c>
      <c r="D805" s="2">
        <f>IFERROR(__xludf.DUMMYFUNCTION("""COMPUTED_VALUE"""),5100.0)</f>
        <v>5100</v>
      </c>
      <c r="E805" s="2">
        <f>IFERROR(__xludf.DUMMYFUNCTION("""COMPUTED_VALUE"""),5150.0)</f>
        <v>5150</v>
      </c>
      <c r="F805" s="2">
        <f>IFERROR(__xludf.DUMMYFUNCTION("""COMPUTED_VALUE"""),1.119015E8)</f>
        <v>111901500</v>
      </c>
      <c r="G805" s="2">
        <f t="shared" si="1"/>
        <v>125</v>
      </c>
    </row>
    <row r="806" ht="15.75" customHeight="1">
      <c r="A806" s="1">
        <f>IFERROR(__xludf.DUMMYFUNCTION("""COMPUTED_VALUE"""),45029.66666666667)</f>
        <v>45029.66667</v>
      </c>
      <c r="B806" s="2">
        <f>IFERROR(__xludf.DUMMYFUNCTION("""COMPUTED_VALUE"""),5175.0)</f>
        <v>5175</v>
      </c>
      <c r="C806" s="2">
        <f>IFERROR(__xludf.DUMMYFUNCTION("""COMPUTED_VALUE"""),5200.0)</f>
        <v>5200</v>
      </c>
      <c r="D806" s="2">
        <f>IFERROR(__xludf.DUMMYFUNCTION("""COMPUTED_VALUE"""),5125.0)</f>
        <v>5125</v>
      </c>
      <c r="E806" s="2">
        <f>IFERROR(__xludf.DUMMYFUNCTION("""COMPUTED_VALUE"""),5125.0)</f>
        <v>5125</v>
      </c>
      <c r="F806" s="2">
        <f>IFERROR(__xludf.DUMMYFUNCTION("""COMPUTED_VALUE"""),6.79285E7)</f>
        <v>67928500</v>
      </c>
      <c r="G806" s="2">
        <f t="shared" si="1"/>
        <v>75</v>
      </c>
    </row>
    <row r="807" ht="15.75" customHeight="1">
      <c r="A807" s="1">
        <f>IFERROR(__xludf.DUMMYFUNCTION("""COMPUTED_VALUE"""),45030.66666666667)</f>
        <v>45030.66667</v>
      </c>
      <c r="B807" s="2">
        <f>IFERROR(__xludf.DUMMYFUNCTION("""COMPUTED_VALUE"""),5150.0)</f>
        <v>5150</v>
      </c>
      <c r="C807" s="2">
        <f>IFERROR(__xludf.DUMMYFUNCTION("""COMPUTED_VALUE"""),5250.0)</f>
        <v>5250</v>
      </c>
      <c r="D807" s="2">
        <f>IFERROR(__xludf.DUMMYFUNCTION("""COMPUTED_VALUE"""),5150.0)</f>
        <v>5150</v>
      </c>
      <c r="E807" s="2">
        <f>IFERROR(__xludf.DUMMYFUNCTION("""COMPUTED_VALUE"""),5225.0)</f>
        <v>5225</v>
      </c>
      <c r="F807" s="2">
        <f>IFERROR(__xludf.DUMMYFUNCTION("""COMPUTED_VALUE"""),1.424798E8)</f>
        <v>142479800</v>
      </c>
      <c r="G807" s="2">
        <f t="shared" si="1"/>
        <v>125</v>
      </c>
    </row>
    <row r="808" ht="15.75" customHeight="1">
      <c r="A808" s="1">
        <f>IFERROR(__xludf.DUMMYFUNCTION("""COMPUTED_VALUE"""),45033.66666666667)</f>
        <v>45033.66667</v>
      </c>
      <c r="B808" s="2">
        <f>IFERROR(__xludf.DUMMYFUNCTION("""COMPUTED_VALUE"""),5225.0)</f>
        <v>5225</v>
      </c>
      <c r="C808" s="2">
        <f>IFERROR(__xludf.DUMMYFUNCTION("""COMPUTED_VALUE"""),5250.0)</f>
        <v>5250</v>
      </c>
      <c r="D808" s="2">
        <f>IFERROR(__xludf.DUMMYFUNCTION("""COMPUTED_VALUE"""),5125.0)</f>
        <v>5125</v>
      </c>
      <c r="E808" s="2">
        <f>IFERROR(__xludf.DUMMYFUNCTION("""COMPUTED_VALUE"""),5125.0)</f>
        <v>5125</v>
      </c>
      <c r="F808" s="2">
        <f>IFERROR(__xludf.DUMMYFUNCTION("""COMPUTED_VALUE"""),9.57899E7)</f>
        <v>95789900</v>
      </c>
      <c r="G808" s="2">
        <f t="shared" si="1"/>
        <v>125</v>
      </c>
    </row>
    <row r="809" ht="15.75" customHeight="1">
      <c r="A809" s="1">
        <f>IFERROR(__xludf.DUMMYFUNCTION("""COMPUTED_VALUE"""),45034.66666666667)</f>
        <v>45034.66667</v>
      </c>
      <c r="B809" s="2">
        <f>IFERROR(__xludf.DUMMYFUNCTION("""COMPUTED_VALUE"""),5150.0)</f>
        <v>5150</v>
      </c>
      <c r="C809" s="2">
        <f>IFERROR(__xludf.DUMMYFUNCTION("""COMPUTED_VALUE"""),5250.0)</f>
        <v>5250</v>
      </c>
      <c r="D809" s="2">
        <f>IFERROR(__xludf.DUMMYFUNCTION("""COMPUTED_VALUE"""),5125.0)</f>
        <v>5125</v>
      </c>
      <c r="E809" s="2">
        <f>IFERROR(__xludf.DUMMYFUNCTION("""COMPUTED_VALUE"""),5175.0)</f>
        <v>5175</v>
      </c>
      <c r="F809" s="2">
        <f>IFERROR(__xludf.DUMMYFUNCTION("""COMPUTED_VALUE"""),1.069623E8)</f>
        <v>106962300</v>
      </c>
      <c r="G809" s="2">
        <f t="shared" si="1"/>
        <v>125</v>
      </c>
    </row>
    <row r="810" ht="15.75" customHeight="1">
      <c r="A810" s="1">
        <f>IFERROR(__xludf.DUMMYFUNCTION("""COMPUTED_VALUE"""),45042.66666666667)</f>
        <v>45042.66667</v>
      </c>
      <c r="B810" s="2">
        <f>IFERROR(__xludf.DUMMYFUNCTION("""COMPUTED_VALUE"""),5400.0)</f>
        <v>5400</v>
      </c>
      <c r="C810" s="2">
        <f>IFERROR(__xludf.DUMMYFUNCTION("""COMPUTED_VALUE"""),5425.0)</f>
        <v>5425</v>
      </c>
      <c r="D810" s="2">
        <f>IFERROR(__xludf.DUMMYFUNCTION("""COMPUTED_VALUE"""),5175.0)</f>
        <v>5175</v>
      </c>
      <c r="E810" s="2">
        <f>IFERROR(__xludf.DUMMYFUNCTION("""COMPUTED_VALUE"""),5200.0)</f>
        <v>5200</v>
      </c>
      <c r="F810" s="2">
        <f>IFERROR(__xludf.DUMMYFUNCTION("""COMPUTED_VALUE"""),2.07338E8)</f>
        <v>207338000</v>
      </c>
      <c r="G810" s="2">
        <f t="shared" si="1"/>
        <v>250</v>
      </c>
    </row>
    <row r="811" ht="15.75" customHeight="1">
      <c r="A811" s="1">
        <f>IFERROR(__xludf.DUMMYFUNCTION("""COMPUTED_VALUE"""),45043.66666666667)</f>
        <v>45043.66667</v>
      </c>
      <c r="B811" s="2">
        <f>IFERROR(__xludf.DUMMYFUNCTION("""COMPUTED_VALUE"""),5175.0)</f>
        <v>5175</v>
      </c>
      <c r="C811" s="2">
        <f>IFERROR(__xludf.DUMMYFUNCTION("""COMPUTED_VALUE"""),5225.0)</f>
        <v>5225</v>
      </c>
      <c r="D811" s="2">
        <f>IFERROR(__xludf.DUMMYFUNCTION("""COMPUTED_VALUE"""),5175.0)</f>
        <v>5175</v>
      </c>
      <c r="E811" s="2">
        <f>IFERROR(__xludf.DUMMYFUNCTION("""COMPUTED_VALUE"""),5200.0)</f>
        <v>5200</v>
      </c>
      <c r="F811" s="2">
        <f>IFERROR(__xludf.DUMMYFUNCTION("""COMPUTED_VALUE"""),5.10763E7)</f>
        <v>51076300</v>
      </c>
      <c r="G811" s="2">
        <f t="shared" si="1"/>
        <v>50</v>
      </c>
    </row>
    <row r="812" ht="15.75" customHeight="1">
      <c r="A812" s="1">
        <f>IFERROR(__xludf.DUMMYFUNCTION("""COMPUTED_VALUE"""),45044.66666666667)</f>
        <v>45044.66667</v>
      </c>
      <c r="B812" s="2">
        <f>IFERROR(__xludf.DUMMYFUNCTION("""COMPUTED_VALUE"""),5225.0)</f>
        <v>5225</v>
      </c>
      <c r="C812" s="2">
        <f>IFERROR(__xludf.DUMMYFUNCTION("""COMPUTED_VALUE"""),5225.0)</f>
        <v>5225</v>
      </c>
      <c r="D812" s="2">
        <f>IFERROR(__xludf.DUMMYFUNCTION("""COMPUTED_VALUE"""),5150.0)</f>
        <v>5150</v>
      </c>
      <c r="E812" s="2">
        <f>IFERROR(__xludf.DUMMYFUNCTION("""COMPUTED_VALUE"""),5175.0)</f>
        <v>5175</v>
      </c>
      <c r="F812" s="2">
        <f>IFERROR(__xludf.DUMMYFUNCTION("""COMPUTED_VALUE"""),1.169578E8)</f>
        <v>116957800</v>
      </c>
      <c r="G812" s="2">
        <f t="shared" si="1"/>
        <v>75</v>
      </c>
    </row>
    <row r="813" ht="15.75" customHeight="1">
      <c r="A813" s="1">
        <f>IFERROR(__xludf.DUMMYFUNCTION("""COMPUTED_VALUE"""),45048.66666666667)</f>
        <v>45048.66667</v>
      </c>
      <c r="B813" s="2">
        <f>IFERROR(__xludf.DUMMYFUNCTION("""COMPUTED_VALUE"""),5250.0)</f>
        <v>5250</v>
      </c>
      <c r="C813" s="2">
        <f>IFERROR(__xludf.DUMMYFUNCTION("""COMPUTED_VALUE"""),5250.0)</f>
        <v>5250</v>
      </c>
      <c r="D813" s="2">
        <f>IFERROR(__xludf.DUMMYFUNCTION("""COMPUTED_VALUE"""),5175.0)</f>
        <v>5175</v>
      </c>
      <c r="E813" s="2">
        <f>IFERROR(__xludf.DUMMYFUNCTION("""COMPUTED_VALUE"""),5250.0)</f>
        <v>5250</v>
      </c>
      <c r="F813" s="2">
        <f>IFERROR(__xludf.DUMMYFUNCTION("""COMPUTED_VALUE"""),9.80241E7)</f>
        <v>98024100</v>
      </c>
      <c r="G813" s="2">
        <f t="shared" si="1"/>
        <v>75</v>
      </c>
    </row>
    <row r="814" ht="15.75" customHeight="1">
      <c r="A814" s="1">
        <f>IFERROR(__xludf.DUMMYFUNCTION("""COMPUTED_VALUE"""),45049.66666666667)</f>
        <v>45049.66667</v>
      </c>
      <c r="B814" s="2">
        <f>IFERROR(__xludf.DUMMYFUNCTION("""COMPUTED_VALUE"""),5250.0)</f>
        <v>5250</v>
      </c>
      <c r="C814" s="2">
        <f>IFERROR(__xludf.DUMMYFUNCTION("""COMPUTED_VALUE"""),5250.0)</f>
        <v>5250</v>
      </c>
      <c r="D814" s="2">
        <f>IFERROR(__xludf.DUMMYFUNCTION("""COMPUTED_VALUE"""),5150.0)</f>
        <v>5150</v>
      </c>
      <c r="E814" s="2">
        <f>IFERROR(__xludf.DUMMYFUNCTION("""COMPUTED_VALUE"""),5225.0)</f>
        <v>5225</v>
      </c>
      <c r="F814" s="2">
        <f>IFERROR(__xludf.DUMMYFUNCTION("""COMPUTED_VALUE"""),1.10683E8)</f>
        <v>110683000</v>
      </c>
      <c r="G814" s="2">
        <f t="shared" si="1"/>
        <v>100</v>
      </c>
    </row>
    <row r="815" ht="15.75" customHeight="1">
      <c r="A815" s="1">
        <f>IFERROR(__xludf.DUMMYFUNCTION("""COMPUTED_VALUE"""),45050.66666666667)</f>
        <v>45050.66667</v>
      </c>
      <c r="B815" s="2">
        <f>IFERROR(__xludf.DUMMYFUNCTION("""COMPUTED_VALUE"""),5175.0)</f>
        <v>5175</v>
      </c>
      <c r="C815" s="2">
        <f>IFERROR(__xludf.DUMMYFUNCTION("""COMPUTED_VALUE"""),5225.0)</f>
        <v>5225</v>
      </c>
      <c r="D815" s="2">
        <f>IFERROR(__xludf.DUMMYFUNCTION("""COMPUTED_VALUE"""),5125.0)</f>
        <v>5125</v>
      </c>
      <c r="E815" s="2">
        <f>IFERROR(__xludf.DUMMYFUNCTION("""COMPUTED_VALUE"""),5175.0)</f>
        <v>5175</v>
      </c>
      <c r="F815" s="2">
        <f>IFERROR(__xludf.DUMMYFUNCTION("""COMPUTED_VALUE"""),1.009459E8)</f>
        <v>100945900</v>
      </c>
      <c r="G815" s="2">
        <f t="shared" si="1"/>
        <v>100</v>
      </c>
    </row>
    <row r="816" ht="15.75" customHeight="1">
      <c r="A816" s="1">
        <f>IFERROR(__xludf.DUMMYFUNCTION("""COMPUTED_VALUE"""),45051.66666666667)</f>
        <v>45051.66667</v>
      </c>
      <c r="B816" s="2">
        <f>IFERROR(__xludf.DUMMYFUNCTION("""COMPUTED_VALUE"""),5175.0)</f>
        <v>5175</v>
      </c>
      <c r="C816" s="2">
        <f>IFERROR(__xludf.DUMMYFUNCTION("""COMPUTED_VALUE"""),5200.0)</f>
        <v>5200</v>
      </c>
      <c r="D816" s="2">
        <f>IFERROR(__xludf.DUMMYFUNCTION("""COMPUTED_VALUE"""),5125.0)</f>
        <v>5125</v>
      </c>
      <c r="E816" s="2">
        <f>IFERROR(__xludf.DUMMYFUNCTION("""COMPUTED_VALUE"""),5175.0)</f>
        <v>5175</v>
      </c>
      <c r="F816" s="2">
        <f>IFERROR(__xludf.DUMMYFUNCTION("""COMPUTED_VALUE"""),6.44995E7)</f>
        <v>64499500</v>
      </c>
      <c r="G816" s="2">
        <f t="shared" si="1"/>
        <v>75</v>
      </c>
    </row>
    <row r="817" ht="15.75" customHeight="1">
      <c r="A817" s="1">
        <f>IFERROR(__xludf.DUMMYFUNCTION("""COMPUTED_VALUE"""),45054.66666666667)</f>
        <v>45054.66667</v>
      </c>
      <c r="B817" s="2">
        <f>IFERROR(__xludf.DUMMYFUNCTION("""COMPUTED_VALUE"""),5175.0)</f>
        <v>5175</v>
      </c>
      <c r="C817" s="2">
        <f>IFERROR(__xludf.DUMMYFUNCTION("""COMPUTED_VALUE"""),5200.0)</f>
        <v>5200</v>
      </c>
      <c r="D817" s="2">
        <f>IFERROR(__xludf.DUMMYFUNCTION("""COMPUTED_VALUE"""),5125.0)</f>
        <v>5125</v>
      </c>
      <c r="E817" s="2">
        <f>IFERROR(__xludf.DUMMYFUNCTION("""COMPUTED_VALUE"""),5125.0)</f>
        <v>5125</v>
      </c>
      <c r="F817" s="2">
        <f>IFERROR(__xludf.DUMMYFUNCTION("""COMPUTED_VALUE"""),6.4678E7)</f>
        <v>64678000</v>
      </c>
      <c r="G817" s="2">
        <f t="shared" si="1"/>
        <v>75</v>
      </c>
    </row>
    <row r="818" ht="15.75" customHeight="1">
      <c r="A818" s="1">
        <f>IFERROR(__xludf.DUMMYFUNCTION("""COMPUTED_VALUE"""),45055.66666666667)</f>
        <v>45055.66667</v>
      </c>
      <c r="B818" s="2">
        <f>IFERROR(__xludf.DUMMYFUNCTION("""COMPUTED_VALUE"""),5100.0)</f>
        <v>5100</v>
      </c>
      <c r="C818" s="2">
        <f>IFERROR(__xludf.DUMMYFUNCTION("""COMPUTED_VALUE"""),5125.0)</f>
        <v>5125</v>
      </c>
      <c r="D818" s="2">
        <f>IFERROR(__xludf.DUMMYFUNCTION("""COMPUTED_VALUE"""),5050.0)</f>
        <v>5050</v>
      </c>
      <c r="E818" s="2">
        <f>IFERROR(__xludf.DUMMYFUNCTION("""COMPUTED_VALUE"""),5050.0)</f>
        <v>5050</v>
      </c>
      <c r="F818" s="2">
        <f>IFERROR(__xludf.DUMMYFUNCTION("""COMPUTED_VALUE"""),9.3531E7)</f>
        <v>93531000</v>
      </c>
      <c r="G818" s="2">
        <f t="shared" si="1"/>
        <v>75</v>
      </c>
    </row>
    <row r="819" ht="15.75" customHeight="1">
      <c r="A819" s="1">
        <f>IFERROR(__xludf.DUMMYFUNCTION("""COMPUTED_VALUE"""),45056.66666666667)</f>
        <v>45056.66667</v>
      </c>
      <c r="B819" s="2">
        <f>IFERROR(__xludf.DUMMYFUNCTION("""COMPUTED_VALUE"""),5050.0)</f>
        <v>5050</v>
      </c>
      <c r="C819" s="2">
        <f>IFERROR(__xludf.DUMMYFUNCTION("""COMPUTED_VALUE"""),5125.0)</f>
        <v>5125</v>
      </c>
      <c r="D819" s="2">
        <f>IFERROR(__xludf.DUMMYFUNCTION("""COMPUTED_VALUE"""),5050.0)</f>
        <v>5050</v>
      </c>
      <c r="E819" s="2">
        <f>IFERROR(__xludf.DUMMYFUNCTION("""COMPUTED_VALUE"""),5075.0)</f>
        <v>5075</v>
      </c>
      <c r="F819" s="2">
        <f>IFERROR(__xludf.DUMMYFUNCTION("""COMPUTED_VALUE"""),5.81482E7)</f>
        <v>58148200</v>
      </c>
      <c r="G819" s="2">
        <f t="shared" si="1"/>
        <v>75</v>
      </c>
    </row>
    <row r="820" ht="15.75" customHeight="1">
      <c r="A820" s="1">
        <f>IFERROR(__xludf.DUMMYFUNCTION("""COMPUTED_VALUE"""),45057.66666666667)</f>
        <v>45057.66667</v>
      </c>
      <c r="B820" s="2">
        <f>IFERROR(__xludf.DUMMYFUNCTION("""COMPUTED_VALUE"""),5075.0)</f>
        <v>5075</v>
      </c>
      <c r="C820" s="2">
        <f>IFERROR(__xludf.DUMMYFUNCTION("""COMPUTED_VALUE"""),5100.0)</f>
        <v>5100</v>
      </c>
      <c r="D820" s="2">
        <f>IFERROR(__xludf.DUMMYFUNCTION("""COMPUTED_VALUE"""),5025.0)</f>
        <v>5025</v>
      </c>
      <c r="E820" s="2">
        <f>IFERROR(__xludf.DUMMYFUNCTION("""COMPUTED_VALUE"""),5100.0)</f>
        <v>5100</v>
      </c>
      <c r="F820" s="2">
        <f>IFERROR(__xludf.DUMMYFUNCTION("""COMPUTED_VALUE"""),6.32623E7)</f>
        <v>63262300</v>
      </c>
      <c r="G820" s="2">
        <f t="shared" si="1"/>
        <v>75</v>
      </c>
    </row>
    <row r="821" ht="15.75" customHeight="1">
      <c r="A821" s="1">
        <f>IFERROR(__xludf.DUMMYFUNCTION("""COMPUTED_VALUE"""),45058.66666666667)</f>
        <v>45058.66667</v>
      </c>
      <c r="B821" s="2">
        <f>IFERROR(__xludf.DUMMYFUNCTION("""COMPUTED_VALUE"""),5075.0)</f>
        <v>5075</v>
      </c>
      <c r="C821" s="2">
        <f>IFERROR(__xludf.DUMMYFUNCTION("""COMPUTED_VALUE"""),5075.0)</f>
        <v>5075</v>
      </c>
      <c r="D821" s="2">
        <f>IFERROR(__xludf.DUMMYFUNCTION("""COMPUTED_VALUE"""),5000.0)</f>
        <v>5000</v>
      </c>
      <c r="E821" s="2">
        <f>IFERROR(__xludf.DUMMYFUNCTION("""COMPUTED_VALUE"""),5000.0)</f>
        <v>5000</v>
      </c>
      <c r="F821" s="2">
        <f>IFERROR(__xludf.DUMMYFUNCTION("""COMPUTED_VALUE"""),1.054073E8)</f>
        <v>105407300</v>
      </c>
      <c r="G821" s="2">
        <f t="shared" si="1"/>
        <v>100</v>
      </c>
    </row>
    <row r="822" ht="15.75" customHeight="1">
      <c r="A822" s="1">
        <f>IFERROR(__xludf.DUMMYFUNCTION("""COMPUTED_VALUE"""),45061.66666666667)</f>
        <v>45061.66667</v>
      </c>
      <c r="B822" s="2">
        <f>IFERROR(__xludf.DUMMYFUNCTION("""COMPUTED_VALUE"""),5050.0)</f>
        <v>5050</v>
      </c>
      <c r="C822" s="2">
        <f>IFERROR(__xludf.DUMMYFUNCTION("""COMPUTED_VALUE"""),5050.0)</f>
        <v>5050</v>
      </c>
      <c r="D822" s="2">
        <f>IFERROR(__xludf.DUMMYFUNCTION("""COMPUTED_VALUE"""),5000.0)</f>
        <v>5000</v>
      </c>
      <c r="E822" s="2">
        <f>IFERROR(__xludf.DUMMYFUNCTION("""COMPUTED_VALUE"""),5050.0)</f>
        <v>5050</v>
      </c>
      <c r="F822" s="2">
        <f>IFERROR(__xludf.DUMMYFUNCTION("""COMPUTED_VALUE"""),7.64517E7)</f>
        <v>76451700</v>
      </c>
      <c r="G822" s="2">
        <f t="shared" si="1"/>
        <v>50</v>
      </c>
    </row>
    <row r="823" ht="15.75" customHeight="1">
      <c r="A823" s="1">
        <f>IFERROR(__xludf.DUMMYFUNCTION("""COMPUTED_VALUE"""),45062.66666666667)</f>
        <v>45062.66667</v>
      </c>
      <c r="B823" s="2">
        <f>IFERROR(__xludf.DUMMYFUNCTION("""COMPUTED_VALUE"""),5075.0)</f>
        <v>5075</v>
      </c>
      <c r="C823" s="2">
        <f>IFERROR(__xludf.DUMMYFUNCTION("""COMPUTED_VALUE"""),5075.0)</f>
        <v>5075</v>
      </c>
      <c r="D823" s="2">
        <f>IFERROR(__xludf.DUMMYFUNCTION("""COMPUTED_VALUE"""),4980.0)</f>
        <v>4980</v>
      </c>
      <c r="E823" s="2">
        <f>IFERROR(__xludf.DUMMYFUNCTION("""COMPUTED_VALUE"""),4990.0)</f>
        <v>4990</v>
      </c>
      <c r="F823" s="2">
        <f>IFERROR(__xludf.DUMMYFUNCTION("""COMPUTED_VALUE"""),4.27522E7)</f>
        <v>42752200</v>
      </c>
      <c r="G823" s="2">
        <f t="shared" si="1"/>
        <v>95</v>
      </c>
    </row>
    <row r="824" ht="15.75" customHeight="1">
      <c r="A824" s="1">
        <f>IFERROR(__xludf.DUMMYFUNCTION("""COMPUTED_VALUE"""),45063.66666666667)</f>
        <v>45063.66667</v>
      </c>
      <c r="B824" s="2">
        <f>IFERROR(__xludf.DUMMYFUNCTION("""COMPUTED_VALUE"""),4990.0)</f>
        <v>4990</v>
      </c>
      <c r="C824" s="2">
        <f>IFERROR(__xludf.DUMMYFUNCTION("""COMPUTED_VALUE"""),5075.0)</f>
        <v>5075</v>
      </c>
      <c r="D824" s="2">
        <f>IFERROR(__xludf.DUMMYFUNCTION("""COMPUTED_VALUE"""),4980.0)</f>
        <v>4980</v>
      </c>
      <c r="E824" s="2">
        <f>IFERROR(__xludf.DUMMYFUNCTION("""COMPUTED_VALUE"""),5000.0)</f>
        <v>5000</v>
      </c>
      <c r="F824" s="2">
        <f>IFERROR(__xludf.DUMMYFUNCTION("""COMPUTED_VALUE"""),6.33967E7)</f>
        <v>63396700</v>
      </c>
      <c r="G824" s="2">
        <f t="shared" si="1"/>
        <v>95</v>
      </c>
    </row>
    <row r="825" ht="15.75" customHeight="1">
      <c r="A825" s="1">
        <f>IFERROR(__xludf.DUMMYFUNCTION("""COMPUTED_VALUE"""),45065.66666666667)</f>
        <v>45065.66667</v>
      </c>
      <c r="B825" s="2">
        <f>IFERROR(__xludf.DUMMYFUNCTION("""COMPUTED_VALUE"""),5075.0)</f>
        <v>5075</v>
      </c>
      <c r="C825" s="2">
        <f>IFERROR(__xludf.DUMMYFUNCTION("""COMPUTED_VALUE"""),5100.0)</f>
        <v>5100</v>
      </c>
      <c r="D825" s="2">
        <f>IFERROR(__xludf.DUMMYFUNCTION("""COMPUTED_VALUE"""),5025.0)</f>
        <v>5025</v>
      </c>
      <c r="E825" s="2">
        <f>IFERROR(__xludf.DUMMYFUNCTION("""COMPUTED_VALUE"""),5075.0)</f>
        <v>5075</v>
      </c>
      <c r="F825" s="2">
        <f>IFERROR(__xludf.DUMMYFUNCTION("""COMPUTED_VALUE"""),7.84998E7)</f>
        <v>78499800</v>
      </c>
      <c r="G825" s="2">
        <f t="shared" si="1"/>
        <v>100</v>
      </c>
    </row>
    <row r="826" ht="15.75" customHeight="1">
      <c r="A826" s="1">
        <f>IFERROR(__xludf.DUMMYFUNCTION("""COMPUTED_VALUE"""),45068.66666666667)</f>
        <v>45068.66667</v>
      </c>
      <c r="B826" s="2">
        <f>IFERROR(__xludf.DUMMYFUNCTION("""COMPUTED_VALUE"""),5100.0)</f>
        <v>5100</v>
      </c>
      <c r="C826" s="2">
        <f>IFERROR(__xludf.DUMMYFUNCTION("""COMPUTED_VALUE"""),5250.0)</f>
        <v>5250</v>
      </c>
      <c r="D826" s="2">
        <f>IFERROR(__xludf.DUMMYFUNCTION("""COMPUTED_VALUE"""),5075.0)</f>
        <v>5075</v>
      </c>
      <c r="E826" s="2">
        <f>IFERROR(__xludf.DUMMYFUNCTION("""COMPUTED_VALUE"""),5225.0)</f>
        <v>5225</v>
      </c>
      <c r="F826" s="2">
        <f>IFERROR(__xludf.DUMMYFUNCTION("""COMPUTED_VALUE"""),1.200272E8)</f>
        <v>120027200</v>
      </c>
      <c r="G826" s="2">
        <f t="shared" si="1"/>
        <v>175</v>
      </c>
    </row>
    <row r="827" ht="15.75" customHeight="1">
      <c r="A827" s="1">
        <f>IFERROR(__xludf.DUMMYFUNCTION("""COMPUTED_VALUE"""),45069.66666666667)</f>
        <v>45069.66667</v>
      </c>
      <c r="B827" s="2">
        <f>IFERROR(__xludf.DUMMYFUNCTION("""COMPUTED_VALUE"""),5200.0)</f>
        <v>5200</v>
      </c>
      <c r="C827" s="2">
        <f>IFERROR(__xludf.DUMMYFUNCTION("""COMPUTED_VALUE"""),5250.0)</f>
        <v>5250</v>
      </c>
      <c r="D827" s="2">
        <f>IFERROR(__xludf.DUMMYFUNCTION("""COMPUTED_VALUE"""),5100.0)</f>
        <v>5100</v>
      </c>
      <c r="E827" s="2">
        <f>IFERROR(__xludf.DUMMYFUNCTION("""COMPUTED_VALUE"""),5125.0)</f>
        <v>5125</v>
      </c>
      <c r="F827" s="2">
        <f>IFERROR(__xludf.DUMMYFUNCTION("""COMPUTED_VALUE"""),1.655341E8)</f>
        <v>165534100</v>
      </c>
      <c r="G827" s="2">
        <f t="shared" si="1"/>
        <v>150</v>
      </c>
    </row>
    <row r="828" ht="15.75" customHeight="1">
      <c r="A828" s="1">
        <f>IFERROR(__xludf.DUMMYFUNCTION("""COMPUTED_VALUE"""),45070.66666666667)</f>
        <v>45070.66667</v>
      </c>
      <c r="B828" s="2">
        <f>IFERROR(__xludf.DUMMYFUNCTION("""COMPUTED_VALUE"""),5125.0)</f>
        <v>5125</v>
      </c>
      <c r="C828" s="2">
        <f>IFERROR(__xludf.DUMMYFUNCTION("""COMPUTED_VALUE"""),5150.0)</f>
        <v>5150</v>
      </c>
      <c r="D828" s="2">
        <f>IFERROR(__xludf.DUMMYFUNCTION("""COMPUTED_VALUE"""),5050.0)</f>
        <v>5050</v>
      </c>
      <c r="E828" s="2">
        <f>IFERROR(__xludf.DUMMYFUNCTION("""COMPUTED_VALUE"""),5075.0)</f>
        <v>5075</v>
      </c>
      <c r="F828" s="2">
        <f>IFERROR(__xludf.DUMMYFUNCTION("""COMPUTED_VALUE"""),1.255753E8)</f>
        <v>125575300</v>
      </c>
      <c r="G828" s="2">
        <f t="shared" si="1"/>
        <v>100</v>
      </c>
    </row>
    <row r="829" ht="15.75" customHeight="1">
      <c r="A829" s="1">
        <f>IFERROR(__xludf.DUMMYFUNCTION("""COMPUTED_VALUE"""),45071.66666666667)</f>
        <v>45071.66667</v>
      </c>
      <c r="B829" s="2">
        <f>IFERROR(__xludf.DUMMYFUNCTION("""COMPUTED_VALUE"""),5050.0)</f>
        <v>5050</v>
      </c>
      <c r="C829" s="2">
        <f>IFERROR(__xludf.DUMMYFUNCTION("""COMPUTED_VALUE"""),5175.0)</f>
        <v>5175</v>
      </c>
      <c r="D829" s="2">
        <f>IFERROR(__xludf.DUMMYFUNCTION("""COMPUTED_VALUE"""),5050.0)</f>
        <v>5050</v>
      </c>
      <c r="E829" s="2">
        <f>IFERROR(__xludf.DUMMYFUNCTION("""COMPUTED_VALUE"""),5175.0)</f>
        <v>5175</v>
      </c>
      <c r="F829" s="2">
        <f>IFERROR(__xludf.DUMMYFUNCTION("""COMPUTED_VALUE"""),7.64241E7)</f>
        <v>76424100</v>
      </c>
      <c r="G829" s="2">
        <f t="shared" si="1"/>
        <v>125</v>
      </c>
    </row>
    <row r="830" ht="15.75" customHeight="1">
      <c r="A830" s="1">
        <f>IFERROR(__xludf.DUMMYFUNCTION("""COMPUTED_VALUE"""),45072.66666666667)</f>
        <v>45072.66667</v>
      </c>
      <c r="B830" s="2">
        <f>IFERROR(__xludf.DUMMYFUNCTION("""COMPUTED_VALUE"""),5175.0)</f>
        <v>5175</v>
      </c>
      <c r="C830" s="2">
        <f>IFERROR(__xludf.DUMMYFUNCTION("""COMPUTED_VALUE"""),5200.0)</f>
        <v>5200</v>
      </c>
      <c r="D830" s="2">
        <f>IFERROR(__xludf.DUMMYFUNCTION("""COMPUTED_VALUE"""),5100.0)</f>
        <v>5100</v>
      </c>
      <c r="E830" s="2">
        <f>IFERROR(__xludf.DUMMYFUNCTION("""COMPUTED_VALUE"""),5125.0)</f>
        <v>5125</v>
      </c>
      <c r="F830" s="2">
        <f>IFERROR(__xludf.DUMMYFUNCTION("""COMPUTED_VALUE"""),4.23137E7)</f>
        <v>42313700</v>
      </c>
      <c r="G830" s="2">
        <f t="shared" si="1"/>
        <v>100</v>
      </c>
    </row>
    <row r="831" ht="15.75" customHeight="1">
      <c r="A831" s="1">
        <f>IFERROR(__xludf.DUMMYFUNCTION("""COMPUTED_VALUE"""),45075.66666666667)</f>
        <v>45075.66667</v>
      </c>
      <c r="B831" s="2">
        <f>IFERROR(__xludf.DUMMYFUNCTION("""COMPUTED_VALUE"""),5175.0)</f>
        <v>5175</v>
      </c>
      <c r="C831" s="2">
        <f>IFERROR(__xludf.DUMMYFUNCTION("""COMPUTED_VALUE"""),5175.0)</f>
        <v>5175</v>
      </c>
      <c r="D831" s="2">
        <f>IFERROR(__xludf.DUMMYFUNCTION("""COMPUTED_VALUE"""),5100.0)</f>
        <v>5100</v>
      </c>
      <c r="E831" s="2">
        <f>IFERROR(__xludf.DUMMYFUNCTION("""COMPUTED_VALUE"""),5150.0)</f>
        <v>5150</v>
      </c>
      <c r="F831" s="2">
        <f>IFERROR(__xludf.DUMMYFUNCTION("""COMPUTED_VALUE"""),6.06469E7)</f>
        <v>60646900</v>
      </c>
      <c r="G831" s="2">
        <f t="shared" si="1"/>
        <v>75</v>
      </c>
    </row>
    <row r="832" ht="15.75" customHeight="1">
      <c r="A832" s="1">
        <f>IFERROR(__xludf.DUMMYFUNCTION("""COMPUTED_VALUE"""),45076.66666666667)</f>
        <v>45076.66667</v>
      </c>
      <c r="B832" s="2">
        <f>IFERROR(__xludf.DUMMYFUNCTION("""COMPUTED_VALUE"""),5100.0)</f>
        <v>5100</v>
      </c>
      <c r="C832" s="2">
        <f>IFERROR(__xludf.DUMMYFUNCTION("""COMPUTED_VALUE"""),5200.0)</f>
        <v>5200</v>
      </c>
      <c r="D832" s="2">
        <f>IFERROR(__xludf.DUMMYFUNCTION("""COMPUTED_VALUE"""),5100.0)</f>
        <v>5100</v>
      </c>
      <c r="E832" s="2">
        <f>IFERROR(__xludf.DUMMYFUNCTION("""COMPUTED_VALUE"""),5150.0)</f>
        <v>5150</v>
      </c>
      <c r="F832" s="2">
        <f>IFERROR(__xludf.DUMMYFUNCTION("""COMPUTED_VALUE"""),4.90861E7)</f>
        <v>49086100</v>
      </c>
      <c r="G832" s="2">
        <f t="shared" si="1"/>
        <v>100</v>
      </c>
    </row>
    <row r="833" ht="15.75" customHeight="1">
      <c r="A833" s="1">
        <f>IFERROR(__xludf.DUMMYFUNCTION("""COMPUTED_VALUE"""),45077.66666666667)</f>
        <v>45077.66667</v>
      </c>
      <c r="B833" s="2">
        <f>IFERROR(__xludf.DUMMYFUNCTION("""COMPUTED_VALUE"""),5175.0)</f>
        <v>5175</v>
      </c>
      <c r="C833" s="2">
        <f>IFERROR(__xludf.DUMMYFUNCTION("""COMPUTED_VALUE"""),5200.0)</f>
        <v>5200</v>
      </c>
      <c r="D833" s="2">
        <f>IFERROR(__xludf.DUMMYFUNCTION("""COMPUTED_VALUE"""),5050.0)</f>
        <v>5050</v>
      </c>
      <c r="E833" s="2">
        <f>IFERROR(__xludf.DUMMYFUNCTION("""COMPUTED_VALUE"""),5050.0)</f>
        <v>5050</v>
      </c>
      <c r="F833" s="2">
        <f>IFERROR(__xludf.DUMMYFUNCTION("""COMPUTED_VALUE"""),3.937359E8)</f>
        <v>393735900</v>
      </c>
      <c r="G833" s="2">
        <f t="shared" si="1"/>
        <v>150</v>
      </c>
    </row>
    <row r="834" ht="15.75" customHeight="1">
      <c r="A834" s="1">
        <f>IFERROR(__xludf.DUMMYFUNCTION("""COMPUTED_VALUE"""),45082.66666666667)</f>
        <v>45082.66667</v>
      </c>
      <c r="B834" s="2">
        <f>IFERROR(__xludf.DUMMYFUNCTION("""COMPUTED_VALUE"""),5100.0)</f>
        <v>5100</v>
      </c>
      <c r="C834" s="2">
        <f>IFERROR(__xludf.DUMMYFUNCTION("""COMPUTED_VALUE"""),5150.0)</f>
        <v>5150</v>
      </c>
      <c r="D834" s="2">
        <f>IFERROR(__xludf.DUMMYFUNCTION("""COMPUTED_VALUE"""),5075.0)</f>
        <v>5075</v>
      </c>
      <c r="E834" s="2">
        <f>IFERROR(__xludf.DUMMYFUNCTION("""COMPUTED_VALUE"""),5075.0)</f>
        <v>5075</v>
      </c>
      <c r="F834" s="2">
        <f>IFERROR(__xludf.DUMMYFUNCTION("""COMPUTED_VALUE"""),1.491913E8)</f>
        <v>149191300</v>
      </c>
      <c r="G834" s="2">
        <f t="shared" si="1"/>
        <v>100</v>
      </c>
    </row>
    <row r="835" ht="15.75" customHeight="1">
      <c r="A835" s="1">
        <f>IFERROR(__xludf.DUMMYFUNCTION("""COMPUTED_VALUE"""),45083.66666666667)</f>
        <v>45083.66667</v>
      </c>
      <c r="B835" s="2">
        <f>IFERROR(__xludf.DUMMYFUNCTION("""COMPUTED_VALUE"""),5050.0)</f>
        <v>5050</v>
      </c>
      <c r="C835" s="2">
        <f>IFERROR(__xludf.DUMMYFUNCTION("""COMPUTED_VALUE"""),5100.0)</f>
        <v>5100</v>
      </c>
      <c r="D835" s="2">
        <f>IFERROR(__xludf.DUMMYFUNCTION("""COMPUTED_VALUE"""),4950.0)</f>
        <v>4950</v>
      </c>
      <c r="E835" s="2">
        <f>IFERROR(__xludf.DUMMYFUNCTION("""COMPUTED_VALUE"""),5050.0)</f>
        <v>5050</v>
      </c>
      <c r="F835" s="2">
        <f>IFERROR(__xludf.DUMMYFUNCTION("""COMPUTED_VALUE"""),2.445905E8)</f>
        <v>244590500</v>
      </c>
      <c r="G835" s="2">
        <f t="shared" si="1"/>
        <v>150</v>
      </c>
    </row>
    <row r="836" ht="15.75" customHeight="1">
      <c r="A836" s="1">
        <f>IFERROR(__xludf.DUMMYFUNCTION("""COMPUTED_VALUE"""),45084.66666666667)</f>
        <v>45084.66667</v>
      </c>
      <c r="B836" s="2">
        <f>IFERROR(__xludf.DUMMYFUNCTION("""COMPUTED_VALUE"""),5000.0)</f>
        <v>5000</v>
      </c>
      <c r="C836" s="2">
        <f>IFERROR(__xludf.DUMMYFUNCTION("""COMPUTED_VALUE"""),5075.0)</f>
        <v>5075</v>
      </c>
      <c r="D836" s="2">
        <f>IFERROR(__xludf.DUMMYFUNCTION("""COMPUTED_VALUE"""),5000.0)</f>
        <v>5000</v>
      </c>
      <c r="E836" s="2">
        <f>IFERROR(__xludf.DUMMYFUNCTION("""COMPUTED_VALUE"""),5025.0)</f>
        <v>5025</v>
      </c>
      <c r="F836" s="2">
        <f>IFERROR(__xludf.DUMMYFUNCTION("""COMPUTED_VALUE"""),1.304087E8)</f>
        <v>130408700</v>
      </c>
      <c r="G836" s="2">
        <f t="shared" si="1"/>
        <v>75</v>
      </c>
    </row>
    <row r="837" ht="15.75" customHeight="1">
      <c r="A837" s="1">
        <f>IFERROR(__xludf.DUMMYFUNCTION("""COMPUTED_VALUE"""),45085.66666666667)</f>
        <v>45085.66667</v>
      </c>
      <c r="B837" s="2">
        <f>IFERROR(__xludf.DUMMYFUNCTION("""COMPUTED_VALUE"""),5000.0)</f>
        <v>5000</v>
      </c>
      <c r="C837" s="2">
        <f>IFERROR(__xludf.DUMMYFUNCTION("""COMPUTED_VALUE"""),5075.0)</f>
        <v>5075</v>
      </c>
      <c r="D837" s="2">
        <f>IFERROR(__xludf.DUMMYFUNCTION("""COMPUTED_VALUE"""),5000.0)</f>
        <v>5000</v>
      </c>
      <c r="E837" s="2">
        <f>IFERROR(__xludf.DUMMYFUNCTION("""COMPUTED_VALUE"""),5025.0)</f>
        <v>5025</v>
      </c>
      <c r="F837" s="2">
        <f>IFERROR(__xludf.DUMMYFUNCTION("""COMPUTED_VALUE"""),1.734842E8)</f>
        <v>173484200</v>
      </c>
      <c r="G837" s="2">
        <f t="shared" si="1"/>
        <v>75</v>
      </c>
    </row>
    <row r="838" ht="15.75" customHeight="1">
      <c r="A838" s="1">
        <f>IFERROR(__xludf.DUMMYFUNCTION("""COMPUTED_VALUE"""),45086.66666666667)</f>
        <v>45086.66667</v>
      </c>
      <c r="B838" s="2">
        <f>IFERROR(__xludf.DUMMYFUNCTION("""COMPUTED_VALUE"""),5025.0)</f>
        <v>5025</v>
      </c>
      <c r="C838" s="2">
        <f>IFERROR(__xludf.DUMMYFUNCTION("""COMPUTED_VALUE"""),5125.0)</f>
        <v>5125</v>
      </c>
      <c r="D838" s="2">
        <f>IFERROR(__xludf.DUMMYFUNCTION("""COMPUTED_VALUE"""),5000.0)</f>
        <v>5000</v>
      </c>
      <c r="E838" s="2">
        <f>IFERROR(__xludf.DUMMYFUNCTION("""COMPUTED_VALUE"""),5125.0)</f>
        <v>5125</v>
      </c>
      <c r="F838" s="2">
        <f>IFERROR(__xludf.DUMMYFUNCTION("""COMPUTED_VALUE"""),1.508492E8)</f>
        <v>150849200</v>
      </c>
      <c r="G838" s="2">
        <f t="shared" si="1"/>
        <v>125</v>
      </c>
    </row>
    <row r="839" ht="15.75" customHeight="1">
      <c r="A839" s="1">
        <f>IFERROR(__xludf.DUMMYFUNCTION("""COMPUTED_VALUE"""),45089.66666666667)</f>
        <v>45089.66667</v>
      </c>
      <c r="B839" s="2">
        <f>IFERROR(__xludf.DUMMYFUNCTION("""COMPUTED_VALUE"""),5100.0)</f>
        <v>5100</v>
      </c>
      <c r="C839" s="2">
        <f>IFERROR(__xludf.DUMMYFUNCTION("""COMPUTED_VALUE"""),5125.0)</f>
        <v>5125</v>
      </c>
      <c r="D839" s="2">
        <f>IFERROR(__xludf.DUMMYFUNCTION("""COMPUTED_VALUE"""),5050.0)</f>
        <v>5050</v>
      </c>
      <c r="E839" s="2">
        <f>IFERROR(__xludf.DUMMYFUNCTION("""COMPUTED_VALUE"""),5100.0)</f>
        <v>5100</v>
      </c>
      <c r="F839" s="2">
        <f>IFERROR(__xludf.DUMMYFUNCTION("""COMPUTED_VALUE"""),9.10803E7)</f>
        <v>91080300</v>
      </c>
      <c r="G839" s="2">
        <f t="shared" si="1"/>
        <v>75</v>
      </c>
    </row>
    <row r="840" ht="15.75" customHeight="1">
      <c r="A840" s="1">
        <f>IFERROR(__xludf.DUMMYFUNCTION("""COMPUTED_VALUE"""),45090.66666666667)</f>
        <v>45090.66667</v>
      </c>
      <c r="B840" s="2">
        <f>IFERROR(__xludf.DUMMYFUNCTION("""COMPUTED_VALUE"""),5100.0)</f>
        <v>5100</v>
      </c>
      <c r="C840" s="2">
        <f>IFERROR(__xludf.DUMMYFUNCTION("""COMPUTED_VALUE"""),5175.0)</f>
        <v>5175</v>
      </c>
      <c r="D840" s="2">
        <f>IFERROR(__xludf.DUMMYFUNCTION("""COMPUTED_VALUE"""),5050.0)</f>
        <v>5050</v>
      </c>
      <c r="E840" s="2">
        <f>IFERROR(__xludf.DUMMYFUNCTION("""COMPUTED_VALUE"""),5100.0)</f>
        <v>5100</v>
      </c>
      <c r="F840" s="2">
        <f>IFERROR(__xludf.DUMMYFUNCTION("""COMPUTED_VALUE"""),1.438047E8)</f>
        <v>143804700</v>
      </c>
      <c r="G840" s="2">
        <f t="shared" si="1"/>
        <v>125</v>
      </c>
    </row>
    <row r="841" ht="15.75" customHeight="1">
      <c r="A841" s="1">
        <f>IFERROR(__xludf.DUMMYFUNCTION("""COMPUTED_VALUE"""),45091.66666666667)</f>
        <v>45091.66667</v>
      </c>
      <c r="B841" s="2">
        <f>IFERROR(__xludf.DUMMYFUNCTION("""COMPUTED_VALUE"""),5125.0)</f>
        <v>5125</v>
      </c>
      <c r="C841" s="2">
        <f>IFERROR(__xludf.DUMMYFUNCTION("""COMPUTED_VALUE"""),5150.0)</f>
        <v>5150</v>
      </c>
      <c r="D841" s="2">
        <f>IFERROR(__xludf.DUMMYFUNCTION("""COMPUTED_VALUE"""),5050.0)</f>
        <v>5050</v>
      </c>
      <c r="E841" s="2">
        <f>IFERROR(__xludf.DUMMYFUNCTION("""COMPUTED_VALUE"""),5050.0)</f>
        <v>5050</v>
      </c>
      <c r="F841" s="2">
        <f>IFERROR(__xludf.DUMMYFUNCTION("""COMPUTED_VALUE"""),9.66703E7)</f>
        <v>96670300</v>
      </c>
      <c r="G841" s="2">
        <f t="shared" si="1"/>
        <v>100</v>
      </c>
    </row>
    <row r="842" ht="15.75" customHeight="1">
      <c r="A842" s="1">
        <f>IFERROR(__xludf.DUMMYFUNCTION("""COMPUTED_VALUE"""),45092.66666666667)</f>
        <v>45092.66667</v>
      </c>
      <c r="B842" s="2">
        <f>IFERROR(__xludf.DUMMYFUNCTION("""COMPUTED_VALUE"""),5050.0)</f>
        <v>5050</v>
      </c>
      <c r="C842" s="2">
        <f>IFERROR(__xludf.DUMMYFUNCTION("""COMPUTED_VALUE"""),5150.0)</f>
        <v>5150</v>
      </c>
      <c r="D842" s="2">
        <f>IFERROR(__xludf.DUMMYFUNCTION("""COMPUTED_VALUE"""),5050.0)</f>
        <v>5050</v>
      </c>
      <c r="E842" s="2">
        <f>IFERROR(__xludf.DUMMYFUNCTION("""COMPUTED_VALUE"""),5125.0)</f>
        <v>5125</v>
      </c>
      <c r="F842" s="2">
        <f>IFERROR(__xludf.DUMMYFUNCTION("""COMPUTED_VALUE"""),9.40979E7)</f>
        <v>94097900</v>
      </c>
      <c r="G842" s="2">
        <f t="shared" si="1"/>
        <v>100</v>
      </c>
    </row>
    <row r="843" ht="15.75" customHeight="1">
      <c r="A843" s="1">
        <f>IFERROR(__xludf.DUMMYFUNCTION("""COMPUTED_VALUE"""),45093.66666666667)</f>
        <v>45093.66667</v>
      </c>
      <c r="B843" s="2">
        <f>IFERROR(__xludf.DUMMYFUNCTION("""COMPUTED_VALUE"""),5125.0)</f>
        <v>5125</v>
      </c>
      <c r="C843" s="2">
        <f>IFERROR(__xludf.DUMMYFUNCTION("""COMPUTED_VALUE"""),5150.0)</f>
        <v>5150</v>
      </c>
      <c r="D843" s="2">
        <f>IFERROR(__xludf.DUMMYFUNCTION("""COMPUTED_VALUE"""),5075.0)</f>
        <v>5075</v>
      </c>
      <c r="E843" s="2">
        <f>IFERROR(__xludf.DUMMYFUNCTION("""COMPUTED_VALUE"""),5150.0)</f>
        <v>5150</v>
      </c>
      <c r="F843" s="2">
        <f>IFERROR(__xludf.DUMMYFUNCTION("""COMPUTED_VALUE"""),1.039425E8)</f>
        <v>103942500</v>
      </c>
      <c r="G843" s="2">
        <f t="shared" si="1"/>
        <v>75</v>
      </c>
    </row>
    <row r="844" ht="15.75" customHeight="1">
      <c r="A844" s="1">
        <f>IFERROR(__xludf.DUMMYFUNCTION("""COMPUTED_VALUE"""),45096.66666666667)</f>
        <v>45096.66667</v>
      </c>
      <c r="B844" s="2">
        <f>IFERROR(__xludf.DUMMYFUNCTION("""COMPUTED_VALUE"""),5100.0)</f>
        <v>5100</v>
      </c>
      <c r="C844" s="2">
        <f>IFERROR(__xludf.DUMMYFUNCTION("""COMPUTED_VALUE"""),5150.0)</f>
        <v>5150</v>
      </c>
      <c r="D844" s="2">
        <f>IFERROR(__xludf.DUMMYFUNCTION("""COMPUTED_VALUE"""),5100.0)</f>
        <v>5100</v>
      </c>
      <c r="E844" s="2">
        <f>IFERROR(__xludf.DUMMYFUNCTION("""COMPUTED_VALUE"""),5125.0)</f>
        <v>5125</v>
      </c>
      <c r="F844" s="2">
        <f>IFERROR(__xludf.DUMMYFUNCTION("""COMPUTED_VALUE"""),3.62113E7)</f>
        <v>36211300</v>
      </c>
      <c r="G844" s="2">
        <f t="shared" si="1"/>
        <v>50</v>
      </c>
    </row>
    <row r="845" ht="15.75" customHeight="1">
      <c r="A845" s="1">
        <f>IFERROR(__xludf.DUMMYFUNCTION("""COMPUTED_VALUE"""),45097.66666666667)</f>
        <v>45097.66667</v>
      </c>
      <c r="B845" s="2">
        <f>IFERROR(__xludf.DUMMYFUNCTION("""COMPUTED_VALUE"""),5100.0)</f>
        <v>5100</v>
      </c>
      <c r="C845" s="2">
        <f>IFERROR(__xludf.DUMMYFUNCTION("""COMPUTED_VALUE"""),5125.0)</f>
        <v>5125</v>
      </c>
      <c r="D845" s="2">
        <f>IFERROR(__xludf.DUMMYFUNCTION("""COMPUTED_VALUE"""),5050.0)</f>
        <v>5050</v>
      </c>
      <c r="E845" s="2">
        <f>IFERROR(__xludf.DUMMYFUNCTION("""COMPUTED_VALUE"""),5100.0)</f>
        <v>5100</v>
      </c>
      <c r="F845" s="2">
        <f>IFERROR(__xludf.DUMMYFUNCTION("""COMPUTED_VALUE"""),4.43168E7)</f>
        <v>44316800</v>
      </c>
      <c r="G845" s="2">
        <f t="shared" si="1"/>
        <v>75</v>
      </c>
    </row>
    <row r="846" ht="15.75" customHeight="1">
      <c r="A846" s="1">
        <f>IFERROR(__xludf.DUMMYFUNCTION("""COMPUTED_VALUE"""),45098.66666666667)</f>
        <v>45098.66667</v>
      </c>
      <c r="B846" s="2">
        <f>IFERROR(__xludf.DUMMYFUNCTION("""COMPUTED_VALUE"""),5050.0)</f>
        <v>5050</v>
      </c>
      <c r="C846" s="2">
        <f>IFERROR(__xludf.DUMMYFUNCTION("""COMPUTED_VALUE"""),5100.0)</f>
        <v>5100</v>
      </c>
      <c r="D846" s="2">
        <f>IFERROR(__xludf.DUMMYFUNCTION("""COMPUTED_VALUE"""),5050.0)</f>
        <v>5050</v>
      </c>
      <c r="E846" s="2">
        <f>IFERROR(__xludf.DUMMYFUNCTION("""COMPUTED_VALUE"""),5100.0)</f>
        <v>5100</v>
      </c>
      <c r="F846" s="2">
        <f>IFERROR(__xludf.DUMMYFUNCTION("""COMPUTED_VALUE"""),5.80616E7)</f>
        <v>58061600</v>
      </c>
      <c r="G846" s="2">
        <f t="shared" si="1"/>
        <v>50</v>
      </c>
    </row>
    <row r="847" ht="15.75" customHeight="1">
      <c r="A847" s="1">
        <f>IFERROR(__xludf.DUMMYFUNCTION("""COMPUTED_VALUE"""),45099.66666666667)</f>
        <v>45099.66667</v>
      </c>
      <c r="B847" s="2">
        <f>IFERROR(__xludf.DUMMYFUNCTION("""COMPUTED_VALUE"""),5100.0)</f>
        <v>5100</v>
      </c>
      <c r="C847" s="2">
        <f>IFERROR(__xludf.DUMMYFUNCTION("""COMPUTED_VALUE"""),5150.0)</f>
        <v>5150</v>
      </c>
      <c r="D847" s="2">
        <f>IFERROR(__xludf.DUMMYFUNCTION("""COMPUTED_VALUE"""),5075.0)</f>
        <v>5075</v>
      </c>
      <c r="E847" s="2">
        <f>IFERROR(__xludf.DUMMYFUNCTION("""COMPUTED_VALUE"""),5075.0)</f>
        <v>5075</v>
      </c>
      <c r="F847" s="2">
        <f>IFERROR(__xludf.DUMMYFUNCTION("""COMPUTED_VALUE"""),6.04573E7)</f>
        <v>60457300</v>
      </c>
      <c r="G847" s="2">
        <f t="shared" si="1"/>
        <v>75</v>
      </c>
    </row>
    <row r="848" ht="15.75" customHeight="1">
      <c r="A848" s="1">
        <f>IFERROR(__xludf.DUMMYFUNCTION("""COMPUTED_VALUE"""),45100.66666666667)</f>
        <v>45100.66667</v>
      </c>
      <c r="B848" s="2">
        <f>IFERROR(__xludf.DUMMYFUNCTION("""COMPUTED_VALUE"""),5075.0)</f>
        <v>5075</v>
      </c>
      <c r="C848" s="2">
        <f>IFERROR(__xludf.DUMMYFUNCTION("""COMPUTED_VALUE"""),5125.0)</f>
        <v>5125</v>
      </c>
      <c r="D848" s="2">
        <f>IFERROR(__xludf.DUMMYFUNCTION("""COMPUTED_VALUE"""),5050.0)</f>
        <v>5050</v>
      </c>
      <c r="E848" s="2">
        <f>IFERROR(__xludf.DUMMYFUNCTION("""COMPUTED_VALUE"""),5075.0)</f>
        <v>5075</v>
      </c>
      <c r="F848" s="2">
        <f>IFERROR(__xludf.DUMMYFUNCTION("""COMPUTED_VALUE"""),4.72769E7)</f>
        <v>47276900</v>
      </c>
      <c r="G848" s="2">
        <f t="shared" si="1"/>
        <v>75</v>
      </c>
    </row>
    <row r="849" ht="15.75" customHeight="1">
      <c r="A849" s="1">
        <f>IFERROR(__xludf.DUMMYFUNCTION("""COMPUTED_VALUE"""),45103.66666666667)</f>
        <v>45103.66667</v>
      </c>
      <c r="B849" s="2">
        <f>IFERROR(__xludf.DUMMYFUNCTION("""COMPUTED_VALUE"""),5100.0)</f>
        <v>5100</v>
      </c>
      <c r="C849" s="2">
        <f>IFERROR(__xludf.DUMMYFUNCTION("""COMPUTED_VALUE"""),5175.0)</f>
        <v>5175</v>
      </c>
      <c r="D849" s="2">
        <f>IFERROR(__xludf.DUMMYFUNCTION("""COMPUTED_VALUE"""),5075.0)</f>
        <v>5075</v>
      </c>
      <c r="E849" s="2">
        <f>IFERROR(__xludf.DUMMYFUNCTION("""COMPUTED_VALUE"""),5125.0)</f>
        <v>5125</v>
      </c>
      <c r="F849" s="2">
        <f>IFERROR(__xludf.DUMMYFUNCTION("""COMPUTED_VALUE"""),7.42637E7)</f>
        <v>74263700</v>
      </c>
      <c r="G849" s="2">
        <f t="shared" si="1"/>
        <v>100</v>
      </c>
    </row>
    <row r="850" ht="15.75" customHeight="1">
      <c r="A850" s="1">
        <f>IFERROR(__xludf.DUMMYFUNCTION("""COMPUTED_VALUE"""),45104.66666666667)</f>
        <v>45104.66667</v>
      </c>
      <c r="B850" s="2">
        <f>IFERROR(__xludf.DUMMYFUNCTION("""COMPUTED_VALUE"""),5175.0)</f>
        <v>5175</v>
      </c>
      <c r="C850" s="2">
        <f>IFERROR(__xludf.DUMMYFUNCTION("""COMPUTED_VALUE"""),5250.0)</f>
        <v>5250</v>
      </c>
      <c r="D850" s="2">
        <f>IFERROR(__xludf.DUMMYFUNCTION("""COMPUTED_VALUE"""),5150.0)</f>
        <v>5150</v>
      </c>
      <c r="E850" s="2">
        <f>IFERROR(__xludf.DUMMYFUNCTION("""COMPUTED_VALUE"""),5200.0)</f>
        <v>5200</v>
      </c>
      <c r="F850" s="2">
        <f>IFERROR(__xludf.DUMMYFUNCTION("""COMPUTED_VALUE"""),1.015929E8)</f>
        <v>101592900</v>
      </c>
      <c r="G850" s="2">
        <f t="shared" si="1"/>
        <v>125</v>
      </c>
    </row>
    <row r="851" ht="15.75" customHeight="1">
      <c r="A851" s="1">
        <f>IFERROR(__xludf.DUMMYFUNCTION("""COMPUTED_VALUE"""),45110.66666666667)</f>
        <v>45110.66667</v>
      </c>
      <c r="B851" s="2">
        <f>IFERROR(__xludf.DUMMYFUNCTION("""COMPUTED_VALUE"""),5125.0)</f>
        <v>5125</v>
      </c>
      <c r="C851" s="2">
        <f>IFERROR(__xludf.DUMMYFUNCTION("""COMPUTED_VALUE"""),5350.0)</f>
        <v>5350</v>
      </c>
      <c r="D851" s="2">
        <f>IFERROR(__xludf.DUMMYFUNCTION("""COMPUTED_VALUE"""),5125.0)</f>
        <v>5125</v>
      </c>
      <c r="E851" s="2">
        <f>IFERROR(__xludf.DUMMYFUNCTION("""COMPUTED_VALUE"""),5350.0)</f>
        <v>5350</v>
      </c>
      <c r="F851" s="2">
        <f>IFERROR(__xludf.DUMMYFUNCTION("""COMPUTED_VALUE"""),2.273547E8)</f>
        <v>227354700</v>
      </c>
      <c r="G851" s="2">
        <f t="shared" si="1"/>
        <v>225</v>
      </c>
    </row>
    <row r="852" ht="15.75" customHeight="1">
      <c r="A852" s="1">
        <f>IFERROR(__xludf.DUMMYFUNCTION("""COMPUTED_VALUE"""),45111.66666666667)</f>
        <v>45111.66667</v>
      </c>
      <c r="B852" s="2">
        <f>IFERROR(__xludf.DUMMYFUNCTION("""COMPUTED_VALUE"""),5400.0)</f>
        <v>5400</v>
      </c>
      <c r="C852" s="2">
        <f>IFERROR(__xludf.DUMMYFUNCTION("""COMPUTED_VALUE"""),5400.0)</f>
        <v>5400</v>
      </c>
      <c r="D852" s="2">
        <f>IFERROR(__xludf.DUMMYFUNCTION("""COMPUTED_VALUE"""),5225.0)</f>
        <v>5225</v>
      </c>
      <c r="E852" s="2">
        <f>IFERROR(__xludf.DUMMYFUNCTION("""COMPUTED_VALUE"""),5250.0)</f>
        <v>5250</v>
      </c>
      <c r="F852" s="2">
        <f>IFERROR(__xludf.DUMMYFUNCTION("""COMPUTED_VALUE"""),1.198412E8)</f>
        <v>119841200</v>
      </c>
      <c r="G852" s="2">
        <f t="shared" si="1"/>
        <v>175</v>
      </c>
    </row>
    <row r="853" ht="15.75" customHeight="1">
      <c r="A853" s="1">
        <f>IFERROR(__xludf.DUMMYFUNCTION("""COMPUTED_VALUE"""),45112.66666666667)</f>
        <v>45112.66667</v>
      </c>
      <c r="B853" s="2">
        <f>IFERROR(__xludf.DUMMYFUNCTION("""COMPUTED_VALUE"""),5300.0)</f>
        <v>5300</v>
      </c>
      <c r="C853" s="2">
        <f>IFERROR(__xludf.DUMMYFUNCTION("""COMPUTED_VALUE"""),5325.0)</f>
        <v>5325</v>
      </c>
      <c r="D853" s="2">
        <f>IFERROR(__xludf.DUMMYFUNCTION("""COMPUTED_VALUE"""),5250.0)</f>
        <v>5250</v>
      </c>
      <c r="E853" s="2">
        <f>IFERROR(__xludf.DUMMYFUNCTION("""COMPUTED_VALUE"""),5275.0)</f>
        <v>5275</v>
      </c>
      <c r="F853" s="2">
        <f>IFERROR(__xludf.DUMMYFUNCTION("""COMPUTED_VALUE"""),7.843E7)</f>
        <v>78430000</v>
      </c>
      <c r="G853" s="2">
        <f t="shared" si="1"/>
        <v>75</v>
      </c>
    </row>
    <row r="854" ht="15.75" customHeight="1">
      <c r="A854" s="1">
        <f>IFERROR(__xludf.DUMMYFUNCTION("""COMPUTED_VALUE"""),45113.66666666667)</f>
        <v>45113.66667</v>
      </c>
      <c r="B854" s="2">
        <f>IFERROR(__xludf.DUMMYFUNCTION("""COMPUTED_VALUE"""),5300.0)</f>
        <v>5300</v>
      </c>
      <c r="C854" s="2">
        <f>IFERROR(__xludf.DUMMYFUNCTION("""COMPUTED_VALUE"""),5350.0)</f>
        <v>5350</v>
      </c>
      <c r="D854" s="2">
        <f>IFERROR(__xludf.DUMMYFUNCTION("""COMPUTED_VALUE"""),5250.0)</f>
        <v>5250</v>
      </c>
      <c r="E854" s="2">
        <f>IFERROR(__xludf.DUMMYFUNCTION("""COMPUTED_VALUE"""),5300.0)</f>
        <v>5300</v>
      </c>
      <c r="F854" s="2">
        <f>IFERROR(__xludf.DUMMYFUNCTION("""COMPUTED_VALUE"""),9.0981E7)</f>
        <v>90981000</v>
      </c>
      <c r="G854" s="2">
        <f t="shared" si="1"/>
        <v>100</v>
      </c>
    </row>
    <row r="855" ht="15.75" customHeight="1">
      <c r="A855" s="1">
        <f>IFERROR(__xludf.DUMMYFUNCTION("""COMPUTED_VALUE"""),45114.66666666667)</f>
        <v>45114.66667</v>
      </c>
      <c r="B855" s="2">
        <f>IFERROR(__xludf.DUMMYFUNCTION("""COMPUTED_VALUE"""),5275.0)</f>
        <v>5275</v>
      </c>
      <c r="C855" s="2">
        <f>IFERROR(__xludf.DUMMYFUNCTION("""COMPUTED_VALUE"""),5300.0)</f>
        <v>5300</v>
      </c>
      <c r="D855" s="2">
        <f>IFERROR(__xludf.DUMMYFUNCTION("""COMPUTED_VALUE"""),5150.0)</f>
        <v>5150</v>
      </c>
      <c r="E855" s="2">
        <f>IFERROR(__xludf.DUMMYFUNCTION("""COMPUTED_VALUE"""),5150.0)</f>
        <v>5150</v>
      </c>
      <c r="F855" s="2">
        <f>IFERROR(__xludf.DUMMYFUNCTION("""COMPUTED_VALUE"""),1.285151E8)</f>
        <v>128515100</v>
      </c>
      <c r="G855" s="2">
        <f t="shared" si="1"/>
        <v>150</v>
      </c>
    </row>
    <row r="856" ht="15.75" customHeight="1">
      <c r="A856" s="1">
        <f>IFERROR(__xludf.DUMMYFUNCTION("""COMPUTED_VALUE"""),45117.66666666667)</f>
        <v>45117.66667</v>
      </c>
      <c r="B856" s="2">
        <f>IFERROR(__xludf.DUMMYFUNCTION("""COMPUTED_VALUE"""),5175.0)</f>
        <v>5175</v>
      </c>
      <c r="C856" s="2">
        <f>IFERROR(__xludf.DUMMYFUNCTION("""COMPUTED_VALUE"""),5225.0)</f>
        <v>5225</v>
      </c>
      <c r="D856" s="2">
        <f>IFERROR(__xludf.DUMMYFUNCTION("""COMPUTED_VALUE"""),5150.0)</f>
        <v>5150</v>
      </c>
      <c r="E856" s="2">
        <f>IFERROR(__xludf.DUMMYFUNCTION("""COMPUTED_VALUE"""),5175.0)</f>
        <v>5175</v>
      </c>
      <c r="F856" s="2">
        <f>IFERROR(__xludf.DUMMYFUNCTION("""COMPUTED_VALUE"""),8.26857E7)</f>
        <v>82685700</v>
      </c>
      <c r="G856" s="2">
        <f t="shared" si="1"/>
        <v>75</v>
      </c>
    </row>
    <row r="857" ht="15.75" customHeight="1">
      <c r="A857" s="1">
        <f>IFERROR(__xludf.DUMMYFUNCTION("""COMPUTED_VALUE"""),45118.66666666667)</f>
        <v>45118.66667</v>
      </c>
      <c r="B857" s="2">
        <f>IFERROR(__xludf.DUMMYFUNCTION("""COMPUTED_VALUE"""),5200.0)</f>
        <v>5200</v>
      </c>
      <c r="C857" s="2">
        <f>IFERROR(__xludf.DUMMYFUNCTION("""COMPUTED_VALUE"""),5300.0)</f>
        <v>5300</v>
      </c>
      <c r="D857" s="2">
        <f>IFERROR(__xludf.DUMMYFUNCTION("""COMPUTED_VALUE"""),5175.0)</f>
        <v>5175</v>
      </c>
      <c r="E857" s="2">
        <f>IFERROR(__xludf.DUMMYFUNCTION("""COMPUTED_VALUE"""),5275.0)</f>
        <v>5275</v>
      </c>
      <c r="F857" s="2">
        <f>IFERROR(__xludf.DUMMYFUNCTION("""COMPUTED_VALUE"""),1.005789E8)</f>
        <v>100578900</v>
      </c>
      <c r="G857" s="2">
        <f t="shared" si="1"/>
        <v>125</v>
      </c>
    </row>
    <row r="858" ht="15.75" customHeight="1">
      <c r="A858" s="1">
        <f>IFERROR(__xludf.DUMMYFUNCTION("""COMPUTED_VALUE"""),45119.66666666667)</f>
        <v>45119.66667</v>
      </c>
      <c r="B858" s="2">
        <f>IFERROR(__xludf.DUMMYFUNCTION("""COMPUTED_VALUE"""),5300.0)</f>
        <v>5300</v>
      </c>
      <c r="C858" s="2">
        <f>IFERROR(__xludf.DUMMYFUNCTION("""COMPUTED_VALUE"""),5375.0)</f>
        <v>5375</v>
      </c>
      <c r="D858" s="2">
        <f>IFERROR(__xludf.DUMMYFUNCTION("""COMPUTED_VALUE"""),5250.0)</f>
        <v>5250</v>
      </c>
      <c r="E858" s="2">
        <f>IFERROR(__xludf.DUMMYFUNCTION("""COMPUTED_VALUE"""),5300.0)</f>
        <v>5300</v>
      </c>
      <c r="F858" s="2">
        <f>IFERROR(__xludf.DUMMYFUNCTION("""COMPUTED_VALUE"""),1.239477E8)</f>
        <v>123947700</v>
      </c>
      <c r="G858" s="2">
        <f t="shared" si="1"/>
        <v>125</v>
      </c>
    </row>
    <row r="859" ht="15.75" customHeight="1">
      <c r="A859" s="1">
        <f>IFERROR(__xludf.DUMMYFUNCTION("""COMPUTED_VALUE"""),45120.66666666667)</f>
        <v>45120.66667</v>
      </c>
      <c r="B859" s="2">
        <f>IFERROR(__xludf.DUMMYFUNCTION("""COMPUTED_VALUE"""),5375.0)</f>
        <v>5375</v>
      </c>
      <c r="C859" s="2">
        <f>IFERROR(__xludf.DUMMYFUNCTION("""COMPUTED_VALUE"""),5375.0)</f>
        <v>5375</v>
      </c>
      <c r="D859" s="2">
        <f>IFERROR(__xludf.DUMMYFUNCTION("""COMPUTED_VALUE"""),5275.0)</f>
        <v>5275</v>
      </c>
      <c r="E859" s="2">
        <f>IFERROR(__xludf.DUMMYFUNCTION("""COMPUTED_VALUE"""),5350.0)</f>
        <v>5350</v>
      </c>
      <c r="F859" s="2">
        <f>IFERROR(__xludf.DUMMYFUNCTION("""COMPUTED_VALUE"""),1.012812E8)</f>
        <v>101281200</v>
      </c>
      <c r="G859" s="2">
        <f t="shared" si="1"/>
        <v>100</v>
      </c>
    </row>
    <row r="860" ht="15.75" customHeight="1">
      <c r="A860" s="1">
        <f>IFERROR(__xludf.DUMMYFUNCTION("""COMPUTED_VALUE"""),45121.66666666667)</f>
        <v>45121.66667</v>
      </c>
      <c r="B860" s="2">
        <f>IFERROR(__xludf.DUMMYFUNCTION("""COMPUTED_VALUE"""),5400.0)</f>
        <v>5400</v>
      </c>
      <c r="C860" s="2">
        <f>IFERROR(__xludf.DUMMYFUNCTION("""COMPUTED_VALUE"""),5425.0)</f>
        <v>5425</v>
      </c>
      <c r="D860" s="2">
        <f>IFERROR(__xludf.DUMMYFUNCTION("""COMPUTED_VALUE"""),5350.0)</f>
        <v>5350</v>
      </c>
      <c r="E860" s="2">
        <f>IFERROR(__xludf.DUMMYFUNCTION("""COMPUTED_VALUE"""),5400.0)</f>
        <v>5400</v>
      </c>
      <c r="F860" s="2">
        <f>IFERROR(__xludf.DUMMYFUNCTION("""COMPUTED_VALUE"""),1.223436E8)</f>
        <v>122343600</v>
      </c>
      <c r="G860" s="2">
        <f t="shared" si="1"/>
        <v>75</v>
      </c>
    </row>
    <row r="861" ht="15.75" customHeight="1">
      <c r="A861" s="1">
        <f>IFERROR(__xludf.DUMMYFUNCTION("""COMPUTED_VALUE"""),45124.66666666667)</f>
        <v>45124.66667</v>
      </c>
      <c r="B861" s="2">
        <f>IFERROR(__xludf.DUMMYFUNCTION("""COMPUTED_VALUE"""),5425.0)</f>
        <v>5425</v>
      </c>
      <c r="C861" s="2">
        <f>IFERROR(__xludf.DUMMYFUNCTION("""COMPUTED_VALUE"""),5475.0)</f>
        <v>5475</v>
      </c>
      <c r="D861" s="2">
        <f>IFERROR(__xludf.DUMMYFUNCTION("""COMPUTED_VALUE"""),5375.0)</f>
        <v>5375</v>
      </c>
      <c r="E861" s="2">
        <f>IFERROR(__xludf.DUMMYFUNCTION("""COMPUTED_VALUE"""),5375.0)</f>
        <v>5375</v>
      </c>
      <c r="F861" s="2">
        <f>IFERROR(__xludf.DUMMYFUNCTION("""COMPUTED_VALUE"""),9.98976E7)</f>
        <v>99897600</v>
      </c>
      <c r="G861" s="2">
        <f t="shared" si="1"/>
        <v>100</v>
      </c>
    </row>
    <row r="862" ht="15.75" customHeight="1">
      <c r="A862" s="1">
        <f>IFERROR(__xludf.DUMMYFUNCTION("""COMPUTED_VALUE"""),45125.66666666667)</f>
        <v>45125.66667</v>
      </c>
      <c r="B862" s="2">
        <f>IFERROR(__xludf.DUMMYFUNCTION("""COMPUTED_VALUE"""),5375.0)</f>
        <v>5375</v>
      </c>
      <c r="C862" s="2">
        <f>IFERROR(__xludf.DUMMYFUNCTION("""COMPUTED_VALUE"""),5425.0)</f>
        <v>5425</v>
      </c>
      <c r="D862" s="2">
        <f>IFERROR(__xludf.DUMMYFUNCTION("""COMPUTED_VALUE"""),5300.0)</f>
        <v>5300</v>
      </c>
      <c r="E862" s="2">
        <f>IFERROR(__xludf.DUMMYFUNCTION("""COMPUTED_VALUE"""),5350.0)</f>
        <v>5350</v>
      </c>
      <c r="F862" s="2">
        <f>IFERROR(__xludf.DUMMYFUNCTION("""COMPUTED_VALUE"""),6.50738E7)</f>
        <v>65073800</v>
      </c>
      <c r="G862" s="2">
        <f t="shared" si="1"/>
        <v>125</v>
      </c>
    </row>
    <row r="863" ht="15.75" customHeight="1">
      <c r="A863" s="1">
        <f>IFERROR(__xludf.DUMMYFUNCTION("""COMPUTED_VALUE"""),45127.66666666667)</f>
        <v>45127.66667</v>
      </c>
      <c r="B863" s="2">
        <f>IFERROR(__xludf.DUMMYFUNCTION("""COMPUTED_VALUE"""),5400.0)</f>
        <v>5400</v>
      </c>
      <c r="C863" s="2">
        <f>IFERROR(__xludf.DUMMYFUNCTION("""COMPUTED_VALUE"""),5550.0)</f>
        <v>5550</v>
      </c>
      <c r="D863" s="2">
        <f>IFERROR(__xludf.DUMMYFUNCTION("""COMPUTED_VALUE"""),5400.0)</f>
        <v>5400</v>
      </c>
      <c r="E863" s="2">
        <f>IFERROR(__xludf.DUMMYFUNCTION("""COMPUTED_VALUE"""),5525.0)</f>
        <v>5525</v>
      </c>
      <c r="F863" s="2">
        <f>IFERROR(__xludf.DUMMYFUNCTION("""COMPUTED_VALUE"""),1.32054E8)</f>
        <v>132054000</v>
      </c>
      <c r="G863" s="2">
        <f t="shared" si="1"/>
        <v>200</v>
      </c>
    </row>
    <row r="864" ht="15.75" customHeight="1">
      <c r="A864" s="1">
        <f>IFERROR(__xludf.DUMMYFUNCTION("""COMPUTED_VALUE"""),45128.66666666667)</f>
        <v>45128.66667</v>
      </c>
      <c r="B864" s="2">
        <f>IFERROR(__xludf.DUMMYFUNCTION("""COMPUTED_VALUE"""),5550.0)</f>
        <v>5550</v>
      </c>
      <c r="C864" s="2">
        <f>IFERROR(__xludf.DUMMYFUNCTION("""COMPUTED_VALUE"""),5575.0)</f>
        <v>5575</v>
      </c>
      <c r="D864" s="2">
        <f>IFERROR(__xludf.DUMMYFUNCTION("""COMPUTED_VALUE"""),5450.0)</f>
        <v>5450</v>
      </c>
      <c r="E864" s="2">
        <f>IFERROR(__xludf.DUMMYFUNCTION("""COMPUTED_VALUE"""),5550.0)</f>
        <v>5550</v>
      </c>
      <c r="F864" s="2">
        <f>IFERROR(__xludf.DUMMYFUNCTION("""COMPUTED_VALUE"""),1.112757E8)</f>
        <v>111275700</v>
      </c>
      <c r="G864" s="2">
        <f t="shared" si="1"/>
        <v>125</v>
      </c>
    </row>
    <row r="865" ht="15.75" customHeight="1">
      <c r="A865" s="1">
        <f>IFERROR(__xludf.DUMMYFUNCTION("""COMPUTED_VALUE"""),45131.66666666667)</f>
        <v>45131.66667</v>
      </c>
      <c r="B865" s="2">
        <f>IFERROR(__xludf.DUMMYFUNCTION("""COMPUTED_VALUE"""),5550.0)</f>
        <v>5550</v>
      </c>
      <c r="C865" s="2">
        <f>IFERROR(__xludf.DUMMYFUNCTION("""COMPUTED_VALUE"""),5625.0)</f>
        <v>5625</v>
      </c>
      <c r="D865" s="2">
        <f>IFERROR(__xludf.DUMMYFUNCTION("""COMPUTED_VALUE"""),5500.0)</f>
        <v>5500</v>
      </c>
      <c r="E865" s="2">
        <f>IFERROR(__xludf.DUMMYFUNCTION("""COMPUTED_VALUE"""),5500.0)</f>
        <v>5500</v>
      </c>
      <c r="F865" s="2">
        <f>IFERROR(__xludf.DUMMYFUNCTION("""COMPUTED_VALUE"""),5.4865E7)</f>
        <v>54865000</v>
      </c>
      <c r="G865" s="2">
        <f t="shared" si="1"/>
        <v>125</v>
      </c>
    </row>
    <row r="866" ht="15.75" customHeight="1">
      <c r="A866" s="1">
        <f>IFERROR(__xludf.DUMMYFUNCTION("""COMPUTED_VALUE"""),45132.66666666667)</f>
        <v>45132.66667</v>
      </c>
      <c r="B866" s="2">
        <f>IFERROR(__xludf.DUMMYFUNCTION("""COMPUTED_VALUE"""),5550.0)</f>
        <v>5550</v>
      </c>
      <c r="C866" s="2">
        <f>IFERROR(__xludf.DUMMYFUNCTION("""COMPUTED_VALUE"""),5575.0)</f>
        <v>5575</v>
      </c>
      <c r="D866" s="2">
        <f>IFERROR(__xludf.DUMMYFUNCTION("""COMPUTED_VALUE"""),5500.0)</f>
        <v>5500</v>
      </c>
      <c r="E866" s="2">
        <f>IFERROR(__xludf.DUMMYFUNCTION("""COMPUTED_VALUE"""),5550.0)</f>
        <v>5550</v>
      </c>
      <c r="F866" s="2">
        <f>IFERROR(__xludf.DUMMYFUNCTION("""COMPUTED_VALUE"""),6.52373E7)</f>
        <v>65237300</v>
      </c>
      <c r="G866" s="2">
        <f t="shared" si="1"/>
        <v>75</v>
      </c>
    </row>
    <row r="867" ht="15.75" customHeight="1">
      <c r="A867" s="1">
        <f>IFERROR(__xludf.DUMMYFUNCTION("""COMPUTED_VALUE"""),45133.66666666667)</f>
        <v>45133.66667</v>
      </c>
      <c r="B867" s="2">
        <f>IFERROR(__xludf.DUMMYFUNCTION("""COMPUTED_VALUE"""),5550.0)</f>
        <v>5550</v>
      </c>
      <c r="C867" s="2">
        <f>IFERROR(__xludf.DUMMYFUNCTION("""COMPUTED_VALUE"""),5600.0)</f>
        <v>5600</v>
      </c>
      <c r="D867" s="2">
        <f>IFERROR(__xludf.DUMMYFUNCTION("""COMPUTED_VALUE"""),5525.0)</f>
        <v>5525</v>
      </c>
      <c r="E867" s="2">
        <f>IFERROR(__xludf.DUMMYFUNCTION("""COMPUTED_VALUE"""),5575.0)</f>
        <v>5575</v>
      </c>
      <c r="F867" s="2">
        <f>IFERROR(__xludf.DUMMYFUNCTION("""COMPUTED_VALUE"""),8.85267E7)</f>
        <v>88526700</v>
      </c>
      <c r="G867" s="2">
        <f t="shared" si="1"/>
        <v>75</v>
      </c>
    </row>
    <row r="868" ht="15.75" customHeight="1">
      <c r="A868" s="1">
        <f>IFERROR(__xludf.DUMMYFUNCTION("""COMPUTED_VALUE"""),45134.66666666667)</f>
        <v>45134.66667</v>
      </c>
      <c r="B868" s="2">
        <f>IFERROR(__xludf.DUMMYFUNCTION("""COMPUTED_VALUE"""),5575.0)</f>
        <v>5575</v>
      </c>
      <c r="C868" s="2">
        <f>IFERROR(__xludf.DUMMYFUNCTION("""COMPUTED_VALUE"""),5700.0)</f>
        <v>5700</v>
      </c>
      <c r="D868" s="2">
        <f>IFERROR(__xludf.DUMMYFUNCTION("""COMPUTED_VALUE"""),5575.0)</f>
        <v>5575</v>
      </c>
      <c r="E868" s="2">
        <f>IFERROR(__xludf.DUMMYFUNCTION("""COMPUTED_VALUE"""),5625.0)</f>
        <v>5625</v>
      </c>
      <c r="F868" s="2">
        <f>IFERROR(__xludf.DUMMYFUNCTION("""COMPUTED_VALUE"""),8.65562E7)</f>
        <v>86556200</v>
      </c>
      <c r="G868" s="2">
        <f t="shared" si="1"/>
        <v>125</v>
      </c>
    </row>
    <row r="869" ht="15.75" customHeight="1">
      <c r="A869" s="1">
        <f>IFERROR(__xludf.DUMMYFUNCTION("""COMPUTED_VALUE"""),45135.66666666667)</f>
        <v>45135.66667</v>
      </c>
      <c r="B869" s="2">
        <f>IFERROR(__xludf.DUMMYFUNCTION("""COMPUTED_VALUE"""),5625.0)</f>
        <v>5625</v>
      </c>
      <c r="C869" s="2">
        <f>IFERROR(__xludf.DUMMYFUNCTION("""COMPUTED_VALUE"""),5725.0)</f>
        <v>5725</v>
      </c>
      <c r="D869" s="2">
        <f>IFERROR(__xludf.DUMMYFUNCTION("""COMPUTED_VALUE"""),5625.0)</f>
        <v>5625</v>
      </c>
      <c r="E869" s="2">
        <f>IFERROR(__xludf.DUMMYFUNCTION("""COMPUTED_VALUE"""),5700.0)</f>
        <v>5700</v>
      </c>
      <c r="F869" s="2">
        <f>IFERROR(__xludf.DUMMYFUNCTION("""COMPUTED_VALUE"""),1.219685E8)</f>
        <v>121968500</v>
      </c>
      <c r="G869" s="2">
        <f t="shared" si="1"/>
        <v>100</v>
      </c>
    </row>
    <row r="870" ht="15.75" customHeight="1">
      <c r="A870" s="1">
        <f>IFERROR(__xludf.DUMMYFUNCTION("""COMPUTED_VALUE"""),45138.66666666667)</f>
        <v>45138.66667</v>
      </c>
      <c r="B870" s="2">
        <f>IFERROR(__xludf.DUMMYFUNCTION("""COMPUTED_VALUE"""),5800.0)</f>
        <v>5800</v>
      </c>
      <c r="C870" s="2">
        <f>IFERROR(__xludf.DUMMYFUNCTION("""COMPUTED_VALUE"""),5800.0)</f>
        <v>5800</v>
      </c>
      <c r="D870" s="2">
        <f>IFERROR(__xludf.DUMMYFUNCTION("""COMPUTED_VALUE"""),5625.0)</f>
        <v>5625</v>
      </c>
      <c r="E870" s="2">
        <f>IFERROR(__xludf.DUMMYFUNCTION("""COMPUTED_VALUE"""),5725.0)</f>
        <v>5725</v>
      </c>
      <c r="F870" s="2">
        <f>IFERROR(__xludf.DUMMYFUNCTION("""COMPUTED_VALUE"""),1.893757E8)</f>
        <v>189375700</v>
      </c>
      <c r="G870" s="2">
        <f t="shared" si="1"/>
        <v>175</v>
      </c>
    </row>
    <row r="871" ht="15.75" customHeight="1">
      <c r="A871" s="1">
        <f>IFERROR(__xludf.DUMMYFUNCTION("""COMPUTED_VALUE"""),45139.66666666667)</f>
        <v>45139.66667</v>
      </c>
      <c r="B871" s="2">
        <f>IFERROR(__xludf.DUMMYFUNCTION("""COMPUTED_VALUE"""),5650.0)</f>
        <v>5650</v>
      </c>
      <c r="C871" s="2">
        <f>IFERROR(__xludf.DUMMYFUNCTION("""COMPUTED_VALUE"""),5725.0)</f>
        <v>5725</v>
      </c>
      <c r="D871" s="2">
        <f>IFERROR(__xludf.DUMMYFUNCTION("""COMPUTED_VALUE"""),5600.0)</f>
        <v>5600</v>
      </c>
      <c r="E871" s="2">
        <f>IFERROR(__xludf.DUMMYFUNCTION("""COMPUTED_VALUE"""),5650.0)</f>
        <v>5650</v>
      </c>
      <c r="F871" s="2">
        <f>IFERROR(__xludf.DUMMYFUNCTION("""COMPUTED_VALUE"""),1.147025E8)</f>
        <v>114702500</v>
      </c>
      <c r="G871" s="2">
        <f t="shared" si="1"/>
        <v>125</v>
      </c>
    </row>
    <row r="872" ht="15.75" customHeight="1">
      <c r="A872" s="1">
        <f>IFERROR(__xludf.DUMMYFUNCTION("""COMPUTED_VALUE"""),45140.66666666667)</f>
        <v>45140.66667</v>
      </c>
      <c r="B872" s="2">
        <f>IFERROR(__xludf.DUMMYFUNCTION("""COMPUTED_VALUE"""),5625.0)</f>
        <v>5625</v>
      </c>
      <c r="C872" s="2">
        <f>IFERROR(__xludf.DUMMYFUNCTION("""COMPUTED_VALUE"""),5750.0)</f>
        <v>5750</v>
      </c>
      <c r="D872" s="2">
        <f>IFERROR(__xludf.DUMMYFUNCTION("""COMPUTED_VALUE"""),5600.0)</f>
        <v>5600</v>
      </c>
      <c r="E872" s="2">
        <f>IFERROR(__xludf.DUMMYFUNCTION("""COMPUTED_VALUE"""),5700.0)</f>
        <v>5700</v>
      </c>
      <c r="F872" s="2">
        <f>IFERROR(__xludf.DUMMYFUNCTION("""COMPUTED_VALUE"""),1.335462E8)</f>
        <v>133546200</v>
      </c>
      <c r="G872" s="2">
        <f t="shared" si="1"/>
        <v>150</v>
      </c>
    </row>
    <row r="873" ht="15.75" customHeight="1">
      <c r="A873" s="1">
        <f>IFERROR(__xludf.DUMMYFUNCTION("""COMPUTED_VALUE"""),45141.66666666667)</f>
        <v>45141.66667</v>
      </c>
      <c r="B873" s="2">
        <f>IFERROR(__xludf.DUMMYFUNCTION("""COMPUTED_VALUE"""),5725.0)</f>
        <v>5725</v>
      </c>
      <c r="C873" s="2">
        <f>IFERROR(__xludf.DUMMYFUNCTION("""COMPUTED_VALUE"""),5825.0)</f>
        <v>5825</v>
      </c>
      <c r="D873" s="2">
        <f>IFERROR(__xludf.DUMMYFUNCTION("""COMPUTED_VALUE"""),5700.0)</f>
        <v>5700</v>
      </c>
      <c r="E873" s="2">
        <f>IFERROR(__xludf.DUMMYFUNCTION("""COMPUTED_VALUE"""),5800.0)</f>
        <v>5800</v>
      </c>
      <c r="F873" s="2">
        <f>IFERROR(__xludf.DUMMYFUNCTION("""COMPUTED_VALUE"""),6.85875E7)</f>
        <v>68587500</v>
      </c>
      <c r="G873" s="2">
        <f t="shared" si="1"/>
        <v>125</v>
      </c>
    </row>
    <row r="874" ht="15.75" customHeight="1">
      <c r="A874" s="1">
        <f>IFERROR(__xludf.DUMMYFUNCTION("""COMPUTED_VALUE"""),45142.66666666667)</f>
        <v>45142.66667</v>
      </c>
      <c r="B874" s="2">
        <f>IFERROR(__xludf.DUMMYFUNCTION("""COMPUTED_VALUE"""),5800.0)</f>
        <v>5800</v>
      </c>
      <c r="C874" s="2">
        <f>IFERROR(__xludf.DUMMYFUNCTION("""COMPUTED_VALUE"""),5825.0)</f>
        <v>5825</v>
      </c>
      <c r="D874" s="2">
        <f>IFERROR(__xludf.DUMMYFUNCTION("""COMPUTED_VALUE"""),5750.0)</f>
        <v>5750</v>
      </c>
      <c r="E874" s="2">
        <f>IFERROR(__xludf.DUMMYFUNCTION("""COMPUTED_VALUE"""),5775.0)</f>
        <v>5775</v>
      </c>
      <c r="F874" s="2">
        <f>IFERROR(__xludf.DUMMYFUNCTION("""COMPUTED_VALUE"""),4.71442E7)</f>
        <v>47144200</v>
      </c>
      <c r="G874" s="2">
        <f t="shared" si="1"/>
        <v>75</v>
      </c>
    </row>
    <row r="875" ht="15.75" customHeight="1">
      <c r="A875" s="1">
        <f>IFERROR(__xludf.DUMMYFUNCTION("""COMPUTED_VALUE"""),45145.66666666667)</f>
        <v>45145.66667</v>
      </c>
      <c r="B875" s="2">
        <f>IFERROR(__xludf.DUMMYFUNCTION("""COMPUTED_VALUE"""),5850.0)</f>
        <v>5850</v>
      </c>
      <c r="C875" s="2">
        <f>IFERROR(__xludf.DUMMYFUNCTION("""COMPUTED_VALUE"""),5925.0)</f>
        <v>5925</v>
      </c>
      <c r="D875" s="2">
        <f>IFERROR(__xludf.DUMMYFUNCTION("""COMPUTED_VALUE"""),5825.0)</f>
        <v>5825</v>
      </c>
      <c r="E875" s="2">
        <f>IFERROR(__xludf.DUMMYFUNCTION("""COMPUTED_VALUE"""),5875.0)</f>
        <v>5875</v>
      </c>
      <c r="F875" s="2">
        <f>IFERROR(__xludf.DUMMYFUNCTION("""COMPUTED_VALUE"""),1.043421E8)</f>
        <v>104342100</v>
      </c>
      <c r="G875" s="2">
        <f t="shared" si="1"/>
        <v>150</v>
      </c>
    </row>
    <row r="876" ht="15.75" customHeight="1">
      <c r="A876" s="1">
        <f>IFERROR(__xludf.DUMMYFUNCTION("""COMPUTED_VALUE"""),45146.66666666667)</f>
        <v>45146.66667</v>
      </c>
      <c r="B876" s="2">
        <f>IFERROR(__xludf.DUMMYFUNCTION("""COMPUTED_VALUE"""),5900.0)</f>
        <v>5900</v>
      </c>
      <c r="C876" s="2">
        <f>IFERROR(__xludf.DUMMYFUNCTION("""COMPUTED_VALUE"""),5950.0)</f>
        <v>5950</v>
      </c>
      <c r="D876" s="2">
        <f>IFERROR(__xludf.DUMMYFUNCTION("""COMPUTED_VALUE"""),5875.0)</f>
        <v>5875</v>
      </c>
      <c r="E876" s="2">
        <f>IFERROR(__xludf.DUMMYFUNCTION("""COMPUTED_VALUE"""),5900.0)</f>
        <v>5900</v>
      </c>
      <c r="F876" s="2">
        <f>IFERROR(__xludf.DUMMYFUNCTION("""COMPUTED_VALUE"""),6.64732E7)</f>
        <v>66473200</v>
      </c>
      <c r="G876" s="2">
        <f t="shared" si="1"/>
        <v>75</v>
      </c>
    </row>
    <row r="877" ht="15.75" customHeight="1">
      <c r="A877" s="1">
        <f>IFERROR(__xludf.DUMMYFUNCTION("""COMPUTED_VALUE"""),45147.66666666667)</f>
        <v>45147.66667</v>
      </c>
      <c r="B877" s="2">
        <f>IFERROR(__xludf.DUMMYFUNCTION("""COMPUTED_VALUE"""),5900.0)</f>
        <v>5900</v>
      </c>
      <c r="C877" s="2">
        <f>IFERROR(__xludf.DUMMYFUNCTION("""COMPUTED_VALUE"""),5950.0)</f>
        <v>5950</v>
      </c>
      <c r="D877" s="2">
        <f>IFERROR(__xludf.DUMMYFUNCTION("""COMPUTED_VALUE"""),5850.0)</f>
        <v>5850</v>
      </c>
      <c r="E877" s="2">
        <f>IFERROR(__xludf.DUMMYFUNCTION("""COMPUTED_VALUE"""),5900.0)</f>
        <v>5900</v>
      </c>
      <c r="F877" s="2">
        <f>IFERROR(__xludf.DUMMYFUNCTION("""COMPUTED_VALUE"""),6.44954E7)</f>
        <v>64495400</v>
      </c>
      <c r="G877" s="2">
        <f t="shared" si="1"/>
        <v>100</v>
      </c>
    </row>
    <row r="878" ht="15.75" customHeight="1">
      <c r="A878" s="1">
        <f>IFERROR(__xludf.DUMMYFUNCTION("""COMPUTED_VALUE"""),45148.66666666667)</f>
        <v>45148.66667</v>
      </c>
      <c r="B878" s="2">
        <f>IFERROR(__xludf.DUMMYFUNCTION("""COMPUTED_VALUE"""),5925.0)</f>
        <v>5925</v>
      </c>
      <c r="C878" s="2">
        <f>IFERROR(__xludf.DUMMYFUNCTION("""COMPUTED_VALUE"""),6000.0)</f>
        <v>6000</v>
      </c>
      <c r="D878" s="2">
        <f>IFERROR(__xludf.DUMMYFUNCTION("""COMPUTED_VALUE"""),5900.0)</f>
        <v>5900</v>
      </c>
      <c r="E878" s="2">
        <f>IFERROR(__xludf.DUMMYFUNCTION("""COMPUTED_VALUE"""),5975.0)</f>
        <v>5975</v>
      </c>
      <c r="F878" s="2">
        <f>IFERROR(__xludf.DUMMYFUNCTION("""COMPUTED_VALUE"""),7.88596E7)</f>
        <v>78859600</v>
      </c>
      <c r="G878" s="2">
        <f t="shared" si="1"/>
        <v>100</v>
      </c>
    </row>
    <row r="879" ht="15.75" customHeight="1">
      <c r="A879" s="1">
        <f>IFERROR(__xludf.DUMMYFUNCTION("""COMPUTED_VALUE"""),45149.66666666667)</f>
        <v>45149.66667</v>
      </c>
      <c r="B879" s="2">
        <f>IFERROR(__xludf.DUMMYFUNCTION("""COMPUTED_VALUE"""),5975.0)</f>
        <v>5975</v>
      </c>
      <c r="C879" s="2">
        <f>IFERROR(__xludf.DUMMYFUNCTION("""COMPUTED_VALUE"""),6025.0)</f>
        <v>6025</v>
      </c>
      <c r="D879" s="2">
        <f>IFERROR(__xludf.DUMMYFUNCTION("""COMPUTED_VALUE"""),5900.0)</f>
        <v>5900</v>
      </c>
      <c r="E879" s="2">
        <f>IFERROR(__xludf.DUMMYFUNCTION("""COMPUTED_VALUE"""),5925.0)</f>
        <v>5925</v>
      </c>
      <c r="F879" s="2">
        <f>IFERROR(__xludf.DUMMYFUNCTION("""COMPUTED_VALUE"""),4.65686E7)</f>
        <v>46568600</v>
      </c>
      <c r="G879" s="2">
        <f t="shared" si="1"/>
        <v>125</v>
      </c>
    </row>
    <row r="880" ht="15.75" customHeight="1">
      <c r="A880" s="1">
        <f>IFERROR(__xludf.DUMMYFUNCTION("""COMPUTED_VALUE"""),45152.66666666667)</f>
        <v>45152.66667</v>
      </c>
      <c r="B880" s="2">
        <f>IFERROR(__xludf.DUMMYFUNCTION("""COMPUTED_VALUE"""),5925.0)</f>
        <v>5925</v>
      </c>
      <c r="C880" s="2">
        <f>IFERROR(__xludf.DUMMYFUNCTION("""COMPUTED_VALUE"""),5950.0)</f>
        <v>5950</v>
      </c>
      <c r="D880" s="2">
        <f>IFERROR(__xludf.DUMMYFUNCTION("""COMPUTED_VALUE"""),5800.0)</f>
        <v>5800</v>
      </c>
      <c r="E880" s="2">
        <f>IFERROR(__xludf.DUMMYFUNCTION("""COMPUTED_VALUE"""),5950.0)</f>
        <v>5950</v>
      </c>
      <c r="F880" s="2">
        <f>IFERROR(__xludf.DUMMYFUNCTION("""COMPUTED_VALUE"""),8.64605E7)</f>
        <v>86460500</v>
      </c>
      <c r="G880" s="2">
        <f t="shared" si="1"/>
        <v>150</v>
      </c>
    </row>
    <row r="881" ht="15.75" customHeight="1">
      <c r="A881" s="1">
        <f>IFERROR(__xludf.DUMMYFUNCTION("""COMPUTED_VALUE"""),45153.66666666667)</f>
        <v>45153.66667</v>
      </c>
      <c r="B881" s="2">
        <f>IFERROR(__xludf.DUMMYFUNCTION("""COMPUTED_VALUE"""),5900.0)</f>
        <v>5900</v>
      </c>
      <c r="C881" s="2">
        <f>IFERROR(__xludf.DUMMYFUNCTION("""COMPUTED_VALUE"""),5925.0)</f>
        <v>5925</v>
      </c>
      <c r="D881" s="2">
        <f>IFERROR(__xludf.DUMMYFUNCTION("""COMPUTED_VALUE"""),5800.0)</f>
        <v>5800</v>
      </c>
      <c r="E881" s="2">
        <f>IFERROR(__xludf.DUMMYFUNCTION("""COMPUTED_VALUE"""),5800.0)</f>
        <v>5800</v>
      </c>
      <c r="F881" s="2">
        <f>IFERROR(__xludf.DUMMYFUNCTION("""COMPUTED_VALUE"""),1.168157E8)</f>
        <v>116815700</v>
      </c>
      <c r="G881" s="2">
        <f t="shared" si="1"/>
        <v>150</v>
      </c>
    </row>
    <row r="882" ht="15.75" customHeight="1">
      <c r="A882" s="1">
        <f>IFERROR(__xludf.DUMMYFUNCTION("""COMPUTED_VALUE"""),45154.66666666667)</f>
        <v>45154.66667</v>
      </c>
      <c r="B882" s="2">
        <f>IFERROR(__xludf.DUMMYFUNCTION("""COMPUTED_VALUE"""),5775.0)</f>
        <v>5775</v>
      </c>
      <c r="C882" s="2">
        <f>IFERROR(__xludf.DUMMYFUNCTION("""COMPUTED_VALUE"""),5800.0)</f>
        <v>5800</v>
      </c>
      <c r="D882" s="2">
        <f>IFERROR(__xludf.DUMMYFUNCTION("""COMPUTED_VALUE"""),5675.0)</f>
        <v>5675</v>
      </c>
      <c r="E882" s="2">
        <f>IFERROR(__xludf.DUMMYFUNCTION("""COMPUTED_VALUE"""),5800.0)</f>
        <v>5800</v>
      </c>
      <c r="F882" s="2">
        <f>IFERROR(__xludf.DUMMYFUNCTION("""COMPUTED_VALUE"""),1.637441E8)</f>
        <v>163744100</v>
      </c>
      <c r="G882" s="2">
        <f t="shared" si="1"/>
        <v>125</v>
      </c>
    </row>
    <row r="883" ht="15.75" customHeight="1">
      <c r="A883" s="1">
        <f>IFERROR(__xludf.DUMMYFUNCTION("""COMPUTED_VALUE"""),45156.66666666667)</f>
        <v>45156.66667</v>
      </c>
      <c r="B883" s="2">
        <f>IFERROR(__xludf.DUMMYFUNCTION("""COMPUTED_VALUE"""),5725.0)</f>
        <v>5725</v>
      </c>
      <c r="C883" s="2">
        <f>IFERROR(__xludf.DUMMYFUNCTION("""COMPUTED_VALUE"""),5825.0)</f>
        <v>5825</v>
      </c>
      <c r="D883" s="2">
        <f>IFERROR(__xludf.DUMMYFUNCTION("""COMPUTED_VALUE"""),5725.0)</f>
        <v>5725</v>
      </c>
      <c r="E883" s="2">
        <f>IFERROR(__xludf.DUMMYFUNCTION("""COMPUTED_VALUE"""),5775.0)</f>
        <v>5775</v>
      </c>
      <c r="F883" s="2">
        <f>IFERROR(__xludf.DUMMYFUNCTION("""COMPUTED_VALUE"""),1.048946E8)</f>
        <v>104894600</v>
      </c>
      <c r="G883" s="2">
        <f t="shared" si="1"/>
        <v>100</v>
      </c>
    </row>
    <row r="884" ht="15.75" customHeight="1">
      <c r="A884" s="1">
        <f>IFERROR(__xludf.DUMMYFUNCTION("""COMPUTED_VALUE"""),45159.66666666667)</f>
        <v>45159.66667</v>
      </c>
      <c r="B884" s="2">
        <f>IFERROR(__xludf.DUMMYFUNCTION("""COMPUTED_VALUE"""),5800.0)</f>
        <v>5800</v>
      </c>
      <c r="C884" s="2">
        <f>IFERROR(__xludf.DUMMYFUNCTION("""COMPUTED_VALUE"""),5875.0)</f>
        <v>5875</v>
      </c>
      <c r="D884" s="2">
        <f>IFERROR(__xludf.DUMMYFUNCTION("""COMPUTED_VALUE"""),5800.0)</f>
        <v>5800</v>
      </c>
      <c r="E884" s="2">
        <f>IFERROR(__xludf.DUMMYFUNCTION("""COMPUTED_VALUE"""),5825.0)</f>
        <v>5825</v>
      </c>
      <c r="F884" s="2">
        <f>IFERROR(__xludf.DUMMYFUNCTION("""COMPUTED_VALUE"""),6.18458E7)</f>
        <v>61845800</v>
      </c>
      <c r="G884" s="2">
        <f t="shared" si="1"/>
        <v>100</v>
      </c>
    </row>
    <row r="885" ht="15.75" customHeight="1">
      <c r="A885" s="1">
        <f>IFERROR(__xludf.DUMMYFUNCTION("""COMPUTED_VALUE"""),45160.66666666667)</f>
        <v>45160.66667</v>
      </c>
      <c r="B885" s="2">
        <f>IFERROR(__xludf.DUMMYFUNCTION("""COMPUTED_VALUE"""),5800.0)</f>
        <v>5800</v>
      </c>
      <c r="C885" s="2">
        <f>IFERROR(__xludf.DUMMYFUNCTION("""COMPUTED_VALUE"""),5950.0)</f>
        <v>5950</v>
      </c>
      <c r="D885" s="2">
        <f>IFERROR(__xludf.DUMMYFUNCTION("""COMPUTED_VALUE"""),5800.0)</f>
        <v>5800</v>
      </c>
      <c r="E885" s="2">
        <f>IFERROR(__xludf.DUMMYFUNCTION("""COMPUTED_VALUE"""),5950.0)</f>
        <v>5950</v>
      </c>
      <c r="F885" s="2">
        <f>IFERROR(__xludf.DUMMYFUNCTION("""COMPUTED_VALUE"""),9.36172E7)</f>
        <v>93617200</v>
      </c>
      <c r="G885" s="2">
        <f t="shared" si="1"/>
        <v>150</v>
      </c>
    </row>
    <row r="886" ht="15.75" customHeight="1">
      <c r="A886" s="1">
        <f>IFERROR(__xludf.DUMMYFUNCTION("""COMPUTED_VALUE"""),45161.66666666667)</f>
        <v>45161.66667</v>
      </c>
      <c r="B886" s="2">
        <f>IFERROR(__xludf.DUMMYFUNCTION("""COMPUTED_VALUE"""),5950.0)</f>
        <v>5950</v>
      </c>
      <c r="C886" s="2">
        <f>IFERROR(__xludf.DUMMYFUNCTION("""COMPUTED_VALUE"""),5950.0)</f>
        <v>5950</v>
      </c>
      <c r="D886" s="2">
        <f>IFERROR(__xludf.DUMMYFUNCTION("""COMPUTED_VALUE"""),5850.0)</f>
        <v>5850</v>
      </c>
      <c r="E886" s="2">
        <f>IFERROR(__xludf.DUMMYFUNCTION("""COMPUTED_VALUE"""),5850.0)</f>
        <v>5850</v>
      </c>
      <c r="F886" s="2">
        <f>IFERROR(__xludf.DUMMYFUNCTION("""COMPUTED_VALUE"""),4.08447E7)</f>
        <v>40844700</v>
      </c>
      <c r="G886" s="2">
        <f t="shared" si="1"/>
        <v>100</v>
      </c>
    </row>
    <row r="887" ht="15.75" customHeight="1">
      <c r="A887" s="1">
        <f>IFERROR(__xludf.DUMMYFUNCTION("""COMPUTED_VALUE"""),45162.66666666667)</f>
        <v>45162.66667</v>
      </c>
      <c r="B887" s="2">
        <f>IFERROR(__xludf.DUMMYFUNCTION("""COMPUTED_VALUE"""),5900.0)</f>
        <v>5900</v>
      </c>
      <c r="C887" s="2">
        <f>IFERROR(__xludf.DUMMYFUNCTION("""COMPUTED_VALUE"""),5950.0)</f>
        <v>5950</v>
      </c>
      <c r="D887" s="2">
        <f>IFERROR(__xludf.DUMMYFUNCTION("""COMPUTED_VALUE"""),5875.0)</f>
        <v>5875</v>
      </c>
      <c r="E887" s="2">
        <f>IFERROR(__xludf.DUMMYFUNCTION("""COMPUTED_VALUE"""),5950.0)</f>
        <v>5950</v>
      </c>
      <c r="F887" s="2">
        <f>IFERROR(__xludf.DUMMYFUNCTION("""COMPUTED_VALUE"""),4.26483E7)</f>
        <v>42648300</v>
      </c>
      <c r="G887" s="2">
        <f t="shared" si="1"/>
        <v>100</v>
      </c>
    </row>
    <row r="888" ht="15.75" customHeight="1">
      <c r="A888" s="1">
        <f>IFERROR(__xludf.DUMMYFUNCTION("""COMPUTED_VALUE"""),45163.66666666667)</f>
        <v>45163.66667</v>
      </c>
      <c r="B888" s="2">
        <f>IFERROR(__xludf.DUMMYFUNCTION("""COMPUTED_VALUE"""),5900.0)</f>
        <v>5900</v>
      </c>
      <c r="C888" s="2">
        <f>IFERROR(__xludf.DUMMYFUNCTION("""COMPUTED_VALUE"""),5925.0)</f>
        <v>5925</v>
      </c>
      <c r="D888" s="2">
        <f>IFERROR(__xludf.DUMMYFUNCTION("""COMPUTED_VALUE"""),5825.0)</f>
        <v>5825</v>
      </c>
      <c r="E888" s="2">
        <f>IFERROR(__xludf.DUMMYFUNCTION("""COMPUTED_VALUE"""),5900.0)</f>
        <v>5900</v>
      </c>
      <c r="F888" s="2">
        <f>IFERROR(__xludf.DUMMYFUNCTION("""COMPUTED_VALUE"""),6.50931E7)</f>
        <v>65093100</v>
      </c>
      <c r="G888" s="2">
        <f t="shared" si="1"/>
        <v>125</v>
      </c>
    </row>
    <row r="889" ht="15.75" customHeight="1">
      <c r="A889" s="1">
        <f>IFERROR(__xludf.DUMMYFUNCTION("""COMPUTED_VALUE"""),45166.66666666667)</f>
        <v>45166.66667</v>
      </c>
      <c r="B889" s="2">
        <f>IFERROR(__xludf.DUMMYFUNCTION("""COMPUTED_VALUE"""),5950.0)</f>
        <v>5950</v>
      </c>
      <c r="C889" s="2">
        <f>IFERROR(__xludf.DUMMYFUNCTION("""COMPUTED_VALUE"""),6025.0)</f>
        <v>6025</v>
      </c>
      <c r="D889" s="2">
        <f>IFERROR(__xludf.DUMMYFUNCTION("""COMPUTED_VALUE"""),5900.0)</f>
        <v>5900</v>
      </c>
      <c r="E889" s="2">
        <f>IFERROR(__xludf.DUMMYFUNCTION("""COMPUTED_VALUE"""),6000.0)</f>
        <v>6000</v>
      </c>
      <c r="F889" s="2">
        <f>IFERROR(__xludf.DUMMYFUNCTION("""COMPUTED_VALUE"""),6.39804E7)</f>
        <v>63980400</v>
      </c>
      <c r="G889" s="2">
        <f t="shared" si="1"/>
        <v>125</v>
      </c>
    </row>
    <row r="890" ht="15.75" customHeight="1">
      <c r="A890" s="1">
        <f>IFERROR(__xludf.DUMMYFUNCTION("""COMPUTED_VALUE"""),45167.66666666667)</f>
        <v>45167.66667</v>
      </c>
      <c r="B890" s="2">
        <f>IFERROR(__xludf.DUMMYFUNCTION("""COMPUTED_VALUE"""),6000.0)</f>
        <v>6000</v>
      </c>
      <c r="C890" s="2">
        <f>IFERROR(__xludf.DUMMYFUNCTION("""COMPUTED_VALUE"""),6025.0)</f>
        <v>6025</v>
      </c>
      <c r="D890" s="2">
        <f>IFERROR(__xludf.DUMMYFUNCTION("""COMPUTED_VALUE"""),5950.0)</f>
        <v>5950</v>
      </c>
      <c r="E890" s="2">
        <f>IFERROR(__xludf.DUMMYFUNCTION("""COMPUTED_VALUE"""),5950.0)</f>
        <v>5950</v>
      </c>
      <c r="F890" s="2">
        <f>IFERROR(__xludf.DUMMYFUNCTION("""COMPUTED_VALUE"""),5.08393E7)</f>
        <v>50839300</v>
      </c>
      <c r="G890" s="2">
        <f t="shared" si="1"/>
        <v>75</v>
      </c>
    </row>
    <row r="891" ht="15.75" customHeight="1">
      <c r="A891" s="1">
        <f>IFERROR(__xludf.DUMMYFUNCTION("""COMPUTED_VALUE"""),45168.66666666667)</f>
        <v>45168.66667</v>
      </c>
      <c r="B891" s="2">
        <f>IFERROR(__xludf.DUMMYFUNCTION("""COMPUTED_VALUE"""),5925.0)</f>
        <v>5925</v>
      </c>
      <c r="C891" s="2">
        <f>IFERROR(__xludf.DUMMYFUNCTION("""COMPUTED_VALUE"""),6100.0)</f>
        <v>6100</v>
      </c>
      <c r="D891" s="2">
        <f>IFERROR(__xludf.DUMMYFUNCTION("""COMPUTED_VALUE"""),5925.0)</f>
        <v>5925</v>
      </c>
      <c r="E891" s="2">
        <f>IFERROR(__xludf.DUMMYFUNCTION("""COMPUTED_VALUE"""),5975.0)</f>
        <v>5975</v>
      </c>
      <c r="F891" s="2">
        <f>IFERROR(__xludf.DUMMYFUNCTION("""COMPUTED_VALUE"""),6.57274E7)</f>
        <v>65727400</v>
      </c>
      <c r="G891" s="2">
        <f t="shared" si="1"/>
        <v>175</v>
      </c>
    </row>
    <row r="892" ht="15.75" customHeight="1">
      <c r="A892" s="1">
        <f>IFERROR(__xludf.DUMMYFUNCTION("""COMPUTED_VALUE"""),45169.66666666667)</f>
        <v>45169.66667</v>
      </c>
      <c r="B892" s="2">
        <f>IFERROR(__xludf.DUMMYFUNCTION("""COMPUTED_VALUE"""),6000.0)</f>
        <v>6000</v>
      </c>
      <c r="C892" s="2">
        <f>IFERROR(__xludf.DUMMYFUNCTION("""COMPUTED_VALUE"""),6075.0)</f>
        <v>6075</v>
      </c>
      <c r="D892" s="2">
        <f>IFERROR(__xludf.DUMMYFUNCTION("""COMPUTED_VALUE"""),5900.0)</f>
        <v>5900</v>
      </c>
      <c r="E892" s="2">
        <f>IFERROR(__xludf.DUMMYFUNCTION("""COMPUTED_VALUE"""),6025.0)</f>
        <v>6025</v>
      </c>
      <c r="F892" s="2">
        <f>IFERROR(__xludf.DUMMYFUNCTION("""COMPUTED_VALUE"""),1.590629E8)</f>
        <v>159062900</v>
      </c>
      <c r="G892" s="2">
        <f t="shared" si="1"/>
        <v>175</v>
      </c>
    </row>
    <row r="893" ht="15.75" customHeight="1">
      <c r="A893" s="1">
        <f>IFERROR(__xludf.DUMMYFUNCTION("""COMPUTED_VALUE"""),45170.66666666667)</f>
        <v>45170.66667</v>
      </c>
      <c r="B893" s="2">
        <f>IFERROR(__xludf.DUMMYFUNCTION("""COMPUTED_VALUE"""),6075.0)</f>
        <v>6075</v>
      </c>
      <c r="C893" s="2">
        <f>IFERROR(__xludf.DUMMYFUNCTION("""COMPUTED_VALUE"""),6125.0)</f>
        <v>6125</v>
      </c>
      <c r="D893" s="2">
        <f>IFERROR(__xludf.DUMMYFUNCTION("""COMPUTED_VALUE"""),6050.0)</f>
        <v>6050</v>
      </c>
      <c r="E893" s="2">
        <f>IFERROR(__xludf.DUMMYFUNCTION("""COMPUTED_VALUE"""),6075.0)</f>
        <v>6075</v>
      </c>
      <c r="F893" s="2">
        <f>IFERROR(__xludf.DUMMYFUNCTION("""COMPUTED_VALUE"""),5.0796E7)</f>
        <v>50796000</v>
      </c>
      <c r="G893" s="2">
        <f t="shared" si="1"/>
        <v>100</v>
      </c>
    </row>
    <row r="894" ht="15.75" customHeight="1">
      <c r="A894" s="1">
        <f>IFERROR(__xludf.DUMMYFUNCTION("""COMPUTED_VALUE"""),45173.66666666667)</f>
        <v>45173.66667</v>
      </c>
      <c r="B894" s="2">
        <f>IFERROR(__xludf.DUMMYFUNCTION("""COMPUTED_VALUE"""),6075.0)</f>
        <v>6075</v>
      </c>
      <c r="C894" s="2">
        <f>IFERROR(__xludf.DUMMYFUNCTION("""COMPUTED_VALUE"""),6150.0)</f>
        <v>6150</v>
      </c>
      <c r="D894" s="2">
        <f>IFERROR(__xludf.DUMMYFUNCTION("""COMPUTED_VALUE"""),6050.0)</f>
        <v>6050</v>
      </c>
      <c r="E894" s="2">
        <f>IFERROR(__xludf.DUMMYFUNCTION("""COMPUTED_VALUE"""),6100.0)</f>
        <v>6100</v>
      </c>
      <c r="F894" s="2">
        <f>IFERROR(__xludf.DUMMYFUNCTION("""COMPUTED_VALUE"""),5.63177E7)</f>
        <v>56317700</v>
      </c>
      <c r="G894" s="2">
        <f t="shared" si="1"/>
        <v>100</v>
      </c>
    </row>
    <row r="895" ht="15.75" customHeight="1">
      <c r="A895" s="1">
        <f>IFERROR(__xludf.DUMMYFUNCTION("""COMPUTED_VALUE"""),45174.66666666667)</f>
        <v>45174.66667</v>
      </c>
      <c r="B895" s="2">
        <f>IFERROR(__xludf.DUMMYFUNCTION("""COMPUTED_VALUE"""),6100.0)</f>
        <v>6100</v>
      </c>
      <c r="C895" s="2">
        <f>IFERROR(__xludf.DUMMYFUNCTION("""COMPUTED_VALUE"""),6150.0)</f>
        <v>6150</v>
      </c>
      <c r="D895" s="2">
        <f>IFERROR(__xludf.DUMMYFUNCTION("""COMPUTED_VALUE"""),6075.0)</f>
        <v>6075</v>
      </c>
      <c r="E895" s="2">
        <f>IFERROR(__xludf.DUMMYFUNCTION("""COMPUTED_VALUE"""),6100.0)</f>
        <v>6100</v>
      </c>
      <c r="F895" s="2">
        <f>IFERROR(__xludf.DUMMYFUNCTION("""COMPUTED_VALUE"""),2.48931E7)</f>
        <v>24893100</v>
      </c>
      <c r="G895" s="2">
        <f t="shared" si="1"/>
        <v>75</v>
      </c>
    </row>
    <row r="896" ht="15.75" customHeight="1">
      <c r="A896" s="1">
        <f>IFERROR(__xludf.DUMMYFUNCTION("""COMPUTED_VALUE"""),45175.66666666667)</f>
        <v>45175.66667</v>
      </c>
      <c r="B896" s="2">
        <f>IFERROR(__xludf.DUMMYFUNCTION("""COMPUTED_VALUE"""),6050.0)</f>
        <v>6050</v>
      </c>
      <c r="C896" s="2">
        <f>IFERROR(__xludf.DUMMYFUNCTION("""COMPUTED_VALUE"""),6125.0)</f>
        <v>6125</v>
      </c>
      <c r="D896" s="2">
        <f>IFERROR(__xludf.DUMMYFUNCTION("""COMPUTED_VALUE"""),6050.0)</f>
        <v>6050</v>
      </c>
      <c r="E896" s="2">
        <f>IFERROR(__xludf.DUMMYFUNCTION("""COMPUTED_VALUE"""),6050.0)</f>
        <v>6050</v>
      </c>
      <c r="F896" s="2">
        <f>IFERROR(__xludf.DUMMYFUNCTION("""COMPUTED_VALUE"""),4.05478E7)</f>
        <v>40547800</v>
      </c>
      <c r="G896" s="2">
        <f t="shared" si="1"/>
        <v>75</v>
      </c>
    </row>
    <row r="897" ht="15.75" customHeight="1">
      <c r="A897" s="1">
        <f>IFERROR(__xludf.DUMMYFUNCTION("""COMPUTED_VALUE"""),45176.66666666667)</f>
        <v>45176.66667</v>
      </c>
      <c r="B897" s="2">
        <f>IFERROR(__xludf.DUMMYFUNCTION("""COMPUTED_VALUE"""),6000.0)</f>
        <v>6000</v>
      </c>
      <c r="C897" s="2">
        <f>IFERROR(__xludf.DUMMYFUNCTION("""COMPUTED_VALUE"""),6025.0)</f>
        <v>6025</v>
      </c>
      <c r="D897" s="2">
        <f>IFERROR(__xludf.DUMMYFUNCTION("""COMPUTED_VALUE"""),5825.0)</f>
        <v>5825</v>
      </c>
      <c r="E897" s="2">
        <f>IFERROR(__xludf.DUMMYFUNCTION("""COMPUTED_VALUE"""),5875.0)</f>
        <v>5875</v>
      </c>
      <c r="F897" s="2">
        <f>IFERROR(__xludf.DUMMYFUNCTION("""COMPUTED_VALUE"""),1.243514E8)</f>
        <v>124351400</v>
      </c>
      <c r="G897" s="2">
        <f t="shared" si="1"/>
        <v>225</v>
      </c>
    </row>
    <row r="898" ht="15.75" customHeight="1">
      <c r="A898" s="1">
        <f>IFERROR(__xludf.DUMMYFUNCTION("""COMPUTED_VALUE"""),45177.66666666667)</f>
        <v>45177.66667</v>
      </c>
      <c r="B898" s="2">
        <f>IFERROR(__xludf.DUMMYFUNCTION("""COMPUTED_VALUE"""),5900.0)</f>
        <v>5900</v>
      </c>
      <c r="C898" s="2">
        <f>IFERROR(__xludf.DUMMYFUNCTION("""COMPUTED_VALUE"""),5925.0)</f>
        <v>5925</v>
      </c>
      <c r="D898" s="2">
        <f>IFERROR(__xludf.DUMMYFUNCTION("""COMPUTED_VALUE"""),5775.0)</f>
        <v>5775</v>
      </c>
      <c r="E898" s="2">
        <f>IFERROR(__xludf.DUMMYFUNCTION("""COMPUTED_VALUE"""),5900.0)</f>
        <v>5900</v>
      </c>
      <c r="F898" s="2">
        <f>IFERROR(__xludf.DUMMYFUNCTION("""COMPUTED_VALUE"""),8.19804E7)</f>
        <v>81980400</v>
      </c>
      <c r="G898" s="2">
        <f t="shared" si="1"/>
        <v>150</v>
      </c>
    </row>
    <row r="899" ht="15.75" customHeight="1">
      <c r="A899" s="1">
        <f>IFERROR(__xludf.DUMMYFUNCTION("""COMPUTED_VALUE"""),45180.66666666667)</f>
        <v>45180.66667</v>
      </c>
      <c r="B899" s="2">
        <f>IFERROR(__xludf.DUMMYFUNCTION("""COMPUTED_VALUE"""),5900.0)</f>
        <v>5900</v>
      </c>
      <c r="C899" s="2">
        <f>IFERROR(__xludf.DUMMYFUNCTION("""COMPUTED_VALUE"""),5925.0)</f>
        <v>5925</v>
      </c>
      <c r="D899" s="2">
        <f>IFERROR(__xludf.DUMMYFUNCTION("""COMPUTED_VALUE"""),5825.0)</f>
        <v>5825</v>
      </c>
      <c r="E899" s="2">
        <f>IFERROR(__xludf.DUMMYFUNCTION("""COMPUTED_VALUE"""),5925.0)</f>
        <v>5925</v>
      </c>
      <c r="F899" s="2">
        <f>IFERROR(__xludf.DUMMYFUNCTION("""COMPUTED_VALUE"""),7.45106E7)</f>
        <v>74510600</v>
      </c>
      <c r="G899" s="2">
        <f t="shared" si="1"/>
        <v>100</v>
      </c>
    </row>
    <row r="900" ht="15.75" customHeight="1">
      <c r="A900" s="1">
        <f>IFERROR(__xludf.DUMMYFUNCTION("""COMPUTED_VALUE"""),45181.66666666667)</f>
        <v>45181.66667</v>
      </c>
      <c r="B900" s="2">
        <f>IFERROR(__xludf.DUMMYFUNCTION("""COMPUTED_VALUE"""),5950.0)</f>
        <v>5950</v>
      </c>
      <c r="C900" s="2">
        <f>IFERROR(__xludf.DUMMYFUNCTION("""COMPUTED_VALUE"""),5950.0)</f>
        <v>5950</v>
      </c>
      <c r="D900" s="2">
        <f>IFERROR(__xludf.DUMMYFUNCTION("""COMPUTED_VALUE"""),5850.0)</f>
        <v>5850</v>
      </c>
      <c r="E900" s="2">
        <f>IFERROR(__xludf.DUMMYFUNCTION("""COMPUTED_VALUE"""),5875.0)</f>
        <v>5875</v>
      </c>
      <c r="F900" s="2">
        <f>IFERROR(__xludf.DUMMYFUNCTION("""COMPUTED_VALUE"""),5.40768E7)</f>
        <v>54076800</v>
      </c>
      <c r="G900" s="2">
        <f t="shared" si="1"/>
        <v>100</v>
      </c>
    </row>
    <row r="901" ht="15.75" customHeight="1">
      <c r="A901" s="1">
        <f>IFERROR(__xludf.DUMMYFUNCTION("""COMPUTED_VALUE"""),45182.66666666667)</f>
        <v>45182.66667</v>
      </c>
      <c r="B901" s="2">
        <f>IFERROR(__xludf.DUMMYFUNCTION("""COMPUTED_VALUE"""),5825.0)</f>
        <v>5825</v>
      </c>
      <c r="C901" s="2">
        <f>IFERROR(__xludf.DUMMYFUNCTION("""COMPUTED_VALUE"""),5850.0)</f>
        <v>5850</v>
      </c>
      <c r="D901" s="2">
        <f>IFERROR(__xludf.DUMMYFUNCTION("""COMPUTED_VALUE"""),5775.0)</f>
        <v>5775</v>
      </c>
      <c r="E901" s="2">
        <f>IFERROR(__xludf.DUMMYFUNCTION("""COMPUTED_VALUE"""),5850.0)</f>
        <v>5850</v>
      </c>
      <c r="F901" s="2">
        <f>IFERROR(__xludf.DUMMYFUNCTION("""COMPUTED_VALUE"""),6.9884E7)</f>
        <v>69884000</v>
      </c>
      <c r="G901" s="2">
        <f t="shared" si="1"/>
        <v>100</v>
      </c>
    </row>
    <row r="902" ht="15.75" customHeight="1">
      <c r="A902" s="1">
        <f>IFERROR(__xludf.DUMMYFUNCTION("""COMPUTED_VALUE"""),45183.66666666667)</f>
        <v>45183.66667</v>
      </c>
      <c r="B902" s="2">
        <f>IFERROR(__xludf.DUMMYFUNCTION("""COMPUTED_VALUE"""),5825.0)</f>
        <v>5825</v>
      </c>
      <c r="C902" s="2">
        <f>IFERROR(__xludf.DUMMYFUNCTION("""COMPUTED_VALUE"""),5875.0)</f>
        <v>5875</v>
      </c>
      <c r="D902" s="2">
        <f>IFERROR(__xludf.DUMMYFUNCTION("""COMPUTED_VALUE"""),5775.0)</f>
        <v>5775</v>
      </c>
      <c r="E902" s="2">
        <f>IFERROR(__xludf.DUMMYFUNCTION("""COMPUTED_VALUE"""),5825.0)</f>
        <v>5825</v>
      </c>
      <c r="F902" s="2">
        <f>IFERROR(__xludf.DUMMYFUNCTION("""COMPUTED_VALUE"""),5.91326E7)</f>
        <v>59132600</v>
      </c>
      <c r="G902" s="2">
        <f t="shared" si="1"/>
        <v>100</v>
      </c>
    </row>
    <row r="903" ht="15.75" customHeight="1">
      <c r="A903" s="1">
        <f>IFERROR(__xludf.DUMMYFUNCTION("""COMPUTED_VALUE"""),45184.66666666667)</f>
        <v>45184.66667</v>
      </c>
      <c r="B903" s="2">
        <f>IFERROR(__xludf.DUMMYFUNCTION("""COMPUTED_VALUE"""),5900.0)</f>
        <v>5900</v>
      </c>
      <c r="C903" s="2">
        <f>IFERROR(__xludf.DUMMYFUNCTION("""COMPUTED_VALUE"""),5975.0)</f>
        <v>5975</v>
      </c>
      <c r="D903" s="2">
        <f>IFERROR(__xludf.DUMMYFUNCTION("""COMPUTED_VALUE"""),5850.0)</f>
        <v>5850</v>
      </c>
      <c r="E903" s="2">
        <f>IFERROR(__xludf.DUMMYFUNCTION("""COMPUTED_VALUE"""),5925.0)</f>
        <v>5925</v>
      </c>
      <c r="F903" s="2">
        <f>IFERROR(__xludf.DUMMYFUNCTION("""COMPUTED_VALUE"""),1.651062E8)</f>
        <v>165106200</v>
      </c>
      <c r="G903" s="2">
        <f t="shared" si="1"/>
        <v>150</v>
      </c>
    </row>
    <row r="904" ht="15.75" customHeight="1">
      <c r="A904" s="1">
        <f>IFERROR(__xludf.DUMMYFUNCTION("""COMPUTED_VALUE"""),45187.66666666667)</f>
        <v>45187.66667</v>
      </c>
      <c r="B904" s="2">
        <f>IFERROR(__xludf.DUMMYFUNCTION("""COMPUTED_VALUE"""),5900.0)</f>
        <v>5900</v>
      </c>
      <c r="C904" s="2">
        <f>IFERROR(__xludf.DUMMYFUNCTION("""COMPUTED_VALUE"""),5950.0)</f>
        <v>5950</v>
      </c>
      <c r="D904" s="2">
        <f>IFERROR(__xludf.DUMMYFUNCTION("""COMPUTED_VALUE"""),5875.0)</f>
        <v>5875</v>
      </c>
      <c r="E904" s="2">
        <f>IFERROR(__xludf.DUMMYFUNCTION("""COMPUTED_VALUE"""),5900.0)</f>
        <v>5900</v>
      </c>
      <c r="F904" s="2">
        <f>IFERROR(__xludf.DUMMYFUNCTION("""COMPUTED_VALUE"""),5.34504E7)</f>
        <v>53450400</v>
      </c>
      <c r="G904" s="2">
        <f t="shared" si="1"/>
        <v>75</v>
      </c>
    </row>
    <row r="905" ht="15.75" customHeight="1">
      <c r="A905" s="1">
        <f>IFERROR(__xludf.DUMMYFUNCTION("""COMPUTED_VALUE"""),45188.66666666667)</f>
        <v>45188.66667</v>
      </c>
      <c r="B905" s="2">
        <f>IFERROR(__xludf.DUMMYFUNCTION("""COMPUTED_VALUE"""),5900.0)</f>
        <v>5900</v>
      </c>
      <c r="C905" s="2">
        <f>IFERROR(__xludf.DUMMYFUNCTION("""COMPUTED_VALUE"""),6075.0)</f>
        <v>6075</v>
      </c>
      <c r="D905" s="2">
        <f>IFERROR(__xludf.DUMMYFUNCTION("""COMPUTED_VALUE"""),5875.0)</f>
        <v>5875</v>
      </c>
      <c r="E905" s="2">
        <f>IFERROR(__xludf.DUMMYFUNCTION("""COMPUTED_VALUE"""),6000.0)</f>
        <v>6000</v>
      </c>
      <c r="F905" s="2">
        <f>IFERROR(__xludf.DUMMYFUNCTION("""COMPUTED_VALUE"""),8.46084E7)</f>
        <v>84608400</v>
      </c>
      <c r="G905" s="2">
        <f t="shared" si="1"/>
        <v>200</v>
      </c>
    </row>
    <row r="906" ht="15.75" customHeight="1">
      <c r="A906" s="1">
        <f>IFERROR(__xludf.DUMMYFUNCTION("""COMPUTED_VALUE"""),45189.66666666667)</f>
        <v>45189.66667</v>
      </c>
      <c r="B906" s="2">
        <f>IFERROR(__xludf.DUMMYFUNCTION("""COMPUTED_VALUE"""),6100.0)</f>
        <v>6100</v>
      </c>
      <c r="C906" s="2">
        <f>IFERROR(__xludf.DUMMYFUNCTION("""COMPUTED_VALUE"""),6125.0)</f>
        <v>6125</v>
      </c>
      <c r="D906" s="2">
        <f>IFERROR(__xludf.DUMMYFUNCTION("""COMPUTED_VALUE"""),6050.0)</f>
        <v>6050</v>
      </c>
      <c r="E906" s="2">
        <f>IFERROR(__xludf.DUMMYFUNCTION("""COMPUTED_VALUE"""),6075.0)</f>
        <v>6075</v>
      </c>
      <c r="F906" s="2">
        <f>IFERROR(__xludf.DUMMYFUNCTION("""COMPUTED_VALUE"""),6.48649E7)</f>
        <v>64864900</v>
      </c>
      <c r="G906" s="2">
        <f t="shared" si="1"/>
        <v>125</v>
      </c>
    </row>
    <row r="907" ht="15.75" customHeight="1">
      <c r="A907" s="1">
        <f>IFERROR(__xludf.DUMMYFUNCTION("""COMPUTED_VALUE"""),45190.66666666667)</f>
        <v>45190.66667</v>
      </c>
      <c r="B907" s="2">
        <f>IFERROR(__xludf.DUMMYFUNCTION("""COMPUTED_VALUE"""),6050.0)</f>
        <v>6050</v>
      </c>
      <c r="C907" s="2">
        <f>IFERROR(__xludf.DUMMYFUNCTION("""COMPUTED_VALUE"""),6075.0)</f>
        <v>6075</v>
      </c>
      <c r="D907" s="2">
        <f>IFERROR(__xludf.DUMMYFUNCTION("""COMPUTED_VALUE"""),5975.0)</f>
        <v>5975</v>
      </c>
      <c r="E907" s="2">
        <f>IFERROR(__xludf.DUMMYFUNCTION("""COMPUTED_VALUE"""),6000.0)</f>
        <v>6000</v>
      </c>
      <c r="F907" s="2">
        <f>IFERROR(__xludf.DUMMYFUNCTION("""COMPUTED_VALUE"""),6.0535E7)</f>
        <v>60535000</v>
      </c>
      <c r="G907" s="2">
        <f t="shared" si="1"/>
        <v>100</v>
      </c>
    </row>
    <row r="908" ht="15.75" customHeight="1">
      <c r="A908" s="1">
        <f>IFERROR(__xludf.DUMMYFUNCTION("""COMPUTED_VALUE"""),45191.66666666667)</f>
        <v>45191.66667</v>
      </c>
      <c r="B908" s="2">
        <f>IFERROR(__xludf.DUMMYFUNCTION("""COMPUTED_VALUE"""),6000.0)</f>
        <v>6000</v>
      </c>
      <c r="C908" s="2">
        <f>IFERROR(__xludf.DUMMYFUNCTION("""COMPUTED_VALUE"""),6050.0)</f>
        <v>6050</v>
      </c>
      <c r="D908" s="2">
        <f>IFERROR(__xludf.DUMMYFUNCTION("""COMPUTED_VALUE"""),5975.0)</f>
        <v>5975</v>
      </c>
      <c r="E908" s="2">
        <f>IFERROR(__xludf.DUMMYFUNCTION("""COMPUTED_VALUE"""),6000.0)</f>
        <v>6000</v>
      </c>
      <c r="F908" s="2">
        <f>IFERROR(__xludf.DUMMYFUNCTION("""COMPUTED_VALUE"""),5.10699E7)</f>
        <v>51069900</v>
      </c>
      <c r="G908" s="2">
        <f t="shared" si="1"/>
        <v>75</v>
      </c>
    </row>
    <row r="909" ht="15.75" customHeight="1">
      <c r="A909" s="1">
        <f>IFERROR(__xludf.DUMMYFUNCTION("""COMPUTED_VALUE"""),45194.66666666667)</f>
        <v>45194.66667</v>
      </c>
      <c r="B909" s="2">
        <f>IFERROR(__xludf.DUMMYFUNCTION("""COMPUTED_VALUE"""),6000.0)</f>
        <v>6000</v>
      </c>
      <c r="C909" s="2">
        <f>IFERROR(__xludf.DUMMYFUNCTION("""COMPUTED_VALUE"""),6050.0)</f>
        <v>6050</v>
      </c>
      <c r="D909" s="2">
        <f>IFERROR(__xludf.DUMMYFUNCTION("""COMPUTED_VALUE"""),5975.0)</f>
        <v>5975</v>
      </c>
      <c r="E909" s="2">
        <f>IFERROR(__xludf.DUMMYFUNCTION("""COMPUTED_VALUE"""),6000.0)</f>
        <v>6000</v>
      </c>
      <c r="F909" s="2">
        <f>IFERROR(__xludf.DUMMYFUNCTION("""COMPUTED_VALUE"""),4.06509E7)</f>
        <v>40650900</v>
      </c>
      <c r="G909" s="2">
        <f t="shared" si="1"/>
        <v>75</v>
      </c>
    </row>
    <row r="910" ht="15.75" customHeight="1">
      <c r="A910" s="1">
        <f>IFERROR(__xludf.DUMMYFUNCTION("""COMPUTED_VALUE"""),45195.66666666667)</f>
        <v>45195.66667</v>
      </c>
      <c r="B910" s="2">
        <f>IFERROR(__xludf.DUMMYFUNCTION("""COMPUTED_VALUE"""),5975.0)</f>
        <v>5975</v>
      </c>
      <c r="C910" s="2">
        <f>IFERROR(__xludf.DUMMYFUNCTION("""COMPUTED_VALUE"""),6000.0)</f>
        <v>6000</v>
      </c>
      <c r="D910" s="2">
        <f>IFERROR(__xludf.DUMMYFUNCTION("""COMPUTED_VALUE"""),5850.0)</f>
        <v>5850</v>
      </c>
      <c r="E910" s="2">
        <f>IFERROR(__xludf.DUMMYFUNCTION("""COMPUTED_VALUE"""),5925.0)</f>
        <v>5925</v>
      </c>
      <c r="F910" s="2">
        <f>IFERROR(__xludf.DUMMYFUNCTION("""COMPUTED_VALUE"""),1.097864E8)</f>
        <v>109786400</v>
      </c>
      <c r="G910" s="2">
        <f t="shared" si="1"/>
        <v>150</v>
      </c>
    </row>
    <row r="911" ht="15.75" customHeight="1">
      <c r="A911" s="1">
        <f>IFERROR(__xludf.DUMMYFUNCTION("""COMPUTED_VALUE"""),45196.66666666667)</f>
        <v>45196.66667</v>
      </c>
      <c r="B911" s="2">
        <f>IFERROR(__xludf.DUMMYFUNCTION("""COMPUTED_VALUE"""),5925.0)</f>
        <v>5925</v>
      </c>
      <c r="C911" s="2">
        <f>IFERROR(__xludf.DUMMYFUNCTION("""COMPUTED_VALUE"""),6050.0)</f>
        <v>6050</v>
      </c>
      <c r="D911" s="2">
        <f>IFERROR(__xludf.DUMMYFUNCTION("""COMPUTED_VALUE"""),5900.0)</f>
        <v>5900</v>
      </c>
      <c r="E911" s="2">
        <f>IFERROR(__xludf.DUMMYFUNCTION("""COMPUTED_VALUE"""),6000.0)</f>
        <v>6000</v>
      </c>
      <c r="F911" s="2">
        <f>IFERROR(__xludf.DUMMYFUNCTION("""COMPUTED_VALUE"""),7.50506E7)</f>
        <v>75050600</v>
      </c>
      <c r="G911" s="2">
        <f t="shared" si="1"/>
        <v>150</v>
      </c>
    </row>
    <row r="912" ht="15.75" customHeight="1">
      <c r="A912" s="1">
        <f>IFERROR(__xludf.DUMMYFUNCTION("""COMPUTED_VALUE"""),45198.66666666667)</f>
        <v>45198.66667</v>
      </c>
      <c r="B912" s="2">
        <f>IFERROR(__xludf.DUMMYFUNCTION("""COMPUTED_VALUE"""),6050.0)</f>
        <v>6050</v>
      </c>
      <c r="C912" s="2">
        <f>IFERROR(__xludf.DUMMYFUNCTION("""COMPUTED_VALUE"""),6050.0)</f>
        <v>6050</v>
      </c>
      <c r="D912" s="2">
        <f>IFERROR(__xludf.DUMMYFUNCTION("""COMPUTED_VALUE"""),6000.0)</f>
        <v>6000</v>
      </c>
      <c r="E912" s="2">
        <f>IFERROR(__xludf.DUMMYFUNCTION("""COMPUTED_VALUE"""),6025.0)</f>
        <v>6025</v>
      </c>
      <c r="F912" s="2">
        <f>IFERROR(__xludf.DUMMYFUNCTION("""COMPUTED_VALUE"""),7.15541E7)</f>
        <v>71554100</v>
      </c>
      <c r="G912" s="2">
        <f t="shared" si="1"/>
        <v>50</v>
      </c>
    </row>
    <row r="913" ht="15.75" customHeight="1">
      <c r="A913" s="1">
        <f>IFERROR(__xludf.DUMMYFUNCTION("""COMPUTED_VALUE"""),45201.66666666667)</f>
        <v>45201.66667</v>
      </c>
      <c r="B913" s="2">
        <f>IFERROR(__xludf.DUMMYFUNCTION("""COMPUTED_VALUE"""),6025.0)</f>
        <v>6025</v>
      </c>
      <c r="C913" s="2">
        <f>IFERROR(__xludf.DUMMYFUNCTION("""COMPUTED_VALUE"""),6100.0)</f>
        <v>6100</v>
      </c>
      <c r="D913" s="2">
        <f>IFERROR(__xludf.DUMMYFUNCTION("""COMPUTED_VALUE"""),6025.0)</f>
        <v>6025</v>
      </c>
      <c r="E913" s="2">
        <f>IFERROR(__xludf.DUMMYFUNCTION("""COMPUTED_VALUE"""),6050.0)</f>
        <v>6050</v>
      </c>
      <c r="F913" s="2">
        <f>IFERROR(__xludf.DUMMYFUNCTION("""COMPUTED_VALUE"""),3.32965E7)</f>
        <v>33296500</v>
      </c>
      <c r="G913" s="2">
        <f t="shared" si="1"/>
        <v>75</v>
      </c>
    </row>
    <row r="914" ht="15.75" customHeight="1">
      <c r="A914" s="1">
        <f>IFERROR(__xludf.DUMMYFUNCTION("""COMPUTED_VALUE"""),45202.66666666667)</f>
        <v>45202.66667</v>
      </c>
      <c r="B914" s="2">
        <f>IFERROR(__xludf.DUMMYFUNCTION("""COMPUTED_VALUE"""),6000.0)</f>
        <v>6000</v>
      </c>
      <c r="C914" s="2">
        <f>IFERROR(__xludf.DUMMYFUNCTION("""COMPUTED_VALUE"""),6075.0)</f>
        <v>6075</v>
      </c>
      <c r="D914" s="2">
        <f>IFERROR(__xludf.DUMMYFUNCTION("""COMPUTED_VALUE"""),6000.0)</f>
        <v>6000</v>
      </c>
      <c r="E914" s="2">
        <f>IFERROR(__xludf.DUMMYFUNCTION("""COMPUTED_VALUE"""),6075.0)</f>
        <v>6075</v>
      </c>
      <c r="F914" s="2">
        <f>IFERROR(__xludf.DUMMYFUNCTION("""COMPUTED_VALUE"""),3.70931E7)</f>
        <v>37093100</v>
      </c>
      <c r="G914" s="2">
        <f t="shared" si="1"/>
        <v>75</v>
      </c>
    </row>
    <row r="915" ht="15.75" customHeight="1">
      <c r="A915" s="1">
        <f>IFERROR(__xludf.DUMMYFUNCTION("""COMPUTED_VALUE"""),45203.66666666667)</f>
        <v>45203.66667</v>
      </c>
      <c r="B915" s="2">
        <f>IFERROR(__xludf.DUMMYFUNCTION("""COMPUTED_VALUE"""),6075.0)</f>
        <v>6075</v>
      </c>
      <c r="C915" s="2">
        <f>IFERROR(__xludf.DUMMYFUNCTION("""COMPUTED_VALUE"""),6125.0)</f>
        <v>6125</v>
      </c>
      <c r="D915" s="2">
        <f>IFERROR(__xludf.DUMMYFUNCTION("""COMPUTED_VALUE"""),5975.0)</f>
        <v>5975</v>
      </c>
      <c r="E915" s="2">
        <f>IFERROR(__xludf.DUMMYFUNCTION("""COMPUTED_VALUE"""),6125.0)</f>
        <v>6125</v>
      </c>
      <c r="F915" s="2">
        <f>IFERROR(__xludf.DUMMYFUNCTION("""COMPUTED_VALUE"""),6.87828E7)</f>
        <v>68782800</v>
      </c>
      <c r="G915" s="2">
        <f t="shared" si="1"/>
        <v>150</v>
      </c>
    </row>
    <row r="916" ht="15.75" customHeight="1">
      <c r="A916" s="1">
        <f>IFERROR(__xludf.DUMMYFUNCTION("""COMPUTED_VALUE"""),45204.66666666667)</f>
        <v>45204.66667</v>
      </c>
      <c r="B916" s="2">
        <f>IFERROR(__xludf.DUMMYFUNCTION("""COMPUTED_VALUE"""),6150.0)</f>
        <v>6150</v>
      </c>
      <c r="C916" s="2">
        <f>IFERROR(__xludf.DUMMYFUNCTION("""COMPUTED_VALUE"""),6200.0)</f>
        <v>6200</v>
      </c>
      <c r="D916" s="2">
        <f>IFERROR(__xludf.DUMMYFUNCTION("""COMPUTED_VALUE"""),6100.0)</f>
        <v>6100</v>
      </c>
      <c r="E916" s="2">
        <f>IFERROR(__xludf.DUMMYFUNCTION("""COMPUTED_VALUE"""),6125.0)</f>
        <v>6125</v>
      </c>
      <c r="F916" s="2">
        <f>IFERROR(__xludf.DUMMYFUNCTION("""COMPUTED_VALUE"""),6.95668E7)</f>
        <v>69566800</v>
      </c>
      <c r="G916" s="2">
        <f t="shared" si="1"/>
        <v>100</v>
      </c>
    </row>
    <row r="917" ht="15.75" customHeight="1">
      <c r="A917" s="1">
        <f>IFERROR(__xludf.DUMMYFUNCTION("""COMPUTED_VALUE"""),45205.66666666667)</f>
        <v>45205.66667</v>
      </c>
      <c r="B917" s="2">
        <f>IFERROR(__xludf.DUMMYFUNCTION("""COMPUTED_VALUE"""),6150.0)</f>
        <v>6150</v>
      </c>
      <c r="C917" s="2">
        <f>IFERROR(__xludf.DUMMYFUNCTION("""COMPUTED_VALUE"""),6150.0)</f>
        <v>6150</v>
      </c>
      <c r="D917" s="2">
        <f>IFERROR(__xludf.DUMMYFUNCTION("""COMPUTED_VALUE"""),6025.0)</f>
        <v>6025</v>
      </c>
      <c r="E917" s="2">
        <f>IFERROR(__xludf.DUMMYFUNCTION("""COMPUTED_VALUE"""),6025.0)</f>
        <v>6025</v>
      </c>
      <c r="F917" s="2">
        <f>IFERROR(__xludf.DUMMYFUNCTION("""COMPUTED_VALUE"""),2.59136E7)</f>
        <v>25913600</v>
      </c>
      <c r="G917" s="2">
        <f t="shared" si="1"/>
        <v>125</v>
      </c>
    </row>
    <row r="918" ht="15.75" customHeight="1">
      <c r="A918" s="1">
        <f>IFERROR(__xludf.DUMMYFUNCTION("""COMPUTED_VALUE"""),45208.66666666667)</f>
        <v>45208.66667</v>
      </c>
      <c r="B918" s="2">
        <f>IFERROR(__xludf.DUMMYFUNCTION("""COMPUTED_VALUE"""),6025.0)</f>
        <v>6025</v>
      </c>
      <c r="C918" s="2">
        <f>IFERROR(__xludf.DUMMYFUNCTION("""COMPUTED_VALUE"""),6050.0)</f>
        <v>6050</v>
      </c>
      <c r="D918" s="2">
        <f>IFERROR(__xludf.DUMMYFUNCTION("""COMPUTED_VALUE"""),5900.0)</f>
        <v>5900</v>
      </c>
      <c r="E918" s="2">
        <f>IFERROR(__xludf.DUMMYFUNCTION("""COMPUTED_VALUE"""),5900.0)</f>
        <v>5900</v>
      </c>
      <c r="F918" s="2">
        <f>IFERROR(__xludf.DUMMYFUNCTION("""COMPUTED_VALUE"""),4.53217E7)</f>
        <v>45321700</v>
      </c>
      <c r="G918" s="2">
        <f t="shared" si="1"/>
        <v>150</v>
      </c>
    </row>
    <row r="919" ht="15.75" customHeight="1">
      <c r="A919" s="1">
        <f>IFERROR(__xludf.DUMMYFUNCTION("""COMPUTED_VALUE"""),45209.66666666667)</f>
        <v>45209.66667</v>
      </c>
      <c r="B919" s="2">
        <f>IFERROR(__xludf.DUMMYFUNCTION("""COMPUTED_VALUE"""),5900.0)</f>
        <v>5900</v>
      </c>
      <c r="C919" s="2">
        <f>IFERROR(__xludf.DUMMYFUNCTION("""COMPUTED_VALUE"""),6075.0)</f>
        <v>6075</v>
      </c>
      <c r="D919" s="2">
        <f>IFERROR(__xludf.DUMMYFUNCTION("""COMPUTED_VALUE"""),5900.0)</f>
        <v>5900</v>
      </c>
      <c r="E919" s="2">
        <f>IFERROR(__xludf.DUMMYFUNCTION("""COMPUTED_VALUE"""),6000.0)</f>
        <v>6000</v>
      </c>
      <c r="F919" s="2">
        <f>IFERROR(__xludf.DUMMYFUNCTION("""COMPUTED_VALUE"""),4.28208E7)</f>
        <v>42820800</v>
      </c>
      <c r="G919" s="2">
        <f t="shared" si="1"/>
        <v>175</v>
      </c>
    </row>
    <row r="920" ht="15.75" customHeight="1">
      <c r="A920" s="1">
        <f>IFERROR(__xludf.DUMMYFUNCTION("""COMPUTED_VALUE"""),45210.66666666667)</f>
        <v>45210.66667</v>
      </c>
      <c r="B920" s="2">
        <f>IFERROR(__xludf.DUMMYFUNCTION("""COMPUTED_VALUE"""),5950.0)</f>
        <v>5950</v>
      </c>
      <c r="C920" s="2">
        <f>IFERROR(__xludf.DUMMYFUNCTION("""COMPUTED_VALUE"""),6175.0)</f>
        <v>6175</v>
      </c>
      <c r="D920" s="2">
        <f>IFERROR(__xludf.DUMMYFUNCTION("""COMPUTED_VALUE"""),5950.0)</f>
        <v>5950</v>
      </c>
      <c r="E920" s="2">
        <f>IFERROR(__xludf.DUMMYFUNCTION("""COMPUTED_VALUE"""),6050.0)</f>
        <v>6050</v>
      </c>
      <c r="F920" s="2">
        <f>IFERROR(__xludf.DUMMYFUNCTION("""COMPUTED_VALUE"""),7.2955E7)</f>
        <v>72955000</v>
      </c>
      <c r="G920" s="2">
        <f t="shared" si="1"/>
        <v>225</v>
      </c>
    </row>
    <row r="921" ht="15.75" customHeight="1">
      <c r="A921" s="1">
        <f>IFERROR(__xludf.DUMMYFUNCTION("""COMPUTED_VALUE"""),45211.66666666667)</f>
        <v>45211.66667</v>
      </c>
      <c r="B921" s="2">
        <f>IFERROR(__xludf.DUMMYFUNCTION("""COMPUTED_VALUE"""),6075.0)</f>
        <v>6075</v>
      </c>
      <c r="C921" s="2">
        <f>IFERROR(__xludf.DUMMYFUNCTION("""COMPUTED_VALUE"""),6175.0)</f>
        <v>6175</v>
      </c>
      <c r="D921" s="2">
        <f>IFERROR(__xludf.DUMMYFUNCTION("""COMPUTED_VALUE"""),6050.0)</f>
        <v>6050</v>
      </c>
      <c r="E921" s="2">
        <f>IFERROR(__xludf.DUMMYFUNCTION("""COMPUTED_VALUE"""),6075.0)</f>
        <v>6075</v>
      </c>
      <c r="F921" s="2">
        <f>IFERROR(__xludf.DUMMYFUNCTION("""COMPUTED_VALUE"""),9.13418E7)</f>
        <v>91341800</v>
      </c>
      <c r="G921" s="2">
        <f t="shared" si="1"/>
        <v>125</v>
      </c>
    </row>
    <row r="922" ht="15.75" customHeight="1">
      <c r="A922" s="1">
        <f>IFERROR(__xludf.DUMMYFUNCTION("""COMPUTED_VALUE"""),45212.66666666667)</f>
        <v>45212.66667</v>
      </c>
      <c r="B922" s="2">
        <f>IFERROR(__xludf.DUMMYFUNCTION("""COMPUTED_VALUE"""),6075.0)</f>
        <v>6075</v>
      </c>
      <c r="C922" s="2">
        <f>IFERROR(__xludf.DUMMYFUNCTION("""COMPUTED_VALUE"""),6150.0)</f>
        <v>6150</v>
      </c>
      <c r="D922" s="2">
        <f>IFERROR(__xludf.DUMMYFUNCTION("""COMPUTED_VALUE"""),6025.0)</f>
        <v>6025</v>
      </c>
      <c r="E922" s="2">
        <f>IFERROR(__xludf.DUMMYFUNCTION("""COMPUTED_VALUE"""),6075.0)</f>
        <v>6075</v>
      </c>
      <c r="F922" s="2">
        <f>IFERROR(__xludf.DUMMYFUNCTION("""COMPUTED_VALUE"""),3.99147E7)</f>
        <v>39914700</v>
      </c>
      <c r="G922" s="2">
        <f t="shared" si="1"/>
        <v>125</v>
      </c>
    </row>
    <row r="923" ht="15.75" customHeight="1">
      <c r="A923" s="1">
        <f>IFERROR(__xludf.DUMMYFUNCTION("""COMPUTED_VALUE"""),45215.66666666667)</f>
        <v>45215.66667</v>
      </c>
      <c r="B923" s="2">
        <f>IFERROR(__xludf.DUMMYFUNCTION("""COMPUTED_VALUE"""),6025.0)</f>
        <v>6025</v>
      </c>
      <c r="C923" s="2">
        <f>IFERROR(__xludf.DUMMYFUNCTION("""COMPUTED_VALUE"""),6075.0)</f>
        <v>6075</v>
      </c>
      <c r="D923" s="2">
        <f>IFERROR(__xludf.DUMMYFUNCTION("""COMPUTED_VALUE"""),5975.0)</f>
        <v>5975</v>
      </c>
      <c r="E923" s="2">
        <f>IFERROR(__xludf.DUMMYFUNCTION("""COMPUTED_VALUE"""),6025.0)</f>
        <v>6025</v>
      </c>
      <c r="F923" s="2">
        <f>IFERROR(__xludf.DUMMYFUNCTION("""COMPUTED_VALUE"""),5.34164E7)</f>
        <v>53416400</v>
      </c>
      <c r="G923" s="2">
        <f t="shared" si="1"/>
        <v>100</v>
      </c>
    </row>
    <row r="924" ht="15.75" customHeight="1">
      <c r="A924" s="1">
        <f>IFERROR(__xludf.DUMMYFUNCTION("""COMPUTED_VALUE"""),45216.66666666667)</f>
        <v>45216.66667</v>
      </c>
      <c r="B924" s="2">
        <f>IFERROR(__xludf.DUMMYFUNCTION("""COMPUTED_VALUE"""),6000.0)</f>
        <v>6000</v>
      </c>
      <c r="C924" s="2">
        <f>IFERROR(__xludf.DUMMYFUNCTION("""COMPUTED_VALUE"""),6025.0)</f>
        <v>6025</v>
      </c>
      <c r="D924" s="2">
        <f>IFERROR(__xludf.DUMMYFUNCTION("""COMPUTED_VALUE"""),5925.0)</f>
        <v>5925</v>
      </c>
      <c r="E924" s="2">
        <f>IFERROR(__xludf.DUMMYFUNCTION("""COMPUTED_VALUE"""),6000.0)</f>
        <v>6000</v>
      </c>
      <c r="F924" s="2">
        <f>IFERROR(__xludf.DUMMYFUNCTION("""COMPUTED_VALUE"""),7.47023E7)</f>
        <v>74702300</v>
      </c>
      <c r="G924" s="2">
        <f t="shared" si="1"/>
        <v>100</v>
      </c>
    </row>
    <row r="925" ht="15.75" customHeight="1">
      <c r="A925" s="1">
        <f>IFERROR(__xludf.DUMMYFUNCTION("""COMPUTED_VALUE"""),45217.66666666667)</f>
        <v>45217.66667</v>
      </c>
      <c r="B925" s="2">
        <f>IFERROR(__xludf.DUMMYFUNCTION("""COMPUTED_VALUE"""),5925.0)</f>
        <v>5925</v>
      </c>
      <c r="C925" s="2">
        <f>IFERROR(__xludf.DUMMYFUNCTION("""COMPUTED_VALUE"""),5950.0)</f>
        <v>5950</v>
      </c>
      <c r="D925" s="2">
        <f>IFERROR(__xludf.DUMMYFUNCTION("""COMPUTED_VALUE"""),5825.0)</f>
        <v>5825</v>
      </c>
      <c r="E925" s="2">
        <f>IFERROR(__xludf.DUMMYFUNCTION("""COMPUTED_VALUE"""),5850.0)</f>
        <v>5850</v>
      </c>
      <c r="F925" s="2">
        <f>IFERROR(__xludf.DUMMYFUNCTION("""COMPUTED_VALUE"""),8.06374E7)</f>
        <v>80637400</v>
      </c>
      <c r="G925" s="2">
        <f t="shared" si="1"/>
        <v>175</v>
      </c>
    </row>
    <row r="926" ht="15.75" customHeight="1">
      <c r="A926" s="1">
        <f>IFERROR(__xludf.DUMMYFUNCTION("""COMPUTED_VALUE"""),45218.66666666667)</f>
        <v>45218.66667</v>
      </c>
      <c r="B926" s="2">
        <f>IFERROR(__xludf.DUMMYFUNCTION("""COMPUTED_VALUE"""),5775.0)</f>
        <v>5775</v>
      </c>
      <c r="C926" s="2">
        <f>IFERROR(__xludf.DUMMYFUNCTION("""COMPUTED_VALUE"""),5800.0)</f>
        <v>5800</v>
      </c>
      <c r="D926" s="2">
        <f>IFERROR(__xludf.DUMMYFUNCTION("""COMPUTED_VALUE"""),5700.0)</f>
        <v>5700</v>
      </c>
      <c r="E926" s="2">
        <f>IFERROR(__xludf.DUMMYFUNCTION("""COMPUTED_VALUE"""),5725.0)</f>
        <v>5725</v>
      </c>
      <c r="F926" s="2">
        <f>IFERROR(__xludf.DUMMYFUNCTION("""COMPUTED_VALUE"""),1.602778E8)</f>
        <v>160277800</v>
      </c>
      <c r="G926" s="2">
        <f t="shared" si="1"/>
        <v>150</v>
      </c>
    </row>
    <row r="927" ht="15.75" customHeight="1">
      <c r="A927" s="1">
        <f>IFERROR(__xludf.DUMMYFUNCTION("""COMPUTED_VALUE"""),45219.66666666667)</f>
        <v>45219.66667</v>
      </c>
      <c r="B927" s="2">
        <f>IFERROR(__xludf.DUMMYFUNCTION("""COMPUTED_VALUE"""),5675.0)</f>
        <v>5675</v>
      </c>
      <c r="C927" s="2">
        <f>IFERROR(__xludf.DUMMYFUNCTION("""COMPUTED_VALUE"""),5800.0)</f>
        <v>5800</v>
      </c>
      <c r="D927" s="2">
        <f>IFERROR(__xludf.DUMMYFUNCTION("""COMPUTED_VALUE"""),5650.0)</f>
        <v>5650</v>
      </c>
      <c r="E927" s="2">
        <f>IFERROR(__xludf.DUMMYFUNCTION("""COMPUTED_VALUE"""),5750.0)</f>
        <v>5750</v>
      </c>
      <c r="F927" s="2">
        <f>IFERROR(__xludf.DUMMYFUNCTION("""COMPUTED_VALUE"""),8.2132E7)</f>
        <v>82132000</v>
      </c>
      <c r="G927" s="2">
        <f t="shared" si="1"/>
        <v>150</v>
      </c>
    </row>
    <row r="928" ht="15.75" customHeight="1">
      <c r="A928" s="1">
        <f>IFERROR(__xludf.DUMMYFUNCTION("""COMPUTED_VALUE"""),45222.66666666667)</f>
        <v>45222.66667</v>
      </c>
      <c r="B928" s="2">
        <f>IFERROR(__xludf.DUMMYFUNCTION("""COMPUTED_VALUE"""),5700.0)</f>
        <v>5700</v>
      </c>
      <c r="C928" s="2">
        <f>IFERROR(__xludf.DUMMYFUNCTION("""COMPUTED_VALUE"""),5725.0)</f>
        <v>5725</v>
      </c>
      <c r="D928" s="2">
        <f>IFERROR(__xludf.DUMMYFUNCTION("""COMPUTED_VALUE"""),5625.0)</f>
        <v>5625</v>
      </c>
      <c r="E928" s="2">
        <f>IFERROR(__xludf.DUMMYFUNCTION("""COMPUTED_VALUE"""),5675.0)</f>
        <v>5675</v>
      </c>
      <c r="F928" s="2">
        <f>IFERROR(__xludf.DUMMYFUNCTION("""COMPUTED_VALUE"""),7.38975E7)</f>
        <v>73897500</v>
      </c>
      <c r="G928" s="2">
        <f t="shared" si="1"/>
        <v>125</v>
      </c>
    </row>
    <row r="929" ht="15.75" customHeight="1">
      <c r="A929" s="1">
        <f>IFERROR(__xludf.DUMMYFUNCTION("""COMPUTED_VALUE"""),45223.66666666667)</f>
        <v>45223.66667</v>
      </c>
      <c r="B929" s="2">
        <f>IFERROR(__xludf.DUMMYFUNCTION("""COMPUTED_VALUE"""),5700.0)</f>
        <v>5700</v>
      </c>
      <c r="C929" s="2">
        <f>IFERROR(__xludf.DUMMYFUNCTION("""COMPUTED_VALUE"""),5800.0)</f>
        <v>5800</v>
      </c>
      <c r="D929" s="2">
        <f>IFERROR(__xludf.DUMMYFUNCTION("""COMPUTED_VALUE"""),5675.0)</f>
        <v>5675</v>
      </c>
      <c r="E929" s="2">
        <f>IFERROR(__xludf.DUMMYFUNCTION("""COMPUTED_VALUE"""),5750.0)</f>
        <v>5750</v>
      </c>
      <c r="F929" s="2">
        <f>IFERROR(__xludf.DUMMYFUNCTION("""COMPUTED_VALUE"""),7.24692E7)</f>
        <v>72469200</v>
      </c>
      <c r="G929" s="2">
        <f t="shared" si="1"/>
        <v>125</v>
      </c>
    </row>
    <row r="930" ht="15.75" customHeight="1">
      <c r="A930" s="1">
        <f>IFERROR(__xludf.DUMMYFUNCTION("""COMPUTED_VALUE"""),45224.66666666667)</f>
        <v>45224.66667</v>
      </c>
      <c r="B930" s="2">
        <f>IFERROR(__xludf.DUMMYFUNCTION("""COMPUTED_VALUE"""),5825.0)</f>
        <v>5825</v>
      </c>
      <c r="C930" s="2">
        <f>IFERROR(__xludf.DUMMYFUNCTION("""COMPUTED_VALUE"""),5900.0)</f>
        <v>5900</v>
      </c>
      <c r="D930" s="2">
        <f>IFERROR(__xludf.DUMMYFUNCTION("""COMPUTED_VALUE"""),5775.0)</f>
        <v>5775</v>
      </c>
      <c r="E930" s="2">
        <f>IFERROR(__xludf.DUMMYFUNCTION("""COMPUTED_VALUE"""),5850.0)</f>
        <v>5850</v>
      </c>
      <c r="F930" s="2">
        <f>IFERROR(__xludf.DUMMYFUNCTION("""COMPUTED_VALUE"""),9.04265E7)</f>
        <v>90426500</v>
      </c>
      <c r="G930" s="2">
        <f t="shared" si="1"/>
        <v>150</v>
      </c>
    </row>
    <row r="931" ht="15.75" customHeight="1">
      <c r="A931" s="1">
        <f>IFERROR(__xludf.DUMMYFUNCTION("""COMPUTED_VALUE"""),45225.66666666667)</f>
        <v>45225.66667</v>
      </c>
      <c r="B931" s="2">
        <f>IFERROR(__xludf.DUMMYFUNCTION("""COMPUTED_VALUE"""),5800.0)</f>
        <v>5800</v>
      </c>
      <c r="C931" s="2">
        <f>IFERROR(__xludf.DUMMYFUNCTION("""COMPUTED_VALUE"""),5850.0)</f>
        <v>5850</v>
      </c>
      <c r="D931" s="2">
        <f>IFERROR(__xludf.DUMMYFUNCTION("""COMPUTED_VALUE"""),5700.0)</f>
        <v>5700</v>
      </c>
      <c r="E931" s="2">
        <f>IFERROR(__xludf.DUMMYFUNCTION("""COMPUTED_VALUE"""),5700.0)</f>
        <v>5700</v>
      </c>
      <c r="F931" s="2">
        <f>IFERROR(__xludf.DUMMYFUNCTION("""COMPUTED_VALUE"""),8.63487E7)</f>
        <v>86348700</v>
      </c>
      <c r="G931" s="2">
        <f t="shared" si="1"/>
        <v>150</v>
      </c>
    </row>
    <row r="932" ht="15.75" customHeight="1">
      <c r="A932" s="1">
        <f>IFERROR(__xludf.DUMMYFUNCTION("""COMPUTED_VALUE"""),45226.66666666667)</f>
        <v>45226.66667</v>
      </c>
      <c r="B932" s="2">
        <f>IFERROR(__xludf.DUMMYFUNCTION("""COMPUTED_VALUE"""),5750.0)</f>
        <v>5750</v>
      </c>
      <c r="C932" s="2">
        <f>IFERROR(__xludf.DUMMYFUNCTION("""COMPUTED_VALUE"""),5775.0)</f>
        <v>5775</v>
      </c>
      <c r="D932" s="2">
        <f>IFERROR(__xludf.DUMMYFUNCTION("""COMPUTED_VALUE"""),5700.0)</f>
        <v>5700</v>
      </c>
      <c r="E932" s="2">
        <f>IFERROR(__xludf.DUMMYFUNCTION("""COMPUTED_VALUE"""),5700.0)</f>
        <v>5700</v>
      </c>
      <c r="F932" s="2">
        <f>IFERROR(__xludf.DUMMYFUNCTION("""COMPUTED_VALUE"""),9.0177E7)</f>
        <v>90177000</v>
      </c>
      <c r="G932" s="2">
        <f t="shared" si="1"/>
        <v>75</v>
      </c>
    </row>
    <row r="933" ht="15.75" customHeight="1">
      <c r="A933" s="1">
        <f>IFERROR(__xludf.DUMMYFUNCTION("""COMPUTED_VALUE"""),45229.66666666667)</f>
        <v>45229.66667</v>
      </c>
      <c r="B933" s="2">
        <f>IFERROR(__xludf.DUMMYFUNCTION("""COMPUTED_VALUE"""),5700.0)</f>
        <v>5700</v>
      </c>
      <c r="C933" s="2">
        <f>IFERROR(__xludf.DUMMYFUNCTION("""COMPUTED_VALUE"""),5725.0)</f>
        <v>5725</v>
      </c>
      <c r="D933" s="2">
        <f>IFERROR(__xludf.DUMMYFUNCTION("""COMPUTED_VALUE"""),5625.0)</f>
        <v>5625</v>
      </c>
      <c r="E933" s="2">
        <f>IFERROR(__xludf.DUMMYFUNCTION("""COMPUTED_VALUE"""),5725.0)</f>
        <v>5725</v>
      </c>
      <c r="F933" s="2">
        <f>IFERROR(__xludf.DUMMYFUNCTION("""COMPUTED_VALUE"""),8.1547E7)</f>
        <v>81547000</v>
      </c>
      <c r="G933" s="2">
        <f t="shared" si="1"/>
        <v>100</v>
      </c>
    </row>
    <row r="934" ht="15.75" customHeight="1">
      <c r="A934" s="1">
        <f>IFERROR(__xludf.DUMMYFUNCTION("""COMPUTED_VALUE"""),45230.66666666667)</f>
        <v>45230.66667</v>
      </c>
      <c r="B934" s="2">
        <f>IFERROR(__xludf.DUMMYFUNCTION("""COMPUTED_VALUE"""),5800.0)</f>
        <v>5800</v>
      </c>
      <c r="C934" s="2">
        <f>IFERROR(__xludf.DUMMYFUNCTION("""COMPUTED_VALUE"""),5850.0)</f>
        <v>5850</v>
      </c>
      <c r="D934" s="2">
        <f>IFERROR(__xludf.DUMMYFUNCTION("""COMPUTED_VALUE"""),5650.0)</f>
        <v>5650</v>
      </c>
      <c r="E934" s="2">
        <f>IFERROR(__xludf.DUMMYFUNCTION("""COMPUTED_VALUE"""),5675.0)</f>
        <v>5675</v>
      </c>
      <c r="F934" s="2">
        <f>IFERROR(__xludf.DUMMYFUNCTION("""COMPUTED_VALUE"""),9.94494E7)</f>
        <v>99449400</v>
      </c>
      <c r="G934" s="2">
        <f t="shared" si="1"/>
        <v>200</v>
      </c>
    </row>
    <row r="935" ht="15.75" customHeight="1">
      <c r="A935" s="1">
        <f>IFERROR(__xludf.DUMMYFUNCTION("""COMPUTED_VALUE"""),45231.66666666667)</f>
        <v>45231.66667</v>
      </c>
      <c r="B935" s="2">
        <f>IFERROR(__xludf.DUMMYFUNCTION("""COMPUTED_VALUE"""),5700.0)</f>
        <v>5700</v>
      </c>
      <c r="C935" s="2">
        <f>IFERROR(__xludf.DUMMYFUNCTION("""COMPUTED_VALUE"""),5700.0)</f>
        <v>5700</v>
      </c>
      <c r="D935" s="2">
        <f>IFERROR(__xludf.DUMMYFUNCTION("""COMPUTED_VALUE"""),5625.0)</f>
        <v>5625</v>
      </c>
      <c r="E935" s="2">
        <f>IFERROR(__xludf.DUMMYFUNCTION("""COMPUTED_VALUE"""),5650.0)</f>
        <v>5650</v>
      </c>
      <c r="F935" s="2">
        <f>IFERROR(__xludf.DUMMYFUNCTION("""COMPUTED_VALUE"""),7.42812E7)</f>
        <v>74281200</v>
      </c>
      <c r="G935" s="2">
        <f t="shared" si="1"/>
        <v>75</v>
      </c>
    </row>
    <row r="936" ht="15.75" customHeight="1">
      <c r="A936" s="1">
        <f>IFERROR(__xludf.DUMMYFUNCTION("""COMPUTED_VALUE"""),45232.66666666667)</f>
        <v>45232.66667</v>
      </c>
      <c r="B936" s="2">
        <f>IFERROR(__xludf.DUMMYFUNCTION("""COMPUTED_VALUE"""),5750.0)</f>
        <v>5750</v>
      </c>
      <c r="C936" s="2">
        <f>IFERROR(__xludf.DUMMYFUNCTION("""COMPUTED_VALUE"""),5925.0)</f>
        <v>5925</v>
      </c>
      <c r="D936" s="2">
        <f>IFERROR(__xludf.DUMMYFUNCTION("""COMPUTED_VALUE"""),5725.0)</f>
        <v>5725</v>
      </c>
      <c r="E936" s="2">
        <f>IFERROR(__xludf.DUMMYFUNCTION("""COMPUTED_VALUE"""),5900.0)</f>
        <v>5900</v>
      </c>
      <c r="F936" s="2">
        <f>IFERROR(__xludf.DUMMYFUNCTION("""COMPUTED_VALUE"""),1.156782E8)</f>
        <v>115678200</v>
      </c>
      <c r="G936" s="2">
        <f t="shared" si="1"/>
        <v>275</v>
      </c>
    </row>
    <row r="937" ht="15.75" customHeight="1">
      <c r="A937" s="1">
        <f>IFERROR(__xludf.DUMMYFUNCTION("""COMPUTED_VALUE"""),45233.66666666667)</f>
        <v>45233.66667</v>
      </c>
      <c r="B937" s="2">
        <f>IFERROR(__xludf.DUMMYFUNCTION("""COMPUTED_VALUE"""),5925.0)</f>
        <v>5925</v>
      </c>
      <c r="C937" s="2">
        <f>IFERROR(__xludf.DUMMYFUNCTION("""COMPUTED_VALUE"""),5975.0)</f>
        <v>5975</v>
      </c>
      <c r="D937" s="2">
        <f>IFERROR(__xludf.DUMMYFUNCTION("""COMPUTED_VALUE"""),5825.0)</f>
        <v>5825</v>
      </c>
      <c r="E937" s="2">
        <f>IFERROR(__xludf.DUMMYFUNCTION("""COMPUTED_VALUE"""),5825.0)</f>
        <v>5825</v>
      </c>
      <c r="F937" s="2">
        <f>IFERROR(__xludf.DUMMYFUNCTION("""COMPUTED_VALUE"""),5.33795E7)</f>
        <v>53379500</v>
      </c>
      <c r="G937" s="2">
        <f t="shared" si="1"/>
        <v>150</v>
      </c>
    </row>
    <row r="938" ht="15.75" customHeight="1">
      <c r="A938" s="1">
        <f>IFERROR(__xludf.DUMMYFUNCTION("""COMPUTED_VALUE"""),45236.66666666667)</f>
        <v>45236.66667</v>
      </c>
      <c r="B938" s="2">
        <f>IFERROR(__xludf.DUMMYFUNCTION("""COMPUTED_VALUE"""),5900.0)</f>
        <v>5900</v>
      </c>
      <c r="C938" s="2">
        <f>IFERROR(__xludf.DUMMYFUNCTION("""COMPUTED_VALUE"""),5925.0)</f>
        <v>5925</v>
      </c>
      <c r="D938" s="2">
        <f>IFERROR(__xludf.DUMMYFUNCTION("""COMPUTED_VALUE"""),5850.0)</f>
        <v>5850</v>
      </c>
      <c r="E938" s="2">
        <f>IFERROR(__xludf.DUMMYFUNCTION("""COMPUTED_VALUE"""),5925.0)</f>
        <v>5925</v>
      </c>
      <c r="F938" s="2">
        <f>IFERROR(__xludf.DUMMYFUNCTION("""COMPUTED_VALUE"""),5.82661E7)</f>
        <v>58266100</v>
      </c>
      <c r="G938" s="2">
        <f t="shared" si="1"/>
        <v>100</v>
      </c>
    </row>
    <row r="939" ht="15.75" customHeight="1">
      <c r="A939" s="1">
        <f>IFERROR(__xludf.DUMMYFUNCTION("""COMPUTED_VALUE"""),45237.66666666667)</f>
        <v>45237.66667</v>
      </c>
      <c r="B939" s="2">
        <f>IFERROR(__xludf.DUMMYFUNCTION("""COMPUTED_VALUE"""),5950.0)</f>
        <v>5950</v>
      </c>
      <c r="C939" s="2">
        <f>IFERROR(__xludf.DUMMYFUNCTION("""COMPUTED_VALUE"""),5975.0)</f>
        <v>5975</v>
      </c>
      <c r="D939" s="2">
        <f>IFERROR(__xludf.DUMMYFUNCTION("""COMPUTED_VALUE"""),5800.0)</f>
        <v>5800</v>
      </c>
      <c r="E939" s="2">
        <f>IFERROR(__xludf.DUMMYFUNCTION("""COMPUTED_VALUE"""),5875.0)</f>
        <v>5875</v>
      </c>
      <c r="F939" s="2">
        <f>IFERROR(__xludf.DUMMYFUNCTION("""COMPUTED_VALUE"""),5.61613E7)</f>
        <v>56161300</v>
      </c>
      <c r="G939" s="2">
        <f t="shared" si="1"/>
        <v>175</v>
      </c>
    </row>
    <row r="940" ht="15.75" customHeight="1">
      <c r="A940" s="1">
        <f>IFERROR(__xludf.DUMMYFUNCTION("""COMPUTED_VALUE"""),45238.66666666667)</f>
        <v>45238.66667</v>
      </c>
      <c r="B940" s="2">
        <f>IFERROR(__xludf.DUMMYFUNCTION("""COMPUTED_VALUE"""),5775.0)</f>
        <v>5775</v>
      </c>
      <c r="C940" s="2">
        <f>IFERROR(__xludf.DUMMYFUNCTION("""COMPUTED_VALUE"""),5850.0)</f>
        <v>5850</v>
      </c>
      <c r="D940" s="2">
        <f>IFERROR(__xludf.DUMMYFUNCTION("""COMPUTED_VALUE"""),5725.0)</f>
        <v>5725</v>
      </c>
      <c r="E940" s="2">
        <f>IFERROR(__xludf.DUMMYFUNCTION("""COMPUTED_VALUE"""),5850.0)</f>
        <v>5850</v>
      </c>
      <c r="F940" s="2">
        <f>IFERROR(__xludf.DUMMYFUNCTION("""COMPUTED_VALUE"""),6.34424E7)</f>
        <v>63442400</v>
      </c>
      <c r="G940" s="2">
        <f t="shared" si="1"/>
        <v>150</v>
      </c>
    </row>
    <row r="941" ht="15.75" customHeight="1">
      <c r="A941" s="1">
        <f>IFERROR(__xludf.DUMMYFUNCTION("""COMPUTED_VALUE"""),45239.66666666667)</f>
        <v>45239.66667</v>
      </c>
      <c r="B941" s="2">
        <f>IFERROR(__xludf.DUMMYFUNCTION("""COMPUTED_VALUE"""),5825.0)</f>
        <v>5825</v>
      </c>
      <c r="C941" s="2">
        <f>IFERROR(__xludf.DUMMYFUNCTION("""COMPUTED_VALUE"""),5900.0)</f>
        <v>5900</v>
      </c>
      <c r="D941" s="2">
        <f>IFERROR(__xludf.DUMMYFUNCTION("""COMPUTED_VALUE"""),5800.0)</f>
        <v>5800</v>
      </c>
      <c r="E941" s="2">
        <f>IFERROR(__xludf.DUMMYFUNCTION("""COMPUTED_VALUE"""),5875.0)</f>
        <v>5875</v>
      </c>
      <c r="F941" s="2">
        <f>IFERROR(__xludf.DUMMYFUNCTION("""COMPUTED_VALUE"""),4.50262E7)</f>
        <v>45026200</v>
      </c>
      <c r="G941" s="2">
        <f t="shared" si="1"/>
        <v>100</v>
      </c>
    </row>
    <row r="942" ht="15.75" customHeight="1">
      <c r="A942" s="1">
        <f>IFERROR(__xludf.DUMMYFUNCTION("""COMPUTED_VALUE"""),45240.66666666667)</f>
        <v>45240.66667</v>
      </c>
      <c r="B942" s="2">
        <f>IFERROR(__xludf.DUMMYFUNCTION("""COMPUTED_VALUE"""),5850.0)</f>
        <v>5850</v>
      </c>
      <c r="C942" s="2">
        <f>IFERROR(__xludf.DUMMYFUNCTION("""COMPUTED_VALUE"""),5850.0)</f>
        <v>5850</v>
      </c>
      <c r="D942" s="2">
        <f>IFERROR(__xludf.DUMMYFUNCTION("""COMPUTED_VALUE"""),5775.0)</f>
        <v>5775</v>
      </c>
      <c r="E942" s="2">
        <f>IFERROR(__xludf.DUMMYFUNCTION("""COMPUTED_VALUE"""),5775.0)</f>
        <v>5775</v>
      </c>
      <c r="F942" s="2">
        <f>IFERROR(__xludf.DUMMYFUNCTION("""COMPUTED_VALUE"""),5.96115E7)</f>
        <v>59611500</v>
      </c>
      <c r="G942" s="2">
        <f t="shared" si="1"/>
        <v>100</v>
      </c>
    </row>
    <row r="943" ht="15.75" customHeight="1">
      <c r="A943" s="1">
        <f>IFERROR(__xludf.DUMMYFUNCTION("""COMPUTED_VALUE"""),45243.66666666667)</f>
        <v>45243.66667</v>
      </c>
      <c r="B943" s="2">
        <f>IFERROR(__xludf.DUMMYFUNCTION("""COMPUTED_VALUE"""),5850.0)</f>
        <v>5850</v>
      </c>
      <c r="C943" s="2">
        <f>IFERROR(__xludf.DUMMYFUNCTION("""COMPUTED_VALUE"""),5850.0)</f>
        <v>5850</v>
      </c>
      <c r="D943" s="2">
        <f>IFERROR(__xludf.DUMMYFUNCTION("""COMPUTED_VALUE"""),5800.0)</f>
        <v>5800</v>
      </c>
      <c r="E943" s="2">
        <f>IFERROR(__xludf.DUMMYFUNCTION("""COMPUTED_VALUE"""),5825.0)</f>
        <v>5825</v>
      </c>
      <c r="F943" s="2">
        <f>IFERROR(__xludf.DUMMYFUNCTION("""COMPUTED_VALUE"""),1.74446E7)</f>
        <v>17444600</v>
      </c>
      <c r="G943" s="2">
        <f t="shared" si="1"/>
        <v>75</v>
      </c>
    </row>
    <row r="944" ht="15.75" customHeight="1">
      <c r="A944" s="1">
        <f>IFERROR(__xludf.DUMMYFUNCTION("""COMPUTED_VALUE"""),45244.66666666667)</f>
        <v>45244.66667</v>
      </c>
      <c r="B944" s="2">
        <f>IFERROR(__xludf.DUMMYFUNCTION("""COMPUTED_VALUE"""),5825.0)</f>
        <v>5825</v>
      </c>
      <c r="C944" s="2">
        <f>IFERROR(__xludf.DUMMYFUNCTION("""COMPUTED_VALUE"""),5900.0)</f>
        <v>5900</v>
      </c>
      <c r="D944" s="2">
        <f>IFERROR(__xludf.DUMMYFUNCTION("""COMPUTED_VALUE"""),5800.0)</f>
        <v>5800</v>
      </c>
      <c r="E944" s="2">
        <f>IFERROR(__xludf.DUMMYFUNCTION("""COMPUTED_VALUE"""),5825.0)</f>
        <v>5825</v>
      </c>
      <c r="F944" s="2">
        <f>IFERROR(__xludf.DUMMYFUNCTION("""COMPUTED_VALUE"""),5.05878E7)</f>
        <v>50587800</v>
      </c>
      <c r="G944" s="2">
        <f t="shared" si="1"/>
        <v>100</v>
      </c>
    </row>
    <row r="945" ht="15.75" customHeight="1">
      <c r="A945" s="1">
        <f>IFERROR(__xludf.DUMMYFUNCTION("""COMPUTED_VALUE"""),45245.66666666667)</f>
        <v>45245.66667</v>
      </c>
      <c r="B945" s="2">
        <f>IFERROR(__xludf.DUMMYFUNCTION("""COMPUTED_VALUE"""),5900.0)</f>
        <v>5900</v>
      </c>
      <c r="C945" s="2">
        <f>IFERROR(__xludf.DUMMYFUNCTION("""COMPUTED_VALUE"""),5975.0)</f>
        <v>5975</v>
      </c>
      <c r="D945" s="2">
        <f>IFERROR(__xludf.DUMMYFUNCTION("""COMPUTED_VALUE"""),5875.0)</f>
        <v>5875</v>
      </c>
      <c r="E945" s="2">
        <f>IFERROR(__xludf.DUMMYFUNCTION("""COMPUTED_VALUE"""),5925.0)</f>
        <v>5925</v>
      </c>
      <c r="F945" s="2">
        <f>IFERROR(__xludf.DUMMYFUNCTION("""COMPUTED_VALUE"""),7.42557E7)</f>
        <v>74255700</v>
      </c>
      <c r="G945" s="2">
        <f t="shared" si="1"/>
        <v>150</v>
      </c>
    </row>
    <row r="946" ht="15.75" customHeight="1">
      <c r="A946" s="1">
        <f>IFERROR(__xludf.DUMMYFUNCTION("""COMPUTED_VALUE"""),45246.66666666667)</f>
        <v>45246.66667</v>
      </c>
      <c r="B946" s="2">
        <f>IFERROR(__xludf.DUMMYFUNCTION("""COMPUTED_VALUE"""),5850.0)</f>
        <v>5850</v>
      </c>
      <c r="C946" s="2">
        <f>IFERROR(__xludf.DUMMYFUNCTION("""COMPUTED_VALUE"""),5925.0)</f>
        <v>5925</v>
      </c>
      <c r="D946" s="2">
        <f>IFERROR(__xludf.DUMMYFUNCTION("""COMPUTED_VALUE"""),5825.0)</f>
        <v>5825</v>
      </c>
      <c r="E946" s="2">
        <f>IFERROR(__xludf.DUMMYFUNCTION("""COMPUTED_VALUE"""),5925.0)</f>
        <v>5925</v>
      </c>
      <c r="F946" s="2">
        <f>IFERROR(__xludf.DUMMYFUNCTION("""COMPUTED_VALUE"""),3.60045E7)</f>
        <v>36004500</v>
      </c>
      <c r="G946" s="2">
        <f t="shared" si="1"/>
        <v>100</v>
      </c>
    </row>
    <row r="947" ht="15.75" customHeight="1">
      <c r="A947" s="1">
        <f>IFERROR(__xludf.DUMMYFUNCTION("""COMPUTED_VALUE"""),45247.66666666667)</f>
        <v>45247.66667</v>
      </c>
      <c r="B947" s="2">
        <f>IFERROR(__xludf.DUMMYFUNCTION("""COMPUTED_VALUE"""),5875.0)</f>
        <v>5875</v>
      </c>
      <c r="C947" s="2">
        <f>IFERROR(__xludf.DUMMYFUNCTION("""COMPUTED_VALUE"""),5950.0)</f>
        <v>5950</v>
      </c>
      <c r="D947" s="2">
        <f>IFERROR(__xludf.DUMMYFUNCTION("""COMPUTED_VALUE"""),5850.0)</f>
        <v>5850</v>
      </c>
      <c r="E947" s="2">
        <f>IFERROR(__xludf.DUMMYFUNCTION("""COMPUTED_VALUE"""),5900.0)</f>
        <v>5900</v>
      </c>
      <c r="F947" s="2">
        <f>IFERROR(__xludf.DUMMYFUNCTION("""COMPUTED_VALUE"""),3.39639E7)</f>
        <v>33963900</v>
      </c>
      <c r="G947" s="2">
        <f t="shared" si="1"/>
        <v>100</v>
      </c>
    </row>
    <row r="948" ht="15.75" customHeight="1">
      <c r="A948" s="1">
        <f>IFERROR(__xludf.DUMMYFUNCTION("""COMPUTED_VALUE"""),45250.66666666667)</f>
        <v>45250.66667</v>
      </c>
      <c r="B948" s="2">
        <f>IFERROR(__xludf.DUMMYFUNCTION("""COMPUTED_VALUE"""),5825.0)</f>
        <v>5825</v>
      </c>
      <c r="C948" s="2">
        <f>IFERROR(__xludf.DUMMYFUNCTION("""COMPUTED_VALUE"""),5925.0)</f>
        <v>5925</v>
      </c>
      <c r="D948" s="2">
        <f>IFERROR(__xludf.DUMMYFUNCTION("""COMPUTED_VALUE"""),5825.0)</f>
        <v>5825</v>
      </c>
      <c r="E948" s="2">
        <f>IFERROR(__xludf.DUMMYFUNCTION("""COMPUTED_VALUE"""),5875.0)</f>
        <v>5875</v>
      </c>
      <c r="F948" s="2">
        <f>IFERROR(__xludf.DUMMYFUNCTION("""COMPUTED_VALUE"""),2.00146E7)</f>
        <v>20014600</v>
      </c>
      <c r="G948" s="2">
        <f t="shared" si="1"/>
        <v>100</v>
      </c>
    </row>
    <row r="949" ht="15.75" customHeight="1">
      <c r="A949" s="1">
        <f>IFERROR(__xludf.DUMMYFUNCTION("""COMPUTED_VALUE"""),45251.66666666667)</f>
        <v>45251.66667</v>
      </c>
      <c r="B949" s="2">
        <f>IFERROR(__xludf.DUMMYFUNCTION("""COMPUTED_VALUE"""),5850.0)</f>
        <v>5850</v>
      </c>
      <c r="C949" s="2">
        <f>IFERROR(__xludf.DUMMYFUNCTION("""COMPUTED_VALUE"""),5925.0)</f>
        <v>5925</v>
      </c>
      <c r="D949" s="2">
        <f>IFERROR(__xludf.DUMMYFUNCTION("""COMPUTED_VALUE"""),5825.0)</f>
        <v>5825</v>
      </c>
      <c r="E949" s="2">
        <f>IFERROR(__xludf.DUMMYFUNCTION("""COMPUTED_VALUE"""),5875.0)</f>
        <v>5875</v>
      </c>
      <c r="F949" s="2">
        <f>IFERROR(__xludf.DUMMYFUNCTION("""COMPUTED_VALUE"""),5.50943E7)</f>
        <v>55094300</v>
      </c>
      <c r="G949" s="2">
        <f t="shared" si="1"/>
        <v>100</v>
      </c>
    </row>
    <row r="950" ht="15.75" customHeight="1">
      <c r="A950" s="1">
        <f>IFERROR(__xludf.DUMMYFUNCTION("""COMPUTED_VALUE"""),45252.66666666667)</f>
        <v>45252.66667</v>
      </c>
      <c r="B950" s="2">
        <f>IFERROR(__xludf.DUMMYFUNCTION("""COMPUTED_VALUE"""),5825.0)</f>
        <v>5825</v>
      </c>
      <c r="C950" s="2">
        <f>IFERROR(__xludf.DUMMYFUNCTION("""COMPUTED_VALUE"""),5900.0)</f>
        <v>5900</v>
      </c>
      <c r="D950" s="2">
        <f>IFERROR(__xludf.DUMMYFUNCTION("""COMPUTED_VALUE"""),5825.0)</f>
        <v>5825</v>
      </c>
      <c r="E950" s="2">
        <f>IFERROR(__xludf.DUMMYFUNCTION("""COMPUTED_VALUE"""),5875.0)</f>
        <v>5875</v>
      </c>
      <c r="F950" s="2">
        <f>IFERROR(__xludf.DUMMYFUNCTION("""COMPUTED_VALUE"""),2.11111E7)</f>
        <v>21111100</v>
      </c>
      <c r="G950" s="2">
        <f t="shared" si="1"/>
        <v>75</v>
      </c>
    </row>
    <row r="951" ht="15.75" customHeight="1">
      <c r="A951" s="1">
        <f>IFERROR(__xludf.DUMMYFUNCTION("""COMPUTED_VALUE"""),45253.66666666667)</f>
        <v>45253.66667</v>
      </c>
      <c r="B951" s="2">
        <f>IFERROR(__xludf.DUMMYFUNCTION("""COMPUTED_VALUE"""),5950.0)</f>
        <v>5950</v>
      </c>
      <c r="C951" s="2">
        <f>IFERROR(__xludf.DUMMYFUNCTION("""COMPUTED_VALUE"""),5950.0)</f>
        <v>5950</v>
      </c>
      <c r="D951" s="2">
        <f>IFERROR(__xludf.DUMMYFUNCTION("""COMPUTED_VALUE"""),5900.0)</f>
        <v>5900</v>
      </c>
      <c r="E951" s="2">
        <f>IFERROR(__xludf.DUMMYFUNCTION("""COMPUTED_VALUE"""),5900.0)</f>
        <v>5900</v>
      </c>
      <c r="F951" s="2">
        <f>IFERROR(__xludf.DUMMYFUNCTION("""COMPUTED_VALUE"""),3.67256E7)</f>
        <v>36725600</v>
      </c>
      <c r="G951" s="2">
        <f t="shared" si="1"/>
        <v>75</v>
      </c>
    </row>
    <row r="952" ht="15.75" customHeight="1">
      <c r="A952" s="1">
        <f>IFERROR(__xludf.DUMMYFUNCTION("""COMPUTED_VALUE"""),45254.66666666667)</f>
        <v>45254.66667</v>
      </c>
      <c r="B952" s="2">
        <f>IFERROR(__xludf.DUMMYFUNCTION("""COMPUTED_VALUE"""),5925.0)</f>
        <v>5925</v>
      </c>
      <c r="C952" s="2">
        <f>IFERROR(__xludf.DUMMYFUNCTION("""COMPUTED_VALUE"""),5925.0)</f>
        <v>5925</v>
      </c>
      <c r="D952" s="2">
        <f>IFERROR(__xludf.DUMMYFUNCTION("""COMPUTED_VALUE"""),5850.0)</f>
        <v>5850</v>
      </c>
      <c r="E952" s="2">
        <f>IFERROR(__xludf.DUMMYFUNCTION("""COMPUTED_VALUE"""),5875.0)</f>
        <v>5875</v>
      </c>
      <c r="F952" s="2">
        <f>IFERROR(__xludf.DUMMYFUNCTION("""COMPUTED_VALUE"""),2.70879E7)</f>
        <v>27087900</v>
      </c>
      <c r="G952" s="2">
        <f t="shared" si="1"/>
        <v>75</v>
      </c>
    </row>
    <row r="953" ht="15.75" customHeight="1">
      <c r="A953" s="1">
        <f>IFERROR(__xludf.DUMMYFUNCTION("""COMPUTED_VALUE"""),45257.66666666667)</f>
        <v>45257.66667</v>
      </c>
      <c r="B953" s="2">
        <f>IFERROR(__xludf.DUMMYFUNCTION("""COMPUTED_VALUE"""),5900.0)</f>
        <v>5900</v>
      </c>
      <c r="C953" s="2">
        <f>IFERROR(__xludf.DUMMYFUNCTION("""COMPUTED_VALUE"""),5925.0)</f>
        <v>5925</v>
      </c>
      <c r="D953" s="2">
        <f>IFERROR(__xludf.DUMMYFUNCTION("""COMPUTED_VALUE"""),5875.0)</f>
        <v>5875</v>
      </c>
      <c r="E953" s="2">
        <f>IFERROR(__xludf.DUMMYFUNCTION("""COMPUTED_VALUE"""),5900.0)</f>
        <v>5900</v>
      </c>
      <c r="F953" s="2">
        <f>IFERROR(__xludf.DUMMYFUNCTION("""COMPUTED_VALUE"""),3.97193E7)</f>
        <v>39719300</v>
      </c>
      <c r="G953" s="2">
        <f t="shared" si="1"/>
        <v>50</v>
      </c>
    </row>
    <row r="954" ht="15.75" customHeight="1">
      <c r="A954" s="1">
        <f>IFERROR(__xludf.DUMMYFUNCTION("""COMPUTED_VALUE"""),45258.66666666667)</f>
        <v>45258.66667</v>
      </c>
      <c r="B954" s="2">
        <f>IFERROR(__xludf.DUMMYFUNCTION("""COMPUTED_VALUE"""),5900.0)</f>
        <v>5900</v>
      </c>
      <c r="C954" s="2">
        <f>IFERROR(__xludf.DUMMYFUNCTION("""COMPUTED_VALUE"""),5925.0)</f>
        <v>5925</v>
      </c>
      <c r="D954" s="2">
        <f>IFERROR(__xludf.DUMMYFUNCTION("""COMPUTED_VALUE"""),5875.0)</f>
        <v>5875</v>
      </c>
      <c r="E954" s="2">
        <f>IFERROR(__xludf.DUMMYFUNCTION("""COMPUTED_VALUE"""),5900.0)</f>
        <v>5900</v>
      </c>
      <c r="F954" s="2">
        <f>IFERROR(__xludf.DUMMYFUNCTION("""COMPUTED_VALUE"""),5.82558E7)</f>
        <v>58255800</v>
      </c>
      <c r="G954" s="2">
        <f t="shared" si="1"/>
        <v>50</v>
      </c>
    </row>
    <row r="955" ht="15.75" customHeight="1">
      <c r="A955" s="1">
        <f>IFERROR(__xludf.DUMMYFUNCTION("""COMPUTED_VALUE"""),45259.66666666667)</f>
        <v>45259.66667</v>
      </c>
      <c r="B955" s="2">
        <f>IFERROR(__xludf.DUMMYFUNCTION("""COMPUTED_VALUE"""),5850.0)</f>
        <v>5850</v>
      </c>
      <c r="C955" s="2">
        <f>IFERROR(__xludf.DUMMYFUNCTION("""COMPUTED_VALUE"""),5925.0)</f>
        <v>5925</v>
      </c>
      <c r="D955" s="2">
        <f>IFERROR(__xludf.DUMMYFUNCTION("""COMPUTED_VALUE"""),5825.0)</f>
        <v>5825</v>
      </c>
      <c r="E955" s="2">
        <f>IFERROR(__xludf.DUMMYFUNCTION("""COMPUTED_VALUE"""),5850.0)</f>
        <v>5850</v>
      </c>
      <c r="F955" s="2">
        <f>IFERROR(__xludf.DUMMYFUNCTION("""COMPUTED_VALUE"""),3.67966E7)</f>
        <v>36796600</v>
      </c>
      <c r="G955" s="2">
        <f t="shared" si="1"/>
        <v>100</v>
      </c>
    </row>
    <row r="956" ht="15.75" customHeight="1">
      <c r="A956" s="1">
        <f>IFERROR(__xludf.DUMMYFUNCTION("""COMPUTED_VALUE"""),45260.66666666667)</f>
        <v>45260.66667</v>
      </c>
      <c r="B956" s="2">
        <f>IFERROR(__xludf.DUMMYFUNCTION("""COMPUTED_VALUE"""),5850.0)</f>
        <v>5850</v>
      </c>
      <c r="C956" s="2">
        <f>IFERROR(__xludf.DUMMYFUNCTION("""COMPUTED_VALUE"""),5925.0)</f>
        <v>5925</v>
      </c>
      <c r="D956" s="2">
        <f>IFERROR(__xludf.DUMMYFUNCTION("""COMPUTED_VALUE"""),5825.0)</f>
        <v>5825</v>
      </c>
      <c r="E956" s="2">
        <f>IFERROR(__xludf.DUMMYFUNCTION("""COMPUTED_VALUE"""),5850.0)</f>
        <v>5850</v>
      </c>
      <c r="F956" s="2">
        <f>IFERROR(__xludf.DUMMYFUNCTION("""COMPUTED_VALUE"""),1.17365E8)</f>
        <v>117365000</v>
      </c>
      <c r="G956" s="2">
        <f t="shared" si="1"/>
        <v>100</v>
      </c>
    </row>
    <row r="957" ht="15.75" customHeight="1">
      <c r="A957" s="1">
        <f>IFERROR(__xludf.DUMMYFUNCTION("""COMPUTED_VALUE"""),45261.66666666667)</f>
        <v>45261.66667</v>
      </c>
      <c r="B957" s="2">
        <f>IFERROR(__xludf.DUMMYFUNCTION("""COMPUTED_VALUE"""),5850.0)</f>
        <v>5850</v>
      </c>
      <c r="C957" s="2">
        <f>IFERROR(__xludf.DUMMYFUNCTION("""COMPUTED_VALUE"""),5900.0)</f>
        <v>5900</v>
      </c>
      <c r="D957" s="2">
        <f>IFERROR(__xludf.DUMMYFUNCTION("""COMPUTED_VALUE"""),5825.0)</f>
        <v>5825</v>
      </c>
      <c r="E957" s="2">
        <f>IFERROR(__xludf.DUMMYFUNCTION("""COMPUTED_VALUE"""),5900.0)</f>
        <v>5900</v>
      </c>
      <c r="F957" s="2">
        <f>IFERROR(__xludf.DUMMYFUNCTION("""COMPUTED_VALUE"""),3.13651E7)</f>
        <v>31365100</v>
      </c>
      <c r="G957" s="2">
        <f t="shared" si="1"/>
        <v>75</v>
      </c>
    </row>
    <row r="958" ht="15.75" customHeight="1">
      <c r="A958" s="1">
        <f>IFERROR(__xludf.DUMMYFUNCTION("""COMPUTED_VALUE"""),45264.66666666667)</f>
        <v>45264.66667</v>
      </c>
      <c r="B958" s="2">
        <f>IFERROR(__xludf.DUMMYFUNCTION("""COMPUTED_VALUE"""),5925.0)</f>
        <v>5925</v>
      </c>
      <c r="C958" s="2">
        <f>IFERROR(__xludf.DUMMYFUNCTION("""COMPUTED_VALUE"""),6025.0)</f>
        <v>6025</v>
      </c>
      <c r="D958" s="2">
        <f>IFERROR(__xludf.DUMMYFUNCTION("""COMPUTED_VALUE"""),5900.0)</f>
        <v>5900</v>
      </c>
      <c r="E958" s="2">
        <f>IFERROR(__xludf.DUMMYFUNCTION("""COMPUTED_VALUE"""),6000.0)</f>
        <v>6000</v>
      </c>
      <c r="F958" s="2">
        <f>IFERROR(__xludf.DUMMYFUNCTION("""COMPUTED_VALUE"""),6.61451E7)</f>
        <v>66145100</v>
      </c>
      <c r="G958" s="2">
        <f t="shared" si="1"/>
        <v>125</v>
      </c>
    </row>
    <row r="959" ht="15.75" customHeight="1">
      <c r="A959" s="1">
        <f>IFERROR(__xludf.DUMMYFUNCTION("""COMPUTED_VALUE"""),45265.66666666667)</f>
        <v>45265.66667</v>
      </c>
      <c r="B959" s="2">
        <f>IFERROR(__xludf.DUMMYFUNCTION("""COMPUTED_VALUE"""),6000.0)</f>
        <v>6000</v>
      </c>
      <c r="C959" s="2">
        <f>IFERROR(__xludf.DUMMYFUNCTION("""COMPUTED_VALUE"""),6000.0)</f>
        <v>6000</v>
      </c>
      <c r="D959" s="2">
        <f>IFERROR(__xludf.DUMMYFUNCTION("""COMPUTED_VALUE"""),5875.0)</f>
        <v>5875</v>
      </c>
      <c r="E959" s="2">
        <f>IFERROR(__xludf.DUMMYFUNCTION("""COMPUTED_VALUE"""),5975.0)</f>
        <v>5975</v>
      </c>
      <c r="F959" s="2">
        <f>IFERROR(__xludf.DUMMYFUNCTION("""COMPUTED_VALUE"""),5.86684E7)</f>
        <v>58668400</v>
      </c>
      <c r="G959" s="2">
        <f t="shared" si="1"/>
        <v>125</v>
      </c>
    </row>
    <row r="960" ht="15.75" customHeight="1">
      <c r="A960" s="1">
        <f>IFERROR(__xludf.DUMMYFUNCTION("""COMPUTED_VALUE"""),45266.66666666667)</f>
        <v>45266.66667</v>
      </c>
      <c r="B960" s="2">
        <f>IFERROR(__xludf.DUMMYFUNCTION("""COMPUTED_VALUE"""),5925.0)</f>
        <v>5925</v>
      </c>
      <c r="C960" s="2">
        <f>IFERROR(__xludf.DUMMYFUNCTION("""COMPUTED_VALUE"""),5950.0)</f>
        <v>5950</v>
      </c>
      <c r="D960" s="2">
        <f>IFERROR(__xludf.DUMMYFUNCTION("""COMPUTED_VALUE"""),5800.0)</f>
        <v>5800</v>
      </c>
      <c r="E960" s="2">
        <f>IFERROR(__xludf.DUMMYFUNCTION("""COMPUTED_VALUE"""),5800.0)</f>
        <v>5800</v>
      </c>
      <c r="F960" s="2">
        <f>IFERROR(__xludf.DUMMYFUNCTION("""COMPUTED_VALUE"""),8.87472E7)</f>
        <v>88747200</v>
      </c>
      <c r="G960" s="2">
        <f t="shared" si="1"/>
        <v>175</v>
      </c>
    </row>
    <row r="961" ht="15.75" customHeight="1">
      <c r="A961" s="1">
        <f>IFERROR(__xludf.DUMMYFUNCTION("""COMPUTED_VALUE"""),45267.66666666667)</f>
        <v>45267.66667</v>
      </c>
      <c r="B961" s="2">
        <f>IFERROR(__xludf.DUMMYFUNCTION("""COMPUTED_VALUE"""),5800.0)</f>
        <v>5800</v>
      </c>
      <c r="C961" s="2">
        <f>IFERROR(__xludf.DUMMYFUNCTION("""COMPUTED_VALUE"""),5825.0)</f>
        <v>5825</v>
      </c>
      <c r="D961" s="2">
        <f>IFERROR(__xludf.DUMMYFUNCTION("""COMPUTED_VALUE"""),5725.0)</f>
        <v>5725</v>
      </c>
      <c r="E961" s="2">
        <f>IFERROR(__xludf.DUMMYFUNCTION("""COMPUTED_VALUE"""),5750.0)</f>
        <v>5750</v>
      </c>
      <c r="F961" s="2">
        <f>IFERROR(__xludf.DUMMYFUNCTION("""COMPUTED_VALUE"""),9.79667E7)</f>
        <v>97966700</v>
      </c>
      <c r="G961" s="2">
        <f t="shared" si="1"/>
        <v>100</v>
      </c>
    </row>
    <row r="962" ht="15.75" customHeight="1">
      <c r="A962" s="1">
        <f>IFERROR(__xludf.DUMMYFUNCTION("""COMPUTED_VALUE"""),45268.66666666667)</f>
        <v>45268.66667</v>
      </c>
      <c r="B962" s="2">
        <f>IFERROR(__xludf.DUMMYFUNCTION("""COMPUTED_VALUE"""),5750.0)</f>
        <v>5750</v>
      </c>
      <c r="C962" s="2">
        <f>IFERROR(__xludf.DUMMYFUNCTION("""COMPUTED_VALUE"""),5775.0)</f>
        <v>5775</v>
      </c>
      <c r="D962" s="2">
        <f>IFERROR(__xludf.DUMMYFUNCTION("""COMPUTED_VALUE"""),5650.0)</f>
        <v>5650</v>
      </c>
      <c r="E962" s="2">
        <f>IFERROR(__xludf.DUMMYFUNCTION("""COMPUTED_VALUE"""),5700.0)</f>
        <v>5700</v>
      </c>
      <c r="F962" s="2">
        <f>IFERROR(__xludf.DUMMYFUNCTION("""COMPUTED_VALUE"""),9.80367E7)</f>
        <v>98036700</v>
      </c>
      <c r="G962" s="2">
        <f t="shared" si="1"/>
        <v>125</v>
      </c>
    </row>
    <row r="963" ht="15.75" customHeight="1">
      <c r="A963" s="1">
        <f>IFERROR(__xludf.DUMMYFUNCTION("""COMPUTED_VALUE"""),45271.66666666667)</f>
        <v>45271.66667</v>
      </c>
      <c r="B963" s="2">
        <f>IFERROR(__xludf.DUMMYFUNCTION("""COMPUTED_VALUE"""),5650.0)</f>
        <v>5650</v>
      </c>
      <c r="C963" s="2">
        <f>IFERROR(__xludf.DUMMYFUNCTION("""COMPUTED_VALUE"""),5800.0)</f>
        <v>5800</v>
      </c>
      <c r="D963" s="2">
        <f>IFERROR(__xludf.DUMMYFUNCTION("""COMPUTED_VALUE"""),5650.0)</f>
        <v>5650</v>
      </c>
      <c r="E963" s="2">
        <f>IFERROR(__xludf.DUMMYFUNCTION("""COMPUTED_VALUE"""),5775.0)</f>
        <v>5775</v>
      </c>
      <c r="F963" s="2">
        <f>IFERROR(__xludf.DUMMYFUNCTION("""COMPUTED_VALUE"""),6.8655E7)</f>
        <v>68655000</v>
      </c>
      <c r="G963" s="2">
        <f t="shared" si="1"/>
        <v>150</v>
      </c>
    </row>
    <row r="964" ht="15.75" customHeight="1">
      <c r="A964" s="1">
        <f>IFERROR(__xludf.DUMMYFUNCTION("""COMPUTED_VALUE"""),45272.66666666667)</f>
        <v>45272.66667</v>
      </c>
      <c r="B964" s="2">
        <f>IFERROR(__xludf.DUMMYFUNCTION("""COMPUTED_VALUE"""),5800.0)</f>
        <v>5800</v>
      </c>
      <c r="C964" s="2">
        <f>IFERROR(__xludf.DUMMYFUNCTION("""COMPUTED_VALUE"""),5825.0)</f>
        <v>5825</v>
      </c>
      <c r="D964" s="2">
        <f>IFERROR(__xludf.DUMMYFUNCTION("""COMPUTED_VALUE"""),5750.0)</f>
        <v>5750</v>
      </c>
      <c r="E964" s="2">
        <f>IFERROR(__xludf.DUMMYFUNCTION("""COMPUTED_VALUE"""),5800.0)</f>
        <v>5800</v>
      </c>
      <c r="F964" s="2">
        <f>IFERROR(__xludf.DUMMYFUNCTION("""COMPUTED_VALUE"""),5.51105E7)</f>
        <v>55110500</v>
      </c>
      <c r="G964" s="2">
        <f t="shared" si="1"/>
        <v>75</v>
      </c>
    </row>
    <row r="965" ht="15.75" customHeight="1">
      <c r="A965" s="1">
        <f>IFERROR(__xludf.DUMMYFUNCTION("""COMPUTED_VALUE"""),45273.66666666667)</f>
        <v>45273.66667</v>
      </c>
      <c r="B965" s="2">
        <f>IFERROR(__xludf.DUMMYFUNCTION("""COMPUTED_VALUE"""),5750.0)</f>
        <v>5750</v>
      </c>
      <c r="C965" s="2">
        <f>IFERROR(__xludf.DUMMYFUNCTION("""COMPUTED_VALUE"""),5775.0)</f>
        <v>5775</v>
      </c>
      <c r="D965" s="2">
        <f>IFERROR(__xludf.DUMMYFUNCTION("""COMPUTED_VALUE"""),5700.0)</f>
        <v>5700</v>
      </c>
      <c r="E965" s="2">
        <f>IFERROR(__xludf.DUMMYFUNCTION("""COMPUTED_VALUE"""),5725.0)</f>
        <v>5725</v>
      </c>
      <c r="F965" s="2">
        <f>IFERROR(__xludf.DUMMYFUNCTION("""COMPUTED_VALUE"""),1.214506E8)</f>
        <v>121450600</v>
      </c>
      <c r="G965" s="2">
        <f t="shared" si="1"/>
        <v>100</v>
      </c>
    </row>
    <row r="966" ht="15.75" customHeight="1">
      <c r="A966" s="1">
        <f>IFERROR(__xludf.DUMMYFUNCTION("""COMPUTED_VALUE"""),45274.66666666667)</f>
        <v>45274.66667</v>
      </c>
      <c r="B966" s="2">
        <f>IFERROR(__xludf.DUMMYFUNCTION("""COMPUTED_VALUE"""),5825.0)</f>
        <v>5825</v>
      </c>
      <c r="C966" s="2">
        <f>IFERROR(__xludf.DUMMYFUNCTION("""COMPUTED_VALUE"""),6025.0)</f>
        <v>6025</v>
      </c>
      <c r="D966" s="2">
        <f>IFERROR(__xludf.DUMMYFUNCTION("""COMPUTED_VALUE"""),5800.0)</f>
        <v>5800</v>
      </c>
      <c r="E966" s="2">
        <f>IFERROR(__xludf.DUMMYFUNCTION("""COMPUTED_VALUE"""),5950.0)</f>
        <v>5950</v>
      </c>
      <c r="F966" s="2">
        <f>IFERROR(__xludf.DUMMYFUNCTION("""COMPUTED_VALUE"""),1.715958E8)</f>
        <v>171595800</v>
      </c>
      <c r="G966" s="2">
        <f t="shared" si="1"/>
        <v>300</v>
      </c>
    </row>
    <row r="967" ht="15.75" customHeight="1">
      <c r="A967" s="1">
        <f>IFERROR(__xludf.DUMMYFUNCTION("""COMPUTED_VALUE"""),45275.66666666667)</f>
        <v>45275.66667</v>
      </c>
      <c r="B967" s="2">
        <f>IFERROR(__xludf.DUMMYFUNCTION("""COMPUTED_VALUE"""),5950.0)</f>
        <v>5950</v>
      </c>
      <c r="C967" s="2">
        <f>IFERROR(__xludf.DUMMYFUNCTION("""COMPUTED_VALUE"""),6000.0)</f>
        <v>6000</v>
      </c>
      <c r="D967" s="2">
        <f>IFERROR(__xludf.DUMMYFUNCTION("""COMPUTED_VALUE"""),5900.0)</f>
        <v>5900</v>
      </c>
      <c r="E967" s="2">
        <f>IFERROR(__xludf.DUMMYFUNCTION("""COMPUTED_VALUE"""),5900.0)</f>
        <v>5900</v>
      </c>
      <c r="F967" s="2">
        <f>IFERROR(__xludf.DUMMYFUNCTION("""COMPUTED_VALUE"""),1.423822E8)</f>
        <v>142382200</v>
      </c>
      <c r="G967" s="2">
        <f t="shared" si="1"/>
        <v>100</v>
      </c>
    </row>
    <row r="968" ht="15.75" customHeight="1">
      <c r="A968" s="1">
        <f>IFERROR(__xludf.DUMMYFUNCTION("""COMPUTED_VALUE"""),45278.66666666667)</f>
        <v>45278.66667</v>
      </c>
      <c r="B968" s="2">
        <f>IFERROR(__xludf.DUMMYFUNCTION("""COMPUTED_VALUE"""),5850.0)</f>
        <v>5850</v>
      </c>
      <c r="C968" s="2">
        <f>IFERROR(__xludf.DUMMYFUNCTION("""COMPUTED_VALUE"""),5950.0)</f>
        <v>5950</v>
      </c>
      <c r="D968" s="2">
        <f>IFERROR(__xludf.DUMMYFUNCTION("""COMPUTED_VALUE"""),5850.0)</f>
        <v>5850</v>
      </c>
      <c r="E968" s="2">
        <f>IFERROR(__xludf.DUMMYFUNCTION("""COMPUTED_VALUE"""),5925.0)</f>
        <v>5925</v>
      </c>
      <c r="F968" s="2">
        <f>IFERROR(__xludf.DUMMYFUNCTION("""COMPUTED_VALUE"""),1.014586E8)</f>
        <v>101458600</v>
      </c>
      <c r="G968" s="2">
        <f t="shared" si="1"/>
        <v>100</v>
      </c>
    </row>
    <row r="969" ht="15.75" customHeight="1">
      <c r="A969" s="1">
        <f>IFERROR(__xludf.DUMMYFUNCTION("""COMPUTED_VALUE"""),45279.66666666667)</f>
        <v>45279.66667</v>
      </c>
      <c r="B969" s="2">
        <f>IFERROR(__xludf.DUMMYFUNCTION("""COMPUTED_VALUE"""),5950.0)</f>
        <v>5950</v>
      </c>
      <c r="C969" s="2">
        <f>IFERROR(__xludf.DUMMYFUNCTION("""COMPUTED_VALUE"""),5975.0)</f>
        <v>5975</v>
      </c>
      <c r="D969" s="2">
        <f>IFERROR(__xludf.DUMMYFUNCTION("""COMPUTED_VALUE"""),5925.0)</f>
        <v>5925</v>
      </c>
      <c r="E969" s="2">
        <f>IFERROR(__xludf.DUMMYFUNCTION("""COMPUTED_VALUE"""),5975.0)</f>
        <v>5975</v>
      </c>
      <c r="F969" s="2">
        <f>IFERROR(__xludf.DUMMYFUNCTION("""COMPUTED_VALUE"""),4.07632E7)</f>
        <v>40763200</v>
      </c>
      <c r="G969" s="2">
        <f t="shared" si="1"/>
        <v>50</v>
      </c>
    </row>
    <row r="970" ht="15.75" customHeight="1">
      <c r="A970" s="1">
        <f>IFERROR(__xludf.DUMMYFUNCTION("""COMPUTED_VALUE"""),45280.66666666667)</f>
        <v>45280.66667</v>
      </c>
      <c r="B970" s="2">
        <f>IFERROR(__xludf.DUMMYFUNCTION("""COMPUTED_VALUE"""),5900.0)</f>
        <v>5900</v>
      </c>
      <c r="C970" s="2">
        <f>IFERROR(__xludf.DUMMYFUNCTION("""COMPUTED_VALUE"""),5975.0)</f>
        <v>5975</v>
      </c>
      <c r="D970" s="2">
        <f>IFERROR(__xludf.DUMMYFUNCTION("""COMPUTED_VALUE"""),5900.0)</f>
        <v>5900</v>
      </c>
      <c r="E970" s="2">
        <f>IFERROR(__xludf.DUMMYFUNCTION("""COMPUTED_VALUE"""),5925.0)</f>
        <v>5925</v>
      </c>
      <c r="F970" s="2">
        <f>IFERROR(__xludf.DUMMYFUNCTION("""COMPUTED_VALUE"""),6.5361E7)</f>
        <v>65361000</v>
      </c>
      <c r="G970" s="2">
        <f t="shared" si="1"/>
        <v>75</v>
      </c>
    </row>
    <row r="971" ht="15.75" customHeight="1">
      <c r="A971" s="1">
        <f>IFERROR(__xludf.DUMMYFUNCTION("""COMPUTED_VALUE"""),45281.66666666667)</f>
        <v>45281.66667</v>
      </c>
      <c r="B971" s="2">
        <f>IFERROR(__xludf.DUMMYFUNCTION("""COMPUTED_VALUE"""),5950.0)</f>
        <v>5950</v>
      </c>
      <c r="C971" s="2">
        <f>IFERROR(__xludf.DUMMYFUNCTION("""COMPUTED_VALUE"""),5975.0)</f>
        <v>5975</v>
      </c>
      <c r="D971" s="2">
        <f>IFERROR(__xludf.DUMMYFUNCTION("""COMPUTED_VALUE"""),5925.0)</f>
        <v>5925</v>
      </c>
      <c r="E971" s="2">
        <f>IFERROR(__xludf.DUMMYFUNCTION("""COMPUTED_VALUE"""),5975.0)</f>
        <v>5975</v>
      </c>
      <c r="F971" s="2">
        <f>IFERROR(__xludf.DUMMYFUNCTION("""COMPUTED_VALUE"""),5.03639E7)</f>
        <v>50363900</v>
      </c>
      <c r="G971" s="2">
        <f t="shared" si="1"/>
        <v>50</v>
      </c>
    </row>
    <row r="972" ht="15.75" customHeight="1">
      <c r="A972" s="1">
        <f>IFERROR(__xludf.DUMMYFUNCTION("""COMPUTED_VALUE"""),45282.66666666667)</f>
        <v>45282.66667</v>
      </c>
      <c r="B972" s="2">
        <f>IFERROR(__xludf.DUMMYFUNCTION("""COMPUTED_VALUE"""),5950.0)</f>
        <v>5950</v>
      </c>
      <c r="C972" s="2">
        <f>IFERROR(__xludf.DUMMYFUNCTION("""COMPUTED_VALUE"""),5975.0)</f>
        <v>5975</v>
      </c>
      <c r="D972" s="2">
        <f>IFERROR(__xludf.DUMMYFUNCTION("""COMPUTED_VALUE"""),5925.0)</f>
        <v>5925</v>
      </c>
      <c r="E972" s="2">
        <f>IFERROR(__xludf.DUMMYFUNCTION("""COMPUTED_VALUE"""),5975.0)</f>
        <v>5975</v>
      </c>
      <c r="F972" s="2">
        <f>IFERROR(__xludf.DUMMYFUNCTION("""COMPUTED_VALUE"""),2.99756E7)</f>
        <v>29975600</v>
      </c>
      <c r="G972" s="2">
        <f t="shared" si="1"/>
        <v>50</v>
      </c>
    </row>
    <row r="973" ht="15.75" customHeight="1">
      <c r="A973" s="1">
        <f>IFERROR(__xludf.DUMMYFUNCTION("""COMPUTED_VALUE"""),45287.66666666667)</f>
        <v>45287.66667</v>
      </c>
      <c r="B973" s="2">
        <f>IFERROR(__xludf.DUMMYFUNCTION("""COMPUTED_VALUE"""),6000.0)</f>
        <v>6000</v>
      </c>
      <c r="C973" s="2">
        <f>IFERROR(__xludf.DUMMYFUNCTION("""COMPUTED_VALUE"""),6025.0)</f>
        <v>6025</v>
      </c>
      <c r="D973" s="2">
        <f>IFERROR(__xludf.DUMMYFUNCTION("""COMPUTED_VALUE"""),5925.0)</f>
        <v>5925</v>
      </c>
      <c r="E973" s="2">
        <f>IFERROR(__xludf.DUMMYFUNCTION("""COMPUTED_VALUE"""),6000.0)</f>
        <v>6000</v>
      </c>
      <c r="F973" s="2">
        <f>IFERROR(__xludf.DUMMYFUNCTION("""COMPUTED_VALUE"""),4.31149E7)</f>
        <v>43114900</v>
      </c>
      <c r="G973" s="2">
        <f t="shared" si="1"/>
        <v>100</v>
      </c>
    </row>
    <row r="974" ht="15.75" customHeight="1">
      <c r="A974" s="1">
        <f>IFERROR(__xludf.DUMMYFUNCTION("""COMPUTED_VALUE"""),45288.66666666667)</f>
        <v>45288.66667</v>
      </c>
      <c r="B974" s="2">
        <f>IFERROR(__xludf.DUMMYFUNCTION("""COMPUTED_VALUE"""),6050.0)</f>
        <v>6050</v>
      </c>
      <c r="C974" s="2">
        <f>IFERROR(__xludf.DUMMYFUNCTION("""COMPUTED_VALUE"""),6150.0)</f>
        <v>6150</v>
      </c>
      <c r="D974" s="2">
        <f>IFERROR(__xludf.DUMMYFUNCTION("""COMPUTED_VALUE"""),6000.0)</f>
        <v>6000</v>
      </c>
      <c r="E974" s="2">
        <f>IFERROR(__xludf.DUMMYFUNCTION("""COMPUTED_VALUE"""),6125.0)</f>
        <v>6125</v>
      </c>
      <c r="F974" s="2">
        <f>IFERROR(__xludf.DUMMYFUNCTION("""COMPUTED_VALUE"""),7.51187E7)</f>
        <v>75118700</v>
      </c>
      <c r="G974" s="2">
        <f t="shared" si="1"/>
        <v>150</v>
      </c>
    </row>
    <row r="975" ht="15.75" customHeight="1">
      <c r="A975" s="1">
        <f>IFERROR(__xludf.DUMMYFUNCTION("""COMPUTED_VALUE"""),45289.66666666667)</f>
        <v>45289.66667</v>
      </c>
      <c r="B975" s="2">
        <f>IFERROR(__xludf.DUMMYFUNCTION("""COMPUTED_VALUE"""),6125.0)</f>
        <v>6125</v>
      </c>
      <c r="C975" s="2">
        <f>IFERROR(__xludf.DUMMYFUNCTION("""COMPUTED_VALUE"""),6125.0)</f>
        <v>6125</v>
      </c>
      <c r="D975" s="2">
        <f>IFERROR(__xludf.DUMMYFUNCTION("""COMPUTED_VALUE"""),6000.0)</f>
        <v>6000</v>
      </c>
      <c r="E975" s="2">
        <f>IFERROR(__xludf.DUMMYFUNCTION("""COMPUTED_VALUE"""),6050.0)</f>
        <v>6050</v>
      </c>
      <c r="F975" s="2">
        <f>IFERROR(__xludf.DUMMYFUNCTION("""COMPUTED_VALUE"""),6.30971E7)</f>
        <v>63097100</v>
      </c>
      <c r="G975" s="2">
        <f t="shared" si="1"/>
        <v>125</v>
      </c>
    </row>
    <row r="976" ht="15.75" customHeight="1">
      <c r="A976" s="1">
        <f>IFERROR(__xludf.DUMMYFUNCTION("""COMPUTED_VALUE"""),45293.66666666667)</f>
        <v>45293.66667</v>
      </c>
      <c r="B976" s="2">
        <f>IFERROR(__xludf.DUMMYFUNCTION("""COMPUTED_VALUE"""),6050.0)</f>
        <v>6050</v>
      </c>
      <c r="C976" s="2">
        <f>IFERROR(__xludf.DUMMYFUNCTION("""COMPUTED_VALUE"""),6125.0)</f>
        <v>6125</v>
      </c>
      <c r="D976" s="2">
        <f>IFERROR(__xludf.DUMMYFUNCTION("""COMPUTED_VALUE"""),6025.0)</f>
        <v>6025</v>
      </c>
      <c r="E976" s="2">
        <f>IFERROR(__xludf.DUMMYFUNCTION("""COMPUTED_VALUE"""),6125.0)</f>
        <v>6125</v>
      </c>
      <c r="F976" s="2">
        <f>IFERROR(__xludf.DUMMYFUNCTION("""COMPUTED_VALUE"""),2.62357E7)</f>
        <v>26235700</v>
      </c>
      <c r="G976" s="2">
        <f t="shared" si="1"/>
        <v>100</v>
      </c>
    </row>
    <row r="977" ht="15.75" customHeight="1">
      <c r="A977" s="1">
        <f>IFERROR(__xludf.DUMMYFUNCTION("""COMPUTED_VALUE"""),45294.66666666667)</f>
        <v>45294.66667</v>
      </c>
      <c r="B977" s="2">
        <f>IFERROR(__xludf.DUMMYFUNCTION("""COMPUTED_VALUE"""),6100.0)</f>
        <v>6100</v>
      </c>
      <c r="C977" s="2">
        <f>IFERROR(__xludf.DUMMYFUNCTION("""COMPUTED_VALUE"""),6150.0)</f>
        <v>6150</v>
      </c>
      <c r="D977" s="2">
        <f>IFERROR(__xludf.DUMMYFUNCTION("""COMPUTED_VALUE"""),6050.0)</f>
        <v>6050</v>
      </c>
      <c r="E977" s="2">
        <f>IFERROR(__xludf.DUMMYFUNCTION("""COMPUTED_VALUE"""),6100.0)</f>
        <v>6100</v>
      </c>
      <c r="F977" s="2">
        <f>IFERROR(__xludf.DUMMYFUNCTION("""COMPUTED_VALUE"""),3.00539E7)</f>
        <v>30053900</v>
      </c>
      <c r="G977" s="2">
        <f t="shared" si="1"/>
        <v>100</v>
      </c>
    </row>
    <row r="978" ht="15.75" customHeight="1">
      <c r="A978" s="1">
        <f>IFERROR(__xludf.DUMMYFUNCTION("""COMPUTED_VALUE"""),45295.66666666667)</f>
        <v>45295.66667</v>
      </c>
      <c r="B978" s="2">
        <f>IFERROR(__xludf.DUMMYFUNCTION("""COMPUTED_VALUE"""),6125.0)</f>
        <v>6125</v>
      </c>
      <c r="C978" s="2">
        <f>IFERROR(__xludf.DUMMYFUNCTION("""COMPUTED_VALUE"""),6400.0)</f>
        <v>6400</v>
      </c>
      <c r="D978" s="2">
        <f>IFERROR(__xludf.DUMMYFUNCTION("""COMPUTED_VALUE"""),6100.0)</f>
        <v>6100</v>
      </c>
      <c r="E978" s="2">
        <f>IFERROR(__xludf.DUMMYFUNCTION("""COMPUTED_VALUE"""),6350.0)</f>
        <v>6350</v>
      </c>
      <c r="F978" s="2">
        <f>IFERROR(__xludf.DUMMYFUNCTION("""COMPUTED_VALUE"""),1.353445E8)</f>
        <v>135344500</v>
      </c>
      <c r="G978" s="2">
        <f t="shared" si="1"/>
        <v>300</v>
      </c>
    </row>
    <row r="979" ht="15.75" customHeight="1">
      <c r="A979" s="1">
        <f>IFERROR(__xludf.DUMMYFUNCTION("""COMPUTED_VALUE"""),45296.66666666667)</f>
        <v>45296.66667</v>
      </c>
      <c r="B979" s="2">
        <f>IFERROR(__xludf.DUMMYFUNCTION("""COMPUTED_VALUE"""),6400.0)</f>
        <v>6400</v>
      </c>
      <c r="C979" s="2">
        <f>IFERROR(__xludf.DUMMYFUNCTION("""COMPUTED_VALUE"""),6475.0)</f>
        <v>6475</v>
      </c>
      <c r="D979" s="2">
        <f>IFERROR(__xludf.DUMMYFUNCTION("""COMPUTED_VALUE"""),6350.0)</f>
        <v>6350</v>
      </c>
      <c r="E979" s="2">
        <f>IFERROR(__xludf.DUMMYFUNCTION("""COMPUTED_VALUE"""),6425.0)</f>
        <v>6425</v>
      </c>
      <c r="F979" s="2">
        <f>IFERROR(__xludf.DUMMYFUNCTION("""COMPUTED_VALUE"""),1.143394E8)</f>
        <v>114339400</v>
      </c>
      <c r="G979" s="2">
        <f t="shared" si="1"/>
        <v>125</v>
      </c>
    </row>
    <row r="980" ht="15.75" customHeight="1">
      <c r="A980" s="1">
        <f>IFERROR(__xludf.DUMMYFUNCTION("""COMPUTED_VALUE"""),45299.66666666667)</f>
        <v>45299.66667</v>
      </c>
      <c r="B980" s="2">
        <f>IFERROR(__xludf.DUMMYFUNCTION("""COMPUTED_VALUE"""),6500.0)</f>
        <v>6500</v>
      </c>
      <c r="C980" s="2">
        <f>IFERROR(__xludf.DUMMYFUNCTION("""COMPUTED_VALUE"""),6600.0)</f>
        <v>6600</v>
      </c>
      <c r="D980" s="2">
        <f>IFERROR(__xludf.DUMMYFUNCTION("""COMPUTED_VALUE"""),6375.0)</f>
        <v>6375</v>
      </c>
      <c r="E980" s="2">
        <f>IFERROR(__xludf.DUMMYFUNCTION("""COMPUTED_VALUE"""),6400.0)</f>
        <v>6400</v>
      </c>
      <c r="F980" s="2">
        <f>IFERROR(__xludf.DUMMYFUNCTION("""COMPUTED_VALUE"""),1.510183E8)</f>
        <v>151018300</v>
      </c>
      <c r="G980" s="2">
        <f t="shared" si="1"/>
        <v>225</v>
      </c>
    </row>
    <row r="981" ht="15.75" customHeight="1">
      <c r="A981" s="1">
        <f>IFERROR(__xludf.DUMMYFUNCTION("""COMPUTED_VALUE"""),45300.66666666667)</f>
        <v>45300.66667</v>
      </c>
      <c r="B981" s="2">
        <f>IFERROR(__xludf.DUMMYFUNCTION("""COMPUTED_VALUE"""),6425.0)</f>
        <v>6425</v>
      </c>
      <c r="C981" s="2">
        <f>IFERROR(__xludf.DUMMYFUNCTION("""COMPUTED_VALUE"""),6450.0)</f>
        <v>6450</v>
      </c>
      <c r="D981" s="2">
        <f>IFERROR(__xludf.DUMMYFUNCTION("""COMPUTED_VALUE"""),6350.0)</f>
        <v>6350</v>
      </c>
      <c r="E981" s="2">
        <f>IFERROR(__xludf.DUMMYFUNCTION("""COMPUTED_VALUE"""),6375.0)</f>
        <v>6375</v>
      </c>
      <c r="F981" s="2">
        <f>IFERROR(__xludf.DUMMYFUNCTION("""COMPUTED_VALUE"""),7.79534E7)</f>
        <v>77953400</v>
      </c>
      <c r="G981" s="2">
        <f t="shared" si="1"/>
        <v>100</v>
      </c>
    </row>
    <row r="982" ht="15.75" customHeight="1">
      <c r="A982" s="1">
        <f>IFERROR(__xludf.DUMMYFUNCTION("""COMPUTED_VALUE"""),45301.66666666667)</f>
        <v>45301.66667</v>
      </c>
      <c r="B982" s="2">
        <f>IFERROR(__xludf.DUMMYFUNCTION("""COMPUTED_VALUE"""),6375.0)</f>
        <v>6375</v>
      </c>
      <c r="C982" s="2">
        <f>IFERROR(__xludf.DUMMYFUNCTION("""COMPUTED_VALUE"""),6450.0)</f>
        <v>6450</v>
      </c>
      <c r="D982" s="2">
        <f>IFERROR(__xludf.DUMMYFUNCTION("""COMPUTED_VALUE"""),6325.0)</f>
        <v>6325</v>
      </c>
      <c r="E982" s="2">
        <f>IFERROR(__xludf.DUMMYFUNCTION("""COMPUTED_VALUE"""),6425.0)</f>
        <v>6425</v>
      </c>
      <c r="F982" s="2">
        <f>IFERROR(__xludf.DUMMYFUNCTION("""COMPUTED_VALUE"""),5.00198E7)</f>
        <v>50019800</v>
      </c>
      <c r="G982" s="2">
        <f t="shared" si="1"/>
        <v>125</v>
      </c>
    </row>
    <row r="983" ht="15.75" customHeight="1">
      <c r="A983" s="1">
        <f>IFERROR(__xludf.DUMMYFUNCTION("""COMPUTED_VALUE"""),45302.66666666667)</f>
        <v>45302.66667</v>
      </c>
      <c r="B983" s="2">
        <f>IFERROR(__xludf.DUMMYFUNCTION("""COMPUTED_VALUE"""),6425.0)</f>
        <v>6425</v>
      </c>
      <c r="C983" s="2">
        <f>IFERROR(__xludf.DUMMYFUNCTION("""COMPUTED_VALUE"""),6500.0)</f>
        <v>6500</v>
      </c>
      <c r="D983" s="2">
        <f>IFERROR(__xludf.DUMMYFUNCTION("""COMPUTED_VALUE"""),6400.0)</f>
        <v>6400</v>
      </c>
      <c r="E983" s="2">
        <f>IFERROR(__xludf.DUMMYFUNCTION("""COMPUTED_VALUE"""),6450.0)</f>
        <v>6450</v>
      </c>
      <c r="F983" s="2">
        <f>IFERROR(__xludf.DUMMYFUNCTION("""COMPUTED_VALUE"""),3.21202E7)</f>
        <v>32120200</v>
      </c>
      <c r="G983" s="2">
        <f t="shared" si="1"/>
        <v>100</v>
      </c>
    </row>
    <row r="984" ht="15.75" customHeight="1">
      <c r="A984" s="1">
        <f>IFERROR(__xludf.DUMMYFUNCTION("""COMPUTED_VALUE"""),45303.66666666667)</f>
        <v>45303.66667</v>
      </c>
      <c r="B984" s="2">
        <f>IFERROR(__xludf.DUMMYFUNCTION("""COMPUTED_VALUE"""),6575.0)</f>
        <v>6575</v>
      </c>
      <c r="C984" s="2">
        <f>IFERROR(__xludf.DUMMYFUNCTION("""COMPUTED_VALUE"""),6675.0)</f>
        <v>6675</v>
      </c>
      <c r="D984" s="2">
        <f>IFERROR(__xludf.DUMMYFUNCTION("""COMPUTED_VALUE"""),6525.0)</f>
        <v>6525</v>
      </c>
      <c r="E984" s="2">
        <f>IFERROR(__xludf.DUMMYFUNCTION("""COMPUTED_VALUE"""),6575.0)</f>
        <v>6575</v>
      </c>
      <c r="F984" s="2">
        <f>IFERROR(__xludf.DUMMYFUNCTION("""COMPUTED_VALUE"""),1.140397E8)</f>
        <v>114039700</v>
      </c>
      <c r="G984" s="2">
        <f t="shared" si="1"/>
        <v>225</v>
      </c>
    </row>
    <row r="985" ht="15.75" customHeight="1">
      <c r="A985" s="1">
        <f>IFERROR(__xludf.DUMMYFUNCTION("""COMPUTED_VALUE"""),45306.66666666667)</f>
        <v>45306.66667</v>
      </c>
      <c r="B985" s="2">
        <f>IFERROR(__xludf.DUMMYFUNCTION("""COMPUTED_VALUE"""),6575.0)</f>
        <v>6575</v>
      </c>
      <c r="C985" s="2">
        <f>IFERROR(__xludf.DUMMYFUNCTION("""COMPUTED_VALUE"""),6625.0)</f>
        <v>6625</v>
      </c>
      <c r="D985" s="2">
        <f>IFERROR(__xludf.DUMMYFUNCTION("""COMPUTED_VALUE"""),6475.0)</f>
        <v>6475</v>
      </c>
      <c r="E985" s="2">
        <f>IFERROR(__xludf.DUMMYFUNCTION("""COMPUTED_VALUE"""),6500.0)</f>
        <v>6500</v>
      </c>
      <c r="F985" s="2">
        <f>IFERROR(__xludf.DUMMYFUNCTION("""COMPUTED_VALUE"""),8.30668E7)</f>
        <v>83066800</v>
      </c>
      <c r="G985" s="2">
        <f t="shared" si="1"/>
        <v>150</v>
      </c>
    </row>
    <row r="986" ht="15.75" customHeight="1">
      <c r="A986" s="1">
        <f>IFERROR(__xludf.DUMMYFUNCTION("""COMPUTED_VALUE"""),45307.66666666667)</f>
        <v>45307.66667</v>
      </c>
      <c r="B986" s="2">
        <f>IFERROR(__xludf.DUMMYFUNCTION("""COMPUTED_VALUE"""),6525.0)</f>
        <v>6525</v>
      </c>
      <c r="C986" s="2">
        <f>IFERROR(__xludf.DUMMYFUNCTION("""COMPUTED_VALUE"""),6625.0)</f>
        <v>6625</v>
      </c>
      <c r="D986" s="2">
        <f>IFERROR(__xludf.DUMMYFUNCTION("""COMPUTED_VALUE"""),6500.0)</f>
        <v>6500</v>
      </c>
      <c r="E986" s="2">
        <f>IFERROR(__xludf.DUMMYFUNCTION("""COMPUTED_VALUE"""),6525.0)</f>
        <v>6525</v>
      </c>
      <c r="F986" s="2">
        <f>IFERROR(__xludf.DUMMYFUNCTION("""COMPUTED_VALUE"""),8.35168E7)</f>
        <v>83516800</v>
      </c>
      <c r="G986" s="2">
        <f t="shared" si="1"/>
        <v>125</v>
      </c>
    </row>
    <row r="987" ht="15.75" customHeight="1">
      <c r="A987" s="1">
        <f>IFERROR(__xludf.DUMMYFUNCTION("""COMPUTED_VALUE"""),45308.66666666667)</f>
        <v>45308.66667</v>
      </c>
      <c r="B987" s="2">
        <f>IFERROR(__xludf.DUMMYFUNCTION("""COMPUTED_VALUE"""),6525.0)</f>
        <v>6525</v>
      </c>
      <c r="C987" s="2">
        <f>IFERROR(__xludf.DUMMYFUNCTION("""COMPUTED_VALUE"""),6625.0)</f>
        <v>6625</v>
      </c>
      <c r="D987" s="2">
        <f>IFERROR(__xludf.DUMMYFUNCTION("""COMPUTED_VALUE"""),6500.0)</f>
        <v>6500</v>
      </c>
      <c r="E987" s="2">
        <f>IFERROR(__xludf.DUMMYFUNCTION("""COMPUTED_VALUE"""),6525.0)</f>
        <v>6525</v>
      </c>
      <c r="F987" s="2">
        <f>IFERROR(__xludf.DUMMYFUNCTION("""COMPUTED_VALUE"""),8.0929E7)</f>
        <v>80929000</v>
      </c>
      <c r="G987" s="2">
        <f t="shared" si="1"/>
        <v>125</v>
      </c>
    </row>
    <row r="988" ht="15.75" customHeight="1">
      <c r="A988" s="1">
        <f>IFERROR(__xludf.DUMMYFUNCTION("""COMPUTED_VALUE"""),45309.66666666667)</f>
        <v>45309.66667</v>
      </c>
      <c r="B988" s="2">
        <f>IFERROR(__xludf.DUMMYFUNCTION("""COMPUTED_VALUE"""),6525.0)</f>
        <v>6525</v>
      </c>
      <c r="C988" s="2">
        <f>IFERROR(__xludf.DUMMYFUNCTION("""COMPUTED_VALUE"""),6550.0)</f>
        <v>6550</v>
      </c>
      <c r="D988" s="2">
        <f>IFERROR(__xludf.DUMMYFUNCTION("""COMPUTED_VALUE"""),6475.0)</f>
        <v>6475</v>
      </c>
      <c r="E988" s="2">
        <f>IFERROR(__xludf.DUMMYFUNCTION("""COMPUTED_VALUE"""),6525.0)</f>
        <v>6525</v>
      </c>
      <c r="F988" s="2">
        <f>IFERROR(__xludf.DUMMYFUNCTION("""COMPUTED_VALUE"""),7.82099E7)</f>
        <v>78209900</v>
      </c>
      <c r="G988" s="2">
        <f t="shared" si="1"/>
        <v>75</v>
      </c>
    </row>
    <row r="989" ht="15.75" customHeight="1">
      <c r="A989" s="1">
        <f>IFERROR(__xludf.DUMMYFUNCTION("""COMPUTED_VALUE"""),45310.66666666667)</f>
        <v>45310.66667</v>
      </c>
      <c r="B989" s="2">
        <f>IFERROR(__xludf.DUMMYFUNCTION("""COMPUTED_VALUE"""),6500.0)</f>
        <v>6500</v>
      </c>
      <c r="C989" s="2">
        <f>IFERROR(__xludf.DUMMYFUNCTION("""COMPUTED_VALUE"""),6525.0)</f>
        <v>6525</v>
      </c>
      <c r="D989" s="2">
        <f>IFERROR(__xludf.DUMMYFUNCTION("""COMPUTED_VALUE"""),6425.0)</f>
        <v>6425</v>
      </c>
      <c r="E989" s="2">
        <f>IFERROR(__xludf.DUMMYFUNCTION("""COMPUTED_VALUE"""),6525.0)</f>
        <v>6525</v>
      </c>
      <c r="F989" s="2">
        <f>IFERROR(__xludf.DUMMYFUNCTION("""COMPUTED_VALUE"""),7.4814E7)</f>
        <v>74814000</v>
      </c>
      <c r="G989" s="2">
        <f t="shared" si="1"/>
        <v>100</v>
      </c>
    </row>
    <row r="990" ht="15.75" customHeight="1">
      <c r="A990" s="1">
        <f>IFERROR(__xludf.DUMMYFUNCTION("""COMPUTED_VALUE"""),45313.66666666667)</f>
        <v>45313.66667</v>
      </c>
      <c r="B990" s="2">
        <f>IFERROR(__xludf.DUMMYFUNCTION("""COMPUTED_VALUE"""),6500.0)</f>
        <v>6500</v>
      </c>
      <c r="C990" s="2">
        <f>IFERROR(__xludf.DUMMYFUNCTION("""COMPUTED_VALUE"""),6550.0)</f>
        <v>6550</v>
      </c>
      <c r="D990" s="2">
        <f>IFERROR(__xludf.DUMMYFUNCTION("""COMPUTED_VALUE"""),6450.0)</f>
        <v>6450</v>
      </c>
      <c r="E990" s="2">
        <f>IFERROR(__xludf.DUMMYFUNCTION("""COMPUTED_VALUE"""),6500.0)</f>
        <v>6500</v>
      </c>
      <c r="F990" s="2">
        <f>IFERROR(__xludf.DUMMYFUNCTION("""COMPUTED_VALUE"""),9.69931E7)</f>
        <v>96993100</v>
      </c>
      <c r="G990" s="2">
        <f t="shared" si="1"/>
        <v>100</v>
      </c>
    </row>
    <row r="991" ht="15.75" customHeight="1">
      <c r="A991" s="1">
        <f>IFERROR(__xludf.DUMMYFUNCTION("""COMPUTED_VALUE"""),45314.66666666667)</f>
        <v>45314.66667</v>
      </c>
      <c r="B991" s="2">
        <f>IFERROR(__xludf.DUMMYFUNCTION("""COMPUTED_VALUE"""),6525.0)</f>
        <v>6525</v>
      </c>
      <c r="C991" s="2">
        <f>IFERROR(__xludf.DUMMYFUNCTION("""COMPUTED_VALUE"""),6550.0)</f>
        <v>6550</v>
      </c>
      <c r="D991" s="2">
        <f>IFERROR(__xludf.DUMMYFUNCTION("""COMPUTED_VALUE"""),6450.0)</f>
        <v>6450</v>
      </c>
      <c r="E991" s="2">
        <f>IFERROR(__xludf.DUMMYFUNCTION("""COMPUTED_VALUE"""),6500.0)</f>
        <v>6500</v>
      </c>
      <c r="F991" s="2">
        <f>IFERROR(__xludf.DUMMYFUNCTION("""COMPUTED_VALUE"""),7.70378E7)</f>
        <v>77037800</v>
      </c>
      <c r="G991" s="2">
        <f t="shared" si="1"/>
        <v>100</v>
      </c>
    </row>
    <row r="992" ht="15.75" customHeight="1">
      <c r="A992" s="1">
        <f>IFERROR(__xludf.DUMMYFUNCTION("""COMPUTED_VALUE"""),45315.66666666667)</f>
        <v>45315.66667</v>
      </c>
      <c r="B992" s="2">
        <f>IFERROR(__xludf.DUMMYFUNCTION("""COMPUTED_VALUE"""),6450.0)</f>
        <v>6450</v>
      </c>
      <c r="C992" s="2">
        <f>IFERROR(__xludf.DUMMYFUNCTION("""COMPUTED_VALUE"""),6475.0)</f>
        <v>6475</v>
      </c>
      <c r="D992" s="2">
        <f>IFERROR(__xludf.DUMMYFUNCTION("""COMPUTED_VALUE"""),6350.0)</f>
        <v>6350</v>
      </c>
      <c r="E992" s="2">
        <f>IFERROR(__xludf.DUMMYFUNCTION("""COMPUTED_VALUE"""),6400.0)</f>
        <v>6400</v>
      </c>
      <c r="F992" s="2">
        <f>IFERROR(__xludf.DUMMYFUNCTION("""COMPUTED_VALUE"""),9.72906E7)</f>
        <v>97290600</v>
      </c>
      <c r="G992" s="2">
        <f t="shared" si="1"/>
        <v>150</v>
      </c>
    </row>
    <row r="993" ht="15.75" customHeight="1">
      <c r="A993" s="1">
        <f>IFERROR(__xludf.DUMMYFUNCTION("""COMPUTED_VALUE"""),45316.66666666667)</f>
        <v>45316.66667</v>
      </c>
      <c r="B993" s="2">
        <f>IFERROR(__xludf.DUMMYFUNCTION("""COMPUTED_VALUE"""),6325.0)</f>
        <v>6325</v>
      </c>
      <c r="C993" s="2">
        <f>IFERROR(__xludf.DUMMYFUNCTION("""COMPUTED_VALUE"""),6400.0)</f>
        <v>6400</v>
      </c>
      <c r="D993" s="2">
        <f>IFERROR(__xludf.DUMMYFUNCTION("""COMPUTED_VALUE"""),6250.0)</f>
        <v>6250</v>
      </c>
      <c r="E993" s="2">
        <f>IFERROR(__xludf.DUMMYFUNCTION("""COMPUTED_VALUE"""),6275.0)</f>
        <v>6275</v>
      </c>
      <c r="F993" s="2">
        <f>IFERROR(__xludf.DUMMYFUNCTION("""COMPUTED_VALUE"""),9.90941E7)</f>
        <v>99094100</v>
      </c>
      <c r="G993" s="2">
        <f t="shared" si="1"/>
        <v>150</v>
      </c>
    </row>
    <row r="994" ht="15.75" customHeight="1">
      <c r="A994" s="1">
        <f>IFERROR(__xludf.DUMMYFUNCTION("""COMPUTED_VALUE"""),45317.66666666667)</f>
        <v>45317.66667</v>
      </c>
      <c r="B994" s="2">
        <f>IFERROR(__xludf.DUMMYFUNCTION("""COMPUTED_VALUE"""),6250.0)</f>
        <v>6250</v>
      </c>
      <c r="C994" s="2">
        <f>IFERROR(__xludf.DUMMYFUNCTION("""COMPUTED_VALUE"""),6325.0)</f>
        <v>6325</v>
      </c>
      <c r="D994" s="2">
        <f>IFERROR(__xludf.DUMMYFUNCTION("""COMPUTED_VALUE"""),6225.0)</f>
        <v>6225</v>
      </c>
      <c r="E994" s="2">
        <f>IFERROR(__xludf.DUMMYFUNCTION("""COMPUTED_VALUE"""),6300.0)</f>
        <v>6300</v>
      </c>
      <c r="F994" s="2">
        <f>IFERROR(__xludf.DUMMYFUNCTION("""COMPUTED_VALUE"""),7.72368E7)</f>
        <v>77236800</v>
      </c>
      <c r="G994" s="2">
        <f t="shared" si="1"/>
        <v>100</v>
      </c>
    </row>
    <row r="995" ht="15.75" customHeight="1">
      <c r="A995" s="1">
        <f>IFERROR(__xludf.DUMMYFUNCTION("""COMPUTED_VALUE"""),45320.66666666667)</f>
        <v>45320.66667</v>
      </c>
      <c r="B995" s="2">
        <f>IFERROR(__xludf.DUMMYFUNCTION("""COMPUTED_VALUE"""),6350.0)</f>
        <v>6350</v>
      </c>
      <c r="C995" s="2">
        <f>IFERROR(__xludf.DUMMYFUNCTION("""COMPUTED_VALUE"""),6475.0)</f>
        <v>6475</v>
      </c>
      <c r="D995" s="2">
        <f>IFERROR(__xludf.DUMMYFUNCTION("""COMPUTED_VALUE"""),6275.0)</f>
        <v>6275</v>
      </c>
      <c r="E995" s="2">
        <f>IFERROR(__xludf.DUMMYFUNCTION("""COMPUTED_VALUE"""),6475.0)</f>
        <v>6475</v>
      </c>
      <c r="F995" s="2">
        <f>IFERROR(__xludf.DUMMYFUNCTION("""COMPUTED_VALUE"""),1.24753E8)</f>
        <v>124753000</v>
      </c>
      <c r="G995" s="2">
        <f t="shared" si="1"/>
        <v>200</v>
      </c>
    </row>
    <row r="996" ht="15.75" customHeight="1">
      <c r="A996" s="1">
        <f>IFERROR(__xludf.DUMMYFUNCTION("""COMPUTED_VALUE"""),45321.66666666667)</f>
        <v>45321.66667</v>
      </c>
      <c r="B996" s="2">
        <f>IFERROR(__xludf.DUMMYFUNCTION("""COMPUTED_VALUE"""),6475.0)</f>
        <v>6475</v>
      </c>
      <c r="C996" s="2">
        <f>IFERROR(__xludf.DUMMYFUNCTION("""COMPUTED_VALUE"""),6700.0)</f>
        <v>6700</v>
      </c>
      <c r="D996" s="2">
        <f>IFERROR(__xludf.DUMMYFUNCTION("""COMPUTED_VALUE"""),6450.0)</f>
        <v>6450</v>
      </c>
      <c r="E996" s="2">
        <f>IFERROR(__xludf.DUMMYFUNCTION("""COMPUTED_VALUE"""),6650.0)</f>
        <v>6650</v>
      </c>
      <c r="F996" s="2">
        <f>IFERROR(__xludf.DUMMYFUNCTION("""COMPUTED_VALUE"""),1.233309E8)</f>
        <v>123330900</v>
      </c>
      <c r="G996" s="2">
        <f t="shared" si="1"/>
        <v>250</v>
      </c>
    </row>
    <row r="997" ht="15.75" customHeight="1">
      <c r="A997" s="1">
        <f>IFERROR(__xludf.DUMMYFUNCTION("""COMPUTED_VALUE"""),45322.66666666667)</f>
        <v>45322.66667</v>
      </c>
      <c r="B997" s="2">
        <f>IFERROR(__xludf.DUMMYFUNCTION("""COMPUTED_VALUE"""),6650.0)</f>
        <v>6650</v>
      </c>
      <c r="C997" s="2">
        <f>IFERROR(__xludf.DUMMYFUNCTION("""COMPUTED_VALUE"""),6700.0)</f>
        <v>6700</v>
      </c>
      <c r="D997" s="2">
        <f>IFERROR(__xludf.DUMMYFUNCTION("""COMPUTED_VALUE"""),6650.0)</f>
        <v>6650</v>
      </c>
      <c r="E997" s="2">
        <f>IFERROR(__xludf.DUMMYFUNCTION("""COMPUTED_VALUE"""),6650.0)</f>
        <v>6650</v>
      </c>
      <c r="F997" s="2">
        <f>IFERROR(__xludf.DUMMYFUNCTION("""COMPUTED_VALUE"""),1.28185E8)</f>
        <v>128185000</v>
      </c>
      <c r="G997" s="2">
        <f t="shared" si="1"/>
        <v>50</v>
      </c>
    </row>
    <row r="998" ht="15.75" customHeight="1">
      <c r="A998" s="1">
        <f>IFERROR(__xludf.DUMMYFUNCTION("""COMPUTED_VALUE"""),45323.66666666667)</f>
        <v>45323.66667</v>
      </c>
      <c r="B998" s="2">
        <f>IFERROR(__xludf.DUMMYFUNCTION("""COMPUTED_VALUE"""),6575.0)</f>
        <v>6575</v>
      </c>
      <c r="C998" s="2">
        <f>IFERROR(__xludf.DUMMYFUNCTION("""COMPUTED_VALUE"""),6625.0)</f>
        <v>6625</v>
      </c>
      <c r="D998" s="2">
        <f>IFERROR(__xludf.DUMMYFUNCTION("""COMPUTED_VALUE"""),6500.0)</f>
        <v>6500</v>
      </c>
      <c r="E998" s="2">
        <f>IFERROR(__xludf.DUMMYFUNCTION("""COMPUTED_VALUE"""),6550.0)</f>
        <v>6550</v>
      </c>
      <c r="F998" s="2">
        <f>IFERROR(__xludf.DUMMYFUNCTION("""COMPUTED_VALUE"""),1.681458E8)</f>
        <v>168145800</v>
      </c>
      <c r="G998" s="2">
        <f t="shared" si="1"/>
        <v>150</v>
      </c>
    </row>
    <row r="999" ht="15.75" customHeight="1">
      <c r="A999" s="1">
        <f>IFERROR(__xludf.DUMMYFUNCTION("""COMPUTED_VALUE"""),45324.66666666667)</f>
        <v>45324.66667</v>
      </c>
      <c r="B999" s="2">
        <f>IFERROR(__xludf.DUMMYFUNCTION("""COMPUTED_VALUE"""),6625.0)</f>
        <v>6625</v>
      </c>
      <c r="C999" s="2">
        <f>IFERROR(__xludf.DUMMYFUNCTION("""COMPUTED_VALUE"""),6675.0)</f>
        <v>6675</v>
      </c>
      <c r="D999" s="2">
        <f>IFERROR(__xludf.DUMMYFUNCTION("""COMPUTED_VALUE"""),6600.0)</f>
        <v>6600</v>
      </c>
      <c r="E999" s="2">
        <f>IFERROR(__xludf.DUMMYFUNCTION("""COMPUTED_VALUE"""),6675.0)</f>
        <v>6675</v>
      </c>
      <c r="F999" s="2">
        <f>IFERROR(__xludf.DUMMYFUNCTION("""COMPUTED_VALUE"""),1.201162E8)</f>
        <v>120116200</v>
      </c>
      <c r="G999" s="2">
        <f t="shared" si="1"/>
        <v>125</v>
      </c>
    </row>
    <row r="1000" ht="15.75" customHeight="1">
      <c r="A1000" s="1">
        <f>IFERROR(__xludf.DUMMYFUNCTION("""COMPUTED_VALUE"""),45327.66666666667)</f>
        <v>45327.66667</v>
      </c>
      <c r="B1000" s="2">
        <f>IFERROR(__xludf.DUMMYFUNCTION("""COMPUTED_VALUE"""),6700.0)</f>
        <v>6700</v>
      </c>
      <c r="C1000" s="2">
        <f>IFERROR(__xludf.DUMMYFUNCTION("""COMPUTED_VALUE"""),6950.0)</f>
        <v>6950</v>
      </c>
      <c r="D1000" s="2">
        <f>IFERROR(__xludf.DUMMYFUNCTION("""COMPUTED_VALUE"""),6675.0)</f>
        <v>6675</v>
      </c>
      <c r="E1000" s="2">
        <f>IFERROR(__xludf.DUMMYFUNCTION("""COMPUTED_VALUE"""),6825.0)</f>
        <v>6825</v>
      </c>
      <c r="F1000" s="2">
        <f>IFERROR(__xludf.DUMMYFUNCTION("""COMPUTED_VALUE"""),1.505351E8)</f>
        <v>150535100</v>
      </c>
      <c r="G1000" s="2">
        <f t="shared" si="1"/>
        <v>275</v>
      </c>
    </row>
    <row r="1001" ht="15.75" customHeight="1">
      <c r="A1001" s="1">
        <f>IFERROR(__xludf.DUMMYFUNCTION("""COMPUTED_VALUE"""),45328.66666666667)</f>
        <v>45328.66667</v>
      </c>
      <c r="B1001" s="2">
        <f>IFERROR(__xludf.DUMMYFUNCTION("""COMPUTED_VALUE"""),6825.0)</f>
        <v>6825</v>
      </c>
      <c r="C1001" s="2">
        <f>IFERROR(__xludf.DUMMYFUNCTION("""COMPUTED_VALUE"""),6925.0)</f>
        <v>6925</v>
      </c>
      <c r="D1001" s="2">
        <f>IFERROR(__xludf.DUMMYFUNCTION("""COMPUTED_VALUE"""),6775.0)</f>
        <v>6775</v>
      </c>
      <c r="E1001" s="2">
        <f>IFERROR(__xludf.DUMMYFUNCTION("""COMPUTED_VALUE"""),6850.0)</f>
        <v>6850</v>
      </c>
      <c r="F1001" s="2">
        <f>IFERROR(__xludf.DUMMYFUNCTION("""COMPUTED_VALUE"""),9.0146E7)</f>
        <v>90146000</v>
      </c>
      <c r="G1001" s="2">
        <f t="shared" si="1"/>
        <v>150</v>
      </c>
    </row>
    <row r="1002" ht="15.75" customHeight="1">
      <c r="A1002" s="1">
        <f>IFERROR(__xludf.DUMMYFUNCTION("""COMPUTED_VALUE"""),45329.66666666667)</f>
        <v>45329.66667</v>
      </c>
      <c r="B1002" s="2">
        <f>IFERROR(__xludf.DUMMYFUNCTION("""COMPUTED_VALUE"""),6875.0)</f>
        <v>6875</v>
      </c>
      <c r="C1002" s="2">
        <f>IFERROR(__xludf.DUMMYFUNCTION("""COMPUTED_VALUE"""),6950.0)</f>
        <v>6950</v>
      </c>
      <c r="D1002" s="2">
        <f>IFERROR(__xludf.DUMMYFUNCTION("""COMPUTED_VALUE"""),6850.0)</f>
        <v>6850</v>
      </c>
      <c r="E1002" s="2">
        <f>IFERROR(__xludf.DUMMYFUNCTION("""COMPUTED_VALUE"""),6950.0)</f>
        <v>6950</v>
      </c>
      <c r="F1002" s="2">
        <f>IFERROR(__xludf.DUMMYFUNCTION("""COMPUTED_VALUE"""),8.87455E7)</f>
        <v>88745500</v>
      </c>
      <c r="G1002" s="2">
        <f t="shared" si="1"/>
        <v>100</v>
      </c>
    </row>
    <row r="1003" ht="15.75" customHeight="1">
      <c r="A1003" s="1">
        <f>IFERROR(__xludf.DUMMYFUNCTION("""COMPUTED_VALUE"""),45334.66666666667)</f>
        <v>45334.66667</v>
      </c>
      <c r="B1003" s="2">
        <f>IFERROR(__xludf.DUMMYFUNCTION("""COMPUTED_VALUE"""),7150.0)</f>
        <v>7150</v>
      </c>
      <c r="C1003" s="2">
        <f>IFERROR(__xludf.DUMMYFUNCTION("""COMPUTED_VALUE"""),7200.0)</f>
        <v>7200</v>
      </c>
      <c r="D1003" s="2">
        <f>IFERROR(__xludf.DUMMYFUNCTION("""COMPUTED_VALUE"""),7050.0)</f>
        <v>7050</v>
      </c>
      <c r="E1003" s="2">
        <f>IFERROR(__xludf.DUMMYFUNCTION("""COMPUTED_VALUE"""),7100.0)</f>
        <v>7100</v>
      </c>
      <c r="F1003" s="2">
        <f>IFERROR(__xludf.DUMMYFUNCTION("""COMPUTED_VALUE"""),1.627713E8)</f>
        <v>162771300</v>
      </c>
      <c r="G1003" s="2">
        <f t="shared" si="1"/>
        <v>250</v>
      </c>
    </row>
    <row r="1004" ht="15.75" customHeight="1">
      <c r="A1004" s="1">
        <f>IFERROR(__xludf.DUMMYFUNCTION("""COMPUTED_VALUE"""),45335.66666666667)</f>
        <v>45335.66667</v>
      </c>
      <c r="B1004" s="2">
        <f>IFERROR(__xludf.DUMMYFUNCTION("""COMPUTED_VALUE"""),7100.0)</f>
        <v>7100</v>
      </c>
      <c r="C1004" s="2">
        <f>IFERROR(__xludf.DUMMYFUNCTION("""COMPUTED_VALUE"""),7125.0)</f>
        <v>7125</v>
      </c>
      <c r="D1004" s="2">
        <f>IFERROR(__xludf.DUMMYFUNCTION("""COMPUTED_VALUE"""),7025.0)</f>
        <v>7025</v>
      </c>
      <c r="E1004" s="2">
        <f>IFERROR(__xludf.DUMMYFUNCTION("""COMPUTED_VALUE"""),7025.0)</f>
        <v>7025</v>
      </c>
      <c r="F1004" s="2">
        <f>IFERROR(__xludf.DUMMYFUNCTION("""COMPUTED_VALUE"""),1.026689E8)</f>
        <v>102668900</v>
      </c>
      <c r="G1004" s="2">
        <f t="shared" si="1"/>
        <v>100</v>
      </c>
    </row>
    <row r="1005" ht="15.75" customHeight="1">
      <c r="A1005" s="1">
        <f>IFERROR(__xludf.DUMMYFUNCTION("""COMPUTED_VALUE"""),45337.66666666667)</f>
        <v>45337.66667</v>
      </c>
      <c r="B1005" s="2">
        <f>IFERROR(__xludf.DUMMYFUNCTION("""COMPUTED_VALUE"""),7300.0)</f>
        <v>7300</v>
      </c>
      <c r="C1005" s="2">
        <f>IFERROR(__xludf.DUMMYFUNCTION("""COMPUTED_VALUE"""),7375.0)</f>
        <v>7375</v>
      </c>
      <c r="D1005" s="2">
        <f>IFERROR(__xludf.DUMMYFUNCTION("""COMPUTED_VALUE"""),7150.0)</f>
        <v>7150</v>
      </c>
      <c r="E1005" s="2">
        <f>IFERROR(__xludf.DUMMYFUNCTION("""COMPUTED_VALUE"""),7200.0)</f>
        <v>7200</v>
      </c>
      <c r="F1005" s="2">
        <f>IFERROR(__xludf.DUMMYFUNCTION("""COMPUTED_VALUE"""),2.2053E8)</f>
        <v>220530000</v>
      </c>
      <c r="G1005" s="2">
        <f t="shared" si="1"/>
        <v>350</v>
      </c>
    </row>
    <row r="1006" ht="15.75" customHeight="1">
      <c r="A1006" s="1">
        <f>IFERROR(__xludf.DUMMYFUNCTION("""COMPUTED_VALUE"""),45338.66666666667)</f>
        <v>45338.66667</v>
      </c>
      <c r="B1006" s="2">
        <f>IFERROR(__xludf.DUMMYFUNCTION("""COMPUTED_VALUE"""),7375.0)</f>
        <v>7375</v>
      </c>
      <c r="C1006" s="2">
        <f>IFERROR(__xludf.DUMMYFUNCTION("""COMPUTED_VALUE"""),7400.0)</f>
        <v>7400</v>
      </c>
      <c r="D1006" s="2">
        <f>IFERROR(__xludf.DUMMYFUNCTION("""COMPUTED_VALUE"""),7200.0)</f>
        <v>7200</v>
      </c>
      <c r="E1006" s="2">
        <f>IFERROR(__xludf.DUMMYFUNCTION("""COMPUTED_VALUE"""),7200.0)</f>
        <v>7200</v>
      </c>
      <c r="F1006" s="2">
        <f>IFERROR(__xludf.DUMMYFUNCTION("""COMPUTED_VALUE"""),1.420221E8)</f>
        <v>142022100</v>
      </c>
      <c r="G1006" s="2">
        <f t="shared" si="1"/>
        <v>200</v>
      </c>
    </row>
    <row r="1007" ht="15.75" customHeight="1">
      <c r="A1007" s="1">
        <f>IFERROR(__xludf.DUMMYFUNCTION("""COMPUTED_VALUE"""),45341.66666666667)</f>
        <v>45341.66667</v>
      </c>
      <c r="B1007" s="2">
        <f>IFERROR(__xludf.DUMMYFUNCTION("""COMPUTED_VALUE"""),7150.0)</f>
        <v>7150</v>
      </c>
      <c r="C1007" s="2">
        <f>IFERROR(__xludf.DUMMYFUNCTION("""COMPUTED_VALUE"""),7325.0)</f>
        <v>7325</v>
      </c>
      <c r="D1007" s="2">
        <f>IFERROR(__xludf.DUMMYFUNCTION("""COMPUTED_VALUE"""),7125.0)</f>
        <v>7125</v>
      </c>
      <c r="E1007" s="2">
        <f>IFERROR(__xludf.DUMMYFUNCTION("""COMPUTED_VALUE"""),7150.0)</f>
        <v>7150</v>
      </c>
      <c r="F1007" s="2">
        <f>IFERROR(__xludf.DUMMYFUNCTION("""COMPUTED_VALUE"""),8.37535E7)</f>
        <v>83753500</v>
      </c>
      <c r="G1007" s="2">
        <f t="shared" si="1"/>
        <v>200</v>
      </c>
    </row>
    <row r="1008" ht="15.75" customHeight="1">
      <c r="A1008" s="1">
        <f>IFERROR(__xludf.DUMMYFUNCTION("""COMPUTED_VALUE"""),45342.66666666667)</f>
        <v>45342.66667</v>
      </c>
      <c r="B1008" s="2">
        <f>IFERROR(__xludf.DUMMYFUNCTION("""COMPUTED_VALUE"""),7250.0)</f>
        <v>7250</v>
      </c>
      <c r="C1008" s="2">
        <f>IFERROR(__xludf.DUMMYFUNCTION("""COMPUTED_VALUE"""),7250.0)</f>
        <v>7250</v>
      </c>
      <c r="D1008" s="2">
        <f>IFERROR(__xludf.DUMMYFUNCTION("""COMPUTED_VALUE"""),7150.0)</f>
        <v>7150</v>
      </c>
      <c r="E1008" s="2">
        <f>IFERROR(__xludf.DUMMYFUNCTION("""COMPUTED_VALUE"""),7150.0)</f>
        <v>7150</v>
      </c>
      <c r="F1008" s="2">
        <f>IFERROR(__xludf.DUMMYFUNCTION("""COMPUTED_VALUE"""),8.7312E7)</f>
        <v>87312000</v>
      </c>
      <c r="G1008" s="2">
        <f t="shared" si="1"/>
        <v>100</v>
      </c>
    </row>
    <row r="1009" ht="15.75" customHeight="1">
      <c r="A1009" s="1">
        <f>IFERROR(__xludf.DUMMYFUNCTION("""COMPUTED_VALUE"""),45343.66666666667)</f>
        <v>45343.66667</v>
      </c>
      <c r="B1009" s="2">
        <f>IFERROR(__xludf.DUMMYFUNCTION("""COMPUTED_VALUE"""),7125.0)</f>
        <v>7125</v>
      </c>
      <c r="C1009" s="2">
        <f>IFERROR(__xludf.DUMMYFUNCTION("""COMPUTED_VALUE"""),7250.0)</f>
        <v>7250</v>
      </c>
      <c r="D1009" s="2">
        <f>IFERROR(__xludf.DUMMYFUNCTION("""COMPUTED_VALUE"""),7075.0)</f>
        <v>7075</v>
      </c>
      <c r="E1009" s="2">
        <f>IFERROR(__xludf.DUMMYFUNCTION("""COMPUTED_VALUE"""),7250.0)</f>
        <v>7250</v>
      </c>
      <c r="F1009" s="2">
        <f>IFERROR(__xludf.DUMMYFUNCTION("""COMPUTED_VALUE"""),1.280639E8)</f>
        <v>128063900</v>
      </c>
      <c r="G1009" s="2">
        <f t="shared" si="1"/>
        <v>175</v>
      </c>
    </row>
    <row r="1010" ht="15.75" customHeight="1">
      <c r="A1010" s="1">
        <f>IFERROR(__xludf.DUMMYFUNCTION("""COMPUTED_VALUE"""),45344.66666666667)</f>
        <v>45344.66667</v>
      </c>
      <c r="B1010" s="2">
        <f>IFERROR(__xludf.DUMMYFUNCTION("""COMPUTED_VALUE"""),7175.0)</f>
        <v>7175</v>
      </c>
      <c r="C1010" s="2">
        <f>IFERROR(__xludf.DUMMYFUNCTION("""COMPUTED_VALUE"""),7200.0)</f>
        <v>7200</v>
      </c>
      <c r="D1010" s="2">
        <f>IFERROR(__xludf.DUMMYFUNCTION("""COMPUTED_VALUE"""),7100.0)</f>
        <v>7100</v>
      </c>
      <c r="E1010" s="2">
        <f>IFERROR(__xludf.DUMMYFUNCTION("""COMPUTED_VALUE"""),7100.0)</f>
        <v>7100</v>
      </c>
      <c r="F1010" s="2">
        <f>IFERROR(__xludf.DUMMYFUNCTION("""COMPUTED_VALUE"""),8.57358E7)</f>
        <v>85735800</v>
      </c>
      <c r="G1010" s="2">
        <f t="shared" si="1"/>
        <v>150</v>
      </c>
    </row>
    <row r="1011" ht="15.75" customHeight="1">
      <c r="A1011" s="1">
        <f>IFERROR(__xludf.DUMMYFUNCTION("""COMPUTED_VALUE"""),45345.66666666667)</f>
        <v>45345.66667</v>
      </c>
      <c r="B1011" s="2">
        <f>IFERROR(__xludf.DUMMYFUNCTION("""COMPUTED_VALUE"""),7050.0)</f>
        <v>7050</v>
      </c>
      <c r="C1011" s="2">
        <f>IFERROR(__xludf.DUMMYFUNCTION("""COMPUTED_VALUE"""),7100.0)</f>
        <v>7100</v>
      </c>
      <c r="D1011" s="2">
        <f>IFERROR(__xludf.DUMMYFUNCTION("""COMPUTED_VALUE"""),7000.0)</f>
        <v>7000</v>
      </c>
      <c r="E1011" s="2">
        <f>IFERROR(__xludf.DUMMYFUNCTION("""COMPUTED_VALUE"""),7050.0)</f>
        <v>7050</v>
      </c>
      <c r="F1011" s="2">
        <f>IFERROR(__xludf.DUMMYFUNCTION("""COMPUTED_VALUE"""),1.094047E8)</f>
        <v>109404700</v>
      </c>
      <c r="G1011" s="2">
        <f t="shared" si="1"/>
        <v>100</v>
      </c>
    </row>
    <row r="1012" ht="15.75" customHeight="1">
      <c r="A1012" s="1">
        <f>IFERROR(__xludf.DUMMYFUNCTION("""COMPUTED_VALUE"""),45348.66666666667)</f>
        <v>45348.66667</v>
      </c>
      <c r="B1012" s="2">
        <f>IFERROR(__xludf.DUMMYFUNCTION("""COMPUTED_VALUE"""),6950.0)</f>
        <v>6950</v>
      </c>
      <c r="C1012" s="2">
        <f>IFERROR(__xludf.DUMMYFUNCTION("""COMPUTED_VALUE"""),7075.0)</f>
        <v>7075</v>
      </c>
      <c r="D1012" s="2">
        <f>IFERROR(__xludf.DUMMYFUNCTION("""COMPUTED_VALUE"""),6950.0)</f>
        <v>6950</v>
      </c>
      <c r="E1012" s="2">
        <f>IFERROR(__xludf.DUMMYFUNCTION("""COMPUTED_VALUE"""),7050.0)</f>
        <v>7050</v>
      </c>
      <c r="F1012" s="2">
        <f>IFERROR(__xludf.DUMMYFUNCTION("""COMPUTED_VALUE"""),6.54077E7)</f>
        <v>65407700</v>
      </c>
      <c r="G1012" s="2">
        <f t="shared" si="1"/>
        <v>125</v>
      </c>
    </row>
    <row r="1013" ht="15.75" customHeight="1">
      <c r="A1013" s="1">
        <f>IFERROR(__xludf.DUMMYFUNCTION("""COMPUTED_VALUE"""),45349.66666666667)</f>
        <v>45349.66667</v>
      </c>
      <c r="B1013" s="2">
        <f>IFERROR(__xludf.DUMMYFUNCTION("""COMPUTED_VALUE"""),6975.0)</f>
        <v>6975</v>
      </c>
      <c r="C1013" s="2">
        <f>IFERROR(__xludf.DUMMYFUNCTION("""COMPUTED_VALUE"""),7100.0)</f>
        <v>7100</v>
      </c>
      <c r="D1013" s="2">
        <f>IFERROR(__xludf.DUMMYFUNCTION("""COMPUTED_VALUE"""),6975.0)</f>
        <v>6975</v>
      </c>
      <c r="E1013" s="2">
        <f>IFERROR(__xludf.DUMMYFUNCTION("""COMPUTED_VALUE"""),7075.0)</f>
        <v>7075</v>
      </c>
      <c r="F1013" s="2">
        <f>IFERROR(__xludf.DUMMYFUNCTION("""COMPUTED_VALUE"""),5.80661E7)</f>
        <v>58066100</v>
      </c>
      <c r="G1013" s="2">
        <f t="shared" si="1"/>
        <v>125</v>
      </c>
    </row>
    <row r="1014" ht="15.75" customHeight="1">
      <c r="A1014" s="1">
        <f>IFERROR(__xludf.DUMMYFUNCTION("""COMPUTED_VALUE"""),45350.66666666667)</f>
        <v>45350.66667</v>
      </c>
      <c r="B1014" s="2">
        <f>IFERROR(__xludf.DUMMYFUNCTION("""COMPUTED_VALUE"""),7025.0)</f>
        <v>7025</v>
      </c>
      <c r="C1014" s="2">
        <f>IFERROR(__xludf.DUMMYFUNCTION("""COMPUTED_VALUE"""),7125.0)</f>
        <v>7125</v>
      </c>
      <c r="D1014" s="2">
        <f>IFERROR(__xludf.DUMMYFUNCTION("""COMPUTED_VALUE"""),7025.0)</f>
        <v>7025</v>
      </c>
      <c r="E1014" s="2">
        <f>IFERROR(__xludf.DUMMYFUNCTION("""COMPUTED_VALUE"""),7125.0)</f>
        <v>7125</v>
      </c>
      <c r="F1014" s="2">
        <f>IFERROR(__xludf.DUMMYFUNCTION("""COMPUTED_VALUE"""),4.98884E7)</f>
        <v>49888400</v>
      </c>
      <c r="G1014" s="2">
        <f t="shared" si="1"/>
        <v>100</v>
      </c>
    </row>
    <row r="1015" ht="15.75" customHeight="1">
      <c r="A1015" s="1">
        <f>IFERROR(__xludf.DUMMYFUNCTION("""COMPUTED_VALUE"""),45351.66666666667)</f>
        <v>45351.66667</v>
      </c>
      <c r="B1015" s="2">
        <f>IFERROR(__xludf.DUMMYFUNCTION("""COMPUTED_VALUE"""),7125.0)</f>
        <v>7125</v>
      </c>
      <c r="C1015" s="2">
        <f>IFERROR(__xludf.DUMMYFUNCTION("""COMPUTED_VALUE"""),7150.0)</f>
        <v>7150</v>
      </c>
      <c r="D1015" s="2">
        <f>IFERROR(__xludf.DUMMYFUNCTION("""COMPUTED_VALUE"""),7000.0)</f>
        <v>7000</v>
      </c>
      <c r="E1015" s="2">
        <f>IFERROR(__xludf.DUMMYFUNCTION("""COMPUTED_VALUE"""),7000.0)</f>
        <v>7000</v>
      </c>
      <c r="F1015" s="2">
        <f>IFERROR(__xludf.DUMMYFUNCTION("""COMPUTED_VALUE"""),1.507136E8)</f>
        <v>150713600</v>
      </c>
      <c r="G1015" s="2">
        <f t="shared" si="1"/>
        <v>150</v>
      </c>
    </row>
    <row r="1016" ht="15.75" customHeight="1">
      <c r="A1016" s="1">
        <f>IFERROR(__xludf.DUMMYFUNCTION("""COMPUTED_VALUE"""),45352.66666666667)</f>
        <v>45352.66667</v>
      </c>
      <c r="B1016" s="2">
        <f>IFERROR(__xludf.DUMMYFUNCTION("""COMPUTED_VALUE"""),7050.0)</f>
        <v>7050</v>
      </c>
      <c r="C1016" s="2">
        <f>IFERROR(__xludf.DUMMYFUNCTION("""COMPUTED_VALUE"""),7075.0)</f>
        <v>7075</v>
      </c>
      <c r="D1016" s="2">
        <f>IFERROR(__xludf.DUMMYFUNCTION("""COMPUTED_VALUE"""),6975.0)</f>
        <v>6975</v>
      </c>
      <c r="E1016" s="2">
        <f>IFERROR(__xludf.DUMMYFUNCTION("""COMPUTED_VALUE"""),7025.0)</f>
        <v>7025</v>
      </c>
      <c r="F1016" s="2">
        <f>IFERROR(__xludf.DUMMYFUNCTION("""COMPUTED_VALUE"""),9.07394E7)</f>
        <v>90739400</v>
      </c>
      <c r="G1016" s="2">
        <f t="shared" si="1"/>
        <v>100</v>
      </c>
    </row>
    <row r="1017" ht="15.75" customHeight="1">
      <c r="A1017" s="1">
        <f>IFERROR(__xludf.DUMMYFUNCTION("""COMPUTED_VALUE"""),45355.66666666667)</f>
        <v>45355.66667</v>
      </c>
      <c r="B1017" s="2">
        <f>IFERROR(__xludf.DUMMYFUNCTION("""COMPUTED_VALUE"""),7000.0)</f>
        <v>7000</v>
      </c>
      <c r="C1017" s="2">
        <f>IFERROR(__xludf.DUMMYFUNCTION("""COMPUTED_VALUE"""),7050.0)</f>
        <v>7050</v>
      </c>
      <c r="D1017" s="2">
        <f>IFERROR(__xludf.DUMMYFUNCTION("""COMPUTED_VALUE"""),6975.0)</f>
        <v>6975</v>
      </c>
      <c r="E1017" s="2">
        <f>IFERROR(__xludf.DUMMYFUNCTION("""COMPUTED_VALUE"""),7025.0)</f>
        <v>7025</v>
      </c>
      <c r="F1017" s="2">
        <f>IFERROR(__xludf.DUMMYFUNCTION("""COMPUTED_VALUE"""),4.47072E7)</f>
        <v>44707200</v>
      </c>
      <c r="G1017" s="2">
        <f t="shared" si="1"/>
        <v>75</v>
      </c>
    </row>
    <row r="1018" ht="15.75" customHeight="1">
      <c r="A1018" s="1">
        <f>IFERROR(__xludf.DUMMYFUNCTION("""COMPUTED_VALUE"""),45356.66666666667)</f>
        <v>45356.66667</v>
      </c>
      <c r="B1018" s="2">
        <f>IFERROR(__xludf.DUMMYFUNCTION("""COMPUTED_VALUE"""),7075.0)</f>
        <v>7075</v>
      </c>
      <c r="C1018" s="2">
        <f>IFERROR(__xludf.DUMMYFUNCTION("""COMPUTED_VALUE"""),7100.0)</f>
        <v>7100</v>
      </c>
      <c r="D1018" s="2">
        <f>IFERROR(__xludf.DUMMYFUNCTION("""COMPUTED_VALUE"""),7000.0)</f>
        <v>7000</v>
      </c>
      <c r="E1018" s="2">
        <f>IFERROR(__xludf.DUMMYFUNCTION("""COMPUTED_VALUE"""),7025.0)</f>
        <v>7025</v>
      </c>
      <c r="F1018" s="2">
        <f>IFERROR(__xludf.DUMMYFUNCTION("""COMPUTED_VALUE"""),9.25572E7)</f>
        <v>92557200</v>
      </c>
      <c r="G1018" s="2">
        <f t="shared" si="1"/>
        <v>100</v>
      </c>
    </row>
    <row r="1019" ht="15.75" customHeight="1">
      <c r="A1019" s="1">
        <f>IFERROR(__xludf.DUMMYFUNCTION("""COMPUTED_VALUE"""),45357.66666666667)</f>
        <v>45357.66667</v>
      </c>
      <c r="B1019" s="2">
        <f>IFERROR(__xludf.DUMMYFUNCTION("""COMPUTED_VALUE"""),7000.0)</f>
        <v>7000</v>
      </c>
      <c r="C1019" s="2">
        <f>IFERROR(__xludf.DUMMYFUNCTION("""COMPUTED_VALUE"""),7100.0)</f>
        <v>7100</v>
      </c>
      <c r="D1019" s="2">
        <f>IFERROR(__xludf.DUMMYFUNCTION("""COMPUTED_VALUE"""),7000.0)</f>
        <v>7000</v>
      </c>
      <c r="E1019" s="2">
        <f>IFERROR(__xludf.DUMMYFUNCTION("""COMPUTED_VALUE"""),7075.0)</f>
        <v>7075</v>
      </c>
      <c r="F1019" s="2">
        <f>IFERROR(__xludf.DUMMYFUNCTION("""COMPUTED_VALUE"""),7.41781E7)</f>
        <v>74178100</v>
      </c>
      <c r="G1019" s="2">
        <f t="shared" si="1"/>
        <v>100</v>
      </c>
    </row>
    <row r="1020" ht="15.75" customHeight="1">
      <c r="A1020" s="1">
        <f>IFERROR(__xludf.DUMMYFUNCTION("""COMPUTED_VALUE"""),45358.66666666667)</f>
        <v>45358.66667</v>
      </c>
      <c r="B1020" s="2">
        <f>IFERROR(__xludf.DUMMYFUNCTION("""COMPUTED_VALUE"""),7075.0)</f>
        <v>7075</v>
      </c>
      <c r="C1020" s="2">
        <f>IFERROR(__xludf.DUMMYFUNCTION("""COMPUTED_VALUE"""),7125.0)</f>
        <v>7125</v>
      </c>
      <c r="D1020" s="2">
        <f>IFERROR(__xludf.DUMMYFUNCTION("""COMPUTED_VALUE"""),7025.0)</f>
        <v>7025</v>
      </c>
      <c r="E1020" s="2">
        <f>IFERROR(__xludf.DUMMYFUNCTION("""COMPUTED_VALUE"""),7100.0)</f>
        <v>7100</v>
      </c>
      <c r="F1020" s="2">
        <f>IFERROR(__xludf.DUMMYFUNCTION("""COMPUTED_VALUE"""),9.49504E7)</f>
        <v>94950400</v>
      </c>
      <c r="G1020" s="2">
        <f t="shared" si="1"/>
        <v>100</v>
      </c>
    </row>
    <row r="1021" ht="15.75" customHeight="1">
      <c r="A1021" s="1">
        <f>IFERROR(__xludf.DUMMYFUNCTION("""COMPUTED_VALUE"""),45359.66666666667)</f>
        <v>45359.66667</v>
      </c>
      <c r="B1021" s="2">
        <f>IFERROR(__xludf.DUMMYFUNCTION("""COMPUTED_VALUE"""),7150.0)</f>
        <v>7150</v>
      </c>
      <c r="C1021" s="2">
        <f>IFERROR(__xludf.DUMMYFUNCTION("""COMPUTED_VALUE"""),7175.0)</f>
        <v>7175</v>
      </c>
      <c r="D1021" s="2">
        <f>IFERROR(__xludf.DUMMYFUNCTION("""COMPUTED_VALUE"""),7100.0)</f>
        <v>7100</v>
      </c>
      <c r="E1021" s="2">
        <f>IFERROR(__xludf.DUMMYFUNCTION("""COMPUTED_VALUE"""),7125.0)</f>
        <v>7125</v>
      </c>
      <c r="F1021" s="2">
        <f>IFERROR(__xludf.DUMMYFUNCTION("""COMPUTED_VALUE"""),1.090324E8)</f>
        <v>109032400</v>
      </c>
      <c r="G1021" s="2">
        <f t="shared" si="1"/>
        <v>75</v>
      </c>
    </row>
    <row r="1022" ht="15.75" customHeight="1">
      <c r="A1022" s="1">
        <f>IFERROR(__xludf.DUMMYFUNCTION("""COMPUTED_VALUE"""),45364.66666666667)</f>
        <v>45364.66667</v>
      </c>
      <c r="B1022" s="2">
        <f>IFERROR(__xludf.DUMMYFUNCTION("""COMPUTED_VALUE"""),7250.0)</f>
        <v>7250</v>
      </c>
      <c r="C1022" s="2">
        <f>IFERROR(__xludf.DUMMYFUNCTION("""COMPUTED_VALUE"""),7275.0)</f>
        <v>7275</v>
      </c>
      <c r="D1022" s="2">
        <f>IFERROR(__xludf.DUMMYFUNCTION("""COMPUTED_VALUE"""),7150.0)</f>
        <v>7150</v>
      </c>
      <c r="E1022" s="2">
        <f>IFERROR(__xludf.DUMMYFUNCTION("""COMPUTED_VALUE"""),7275.0)</f>
        <v>7275</v>
      </c>
      <c r="F1022" s="2">
        <f>IFERROR(__xludf.DUMMYFUNCTION("""COMPUTED_VALUE"""),1.260227E8)</f>
        <v>126022700</v>
      </c>
      <c r="G1022" s="2">
        <f t="shared" si="1"/>
        <v>150</v>
      </c>
    </row>
    <row r="1023" ht="15.75" customHeight="1">
      <c r="A1023" s="1">
        <f>IFERROR(__xludf.DUMMYFUNCTION("""COMPUTED_VALUE"""),45365.66666666667)</f>
        <v>45365.66667</v>
      </c>
      <c r="B1023" s="2">
        <f>IFERROR(__xludf.DUMMYFUNCTION("""COMPUTED_VALUE"""),7250.0)</f>
        <v>7250</v>
      </c>
      <c r="C1023" s="2">
        <f>IFERROR(__xludf.DUMMYFUNCTION("""COMPUTED_VALUE"""),7400.0)</f>
        <v>7400</v>
      </c>
      <c r="D1023" s="2">
        <f>IFERROR(__xludf.DUMMYFUNCTION("""COMPUTED_VALUE"""),7225.0)</f>
        <v>7225</v>
      </c>
      <c r="E1023" s="2">
        <f>IFERROR(__xludf.DUMMYFUNCTION("""COMPUTED_VALUE"""),7400.0)</f>
        <v>7400</v>
      </c>
      <c r="F1023" s="2">
        <f>IFERROR(__xludf.DUMMYFUNCTION("""COMPUTED_VALUE"""),1.61193E8)</f>
        <v>161193000</v>
      </c>
      <c r="G1023" s="2">
        <f t="shared" si="1"/>
        <v>175</v>
      </c>
    </row>
    <row r="1024" ht="15.75" customHeight="1">
      <c r="A1024" s="1">
        <f>IFERROR(__xludf.DUMMYFUNCTION("""COMPUTED_VALUE"""),45366.66666666667)</f>
        <v>45366.66667</v>
      </c>
      <c r="B1024" s="2">
        <f>IFERROR(__xludf.DUMMYFUNCTION("""COMPUTED_VALUE"""),7450.0)</f>
        <v>7450</v>
      </c>
      <c r="C1024" s="2">
        <f>IFERROR(__xludf.DUMMYFUNCTION("""COMPUTED_VALUE"""),7500.0)</f>
        <v>7500</v>
      </c>
      <c r="D1024" s="2">
        <f>IFERROR(__xludf.DUMMYFUNCTION("""COMPUTED_VALUE"""),7275.0)</f>
        <v>7275</v>
      </c>
      <c r="E1024" s="2">
        <f>IFERROR(__xludf.DUMMYFUNCTION("""COMPUTED_VALUE"""),7400.0)</f>
        <v>7400</v>
      </c>
      <c r="F1024" s="2">
        <f>IFERROR(__xludf.DUMMYFUNCTION("""COMPUTED_VALUE"""),2.505811E8)</f>
        <v>250581100</v>
      </c>
      <c r="G1024" s="2">
        <f t="shared" si="1"/>
        <v>225</v>
      </c>
    </row>
    <row r="1025" ht="15.75" customHeight="1">
      <c r="A1025" s="1">
        <f>IFERROR(__xludf.DUMMYFUNCTION("""COMPUTED_VALUE"""),45369.66666666667)</f>
        <v>45369.66667</v>
      </c>
      <c r="B1025" s="2">
        <f>IFERROR(__xludf.DUMMYFUNCTION("""COMPUTED_VALUE"""),7425.0)</f>
        <v>7425</v>
      </c>
      <c r="C1025" s="2">
        <f>IFERROR(__xludf.DUMMYFUNCTION("""COMPUTED_VALUE"""),7425.0)</f>
        <v>7425</v>
      </c>
      <c r="D1025" s="2">
        <f>IFERROR(__xludf.DUMMYFUNCTION("""COMPUTED_VALUE"""),7175.0)</f>
        <v>7175</v>
      </c>
      <c r="E1025" s="2">
        <f>IFERROR(__xludf.DUMMYFUNCTION("""COMPUTED_VALUE"""),7175.0)</f>
        <v>7175</v>
      </c>
      <c r="F1025" s="2">
        <f>IFERROR(__xludf.DUMMYFUNCTION("""COMPUTED_VALUE"""),1.057782E8)</f>
        <v>105778200</v>
      </c>
      <c r="G1025" s="2">
        <f t="shared" si="1"/>
        <v>250</v>
      </c>
    </row>
    <row r="1026" ht="15.75" customHeight="1">
      <c r="A1026" s="1">
        <f>IFERROR(__xludf.DUMMYFUNCTION("""COMPUTED_VALUE"""),45370.66666666667)</f>
        <v>45370.66667</v>
      </c>
      <c r="B1026" s="2">
        <f>IFERROR(__xludf.DUMMYFUNCTION("""COMPUTED_VALUE"""),7250.0)</f>
        <v>7250</v>
      </c>
      <c r="C1026" s="2">
        <f>IFERROR(__xludf.DUMMYFUNCTION("""COMPUTED_VALUE"""),7350.0)</f>
        <v>7350</v>
      </c>
      <c r="D1026" s="2">
        <f>IFERROR(__xludf.DUMMYFUNCTION("""COMPUTED_VALUE"""),7225.0)</f>
        <v>7225</v>
      </c>
      <c r="E1026" s="2">
        <f>IFERROR(__xludf.DUMMYFUNCTION("""COMPUTED_VALUE"""),7275.0)</f>
        <v>7275</v>
      </c>
      <c r="F1026" s="2">
        <f>IFERROR(__xludf.DUMMYFUNCTION("""COMPUTED_VALUE"""),1.008366E8)</f>
        <v>100836600</v>
      </c>
      <c r="G1026" s="2">
        <f t="shared" si="1"/>
        <v>175</v>
      </c>
    </row>
    <row r="1027" ht="15.75" customHeight="1">
      <c r="A1027" s="1">
        <f>IFERROR(__xludf.DUMMYFUNCTION("""COMPUTED_VALUE"""),45371.66666666667)</f>
        <v>45371.66667</v>
      </c>
      <c r="B1027" s="2">
        <f>IFERROR(__xludf.DUMMYFUNCTION("""COMPUTED_VALUE"""),7050.0)</f>
        <v>7050</v>
      </c>
      <c r="C1027" s="2">
        <f>IFERROR(__xludf.DUMMYFUNCTION("""COMPUTED_VALUE"""),7050.0)</f>
        <v>7050</v>
      </c>
      <c r="D1027" s="2">
        <f>IFERROR(__xludf.DUMMYFUNCTION("""COMPUTED_VALUE"""),7000.0)</f>
        <v>7000</v>
      </c>
      <c r="E1027" s="2">
        <f>IFERROR(__xludf.DUMMYFUNCTION("""COMPUTED_VALUE"""),7050.0)</f>
        <v>7050</v>
      </c>
      <c r="F1027" s="2">
        <f>IFERROR(__xludf.DUMMYFUNCTION("""COMPUTED_VALUE"""),8.34167E7)</f>
        <v>83416700</v>
      </c>
      <c r="G1027" s="2">
        <f t="shared" si="1"/>
        <v>275</v>
      </c>
    </row>
    <row r="1028" ht="15.75" customHeight="1">
      <c r="A1028" s="1">
        <f>IFERROR(__xludf.DUMMYFUNCTION("""COMPUTED_VALUE"""),45372.66666666667)</f>
        <v>45372.66667</v>
      </c>
      <c r="B1028" s="2">
        <f>IFERROR(__xludf.DUMMYFUNCTION("""COMPUTED_VALUE"""),7100.0)</f>
        <v>7100</v>
      </c>
      <c r="C1028" s="2">
        <f>IFERROR(__xludf.DUMMYFUNCTION("""COMPUTED_VALUE"""),7200.0)</f>
        <v>7200</v>
      </c>
      <c r="D1028" s="2">
        <f>IFERROR(__xludf.DUMMYFUNCTION("""COMPUTED_VALUE"""),7050.0)</f>
        <v>7050</v>
      </c>
      <c r="E1028" s="2">
        <f>IFERROR(__xludf.DUMMYFUNCTION("""COMPUTED_VALUE"""),7050.0)</f>
        <v>7050</v>
      </c>
      <c r="F1028" s="2">
        <f>IFERROR(__xludf.DUMMYFUNCTION("""COMPUTED_VALUE"""),8.17748E7)</f>
        <v>81774800</v>
      </c>
      <c r="G1028" s="2">
        <f t="shared" si="1"/>
        <v>150</v>
      </c>
    </row>
    <row r="1029" ht="15.75" customHeight="1">
      <c r="A1029" s="1">
        <f>IFERROR(__xludf.DUMMYFUNCTION("""COMPUTED_VALUE"""),45373.66666666667)</f>
        <v>45373.66667</v>
      </c>
      <c r="B1029" s="2">
        <f>IFERROR(__xludf.DUMMYFUNCTION("""COMPUTED_VALUE"""),7000.0)</f>
        <v>7000</v>
      </c>
      <c r="C1029" s="2">
        <f>IFERROR(__xludf.DUMMYFUNCTION("""COMPUTED_VALUE"""),7075.0)</f>
        <v>7075</v>
      </c>
      <c r="D1029" s="2">
        <f>IFERROR(__xludf.DUMMYFUNCTION("""COMPUTED_VALUE"""),6950.0)</f>
        <v>6950</v>
      </c>
      <c r="E1029" s="2">
        <f>IFERROR(__xludf.DUMMYFUNCTION("""COMPUTED_VALUE"""),7050.0)</f>
        <v>7050</v>
      </c>
      <c r="F1029" s="2">
        <f>IFERROR(__xludf.DUMMYFUNCTION("""COMPUTED_VALUE"""),6.52199E7)</f>
        <v>65219900</v>
      </c>
      <c r="G1029" s="2">
        <f t="shared" si="1"/>
        <v>125</v>
      </c>
    </row>
    <row r="1030" ht="15.75" customHeight="1">
      <c r="A1030" s="1">
        <f>IFERROR(__xludf.DUMMYFUNCTION("""COMPUTED_VALUE"""),45376.66666666667)</f>
        <v>45376.66667</v>
      </c>
      <c r="B1030" s="2">
        <f>IFERROR(__xludf.DUMMYFUNCTION("""COMPUTED_VALUE"""),7250.0)</f>
        <v>7250</v>
      </c>
      <c r="C1030" s="2">
        <f>IFERROR(__xludf.DUMMYFUNCTION("""COMPUTED_VALUE"""),7250.0)</f>
        <v>7250</v>
      </c>
      <c r="D1030" s="2">
        <f>IFERROR(__xludf.DUMMYFUNCTION("""COMPUTED_VALUE"""),7000.0)</f>
        <v>7000</v>
      </c>
      <c r="E1030" s="2">
        <f>IFERROR(__xludf.DUMMYFUNCTION("""COMPUTED_VALUE"""),7250.0)</f>
        <v>7250</v>
      </c>
      <c r="F1030" s="2">
        <f>IFERROR(__xludf.DUMMYFUNCTION("""COMPUTED_VALUE"""),7.82127E7)</f>
        <v>78212700</v>
      </c>
      <c r="G1030" s="2">
        <f t="shared" si="1"/>
        <v>250</v>
      </c>
    </row>
    <row r="1031" ht="15.75" customHeight="1">
      <c r="A1031" s="1">
        <f>IFERROR(__xludf.DUMMYFUNCTION("""COMPUTED_VALUE"""),45377.66666666667)</f>
        <v>45377.66667</v>
      </c>
      <c r="B1031" s="2">
        <f>IFERROR(__xludf.DUMMYFUNCTION("""COMPUTED_VALUE"""),7225.0)</f>
        <v>7225</v>
      </c>
      <c r="C1031" s="2">
        <f>IFERROR(__xludf.DUMMYFUNCTION("""COMPUTED_VALUE"""),7225.0)</f>
        <v>7225</v>
      </c>
      <c r="D1031" s="2">
        <f>IFERROR(__xludf.DUMMYFUNCTION("""COMPUTED_VALUE"""),7125.0)</f>
        <v>7125</v>
      </c>
      <c r="E1031" s="2">
        <f>IFERROR(__xludf.DUMMYFUNCTION("""COMPUTED_VALUE"""),7175.0)</f>
        <v>7175</v>
      </c>
      <c r="F1031" s="2">
        <f>IFERROR(__xludf.DUMMYFUNCTION("""COMPUTED_VALUE"""),7.42743E7)</f>
        <v>74274300</v>
      </c>
      <c r="G1031" s="2">
        <f t="shared" si="1"/>
        <v>125</v>
      </c>
    </row>
    <row r="1032" ht="15.75" customHeight="1">
      <c r="A1032" s="1">
        <f>IFERROR(__xludf.DUMMYFUNCTION("""COMPUTED_VALUE"""),45378.66666666667)</f>
        <v>45378.66667</v>
      </c>
      <c r="B1032" s="2">
        <f>IFERROR(__xludf.DUMMYFUNCTION("""COMPUTED_VALUE"""),7200.0)</f>
        <v>7200</v>
      </c>
      <c r="C1032" s="2">
        <f>IFERROR(__xludf.DUMMYFUNCTION("""COMPUTED_VALUE"""),7250.0)</f>
        <v>7250</v>
      </c>
      <c r="D1032" s="2">
        <f>IFERROR(__xludf.DUMMYFUNCTION("""COMPUTED_VALUE"""),7175.0)</f>
        <v>7175</v>
      </c>
      <c r="E1032" s="2">
        <f>IFERROR(__xludf.DUMMYFUNCTION("""COMPUTED_VALUE"""),7175.0)</f>
        <v>7175</v>
      </c>
      <c r="F1032" s="2">
        <f>IFERROR(__xludf.DUMMYFUNCTION("""COMPUTED_VALUE"""),4.62957E7)</f>
        <v>46295700</v>
      </c>
      <c r="G1032" s="2">
        <f t="shared" si="1"/>
        <v>75</v>
      </c>
    </row>
    <row r="1033" ht="15.75" customHeight="1">
      <c r="A1033" s="1">
        <f>IFERROR(__xludf.DUMMYFUNCTION("""COMPUTED_VALUE"""),45379.66666666667)</f>
        <v>45379.66667</v>
      </c>
      <c r="B1033" s="2">
        <f>IFERROR(__xludf.DUMMYFUNCTION("""COMPUTED_VALUE"""),7150.0)</f>
        <v>7150</v>
      </c>
      <c r="C1033" s="2">
        <f>IFERROR(__xludf.DUMMYFUNCTION("""COMPUTED_VALUE"""),7250.0)</f>
        <v>7250</v>
      </c>
      <c r="D1033" s="2">
        <f>IFERROR(__xludf.DUMMYFUNCTION("""COMPUTED_VALUE"""),7125.0)</f>
        <v>7125</v>
      </c>
      <c r="E1033" s="2">
        <f>IFERROR(__xludf.DUMMYFUNCTION("""COMPUTED_VALUE"""),7250.0)</f>
        <v>7250</v>
      </c>
      <c r="F1033" s="2">
        <f>IFERROR(__xludf.DUMMYFUNCTION("""COMPUTED_VALUE"""),9.09009E7)</f>
        <v>90900900</v>
      </c>
      <c r="G1033" s="2">
        <f t="shared" si="1"/>
        <v>125</v>
      </c>
    </row>
    <row r="1034" ht="15.75" customHeight="1">
      <c r="A1034" s="1">
        <f>IFERROR(__xludf.DUMMYFUNCTION("""COMPUTED_VALUE"""),45383.66666666667)</f>
        <v>45383.66667</v>
      </c>
      <c r="B1034" s="2">
        <f>IFERROR(__xludf.DUMMYFUNCTION("""COMPUTED_VALUE"""),7250.0)</f>
        <v>7250</v>
      </c>
      <c r="C1034" s="2">
        <f>IFERROR(__xludf.DUMMYFUNCTION("""COMPUTED_VALUE"""),7250.0)</f>
        <v>7250</v>
      </c>
      <c r="D1034" s="2">
        <f>IFERROR(__xludf.DUMMYFUNCTION("""COMPUTED_VALUE"""),6750.0)</f>
        <v>6750</v>
      </c>
      <c r="E1034" s="2">
        <f>IFERROR(__xludf.DUMMYFUNCTION("""COMPUTED_VALUE"""),6900.0)</f>
        <v>6900</v>
      </c>
      <c r="F1034" s="2">
        <f>IFERROR(__xludf.DUMMYFUNCTION("""COMPUTED_VALUE"""),1.583586E8)</f>
        <v>158358600</v>
      </c>
      <c r="G1034" s="2">
        <f t="shared" si="1"/>
        <v>500</v>
      </c>
    </row>
    <row r="1035" ht="15.75" customHeight="1">
      <c r="A1035" s="1">
        <f>IFERROR(__xludf.DUMMYFUNCTION("""COMPUTED_VALUE"""),45384.66666666667)</f>
        <v>45384.66667</v>
      </c>
      <c r="B1035" s="2">
        <f>IFERROR(__xludf.DUMMYFUNCTION("""COMPUTED_VALUE"""),6900.0)</f>
        <v>6900</v>
      </c>
      <c r="C1035" s="2">
        <f>IFERROR(__xludf.DUMMYFUNCTION("""COMPUTED_VALUE"""),6900.0)</f>
        <v>6900</v>
      </c>
      <c r="D1035" s="2">
        <f>IFERROR(__xludf.DUMMYFUNCTION("""COMPUTED_VALUE"""),6700.0)</f>
        <v>6700</v>
      </c>
      <c r="E1035" s="2">
        <f>IFERROR(__xludf.DUMMYFUNCTION("""COMPUTED_VALUE"""),6900.0)</f>
        <v>6900</v>
      </c>
      <c r="F1035" s="2">
        <f>IFERROR(__xludf.DUMMYFUNCTION("""COMPUTED_VALUE"""),1.357649E8)</f>
        <v>135764900</v>
      </c>
      <c r="G1035" s="2">
        <f t="shared" si="1"/>
        <v>200</v>
      </c>
    </row>
    <row r="1036" ht="15.75" customHeight="1">
      <c r="A1036" s="1">
        <f>IFERROR(__xludf.DUMMYFUNCTION("""COMPUTED_VALUE"""),45385.66666666667)</f>
        <v>45385.66667</v>
      </c>
      <c r="B1036" s="2">
        <f>IFERROR(__xludf.DUMMYFUNCTION("""COMPUTED_VALUE"""),6950.0)</f>
        <v>6950</v>
      </c>
      <c r="C1036" s="2">
        <f>IFERROR(__xludf.DUMMYFUNCTION("""COMPUTED_VALUE"""),6950.0)</f>
        <v>6950</v>
      </c>
      <c r="D1036" s="2">
        <f>IFERROR(__xludf.DUMMYFUNCTION("""COMPUTED_VALUE"""),6675.0)</f>
        <v>6675</v>
      </c>
      <c r="E1036" s="2">
        <f>IFERROR(__xludf.DUMMYFUNCTION("""COMPUTED_VALUE"""),6775.0)</f>
        <v>6775</v>
      </c>
      <c r="F1036" s="2">
        <f>IFERROR(__xludf.DUMMYFUNCTION("""COMPUTED_VALUE"""),1.153726E8)</f>
        <v>115372600</v>
      </c>
      <c r="G1036" s="2">
        <f t="shared" si="1"/>
        <v>275</v>
      </c>
    </row>
    <row r="1037" ht="15.75" customHeight="1">
      <c r="A1037" s="1">
        <f>IFERROR(__xludf.DUMMYFUNCTION("""COMPUTED_VALUE"""),45386.66666666667)</f>
        <v>45386.66667</v>
      </c>
      <c r="B1037" s="2">
        <f>IFERROR(__xludf.DUMMYFUNCTION("""COMPUTED_VALUE"""),6750.0)</f>
        <v>6750</v>
      </c>
      <c r="C1037" s="2">
        <f>IFERROR(__xludf.DUMMYFUNCTION("""COMPUTED_VALUE"""),6925.0)</f>
        <v>6925</v>
      </c>
      <c r="D1037" s="2">
        <f>IFERROR(__xludf.DUMMYFUNCTION("""COMPUTED_VALUE"""),6750.0)</f>
        <v>6750</v>
      </c>
      <c r="E1037" s="2">
        <f>IFERROR(__xludf.DUMMYFUNCTION("""COMPUTED_VALUE"""),6875.0)</f>
        <v>6875</v>
      </c>
      <c r="F1037" s="2">
        <f>IFERROR(__xludf.DUMMYFUNCTION("""COMPUTED_VALUE"""),6.31749E7)</f>
        <v>63174900</v>
      </c>
      <c r="G1037" s="2">
        <f t="shared" si="1"/>
        <v>175</v>
      </c>
    </row>
    <row r="1038" ht="15.75" customHeight="1">
      <c r="A1038" s="1">
        <f>IFERROR(__xludf.DUMMYFUNCTION("""COMPUTED_VALUE"""),45387.66666666667)</f>
        <v>45387.66667</v>
      </c>
      <c r="B1038" s="2">
        <f>IFERROR(__xludf.DUMMYFUNCTION("""COMPUTED_VALUE"""),6825.0)</f>
        <v>6825</v>
      </c>
      <c r="C1038" s="2">
        <f>IFERROR(__xludf.DUMMYFUNCTION("""COMPUTED_VALUE"""),6900.0)</f>
        <v>6900</v>
      </c>
      <c r="D1038" s="2">
        <f>IFERROR(__xludf.DUMMYFUNCTION("""COMPUTED_VALUE"""),6825.0)</f>
        <v>6825</v>
      </c>
      <c r="E1038" s="2">
        <f>IFERROR(__xludf.DUMMYFUNCTION("""COMPUTED_VALUE"""),6825.0)</f>
        <v>6825</v>
      </c>
      <c r="F1038" s="2">
        <f>IFERROR(__xludf.DUMMYFUNCTION("""COMPUTED_VALUE"""),4.61115E7)</f>
        <v>46111500</v>
      </c>
      <c r="G1038" s="2">
        <f t="shared" si="1"/>
        <v>75</v>
      </c>
    </row>
    <row r="1039" ht="15.75" customHeight="1">
      <c r="A1039" s="1">
        <f>IFERROR(__xludf.DUMMYFUNCTION("""COMPUTED_VALUE"""),45398.66666666667)</f>
        <v>45398.66667</v>
      </c>
      <c r="B1039" s="2">
        <f>IFERROR(__xludf.DUMMYFUNCTION("""COMPUTED_VALUE"""),6350.0)</f>
        <v>6350</v>
      </c>
      <c r="C1039" s="2">
        <f>IFERROR(__xludf.DUMMYFUNCTION("""COMPUTED_VALUE"""),6725.0)</f>
        <v>6725</v>
      </c>
      <c r="D1039" s="2">
        <f>IFERROR(__xludf.DUMMYFUNCTION("""COMPUTED_VALUE"""),6300.0)</f>
        <v>6300</v>
      </c>
      <c r="E1039" s="2">
        <f>IFERROR(__xludf.DUMMYFUNCTION("""COMPUTED_VALUE"""),6625.0)</f>
        <v>6625</v>
      </c>
      <c r="F1039" s="2">
        <f>IFERROR(__xludf.DUMMYFUNCTION("""COMPUTED_VALUE"""),1.800124E8)</f>
        <v>180012400</v>
      </c>
      <c r="G1039" s="2">
        <f t="shared" si="1"/>
        <v>525</v>
      </c>
    </row>
    <row r="1040" ht="15.75" customHeight="1">
      <c r="A1040" s="1">
        <f>IFERROR(__xludf.DUMMYFUNCTION("""COMPUTED_VALUE"""),45399.66666666667)</f>
        <v>45399.66667</v>
      </c>
      <c r="B1040" s="2">
        <f>IFERROR(__xludf.DUMMYFUNCTION("""COMPUTED_VALUE"""),6700.0)</f>
        <v>6700</v>
      </c>
      <c r="C1040" s="2">
        <f>IFERROR(__xludf.DUMMYFUNCTION("""COMPUTED_VALUE"""),6775.0)</f>
        <v>6775</v>
      </c>
      <c r="D1040" s="2">
        <f>IFERROR(__xludf.DUMMYFUNCTION("""COMPUTED_VALUE"""),6625.0)</f>
        <v>6625</v>
      </c>
      <c r="E1040" s="2">
        <f>IFERROR(__xludf.DUMMYFUNCTION("""COMPUTED_VALUE"""),6625.0)</f>
        <v>6625</v>
      </c>
      <c r="F1040" s="2">
        <f>IFERROR(__xludf.DUMMYFUNCTION("""COMPUTED_VALUE"""),8.38402E7)</f>
        <v>83840200</v>
      </c>
      <c r="G1040" s="2">
        <f t="shared" si="1"/>
        <v>150</v>
      </c>
    </row>
    <row r="1041" ht="15.75" customHeight="1">
      <c r="A1041" s="1">
        <f>IFERROR(__xludf.DUMMYFUNCTION("""COMPUTED_VALUE"""),45400.66666666667)</f>
        <v>45400.66667</v>
      </c>
      <c r="B1041" s="2">
        <f>IFERROR(__xludf.DUMMYFUNCTION("""COMPUTED_VALUE"""),6800.0)</f>
        <v>6800</v>
      </c>
      <c r="C1041" s="2">
        <f>IFERROR(__xludf.DUMMYFUNCTION("""COMPUTED_VALUE"""),6900.0)</f>
        <v>6900</v>
      </c>
      <c r="D1041" s="2">
        <f>IFERROR(__xludf.DUMMYFUNCTION("""COMPUTED_VALUE"""),6725.0)</f>
        <v>6725</v>
      </c>
      <c r="E1041" s="2">
        <f>IFERROR(__xludf.DUMMYFUNCTION("""COMPUTED_VALUE"""),6800.0)</f>
        <v>6800</v>
      </c>
      <c r="F1041" s="2">
        <f>IFERROR(__xludf.DUMMYFUNCTION("""COMPUTED_VALUE"""),1.068939E8)</f>
        <v>106893900</v>
      </c>
      <c r="G1041" s="2">
        <f t="shared" si="1"/>
        <v>275</v>
      </c>
    </row>
    <row r="1042" ht="15.75" customHeight="1">
      <c r="A1042" s="1">
        <f>IFERROR(__xludf.DUMMYFUNCTION("""COMPUTED_VALUE"""),45401.66666666667)</f>
        <v>45401.66667</v>
      </c>
      <c r="B1042" s="2">
        <f>IFERROR(__xludf.DUMMYFUNCTION("""COMPUTED_VALUE"""),6725.0)</f>
        <v>6725</v>
      </c>
      <c r="C1042" s="2">
        <f>IFERROR(__xludf.DUMMYFUNCTION("""COMPUTED_VALUE"""),6800.0)</f>
        <v>6800</v>
      </c>
      <c r="D1042" s="2">
        <f>IFERROR(__xludf.DUMMYFUNCTION("""COMPUTED_VALUE"""),6650.0)</f>
        <v>6650</v>
      </c>
      <c r="E1042" s="2">
        <f>IFERROR(__xludf.DUMMYFUNCTION("""COMPUTED_VALUE"""),6725.0)</f>
        <v>6725</v>
      </c>
      <c r="F1042" s="2">
        <f>IFERROR(__xludf.DUMMYFUNCTION("""COMPUTED_VALUE"""),4.79433E7)</f>
        <v>47943300</v>
      </c>
      <c r="G1042" s="2">
        <f t="shared" si="1"/>
        <v>150</v>
      </c>
    </row>
    <row r="1043" ht="15.75" customHeight="1">
      <c r="A1043" s="1">
        <f>IFERROR(__xludf.DUMMYFUNCTION("""COMPUTED_VALUE"""),45404.66666666667)</f>
        <v>45404.66667</v>
      </c>
      <c r="B1043" s="2">
        <f>IFERROR(__xludf.DUMMYFUNCTION("""COMPUTED_VALUE"""),6875.0)</f>
        <v>6875</v>
      </c>
      <c r="C1043" s="2">
        <f>IFERROR(__xludf.DUMMYFUNCTION("""COMPUTED_VALUE"""),6875.0)</f>
        <v>6875</v>
      </c>
      <c r="D1043" s="2">
        <f>IFERROR(__xludf.DUMMYFUNCTION("""COMPUTED_VALUE"""),6575.0)</f>
        <v>6575</v>
      </c>
      <c r="E1043" s="2">
        <f>IFERROR(__xludf.DUMMYFUNCTION("""COMPUTED_VALUE"""),6725.0)</f>
        <v>6725</v>
      </c>
      <c r="F1043" s="2">
        <f>IFERROR(__xludf.DUMMYFUNCTION("""COMPUTED_VALUE"""),1.217279E8)</f>
        <v>121727900</v>
      </c>
      <c r="G1043" s="2">
        <f t="shared" si="1"/>
        <v>300</v>
      </c>
    </row>
    <row r="1044" ht="15.75" customHeight="1">
      <c r="A1044" s="1">
        <f>IFERROR(__xludf.DUMMYFUNCTION("""COMPUTED_VALUE"""),45405.66666666667)</f>
        <v>45405.66667</v>
      </c>
      <c r="B1044" s="2">
        <f>IFERROR(__xludf.DUMMYFUNCTION("""COMPUTED_VALUE"""),6850.0)</f>
        <v>6850</v>
      </c>
      <c r="C1044" s="2">
        <f>IFERROR(__xludf.DUMMYFUNCTION("""COMPUTED_VALUE"""),6925.0)</f>
        <v>6925</v>
      </c>
      <c r="D1044" s="2">
        <f>IFERROR(__xludf.DUMMYFUNCTION("""COMPUTED_VALUE"""),6725.0)</f>
        <v>6725</v>
      </c>
      <c r="E1044" s="2">
        <f>IFERROR(__xludf.DUMMYFUNCTION("""COMPUTED_VALUE"""),6825.0)</f>
        <v>6825</v>
      </c>
      <c r="F1044" s="2">
        <f>IFERROR(__xludf.DUMMYFUNCTION("""COMPUTED_VALUE"""),1.066992E8)</f>
        <v>106699200</v>
      </c>
      <c r="G1044" s="2">
        <f t="shared" si="1"/>
        <v>200</v>
      </c>
    </row>
    <row r="1045" ht="15.75" customHeight="1">
      <c r="A1045" s="1">
        <f>IFERROR(__xludf.DUMMYFUNCTION("""COMPUTED_VALUE"""),45406.66666666667)</f>
        <v>45406.66667</v>
      </c>
      <c r="B1045" s="2">
        <f>IFERROR(__xludf.DUMMYFUNCTION("""COMPUTED_VALUE"""),6925.0)</f>
        <v>6925</v>
      </c>
      <c r="C1045" s="2">
        <f>IFERROR(__xludf.DUMMYFUNCTION("""COMPUTED_VALUE"""),7050.0)</f>
        <v>7050</v>
      </c>
      <c r="D1045" s="2">
        <f>IFERROR(__xludf.DUMMYFUNCTION("""COMPUTED_VALUE"""),6900.0)</f>
        <v>6900</v>
      </c>
      <c r="E1045" s="2">
        <f>IFERROR(__xludf.DUMMYFUNCTION("""COMPUTED_VALUE"""),7050.0)</f>
        <v>7050</v>
      </c>
      <c r="F1045" s="2">
        <f>IFERROR(__xludf.DUMMYFUNCTION("""COMPUTED_VALUE"""),1.175865E8)</f>
        <v>117586500</v>
      </c>
      <c r="G1045" s="2">
        <f t="shared" si="1"/>
        <v>225</v>
      </c>
    </row>
    <row r="1046" ht="15.75" customHeight="1">
      <c r="A1046" s="1">
        <f>IFERROR(__xludf.DUMMYFUNCTION("""COMPUTED_VALUE"""),45407.66666666667)</f>
        <v>45407.66667</v>
      </c>
      <c r="B1046" s="2">
        <f>IFERROR(__xludf.DUMMYFUNCTION("""COMPUTED_VALUE"""),7050.0)</f>
        <v>7050</v>
      </c>
      <c r="C1046" s="2">
        <f>IFERROR(__xludf.DUMMYFUNCTION("""COMPUTED_VALUE"""),7075.0)</f>
        <v>7075</v>
      </c>
      <c r="D1046" s="2">
        <f>IFERROR(__xludf.DUMMYFUNCTION("""COMPUTED_VALUE"""),6925.0)</f>
        <v>6925</v>
      </c>
      <c r="E1046" s="2">
        <f>IFERROR(__xludf.DUMMYFUNCTION("""COMPUTED_VALUE"""),6950.0)</f>
        <v>6950</v>
      </c>
      <c r="F1046" s="2">
        <f>IFERROR(__xludf.DUMMYFUNCTION("""COMPUTED_VALUE"""),1.118035E8)</f>
        <v>111803500</v>
      </c>
      <c r="G1046" s="2">
        <f t="shared" si="1"/>
        <v>150</v>
      </c>
    </row>
    <row r="1047" ht="15.75" customHeight="1">
      <c r="A1047" s="1">
        <f>IFERROR(__xludf.DUMMYFUNCTION("""COMPUTED_VALUE"""),45408.66666666667)</f>
        <v>45408.66667</v>
      </c>
      <c r="B1047" s="2">
        <f>IFERROR(__xludf.DUMMYFUNCTION("""COMPUTED_VALUE"""),7000.0)</f>
        <v>7000</v>
      </c>
      <c r="C1047" s="2">
        <f>IFERROR(__xludf.DUMMYFUNCTION("""COMPUTED_VALUE"""),7025.0)</f>
        <v>7025</v>
      </c>
      <c r="D1047" s="2">
        <f>IFERROR(__xludf.DUMMYFUNCTION("""COMPUTED_VALUE"""),6750.0)</f>
        <v>6750</v>
      </c>
      <c r="E1047" s="2">
        <f>IFERROR(__xludf.DUMMYFUNCTION("""COMPUTED_VALUE"""),6750.0)</f>
        <v>6750</v>
      </c>
      <c r="F1047" s="2">
        <f>IFERROR(__xludf.DUMMYFUNCTION("""COMPUTED_VALUE"""),1.25875E8)</f>
        <v>125875000</v>
      </c>
      <c r="G1047" s="2">
        <f t="shared" si="1"/>
        <v>275</v>
      </c>
    </row>
    <row r="1048" ht="15.75" customHeight="1">
      <c r="A1048" s="1">
        <f>IFERROR(__xludf.DUMMYFUNCTION("""COMPUTED_VALUE"""),45411.66666666667)</f>
        <v>45411.66667</v>
      </c>
      <c r="B1048" s="2">
        <f>IFERROR(__xludf.DUMMYFUNCTION("""COMPUTED_VALUE"""),6650.0)</f>
        <v>6650</v>
      </c>
      <c r="C1048" s="2">
        <f>IFERROR(__xludf.DUMMYFUNCTION("""COMPUTED_VALUE"""),6950.0)</f>
        <v>6950</v>
      </c>
      <c r="D1048" s="2">
        <f>IFERROR(__xludf.DUMMYFUNCTION("""COMPUTED_VALUE"""),6650.0)</f>
        <v>6650</v>
      </c>
      <c r="E1048" s="2">
        <f>IFERROR(__xludf.DUMMYFUNCTION("""COMPUTED_VALUE"""),6925.0)</f>
        <v>6925</v>
      </c>
      <c r="F1048" s="2">
        <f>IFERROR(__xludf.DUMMYFUNCTION("""COMPUTED_VALUE"""),7.79384E7)</f>
        <v>77938400</v>
      </c>
      <c r="G1048" s="2">
        <f t="shared" si="1"/>
        <v>300</v>
      </c>
    </row>
    <row r="1049" ht="15.75" customHeight="1">
      <c r="A1049" s="1">
        <f>IFERROR(__xludf.DUMMYFUNCTION("""COMPUTED_VALUE"""),45412.66666666667)</f>
        <v>45412.66667</v>
      </c>
      <c r="B1049" s="2">
        <f>IFERROR(__xludf.DUMMYFUNCTION("""COMPUTED_VALUE"""),6800.0)</f>
        <v>6800</v>
      </c>
      <c r="C1049" s="2">
        <f>IFERROR(__xludf.DUMMYFUNCTION("""COMPUTED_VALUE"""),7050.0)</f>
        <v>7050</v>
      </c>
      <c r="D1049" s="2">
        <f>IFERROR(__xludf.DUMMYFUNCTION("""COMPUTED_VALUE"""),6775.0)</f>
        <v>6775</v>
      </c>
      <c r="E1049" s="2">
        <f>IFERROR(__xludf.DUMMYFUNCTION("""COMPUTED_VALUE"""),6900.0)</f>
        <v>6900</v>
      </c>
      <c r="F1049" s="2">
        <f>IFERROR(__xludf.DUMMYFUNCTION("""COMPUTED_VALUE"""),1.899913E8)</f>
        <v>189991300</v>
      </c>
      <c r="G1049" s="2">
        <f t="shared" si="1"/>
        <v>275</v>
      </c>
    </row>
    <row r="1050" ht="15.75" customHeight="1">
      <c r="A1050" s="1">
        <f>IFERROR(__xludf.DUMMYFUNCTION("""COMPUTED_VALUE"""),45414.66666666667)</f>
        <v>45414.66667</v>
      </c>
      <c r="B1050" s="2">
        <f>IFERROR(__xludf.DUMMYFUNCTION("""COMPUTED_VALUE"""),6800.0)</f>
        <v>6800</v>
      </c>
      <c r="C1050" s="2">
        <f>IFERROR(__xludf.DUMMYFUNCTION("""COMPUTED_VALUE"""),6800.0)</f>
        <v>6800</v>
      </c>
      <c r="D1050" s="2">
        <f>IFERROR(__xludf.DUMMYFUNCTION("""COMPUTED_VALUE"""),6050.0)</f>
        <v>6050</v>
      </c>
      <c r="E1050" s="2">
        <f>IFERROR(__xludf.DUMMYFUNCTION("""COMPUTED_VALUE"""),6325.0)</f>
        <v>6325</v>
      </c>
      <c r="F1050" s="2">
        <f>IFERROR(__xludf.DUMMYFUNCTION("""COMPUTED_VALUE"""),5.018493E8)</f>
        <v>501849300</v>
      </c>
      <c r="G1050" s="2">
        <f t="shared" si="1"/>
        <v>850</v>
      </c>
    </row>
    <row r="1051" ht="15.75" customHeight="1">
      <c r="A1051" s="1">
        <f>IFERROR(__xludf.DUMMYFUNCTION("""COMPUTED_VALUE"""),45415.66666666667)</f>
        <v>45415.66667</v>
      </c>
      <c r="B1051" s="2">
        <f>IFERROR(__xludf.DUMMYFUNCTION("""COMPUTED_VALUE"""),6300.0)</f>
        <v>6300</v>
      </c>
      <c r="C1051" s="2">
        <f>IFERROR(__xludf.DUMMYFUNCTION("""COMPUTED_VALUE"""),6425.0)</f>
        <v>6425</v>
      </c>
      <c r="D1051" s="2">
        <f>IFERROR(__xludf.DUMMYFUNCTION("""COMPUTED_VALUE"""),6050.0)</f>
        <v>6050</v>
      </c>
      <c r="E1051" s="2">
        <f>IFERROR(__xludf.DUMMYFUNCTION("""COMPUTED_VALUE"""),6150.0)</f>
        <v>6150</v>
      </c>
      <c r="F1051" s="2">
        <f>IFERROR(__xludf.DUMMYFUNCTION("""COMPUTED_VALUE"""),2.693054E8)</f>
        <v>269305400</v>
      </c>
      <c r="G1051" s="2">
        <f t="shared" si="1"/>
        <v>375</v>
      </c>
    </row>
    <row r="1052" ht="15.75" customHeight="1">
      <c r="A1052" s="1">
        <f>IFERROR(__xludf.DUMMYFUNCTION("""COMPUTED_VALUE"""),45418.66666666667)</f>
        <v>45418.66667</v>
      </c>
      <c r="B1052" s="2">
        <f>IFERROR(__xludf.DUMMYFUNCTION("""COMPUTED_VALUE"""),6250.0)</f>
        <v>6250</v>
      </c>
      <c r="C1052" s="2">
        <f>IFERROR(__xludf.DUMMYFUNCTION("""COMPUTED_VALUE"""),6400.0)</f>
        <v>6400</v>
      </c>
      <c r="D1052" s="2">
        <f>IFERROR(__xludf.DUMMYFUNCTION("""COMPUTED_VALUE"""),6150.0)</f>
        <v>6150</v>
      </c>
      <c r="E1052" s="2">
        <f>IFERROR(__xludf.DUMMYFUNCTION("""COMPUTED_VALUE"""),6275.0)</f>
        <v>6275</v>
      </c>
      <c r="F1052" s="2">
        <f>IFERROR(__xludf.DUMMYFUNCTION("""COMPUTED_VALUE"""),1.842342E8)</f>
        <v>184234200</v>
      </c>
      <c r="G1052" s="2">
        <f t="shared" si="1"/>
        <v>250</v>
      </c>
    </row>
    <row r="1053" ht="15.75" customHeight="1">
      <c r="A1053" s="1">
        <f>IFERROR(__xludf.DUMMYFUNCTION("""COMPUTED_VALUE"""),45419.66666666667)</f>
        <v>45419.66667</v>
      </c>
      <c r="B1053" s="2">
        <f>IFERROR(__xludf.DUMMYFUNCTION("""COMPUTED_VALUE"""),6325.0)</f>
        <v>6325</v>
      </c>
      <c r="C1053" s="2">
        <f>IFERROR(__xludf.DUMMYFUNCTION("""COMPUTED_VALUE"""),6400.0)</f>
        <v>6400</v>
      </c>
      <c r="D1053" s="2">
        <f>IFERROR(__xludf.DUMMYFUNCTION("""COMPUTED_VALUE"""),6250.0)</f>
        <v>6250</v>
      </c>
      <c r="E1053" s="2">
        <f>IFERROR(__xludf.DUMMYFUNCTION("""COMPUTED_VALUE"""),6275.0)</f>
        <v>6275</v>
      </c>
      <c r="F1053" s="2">
        <f>IFERROR(__xludf.DUMMYFUNCTION("""COMPUTED_VALUE"""),1.304103E8)</f>
        <v>130410300</v>
      </c>
      <c r="G1053" s="2">
        <f t="shared" si="1"/>
        <v>150</v>
      </c>
    </row>
    <row r="1054" ht="15.75" customHeight="1">
      <c r="A1054" s="1">
        <f>IFERROR(__xludf.DUMMYFUNCTION("""COMPUTED_VALUE"""),45420.66666666667)</f>
        <v>45420.66667</v>
      </c>
      <c r="B1054" s="2">
        <f>IFERROR(__xludf.DUMMYFUNCTION("""COMPUTED_VALUE"""),6325.0)</f>
        <v>6325</v>
      </c>
      <c r="C1054" s="2">
        <f>IFERROR(__xludf.DUMMYFUNCTION("""COMPUTED_VALUE"""),6450.0)</f>
        <v>6450</v>
      </c>
      <c r="D1054" s="2">
        <f>IFERROR(__xludf.DUMMYFUNCTION("""COMPUTED_VALUE"""),6250.0)</f>
        <v>6250</v>
      </c>
      <c r="E1054" s="2">
        <f>IFERROR(__xludf.DUMMYFUNCTION("""COMPUTED_VALUE"""),6275.0)</f>
        <v>6275</v>
      </c>
      <c r="F1054" s="2">
        <f>IFERROR(__xludf.DUMMYFUNCTION("""COMPUTED_VALUE"""),1.170653E8)</f>
        <v>117065300</v>
      </c>
      <c r="G1054" s="2">
        <f t="shared" si="1"/>
        <v>200</v>
      </c>
    </row>
    <row r="1055" ht="15.75" customHeight="1">
      <c r="A1055" s="1">
        <f>IFERROR(__xludf.DUMMYFUNCTION("""COMPUTED_VALUE"""),45425.66666666667)</f>
        <v>45425.66667</v>
      </c>
      <c r="B1055" s="2">
        <f>IFERROR(__xludf.DUMMYFUNCTION("""COMPUTED_VALUE"""),6200.0)</f>
        <v>6200</v>
      </c>
      <c r="C1055" s="2">
        <f>IFERROR(__xludf.DUMMYFUNCTION("""COMPUTED_VALUE"""),6275.0)</f>
        <v>6275</v>
      </c>
      <c r="D1055" s="2">
        <f>IFERROR(__xludf.DUMMYFUNCTION("""COMPUTED_VALUE"""),6125.0)</f>
        <v>6125</v>
      </c>
      <c r="E1055" s="2">
        <f>IFERROR(__xludf.DUMMYFUNCTION("""COMPUTED_VALUE"""),6200.0)</f>
        <v>6200</v>
      </c>
      <c r="F1055" s="2">
        <f>IFERROR(__xludf.DUMMYFUNCTION("""COMPUTED_VALUE"""),1.286383E8)</f>
        <v>128638300</v>
      </c>
      <c r="G1055" s="2">
        <f t="shared" si="1"/>
        <v>150</v>
      </c>
    </row>
    <row r="1056" ht="15.75" customHeight="1">
      <c r="A1056" s="1">
        <f>IFERROR(__xludf.DUMMYFUNCTION("""COMPUTED_VALUE"""),45426.66666666667)</f>
        <v>45426.66667</v>
      </c>
      <c r="B1056" s="2">
        <f>IFERROR(__xludf.DUMMYFUNCTION("""COMPUTED_VALUE"""),6175.0)</f>
        <v>6175</v>
      </c>
      <c r="C1056" s="2">
        <f>IFERROR(__xludf.DUMMYFUNCTION("""COMPUTED_VALUE"""),6300.0)</f>
        <v>6300</v>
      </c>
      <c r="D1056" s="2">
        <f>IFERROR(__xludf.DUMMYFUNCTION("""COMPUTED_VALUE"""),6175.0)</f>
        <v>6175</v>
      </c>
      <c r="E1056" s="2">
        <f>IFERROR(__xludf.DUMMYFUNCTION("""COMPUTED_VALUE"""),6200.0)</f>
        <v>6200</v>
      </c>
      <c r="F1056" s="2">
        <f>IFERROR(__xludf.DUMMYFUNCTION("""COMPUTED_VALUE"""),9.40484E7)</f>
        <v>94048400</v>
      </c>
      <c r="G1056" s="2">
        <f t="shared" si="1"/>
        <v>125</v>
      </c>
    </row>
    <row r="1057" ht="15.75" customHeight="1">
      <c r="A1057" s="1">
        <f>IFERROR(__xludf.DUMMYFUNCTION("""COMPUTED_VALUE"""),45427.66666666667)</f>
        <v>45427.66667</v>
      </c>
      <c r="B1057" s="2">
        <f>IFERROR(__xludf.DUMMYFUNCTION("""COMPUTED_VALUE"""),6200.0)</f>
        <v>6200</v>
      </c>
      <c r="C1057" s="2">
        <f>IFERROR(__xludf.DUMMYFUNCTION("""COMPUTED_VALUE"""),6400.0)</f>
        <v>6400</v>
      </c>
      <c r="D1057" s="2">
        <f>IFERROR(__xludf.DUMMYFUNCTION("""COMPUTED_VALUE"""),6200.0)</f>
        <v>6200</v>
      </c>
      <c r="E1057" s="2">
        <f>IFERROR(__xludf.DUMMYFUNCTION("""COMPUTED_VALUE"""),6375.0)</f>
        <v>6375</v>
      </c>
      <c r="F1057" s="2">
        <f>IFERROR(__xludf.DUMMYFUNCTION("""COMPUTED_VALUE"""),8.0923E7)</f>
        <v>80923000</v>
      </c>
      <c r="G1057" s="2">
        <f t="shared" si="1"/>
        <v>200</v>
      </c>
    </row>
    <row r="1058" ht="15.75" customHeight="1">
      <c r="A1058" s="1">
        <f>IFERROR(__xludf.DUMMYFUNCTION("""COMPUTED_VALUE"""),45428.66666666667)</f>
        <v>45428.66667</v>
      </c>
      <c r="B1058" s="2">
        <f>IFERROR(__xludf.DUMMYFUNCTION("""COMPUTED_VALUE"""),6450.0)</f>
        <v>6450</v>
      </c>
      <c r="C1058" s="2">
        <f>IFERROR(__xludf.DUMMYFUNCTION("""COMPUTED_VALUE"""),6500.0)</f>
        <v>6500</v>
      </c>
      <c r="D1058" s="2">
        <f>IFERROR(__xludf.DUMMYFUNCTION("""COMPUTED_VALUE"""),6325.0)</f>
        <v>6325</v>
      </c>
      <c r="E1058" s="2">
        <f>IFERROR(__xludf.DUMMYFUNCTION("""COMPUTED_VALUE"""),6350.0)</f>
        <v>6350</v>
      </c>
      <c r="F1058" s="2">
        <f>IFERROR(__xludf.DUMMYFUNCTION("""COMPUTED_VALUE"""),1.148063E8)</f>
        <v>114806300</v>
      </c>
      <c r="G1058" s="2">
        <f t="shared" si="1"/>
        <v>175</v>
      </c>
    </row>
    <row r="1059" ht="15.75" customHeight="1">
      <c r="A1059" s="1">
        <f>IFERROR(__xludf.DUMMYFUNCTION("""COMPUTED_VALUE"""),45429.66666666667)</f>
        <v>45429.66667</v>
      </c>
      <c r="B1059" s="2">
        <f>IFERROR(__xludf.DUMMYFUNCTION("""COMPUTED_VALUE"""),6350.0)</f>
        <v>6350</v>
      </c>
      <c r="C1059" s="2">
        <f>IFERROR(__xludf.DUMMYFUNCTION("""COMPUTED_VALUE"""),6650.0)</f>
        <v>6650</v>
      </c>
      <c r="D1059" s="2">
        <f>IFERROR(__xludf.DUMMYFUNCTION("""COMPUTED_VALUE"""),6350.0)</f>
        <v>6350</v>
      </c>
      <c r="E1059" s="2">
        <f>IFERROR(__xludf.DUMMYFUNCTION("""COMPUTED_VALUE"""),6575.0)</f>
        <v>6575</v>
      </c>
      <c r="F1059" s="2">
        <f>IFERROR(__xludf.DUMMYFUNCTION("""COMPUTED_VALUE"""),1.331539E8)</f>
        <v>133153900</v>
      </c>
      <c r="G1059" s="2">
        <f t="shared" si="1"/>
        <v>300</v>
      </c>
    </row>
    <row r="1060" ht="15.75" customHeight="1">
      <c r="A1060" s="1">
        <f>IFERROR(__xludf.DUMMYFUNCTION("""COMPUTED_VALUE"""),45432.66666666667)</f>
        <v>45432.66667</v>
      </c>
      <c r="B1060" s="2">
        <f>IFERROR(__xludf.DUMMYFUNCTION("""COMPUTED_VALUE"""),6550.0)</f>
        <v>6550</v>
      </c>
      <c r="C1060" s="2">
        <f>IFERROR(__xludf.DUMMYFUNCTION("""COMPUTED_VALUE"""),6625.0)</f>
        <v>6625</v>
      </c>
      <c r="D1060" s="2">
        <f>IFERROR(__xludf.DUMMYFUNCTION("""COMPUTED_VALUE"""),6200.0)</f>
        <v>6200</v>
      </c>
      <c r="E1060" s="2">
        <f>IFERROR(__xludf.DUMMYFUNCTION("""COMPUTED_VALUE"""),6325.0)</f>
        <v>6325</v>
      </c>
      <c r="F1060" s="2">
        <f>IFERROR(__xludf.DUMMYFUNCTION("""COMPUTED_VALUE"""),1.68796E8)</f>
        <v>168796000</v>
      </c>
      <c r="G1060" s="2">
        <f t="shared" si="1"/>
        <v>425</v>
      </c>
    </row>
    <row r="1061" ht="15.75" customHeight="1">
      <c r="A1061" s="1">
        <f>IFERROR(__xludf.DUMMYFUNCTION("""COMPUTED_VALUE"""),45433.66666666667)</f>
        <v>45433.66667</v>
      </c>
      <c r="B1061" s="2">
        <f>IFERROR(__xludf.DUMMYFUNCTION("""COMPUTED_VALUE"""),6225.0)</f>
        <v>6225</v>
      </c>
      <c r="C1061" s="2">
        <f>IFERROR(__xludf.DUMMYFUNCTION("""COMPUTED_VALUE"""),6275.0)</f>
        <v>6275</v>
      </c>
      <c r="D1061" s="2">
        <f>IFERROR(__xludf.DUMMYFUNCTION("""COMPUTED_VALUE"""),5975.0)</f>
        <v>5975</v>
      </c>
      <c r="E1061" s="2">
        <f>IFERROR(__xludf.DUMMYFUNCTION("""COMPUTED_VALUE"""),6025.0)</f>
        <v>6025</v>
      </c>
      <c r="F1061" s="2">
        <f>IFERROR(__xludf.DUMMYFUNCTION("""COMPUTED_VALUE"""),3.073629E8)</f>
        <v>307362900</v>
      </c>
      <c r="G1061" s="2">
        <f t="shared" si="1"/>
        <v>350</v>
      </c>
    </row>
    <row r="1062" ht="15.75" customHeight="1">
      <c r="A1062" s="1">
        <f>IFERROR(__xludf.DUMMYFUNCTION("""COMPUTED_VALUE"""),45434.66666666667)</f>
        <v>45434.66667</v>
      </c>
      <c r="B1062" s="2">
        <f>IFERROR(__xludf.DUMMYFUNCTION("""COMPUTED_VALUE"""),6000.0)</f>
        <v>6000</v>
      </c>
      <c r="C1062" s="2">
        <f>IFERROR(__xludf.DUMMYFUNCTION("""COMPUTED_VALUE"""),6150.0)</f>
        <v>6150</v>
      </c>
      <c r="D1062" s="2">
        <f>IFERROR(__xludf.DUMMYFUNCTION("""COMPUTED_VALUE"""),5950.0)</f>
        <v>5950</v>
      </c>
      <c r="E1062" s="2">
        <f>IFERROR(__xludf.DUMMYFUNCTION("""COMPUTED_VALUE"""),6050.0)</f>
        <v>6050</v>
      </c>
      <c r="F1062" s="2">
        <f>IFERROR(__xludf.DUMMYFUNCTION("""COMPUTED_VALUE"""),1.716759E8)</f>
        <v>171675900</v>
      </c>
      <c r="G1062" s="2">
        <f t="shared" si="1"/>
        <v>200</v>
      </c>
    </row>
    <row r="1063" ht="15.75" customHeight="1">
      <c r="A1063" s="1">
        <f>IFERROR(__xludf.DUMMYFUNCTION("""COMPUTED_VALUE"""),45439.66666666667)</f>
        <v>45439.66667</v>
      </c>
      <c r="B1063" s="2">
        <f>IFERROR(__xludf.DUMMYFUNCTION("""COMPUTED_VALUE"""),6025.0)</f>
        <v>6025</v>
      </c>
      <c r="C1063" s="2">
        <f>IFERROR(__xludf.DUMMYFUNCTION("""COMPUTED_VALUE"""),6050.0)</f>
        <v>6050</v>
      </c>
      <c r="D1063" s="2">
        <f>IFERROR(__xludf.DUMMYFUNCTION("""COMPUTED_VALUE"""),5825.0)</f>
        <v>5825</v>
      </c>
      <c r="E1063" s="2">
        <f>IFERROR(__xludf.DUMMYFUNCTION("""COMPUTED_VALUE"""),5825.0)</f>
        <v>5825</v>
      </c>
      <c r="F1063" s="2">
        <f>IFERROR(__xludf.DUMMYFUNCTION("""COMPUTED_VALUE"""),2.584509E8)</f>
        <v>258450900</v>
      </c>
      <c r="G1063" s="2">
        <f t="shared" si="1"/>
        <v>225</v>
      </c>
    </row>
    <row r="1064" ht="15.75" customHeight="1">
      <c r="A1064" s="1">
        <f>IFERROR(__xludf.DUMMYFUNCTION("""COMPUTED_VALUE"""),45440.66666666667)</f>
        <v>45440.66667</v>
      </c>
      <c r="B1064" s="2">
        <f>IFERROR(__xludf.DUMMYFUNCTION("""COMPUTED_VALUE"""),5850.0)</f>
        <v>5850</v>
      </c>
      <c r="C1064" s="2">
        <f>IFERROR(__xludf.DUMMYFUNCTION("""COMPUTED_VALUE"""),6025.0)</f>
        <v>6025</v>
      </c>
      <c r="D1064" s="2">
        <f>IFERROR(__xludf.DUMMYFUNCTION("""COMPUTED_VALUE"""),5825.0)</f>
        <v>5825</v>
      </c>
      <c r="E1064" s="2">
        <f>IFERROR(__xludf.DUMMYFUNCTION("""COMPUTED_VALUE"""),5950.0)</f>
        <v>5950</v>
      </c>
      <c r="F1064" s="2">
        <f>IFERROR(__xludf.DUMMYFUNCTION("""COMPUTED_VALUE"""),9.37017E7)</f>
        <v>93701700</v>
      </c>
      <c r="G1064" s="2">
        <f t="shared" si="1"/>
        <v>200</v>
      </c>
    </row>
    <row r="1065" ht="15.75" customHeight="1">
      <c r="A1065" s="1">
        <f>IFERROR(__xludf.DUMMYFUNCTION("""COMPUTED_VALUE"""),45441.66666666667)</f>
        <v>45441.66667</v>
      </c>
      <c r="B1065" s="2">
        <f>IFERROR(__xludf.DUMMYFUNCTION("""COMPUTED_VALUE"""),5825.0)</f>
        <v>5825</v>
      </c>
      <c r="C1065" s="2">
        <f>IFERROR(__xludf.DUMMYFUNCTION("""COMPUTED_VALUE"""),5875.0)</f>
        <v>5875</v>
      </c>
      <c r="D1065" s="2">
        <f>IFERROR(__xludf.DUMMYFUNCTION("""COMPUTED_VALUE"""),5700.0)</f>
        <v>5700</v>
      </c>
      <c r="E1065" s="2">
        <f>IFERROR(__xludf.DUMMYFUNCTION("""COMPUTED_VALUE"""),5800.0)</f>
        <v>5800</v>
      </c>
      <c r="F1065" s="2">
        <f>IFERROR(__xludf.DUMMYFUNCTION("""COMPUTED_VALUE"""),1.693863E8)</f>
        <v>169386300</v>
      </c>
      <c r="G1065" s="2">
        <f t="shared" si="1"/>
        <v>250</v>
      </c>
    </row>
    <row r="1066" ht="15.75" customHeight="1">
      <c r="A1066" s="1">
        <f>IFERROR(__xludf.DUMMYFUNCTION("""COMPUTED_VALUE"""),45442.66666666667)</f>
        <v>45442.66667</v>
      </c>
      <c r="B1066" s="2">
        <f>IFERROR(__xludf.DUMMYFUNCTION("""COMPUTED_VALUE"""),5775.0)</f>
        <v>5775</v>
      </c>
      <c r="C1066" s="2">
        <f>IFERROR(__xludf.DUMMYFUNCTION("""COMPUTED_VALUE"""),6000.0)</f>
        <v>6000</v>
      </c>
      <c r="D1066" s="2">
        <f>IFERROR(__xludf.DUMMYFUNCTION("""COMPUTED_VALUE"""),5525.0)</f>
        <v>5525</v>
      </c>
      <c r="E1066" s="2">
        <f>IFERROR(__xludf.DUMMYFUNCTION("""COMPUTED_VALUE"""),5875.0)</f>
        <v>5875</v>
      </c>
      <c r="F1066" s="2">
        <f>IFERROR(__xludf.DUMMYFUNCTION("""COMPUTED_VALUE"""),2.366326E8)</f>
        <v>236632600</v>
      </c>
      <c r="G1066" s="2">
        <f t="shared" si="1"/>
        <v>475</v>
      </c>
    </row>
    <row r="1067" ht="15.75" customHeight="1">
      <c r="A1067" s="1">
        <f>IFERROR(__xludf.DUMMYFUNCTION("""COMPUTED_VALUE"""),45443.66666666667)</f>
        <v>45443.66667</v>
      </c>
      <c r="B1067" s="2">
        <f>IFERROR(__xludf.DUMMYFUNCTION("""COMPUTED_VALUE"""),6000.0)</f>
        <v>6000</v>
      </c>
      <c r="C1067" s="2">
        <f>IFERROR(__xludf.DUMMYFUNCTION("""COMPUTED_VALUE"""),6025.0)</f>
        <v>6025</v>
      </c>
      <c r="D1067" s="2">
        <f>IFERROR(__xludf.DUMMYFUNCTION("""COMPUTED_VALUE"""),5900.0)</f>
        <v>5900</v>
      </c>
      <c r="E1067" s="2">
        <f>IFERROR(__xludf.DUMMYFUNCTION("""COMPUTED_VALUE"""),5900.0)</f>
        <v>5900</v>
      </c>
      <c r="F1067" s="2">
        <f>IFERROR(__xludf.DUMMYFUNCTION("""COMPUTED_VALUE"""),1.69567E8)</f>
        <v>169567000</v>
      </c>
      <c r="G1067" s="2">
        <f t="shared" si="1"/>
        <v>150</v>
      </c>
    </row>
    <row r="1068" ht="15.75" customHeight="1">
      <c r="A1068" s="1">
        <f>IFERROR(__xludf.DUMMYFUNCTION("""COMPUTED_VALUE"""),45446.66666666667)</f>
        <v>45446.66667</v>
      </c>
      <c r="B1068" s="2">
        <f>IFERROR(__xludf.DUMMYFUNCTION("""COMPUTED_VALUE"""),6075.0)</f>
        <v>6075</v>
      </c>
      <c r="C1068" s="2">
        <f>IFERROR(__xludf.DUMMYFUNCTION("""COMPUTED_VALUE"""),6150.0)</f>
        <v>6150</v>
      </c>
      <c r="D1068" s="2">
        <f>IFERROR(__xludf.DUMMYFUNCTION("""COMPUTED_VALUE"""),6025.0)</f>
        <v>6025</v>
      </c>
      <c r="E1068" s="2">
        <f>IFERROR(__xludf.DUMMYFUNCTION("""COMPUTED_VALUE"""),6100.0)</f>
        <v>6100</v>
      </c>
      <c r="F1068" s="2">
        <f>IFERROR(__xludf.DUMMYFUNCTION("""COMPUTED_VALUE"""),9.25256E7)</f>
        <v>92525600</v>
      </c>
      <c r="G1068" s="2">
        <f t="shared" si="1"/>
        <v>250</v>
      </c>
    </row>
    <row r="1069" ht="15.75" customHeight="1">
      <c r="A1069" s="1">
        <f>IFERROR(__xludf.DUMMYFUNCTION("""COMPUTED_VALUE"""),45447.66666666667)</f>
        <v>45447.66667</v>
      </c>
      <c r="B1069" s="2">
        <f>IFERROR(__xludf.DUMMYFUNCTION("""COMPUTED_VALUE"""),6150.0)</f>
        <v>6150</v>
      </c>
      <c r="C1069" s="2">
        <f>IFERROR(__xludf.DUMMYFUNCTION("""COMPUTED_VALUE"""),6275.0)</f>
        <v>6275</v>
      </c>
      <c r="D1069" s="2">
        <f>IFERROR(__xludf.DUMMYFUNCTION("""COMPUTED_VALUE"""),6125.0)</f>
        <v>6125</v>
      </c>
      <c r="E1069" s="2">
        <f>IFERROR(__xludf.DUMMYFUNCTION("""COMPUTED_VALUE"""),6150.0)</f>
        <v>6150</v>
      </c>
      <c r="F1069" s="2">
        <f>IFERROR(__xludf.DUMMYFUNCTION("""COMPUTED_VALUE"""),1.378006E8)</f>
        <v>137800600</v>
      </c>
      <c r="G1069" s="2">
        <f t="shared" si="1"/>
        <v>175</v>
      </c>
    </row>
    <row r="1070" ht="15.75" customHeight="1">
      <c r="A1070" s="1">
        <f>IFERROR(__xludf.DUMMYFUNCTION("""COMPUTED_VALUE"""),45448.66666666667)</f>
        <v>45448.66667</v>
      </c>
      <c r="B1070" s="2">
        <f>IFERROR(__xludf.DUMMYFUNCTION("""COMPUTED_VALUE"""),6125.0)</f>
        <v>6125</v>
      </c>
      <c r="C1070" s="2">
        <f>IFERROR(__xludf.DUMMYFUNCTION("""COMPUTED_VALUE"""),6150.0)</f>
        <v>6150</v>
      </c>
      <c r="D1070" s="2">
        <f>IFERROR(__xludf.DUMMYFUNCTION("""COMPUTED_VALUE"""),5975.0)</f>
        <v>5975</v>
      </c>
      <c r="E1070" s="2">
        <f>IFERROR(__xludf.DUMMYFUNCTION("""COMPUTED_VALUE"""),6000.0)</f>
        <v>6000</v>
      </c>
      <c r="F1070" s="2">
        <f>IFERROR(__xludf.DUMMYFUNCTION("""COMPUTED_VALUE"""),1.023273E8)</f>
        <v>102327300</v>
      </c>
      <c r="G1070" s="2">
        <f t="shared" si="1"/>
        <v>175</v>
      </c>
    </row>
    <row r="1071" ht="15.75" customHeight="1">
      <c r="A1071" s="1">
        <f>IFERROR(__xludf.DUMMYFUNCTION("""COMPUTED_VALUE"""),45449.66666666667)</f>
        <v>45449.66667</v>
      </c>
      <c r="B1071" s="2">
        <f>IFERROR(__xludf.DUMMYFUNCTION("""COMPUTED_VALUE"""),6125.0)</f>
        <v>6125</v>
      </c>
      <c r="C1071" s="2">
        <f>IFERROR(__xludf.DUMMYFUNCTION("""COMPUTED_VALUE"""),6200.0)</f>
        <v>6200</v>
      </c>
      <c r="D1071" s="2">
        <f>IFERROR(__xludf.DUMMYFUNCTION("""COMPUTED_VALUE"""),6075.0)</f>
        <v>6075</v>
      </c>
      <c r="E1071" s="2">
        <f>IFERROR(__xludf.DUMMYFUNCTION("""COMPUTED_VALUE"""),6175.0)</f>
        <v>6175</v>
      </c>
      <c r="F1071" s="2">
        <f>IFERROR(__xludf.DUMMYFUNCTION("""COMPUTED_VALUE"""),8.57352E7)</f>
        <v>85735200</v>
      </c>
      <c r="G1071" s="2">
        <f t="shared" si="1"/>
        <v>200</v>
      </c>
    </row>
    <row r="1072" ht="15.75" customHeight="1">
      <c r="A1072" s="1">
        <f>IFERROR(__xludf.DUMMYFUNCTION("""COMPUTED_VALUE"""),45450.66666666667)</f>
        <v>45450.66667</v>
      </c>
      <c r="B1072" s="2">
        <f>IFERROR(__xludf.DUMMYFUNCTION("""COMPUTED_VALUE"""),6250.0)</f>
        <v>6250</v>
      </c>
      <c r="C1072" s="2">
        <f>IFERROR(__xludf.DUMMYFUNCTION("""COMPUTED_VALUE"""),6275.0)</f>
        <v>6275</v>
      </c>
      <c r="D1072" s="2">
        <f>IFERROR(__xludf.DUMMYFUNCTION("""COMPUTED_VALUE"""),6150.0)</f>
        <v>6150</v>
      </c>
      <c r="E1072" s="2">
        <f>IFERROR(__xludf.DUMMYFUNCTION("""COMPUTED_VALUE"""),6275.0)</f>
        <v>6275</v>
      </c>
      <c r="F1072" s="2">
        <f>IFERROR(__xludf.DUMMYFUNCTION("""COMPUTED_VALUE"""),9.90928E7)</f>
        <v>99092800</v>
      </c>
      <c r="G1072" s="2">
        <f t="shared" si="1"/>
        <v>125</v>
      </c>
    </row>
    <row r="1073" ht="15.75" customHeight="1">
      <c r="A1073" s="1">
        <f>IFERROR(__xludf.DUMMYFUNCTION("""COMPUTED_VALUE"""),45453.66666666667)</f>
        <v>45453.66667</v>
      </c>
      <c r="B1073" s="2">
        <f>IFERROR(__xludf.DUMMYFUNCTION("""COMPUTED_VALUE"""),6275.0)</f>
        <v>6275</v>
      </c>
      <c r="C1073" s="2">
        <f>IFERROR(__xludf.DUMMYFUNCTION("""COMPUTED_VALUE"""),6350.0)</f>
        <v>6350</v>
      </c>
      <c r="D1073" s="2">
        <f>IFERROR(__xludf.DUMMYFUNCTION("""COMPUTED_VALUE"""),6200.0)</f>
        <v>6200</v>
      </c>
      <c r="E1073" s="2">
        <f>IFERROR(__xludf.DUMMYFUNCTION("""COMPUTED_VALUE"""),6275.0)</f>
        <v>6275</v>
      </c>
      <c r="F1073" s="2">
        <f>IFERROR(__xludf.DUMMYFUNCTION("""COMPUTED_VALUE"""),8.01544E7)</f>
        <v>80154400</v>
      </c>
      <c r="G1073" s="2">
        <f t="shared" si="1"/>
        <v>150</v>
      </c>
    </row>
    <row r="1074" ht="15.75" customHeight="1">
      <c r="A1074" s="1">
        <f>IFERROR(__xludf.DUMMYFUNCTION("""COMPUTED_VALUE"""),45454.66666666667)</f>
        <v>45454.66667</v>
      </c>
      <c r="B1074" s="2">
        <f>IFERROR(__xludf.DUMMYFUNCTION("""COMPUTED_VALUE"""),6200.0)</f>
        <v>6200</v>
      </c>
      <c r="C1074" s="2">
        <f>IFERROR(__xludf.DUMMYFUNCTION("""COMPUTED_VALUE"""),6250.0)</f>
        <v>6250</v>
      </c>
      <c r="D1074" s="2">
        <f>IFERROR(__xludf.DUMMYFUNCTION("""COMPUTED_VALUE"""),6125.0)</f>
        <v>6125</v>
      </c>
      <c r="E1074" s="2">
        <f>IFERROR(__xludf.DUMMYFUNCTION("""COMPUTED_VALUE"""),6125.0)</f>
        <v>6125</v>
      </c>
      <c r="F1074" s="2">
        <f>IFERROR(__xludf.DUMMYFUNCTION("""COMPUTED_VALUE"""),5.62544E7)</f>
        <v>56254400</v>
      </c>
      <c r="G1074" s="2">
        <f t="shared" si="1"/>
        <v>150</v>
      </c>
    </row>
    <row r="1075" ht="15.75" customHeight="1">
      <c r="A1075" s="1">
        <f>IFERROR(__xludf.DUMMYFUNCTION("""COMPUTED_VALUE"""),45455.66666666667)</f>
        <v>45455.66667</v>
      </c>
      <c r="B1075" s="2">
        <f>IFERROR(__xludf.DUMMYFUNCTION("""COMPUTED_VALUE"""),6050.0)</f>
        <v>6050</v>
      </c>
      <c r="C1075" s="2">
        <f>IFERROR(__xludf.DUMMYFUNCTION("""COMPUTED_VALUE"""),6075.0)</f>
        <v>6075</v>
      </c>
      <c r="D1075" s="2">
        <f>IFERROR(__xludf.DUMMYFUNCTION("""COMPUTED_VALUE"""),5900.0)</f>
        <v>5900</v>
      </c>
      <c r="E1075" s="2">
        <f>IFERROR(__xludf.DUMMYFUNCTION("""COMPUTED_VALUE"""),5925.0)</f>
        <v>5925</v>
      </c>
      <c r="F1075" s="2">
        <f>IFERROR(__xludf.DUMMYFUNCTION("""COMPUTED_VALUE"""),1.208572E8)</f>
        <v>120857200</v>
      </c>
      <c r="G1075" s="2">
        <f t="shared" si="1"/>
        <v>225</v>
      </c>
    </row>
    <row r="1076" ht="15.75" customHeight="1">
      <c r="A1076" s="1">
        <f>IFERROR(__xludf.DUMMYFUNCTION("""COMPUTED_VALUE"""),45456.66666666667)</f>
        <v>45456.66667</v>
      </c>
      <c r="B1076" s="2">
        <f>IFERROR(__xludf.DUMMYFUNCTION("""COMPUTED_VALUE"""),5975.0)</f>
        <v>5975</v>
      </c>
      <c r="C1076" s="2">
        <f>IFERROR(__xludf.DUMMYFUNCTION("""COMPUTED_VALUE"""),6000.0)</f>
        <v>6000</v>
      </c>
      <c r="D1076" s="2">
        <f>IFERROR(__xludf.DUMMYFUNCTION("""COMPUTED_VALUE"""),5850.0)</f>
        <v>5850</v>
      </c>
      <c r="E1076" s="2">
        <f>IFERROR(__xludf.DUMMYFUNCTION("""COMPUTED_VALUE"""),5875.0)</f>
        <v>5875</v>
      </c>
      <c r="F1076" s="2">
        <f>IFERROR(__xludf.DUMMYFUNCTION("""COMPUTED_VALUE"""),1.626167E8)</f>
        <v>162616700</v>
      </c>
      <c r="G1076" s="2">
        <f t="shared" si="1"/>
        <v>150</v>
      </c>
    </row>
    <row r="1077" ht="15.75" customHeight="1">
      <c r="A1077" s="1">
        <f>IFERROR(__xludf.DUMMYFUNCTION("""COMPUTED_VALUE"""),45457.66666666667)</f>
        <v>45457.66667</v>
      </c>
      <c r="B1077" s="2">
        <f>IFERROR(__xludf.DUMMYFUNCTION("""COMPUTED_VALUE"""),5850.0)</f>
        <v>5850</v>
      </c>
      <c r="C1077" s="2">
        <f>IFERROR(__xludf.DUMMYFUNCTION("""COMPUTED_VALUE"""),5875.0)</f>
        <v>5875</v>
      </c>
      <c r="D1077" s="2">
        <f>IFERROR(__xludf.DUMMYFUNCTION("""COMPUTED_VALUE"""),5650.0)</f>
        <v>5650</v>
      </c>
      <c r="E1077" s="2">
        <f>IFERROR(__xludf.DUMMYFUNCTION("""COMPUTED_VALUE"""),5750.0)</f>
        <v>5750</v>
      </c>
      <c r="F1077" s="2">
        <f>IFERROR(__xludf.DUMMYFUNCTION("""COMPUTED_VALUE"""),2.032415E8)</f>
        <v>203241500</v>
      </c>
      <c r="G1077" s="2">
        <f t="shared" si="1"/>
        <v>225</v>
      </c>
    </row>
    <row r="1078" ht="15.75" customHeight="1">
      <c r="A1078" s="1">
        <f>IFERROR(__xludf.DUMMYFUNCTION("""COMPUTED_VALUE"""),45462.66666666667)</f>
        <v>45462.66667</v>
      </c>
      <c r="B1078" s="2">
        <f>IFERROR(__xludf.DUMMYFUNCTION("""COMPUTED_VALUE"""),5775.0)</f>
        <v>5775</v>
      </c>
      <c r="C1078" s="2">
        <f>IFERROR(__xludf.DUMMYFUNCTION("""COMPUTED_VALUE"""),5850.0)</f>
        <v>5850</v>
      </c>
      <c r="D1078" s="2">
        <f>IFERROR(__xludf.DUMMYFUNCTION("""COMPUTED_VALUE"""),5675.0)</f>
        <v>5675</v>
      </c>
      <c r="E1078" s="2">
        <f>IFERROR(__xludf.DUMMYFUNCTION("""COMPUTED_VALUE"""),5750.0)</f>
        <v>5750</v>
      </c>
      <c r="F1078" s="2">
        <f>IFERROR(__xludf.DUMMYFUNCTION("""COMPUTED_VALUE"""),1.160042E8)</f>
        <v>116004200</v>
      </c>
      <c r="G1078" s="2">
        <f t="shared" si="1"/>
        <v>175</v>
      </c>
    </row>
    <row r="1079" ht="15.75" customHeight="1">
      <c r="A1079" s="1">
        <f>IFERROR(__xludf.DUMMYFUNCTION("""COMPUTED_VALUE"""),45463.66666666667)</f>
        <v>45463.66667</v>
      </c>
      <c r="B1079" s="2">
        <f>IFERROR(__xludf.DUMMYFUNCTION("""COMPUTED_VALUE"""),5825.0)</f>
        <v>5825</v>
      </c>
      <c r="C1079" s="2">
        <f>IFERROR(__xludf.DUMMYFUNCTION("""COMPUTED_VALUE"""),5950.0)</f>
        <v>5950</v>
      </c>
      <c r="D1079" s="2">
        <f>IFERROR(__xludf.DUMMYFUNCTION("""COMPUTED_VALUE"""),5750.0)</f>
        <v>5750</v>
      </c>
      <c r="E1079" s="2">
        <f>IFERROR(__xludf.DUMMYFUNCTION("""COMPUTED_VALUE"""),5950.0)</f>
        <v>5950</v>
      </c>
      <c r="F1079" s="2">
        <f>IFERROR(__xludf.DUMMYFUNCTION("""COMPUTED_VALUE"""),8.266E7)</f>
        <v>82660000</v>
      </c>
      <c r="G1079" s="2">
        <f t="shared" si="1"/>
        <v>200</v>
      </c>
    </row>
    <row r="1080" ht="15.75" customHeight="1">
      <c r="A1080" s="1">
        <f>IFERROR(__xludf.DUMMYFUNCTION("""COMPUTED_VALUE"""),45464.66666666667)</f>
        <v>45464.66667</v>
      </c>
      <c r="B1080" s="2">
        <f>IFERROR(__xludf.DUMMYFUNCTION("""COMPUTED_VALUE"""),6050.0)</f>
        <v>6050</v>
      </c>
      <c r="C1080" s="2">
        <f>IFERROR(__xludf.DUMMYFUNCTION("""COMPUTED_VALUE"""),6200.0)</f>
        <v>6200</v>
      </c>
      <c r="D1080" s="2">
        <f>IFERROR(__xludf.DUMMYFUNCTION("""COMPUTED_VALUE"""),6025.0)</f>
        <v>6025</v>
      </c>
      <c r="E1080" s="2">
        <f>IFERROR(__xludf.DUMMYFUNCTION("""COMPUTED_VALUE"""),6125.0)</f>
        <v>6125</v>
      </c>
      <c r="F1080" s="2">
        <f>IFERROR(__xludf.DUMMYFUNCTION("""COMPUTED_VALUE"""),1.842406E8)</f>
        <v>184240600</v>
      </c>
      <c r="G1080" s="2">
        <f t="shared" si="1"/>
        <v>250</v>
      </c>
    </row>
    <row r="1081" ht="15.75" customHeight="1">
      <c r="A1081" s="1">
        <f>IFERROR(__xludf.DUMMYFUNCTION("""COMPUTED_VALUE"""),45467.66666666667)</f>
        <v>45467.66667</v>
      </c>
      <c r="B1081" s="2">
        <f>IFERROR(__xludf.DUMMYFUNCTION("""COMPUTED_VALUE"""),6075.0)</f>
        <v>6075</v>
      </c>
      <c r="C1081" s="2">
        <f>IFERROR(__xludf.DUMMYFUNCTION("""COMPUTED_VALUE"""),6125.0)</f>
        <v>6125</v>
      </c>
      <c r="D1081" s="2">
        <f>IFERROR(__xludf.DUMMYFUNCTION("""COMPUTED_VALUE"""),6000.0)</f>
        <v>6000</v>
      </c>
      <c r="E1081" s="2">
        <f>IFERROR(__xludf.DUMMYFUNCTION("""COMPUTED_VALUE"""),6000.0)</f>
        <v>6000</v>
      </c>
      <c r="F1081" s="2">
        <f>IFERROR(__xludf.DUMMYFUNCTION("""COMPUTED_VALUE"""),5.88319E7)</f>
        <v>58831900</v>
      </c>
      <c r="G1081" s="2">
        <f t="shared" si="1"/>
        <v>125</v>
      </c>
    </row>
    <row r="1082" ht="15.75" customHeight="1">
      <c r="A1082" s="1">
        <f>IFERROR(__xludf.DUMMYFUNCTION("""COMPUTED_VALUE"""),45468.66666666667)</f>
        <v>45468.66667</v>
      </c>
      <c r="B1082" s="2">
        <f>IFERROR(__xludf.DUMMYFUNCTION("""COMPUTED_VALUE"""),5925.0)</f>
        <v>5925</v>
      </c>
      <c r="C1082" s="2">
        <f>IFERROR(__xludf.DUMMYFUNCTION("""COMPUTED_VALUE"""),5975.0)</f>
        <v>5975</v>
      </c>
      <c r="D1082" s="2">
        <f>IFERROR(__xludf.DUMMYFUNCTION("""COMPUTED_VALUE"""),5825.0)</f>
        <v>5825</v>
      </c>
      <c r="E1082" s="2">
        <f>IFERROR(__xludf.DUMMYFUNCTION("""COMPUTED_VALUE"""),5925.0)</f>
        <v>5925</v>
      </c>
      <c r="F1082" s="2">
        <f>IFERROR(__xludf.DUMMYFUNCTION("""COMPUTED_VALUE"""),1.599838E8)</f>
        <v>159983800</v>
      </c>
      <c r="G1082" s="2">
        <f t="shared" si="1"/>
        <v>175</v>
      </c>
    </row>
    <row r="1083" ht="15.75" customHeight="1">
      <c r="A1083" s="1">
        <f>IFERROR(__xludf.DUMMYFUNCTION("""COMPUTED_VALUE"""),45469.66666666667)</f>
        <v>45469.66667</v>
      </c>
      <c r="B1083" s="2">
        <f>IFERROR(__xludf.DUMMYFUNCTION("""COMPUTED_VALUE"""),5950.0)</f>
        <v>5950</v>
      </c>
      <c r="C1083" s="2">
        <f>IFERROR(__xludf.DUMMYFUNCTION("""COMPUTED_VALUE"""),6025.0)</f>
        <v>6025</v>
      </c>
      <c r="D1083" s="2">
        <f>IFERROR(__xludf.DUMMYFUNCTION("""COMPUTED_VALUE"""),5850.0)</f>
        <v>5850</v>
      </c>
      <c r="E1083" s="2">
        <f>IFERROR(__xludf.DUMMYFUNCTION("""COMPUTED_VALUE"""),5850.0)</f>
        <v>5850</v>
      </c>
      <c r="F1083" s="2">
        <f>IFERROR(__xludf.DUMMYFUNCTION("""COMPUTED_VALUE"""),9.28957E7)</f>
        <v>92895700</v>
      </c>
      <c r="G1083" s="2">
        <f t="shared" si="1"/>
        <v>175</v>
      </c>
    </row>
    <row r="1084" ht="15.75" customHeight="1">
      <c r="A1084" s="1">
        <f>IFERROR(__xludf.DUMMYFUNCTION("""COMPUTED_VALUE"""),45470.66666666667)</f>
        <v>45470.66667</v>
      </c>
      <c r="B1084" s="2">
        <f>IFERROR(__xludf.DUMMYFUNCTION("""COMPUTED_VALUE"""),5900.0)</f>
        <v>5900</v>
      </c>
      <c r="C1084" s="2">
        <f>IFERROR(__xludf.DUMMYFUNCTION("""COMPUTED_VALUE"""),6075.0)</f>
        <v>6075</v>
      </c>
      <c r="D1084" s="2">
        <f>IFERROR(__xludf.DUMMYFUNCTION("""COMPUTED_VALUE"""),5875.0)</f>
        <v>5875</v>
      </c>
      <c r="E1084" s="2">
        <f>IFERROR(__xludf.DUMMYFUNCTION("""COMPUTED_VALUE"""),6000.0)</f>
        <v>6000</v>
      </c>
      <c r="F1084" s="2">
        <f>IFERROR(__xludf.DUMMYFUNCTION("""COMPUTED_VALUE"""),1.176024E8)</f>
        <v>117602400</v>
      </c>
      <c r="G1084" s="2">
        <f t="shared" si="1"/>
        <v>225</v>
      </c>
    </row>
    <row r="1085" ht="15.75" customHeight="1">
      <c r="A1085" s="1">
        <f>IFERROR(__xludf.DUMMYFUNCTION("""COMPUTED_VALUE"""),45471.66666666667)</f>
        <v>45471.66667</v>
      </c>
      <c r="B1085" s="2">
        <f>IFERROR(__xludf.DUMMYFUNCTION("""COMPUTED_VALUE"""),6000.0)</f>
        <v>6000</v>
      </c>
      <c r="C1085" s="2">
        <f>IFERROR(__xludf.DUMMYFUNCTION("""COMPUTED_VALUE"""),6250.0)</f>
        <v>6250</v>
      </c>
      <c r="D1085" s="2">
        <f>IFERROR(__xludf.DUMMYFUNCTION("""COMPUTED_VALUE"""),6000.0)</f>
        <v>6000</v>
      </c>
      <c r="E1085" s="2">
        <f>IFERROR(__xludf.DUMMYFUNCTION("""COMPUTED_VALUE"""),6150.0)</f>
        <v>6150</v>
      </c>
      <c r="F1085" s="2">
        <f>IFERROR(__xludf.DUMMYFUNCTION("""COMPUTED_VALUE"""),1.913716E8)</f>
        <v>191371600</v>
      </c>
      <c r="G1085" s="2">
        <f t="shared" si="1"/>
        <v>250</v>
      </c>
    </row>
    <row r="1086" ht="15.75" customHeight="1">
      <c r="A1086" s="1">
        <f>IFERROR(__xludf.DUMMYFUNCTION("""COMPUTED_VALUE"""),45474.66666666667)</f>
        <v>45474.66667</v>
      </c>
      <c r="B1086" s="2">
        <f>IFERROR(__xludf.DUMMYFUNCTION("""COMPUTED_VALUE"""),6175.0)</f>
        <v>6175</v>
      </c>
      <c r="C1086" s="2">
        <f>IFERROR(__xludf.DUMMYFUNCTION("""COMPUTED_VALUE"""),6250.0)</f>
        <v>6250</v>
      </c>
      <c r="D1086" s="2">
        <f>IFERROR(__xludf.DUMMYFUNCTION("""COMPUTED_VALUE"""),6100.0)</f>
        <v>6100</v>
      </c>
      <c r="E1086" s="2">
        <f>IFERROR(__xludf.DUMMYFUNCTION("""COMPUTED_VALUE"""),6250.0)</f>
        <v>6250</v>
      </c>
      <c r="F1086" s="2">
        <f>IFERROR(__xludf.DUMMYFUNCTION("""COMPUTED_VALUE"""),1.004082E8)</f>
        <v>100408200</v>
      </c>
      <c r="G1086" s="2">
        <f t="shared" si="1"/>
        <v>150</v>
      </c>
    </row>
    <row r="1087" ht="15.75" customHeight="1">
      <c r="A1087" s="1">
        <f>IFERROR(__xludf.DUMMYFUNCTION("""COMPUTED_VALUE"""),45475.66666666667)</f>
        <v>45475.66667</v>
      </c>
      <c r="B1087" s="2">
        <f>IFERROR(__xludf.DUMMYFUNCTION("""COMPUTED_VALUE"""),6275.0)</f>
        <v>6275</v>
      </c>
      <c r="C1087" s="2">
        <f>IFERROR(__xludf.DUMMYFUNCTION("""COMPUTED_VALUE"""),6350.0)</f>
        <v>6350</v>
      </c>
      <c r="D1087" s="2">
        <f>IFERROR(__xludf.DUMMYFUNCTION("""COMPUTED_VALUE"""),6150.0)</f>
        <v>6150</v>
      </c>
      <c r="E1087" s="2">
        <f>IFERROR(__xludf.DUMMYFUNCTION("""COMPUTED_VALUE"""),6200.0)</f>
        <v>6200</v>
      </c>
      <c r="F1087" s="2">
        <f>IFERROR(__xludf.DUMMYFUNCTION("""COMPUTED_VALUE"""),1.593566E8)</f>
        <v>159356600</v>
      </c>
      <c r="G1087" s="2">
        <f t="shared" si="1"/>
        <v>200</v>
      </c>
    </row>
    <row r="1088" ht="15.75" customHeight="1">
      <c r="A1088" s="1">
        <f>IFERROR(__xludf.DUMMYFUNCTION("""COMPUTED_VALUE"""),45476.66666666667)</f>
        <v>45476.66667</v>
      </c>
      <c r="B1088" s="2">
        <f>IFERROR(__xludf.DUMMYFUNCTION("""COMPUTED_VALUE"""),6275.0)</f>
        <v>6275</v>
      </c>
      <c r="C1088" s="2">
        <f>IFERROR(__xludf.DUMMYFUNCTION("""COMPUTED_VALUE"""),6300.0)</f>
        <v>6300</v>
      </c>
      <c r="D1088" s="2">
        <f>IFERROR(__xludf.DUMMYFUNCTION("""COMPUTED_VALUE"""),6100.0)</f>
        <v>6100</v>
      </c>
      <c r="E1088" s="2">
        <f>IFERROR(__xludf.DUMMYFUNCTION("""COMPUTED_VALUE"""),6225.0)</f>
        <v>6225</v>
      </c>
      <c r="F1088" s="2">
        <f>IFERROR(__xludf.DUMMYFUNCTION("""COMPUTED_VALUE"""),7.00171E7)</f>
        <v>70017100</v>
      </c>
      <c r="G1088" s="2">
        <f t="shared" si="1"/>
        <v>200</v>
      </c>
    </row>
    <row r="1089" ht="15.75" customHeight="1">
      <c r="A1089" s="1">
        <f>IFERROR(__xludf.DUMMYFUNCTION("""COMPUTED_VALUE"""),45477.66666666667)</f>
        <v>45477.66667</v>
      </c>
      <c r="B1089" s="2">
        <f>IFERROR(__xludf.DUMMYFUNCTION("""COMPUTED_VALUE"""),6250.0)</f>
        <v>6250</v>
      </c>
      <c r="C1089" s="2">
        <f>IFERROR(__xludf.DUMMYFUNCTION("""COMPUTED_VALUE"""),6400.0)</f>
        <v>6400</v>
      </c>
      <c r="D1089" s="2">
        <f>IFERROR(__xludf.DUMMYFUNCTION("""COMPUTED_VALUE"""),6225.0)</f>
        <v>6225</v>
      </c>
      <c r="E1089" s="2">
        <f>IFERROR(__xludf.DUMMYFUNCTION("""COMPUTED_VALUE"""),6250.0)</f>
        <v>6250</v>
      </c>
      <c r="F1089" s="2">
        <f>IFERROR(__xludf.DUMMYFUNCTION("""COMPUTED_VALUE"""),9.01478E7)</f>
        <v>90147800</v>
      </c>
      <c r="G1089" s="2">
        <f t="shared" si="1"/>
        <v>175</v>
      </c>
    </row>
    <row r="1090" ht="15.75" customHeight="1">
      <c r="A1090" s="1">
        <f>IFERROR(__xludf.DUMMYFUNCTION("""COMPUTED_VALUE"""),45478.66666666667)</f>
        <v>45478.66667</v>
      </c>
      <c r="B1090" s="2">
        <f>IFERROR(__xludf.DUMMYFUNCTION("""COMPUTED_VALUE"""),6325.0)</f>
        <v>6325</v>
      </c>
      <c r="C1090" s="2">
        <f>IFERROR(__xludf.DUMMYFUNCTION("""COMPUTED_VALUE"""),6500.0)</f>
        <v>6500</v>
      </c>
      <c r="D1090" s="2">
        <f>IFERROR(__xludf.DUMMYFUNCTION("""COMPUTED_VALUE"""),6300.0)</f>
        <v>6300</v>
      </c>
      <c r="E1090" s="2">
        <f>IFERROR(__xludf.DUMMYFUNCTION("""COMPUTED_VALUE"""),6425.0)</f>
        <v>6425</v>
      </c>
      <c r="F1090" s="2">
        <f>IFERROR(__xludf.DUMMYFUNCTION("""COMPUTED_VALUE"""),1.116468E8)</f>
        <v>111646800</v>
      </c>
      <c r="G1090" s="2">
        <f t="shared" si="1"/>
        <v>250</v>
      </c>
    </row>
    <row r="1091" ht="15.75" customHeight="1">
      <c r="A1091" s="1">
        <f>IFERROR(__xludf.DUMMYFUNCTION("""COMPUTED_VALUE"""),45481.66666666667)</f>
        <v>45481.66667</v>
      </c>
      <c r="B1091" s="2">
        <f>IFERROR(__xludf.DUMMYFUNCTION("""COMPUTED_VALUE"""),6400.0)</f>
        <v>6400</v>
      </c>
      <c r="C1091" s="2">
        <f>IFERROR(__xludf.DUMMYFUNCTION("""COMPUTED_VALUE"""),6425.0)</f>
        <v>6425</v>
      </c>
      <c r="D1091" s="2">
        <f>IFERROR(__xludf.DUMMYFUNCTION("""COMPUTED_VALUE"""),6200.0)</f>
        <v>6200</v>
      </c>
      <c r="E1091" s="2">
        <f>IFERROR(__xludf.DUMMYFUNCTION("""COMPUTED_VALUE"""),6225.0)</f>
        <v>6225</v>
      </c>
      <c r="F1091" s="2">
        <f>IFERROR(__xludf.DUMMYFUNCTION("""COMPUTED_VALUE"""),1.38144E8)</f>
        <v>138144000</v>
      </c>
      <c r="G1091" s="2">
        <f t="shared" si="1"/>
        <v>225</v>
      </c>
    </row>
    <row r="1092" ht="15.75" customHeight="1">
      <c r="A1092" s="1">
        <f>IFERROR(__xludf.DUMMYFUNCTION("""COMPUTED_VALUE"""),45482.66666666667)</f>
        <v>45482.66667</v>
      </c>
      <c r="B1092" s="2">
        <f>IFERROR(__xludf.DUMMYFUNCTION("""COMPUTED_VALUE"""),6225.0)</f>
        <v>6225</v>
      </c>
      <c r="C1092" s="2">
        <f>IFERROR(__xludf.DUMMYFUNCTION("""COMPUTED_VALUE"""),6400.0)</f>
        <v>6400</v>
      </c>
      <c r="D1092" s="2">
        <f>IFERROR(__xludf.DUMMYFUNCTION("""COMPUTED_VALUE"""),6200.0)</f>
        <v>6200</v>
      </c>
      <c r="E1092" s="2">
        <f>IFERROR(__xludf.DUMMYFUNCTION("""COMPUTED_VALUE"""),6375.0)</f>
        <v>6375</v>
      </c>
      <c r="F1092" s="2">
        <f>IFERROR(__xludf.DUMMYFUNCTION("""COMPUTED_VALUE"""),8.41776E7)</f>
        <v>84177600</v>
      </c>
      <c r="G1092" s="2">
        <f t="shared" si="1"/>
        <v>200</v>
      </c>
    </row>
    <row r="1093" ht="15.75" customHeight="1">
      <c r="A1093" s="1">
        <f>IFERROR(__xludf.DUMMYFUNCTION("""COMPUTED_VALUE"""),45483.66666666667)</f>
        <v>45483.66667</v>
      </c>
      <c r="B1093" s="2">
        <f>IFERROR(__xludf.DUMMYFUNCTION("""COMPUTED_VALUE"""),6375.0)</f>
        <v>6375</v>
      </c>
      <c r="C1093" s="2">
        <f>IFERROR(__xludf.DUMMYFUNCTION("""COMPUTED_VALUE"""),6450.0)</f>
        <v>6450</v>
      </c>
      <c r="D1093" s="2">
        <f>IFERROR(__xludf.DUMMYFUNCTION("""COMPUTED_VALUE"""),6300.0)</f>
        <v>6300</v>
      </c>
      <c r="E1093" s="2">
        <f>IFERROR(__xludf.DUMMYFUNCTION("""COMPUTED_VALUE"""),6375.0)</f>
        <v>6375</v>
      </c>
      <c r="F1093" s="2">
        <f>IFERROR(__xludf.DUMMYFUNCTION("""COMPUTED_VALUE"""),5.96853E7)</f>
        <v>59685300</v>
      </c>
      <c r="G1093" s="2">
        <f t="shared" si="1"/>
        <v>150</v>
      </c>
    </row>
    <row r="1094" ht="15.75" customHeight="1">
      <c r="A1094" s="1">
        <f>IFERROR(__xludf.DUMMYFUNCTION("""COMPUTED_VALUE"""),45484.66666666667)</f>
        <v>45484.66667</v>
      </c>
      <c r="B1094" s="2">
        <f>IFERROR(__xludf.DUMMYFUNCTION("""COMPUTED_VALUE"""),6400.0)</f>
        <v>6400</v>
      </c>
      <c r="C1094" s="2">
        <f>IFERROR(__xludf.DUMMYFUNCTION("""COMPUTED_VALUE"""),6425.0)</f>
        <v>6425</v>
      </c>
      <c r="D1094" s="2">
        <f>IFERROR(__xludf.DUMMYFUNCTION("""COMPUTED_VALUE"""),6350.0)</f>
        <v>6350</v>
      </c>
      <c r="E1094" s="2">
        <f>IFERROR(__xludf.DUMMYFUNCTION("""COMPUTED_VALUE"""),6400.0)</f>
        <v>6400</v>
      </c>
      <c r="F1094" s="2">
        <f>IFERROR(__xludf.DUMMYFUNCTION("""COMPUTED_VALUE"""),6.67898E7)</f>
        <v>66789800</v>
      </c>
      <c r="G1094" s="2">
        <f t="shared" si="1"/>
        <v>75</v>
      </c>
    </row>
    <row r="1095" ht="15.75" customHeight="1">
      <c r="A1095" s="1">
        <f>IFERROR(__xludf.DUMMYFUNCTION("""COMPUTED_VALUE"""),45485.66666666667)</f>
        <v>45485.66667</v>
      </c>
      <c r="B1095" s="2">
        <f>IFERROR(__xludf.DUMMYFUNCTION("""COMPUTED_VALUE"""),6450.0)</f>
        <v>6450</v>
      </c>
      <c r="C1095" s="2">
        <f>IFERROR(__xludf.DUMMYFUNCTION("""COMPUTED_VALUE"""),6550.0)</f>
        <v>6550</v>
      </c>
      <c r="D1095" s="2">
        <f>IFERROR(__xludf.DUMMYFUNCTION("""COMPUTED_VALUE"""),6400.0)</f>
        <v>6400</v>
      </c>
      <c r="E1095" s="2">
        <f>IFERROR(__xludf.DUMMYFUNCTION("""COMPUTED_VALUE"""),6425.0)</f>
        <v>6425</v>
      </c>
      <c r="F1095" s="2">
        <f>IFERROR(__xludf.DUMMYFUNCTION("""COMPUTED_VALUE"""),1.361322E8)</f>
        <v>136132200</v>
      </c>
      <c r="G1095" s="2">
        <f t="shared" si="1"/>
        <v>150</v>
      </c>
    </row>
    <row r="1096" ht="15.75" customHeight="1">
      <c r="A1096" s="1">
        <f>IFERROR(__xludf.DUMMYFUNCTION("""COMPUTED_VALUE"""),45488.66666666667)</f>
        <v>45488.66667</v>
      </c>
      <c r="B1096" s="2">
        <f>IFERROR(__xludf.DUMMYFUNCTION("""COMPUTED_VALUE"""),6450.0)</f>
        <v>6450</v>
      </c>
      <c r="C1096" s="2">
        <f>IFERROR(__xludf.DUMMYFUNCTION("""COMPUTED_VALUE"""),6450.0)</f>
        <v>6450</v>
      </c>
      <c r="D1096" s="2">
        <f>IFERROR(__xludf.DUMMYFUNCTION("""COMPUTED_VALUE"""),6300.0)</f>
        <v>6300</v>
      </c>
      <c r="E1096" s="2">
        <f>IFERROR(__xludf.DUMMYFUNCTION("""COMPUTED_VALUE"""),6350.0)</f>
        <v>6350</v>
      </c>
      <c r="F1096" s="2">
        <f>IFERROR(__xludf.DUMMYFUNCTION("""COMPUTED_VALUE"""),6.60718E7)</f>
        <v>66071800</v>
      </c>
      <c r="G1096" s="2">
        <f t="shared" si="1"/>
        <v>150</v>
      </c>
    </row>
    <row r="1097" ht="15.75" customHeight="1">
      <c r="A1097" s="1">
        <f>IFERROR(__xludf.DUMMYFUNCTION("""COMPUTED_VALUE"""),45489.66666666667)</f>
        <v>45489.66667</v>
      </c>
      <c r="B1097" s="2">
        <f>IFERROR(__xludf.DUMMYFUNCTION("""COMPUTED_VALUE"""),6400.0)</f>
        <v>6400</v>
      </c>
      <c r="C1097" s="2">
        <f>IFERROR(__xludf.DUMMYFUNCTION("""COMPUTED_VALUE"""),6400.0)</f>
        <v>6400</v>
      </c>
      <c r="D1097" s="2">
        <f>IFERROR(__xludf.DUMMYFUNCTION("""COMPUTED_VALUE"""),6300.0)</f>
        <v>6300</v>
      </c>
      <c r="E1097" s="2">
        <f>IFERROR(__xludf.DUMMYFUNCTION("""COMPUTED_VALUE"""),6350.0)</f>
        <v>6350</v>
      </c>
      <c r="F1097" s="2">
        <f>IFERROR(__xludf.DUMMYFUNCTION("""COMPUTED_VALUE"""),6.46879E7)</f>
        <v>64687900</v>
      </c>
      <c r="G1097" s="2">
        <f t="shared" si="1"/>
        <v>100</v>
      </c>
    </row>
    <row r="1098" ht="15.75" customHeight="1">
      <c r="A1098" s="1">
        <f>IFERROR(__xludf.DUMMYFUNCTION("""COMPUTED_VALUE"""),45490.66666666667)</f>
        <v>45490.66667</v>
      </c>
      <c r="B1098" s="2">
        <f>IFERROR(__xludf.DUMMYFUNCTION("""COMPUTED_VALUE"""),6450.0)</f>
        <v>6450</v>
      </c>
      <c r="C1098" s="2">
        <f>IFERROR(__xludf.DUMMYFUNCTION("""COMPUTED_VALUE"""),6525.0)</f>
        <v>6525</v>
      </c>
      <c r="D1098" s="2">
        <f>IFERROR(__xludf.DUMMYFUNCTION("""COMPUTED_VALUE"""),6375.0)</f>
        <v>6375</v>
      </c>
      <c r="E1098" s="2">
        <f>IFERROR(__xludf.DUMMYFUNCTION("""COMPUTED_VALUE"""),6450.0)</f>
        <v>6450</v>
      </c>
      <c r="F1098" s="2">
        <f>IFERROR(__xludf.DUMMYFUNCTION("""COMPUTED_VALUE"""),1.097298E8)</f>
        <v>109729800</v>
      </c>
      <c r="G1098" s="2">
        <f t="shared" si="1"/>
        <v>175</v>
      </c>
    </row>
    <row r="1099" ht="15.75" customHeight="1">
      <c r="A1099" s="1">
        <f>IFERROR(__xludf.DUMMYFUNCTION("""COMPUTED_VALUE"""),45491.66666666667)</f>
        <v>45491.66667</v>
      </c>
      <c r="B1099" s="2">
        <f>IFERROR(__xludf.DUMMYFUNCTION("""COMPUTED_VALUE"""),6550.0)</f>
        <v>6550</v>
      </c>
      <c r="C1099" s="2">
        <f>IFERROR(__xludf.DUMMYFUNCTION("""COMPUTED_VALUE"""),6600.0)</f>
        <v>6600</v>
      </c>
      <c r="D1099" s="2">
        <f>IFERROR(__xludf.DUMMYFUNCTION("""COMPUTED_VALUE"""),6500.0)</f>
        <v>6500</v>
      </c>
      <c r="E1099" s="2">
        <f>IFERROR(__xludf.DUMMYFUNCTION("""COMPUTED_VALUE"""),6550.0)</f>
        <v>6550</v>
      </c>
      <c r="F1099" s="2">
        <f>IFERROR(__xludf.DUMMYFUNCTION("""COMPUTED_VALUE"""),1.32532E8)</f>
        <v>132532000</v>
      </c>
      <c r="G1099" s="2">
        <f t="shared" si="1"/>
        <v>150</v>
      </c>
    </row>
    <row r="1100" ht="15.75" customHeight="1">
      <c r="A1100" s="1">
        <f>IFERROR(__xludf.DUMMYFUNCTION("""COMPUTED_VALUE"""),45492.66666666667)</f>
        <v>45492.66667</v>
      </c>
      <c r="B1100" s="2">
        <f>IFERROR(__xludf.DUMMYFUNCTION("""COMPUTED_VALUE"""),6500.0)</f>
        <v>6500</v>
      </c>
      <c r="C1100" s="2">
        <f>IFERROR(__xludf.DUMMYFUNCTION("""COMPUTED_VALUE"""),6525.0)</f>
        <v>6525</v>
      </c>
      <c r="D1100" s="2">
        <f>IFERROR(__xludf.DUMMYFUNCTION("""COMPUTED_VALUE"""),6450.0)</f>
        <v>6450</v>
      </c>
      <c r="E1100" s="2">
        <f>IFERROR(__xludf.DUMMYFUNCTION("""COMPUTED_VALUE"""),6525.0)</f>
        <v>6525</v>
      </c>
      <c r="F1100" s="2">
        <f>IFERROR(__xludf.DUMMYFUNCTION("""COMPUTED_VALUE"""),6.31655E7)</f>
        <v>63165500</v>
      </c>
      <c r="G1100" s="2">
        <f t="shared" si="1"/>
        <v>100</v>
      </c>
    </row>
    <row r="1101" ht="15.75" customHeight="1">
      <c r="A1101" s="1">
        <f>IFERROR(__xludf.DUMMYFUNCTION("""COMPUTED_VALUE"""),45495.66666666667)</f>
        <v>45495.66667</v>
      </c>
      <c r="B1101" s="2">
        <f>IFERROR(__xludf.DUMMYFUNCTION("""COMPUTED_VALUE"""),6575.0)</f>
        <v>6575</v>
      </c>
      <c r="C1101" s="2">
        <f>IFERROR(__xludf.DUMMYFUNCTION("""COMPUTED_VALUE"""),6700.0)</f>
        <v>6700</v>
      </c>
      <c r="D1101" s="2">
        <f>IFERROR(__xludf.DUMMYFUNCTION("""COMPUTED_VALUE"""),6525.0)</f>
        <v>6525</v>
      </c>
      <c r="E1101" s="2">
        <f>IFERROR(__xludf.DUMMYFUNCTION("""COMPUTED_VALUE"""),6700.0)</f>
        <v>6700</v>
      </c>
      <c r="F1101" s="2">
        <f>IFERROR(__xludf.DUMMYFUNCTION("""COMPUTED_VALUE"""),1.10467E8)</f>
        <v>110467000</v>
      </c>
      <c r="G1101" s="2">
        <f t="shared" si="1"/>
        <v>175</v>
      </c>
    </row>
    <row r="1102" ht="15.75" customHeight="1">
      <c r="A1102" s="1">
        <f>IFERROR(__xludf.DUMMYFUNCTION("""COMPUTED_VALUE"""),45496.66666666667)</f>
        <v>45496.66667</v>
      </c>
      <c r="B1102" s="2">
        <f>IFERROR(__xludf.DUMMYFUNCTION("""COMPUTED_VALUE"""),6750.0)</f>
        <v>6750</v>
      </c>
      <c r="C1102" s="2">
        <f>IFERROR(__xludf.DUMMYFUNCTION("""COMPUTED_VALUE"""),6750.0)</f>
        <v>6750</v>
      </c>
      <c r="D1102" s="2">
        <f>IFERROR(__xludf.DUMMYFUNCTION("""COMPUTED_VALUE"""),6550.0)</f>
        <v>6550</v>
      </c>
      <c r="E1102" s="2">
        <f>IFERROR(__xludf.DUMMYFUNCTION("""COMPUTED_VALUE"""),6625.0)</f>
        <v>6625</v>
      </c>
      <c r="F1102" s="2">
        <f>IFERROR(__xludf.DUMMYFUNCTION("""COMPUTED_VALUE"""),7.78617E7)</f>
        <v>77861700</v>
      </c>
      <c r="G1102" s="2">
        <f t="shared" si="1"/>
        <v>200</v>
      </c>
    </row>
    <row r="1103" ht="15.75" customHeight="1">
      <c r="A1103" s="1">
        <f>IFERROR(__xludf.DUMMYFUNCTION("""COMPUTED_VALUE"""),45497.66666666667)</f>
        <v>45497.66667</v>
      </c>
      <c r="B1103" s="2">
        <f>IFERROR(__xludf.DUMMYFUNCTION("""COMPUTED_VALUE"""),6500.0)</f>
        <v>6500</v>
      </c>
      <c r="C1103" s="2">
        <f>IFERROR(__xludf.DUMMYFUNCTION("""COMPUTED_VALUE"""),6575.0)</f>
        <v>6575</v>
      </c>
      <c r="D1103" s="2">
        <f>IFERROR(__xludf.DUMMYFUNCTION("""COMPUTED_VALUE"""),6475.0)</f>
        <v>6475</v>
      </c>
      <c r="E1103" s="2">
        <f>IFERROR(__xludf.DUMMYFUNCTION("""COMPUTED_VALUE"""),6475.0)</f>
        <v>6475</v>
      </c>
      <c r="F1103" s="2">
        <f>IFERROR(__xludf.DUMMYFUNCTION("""COMPUTED_VALUE"""),6.39409E7)</f>
        <v>63940900</v>
      </c>
      <c r="G1103" s="2">
        <f t="shared" si="1"/>
        <v>150</v>
      </c>
    </row>
    <row r="1104" ht="15.75" customHeight="1">
      <c r="A1104" s="1">
        <f>IFERROR(__xludf.DUMMYFUNCTION("""COMPUTED_VALUE"""),45498.66666666667)</f>
        <v>45498.66667</v>
      </c>
      <c r="B1104" s="2">
        <f>IFERROR(__xludf.DUMMYFUNCTION("""COMPUTED_VALUE"""),6450.0)</f>
        <v>6450</v>
      </c>
      <c r="C1104" s="2">
        <f>IFERROR(__xludf.DUMMYFUNCTION("""COMPUTED_VALUE"""),6575.0)</f>
        <v>6575</v>
      </c>
      <c r="D1104" s="2">
        <f>IFERROR(__xludf.DUMMYFUNCTION("""COMPUTED_VALUE"""),6400.0)</f>
        <v>6400</v>
      </c>
      <c r="E1104" s="2">
        <f>IFERROR(__xludf.DUMMYFUNCTION("""COMPUTED_VALUE"""),6575.0)</f>
        <v>6575</v>
      </c>
      <c r="F1104" s="2">
        <f>IFERROR(__xludf.DUMMYFUNCTION("""COMPUTED_VALUE"""),6.66554E7)</f>
        <v>66655400</v>
      </c>
      <c r="G1104" s="2">
        <f t="shared" si="1"/>
        <v>175</v>
      </c>
    </row>
    <row r="1105" ht="15.75" customHeight="1">
      <c r="A1105" s="1">
        <f>IFERROR(__xludf.DUMMYFUNCTION("""COMPUTED_VALUE"""),45499.66666666667)</f>
        <v>45499.66667</v>
      </c>
      <c r="B1105" s="2">
        <f>IFERROR(__xludf.DUMMYFUNCTION("""COMPUTED_VALUE"""),6575.0)</f>
        <v>6575</v>
      </c>
      <c r="C1105" s="2">
        <f>IFERROR(__xludf.DUMMYFUNCTION("""COMPUTED_VALUE"""),6625.0)</f>
        <v>6625</v>
      </c>
      <c r="D1105" s="2">
        <f>IFERROR(__xludf.DUMMYFUNCTION("""COMPUTED_VALUE"""),6500.0)</f>
        <v>6500</v>
      </c>
      <c r="E1105" s="2">
        <f>IFERROR(__xludf.DUMMYFUNCTION("""COMPUTED_VALUE"""),6550.0)</f>
        <v>6550</v>
      </c>
      <c r="F1105" s="2">
        <f>IFERROR(__xludf.DUMMYFUNCTION("""COMPUTED_VALUE"""),7.65195E7)</f>
        <v>76519500</v>
      </c>
      <c r="G1105" s="2">
        <f t="shared" si="1"/>
        <v>125</v>
      </c>
    </row>
    <row r="1106" ht="15.75" customHeight="1">
      <c r="A1106" s="1">
        <f>IFERROR(__xludf.DUMMYFUNCTION("""COMPUTED_VALUE"""),45502.66666666667)</f>
        <v>45502.66667</v>
      </c>
      <c r="B1106" s="2">
        <f>IFERROR(__xludf.DUMMYFUNCTION("""COMPUTED_VALUE"""),6550.0)</f>
        <v>6550</v>
      </c>
      <c r="C1106" s="2">
        <f>IFERROR(__xludf.DUMMYFUNCTION("""COMPUTED_VALUE"""),6550.0)</f>
        <v>6550</v>
      </c>
      <c r="D1106" s="2">
        <f>IFERROR(__xludf.DUMMYFUNCTION("""COMPUTED_VALUE"""),6450.0)</f>
        <v>6450</v>
      </c>
      <c r="E1106" s="2">
        <f>IFERROR(__xludf.DUMMYFUNCTION("""COMPUTED_VALUE"""),6475.0)</f>
        <v>6475</v>
      </c>
      <c r="F1106" s="2">
        <f>IFERROR(__xludf.DUMMYFUNCTION("""COMPUTED_VALUE"""),5.44353E7)</f>
        <v>54435300</v>
      </c>
      <c r="G1106" s="2">
        <f t="shared" si="1"/>
        <v>100</v>
      </c>
    </row>
    <row r="1107" ht="15.75" customHeight="1">
      <c r="A1107" s="1">
        <f>IFERROR(__xludf.DUMMYFUNCTION("""COMPUTED_VALUE"""),45503.66666666667)</f>
        <v>45503.66667</v>
      </c>
      <c r="B1107" s="2">
        <f>IFERROR(__xludf.DUMMYFUNCTION("""COMPUTED_VALUE"""),6475.0)</f>
        <v>6475</v>
      </c>
      <c r="C1107" s="2">
        <f>IFERROR(__xludf.DUMMYFUNCTION("""COMPUTED_VALUE"""),6550.0)</f>
        <v>6550</v>
      </c>
      <c r="D1107" s="2">
        <f>IFERROR(__xludf.DUMMYFUNCTION("""COMPUTED_VALUE"""),6375.0)</f>
        <v>6375</v>
      </c>
      <c r="E1107" s="2">
        <f>IFERROR(__xludf.DUMMYFUNCTION("""COMPUTED_VALUE"""),6475.0)</f>
        <v>6475</v>
      </c>
      <c r="F1107" s="2">
        <f>IFERROR(__xludf.DUMMYFUNCTION("""COMPUTED_VALUE"""),8.67014E7)</f>
        <v>86701400</v>
      </c>
      <c r="G1107" s="2">
        <f t="shared" si="1"/>
        <v>175</v>
      </c>
    </row>
    <row r="1108" ht="15.75" customHeight="1">
      <c r="A1108" s="1">
        <f>IFERROR(__xludf.DUMMYFUNCTION("""COMPUTED_VALUE"""),45504.66666666667)</f>
        <v>45504.66667</v>
      </c>
      <c r="B1108" s="2">
        <f>IFERROR(__xludf.DUMMYFUNCTION("""COMPUTED_VALUE"""),6400.0)</f>
        <v>6400</v>
      </c>
      <c r="C1108" s="2">
        <f>IFERROR(__xludf.DUMMYFUNCTION("""COMPUTED_VALUE"""),6475.0)</f>
        <v>6475</v>
      </c>
      <c r="D1108" s="2">
        <f>IFERROR(__xludf.DUMMYFUNCTION("""COMPUTED_VALUE"""),6375.0)</f>
        <v>6375</v>
      </c>
      <c r="E1108" s="2">
        <f>IFERROR(__xludf.DUMMYFUNCTION("""COMPUTED_VALUE"""),6400.0)</f>
        <v>6400</v>
      </c>
      <c r="F1108" s="2">
        <f>IFERROR(__xludf.DUMMYFUNCTION("""COMPUTED_VALUE"""),9.90041E7)</f>
        <v>99004100</v>
      </c>
      <c r="G1108" s="2">
        <f t="shared" si="1"/>
        <v>100</v>
      </c>
    </row>
    <row r="1109" ht="15.75" customHeight="1">
      <c r="A1109" s="1">
        <f>IFERROR(__xludf.DUMMYFUNCTION("""COMPUTED_VALUE"""),45505.66666666667)</f>
        <v>45505.66667</v>
      </c>
      <c r="B1109" s="2">
        <f>IFERROR(__xludf.DUMMYFUNCTION("""COMPUTED_VALUE"""),6550.0)</f>
        <v>6550</v>
      </c>
      <c r="C1109" s="2">
        <f>IFERROR(__xludf.DUMMYFUNCTION("""COMPUTED_VALUE"""),6750.0)</f>
        <v>6750</v>
      </c>
      <c r="D1109" s="2">
        <f>IFERROR(__xludf.DUMMYFUNCTION("""COMPUTED_VALUE"""),6500.0)</f>
        <v>6500</v>
      </c>
      <c r="E1109" s="2">
        <f>IFERROR(__xludf.DUMMYFUNCTION("""COMPUTED_VALUE"""),6750.0)</f>
        <v>6750</v>
      </c>
      <c r="F1109" s="2">
        <f>IFERROR(__xludf.DUMMYFUNCTION("""COMPUTED_VALUE"""),1.630862E8)</f>
        <v>163086200</v>
      </c>
      <c r="G1109" s="2">
        <f t="shared" si="1"/>
        <v>350</v>
      </c>
    </row>
    <row r="1110" ht="15.75" customHeight="1">
      <c r="A1110" s="1">
        <f>IFERROR(__xludf.DUMMYFUNCTION("""COMPUTED_VALUE"""),45506.66666666667)</f>
        <v>45506.66667</v>
      </c>
      <c r="B1110" s="2">
        <f>IFERROR(__xludf.DUMMYFUNCTION("""COMPUTED_VALUE"""),6700.0)</f>
        <v>6700</v>
      </c>
      <c r="C1110" s="2">
        <f>IFERROR(__xludf.DUMMYFUNCTION("""COMPUTED_VALUE"""),6875.0)</f>
        <v>6875</v>
      </c>
      <c r="D1110" s="2">
        <f>IFERROR(__xludf.DUMMYFUNCTION("""COMPUTED_VALUE"""),6675.0)</f>
        <v>6675</v>
      </c>
      <c r="E1110" s="2">
        <f>IFERROR(__xludf.DUMMYFUNCTION("""COMPUTED_VALUE"""),6800.0)</f>
        <v>6800</v>
      </c>
      <c r="F1110" s="2">
        <f>IFERROR(__xludf.DUMMYFUNCTION("""COMPUTED_VALUE"""),1.678924E8)</f>
        <v>167892400</v>
      </c>
      <c r="G1110" s="2">
        <f t="shared" si="1"/>
        <v>200</v>
      </c>
    </row>
    <row r="1111" ht="15.75" customHeight="1">
      <c r="A1111" s="1">
        <f>IFERROR(__xludf.DUMMYFUNCTION("""COMPUTED_VALUE"""),45509.66666666667)</f>
        <v>45509.66667</v>
      </c>
      <c r="B1111" s="2">
        <f>IFERROR(__xludf.DUMMYFUNCTION("""COMPUTED_VALUE"""),6700.0)</f>
        <v>6700</v>
      </c>
      <c r="C1111" s="2">
        <f>IFERROR(__xludf.DUMMYFUNCTION("""COMPUTED_VALUE"""),6725.0)</f>
        <v>6725</v>
      </c>
      <c r="D1111" s="2">
        <f>IFERROR(__xludf.DUMMYFUNCTION("""COMPUTED_VALUE"""),6500.0)</f>
        <v>6500</v>
      </c>
      <c r="E1111" s="2">
        <f>IFERROR(__xludf.DUMMYFUNCTION("""COMPUTED_VALUE"""),6575.0)</f>
        <v>6575</v>
      </c>
      <c r="F1111" s="2">
        <f>IFERROR(__xludf.DUMMYFUNCTION("""COMPUTED_VALUE"""),1.84384E8)</f>
        <v>184384000</v>
      </c>
      <c r="G1111" s="2">
        <f t="shared" si="1"/>
        <v>300</v>
      </c>
    </row>
    <row r="1112" ht="15.75" customHeight="1">
      <c r="A1112" s="1">
        <f>IFERROR(__xludf.DUMMYFUNCTION("""COMPUTED_VALUE"""),45510.66666666667)</f>
        <v>45510.66667</v>
      </c>
      <c r="B1112" s="2">
        <f>IFERROR(__xludf.DUMMYFUNCTION("""COMPUTED_VALUE"""),6650.0)</f>
        <v>6650</v>
      </c>
      <c r="C1112" s="2">
        <f>IFERROR(__xludf.DUMMYFUNCTION("""COMPUTED_VALUE"""),6700.0)</f>
        <v>6700</v>
      </c>
      <c r="D1112" s="2">
        <f>IFERROR(__xludf.DUMMYFUNCTION("""COMPUTED_VALUE"""),6525.0)</f>
        <v>6525</v>
      </c>
      <c r="E1112" s="2">
        <f>IFERROR(__xludf.DUMMYFUNCTION("""COMPUTED_VALUE"""),6625.0)</f>
        <v>6625</v>
      </c>
      <c r="F1112" s="2">
        <f>IFERROR(__xludf.DUMMYFUNCTION("""COMPUTED_VALUE"""),9.5785E7)</f>
        <v>95785000</v>
      </c>
      <c r="G1112" s="2">
        <f t="shared" si="1"/>
        <v>175</v>
      </c>
    </row>
    <row r="1113" ht="15.75" customHeight="1">
      <c r="A1113" s="1">
        <f>IFERROR(__xludf.DUMMYFUNCTION("""COMPUTED_VALUE"""),45511.66666666667)</f>
        <v>45511.66667</v>
      </c>
      <c r="B1113" s="2">
        <f>IFERROR(__xludf.DUMMYFUNCTION("""COMPUTED_VALUE"""),6725.0)</f>
        <v>6725</v>
      </c>
      <c r="C1113" s="2">
        <f>IFERROR(__xludf.DUMMYFUNCTION("""COMPUTED_VALUE"""),6775.0)</f>
        <v>6775</v>
      </c>
      <c r="D1113" s="2">
        <f>IFERROR(__xludf.DUMMYFUNCTION("""COMPUTED_VALUE"""),6650.0)</f>
        <v>6650</v>
      </c>
      <c r="E1113" s="2">
        <f>IFERROR(__xludf.DUMMYFUNCTION("""COMPUTED_VALUE"""),6775.0)</f>
        <v>6775</v>
      </c>
      <c r="F1113" s="2">
        <f>IFERROR(__xludf.DUMMYFUNCTION("""COMPUTED_VALUE"""),8.46342E7)</f>
        <v>84634200</v>
      </c>
      <c r="G1113" s="2">
        <f t="shared" si="1"/>
        <v>150</v>
      </c>
    </row>
    <row r="1114" ht="15.75" customHeight="1">
      <c r="A1114" s="1">
        <f>IFERROR(__xludf.DUMMYFUNCTION("""COMPUTED_VALUE"""),45512.66666666667)</f>
        <v>45512.66667</v>
      </c>
      <c r="B1114" s="2">
        <f>IFERROR(__xludf.DUMMYFUNCTION("""COMPUTED_VALUE"""),6800.0)</f>
        <v>6800</v>
      </c>
      <c r="C1114" s="2">
        <f>IFERROR(__xludf.DUMMYFUNCTION("""COMPUTED_VALUE"""),6850.0)</f>
        <v>6850</v>
      </c>
      <c r="D1114" s="2">
        <f>IFERROR(__xludf.DUMMYFUNCTION("""COMPUTED_VALUE"""),6725.0)</f>
        <v>6725</v>
      </c>
      <c r="E1114" s="2">
        <f>IFERROR(__xludf.DUMMYFUNCTION("""COMPUTED_VALUE"""),6800.0)</f>
        <v>6800</v>
      </c>
      <c r="F1114" s="2">
        <f>IFERROR(__xludf.DUMMYFUNCTION("""COMPUTED_VALUE"""),8.14085E7)</f>
        <v>81408500</v>
      </c>
      <c r="G1114" s="2">
        <f t="shared" si="1"/>
        <v>125</v>
      </c>
    </row>
    <row r="1115" ht="15.75" customHeight="1">
      <c r="A1115" s="1">
        <f>IFERROR(__xludf.DUMMYFUNCTION("""COMPUTED_VALUE"""),45513.66666666667)</f>
        <v>45513.66667</v>
      </c>
      <c r="B1115" s="2">
        <f>IFERROR(__xludf.DUMMYFUNCTION("""COMPUTED_VALUE"""),6825.0)</f>
        <v>6825</v>
      </c>
      <c r="C1115" s="2">
        <f>IFERROR(__xludf.DUMMYFUNCTION("""COMPUTED_VALUE"""),6900.0)</f>
        <v>6900</v>
      </c>
      <c r="D1115" s="2">
        <f>IFERROR(__xludf.DUMMYFUNCTION("""COMPUTED_VALUE"""),6800.0)</f>
        <v>6800</v>
      </c>
      <c r="E1115" s="2">
        <f>IFERROR(__xludf.DUMMYFUNCTION("""COMPUTED_VALUE"""),6850.0)</f>
        <v>6850</v>
      </c>
      <c r="F1115" s="2">
        <f>IFERROR(__xludf.DUMMYFUNCTION("""COMPUTED_VALUE"""),7.97107E7)</f>
        <v>79710700</v>
      </c>
      <c r="G1115" s="2">
        <f t="shared" si="1"/>
        <v>100</v>
      </c>
    </row>
    <row r="1116" ht="15.75" customHeight="1">
      <c r="A1116" s="1">
        <f>IFERROR(__xludf.DUMMYFUNCTION("""COMPUTED_VALUE"""),45516.66666666667)</f>
        <v>45516.66667</v>
      </c>
      <c r="B1116" s="2">
        <f>IFERROR(__xludf.DUMMYFUNCTION("""COMPUTED_VALUE"""),6875.0)</f>
        <v>6875</v>
      </c>
      <c r="C1116" s="2">
        <f>IFERROR(__xludf.DUMMYFUNCTION("""COMPUTED_VALUE"""),6900.0)</f>
        <v>6900</v>
      </c>
      <c r="D1116" s="2">
        <f>IFERROR(__xludf.DUMMYFUNCTION("""COMPUTED_VALUE"""),6775.0)</f>
        <v>6775</v>
      </c>
      <c r="E1116" s="2">
        <f>IFERROR(__xludf.DUMMYFUNCTION("""COMPUTED_VALUE"""),6900.0)</f>
        <v>6900</v>
      </c>
      <c r="F1116" s="2">
        <f>IFERROR(__xludf.DUMMYFUNCTION("""COMPUTED_VALUE"""),5.0756E7)</f>
        <v>50756000</v>
      </c>
      <c r="G1116" s="2">
        <f t="shared" si="1"/>
        <v>125</v>
      </c>
    </row>
    <row r="1117" ht="15.75" customHeight="1">
      <c r="A1117" s="1">
        <f>IFERROR(__xludf.DUMMYFUNCTION("""COMPUTED_VALUE"""),45517.66666666667)</f>
        <v>45517.66667</v>
      </c>
      <c r="B1117" s="2">
        <f>IFERROR(__xludf.DUMMYFUNCTION("""COMPUTED_VALUE"""),6850.0)</f>
        <v>6850</v>
      </c>
      <c r="C1117" s="2">
        <f>IFERROR(__xludf.DUMMYFUNCTION("""COMPUTED_VALUE"""),7000.0)</f>
        <v>7000</v>
      </c>
      <c r="D1117" s="2">
        <f>IFERROR(__xludf.DUMMYFUNCTION("""COMPUTED_VALUE"""),6850.0)</f>
        <v>6850</v>
      </c>
      <c r="E1117" s="2">
        <f>IFERROR(__xludf.DUMMYFUNCTION("""COMPUTED_VALUE"""),7000.0)</f>
        <v>7000</v>
      </c>
      <c r="F1117" s="2">
        <f>IFERROR(__xludf.DUMMYFUNCTION("""COMPUTED_VALUE"""),6.8666E7)</f>
        <v>68666000</v>
      </c>
      <c r="G1117" s="2">
        <f t="shared" si="1"/>
        <v>150</v>
      </c>
    </row>
    <row r="1118" ht="15.75" customHeight="1">
      <c r="A1118" s="1">
        <f>IFERROR(__xludf.DUMMYFUNCTION("""COMPUTED_VALUE"""),45518.66666666667)</f>
        <v>45518.66667</v>
      </c>
      <c r="B1118" s="2">
        <f>IFERROR(__xludf.DUMMYFUNCTION("""COMPUTED_VALUE"""),7075.0)</f>
        <v>7075</v>
      </c>
      <c r="C1118" s="2">
        <f>IFERROR(__xludf.DUMMYFUNCTION("""COMPUTED_VALUE"""),7100.0)</f>
        <v>7100</v>
      </c>
      <c r="D1118" s="2">
        <f>IFERROR(__xludf.DUMMYFUNCTION("""COMPUTED_VALUE"""),7025.0)</f>
        <v>7025</v>
      </c>
      <c r="E1118" s="2">
        <f>IFERROR(__xludf.DUMMYFUNCTION("""COMPUTED_VALUE"""),7075.0)</f>
        <v>7075</v>
      </c>
      <c r="F1118" s="2">
        <f>IFERROR(__xludf.DUMMYFUNCTION("""COMPUTED_VALUE"""),9.76951E7)</f>
        <v>97695100</v>
      </c>
      <c r="G1118" s="2">
        <f t="shared" si="1"/>
        <v>100</v>
      </c>
    </row>
    <row r="1119" ht="15.75" customHeight="1">
      <c r="A1119" s="1">
        <f>IFERROR(__xludf.DUMMYFUNCTION("""COMPUTED_VALUE"""),45519.66666666667)</f>
        <v>45519.66667</v>
      </c>
      <c r="B1119" s="2">
        <f>IFERROR(__xludf.DUMMYFUNCTION("""COMPUTED_VALUE"""),7075.0)</f>
        <v>7075</v>
      </c>
      <c r="C1119" s="2">
        <f>IFERROR(__xludf.DUMMYFUNCTION("""COMPUTED_VALUE"""),7075.0)</f>
        <v>7075</v>
      </c>
      <c r="D1119" s="2">
        <f>IFERROR(__xludf.DUMMYFUNCTION("""COMPUTED_VALUE"""),6925.0)</f>
        <v>6925</v>
      </c>
      <c r="E1119" s="2">
        <f>IFERROR(__xludf.DUMMYFUNCTION("""COMPUTED_VALUE"""),7025.0)</f>
        <v>7025</v>
      </c>
      <c r="F1119" s="2">
        <f>IFERROR(__xludf.DUMMYFUNCTION("""COMPUTED_VALUE"""),7.59555E7)</f>
        <v>75955500</v>
      </c>
      <c r="G1119" s="2">
        <f t="shared" si="1"/>
        <v>150</v>
      </c>
    </row>
    <row r="1120" ht="15.75" customHeight="1">
      <c r="A1120" s="1">
        <f>IFERROR(__xludf.DUMMYFUNCTION("""COMPUTED_VALUE"""),45520.66666666667)</f>
        <v>45520.66667</v>
      </c>
      <c r="B1120" s="2">
        <f>IFERROR(__xludf.DUMMYFUNCTION("""COMPUTED_VALUE"""),7075.0)</f>
        <v>7075</v>
      </c>
      <c r="C1120" s="2">
        <f>IFERROR(__xludf.DUMMYFUNCTION("""COMPUTED_VALUE"""),7125.0)</f>
        <v>7125</v>
      </c>
      <c r="D1120" s="2">
        <f>IFERROR(__xludf.DUMMYFUNCTION("""COMPUTED_VALUE"""),7025.0)</f>
        <v>7025</v>
      </c>
      <c r="E1120" s="2">
        <f>IFERROR(__xludf.DUMMYFUNCTION("""COMPUTED_VALUE"""),7075.0)</f>
        <v>7075</v>
      </c>
      <c r="F1120" s="2">
        <f>IFERROR(__xludf.DUMMYFUNCTION("""COMPUTED_VALUE"""),6.42664E7)</f>
        <v>64266400</v>
      </c>
      <c r="G1120" s="2">
        <f t="shared" si="1"/>
        <v>100</v>
      </c>
    </row>
    <row r="1121" ht="15.75" customHeight="1">
      <c r="A1121" s="1">
        <f>IFERROR(__xludf.DUMMYFUNCTION("""COMPUTED_VALUE"""),45523.66666666667)</f>
        <v>45523.66667</v>
      </c>
      <c r="B1121" s="2">
        <f>IFERROR(__xludf.DUMMYFUNCTION("""COMPUTED_VALUE"""),7075.0)</f>
        <v>7075</v>
      </c>
      <c r="C1121" s="2">
        <f>IFERROR(__xludf.DUMMYFUNCTION("""COMPUTED_VALUE"""),7150.0)</f>
        <v>7150</v>
      </c>
      <c r="D1121" s="2">
        <f>IFERROR(__xludf.DUMMYFUNCTION("""COMPUTED_VALUE"""),7025.0)</f>
        <v>7025</v>
      </c>
      <c r="E1121" s="2">
        <f>IFERROR(__xludf.DUMMYFUNCTION("""COMPUTED_VALUE"""),7150.0)</f>
        <v>7150</v>
      </c>
      <c r="F1121" s="2">
        <f>IFERROR(__xludf.DUMMYFUNCTION("""COMPUTED_VALUE"""),5.02461E7)</f>
        <v>50246100</v>
      </c>
      <c r="G1121" s="2">
        <f t="shared" si="1"/>
        <v>125</v>
      </c>
    </row>
    <row r="1122" ht="15.75" customHeight="1">
      <c r="A1122" s="1">
        <f>IFERROR(__xludf.DUMMYFUNCTION("""COMPUTED_VALUE"""),45524.66666666667)</f>
        <v>45524.66667</v>
      </c>
      <c r="B1122" s="2">
        <f>IFERROR(__xludf.DUMMYFUNCTION("""COMPUTED_VALUE"""),7200.0)</f>
        <v>7200</v>
      </c>
      <c r="C1122" s="2">
        <f>IFERROR(__xludf.DUMMYFUNCTION("""COMPUTED_VALUE"""),7350.0)</f>
        <v>7350</v>
      </c>
      <c r="D1122" s="2">
        <f>IFERROR(__xludf.DUMMYFUNCTION("""COMPUTED_VALUE"""),7150.0)</f>
        <v>7150</v>
      </c>
      <c r="E1122" s="2">
        <f>IFERROR(__xludf.DUMMYFUNCTION("""COMPUTED_VALUE"""),7200.0)</f>
        <v>7200</v>
      </c>
      <c r="F1122" s="2">
        <f>IFERROR(__xludf.DUMMYFUNCTION("""COMPUTED_VALUE"""),1.026159E8)</f>
        <v>102615900</v>
      </c>
      <c r="G1122" s="2">
        <f t="shared" si="1"/>
        <v>200</v>
      </c>
    </row>
    <row r="1123" ht="15.75" customHeight="1">
      <c r="A1123" s="1">
        <f>IFERROR(__xludf.DUMMYFUNCTION("""COMPUTED_VALUE"""),45525.66666666667)</f>
        <v>45525.66667</v>
      </c>
      <c r="B1123" s="2">
        <f>IFERROR(__xludf.DUMMYFUNCTION("""COMPUTED_VALUE"""),7300.0)</f>
        <v>7300</v>
      </c>
      <c r="C1123" s="2">
        <f>IFERROR(__xludf.DUMMYFUNCTION("""COMPUTED_VALUE"""),7300.0)</f>
        <v>7300</v>
      </c>
      <c r="D1123" s="2">
        <f>IFERROR(__xludf.DUMMYFUNCTION("""COMPUTED_VALUE"""),7225.0)</f>
        <v>7225</v>
      </c>
      <c r="E1123" s="2">
        <f>IFERROR(__xludf.DUMMYFUNCTION("""COMPUTED_VALUE"""),7250.0)</f>
        <v>7250</v>
      </c>
      <c r="F1123" s="2">
        <f>IFERROR(__xludf.DUMMYFUNCTION("""COMPUTED_VALUE"""),8.84878E7)</f>
        <v>88487800</v>
      </c>
      <c r="G1123" s="2">
        <f t="shared" si="1"/>
        <v>100</v>
      </c>
    </row>
    <row r="1124" ht="15.75" customHeight="1">
      <c r="A1124" s="1">
        <f>IFERROR(__xludf.DUMMYFUNCTION("""COMPUTED_VALUE"""),45526.66666666667)</f>
        <v>45526.66667</v>
      </c>
      <c r="B1124" s="2">
        <f>IFERROR(__xludf.DUMMYFUNCTION("""COMPUTED_VALUE"""),7150.0)</f>
        <v>7150</v>
      </c>
      <c r="C1124" s="2">
        <f>IFERROR(__xludf.DUMMYFUNCTION("""COMPUTED_VALUE"""),7175.0)</f>
        <v>7175</v>
      </c>
      <c r="D1124" s="2">
        <f>IFERROR(__xludf.DUMMYFUNCTION("""COMPUTED_VALUE"""),6925.0)</f>
        <v>6925</v>
      </c>
      <c r="E1124" s="2">
        <f>IFERROR(__xludf.DUMMYFUNCTION("""COMPUTED_VALUE"""),7050.0)</f>
        <v>7050</v>
      </c>
      <c r="F1124" s="2">
        <f>IFERROR(__xludf.DUMMYFUNCTION("""COMPUTED_VALUE"""),1.57323E8)</f>
        <v>157323000</v>
      </c>
      <c r="G1124" s="2">
        <f t="shared" si="1"/>
        <v>325</v>
      </c>
    </row>
    <row r="1125" ht="15.75" customHeight="1">
      <c r="A1125" s="1">
        <f>IFERROR(__xludf.DUMMYFUNCTION("""COMPUTED_VALUE"""),45527.66666666667)</f>
        <v>45527.66667</v>
      </c>
      <c r="B1125" s="2">
        <f>IFERROR(__xludf.DUMMYFUNCTION("""COMPUTED_VALUE"""),7000.0)</f>
        <v>7000</v>
      </c>
      <c r="C1125" s="2">
        <f>IFERROR(__xludf.DUMMYFUNCTION("""COMPUTED_VALUE"""),7075.0)</f>
        <v>7075</v>
      </c>
      <c r="D1125" s="2">
        <f>IFERROR(__xludf.DUMMYFUNCTION("""COMPUTED_VALUE"""),6975.0)</f>
        <v>6975</v>
      </c>
      <c r="E1125" s="2">
        <f>IFERROR(__xludf.DUMMYFUNCTION("""COMPUTED_VALUE"""),7050.0)</f>
        <v>7050</v>
      </c>
      <c r="F1125" s="2">
        <f>IFERROR(__xludf.DUMMYFUNCTION("""COMPUTED_VALUE"""),1.117521E8)</f>
        <v>111752100</v>
      </c>
      <c r="G1125" s="2">
        <f t="shared" si="1"/>
        <v>100</v>
      </c>
    </row>
    <row r="1126" ht="15.75" customHeight="1">
      <c r="A1126" s="1">
        <f>IFERROR(__xludf.DUMMYFUNCTION("""COMPUTED_VALUE"""),45530.66666666667)</f>
        <v>45530.66667</v>
      </c>
      <c r="B1126" s="2">
        <f>IFERROR(__xludf.DUMMYFUNCTION("""COMPUTED_VALUE"""),7050.0)</f>
        <v>7050</v>
      </c>
      <c r="C1126" s="2">
        <f>IFERROR(__xludf.DUMMYFUNCTION("""COMPUTED_VALUE"""),7100.0)</f>
        <v>7100</v>
      </c>
      <c r="D1126" s="2">
        <f>IFERROR(__xludf.DUMMYFUNCTION("""COMPUTED_VALUE"""),7000.0)</f>
        <v>7000</v>
      </c>
      <c r="E1126" s="2">
        <f>IFERROR(__xludf.DUMMYFUNCTION("""COMPUTED_VALUE"""),7050.0)</f>
        <v>7050</v>
      </c>
      <c r="F1126" s="2">
        <f>IFERROR(__xludf.DUMMYFUNCTION("""COMPUTED_VALUE"""),7.85154E7)</f>
        <v>78515400</v>
      </c>
      <c r="G1126" s="2">
        <f t="shared" si="1"/>
        <v>100</v>
      </c>
    </row>
    <row r="1127" ht="15.75" customHeight="1">
      <c r="A1127" s="1">
        <f>IFERROR(__xludf.DUMMYFUNCTION("""COMPUTED_VALUE"""),45531.66666666667)</f>
        <v>45531.66667</v>
      </c>
      <c r="B1127" s="2">
        <f>IFERROR(__xludf.DUMMYFUNCTION("""COMPUTED_VALUE"""),7025.0)</f>
        <v>7025</v>
      </c>
      <c r="C1127" s="2">
        <f>IFERROR(__xludf.DUMMYFUNCTION("""COMPUTED_VALUE"""),7050.0)</f>
        <v>7050</v>
      </c>
      <c r="D1127" s="2">
        <f>IFERROR(__xludf.DUMMYFUNCTION("""COMPUTED_VALUE"""),6925.0)</f>
        <v>6925</v>
      </c>
      <c r="E1127" s="2">
        <f>IFERROR(__xludf.DUMMYFUNCTION("""COMPUTED_VALUE"""),7025.0)</f>
        <v>7025</v>
      </c>
      <c r="F1127" s="2">
        <f>IFERROR(__xludf.DUMMYFUNCTION("""COMPUTED_VALUE"""),9.16867E7)</f>
        <v>91686700</v>
      </c>
      <c r="G1127" s="2">
        <f t="shared" si="1"/>
        <v>125</v>
      </c>
    </row>
    <row r="1128" ht="15.75" customHeight="1">
      <c r="A1128" s="1">
        <f>IFERROR(__xludf.DUMMYFUNCTION("""COMPUTED_VALUE"""),45532.66666666667)</f>
        <v>45532.66667</v>
      </c>
      <c r="B1128" s="2">
        <f>IFERROR(__xludf.DUMMYFUNCTION("""COMPUTED_VALUE"""),7025.0)</f>
        <v>7025</v>
      </c>
      <c r="C1128" s="2">
        <f>IFERROR(__xludf.DUMMYFUNCTION("""COMPUTED_VALUE"""),7225.0)</f>
        <v>7225</v>
      </c>
      <c r="D1128" s="2">
        <f>IFERROR(__xludf.DUMMYFUNCTION("""COMPUTED_VALUE"""),7000.0)</f>
        <v>7000</v>
      </c>
      <c r="E1128" s="2">
        <f>IFERROR(__xludf.DUMMYFUNCTION("""COMPUTED_VALUE"""),7225.0)</f>
        <v>7225</v>
      </c>
      <c r="F1128" s="2">
        <f>IFERROR(__xludf.DUMMYFUNCTION("""COMPUTED_VALUE"""),1.146062E8)</f>
        <v>114606200</v>
      </c>
      <c r="G1128" s="2">
        <f t="shared" si="1"/>
        <v>225</v>
      </c>
    </row>
    <row r="1129" ht="15.75" customHeight="1">
      <c r="A1129" s="1">
        <f>IFERROR(__xludf.DUMMYFUNCTION("""COMPUTED_VALUE"""),45533.66666666667)</f>
        <v>45533.66667</v>
      </c>
      <c r="B1129" s="2">
        <f>IFERROR(__xludf.DUMMYFUNCTION("""COMPUTED_VALUE"""),7300.0)</f>
        <v>7300</v>
      </c>
      <c r="C1129" s="2">
        <f>IFERROR(__xludf.DUMMYFUNCTION("""COMPUTED_VALUE"""),7300.0)</f>
        <v>7300</v>
      </c>
      <c r="D1129" s="2">
        <f>IFERROR(__xludf.DUMMYFUNCTION("""COMPUTED_VALUE"""),7100.0)</f>
        <v>7100</v>
      </c>
      <c r="E1129" s="2">
        <f>IFERROR(__xludf.DUMMYFUNCTION("""COMPUTED_VALUE"""),7100.0)</f>
        <v>7100</v>
      </c>
      <c r="F1129" s="2">
        <f>IFERROR(__xludf.DUMMYFUNCTION("""COMPUTED_VALUE"""),9.44759E7)</f>
        <v>94475900</v>
      </c>
      <c r="G1129" s="2">
        <f t="shared" si="1"/>
        <v>200</v>
      </c>
    </row>
    <row r="1130" ht="15.75" customHeight="1">
      <c r="A1130" s="1">
        <f>IFERROR(__xludf.DUMMYFUNCTION("""COMPUTED_VALUE"""),45534.66666666667)</f>
        <v>45534.66667</v>
      </c>
      <c r="B1130" s="2">
        <f>IFERROR(__xludf.DUMMYFUNCTION("""COMPUTED_VALUE"""),7100.0)</f>
        <v>7100</v>
      </c>
      <c r="C1130" s="2">
        <f>IFERROR(__xludf.DUMMYFUNCTION("""COMPUTED_VALUE"""),7175.0)</f>
        <v>7175</v>
      </c>
      <c r="D1130" s="2">
        <f>IFERROR(__xludf.DUMMYFUNCTION("""COMPUTED_VALUE"""),7075.0)</f>
        <v>7075</v>
      </c>
      <c r="E1130" s="2">
        <f>IFERROR(__xludf.DUMMYFUNCTION("""COMPUTED_VALUE"""),7125.0)</f>
        <v>7125</v>
      </c>
      <c r="F1130" s="2">
        <f>IFERROR(__xludf.DUMMYFUNCTION("""COMPUTED_VALUE"""),1.537605E8)</f>
        <v>153760500</v>
      </c>
      <c r="G1130" s="2">
        <f t="shared" si="1"/>
        <v>100</v>
      </c>
    </row>
    <row r="1131" ht="15.75" customHeight="1">
      <c r="A1131" s="1">
        <f>IFERROR(__xludf.DUMMYFUNCTION("""COMPUTED_VALUE"""),45537.66666666667)</f>
        <v>45537.66667</v>
      </c>
      <c r="B1131" s="2">
        <f>IFERROR(__xludf.DUMMYFUNCTION("""COMPUTED_VALUE"""),7200.0)</f>
        <v>7200</v>
      </c>
      <c r="C1131" s="2">
        <f>IFERROR(__xludf.DUMMYFUNCTION("""COMPUTED_VALUE"""),7275.0)</f>
        <v>7275</v>
      </c>
      <c r="D1131" s="2">
        <f>IFERROR(__xludf.DUMMYFUNCTION("""COMPUTED_VALUE"""),7125.0)</f>
        <v>7125</v>
      </c>
      <c r="E1131" s="2">
        <f>IFERROR(__xludf.DUMMYFUNCTION("""COMPUTED_VALUE"""),7200.0)</f>
        <v>7200</v>
      </c>
      <c r="F1131" s="2">
        <f>IFERROR(__xludf.DUMMYFUNCTION("""COMPUTED_VALUE"""),8.2176E7)</f>
        <v>82176000</v>
      </c>
      <c r="G1131" s="2">
        <f t="shared" si="1"/>
        <v>150</v>
      </c>
    </row>
    <row r="1132" ht="15.75" customHeight="1">
      <c r="A1132" s="1">
        <f>IFERROR(__xludf.DUMMYFUNCTION("""COMPUTED_VALUE"""),45538.66666666667)</f>
        <v>45538.66667</v>
      </c>
      <c r="B1132" s="2">
        <f>IFERROR(__xludf.DUMMYFUNCTION("""COMPUTED_VALUE"""),7200.0)</f>
        <v>7200</v>
      </c>
      <c r="C1132" s="2">
        <f>IFERROR(__xludf.DUMMYFUNCTION("""COMPUTED_VALUE"""),7250.0)</f>
        <v>7250</v>
      </c>
      <c r="D1132" s="2">
        <f>IFERROR(__xludf.DUMMYFUNCTION("""COMPUTED_VALUE"""),7050.0)</f>
        <v>7050</v>
      </c>
      <c r="E1132" s="2">
        <f>IFERROR(__xludf.DUMMYFUNCTION("""COMPUTED_VALUE"""),7075.0)</f>
        <v>7075</v>
      </c>
      <c r="F1132" s="2">
        <f>IFERROR(__xludf.DUMMYFUNCTION("""COMPUTED_VALUE"""),7.51008E7)</f>
        <v>75100800</v>
      </c>
      <c r="G1132" s="2">
        <f t="shared" si="1"/>
        <v>200</v>
      </c>
    </row>
    <row r="1133" ht="15.75" customHeight="1">
      <c r="A1133" s="1">
        <f>IFERROR(__xludf.DUMMYFUNCTION("""COMPUTED_VALUE"""),45539.66666666667)</f>
        <v>45539.66667</v>
      </c>
      <c r="B1133" s="2">
        <f>IFERROR(__xludf.DUMMYFUNCTION("""COMPUTED_VALUE"""),7000.0)</f>
        <v>7000</v>
      </c>
      <c r="C1133" s="2">
        <f>IFERROR(__xludf.DUMMYFUNCTION("""COMPUTED_VALUE"""),7175.0)</f>
        <v>7175</v>
      </c>
      <c r="D1133" s="2">
        <f>IFERROR(__xludf.DUMMYFUNCTION("""COMPUTED_VALUE"""),7000.0)</f>
        <v>7000</v>
      </c>
      <c r="E1133" s="2">
        <f>IFERROR(__xludf.DUMMYFUNCTION("""COMPUTED_VALUE"""),7175.0)</f>
        <v>7175</v>
      </c>
      <c r="F1133" s="2">
        <f>IFERROR(__xludf.DUMMYFUNCTION("""COMPUTED_VALUE"""),7.87898E7)</f>
        <v>78789800</v>
      </c>
      <c r="G1133" s="2">
        <f t="shared" si="1"/>
        <v>175</v>
      </c>
    </row>
    <row r="1134" ht="15.75" customHeight="1">
      <c r="A1134" s="1">
        <f>IFERROR(__xludf.DUMMYFUNCTION("""COMPUTED_VALUE"""),45540.66666666667)</f>
        <v>45540.66667</v>
      </c>
      <c r="B1134" s="2">
        <f>IFERROR(__xludf.DUMMYFUNCTION("""COMPUTED_VALUE"""),7125.0)</f>
        <v>7125</v>
      </c>
      <c r="C1134" s="2">
        <f>IFERROR(__xludf.DUMMYFUNCTION("""COMPUTED_VALUE"""),7225.0)</f>
        <v>7225</v>
      </c>
      <c r="D1134" s="2">
        <f>IFERROR(__xludf.DUMMYFUNCTION("""COMPUTED_VALUE"""),7125.0)</f>
        <v>7125</v>
      </c>
      <c r="E1134" s="2">
        <f>IFERROR(__xludf.DUMMYFUNCTION("""COMPUTED_VALUE"""),7175.0)</f>
        <v>7175</v>
      </c>
      <c r="F1134" s="2">
        <f>IFERROR(__xludf.DUMMYFUNCTION("""COMPUTED_VALUE"""),5.9432E7)</f>
        <v>59432000</v>
      </c>
      <c r="G1134" s="2">
        <f t="shared" si="1"/>
        <v>100</v>
      </c>
    </row>
    <row r="1135" ht="15.75" customHeight="1">
      <c r="A1135" s="1">
        <f>IFERROR(__xludf.DUMMYFUNCTION("""COMPUTED_VALUE"""),45541.66666666667)</f>
        <v>45541.66667</v>
      </c>
      <c r="B1135" s="2">
        <f>IFERROR(__xludf.DUMMYFUNCTION("""COMPUTED_VALUE"""),7175.0)</f>
        <v>7175</v>
      </c>
      <c r="C1135" s="2">
        <f>IFERROR(__xludf.DUMMYFUNCTION("""COMPUTED_VALUE"""),7275.0)</f>
        <v>7275</v>
      </c>
      <c r="D1135" s="2">
        <f>IFERROR(__xludf.DUMMYFUNCTION("""COMPUTED_VALUE"""),7150.0)</f>
        <v>7150</v>
      </c>
      <c r="E1135" s="2">
        <f>IFERROR(__xludf.DUMMYFUNCTION("""COMPUTED_VALUE"""),7250.0)</f>
        <v>7250</v>
      </c>
      <c r="F1135" s="2">
        <f>IFERROR(__xludf.DUMMYFUNCTION("""COMPUTED_VALUE"""),6.36193E7)</f>
        <v>63619300</v>
      </c>
      <c r="G1135" s="2">
        <f t="shared" si="1"/>
        <v>125</v>
      </c>
    </row>
    <row r="1136" ht="15.75" customHeight="1">
      <c r="A1136" s="1">
        <f>IFERROR(__xludf.DUMMYFUNCTION("""COMPUTED_VALUE"""),45544.66666666667)</f>
        <v>45544.66667</v>
      </c>
      <c r="B1136" s="2">
        <f>IFERROR(__xludf.DUMMYFUNCTION("""COMPUTED_VALUE"""),7250.0)</f>
        <v>7250</v>
      </c>
      <c r="C1136" s="2">
        <f>IFERROR(__xludf.DUMMYFUNCTION("""COMPUTED_VALUE"""),7250.0)</f>
        <v>7250</v>
      </c>
      <c r="D1136" s="2">
        <f>IFERROR(__xludf.DUMMYFUNCTION("""COMPUTED_VALUE"""),7200.0)</f>
        <v>7200</v>
      </c>
      <c r="E1136" s="2">
        <f>IFERROR(__xludf.DUMMYFUNCTION("""COMPUTED_VALUE"""),7250.0)</f>
        <v>7250</v>
      </c>
      <c r="F1136" s="2">
        <f>IFERROR(__xludf.DUMMYFUNCTION("""COMPUTED_VALUE"""),7.14303E7)</f>
        <v>71430300</v>
      </c>
      <c r="G1136" s="2">
        <f t="shared" si="1"/>
        <v>50</v>
      </c>
    </row>
    <row r="1137" ht="15.75" customHeight="1">
      <c r="A1137" s="1">
        <f>IFERROR(__xludf.DUMMYFUNCTION("""COMPUTED_VALUE"""),45545.66666666667)</f>
        <v>45545.66667</v>
      </c>
      <c r="B1137" s="2">
        <f>IFERROR(__xludf.DUMMYFUNCTION("""COMPUTED_VALUE"""),7250.0)</f>
        <v>7250</v>
      </c>
      <c r="C1137" s="2">
        <f>IFERROR(__xludf.DUMMYFUNCTION("""COMPUTED_VALUE"""),7275.0)</f>
        <v>7275</v>
      </c>
      <c r="D1137" s="2">
        <f>IFERROR(__xludf.DUMMYFUNCTION("""COMPUTED_VALUE"""),7225.0)</f>
        <v>7225</v>
      </c>
      <c r="E1137" s="2">
        <f>IFERROR(__xludf.DUMMYFUNCTION("""COMPUTED_VALUE"""),7250.0)</f>
        <v>7250</v>
      </c>
      <c r="F1137" s="2">
        <f>IFERROR(__xludf.DUMMYFUNCTION("""COMPUTED_VALUE"""),7.35157E7)</f>
        <v>73515700</v>
      </c>
      <c r="G1137" s="2">
        <f t="shared" si="1"/>
        <v>50</v>
      </c>
    </row>
    <row r="1138" ht="15.75" customHeight="1">
      <c r="A1138" s="1">
        <f>IFERROR(__xludf.DUMMYFUNCTION("""COMPUTED_VALUE"""),45546.66666666667)</f>
        <v>45546.66667</v>
      </c>
      <c r="B1138" s="2">
        <f>IFERROR(__xludf.DUMMYFUNCTION("""COMPUTED_VALUE"""),7300.0)</f>
        <v>7300</v>
      </c>
      <c r="C1138" s="2">
        <f>IFERROR(__xludf.DUMMYFUNCTION("""COMPUTED_VALUE"""),7400.0)</f>
        <v>7400</v>
      </c>
      <c r="D1138" s="2">
        <f>IFERROR(__xludf.DUMMYFUNCTION("""COMPUTED_VALUE"""),7275.0)</f>
        <v>7275</v>
      </c>
      <c r="E1138" s="2">
        <f>IFERROR(__xludf.DUMMYFUNCTION("""COMPUTED_VALUE"""),7375.0)</f>
        <v>7375</v>
      </c>
      <c r="F1138" s="2">
        <f>IFERROR(__xludf.DUMMYFUNCTION("""COMPUTED_VALUE"""),9.18223E7)</f>
        <v>91822300</v>
      </c>
      <c r="G1138" s="2">
        <f t="shared" si="1"/>
        <v>150</v>
      </c>
    </row>
    <row r="1139" ht="15.75" customHeight="1">
      <c r="A1139" s="1">
        <f>IFERROR(__xludf.DUMMYFUNCTION("""COMPUTED_VALUE"""),45547.66666666667)</f>
        <v>45547.66667</v>
      </c>
      <c r="B1139" s="2">
        <f>IFERROR(__xludf.DUMMYFUNCTION("""COMPUTED_VALUE"""),7375.0)</f>
        <v>7375</v>
      </c>
      <c r="C1139" s="2">
        <f>IFERROR(__xludf.DUMMYFUNCTION("""COMPUTED_VALUE"""),7425.0)</f>
        <v>7425</v>
      </c>
      <c r="D1139" s="2">
        <f>IFERROR(__xludf.DUMMYFUNCTION("""COMPUTED_VALUE"""),7300.0)</f>
        <v>7300</v>
      </c>
      <c r="E1139" s="2">
        <f>IFERROR(__xludf.DUMMYFUNCTION("""COMPUTED_VALUE"""),7300.0)</f>
        <v>7300</v>
      </c>
      <c r="F1139" s="2">
        <f>IFERROR(__xludf.DUMMYFUNCTION("""COMPUTED_VALUE"""),6.82543E7)</f>
        <v>68254300</v>
      </c>
      <c r="G1139" s="2">
        <f t="shared" si="1"/>
        <v>125</v>
      </c>
    </row>
    <row r="1140" ht="15.75" customHeight="1">
      <c r="A1140" s="1">
        <f>IFERROR(__xludf.DUMMYFUNCTION("""COMPUTED_VALUE"""),45548.66666666667)</f>
        <v>45548.66667</v>
      </c>
      <c r="B1140" s="2">
        <f>IFERROR(__xludf.DUMMYFUNCTION("""COMPUTED_VALUE"""),7300.0)</f>
        <v>7300</v>
      </c>
      <c r="C1140" s="2">
        <f>IFERROR(__xludf.DUMMYFUNCTION("""COMPUTED_VALUE"""),7300.0)</f>
        <v>7300</v>
      </c>
      <c r="D1140" s="2">
        <f>IFERROR(__xludf.DUMMYFUNCTION("""COMPUTED_VALUE"""),7225.0)</f>
        <v>7225</v>
      </c>
      <c r="E1140" s="2">
        <f>IFERROR(__xludf.DUMMYFUNCTION("""COMPUTED_VALUE"""),7275.0)</f>
        <v>7275</v>
      </c>
      <c r="F1140" s="2">
        <f>IFERROR(__xludf.DUMMYFUNCTION("""COMPUTED_VALUE"""),4.5854E7)</f>
        <v>45854000</v>
      </c>
      <c r="G1140" s="2">
        <f t="shared" si="1"/>
        <v>75</v>
      </c>
    </row>
    <row r="1141" ht="15.75" customHeight="1">
      <c r="A1141" s="1">
        <f>IFERROR(__xludf.DUMMYFUNCTION("""COMPUTED_VALUE"""),45552.66666666667)</f>
        <v>45552.66667</v>
      </c>
      <c r="B1141" s="2">
        <f>IFERROR(__xludf.DUMMYFUNCTION("""COMPUTED_VALUE"""),7325.0)</f>
        <v>7325</v>
      </c>
      <c r="C1141" s="2">
        <f>IFERROR(__xludf.DUMMYFUNCTION("""COMPUTED_VALUE"""),7450.0)</f>
        <v>7450</v>
      </c>
      <c r="D1141" s="2">
        <f>IFERROR(__xludf.DUMMYFUNCTION("""COMPUTED_VALUE"""),7300.0)</f>
        <v>7300</v>
      </c>
      <c r="E1141" s="2">
        <f>IFERROR(__xludf.DUMMYFUNCTION("""COMPUTED_VALUE"""),7425.0)</f>
        <v>7425</v>
      </c>
      <c r="F1141" s="2">
        <f>IFERROR(__xludf.DUMMYFUNCTION("""COMPUTED_VALUE"""),9.6428E7)</f>
        <v>96428000</v>
      </c>
      <c r="G1141" s="2">
        <f t="shared" si="1"/>
        <v>175</v>
      </c>
    </row>
    <row r="1142" ht="15.75" customHeight="1">
      <c r="A1142" s="1">
        <f>IFERROR(__xludf.DUMMYFUNCTION("""COMPUTED_VALUE"""),45553.66666666667)</f>
        <v>45553.66667</v>
      </c>
      <c r="B1142" s="2">
        <f>IFERROR(__xludf.DUMMYFUNCTION("""COMPUTED_VALUE"""),7375.0)</f>
        <v>7375</v>
      </c>
      <c r="C1142" s="2">
        <f>IFERROR(__xludf.DUMMYFUNCTION("""COMPUTED_VALUE"""),7450.0)</f>
        <v>7450</v>
      </c>
      <c r="D1142" s="2">
        <f>IFERROR(__xludf.DUMMYFUNCTION("""COMPUTED_VALUE"""),7350.0)</f>
        <v>7350</v>
      </c>
      <c r="E1142" s="2">
        <f>IFERROR(__xludf.DUMMYFUNCTION("""COMPUTED_VALUE"""),7400.0)</f>
        <v>7400</v>
      </c>
      <c r="F1142" s="2">
        <f>IFERROR(__xludf.DUMMYFUNCTION("""COMPUTED_VALUE"""),4.72792E7)</f>
        <v>47279200</v>
      </c>
      <c r="G1142" s="2">
        <f t="shared" si="1"/>
        <v>100</v>
      </c>
    </row>
    <row r="1143" ht="15.75" customHeight="1">
      <c r="A1143" s="1">
        <f>IFERROR(__xludf.DUMMYFUNCTION("""COMPUTED_VALUE"""),45554.66666666667)</f>
        <v>45554.66667</v>
      </c>
      <c r="B1143" s="2">
        <f>IFERROR(__xludf.DUMMYFUNCTION("""COMPUTED_VALUE"""),7450.0)</f>
        <v>7450</v>
      </c>
      <c r="C1143" s="2">
        <f>IFERROR(__xludf.DUMMYFUNCTION("""COMPUTED_VALUE"""),7550.0)</f>
        <v>7550</v>
      </c>
      <c r="D1143" s="2">
        <f>IFERROR(__xludf.DUMMYFUNCTION("""COMPUTED_VALUE"""),7400.0)</f>
        <v>7400</v>
      </c>
      <c r="E1143" s="2">
        <f>IFERROR(__xludf.DUMMYFUNCTION("""COMPUTED_VALUE"""),7400.0)</f>
        <v>7400</v>
      </c>
      <c r="F1143" s="2">
        <f>IFERROR(__xludf.DUMMYFUNCTION("""COMPUTED_VALUE"""),1.243778E8)</f>
        <v>124377800</v>
      </c>
      <c r="G1143" s="2">
        <f t="shared" si="1"/>
        <v>150</v>
      </c>
    </row>
    <row r="1144" ht="15.75" customHeight="1">
      <c r="A1144" s="1">
        <f>IFERROR(__xludf.DUMMYFUNCTION("""COMPUTED_VALUE"""),45555.66666666667)</f>
        <v>45555.66667</v>
      </c>
      <c r="B1144" s="2">
        <f>IFERROR(__xludf.DUMMYFUNCTION("""COMPUTED_VALUE"""),7400.0)</f>
        <v>7400</v>
      </c>
      <c r="C1144" s="2">
        <f>IFERROR(__xludf.DUMMYFUNCTION("""COMPUTED_VALUE"""),7425.0)</f>
        <v>7425</v>
      </c>
      <c r="D1144" s="2">
        <f>IFERROR(__xludf.DUMMYFUNCTION("""COMPUTED_VALUE"""),7300.0)</f>
        <v>7300</v>
      </c>
      <c r="E1144" s="2">
        <f>IFERROR(__xludf.DUMMYFUNCTION("""COMPUTED_VALUE"""),7300.0)</f>
        <v>7300</v>
      </c>
      <c r="F1144" s="2">
        <f>IFERROR(__xludf.DUMMYFUNCTION("""COMPUTED_VALUE"""),9.79017E7)</f>
        <v>97901700</v>
      </c>
      <c r="G1144" s="2">
        <f t="shared" si="1"/>
        <v>125</v>
      </c>
    </row>
    <row r="1145" ht="15.75" customHeight="1">
      <c r="A1145" s="1">
        <f>IFERROR(__xludf.DUMMYFUNCTION("""COMPUTED_VALUE"""),45558.66666666667)</f>
        <v>45558.66667</v>
      </c>
      <c r="B1145" s="2">
        <f>IFERROR(__xludf.DUMMYFUNCTION("""COMPUTED_VALUE"""),7325.0)</f>
        <v>7325</v>
      </c>
      <c r="C1145" s="2">
        <f>IFERROR(__xludf.DUMMYFUNCTION("""COMPUTED_VALUE"""),7450.0)</f>
        <v>7450</v>
      </c>
      <c r="D1145" s="2">
        <f>IFERROR(__xludf.DUMMYFUNCTION("""COMPUTED_VALUE"""),7300.0)</f>
        <v>7300</v>
      </c>
      <c r="E1145" s="2">
        <f>IFERROR(__xludf.DUMMYFUNCTION("""COMPUTED_VALUE"""),7450.0)</f>
        <v>7450</v>
      </c>
      <c r="F1145" s="2">
        <f>IFERROR(__xludf.DUMMYFUNCTION("""COMPUTED_VALUE"""),7.96756E7)</f>
        <v>79675600</v>
      </c>
      <c r="G1145" s="2">
        <f t="shared" si="1"/>
        <v>150</v>
      </c>
    </row>
    <row r="1146" ht="15.75" customHeight="1">
      <c r="A1146" s="1">
        <f>IFERROR(__xludf.DUMMYFUNCTION("""COMPUTED_VALUE"""),45559.66666666667)</f>
        <v>45559.66667</v>
      </c>
      <c r="B1146" s="2">
        <f>IFERROR(__xludf.DUMMYFUNCTION("""COMPUTED_VALUE"""),7400.0)</f>
        <v>7400</v>
      </c>
      <c r="C1146" s="2">
        <f>IFERROR(__xludf.DUMMYFUNCTION("""COMPUTED_VALUE"""),7475.0)</f>
        <v>7475</v>
      </c>
      <c r="D1146" s="2">
        <f>IFERROR(__xludf.DUMMYFUNCTION("""COMPUTED_VALUE"""),7375.0)</f>
        <v>7375</v>
      </c>
      <c r="E1146" s="2">
        <f>IFERROR(__xludf.DUMMYFUNCTION("""COMPUTED_VALUE"""),7425.0)</f>
        <v>7425</v>
      </c>
      <c r="F1146" s="2">
        <f>IFERROR(__xludf.DUMMYFUNCTION("""COMPUTED_VALUE"""),8.18171E7)</f>
        <v>81817100</v>
      </c>
      <c r="G1146" s="2">
        <f t="shared" si="1"/>
        <v>100</v>
      </c>
    </row>
    <row r="1147" ht="15.75" customHeight="1">
      <c r="A1147" s="1">
        <f>IFERROR(__xludf.DUMMYFUNCTION("""COMPUTED_VALUE"""),45560.66666666667)</f>
        <v>45560.66667</v>
      </c>
      <c r="B1147" s="2">
        <f>IFERROR(__xludf.DUMMYFUNCTION("""COMPUTED_VALUE"""),7350.0)</f>
        <v>7350</v>
      </c>
      <c r="C1147" s="2">
        <f>IFERROR(__xludf.DUMMYFUNCTION("""COMPUTED_VALUE"""),7350.0)</f>
        <v>7350</v>
      </c>
      <c r="D1147" s="2">
        <f>IFERROR(__xludf.DUMMYFUNCTION("""COMPUTED_VALUE"""),7050.0)</f>
        <v>7050</v>
      </c>
      <c r="E1147" s="2">
        <f>IFERROR(__xludf.DUMMYFUNCTION("""COMPUTED_VALUE"""),7200.0)</f>
        <v>7200</v>
      </c>
      <c r="F1147" s="2">
        <f>IFERROR(__xludf.DUMMYFUNCTION("""COMPUTED_VALUE"""),1.921971E8)</f>
        <v>192197100</v>
      </c>
      <c r="G1147" s="2">
        <f t="shared" si="1"/>
        <v>375</v>
      </c>
    </row>
    <row r="1148" ht="15.75" customHeight="1">
      <c r="A1148" s="1">
        <f>IFERROR(__xludf.DUMMYFUNCTION("""COMPUTED_VALUE"""),45561.66666666667)</f>
        <v>45561.66667</v>
      </c>
      <c r="B1148" s="2">
        <f>IFERROR(__xludf.DUMMYFUNCTION("""COMPUTED_VALUE"""),7175.0)</f>
        <v>7175</v>
      </c>
      <c r="C1148" s="2">
        <f>IFERROR(__xludf.DUMMYFUNCTION("""COMPUTED_VALUE"""),7200.0)</f>
        <v>7200</v>
      </c>
      <c r="D1148" s="2">
        <f>IFERROR(__xludf.DUMMYFUNCTION("""COMPUTED_VALUE"""),7100.0)</f>
        <v>7100</v>
      </c>
      <c r="E1148" s="2">
        <f>IFERROR(__xludf.DUMMYFUNCTION("""COMPUTED_VALUE"""),7175.0)</f>
        <v>7175</v>
      </c>
      <c r="F1148" s="2">
        <f>IFERROR(__xludf.DUMMYFUNCTION("""COMPUTED_VALUE"""),1.73044E8)</f>
        <v>173044000</v>
      </c>
      <c r="G1148" s="2">
        <f t="shared" si="1"/>
        <v>100</v>
      </c>
    </row>
    <row r="1149" ht="15.75" customHeight="1">
      <c r="A1149" s="1">
        <f>IFERROR(__xludf.DUMMYFUNCTION("""COMPUTED_VALUE"""),45562.66666666667)</f>
        <v>45562.66667</v>
      </c>
      <c r="B1149" s="2">
        <f>IFERROR(__xludf.DUMMYFUNCTION("""COMPUTED_VALUE"""),7025.0)</f>
        <v>7025</v>
      </c>
      <c r="C1149" s="2">
        <f>IFERROR(__xludf.DUMMYFUNCTION("""COMPUTED_VALUE"""),7125.0)</f>
        <v>7125</v>
      </c>
      <c r="D1149" s="2">
        <f>IFERROR(__xludf.DUMMYFUNCTION("""COMPUTED_VALUE"""),7000.0)</f>
        <v>7000</v>
      </c>
      <c r="E1149" s="2">
        <f>IFERROR(__xludf.DUMMYFUNCTION("""COMPUTED_VALUE"""),7050.0)</f>
        <v>7050</v>
      </c>
      <c r="F1149" s="2">
        <f>IFERROR(__xludf.DUMMYFUNCTION("""COMPUTED_VALUE"""),1.614052E8)</f>
        <v>161405200</v>
      </c>
      <c r="G1149" s="2">
        <f t="shared" si="1"/>
        <v>175</v>
      </c>
    </row>
    <row r="1150" ht="15.75" customHeight="1">
      <c r="A1150" s="1">
        <f>IFERROR(__xludf.DUMMYFUNCTION("""COMPUTED_VALUE"""),45565.66666666667)</f>
        <v>45565.66667</v>
      </c>
      <c r="B1150" s="2">
        <f>IFERROR(__xludf.DUMMYFUNCTION("""COMPUTED_VALUE"""),7000.0)</f>
        <v>7000</v>
      </c>
      <c r="C1150" s="2">
        <f>IFERROR(__xludf.DUMMYFUNCTION("""COMPUTED_VALUE"""),7025.0)</f>
        <v>7025</v>
      </c>
      <c r="D1150" s="2">
        <f>IFERROR(__xludf.DUMMYFUNCTION("""COMPUTED_VALUE"""),6875.0)</f>
        <v>6875</v>
      </c>
      <c r="E1150" s="2">
        <f>IFERROR(__xludf.DUMMYFUNCTION("""COMPUTED_VALUE"""),6925.0)</f>
        <v>6925</v>
      </c>
      <c r="F1150" s="2">
        <f>IFERROR(__xludf.DUMMYFUNCTION("""COMPUTED_VALUE"""),1.662035E8)</f>
        <v>166203500</v>
      </c>
      <c r="G1150" s="2">
        <f t="shared" si="1"/>
        <v>175</v>
      </c>
    </row>
    <row r="1151" ht="15.75" customHeight="1">
      <c r="A1151" s="1">
        <f>IFERROR(__xludf.DUMMYFUNCTION("""COMPUTED_VALUE"""),45566.66666666667)</f>
        <v>45566.66667</v>
      </c>
      <c r="B1151" s="2">
        <f>IFERROR(__xludf.DUMMYFUNCTION("""COMPUTED_VALUE"""),7000.0)</f>
        <v>7000</v>
      </c>
      <c r="C1151" s="2">
        <f>IFERROR(__xludf.DUMMYFUNCTION("""COMPUTED_VALUE"""),7075.0)</f>
        <v>7075</v>
      </c>
      <c r="D1151" s="2">
        <f>IFERROR(__xludf.DUMMYFUNCTION("""COMPUTED_VALUE"""),6950.0)</f>
        <v>6950</v>
      </c>
      <c r="E1151" s="2">
        <f>IFERROR(__xludf.DUMMYFUNCTION("""COMPUTED_VALUE"""),7050.0)</f>
        <v>7050</v>
      </c>
      <c r="F1151" s="2">
        <f>IFERROR(__xludf.DUMMYFUNCTION("""COMPUTED_VALUE"""),8.26901E7)</f>
        <v>82690100</v>
      </c>
      <c r="G1151" s="2">
        <f t="shared" si="1"/>
        <v>150</v>
      </c>
    </row>
    <row r="1152" ht="15.75" customHeight="1">
      <c r="A1152" s="1">
        <f>IFERROR(__xludf.DUMMYFUNCTION("""COMPUTED_VALUE"""),45567.66666666667)</f>
        <v>45567.66667</v>
      </c>
      <c r="B1152" s="2">
        <f>IFERROR(__xludf.DUMMYFUNCTION("""COMPUTED_VALUE"""),7025.0)</f>
        <v>7025</v>
      </c>
      <c r="C1152" s="2">
        <f>IFERROR(__xludf.DUMMYFUNCTION("""COMPUTED_VALUE"""),7100.0)</f>
        <v>7100</v>
      </c>
      <c r="D1152" s="2">
        <f>IFERROR(__xludf.DUMMYFUNCTION("""COMPUTED_VALUE"""),6925.0)</f>
        <v>6925</v>
      </c>
      <c r="E1152" s="2">
        <f>IFERROR(__xludf.DUMMYFUNCTION("""COMPUTED_VALUE"""),6975.0)</f>
        <v>6975</v>
      </c>
      <c r="F1152" s="2">
        <f>IFERROR(__xludf.DUMMYFUNCTION("""COMPUTED_VALUE"""),9.10764E7)</f>
        <v>91076400</v>
      </c>
      <c r="G1152" s="2">
        <f t="shared" si="1"/>
        <v>175</v>
      </c>
    </row>
    <row r="1153" ht="15.75" customHeight="1">
      <c r="A1153" s="1">
        <f>IFERROR(__xludf.DUMMYFUNCTION("""COMPUTED_VALUE"""),45568.66666666667)</f>
        <v>45568.66667</v>
      </c>
      <c r="B1153" s="2">
        <f>IFERROR(__xludf.DUMMYFUNCTION("""COMPUTED_VALUE"""),7000.0)</f>
        <v>7000</v>
      </c>
      <c r="C1153" s="2">
        <f>IFERROR(__xludf.DUMMYFUNCTION("""COMPUTED_VALUE"""),7075.0)</f>
        <v>7075</v>
      </c>
      <c r="D1153" s="2">
        <f>IFERROR(__xludf.DUMMYFUNCTION("""COMPUTED_VALUE"""),6900.0)</f>
        <v>6900</v>
      </c>
      <c r="E1153" s="2">
        <f>IFERROR(__xludf.DUMMYFUNCTION("""COMPUTED_VALUE"""),7050.0)</f>
        <v>7050</v>
      </c>
      <c r="F1153" s="2">
        <f>IFERROR(__xludf.DUMMYFUNCTION("""COMPUTED_VALUE"""),8.62649E7)</f>
        <v>86264900</v>
      </c>
      <c r="G1153" s="2">
        <f t="shared" si="1"/>
        <v>175</v>
      </c>
    </row>
    <row r="1154" ht="15.75" customHeight="1">
      <c r="A1154" s="1">
        <f>IFERROR(__xludf.DUMMYFUNCTION("""COMPUTED_VALUE"""),45569.66666666667)</f>
        <v>45569.66667</v>
      </c>
      <c r="B1154" s="2">
        <f>IFERROR(__xludf.DUMMYFUNCTION("""COMPUTED_VALUE"""),7025.0)</f>
        <v>7025</v>
      </c>
      <c r="C1154" s="2">
        <f>IFERROR(__xludf.DUMMYFUNCTION("""COMPUTED_VALUE"""),7050.0)</f>
        <v>7050</v>
      </c>
      <c r="D1154" s="2">
        <f>IFERROR(__xludf.DUMMYFUNCTION("""COMPUTED_VALUE"""),6900.0)</f>
        <v>6900</v>
      </c>
      <c r="E1154" s="2">
        <f>IFERROR(__xludf.DUMMYFUNCTION("""COMPUTED_VALUE"""),6950.0)</f>
        <v>6950</v>
      </c>
      <c r="F1154" s="2">
        <f>IFERROR(__xludf.DUMMYFUNCTION("""COMPUTED_VALUE"""),7.94853E7)</f>
        <v>79485300</v>
      </c>
      <c r="G1154" s="2">
        <f t="shared" si="1"/>
        <v>150</v>
      </c>
    </row>
    <row r="1155" ht="15.75" customHeight="1">
      <c r="A1155" s="1">
        <f>IFERROR(__xludf.DUMMYFUNCTION("""COMPUTED_VALUE"""),45572.66666666667)</f>
        <v>45572.66667</v>
      </c>
      <c r="B1155" s="2">
        <f>IFERROR(__xludf.DUMMYFUNCTION("""COMPUTED_VALUE"""),6925.0)</f>
        <v>6925</v>
      </c>
      <c r="C1155" s="2">
        <f>IFERROR(__xludf.DUMMYFUNCTION("""COMPUTED_VALUE"""),6925.0)</f>
        <v>6925</v>
      </c>
      <c r="D1155" s="2">
        <f>IFERROR(__xludf.DUMMYFUNCTION("""COMPUTED_VALUE"""),6800.0)</f>
        <v>6800</v>
      </c>
      <c r="E1155" s="2">
        <f>IFERROR(__xludf.DUMMYFUNCTION("""COMPUTED_VALUE"""),6875.0)</f>
        <v>6875</v>
      </c>
      <c r="F1155" s="2">
        <f>IFERROR(__xludf.DUMMYFUNCTION("""COMPUTED_VALUE"""),1.039431E8)</f>
        <v>103943100</v>
      </c>
      <c r="G1155" s="2">
        <f t="shared" si="1"/>
        <v>150</v>
      </c>
    </row>
    <row r="1156" ht="15.75" customHeight="1">
      <c r="A1156" s="1">
        <f>IFERROR(__xludf.DUMMYFUNCTION("""COMPUTED_VALUE"""),45573.66666666667)</f>
        <v>45573.66667</v>
      </c>
      <c r="B1156" s="2">
        <f>IFERROR(__xludf.DUMMYFUNCTION("""COMPUTED_VALUE"""),6825.0)</f>
        <v>6825</v>
      </c>
      <c r="C1156" s="2">
        <f>IFERROR(__xludf.DUMMYFUNCTION("""COMPUTED_VALUE"""),7175.0)</f>
        <v>7175</v>
      </c>
      <c r="D1156" s="2">
        <f>IFERROR(__xludf.DUMMYFUNCTION("""COMPUTED_VALUE"""),6775.0)</f>
        <v>6775</v>
      </c>
      <c r="E1156" s="2">
        <f>IFERROR(__xludf.DUMMYFUNCTION("""COMPUTED_VALUE"""),7075.0)</f>
        <v>7075</v>
      </c>
      <c r="F1156" s="2">
        <f>IFERROR(__xludf.DUMMYFUNCTION("""COMPUTED_VALUE"""),1.321415E8)</f>
        <v>132141500</v>
      </c>
      <c r="G1156" s="2">
        <f t="shared" si="1"/>
        <v>400</v>
      </c>
    </row>
    <row r="1157" ht="15.75" customHeight="1">
      <c r="A1157" s="1">
        <f>IFERROR(__xludf.DUMMYFUNCTION("""COMPUTED_VALUE"""),45574.66666666667)</f>
        <v>45574.66667</v>
      </c>
      <c r="B1157" s="2">
        <f>IFERROR(__xludf.DUMMYFUNCTION("""COMPUTED_VALUE"""),7075.0)</f>
        <v>7075</v>
      </c>
      <c r="C1157" s="2">
        <f>IFERROR(__xludf.DUMMYFUNCTION("""COMPUTED_VALUE"""),7175.0)</f>
        <v>7175</v>
      </c>
      <c r="D1157" s="2">
        <f>IFERROR(__xludf.DUMMYFUNCTION("""COMPUTED_VALUE"""),6950.0)</f>
        <v>6950</v>
      </c>
      <c r="E1157" s="2">
        <f>IFERROR(__xludf.DUMMYFUNCTION("""COMPUTED_VALUE"""),6950.0)</f>
        <v>6950</v>
      </c>
      <c r="F1157" s="2">
        <f>IFERROR(__xludf.DUMMYFUNCTION("""COMPUTED_VALUE"""),7.65157E7)</f>
        <v>76515700</v>
      </c>
      <c r="G1157" s="2">
        <f t="shared" si="1"/>
        <v>225</v>
      </c>
    </row>
    <row r="1158" ht="15.75" customHeight="1">
      <c r="A1158" s="1">
        <f>IFERROR(__xludf.DUMMYFUNCTION("""COMPUTED_VALUE"""),45575.66666666667)</f>
        <v>45575.66667</v>
      </c>
      <c r="B1158" s="2">
        <f>IFERROR(__xludf.DUMMYFUNCTION("""COMPUTED_VALUE"""),6925.0)</f>
        <v>6925</v>
      </c>
      <c r="C1158" s="2">
        <f>IFERROR(__xludf.DUMMYFUNCTION("""COMPUTED_VALUE"""),7050.0)</f>
        <v>7050</v>
      </c>
      <c r="D1158" s="2">
        <f>IFERROR(__xludf.DUMMYFUNCTION("""COMPUTED_VALUE"""),6900.0)</f>
        <v>6900</v>
      </c>
      <c r="E1158" s="2">
        <f>IFERROR(__xludf.DUMMYFUNCTION("""COMPUTED_VALUE"""),6950.0)</f>
        <v>6950</v>
      </c>
      <c r="F1158" s="2">
        <f>IFERROR(__xludf.DUMMYFUNCTION("""COMPUTED_VALUE"""),4.42919E7)</f>
        <v>44291900</v>
      </c>
      <c r="G1158" s="2">
        <f t="shared" si="1"/>
        <v>150</v>
      </c>
    </row>
    <row r="1159" ht="15.75" customHeight="1">
      <c r="A1159" s="1">
        <f>IFERROR(__xludf.DUMMYFUNCTION("""COMPUTED_VALUE"""),45576.66666666667)</f>
        <v>45576.66667</v>
      </c>
      <c r="B1159" s="2">
        <f>IFERROR(__xludf.DUMMYFUNCTION("""COMPUTED_VALUE"""),7025.0)</f>
        <v>7025</v>
      </c>
      <c r="C1159" s="2">
        <f>IFERROR(__xludf.DUMMYFUNCTION("""COMPUTED_VALUE"""),7025.0)</f>
        <v>7025</v>
      </c>
      <c r="D1159" s="2">
        <f>IFERROR(__xludf.DUMMYFUNCTION("""COMPUTED_VALUE"""),6925.0)</f>
        <v>6925</v>
      </c>
      <c r="E1159" s="2">
        <f>IFERROR(__xludf.DUMMYFUNCTION("""COMPUTED_VALUE"""),6950.0)</f>
        <v>6950</v>
      </c>
      <c r="F1159" s="2">
        <f>IFERROR(__xludf.DUMMYFUNCTION("""COMPUTED_VALUE"""),4.53315E7)</f>
        <v>45331500</v>
      </c>
      <c r="G1159" s="2">
        <f t="shared" si="1"/>
        <v>100</v>
      </c>
    </row>
    <row r="1160" ht="15.75" customHeight="1">
      <c r="A1160" s="1">
        <f>IFERROR(__xludf.DUMMYFUNCTION("""COMPUTED_VALUE"""),45579.66666666667)</f>
        <v>45579.66667</v>
      </c>
      <c r="B1160" s="2">
        <f>IFERROR(__xludf.DUMMYFUNCTION("""COMPUTED_VALUE"""),6925.0)</f>
        <v>6925</v>
      </c>
      <c r="C1160" s="2">
        <f>IFERROR(__xludf.DUMMYFUNCTION("""COMPUTED_VALUE"""),6975.0)</f>
        <v>6975</v>
      </c>
      <c r="D1160" s="2">
        <f>IFERROR(__xludf.DUMMYFUNCTION("""COMPUTED_VALUE"""),6900.0)</f>
        <v>6900</v>
      </c>
      <c r="E1160" s="2">
        <f>IFERROR(__xludf.DUMMYFUNCTION("""COMPUTED_VALUE"""),6925.0)</f>
        <v>6925</v>
      </c>
      <c r="F1160" s="2">
        <f>IFERROR(__xludf.DUMMYFUNCTION("""COMPUTED_VALUE"""),5.58853E7)</f>
        <v>55885300</v>
      </c>
      <c r="G1160" s="2">
        <f t="shared" si="1"/>
        <v>75</v>
      </c>
    </row>
    <row r="1161" ht="15.75" customHeight="1">
      <c r="A1161" s="1">
        <f>IFERROR(__xludf.DUMMYFUNCTION("""COMPUTED_VALUE"""),45580.66666666667)</f>
        <v>45580.66667</v>
      </c>
      <c r="B1161" s="2">
        <f>IFERROR(__xludf.DUMMYFUNCTION("""COMPUTED_VALUE"""),7000.0)</f>
        <v>7000</v>
      </c>
      <c r="C1161" s="2">
        <f>IFERROR(__xludf.DUMMYFUNCTION("""COMPUTED_VALUE"""),7100.0)</f>
        <v>7100</v>
      </c>
      <c r="D1161" s="2">
        <f>IFERROR(__xludf.DUMMYFUNCTION("""COMPUTED_VALUE"""),6925.0)</f>
        <v>6925</v>
      </c>
      <c r="E1161" s="2">
        <f>IFERROR(__xludf.DUMMYFUNCTION("""COMPUTED_VALUE"""),7050.0)</f>
        <v>7050</v>
      </c>
      <c r="F1161" s="2">
        <f>IFERROR(__xludf.DUMMYFUNCTION("""COMPUTED_VALUE"""),9.03586E7)</f>
        <v>90358600</v>
      </c>
      <c r="G1161" s="2">
        <f t="shared" si="1"/>
        <v>175</v>
      </c>
    </row>
    <row r="1162" ht="15.75" customHeight="1">
      <c r="A1162" s="1">
        <f>IFERROR(__xludf.DUMMYFUNCTION("""COMPUTED_VALUE"""),45581.66666666667)</f>
        <v>45581.66667</v>
      </c>
      <c r="B1162" s="2">
        <f>IFERROR(__xludf.DUMMYFUNCTION("""COMPUTED_VALUE"""),7050.0)</f>
        <v>7050</v>
      </c>
      <c r="C1162" s="2">
        <f>IFERROR(__xludf.DUMMYFUNCTION("""COMPUTED_VALUE"""),7075.0)</f>
        <v>7075</v>
      </c>
      <c r="D1162" s="2">
        <f>IFERROR(__xludf.DUMMYFUNCTION("""COMPUTED_VALUE"""),6925.0)</f>
        <v>6925</v>
      </c>
      <c r="E1162" s="2">
        <f>IFERROR(__xludf.DUMMYFUNCTION("""COMPUTED_VALUE"""),7000.0)</f>
        <v>7000</v>
      </c>
      <c r="F1162" s="2">
        <f>IFERROR(__xludf.DUMMYFUNCTION("""COMPUTED_VALUE"""),1.330225E8)</f>
        <v>133022500</v>
      </c>
      <c r="G1162" s="2">
        <f t="shared" si="1"/>
        <v>150</v>
      </c>
    </row>
    <row r="1163" ht="15.75" customHeight="1">
      <c r="A1163" s="1">
        <f>IFERROR(__xludf.DUMMYFUNCTION("""COMPUTED_VALUE"""),45582.66666666667)</f>
        <v>45582.66667</v>
      </c>
      <c r="B1163" s="2">
        <f>IFERROR(__xludf.DUMMYFUNCTION("""COMPUTED_VALUE"""),7050.0)</f>
        <v>7050</v>
      </c>
      <c r="C1163" s="2">
        <f>IFERROR(__xludf.DUMMYFUNCTION("""COMPUTED_VALUE"""),7250.0)</f>
        <v>7250</v>
      </c>
      <c r="D1163" s="2">
        <f>IFERROR(__xludf.DUMMYFUNCTION("""COMPUTED_VALUE"""),7000.0)</f>
        <v>7000</v>
      </c>
      <c r="E1163" s="2">
        <f>IFERROR(__xludf.DUMMYFUNCTION("""COMPUTED_VALUE"""),7225.0)</f>
        <v>7225</v>
      </c>
      <c r="F1163" s="2">
        <f>IFERROR(__xludf.DUMMYFUNCTION("""COMPUTED_VALUE"""),9.02199E7)</f>
        <v>90219900</v>
      </c>
      <c r="G1163" s="2">
        <f t="shared" si="1"/>
        <v>250</v>
      </c>
    </row>
    <row r="1164" ht="15.75" customHeight="1">
      <c r="A1164" s="1">
        <f>IFERROR(__xludf.DUMMYFUNCTION("""COMPUTED_VALUE"""),45583.66666666667)</f>
        <v>45583.66667</v>
      </c>
      <c r="B1164" s="2">
        <f>IFERROR(__xludf.DUMMYFUNCTION("""COMPUTED_VALUE"""),7275.0)</f>
        <v>7275</v>
      </c>
      <c r="C1164" s="2">
        <f>IFERROR(__xludf.DUMMYFUNCTION("""COMPUTED_VALUE"""),7300.0)</f>
        <v>7300</v>
      </c>
      <c r="D1164" s="2">
        <f>IFERROR(__xludf.DUMMYFUNCTION("""COMPUTED_VALUE"""),7175.0)</f>
        <v>7175</v>
      </c>
      <c r="E1164" s="2">
        <f>IFERROR(__xludf.DUMMYFUNCTION("""COMPUTED_VALUE"""),7175.0)</f>
        <v>7175</v>
      </c>
      <c r="F1164" s="2">
        <f>IFERROR(__xludf.DUMMYFUNCTION("""COMPUTED_VALUE"""),5.73792E7)</f>
        <v>57379200</v>
      </c>
      <c r="G1164" s="2">
        <f t="shared" si="1"/>
        <v>125</v>
      </c>
    </row>
    <row r="1165" ht="15.75" customHeight="1">
      <c r="A1165" s="1">
        <f>IFERROR(__xludf.DUMMYFUNCTION("""COMPUTED_VALUE"""),45586.66666666667)</f>
        <v>45586.66667</v>
      </c>
      <c r="B1165" s="2">
        <f>IFERROR(__xludf.DUMMYFUNCTION("""COMPUTED_VALUE"""),7250.0)</f>
        <v>7250</v>
      </c>
      <c r="C1165" s="2">
        <f>IFERROR(__xludf.DUMMYFUNCTION("""COMPUTED_VALUE"""),7250.0)</f>
        <v>7250</v>
      </c>
      <c r="D1165" s="2">
        <f>IFERROR(__xludf.DUMMYFUNCTION("""COMPUTED_VALUE"""),7125.0)</f>
        <v>7125</v>
      </c>
      <c r="E1165" s="2">
        <f>IFERROR(__xludf.DUMMYFUNCTION("""COMPUTED_VALUE"""),7200.0)</f>
        <v>7200</v>
      </c>
      <c r="F1165" s="2">
        <f>IFERROR(__xludf.DUMMYFUNCTION("""COMPUTED_VALUE"""),4.3056E7)</f>
        <v>43056000</v>
      </c>
      <c r="G1165" s="2">
        <f t="shared" si="1"/>
        <v>125</v>
      </c>
    </row>
    <row r="1166" ht="15.75" customHeight="1">
      <c r="A1166" s="1">
        <f>IFERROR(__xludf.DUMMYFUNCTION("""COMPUTED_VALUE"""),45587.66666666667)</f>
        <v>45587.66667</v>
      </c>
      <c r="B1166" s="2">
        <f>IFERROR(__xludf.DUMMYFUNCTION("""COMPUTED_VALUE"""),7150.0)</f>
        <v>7150</v>
      </c>
      <c r="C1166" s="2">
        <f>IFERROR(__xludf.DUMMYFUNCTION("""COMPUTED_VALUE"""),7175.0)</f>
        <v>7175</v>
      </c>
      <c r="D1166" s="2">
        <f>IFERROR(__xludf.DUMMYFUNCTION("""COMPUTED_VALUE"""),7075.0)</f>
        <v>7075</v>
      </c>
      <c r="E1166" s="2">
        <f>IFERROR(__xludf.DUMMYFUNCTION("""COMPUTED_VALUE"""),7075.0)</f>
        <v>7075</v>
      </c>
      <c r="F1166" s="2">
        <f>IFERROR(__xludf.DUMMYFUNCTION("""COMPUTED_VALUE"""),4.35827E7)</f>
        <v>43582700</v>
      </c>
      <c r="G1166" s="2">
        <f t="shared" si="1"/>
        <v>125</v>
      </c>
    </row>
    <row r="1167" ht="15.75" customHeight="1">
      <c r="A1167" s="1">
        <f>IFERROR(__xludf.DUMMYFUNCTION("""COMPUTED_VALUE"""),45588.66666666667)</f>
        <v>45588.66667</v>
      </c>
      <c r="B1167" s="2">
        <f>IFERROR(__xludf.DUMMYFUNCTION("""COMPUTED_VALUE"""),7075.0)</f>
        <v>7075</v>
      </c>
      <c r="C1167" s="2">
        <f>IFERROR(__xludf.DUMMYFUNCTION("""COMPUTED_VALUE"""),7125.0)</f>
        <v>7125</v>
      </c>
      <c r="D1167" s="2">
        <f>IFERROR(__xludf.DUMMYFUNCTION("""COMPUTED_VALUE"""),7025.0)</f>
        <v>7025</v>
      </c>
      <c r="E1167" s="2">
        <f>IFERROR(__xludf.DUMMYFUNCTION("""COMPUTED_VALUE"""),7075.0)</f>
        <v>7075</v>
      </c>
      <c r="F1167" s="2">
        <f>IFERROR(__xludf.DUMMYFUNCTION("""COMPUTED_VALUE"""),3.82229E7)</f>
        <v>38222900</v>
      </c>
      <c r="G1167" s="2">
        <f t="shared" si="1"/>
        <v>100</v>
      </c>
    </row>
    <row r="1168" ht="15.75" customHeight="1">
      <c r="A1168" s="1">
        <f>IFERROR(__xludf.DUMMYFUNCTION("""COMPUTED_VALUE"""),45589.66666666667)</f>
        <v>45589.66667</v>
      </c>
      <c r="B1168" s="2">
        <f>IFERROR(__xludf.DUMMYFUNCTION("""COMPUTED_VALUE"""),7000.0)</f>
        <v>7000</v>
      </c>
      <c r="C1168" s="2">
        <f>IFERROR(__xludf.DUMMYFUNCTION("""COMPUTED_VALUE"""),7150.0)</f>
        <v>7150</v>
      </c>
      <c r="D1168" s="2">
        <f>IFERROR(__xludf.DUMMYFUNCTION("""COMPUTED_VALUE"""),6975.0)</f>
        <v>6975</v>
      </c>
      <c r="E1168" s="2">
        <f>IFERROR(__xludf.DUMMYFUNCTION("""COMPUTED_VALUE"""),6975.0)</f>
        <v>6975</v>
      </c>
      <c r="F1168" s="2">
        <f>IFERROR(__xludf.DUMMYFUNCTION("""COMPUTED_VALUE"""),6.58771E7)</f>
        <v>65877100</v>
      </c>
      <c r="G1168" s="2">
        <f t="shared" si="1"/>
        <v>175</v>
      </c>
    </row>
    <row r="1169" ht="15.75" customHeight="1">
      <c r="A1169" s="1">
        <f>IFERROR(__xludf.DUMMYFUNCTION("""COMPUTED_VALUE"""),45590.66666666667)</f>
        <v>45590.66667</v>
      </c>
      <c r="B1169" s="2">
        <f>IFERROR(__xludf.DUMMYFUNCTION("""COMPUTED_VALUE"""),6975.0)</f>
        <v>6975</v>
      </c>
      <c r="C1169" s="2">
        <f>IFERROR(__xludf.DUMMYFUNCTION("""COMPUTED_VALUE"""),7050.0)</f>
        <v>7050</v>
      </c>
      <c r="D1169" s="2">
        <f>IFERROR(__xludf.DUMMYFUNCTION("""COMPUTED_VALUE"""),6975.0)</f>
        <v>6975</v>
      </c>
      <c r="E1169" s="2">
        <f>IFERROR(__xludf.DUMMYFUNCTION("""COMPUTED_VALUE"""),7050.0)</f>
        <v>7050</v>
      </c>
      <c r="F1169" s="2">
        <f>IFERROR(__xludf.DUMMYFUNCTION("""COMPUTED_VALUE"""),3.46375E7)</f>
        <v>34637500</v>
      </c>
      <c r="G1169" s="2">
        <f t="shared" si="1"/>
        <v>75</v>
      </c>
    </row>
    <row r="1170" ht="15.75" customHeight="1">
      <c r="A1170" s="1">
        <f>IFERROR(__xludf.DUMMYFUNCTION("""COMPUTED_VALUE"""),45593.66666666667)</f>
        <v>45593.66667</v>
      </c>
      <c r="B1170" s="2">
        <f>IFERROR(__xludf.DUMMYFUNCTION("""COMPUTED_VALUE"""),7075.0)</f>
        <v>7075</v>
      </c>
      <c r="C1170" s="2">
        <f>IFERROR(__xludf.DUMMYFUNCTION("""COMPUTED_VALUE"""),7075.0)</f>
        <v>7075</v>
      </c>
      <c r="D1170" s="2">
        <f>IFERROR(__xludf.DUMMYFUNCTION("""COMPUTED_VALUE"""),6800.0)</f>
        <v>6800</v>
      </c>
      <c r="E1170" s="2">
        <f>IFERROR(__xludf.DUMMYFUNCTION("""COMPUTED_VALUE"""),6825.0)</f>
        <v>6825</v>
      </c>
      <c r="F1170" s="2">
        <f>IFERROR(__xludf.DUMMYFUNCTION("""COMPUTED_VALUE"""),1.145008E8)</f>
        <v>114500800</v>
      </c>
      <c r="G1170" s="2">
        <f t="shared" si="1"/>
        <v>275</v>
      </c>
    </row>
    <row r="1171" ht="15.75" customHeight="1">
      <c r="A1171" s="1">
        <f>IFERROR(__xludf.DUMMYFUNCTION("""COMPUTED_VALUE"""),45594.66666666667)</f>
        <v>45594.66667</v>
      </c>
      <c r="B1171" s="2">
        <f>IFERROR(__xludf.DUMMYFUNCTION("""COMPUTED_VALUE"""),6800.0)</f>
        <v>6800</v>
      </c>
      <c r="C1171" s="2">
        <f>IFERROR(__xludf.DUMMYFUNCTION("""COMPUTED_VALUE"""),6850.0)</f>
        <v>6850</v>
      </c>
      <c r="D1171" s="2">
        <f>IFERROR(__xludf.DUMMYFUNCTION("""COMPUTED_VALUE"""),6725.0)</f>
        <v>6725</v>
      </c>
      <c r="E1171" s="2">
        <f>IFERROR(__xludf.DUMMYFUNCTION("""COMPUTED_VALUE"""),6825.0)</f>
        <v>6825</v>
      </c>
      <c r="F1171" s="2">
        <f>IFERROR(__xludf.DUMMYFUNCTION("""COMPUTED_VALUE"""),9.12683E7)</f>
        <v>91268300</v>
      </c>
      <c r="G1171" s="2">
        <f t="shared" si="1"/>
        <v>125</v>
      </c>
    </row>
    <row r="1172" ht="15.75" customHeight="1">
      <c r="A1172" s="1">
        <f>IFERROR(__xludf.DUMMYFUNCTION("""COMPUTED_VALUE"""),45595.66666666667)</f>
        <v>45595.66667</v>
      </c>
      <c r="B1172" s="2">
        <f>IFERROR(__xludf.DUMMYFUNCTION("""COMPUTED_VALUE"""),6575.0)</f>
        <v>6575</v>
      </c>
      <c r="C1172" s="2">
        <f>IFERROR(__xludf.DUMMYFUNCTION("""COMPUTED_VALUE"""),6775.0)</f>
        <v>6775</v>
      </c>
      <c r="D1172" s="2">
        <f>IFERROR(__xludf.DUMMYFUNCTION("""COMPUTED_VALUE"""),6575.0)</f>
        <v>6575</v>
      </c>
      <c r="E1172" s="2">
        <f>IFERROR(__xludf.DUMMYFUNCTION("""COMPUTED_VALUE"""),6750.0)</f>
        <v>6750</v>
      </c>
      <c r="F1172" s="2">
        <f>IFERROR(__xludf.DUMMYFUNCTION("""COMPUTED_VALUE"""),1.221327E8)</f>
        <v>122132700</v>
      </c>
      <c r="G1172" s="2">
        <f t="shared" si="1"/>
        <v>250</v>
      </c>
    </row>
    <row r="1173" ht="15.75" customHeight="1">
      <c r="A1173" s="1">
        <f>IFERROR(__xludf.DUMMYFUNCTION("""COMPUTED_VALUE"""),45596.66666666667)</f>
        <v>45596.66667</v>
      </c>
      <c r="B1173" s="2">
        <f>IFERROR(__xludf.DUMMYFUNCTION("""COMPUTED_VALUE"""),6750.0)</f>
        <v>6750</v>
      </c>
      <c r="C1173" s="2">
        <f>IFERROR(__xludf.DUMMYFUNCTION("""COMPUTED_VALUE"""),6825.0)</f>
        <v>6825</v>
      </c>
      <c r="D1173" s="2">
        <f>IFERROR(__xludf.DUMMYFUNCTION("""COMPUTED_VALUE"""),6700.0)</f>
        <v>6700</v>
      </c>
      <c r="E1173" s="2">
        <f>IFERROR(__xludf.DUMMYFUNCTION("""COMPUTED_VALUE"""),6700.0)</f>
        <v>6700</v>
      </c>
      <c r="F1173" s="2">
        <f>IFERROR(__xludf.DUMMYFUNCTION("""COMPUTED_VALUE"""),1.267307E8)</f>
        <v>126730700</v>
      </c>
      <c r="G1173" s="2">
        <f t="shared" si="1"/>
        <v>125</v>
      </c>
    </row>
    <row r="1174" ht="15.75" customHeight="1">
      <c r="A1174" s="1">
        <f>IFERROR(__xludf.DUMMYFUNCTION("""COMPUTED_VALUE"""),45597.66666666667)</f>
        <v>45597.66667</v>
      </c>
      <c r="B1174" s="2">
        <f>IFERROR(__xludf.DUMMYFUNCTION("""COMPUTED_VALUE"""),6725.0)</f>
        <v>6725</v>
      </c>
      <c r="C1174" s="2">
        <f>IFERROR(__xludf.DUMMYFUNCTION("""COMPUTED_VALUE"""),6725.0)</f>
        <v>6725</v>
      </c>
      <c r="D1174" s="2">
        <f>IFERROR(__xludf.DUMMYFUNCTION("""COMPUTED_VALUE"""),6550.0)</f>
        <v>6550</v>
      </c>
      <c r="E1174" s="2">
        <f>IFERROR(__xludf.DUMMYFUNCTION("""COMPUTED_VALUE"""),6650.0)</f>
        <v>6650</v>
      </c>
      <c r="F1174" s="2">
        <f>IFERROR(__xludf.DUMMYFUNCTION("""COMPUTED_VALUE"""),1.014231E8)</f>
        <v>101423100</v>
      </c>
      <c r="G1174" s="2">
        <f t="shared" si="1"/>
        <v>175</v>
      </c>
    </row>
    <row r="1175" ht="15.75" customHeight="1">
      <c r="A1175" s="1">
        <f>IFERROR(__xludf.DUMMYFUNCTION("""COMPUTED_VALUE"""),45600.66666666667)</f>
        <v>45600.66667</v>
      </c>
      <c r="B1175" s="2">
        <f>IFERROR(__xludf.DUMMYFUNCTION("""COMPUTED_VALUE"""),6600.0)</f>
        <v>6600</v>
      </c>
      <c r="C1175" s="2">
        <f>IFERROR(__xludf.DUMMYFUNCTION("""COMPUTED_VALUE"""),6800.0)</f>
        <v>6800</v>
      </c>
      <c r="D1175" s="2">
        <f>IFERROR(__xludf.DUMMYFUNCTION("""COMPUTED_VALUE"""),6525.0)</f>
        <v>6525</v>
      </c>
      <c r="E1175" s="2">
        <f>IFERROR(__xludf.DUMMYFUNCTION("""COMPUTED_VALUE"""),6750.0)</f>
        <v>6750</v>
      </c>
      <c r="F1175" s="2">
        <f>IFERROR(__xludf.DUMMYFUNCTION("""COMPUTED_VALUE"""),8.02088E7)</f>
        <v>80208800</v>
      </c>
      <c r="G1175" s="2">
        <f t="shared" si="1"/>
        <v>275</v>
      </c>
    </row>
    <row r="1176" ht="15.75" customHeight="1">
      <c r="A1176" s="1">
        <f>IFERROR(__xludf.DUMMYFUNCTION("""COMPUTED_VALUE"""),45601.66666666667)</f>
        <v>45601.66667</v>
      </c>
      <c r="B1176" s="2">
        <f>IFERROR(__xludf.DUMMYFUNCTION("""COMPUTED_VALUE"""),6725.0)</f>
        <v>6725</v>
      </c>
      <c r="C1176" s="2">
        <f>IFERROR(__xludf.DUMMYFUNCTION("""COMPUTED_VALUE"""),6950.0)</f>
        <v>6950</v>
      </c>
      <c r="D1176" s="2">
        <f>IFERROR(__xludf.DUMMYFUNCTION("""COMPUTED_VALUE"""),6675.0)</f>
        <v>6675</v>
      </c>
      <c r="E1176" s="2">
        <f>IFERROR(__xludf.DUMMYFUNCTION("""COMPUTED_VALUE"""),6925.0)</f>
        <v>6925</v>
      </c>
      <c r="F1176" s="2">
        <f>IFERROR(__xludf.DUMMYFUNCTION("""COMPUTED_VALUE"""),8.86612E7)</f>
        <v>88661200</v>
      </c>
      <c r="G1176" s="2">
        <f t="shared" si="1"/>
        <v>275</v>
      </c>
    </row>
    <row r="1177" ht="15.75" customHeight="1">
      <c r="A1177" s="1">
        <f>IFERROR(__xludf.DUMMYFUNCTION("""COMPUTED_VALUE"""),45602.66666666667)</f>
        <v>45602.66667</v>
      </c>
      <c r="B1177" s="2">
        <f>IFERROR(__xludf.DUMMYFUNCTION("""COMPUTED_VALUE"""),6925.0)</f>
        <v>6925</v>
      </c>
      <c r="C1177" s="2">
        <f>IFERROR(__xludf.DUMMYFUNCTION("""COMPUTED_VALUE"""),6925.0)</f>
        <v>6925</v>
      </c>
      <c r="D1177" s="2">
        <f>IFERROR(__xludf.DUMMYFUNCTION("""COMPUTED_VALUE"""),6550.0)</f>
        <v>6550</v>
      </c>
      <c r="E1177" s="2">
        <f>IFERROR(__xludf.DUMMYFUNCTION("""COMPUTED_VALUE"""),6550.0)</f>
        <v>6550</v>
      </c>
      <c r="F1177" s="2">
        <f>IFERROR(__xludf.DUMMYFUNCTION("""COMPUTED_VALUE"""),1.472728E8)</f>
        <v>147272800</v>
      </c>
      <c r="G1177" s="2">
        <f t="shared" si="1"/>
        <v>375</v>
      </c>
    </row>
    <row r="1178" ht="15.75" customHeight="1">
      <c r="A1178" s="1">
        <f>IFERROR(__xludf.DUMMYFUNCTION("""COMPUTED_VALUE"""),45603.66666666667)</f>
        <v>45603.66667</v>
      </c>
      <c r="B1178" s="2">
        <f>IFERROR(__xludf.DUMMYFUNCTION("""COMPUTED_VALUE"""),6500.0)</f>
        <v>6500</v>
      </c>
      <c r="C1178" s="2">
        <f>IFERROR(__xludf.DUMMYFUNCTION("""COMPUTED_VALUE"""),6550.0)</f>
        <v>6550</v>
      </c>
      <c r="D1178" s="2">
        <f>IFERROR(__xludf.DUMMYFUNCTION("""COMPUTED_VALUE"""),6425.0)</f>
        <v>6425</v>
      </c>
      <c r="E1178" s="2">
        <f>IFERROR(__xludf.DUMMYFUNCTION("""COMPUTED_VALUE"""),6425.0)</f>
        <v>6425</v>
      </c>
      <c r="F1178" s="2">
        <f>IFERROR(__xludf.DUMMYFUNCTION("""COMPUTED_VALUE"""),1.547585E8)</f>
        <v>154758500</v>
      </c>
      <c r="G1178" s="2">
        <f t="shared" si="1"/>
        <v>125</v>
      </c>
    </row>
    <row r="1179" ht="15.75" customHeight="1">
      <c r="A1179" s="1">
        <f>IFERROR(__xludf.DUMMYFUNCTION("""COMPUTED_VALUE"""),45604.66666666667)</f>
        <v>45604.66667</v>
      </c>
      <c r="B1179" s="2">
        <f>IFERROR(__xludf.DUMMYFUNCTION("""COMPUTED_VALUE"""),6425.0)</f>
        <v>6425</v>
      </c>
      <c r="C1179" s="2">
        <f>IFERROR(__xludf.DUMMYFUNCTION("""COMPUTED_VALUE"""),6525.0)</f>
        <v>6525</v>
      </c>
      <c r="D1179" s="2">
        <f>IFERROR(__xludf.DUMMYFUNCTION("""COMPUTED_VALUE"""),6275.0)</f>
        <v>6275</v>
      </c>
      <c r="E1179" s="2">
        <f>IFERROR(__xludf.DUMMYFUNCTION("""COMPUTED_VALUE"""),6325.0)</f>
        <v>6325</v>
      </c>
      <c r="F1179" s="2">
        <f>IFERROR(__xludf.DUMMYFUNCTION("""COMPUTED_VALUE"""),1.92423E8)</f>
        <v>192423000</v>
      </c>
      <c r="G1179" s="2">
        <f t="shared" si="1"/>
        <v>250</v>
      </c>
    </row>
    <row r="1180" ht="15.75" customHeight="1">
      <c r="A1180" s="1">
        <f>IFERROR(__xludf.DUMMYFUNCTION("""COMPUTED_VALUE"""),45607.66666666667)</f>
        <v>45607.66667</v>
      </c>
      <c r="B1180" s="2">
        <f>IFERROR(__xludf.DUMMYFUNCTION("""COMPUTED_VALUE"""),6300.0)</f>
        <v>6300</v>
      </c>
      <c r="C1180" s="2">
        <f>IFERROR(__xludf.DUMMYFUNCTION("""COMPUTED_VALUE"""),6450.0)</f>
        <v>6450</v>
      </c>
      <c r="D1180" s="2">
        <f>IFERROR(__xludf.DUMMYFUNCTION("""COMPUTED_VALUE"""),6150.0)</f>
        <v>6150</v>
      </c>
      <c r="E1180" s="2">
        <f>IFERROR(__xludf.DUMMYFUNCTION("""COMPUTED_VALUE"""),6350.0)</f>
        <v>6350</v>
      </c>
      <c r="F1180" s="2">
        <f>IFERROR(__xludf.DUMMYFUNCTION("""COMPUTED_VALUE"""),1.25606E8)</f>
        <v>125606000</v>
      </c>
      <c r="G1180" s="2">
        <f t="shared" si="1"/>
        <v>300</v>
      </c>
    </row>
    <row r="1181" ht="15.75" customHeight="1">
      <c r="A1181" s="1">
        <f>IFERROR(__xludf.DUMMYFUNCTION("""COMPUTED_VALUE"""),45608.66666666667)</f>
        <v>45608.66667</v>
      </c>
      <c r="B1181" s="2">
        <f>IFERROR(__xludf.DUMMYFUNCTION("""COMPUTED_VALUE"""),6375.0)</f>
        <v>6375</v>
      </c>
      <c r="C1181" s="2">
        <f>IFERROR(__xludf.DUMMYFUNCTION("""COMPUTED_VALUE"""),6450.0)</f>
        <v>6450</v>
      </c>
      <c r="D1181" s="2">
        <f>IFERROR(__xludf.DUMMYFUNCTION("""COMPUTED_VALUE"""),6325.0)</f>
        <v>6325</v>
      </c>
      <c r="E1181" s="2">
        <f>IFERROR(__xludf.DUMMYFUNCTION("""COMPUTED_VALUE"""),6375.0)</f>
        <v>6375</v>
      </c>
      <c r="F1181" s="2">
        <f>IFERROR(__xludf.DUMMYFUNCTION("""COMPUTED_VALUE"""),1.172817E8)</f>
        <v>117281700</v>
      </c>
      <c r="G1181" s="2">
        <f t="shared" si="1"/>
        <v>125</v>
      </c>
    </row>
    <row r="1182" ht="15.75" customHeight="1">
      <c r="A1182" s="1">
        <f>IFERROR(__xludf.DUMMYFUNCTION("""COMPUTED_VALUE"""),45609.66666666667)</f>
        <v>45609.66667</v>
      </c>
      <c r="B1182" s="2">
        <f>IFERROR(__xludf.DUMMYFUNCTION("""COMPUTED_VALUE"""),6500.0)</f>
        <v>6500</v>
      </c>
      <c r="C1182" s="2">
        <f>IFERROR(__xludf.DUMMYFUNCTION("""COMPUTED_VALUE"""),6550.0)</f>
        <v>6550</v>
      </c>
      <c r="D1182" s="2">
        <f>IFERROR(__xludf.DUMMYFUNCTION("""COMPUTED_VALUE"""),6400.0)</f>
        <v>6400</v>
      </c>
      <c r="E1182" s="2">
        <f>IFERROR(__xludf.DUMMYFUNCTION("""COMPUTED_VALUE"""),6425.0)</f>
        <v>6425</v>
      </c>
      <c r="F1182" s="2">
        <f>IFERROR(__xludf.DUMMYFUNCTION("""COMPUTED_VALUE"""),1.027483E8)</f>
        <v>102748300</v>
      </c>
      <c r="G1182" s="2">
        <f t="shared" si="1"/>
        <v>175</v>
      </c>
    </row>
    <row r="1183" ht="15.75" customHeight="1">
      <c r="A1183" s="1">
        <f>IFERROR(__xludf.DUMMYFUNCTION("""COMPUTED_VALUE"""),45610.66666666667)</f>
        <v>45610.66667</v>
      </c>
      <c r="B1183" s="2">
        <f>IFERROR(__xludf.DUMMYFUNCTION("""COMPUTED_VALUE"""),6375.0)</f>
        <v>6375</v>
      </c>
      <c r="C1183" s="2">
        <f>IFERROR(__xludf.DUMMYFUNCTION("""COMPUTED_VALUE"""),6475.0)</f>
        <v>6475</v>
      </c>
      <c r="D1183" s="2">
        <f>IFERROR(__xludf.DUMMYFUNCTION("""COMPUTED_VALUE"""),6350.0)</f>
        <v>6350</v>
      </c>
      <c r="E1183" s="2">
        <f>IFERROR(__xludf.DUMMYFUNCTION("""COMPUTED_VALUE"""),6375.0)</f>
        <v>6375</v>
      </c>
      <c r="F1183" s="2">
        <f>IFERROR(__xludf.DUMMYFUNCTION("""COMPUTED_VALUE"""),6.97506E7)</f>
        <v>69750600</v>
      </c>
      <c r="G1183" s="2">
        <f t="shared" si="1"/>
        <v>125</v>
      </c>
    </row>
    <row r="1184" ht="15.75" customHeight="1">
      <c r="A1184" s="1">
        <f>IFERROR(__xludf.DUMMYFUNCTION("""COMPUTED_VALUE"""),45611.66666666667)</f>
        <v>45611.66667</v>
      </c>
      <c r="B1184" s="2">
        <f>IFERROR(__xludf.DUMMYFUNCTION("""COMPUTED_VALUE"""),6300.0)</f>
        <v>6300</v>
      </c>
      <c r="C1184" s="2">
        <f>IFERROR(__xludf.DUMMYFUNCTION("""COMPUTED_VALUE"""),6400.0)</f>
        <v>6400</v>
      </c>
      <c r="D1184" s="2">
        <f>IFERROR(__xludf.DUMMYFUNCTION("""COMPUTED_VALUE"""),6300.0)</f>
        <v>6300</v>
      </c>
      <c r="E1184" s="2">
        <f>IFERROR(__xludf.DUMMYFUNCTION("""COMPUTED_VALUE"""),6350.0)</f>
        <v>6350</v>
      </c>
      <c r="F1184" s="2">
        <f>IFERROR(__xludf.DUMMYFUNCTION("""COMPUTED_VALUE"""),4.10797E7)</f>
        <v>41079700</v>
      </c>
      <c r="G1184" s="2">
        <f t="shared" si="1"/>
        <v>100</v>
      </c>
    </row>
    <row r="1185" ht="15.75" customHeight="1">
      <c r="A1185" s="1">
        <f>IFERROR(__xludf.DUMMYFUNCTION("""COMPUTED_VALUE"""),45614.66666666667)</f>
        <v>45614.66667</v>
      </c>
      <c r="B1185" s="2">
        <f>IFERROR(__xludf.DUMMYFUNCTION("""COMPUTED_VALUE"""),6350.0)</f>
        <v>6350</v>
      </c>
      <c r="C1185" s="2">
        <f>IFERROR(__xludf.DUMMYFUNCTION("""COMPUTED_VALUE"""),6425.0)</f>
        <v>6425</v>
      </c>
      <c r="D1185" s="2">
        <f>IFERROR(__xludf.DUMMYFUNCTION("""COMPUTED_VALUE"""),6225.0)</f>
        <v>6225</v>
      </c>
      <c r="E1185" s="2">
        <f>IFERROR(__xludf.DUMMYFUNCTION("""COMPUTED_VALUE"""),6325.0)</f>
        <v>6325</v>
      </c>
      <c r="F1185" s="2">
        <f>IFERROR(__xludf.DUMMYFUNCTION("""COMPUTED_VALUE"""),7.74717E7)</f>
        <v>77471700</v>
      </c>
      <c r="G1185" s="2">
        <f t="shared" si="1"/>
        <v>200</v>
      </c>
    </row>
    <row r="1186" ht="15.75" customHeight="1">
      <c r="A1186" s="1">
        <f>IFERROR(__xludf.DUMMYFUNCTION("""COMPUTED_VALUE"""),45615.66666666667)</f>
        <v>45615.66667</v>
      </c>
      <c r="B1186" s="2">
        <f>IFERROR(__xludf.DUMMYFUNCTION("""COMPUTED_VALUE"""),6375.0)</f>
        <v>6375</v>
      </c>
      <c r="C1186" s="2">
        <f>IFERROR(__xludf.DUMMYFUNCTION("""COMPUTED_VALUE"""),6375.0)</f>
        <v>6375</v>
      </c>
      <c r="D1186" s="2">
        <f>IFERROR(__xludf.DUMMYFUNCTION("""COMPUTED_VALUE"""),6225.0)</f>
        <v>6225</v>
      </c>
      <c r="E1186" s="2">
        <f>IFERROR(__xludf.DUMMYFUNCTION("""COMPUTED_VALUE"""),6250.0)</f>
        <v>6250</v>
      </c>
      <c r="F1186" s="2">
        <f>IFERROR(__xludf.DUMMYFUNCTION("""COMPUTED_VALUE"""),9.54957E7)</f>
        <v>95495700</v>
      </c>
      <c r="G1186" s="2">
        <f t="shared" si="1"/>
        <v>150</v>
      </c>
    </row>
    <row r="1187" ht="15.75" customHeight="1">
      <c r="A1187" s="1">
        <f>IFERROR(__xludf.DUMMYFUNCTION("""COMPUTED_VALUE"""),45616.66666666667)</f>
        <v>45616.66667</v>
      </c>
      <c r="B1187" s="2">
        <f>IFERROR(__xludf.DUMMYFUNCTION("""COMPUTED_VALUE"""),6325.0)</f>
        <v>6325</v>
      </c>
      <c r="C1187" s="2">
        <f>IFERROR(__xludf.DUMMYFUNCTION("""COMPUTED_VALUE"""),6350.0)</f>
        <v>6350</v>
      </c>
      <c r="D1187" s="2">
        <f>IFERROR(__xludf.DUMMYFUNCTION("""COMPUTED_VALUE"""),6200.0)</f>
        <v>6200</v>
      </c>
      <c r="E1187" s="2">
        <f>IFERROR(__xludf.DUMMYFUNCTION("""COMPUTED_VALUE"""),6225.0)</f>
        <v>6225</v>
      </c>
      <c r="F1187" s="2">
        <f>IFERROR(__xludf.DUMMYFUNCTION("""COMPUTED_VALUE"""),6.87072E7)</f>
        <v>68707200</v>
      </c>
      <c r="G1187" s="2">
        <f t="shared" si="1"/>
        <v>150</v>
      </c>
    </row>
    <row r="1188" ht="15.75" customHeight="1">
      <c r="A1188" s="1">
        <f>IFERROR(__xludf.DUMMYFUNCTION("""COMPUTED_VALUE"""),45617.66666666667)</f>
        <v>45617.66667</v>
      </c>
      <c r="B1188" s="2">
        <f>IFERROR(__xludf.DUMMYFUNCTION("""COMPUTED_VALUE"""),6225.0)</f>
        <v>6225</v>
      </c>
      <c r="C1188" s="2">
        <f>IFERROR(__xludf.DUMMYFUNCTION("""COMPUTED_VALUE"""),6225.0)</f>
        <v>6225</v>
      </c>
      <c r="D1188" s="2">
        <f>IFERROR(__xludf.DUMMYFUNCTION("""COMPUTED_VALUE"""),6125.0)</f>
        <v>6125</v>
      </c>
      <c r="E1188" s="2">
        <f>IFERROR(__xludf.DUMMYFUNCTION("""COMPUTED_VALUE"""),6150.0)</f>
        <v>6150</v>
      </c>
      <c r="F1188" s="2">
        <f>IFERROR(__xludf.DUMMYFUNCTION("""COMPUTED_VALUE"""),7.65793E7)</f>
        <v>76579300</v>
      </c>
      <c r="G1188" s="2">
        <f t="shared" si="1"/>
        <v>100</v>
      </c>
    </row>
    <row r="1189" ht="15.75" customHeight="1">
      <c r="A1189" s="1">
        <f>IFERROR(__xludf.DUMMYFUNCTION("""COMPUTED_VALUE"""),45618.66666666667)</f>
        <v>45618.66667</v>
      </c>
      <c r="B1189" s="2">
        <f>IFERROR(__xludf.DUMMYFUNCTION("""COMPUTED_VALUE"""),6125.0)</f>
        <v>6125</v>
      </c>
      <c r="C1189" s="2">
        <f>IFERROR(__xludf.DUMMYFUNCTION("""COMPUTED_VALUE"""),6300.0)</f>
        <v>6300</v>
      </c>
      <c r="D1189" s="2">
        <f>IFERROR(__xludf.DUMMYFUNCTION("""COMPUTED_VALUE"""),6100.0)</f>
        <v>6100</v>
      </c>
      <c r="E1189" s="2">
        <f>IFERROR(__xludf.DUMMYFUNCTION("""COMPUTED_VALUE"""),6250.0)</f>
        <v>6250</v>
      </c>
      <c r="F1189" s="2">
        <f>IFERROR(__xludf.DUMMYFUNCTION("""COMPUTED_VALUE"""),8.02364E7)</f>
        <v>80236400</v>
      </c>
      <c r="G1189" s="2">
        <f t="shared" si="1"/>
        <v>200</v>
      </c>
    </row>
    <row r="1190" ht="15.75" customHeight="1">
      <c r="A1190" s="1">
        <f>IFERROR(__xludf.DUMMYFUNCTION("""COMPUTED_VALUE"""),45621.66666666667)</f>
        <v>45621.66667</v>
      </c>
      <c r="B1190" s="2">
        <f>IFERROR(__xludf.DUMMYFUNCTION("""COMPUTED_VALUE"""),6325.0)</f>
        <v>6325</v>
      </c>
      <c r="C1190" s="2">
        <f>IFERROR(__xludf.DUMMYFUNCTION("""COMPUTED_VALUE"""),6600.0)</f>
        <v>6600</v>
      </c>
      <c r="D1190" s="2">
        <f>IFERROR(__xludf.DUMMYFUNCTION("""COMPUTED_VALUE"""),6325.0)</f>
        <v>6325</v>
      </c>
      <c r="E1190" s="2">
        <f>IFERROR(__xludf.DUMMYFUNCTION("""COMPUTED_VALUE"""),6575.0)</f>
        <v>6575</v>
      </c>
      <c r="F1190" s="2">
        <f>IFERROR(__xludf.DUMMYFUNCTION("""COMPUTED_VALUE"""),1.834491E8)</f>
        <v>183449100</v>
      </c>
      <c r="G1190" s="2">
        <f t="shared" si="1"/>
        <v>350</v>
      </c>
    </row>
    <row r="1191" ht="15.75" customHeight="1">
      <c r="A1191" s="1">
        <f>IFERROR(__xludf.DUMMYFUNCTION("""COMPUTED_VALUE"""),45622.66666666667)</f>
        <v>45622.66667</v>
      </c>
      <c r="B1191" s="2">
        <f>IFERROR(__xludf.DUMMYFUNCTION("""COMPUTED_VALUE"""),6600.0)</f>
        <v>6600</v>
      </c>
      <c r="C1191" s="2">
        <f>IFERROR(__xludf.DUMMYFUNCTION("""COMPUTED_VALUE"""),6600.0)</f>
        <v>6600</v>
      </c>
      <c r="D1191" s="2">
        <f>IFERROR(__xludf.DUMMYFUNCTION("""COMPUTED_VALUE"""),6325.0)</f>
        <v>6325</v>
      </c>
      <c r="E1191" s="2">
        <f>IFERROR(__xludf.DUMMYFUNCTION("""COMPUTED_VALUE"""),6400.0)</f>
        <v>6400</v>
      </c>
      <c r="F1191" s="2">
        <f>IFERROR(__xludf.DUMMYFUNCTION("""COMPUTED_VALUE"""),1.071943E8)</f>
        <v>107194300</v>
      </c>
      <c r="G1191" s="2">
        <f t="shared" si="1"/>
        <v>275</v>
      </c>
    </row>
    <row r="1192" ht="15.75" customHeight="1">
      <c r="A1192" s="1">
        <f>IFERROR(__xludf.DUMMYFUNCTION("""COMPUTED_VALUE"""),45624.66666666667)</f>
        <v>45624.66667</v>
      </c>
      <c r="B1192" s="2">
        <f>IFERROR(__xludf.DUMMYFUNCTION("""COMPUTED_VALUE"""),6350.0)</f>
        <v>6350</v>
      </c>
      <c r="C1192" s="2">
        <f>IFERROR(__xludf.DUMMYFUNCTION("""COMPUTED_VALUE"""),6525.0)</f>
        <v>6525</v>
      </c>
      <c r="D1192" s="2">
        <f>IFERROR(__xludf.DUMMYFUNCTION("""COMPUTED_VALUE"""),6350.0)</f>
        <v>6350</v>
      </c>
      <c r="E1192" s="2">
        <f>IFERROR(__xludf.DUMMYFUNCTION("""COMPUTED_VALUE"""),6450.0)</f>
        <v>6450</v>
      </c>
      <c r="F1192" s="2">
        <f>IFERROR(__xludf.DUMMYFUNCTION("""COMPUTED_VALUE"""),8.18832E7)</f>
        <v>81883200</v>
      </c>
      <c r="G1192" s="2">
        <f t="shared" si="1"/>
        <v>175</v>
      </c>
    </row>
    <row r="1193" ht="15.75" customHeight="1">
      <c r="A1193" s="1">
        <f>IFERROR(__xludf.DUMMYFUNCTION("""COMPUTED_VALUE"""),45625.66666666667)</f>
        <v>45625.66667</v>
      </c>
      <c r="B1193" s="2">
        <f>IFERROR(__xludf.DUMMYFUNCTION("""COMPUTED_VALUE"""),6325.0)</f>
        <v>6325</v>
      </c>
      <c r="C1193" s="2">
        <f>IFERROR(__xludf.DUMMYFUNCTION("""COMPUTED_VALUE"""),6375.0)</f>
        <v>6375</v>
      </c>
      <c r="D1193" s="2">
        <f>IFERROR(__xludf.DUMMYFUNCTION("""COMPUTED_VALUE"""),6125.0)</f>
        <v>6125</v>
      </c>
      <c r="E1193" s="2">
        <f>IFERROR(__xludf.DUMMYFUNCTION("""COMPUTED_VALUE"""),6150.0)</f>
        <v>6150</v>
      </c>
      <c r="F1193" s="2">
        <f>IFERROR(__xludf.DUMMYFUNCTION("""COMPUTED_VALUE"""),1.576287E8)</f>
        <v>157628700</v>
      </c>
      <c r="G1193" s="2">
        <f t="shared" si="1"/>
        <v>325</v>
      </c>
    </row>
    <row r="1194" ht="15.75" customHeight="1">
      <c r="A1194" s="1">
        <f>IFERROR(__xludf.DUMMYFUNCTION("""COMPUTED_VALUE"""),45628.66666666667)</f>
        <v>45628.66667</v>
      </c>
      <c r="B1194" s="2">
        <f>IFERROR(__xludf.DUMMYFUNCTION("""COMPUTED_VALUE"""),6175.0)</f>
        <v>6175</v>
      </c>
      <c r="C1194" s="2">
        <f>IFERROR(__xludf.DUMMYFUNCTION("""COMPUTED_VALUE"""),6250.0)</f>
        <v>6250</v>
      </c>
      <c r="D1194" s="2">
        <f>IFERROR(__xludf.DUMMYFUNCTION("""COMPUTED_VALUE"""),5975.0)</f>
        <v>5975</v>
      </c>
      <c r="E1194" s="2">
        <f>IFERROR(__xludf.DUMMYFUNCTION("""COMPUTED_VALUE"""),6000.0)</f>
        <v>6000</v>
      </c>
      <c r="F1194" s="2">
        <f>IFERROR(__xludf.DUMMYFUNCTION("""COMPUTED_VALUE"""),1.145553E8)</f>
        <v>114555300</v>
      </c>
      <c r="G1194" s="2">
        <f t="shared" si="1"/>
        <v>275</v>
      </c>
    </row>
    <row r="1195" ht="15.75" customHeight="1">
      <c r="A1195" s="1">
        <f>IFERROR(__xludf.DUMMYFUNCTION("""COMPUTED_VALUE"""),45629.66666666667)</f>
        <v>45629.66667</v>
      </c>
      <c r="B1195" s="2">
        <f>IFERROR(__xludf.DUMMYFUNCTION("""COMPUTED_VALUE"""),6100.0)</f>
        <v>6100</v>
      </c>
      <c r="C1195" s="2">
        <f>IFERROR(__xludf.DUMMYFUNCTION("""COMPUTED_VALUE"""),6275.0)</f>
        <v>6275</v>
      </c>
      <c r="D1195" s="2">
        <f>IFERROR(__xludf.DUMMYFUNCTION("""COMPUTED_VALUE"""),6100.0)</f>
        <v>6100</v>
      </c>
      <c r="E1195" s="2">
        <f>IFERROR(__xludf.DUMMYFUNCTION("""COMPUTED_VALUE"""),6275.0)</f>
        <v>6275</v>
      </c>
      <c r="F1195" s="2">
        <f>IFERROR(__xludf.DUMMYFUNCTION("""COMPUTED_VALUE"""),9.95098E7)</f>
        <v>99509800</v>
      </c>
      <c r="G1195" s="2">
        <f t="shared" si="1"/>
        <v>275</v>
      </c>
    </row>
    <row r="1196" ht="15.75" customHeight="1">
      <c r="A1196" s="1">
        <f>IFERROR(__xludf.DUMMYFUNCTION("""COMPUTED_VALUE"""),45630.66666666667)</f>
        <v>45630.66667</v>
      </c>
      <c r="B1196" s="2">
        <f>IFERROR(__xludf.DUMMYFUNCTION("""COMPUTED_VALUE"""),6275.0)</f>
        <v>6275</v>
      </c>
      <c r="C1196" s="2">
        <f>IFERROR(__xludf.DUMMYFUNCTION("""COMPUTED_VALUE"""),6450.0)</f>
        <v>6450</v>
      </c>
      <c r="D1196" s="2">
        <f>IFERROR(__xludf.DUMMYFUNCTION("""COMPUTED_VALUE"""),6225.0)</f>
        <v>6225</v>
      </c>
      <c r="E1196" s="2">
        <f>IFERROR(__xludf.DUMMYFUNCTION("""COMPUTED_VALUE"""),6375.0)</f>
        <v>6375</v>
      </c>
      <c r="F1196" s="2">
        <f>IFERROR(__xludf.DUMMYFUNCTION("""COMPUTED_VALUE"""),7.526E7)</f>
        <v>75260000</v>
      </c>
      <c r="G1196" s="2">
        <f t="shared" si="1"/>
        <v>225</v>
      </c>
    </row>
    <row r="1197" ht="15.75" customHeight="1">
      <c r="A1197" s="1">
        <f>IFERROR(__xludf.DUMMYFUNCTION("""COMPUTED_VALUE"""),45631.66666666667)</f>
        <v>45631.66667</v>
      </c>
      <c r="B1197" s="2">
        <f>IFERROR(__xludf.DUMMYFUNCTION("""COMPUTED_VALUE"""),6350.0)</f>
        <v>6350</v>
      </c>
      <c r="C1197" s="2">
        <f>IFERROR(__xludf.DUMMYFUNCTION("""COMPUTED_VALUE"""),6375.0)</f>
        <v>6375</v>
      </c>
      <c r="D1197" s="2">
        <f>IFERROR(__xludf.DUMMYFUNCTION("""COMPUTED_VALUE"""),6150.0)</f>
        <v>6150</v>
      </c>
      <c r="E1197" s="2">
        <f>IFERROR(__xludf.DUMMYFUNCTION("""COMPUTED_VALUE"""),6150.0)</f>
        <v>6150</v>
      </c>
      <c r="F1197" s="2">
        <f>IFERROR(__xludf.DUMMYFUNCTION("""COMPUTED_VALUE"""),6.95287E7)</f>
        <v>69528700</v>
      </c>
      <c r="G1197" s="2">
        <f t="shared" si="1"/>
        <v>225</v>
      </c>
    </row>
    <row r="1198" ht="15.75" customHeight="1">
      <c r="A1198" s="1">
        <f>IFERROR(__xludf.DUMMYFUNCTION("""COMPUTED_VALUE"""),45632.66666666667)</f>
        <v>45632.66667</v>
      </c>
      <c r="B1198" s="2">
        <f>IFERROR(__xludf.DUMMYFUNCTION("""COMPUTED_VALUE"""),6200.0)</f>
        <v>6200</v>
      </c>
      <c r="C1198" s="2">
        <f>IFERROR(__xludf.DUMMYFUNCTION("""COMPUTED_VALUE"""),6275.0)</f>
        <v>6275</v>
      </c>
      <c r="D1198" s="2">
        <f>IFERROR(__xludf.DUMMYFUNCTION("""COMPUTED_VALUE"""),6125.0)</f>
        <v>6125</v>
      </c>
      <c r="E1198" s="2">
        <f>IFERROR(__xludf.DUMMYFUNCTION("""COMPUTED_VALUE"""),6225.0)</f>
        <v>6225</v>
      </c>
      <c r="F1198" s="2">
        <f>IFERROR(__xludf.DUMMYFUNCTION("""COMPUTED_VALUE"""),7.59897E7)</f>
        <v>75989700</v>
      </c>
      <c r="G1198" s="2">
        <f t="shared" si="1"/>
        <v>150</v>
      </c>
    </row>
    <row r="1199" ht="15.75" customHeight="1">
      <c r="A1199" s="1">
        <f>IFERROR(__xludf.DUMMYFUNCTION("""COMPUTED_VALUE"""),45635.66666666667)</f>
        <v>45635.66667</v>
      </c>
      <c r="B1199" s="2">
        <f>IFERROR(__xludf.DUMMYFUNCTION("""COMPUTED_VALUE"""),6175.0)</f>
        <v>6175</v>
      </c>
      <c r="C1199" s="2">
        <f>IFERROR(__xludf.DUMMYFUNCTION("""COMPUTED_VALUE"""),6375.0)</f>
        <v>6375</v>
      </c>
      <c r="D1199" s="2">
        <f>IFERROR(__xludf.DUMMYFUNCTION("""COMPUTED_VALUE"""),6175.0)</f>
        <v>6175</v>
      </c>
      <c r="E1199" s="2">
        <f>IFERROR(__xludf.DUMMYFUNCTION("""COMPUTED_VALUE"""),6375.0)</f>
        <v>6375</v>
      </c>
      <c r="F1199" s="2">
        <f>IFERROR(__xludf.DUMMYFUNCTION("""COMPUTED_VALUE"""),7.42203E7)</f>
        <v>74220300</v>
      </c>
      <c r="G1199" s="2">
        <f t="shared" si="1"/>
        <v>200</v>
      </c>
    </row>
    <row r="1200" ht="15.75" customHeight="1">
      <c r="A1200" s="1">
        <f>IFERROR(__xludf.DUMMYFUNCTION("""COMPUTED_VALUE"""),45636.66666666667)</f>
        <v>45636.66667</v>
      </c>
      <c r="B1200" s="2">
        <f>IFERROR(__xludf.DUMMYFUNCTION("""COMPUTED_VALUE"""),6275.0)</f>
        <v>6275</v>
      </c>
      <c r="C1200" s="2">
        <f>IFERROR(__xludf.DUMMYFUNCTION("""COMPUTED_VALUE"""),6325.0)</f>
        <v>6325</v>
      </c>
      <c r="D1200" s="2">
        <f>IFERROR(__xludf.DUMMYFUNCTION("""COMPUTED_VALUE"""),6225.0)</f>
        <v>6225</v>
      </c>
      <c r="E1200" s="2">
        <f>IFERROR(__xludf.DUMMYFUNCTION("""COMPUTED_VALUE"""),6300.0)</f>
        <v>6300</v>
      </c>
      <c r="F1200" s="2">
        <f>IFERROR(__xludf.DUMMYFUNCTION("""COMPUTED_VALUE"""),9.2245E7)</f>
        <v>92245000</v>
      </c>
      <c r="G1200" s="2">
        <f t="shared" si="1"/>
        <v>150</v>
      </c>
    </row>
    <row r="1201" ht="15.75" customHeight="1">
      <c r="A1201" s="1">
        <f>IFERROR(__xludf.DUMMYFUNCTION("""COMPUTED_VALUE"""),45637.66666666667)</f>
        <v>45637.66667</v>
      </c>
      <c r="B1201" s="2">
        <f>IFERROR(__xludf.DUMMYFUNCTION("""COMPUTED_VALUE"""),6300.0)</f>
        <v>6300</v>
      </c>
      <c r="C1201" s="2">
        <f>IFERROR(__xludf.DUMMYFUNCTION("""COMPUTED_VALUE"""),6400.0)</f>
        <v>6400</v>
      </c>
      <c r="D1201" s="2">
        <f>IFERROR(__xludf.DUMMYFUNCTION("""COMPUTED_VALUE"""),6300.0)</f>
        <v>6300</v>
      </c>
      <c r="E1201" s="2">
        <f>IFERROR(__xludf.DUMMYFUNCTION("""COMPUTED_VALUE"""),6300.0)</f>
        <v>6300</v>
      </c>
      <c r="F1201" s="2">
        <f>IFERROR(__xludf.DUMMYFUNCTION("""COMPUTED_VALUE"""),6.25096E7)</f>
        <v>62509600</v>
      </c>
      <c r="G1201" s="2">
        <f t="shared" si="1"/>
        <v>100</v>
      </c>
    </row>
    <row r="1202" ht="15.75" customHeight="1">
      <c r="A1202" s="1">
        <f>IFERROR(__xludf.DUMMYFUNCTION("""COMPUTED_VALUE"""),45638.66666666667)</f>
        <v>45638.66667</v>
      </c>
      <c r="B1202" s="2">
        <f>IFERROR(__xludf.DUMMYFUNCTION("""COMPUTED_VALUE"""),6200.0)</f>
        <v>6200</v>
      </c>
      <c r="C1202" s="2">
        <f>IFERROR(__xludf.DUMMYFUNCTION("""COMPUTED_VALUE"""),6225.0)</f>
        <v>6225</v>
      </c>
      <c r="D1202" s="2">
        <f>IFERROR(__xludf.DUMMYFUNCTION("""COMPUTED_VALUE"""),6100.0)</f>
        <v>6100</v>
      </c>
      <c r="E1202" s="2">
        <f>IFERROR(__xludf.DUMMYFUNCTION("""COMPUTED_VALUE"""),6125.0)</f>
        <v>6125</v>
      </c>
      <c r="F1202" s="2">
        <f>IFERROR(__xludf.DUMMYFUNCTION("""COMPUTED_VALUE"""),9.67075E7)</f>
        <v>96707500</v>
      </c>
      <c r="G1202" s="2">
        <f t="shared" si="1"/>
        <v>200</v>
      </c>
    </row>
    <row r="1203" ht="15.75" customHeight="1">
      <c r="A1203" s="1">
        <f>IFERROR(__xludf.DUMMYFUNCTION("""COMPUTED_VALUE"""),45639.66666666667)</f>
        <v>45639.66667</v>
      </c>
      <c r="B1203" s="2">
        <f>IFERROR(__xludf.DUMMYFUNCTION("""COMPUTED_VALUE"""),6025.0)</f>
        <v>6025</v>
      </c>
      <c r="C1203" s="2">
        <f>IFERROR(__xludf.DUMMYFUNCTION("""COMPUTED_VALUE"""),6100.0)</f>
        <v>6100</v>
      </c>
      <c r="D1203" s="2">
        <f>IFERROR(__xludf.DUMMYFUNCTION("""COMPUTED_VALUE"""),5975.0)</f>
        <v>5975</v>
      </c>
      <c r="E1203" s="2">
        <f>IFERROR(__xludf.DUMMYFUNCTION("""COMPUTED_VALUE"""),6025.0)</f>
        <v>6025</v>
      </c>
      <c r="F1203" s="2">
        <f>IFERROR(__xludf.DUMMYFUNCTION("""COMPUTED_VALUE"""),1.355814E8)</f>
        <v>135581400</v>
      </c>
      <c r="G1203" s="2">
        <f t="shared" si="1"/>
        <v>150</v>
      </c>
    </row>
    <row r="1204" ht="15.75" customHeight="1">
      <c r="A1204" s="1">
        <f>IFERROR(__xludf.DUMMYFUNCTION("""COMPUTED_VALUE"""),45642.66666666667)</f>
        <v>45642.66667</v>
      </c>
      <c r="B1204" s="2">
        <f>IFERROR(__xludf.DUMMYFUNCTION("""COMPUTED_VALUE"""),5900.0)</f>
        <v>5900</v>
      </c>
      <c r="C1204" s="2">
        <f>IFERROR(__xludf.DUMMYFUNCTION("""COMPUTED_VALUE"""),6100.0)</f>
        <v>6100</v>
      </c>
      <c r="D1204" s="2">
        <f>IFERROR(__xludf.DUMMYFUNCTION("""COMPUTED_VALUE"""),5900.0)</f>
        <v>5900</v>
      </c>
      <c r="E1204" s="2">
        <f>IFERROR(__xludf.DUMMYFUNCTION("""COMPUTED_VALUE"""),6075.0)</f>
        <v>6075</v>
      </c>
      <c r="F1204" s="2">
        <f>IFERROR(__xludf.DUMMYFUNCTION("""COMPUTED_VALUE"""),1.053759E8)</f>
        <v>105375900</v>
      </c>
      <c r="G1204" s="2">
        <f t="shared" si="1"/>
        <v>200</v>
      </c>
    </row>
    <row r="1205" ht="15.75" customHeight="1">
      <c r="A1205" s="1">
        <f>IFERROR(__xludf.DUMMYFUNCTION("""COMPUTED_VALUE"""),45643.66666666667)</f>
        <v>45643.66667</v>
      </c>
      <c r="B1205" s="2">
        <f>IFERROR(__xludf.DUMMYFUNCTION("""COMPUTED_VALUE"""),6050.0)</f>
        <v>6050</v>
      </c>
      <c r="C1205" s="2">
        <f>IFERROR(__xludf.DUMMYFUNCTION("""COMPUTED_VALUE"""),6075.0)</f>
        <v>6075</v>
      </c>
      <c r="D1205" s="2">
        <f>IFERROR(__xludf.DUMMYFUNCTION("""COMPUTED_VALUE"""),5925.0)</f>
        <v>5925</v>
      </c>
      <c r="E1205" s="2">
        <f>IFERROR(__xludf.DUMMYFUNCTION("""COMPUTED_VALUE"""),5950.0)</f>
        <v>5950</v>
      </c>
      <c r="F1205" s="2">
        <f>IFERROR(__xludf.DUMMYFUNCTION("""COMPUTED_VALUE"""),7.21093E7)</f>
        <v>72109300</v>
      </c>
      <c r="G1205" s="2">
        <f t="shared" si="1"/>
        <v>150</v>
      </c>
    </row>
    <row r="1206" ht="15.75" customHeight="1">
      <c r="A1206" s="1">
        <f>IFERROR(__xludf.DUMMYFUNCTION("""COMPUTED_VALUE"""),45644.66666666667)</f>
        <v>45644.66667</v>
      </c>
      <c r="B1206" s="2">
        <f>IFERROR(__xludf.DUMMYFUNCTION("""COMPUTED_VALUE"""),5925.0)</f>
        <v>5925</v>
      </c>
      <c r="C1206" s="2">
        <f>IFERROR(__xludf.DUMMYFUNCTION("""COMPUTED_VALUE"""),6000.0)</f>
        <v>6000</v>
      </c>
      <c r="D1206" s="2">
        <f>IFERROR(__xludf.DUMMYFUNCTION("""COMPUTED_VALUE"""),5775.0)</f>
        <v>5775</v>
      </c>
      <c r="E1206" s="2">
        <f>IFERROR(__xludf.DUMMYFUNCTION("""COMPUTED_VALUE"""),5825.0)</f>
        <v>5825</v>
      </c>
      <c r="F1206" s="2">
        <f>IFERROR(__xludf.DUMMYFUNCTION("""COMPUTED_VALUE"""),1.531646E8)</f>
        <v>153164600</v>
      </c>
      <c r="G1206" s="2">
        <f t="shared" si="1"/>
        <v>225</v>
      </c>
    </row>
    <row r="1207" ht="15.75" customHeight="1">
      <c r="A1207" s="1">
        <f>IFERROR(__xludf.DUMMYFUNCTION("""COMPUTED_VALUE"""),45645.66666666667)</f>
        <v>45645.66667</v>
      </c>
      <c r="B1207" s="2">
        <f>IFERROR(__xludf.DUMMYFUNCTION("""COMPUTED_VALUE"""),5625.0)</f>
        <v>5625</v>
      </c>
      <c r="C1207" s="2">
        <f>IFERROR(__xludf.DUMMYFUNCTION("""COMPUTED_VALUE"""),5725.0)</f>
        <v>5725</v>
      </c>
      <c r="D1207" s="2">
        <f>IFERROR(__xludf.DUMMYFUNCTION("""COMPUTED_VALUE"""),5600.0)</f>
        <v>5600</v>
      </c>
      <c r="E1207" s="2">
        <f>IFERROR(__xludf.DUMMYFUNCTION("""COMPUTED_VALUE"""),5675.0)</f>
        <v>5675</v>
      </c>
      <c r="F1207" s="2">
        <f>IFERROR(__xludf.DUMMYFUNCTION("""COMPUTED_VALUE"""),2.77793E8)</f>
        <v>277793000</v>
      </c>
      <c r="G1207" s="2">
        <f t="shared" si="1"/>
        <v>225</v>
      </c>
    </row>
    <row r="1208" ht="15.75" customHeight="1">
      <c r="A1208" s="1">
        <f>IFERROR(__xludf.DUMMYFUNCTION("""COMPUTED_VALUE"""),45646.66666666667)</f>
        <v>45646.66667</v>
      </c>
      <c r="B1208" s="2">
        <f>IFERROR(__xludf.DUMMYFUNCTION("""COMPUTED_VALUE"""),5675.0)</f>
        <v>5675</v>
      </c>
      <c r="C1208" s="2">
        <f>IFERROR(__xludf.DUMMYFUNCTION("""COMPUTED_VALUE"""),5750.0)</f>
        <v>5750</v>
      </c>
      <c r="D1208" s="2">
        <f>IFERROR(__xludf.DUMMYFUNCTION("""COMPUTED_VALUE"""),5625.0)</f>
        <v>5625</v>
      </c>
      <c r="E1208" s="2">
        <f>IFERROR(__xludf.DUMMYFUNCTION("""COMPUTED_VALUE"""),5675.0)</f>
        <v>5675</v>
      </c>
      <c r="F1208" s="2">
        <f>IFERROR(__xludf.DUMMYFUNCTION("""COMPUTED_VALUE"""),1.485686E8)</f>
        <v>148568600</v>
      </c>
      <c r="G1208" s="2">
        <f t="shared" si="1"/>
        <v>125</v>
      </c>
    </row>
    <row r="1209" ht="15.75" customHeight="1">
      <c r="A1209" s="1">
        <f>IFERROR(__xludf.DUMMYFUNCTION("""COMPUTED_VALUE"""),45649.66666666667)</f>
        <v>45649.66667</v>
      </c>
      <c r="B1209" s="2">
        <f>IFERROR(__xludf.DUMMYFUNCTION("""COMPUTED_VALUE"""),5800.0)</f>
        <v>5800</v>
      </c>
      <c r="C1209" s="2">
        <f>IFERROR(__xludf.DUMMYFUNCTION("""COMPUTED_VALUE"""),5875.0)</f>
        <v>5875</v>
      </c>
      <c r="D1209" s="2">
        <f>IFERROR(__xludf.DUMMYFUNCTION("""COMPUTED_VALUE"""),5725.0)</f>
        <v>5725</v>
      </c>
      <c r="E1209" s="2">
        <f>IFERROR(__xludf.DUMMYFUNCTION("""COMPUTED_VALUE"""),5825.0)</f>
        <v>5825</v>
      </c>
      <c r="F1209" s="2">
        <f>IFERROR(__xludf.DUMMYFUNCTION("""COMPUTED_VALUE"""),8.29101E7)</f>
        <v>82910100</v>
      </c>
      <c r="G1209" s="2">
        <f t="shared" si="1"/>
        <v>200</v>
      </c>
    </row>
    <row r="1210" ht="15.75" customHeight="1">
      <c r="A1210" s="1">
        <f>IFERROR(__xludf.DUMMYFUNCTION("""COMPUTED_VALUE"""),45650.66666666667)</f>
        <v>45650.66667</v>
      </c>
      <c r="B1210" s="2">
        <f>IFERROR(__xludf.DUMMYFUNCTION("""COMPUTED_VALUE"""),5825.0)</f>
        <v>5825</v>
      </c>
      <c r="C1210" s="2">
        <f>IFERROR(__xludf.DUMMYFUNCTION("""COMPUTED_VALUE"""),5875.0)</f>
        <v>5875</v>
      </c>
      <c r="D1210" s="2">
        <f>IFERROR(__xludf.DUMMYFUNCTION("""COMPUTED_VALUE"""),5750.0)</f>
        <v>5750</v>
      </c>
      <c r="E1210" s="2">
        <f>IFERROR(__xludf.DUMMYFUNCTION("""COMPUTED_VALUE"""),5750.0)</f>
        <v>5750</v>
      </c>
      <c r="F1210" s="2">
        <f>IFERROR(__xludf.DUMMYFUNCTION("""COMPUTED_VALUE"""),4.12409E7)</f>
        <v>41240900</v>
      </c>
      <c r="G1210" s="2">
        <f t="shared" si="1"/>
        <v>125</v>
      </c>
    </row>
    <row r="1211" ht="15.75" customHeight="1">
      <c r="A1211" s="1">
        <f>IFERROR(__xludf.DUMMYFUNCTION("""COMPUTED_VALUE"""),45653.66666666667)</f>
        <v>45653.66667</v>
      </c>
      <c r="B1211" s="2">
        <f>IFERROR(__xludf.DUMMYFUNCTION("""COMPUTED_VALUE"""),5750.0)</f>
        <v>5750</v>
      </c>
      <c r="C1211" s="2">
        <f>IFERROR(__xludf.DUMMYFUNCTION("""COMPUTED_VALUE"""),5850.0)</f>
        <v>5850</v>
      </c>
      <c r="D1211" s="2">
        <f>IFERROR(__xludf.DUMMYFUNCTION("""COMPUTED_VALUE"""),5750.0)</f>
        <v>5750</v>
      </c>
      <c r="E1211" s="2">
        <f>IFERROR(__xludf.DUMMYFUNCTION("""COMPUTED_VALUE"""),5800.0)</f>
        <v>5800</v>
      </c>
      <c r="F1211" s="2">
        <f>IFERROR(__xludf.DUMMYFUNCTION("""COMPUTED_VALUE"""),4.61268E7)</f>
        <v>46126800</v>
      </c>
      <c r="G1211" s="2">
        <f t="shared" si="1"/>
        <v>100</v>
      </c>
    </row>
    <row r="1212" ht="15.75" customHeight="1">
      <c r="A1212" s="1">
        <f>IFERROR(__xludf.DUMMYFUNCTION("""COMPUTED_VALUE"""),45656.66666666667)</f>
        <v>45656.66667</v>
      </c>
      <c r="B1212" s="2">
        <f>IFERROR(__xludf.DUMMYFUNCTION("""COMPUTED_VALUE"""),5675.0)</f>
        <v>5675</v>
      </c>
      <c r="C1212" s="2">
        <f>IFERROR(__xludf.DUMMYFUNCTION("""COMPUTED_VALUE"""),5750.0)</f>
        <v>5750</v>
      </c>
      <c r="D1212" s="2">
        <f>IFERROR(__xludf.DUMMYFUNCTION("""COMPUTED_VALUE"""),5650.0)</f>
        <v>5650</v>
      </c>
      <c r="E1212" s="2">
        <f>IFERROR(__xludf.DUMMYFUNCTION("""COMPUTED_VALUE"""),5700.0)</f>
        <v>5700</v>
      </c>
      <c r="F1212" s="2">
        <f>IFERROR(__xludf.DUMMYFUNCTION("""COMPUTED_VALUE"""),9.67821E7)</f>
        <v>96782100</v>
      </c>
      <c r="G1212" s="2">
        <f t="shared" si="1"/>
        <v>150</v>
      </c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7" width="12.63"/>
  </cols>
  <sheetData>
    <row r="1" ht="15.75" customHeight="1">
      <c r="A1" s="1" t="str">
        <f>IFERROR(__xludf.DUMMYFUNCTION("GOOGLEFINANCE(""IDX:BRIS"", ""all"", DATE(2020,1,1), DATE(2025,1,1), ""DAILY"")
"),"Date")</f>
        <v>Date</v>
      </c>
      <c r="B1" s="2" t="str">
        <f>IFERROR(__xludf.DUMMYFUNCTION("""COMPUTED_VALUE"""),"Open")</f>
        <v>Open</v>
      </c>
      <c r="C1" s="2" t="str">
        <f>IFERROR(__xludf.DUMMYFUNCTION("""COMPUTED_VALUE"""),"High")</f>
        <v>High</v>
      </c>
      <c r="D1" s="2" t="str">
        <f>IFERROR(__xludf.DUMMYFUNCTION("""COMPUTED_VALUE"""),"Low")</f>
        <v>Low</v>
      </c>
      <c r="E1" s="2" t="str">
        <f>IFERROR(__xludf.DUMMYFUNCTION("""COMPUTED_VALUE"""),"Close")</f>
        <v>Close</v>
      </c>
      <c r="F1" s="2" t="str">
        <f>IFERROR(__xludf.DUMMYFUNCTION("""COMPUTED_VALUE"""),"Volume")</f>
        <v>Volume</v>
      </c>
      <c r="G1" s="3" t="s">
        <v>0</v>
      </c>
    </row>
    <row r="2" ht="15.75" customHeight="1">
      <c r="A2" s="1">
        <f>IFERROR(__xludf.DUMMYFUNCTION("""COMPUTED_VALUE"""),43832.66666666667)</f>
        <v>43832.66667</v>
      </c>
      <c r="B2" s="2">
        <f>IFERROR(__xludf.DUMMYFUNCTION("""COMPUTED_VALUE"""),321.85)</f>
        <v>321.85</v>
      </c>
      <c r="C2" s="2">
        <f>IFERROR(__xludf.DUMMYFUNCTION("""COMPUTED_VALUE"""),327.7)</f>
        <v>327.7</v>
      </c>
      <c r="D2" s="2">
        <f>IFERROR(__xludf.DUMMYFUNCTION("""COMPUTED_VALUE"""),321.85)</f>
        <v>321.85</v>
      </c>
      <c r="E2" s="2">
        <f>IFERROR(__xludf.DUMMYFUNCTION("""COMPUTED_VALUE"""),323.8)</f>
        <v>323.8</v>
      </c>
      <c r="F2" s="2">
        <f>IFERROR(__xludf.DUMMYFUNCTION("""COMPUTED_VALUE"""),1456400.0)</f>
        <v>1456400</v>
      </c>
      <c r="G2" s="2"/>
    </row>
    <row r="3" ht="15.75" customHeight="1">
      <c r="A3" s="1">
        <f>IFERROR(__xludf.DUMMYFUNCTION("""COMPUTED_VALUE"""),43833.66666666667)</f>
        <v>43833.66667</v>
      </c>
      <c r="B3" s="2">
        <f>IFERROR(__xludf.DUMMYFUNCTION("""COMPUTED_VALUE"""),325.75)</f>
        <v>325.75</v>
      </c>
      <c r="C3" s="2">
        <f>IFERROR(__xludf.DUMMYFUNCTION("""COMPUTED_VALUE"""),327.7)</f>
        <v>327.7</v>
      </c>
      <c r="D3" s="2">
        <f>IFERROR(__xludf.DUMMYFUNCTION("""COMPUTED_VALUE"""),317.95)</f>
        <v>317.95</v>
      </c>
      <c r="E3" s="2">
        <f>IFERROR(__xludf.DUMMYFUNCTION("""COMPUTED_VALUE"""),319.9)</f>
        <v>319.9</v>
      </c>
      <c r="F3" s="2">
        <f>IFERROR(__xludf.DUMMYFUNCTION("""COMPUTED_VALUE"""),4989600.0)</f>
        <v>4989600</v>
      </c>
      <c r="G3" s="2">
        <f t="shared" ref="G3:G1212" si="1">MAX(C3-D3, ABS(C3-E2), ABS(D3-E2))</f>
        <v>9.75</v>
      </c>
    </row>
    <row r="4" ht="15.75" customHeight="1">
      <c r="A4" s="1">
        <f>IFERROR(__xludf.DUMMYFUNCTION("""COMPUTED_VALUE"""),43836.66666666667)</f>
        <v>43836.66667</v>
      </c>
      <c r="B4" s="2">
        <f>IFERROR(__xludf.DUMMYFUNCTION("""COMPUTED_VALUE"""),319.9)</f>
        <v>319.9</v>
      </c>
      <c r="C4" s="2">
        <f>IFERROR(__xludf.DUMMYFUNCTION("""COMPUTED_VALUE"""),325.75)</f>
        <v>325.75</v>
      </c>
      <c r="D4" s="2">
        <f>IFERROR(__xludf.DUMMYFUNCTION("""COMPUTED_VALUE"""),312.1)</f>
        <v>312.1</v>
      </c>
      <c r="E4" s="2">
        <f>IFERROR(__xludf.DUMMYFUNCTION("""COMPUTED_VALUE"""),316.0)</f>
        <v>316</v>
      </c>
      <c r="F4" s="2">
        <f>IFERROR(__xludf.DUMMYFUNCTION("""COMPUTED_VALUE"""),6937900.0)</f>
        <v>6937900</v>
      </c>
      <c r="G4" s="2">
        <f t="shared" si="1"/>
        <v>13.65</v>
      </c>
    </row>
    <row r="5" ht="15.75" customHeight="1">
      <c r="A5" s="1">
        <f>IFERROR(__xludf.DUMMYFUNCTION("""COMPUTED_VALUE"""),43837.66666666667)</f>
        <v>43837.66667</v>
      </c>
      <c r="B5" s="2">
        <f>IFERROR(__xludf.DUMMYFUNCTION("""COMPUTED_VALUE"""),316.0)</f>
        <v>316</v>
      </c>
      <c r="C5" s="2">
        <f>IFERROR(__xludf.DUMMYFUNCTION("""COMPUTED_VALUE"""),316.0)</f>
        <v>316</v>
      </c>
      <c r="D5" s="2">
        <f>IFERROR(__xludf.DUMMYFUNCTION("""COMPUTED_VALUE"""),308.2)</f>
        <v>308.2</v>
      </c>
      <c r="E5" s="2">
        <f>IFERROR(__xludf.DUMMYFUNCTION("""COMPUTED_VALUE"""),310.15)</f>
        <v>310.15</v>
      </c>
      <c r="F5" s="2">
        <f>IFERROR(__xludf.DUMMYFUNCTION("""COMPUTED_VALUE"""),6319400.0)</f>
        <v>6319400</v>
      </c>
      <c r="G5" s="2">
        <f t="shared" si="1"/>
        <v>7.8</v>
      </c>
    </row>
    <row r="6" ht="15.75" customHeight="1">
      <c r="A6" s="1">
        <f>IFERROR(__xludf.DUMMYFUNCTION("""COMPUTED_VALUE"""),43838.66666666667)</f>
        <v>43838.66667</v>
      </c>
      <c r="B6" s="2">
        <f>IFERROR(__xludf.DUMMYFUNCTION("""COMPUTED_VALUE"""),310.15)</f>
        <v>310.15</v>
      </c>
      <c r="C6" s="2">
        <f>IFERROR(__xludf.DUMMYFUNCTION("""COMPUTED_VALUE"""),310.15)</f>
        <v>310.15</v>
      </c>
      <c r="D6" s="2">
        <f>IFERROR(__xludf.DUMMYFUNCTION("""COMPUTED_VALUE"""),304.3)</f>
        <v>304.3</v>
      </c>
      <c r="E6" s="2">
        <f>IFERROR(__xludf.DUMMYFUNCTION("""COMPUTED_VALUE"""),304.3)</f>
        <v>304.3</v>
      </c>
      <c r="F6" s="2">
        <f>IFERROR(__xludf.DUMMYFUNCTION("""COMPUTED_VALUE"""),4058800.0)</f>
        <v>4058800</v>
      </c>
      <c r="G6" s="2">
        <f t="shared" si="1"/>
        <v>5.85</v>
      </c>
    </row>
    <row r="7" ht="15.75" customHeight="1">
      <c r="A7" s="1">
        <f>IFERROR(__xludf.DUMMYFUNCTION("""COMPUTED_VALUE"""),43839.66666666667)</f>
        <v>43839.66667</v>
      </c>
      <c r="B7" s="2">
        <f>IFERROR(__xludf.DUMMYFUNCTION("""COMPUTED_VALUE"""),304.3)</f>
        <v>304.3</v>
      </c>
      <c r="C7" s="2">
        <f>IFERROR(__xludf.DUMMYFUNCTION("""COMPUTED_VALUE"""),314.05)</f>
        <v>314.05</v>
      </c>
      <c r="D7" s="2">
        <f>IFERROR(__xludf.DUMMYFUNCTION("""COMPUTED_VALUE"""),302.35)</f>
        <v>302.35</v>
      </c>
      <c r="E7" s="2">
        <f>IFERROR(__xludf.DUMMYFUNCTION("""COMPUTED_VALUE"""),310.15)</f>
        <v>310.15</v>
      </c>
      <c r="F7" s="2">
        <f>IFERROR(__xludf.DUMMYFUNCTION("""COMPUTED_VALUE"""),4928400.0)</f>
        <v>4928400</v>
      </c>
      <c r="G7" s="2">
        <f t="shared" si="1"/>
        <v>11.7</v>
      </c>
    </row>
    <row r="8" ht="15.75" customHeight="1">
      <c r="A8" s="1">
        <f>IFERROR(__xludf.DUMMYFUNCTION("""COMPUTED_VALUE"""),43840.66666666667)</f>
        <v>43840.66667</v>
      </c>
      <c r="B8" s="2">
        <f>IFERROR(__xludf.DUMMYFUNCTION("""COMPUTED_VALUE"""),310.15)</f>
        <v>310.15</v>
      </c>
      <c r="C8" s="2">
        <f>IFERROR(__xludf.DUMMYFUNCTION("""COMPUTED_VALUE"""),316.0)</f>
        <v>316</v>
      </c>
      <c r="D8" s="2">
        <f>IFERROR(__xludf.DUMMYFUNCTION("""COMPUTED_VALUE"""),306.25)</f>
        <v>306.25</v>
      </c>
      <c r="E8" s="2">
        <f>IFERROR(__xludf.DUMMYFUNCTION("""COMPUTED_VALUE"""),306.25)</f>
        <v>306.25</v>
      </c>
      <c r="F8" s="2">
        <f>IFERROR(__xludf.DUMMYFUNCTION("""COMPUTED_VALUE"""),6175000.0)</f>
        <v>6175000</v>
      </c>
      <c r="G8" s="2">
        <f t="shared" si="1"/>
        <v>9.75</v>
      </c>
    </row>
    <row r="9" ht="15.75" customHeight="1">
      <c r="A9" s="1">
        <f>IFERROR(__xludf.DUMMYFUNCTION("""COMPUTED_VALUE"""),43843.66666666667)</f>
        <v>43843.66667</v>
      </c>
      <c r="B9" s="2">
        <f>IFERROR(__xludf.DUMMYFUNCTION("""COMPUTED_VALUE"""),308.2)</f>
        <v>308.2</v>
      </c>
      <c r="C9" s="2">
        <f>IFERROR(__xludf.DUMMYFUNCTION("""COMPUTED_VALUE"""),316.0)</f>
        <v>316</v>
      </c>
      <c r="D9" s="2">
        <f>IFERROR(__xludf.DUMMYFUNCTION("""COMPUTED_VALUE"""),306.25)</f>
        <v>306.25</v>
      </c>
      <c r="E9" s="2">
        <f>IFERROR(__xludf.DUMMYFUNCTION("""COMPUTED_VALUE"""),312.1)</f>
        <v>312.1</v>
      </c>
      <c r="F9" s="2">
        <f>IFERROR(__xludf.DUMMYFUNCTION("""COMPUTED_VALUE"""),1.08332E7)</f>
        <v>10833200</v>
      </c>
      <c r="G9" s="2">
        <f t="shared" si="1"/>
        <v>9.75</v>
      </c>
    </row>
    <row r="10" ht="15.75" customHeight="1">
      <c r="A10" s="1">
        <f>IFERROR(__xludf.DUMMYFUNCTION("""COMPUTED_VALUE"""),43844.66666666667)</f>
        <v>43844.66667</v>
      </c>
      <c r="B10" s="2">
        <f>IFERROR(__xludf.DUMMYFUNCTION("""COMPUTED_VALUE"""),314.05)</f>
        <v>314.05</v>
      </c>
      <c r="C10" s="2">
        <f>IFERROR(__xludf.DUMMYFUNCTION("""COMPUTED_VALUE"""),317.95)</f>
        <v>317.95</v>
      </c>
      <c r="D10" s="2">
        <f>IFERROR(__xludf.DUMMYFUNCTION("""COMPUTED_VALUE"""),310.15)</f>
        <v>310.15</v>
      </c>
      <c r="E10" s="2">
        <f>IFERROR(__xludf.DUMMYFUNCTION("""COMPUTED_VALUE"""),312.1)</f>
        <v>312.1</v>
      </c>
      <c r="F10" s="2">
        <f>IFERROR(__xludf.DUMMYFUNCTION("""COMPUTED_VALUE"""),7388400.0)</f>
        <v>7388400</v>
      </c>
      <c r="G10" s="2">
        <f t="shared" si="1"/>
        <v>7.8</v>
      </c>
    </row>
    <row r="11" ht="15.75" customHeight="1">
      <c r="A11" s="1">
        <f>IFERROR(__xludf.DUMMYFUNCTION("""COMPUTED_VALUE"""),43845.66666666667)</f>
        <v>43845.66667</v>
      </c>
      <c r="B11" s="2">
        <f>IFERROR(__xludf.DUMMYFUNCTION("""COMPUTED_VALUE"""),312.1)</f>
        <v>312.1</v>
      </c>
      <c r="C11" s="2">
        <f>IFERROR(__xludf.DUMMYFUNCTION("""COMPUTED_VALUE"""),314.05)</f>
        <v>314.05</v>
      </c>
      <c r="D11" s="2">
        <f>IFERROR(__xludf.DUMMYFUNCTION("""COMPUTED_VALUE"""),308.2)</f>
        <v>308.2</v>
      </c>
      <c r="E11" s="2">
        <f>IFERROR(__xludf.DUMMYFUNCTION("""COMPUTED_VALUE"""),312.1)</f>
        <v>312.1</v>
      </c>
      <c r="F11" s="2">
        <f>IFERROR(__xludf.DUMMYFUNCTION("""COMPUTED_VALUE"""),1.80468E7)</f>
        <v>18046800</v>
      </c>
      <c r="G11" s="2">
        <f t="shared" si="1"/>
        <v>5.85</v>
      </c>
    </row>
    <row r="12" ht="15.75" customHeight="1">
      <c r="A12" s="1">
        <f>IFERROR(__xludf.DUMMYFUNCTION("""COMPUTED_VALUE"""),43846.66666666667)</f>
        <v>43846.66667</v>
      </c>
      <c r="B12" s="2">
        <f>IFERROR(__xludf.DUMMYFUNCTION("""COMPUTED_VALUE"""),312.1)</f>
        <v>312.1</v>
      </c>
      <c r="C12" s="2">
        <f>IFERROR(__xludf.DUMMYFUNCTION("""COMPUTED_VALUE"""),314.05)</f>
        <v>314.05</v>
      </c>
      <c r="D12" s="2">
        <f>IFERROR(__xludf.DUMMYFUNCTION("""COMPUTED_VALUE"""),308.2)</f>
        <v>308.2</v>
      </c>
      <c r="E12" s="2">
        <f>IFERROR(__xludf.DUMMYFUNCTION("""COMPUTED_VALUE"""),312.1)</f>
        <v>312.1</v>
      </c>
      <c r="F12" s="2">
        <f>IFERROR(__xludf.DUMMYFUNCTION("""COMPUTED_VALUE"""),1.13842E7)</f>
        <v>11384200</v>
      </c>
      <c r="G12" s="2">
        <f t="shared" si="1"/>
        <v>5.85</v>
      </c>
    </row>
    <row r="13" ht="15.75" customHeight="1">
      <c r="A13" s="1">
        <f>IFERROR(__xludf.DUMMYFUNCTION("""COMPUTED_VALUE"""),43847.66666666667)</f>
        <v>43847.66667</v>
      </c>
      <c r="B13" s="2">
        <f>IFERROR(__xludf.DUMMYFUNCTION("""COMPUTED_VALUE"""),312.1)</f>
        <v>312.1</v>
      </c>
      <c r="C13" s="2">
        <f>IFERROR(__xludf.DUMMYFUNCTION("""COMPUTED_VALUE"""),312.1)</f>
        <v>312.1</v>
      </c>
      <c r="D13" s="2">
        <f>IFERROR(__xludf.DUMMYFUNCTION("""COMPUTED_VALUE"""),308.2)</f>
        <v>308.2</v>
      </c>
      <c r="E13" s="2">
        <f>IFERROR(__xludf.DUMMYFUNCTION("""COMPUTED_VALUE"""),310.15)</f>
        <v>310.15</v>
      </c>
      <c r="F13" s="2">
        <f>IFERROR(__xludf.DUMMYFUNCTION("""COMPUTED_VALUE"""),2316500.0)</f>
        <v>2316500</v>
      </c>
      <c r="G13" s="2">
        <f t="shared" si="1"/>
        <v>3.9</v>
      </c>
    </row>
    <row r="14" ht="15.75" customHeight="1">
      <c r="A14" s="1">
        <f>IFERROR(__xludf.DUMMYFUNCTION("""COMPUTED_VALUE"""),43850.66666666667)</f>
        <v>43850.66667</v>
      </c>
      <c r="B14" s="2">
        <f>IFERROR(__xludf.DUMMYFUNCTION("""COMPUTED_VALUE"""),312.1)</f>
        <v>312.1</v>
      </c>
      <c r="C14" s="2">
        <f>IFERROR(__xludf.DUMMYFUNCTION("""COMPUTED_VALUE"""),316.0)</f>
        <v>316</v>
      </c>
      <c r="D14" s="2">
        <f>IFERROR(__xludf.DUMMYFUNCTION("""COMPUTED_VALUE"""),310.15)</f>
        <v>310.15</v>
      </c>
      <c r="E14" s="2">
        <f>IFERROR(__xludf.DUMMYFUNCTION("""COMPUTED_VALUE"""),316.0)</f>
        <v>316</v>
      </c>
      <c r="F14" s="2">
        <f>IFERROR(__xludf.DUMMYFUNCTION("""COMPUTED_VALUE"""),1.70376E7)</f>
        <v>17037600</v>
      </c>
      <c r="G14" s="2">
        <f t="shared" si="1"/>
        <v>5.85</v>
      </c>
    </row>
    <row r="15" ht="15.75" customHeight="1">
      <c r="A15" s="1">
        <f>IFERROR(__xludf.DUMMYFUNCTION("""COMPUTED_VALUE"""),43851.66666666667)</f>
        <v>43851.66667</v>
      </c>
      <c r="B15" s="2">
        <f>IFERROR(__xludf.DUMMYFUNCTION("""COMPUTED_VALUE"""),316.0)</f>
        <v>316</v>
      </c>
      <c r="C15" s="2">
        <f>IFERROR(__xludf.DUMMYFUNCTION("""COMPUTED_VALUE"""),316.0)</f>
        <v>316</v>
      </c>
      <c r="D15" s="2">
        <f>IFERROR(__xludf.DUMMYFUNCTION("""COMPUTED_VALUE"""),308.2)</f>
        <v>308.2</v>
      </c>
      <c r="E15" s="2">
        <f>IFERROR(__xludf.DUMMYFUNCTION("""COMPUTED_VALUE"""),312.1)</f>
        <v>312.1</v>
      </c>
      <c r="F15" s="2">
        <f>IFERROR(__xludf.DUMMYFUNCTION("""COMPUTED_VALUE"""),5665400.0)</f>
        <v>5665400</v>
      </c>
      <c r="G15" s="2">
        <f t="shared" si="1"/>
        <v>7.8</v>
      </c>
    </row>
    <row r="16" ht="15.75" customHeight="1">
      <c r="A16" s="1">
        <f>IFERROR(__xludf.DUMMYFUNCTION("""COMPUTED_VALUE"""),43852.66666666667)</f>
        <v>43852.66667</v>
      </c>
      <c r="B16" s="2">
        <f>IFERROR(__xludf.DUMMYFUNCTION("""COMPUTED_VALUE"""),312.1)</f>
        <v>312.1</v>
      </c>
      <c r="C16" s="2">
        <f>IFERROR(__xludf.DUMMYFUNCTION("""COMPUTED_VALUE"""),316.0)</f>
        <v>316</v>
      </c>
      <c r="D16" s="2">
        <f>IFERROR(__xludf.DUMMYFUNCTION("""COMPUTED_VALUE"""),308.2)</f>
        <v>308.2</v>
      </c>
      <c r="E16" s="2">
        <f>IFERROR(__xludf.DUMMYFUNCTION("""COMPUTED_VALUE"""),308.2)</f>
        <v>308.2</v>
      </c>
      <c r="F16" s="2">
        <f>IFERROR(__xludf.DUMMYFUNCTION("""COMPUTED_VALUE"""),1.08942E7)</f>
        <v>10894200</v>
      </c>
      <c r="G16" s="2">
        <f t="shared" si="1"/>
        <v>7.8</v>
      </c>
    </row>
    <row r="17" ht="15.75" customHeight="1">
      <c r="A17" s="1">
        <f>IFERROR(__xludf.DUMMYFUNCTION("""COMPUTED_VALUE"""),43853.66666666667)</f>
        <v>43853.66667</v>
      </c>
      <c r="B17" s="2">
        <f>IFERROR(__xludf.DUMMYFUNCTION("""COMPUTED_VALUE"""),310.15)</f>
        <v>310.15</v>
      </c>
      <c r="C17" s="2">
        <f>IFERROR(__xludf.DUMMYFUNCTION("""COMPUTED_VALUE"""),310.15)</f>
        <v>310.15</v>
      </c>
      <c r="D17" s="2">
        <f>IFERROR(__xludf.DUMMYFUNCTION("""COMPUTED_VALUE"""),302.35)</f>
        <v>302.35</v>
      </c>
      <c r="E17" s="2">
        <f>IFERROR(__xludf.DUMMYFUNCTION("""COMPUTED_VALUE"""),302.35)</f>
        <v>302.35</v>
      </c>
      <c r="F17" s="2">
        <f>IFERROR(__xludf.DUMMYFUNCTION("""COMPUTED_VALUE"""),1.68116E7)</f>
        <v>16811600</v>
      </c>
      <c r="G17" s="2">
        <f t="shared" si="1"/>
        <v>7.8</v>
      </c>
    </row>
    <row r="18" ht="15.75" customHeight="1">
      <c r="A18" s="1">
        <f>IFERROR(__xludf.DUMMYFUNCTION("""COMPUTED_VALUE"""),43854.66666666667)</f>
        <v>43854.66667</v>
      </c>
      <c r="B18" s="2">
        <f>IFERROR(__xludf.DUMMYFUNCTION("""COMPUTED_VALUE"""),300.4)</f>
        <v>300.4</v>
      </c>
      <c r="C18" s="2">
        <f>IFERROR(__xludf.DUMMYFUNCTION("""COMPUTED_VALUE"""),306.25)</f>
        <v>306.25</v>
      </c>
      <c r="D18" s="2">
        <f>IFERROR(__xludf.DUMMYFUNCTION("""COMPUTED_VALUE"""),300.4)</f>
        <v>300.4</v>
      </c>
      <c r="E18" s="2">
        <f>IFERROR(__xludf.DUMMYFUNCTION("""COMPUTED_VALUE"""),304.3)</f>
        <v>304.3</v>
      </c>
      <c r="F18" s="2">
        <f>IFERROR(__xludf.DUMMYFUNCTION("""COMPUTED_VALUE"""),4690200.0)</f>
        <v>4690200</v>
      </c>
      <c r="G18" s="2">
        <f t="shared" si="1"/>
        <v>5.85</v>
      </c>
    </row>
    <row r="19" ht="15.75" customHeight="1">
      <c r="A19" s="1">
        <f>IFERROR(__xludf.DUMMYFUNCTION("""COMPUTED_VALUE"""),43857.66666666667)</f>
        <v>43857.66667</v>
      </c>
      <c r="B19" s="2">
        <f>IFERROR(__xludf.DUMMYFUNCTION("""COMPUTED_VALUE"""),308.2)</f>
        <v>308.2</v>
      </c>
      <c r="C19" s="2">
        <f>IFERROR(__xludf.DUMMYFUNCTION("""COMPUTED_VALUE"""),308.2)</f>
        <v>308.2</v>
      </c>
      <c r="D19" s="2">
        <f>IFERROR(__xludf.DUMMYFUNCTION("""COMPUTED_VALUE"""),300.4)</f>
        <v>300.4</v>
      </c>
      <c r="E19" s="2">
        <f>IFERROR(__xludf.DUMMYFUNCTION("""COMPUTED_VALUE"""),302.35)</f>
        <v>302.35</v>
      </c>
      <c r="F19" s="2">
        <f>IFERROR(__xludf.DUMMYFUNCTION("""COMPUTED_VALUE"""),8560400.0)</f>
        <v>8560400</v>
      </c>
      <c r="G19" s="2">
        <f t="shared" si="1"/>
        <v>7.8</v>
      </c>
    </row>
    <row r="20" ht="15.75" customHeight="1">
      <c r="A20" s="1">
        <f>IFERROR(__xludf.DUMMYFUNCTION("""COMPUTED_VALUE"""),43858.66666666667)</f>
        <v>43858.66667</v>
      </c>
      <c r="B20" s="2">
        <f>IFERROR(__xludf.DUMMYFUNCTION("""COMPUTED_VALUE"""),294.54)</f>
        <v>294.54</v>
      </c>
      <c r="C20" s="2">
        <f>IFERROR(__xludf.DUMMYFUNCTION("""COMPUTED_VALUE"""),306.25)</f>
        <v>306.25</v>
      </c>
      <c r="D20" s="2">
        <f>IFERROR(__xludf.DUMMYFUNCTION("""COMPUTED_VALUE"""),294.54)</f>
        <v>294.54</v>
      </c>
      <c r="E20" s="2">
        <f>IFERROR(__xludf.DUMMYFUNCTION("""COMPUTED_VALUE"""),306.25)</f>
        <v>306.25</v>
      </c>
      <c r="F20" s="2">
        <f>IFERROR(__xludf.DUMMYFUNCTION("""COMPUTED_VALUE"""),1796100.0)</f>
        <v>1796100</v>
      </c>
      <c r="G20" s="2">
        <f t="shared" si="1"/>
        <v>11.71</v>
      </c>
    </row>
    <row r="21" ht="15.75" customHeight="1">
      <c r="A21" s="1">
        <f>IFERROR(__xludf.DUMMYFUNCTION("""COMPUTED_VALUE"""),43859.66666666667)</f>
        <v>43859.66667</v>
      </c>
      <c r="B21" s="2">
        <f>IFERROR(__xludf.DUMMYFUNCTION("""COMPUTED_VALUE"""),308.2)</f>
        <v>308.2</v>
      </c>
      <c r="C21" s="2">
        <f>IFERROR(__xludf.DUMMYFUNCTION("""COMPUTED_VALUE"""),316.0)</f>
        <v>316</v>
      </c>
      <c r="D21" s="2">
        <f>IFERROR(__xludf.DUMMYFUNCTION("""COMPUTED_VALUE"""),308.2)</f>
        <v>308.2</v>
      </c>
      <c r="E21" s="2">
        <f>IFERROR(__xludf.DUMMYFUNCTION("""COMPUTED_VALUE"""),312.1)</f>
        <v>312.1</v>
      </c>
      <c r="F21" s="2">
        <f>IFERROR(__xludf.DUMMYFUNCTION("""COMPUTED_VALUE"""),9707300.0)</f>
        <v>9707300</v>
      </c>
      <c r="G21" s="2">
        <f t="shared" si="1"/>
        <v>9.75</v>
      </c>
    </row>
    <row r="22" ht="15.75" customHeight="1">
      <c r="A22" s="1">
        <f>IFERROR(__xludf.DUMMYFUNCTION("""COMPUTED_VALUE"""),43860.66666666667)</f>
        <v>43860.66667</v>
      </c>
      <c r="B22" s="2">
        <f>IFERROR(__xludf.DUMMYFUNCTION("""COMPUTED_VALUE"""),312.1)</f>
        <v>312.1</v>
      </c>
      <c r="C22" s="2">
        <f>IFERROR(__xludf.DUMMYFUNCTION("""COMPUTED_VALUE"""),314.05)</f>
        <v>314.05</v>
      </c>
      <c r="D22" s="2">
        <f>IFERROR(__xludf.DUMMYFUNCTION("""COMPUTED_VALUE"""),306.25)</f>
        <v>306.25</v>
      </c>
      <c r="E22" s="2">
        <f>IFERROR(__xludf.DUMMYFUNCTION("""COMPUTED_VALUE"""),306.25)</f>
        <v>306.25</v>
      </c>
      <c r="F22" s="2">
        <f>IFERROR(__xludf.DUMMYFUNCTION("""COMPUTED_VALUE"""),1860000.0)</f>
        <v>1860000</v>
      </c>
      <c r="G22" s="2">
        <f t="shared" si="1"/>
        <v>7.8</v>
      </c>
    </row>
    <row r="23" ht="15.75" customHeight="1">
      <c r="A23" s="1">
        <f>IFERROR(__xludf.DUMMYFUNCTION("""COMPUTED_VALUE"""),43861.66666666667)</f>
        <v>43861.66667</v>
      </c>
      <c r="B23" s="2">
        <f>IFERROR(__xludf.DUMMYFUNCTION("""COMPUTED_VALUE"""),306.25)</f>
        <v>306.25</v>
      </c>
      <c r="C23" s="2">
        <f>IFERROR(__xludf.DUMMYFUNCTION("""COMPUTED_VALUE"""),308.2)</f>
        <v>308.2</v>
      </c>
      <c r="D23" s="2">
        <f>IFERROR(__xludf.DUMMYFUNCTION("""COMPUTED_VALUE"""),300.4)</f>
        <v>300.4</v>
      </c>
      <c r="E23" s="2">
        <f>IFERROR(__xludf.DUMMYFUNCTION("""COMPUTED_VALUE"""),302.35)</f>
        <v>302.35</v>
      </c>
      <c r="F23" s="2">
        <f>IFERROR(__xludf.DUMMYFUNCTION("""COMPUTED_VALUE"""),2681700.0)</f>
        <v>2681700</v>
      </c>
      <c r="G23" s="2">
        <f t="shared" si="1"/>
        <v>7.8</v>
      </c>
    </row>
    <row r="24" ht="15.75" customHeight="1">
      <c r="A24" s="1">
        <f>IFERROR(__xludf.DUMMYFUNCTION("""COMPUTED_VALUE"""),43864.66666666667)</f>
        <v>43864.66667</v>
      </c>
      <c r="B24" s="2">
        <f>IFERROR(__xludf.DUMMYFUNCTION("""COMPUTED_VALUE"""),302.35)</f>
        <v>302.35</v>
      </c>
      <c r="C24" s="2">
        <f>IFERROR(__xludf.DUMMYFUNCTION("""COMPUTED_VALUE"""),302.35)</f>
        <v>302.35</v>
      </c>
      <c r="D24" s="2">
        <f>IFERROR(__xludf.DUMMYFUNCTION("""COMPUTED_VALUE"""),296.49)</f>
        <v>296.49</v>
      </c>
      <c r="E24" s="2">
        <f>IFERROR(__xludf.DUMMYFUNCTION("""COMPUTED_VALUE"""),298.44)</f>
        <v>298.44</v>
      </c>
      <c r="F24" s="2">
        <f>IFERROR(__xludf.DUMMYFUNCTION("""COMPUTED_VALUE"""),4105200.0)</f>
        <v>4105200</v>
      </c>
      <c r="G24" s="2">
        <f t="shared" si="1"/>
        <v>5.86</v>
      </c>
    </row>
    <row r="25" ht="15.75" customHeight="1">
      <c r="A25" s="1">
        <f>IFERROR(__xludf.DUMMYFUNCTION("""COMPUTED_VALUE"""),43865.66666666667)</f>
        <v>43865.66667</v>
      </c>
      <c r="B25" s="2">
        <f>IFERROR(__xludf.DUMMYFUNCTION("""COMPUTED_VALUE"""),298.44)</f>
        <v>298.44</v>
      </c>
      <c r="C25" s="2">
        <f>IFERROR(__xludf.DUMMYFUNCTION("""COMPUTED_VALUE"""),304.3)</f>
        <v>304.3</v>
      </c>
      <c r="D25" s="2">
        <f>IFERROR(__xludf.DUMMYFUNCTION("""COMPUTED_VALUE"""),298.44)</f>
        <v>298.44</v>
      </c>
      <c r="E25" s="2">
        <f>IFERROR(__xludf.DUMMYFUNCTION("""COMPUTED_VALUE"""),302.35)</f>
        <v>302.35</v>
      </c>
      <c r="F25" s="2">
        <f>IFERROR(__xludf.DUMMYFUNCTION("""COMPUTED_VALUE"""),1928300.0)</f>
        <v>1928300</v>
      </c>
      <c r="G25" s="2">
        <f t="shared" si="1"/>
        <v>5.86</v>
      </c>
    </row>
    <row r="26" ht="15.75" customHeight="1">
      <c r="A26" s="1">
        <f>IFERROR(__xludf.DUMMYFUNCTION("""COMPUTED_VALUE"""),43866.66666666667)</f>
        <v>43866.66667</v>
      </c>
      <c r="B26" s="2">
        <f>IFERROR(__xludf.DUMMYFUNCTION("""COMPUTED_VALUE"""),304.3)</f>
        <v>304.3</v>
      </c>
      <c r="C26" s="2">
        <f>IFERROR(__xludf.DUMMYFUNCTION("""COMPUTED_VALUE"""),306.25)</f>
        <v>306.25</v>
      </c>
      <c r="D26" s="2">
        <f>IFERROR(__xludf.DUMMYFUNCTION("""COMPUTED_VALUE"""),302.35)</f>
        <v>302.35</v>
      </c>
      <c r="E26" s="2">
        <f>IFERROR(__xludf.DUMMYFUNCTION("""COMPUTED_VALUE"""),304.3)</f>
        <v>304.3</v>
      </c>
      <c r="F26" s="2">
        <f>IFERROR(__xludf.DUMMYFUNCTION("""COMPUTED_VALUE"""),1109600.0)</f>
        <v>1109600</v>
      </c>
      <c r="G26" s="2">
        <f t="shared" si="1"/>
        <v>3.9</v>
      </c>
    </row>
    <row r="27" ht="15.75" customHeight="1">
      <c r="A27" s="1">
        <f>IFERROR(__xludf.DUMMYFUNCTION("""COMPUTED_VALUE"""),43867.66666666667)</f>
        <v>43867.66667</v>
      </c>
      <c r="B27" s="2">
        <f>IFERROR(__xludf.DUMMYFUNCTION("""COMPUTED_VALUE"""),306.25)</f>
        <v>306.25</v>
      </c>
      <c r="C27" s="2">
        <f>IFERROR(__xludf.DUMMYFUNCTION("""COMPUTED_VALUE"""),310.15)</f>
        <v>310.15</v>
      </c>
      <c r="D27" s="2">
        <f>IFERROR(__xludf.DUMMYFUNCTION("""COMPUTED_VALUE"""),304.3)</f>
        <v>304.3</v>
      </c>
      <c r="E27" s="2">
        <f>IFERROR(__xludf.DUMMYFUNCTION("""COMPUTED_VALUE"""),308.2)</f>
        <v>308.2</v>
      </c>
      <c r="F27" s="2">
        <f>IFERROR(__xludf.DUMMYFUNCTION("""COMPUTED_VALUE"""),2201300.0)</f>
        <v>2201300</v>
      </c>
      <c r="G27" s="2">
        <f t="shared" si="1"/>
        <v>5.85</v>
      </c>
    </row>
    <row r="28" ht="15.75" customHeight="1">
      <c r="A28" s="1">
        <f>IFERROR(__xludf.DUMMYFUNCTION("""COMPUTED_VALUE"""),43868.66666666667)</f>
        <v>43868.66667</v>
      </c>
      <c r="B28" s="2">
        <f>IFERROR(__xludf.DUMMYFUNCTION("""COMPUTED_VALUE"""),308.2)</f>
        <v>308.2</v>
      </c>
      <c r="C28" s="2">
        <f>IFERROR(__xludf.DUMMYFUNCTION("""COMPUTED_VALUE"""),317.95)</f>
        <v>317.95</v>
      </c>
      <c r="D28" s="2">
        <f>IFERROR(__xludf.DUMMYFUNCTION("""COMPUTED_VALUE"""),308.2)</f>
        <v>308.2</v>
      </c>
      <c r="E28" s="2">
        <f>IFERROR(__xludf.DUMMYFUNCTION("""COMPUTED_VALUE"""),316.0)</f>
        <v>316</v>
      </c>
      <c r="F28" s="2">
        <f>IFERROR(__xludf.DUMMYFUNCTION("""COMPUTED_VALUE"""),3480400.0)</f>
        <v>3480400</v>
      </c>
      <c r="G28" s="2">
        <f t="shared" si="1"/>
        <v>9.75</v>
      </c>
    </row>
    <row r="29" ht="15.75" customHeight="1">
      <c r="A29" s="1">
        <f>IFERROR(__xludf.DUMMYFUNCTION("""COMPUTED_VALUE"""),43871.66666666667)</f>
        <v>43871.66667</v>
      </c>
      <c r="B29" s="2">
        <f>IFERROR(__xludf.DUMMYFUNCTION("""COMPUTED_VALUE"""),316.0)</f>
        <v>316</v>
      </c>
      <c r="C29" s="2">
        <f>IFERROR(__xludf.DUMMYFUNCTION("""COMPUTED_VALUE"""),316.0)</f>
        <v>316</v>
      </c>
      <c r="D29" s="2">
        <f>IFERROR(__xludf.DUMMYFUNCTION("""COMPUTED_VALUE"""),306.25)</f>
        <v>306.25</v>
      </c>
      <c r="E29" s="2">
        <f>IFERROR(__xludf.DUMMYFUNCTION("""COMPUTED_VALUE"""),308.2)</f>
        <v>308.2</v>
      </c>
      <c r="F29" s="2">
        <f>IFERROR(__xludf.DUMMYFUNCTION("""COMPUTED_VALUE"""),2644200.0)</f>
        <v>2644200</v>
      </c>
      <c r="G29" s="2">
        <f t="shared" si="1"/>
        <v>9.75</v>
      </c>
    </row>
    <row r="30" ht="15.75" customHeight="1">
      <c r="A30" s="1">
        <f>IFERROR(__xludf.DUMMYFUNCTION("""COMPUTED_VALUE"""),43872.66666666667)</f>
        <v>43872.66667</v>
      </c>
      <c r="B30" s="2">
        <f>IFERROR(__xludf.DUMMYFUNCTION("""COMPUTED_VALUE"""),308.2)</f>
        <v>308.2</v>
      </c>
      <c r="C30" s="2">
        <f>IFERROR(__xludf.DUMMYFUNCTION("""COMPUTED_VALUE"""),316.0)</f>
        <v>316</v>
      </c>
      <c r="D30" s="2">
        <f>IFERROR(__xludf.DUMMYFUNCTION("""COMPUTED_VALUE"""),306.25)</f>
        <v>306.25</v>
      </c>
      <c r="E30" s="2">
        <f>IFERROR(__xludf.DUMMYFUNCTION("""COMPUTED_VALUE"""),308.2)</f>
        <v>308.2</v>
      </c>
      <c r="F30" s="2">
        <f>IFERROR(__xludf.DUMMYFUNCTION("""COMPUTED_VALUE"""),2150800.0)</f>
        <v>2150800</v>
      </c>
      <c r="G30" s="2">
        <f t="shared" si="1"/>
        <v>9.75</v>
      </c>
    </row>
    <row r="31" ht="15.75" customHeight="1">
      <c r="A31" s="1">
        <f>IFERROR(__xludf.DUMMYFUNCTION("""COMPUTED_VALUE"""),43873.66666666667)</f>
        <v>43873.66667</v>
      </c>
      <c r="B31" s="2">
        <f>IFERROR(__xludf.DUMMYFUNCTION("""COMPUTED_VALUE"""),308.2)</f>
        <v>308.2</v>
      </c>
      <c r="C31" s="2">
        <f>IFERROR(__xludf.DUMMYFUNCTION("""COMPUTED_VALUE"""),312.1)</f>
        <v>312.1</v>
      </c>
      <c r="D31" s="2">
        <f>IFERROR(__xludf.DUMMYFUNCTION("""COMPUTED_VALUE"""),304.3)</f>
        <v>304.3</v>
      </c>
      <c r="E31" s="2">
        <f>IFERROR(__xludf.DUMMYFUNCTION("""COMPUTED_VALUE"""),304.3)</f>
        <v>304.3</v>
      </c>
      <c r="F31" s="2">
        <f>IFERROR(__xludf.DUMMYFUNCTION("""COMPUTED_VALUE"""),1147000.0)</f>
        <v>1147000</v>
      </c>
      <c r="G31" s="2">
        <f t="shared" si="1"/>
        <v>7.8</v>
      </c>
    </row>
    <row r="32" ht="15.75" customHeight="1">
      <c r="A32" s="1">
        <f>IFERROR(__xludf.DUMMYFUNCTION("""COMPUTED_VALUE"""),43874.66666666667)</f>
        <v>43874.66667</v>
      </c>
      <c r="B32" s="2">
        <f>IFERROR(__xludf.DUMMYFUNCTION("""COMPUTED_VALUE"""),304.3)</f>
        <v>304.3</v>
      </c>
      <c r="C32" s="2">
        <f>IFERROR(__xludf.DUMMYFUNCTION("""COMPUTED_VALUE"""),304.3)</f>
        <v>304.3</v>
      </c>
      <c r="D32" s="2">
        <f>IFERROR(__xludf.DUMMYFUNCTION("""COMPUTED_VALUE"""),290.64)</f>
        <v>290.64</v>
      </c>
      <c r="E32" s="2">
        <f>IFERROR(__xludf.DUMMYFUNCTION("""COMPUTED_VALUE"""),298.44)</f>
        <v>298.44</v>
      </c>
      <c r="F32" s="2">
        <f>IFERROR(__xludf.DUMMYFUNCTION("""COMPUTED_VALUE"""),4421600.0)</f>
        <v>4421600</v>
      </c>
      <c r="G32" s="2">
        <f t="shared" si="1"/>
        <v>13.66</v>
      </c>
    </row>
    <row r="33" ht="15.75" customHeight="1">
      <c r="A33" s="1">
        <f>IFERROR(__xludf.DUMMYFUNCTION("""COMPUTED_VALUE"""),43875.66666666667)</f>
        <v>43875.66667</v>
      </c>
      <c r="B33" s="2">
        <f>IFERROR(__xludf.DUMMYFUNCTION("""COMPUTED_VALUE"""),298.44)</f>
        <v>298.44</v>
      </c>
      <c r="C33" s="2">
        <f>IFERROR(__xludf.DUMMYFUNCTION("""COMPUTED_VALUE"""),298.44)</f>
        <v>298.44</v>
      </c>
      <c r="D33" s="2">
        <f>IFERROR(__xludf.DUMMYFUNCTION("""COMPUTED_VALUE"""),290.64)</f>
        <v>290.64</v>
      </c>
      <c r="E33" s="2">
        <f>IFERROR(__xludf.DUMMYFUNCTION("""COMPUTED_VALUE"""),294.54)</f>
        <v>294.54</v>
      </c>
      <c r="F33" s="2">
        <f>IFERROR(__xludf.DUMMYFUNCTION("""COMPUTED_VALUE"""),4453500.0)</f>
        <v>4453500</v>
      </c>
      <c r="G33" s="2">
        <f t="shared" si="1"/>
        <v>7.8</v>
      </c>
    </row>
    <row r="34" ht="15.75" customHeight="1">
      <c r="A34" s="1">
        <f>IFERROR(__xludf.DUMMYFUNCTION("""COMPUTED_VALUE"""),43878.66666666667)</f>
        <v>43878.66667</v>
      </c>
      <c r="B34" s="2">
        <f>IFERROR(__xludf.DUMMYFUNCTION("""COMPUTED_VALUE"""),294.54)</f>
        <v>294.54</v>
      </c>
      <c r="C34" s="2">
        <f>IFERROR(__xludf.DUMMYFUNCTION("""COMPUTED_VALUE"""),300.4)</f>
        <v>300.4</v>
      </c>
      <c r="D34" s="2">
        <f>IFERROR(__xludf.DUMMYFUNCTION("""COMPUTED_VALUE"""),292.59)</f>
        <v>292.59</v>
      </c>
      <c r="E34" s="2">
        <f>IFERROR(__xludf.DUMMYFUNCTION("""COMPUTED_VALUE"""),296.49)</f>
        <v>296.49</v>
      </c>
      <c r="F34" s="2">
        <f>IFERROR(__xludf.DUMMYFUNCTION("""COMPUTED_VALUE"""),2069500.0)</f>
        <v>2069500</v>
      </c>
      <c r="G34" s="2">
        <f t="shared" si="1"/>
        <v>7.81</v>
      </c>
    </row>
    <row r="35" ht="15.75" customHeight="1">
      <c r="A35" s="1">
        <f>IFERROR(__xludf.DUMMYFUNCTION("""COMPUTED_VALUE"""),43879.66666666667)</f>
        <v>43879.66667</v>
      </c>
      <c r="B35" s="2">
        <f>IFERROR(__xludf.DUMMYFUNCTION("""COMPUTED_VALUE"""),296.49)</f>
        <v>296.49</v>
      </c>
      <c r="C35" s="2">
        <f>IFERROR(__xludf.DUMMYFUNCTION("""COMPUTED_VALUE"""),298.44)</f>
        <v>298.44</v>
      </c>
      <c r="D35" s="2">
        <f>IFERROR(__xludf.DUMMYFUNCTION("""COMPUTED_VALUE"""),294.54)</f>
        <v>294.54</v>
      </c>
      <c r="E35" s="2">
        <f>IFERROR(__xludf.DUMMYFUNCTION("""COMPUTED_VALUE"""),296.49)</f>
        <v>296.49</v>
      </c>
      <c r="F35" s="2">
        <f>IFERROR(__xludf.DUMMYFUNCTION("""COMPUTED_VALUE"""),2490300.0)</f>
        <v>2490300</v>
      </c>
      <c r="G35" s="2">
        <f t="shared" si="1"/>
        <v>3.9</v>
      </c>
    </row>
    <row r="36" ht="15.75" customHeight="1">
      <c r="A36" s="1">
        <f>IFERROR(__xludf.DUMMYFUNCTION("""COMPUTED_VALUE"""),43880.66666666667)</f>
        <v>43880.66667</v>
      </c>
      <c r="B36" s="2">
        <f>IFERROR(__xludf.DUMMYFUNCTION("""COMPUTED_VALUE"""),300.4)</f>
        <v>300.4</v>
      </c>
      <c r="C36" s="2">
        <f>IFERROR(__xludf.DUMMYFUNCTION("""COMPUTED_VALUE"""),300.4)</f>
        <v>300.4</v>
      </c>
      <c r="D36" s="2">
        <f>IFERROR(__xludf.DUMMYFUNCTION("""COMPUTED_VALUE"""),294.54)</f>
        <v>294.54</v>
      </c>
      <c r="E36" s="2">
        <f>IFERROR(__xludf.DUMMYFUNCTION("""COMPUTED_VALUE"""),296.49)</f>
        <v>296.49</v>
      </c>
      <c r="F36" s="2">
        <f>IFERROR(__xludf.DUMMYFUNCTION("""COMPUTED_VALUE"""),2651800.0)</f>
        <v>2651800</v>
      </c>
      <c r="G36" s="2">
        <f t="shared" si="1"/>
        <v>5.86</v>
      </c>
    </row>
    <row r="37" ht="15.75" customHeight="1">
      <c r="A37" s="1">
        <f>IFERROR(__xludf.DUMMYFUNCTION("""COMPUTED_VALUE"""),43881.66666666667)</f>
        <v>43881.66667</v>
      </c>
      <c r="B37" s="2">
        <f>IFERROR(__xludf.DUMMYFUNCTION("""COMPUTED_VALUE"""),294.54)</f>
        <v>294.54</v>
      </c>
      <c r="C37" s="2">
        <f>IFERROR(__xludf.DUMMYFUNCTION("""COMPUTED_VALUE"""),300.4)</f>
        <v>300.4</v>
      </c>
      <c r="D37" s="2">
        <f>IFERROR(__xludf.DUMMYFUNCTION("""COMPUTED_VALUE"""),294.54)</f>
        <v>294.54</v>
      </c>
      <c r="E37" s="2">
        <f>IFERROR(__xludf.DUMMYFUNCTION("""COMPUTED_VALUE"""),296.49)</f>
        <v>296.49</v>
      </c>
      <c r="F37" s="2">
        <f>IFERROR(__xludf.DUMMYFUNCTION("""COMPUTED_VALUE"""),851600.0)</f>
        <v>851600</v>
      </c>
      <c r="G37" s="2">
        <f t="shared" si="1"/>
        <v>5.86</v>
      </c>
    </row>
    <row r="38" ht="15.75" customHeight="1">
      <c r="A38" s="1">
        <f>IFERROR(__xludf.DUMMYFUNCTION("""COMPUTED_VALUE"""),43882.66666666667)</f>
        <v>43882.66667</v>
      </c>
      <c r="B38" s="2">
        <f>IFERROR(__xludf.DUMMYFUNCTION("""COMPUTED_VALUE"""),296.49)</f>
        <v>296.49</v>
      </c>
      <c r="C38" s="2">
        <f>IFERROR(__xludf.DUMMYFUNCTION("""COMPUTED_VALUE"""),296.49)</f>
        <v>296.49</v>
      </c>
      <c r="D38" s="2">
        <f>IFERROR(__xludf.DUMMYFUNCTION("""COMPUTED_VALUE"""),288.69)</f>
        <v>288.69</v>
      </c>
      <c r="E38" s="2">
        <f>IFERROR(__xludf.DUMMYFUNCTION("""COMPUTED_VALUE"""),292.59)</f>
        <v>292.59</v>
      </c>
      <c r="F38" s="2">
        <f>IFERROR(__xludf.DUMMYFUNCTION("""COMPUTED_VALUE"""),2442900.0)</f>
        <v>2442900</v>
      </c>
      <c r="G38" s="2">
        <f t="shared" si="1"/>
        <v>7.8</v>
      </c>
    </row>
    <row r="39" ht="15.75" customHeight="1">
      <c r="A39" s="1">
        <f>IFERROR(__xludf.DUMMYFUNCTION("""COMPUTED_VALUE"""),43885.66666666667)</f>
        <v>43885.66667</v>
      </c>
      <c r="B39" s="2">
        <f>IFERROR(__xludf.DUMMYFUNCTION("""COMPUTED_VALUE"""),292.59)</f>
        <v>292.59</v>
      </c>
      <c r="C39" s="2">
        <f>IFERROR(__xludf.DUMMYFUNCTION("""COMPUTED_VALUE"""),292.59)</f>
        <v>292.59</v>
      </c>
      <c r="D39" s="2">
        <f>IFERROR(__xludf.DUMMYFUNCTION("""COMPUTED_VALUE"""),280.89)</f>
        <v>280.89</v>
      </c>
      <c r="E39" s="2">
        <f>IFERROR(__xludf.DUMMYFUNCTION("""COMPUTED_VALUE"""),280.89)</f>
        <v>280.89</v>
      </c>
      <c r="F39" s="2">
        <f>IFERROR(__xludf.DUMMYFUNCTION("""COMPUTED_VALUE"""),8987900.0)</f>
        <v>8987900</v>
      </c>
      <c r="G39" s="2">
        <f t="shared" si="1"/>
        <v>11.7</v>
      </c>
    </row>
    <row r="40" ht="15.75" customHeight="1">
      <c r="A40" s="1">
        <f>IFERROR(__xludf.DUMMYFUNCTION("""COMPUTED_VALUE"""),43886.66666666667)</f>
        <v>43886.66667</v>
      </c>
      <c r="B40" s="2">
        <f>IFERROR(__xludf.DUMMYFUNCTION("""COMPUTED_VALUE"""),278.94)</f>
        <v>278.94</v>
      </c>
      <c r="C40" s="2">
        <f>IFERROR(__xludf.DUMMYFUNCTION("""COMPUTED_VALUE"""),278.94)</f>
        <v>278.94</v>
      </c>
      <c r="D40" s="2">
        <f>IFERROR(__xludf.DUMMYFUNCTION("""COMPUTED_VALUE"""),269.19)</f>
        <v>269.19</v>
      </c>
      <c r="E40" s="2">
        <f>IFERROR(__xludf.DUMMYFUNCTION("""COMPUTED_VALUE"""),271.14)</f>
        <v>271.14</v>
      </c>
      <c r="F40" s="2">
        <f>IFERROR(__xludf.DUMMYFUNCTION("""COMPUTED_VALUE"""),2514900.0)</f>
        <v>2514900</v>
      </c>
      <c r="G40" s="2">
        <f t="shared" si="1"/>
        <v>11.7</v>
      </c>
    </row>
    <row r="41" ht="15.75" customHeight="1">
      <c r="A41" s="1">
        <f>IFERROR(__xludf.DUMMYFUNCTION("""COMPUTED_VALUE"""),43887.66666666667)</f>
        <v>43887.66667</v>
      </c>
      <c r="B41" s="2">
        <f>IFERROR(__xludf.DUMMYFUNCTION("""COMPUTED_VALUE"""),271.14)</f>
        <v>271.14</v>
      </c>
      <c r="C41" s="2">
        <f>IFERROR(__xludf.DUMMYFUNCTION("""COMPUTED_VALUE"""),271.14)</f>
        <v>271.14</v>
      </c>
      <c r="D41" s="2">
        <f>IFERROR(__xludf.DUMMYFUNCTION("""COMPUTED_VALUE"""),251.63)</f>
        <v>251.63</v>
      </c>
      <c r="E41" s="2">
        <f>IFERROR(__xludf.DUMMYFUNCTION("""COMPUTED_VALUE"""),257.48)</f>
        <v>257.48</v>
      </c>
      <c r="F41" s="2">
        <f>IFERROR(__xludf.DUMMYFUNCTION("""COMPUTED_VALUE"""),8148800.0)</f>
        <v>8148800</v>
      </c>
      <c r="G41" s="2">
        <f t="shared" si="1"/>
        <v>19.51</v>
      </c>
    </row>
    <row r="42" ht="15.75" customHeight="1">
      <c r="A42" s="1">
        <f>IFERROR(__xludf.DUMMYFUNCTION("""COMPUTED_VALUE"""),43888.66666666667)</f>
        <v>43888.66667</v>
      </c>
      <c r="B42" s="2">
        <f>IFERROR(__xludf.DUMMYFUNCTION("""COMPUTED_VALUE"""),251.63)</f>
        <v>251.63</v>
      </c>
      <c r="C42" s="2">
        <f>IFERROR(__xludf.DUMMYFUNCTION("""COMPUTED_VALUE"""),257.48)</f>
        <v>257.48</v>
      </c>
      <c r="D42" s="2">
        <f>IFERROR(__xludf.DUMMYFUNCTION("""COMPUTED_VALUE"""),243.83)</f>
        <v>243.83</v>
      </c>
      <c r="E42" s="2">
        <f>IFERROR(__xludf.DUMMYFUNCTION("""COMPUTED_VALUE"""),245.78)</f>
        <v>245.78</v>
      </c>
      <c r="F42" s="2">
        <f>IFERROR(__xludf.DUMMYFUNCTION("""COMPUTED_VALUE"""),3746700.0)</f>
        <v>3746700</v>
      </c>
      <c r="G42" s="2">
        <f t="shared" si="1"/>
        <v>13.65</v>
      </c>
    </row>
    <row r="43" ht="15.75" customHeight="1">
      <c r="A43" s="1">
        <f>IFERROR(__xludf.DUMMYFUNCTION("""COMPUTED_VALUE"""),43889.66666666667)</f>
        <v>43889.66667</v>
      </c>
      <c r="B43" s="2">
        <f>IFERROR(__xludf.DUMMYFUNCTION("""COMPUTED_VALUE"""),226.27)</f>
        <v>226.27</v>
      </c>
      <c r="C43" s="2">
        <f>IFERROR(__xludf.DUMMYFUNCTION("""COMPUTED_VALUE"""),241.88)</f>
        <v>241.88</v>
      </c>
      <c r="D43" s="2">
        <f>IFERROR(__xludf.DUMMYFUNCTION("""COMPUTED_VALUE"""),197.01)</f>
        <v>197.01</v>
      </c>
      <c r="E43" s="2">
        <f>IFERROR(__xludf.DUMMYFUNCTION("""COMPUTED_VALUE"""),214.57)</f>
        <v>214.57</v>
      </c>
      <c r="F43" s="2">
        <f>IFERROR(__xludf.DUMMYFUNCTION("""COMPUTED_VALUE"""),1.40398E7)</f>
        <v>14039800</v>
      </c>
      <c r="G43" s="2">
        <f t="shared" si="1"/>
        <v>48.77</v>
      </c>
    </row>
    <row r="44" ht="15.75" customHeight="1">
      <c r="A44" s="1">
        <f>IFERROR(__xludf.DUMMYFUNCTION("""COMPUTED_VALUE"""),43892.66666666667)</f>
        <v>43892.66667</v>
      </c>
      <c r="B44" s="2">
        <f>IFERROR(__xludf.DUMMYFUNCTION("""COMPUTED_VALUE"""),218.47)</f>
        <v>218.47</v>
      </c>
      <c r="C44" s="2">
        <f>IFERROR(__xludf.DUMMYFUNCTION("""COMPUTED_VALUE"""),218.47)</f>
        <v>218.47</v>
      </c>
      <c r="D44" s="2">
        <f>IFERROR(__xludf.DUMMYFUNCTION("""COMPUTED_VALUE"""),195.06)</f>
        <v>195.06</v>
      </c>
      <c r="E44" s="2">
        <f>IFERROR(__xludf.DUMMYFUNCTION("""COMPUTED_VALUE"""),200.91)</f>
        <v>200.91</v>
      </c>
      <c r="F44" s="2">
        <f>IFERROR(__xludf.DUMMYFUNCTION("""COMPUTED_VALUE"""),9719100.0)</f>
        <v>9719100</v>
      </c>
      <c r="G44" s="2">
        <f t="shared" si="1"/>
        <v>23.41</v>
      </c>
    </row>
    <row r="45" ht="15.75" customHeight="1">
      <c r="A45" s="1">
        <f>IFERROR(__xludf.DUMMYFUNCTION("""COMPUTED_VALUE"""),43893.66666666667)</f>
        <v>43893.66667</v>
      </c>
      <c r="B45" s="2">
        <f>IFERROR(__xludf.DUMMYFUNCTION("""COMPUTED_VALUE"""),200.91)</f>
        <v>200.91</v>
      </c>
      <c r="C45" s="2">
        <f>IFERROR(__xludf.DUMMYFUNCTION("""COMPUTED_VALUE"""),210.67)</f>
        <v>210.67</v>
      </c>
      <c r="D45" s="2">
        <f>IFERROR(__xludf.DUMMYFUNCTION("""COMPUTED_VALUE"""),195.06)</f>
        <v>195.06</v>
      </c>
      <c r="E45" s="2">
        <f>IFERROR(__xludf.DUMMYFUNCTION("""COMPUTED_VALUE"""),195.06)</f>
        <v>195.06</v>
      </c>
      <c r="F45" s="2">
        <f>IFERROR(__xludf.DUMMYFUNCTION("""COMPUTED_VALUE"""),1.64418E7)</f>
        <v>16441800</v>
      </c>
      <c r="G45" s="2">
        <f t="shared" si="1"/>
        <v>15.61</v>
      </c>
    </row>
    <row r="46" ht="15.75" customHeight="1">
      <c r="A46" s="1">
        <f>IFERROR(__xludf.DUMMYFUNCTION("""COMPUTED_VALUE"""),43894.66666666667)</f>
        <v>43894.66667</v>
      </c>
      <c r="B46" s="2">
        <f>IFERROR(__xludf.DUMMYFUNCTION("""COMPUTED_VALUE"""),197.01)</f>
        <v>197.01</v>
      </c>
      <c r="C46" s="2">
        <f>IFERROR(__xludf.DUMMYFUNCTION("""COMPUTED_VALUE"""),206.77)</f>
        <v>206.77</v>
      </c>
      <c r="D46" s="2">
        <f>IFERROR(__xludf.DUMMYFUNCTION("""COMPUTED_VALUE"""),193.11)</f>
        <v>193.11</v>
      </c>
      <c r="E46" s="2">
        <f>IFERROR(__xludf.DUMMYFUNCTION("""COMPUTED_VALUE"""),198.96)</f>
        <v>198.96</v>
      </c>
      <c r="F46" s="2">
        <f>IFERROR(__xludf.DUMMYFUNCTION("""COMPUTED_VALUE"""),4.20148E7)</f>
        <v>42014800</v>
      </c>
      <c r="G46" s="2">
        <f t="shared" si="1"/>
        <v>13.66</v>
      </c>
    </row>
    <row r="47" ht="15.75" customHeight="1">
      <c r="A47" s="1">
        <f>IFERROR(__xludf.DUMMYFUNCTION("""COMPUTED_VALUE"""),43895.66666666667)</f>
        <v>43895.66667</v>
      </c>
      <c r="B47" s="2">
        <f>IFERROR(__xludf.DUMMYFUNCTION("""COMPUTED_VALUE"""),202.86)</f>
        <v>202.86</v>
      </c>
      <c r="C47" s="2">
        <f>IFERROR(__xludf.DUMMYFUNCTION("""COMPUTED_VALUE"""),247.73)</f>
        <v>247.73</v>
      </c>
      <c r="D47" s="2">
        <f>IFERROR(__xludf.DUMMYFUNCTION("""COMPUTED_VALUE"""),198.96)</f>
        <v>198.96</v>
      </c>
      <c r="E47" s="2">
        <f>IFERROR(__xludf.DUMMYFUNCTION("""COMPUTED_VALUE"""),247.73)</f>
        <v>247.73</v>
      </c>
      <c r="F47" s="2">
        <f>IFERROR(__xludf.DUMMYFUNCTION("""COMPUTED_VALUE"""),5.23012E7)</f>
        <v>52301200</v>
      </c>
      <c r="G47" s="2">
        <f t="shared" si="1"/>
        <v>48.77</v>
      </c>
    </row>
    <row r="48" ht="15.75" customHeight="1">
      <c r="A48" s="1">
        <f>IFERROR(__xludf.DUMMYFUNCTION("""COMPUTED_VALUE"""),43896.66666666667)</f>
        <v>43896.66667</v>
      </c>
      <c r="B48" s="2">
        <f>IFERROR(__xludf.DUMMYFUNCTION("""COMPUTED_VALUE"""),253.58)</f>
        <v>253.58</v>
      </c>
      <c r="C48" s="2">
        <f>IFERROR(__xludf.DUMMYFUNCTION("""COMPUTED_VALUE"""),267.23)</f>
        <v>267.23</v>
      </c>
      <c r="D48" s="2">
        <f>IFERROR(__xludf.DUMMYFUNCTION("""COMPUTED_VALUE"""),237.98)</f>
        <v>237.98</v>
      </c>
      <c r="E48" s="2">
        <f>IFERROR(__xludf.DUMMYFUNCTION("""COMPUTED_VALUE"""),243.83)</f>
        <v>243.83</v>
      </c>
      <c r="F48" s="2">
        <f>IFERROR(__xludf.DUMMYFUNCTION("""COMPUTED_VALUE"""),5.99986E7)</f>
        <v>59998600</v>
      </c>
      <c r="G48" s="2">
        <f t="shared" si="1"/>
        <v>29.25</v>
      </c>
    </row>
    <row r="49" ht="15.75" customHeight="1">
      <c r="A49" s="1">
        <f>IFERROR(__xludf.DUMMYFUNCTION("""COMPUTED_VALUE"""),43899.66666666667)</f>
        <v>43899.66667</v>
      </c>
      <c r="B49" s="2">
        <f>IFERROR(__xludf.DUMMYFUNCTION("""COMPUTED_VALUE"""),224.32)</f>
        <v>224.32</v>
      </c>
      <c r="C49" s="2">
        <f>IFERROR(__xludf.DUMMYFUNCTION("""COMPUTED_VALUE"""),243.83)</f>
        <v>243.83</v>
      </c>
      <c r="D49" s="2">
        <f>IFERROR(__xludf.DUMMYFUNCTION("""COMPUTED_VALUE"""),208.72)</f>
        <v>208.72</v>
      </c>
      <c r="E49" s="2">
        <f>IFERROR(__xludf.DUMMYFUNCTION("""COMPUTED_VALUE"""),208.72)</f>
        <v>208.72</v>
      </c>
      <c r="F49" s="2">
        <f>IFERROR(__xludf.DUMMYFUNCTION("""COMPUTED_VALUE"""),1.74196E7)</f>
        <v>17419600</v>
      </c>
      <c r="G49" s="2">
        <f t="shared" si="1"/>
        <v>35.11</v>
      </c>
    </row>
    <row r="50" ht="15.75" customHeight="1">
      <c r="A50" s="1">
        <f>IFERROR(__xludf.DUMMYFUNCTION("""COMPUTED_VALUE"""),43900.66666666667)</f>
        <v>43900.66667</v>
      </c>
      <c r="B50" s="2">
        <f>IFERROR(__xludf.DUMMYFUNCTION("""COMPUTED_VALUE"""),208.72)</f>
        <v>208.72</v>
      </c>
      <c r="C50" s="2">
        <f>IFERROR(__xludf.DUMMYFUNCTION("""COMPUTED_VALUE"""),255.53)</f>
        <v>255.53</v>
      </c>
      <c r="D50" s="2">
        <f>IFERROR(__xludf.DUMMYFUNCTION("""COMPUTED_VALUE"""),204.81)</f>
        <v>204.81</v>
      </c>
      <c r="E50" s="2">
        <f>IFERROR(__xludf.DUMMYFUNCTION("""COMPUTED_VALUE"""),243.83)</f>
        <v>243.83</v>
      </c>
      <c r="F50" s="2">
        <f>IFERROR(__xludf.DUMMYFUNCTION("""COMPUTED_VALUE"""),4.27533E7)</f>
        <v>42753300</v>
      </c>
      <c r="G50" s="2">
        <f t="shared" si="1"/>
        <v>50.72</v>
      </c>
    </row>
    <row r="51" ht="15.75" customHeight="1">
      <c r="A51" s="1">
        <f>IFERROR(__xludf.DUMMYFUNCTION("""COMPUTED_VALUE"""),43901.66666666667)</f>
        <v>43901.66667</v>
      </c>
      <c r="B51" s="2">
        <f>IFERROR(__xludf.DUMMYFUNCTION("""COMPUTED_VALUE"""),237.98)</f>
        <v>237.98</v>
      </c>
      <c r="C51" s="2">
        <f>IFERROR(__xludf.DUMMYFUNCTION("""COMPUTED_VALUE"""),259.43)</f>
        <v>259.43</v>
      </c>
      <c r="D51" s="2">
        <f>IFERROR(__xludf.DUMMYFUNCTION("""COMPUTED_VALUE"""),222.37)</f>
        <v>222.37</v>
      </c>
      <c r="E51" s="2">
        <f>IFERROR(__xludf.DUMMYFUNCTION("""COMPUTED_VALUE"""),230.17)</f>
        <v>230.17</v>
      </c>
      <c r="F51" s="2">
        <f>IFERROR(__xludf.DUMMYFUNCTION("""COMPUTED_VALUE"""),3.36736E7)</f>
        <v>33673600</v>
      </c>
      <c r="G51" s="2">
        <f t="shared" si="1"/>
        <v>37.06</v>
      </c>
    </row>
    <row r="52" ht="15.75" customHeight="1">
      <c r="A52" s="1">
        <f>IFERROR(__xludf.DUMMYFUNCTION("""COMPUTED_VALUE"""),43902.66666666667)</f>
        <v>43902.66667</v>
      </c>
      <c r="B52" s="2">
        <f>IFERROR(__xludf.DUMMYFUNCTION("""COMPUTED_VALUE"""),230.17)</f>
        <v>230.17</v>
      </c>
      <c r="C52" s="2">
        <f>IFERROR(__xludf.DUMMYFUNCTION("""COMPUTED_VALUE"""),230.17)</f>
        <v>230.17</v>
      </c>
      <c r="D52" s="2">
        <f>IFERROR(__xludf.DUMMYFUNCTION("""COMPUTED_VALUE"""),208.72)</f>
        <v>208.72</v>
      </c>
      <c r="E52" s="2">
        <f>IFERROR(__xludf.DUMMYFUNCTION("""COMPUTED_VALUE"""),208.72)</f>
        <v>208.72</v>
      </c>
      <c r="F52" s="2">
        <f>IFERROR(__xludf.DUMMYFUNCTION("""COMPUTED_VALUE"""),1.27636E7)</f>
        <v>12763600</v>
      </c>
      <c r="G52" s="2">
        <f t="shared" si="1"/>
        <v>21.45</v>
      </c>
    </row>
    <row r="53" ht="15.75" customHeight="1">
      <c r="A53" s="1">
        <f>IFERROR(__xludf.DUMMYFUNCTION("""COMPUTED_VALUE"""),43903.66666666667)</f>
        <v>43903.66667</v>
      </c>
      <c r="B53" s="2">
        <f>IFERROR(__xludf.DUMMYFUNCTION("""COMPUTED_VALUE"""),208.72)</f>
        <v>208.72</v>
      </c>
      <c r="C53" s="2">
        <f>IFERROR(__xludf.DUMMYFUNCTION("""COMPUTED_VALUE"""),214.57)</f>
        <v>214.57</v>
      </c>
      <c r="D53" s="2">
        <f>IFERROR(__xludf.DUMMYFUNCTION("""COMPUTED_VALUE"""),195.06)</f>
        <v>195.06</v>
      </c>
      <c r="E53" s="2">
        <f>IFERROR(__xludf.DUMMYFUNCTION("""COMPUTED_VALUE"""),206.77)</f>
        <v>206.77</v>
      </c>
      <c r="F53" s="2">
        <f>IFERROR(__xludf.DUMMYFUNCTION("""COMPUTED_VALUE"""),1.31871E7)</f>
        <v>13187100</v>
      </c>
      <c r="G53" s="2">
        <f t="shared" si="1"/>
        <v>19.51</v>
      </c>
    </row>
    <row r="54" ht="15.75" customHeight="1">
      <c r="A54" s="1">
        <f>IFERROR(__xludf.DUMMYFUNCTION("""COMPUTED_VALUE"""),43906.66666666667)</f>
        <v>43906.66667</v>
      </c>
      <c r="B54" s="2">
        <f>IFERROR(__xludf.DUMMYFUNCTION("""COMPUTED_VALUE"""),206.77)</f>
        <v>206.77</v>
      </c>
      <c r="C54" s="2">
        <f>IFERROR(__xludf.DUMMYFUNCTION("""COMPUTED_VALUE"""),206.77)</f>
        <v>206.77</v>
      </c>
      <c r="D54" s="2">
        <f>IFERROR(__xludf.DUMMYFUNCTION("""COMPUTED_VALUE"""),193.11)</f>
        <v>193.11</v>
      </c>
      <c r="E54" s="2">
        <f>IFERROR(__xludf.DUMMYFUNCTION("""COMPUTED_VALUE"""),193.11)</f>
        <v>193.11</v>
      </c>
      <c r="F54" s="2">
        <f>IFERROR(__xludf.DUMMYFUNCTION("""COMPUTED_VALUE"""),1.18E7)</f>
        <v>11800000</v>
      </c>
      <c r="G54" s="2">
        <f t="shared" si="1"/>
        <v>13.66</v>
      </c>
    </row>
    <row r="55" ht="15.75" customHeight="1">
      <c r="A55" s="1">
        <f>IFERROR(__xludf.DUMMYFUNCTION("""COMPUTED_VALUE"""),43907.66666666667)</f>
        <v>43907.66667</v>
      </c>
      <c r="B55" s="2">
        <f>IFERROR(__xludf.DUMMYFUNCTION("""COMPUTED_VALUE"""),190.19)</f>
        <v>190.19</v>
      </c>
      <c r="C55" s="2">
        <f>IFERROR(__xludf.DUMMYFUNCTION("""COMPUTED_VALUE"""),193.11)</f>
        <v>193.11</v>
      </c>
      <c r="D55" s="2">
        <f>IFERROR(__xludf.DUMMYFUNCTION("""COMPUTED_VALUE"""),180.43)</f>
        <v>180.43</v>
      </c>
      <c r="E55" s="2">
        <f>IFERROR(__xludf.DUMMYFUNCTION("""COMPUTED_VALUE"""),180.43)</f>
        <v>180.43</v>
      </c>
      <c r="F55" s="2">
        <f>IFERROR(__xludf.DUMMYFUNCTION("""COMPUTED_VALUE"""),5303100.0)</f>
        <v>5303100</v>
      </c>
      <c r="G55" s="2">
        <f t="shared" si="1"/>
        <v>12.68</v>
      </c>
    </row>
    <row r="56" ht="15.75" customHeight="1">
      <c r="A56" s="1">
        <f>IFERROR(__xludf.DUMMYFUNCTION("""COMPUTED_VALUE"""),43908.66666666667)</f>
        <v>43908.66667</v>
      </c>
      <c r="B56" s="2">
        <f>IFERROR(__xludf.DUMMYFUNCTION("""COMPUTED_VALUE"""),180.43)</f>
        <v>180.43</v>
      </c>
      <c r="C56" s="2">
        <f>IFERROR(__xludf.DUMMYFUNCTION("""COMPUTED_VALUE"""),180.43)</f>
        <v>180.43</v>
      </c>
      <c r="D56" s="2">
        <f>IFERROR(__xludf.DUMMYFUNCTION("""COMPUTED_VALUE"""),168.73)</f>
        <v>168.73</v>
      </c>
      <c r="E56" s="2">
        <f>IFERROR(__xludf.DUMMYFUNCTION("""COMPUTED_VALUE"""),168.73)</f>
        <v>168.73</v>
      </c>
      <c r="F56" s="2">
        <f>IFERROR(__xludf.DUMMYFUNCTION("""COMPUTED_VALUE"""),8581500.0)</f>
        <v>8581500</v>
      </c>
      <c r="G56" s="2">
        <f t="shared" si="1"/>
        <v>11.7</v>
      </c>
    </row>
    <row r="57" ht="15.75" customHeight="1">
      <c r="A57" s="1">
        <f>IFERROR(__xludf.DUMMYFUNCTION("""COMPUTED_VALUE"""),43909.66666666667)</f>
        <v>43909.66667</v>
      </c>
      <c r="B57" s="2">
        <f>IFERROR(__xludf.DUMMYFUNCTION("""COMPUTED_VALUE"""),157.02)</f>
        <v>157.02</v>
      </c>
      <c r="C57" s="2">
        <f>IFERROR(__xludf.DUMMYFUNCTION("""COMPUTED_VALUE"""),165.8)</f>
        <v>165.8</v>
      </c>
      <c r="D57" s="2">
        <f>IFERROR(__xludf.DUMMYFUNCTION("""COMPUTED_VALUE"""),157.02)</f>
        <v>157.02</v>
      </c>
      <c r="E57" s="2">
        <f>IFERROR(__xludf.DUMMYFUNCTION("""COMPUTED_VALUE"""),157.02)</f>
        <v>157.02</v>
      </c>
      <c r="F57" s="2">
        <f>IFERROR(__xludf.DUMMYFUNCTION("""COMPUTED_VALUE"""),664700.0)</f>
        <v>664700</v>
      </c>
      <c r="G57" s="2">
        <f t="shared" si="1"/>
        <v>11.71</v>
      </c>
    </row>
    <row r="58" ht="15.75" customHeight="1">
      <c r="A58" s="1">
        <f>IFERROR(__xludf.DUMMYFUNCTION("""COMPUTED_VALUE"""),43910.66666666667)</f>
        <v>43910.66667</v>
      </c>
      <c r="B58" s="2">
        <f>IFERROR(__xludf.DUMMYFUNCTION("""COMPUTED_VALUE"""),157.02)</f>
        <v>157.02</v>
      </c>
      <c r="C58" s="2">
        <f>IFERROR(__xludf.DUMMYFUNCTION("""COMPUTED_VALUE"""),158.98)</f>
        <v>158.98</v>
      </c>
      <c r="D58" s="2">
        <f>IFERROR(__xludf.DUMMYFUNCTION("""COMPUTED_VALUE"""),146.3)</f>
        <v>146.3</v>
      </c>
      <c r="E58" s="2">
        <f>IFERROR(__xludf.DUMMYFUNCTION("""COMPUTED_VALUE"""),151.17)</f>
        <v>151.17</v>
      </c>
      <c r="F58" s="2">
        <f>IFERROR(__xludf.DUMMYFUNCTION("""COMPUTED_VALUE"""),1.26023E7)</f>
        <v>12602300</v>
      </c>
      <c r="G58" s="2">
        <f t="shared" si="1"/>
        <v>12.68</v>
      </c>
    </row>
    <row r="59" ht="15.75" customHeight="1">
      <c r="A59" s="1">
        <f>IFERROR(__xludf.DUMMYFUNCTION("""COMPUTED_VALUE"""),43913.66666666667)</f>
        <v>43913.66667</v>
      </c>
      <c r="B59" s="2">
        <f>IFERROR(__xludf.DUMMYFUNCTION("""COMPUTED_VALUE"""),151.17)</f>
        <v>151.17</v>
      </c>
      <c r="C59" s="2">
        <f>IFERROR(__xludf.DUMMYFUNCTION("""COMPUTED_VALUE"""),151.17)</f>
        <v>151.17</v>
      </c>
      <c r="D59" s="2">
        <f>IFERROR(__xludf.DUMMYFUNCTION("""COMPUTED_VALUE"""),141.42)</f>
        <v>141.42</v>
      </c>
      <c r="E59" s="2">
        <f>IFERROR(__xludf.DUMMYFUNCTION("""COMPUTED_VALUE"""),141.42)</f>
        <v>141.42</v>
      </c>
      <c r="F59" s="2">
        <f>IFERROR(__xludf.DUMMYFUNCTION("""COMPUTED_VALUE"""),2504500.0)</f>
        <v>2504500</v>
      </c>
      <c r="G59" s="2">
        <f t="shared" si="1"/>
        <v>9.75</v>
      </c>
    </row>
    <row r="60" ht="15.75" customHeight="1">
      <c r="A60" s="1">
        <f>IFERROR(__xludf.DUMMYFUNCTION("""COMPUTED_VALUE"""),43914.66666666667)</f>
        <v>43914.66667</v>
      </c>
      <c r="B60" s="2">
        <f>IFERROR(__xludf.DUMMYFUNCTION("""COMPUTED_VALUE"""),132.64)</f>
        <v>132.64</v>
      </c>
      <c r="C60" s="2">
        <f>IFERROR(__xludf.DUMMYFUNCTION("""COMPUTED_VALUE"""),155.07)</f>
        <v>155.07</v>
      </c>
      <c r="D60" s="2">
        <f>IFERROR(__xludf.DUMMYFUNCTION("""COMPUTED_VALUE"""),131.67)</f>
        <v>131.67</v>
      </c>
      <c r="E60" s="2">
        <f>IFERROR(__xludf.DUMMYFUNCTION("""COMPUTED_VALUE"""),131.67)</f>
        <v>131.67</v>
      </c>
      <c r="F60" s="2">
        <f>IFERROR(__xludf.DUMMYFUNCTION("""COMPUTED_VALUE"""),1.866E7)</f>
        <v>18660000</v>
      </c>
      <c r="G60" s="2">
        <f t="shared" si="1"/>
        <v>23.4</v>
      </c>
    </row>
    <row r="61" ht="15.75" customHeight="1">
      <c r="A61" s="1">
        <f>IFERROR(__xludf.DUMMYFUNCTION("""COMPUTED_VALUE"""),43916.66666666667)</f>
        <v>43916.66667</v>
      </c>
      <c r="B61" s="2">
        <f>IFERROR(__xludf.DUMMYFUNCTION("""COMPUTED_VALUE"""),132.64)</f>
        <v>132.64</v>
      </c>
      <c r="C61" s="2">
        <f>IFERROR(__xludf.DUMMYFUNCTION("""COMPUTED_VALUE"""),166.78)</f>
        <v>166.78</v>
      </c>
      <c r="D61" s="2">
        <f>IFERROR(__xludf.DUMMYFUNCTION("""COMPUTED_VALUE"""),131.67)</f>
        <v>131.67</v>
      </c>
      <c r="E61" s="2">
        <f>IFERROR(__xludf.DUMMYFUNCTION("""COMPUTED_VALUE"""),156.05)</f>
        <v>156.05</v>
      </c>
      <c r="F61" s="2">
        <f>IFERROR(__xludf.DUMMYFUNCTION("""COMPUTED_VALUE"""),2.811E7)</f>
        <v>28110000</v>
      </c>
      <c r="G61" s="2">
        <f t="shared" si="1"/>
        <v>35.11</v>
      </c>
    </row>
    <row r="62" ht="15.75" customHeight="1">
      <c r="A62" s="1">
        <f>IFERROR(__xludf.DUMMYFUNCTION("""COMPUTED_VALUE"""),43917.66666666667)</f>
        <v>43917.66667</v>
      </c>
      <c r="B62" s="2">
        <f>IFERROR(__xludf.DUMMYFUNCTION("""COMPUTED_VALUE"""),159.95)</f>
        <v>159.95</v>
      </c>
      <c r="C62" s="2">
        <f>IFERROR(__xludf.DUMMYFUNCTION("""COMPUTED_VALUE"""),208.72)</f>
        <v>208.72</v>
      </c>
      <c r="D62" s="2">
        <f>IFERROR(__xludf.DUMMYFUNCTION("""COMPUTED_VALUE"""),159.95)</f>
        <v>159.95</v>
      </c>
      <c r="E62" s="2">
        <f>IFERROR(__xludf.DUMMYFUNCTION("""COMPUTED_VALUE"""),193.11)</f>
        <v>193.11</v>
      </c>
      <c r="F62" s="2">
        <f>IFERROR(__xludf.DUMMYFUNCTION("""COMPUTED_VALUE"""),4.48464E7)</f>
        <v>44846400</v>
      </c>
      <c r="G62" s="2">
        <f t="shared" si="1"/>
        <v>52.67</v>
      </c>
    </row>
    <row r="63" ht="15.75" customHeight="1">
      <c r="A63" s="1">
        <f>IFERROR(__xludf.DUMMYFUNCTION("""COMPUTED_VALUE"""),43920.66666666667)</f>
        <v>43920.66667</v>
      </c>
      <c r="B63" s="2">
        <f>IFERROR(__xludf.DUMMYFUNCTION("""COMPUTED_VALUE"""),189.21)</f>
        <v>189.21</v>
      </c>
      <c r="C63" s="2">
        <f>IFERROR(__xludf.DUMMYFUNCTION("""COMPUTED_VALUE"""),212.62)</f>
        <v>212.62</v>
      </c>
      <c r="D63" s="2">
        <f>IFERROR(__xludf.DUMMYFUNCTION("""COMPUTED_VALUE"""),180.43)</f>
        <v>180.43</v>
      </c>
      <c r="E63" s="2">
        <f>IFERROR(__xludf.DUMMYFUNCTION("""COMPUTED_VALUE"""),183.36)</f>
        <v>183.36</v>
      </c>
      <c r="F63" s="2">
        <f>IFERROR(__xludf.DUMMYFUNCTION("""COMPUTED_VALUE"""),2.24516E7)</f>
        <v>22451600</v>
      </c>
      <c r="G63" s="2">
        <f t="shared" si="1"/>
        <v>32.19</v>
      </c>
    </row>
    <row r="64" ht="15.75" customHeight="1">
      <c r="A64" s="1">
        <f>IFERROR(__xludf.DUMMYFUNCTION("""COMPUTED_VALUE"""),43921.66666666667)</f>
        <v>43921.66667</v>
      </c>
      <c r="B64" s="2">
        <f>IFERROR(__xludf.DUMMYFUNCTION("""COMPUTED_VALUE"""),185.31)</f>
        <v>185.31</v>
      </c>
      <c r="C64" s="2">
        <f>IFERROR(__xludf.DUMMYFUNCTION("""COMPUTED_VALUE"""),204.81)</f>
        <v>204.81</v>
      </c>
      <c r="D64" s="2">
        <f>IFERROR(__xludf.DUMMYFUNCTION("""COMPUTED_VALUE"""),185.31)</f>
        <v>185.31</v>
      </c>
      <c r="E64" s="2">
        <f>IFERROR(__xludf.DUMMYFUNCTION("""COMPUTED_VALUE"""),191.16)</f>
        <v>191.16</v>
      </c>
      <c r="F64" s="2">
        <f>IFERROR(__xludf.DUMMYFUNCTION("""COMPUTED_VALUE"""),1.53759E7)</f>
        <v>15375900</v>
      </c>
      <c r="G64" s="2">
        <f t="shared" si="1"/>
        <v>21.45</v>
      </c>
    </row>
    <row r="65" ht="15.75" customHeight="1">
      <c r="A65" s="1">
        <f>IFERROR(__xludf.DUMMYFUNCTION("""COMPUTED_VALUE"""),43922.66666666667)</f>
        <v>43922.66667</v>
      </c>
      <c r="B65" s="2">
        <f>IFERROR(__xludf.DUMMYFUNCTION("""COMPUTED_VALUE"""),191.16)</f>
        <v>191.16</v>
      </c>
      <c r="C65" s="2">
        <f>IFERROR(__xludf.DUMMYFUNCTION("""COMPUTED_VALUE"""),198.96)</f>
        <v>198.96</v>
      </c>
      <c r="D65" s="2">
        <f>IFERROR(__xludf.DUMMYFUNCTION("""COMPUTED_VALUE"""),179.46)</f>
        <v>179.46</v>
      </c>
      <c r="E65" s="2">
        <f>IFERROR(__xludf.DUMMYFUNCTION("""COMPUTED_VALUE"""),180.43)</f>
        <v>180.43</v>
      </c>
      <c r="F65" s="2">
        <f>IFERROR(__xludf.DUMMYFUNCTION("""COMPUTED_VALUE"""),1.20378E7)</f>
        <v>12037800</v>
      </c>
      <c r="G65" s="2">
        <f t="shared" si="1"/>
        <v>19.5</v>
      </c>
    </row>
    <row r="66" ht="15.75" customHeight="1">
      <c r="A66" s="1">
        <f>IFERROR(__xludf.DUMMYFUNCTION("""COMPUTED_VALUE"""),43923.66666666667)</f>
        <v>43923.66667</v>
      </c>
      <c r="B66" s="2">
        <f>IFERROR(__xludf.DUMMYFUNCTION("""COMPUTED_VALUE"""),180.43)</f>
        <v>180.43</v>
      </c>
      <c r="C66" s="2">
        <f>IFERROR(__xludf.DUMMYFUNCTION("""COMPUTED_VALUE"""),188.23)</f>
        <v>188.23</v>
      </c>
      <c r="D66" s="2">
        <f>IFERROR(__xludf.DUMMYFUNCTION("""COMPUTED_VALUE"""),177.51)</f>
        <v>177.51</v>
      </c>
      <c r="E66" s="2">
        <f>IFERROR(__xludf.DUMMYFUNCTION("""COMPUTED_VALUE"""),184.33)</f>
        <v>184.33</v>
      </c>
      <c r="F66" s="2">
        <f>IFERROR(__xludf.DUMMYFUNCTION("""COMPUTED_VALUE"""),7756300.0)</f>
        <v>7756300</v>
      </c>
      <c r="G66" s="2">
        <f t="shared" si="1"/>
        <v>10.72</v>
      </c>
    </row>
    <row r="67" ht="15.75" customHeight="1">
      <c r="A67" s="1">
        <f>IFERROR(__xludf.DUMMYFUNCTION("""COMPUTED_VALUE"""),43924.66666666667)</f>
        <v>43924.66667</v>
      </c>
      <c r="B67" s="2">
        <f>IFERROR(__xludf.DUMMYFUNCTION("""COMPUTED_VALUE"""),190.19)</f>
        <v>190.19</v>
      </c>
      <c r="C67" s="2">
        <f>IFERROR(__xludf.DUMMYFUNCTION("""COMPUTED_VALUE"""),193.11)</f>
        <v>193.11</v>
      </c>
      <c r="D67" s="2">
        <f>IFERROR(__xludf.DUMMYFUNCTION("""COMPUTED_VALUE"""),185.31)</f>
        <v>185.31</v>
      </c>
      <c r="E67" s="2">
        <f>IFERROR(__xludf.DUMMYFUNCTION("""COMPUTED_VALUE"""),188.23)</f>
        <v>188.23</v>
      </c>
      <c r="F67" s="2">
        <f>IFERROR(__xludf.DUMMYFUNCTION("""COMPUTED_VALUE"""),1.24911E7)</f>
        <v>12491100</v>
      </c>
      <c r="G67" s="2">
        <f t="shared" si="1"/>
        <v>8.78</v>
      </c>
    </row>
    <row r="68" ht="15.75" customHeight="1">
      <c r="A68" s="1">
        <f>IFERROR(__xludf.DUMMYFUNCTION("""COMPUTED_VALUE"""),43927.66666666667)</f>
        <v>43927.66667</v>
      </c>
      <c r="B68" s="2">
        <f>IFERROR(__xludf.DUMMYFUNCTION("""COMPUTED_VALUE"""),191.16)</f>
        <v>191.16</v>
      </c>
      <c r="C68" s="2">
        <f>IFERROR(__xludf.DUMMYFUNCTION("""COMPUTED_VALUE"""),204.81)</f>
        <v>204.81</v>
      </c>
      <c r="D68" s="2">
        <f>IFERROR(__xludf.DUMMYFUNCTION("""COMPUTED_VALUE"""),191.16)</f>
        <v>191.16</v>
      </c>
      <c r="E68" s="2">
        <f>IFERROR(__xludf.DUMMYFUNCTION("""COMPUTED_VALUE"""),198.96)</f>
        <v>198.96</v>
      </c>
      <c r="F68" s="2">
        <f>IFERROR(__xludf.DUMMYFUNCTION("""COMPUTED_VALUE"""),2.81159E7)</f>
        <v>28115900</v>
      </c>
      <c r="G68" s="2">
        <f t="shared" si="1"/>
        <v>16.58</v>
      </c>
    </row>
    <row r="69" ht="15.75" customHeight="1">
      <c r="A69" s="1">
        <f>IFERROR(__xludf.DUMMYFUNCTION("""COMPUTED_VALUE"""),43928.66666666667)</f>
        <v>43928.66667</v>
      </c>
      <c r="B69" s="2">
        <f>IFERROR(__xludf.DUMMYFUNCTION("""COMPUTED_VALUE"""),204.81)</f>
        <v>204.81</v>
      </c>
      <c r="C69" s="2">
        <f>IFERROR(__xludf.DUMMYFUNCTION("""COMPUTED_VALUE"""),216.52)</f>
        <v>216.52</v>
      </c>
      <c r="D69" s="2">
        <f>IFERROR(__xludf.DUMMYFUNCTION("""COMPUTED_VALUE"""),192.14)</f>
        <v>192.14</v>
      </c>
      <c r="E69" s="2">
        <f>IFERROR(__xludf.DUMMYFUNCTION("""COMPUTED_VALUE"""),197.01)</f>
        <v>197.01</v>
      </c>
      <c r="F69" s="2">
        <f>IFERROR(__xludf.DUMMYFUNCTION("""COMPUTED_VALUE"""),2.32114E7)</f>
        <v>23211400</v>
      </c>
      <c r="G69" s="2">
        <f t="shared" si="1"/>
        <v>24.38</v>
      </c>
    </row>
    <row r="70" ht="15.75" customHeight="1">
      <c r="A70" s="1">
        <f>IFERROR(__xludf.DUMMYFUNCTION("""COMPUTED_VALUE"""),43929.66666666667)</f>
        <v>43929.66667</v>
      </c>
      <c r="B70" s="2">
        <f>IFERROR(__xludf.DUMMYFUNCTION("""COMPUTED_VALUE"""),198.96)</f>
        <v>198.96</v>
      </c>
      <c r="C70" s="2">
        <f>IFERROR(__xludf.DUMMYFUNCTION("""COMPUTED_VALUE"""),202.86)</f>
        <v>202.86</v>
      </c>
      <c r="D70" s="2">
        <f>IFERROR(__xludf.DUMMYFUNCTION("""COMPUTED_VALUE"""),185.31)</f>
        <v>185.31</v>
      </c>
      <c r="E70" s="2">
        <f>IFERROR(__xludf.DUMMYFUNCTION("""COMPUTED_VALUE"""),186.28)</f>
        <v>186.28</v>
      </c>
      <c r="F70" s="2">
        <f>IFERROR(__xludf.DUMMYFUNCTION("""COMPUTED_VALUE"""),1.02279E7)</f>
        <v>10227900</v>
      </c>
      <c r="G70" s="2">
        <f t="shared" si="1"/>
        <v>17.55</v>
      </c>
    </row>
    <row r="71" ht="15.75" customHeight="1">
      <c r="A71" s="1">
        <f>IFERROR(__xludf.DUMMYFUNCTION("""COMPUTED_VALUE"""),43930.66666666667)</f>
        <v>43930.66667</v>
      </c>
      <c r="B71" s="2">
        <f>IFERROR(__xludf.DUMMYFUNCTION("""COMPUTED_VALUE"""),190.19)</f>
        <v>190.19</v>
      </c>
      <c r="C71" s="2">
        <f>IFERROR(__xludf.DUMMYFUNCTION("""COMPUTED_VALUE"""),193.11)</f>
        <v>193.11</v>
      </c>
      <c r="D71" s="2">
        <f>IFERROR(__xludf.DUMMYFUNCTION("""COMPUTED_VALUE"""),184.33)</f>
        <v>184.33</v>
      </c>
      <c r="E71" s="2">
        <f>IFERROR(__xludf.DUMMYFUNCTION("""COMPUTED_VALUE"""),188.23)</f>
        <v>188.23</v>
      </c>
      <c r="F71" s="2">
        <f>IFERROR(__xludf.DUMMYFUNCTION("""COMPUTED_VALUE"""),6127100.0)</f>
        <v>6127100</v>
      </c>
      <c r="G71" s="2">
        <f t="shared" si="1"/>
        <v>8.78</v>
      </c>
    </row>
    <row r="72" ht="15.75" customHeight="1">
      <c r="A72" s="1">
        <f>IFERROR(__xludf.DUMMYFUNCTION("""COMPUTED_VALUE"""),43934.66666666667)</f>
        <v>43934.66667</v>
      </c>
      <c r="B72" s="2">
        <f>IFERROR(__xludf.DUMMYFUNCTION("""COMPUTED_VALUE"""),187.26)</f>
        <v>187.26</v>
      </c>
      <c r="C72" s="2">
        <f>IFERROR(__xludf.DUMMYFUNCTION("""COMPUTED_VALUE"""),206.77)</f>
        <v>206.77</v>
      </c>
      <c r="D72" s="2">
        <f>IFERROR(__xludf.DUMMYFUNCTION("""COMPUTED_VALUE"""),187.26)</f>
        <v>187.26</v>
      </c>
      <c r="E72" s="2">
        <f>IFERROR(__xludf.DUMMYFUNCTION("""COMPUTED_VALUE"""),195.06)</f>
        <v>195.06</v>
      </c>
      <c r="F72" s="2">
        <f>IFERROR(__xludf.DUMMYFUNCTION("""COMPUTED_VALUE"""),2.76885E7)</f>
        <v>27688500</v>
      </c>
      <c r="G72" s="2">
        <f t="shared" si="1"/>
        <v>19.51</v>
      </c>
    </row>
    <row r="73" ht="15.75" customHeight="1">
      <c r="A73" s="1">
        <f>IFERROR(__xludf.DUMMYFUNCTION("""COMPUTED_VALUE"""),43935.66666666667)</f>
        <v>43935.66667</v>
      </c>
      <c r="B73" s="2">
        <f>IFERROR(__xludf.DUMMYFUNCTION("""COMPUTED_VALUE"""),197.01)</f>
        <v>197.01</v>
      </c>
      <c r="C73" s="2">
        <f>IFERROR(__xludf.DUMMYFUNCTION("""COMPUTED_VALUE"""),206.77)</f>
        <v>206.77</v>
      </c>
      <c r="D73" s="2">
        <f>IFERROR(__xludf.DUMMYFUNCTION("""COMPUTED_VALUE"""),195.06)</f>
        <v>195.06</v>
      </c>
      <c r="E73" s="2">
        <f>IFERROR(__xludf.DUMMYFUNCTION("""COMPUTED_VALUE"""),197.01)</f>
        <v>197.01</v>
      </c>
      <c r="F73" s="2">
        <f>IFERROR(__xludf.DUMMYFUNCTION("""COMPUTED_VALUE"""),2.62546E7)</f>
        <v>26254600</v>
      </c>
      <c r="G73" s="2">
        <f t="shared" si="1"/>
        <v>11.71</v>
      </c>
    </row>
    <row r="74" ht="15.75" customHeight="1">
      <c r="A74" s="1">
        <f>IFERROR(__xludf.DUMMYFUNCTION("""COMPUTED_VALUE"""),43936.66666666667)</f>
        <v>43936.66667</v>
      </c>
      <c r="B74" s="2">
        <f>IFERROR(__xludf.DUMMYFUNCTION("""COMPUTED_VALUE"""),198.96)</f>
        <v>198.96</v>
      </c>
      <c r="C74" s="2">
        <f>IFERROR(__xludf.DUMMYFUNCTION("""COMPUTED_VALUE"""),202.86)</f>
        <v>202.86</v>
      </c>
      <c r="D74" s="2">
        <f>IFERROR(__xludf.DUMMYFUNCTION("""COMPUTED_VALUE"""),191.16)</f>
        <v>191.16</v>
      </c>
      <c r="E74" s="2">
        <f>IFERROR(__xludf.DUMMYFUNCTION("""COMPUTED_VALUE"""),192.14)</f>
        <v>192.14</v>
      </c>
      <c r="F74" s="2">
        <f>IFERROR(__xludf.DUMMYFUNCTION("""COMPUTED_VALUE"""),1.18532E7)</f>
        <v>11853200</v>
      </c>
      <c r="G74" s="2">
        <f t="shared" si="1"/>
        <v>11.7</v>
      </c>
    </row>
    <row r="75" ht="15.75" customHeight="1">
      <c r="A75" s="1">
        <f>IFERROR(__xludf.DUMMYFUNCTION("""COMPUTED_VALUE"""),43937.66666666667)</f>
        <v>43937.66667</v>
      </c>
      <c r="B75" s="2">
        <f>IFERROR(__xludf.DUMMYFUNCTION("""COMPUTED_VALUE"""),193.11)</f>
        <v>193.11</v>
      </c>
      <c r="C75" s="2">
        <f>IFERROR(__xludf.DUMMYFUNCTION("""COMPUTED_VALUE"""),195.06)</f>
        <v>195.06</v>
      </c>
      <c r="D75" s="2">
        <f>IFERROR(__xludf.DUMMYFUNCTION("""COMPUTED_VALUE"""),185.31)</f>
        <v>185.31</v>
      </c>
      <c r="E75" s="2">
        <f>IFERROR(__xludf.DUMMYFUNCTION("""COMPUTED_VALUE"""),189.21)</f>
        <v>189.21</v>
      </c>
      <c r="F75" s="2">
        <f>IFERROR(__xludf.DUMMYFUNCTION("""COMPUTED_VALUE"""),7288300.0)</f>
        <v>7288300</v>
      </c>
      <c r="G75" s="2">
        <f t="shared" si="1"/>
        <v>9.75</v>
      </c>
    </row>
    <row r="76" ht="15.75" customHeight="1">
      <c r="A76" s="1">
        <f>IFERROR(__xludf.DUMMYFUNCTION("""COMPUTED_VALUE"""),43938.66666666667)</f>
        <v>43938.66667</v>
      </c>
      <c r="B76" s="2">
        <f>IFERROR(__xludf.DUMMYFUNCTION("""COMPUTED_VALUE"""),190.19)</f>
        <v>190.19</v>
      </c>
      <c r="C76" s="2">
        <f>IFERROR(__xludf.DUMMYFUNCTION("""COMPUTED_VALUE"""),198.96)</f>
        <v>198.96</v>
      </c>
      <c r="D76" s="2">
        <f>IFERROR(__xludf.DUMMYFUNCTION("""COMPUTED_VALUE"""),189.21)</f>
        <v>189.21</v>
      </c>
      <c r="E76" s="2">
        <f>IFERROR(__xludf.DUMMYFUNCTION("""COMPUTED_VALUE"""),197.01)</f>
        <v>197.01</v>
      </c>
      <c r="F76" s="2">
        <f>IFERROR(__xludf.DUMMYFUNCTION("""COMPUTED_VALUE"""),1.4358E7)</f>
        <v>14358000</v>
      </c>
      <c r="G76" s="2">
        <f t="shared" si="1"/>
        <v>9.75</v>
      </c>
    </row>
    <row r="77" ht="15.75" customHeight="1">
      <c r="A77" s="1">
        <f>IFERROR(__xludf.DUMMYFUNCTION("""COMPUTED_VALUE"""),43941.66666666667)</f>
        <v>43941.66667</v>
      </c>
      <c r="B77" s="2">
        <f>IFERROR(__xludf.DUMMYFUNCTION("""COMPUTED_VALUE"""),198.96)</f>
        <v>198.96</v>
      </c>
      <c r="C77" s="2">
        <f>IFERROR(__xludf.DUMMYFUNCTION("""COMPUTED_VALUE"""),198.96)</f>
        <v>198.96</v>
      </c>
      <c r="D77" s="2">
        <f>IFERROR(__xludf.DUMMYFUNCTION("""COMPUTED_VALUE"""),191.16)</f>
        <v>191.16</v>
      </c>
      <c r="E77" s="2">
        <f>IFERROR(__xludf.DUMMYFUNCTION("""COMPUTED_VALUE"""),191.16)</f>
        <v>191.16</v>
      </c>
      <c r="F77" s="2">
        <f>IFERROR(__xludf.DUMMYFUNCTION("""COMPUTED_VALUE"""),8193200.0)</f>
        <v>8193200</v>
      </c>
      <c r="G77" s="2">
        <f t="shared" si="1"/>
        <v>7.8</v>
      </c>
    </row>
    <row r="78" ht="15.75" customHeight="1">
      <c r="A78" s="1">
        <f>IFERROR(__xludf.DUMMYFUNCTION("""COMPUTED_VALUE"""),43942.66666666667)</f>
        <v>43942.66667</v>
      </c>
      <c r="B78" s="2">
        <f>IFERROR(__xludf.DUMMYFUNCTION("""COMPUTED_VALUE"""),191.16)</f>
        <v>191.16</v>
      </c>
      <c r="C78" s="2">
        <f>IFERROR(__xludf.DUMMYFUNCTION("""COMPUTED_VALUE"""),193.11)</f>
        <v>193.11</v>
      </c>
      <c r="D78" s="2">
        <f>IFERROR(__xludf.DUMMYFUNCTION("""COMPUTED_VALUE"""),184.33)</f>
        <v>184.33</v>
      </c>
      <c r="E78" s="2">
        <f>IFERROR(__xludf.DUMMYFUNCTION("""COMPUTED_VALUE"""),187.26)</f>
        <v>187.26</v>
      </c>
      <c r="F78" s="2">
        <f>IFERROR(__xludf.DUMMYFUNCTION("""COMPUTED_VALUE"""),7599000.0)</f>
        <v>7599000</v>
      </c>
      <c r="G78" s="2">
        <f t="shared" si="1"/>
        <v>8.78</v>
      </c>
    </row>
    <row r="79" ht="15.75" customHeight="1">
      <c r="A79" s="1">
        <f>IFERROR(__xludf.DUMMYFUNCTION("""COMPUTED_VALUE"""),43943.66666666667)</f>
        <v>43943.66667</v>
      </c>
      <c r="B79" s="2">
        <f>IFERROR(__xludf.DUMMYFUNCTION("""COMPUTED_VALUE"""),187.26)</f>
        <v>187.26</v>
      </c>
      <c r="C79" s="2">
        <f>IFERROR(__xludf.DUMMYFUNCTION("""COMPUTED_VALUE"""),191.16)</f>
        <v>191.16</v>
      </c>
      <c r="D79" s="2">
        <f>IFERROR(__xludf.DUMMYFUNCTION("""COMPUTED_VALUE"""),180.43)</f>
        <v>180.43</v>
      </c>
      <c r="E79" s="2">
        <f>IFERROR(__xludf.DUMMYFUNCTION("""COMPUTED_VALUE"""),190.19)</f>
        <v>190.19</v>
      </c>
      <c r="F79" s="2">
        <f>IFERROR(__xludf.DUMMYFUNCTION("""COMPUTED_VALUE"""),7218900.0)</f>
        <v>7218900</v>
      </c>
      <c r="G79" s="2">
        <f t="shared" si="1"/>
        <v>10.73</v>
      </c>
    </row>
    <row r="80" ht="15.75" customHeight="1">
      <c r="A80" s="1">
        <f>IFERROR(__xludf.DUMMYFUNCTION("""COMPUTED_VALUE"""),43944.66666666667)</f>
        <v>43944.66667</v>
      </c>
      <c r="B80" s="2">
        <f>IFERROR(__xludf.DUMMYFUNCTION("""COMPUTED_VALUE"""),193.11)</f>
        <v>193.11</v>
      </c>
      <c r="C80" s="2">
        <f>IFERROR(__xludf.DUMMYFUNCTION("""COMPUTED_VALUE"""),197.01)</f>
        <v>197.01</v>
      </c>
      <c r="D80" s="2">
        <f>IFERROR(__xludf.DUMMYFUNCTION("""COMPUTED_VALUE"""),189.21)</f>
        <v>189.21</v>
      </c>
      <c r="E80" s="2">
        <f>IFERROR(__xludf.DUMMYFUNCTION("""COMPUTED_VALUE"""),189.21)</f>
        <v>189.21</v>
      </c>
      <c r="F80" s="2">
        <f>IFERROR(__xludf.DUMMYFUNCTION("""COMPUTED_VALUE"""),6811900.0)</f>
        <v>6811900</v>
      </c>
      <c r="G80" s="2">
        <f t="shared" si="1"/>
        <v>7.8</v>
      </c>
    </row>
    <row r="81" ht="15.75" customHeight="1">
      <c r="A81" s="1">
        <f>IFERROR(__xludf.DUMMYFUNCTION("""COMPUTED_VALUE"""),43945.66666666667)</f>
        <v>43945.66667</v>
      </c>
      <c r="B81" s="2">
        <f>IFERROR(__xludf.DUMMYFUNCTION("""COMPUTED_VALUE"""),188.23)</f>
        <v>188.23</v>
      </c>
      <c r="C81" s="2">
        <f>IFERROR(__xludf.DUMMYFUNCTION("""COMPUTED_VALUE"""),191.16)</f>
        <v>191.16</v>
      </c>
      <c r="D81" s="2">
        <f>IFERROR(__xludf.DUMMYFUNCTION("""COMPUTED_VALUE"""),184.33)</f>
        <v>184.33</v>
      </c>
      <c r="E81" s="2">
        <f>IFERROR(__xludf.DUMMYFUNCTION("""COMPUTED_VALUE"""),184.33)</f>
        <v>184.33</v>
      </c>
      <c r="F81" s="2">
        <f>IFERROR(__xludf.DUMMYFUNCTION("""COMPUTED_VALUE"""),6138100.0)</f>
        <v>6138100</v>
      </c>
      <c r="G81" s="2">
        <f t="shared" si="1"/>
        <v>6.83</v>
      </c>
    </row>
    <row r="82" ht="15.75" customHeight="1">
      <c r="A82" s="1">
        <f>IFERROR(__xludf.DUMMYFUNCTION("""COMPUTED_VALUE"""),43948.66666666667)</f>
        <v>43948.66667</v>
      </c>
      <c r="B82" s="2">
        <f>IFERROR(__xludf.DUMMYFUNCTION("""COMPUTED_VALUE"""),189.21)</f>
        <v>189.21</v>
      </c>
      <c r="C82" s="2">
        <f>IFERROR(__xludf.DUMMYFUNCTION("""COMPUTED_VALUE"""),189.21)</f>
        <v>189.21</v>
      </c>
      <c r="D82" s="2">
        <f>IFERROR(__xludf.DUMMYFUNCTION("""COMPUTED_VALUE"""),185.31)</f>
        <v>185.31</v>
      </c>
      <c r="E82" s="2">
        <f>IFERROR(__xludf.DUMMYFUNCTION("""COMPUTED_VALUE"""),189.21)</f>
        <v>189.21</v>
      </c>
      <c r="F82" s="2">
        <f>IFERROR(__xludf.DUMMYFUNCTION("""COMPUTED_VALUE"""),4051700.0)</f>
        <v>4051700</v>
      </c>
      <c r="G82" s="2">
        <f t="shared" si="1"/>
        <v>4.88</v>
      </c>
    </row>
    <row r="83" ht="15.75" customHeight="1">
      <c r="A83" s="1">
        <f>IFERROR(__xludf.DUMMYFUNCTION("""COMPUTED_VALUE"""),43949.66666666667)</f>
        <v>43949.66667</v>
      </c>
      <c r="B83" s="2">
        <f>IFERROR(__xludf.DUMMYFUNCTION("""COMPUTED_VALUE"""),190.19)</f>
        <v>190.19</v>
      </c>
      <c r="C83" s="2">
        <f>IFERROR(__xludf.DUMMYFUNCTION("""COMPUTED_VALUE"""),193.11)</f>
        <v>193.11</v>
      </c>
      <c r="D83" s="2">
        <f>IFERROR(__xludf.DUMMYFUNCTION("""COMPUTED_VALUE"""),184.33)</f>
        <v>184.33</v>
      </c>
      <c r="E83" s="2">
        <f>IFERROR(__xludf.DUMMYFUNCTION("""COMPUTED_VALUE"""),185.31)</f>
        <v>185.31</v>
      </c>
      <c r="F83" s="2">
        <f>IFERROR(__xludf.DUMMYFUNCTION("""COMPUTED_VALUE"""),3928600.0)</f>
        <v>3928600</v>
      </c>
      <c r="G83" s="2">
        <f t="shared" si="1"/>
        <v>8.78</v>
      </c>
    </row>
    <row r="84" ht="15.75" customHeight="1">
      <c r="A84" s="1">
        <f>IFERROR(__xludf.DUMMYFUNCTION("""COMPUTED_VALUE"""),43950.66666666667)</f>
        <v>43950.66667</v>
      </c>
      <c r="B84" s="2">
        <f>IFERROR(__xludf.DUMMYFUNCTION("""COMPUTED_VALUE"""),185.31)</f>
        <v>185.31</v>
      </c>
      <c r="C84" s="2">
        <f>IFERROR(__xludf.DUMMYFUNCTION("""COMPUTED_VALUE"""),187.26)</f>
        <v>187.26</v>
      </c>
      <c r="D84" s="2">
        <f>IFERROR(__xludf.DUMMYFUNCTION("""COMPUTED_VALUE"""),185.31)</f>
        <v>185.31</v>
      </c>
      <c r="E84" s="2">
        <f>IFERROR(__xludf.DUMMYFUNCTION("""COMPUTED_VALUE"""),186.28)</f>
        <v>186.28</v>
      </c>
      <c r="F84" s="2">
        <f>IFERROR(__xludf.DUMMYFUNCTION("""COMPUTED_VALUE"""),2502700.0)</f>
        <v>2502700</v>
      </c>
      <c r="G84" s="2">
        <f t="shared" si="1"/>
        <v>1.95</v>
      </c>
    </row>
    <row r="85" ht="15.75" customHeight="1">
      <c r="A85" s="1">
        <f>IFERROR(__xludf.DUMMYFUNCTION("""COMPUTED_VALUE"""),43951.66666666667)</f>
        <v>43951.66667</v>
      </c>
      <c r="B85" s="2">
        <f>IFERROR(__xludf.DUMMYFUNCTION("""COMPUTED_VALUE"""),186.28)</f>
        <v>186.28</v>
      </c>
      <c r="C85" s="2">
        <f>IFERROR(__xludf.DUMMYFUNCTION("""COMPUTED_VALUE"""),194.09)</f>
        <v>194.09</v>
      </c>
      <c r="D85" s="2">
        <f>IFERROR(__xludf.DUMMYFUNCTION("""COMPUTED_VALUE"""),186.28)</f>
        <v>186.28</v>
      </c>
      <c r="E85" s="2">
        <f>IFERROR(__xludf.DUMMYFUNCTION("""COMPUTED_VALUE"""),191.16)</f>
        <v>191.16</v>
      </c>
      <c r="F85" s="2">
        <f>IFERROR(__xludf.DUMMYFUNCTION("""COMPUTED_VALUE"""),1.24334E7)</f>
        <v>12433400</v>
      </c>
      <c r="G85" s="2">
        <f t="shared" si="1"/>
        <v>7.81</v>
      </c>
    </row>
    <row r="86" ht="15.75" customHeight="1">
      <c r="A86" s="1">
        <f>IFERROR(__xludf.DUMMYFUNCTION("""COMPUTED_VALUE"""),43955.66666666667)</f>
        <v>43955.66667</v>
      </c>
      <c r="B86" s="2">
        <f>IFERROR(__xludf.DUMMYFUNCTION("""COMPUTED_VALUE"""),191.16)</f>
        <v>191.16</v>
      </c>
      <c r="C86" s="2">
        <f>IFERROR(__xludf.DUMMYFUNCTION("""COMPUTED_VALUE"""),206.77)</f>
        <v>206.77</v>
      </c>
      <c r="D86" s="2">
        <f>IFERROR(__xludf.DUMMYFUNCTION("""COMPUTED_VALUE"""),183.36)</f>
        <v>183.36</v>
      </c>
      <c r="E86" s="2">
        <f>IFERROR(__xludf.DUMMYFUNCTION("""COMPUTED_VALUE"""),197.01)</f>
        <v>197.01</v>
      </c>
      <c r="F86" s="2">
        <f>IFERROR(__xludf.DUMMYFUNCTION("""COMPUTED_VALUE"""),2.30077E7)</f>
        <v>23007700</v>
      </c>
      <c r="G86" s="2">
        <f t="shared" si="1"/>
        <v>23.41</v>
      </c>
    </row>
    <row r="87" ht="15.75" customHeight="1">
      <c r="A87" s="1">
        <f>IFERROR(__xludf.DUMMYFUNCTION("""COMPUTED_VALUE"""),43956.66666666667)</f>
        <v>43956.66667</v>
      </c>
      <c r="B87" s="2">
        <f>IFERROR(__xludf.DUMMYFUNCTION("""COMPUTED_VALUE"""),200.91)</f>
        <v>200.91</v>
      </c>
      <c r="C87" s="2">
        <f>IFERROR(__xludf.DUMMYFUNCTION("""COMPUTED_VALUE"""),245.78)</f>
        <v>245.78</v>
      </c>
      <c r="D87" s="2">
        <f>IFERROR(__xludf.DUMMYFUNCTION("""COMPUTED_VALUE"""),200.91)</f>
        <v>200.91</v>
      </c>
      <c r="E87" s="2">
        <f>IFERROR(__xludf.DUMMYFUNCTION("""COMPUTED_VALUE"""),245.78)</f>
        <v>245.78</v>
      </c>
      <c r="F87" s="2">
        <f>IFERROR(__xludf.DUMMYFUNCTION("""COMPUTED_VALUE"""),2.008346E8)</f>
        <v>200834600</v>
      </c>
      <c r="G87" s="2">
        <f t="shared" si="1"/>
        <v>48.77</v>
      </c>
    </row>
    <row r="88" ht="15.75" customHeight="1">
      <c r="A88" s="1">
        <f>IFERROR(__xludf.DUMMYFUNCTION("""COMPUTED_VALUE"""),43957.66666666667)</f>
        <v>43957.66667</v>
      </c>
      <c r="B88" s="2">
        <f>IFERROR(__xludf.DUMMYFUNCTION("""COMPUTED_VALUE"""),253.58)</f>
        <v>253.58</v>
      </c>
      <c r="C88" s="2">
        <f>IFERROR(__xludf.DUMMYFUNCTION("""COMPUTED_VALUE"""),294.54)</f>
        <v>294.54</v>
      </c>
      <c r="D88" s="2">
        <f>IFERROR(__xludf.DUMMYFUNCTION("""COMPUTED_VALUE"""),241.88)</f>
        <v>241.88</v>
      </c>
      <c r="E88" s="2">
        <f>IFERROR(__xludf.DUMMYFUNCTION("""COMPUTED_VALUE"""),249.68)</f>
        <v>249.68</v>
      </c>
      <c r="F88" s="2">
        <f>IFERROR(__xludf.DUMMYFUNCTION("""COMPUTED_VALUE"""),2.534377E8)</f>
        <v>253437700</v>
      </c>
      <c r="G88" s="2">
        <f t="shared" si="1"/>
        <v>52.66</v>
      </c>
    </row>
    <row r="89" ht="15.75" customHeight="1">
      <c r="A89" s="1">
        <f>IFERROR(__xludf.DUMMYFUNCTION("""COMPUTED_VALUE"""),43959.66666666667)</f>
        <v>43959.66667</v>
      </c>
      <c r="B89" s="2">
        <f>IFERROR(__xludf.DUMMYFUNCTION("""COMPUTED_VALUE"""),263.33)</f>
        <v>263.33</v>
      </c>
      <c r="C89" s="2">
        <f>IFERROR(__xludf.DUMMYFUNCTION("""COMPUTED_VALUE"""),263.33)</f>
        <v>263.33</v>
      </c>
      <c r="D89" s="2">
        <f>IFERROR(__xludf.DUMMYFUNCTION("""COMPUTED_VALUE"""),241.88)</f>
        <v>241.88</v>
      </c>
      <c r="E89" s="2">
        <f>IFERROR(__xludf.DUMMYFUNCTION("""COMPUTED_VALUE"""),241.88)</f>
        <v>241.88</v>
      </c>
      <c r="F89" s="2">
        <f>IFERROR(__xludf.DUMMYFUNCTION("""COMPUTED_VALUE"""),7.41964E7)</f>
        <v>74196400</v>
      </c>
      <c r="G89" s="2">
        <f t="shared" si="1"/>
        <v>21.45</v>
      </c>
    </row>
    <row r="90" ht="15.75" customHeight="1">
      <c r="A90" s="1">
        <f>IFERROR(__xludf.DUMMYFUNCTION("""COMPUTED_VALUE"""),43962.66666666667)</f>
        <v>43962.66667</v>
      </c>
      <c r="B90" s="2">
        <f>IFERROR(__xludf.DUMMYFUNCTION("""COMPUTED_VALUE"""),243.83)</f>
        <v>243.83</v>
      </c>
      <c r="C90" s="2">
        <f>IFERROR(__xludf.DUMMYFUNCTION("""COMPUTED_VALUE"""),255.53)</f>
        <v>255.53</v>
      </c>
      <c r="D90" s="2">
        <f>IFERROR(__xludf.DUMMYFUNCTION("""COMPUTED_VALUE"""),239.93)</f>
        <v>239.93</v>
      </c>
      <c r="E90" s="2">
        <f>IFERROR(__xludf.DUMMYFUNCTION("""COMPUTED_VALUE"""),241.88)</f>
        <v>241.88</v>
      </c>
      <c r="F90" s="2">
        <f>IFERROR(__xludf.DUMMYFUNCTION("""COMPUTED_VALUE"""),2.63806E7)</f>
        <v>26380600</v>
      </c>
      <c r="G90" s="2">
        <f t="shared" si="1"/>
        <v>15.6</v>
      </c>
    </row>
    <row r="91" ht="15.75" customHeight="1">
      <c r="A91" s="1">
        <f>IFERROR(__xludf.DUMMYFUNCTION("""COMPUTED_VALUE"""),43963.66666666667)</f>
        <v>43963.66667</v>
      </c>
      <c r="B91" s="2">
        <f>IFERROR(__xludf.DUMMYFUNCTION("""COMPUTED_VALUE"""),241.88)</f>
        <v>241.88</v>
      </c>
      <c r="C91" s="2">
        <f>IFERROR(__xludf.DUMMYFUNCTION("""COMPUTED_VALUE"""),243.83)</f>
        <v>243.83</v>
      </c>
      <c r="D91" s="2">
        <f>IFERROR(__xludf.DUMMYFUNCTION("""COMPUTED_VALUE"""),226.27)</f>
        <v>226.27</v>
      </c>
      <c r="E91" s="2">
        <f>IFERROR(__xludf.DUMMYFUNCTION("""COMPUTED_VALUE"""),226.27)</f>
        <v>226.27</v>
      </c>
      <c r="F91" s="2">
        <f>IFERROR(__xludf.DUMMYFUNCTION("""COMPUTED_VALUE"""),2.9218E7)</f>
        <v>29218000</v>
      </c>
      <c r="G91" s="2">
        <f t="shared" si="1"/>
        <v>17.56</v>
      </c>
    </row>
    <row r="92" ht="15.75" customHeight="1">
      <c r="A92" s="1">
        <f>IFERROR(__xludf.DUMMYFUNCTION("""COMPUTED_VALUE"""),43964.66666666667)</f>
        <v>43964.66667</v>
      </c>
      <c r="B92" s="2">
        <f>IFERROR(__xludf.DUMMYFUNCTION("""COMPUTED_VALUE"""),224.32)</f>
        <v>224.32</v>
      </c>
      <c r="C92" s="2">
        <f>IFERROR(__xludf.DUMMYFUNCTION("""COMPUTED_VALUE"""),275.04)</f>
        <v>275.04</v>
      </c>
      <c r="D92" s="2">
        <f>IFERROR(__xludf.DUMMYFUNCTION("""COMPUTED_VALUE"""),218.47)</f>
        <v>218.47</v>
      </c>
      <c r="E92" s="2">
        <f>IFERROR(__xludf.DUMMYFUNCTION("""COMPUTED_VALUE"""),273.09)</f>
        <v>273.09</v>
      </c>
      <c r="F92" s="2">
        <f>IFERROR(__xludf.DUMMYFUNCTION("""COMPUTED_VALUE"""),1.845693E8)</f>
        <v>184569300</v>
      </c>
      <c r="G92" s="2">
        <f t="shared" si="1"/>
        <v>56.57</v>
      </c>
    </row>
    <row r="93" ht="15.75" customHeight="1">
      <c r="A93" s="1">
        <f>IFERROR(__xludf.DUMMYFUNCTION("""COMPUTED_VALUE"""),43965.66666666667)</f>
        <v>43965.66667</v>
      </c>
      <c r="B93" s="2">
        <f>IFERROR(__xludf.DUMMYFUNCTION("""COMPUTED_VALUE"""),276.99)</f>
        <v>276.99</v>
      </c>
      <c r="C93" s="2">
        <f>IFERROR(__xludf.DUMMYFUNCTION("""COMPUTED_VALUE"""),286.74)</f>
        <v>286.74</v>
      </c>
      <c r="D93" s="2">
        <f>IFERROR(__xludf.DUMMYFUNCTION("""COMPUTED_VALUE"""),255.53)</f>
        <v>255.53</v>
      </c>
      <c r="E93" s="2">
        <f>IFERROR(__xludf.DUMMYFUNCTION("""COMPUTED_VALUE"""),255.53)</f>
        <v>255.53</v>
      </c>
      <c r="F93" s="2">
        <f>IFERROR(__xludf.DUMMYFUNCTION("""COMPUTED_VALUE"""),1.436584E8)</f>
        <v>143658400</v>
      </c>
      <c r="G93" s="2">
        <f t="shared" si="1"/>
        <v>31.21</v>
      </c>
    </row>
    <row r="94" ht="15.75" customHeight="1">
      <c r="A94" s="1">
        <f>IFERROR(__xludf.DUMMYFUNCTION("""COMPUTED_VALUE"""),43966.66666666667)</f>
        <v>43966.66667</v>
      </c>
      <c r="B94" s="2">
        <f>IFERROR(__xludf.DUMMYFUNCTION("""COMPUTED_VALUE"""),255.53)</f>
        <v>255.53</v>
      </c>
      <c r="C94" s="2">
        <f>IFERROR(__xludf.DUMMYFUNCTION("""COMPUTED_VALUE"""),265.28)</f>
        <v>265.28</v>
      </c>
      <c r="D94" s="2">
        <f>IFERROR(__xludf.DUMMYFUNCTION("""COMPUTED_VALUE"""),239.93)</f>
        <v>239.93</v>
      </c>
      <c r="E94" s="2">
        <f>IFERROR(__xludf.DUMMYFUNCTION("""COMPUTED_VALUE"""),245.78)</f>
        <v>245.78</v>
      </c>
      <c r="F94" s="2">
        <f>IFERROR(__xludf.DUMMYFUNCTION("""COMPUTED_VALUE"""),5.42033E7)</f>
        <v>54203300</v>
      </c>
      <c r="G94" s="2">
        <f t="shared" si="1"/>
        <v>25.35</v>
      </c>
    </row>
    <row r="95" ht="15.75" customHeight="1">
      <c r="A95" s="1">
        <f>IFERROR(__xludf.DUMMYFUNCTION("""COMPUTED_VALUE"""),43969.66666666667)</f>
        <v>43969.66667</v>
      </c>
      <c r="B95" s="2">
        <f>IFERROR(__xludf.DUMMYFUNCTION("""COMPUTED_VALUE"""),247.73)</f>
        <v>247.73</v>
      </c>
      <c r="C95" s="2">
        <f>IFERROR(__xludf.DUMMYFUNCTION("""COMPUTED_VALUE"""),273.09)</f>
        <v>273.09</v>
      </c>
      <c r="D95" s="2">
        <f>IFERROR(__xludf.DUMMYFUNCTION("""COMPUTED_VALUE"""),239.93)</f>
        <v>239.93</v>
      </c>
      <c r="E95" s="2">
        <f>IFERROR(__xludf.DUMMYFUNCTION("""COMPUTED_VALUE"""),265.28)</f>
        <v>265.28</v>
      </c>
      <c r="F95" s="2">
        <f>IFERROR(__xludf.DUMMYFUNCTION("""COMPUTED_VALUE"""),1.192669E8)</f>
        <v>119266900</v>
      </c>
      <c r="G95" s="2">
        <f t="shared" si="1"/>
        <v>33.16</v>
      </c>
    </row>
    <row r="96" ht="15.75" customHeight="1">
      <c r="A96" s="1">
        <f>IFERROR(__xludf.DUMMYFUNCTION("""COMPUTED_VALUE"""),43970.66666666667)</f>
        <v>43970.66667</v>
      </c>
      <c r="B96" s="2">
        <f>IFERROR(__xludf.DUMMYFUNCTION("""COMPUTED_VALUE"""),269.19)</f>
        <v>269.19</v>
      </c>
      <c r="C96" s="2">
        <f>IFERROR(__xludf.DUMMYFUNCTION("""COMPUTED_VALUE"""),321.85)</f>
        <v>321.85</v>
      </c>
      <c r="D96" s="2">
        <f>IFERROR(__xludf.DUMMYFUNCTION("""COMPUTED_VALUE"""),265.28)</f>
        <v>265.28</v>
      </c>
      <c r="E96" s="2">
        <f>IFERROR(__xludf.DUMMYFUNCTION("""COMPUTED_VALUE"""),280.89)</f>
        <v>280.89</v>
      </c>
      <c r="F96" s="2">
        <f>IFERROR(__xludf.DUMMYFUNCTION("""COMPUTED_VALUE"""),3.999506E8)</f>
        <v>399950600</v>
      </c>
      <c r="G96" s="2">
        <f t="shared" si="1"/>
        <v>56.57</v>
      </c>
    </row>
    <row r="97" ht="15.75" customHeight="1">
      <c r="A97" s="1">
        <f>IFERROR(__xludf.DUMMYFUNCTION("""COMPUTED_VALUE"""),43971.66666666667)</f>
        <v>43971.66667</v>
      </c>
      <c r="B97" s="2">
        <f>IFERROR(__xludf.DUMMYFUNCTION("""COMPUTED_VALUE"""),280.89)</f>
        <v>280.89</v>
      </c>
      <c r="C97" s="2">
        <f>IFERROR(__xludf.DUMMYFUNCTION("""COMPUTED_VALUE"""),298.44)</f>
        <v>298.44</v>
      </c>
      <c r="D97" s="2">
        <f>IFERROR(__xludf.DUMMYFUNCTION("""COMPUTED_VALUE"""),276.99)</f>
        <v>276.99</v>
      </c>
      <c r="E97" s="2">
        <f>IFERROR(__xludf.DUMMYFUNCTION("""COMPUTED_VALUE"""),280.89)</f>
        <v>280.89</v>
      </c>
      <c r="F97" s="2">
        <f>IFERROR(__xludf.DUMMYFUNCTION("""COMPUTED_VALUE"""),1.87438E8)</f>
        <v>187438000</v>
      </c>
      <c r="G97" s="2">
        <f t="shared" si="1"/>
        <v>21.45</v>
      </c>
    </row>
    <row r="98" ht="15.75" customHeight="1">
      <c r="A98" s="1">
        <f>IFERROR(__xludf.DUMMYFUNCTION("""COMPUTED_VALUE"""),43977.66666666667)</f>
        <v>43977.66667</v>
      </c>
      <c r="B98" s="2">
        <f>IFERROR(__xludf.DUMMYFUNCTION("""COMPUTED_VALUE"""),282.84)</f>
        <v>282.84</v>
      </c>
      <c r="C98" s="2">
        <f>IFERROR(__xludf.DUMMYFUNCTION("""COMPUTED_VALUE"""),292.59)</f>
        <v>292.59</v>
      </c>
      <c r="D98" s="2">
        <f>IFERROR(__xludf.DUMMYFUNCTION("""COMPUTED_VALUE"""),280.89)</f>
        <v>280.89</v>
      </c>
      <c r="E98" s="2">
        <f>IFERROR(__xludf.DUMMYFUNCTION("""COMPUTED_VALUE"""),282.84)</f>
        <v>282.84</v>
      </c>
      <c r="F98" s="2">
        <f>IFERROR(__xludf.DUMMYFUNCTION("""COMPUTED_VALUE"""),5.07982E7)</f>
        <v>50798200</v>
      </c>
      <c r="G98" s="2">
        <f t="shared" si="1"/>
        <v>11.7</v>
      </c>
    </row>
    <row r="99" ht="15.75" customHeight="1">
      <c r="A99" s="1">
        <f>IFERROR(__xludf.DUMMYFUNCTION("""COMPUTED_VALUE"""),43978.66666666667)</f>
        <v>43978.66667</v>
      </c>
      <c r="B99" s="2">
        <f>IFERROR(__xludf.DUMMYFUNCTION("""COMPUTED_VALUE"""),284.79)</f>
        <v>284.79</v>
      </c>
      <c r="C99" s="2">
        <f>IFERROR(__xludf.DUMMYFUNCTION("""COMPUTED_VALUE"""),306.25)</f>
        <v>306.25</v>
      </c>
      <c r="D99" s="2">
        <f>IFERROR(__xludf.DUMMYFUNCTION("""COMPUTED_VALUE"""),280.89)</f>
        <v>280.89</v>
      </c>
      <c r="E99" s="2">
        <f>IFERROR(__xludf.DUMMYFUNCTION("""COMPUTED_VALUE"""),300.4)</f>
        <v>300.4</v>
      </c>
      <c r="F99" s="2">
        <f>IFERROR(__xludf.DUMMYFUNCTION("""COMPUTED_VALUE"""),1.414548E8)</f>
        <v>141454800</v>
      </c>
      <c r="G99" s="2">
        <f t="shared" si="1"/>
        <v>25.36</v>
      </c>
    </row>
    <row r="100" ht="15.75" customHeight="1">
      <c r="A100" s="1">
        <f>IFERROR(__xludf.DUMMYFUNCTION("""COMPUTED_VALUE"""),43979.66666666667)</f>
        <v>43979.66667</v>
      </c>
      <c r="B100" s="2">
        <f>IFERROR(__xludf.DUMMYFUNCTION("""COMPUTED_VALUE"""),302.35)</f>
        <v>302.35</v>
      </c>
      <c r="C100" s="2">
        <f>IFERROR(__xludf.DUMMYFUNCTION("""COMPUTED_VALUE"""),310.15)</f>
        <v>310.15</v>
      </c>
      <c r="D100" s="2">
        <f>IFERROR(__xludf.DUMMYFUNCTION("""COMPUTED_VALUE"""),290.64)</f>
        <v>290.64</v>
      </c>
      <c r="E100" s="2">
        <f>IFERROR(__xludf.DUMMYFUNCTION("""COMPUTED_VALUE"""),294.54)</f>
        <v>294.54</v>
      </c>
      <c r="F100" s="2">
        <f>IFERROR(__xludf.DUMMYFUNCTION("""COMPUTED_VALUE"""),7.20888E7)</f>
        <v>72088800</v>
      </c>
      <c r="G100" s="2">
        <f t="shared" si="1"/>
        <v>19.51</v>
      </c>
    </row>
    <row r="101" ht="15.75" customHeight="1">
      <c r="A101" s="1">
        <f>IFERROR(__xludf.DUMMYFUNCTION("""COMPUTED_VALUE"""),43980.66666666667)</f>
        <v>43980.66667</v>
      </c>
      <c r="B101" s="2">
        <f>IFERROR(__xludf.DUMMYFUNCTION("""COMPUTED_VALUE"""),292.59)</f>
        <v>292.59</v>
      </c>
      <c r="C101" s="2">
        <f>IFERROR(__xludf.DUMMYFUNCTION("""COMPUTED_VALUE"""),300.4)</f>
        <v>300.4</v>
      </c>
      <c r="D101" s="2">
        <f>IFERROR(__xludf.DUMMYFUNCTION("""COMPUTED_VALUE"""),290.64)</f>
        <v>290.64</v>
      </c>
      <c r="E101" s="2">
        <f>IFERROR(__xludf.DUMMYFUNCTION("""COMPUTED_VALUE"""),292.59)</f>
        <v>292.59</v>
      </c>
      <c r="F101" s="2">
        <f>IFERROR(__xludf.DUMMYFUNCTION("""COMPUTED_VALUE"""),3.76949E7)</f>
        <v>37694900</v>
      </c>
      <c r="G101" s="2">
        <f t="shared" si="1"/>
        <v>9.76</v>
      </c>
    </row>
    <row r="102" ht="15.75" customHeight="1">
      <c r="A102" s="1">
        <f>IFERROR(__xludf.DUMMYFUNCTION("""COMPUTED_VALUE"""),43984.66666666667)</f>
        <v>43984.66667</v>
      </c>
      <c r="B102" s="2">
        <f>IFERROR(__xludf.DUMMYFUNCTION("""COMPUTED_VALUE"""),292.59)</f>
        <v>292.59</v>
      </c>
      <c r="C102" s="2">
        <f>IFERROR(__xludf.DUMMYFUNCTION("""COMPUTED_VALUE"""),319.9)</f>
        <v>319.9</v>
      </c>
      <c r="D102" s="2">
        <f>IFERROR(__xludf.DUMMYFUNCTION("""COMPUTED_VALUE"""),292.59)</f>
        <v>292.59</v>
      </c>
      <c r="E102" s="2">
        <f>IFERROR(__xludf.DUMMYFUNCTION("""COMPUTED_VALUE"""),312.1)</f>
        <v>312.1</v>
      </c>
      <c r="F102" s="2">
        <f>IFERROR(__xludf.DUMMYFUNCTION("""COMPUTED_VALUE"""),1.222425E8)</f>
        <v>122242500</v>
      </c>
      <c r="G102" s="2">
        <f t="shared" si="1"/>
        <v>27.31</v>
      </c>
    </row>
    <row r="103" ht="15.75" customHeight="1">
      <c r="A103" s="1">
        <f>IFERROR(__xludf.DUMMYFUNCTION("""COMPUTED_VALUE"""),43985.66666666667)</f>
        <v>43985.66667</v>
      </c>
      <c r="B103" s="2">
        <f>IFERROR(__xludf.DUMMYFUNCTION("""COMPUTED_VALUE"""),317.95)</f>
        <v>317.95</v>
      </c>
      <c r="C103" s="2">
        <f>IFERROR(__xludf.DUMMYFUNCTION("""COMPUTED_VALUE"""),325.75)</f>
        <v>325.75</v>
      </c>
      <c r="D103" s="2">
        <f>IFERROR(__xludf.DUMMYFUNCTION("""COMPUTED_VALUE"""),304.3)</f>
        <v>304.3</v>
      </c>
      <c r="E103" s="2">
        <f>IFERROR(__xludf.DUMMYFUNCTION("""COMPUTED_VALUE"""),312.1)</f>
        <v>312.1</v>
      </c>
      <c r="F103" s="2">
        <f>IFERROR(__xludf.DUMMYFUNCTION("""COMPUTED_VALUE"""),1.079732E8)</f>
        <v>107973200</v>
      </c>
      <c r="G103" s="2">
        <f t="shared" si="1"/>
        <v>21.45</v>
      </c>
    </row>
    <row r="104" ht="15.75" customHeight="1">
      <c r="A104" s="1">
        <f>IFERROR(__xludf.DUMMYFUNCTION("""COMPUTED_VALUE"""),43986.66666666667)</f>
        <v>43986.66667</v>
      </c>
      <c r="B104" s="2">
        <f>IFERROR(__xludf.DUMMYFUNCTION("""COMPUTED_VALUE"""),312.1)</f>
        <v>312.1</v>
      </c>
      <c r="C104" s="2">
        <f>IFERROR(__xludf.DUMMYFUNCTION("""COMPUTED_VALUE"""),317.95)</f>
        <v>317.95</v>
      </c>
      <c r="D104" s="2">
        <f>IFERROR(__xludf.DUMMYFUNCTION("""COMPUTED_VALUE"""),304.3)</f>
        <v>304.3</v>
      </c>
      <c r="E104" s="2">
        <f>IFERROR(__xludf.DUMMYFUNCTION("""COMPUTED_VALUE"""),306.25)</f>
        <v>306.25</v>
      </c>
      <c r="F104" s="2">
        <f>IFERROR(__xludf.DUMMYFUNCTION("""COMPUTED_VALUE"""),4.0896E7)</f>
        <v>40896000</v>
      </c>
      <c r="G104" s="2">
        <f t="shared" si="1"/>
        <v>13.65</v>
      </c>
    </row>
    <row r="105" ht="15.75" customHeight="1">
      <c r="A105" s="1">
        <f>IFERROR(__xludf.DUMMYFUNCTION("""COMPUTED_VALUE"""),43987.66666666667)</f>
        <v>43987.66667</v>
      </c>
      <c r="B105" s="2">
        <f>IFERROR(__xludf.DUMMYFUNCTION("""COMPUTED_VALUE"""),308.2)</f>
        <v>308.2</v>
      </c>
      <c r="C105" s="2">
        <f>IFERROR(__xludf.DUMMYFUNCTION("""COMPUTED_VALUE"""),316.0)</f>
        <v>316</v>
      </c>
      <c r="D105" s="2">
        <f>IFERROR(__xludf.DUMMYFUNCTION("""COMPUTED_VALUE"""),296.49)</f>
        <v>296.49</v>
      </c>
      <c r="E105" s="2">
        <f>IFERROR(__xludf.DUMMYFUNCTION("""COMPUTED_VALUE"""),312.1)</f>
        <v>312.1</v>
      </c>
      <c r="F105" s="2">
        <f>IFERROR(__xludf.DUMMYFUNCTION("""COMPUTED_VALUE"""),4.44635E7)</f>
        <v>44463500</v>
      </c>
      <c r="G105" s="2">
        <f t="shared" si="1"/>
        <v>19.51</v>
      </c>
    </row>
    <row r="106" ht="15.75" customHeight="1">
      <c r="A106" s="1">
        <f>IFERROR(__xludf.DUMMYFUNCTION("""COMPUTED_VALUE"""),43990.66666666667)</f>
        <v>43990.66667</v>
      </c>
      <c r="B106" s="2">
        <f>IFERROR(__xludf.DUMMYFUNCTION("""COMPUTED_VALUE"""),316.0)</f>
        <v>316</v>
      </c>
      <c r="C106" s="2">
        <f>IFERROR(__xludf.DUMMYFUNCTION("""COMPUTED_VALUE"""),327.7)</f>
        <v>327.7</v>
      </c>
      <c r="D106" s="2">
        <f>IFERROR(__xludf.DUMMYFUNCTION("""COMPUTED_VALUE"""),314.05)</f>
        <v>314.05</v>
      </c>
      <c r="E106" s="2">
        <f>IFERROR(__xludf.DUMMYFUNCTION("""COMPUTED_VALUE"""),319.9)</f>
        <v>319.9</v>
      </c>
      <c r="F106" s="2">
        <f>IFERROR(__xludf.DUMMYFUNCTION("""COMPUTED_VALUE"""),8.64773E7)</f>
        <v>86477300</v>
      </c>
      <c r="G106" s="2">
        <f t="shared" si="1"/>
        <v>15.6</v>
      </c>
    </row>
    <row r="107" ht="15.75" customHeight="1">
      <c r="A107" s="1">
        <f>IFERROR(__xludf.DUMMYFUNCTION("""COMPUTED_VALUE"""),43991.66666666667)</f>
        <v>43991.66667</v>
      </c>
      <c r="B107" s="2">
        <f>IFERROR(__xludf.DUMMYFUNCTION("""COMPUTED_VALUE"""),321.85)</f>
        <v>321.85</v>
      </c>
      <c r="C107" s="2">
        <f>IFERROR(__xludf.DUMMYFUNCTION("""COMPUTED_VALUE"""),325.75)</f>
        <v>325.75</v>
      </c>
      <c r="D107" s="2">
        <f>IFERROR(__xludf.DUMMYFUNCTION("""COMPUTED_VALUE"""),306.25)</f>
        <v>306.25</v>
      </c>
      <c r="E107" s="2">
        <f>IFERROR(__xludf.DUMMYFUNCTION("""COMPUTED_VALUE"""),306.25)</f>
        <v>306.25</v>
      </c>
      <c r="F107" s="2">
        <f>IFERROR(__xludf.DUMMYFUNCTION("""COMPUTED_VALUE"""),4.24142E7)</f>
        <v>42414200</v>
      </c>
      <c r="G107" s="2">
        <f t="shared" si="1"/>
        <v>19.5</v>
      </c>
    </row>
    <row r="108" ht="15.75" customHeight="1">
      <c r="A108" s="1">
        <f>IFERROR(__xludf.DUMMYFUNCTION("""COMPUTED_VALUE"""),43992.66666666667)</f>
        <v>43992.66667</v>
      </c>
      <c r="B108" s="2">
        <f>IFERROR(__xludf.DUMMYFUNCTION("""COMPUTED_VALUE"""),308.2)</f>
        <v>308.2</v>
      </c>
      <c r="C108" s="2">
        <f>IFERROR(__xludf.DUMMYFUNCTION("""COMPUTED_VALUE"""),308.2)</f>
        <v>308.2</v>
      </c>
      <c r="D108" s="2">
        <f>IFERROR(__xludf.DUMMYFUNCTION("""COMPUTED_VALUE"""),290.64)</f>
        <v>290.64</v>
      </c>
      <c r="E108" s="2">
        <f>IFERROR(__xludf.DUMMYFUNCTION("""COMPUTED_VALUE"""),294.54)</f>
        <v>294.54</v>
      </c>
      <c r="F108" s="2">
        <f>IFERROR(__xludf.DUMMYFUNCTION("""COMPUTED_VALUE"""),4.11151E7)</f>
        <v>41115100</v>
      </c>
      <c r="G108" s="2">
        <f t="shared" si="1"/>
        <v>17.56</v>
      </c>
    </row>
    <row r="109" ht="15.75" customHeight="1">
      <c r="A109" s="1">
        <f>IFERROR(__xludf.DUMMYFUNCTION("""COMPUTED_VALUE"""),43993.66666666667)</f>
        <v>43993.66667</v>
      </c>
      <c r="B109" s="2">
        <f>IFERROR(__xludf.DUMMYFUNCTION("""COMPUTED_VALUE"""),296.49)</f>
        <v>296.49</v>
      </c>
      <c r="C109" s="2">
        <f>IFERROR(__xludf.DUMMYFUNCTION("""COMPUTED_VALUE"""),300.4)</f>
        <v>300.4</v>
      </c>
      <c r="D109" s="2">
        <f>IFERROR(__xludf.DUMMYFUNCTION("""COMPUTED_VALUE"""),280.89)</f>
        <v>280.89</v>
      </c>
      <c r="E109" s="2">
        <f>IFERROR(__xludf.DUMMYFUNCTION("""COMPUTED_VALUE"""),286.74)</f>
        <v>286.74</v>
      </c>
      <c r="F109" s="2">
        <f>IFERROR(__xludf.DUMMYFUNCTION("""COMPUTED_VALUE"""),2.41366E7)</f>
        <v>24136600</v>
      </c>
      <c r="G109" s="2">
        <f t="shared" si="1"/>
        <v>19.51</v>
      </c>
    </row>
    <row r="110" ht="15.75" customHeight="1">
      <c r="A110" s="1">
        <f>IFERROR(__xludf.DUMMYFUNCTION("""COMPUTED_VALUE"""),43994.66666666667)</f>
        <v>43994.66667</v>
      </c>
      <c r="B110" s="2">
        <f>IFERROR(__xludf.DUMMYFUNCTION("""COMPUTED_VALUE"""),284.79)</f>
        <v>284.79</v>
      </c>
      <c r="C110" s="2">
        <f>IFERROR(__xludf.DUMMYFUNCTION("""COMPUTED_VALUE"""),306.25)</f>
        <v>306.25</v>
      </c>
      <c r="D110" s="2">
        <f>IFERROR(__xludf.DUMMYFUNCTION("""COMPUTED_VALUE"""),267.23)</f>
        <v>267.23</v>
      </c>
      <c r="E110" s="2">
        <f>IFERROR(__xludf.DUMMYFUNCTION("""COMPUTED_VALUE"""),304.3)</f>
        <v>304.3</v>
      </c>
      <c r="F110" s="2">
        <f>IFERROR(__xludf.DUMMYFUNCTION("""COMPUTED_VALUE"""),9.18368E7)</f>
        <v>91836800</v>
      </c>
      <c r="G110" s="2">
        <f t="shared" si="1"/>
        <v>39.02</v>
      </c>
    </row>
    <row r="111" ht="15.75" customHeight="1">
      <c r="A111" s="1">
        <f>IFERROR(__xludf.DUMMYFUNCTION("""COMPUTED_VALUE"""),43997.66666666667)</f>
        <v>43997.66667</v>
      </c>
      <c r="B111" s="2">
        <f>IFERROR(__xludf.DUMMYFUNCTION("""COMPUTED_VALUE"""),304.3)</f>
        <v>304.3</v>
      </c>
      <c r="C111" s="2">
        <f>IFERROR(__xludf.DUMMYFUNCTION("""COMPUTED_VALUE"""),310.15)</f>
        <v>310.15</v>
      </c>
      <c r="D111" s="2">
        <f>IFERROR(__xludf.DUMMYFUNCTION("""COMPUTED_VALUE"""),294.54)</f>
        <v>294.54</v>
      </c>
      <c r="E111" s="2">
        <f>IFERROR(__xludf.DUMMYFUNCTION("""COMPUTED_VALUE"""),294.54)</f>
        <v>294.54</v>
      </c>
      <c r="F111" s="2">
        <f>IFERROR(__xludf.DUMMYFUNCTION("""COMPUTED_VALUE"""),2.71161E7)</f>
        <v>27116100</v>
      </c>
      <c r="G111" s="2">
        <f t="shared" si="1"/>
        <v>15.61</v>
      </c>
    </row>
    <row r="112" ht="15.75" customHeight="1">
      <c r="A112" s="1">
        <f>IFERROR(__xludf.DUMMYFUNCTION("""COMPUTED_VALUE"""),43998.66666666667)</f>
        <v>43998.66667</v>
      </c>
      <c r="B112" s="2">
        <f>IFERROR(__xludf.DUMMYFUNCTION("""COMPUTED_VALUE"""),298.44)</f>
        <v>298.44</v>
      </c>
      <c r="C112" s="2">
        <f>IFERROR(__xludf.DUMMYFUNCTION("""COMPUTED_VALUE"""),314.05)</f>
        <v>314.05</v>
      </c>
      <c r="D112" s="2">
        <f>IFERROR(__xludf.DUMMYFUNCTION("""COMPUTED_VALUE"""),298.44)</f>
        <v>298.44</v>
      </c>
      <c r="E112" s="2">
        <f>IFERROR(__xludf.DUMMYFUNCTION("""COMPUTED_VALUE"""),310.15)</f>
        <v>310.15</v>
      </c>
      <c r="F112" s="2">
        <f>IFERROR(__xludf.DUMMYFUNCTION("""COMPUTED_VALUE"""),7.3103E7)</f>
        <v>73103000</v>
      </c>
      <c r="G112" s="2">
        <f t="shared" si="1"/>
        <v>19.51</v>
      </c>
    </row>
    <row r="113" ht="15.75" customHeight="1">
      <c r="A113" s="1">
        <f>IFERROR(__xludf.DUMMYFUNCTION("""COMPUTED_VALUE"""),43999.66666666667)</f>
        <v>43999.66667</v>
      </c>
      <c r="B113" s="2">
        <f>IFERROR(__xludf.DUMMYFUNCTION("""COMPUTED_VALUE"""),314.05)</f>
        <v>314.05</v>
      </c>
      <c r="C113" s="2">
        <f>IFERROR(__xludf.DUMMYFUNCTION("""COMPUTED_VALUE"""),317.95)</f>
        <v>317.95</v>
      </c>
      <c r="D113" s="2">
        <f>IFERROR(__xludf.DUMMYFUNCTION("""COMPUTED_VALUE"""),308.2)</f>
        <v>308.2</v>
      </c>
      <c r="E113" s="2">
        <f>IFERROR(__xludf.DUMMYFUNCTION("""COMPUTED_VALUE"""),310.15)</f>
        <v>310.15</v>
      </c>
      <c r="F113" s="2">
        <f>IFERROR(__xludf.DUMMYFUNCTION("""COMPUTED_VALUE"""),3.67331E7)</f>
        <v>36733100</v>
      </c>
      <c r="G113" s="2">
        <f t="shared" si="1"/>
        <v>9.75</v>
      </c>
    </row>
    <row r="114" ht="15.75" customHeight="1">
      <c r="A114" s="1">
        <f>IFERROR(__xludf.DUMMYFUNCTION("""COMPUTED_VALUE"""),44000.66666666667)</f>
        <v>44000.66667</v>
      </c>
      <c r="B114" s="2">
        <f>IFERROR(__xludf.DUMMYFUNCTION("""COMPUTED_VALUE"""),308.2)</f>
        <v>308.2</v>
      </c>
      <c r="C114" s="2">
        <f>IFERROR(__xludf.DUMMYFUNCTION("""COMPUTED_VALUE"""),314.05)</f>
        <v>314.05</v>
      </c>
      <c r="D114" s="2">
        <f>IFERROR(__xludf.DUMMYFUNCTION("""COMPUTED_VALUE"""),308.2)</f>
        <v>308.2</v>
      </c>
      <c r="E114" s="2">
        <f>IFERROR(__xludf.DUMMYFUNCTION("""COMPUTED_VALUE"""),308.2)</f>
        <v>308.2</v>
      </c>
      <c r="F114" s="2">
        <f>IFERROR(__xludf.DUMMYFUNCTION("""COMPUTED_VALUE"""),3.02247E7)</f>
        <v>30224700</v>
      </c>
      <c r="G114" s="2">
        <f t="shared" si="1"/>
        <v>5.85</v>
      </c>
    </row>
    <row r="115" ht="15.75" customHeight="1">
      <c r="A115" s="1">
        <f>IFERROR(__xludf.DUMMYFUNCTION("""COMPUTED_VALUE"""),44001.66666666667)</f>
        <v>44001.66667</v>
      </c>
      <c r="B115" s="2">
        <f>IFERROR(__xludf.DUMMYFUNCTION("""COMPUTED_VALUE"""),308.2)</f>
        <v>308.2</v>
      </c>
      <c r="C115" s="2">
        <f>IFERROR(__xludf.DUMMYFUNCTION("""COMPUTED_VALUE"""),314.05)</f>
        <v>314.05</v>
      </c>
      <c r="D115" s="2">
        <f>IFERROR(__xludf.DUMMYFUNCTION("""COMPUTED_VALUE"""),306.25)</f>
        <v>306.25</v>
      </c>
      <c r="E115" s="2">
        <f>IFERROR(__xludf.DUMMYFUNCTION("""COMPUTED_VALUE"""),308.2)</f>
        <v>308.2</v>
      </c>
      <c r="F115" s="2">
        <f>IFERROR(__xludf.DUMMYFUNCTION("""COMPUTED_VALUE"""),1.11936E7)</f>
        <v>11193600</v>
      </c>
      <c r="G115" s="2">
        <f t="shared" si="1"/>
        <v>7.8</v>
      </c>
    </row>
    <row r="116" ht="15.75" customHeight="1">
      <c r="A116" s="1">
        <f>IFERROR(__xludf.DUMMYFUNCTION("""COMPUTED_VALUE"""),44004.66666666667)</f>
        <v>44004.66667</v>
      </c>
      <c r="B116" s="2">
        <f>IFERROR(__xludf.DUMMYFUNCTION("""COMPUTED_VALUE"""),308.2)</f>
        <v>308.2</v>
      </c>
      <c r="C116" s="2">
        <f>IFERROR(__xludf.DUMMYFUNCTION("""COMPUTED_VALUE"""),310.15)</f>
        <v>310.15</v>
      </c>
      <c r="D116" s="2">
        <f>IFERROR(__xludf.DUMMYFUNCTION("""COMPUTED_VALUE"""),292.59)</f>
        <v>292.59</v>
      </c>
      <c r="E116" s="2">
        <f>IFERROR(__xludf.DUMMYFUNCTION("""COMPUTED_VALUE"""),300.4)</f>
        <v>300.4</v>
      </c>
      <c r="F116" s="2">
        <f>IFERROR(__xludf.DUMMYFUNCTION("""COMPUTED_VALUE"""),1.79853E7)</f>
        <v>17985300</v>
      </c>
      <c r="G116" s="2">
        <f t="shared" si="1"/>
        <v>17.56</v>
      </c>
    </row>
    <row r="117" ht="15.75" customHeight="1">
      <c r="A117" s="1">
        <f>IFERROR(__xludf.DUMMYFUNCTION("""COMPUTED_VALUE"""),44005.66666666667)</f>
        <v>44005.66667</v>
      </c>
      <c r="B117" s="2">
        <f>IFERROR(__xludf.DUMMYFUNCTION("""COMPUTED_VALUE"""),300.4)</f>
        <v>300.4</v>
      </c>
      <c r="C117" s="2">
        <f>IFERROR(__xludf.DUMMYFUNCTION("""COMPUTED_VALUE"""),302.35)</f>
        <v>302.35</v>
      </c>
      <c r="D117" s="2">
        <f>IFERROR(__xludf.DUMMYFUNCTION("""COMPUTED_VALUE"""),296.49)</f>
        <v>296.49</v>
      </c>
      <c r="E117" s="2">
        <f>IFERROR(__xludf.DUMMYFUNCTION("""COMPUTED_VALUE"""),298.44)</f>
        <v>298.44</v>
      </c>
      <c r="F117" s="2">
        <f>IFERROR(__xludf.DUMMYFUNCTION("""COMPUTED_VALUE"""),1.26432E7)</f>
        <v>12643200</v>
      </c>
      <c r="G117" s="2">
        <f t="shared" si="1"/>
        <v>5.86</v>
      </c>
    </row>
    <row r="118" ht="15.75" customHeight="1">
      <c r="A118" s="1">
        <f>IFERROR(__xludf.DUMMYFUNCTION("""COMPUTED_VALUE"""),44006.66666666667)</f>
        <v>44006.66667</v>
      </c>
      <c r="B118" s="2">
        <f>IFERROR(__xludf.DUMMYFUNCTION("""COMPUTED_VALUE"""),298.44)</f>
        <v>298.44</v>
      </c>
      <c r="C118" s="2">
        <f>IFERROR(__xludf.DUMMYFUNCTION("""COMPUTED_VALUE"""),312.1)</f>
        <v>312.1</v>
      </c>
      <c r="D118" s="2">
        <f>IFERROR(__xludf.DUMMYFUNCTION("""COMPUTED_VALUE"""),298.44)</f>
        <v>298.44</v>
      </c>
      <c r="E118" s="2">
        <f>IFERROR(__xludf.DUMMYFUNCTION("""COMPUTED_VALUE"""),306.25)</f>
        <v>306.25</v>
      </c>
      <c r="F118" s="2">
        <f>IFERROR(__xludf.DUMMYFUNCTION("""COMPUTED_VALUE"""),3.12874E7)</f>
        <v>31287400</v>
      </c>
      <c r="G118" s="2">
        <f t="shared" si="1"/>
        <v>13.66</v>
      </c>
    </row>
    <row r="119" ht="15.75" customHeight="1">
      <c r="A119" s="1">
        <f>IFERROR(__xludf.DUMMYFUNCTION("""COMPUTED_VALUE"""),44007.66666666667)</f>
        <v>44007.66667</v>
      </c>
      <c r="B119" s="2">
        <f>IFERROR(__xludf.DUMMYFUNCTION("""COMPUTED_VALUE"""),306.25)</f>
        <v>306.25</v>
      </c>
      <c r="C119" s="2">
        <f>IFERROR(__xludf.DUMMYFUNCTION("""COMPUTED_VALUE"""),306.25)</f>
        <v>306.25</v>
      </c>
      <c r="D119" s="2">
        <f>IFERROR(__xludf.DUMMYFUNCTION("""COMPUTED_VALUE"""),300.4)</f>
        <v>300.4</v>
      </c>
      <c r="E119" s="2">
        <f>IFERROR(__xludf.DUMMYFUNCTION("""COMPUTED_VALUE"""),302.35)</f>
        <v>302.35</v>
      </c>
      <c r="F119" s="2">
        <f>IFERROR(__xludf.DUMMYFUNCTION("""COMPUTED_VALUE"""),7923900.0)</f>
        <v>7923900</v>
      </c>
      <c r="G119" s="2">
        <f t="shared" si="1"/>
        <v>5.85</v>
      </c>
    </row>
    <row r="120" ht="15.75" customHeight="1">
      <c r="A120" s="1">
        <f>IFERROR(__xludf.DUMMYFUNCTION("""COMPUTED_VALUE"""),44008.66666666667)</f>
        <v>44008.66667</v>
      </c>
      <c r="B120" s="2">
        <f>IFERROR(__xludf.DUMMYFUNCTION("""COMPUTED_VALUE"""),304.3)</f>
        <v>304.3</v>
      </c>
      <c r="C120" s="2">
        <f>IFERROR(__xludf.DUMMYFUNCTION("""COMPUTED_VALUE"""),308.2)</f>
        <v>308.2</v>
      </c>
      <c r="D120" s="2">
        <f>IFERROR(__xludf.DUMMYFUNCTION("""COMPUTED_VALUE"""),300.4)</f>
        <v>300.4</v>
      </c>
      <c r="E120" s="2">
        <f>IFERROR(__xludf.DUMMYFUNCTION("""COMPUTED_VALUE"""),300.4)</f>
        <v>300.4</v>
      </c>
      <c r="F120" s="2">
        <f>IFERROR(__xludf.DUMMYFUNCTION("""COMPUTED_VALUE"""),7351000.0)</f>
        <v>7351000</v>
      </c>
      <c r="G120" s="2">
        <f t="shared" si="1"/>
        <v>7.8</v>
      </c>
    </row>
    <row r="121" ht="15.75" customHeight="1">
      <c r="A121" s="1">
        <f>IFERROR(__xludf.DUMMYFUNCTION("""COMPUTED_VALUE"""),44011.66666666667)</f>
        <v>44011.66667</v>
      </c>
      <c r="B121" s="2">
        <f>IFERROR(__xludf.DUMMYFUNCTION("""COMPUTED_VALUE"""),300.4)</f>
        <v>300.4</v>
      </c>
      <c r="C121" s="2">
        <f>IFERROR(__xludf.DUMMYFUNCTION("""COMPUTED_VALUE"""),302.35)</f>
        <v>302.35</v>
      </c>
      <c r="D121" s="2">
        <f>IFERROR(__xludf.DUMMYFUNCTION("""COMPUTED_VALUE"""),296.49)</f>
        <v>296.49</v>
      </c>
      <c r="E121" s="2">
        <f>IFERROR(__xludf.DUMMYFUNCTION("""COMPUTED_VALUE"""),298.44)</f>
        <v>298.44</v>
      </c>
      <c r="F121" s="2">
        <f>IFERROR(__xludf.DUMMYFUNCTION("""COMPUTED_VALUE"""),7183600.0)</f>
        <v>7183600</v>
      </c>
      <c r="G121" s="2">
        <f t="shared" si="1"/>
        <v>5.86</v>
      </c>
    </row>
    <row r="122" ht="15.75" customHeight="1">
      <c r="A122" s="1">
        <f>IFERROR(__xludf.DUMMYFUNCTION("""COMPUTED_VALUE"""),44012.66666666667)</f>
        <v>44012.66667</v>
      </c>
      <c r="B122" s="2">
        <f>IFERROR(__xludf.DUMMYFUNCTION("""COMPUTED_VALUE"""),302.35)</f>
        <v>302.35</v>
      </c>
      <c r="C122" s="2">
        <f>IFERROR(__xludf.DUMMYFUNCTION("""COMPUTED_VALUE"""),304.3)</f>
        <v>304.3</v>
      </c>
      <c r="D122" s="2">
        <f>IFERROR(__xludf.DUMMYFUNCTION("""COMPUTED_VALUE"""),298.44)</f>
        <v>298.44</v>
      </c>
      <c r="E122" s="2">
        <f>IFERROR(__xludf.DUMMYFUNCTION("""COMPUTED_VALUE"""),300.4)</f>
        <v>300.4</v>
      </c>
      <c r="F122" s="2">
        <f>IFERROR(__xludf.DUMMYFUNCTION("""COMPUTED_VALUE"""),5873700.0)</f>
        <v>5873700</v>
      </c>
      <c r="G122" s="2">
        <f t="shared" si="1"/>
        <v>5.86</v>
      </c>
    </row>
    <row r="123" ht="15.75" customHeight="1">
      <c r="A123" s="1">
        <f>IFERROR(__xludf.DUMMYFUNCTION("""COMPUTED_VALUE"""),44013.66666666667)</f>
        <v>44013.66667</v>
      </c>
      <c r="B123" s="2">
        <f>IFERROR(__xludf.DUMMYFUNCTION("""COMPUTED_VALUE"""),304.3)</f>
        <v>304.3</v>
      </c>
      <c r="C123" s="2">
        <f>IFERROR(__xludf.DUMMYFUNCTION("""COMPUTED_VALUE"""),304.3)</f>
        <v>304.3</v>
      </c>
      <c r="D123" s="2">
        <f>IFERROR(__xludf.DUMMYFUNCTION("""COMPUTED_VALUE"""),298.44)</f>
        <v>298.44</v>
      </c>
      <c r="E123" s="2">
        <f>IFERROR(__xludf.DUMMYFUNCTION("""COMPUTED_VALUE"""),298.44)</f>
        <v>298.44</v>
      </c>
      <c r="F123" s="2">
        <f>IFERROR(__xludf.DUMMYFUNCTION("""COMPUTED_VALUE"""),5248600.0)</f>
        <v>5248600</v>
      </c>
      <c r="G123" s="2">
        <f t="shared" si="1"/>
        <v>5.86</v>
      </c>
    </row>
    <row r="124" ht="15.75" customHeight="1">
      <c r="A124" s="1">
        <f>IFERROR(__xludf.DUMMYFUNCTION("""COMPUTED_VALUE"""),44014.66666666667)</f>
        <v>44014.66667</v>
      </c>
      <c r="B124" s="2">
        <f>IFERROR(__xludf.DUMMYFUNCTION("""COMPUTED_VALUE"""),300.4)</f>
        <v>300.4</v>
      </c>
      <c r="C124" s="2">
        <f>IFERROR(__xludf.DUMMYFUNCTION("""COMPUTED_VALUE"""),302.35)</f>
        <v>302.35</v>
      </c>
      <c r="D124" s="2">
        <f>IFERROR(__xludf.DUMMYFUNCTION("""COMPUTED_VALUE"""),296.49)</f>
        <v>296.49</v>
      </c>
      <c r="E124" s="2">
        <f>IFERROR(__xludf.DUMMYFUNCTION("""COMPUTED_VALUE"""),298.44)</f>
        <v>298.44</v>
      </c>
      <c r="F124" s="2">
        <f>IFERROR(__xludf.DUMMYFUNCTION("""COMPUTED_VALUE"""),1.07513E7)</f>
        <v>10751300</v>
      </c>
      <c r="G124" s="2">
        <f t="shared" si="1"/>
        <v>5.86</v>
      </c>
    </row>
    <row r="125" ht="15.75" customHeight="1">
      <c r="A125" s="1">
        <f>IFERROR(__xludf.DUMMYFUNCTION("""COMPUTED_VALUE"""),44015.66666666667)</f>
        <v>44015.66667</v>
      </c>
      <c r="B125" s="2">
        <f>IFERROR(__xludf.DUMMYFUNCTION("""COMPUTED_VALUE"""),300.4)</f>
        <v>300.4</v>
      </c>
      <c r="C125" s="2">
        <f>IFERROR(__xludf.DUMMYFUNCTION("""COMPUTED_VALUE"""),314.05)</f>
        <v>314.05</v>
      </c>
      <c r="D125" s="2">
        <f>IFERROR(__xludf.DUMMYFUNCTION("""COMPUTED_VALUE"""),300.4)</f>
        <v>300.4</v>
      </c>
      <c r="E125" s="2">
        <f>IFERROR(__xludf.DUMMYFUNCTION("""COMPUTED_VALUE"""),310.15)</f>
        <v>310.15</v>
      </c>
      <c r="F125" s="2">
        <f>IFERROR(__xludf.DUMMYFUNCTION("""COMPUTED_VALUE"""),7.9338E7)</f>
        <v>79338000</v>
      </c>
      <c r="G125" s="2">
        <f t="shared" si="1"/>
        <v>15.61</v>
      </c>
    </row>
    <row r="126" ht="15.75" customHeight="1">
      <c r="A126" s="1">
        <f>IFERROR(__xludf.DUMMYFUNCTION("""COMPUTED_VALUE"""),44018.66666666667)</f>
        <v>44018.66667</v>
      </c>
      <c r="B126" s="2">
        <f>IFERROR(__xludf.DUMMYFUNCTION("""COMPUTED_VALUE"""),314.05)</f>
        <v>314.05</v>
      </c>
      <c r="C126" s="2">
        <f>IFERROR(__xludf.DUMMYFUNCTION("""COMPUTED_VALUE"""),386.22)</f>
        <v>386.22</v>
      </c>
      <c r="D126" s="2">
        <f>IFERROR(__xludf.DUMMYFUNCTION("""COMPUTED_VALUE"""),314.05)</f>
        <v>314.05</v>
      </c>
      <c r="E126" s="2">
        <f>IFERROR(__xludf.DUMMYFUNCTION("""COMPUTED_VALUE"""),386.22)</f>
        <v>386.22</v>
      </c>
      <c r="F126" s="2">
        <f>IFERROR(__xludf.DUMMYFUNCTION("""COMPUTED_VALUE"""),5.427885E8)</f>
        <v>542788500</v>
      </c>
      <c r="G126" s="2">
        <f t="shared" si="1"/>
        <v>76.07</v>
      </c>
    </row>
    <row r="127" ht="15.75" customHeight="1">
      <c r="A127" s="1">
        <f>IFERROR(__xludf.DUMMYFUNCTION("""COMPUTED_VALUE"""),44019.66666666667)</f>
        <v>44019.66667</v>
      </c>
      <c r="B127" s="2">
        <f>IFERROR(__xludf.DUMMYFUNCTION("""COMPUTED_VALUE"""),397.93)</f>
        <v>397.93</v>
      </c>
      <c r="C127" s="2">
        <f>IFERROR(__xludf.DUMMYFUNCTION("""COMPUTED_VALUE"""),464.25)</f>
        <v>464.25</v>
      </c>
      <c r="D127" s="2">
        <f>IFERROR(__xludf.DUMMYFUNCTION("""COMPUTED_VALUE"""),390.12)</f>
        <v>390.12</v>
      </c>
      <c r="E127" s="2">
        <f>IFERROR(__xludf.DUMMYFUNCTION("""COMPUTED_VALUE"""),440.84)</f>
        <v>440.84</v>
      </c>
      <c r="F127" s="2">
        <f>IFERROR(__xludf.DUMMYFUNCTION("""COMPUTED_VALUE"""),1.3186518E9)</f>
        <v>1318651800</v>
      </c>
      <c r="G127" s="2">
        <f t="shared" si="1"/>
        <v>78.03</v>
      </c>
    </row>
    <row r="128" ht="15.75" customHeight="1">
      <c r="A128" s="1">
        <f>IFERROR(__xludf.DUMMYFUNCTION("""COMPUTED_VALUE"""),44020.66666666667)</f>
        <v>44020.66667</v>
      </c>
      <c r="B128" s="2">
        <f>IFERROR(__xludf.DUMMYFUNCTION("""COMPUTED_VALUE"""),440.84)</f>
        <v>440.84</v>
      </c>
      <c r="C128" s="2">
        <f>IFERROR(__xludf.DUMMYFUNCTION("""COMPUTED_VALUE"""),458.4)</f>
        <v>458.4</v>
      </c>
      <c r="D128" s="2">
        <f>IFERROR(__xludf.DUMMYFUNCTION("""COMPUTED_VALUE"""),421.33)</f>
        <v>421.33</v>
      </c>
      <c r="E128" s="2">
        <f>IFERROR(__xludf.DUMMYFUNCTION("""COMPUTED_VALUE"""),429.14)</f>
        <v>429.14</v>
      </c>
      <c r="F128" s="2">
        <f>IFERROR(__xludf.DUMMYFUNCTION("""COMPUTED_VALUE"""),3.611519E8)</f>
        <v>361151900</v>
      </c>
      <c r="G128" s="2">
        <f t="shared" si="1"/>
        <v>37.07</v>
      </c>
    </row>
    <row r="129" ht="15.75" customHeight="1">
      <c r="A129" s="1">
        <f>IFERROR(__xludf.DUMMYFUNCTION("""COMPUTED_VALUE"""),44021.66666666667)</f>
        <v>44021.66667</v>
      </c>
      <c r="B129" s="2">
        <f>IFERROR(__xludf.DUMMYFUNCTION("""COMPUTED_VALUE"""),429.14)</f>
        <v>429.14</v>
      </c>
      <c r="C129" s="2">
        <f>IFERROR(__xludf.DUMMYFUNCTION("""COMPUTED_VALUE"""),438.89)</f>
        <v>438.89</v>
      </c>
      <c r="D129" s="2">
        <f>IFERROR(__xludf.DUMMYFUNCTION("""COMPUTED_VALUE"""),421.33)</f>
        <v>421.33</v>
      </c>
      <c r="E129" s="2">
        <f>IFERROR(__xludf.DUMMYFUNCTION("""COMPUTED_VALUE"""),427.19)</f>
        <v>427.19</v>
      </c>
      <c r="F129" s="2">
        <f>IFERROR(__xludf.DUMMYFUNCTION("""COMPUTED_VALUE"""),1.060356E8)</f>
        <v>106035600</v>
      </c>
      <c r="G129" s="2">
        <f t="shared" si="1"/>
        <v>17.56</v>
      </c>
    </row>
    <row r="130" ht="15.75" customHeight="1">
      <c r="A130" s="1">
        <f>IFERROR(__xludf.DUMMYFUNCTION("""COMPUTED_VALUE"""),44022.66666666667)</f>
        <v>44022.66667</v>
      </c>
      <c r="B130" s="2">
        <f>IFERROR(__xludf.DUMMYFUNCTION("""COMPUTED_VALUE"""),429.14)</f>
        <v>429.14</v>
      </c>
      <c r="C130" s="2">
        <f>IFERROR(__xludf.DUMMYFUNCTION("""COMPUTED_VALUE"""),492.53)</f>
        <v>492.53</v>
      </c>
      <c r="D130" s="2">
        <f>IFERROR(__xludf.DUMMYFUNCTION("""COMPUTED_VALUE"""),423.28)</f>
        <v>423.28</v>
      </c>
      <c r="E130" s="2">
        <f>IFERROR(__xludf.DUMMYFUNCTION("""COMPUTED_VALUE"""),462.3)</f>
        <v>462.3</v>
      </c>
      <c r="F130" s="2">
        <f>IFERROR(__xludf.DUMMYFUNCTION("""COMPUTED_VALUE"""),9.45221E8)</f>
        <v>945221000</v>
      </c>
      <c r="G130" s="2">
        <f t="shared" si="1"/>
        <v>69.25</v>
      </c>
    </row>
    <row r="131" ht="15.75" customHeight="1">
      <c r="A131" s="1">
        <f>IFERROR(__xludf.DUMMYFUNCTION("""COMPUTED_VALUE"""),44025.66666666667)</f>
        <v>44025.66667</v>
      </c>
      <c r="B131" s="2">
        <f>IFERROR(__xludf.DUMMYFUNCTION("""COMPUTED_VALUE"""),470.1)</f>
        <v>470.1</v>
      </c>
      <c r="C131" s="2">
        <f>IFERROR(__xludf.DUMMYFUNCTION("""COMPUTED_VALUE"""),483.75)</f>
        <v>483.75</v>
      </c>
      <c r="D131" s="2">
        <f>IFERROR(__xludf.DUMMYFUNCTION("""COMPUTED_VALUE"""),466.2)</f>
        <v>466.2</v>
      </c>
      <c r="E131" s="2">
        <f>IFERROR(__xludf.DUMMYFUNCTION("""COMPUTED_VALUE"""),470.1)</f>
        <v>470.1</v>
      </c>
      <c r="F131" s="2">
        <f>IFERROR(__xludf.DUMMYFUNCTION("""COMPUTED_VALUE"""),2.005748E8)</f>
        <v>200574800</v>
      </c>
      <c r="G131" s="2">
        <f t="shared" si="1"/>
        <v>21.45</v>
      </c>
    </row>
    <row r="132" ht="15.75" customHeight="1">
      <c r="A132" s="1">
        <f>IFERROR(__xludf.DUMMYFUNCTION("""COMPUTED_VALUE"""),44026.66666666667)</f>
        <v>44026.66667</v>
      </c>
      <c r="B132" s="2">
        <f>IFERROR(__xludf.DUMMYFUNCTION("""COMPUTED_VALUE"""),472.05)</f>
        <v>472.05</v>
      </c>
      <c r="C132" s="2">
        <f>IFERROR(__xludf.DUMMYFUNCTION("""COMPUTED_VALUE"""),502.28)</f>
        <v>502.28</v>
      </c>
      <c r="D132" s="2">
        <f>IFERROR(__xludf.DUMMYFUNCTION("""COMPUTED_VALUE"""),462.3)</f>
        <v>462.3</v>
      </c>
      <c r="E132" s="2">
        <f>IFERROR(__xludf.DUMMYFUNCTION("""COMPUTED_VALUE"""),477.9)</f>
        <v>477.9</v>
      </c>
      <c r="F132" s="2">
        <f>IFERROR(__xludf.DUMMYFUNCTION("""COMPUTED_VALUE"""),4.035379E8)</f>
        <v>403537900</v>
      </c>
      <c r="G132" s="2">
        <f t="shared" si="1"/>
        <v>39.98</v>
      </c>
    </row>
    <row r="133" ht="15.75" customHeight="1">
      <c r="A133" s="1">
        <f>IFERROR(__xludf.DUMMYFUNCTION("""COMPUTED_VALUE"""),44027.66666666667)</f>
        <v>44027.66667</v>
      </c>
      <c r="B133" s="2">
        <f>IFERROR(__xludf.DUMMYFUNCTION("""COMPUTED_VALUE"""),479.85)</f>
        <v>479.85</v>
      </c>
      <c r="C133" s="2">
        <f>IFERROR(__xludf.DUMMYFUNCTION("""COMPUTED_VALUE"""),487.65)</f>
        <v>487.65</v>
      </c>
      <c r="D133" s="2">
        <f>IFERROR(__xludf.DUMMYFUNCTION("""COMPUTED_VALUE"""),472.05)</f>
        <v>472.05</v>
      </c>
      <c r="E133" s="2">
        <f>IFERROR(__xludf.DUMMYFUNCTION("""COMPUTED_VALUE"""),477.9)</f>
        <v>477.9</v>
      </c>
      <c r="F133" s="2">
        <f>IFERROR(__xludf.DUMMYFUNCTION("""COMPUTED_VALUE"""),1.325858E8)</f>
        <v>132585800</v>
      </c>
      <c r="G133" s="2">
        <f t="shared" si="1"/>
        <v>15.6</v>
      </c>
    </row>
    <row r="134" ht="15.75" customHeight="1">
      <c r="A134" s="1">
        <f>IFERROR(__xludf.DUMMYFUNCTION("""COMPUTED_VALUE"""),44028.66666666667)</f>
        <v>44028.66667</v>
      </c>
      <c r="B134" s="2">
        <f>IFERROR(__xludf.DUMMYFUNCTION("""COMPUTED_VALUE"""),483.75)</f>
        <v>483.75</v>
      </c>
      <c r="C134" s="2">
        <f>IFERROR(__xludf.DUMMYFUNCTION("""COMPUTED_VALUE"""),487.65)</f>
        <v>487.65</v>
      </c>
      <c r="D134" s="2">
        <f>IFERROR(__xludf.DUMMYFUNCTION("""COMPUTED_VALUE"""),475.95)</f>
        <v>475.95</v>
      </c>
      <c r="E134" s="2">
        <f>IFERROR(__xludf.DUMMYFUNCTION("""COMPUTED_VALUE"""),479.85)</f>
        <v>479.85</v>
      </c>
      <c r="F134" s="2">
        <f>IFERROR(__xludf.DUMMYFUNCTION("""COMPUTED_VALUE"""),1.783179E8)</f>
        <v>178317900</v>
      </c>
      <c r="G134" s="2">
        <f t="shared" si="1"/>
        <v>11.7</v>
      </c>
    </row>
    <row r="135" ht="15.75" customHeight="1">
      <c r="A135" s="1">
        <f>IFERROR(__xludf.DUMMYFUNCTION("""COMPUTED_VALUE"""),44029.66666666667)</f>
        <v>44029.66667</v>
      </c>
      <c r="B135" s="2">
        <f>IFERROR(__xludf.DUMMYFUNCTION("""COMPUTED_VALUE"""),479.85)</f>
        <v>479.85</v>
      </c>
      <c r="C135" s="2">
        <f>IFERROR(__xludf.DUMMYFUNCTION("""COMPUTED_VALUE"""),483.75)</f>
        <v>483.75</v>
      </c>
      <c r="D135" s="2">
        <f>IFERROR(__xludf.DUMMYFUNCTION("""COMPUTED_VALUE"""),474.0)</f>
        <v>474</v>
      </c>
      <c r="E135" s="2">
        <f>IFERROR(__xludf.DUMMYFUNCTION("""COMPUTED_VALUE"""),475.95)</f>
        <v>475.95</v>
      </c>
      <c r="F135" s="2">
        <f>IFERROR(__xludf.DUMMYFUNCTION("""COMPUTED_VALUE"""),5.57601E7)</f>
        <v>55760100</v>
      </c>
      <c r="G135" s="2">
        <f t="shared" si="1"/>
        <v>9.75</v>
      </c>
    </row>
    <row r="136" ht="15.75" customHeight="1">
      <c r="A136" s="1">
        <f>IFERROR(__xludf.DUMMYFUNCTION("""COMPUTED_VALUE"""),44032.66666666667)</f>
        <v>44032.66667</v>
      </c>
      <c r="B136" s="2">
        <f>IFERROR(__xludf.DUMMYFUNCTION("""COMPUTED_VALUE"""),475.95)</f>
        <v>475.95</v>
      </c>
      <c r="C136" s="2">
        <f>IFERROR(__xludf.DUMMYFUNCTION("""COMPUTED_VALUE"""),477.9)</f>
        <v>477.9</v>
      </c>
      <c r="D136" s="2">
        <f>IFERROR(__xludf.DUMMYFUNCTION("""COMPUTED_VALUE"""),460.35)</f>
        <v>460.35</v>
      </c>
      <c r="E136" s="2">
        <f>IFERROR(__xludf.DUMMYFUNCTION("""COMPUTED_VALUE"""),462.3)</f>
        <v>462.3</v>
      </c>
      <c r="F136" s="2">
        <f>IFERROR(__xludf.DUMMYFUNCTION("""COMPUTED_VALUE"""),6.79481E7)</f>
        <v>67948100</v>
      </c>
      <c r="G136" s="2">
        <f t="shared" si="1"/>
        <v>17.55</v>
      </c>
    </row>
    <row r="137" ht="15.75" customHeight="1">
      <c r="A137" s="1">
        <f>IFERROR(__xludf.DUMMYFUNCTION("""COMPUTED_VALUE"""),44033.66666666667)</f>
        <v>44033.66667</v>
      </c>
      <c r="B137" s="2">
        <f>IFERROR(__xludf.DUMMYFUNCTION("""COMPUTED_VALUE"""),462.3)</f>
        <v>462.3</v>
      </c>
      <c r="C137" s="2">
        <f>IFERROR(__xludf.DUMMYFUNCTION("""COMPUTED_VALUE"""),475.95)</f>
        <v>475.95</v>
      </c>
      <c r="D137" s="2">
        <f>IFERROR(__xludf.DUMMYFUNCTION("""COMPUTED_VALUE"""),462.3)</f>
        <v>462.3</v>
      </c>
      <c r="E137" s="2">
        <f>IFERROR(__xludf.DUMMYFUNCTION("""COMPUTED_VALUE"""),472.05)</f>
        <v>472.05</v>
      </c>
      <c r="F137" s="2">
        <f>IFERROR(__xludf.DUMMYFUNCTION("""COMPUTED_VALUE"""),5.9554E7)</f>
        <v>59554000</v>
      </c>
      <c r="G137" s="2">
        <f t="shared" si="1"/>
        <v>13.65</v>
      </c>
    </row>
    <row r="138" ht="15.75" customHeight="1">
      <c r="A138" s="1">
        <f>IFERROR(__xludf.DUMMYFUNCTION("""COMPUTED_VALUE"""),44034.66666666667)</f>
        <v>44034.66667</v>
      </c>
      <c r="B138" s="2">
        <f>IFERROR(__xludf.DUMMYFUNCTION("""COMPUTED_VALUE"""),474.0)</f>
        <v>474</v>
      </c>
      <c r="C138" s="2">
        <f>IFERROR(__xludf.DUMMYFUNCTION("""COMPUTED_VALUE"""),475.95)</f>
        <v>475.95</v>
      </c>
      <c r="D138" s="2">
        <f>IFERROR(__xludf.DUMMYFUNCTION("""COMPUTED_VALUE"""),462.3)</f>
        <v>462.3</v>
      </c>
      <c r="E138" s="2">
        <f>IFERROR(__xludf.DUMMYFUNCTION("""COMPUTED_VALUE"""),468.15)</f>
        <v>468.15</v>
      </c>
      <c r="F138" s="2">
        <f>IFERROR(__xludf.DUMMYFUNCTION("""COMPUTED_VALUE"""),6.11106E7)</f>
        <v>61110600</v>
      </c>
      <c r="G138" s="2">
        <f t="shared" si="1"/>
        <v>13.65</v>
      </c>
    </row>
    <row r="139" ht="15.75" customHeight="1">
      <c r="A139" s="1">
        <f>IFERROR(__xludf.DUMMYFUNCTION("""COMPUTED_VALUE"""),44035.66666666667)</f>
        <v>44035.66667</v>
      </c>
      <c r="B139" s="2">
        <f>IFERROR(__xludf.DUMMYFUNCTION("""COMPUTED_VALUE"""),474.0)</f>
        <v>474</v>
      </c>
      <c r="C139" s="2">
        <f>IFERROR(__xludf.DUMMYFUNCTION("""COMPUTED_VALUE"""),497.41)</f>
        <v>497.41</v>
      </c>
      <c r="D139" s="2">
        <f>IFERROR(__xludf.DUMMYFUNCTION("""COMPUTED_VALUE"""),470.1)</f>
        <v>470.1</v>
      </c>
      <c r="E139" s="2">
        <f>IFERROR(__xludf.DUMMYFUNCTION("""COMPUTED_VALUE"""),481.8)</f>
        <v>481.8</v>
      </c>
      <c r="F139" s="2">
        <f>IFERROR(__xludf.DUMMYFUNCTION("""COMPUTED_VALUE"""),2.366785E8)</f>
        <v>236678500</v>
      </c>
      <c r="G139" s="2">
        <f t="shared" si="1"/>
        <v>29.26</v>
      </c>
    </row>
    <row r="140" ht="15.75" customHeight="1">
      <c r="A140" s="1">
        <f>IFERROR(__xludf.DUMMYFUNCTION("""COMPUTED_VALUE"""),44036.66666666667)</f>
        <v>44036.66667</v>
      </c>
      <c r="B140" s="2">
        <f>IFERROR(__xludf.DUMMYFUNCTION("""COMPUTED_VALUE"""),477.9)</f>
        <v>477.9</v>
      </c>
      <c r="C140" s="2">
        <f>IFERROR(__xludf.DUMMYFUNCTION("""COMPUTED_VALUE"""),483.75)</f>
        <v>483.75</v>
      </c>
      <c r="D140" s="2">
        <f>IFERROR(__xludf.DUMMYFUNCTION("""COMPUTED_VALUE"""),470.1)</f>
        <v>470.1</v>
      </c>
      <c r="E140" s="2">
        <f>IFERROR(__xludf.DUMMYFUNCTION("""COMPUTED_VALUE"""),472.05)</f>
        <v>472.05</v>
      </c>
      <c r="F140" s="2">
        <f>IFERROR(__xludf.DUMMYFUNCTION("""COMPUTED_VALUE"""),6.40595E7)</f>
        <v>64059500</v>
      </c>
      <c r="G140" s="2">
        <f t="shared" si="1"/>
        <v>13.65</v>
      </c>
    </row>
    <row r="141" ht="15.75" customHeight="1">
      <c r="A141" s="1">
        <f>IFERROR(__xludf.DUMMYFUNCTION("""COMPUTED_VALUE"""),44039.66666666667)</f>
        <v>44039.66667</v>
      </c>
      <c r="B141" s="2">
        <f>IFERROR(__xludf.DUMMYFUNCTION("""COMPUTED_VALUE"""),474.0)</f>
        <v>474</v>
      </c>
      <c r="C141" s="2">
        <f>IFERROR(__xludf.DUMMYFUNCTION("""COMPUTED_VALUE"""),475.95)</f>
        <v>475.95</v>
      </c>
      <c r="D141" s="2">
        <f>IFERROR(__xludf.DUMMYFUNCTION("""COMPUTED_VALUE"""),464.25)</f>
        <v>464.25</v>
      </c>
      <c r="E141" s="2">
        <f>IFERROR(__xludf.DUMMYFUNCTION("""COMPUTED_VALUE"""),468.15)</f>
        <v>468.15</v>
      </c>
      <c r="F141" s="2">
        <f>IFERROR(__xludf.DUMMYFUNCTION("""COMPUTED_VALUE"""),5.16183E7)</f>
        <v>51618300</v>
      </c>
      <c r="G141" s="2">
        <f t="shared" si="1"/>
        <v>11.7</v>
      </c>
    </row>
    <row r="142" ht="15.75" customHeight="1">
      <c r="A142" s="1">
        <f>IFERROR(__xludf.DUMMYFUNCTION("""COMPUTED_VALUE"""),44040.66666666667)</f>
        <v>44040.66667</v>
      </c>
      <c r="B142" s="2">
        <f>IFERROR(__xludf.DUMMYFUNCTION("""COMPUTED_VALUE"""),468.15)</f>
        <v>468.15</v>
      </c>
      <c r="C142" s="2">
        <f>IFERROR(__xludf.DUMMYFUNCTION("""COMPUTED_VALUE"""),585.19)</f>
        <v>585.19</v>
      </c>
      <c r="D142" s="2">
        <f>IFERROR(__xludf.DUMMYFUNCTION("""COMPUTED_VALUE"""),466.2)</f>
        <v>466.2</v>
      </c>
      <c r="E142" s="2">
        <f>IFERROR(__xludf.DUMMYFUNCTION("""COMPUTED_VALUE"""),575.43)</f>
        <v>575.43</v>
      </c>
      <c r="F142" s="2">
        <f>IFERROR(__xludf.DUMMYFUNCTION("""COMPUTED_VALUE"""),7.783975E8)</f>
        <v>778397500</v>
      </c>
      <c r="G142" s="2">
        <f t="shared" si="1"/>
        <v>118.99</v>
      </c>
    </row>
    <row r="143" ht="15.75" customHeight="1">
      <c r="A143" s="1">
        <f>IFERROR(__xludf.DUMMYFUNCTION("""COMPUTED_VALUE"""),44041.66666666667)</f>
        <v>44041.66667</v>
      </c>
      <c r="B143" s="2">
        <f>IFERROR(__xludf.DUMMYFUNCTION("""COMPUTED_VALUE"""),580.31)</f>
        <v>580.31</v>
      </c>
      <c r="C143" s="2">
        <f>IFERROR(__xludf.DUMMYFUNCTION("""COMPUTED_VALUE"""),599.81)</f>
        <v>599.81</v>
      </c>
      <c r="D143" s="2">
        <f>IFERROR(__xludf.DUMMYFUNCTION("""COMPUTED_VALUE"""),536.42)</f>
        <v>536.42</v>
      </c>
      <c r="E143" s="2">
        <f>IFERROR(__xludf.DUMMYFUNCTION("""COMPUTED_VALUE"""),536.42)</f>
        <v>536.42</v>
      </c>
      <c r="F143" s="2">
        <f>IFERROR(__xludf.DUMMYFUNCTION("""COMPUTED_VALUE"""),3.878494E8)</f>
        <v>387849400</v>
      </c>
      <c r="G143" s="2">
        <f t="shared" si="1"/>
        <v>63.39</v>
      </c>
    </row>
    <row r="144" ht="15.75" customHeight="1">
      <c r="A144" s="1">
        <f>IFERROR(__xludf.DUMMYFUNCTION("""COMPUTED_VALUE"""),44042.66666666667)</f>
        <v>44042.66667</v>
      </c>
      <c r="B144" s="2">
        <f>IFERROR(__xludf.DUMMYFUNCTION("""COMPUTED_VALUE"""),536.42)</f>
        <v>536.42</v>
      </c>
      <c r="C144" s="2">
        <f>IFERROR(__xludf.DUMMYFUNCTION("""COMPUTED_VALUE"""),565.68)</f>
        <v>565.68</v>
      </c>
      <c r="D144" s="2">
        <f>IFERROR(__xludf.DUMMYFUNCTION("""COMPUTED_VALUE"""),507.16)</f>
        <v>507.16</v>
      </c>
      <c r="E144" s="2">
        <f>IFERROR(__xludf.DUMMYFUNCTION("""COMPUTED_VALUE"""),526.67)</f>
        <v>526.67</v>
      </c>
      <c r="F144" s="2">
        <f>IFERROR(__xludf.DUMMYFUNCTION("""COMPUTED_VALUE"""),2.877542E8)</f>
        <v>287754200</v>
      </c>
      <c r="G144" s="2">
        <f t="shared" si="1"/>
        <v>58.52</v>
      </c>
    </row>
    <row r="145" ht="15.75" customHeight="1">
      <c r="A145" s="1">
        <f>IFERROR(__xludf.DUMMYFUNCTION("""COMPUTED_VALUE"""),44046.66666666667)</f>
        <v>44046.66667</v>
      </c>
      <c r="B145" s="2">
        <f>IFERROR(__xludf.DUMMYFUNCTION("""COMPUTED_VALUE"""),526.67)</f>
        <v>526.67</v>
      </c>
      <c r="C145" s="2">
        <f>IFERROR(__xludf.DUMMYFUNCTION("""COMPUTED_VALUE"""),546.17)</f>
        <v>546.17</v>
      </c>
      <c r="D145" s="2">
        <f>IFERROR(__xludf.DUMMYFUNCTION("""COMPUTED_VALUE"""),492.53)</f>
        <v>492.53</v>
      </c>
      <c r="E145" s="2">
        <f>IFERROR(__xludf.DUMMYFUNCTION("""COMPUTED_VALUE"""),502.28)</f>
        <v>502.28</v>
      </c>
      <c r="F145" s="2">
        <f>IFERROR(__xludf.DUMMYFUNCTION("""COMPUTED_VALUE"""),1.619592E8)</f>
        <v>161959200</v>
      </c>
      <c r="G145" s="2">
        <f t="shared" si="1"/>
        <v>53.64</v>
      </c>
    </row>
    <row r="146" ht="15.75" customHeight="1">
      <c r="A146" s="1">
        <f>IFERROR(__xludf.DUMMYFUNCTION("""COMPUTED_VALUE"""),44047.66666666667)</f>
        <v>44047.66667</v>
      </c>
      <c r="B146" s="2">
        <f>IFERROR(__xludf.DUMMYFUNCTION("""COMPUTED_VALUE"""),502.28)</f>
        <v>502.28</v>
      </c>
      <c r="C146" s="2">
        <f>IFERROR(__xludf.DUMMYFUNCTION("""COMPUTED_VALUE"""),541.3)</f>
        <v>541.3</v>
      </c>
      <c r="D146" s="2">
        <f>IFERROR(__xludf.DUMMYFUNCTION("""COMPUTED_VALUE"""),502.28)</f>
        <v>502.28</v>
      </c>
      <c r="E146" s="2">
        <f>IFERROR(__xludf.DUMMYFUNCTION("""COMPUTED_VALUE"""),521.79)</f>
        <v>521.79</v>
      </c>
      <c r="F146" s="2">
        <f>IFERROR(__xludf.DUMMYFUNCTION("""COMPUTED_VALUE"""),1.684546E8)</f>
        <v>168454600</v>
      </c>
      <c r="G146" s="2">
        <f t="shared" si="1"/>
        <v>39.02</v>
      </c>
    </row>
    <row r="147" ht="15.75" customHeight="1">
      <c r="A147" s="1">
        <f>IFERROR(__xludf.DUMMYFUNCTION("""COMPUTED_VALUE"""),44048.66666666667)</f>
        <v>44048.66667</v>
      </c>
      <c r="B147" s="2">
        <f>IFERROR(__xludf.DUMMYFUNCTION("""COMPUTED_VALUE"""),526.67)</f>
        <v>526.67</v>
      </c>
      <c r="C147" s="2">
        <f>IFERROR(__xludf.DUMMYFUNCTION("""COMPUTED_VALUE"""),555.93)</f>
        <v>555.93</v>
      </c>
      <c r="D147" s="2">
        <f>IFERROR(__xludf.DUMMYFUNCTION("""COMPUTED_VALUE"""),507.16)</f>
        <v>507.16</v>
      </c>
      <c r="E147" s="2">
        <f>IFERROR(__xludf.DUMMYFUNCTION("""COMPUTED_VALUE"""),536.42)</f>
        <v>536.42</v>
      </c>
      <c r="F147" s="2">
        <f>IFERROR(__xludf.DUMMYFUNCTION("""COMPUTED_VALUE"""),2.082061E8)</f>
        <v>208206100</v>
      </c>
      <c r="G147" s="2">
        <f t="shared" si="1"/>
        <v>48.77</v>
      </c>
    </row>
    <row r="148" ht="15.75" customHeight="1">
      <c r="A148" s="1">
        <f>IFERROR(__xludf.DUMMYFUNCTION("""COMPUTED_VALUE"""),44049.66666666667)</f>
        <v>44049.66667</v>
      </c>
      <c r="B148" s="2">
        <f>IFERROR(__xludf.DUMMYFUNCTION("""COMPUTED_VALUE"""),541.3)</f>
        <v>541.3</v>
      </c>
      <c r="C148" s="2">
        <f>IFERROR(__xludf.DUMMYFUNCTION("""COMPUTED_VALUE"""),560.8)</f>
        <v>560.8</v>
      </c>
      <c r="D148" s="2">
        <f>IFERROR(__xludf.DUMMYFUNCTION("""COMPUTED_VALUE"""),531.54)</f>
        <v>531.54</v>
      </c>
      <c r="E148" s="2">
        <f>IFERROR(__xludf.DUMMYFUNCTION("""COMPUTED_VALUE"""),541.3)</f>
        <v>541.3</v>
      </c>
      <c r="F148" s="2">
        <f>IFERROR(__xludf.DUMMYFUNCTION("""COMPUTED_VALUE"""),1.463753E8)</f>
        <v>146375300</v>
      </c>
      <c r="G148" s="2">
        <f t="shared" si="1"/>
        <v>29.26</v>
      </c>
    </row>
    <row r="149" ht="15.75" customHeight="1">
      <c r="A149" s="1">
        <f>IFERROR(__xludf.DUMMYFUNCTION("""COMPUTED_VALUE"""),44050.66666666667)</f>
        <v>44050.66667</v>
      </c>
      <c r="B149" s="2">
        <f>IFERROR(__xludf.DUMMYFUNCTION("""COMPUTED_VALUE"""),551.05)</f>
        <v>551.05</v>
      </c>
      <c r="C149" s="2">
        <f>IFERROR(__xludf.DUMMYFUNCTION("""COMPUTED_VALUE"""),551.05)</f>
        <v>551.05</v>
      </c>
      <c r="D149" s="2">
        <f>IFERROR(__xludf.DUMMYFUNCTION("""COMPUTED_VALUE"""),531.54)</f>
        <v>531.54</v>
      </c>
      <c r="E149" s="2">
        <f>IFERROR(__xludf.DUMMYFUNCTION("""COMPUTED_VALUE"""),536.42)</f>
        <v>536.42</v>
      </c>
      <c r="F149" s="2">
        <f>IFERROR(__xludf.DUMMYFUNCTION("""COMPUTED_VALUE"""),7.17849E7)</f>
        <v>71784900</v>
      </c>
      <c r="G149" s="2">
        <f t="shared" si="1"/>
        <v>19.51</v>
      </c>
    </row>
    <row r="150" ht="15.75" customHeight="1">
      <c r="A150" s="1">
        <f>IFERROR(__xludf.DUMMYFUNCTION("""COMPUTED_VALUE"""),44053.66666666667)</f>
        <v>44053.66667</v>
      </c>
      <c r="B150" s="2">
        <f>IFERROR(__xludf.DUMMYFUNCTION("""COMPUTED_VALUE"""),536.42)</f>
        <v>536.42</v>
      </c>
      <c r="C150" s="2">
        <f>IFERROR(__xludf.DUMMYFUNCTION("""COMPUTED_VALUE"""),555.93)</f>
        <v>555.93</v>
      </c>
      <c r="D150" s="2">
        <f>IFERROR(__xludf.DUMMYFUNCTION("""COMPUTED_VALUE"""),536.42)</f>
        <v>536.42</v>
      </c>
      <c r="E150" s="2">
        <f>IFERROR(__xludf.DUMMYFUNCTION("""COMPUTED_VALUE"""),546.17)</f>
        <v>546.17</v>
      </c>
      <c r="F150" s="2">
        <f>IFERROR(__xludf.DUMMYFUNCTION("""COMPUTED_VALUE"""),1.096508E8)</f>
        <v>109650800</v>
      </c>
      <c r="G150" s="2">
        <f t="shared" si="1"/>
        <v>19.51</v>
      </c>
    </row>
    <row r="151" ht="15.75" customHeight="1">
      <c r="A151" s="1">
        <f>IFERROR(__xludf.DUMMYFUNCTION("""COMPUTED_VALUE"""),44054.66666666667)</f>
        <v>44054.66667</v>
      </c>
      <c r="B151" s="2">
        <f>IFERROR(__xludf.DUMMYFUNCTION("""COMPUTED_VALUE"""),551.05)</f>
        <v>551.05</v>
      </c>
      <c r="C151" s="2">
        <f>IFERROR(__xludf.DUMMYFUNCTION("""COMPUTED_VALUE"""),575.43)</f>
        <v>575.43</v>
      </c>
      <c r="D151" s="2">
        <f>IFERROR(__xludf.DUMMYFUNCTION("""COMPUTED_VALUE"""),551.05)</f>
        <v>551.05</v>
      </c>
      <c r="E151" s="2">
        <f>IFERROR(__xludf.DUMMYFUNCTION("""COMPUTED_VALUE"""),555.93)</f>
        <v>555.93</v>
      </c>
      <c r="F151" s="2">
        <f>IFERROR(__xludf.DUMMYFUNCTION("""COMPUTED_VALUE"""),1.208468E8)</f>
        <v>120846800</v>
      </c>
      <c r="G151" s="2">
        <f t="shared" si="1"/>
        <v>29.26</v>
      </c>
    </row>
    <row r="152" ht="15.75" customHeight="1">
      <c r="A152" s="1">
        <f>IFERROR(__xludf.DUMMYFUNCTION("""COMPUTED_VALUE"""),44055.66666666667)</f>
        <v>44055.66667</v>
      </c>
      <c r="B152" s="2">
        <f>IFERROR(__xludf.DUMMYFUNCTION("""COMPUTED_VALUE"""),555.93)</f>
        <v>555.93</v>
      </c>
      <c r="C152" s="2">
        <f>IFERROR(__xludf.DUMMYFUNCTION("""COMPUTED_VALUE"""),619.32)</f>
        <v>619.32</v>
      </c>
      <c r="D152" s="2">
        <f>IFERROR(__xludf.DUMMYFUNCTION("""COMPUTED_VALUE"""),546.17)</f>
        <v>546.17</v>
      </c>
      <c r="E152" s="2">
        <f>IFERROR(__xludf.DUMMYFUNCTION("""COMPUTED_VALUE"""),575.43)</f>
        <v>575.43</v>
      </c>
      <c r="F152" s="2">
        <f>IFERROR(__xludf.DUMMYFUNCTION("""COMPUTED_VALUE"""),7.034861E8)</f>
        <v>703486100</v>
      </c>
      <c r="G152" s="2">
        <f t="shared" si="1"/>
        <v>73.15</v>
      </c>
    </row>
    <row r="153" ht="15.75" customHeight="1">
      <c r="A153" s="1">
        <f>IFERROR(__xludf.DUMMYFUNCTION("""COMPUTED_VALUE"""),44056.66666666667)</f>
        <v>44056.66667</v>
      </c>
      <c r="B153" s="2">
        <f>IFERROR(__xludf.DUMMYFUNCTION("""COMPUTED_VALUE"""),590.06)</f>
        <v>590.06</v>
      </c>
      <c r="C153" s="2">
        <f>IFERROR(__xludf.DUMMYFUNCTION("""COMPUTED_VALUE"""),614.44)</f>
        <v>614.44</v>
      </c>
      <c r="D153" s="2">
        <f>IFERROR(__xludf.DUMMYFUNCTION("""COMPUTED_VALUE"""),565.68)</f>
        <v>565.68</v>
      </c>
      <c r="E153" s="2">
        <f>IFERROR(__xludf.DUMMYFUNCTION("""COMPUTED_VALUE"""),570.56)</f>
        <v>570.56</v>
      </c>
      <c r="F153" s="2">
        <f>IFERROR(__xludf.DUMMYFUNCTION("""COMPUTED_VALUE"""),1.50199E8)</f>
        <v>150199000</v>
      </c>
      <c r="G153" s="2">
        <f t="shared" si="1"/>
        <v>48.76</v>
      </c>
    </row>
    <row r="154" ht="15.75" customHeight="1">
      <c r="A154" s="1">
        <f>IFERROR(__xludf.DUMMYFUNCTION("""COMPUTED_VALUE"""),44057.66666666667)</f>
        <v>44057.66667</v>
      </c>
      <c r="B154" s="2">
        <f>IFERROR(__xludf.DUMMYFUNCTION("""COMPUTED_VALUE"""),570.56)</f>
        <v>570.56</v>
      </c>
      <c r="C154" s="2">
        <f>IFERROR(__xludf.DUMMYFUNCTION("""COMPUTED_VALUE"""),585.19)</f>
        <v>585.19</v>
      </c>
      <c r="D154" s="2">
        <f>IFERROR(__xludf.DUMMYFUNCTION("""COMPUTED_VALUE"""),565.68)</f>
        <v>565.68</v>
      </c>
      <c r="E154" s="2">
        <f>IFERROR(__xludf.DUMMYFUNCTION("""COMPUTED_VALUE"""),570.56)</f>
        <v>570.56</v>
      </c>
      <c r="F154" s="2">
        <f>IFERROR(__xludf.DUMMYFUNCTION("""COMPUTED_VALUE"""),5.56356E7)</f>
        <v>55635600</v>
      </c>
      <c r="G154" s="2">
        <f t="shared" si="1"/>
        <v>19.51</v>
      </c>
    </row>
    <row r="155" ht="15.75" customHeight="1">
      <c r="A155" s="1">
        <f>IFERROR(__xludf.DUMMYFUNCTION("""COMPUTED_VALUE"""),44061.66666666667)</f>
        <v>44061.66667</v>
      </c>
      <c r="B155" s="2">
        <f>IFERROR(__xludf.DUMMYFUNCTION("""COMPUTED_VALUE"""),575.43)</f>
        <v>575.43</v>
      </c>
      <c r="C155" s="2">
        <f>IFERROR(__xludf.DUMMYFUNCTION("""COMPUTED_VALUE"""),604.69)</f>
        <v>604.69</v>
      </c>
      <c r="D155" s="2">
        <f>IFERROR(__xludf.DUMMYFUNCTION("""COMPUTED_VALUE"""),570.56)</f>
        <v>570.56</v>
      </c>
      <c r="E155" s="2">
        <f>IFERROR(__xludf.DUMMYFUNCTION("""COMPUTED_VALUE"""),590.06)</f>
        <v>590.06</v>
      </c>
      <c r="F155" s="2">
        <f>IFERROR(__xludf.DUMMYFUNCTION("""COMPUTED_VALUE"""),1.85972E8)</f>
        <v>185972000</v>
      </c>
      <c r="G155" s="2">
        <f t="shared" si="1"/>
        <v>34.13</v>
      </c>
    </row>
    <row r="156" ht="15.75" customHeight="1">
      <c r="A156" s="1">
        <f>IFERROR(__xludf.DUMMYFUNCTION("""COMPUTED_VALUE"""),44062.66666666667)</f>
        <v>44062.66667</v>
      </c>
      <c r="B156" s="2">
        <f>IFERROR(__xludf.DUMMYFUNCTION("""COMPUTED_VALUE"""),590.06)</f>
        <v>590.06</v>
      </c>
      <c r="C156" s="2">
        <f>IFERROR(__xludf.DUMMYFUNCTION("""COMPUTED_VALUE"""),609.57)</f>
        <v>609.57</v>
      </c>
      <c r="D156" s="2">
        <f>IFERROR(__xludf.DUMMYFUNCTION("""COMPUTED_VALUE"""),585.19)</f>
        <v>585.19</v>
      </c>
      <c r="E156" s="2">
        <f>IFERROR(__xludf.DUMMYFUNCTION("""COMPUTED_VALUE"""),590.06)</f>
        <v>590.06</v>
      </c>
      <c r="F156" s="2">
        <f>IFERROR(__xludf.DUMMYFUNCTION("""COMPUTED_VALUE"""),9.87976E7)</f>
        <v>98797600</v>
      </c>
      <c r="G156" s="2">
        <f t="shared" si="1"/>
        <v>24.38</v>
      </c>
    </row>
    <row r="157" ht="15.75" customHeight="1">
      <c r="A157" s="1">
        <f>IFERROR(__xludf.DUMMYFUNCTION("""COMPUTED_VALUE"""),44067.66666666667)</f>
        <v>44067.66667</v>
      </c>
      <c r="B157" s="2">
        <f>IFERROR(__xludf.DUMMYFUNCTION("""COMPUTED_VALUE"""),590.06)</f>
        <v>590.06</v>
      </c>
      <c r="C157" s="2">
        <f>IFERROR(__xludf.DUMMYFUNCTION("""COMPUTED_VALUE"""),731.48)</f>
        <v>731.48</v>
      </c>
      <c r="D157" s="2">
        <f>IFERROR(__xludf.DUMMYFUNCTION("""COMPUTED_VALUE"""),590.06)</f>
        <v>590.06</v>
      </c>
      <c r="E157" s="2">
        <f>IFERROR(__xludf.DUMMYFUNCTION("""COMPUTED_VALUE"""),711.98)</f>
        <v>711.98</v>
      </c>
      <c r="F157" s="2">
        <f>IFERROR(__xludf.DUMMYFUNCTION("""COMPUTED_VALUE"""),8.510237E8)</f>
        <v>851023700</v>
      </c>
      <c r="G157" s="2">
        <f t="shared" si="1"/>
        <v>141.42</v>
      </c>
    </row>
    <row r="158" ht="15.75" customHeight="1">
      <c r="A158" s="1">
        <f>IFERROR(__xludf.DUMMYFUNCTION("""COMPUTED_VALUE"""),44068.66666666667)</f>
        <v>44068.66667</v>
      </c>
      <c r="B158" s="2">
        <f>IFERROR(__xludf.DUMMYFUNCTION("""COMPUTED_VALUE"""),726.61)</f>
        <v>726.61</v>
      </c>
      <c r="C158" s="2">
        <f>IFERROR(__xludf.DUMMYFUNCTION("""COMPUTED_VALUE"""),726.61)</f>
        <v>726.61</v>
      </c>
      <c r="D158" s="2">
        <f>IFERROR(__xludf.DUMMYFUNCTION("""COMPUTED_VALUE"""),682.72)</f>
        <v>682.72</v>
      </c>
      <c r="E158" s="2">
        <f>IFERROR(__xludf.DUMMYFUNCTION("""COMPUTED_VALUE"""),702.22)</f>
        <v>702.22</v>
      </c>
      <c r="F158" s="2">
        <f>IFERROR(__xludf.DUMMYFUNCTION("""COMPUTED_VALUE"""),2.527922E8)</f>
        <v>252792200</v>
      </c>
      <c r="G158" s="2">
        <f t="shared" si="1"/>
        <v>43.89</v>
      </c>
    </row>
    <row r="159" ht="15.75" customHeight="1">
      <c r="A159" s="1">
        <f>IFERROR(__xludf.DUMMYFUNCTION("""COMPUTED_VALUE"""),44069.66666666667)</f>
        <v>44069.66667</v>
      </c>
      <c r="B159" s="2">
        <f>IFERROR(__xludf.DUMMYFUNCTION("""COMPUTED_VALUE"""),702.22)</f>
        <v>702.22</v>
      </c>
      <c r="C159" s="2">
        <f>IFERROR(__xludf.DUMMYFUNCTION("""COMPUTED_VALUE"""),868.02)</f>
        <v>868.02</v>
      </c>
      <c r="D159" s="2">
        <f>IFERROR(__xludf.DUMMYFUNCTION("""COMPUTED_VALUE"""),692.47)</f>
        <v>692.47</v>
      </c>
      <c r="E159" s="2">
        <f>IFERROR(__xludf.DUMMYFUNCTION("""COMPUTED_VALUE"""),843.64)</f>
        <v>843.64</v>
      </c>
      <c r="F159" s="2">
        <f>IFERROR(__xludf.DUMMYFUNCTION("""COMPUTED_VALUE"""),8.00843E8)</f>
        <v>800843000</v>
      </c>
      <c r="G159" s="2">
        <f t="shared" si="1"/>
        <v>175.55</v>
      </c>
    </row>
    <row r="160" ht="15.75" customHeight="1">
      <c r="A160" s="1">
        <f>IFERROR(__xludf.DUMMYFUNCTION("""COMPUTED_VALUE"""),44070.66666666667)</f>
        <v>44070.66667</v>
      </c>
      <c r="B160" s="2">
        <f>IFERROR(__xludf.DUMMYFUNCTION("""COMPUTED_VALUE"""),853.4)</f>
        <v>853.4</v>
      </c>
      <c r="C160" s="2">
        <f>IFERROR(__xludf.DUMMYFUNCTION("""COMPUTED_VALUE"""),989.94)</f>
        <v>989.94</v>
      </c>
      <c r="D160" s="2">
        <f>IFERROR(__xludf.DUMMYFUNCTION("""COMPUTED_VALUE"""),848.52)</f>
        <v>848.52</v>
      </c>
      <c r="E160" s="2">
        <f>IFERROR(__xludf.DUMMYFUNCTION("""COMPUTED_VALUE"""),926.54)</f>
        <v>926.54</v>
      </c>
      <c r="F160" s="2">
        <f>IFERROR(__xludf.DUMMYFUNCTION("""COMPUTED_VALUE"""),6.436416E8)</f>
        <v>643641600</v>
      </c>
      <c r="G160" s="2">
        <f t="shared" si="1"/>
        <v>146.3</v>
      </c>
    </row>
    <row r="161" ht="15.75" customHeight="1">
      <c r="A161" s="1">
        <f>IFERROR(__xludf.DUMMYFUNCTION("""COMPUTED_VALUE"""),44071.66666666667)</f>
        <v>44071.66667</v>
      </c>
      <c r="B161" s="2">
        <f>IFERROR(__xludf.DUMMYFUNCTION("""COMPUTED_VALUE"""),931.42)</f>
        <v>931.42</v>
      </c>
      <c r="C161" s="2">
        <f>IFERROR(__xludf.DUMMYFUNCTION("""COMPUTED_VALUE"""),975.31)</f>
        <v>975.31</v>
      </c>
      <c r="D161" s="2">
        <f>IFERROR(__xludf.DUMMYFUNCTION("""COMPUTED_VALUE"""),916.79)</f>
        <v>916.79</v>
      </c>
      <c r="E161" s="2">
        <f>IFERROR(__xludf.DUMMYFUNCTION("""COMPUTED_VALUE"""),941.17)</f>
        <v>941.17</v>
      </c>
      <c r="F161" s="2">
        <f>IFERROR(__xludf.DUMMYFUNCTION("""COMPUTED_VALUE"""),1.758581E8)</f>
        <v>175858100</v>
      </c>
      <c r="G161" s="2">
        <f t="shared" si="1"/>
        <v>58.52</v>
      </c>
    </row>
    <row r="162" ht="15.75" customHeight="1">
      <c r="A162" s="1">
        <f>IFERROR(__xludf.DUMMYFUNCTION("""COMPUTED_VALUE"""),44074.66666666667)</f>
        <v>44074.66667</v>
      </c>
      <c r="B162" s="2">
        <f>IFERROR(__xludf.DUMMYFUNCTION("""COMPUTED_VALUE"""),950.93)</f>
        <v>950.93</v>
      </c>
      <c r="C162" s="2">
        <f>IFERROR(__xludf.DUMMYFUNCTION("""COMPUTED_VALUE"""),994.82)</f>
        <v>994.82</v>
      </c>
      <c r="D162" s="2">
        <f>IFERROR(__xludf.DUMMYFUNCTION("""COMPUTED_VALUE"""),911.91)</f>
        <v>911.91</v>
      </c>
      <c r="E162" s="2">
        <f>IFERROR(__xludf.DUMMYFUNCTION("""COMPUTED_VALUE"""),941.17)</f>
        <v>941.17</v>
      </c>
      <c r="F162" s="2">
        <f>IFERROR(__xludf.DUMMYFUNCTION("""COMPUTED_VALUE"""),3.283559E8)</f>
        <v>328355900</v>
      </c>
      <c r="G162" s="2">
        <f t="shared" si="1"/>
        <v>82.91</v>
      </c>
    </row>
    <row r="163" ht="15.75" customHeight="1">
      <c r="A163" s="1">
        <f>IFERROR(__xludf.DUMMYFUNCTION("""COMPUTED_VALUE"""),44075.66666666667)</f>
        <v>44075.66667</v>
      </c>
      <c r="B163" s="2">
        <f>IFERROR(__xludf.DUMMYFUNCTION("""COMPUTED_VALUE"""),946.05)</f>
        <v>946.05</v>
      </c>
      <c r="C163" s="2">
        <f>IFERROR(__xludf.DUMMYFUNCTION("""COMPUTED_VALUE"""),965.56)</f>
        <v>965.56</v>
      </c>
      <c r="D163" s="2">
        <f>IFERROR(__xludf.DUMMYFUNCTION("""COMPUTED_VALUE"""),926.54)</f>
        <v>926.54</v>
      </c>
      <c r="E163" s="2">
        <f>IFERROR(__xludf.DUMMYFUNCTION("""COMPUTED_VALUE"""),950.93)</f>
        <v>950.93</v>
      </c>
      <c r="F163" s="2">
        <f>IFERROR(__xludf.DUMMYFUNCTION("""COMPUTED_VALUE"""),1.292788E8)</f>
        <v>129278800</v>
      </c>
      <c r="G163" s="2">
        <f t="shared" si="1"/>
        <v>39.02</v>
      </c>
    </row>
    <row r="164" ht="15.75" customHeight="1">
      <c r="A164" s="1">
        <f>IFERROR(__xludf.DUMMYFUNCTION("""COMPUTED_VALUE"""),44076.66666666667)</f>
        <v>44076.66667</v>
      </c>
      <c r="B164" s="2">
        <f>IFERROR(__xludf.DUMMYFUNCTION("""COMPUTED_VALUE"""),960.68)</f>
        <v>960.68</v>
      </c>
      <c r="C164" s="2">
        <f>IFERROR(__xludf.DUMMYFUNCTION("""COMPUTED_VALUE"""),965.56)</f>
        <v>965.56</v>
      </c>
      <c r="D164" s="2">
        <f>IFERROR(__xludf.DUMMYFUNCTION("""COMPUTED_VALUE"""),946.05)</f>
        <v>946.05</v>
      </c>
      <c r="E164" s="2">
        <f>IFERROR(__xludf.DUMMYFUNCTION("""COMPUTED_VALUE"""),946.05)</f>
        <v>946.05</v>
      </c>
      <c r="F164" s="2">
        <f>IFERROR(__xludf.DUMMYFUNCTION("""COMPUTED_VALUE"""),6.94167E7)</f>
        <v>69416700</v>
      </c>
      <c r="G164" s="2">
        <f t="shared" si="1"/>
        <v>19.51</v>
      </c>
    </row>
    <row r="165" ht="15.75" customHeight="1">
      <c r="A165" s="1">
        <f>IFERROR(__xludf.DUMMYFUNCTION("""COMPUTED_VALUE"""),44077.66666666667)</f>
        <v>44077.66667</v>
      </c>
      <c r="B165" s="2">
        <f>IFERROR(__xludf.DUMMYFUNCTION("""COMPUTED_VALUE"""),955.8)</f>
        <v>955.8</v>
      </c>
      <c r="C165" s="2">
        <f>IFERROR(__xludf.DUMMYFUNCTION("""COMPUTED_VALUE"""),955.8)</f>
        <v>955.8</v>
      </c>
      <c r="D165" s="2">
        <f>IFERROR(__xludf.DUMMYFUNCTION("""COMPUTED_VALUE"""),916.79)</f>
        <v>916.79</v>
      </c>
      <c r="E165" s="2">
        <f>IFERROR(__xludf.DUMMYFUNCTION("""COMPUTED_VALUE"""),931.42)</f>
        <v>931.42</v>
      </c>
      <c r="F165" s="2">
        <f>IFERROR(__xludf.DUMMYFUNCTION("""COMPUTED_VALUE"""),7.64116E7)</f>
        <v>76411600</v>
      </c>
      <c r="G165" s="2">
        <f t="shared" si="1"/>
        <v>39.01</v>
      </c>
    </row>
    <row r="166" ht="15.75" customHeight="1">
      <c r="A166" s="1">
        <f>IFERROR(__xludf.DUMMYFUNCTION("""COMPUTED_VALUE"""),44078.66666666667)</f>
        <v>44078.66667</v>
      </c>
      <c r="B166" s="2">
        <f>IFERROR(__xludf.DUMMYFUNCTION("""COMPUTED_VALUE"""),936.3)</f>
        <v>936.3</v>
      </c>
      <c r="C166" s="2">
        <f>IFERROR(__xludf.DUMMYFUNCTION("""COMPUTED_VALUE"""),965.56)</f>
        <v>965.56</v>
      </c>
      <c r="D166" s="2">
        <f>IFERROR(__xludf.DUMMYFUNCTION("""COMPUTED_VALUE"""),887.53)</f>
        <v>887.53</v>
      </c>
      <c r="E166" s="2">
        <f>IFERROR(__xludf.DUMMYFUNCTION("""COMPUTED_VALUE"""),960.68)</f>
        <v>960.68</v>
      </c>
      <c r="F166" s="2">
        <f>IFERROR(__xludf.DUMMYFUNCTION("""COMPUTED_VALUE"""),1.526527E8)</f>
        <v>152652700</v>
      </c>
      <c r="G166" s="2">
        <f t="shared" si="1"/>
        <v>78.03</v>
      </c>
    </row>
    <row r="167" ht="15.75" customHeight="1">
      <c r="A167" s="1">
        <f>IFERROR(__xludf.DUMMYFUNCTION("""COMPUTED_VALUE"""),44081.66666666667)</f>
        <v>44081.66667</v>
      </c>
      <c r="B167" s="2">
        <f>IFERROR(__xludf.DUMMYFUNCTION("""COMPUTED_VALUE"""),960.68)</f>
        <v>960.68</v>
      </c>
      <c r="C167" s="2">
        <f>IFERROR(__xludf.DUMMYFUNCTION("""COMPUTED_VALUE"""),975.31)</f>
        <v>975.31</v>
      </c>
      <c r="D167" s="2">
        <f>IFERROR(__xludf.DUMMYFUNCTION("""COMPUTED_VALUE"""),926.54)</f>
        <v>926.54</v>
      </c>
      <c r="E167" s="2">
        <f>IFERROR(__xludf.DUMMYFUNCTION("""COMPUTED_VALUE"""),946.05)</f>
        <v>946.05</v>
      </c>
      <c r="F167" s="2">
        <f>IFERROR(__xludf.DUMMYFUNCTION("""COMPUTED_VALUE"""),1.385594E8)</f>
        <v>138559400</v>
      </c>
      <c r="G167" s="2">
        <f t="shared" si="1"/>
        <v>48.77</v>
      </c>
    </row>
    <row r="168" ht="15.75" customHeight="1">
      <c r="A168" s="1">
        <f>IFERROR(__xludf.DUMMYFUNCTION("""COMPUTED_VALUE"""),44082.66666666667)</f>
        <v>44082.66667</v>
      </c>
      <c r="B168" s="2">
        <f>IFERROR(__xludf.DUMMYFUNCTION("""COMPUTED_VALUE"""),946.05)</f>
        <v>946.05</v>
      </c>
      <c r="C168" s="2">
        <f>IFERROR(__xludf.DUMMYFUNCTION("""COMPUTED_VALUE"""),955.8)</f>
        <v>955.8</v>
      </c>
      <c r="D168" s="2">
        <f>IFERROR(__xludf.DUMMYFUNCTION("""COMPUTED_VALUE"""),931.42)</f>
        <v>931.42</v>
      </c>
      <c r="E168" s="2">
        <f>IFERROR(__xludf.DUMMYFUNCTION("""COMPUTED_VALUE"""),936.3)</f>
        <v>936.3</v>
      </c>
      <c r="F168" s="2">
        <f>IFERROR(__xludf.DUMMYFUNCTION("""COMPUTED_VALUE"""),4.05657E7)</f>
        <v>40565700</v>
      </c>
      <c r="G168" s="2">
        <f t="shared" si="1"/>
        <v>24.38</v>
      </c>
    </row>
    <row r="169" ht="15.75" customHeight="1">
      <c r="A169" s="1">
        <f>IFERROR(__xludf.DUMMYFUNCTION("""COMPUTED_VALUE"""),44083.66666666667)</f>
        <v>44083.66667</v>
      </c>
      <c r="B169" s="2">
        <f>IFERROR(__xludf.DUMMYFUNCTION("""COMPUTED_VALUE"""),931.42)</f>
        <v>931.42</v>
      </c>
      <c r="C169" s="2">
        <f>IFERROR(__xludf.DUMMYFUNCTION("""COMPUTED_VALUE"""),931.42)</f>
        <v>931.42</v>
      </c>
      <c r="D169" s="2">
        <f>IFERROR(__xludf.DUMMYFUNCTION("""COMPUTED_VALUE"""),872.9)</f>
        <v>872.9</v>
      </c>
      <c r="E169" s="2">
        <f>IFERROR(__xludf.DUMMYFUNCTION("""COMPUTED_VALUE"""),887.53)</f>
        <v>887.53</v>
      </c>
      <c r="F169" s="2">
        <f>IFERROR(__xludf.DUMMYFUNCTION("""COMPUTED_VALUE"""),1.495065E8)</f>
        <v>149506500</v>
      </c>
      <c r="G169" s="2">
        <f t="shared" si="1"/>
        <v>63.4</v>
      </c>
    </row>
    <row r="170" ht="15.75" customHeight="1">
      <c r="A170" s="1">
        <f>IFERROR(__xludf.DUMMYFUNCTION("""COMPUTED_VALUE"""),44084.66666666667)</f>
        <v>44084.66667</v>
      </c>
      <c r="B170" s="2">
        <f>IFERROR(__xludf.DUMMYFUNCTION("""COMPUTED_VALUE"""),877.78)</f>
        <v>877.78</v>
      </c>
      <c r="C170" s="2">
        <f>IFERROR(__xludf.DUMMYFUNCTION("""COMPUTED_VALUE"""),887.53)</f>
        <v>887.53</v>
      </c>
      <c r="D170" s="2">
        <f>IFERROR(__xludf.DUMMYFUNCTION("""COMPUTED_VALUE"""),829.01)</f>
        <v>829.01</v>
      </c>
      <c r="E170" s="2">
        <f>IFERROR(__xludf.DUMMYFUNCTION("""COMPUTED_VALUE"""),829.01)</f>
        <v>829.01</v>
      </c>
      <c r="F170" s="2">
        <f>IFERROR(__xludf.DUMMYFUNCTION("""COMPUTED_VALUE"""),1.282949E8)</f>
        <v>128294900</v>
      </c>
      <c r="G170" s="2">
        <f t="shared" si="1"/>
        <v>58.52</v>
      </c>
    </row>
    <row r="171" ht="15.75" customHeight="1">
      <c r="A171" s="1">
        <f>IFERROR(__xludf.DUMMYFUNCTION("""COMPUTED_VALUE"""),44085.66666666667)</f>
        <v>44085.66667</v>
      </c>
      <c r="B171" s="2">
        <f>IFERROR(__xludf.DUMMYFUNCTION("""COMPUTED_VALUE"""),790.0)</f>
        <v>790</v>
      </c>
      <c r="C171" s="2">
        <f>IFERROR(__xludf.DUMMYFUNCTION("""COMPUTED_VALUE"""),868.02)</f>
        <v>868.02</v>
      </c>
      <c r="D171" s="2">
        <f>IFERROR(__xludf.DUMMYFUNCTION("""COMPUTED_VALUE"""),775.37)</f>
        <v>775.37</v>
      </c>
      <c r="E171" s="2">
        <f>IFERROR(__xludf.DUMMYFUNCTION("""COMPUTED_VALUE"""),838.77)</f>
        <v>838.77</v>
      </c>
      <c r="F171" s="2">
        <f>IFERROR(__xludf.DUMMYFUNCTION("""COMPUTED_VALUE"""),4.902469E8)</f>
        <v>490246900</v>
      </c>
      <c r="G171" s="2">
        <f t="shared" si="1"/>
        <v>92.65</v>
      </c>
    </row>
    <row r="172" ht="15.75" customHeight="1">
      <c r="A172" s="1">
        <f>IFERROR(__xludf.DUMMYFUNCTION("""COMPUTED_VALUE"""),44088.66666666667)</f>
        <v>44088.66667</v>
      </c>
      <c r="B172" s="2">
        <f>IFERROR(__xludf.DUMMYFUNCTION("""COMPUTED_VALUE"""),858.27)</f>
        <v>858.27</v>
      </c>
      <c r="C172" s="2">
        <f>IFERROR(__xludf.DUMMYFUNCTION("""COMPUTED_VALUE"""),907.04)</f>
        <v>907.04</v>
      </c>
      <c r="D172" s="2">
        <f>IFERROR(__xludf.DUMMYFUNCTION("""COMPUTED_VALUE"""),853.4)</f>
        <v>853.4</v>
      </c>
      <c r="E172" s="2">
        <f>IFERROR(__xludf.DUMMYFUNCTION("""COMPUTED_VALUE"""),897.28)</f>
        <v>897.28</v>
      </c>
      <c r="F172" s="2">
        <f>IFERROR(__xludf.DUMMYFUNCTION("""COMPUTED_VALUE"""),2.658504E8)</f>
        <v>265850400</v>
      </c>
      <c r="G172" s="2">
        <f t="shared" si="1"/>
        <v>68.27</v>
      </c>
    </row>
    <row r="173" ht="15.75" customHeight="1">
      <c r="A173" s="1">
        <f>IFERROR(__xludf.DUMMYFUNCTION("""COMPUTED_VALUE"""),44089.66666666667)</f>
        <v>44089.66667</v>
      </c>
      <c r="B173" s="2">
        <f>IFERROR(__xludf.DUMMYFUNCTION("""COMPUTED_VALUE"""),907.04)</f>
        <v>907.04</v>
      </c>
      <c r="C173" s="2">
        <f>IFERROR(__xludf.DUMMYFUNCTION("""COMPUTED_VALUE"""),921.67)</f>
        <v>921.67</v>
      </c>
      <c r="D173" s="2">
        <f>IFERROR(__xludf.DUMMYFUNCTION("""COMPUTED_VALUE"""),863.15)</f>
        <v>863.15</v>
      </c>
      <c r="E173" s="2">
        <f>IFERROR(__xludf.DUMMYFUNCTION("""COMPUTED_VALUE"""),877.78)</f>
        <v>877.78</v>
      </c>
      <c r="F173" s="2">
        <f>IFERROR(__xludf.DUMMYFUNCTION("""COMPUTED_VALUE"""),1.980795E8)</f>
        <v>198079500</v>
      </c>
      <c r="G173" s="2">
        <f t="shared" si="1"/>
        <v>58.52</v>
      </c>
    </row>
    <row r="174" ht="15.75" customHeight="1">
      <c r="A174" s="1">
        <f>IFERROR(__xludf.DUMMYFUNCTION("""COMPUTED_VALUE"""),44090.66666666667)</f>
        <v>44090.66667</v>
      </c>
      <c r="B174" s="2">
        <f>IFERROR(__xludf.DUMMYFUNCTION("""COMPUTED_VALUE"""),887.53)</f>
        <v>887.53</v>
      </c>
      <c r="C174" s="2">
        <f>IFERROR(__xludf.DUMMYFUNCTION("""COMPUTED_VALUE"""),887.53)</f>
        <v>887.53</v>
      </c>
      <c r="D174" s="2">
        <f>IFERROR(__xludf.DUMMYFUNCTION("""COMPUTED_VALUE"""),829.01)</f>
        <v>829.01</v>
      </c>
      <c r="E174" s="2">
        <f>IFERROR(__xludf.DUMMYFUNCTION("""COMPUTED_VALUE"""),853.4)</f>
        <v>853.4</v>
      </c>
      <c r="F174" s="2">
        <f>IFERROR(__xludf.DUMMYFUNCTION("""COMPUTED_VALUE"""),1.172709E8)</f>
        <v>117270900</v>
      </c>
      <c r="G174" s="2">
        <f t="shared" si="1"/>
        <v>58.52</v>
      </c>
    </row>
    <row r="175" ht="15.75" customHeight="1">
      <c r="A175" s="1">
        <f>IFERROR(__xludf.DUMMYFUNCTION("""COMPUTED_VALUE"""),44091.66666666667)</f>
        <v>44091.66667</v>
      </c>
      <c r="B175" s="2">
        <f>IFERROR(__xludf.DUMMYFUNCTION("""COMPUTED_VALUE"""),858.27)</f>
        <v>858.27</v>
      </c>
      <c r="C175" s="2">
        <f>IFERROR(__xludf.DUMMYFUNCTION("""COMPUTED_VALUE"""),868.02)</f>
        <v>868.02</v>
      </c>
      <c r="D175" s="2">
        <f>IFERROR(__xludf.DUMMYFUNCTION("""COMPUTED_VALUE"""),829.01)</f>
        <v>829.01</v>
      </c>
      <c r="E175" s="2">
        <f>IFERROR(__xludf.DUMMYFUNCTION("""COMPUTED_VALUE"""),833.89)</f>
        <v>833.89</v>
      </c>
      <c r="F175" s="2">
        <f>IFERROR(__xludf.DUMMYFUNCTION("""COMPUTED_VALUE"""),7.18987E7)</f>
        <v>71898700</v>
      </c>
      <c r="G175" s="2">
        <f t="shared" si="1"/>
        <v>39.01</v>
      </c>
    </row>
    <row r="176" ht="15.75" customHeight="1">
      <c r="A176" s="1">
        <f>IFERROR(__xludf.DUMMYFUNCTION("""COMPUTED_VALUE"""),44092.66666666667)</f>
        <v>44092.66667</v>
      </c>
      <c r="B176" s="2">
        <f>IFERROR(__xludf.DUMMYFUNCTION("""COMPUTED_VALUE"""),833.89)</f>
        <v>833.89</v>
      </c>
      <c r="C176" s="2">
        <f>IFERROR(__xludf.DUMMYFUNCTION("""COMPUTED_VALUE"""),868.02)</f>
        <v>868.02</v>
      </c>
      <c r="D176" s="2">
        <f>IFERROR(__xludf.DUMMYFUNCTION("""COMPUTED_VALUE"""),829.01)</f>
        <v>829.01</v>
      </c>
      <c r="E176" s="2">
        <f>IFERROR(__xludf.DUMMYFUNCTION("""COMPUTED_VALUE"""),848.52)</f>
        <v>848.52</v>
      </c>
      <c r="F176" s="2">
        <f>IFERROR(__xludf.DUMMYFUNCTION("""COMPUTED_VALUE"""),9.95194E7)</f>
        <v>99519400</v>
      </c>
      <c r="G176" s="2">
        <f t="shared" si="1"/>
        <v>39.01</v>
      </c>
    </row>
    <row r="177" ht="15.75" customHeight="1">
      <c r="A177" s="1">
        <f>IFERROR(__xludf.DUMMYFUNCTION("""COMPUTED_VALUE"""),44095.66666666667)</f>
        <v>44095.66667</v>
      </c>
      <c r="B177" s="2">
        <f>IFERROR(__xludf.DUMMYFUNCTION("""COMPUTED_VALUE"""),858.27)</f>
        <v>858.27</v>
      </c>
      <c r="C177" s="2">
        <f>IFERROR(__xludf.DUMMYFUNCTION("""COMPUTED_VALUE"""),858.27)</f>
        <v>858.27</v>
      </c>
      <c r="D177" s="2">
        <f>IFERROR(__xludf.DUMMYFUNCTION("""COMPUTED_VALUE"""),799.75)</f>
        <v>799.75</v>
      </c>
      <c r="E177" s="2">
        <f>IFERROR(__xludf.DUMMYFUNCTION("""COMPUTED_VALUE"""),804.63)</f>
        <v>804.63</v>
      </c>
      <c r="F177" s="2">
        <f>IFERROR(__xludf.DUMMYFUNCTION("""COMPUTED_VALUE"""),1.080363E8)</f>
        <v>108036300</v>
      </c>
      <c r="G177" s="2">
        <f t="shared" si="1"/>
        <v>58.52</v>
      </c>
    </row>
    <row r="178" ht="15.75" customHeight="1">
      <c r="A178" s="1">
        <f>IFERROR(__xludf.DUMMYFUNCTION("""COMPUTED_VALUE"""),44096.66666666667)</f>
        <v>44096.66667</v>
      </c>
      <c r="B178" s="2">
        <f>IFERROR(__xludf.DUMMYFUNCTION("""COMPUTED_VALUE"""),770.49)</f>
        <v>770.49</v>
      </c>
      <c r="C178" s="2">
        <f>IFERROR(__xludf.DUMMYFUNCTION("""COMPUTED_VALUE"""),794.88)</f>
        <v>794.88</v>
      </c>
      <c r="D178" s="2">
        <f>IFERROR(__xludf.DUMMYFUNCTION("""COMPUTED_VALUE"""),750.99)</f>
        <v>750.99</v>
      </c>
      <c r="E178" s="2">
        <f>IFERROR(__xludf.DUMMYFUNCTION("""COMPUTED_VALUE"""),750.99)</f>
        <v>750.99</v>
      </c>
      <c r="F178" s="2">
        <f>IFERROR(__xludf.DUMMYFUNCTION("""COMPUTED_VALUE"""),2.366298E8)</f>
        <v>236629800</v>
      </c>
      <c r="G178" s="2">
        <f t="shared" si="1"/>
        <v>53.64</v>
      </c>
    </row>
    <row r="179" ht="15.75" customHeight="1">
      <c r="A179" s="1">
        <f>IFERROR(__xludf.DUMMYFUNCTION("""COMPUTED_VALUE"""),44097.66666666667)</f>
        <v>44097.66667</v>
      </c>
      <c r="B179" s="2">
        <f>IFERROR(__xludf.DUMMYFUNCTION("""COMPUTED_VALUE"""),770.49)</f>
        <v>770.49</v>
      </c>
      <c r="C179" s="2">
        <f>IFERROR(__xludf.DUMMYFUNCTION("""COMPUTED_VALUE"""),785.12)</f>
        <v>785.12</v>
      </c>
      <c r="D179" s="2">
        <f>IFERROR(__xludf.DUMMYFUNCTION("""COMPUTED_VALUE"""),702.22)</f>
        <v>702.22</v>
      </c>
      <c r="E179" s="2">
        <f>IFERROR(__xludf.DUMMYFUNCTION("""COMPUTED_VALUE"""),731.48)</f>
        <v>731.48</v>
      </c>
      <c r="F179" s="2">
        <f>IFERROR(__xludf.DUMMYFUNCTION("""COMPUTED_VALUE"""),2.929998E8)</f>
        <v>292999800</v>
      </c>
      <c r="G179" s="2">
        <f t="shared" si="1"/>
        <v>82.9</v>
      </c>
    </row>
    <row r="180" ht="15.75" customHeight="1">
      <c r="A180" s="1">
        <f>IFERROR(__xludf.DUMMYFUNCTION("""COMPUTED_VALUE"""),44098.66666666667)</f>
        <v>44098.66667</v>
      </c>
      <c r="B180" s="2">
        <f>IFERROR(__xludf.DUMMYFUNCTION("""COMPUTED_VALUE"""),721.73)</f>
        <v>721.73</v>
      </c>
      <c r="C180" s="2">
        <f>IFERROR(__xludf.DUMMYFUNCTION("""COMPUTED_VALUE"""),721.73)</f>
        <v>721.73</v>
      </c>
      <c r="D180" s="2">
        <f>IFERROR(__xludf.DUMMYFUNCTION("""COMPUTED_VALUE"""),692.47)</f>
        <v>692.47</v>
      </c>
      <c r="E180" s="2">
        <f>IFERROR(__xludf.DUMMYFUNCTION("""COMPUTED_VALUE"""),707.1)</f>
        <v>707.1</v>
      </c>
      <c r="F180" s="2">
        <f>IFERROR(__xludf.DUMMYFUNCTION("""COMPUTED_VALUE"""),1.537795E8)</f>
        <v>153779500</v>
      </c>
      <c r="G180" s="2">
        <f t="shared" si="1"/>
        <v>39.01</v>
      </c>
    </row>
    <row r="181" ht="15.75" customHeight="1">
      <c r="A181" s="1">
        <f>IFERROR(__xludf.DUMMYFUNCTION("""COMPUTED_VALUE"""),44099.66666666667)</f>
        <v>44099.66667</v>
      </c>
      <c r="B181" s="2">
        <f>IFERROR(__xludf.DUMMYFUNCTION("""COMPUTED_VALUE"""),716.85)</f>
        <v>716.85</v>
      </c>
      <c r="C181" s="2">
        <f>IFERROR(__xludf.DUMMYFUNCTION("""COMPUTED_VALUE"""),765.62)</f>
        <v>765.62</v>
      </c>
      <c r="D181" s="2">
        <f>IFERROR(__xludf.DUMMYFUNCTION("""COMPUTED_VALUE"""),692.47)</f>
        <v>692.47</v>
      </c>
      <c r="E181" s="2">
        <f>IFERROR(__xludf.DUMMYFUNCTION("""COMPUTED_VALUE"""),750.99)</f>
        <v>750.99</v>
      </c>
      <c r="F181" s="2">
        <f>IFERROR(__xludf.DUMMYFUNCTION("""COMPUTED_VALUE"""),3.992708E8)</f>
        <v>399270800</v>
      </c>
      <c r="G181" s="2">
        <f t="shared" si="1"/>
        <v>73.15</v>
      </c>
    </row>
    <row r="182" ht="15.75" customHeight="1">
      <c r="A182" s="1">
        <f>IFERROR(__xludf.DUMMYFUNCTION("""COMPUTED_VALUE"""),44102.66666666667)</f>
        <v>44102.66667</v>
      </c>
      <c r="B182" s="2">
        <f>IFERROR(__xludf.DUMMYFUNCTION("""COMPUTED_VALUE"""),765.62)</f>
        <v>765.62</v>
      </c>
      <c r="C182" s="2">
        <f>IFERROR(__xludf.DUMMYFUNCTION("""COMPUTED_VALUE"""),780.25)</f>
        <v>780.25</v>
      </c>
      <c r="D182" s="2">
        <f>IFERROR(__xludf.DUMMYFUNCTION("""COMPUTED_VALUE"""),731.48)</f>
        <v>731.48</v>
      </c>
      <c r="E182" s="2">
        <f>IFERROR(__xludf.DUMMYFUNCTION("""COMPUTED_VALUE"""),736.36)</f>
        <v>736.36</v>
      </c>
      <c r="F182" s="2">
        <f>IFERROR(__xludf.DUMMYFUNCTION("""COMPUTED_VALUE"""),1.371454E8)</f>
        <v>137145400</v>
      </c>
      <c r="G182" s="2">
        <f t="shared" si="1"/>
        <v>48.77</v>
      </c>
    </row>
    <row r="183" ht="15.75" customHeight="1">
      <c r="A183" s="1">
        <f>IFERROR(__xludf.DUMMYFUNCTION("""COMPUTED_VALUE"""),44103.66666666667)</f>
        <v>44103.66667</v>
      </c>
      <c r="B183" s="2">
        <f>IFERROR(__xludf.DUMMYFUNCTION("""COMPUTED_VALUE"""),746.11)</f>
        <v>746.11</v>
      </c>
      <c r="C183" s="2">
        <f>IFERROR(__xludf.DUMMYFUNCTION("""COMPUTED_VALUE"""),760.74)</f>
        <v>760.74</v>
      </c>
      <c r="D183" s="2">
        <f>IFERROR(__xludf.DUMMYFUNCTION("""COMPUTED_VALUE"""),711.98)</f>
        <v>711.98</v>
      </c>
      <c r="E183" s="2">
        <f>IFERROR(__xludf.DUMMYFUNCTION("""COMPUTED_VALUE"""),721.73)</f>
        <v>721.73</v>
      </c>
      <c r="F183" s="2">
        <f>IFERROR(__xludf.DUMMYFUNCTION("""COMPUTED_VALUE"""),1.325953E8)</f>
        <v>132595300</v>
      </c>
      <c r="G183" s="2">
        <f t="shared" si="1"/>
        <v>48.76</v>
      </c>
    </row>
    <row r="184" ht="15.75" customHeight="1">
      <c r="A184" s="1">
        <f>IFERROR(__xludf.DUMMYFUNCTION("""COMPUTED_VALUE"""),44104.66666666667)</f>
        <v>44104.66667</v>
      </c>
      <c r="B184" s="2">
        <f>IFERROR(__xludf.DUMMYFUNCTION("""COMPUTED_VALUE"""),731.48)</f>
        <v>731.48</v>
      </c>
      <c r="C184" s="2">
        <f>IFERROR(__xludf.DUMMYFUNCTION("""COMPUTED_VALUE"""),741.23)</f>
        <v>741.23</v>
      </c>
      <c r="D184" s="2">
        <f>IFERROR(__xludf.DUMMYFUNCTION("""COMPUTED_VALUE"""),707.1)</f>
        <v>707.1</v>
      </c>
      <c r="E184" s="2">
        <f>IFERROR(__xludf.DUMMYFUNCTION("""COMPUTED_VALUE"""),731.48)</f>
        <v>731.48</v>
      </c>
      <c r="F184" s="2">
        <f>IFERROR(__xludf.DUMMYFUNCTION("""COMPUTED_VALUE"""),1.092376E8)</f>
        <v>109237600</v>
      </c>
      <c r="G184" s="2">
        <f t="shared" si="1"/>
        <v>34.13</v>
      </c>
    </row>
    <row r="185" ht="15.75" customHeight="1">
      <c r="A185" s="1">
        <f>IFERROR(__xludf.DUMMYFUNCTION("""COMPUTED_VALUE"""),44105.66666666667)</f>
        <v>44105.66667</v>
      </c>
      <c r="B185" s="2">
        <f>IFERROR(__xludf.DUMMYFUNCTION("""COMPUTED_VALUE"""),741.23)</f>
        <v>741.23</v>
      </c>
      <c r="C185" s="2">
        <f>IFERROR(__xludf.DUMMYFUNCTION("""COMPUTED_VALUE"""),775.37)</f>
        <v>775.37</v>
      </c>
      <c r="D185" s="2">
        <f>IFERROR(__xludf.DUMMYFUNCTION("""COMPUTED_VALUE"""),736.36)</f>
        <v>736.36</v>
      </c>
      <c r="E185" s="2">
        <f>IFERROR(__xludf.DUMMYFUNCTION("""COMPUTED_VALUE"""),775.37)</f>
        <v>775.37</v>
      </c>
      <c r="F185" s="2">
        <f>IFERROR(__xludf.DUMMYFUNCTION("""COMPUTED_VALUE"""),1.872549E8)</f>
        <v>187254900</v>
      </c>
      <c r="G185" s="2">
        <f t="shared" si="1"/>
        <v>43.89</v>
      </c>
    </row>
    <row r="186" ht="15.75" customHeight="1">
      <c r="A186" s="1">
        <f>IFERROR(__xludf.DUMMYFUNCTION("""COMPUTED_VALUE"""),44106.66666666667)</f>
        <v>44106.66667</v>
      </c>
      <c r="B186" s="2">
        <f>IFERROR(__xludf.DUMMYFUNCTION("""COMPUTED_VALUE"""),780.25)</f>
        <v>780.25</v>
      </c>
      <c r="C186" s="2">
        <f>IFERROR(__xludf.DUMMYFUNCTION("""COMPUTED_VALUE"""),785.12)</f>
        <v>785.12</v>
      </c>
      <c r="D186" s="2">
        <f>IFERROR(__xludf.DUMMYFUNCTION("""COMPUTED_VALUE"""),736.36)</f>
        <v>736.36</v>
      </c>
      <c r="E186" s="2">
        <f>IFERROR(__xludf.DUMMYFUNCTION("""COMPUTED_VALUE"""),755.86)</f>
        <v>755.86</v>
      </c>
      <c r="F186" s="2">
        <f>IFERROR(__xludf.DUMMYFUNCTION("""COMPUTED_VALUE"""),1.99721E8)</f>
        <v>199721000</v>
      </c>
      <c r="G186" s="2">
        <f t="shared" si="1"/>
        <v>48.76</v>
      </c>
    </row>
    <row r="187" ht="15.75" customHeight="1">
      <c r="A187" s="1">
        <f>IFERROR(__xludf.DUMMYFUNCTION("""COMPUTED_VALUE"""),44109.66666666667)</f>
        <v>44109.66667</v>
      </c>
      <c r="B187" s="2">
        <f>IFERROR(__xludf.DUMMYFUNCTION("""COMPUTED_VALUE"""),770.49)</f>
        <v>770.49</v>
      </c>
      <c r="C187" s="2">
        <f>IFERROR(__xludf.DUMMYFUNCTION("""COMPUTED_VALUE"""),819.26)</f>
        <v>819.26</v>
      </c>
      <c r="D187" s="2">
        <f>IFERROR(__xludf.DUMMYFUNCTION("""COMPUTED_VALUE"""),750.99)</f>
        <v>750.99</v>
      </c>
      <c r="E187" s="2">
        <f>IFERROR(__xludf.DUMMYFUNCTION("""COMPUTED_VALUE"""),819.26)</f>
        <v>819.26</v>
      </c>
      <c r="F187" s="2">
        <f>IFERROR(__xludf.DUMMYFUNCTION("""COMPUTED_VALUE"""),2.734881E8)</f>
        <v>273488100</v>
      </c>
      <c r="G187" s="2">
        <f t="shared" si="1"/>
        <v>68.27</v>
      </c>
    </row>
    <row r="188" ht="15.75" customHeight="1">
      <c r="A188" s="1">
        <f>IFERROR(__xludf.DUMMYFUNCTION("""COMPUTED_VALUE"""),44110.66666666667)</f>
        <v>44110.66667</v>
      </c>
      <c r="B188" s="2">
        <f>IFERROR(__xludf.DUMMYFUNCTION("""COMPUTED_VALUE"""),838.77)</f>
        <v>838.77</v>
      </c>
      <c r="C188" s="2">
        <f>IFERROR(__xludf.DUMMYFUNCTION("""COMPUTED_VALUE"""),858.27)</f>
        <v>858.27</v>
      </c>
      <c r="D188" s="2">
        <f>IFERROR(__xludf.DUMMYFUNCTION("""COMPUTED_VALUE"""),824.14)</f>
        <v>824.14</v>
      </c>
      <c r="E188" s="2">
        <f>IFERROR(__xludf.DUMMYFUNCTION("""COMPUTED_VALUE"""),824.14)</f>
        <v>824.14</v>
      </c>
      <c r="F188" s="2">
        <f>IFERROR(__xludf.DUMMYFUNCTION("""COMPUTED_VALUE"""),2.559818E8)</f>
        <v>255981800</v>
      </c>
      <c r="G188" s="2">
        <f t="shared" si="1"/>
        <v>39.01</v>
      </c>
    </row>
    <row r="189" ht="15.75" customHeight="1">
      <c r="A189" s="1">
        <f>IFERROR(__xludf.DUMMYFUNCTION("""COMPUTED_VALUE"""),44111.66666666667)</f>
        <v>44111.66667</v>
      </c>
      <c r="B189" s="2">
        <f>IFERROR(__xludf.DUMMYFUNCTION("""COMPUTED_VALUE"""),814.38)</f>
        <v>814.38</v>
      </c>
      <c r="C189" s="2">
        <f>IFERROR(__xludf.DUMMYFUNCTION("""COMPUTED_VALUE"""),838.77)</f>
        <v>838.77</v>
      </c>
      <c r="D189" s="2">
        <f>IFERROR(__xludf.DUMMYFUNCTION("""COMPUTED_VALUE"""),804.63)</f>
        <v>804.63</v>
      </c>
      <c r="E189" s="2">
        <f>IFERROR(__xludf.DUMMYFUNCTION("""COMPUTED_VALUE"""),829.01)</f>
        <v>829.01</v>
      </c>
      <c r="F189" s="2">
        <f>IFERROR(__xludf.DUMMYFUNCTION("""COMPUTED_VALUE"""),1.27022E8)</f>
        <v>127022000</v>
      </c>
      <c r="G189" s="2">
        <f t="shared" si="1"/>
        <v>34.14</v>
      </c>
    </row>
    <row r="190" ht="15.75" customHeight="1">
      <c r="A190" s="1">
        <f>IFERROR(__xludf.DUMMYFUNCTION("""COMPUTED_VALUE"""),44112.66666666667)</f>
        <v>44112.66667</v>
      </c>
      <c r="B190" s="2">
        <f>IFERROR(__xludf.DUMMYFUNCTION("""COMPUTED_VALUE"""),833.89)</f>
        <v>833.89</v>
      </c>
      <c r="C190" s="2">
        <f>IFERROR(__xludf.DUMMYFUNCTION("""COMPUTED_VALUE"""),853.4)</f>
        <v>853.4</v>
      </c>
      <c r="D190" s="2">
        <f>IFERROR(__xludf.DUMMYFUNCTION("""COMPUTED_VALUE"""),824.14)</f>
        <v>824.14</v>
      </c>
      <c r="E190" s="2">
        <f>IFERROR(__xludf.DUMMYFUNCTION("""COMPUTED_VALUE"""),838.77)</f>
        <v>838.77</v>
      </c>
      <c r="F190" s="2">
        <f>IFERROR(__xludf.DUMMYFUNCTION("""COMPUTED_VALUE"""),1.368525E8)</f>
        <v>136852500</v>
      </c>
      <c r="G190" s="2">
        <f t="shared" si="1"/>
        <v>29.26</v>
      </c>
    </row>
    <row r="191" ht="15.75" customHeight="1">
      <c r="A191" s="1">
        <f>IFERROR(__xludf.DUMMYFUNCTION("""COMPUTED_VALUE"""),44113.66666666667)</f>
        <v>44113.66667</v>
      </c>
      <c r="B191" s="2">
        <f>IFERROR(__xludf.DUMMYFUNCTION("""COMPUTED_VALUE"""),843.64)</f>
        <v>843.64</v>
      </c>
      <c r="C191" s="2">
        <f>IFERROR(__xludf.DUMMYFUNCTION("""COMPUTED_VALUE"""),848.52)</f>
        <v>848.52</v>
      </c>
      <c r="D191" s="2">
        <f>IFERROR(__xludf.DUMMYFUNCTION("""COMPUTED_VALUE"""),829.01)</f>
        <v>829.01</v>
      </c>
      <c r="E191" s="2">
        <f>IFERROR(__xludf.DUMMYFUNCTION("""COMPUTED_VALUE"""),833.89)</f>
        <v>833.89</v>
      </c>
      <c r="F191" s="2">
        <f>IFERROR(__xludf.DUMMYFUNCTION("""COMPUTED_VALUE"""),7.52954E7)</f>
        <v>75295400</v>
      </c>
      <c r="G191" s="2">
        <f t="shared" si="1"/>
        <v>19.51</v>
      </c>
    </row>
    <row r="192" ht="15.75" customHeight="1">
      <c r="A192" s="1">
        <f>IFERROR(__xludf.DUMMYFUNCTION("""COMPUTED_VALUE"""),44116.66666666667)</f>
        <v>44116.66667</v>
      </c>
      <c r="B192" s="2">
        <f>IFERROR(__xludf.DUMMYFUNCTION("""COMPUTED_VALUE"""),848.52)</f>
        <v>848.52</v>
      </c>
      <c r="C192" s="2">
        <f>IFERROR(__xludf.DUMMYFUNCTION("""COMPUTED_VALUE"""),887.53)</f>
        <v>887.53</v>
      </c>
      <c r="D192" s="2">
        <f>IFERROR(__xludf.DUMMYFUNCTION("""COMPUTED_VALUE"""),838.77)</f>
        <v>838.77</v>
      </c>
      <c r="E192" s="2">
        <f>IFERROR(__xludf.DUMMYFUNCTION("""COMPUTED_VALUE"""),877.78)</f>
        <v>877.78</v>
      </c>
      <c r="F192" s="2">
        <f>IFERROR(__xludf.DUMMYFUNCTION("""COMPUTED_VALUE"""),3.013688E8)</f>
        <v>301368800</v>
      </c>
      <c r="G192" s="2">
        <f t="shared" si="1"/>
        <v>53.64</v>
      </c>
    </row>
    <row r="193" ht="15.75" customHeight="1">
      <c r="A193" s="1">
        <f>IFERROR(__xludf.DUMMYFUNCTION("""COMPUTED_VALUE"""),44117.66666666667)</f>
        <v>44117.66667</v>
      </c>
      <c r="B193" s="2">
        <f>IFERROR(__xludf.DUMMYFUNCTION("""COMPUTED_VALUE"""),897.28)</f>
        <v>897.28</v>
      </c>
      <c r="C193" s="2">
        <f>IFERROR(__xludf.DUMMYFUNCTION("""COMPUTED_VALUE"""),1097.22)</f>
        <v>1097.22</v>
      </c>
      <c r="D193" s="2">
        <f>IFERROR(__xludf.DUMMYFUNCTION("""COMPUTED_VALUE"""),897.28)</f>
        <v>897.28</v>
      </c>
      <c r="E193" s="2">
        <f>IFERROR(__xludf.DUMMYFUNCTION("""COMPUTED_VALUE"""),1097.22)</f>
        <v>1097.22</v>
      </c>
      <c r="F193" s="2">
        <f>IFERROR(__xludf.DUMMYFUNCTION("""COMPUTED_VALUE"""),9.154904E8)</f>
        <v>915490400</v>
      </c>
      <c r="G193" s="2">
        <f t="shared" si="1"/>
        <v>219.44</v>
      </c>
    </row>
    <row r="194" ht="15.75" customHeight="1">
      <c r="A194" s="1">
        <f>IFERROR(__xludf.DUMMYFUNCTION("""COMPUTED_VALUE"""),44118.66666666667)</f>
        <v>44118.66667</v>
      </c>
      <c r="B194" s="2">
        <f>IFERROR(__xludf.DUMMYFUNCTION("""COMPUTED_VALUE"""),1175.25)</f>
        <v>1175.25</v>
      </c>
      <c r="C194" s="2">
        <f>IFERROR(__xludf.DUMMYFUNCTION("""COMPUTED_VALUE"""),1370.31)</f>
        <v>1370.31</v>
      </c>
      <c r="D194" s="2">
        <f>IFERROR(__xludf.DUMMYFUNCTION("""COMPUTED_VALUE"""),1170.37)</f>
        <v>1170.37</v>
      </c>
      <c r="E194" s="2">
        <f>IFERROR(__xludf.DUMMYFUNCTION("""COMPUTED_VALUE"""),1370.31)</f>
        <v>1370.31</v>
      </c>
      <c r="F194" s="2">
        <f>IFERROR(__xludf.DUMMYFUNCTION("""COMPUTED_VALUE"""),2.575725E8)</f>
        <v>257572500</v>
      </c>
      <c r="G194" s="2">
        <f t="shared" si="1"/>
        <v>273.09</v>
      </c>
    </row>
    <row r="195" ht="15.75" customHeight="1">
      <c r="A195" s="1">
        <f>IFERROR(__xludf.DUMMYFUNCTION("""COMPUTED_VALUE"""),44119.66666666667)</f>
        <v>44119.66667</v>
      </c>
      <c r="B195" s="2">
        <f>IFERROR(__xludf.DUMMYFUNCTION("""COMPUTED_VALUE"""),1560.49)</f>
        <v>1560.49</v>
      </c>
      <c r="C195" s="2">
        <f>IFERROR(__xludf.DUMMYFUNCTION("""COMPUTED_VALUE"""),1648.27)</f>
        <v>1648.27</v>
      </c>
      <c r="D195" s="2">
        <f>IFERROR(__xludf.DUMMYFUNCTION("""COMPUTED_VALUE"""),1277.65)</f>
        <v>1277.65</v>
      </c>
      <c r="E195" s="2">
        <f>IFERROR(__xludf.DUMMYFUNCTION("""COMPUTED_VALUE"""),1277.65)</f>
        <v>1277.65</v>
      </c>
      <c r="F195" s="2">
        <f>IFERROR(__xludf.DUMMYFUNCTION("""COMPUTED_VALUE"""),2.928256E8)</f>
        <v>292825600</v>
      </c>
      <c r="G195" s="2">
        <f t="shared" si="1"/>
        <v>370.62</v>
      </c>
    </row>
    <row r="196" ht="15.75" customHeight="1">
      <c r="A196" s="1">
        <f>IFERROR(__xludf.DUMMYFUNCTION("""COMPUTED_VALUE"""),44120.66666666667)</f>
        <v>44120.66667</v>
      </c>
      <c r="B196" s="2">
        <f>IFERROR(__xludf.DUMMYFUNCTION("""COMPUTED_VALUE"""),1219.14)</f>
        <v>1219.14</v>
      </c>
      <c r="C196" s="2">
        <f>IFERROR(__xludf.DUMMYFUNCTION("""COMPUTED_VALUE"""),1365.43)</f>
        <v>1365.43</v>
      </c>
      <c r="D196" s="2">
        <f>IFERROR(__xludf.DUMMYFUNCTION("""COMPUTED_VALUE"""),1189.88)</f>
        <v>1189.88</v>
      </c>
      <c r="E196" s="2">
        <f>IFERROR(__xludf.DUMMYFUNCTION("""COMPUTED_VALUE"""),1360.56)</f>
        <v>1360.56</v>
      </c>
      <c r="F196" s="2">
        <f>IFERROR(__xludf.DUMMYFUNCTION("""COMPUTED_VALUE"""),5.944636E8)</f>
        <v>594463600</v>
      </c>
      <c r="G196" s="2">
        <f t="shared" si="1"/>
        <v>175.55</v>
      </c>
    </row>
    <row r="197" ht="15.75" customHeight="1">
      <c r="A197" s="1">
        <f>IFERROR(__xludf.DUMMYFUNCTION("""COMPUTED_VALUE"""),44123.66666666667)</f>
        <v>44123.66667</v>
      </c>
      <c r="B197" s="2">
        <f>IFERROR(__xludf.DUMMYFUNCTION("""COMPUTED_VALUE"""),1404.44)</f>
        <v>1404.44</v>
      </c>
      <c r="C197" s="2">
        <f>IFERROR(__xludf.DUMMYFUNCTION("""COMPUTED_VALUE"""),1462.96)</f>
        <v>1462.96</v>
      </c>
      <c r="D197" s="2">
        <f>IFERROR(__xludf.DUMMYFUNCTION("""COMPUTED_VALUE"""),1321.54)</f>
        <v>1321.54</v>
      </c>
      <c r="E197" s="2">
        <f>IFERROR(__xludf.DUMMYFUNCTION("""COMPUTED_VALUE"""),1365.43)</f>
        <v>1365.43</v>
      </c>
      <c r="F197" s="2">
        <f>IFERROR(__xludf.DUMMYFUNCTION("""COMPUTED_VALUE"""),4.172144E8)</f>
        <v>417214400</v>
      </c>
      <c r="G197" s="2">
        <f t="shared" si="1"/>
        <v>141.42</v>
      </c>
    </row>
    <row r="198" ht="15.75" customHeight="1">
      <c r="A198" s="1">
        <f>IFERROR(__xludf.DUMMYFUNCTION("""COMPUTED_VALUE"""),44124.66666666667)</f>
        <v>44124.66667</v>
      </c>
      <c r="B198" s="2">
        <f>IFERROR(__xludf.DUMMYFUNCTION("""COMPUTED_VALUE"""),1370.31)</f>
        <v>1370.31</v>
      </c>
      <c r="C198" s="2">
        <f>IFERROR(__xludf.DUMMYFUNCTION("""COMPUTED_VALUE"""),1516.61)</f>
        <v>1516.61</v>
      </c>
      <c r="D198" s="2">
        <f>IFERROR(__xludf.DUMMYFUNCTION("""COMPUTED_VALUE"""),1321.54)</f>
        <v>1321.54</v>
      </c>
      <c r="E198" s="2">
        <f>IFERROR(__xludf.DUMMYFUNCTION("""COMPUTED_VALUE"""),1462.96)</f>
        <v>1462.96</v>
      </c>
      <c r="F198" s="2">
        <f>IFERROR(__xludf.DUMMYFUNCTION("""COMPUTED_VALUE"""),7.726444E8)</f>
        <v>772644400</v>
      </c>
      <c r="G198" s="2">
        <f t="shared" si="1"/>
        <v>195.07</v>
      </c>
    </row>
    <row r="199" ht="15.75" customHeight="1">
      <c r="A199" s="1">
        <f>IFERROR(__xludf.DUMMYFUNCTION("""COMPUTED_VALUE"""),44125.66666666667)</f>
        <v>44125.66667</v>
      </c>
      <c r="B199" s="2">
        <f>IFERROR(__xludf.DUMMYFUNCTION("""COMPUTED_VALUE"""),1511.73)</f>
        <v>1511.73</v>
      </c>
      <c r="C199" s="2">
        <f>IFERROR(__xludf.DUMMYFUNCTION("""COMPUTED_VALUE"""),1511.73)</f>
        <v>1511.73</v>
      </c>
      <c r="D199" s="2">
        <f>IFERROR(__xludf.DUMMYFUNCTION("""COMPUTED_VALUE"""),1360.56)</f>
        <v>1360.56</v>
      </c>
      <c r="E199" s="2">
        <f>IFERROR(__xludf.DUMMYFUNCTION("""COMPUTED_VALUE"""),1360.56)</f>
        <v>1360.56</v>
      </c>
      <c r="F199" s="2">
        <f>IFERROR(__xludf.DUMMYFUNCTION("""COMPUTED_VALUE"""),5.571465E8)</f>
        <v>557146500</v>
      </c>
      <c r="G199" s="2">
        <f t="shared" si="1"/>
        <v>151.17</v>
      </c>
    </row>
    <row r="200" ht="15.75" customHeight="1">
      <c r="A200" s="1">
        <f>IFERROR(__xludf.DUMMYFUNCTION("""COMPUTED_VALUE"""),44126.66666666667)</f>
        <v>44126.66667</v>
      </c>
      <c r="B200" s="2">
        <f>IFERROR(__xludf.DUMMYFUNCTION("""COMPUTED_VALUE"""),1360.56)</f>
        <v>1360.56</v>
      </c>
      <c r="C200" s="2">
        <f>IFERROR(__xludf.DUMMYFUNCTION("""COMPUTED_VALUE"""),1360.56)</f>
        <v>1360.56</v>
      </c>
      <c r="D200" s="2">
        <f>IFERROR(__xludf.DUMMYFUNCTION("""COMPUTED_VALUE"""),1267.9)</f>
        <v>1267.9</v>
      </c>
      <c r="E200" s="2">
        <f>IFERROR(__xludf.DUMMYFUNCTION("""COMPUTED_VALUE"""),1267.9)</f>
        <v>1267.9</v>
      </c>
      <c r="F200" s="2">
        <f>IFERROR(__xludf.DUMMYFUNCTION("""COMPUTED_VALUE"""),3.49011E7)</f>
        <v>34901100</v>
      </c>
      <c r="G200" s="2">
        <f t="shared" si="1"/>
        <v>92.66</v>
      </c>
    </row>
    <row r="201" ht="15.75" customHeight="1">
      <c r="A201" s="1">
        <f>IFERROR(__xludf.DUMMYFUNCTION("""COMPUTED_VALUE"""),44127.66666666667)</f>
        <v>44127.66667</v>
      </c>
      <c r="B201" s="2">
        <f>IFERROR(__xludf.DUMMYFUNCTION("""COMPUTED_VALUE"""),1180.12)</f>
        <v>1180.12</v>
      </c>
      <c r="C201" s="2">
        <f>IFERROR(__xludf.DUMMYFUNCTION("""COMPUTED_VALUE"""),1326.42)</f>
        <v>1326.42</v>
      </c>
      <c r="D201" s="2">
        <f>IFERROR(__xludf.DUMMYFUNCTION("""COMPUTED_VALUE"""),1180.12)</f>
        <v>1180.12</v>
      </c>
      <c r="E201" s="2">
        <f>IFERROR(__xludf.DUMMYFUNCTION("""COMPUTED_VALUE"""),1180.12)</f>
        <v>1180.12</v>
      </c>
      <c r="F201" s="2">
        <f>IFERROR(__xludf.DUMMYFUNCTION("""COMPUTED_VALUE"""),7.12398E8)</f>
        <v>712398000</v>
      </c>
      <c r="G201" s="2">
        <f t="shared" si="1"/>
        <v>146.3</v>
      </c>
    </row>
    <row r="202" ht="15.75" customHeight="1">
      <c r="A202" s="1">
        <f>IFERROR(__xludf.DUMMYFUNCTION("""COMPUTED_VALUE"""),44130.66666666667)</f>
        <v>44130.66667</v>
      </c>
      <c r="B202" s="2">
        <f>IFERROR(__xludf.DUMMYFUNCTION("""COMPUTED_VALUE"""),1165.49)</f>
        <v>1165.49</v>
      </c>
      <c r="C202" s="2">
        <f>IFERROR(__xludf.DUMMYFUNCTION("""COMPUTED_VALUE"""),1272.78)</f>
        <v>1272.78</v>
      </c>
      <c r="D202" s="2">
        <f>IFERROR(__xludf.DUMMYFUNCTION("""COMPUTED_VALUE"""),1165.49)</f>
        <v>1165.49</v>
      </c>
      <c r="E202" s="2">
        <f>IFERROR(__xludf.DUMMYFUNCTION("""COMPUTED_VALUE"""),1219.14)</f>
        <v>1219.14</v>
      </c>
      <c r="F202" s="2">
        <f>IFERROR(__xludf.DUMMYFUNCTION("""COMPUTED_VALUE"""),2.181098E8)</f>
        <v>218109800</v>
      </c>
      <c r="G202" s="2">
        <f t="shared" si="1"/>
        <v>107.29</v>
      </c>
    </row>
    <row r="203" ht="15.75" customHeight="1">
      <c r="A203" s="1">
        <f>IFERROR(__xludf.DUMMYFUNCTION("""COMPUTED_VALUE"""),44131.66666666667)</f>
        <v>44131.66667</v>
      </c>
      <c r="B203" s="2">
        <f>IFERROR(__xludf.DUMMYFUNCTION("""COMPUTED_VALUE"""),1219.14)</f>
        <v>1219.14</v>
      </c>
      <c r="C203" s="2">
        <f>IFERROR(__xludf.DUMMYFUNCTION("""COMPUTED_VALUE"""),1272.78)</f>
        <v>1272.78</v>
      </c>
      <c r="D203" s="2">
        <f>IFERROR(__xludf.DUMMYFUNCTION("""COMPUTED_VALUE"""),1189.88)</f>
        <v>1189.88</v>
      </c>
      <c r="E203" s="2">
        <f>IFERROR(__xludf.DUMMYFUNCTION("""COMPUTED_VALUE"""),1204.51)</f>
        <v>1204.51</v>
      </c>
      <c r="F203" s="2">
        <f>IFERROR(__xludf.DUMMYFUNCTION("""COMPUTED_VALUE"""),2.087402E8)</f>
        <v>208740200</v>
      </c>
      <c r="G203" s="2">
        <f t="shared" si="1"/>
        <v>82.9</v>
      </c>
    </row>
    <row r="204" ht="15.75" customHeight="1">
      <c r="A204" s="1">
        <f>IFERROR(__xludf.DUMMYFUNCTION("""COMPUTED_VALUE"""),44137.66666666667)</f>
        <v>44137.66667</v>
      </c>
      <c r="B204" s="2">
        <f>IFERROR(__xludf.DUMMYFUNCTION("""COMPUTED_VALUE"""),1214.26)</f>
        <v>1214.26</v>
      </c>
      <c r="C204" s="2">
        <f>IFERROR(__xludf.DUMMYFUNCTION("""COMPUTED_VALUE"""),1224.01)</f>
        <v>1224.01</v>
      </c>
      <c r="D204" s="2">
        <f>IFERROR(__xludf.DUMMYFUNCTION("""COMPUTED_VALUE"""),1150.86)</f>
        <v>1150.86</v>
      </c>
      <c r="E204" s="2">
        <f>IFERROR(__xludf.DUMMYFUNCTION("""COMPUTED_VALUE"""),1180.12)</f>
        <v>1180.12</v>
      </c>
      <c r="F204" s="2">
        <f>IFERROR(__xludf.DUMMYFUNCTION("""COMPUTED_VALUE"""),7.46406E7)</f>
        <v>74640600</v>
      </c>
      <c r="G204" s="2">
        <f t="shared" si="1"/>
        <v>73.15</v>
      </c>
    </row>
    <row r="205" ht="15.75" customHeight="1">
      <c r="A205" s="1">
        <f>IFERROR(__xludf.DUMMYFUNCTION("""COMPUTED_VALUE"""),44138.66666666667)</f>
        <v>44138.66667</v>
      </c>
      <c r="B205" s="2">
        <f>IFERROR(__xludf.DUMMYFUNCTION("""COMPUTED_VALUE"""),1189.88)</f>
        <v>1189.88</v>
      </c>
      <c r="C205" s="2">
        <f>IFERROR(__xludf.DUMMYFUNCTION("""COMPUTED_VALUE"""),1209.38)</f>
        <v>1209.38</v>
      </c>
      <c r="D205" s="2">
        <f>IFERROR(__xludf.DUMMYFUNCTION("""COMPUTED_VALUE"""),1150.86)</f>
        <v>1150.86</v>
      </c>
      <c r="E205" s="2">
        <f>IFERROR(__xludf.DUMMYFUNCTION("""COMPUTED_VALUE"""),1150.86)</f>
        <v>1150.86</v>
      </c>
      <c r="F205" s="2">
        <f>IFERROR(__xludf.DUMMYFUNCTION("""COMPUTED_VALUE"""),7.95248E7)</f>
        <v>79524800</v>
      </c>
      <c r="G205" s="2">
        <f t="shared" si="1"/>
        <v>58.52</v>
      </c>
    </row>
    <row r="206" ht="15.75" customHeight="1">
      <c r="A206" s="1">
        <f>IFERROR(__xludf.DUMMYFUNCTION("""COMPUTED_VALUE"""),44139.66666666667)</f>
        <v>44139.66667</v>
      </c>
      <c r="B206" s="2">
        <f>IFERROR(__xludf.DUMMYFUNCTION("""COMPUTED_VALUE"""),1160.62)</f>
        <v>1160.62</v>
      </c>
      <c r="C206" s="2">
        <f>IFERROR(__xludf.DUMMYFUNCTION("""COMPUTED_VALUE"""),1189.88)</f>
        <v>1189.88</v>
      </c>
      <c r="D206" s="2">
        <f>IFERROR(__xludf.DUMMYFUNCTION("""COMPUTED_VALUE"""),1121.61)</f>
        <v>1121.61</v>
      </c>
      <c r="E206" s="2">
        <f>IFERROR(__xludf.DUMMYFUNCTION("""COMPUTED_VALUE"""),1141.11)</f>
        <v>1141.11</v>
      </c>
      <c r="F206" s="2">
        <f>IFERROR(__xludf.DUMMYFUNCTION("""COMPUTED_VALUE"""),1.555627E8)</f>
        <v>155562700</v>
      </c>
      <c r="G206" s="2">
        <f t="shared" si="1"/>
        <v>68.27</v>
      </c>
    </row>
    <row r="207" ht="15.75" customHeight="1">
      <c r="A207" s="1">
        <f>IFERROR(__xludf.DUMMYFUNCTION("""COMPUTED_VALUE"""),44140.66666666667)</f>
        <v>44140.66667</v>
      </c>
      <c r="B207" s="2">
        <f>IFERROR(__xludf.DUMMYFUNCTION("""COMPUTED_VALUE"""),1150.86)</f>
        <v>1150.86</v>
      </c>
      <c r="C207" s="2">
        <f>IFERROR(__xludf.DUMMYFUNCTION("""COMPUTED_VALUE"""),1248.4)</f>
        <v>1248.4</v>
      </c>
      <c r="D207" s="2">
        <f>IFERROR(__xludf.DUMMYFUNCTION("""COMPUTED_VALUE"""),1150.86)</f>
        <v>1150.86</v>
      </c>
      <c r="E207" s="2">
        <f>IFERROR(__xludf.DUMMYFUNCTION("""COMPUTED_VALUE"""),1233.77)</f>
        <v>1233.77</v>
      </c>
      <c r="F207" s="2">
        <f>IFERROR(__xludf.DUMMYFUNCTION("""COMPUTED_VALUE"""),3.247211E8)</f>
        <v>324721100</v>
      </c>
      <c r="G207" s="2">
        <f t="shared" si="1"/>
        <v>107.29</v>
      </c>
    </row>
    <row r="208" ht="15.75" customHeight="1">
      <c r="A208" s="1">
        <f>IFERROR(__xludf.DUMMYFUNCTION("""COMPUTED_VALUE"""),44141.66666666667)</f>
        <v>44141.66667</v>
      </c>
      <c r="B208" s="2">
        <f>IFERROR(__xludf.DUMMYFUNCTION("""COMPUTED_VALUE"""),1238.64)</f>
        <v>1238.64</v>
      </c>
      <c r="C208" s="2">
        <f>IFERROR(__xludf.DUMMYFUNCTION("""COMPUTED_VALUE"""),1263.02)</f>
        <v>1263.02</v>
      </c>
      <c r="D208" s="2">
        <f>IFERROR(__xludf.DUMMYFUNCTION("""COMPUTED_VALUE"""),1194.75)</f>
        <v>1194.75</v>
      </c>
      <c r="E208" s="2">
        <f>IFERROR(__xludf.DUMMYFUNCTION("""COMPUTED_VALUE"""),1199.63)</f>
        <v>1199.63</v>
      </c>
      <c r="F208" s="2">
        <f>IFERROR(__xludf.DUMMYFUNCTION("""COMPUTED_VALUE"""),1.725739E8)</f>
        <v>172573900</v>
      </c>
      <c r="G208" s="2">
        <f t="shared" si="1"/>
        <v>68.27</v>
      </c>
    </row>
    <row r="209" ht="15.75" customHeight="1">
      <c r="A209" s="1">
        <f>IFERROR(__xludf.DUMMYFUNCTION("""COMPUTED_VALUE"""),44144.66666666667)</f>
        <v>44144.66667</v>
      </c>
      <c r="B209" s="2">
        <f>IFERROR(__xludf.DUMMYFUNCTION("""COMPUTED_VALUE"""),1219.14)</f>
        <v>1219.14</v>
      </c>
      <c r="C209" s="2">
        <f>IFERROR(__xludf.DUMMYFUNCTION("""COMPUTED_VALUE"""),1233.77)</f>
        <v>1233.77</v>
      </c>
      <c r="D209" s="2">
        <f>IFERROR(__xludf.DUMMYFUNCTION("""COMPUTED_VALUE"""),1185.0)</f>
        <v>1185</v>
      </c>
      <c r="E209" s="2">
        <f>IFERROR(__xludf.DUMMYFUNCTION("""COMPUTED_VALUE"""),1189.88)</f>
        <v>1189.88</v>
      </c>
      <c r="F209" s="2">
        <f>IFERROR(__xludf.DUMMYFUNCTION("""COMPUTED_VALUE"""),7.43257E7)</f>
        <v>74325700</v>
      </c>
      <c r="G209" s="2">
        <f t="shared" si="1"/>
        <v>48.77</v>
      </c>
    </row>
    <row r="210" ht="15.75" customHeight="1">
      <c r="A210" s="1">
        <f>IFERROR(__xludf.DUMMYFUNCTION("""COMPUTED_VALUE"""),44145.66666666667)</f>
        <v>44145.66667</v>
      </c>
      <c r="B210" s="2">
        <f>IFERROR(__xludf.DUMMYFUNCTION("""COMPUTED_VALUE"""),1209.38)</f>
        <v>1209.38</v>
      </c>
      <c r="C210" s="2">
        <f>IFERROR(__xludf.DUMMYFUNCTION("""COMPUTED_VALUE"""),1214.26)</f>
        <v>1214.26</v>
      </c>
      <c r="D210" s="2">
        <f>IFERROR(__xludf.DUMMYFUNCTION("""COMPUTED_VALUE"""),1180.12)</f>
        <v>1180.12</v>
      </c>
      <c r="E210" s="2">
        <f>IFERROR(__xludf.DUMMYFUNCTION("""COMPUTED_VALUE"""),1199.63)</f>
        <v>1199.63</v>
      </c>
      <c r="F210" s="2">
        <f>IFERROR(__xludf.DUMMYFUNCTION("""COMPUTED_VALUE"""),7.31992E7)</f>
        <v>73199200</v>
      </c>
      <c r="G210" s="2">
        <f t="shared" si="1"/>
        <v>34.14</v>
      </c>
    </row>
    <row r="211" ht="15.75" customHeight="1">
      <c r="A211" s="1">
        <f>IFERROR(__xludf.DUMMYFUNCTION("""COMPUTED_VALUE"""),44146.66666666667)</f>
        <v>44146.66667</v>
      </c>
      <c r="B211" s="2">
        <f>IFERROR(__xludf.DUMMYFUNCTION("""COMPUTED_VALUE"""),1233.77)</f>
        <v>1233.77</v>
      </c>
      <c r="C211" s="2">
        <f>IFERROR(__xludf.DUMMYFUNCTION("""COMPUTED_VALUE"""),1311.79)</f>
        <v>1311.79</v>
      </c>
      <c r="D211" s="2">
        <f>IFERROR(__xludf.DUMMYFUNCTION("""COMPUTED_VALUE"""),1204.51)</f>
        <v>1204.51</v>
      </c>
      <c r="E211" s="2">
        <f>IFERROR(__xludf.DUMMYFUNCTION("""COMPUTED_VALUE"""),1243.52)</f>
        <v>1243.52</v>
      </c>
      <c r="F211" s="2">
        <f>IFERROR(__xludf.DUMMYFUNCTION("""COMPUTED_VALUE"""),3.950317E8)</f>
        <v>395031700</v>
      </c>
      <c r="G211" s="2">
        <f t="shared" si="1"/>
        <v>112.16</v>
      </c>
    </row>
    <row r="212" ht="15.75" customHeight="1">
      <c r="A212" s="1">
        <f>IFERROR(__xludf.DUMMYFUNCTION("""COMPUTED_VALUE"""),44147.66666666667)</f>
        <v>44147.66667</v>
      </c>
      <c r="B212" s="2">
        <f>IFERROR(__xludf.DUMMYFUNCTION("""COMPUTED_VALUE"""),1248.4)</f>
        <v>1248.4</v>
      </c>
      <c r="C212" s="2">
        <f>IFERROR(__xludf.DUMMYFUNCTION("""COMPUTED_VALUE"""),1282.53)</f>
        <v>1282.53</v>
      </c>
      <c r="D212" s="2">
        <f>IFERROR(__xludf.DUMMYFUNCTION("""COMPUTED_VALUE"""),1224.01)</f>
        <v>1224.01</v>
      </c>
      <c r="E212" s="2">
        <f>IFERROR(__xludf.DUMMYFUNCTION("""COMPUTED_VALUE"""),1243.52)</f>
        <v>1243.52</v>
      </c>
      <c r="F212" s="2">
        <f>IFERROR(__xludf.DUMMYFUNCTION("""COMPUTED_VALUE"""),1.111493E8)</f>
        <v>111149300</v>
      </c>
      <c r="G212" s="2">
        <f t="shared" si="1"/>
        <v>58.52</v>
      </c>
    </row>
    <row r="213" ht="15.75" customHeight="1">
      <c r="A213" s="1">
        <f>IFERROR(__xludf.DUMMYFUNCTION("""COMPUTED_VALUE"""),44148.66666666667)</f>
        <v>44148.66667</v>
      </c>
      <c r="B213" s="2">
        <f>IFERROR(__xludf.DUMMYFUNCTION("""COMPUTED_VALUE"""),1243.52)</f>
        <v>1243.52</v>
      </c>
      <c r="C213" s="2">
        <f>IFERROR(__xludf.DUMMYFUNCTION("""COMPUTED_VALUE"""),1287.41)</f>
        <v>1287.41</v>
      </c>
      <c r="D213" s="2">
        <f>IFERROR(__xludf.DUMMYFUNCTION("""COMPUTED_VALUE"""),1238.64)</f>
        <v>1238.64</v>
      </c>
      <c r="E213" s="2">
        <f>IFERROR(__xludf.DUMMYFUNCTION("""COMPUTED_VALUE"""),1267.9)</f>
        <v>1267.9</v>
      </c>
      <c r="F213" s="2">
        <f>IFERROR(__xludf.DUMMYFUNCTION("""COMPUTED_VALUE"""),1.350066E8)</f>
        <v>135006600</v>
      </c>
      <c r="G213" s="2">
        <f t="shared" si="1"/>
        <v>48.77</v>
      </c>
    </row>
    <row r="214" ht="15.75" customHeight="1">
      <c r="A214" s="1">
        <f>IFERROR(__xludf.DUMMYFUNCTION("""COMPUTED_VALUE"""),44151.66666666667)</f>
        <v>44151.66667</v>
      </c>
      <c r="B214" s="2">
        <f>IFERROR(__xludf.DUMMYFUNCTION("""COMPUTED_VALUE"""),1282.53)</f>
        <v>1282.53</v>
      </c>
      <c r="C214" s="2">
        <f>IFERROR(__xludf.DUMMYFUNCTION("""COMPUTED_VALUE"""),1282.53)</f>
        <v>1282.53</v>
      </c>
      <c r="D214" s="2">
        <f>IFERROR(__xludf.DUMMYFUNCTION("""COMPUTED_VALUE"""),1258.15)</f>
        <v>1258.15</v>
      </c>
      <c r="E214" s="2">
        <f>IFERROR(__xludf.DUMMYFUNCTION("""COMPUTED_VALUE"""),1263.02)</f>
        <v>1263.02</v>
      </c>
      <c r="F214" s="2">
        <f>IFERROR(__xludf.DUMMYFUNCTION("""COMPUTED_VALUE"""),6.51828E7)</f>
        <v>65182800</v>
      </c>
      <c r="G214" s="2">
        <f t="shared" si="1"/>
        <v>24.38</v>
      </c>
    </row>
    <row r="215" ht="15.75" customHeight="1">
      <c r="A215" s="1">
        <f>IFERROR(__xludf.DUMMYFUNCTION("""COMPUTED_VALUE"""),44152.66666666667)</f>
        <v>44152.66667</v>
      </c>
      <c r="B215" s="2">
        <f>IFERROR(__xludf.DUMMYFUNCTION("""COMPUTED_VALUE"""),1263.02)</f>
        <v>1263.02</v>
      </c>
      <c r="C215" s="2">
        <f>IFERROR(__xludf.DUMMYFUNCTION("""COMPUTED_VALUE"""),1292.28)</f>
        <v>1292.28</v>
      </c>
      <c r="D215" s="2">
        <f>IFERROR(__xludf.DUMMYFUNCTION("""COMPUTED_VALUE"""),1253.27)</f>
        <v>1253.27</v>
      </c>
      <c r="E215" s="2">
        <f>IFERROR(__xludf.DUMMYFUNCTION("""COMPUTED_VALUE"""),1272.78)</f>
        <v>1272.78</v>
      </c>
      <c r="F215" s="2">
        <f>IFERROR(__xludf.DUMMYFUNCTION("""COMPUTED_VALUE"""),1.228542E8)</f>
        <v>122854200</v>
      </c>
      <c r="G215" s="2">
        <f t="shared" si="1"/>
        <v>39.01</v>
      </c>
    </row>
    <row r="216" ht="15.75" customHeight="1">
      <c r="A216" s="1">
        <f>IFERROR(__xludf.DUMMYFUNCTION("""COMPUTED_VALUE"""),44153.66666666667)</f>
        <v>44153.66667</v>
      </c>
      <c r="B216" s="2">
        <f>IFERROR(__xludf.DUMMYFUNCTION("""COMPUTED_VALUE"""),1282.53)</f>
        <v>1282.53</v>
      </c>
      <c r="C216" s="2">
        <f>IFERROR(__xludf.DUMMYFUNCTION("""COMPUTED_VALUE"""),1326.42)</f>
        <v>1326.42</v>
      </c>
      <c r="D216" s="2">
        <f>IFERROR(__xludf.DUMMYFUNCTION("""COMPUTED_VALUE"""),1267.9)</f>
        <v>1267.9</v>
      </c>
      <c r="E216" s="2">
        <f>IFERROR(__xludf.DUMMYFUNCTION("""COMPUTED_VALUE"""),1316.67)</f>
        <v>1316.67</v>
      </c>
      <c r="F216" s="2">
        <f>IFERROR(__xludf.DUMMYFUNCTION("""COMPUTED_VALUE"""),2.17311E8)</f>
        <v>217311000</v>
      </c>
      <c r="G216" s="2">
        <f t="shared" si="1"/>
        <v>58.52</v>
      </c>
    </row>
    <row r="217" ht="15.75" customHeight="1">
      <c r="A217" s="1">
        <f>IFERROR(__xludf.DUMMYFUNCTION("""COMPUTED_VALUE"""),44154.66666666667)</f>
        <v>44154.66667</v>
      </c>
      <c r="B217" s="2">
        <f>IFERROR(__xludf.DUMMYFUNCTION("""COMPUTED_VALUE"""),1326.42)</f>
        <v>1326.42</v>
      </c>
      <c r="C217" s="2">
        <f>IFERROR(__xludf.DUMMYFUNCTION("""COMPUTED_VALUE"""),1375.19)</f>
        <v>1375.19</v>
      </c>
      <c r="D217" s="2">
        <f>IFERROR(__xludf.DUMMYFUNCTION("""COMPUTED_VALUE"""),1316.67)</f>
        <v>1316.67</v>
      </c>
      <c r="E217" s="2">
        <f>IFERROR(__xludf.DUMMYFUNCTION("""COMPUTED_VALUE"""),1321.54)</f>
        <v>1321.54</v>
      </c>
      <c r="F217" s="2">
        <f>IFERROR(__xludf.DUMMYFUNCTION("""COMPUTED_VALUE"""),2.820851E8)</f>
        <v>282085100</v>
      </c>
      <c r="G217" s="2">
        <f t="shared" si="1"/>
        <v>58.52</v>
      </c>
    </row>
    <row r="218" ht="15.75" customHeight="1">
      <c r="A218" s="1">
        <f>IFERROR(__xludf.DUMMYFUNCTION("""COMPUTED_VALUE"""),44155.66666666667)</f>
        <v>44155.66667</v>
      </c>
      <c r="B218" s="2">
        <f>IFERROR(__xludf.DUMMYFUNCTION("""COMPUTED_VALUE"""),1321.54)</f>
        <v>1321.54</v>
      </c>
      <c r="C218" s="2">
        <f>IFERROR(__xludf.DUMMYFUNCTION("""COMPUTED_VALUE"""),1341.05)</f>
        <v>1341.05</v>
      </c>
      <c r="D218" s="2">
        <f>IFERROR(__xludf.DUMMYFUNCTION("""COMPUTED_VALUE"""),1287.41)</f>
        <v>1287.41</v>
      </c>
      <c r="E218" s="2">
        <f>IFERROR(__xludf.DUMMYFUNCTION("""COMPUTED_VALUE"""),1302.04)</f>
        <v>1302.04</v>
      </c>
      <c r="F218" s="2">
        <f>IFERROR(__xludf.DUMMYFUNCTION("""COMPUTED_VALUE"""),1.064717E8)</f>
        <v>106471700</v>
      </c>
      <c r="G218" s="2">
        <f t="shared" si="1"/>
        <v>53.64</v>
      </c>
    </row>
    <row r="219" ht="15.75" customHeight="1">
      <c r="A219" s="1">
        <f>IFERROR(__xludf.DUMMYFUNCTION("""COMPUTED_VALUE"""),44158.66666666667)</f>
        <v>44158.66667</v>
      </c>
      <c r="B219" s="2">
        <f>IFERROR(__xludf.DUMMYFUNCTION("""COMPUTED_VALUE"""),1321.54)</f>
        <v>1321.54</v>
      </c>
      <c r="C219" s="2">
        <f>IFERROR(__xludf.DUMMYFUNCTION("""COMPUTED_VALUE"""),1326.42)</f>
        <v>1326.42</v>
      </c>
      <c r="D219" s="2">
        <f>IFERROR(__xludf.DUMMYFUNCTION("""COMPUTED_VALUE"""),1292.28)</f>
        <v>1292.28</v>
      </c>
      <c r="E219" s="2">
        <f>IFERROR(__xludf.DUMMYFUNCTION("""COMPUTED_VALUE"""),1311.79)</f>
        <v>1311.79</v>
      </c>
      <c r="F219" s="2">
        <f>IFERROR(__xludf.DUMMYFUNCTION("""COMPUTED_VALUE"""),6.39488E7)</f>
        <v>63948800</v>
      </c>
      <c r="G219" s="2">
        <f t="shared" si="1"/>
        <v>34.14</v>
      </c>
    </row>
    <row r="220" ht="15.75" customHeight="1">
      <c r="A220" s="1">
        <f>IFERROR(__xludf.DUMMYFUNCTION("""COMPUTED_VALUE"""),44159.66666666667)</f>
        <v>44159.66667</v>
      </c>
      <c r="B220" s="2">
        <f>IFERROR(__xludf.DUMMYFUNCTION("""COMPUTED_VALUE"""),1311.79)</f>
        <v>1311.79</v>
      </c>
      <c r="C220" s="2">
        <f>IFERROR(__xludf.DUMMYFUNCTION("""COMPUTED_VALUE"""),1326.42)</f>
        <v>1326.42</v>
      </c>
      <c r="D220" s="2">
        <f>IFERROR(__xludf.DUMMYFUNCTION("""COMPUTED_VALUE"""),1297.16)</f>
        <v>1297.16</v>
      </c>
      <c r="E220" s="2">
        <f>IFERROR(__xludf.DUMMYFUNCTION("""COMPUTED_VALUE"""),1316.67)</f>
        <v>1316.67</v>
      </c>
      <c r="F220" s="2">
        <f>IFERROR(__xludf.DUMMYFUNCTION("""COMPUTED_VALUE"""),8.20743E7)</f>
        <v>82074300</v>
      </c>
      <c r="G220" s="2">
        <f t="shared" si="1"/>
        <v>29.26</v>
      </c>
    </row>
    <row r="221" ht="15.75" customHeight="1">
      <c r="A221" s="1">
        <f>IFERROR(__xludf.DUMMYFUNCTION("""COMPUTED_VALUE"""),44160.66666666667)</f>
        <v>44160.66667</v>
      </c>
      <c r="B221" s="2">
        <f>IFERROR(__xludf.DUMMYFUNCTION("""COMPUTED_VALUE"""),1355.68)</f>
        <v>1355.68</v>
      </c>
      <c r="C221" s="2">
        <f>IFERROR(__xludf.DUMMYFUNCTION("""COMPUTED_VALUE"""),1384.94)</f>
        <v>1384.94</v>
      </c>
      <c r="D221" s="2">
        <f>IFERROR(__xludf.DUMMYFUNCTION("""COMPUTED_VALUE"""),1321.54)</f>
        <v>1321.54</v>
      </c>
      <c r="E221" s="2">
        <f>IFERROR(__xludf.DUMMYFUNCTION("""COMPUTED_VALUE"""),1341.05)</f>
        <v>1341.05</v>
      </c>
      <c r="F221" s="2">
        <f>IFERROR(__xludf.DUMMYFUNCTION("""COMPUTED_VALUE"""),2.205578E8)</f>
        <v>220557800</v>
      </c>
      <c r="G221" s="2">
        <f t="shared" si="1"/>
        <v>68.27</v>
      </c>
    </row>
    <row r="222" ht="15.75" customHeight="1">
      <c r="A222" s="1">
        <f>IFERROR(__xludf.DUMMYFUNCTION("""COMPUTED_VALUE"""),44161.66666666667)</f>
        <v>44161.66667</v>
      </c>
      <c r="B222" s="2">
        <f>IFERROR(__xludf.DUMMYFUNCTION("""COMPUTED_VALUE"""),1341.05)</f>
        <v>1341.05</v>
      </c>
      <c r="C222" s="2">
        <f>IFERROR(__xludf.DUMMYFUNCTION("""COMPUTED_VALUE"""),1355.68)</f>
        <v>1355.68</v>
      </c>
      <c r="D222" s="2">
        <f>IFERROR(__xludf.DUMMYFUNCTION("""COMPUTED_VALUE"""),1326.42)</f>
        <v>1326.42</v>
      </c>
      <c r="E222" s="2">
        <f>IFERROR(__xludf.DUMMYFUNCTION("""COMPUTED_VALUE"""),1341.05)</f>
        <v>1341.05</v>
      </c>
      <c r="F222" s="2">
        <f>IFERROR(__xludf.DUMMYFUNCTION("""COMPUTED_VALUE"""),5.91626E7)</f>
        <v>59162600</v>
      </c>
      <c r="G222" s="2">
        <f t="shared" si="1"/>
        <v>29.26</v>
      </c>
    </row>
    <row r="223" ht="15.75" customHeight="1">
      <c r="A223" s="1">
        <f>IFERROR(__xludf.DUMMYFUNCTION("""COMPUTED_VALUE"""),44162.66666666667)</f>
        <v>44162.66667</v>
      </c>
      <c r="B223" s="2">
        <f>IFERROR(__xludf.DUMMYFUNCTION("""COMPUTED_VALUE"""),1341.05)</f>
        <v>1341.05</v>
      </c>
      <c r="C223" s="2">
        <f>IFERROR(__xludf.DUMMYFUNCTION("""COMPUTED_VALUE"""),1443.46)</f>
        <v>1443.46</v>
      </c>
      <c r="D223" s="2">
        <f>IFERROR(__xludf.DUMMYFUNCTION("""COMPUTED_VALUE"""),1326.42)</f>
        <v>1326.42</v>
      </c>
      <c r="E223" s="2">
        <f>IFERROR(__xludf.DUMMYFUNCTION("""COMPUTED_VALUE"""),1433.7)</f>
        <v>1433.7</v>
      </c>
      <c r="F223" s="2">
        <f>IFERROR(__xludf.DUMMYFUNCTION("""COMPUTED_VALUE"""),2.771885E8)</f>
        <v>277188500</v>
      </c>
      <c r="G223" s="2">
        <f t="shared" si="1"/>
        <v>117.04</v>
      </c>
    </row>
    <row r="224" ht="15.75" customHeight="1">
      <c r="A224" s="1">
        <f>IFERROR(__xludf.DUMMYFUNCTION("""COMPUTED_VALUE"""),44165.66666666667)</f>
        <v>44165.66667</v>
      </c>
      <c r="B224" s="2">
        <f>IFERROR(__xludf.DUMMYFUNCTION("""COMPUTED_VALUE"""),1443.46)</f>
        <v>1443.46</v>
      </c>
      <c r="C224" s="2">
        <f>IFERROR(__xludf.DUMMYFUNCTION("""COMPUTED_VALUE"""),1497.1)</f>
        <v>1497.1</v>
      </c>
      <c r="D224" s="2">
        <f>IFERROR(__xludf.DUMMYFUNCTION("""COMPUTED_VALUE"""),1336.17)</f>
        <v>1336.17</v>
      </c>
      <c r="E224" s="2">
        <f>IFERROR(__xludf.DUMMYFUNCTION("""COMPUTED_VALUE"""),1394.69)</f>
        <v>1394.69</v>
      </c>
      <c r="F224" s="2">
        <f>IFERROR(__xludf.DUMMYFUNCTION("""COMPUTED_VALUE"""),4.063852E8)</f>
        <v>406385200</v>
      </c>
      <c r="G224" s="2">
        <f t="shared" si="1"/>
        <v>160.93</v>
      </c>
    </row>
    <row r="225" ht="15.75" customHeight="1">
      <c r="A225" s="1">
        <f>IFERROR(__xludf.DUMMYFUNCTION("""COMPUTED_VALUE"""),44166.66666666667)</f>
        <v>44166.66667</v>
      </c>
      <c r="B225" s="2">
        <f>IFERROR(__xludf.DUMMYFUNCTION("""COMPUTED_VALUE"""),1360.56)</f>
        <v>1360.56</v>
      </c>
      <c r="C225" s="2">
        <f>IFERROR(__xludf.DUMMYFUNCTION("""COMPUTED_VALUE"""),1448.33)</f>
        <v>1448.33</v>
      </c>
      <c r="D225" s="2">
        <f>IFERROR(__xludf.DUMMYFUNCTION("""COMPUTED_VALUE"""),1350.8)</f>
        <v>1350.8</v>
      </c>
      <c r="E225" s="2">
        <f>IFERROR(__xludf.DUMMYFUNCTION("""COMPUTED_VALUE"""),1419.07)</f>
        <v>1419.07</v>
      </c>
      <c r="F225" s="2">
        <f>IFERROR(__xludf.DUMMYFUNCTION("""COMPUTED_VALUE"""),2.093403E8)</f>
        <v>209340300</v>
      </c>
      <c r="G225" s="2">
        <f t="shared" si="1"/>
        <v>97.53</v>
      </c>
    </row>
    <row r="226" ht="15.75" customHeight="1">
      <c r="A226" s="1">
        <f>IFERROR(__xludf.DUMMYFUNCTION("""COMPUTED_VALUE"""),44167.66666666667)</f>
        <v>44167.66667</v>
      </c>
      <c r="B226" s="2">
        <f>IFERROR(__xludf.DUMMYFUNCTION("""COMPUTED_VALUE"""),1428.83)</f>
        <v>1428.83</v>
      </c>
      <c r="C226" s="2">
        <f>IFERROR(__xludf.DUMMYFUNCTION("""COMPUTED_VALUE"""),1443.46)</f>
        <v>1443.46</v>
      </c>
      <c r="D226" s="2">
        <f>IFERROR(__xludf.DUMMYFUNCTION("""COMPUTED_VALUE"""),1409.32)</f>
        <v>1409.32</v>
      </c>
      <c r="E226" s="2">
        <f>IFERROR(__xludf.DUMMYFUNCTION("""COMPUTED_VALUE"""),1419.07)</f>
        <v>1419.07</v>
      </c>
      <c r="F226" s="2">
        <f>IFERROR(__xludf.DUMMYFUNCTION("""COMPUTED_VALUE"""),1.06413E8)</f>
        <v>106413000</v>
      </c>
      <c r="G226" s="2">
        <f t="shared" si="1"/>
        <v>34.14</v>
      </c>
    </row>
    <row r="227" ht="15.75" customHeight="1">
      <c r="A227" s="1">
        <f>IFERROR(__xludf.DUMMYFUNCTION("""COMPUTED_VALUE"""),44168.66666666667)</f>
        <v>44168.66667</v>
      </c>
      <c r="B227" s="2">
        <f>IFERROR(__xludf.DUMMYFUNCTION("""COMPUTED_VALUE"""),1419.07)</f>
        <v>1419.07</v>
      </c>
      <c r="C227" s="2">
        <f>IFERROR(__xludf.DUMMYFUNCTION("""COMPUTED_VALUE"""),1467.84)</f>
        <v>1467.84</v>
      </c>
      <c r="D227" s="2">
        <f>IFERROR(__xludf.DUMMYFUNCTION("""COMPUTED_VALUE"""),1414.2)</f>
        <v>1414.2</v>
      </c>
      <c r="E227" s="2">
        <f>IFERROR(__xludf.DUMMYFUNCTION("""COMPUTED_VALUE"""),1448.33)</f>
        <v>1448.33</v>
      </c>
      <c r="F227" s="2">
        <f>IFERROR(__xludf.DUMMYFUNCTION("""COMPUTED_VALUE"""),2.372273E8)</f>
        <v>237227300</v>
      </c>
      <c r="G227" s="2">
        <f t="shared" si="1"/>
        <v>53.64</v>
      </c>
    </row>
    <row r="228" ht="15.75" customHeight="1">
      <c r="A228" s="1">
        <f>IFERROR(__xludf.DUMMYFUNCTION("""COMPUTED_VALUE"""),44169.66666666667)</f>
        <v>44169.66667</v>
      </c>
      <c r="B228" s="2">
        <f>IFERROR(__xludf.DUMMYFUNCTION("""COMPUTED_VALUE"""),1462.96)</f>
        <v>1462.96</v>
      </c>
      <c r="C228" s="2">
        <f>IFERROR(__xludf.DUMMYFUNCTION("""COMPUTED_VALUE"""),1462.96)</f>
        <v>1462.96</v>
      </c>
      <c r="D228" s="2">
        <f>IFERROR(__xludf.DUMMYFUNCTION("""COMPUTED_VALUE"""),1428.83)</f>
        <v>1428.83</v>
      </c>
      <c r="E228" s="2">
        <f>IFERROR(__xludf.DUMMYFUNCTION("""COMPUTED_VALUE"""),1428.83)</f>
        <v>1428.83</v>
      </c>
      <c r="F228" s="2">
        <f>IFERROR(__xludf.DUMMYFUNCTION("""COMPUTED_VALUE"""),8.45975E7)</f>
        <v>84597500</v>
      </c>
      <c r="G228" s="2">
        <f t="shared" si="1"/>
        <v>34.13</v>
      </c>
    </row>
    <row r="229" ht="15.75" customHeight="1">
      <c r="A229" s="1">
        <f>IFERROR(__xludf.DUMMYFUNCTION("""COMPUTED_VALUE"""),44172.66666666667)</f>
        <v>44172.66667</v>
      </c>
      <c r="B229" s="2">
        <f>IFERROR(__xludf.DUMMYFUNCTION("""COMPUTED_VALUE"""),1428.83)</f>
        <v>1428.83</v>
      </c>
      <c r="C229" s="2">
        <f>IFERROR(__xludf.DUMMYFUNCTION("""COMPUTED_VALUE"""),1458.09)</f>
        <v>1458.09</v>
      </c>
      <c r="D229" s="2">
        <f>IFERROR(__xludf.DUMMYFUNCTION("""COMPUTED_VALUE"""),1394.69)</f>
        <v>1394.69</v>
      </c>
      <c r="E229" s="2">
        <f>IFERROR(__xludf.DUMMYFUNCTION("""COMPUTED_VALUE"""),1438.58)</f>
        <v>1438.58</v>
      </c>
      <c r="F229" s="2">
        <f>IFERROR(__xludf.DUMMYFUNCTION("""COMPUTED_VALUE"""),7.11613E7)</f>
        <v>71161300</v>
      </c>
      <c r="G229" s="2">
        <f t="shared" si="1"/>
        <v>63.4</v>
      </c>
    </row>
    <row r="230" ht="15.75" customHeight="1">
      <c r="A230" s="1">
        <f>IFERROR(__xludf.DUMMYFUNCTION("""COMPUTED_VALUE"""),44173.66666666667)</f>
        <v>44173.66667</v>
      </c>
      <c r="B230" s="2">
        <f>IFERROR(__xludf.DUMMYFUNCTION("""COMPUTED_VALUE"""),1443.46)</f>
        <v>1443.46</v>
      </c>
      <c r="C230" s="2">
        <f>IFERROR(__xludf.DUMMYFUNCTION("""COMPUTED_VALUE"""),1448.33)</f>
        <v>1448.33</v>
      </c>
      <c r="D230" s="2">
        <f>IFERROR(__xludf.DUMMYFUNCTION("""COMPUTED_VALUE"""),1419.07)</f>
        <v>1419.07</v>
      </c>
      <c r="E230" s="2">
        <f>IFERROR(__xludf.DUMMYFUNCTION("""COMPUTED_VALUE"""),1423.95)</f>
        <v>1423.95</v>
      </c>
      <c r="F230" s="2">
        <f>IFERROR(__xludf.DUMMYFUNCTION("""COMPUTED_VALUE"""),4.63024E7)</f>
        <v>46302400</v>
      </c>
      <c r="G230" s="2">
        <f t="shared" si="1"/>
        <v>29.26</v>
      </c>
    </row>
    <row r="231" ht="15.75" customHeight="1">
      <c r="A231" s="1">
        <f>IFERROR(__xludf.DUMMYFUNCTION("""COMPUTED_VALUE"""),44175.66666666667)</f>
        <v>44175.66667</v>
      </c>
      <c r="B231" s="2">
        <f>IFERROR(__xludf.DUMMYFUNCTION("""COMPUTED_VALUE"""),1433.7)</f>
        <v>1433.7</v>
      </c>
      <c r="C231" s="2">
        <f>IFERROR(__xludf.DUMMYFUNCTION("""COMPUTED_VALUE"""),1487.35)</f>
        <v>1487.35</v>
      </c>
      <c r="D231" s="2">
        <f>IFERROR(__xludf.DUMMYFUNCTION("""COMPUTED_VALUE"""),1423.95)</f>
        <v>1423.95</v>
      </c>
      <c r="E231" s="2">
        <f>IFERROR(__xludf.DUMMYFUNCTION("""COMPUTED_VALUE"""),1453.21)</f>
        <v>1453.21</v>
      </c>
      <c r="F231" s="2">
        <f>IFERROR(__xludf.DUMMYFUNCTION("""COMPUTED_VALUE"""),2.229489E8)</f>
        <v>222948900</v>
      </c>
      <c r="G231" s="2">
        <f t="shared" si="1"/>
        <v>63.4</v>
      </c>
    </row>
    <row r="232" ht="15.75" customHeight="1">
      <c r="A232" s="1">
        <f>IFERROR(__xludf.DUMMYFUNCTION("""COMPUTED_VALUE"""),44176.66666666667)</f>
        <v>44176.66667</v>
      </c>
      <c r="B232" s="2">
        <f>IFERROR(__xludf.DUMMYFUNCTION("""COMPUTED_VALUE"""),1462.96)</f>
        <v>1462.96</v>
      </c>
      <c r="C232" s="2">
        <f>IFERROR(__xludf.DUMMYFUNCTION("""COMPUTED_VALUE"""),1794.57)</f>
        <v>1794.57</v>
      </c>
      <c r="D232" s="2">
        <f>IFERROR(__xludf.DUMMYFUNCTION("""COMPUTED_VALUE"""),1453.21)</f>
        <v>1453.21</v>
      </c>
      <c r="E232" s="2">
        <f>IFERROR(__xludf.DUMMYFUNCTION("""COMPUTED_VALUE"""),1740.93)</f>
        <v>1740.93</v>
      </c>
      <c r="F232" s="2">
        <f>IFERROR(__xludf.DUMMYFUNCTION("""COMPUTED_VALUE"""),9.469576E8)</f>
        <v>946957600</v>
      </c>
      <c r="G232" s="2">
        <f t="shared" si="1"/>
        <v>341.36</v>
      </c>
    </row>
    <row r="233" ht="15.75" customHeight="1">
      <c r="A233" s="1">
        <f>IFERROR(__xludf.DUMMYFUNCTION("""COMPUTED_VALUE"""),44179.66666666667)</f>
        <v>44179.66667</v>
      </c>
      <c r="B233" s="2">
        <f>IFERROR(__xludf.DUMMYFUNCTION("""COMPUTED_VALUE"""),1760.43)</f>
        <v>1760.43</v>
      </c>
      <c r="C233" s="2">
        <f>IFERROR(__xludf.DUMMYFUNCTION("""COMPUTED_VALUE"""),2106.67)</f>
        <v>2106.67</v>
      </c>
      <c r="D233" s="2">
        <f>IFERROR(__xludf.DUMMYFUNCTION("""COMPUTED_VALUE"""),1750.68)</f>
        <v>1750.68</v>
      </c>
      <c r="E233" s="2">
        <f>IFERROR(__xludf.DUMMYFUNCTION("""COMPUTED_VALUE"""),2106.67)</f>
        <v>2106.67</v>
      </c>
      <c r="F233" s="2">
        <f>IFERROR(__xludf.DUMMYFUNCTION("""COMPUTED_VALUE"""),5.945771E8)</f>
        <v>594577100</v>
      </c>
      <c r="G233" s="2">
        <f t="shared" si="1"/>
        <v>365.74</v>
      </c>
    </row>
    <row r="234" ht="15.75" customHeight="1">
      <c r="A234" s="1">
        <f>IFERROR(__xludf.DUMMYFUNCTION("""COMPUTED_VALUE"""),44180.66666666667)</f>
        <v>44180.66667</v>
      </c>
      <c r="B234" s="2">
        <f>IFERROR(__xludf.DUMMYFUNCTION("""COMPUTED_VALUE"""),2194.44)</f>
        <v>2194.44</v>
      </c>
      <c r="C234" s="2">
        <f>IFERROR(__xludf.DUMMYFUNCTION("""COMPUTED_VALUE"""),2213.95)</f>
        <v>2213.95</v>
      </c>
      <c r="D234" s="2">
        <f>IFERROR(__xludf.DUMMYFUNCTION("""COMPUTED_VALUE"""),1960.37)</f>
        <v>1960.37</v>
      </c>
      <c r="E234" s="2">
        <f>IFERROR(__xludf.DUMMYFUNCTION("""COMPUTED_VALUE"""),2048.15)</f>
        <v>2048.15</v>
      </c>
      <c r="F234" s="2">
        <f>IFERROR(__xludf.DUMMYFUNCTION("""COMPUTED_VALUE"""),4.876695E8)</f>
        <v>487669500</v>
      </c>
      <c r="G234" s="2">
        <f t="shared" si="1"/>
        <v>253.58</v>
      </c>
    </row>
    <row r="235" ht="15.75" customHeight="1">
      <c r="A235" s="1">
        <f>IFERROR(__xludf.DUMMYFUNCTION("""COMPUTED_VALUE"""),44181.66666666667)</f>
        <v>44181.66667</v>
      </c>
      <c r="B235" s="2">
        <f>IFERROR(__xludf.DUMMYFUNCTION("""COMPUTED_VALUE"""),2077.41)</f>
        <v>2077.41</v>
      </c>
      <c r="C235" s="2">
        <f>IFERROR(__xludf.DUMMYFUNCTION("""COMPUTED_VALUE"""),2174.94)</f>
        <v>2174.94</v>
      </c>
      <c r="D235" s="2">
        <f>IFERROR(__xludf.DUMMYFUNCTION("""COMPUTED_VALUE"""),2048.15)</f>
        <v>2048.15</v>
      </c>
      <c r="E235" s="2">
        <f>IFERROR(__xludf.DUMMYFUNCTION("""COMPUTED_VALUE"""),2067.65)</f>
        <v>2067.65</v>
      </c>
      <c r="F235" s="2">
        <f>IFERROR(__xludf.DUMMYFUNCTION("""COMPUTED_VALUE"""),2.034317E8)</f>
        <v>203431700</v>
      </c>
      <c r="G235" s="2">
        <f t="shared" si="1"/>
        <v>126.79</v>
      </c>
    </row>
    <row r="236" ht="15.75" customHeight="1">
      <c r="A236" s="1">
        <f>IFERROR(__xludf.DUMMYFUNCTION("""COMPUTED_VALUE"""),44182.66666666667)</f>
        <v>44182.66667</v>
      </c>
      <c r="B236" s="2">
        <f>IFERROR(__xludf.DUMMYFUNCTION("""COMPUTED_VALUE"""),2067.65)</f>
        <v>2067.65</v>
      </c>
      <c r="C236" s="2">
        <f>IFERROR(__xludf.DUMMYFUNCTION("""COMPUTED_VALUE"""),2126.17)</f>
        <v>2126.17</v>
      </c>
      <c r="D236" s="2">
        <f>IFERROR(__xludf.DUMMYFUNCTION("""COMPUTED_VALUE"""),2048.15)</f>
        <v>2048.15</v>
      </c>
      <c r="E236" s="2">
        <f>IFERROR(__xludf.DUMMYFUNCTION("""COMPUTED_VALUE"""),2077.41)</f>
        <v>2077.41</v>
      </c>
      <c r="F236" s="2">
        <f>IFERROR(__xludf.DUMMYFUNCTION("""COMPUTED_VALUE"""),1.026188E8)</f>
        <v>102618800</v>
      </c>
      <c r="G236" s="2">
        <f t="shared" si="1"/>
        <v>78.02</v>
      </c>
    </row>
    <row r="237" ht="15.75" customHeight="1">
      <c r="A237" s="1">
        <f>IFERROR(__xludf.DUMMYFUNCTION("""COMPUTED_VALUE"""),44183.66666666667)</f>
        <v>44183.66667</v>
      </c>
      <c r="B237" s="2">
        <f>IFERROR(__xludf.DUMMYFUNCTION("""COMPUTED_VALUE"""),2077.41)</f>
        <v>2077.41</v>
      </c>
      <c r="C237" s="2">
        <f>IFERROR(__xludf.DUMMYFUNCTION("""COMPUTED_VALUE"""),2311.48)</f>
        <v>2311.48</v>
      </c>
      <c r="D237" s="2">
        <f>IFERROR(__xludf.DUMMYFUNCTION("""COMPUTED_VALUE"""),2009.14)</f>
        <v>2009.14</v>
      </c>
      <c r="E237" s="2">
        <f>IFERROR(__xludf.DUMMYFUNCTION("""COMPUTED_VALUE"""),2233.46)</f>
        <v>2233.46</v>
      </c>
      <c r="F237" s="2">
        <f>IFERROR(__xludf.DUMMYFUNCTION("""COMPUTED_VALUE"""),3.966216E8)</f>
        <v>396621600</v>
      </c>
      <c r="G237" s="2">
        <f t="shared" si="1"/>
        <v>302.34</v>
      </c>
    </row>
    <row r="238" ht="15.75" customHeight="1">
      <c r="A238" s="1">
        <f>IFERROR(__xludf.DUMMYFUNCTION("""COMPUTED_VALUE"""),44186.66666666667)</f>
        <v>44186.66667</v>
      </c>
      <c r="B238" s="2">
        <f>IFERROR(__xludf.DUMMYFUNCTION("""COMPUTED_VALUE"""),2262.72)</f>
        <v>2262.72</v>
      </c>
      <c r="C238" s="2">
        <f>IFERROR(__xludf.DUMMYFUNCTION("""COMPUTED_VALUE"""),2428.52)</f>
        <v>2428.52</v>
      </c>
      <c r="D238" s="2">
        <f>IFERROR(__xludf.DUMMYFUNCTION("""COMPUTED_VALUE"""),2233.46)</f>
        <v>2233.46</v>
      </c>
      <c r="E238" s="2">
        <f>IFERROR(__xludf.DUMMYFUNCTION("""COMPUTED_VALUE"""),2350.49)</f>
        <v>2350.49</v>
      </c>
      <c r="F238" s="2">
        <f>IFERROR(__xludf.DUMMYFUNCTION("""COMPUTED_VALUE"""),2.058445E8)</f>
        <v>205844500</v>
      </c>
      <c r="G238" s="2">
        <f t="shared" si="1"/>
        <v>195.06</v>
      </c>
    </row>
    <row r="239" ht="15.75" customHeight="1">
      <c r="A239" s="1">
        <f>IFERROR(__xludf.DUMMYFUNCTION("""COMPUTED_VALUE"""),44187.66666666667)</f>
        <v>44187.66667</v>
      </c>
      <c r="B239" s="2">
        <f>IFERROR(__xludf.DUMMYFUNCTION("""COMPUTED_VALUE"""),2350.49)</f>
        <v>2350.49</v>
      </c>
      <c r="C239" s="2">
        <f>IFERROR(__xludf.DUMMYFUNCTION("""COMPUTED_VALUE"""),2409.01)</f>
        <v>2409.01</v>
      </c>
      <c r="D239" s="2">
        <f>IFERROR(__xludf.DUMMYFUNCTION("""COMPUTED_VALUE"""),2204.2)</f>
        <v>2204.2</v>
      </c>
      <c r="E239" s="2">
        <f>IFERROR(__xludf.DUMMYFUNCTION("""COMPUTED_VALUE"""),2262.72)</f>
        <v>2262.72</v>
      </c>
      <c r="F239" s="2">
        <f>IFERROR(__xludf.DUMMYFUNCTION("""COMPUTED_VALUE"""),1.654672E8)</f>
        <v>165467200</v>
      </c>
      <c r="G239" s="2">
        <f t="shared" si="1"/>
        <v>204.81</v>
      </c>
    </row>
    <row r="240" ht="15.75" customHeight="1">
      <c r="A240" s="1">
        <f>IFERROR(__xludf.DUMMYFUNCTION("""COMPUTED_VALUE"""),44188.66666666667)</f>
        <v>44188.66667</v>
      </c>
      <c r="B240" s="2">
        <f>IFERROR(__xludf.DUMMYFUNCTION("""COMPUTED_VALUE"""),2272.47)</f>
        <v>2272.47</v>
      </c>
      <c r="C240" s="2">
        <f>IFERROR(__xludf.DUMMYFUNCTION("""COMPUTED_VALUE"""),2330.99)</f>
        <v>2330.99</v>
      </c>
      <c r="D240" s="2">
        <f>IFERROR(__xludf.DUMMYFUNCTION("""COMPUTED_VALUE"""),2106.67)</f>
        <v>2106.67</v>
      </c>
      <c r="E240" s="2">
        <f>IFERROR(__xludf.DUMMYFUNCTION("""COMPUTED_VALUE"""),2213.95)</f>
        <v>2213.95</v>
      </c>
      <c r="F240" s="2">
        <f>IFERROR(__xludf.DUMMYFUNCTION("""COMPUTED_VALUE"""),1.885172E8)</f>
        <v>188517200</v>
      </c>
      <c r="G240" s="2">
        <f t="shared" si="1"/>
        <v>224.32</v>
      </c>
    </row>
    <row r="241" ht="15.75" customHeight="1">
      <c r="A241" s="1">
        <f>IFERROR(__xludf.DUMMYFUNCTION("""COMPUTED_VALUE"""),44193.66666666667)</f>
        <v>44193.66667</v>
      </c>
      <c r="B241" s="2">
        <f>IFERROR(__xludf.DUMMYFUNCTION("""COMPUTED_VALUE"""),2223.7)</f>
        <v>2223.7</v>
      </c>
      <c r="C241" s="2">
        <f>IFERROR(__xludf.DUMMYFUNCTION("""COMPUTED_VALUE"""),2262.72)</f>
        <v>2262.72</v>
      </c>
      <c r="D241" s="2">
        <f>IFERROR(__xludf.DUMMYFUNCTION("""COMPUTED_VALUE"""),2165.19)</f>
        <v>2165.19</v>
      </c>
      <c r="E241" s="2">
        <f>IFERROR(__xludf.DUMMYFUNCTION("""COMPUTED_VALUE"""),2213.95)</f>
        <v>2213.95</v>
      </c>
      <c r="F241" s="2">
        <f>IFERROR(__xludf.DUMMYFUNCTION("""COMPUTED_VALUE"""),7.68272E7)</f>
        <v>76827200</v>
      </c>
      <c r="G241" s="2">
        <f t="shared" si="1"/>
        <v>97.53</v>
      </c>
    </row>
    <row r="242" ht="15.75" customHeight="1">
      <c r="A242" s="1">
        <f>IFERROR(__xludf.DUMMYFUNCTION("""COMPUTED_VALUE"""),44194.66666666667)</f>
        <v>44194.66667</v>
      </c>
      <c r="B242" s="2">
        <f>IFERROR(__xludf.DUMMYFUNCTION("""COMPUTED_VALUE"""),2223.7)</f>
        <v>2223.7</v>
      </c>
      <c r="C242" s="2">
        <f>IFERROR(__xludf.DUMMYFUNCTION("""COMPUTED_VALUE"""),2399.26)</f>
        <v>2399.26</v>
      </c>
      <c r="D242" s="2">
        <f>IFERROR(__xludf.DUMMYFUNCTION("""COMPUTED_VALUE"""),2213.95)</f>
        <v>2213.95</v>
      </c>
      <c r="E242" s="2">
        <f>IFERROR(__xludf.DUMMYFUNCTION("""COMPUTED_VALUE"""),2233.46)</f>
        <v>2233.46</v>
      </c>
      <c r="F242" s="2">
        <f>IFERROR(__xludf.DUMMYFUNCTION("""COMPUTED_VALUE"""),2.05682E8)</f>
        <v>205682000</v>
      </c>
      <c r="G242" s="2">
        <f t="shared" si="1"/>
        <v>185.31</v>
      </c>
    </row>
    <row r="243" ht="15.75" customHeight="1">
      <c r="A243" s="1">
        <f>IFERROR(__xludf.DUMMYFUNCTION("""COMPUTED_VALUE"""),44195.66666666667)</f>
        <v>44195.66667</v>
      </c>
      <c r="B243" s="2">
        <f>IFERROR(__xludf.DUMMYFUNCTION("""COMPUTED_VALUE"""),2233.46)</f>
        <v>2233.46</v>
      </c>
      <c r="C243" s="2">
        <f>IFERROR(__xludf.DUMMYFUNCTION("""COMPUTED_VALUE"""),2311.48)</f>
        <v>2311.48</v>
      </c>
      <c r="D243" s="2">
        <f>IFERROR(__xludf.DUMMYFUNCTION("""COMPUTED_VALUE"""),2145.68)</f>
        <v>2145.68</v>
      </c>
      <c r="E243" s="2">
        <f>IFERROR(__xludf.DUMMYFUNCTION("""COMPUTED_VALUE"""),2194.44)</f>
        <v>2194.44</v>
      </c>
      <c r="F243" s="2">
        <f>IFERROR(__xludf.DUMMYFUNCTION("""COMPUTED_VALUE"""),1.181211E8)</f>
        <v>118121100</v>
      </c>
      <c r="G243" s="2">
        <f t="shared" si="1"/>
        <v>165.8</v>
      </c>
    </row>
    <row r="244" ht="15.75" customHeight="1">
      <c r="A244" s="1">
        <f>IFERROR(__xludf.DUMMYFUNCTION("""COMPUTED_VALUE"""),44200.625)</f>
        <v>44200.625</v>
      </c>
      <c r="B244" s="2">
        <f>IFERROR(__xludf.DUMMYFUNCTION("""COMPUTED_VALUE"""),2243.21)</f>
        <v>2243.21</v>
      </c>
      <c r="C244" s="2">
        <f>IFERROR(__xludf.DUMMYFUNCTION("""COMPUTED_VALUE"""),2321.24)</f>
        <v>2321.24</v>
      </c>
      <c r="D244" s="2">
        <f>IFERROR(__xludf.DUMMYFUNCTION("""COMPUTED_VALUE"""),2174.94)</f>
        <v>2174.94</v>
      </c>
      <c r="E244" s="2">
        <f>IFERROR(__xludf.DUMMYFUNCTION("""COMPUTED_VALUE"""),2301.73)</f>
        <v>2301.73</v>
      </c>
      <c r="F244" s="2">
        <f>IFERROR(__xludf.DUMMYFUNCTION("""COMPUTED_VALUE"""),1.202535E8)</f>
        <v>120253500</v>
      </c>
      <c r="G244" s="2">
        <f t="shared" si="1"/>
        <v>146.3</v>
      </c>
    </row>
    <row r="245" ht="15.75" customHeight="1">
      <c r="A245" s="1">
        <f>IFERROR(__xludf.DUMMYFUNCTION("""COMPUTED_VALUE"""),44201.625)</f>
        <v>44201.625</v>
      </c>
      <c r="B245" s="2">
        <f>IFERROR(__xludf.DUMMYFUNCTION("""COMPUTED_VALUE"""),2311.48)</f>
        <v>2311.48</v>
      </c>
      <c r="C245" s="2">
        <f>IFERROR(__xludf.DUMMYFUNCTION("""COMPUTED_VALUE"""),2370.0)</f>
        <v>2370</v>
      </c>
      <c r="D245" s="2">
        <f>IFERROR(__xludf.DUMMYFUNCTION("""COMPUTED_VALUE"""),2252.96)</f>
        <v>2252.96</v>
      </c>
      <c r="E245" s="2">
        <f>IFERROR(__xludf.DUMMYFUNCTION("""COMPUTED_VALUE"""),2291.98)</f>
        <v>2291.98</v>
      </c>
      <c r="F245" s="2">
        <f>IFERROR(__xludf.DUMMYFUNCTION("""COMPUTED_VALUE"""),1.159006E8)</f>
        <v>115900600</v>
      </c>
      <c r="G245" s="2">
        <f t="shared" si="1"/>
        <v>117.04</v>
      </c>
    </row>
    <row r="246" ht="15.75" customHeight="1">
      <c r="A246" s="1">
        <f>IFERROR(__xludf.DUMMYFUNCTION("""COMPUTED_VALUE"""),44202.625)</f>
        <v>44202.625</v>
      </c>
      <c r="B246" s="2">
        <f>IFERROR(__xludf.DUMMYFUNCTION("""COMPUTED_VALUE"""),2301.73)</f>
        <v>2301.73</v>
      </c>
      <c r="C246" s="2">
        <f>IFERROR(__xludf.DUMMYFUNCTION("""COMPUTED_VALUE"""),2574.82)</f>
        <v>2574.82</v>
      </c>
      <c r="D246" s="2">
        <f>IFERROR(__xludf.DUMMYFUNCTION("""COMPUTED_VALUE"""),2282.22)</f>
        <v>2282.22</v>
      </c>
      <c r="E246" s="2">
        <f>IFERROR(__xludf.DUMMYFUNCTION("""COMPUTED_VALUE"""),2448.03)</f>
        <v>2448.03</v>
      </c>
      <c r="F246" s="2">
        <f>IFERROR(__xludf.DUMMYFUNCTION("""COMPUTED_VALUE"""),4.104737E8)</f>
        <v>410473700</v>
      </c>
      <c r="G246" s="2">
        <f t="shared" si="1"/>
        <v>292.6</v>
      </c>
    </row>
    <row r="247" ht="15.75" customHeight="1">
      <c r="A247" s="1">
        <f>IFERROR(__xludf.DUMMYFUNCTION("""COMPUTED_VALUE"""),44203.66666666667)</f>
        <v>44203.66667</v>
      </c>
      <c r="B247" s="2">
        <f>IFERROR(__xludf.DUMMYFUNCTION("""COMPUTED_VALUE"""),2448.03)</f>
        <v>2448.03</v>
      </c>
      <c r="C247" s="2">
        <f>IFERROR(__xludf.DUMMYFUNCTION("""COMPUTED_VALUE"""),2847.9)</f>
        <v>2847.9</v>
      </c>
      <c r="D247" s="2">
        <f>IFERROR(__xludf.DUMMYFUNCTION("""COMPUTED_VALUE"""),2448.03)</f>
        <v>2448.03</v>
      </c>
      <c r="E247" s="2">
        <f>IFERROR(__xludf.DUMMYFUNCTION("""COMPUTED_VALUE"""),2643.09)</f>
        <v>2643.09</v>
      </c>
      <c r="F247" s="2">
        <f>IFERROR(__xludf.DUMMYFUNCTION("""COMPUTED_VALUE"""),4.122934E8)</f>
        <v>412293400</v>
      </c>
      <c r="G247" s="2">
        <f t="shared" si="1"/>
        <v>399.87</v>
      </c>
    </row>
    <row r="248" ht="15.75" customHeight="1">
      <c r="A248" s="1">
        <f>IFERROR(__xludf.DUMMYFUNCTION("""COMPUTED_VALUE"""),44204.66666666667)</f>
        <v>44204.66667</v>
      </c>
      <c r="B248" s="2">
        <f>IFERROR(__xludf.DUMMYFUNCTION("""COMPUTED_VALUE"""),2691.85)</f>
        <v>2691.85</v>
      </c>
      <c r="C248" s="2">
        <f>IFERROR(__xludf.DUMMYFUNCTION("""COMPUTED_VALUE"""),2935.68)</f>
        <v>2935.68</v>
      </c>
      <c r="D248" s="2">
        <f>IFERROR(__xludf.DUMMYFUNCTION("""COMPUTED_VALUE"""),2662.59)</f>
        <v>2662.59</v>
      </c>
      <c r="E248" s="2">
        <f>IFERROR(__xludf.DUMMYFUNCTION("""COMPUTED_VALUE"""),2789.38)</f>
        <v>2789.38</v>
      </c>
      <c r="F248" s="2">
        <f>IFERROR(__xludf.DUMMYFUNCTION("""COMPUTED_VALUE"""),3.026869E8)</f>
        <v>302686900</v>
      </c>
      <c r="G248" s="2">
        <f t="shared" si="1"/>
        <v>292.59</v>
      </c>
    </row>
    <row r="249" ht="15.75" customHeight="1">
      <c r="A249" s="1">
        <f>IFERROR(__xludf.DUMMYFUNCTION("""COMPUTED_VALUE"""),44207.625)</f>
        <v>44207.625</v>
      </c>
      <c r="B249" s="2">
        <f>IFERROR(__xludf.DUMMYFUNCTION("""COMPUTED_VALUE"""),2838.15)</f>
        <v>2838.15</v>
      </c>
      <c r="C249" s="2">
        <f>IFERROR(__xludf.DUMMYFUNCTION("""COMPUTED_VALUE"""),2994.2)</f>
        <v>2994.2</v>
      </c>
      <c r="D249" s="2">
        <f>IFERROR(__xludf.DUMMYFUNCTION("""COMPUTED_VALUE"""),2808.89)</f>
        <v>2808.89</v>
      </c>
      <c r="E249" s="2">
        <f>IFERROR(__xludf.DUMMYFUNCTION("""COMPUTED_VALUE"""),2964.94)</f>
        <v>2964.94</v>
      </c>
      <c r="F249" s="2">
        <f>IFERROR(__xludf.DUMMYFUNCTION("""COMPUTED_VALUE"""),2.256482E8)</f>
        <v>225648200</v>
      </c>
      <c r="G249" s="2">
        <f t="shared" si="1"/>
        <v>204.82</v>
      </c>
    </row>
    <row r="250" ht="15.75" customHeight="1">
      <c r="A250" s="1">
        <f>IFERROR(__xludf.DUMMYFUNCTION("""COMPUTED_VALUE"""),44208.625)</f>
        <v>44208.625</v>
      </c>
      <c r="B250" s="2">
        <f>IFERROR(__xludf.DUMMYFUNCTION("""COMPUTED_VALUE"""),2984.45)</f>
        <v>2984.45</v>
      </c>
      <c r="C250" s="2">
        <f>IFERROR(__xludf.DUMMYFUNCTION("""COMPUTED_VALUE"""),3706.17)</f>
        <v>3706.17</v>
      </c>
      <c r="D250" s="2">
        <f>IFERROR(__xludf.DUMMYFUNCTION("""COMPUTED_VALUE"""),2984.45)</f>
        <v>2984.45</v>
      </c>
      <c r="E250" s="2">
        <f>IFERROR(__xludf.DUMMYFUNCTION("""COMPUTED_VALUE"""),3667.16)</f>
        <v>3667.16</v>
      </c>
      <c r="F250" s="2">
        <f>IFERROR(__xludf.DUMMYFUNCTION("""COMPUTED_VALUE"""),5.452456E8)</f>
        <v>545245600</v>
      </c>
      <c r="G250" s="2">
        <f t="shared" si="1"/>
        <v>741.23</v>
      </c>
    </row>
    <row r="251" ht="15.75" customHeight="1">
      <c r="A251" s="1">
        <f>IFERROR(__xludf.DUMMYFUNCTION("""COMPUTED_VALUE"""),44209.625)</f>
        <v>44209.625</v>
      </c>
      <c r="B251" s="2">
        <f>IFERROR(__xludf.DUMMYFUNCTION("""COMPUTED_VALUE"""),3706.17)</f>
        <v>3706.17</v>
      </c>
      <c r="C251" s="2">
        <f>IFERROR(__xludf.DUMMYFUNCTION("""COMPUTED_VALUE"""),3881.73)</f>
        <v>3881.73</v>
      </c>
      <c r="D251" s="2">
        <f>IFERROR(__xludf.DUMMYFUNCTION("""COMPUTED_VALUE"""),3559.88)</f>
        <v>3559.88</v>
      </c>
      <c r="E251" s="2">
        <f>IFERROR(__xludf.DUMMYFUNCTION("""COMPUTED_VALUE"""),3676.91)</f>
        <v>3676.91</v>
      </c>
      <c r="F251" s="2">
        <f>IFERROR(__xludf.DUMMYFUNCTION("""COMPUTED_VALUE"""),2.916053E8)</f>
        <v>291605300</v>
      </c>
      <c r="G251" s="2">
        <f t="shared" si="1"/>
        <v>321.85</v>
      </c>
    </row>
    <row r="252" ht="15.75" customHeight="1">
      <c r="A252" s="1">
        <f>IFERROR(__xludf.DUMMYFUNCTION("""COMPUTED_VALUE"""),44210.625)</f>
        <v>44210.625</v>
      </c>
      <c r="B252" s="2">
        <f>IFERROR(__xludf.DUMMYFUNCTION("""COMPUTED_VALUE"""),3667.16)</f>
        <v>3667.16</v>
      </c>
      <c r="C252" s="2">
        <f>IFERROR(__xludf.DUMMYFUNCTION("""COMPUTED_VALUE"""),3842.72)</f>
        <v>3842.72</v>
      </c>
      <c r="D252" s="2">
        <f>IFERROR(__xludf.DUMMYFUNCTION("""COMPUTED_VALUE"""),3618.4)</f>
        <v>3618.4</v>
      </c>
      <c r="E252" s="2">
        <f>IFERROR(__xludf.DUMMYFUNCTION("""COMPUTED_VALUE"""),3667.16)</f>
        <v>3667.16</v>
      </c>
      <c r="F252" s="2">
        <f>IFERROR(__xludf.DUMMYFUNCTION("""COMPUTED_VALUE"""),1.561864E8)</f>
        <v>156186400</v>
      </c>
      <c r="G252" s="2">
        <f t="shared" si="1"/>
        <v>224.32</v>
      </c>
    </row>
    <row r="253" ht="15.75" customHeight="1">
      <c r="A253" s="1">
        <f>IFERROR(__xludf.DUMMYFUNCTION("""COMPUTED_VALUE"""),44211.625)</f>
        <v>44211.625</v>
      </c>
      <c r="B253" s="2">
        <f>IFERROR(__xludf.DUMMYFUNCTION("""COMPUTED_VALUE"""),3667.16)</f>
        <v>3667.16</v>
      </c>
      <c r="C253" s="2">
        <f>IFERROR(__xludf.DUMMYFUNCTION("""COMPUTED_VALUE"""),3725.68)</f>
        <v>3725.68</v>
      </c>
      <c r="D253" s="2">
        <f>IFERROR(__xludf.DUMMYFUNCTION("""COMPUTED_VALUE"""),3530.62)</f>
        <v>3530.62</v>
      </c>
      <c r="E253" s="2">
        <f>IFERROR(__xludf.DUMMYFUNCTION("""COMPUTED_VALUE"""),3579.38)</f>
        <v>3579.38</v>
      </c>
      <c r="F253" s="2">
        <f>IFERROR(__xludf.DUMMYFUNCTION("""COMPUTED_VALUE"""),1.330745E8)</f>
        <v>133074500</v>
      </c>
      <c r="G253" s="2">
        <f t="shared" si="1"/>
        <v>195.06</v>
      </c>
    </row>
    <row r="254" ht="15.75" customHeight="1">
      <c r="A254" s="1">
        <f>IFERROR(__xludf.DUMMYFUNCTION("""COMPUTED_VALUE"""),44214.625)</f>
        <v>44214.625</v>
      </c>
      <c r="B254" s="2">
        <f>IFERROR(__xludf.DUMMYFUNCTION("""COMPUTED_VALUE"""),3520.86)</f>
        <v>3520.86</v>
      </c>
      <c r="C254" s="2">
        <f>IFERROR(__xludf.DUMMYFUNCTION("""COMPUTED_VALUE"""),3579.38)</f>
        <v>3579.38</v>
      </c>
      <c r="D254" s="2">
        <f>IFERROR(__xludf.DUMMYFUNCTION("""COMPUTED_VALUE"""),3335.56)</f>
        <v>3335.56</v>
      </c>
      <c r="E254" s="2">
        <f>IFERROR(__xludf.DUMMYFUNCTION("""COMPUTED_VALUE"""),3335.56)</f>
        <v>3335.56</v>
      </c>
      <c r="F254" s="2">
        <f>IFERROR(__xludf.DUMMYFUNCTION("""COMPUTED_VALUE"""),2.140105E8)</f>
        <v>214010500</v>
      </c>
      <c r="G254" s="2">
        <f t="shared" si="1"/>
        <v>243.82</v>
      </c>
    </row>
    <row r="255" ht="15.75" customHeight="1">
      <c r="A255" s="1">
        <f>IFERROR(__xludf.DUMMYFUNCTION("""COMPUTED_VALUE"""),44215.625)</f>
        <v>44215.625</v>
      </c>
      <c r="B255" s="2">
        <f>IFERROR(__xludf.DUMMYFUNCTION("""COMPUTED_VALUE"""),3296.54)</f>
        <v>3296.54</v>
      </c>
      <c r="C255" s="2">
        <f>IFERROR(__xludf.DUMMYFUNCTION("""COMPUTED_VALUE"""),3296.54)</f>
        <v>3296.54</v>
      </c>
      <c r="D255" s="2">
        <f>IFERROR(__xludf.DUMMYFUNCTION("""COMPUTED_VALUE"""),3111.24)</f>
        <v>3111.24</v>
      </c>
      <c r="E255" s="2">
        <f>IFERROR(__xludf.DUMMYFUNCTION("""COMPUTED_VALUE"""),3111.24)</f>
        <v>3111.24</v>
      </c>
      <c r="F255" s="2">
        <f>IFERROR(__xludf.DUMMYFUNCTION("""COMPUTED_VALUE"""),2.77596E7)</f>
        <v>27759600</v>
      </c>
      <c r="G255" s="2">
        <f t="shared" si="1"/>
        <v>224.32</v>
      </c>
    </row>
    <row r="256" ht="15.75" customHeight="1">
      <c r="A256" s="1">
        <f>IFERROR(__xludf.DUMMYFUNCTION("""COMPUTED_VALUE"""),44216.625)</f>
        <v>44216.625</v>
      </c>
      <c r="B256" s="2">
        <f>IFERROR(__xludf.DUMMYFUNCTION("""COMPUTED_VALUE"""),2896.67)</f>
        <v>2896.67</v>
      </c>
      <c r="C256" s="2">
        <f>IFERROR(__xludf.DUMMYFUNCTION("""COMPUTED_VALUE"""),3559.88)</f>
        <v>3559.88</v>
      </c>
      <c r="D256" s="2">
        <f>IFERROR(__xludf.DUMMYFUNCTION("""COMPUTED_VALUE"""),2896.67)</f>
        <v>2896.67</v>
      </c>
      <c r="E256" s="2">
        <f>IFERROR(__xludf.DUMMYFUNCTION("""COMPUTED_VALUE"""),3559.88)</f>
        <v>3559.88</v>
      </c>
      <c r="F256" s="2">
        <f>IFERROR(__xludf.DUMMYFUNCTION("""COMPUTED_VALUE"""),4.605825E8)</f>
        <v>460582500</v>
      </c>
      <c r="G256" s="2">
        <f t="shared" si="1"/>
        <v>663.21</v>
      </c>
    </row>
    <row r="257" ht="15.75" customHeight="1">
      <c r="A257" s="1">
        <f>IFERROR(__xludf.DUMMYFUNCTION("""COMPUTED_VALUE"""),44217.625)</f>
        <v>44217.625</v>
      </c>
      <c r="B257" s="2">
        <f>IFERROR(__xludf.DUMMYFUNCTION("""COMPUTED_VALUE"""),3608.64)</f>
        <v>3608.64</v>
      </c>
      <c r="C257" s="2">
        <f>IFERROR(__xludf.DUMMYFUNCTION("""COMPUTED_VALUE"""),3706.17)</f>
        <v>3706.17</v>
      </c>
      <c r="D257" s="2">
        <f>IFERROR(__xludf.DUMMYFUNCTION("""COMPUTED_VALUE"""),3316.05)</f>
        <v>3316.05</v>
      </c>
      <c r="E257" s="2">
        <f>IFERROR(__xludf.DUMMYFUNCTION("""COMPUTED_VALUE"""),3394.07)</f>
        <v>3394.07</v>
      </c>
      <c r="F257" s="2">
        <f>IFERROR(__xludf.DUMMYFUNCTION("""COMPUTED_VALUE"""),2.56274E8)</f>
        <v>256274000</v>
      </c>
      <c r="G257" s="2">
        <f t="shared" si="1"/>
        <v>390.12</v>
      </c>
    </row>
    <row r="258" ht="15.75" customHeight="1">
      <c r="A258" s="1">
        <f>IFERROR(__xludf.DUMMYFUNCTION("""COMPUTED_VALUE"""),44218.625)</f>
        <v>44218.625</v>
      </c>
      <c r="B258" s="2">
        <f>IFERROR(__xludf.DUMMYFUNCTION("""COMPUTED_VALUE"""),3394.07)</f>
        <v>3394.07</v>
      </c>
      <c r="C258" s="2">
        <f>IFERROR(__xludf.DUMMYFUNCTION("""COMPUTED_VALUE"""),3462.35)</f>
        <v>3462.35</v>
      </c>
      <c r="D258" s="2">
        <f>IFERROR(__xludf.DUMMYFUNCTION("""COMPUTED_VALUE"""),3160.0)</f>
        <v>3160</v>
      </c>
      <c r="E258" s="2">
        <f>IFERROR(__xludf.DUMMYFUNCTION("""COMPUTED_VALUE"""),3160.0)</f>
        <v>3160</v>
      </c>
      <c r="F258" s="2">
        <f>IFERROR(__xludf.DUMMYFUNCTION("""COMPUTED_VALUE"""),1.432867E8)</f>
        <v>143286700</v>
      </c>
      <c r="G258" s="2">
        <f t="shared" si="1"/>
        <v>302.35</v>
      </c>
    </row>
    <row r="259" ht="15.75" customHeight="1">
      <c r="A259" s="1">
        <f>IFERROR(__xludf.DUMMYFUNCTION("""COMPUTED_VALUE"""),44221.625)</f>
        <v>44221.625</v>
      </c>
      <c r="B259" s="2">
        <f>IFERROR(__xludf.DUMMYFUNCTION("""COMPUTED_VALUE"""),3160.0)</f>
        <v>3160</v>
      </c>
      <c r="C259" s="2">
        <f>IFERROR(__xludf.DUMMYFUNCTION("""COMPUTED_VALUE"""),3228.27)</f>
        <v>3228.27</v>
      </c>
      <c r="D259" s="2">
        <f>IFERROR(__xludf.DUMMYFUNCTION("""COMPUTED_VALUE"""),2945.43)</f>
        <v>2945.43</v>
      </c>
      <c r="E259" s="2">
        <f>IFERROR(__xludf.DUMMYFUNCTION("""COMPUTED_VALUE"""),3160.0)</f>
        <v>3160</v>
      </c>
      <c r="F259" s="2">
        <f>IFERROR(__xludf.DUMMYFUNCTION("""COMPUTED_VALUE"""),2.114051E8)</f>
        <v>211405100</v>
      </c>
      <c r="G259" s="2">
        <f t="shared" si="1"/>
        <v>282.84</v>
      </c>
    </row>
    <row r="260" ht="15.75" customHeight="1">
      <c r="A260" s="1">
        <f>IFERROR(__xludf.DUMMYFUNCTION("""COMPUTED_VALUE"""),44222.625)</f>
        <v>44222.625</v>
      </c>
      <c r="B260" s="2">
        <f>IFERROR(__xludf.DUMMYFUNCTION("""COMPUTED_VALUE"""),3160.0)</f>
        <v>3160</v>
      </c>
      <c r="C260" s="2">
        <f>IFERROR(__xludf.DUMMYFUNCTION("""COMPUTED_VALUE"""),3238.03)</f>
        <v>3238.03</v>
      </c>
      <c r="D260" s="2">
        <f>IFERROR(__xludf.DUMMYFUNCTION("""COMPUTED_VALUE"""),2945.43)</f>
        <v>2945.43</v>
      </c>
      <c r="E260" s="2">
        <f>IFERROR(__xludf.DUMMYFUNCTION("""COMPUTED_VALUE"""),2945.43)</f>
        <v>2945.43</v>
      </c>
      <c r="F260" s="2">
        <f>IFERROR(__xludf.DUMMYFUNCTION("""COMPUTED_VALUE"""),1.940474E8)</f>
        <v>194047400</v>
      </c>
      <c r="G260" s="2">
        <f t="shared" si="1"/>
        <v>292.6</v>
      </c>
    </row>
    <row r="261" ht="15.75" customHeight="1">
      <c r="A261" s="1">
        <f>IFERROR(__xludf.DUMMYFUNCTION("""COMPUTED_VALUE"""),44223.625)</f>
        <v>44223.625</v>
      </c>
      <c r="B261" s="2">
        <f>IFERROR(__xludf.DUMMYFUNCTION("""COMPUTED_VALUE"""),2945.43)</f>
        <v>2945.43</v>
      </c>
      <c r="C261" s="2">
        <f>IFERROR(__xludf.DUMMYFUNCTION("""COMPUTED_VALUE"""),2945.43)</f>
        <v>2945.43</v>
      </c>
      <c r="D261" s="2">
        <f>IFERROR(__xludf.DUMMYFUNCTION("""COMPUTED_VALUE"""),2740.62)</f>
        <v>2740.62</v>
      </c>
      <c r="E261" s="2">
        <f>IFERROR(__xludf.DUMMYFUNCTION("""COMPUTED_VALUE"""),2740.62)</f>
        <v>2740.62</v>
      </c>
      <c r="F261" s="2">
        <f>IFERROR(__xludf.DUMMYFUNCTION("""COMPUTED_VALUE"""),2.899897E8)</f>
        <v>289989700</v>
      </c>
      <c r="G261" s="2">
        <f t="shared" si="1"/>
        <v>204.81</v>
      </c>
    </row>
    <row r="262" ht="15.75" customHeight="1">
      <c r="A262" s="1">
        <f>IFERROR(__xludf.DUMMYFUNCTION("""COMPUTED_VALUE"""),44224.625)</f>
        <v>44224.625</v>
      </c>
      <c r="B262" s="2">
        <f>IFERROR(__xludf.DUMMYFUNCTION("""COMPUTED_VALUE"""),2711.36)</f>
        <v>2711.36</v>
      </c>
      <c r="C262" s="2">
        <f>IFERROR(__xludf.DUMMYFUNCTION("""COMPUTED_VALUE"""),2974.69)</f>
        <v>2974.69</v>
      </c>
      <c r="D262" s="2">
        <f>IFERROR(__xludf.DUMMYFUNCTION("""COMPUTED_VALUE"""),2555.31)</f>
        <v>2555.31</v>
      </c>
      <c r="E262" s="2">
        <f>IFERROR(__xludf.DUMMYFUNCTION("""COMPUTED_VALUE"""),2555.31)</f>
        <v>2555.31</v>
      </c>
      <c r="F262" s="2">
        <f>IFERROR(__xludf.DUMMYFUNCTION("""COMPUTED_VALUE"""),4.06684E8)</f>
        <v>406684000</v>
      </c>
      <c r="G262" s="2">
        <f t="shared" si="1"/>
        <v>419.38</v>
      </c>
    </row>
    <row r="263" ht="15.75" customHeight="1">
      <c r="A263" s="1">
        <f>IFERROR(__xludf.DUMMYFUNCTION("""COMPUTED_VALUE"""),44225.625)</f>
        <v>44225.625</v>
      </c>
      <c r="B263" s="2">
        <f>IFERROR(__xludf.DUMMYFUNCTION("""COMPUTED_VALUE"""),2633.33)</f>
        <v>2633.33</v>
      </c>
      <c r="C263" s="2">
        <f>IFERROR(__xludf.DUMMYFUNCTION("""COMPUTED_VALUE"""),2779.63)</f>
        <v>2779.63</v>
      </c>
      <c r="D263" s="2">
        <f>IFERROR(__xludf.DUMMYFUNCTION("""COMPUTED_VALUE"""),2379.75)</f>
        <v>2379.75</v>
      </c>
      <c r="E263" s="2">
        <f>IFERROR(__xludf.DUMMYFUNCTION("""COMPUTED_VALUE"""),2379.75)</f>
        <v>2379.75</v>
      </c>
      <c r="F263" s="2">
        <f>IFERROR(__xludf.DUMMYFUNCTION("""COMPUTED_VALUE"""),2.98212E8)</f>
        <v>298212000</v>
      </c>
      <c r="G263" s="2">
        <f t="shared" si="1"/>
        <v>399.88</v>
      </c>
    </row>
    <row r="264" ht="15.75" customHeight="1">
      <c r="A264" s="1">
        <f>IFERROR(__xludf.DUMMYFUNCTION("""COMPUTED_VALUE"""),44228.625)</f>
        <v>44228.625</v>
      </c>
      <c r="B264" s="2">
        <f>IFERROR(__xludf.DUMMYFUNCTION("""COMPUTED_VALUE"""),2389.51)</f>
        <v>2389.51</v>
      </c>
      <c r="C264" s="2">
        <f>IFERROR(__xludf.DUMMYFUNCTION("""COMPUTED_VALUE"""),2886.91)</f>
        <v>2886.91</v>
      </c>
      <c r="D264" s="2">
        <f>IFERROR(__xludf.DUMMYFUNCTION("""COMPUTED_VALUE"""),2213.95)</f>
        <v>2213.95</v>
      </c>
      <c r="E264" s="2">
        <f>IFERROR(__xludf.DUMMYFUNCTION("""COMPUTED_VALUE"""),2730.86)</f>
        <v>2730.86</v>
      </c>
      <c r="F264" s="2">
        <f>IFERROR(__xludf.DUMMYFUNCTION("""COMPUTED_VALUE"""),7.883197E8)</f>
        <v>788319700</v>
      </c>
      <c r="G264" s="2">
        <f t="shared" si="1"/>
        <v>672.96</v>
      </c>
    </row>
    <row r="265" ht="15.75" customHeight="1">
      <c r="A265" s="1">
        <f>IFERROR(__xludf.DUMMYFUNCTION("""COMPUTED_VALUE"""),44229.625)</f>
        <v>44229.625</v>
      </c>
      <c r="B265" s="2">
        <f>IFERROR(__xludf.DUMMYFUNCTION("""COMPUTED_VALUE"""),2760.12)</f>
        <v>2760.12</v>
      </c>
      <c r="C265" s="2">
        <f>IFERROR(__xludf.DUMMYFUNCTION("""COMPUTED_VALUE"""),2799.14)</f>
        <v>2799.14</v>
      </c>
      <c r="D265" s="2">
        <f>IFERROR(__xludf.DUMMYFUNCTION("""COMPUTED_VALUE"""),2545.56)</f>
        <v>2545.56</v>
      </c>
      <c r="E265" s="2">
        <f>IFERROR(__xludf.DUMMYFUNCTION("""COMPUTED_VALUE"""),2545.56)</f>
        <v>2545.56</v>
      </c>
      <c r="F265" s="2">
        <f>IFERROR(__xludf.DUMMYFUNCTION("""COMPUTED_VALUE"""),3.073123E8)</f>
        <v>307312300</v>
      </c>
      <c r="G265" s="2">
        <f t="shared" si="1"/>
        <v>253.58</v>
      </c>
    </row>
    <row r="266" ht="15.75" customHeight="1">
      <c r="A266" s="1">
        <f>IFERROR(__xludf.DUMMYFUNCTION("""COMPUTED_VALUE"""),44230.625)</f>
        <v>44230.625</v>
      </c>
      <c r="B266" s="2">
        <f>IFERROR(__xludf.DUMMYFUNCTION("""COMPUTED_VALUE"""),2545.56)</f>
        <v>2545.56</v>
      </c>
      <c r="C266" s="2">
        <f>IFERROR(__xludf.DUMMYFUNCTION("""COMPUTED_VALUE"""),2740.62)</f>
        <v>2740.62</v>
      </c>
      <c r="D266" s="2">
        <f>IFERROR(__xludf.DUMMYFUNCTION("""COMPUTED_VALUE"""),2438.27)</f>
        <v>2438.27</v>
      </c>
      <c r="E266" s="2">
        <f>IFERROR(__xludf.DUMMYFUNCTION("""COMPUTED_VALUE"""),2682.1)</f>
        <v>2682.1</v>
      </c>
      <c r="F266" s="2">
        <f>IFERROR(__xludf.DUMMYFUNCTION("""COMPUTED_VALUE"""),4.154617E8)</f>
        <v>415461700</v>
      </c>
      <c r="G266" s="2">
        <f t="shared" si="1"/>
        <v>302.35</v>
      </c>
    </row>
    <row r="267" ht="15.75" customHeight="1">
      <c r="A267" s="1">
        <f>IFERROR(__xludf.DUMMYFUNCTION("""COMPUTED_VALUE"""),44231.625)</f>
        <v>44231.625</v>
      </c>
      <c r="B267" s="2">
        <f>IFERROR(__xludf.DUMMYFUNCTION("""COMPUTED_VALUE"""),2701.61)</f>
        <v>2701.61</v>
      </c>
      <c r="C267" s="2">
        <f>IFERROR(__xludf.DUMMYFUNCTION("""COMPUTED_VALUE"""),2769.88)</f>
        <v>2769.88</v>
      </c>
      <c r="D267" s="2">
        <f>IFERROR(__xludf.DUMMYFUNCTION("""COMPUTED_VALUE"""),2555.31)</f>
        <v>2555.31</v>
      </c>
      <c r="E267" s="2">
        <f>IFERROR(__xludf.DUMMYFUNCTION("""COMPUTED_VALUE"""),2613.83)</f>
        <v>2613.83</v>
      </c>
      <c r="F267" s="2">
        <f>IFERROR(__xludf.DUMMYFUNCTION("""COMPUTED_VALUE"""),2.439852E8)</f>
        <v>243985200</v>
      </c>
      <c r="G267" s="2">
        <f t="shared" si="1"/>
        <v>214.57</v>
      </c>
    </row>
    <row r="268" ht="15.75" customHeight="1">
      <c r="A268" s="1">
        <f>IFERROR(__xludf.DUMMYFUNCTION("""COMPUTED_VALUE"""),44232.625)</f>
        <v>44232.625</v>
      </c>
      <c r="B268" s="2">
        <f>IFERROR(__xludf.DUMMYFUNCTION("""COMPUTED_VALUE"""),2701.61)</f>
        <v>2701.61</v>
      </c>
      <c r="C268" s="2">
        <f>IFERROR(__xludf.DUMMYFUNCTION("""COMPUTED_VALUE"""),2711.36)</f>
        <v>2711.36</v>
      </c>
      <c r="D268" s="2">
        <f>IFERROR(__xludf.DUMMYFUNCTION("""COMPUTED_VALUE"""),2565.06)</f>
        <v>2565.06</v>
      </c>
      <c r="E268" s="2">
        <f>IFERROR(__xludf.DUMMYFUNCTION("""COMPUTED_VALUE"""),2643.09)</f>
        <v>2643.09</v>
      </c>
      <c r="F268" s="2">
        <f>IFERROR(__xludf.DUMMYFUNCTION("""COMPUTED_VALUE"""),1.024861E8)</f>
        <v>102486100</v>
      </c>
      <c r="G268" s="2">
        <f t="shared" si="1"/>
        <v>146.3</v>
      </c>
    </row>
    <row r="269" ht="15.75" customHeight="1">
      <c r="A269" s="1">
        <f>IFERROR(__xludf.DUMMYFUNCTION("""COMPUTED_VALUE"""),44235.625)</f>
        <v>44235.625</v>
      </c>
      <c r="B269" s="2">
        <f>IFERROR(__xludf.DUMMYFUNCTION("""COMPUTED_VALUE"""),2643.09)</f>
        <v>2643.09</v>
      </c>
      <c r="C269" s="2">
        <f>IFERROR(__xludf.DUMMYFUNCTION("""COMPUTED_VALUE"""),2925.93)</f>
        <v>2925.93</v>
      </c>
      <c r="D269" s="2">
        <f>IFERROR(__xludf.DUMMYFUNCTION("""COMPUTED_VALUE"""),2633.33)</f>
        <v>2633.33</v>
      </c>
      <c r="E269" s="2">
        <f>IFERROR(__xludf.DUMMYFUNCTION("""COMPUTED_VALUE"""),2886.91)</f>
        <v>2886.91</v>
      </c>
      <c r="F269" s="2">
        <f>IFERROR(__xludf.DUMMYFUNCTION("""COMPUTED_VALUE"""),3.960676E8)</f>
        <v>396067600</v>
      </c>
      <c r="G269" s="2">
        <f t="shared" si="1"/>
        <v>292.6</v>
      </c>
    </row>
    <row r="270" ht="15.75" customHeight="1">
      <c r="A270" s="1">
        <f>IFERROR(__xludf.DUMMYFUNCTION("""COMPUTED_VALUE"""),44236.625)</f>
        <v>44236.625</v>
      </c>
      <c r="B270" s="2">
        <f>IFERROR(__xludf.DUMMYFUNCTION("""COMPUTED_VALUE"""),2896.67)</f>
        <v>2896.67</v>
      </c>
      <c r="C270" s="2">
        <f>IFERROR(__xludf.DUMMYFUNCTION("""COMPUTED_VALUE"""),2994.2)</f>
        <v>2994.2</v>
      </c>
      <c r="D270" s="2">
        <f>IFERROR(__xludf.DUMMYFUNCTION("""COMPUTED_VALUE"""),2701.61)</f>
        <v>2701.61</v>
      </c>
      <c r="E270" s="2">
        <f>IFERROR(__xludf.DUMMYFUNCTION("""COMPUTED_VALUE"""),2760.12)</f>
        <v>2760.12</v>
      </c>
      <c r="F270" s="2">
        <f>IFERROR(__xludf.DUMMYFUNCTION("""COMPUTED_VALUE"""),3.409096E8)</f>
        <v>340909600</v>
      </c>
      <c r="G270" s="2">
        <f t="shared" si="1"/>
        <v>292.59</v>
      </c>
    </row>
    <row r="271" ht="15.75" customHeight="1">
      <c r="A271" s="1">
        <f>IFERROR(__xludf.DUMMYFUNCTION("""COMPUTED_VALUE"""),44237.625)</f>
        <v>44237.625</v>
      </c>
      <c r="B271" s="2">
        <f>IFERROR(__xludf.DUMMYFUNCTION("""COMPUTED_VALUE"""),2769.88)</f>
        <v>2769.88</v>
      </c>
      <c r="C271" s="2">
        <f>IFERROR(__xludf.DUMMYFUNCTION("""COMPUTED_VALUE"""),2838.15)</f>
        <v>2838.15</v>
      </c>
      <c r="D271" s="2">
        <f>IFERROR(__xludf.DUMMYFUNCTION("""COMPUTED_VALUE"""),2691.85)</f>
        <v>2691.85</v>
      </c>
      <c r="E271" s="2">
        <f>IFERROR(__xludf.DUMMYFUNCTION("""COMPUTED_VALUE"""),2799.14)</f>
        <v>2799.14</v>
      </c>
      <c r="F271" s="2">
        <f>IFERROR(__xludf.DUMMYFUNCTION("""COMPUTED_VALUE"""),1.099233E8)</f>
        <v>109923300</v>
      </c>
      <c r="G271" s="2">
        <f t="shared" si="1"/>
        <v>146.3</v>
      </c>
    </row>
    <row r="272" ht="15.75" customHeight="1">
      <c r="A272" s="1">
        <f>IFERROR(__xludf.DUMMYFUNCTION("""COMPUTED_VALUE"""),44238.625)</f>
        <v>44238.625</v>
      </c>
      <c r="B272" s="2">
        <f>IFERROR(__xludf.DUMMYFUNCTION("""COMPUTED_VALUE"""),2808.89)</f>
        <v>2808.89</v>
      </c>
      <c r="C272" s="2">
        <f>IFERROR(__xludf.DUMMYFUNCTION("""COMPUTED_VALUE"""),2877.16)</f>
        <v>2877.16</v>
      </c>
      <c r="D272" s="2">
        <f>IFERROR(__xludf.DUMMYFUNCTION("""COMPUTED_VALUE"""),2760.12)</f>
        <v>2760.12</v>
      </c>
      <c r="E272" s="2">
        <f>IFERROR(__xludf.DUMMYFUNCTION("""COMPUTED_VALUE"""),2799.14)</f>
        <v>2799.14</v>
      </c>
      <c r="F272" s="2">
        <f>IFERROR(__xludf.DUMMYFUNCTION("""COMPUTED_VALUE"""),8.30447E7)</f>
        <v>83044700</v>
      </c>
      <c r="G272" s="2">
        <f t="shared" si="1"/>
        <v>117.04</v>
      </c>
    </row>
    <row r="273" ht="15.75" customHeight="1">
      <c r="A273" s="1">
        <f>IFERROR(__xludf.DUMMYFUNCTION("""COMPUTED_VALUE"""),44242.625)</f>
        <v>44242.625</v>
      </c>
      <c r="B273" s="2">
        <f>IFERROR(__xludf.DUMMYFUNCTION("""COMPUTED_VALUE"""),2799.14)</f>
        <v>2799.14</v>
      </c>
      <c r="C273" s="2">
        <f>IFERROR(__xludf.DUMMYFUNCTION("""COMPUTED_VALUE"""),2857.65)</f>
        <v>2857.65</v>
      </c>
      <c r="D273" s="2">
        <f>IFERROR(__xludf.DUMMYFUNCTION("""COMPUTED_VALUE"""),2799.14)</f>
        <v>2799.14</v>
      </c>
      <c r="E273" s="2">
        <f>IFERROR(__xludf.DUMMYFUNCTION("""COMPUTED_VALUE"""),2799.14)</f>
        <v>2799.14</v>
      </c>
      <c r="F273" s="2">
        <f>IFERROR(__xludf.DUMMYFUNCTION("""COMPUTED_VALUE"""),4.73665E7)</f>
        <v>47366500</v>
      </c>
      <c r="G273" s="2">
        <f t="shared" si="1"/>
        <v>58.51</v>
      </c>
    </row>
    <row r="274" ht="15.75" customHeight="1">
      <c r="A274" s="1">
        <f>IFERROR(__xludf.DUMMYFUNCTION("""COMPUTED_VALUE"""),44243.625)</f>
        <v>44243.625</v>
      </c>
      <c r="B274" s="2">
        <f>IFERROR(__xludf.DUMMYFUNCTION("""COMPUTED_VALUE"""),2808.89)</f>
        <v>2808.89</v>
      </c>
      <c r="C274" s="2">
        <f>IFERROR(__xludf.DUMMYFUNCTION("""COMPUTED_VALUE"""),2877.16)</f>
        <v>2877.16</v>
      </c>
      <c r="D274" s="2">
        <f>IFERROR(__xludf.DUMMYFUNCTION("""COMPUTED_VALUE"""),2799.14)</f>
        <v>2799.14</v>
      </c>
      <c r="E274" s="2">
        <f>IFERROR(__xludf.DUMMYFUNCTION("""COMPUTED_VALUE"""),2828.4)</f>
        <v>2828.4</v>
      </c>
      <c r="F274" s="2">
        <f>IFERROR(__xludf.DUMMYFUNCTION("""COMPUTED_VALUE"""),6.80454E7)</f>
        <v>68045400</v>
      </c>
      <c r="G274" s="2">
        <f t="shared" si="1"/>
        <v>78.02</v>
      </c>
    </row>
    <row r="275" ht="15.75" customHeight="1">
      <c r="A275" s="1">
        <f>IFERROR(__xludf.DUMMYFUNCTION("""COMPUTED_VALUE"""),44244.625)</f>
        <v>44244.625</v>
      </c>
      <c r="B275" s="2">
        <f>IFERROR(__xludf.DUMMYFUNCTION("""COMPUTED_VALUE"""),2828.4)</f>
        <v>2828.4</v>
      </c>
      <c r="C275" s="2">
        <f>IFERROR(__xludf.DUMMYFUNCTION("""COMPUTED_VALUE"""),2838.15)</f>
        <v>2838.15</v>
      </c>
      <c r="D275" s="2">
        <f>IFERROR(__xludf.DUMMYFUNCTION("""COMPUTED_VALUE"""),2672.35)</f>
        <v>2672.35</v>
      </c>
      <c r="E275" s="2">
        <f>IFERROR(__xludf.DUMMYFUNCTION("""COMPUTED_VALUE"""),2672.35)</f>
        <v>2672.35</v>
      </c>
      <c r="F275" s="2">
        <f>IFERROR(__xludf.DUMMYFUNCTION("""COMPUTED_VALUE"""),9.20261E7)</f>
        <v>92026100</v>
      </c>
      <c r="G275" s="2">
        <f t="shared" si="1"/>
        <v>165.8</v>
      </c>
    </row>
    <row r="276" ht="15.75" customHeight="1">
      <c r="A276" s="1">
        <f>IFERROR(__xludf.DUMMYFUNCTION("""COMPUTED_VALUE"""),44245.625)</f>
        <v>44245.625</v>
      </c>
      <c r="B276" s="2">
        <f>IFERROR(__xludf.DUMMYFUNCTION("""COMPUTED_VALUE"""),2672.35)</f>
        <v>2672.35</v>
      </c>
      <c r="C276" s="2">
        <f>IFERROR(__xludf.DUMMYFUNCTION("""COMPUTED_VALUE"""),2711.36)</f>
        <v>2711.36</v>
      </c>
      <c r="D276" s="2">
        <f>IFERROR(__xludf.DUMMYFUNCTION("""COMPUTED_VALUE"""),2584.57)</f>
        <v>2584.57</v>
      </c>
      <c r="E276" s="2">
        <f>IFERROR(__xludf.DUMMYFUNCTION("""COMPUTED_VALUE"""),2633.33)</f>
        <v>2633.33</v>
      </c>
      <c r="F276" s="2">
        <f>IFERROR(__xludf.DUMMYFUNCTION("""COMPUTED_VALUE"""),7.25024E7)</f>
        <v>72502400</v>
      </c>
      <c r="G276" s="2">
        <f t="shared" si="1"/>
        <v>126.79</v>
      </c>
    </row>
    <row r="277" ht="15.75" customHeight="1">
      <c r="A277" s="1">
        <f>IFERROR(__xludf.DUMMYFUNCTION("""COMPUTED_VALUE"""),44246.625)</f>
        <v>44246.625</v>
      </c>
      <c r="B277" s="2">
        <f>IFERROR(__xludf.DUMMYFUNCTION("""COMPUTED_VALUE"""),2633.33)</f>
        <v>2633.33</v>
      </c>
      <c r="C277" s="2">
        <f>IFERROR(__xludf.DUMMYFUNCTION("""COMPUTED_VALUE"""),2672.35)</f>
        <v>2672.35</v>
      </c>
      <c r="D277" s="2">
        <f>IFERROR(__xludf.DUMMYFUNCTION("""COMPUTED_VALUE"""),2584.57)</f>
        <v>2584.57</v>
      </c>
      <c r="E277" s="2">
        <f>IFERROR(__xludf.DUMMYFUNCTION("""COMPUTED_VALUE"""),2623.58)</f>
        <v>2623.58</v>
      </c>
      <c r="F277" s="2">
        <f>IFERROR(__xludf.DUMMYFUNCTION("""COMPUTED_VALUE"""),5.43347E7)</f>
        <v>54334700</v>
      </c>
      <c r="G277" s="2">
        <f t="shared" si="1"/>
        <v>87.78</v>
      </c>
    </row>
    <row r="278" ht="15.75" customHeight="1">
      <c r="A278" s="1">
        <f>IFERROR(__xludf.DUMMYFUNCTION("""COMPUTED_VALUE"""),44249.625)</f>
        <v>44249.625</v>
      </c>
      <c r="B278" s="2">
        <f>IFERROR(__xludf.DUMMYFUNCTION("""COMPUTED_VALUE"""),2633.33)</f>
        <v>2633.33</v>
      </c>
      <c r="C278" s="2">
        <f>IFERROR(__xludf.DUMMYFUNCTION("""COMPUTED_VALUE"""),2779.63)</f>
        <v>2779.63</v>
      </c>
      <c r="D278" s="2">
        <f>IFERROR(__xludf.DUMMYFUNCTION("""COMPUTED_VALUE"""),2623.58)</f>
        <v>2623.58</v>
      </c>
      <c r="E278" s="2">
        <f>IFERROR(__xludf.DUMMYFUNCTION("""COMPUTED_VALUE"""),2701.61)</f>
        <v>2701.61</v>
      </c>
      <c r="F278" s="2">
        <f>IFERROR(__xludf.DUMMYFUNCTION("""COMPUTED_VALUE"""),1.20593E8)</f>
        <v>120593000</v>
      </c>
      <c r="G278" s="2">
        <f t="shared" si="1"/>
        <v>156.05</v>
      </c>
    </row>
    <row r="279" ht="15.75" customHeight="1">
      <c r="A279" s="1">
        <f>IFERROR(__xludf.DUMMYFUNCTION("""COMPUTED_VALUE"""),44250.66666666667)</f>
        <v>44250.66667</v>
      </c>
      <c r="B279" s="2">
        <f>IFERROR(__xludf.DUMMYFUNCTION("""COMPUTED_VALUE"""),2721.11)</f>
        <v>2721.11</v>
      </c>
      <c r="C279" s="2">
        <f>IFERROR(__xludf.DUMMYFUNCTION("""COMPUTED_VALUE"""),2750.37)</f>
        <v>2750.37</v>
      </c>
      <c r="D279" s="2">
        <f>IFERROR(__xludf.DUMMYFUNCTION("""COMPUTED_VALUE"""),2672.35)</f>
        <v>2672.35</v>
      </c>
      <c r="E279" s="2">
        <f>IFERROR(__xludf.DUMMYFUNCTION("""COMPUTED_VALUE"""),2721.11)</f>
        <v>2721.11</v>
      </c>
      <c r="F279" s="2">
        <f>IFERROR(__xludf.DUMMYFUNCTION("""COMPUTED_VALUE"""),3.55182E7)</f>
        <v>35518200</v>
      </c>
      <c r="G279" s="2">
        <f t="shared" si="1"/>
        <v>78.02</v>
      </c>
    </row>
    <row r="280" ht="15.75" customHeight="1">
      <c r="A280" s="1">
        <f>IFERROR(__xludf.DUMMYFUNCTION("""COMPUTED_VALUE"""),44251.625)</f>
        <v>44251.625</v>
      </c>
      <c r="B280" s="2">
        <f>IFERROR(__xludf.DUMMYFUNCTION("""COMPUTED_VALUE"""),2721.11)</f>
        <v>2721.11</v>
      </c>
      <c r="C280" s="2">
        <f>IFERROR(__xludf.DUMMYFUNCTION("""COMPUTED_VALUE"""),2799.14)</f>
        <v>2799.14</v>
      </c>
      <c r="D280" s="2">
        <f>IFERROR(__xludf.DUMMYFUNCTION("""COMPUTED_VALUE"""),2691.85)</f>
        <v>2691.85</v>
      </c>
      <c r="E280" s="2">
        <f>IFERROR(__xludf.DUMMYFUNCTION("""COMPUTED_VALUE"""),2750.37)</f>
        <v>2750.37</v>
      </c>
      <c r="F280" s="2">
        <f>IFERROR(__xludf.DUMMYFUNCTION("""COMPUTED_VALUE"""),7.38067E7)</f>
        <v>73806700</v>
      </c>
      <c r="G280" s="2">
        <f t="shared" si="1"/>
        <v>107.29</v>
      </c>
    </row>
    <row r="281" ht="15.75" customHeight="1">
      <c r="A281" s="1">
        <f>IFERROR(__xludf.DUMMYFUNCTION("""COMPUTED_VALUE"""),44252.625)</f>
        <v>44252.625</v>
      </c>
      <c r="B281" s="2">
        <f>IFERROR(__xludf.DUMMYFUNCTION("""COMPUTED_VALUE"""),2760.12)</f>
        <v>2760.12</v>
      </c>
      <c r="C281" s="2">
        <f>IFERROR(__xludf.DUMMYFUNCTION("""COMPUTED_VALUE"""),2906.42)</f>
        <v>2906.42</v>
      </c>
      <c r="D281" s="2">
        <f>IFERROR(__xludf.DUMMYFUNCTION("""COMPUTED_VALUE"""),2760.12)</f>
        <v>2760.12</v>
      </c>
      <c r="E281" s="2">
        <f>IFERROR(__xludf.DUMMYFUNCTION("""COMPUTED_VALUE"""),2886.91)</f>
        <v>2886.91</v>
      </c>
      <c r="F281" s="2">
        <f>IFERROR(__xludf.DUMMYFUNCTION("""COMPUTED_VALUE"""),2.120401E8)</f>
        <v>212040100</v>
      </c>
      <c r="G281" s="2">
        <f t="shared" si="1"/>
        <v>156.05</v>
      </c>
    </row>
    <row r="282" ht="15.75" customHeight="1">
      <c r="A282" s="1">
        <f>IFERROR(__xludf.DUMMYFUNCTION("""COMPUTED_VALUE"""),44253.625)</f>
        <v>44253.625</v>
      </c>
      <c r="B282" s="2">
        <f>IFERROR(__xludf.DUMMYFUNCTION("""COMPUTED_VALUE"""),2906.42)</f>
        <v>2906.42</v>
      </c>
      <c r="C282" s="2">
        <f>IFERROR(__xludf.DUMMYFUNCTION("""COMPUTED_VALUE"""),2994.2)</f>
        <v>2994.2</v>
      </c>
      <c r="D282" s="2">
        <f>IFERROR(__xludf.DUMMYFUNCTION("""COMPUTED_VALUE"""),2760.12)</f>
        <v>2760.12</v>
      </c>
      <c r="E282" s="2">
        <f>IFERROR(__xludf.DUMMYFUNCTION("""COMPUTED_VALUE"""),2867.41)</f>
        <v>2867.41</v>
      </c>
      <c r="F282" s="2">
        <f>IFERROR(__xludf.DUMMYFUNCTION("""COMPUTED_VALUE"""),2.340498E8)</f>
        <v>234049800</v>
      </c>
      <c r="G282" s="2">
        <f t="shared" si="1"/>
        <v>234.08</v>
      </c>
    </row>
    <row r="283" ht="15.75" customHeight="1">
      <c r="A283" s="1">
        <f>IFERROR(__xludf.DUMMYFUNCTION("""COMPUTED_VALUE"""),44256.625)</f>
        <v>44256.625</v>
      </c>
      <c r="B283" s="2">
        <f>IFERROR(__xludf.DUMMYFUNCTION("""COMPUTED_VALUE"""),2896.67)</f>
        <v>2896.67</v>
      </c>
      <c r="C283" s="2">
        <f>IFERROR(__xludf.DUMMYFUNCTION("""COMPUTED_VALUE"""),2906.42)</f>
        <v>2906.42</v>
      </c>
      <c r="D283" s="2">
        <f>IFERROR(__xludf.DUMMYFUNCTION("""COMPUTED_VALUE"""),2808.89)</f>
        <v>2808.89</v>
      </c>
      <c r="E283" s="2">
        <f>IFERROR(__xludf.DUMMYFUNCTION("""COMPUTED_VALUE"""),2847.9)</f>
        <v>2847.9</v>
      </c>
      <c r="F283" s="2">
        <f>IFERROR(__xludf.DUMMYFUNCTION("""COMPUTED_VALUE"""),5.83034E7)</f>
        <v>58303400</v>
      </c>
      <c r="G283" s="2">
        <f t="shared" si="1"/>
        <v>97.53</v>
      </c>
    </row>
    <row r="284" ht="15.75" customHeight="1">
      <c r="A284" s="1">
        <f>IFERROR(__xludf.DUMMYFUNCTION("""COMPUTED_VALUE"""),44257.625)</f>
        <v>44257.625</v>
      </c>
      <c r="B284" s="2">
        <f>IFERROR(__xludf.DUMMYFUNCTION("""COMPUTED_VALUE"""),2857.65)</f>
        <v>2857.65</v>
      </c>
      <c r="C284" s="2">
        <f>IFERROR(__xludf.DUMMYFUNCTION("""COMPUTED_VALUE"""),2877.16)</f>
        <v>2877.16</v>
      </c>
      <c r="D284" s="2">
        <f>IFERROR(__xludf.DUMMYFUNCTION("""COMPUTED_VALUE"""),2779.63)</f>
        <v>2779.63</v>
      </c>
      <c r="E284" s="2">
        <f>IFERROR(__xludf.DUMMYFUNCTION("""COMPUTED_VALUE"""),2779.63)</f>
        <v>2779.63</v>
      </c>
      <c r="F284" s="2">
        <f>IFERROR(__xludf.DUMMYFUNCTION("""COMPUTED_VALUE"""),4.39851E7)</f>
        <v>43985100</v>
      </c>
      <c r="G284" s="2">
        <f t="shared" si="1"/>
        <v>97.53</v>
      </c>
    </row>
    <row r="285" ht="15.75" customHeight="1">
      <c r="A285" s="1">
        <f>IFERROR(__xludf.DUMMYFUNCTION("""COMPUTED_VALUE"""),44258.625)</f>
        <v>44258.625</v>
      </c>
      <c r="B285" s="2">
        <f>IFERROR(__xludf.DUMMYFUNCTION("""COMPUTED_VALUE"""),2789.38)</f>
        <v>2789.38</v>
      </c>
      <c r="C285" s="2">
        <f>IFERROR(__xludf.DUMMYFUNCTION("""COMPUTED_VALUE"""),2838.15)</f>
        <v>2838.15</v>
      </c>
      <c r="D285" s="2">
        <f>IFERROR(__xludf.DUMMYFUNCTION("""COMPUTED_VALUE"""),2730.86)</f>
        <v>2730.86</v>
      </c>
      <c r="E285" s="2">
        <f>IFERROR(__xludf.DUMMYFUNCTION("""COMPUTED_VALUE"""),2740.62)</f>
        <v>2740.62</v>
      </c>
      <c r="F285" s="2">
        <f>IFERROR(__xludf.DUMMYFUNCTION("""COMPUTED_VALUE"""),4.5506E7)</f>
        <v>45506000</v>
      </c>
      <c r="G285" s="2">
        <f t="shared" si="1"/>
        <v>107.29</v>
      </c>
    </row>
    <row r="286" ht="15.75" customHeight="1">
      <c r="A286" s="1">
        <f>IFERROR(__xludf.DUMMYFUNCTION("""COMPUTED_VALUE"""),44259.625)</f>
        <v>44259.625</v>
      </c>
      <c r="B286" s="2">
        <f>IFERROR(__xludf.DUMMYFUNCTION("""COMPUTED_VALUE"""),2740.62)</f>
        <v>2740.62</v>
      </c>
      <c r="C286" s="2">
        <f>IFERROR(__xludf.DUMMYFUNCTION("""COMPUTED_VALUE"""),2779.63)</f>
        <v>2779.63</v>
      </c>
      <c r="D286" s="2">
        <f>IFERROR(__xludf.DUMMYFUNCTION("""COMPUTED_VALUE"""),2565.06)</f>
        <v>2565.06</v>
      </c>
      <c r="E286" s="2">
        <f>IFERROR(__xludf.DUMMYFUNCTION("""COMPUTED_VALUE"""),2613.83)</f>
        <v>2613.83</v>
      </c>
      <c r="F286" s="2">
        <f>IFERROR(__xludf.DUMMYFUNCTION("""COMPUTED_VALUE"""),7.44802E7)</f>
        <v>74480200</v>
      </c>
      <c r="G286" s="2">
        <f t="shared" si="1"/>
        <v>214.57</v>
      </c>
    </row>
    <row r="287" ht="15.75" customHeight="1">
      <c r="A287" s="1">
        <f>IFERROR(__xludf.DUMMYFUNCTION("""COMPUTED_VALUE"""),44260.625)</f>
        <v>44260.625</v>
      </c>
      <c r="B287" s="2">
        <f>IFERROR(__xludf.DUMMYFUNCTION("""COMPUTED_VALUE"""),2613.83)</f>
        <v>2613.83</v>
      </c>
      <c r="C287" s="2">
        <f>IFERROR(__xludf.DUMMYFUNCTION("""COMPUTED_VALUE"""),2643.09)</f>
        <v>2643.09</v>
      </c>
      <c r="D287" s="2">
        <f>IFERROR(__xludf.DUMMYFUNCTION("""COMPUTED_VALUE"""),2516.3)</f>
        <v>2516.3</v>
      </c>
      <c r="E287" s="2">
        <f>IFERROR(__xludf.DUMMYFUNCTION("""COMPUTED_VALUE"""),2565.06)</f>
        <v>2565.06</v>
      </c>
      <c r="F287" s="2">
        <f>IFERROR(__xludf.DUMMYFUNCTION("""COMPUTED_VALUE"""),4.23643E7)</f>
        <v>42364300</v>
      </c>
      <c r="G287" s="2">
        <f t="shared" si="1"/>
        <v>126.79</v>
      </c>
    </row>
    <row r="288" ht="15.75" customHeight="1">
      <c r="A288" s="1">
        <f>IFERROR(__xludf.DUMMYFUNCTION("""COMPUTED_VALUE"""),44263.66666666667)</f>
        <v>44263.66667</v>
      </c>
      <c r="B288" s="2">
        <f>IFERROR(__xludf.DUMMYFUNCTION("""COMPUTED_VALUE"""),2565.06)</f>
        <v>2565.06</v>
      </c>
      <c r="C288" s="2">
        <f>IFERROR(__xludf.DUMMYFUNCTION("""COMPUTED_VALUE"""),2672.35)</f>
        <v>2672.35</v>
      </c>
      <c r="D288" s="2">
        <f>IFERROR(__xludf.DUMMYFUNCTION("""COMPUTED_VALUE"""),2565.06)</f>
        <v>2565.06</v>
      </c>
      <c r="E288" s="2">
        <f>IFERROR(__xludf.DUMMYFUNCTION("""COMPUTED_VALUE"""),2613.83)</f>
        <v>2613.83</v>
      </c>
      <c r="F288" s="2">
        <f>IFERROR(__xludf.DUMMYFUNCTION("""COMPUTED_VALUE"""),3.59816E7)</f>
        <v>35981600</v>
      </c>
      <c r="G288" s="2">
        <f t="shared" si="1"/>
        <v>107.29</v>
      </c>
    </row>
    <row r="289" ht="15.75" customHeight="1">
      <c r="A289" s="1">
        <f>IFERROR(__xludf.DUMMYFUNCTION("""COMPUTED_VALUE"""),44264.625)</f>
        <v>44264.625</v>
      </c>
      <c r="B289" s="2">
        <f>IFERROR(__xludf.DUMMYFUNCTION("""COMPUTED_VALUE"""),2613.83)</f>
        <v>2613.83</v>
      </c>
      <c r="C289" s="2">
        <f>IFERROR(__xludf.DUMMYFUNCTION("""COMPUTED_VALUE"""),2643.09)</f>
        <v>2643.09</v>
      </c>
      <c r="D289" s="2">
        <f>IFERROR(__xludf.DUMMYFUNCTION("""COMPUTED_VALUE"""),2535.8)</f>
        <v>2535.8</v>
      </c>
      <c r="E289" s="2">
        <f>IFERROR(__xludf.DUMMYFUNCTION("""COMPUTED_VALUE"""),2555.31)</f>
        <v>2555.31</v>
      </c>
      <c r="F289" s="2">
        <f>IFERROR(__xludf.DUMMYFUNCTION("""COMPUTED_VALUE"""),2.64591E7)</f>
        <v>26459100</v>
      </c>
      <c r="G289" s="2">
        <f t="shared" si="1"/>
        <v>107.29</v>
      </c>
    </row>
    <row r="290" ht="15.75" customHeight="1">
      <c r="A290" s="1">
        <f>IFERROR(__xludf.DUMMYFUNCTION("""COMPUTED_VALUE"""),44265.625)</f>
        <v>44265.625</v>
      </c>
      <c r="B290" s="2">
        <f>IFERROR(__xludf.DUMMYFUNCTION("""COMPUTED_VALUE"""),2584.57)</f>
        <v>2584.57</v>
      </c>
      <c r="C290" s="2">
        <f>IFERROR(__xludf.DUMMYFUNCTION("""COMPUTED_VALUE"""),2584.57)</f>
        <v>2584.57</v>
      </c>
      <c r="D290" s="2">
        <f>IFERROR(__xludf.DUMMYFUNCTION("""COMPUTED_VALUE"""),2496.79)</f>
        <v>2496.79</v>
      </c>
      <c r="E290" s="2">
        <f>IFERROR(__xludf.DUMMYFUNCTION("""COMPUTED_VALUE"""),2506.54)</f>
        <v>2506.54</v>
      </c>
      <c r="F290" s="2">
        <f>IFERROR(__xludf.DUMMYFUNCTION("""COMPUTED_VALUE"""),2.55667E7)</f>
        <v>25566700</v>
      </c>
      <c r="G290" s="2">
        <f t="shared" si="1"/>
        <v>87.78</v>
      </c>
    </row>
    <row r="291" ht="15.75" customHeight="1">
      <c r="A291" s="1">
        <f>IFERROR(__xludf.DUMMYFUNCTION("""COMPUTED_VALUE"""),44267.625)</f>
        <v>44267.625</v>
      </c>
      <c r="B291" s="2">
        <f>IFERROR(__xludf.DUMMYFUNCTION("""COMPUTED_VALUE"""),2516.3)</f>
        <v>2516.3</v>
      </c>
      <c r="C291" s="2">
        <f>IFERROR(__xludf.DUMMYFUNCTION("""COMPUTED_VALUE"""),2574.82)</f>
        <v>2574.82</v>
      </c>
      <c r="D291" s="2">
        <f>IFERROR(__xludf.DUMMYFUNCTION("""COMPUTED_VALUE"""),2506.54)</f>
        <v>2506.54</v>
      </c>
      <c r="E291" s="2">
        <f>IFERROR(__xludf.DUMMYFUNCTION("""COMPUTED_VALUE"""),2555.31)</f>
        <v>2555.31</v>
      </c>
      <c r="F291" s="2">
        <f>IFERROR(__xludf.DUMMYFUNCTION("""COMPUTED_VALUE"""),3.2371E7)</f>
        <v>32371000</v>
      </c>
      <c r="G291" s="2">
        <f t="shared" si="1"/>
        <v>68.28</v>
      </c>
    </row>
    <row r="292" ht="15.75" customHeight="1">
      <c r="A292" s="1">
        <f>IFERROR(__xludf.DUMMYFUNCTION("""COMPUTED_VALUE"""),44270.625)</f>
        <v>44270.625</v>
      </c>
      <c r="B292" s="2">
        <f>IFERROR(__xludf.DUMMYFUNCTION("""COMPUTED_VALUE"""),2555.31)</f>
        <v>2555.31</v>
      </c>
      <c r="C292" s="2">
        <f>IFERROR(__xludf.DUMMYFUNCTION("""COMPUTED_VALUE"""),2613.83)</f>
        <v>2613.83</v>
      </c>
      <c r="D292" s="2">
        <f>IFERROR(__xludf.DUMMYFUNCTION("""COMPUTED_VALUE"""),2535.8)</f>
        <v>2535.8</v>
      </c>
      <c r="E292" s="2">
        <f>IFERROR(__xludf.DUMMYFUNCTION("""COMPUTED_VALUE"""),2535.8)</f>
        <v>2535.8</v>
      </c>
      <c r="F292" s="2">
        <f>IFERROR(__xludf.DUMMYFUNCTION("""COMPUTED_VALUE"""),2.4931E7)</f>
        <v>24931000</v>
      </c>
      <c r="G292" s="2">
        <f t="shared" si="1"/>
        <v>78.03</v>
      </c>
    </row>
    <row r="293" ht="15.75" customHeight="1">
      <c r="A293" s="1">
        <f>IFERROR(__xludf.DUMMYFUNCTION("""COMPUTED_VALUE"""),44271.625)</f>
        <v>44271.625</v>
      </c>
      <c r="B293" s="2">
        <f>IFERROR(__xludf.DUMMYFUNCTION("""COMPUTED_VALUE"""),2535.8)</f>
        <v>2535.8</v>
      </c>
      <c r="C293" s="2">
        <f>IFERROR(__xludf.DUMMYFUNCTION("""COMPUTED_VALUE"""),2691.85)</f>
        <v>2691.85</v>
      </c>
      <c r="D293" s="2">
        <f>IFERROR(__xludf.DUMMYFUNCTION("""COMPUTED_VALUE"""),2535.8)</f>
        <v>2535.8</v>
      </c>
      <c r="E293" s="2">
        <f>IFERROR(__xludf.DUMMYFUNCTION("""COMPUTED_VALUE"""),2613.83)</f>
        <v>2613.83</v>
      </c>
      <c r="F293" s="2">
        <f>IFERROR(__xludf.DUMMYFUNCTION("""COMPUTED_VALUE"""),6.21327E7)</f>
        <v>62132700</v>
      </c>
      <c r="G293" s="2">
        <f t="shared" si="1"/>
        <v>156.05</v>
      </c>
    </row>
    <row r="294" ht="15.75" customHeight="1">
      <c r="A294" s="1">
        <f>IFERROR(__xludf.DUMMYFUNCTION("""COMPUTED_VALUE"""),44272.625)</f>
        <v>44272.625</v>
      </c>
      <c r="B294" s="2">
        <f>IFERROR(__xludf.DUMMYFUNCTION("""COMPUTED_VALUE"""),2633.33)</f>
        <v>2633.33</v>
      </c>
      <c r="C294" s="2">
        <f>IFERROR(__xludf.DUMMYFUNCTION("""COMPUTED_VALUE"""),2662.59)</f>
        <v>2662.59</v>
      </c>
      <c r="D294" s="2">
        <f>IFERROR(__xludf.DUMMYFUNCTION("""COMPUTED_VALUE"""),2613.83)</f>
        <v>2613.83</v>
      </c>
      <c r="E294" s="2">
        <f>IFERROR(__xludf.DUMMYFUNCTION("""COMPUTED_VALUE"""),2633.33)</f>
        <v>2633.33</v>
      </c>
      <c r="F294" s="2">
        <f>IFERROR(__xludf.DUMMYFUNCTION("""COMPUTED_VALUE"""),2.27964E7)</f>
        <v>22796400</v>
      </c>
      <c r="G294" s="2">
        <f t="shared" si="1"/>
        <v>48.76</v>
      </c>
    </row>
    <row r="295" ht="15.75" customHeight="1">
      <c r="A295" s="1">
        <f>IFERROR(__xludf.DUMMYFUNCTION("""COMPUTED_VALUE"""),44273.625)</f>
        <v>44273.625</v>
      </c>
      <c r="B295" s="2">
        <f>IFERROR(__xludf.DUMMYFUNCTION("""COMPUTED_VALUE"""),2633.33)</f>
        <v>2633.33</v>
      </c>
      <c r="C295" s="2">
        <f>IFERROR(__xludf.DUMMYFUNCTION("""COMPUTED_VALUE"""),2672.35)</f>
        <v>2672.35</v>
      </c>
      <c r="D295" s="2">
        <f>IFERROR(__xludf.DUMMYFUNCTION("""COMPUTED_VALUE"""),2633.33)</f>
        <v>2633.33</v>
      </c>
      <c r="E295" s="2">
        <f>IFERROR(__xludf.DUMMYFUNCTION("""COMPUTED_VALUE"""),2652.84)</f>
        <v>2652.84</v>
      </c>
      <c r="F295" s="2">
        <f>IFERROR(__xludf.DUMMYFUNCTION("""COMPUTED_VALUE"""),2.87981E7)</f>
        <v>28798100</v>
      </c>
      <c r="G295" s="2">
        <f t="shared" si="1"/>
        <v>39.02</v>
      </c>
    </row>
    <row r="296" ht="15.75" customHeight="1">
      <c r="A296" s="1">
        <f>IFERROR(__xludf.DUMMYFUNCTION("""COMPUTED_VALUE"""),44274.625)</f>
        <v>44274.625</v>
      </c>
      <c r="B296" s="2">
        <f>IFERROR(__xludf.DUMMYFUNCTION("""COMPUTED_VALUE"""),2662.59)</f>
        <v>2662.59</v>
      </c>
      <c r="C296" s="2">
        <f>IFERROR(__xludf.DUMMYFUNCTION("""COMPUTED_VALUE"""),2662.59)</f>
        <v>2662.59</v>
      </c>
      <c r="D296" s="2">
        <f>IFERROR(__xludf.DUMMYFUNCTION("""COMPUTED_VALUE"""),2555.31)</f>
        <v>2555.31</v>
      </c>
      <c r="E296" s="2">
        <f>IFERROR(__xludf.DUMMYFUNCTION("""COMPUTED_VALUE"""),2604.07)</f>
        <v>2604.07</v>
      </c>
      <c r="F296" s="2">
        <f>IFERROR(__xludf.DUMMYFUNCTION("""COMPUTED_VALUE"""),8.61441E7)</f>
        <v>86144100</v>
      </c>
      <c r="G296" s="2">
        <f t="shared" si="1"/>
        <v>107.28</v>
      </c>
    </row>
    <row r="297" ht="15.75" customHeight="1">
      <c r="A297" s="1">
        <f>IFERROR(__xludf.DUMMYFUNCTION("""COMPUTED_VALUE"""),44277.625)</f>
        <v>44277.625</v>
      </c>
      <c r="B297" s="2">
        <f>IFERROR(__xludf.DUMMYFUNCTION("""COMPUTED_VALUE"""),2604.07)</f>
        <v>2604.07</v>
      </c>
      <c r="C297" s="2">
        <f>IFERROR(__xludf.DUMMYFUNCTION("""COMPUTED_VALUE"""),2613.83)</f>
        <v>2613.83</v>
      </c>
      <c r="D297" s="2">
        <f>IFERROR(__xludf.DUMMYFUNCTION("""COMPUTED_VALUE"""),2555.31)</f>
        <v>2555.31</v>
      </c>
      <c r="E297" s="2">
        <f>IFERROR(__xludf.DUMMYFUNCTION("""COMPUTED_VALUE"""),2555.31)</f>
        <v>2555.31</v>
      </c>
      <c r="F297" s="2">
        <f>IFERROR(__xludf.DUMMYFUNCTION("""COMPUTED_VALUE"""),1.43254E7)</f>
        <v>14325400</v>
      </c>
      <c r="G297" s="2">
        <f t="shared" si="1"/>
        <v>58.52</v>
      </c>
    </row>
    <row r="298" ht="15.75" customHeight="1">
      <c r="A298" s="1">
        <f>IFERROR(__xludf.DUMMYFUNCTION("""COMPUTED_VALUE"""),44278.625)</f>
        <v>44278.625</v>
      </c>
      <c r="B298" s="2">
        <f>IFERROR(__xludf.DUMMYFUNCTION("""COMPUTED_VALUE"""),2555.31)</f>
        <v>2555.31</v>
      </c>
      <c r="C298" s="2">
        <f>IFERROR(__xludf.DUMMYFUNCTION("""COMPUTED_VALUE"""),2594.32)</f>
        <v>2594.32</v>
      </c>
      <c r="D298" s="2">
        <f>IFERROR(__xludf.DUMMYFUNCTION("""COMPUTED_VALUE"""),2516.3)</f>
        <v>2516.3</v>
      </c>
      <c r="E298" s="2">
        <f>IFERROR(__xludf.DUMMYFUNCTION("""COMPUTED_VALUE"""),2526.05)</f>
        <v>2526.05</v>
      </c>
      <c r="F298" s="2">
        <f>IFERROR(__xludf.DUMMYFUNCTION("""COMPUTED_VALUE"""),2.20404E7)</f>
        <v>22040400</v>
      </c>
      <c r="G298" s="2">
        <f t="shared" si="1"/>
        <v>78.02</v>
      </c>
    </row>
    <row r="299" ht="15.75" customHeight="1">
      <c r="A299" s="1">
        <f>IFERROR(__xludf.DUMMYFUNCTION("""COMPUTED_VALUE"""),44279.625)</f>
        <v>44279.625</v>
      </c>
      <c r="B299" s="2">
        <f>IFERROR(__xludf.DUMMYFUNCTION("""COMPUTED_VALUE"""),2526.05)</f>
        <v>2526.05</v>
      </c>
      <c r="C299" s="2">
        <f>IFERROR(__xludf.DUMMYFUNCTION("""COMPUTED_VALUE"""),2574.82)</f>
        <v>2574.82</v>
      </c>
      <c r="D299" s="2">
        <f>IFERROR(__xludf.DUMMYFUNCTION("""COMPUTED_VALUE"""),2496.79)</f>
        <v>2496.79</v>
      </c>
      <c r="E299" s="2">
        <f>IFERROR(__xludf.DUMMYFUNCTION("""COMPUTED_VALUE"""),2535.8)</f>
        <v>2535.8</v>
      </c>
      <c r="F299" s="2">
        <f>IFERROR(__xludf.DUMMYFUNCTION("""COMPUTED_VALUE"""),1.79068E7)</f>
        <v>17906800</v>
      </c>
      <c r="G299" s="2">
        <f t="shared" si="1"/>
        <v>78.03</v>
      </c>
    </row>
    <row r="300" ht="15.75" customHeight="1">
      <c r="A300" s="1">
        <f>IFERROR(__xludf.DUMMYFUNCTION("""COMPUTED_VALUE"""),44280.625)</f>
        <v>44280.625</v>
      </c>
      <c r="B300" s="2">
        <f>IFERROR(__xludf.DUMMYFUNCTION("""COMPUTED_VALUE"""),2535.8)</f>
        <v>2535.8</v>
      </c>
      <c r="C300" s="2">
        <f>IFERROR(__xludf.DUMMYFUNCTION("""COMPUTED_VALUE"""),2555.31)</f>
        <v>2555.31</v>
      </c>
      <c r="D300" s="2">
        <f>IFERROR(__xludf.DUMMYFUNCTION("""COMPUTED_VALUE"""),2370.0)</f>
        <v>2370</v>
      </c>
      <c r="E300" s="2">
        <f>IFERROR(__xludf.DUMMYFUNCTION("""COMPUTED_VALUE"""),2428.52)</f>
        <v>2428.52</v>
      </c>
      <c r="F300" s="2">
        <f>IFERROR(__xludf.DUMMYFUNCTION("""COMPUTED_VALUE"""),3.42451E7)</f>
        <v>34245100</v>
      </c>
      <c r="G300" s="2">
        <f t="shared" si="1"/>
        <v>185.31</v>
      </c>
    </row>
    <row r="301" ht="15.75" customHeight="1">
      <c r="A301" s="1">
        <f>IFERROR(__xludf.DUMMYFUNCTION("""COMPUTED_VALUE"""),44281.625)</f>
        <v>44281.625</v>
      </c>
      <c r="B301" s="2">
        <f>IFERROR(__xludf.DUMMYFUNCTION("""COMPUTED_VALUE"""),2389.51)</f>
        <v>2389.51</v>
      </c>
      <c r="C301" s="2">
        <f>IFERROR(__xludf.DUMMYFUNCTION("""COMPUTED_VALUE"""),2477.28)</f>
        <v>2477.28</v>
      </c>
      <c r="D301" s="2">
        <f>IFERROR(__xludf.DUMMYFUNCTION("""COMPUTED_VALUE"""),2389.51)</f>
        <v>2389.51</v>
      </c>
      <c r="E301" s="2">
        <f>IFERROR(__xludf.DUMMYFUNCTION("""COMPUTED_VALUE"""),2477.28)</f>
        <v>2477.28</v>
      </c>
      <c r="F301" s="2">
        <f>IFERROR(__xludf.DUMMYFUNCTION("""COMPUTED_VALUE"""),3.34402E7)</f>
        <v>33440200</v>
      </c>
      <c r="G301" s="2">
        <f t="shared" si="1"/>
        <v>87.77</v>
      </c>
    </row>
    <row r="302" ht="15.75" customHeight="1">
      <c r="A302" s="1">
        <f>IFERROR(__xludf.DUMMYFUNCTION("""COMPUTED_VALUE"""),44284.625)</f>
        <v>44284.625</v>
      </c>
      <c r="B302" s="2">
        <f>IFERROR(__xludf.DUMMYFUNCTION("""COMPUTED_VALUE"""),2477.28)</f>
        <v>2477.28</v>
      </c>
      <c r="C302" s="2">
        <f>IFERROR(__xludf.DUMMYFUNCTION("""COMPUTED_VALUE"""),2496.79)</f>
        <v>2496.79</v>
      </c>
      <c r="D302" s="2">
        <f>IFERROR(__xludf.DUMMYFUNCTION("""COMPUTED_VALUE"""),2389.51)</f>
        <v>2389.51</v>
      </c>
      <c r="E302" s="2">
        <f>IFERROR(__xludf.DUMMYFUNCTION("""COMPUTED_VALUE"""),2389.51)</f>
        <v>2389.51</v>
      </c>
      <c r="F302" s="2">
        <f>IFERROR(__xludf.DUMMYFUNCTION("""COMPUTED_VALUE"""),1.76231E7)</f>
        <v>17623100</v>
      </c>
      <c r="G302" s="2">
        <f t="shared" si="1"/>
        <v>107.28</v>
      </c>
    </row>
    <row r="303" ht="15.75" customHeight="1">
      <c r="A303" s="1">
        <f>IFERROR(__xludf.DUMMYFUNCTION("""COMPUTED_VALUE"""),44285.625)</f>
        <v>44285.625</v>
      </c>
      <c r="B303" s="2">
        <f>IFERROR(__xludf.DUMMYFUNCTION("""COMPUTED_VALUE"""),2389.51)</f>
        <v>2389.51</v>
      </c>
      <c r="C303" s="2">
        <f>IFERROR(__xludf.DUMMYFUNCTION("""COMPUTED_VALUE"""),2428.52)</f>
        <v>2428.52</v>
      </c>
      <c r="D303" s="2">
        <f>IFERROR(__xludf.DUMMYFUNCTION("""COMPUTED_VALUE"""),2262.72)</f>
        <v>2262.72</v>
      </c>
      <c r="E303" s="2">
        <f>IFERROR(__xludf.DUMMYFUNCTION("""COMPUTED_VALUE"""),2291.98)</f>
        <v>2291.98</v>
      </c>
      <c r="F303" s="2">
        <f>IFERROR(__xludf.DUMMYFUNCTION("""COMPUTED_VALUE"""),3.423E7)</f>
        <v>34230000</v>
      </c>
      <c r="G303" s="2">
        <f t="shared" si="1"/>
        <v>165.8</v>
      </c>
    </row>
    <row r="304" ht="15.75" customHeight="1">
      <c r="A304" s="1">
        <f>IFERROR(__xludf.DUMMYFUNCTION("""COMPUTED_VALUE"""),44286.625)</f>
        <v>44286.625</v>
      </c>
      <c r="B304" s="2">
        <f>IFERROR(__xludf.DUMMYFUNCTION("""COMPUTED_VALUE"""),2291.98)</f>
        <v>2291.98</v>
      </c>
      <c r="C304" s="2">
        <f>IFERROR(__xludf.DUMMYFUNCTION("""COMPUTED_VALUE"""),2291.98)</f>
        <v>2291.98</v>
      </c>
      <c r="D304" s="2">
        <f>IFERROR(__xludf.DUMMYFUNCTION("""COMPUTED_VALUE"""),2155.43)</f>
        <v>2155.43</v>
      </c>
      <c r="E304" s="2">
        <f>IFERROR(__xludf.DUMMYFUNCTION("""COMPUTED_VALUE"""),2233.46)</f>
        <v>2233.46</v>
      </c>
      <c r="F304" s="2">
        <f>IFERROR(__xludf.DUMMYFUNCTION("""COMPUTED_VALUE"""),3.82215E7)</f>
        <v>38221500</v>
      </c>
      <c r="G304" s="2">
        <f t="shared" si="1"/>
        <v>136.55</v>
      </c>
    </row>
    <row r="305" ht="15.75" customHeight="1">
      <c r="A305" s="1">
        <f>IFERROR(__xludf.DUMMYFUNCTION("""COMPUTED_VALUE"""),44287.625)</f>
        <v>44287.625</v>
      </c>
      <c r="B305" s="2">
        <f>IFERROR(__xludf.DUMMYFUNCTION("""COMPUTED_VALUE"""),2233.46)</f>
        <v>2233.46</v>
      </c>
      <c r="C305" s="2">
        <f>IFERROR(__xludf.DUMMYFUNCTION("""COMPUTED_VALUE"""),2291.98)</f>
        <v>2291.98</v>
      </c>
      <c r="D305" s="2">
        <f>IFERROR(__xludf.DUMMYFUNCTION("""COMPUTED_VALUE"""),2194.44)</f>
        <v>2194.44</v>
      </c>
      <c r="E305" s="2">
        <f>IFERROR(__xludf.DUMMYFUNCTION("""COMPUTED_VALUE"""),2272.47)</f>
        <v>2272.47</v>
      </c>
      <c r="F305" s="2">
        <f>IFERROR(__xludf.DUMMYFUNCTION("""COMPUTED_VALUE"""),3.20733E7)</f>
        <v>32073300</v>
      </c>
      <c r="G305" s="2">
        <f t="shared" si="1"/>
        <v>97.54</v>
      </c>
    </row>
    <row r="306" ht="15.75" customHeight="1">
      <c r="A306" s="1">
        <f>IFERROR(__xludf.DUMMYFUNCTION("""COMPUTED_VALUE"""),44291.625)</f>
        <v>44291.625</v>
      </c>
      <c r="B306" s="2">
        <f>IFERROR(__xludf.DUMMYFUNCTION("""COMPUTED_VALUE"""),2301.73)</f>
        <v>2301.73</v>
      </c>
      <c r="C306" s="2">
        <f>IFERROR(__xludf.DUMMYFUNCTION("""COMPUTED_VALUE"""),2301.73)</f>
        <v>2301.73</v>
      </c>
      <c r="D306" s="2">
        <f>IFERROR(__xludf.DUMMYFUNCTION("""COMPUTED_VALUE"""),2155.43)</f>
        <v>2155.43</v>
      </c>
      <c r="E306" s="2">
        <f>IFERROR(__xludf.DUMMYFUNCTION("""COMPUTED_VALUE"""),2174.94)</f>
        <v>2174.94</v>
      </c>
      <c r="F306" s="2">
        <f>IFERROR(__xludf.DUMMYFUNCTION("""COMPUTED_VALUE"""),2.62481E7)</f>
        <v>26248100</v>
      </c>
      <c r="G306" s="2">
        <f t="shared" si="1"/>
        <v>146.3</v>
      </c>
    </row>
    <row r="307" ht="15.75" customHeight="1">
      <c r="A307" s="1">
        <f>IFERROR(__xludf.DUMMYFUNCTION("""COMPUTED_VALUE"""),44292.625)</f>
        <v>44292.625</v>
      </c>
      <c r="B307" s="2">
        <f>IFERROR(__xludf.DUMMYFUNCTION("""COMPUTED_VALUE"""),2184.69)</f>
        <v>2184.69</v>
      </c>
      <c r="C307" s="2">
        <f>IFERROR(__xludf.DUMMYFUNCTION("""COMPUTED_VALUE"""),2213.95)</f>
        <v>2213.95</v>
      </c>
      <c r="D307" s="2">
        <f>IFERROR(__xludf.DUMMYFUNCTION("""COMPUTED_VALUE"""),2135.93)</f>
        <v>2135.93</v>
      </c>
      <c r="E307" s="2">
        <f>IFERROR(__xludf.DUMMYFUNCTION("""COMPUTED_VALUE"""),2204.2)</f>
        <v>2204.2</v>
      </c>
      <c r="F307" s="2">
        <f>IFERROR(__xludf.DUMMYFUNCTION("""COMPUTED_VALUE"""),1.94217E7)</f>
        <v>19421700</v>
      </c>
      <c r="G307" s="2">
        <f t="shared" si="1"/>
        <v>78.02</v>
      </c>
    </row>
    <row r="308" ht="15.75" customHeight="1">
      <c r="A308" s="1">
        <f>IFERROR(__xludf.DUMMYFUNCTION("""COMPUTED_VALUE"""),44293.625)</f>
        <v>44293.625</v>
      </c>
      <c r="B308" s="2">
        <f>IFERROR(__xludf.DUMMYFUNCTION("""COMPUTED_VALUE"""),2165.19)</f>
        <v>2165.19</v>
      </c>
      <c r="C308" s="2">
        <f>IFERROR(__xludf.DUMMYFUNCTION("""COMPUTED_VALUE"""),2213.95)</f>
        <v>2213.95</v>
      </c>
      <c r="D308" s="2">
        <f>IFERROR(__xludf.DUMMYFUNCTION("""COMPUTED_VALUE"""),2145.68)</f>
        <v>2145.68</v>
      </c>
      <c r="E308" s="2">
        <f>IFERROR(__xludf.DUMMYFUNCTION("""COMPUTED_VALUE"""),2184.69)</f>
        <v>2184.69</v>
      </c>
      <c r="F308" s="2">
        <f>IFERROR(__xludf.DUMMYFUNCTION("""COMPUTED_VALUE"""),1.23923E7)</f>
        <v>12392300</v>
      </c>
      <c r="G308" s="2">
        <f t="shared" si="1"/>
        <v>68.27</v>
      </c>
    </row>
    <row r="309" ht="15.75" customHeight="1">
      <c r="A309" s="1">
        <f>IFERROR(__xludf.DUMMYFUNCTION("""COMPUTED_VALUE"""),44294.625)</f>
        <v>44294.625</v>
      </c>
      <c r="B309" s="2">
        <f>IFERROR(__xludf.DUMMYFUNCTION("""COMPUTED_VALUE"""),2184.69)</f>
        <v>2184.69</v>
      </c>
      <c r="C309" s="2">
        <f>IFERROR(__xludf.DUMMYFUNCTION("""COMPUTED_VALUE"""),2418.77)</f>
        <v>2418.77</v>
      </c>
      <c r="D309" s="2">
        <f>IFERROR(__xludf.DUMMYFUNCTION("""COMPUTED_VALUE"""),2165.19)</f>
        <v>2165.19</v>
      </c>
      <c r="E309" s="2">
        <f>IFERROR(__xludf.DUMMYFUNCTION("""COMPUTED_VALUE"""),2379.75)</f>
        <v>2379.75</v>
      </c>
      <c r="F309" s="2">
        <f>IFERROR(__xludf.DUMMYFUNCTION("""COMPUTED_VALUE"""),6.38606E7)</f>
        <v>63860600</v>
      </c>
      <c r="G309" s="2">
        <f t="shared" si="1"/>
        <v>253.58</v>
      </c>
    </row>
    <row r="310" ht="15.75" customHeight="1">
      <c r="A310" s="1">
        <f>IFERROR(__xludf.DUMMYFUNCTION("""COMPUTED_VALUE"""),44295.625)</f>
        <v>44295.625</v>
      </c>
      <c r="B310" s="2">
        <f>IFERROR(__xludf.DUMMYFUNCTION("""COMPUTED_VALUE"""),2389.51)</f>
        <v>2389.51</v>
      </c>
      <c r="C310" s="2">
        <f>IFERROR(__xludf.DUMMYFUNCTION("""COMPUTED_VALUE"""),2389.51)</f>
        <v>2389.51</v>
      </c>
      <c r="D310" s="2">
        <f>IFERROR(__xludf.DUMMYFUNCTION("""COMPUTED_VALUE"""),2301.73)</f>
        <v>2301.73</v>
      </c>
      <c r="E310" s="2">
        <f>IFERROR(__xludf.DUMMYFUNCTION("""COMPUTED_VALUE"""),2321.24)</f>
        <v>2321.24</v>
      </c>
      <c r="F310" s="2">
        <f>IFERROR(__xludf.DUMMYFUNCTION("""COMPUTED_VALUE"""),4.34623E7)</f>
        <v>43462300</v>
      </c>
      <c r="G310" s="2">
        <f t="shared" si="1"/>
        <v>87.78</v>
      </c>
    </row>
    <row r="311" ht="15.75" customHeight="1">
      <c r="A311" s="1">
        <f>IFERROR(__xludf.DUMMYFUNCTION("""COMPUTED_VALUE"""),44298.625)</f>
        <v>44298.625</v>
      </c>
      <c r="B311" s="2">
        <f>IFERROR(__xludf.DUMMYFUNCTION("""COMPUTED_VALUE"""),2321.24)</f>
        <v>2321.24</v>
      </c>
      <c r="C311" s="2">
        <f>IFERROR(__xludf.DUMMYFUNCTION("""COMPUTED_VALUE"""),2340.74)</f>
        <v>2340.74</v>
      </c>
      <c r="D311" s="2">
        <f>IFERROR(__xludf.DUMMYFUNCTION("""COMPUTED_VALUE"""),2204.2)</f>
        <v>2204.2</v>
      </c>
      <c r="E311" s="2">
        <f>IFERROR(__xludf.DUMMYFUNCTION("""COMPUTED_VALUE"""),2213.95)</f>
        <v>2213.95</v>
      </c>
      <c r="F311" s="2">
        <f>IFERROR(__xludf.DUMMYFUNCTION("""COMPUTED_VALUE"""),1.67762E7)</f>
        <v>16776200</v>
      </c>
      <c r="G311" s="2">
        <f t="shared" si="1"/>
        <v>136.54</v>
      </c>
    </row>
    <row r="312" ht="15.75" customHeight="1">
      <c r="A312" s="1">
        <f>IFERROR(__xludf.DUMMYFUNCTION("""COMPUTED_VALUE"""),44299.625)</f>
        <v>44299.625</v>
      </c>
      <c r="B312" s="2">
        <f>IFERROR(__xludf.DUMMYFUNCTION("""COMPUTED_VALUE"""),2213.95)</f>
        <v>2213.95</v>
      </c>
      <c r="C312" s="2">
        <f>IFERROR(__xludf.DUMMYFUNCTION("""COMPUTED_VALUE"""),2262.72)</f>
        <v>2262.72</v>
      </c>
      <c r="D312" s="2">
        <f>IFERROR(__xludf.DUMMYFUNCTION("""COMPUTED_VALUE"""),2165.19)</f>
        <v>2165.19</v>
      </c>
      <c r="E312" s="2">
        <f>IFERROR(__xludf.DUMMYFUNCTION("""COMPUTED_VALUE"""),2213.95)</f>
        <v>2213.95</v>
      </c>
      <c r="F312" s="2">
        <f>IFERROR(__xludf.DUMMYFUNCTION("""COMPUTED_VALUE"""),1.17204E7)</f>
        <v>11720400</v>
      </c>
      <c r="G312" s="2">
        <f t="shared" si="1"/>
        <v>97.53</v>
      </c>
    </row>
    <row r="313" ht="15.75" customHeight="1">
      <c r="A313" s="1">
        <f>IFERROR(__xludf.DUMMYFUNCTION("""COMPUTED_VALUE"""),44300.625)</f>
        <v>44300.625</v>
      </c>
      <c r="B313" s="2">
        <f>IFERROR(__xludf.DUMMYFUNCTION("""COMPUTED_VALUE"""),2204.2)</f>
        <v>2204.2</v>
      </c>
      <c r="C313" s="2">
        <f>IFERROR(__xludf.DUMMYFUNCTION("""COMPUTED_VALUE"""),2311.48)</f>
        <v>2311.48</v>
      </c>
      <c r="D313" s="2">
        <f>IFERROR(__xludf.DUMMYFUNCTION("""COMPUTED_VALUE"""),2204.2)</f>
        <v>2204.2</v>
      </c>
      <c r="E313" s="2">
        <f>IFERROR(__xludf.DUMMYFUNCTION("""COMPUTED_VALUE"""),2272.47)</f>
        <v>2272.47</v>
      </c>
      <c r="F313" s="2">
        <f>IFERROR(__xludf.DUMMYFUNCTION("""COMPUTED_VALUE"""),2.81753E7)</f>
        <v>28175300</v>
      </c>
      <c r="G313" s="2">
        <f t="shared" si="1"/>
        <v>107.28</v>
      </c>
    </row>
    <row r="314" ht="15.75" customHeight="1">
      <c r="A314" s="1">
        <f>IFERROR(__xludf.DUMMYFUNCTION("""COMPUTED_VALUE"""),44301.625)</f>
        <v>44301.625</v>
      </c>
      <c r="B314" s="2">
        <f>IFERROR(__xludf.DUMMYFUNCTION("""COMPUTED_VALUE"""),2282.22)</f>
        <v>2282.22</v>
      </c>
      <c r="C314" s="2">
        <f>IFERROR(__xludf.DUMMYFUNCTION("""COMPUTED_VALUE"""),2311.48)</f>
        <v>2311.48</v>
      </c>
      <c r="D314" s="2">
        <f>IFERROR(__xludf.DUMMYFUNCTION("""COMPUTED_VALUE"""),2223.7)</f>
        <v>2223.7</v>
      </c>
      <c r="E314" s="2">
        <f>IFERROR(__xludf.DUMMYFUNCTION("""COMPUTED_VALUE"""),2243.21)</f>
        <v>2243.21</v>
      </c>
      <c r="F314" s="2">
        <f>IFERROR(__xludf.DUMMYFUNCTION("""COMPUTED_VALUE"""),1.14195E7)</f>
        <v>11419500</v>
      </c>
      <c r="G314" s="2">
        <f t="shared" si="1"/>
        <v>87.78</v>
      </c>
    </row>
    <row r="315" ht="15.75" customHeight="1">
      <c r="A315" s="1">
        <f>IFERROR(__xludf.DUMMYFUNCTION("""COMPUTED_VALUE"""),44302.625)</f>
        <v>44302.625</v>
      </c>
      <c r="B315" s="2">
        <f>IFERROR(__xludf.DUMMYFUNCTION("""COMPUTED_VALUE"""),2243.21)</f>
        <v>2243.21</v>
      </c>
      <c r="C315" s="2">
        <f>IFERROR(__xludf.DUMMYFUNCTION("""COMPUTED_VALUE"""),2301.73)</f>
        <v>2301.73</v>
      </c>
      <c r="D315" s="2">
        <f>IFERROR(__xludf.DUMMYFUNCTION("""COMPUTED_VALUE"""),2243.21)</f>
        <v>2243.21</v>
      </c>
      <c r="E315" s="2">
        <f>IFERROR(__xludf.DUMMYFUNCTION("""COMPUTED_VALUE"""),2272.47)</f>
        <v>2272.47</v>
      </c>
      <c r="F315" s="2">
        <f>IFERROR(__xludf.DUMMYFUNCTION("""COMPUTED_VALUE"""),1.48854E7)</f>
        <v>14885400</v>
      </c>
      <c r="G315" s="2">
        <f t="shared" si="1"/>
        <v>58.52</v>
      </c>
    </row>
    <row r="316" ht="15.75" customHeight="1">
      <c r="A316" s="1">
        <f>IFERROR(__xludf.DUMMYFUNCTION("""COMPUTED_VALUE"""),44305.625)</f>
        <v>44305.625</v>
      </c>
      <c r="B316" s="2">
        <f>IFERROR(__xludf.DUMMYFUNCTION("""COMPUTED_VALUE"""),2272.47)</f>
        <v>2272.47</v>
      </c>
      <c r="C316" s="2">
        <f>IFERROR(__xludf.DUMMYFUNCTION("""COMPUTED_VALUE"""),2448.03)</f>
        <v>2448.03</v>
      </c>
      <c r="D316" s="2">
        <f>IFERROR(__xludf.DUMMYFUNCTION("""COMPUTED_VALUE"""),2272.47)</f>
        <v>2272.47</v>
      </c>
      <c r="E316" s="2">
        <f>IFERROR(__xludf.DUMMYFUNCTION("""COMPUTED_VALUE"""),2399.26)</f>
        <v>2399.26</v>
      </c>
      <c r="F316" s="2">
        <f>IFERROR(__xludf.DUMMYFUNCTION("""COMPUTED_VALUE"""),8.69659E7)</f>
        <v>86965900</v>
      </c>
      <c r="G316" s="2">
        <f t="shared" si="1"/>
        <v>175.56</v>
      </c>
    </row>
    <row r="317" ht="15.75" customHeight="1">
      <c r="A317" s="1">
        <f>IFERROR(__xludf.DUMMYFUNCTION("""COMPUTED_VALUE"""),44306.625)</f>
        <v>44306.625</v>
      </c>
      <c r="B317" s="2">
        <f>IFERROR(__xludf.DUMMYFUNCTION("""COMPUTED_VALUE"""),2399.26)</f>
        <v>2399.26</v>
      </c>
      <c r="C317" s="2">
        <f>IFERROR(__xludf.DUMMYFUNCTION("""COMPUTED_VALUE"""),2399.26)</f>
        <v>2399.26</v>
      </c>
      <c r="D317" s="2">
        <f>IFERROR(__xludf.DUMMYFUNCTION("""COMPUTED_VALUE"""),2291.98)</f>
        <v>2291.98</v>
      </c>
      <c r="E317" s="2">
        <f>IFERROR(__xludf.DUMMYFUNCTION("""COMPUTED_VALUE"""),2321.24)</f>
        <v>2321.24</v>
      </c>
      <c r="F317" s="2">
        <f>IFERROR(__xludf.DUMMYFUNCTION("""COMPUTED_VALUE"""),2.45592E7)</f>
        <v>24559200</v>
      </c>
      <c r="G317" s="2">
        <f t="shared" si="1"/>
        <v>107.28</v>
      </c>
    </row>
    <row r="318" ht="15.75" customHeight="1">
      <c r="A318" s="1">
        <f>IFERROR(__xludf.DUMMYFUNCTION("""COMPUTED_VALUE"""),44307.625)</f>
        <v>44307.625</v>
      </c>
      <c r="B318" s="2">
        <f>IFERROR(__xludf.DUMMYFUNCTION("""COMPUTED_VALUE"""),2340.74)</f>
        <v>2340.74</v>
      </c>
      <c r="C318" s="2">
        <f>IFERROR(__xludf.DUMMYFUNCTION("""COMPUTED_VALUE"""),2340.74)</f>
        <v>2340.74</v>
      </c>
      <c r="D318" s="2">
        <f>IFERROR(__xludf.DUMMYFUNCTION("""COMPUTED_VALUE"""),2262.72)</f>
        <v>2262.72</v>
      </c>
      <c r="E318" s="2">
        <f>IFERROR(__xludf.DUMMYFUNCTION("""COMPUTED_VALUE"""),2282.22)</f>
        <v>2282.22</v>
      </c>
      <c r="F318" s="2">
        <f>IFERROR(__xludf.DUMMYFUNCTION("""COMPUTED_VALUE"""),2.14973E7)</f>
        <v>21497300</v>
      </c>
      <c r="G318" s="2">
        <f t="shared" si="1"/>
        <v>78.02</v>
      </c>
    </row>
    <row r="319" ht="15.75" customHeight="1">
      <c r="A319" s="1">
        <f>IFERROR(__xludf.DUMMYFUNCTION("""COMPUTED_VALUE"""),44308.625)</f>
        <v>44308.625</v>
      </c>
      <c r="B319" s="2">
        <f>IFERROR(__xludf.DUMMYFUNCTION("""COMPUTED_VALUE"""),2291.98)</f>
        <v>2291.98</v>
      </c>
      <c r="C319" s="2">
        <f>IFERROR(__xludf.DUMMYFUNCTION("""COMPUTED_VALUE"""),2330.99)</f>
        <v>2330.99</v>
      </c>
      <c r="D319" s="2">
        <f>IFERROR(__xludf.DUMMYFUNCTION("""COMPUTED_VALUE"""),2282.22)</f>
        <v>2282.22</v>
      </c>
      <c r="E319" s="2">
        <f>IFERROR(__xludf.DUMMYFUNCTION("""COMPUTED_VALUE"""),2282.22)</f>
        <v>2282.22</v>
      </c>
      <c r="F319" s="2">
        <f>IFERROR(__xludf.DUMMYFUNCTION("""COMPUTED_VALUE"""),1.42928E7)</f>
        <v>14292800</v>
      </c>
      <c r="G319" s="2">
        <f t="shared" si="1"/>
        <v>48.77</v>
      </c>
    </row>
    <row r="320" ht="15.75" customHeight="1">
      <c r="A320" s="1">
        <f>IFERROR(__xludf.DUMMYFUNCTION("""COMPUTED_VALUE"""),44309.625)</f>
        <v>44309.625</v>
      </c>
      <c r="B320" s="2">
        <f>IFERROR(__xludf.DUMMYFUNCTION("""COMPUTED_VALUE"""),2282.22)</f>
        <v>2282.22</v>
      </c>
      <c r="C320" s="2">
        <f>IFERROR(__xludf.DUMMYFUNCTION("""COMPUTED_VALUE"""),2291.98)</f>
        <v>2291.98</v>
      </c>
      <c r="D320" s="2">
        <f>IFERROR(__xludf.DUMMYFUNCTION("""COMPUTED_VALUE"""),2243.21)</f>
        <v>2243.21</v>
      </c>
      <c r="E320" s="2">
        <f>IFERROR(__xludf.DUMMYFUNCTION("""COMPUTED_VALUE"""),2262.72)</f>
        <v>2262.72</v>
      </c>
      <c r="F320" s="2">
        <f>IFERROR(__xludf.DUMMYFUNCTION("""COMPUTED_VALUE"""),8644200.0)</f>
        <v>8644200</v>
      </c>
      <c r="G320" s="2">
        <f t="shared" si="1"/>
        <v>48.77</v>
      </c>
    </row>
    <row r="321" ht="15.75" customHeight="1">
      <c r="A321" s="1">
        <f>IFERROR(__xludf.DUMMYFUNCTION("""COMPUTED_VALUE"""),44312.625)</f>
        <v>44312.625</v>
      </c>
      <c r="B321" s="2">
        <f>IFERROR(__xludf.DUMMYFUNCTION("""COMPUTED_VALUE"""),2262.72)</f>
        <v>2262.72</v>
      </c>
      <c r="C321" s="2">
        <f>IFERROR(__xludf.DUMMYFUNCTION("""COMPUTED_VALUE"""),2291.98)</f>
        <v>2291.98</v>
      </c>
      <c r="D321" s="2">
        <f>IFERROR(__xludf.DUMMYFUNCTION("""COMPUTED_VALUE"""),2243.21)</f>
        <v>2243.21</v>
      </c>
      <c r="E321" s="2">
        <f>IFERROR(__xludf.DUMMYFUNCTION("""COMPUTED_VALUE"""),2252.96)</f>
        <v>2252.96</v>
      </c>
      <c r="F321" s="2">
        <f>IFERROR(__xludf.DUMMYFUNCTION("""COMPUTED_VALUE"""),9523000.0)</f>
        <v>9523000</v>
      </c>
      <c r="G321" s="2">
        <f t="shared" si="1"/>
        <v>48.77</v>
      </c>
    </row>
    <row r="322" ht="15.75" customHeight="1">
      <c r="A322" s="1">
        <f>IFERROR(__xludf.DUMMYFUNCTION("""COMPUTED_VALUE"""),44313.625)</f>
        <v>44313.625</v>
      </c>
      <c r="B322" s="2">
        <f>IFERROR(__xludf.DUMMYFUNCTION("""COMPUTED_VALUE"""),2262.72)</f>
        <v>2262.72</v>
      </c>
      <c r="C322" s="2">
        <f>IFERROR(__xludf.DUMMYFUNCTION("""COMPUTED_VALUE"""),2291.98)</f>
        <v>2291.98</v>
      </c>
      <c r="D322" s="2">
        <f>IFERROR(__xludf.DUMMYFUNCTION("""COMPUTED_VALUE"""),2233.46)</f>
        <v>2233.46</v>
      </c>
      <c r="E322" s="2">
        <f>IFERROR(__xludf.DUMMYFUNCTION("""COMPUTED_VALUE"""),2233.46)</f>
        <v>2233.46</v>
      </c>
      <c r="F322" s="2">
        <f>IFERROR(__xludf.DUMMYFUNCTION("""COMPUTED_VALUE"""),1.3122E7)</f>
        <v>13122000</v>
      </c>
      <c r="G322" s="2">
        <f t="shared" si="1"/>
        <v>58.52</v>
      </c>
    </row>
    <row r="323" ht="15.75" customHeight="1">
      <c r="A323" s="1">
        <f>IFERROR(__xludf.DUMMYFUNCTION("""COMPUTED_VALUE"""),44314.625)</f>
        <v>44314.625</v>
      </c>
      <c r="B323" s="2">
        <f>IFERROR(__xludf.DUMMYFUNCTION("""COMPUTED_VALUE"""),2233.46)</f>
        <v>2233.46</v>
      </c>
      <c r="C323" s="2">
        <f>IFERROR(__xludf.DUMMYFUNCTION("""COMPUTED_VALUE"""),2262.72)</f>
        <v>2262.72</v>
      </c>
      <c r="D323" s="2">
        <f>IFERROR(__xludf.DUMMYFUNCTION("""COMPUTED_VALUE"""),2155.43)</f>
        <v>2155.43</v>
      </c>
      <c r="E323" s="2">
        <f>IFERROR(__xludf.DUMMYFUNCTION("""COMPUTED_VALUE"""),2165.19)</f>
        <v>2165.19</v>
      </c>
      <c r="F323" s="2">
        <f>IFERROR(__xludf.DUMMYFUNCTION("""COMPUTED_VALUE"""),3.00039E7)</f>
        <v>30003900</v>
      </c>
      <c r="G323" s="2">
        <f t="shared" si="1"/>
        <v>107.29</v>
      </c>
    </row>
    <row r="324" ht="15.75" customHeight="1">
      <c r="A324" s="1">
        <f>IFERROR(__xludf.DUMMYFUNCTION("""COMPUTED_VALUE"""),44315.625)</f>
        <v>44315.625</v>
      </c>
      <c r="B324" s="2">
        <f>IFERROR(__xludf.DUMMYFUNCTION("""COMPUTED_VALUE"""),2165.19)</f>
        <v>2165.19</v>
      </c>
      <c r="C324" s="2">
        <f>IFERROR(__xludf.DUMMYFUNCTION("""COMPUTED_VALUE"""),2262.72)</f>
        <v>2262.72</v>
      </c>
      <c r="D324" s="2">
        <f>IFERROR(__xludf.DUMMYFUNCTION("""COMPUTED_VALUE"""),2165.19)</f>
        <v>2165.19</v>
      </c>
      <c r="E324" s="2">
        <f>IFERROR(__xludf.DUMMYFUNCTION("""COMPUTED_VALUE"""),2204.2)</f>
        <v>2204.2</v>
      </c>
      <c r="F324" s="2">
        <f>IFERROR(__xludf.DUMMYFUNCTION("""COMPUTED_VALUE"""),2.5472E7)</f>
        <v>25472000</v>
      </c>
      <c r="G324" s="2">
        <f t="shared" si="1"/>
        <v>97.53</v>
      </c>
    </row>
    <row r="325" ht="15.75" customHeight="1">
      <c r="A325" s="1">
        <f>IFERROR(__xludf.DUMMYFUNCTION("""COMPUTED_VALUE"""),44316.625)</f>
        <v>44316.625</v>
      </c>
      <c r="B325" s="2">
        <f>IFERROR(__xludf.DUMMYFUNCTION("""COMPUTED_VALUE"""),2204.2)</f>
        <v>2204.2</v>
      </c>
      <c r="C325" s="2">
        <f>IFERROR(__xludf.DUMMYFUNCTION("""COMPUTED_VALUE"""),2233.46)</f>
        <v>2233.46</v>
      </c>
      <c r="D325" s="2">
        <f>IFERROR(__xludf.DUMMYFUNCTION("""COMPUTED_VALUE"""),2184.69)</f>
        <v>2184.69</v>
      </c>
      <c r="E325" s="2">
        <f>IFERROR(__xludf.DUMMYFUNCTION("""COMPUTED_VALUE"""),2223.7)</f>
        <v>2223.7</v>
      </c>
      <c r="F325" s="2">
        <f>IFERROR(__xludf.DUMMYFUNCTION("""COMPUTED_VALUE"""),9390400.0)</f>
        <v>9390400</v>
      </c>
      <c r="G325" s="2">
        <f t="shared" si="1"/>
        <v>48.77</v>
      </c>
    </row>
    <row r="326" ht="15.75" customHeight="1">
      <c r="A326" s="1">
        <f>IFERROR(__xludf.DUMMYFUNCTION("""COMPUTED_VALUE"""),44319.66666666667)</f>
        <v>44319.66667</v>
      </c>
      <c r="B326" s="2">
        <f>IFERROR(__xludf.DUMMYFUNCTION("""COMPUTED_VALUE"""),2223.7)</f>
        <v>2223.7</v>
      </c>
      <c r="C326" s="2">
        <f>IFERROR(__xludf.DUMMYFUNCTION("""COMPUTED_VALUE"""),2243.21)</f>
        <v>2243.21</v>
      </c>
      <c r="D326" s="2">
        <f>IFERROR(__xludf.DUMMYFUNCTION("""COMPUTED_VALUE"""),2165.19)</f>
        <v>2165.19</v>
      </c>
      <c r="E326" s="2">
        <f>IFERROR(__xludf.DUMMYFUNCTION("""COMPUTED_VALUE"""),2184.69)</f>
        <v>2184.69</v>
      </c>
      <c r="F326" s="2">
        <f>IFERROR(__xludf.DUMMYFUNCTION("""COMPUTED_VALUE"""),1.34197E7)</f>
        <v>13419700</v>
      </c>
      <c r="G326" s="2">
        <f t="shared" si="1"/>
        <v>78.02</v>
      </c>
    </row>
    <row r="327" ht="15.75" customHeight="1">
      <c r="A327" s="1">
        <f>IFERROR(__xludf.DUMMYFUNCTION("""COMPUTED_VALUE"""),44320.66666666667)</f>
        <v>44320.66667</v>
      </c>
      <c r="B327" s="2">
        <f>IFERROR(__xludf.DUMMYFUNCTION("""COMPUTED_VALUE"""),2184.69)</f>
        <v>2184.69</v>
      </c>
      <c r="C327" s="2">
        <f>IFERROR(__xludf.DUMMYFUNCTION("""COMPUTED_VALUE"""),2204.2)</f>
        <v>2204.2</v>
      </c>
      <c r="D327" s="2">
        <f>IFERROR(__xludf.DUMMYFUNCTION("""COMPUTED_VALUE"""),2155.43)</f>
        <v>2155.43</v>
      </c>
      <c r="E327" s="2">
        <f>IFERROR(__xludf.DUMMYFUNCTION("""COMPUTED_VALUE"""),2194.44)</f>
        <v>2194.44</v>
      </c>
      <c r="F327" s="2">
        <f>IFERROR(__xludf.DUMMYFUNCTION("""COMPUTED_VALUE"""),1.89964E7)</f>
        <v>18996400</v>
      </c>
      <c r="G327" s="2">
        <f t="shared" si="1"/>
        <v>48.77</v>
      </c>
    </row>
    <row r="328" ht="15.75" customHeight="1">
      <c r="A328" s="1">
        <f>IFERROR(__xludf.DUMMYFUNCTION("""COMPUTED_VALUE"""),44321.625)</f>
        <v>44321.625</v>
      </c>
      <c r="B328" s="2">
        <f>IFERROR(__xludf.DUMMYFUNCTION("""COMPUTED_VALUE"""),2213.95)</f>
        <v>2213.95</v>
      </c>
      <c r="C328" s="2">
        <f>IFERROR(__xludf.DUMMYFUNCTION("""COMPUTED_VALUE"""),2282.22)</f>
        <v>2282.22</v>
      </c>
      <c r="D328" s="2">
        <f>IFERROR(__xludf.DUMMYFUNCTION("""COMPUTED_VALUE"""),2194.44)</f>
        <v>2194.44</v>
      </c>
      <c r="E328" s="2">
        <f>IFERROR(__xludf.DUMMYFUNCTION("""COMPUTED_VALUE"""),2223.7)</f>
        <v>2223.7</v>
      </c>
      <c r="F328" s="2">
        <f>IFERROR(__xludf.DUMMYFUNCTION("""COMPUTED_VALUE"""),2.50653E7)</f>
        <v>25065300</v>
      </c>
      <c r="G328" s="2">
        <f t="shared" si="1"/>
        <v>87.78</v>
      </c>
    </row>
    <row r="329" ht="15.75" customHeight="1">
      <c r="A329" s="1">
        <f>IFERROR(__xludf.DUMMYFUNCTION("""COMPUTED_VALUE"""),44322.625)</f>
        <v>44322.625</v>
      </c>
      <c r="B329" s="2">
        <f>IFERROR(__xludf.DUMMYFUNCTION("""COMPUTED_VALUE"""),2233.46)</f>
        <v>2233.46</v>
      </c>
      <c r="C329" s="2">
        <f>IFERROR(__xludf.DUMMYFUNCTION("""COMPUTED_VALUE"""),2418.77)</f>
        <v>2418.77</v>
      </c>
      <c r="D329" s="2">
        <f>IFERROR(__xludf.DUMMYFUNCTION("""COMPUTED_VALUE"""),2223.7)</f>
        <v>2223.7</v>
      </c>
      <c r="E329" s="2">
        <f>IFERROR(__xludf.DUMMYFUNCTION("""COMPUTED_VALUE"""),2360.25)</f>
        <v>2360.25</v>
      </c>
      <c r="F329" s="2">
        <f>IFERROR(__xludf.DUMMYFUNCTION("""COMPUTED_VALUE"""),1.036715E8)</f>
        <v>103671500</v>
      </c>
      <c r="G329" s="2">
        <f t="shared" si="1"/>
        <v>195.07</v>
      </c>
    </row>
    <row r="330" ht="15.75" customHeight="1">
      <c r="A330" s="1">
        <f>IFERROR(__xludf.DUMMYFUNCTION("""COMPUTED_VALUE"""),44323.625)</f>
        <v>44323.625</v>
      </c>
      <c r="B330" s="2">
        <f>IFERROR(__xludf.DUMMYFUNCTION("""COMPUTED_VALUE"""),2360.25)</f>
        <v>2360.25</v>
      </c>
      <c r="C330" s="2">
        <f>IFERROR(__xludf.DUMMYFUNCTION("""COMPUTED_VALUE"""),2389.51)</f>
        <v>2389.51</v>
      </c>
      <c r="D330" s="2">
        <f>IFERROR(__xludf.DUMMYFUNCTION("""COMPUTED_VALUE"""),2252.96)</f>
        <v>2252.96</v>
      </c>
      <c r="E330" s="2">
        <f>IFERROR(__xludf.DUMMYFUNCTION("""COMPUTED_VALUE"""),2252.96)</f>
        <v>2252.96</v>
      </c>
      <c r="F330" s="2">
        <f>IFERROR(__xludf.DUMMYFUNCTION("""COMPUTED_VALUE"""),3.59346E7)</f>
        <v>35934600</v>
      </c>
      <c r="G330" s="2">
        <f t="shared" si="1"/>
        <v>136.55</v>
      </c>
    </row>
    <row r="331" ht="15.75" customHeight="1">
      <c r="A331" s="1">
        <f>IFERROR(__xludf.DUMMYFUNCTION("""COMPUTED_VALUE"""),44326.66666666667)</f>
        <v>44326.66667</v>
      </c>
      <c r="B331" s="2">
        <f>IFERROR(__xludf.DUMMYFUNCTION("""COMPUTED_VALUE"""),2252.96)</f>
        <v>2252.96</v>
      </c>
      <c r="C331" s="2">
        <f>IFERROR(__xludf.DUMMYFUNCTION("""COMPUTED_VALUE"""),2301.73)</f>
        <v>2301.73</v>
      </c>
      <c r="D331" s="2">
        <f>IFERROR(__xludf.DUMMYFUNCTION("""COMPUTED_VALUE"""),2223.7)</f>
        <v>2223.7</v>
      </c>
      <c r="E331" s="2">
        <f>IFERROR(__xludf.DUMMYFUNCTION("""COMPUTED_VALUE"""),2223.7)</f>
        <v>2223.7</v>
      </c>
      <c r="F331" s="2">
        <f>IFERROR(__xludf.DUMMYFUNCTION("""COMPUTED_VALUE"""),2.39361E7)</f>
        <v>23936100</v>
      </c>
      <c r="G331" s="2">
        <f t="shared" si="1"/>
        <v>78.03</v>
      </c>
    </row>
    <row r="332" ht="15.75" customHeight="1">
      <c r="A332" s="1">
        <f>IFERROR(__xludf.DUMMYFUNCTION("""COMPUTED_VALUE"""),44327.66666666667)</f>
        <v>44327.66667</v>
      </c>
      <c r="B332" s="2">
        <f>IFERROR(__xludf.DUMMYFUNCTION("""COMPUTED_VALUE"""),2223.7)</f>
        <v>2223.7</v>
      </c>
      <c r="C332" s="2">
        <f>IFERROR(__xludf.DUMMYFUNCTION("""COMPUTED_VALUE"""),2223.7)</f>
        <v>2223.7</v>
      </c>
      <c r="D332" s="2">
        <f>IFERROR(__xludf.DUMMYFUNCTION("""COMPUTED_VALUE"""),2165.19)</f>
        <v>2165.19</v>
      </c>
      <c r="E332" s="2">
        <f>IFERROR(__xludf.DUMMYFUNCTION("""COMPUTED_VALUE"""),2194.44)</f>
        <v>2194.44</v>
      </c>
      <c r="F332" s="2">
        <f>IFERROR(__xludf.DUMMYFUNCTION("""COMPUTED_VALUE"""),2.56539E7)</f>
        <v>25653900</v>
      </c>
      <c r="G332" s="2">
        <f t="shared" si="1"/>
        <v>58.51</v>
      </c>
    </row>
    <row r="333" ht="15.75" customHeight="1">
      <c r="A333" s="1">
        <f>IFERROR(__xludf.DUMMYFUNCTION("""COMPUTED_VALUE"""),44333.625)</f>
        <v>44333.625</v>
      </c>
      <c r="B333" s="2">
        <f>IFERROR(__xludf.DUMMYFUNCTION("""COMPUTED_VALUE"""),2194.44)</f>
        <v>2194.44</v>
      </c>
      <c r="C333" s="2">
        <f>IFERROR(__xludf.DUMMYFUNCTION("""COMPUTED_VALUE"""),2204.2)</f>
        <v>2204.2</v>
      </c>
      <c r="D333" s="2">
        <f>IFERROR(__xludf.DUMMYFUNCTION("""COMPUTED_VALUE"""),2048.15)</f>
        <v>2048.15</v>
      </c>
      <c r="E333" s="2">
        <f>IFERROR(__xludf.DUMMYFUNCTION("""COMPUTED_VALUE"""),2048.15)</f>
        <v>2048.15</v>
      </c>
      <c r="F333" s="2">
        <f>IFERROR(__xludf.DUMMYFUNCTION("""COMPUTED_VALUE"""),5.91455E7)</f>
        <v>59145500</v>
      </c>
      <c r="G333" s="2">
        <f t="shared" si="1"/>
        <v>156.05</v>
      </c>
    </row>
    <row r="334" ht="15.75" customHeight="1">
      <c r="A334" s="1">
        <f>IFERROR(__xludf.DUMMYFUNCTION("""COMPUTED_VALUE"""),44334.625)</f>
        <v>44334.625</v>
      </c>
      <c r="B334" s="2">
        <f>IFERROR(__xludf.DUMMYFUNCTION("""COMPUTED_VALUE"""),2048.15)</f>
        <v>2048.15</v>
      </c>
      <c r="C334" s="2">
        <f>IFERROR(__xludf.DUMMYFUNCTION("""COMPUTED_VALUE"""),2077.41)</f>
        <v>2077.41</v>
      </c>
      <c r="D334" s="2">
        <f>IFERROR(__xludf.DUMMYFUNCTION("""COMPUTED_VALUE"""),1921.36)</f>
        <v>1921.36</v>
      </c>
      <c r="E334" s="2">
        <f>IFERROR(__xludf.DUMMYFUNCTION("""COMPUTED_VALUE"""),1960.37)</f>
        <v>1960.37</v>
      </c>
      <c r="F334" s="2">
        <f>IFERROR(__xludf.DUMMYFUNCTION("""COMPUTED_VALUE"""),5.89764E7)</f>
        <v>58976400</v>
      </c>
      <c r="G334" s="2">
        <f t="shared" si="1"/>
        <v>156.05</v>
      </c>
    </row>
    <row r="335" ht="15.75" customHeight="1">
      <c r="A335" s="1">
        <f>IFERROR(__xludf.DUMMYFUNCTION("""COMPUTED_VALUE"""),44335.625)</f>
        <v>44335.625</v>
      </c>
      <c r="B335" s="2">
        <f>IFERROR(__xludf.DUMMYFUNCTION("""COMPUTED_VALUE"""),1940.86)</f>
        <v>1940.86</v>
      </c>
      <c r="C335" s="2">
        <f>IFERROR(__xludf.DUMMYFUNCTION("""COMPUTED_VALUE"""),1960.37)</f>
        <v>1960.37</v>
      </c>
      <c r="D335" s="2">
        <f>IFERROR(__xludf.DUMMYFUNCTION("""COMPUTED_VALUE"""),1843.33)</f>
        <v>1843.33</v>
      </c>
      <c r="E335" s="2">
        <f>IFERROR(__xludf.DUMMYFUNCTION("""COMPUTED_VALUE"""),1857.96)</f>
        <v>1857.96</v>
      </c>
      <c r="F335" s="2">
        <f>IFERROR(__xludf.DUMMYFUNCTION("""COMPUTED_VALUE"""),5.34284E7)</f>
        <v>53428400</v>
      </c>
      <c r="G335" s="2">
        <f t="shared" si="1"/>
        <v>117.04</v>
      </c>
    </row>
    <row r="336" ht="15.75" customHeight="1">
      <c r="A336" s="1">
        <f>IFERROR(__xludf.DUMMYFUNCTION("""COMPUTED_VALUE"""),44336.625)</f>
        <v>44336.625</v>
      </c>
      <c r="B336" s="2">
        <f>IFERROR(__xludf.DUMMYFUNCTION("""COMPUTED_VALUE"""),1853.09)</f>
        <v>1853.09</v>
      </c>
      <c r="C336" s="2">
        <f>IFERROR(__xludf.DUMMYFUNCTION("""COMPUTED_VALUE"""),1921.36)</f>
        <v>1921.36</v>
      </c>
      <c r="D336" s="2">
        <f>IFERROR(__xludf.DUMMYFUNCTION("""COMPUTED_VALUE"""),1809.2)</f>
        <v>1809.2</v>
      </c>
      <c r="E336" s="2">
        <f>IFERROR(__xludf.DUMMYFUNCTION("""COMPUTED_VALUE"""),1877.47)</f>
        <v>1877.47</v>
      </c>
      <c r="F336" s="2">
        <f>IFERROR(__xludf.DUMMYFUNCTION("""COMPUTED_VALUE"""),5.11253E7)</f>
        <v>51125300</v>
      </c>
      <c r="G336" s="2">
        <f t="shared" si="1"/>
        <v>112.16</v>
      </c>
    </row>
    <row r="337" ht="15.75" customHeight="1">
      <c r="A337" s="1">
        <f>IFERROR(__xludf.DUMMYFUNCTION("""COMPUTED_VALUE"""),44337.625)</f>
        <v>44337.625</v>
      </c>
      <c r="B337" s="2">
        <f>IFERROR(__xludf.DUMMYFUNCTION("""COMPUTED_VALUE"""),1887.22)</f>
        <v>1887.22</v>
      </c>
      <c r="C337" s="2">
        <f>IFERROR(__xludf.DUMMYFUNCTION("""COMPUTED_VALUE"""),1896.98)</f>
        <v>1896.98</v>
      </c>
      <c r="D337" s="2">
        <f>IFERROR(__xludf.DUMMYFUNCTION("""COMPUTED_VALUE"""),1804.32)</f>
        <v>1804.32</v>
      </c>
      <c r="E337" s="2">
        <f>IFERROR(__xludf.DUMMYFUNCTION("""COMPUTED_VALUE"""),1809.2)</f>
        <v>1809.2</v>
      </c>
      <c r="F337" s="2">
        <f>IFERROR(__xludf.DUMMYFUNCTION("""COMPUTED_VALUE"""),3.54672E7)</f>
        <v>35467200</v>
      </c>
      <c r="G337" s="2">
        <f t="shared" si="1"/>
        <v>92.66</v>
      </c>
    </row>
    <row r="338" ht="15.75" customHeight="1">
      <c r="A338" s="1">
        <f>IFERROR(__xludf.DUMMYFUNCTION("""COMPUTED_VALUE"""),44340.625)</f>
        <v>44340.625</v>
      </c>
      <c r="B338" s="2">
        <f>IFERROR(__xludf.DUMMYFUNCTION("""COMPUTED_VALUE"""),1814.07)</f>
        <v>1814.07</v>
      </c>
      <c r="C338" s="2">
        <f>IFERROR(__xludf.DUMMYFUNCTION("""COMPUTED_VALUE"""),1828.7)</f>
        <v>1828.7</v>
      </c>
      <c r="D338" s="2">
        <f>IFERROR(__xludf.DUMMYFUNCTION("""COMPUTED_VALUE"""),1706.79)</f>
        <v>1706.79</v>
      </c>
      <c r="E338" s="2">
        <f>IFERROR(__xludf.DUMMYFUNCTION("""COMPUTED_VALUE"""),1716.54)</f>
        <v>1716.54</v>
      </c>
      <c r="F338" s="2">
        <f>IFERROR(__xludf.DUMMYFUNCTION("""COMPUTED_VALUE"""),5.19251E7)</f>
        <v>51925100</v>
      </c>
      <c r="G338" s="2">
        <f t="shared" si="1"/>
        <v>121.91</v>
      </c>
    </row>
    <row r="339" ht="15.75" customHeight="1">
      <c r="A339" s="1">
        <f>IFERROR(__xludf.DUMMYFUNCTION("""COMPUTED_VALUE"""),44341.625)</f>
        <v>44341.625</v>
      </c>
      <c r="B339" s="2">
        <f>IFERROR(__xludf.DUMMYFUNCTION("""COMPUTED_VALUE"""),1716.54)</f>
        <v>1716.54</v>
      </c>
      <c r="C339" s="2">
        <f>IFERROR(__xludf.DUMMYFUNCTION("""COMPUTED_VALUE"""),1872.59)</f>
        <v>1872.59</v>
      </c>
      <c r="D339" s="2">
        <f>IFERROR(__xludf.DUMMYFUNCTION("""COMPUTED_VALUE"""),1706.79)</f>
        <v>1706.79</v>
      </c>
      <c r="E339" s="2">
        <f>IFERROR(__xludf.DUMMYFUNCTION("""COMPUTED_VALUE"""),1804.32)</f>
        <v>1804.32</v>
      </c>
      <c r="F339" s="2">
        <f>IFERROR(__xludf.DUMMYFUNCTION("""COMPUTED_VALUE"""),8.44633E7)</f>
        <v>84463300</v>
      </c>
      <c r="G339" s="2">
        <f t="shared" si="1"/>
        <v>165.8</v>
      </c>
    </row>
    <row r="340" ht="15.75" customHeight="1">
      <c r="A340" s="1">
        <f>IFERROR(__xludf.DUMMYFUNCTION("""COMPUTED_VALUE"""),44343.625)</f>
        <v>44343.625</v>
      </c>
      <c r="B340" s="2">
        <f>IFERROR(__xludf.DUMMYFUNCTION("""COMPUTED_VALUE"""),1814.07)</f>
        <v>1814.07</v>
      </c>
      <c r="C340" s="2">
        <f>IFERROR(__xludf.DUMMYFUNCTION("""COMPUTED_VALUE"""),1945.74)</f>
        <v>1945.74</v>
      </c>
      <c r="D340" s="2">
        <f>IFERROR(__xludf.DUMMYFUNCTION("""COMPUTED_VALUE"""),1784.82)</f>
        <v>1784.82</v>
      </c>
      <c r="E340" s="2">
        <f>IFERROR(__xludf.DUMMYFUNCTION("""COMPUTED_VALUE"""),1784.82)</f>
        <v>1784.82</v>
      </c>
      <c r="F340" s="2">
        <f>IFERROR(__xludf.DUMMYFUNCTION("""COMPUTED_VALUE"""),1.113619E8)</f>
        <v>111361900</v>
      </c>
      <c r="G340" s="2">
        <f t="shared" si="1"/>
        <v>160.92</v>
      </c>
    </row>
    <row r="341" ht="15.75" customHeight="1">
      <c r="A341" s="1">
        <f>IFERROR(__xludf.DUMMYFUNCTION("""COMPUTED_VALUE"""),44344.625)</f>
        <v>44344.625</v>
      </c>
      <c r="B341" s="2">
        <f>IFERROR(__xludf.DUMMYFUNCTION("""COMPUTED_VALUE"""),1804.32)</f>
        <v>1804.32</v>
      </c>
      <c r="C341" s="2">
        <f>IFERROR(__xludf.DUMMYFUNCTION("""COMPUTED_VALUE"""),1843.33)</f>
        <v>1843.33</v>
      </c>
      <c r="D341" s="2">
        <f>IFERROR(__xludf.DUMMYFUNCTION("""COMPUTED_VALUE"""),1789.69)</f>
        <v>1789.69</v>
      </c>
      <c r="E341" s="2">
        <f>IFERROR(__xludf.DUMMYFUNCTION("""COMPUTED_VALUE"""),1823.83)</f>
        <v>1823.83</v>
      </c>
      <c r="F341" s="2">
        <f>IFERROR(__xludf.DUMMYFUNCTION("""COMPUTED_VALUE"""),4.96579E7)</f>
        <v>49657900</v>
      </c>
      <c r="G341" s="2">
        <f t="shared" si="1"/>
        <v>58.51</v>
      </c>
    </row>
    <row r="342" ht="15.75" customHeight="1">
      <c r="A342" s="1">
        <f>IFERROR(__xludf.DUMMYFUNCTION("""COMPUTED_VALUE"""),44347.625)</f>
        <v>44347.625</v>
      </c>
      <c r="B342" s="2">
        <f>IFERROR(__xludf.DUMMYFUNCTION("""COMPUTED_VALUE"""),1833.58)</f>
        <v>1833.58</v>
      </c>
      <c r="C342" s="2">
        <f>IFERROR(__xludf.DUMMYFUNCTION("""COMPUTED_VALUE"""),1877.47)</f>
        <v>1877.47</v>
      </c>
      <c r="D342" s="2">
        <f>IFERROR(__xludf.DUMMYFUNCTION("""COMPUTED_VALUE"""),1823.83)</f>
        <v>1823.83</v>
      </c>
      <c r="E342" s="2">
        <f>IFERROR(__xludf.DUMMYFUNCTION("""COMPUTED_VALUE"""),1857.96)</f>
        <v>1857.96</v>
      </c>
      <c r="F342" s="2">
        <f>IFERROR(__xludf.DUMMYFUNCTION("""COMPUTED_VALUE"""),3.43896E7)</f>
        <v>34389600</v>
      </c>
      <c r="G342" s="2">
        <f t="shared" si="1"/>
        <v>53.64</v>
      </c>
    </row>
    <row r="343" ht="15.75" customHeight="1">
      <c r="A343" s="1">
        <f>IFERROR(__xludf.DUMMYFUNCTION("""COMPUTED_VALUE"""),44349.625)</f>
        <v>44349.625</v>
      </c>
      <c r="B343" s="2">
        <f>IFERROR(__xludf.DUMMYFUNCTION("""COMPUTED_VALUE"""),1857.96)</f>
        <v>1857.96</v>
      </c>
      <c r="C343" s="2">
        <f>IFERROR(__xludf.DUMMYFUNCTION("""COMPUTED_VALUE"""),1916.48)</f>
        <v>1916.48</v>
      </c>
      <c r="D343" s="2">
        <f>IFERROR(__xludf.DUMMYFUNCTION("""COMPUTED_VALUE"""),1857.96)</f>
        <v>1857.96</v>
      </c>
      <c r="E343" s="2">
        <f>IFERROR(__xludf.DUMMYFUNCTION("""COMPUTED_VALUE"""),1877.47)</f>
        <v>1877.47</v>
      </c>
      <c r="F343" s="2">
        <f>IFERROR(__xludf.DUMMYFUNCTION("""COMPUTED_VALUE"""),3.28809E7)</f>
        <v>32880900</v>
      </c>
      <c r="G343" s="2">
        <f t="shared" si="1"/>
        <v>58.52</v>
      </c>
    </row>
    <row r="344" ht="15.75" customHeight="1">
      <c r="A344" s="1">
        <f>IFERROR(__xludf.DUMMYFUNCTION("""COMPUTED_VALUE"""),44350.625)</f>
        <v>44350.625</v>
      </c>
      <c r="B344" s="2">
        <f>IFERROR(__xludf.DUMMYFUNCTION("""COMPUTED_VALUE"""),1887.22)</f>
        <v>1887.22</v>
      </c>
      <c r="C344" s="2">
        <f>IFERROR(__xludf.DUMMYFUNCTION("""COMPUTED_VALUE"""),1896.98)</f>
        <v>1896.98</v>
      </c>
      <c r="D344" s="2">
        <f>IFERROR(__xludf.DUMMYFUNCTION("""COMPUTED_VALUE"""),1853.09)</f>
        <v>1853.09</v>
      </c>
      <c r="E344" s="2">
        <f>IFERROR(__xludf.DUMMYFUNCTION("""COMPUTED_VALUE"""),1872.59)</f>
        <v>1872.59</v>
      </c>
      <c r="F344" s="2">
        <f>IFERROR(__xludf.DUMMYFUNCTION("""COMPUTED_VALUE"""),2.37631E7)</f>
        <v>23763100</v>
      </c>
      <c r="G344" s="2">
        <f t="shared" si="1"/>
        <v>43.89</v>
      </c>
    </row>
    <row r="345" ht="15.75" customHeight="1">
      <c r="A345" s="1">
        <f>IFERROR(__xludf.DUMMYFUNCTION("""COMPUTED_VALUE"""),44351.625)</f>
        <v>44351.625</v>
      </c>
      <c r="B345" s="2">
        <f>IFERROR(__xludf.DUMMYFUNCTION("""COMPUTED_VALUE"""),1877.47)</f>
        <v>1877.47</v>
      </c>
      <c r="C345" s="2">
        <f>IFERROR(__xludf.DUMMYFUNCTION("""COMPUTED_VALUE"""),2048.15)</f>
        <v>2048.15</v>
      </c>
      <c r="D345" s="2">
        <f>IFERROR(__xludf.DUMMYFUNCTION("""COMPUTED_VALUE"""),1862.84)</f>
        <v>1862.84</v>
      </c>
      <c r="E345" s="2">
        <f>IFERROR(__xludf.DUMMYFUNCTION("""COMPUTED_VALUE"""),1999.38)</f>
        <v>1999.38</v>
      </c>
      <c r="F345" s="2">
        <f>IFERROR(__xludf.DUMMYFUNCTION("""COMPUTED_VALUE"""),1.526962E8)</f>
        <v>152696200</v>
      </c>
      <c r="G345" s="2">
        <f t="shared" si="1"/>
        <v>185.31</v>
      </c>
    </row>
    <row r="346" ht="15.75" customHeight="1">
      <c r="A346" s="1">
        <f>IFERROR(__xludf.DUMMYFUNCTION("""COMPUTED_VALUE"""),44354.625)</f>
        <v>44354.625</v>
      </c>
      <c r="B346" s="2">
        <f>IFERROR(__xludf.DUMMYFUNCTION("""COMPUTED_VALUE"""),2038.4)</f>
        <v>2038.4</v>
      </c>
      <c r="C346" s="2">
        <f>IFERROR(__xludf.DUMMYFUNCTION("""COMPUTED_VALUE"""),2038.4)</f>
        <v>2038.4</v>
      </c>
      <c r="D346" s="2">
        <f>IFERROR(__xludf.DUMMYFUNCTION("""COMPUTED_VALUE"""),1862.84)</f>
        <v>1862.84</v>
      </c>
      <c r="E346" s="2">
        <f>IFERROR(__xludf.DUMMYFUNCTION("""COMPUTED_VALUE"""),1867.72)</f>
        <v>1867.72</v>
      </c>
      <c r="F346" s="2">
        <f>IFERROR(__xludf.DUMMYFUNCTION("""COMPUTED_VALUE"""),1.158555E8)</f>
        <v>115855500</v>
      </c>
      <c r="G346" s="2">
        <f t="shared" si="1"/>
        <v>175.56</v>
      </c>
    </row>
    <row r="347" ht="15.75" customHeight="1">
      <c r="A347" s="1">
        <f>IFERROR(__xludf.DUMMYFUNCTION("""COMPUTED_VALUE"""),44355.625)</f>
        <v>44355.625</v>
      </c>
      <c r="B347" s="2">
        <f>IFERROR(__xludf.DUMMYFUNCTION("""COMPUTED_VALUE"""),1867.72)</f>
        <v>1867.72</v>
      </c>
      <c r="C347" s="2">
        <f>IFERROR(__xludf.DUMMYFUNCTION("""COMPUTED_VALUE"""),1877.47)</f>
        <v>1877.47</v>
      </c>
      <c r="D347" s="2">
        <f>IFERROR(__xludf.DUMMYFUNCTION("""COMPUTED_VALUE"""),1770.19)</f>
        <v>1770.19</v>
      </c>
      <c r="E347" s="2">
        <f>IFERROR(__xludf.DUMMYFUNCTION("""COMPUTED_VALUE"""),1779.94)</f>
        <v>1779.94</v>
      </c>
      <c r="F347" s="2">
        <f>IFERROR(__xludf.DUMMYFUNCTION("""COMPUTED_VALUE"""),6.79804E7)</f>
        <v>67980400</v>
      </c>
      <c r="G347" s="2">
        <f t="shared" si="1"/>
        <v>107.28</v>
      </c>
    </row>
    <row r="348" ht="15.75" customHeight="1">
      <c r="A348" s="1">
        <f>IFERROR(__xludf.DUMMYFUNCTION("""COMPUTED_VALUE"""),44356.625)</f>
        <v>44356.625</v>
      </c>
      <c r="B348" s="2">
        <f>IFERROR(__xludf.DUMMYFUNCTION("""COMPUTED_VALUE"""),1784.82)</f>
        <v>1784.82</v>
      </c>
      <c r="C348" s="2">
        <f>IFERROR(__xludf.DUMMYFUNCTION("""COMPUTED_VALUE"""),1838.46)</f>
        <v>1838.46</v>
      </c>
      <c r="D348" s="2">
        <f>IFERROR(__xludf.DUMMYFUNCTION("""COMPUTED_VALUE"""),1770.19)</f>
        <v>1770.19</v>
      </c>
      <c r="E348" s="2">
        <f>IFERROR(__xludf.DUMMYFUNCTION("""COMPUTED_VALUE"""),1814.07)</f>
        <v>1814.07</v>
      </c>
      <c r="F348" s="2">
        <f>IFERROR(__xludf.DUMMYFUNCTION("""COMPUTED_VALUE"""),4.99794E7)</f>
        <v>49979400</v>
      </c>
      <c r="G348" s="2">
        <f t="shared" si="1"/>
        <v>68.27</v>
      </c>
    </row>
    <row r="349" ht="15.75" customHeight="1">
      <c r="A349" s="1">
        <f>IFERROR(__xludf.DUMMYFUNCTION("""COMPUTED_VALUE"""),44357.625)</f>
        <v>44357.625</v>
      </c>
      <c r="B349" s="2">
        <f>IFERROR(__xludf.DUMMYFUNCTION("""COMPUTED_VALUE"""),1814.07)</f>
        <v>1814.07</v>
      </c>
      <c r="C349" s="2">
        <f>IFERROR(__xludf.DUMMYFUNCTION("""COMPUTED_VALUE"""),1857.96)</f>
        <v>1857.96</v>
      </c>
      <c r="D349" s="2">
        <f>IFERROR(__xludf.DUMMYFUNCTION("""COMPUTED_VALUE"""),1799.44)</f>
        <v>1799.44</v>
      </c>
      <c r="E349" s="2">
        <f>IFERROR(__xludf.DUMMYFUNCTION("""COMPUTED_VALUE"""),1833.58)</f>
        <v>1833.58</v>
      </c>
      <c r="F349" s="2">
        <f>IFERROR(__xludf.DUMMYFUNCTION("""COMPUTED_VALUE"""),2.78265E7)</f>
        <v>27826500</v>
      </c>
      <c r="G349" s="2">
        <f t="shared" si="1"/>
        <v>58.52</v>
      </c>
    </row>
    <row r="350" ht="15.75" customHeight="1">
      <c r="A350" s="1">
        <f>IFERROR(__xludf.DUMMYFUNCTION("""COMPUTED_VALUE"""),44358.625)</f>
        <v>44358.625</v>
      </c>
      <c r="B350" s="2">
        <f>IFERROR(__xludf.DUMMYFUNCTION("""COMPUTED_VALUE"""),1838.46)</f>
        <v>1838.46</v>
      </c>
      <c r="C350" s="2">
        <f>IFERROR(__xludf.DUMMYFUNCTION("""COMPUTED_VALUE"""),1853.09)</f>
        <v>1853.09</v>
      </c>
      <c r="D350" s="2">
        <f>IFERROR(__xludf.DUMMYFUNCTION("""COMPUTED_VALUE"""),1784.82)</f>
        <v>1784.82</v>
      </c>
      <c r="E350" s="2">
        <f>IFERROR(__xludf.DUMMYFUNCTION("""COMPUTED_VALUE"""),1789.69)</f>
        <v>1789.69</v>
      </c>
      <c r="F350" s="2">
        <f>IFERROR(__xludf.DUMMYFUNCTION("""COMPUTED_VALUE"""),3.13914E7)</f>
        <v>31391400</v>
      </c>
      <c r="G350" s="2">
        <f t="shared" si="1"/>
        <v>68.27</v>
      </c>
    </row>
    <row r="351" ht="15.75" customHeight="1">
      <c r="A351" s="1">
        <f>IFERROR(__xludf.DUMMYFUNCTION("""COMPUTED_VALUE"""),44361.66666666667)</f>
        <v>44361.66667</v>
      </c>
      <c r="B351" s="2">
        <f>IFERROR(__xludf.DUMMYFUNCTION("""COMPUTED_VALUE"""),1794.57)</f>
        <v>1794.57</v>
      </c>
      <c r="C351" s="2">
        <f>IFERROR(__xludf.DUMMYFUNCTION("""COMPUTED_VALUE"""),1814.07)</f>
        <v>1814.07</v>
      </c>
      <c r="D351" s="2">
        <f>IFERROR(__xludf.DUMMYFUNCTION("""COMPUTED_VALUE"""),1765.31)</f>
        <v>1765.31</v>
      </c>
      <c r="E351" s="2">
        <f>IFERROR(__xludf.DUMMYFUNCTION("""COMPUTED_VALUE"""),1765.31)</f>
        <v>1765.31</v>
      </c>
      <c r="F351" s="2">
        <f>IFERROR(__xludf.DUMMYFUNCTION("""COMPUTED_VALUE"""),2.20684E7)</f>
        <v>22068400</v>
      </c>
      <c r="G351" s="2">
        <f t="shared" si="1"/>
        <v>48.76</v>
      </c>
    </row>
    <row r="352" ht="15.75" customHeight="1">
      <c r="A352" s="1">
        <f>IFERROR(__xludf.DUMMYFUNCTION("""COMPUTED_VALUE"""),44362.625)</f>
        <v>44362.625</v>
      </c>
      <c r="B352" s="2">
        <f>IFERROR(__xludf.DUMMYFUNCTION("""COMPUTED_VALUE"""),1765.31)</f>
        <v>1765.31</v>
      </c>
      <c r="C352" s="2">
        <f>IFERROR(__xludf.DUMMYFUNCTION("""COMPUTED_VALUE"""),1789.69)</f>
        <v>1789.69</v>
      </c>
      <c r="D352" s="2">
        <f>IFERROR(__xludf.DUMMYFUNCTION("""COMPUTED_VALUE"""),1740.93)</f>
        <v>1740.93</v>
      </c>
      <c r="E352" s="2">
        <f>IFERROR(__xludf.DUMMYFUNCTION("""COMPUTED_VALUE"""),1750.68)</f>
        <v>1750.68</v>
      </c>
      <c r="F352" s="2">
        <f>IFERROR(__xludf.DUMMYFUNCTION("""COMPUTED_VALUE"""),2.06387E7)</f>
        <v>20638700</v>
      </c>
      <c r="G352" s="2">
        <f t="shared" si="1"/>
        <v>48.76</v>
      </c>
    </row>
    <row r="353" ht="15.75" customHeight="1">
      <c r="A353" s="1">
        <f>IFERROR(__xludf.DUMMYFUNCTION("""COMPUTED_VALUE"""),44363.625)</f>
        <v>44363.625</v>
      </c>
      <c r="B353" s="2">
        <f>IFERROR(__xludf.DUMMYFUNCTION("""COMPUTED_VALUE"""),1750.68)</f>
        <v>1750.68</v>
      </c>
      <c r="C353" s="2">
        <f>IFERROR(__xludf.DUMMYFUNCTION("""COMPUTED_VALUE"""),1765.31)</f>
        <v>1765.31</v>
      </c>
      <c r="D353" s="2">
        <f>IFERROR(__xludf.DUMMYFUNCTION("""COMPUTED_VALUE"""),1726.3)</f>
        <v>1726.3</v>
      </c>
      <c r="E353" s="2">
        <f>IFERROR(__xludf.DUMMYFUNCTION("""COMPUTED_VALUE"""),1736.05)</f>
        <v>1736.05</v>
      </c>
      <c r="F353" s="2">
        <f>IFERROR(__xludf.DUMMYFUNCTION("""COMPUTED_VALUE"""),1.92489E7)</f>
        <v>19248900</v>
      </c>
      <c r="G353" s="2">
        <f t="shared" si="1"/>
        <v>39.01</v>
      </c>
    </row>
    <row r="354" ht="15.75" customHeight="1">
      <c r="A354" s="1">
        <f>IFERROR(__xludf.DUMMYFUNCTION("""COMPUTED_VALUE"""),44364.625)</f>
        <v>44364.625</v>
      </c>
      <c r="B354" s="2">
        <f>IFERROR(__xludf.DUMMYFUNCTION("""COMPUTED_VALUE"""),1736.05)</f>
        <v>1736.05</v>
      </c>
      <c r="C354" s="2">
        <f>IFERROR(__xludf.DUMMYFUNCTION("""COMPUTED_VALUE"""),1818.95)</f>
        <v>1818.95</v>
      </c>
      <c r="D354" s="2">
        <f>IFERROR(__xludf.DUMMYFUNCTION("""COMPUTED_VALUE"""),1716.54)</f>
        <v>1716.54</v>
      </c>
      <c r="E354" s="2">
        <f>IFERROR(__xludf.DUMMYFUNCTION("""COMPUTED_VALUE"""),1809.2)</f>
        <v>1809.2</v>
      </c>
      <c r="F354" s="2">
        <f>IFERROR(__xludf.DUMMYFUNCTION("""COMPUTED_VALUE"""),4.70745E7)</f>
        <v>47074500</v>
      </c>
      <c r="G354" s="2">
        <f t="shared" si="1"/>
        <v>102.41</v>
      </c>
    </row>
    <row r="355" ht="15.75" customHeight="1">
      <c r="A355" s="1">
        <f>IFERROR(__xludf.DUMMYFUNCTION("""COMPUTED_VALUE"""),44365.625)</f>
        <v>44365.625</v>
      </c>
      <c r="B355" s="2">
        <f>IFERROR(__xludf.DUMMYFUNCTION("""COMPUTED_VALUE"""),1804.32)</f>
        <v>1804.32</v>
      </c>
      <c r="C355" s="2">
        <f>IFERROR(__xludf.DUMMYFUNCTION("""COMPUTED_VALUE"""),1853.09)</f>
        <v>1853.09</v>
      </c>
      <c r="D355" s="2">
        <f>IFERROR(__xludf.DUMMYFUNCTION("""COMPUTED_VALUE"""),1721.42)</f>
        <v>1721.42</v>
      </c>
      <c r="E355" s="2">
        <f>IFERROR(__xludf.DUMMYFUNCTION("""COMPUTED_VALUE"""),1721.42)</f>
        <v>1721.42</v>
      </c>
      <c r="F355" s="2">
        <f>IFERROR(__xludf.DUMMYFUNCTION("""COMPUTED_VALUE"""),7.60967E7)</f>
        <v>76096700</v>
      </c>
      <c r="G355" s="2">
        <f t="shared" si="1"/>
        <v>131.67</v>
      </c>
    </row>
    <row r="356" ht="15.75" customHeight="1">
      <c r="A356" s="1">
        <f>IFERROR(__xludf.DUMMYFUNCTION("""COMPUTED_VALUE"""),44368.66666666667)</f>
        <v>44368.66667</v>
      </c>
      <c r="B356" s="2">
        <f>IFERROR(__xludf.DUMMYFUNCTION("""COMPUTED_VALUE"""),1726.3)</f>
        <v>1726.3</v>
      </c>
      <c r="C356" s="2">
        <f>IFERROR(__xludf.DUMMYFUNCTION("""COMPUTED_VALUE"""),1740.93)</f>
        <v>1740.93</v>
      </c>
      <c r="D356" s="2">
        <f>IFERROR(__xludf.DUMMYFUNCTION("""COMPUTED_VALUE"""),1667.78)</f>
        <v>1667.78</v>
      </c>
      <c r="E356" s="2">
        <f>IFERROR(__xludf.DUMMYFUNCTION("""COMPUTED_VALUE"""),1682.41)</f>
        <v>1682.41</v>
      </c>
      <c r="F356" s="2">
        <f>IFERROR(__xludf.DUMMYFUNCTION("""COMPUTED_VALUE"""),3.61531E7)</f>
        <v>36153100</v>
      </c>
      <c r="G356" s="2">
        <f t="shared" si="1"/>
        <v>73.15</v>
      </c>
    </row>
    <row r="357" ht="15.75" customHeight="1">
      <c r="A357" s="1">
        <f>IFERROR(__xludf.DUMMYFUNCTION("""COMPUTED_VALUE"""),44369.625)</f>
        <v>44369.625</v>
      </c>
      <c r="B357" s="2">
        <f>IFERROR(__xludf.DUMMYFUNCTION("""COMPUTED_VALUE"""),1687.28)</f>
        <v>1687.28</v>
      </c>
      <c r="C357" s="2">
        <f>IFERROR(__xludf.DUMMYFUNCTION("""COMPUTED_VALUE"""),1789.69)</f>
        <v>1789.69</v>
      </c>
      <c r="D357" s="2">
        <f>IFERROR(__xludf.DUMMYFUNCTION("""COMPUTED_VALUE"""),1682.41)</f>
        <v>1682.41</v>
      </c>
      <c r="E357" s="2">
        <f>IFERROR(__xludf.DUMMYFUNCTION("""COMPUTED_VALUE"""),1765.31)</f>
        <v>1765.31</v>
      </c>
      <c r="F357" s="2">
        <f>IFERROR(__xludf.DUMMYFUNCTION("""COMPUTED_VALUE"""),5.18659E7)</f>
        <v>51865900</v>
      </c>
      <c r="G357" s="2">
        <f t="shared" si="1"/>
        <v>107.28</v>
      </c>
    </row>
    <row r="358" ht="15.75" customHeight="1">
      <c r="A358" s="1">
        <f>IFERROR(__xludf.DUMMYFUNCTION("""COMPUTED_VALUE"""),44370.625)</f>
        <v>44370.625</v>
      </c>
      <c r="B358" s="2">
        <f>IFERROR(__xludf.DUMMYFUNCTION("""COMPUTED_VALUE"""),1755.56)</f>
        <v>1755.56</v>
      </c>
      <c r="C358" s="2">
        <f>IFERROR(__xludf.DUMMYFUNCTION("""COMPUTED_VALUE"""),1784.82)</f>
        <v>1784.82</v>
      </c>
      <c r="D358" s="2">
        <f>IFERROR(__xludf.DUMMYFUNCTION("""COMPUTED_VALUE"""),1706.79)</f>
        <v>1706.79</v>
      </c>
      <c r="E358" s="2">
        <f>IFERROR(__xludf.DUMMYFUNCTION("""COMPUTED_VALUE"""),1706.79)</f>
        <v>1706.79</v>
      </c>
      <c r="F358" s="2">
        <f>IFERROR(__xludf.DUMMYFUNCTION("""COMPUTED_VALUE"""),3.59835E7)</f>
        <v>35983500</v>
      </c>
      <c r="G358" s="2">
        <f t="shared" si="1"/>
        <v>78.03</v>
      </c>
    </row>
    <row r="359" ht="15.75" customHeight="1">
      <c r="A359" s="1">
        <f>IFERROR(__xludf.DUMMYFUNCTION("""COMPUTED_VALUE"""),44371.625)</f>
        <v>44371.625</v>
      </c>
      <c r="B359" s="2">
        <f>IFERROR(__xludf.DUMMYFUNCTION("""COMPUTED_VALUE"""),1706.79)</f>
        <v>1706.79</v>
      </c>
      <c r="C359" s="2">
        <f>IFERROR(__xludf.DUMMYFUNCTION("""COMPUTED_VALUE"""),1726.3)</f>
        <v>1726.3</v>
      </c>
      <c r="D359" s="2">
        <f>IFERROR(__xludf.DUMMYFUNCTION("""COMPUTED_VALUE"""),1682.41)</f>
        <v>1682.41</v>
      </c>
      <c r="E359" s="2">
        <f>IFERROR(__xludf.DUMMYFUNCTION("""COMPUTED_VALUE"""),1682.41)</f>
        <v>1682.41</v>
      </c>
      <c r="F359" s="2">
        <f>IFERROR(__xludf.DUMMYFUNCTION("""COMPUTED_VALUE"""),2.46389E7)</f>
        <v>24638900</v>
      </c>
      <c r="G359" s="2">
        <f t="shared" si="1"/>
        <v>43.89</v>
      </c>
    </row>
    <row r="360" ht="15.75" customHeight="1">
      <c r="A360" s="1">
        <f>IFERROR(__xludf.DUMMYFUNCTION("""COMPUTED_VALUE"""),44372.625)</f>
        <v>44372.625</v>
      </c>
      <c r="B360" s="2">
        <f>IFERROR(__xludf.DUMMYFUNCTION("""COMPUTED_VALUE"""),1677.53)</f>
        <v>1677.53</v>
      </c>
      <c r="C360" s="2">
        <f>IFERROR(__xludf.DUMMYFUNCTION("""COMPUTED_VALUE"""),1960.37)</f>
        <v>1960.37</v>
      </c>
      <c r="D360" s="2">
        <f>IFERROR(__xludf.DUMMYFUNCTION("""COMPUTED_VALUE"""),1677.53)</f>
        <v>1677.53</v>
      </c>
      <c r="E360" s="2">
        <f>IFERROR(__xludf.DUMMYFUNCTION("""COMPUTED_VALUE"""),1896.98)</f>
        <v>1896.98</v>
      </c>
      <c r="F360" s="2">
        <f>IFERROR(__xludf.DUMMYFUNCTION("""COMPUTED_VALUE"""),3.26345E8)</f>
        <v>326345000</v>
      </c>
      <c r="G360" s="2">
        <f t="shared" si="1"/>
        <v>282.84</v>
      </c>
    </row>
    <row r="361" ht="15.75" customHeight="1">
      <c r="A361" s="1">
        <f>IFERROR(__xludf.DUMMYFUNCTION("""COMPUTED_VALUE"""),44375.66666666667)</f>
        <v>44375.66667</v>
      </c>
      <c r="B361" s="2">
        <f>IFERROR(__xludf.DUMMYFUNCTION("""COMPUTED_VALUE"""),1940.86)</f>
        <v>1940.86</v>
      </c>
      <c r="C361" s="2">
        <f>IFERROR(__xludf.DUMMYFUNCTION("""COMPUTED_VALUE"""),2204.2)</f>
        <v>2204.2</v>
      </c>
      <c r="D361" s="2">
        <f>IFERROR(__xludf.DUMMYFUNCTION("""COMPUTED_VALUE"""),1892.1)</f>
        <v>1892.1</v>
      </c>
      <c r="E361" s="2">
        <f>IFERROR(__xludf.DUMMYFUNCTION("""COMPUTED_VALUE"""),2194.44)</f>
        <v>2194.44</v>
      </c>
      <c r="F361" s="2">
        <f>IFERROR(__xludf.DUMMYFUNCTION("""COMPUTED_VALUE"""),4.621239E8)</f>
        <v>462123900</v>
      </c>
      <c r="G361" s="2">
        <f t="shared" si="1"/>
        <v>312.1</v>
      </c>
    </row>
    <row r="362" ht="15.75" customHeight="1">
      <c r="A362" s="1">
        <f>IFERROR(__xludf.DUMMYFUNCTION("""COMPUTED_VALUE"""),44376.625)</f>
        <v>44376.625</v>
      </c>
      <c r="B362" s="2">
        <f>IFERROR(__xludf.DUMMYFUNCTION("""COMPUTED_VALUE"""),2174.94)</f>
        <v>2174.94</v>
      </c>
      <c r="C362" s="2">
        <f>IFERROR(__xludf.DUMMYFUNCTION("""COMPUTED_VALUE"""),2272.47)</f>
        <v>2272.47</v>
      </c>
      <c r="D362" s="2">
        <f>IFERROR(__xludf.DUMMYFUNCTION("""COMPUTED_VALUE"""),2048.15)</f>
        <v>2048.15</v>
      </c>
      <c r="E362" s="2">
        <f>IFERROR(__xludf.DUMMYFUNCTION("""COMPUTED_VALUE"""),2135.93)</f>
        <v>2135.93</v>
      </c>
      <c r="F362" s="2">
        <f>IFERROR(__xludf.DUMMYFUNCTION("""COMPUTED_VALUE"""),2.962918E8)</f>
        <v>296291800</v>
      </c>
      <c r="G362" s="2">
        <f t="shared" si="1"/>
        <v>224.32</v>
      </c>
    </row>
    <row r="363" ht="15.75" customHeight="1">
      <c r="A363" s="1">
        <f>IFERROR(__xludf.DUMMYFUNCTION("""COMPUTED_VALUE"""),44377.625)</f>
        <v>44377.625</v>
      </c>
      <c r="B363" s="2">
        <f>IFERROR(__xludf.DUMMYFUNCTION("""COMPUTED_VALUE"""),2126.17)</f>
        <v>2126.17</v>
      </c>
      <c r="C363" s="2">
        <f>IFERROR(__xludf.DUMMYFUNCTION("""COMPUTED_VALUE"""),2311.48)</f>
        <v>2311.48</v>
      </c>
      <c r="D363" s="2">
        <f>IFERROR(__xludf.DUMMYFUNCTION("""COMPUTED_VALUE"""),2096.91)</f>
        <v>2096.91</v>
      </c>
      <c r="E363" s="2">
        <f>IFERROR(__xludf.DUMMYFUNCTION("""COMPUTED_VALUE"""),2243.21)</f>
        <v>2243.21</v>
      </c>
      <c r="F363" s="2">
        <f>IFERROR(__xludf.DUMMYFUNCTION("""COMPUTED_VALUE"""),2.990117E8)</f>
        <v>299011700</v>
      </c>
      <c r="G363" s="2">
        <f t="shared" si="1"/>
        <v>214.57</v>
      </c>
    </row>
    <row r="364" ht="15.75" customHeight="1">
      <c r="A364" s="1">
        <f>IFERROR(__xludf.DUMMYFUNCTION("""COMPUTED_VALUE"""),44378.625)</f>
        <v>44378.625</v>
      </c>
      <c r="B364" s="2">
        <f>IFERROR(__xludf.DUMMYFUNCTION("""COMPUTED_VALUE"""),2252.96)</f>
        <v>2252.96</v>
      </c>
      <c r="C364" s="2">
        <f>IFERROR(__xludf.DUMMYFUNCTION("""COMPUTED_VALUE"""),2301.73)</f>
        <v>2301.73</v>
      </c>
      <c r="D364" s="2">
        <f>IFERROR(__xludf.DUMMYFUNCTION("""COMPUTED_VALUE"""),2174.94)</f>
        <v>2174.94</v>
      </c>
      <c r="E364" s="2">
        <f>IFERROR(__xludf.DUMMYFUNCTION("""COMPUTED_VALUE"""),2223.7)</f>
        <v>2223.7</v>
      </c>
      <c r="F364" s="2">
        <f>IFERROR(__xludf.DUMMYFUNCTION("""COMPUTED_VALUE"""),1.332809E8)</f>
        <v>133280900</v>
      </c>
      <c r="G364" s="2">
        <f t="shared" si="1"/>
        <v>126.79</v>
      </c>
    </row>
    <row r="365" ht="15.75" customHeight="1">
      <c r="A365" s="1">
        <f>IFERROR(__xludf.DUMMYFUNCTION("""COMPUTED_VALUE"""),44379.625)</f>
        <v>44379.625</v>
      </c>
      <c r="B365" s="2">
        <f>IFERROR(__xludf.DUMMYFUNCTION("""COMPUTED_VALUE"""),2243.21)</f>
        <v>2243.21</v>
      </c>
      <c r="C365" s="2">
        <f>IFERROR(__xludf.DUMMYFUNCTION("""COMPUTED_VALUE"""),2262.72)</f>
        <v>2262.72</v>
      </c>
      <c r="D365" s="2">
        <f>IFERROR(__xludf.DUMMYFUNCTION("""COMPUTED_VALUE"""),2096.91)</f>
        <v>2096.91</v>
      </c>
      <c r="E365" s="2">
        <f>IFERROR(__xludf.DUMMYFUNCTION("""COMPUTED_VALUE"""),2174.94)</f>
        <v>2174.94</v>
      </c>
      <c r="F365" s="2">
        <f>IFERROR(__xludf.DUMMYFUNCTION("""COMPUTED_VALUE"""),8.57582E7)</f>
        <v>85758200</v>
      </c>
      <c r="G365" s="2">
        <f t="shared" si="1"/>
        <v>165.81</v>
      </c>
    </row>
    <row r="366" ht="15.75" customHeight="1">
      <c r="A366" s="1">
        <f>IFERROR(__xludf.DUMMYFUNCTION("""COMPUTED_VALUE"""),44382.625)</f>
        <v>44382.625</v>
      </c>
      <c r="B366" s="2">
        <f>IFERROR(__xludf.DUMMYFUNCTION("""COMPUTED_VALUE"""),2174.94)</f>
        <v>2174.94</v>
      </c>
      <c r="C366" s="2">
        <f>IFERROR(__xludf.DUMMYFUNCTION("""COMPUTED_VALUE"""),2223.7)</f>
        <v>2223.7</v>
      </c>
      <c r="D366" s="2">
        <f>IFERROR(__xludf.DUMMYFUNCTION("""COMPUTED_VALUE"""),2096.91)</f>
        <v>2096.91</v>
      </c>
      <c r="E366" s="2">
        <f>IFERROR(__xludf.DUMMYFUNCTION("""COMPUTED_VALUE"""),2106.67)</f>
        <v>2106.67</v>
      </c>
      <c r="F366" s="2">
        <f>IFERROR(__xludf.DUMMYFUNCTION("""COMPUTED_VALUE"""),6.58768E7)</f>
        <v>65876800</v>
      </c>
      <c r="G366" s="2">
        <f t="shared" si="1"/>
        <v>126.79</v>
      </c>
    </row>
    <row r="367" ht="15.75" customHeight="1">
      <c r="A367" s="1">
        <f>IFERROR(__xludf.DUMMYFUNCTION("""COMPUTED_VALUE"""),44383.625)</f>
        <v>44383.625</v>
      </c>
      <c r="B367" s="2">
        <f>IFERROR(__xludf.DUMMYFUNCTION("""COMPUTED_VALUE"""),2116.42)</f>
        <v>2116.42</v>
      </c>
      <c r="C367" s="2">
        <f>IFERROR(__xludf.DUMMYFUNCTION("""COMPUTED_VALUE"""),2194.44)</f>
        <v>2194.44</v>
      </c>
      <c r="D367" s="2">
        <f>IFERROR(__xludf.DUMMYFUNCTION("""COMPUTED_VALUE"""),2067.65)</f>
        <v>2067.65</v>
      </c>
      <c r="E367" s="2">
        <f>IFERROR(__xludf.DUMMYFUNCTION("""COMPUTED_VALUE"""),2126.17)</f>
        <v>2126.17</v>
      </c>
      <c r="F367" s="2">
        <f>IFERROR(__xludf.DUMMYFUNCTION("""COMPUTED_VALUE"""),8.10782E7)</f>
        <v>81078200</v>
      </c>
      <c r="G367" s="2">
        <f t="shared" si="1"/>
        <v>126.79</v>
      </c>
    </row>
    <row r="368" ht="15.75" customHeight="1">
      <c r="A368" s="1">
        <f>IFERROR(__xludf.DUMMYFUNCTION("""COMPUTED_VALUE"""),44384.625)</f>
        <v>44384.625</v>
      </c>
      <c r="B368" s="2">
        <f>IFERROR(__xludf.DUMMYFUNCTION("""COMPUTED_VALUE"""),2135.93)</f>
        <v>2135.93</v>
      </c>
      <c r="C368" s="2">
        <f>IFERROR(__xludf.DUMMYFUNCTION("""COMPUTED_VALUE"""),2291.98)</f>
        <v>2291.98</v>
      </c>
      <c r="D368" s="2">
        <f>IFERROR(__xludf.DUMMYFUNCTION("""COMPUTED_VALUE"""),2126.17)</f>
        <v>2126.17</v>
      </c>
      <c r="E368" s="2">
        <f>IFERROR(__xludf.DUMMYFUNCTION("""COMPUTED_VALUE"""),2272.47)</f>
        <v>2272.47</v>
      </c>
      <c r="F368" s="2">
        <f>IFERROR(__xludf.DUMMYFUNCTION("""COMPUTED_VALUE"""),1.863538E8)</f>
        <v>186353800</v>
      </c>
      <c r="G368" s="2">
        <f t="shared" si="1"/>
        <v>165.81</v>
      </c>
    </row>
    <row r="369" ht="15.75" customHeight="1">
      <c r="A369" s="1">
        <f>IFERROR(__xludf.DUMMYFUNCTION("""COMPUTED_VALUE"""),44385.625)</f>
        <v>44385.625</v>
      </c>
      <c r="B369" s="2">
        <f>IFERROR(__xludf.DUMMYFUNCTION("""COMPUTED_VALUE"""),2282.22)</f>
        <v>2282.22</v>
      </c>
      <c r="C369" s="2">
        <f>IFERROR(__xludf.DUMMYFUNCTION("""COMPUTED_VALUE"""),2438.27)</f>
        <v>2438.27</v>
      </c>
      <c r="D369" s="2">
        <f>IFERROR(__xludf.DUMMYFUNCTION("""COMPUTED_VALUE"""),2282.22)</f>
        <v>2282.22</v>
      </c>
      <c r="E369" s="2">
        <f>IFERROR(__xludf.DUMMYFUNCTION("""COMPUTED_VALUE"""),2370.0)</f>
        <v>2370</v>
      </c>
      <c r="F369" s="2">
        <f>IFERROR(__xludf.DUMMYFUNCTION("""COMPUTED_VALUE"""),2.268146E8)</f>
        <v>226814600</v>
      </c>
      <c r="G369" s="2">
        <f t="shared" si="1"/>
        <v>165.8</v>
      </c>
    </row>
    <row r="370" ht="15.75" customHeight="1">
      <c r="A370" s="1">
        <f>IFERROR(__xludf.DUMMYFUNCTION("""COMPUTED_VALUE"""),44386.625)</f>
        <v>44386.625</v>
      </c>
      <c r="B370" s="2">
        <f>IFERROR(__xludf.DUMMYFUNCTION("""COMPUTED_VALUE"""),2389.51)</f>
        <v>2389.51</v>
      </c>
      <c r="C370" s="2">
        <f>IFERROR(__xludf.DUMMYFUNCTION("""COMPUTED_VALUE"""),2438.27)</f>
        <v>2438.27</v>
      </c>
      <c r="D370" s="2">
        <f>IFERROR(__xludf.DUMMYFUNCTION("""COMPUTED_VALUE"""),2311.48)</f>
        <v>2311.48</v>
      </c>
      <c r="E370" s="2">
        <f>IFERROR(__xludf.DUMMYFUNCTION("""COMPUTED_VALUE"""),2321.24)</f>
        <v>2321.24</v>
      </c>
      <c r="F370" s="2">
        <f>IFERROR(__xludf.DUMMYFUNCTION("""COMPUTED_VALUE"""),9.70581E7)</f>
        <v>97058100</v>
      </c>
      <c r="G370" s="2">
        <f t="shared" si="1"/>
        <v>126.79</v>
      </c>
    </row>
    <row r="371" ht="15.75" customHeight="1">
      <c r="A371" s="1">
        <f>IFERROR(__xludf.DUMMYFUNCTION("""COMPUTED_VALUE"""),44389.625)</f>
        <v>44389.625</v>
      </c>
      <c r="B371" s="2">
        <f>IFERROR(__xludf.DUMMYFUNCTION("""COMPUTED_VALUE"""),2321.24)</f>
        <v>2321.24</v>
      </c>
      <c r="C371" s="2">
        <f>IFERROR(__xludf.DUMMYFUNCTION("""COMPUTED_VALUE"""),2389.51)</f>
        <v>2389.51</v>
      </c>
      <c r="D371" s="2">
        <f>IFERROR(__xludf.DUMMYFUNCTION("""COMPUTED_VALUE"""),2291.98)</f>
        <v>2291.98</v>
      </c>
      <c r="E371" s="2">
        <f>IFERROR(__xludf.DUMMYFUNCTION("""COMPUTED_VALUE"""),2301.73)</f>
        <v>2301.73</v>
      </c>
      <c r="F371" s="2">
        <f>IFERROR(__xludf.DUMMYFUNCTION("""COMPUTED_VALUE"""),4.9773E7)</f>
        <v>49773000</v>
      </c>
      <c r="G371" s="2">
        <f t="shared" si="1"/>
        <v>97.53</v>
      </c>
    </row>
    <row r="372" ht="15.75" customHeight="1">
      <c r="A372" s="1">
        <f>IFERROR(__xludf.DUMMYFUNCTION("""COMPUTED_VALUE"""),44390.625)</f>
        <v>44390.625</v>
      </c>
      <c r="B372" s="2">
        <f>IFERROR(__xludf.DUMMYFUNCTION("""COMPUTED_VALUE"""),2301.73)</f>
        <v>2301.73</v>
      </c>
      <c r="C372" s="2">
        <f>IFERROR(__xludf.DUMMYFUNCTION("""COMPUTED_VALUE"""),2340.74)</f>
        <v>2340.74</v>
      </c>
      <c r="D372" s="2">
        <f>IFERROR(__xludf.DUMMYFUNCTION("""COMPUTED_VALUE"""),2194.44)</f>
        <v>2194.44</v>
      </c>
      <c r="E372" s="2">
        <f>IFERROR(__xludf.DUMMYFUNCTION("""COMPUTED_VALUE"""),2233.46)</f>
        <v>2233.46</v>
      </c>
      <c r="F372" s="2">
        <f>IFERROR(__xludf.DUMMYFUNCTION("""COMPUTED_VALUE"""),5.92054E7)</f>
        <v>59205400</v>
      </c>
      <c r="G372" s="2">
        <f t="shared" si="1"/>
        <v>146.3</v>
      </c>
    </row>
    <row r="373" ht="15.75" customHeight="1">
      <c r="A373" s="1">
        <f>IFERROR(__xludf.DUMMYFUNCTION("""COMPUTED_VALUE"""),44391.625)</f>
        <v>44391.625</v>
      </c>
      <c r="B373" s="2">
        <f>IFERROR(__xludf.DUMMYFUNCTION("""COMPUTED_VALUE"""),2233.46)</f>
        <v>2233.46</v>
      </c>
      <c r="C373" s="2">
        <f>IFERROR(__xludf.DUMMYFUNCTION("""COMPUTED_VALUE"""),2340.74)</f>
        <v>2340.74</v>
      </c>
      <c r="D373" s="2">
        <f>IFERROR(__xludf.DUMMYFUNCTION("""COMPUTED_VALUE"""),2165.19)</f>
        <v>2165.19</v>
      </c>
      <c r="E373" s="2">
        <f>IFERROR(__xludf.DUMMYFUNCTION("""COMPUTED_VALUE"""),2291.98)</f>
        <v>2291.98</v>
      </c>
      <c r="F373" s="2">
        <f>IFERROR(__xludf.DUMMYFUNCTION("""COMPUTED_VALUE"""),6.61093E7)</f>
        <v>66109300</v>
      </c>
      <c r="G373" s="2">
        <f t="shared" si="1"/>
        <v>175.55</v>
      </c>
    </row>
    <row r="374" ht="15.75" customHeight="1">
      <c r="A374" s="1">
        <f>IFERROR(__xludf.DUMMYFUNCTION("""COMPUTED_VALUE"""),44392.625)</f>
        <v>44392.625</v>
      </c>
      <c r="B374" s="2">
        <f>IFERROR(__xludf.DUMMYFUNCTION("""COMPUTED_VALUE"""),2291.98)</f>
        <v>2291.98</v>
      </c>
      <c r="C374" s="2">
        <f>IFERROR(__xludf.DUMMYFUNCTION("""COMPUTED_VALUE"""),2350.49)</f>
        <v>2350.49</v>
      </c>
      <c r="D374" s="2">
        <f>IFERROR(__xludf.DUMMYFUNCTION("""COMPUTED_VALUE"""),2272.47)</f>
        <v>2272.47</v>
      </c>
      <c r="E374" s="2">
        <f>IFERROR(__xludf.DUMMYFUNCTION("""COMPUTED_VALUE"""),2330.99)</f>
        <v>2330.99</v>
      </c>
      <c r="F374" s="2">
        <f>IFERROR(__xludf.DUMMYFUNCTION("""COMPUTED_VALUE"""),6.78318E7)</f>
        <v>67831800</v>
      </c>
      <c r="G374" s="2">
        <f t="shared" si="1"/>
        <v>78.02</v>
      </c>
    </row>
    <row r="375" ht="15.75" customHeight="1">
      <c r="A375" s="1">
        <f>IFERROR(__xludf.DUMMYFUNCTION("""COMPUTED_VALUE"""),44393.625)</f>
        <v>44393.625</v>
      </c>
      <c r="B375" s="2">
        <f>IFERROR(__xludf.DUMMYFUNCTION("""COMPUTED_VALUE"""),2330.99)</f>
        <v>2330.99</v>
      </c>
      <c r="C375" s="2">
        <f>IFERROR(__xludf.DUMMYFUNCTION("""COMPUTED_VALUE"""),2438.27)</f>
        <v>2438.27</v>
      </c>
      <c r="D375" s="2">
        <f>IFERROR(__xludf.DUMMYFUNCTION("""COMPUTED_VALUE"""),2321.24)</f>
        <v>2321.24</v>
      </c>
      <c r="E375" s="2">
        <f>IFERROR(__xludf.DUMMYFUNCTION("""COMPUTED_VALUE"""),2379.75)</f>
        <v>2379.75</v>
      </c>
      <c r="F375" s="2">
        <f>IFERROR(__xludf.DUMMYFUNCTION("""COMPUTED_VALUE"""),1.244963E8)</f>
        <v>124496300</v>
      </c>
      <c r="G375" s="2">
        <f t="shared" si="1"/>
        <v>117.03</v>
      </c>
    </row>
    <row r="376" ht="15.75" customHeight="1">
      <c r="A376" s="1">
        <f>IFERROR(__xludf.DUMMYFUNCTION("""COMPUTED_VALUE"""),44396.625)</f>
        <v>44396.625</v>
      </c>
      <c r="B376" s="2">
        <f>IFERROR(__xludf.DUMMYFUNCTION("""COMPUTED_VALUE"""),2379.75)</f>
        <v>2379.75</v>
      </c>
      <c r="C376" s="2">
        <f>IFERROR(__xludf.DUMMYFUNCTION("""COMPUTED_VALUE"""),2555.31)</f>
        <v>2555.31</v>
      </c>
      <c r="D376" s="2">
        <f>IFERROR(__xludf.DUMMYFUNCTION("""COMPUTED_VALUE"""),2340.74)</f>
        <v>2340.74</v>
      </c>
      <c r="E376" s="2">
        <f>IFERROR(__xludf.DUMMYFUNCTION("""COMPUTED_VALUE"""),2526.05)</f>
        <v>2526.05</v>
      </c>
      <c r="F376" s="2">
        <f>IFERROR(__xludf.DUMMYFUNCTION("""COMPUTED_VALUE"""),1.88177E8)</f>
        <v>188177000</v>
      </c>
      <c r="G376" s="2">
        <f t="shared" si="1"/>
        <v>214.57</v>
      </c>
    </row>
    <row r="377" ht="15.75" customHeight="1">
      <c r="A377" s="1">
        <f>IFERROR(__xludf.DUMMYFUNCTION("""COMPUTED_VALUE"""),44398.625)</f>
        <v>44398.625</v>
      </c>
      <c r="B377" s="2">
        <f>IFERROR(__xludf.DUMMYFUNCTION("""COMPUTED_VALUE"""),2545.56)</f>
        <v>2545.56</v>
      </c>
      <c r="C377" s="2">
        <f>IFERROR(__xludf.DUMMYFUNCTION("""COMPUTED_VALUE"""),2643.09)</f>
        <v>2643.09</v>
      </c>
      <c r="D377" s="2">
        <f>IFERROR(__xludf.DUMMYFUNCTION("""COMPUTED_VALUE"""),2487.04)</f>
        <v>2487.04</v>
      </c>
      <c r="E377" s="2">
        <f>IFERROR(__xludf.DUMMYFUNCTION("""COMPUTED_VALUE"""),2506.54)</f>
        <v>2506.54</v>
      </c>
      <c r="F377" s="2">
        <f>IFERROR(__xludf.DUMMYFUNCTION("""COMPUTED_VALUE"""),1.285927E8)</f>
        <v>128592700</v>
      </c>
      <c r="G377" s="2">
        <f t="shared" si="1"/>
        <v>156.05</v>
      </c>
    </row>
    <row r="378" ht="15.75" customHeight="1">
      <c r="A378" s="1">
        <f>IFERROR(__xludf.DUMMYFUNCTION("""COMPUTED_VALUE"""),44399.625)</f>
        <v>44399.625</v>
      </c>
      <c r="B378" s="2">
        <f>IFERROR(__xludf.DUMMYFUNCTION("""COMPUTED_VALUE"""),2526.05)</f>
        <v>2526.05</v>
      </c>
      <c r="C378" s="2">
        <f>IFERROR(__xludf.DUMMYFUNCTION("""COMPUTED_VALUE"""),2574.82)</f>
        <v>2574.82</v>
      </c>
      <c r="D378" s="2">
        <f>IFERROR(__xludf.DUMMYFUNCTION("""COMPUTED_VALUE"""),2506.54)</f>
        <v>2506.54</v>
      </c>
      <c r="E378" s="2">
        <f>IFERROR(__xludf.DUMMYFUNCTION("""COMPUTED_VALUE"""),2516.3)</f>
        <v>2516.3</v>
      </c>
      <c r="F378" s="2">
        <f>IFERROR(__xludf.DUMMYFUNCTION("""COMPUTED_VALUE"""),3.1659E7)</f>
        <v>31659000</v>
      </c>
      <c r="G378" s="2">
        <f t="shared" si="1"/>
        <v>68.28</v>
      </c>
    </row>
    <row r="379" ht="15.75" customHeight="1">
      <c r="A379" s="1">
        <f>IFERROR(__xludf.DUMMYFUNCTION("""COMPUTED_VALUE"""),44400.625)</f>
        <v>44400.625</v>
      </c>
      <c r="B379" s="2">
        <f>IFERROR(__xludf.DUMMYFUNCTION("""COMPUTED_VALUE"""),2516.3)</f>
        <v>2516.3</v>
      </c>
      <c r="C379" s="2">
        <f>IFERROR(__xludf.DUMMYFUNCTION("""COMPUTED_VALUE"""),2604.07)</f>
        <v>2604.07</v>
      </c>
      <c r="D379" s="2">
        <f>IFERROR(__xludf.DUMMYFUNCTION("""COMPUTED_VALUE"""),2516.3)</f>
        <v>2516.3</v>
      </c>
      <c r="E379" s="2">
        <f>IFERROR(__xludf.DUMMYFUNCTION("""COMPUTED_VALUE"""),2574.82)</f>
        <v>2574.82</v>
      </c>
      <c r="F379" s="2">
        <f>IFERROR(__xludf.DUMMYFUNCTION("""COMPUTED_VALUE"""),1.107337E8)</f>
        <v>110733700</v>
      </c>
      <c r="G379" s="2">
        <f t="shared" si="1"/>
        <v>87.77</v>
      </c>
    </row>
    <row r="380" ht="15.75" customHeight="1">
      <c r="A380" s="1">
        <f>IFERROR(__xludf.DUMMYFUNCTION("""COMPUTED_VALUE"""),44403.625)</f>
        <v>44403.625</v>
      </c>
      <c r="B380" s="2">
        <f>IFERROR(__xludf.DUMMYFUNCTION("""COMPUTED_VALUE"""),2604.07)</f>
        <v>2604.07</v>
      </c>
      <c r="C380" s="2">
        <f>IFERROR(__xludf.DUMMYFUNCTION("""COMPUTED_VALUE"""),2652.84)</f>
        <v>2652.84</v>
      </c>
      <c r="D380" s="2">
        <f>IFERROR(__xludf.DUMMYFUNCTION("""COMPUTED_VALUE"""),2555.31)</f>
        <v>2555.31</v>
      </c>
      <c r="E380" s="2">
        <f>IFERROR(__xludf.DUMMYFUNCTION("""COMPUTED_VALUE"""),2613.83)</f>
        <v>2613.83</v>
      </c>
      <c r="F380" s="2">
        <f>IFERROR(__xludf.DUMMYFUNCTION("""COMPUTED_VALUE"""),1.024127E8)</f>
        <v>102412700</v>
      </c>
      <c r="G380" s="2">
        <f t="shared" si="1"/>
        <v>97.53</v>
      </c>
    </row>
    <row r="381" ht="15.75" customHeight="1">
      <c r="A381" s="1">
        <f>IFERROR(__xludf.DUMMYFUNCTION("""COMPUTED_VALUE"""),44404.625)</f>
        <v>44404.625</v>
      </c>
      <c r="B381" s="2">
        <f>IFERROR(__xludf.DUMMYFUNCTION("""COMPUTED_VALUE"""),2613.83)</f>
        <v>2613.83</v>
      </c>
      <c r="C381" s="2">
        <f>IFERROR(__xludf.DUMMYFUNCTION("""COMPUTED_VALUE"""),2808.89)</f>
        <v>2808.89</v>
      </c>
      <c r="D381" s="2">
        <f>IFERROR(__xludf.DUMMYFUNCTION("""COMPUTED_VALUE"""),2496.79)</f>
        <v>2496.79</v>
      </c>
      <c r="E381" s="2">
        <f>IFERROR(__xludf.DUMMYFUNCTION("""COMPUTED_VALUE"""),2643.09)</f>
        <v>2643.09</v>
      </c>
      <c r="F381" s="2">
        <f>IFERROR(__xludf.DUMMYFUNCTION("""COMPUTED_VALUE"""),2.093978E8)</f>
        <v>209397800</v>
      </c>
      <c r="G381" s="2">
        <f t="shared" si="1"/>
        <v>312.1</v>
      </c>
    </row>
    <row r="382" ht="15.75" customHeight="1">
      <c r="A382" s="1">
        <f>IFERROR(__xludf.DUMMYFUNCTION("""COMPUTED_VALUE"""),44405.625)</f>
        <v>44405.625</v>
      </c>
      <c r="B382" s="2">
        <f>IFERROR(__xludf.DUMMYFUNCTION("""COMPUTED_VALUE"""),2652.84)</f>
        <v>2652.84</v>
      </c>
      <c r="C382" s="2">
        <f>IFERROR(__xludf.DUMMYFUNCTION("""COMPUTED_VALUE"""),2760.12)</f>
        <v>2760.12</v>
      </c>
      <c r="D382" s="2">
        <f>IFERROR(__xludf.DUMMYFUNCTION("""COMPUTED_VALUE"""),2652.84)</f>
        <v>2652.84</v>
      </c>
      <c r="E382" s="2">
        <f>IFERROR(__xludf.DUMMYFUNCTION("""COMPUTED_VALUE"""),2730.86)</f>
        <v>2730.86</v>
      </c>
      <c r="F382" s="2">
        <f>IFERROR(__xludf.DUMMYFUNCTION("""COMPUTED_VALUE"""),1.001437E8)</f>
        <v>100143700</v>
      </c>
      <c r="G382" s="2">
        <f t="shared" si="1"/>
        <v>117.03</v>
      </c>
    </row>
    <row r="383" ht="15.75" customHeight="1">
      <c r="A383" s="1">
        <f>IFERROR(__xludf.DUMMYFUNCTION("""COMPUTED_VALUE"""),44406.625)</f>
        <v>44406.625</v>
      </c>
      <c r="B383" s="2">
        <f>IFERROR(__xludf.DUMMYFUNCTION("""COMPUTED_VALUE"""),2730.86)</f>
        <v>2730.86</v>
      </c>
      <c r="C383" s="2">
        <f>IFERROR(__xludf.DUMMYFUNCTION("""COMPUTED_VALUE"""),2769.88)</f>
        <v>2769.88</v>
      </c>
      <c r="D383" s="2">
        <f>IFERROR(__xludf.DUMMYFUNCTION("""COMPUTED_VALUE"""),2682.1)</f>
        <v>2682.1</v>
      </c>
      <c r="E383" s="2">
        <f>IFERROR(__xludf.DUMMYFUNCTION("""COMPUTED_VALUE"""),2750.37)</f>
        <v>2750.37</v>
      </c>
      <c r="F383" s="2">
        <f>IFERROR(__xludf.DUMMYFUNCTION("""COMPUTED_VALUE"""),6.19784E7)</f>
        <v>61978400</v>
      </c>
      <c r="G383" s="2">
        <f t="shared" si="1"/>
        <v>87.78</v>
      </c>
    </row>
    <row r="384" ht="15.75" customHeight="1">
      <c r="A384" s="1">
        <f>IFERROR(__xludf.DUMMYFUNCTION("""COMPUTED_VALUE"""),44407.625)</f>
        <v>44407.625</v>
      </c>
      <c r="B384" s="2">
        <f>IFERROR(__xludf.DUMMYFUNCTION("""COMPUTED_VALUE"""),2760.12)</f>
        <v>2760.12</v>
      </c>
      <c r="C384" s="2">
        <f>IFERROR(__xludf.DUMMYFUNCTION("""COMPUTED_VALUE"""),2799.14)</f>
        <v>2799.14</v>
      </c>
      <c r="D384" s="2">
        <f>IFERROR(__xludf.DUMMYFUNCTION("""COMPUTED_VALUE"""),2565.06)</f>
        <v>2565.06</v>
      </c>
      <c r="E384" s="2">
        <f>IFERROR(__xludf.DUMMYFUNCTION("""COMPUTED_VALUE"""),2565.06)</f>
        <v>2565.06</v>
      </c>
      <c r="F384" s="2">
        <f>IFERROR(__xludf.DUMMYFUNCTION("""COMPUTED_VALUE"""),1.25903E8)</f>
        <v>125903000</v>
      </c>
      <c r="G384" s="2">
        <f t="shared" si="1"/>
        <v>234.08</v>
      </c>
    </row>
    <row r="385" ht="15.75" customHeight="1">
      <c r="A385" s="1">
        <f>IFERROR(__xludf.DUMMYFUNCTION("""COMPUTED_VALUE"""),44410.625)</f>
        <v>44410.625</v>
      </c>
      <c r="B385" s="2">
        <f>IFERROR(__xludf.DUMMYFUNCTION("""COMPUTED_VALUE"""),2535.8)</f>
        <v>2535.8</v>
      </c>
      <c r="C385" s="2">
        <f>IFERROR(__xludf.DUMMYFUNCTION("""COMPUTED_VALUE"""),2604.07)</f>
        <v>2604.07</v>
      </c>
      <c r="D385" s="2">
        <f>IFERROR(__xludf.DUMMYFUNCTION("""COMPUTED_VALUE"""),2409.01)</f>
        <v>2409.01</v>
      </c>
      <c r="E385" s="2">
        <f>IFERROR(__xludf.DUMMYFUNCTION("""COMPUTED_VALUE"""),2535.8)</f>
        <v>2535.8</v>
      </c>
      <c r="F385" s="2">
        <f>IFERROR(__xludf.DUMMYFUNCTION("""COMPUTED_VALUE"""),1.381146E8)</f>
        <v>138114600</v>
      </c>
      <c r="G385" s="2">
        <f t="shared" si="1"/>
        <v>195.06</v>
      </c>
    </row>
    <row r="386" ht="15.75" customHeight="1">
      <c r="A386" s="1">
        <f>IFERROR(__xludf.DUMMYFUNCTION("""COMPUTED_VALUE"""),44411.625)</f>
        <v>44411.625</v>
      </c>
      <c r="B386" s="2">
        <f>IFERROR(__xludf.DUMMYFUNCTION("""COMPUTED_VALUE"""),2535.8)</f>
        <v>2535.8</v>
      </c>
      <c r="C386" s="2">
        <f>IFERROR(__xludf.DUMMYFUNCTION("""COMPUTED_VALUE"""),2584.57)</f>
        <v>2584.57</v>
      </c>
      <c r="D386" s="2">
        <f>IFERROR(__xludf.DUMMYFUNCTION("""COMPUTED_VALUE"""),2467.53)</f>
        <v>2467.53</v>
      </c>
      <c r="E386" s="2">
        <f>IFERROR(__xludf.DUMMYFUNCTION("""COMPUTED_VALUE"""),2477.28)</f>
        <v>2477.28</v>
      </c>
      <c r="F386" s="2">
        <f>IFERROR(__xludf.DUMMYFUNCTION("""COMPUTED_VALUE"""),4.36094E7)</f>
        <v>43609400</v>
      </c>
      <c r="G386" s="2">
        <f t="shared" si="1"/>
        <v>117.04</v>
      </c>
    </row>
    <row r="387" ht="15.75" customHeight="1">
      <c r="A387" s="1">
        <f>IFERROR(__xludf.DUMMYFUNCTION("""COMPUTED_VALUE"""),44412.625)</f>
        <v>44412.625</v>
      </c>
      <c r="B387" s="2">
        <f>IFERROR(__xludf.DUMMYFUNCTION("""COMPUTED_VALUE"""),2487.04)</f>
        <v>2487.04</v>
      </c>
      <c r="C387" s="2">
        <f>IFERROR(__xludf.DUMMYFUNCTION("""COMPUTED_VALUE"""),2555.31)</f>
        <v>2555.31</v>
      </c>
      <c r="D387" s="2">
        <f>IFERROR(__xludf.DUMMYFUNCTION("""COMPUTED_VALUE"""),2467.53)</f>
        <v>2467.53</v>
      </c>
      <c r="E387" s="2">
        <f>IFERROR(__xludf.DUMMYFUNCTION("""COMPUTED_VALUE"""),2516.3)</f>
        <v>2516.3</v>
      </c>
      <c r="F387" s="2">
        <f>IFERROR(__xludf.DUMMYFUNCTION("""COMPUTED_VALUE"""),4.36387E7)</f>
        <v>43638700</v>
      </c>
      <c r="G387" s="2">
        <f t="shared" si="1"/>
        <v>87.78</v>
      </c>
    </row>
    <row r="388" ht="15.75" customHeight="1">
      <c r="A388" s="1">
        <f>IFERROR(__xludf.DUMMYFUNCTION("""COMPUTED_VALUE"""),44413.625)</f>
        <v>44413.625</v>
      </c>
      <c r="B388" s="2">
        <f>IFERROR(__xludf.DUMMYFUNCTION("""COMPUTED_VALUE"""),2535.8)</f>
        <v>2535.8</v>
      </c>
      <c r="C388" s="2">
        <f>IFERROR(__xludf.DUMMYFUNCTION("""COMPUTED_VALUE"""),2662.59)</f>
        <v>2662.59</v>
      </c>
      <c r="D388" s="2">
        <f>IFERROR(__xludf.DUMMYFUNCTION("""COMPUTED_VALUE"""),2506.54)</f>
        <v>2506.54</v>
      </c>
      <c r="E388" s="2">
        <f>IFERROR(__xludf.DUMMYFUNCTION("""COMPUTED_VALUE"""),2633.33)</f>
        <v>2633.33</v>
      </c>
      <c r="F388" s="2">
        <f>IFERROR(__xludf.DUMMYFUNCTION("""COMPUTED_VALUE"""),7.23207E7)</f>
        <v>72320700</v>
      </c>
      <c r="G388" s="2">
        <f t="shared" si="1"/>
        <v>156.05</v>
      </c>
    </row>
    <row r="389" ht="15.75" customHeight="1">
      <c r="A389" s="1">
        <f>IFERROR(__xludf.DUMMYFUNCTION("""COMPUTED_VALUE"""),44414.625)</f>
        <v>44414.625</v>
      </c>
      <c r="B389" s="2">
        <f>IFERROR(__xludf.DUMMYFUNCTION("""COMPUTED_VALUE"""),2652.84)</f>
        <v>2652.84</v>
      </c>
      <c r="C389" s="2">
        <f>IFERROR(__xludf.DUMMYFUNCTION("""COMPUTED_VALUE"""),2691.85)</f>
        <v>2691.85</v>
      </c>
      <c r="D389" s="2">
        <f>IFERROR(__xludf.DUMMYFUNCTION("""COMPUTED_VALUE"""),2565.06)</f>
        <v>2565.06</v>
      </c>
      <c r="E389" s="2">
        <f>IFERROR(__xludf.DUMMYFUNCTION("""COMPUTED_VALUE"""),2623.58)</f>
        <v>2623.58</v>
      </c>
      <c r="F389" s="2">
        <f>IFERROR(__xludf.DUMMYFUNCTION("""COMPUTED_VALUE"""),4.75905E7)</f>
        <v>47590500</v>
      </c>
      <c r="G389" s="2">
        <f t="shared" si="1"/>
        <v>126.79</v>
      </c>
    </row>
    <row r="390" ht="15.75" customHeight="1">
      <c r="A390" s="1">
        <f>IFERROR(__xludf.DUMMYFUNCTION("""COMPUTED_VALUE"""),44417.625)</f>
        <v>44417.625</v>
      </c>
      <c r="B390" s="2">
        <f>IFERROR(__xludf.DUMMYFUNCTION("""COMPUTED_VALUE"""),2623.58)</f>
        <v>2623.58</v>
      </c>
      <c r="C390" s="2">
        <f>IFERROR(__xludf.DUMMYFUNCTION("""COMPUTED_VALUE"""),2633.33)</f>
        <v>2633.33</v>
      </c>
      <c r="D390" s="2">
        <f>IFERROR(__xludf.DUMMYFUNCTION("""COMPUTED_VALUE"""),2448.03)</f>
        <v>2448.03</v>
      </c>
      <c r="E390" s="2">
        <f>IFERROR(__xludf.DUMMYFUNCTION("""COMPUTED_VALUE"""),2448.03)</f>
        <v>2448.03</v>
      </c>
      <c r="F390" s="2">
        <f>IFERROR(__xludf.DUMMYFUNCTION("""COMPUTED_VALUE"""),6.45577E7)</f>
        <v>64557700</v>
      </c>
      <c r="G390" s="2">
        <f t="shared" si="1"/>
        <v>185.3</v>
      </c>
    </row>
    <row r="391" ht="15.75" customHeight="1">
      <c r="A391" s="1">
        <f>IFERROR(__xludf.DUMMYFUNCTION("""COMPUTED_VALUE"""),44418.625)</f>
        <v>44418.625</v>
      </c>
      <c r="B391" s="2">
        <f>IFERROR(__xludf.DUMMYFUNCTION("""COMPUTED_VALUE"""),2438.27)</f>
        <v>2438.27</v>
      </c>
      <c r="C391" s="2">
        <f>IFERROR(__xludf.DUMMYFUNCTION("""COMPUTED_VALUE"""),2457.78)</f>
        <v>2457.78</v>
      </c>
      <c r="D391" s="2">
        <f>IFERROR(__xludf.DUMMYFUNCTION("""COMPUTED_VALUE"""),2282.22)</f>
        <v>2282.22</v>
      </c>
      <c r="E391" s="2">
        <f>IFERROR(__xludf.DUMMYFUNCTION("""COMPUTED_VALUE"""),2282.22)</f>
        <v>2282.22</v>
      </c>
      <c r="F391" s="2">
        <f>IFERROR(__xludf.DUMMYFUNCTION("""COMPUTED_VALUE"""),6.42396E7)</f>
        <v>64239600</v>
      </c>
      <c r="G391" s="2">
        <f t="shared" si="1"/>
        <v>175.56</v>
      </c>
    </row>
    <row r="392" ht="15.75" customHeight="1">
      <c r="A392" s="1">
        <f>IFERROR(__xludf.DUMMYFUNCTION("""COMPUTED_VALUE"""),44420.625)</f>
        <v>44420.625</v>
      </c>
      <c r="B392" s="2">
        <f>IFERROR(__xludf.DUMMYFUNCTION("""COMPUTED_VALUE"""),2272.47)</f>
        <v>2272.47</v>
      </c>
      <c r="C392" s="2">
        <f>IFERROR(__xludf.DUMMYFUNCTION("""COMPUTED_VALUE"""),2301.73)</f>
        <v>2301.73</v>
      </c>
      <c r="D392" s="2">
        <f>IFERROR(__xludf.DUMMYFUNCTION("""COMPUTED_VALUE"""),2165.19)</f>
        <v>2165.19</v>
      </c>
      <c r="E392" s="2">
        <f>IFERROR(__xludf.DUMMYFUNCTION("""COMPUTED_VALUE"""),2291.98)</f>
        <v>2291.98</v>
      </c>
      <c r="F392" s="2">
        <f>IFERROR(__xludf.DUMMYFUNCTION("""COMPUTED_VALUE"""),6.65797E7)</f>
        <v>66579700</v>
      </c>
      <c r="G392" s="2">
        <f t="shared" si="1"/>
        <v>136.54</v>
      </c>
    </row>
    <row r="393" ht="15.75" customHeight="1">
      <c r="A393" s="1">
        <f>IFERROR(__xludf.DUMMYFUNCTION("""COMPUTED_VALUE"""),44421.625)</f>
        <v>44421.625</v>
      </c>
      <c r="B393" s="2">
        <f>IFERROR(__xludf.DUMMYFUNCTION("""COMPUTED_VALUE"""),2282.22)</f>
        <v>2282.22</v>
      </c>
      <c r="C393" s="2">
        <f>IFERROR(__xludf.DUMMYFUNCTION("""COMPUTED_VALUE"""),2360.25)</f>
        <v>2360.25</v>
      </c>
      <c r="D393" s="2">
        <f>IFERROR(__xludf.DUMMYFUNCTION("""COMPUTED_VALUE"""),2243.21)</f>
        <v>2243.21</v>
      </c>
      <c r="E393" s="2">
        <f>IFERROR(__xludf.DUMMYFUNCTION("""COMPUTED_VALUE"""),2311.48)</f>
        <v>2311.48</v>
      </c>
      <c r="F393" s="2">
        <f>IFERROR(__xludf.DUMMYFUNCTION("""COMPUTED_VALUE"""),5.8846E7)</f>
        <v>58846000</v>
      </c>
      <c r="G393" s="2">
        <f t="shared" si="1"/>
        <v>117.04</v>
      </c>
    </row>
    <row r="394" ht="15.75" customHeight="1">
      <c r="A394" s="1">
        <f>IFERROR(__xludf.DUMMYFUNCTION("""COMPUTED_VALUE"""),44424.625)</f>
        <v>44424.625</v>
      </c>
      <c r="B394" s="2">
        <f>IFERROR(__xludf.DUMMYFUNCTION("""COMPUTED_VALUE"""),2311.48)</f>
        <v>2311.48</v>
      </c>
      <c r="C394" s="2">
        <f>IFERROR(__xludf.DUMMYFUNCTION("""COMPUTED_VALUE"""),2340.74)</f>
        <v>2340.74</v>
      </c>
      <c r="D394" s="2">
        <f>IFERROR(__xludf.DUMMYFUNCTION("""COMPUTED_VALUE"""),2174.94)</f>
        <v>2174.94</v>
      </c>
      <c r="E394" s="2">
        <f>IFERROR(__xludf.DUMMYFUNCTION("""COMPUTED_VALUE"""),2194.44)</f>
        <v>2194.44</v>
      </c>
      <c r="F394" s="2">
        <f>IFERROR(__xludf.DUMMYFUNCTION("""COMPUTED_VALUE"""),6.66483E7)</f>
        <v>66648300</v>
      </c>
      <c r="G394" s="2">
        <f t="shared" si="1"/>
        <v>165.8</v>
      </c>
    </row>
    <row r="395" ht="15.75" customHeight="1">
      <c r="A395" s="1">
        <f>IFERROR(__xludf.DUMMYFUNCTION("""COMPUTED_VALUE"""),44426.625)</f>
        <v>44426.625</v>
      </c>
      <c r="B395" s="2">
        <f>IFERROR(__xludf.DUMMYFUNCTION("""COMPUTED_VALUE"""),2194.44)</f>
        <v>2194.44</v>
      </c>
      <c r="C395" s="2">
        <f>IFERROR(__xludf.DUMMYFUNCTION("""COMPUTED_VALUE"""),2233.46)</f>
        <v>2233.46</v>
      </c>
      <c r="D395" s="2">
        <f>IFERROR(__xludf.DUMMYFUNCTION("""COMPUTED_VALUE"""),2048.15)</f>
        <v>2048.15</v>
      </c>
      <c r="E395" s="2">
        <f>IFERROR(__xludf.DUMMYFUNCTION("""COMPUTED_VALUE"""),2116.42)</f>
        <v>2116.42</v>
      </c>
      <c r="F395" s="2">
        <f>IFERROR(__xludf.DUMMYFUNCTION("""COMPUTED_VALUE"""),7.74639E7)</f>
        <v>77463900</v>
      </c>
      <c r="G395" s="2">
        <f t="shared" si="1"/>
        <v>185.31</v>
      </c>
    </row>
    <row r="396" ht="15.75" customHeight="1">
      <c r="A396" s="1">
        <f>IFERROR(__xludf.DUMMYFUNCTION("""COMPUTED_VALUE"""),44427.625)</f>
        <v>44427.625</v>
      </c>
      <c r="B396" s="2">
        <f>IFERROR(__xludf.DUMMYFUNCTION("""COMPUTED_VALUE"""),2116.42)</f>
        <v>2116.42</v>
      </c>
      <c r="C396" s="2">
        <f>IFERROR(__xludf.DUMMYFUNCTION("""COMPUTED_VALUE"""),2135.93)</f>
        <v>2135.93</v>
      </c>
      <c r="D396" s="2">
        <f>IFERROR(__xludf.DUMMYFUNCTION("""COMPUTED_VALUE"""),1989.63)</f>
        <v>1989.63</v>
      </c>
      <c r="E396" s="2">
        <f>IFERROR(__xludf.DUMMYFUNCTION("""COMPUTED_VALUE"""),2009.14)</f>
        <v>2009.14</v>
      </c>
      <c r="F396" s="2">
        <f>IFERROR(__xludf.DUMMYFUNCTION("""COMPUTED_VALUE"""),6.01581E7)</f>
        <v>60158100</v>
      </c>
      <c r="G396" s="2">
        <f t="shared" si="1"/>
        <v>146.3</v>
      </c>
    </row>
    <row r="397" ht="15.75" customHeight="1">
      <c r="A397" s="1">
        <f>IFERROR(__xludf.DUMMYFUNCTION("""COMPUTED_VALUE"""),44428.625)</f>
        <v>44428.625</v>
      </c>
      <c r="B397" s="2">
        <f>IFERROR(__xludf.DUMMYFUNCTION("""COMPUTED_VALUE"""),2009.14)</f>
        <v>2009.14</v>
      </c>
      <c r="C397" s="2">
        <f>IFERROR(__xludf.DUMMYFUNCTION("""COMPUTED_VALUE"""),2165.19)</f>
        <v>2165.19</v>
      </c>
      <c r="D397" s="2">
        <f>IFERROR(__xludf.DUMMYFUNCTION("""COMPUTED_VALUE"""),1960.37)</f>
        <v>1960.37</v>
      </c>
      <c r="E397" s="2">
        <f>IFERROR(__xludf.DUMMYFUNCTION("""COMPUTED_VALUE"""),2096.91)</f>
        <v>2096.91</v>
      </c>
      <c r="F397" s="2">
        <f>IFERROR(__xludf.DUMMYFUNCTION("""COMPUTED_VALUE"""),6.78504E7)</f>
        <v>67850400</v>
      </c>
      <c r="G397" s="2">
        <f t="shared" si="1"/>
        <v>204.82</v>
      </c>
    </row>
    <row r="398" ht="15.75" customHeight="1">
      <c r="A398" s="1">
        <f>IFERROR(__xludf.DUMMYFUNCTION("""COMPUTED_VALUE"""),44431.66666666667)</f>
        <v>44431.66667</v>
      </c>
      <c r="B398" s="2">
        <f>IFERROR(__xludf.DUMMYFUNCTION("""COMPUTED_VALUE"""),2145.68)</f>
        <v>2145.68</v>
      </c>
      <c r="C398" s="2">
        <f>IFERROR(__xludf.DUMMYFUNCTION("""COMPUTED_VALUE"""),2165.19)</f>
        <v>2165.19</v>
      </c>
      <c r="D398" s="2">
        <f>IFERROR(__xludf.DUMMYFUNCTION("""COMPUTED_VALUE"""),2096.91)</f>
        <v>2096.91</v>
      </c>
      <c r="E398" s="2">
        <f>IFERROR(__xludf.DUMMYFUNCTION("""COMPUTED_VALUE"""),2145.68)</f>
        <v>2145.68</v>
      </c>
      <c r="F398" s="2">
        <f>IFERROR(__xludf.DUMMYFUNCTION("""COMPUTED_VALUE"""),4.51097E7)</f>
        <v>45109700</v>
      </c>
      <c r="G398" s="2">
        <f t="shared" si="1"/>
        <v>68.28</v>
      </c>
    </row>
    <row r="399" ht="15.75" customHeight="1">
      <c r="A399" s="1">
        <f>IFERROR(__xludf.DUMMYFUNCTION("""COMPUTED_VALUE"""),44432.66666666667)</f>
        <v>44432.66667</v>
      </c>
      <c r="B399" s="2">
        <f>IFERROR(__xludf.DUMMYFUNCTION("""COMPUTED_VALUE"""),2155.43)</f>
        <v>2155.43</v>
      </c>
      <c r="C399" s="2">
        <f>IFERROR(__xludf.DUMMYFUNCTION("""COMPUTED_VALUE"""),2233.46)</f>
        <v>2233.46</v>
      </c>
      <c r="D399" s="2">
        <f>IFERROR(__xludf.DUMMYFUNCTION("""COMPUTED_VALUE"""),2116.42)</f>
        <v>2116.42</v>
      </c>
      <c r="E399" s="2">
        <f>IFERROR(__xludf.DUMMYFUNCTION("""COMPUTED_VALUE"""),2126.17)</f>
        <v>2126.17</v>
      </c>
      <c r="F399" s="2">
        <f>IFERROR(__xludf.DUMMYFUNCTION("""COMPUTED_VALUE"""),4.26285E7)</f>
        <v>42628500</v>
      </c>
      <c r="G399" s="2">
        <f t="shared" si="1"/>
        <v>117.04</v>
      </c>
    </row>
    <row r="400" ht="15.75" customHeight="1">
      <c r="A400" s="1">
        <f>IFERROR(__xludf.DUMMYFUNCTION("""COMPUTED_VALUE"""),44433.625)</f>
        <v>44433.625</v>
      </c>
      <c r="B400" s="2">
        <f>IFERROR(__xludf.DUMMYFUNCTION("""COMPUTED_VALUE"""),2155.43)</f>
        <v>2155.43</v>
      </c>
      <c r="C400" s="2">
        <f>IFERROR(__xludf.DUMMYFUNCTION("""COMPUTED_VALUE"""),2174.94)</f>
        <v>2174.94</v>
      </c>
      <c r="D400" s="2">
        <f>IFERROR(__xludf.DUMMYFUNCTION("""COMPUTED_VALUE"""),2116.42)</f>
        <v>2116.42</v>
      </c>
      <c r="E400" s="2">
        <f>IFERROR(__xludf.DUMMYFUNCTION("""COMPUTED_VALUE"""),2145.68)</f>
        <v>2145.68</v>
      </c>
      <c r="F400" s="2">
        <f>IFERROR(__xludf.DUMMYFUNCTION("""COMPUTED_VALUE"""),2.01887E7)</f>
        <v>20188700</v>
      </c>
      <c r="G400" s="2">
        <f t="shared" si="1"/>
        <v>58.52</v>
      </c>
    </row>
    <row r="401" ht="15.75" customHeight="1">
      <c r="A401" s="1">
        <f>IFERROR(__xludf.DUMMYFUNCTION("""COMPUTED_VALUE"""),44434.625)</f>
        <v>44434.625</v>
      </c>
      <c r="B401" s="2">
        <f>IFERROR(__xludf.DUMMYFUNCTION("""COMPUTED_VALUE"""),2184.69)</f>
        <v>2184.69</v>
      </c>
      <c r="C401" s="2">
        <f>IFERROR(__xludf.DUMMYFUNCTION("""COMPUTED_VALUE"""),2184.69)</f>
        <v>2184.69</v>
      </c>
      <c r="D401" s="2">
        <f>IFERROR(__xludf.DUMMYFUNCTION("""COMPUTED_VALUE"""),2116.42)</f>
        <v>2116.42</v>
      </c>
      <c r="E401" s="2">
        <f>IFERROR(__xludf.DUMMYFUNCTION("""COMPUTED_VALUE"""),2135.93)</f>
        <v>2135.93</v>
      </c>
      <c r="F401" s="2">
        <f>IFERROR(__xludf.DUMMYFUNCTION("""COMPUTED_VALUE"""),1.86757E7)</f>
        <v>18675700</v>
      </c>
      <c r="G401" s="2">
        <f t="shared" si="1"/>
        <v>68.27</v>
      </c>
    </row>
    <row r="402" ht="15.75" customHeight="1">
      <c r="A402" s="1">
        <f>IFERROR(__xludf.DUMMYFUNCTION("""COMPUTED_VALUE"""),44435.625)</f>
        <v>44435.625</v>
      </c>
      <c r="B402" s="2">
        <f>IFERROR(__xludf.DUMMYFUNCTION("""COMPUTED_VALUE"""),2155.43)</f>
        <v>2155.43</v>
      </c>
      <c r="C402" s="2">
        <f>IFERROR(__xludf.DUMMYFUNCTION("""COMPUTED_VALUE"""),2194.44)</f>
        <v>2194.44</v>
      </c>
      <c r="D402" s="2">
        <f>IFERROR(__xludf.DUMMYFUNCTION("""COMPUTED_VALUE"""),2067.65)</f>
        <v>2067.65</v>
      </c>
      <c r="E402" s="2">
        <f>IFERROR(__xludf.DUMMYFUNCTION("""COMPUTED_VALUE"""),2106.67)</f>
        <v>2106.67</v>
      </c>
      <c r="F402" s="2">
        <f>IFERROR(__xludf.DUMMYFUNCTION("""COMPUTED_VALUE"""),3.78307E7)</f>
        <v>37830700</v>
      </c>
      <c r="G402" s="2">
        <f t="shared" si="1"/>
        <v>126.79</v>
      </c>
    </row>
    <row r="403" ht="15.75" customHeight="1">
      <c r="A403" s="1">
        <f>IFERROR(__xludf.DUMMYFUNCTION("""COMPUTED_VALUE"""),44438.625)</f>
        <v>44438.625</v>
      </c>
      <c r="B403" s="2">
        <f>IFERROR(__xludf.DUMMYFUNCTION("""COMPUTED_VALUE"""),2135.93)</f>
        <v>2135.93</v>
      </c>
      <c r="C403" s="2">
        <f>IFERROR(__xludf.DUMMYFUNCTION("""COMPUTED_VALUE"""),2194.44)</f>
        <v>2194.44</v>
      </c>
      <c r="D403" s="2">
        <f>IFERROR(__xludf.DUMMYFUNCTION("""COMPUTED_VALUE"""),2116.42)</f>
        <v>2116.42</v>
      </c>
      <c r="E403" s="2">
        <f>IFERROR(__xludf.DUMMYFUNCTION("""COMPUTED_VALUE"""),2155.43)</f>
        <v>2155.43</v>
      </c>
      <c r="F403" s="2">
        <f>IFERROR(__xludf.DUMMYFUNCTION("""COMPUTED_VALUE"""),3.54462E7)</f>
        <v>35446200</v>
      </c>
      <c r="G403" s="2">
        <f t="shared" si="1"/>
        <v>87.77</v>
      </c>
    </row>
    <row r="404" ht="15.75" customHeight="1">
      <c r="A404" s="1">
        <f>IFERROR(__xludf.DUMMYFUNCTION("""COMPUTED_VALUE"""),44439.625)</f>
        <v>44439.625</v>
      </c>
      <c r="B404" s="2">
        <f>IFERROR(__xludf.DUMMYFUNCTION("""COMPUTED_VALUE"""),2165.19)</f>
        <v>2165.19</v>
      </c>
      <c r="C404" s="2">
        <f>IFERROR(__xludf.DUMMYFUNCTION("""COMPUTED_VALUE"""),2165.19)</f>
        <v>2165.19</v>
      </c>
      <c r="D404" s="2">
        <f>IFERROR(__xludf.DUMMYFUNCTION("""COMPUTED_VALUE"""),2116.42)</f>
        <v>2116.42</v>
      </c>
      <c r="E404" s="2">
        <f>IFERROR(__xludf.DUMMYFUNCTION("""COMPUTED_VALUE"""),2165.19)</f>
        <v>2165.19</v>
      </c>
      <c r="F404" s="2">
        <f>IFERROR(__xludf.DUMMYFUNCTION("""COMPUTED_VALUE"""),1.88212E7)</f>
        <v>18821200</v>
      </c>
      <c r="G404" s="2">
        <f t="shared" si="1"/>
        <v>48.77</v>
      </c>
    </row>
    <row r="405" ht="15.75" customHeight="1">
      <c r="A405" s="1">
        <f>IFERROR(__xludf.DUMMYFUNCTION("""COMPUTED_VALUE"""),44440.625)</f>
        <v>44440.625</v>
      </c>
      <c r="B405" s="2">
        <f>IFERROR(__xludf.DUMMYFUNCTION("""COMPUTED_VALUE"""),2165.19)</f>
        <v>2165.19</v>
      </c>
      <c r="C405" s="2">
        <f>IFERROR(__xludf.DUMMYFUNCTION("""COMPUTED_VALUE"""),2184.69)</f>
        <v>2184.69</v>
      </c>
      <c r="D405" s="2">
        <f>IFERROR(__xludf.DUMMYFUNCTION("""COMPUTED_VALUE"""),2126.17)</f>
        <v>2126.17</v>
      </c>
      <c r="E405" s="2">
        <f>IFERROR(__xludf.DUMMYFUNCTION("""COMPUTED_VALUE"""),2126.17)</f>
        <v>2126.17</v>
      </c>
      <c r="F405" s="2">
        <f>IFERROR(__xludf.DUMMYFUNCTION("""COMPUTED_VALUE"""),1.33954E7)</f>
        <v>13395400</v>
      </c>
      <c r="G405" s="2">
        <f t="shared" si="1"/>
        <v>58.52</v>
      </c>
    </row>
    <row r="406" ht="15.75" customHeight="1">
      <c r="A406" s="1">
        <f>IFERROR(__xludf.DUMMYFUNCTION("""COMPUTED_VALUE"""),44441.625)</f>
        <v>44441.625</v>
      </c>
      <c r="B406" s="2">
        <f>IFERROR(__xludf.DUMMYFUNCTION("""COMPUTED_VALUE"""),2135.93)</f>
        <v>2135.93</v>
      </c>
      <c r="C406" s="2">
        <f>IFERROR(__xludf.DUMMYFUNCTION("""COMPUTED_VALUE"""),2155.43)</f>
        <v>2155.43</v>
      </c>
      <c r="D406" s="2">
        <f>IFERROR(__xludf.DUMMYFUNCTION("""COMPUTED_VALUE"""),2087.16)</f>
        <v>2087.16</v>
      </c>
      <c r="E406" s="2">
        <f>IFERROR(__xludf.DUMMYFUNCTION("""COMPUTED_VALUE"""),2087.16)</f>
        <v>2087.16</v>
      </c>
      <c r="F406" s="2">
        <f>IFERROR(__xludf.DUMMYFUNCTION("""COMPUTED_VALUE"""),2.14958E7)</f>
        <v>21495800</v>
      </c>
      <c r="G406" s="2">
        <f t="shared" si="1"/>
        <v>68.27</v>
      </c>
    </row>
    <row r="407" ht="15.75" customHeight="1">
      <c r="A407" s="1">
        <f>IFERROR(__xludf.DUMMYFUNCTION("""COMPUTED_VALUE"""),44442.625)</f>
        <v>44442.625</v>
      </c>
      <c r="B407" s="2">
        <f>IFERROR(__xludf.DUMMYFUNCTION("""COMPUTED_VALUE"""),2087.16)</f>
        <v>2087.16</v>
      </c>
      <c r="C407" s="2">
        <f>IFERROR(__xludf.DUMMYFUNCTION("""COMPUTED_VALUE"""),2116.42)</f>
        <v>2116.42</v>
      </c>
      <c r="D407" s="2">
        <f>IFERROR(__xludf.DUMMYFUNCTION("""COMPUTED_VALUE"""),2067.65)</f>
        <v>2067.65</v>
      </c>
      <c r="E407" s="2">
        <f>IFERROR(__xludf.DUMMYFUNCTION("""COMPUTED_VALUE"""),2087.16)</f>
        <v>2087.16</v>
      </c>
      <c r="F407" s="2">
        <f>IFERROR(__xludf.DUMMYFUNCTION("""COMPUTED_VALUE"""),2.03611E7)</f>
        <v>20361100</v>
      </c>
      <c r="G407" s="2">
        <f t="shared" si="1"/>
        <v>48.77</v>
      </c>
    </row>
    <row r="408" ht="15.75" customHeight="1">
      <c r="A408" s="1">
        <f>IFERROR(__xludf.DUMMYFUNCTION("""COMPUTED_VALUE"""),44445.625)</f>
        <v>44445.625</v>
      </c>
      <c r="B408" s="2">
        <f>IFERROR(__xludf.DUMMYFUNCTION("""COMPUTED_VALUE"""),2087.16)</f>
        <v>2087.16</v>
      </c>
      <c r="C408" s="2">
        <f>IFERROR(__xludf.DUMMYFUNCTION("""COMPUTED_VALUE"""),2106.67)</f>
        <v>2106.67</v>
      </c>
      <c r="D408" s="2">
        <f>IFERROR(__xludf.DUMMYFUNCTION("""COMPUTED_VALUE"""),2048.15)</f>
        <v>2048.15</v>
      </c>
      <c r="E408" s="2">
        <f>IFERROR(__xludf.DUMMYFUNCTION("""COMPUTED_VALUE"""),2077.41)</f>
        <v>2077.41</v>
      </c>
      <c r="F408" s="2">
        <f>IFERROR(__xludf.DUMMYFUNCTION("""COMPUTED_VALUE"""),2.2266E7)</f>
        <v>22266000</v>
      </c>
      <c r="G408" s="2">
        <f t="shared" si="1"/>
        <v>58.52</v>
      </c>
    </row>
    <row r="409" ht="15.75" customHeight="1">
      <c r="A409" s="1">
        <f>IFERROR(__xludf.DUMMYFUNCTION("""COMPUTED_VALUE"""),44446.625)</f>
        <v>44446.625</v>
      </c>
      <c r="B409" s="2">
        <f>IFERROR(__xludf.DUMMYFUNCTION("""COMPUTED_VALUE"""),2077.41)</f>
        <v>2077.41</v>
      </c>
      <c r="C409" s="2">
        <f>IFERROR(__xludf.DUMMYFUNCTION("""COMPUTED_VALUE"""),2116.42)</f>
        <v>2116.42</v>
      </c>
      <c r="D409" s="2">
        <f>IFERROR(__xludf.DUMMYFUNCTION("""COMPUTED_VALUE"""),2057.9)</f>
        <v>2057.9</v>
      </c>
      <c r="E409" s="2">
        <f>IFERROR(__xludf.DUMMYFUNCTION("""COMPUTED_VALUE"""),2057.9)</f>
        <v>2057.9</v>
      </c>
      <c r="F409" s="2">
        <f>IFERROR(__xludf.DUMMYFUNCTION("""COMPUTED_VALUE"""),2.63535E7)</f>
        <v>26353500</v>
      </c>
      <c r="G409" s="2">
        <f t="shared" si="1"/>
        <v>58.52</v>
      </c>
    </row>
    <row r="410" ht="15.75" customHeight="1">
      <c r="A410" s="1">
        <f>IFERROR(__xludf.DUMMYFUNCTION("""COMPUTED_VALUE"""),44447.625)</f>
        <v>44447.625</v>
      </c>
      <c r="B410" s="2">
        <f>IFERROR(__xludf.DUMMYFUNCTION("""COMPUTED_VALUE"""),2057.9)</f>
        <v>2057.9</v>
      </c>
      <c r="C410" s="2">
        <f>IFERROR(__xludf.DUMMYFUNCTION("""COMPUTED_VALUE"""),2077.41)</f>
        <v>2077.41</v>
      </c>
      <c r="D410" s="2">
        <f>IFERROR(__xludf.DUMMYFUNCTION("""COMPUTED_VALUE"""),2018.89)</f>
        <v>2018.89</v>
      </c>
      <c r="E410" s="2">
        <f>IFERROR(__xludf.DUMMYFUNCTION("""COMPUTED_VALUE"""),2018.89)</f>
        <v>2018.89</v>
      </c>
      <c r="F410" s="2">
        <f>IFERROR(__xludf.DUMMYFUNCTION("""COMPUTED_VALUE"""),2.52609E7)</f>
        <v>25260900</v>
      </c>
      <c r="G410" s="2">
        <f t="shared" si="1"/>
        <v>58.52</v>
      </c>
    </row>
    <row r="411" ht="15.75" customHeight="1">
      <c r="A411" s="1">
        <f>IFERROR(__xludf.DUMMYFUNCTION("""COMPUTED_VALUE"""),44448.625)</f>
        <v>44448.625</v>
      </c>
      <c r="B411" s="2">
        <f>IFERROR(__xludf.DUMMYFUNCTION("""COMPUTED_VALUE"""),2018.89)</f>
        <v>2018.89</v>
      </c>
      <c r="C411" s="2">
        <f>IFERROR(__xludf.DUMMYFUNCTION("""COMPUTED_VALUE"""),2038.4)</f>
        <v>2038.4</v>
      </c>
      <c r="D411" s="2">
        <f>IFERROR(__xludf.DUMMYFUNCTION("""COMPUTED_VALUE"""),1950.62)</f>
        <v>1950.62</v>
      </c>
      <c r="E411" s="2">
        <f>IFERROR(__xludf.DUMMYFUNCTION("""COMPUTED_VALUE"""),1989.63)</f>
        <v>1989.63</v>
      </c>
      <c r="F411" s="2">
        <f>IFERROR(__xludf.DUMMYFUNCTION("""COMPUTED_VALUE"""),3.52309E7)</f>
        <v>35230900</v>
      </c>
      <c r="G411" s="2">
        <f t="shared" si="1"/>
        <v>87.78</v>
      </c>
    </row>
    <row r="412" ht="15.75" customHeight="1">
      <c r="A412" s="1">
        <f>IFERROR(__xludf.DUMMYFUNCTION("""COMPUTED_VALUE"""),44449.625)</f>
        <v>44449.625</v>
      </c>
      <c r="B412" s="2">
        <f>IFERROR(__xludf.DUMMYFUNCTION("""COMPUTED_VALUE"""),1989.63)</f>
        <v>1989.63</v>
      </c>
      <c r="C412" s="2">
        <f>IFERROR(__xludf.DUMMYFUNCTION("""COMPUTED_VALUE"""),2067.65)</f>
        <v>2067.65</v>
      </c>
      <c r="D412" s="2">
        <f>IFERROR(__xludf.DUMMYFUNCTION("""COMPUTED_VALUE"""),1979.88)</f>
        <v>1979.88</v>
      </c>
      <c r="E412" s="2">
        <f>IFERROR(__xludf.DUMMYFUNCTION("""COMPUTED_VALUE"""),2038.4)</f>
        <v>2038.4</v>
      </c>
      <c r="F412" s="2">
        <f>IFERROR(__xludf.DUMMYFUNCTION("""COMPUTED_VALUE"""),3.26369E7)</f>
        <v>32636900</v>
      </c>
      <c r="G412" s="2">
        <f t="shared" si="1"/>
        <v>87.77</v>
      </c>
    </row>
    <row r="413" ht="15.75" customHeight="1">
      <c r="A413" s="1">
        <f>IFERROR(__xludf.DUMMYFUNCTION("""COMPUTED_VALUE"""),44452.625)</f>
        <v>44452.625</v>
      </c>
      <c r="B413" s="2">
        <f>IFERROR(__xludf.DUMMYFUNCTION("""COMPUTED_VALUE"""),2038.4)</f>
        <v>2038.4</v>
      </c>
      <c r="C413" s="2">
        <f>IFERROR(__xludf.DUMMYFUNCTION("""COMPUTED_VALUE"""),2077.41)</f>
        <v>2077.41</v>
      </c>
      <c r="D413" s="2">
        <f>IFERROR(__xludf.DUMMYFUNCTION("""COMPUTED_VALUE"""),2018.89)</f>
        <v>2018.89</v>
      </c>
      <c r="E413" s="2">
        <f>IFERROR(__xludf.DUMMYFUNCTION("""COMPUTED_VALUE"""),2077.41)</f>
        <v>2077.41</v>
      </c>
      <c r="F413" s="2">
        <f>IFERROR(__xludf.DUMMYFUNCTION("""COMPUTED_VALUE"""),3.80314E7)</f>
        <v>38031400</v>
      </c>
      <c r="G413" s="2">
        <f t="shared" si="1"/>
        <v>58.52</v>
      </c>
    </row>
    <row r="414" ht="15.75" customHeight="1">
      <c r="A414" s="1">
        <f>IFERROR(__xludf.DUMMYFUNCTION("""COMPUTED_VALUE"""),44453.625)</f>
        <v>44453.625</v>
      </c>
      <c r="B414" s="2">
        <f>IFERROR(__xludf.DUMMYFUNCTION("""COMPUTED_VALUE"""),2106.67)</f>
        <v>2106.67</v>
      </c>
      <c r="C414" s="2">
        <f>IFERROR(__xludf.DUMMYFUNCTION("""COMPUTED_VALUE"""),2116.42)</f>
        <v>2116.42</v>
      </c>
      <c r="D414" s="2">
        <f>IFERROR(__xludf.DUMMYFUNCTION("""COMPUTED_VALUE"""),2048.15)</f>
        <v>2048.15</v>
      </c>
      <c r="E414" s="2">
        <f>IFERROR(__xludf.DUMMYFUNCTION("""COMPUTED_VALUE"""),2067.65)</f>
        <v>2067.65</v>
      </c>
      <c r="F414" s="2">
        <f>IFERROR(__xludf.DUMMYFUNCTION("""COMPUTED_VALUE"""),3.60003E7)</f>
        <v>36000300</v>
      </c>
      <c r="G414" s="2">
        <f t="shared" si="1"/>
        <v>68.27</v>
      </c>
    </row>
    <row r="415" ht="15.75" customHeight="1">
      <c r="A415" s="1">
        <f>IFERROR(__xludf.DUMMYFUNCTION("""COMPUTED_VALUE"""),44454.625)</f>
        <v>44454.625</v>
      </c>
      <c r="B415" s="2">
        <f>IFERROR(__xludf.DUMMYFUNCTION("""COMPUTED_VALUE"""),2067.65)</f>
        <v>2067.65</v>
      </c>
      <c r="C415" s="2">
        <f>IFERROR(__xludf.DUMMYFUNCTION("""COMPUTED_VALUE"""),2077.41)</f>
        <v>2077.41</v>
      </c>
      <c r="D415" s="2">
        <f>IFERROR(__xludf.DUMMYFUNCTION("""COMPUTED_VALUE"""),2038.4)</f>
        <v>2038.4</v>
      </c>
      <c r="E415" s="2">
        <f>IFERROR(__xludf.DUMMYFUNCTION("""COMPUTED_VALUE"""),2038.4)</f>
        <v>2038.4</v>
      </c>
      <c r="F415" s="2">
        <f>IFERROR(__xludf.DUMMYFUNCTION("""COMPUTED_VALUE"""),1.89929E7)</f>
        <v>18992900</v>
      </c>
      <c r="G415" s="2">
        <f t="shared" si="1"/>
        <v>39.01</v>
      </c>
    </row>
    <row r="416" ht="15.75" customHeight="1">
      <c r="A416" s="1">
        <f>IFERROR(__xludf.DUMMYFUNCTION("""COMPUTED_VALUE"""),44455.625)</f>
        <v>44455.625</v>
      </c>
      <c r="B416" s="2">
        <f>IFERROR(__xludf.DUMMYFUNCTION("""COMPUTED_VALUE"""),2077.41)</f>
        <v>2077.41</v>
      </c>
      <c r="C416" s="2">
        <f>IFERROR(__xludf.DUMMYFUNCTION("""COMPUTED_VALUE"""),2165.19)</f>
        <v>2165.19</v>
      </c>
      <c r="D416" s="2">
        <f>IFERROR(__xludf.DUMMYFUNCTION("""COMPUTED_VALUE"""),2038.4)</f>
        <v>2038.4</v>
      </c>
      <c r="E416" s="2">
        <f>IFERROR(__xludf.DUMMYFUNCTION("""COMPUTED_VALUE"""),2096.91)</f>
        <v>2096.91</v>
      </c>
      <c r="F416" s="2">
        <f>IFERROR(__xludf.DUMMYFUNCTION("""COMPUTED_VALUE"""),7.695E7)</f>
        <v>76950000</v>
      </c>
      <c r="G416" s="2">
        <f t="shared" si="1"/>
        <v>126.79</v>
      </c>
    </row>
    <row r="417" ht="15.75" customHeight="1">
      <c r="A417" s="1">
        <f>IFERROR(__xludf.DUMMYFUNCTION("""COMPUTED_VALUE"""),44456.625)</f>
        <v>44456.625</v>
      </c>
      <c r="B417" s="2">
        <f>IFERROR(__xludf.DUMMYFUNCTION("""COMPUTED_VALUE"""),2096.91)</f>
        <v>2096.91</v>
      </c>
      <c r="C417" s="2">
        <f>IFERROR(__xludf.DUMMYFUNCTION("""COMPUTED_VALUE"""),2126.17)</f>
        <v>2126.17</v>
      </c>
      <c r="D417" s="2">
        <f>IFERROR(__xludf.DUMMYFUNCTION("""COMPUTED_VALUE"""),2067.65)</f>
        <v>2067.65</v>
      </c>
      <c r="E417" s="2">
        <f>IFERROR(__xludf.DUMMYFUNCTION("""COMPUTED_VALUE"""),2096.91)</f>
        <v>2096.91</v>
      </c>
      <c r="F417" s="2">
        <f>IFERROR(__xludf.DUMMYFUNCTION("""COMPUTED_VALUE"""),4.13649E7)</f>
        <v>41364900</v>
      </c>
      <c r="G417" s="2">
        <f t="shared" si="1"/>
        <v>58.52</v>
      </c>
    </row>
    <row r="418" ht="15.75" customHeight="1">
      <c r="A418" s="1">
        <f>IFERROR(__xludf.DUMMYFUNCTION("""COMPUTED_VALUE"""),44459.625)</f>
        <v>44459.625</v>
      </c>
      <c r="B418" s="2">
        <f>IFERROR(__xludf.DUMMYFUNCTION("""COMPUTED_VALUE"""),2087.16)</f>
        <v>2087.16</v>
      </c>
      <c r="C418" s="2">
        <f>IFERROR(__xludf.DUMMYFUNCTION("""COMPUTED_VALUE"""),2096.91)</f>
        <v>2096.91</v>
      </c>
      <c r="D418" s="2">
        <f>IFERROR(__xludf.DUMMYFUNCTION("""COMPUTED_VALUE"""),2018.89)</f>
        <v>2018.89</v>
      </c>
      <c r="E418" s="2">
        <f>IFERROR(__xludf.DUMMYFUNCTION("""COMPUTED_VALUE"""),2028.64)</f>
        <v>2028.64</v>
      </c>
      <c r="F418" s="2">
        <f>IFERROR(__xludf.DUMMYFUNCTION("""COMPUTED_VALUE"""),2.46072E7)</f>
        <v>24607200</v>
      </c>
      <c r="G418" s="2">
        <f t="shared" si="1"/>
        <v>78.02</v>
      </c>
    </row>
    <row r="419" ht="15.75" customHeight="1">
      <c r="A419" s="1">
        <f>IFERROR(__xludf.DUMMYFUNCTION("""COMPUTED_VALUE"""),44460.625)</f>
        <v>44460.625</v>
      </c>
      <c r="B419" s="2">
        <f>IFERROR(__xludf.DUMMYFUNCTION("""COMPUTED_VALUE"""),2028.64)</f>
        <v>2028.64</v>
      </c>
      <c r="C419" s="2">
        <f>IFERROR(__xludf.DUMMYFUNCTION("""COMPUTED_VALUE"""),2057.9)</f>
        <v>2057.9</v>
      </c>
      <c r="D419" s="2">
        <f>IFERROR(__xludf.DUMMYFUNCTION("""COMPUTED_VALUE"""),1979.88)</f>
        <v>1979.88</v>
      </c>
      <c r="E419" s="2">
        <f>IFERROR(__xludf.DUMMYFUNCTION("""COMPUTED_VALUE"""),2018.89)</f>
        <v>2018.89</v>
      </c>
      <c r="F419" s="2">
        <f>IFERROR(__xludf.DUMMYFUNCTION("""COMPUTED_VALUE"""),1.24221E7)</f>
        <v>12422100</v>
      </c>
      <c r="G419" s="2">
        <f t="shared" si="1"/>
        <v>78.02</v>
      </c>
    </row>
    <row r="420" ht="15.75" customHeight="1">
      <c r="A420" s="1">
        <f>IFERROR(__xludf.DUMMYFUNCTION("""COMPUTED_VALUE"""),44461.625)</f>
        <v>44461.625</v>
      </c>
      <c r="B420" s="2">
        <f>IFERROR(__xludf.DUMMYFUNCTION("""COMPUTED_VALUE"""),2018.89)</f>
        <v>2018.89</v>
      </c>
      <c r="C420" s="2">
        <f>IFERROR(__xludf.DUMMYFUNCTION("""COMPUTED_VALUE"""),2067.65)</f>
        <v>2067.65</v>
      </c>
      <c r="D420" s="2">
        <f>IFERROR(__xludf.DUMMYFUNCTION("""COMPUTED_VALUE"""),2009.14)</f>
        <v>2009.14</v>
      </c>
      <c r="E420" s="2">
        <f>IFERROR(__xludf.DUMMYFUNCTION("""COMPUTED_VALUE"""),2057.9)</f>
        <v>2057.9</v>
      </c>
      <c r="F420" s="2">
        <f>IFERROR(__xludf.DUMMYFUNCTION("""COMPUTED_VALUE"""),1.67335E7)</f>
        <v>16733500</v>
      </c>
      <c r="G420" s="2">
        <f t="shared" si="1"/>
        <v>58.51</v>
      </c>
    </row>
    <row r="421" ht="15.75" customHeight="1">
      <c r="A421" s="1">
        <f>IFERROR(__xludf.DUMMYFUNCTION("""COMPUTED_VALUE"""),44462.625)</f>
        <v>44462.625</v>
      </c>
      <c r="B421" s="2">
        <f>IFERROR(__xludf.DUMMYFUNCTION("""COMPUTED_VALUE"""),2067.65)</f>
        <v>2067.65</v>
      </c>
      <c r="C421" s="2">
        <f>IFERROR(__xludf.DUMMYFUNCTION("""COMPUTED_VALUE"""),2106.67)</f>
        <v>2106.67</v>
      </c>
      <c r="D421" s="2">
        <f>IFERROR(__xludf.DUMMYFUNCTION("""COMPUTED_VALUE"""),2038.4)</f>
        <v>2038.4</v>
      </c>
      <c r="E421" s="2">
        <f>IFERROR(__xludf.DUMMYFUNCTION("""COMPUTED_VALUE"""),2087.16)</f>
        <v>2087.16</v>
      </c>
      <c r="F421" s="2">
        <f>IFERROR(__xludf.DUMMYFUNCTION("""COMPUTED_VALUE"""),3.85132E7)</f>
        <v>38513200</v>
      </c>
      <c r="G421" s="2">
        <f t="shared" si="1"/>
        <v>68.27</v>
      </c>
    </row>
    <row r="422" ht="15.75" customHeight="1">
      <c r="A422" s="1">
        <f>IFERROR(__xludf.DUMMYFUNCTION("""COMPUTED_VALUE"""),44463.625)</f>
        <v>44463.625</v>
      </c>
      <c r="B422" s="2">
        <f>IFERROR(__xludf.DUMMYFUNCTION("""COMPUTED_VALUE"""),2087.16)</f>
        <v>2087.16</v>
      </c>
      <c r="C422" s="2">
        <f>IFERROR(__xludf.DUMMYFUNCTION("""COMPUTED_VALUE"""),2116.42)</f>
        <v>2116.42</v>
      </c>
      <c r="D422" s="2">
        <f>IFERROR(__xludf.DUMMYFUNCTION("""COMPUTED_VALUE"""),2048.15)</f>
        <v>2048.15</v>
      </c>
      <c r="E422" s="2">
        <f>IFERROR(__xludf.DUMMYFUNCTION("""COMPUTED_VALUE"""),2057.9)</f>
        <v>2057.9</v>
      </c>
      <c r="F422" s="2">
        <f>IFERROR(__xludf.DUMMYFUNCTION("""COMPUTED_VALUE"""),3.38305E7)</f>
        <v>33830500</v>
      </c>
      <c r="G422" s="2">
        <f t="shared" si="1"/>
        <v>68.27</v>
      </c>
    </row>
    <row r="423" ht="15.75" customHeight="1">
      <c r="A423" s="1">
        <f>IFERROR(__xludf.DUMMYFUNCTION("""COMPUTED_VALUE"""),44466.625)</f>
        <v>44466.625</v>
      </c>
      <c r="B423" s="2">
        <f>IFERROR(__xludf.DUMMYFUNCTION("""COMPUTED_VALUE"""),2057.9)</f>
        <v>2057.9</v>
      </c>
      <c r="C423" s="2">
        <f>IFERROR(__xludf.DUMMYFUNCTION("""COMPUTED_VALUE"""),2087.16)</f>
        <v>2087.16</v>
      </c>
      <c r="D423" s="2">
        <f>IFERROR(__xludf.DUMMYFUNCTION("""COMPUTED_VALUE"""),2018.89)</f>
        <v>2018.89</v>
      </c>
      <c r="E423" s="2">
        <f>IFERROR(__xludf.DUMMYFUNCTION("""COMPUTED_VALUE"""),2018.89)</f>
        <v>2018.89</v>
      </c>
      <c r="F423" s="2">
        <f>IFERROR(__xludf.DUMMYFUNCTION("""COMPUTED_VALUE"""),2.60931E7)</f>
        <v>26093100</v>
      </c>
      <c r="G423" s="2">
        <f t="shared" si="1"/>
        <v>68.27</v>
      </c>
    </row>
    <row r="424" ht="15.75" customHeight="1">
      <c r="A424" s="1">
        <f>IFERROR(__xludf.DUMMYFUNCTION("""COMPUTED_VALUE"""),44467.625)</f>
        <v>44467.625</v>
      </c>
      <c r="B424" s="2">
        <f>IFERROR(__xludf.DUMMYFUNCTION("""COMPUTED_VALUE"""),2028.64)</f>
        <v>2028.64</v>
      </c>
      <c r="C424" s="2">
        <f>IFERROR(__xludf.DUMMYFUNCTION("""COMPUTED_VALUE"""),2038.4)</f>
        <v>2038.4</v>
      </c>
      <c r="D424" s="2">
        <f>IFERROR(__xludf.DUMMYFUNCTION("""COMPUTED_VALUE"""),1999.38)</f>
        <v>1999.38</v>
      </c>
      <c r="E424" s="2">
        <f>IFERROR(__xludf.DUMMYFUNCTION("""COMPUTED_VALUE"""),2009.14)</f>
        <v>2009.14</v>
      </c>
      <c r="F424" s="2">
        <f>IFERROR(__xludf.DUMMYFUNCTION("""COMPUTED_VALUE"""),1.7193E7)</f>
        <v>17193000</v>
      </c>
      <c r="G424" s="2">
        <f t="shared" si="1"/>
        <v>39.02</v>
      </c>
    </row>
    <row r="425" ht="15.75" customHeight="1">
      <c r="A425" s="1">
        <f>IFERROR(__xludf.DUMMYFUNCTION("""COMPUTED_VALUE"""),44468.625)</f>
        <v>44468.625</v>
      </c>
      <c r="B425" s="2">
        <f>IFERROR(__xludf.DUMMYFUNCTION("""COMPUTED_VALUE"""),1999.38)</f>
        <v>1999.38</v>
      </c>
      <c r="C425" s="2">
        <f>IFERROR(__xludf.DUMMYFUNCTION("""COMPUTED_VALUE"""),2009.14)</f>
        <v>2009.14</v>
      </c>
      <c r="D425" s="2">
        <f>IFERROR(__xludf.DUMMYFUNCTION("""COMPUTED_VALUE"""),1950.62)</f>
        <v>1950.62</v>
      </c>
      <c r="E425" s="2">
        <f>IFERROR(__xludf.DUMMYFUNCTION("""COMPUTED_VALUE"""),1989.63)</f>
        <v>1989.63</v>
      </c>
      <c r="F425" s="2">
        <f>IFERROR(__xludf.DUMMYFUNCTION("""COMPUTED_VALUE"""),3.48656E7)</f>
        <v>34865600</v>
      </c>
      <c r="G425" s="2">
        <f t="shared" si="1"/>
        <v>58.52</v>
      </c>
    </row>
    <row r="426" ht="15.75" customHeight="1">
      <c r="A426" s="1">
        <f>IFERROR(__xludf.DUMMYFUNCTION("""COMPUTED_VALUE"""),44469.625)</f>
        <v>44469.625</v>
      </c>
      <c r="B426" s="2">
        <f>IFERROR(__xludf.DUMMYFUNCTION("""COMPUTED_VALUE"""),1999.38)</f>
        <v>1999.38</v>
      </c>
      <c r="C426" s="2">
        <f>IFERROR(__xludf.DUMMYFUNCTION("""COMPUTED_VALUE"""),2028.64)</f>
        <v>2028.64</v>
      </c>
      <c r="D426" s="2">
        <f>IFERROR(__xludf.DUMMYFUNCTION("""COMPUTED_VALUE"""),1960.37)</f>
        <v>1960.37</v>
      </c>
      <c r="E426" s="2">
        <f>IFERROR(__xludf.DUMMYFUNCTION("""COMPUTED_VALUE"""),1989.63)</f>
        <v>1989.63</v>
      </c>
      <c r="F426" s="2">
        <f>IFERROR(__xludf.DUMMYFUNCTION("""COMPUTED_VALUE"""),3.14758E7)</f>
        <v>31475800</v>
      </c>
      <c r="G426" s="2">
        <f t="shared" si="1"/>
        <v>68.27</v>
      </c>
    </row>
    <row r="427" ht="15.75" customHeight="1">
      <c r="A427" s="1">
        <f>IFERROR(__xludf.DUMMYFUNCTION("""COMPUTED_VALUE"""),44470.625)</f>
        <v>44470.625</v>
      </c>
      <c r="B427" s="2">
        <f>IFERROR(__xludf.DUMMYFUNCTION("""COMPUTED_VALUE"""),1989.63)</f>
        <v>1989.63</v>
      </c>
      <c r="C427" s="2">
        <f>IFERROR(__xludf.DUMMYFUNCTION("""COMPUTED_VALUE"""),2009.14)</f>
        <v>2009.14</v>
      </c>
      <c r="D427" s="2">
        <f>IFERROR(__xludf.DUMMYFUNCTION("""COMPUTED_VALUE"""),1960.37)</f>
        <v>1960.37</v>
      </c>
      <c r="E427" s="2">
        <f>IFERROR(__xludf.DUMMYFUNCTION("""COMPUTED_VALUE"""),1989.63)</f>
        <v>1989.63</v>
      </c>
      <c r="F427" s="2">
        <f>IFERROR(__xludf.DUMMYFUNCTION("""COMPUTED_VALUE"""),2.65003E7)</f>
        <v>26500300</v>
      </c>
      <c r="G427" s="2">
        <f t="shared" si="1"/>
        <v>48.77</v>
      </c>
    </row>
    <row r="428" ht="15.75" customHeight="1">
      <c r="A428" s="1">
        <f>IFERROR(__xludf.DUMMYFUNCTION("""COMPUTED_VALUE"""),44473.625)</f>
        <v>44473.625</v>
      </c>
      <c r="B428" s="2">
        <f>IFERROR(__xludf.DUMMYFUNCTION("""COMPUTED_VALUE"""),1989.63)</f>
        <v>1989.63</v>
      </c>
      <c r="C428" s="2">
        <f>IFERROR(__xludf.DUMMYFUNCTION("""COMPUTED_VALUE"""),2106.67)</f>
        <v>2106.67</v>
      </c>
      <c r="D428" s="2">
        <f>IFERROR(__xludf.DUMMYFUNCTION("""COMPUTED_VALUE"""),1989.63)</f>
        <v>1989.63</v>
      </c>
      <c r="E428" s="2">
        <f>IFERROR(__xludf.DUMMYFUNCTION("""COMPUTED_VALUE"""),2067.65)</f>
        <v>2067.65</v>
      </c>
      <c r="F428" s="2">
        <f>IFERROR(__xludf.DUMMYFUNCTION("""COMPUTED_VALUE"""),7.27655E7)</f>
        <v>72765500</v>
      </c>
      <c r="G428" s="2">
        <f t="shared" si="1"/>
        <v>117.04</v>
      </c>
    </row>
    <row r="429" ht="15.75" customHeight="1">
      <c r="A429" s="1">
        <f>IFERROR(__xludf.DUMMYFUNCTION("""COMPUTED_VALUE"""),44474.625)</f>
        <v>44474.625</v>
      </c>
      <c r="B429" s="2">
        <f>IFERROR(__xludf.DUMMYFUNCTION("""COMPUTED_VALUE"""),2096.91)</f>
        <v>2096.91</v>
      </c>
      <c r="C429" s="2">
        <f>IFERROR(__xludf.DUMMYFUNCTION("""COMPUTED_VALUE"""),2096.91)</f>
        <v>2096.91</v>
      </c>
      <c r="D429" s="2">
        <f>IFERROR(__xludf.DUMMYFUNCTION("""COMPUTED_VALUE"""),2028.64)</f>
        <v>2028.64</v>
      </c>
      <c r="E429" s="2">
        <f>IFERROR(__xludf.DUMMYFUNCTION("""COMPUTED_VALUE"""),2028.64)</f>
        <v>2028.64</v>
      </c>
      <c r="F429" s="2">
        <f>IFERROR(__xludf.DUMMYFUNCTION("""COMPUTED_VALUE"""),2.45314E7)</f>
        <v>24531400</v>
      </c>
      <c r="G429" s="2">
        <f t="shared" si="1"/>
        <v>68.27</v>
      </c>
    </row>
    <row r="430" ht="15.75" customHeight="1">
      <c r="A430" s="1">
        <f>IFERROR(__xludf.DUMMYFUNCTION("""COMPUTED_VALUE"""),44475.625)</f>
        <v>44475.625</v>
      </c>
      <c r="B430" s="2">
        <f>IFERROR(__xludf.DUMMYFUNCTION("""COMPUTED_VALUE"""),2048.15)</f>
        <v>2048.15</v>
      </c>
      <c r="C430" s="2">
        <f>IFERROR(__xludf.DUMMYFUNCTION("""COMPUTED_VALUE"""),2184.69)</f>
        <v>2184.69</v>
      </c>
      <c r="D430" s="2">
        <f>IFERROR(__xludf.DUMMYFUNCTION("""COMPUTED_VALUE"""),2028.64)</f>
        <v>2028.64</v>
      </c>
      <c r="E430" s="2">
        <f>IFERROR(__xludf.DUMMYFUNCTION("""COMPUTED_VALUE"""),2145.68)</f>
        <v>2145.68</v>
      </c>
      <c r="F430" s="2">
        <f>IFERROR(__xludf.DUMMYFUNCTION("""COMPUTED_VALUE"""),1.588597E8)</f>
        <v>158859700</v>
      </c>
      <c r="G430" s="2">
        <f t="shared" si="1"/>
        <v>156.05</v>
      </c>
    </row>
    <row r="431" ht="15.75" customHeight="1">
      <c r="A431" s="1">
        <f>IFERROR(__xludf.DUMMYFUNCTION("""COMPUTED_VALUE"""),44476.625)</f>
        <v>44476.625</v>
      </c>
      <c r="B431" s="2">
        <f>IFERROR(__xludf.DUMMYFUNCTION("""COMPUTED_VALUE"""),2165.19)</f>
        <v>2165.19</v>
      </c>
      <c r="C431" s="2">
        <f>IFERROR(__xludf.DUMMYFUNCTION("""COMPUTED_VALUE"""),2213.95)</f>
        <v>2213.95</v>
      </c>
      <c r="D431" s="2">
        <f>IFERROR(__xludf.DUMMYFUNCTION("""COMPUTED_VALUE"""),2087.16)</f>
        <v>2087.16</v>
      </c>
      <c r="E431" s="2">
        <f>IFERROR(__xludf.DUMMYFUNCTION("""COMPUTED_VALUE"""),2087.16)</f>
        <v>2087.16</v>
      </c>
      <c r="F431" s="2">
        <f>IFERROR(__xludf.DUMMYFUNCTION("""COMPUTED_VALUE"""),7.83786E7)</f>
        <v>78378600</v>
      </c>
      <c r="G431" s="2">
        <f t="shared" si="1"/>
        <v>126.79</v>
      </c>
    </row>
    <row r="432" ht="15.75" customHeight="1">
      <c r="A432" s="1">
        <f>IFERROR(__xludf.DUMMYFUNCTION("""COMPUTED_VALUE"""),44477.625)</f>
        <v>44477.625</v>
      </c>
      <c r="B432" s="2">
        <f>IFERROR(__xludf.DUMMYFUNCTION("""COMPUTED_VALUE"""),2106.67)</f>
        <v>2106.67</v>
      </c>
      <c r="C432" s="2">
        <f>IFERROR(__xludf.DUMMYFUNCTION("""COMPUTED_VALUE"""),2126.17)</f>
        <v>2126.17</v>
      </c>
      <c r="D432" s="2">
        <f>IFERROR(__xludf.DUMMYFUNCTION("""COMPUTED_VALUE"""),2057.9)</f>
        <v>2057.9</v>
      </c>
      <c r="E432" s="2">
        <f>IFERROR(__xludf.DUMMYFUNCTION("""COMPUTED_VALUE"""),2096.91)</f>
        <v>2096.91</v>
      </c>
      <c r="F432" s="2">
        <f>IFERROR(__xludf.DUMMYFUNCTION("""COMPUTED_VALUE"""),3.03497E7)</f>
        <v>30349700</v>
      </c>
      <c r="G432" s="2">
        <f t="shared" si="1"/>
        <v>68.27</v>
      </c>
    </row>
    <row r="433" ht="15.75" customHeight="1">
      <c r="A433" s="1">
        <f>IFERROR(__xludf.DUMMYFUNCTION("""COMPUTED_VALUE"""),44480.625)</f>
        <v>44480.625</v>
      </c>
      <c r="B433" s="2">
        <f>IFERROR(__xludf.DUMMYFUNCTION("""COMPUTED_VALUE"""),2096.91)</f>
        <v>2096.91</v>
      </c>
      <c r="C433" s="2">
        <f>IFERROR(__xludf.DUMMYFUNCTION("""COMPUTED_VALUE"""),2106.67)</f>
        <v>2106.67</v>
      </c>
      <c r="D433" s="2">
        <f>IFERROR(__xludf.DUMMYFUNCTION("""COMPUTED_VALUE"""),2018.89)</f>
        <v>2018.89</v>
      </c>
      <c r="E433" s="2">
        <f>IFERROR(__xludf.DUMMYFUNCTION("""COMPUTED_VALUE"""),2038.4)</f>
        <v>2038.4</v>
      </c>
      <c r="F433" s="2">
        <f>IFERROR(__xludf.DUMMYFUNCTION("""COMPUTED_VALUE"""),4.58494E7)</f>
        <v>45849400</v>
      </c>
      <c r="G433" s="2">
        <f t="shared" si="1"/>
        <v>87.78</v>
      </c>
    </row>
    <row r="434" ht="15.75" customHeight="1">
      <c r="A434" s="1">
        <f>IFERROR(__xludf.DUMMYFUNCTION("""COMPUTED_VALUE"""),44481.66666666667)</f>
        <v>44481.66667</v>
      </c>
      <c r="B434" s="2">
        <f>IFERROR(__xludf.DUMMYFUNCTION("""COMPUTED_VALUE"""),2057.9)</f>
        <v>2057.9</v>
      </c>
      <c r="C434" s="2">
        <f>IFERROR(__xludf.DUMMYFUNCTION("""COMPUTED_VALUE"""),2067.65)</f>
        <v>2067.65</v>
      </c>
      <c r="D434" s="2">
        <f>IFERROR(__xludf.DUMMYFUNCTION("""COMPUTED_VALUE"""),2018.89)</f>
        <v>2018.89</v>
      </c>
      <c r="E434" s="2">
        <f>IFERROR(__xludf.DUMMYFUNCTION("""COMPUTED_VALUE"""),2028.64)</f>
        <v>2028.64</v>
      </c>
      <c r="F434" s="2">
        <f>IFERROR(__xludf.DUMMYFUNCTION("""COMPUTED_VALUE"""),2.58229E7)</f>
        <v>25822900</v>
      </c>
      <c r="G434" s="2">
        <f t="shared" si="1"/>
        <v>48.76</v>
      </c>
    </row>
    <row r="435" ht="15.75" customHeight="1">
      <c r="A435" s="1">
        <f>IFERROR(__xludf.DUMMYFUNCTION("""COMPUTED_VALUE"""),44482.625)</f>
        <v>44482.625</v>
      </c>
      <c r="B435" s="2">
        <f>IFERROR(__xludf.DUMMYFUNCTION("""COMPUTED_VALUE"""),2048.15)</f>
        <v>2048.15</v>
      </c>
      <c r="C435" s="2">
        <f>IFERROR(__xludf.DUMMYFUNCTION("""COMPUTED_VALUE"""),2067.65)</f>
        <v>2067.65</v>
      </c>
      <c r="D435" s="2">
        <f>IFERROR(__xludf.DUMMYFUNCTION("""COMPUTED_VALUE"""),2018.89)</f>
        <v>2018.89</v>
      </c>
      <c r="E435" s="2">
        <f>IFERROR(__xludf.DUMMYFUNCTION("""COMPUTED_VALUE"""),2028.64)</f>
        <v>2028.64</v>
      </c>
      <c r="F435" s="2">
        <f>IFERROR(__xludf.DUMMYFUNCTION("""COMPUTED_VALUE"""),2.66795E7)</f>
        <v>26679500</v>
      </c>
      <c r="G435" s="2">
        <f t="shared" si="1"/>
        <v>48.76</v>
      </c>
    </row>
    <row r="436" ht="15.75" customHeight="1">
      <c r="A436" s="1">
        <f>IFERROR(__xludf.DUMMYFUNCTION("""COMPUTED_VALUE"""),44483.66666666667)</f>
        <v>44483.66667</v>
      </c>
      <c r="B436" s="2">
        <f>IFERROR(__xludf.DUMMYFUNCTION("""COMPUTED_VALUE"""),2028.64)</f>
        <v>2028.64</v>
      </c>
      <c r="C436" s="2">
        <f>IFERROR(__xludf.DUMMYFUNCTION("""COMPUTED_VALUE"""),2087.16)</f>
        <v>2087.16</v>
      </c>
      <c r="D436" s="2">
        <f>IFERROR(__xludf.DUMMYFUNCTION("""COMPUTED_VALUE"""),2028.64)</f>
        <v>2028.64</v>
      </c>
      <c r="E436" s="2">
        <f>IFERROR(__xludf.DUMMYFUNCTION("""COMPUTED_VALUE"""),2038.4)</f>
        <v>2038.4</v>
      </c>
      <c r="F436" s="2">
        <f>IFERROR(__xludf.DUMMYFUNCTION("""COMPUTED_VALUE"""),3.50448E7)</f>
        <v>35044800</v>
      </c>
      <c r="G436" s="2">
        <f t="shared" si="1"/>
        <v>58.52</v>
      </c>
    </row>
    <row r="437" ht="15.75" customHeight="1">
      <c r="A437" s="1">
        <f>IFERROR(__xludf.DUMMYFUNCTION("""COMPUTED_VALUE"""),44484.66666666667)</f>
        <v>44484.66667</v>
      </c>
      <c r="B437" s="2">
        <f>IFERROR(__xludf.DUMMYFUNCTION("""COMPUTED_VALUE"""),2028.64)</f>
        <v>2028.64</v>
      </c>
      <c r="C437" s="2">
        <f>IFERROR(__xludf.DUMMYFUNCTION("""COMPUTED_VALUE"""),2096.91)</f>
        <v>2096.91</v>
      </c>
      <c r="D437" s="2">
        <f>IFERROR(__xludf.DUMMYFUNCTION("""COMPUTED_VALUE"""),2028.64)</f>
        <v>2028.64</v>
      </c>
      <c r="E437" s="2">
        <f>IFERROR(__xludf.DUMMYFUNCTION("""COMPUTED_VALUE"""),2077.41)</f>
        <v>2077.41</v>
      </c>
      <c r="F437" s="2">
        <f>IFERROR(__xludf.DUMMYFUNCTION("""COMPUTED_VALUE"""),4.1829E7)</f>
        <v>41829000</v>
      </c>
      <c r="G437" s="2">
        <f t="shared" si="1"/>
        <v>68.27</v>
      </c>
    </row>
    <row r="438" ht="15.75" customHeight="1">
      <c r="A438" s="1">
        <f>IFERROR(__xludf.DUMMYFUNCTION("""COMPUTED_VALUE"""),44487.625)</f>
        <v>44487.625</v>
      </c>
      <c r="B438" s="2">
        <f>IFERROR(__xludf.DUMMYFUNCTION("""COMPUTED_VALUE"""),2077.41)</f>
        <v>2077.41</v>
      </c>
      <c r="C438" s="2">
        <f>IFERROR(__xludf.DUMMYFUNCTION("""COMPUTED_VALUE"""),2233.46)</f>
        <v>2233.46</v>
      </c>
      <c r="D438" s="2">
        <f>IFERROR(__xludf.DUMMYFUNCTION("""COMPUTED_VALUE"""),2077.41)</f>
        <v>2077.41</v>
      </c>
      <c r="E438" s="2">
        <f>IFERROR(__xludf.DUMMYFUNCTION("""COMPUTED_VALUE"""),2194.44)</f>
        <v>2194.44</v>
      </c>
      <c r="F438" s="2">
        <f>IFERROR(__xludf.DUMMYFUNCTION("""COMPUTED_VALUE"""),1.475852E8)</f>
        <v>147585200</v>
      </c>
      <c r="G438" s="2">
        <f t="shared" si="1"/>
        <v>156.05</v>
      </c>
    </row>
    <row r="439" ht="15.75" customHeight="1">
      <c r="A439" s="1">
        <f>IFERROR(__xludf.DUMMYFUNCTION("""COMPUTED_VALUE"""),44488.625)</f>
        <v>44488.625</v>
      </c>
      <c r="B439" s="2">
        <f>IFERROR(__xludf.DUMMYFUNCTION("""COMPUTED_VALUE"""),2204.2)</f>
        <v>2204.2</v>
      </c>
      <c r="C439" s="2">
        <f>IFERROR(__xludf.DUMMYFUNCTION("""COMPUTED_VALUE"""),2233.46)</f>
        <v>2233.46</v>
      </c>
      <c r="D439" s="2">
        <f>IFERROR(__xludf.DUMMYFUNCTION("""COMPUTED_VALUE"""),2135.93)</f>
        <v>2135.93</v>
      </c>
      <c r="E439" s="2">
        <f>IFERROR(__xludf.DUMMYFUNCTION("""COMPUTED_VALUE"""),2155.43)</f>
        <v>2155.43</v>
      </c>
      <c r="F439" s="2">
        <f>IFERROR(__xludf.DUMMYFUNCTION("""COMPUTED_VALUE"""),6.38114E7)</f>
        <v>63811400</v>
      </c>
      <c r="G439" s="2">
        <f t="shared" si="1"/>
        <v>97.53</v>
      </c>
    </row>
    <row r="440" ht="15.75" customHeight="1">
      <c r="A440" s="1">
        <f>IFERROR(__xludf.DUMMYFUNCTION("""COMPUTED_VALUE"""),44490.625)</f>
        <v>44490.625</v>
      </c>
      <c r="B440" s="2">
        <f>IFERROR(__xludf.DUMMYFUNCTION("""COMPUTED_VALUE"""),2165.19)</f>
        <v>2165.19</v>
      </c>
      <c r="C440" s="2">
        <f>IFERROR(__xludf.DUMMYFUNCTION("""COMPUTED_VALUE"""),2204.2)</f>
        <v>2204.2</v>
      </c>
      <c r="D440" s="2">
        <f>IFERROR(__xludf.DUMMYFUNCTION("""COMPUTED_VALUE"""),2087.16)</f>
        <v>2087.16</v>
      </c>
      <c r="E440" s="2">
        <f>IFERROR(__xludf.DUMMYFUNCTION("""COMPUTED_VALUE"""),2096.91)</f>
        <v>2096.91</v>
      </c>
      <c r="F440" s="2">
        <f>IFERROR(__xludf.DUMMYFUNCTION("""COMPUTED_VALUE"""),7.22E7)</f>
        <v>72200000</v>
      </c>
      <c r="G440" s="2">
        <f t="shared" si="1"/>
        <v>117.04</v>
      </c>
    </row>
    <row r="441" ht="15.75" customHeight="1">
      <c r="A441" s="1">
        <f>IFERROR(__xludf.DUMMYFUNCTION("""COMPUTED_VALUE"""),44491.625)</f>
        <v>44491.625</v>
      </c>
      <c r="B441" s="2">
        <f>IFERROR(__xludf.DUMMYFUNCTION("""COMPUTED_VALUE"""),2106.67)</f>
        <v>2106.67</v>
      </c>
      <c r="C441" s="2">
        <f>IFERROR(__xludf.DUMMYFUNCTION("""COMPUTED_VALUE"""),2145.68)</f>
        <v>2145.68</v>
      </c>
      <c r="D441" s="2">
        <f>IFERROR(__xludf.DUMMYFUNCTION("""COMPUTED_VALUE"""),2067.65)</f>
        <v>2067.65</v>
      </c>
      <c r="E441" s="2">
        <f>IFERROR(__xludf.DUMMYFUNCTION("""COMPUTED_VALUE"""),2106.67)</f>
        <v>2106.67</v>
      </c>
      <c r="F441" s="2">
        <f>IFERROR(__xludf.DUMMYFUNCTION("""COMPUTED_VALUE"""),2.58742E7)</f>
        <v>25874200</v>
      </c>
      <c r="G441" s="2">
        <f t="shared" si="1"/>
        <v>78.03</v>
      </c>
    </row>
    <row r="442" ht="15.75" customHeight="1">
      <c r="A442" s="1">
        <f>IFERROR(__xludf.DUMMYFUNCTION("""COMPUTED_VALUE"""),44494.625)</f>
        <v>44494.625</v>
      </c>
      <c r="B442" s="2">
        <f>IFERROR(__xludf.DUMMYFUNCTION("""COMPUTED_VALUE"""),2126.17)</f>
        <v>2126.17</v>
      </c>
      <c r="C442" s="2">
        <f>IFERROR(__xludf.DUMMYFUNCTION("""COMPUTED_VALUE"""),2135.93)</f>
        <v>2135.93</v>
      </c>
      <c r="D442" s="2">
        <f>IFERROR(__xludf.DUMMYFUNCTION("""COMPUTED_VALUE"""),2077.41)</f>
        <v>2077.41</v>
      </c>
      <c r="E442" s="2">
        <f>IFERROR(__xludf.DUMMYFUNCTION("""COMPUTED_VALUE"""),2077.41)</f>
        <v>2077.41</v>
      </c>
      <c r="F442" s="2">
        <f>IFERROR(__xludf.DUMMYFUNCTION("""COMPUTED_VALUE"""),2.47234E7)</f>
        <v>24723400</v>
      </c>
      <c r="G442" s="2">
        <f t="shared" si="1"/>
        <v>58.52</v>
      </c>
    </row>
    <row r="443" ht="15.75" customHeight="1">
      <c r="A443" s="1">
        <f>IFERROR(__xludf.DUMMYFUNCTION("""COMPUTED_VALUE"""),44495.625)</f>
        <v>44495.625</v>
      </c>
      <c r="B443" s="2">
        <f>IFERROR(__xludf.DUMMYFUNCTION("""COMPUTED_VALUE"""),2087.16)</f>
        <v>2087.16</v>
      </c>
      <c r="C443" s="2">
        <f>IFERROR(__xludf.DUMMYFUNCTION("""COMPUTED_VALUE"""),2145.68)</f>
        <v>2145.68</v>
      </c>
      <c r="D443" s="2">
        <f>IFERROR(__xludf.DUMMYFUNCTION("""COMPUTED_VALUE"""),2077.41)</f>
        <v>2077.41</v>
      </c>
      <c r="E443" s="2">
        <f>IFERROR(__xludf.DUMMYFUNCTION("""COMPUTED_VALUE"""),2096.91)</f>
        <v>2096.91</v>
      </c>
      <c r="F443" s="2">
        <f>IFERROR(__xludf.DUMMYFUNCTION("""COMPUTED_VALUE"""),3.54855E7)</f>
        <v>35485500</v>
      </c>
      <c r="G443" s="2">
        <f t="shared" si="1"/>
        <v>68.27</v>
      </c>
    </row>
    <row r="444" ht="15.75" customHeight="1">
      <c r="A444" s="1">
        <f>IFERROR(__xludf.DUMMYFUNCTION("""COMPUTED_VALUE"""),44496.625)</f>
        <v>44496.625</v>
      </c>
      <c r="B444" s="2">
        <f>IFERROR(__xludf.DUMMYFUNCTION("""COMPUTED_VALUE"""),2106.67)</f>
        <v>2106.67</v>
      </c>
      <c r="C444" s="2">
        <f>IFERROR(__xludf.DUMMYFUNCTION("""COMPUTED_VALUE"""),2116.42)</f>
        <v>2116.42</v>
      </c>
      <c r="D444" s="2">
        <f>IFERROR(__xludf.DUMMYFUNCTION("""COMPUTED_VALUE"""),2077.41)</f>
        <v>2077.41</v>
      </c>
      <c r="E444" s="2">
        <f>IFERROR(__xludf.DUMMYFUNCTION("""COMPUTED_VALUE"""),2087.16)</f>
        <v>2087.16</v>
      </c>
      <c r="F444" s="2">
        <f>IFERROR(__xludf.DUMMYFUNCTION("""COMPUTED_VALUE"""),1.66645E7)</f>
        <v>16664500</v>
      </c>
      <c r="G444" s="2">
        <f t="shared" si="1"/>
        <v>39.01</v>
      </c>
    </row>
    <row r="445" ht="15.75" customHeight="1">
      <c r="A445" s="1">
        <f>IFERROR(__xludf.DUMMYFUNCTION("""COMPUTED_VALUE"""),44497.625)</f>
        <v>44497.625</v>
      </c>
      <c r="B445" s="2">
        <f>IFERROR(__xludf.DUMMYFUNCTION("""COMPUTED_VALUE"""),2087.16)</f>
        <v>2087.16</v>
      </c>
      <c r="C445" s="2">
        <f>IFERROR(__xludf.DUMMYFUNCTION("""COMPUTED_VALUE"""),2096.91)</f>
        <v>2096.91</v>
      </c>
      <c r="D445" s="2">
        <f>IFERROR(__xludf.DUMMYFUNCTION("""COMPUTED_VALUE"""),2009.14)</f>
        <v>2009.14</v>
      </c>
      <c r="E445" s="2">
        <f>IFERROR(__xludf.DUMMYFUNCTION("""COMPUTED_VALUE"""),2028.64)</f>
        <v>2028.64</v>
      </c>
      <c r="F445" s="2">
        <f>IFERROR(__xludf.DUMMYFUNCTION("""COMPUTED_VALUE"""),5.07557E7)</f>
        <v>50755700</v>
      </c>
      <c r="G445" s="2">
        <f t="shared" si="1"/>
        <v>87.77</v>
      </c>
    </row>
    <row r="446" ht="15.75" customHeight="1">
      <c r="A446" s="1">
        <f>IFERROR(__xludf.DUMMYFUNCTION("""COMPUTED_VALUE"""),44498.625)</f>
        <v>44498.625</v>
      </c>
      <c r="B446" s="2">
        <f>IFERROR(__xludf.DUMMYFUNCTION("""COMPUTED_VALUE"""),2048.15)</f>
        <v>2048.15</v>
      </c>
      <c r="C446" s="2">
        <f>IFERROR(__xludf.DUMMYFUNCTION("""COMPUTED_VALUE"""),2077.41)</f>
        <v>2077.41</v>
      </c>
      <c r="D446" s="2">
        <f>IFERROR(__xludf.DUMMYFUNCTION("""COMPUTED_VALUE"""),2028.64)</f>
        <v>2028.64</v>
      </c>
      <c r="E446" s="2">
        <f>IFERROR(__xludf.DUMMYFUNCTION("""COMPUTED_VALUE"""),2057.9)</f>
        <v>2057.9</v>
      </c>
      <c r="F446" s="2">
        <f>IFERROR(__xludf.DUMMYFUNCTION("""COMPUTED_VALUE"""),2.61253E7)</f>
        <v>26125300</v>
      </c>
      <c r="G446" s="2">
        <f t="shared" si="1"/>
        <v>48.77</v>
      </c>
    </row>
    <row r="447" ht="15.75" customHeight="1">
      <c r="A447" s="1">
        <f>IFERROR(__xludf.DUMMYFUNCTION("""COMPUTED_VALUE"""),44501.625)</f>
        <v>44501.625</v>
      </c>
      <c r="B447" s="2">
        <f>IFERROR(__xludf.DUMMYFUNCTION("""COMPUTED_VALUE"""),2057.9)</f>
        <v>2057.9</v>
      </c>
      <c r="C447" s="2">
        <f>IFERROR(__xludf.DUMMYFUNCTION("""COMPUTED_VALUE"""),2077.41)</f>
        <v>2077.41</v>
      </c>
      <c r="D447" s="2">
        <f>IFERROR(__xludf.DUMMYFUNCTION("""COMPUTED_VALUE"""),2028.64)</f>
        <v>2028.64</v>
      </c>
      <c r="E447" s="2">
        <f>IFERROR(__xludf.DUMMYFUNCTION("""COMPUTED_VALUE"""),2038.4)</f>
        <v>2038.4</v>
      </c>
      <c r="F447" s="2">
        <f>IFERROR(__xludf.DUMMYFUNCTION("""COMPUTED_VALUE"""),1.63106E7)</f>
        <v>16310600</v>
      </c>
      <c r="G447" s="2">
        <f t="shared" si="1"/>
        <v>48.77</v>
      </c>
    </row>
    <row r="448" ht="15.75" customHeight="1">
      <c r="A448" s="1">
        <f>IFERROR(__xludf.DUMMYFUNCTION("""COMPUTED_VALUE"""),44502.625)</f>
        <v>44502.625</v>
      </c>
      <c r="B448" s="2">
        <f>IFERROR(__xludf.DUMMYFUNCTION("""COMPUTED_VALUE"""),2038.4)</f>
        <v>2038.4</v>
      </c>
      <c r="C448" s="2">
        <f>IFERROR(__xludf.DUMMYFUNCTION("""COMPUTED_VALUE"""),2057.9)</f>
        <v>2057.9</v>
      </c>
      <c r="D448" s="2">
        <f>IFERROR(__xludf.DUMMYFUNCTION("""COMPUTED_VALUE"""),1999.38)</f>
        <v>1999.38</v>
      </c>
      <c r="E448" s="2">
        <f>IFERROR(__xludf.DUMMYFUNCTION("""COMPUTED_VALUE"""),2018.89)</f>
        <v>2018.89</v>
      </c>
      <c r="F448" s="2">
        <f>IFERROR(__xludf.DUMMYFUNCTION("""COMPUTED_VALUE"""),2.1673E7)</f>
        <v>21673000</v>
      </c>
      <c r="G448" s="2">
        <f t="shared" si="1"/>
        <v>58.52</v>
      </c>
    </row>
    <row r="449" ht="15.75" customHeight="1">
      <c r="A449" s="1">
        <f>IFERROR(__xludf.DUMMYFUNCTION("""COMPUTED_VALUE"""),44503.625)</f>
        <v>44503.625</v>
      </c>
      <c r="B449" s="2">
        <f>IFERROR(__xludf.DUMMYFUNCTION("""COMPUTED_VALUE"""),2028.64)</f>
        <v>2028.64</v>
      </c>
      <c r="C449" s="2">
        <f>IFERROR(__xludf.DUMMYFUNCTION("""COMPUTED_VALUE"""),2048.15)</f>
        <v>2048.15</v>
      </c>
      <c r="D449" s="2">
        <f>IFERROR(__xludf.DUMMYFUNCTION("""COMPUTED_VALUE"""),2009.14)</f>
        <v>2009.14</v>
      </c>
      <c r="E449" s="2">
        <f>IFERROR(__xludf.DUMMYFUNCTION("""COMPUTED_VALUE"""),2038.4)</f>
        <v>2038.4</v>
      </c>
      <c r="F449" s="2">
        <f>IFERROR(__xludf.DUMMYFUNCTION("""COMPUTED_VALUE"""),1.57153E7)</f>
        <v>15715300</v>
      </c>
      <c r="G449" s="2">
        <f t="shared" si="1"/>
        <v>39.01</v>
      </c>
    </row>
    <row r="450" ht="15.75" customHeight="1">
      <c r="A450" s="1">
        <f>IFERROR(__xludf.DUMMYFUNCTION("""COMPUTED_VALUE"""),44504.66666666667)</f>
        <v>44504.66667</v>
      </c>
      <c r="B450" s="2">
        <f>IFERROR(__xludf.DUMMYFUNCTION("""COMPUTED_VALUE"""),2038.4)</f>
        <v>2038.4</v>
      </c>
      <c r="C450" s="2">
        <f>IFERROR(__xludf.DUMMYFUNCTION("""COMPUTED_VALUE"""),2067.65)</f>
        <v>2067.65</v>
      </c>
      <c r="D450" s="2">
        <f>IFERROR(__xludf.DUMMYFUNCTION("""COMPUTED_VALUE"""),2009.14)</f>
        <v>2009.14</v>
      </c>
      <c r="E450" s="2">
        <f>IFERROR(__xludf.DUMMYFUNCTION("""COMPUTED_VALUE"""),2009.14)</f>
        <v>2009.14</v>
      </c>
      <c r="F450" s="2">
        <f>IFERROR(__xludf.DUMMYFUNCTION("""COMPUTED_VALUE"""),4.38938E7)</f>
        <v>43893800</v>
      </c>
      <c r="G450" s="2">
        <f t="shared" si="1"/>
        <v>58.51</v>
      </c>
    </row>
    <row r="451" ht="15.75" customHeight="1">
      <c r="A451" s="1">
        <f>IFERROR(__xludf.DUMMYFUNCTION("""COMPUTED_VALUE"""),44505.625)</f>
        <v>44505.625</v>
      </c>
      <c r="B451" s="2">
        <f>IFERROR(__xludf.DUMMYFUNCTION("""COMPUTED_VALUE"""),2018.89)</f>
        <v>2018.89</v>
      </c>
      <c r="C451" s="2">
        <f>IFERROR(__xludf.DUMMYFUNCTION("""COMPUTED_VALUE"""),2048.15)</f>
        <v>2048.15</v>
      </c>
      <c r="D451" s="2">
        <f>IFERROR(__xludf.DUMMYFUNCTION("""COMPUTED_VALUE"""),2009.14)</f>
        <v>2009.14</v>
      </c>
      <c r="E451" s="2">
        <f>IFERROR(__xludf.DUMMYFUNCTION("""COMPUTED_VALUE"""),2028.64)</f>
        <v>2028.64</v>
      </c>
      <c r="F451" s="2">
        <f>IFERROR(__xludf.DUMMYFUNCTION("""COMPUTED_VALUE"""),1.59929E7)</f>
        <v>15992900</v>
      </c>
      <c r="G451" s="2">
        <f t="shared" si="1"/>
        <v>39.01</v>
      </c>
    </row>
    <row r="452" ht="15.75" customHeight="1">
      <c r="A452" s="1">
        <f>IFERROR(__xludf.DUMMYFUNCTION("""COMPUTED_VALUE"""),44508.625)</f>
        <v>44508.625</v>
      </c>
      <c r="B452" s="2">
        <f>IFERROR(__xludf.DUMMYFUNCTION("""COMPUTED_VALUE"""),2038.4)</f>
        <v>2038.4</v>
      </c>
      <c r="C452" s="2">
        <f>IFERROR(__xludf.DUMMYFUNCTION("""COMPUTED_VALUE"""),2087.16)</f>
        <v>2087.16</v>
      </c>
      <c r="D452" s="2">
        <f>IFERROR(__xludf.DUMMYFUNCTION("""COMPUTED_VALUE"""),2028.64)</f>
        <v>2028.64</v>
      </c>
      <c r="E452" s="2">
        <f>IFERROR(__xludf.DUMMYFUNCTION("""COMPUTED_VALUE"""),2038.4)</f>
        <v>2038.4</v>
      </c>
      <c r="F452" s="2">
        <f>IFERROR(__xludf.DUMMYFUNCTION("""COMPUTED_VALUE"""),4.65944E7)</f>
        <v>46594400</v>
      </c>
      <c r="G452" s="2">
        <f t="shared" si="1"/>
        <v>58.52</v>
      </c>
    </row>
    <row r="453" ht="15.75" customHeight="1">
      <c r="A453" s="1">
        <f>IFERROR(__xludf.DUMMYFUNCTION("""COMPUTED_VALUE"""),44509.625)</f>
        <v>44509.625</v>
      </c>
      <c r="B453" s="2">
        <f>IFERROR(__xludf.DUMMYFUNCTION("""COMPUTED_VALUE"""),2038.4)</f>
        <v>2038.4</v>
      </c>
      <c r="C453" s="2">
        <f>IFERROR(__xludf.DUMMYFUNCTION("""COMPUTED_VALUE"""),2057.9)</f>
        <v>2057.9</v>
      </c>
      <c r="D453" s="2">
        <f>IFERROR(__xludf.DUMMYFUNCTION("""COMPUTED_VALUE"""),2018.89)</f>
        <v>2018.89</v>
      </c>
      <c r="E453" s="2">
        <f>IFERROR(__xludf.DUMMYFUNCTION("""COMPUTED_VALUE"""),2028.64)</f>
        <v>2028.64</v>
      </c>
      <c r="F453" s="2">
        <f>IFERROR(__xludf.DUMMYFUNCTION("""COMPUTED_VALUE"""),2.06086E7)</f>
        <v>20608600</v>
      </c>
      <c r="G453" s="2">
        <f t="shared" si="1"/>
        <v>39.01</v>
      </c>
    </row>
    <row r="454" ht="15.75" customHeight="1">
      <c r="A454" s="1">
        <f>IFERROR(__xludf.DUMMYFUNCTION("""COMPUTED_VALUE"""),44510.625)</f>
        <v>44510.625</v>
      </c>
      <c r="B454" s="2">
        <f>IFERROR(__xludf.DUMMYFUNCTION("""COMPUTED_VALUE"""),2028.64)</f>
        <v>2028.64</v>
      </c>
      <c r="C454" s="2">
        <f>IFERROR(__xludf.DUMMYFUNCTION("""COMPUTED_VALUE"""),2038.4)</f>
        <v>2038.4</v>
      </c>
      <c r="D454" s="2">
        <f>IFERROR(__xludf.DUMMYFUNCTION("""COMPUTED_VALUE"""),2018.89)</f>
        <v>2018.89</v>
      </c>
      <c r="E454" s="2">
        <f>IFERROR(__xludf.DUMMYFUNCTION("""COMPUTED_VALUE"""),2028.64)</f>
        <v>2028.64</v>
      </c>
      <c r="F454" s="2">
        <f>IFERROR(__xludf.DUMMYFUNCTION("""COMPUTED_VALUE"""),9887100.0)</f>
        <v>9887100</v>
      </c>
      <c r="G454" s="2">
        <f t="shared" si="1"/>
        <v>19.51</v>
      </c>
    </row>
    <row r="455" ht="15.75" customHeight="1">
      <c r="A455" s="1">
        <f>IFERROR(__xludf.DUMMYFUNCTION("""COMPUTED_VALUE"""),44511.625)</f>
        <v>44511.625</v>
      </c>
      <c r="B455" s="2">
        <f>IFERROR(__xludf.DUMMYFUNCTION("""COMPUTED_VALUE"""),2028.64)</f>
        <v>2028.64</v>
      </c>
      <c r="C455" s="2">
        <f>IFERROR(__xludf.DUMMYFUNCTION("""COMPUTED_VALUE"""),2038.4)</f>
        <v>2038.4</v>
      </c>
      <c r="D455" s="2">
        <f>IFERROR(__xludf.DUMMYFUNCTION("""COMPUTED_VALUE"""),2009.14)</f>
        <v>2009.14</v>
      </c>
      <c r="E455" s="2">
        <f>IFERROR(__xludf.DUMMYFUNCTION("""COMPUTED_VALUE"""),2018.89)</f>
        <v>2018.89</v>
      </c>
      <c r="F455" s="2">
        <f>IFERROR(__xludf.DUMMYFUNCTION("""COMPUTED_VALUE"""),1.66862E7)</f>
        <v>16686200</v>
      </c>
      <c r="G455" s="2">
        <f t="shared" si="1"/>
        <v>29.26</v>
      </c>
    </row>
    <row r="456" ht="15.75" customHeight="1">
      <c r="A456" s="1">
        <f>IFERROR(__xludf.DUMMYFUNCTION("""COMPUTED_VALUE"""),44512.625)</f>
        <v>44512.625</v>
      </c>
      <c r="B456" s="2">
        <f>IFERROR(__xludf.DUMMYFUNCTION("""COMPUTED_VALUE"""),2028.64)</f>
        <v>2028.64</v>
      </c>
      <c r="C456" s="2">
        <f>IFERROR(__xludf.DUMMYFUNCTION("""COMPUTED_VALUE"""),2038.4)</f>
        <v>2038.4</v>
      </c>
      <c r="D456" s="2">
        <f>IFERROR(__xludf.DUMMYFUNCTION("""COMPUTED_VALUE"""),2009.14)</f>
        <v>2009.14</v>
      </c>
      <c r="E456" s="2">
        <f>IFERROR(__xludf.DUMMYFUNCTION("""COMPUTED_VALUE"""),2009.14)</f>
        <v>2009.14</v>
      </c>
      <c r="F456" s="2">
        <f>IFERROR(__xludf.DUMMYFUNCTION("""COMPUTED_VALUE"""),1.41453E7)</f>
        <v>14145300</v>
      </c>
      <c r="G456" s="2">
        <f t="shared" si="1"/>
        <v>29.26</v>
      </c>
    </row>
    <row r="457" ht="15.75" customHeight="1">
      <c r="A457" s="1">
        <f>IFERROR(__xludf.DUMMYFUNCTION("""COMPUTED_VALUE"""),44515.625)</f>
        <v>44515.625</v>
      </c>
      <c r="B457" s="2">
        <f>IFERROR(__xludf.DUMMYFUNCTION("""COMPUTED_VALUE"""),2009.14)</f>
        <v>2009.14</v>
      </c>
      <c r="C457" s="2">
        <f>IFERROR(__xludf.DUMMYFUNCTION("""COMPUTED_VALUE"""),2028.64)</f>
        <v>2028.64</v>
      </c>
      <c r="D457" s="2">
        <f>IFERROR(__xludf.DUMMYFUNCTION("""COMPUTED_VALUE"""),2009.14)</f>
        <v>2009.14</v>
      </c>
      <c r="E457" s="2">
        <f>IFERROR(__xludf.DUMMYFUNCTION("""COMPUTED_VALUE"""),2018.89)</f>
        <v>2018.89</v>
      </c>
      <c r="F457" s="2">
        <f>IFERROR(__xludf.DUMMYFUNCTION("""COMPUTED_VALUE"""),1.04938E7)</f>
        <v>10493800</v>
      </c>
      <c r="G457" s="2">
        <f t="shared" si="1"/>
        <v>19.5</v>
      </c>
    </row>
    <row r="458" ht="15.75" customHeight="1">
      <c r="A458" s="1">
        <f>IFERROR(__xludf.DUMMYFUNCTION("""COMPUTED_VALUE"""),44516.625)</f>
        <v>44516.625</v>
      </c>
      <c r="B458" s="2">
        <f>IFERROR(__xludf.DUMMYFUNCTION("""COMPUTED_VALUE"""),2018.89)</f>
        <v>2018.89</v>
      </c>
      <c r="C458" s="2">
        <f>IFERROR(__xludf.DUMMYFUNCTION("""COMPUTED_VALUE"""),2077.41)</f>
        <v>2077.41</v>
      </c>
      <c r="D458" s="2">
        <f>IFERROR(__xludf.DUMMYFUNCTION("""COMPUTED_VALUE"""),2009.14)</f>
        <v>2009.14</v>
      </c>
      <c r="E458" s="2">
        <f>IFERROR(__xludf.DUMMYFUNCTION("""COMPUTED_VALUE"""),2038.4)</f>
        <v>2038.4</v>
      </c>
      <c r="F458" s="2">
        <f>IFERROR(__xludf.DUMMYFUNCTION("""COMPUTED_VALUE"""),3.80887E7)</f>
        <v>38088700</v>
      </c>
      <c r="G458" s="2">
        <f t="shared" si="1"/>
        <v>68.27</v>
      </c>
    </row>
    <row r="459" ht="15.75" customHeight="1">
      <c r="A459" s="1">
        <f>IFERROR(__xludf.DUMMYFUNCTION("""COMPUTED_VALUE"""),44517.625)</f>
        <v>44517.625</v>
      </c>
      <c r="B459" s="2">
        <f>IFERROR(__xludf.DUMMYFUNCTION("""COMPUTED_VALUE"""),2048.15)</f>
        <v>2048.15</v>
      </c>
      <c r="C459" s="2">
        <f>IFERROR(__xludf.DUMMYFUNCTION("""COMPUTED_VALUE"""),2057.9)</f>
        <v>2057.9</v>
      </c>
      <c r="D459" s="2">
        <f>IFERROR(__xludf.DUMMYFUNCTION("""COMPUTED_VALUE"""),2018.89)</f>
        <v>2018.89</v>
      </c>
      <c r="E459" s="2">
        <f>IFERROR(__xludf.DUMMYFUNCTION("""COMPUTED_VALUE"""),2028.64)</f>
        <v>2028.64</v>
      </c>
      <c r="F459" s="2">
        <f>IFERROR(__xludf.DUMMYFUNCTION("""COMPUTED_VALUE"""),1.37192E7)</f>
        <v>13719200</v>
      </c>
      <c r="G459" s="2">
        <f t="shared" si="1"/>
        <v>39.01</v>
      </c>
    </row>
    <row r="460" ht="15.75" customHeight="1">
      <c r="A460" s="1">
        <f>IFERROR(__xludf.DUMMYFUNCTION("""COMPUTED_VALUE"""),44518.625)</f>
        <v>44518.625</v>
      </c>
      <c r="B460" s="2">
        <f>IFERROR(__xludf.DUMMYFUNCTION("""COMPUTED_VALUE"""),2028.64)</f>
        <v>2028.64</v>
      </c>
      <c r="C460" s="2">
        <f>IFERROR(__xludf.DUMMYFUNCTION("""COMPUTED_VALUE"""),2048.15)</f>
        <v>2048.15</v>
      </c>
      <c r="D460" s="2">
        <f>IFERROR(__xludf.DUMMYFUNCTION("""COMPUTED_VALUE"""),2009.14)</f>
        <v>2009.14</v>
      </c>
      <c r="E460" s="2">
        <f>IFERROR(__xludf.DUMMYFUNCTION("""COMPUTED_VALUE"""),2018.89)</f>
        <v>2018.89</v>
      </c>
      <c r="F460" s="2">
        <f>IFERROR(__xludf.DUMMYFUNCTION("""COMPUTED_VALUE"""),1.59446E7)</f>
        <v>15944600</v>
      </c>
      <c r="G460" s="2">
        <f t="shared" si="1"/>
        <v>39.01</v>
      </c>
    </row>
    <row r="461" ht="15.75" customHeight="1">
      <c r="A461" s="1">
        <f>IFERROR(__xludf.DUMMYFUNCTION("""COMPUTED_VALUE"""),44519.625)</f>
        <v>44519.625</v>
      </c>
      <c r="B461" s="2">
        <f>IFERROR(__xludf.DUMMYFUNCTION("""COMPUTED_VALUE"""),2048.15)</f>
        <v>2048.15</v>
      </c>
      <c r="C461" s="2">
        <f>IFERROR(__xludf.DUMMYFUNCTION("""COMPUTED_VALUE"""),2048.15)</f>
        <v>2048.15</v>
      </c>
      <c r="D461" s="2">
        <f>IFERROR(__xludf.DUMMYFUNCTION("""COMPUTED_VALUE"""),2009.14)</f>
        <v>2009.14</v>
      </c>
      <c r="E461" s="2">
        <f>IFERROR(__xludf.DUMMYFUNCTION("""COMPUTED_VALUE"""),2018.89)</f>
        <v>2018.89</v>
      </c>
      <c r="F461" s="2">
        <f>IFERROR(__xludf.DUMMYFUNCTION("""COMPUTED_VALUE"""),1.56225E7)</f>
        <v>15622500</v>
      </c>
      <c r="G461" s="2">
        <f t="shared" si="1"/>
        <v>39.01</v>
      </c>
    </row>
    <row r="462" ht="15.75" customHeight="1">
      <c r="A462" s="1">
        <f>IFERROR(__xludf.DUMMYFUNCTION("""COMPUTED_VALUE"""),44522.625)</f>
        <v>44522.625</v>
      </c>
      <c r="B462" s="2">
        <f>IFERROR(__xludf.DUMMYFUNCTION("""COMPUTED_VALUE"""),2018.89)</f>
        <v>2018.89</v>
      </c>
      <c r="C462" s="2">
        <f>IFERROR(__xludf.DUMMYFUNCTION("""COMPUTED_VALUE"""),2028.64)</f>
        <v>2028.64</v>
      </c>
      <c r="D462" s="2">
        <f>IFERROR(__xludf.DUMMYFUNCTION("""COMPUTED_VALUE"""),1989.63)</f>
        <v>1989.63</v>
      </c>
      <c r="E462" s="2">
        <f>IFERROR(__xludf.DUMMYFUNCTION("""COMPUTED_VALUE"""),2009.14)</f>
        <v>2009.14</v>
      </c>
      <c r="F462" s="2">
        <f>IFERROR(__xludf.DUMMYFUNCTION("""COMPUTED_VALUE"""),2.8985E7)</f>
        <v>28985000</v>
      </c>
      <c r="G462" s="2">
        <f t="shared" si="1"/>
        <v>39.01</v>
      </c>
    </row>
    <row r="463" ht="15.75" customHeight="1">
      <c r="A463" s="1">
        <f>IFERROR(__xludf.DUMMYFUNCTION("""COMPUTED_VALUE"""),44523.625)</f>
        <v>44523.625</v>
      </c>
      <c r="B463" s="2">
        <f>IFERROR(__xludf.DUMMYFUNCTION("""COMPUTED_VALUE"""),2009.14)</f>
        <v>2009.14</v>
      </c>
      <c r="C463" s="2">
        <f>IFERROR(__xludf.DUMMYFUNCTION("""COMPUTED_VALUE"""),2018.89)</f>
        <v>2018.89</v>
      </c>
      <c r="D463" s="2">
        <f>IFERROR(__xludf.DUMMYFUNCTION("""COMPUTED_VALUE"""),1989.63)</f>
        <v>1989.63</v>
      </c>
      <c r="E463" s="2">
        <f>IFERROR(__xludf.DUMMYFUNCTION("""COMPUTED_VALUE"""),1999.38)</f>
        <v>1999.38</v>
      </c>
      <c r="F463" s="2">
        <f>IFERROR(__xludf.DUMMYFUNCTION("""COMPUTED_VALUE"""),1.46295E7)</f>
        <v>14629500</v>
      </c>
      <c r="G463" s="2">
        <f t="shared" si="1"/>
        <v>29.26</v>
      </c>
    </row>
    <row r="464" ht="15.75" customHeight="1">
      <c r="A464" s="1">
        <f>IFERROR(__xludf.DUMMYFUNCTION("""COMPUTED_VALUE"""),44524.625)</f>
        <v>44524.625</v>
      </c>
      <c r="B464" s="2">
        <f>IFERROR(__xludf.DUMMYFUNCTION("""COMPUTED_VALUE"""),1999.38)</f>
        <v>1999.38</v>
      </c>
      <c r="C464" s="2">
        <f>IFERROR(__xludf.DUMMYFUNCTION("""COMPUTED_VALUE"""),2009.14)</f>
        <v>2009.14</v>
      </c>
      <c r="D464" s="2">
        <f>IFERROR(__xludf.DUMMYFUNCTION("""COMPUTED_VALUE"""),1989.63)</f>
        <v>1989.63</v>
      </c>
      <c r="E464" s="2">
        <f>IFERROR(__xludf.DUMMYFUNCTION("""COMPUTED_VALUE"""),1999.38)</f>
        <v>1999.38</v>
      </c>
      <c r="F464" s="2">
        <f>IFERROR(__xludf.DUMMYFUNCTION("""COMPUTED_VALUE"""),9063300.0)</f>
        <v>9063300</v>
      </c>
      <c r="G464" s="2">
        <f t="shared" si="1"/>
        <v>19.51</v>
      </c>
    </row>
    <row r="465" ht="15.75" customHeight="1">
      <c r="A465" s="1">
        <f>IFERROR(__xludf.DUMMYFUNCTION("""COMPUTED_VALUE"""),44525.625)</f>
        <v>44525.625</v>
      </c>
      <c r="B465" s="2">
        <f>IFERROR(__xludf.DUMMYFUNCTION("""COMPUTED_VALUE"""),1999.38)</f>
        <v>1999.38</v>
      </c>
      <c r="C465" s="2">
        <f>IFERROR(__xludf.DUMMYFUNCTION("""COMPUTED_VALUE"""),2018.89)</f>
        <v>2018.89</v>
      </c>
      <c r="D465" s="2">
        <f>IFERROR(__xludf.DUMMYFUNCTION("""COMPUTED_VALUE"""),1999.38)</f>
        <v>1999.38</v>
      </c>
      <c r="E465" s="2">
        <f>IFERROR(__xludf.DUMMYFUNCTION("""COMPUTED_VALUE"""),1999.38)</f>
        <v>1999.38</v>
      </c>
      <c r="F465" s="2">
        <f>IFERROR(__xludf.DUMMYFUNCTION("""COMPUTED_VALUE"""),1.28211E7)</f>
        <v>12821100</v>
      </c>
      <c r="G465" s="2">
        <f t="shared" si="1"/>
        <v>19.51</v>
      </c>
    </row>
    <row r="466" ht="15.75" customHeight="1">
      <c r="A466" s="1">
        <f>IFERROR(__xludf.DUMMYFUNCTION("""COMPUTED_VALUE"""),44526.625)</f>
        <v>44526.625</v>
      </c>
      <c r="B466" s="2">
        <f>IFERROR(__xludf.DUMMYFUNCTION("""COMPUTED_VALUE"""),1999.38)</f>
        <v>1999.38</v>
      </c>
      <c r="C466" s="2">
        <f>IFERROR(__xludf.DUMMYFUNCTION("""COMPUTED_VALUE"""),2009.14)</f>
        <v>2009.14</v>
      </c>
      <c r="D466" s="2">
        <f>IFERROR(__xludf.DUMMYFUNCTION("""COMPUTED_VALUE"""),1950.62)</f>
        <v>1950.62</v>
      </c>
      <c r="E466" s="2">
        <f>IFERROR(__xludf.DUMMYFUNCTION("""COMPUTED_VALUE"""),1960.37)</f>
        <v>1960.37</v>
      </c>
      <c r="F466" s="2">
        <f>IFERROR(__xludf.DUMMYFUNCTION("""COMPUTED_VALUE"""),2.68382E7)</f>
        <v>26838200</v>
      </c>
      <c r="G466" s="2">
        <f t="shared" si="1"/>
        <v>58.52</v>
      </c>
    </row>
    <row r="467" ht="15.75" customHeight="1">
      <c r="A467" s="1">
        <f>IFERROR(__xludf.DUMMYFUNCTION("""COMPUTED_VALUE"""),44529.625)</f>
        <v>44529.625</v>
      </c>
      <c r="B467" s="2">
        <f>IFERROR(__xludf.DUMMYFUNCTION("""COMPUTED_VALUE"""),1950.62)</f>
        <v>1950.62</v>
      </c>
      <c r="C467" s="2">
        <f>IFERROR(__xludf.DUMMYFUNCTION("""COMPUTED_VALUE"""),1970.12)</f>
        <v>1970.12</v>
      </c>
      <c r="D467" s="2">
        <f>IFERROR(__xludf.DUMMYFUNCTION("""COMPUTED_VALUE"""),1892.1)</f>
        <v>1892.1</v>
      </c>
      <c r="E467" s="2">
        <f>IFERROR(__xludf.DUMMYFUNCTION("""COMPUTED_VALUE"""),1916.48)</f>
        <v>1916.48</v>
      </c>
      <c r="F467" s="2">
        <f>IFERROR(__xludf.DUMMYFUNCTION("""COMPUTED_VALUE"""),4.81768E7)</f>
        <v>48176800</v>
      </c>
      <c r="G467" s="2">
        <f t="shared" si="1"/>
        <v>78.02</v>
      </c>
    </row>
    <row r="468" ht="15.75" customHeight="1">
      <c r="A468" s="1">
        <f>IFERROR(__xludf.DUMMYFUNCTION("""COMPUTED_VALUE"""),44530.625)</f>
        <v>44530.625</v>
      </c>
      <c r="B468" s="2">
        <f>IFERROR(__xludf.DUMMYFUNCTION("""COMPUTED_VALUE"""),1916.48)</f>
        <v>1916.48</v>
      </c>
      <c r="C468" s="2">
        <f>IFERROR(__xludf.DUMMYFUNCTION("""COMPUTED_VALUE"""),1935.99)</f>
        <v>1935.99</v>
      </c>
      <c r="D468" s="2">
        <f>IFERROR(__xludf.DUMMYFUNCTION("""COMPUTED_VALUE"""),1896.98)</f>
        <v>1896.98</v>
      </c>
      <c r="E468" s="2">
        <f>IFERROR(__xludf.DUMMYFUNCTION("""COMPUTED_VALUE"""),1906.73)</f>
        <v>1906.73</v>
      </c>
      <c r="F468" s="2">
        <f>IFERROR(__xludf.DUMMYFUNCTION("""COMPUTED_VALUE"""),2.17159E7)</f>
        <v>21715900</v>
      </c>
      <c r="G468" s="2">
        <f t="shared" si="1"/>
        <v>39.01</v>
      </c>
    </row>
    <row r="469" ht="15.75" customHeight="1">
      <c r="A469" s="1">
        <f>IFERROR(__xludf.DUMMYFUNCTION("""COMPUTED_VALUE"""),44531.66666666667)</f>
        <v>44531.66667</v>
      </c>
      <c r="B469" s="2">
        <f>IFERROR(__xludf.DUMMYFUNCTION("""COMPUTED_VALUE"""),1901.85)</f>
        <v>1901.85</v>
      </c>
      <c r="C469" s="2">
        <f>IFERROR(__xludf.DUMMYFUNCTION("""COMPUTED_VALUE"""),1911.61)</f>
        <v>1911.61</v>
      </c>
      <c r="D469" s="2">
        <f>IFERROR(__xludf.DUMMYFUNCTION("""COMPUTED_VALUE"""),1804.32)</f>
        <v>1804.32</v>
      </c>
      <c r="E469" s="2">
        <f>IFERROR(__xludf.DUMMYFUNCTION("""COMPUTED_VALUE"""),1809.2)</f>
        <v>1809.2</v>
      </c>
      <c r="F469" s="2">
        <f>IFERROR(__xludf.DUMMYFUNCTION("""COMPUTED_VALUE"""),5.09556E7)</f>
        <v>50955600</v>
      </c>
      <c r="G469" s="2">
        <f t="shared" si="1"/>
        <v>107.29</v>
      </c>
    </row>
    <row r="470" ht="15.75" customHeight="1">
      <c r="A470" s="1">
        <f>IFERROR(__xludf.DUMMYFUNCTION("""COMPUTED_VALUE"""),44532.66666666667)</f>
        <v>44532.66667</v>
      </c>
      <c r="B470" s="2">
        <f>IFERROR(__xludf.DUMMYFUNCTION("""COMPUTED_VALUE"""),1809.2)</f>
        <v>1809.2</v>
      </c>
      <c r="C470" s="2">
        <f>IFERROR(__xludf.DUMMYFUNCTION("""COMPUTED_VALUE"""),1814.07)</f>
        <v>1814.07</v>
      </c>
      <c r="D470" s="2">
        <f>IFERROR(__xludf.DUMMYFUNCTION("""COMPUTED_VALUE"""),1760.43)</f>
        <v>1760.43</v>
      </c>
      <c r="E470" s="2">
        <f>IFERROR(__xludf.DUMMYFUNCTION("""COMPUTED_VALUE"""),1765.31)</f>
        <v>1765.31</v>
      </c>
      <c r="F470" s="2">
        <f>IFERROR(__xludf.DUMMYFUNCTION("""COMPUTED_VALUE"""),3.81726E7)</f>
        <v>38172600</v>
      </c>
      <c r="G470" s="2">
        <f t="shared" si="1"/>
        <v>53.64</v>
      </c>
    </row>
    <row r="471" ht="15.75" customHeight="1">
      <c r="A471" s="1">
        <f>IFERROR(__xludf.DUMMYFUNCTION("""COMPUTED_VALUE"""),44533.66666666667)</f>
        <v>44533.66667</v>
      </c>
      <c r="B471" s="2">
        <f>IFERROR(__xludf.DUMMYFUNCTION("""COMPUTED_VALUE"""),1765.31)</f>
        <v>1765.31</v>
      </c>
      <c r="C471" s="2">
        <f>IFERROR(__xludf.DUMMYFUNCTION("""COMPUTED_VALUE"""),1862.84)</f>
        <v>1862.84</v>
      </c>
      <c r="D471" s="2">
        <f>IFERROR(__xludf.DUMMYFUNCTION("""COMPUTED_VALUE"""),1765.31)</f>
        <v>1765.31</v>
      </c>
      <c r="E471" s="2">
        <f>IFERROR(__xludf.DUMMYFUNCTION("""COMPUTED_VALUE"""),1828.7)</f>
        <v>1828.7</v>
      </c>
      <c r="F471" s="2">
        <f>IFERROR(__xludf.DUMMYFUNCTION("""COMPUTED_VALUE"""),2.97984E7)</f>
        <v>29798400</v>
      </c>
      <c r="G471" s="2">
        <f t="shared" si="1"/>
        <v>97.53</v>
      </c>
    </row>
    <row r="472" ht="15.75" customHeight="1">
      <c r="A472" s="1">
        <f>IFERROR(__xludf.DUMMYFUNCTION("""COMPUTED_VALUE"""),44536.66666666667)</f>
        <v>44536.66667</v>
      </c>
      <c r="B472" s="2">
        <f>IFERROR(__xludf.DUMMYFUNCTION("""COMPUTED_VALUE"""),1828.7)</f>
        <v>1828.7</v>
      </c>
      <c r="C472" s="2">
        <f>IFERROR(__xludf.DUMMYFUNCTION("""COMPUTED_VALUE"""),1848.21)</f>
        <v>1848.21</v>
      </c>
      <c r="D472" s="2">
        <f>IFERROR(__xludf.DUMMYFUNCTION("""COMPUTED_VALUE"""),1804.32)</f>
        <v>1804.32</v>
      </c>
      <c r="E472" s="2">
        <f>IFERROR(__xludf.DUMMYFUNCTION("""COMPUTED_VALUE"""),1833.58)</f>
        <v>1833.58</v>
      </c>
      <c r="F472" s="2">
        <f>IFERROR(__xludf.DUMMYFUNCTION("""COMPUTED_VALUE"""),1.53591E7)</f>
        <v>15359100</v>
      </c>
      <c r="G472" s="2">
        <f t="shared" si="1"/>
        <v>43.89</v>
      </c>
    </row>
    <row r="473" ht="15.75" customHeight="1">
      <c r="A473" s="1">
        <f>IFERROR(__xludf.DUMMYFUNCTION("""COMPUTED_VALUE"""),44537.66666666667)</f>
        <v>44537.66667</v>
      </c>
      <c r="B473" s="2">
        <f>IFERROR(__xludf.DUMMYFUNCTION("""COMPUTED_VALUE"""),1843.33)</f>
        <v>1843.33</v>
      </c>
      <c r="C473" s="2">
        <f>IFERROR(__xludf.DUMMYFUNCTION("""COMPUTED_VALUE"""),1857.96)</f>
        <v>1857.96</v>
      </c>
      <c r="D473" s="2">
        <f>IFERROR(__xludf.DUMMYFUNCTION("""COMPUTED_VALUE"""),1818.95)</f>
        <v>1818.95</v>
      </c>
      <c r="E473" s="2">
        <f>IFERROR(__xludf.DUMMYFUNCTION("""COMPUTED_VALUE"""),1818.95)</f>
        <v>1818.95</v>
      </c>
      <c r="F473" s="2">
        <f>IFERROR(__xludf.DUMMYFUNCTION("""COMPUTED_VALUE"""),1.60429E7)</f>
        <v>16042900</v>
      </c>
      <c r="G473" s="2">
        <f t="shared" si="1"/>
        <v>39.01</v>
      </c>
    </row>
    <row r="474" ht="15.75" customHeight="1">
      <c r="A474" s="1">
        <f>IFERROR(__xludf.DUMMYFUNCTION("""COMPUTED_VALUE"""),44538.66666666667)</f>
        <v>44538.66667</v>
      </c>
      <c r="B474" s="2">
        <f>IFERROR(__xludf.DUMMYFUNCTION("""COMPUTED_VALUE"""),1823.83)</f>
        <v>1823.83</v>
      </c>
      <c r="C474" s="2">
        <f>IFERROR(__xludf.DUMMYFUNCTION("""COMPUTED_VALUE"""),1901.85)</f>
        <v>1901.85</v>
      </c>
      <c r="D474" s="2">
        <f>IFERROR(__xludf.DUMMYFUNCTION("""COMPUTED_VALUE"""),1823.83)</f>
        <v>1823.83</v>
      </c>
      <c r="E474" s="2">
        <f>IFERROR(__xludf.DUMMYFUNCTION("""COMPUTED_VALUE"""),1867.72)</f>
        <v>1867.72</v>
      </c>
      <c r="F474" s="2">
        <f>IFERROR(__xludf.DUMMYFUNCTION("""COMPUTED_VALUE"""),3.30337E7)</f>
        <v>33033700</v>
      </c>
      <c r="G474" s="2">
        <f t="shared" si="1"/>
        <v>82.9</v>
      </c>
    </row>
    <row r="475" ht="15.75" customHeight="1">
      <c r="A475" s="1">
        <f>IFERROR(__xludf.DUMMYFUNCTION("""COMPUTED_VALUE"""),44539.66666666667)</f>
        <v>44539.66667</v>
      </c>
      <c r="B475" s="2">
        <f>IFERROR(__xludf.DUMMYFUNCTION("""COMPUTED_VALUE"""),1872.59)</f>
        <v>1872.59</v>
      </c>
      <c r="C475" s="2">
        <f>IFERROR(__xludf.DUMMYFUNCTION("""COMPUTED_VALUE"""),1887.22)</f>
        <v>1887.22</v>
      </c>
      <c r="D475" s="2">
        <f>IFERROR(__xludf.DUMMYFUNCTION("""COMPUTED_VALUE"""),1843.33)</f>
        <v>1843.33</v>
      </c>
      <c r="E475" s="2">
        <f>IFERROR(__xludf.DUMMYFUNCTION("""COMPUTED_VALUE"""),1853.09)</f>
        <v>1853.09</v>
      </c>
      <c r="F475" s="2">
        <f>IFERROR(__xludf.DUMMYFUNCTION("""COMPUTED_VALUE"""),1.22178E7)</f>
        <v>12217800</v>
      </c>
      <c r="G475" s="2">
        <f t="shared" si="1"/>
        <v>43.89</v>
      </c>
    </row>
    <row r="476" ht="15.75" customHeight="1">
      <c r="A476" s="1">
        <f>IFERROR(__xludf.DUMMYFUNCTION("""COMPUTED_VALUE"""),44540.66666666667)</f>
        <v>44540.66667</v>
      </c>
      <c r="B476" s="2">
        <f>IFERROR(__xludf.DUMMYFUNCTION("""COMPUTED_VALUE"""),1877.47)</f>
        <v>1877.47</v>
      </c>
      <c r="C476" s="2">
        <f>IFERROR(__xludf.DUMMYFUNCTION("""COMPUTED_VALUE"""),1877.47)</f>
        <v>1877.47</v>
      </c>
      <c r="D476" s="2">
        <f>IFERROR(__xludf.DUMMYFUNCTION("""COMPUTED_VALUE"""),1853.09)</f>
        <v>1853.09</v>
      </c>
      <c r="E476" s="2">
        <f>IFERROR(__xludf.DUMMYFUNCTION("""COMPUTED_VALUE"""),1857.96)</f>
        <v>1857.96</v>
      </c>
      <c r="F476" s="2">
        <f>IFERROR(__xludf.DUMMYFUNCTION("""COMPUTED_VALUE"""),6029600.0)</f>
        <v>6029600</v>
      </c>
      <c r="G476" s="2">
        <f t="shared" si="1"/>
        <v>24.38</v>
      </c>
    </row>
    <row r="477" ht="15.75" customHeight="1">
      <c r="A477" s="1">
        <f>IFERROR(__xludf.DUMMYFUNCTION("""COMPUTED_VALUE"""),44543.66666666667)</f>
        <v>44543.66667</v>
      </c>
      <c r="B477" s="2">
        <f>IFERROR(__xludf.DUMMYFUNCTION("""COMPUTED_VALUE"""),1867.72)</f>
        <v>1867.72</v>
      </c>
      <c r="C477" s="2">
        <f>IFERROR(__xludf.DUMMYFUNCTION("""COMPUTED_VALUE"""),1872.59)</f>
        <v>1872.59</v>
      </c>
      <c r="D477" s="2">
        <f>IFERROR(__xludf.DUMMYFUNCTION("""COMPUTED_VALUE"""),1848.21)</f>
        <v>1848.21</v>
      </c>
      <c r="E477" s="2">
        <f>IFERROR(__xludf.DUMMYFUNCTION("""COMPUTED_VALUE"""),1848.21)</f>
        <v>1848.21</v>
      </c>
      <c r="F477" s="2">
        <f>IFERROR(__xludf.DUMMYFUNCTION("""COMPUTED_VALUE"""),7702700.0)</f>
        <v>7702700</v>
      </c>
      <c r="G477" s="2">
        <f t="shared" si="1"/>
        <v>24.38</v>
      </c>
    </row>
    <row r="478" ht="15.75" customHeight="1">
      <c r="A478" s="1">
        <f>IFERROR(__xludf.DUMMYFUNCTION("""COMPUTED_VALUE"""),44544.66666666667)</f>
        <v>44544.66667</v>
      </c>
      <c r="B478" s="2">
        <f>IFERROR(__xludf.DUMMYFUNCTION("""COMPUTED_VALUE"""),1848.21)</f>
        <v>1848.21</v>
      </c>
      <c r="C478" s="2">
        <f>IFERROR(__xludf.DUMMYFUNCTION("""COMPUTED_VALUE"""),1857.96)</f>
        <v>1857.96</v>
      </c>
      <c r="D478" s="2">
        <f>IFERROR(__xludf.DUMMYFUNCTION("""COMPUTED_VALUE"""),1823.83)</f>
        <v>1823.83</v>
      </c>
      <c r="E478" s="2">
        <f>IFERROR(__xludf.DUMMYFUNCTION("""COMPUTED_VALUE"""),1833.58)</f>
        <v>1833.58</v>
      </c>
      <c r="F478" s="2">
        <f>IFERROR(__xludf.DUMMYFUNCTION("""COMPUTED_VALUE"""),8859400.0)</f>
        <v>8859400</v>
      </c>
      <c r="G478" s="2">
        <f t="shared" si="1"/>
        <v>34.13</v>
      </c>
    </row>
    <row r="479" ht="15.75" customHeight="1">
      <c r="A479" s="1">
        <f>IFERROR(__xludf.DUMMYFUNCTION("""COMPUTED_VALUE"""),44545.66666666667)</f>
        <v>44545.66667</v>
      </c>
      <c r="B479" s="2">
        <f>IFERROR(__xludf.DUMMYFUNCTION("""COMPUTED_VALUE"""),1833.58)</f>
        <v>1833.58</v>
      </c>
      <c r="C479" s="2">
        <f>IFERROR(__xludf.DUMMYFUNCTION("""COMPUTED_VALUE"""),1848.21)</f>
        <v>1848.21</v>
      </c>
      <c r="D479" s="2">
        <f>IFERROR(__xludf.DUMMYFUNCTION("""COMPUTED_VALUE"""),1818.95)</f>
        <v>1818.95</v>
      </c>
      <c r="E479" s="2">
        <f>IFERROR(__xludf.DUMMYFUNCTION("""COMPUTED_VALUE"""),1823.83)</f>
        <v>1823.83</v>
      </c>
      <c r="F479" s="2">
        <f>IFERROR(__xludf.DUMMYFUNCTION("""COMPUTED_VALUE"""),7354000.0)</f>
        <v>7354000</v>
      </c>
      <c r="G479" s="2">
        <f t="shared" si="1"/>
        <v>29.26</v>
      </c>
    </row>
    <row r="480" ht="15.75" customHeight="1">
      <c r="A480" s="1">
        <f>IFERROR(__xludf.DUMMYFUNCTION("""COMPUTED_VALUE"""),44546.66666666667)</f>
        <v>44546.66667</v>
      </c>
      <c r="B480" s="2">
        <f>IFERROR(__xludf.DUMMYFUNCTION("""COMPUTED_VALUE"""),1823.83)</f>
        <v>1823.83</v>
      </c>
      <c r="C480" s="2">
        <f>IFERROR(__xludf.DUMMYFUNCTION("""COMPUTED_VALUE"""),1838.46)</f>
        <v>1838.46</v>
      </c>
      <c r="D480" s="2">
        <f>IFERROR(__xludf.DUMMYFUNCTION("""COMPUTED_VALUE"""),1784.82)</f>
        <v>1784.82</v>
      </c>
      <c r="E480" s="2">
        <f>IFERROR(__xludf.DUMMYFUNCTION("""COMPUTED_VALUE"""),1799.44)</f>
        <v>1799.44</v>
      </c>
      <c r="F480" s="2">
        <f>IFERROR(__xludf.DUMMYFUNCTION("""COMPUTED_VALUE"""),1.38215E7)</f>
        <v>13821500</v>
      </c>
      <c r="G480" s="2">
        <f t="shared" si="1"/>
        <v>53.64</v>
      </c>
    </row>
    <row r="481" ht="15.75" customHeight="1">
      <c r="A481" s="1">
        <f>IFERROR(__xludf.DUMMYFUNCTION("""COMPUTED_VALUE"""),44547.66666666667)</f>
        <v>44547.66667</v>
      </c>
      <c r="B481" s="2">
        <f>IFERROR(__xludf.DUMMYFUNCTION("""COMPUTED_VALUE"""),1799.44)</f>
        <v>1799.44</v>
      </c>
      <c r="C481" s="2">
        <f>IFERROR(__xludf.DUMMYFUNCTION("""COMPUTED_VALUE"""),1799.44)</f>
        <v>1799.44</v>
      </c>
      <c r="D481" s="2">
        <f>IFERROR(__xludf.DUMMYFUNCTION("""COMPUTED_VALUE"""),1779.94)</f>
        <v>1779.94</v>
      </c>
      <c r="E481" s="2">
        <f>IFERROR(__xludf.DUMMYFUNCTION("""COMPUTED_VALUE"""),1789.69)</f>
        <v>1789.69</v>
      </c>
      <c r="F481" s="2">
        <f>IFERROR(__xludf.DUMMYFUNCTION("""COMPUTED_VALUE"""),1.03918E7)</f>
        <v>10391800</v>
      </c>
      <c r="G481" s="2">
        <f t="shared" si="1"/>
        <v>19.5</v>
      </c>
    </row>
    <row r="482" ht="15.75" customHeight="1">
      <c r="A482" s="1">
        <f>IFERROR(__xludf.DUMMYFUNCTION("""COMPUTED_VALUE"""),44550.66666666667)</f>
        <v>44550.66667</v>
      </c>
      <c r="B482" s="2">
        <f>IFERROR(__xludf.DUMMYFUNCTION("""COMPUTED_VALUE"""),1789.69)</f>
        <v>1789.69</v>
      </c>
      <c r="C482" s="2">
        <f>IFERROR(__xludf.DUMMYFUNCTION("""COMPUTED_VALUE"""),1799.44)</f>
        <v>1799.44</v>
      </c>
      <c r="D482" s="2">
        <f>IFERROR(__xludf.DUMMYFUNCTION("""COMPUTED_VALUE"""),1755.56)</f>
        <v>1755.56</v>
      </c>
      <c r="E482" s="2">
        <f>IFERROR(__xludf.DUMMYFUNCTION("""COMPUTED_VALUE"""),1755.56)</f>
        <v>1755.56</v>
      </c>
      <c r="F482" s="2">
        <f>IFERROR(__xludf.DUMMYFUNCTION("""COMPUTED_VALUE"""),1.33145E7)</f>
        <v>13314500</v>
      </c>
      <c r="G482" s="2">
        <f t="shared" si="1"/>
        <v>43.88</v>
      </c>
    </row>
    <row r="483" ht="15.75" customHeight="1">
      <c r="A483" s="1">
        <f>IFERROR(__xludf.DUMMYFUNCTION("""COMPUTED_VALUE"""),44551.66666666667)</f>
        <v>44551.66667</v>
      </c>
      <c r="B483" s="2">
        <f>IFERROR(__xludf.DUMMYFUNCTION("""COMPUTED_VALUE"""),1755.56)</f>
        <v>1755.56</v>
      </c>
      <c r="C483" s="2">
        <f>IFERROR(__xludf.DUMMYFUNCTION("""COMPUTED_VALUE"""),1789.69)</f>
        <v>1789.69</v>
      </c>
      <c r="D483" s="2">
        <f>IFERROR(__xludf.DUMMYFUNCTION("""COMPUTED_VALUE"""),1731.17)</f>
        <v>1731.17</v>
      </c>
      <c r="E483" s="2">
        <f>IFERROR(__xludf.DUMMYFUNCTION("""COMPUTED_VALUE"""),1740.93)</f>
        <v>1740.93</v>
      </c>
      <c r="F483" s="2">
        <f>IFERROR(__xludf.DUMMYFUNCTION("""COMPUTED_VALUE"""),1.81212E7)</f>
        <v>18121200</v>
      </c>
      <c r="G483" s="2">
        <f t="shared" si="1"/>
        <v>58.52</v>
      </c>
    </row>
    <row r="484" ht="15.75" customHeight="1">
      <c r="A484" s="1">
        <f>IFERROR(__xludf.DUMMYFUNCTION("""COMPUTED_VALUE"""),44552.66666666667)</f>
        <v>44552.66667</v>
      </c>
      <c r="B484" s="2">
        <f>IFERROR(__xludf.DUMMYFUNCTION("""COMPUTED_VALUE"""),1740.93)</f>
        <v>1740.93</v>
      </c>
      <c r="C484" s="2">
        <f>IFERROR(__xludf.DUMMYFUNCTION("""COMPUTED_VALUE"""),1750.68)</f>
        <v>1750.68</v>
      </c>
      <c r="D484" s="2">
        <f>IFERROR(__xludf.DUMMYFUNCTION("""COMPUTED_VALUE"""),1721.42)</f>
        <v>1721.42</v>
      </c>
      <c r="E484" s="2">
        <f>IFERROR(__xludf.DUMMYFUNCTION("""COMPUTED_VALUE"""),1721.42)</f>
        <v>1721.42</v>
      </c>
      <c r="F484" s="2">
        <f>IFERROR(__xludf.DUMMYFUNCTION("""COMPUTED_VALUE"""),1.40029E7)</f>
        <v>14002900</v>
      </c>
      <c r="G484" s="2">
        <f t="shared" si="1"/>
        <v>29.26</v>
      </c>
    </row>
    <row r="485" ht="15.75" customHeight="1">
      <c r="A485" s="1">
        <f>IFERROR(__xludf.DUMMYFUNCTION("""COMPUTED_VALUE"""),44553.66666666667)</f>
        <v>44553.66667</v>
      </c>
      <c r="B485" s="2">
        <f>IFERROR(__xludf.DUMMYFUNCTION("""COMPUTED_VALUE"""),1736.05)</f>
        <v>1736.05</v>
      </c>
      <c r="C485" s="2">
        <f>IFERROR(__xludf.DUMMYFUNCTION("""COMPUTED_VALUE"""),1736.05)</f>
        <v>1736.05</v>
      </c>
      <c r="D485" s="2">
        <f>IFERROR(__xludf.DUMMYFUNCTION("""COMPUTED_VALUE"""),1721.42)</f>
        <v>1721.42</v>
      </c>
      <c r="E485" s="2">
        <f>IFERROR(__xludf.DUMMYFUNCTION("""COMPUTED_VALUE"""),1726.3)</f>
        <v>1726.3</v>
      </c>
      <c r="F485" s="2">
        <f>IFERROR(__xludf.DUMMYFUNCTION("""COMPUTED_VALUE"""),6180800.0)</f>
        <v>6180800</v>
      </c>
      <c r="G485" s="2">
        <f t="shared" si="1"/>
        <v>14.63</v>
      </c>
    </row>
    <row r="486" ht="15.75" customHeight="1">
      <c r="A486" s="1">
        <f>IFERROR(__xludf.DUMMYFUNCTION("""COMPUTED_VALUE"""),44554.66666666667)</f>
        <v>44554.66667</v>
      </c>
      <c r="B486" s="2">
        <f>IFERROR(__xludf.DUMMYFUNCTION("""COMPUTED_VALUE"""),1726.3)</f>
        <v>1726.3</v>
      </c>
      <c r="C486" s="2">
        <f>IFERROR(__xludf.DUMMYFUNCTION("""COMPUTED_VALUE"""),1765.31)</f>
        <v>1765.31</v>
      </c>
      <c r="D486" s="2">
        <f>IFERROR(__xludf.DUMMYFUNCTION("""COMPUTED_VALUE"""),1716.54)</f>
        <v>1716.54</v>
      </c>
      <c r="E486" s="2">
        <f>IFERROR(__xludf.DUMMYFUNCTION("""COMPUTED_VALUE"""),1750.68)</f>
        <v>1750.68</v>
      </c>
      <c r="F486" s="2">
        <f>IFERROR(__xludf.DUMMYFUNCTION("""COMPUTED_VALUE"""),1.21549E7)</f>
        <v>12154900</v>
      </c>
      <c r="G486" s="2">
        <f t="shared" si="1"/>
        <v>48.77</v>
      </c>
    </row>
    <row r="487" ht="15.75" customHeight="1">
      <c r="A487" s="1">
        <f>IFERROR(__xludf.DUMMYFUNCTION("""COMPUTED_VALUE"""),44557.66666666667)</f>
        <v>44557.66667</v>
      </c>
      <c r="B487" s="2">
        <f>IFERROR(__xludf.DUMMYFUNCTION("""COMPUTED_VALUE"""),1750.68)</f>
        <v>1750.68</v>
      </c>
      <c r="C487" s="2">
        <f>IFERROR(__xludf.DUMMYFUNCTION("""COMPUTED_VALUE"""),1843.33)</f>
        <v>1843.33</v>
      </c>
      <c r="D487" s="2">
        <f>IFERROR(__xludf.DUMMYFUNCTION("""COMPUTED_VALUE"""),1750.68)</f>
        <v>1750.68</v>
      </c>
      <c r="E487" s="2">
        <f>IFERROR(__xludf.DUMMYFUNCTION("""COMPUTED_VALUE"""),1814.07)</f>
        <v>1814.07</v>
      </c>
      <c r="F487" s="2">
        <f>IFERROR(__xludf.DUMMYFUNCTION("""COMPUTED_VALUE"""),2.46517E7)</f>
        <v>24651700</v>
      </c>
      <c r="G487" s="2">
        <f t="shared" si="1"/>
        <v>92.65</v>
      </c>
    </row>
    <row r="488" ht="15.75" customHeight="1">
      <c r="A488" s="1">
        <f>IFERROR(__xludf.DUMMYFUNCTION("""COMPUTED_VALUE"""),44558.66666666667)</f>
        <v>44558.66667</v>
      </c>
      <c r="B488" s="2">
        <f>IFERROR(__xludf.DUMMYFUNCTION("""COMPUTED_VALUE"""),1818.95)</f>
        <v>1818.95</v>
      </c>
      <c r="C488" s="2">
        <f>IFERROR(__xludf.DUMMYFUNCTION("""COMPUTED_VALUE"""),1833.58)</f>
        <v>1833.58</v>
      </c>
      <c r="D488" s="2">
        <f>IFERROR(__xludf.DUMMYFUNCTION("""COMPUTED_VALUE"""),1755.56)</f>
        <v>1755.56</v>
      </c>
      <c r="E488" s="2">
        <f>IFERROR(__xludf.DUMMYFUNCTION("""COMPUTED_VALUE"""),1755.56)</f>
        <v>1755.56</v>
      </c>
      <c r="F488" s="2">
        <f>IFERROR(__xludf.DUMMYFUNCTION("""COMPUTED_VALUE"""),2.21164E7)</f>
        <v>22116400</v>
      </c>
      <c r="G488" s="2">
        <f t="shared" si="1"/>
        <v>78.02</v>
      </c>
    </row>
    <row r="489" ht="15.75" customHeight="1">
      <c r="A489" s="1">
        <f>IFERROR(__xludf.DUMMYFUNCTION("""COMPUTED_VALUE"""),44559.66666666667)</f>
        <v>44559.66667</v>
      </c>
      <c r="B489" s="2">
        <f>IFERROR(__xludf.DUMMYFUNCTION("""COMPUTED_VALUE"""),1755.56)</f>
        <v>1755.56</v>
      </c>
      <c r="C489" s="2">
        <f>IFERROR(__xludf.DUMMYFUNCTION("""COMPUTED_VALUE"""),1765.31)</f>
        <v>1765.31</v>
      </c>
      <c r="D489" s="2">
        <f>IFERROR(__xludf.DUMMYFUNCTION("""COMPUTED_VALUE"""),1736.05)</f>
        <v>1736.05</v>
      </c>
      <c r="E489" s="2">
        <f>IFERROR(__xludf.DUMMYFUNCTION("""COMPUTED_VALUE"""),1745.8)</f>
        <v>1745.8</v>
      </c>
      <c r="F489" s="2">
        <f>IFERROR(__xludf.DUMMYFUNCTION("""COMPUTED_VALUE"""),6949200.0)</f>
        <v>6949200</v>
      </c>
      <c r="G489" s="2">
        <f t="shared" si="1"/>
        <v>29.26</v>
      </c>
    </row>
    <row r="490" ht="15.75" customHeight="1">
      <c r="A490" s="1">
        <f>IFERROR(__xludf.DUMMYFUNCTION("""COMPUTED_VALUE"""),44560.66666666667)</f>
        <v>44560.66667</v>
      </c>
      <c r="B490" s="2">
        <f>IFERROR(__xludf.DUMMYFUNCTION("""COMPUTED_VALUE"""),1745.8)</f>
        <v>1745.8</v>
      </c>
      <c r="C490" s="2">
        <f>IFERROR(__xludf.DUMMYFUNCTION("""COMPUTED_VALUE"""),1760.43)</f>
        <v>1760.43</v>
      </c>
      <c r="D490" s="2">
        <f>IFERROR(__xludf.DUMMYFUNCTION("""COMPUTED_VALUE"""),1736.05)</f>
        <v>1736.05</v>
      </c>
      <c r="E490" s="2">
        <f>IFERROR(__xludf.DUMMYFUNCTION("""COMPUTED_VALUE"""),1736.05)</f>
        <v>1736.05</v>
      </c>
      <c r="F490" s="2">
        <f>IFERROR(__xludf.DUMMYFUNCTION("""COMPUTED_VALUE"""),5874000.0)</f>
        <v>5874000</v>
      </c>
      <c r="G490" s="2">
        <f t="shared" si="1"/>
        <v>24.38</v>
      </c>
    </row>
    <row r="491" ht="15.75" customHeight="1">
      <c r="A491" s="1">
        <f>IFERROR(__xludf.DUMMYFUNCTION("""COMPUTED_VALUE"""),44564.66666666667)</f>
        <v>44564.66667</v>
      </c>
      <c r="B491" s="2">
        <f>IFERROR(__xludf.DUMMYFUNCTION("""COMPUTED_VALUE"""),1736.05)</f>
        <v>1736.05</v>
      </c>
      <c r="C491" s="2">
        <f>IFERROR(__xludf.DUMMYFUNCTION("""COMPUTED_VALUE"""),1755.56)</f>
        <v>1755.56</v>
      </c>
      <c r="D491" s="2">
        <f>IFERROR(__xludf.DUMMYFUNCTION("""COMPUTED_VALUE"""),1736.05)</f>
        <v>1736.05</v>
      </c>
      <c r="E491" s="2">
        <f>IFERROR(__xludf.DUMMYFUNCTION("""COMPUTED_VALUE"""),1736.05)</f>
        <v>1736.05</v>
      </c>
      <c r="F491" s="2">
        <f>IFERROR(__xludf.DUMMYFUNCTION("""COMPUTED_VALUE"""),5966400.0)</f>
        <v>5966400</v>
      </c>
      <c r="G491" s="2">
        <f t="shared" si="1"/>
        <v>19.51</v>
      </c>
    </row>
    <row r="492" ht="15.75" customHeight="1">
      <c r="A492" s="1">
        <f>IFERROR(__xludf.DUMMYFUNCTION("""COMPUTED_VALUE"""),44565.66666666667)</f>
        <v>44565.66667</v>
      </c>
      <c r="B492" s="2">
        <f>IFERROR(__xludf.DUMMYFUNCTION("""COMPUTED_VALUE"""),1736.05)</f>
        <v>1736.05</v>
      </c>
      <c r="C492" s="2">
        <f>IFERROR(__xludf.DUMMYFUNCTION("""COMPUTED_VALUE"""),1765.31)</f>
        <v>1765.31</v>
      </c>
      <c r="D492" s="2">
        <f>IFERROR(__xludf.DUMMYFUNCTION("""COMPUTED_VALUE"""),1731.17)</f>
        <v>1731.17</v>
      </c>
      <c r="E492" s="2">
        <f>IFERROR(__xludf.DUMMYFUNCTION("""COMPUTED_VALUE"""),1750.68)</f>
        <v>1750.68</v>
      </c>
      <c r="F492" s="2">
        <f>IFERROR(__xludf.DUMMYFUNCTION("""COMPUTED_VALUE"""),8091700.0)</f>
        <v>8091700</v>
      </c>
      <c r="G492" s="2">
        <f t="shared" si="1"/>
        <v>34.14</v>
      </c>
    </row>
    <row r="493" ht="15.75" customHeight="1">
      <c r="A493" s="1">
        <f>IFERROR(__xludf.DUMMYFUNCTION("""COMPUTED_VALUE"""),44566.66666666667)</f>
        <v>44566.66667</v>
      </c>
      <c r="B493" s="2">
        <f>IFERROR(__xludf.DUMMYFUNCTION("""COMPUTED_VALUE"""),1755.56)</f>
        <v>1755.56</v>
      </c>
      <c r="C493" s="2">
        <f>IFERROR(__xludf.DUMMYFUNCTION("""COMPUTED_VALUE"""),1794.57)</f>
        <v>1794.57</v>
      </c>
      <c r="D493" s="2">
        <f>IFERROR(__xludf.DUMMYFUNCTION("""COMPUTED_VALUE"""),1740.93)</f>
        <v>1740.93</v>
      </c>
      <c r="E493" s="2">
        <f>IFERROR(__xludf.DUMMYFUNCTION("""COMPUTED_VALUE"""),1745.8)</f>
        <v>1745.8</v>
      </c>
      <c r="F493" s="2">
        <f>IFERROR(__xludf.DUMMYFUNCTION("""COMPUTED_VALUE"""),1.35798E7)</f>
        <v>13579800</v>
      </c>
      <c r="G493" s="2">
        <f t="shared" si="1"/>
        <v>53.64</v>
      </c>
    </row>
    <row r="494" ht="15.75" customHeight="1">
      <c r="A494" s="1">
        <f>IFERROR(__xludf.DUMMYFUNCTION("""COMPUTED_VALUE"""),44567.66666666667)</f>
        <v>44567.66667</v>
      </c>
      <c r="B494" s="2">
        <f>IFERROR(__xludf.DUMMYFUNCTION("""COMPUTED_VALUE"""),1745.8)</f>
        <v>1745.8</v>
      </c>
      <c r="C494" s="2">
        <f>IFERROR(__xludf.DUMMYFUNCTION("""COMPUTED_VALUE"""),1755.56)</f>
        <v>1755.56</v>
      </c>
      <c r="D494" s="2">
        <f>IFERROR(__xludf.DUMMYFUNCTION("""COMPUTED_VALUE"""),1692.16)</f>
        <v>1692.16</v>
      </c>
      <c r="E494" s="2">
        <f>IFERROR(__xludf.DUMMYFUNCTION("""COMPUTED_VALUE"""),1701.91)</f>
        <v>1701.91</v>
      </c>
      <c r="F494" s="2">
        <f>IFERROR(__xludf.DUMMYFUNCTION("""COMPUTED_VALUE"""),2.42551E7)</f>
        <v>24255100</v>
      </c>
      <c r="G494" s="2">
        <f t="shared" si="1"/>
        <v>63.4</v>
      </c>
    </row>
    <row r="495" ht="15.75" customHeight="1">
      <c r="A495" s="1">
        <f>IFERROR(__xludf.DUMMYFUNCTION("""COMPUTED_VALUE"""),44568.66666666667)</f>
        <v>44568.66667</v>
      </c>
      <c r="B495" s="2">
        <f>IFERROR(__xludf.DUMMYFUNCTION("""COMPUTED_VALUE"""),1701.91)</f>
        <v>1701.91</v>
      </c>
      <c r="C495" s="2">
        <f>IFERROR(__xludf.DUMMYFUNCTION("""COMPUTED_VALUE"""),1716.54)</f>
        <v>1716.54</v>
      </c>
      <c r="D495" s="2">
        <f>IFERROR(__xludf.DUMMYFUNCTION("""COMPUTED_VALUE"""),1687.28)</f>
        <v>1687.28</v>
      </c>
      <c r="E495" s="2">
        <f>IFERROR(__xludf.DUMMYFUNCTION("""COMPUTED_VALUE"""),1701.91)</f>
        <v>1701.91</v>
      </c>
      <c r="F495" s="2">
        <f>IFERROR(__xludf.DUMMYFUNCTION("""COMPUTED_VALUE"""),1.25667E7)</f>
        <v>12566700</v>
      </c>
      <c r="G495" s="2">
        <f t="shared" si="1"/>
        <v>29.26</v>
      </c>
    </row>
    <row r="496" ht="15.75" customHeight="1">
      <c r="A496" s="1">
        <f>IFERROR(__xludf.DUMMYFUNCTION("""COMPUTED_VALUE"""),44571.66666666667)</f>
        <v>44571.66667</v>
      </c>
      <c r="B496" s="2">
        <f>IFERROR(__xludf.DUMMYFUNCTION("""COMPUTED_VALUE"""),1701.91)</f>
        <v>1701.91</v>
      </c>
      <c r="C496" s="2">
        <f>IFERROR(__xludf.DUMMYFUNCTION("""COMPUTED_VALUE"""),1765.31)</f>
        <v>1765.31</v>
      </c>
      <c r="D496" s="2">
        <f>IFERROR(__xludf.DUMMYFUNCTION("""COMPUTED_VALUE"""),1697.04)</f>
        <v>1697.04</v>
      </c>
      <c r="E496" s="2">
        <f>IFERROR(__xludf.DUMMYFUNCTION("""COMPUTED_VALUE"""),1716.54)</f>
        <v>1716.54</v>
      </c>
      <c r="F496" s="2">
        <f>IFERROR(__xludf.DUMMYFUNCTION("""COMPUTED_VALUE"""),2.38808E7)</f>
        <v>23880800</v>
      </c>
      <c r="G496" s="2">
        <f t="shared" si="1"/>
        <v>68.27</v>
      </c>
    </row>
    <row r="497" ht="15.75" customHeight="1">
      <c r="A497" s="1">
        <f>IFERROR(__xludf.DUMMYFUNCTION("""COMPUTED_VALUE"""),44572.66666666667)</f>
        <v>44572.66667</v>
      </c>
      <c r="B497" s="2">
        <f>IFERROR(__xludf.DUMMYFUNCTION("""COMPUTED_VALUE"""),1721.42)</f>
        <v>1721.42</v>
      </c>
      <c r="C497" s="2">
        <f>IFERROR(__xludf.DUMMYFUNCTION("""COMPUTED_VALUE"""),1726.3)</f>
        <v>1726.3</v>
      </c>
      <c r="D497" s="2">
        <f>IFERROR(__xludf.DUMMYFUNCTION("""COMPUTED_VALUE"""),1697.04)</f>
        <v>1697.04</v>
      </c>
      <c r="E497" s="2">
        <f>IFERROR(__xludf.DUMMYFUNCTION("""COMPUTED_VALUE"""),1697.04)</f>
        <v>1697.04</v>
      </c>
      <c r="F497" s="2">
        <f>IFERROR(__xludf.DUMMYFUNCTION("""COMPUTED_VALUE"""),1.0893E7)</f>
        <v>10893000</v>
      </c>
      <c r="G497" s="2">
        <f t="shared" si="1"/>
        <v>29.26</v>
      </c>
    </row>
    <row r="498" ht="15.75" customHeight="1">
      <c r="A498" s="1">
        <f>IFERROR(__xludf.DUMMYFUNCTION("""COMPUTED_VALUE"""),44573.66666666667)</f>
        <v>44573.66667</v>
      </c>
      <c r="B498" s="2">
        <f>IFERROR(__xludf.DUMMYFUNCTION("""COMPUTED_VALUE"""),1701.91)</f>
        <v>1701.91</v>
      </c>
      <c r="C498" s="2">
        <f>IFERROR(__xludf.DUMMYFUNCTION("""COMPUTED_VALUE"""),1711.67)</f>
        <v>1711.67</v>
      </c>
      <c r="D498" s="2">
        <f>IFERROR(__xludf.DUMMYFUNCTION("""COMPUTED_VALUE"""),1580.0)</f>
        <v>1580</v>
      </c>
      <c r="E498" s="2">
        <f>IFERROR(__xludf.DUMMYFUNCTION("""COMPUTED_VALUE"""),1580.0)</f>
        <v>1580</v>
      </c>
      <c r="F498" s="2">
        <f>IFERROR(__xludf.DUMMYFUNCTION("""COMPUTED_VALUE"""),3.75937E7)</f>
        <v>37593700</v>
      </c>
      <c r="G498" s="2">
        <f t="shared" si="1"/>
        <v>131.67</v>
      </c>
    </row>
    <row r="499" ht="15.75" customHeight="1">
      <c r="A499" s="1">
        <f>IFERROR(__xludf.DUMMYFUNCTION("""COMPUTED_VALUE"""),44574.66666666667)</f>
        <v>44574.66667</v>
      </c>
      <c r="B499" s="2">
        <f>IFERROR(__xludf.DUMMYFUNCTION("""COMPUTED_VALUE"""),1589.75)</f>
        <v>1589.75</v>
      </c>
      <c r="C499" s="2">
        <f>IFERROR(__xludf.DUMMYFUNCTION("""COMPUTED_VALUE"""),1594.63)</f>
        <v>1594.63</v>
      </c>
      <c r="D499" s="2">
        <f>IFERROR(__xludf.DUMMYFUNCTION("""COMPUTED_VALUE"""),1497.1)</f>
        <v>1497.1</v>
      </c>
      <c r="E499" s="2">
        <f>IFERROR(__xludf.DUMMYFUNCTION("""COMPUTED_VALUE"""),1575.12)</f>
        <v>1575.12</v>
      </c>
      <c r="F499" s="2">
        <f>IFERROR(__xludf.DUMMYFUNCTION("""COMPUTED_VALUE"""),4.03208E7)</f>
        <v>40320800</v>
      </c>
      <c r="G499" s="2">
        <f t="shared" si="1"/>
        <v>97.53</v>
      </c>
    </row>
    <row r="500" ht="15.75" customHeight="1">
      <c r="A500" s="1">
        <f>IFERROR(__xludf.DUMMYFUNCTION("""COMPUTED_VALUE"""),44575.66666666667)</f>
        <v>44575.66667</v>
      </c>
      <c r="B500" s="2">
        <f>IFERROR(__xludf.DUMMYFUNCTION("""COMPUTED_VALUE"""),1575.12)</f>
        <v>1575.12</v>
      </c>
      <c r="C500" s="2">
        <f>IFERROR(__xludf.DUMMYFUNCTION("""COMPUTED_VALUE"""),1580.0)</f>
        <v>1580</v>
      </c>
      <c r="D500" s="2">
        <f>IFERROR(__xludf.DUMMYFUNCTION("""COMPUTED_VALUE"""),1511.73)</f>
        <v>1511.73</v>
      </c>
      <c r="E500" s="2">
        <f>IFERROR(__xludf.DUMMYFUNCTION("""COMPUTED_VALUE"""),1545.86)</f>
        <v>1545.86</v>
      </c>
      <c r="F500" s="2">
        <f>IFERROR(__xludf.DUMMYFUNCTION("""COMPUTED_VALUE"""),1.86073E7)</f>
        <v>18607300</v>
      </c>
      <c r="G500" s="2">
        <f t="shared" si="1"/>
        <v>68.27</v>
      </c>
    </row>
    <row r="501" ht="15.75" customHeight="1">
      <c r="A501" s="1">
        <f>IFERROR(__xludf.DUMMYFUNCTION("""COMPUTED_VALUE"""),44578.66666666667)</f>
        <v>44578.66667</v>
      </c>
      <c r="B501" s="2">
        <f>IFERROR(__xludf.DUMMYFUNCTION("""COMPUTED_VALUE"""),1545.86)</f>
        <v>1545.86</v>
      </c>
      <c r="C501" s="2">
        <f>IFERROR(__xludf.DUMMYFUNCTION("""COMPUTED_VALUE"""),1555.62)</f>
        <v>1555.62</v>
      </c>
      <c r="D501" s="2">
        <f>IFERROR(__xludf.DUMMYFUNCTION("""COMPUTED_VALUE"""),1497.1)</f>
        <v>1497.1</v>
      </c>
      <c r="E501" s="2">
        <f>IFERROR(__xludf.DUMMYFUNCTION("""COMPUTED_VALUE"""),1501.98)</f>
        <v>1501.98</v>
      </c>
      <c r="F501" s="2">
        <f>IFERROR(__xludf.DUMMYFUNCTION("""COMPUTED_VALUE"""),1.71972E7)</f>
        <v>17197200</v>
      </c>
      <c r="G501" s="2">
        <f t="shared" si="1"/>
        <v>58.52</v>
      </c>
    </row>
    <row r="502" ht="15.75" customHeight="1">
      <c r="A502" s="1">
        <f>IFERROR(__xludf.DUMMYFUNCTION("""COMPUTED_VALUE"""),44579.66666666667)</f>
        <v>44579.66667</v>
      </c>
      <c r="B502" s="2">
        <f>IFERROR(__xludf.DUMMYFUNCTION("""COMPUTED_VALUE"""),1501.98)</f>
        <v>1501.98</v>
      </c>
      <c r="C502" s="2">
        <f>IFERROR(__xludf.DUMMYFUNCTION("""COMPUTED_VALUE"""),1521.48)</f>
        <v>1521.48</v>
      </c>
      <c r="D502" s="2">
        <f>IFERROR(__xludf.DUMMYFUNCTION("""COMPUTED_VALUE"""),1428.83)</f>
        <v>1428.83</v>
      </c>
      <c r="E502" s="2">
        <f>IFERROR(__xludf.DUMMYFUNCTION("""COMPUTED_VALUE"""),1458.09)</f>
        <v>1458.09</v>
      </c>
      <c r="F502" s="2">
        <f>IFERROR(__xludf.DUMMYFUNCTION("""COMPUTED_VALUE"""),2.97678E7)</f>
        <v>29767800</v>
      </c>
      <c r="G502" s="2">
        <f t="shared" si="1"/>
        <v>92.65</v>
      </c>
    </row>
    <row r="503" ht="15.75" customHeight="1">
      <c r="A503" s="1">
        <f>IFERROR(__xludf.DUMMYFUNCTION("""COMPUTED_VALUE"""),44580.66666666667)</f>
        <v>44580.66667</v>
      </c>
      <c r="B503" s="2">
        <f>IFERROR(__xludf.DUMMYFUNCTION("""COMPUTED_VALUE"""),1458.09)</f>
        <v>1458.09</v>
      </c>
      <c r="C503" s="2">
        <f>IFERROR(__xludf.DUMMYFUNCTION("""COMPUTED_VALUE"""),1501.98)</f>
        <v>1501.98</v>
      </c>
      <c r="D503" s="2">
        <f>IFERROR(__xludf.DUMMYFUNCTION("""COMPUTED_VALUE"""),1443.46)</f>
        <v>1443.46</v>
      </c>
      <c r="E503" s="2">
        <f>IFERROR(__xludf.DUMMYFUNCTION("""COMPUTED_VALUE"""),1467.84)</f>
        <v>1467.84</v>
      </c>
      <c r="F503" s="2">
        <f>IFERROR(__xludf.DUMMYFUNCTION("""COMPUTED_VALUE"""),1.31475E7)</f>
        <v>13147500</v>
      </c>
      <c r="G503" s="2">
        <f t="shared" si="1"/>
        <v>58.52</v>
      </c>
    </row>
    <row r="504" ht="15.75" customHeight="1">
      <c r="A504" s="1">
        <f>IFERROR(__xludf.DUMMYFUNCTION("""COMPUTED_VALUE"""),44581.66666666667)</f>
        <v>44581.66667</v>
      </c>
      <c r="B504" s="2">
        <f>IFERROR(__xludf.DUMMYFUNCTION("""COMPUTED_VALUE"""),1472.72)</f>
        <v>1472.72</v>
      </c>
      <c r="C504" s="2">
        <f>IFERROR(__xludf.DUMMYFUNCTION("""COMPUTED_VALUE"""),1540.99)</f>
        <v>1540.99</v>
      </c>
      <c r="D504" s="2">
        <f>IFERROR(__xludf.DUMMYFUNCTION("""COMPUTED_VALUE"""),1462.96)</f>
        <v>1462.96</v>
      </c>
      <c r="E504" s="2">
        <f>IFERROR(__xludf.DUMMYFUNCTION("""COMPUTED_VALUE"""),1511.73)</f>
        <v>1511.73</v>
      </c>
      <c r="F504" s="2">
        <f>IFERROR(__xludf.DUMMYFUNCTION("""COMPUTED_VALUE"""),2.38047E7)</f>
        <v>23804700</v>
      </c>
      <c r="G504" s="2">
        <f t="shared" si="1"/>
        <v>78.03</v>
      </c>
    </row>
    <row r="505" ht="15.75" customHeight="1">
      <c r="A505" s="1">
        <f>IFERROR(__xludf.DUMMYFUNCTION("""COMPUTED_VALUE"""),44582.66666666667)</f>
        <v>44582.66667</v>
      </c>
      <c r="B505" s="2">
        <f>IFERROR(__xludf.DUMMYFUNCTION("""COMPUTED_VALUE"""),1511.73)</f>
        <v>1511.73</v>
      </c>
      <c r="C505" s="2">
        <f>IFERROR(__xludf.DUMMYFUNCTION("""COMPUTED_VALUE"""),1526.36)</f>
        <v>1526.36</v>
      </c>
      <c r="D505" s="2">
        <f>IFERROR(__xludf.DUMMYFUNCTION("""COMPUTED_VALUE"""),1482.47)</f>
        <v>1482.47</v>
      </c>
      <c r="E505" s="2">
        <f>IFERROR(__xludf.DUMMYFUNCTION("""COMPUTED_VALUE"""),1516.61)</f>
        <v>1516.61</v>
      </c>
      <c r="F505" s="2">
        <f>IFERROR(__xludf.DUMMYFUNCTION("""COMPUTED_VALUE"""),8568500.0)</f>
        <v>8568500</v>
      </c>
      <c r="G505" s="2">
        <f t="shared" si="1"/>
        <v>43.89</v>
      </c>
    </row>
    <row r="506" ht="15.75" customHeight="1">
      <c r="A506" s="1">
        <f>IFERROR(__xludf.DUMMYFUNCTION("""COMPUTED_VALUE"""),44585.66666666667)</f>
        <v>44585.66667</v>
      </c>
      <c r="B506" s="2">
        <f>IFERROR(__xludf.DUMMYFUNCTION("""COMPUTED_VALUE"""),1521.48)</f>
        <v>1521.48</v>
      </c>
      <c r="C506" s="2">
        <f>IFERROR(__xludf.DUMMYFUNCTION("""COMPUTED_VALUE"""),1521.48)</f>
        <v>1521.48</v>
      </c>
      <c r="D506" s="2">
        <f>IFERROR(__xludf.DUMMYFUNCTION("""COMPUTED_VALUE"""),1497.1)</f>
        <v>1497.1</v>
      </c>
      <c r="E506" s="2">
        <f>IFERROR(__xludf.DUMMYFUNCTION("""COMPUTED_VALUE"""),1511.73)</f>
        <v>1511.73</v>
      </c>
      <c r="F506" s="2">
        <f>IFERROR(__xludf.DUMMYFUNCTION("""COMPUTED_VALUE"""),6226300.0)</f>
        <v>6226300</v>
      </c>
      <c r="G506" s="2">
        <f t="shared" si="1"/>
        <v>24.38</v>
      </c>
    </row>
    <row r="507" ht="15.75" customHeight="1">
      <c r="A507" s="1">
        <f>IFERROR(__xludf.DUMMYFUNCTION("""COMPUTED_VALUE"""),44586.66666666667)</f>
        <v>44586.66667</v>
      </c>
      <c r="B507" s="2">
        <f>IFERROR(__xludf.DUMMYFUNCTION("""COMPUTED_VALUE"""),1511.73)</f>
        <v>1511.73</v>
      </c>
      <c r="C507" s="2">
        <f>IFERROR(__xludf.DUMMYFUNCTION("""COMPUTED_VALUE"""),1511.73)</f>
        <v>1511.73</v>
      </c>
      <c r="D507" s="2">
        <f>IFERROR(__xludf.DUMMYFUNCTION("""COMPUTED_VALUE"""),1467.84)</f>
        <v>1467.84</v>
      </c>
      <c r="E507" s="2">
        <f>IFERROR(__xludf.DUMMYFUNCTION("""COMPUTED_VALUE"""),1472.72)</f>
        <v>1472.72</v>
      </c>
      <c r="F507" s="2">
        <f>IFERROR(__xludf.DUMMYFUNCTION("""COMPUTED_VALUE"""),8208900.0)</f>
        <v>8208900</v>
      </c>
      <c r="G507" s="2">
        <f t="shared" si="1"/>
        <v>43.89</v>
      </c>
    </row>
    <row r="508" ht="15.75" customHeight="1">
      <c r="A508" s="1">
        <f>IFERROR(__xludf.DUMMYFUNCTION("""COMPUTED_VALUE"""),44587.66666666667)</f>
        <v>44587.66667</v>
      </c>
      <c r="B508" s="2">
        <f>IFERROR(__xludf.DUMMYFUNCTION("""COMPUTED_VALUE"""),1462.96)</f>
        <v>1462.96</v>
      </c>
      <c r="C508" s="2">
        <f>IFERROR(__xludf.DUMMYFUNCTION("""COMPUTED_VALUE"""),1487.35)</f>
        <v>1487.35</v>
      </c>
      <c r="D508" s="2">
        <f>IFERROR(__xludf.DUMMYFUNCTION("""COMPUTED_VALUE"""),1462.96)</f>
        <v>1462.96</v>
      </c>
      <c r="E508" s="2">
        <f>IFERROR(__xludf.DUMMYFUNCTION("""COMPUTED_VALUE"""),1477.59)</f>
        <v>1477.59</v>
      </c>
      <c r="F508" s="2">
        <f>IFERROR(__xludf.DUMMYFUNCTION("""COMPUTED_VALUE"""),7864100.0)</f>
        <v>7864100</v>
      </c>
      <c r="G508" s="2">
        <f t="shared" si="1"/>
        <v>24.39</v>
      </c>
    </row>
    <row r="509" ht="15.75" customHeight="1">
      <c r="A509" s="1">
        <f>IFERROR(__xludf.DUMMYFUNCTION("""COMPUTED_VALUE"""),44588.66666666667)</f>
        <v>44588.66667</v>
      </c>
      <c r="B509" s="2">
        <f>IFERROR(__xludf.DUMMYFUNCTION("""COMPUTED_VALUE"""),1472.72)</f>
        <v>1472.72</v>
      </c>
      <c r="C509" s="2">
        <f>IFERROR(__xludf.DUMMYFUNCTION("""COMPUTED_VALUE"""),1516.61)</f>
        <v>1516.61</v>
      </c>
      <c r="D509" s="2">
        <f>IFERROR(__xludf.DUMMYFUNCTION("""COMPUTED_VALUE"""),1467.84)</f>
        <v>1467.84</v>
      </c>
      <c r="E509" s="2">
        <f>IFERROR(__xludf.DUMMYFUNCTION("""COMPUTED_VALUE"""),1467.84)</f>
        <v>1467.84</v>
      </c>
      <c r="F509" s="2">
        <f>IFERROR(__xludf.DUMMYFUNCTION("""COMPUTED_VALUE"""),1.11926E7)</f>
        <v>11192600</v>
      </c>
      <c r="G509" s="2">
        <f t="shared" si="1"/>
        <v>48.77</v>
      </c>
    </row>
    <row r="510" ht="15.75" customHeight="1">
      <c r="A510" s="1">
        <f>IFERROR(__xludf.DUMMYFUNCTION("""COMPUTED_VALUE"""),44589.66666666667)</f>
        <v>44589.66667</v>
      </c>
      <c r="B510" s="2">
        <f>IFERROR(__xludf.DUMMYFUNCTION("""COMPUTED_VALUE"""),1487.35)</f>
        <v>1487.35</v>
      </c>
      <c r="C510" s="2">
        <f>IFERROR(__xludf.DUMMYFUNCTION("""COMPUTED_VALUE"""),1506.85)</f>
        <v>1506.85</v>
      </c>
      <c r="D510" s="2">
        <f>IFERROR(__xludf.DUMMYFUNCTION("""COMPUTED_VALUE"""),1472.72)</f>
        <v>1472.72</v>
      </c>
      <c r="E510" s="2">
        <f>IFERROR(__xludf.DUMMYFUNCTION("""COMPUTED_VALUE"""),1482.47)</f>
        <v>1482.47</v>
      </c>
      <c r="F510" s="2">
        <f>IFERROR(__xludf.DUMMYFUNCTION("""COMPUTED_VALUE"""),1.17388E7)</f>
        <v>11738800</v>
      </c>
      <c r="G510" s="2">
        <f t="shared" si="1"/>
        <v>39.01</v>
      </c>
    </row>
    <row r="511" ht="15.75" customHeight="1">
      <c r="A511" s="1">
        <f>IFERROR(__xludf.DUMMYFUNCTION("""COMPUTED_VALUE"""),44592.66666666667)</f>
        <v>44592.66667</v>
      </c>
      <c r="B511" s="2">
        <f>IFERROR(__xludf.DUMMYFUNCTION("""COMPUTED_VALUE"""),1482.47)</f>
        <v>1482.47</v>
      </c>
      <c r="C511" s="2">
        <f>IFERROR(__xludf.DUMMYFUNCTION("""COMPUTED_VALUE"""),1565.37)</f>
        <v>1565.37</v>
      </c>
      <c r="D511" s="2">
        <f>IFERROR(__xludf.DUMMYFUNCTION("""COMPUTED_VALUE"""),1482.47)</f>
        <v>1482.47</v>
      </c>
      <c r="E511" s="2">
        <f>IFERROR(__xludf.DUMMYFUNCTION("""COMPUTED_VALUE"""),1506.85)</f>
        <v>1506.85</v>
      </c>
      <c r="F511" s="2">
        <f>IFERROR(__xludf.DUMMYFUNCTION("""COMPUTED_VALUE"""),2.75564E7)</f>
        <v>27556400</v>
      </c>
      <c r="G511" s="2">
        <f t="shared" si="1"/>
        <v>82.9</v>
      </c>
    </row>
    <row r="512" ht="15.75" customHeight="1">
      <c r="A512" s="1">
        <f>IFERROR(__xludf.DUMMYFUNCTION("""COMPUTED_VALUE"""),44594.66666666667)</f>
        <v>44594.66667</v>
      </c>
      <c r="B512" s="2">
        <f>IFERROR(__xludf.DUMMYFUNCTION("""COMPUTED_VALUE"""),1550.74)</f>
        <v>1550.74</v>
      </c>
      <c r="C512" s="2">
        <f>IFERROR(__xludf.DUMMYFUNCTION("""COMPUTED_VALUE"""),1550.74)</f>
        <v>1550.74</v>
      </c>
      <c r="D512" s="2">
        <f>IFERROR(__xludf.DUMMYFUNCTION("""COMPUTED_VALUE"""),1492.22)</f>
        <v>1492.22</v>
      </c>
      <c r="E512" s="2">
        <f>IFERROR(__xludf.DUMMYFUNCTION("""COMPUTED_VALUE"""),1506.85)</f>
        <v>1506.85</v>
      </c>
      <c r="F512" s="2">
        <f>IFERROR(__xludf.DUMMYFUNCTION("""COMPUTED_VALUE"""),1.63478E7)</f>
        <v>16347800</v>
      </c>
      <c r="G512" s="2">
        <f t="shared" si="1"/>
        <v>58.52</v>
      </c>
    </row>
    <row r="513" ht="15.75" customHeight="1">
      <c r="A513" s="1">
        <f>IFERROR(__xludf.DUMMYFUNCTION("""COMPUTED_VALUE"""),44595.66666666667)</f>
        <v>44595.66667</v>
      </c>
      <c r="B513" s="2">
        <f>IFERROR(__xludf.DUMMYFUNCTION("""COMPUTED_VALUE"""),1511.73)</f>
        <v>1511.73</v>
      </c>
      <c r="C513" s="2">
        <f>IFERROR(__xludf.DUMMYFUNCTION("""COMPUTED_VALUE"""),1604.38)</f>
        <v>1604.38</v>
      </c>
      <c r="D513" s="2">
        <f>IFERROR(__xludf.DUMMYFUNCTION("""COMPUTED_VALUE"""),1511.73)</f>
        <v>1511.73</v>
      </c>
      <c r="E513" s="2">
        <f>IFERROR(__xludf.DUMMYFUNCTION("""COMPUTED_VALUE"""),1545.86)</f>
        <v>1545.86</v>
      </c>
      <c r="F513" s="2">
        <f>IFERROR(__xludf.DUMMYFUNCTION("""COMPUTED_VALUE"""),5.22334E7)</f>
        <v>52233400</v>
      </c>
      <c r="G513" s="2">
        <f t="shared" si="1"/>
        <v>97.53</v>
      </c>
    </row>
    <row r="514" ht="15.75" customHeight="1">
      <c r="A514" s="1">
        <f>IFERROR(__xludf.DUMMYFUNCTION("""COMPUTED_VALUE"""),44596.66666666667)</f>
        <v>44596.66667</v>
      </c>
      <c r="B514" s="2">
        <f>IFERROR(__xludf.DUMMYFUNCTION("""COMPUTED_VALUE"""),1555.62)</f>
        <v>1555.62</v>
      </c>
      <c r="C514" s="2">
        <f>IFERROR(__xludf.DUMMYFUNCTION("""COMPUTED_VALUE"""),1555.62)</f>
        <v>1555.62</v>
      </c>
      <c r="D514" s="2">
        <f>IFERROR(__xludf.DUMMYFUNCTION("""COMPUTED_VALUE"""),1521.48)</f>
        <v>1521.48</v>
      </c>
      <c r="E514" s="2">
        <f>IFERROR(__xludf.DUMMYFUNCTION("""COMPUTED_VALUE"""),1540.99)</f>
        <v>1540.99</v>
      </c>
      <c r="F514" s="2">
        <f>IFERROR(__xludf.DUMMYFUNCTION("""COMPUTED_VALUE"""),1.27899E7)</f>
        <v>12789900</v>
      </c>
      <c r="G514" s="2">
        <f t="shared" si="1"/>
        <v>34.14</v>
      </c>
    </row>
    <row r="515" ht="15.75" customHeight="1">
      <c r="A515" s="1">
        <f>IFERROR(__xludf.DUMMYFUNCTION("""COMPUTED_VALUE"""),44599.66666666667)</f>
        <v>44599.66667</v>
      </c>
      <c r="B515" s="2">
        <f>IFERROR(__xludf.DUMMYFUNCTION("""COMPUTED_VALUE"""),1545.86)</f>
        <v>1545.86</v>
      </c>
      <c r="C515" s="2">
        <f>IFERROR(__xludf.DUMMYFUNCTION("""COMPUTED_VALUE"""),1619.01)</f>
        <v>1619.01</v>
      </c>
      <c r="D515" s="2">
        <f>IFERROR(__xludf.DUMMYFUNCTION("""COMPUTED_VALUE"""),1531.23)</f>
        <v>1531.23</v>
      </c>
      <c r="E515" s="2">
        <f>IFERROR(__xludf.DUMMYFUNCTION("""COMPUTED_VALUE"""),1604.38)</f>
        <v>1604.38</v>
      </c>
      <c r="F515" s="2">
        <f>IFERROR(__xludf.DUMMYFUNCTION("""COMPUTED_VALUE"""),3.15161E7)</f>
        <v>31516100</v>
      </c>
      <c r="G515" s="2">
        <f t="shared" si="1"/>
        <v>87.78</v>
      </c>
    </row>
    <row r="516" ht="15.75" customHeight="1">
      <c r="A516" s="1">
        <f>IFERROR(__xludf.DUMMYFUNCTION("""COMPUTED_VALUE"""),44600.66666666667)</f>
        <v>44600.66667</v>
      </c>
      <c r="B516" s="2">
        <f>IFERROR(__xludf.DUMMYFUNCTION("""COMPUTED_VALUE"""),1609.26)</f>
        <v>1609.26</v>
      </c>
      <c r="C516" s="2">
        <f>IFERROR(__xludf.DUMMYFUNCTION("""COMPUTED_VALUE"""),1653.15)</f>
        <v>1653.15</v>
      </c>
      <c r="D516" s="2">
        <f>IFERROR(__xludf.DUMMYFUNCTION("""COMPUTED_VALUE"""),1609.26)</f>
        <v>1609.26</v>
      </c>
      <c r="E516" s="2">
        <f>IFERROR(__xludf.DUMMYFUNCTION("""COMPUTED_VALUE"""),1619.01)</f>
        <v>1619.01</v>
      </c>
      <c r="F516" s="2">
        <f>IFERROR(__xludf.DUMMYFUNCTION("""COMPUTED_VALUE"""),3.50395E7)</f>
        <v>35039500</v>
      </c>
      <c r="G516" s="2">
        <f t="shared" si="1"/>
        <v>48.77</v>
      </c>
    </row>
    <row r="517" ht="15.75" customHeight="1">
      <c r="A517" s="1">
        <f>IFERROR(__xludf.DUMMYFUNCTION("""COMPUTED_VALUE"""),44601.66666666667)</f>
        <v>44601.66667</v>
      </c>
      <c r="B517" s="2">
        <f>IFERROR(__xludf.DUMMYFUNCTION("""COMPUTED_VALUE"""),1623.89)</f>
        <v>1623.89</v>
      </c>
      <c r="C517" s="2">
        <f>IFERROR(__xludf.DUMMYFUNCTION("""COMPUTED_VALUE"""),1643.4)</f>
        <v>1643.4</v>
      </c>
      <c r="D517" s="2">
        <f>IFERROR(__xludf.DUMMYFUNCTION("""COMPUTED_VALUE"""),1609.26)</f>
        <v>1609.26</v>
      </c>
      <c r="E517" s="2">
        <f>IFERROR(__xludf.DUMMYFUNCTION("""COMPUTED_VALUE"""),1633.64)</f>
        <v>1633.64</v>
      </c>
      <c r="F517" s="2">
        <f>IFERROR(__xludf.DUMMYFUNCTION("""COMPUTED_VALUE"""),1.33117E7)</f>
        <v>13311700</v>
      </c>
      <c r="G517" s="2">
        <f t="shared" si="1"/>
        <v>34.14</v>
      </c>
    </row>
    <row r="518" ht="15.75" customHeight="1">
      <c r="A518" s="1">
        <f>IFERROR(__xludf.DUMMYFUNCTION("""COMPUTED_VALUE"""),44602.66666666667)</f>
        <v>44602.66667</v>
      </c>
      <c r="B518" s="2">
        <f>IFERROR(__xludf.DUMMYFUNCTION("""COMPUTED_VALUE"""),1633.64)</f>
        <v>1633.64</v>
      </c>
      <c r="C518" s="2">
        <f>IFERROR(__xludf.DUMMYFUNCTION("""COMPUTED_VALUE"""),1672.65)</f>
        <v>1672.65</v>
      </c>
      <c r="D518" s="2">
        <f>IFERROR(__xludf.DUMMYFUNCTION("""COMPUTED_VALUE"""),1619.01)</f>
        <v>1619.01</v>
      </c>
      <c r="E518" s="2">
        <f>IFERROR(__xludf.DUMMYFUNCTION("""COMPUTED_VALUE"""),1628.77)</f>
        <v>1628.77</v>
      </c>
      <c r="F518" s="2">
        <f>IFERROR(__xludf.DUMMYFUNCTION("""COMPUTED_VALUE"""),2.70439E7)</f>
        <v>27043900</v>
      </c>
      <c r="G518" s="2">
        <f t="shared" si="1"/>
        <v>53.64</v>
      </c>
    </row>
    <row r="519" ht="15.75" customHeight="1">
      <c r="A519" s="1">
        <f>IFERROR(__xludf.DUMMYFUNCTION("""COMPUTED_VALUE"""),44603.66666666667)</f>
        <v>44603.66667</v>
      </c>
      <c r="B519" s="2">
        <f>IFERROR(__xludf.DUMMYFUNCTION("""COMPUTED_VALUE"""),1628.77)</f>
        <v>1628.77</v>
      </c>
      <c r="C519" s="2">
        <f>IFERROR(__xludf.DUMMYFUNCTION("""COMPUTED_VALUE"""),1638.52)</f>
        <v>1638.52</v>
      </c>
      <c r="D519" s="2">
        <f>IFERROR(__xludf.DUMMYFUNCTION("""COMPUTED_VALUE"""),1589.75)</f>
        <v>1589.75</v>
      </c>
      <c r="E519" s="2">
        <f>IFERROR(__xludf.DUMMYFUNCTION("""COMPUTED_VALUE"""),1628.77)</f>
        <v>1628.77</v>
      </c>
      <c r="F519" s="2">
        <f>IFERROR(__xludf.DUMMYFUNCTION("""COMPUTED_VALUE"""),9234900.0)</f>
        <v>9234900</v>
      </c>
      <c r="G519" s="2">
        <f t="shared" si="1"/>
        <v>48.77</v>
      </c>
    </row>
    <row r="520" ht="15.75" customHeight="1">
      <c r="A520" s="1">
        <f>IFERROR(__xludf.DUMMYFUNCTION("""COMPUTED_VALUE"""),44606.66666666667)</f>
        <v>44606.66667</v>
      </c>
      <c r="B520" s="2">
        <f>IFERROR(__xludf.DUMMYFUNCTION("""COMPUTED_VALUE"""),1628.77)</f>
        <v>1628.77</v>
      </c>
      <c r="C520" s="2">
        <f>IFERROR(__xludf.DUMMYFUNCTION("""COMPUTED_VALUE"""),1638.52)</f>
        <v>1638.52</v>
      </c>
      <c r="D520" s="2">
        <f>IFERROR(__xludf.DUMMYFUNCTION("""COMPUTED_VALUE"""),1570.25)</f>
        <v>1570.25</v>
      </c>
      <c r="E520" s="2">
        <f>IFERROR(__xludf.DUMMYFUNCTION("""COMPUTED_VALUE"""),1575.12)</f>
        <v>1575.12</v>
      </c>
      <c r="F520" s="2">
        <f>IFERROR(__xludf.DUMMYFUNCTION("""COMPUTED_VALUE"""),1.55E7)</f>
        <v>15500000</v>
      </c>
      <c r="G520" s="2">
        <f t="shared" si="1"/>
        <v>68.27</v>
      </c>
    </row>
    <row r="521" ht="15.75" customHeight="1">
      <c r="A521" s="1">
        <f>IFERROR(__xludf.DUMMYFUNCTION("""COMPUTED_VALUE"""),44607.66666666667)</f>
        <v>44607.66667</v>
      </c>
      <c r="B521" s="2">
        <f>IFERROR(__xludf.DUMMYFUNCTION("""COMPUTED_VALUE"""),1575.12)</f>
        <v>1575.12</v>
      </c>
      <c r="C521" s="2">
        <f>IFERROR(__xludf.DUMMYFUNCTION("""COMPUTED_VALUE"""),1619.01)</f>
        <v>1619.01</v>
      </c>
      <c r="D521" s="2">
        <f>IFERROR(__xludf.DUMMYFUNCTION("""COMPUTED_VALUE"""),1565.37)</f>
        <v>1565.37</v>
      </c>
      <c r="E521" s="2">
        <f>IFERROR(__xludf.DUMMYFUNCTION("""COMPUTED_VALUE"""),1609.26)</f>
        <v>1609.26</v>
      </c>
      <c r="F521" s="2">
        <f>IFERROR(__xludf.DUMMYFUNCTION("""COMPUTED_VALUE"""),1.03459E7)</f>
        <v>10345900</v>
      </c>
      <c r="G521" s="2">
        <f t="shared" si="1"/>
        <v>53.64</v>
      </c>
    </row>
    <row r="522" ht="15.75" customHeight="1">
      <c r="A522" s="1">
        <f>IFERROR(__xludf.DUMMYFUNCTION("""COMPUTED_VALUE"""),44608.66666666667)</f>
        <v>44608.66667</v>
      </c>
      <c r="B522" s="2">
        <f>IFERROR(__xludf.DUMMYFUNCTION("""COMPUTED_VALUE"""),1609.26)</f>
        <v>1609.26</v>
      </c>
      <c r="C522" s="2">
        <f>IFERROR(__xludf.DUMMYFUNCTION("""COMPUTED_VALUE"""),1638.52)</f>
        <v>1638.52</v>
      </c>
      <c r="D522" s="2">
        <f>IFERROR(__xludf.DUMMYFUNCTION("""COMPUTED_VALUE"""),1599.51)</f>
        <v>1599.51</v>
      </c>
      <c r="E522" s="2">
        <f>IFERROR(__xludf.DUMMYFUNCTION("""COMPUTED_VALUE"""),1614.14)</f>
        <v>1614.14</v>
      </c>
      <c r="F522" s="2">
        <f>IFERROR(__xludf.DUMMYFUNCTION("""COMPUTED_VALUE"""),1.80815E7)</f>
        <v>18081500</v>
      </c>
      <c r="G522" s="2">
        <f t="shared" si="1"/>
        <v>39.01</v>
      </c>
    </row>
    <row r="523" ht="15.75" customHeight="1">
      <c r="A523" s="1">
        <f>IFERROR(__xludf.DUMMYFUNCTION("""COMPUTED_VALUE"""),44609.66666666667)</f>
        <v>44609.66667</v>
      </c>
      <c r="B523" s="2">
        <f>IFERROR(__xludf.DUMMYFUNCTION("""COMPUTED_VALUE"""),1614.14)</f>
        <v>1614.14</v>
      </c>
      <c r="C523" s="2">
        <f>IFERROR(__xludf.DUMMYFUNCTION("""COMPUTED_VALUE"""),1623.89)</f>
        <v>1623.89</v>
      </c>
      <c r="D523" s="2">
        <f>IFERROR(__xludf.DUMMYFUNCTION("""COMPUTED_VALUE"""),1589.75)</f>
        <v>1589.75</v>
      </c>
      <c r="E523" s="2">
        <f>IFERROR(__xludf.DUMMYFUNCTION("""COMPUTED_VALUE"""),1599.51)</f>
        <v>1599.51</v>
      </c>
      <c r="F523" s="2">
        <f>IFERROR(__xludf.DUMMYFUNCTION("""COMPUTED_VALUE"""),6219900.0)</f>
        <v>6219900</v>
      </c>
      <c r="G523" s="2">
        <f t="shared" si="1"/>
        <v>34.14</v>
      </c>
    </row>
    <row r="524" ht="15.75" customHeight="1">
      <c r="A524" s="1">
        <f>IFERROR(__xludf.DUMMYFUNCTION("""COMPUTED_VALUE"""),44610.66666666667)</f>
        <v>44610.66667</v>
      </c>
      <c r="B524" s="2">
        <f>IFERROR(__xludf.DUMMYFUNCTION("""COMPUTED_VALUE"""),1599.51)</f>
        <v>1599.51</v>
      </c>
      <c r="C524" s="2">
        <f>IFERROR(__xludf.DUMMYFUNCTION("""COMPUTED_VALUE"""),1672.65)</f>
        <v>1672.65</v>
      </c>
      <c r="D524" s="2">
        <f>IFERROR(__xludf.DUMMYFUNCTION("""COMPUTED_VALUE"""),1594.63)</f>
        <v>1594.63</v>
      </c>
      <c r="E524" s="2">
        <f>IFERROR(__xludf.DUMMYFUNCTION("""COMPUTED_VALUE"""),1658.03)</f>
        <v>1658.03</v>
      </c>
      <c r="F524" s="2">
        <f>IFERROR(__xludf.DUMMYFUNCTION("""COMPUTED_VALUE"""),3.34124E7)</f>
        <v>33412400</v>
      </c>
      <c r="G524" s="2">
        <f t="shared" si="1"/>
        <v>78.02</v>
      </c>
    </row>
    <row r="525" ht="15.75" customHeight="1">
      <c r="A525" s="1">
        <f>IFERROR(__xludf.DUMMYFUNCTION("""COMPUTED_VALUE"""),44613.66666666667)</f>
        <v>44613.66667</v>
      </c>
      <c r="B525" s="2">
        <f>IFERROR(__xludf.DUMMYFUNCTION("""COMPUTED_VALUE"""),1658.03)</f>
        <v>1658.03</v>
      </c>
      <c r="C525" s="2">
        <f>IFERROR(__xludf.DUMMYFUNCTION("""COMPUTED_VALUE"""),1731.17)</f>
        <v>1731.17</v>
      </c>
      <c r="D525" s="2">
        <f>IFERROR(__xludf.DUMMYFUNCTION("""COMPUTED_VALUE"""),1658.03)</f>
        <v>1658.03</v>
      </c>
      <c r="E525" s="2">
        <f>IFERROR(__xludf.DUMMYFUNCTION("""COMPUTED_VALUE"""),1711.67)</f>
        <v>1711.67</v>
      </c>
      <c r="F525" s="2">
        <f>IFERROR(__xludf.DUMMYFUNCTION("""COMPUTED_VALUE"""),4.75842E7)</f>
        <v>47584200</v>
      </c>
      <c r="G525" s="2">
        <f t="shared" si="1"/>
        <v>73.14</v>
      </c>
    </row>
    <row r="526" ht="15.75" customHeight="1">
      <c r="A526" s="1">
        <f>IFERROR(__xludf.DUMMYFUNCTION("""COMPUTED_VALUE"""),44614.66666666667)</f>
        <v>44614.66667</v>
      </c>
      <c r="B526" s="2">
        <f>IFERROR(__xludf.DUMMYFUNCTION("""COMPUTED_VALUE"""),1711.67)</f>
        <v>1711.67</v>
      </c>
      <c r="C526" s="2">
        <f>IFERROR(__xludf.DUMMYFUNCTION("""COMPUTED_VALUE"""),1711.67)</f>
        <v>1711.67</v>
      </c>
      <c r="D526" s="2">
        <f>IFERROR(__xludf.DUMMYFUNCTION("""COMPUTED_VALUE"""),1662.9)</f>
        <v>1662.9</v>
      </c>
      <c r="E526" s="2">
        <f>IFERROR(__xludf.DUMMYFUNCTION("""COMPUTED_VALUE"""),1682.41)</f>
        <v>1682.41</v>
      </c>
      <c r="F526" s="2">
        <f>IFERROR(__xludf.DUMMYFUNCTION("""COMPUTED_VALUE"""),2.91835E7)</f>
        <v>29183500</v>
      </c>
      <c r="G526" s="2">
        <f t="shared" si="1"/>
        <v>48.77</v>
      </c>
    </row>
    <row r="527" ht="15.75" customHeight="1">
      <c r="A527" s="1">
        <f>IFERROR(__xludf.DUMMYFUNCTION("""COMPUTED_VALUE"""),44615.66666666667)</f>
        <v>44615.66667</v>
      </c>
      <c r="B527" s="2">
        <f>IFERROR(__xludf.DUMMYFUNCTION("""COMPUTED_VALUE"""),1682.41)</f>
        <v>1682.41</v>
      </c>
      <c r="C527" s="2">
        <f>IFERROR(__xludf.DUMMYFUNCTION("""COMPUTED_VALUE"""),1706.79)</f>
        <v>1706.79</v>
      </c>
      <c r="D527" s="2">
        <f>IFERROR(__xludf.DUMMYFUNCTION("""COMPUTED_VALUE"""),1677.53)</f>
        <v>1677.53</v>
      </c>
      <c r="E527" s="2">
        <f>IFERROR(__xludf.DUMMYFUNCTION("""COMPUTED_VALUE"""),1687.28)</f>
        <v>1687.28</v>
      </c>
      <c r="F527" s="2">
        <f>IFERROR(__xludf.DUMMYFUNCTION("""COMPUTED_VALUE"""),1.51848E7)</f>
        <v>15184800</v>
      </c>
      <c r="G527" s="2">
        <f t="shared" si="1"/>
        <v>29.26</v>
      </c>
    </row>
    <row r="528" ht="15.75" customHeight="1">
      <c r="A528" s="1">
        <f>IFERROR(__xludf.DUMMYFUNCTION("""COMPUTED_VALUE"""),44616.66666666667)</f>
        <v>44616.66667</v>
      </c>
      <c r="B528" s="2">
        <f>IFERROR(__xludf.DUMMYFUNCTION("""COMPUTED_VALUE"""),1692.16)</f>
        <v>1692.16</v>
      </c>
      <c r="C528" s="2">
        <f>IFERROR(__xludf.DUMMYFUNCTION("""COMPUTED_VALUE"""),1692.16)</f>
        <v>1692.16</v>
      </c>
      <c r="D528" s="2">
        <f>IFERROR(__xludf.DUMMYFUNCTION("""COMPUTED_VALUE"""),1570.25)</f>
        <v>1570.25</v>
      </c>
      <c r="E528" s="2">
        <f>IFERROR(__xludf.DUMMYFUNCTION("""COMPUTED_VALUE"""),1575.12)</f>
        <v>1575.12</v>
      </c>
      <c r="F528" s="2">
        <f>IFERROR(__xludf.DUMMYFUNCTION("""COMPUTED_VALUE"""),4.76413E7)</f>
        <v>47641300</v>
      </c>
      <c r="G528" s="2">
        <f t="shared" si="1"/>
        <v>121.91</v>
      </c>
    </row>
    <row r="529" ht="15.75" customHeight="1">
      <c r="A529" s="1">
        <f>IFERROR(__xludf.DUMMYFUNCTION("""COMPUTED_VALUE"""),44617.66666666667)</f>
        <v>44617.66667</v>
      </c>
      <c r="B529" s="2">
        <f>IFERROR(__xludf.DUMMYFUNCTION("""COMPUTED_VALUE"""),1570.25)</f>
        <v>1570.25</v>
      </c>
      <c r="C529" s="2">
        <f>IFERROR(__xludf.DUMMYFUNCTION("""COMPUTED_VALUE"""),1638.52)</f>
        <v>1638.52</v>
      </c>
      <c r="D529" s="2">
        <f>IFERROR(__xludf.DUMMYFUNCTION("""COMPUTED_VALUE"""),1540.99)</f>
        <v>1540.99</v>
      </c>
      <c r="E529" s="2">
        <f>IFERROR(__xludf.DUMMYFUNCTION("""COMPUTED_VALUE"""),1623.89)</f>
        <v>1623.89</v>
      </c>
      <c r="F529" s="2">
        <f>IFERROR(__xludf.DUMMYFUNCTION("""COMPUTED_VALUE"""),2.11721E7)</f>
        <v>21172100</v>
      </c>
      <c r="G529" s="2">
        <f t="shared" si="1"/>
        <v>97.53</v>
      </c>
    </row>
    <row r="530" ht="15.75" customHeight="1">
      <c r="A530" s="1">
        <f>IFERROR(__xludf.DUMMYFUNCTION("""COMPUTED_VALUE"""),44621.66666666667)</f>
        <v>44621.66667</v>
      </c>
      <c r="B530" s="2">
        <f>IFERROR(__xludf.DUMMYFUNCTION("""COMPUTED_VALUE"""),1623.89)</f>
        <v>1623.89</v>
      </c>
      <c r="C530" s="2">
        <f>IFERROR(__xludf.DUMMYFUNCTION("""COMPUTED_VALUE"""),1775.06)</f>
        <v>1775.06</v>
      </c>
      <c r="D530" s="2">
        <f>IFERROR(__xludf.DUMMYFUNCTION("""COMPUTED_VALUE"""),1623.89)</f>
        <v>1623.89</v>
      </c>
      <c r="E530" s="2">
        <f>IFERROR(__xludf.DUMMYFUNCTION("""COMPUTED_VALUE"""),1750.68)</f>
        <v>1750.68</v>
      </c>
      <c r="F530" s="2">
        <f>IFERROR(__xludf.DUMMYFUNCTION("""COMPUTED_VALUE"""),9.66809E7)</f>
        <v>96680900</v>
      </c>
      <c r="G530" s="2">
        <f t="shared" si="1"/>
        <v>151.17</v>
      </c>
    </row>
    <row r="531" ht="15.75" customHeight="1">
      <c r="A531" s="1">
        <f>IFERROR(__xludf.DUMMYFUNCTION("""COMPUTED_VALUE"""),44622.66666666667)</f>
        <v>44622.66667</v>
      </c>
      <c r="B531" s="2">
        <f>IFERROR(__xludf.DUMMYFUNCTION("""COMPUTED_VALUE"""),1750.68)</f>
        <v>1750.68</v>
      </c>
      <c r="C531" s="2">
        <f>IFERROR(__xludf.DUMMYFUNCTION("""COMPUTED_VALUE"""),1779.94)</f>
        <v>1779.94</v>
      </c>
      <c r="D531" s="2">
        <f>IFERROR(__xludf.DUMMYFUNCTION("""COMPUTED_VALUE"""),1697.04)</f>
        <v>1697.04</v>
      </c>
      <c r="E531" s="2">
        <f>IFERROR(__xludf.DUMMYFUNCTION("""COMPUTED_VALUE"""),1731.17)</f>
        <v>1731.17</v>
      </c>
      <c r="F531" s="2">
        <f>IFERROR(__xludf.DUMMYFUNCTION("""COMPUTED_VALUE"""),6.07759E7)</f>
        <v>60775900</v>
      </c>
      <c r="G531" s="2">
        <f t="shared" si="1"/>
        <v>82.9</v>
      </c>
    </row>
    <row r="532" ht="15.75" customHeight="1">
      <c r="A532" s="1">
        <f>IFERROR(__xludf.DUMMYFUNCTION("""COMPUTED_VALUE"""),44624.66666666667)</f>
        <v>44624.66667</v>
      </c>
      <c r="B532" s="2">
        <f>IFERROR(__xludf.DUMMYFUNCTION("""COMPUTED_VALUE"""),1731.17)</f>
        <v>1731.17</v>
      </c>
      <c r="C532" s="2">
        <f>IFERROR(__xludf.DUMMYFUNCTION("""COMPUTED_VALUE"""),1750.68)</f>
        <v>1750.68</v>
      </c>
      <c r="D532" s="2">
        <f>IFERROR(__xludf.DUMMYFUNCTION("""COMPUTED_VALUE"""),1692.16)</f>
        <v>1692.16</v>
      </c>
      <c r="E532" s="2">
        <f>IFERROR(__xludf.DUMMYFUNCTION("""COMPUTED_VALUE"""),1697.04)</f>
        <v>1697.04</v>
      </c>
      <c r="F532" s="2">
        <f>IFERROR(__xludf.DUMMYFUNCTION("""COMPUTED_VALUE"""),1.89049E7)</f>
        <v>18904900</v>
      </c>
      <c r="G532" s="2">
        <f t="shared" si="1"/>
        <v>58.52</v>
      </c>
    </row>
    <row r="533" ht="15.75" customHeight="1">
      <c r="A533" s="1">
        <f>IFERROR(__xludf.DUMMYFUNCTION("""COMPUTED_VALUE"""),44627.66666666667)</f>
        <v>44627.66667</v>
      </c>
      <c r="B533" s="2">
        <f>IFERROR(__xludf.DUMMYFUNCTION("""COMPUTED_VALUE"""),1701.91)</f>
        <v>1701.91</v>
      </c>
      <c r="C533" s="2">
        <f>IFERROR(__xludf.DUMMYFUNCTION("""COMPUTED_VALUE"""),1701.91)</f>
        <v>1701.91</v>
      </c>
      <c r="D533" s="2">
        <f>IFERROR(__xludf.DUMMYFUNCTION("""COMPUTED_VALUE"""),1628.77)</f>
        <v>1628.77</v>
      </c>
      <c r="E533" s="2">
        <f>IFERROR(__xludf.DUMMYFUNCTION("""COMPUTED_VALUE"""),1643.4)</f>
        <v>1643.4</v>
      </c>
      <c r="F533" s="2">
        <f>IFERROR(__xludf.DUMMYFUNCTION("""COMPUTED_VALUE"""),2.38147E7)</f>
        <v>23814700</v>
      </c>
      <c r="G533" s="2">
        <f t="shared" si="1"/>
        <v>73.14</v>
      </c>
    </row>
    <row r="534" ht="15.75" customHeight="1">
      <c r="A534" s="1">
        <f>IFERROR(__xludf.DUMMYFUNCTION("""COMPUTED_VALUE"""),44628.66666666667)</f>
        <v>44628.66667</v>
      </c>
      <c r="B534" s="2">
        <f>IFERROR(__xludf.DUMMYFUNCTION("""COMPUTED_VALUE"""),1599.51)</f>
        <v>1599.51</v>
      </c>
      <c r="C534" s="2">
        <f>IFERROR(__xludf.DUMMYFUNCTION("""COMPUTED_VALUE"""),1672.65)</f>
        <v>1672.65</v>
      </c>
      <c r="D534" s="2">
        <f>IFERROR(__xludf.DUMMYFUNCTION("""COMPUTED_VALUE"""),1599.51)</f>
        <v>1599.51</v>
      </c>
      <c r="E534" s="2">
        <f>IFERROR(__xludf.DUMMYFUNCTION("""COMPUTED_VALUE"""),1609.26)</f>
        <v>1609.26</v>
      </c>
      <c r="F534" s="2">
        <f>IFERROR(__xludf.DUMMYFUNCTION("""COMPUTED_VALUE"""),1.93023E7)</f>
        <v>19302300</v>
      </c>
      <c r="G534" s="2">
        <f t="shared" si="1"/>
        <v>73.14</v>
      </c>
    </row>
    <row r="535" ht="15.75" customHeight="1">
      <c r="A535" s="1">
        <f>IFERROR(__xludf.DUMMYFUNCTION("""COMPUTED_VALUE"""),44629.66666666667)</f>
        <v>44629.66667</v>
      </c>
      <c r="B535" s="2">
        <f>IFERROR(__xludf.DUMMYFUNCTION("""COMPUTED_VALUE"""),1614.14)</f>
        <v>1614.14</v>
      </c>
      <c r="C535" s="2">
        <f>IFERROR(__xludf.DUMMYFUNCTION("""COMPUTED_VALUE"""),1662.9)</f>
        <v>1662.9</v>
      </c>
      <c r="D535" s="2">
        <f>IFERROR(__xludf.DUMMYFUNCTION("""COMPUTED_VALUE"""),1604.38)</f>
        <v>1604.38</v>
      </c>
      <c r="E535" s="2">
        <f>IFERROR(__xludf.DUMMYFUNCTION("""COMPUTED_VALUE"""),1648.27)</f>
        <v>1648.27</v>
      </c>
      <c r="F535" s="2">
        <f>IFERROR(__xludf.DUMMYFUNCTION("""COMPUTED_VALUE"""),1.13012E7)</f>
        <v>11301200</v>
      </c>
      <c r="G535" s="2">
        <f t="shared" si="1"/>
        <v>58.52</v>
      </c>
    </row>
    <row r="536" ht="15.75" customHeight="1">
      <c r="A536" s="1">
        <f>IFERROR(__xludf.DUMMYFUNCTION("""COMPUTED_VALUE"""),44630.66666666667)</f>
        <v>44630.66667</v>
      </c>
      <c r="B536" s="2">
        <f>IFERROR(__xludf.DUMMYFUNCTION("""COMPUTED_VALUE"""),1653.15)</f>
        <v>1653.15</v>
      </c>
      <c r="C536" s="2">
        <f>IFERROR(__xludf.DUMMYFUNCTION("""COMPUTED_VALUE"""),1672.65)</f>
        <v>1672.65</v>
      </c>
      <c r="D536" s="2">
        <f>IFERROR(__xludf.DUMMYFUNCTION("""COMPUTED_VALUE"""),1638.52)</f>
        <v>1638.52</v>
      </c>
      <c r="E536" s="2">
        <f>IFERROR(__xludf.DUMMYFUNCTION("""COMPUTED_VALUE"""),1658.03)</f>
        <v>1658.03</v>
      </c>
      <c r="F536" s="2">
        <f>IFERROR(__xludf.DUMMYFUNCTION("""COMPUTED_VALUE"""),1.14319E7)</f>
        <v>11431900</v>
      </c>
      <c r="G536" s="2">
        <f t="shared" si="1"/>
        <v>34.13</v>
      </c>
    </row>
    <row r="537" ht="15.75" customHeight="1">
      <c r="A537" s="1">
        <f>IFERROR(__xludf.DUMMYFUNCTION("""COMPUTED_VALUE"""),44631.66666666667)</f>
        <v>44631.66667</v>
      </c>
      <c r="B537" s="2">
        <f>IFERROR(__xludf.DUMMYFUNCTION("""COMPUTED_VALUE"""),1658.03)</f>
        <v>1658.03</v>
      </c>
      <c r="C537" s="2">
        <f>IFERROR(__xludf.DUMMYFUNCTION("""COMPUTED_VALUE"""),1658.03)</f>
        <v>1658.03</v>
      </c>
      <c r="D537" s="2">
        <f>IFERROR(__xludf.DUMMYFUNCTION("""COMPUTED_VALUE"""),1623.89)</f>
        <v>1623.89</v>
      </c>
      <c r="E537" s="2">
        <f>IFERROR(__xludf.DUMMYFUNCTION("""COMPUTED_VALUE"""),1628.77)</f>
        <v>1628.77</v>
      </c>
      <c r="F537" s="2">
        <f>IFERROR(__xludf.DUMMYFUNCTION("""COMPUTED_VALUE"""),9788500.0)</f>
        <v>9788500</v>
      </c>
      <c r="G537" s="2">
        <f t="shared" si="1"/>
        <v>34.14</v>
      </c>
    </row>
    <row r="538" ht="15.75" customHeight="1">
      <c r="A538" s="1">
        <f>IFERROR(__xludf.DUMMYFUNCTION("""COMPUTED_VALUE"""),44634.66666666667)</f>
        <v>44634.66667</v>
      </c>
      <c r="B538" s="2">
        <f>IFERROR(__xludf.DUMMYFUNCTION("""COMPUTED_VALUE"""),1628.77)</f>
        <v>1628.77</v>
      </c>
      <c r="C538" s="2">
        <f>IFERROR(__xludf.DUMMYFUNCTION("""COMPUTED_VALUE"""),1653.15)</f>
        <v>1653.15</v>
      </c>
      <c r="D538" s="2">
        <f>IFERROR(__xludf.DUMMYFUNCTION("""COMPUTED_VALUE"""),1628.77)</f>
        <v>1628.77</v>
      </c>
      <c r="E538" s="2">
        <f>IFERROR(__xludf.DUMMYFUNCTION("""COMPUTED_VALUE"""),1643.4)</f>
        <v>1643.4</v>
      </c>
      <c r="F538" s="2">
        <f>IFERROR(__xludf.DUMMYFUNCTION("""COMPUTED_VALUE"""),8928600.0)</f>
        <v>8928600</v>
      </c>
      <c r="G538" s="2">
        <f t="shared" si="1"/>
        <v>24.38</v>
      </c>
    </row>
    <row r="539" ht="15.75" customHeight="1">
      <c r="A539" s="1">
        <f>IFERROR(__xludf.DUMMYFUNCTION("""COMPUTED_VALUE"""),44635.66666666667)</f>
        <v>44635.66667</v>
      </c>
      <c r="B539" s="2">
        <f>IFERROR(__xludf.DUMMYFUNCTION("""COMPUTED_VALUE"""),1643.4)</f>
        <v>1643.4</v>
      </c>
      <c r="C539" s="2">
        <f>IFERROR(__xludf.DUMMYFUNCTION("""COMPUTED_VALUE"""),1667.78)</f>
        <v>1667.78</v>
      </c>
      <c r="D539" s="2">
        <f>IFERROR(__xludf.DUMMYFUNCTION("""COMPUTED_VALUE"""),1623.89)</f>
        <v>1623.89</v>
      </c>
      <c r="E539" s="2">
        <f>IFERROR(__xludf.DUMMYFUNCTION("""COMPUTED_VALUE"""),1623.89)</f>
        <v>1623.89</v>
      </c>
      <c r="F539" s="2">
        <f>IFERROR(__xludf.DUMMYFUNCTION("""COMPUTED_VALUE"""),1.90148E7)</f>
        <v>19014800</v>
      </c>
      <c r="G539" s="2">
        <f t="shared" si="1"/>
        <v>43.89</v>
      </c>
    </row>
    <row r="540" ht="15.75" customHeight="1">
      <c r="A540" s="1">
        <f>IFERROR(__xludf.DUMMYFUNCTION("""COMPUTED_VALUE"""),44636.66666666667)</f>
        <v>44636.66667</v>
      </c>
      <c r="B540" s="2">
        <f>IFERROR(__xludf.DUMMYFUNCTION("""COMPUTED_VALUE"""),1628.77)</f>
        <v>1628.77</v>
      </c>
      <c r="C540" s="2">
        <f>IFERROR(__xludf.DUMMYFUNCTION("""COMPUTED_VALUE"""),1643.4)</f>
        <v>1643.4</v>
      </c>
      <c r="D540" s="2">
        <f>IFERROR(__xludf.DUMMYFUNCTION("""COMPUTED_VALUE"""),1609.26)</f>
        <v>1609.26</v>
      </c>
      <c r="E540" s="2">
        <f>IFERROR(__xludf.DUMMYFUNCTION("""COMPUTED_VALUE"""),1614.14)</f>
        <v>1614.14</v>
      </c>
      <c r="F540" s="2">
        <f>IFERROR(__xludf.DUMMYFUNCTION("""COMPUTED_VALUE"""),1.10397E7)</f>
        <v>11039700</v>
      </c>
      <c r="G540" s="2">
        <f t="shared" si="1"/>
        <v>34.14</v>
      </c>
    </row>
    <row r="541" ht="15.75" customHeight="1">
      <c r="A541" s="1">
        <f>IFERROR(__xludf.DUMMYFUNCTION("""COMPUTED_VALUE"""),44637.66666666667)</f>
        <v>44637.66667</v>
      </c>
      <c r="B541" s="2">
        <f>IFERROR(__xludf.DUMMYFUNCTION("""COMPUTED_VALUE"""),1614.14)</f>
        <v>1614.14</v>
      </c>
      <c r="C541" s="2">
        <f>IFERROR(__xludf.DUMMYFUNCTION("""COMPUTED_VALUE"""),1633.64)</f>
        <v>1633.64</v>
      </c>
      <c r="D541" s="2">
        <f>IFERROR(__xludf.DUMMYFUNCTION("""COMPUTED_VALUE"""),1599.51)</f>
        <v>1599.51</v>
      </c>
      <c r="E541" s="2">
        <f>IFERROR(__xludf.DUMMYFUNCTION("""COMPUTED_VALUE"""),1604.38)</f>
        <v>1604.38</v>
      </c>
      <c r="F541" s="2">
        <f>IFERROR(__xludf.DUMMYFUNCTION("""COMPUTED_VALUE"""),1.64344E7)</f>
        <v>16434400</v>
      </c>
      <c r="G541" s="2">
        <f t="shared" si="1"/>
        <v>34.13</v>
      </c>
    </row>
    <row r="542" ht="15.75" customHeight="1">
      <c r="A542" s="1">
        <f>IFERROR(__xludf.DUMMYFUNCTION("""COMPUTED_VALUE"""),44638.66666666667)</f>
        <v>44638.66667</v>
      </c>
      <c r="B542" s="2">
        <f>IFERROR(__xludf.DUMMYFUNCTION("""COMPUTED_VALUE"""),1604.38)</f>
        <v>1604.38</v>
      </c>
      <c r="C542" s="2">
        <f>IFERROR(__xludf.DUMMYFUNCTION("""COMPUTED_VALUE"""),1609.26)</f>
        <v>1609.26</v>
      </c>
      <c r="D542" s="2">
        <f>IFERROR(__xludf.DUMMYFUNCTION("""COMPUTED_VALUE"""),1575.12)</f>
        <v>1575.12</v>
      </c>
      <c r="E542" s="2">
        <f>IFERROR(__xludf.DUMMYFUNCTION("""COMPUTED_VALUE"""),1575.12)</f>
        <v>1575.12</v>
      </c>
      <c r="F542" s="2">
        <f>IFERROR(__xludf.DUMMYFUNCTION("""COMPUTED_VALUE"""),1.51281E7)</f>
        <v>15128100</v>
      </c>
      <c r="G542" s="2">
        <f t="shared" si="1"/>
        <v>34.14</v>
      </c>
    </row>
    <row r="543" ht="15.75" customHeight="1">
      <c r="A543" s="1">
        <f>IFERROR(__xludf.DUMMYFUNCTION("""COMPUTED_VALUE"""),44641.66666666667)</f>
        <v>44641.66667</v>
      </c>
      <c r="B543" s="2">
        <f>IFERROR(__xludf.DUMMYFUNCTION("""COMPUTED_VALUE"""),1653.15)</f>
        <v>1653.15</v>
      </c>
      <c r="C543" s="2">
        <f>IFERROR(__xludf.DUMMYFUNCTION("""COMPUTED_VALUE"""),1653.15)</f>
        <v>1653.15</v>
      </c>
      <c r="D543" s="2">
        <f>IFERROR(__xludf.DUMMYFUNCTION("""COMPUTED_VALUE"""),1570.25)</f>
        <v>1570.25</v>
      </c>
      <c r="E543" s="2">
        <f>IFERROR(__xludf.DUMMYFUNCTION("""COMPUTED_VALUE"""),1575.12)</f>
        <v>1575.12</v>
      </c>
      <c r="F543" s="2">
        <f>IFERROR(__xludf.DUMMYFUNCTION("""COMPUTED_VALUE"""),9339600.0)</f>
        <v>9339600</v>
      </c>
      <c r="G543" s="2">
        <f t="shared" si="1"/>
        <v>82.9</v>
      </c>
    </row>
    <row r="544" ht="15.75" customHeight="1">
      <c r="A544" s="1">
        <f>IFERROR(__xludf.DUMMYFUNCTION("""COMPUTED_VALUE"""),44642.66666666667)</f>
        <v>44642.66667</v>
      </c>
      <c r="B544" s="2">
        <f>IFERROR(__xludf.DUMMYFUNCTION("""COMPUTED_VALUE"""),1604.38)</f>
        <v>1604.38</v>
      </c>
      <c r="C544" s="2">
        <f>IFERROR(__xludf.DUMMYFUNCTION("""COMPUTED_VALUE"""),1604.38)</f>
        <v>1604.38</v>
      </c>
      <c r="D544" s="2">
        <f>IFERROR(__xludf.DUMMYFUNCTION("""COMPUTED_VALUE"""),1575.12)</f>
        <v>1575.12</v>
      </c>
      <c r="E544" s="2">
        <f>IFERROR(__xludf.DUMMYFUNCTION("""COMPUTED_VALUE"""),1589.75)</f>
        <v>1589.75</v>
      </c>
      <c r="F544" s="2">
        <f>IFERROR(__xludf.DUMMYFUNCTION("""COMPUTED_VALUE"""),5142400.0)</f>
        <v>5142400</v>
      </c>
      <c r="G544" s="2">
        <f t="shared" si="1"/>
        <v>29.26</v>
      </c>
    </row>
    <row r="545" ht="15.75" customHeight="1">
      <c r="A545" s="1">
        <f>IFERROR(__xludf.DUMMYFUNCTION("""COMPUTED_VALUE"""),44643.66666666667)</f>
        <v>44643.66667</v>
      </c>
      <c r="B545" s="2">
        <f>IFERROR(__xludf.DUMMYFUNCTION("""COMPUTED_VALUE"""),1604.38)</f>
        <v>1604.38</v>
      </c>
      <c r="C545" s="2">
        <f>IFERROR(__xludf.DUMMYFUNCTION("""COMPUTED_VALUE"""),1604.38)</f>
        <v>1604.38</v>
      </c>
      <c r="D545" s="2">
        <f>IFERROR(__xludf.DUMMYFUNCTION("""COMPUTED_VALUE"""),1575.12)</f>
        <v>1575.12</v>
      </c>
      <c r="E545" s="2">
        <f>IFERROR(__xludf.DUMMYFUNCTION("""COMPUTED_VALUE"""),1580.0)</f>
        <v>1580</v>
      </c>
      <c r="F545" s="2">
        <f>IFERROR(__xludf.DUMMYFUNCTION("""COMPUTED_VALUE"""),9877300.0)</f>
        <v>9877300</v>
      </c>
      <c r="G545" s="2">
        <f t="shared" si="1"/>
        <v>29.26</v>
      </c>
    </row>
    <row r="546" ht="15.75" customHeight="1">
      <c r="A546" s="1">
        <f>IFERROR(__xludf.DUMMYFUNCTION("""COMPUTED_VALUE"""),44644.66666666667)</f>
        <v>44644.66667</v>
      </c>
      <c r="B546" s="2">
        <f>IFERROR(__xludf.DUMMYFUNCTION("""COMPUTED_VALUE"""),1501.98)</f>
        <v>1501.98</v>
      </c>
      <c r="C546" s="2">
        <f>IFERROR(__xludf.DUMMYFUNCTION("""COMPUTED_VALUE"""),1589.75)</f>
        <v>1589.75</v>
      </c>
      <c r="D546" s="2">
        <f>IFERROR(__xludf.DUMMYFUNCTION("""COMPUTED_VALUE"""),1501.98)</f>
        <v>1501.98</v>
      </c>
      <c r="E546" s="2">
        <f>IFERROR(__xludf.DUMMYFUNCTION("""COMPUTED_VALUE"""),1580.0)</f>
        <v>1580</v>
      </c>
      <c r="F546" s="2">
        <f>IFERROR(__xludf.DUMMYFUNCTION("""COMPUTED_VALUE"""),9085400.0)</f>
        <v>9085400</v>
      </c>
      <c r="G546" s="2">
        <f t="shared" si="1"/>
        <v>87.77</v>
      </c>
    </row>
    <row r="547" ht="15.75" customHeight="1">
      <c r="A547" s="1">
        <f>IFERROR(__xludf.DUMMYFUNCTION("""COMPUTED_VALUE"""),44645.66666666667)</f>
        <v>44645.66667</v>
      </c>
      <c r="B547" s="2">
        <f>IFERROR(__xludf.DUMMYFUNCTION("""COMPUTED_VALUE"""),1472.72)</f>
        <v>1472.72</v>
      </c>
      <c r="C547" s="2">
        <f>IFERROR(__xludf.DUMMYFUNCTION("""COMPUTED_VALUE"""),1584.88)</f>
        <v>1584.88</v>
      </c>
      <c r="D547" s="2">
        <f>IFERROR(__xludf.DUMMYFUNCTION("""COMPUTED_VALUE"""),1472.72)</f>
        <v>1472.72</v>
      </c>
      <c r="E547" s="2">
        <f>IFERROR(__xludf.DUMMYFUNCTION("""COMPUTED_VALUE"""),1570.25)</f>
        <v>1570.25</v>
      </c>
      <c r="F547" s="2">
        <f>IFERROR(__xludf.DUMMYFUNCTION("""COMPUTED_VALUE"""),6514200.0)</f>
        <v>6514200</v>
      </c>
      <c r="G547" s="2">
        <f t="shared" si="1"/>
        <v>112.16</v>
      </c>
    </row>
    <row r="548" ht="15.75" customHeight="1">
      <c r="A548" s="1">
        <f>IFERROR(__xludf.DUMMYFUNCTION("""COMPUTED_VALUE"""),44648.66666666667)</f>
        <v>44648.66667</v>
      </c>
      <c r="B548" s="2">
        <f>IFERROR(__xludf.DUMMYFUNCTION("""COMPUTED_VALUE"""),1594.63)</f>
        <v>1594.63</v>
      </c>
      <c r="C548" s="2">
        <f>IFERROR(__xludf.DUMMYFUNCTION("""COMPUTED_VALUE"""),1594.63)</f>
        <v>1594.63</v>
      </c>
      <c r="D548" s="2">
        <f>IFERROR(__xludf.DUMMYFUNCTION("""COMPUTED_VALUE"""),1570.25)</f>
        <v>1570.25</v>
      </c>
      <c r="E548" s="2">
        <f>IFERROR(__xludf.DUMMYFUNCTION("""COMPUTED_VALUE"""),1575.12)</f>
        <v>1575.12</v>
      </c>
      <c r="F548" s="2">
        <f>IFERROR(__xludf.DUMMYFUNCTION("""COMPUTED_VALUE"""),4915000.0)</f>
        <v>4915000</v>
      </c>
      <c r="G548" s="2">
        <f t="shared" si="1"/>
        <v>24.38</v>
      </c>
    </row>
    <row r="549" ht="15.75" customHeight="1">
      <c r="A549" s="1">
        <f>IFERROR(__xludf.DUMMYFUNCTION("""COMPUTED_VALUE"""),44649.66666666667)</f>
        <v>44649.66667</v>
      </c>
      <c r="B549" s="2">
        <f>IFERROR(__xludf.DUMMYFUNCTION("""COMPUTED_VALUE"""),1609.26)</f>
        <v>1609.26</v>
      </c>
      <c r="C549" s="2">
        <f>IFERROR(__xludf.DUMMYFUNCTION("""COMPUTED_VALUE"""),1609.26)</f>
        <v>1609.26</v>
      </c>
      <c r="D549" s="2">
        <f>IFERROR(__xludf.DUMMYFUNCTION("""COMPUTED_VALUE"""),1570.25)</f>
        <v>1570.25</v>
      </c>
      <c r="E549" s="2">
        <f>IFERROR(__xludf.DUMMYFUNCTION("""COMPUTED_VALUE"""),1575.12)</f>
        <v>1575.12</v>
      </c>
      <c r="F549" s="2">
        <f>IFERROR(__xludf.DUMMYFUNCTION("""COMPUTED_VALUE"""),5238600.0)</f>
        <v>5238600</v>
      </c>
      <c r="G549" s="2">
        <f t="shared" si="1"/>
        <v>39.01</v>
      </c>
    </row>
    <row r="550" ht="15.75" customHeight="1">
      <c r="A550" s="1">
        <f>IFERROR(__xludf.DUMMYFUNCTION("""COMPUTED_VALUE"""),44650.66666666667)</f>
        <v>44650.66667</v>
      </c>
      <c r="B550" s="2">
        <f>IFERROR(__xludf.DUMMYFUNCTION("""COMPUTED_VALUE"""),1575.12)</f>
        <v>1575.12</v>
      </c>
      <c r="C550" s="2">
        <f>IFERROR(__xludf.DUMMYFUNCTION("""COMPUTED_VALUE"""),1589.75)</f>
        <v>1589.75</v>
      </c>
      <c r="D550" s="2">
        <f>IFERROR(__xludf.DUMMYFUNCTION("""COMPUTED_VALUE"""),1565.37)</f>
        <v>1565.37</v>
      </c>
      <c r="E550" s="2">
        <f>IFERROR(__xludf.DUMMYFUNCTION("""COMPUTED_VALUE"""),1580.0)</f>
        <v>1580</v>
      </c>
      <c r="F550" s="2">
        <f>IFERROR(__xludf.DUMMYFUNCTION("""COMPUTED_VALUE"""),9262900.0)</f>
        <v>9262900</v>
      </c>
      <c r="G550" s="2">
        <f t="shared" si="1"/>
        <v>24.38</v>
      </c>
    </row>
    <row r="551" ht="15.75" customHeight="1">
      <c r="A551" s="1">
        <f>IFERROR(__xludf.DUMMYFUNCTION("""COMPUTED_VALUE"""),44651.66666666667)</f>
        <v>44651.66667</v>
      </c>
      <c r="B551" s="2">
        <f>IFERROR(__xludf.DUMMYFUNCTION("""COMPUTED_VALUE"""),1580.0)</f>
        <v>1580</v>
      </c>
      <c r="C551" s="2">
        <f>IFERROR(__xludf.DUMMYFUNCTION("""COMPUTED_VALUE"""),1584.88)</f>
        <v>1584.88</v>
      </c>
      <c r="D551" s="2">
        <f>IFERROR(__xludf.DUMMYFUNCTION("""COMPUTED_VALUE"""),1565.37)</f>
        <v>1565.37</v>
      </c>
      <c r="E551" s="2">
        <f>IFERROR(__xludf.DUMMYFUNCTION("""COMPUTED_VALUE"""),1565.37)</f>
        <v>1565.37</v>
      </c>
      <c r="F551" s="2">
        <f>IFERROR(__xludf.DUMMYFUNCTION("""COMPUTED_VALUE"""),5846200.0)</f>
        <v>5846200</v>
      </c>
      <c r="G551" s="2">
        <f t="shared" si="1"/>
        <v>19.51</v>
      </c>
    </row>
    <row r="552" ht="15.75" customHeight="1">
      <c r="A552" s="1">
        <f>IFERROR(__xludf.DUMMYFUNCTION("""COMPUTED_VALUE"""),44652.66666666667)</f>
        <v>44652.66667</v>
      </c>
      <c r="B552" s="2">
        <f>IFERROR(__xludf.DUMMYFUNCTION("""COMPUTED_VALUE"""),1565.37)</f>
        <v>1565.37</v>
      </c>
      <c r="C552" s="2">
        <f>IFERROR(__xludf.DUMMYFUNCTION("""COMPUTED_VALUE"""),1580.0)</f>
        <v>1580</v>
      </c>
      <c r="D552" s="2">
        <f>IFERROR(__xludf.DUMMYFUNCTION("""COMPUTED_VALUE"""),1565.37)</f>
        <v>1565.37</v>
      </c>
      <c r="E552" s="2">
        <f>IFERROR(__xludf.DUMMYFUNCTION("""COMPUTED_VALUE"""),1565.37)</f>
        <v>1565.37</v>
      </c>
      <c r="F552" s="2">
        <f>IFERROR(__xludf.DUMMYFUNCTION("""COMPUTED_VALUE"""),6209700.0)</f>
        <v>6209700</v>
      </c>
      <c r="G552" s="2">
        <f t="shared" si="1"/>
        <v>14.63</v>
      </c>
    </row>
    <row r="553" ht="15.75" customHeight="1">
      <c r="A553" s="1">
        <f>IFERROR(__xludf.DUMMYFUNCTION("""COMPUTED_VALUE"""),44655.66666666667)</f>
        <v>44655.66667</v>
      </c>
      <c r="B553" s="2">
        <f>IFERROR(__xludf.DUMMYFUNCTION("""COMPUTED_VALUE"""),1565.37)</f>
        <v>1565.37</v>
      </c>
      <c r="C553" s="2">
        <f>IFERROR(__xludf.DUMMYFUNCTION("""COMPUTED_VALUE"""),1575.12)</f>
        <v>1575.12</v>
      </c>
      <c r="D553" s="2">
        <f>IFERROR(__xludf.DUMMYFUNCTION("""COMPUTED_VALUE"""),1540.99)</f>
        <v>1540.99</v>
      </c>
      <c r="E553" s="2">
        <f>IFERROR(__xludf.DUMMYFUNCTION("""COMPUTED_VALUE"""),1545.86)</f>
        <v>1545.86</v>
      </c>
      <c r="F553" s="2">
        <f>IFERROR(__xludf.DUMMYFUNCTION("""COMPUTED_VALUE"""),1.03649E7)</f>
        <v>10364900</v>
      </c>
      <c r="G553" s="2">
        <f t="shared" si="1"/>
        <v>34.13</v>
      </c>
    </row>
    <row r="554" ht="15.75" customHeight="1">
      <c r="A554" s="1">
        <f>IFERROR(__xludf.DUMMYFUNCTION("""COMPUTED_VALUE"""),44656.66666666667)</f>
        <v>44656.66667</v>
      </c>
      <c r="B554" s="2">
        <f>IFERROR(__xludf.DUMMYFUNCTION("""COMPUTED_VALUE"""),1633.64)</f>
        <v>1633.64</v>
      </c>
      <c r="C554" s="2">
        <f>IFERROR(__xludf.DUMMYFUNCTION("""COMPUTED_VALUE"""),1633.64)</f>
        <v>1633.64</v>
      </c>
      <c r="D554" s="2">
        <f>IFERROR(__xludf.DUMMYFUNCTION("""COMPUTED_VALUE"""),1531.23)</f>
        <v>1531.23</v>
      </c>
      <c r="E554" s="2">
        <f>IFERROR(__xludf.DUMMYFUNCTION("""COMPUTED_VALUE"""),1531.23)</f>
        <v>1531.23</v>
      </c>
      <c r="F554" s="2">
        <f>IFERROR(__xludf.DUMMYFUNCTION("""COMPUTED_VALUE"""),1.11787E7)</f>
        <v>11178700</v>
      </c>
      <c r="G554" s="2">
        <f t="shared" si="1"/>
        <v>102.41</v>
      </c>
    </row>
    <row r="555" ht="15.75" customHeight="1">
      <c r="A555" s="1">
        <f>IFERROR(__xludf.DUMMYFUNCTION("""COMPUTED_VALUE"""),44657.66666666667)</f>
        <v>44657.66667</v>
      </c>
      <c r="B555" s="2">
        <f>IFERROR(__xludf.DUMMYFUNCTION("""COMPUTED_VALUE"""),1531.23)</f>
        <v>1531.23</v>
      </c>
      <c r="C555" s="2">
        <f>IFERROR(__xludf.DUMMYFUNCTION("""COMPUTED_VALUE"""),1536.11)</f>
        <v>1536.11</v>
      </c>
      <c r="D555" s="2">
        <f>IFERROR(__xludf.DUMMYFUNCTION("""COMPUTED_VALUE"""),1472.72)</f>
        <v>1472.72</v>
      </c>
      <c r="E555" s="2">
        <f>IFERROR(__xludf.DUMMYFUNCTION("""COMPUTED_VALUE"""),1472.72)</f>
        <v>1472.72</v>
      </c>
      <c r="F555" s="2">
        <f>IFERROR(__xludf.DUMMYFUNCTION("""COMPUTED_VALUE"""),2.94192E7)</f>
        <v>29419200</v>
      </c>
      <c r="G555" s="2">
        <f t="shared" si="1"/>
        <v>63.39</v>
      </c>
    </row>
    <row r="556" ht="15.75" customHeight="1">
      <c r="A556" s="1">
        <f>IFERROR(__xludf.DUMMYFUNCTION("""COMPUTED_VALUE"""),44658.66666666667)</f>
        <v>44658.66667</v>
      </c>
      <c r="B556" s="2">
        <f>IFERROR(__xludf.DUMMYFUNCTION("""COMPUTED_VALUE"""),1511.73)</f>
        <v>1511.73</v>
      </c>
      <c r="C556" s="2">
        <f>IFERROR(__xludf.DUMMYFUNCTION("""COMPUTED_VALUE"""),1511.73)</f>
        <v>1511.73</v>
      </c>
      <c r="D556" s="2">
        <f>IFERROR(__xludf.DUMMYFUNCTION("""COMPUTED_VALUE"""),1472.72)</f>
        <v>1472.72</v>
      </c>
      <c r="E556" s="2">
        <f>IFERROR(__xludf.DUMMYFUNCTION("""COMPUTED_VALUE"""),1487.35)</f>
        <v>1487.35</v>
      </c>
      <c r="F556" s="2">
        <f>IFERROR(__xludf.DUMMYFUNCTION("""COMPUTED_VALUE"""),9993900.0)</f>
        <v>9993900</v>
      </c>
      <c r="G556" s="2">
        <f t="shared" si="1"/>
        <v>39.01</v>
      </c>
    </row>
    <row r="557" ht="15.75" customHeight="1">
      <c r="A557" s="1">
        <f>IFERROR(__xludf.DUMMYFUNCTION("""COMPUTED_VALUE"""),44659.66666666667)</f>
        <v>44659.66667</v>
      </c>
      <c r="B557" s="2">
        <f>IFERROR(__xludf.DUMMYFUNCTION("""COMPUTED_VALUE"""),1487.35)</f>
        <v>1487.35</v>
      </c>
      <c r="C557" s="2">
        <f>IFERROR(__xludf.DUMMYFUNCTION("""COMPUTED_VALUE"""),1506.85)</f>
        <v>1506.85</v>
      </c>
      <c r="D557" s="2">
        <f>IFERROR(__xludf.DUMMYFUNCTION("""COMPUTED_VALUE"""),1487.35)</f>
        <v>1487.35</v>
      </c>
      <c r="E557" s="2">
        <f>IFERROR(__xludf.DUMMYFUNCTION("""COMPUTED_VALUE"""),1487.35)</f>
        <v>1487.35</v>
      </c>
      <c r="F557" s="2">
        <f>IFERROR(__xludf.DUMMYFUNCTION("""COMPUTED_VALUE"""),6002900.0)</f>
        <v>6002900</v>
      </c>
      <c r="G557" s="2">
        <f t="shared" si="1"/>
        <v>19.5</v>
      </c>
    </row>
    <row r="558" ht="15.75" customHeight="1">
      <c r="A558" s="1">
        <f>IFERROR(__xludf.DUMMYFUNCTION("""COMPUTED_VALUE"""),44662.66666666667)</f>
        <v>44662.66667</v>
      </c>
      <c r="B558" s="2">
        <f>IFERROR(__xludf.DUMMYFUNCTION("""COMPUTED_VALUE"""),1487.35)</f>
        <v>1487.35</v>
      </c>
      <c r="C558" s="2">
        <f>IFERROR(__xludf.DUMMYFUNCTION("""COMPUTED_VALUE"""),1497.1)</f>
        <v>1497.1</v>
      </c>
      <c r="D558" s="2">
        <f>IFERROR(__xludf.DUMMYFUNCTION("""COMPUTED_VALUE"""),1462.96)</f>
        <v>1462.96</v>
      </c>
      <c r="E558" s="2">
        <f>IFERROR(__xludf.DUMMYFUNCTION("""COMPUTED_VALUE"""),1477.59)</f>
        <v>1477.59</v>
      </c>
      <c r="F558" s="2">
        <f>IFERROR(__xludf.DUMMYFUNCTION("""COMPUTED_VALUE"""),1.71195E7)</f>
        <v>17119500</v>
      </c>
      <c r="G558" s="2">
        <f t="shared" si="1"/>
        <v>34.14</v>
      </c>
    </row>
    <row r="559" ht="15.75" customHeight="1">
      <c r="A559" s="1">
        <f>IFERROR(__xludf.DUMMYFUNCTION("""COMPUTED_VALUE"""),44663.66666666667)</f>
        <v>44663.66667</v>
      </c>
      <c r="B559" s="2">
        <f>IFERROR(__xludf.DUMMYFUNCTION("""COMPUTED_VALUE"""),1511.73)</f>
        <v>1511.73</v>
      </c>
      <c r="C559" s="2">
        <f>IFERROR(__xludf.DUMMYFUNCTION("""COMPUTED_VALUE"""),1511.73)</f>
        <v>1511.73</v>
      </c>
      <c r="D559" s="2">
        <f>IFERROR(__xludf.DUMMYFUNCTION("""COMPUTED_VALUE"""),1462.96)</f>
        <v>1462.96</v>
      </c>
      <c r="E559" s="2">
        <f>IFERROR(__xludf.DUMMYFUNCTION("""COMPUTED_VALUE"""),1467.84)</f>
        <v>1467.84</v>
      </c>
      <c r="F559" s="2">
        <f>IFERROR(__xludf.DUMMYFUNCTION("""COMPUTED_VALUE"""),1.19195E7)</f>
        <v>11919500</v>
      </c>
      <c r="G559" s="2">
        <f t="shared" si="1"/>
        <v>48.77</v>
      </c>
    </row>
    <row r="560" ht="15.75" customHeight="1">
      <c r="A560" s="1">
        <f>IFERROR(__xludf.DUMMYFUNCTION("""COMPUTED_VALUE"""),44664.66666666667)</f>
        <v>44664.66667</v>
      </c>
      <c r="B560" s="2">
        <f>IFERROR(__xludf.DUMMYFUNCTION("""COMPUTED_VALUE"""),1467.84)</f>
        <v>1467.84</v>
      </c>
      <c r="C560" s="2">
        <f>IFERROR(__xludf.DUMMYFUNCTION("""COMPUTED_VALUE"""),1487.35)</f>
        <v>1487.35</v>
      </c>
      <c r="D560" s="2">
        <f>IFERROR(__xludf.DUMMYFUNCTION("""COMPUTED_VALUE"""),1467.84)</f>
        <v>1467.84</v>
      </c>
      <c r="E560" s="2">
        <f>IFERROR(__xludf.DUMMYFUNCTION("""COMPUTED_VALUE"""),1467.84)</f>
        <v>1467.84</v>
      </c>
      <c r="F560" s="2">
        <f>IFERROR(__xludf.DUMMYFUNCTION("""COMPUTED_VALUE"""),7180100.0)</f>
        <v>7180100</v>
      </c>
      <c r="G560" s="2">
        <f t="shared" si="1"/>
        <v>19.51</v>
      </c>
    </row>
    <row r="561" ht="15.75" customHeight="1">
      <c r="A561" s="1">
        <f>IFERROR(__xludf.DUMMYFUNCTION("""COMPUTED_VALUE"""),44665.66666666667)</f>
        <v>44665.66667</v>
      </c>
      <c r="B561" s="2">
        <f>IFERROR(__xludf.DUMMYFUNCTION("""COMPUTED_VALUE"""),1467.84)</f>
        <v>1467.84</v>
      </c>
      <c r="C561" s="2">
        <f>IFERROR(__xludf.DUMMYFUNCTION("""COMPUTED_VALUE"""),1536.11)</f>
        <v>1536.11</v>
      </c>
      <c r="D561" s="2">
        <f>IFERROR(__xludf.DUMMYFUNCTION("""COMPUTED_VALUE"""),1467.84)</f>
        <v>1467.84</v>
      </c>
      <c r="E561" s="2">
        <f>IFERROR(__xludf.DUMMYFUNCTION("""COMPUTED_VALUE"""),1521.48)</f>
        <v>1521.48</v>
      </c>
      <c r="F561" s="2">
        <f>IFERROR(__xludf.DUMMYFUNCTION("""COMPUTED_VALUE"""),2.09061E7)</f>
        <v>20906100</v>
      </c>
      <c r="G561" s="2">
        <f t="shared" si="1"/>
        <v>68.27</v>
      </c>
    </row>
    <row r="562" ht="15.75" customHeight="1">
      <c r="A562" s="1">
        <f>IFERROR(__xludf.DUMMYFUNCTION("""COMPUTED_VALUE"""),44669.66666666667)</f>
        <v>44669.66667</v>
      </c>
      <c r="B562" s="2">
        <f>IFERROR(__xludf.DUMMYFUNCTION("""COMPUTED_VALUE"""),1521.48)</f>
        <v>1521.48</v>
      </c>
      <c r="C562" s="2">
        <f>IFERROR(__xludf.DUMMYFUNCTION("""COMPUTED_VALUE"""),1580.0)</f>
        <v>1580</v>
      </c>
      <c r="D562" s="2">
        <f>IFERROR(__xludf.DUMMYFUNCTION("""COMPUTED_VALUE"""),1497.1)</f>
        <v>1497.1</v>
      </c>
      <c r="E562" s="2">
        <f>IFERROR(__xludf.DUMMYFUNCTION("""COMPUTED_VALUE"""),1575.12)</f>
        <v>1575.12</v>
      </c>
      <c r="F562" s="2">
        <f>IFERROR(__xludf.DUMMYFUNCTION("""COMPUTED_VALUE"""),2.34469E7)</f>
        <v>23446900</v>
      </c>
      <c r="G562" s="2">
        <f t="shared" si="1"/>
        <v>82.9</v>
      </c>
    </row>
    <row r="563" ht="15.75" customHeight="1">
      <c r="A563" s="1">
        <f>IFERROR(__xludf.DUMMYFUNCTION("""COMPUTED_VALUE"""),44670.66666666667)</f>
        <v>44670.66667</v>
      </c>
      <c r="B563" s="2">
        <f>IFERROR(__xludf.DUMMYFUNCTION("""COMPUTED_VALUE"""),1633.64)</f>
        <v>1633.64</v>
      </c>
      <c r="C563" s="2">
        <f>IFERROR(__xludf.DUMMYFUNCTION("""COMPUTED_VALUE"""),1633.64)</f>
        <v>1633.64</v>
      </c>
      <c r="D563" s="2">
        <f>IFERROR(__xludf.DUMMYFUNCTION("""COMPUTED_VALUE"""),1536.11)</f>
        <v>1536.11</v>
      </c>
      <c r="E563" s="2">
        <f>IFERROR(__xludf.DUMMYFUNCTION("""COMPUTED_VALUE"""),1536.11)</f>
        <v>1536.11</v>
      </c>
      <c r="F563" s="2">
        <f>IFERROR(__xludf.DUMMYFUNCTION("""COMPUTED_VALUE"""),1.48882E7)</f>
        <v>14888200</v>
      </c>
      <c r="G563" s="2">
        <f t="shared" si="1"/>
        <v>97.53</v>
      </c>
    </row>
    <row r="564" ht="15.75" customHeight="1">
      <c r="A564" s="1">
        <f>IFERROR(__xludf.DUMMYFUNCTION("""COMPUTED_VALUE"""),44671.66666666667)</f>
        <v>44671.66667</v>
      </c>
      <c r="B564" s="2">
        <f>IFERROR(__xludf.DUMMYFUNCTION("""COMPUTED_VALUE"""),1536.11)</f>
        <v>1536.11</v>
      </c>
      <c r="C564" s="2">
        <f>IFERROR(__xludf.DUMMYFUNCTION("""COMPUTED_VALUE"""),1540.99)</f>
        <v>1540.99</v>
      </c>
      <c r="D564" s="2">
        <f>IFERROR(__xludf.DUMMYFUNCTION("""COMPUTED_VALUE"""),1506.85)</f>
        <v>1506.85</v>
      </c>
      <c r="E564" s="2">
        <f>IFERROR(__xludf.DUMMYFUNCTION("""COMPUTED_VALUE"""),1516.61)</f>
        <v>1516.61</v>
      </c>
      <c r="F564" s="2">
        <f>IFERROR(__xludf.DUMMYFUNCTION("""COMPUTED_VALUE"""),2.3817E7)</f>
        <v>23817000</v>
      </c>
      <c r="G564" s="2">
        <f t="shared" si="1"/>
        <v>34.14</v>
      </c>
    </row>
    <row r="565" ht="15.75" customHeight="1">
      <c r="A565" s="1">
        <f>IFERROR(__xludf.DUMMYFUNCTION("""COMPUTED_VALUE"""),44672.66666666667)</f>
        <v>44672.66667</v>
      </c>
      <c r="B565" s="2">
        <f>IFERROR(__xludf.DUMMYFUNCTION("""COMPUTED_VALUE"""),1526.36)</f>
        <v>1526.36</v>
      </c>
      <c r="C565" s="2">
        <f>IFERROR(__xludf.DUMMYFUNCTION("""COMPUTED_VALUE"""),1536.11)</f>
        <v>1536.11</v>
      </c>
      <c r="D565" s="2">
        <f>IFERROR(__xludf.DUMMYFUNCTION("""COMPUTED_VALUE"""),1516.61)</f>
        <v>1516.61</v>
      </c>
      <c r="E565" s="2">
        <f>IFERROR(__xludf.DUMMYFUNCTION("""COMPUTED_VALUE"""),1521.48)</f>
        <v>1521.48</v>
      </c>
      <c r="F565" s="2">
        <f>IFERROR(__xludf.DUMMYFUNCTION("""COMPUTED_VALUE"""),7391500.0)</f>
        <v>7391500</v>
      </c>
      <c r="G565" s="2">
        <f t="shared" si="1"/>
        <v>19.5</v>
      </c>
    </row>
    <row r="566" ht="15.75" customHeight="1">
      <c r="A566" s="1">
        <f>IFERROR(__xludf.DUMMYFUNCTION("""COMPUTED_VALUE"""),44673.66666666667)</f>
        <v>44673.66667</v>
      </c>
      <c r="B566" s="2">
        <f>IFERROR(__xludf.DUMMYFUNCTION("""COMPUTED_VALUE"""),1521.48)</f>
        <v>1521.48</v>
      </c>
      <c r="C566" s="2">
        <f>IFERROR(__xludf.DUMMYFUNCTION("""COMPUTED_VALUE"""),1521.48)</f>
        <v>1521.48</v>
      </c>
      <c r="D566" s="2">
        <f>IFERROR(__xludf.DUMMYFUNCTION("""COMPUTED_VALUE"""),1487.35)</f>
        <v>1487.35</v>
      </c>
      <c r="E566" s="2">
        <f>IFERROR(__xludf.DUMMYFUNCTION("""COMPUTED_VALUE"""),1497.1)</f>
        <v>1497.1</v>
      </c>
      <c r="F566" s="2">
        <f>IFERROR(__xludf.DUMMYFUNCTION("""COMPUTED_VALUE"""),6099500.0)</f>
        <v>6099500</v>
      </c>
      <c r="G566" s="2">
        <f t="shared" si="1"/>
        <v>34.13</v>
      </c>
    </row>
    <row r="567" ht="15.75" customHeight="1">
      <c r="A567" s="1">
        <f>IFERROR(__xludf.DUMMYFUNCTION("""COMPUTED_VALUE"""),44676.66666666667)</f>
        <v>44676.66667</v>
      </c>
      <c r="B567" s="2">
        <f>IFERROR(__xludf.DUMMYFUNCTION("""COMPUTED_VALUE"""),1472.72)</f>
        <v>1472.72</v>
      </c>
      <c r="C567" s="2">
        <f>IFERROR(__xludf.DUMMYFUNCTION("""COMPUTED_VALUE"""),1492.22)</f>
        <v>1492.22</v>
      </c>
      <c r="D567" s="2">
        <f>IFERROR(__xludf.DUMMYFUNCTION("""COMPUTED_VALUE"""),1467.84)</f>
        <v>1467.84</v>
      </c>
      <c r="E567" s="2">
        <f>IFERROR(__xludf.DUMMYFUNCTION("""COMPUTED_VALUE"""),1472.72)</f>
        <v>1472.72</v>
      </c>
      <c r="F567" s="2">
        <f>IFERROR(__xludf.DUMMYFUNCTION("""COMPUTED_VALUE"""),9596600.0)</f>
        <v>9596600</v>
      </c>
      <c r="G567" s="2">
        <f t="shared" si="1"/>
        <v>29.26</v>
      </c>
    </row>
    <row r="568" ht="15.75" customHeight="1">
      <c r="A568" s="1">
        <f>IFERROR(__xludf.DUMMYFUNCTION("""COMPUTED_VALUE"""),44677.66666666667)</f>
        <v>44677.66667</v>
      </c>
      <c r="B568" s="2">
        <f>IFERROR(__xludf.DUMMYFUNCTION("""COMPUTED_VALUE"""),1472.72)</f>
        <v>1472.72</v>
      </c>
      <c r="C568" s="2">
        <f>IFERROR(__xludf.DUMMYFUNCTION("""COMPUTED_VALUE"""),1492.22)</f>
        <v>1492.22</v>
      </c>
      <c r="D568" s="2">
        <f>IFERROR(__xludf.DUMMYFUNCTION("""COMPUTED_VALUE"""),1472.72)</f>
        <v>1472.72</v>
      </c>
      <c r="E568" s="2">
        <f>IFERROR(__xludf.DUMMYFUNCTION("""COMPUTED_VALUE"""),1492.22)</f>
        <v>1492.22</v>
      </c>
      <c r="F568" s="2">
        <f>IFERROR(__xludf.DUMMYFUNCTION("""COMPUTED_VALUE"""),5669100.0)</f>
        <v>5669100</v>
      </c>
      <c r="G568" s="2">
        <f t="shared" si="1"/>
        <v>19.5</v>
      </c>
    </row>
    <row r="569" ht="15.75" customHeight="1">
      <c r="A569" s="1">
        <f>IFERROR(__xludf.DUMMYFUNCTION("""COMPUTED_VALUE"""),44678.66666666667)</f>
        <v>44678.66667</v>
      </c>
      <c r="B569" s="2">
        <f>IFERROR(__xludf.DUMMYFUNCTION("""COMPUTED_VALUE"""),1492.22)</f>
        <v>1492.22</v>
      </c>
      <c r="C569" s="2">
        <f>IFERROR(__xludf.DUMMYFUNCTION("""COMPUTED_VALUE"""),1506.85)</f>
        <v>1506.85</v>
      </c>
      <c r="D569" s="2">
        <f>IFERROR(__xludf.DUMMYFUNCTION("""COMPUTED_VALUE"""),1482.47)</f>
        <v>1482.47</v>
      </c>
      <c r="E569" s="2">
        <f>IFERROR(__xludf.DUMMYFUNCTION("""COMPUTED_VALUE"""),1492.22)</f>
        <v>1492.22</v>
      </c>
      <c r="F569" s="2">
        <f>IFERROR(__xludf.DUMMYFUNCTION("""COMPUTED_VALUE"""),5100600.0)</f>
        <v>5100600</v>
      </c>
      <c r="G569" s="2">
        <f t="shared" si="1"/>
        <v>24.38</v>
      </c>
    </row>
    <row r="570" ht="15.75" customHeight="1">
      <c r="A570" s="1">
        <f>IFERROR(__xludf.DUMMYFUNCTION("""COMPUTED_VALUE"""),44679.66666666667)</f>
        <v>44679.66667</v>
      </c>
      <c r="B570" s="2">
        <f>IFERROR(__xludf.DUMMYFUNCTION("""COMPUTED_VALUE"""),1511.73)</f>
        <v>1511.73</v>
      </c>
      <c r="C570" s="2">
        <f>IFERROR(__xludf.DUMMYFUNCTION("""COMPUTED_VALUE"""),1545.86)</f>
        <v>1545.86</v>
      </c>
      <c r="D570" s="2">
        <f>IFERROR(__xludf.DUMMYFUNCTION("""COMPUTED_VALUE"""),1497.1)</f>
        <v>1497.1</v>
      </c>
      <c r="E570" s="2">
        <f>IFERROR(__xludf.DUMMYFUNCTION("""COMPUTED_VALUE"""),1540.99)</f>
        <v>1540.99</v>
      </c>
      <c r="F570" s="2">
        <f>IFERROR(__xludf.DUMMYFUNCTION("""COMPUTED_VALUE"""),1.7002E7)</f>
        <v>17002000</v>
      </c>
      <c r="G570" s="2">
        <f t="shared" si="1"/>
        <v>53.64</v>
      </c>
    </row>
    <row r="571" ht="15.75" customHeight="1">
      <c r="A571" s="1">
        <f>IFERROR(__xludf.DUMMYFUNCTION("""COMPUTED_VALUE"""),44690.66666666667)</f>
        <v>44690.66667</v>
      </c>
      <c r="B571" s="2">
        <f>IFERROR(__xludf.DUMMYFUNCTION("""COMPUTED_VALUE"""),1540.99)</f>
        <v>1540.99</v>
      </c>
      <c r="C571" s="2">
        <f>IFERROR(__xludf.DUMMYFUNCTION("""COMPUTED_VALUE"""),1565.37)</f>
        <v>1565.37</v>
      </c>
      <c r="D571" s="2">
        <f>IFERROR(__xludf.DUMMYFUNCTION("""COMPUTED_VALUE"""),1477.59)</f>
        <v>1477.59</v>
      </c>
      <c r="E571" s="2">
        <f>IFERROR(__xludf.DUMMYFUNCTION("""COMPUTED_VALUE"""),1482.47)</f>
        <v>1482.47</v>
      </c>
      <c r="F571" s="2">
        <f>IFERROR(__xludf.DUMMYFUNCTION("""COMPUTED_VALUE"""),1.67599E7)</f>
        <v>16759900</v>
      </c>
      <c r="G571" s="2">
        <f t="shared" si="1"/>
        <v>87.78</v>
      </c>
    </row>
    <row r="572" ht="15.75" customHeight="1">
      <c r="A572" s="1">
        <f>IFERROR(__xludf.DUMMYFUNCTION("""COMPUTED_VALUE"""),44691.66666666667)</f>
        <v>44691.66667</v>
      </c>
      <c r="B572" s="2">
        <f>IFERROR(__xludf.DUMMYFUNCTION("""COMPUTED_VALUE"""),1482.47)</f>
        <v>1482.47</v>
      </c>
      <c r="C572" s="2">
        <f>IFERROR(__xludf.DUMMYFUNCTION("""COMPUTED_VALUE"""),1482.47)</f>
        <v>1482.47</v>
      </c>
      <c r="D572" s="2">
        <f>IFERROR(__xludf.DUMMYFUNCTION("""COMPUTED_VALUE"""),1443.46)</f>
        <v>1443.46</v>
      </c>
      <c r="E572" s="2">
        <f>IFERROR(__xludf.DUMMYFUNCTION("""COMPUTED_VALUE"""),1482.47)</f>
        <v>1482.47</v>
      </c>
      <c r="F572" s="2">
        <f>IFERROR(__xludf.DUMMYFUNCTION("""COMPUTED_VALUE"""),2.13101E7)</f>
        <v>21310100</v>
      </c>
      <c r="G572" s="2">
        <f t="shared" si="1"/>
        <v>39.01</v>
      </c>
    </row>
    <row r="573" ht="15.75" customHeight="1">
      <c r="A573" s="1">
        <f>IFERROR(__xludf.DUMMYFUNCTION("""COMPUTED_VALUE"""),44692.66666666667)</f>
        <v>44692.66667</v>
      </c>
      <c r="B573" s="2">
        <f>IFERROR(__xludf.DUMMYFUNCTION("""COMPUTED_VALUE"""),1487.35)</f>
        <v>1487.35</v>
      </c>
      <c r="C573" s="2">
        <f>IFERROR(__xludf.DUMMYFUNCTION("""COMPUTED_VALUE"""),1497.1)</f>
        <v>1497.1</v>
      </c>
      <c r="D573" s="2">
        <f>IFERROR(__xludf.DUMMYFUNCTION("""COMPUTED_VALUE"""),1472.72)</f>
        <v>1472.72</v>
      </c>
      <c r="E573" s="2">
        <f>IFERROR(__xludf.DUMMYFUNCTION("""COMPUTED_VALUE"""),1477.59)</f>
        <v>1477.59</v>
      </c>
      <c r="F573" s="2">
        <f>IFERROR(__xludf.DUMMYFUNCTION("""COMPUTED_VALUE"""),9435200.0)</f>
        <v>9435200</v>
      </c>
      <c r="G573" s="2">
        <f t="shared" si="1"/>
        <v>24.38</v>
      </c>
    </row>
    <row r="574" ht="15.75" customHeight="1">
      <c r="A574" s="1">
        <f>IFERROR(__xludf.DUMMYFUNCTION("""COMPUTED_VALUE"""),44693.66666666667)</f>
        <v>44693.66667</v>
      </c>
      <c r="B574" s="2">
        <f>IFERROR(__xludf.DUMMYFUNCTION("""COMPUTED_VALUE"""),1482.47)</f>
        <v>1482.47</v>
      </c>
      <c r="C574" s="2">
        <f>IFERROR(__xludf.DUMMYFUNCTION("""COMPUTED_VALUE"""),1482.47)</f>
        <v>1482.47</v>
      </c>
      <c r="D574" s="2">
        <f>IFERROR(__xludf.DUMMYFUNCTION("""COMPUTED_VALUE"""),1375.19)</f>
        <v>1375.19</v>
      </c>
      <c r="E574" s="2">
        <f>IFERROR(__xludf.DUMMYFUNCTION("""COMPUTED_VALUE"""),1375.19)</f>
        <v>1375.19</v>
      </c>
      <c r="F574" s="2">
        <f>IFERROR(__xludf.DUMMYFUNCTION("""COMPUTED_VALUE"""),2.23734E7)</f>
        <v>22373400</v>
      </c>
      <c r="G574" s="2">
        <f t="shared" si="1"/>
        <v>107.28</v>
      </c>
    </row>
    <row r="575" ht="15.75" customHeight="1">
      <c r="A575" s="1">
        <f>IFERROR(__xludf.DUMMYFUNCTION("""COMPUTED_VALUE"""),44694.66666666667)</f>
        <v>44694.66667</v>
      </c>
      <c r="B575" s="2">
        <f>IFERROR(__xludf.DUMMYFUNCTION("""COMPUTED_VALUE"""),1375.19)</f>
        <v>1375.19</v>
      </c>
      <c r="C575" s="2">
        <f>IFERROR(__xludf.DUMMYFUNCTION("""COMPUTED_VALUE"""),1409.32)</f>
        <v>1409.32</v>
      </c>
      <c r="D575" s="2">
        <f>IFERROR(__xludf.DUMMYFUNCTION("""COMPUTED_VALUE"""),1306.91)</f>
        <v>1306.91</v>
      </c>
      <c r="E575" s="2">
        <f>IFERROR(__xludf.DUMMYFUNCTION("""COMPUTED_VALUE"""),1399.57)</f>
        <v>1399.57</v>
      </c>
      <c r="F575" s="2">
        <f>IFERROR(__xludf.DUMMYFUNCTION("""COMPUTED_VALUE"""),1.70419E7)</f>
        <v>17041900</v>
      </c>
      <c r="G575" s="2">
        <f t="shared" si="1"/>
        <v>102.41</v>
      </c>
    </row>
    <row r="576" ht="15.75" customHeight="1">
      <c r="A576" s="1">
        <f>IFERROR(__xludf.DUMMYFUNCTION("""COMPUTED_VALUE"""),44698.66666666667)</f>
        <v>44698.66667</v>
      </c>
      <c r="B576" s="2">
        <f>IFERROR(__xludf.DUMMYFUNCTION("""COMPUTED_VALUE"""),1404.44)</f>
        <v>1404.44</v>
      </c>
      <c r="C576" s="2">
        <f>IFERROR(__xludf.DUMMYFUNCTION("""COMPUTED_VALUE"""),1433.7)</f>
        <v>1433.7</v>
      </c>
      <c r="D576" s="2">
        <f>IFERROR(__xludf.DUMMYFUNCTION("""COMPUTED_VALUE"""),1399.57)</f>
        <v>1399.57</v>
      </c>
      <c r="E576" s="2">
        <f>IFERROR(__xludf.DUMMYFUNCTION("""COMPUTED_VALUE"""),1409.32)</f>
        <v>1409.32</v>
      </c>
      <c r="F576" s="2">
        <f>IFERROR(__xludf.DUMMYFUNCTION("""COMPUTED_VALUE"""),7369600.0)</f>
        <v>7369600</v>
      </c>
      <c r="G576" s="2">
        <f t="shared" si="1"/>
        <v>34.13</v>
      </c>
    </row>
    <row r="577" ht="15.75" customHeight="1">
      <c r="A577" s="1">
        <f>IFERROR(__xludf.DUMMYFUNCTION("""COMPUTED_VALUE"""),44699.66666666667)</f>
        <v>44699.66667</v>
      </c>
      <c r="B577" s="2">
        <f>IFERROR(__xludf.DUMMYFUNCTION("""COMPUTED_VALUE"""),1433.7)</f>
        <v>1433.7</v>
      </c>
      <c r="C577" s="2">
        <f>IFERROR(__xludf.DUMMYFUNCTION("""COMPUTED_VALUE"""),1433.7)</f>
        <v>1433.7</v>
      </c>
      <c r="D577" s="2">
        <f>IFERROR(__xludf.DUMMYFUNCTION("""COMPUTED_VALUE"""),1404.44)</f>
        <v>1404.44</v>
      </c>
      <c r="E577" s="2">
        <f>IFERROR(__xludf.DUMMYFUNCTION("""COMPUTED_VALUE"""),1409.32)</f>
        <v>1409.32</v>
      </c>
      <c r="F577" s="2">
        <f>IFERROR(__xludf.DUMMYFUNCTION("""COMPUTED_VALUE"""),5344300.0)</f>
        <v>5344300</v>
      </c>
      <c r="G577" s="2">
        <f t="shared" si="1"/>
        <v>29.26</v>
      </c>
    </row>
    <row r="578" ht="15.75" customHeight="1">
      <c r="A578" s="1">
        <f>IFERROR(__xludf.DUMMYFUNCTION("""COMPUTED_VALUE"""),44700.66666666667)</f>
        <v>44700.66667</v>
      </c>
      <c r="B578" s="2">
        <f>IFERROR(__xludf.DUMMYFUNCTION("""COMPUTED_VALUE"""),1414.2)</f>
        <v>1414.2</v>
      </c>
      <c r="C578" s="2">
        <f>IFERROR(__xludf.DUMMYFUNCTION("""COMPUTED_VALUE"""),1414.2)</f>
        <v>1414.2</v>
      </c>
      <c r="D578" s="2">
        <f>IFERROR(__xludf.DUMMYFUNCTION("""COMPUTED_VALUE"""),1380.06)</f>
        <v>1380.06</v>
      </c>
      <c r="E578" s="2">
        <f>IFERROR(__xludf.DUMMYFUNCTION("""COMPUTED_VALUE"""),1380.06)</f>
        <v>1380.06</v>
      </c>
      <c r="F578" s="2">
        <f>IFERROR(__xludf.DUMMYFUNCTION("""COMPUTED_VALUE"""),7184700.0)</f>
        <v>7184700</v>
      </c>
      <c r="G578" s="2">
        <f t="shared" si="1"/>
        <v>34.14</v>
      </c>
    </row>
    <row r="579" ht="15.75" customHeight="1">
      <c r="A579" s="1">
        <f>IFERROR(__xludf.DUMMYFUNCTION("""COMPUTED_VALUE"""),44701.66666666667)</f>
        <v>44701.66667</v>
      </c>
      <c r="B579" s="2">
        <f>IFERROR(__xludf.DUMMYFUNCTION("""COMPUTED_VALUE"""),1380.06)</f>
        <v>1380.06</v>
      </c>
      <c r="C579" s="2">
        <f>IFERROR(__xludf.DUMMYFUNCTION("""COMPUTED_VALUE"""),1414.2)</f>
        <v>1414.2</v>
      </c>
      <c r="D579" s="2">
        <f>IFERROR(__xludf.DUMMYFUNCTION("""COMPUTED_VALUE"""),1380.06)</f>
        <v>1380.06</v>
      </c>
      <c r="E579" s="2">
        <f>IFERROR(__xludf.DUMMYFUNCTION("""COMPUTED_VALUE"""),1404.44)</f>
        <v>1404.44</v>
      </c>
      <c r="F579" s="2">
        <f>IFERROR(__xludf.DUMMYFUNCTION("""COMPUTED_VALUE"""),5340100.0)</f>
        <v>5340100</v>
      </c>
      <c r="G579" s="2">
        <f t="shared" si="1"/>
        <v>34.14</v>
      </c>
    </row>
    <row r="580" ht="15.75" customHeight="1">
      <c r="A580" s="1">
        <f>IFERROR(__xludf.DUMMYFUNCTION("""COMPUTED_VALUE"""),44704.66666666667)</f>
        <v>44704.66667</v>
      </c>
      <c r="B580" s="2">
        <f>IFERROR(__xludf.DUMMYFUNCTION("""COMPUTED_VALUE"""),1404.44)</f>
        <v>1404.44</v>
      </c>
      <c r="C580" s="2">
        <f>IFERROR(__xludf.DUMMYFUNCTION("""COMPUTED_VALUE"""),1414.2)</f>
        <v>1414.2</v>
      </c>
      <c r="D580" s="2">
        <f>IFERROR(__xludf.DUMMYFUNCTION("""COMPUTED_VALUE"""),1380.06)</f>
        <v>1380.06</v>
      </c>
      <c r="E580" s="2">
        <f>IFERROR(__xludf.DUMMYFUNCTION("""COMPUTED_VALUE"""),1380.06)</f>
        <v>1380.06</v>
      </c>
      <c r="F580" s="2">
        <f>IFERROR(__xludf.DUMMYFUNCTION("""COMPUTED_VALUE"""),5004300.0)</f>
        <v>5004300</v>
      </c>
      <c r="G580" s="2">
        <f t="shared" si="1"/>
        <v>34.14</v>
      </c>
    </row>
    <row r="581" ht="15.75" customHeight="1">
      <c r="A581" s="1">
        <f>IFERROR(__xludf.DUMMYFUNCTION("""COMPUTED_VALUE"""),44705.66666666667)</f>
        <v>44705.66667</v>
      </c>
      <c r="B581" s="2">
        <f>IFERROR(__xludf.DUMMYFUNCTION("""COMPUTED_VALUE"""),1380.06)</f>
        <v>1380.06</v>
      </c>
      <c r="C581" s="2">
        <f>IFERROR(__xludf.DUMMYFUNCTION("""COMPUTED_VALUE"""),1404.44)</f>
        <v>1404.44</v>
      </c>
      <c r="D581" s="2">
        <f>IFERROR(__xludf.DUMMYFUNCTION("""COMPUTED_VALUE"""),1375.19)</f>
        <v>1375.19</v>
      </c>
      <c r="E581" s="2">
        <f>IFERROR(__xludf.DUMMYFUNCTION("""COMPUTED_VALUE"""),1384.94)</f>
        <v>1384.94</v>
      </c>
      <c r="F581" s="2">
        <f>IFERROR(__xludf.DUMMYFUNCTION("""COMPUTED_VALUE"""),5391600.0)</f>
        <v>5391600</v>
      </c>
      <c r="G581" s="2">
        <f t="shared" si="1"/>
        <v>29.25</v>
      </c>
    </row>
    <row r="582" ht="15.75" customHeight="1">
      <c r="A582" s="1">
        <f>IFERROR(__xludf.DUMMYFUNCTION("""COMPUTED_VALUE"""),44706.66666666667)</f>
        <v>44706.66667</v>
      </c>
      <c r="B582" s="2">
        <f>IFERROR(__xludf.DUMMYFUNCTION("""COMPUTED_VALUE"""),1384.94)</f>
        <v>1384.94</v>
      </c>
      <c r="C582" s="2">
        <f>IFERROR(__xludf.DUMMYFUNCTION("""COMPUTED_VALUE"""),1399.57)</f>
        <v>1399.57</v>
      </c>
      <c r="D582" s="2">
        <f>IFERROR(__xludf.DUMMYFUNCTION("""COMPUTED_VALUE"""),1380.06)</f>
        <v>1380.06</v>
      </c>
      <c r="E582" s="2">
        <f>IFERROR(__xludf.DUMMYFUNCTION("""COMPUTED_VALUE"""),1380.06)</f>
        <v>1380.06</v>
      </c>
      <c r="F582" s="2">
        <f>IFERROR(__xludf.DUMMYFUNCTION("""COMPUTED_VALUE"""),5184600.0)</f>
        <v>5184600</v>
      </c>
      <c r="G582" s="2">
        <f t="shared" si="1"/>
        <v>19.51</v>
      </c>
    </row>
    <row r="583" ht="15.75" customHeight="1">
      <c r="A583" s="1">
        <f>IFERROR(__xludf.DUMMYFUNCTION("""COMPUTED_VALUE"""),44708.66666666667)</f>
        <v>44708.66667</v>
      </c>
      <c r="B583" s="2">
        <f>IFERROR(__xludf.DUMMYFUNCTION("""COMPUTED_VALUE"""),1384.94)</f>
        <v>1384.94</v>
      </c>
      <c r="C583" s="2">
        <f>IFERROR(__xludf.DUMMYFUNCTION("""COMPUTED_VALUE"""),1458.09)</f>
        <v>1458.09</v>
      </c>
      <c r="D583" s="2">
        <f>IFERROR(__xludf.DUMMYFUNCTION("""COMPUTED_VALUE"""),1384.94)</f>
        <v>1384.94</v>
      </c>
      <c r="E583" s="2">
        <f>IFERROR(__xludf.DUMMYFUNCTION("""COMPUTED_VALUE"""),1423.95)</f>
        <v>1423.95</v>
      </c>
      <c r="F583" s="2">
        <f>IFERROR(__xludf.DUMMYFUNCTION("""COMPUTED_VALUE"""),1.4191E7)</f>
        <v>14191000</v>
      </c>
      <c r="G583" s="2">
        <f t="shared" si="1"/>
        <v>78.03</v>
      </c>
    </row>
    <row r="584" ht="15.75" customHeight="1">
      <c r="A584" s="1">
        <f>IFERROR(__xludf.DUMMYFUNCTION("""COMPUTED_VALUE"""),44711.66666666667)</f>
        <v>44711.66667</v>
      </c>
      <c r="B584" s="2">
        <f>IFERROR(__xludf.DUMMYFUNCTION("""COMPUTED_VALUE"""),1438.58)</f>
        <v>1438.58</v>
      </c>
      <c r="C584" s="2">
        <f>IFERROR(__xludf.DUMMYFUNCTION("""COMPUTED_VALUE"""),1438.58)</f>
        <v>1438.58</v>
      </c>
      <c r="D584" s="2">
        <f>IFERROR(__xludf.DUMMYFUNCTION("""COMPUTED_VALUE"""),1394.69)</f>
        <v>1394.69</v>
      </c>
      <c r="E584" s="2">
        <f>IFERROR(__xludf.DUMMYFUNCTION("""COMPUTED_VALUE"""),1399.57)</f>
        <v>1399.57</v>
      </c>
      <c r="F584" s="2">
        <f>IFERROR(__xludf.DUMMYFUNCTION("""COMPUTED_VALUE"""),9199100.0)</f>
        <v>9199100</v>
      </c>
      <c r="G584" s="2">
        <f t="shared" si="1"/>
        <v>43.89</v>
      </c>
    </row>
    <row r="585" ht="15.75" customHeight="1">
      <c r="A585" s="1">
        <f>IFERROR(__xludf.DUMMYFUNCTION("""COMPUTED_VALUE"""),44712.66666666667)</f>
        <v>44712.66667</v>
      </c>
      <c r="B585" s="2">
        <f>IFERROR(__xludf.DUMMYFUNCTION("""COMPUTED_VALUE"""),1419.07)</f>
        <v>1419.07</v>
      </c>
      <c r="C585" s="2">
        <f>IFERROR(__xludf.DUMMYFUNCTION("""COMPUTED_VALUE"""),1423.95)</f>
        <v>1423.95</v>
      </c>
      <c r="D585" s="2">
        <f>IFERROR(__xludf.DUMMYFUNCTION("""COMPUTED_VALUE"""),1399.57)</f>
        <v>1399.57</v>
      </c>
      <c r="E585" s="2">
        <f>IFERROR(__xludf.DUMMYFUNCTION("""COMPUTED_VALUE"""),1404.44)</f>
        <v>1404.44</v>
      </c>
      <c r="F585" s="2">
        <f>IFERROR(__xludf.DUMMYFUNCTION("""COMPUTED_VALUE"""),7584900.0)</f>
        <v>7584900</v>
      </c>
      <c r="G585" s="2">
        <f t="shared" si="1"/>
        <v>24.38</v>
      </c>
    </row>
    <row r="586" ht="15.75" customHeight="1">
      <c r="A586" s="1">
        <f>IFERROR(__xludf.DUMMYFUNCTION("""COMPUTED_VALUE"""),44714.66666666667)</f>
        <v>44714.66667</v>
      </c>
      <c r="B586" s="2">
        <f>IFERROR(__xludf.DUMMYFUNCTION("""COMPUTED_VALUE"""),1404.44)</f>
        <v>1404.44</v>
      </c>
      <c r="C586" s="2">
        <f>IFERROR(__xludf.DUMMYFUNCTION("""COMPUTED_VALUE"""),1428.83)</f>
        <v>1428.83</v>
      </c>
      <c r="D586" s="2">
        <f>IFERROR(__xludf.DUMMYFUNCTION("""COMPUTED_VALUE"""),1404.44)</f>
        <v>1404.44</v>
      </c>
      <c r="E586" s="2">
        <f>IFERROR(__xludf.DUMMYFUNCTION("""COMPUTED_VALUE"""),1414.2)</f>
        <v>1414.2</v>
      </c>
      <c r="F586" s="2">
        <f>IFERROR(__xludf.DUMMYFUNCTION("""COMPUTED_VALUE"""),8422800.0)</f>
        <v>8422800</v>
      </c>
      <c r="G586" s="2">
        <f t="shared" si="1"/>
        <v>24.39</v>
      </c>
    </row>
    <row r="587" ht="15.75" customHeight="1">
      <c r="A587" s="1">
        <f>IFERROR(__xludf.DUMMYFUNCTION("""COMPUTED_VALUE"""),44715.66666666667)</f>
        <v>44715.66667</v>
      </c>
      <c r="B587" s="2">
        <f>IFERROR(__xludf.DUMMYFUNCTION("""COMPUTED_VALUE"""),1414.2)</f>
        <v>1414.2</v>
      </c>
      <c r="C587" s="2">
        <f>IFERROR(__xludf.DUMMYFUNCTION("""COMPUTED_VALUE"""),1492.22)</f>
        <v>1492.22</v>
      </c>
      <c r="D587" s="2">
        <f>IFERROR(__xludf.DUMMYFUNCTION("""COMPUTED_VALUE"""),1414.2)</f>
        <v>1414.2</v>
      </c>
      <c r="E587" s="2">
        <f>IFERROR(__xludf.DUMMYFUNCTION("""COMPUTED_VALUE"""),1453.21)</f>
        <v>1453.21</v>
      </c>
      <c r="F587" s="2">
        <f>IFERROR(__xludf.DUMMYFUNCTION("""COMPUTED_VALUE"""),2.61071E7)</f>
        <v>26107100</v>
      </c>
      <c r="G587" s="2">
        <f t="shared" si="1"/>
        <v>78.02</v>
      </c>
    </row>
    <row r="588" ht="15.75" customHeight="1">
      <c r="A588" s="1">
        <f>IFERROR(__xludf.DUMMYFUNCTION("""COMPUTED_VALUE"""),44718.66666666667)</f>
        <v>44718.66667</v>
      </c>
      <c r="B588" s="2">
        <f>IFERROR(__xludf.DUMMYFUNCTION("""COMPUTED_VALUE"""),1462.96)</f>
        <v>1462.96</v>
      </c>
      <c r="C588" s="2">
        <f>IFERROR(__xludf.DUMMYFUNCTION("""COMPUTED_VALUE"""),1472.72)</f>
        <v>1472.72</v>
      </c>
      <c r="D588" s="2">
        <f>IFERROR(__xludf.DUMMYFUNCTION("""COMPUTED_VALUE"""),1433.7)</f>
        <v>1433.7</v>
      </c>
      <c r="E588" s="2">
        <f>IFERROR(__xludf.DUMMYFUNCTION("""COMPUTED_VALUE"""),1448.33)</f>
        <v>1448.33</v>
      </c>
      <c r="F588" s="2">
        <f>IFERROR(__xludf.DUMMYFUNCTION("""COMPUTED_VALUE"""),9910800.0)</f>
        <v>9910800</v>
      </c>
      <c r="G588" s="2">
        <f t="shared" si="1"/>
        <v>39.02</v>
      </c>
    </row>
    <row r="589" ht="15.75" customHeight="1">
      <c r="A589" s="1">
        <f>IFERROR(__xludf.DUMMYFUNCTION("""COMPUTED_VALUE"""),44719.66666666667)</f>
        <v>44719.66667</v>
      </c>
      <c r="B589" s="2">
        <f>IFERROR(__xludf.DUMMYFUNCTION("""COMPUTED_VALUE"""),1462.96)</f>
        <v>1462.96</v>
      </c>
      <c r="C589" s="2">
        <f>IFERROR(__xludf.DUMMYFUNCTION("""COMPUTED_VALUE"""),1462.96)</f>
        <v>1462.96</v>
      </c>
      <c r="D589" s="2">
        <f>IFERROR(__xludf.DUMMYFUNCTION("""COMPUTED_VALUE"""),1419.07)</f>
        <v>1419.07</v>
      </c>
      <c r="E589" s="2">
        <f>IFERROR(__xludf.DUMMYFUNCTION("""COMPUTED_VALUE"""),1423.95)</f>
        <v>1423.95</v>
      </c>
      <c r="F589" s="2">
        <f>IFERROR(__xludf.DUMMYFUNCTION("""COMPUTED_VALUE"""),7016600.0)</f>
        <v>7016600</v>
      </c>
      <c r="G589" s="2">
        <f t="shared" si="1"/>
        <v>43.89</v>
      </c>
    </row>
    <row r="590" ht="15.75" customHeight="1">
      <c r="A590" s="1">
        <f>IFERROR(__xludf.DUMMYFUNCTION("""COMPUTED_VALUE"""),44720.66666666667)</f>
        <v>44720.66667</v>
      </c>
      <c r="B590" s="2">
        <f>IFERROR(__xludf.DUMMYFUNCTION("""COMPUTED_VALUE"""),1423.95)</f>
        <v>1423.95</v>
      </c>
      <c r="C590" s="2">
        <f>IFERROR(__xludf.DUMMYFUNCTION("""COMPUTED_VALUE"""),1428.83)</f>
        <v>1428.83</v>
      </c>
      <c r="D590" s="2">
        <f>IFERROR(__xludf.DUMMYFUNCTION("""COMPUTED_VALUE"""),1414.2)</f>
        <v>1414.2</v>
      </c>
      <c r="E590" s="2">
        <f>IFERROR(__xludf.DUMMYFUNCTION("""COMPUTED_VALUE"""),1423.95)</f>
        <v>1423.95</v>
      </c>
      <c r="F590" s="2">
        <f>IFERROR(__xludf.DUMMYFUNCTION("""COMPUTED_VALUE"""),4900600.0)</f>
        <v>4900600</v>
      </c>
      <c r="G590" s="2">
        <f t="shared" si="1"/>
        <v>14.63</v>
      </c>
    </row>
    <row r="591" ht="15.75" customHeight="1">
      <c r="A591" s="1">
        <f>IFERROR(__xludf.DUMMYFUNCTION("""COMPUTED_VALUE"""),44721.66666666667)</f>
        <v>44721.66667</v>
      </c>
      <c r="B591" s="2">
        <f>IFERROR(__xludf.DUMMYFUNCTION("""COMPUTED_VALUE"""),1423.95)</f>
        <v>1423.95</v>
      </c>
      <c r="C591" s="2">
        <f>IFERROR(__xludf.DUMMYFUNCTION("""COMPUTED_VALUE"""),1438.58)</f>
        <v>1438.58</v>
      </c>
      <c r="D591" s="2">
        <f>IFERROR(__xludf.DUMMYFUNCTION("""COMPUTED_VALUE"""),1414.2)</f>
        <v>1414.2</v>
      </c>
      <c r="E591" s="2">
        <f>IFERROR(__xludf.DUMMYFUNCTION("""COMPUTED_VALUE"""),1419.07)</f>
        <v>1419.07</v>
      </c>
      <c r="F591" s="2">
        <f>IFERROR(__xludf.DUMMYFUNCTION("""COMPUTED_VALUE"""),5411100.0)</f>
        <v>5411100</v>
      </c>
      <c r="G591" s="2">
        <f t="shared" si="1"/>
        <v>24.38</v>
      </c>
    </row>
    <row r="592" ht="15.75" customHeight="1">
      <c r="A592" s="1">
        <f>IFERROR(__xludf.DUMMYFUNCTION("""COMPUTED_VALUE"""),44722.66666666667)</f>
        <v>44722.66667</v>
      </c>
      <c r="B592" s="2">
        <f>IFERROR(__xludf.DUMMYFUNCTION("""COMPUTED_VALUE"""),1419.07)</f>
        <v>1419.07</v>
      </c>
      <c r="C592" s="2">
        <f>IFERROR(__xludf.DUMMYFUNCTION("""COMPUTED_VALUE"""),1419.07)</f>
        <v>1419.07</v>
      </c>
      <c r="D592" s="2">
        <f>IFERROR(__xludf.DUMMYFUNCTION("""COMPUTED_VALUE"""),1384.94)</f>
        <v>1384.94</v>
      </c>
      <c r="E592" s="2">
        <f>IFERROR(__xludf.DUMMYFUNCTION("""COMPUTED_VALUE"""),1409.32)</f>
        <v>1409.32</v>
      </c>
      <c r="F592" s="2">
        <f>IFERROR(__xludf.DUMMYFUNCTION("""COMPUTED_VALUE"""),1.00285E7)</f>
        <v>10028500</v>
      </c>
      <c r="G592" s="2">
        <f t="shared" si="1"/>
        <v>34.13</v>
      </c>
    </row>
    <row r="593" ht="15.75" customHeight="1">
      <c r="A593" s="1">
        <f>IFERROR(__xludf.DUMMYFUNCTION("""COMPUTED_VALUE"""),44725.66666666667)</f>
        <v>44725.66667</v>
      </c>
      <c r="B593" s="2">
        <f>IFERROR(__xludf.DUMMYFUNCTION("""COMPUTED_VALUE"""),1399.57)</f>
        <v>1399.57</v>
      </c>
      <c r="C593" s="2">
        <f>IFERROR(__xludf.DUMMYFUNCTION("""COMPUTED_VALUE"""),1399.57)</f>
        <v>1399.57</v>
      </c>
      <c r="D593" s="2">
        <f>IFERROR(__xludf.DUMMYFUNCTION("""COMPUTED_VALUE"""),1375.19)</f>
        <v>1375.19</v>
      </c>
      <c r="E593" s="2">
        <f>IFERROR(__xludf.DUMMYFUNCTION("""COMPUTED_VALUE"""),1384.94)</f>
        <v>1384.94</v>
      </c>
      <c r="F593" s="2">
        <f>IFERROR(__xludf.DUMMYFUNCTION("""COMPUTED_VALUE"""),6374700.0)</f>
        <v>6374700</v>
      </c>
      <c r="G593" s="2">
        <f t="shared" si="1"/>
        <v>34.13</v>
      </c>
    </row>
    <row r="594" ht="15.75" customHeight="1">
      <c r="A594" s="1">
        <f>IFERROR(__xludf.DUMMYFUNCTION("""COMPUTED_VALUE"""),44726.66666666667)</f>
        <v>44726.66667</v>
      </c>
      <c r="B594" s="2">
        <f>IFERROR(__xludf.DUMMYFUNCTION("""COMPUTED_VALUE"""),1380.06)</f>
        <v>1380.06</v>
      </c>
      <c r="C594" s="2">
        <f>IFERROR(__xludf.DUMMYFUNCTION("""COMPUTED_VALUE"""),1389.82)</f>
        <v>1389.82</v>
      </c>
      <c r="D594" s="2">
        <f>IFERROR(__xludf.DUMMYFUNCTION("""COMPUTED_VALUE"""),1375.19)</f>
        <v>1375.19</v>
      </c>
      <c r="E594" s="2">
        <f>IFERROR(__xludf.DUMMYFUNCTION("""COMPUTED_VALUE"""),1380.06)</f>
        <v>1380.06</v>
      </c>
      <c r="F594" s="2">
        <f>IFERROR(__xludf.DUMMYFUNCTION("""COMPUTED_VALUE"""),4480900.0)</f>
        <v>4480900</v>
      </c>
      <c r="G594" s="2">
        <f t="shared" si="1"/>
        <v>14.63</v>
      </c>
    </row>
    <row r="595" ht="15.75" customHeight="1">
      <c r="A595" s="1">
        <f>IFERROR(__xludf.DUMMYFUNCTION("""COMPUTED_VALUE"""),44727.66666666667)</f>
        <v>44727.66667</v>
      </c>
      <c r="B595" s="2">
        <f>IFERROR(__xludf.DUMMYFUNCTION("""COMPUTED_VALUE"""),1380.06)</f>
        <v>1380.06</v>
      </c>
      <c r="C595" s="2">
        <f>IFERROR(__xludf.DUMMYFUNCTION("""COMPUTED_VALUE"""),1389.82)</f>
        <v>1389.82</v>
      </c>
      <c r="D595" s="2">
        <f>IFERROR(__xludf.DUMMYFUNCTION("""COMPUTED_VALUE"""),1375.19)</f>
        <v>1375.19</v>
      </c>
      <c r="E595" s="2">
        <f>IFERROR(__xludf.DUMMYFUNCTION("""COMPUTED_VALUE"""),1380.06)</f>
        <v>1380.06</v>
      </c>
      <c r="F595" s="2">
        <f>IFERROR(__xludf.DUMMYFUNCTION("""COMPUTED_VALUE"""),4938600.0)</f>
        <v>4938600</v>
      </c>
      <c r="G595" s="2">
        <f t="shared" si="1"/>
        <v>14.63</v>
      </c>
    </row>
    <row r="596" ht="15.75" customHeight="1">
      <c r="A596" s="1">
        <f>IFERROR(__xludf.DUMMYFUNCTION("""COMPUTED_VALUE"""),44728.66666666667)</f>
        <v>44728.66667</v>
      </c>
      <c r="B596" s="2">
        <f>IFERROR(__xludf.DUMMYFUNCTION("""COMPUTED_VALUE"""),1380.06)</f>
        <v>1380.06</v>
      </c>
      <c r="C596" s="2">
        <f>IFERROR(__xludf.DUMMYFUNCTION("""COMPUTED_VALUE"""),1404.44)</f>
        <v>1404.44</v>
      </c>
      <c r="D596" s="2">
        <f>IFERROR(__xludf.DUMMYFUNCTION("""COMPUTED_VALUE"""),1380.06)</f>
        <v>1380.06</v>
      </c>
      <c r="E596" s="2">
        <f>IFERROR(__xludf.DUMMYFUNCTION("""COMPUTED_VALUE"""),1384.94)</f>
        <v>1384.94</v>
      </c>
      <c r="F596" s="2">
        <f>IFERROR(__xludf.DUMMYFUNCTION("""COMPUTED_VALUE"""),6648300.0)</f>
        <v>6648300</v>
      </c>
      <c r="G596" s="2">
        <f t="shared" si="1"/>
        <v>24.38</v>
      </c>
    </row>
    <row r="597" ht="15.75" customHeight="1">
      <c r="A597" s="1">
        <f>IFERROR(__xludf.DUMMYFUNCTION("""COMPUTED_VALUE"""),44729.66666666667)</f>
        <v>44729.66667</v>
      </c>
      <c r="B597" s="2">
        <f>IFERROR(__xludf.DUMMYFUNCTION("""COMPUTED_VALUE"""),1384.94)</f>
        <v>1384.94</v>
      </c>
      <c r="C597" s="2">
        <f>IFERROR(__xludf.DUMMYFUNCTION("""COMPUTED_VALUE"""),1394.69)</f>
        <v>1394.69</v>
      </c>
      <c r="D597" s="2">
        <f>IFERROR(__xludf.DUMMYFUNCTION("""COMPUTED_VALUE"""),1360.56)</f>
        <v>1360.56</v>
      </c>
      <c r="E597" s="2">
        <f>IFERROR(__xludf.DUMMYFUNCTION("""COMPUTED_VALUE"""),1360.56)</f>
        <v>1360.56</v>
      </c>
      <c r="F597" s="2">
        <f>IFERROR(__xludf.DUMMYFUNCTION("""COMPUTED_VALUE"""),7610800.0)</f>
        <v>7610800</v>
      </c>
      <c r="G597" s="2">
        <f t="shared" si="1"/>
        <v>34.13</v>
      </c>
    </row>
    <row r="598" ht="15.75" customHeight="1">
      <c r="A598" s="1">
        <f>IFERROR(__xludf.DUMMYFUNCTION("""COMPUTED_VALUE"""),44732.66666666667)</f>
        <v>44732.66667</v>
      </c>
      <c r="B598" s="2">
        <f>IFERROR(__xludf.DUMMYFUNCTION("""COMPUTED_VALUE"""),1419.07)</f>
        <v>1419.07</v>
      </c>
      <c r="C598" s="2">
        <f>IFERROR(__xludf.DUMMYFUNCTION("""COMPUTED_VALUE"""),1419.07)</f>
        <v>1419.07</v>
      </c>
      <c r="D598" s="2">
        <f>IFERROR(__xludf.DUMMYFUNCTION("""COMPUTED_VALUE"""),1336.17)</f>
        <v>1336.17</v>
      </c>
      <c r="E598" s="2">
        <f>IFERROR(__xludf.DUMMYFUNCTION("""COMPUTED_VALUE"""),1350.8)</f>
        <v>1350.8</v>
      </c>
      <c r="F598" s="2">
        <f>IFERROR(__xludf.DUMMYFUNCTION("""COMPUTED_VALUE"""),8122700.0)</f>
        <v>8122700</v>
      </c>
      <c r="G598" s="2">
        <f t="shared" si="1"/>
        <v>82.9</v>
      </c>
    </row>
    <row r="599" ht="15.75" customHeight="1">
      <c r="A599" s="1">
        <f>IFERROR(__xludf.DUMMYFUNCTION("""COMPUTED_VALUE"""),44733.66666666667)</f>
        <v>44733.66667</v>
      </c>
      <c r="B599" s="2">
        <f>IFERROR(__xludf.DUMMYFUNCTION("""COMPUTED_VALUE"""),1350.8)</f>
        <v>1350.8</v>
      </c>
      <c r="C599" s="2">
        <f>IFERROR(__xludf.DUMMYFUNCTION("""COMPUTED_VALUE"""),1360.56)</f>
        <v>1360.56</v>
      </c>
      <c r="D599" s="2">
        <f>IFERROR(__xludf.DUMMYFUNCTION("""COMPUTED_VALUE"""),1345.93)</f>
        <v>1345.93</v>
      </c>
      <c r="E599" s="2">
        <f>IFERROR(__xludf.DUMMYFUNCTION("""COMPUTED_VALUE"""),1355.68)</f>
        <v>1355.68</v>
      </c>
      <c r="F599" s="2">
        <f>IFERROR(__xludf.DUMMYFUNCTION("""COMPUTED_VALUE"""),4705300.0)</f>
        <v>4705300</v>
      </c>
      <c r="G599" s="2">
        <f t="shared" si="1"/>
        <v>14.63</v>
      </c>
    </row>
    <row r="600" ht="15.75" customHeight="1">
      <c r="A600" s="1">
        <f>IFERROR(__xludf.DUMMYFUNCTION("""COMPUTED_VALUE"""),44734.66666666667)</f>
        <v>44734.66667</v>
      </c>
      <c r="B600" s="2">
        <f>IFERROR(__xludf.DUMMYFUNCTION("""COMPUTED_VALUE"""),1355.68)</f>
        <v>1355.68</v>
      </c>
      <c r="C600" s="2">
        <f>IFERROR(__xludf.DUMMYFUNCTION("""COMPUTED_VALUE"""),1360.56)</f>
        <v>1360.56</v>
      </c>
      <c r="D600" s="2">
        <f>IFERROR(__xludf.DUMMYFUNCTION("""COMPUTED_VALUE"""),1341.05)</f>
        <v>1341.05</v>
      </c>
      <c r="E600" s="2">
        <f>IFERROR(__xludf.DUMMYFUNCTION("""COMPUTED_VALUE"""),1350.8)</f>
        <v>1350.8</v>
      </c>
      <c r="F600" s="2">
        <f>IFERROR(__xludf.DUMMYFUNCTION("""COMPUTED_VALUE"""),5501700.0)</f>
        <v>5501700</v>
      </c>
      <c r="G600" s="2">
        <f t="shared" si="1"/>
        <v>19.51</v>
      </c>
    </row>
    <row r="601" ht="15.75" customHeight="1">
      <c r="A601" s="1">
        <f>IFERROR(__xludf.DUMMYFUNCTION("""COMPUTED_VALUE"""),44735.66666666667)</f>
        <v>44735.66667</v>
      </c>
      <c r="B601" s="2">
        <f>IFERROR(__xludf.DUMMYFUNCTION("""COMPUTED_VALUE"""),1350.8)</f>
        <v>1350.8</v>
      </c>
      <c r="C601" s="2">
        <f>IFERROR(__xludf.DUMMYFUNCTION("""COMPUTED_VALUE"""),1350.8)</f>
        <v>1350.8</v>
      </c>
      <c r="D601" s="2">
        <f>IFERROR(__xludf.DUMMYFUNCTION("""COMPUTED_VALUE"""),1331.3)</f>
        <v>1331.3</v>
      </c>
      <c r="E601" s="2">
        <f>IFERROR(__xludf.DUMMYFUNCTION("""COMPUTED_VALUE"""),1341.05)</f>
        <v>1341.05</v>
      </c>
      <c r="F601" s="2">
        <f>IFERROR(__xludf.DUMMYFUNCTION("""COMPUTED_VALUE"""),6589200.0)</f>
        <v>6589200</v>
      </c>
      <c r="G601" s="2">
        <f t="shared" si="1"/>
        <v>19.5</v>
      </c>
    </row>
    <row r="602" ht="15.75" customHeight="1">
      <c r="A602" s="1">
        <f>IFERROR(__xludf.DUMMYFUNCTION("""COMPUTED_VALUE"""),44736.66666666667)</f>
        <v>44736.66667</v>
      </c>
      <c r="B602" s="2">
        <f>IFERROR(__xludf.DUMMYFUNCTION("""COMPUTED_VALUE"""),1345.93)</f>
        <v>1345.93</v>
      </c>
      <c r="C602" s="2">
        <f>IFERROR(__xludf.DUMMYFUNCTION("""COMPUTED_VALUE"""),1345.93)</f>
        <v>1345.93</v>
      </c>
      <c r="D602" s="2">
        <f>IFERROR(__xludf.DUMMYFUNCTION("""COMPUTED_VALUE"""),1336.17)</f>
        <v>1336.17</v>
      </c>
      <c r="E602" s="2">
        <f>IFERROR(__xludf.DUMMYFUNCTION("""COMPUTED_VALUE"""),1341.05)</f>
        <v>1341.05</v>
      </c>
      <c r="F602" s="2">
        <f>IFERROR(__xludf.DUMMYFUNCTION("""COMPUTED_VALUE"""),8042900.0)</f>
        <v>8042900</v>
      </c>
      <c r="G602" s="2">
        <f t="shared" si="1"/>
        <v>9.76</v>
      </c>
    </row>
    <row r="603" ht="15.75" customHeight="1">
      <c r="A603" s="1">
        <f>IFERROR(__xludf.DUMMYFUNCTION("""COMPUTED_VALUE"""),44739.66666666667)</f>
        <v>44739.66667</v>
      </c>
      <c r="B603" s="2">
        <f>IFERROR(__xludf.DUMMYFUNCTION("""COMPUTED_VALUE"""),1375.19)</f>
        <v>1375.19</v>
      </c>
      <c r="C603" s="2">
        <f>IFERROR(__xludf.DUMMYFUNCTION("""COMPUTED_VALUE"""),1375.19)</f>
        <v>1375.19</v>
      </c>
      <c r="D603" s="2">
        <f>IFERROR(__xludf.DUMMYFUNCTION("""COMPUTED_VALUE"""),1326.42)</f>
        <v>1326.42</v>
      </c>
      <c r="E603" s="2">
        <f>IFERROR(__xludf.DUMMYFUNCTION("""COMPUTED_VALUE"""),1326.42)</f>
        <v>1326.42</v>
      </c>
      <c r="F603" s="2">
        <f>IFERROR(__xludf.DUMMYFUNCTION("""COMPUTED_VALUE"""),8175400.0)</f>
        <v>8175400</v>
      </c>
      <c r="G603" s="2">
        <f t="shared" si="1"/>
        <v>48.77</v>
      </c>
    </row>
    <row r="604" ht="15.75" customHeight="1">
      <c r="A604" s="1">
        <f>IFERROR(__xludf.DUMMYFUNCTION("""COMPUTED_VALUE"""),44740.66666666667)</f>
        <v>44740.66667</v>
      </c>
      <c r="B604" s="2">
        <f>IFERROR(__xludf.DUMMYFUNCTION("""COMPUTED_VALUE"""),1326.42)</f>
        <v>1326.42</v>
      </c>
      <c r="C604" s="2">
        <f>IFERROR(__xludf.DUMMYFUNCTION("""COMPUTED_VALUE"""),1336.17)</f>
        <v>1336.17</v>
      </c>
      <c r="D604" s="2">
        <f>IFERROR(__xludf.DUMMYFUNCTION("""COMPUTED_VALUE"""),1321.54)</f>
        <v>1321.54</v>
      </c>
      <c r="E604" s="2">
        <f>IFERROR(__xludf.DUMMYFUNCTION("""COMPUTED_VALUE"""),1321.54)</f>
        <v>1321.54</v>
      </c>
      <c r="F604" s="2">
        <f>IFERROR(__xludf.DUMMYFUNCTION("""COMPUTED_VALUE"""),4238400.0)</f>
        <v>4238400</v>
      </c>
      <c r="G604" s="2">
        <f t="shared" si="1"/>
        <v>14.63</v>
      </c>
    </row>
    <row r="605" ht="15.75" customHeight="1">
      <c r="A605" s="1">
        <f>IFERROR(__xludf.DUMMYFUNCTION("""COMPUTED_VALUE"""),44741.66666666667)</f>
        <v>44741.66667</v>
      </c>
      <c r="B605" s="2">
        <f>IFERROR(__xludf.DUMMYFUNCTION("""COMPUTED_VALUE"""),1321.54)</f>
        <v>1321.54</v>
      </c>
      <c r="C605" s="2">
        <f>IFERROR(__xludf.DUMMYFUNCTION("""COMPUTED_VALUE"""),1326.42)</f>
        <v>1326.42</v>
      </c>
      <c r="D605" s="2">
        <f>IFERROR(__xludf.DUMMYFUNCTION("""COMPUTED_VALUE"""),1316.67)</f>
        <v>1316.67</v>
      </c>
      <c r="E605" s="2">
        <f>IFERROR(__xludf.DUMMYFUNCTION("""COMPUTED_VALUE"""),1316.67)</f>
        <v>1316.67</v>
      </c>
      <c r="F605" s="2">
        <f>IFERROR(__xludf.DUMMYFUNCTION("""COMPUTED_VALUE"""),5559100.0)</f>
        <v>5559100</v>
      </c>
      <c r="G605" s="2">
        <f t="shared" si="1"/>
        <v>9.75</v>
      </c>
    </row>
    <row r="606" ht="15.75" customHeight="1">
      <c r="A606" s="1">
        <f>IFERROR(__xludf.DUMMYFUNCTION("""COMPUTED_VALUE"""),44742.66666666667)</f>
        <v>44742.66667</v>
      </c>
      <c r="B606" s="2">
        <f>IFERROR(__xludf.DUMMYFUNCTION("""COMPUTED_VALUE"""),1316.67)</f>
        <v>1316.67</v>
      </c>
      <c r="C606" s="2">
        <f>IFERROR(__xludf.DUMMYFUNCTION("""COMPUTED_VALUE"""),1321.54)</f>
        <v>1321.54</v>
      </c>
      <c r="D606" s="2">
        <f>IFERROR(__xludf.DUMMYFUNCTION("""COMPUTED_VALUE"""),1306.91)</f>
        <v>1306.91</v>
      </c>
      <c r="E606" s="2">
        <f>IFERROR(__xludf.DUMMYFUNCTION("""COMPUTED_VALUE"""),1306.91)</f>
        <v>1306.91</v>
      </c>
      <c r="F606" s="2">
        <f>IFERROR(__xludf.DUMMYFUNCTION("""COMPUTED_VALUE"""),5444800.0)</f>
        <v>5444800</v>
      </c>
      <c r="G606" s="2">
        <f t="shared" si="1"/>
        <v>14.63</v>
      </c>
    </row>
    <row r="607" ht="15.75" customHeight="1">
      <c r="A607" s="1">
        <f>IFERROR(__xludf.DUMMYFUNCTION("""COMPUTED_VALUE"""),44743.66666666667)</f>
        <v>44743.66667</v>
      </c>
      <c r="B607" s="2">
        <f>IFERROR(__xludf.DUMMYFUNCTION("""COMPUTED_VALUE"""),1306.91)</f>
        <v>1306.91</v>
      </c>
      <c r="C607" s="2">
        <f>IFERROR(__xludf.DUMMYFUNCTION("""COMPUTED_VALUE"""),1311.79)</f>
        <v>1311.79</v>
      </c>
      <c r="D607" s="2">
        <f>IFERROR(__xludf.DUMMYFUNCTION("""COMPUTED_VALUE"""),1253.27)</f>
        <v>1253.27</v>
      </c>
      <c r="E607" s="2">
        <f>IFERROR(__xludf.DUMMYFUNCTION("""COMPUTED_VALUE"""),1253.27)</f>
        <v>1253.27</v>
      </c>
      <c r="F607" s="2">
        <f>IFERROR(__xludf.DUMMYFUNCTION("""COMPUTED_VALUE"""),1.42257E7)</f>
        <v>14225700</v>
      </c>
      <c r="G607" s="2">
        <f t="shared" si="1"/>
        <v>58.52</v>
      </c>
    </row>
    <row r="608" ht="15.75" customHeight="1">
      <c r="A608" s="1">
        <f>IFERROR(__xludf.DUMMYFUNCTION("""COMPUTED_VALUE"""),44746.66666666667)</f>
        <v>44746.66667</v>
      </c>
      <c r="B608" s="2">
        <f>IFERROR(__xludf.DUMMYFUNCTION("""COMPUTED_VALUE"""),1248.4)</f>
        <v>1248.4</v>
      </c>
      <c r="C608" s="2">
        <f>IFERROR(__xludf.DUMMYFUNCTION("""COMPUTED_VALUE"""),1263.02)</f>
        <v>1263.02</v>
      </c>
      <c r="D608" s="2">
        <f>IFERROR(__xludf.DUMMYFUNCTION("""COMPUTED_VALUE"""),1170.37)</f>
        <v>1170.37</v>
      </c>
      <c r="E608" s="2">
        <f>IFERROR(__xludf.DUMMYFUNCTION("""COMPUTED_VALUE"""),1175.25)</f>
        <v>1175.25</v>
      </c>
      <c r="F608" s="2">
        <f>IFERROR(__xludf.DUMMYFUNCTION("""COMPUTED_VALUE"""),2.27134E7)</f>
        <v>22713400</v>
      </c>
      <c r="G608" s="2">
        <f t="shared" si="1"/>
        <v>92.65</v>
      </c>
    </row>
    <row r="609" ht="15.75" customHeight="1">
      <c r="A609" s="1">
        <f>IFERROR(__xludf.DUMMYFUNCTION("""COMPUTED_VALUE"""),44747.66666666667)</f>
        <v>44747.66667</v>
      </c>
      <c r="B609" s="2">
        <f>IFERROR(__xludf.DUMMYFUNCTION("""COMPUTED_VALUE"""),1175.25)</f>
        <v>1175.25</v>
      </c>
      <c r="C609" s="2">
        <f>IFERROR(__xludf.DUMMYFUNCTION("""COMPUTED_VALUE"""),1199.63)</f>
        <v>1199.63</v>
      </c>
      <c r="D609" s="2">
        <f>IFERROR(__xludf.DUMMYFUNCTION("""COMPUTED_VALUE"""),1170.37)</f>
        <v>1170.37</v>
      </c>
      <c r="E609" s="2">
        <f>IFERROR(__xludf.DUMMYFUNCTION("""COMPUTED_VALUE"""),1175.25)</f>
        <v>1175.25</v>
      </c>
      <c r="F609" s="2">
        <f>IFERROR(__xludf.DUMMYFUNCTION("""COMPUTED_VALUE"""),8877200.0)</f>
        <v>8877200</v>
      </c>
      <c r="G609" s="2">
        <f t="shared" si="1"/>
        <v>29.26</v>
      </c>
    </row>
    <row r="610" ht="15.75" customHeight="1">
      <c r="A610" s="1">
        <f>IFERROR(__xludf.DUMMYFUNCTION("""COMPUTED_VALUE"""),44748.66666666667)</f>
        <v>44748.66667</v>
      </c>
      <c r="B610" s="2">
        <f>IFERROR(__xludf.DUMMYFUNCTION("""COMPUTED_VALUE"""),1175.25)</f>
        <v>1175.25</v>
      </c>
      <c r="C610" s="2">
        <f>IFERROR(__xludf.DUMMYFUNCTION("""COMPUTED_VALUE"""),1189.88)</f>
        <v>1189.88</v>
      </c>
      <c r="D610" s="2">
        <f>IFERROR(__xludf.DUMMYFUNCTION("""COMPUTED_VALUE"""),1170.37)</f>
        <v>1170.37</v>
      </c>
      <c r="E610" s="2">
        <f>IFERROR(__xludf.DUMMYFUNCTION("""COMPUTED_VALUE"""),1180.12)</f>
        <v>1180.12</v>
      </c>
      <c r="F610" s="2">
        <f>IFERROR(__xludf.DUMMYFUNCTION("""COMPUTED_VALUE"""),5391700.0)</f>
        <v>5391700</v>
      </c>
      <c r="G610" s="2">
        <f t="shared" si="1"/>
        <v>19.51</v>
      </c>
    </row>
    <row r="611" ht="15.75" customHeight="1">
      <c r="A611" s="1">
        <f>IFERROR(__xludf.DUMMYFUNCTION("""COMPUTED_VALUE"""),44749.66666666667)</f>
        <v>44749.66667</v>
      </c>
      <c r="B611" s="2">
        <f>IFERROR(__xludf.DUMMYFUNCTION("""COMPUTED_VALUE"""),1180.12)</f>
        <v>1180.12</v>
      </c>
      <c r="C611" s="2">
        <f>IFERROR(__xludf.DUMMYFUNCTION("""COMPUTED_VALUE"""),1209.38)</f>
        <v>1209.38</v>
      </c>
      <c r="D611" s="2">
        <f>IFERROR(__xludf.DUMMYFUNCTION("""COMPUTED_VALUE"""),1180.12)</f>
        <v>1180.12</v>
      </c>
      <c r="E611" s="2">
        <f>IFERROR(__xludf.DUMMYFUNCTION("""COMPUTED_VALUE"""),1204.51)</f>
        <v>1204.51</v>
      </c>
      <c r="F611" s="2">
        <f>IFERROR(__xludf.DUMMYFUNCTION("""COMPUTED_VALUE"""),5052200.0)</f>
        <v>5052200</v>
      </c>
      <c r="G611" s="2">
        <f t="shared" si="1"/>
        <v>29.26</v>
      </c>
    </row>
    <row r="612" ht="15.75" customHeight="1">
      <c r="A612" s="1">
        <f>IFERROR(__xludf.DUMMYFUNCTION("""COMPUTED_VALUE"""),44750.66666666667)</f>
        <v>44750.66667</v>
      </c>
      <c r="B612" s="2">
        <f>IFERROR(__xludf.DUMMYFUNCTION("""COMPUTED_VALUE"""),1214.26)</f>
        <v>1214.26</v>
      </c>
      <c r="C612" s="2">
        <f>IFERROR(__xludf.DUMMYFUNCTION("""COMPUTED_VALUE"""),1224.01)</f>
        <v>1224.01</v>
      </c>
      <c r="D612" s="2">
        <f>IFERROR(__xludf.DUMMYFUNCTION("""COMPUTED_VALUE"""),1204.51)</f>
        <v>1204.51</v>
      </c>
      <c r="E612" s="2">
        <f>IFERROR(__xludf.DUMMYFUNCTION("""COMPUTED_VALUE"""),1224.01)</f>
        <v>1224.01</v>
      </c>
      <c r="F612" s="2">
        <f>IFERROR(__xludf.DUMMYFUNCTION("""COMPUTED_VALUE"""),3942000.0)</f>
        <v>3942000</v>
      </c>
      <c r="G612" s="2">
        <f t="shared" si="1"/>
        <v>19.5</v>
      </c>
    </row>
    <row r="613" ht="15.75" customHeight="1">
      <c r="A613" s="1">
        <f>IFERROR(__xludf.DUMMYFUNCTION("""COMPUTED_VALUE"""),44753.66666666667)</f>
        <v>44753.66667</v>
      </c>
      <c r="B613" s="2">
        <f>IFERROR(__xludf.DUMMYFUNCTION("""COMPUTED_VALUE"""),1228.89)</f>
        <v>1228.89</v>
      </c>
      <c r="C613" s="2">
        <f>IFERROR(__xludf.DUMMYFUNCTION("""COMPUTED_VALUE"""),1248.4)</f>
        <v>1248.4</v>
      </c>
      <c r="D613" s="2">
        <f>IFERROR(__xludf.DUMMYFUNCTION("""COMPUTED_VALUE"""),1224.01)</f>
        <v>1224.01</v>
      </c>
      <c r="E613" s="2">
        <f>IFERROR(__xludf.DUMMYFUNCTION("""COMPUTED_VALUE"""),1224.01)</f>
        <v>1224.01</v>
      </c>
      <c r="F613" s="2">
        <f>IFERROR(__xludf.DUMMYFUNCTION("""COMPUTED_VALUE"""),2844800.0)</f>
        <v>2844800</v>
      </c>
      <c r="G613" s="2">
        <f t="shared" si="1"/>
        <v>24.39</v>
      </c>
    </row>
    <row r="614" ht="15.75" customHeight="1">
      <c r="A614" s="1">
        <f>IFERROR(__xludf.DUMMYFUNCTION("""COMPUTED_VALUE"""),44754.66666666667)</f>
        <v>44754.66667</v>
      </c>
      <c r="B614" s="2">
        <f>IFERROR(__xludf.DUMMYFUNCTION("""COMPUTED_VALUE"""),1224.01)</f>
        <v>1224.01</v>
      </c>
      <c r="C614" s="2">
        <f>IFERROR(__xludf.DUMMYFUNCTION("""COMPUTED_VALUE"""),1506.85)</f>
        <v>1506.85</v>
      </c>
      <c r="D614" s="2">
        <f>IFERROR(__xludf.DUMMYFUNCTION("""COMPUTED_VALUE"""),1204.51)</f>
        <v>1204.51</v>
      </c>
      <c r="E614" s="2">
        <f>IFERROR(__xludf.DUMMYFUNCTION("""COMPUTED_VALUE"""),1482.47)</f>
        <v>1482.47</v>
      </c>
      <c r="F614" s="2">
        <f>IFERROR(__xludf.DUMMYFUNCTION("""COMPUTED_VALUE"""),1.445499E8)</f>
        <v>144549900</v>
      </c>
      <c r="G614" s="2">
        <f t="shared" si="1"/>
        <v>302.34</v>
      </c>
    </row>
    <row r="615" ht="15.75" customHeight="1">
      <c r="A615" s="1">
        <f>IFERROR(__xludf.DUMMYFUNCTION("""COMPUTED_VALUE"""),44755.66666666667)</f>
        <v>44755.66667</v>
      </c>
      <c r="B615" s="2">
        <f>IFERROR(__xludf.DUMMYFUNCTION("""COMPUTED_VALUE"""),1462.96)</f>
        <v>1462.96</v>
      </c>
      <c r="C615" s="2">
        <f>IFERROR(__xludf.DUMMYFUNCTION("""COMPUTED_VALUE"""),1487.35)</f>
        <v>1487.35</v>
      </c>
      <c r="D615" s="2">
        <f>IFERROR(__xludf.DUMMYFUNCTION("""COMPUTED_VALUE"""),1380.06)</f>
        <v>1380.06</v>
      </c>
      <c r="E615" s="2">
        <f>IFERROR(__xludf.DUMMYFUNCTION("""COMPUTED_VALUE"""),1380.06)</f>
        <v>1380.06</v>
      </c>
      <c r="F615" s="2">
        <f>IFERROR(__xludf.DUMMYFUNCTION("""COMPUTED_VALUE"""),5.24624E7)</f>
        <v>52462400</v>
      </c>
      <c r="G615" s="2">
        <f t="shared" si="1"/>
        <v>107.29</v>
      </c>
    </row>
    <row r="616" ht="15.75" customHeight="1">
      <c r="A616" s="1">
        <f>IFERROR(__xludf.DUMMYFUNCTION("""COMPUTED_VALUE"""),44756.66666666667)</f>
        <v>44756.66667</v>
      </c>
      <c r="B616" s="2">
        <f>IFERROR(__xludf.DUMMYFUNCTION("""COMPUTED_VALUE"""),1380.06)</f>
        <v>1380.06</v>
      </c>
      <c r="C616" s="2">
        <f>IFERROR(__xludf.DUMMYFUNCTION("""COMPUTED_VALUE"""),1433.7)</f>
        <v>1433.7</v>
      </c>
      <c r="D616" s="2">
        <f>IFERROR(__xludf.DUMMYFUNCTION("""COMPUTED_VALUE"""),1336.17)</f>
        <v>1336.17</v>
      </c>
      <c r="E616" s="2">
        <f>IFERROR(__xludf.DUMMYFUNCTION("""COMPUTED_VALUE"""),1384.94)</f>
        <v>1384.94</v>
      </c>
      <c r="F616" s="2">
        <f>IFERROR(__xludf.DUMMYFUNCTION("""COMPUTED_VALUE"""),2.63668E7)</f>
        <v>26366800</v>
      </c>
      <c r="G616" s="2">
        <f t="shared" si="1"/>
        <v>97.53</v>
      </c>
    </row>
    <row r="617" ht="15.75" customHeight="1">
      <c r="A617" s="1">
        <f>IFERROR(__xludf.DUMMYFUNCTION("""COMPUTED_VALUE"""),44757.66666666667)</f>
        <v>44757.66667</v>
      </c>
      <c r="B617" s="2">
        <f>IFERROR(__xludf.DUMMYFUNCTION("""COMPUTED_VALUE"""),1384.94)</f>
        <v>1384.94</v>
      </c>
      <c r="C617" s="2">
        <f>IFERROR(__xludf.DUMMYFUNCTION("""COMPUTED_VALUE"""),1453.21)</f>
        <v>1453.21</v>
      </c>
      <c r="D617" s="2">
        <f>IFERROR(__xludf.DUMMYFUNCTION("""COMPUTED_VALUE"""),1380.06)</f>
        <v>1380.06</v>
      </c>
      <c r="E617" s="2">
        <f>IFERROR(__xludf.DUMMYFUNCTION("""COMPUTED_VALUE"""),1419.07)</f>
        <v>1419.07</v>
      </c>
      <c r="F617" s="2">
        <f>IFERROR(__xludf.DUMMYFUNCTION("""COMPUTED_VALUE"""),4.08161E7)</f>
        <v>40816100</v>
      </c>
      <c r="G617" s="2">
        <f t="shared" si="1"/>
        <v>73.15</v>
      </c>
    </row>
    <row r="618" ht="15.75" customHeight="1">
      <c r="A618" s="1">
        <f>IFERROR(__xludf.DUMMYFUNCTION("""COMPUTED_VALUE"""),44760.66666666667)</f>
        <v>44760.66667</v>
      </c>
      <c r="B618" s="2">
        <f>IFERROR(__xludf.DUMMYFUNCTION("""COMPUTED_VALUE"""),1423.95)</f>
        <v>1423.95</v>
      </c>
      <c r="C618" s="2">
        <f>IFERROR(__xludf.DUMMYFUNCTION("""COMPUTED_VALUE"""),1506.85)</f>
        <v>1506.85</v>
      </c>
      <c r="D618" s="2">
        <f>IFERROR(__xludf.DUMMYFUNCTION("""COMPUTED_VALUE"""),1423.95)</f>
        <v>1423.95</v>
      </c>
      <c r="E618" s="2">
        <f>IFERROR(__xludf.DUMMYFUNCTION("""COMPUTED_VALUE"""),1477.59)</f>
        <v>1477.59</v>
      </c>
      <c r="F618" s="2">
        <f>IFERROR(__xludf.DUMMYFUNCTION("""COMPUTED_VALUE"""),5.77031E7)</f>
        <v>57703100</v>
      </c>
      <c r="G618" s="2">
        <f t="shared" si="1"/>
        <v>87.78</v>
      </c>
    </row>
    <row r="619" ht="15.75" customHeight="1">
      <c r="A619" s="1">
        <f>IFERROR(__xludf.DUMMYFUNCTION("""COMPUTED_VALUE"""),44761.66666666667)</f>
        <v>44761.66667</v>
      </c>
      <c r="B619" s="2">
        <f>IFERROR(__xludf.DUMMYFUNCTION("""COMPUTED_VALUE"""),1477.59)</f>
        <v>1477.59</v>
      </c>
      <c r="C619" s="2">
        <f>IFERROR(__xludf.DUMMYFUNCTION("""COMPUTED_VALUE"""),1526.36)</f>
        <v>1526.36</v>
      </c>
      <c r="D619" s="2">
        <f>IFERROR(__xludf.DUMMYFUNCTION("""COMPUTED_VALUE"""),1467.84)</f>
        <v>1467.84</v>
      </c>
      <c r="E619" s="2">
        <f>IFERROR(__xludf.DUMMYFUNCTION("""COMPUTED_VALUE"""),1477.59)</f>
        <v>1477.59</v>
      </c>
      <c r="F619" s="2">
        <f>IFERROR(__xludf.DUMMYFUNCTION("""COMPUTED_VALUE"""),3.74143E7)</f>
        <v>37414300</v>
      </c>
      <c r="G619" s="2">
        <f t="shared" si="1"/>
        <v>58.52</v>
      </c>
    </row>
    <row r="620" ht="15.75" customHeight="1">
      <c r="A620" s="1">
        <f>IFERROR(__xludf.DUMMYFUNCTION("""COMPUTED_VALUE"""),44762.66666666667)</f>
        <v>44762.66667</v>
      </c>
      <c r="B620" s="2">
        <f>IFERROR(__xludf.DUMMYFUNCTION("""COMPUTED_VALUE"""),1477.59)</f>
        <v>1477.59</v>
      </c>
      <c r="C620" s="2">
        <f>IFERROR(__xludf.DUMMYFUNCTION("""COMPUTED_VALUE"""),1516.61)</f>
        <v>1516.61</v>
      </c>
      <c r="D620" s="2">
        <f>IFERROR(__xludf.DUMMYFUNCTION("""COMPUTED_VALUE"""),1477.59)</f>
        <v>1477.59</v>
      </c>
      <c r="E620" s="2">
        <f>IFERROR(__xludf.DUMMYFUNCTION("""COMPUTED_VALUE"""),1492.22)</f>
        <v>1492.22</v>
      </c>
      <c r="F620" s="2">
        <f>IFERROR(__xludf.DUMMYFUNCTION("""COMPUTED_VALUE"""),1.96014E7)</f>
        <v>19601400</v>
      </c>
      <c r="G620" s="2">
        <f t="shared" si="1"/>
        <v>39.02</v>
      </c>
    </row>
    <row r="621" ht="15.75" customHeight="1">
      <c r="A621" s="1">
        <f>IFERROR(__xludf.DUMMYFUNCTION("""COMPUTED_VALUE"""),44763.66666666667)</f>
        <v>44763.66667</v>
      </c>
      <c r="B621" s="2">
        <f>IFERROR(__xludf.DUMMYFUNCTION("""COMPUTED_VALUE"""),1540.99)</f>
        <v>1540.99</v>
      </c>
      <c r="C621" s="2">
        <f>IFERROR(__xludf.DUMMYFUNCTION("""COMPUTED_VALUE"""),1540.99)</f>
        <v>1540.99</v>
      </c>
      <c r="D621" s="2">
        <f>IFERROR(__xludf.DUMMYFUNCTION("""COMPUTED_VALUE"""),1472.72)</f>
        <v>1472.72</v>
      </c>
      <c r="E621" s="2">
        <f>IFERROR(__xludf.DUMMYFUNCTION("""COMPUTED_VALUE"""),1511.73)</f>
        <v>1511.73</v>
      </c>
      <c r="F621" s="2">
        <f>IFERROR(__xludf.DUMMYFUNCTION("""COMPUTED_VALUE"""),2.59615E7)</f>
        <v>25961500</v>
      </c>
      <c r="G621" s="2">
        <f t="shared" si="1"/>
        <v>68.27</v>
      </c>
    </row>
    <row r="622" ht="15.75" customHeight="1">
      <c r="A622" s="1">
        <f>IFERROR(__xludf.DUMMYFUNCTION("""COMPUTED_VALUE"""),44764.66666666667)</f>
        <v>44764.66667</v>
      </c>
      <c r="B622" s="2">
        <f>IFERROR(__xludf.DUMMYFUNCTION("""COMPUTED_VALUE"""),1511.73)</f>
        <v>1511.73</v>
      </c>
      <c r="C622" s="2">
        <f>IFERROR(__xludf.DUMMYFUNCTION("""COMPUTED_VALUE"""),1526.36)</f>
        <v>1526.36</v>
      </c>
      <c r="D622" s="2">
        <f>IFERROR(__xludf.DUMMYFUNCTION("""COMPUTED_VALUE"""),1501.98)</f>
        <v>1501.98</v>
      </c>
      <c r="E622" s="2">
        <f>IFERROR(__xludf.DUMMYFUNCTION("""COMPUTED_VALUE"""),1511.73)</f>
        <v>1511.73</v>
      </c>
      <c r="F622" s="2">
        <f>IFERROR(__xludf.DUMMYFUNCTION("""COMPUTED_VALUE"""),1.287E7)</f>
        <v>12870000</v>
      </c>
      <c r="G622" s="2">
        <f t="shared" si="1"/>
        <v>24.38</v>
      </c>
    </row>
    <row r="623" ht="15.75" customHeight="1">
      <c r="A623" s="1">
        <f>IFERROR(__xludf.DUMMYFUNCTION("""COMPUTED_VALUE"""),44767.66666666667)</f>
        <v>44767.66667</v>
      </c>
      <c r="B623" s="2">
        <f>IFERROR(__xludf.DUMMYFUNCTION("""COMPUTED_VALUE"""),1516.61)</f>
        <v>1516.61</v>
      </c>
      <c r="C623" s="2">
        <f>IFERROR(__xludf.DUMMYFUNCTION("""COMPUTED_VALUE"""),1580.0)</f>
        <v>1580</v>
      </c>
      <c r="D623" s="2">
        <f>IFERROR(__xludf.DUMMYFUNCTION("""COMPUTED_VALUE"""),1511.73)</f>
        <v>1511.73</v>
      </c>
      <c r="E623" s="2">
        <f>IFERROR(__xludf.DUMMYFUNCTION("""COMPUTED_VALUE"""),1550.74)</f>
        <v>1550.74</v>
      </c>
      <c r="F623" s="2">
        <f>IFERROR(__xludf.DUMMYFUNCTION("""COMPUTED_VALUE"""),3.41948E7)</f>
        <v>34194800</v>
      </c>
      <c r="G623" s="2">
        <f t="shared" si="1"/>
        <v>68.27</v>
      </c>
    </row>
    <row r="624" ht="15.75" customHeight="1">
      <c r="A624" s="1">
        <f>IFERROR(__xludf.DUMMYFUNCTION("""COMPUTED_VALUE"""),44768.66666666667)</f>
        <v>44768.66667</v>
      </c>
      <c r="B624" s="2">
        <f>IFERROR(__xludf.DUMMYFUNCTION("""COMPUTED_VALUE"""),1570.25)</f>
        <v>1570.25</v>
      </c>
      <c r="C624" s="2">
        <f>IFERROR(__xludf.DUMMYFUNCTION("""COMPUTED_VALUE"""),1628.77)</f>
        <v>1628.77</v>
      </c>
      <c r="D624" s="2">
        <f>IFERROR(__xludf.DUMMYFUNCTION("""COMPUTED_VALUE"""),1565.37)</f>
        <v>1565.37</v>
      </c>
      <c r="E624" s="2">
        <f>IFERROR(__xludf.DUMMYFUNCTION("""COMPUTED_VALUE"""),1594.63)</f>
        <v>1594.63</v>
      </c>
      <c r="F624" s="2">
        <f>IFERROR(__xludf.DUMMYFUNCTION("""COMPUTED_VALUE"""),4.70995E7)</f>
        <v>47099500</v>
      </c>
      <c r="G624" s="2">
        <f t="shared" si="1"/>
        <v>78.03</v>
      </c>
    </row>
    <row r="625" ht="15.75" customHeight="1">
      <c r="A625" s="1">
        <f>IFERROR(__xludf.DUMMYFUNCTION("""COMPUTED_VALUE"""),44769.66666666667)</f>
        <v>44769.66667</v>
      </c>
      <c r="B625" s="2">
        <f>IFERROR(__xludf.DUMMYFUNCTION("""COMPUTED_VALUE"""),1599.51)</f>
        <v>1599.51</v>
      </c>
      <c r="C625" s="2">
        <f>IFERROR(__xludf.DUMMYFUNCTION("""COMPUTED_VALUE"""),1633.64)</f>
        <v>1633.64</v>
      </c>
      <c r="D625" s="2">
        <f>IFERROR(__xludf.DUMMYFUNCTION("""COMPUTED_VALUE"""),1580.0)</f>
        <v>1580</v>
      </c>
      <c r="E625" s="2">
        <f>IFERROR(__xludf.DUMMYFUNCTION("""COMPUTED_VALUE"""),1580.0)</f>
        <v>1580</v>
      </c>
      <c r="F625" s="2">
        <f>IFERROR(__xludf.DUMMYFUNCTION("""COMPUTED_VALUE"""),5.61965E7)</f>
        <v>56196500</v>
      </c>
      <c r="G625" s="2">
        <f t="shared" si="1"/>
        <v>53.64</v>
      </c>
    </row>
    <row r="626" ht="15.75" customHeight="1">
      <c r="A626" s="1">
        <f>IFERROR(__xludf.DUMMYFUNCTION("""COMPUTED_VALUE"""),44770.66666666667)</f>
        <v>44770.66667</v>
      </c>
      <c r="B626" s="2">
        <f>IFERROR(__xludf.DUMMYFUNCTION("""COMPUTED_VALUE"""),1584.88)</f>
        <v>1584.88</v>
      </c>
      <c r="C626" s="2">
        <f>IFERROR(__xludf.DUMMYFUNCTION("""COMPUTED_VALUE"""),1638.52)</f>
        <v>1638.52</v>
      </c>
      <c r="D626" s="2">
        <f>IFERROR(__xludf.DUMMYFUNCTION("""COMPUTED_VALUE"""),1584.88)</f>
        <v>1584.88</v>
      </c>
      <c r="E626" s="2">
        <f>IFERROR(__xludf.DUMMYFUNCTION("""COMPUTED_VALUE"""),1633.64)</f>
        <v>1633.64</v>
      </c>
      <c r="F626" s="2">
        <f>IFERROR(__xludf.DUMMYFUNCTION("""COMPUTED_VALUE"""),4.20866E7)</f>
        <v>42086600</v>
      </c>
      <c r="G626" s="2">
        <f t="shared" si="1"/>
        <v>58.52</v>
      </c>
    </row>
    <row r="627" ht="15.75" customHeight="1">
      <c r="A627" s="1">
        <f>IFERROR(__xludf.DUMMYFUNCTION("""COMPUTED_VALUE"""),44771.66666666667)</f>
        <v>44771.66667</v>
      </c>
      <c r="B627" s="2">
        <f>IFERROR(__xludf.DUMMYFUNCTION("""COMPUTED_VALUE"""),1633.64)</f>
        <v>1633.64</v>
      </c>
      <c r="C627" s="2">
        <f>IFERROR(__xludf.DUMMYFUNCTION("""COMPUTED_VALUE"""),1667.78)</f>
        <v>1667.78</v>
      </c>
      <c r="D627" s="2">
        <f>IFERROR(__xludf.DUMMYFUNCTION("""COMPUTED_VALUE"""),1594.63)</f>
        <v>1594.63</v>
      </c>
      <c r="E627" s="2">
        <f>IFERROR(__xludf.DUMMYFUNCTION("""COMPUTED_VALUE"""),1594.63)</f>
        <v>1594.63</v>
      </c>
      <c r="F627" s="2">
        <f>IFERROR(__xludf.DUMMYFUNCTION("""COMPUTED_VALUE"""),3.8608E7)</f>
        <v>38608000</v>
      </c>
      <c r="G627" s="2">
        <f t="shared" si="1"/>
        <v>73.15</v>
      </c>
    </row>
    <row r="628" ht="15.75" customHeight="1">
      <c r="A628" s="1">
        <f>IFERROR(__xludf.DUMMYFUNCTION("""COMPUTED_VALUE"""),44774.66666666667)</f>
        <v>44774.66667</v>
      </c>
      <c r="B628" s="2">
        <f>IFERROR(__xludf.DUMMYFUNCTION("""COMPUTED_VALUE"""),1594.63)</f>
        <v>1594.63</v>
      </c>
      <c r="C628" s="2">
        <f>IFERROR(__xludf.DUMMYFUNCTION("""COMPUTED_VALUE"""),1619.01)</f>
        <v>1619.01</v>
      </c>
      <c r="D628" s="2">
        <f>IFERROR(__xludf.DUMMYFUNCTION("""COMPUTED_VALUE"""),1594.63)</f>
        <v>1594.63</v>
      </c>
      <c r="E628" s="2">
        <f>IFERROR(__xludf.DUMMYFUNCTION("""COMPUTED_VALUE"""),1594.63)</f>
        <v>1594.63</v>
      </c>
      <c r="F628" s="2">
        <f>IFERROR(__xludf.DUMMYFUNCTION("""COMPUTED_VALUE"""),1.40425E7)</f>
        <v>14042500</v>
      </c>
      <c r="G628" s="2">
        <f t="shared" si="1"/>
        <v>24.38</v>
      </c>
    </row>
    <row r="629" ht="15.75" customHeight="1">
      <c r="A629" s="1">
        <f>IFERROR(__xludf.DUMMYFUNCTION("""COMPUTED_VALUE"""),44775.66666666667)</f>
        <v>44775.66667</v>
      </c>
      <c r="B629" s="2">
        <f>IFERROR(__xludf.DUMMYFUNCTION("""COMPUTED_VALUE"""),1594.63)</f>
        <v>1594.63</v>
      </c>
      <c r="C629" s="2">
        <f>IFERROR(__xludf.DUMMYFUNCTION("""COMPUTED_VALUE"""),1599.51)</f>
        <v>1599.51</v>
      </c>
      <c r="D629" s="2">
        <f>IFERROR(__xludf.DUMMYFUNCTION("""COMPUTED_VALUE"""),1516.61)</f>
        <v>1516.61</v>
      </c>
      <c r="E629" s="2">
        <f>IFERROR(__xludf.DUMMYFUNCTION("""COMPUTED_VALUE"""),1526.36)</f>
        <v>1526.36</v>
      </c>
      <c r="F629" s="2">
        <f>IFERROR(__xludf.DUMMYFUNCTION("""COMPUTED_VALUE"""),2.86045E7)</f>
        <v>28604500</v>
      </c>
      <c r="G629" s="2">
        <f t="shared" si="1"/>
        <v>82.9</v>
      </c>
    </row>
    <row r="630" ht="15.75" customHeight="1">
      <c r="A630" s="1">
        <f>IFERROR(__xludf.DUMMYFUNCTION("""COMPUTED_VALUE"""),44776.66666666667)</f>
        <v>44776.66667</v>
      </c>
      <c r="B630" s="2">
        <f>IFERROR(__xludf.DUMMYFUNCTION("""COMPUTED_VALUE"""),1477.59)</f>
        <v>1477.59</v>
      </c>
      <c r="C630" s="2">
        <f>IFERROR(__xludf.DUMMYFUNCTION("""COMPUTED_VALUE"""),1545.86)</f>
        <v>1545.86</v>
      </c>
      <c r="D630" s="2">
        <f>IFERROR(__xludf.DUMMYFUNCTION("""COMPUTED_VALUE"""),1477.59)</f>
        <v>1477.59</v>
      </c>
      <c r="E630" s="2">
        <f>IFERROR(__xludf.DUMMYFUNCTION("""COMPUTED_VALUE"""),1531.23)</f>
        <v>1531.23</v>
      </c>
      <c r="F630" s="2">
        <f>IFERROR(__xludf.DUMMYFUNCTION("""COMPUTED_VALUE"""),1.09171E7)</f>
        <v>10917100</v>
      </c>
      <c r="G630" s="2">
        <f t="shared" si="1"/>
        <v>68.27</v>
      </c>
    </row>
    <row r="631" ht="15.75" customHeight="1">
      <c r="A631" s="1">
        <f>IFERROR(__xludf.DUMMYFUNCTION("""COMPUTED_VALUE"""),44777.66666666667)</f>
        <v>44777.66667</v>
      </c>
      <c r="B631" s="2">
        <f>IFERROR(__xludf.DUMMYFUNCTION("""COMPUTED_VALUE"""),1540.99)</f>
        <v>1540.99</v>
      </c>
      <c r="C631" s="2">
        <f>IFERROR(__xludf.DUMMYFUNCTION("""COMPUTED_VALUE"""),1589.75)</f>
        <v>1589.75</v>
      </c>
      <c r="D631" s="2">
        <f>IFERROR(__xludf.DUMMYFUNCTION("""COMPUTED_VALUE"""),1540.99)</f>
        <v>1540.99</v>
      </c>
      <c r="E631" s="2">
        <f>IFERROR(__xludf.DUMMYFUNCTION("""COMPUTED_VALUE"""),1550.74)</f>
        <v>1550.74</v>
      </c>
      <c r="F631" s="2">
        <f>IFERROR(__xludf.DUMMYFUNCTION("""COMPUTED_VALUE"""),1.79868E7)</f>
        <v>17986800</v>
      </c>
      <c r="G631" s="2">
        <f t="shared" si="1"/>
        <v>58.52</v>
      </c>
    </row>
    <row r="632" ht="15.75" customHeight="1">
      <c r="A632" s="1">
        <f>IFERROR(__xludf.DUMMYFUNCTION("""COMPUTED_VALUE"""),44778.66666666667)</f>
        <v>44778.66667</v>
      </c>
      <c r="B632" s="2">
        <f>IFERROR(__xludf.DUMMYFUNCTION("""COMPUTED_VALUE"""),1555.62)</f>
        <v>1555.62</v>
      </c>
      <c r="C632" s="2">
        <f>IFERROR(__xludf.DUMMYFUNCTION("""COMPUTED_VALUE"""),1560.49)</f>
        <v>1560.49</v>
      </c>
      <c r="D632" s="2">
        <f>IFERROR(__xludf.DUMMYFUNCTION("""COMPUTED_VALUE"""),1540.99)</f>
        <v>1540.99</v>
      </c>
      <c r="E632" s="2">
        <f>IFERROR(__xludf.DUMMYFUNCTION("""COMPUTED_VALUE"""),1550.74)</f>
        <v>1550.74</v>
      </c>
      <c r="F632" s="2">
        <f>IFERROR(__xludf.DUMMYFUNCTION("""COMPUTED_VALUE"""),8681600.0)</f>
        <v>8681600</v>
      </c>
      <c r="G632" s="2">
        <f t="shared" si="1"/>
        <v>19.5</v>
      </c>
    </row>
    <row r="633" ht="15.75" customHeight="1">
      <c r="A633" s="1">
        <f>IFERROR(__xludf.DUMMYFUNCTION("""COMPUTED_VALUE"""),44781.66666666667)</f>
        <v>44781.66667</v>
      </c>
      <c r="B633" s="2">
        <f>IFERROR(__xludf.DUMMYFUNCTION("""COMPUTED_VALUE"""),1550.74)</f>
        <v>1550.74</v>
      </c>
      <c r="C633" s="2">
        <f>IFERROR(__xludf.DUMMYFUNCTION("""COMPUTED_VALUE"""),1560.49)</f>
        <v>1560.49</v>
      </c>
      <c r="D633" s="2">
        <f>IFERROR(__xludf.DUMMYFUNCTION("""COMPUTED_VALUE"""),1516.61)</f>
        <v>1516.61</v>
      </c>
      <c r="E633" s="2">
        <f>IFERROR(__xludf.DUMMYFUNCTION("""COMPUTED_VALUE"""),1526.36)</f>
        <v>1526.36</v>
      </c>
      <c r="F633" s="2">
        <f>IFERROR(__xludf.DUMMYFUNCTION("""COMPUTED_VALUE"""),1.17597E7)</f>
        <v>11759700</v>
      </c>
      <c r="G633" s="2">
        <f t="shared" si="1"/>
        <v>43.88</v>
      </c>
    </row>
    <row r="634" ht="15.75" customHeight="1">
      <c r="A634" s="1">
        <f>IFERROR(__xludf.DUMMYFUNCTION("""COMPUTED_VALUE"""),44782.66666666667)</f>
        <v>44782.66667</v>
      </c>
      <c r="B634" s="2">
        <f>IFERROR(__xludf.DUMMYFUNCTION("""COMPUTED_VALUE"""),1526.36)</f>
        <v>1526.36</v>
      </c>
      <c r="C634" s="2">
        <f>IFERROR(__xludf.DUMMYFUNCTION("""COMPUTED_VALUE"""),1555.62)</f>
        <v>1555.62</v>
      </c>
      <c r="D634" s="2">
        <f>IFERROR(__xludf.DUMMYFUNCTION("""COMPUTED_VALUE"""),1482.47)</f>
        <v>1482.47</v>
      </c>
      <c r="E634" s="2">
        <f>IFERROR(__xludf.DUMMYFUNCTION("""COMPUTED_VALUE"""),1506.85)</f>
        <v>1506.85</v>
      </c>
      <c r="F634" s="2">
        <f>IFERROR(__xludf.DUMMYFUNCTION("""COMPUTED_VALUE"""),1.75921E7)</f>
        <v>17592100</v>
      </c>
      <c r="G634" s="2">
        <f t="shared" si="1"/>
        <v>73.15</v>
      </c>
    </row>
    <row r="635" ht="15.75" customHeight="1">
      <c r="A635" s="1">
        <f>IFERROR(__xludf.DUMMYFUNCTION("""COMPUTED_VALUE"""),44783.66666666667)</f>
        <v>44783.66667</v>
      </c>
      <c r="B635" s="2">
        <f>IFERROR(__xludf.DUMMYFUNCTION("""COMPUTED_VALUE"""),1511.73)</f>
        <v>1511.73</v>
      </c>
      <c r="C635" s="2">
        <f>IFERROR(__xludf.DUMMYFUNCTION("""COMPUTED_VALUE"""),1526.36)</f>
        <v>1526.36</v>
      </c>
      <c r="D635" s="2">
        <f>IFERROR(__xludf.DUMMYFUNCTION("""COMPUTED_VALUE"""),1501.98)</f>
        <v>1501.98</v>
      </c>
      <c r="E635" s="2">
        <f>IFERROR(__xludf.DUMMYFUNCTION("""COMPUTED_VALUE"""),1501.98)</f>
        <v>1501.98</v>
      </c>
      <c r="F635" s="2">
        <f>IFERROR(__xludf.DUMMYFUNCTION("""COMPUTED_VALUE"""),6551400.0)</f>
        <v>6551400</v>
      </c>
      <c r="G635" s="2">
        <f t="shared" si="1"/>
        <v>24.38</v>
      </c>
    </row>
    <row r="636" ht="15.75" customHeight="1">
      <c r="A636" s="1">
        <f>IFERROR(__xludf.DUMMYFUNCTION("""COMPUTED_VALUE"""),44784.66666666667)</f>
        <v>44784.66667</v>
      </c>
      <c r="B636" s="2">
        <f>IFERROR(__xludf.DUMMYFUNCTION("""COMPUTED_VALUE"""),1511.73)</f>
        <v>1511.73</v>
      </c>
      <c r="C636" s="2">
        <f>IFERROR(__xludf.DUMMYFUNCTION("""COMPUTED_VALUE"""),1536.11)</f>
        <v>1536.11</v>
      </c>
      <c r="D636" s="2">
        <f>IFERROR(__xludf.DUMMYFUNCTION("""COMPUTED_VALUE"""),1511.73)</f>
        <v>1511.73</v>
      </c>
      <c r="E636" s="2">
        <f>IFERROR(__xludf.DUMMYFUNCTION("""COMPUTED_VALUE"""),1531.23)</f>
        <v>1531.23</v>
      </c>
      <c r="F636" s="2">
        <f>IFERROR(__xludf.DUMMYFUNCTION("""COMPUTED_VALUE"""),8589400.0)</f>
        <v>8589400</v>
      </c>
      <c r="G636" s="2">
        <f t="shared" si="1"/>
        <v>34.13</v>
      </c>
    </row>
    <row r="637" ht="15.75" customHeight="1">
      <c r="A637" s="1">
        <f>IFERROR(__xludf.DUMMYFUNCTION("""COMPUTED_VALUE"""),44785.66666666667)</f>
        <v>44785.66667</v>
      </c>
      <c r="B637" s="2">
        <f>IFERROR(__xludf.DUMMYFUNCTION("""COMPUTED_VALUE"""),1536.11)</f>
        <v>1536.11</v>
      </c>
      <c r="C637" s="2">
        <f>IFERROR(__xludf.DUMMYFUNCTION("""COMPUTED_VALUE"""),1545.86)</f>
        <v>1545.86</v>
      </c>
      <c r="D637" s="2">
        <f>IFERROR(__xludf.DUMMYFUNCTION("""COMPUTED_VALUE"""),1511.73)</f>
        <v>1511.73</v>
      </c>
      <c r="E637" s="2">
        <f>IFERROR(__xludf.DUMMYFUNCTION("""COMPUTED_VALUE"""),1526.36)</f>
        <v>1526.36</v>
      </c>
      <c r="F637" s="2">
        <f>IFERROR(__xludf.DUMMYFUNCTION("""COMPUTED_VALUE"""),7141800.0)</f>
        <v>7141800</v>
      </c>
      <c r="G637" s="2">
        <f t="shared" si="1"/>
        <v>34.13</v>
      </c>
    </row>
    <row r="638" ht="15.75" customHeight="1">
      <c r="A638" s="1">
        <f>IFERROR(__xludf.DUMMYFUNCTION("""COMPUTED_VALUE"""),44788.66666666667)</f>
        <v>44788.66667</v>
      </c>
      <c r="B638" s="2">
        <f>IFERROR(__xludf.DUMMYFUNCTION("""COMPUTED_VALUE"""),1526.36)</f>
        <v>1526.36</v>
      </c>
      <c r="C638" s="2">
        <f>IFERROR(__xludf.DUMMYFUNCTION("""COMPUTED_VALUE"""),1536.11)</f>
        <v>1536.11</v>
      </c>
      <c r="D638" s="2">
        <f>IFERROR(__xludf.DUMMYFUNCTION("""COMPUTED_VALUE"""),1506.85)</f>
        <v>1506.85</v>
      </c>
      <c r="E638" s="2">
        <f>IFERROR(__xludf.DUMMYFUNCTION("""COMPUTED_VALUE"""),1506.85)</f>
        <v>1506.85</v>
      </c>
      <c r="F638" s="2">
        <f>IFERROR(__xludf.DUMMYFUNCTION("""COMPUTED_VALUE"""),7080200.0)</f>
        <v>7080200</v>
      </c>
      <c r="G638" s="2">
        <f t="shared" si="1"/>
        <v>29.26</v>
      </c>
    </row>
    <row r="639" ht="15.75" customHeight="1">
      <c r="A639" s="1">
        <f>IFERROR(__xludf.DUMMYFUNCTION("""COMPUTED_VALUE"""),44789.66666666667)</f>
        <v>44789.66667</v>
      </c>
      <c r="B639" s="2">
        <f>IFERROR(__xludf.DUMMYFUNCTION("""COMPUTED_VALUE"""),1511.73)</f>
        <v>1511.73</v>
      </c>
      <c r="C639" s="2">
        <f>IFERROR(__xludf.DUMMYFUNCTION("""COMPUTED_VALUE"""),1521.48)</f>
        <v>1521.48</v>
      </c>
      <c r="D639" s="2">
        <f>IFERROR(__xludf.DUMMYFUNCTION("""COMPUTED_VALUE"""),1487.35)</f>
        <v>1487.35</v>
      </c>
      <c r="E639" s="2">
        <f>IFERROR(__xludf.DUMMYFUNCTION("""COMPUTED_VALUE"""),1487.35)</f>
        <v>1487.35</v>
      </c>
      <c r="F639" s="2">
        <f>IFERROR(__xludf.DUMMYFUNCTION("""COMPUTED_VALUE"""),6830900.0)</f>
        <v>6830900</v>
      </c>
      <c r="G639" s="2">
        <f t="shared" si="1"/>
        <v>34.13</v>
      </c>
    </row>
    <row r="640" ht="15.75" customHeight="1">
      <c r="A640" s="1">
        <f>IFERROR(__xludf.DUMMYFUNCTION("""COMPUTED_VALUE"""),44791.66666666667)</f>
        <v>44791.66667</v>
      </c>
      <c r="B640" s="2">
        <f>IFERROR(__xludf.DUMMYFUNCTION("""COMPUTED_VALUE"""),1487.35)</f>
        <v>1487.35</v>
      </c>
      <c r="C640" s="2">
        <f>IFERROR(__xludf.DUMMYFUNCTION("""COMPUTED_VALUE"""),1526.36)</f>
        <v>1526.36</v>
      </c>
      <c r="D640" s="2">
        <f>IFERROR(__xludf.DUMMYFUNCTION("""COMPUTED_VALUE"""),1487.35)</f>
        <v>1487.35</v>
      </c>
      <c r="E640" s="2">
        <f>IFERROR(__xludf.DUMMYFUNCTION("""COMPUTED_VALUE"""),1501.98)</f>
        <v>1501.98</v>
      </c>
      <c r="F640" s="2">
        <f>IFERROR(__xludf.DUMMYFUNCTION("""COMPUTED_VALUE"""),1.04773E7)</f>
        <v>10477300</v>
      </c>
      <c r="G640" s="2">
        <f t="shared" si="1"/>
        <v>39.01</v>
      </c>
    </row>
    <row r="641" ht="15.75" customHeight="1">
      <c r="A641" s="1">
        <f>IFERROR(__xludf.DUMMYFUNCTION("""COMPUTED_VALUE"""),44792.66666666667)</f>
        <v>44792.66667</v>
      </c>
      <c r="B641" s="2">
        <f>IFERROR(__xludf.DUMMYFUNCTION("""COMPUTED_VALUE"""),1506.85)</f>
        <v>1506.85</v>
      </c>
      <c r="C641" s="2">
        <f>IFERROR(__xludf.DUMMYFUNCTION("""COMPUTED_VALUE"""),1570.25)</f>
        <v>1570.25</v>
      </c>
      <c r="D641" s="2">
        <f>IFERROR(__xludf.DUMMYFUNCTION("""COMPUTED_VALUE"""),1506.85)</f>
        <v>1506.85</v>
      </c>
      <c r="E641" s="2">
        <f>IFERROR(__xludf.DUMMYFUNCTION("""COMPUTED_VALUE"""),1565.37)</f>
        <v>1565.37</v>
      </c>
      <c r="F641" s="2">
        <f>IFERROR(__xludf.DUMMYFUNCTION("""COMPUTED_VALUE"""),3.36674E7)</f>
        <v>33667400</v>
      </c>
      <c r="G641" s="2">
        <f t="shared" si="1"/>
        <v>68.27</v>
      </c>
    </row>
    <row r="642" ht="15.75" customHeight="1">
      <c r="A642" s="1">
        <f>IFERROR(__xludf.DUMMYFUNCTION("""COMPUTED_VALUE"""),44795.66666666667)</f>
        <v>44795.66667</v>
      </c>
      <c r="B642" s="2">
        <f>IFERROR(__xludf.DUMMYFUNCTION("""COMPUTED_VALUE"""),1565.37)</f>
        <v>1565.37</v>
      </c>
      <c r="C642" s="2">
        <f>IFERROR(__xludf.DUMMYFUNCTION("""COMPUTED_VALUE"""),1604.38)</f>
        <v>1604.38</v>
      </c>
      <c r="D642" s="2">
        <f>IFERROR(__xludf.DUMMYFUNCTION("""COMPUTED_VALUE"""),1521.48)</f>
        <v>1521.48</v>
      </c>
      <c r="E642" s="2">
        <f>IFERROR(__xludf.DUMMYFUNCTION("""COMPUTED_VALUE"""),1531.23)</f>
        <v>1531.23</v>
      </c>
      <c r="F642" s="2">
        <f>IFERROR(__xludf.DUMMYFUNCTION("""COMPUTED_VALUE"""),3.18872E7)</f>
        <v>31887200</v>
      </c>
      <c r="G642" s="2">
        <f t="shared" si="1"/>
        <v>82.9</v>
      </c>
    </row>
    <row r="643" ht="15.75" customHeight="1">
      <c r="A643" s="1">
        <f>IFERROR(__xludf.DUMMYFUNCTION("""COMPUTED_VALUE"""),44796.66666666667)</f>
        <v>44796.66667</v>
      </c>
      <c r="B643" s="2">
        <f>IFERROR(__xludf.DUMMYFUNCTION("""COMPUTED_VALUE"""),1531.23)</f>
        <v>1531.23</v>
      </c>
      <c r="C643" s="2">
        <f>IFERROR(__xludf.DUMMYFUNCTION("""COMPUTED_VALUE"""),1545.86)</f>
        <v>1545.86</v>
      </c>
      <c r="D643" s="2">
        <f>IFERROR(__xludf.DUMMYFUNCTION("""COMPUTED_VALUE"""),1501.98)</f>
        <v>1501.98</v>
      </c>
      <c r="E643" s="2">
        <f>IFERROR(__xludf.DUMMYFUNCTION("""COMPUTED_VALUE"""),1511.73)</f>
        <v>1511.73</v>
      </c>
      <c r="F643" s="2">
        <f>IFERROR(__xludf.DUMMYFUNCTION("""COMPUTED_VALUE"""),1.59616E7)</f>
        <v>15961600</v>
      </c>
      <c r="G643" s="2">
        <f t="shared" si="1"/>
        <v>43.88</v>
      </c>
    </row>
    <row r="644" ht="15.75" customHeight="1">
      <c r="A644" s="1">
        <f>IFERROR(__xludf.DUMMYFUNCTION("""COMPUTED_VALUE"""),44797.66666666667)</f>
        <v>44797.66667</v>
      </c>
      <c r="B644" s="2">
        <f>IFERROR(__xludf.DUMMYFUNCTION("""COMPUTED_VALUE"""),1516.61)</f>
        <v>1516.61</v>
      </c>
      <c r="C644" s="2">
        <f>IFERROR(__xludf.DUMMYFUNCTION("""COMPUTED_VALUE"""),1526.36)</f>
        <v>1526.36</v>
      </c>
      <c r="D644" s="2">
        <f>IFERROR(__xludf.DUMMYFUNCTION("""COMPUTED_VALUE"""),1487.35)</f>
        <v>1487.35</v>
      </c>
      <c r="E644" s="2">
        <f>IFERROR(__xludf.DUMMYFUNCTION("""COMPUTED_VALUE"""),1492.22)</f>
        <v>1492.22</v>
      </c>
      <c r="F644" s="2">
        <f>IFERROR(__xludf.DUMMYFUNCTION("""COMPUTED_VALUE"""),1.44755E7)</f>
        <v>14475500</v>
      </c>
      <c r="G644" s="2">
        <f t="shared" si="1"/>
        <v>39.01</v>
      </c>
    </row>
    <row r="645" ht="15.75" customHeight="1">
      <c r="A645" s="1">
        <f>IFERROR(__xludf.DUMMYFUNCTION("""COMPUTED_VALUE"""),44798.66666666667)</f>
        <v>44798.66667</v>
      </c>
      <c r="B645" s="2">
        <f>IFERROR(__xludf.DUMMYFUNCTION("""COMPUTED_VALUE"""),1497.1)</f>
        <v>1497.1</v>
      </c>
      <c r="C645" s="2">
        <f>IFERROR(__xludf.DUMMYFUNCTION("""COMPUTED_VALUE"""),1511.73)</f>
        <v>1511.73</v>
      </c>
      <c r="D645" s="2">
        <f>IFERROR(__xludf.DUMMYFUNCTION("""COMPUTED_VALUE"""),1472.72)</f>
        <v>1472.72</v>
      </c>
      <c r="E645" s="2">
        <f>IFERROR(__xludf.DUMMYFUNCTION("""COMPUTED_VALUE"""),1487.35)</f>
        <v>1487.35</v>
      </c>
      <c r="F645" s="2">
        <f>IFERROR(__xludf.DUMMYFUNCTION("""COMPUTED_VALUE"""),1.08923E7)</f>
        <v>10892300</v>
      </c>
      <c r="G645" s="2">
        <f t="shared" si="1"/>
        <v>39.01</v>
      </c>
    </row>
    <row r="646" ht="15.75" customHeight="1">
      <c r="A646" s="1">
        <f>IFERROR(__xludf.DUMMYFUNCTION("""COMPUTED_VALUE"""),44799.66666666667)</f>
        <v>44799.66667</v>
      </c>
      <c r="B646" s="2">
        <f>IFERROR(__xludf.DUMMYFUNCTION("""COMPUTED_VALUE"""),1501.98)</f>
        <v>1501.98</v>
      </c>
      <c r="C646" s="2">
        <f>IFERROR(__xludf.DUMMYFUNCTION("""COMPUTED_VALUE"""),1526.36)</f>
        <v>1526.36</v>
      </c>
      <c r="D646" s="2">
        <f>IFERROR(__xludf.DUMMYFUNCTION("""COMPUTED_VALUE"""),1492.22)</f>
        <v>1492.22</v>
      </c>
      <c r="E646" s="2">
        <f>IFERROR(__xludf.DUMMYFUNCTION("""COMPUTED_VALUE"""),1492.22)</f>
        <v>1492.22</v>
      </c>
      <c r="F646" s="2">
        <f>IFERROR(__xludf.DUMMYFUNCTION("""COMPUTED_VALUE"""),1.40645E7)</f>
        <v>14064500</v>
      </c>
      <c r="G646" s="2">
        <f t="shared" si="1"/>
        <v>39.01</v>
      </c>
    </row>
    <row r="647" ht="15.75" customHeight="1">
      <c r="A647" s="1">
        <f>IFERROR(__xludf.DUMMYFUNCTION("""COMPUTED_VALUE"""),44802.66666666667)</f>
        <v>44802.66667</v>
      </c>
      <c r="B647" s="2">
        <f>IFERROR(__xludf.DUMMYFUNCTION("""COMPUTED_VALUE"""),1458.09)</f>
        <v>1458.09</v>
      </c>
      <c r="C647" s="2">
        <f>IFERROR(__xludf.DUMMYFUNCTION("""COMPUTED_VALUE"""),1501.98)</f>
        <v>1501.98</v>
      </c>
      <c r="D647" s="2">
        <f>IFERROR(__xludf.DUMMYFUNCTION("""COMPUTED_VALUE"""),1423.95)</f>
        <v>1423.95</v>
      </c>
      <c r="E647" s="2">
        <f>IFERROR(__xludf.DUMMYFUNCTION("""COMPUTED_VALUE"""),1497.1)</f>
        <v>1497.1</v>
      </c>
      <c r="F647" s="2">
        <f>IFERROR(__xludf.DUMMYFUNCTION("""COMPUTED_VALUE"""),1.39103E7)</f>
        <v>13910300</v>
      </c>
      <c r="G647" s="2">
        <f t="shared" si="1"/>
        <v>78.03</v>
      </c>
    </row>
    <row r="648" ht="15.75" customHeight="1">
      <c r="A648" s="1">
        <f>IFERROR(__xludf.DUMMYFUNCTION("""COMPUTED_VALUE"""),44803.66666666667)</f>
        <v>44803.66667</v>
      </c>
      <c r="B648" s="2">
        <f>IFERROR(__xludf.DUMMYFUNCTION("""COMPUTED_VALUE"""),1497.1)</f>
        <v>1497.1</v>
      </c>
      <c r="C648" s="2">
        <f>IFERROR(__xludf.DUMMYFUNCTION("""COMPUTED_VALUE"""),1511.73)</f>
        <v>1511.73</v>
      </c>
      <c r="D648" s="2">
        <f>IFERROR(__xludf.DUMMYFUNCTION("""COMPUTED_VALUE"""),1482.47)</f>
        <v>1482.47</v>
      </c>
      <c r="E648" s="2">
        <f>IFERROR(__xludf.DUMMYFUNCTION("""COMPUTED_VALUE"""),1482.47)</f>
        <v>1482.47</v>
      </c>
      <c r="F648" s="2">
        <f>IFERROR(__xludf.DUMMYFUNCTION("""COMPUTED_VALUE"""),7927900.0)</f>
        <v>7927900</v>
      </c>
      <c r="G648" s="2">
        <f t="shared" si="1"/>
        <v>29.26</v>
      </c>
    </row>
    <row r="649" ht="15.75" customHeight="1">
      <c r="A649" s="1">
        <f>IFERROR(__xludf.DUMMYFUNCTION("""COMPUTED_VALUE"""),44804.66666666667)</f>
        <v>44804.66667</v>
      </c>
      <c r="B649" s="2">
        <f>IFERROR(__xludf.DUMMYFUNCTION("""COMPUTED_VALUE"""),1487.35)</f>
        <v>1487.35</v>
      </c>
      <c r="C649" s="2">
        <f>IFERROR(__xludf.DUMMYFUNCTION("""COMPUTED_VALUE"""),1497.1)</f>
        <v>1497.1</v>
      </c>
      <c r="D649" s="2">
        <f>IFERROR(__xludf.DUMMYFUNCTION("""COMPUTED_VALUE"""),1477.59)</f>
        <v>1477.59</v>
      </c>
      <c r="E649" s="2">
        <f>IFERROR(__xludf.DUMMYFUNCTION("""COMPUTED_VALUE"""),1482.47)</f>
        <v>1482.47</v>
      </c>
      <c r="F649" s="2">
        <f>IFERROR(__xludf.DUMMYFUNCTION("""COMPUTED_VALUE"""),4412200.0)</f>
        <v>4412200</v>
      </c>
      <c r="G649" s="2">
        <f t="shared" si="1"/>
        <v>19.51</v>
      </c>
    </row>
    <row r="650" ht="15.75" customHeight="1">
      <c r="A650" s="1">
        <f>IFERROR(__xludf.DUMMYFUNCTION("""COMPUTED_VALUE"""),44805.625)</f>
        <v>44805.625</v>
      </c>
      <c r="B650" s="2">
        <f>IFERROR(__xludf.DUMMYFUNCTION("""COMPUTED_VALUE"""),1482.47)</f>
        <v>1482.47</v>
      </c>
      <c r="C650" s="2">
        <f>IFERROR(__xludf.DUMMYFUNCTION("""COMPUTED_VALUE"""),1492.22)</f>
        <v>1492.22</v>
      </c>
      <c r="D650" s="2">
        <f>IFERROR(__xludf.DUMMYFUNCTION("""COMPUTED_VALUE"""),1477.59)</f>
        <v>1477.59</v>
      </c>
      <c r="E650" s="2">
        <f>IFERROR(__xludf.DUMMYFUNCTION("""COMPUTED_VALUE"""),1482.47)</f>
        <v>1482.47</v>
      </c>
      <c r="F650" s="2">
        <f>IFERROR(__xludf.DUMMYFUNCTION("""COMPUTED_VALUE"""),3268900.0)</f>
        <v>3268900</v>
      </c>
      <c r="G650" s="2">
        <f t="shared" si="1"/>
        <v>14.63</v>
      </c>
    </row>
    <row r="651" ht="15.75" customHeight="1">
      <c r="A651" s="1">
        <f>IFERROR(__xludf.DUMMYFUNCTION("""COMPUTED_VALUE"""),44806.625)</f>
        <v>44806.625</v>
      </c>
      <c r="B651" s="2">
        <f>IFERROR(__xludf.DUMMYFUNCTION("""COMPUTED_VALUE"""),1492.22)</f>
        <v>1492.22</v>
      </c>
      <c r="C651" s="2">
        <f>IFERROR(__xludf.DUMMYFUNCTION("""COMPUTED_VALUE"""),1492.22)</f>
        <v>1492.22</v>
      </c>
      <c r="D651" s="2">
        <f>IFERROR(__xludf.DUMMYFUNCTION("""COMPUTED_VALUE"""),1472.72)</f>
        <v>1472.72</v>
      </c>
      <c r="E651" s="2">
        <f>IFERROR(__xludf.DUMMYFUNCTION("""COMPUTED_VALUE"""),1472.72)</f>
        <v>1472.72</v>
      </c>
      <c r="F651" s="2">
        <f>IFERROR(__xludf.DUMMYFUNCTION("""COMPUTED_VALUE"""),6022700.0)</f>
        <v>6022700</v>
      </c>
      <c r="G651" s="2">
        <f t="shared" si="1"/>
        <v>19.5</v>
      </c>
    </row>
    <row r="652" ht="15.75" customHeight="1">
      <c r="A652" s="1">
        <f>IFERROR(__xludf.DUMMYFUNCTION("""COMPUTED_VALUE"""),44809.66666666667)</f>
        <v>44809.66667</v>
      </c>
      <c r="B652" s="2">
        <f>IFERROR(__xludf.DUMMYFUNCTION("""COMPUTED_VALUE"""),1472.72)</f>
        <v>1472.72</v>
      </c>
      <c r="C652" s="2">
        <f>IFERROR(__xludf.DUMMYFUNCTION("""COMPUTED_VALUE"""),1477.59)</f>
        <v>1477.59</v>
      </c>
      <c r="D652" s="2">
        <f>IFERROR(__xludf.DUMMYFUNCTION("""COMPUTED_VALUE"""),1462.96)</f>
        <v>1462.96</v>
      </c>
      <c r="E652" s="2">
        <f>IFERROR(__xludf.DUMMYFUNCTION("""COMPUTED_VALUE"""),1467.84)</f>
        <v>1467.84</v>
      </c>
      <c r="F652" s="2">
        <f>IFERROR(__xludf.DUMMYFUNCTION("""COMPUTED_VALUE"""),5802800.0)</f>
        <v>5802800</v>
      </c>
      <c r="G652" s="2">
        <f t="shared" si="1"/>
        <v>14.63</v>
      </c>
    </row>
    <row r="653" ht="15.75" customHeight="1">
      <c r="A653" s="1">
        <f>IFERROR(__xludf.DUMMYFUNCTION("""COMPUTED_VALUE"""),44810.66666666667)</f>
        <v>44810.66667</v>
      </c>
      <c r="B653" s="2">
        <f>IFERROR(__xludf.DUMMYFUNCTION("""COMPUTED_VALUE"""),1472.72)</f>
        <v>1472.72</v>
      </c>
      <c r="C653" s="2">
        <f>IFERROR(__xludf.DUMMYFUNCTION("""COMPUTED_VALUE"""),1477.59)</f>
        <v>1477.59</v>
      </c>
      <c r="D653" s="2">
        <f>IFERROR(__xludf.DUMMYFUNCTION("""COMPUTED_VALUE"""),1467.84)</f>
        <v>1467.84</v>
      </c>
      <c r="E653" s="2">
        <f>IFERROR(__xludf.DUMMYFUNCTION("""COMPUTED_VALUE"""),1472.72)</f>
        <v>1472.72</v>
      </c>
      <c r="F653" s="2">
        <f>IFERROR(__xludf.DUMMYFUNCTION("""COMPUTED_VALUE"""),4535200.0)</f>
        <v>4535200</v>
      </c>
      <c r="G653" s="2">
        <f t="shared" si="1"/>
        <v>9.75</v>
      </c>
    </row>
    <row r="654" ht="15.75" customHeight="1">
      <c r="A654" s="1">
        <f>IFERROR(__xludf.DUMMYFUNCTION("""COMPUTED_VALUE"""),44811.66666666667)</f>
        <v>44811.66667</v>
      </c>
      <c r="B654" s="2">
        <f>IFERROR(__xludf.DUMMYFUNCTION("""COMPUTED_VALUE"""),1472.72)</f>
        <v>1472.72</v>
      </c>
      <c r="C654" s="2">
        <f>IFERROR(__xludf.DUMMYFUNCTION("""COMPUTED_VALUE"""),1487.35)</f>
        <v>1487.35</v>
      </c>
      <c r="D654" s="2">
        <f>IFERROR(__xludf.DUMMYFUNCTION("""COMPUTED_VALUE"""),1462.96)</f>
        <v>1462.96</v>
      </c>
      <c r="E654" s="2">
        <f>IFERROR(__xludf.DUMMYFUNCTION("""COMPUTED_VALUE"""),1462.96)</f>
        <v>1462.96</v>
      </c>
      <c r="F654" s="2">
        <f>IFERROR(__xludf.DUMMYFUNCTION("""COMPUTED_VALUE"""),8608400.0)</f>
        <v>8608400</v>
      </c>
      <c r="G654" s="2">
        <f t="shared" si="1"/>
        <v>24.39</v>
      </c>
    </row>
    <row r="655" ht="15.75" customHeight="1">
      <c r="A655" s="1">
        <f>IFERROR(__xludf.DUMMYFUNCTION("""COMPUTED_VALUE"""),44812.66666666667)</f>
        <v>44812.66667</v>
      </c>
      <c r="B655" s="2">
        <f>IFERROR(__xludf.DUMMYFUNCTION("""COMPUTED_VALUE"""),1467.84)</f>
        <v>1467.84</v>
      </c>
      <c r="C655" s="2">
        <f>IFERROR(__xludf.DUMMYFUNCTION("""COMPUTED_VALUE"""),1472.72)</f>
        <v>1472.72</v>
      </c>
      <c r="D655" s="2">
        <f>IFERROR(__xludf.DUMMYFUNCTION("""COMPUTED_VALUE"""),1462.96)</f>
        <v>1462.96</v>
      </c>
      <c r="E655" s="2">
        <f>IFERROR(__xludf.DUMMYFUNCTION("""COMPUTED_VALUE"""),1467.84)</f>
        <v>1467.84</v>
      </c>
      <c r="F655" s="2">
        <f>IFERROR(__xludf.DUMMYFUNCTION("""COMPUTED_VALUE"""),4928200.0)</f>
        <v>4928200</v>
      </c>
      <c r="G655" s="2">
        <f t="shared" si="1"/>
        <v>9.76</v>
      </c>
    </row>
    <row r="656" ht="15.75" customHeight="1">
      <c r="A656" s="1">
        <f>IFERROR(__xludf.DUMMYFUNCTION("""COMPUTED_VALUE"""),44813.66666666667)</f>
        <v>44813.66667</v>
      </c>
      <c r="B656" s="2">
        <f>IFERROR(__xludf.DUMMYFUNCTION("""COMPUTED_VALUE"""),1467.84)</f>
        <v>1467.84</v>
      </c>
      <c r="C656" s="2">
        <f>IFERROR(__xludf.DUMMYFUNCTION("""COMPUTED_VALUE"""),1467.84)</f>
        <v>1467.84</v>
      </c>
      <c r="D656" s="2">
        <f>IFERROR(__xludf.DUMMYFUNCTION("""COMPUTED_VALUE"""),1448.33)</f>
        <v>1448.33</v>
      </c>
      <c r="E656" s="2">
        <f>IFERROR(__xludf.DUMMYFUNCTION("""COMPUTED_VALUE"""),1448.33)</f>
        <v>1448.33</v>
      </c>
      <c r="F656" s="2">
        <f>IFERROR(__xludf.DUMMYFUNCTION("""COMPUTED_VALUE"""),9722000.0)</f>
        <v>9722000</v>
      </c>
      <c r="G656" s="2">
        <f t="shared" si="1"/>
        <v>19.51</v>
      </c>
    </row>
    <row r="657" ht="15.75" customHeight="1">
      <c r="A657" s="1">
        <f>IFERROR(__xludf.DUMMYFUNCTION("""COMPUTED_VALUE"""),44816.66666666667)</f>
        <v>44816.66667</v>
      </c>
      <c r="B657" s="2">
        <f>IFERROR(__xludf.DUMMYFUNCTION("""COMPUTED_VALUE"""),1448.33)</f>
        <v>1448.33</v>
      </c>
      <c r="C657" s="2">
        <f>IFERROR(__xludf.DUMMYFUNCTION("""COMPUTED_VALUE"""),1462.96)</f>
        <v>1462.96</v>
      </c>
      <c r="D657" s="2">
        <f>IFERROR(__xludf.DUMMYFUNCTION("""COMPUTED_VALUE"""),1443.46)</f>
        <v>1443.46</v>
      </c>
      <c r="E657" s="2">
        <f>IFERROR(__xludf.DUMMYFUNCTION("""COMPUTED_VALUE"""),1443.46)</f>
        <v>1443.46</v>
      </c>
      <c r="F657" s="2">
        <f>IFERROR(__xludf.DUMMYFUNCTION("""COMPUTED_VALUE"""),6342400.0)</f>
        <v>6342400</v>
      </c>
      <c r="G657" s="2">
        <f t="shared" si="1"/>
        <v>19.5</v>
      </c>
    </row>
    <row r="658" ht="15.75" customHeight="1">
      <c r="A658" s="1">
        <f>IFERROR(__xludf.DUMMYFUNCTION("""COMPUTED_VALUE"""),44817.66666666667)</f>
        <v>44817.66667</v>
      </c>
      <c r="B658" s="2">
        <f>IFERROR(__xludf.DUMMYFUNCTION("""COMPUTED_VALUE"""),1443.46)</f>
        <v>1443.46</v>
      </c>
      <c r="C658" s="2">
        <f>IFERROR(__xludf.DUMMYFUNCTION("""COMPUTED_VALUE"""),1453.21)</f>
        <v>1453.21</v>
      </c>
      <c r="D658" s="2">
        <f>IFERROR(__xludf.DUMMYFUNCTION("""COMPUTED_VALUE"""),1433.7)</f>
        <v>1433.7</v>
      </c>
      <c r="E658" s="2">
        <f>IFERROR(__xludf.DUMMYFUNCTION("""COMPUTED_VALUE"""),1433.7)</f>
        <v>1433.7</v>
      </c>
      <c r="F658" s="2">
        <f>IFERROR(__xludf.DUMMYFUNCTION("""COMPUTED_VALUE"""),1.20411E7)</f>
        <v>12041100</v>
      </c>
      <c r="G658" s="2">
        <f t="shared" si="1"/>
        <v>19.51</v>
      </c>
    </row>
    <row r="659" ht="15.75" customHeight="1">
      <c r="A659" s="1">
        <f>IFERROR(__xludf.DUMMYFUNCTION("""COMPUTED_VALUE"""),44818.66666666667)</f>
        <v>44818.66667</v>
      </c>
      <c r="B659" s="2">
        <f>IFERROR(__xludf.DUMMYFUNCTION("""COMPUTED_VALUE"""),1428.83)</f>
        <v>1428.83</v>
      </c>
      <c r="C659" s="2">
        <f>IFERROR(__xludf.DUMMYFUNCTION("""COMPUTED_VALUE"""),1438.58)</f>
        <v>1438.58</v>
      </c>
      <c r="D659" s="2">
        <f>IFERROR(__xludf.DUMMYFUNCTION("""COMPUTED_VALUE"""),1419.07)</f>
        <v>1419.07</v>
      </c>
      <c r="E659" s="2">
        <f>IFERROR(__xludf.DUMMYFUNCTION("""COMPUTED_VALUE"""),1428.83)</f>
        <v>1428.83</v>
      </c>
      <c r="F659" s="2">
        <f>IFERROR(__xludf.DUMMYFUNCTION("""COMPUTED_VALUE"""),1.19044E7)</f>
        <v>11904400</v>
      </c>
      <c r="G659" s="2">
        <f t="shared" si="1"/>
        <v>19.51</v>
      </c>
    </row>
    <row r="660" ht="15.75" customHeight="1">
      <c r="A660" s="1">
        <f>IFERROR(__xludf.DUMMYFUNCTION("""COMPUTED_VALUE"""),44819.66666666667)</f>
        <v>44819.66667</v>
      </c>
      <c r="B660" s="2">
        <f>IFERROR(__xludf.DUMMYFUNCTION("""COMPUTED_VALUE"""),1433.7)</f>
        <v>1433.7</v>
      </c>
      <c r="C660" s="2">
        <f>IFERROR(__xludf.DUMMYFUNCTION("""COMPUTED_VALUE"""),1511.73)</f>
        <v>1511.73</v>
      </c>
      <c r="D660" s="2">
        <f>IFERROR(__xludf.DUMMYFUNCTION("""COMPUTED_VALUE"""),1433.7)</f>
        <v>1433.7</v>
      </c>
      <c r="E660" s="2">
        <f>IFERROR(__xludf.DUMMYFUNCTION("""COMPUTED_VALUE"""),1492.22)</f>
        <v>1492.22</v>
      </c>
      <c r="F660" s="2">
        <f>IFERROR(__xludf.DUMMYFUNCTION("""COMPUTED_VALUE"""),3.1038E7)</f>
        <v>31038000</v>
      </c>
      <c r="G660" s="2">
        <f t="shared" si="1"/>
        <v>82.9</v>
      </c>
    </row>
    <row r="661" ht="15.75" customHeight="1">
      <c r="A661" s="1">
        <f>IFERROR(__xludf.DUMMYFUNCTION("""COMPUTED_VALUE"""),44820.66666666667)</f>
        <v>44820.66667</v>
      </c>
      <c r="B661" s="2">
        <f>IFERROR(__xludf.DUMMYFUNCTION("""COMPUTED_VALUE"""),1497.1)</f>
        <v>1497.1</v>
      </c>
      <c r="C661" s="2">
        <f>IFERROR(__xludf.DUMMYFUNCTION("""COMPUTED_VALUE"""),1521.48)</f>
        <v>1521.48</v>
      </c>
      <c r="D661" s="2">
        <f>IFERROR(__xludf.DUMMYFUNCTION("""COMPUTED_VALUE"""),1472.72)</f>
        <v>1472.72</v>
      </c>
      <c r="E661" s="2">
        <f>IFERROR(__xludf.DUMMYFUNCTION("""COMPUTED_VALUE"""),1497.1)</f>
        <v>1497.1</v>
      </c>
      <c r="F661" s="2">
        <f>IFERROR(__xludf.DUMMYFUNCTION("""COMPUTED_VALUE"""),2.2598E7)</f>
        <v>22598000</v>
      </c>
      <c r="G661" s="2">
        <f t="shared" si="1"/>
        <v>48.76</v>
      </c>
    </row>
    <row r="662" ht="15.75" customHeight="1">
      <c r="A662" s="1">
        <f>IFERROR(__xludf.DUMMYFUNCTION("""COMPUTED_VALUE"""),44823.66666666667)</f>
        <v>44823.66667</v>
      </c>
      <c r="B662" s="2">
        <f>IFERROR(__xludf.DUMMYFUNCTION("""COMPUTED_VALUE"""),1497.1)</f>
        <v>1497.1</v>
      </c>
      <c r="C662" s="2">
        <f>IFERROR(__xludf.DUMMYFUNCTION("""COMPUTED_VALUE"""),1501.98)</f>
        <v>1501.98</v>
      </c>
      <c r="D662" s="2">
        <f>IFERROR(__xludf.DUMMYFUNCTION("""COMPUTED_VALUE"""),1472.72)</f>
        <v>1472.72</v>
      </c>
      <c r="E662" s="2">
        <f>IFERROR(__xludf.DUMMYFUNCTION("""COMPUTED_VALUE"""),1487.35)</f>
        <v>1487.35</v>
      </c>
      <c r="F662" s="2">
        <f>IFERROR(__xludf.DUMMYFUNCTION("""COMPUTED_VALUE"""),7711300.0)</f>
        <v>7711300</v>
      </c>
      <c r="G662" s="2">
        <f t="shared" si="1"/>
        <v>29.26</v>
      </c>
    </row>
    <row r="663" ht="15.75" customHeight="1">
      <c r="A663" s="1">
        <f>IFERROR(__xludf.DUMMYFUNCTION("""COMPUTED_VALUE"""),44824.66666666667)</f>
        <v>44824.66667</v>
      </c>
      <c r="B663" s="2">
        <f>IFERROR(__xludf.DUMMYFUNCTION("""COMPUTED_VALUE"""),1497.1)</f>
        <v>1497.1</v>
      </c>
      <c r="C663" s="2">
        <f>IFERROR(__xludf.DUMMYFUNCTION("""COMPUTED_VALUE"""),1501.98)</f>
        <v>1501.98</v>
      </c>
      <c r="D663" s="2">
        <f>IFERROR(__xludf.DUMMYFUNCTION("""COMPUTED_VALUE"""),1477.59)</f>
        <v>1477.59</v>
      </c>
      <c r="E663" s="2">
        <f>IFERROR(__xludf.DUMMYFUNCTION("""COMPUTED_VALUE"""),1492.22)</f>
        <v>1492.22</v>
      </c>
      <c r="F663" s="2">
        <f>IFERROR(__xludf.DUMMYFUNCTION("""COMPUTED_VALUE"""),7095100.0)</f>
        <v>7095100</v>
      </c>
      <c r="G663" s="2">
        <f t="shared" si="1"/>
        <v>24.39</v>
      </c>
    </row>
    <row r="664" ht="15.75" customHeight="1">
      <c r="A664" s="1">
        <f>IFERROR(__xludf.DUMMYFUNCTION("""COMPUTED_VALUE"""),44825.66666666667)</f>
        <v>44825.66667</v>
      </c>
      <c r="B664" s="2">
        <f>IFERROR(__xludf.DUMMYFUNCTION("""COMPUTED_VALUE"""),1497.1)</f>
        <v>1497.1</v>
      </c>
      <c r="C664" s="2">
        <f>IFERROR(__xludf.DUMMYFUNCTION("""COMPUTED_VALUE"""),1497.1)</f>
        <v>1497.1</v>
      </c>
      <c r="D664" s="2">
        <f>IFERROR(__xludf.DUMMYFUNCTION("""COMPUTED_VALUE"""),1467.84)</f>
        <v>1467.84</v>
      </c>
      <c r="E664" s="2">
        <f>IFERROR(__xludf.DUMMYFUNCTION("""COMPUTED_VALUE"""),1477.59)</f>
        <v>1477.59</v>
      </c>
      <c r="F664" s="2">
        <f>IFERROR(__xludf.DUMMYFUNCTION("""COMPUTED_VALUE"""),8089300.0)</f>
        <v>8089300</v>
      </c>
      <c r="G664" s="2">
        <f t="shared" si="1"/>
        <v>29.26</v>
      </c>
    </row>
    <row r="665" ht="15.75" customHeight="1">
      <c r="A665" s="1">
        <f>IFERROR(__xludf.DUMMYFUNCTION("""COMPUTED_VALUE"""),44826.66666666667)</f>
        <v>44826.66667</v>
      </c>
      <c r="B665" s="2">
        <f>IFERROR(__xludf.DUMMYFUNCTION("""COMPUTED_VALUE"""),1477.59)</f>
        <v>1477.59</v>
      </c>
      <c r="C665" s="2">
        <f>IFERROR(__xludf.DUMMYFUNCTION("""COMPUTED_VALUE"""),1497.1)</f>
        <v>1497.1</v>
      </c>
      <c r="D665" s="2">
        <f>IFERROR(__xludf.DUMMYFUNCTION("""COMPUTED_VALUE"""),1467.84)</f>
        <v>1467.84</v>
      </c>
      <c r="E665" s="2">
        <f>IFERROR(__xludf.DUMMYFUNCTION("""COMPUTED_VALUE"""),1492.22)</f>
        <v>1492.22</v>
      </c>
      <c r="F665" s="2">
        <f>IFERROR(__xludf.DUMMYFUNCTION("""COMPUTED_VALUE"""),1.11612E7)</f>
        <v>11161200</v>
      </c>
      <c r="G665" s="2">
        <f t="shared" si="1"/>
        <v>29.26</v>
      </c>
    </row>
    <row r="666" ht="15.75" customHeight="1">
      <c r="A666" s="1">
        <f>IFERROR(__xludf.DUMMYFUNCTION("""COMPUTED_VALUE"""),44827.66666666667)</f>
        <v>44827.66667</v>
      </c>
      <c r="B666" s="2">
        <f>IFERROR(__xludf.DUMMYFUNCTION("""COMPUTED_VALUE"""),1501.98)</f>
        <v>1501.98</v>
      </c>
      <c r="C666" s="2">
        <f>IFERROR(__xludf.DUMMYFUNCTION("""COMPUTED_VALUE"""),1555.62)</f>
        <v>1555.62</v>
      </c>
      <c r="D666" s="2">
        <f>IFERROR(__xludf.DUMMYFUNCTION("""COMPUTED_VALUE"""),1497.1)</f>
        <v>1497.1</v>
      </c>
      <c r="E666" s="2">
        <f>IFERROR(__xludf.DUMMYFUNCTION("""COMPUTED_VALUE"""),1536.11)</f>
        <v>1536.11</v>
      </c>
      <c r="F666" s="2">
        <f>IFERROR(__xludf.DUMMYFUNCTION("""COMPUTED_VALUE"""),4.93423E7)</f>
        <v>49342300</v>
      </c>
      <c r="G666" s="2">
        <f t="shared" si="1"/>
        <v>63.4</v>
      </c>
    </row>
    <row r="667" ht="15.75" customHeight="1">
      <c r="A667" s="1">
        <f>IFERROR(__xludf.DUMMYFUNCTION("""COMPUTED_VALUE"""),44830.66666666667)</f>
        <v>44830.66667</v>
      </c>
      <c r="B667" s="2">
        <f>IFERROR(__xludf.DUMMYFUNCTION("""COMPUTED_VALUE"""),1540.99)</f>
        <v>1540.99</v>
      </c>
      <c r="C667" s="2">
        <f>IFERROR(__xludf.DUMMYFUNCTION("""COMPUTED_VALUE"""),1550.74)</f>
        <v>1550.74</v>
      </c>
      <c r="D667" s="2">
        <f>IFERROR(__xludf.DUMMYFUNCTION("""COMPUTED_VALUE"""),1501.98)</f>
        <v>1501.98</v>
      </c>
      <c r="E667" s="2">
        <f>IFERROR(__xludf.DUMMYFUNCTION("""COMPUTED_VALUE"""),1521.48)</f>
        <v>1521.48</v>
      </c>
      <c r="F667" s="2">
        <f>IFERROR(__xludf.DUMMYFUNCTION("""COMPUTED_VALUE"""),2.40127E7)</f>
        <v>24012700</v>
      </c>
      <c r="G667" s="2">
        <f t="shared" si="1"/>
        <v>48.76</v>
      </c>
    </row>
    <row r="668" ht="15.75" customHeight="1">
      <c r="A668" s="1">
        <f>IFERROR(__xludf.DUMMYFUNCTION("""COMPUTED_VALUE"""),44831.66666666667)</f>
        <v>44831.66667</v>
      </c>
      <c r="B668" s="2">
        <f>IFERROR(__xludf.DUMMYFUNCTION("""COMPUTED_VALUE"""),1516.61)</f>
        <v>1516.61</v>
      </c>
      <c r="C668" s="2">
        <f>IFERROR(__xludf.DUMMYFUNCTION("""COMPUTED_VALUE"""),1531.23)</f>
        <v>1531.23</v>
      </c>
      <c r="D668" s="2">
        <f>IFERROR(__xludf.DUMMYFUNCTION("""COMPUTED_VALUE"""),1482.47)</f>
        <v>1482.47</v>
      </c>
      <c r="E668" s="2">
        <f>IFERROR(__xludf.DUMMYFUNCTION("""COMPUTED_VALUE"""),1511.73)</f>
        <v>1511.73</v>
      </c>
      <c r="F668" s="2">
        <f>IFERROR(__xludf.DUMMYFUNCTION("""COMPUTED_VALUE"""),1.03341E7)</f>
        <v>10334100</v>
      </c>
      <c r="G668" s="2">
        <f t="shared" si="1"/>
        <v>48.76</v>
      </c>
    </row>
    <row r="669" ht="15.75" customHeight="1">
      <c r="A669" s="1">
        <f>IFERROR(__xludf.DUMMYFUNCTION("""COMPUTED_VALUE"""),44832.66666666667)</f>
        <v>44832.66667</v>
      </c>
      <c r="B669" s="2">
        <f>IFERROR(__xludf.DUMMYFUNCTION("""COMPUTED_VALUE"""),1501.98)</f>
        <v>1501.98</v>
      </c>
      <c r="C669" s="2">
        <f>IFERROR(__xludf.DUMMYFUNCTION("""COMPUTED_VALUE"""),1506.85)</f>
        <v>1506.85</v>
      </c>
      <c r="D669" s="2">
        <f>IFERROR(__xludf.DUMMYFUNCTION("""COMPUTED_VALUE"""),1482.47)</f>
        <v>1482.47</v>
      </c>
      <c r="E669" s="2">
        <f>IFERROR(__xludf.DUMMYFUNCTION("""COMPUTED_VALUE"""),1497.1)</f>
        <v>1497.1</v>
      </c>
      <c r="F669" s="2">
        <f>IFERROR(__xludf.DUMMYFUNCTION("""COMPUTED_VALUE"""),8850100.0)</f>
        <v>8850100</v>
      </c>
      <c r="G669" s="2">
        <f t="shared" si="1"/>
        <v>29.26</v>
      </c>
    </row>
    <row r="670" ht="15.75" customHeight="1">
      <c r="A670" s="1">
        <f>IFERROR(__xludf.DUMMYFUNCTION("""COMPUTED_VALUE"""),44833.66666666667)</f>
        <v>44833.66667</v>
      </c>
      <c r="B670" s="2">
        <f>IFERROR(__xludf.DUMMYFUNCTION("""COMPUTED_VALUE"""),1501.98)</f>
        <v>1501.98</v>
      </c>
      <c r="C670" s="2">
        <f>IFERROR(__xludf.DUMMYFUNCTION("""COMPUTED_VALUE"""),1521.48)</f>
        <v>1521.48</v>
      </c>
      <c r="D670" s="2">
        <f>IFERROR(__xludf.DUMMYFUNCTION("""COMPUTED_VALUE"""),1467.84)</f>
        <v>1467.84</v>
      </c>
      <c r="E670" s="2">
        <f>IFERROR(__xludf.DUMMYFUNCTION("""COMPUTED_VALUE"""),1467.84)</f>
        <v>1467.84</v>
      </c>
      <c r="F670" s="2">
        <f>IFERROR(__xludf.DUMMYFUNCTION("""COMPUTED_VALUE"""),1.1084E7)</f>
        <v>11084000</v>
      </c>
      <c r="G670" s="2">
        <f t="shared" si="1"/>
        <v>53.64</v>
      </c>
    </row>
    <row r="671" ht="15.75" customHeight="1">
      <c r="A671" s="1">
        <f>IFERROR(__xludf.DUMMYFUNCTION("""COMPUTED_VALUE"""),44834.66666666667)</f>
        <v>44834.66667</v>
      </c>
      <c r="B671" s="2">
        <f>IFERROR(__xludf.DUMMYFUNCTION("""COMPUTED_VALUE"""),1458.09)</f>
        <v>1458.09</v>
      </c>
      <c r="C671" s="2">
        <f>IFERROR(__xludf.DUMMYFUNCTION("""COMPUTED_VALUE"""),1462.96)</f>
        <v>1462.96</v>
      </c>
      <c r="D671" s="2">
        <f>IFERROR(__xludf.DUMMYFUNCTION("""COMPUTED_VALUE"""),1365.43)</f>
        <v>1365.43</v>
      </c>
      <c r="E671" s="2">
        <f>IFERROR(__xludf.DUMMYFUNCTION("""COMPUTED_VALUE"""),1433.7)</f>
        <v>1433.7</v>
      </c>
      <c r="F671" s="2">
        <f>IFERROR(__xludf.DUMMYFUNCTION("""COMPUTED_VALUE"""),2.23431E7)</f>
        <v>22343100</v>
      </c>
      <c r="G671" s="2">
        <f t="shared" si="1"/>
        <v>102.41</v>
      </c>
    </row>
    <row r="672" ht="15.75" customHeight="1">
      <c r="A672" s="1">
        <f>IFERROR(__xludf.DUMMYFUNCTION("""COMPUTED_VALUE"""),44837.66666666667)</f>
        <v>44837.66667</v>
      </c>
      <c r="B672" s="2">
        <f>IFERROR(__xludf.DUMMYFUNCTION("""COMPUTED_VALUE"""),1433.7)</f>
        <v>1433.7</v>
      </c>
      <c r="C672" s="2">
        <f>IFERROR(__xludf.DUMMYFUNCTION("""COMPUTED_VALUE"""),1477.59)</f>
        <v>1477.59</v>
      </c>
      <c r="D672" s="2">
        <f>IFERROR(__xludf.DUMMYFUNCTION("""COMPUTED_VALUE"""),1433.7)</f>
        <v>1433.7</v>
      </c>
      <c r="E672" s="2">
        <f>IFERROR(__xludf.DUMMYFUNCTION("""COMPUTED_VALUE"""),1462.96)</f>
        <v>1462.96</v>
      </c>
      <c r="F672" s="2">
        <f>IFERROR(__xludf.DUMMYFUNCTION("""COMPUTED_VALUE"""),1.39782E7)</f>
        <v>13978200</v>
      </c>
      <c r="G672" s="2">
        <f t="shared" si="1"/>
        <v>43.89</v>
      </c>
    </row>
    <row r="673" ht="15.75" customHeight="1">
      <c r="A673" s="1">
        <f>IFERROR(__xludf.DUMMYFUNCTION("""COMPUTED_VALUE"""),44838.66666666667)</f>
        <v>44838.66667</v>
      </c>
      <c r="B673" s="2">
        <f>IFERROR(__xludf.DUMMYFUNCTION("""COMPUTED_VALUE"""),1472.72)</f>
        <v>1472.72</v>
      </c>
      <c r="C673" s="2">
        <f>IFERROR(__xludf.DUMMYFUNCTION("""COMPUTED_VALUE"""),1482.47)</f>
        <v>1482.47</v>
      </c>
      <c r="D673" s="2">
        <f>IFERROR(__xludf.DUMMYFUNCTION("""COMPUTED_VALUE"""),1448.33)</f>
        <v>1448.33</v>
      </c>
      <c r="E673" s="2">
        <f>IFERROR(__xludf.DUMMYFUNCTION("""COMPUTED_VALUE"""),1453.21)</f>
        <v>1453.21</v>
      </c>
      <c r="F673" s="2">
        <f>IFERROR(__xludf.DUMMYFUNCTION("""COMPUTED_VALUE"""),6706100.0)</f>
        <v>6706100</v>
      </c>
      <c r="G673" s="2">
        <f t="shared" si="1"/>
        <v>34.14</v>
      </c>
    </row>
    <row r="674" ht="15.75" customHeight="1">
      <c r="A674" s="1">
        <f>IFERROR(__xludf.DUMMYFUNCTION("""COMPUTED_VALUE"""),44839.66666666667)</f>
        <v>44839.66667</v>
      </c>
      <c r="B674" s="2">
        <f>IFERROR(__xludf.DUMMYFUNCTION("""COMPUTED_VALUE"""),1453.21)</f>
        <v>1453.21</v>
      </c>
      <c r="C674" s="2">
        <f>IFERROR(__xludf.DUMMYFUNCTION("""COMPUTED_VALUE"""),1467.84)</f>
        <v>1467.84</v>
      </c>
      <c r="D674" s="2">
        <f>IFERROR(__xludf.DUMMYFUNCTION("""COMPUTED_VALUE"""),1453.21)</f>
        <v>1453.21</v>
      </c>
      <c r="E674" s="2">
        <f>IFERROR(__xludf.DUMMYFUNCTION("""COMPUTED_VALUE"""),1453.21)</f>
        <v>1453.21</v>
      </c>
      <c r="F674" s="2">
        <f>IFERROR(__xludf.DUMMYFUNCTION("""COMPUTED_VALUE"""),4082200.0)</f>
        <v>4082200</v>
      </c>
      <c r="G674" s="2">
        <f t="shared" si="1"/>
        <v>14.63</v>
      </c>
    </row>
    <row r="675" ht="15.75" customHeight="1">
      <c r="A675" s="1">
        <f>IFERROR(__xludf.DUMMYFUNCTION("""COMPUTED_VALUE"""),44840.66666666667)</f>
        <v>44840.66667</v>
      </c>
      <c r="B675" s="2">
        <f>IFERROR(__xludf.DUMMYFUNCTION("""COMPUTED_VALUE"""),1453.21)</f>
        <v>1453.21</v>
      </c>
      <c r="C675" s="2">
        <f>IFERROR(__xludf.DUMMYFUNCTION("""COMPUTED_VALUE"""),1482.47)</f>
        <v>1482.47</v>
      </c>
      <c r="D675" s="2">
        <f>IFERROR(__xludf.DUMMYFUNCTION("""COMPUTED_VALUE"""),1448.33)</f>
        <v>1448.33</v>
      </c>
      <c r="E675" s="2">
        <f>IFERROR(__xludf.DUMMYFUNCTION("""COMPUTED_VALUE"""),1453.21)</f>
        <v>1453.21</v>
      </c>
      <c r="F675" s="2">
        <f>IFERROR(__xludf.DUMMYFUNCTION("""COMPUTED_VALUE"""),7689900.0)</f>
        <v>7689900</v>
      </c>
      <c r="G675" s="2">
        <f t="shared" si="1"/>
        <v>34.14</v>
      </c>
    </row>
    <row r="676" ht="15.75" customHeight="1">
      <c r="A676" s="1">
        <f>IFERROR(__xludf.DUMMYFUNCTION("""COMPUTED_VALUE"""),44841.66666666667)</f>
        <v>44841.66667</v>
      </c>
      <c r="B676" s="2">
        <f>IFERROR(__xludf.DUMMYFUNCTION("""COMPUTED_VALUE"""),1453.21)</f>
        <v>1453.21</v>
      </c>
      <c r="C676" s="2">
        <f>IFERROR(__xludf.DUMMYFUNCTION("""COMPUTED_VALUE"""),1453.21)</f>
        <v>1453.21</v>
      </c>
      <c r="D676" s="2">
        <f>IFERROR(__xludf.DUMMYFUNCTION("""COMPUTED_VALUE"""),1419.07)</f>
        <v>1419.07</v>
      </c>
      <c r="E676" s="2">
        <f>IFERROR(__xludf.DUMMYFUNCTION("""COMPUTED_VALUE"""),1423.95)</f>
        <v>1423.95</v>
      </c>
      <c r="F676" s="2">
        <f>IFERROR(__xludf.DUMMYFUNCTION("""COMPUTED_VALUE"""),9972900.0)</f>
        <v>9972900</v>
      </c>
      <c r="G676" s="2">
        <f t="shared" si="1"/>
        <v>34.14</v>
      </c>
    </row>
    <row r="677" ht="15.75" customHeight="1">
      <c r="A677" s="1">
        <f>IFERROR(__xludf.DUMMYFUNCTION("""COMPUTED_VALUE"""),44844.66666666667)</f>
        <v>44844.66667</v>
      </c>
      <c r="B677" s="2">
        <f>IFERROR(__xludf.DUMMYFUNCTION("""COMPUTED_VALUE"""),1423.95)</f>
        <v>1423.95</v>
      </c>
      <c r="C677" s="2">
        <f>IFERROR(__xludf.DUMMYFUNCTION("""COMPUTED_VALUE"""),1423.95)</f>
        <v>1423.95</v>
      </c>
      <c r="D677" s="2">
        <f>IFERROR(__xludf.DUMMYFUNCTION("""COMPUTED_VALUE"""),1404.44)</f>
        <v>1404.44</v>
      </c>
      <c r="E677" s="2">
        <f>IFERROR(__xludf.DUMMYFUNCTION("""COMPUTED_VALUE"""),1409.32)</f>
        <v>1409.32</v>
      </c>
      <c r="F677" s="2">
        <f>IFERROR(__xludf.DUMMYFUNCTION("""COMPUTED_VALUE"""),5514900.0)</f>
        <v>5514900</v>
      </c>
      <c r="G677" s="2">
        <f t="shared" si="1"/>
        <v>19.51</v>
      </c>
    </row>
    <row r="678" ht="15.75" customHeight="1">
      <c r="A678" s="1">
        <f>IFERROR(__xludf.DUMMYFUNCTION("""COMPUTED_VALUE"""),44845.66666666667)</f>
        <v>44845.66667</v>
      </c>
      <c r="B678" s="2">
        <f>IFERROR(__xludf.DUMMYFUNCTION("""COMPUTED_VALUE"""),1409.32)</f>
        <v>1409.32</v>
      </c>
      <c r="C678" s="2">
        <f>IFERROR(__xludf.DUMMYFUNCTION("""COMPUTED_VALUE"""),1419.07)</f>
        <v>1419.07</v>
      </c>
      <c r="D678" s="2">
        <f>IFERROR(__xludf.DUMMYFUNCTION("""COMPUTED_VALUE"""),1375.19)</f>
        <v>1375.19</v>
      </c>
      <c r="E678" s="2">
        <f>IFERROR(__xludf.DUMMYFUNCTION("""COMPUTED_VALUE"""),1380.06)</f>
        <v>1380.06</v>
      </c>
      <c r="F678" s="2">
        <f>IFERROR(__xludf.DUMMYFUNCTION("""COMPUTED_VALUE"""),9613800.0)</f>
        <v>9613800</v>
      </c>
      <c r="G678" s="2">
        <f t="shared" si="1"/>
        <v>43.88</v>
      </c>
    </row>
    <row r="679" ht="15.75" customHeight="1">
      <c r="A679" s="1">
        <f>IFERROR(__xludf.DUMMYFUNCTION("""COMPUTED_VALUE"""),44846.66666666667)</f>
        <v>44846.66667</v>
      </c>
      <c r="B679" s="2">
        <f>IFERROR(__xludf.DUMMYFUNCTION("""COMPUTED_VALUE"""),1380.06)</f>
        <v>1380.06</v>
      </c>
      <c r="C679" s="2">
        <f>IFERROR(__xludf.DUMMYFUNCTION("""COMPUTED_VALUE"""),1380.06)</f>
        <v>1380.06</v>
      </c>
      <c r="D679" s="2">
        <f>IFERROR(__xludf.DUMMYFUNCTION("""COMPUTED_VALUE"""),1326.42)</f>
        <v>1326.42</v>
      </c>
      <c r="E679" s="2">
        <f>IFERROR(__xludf.DUMMYFUNCTION("""COMPUTED_VALUE"""),1341.05)</f>
        <v>1341.05</v>
      </c>
      <c r="F679" s="2">
        <f>IFERROR(__xludf.DUMMYFUNCTION("""COMPUTED_VALUE"""),1.37238E7)</f>
        <v>13723800</v>
      </c>
      <c r="G679" s="2">
        <f t="shared" si="1"/>
        <v>53.64</v>
      </c>
    </row>
    <row r="680" ht="15.75" customHeight="1">
      <c r="A680" s="1">
        <f>IFERROR(__xludf.DUMMYFUNCTION("""COMPUTED_VALUE"""),44847.66666666667)</f>
        <v>44847.66667</v>
      </c>
      <c r="B680" s="2">
        <f>IFERROR(__xludf.DUMMYFUNCTION("""COMPUTED_VALUE"""),1336.17)</f>
        <v>1336.17</v>
      </c>
      <c r="C680" s="2">
        <f>IFERROR(__xludf.DUMMYFUNCTION("""COMPUTED_VALUE"""),1341.05)</f>
        <v>1341.05</v>
      </c>
      <c r="D680" s="2">
        <f>IFERROR(__xludf.DUMMYFUNCTION("""COMPUTED_VALUE"""),1306.91)</f>
        <v>1306.91</v>
      </c>
      <c r="E680" s="2">
        <f>IFERROR(__xludf.DUMMYFUNCTION("""COMPUTED_VALUE"""),1311.79)</f>
        <v>1311.79</v>
      </c>
      <c r="F680" s="2">
        <f>IFERROR(__xludf.DUMMYFUNCTION("""COMPUTED_VALUE"""),8340500.0)</f>
        <v>8340500</v>
      </c>
      <c r="G680" s="2">
        <f t="shared" si="1"/>
        <v>34.14</v>
      </c>
    </row>
    <row r="681" ht="15.75" customHeight="1">
      <c r="A681" s="1">
        <f>IFERROR(__xludf.DUMMYFUNCTION("""COMPUTED_VALUE"""),44848.66666666667)</f>
        <v>44848.66667</v>
      </c>
      <c r="B681" s="2">
        <f>IFERROR(__xludf.DUMMYFUNCTION("""COMPUTED_VALUE"""),1316.67)</f>
        <v>1316.67</v>
      </c>
      <c r="C681" s="2">
        <f>IFERROR(__xludf.DUMMYFUNCTION("""COMPUTED_VALUE"""),1341.05)</f>
        <v>1341.05</v>
      </c>
      <c r="D681" s="2">
        <f>IFERROR(__xludf.DUMMYFUNCTION("""COMPUTED_VALUE"""),1272.78)</f>
        <v>1272.78</v>
      </c>
      <c r="E681" s="2">
        <f>IFERROR(__xludf.DUMMYFUNCTION("""COMPUTED_VALUE"""),1277.65)</f>
        <v>1277.65</v>
      </c>
      <c r="F681" s="2">
        <f>IFERROR(__xludf.DUMMYFUNCTION("""COMPUTED_VALUE"""),1.26957E7)</f>
        <v>12695700</v>
      </c>
      <c r="G681" s="2">
        <f t="shared" si="1"/>
        <v>68.27</v>
      </c>
    </row>
    <row r="682" ht="15.75" customHeight="1">
      <c r="A682" s="1">
        <f>IFERROR(__xludf.DUMMYFUNCTION("""COMPUTED_VALUE"""),44851.66666666667)</f>
        <v>44851.66667</v>
      </c>
      <c r="B682" s="2">
        <f>IFERROR(__xludf.DUMMYFUNCTION("""COMPUTED_VALUE"""),1277.65)</f>
        <v>1277.65</v>
      </c>
      <c r="C682" s="2">
        <f>IFERROR(__xludf.DUMMYFUNCTION("""COMPUTED_VALUE"""),1287.41)</f>
        <v>1287.41</v>
      </c>
      <c r="D682" s="2">
        <f>IFERROR(__xludf.DUMMYFUNCTION("""COMPUTED_VALUE"""),1233.77)</f>
        <v>1233.77</v>
      </c>
      <c r="E682" s="2">
        <f>IFERROR(__xludf.DUMMYFUNCTION("""COMPUTED_VALUE"""),1263.02)</f>
        <v>1263.02</v>
      </c>
      <c r="F682" s="2">
        <f>IFERROR(__xludf.DUMMYFUNCTION("""COMPUTED_VALUE"""),9808100.0)</f>
        <v>9808100</v>
      </c>
      <c r="G682" s="2">
        <f t="shared" si="1"/>
        <v>53.64</v>
      </c>
    </row>
    <row r="683" ht="15.75" customHeight="1">
      <c r="A683" s="1">
        <f>IFERROR(__xludf.DUMMYFUNCTION("""COMPUTED_VALUE"""),44852.66666666667)</f>
        <v>44852.66667</v>
      </c>
      <c r="B683" s="2">
        <f>IFERROR(__xludf.DUMMYFUNCTION("""COMPUTED_VALUE"""),1267.9)</f>
        <v>1267.9</v>
      </c>
      <c r="C683" s="2">
        <f>IFERROR(__xludf.DUMMYFUNCTION("""COMPUTED_VALUE"""),1292.28)</f>
        <v>1292.28</v>
      </c>
      <c r="D683" s="2">
        <f>IFERROR(__xludf.DUMMYFUNCTION("""COMPUTED_VALUE"""),1267.9)</f>
        <v>1267.9</v>
      </c>
      <c r="E683" s="2">
        <f>IFERROR(__xludf.DUMMYFUNCTION("""COMPUTED_VALUE"""),1282.53)</f>
        <v>1282.53</v>
      </c>
      <c r="F683" s="2">
        <f>IFERROR(__xludf.DUMMYFUNCTION("""COMPUTED_VALUE"""),1.11864E7)</f>
        <v>11186400</v>
      </c>
      <c r="G683" s="2">
        <f t="shared" si="1"/>
        <v>29.26</v>
      </c>
    </row>
    <row r="684" ht="15.75" customHeight="1">
      <c r="A684" s="1">
        <f>IFERROR(__xludf.DUMMYFUNCTION("""COMPUTED_VALUE"""),44853.66666666667)</f>
        <v>44853.66667</v>
      </c>
      <c r="B684" s="2">
        <f>IFERROR(__xludf.DUMMYFUNCTION("""COMPUTED_VALUE"""),1282.53)</f>
        <v>1282.53</v>
      </c>
      <c r="C684" s="2">
        <f>IFERROR(__xludf.DUMMYFUNCTION("""COMPUTED_VALUE"""),1326.42)</f>
        <v>1326.42</v>
      </c>
      <c r="D684" s="2">
        <f>IFERROR(__xludf.DUMMYFUNCTION("""COMPUTED_VALUE"""),1258.15)</f>
        <v>1258.15</v>
      </c>
      <c r="E684" s="2">
        <f>IFERROR(__xludf.DUMMYFUNCTION("""COMPUTED_VALUE"""),1267.9)</f>
        <v>1267.9</v>
      </c>
      <c r="F684" s="2">
        <f>IFERROR(__xludf.DUMMYFUNCTION("""COMPUTED_VALUE"""),1.41757E7)</f>
        <v>14175700</v>
      </c>
      <c r="G684" s="2">
        <f t="shared" si="1"/>
        <v>68.27</v>
      </c>
    </row>
    <row r="685" ht="15.75" customHeight="1">
      <c r="A685" s="1">
        <f>IFERROR(__xludf.DUMMYFUNCTION("""COMPUTED_VALUE"""),44854.66666666667)</f>
        <v>44854.66667</v>
      </c>
      <c r="B685" s="2">
        <f>IFERROR(__xludf.DUMMYFUNCTION("""COMPUTED_VALUE"""),1267.9)</f>
        <v>1267.9</v>
      </c>
      <c r="C685" s="2">
        <f>IFERROR(__xludf.DUMMYFUNCTION("""COMPUTED_VALUE"""),1306.91)</f>
        <v>1306.91</v>
      </c>
      <c r="D685" s="2">
        <f>IFERROR(__xludf.DUMMYFUNCTION("""COMPUTED_VALUE"""),1263.02)</f>
        <v>1263.02</v>
      </c>
      <c r="E685" s="2">
        <f>IFERROR(__xludf.DUMMYFUNCTION("""COMPUTED_VALUE"""),1267.9)</f>
        <v>1267.9</v>
      </c>
      <c r="F685" s="2">
        <f>IFERROR(__xludf.DUMMYFUNCTION("""COMPUTED_VALUE"""),1.19315E7)</f>
        <v>11931500</v>
      </c>
      <c r="G685" s="2">
        <f t="shared" si="1"/>
        <v>43.89</v>
      </c>
    </row>
    <row r="686" ht="15.75" customHeight="1">
      <c r="A686" s="1">
        <f>IFERROR(__xludf.DUMMYFUNCTION("""COMPUTED_VALUE"""),44855.66666666667)</f>
        <v>44855.66667</v>
      </c>
      <c r="B686" s="2">
        <f>IFERROR(__xludf.DUMMYFUNCTION("""COMPUTED_VALUE"""),1282.53)</f>
        <v>1282.53</v>
      </c>
      <c r="C686" s="2">
        <f>IFERROR(__xludf.DUMMYFUNCTION("""COMPUTED_VALUE"""),1355.68)</f>
        <v>1355.68</v>
      </c>
      <c r="D686" s="2">
        <f>IFERROR(__xludf.DUMMYFUNCTION("""COMPUTED_VALUE"""),1272.78)</f>
        <v>1272.78</v>
      </c>
      <c r="E686" s="2">
        <f>IFERROR(__xludf.DUMMYFUNCTION("""COMPUTED_VALUE"""),1311.79)</f>
        <v>1311.79</v>
      </c>
      <c r="F686" s="2">
        <f>IFERROR(__xludf.DUMMYFUNCTION("""COMPUTED_VALUE"""),2.18393E7)</f>
        <v>21839300</v>
      </c>
      <c r="G686" s="2">
        <f t="shared" si="1"/>
        <v>87.78</v>
      </c>
    </row>
    <row r="687" ht="15.75" customHeight="1">
      <c r="A687" s="1">
        <f>IFERROR(__xludf.DUMMYFUNCTION("""COMPUTED_VALUE"""),44858.66666666667)</f>
        <v>44858.66667</v>
      </c>
      <c r="B687" s="2">
        <f>IFERROR(__xludf.DUMMYFUNCTION("""COMPUTED_VALUE"""),1326.42)</f>
        <v>1326.42</v>
      </c>
      <c r="C687" s="2">
        <f>IFERROR(__xludf.DUMMYFUNCTION("""COMPUTED_VALUE"""),1375.19)</f>
        <v>1375.19</v>
      </c>
      <c r="D687" s="2">
        <f>IFERROR(__xludf.DUMMYFUNCTION("""COMPUTED_VALUE"""),1326.42)</f>
        <v>1326.42</v>
      </c>
      <c r="E687" s="2">
        <f>IFERROR(__xludf.DUMMYFUNCTION("""COMPUTED_VALUE"""),1360.56)</f>
        <v>1360.56</v>
      </c>
      <c r="F687" s="2">
        <f>IFERROR(__xludf.DUMMYFUNCTION("""COMPUTED_VALUE"""),1.77573E7)</f>
        <v>17757300</v>
      </c>
      <c r="G687" s="2">
        <f t="shared" si="1"/>
        <v>63.4</v>
      </c>
    </row>
    <row r="688" ht="15.75" customHeight="1">
      <c r="A688" s="1">
        <f>IFERROR(__xludf.DUMMYFUNCTION("""COMPUTED_VALUE"""),44859.66666666667)</f>
        <v>44859.66667</v>
      </c>
      <c r="B688" s="2">
        <f>IFERROR(__xludf.DUMMYFUNCTION("""COMPUTED_VALUE"""),1365.43)</f>
        <v>1365.43</v>
      </c>
      <c r="C688" s="2">
        <f>IFERROR(__xludf.DUMMYFUNCTION("""COMPUTED_VALUE"""),1399.57)</f>
        <v>1399.57</v>
      </c>
      <c r="D688" s="2">
        <f>IFERROR(__xludf.DUMMYFUNCTION("""COMPUTED_VALUE"""),1355.68)</f>
        <v>1355.68</v>
      </c>
      <c r="E688" s="2">
        <f>IFERROR(__xludf.DUMMYFUNCTION("""COMPUTED_VALUE"""),1360.56)</f>
        <v>1360.56</v>
      </c>
      <c r="F688" s="2">
        <f>IFERROR(__xludf.DUMMYFUNCTION("""COMPUTED_VALUE"""),1.59806E7)</f>
        <v>15980600</v>
      </c>
      <c r="G688" s="2">
        <f t="shared" si="1"/>
        <v>43.89</v>
      </c>
    </row>
    <row r="689" ht="15.75" customHeight="1">
      <c r="A689" s="1">
        <f>IFERROR(__xludf.DUMMYFUNCTION("""COMPUTED_VALUE"""),44860.66666666667)</f>
        <v>44860.66667</v>
      </c>
      <c r="B689" s="2">
        <f>IFERROR(__xludf.DUMMYFUNCTION("""COMPUTED_VALUE"""),1360.56)</f>
        <v>1360.56</v>
      </c>
      <c r="C689" s="2">
        <f>IFERROR(__xludf.DUMMYFUNCTION("""COMPUTED_VALUE"""),1360.56)</f>
        <v>1360.56</v>
      </c>
      <c r="D689" s="2">
        <f>IFERROR(__xludf.DUMMYFUNCTION("""COMPUTED_VALUE"""),1326.42)</f>
        <v>1326.42</v>
      </c>
      <c r="E689" s="2">
        <f>IFERROR(__xludf.DUMMYFUNCTION("""COMPUTED_VALUE"""),1341.05)</f>
        <v>1341.05</v>
      </c>
      <c r="F689" s="2">
        <f>IFERROR(__xludf.DUMMYFUNCTION("""COMPUTED_VALUE"""),6733300.0)</f>
        <v>6733300</v>
      </c>
      <c r="G689" s="2">
        <f t="shared" si="1"/>
        <v>34.14</v>
      </c>
    </row>
    <row r="690" ht="15.75" customHeight="1">
      <c r="A690" s="1">
        <f>IFERROR(__xludf.DUMMYFUNCTION("""COMPUTED_VALUE"""),44861.66666666667)</f>
        <v>44861.66667</v>
      </c>
      <c r="B690" s="2">
        <f>IFERROR(__xludf.DUMMYFUNCTION("""COMPUTED_VALUE"""),1345.93)</f>
        <v>1345.93</v>
      </c>
      <c r="C690" s="2">
        <f>IFERROR(__xludf.DUMMYFUNCTION("""COMPUTED_VALUE"""),1370.31)</f>
        <v>1370.31</v>
      </c>
      <c r="D690" s="2">
        <f>IFERROR(__xludf.DUMMYFUNCTION("""COMPUTED_VALUE"""),1345.93)</f>
        <v>1345.93</v>
      </c>
      <c r="E690" s="2">
        <f>IFERROR(__xludf.DUMMYFUNCTION("""COMPUTED_VALUE"""),1345.93)</f>
        <v>1345.93</v>
      </c>
      <c r="F690" s="2">
        <f>IFERROR(__xludf.DUMMYFUNCTION("""COMPUTED_VALUE"""),6102900.0)</f>
        <v>6102900</v>
      </c>
      <c r="G690" s="2">
        <f t="shared" si="1"/>
        <v>29.26</v>
      </c>
    </row>
    <row r="691" ht="15.75" customHeight="1">
      <c r="A691" s="1">
        <f>IFERROR(__xludf.DUMMYFUNCTION("""COMPUTED_VALUE"""),44862.66666666667)</f>
        <v>44862.66667</v>
      </c>
      <c r="B691" s="2">
        <f>IFERROR(__xludf.DUMMYFUNCTION("""COMPUTED_VALUE"""),1365.43)</f>
        <v>1365.43</v>
      </c>
      <c r="C691" s="2">
        <f>IFERROR(__xludf.DUMMYFUNCTION("""COMPUTED_VALUE"""),1409.32)</f>
        <v>1409.32</v>
      </c>
      <c r="D691" s="2">
        <f>IFERROR(__xludf.DUMMYFUNCTION("""COMPUTED_VALUE"""),1355.68)</f>
        <v>1355.68</v>
      </c>
      <c r="E691" s="2">
        <f>IFERROR(__xludf.DUMMYFUNCTION("""COMPUTED_VALUE"""),1360.56)</f>
        <v>1360.56</v>
      </c>
      <c r="F691" s="2">
        <f>IFERROR(__xludf.DUMMYFUNCTION("""COMPUTED_VALUE"""),1.53767E7)</f>
        <v>15376700</v>
      </c>
      <c r="G691" s="2">
        <f t="shared" si="1"/>
        <v>63.39</v>
      </c>
    </row>
    <row r="692" ht="15.75" customHeight="1">
      <c r="A692" s="1">
        <f>IFERROR(__xludf.DUMMYFUNCTION("""COMPUTED_VALUE"""),44865.66666666667)</f>
        <v>44865.66667</v>
      </c>
      <c r="B692" s="2">
        <f>IFERROR(__xludf.DUMMYFUNCTION("""COMPUTED_VALUE"""),1365.43)</f>
        <v>1365.43</v>
      </c>
      <c r="C692" s="2">
        <f>IFERROR(__xludf.DUMMYFUNCTION("""COMPUTED_VALUE"""),1380.06)</f>
        <v>1380.06</v>
      </c>
      <c r="D692" s="2">
        <f>IFERROR(__xludf.DUMMYFUNCTION("""COMPUTED_VALUE"""),1360.56)</f>
        <v>1360.56</v>
      </c>
      <c r="E692" s="2">
        <f>IFERROR(__xludf.DUMMYFUNCTION("""COMPUTED_VALUE"""),1365.43)</f>
        <v>1365.43</v>
      </c>
      <c r="F692" s="2">
        <f>IFERROR(__xludf.DUMMYFUNCTION("""COMPUTED_VALUE"""),6468500.0)</f>
        <v>6468500</v>
      </c>
      <c r="G692" s="2">
        <f t="shared" si="1"/>
        <v>19.5</v>
      </c>
    </row>
    <row r="693" ht="15.75" customHeight="1">
      <c r="A693" s="1">
        <f>IFERROR(__xludf.DUMMYFUNCTION("""COMPUTED_VALUE"""),44866.625)</f>
        <v>44866.625</v>
      </c>
      <c r="B693" s="2">
        <f>IFERROR(__xludf.DUMMYFUNCTION("""COMPUTED_VALUE"""),1370.31)</f>
        <v>1370.31</v>
      </c>
      <c r="C693" s="2">
        <f>IFERROR(__xludf.DUMMYFUNCTION("""COMPUTED_VALUE"""),1399.57)</f>
        <v>1399.57</v>
      </c>
      <c r="D693" s="2">
        <f>IFERROR(__xludf.DUMMYFUNCTION("""COMPUTED_VALUE"""),1370.31)</f>
        <v>1370.31</v>
      </c>
      <c r="E693" s="2">
        <f>IFERROR(__xludf.DUMMYFUNCTION("""COMPUTED_VALUE"""),1370.31)</f>
        <v>1370.31</v>
      </c>
      <c r="F693" s="2">
        <f>IFERROR(__xludf.DUMMYFUNCTION("""COMPUTED_VALUE"""),1.32645E7)</f>
        <v>13264500</v>
      </c>
      <c r="G693" s="2">
        <f t="shared" si="1"/>
        <v>34.14</v>
      </c>
    </row>
    <row r="694" ht="15.75" customHeight="1">
      <c r="A694" s="1">
        <f>IFERROR(__xludf.DUMMYFUNCTION("""COMPUTED_VALUE"""),44867.625)</f>
        <v>44867.625</v>
      </c>
      <c r="B694" s="2">
        <f>IFERROR(__xludf.DUMMYFUNCTION("""COMPUTED_VALUE"""),1375.19)</f>
        <v>1375.19</v>
      </c>
      <c r="C694" s="2">
        <f>IFERROR(__xludf.DUMMYFUNCTION("""COMPUTED_VALUE"""),1404.44)</f>
        <v>1404.44</v>
      </c>
      <c r="D694" s="2">
        <f>IFERROR(__xludf.DUMMYFUNCTION("""COMPUTED_VALUE"""),1375.19)</f>
        <v>1375.19</v>
      </c>
      <c r="E694" s="2">
        <f>IFERROR(__xludf.DUMMYFUNCTION("""COMPUTED_VALUE"""),1389.82)</f>
        <v>1389.82</v>
      </c>
      <c r="F694" s="2">
        <f>IFERROR(__xludf.DUMMYFUNCTION("""COMPUTED_VALUE"""),1.24573E7)</f>
        <v>12457300</v>
      </c>
      <c r="G694" s="2">
        <f t="shared" si="1"/>
        <v>34.13</v>
      </c>
    </row>
    <row r="695" ht="15.75" customHeight="1">
      <c r="A695" s="1">
        <f>IFERROR(__xludf.DUMMYFUNCTION("""COMPUTED_VALUE"""),44868.66666666667)</f>
        <v>44868.66667</v>
      </c>
      <c r="B695" s="2">
        <f>IFERROR(__xludf.DUMMYFUNCTION("""COMPUTED_VALUE"""),1394.69)</f>
        <v>1394.69</v>
      </c>
      <c r="C695" s="2">
        <f>IFERROR(__xludf.DUMMYFUNCTION("""COMPUTED_VALUE"""),1394.69)</f>
        <v>1394.69</v>
      </c>
      <c r="D695" s="2">
        <f>IFERROR(__xludf.DUMMYFUNCTION("""COMPUTED_VALUE"""),1341.05)</f>
        <v>1341.05</v>
      </c>
      <c r="E695" s="2">
        <f>IFERROR(__xludf.DUMMYFUNCTION("""COMPUTED_VALUE"""),1355.68)</f>
        <v>1355.68</v>
      </c>
      <c r="F695" s="2">
        <f>IFERROR(__xludf.DUMMYFUNCTION("""COMPUTED_VALUE"""),1.65759E7)</f>
        <v>16575900</v>
      </c>
      <c r="G695" s="2">
        <f t="shared" si="1"/>
        <v>53.64</v>
      </c>
    </row>
    <row r="696" ht="15.75" customHeight="1">
      <c r="A696" s="1">
        <f>IFERROR(__xludf.DUMMYFUNCTION("""COMPUTED_VALUE"""),44869.66666666667)</f>
        <v>44869.66667</v>
      </c>
      <c r="B696" s="2">
        <f>IFERROR(__xludf.DUMMYFUNCTION("""COMPUTED_VALUE"""),1355.68)</f>
        <v>1355.68</v>
      </c>
      <c r="C696" s="2">
        <f>IFERROR(__xludf.DUMMYFUNCTION("""COMPUTED_VALUE"""),1365.43)</f>
        <v>1365.43</v>
      </c>
      <c r="D696" s="2">
        <f>IFERROR(__xludf.DUMMYFUNCTION("""COMPUTED_VALUE"""),1341.05)</f>
        <v>1341.05</v>
      </c>
      <c r="E696" s="2">
        <f>IFERROR(__xludf.DUMMYFUNCTION("""COMPUTED_VALUE"""),1360.56)</f>
        <v>1360.56</v>
      </c>
      <c r="F696" s="2">
        <f>IFERROR(__xludf.DUMMYFUNCTION("""COMPUTED_VALUE"""),8436700.0)</f>
        <v>8436700</v>
      </c>
      <c r="G696" s="2">
        <f t="shared" si="1"/>
        <v>24.38</v>
      </c>
    </row>
    <row r="697" ht="15.75" customHeight="1">
      <c r="A697" s="1">
        <f>IFERROR(__xludf.DUMMYFUNCTION("""COMPUTED_VALUE"""),44872.66666666667)</f>
        <v>44872.66667</v>
      </c>
      <c r="B697" s="2">
        <f>IFERROR(__xludf.DUMMYFUNCTION("""COMPUTED_VALUE"""),1365.43)</f>
        <v>1365.43</v>
      </c>
      <c r="C697" s="2">
        <f>IFERROR(__xludf.DUMMYFUNCTION("""COMPUTED_VALUE"""),1365.43)</f>
        <v>1365.43</v>
      </c>
      <c r="D697" s="2">
        <f>IFERROR(__xludf.DUMMYFUNCTION("""COMPUTED_VALUE"""),1345.93)</f>
        <v>1345.93</v>
      </c>
      <c r="E697" s="2">
        <f>IFERROR(__xludf.DUMMYFUNCTION("""COMPUTED_VALUE"""),1350.8)</f>
        <v>1350.8</v>
      </c>
      <c r="F697" s="2">
        <f>IFERROR(__xludf.DUMMYFUNCTION("""COMPUTED_VALUE"""),9050700.0)</f>
        <v>9050700</v>
      </c>
      <c r="G697" s="2">
        <f t="shared" si="1"/>
        <v>19.5</v>
      </c>
    </row>
    <row r="698" ht="15.75" customHeight="1">
      <c r="A698" s="1">
        <f>IFERROR(__xludf.DUMMYFUNCTION("""COMPUTED_VALUE"""),44873.66666666667)</f>
        <v>44873.66667</v>
      </c>
      <c r="B698" s="2">
        <f>IFERROR(__xludf.DUMMYFUNCTION("""COMPUTED_VALUE"""),1355.68)</f>
        <v>1355.68</v>
      </c>
      <c r="C698" s="2">
        <f>IFERROR(__xludf.DUMMYFUNCTION("""COMPUTED_VALUE"""),1360.56)</f>
        <v>1360.56</v>
      </c>
      <c r="D698" s="2">
        <f>IFERROR(__xludf.DUMMYFUNCTION("""COMPUTED_VALUE"""),1341.05)</f>
        <v>1341.05</v>
      </c>
      <c r="E698" s="2">
        <f>IFERROR(__xludf.DUMMYFUNCTION("""COMPUTED_VALUE"""),1341.05)</f>
        <v>1341.05</v>
      </c>
      <c r="F698" s="2">
        <f>IFERROR(__xludf.DUMMYFUNCTION("""COMPUTED_VALUE"""),4433500.0)</f>
        <v>4433500</v>
      </c>
      <c r="G698" s="2">
        <f t="shared" si="1"/>
        <v>19.51</v>
      </c>
    </row>
    <row r="699" ht="15.75" customHeight="1">
      <c r="A699" s="1">
        <f>IFERROR(__xludf.DUMMYFUNCTION("""COMPUTED_VALUE"""),44874.66666666667)</f>
        <v>44874.66667</v>
      </c>
      <c r="B699" s="2">
        <f>IFERROR(__xludf.DUMMYFUNCTION("""COMPUTED_VALUE"""),1341.05)</f>
        <v>1341.05</v>
      </c>
      <c r="C699" s="2">
        <f>IFERROR(__xludf.DUMMYFUNCTION("""COMPUTED_VALUE"""),1345.93)</f>
        <v>1345.93</v>
      </c>
      <c r="D699" s="2">
        <f>IFERROR(__xludf.DUMMYFUNCTION("""COMPUTED_VALUE"""),1331.3)</f>
        <v>1331.3</v>
      </c>
      <c r="E699" s="2">
        <f>IFERROR(__xludf.DUMMYFUNCTION("""COMPUTED_VALUE"""),1341.05)</f>
        <v>1341.05</v>
      </c>
      <c r="F699" s="2">
        <f>IFERROR(__xludf.DUMMYFUNCTION("""COMPUTED_VALUE"""),6642200.0)</f>
        <v>6642200</v>
      </c>
      <c r="G699" s="2">
        <f t="shared" si="1"/>
        <v>14.63</v>
      </c>
    </row>
    <row r="700" ht="15.75" customHeight="1">
      <c r="A700" s="1">
        <f>IFERROR(__xludf.DUMMYFUNCTION("""COMPUTED_VALUE"""),44875.66666666667)</f>
        <v>44875.66667</v>
      </c>
      <c r="B700" s="2">
        <f>IFERROR(__xludf.DUMMYFUNCTION("""COMPUTED_VALUE"""),1341.05)</f>
        <v>1341.05</v>
      </c>
      <c r="C700" s="2">
        <f>IFERROR(__xludf.DUMMYFUNCTION("""COMPUTED_VALUE"""),1341.05)</f>
        <v>1341.05</v>
      </c>
      <c r="D700" s="2">
        <f>IFERROR(__xludf.DUMMYFUNCTION("""COMPUTED_VALUE"""),1321.54)</f>
        <v>1321.54</v>
      </c>
      <c r="E700" s="2">
        <f>IFERROR(__xludf.DUMMYFUNCTION("""COMPUTED_VALUE"""),1341.05)</f>
        <v>1341.05</v>
      </c>
      <c r="F700" s="2">
        <f>IFERROR(__xludf.DUMMYFUNCTION("""COMPUTED_VALUE"""),5957000.0)</f>
        <v>5957000</v>
      </c>
      <c r="G700" s="2">
        <f t="shared" si="1"/>
        <v>19.51</v>
      </c>
    </row>
    <row r="701" ht="15.75" customHeight="1">
      <c r="A701" s="1">
        <f>IFERROR(__xludf.DUMMYFUNCTION("""COMPUTED_VALUE"""),44876.66666666667)</f>
        <v>44876.66667</v>
      </c>
      <c r="B701" s="2">
        <f>IFERROR(__xludf.DUMMYFUNCTION("""COMPUTED_VALUE"""),1345.93)</f>
        <v>1345.93</v>
      </c>
      <c r="C701" s="2">
        <f>IFERROR(__xludf.DUMMYFUNCTION("""COMPUTED_VALUE"""),1365.43)</f>
        <v>1365.43</v>
      </c>
      <c r="D701" s="2">
        <f>IFERROR(__xludf.DUMMYFUNCTION("""COMPUTED_VALUE"""),1336.17)</f>
        <v>1336.17</v>
      </c>
      <c r="E701" s="2">
        <f>IFERROR(__xludf.DUMMYFUNCTION("""COMPUTED_VALUE"""),1341.05)</f>
        <v>1341.05</v>
      </c>
      <c r="F701" s="2">
        <f>IFERROR(__xludf.DUMMYFUNCTION("""COMPUTED_VALUE"""),7279200.0)</f>
        <v>7279200</v>
      </c>
      <c r="G701" s="2">
        <f t="shared" si="1"/>
        <v>29.26</v>
      </c>
    </row>
    <row r="702" ht="15.75" customHeight="1">
      <c r="A702" s="1">
        <f>IFERROR(__xludf.DUMMYFUNCTION("""COMPUTED_VALUE"""),44879.66666666667)</f>
        <v>44879.66667</v>
      </c>
      <c r="B702" s="2">
        <f>IFERROR(__xludf.DUMMYFUNCTION("""COMPUTED_VALUE"""),1345.93)</f>
        <v>1345.93</v>
      </c>
      <c r="C702" s="2">
        <f>IFERROR(__xludf.DUMMYFUNCTION("""COMPUTED_VALUE"""),1355.68)</f>
        <v>1355.68</v>
      </c>
      <c r="D702" s="2">
        <f>IFERROR(__xludf.DUMMYFUNCTION("""COMPUTED_VALUE"""),1336.17)</f>
        <v>1336.17</v>
      </c>
      <c r="E702" s="2">
        <f>IFERROR(__xludf.DUMMYFUNCTION("""COMPUTED_VALUE"""),1345.93)</f>
        <v>1345.93</v>
      </c>
      <c r="F702" s="2">
        <f>IFERROR(__xludf.DUMMYFUNCTION("""COMPUTED_VALUE"""),7521600.0)</f>
        <v>7521600</v>
      </c>
      <c r="G702" s="2">
        <f t="shared" si="1"/>
        <v>19.51</v>
      </c>
    </row>
    <row r="703" ht="15.75" customHeight="1">
      <c r="A703" s="1">
        <f>IFERROR(__xludf.DUMMYFUNCTION("""COMPUTED_VALUE"""),44880.66666666667)</f>
        <v>44880.66667</v>
      </c>
      <c r="B703" s="2">
        <f>IFERROR(__xludf.DUMMYFUNCTION("""COMPUTED_VALUE"""),1341.05)</f>
        <v>1341.05</v>
      </c>
      <c r="C703" s="2">
        <f>IFERROR(__xludf.DUMMYFUNCTION("""COMPUTED_VALUE"""),1350.8)</f>
        <v>1350.8</v>
      </c>
      <c r="D703" s="2">
        <f>IFERROR(__xludf.DUMMYFUNCTION("""COMPUTED_VALUE"""),1336.17)</f>
        <v>1336.17</v>
      </c>
      <c r="E703" s="2">
        <f>IFERROR(__xludf.DUMMYFUNCTION("""COMPUTED_VALUE"""),1341.05)</f>
        <v>1341.05</v>
      </c>
      <c r="F703" s="2">
        <f>IFERROR(__xludf.DUMMYFUNCTION("""COMPUTED_VALUE"""),4118500.0)</f>
        <v>4118500</v>
      </c>
      <c r="G703" s="2">
        <f t="shared" si="1"/>
        <v>14.63</v>
      </c>
    </row>
    <row r="704" ht="15.75" customHeight="1">
      <c r="A704" s="1">
        <f>IFERROR(__xludf.DUMMYFUNCTION("""COMPUTED_VALUE"""),44881.66666666667)</f>
        <v>44881.66667</v>
      </c>
      <c r="B704" s="2">
        <f>IFERROR(__xludf.DUMMYFUNCTION("""COMPUTED_VALUE"""),1341.05)</f>
        <v>1341.05</v>
      </c>
      <c r="C704" s="2">
        <f>IFERROR(__xludf.DUMMYFUNCTION("""COMPUTED_VALUE"""),1345.93)</f>
        <v>1345.93</v>
      </c>
      <c r="D704" s="2">
        <f>IFERROR(__xludf.DUMMYFUNCTION("""COMPUTED_VALUE"""),1321.54)</f>
        <v>1321.54</v>
      </c>
      <c r="E704" s="2">
        <f>IFERROR(__xludf.DUMMYFUNCTION("""COMPUTED_VALUE"""),1326.42)</f>
        <v>1326.42</v>
      </c>
      <c r="F704" s="2">
        <f>IFERROR(__xludf.DUMMYFUNCTION("""COMPUTED_VALUE"""),4586700.0)</f>
        <v>4586700</v>
      </c>
      <c r="G704" s="2">
        <f t="shared" si="1"/>
        <v>24.39</v>
      </c>
    </row>
    <row r="705" ht="15.75" customHeight="1">
      <c r="A705" s="1">
        <f>IFERROR(__xludf.DUMMYFUNCTION("""COMPUTED_VALUE"""),44882.66666666667)</f>
        <v>44882.66667</v>
      </c>
      <c r="B705" s="2">
        <f>IFERROR(__xludf.DUMMYFUNCTION("""COMPUTED_VALUE"""),1326.42)</f>
        <v>1326.42</v>
      </c>
      <c r="C705" s="2">
        <f>IFERROR(__xludf.DUMMYFUNCTION("""COMPUTED_VALUE"""),1331.3)</f>
        <v>1331.3</v>
      </c>
      <c r="D705" s="2">
        <f>IFERROR(__xludf.DUMMYFUNCTION("""COMPUTED_VALUE"""),1316.67)</f>
        <v>1316.67</v>
      </c>
      <c r="E705" s="2">
        <f>IFERROR(__xludf.DUMMYFUNCTION("""COMPUTED_VALUE"""),1326.42)</f>
        <v>1326.42</v>
      </c>
      <c r="F705" s="2">
        <f>IFERROR(__xludf.DUMMYFUNCTION("""COMPUTED_VALUE"""),4475400.0)</f>
        <v>4475400</v>
      </c>
      <c r="G705" s="2">
        <f t="shared" si="1"/>
        <v>14.63</v>
      </c>
    </row>
    <row r="706" ht="15.75" customHeight="1">
      <c r="A706" s="1">
        <f>IFERROR(__xludf.DUMMYFUNCTION("""COMPUTED_VALUE"""),44883.66666666667)</f>
        <v>44883.66667</v>
      </c>
      <c r="B706" s="2">
        <f>IFERROR(__xludf.DUMMYFUNCTION("""COMPUTED_VALUE"""),1321.54)</f>
        <v>1321.54</v>
      </c>
      <c r="C706" s="2">
        <f>IFERROR(__xludf.DUMMYFUNCTION("""COMPUTED_VALUE"""),1345.93)</f>
        <v>1345.93</v>
      </c>
      <c r="D706" s="2">
        <f>IFERROR(__xludf.DUMMYFUNCTION("""COMPUTED_VALUE"""),1316.67)</f>
        <v>1316.67</v>
      </c>
      <c r="E706" s="2">
        <f>IFERROR(__xludf.DUMMYFUNCTION("""COMPUTED_VALUE"""),1321.54)</f>
        <v>1321.54</v>
      </c>
      <c r="F706" s="2">
        <f>IFERROR(__xludf.DUMMYFUNCTION("""COMPUTED_VALUE"""),7216800.0)</f>
        <v>7216800</v>
      </c>
      <c r="G706" s="2">
        <f t="shared" si="1"/>
        <v>29.26</v>
      </c>
    </row>
    <row r="707" ht="15.75" customHeight="1">
      <c r="A707" s="1">
        <f>IFERROR(__xludf.DUMMYFUNCTION("""COMPUTED_VALUE"""),44886.66666666667)</f>
        <v>44886.66667</v>
      </c>
      <c r="B707" s="2">
        <f>IFERROR(__xludf.DUMMYFUNCTION("""COMPUTED_VALUE"""),1341.05)</f>
        <v>1341.05</v>
      </c>
      <c r="C707" s="2">
        <f>IFERROR(__xludf.DUMMYFUNCTION("""COMPUTED_VALUE"""),1341.05)</f>
        <v>1341.05</v>
      </c>
      <c r="D707" s="2">
        <f>IFERROR(__xludf.DUMMYFUNCTION("""COMPUTED_VALUE"""),1326.42)</f>
        <v>1326.42</v>
      </c>
      <c r="E707" s="2">
        <f>IFERROR(__xludf.DUMMYFUNCTION("""COMPUTED_VALUE"""),1326.42)</f>
        <v>1326.42</v>
      </c>
      <c r="F707" s="2">
        <f>IFERROR(__xludf.DUMMYFUNCTION("""COMPUTED_VALUE"""),2243800.0)</f>
        <v>2243800</v>
      </c>
      <c r="G707" s="2">
        <f t="shared" si="1"/>
        <v>19.51</v>
      </c>
    </row>
    <row r="708" ht="15.75" customHeight="1">
      <c r="A708" s="1">
        <f>IFERROR(__xludf.DUMMYFUNCTION("""COMPUTED_VALUE"""),44887.66666666667)</f>
        <v>44887.66667</v>
      </c>
      <c r="B708" s="2">
        <f>IFERROR(__xludf.DUMMYFUNCTION("""COMPUTED_VALUE"""),1326.42)</f>
        <v>1326.42</v>
      </c>
      <c r="C708" s="2">
        <f>IFERROR(__xludf.DUMMYFUNCTION("""COMPUTED_VALUE"""),1331.3)</f>
        <v>1331.3</v>
      </c>
      <c r="D708" s="2">
        <f>IFERROR(__xludf.DUMMYFUNCTION("""COMPUTED_VALUE"""),1321.54)</f>
        <v>1321.54</v>
      </c>
      <c r="E708" s="2">
        <f>IFERROR(__xludf.DUMMYFUNCTION("""COMPUTED_VALUE"""),1326.42)</f>
        <v>1326.42</v>
      </c>
      <c r="F708" s="2">
        <f>IFERROR(__xludf.DUMMYFUNCTION("""COMPUTED_VALUE"""),2451800.0)</f>
        <v>2451800</v>
      </c>
      <c r="G708" s="2">
        <f t="shared" si="1"/>
        <v>9.76</v>
      </c>
    </row>
    <row r="709" ht="15.75" customHeight="1">
      <c r="A709" s="1">
        <f>IFERROR(__xludf.DUMMYFUNCTION("""COMPUTED_VALUE"""),44888.66666666667)</f>
        <v>44888.66667</v>
      </c>
      <c r="B709" s="2">
        <f>IFERROR(__xludf.DUMMYFUNCTION("""COMPUTED_VALUE"""),1326.42)</f>
        <v>1326.42</v>
      </c>
      <c r="C709" s="2">
        <f>IFERROR(__xludf.DUMMYFUNCTION("""COMPUTED_VALUE"""),1345.93)</f>
        <v>1345.93</v>
      </c>
      <c r="D709" s="2">
        <f>IFERROR(__xludf.DUMMYFUNCTION("""COMPUTED_VALUE"""),1326.42)</f>
        <v>1326.42</v>
      </c>
      <c r="E709" s="2">
        <f>IFERROR(__xludf.DUMMYFUNCTION("""COMPUTED_VALUE"""),1345.93)</f>
        <v>1345.93</v>
      </c>
      <c r="F709" s="2">
        <f>IFERROR(__xludf.DUMMYFUNCTION("""COMPUTED_VALUE"""),6307200.0)</f>
        <v>6307200</v>
      </c>
      <c r="G709" s="2">
        <f t="shared" si="1"/>
        <v>19.51</v>
      </c>
    </row>
    <row r="710" ht="15.75" customHeight="1">
      <c r="A710" s="1">
        <f>IFERROR(__xludf.DUMMYFUNCTION("""COMPUTED_VALUE"""),44889.66666666667)</f>
        <v>44889.66667</v>
      </c>
      <c r="B710" s="2">
        <f>IFERROR(__xludf.DUMMYFUNCTION("""COMPUTED_VALUE"""),1350.8)</f>
        <v>1350.8</v>
      </c>
      <c r="C710" s="2">
        <f>IFERROR(__xludf.DUMMYFUNCTION("""COMPUTED_VALUE"""),1365.43)</f>
        <v>1365.43</v>
      </c>
      <c r="D710" s="2">
        <f>IFERROR(__xludf.DUMMYFUNCTION("""COMPUTED_VALUE"""),1350.8)</f>
        <v>1350.8</v>
      </c>
      <c r="E710" s="2">
        <f>IFERROR(__xludf.DUMMYFUNCTION("""COMPUTED_VALUE"""),1350.8)</f>
        <v>1350.8</v>
      </c>
      <c r="F710" s="2">
        <f>IFERROR(__xludf.DUMMYFUNCTION("""COMPUTED_VALUE"""),3777500.0)</f>
        <v>3777500</v>
      </c>
      <c r="G710" s="2">
        <f t="shared" si="1"/>
        <v>19.5</v>
      </c>
    </row>
    <row r="711" ht="15.75" customHeight="1">
      <c r="A711" s="1">
        <f>IFERROR(__xludf.DUMMYFUNCTION("""COMPUTED_VALUE"""),44890.66666666667)</f>
        <v>44890.66667</v>
      </c>
      <c r="B711" s="2">
        <f>IFERROR(__xludf.DUMMYFUNCTION("""COMPUTED_VALUE"""),1365.43)</f>
        <v>1365.43</v>
      </c>
      <c r="C711" s="2">
        <f>IFERROR(__xludf.DUMMYFUNCTION("""COMPUTED_VALUE"""),1365.43)</f>
        <v>1365.43</v>
      </c>
      <c r="D711" s="2">
        <f>IFERROR(__xludf.DUMMYFUNCTION("""COMPUTED_VALUE"""),1331.3)</f>
        <v>1331.3</v>
      </c>
      <c r="E711" s="2">
        <f>IFERROR(__xludf.DUMMYFUNCTION("""COMPUTED_VALUE"""),1336.17)</f>
        <v>1336.17</v>
      </c>
      <c r="F711" s="2">
        <f>IFERROR(__xludf.DUMMYFUNCTION("""COMPUTED_VALUE"""),2744800.0)</f>
        <v>2744800</v>
      </c>
      <c r="G711" s="2">
        <f t="shared" si="1"/>
        <v>34.13</v>
      </c>
    </row>
    <row r="712" ht="15.75" customHeight="1">
      <c r="A712" s="1">
        <f>IFERROR(__xludf.DUMMYFUNCTION("""COMPUTED_VALUE"""),44893.66666666667)</f>
        <v>44893.66667</v>
      </c>
      <c r="B712" s="2">
        <f>IFERROR(__xludf.DUMMYFUNCTION("""COMPUTED_VALUE"""),1331.3)</f>
        <v>1331.3</v>
      </c>
      <c r="C712" s="2">
        <f>IFERROR(__xludf.DUMMYFUNCTION("""COMPUTED_VALUE"""),1336.17)</f>
        <v>1336.17</v>
      </c>
      <c r="D712" s="2">
        <f>IFERROR(__xludf.DUMMYFUNCTION("""COMPUTED_VALUE"""),1316.67)</f>
        <v>1316.67</v>
      </c>
      <c r="E712" s="2">
        <f>IFERROR(__xludf.DUMMYFUNCTION("""COMPUTED_VALUE"""),1326.42)</f>
        <v>1326.42</v>
      </c>
      <c r="F712" s="2">
        <f>IFERROR(__xludf.DUMMYFUNCTION("""COMPUTED_VALUE"""),4732600.0)</f>
        <v>4732600</v>
      </c>
      <c r="G712" s="2">
        <f t="shared" si="1"/>
        <v>19.5</v>
      </c>
    </row>
    <row r="713" ht="15.75" customHeight="1">
      <c r="A713" s="1">
        <f>IFERROR(__xludf.DUMMYFUNCTION("""COMPUTED_VALUE"""),44894.66666666667)</f>
        <v>44894.66667</v>
      </c>
      <c r="B713" s="2">
        <f>IFERROR(__xludf.DUMMYFUNCTION("""COMPUTED_VALUE"""),1321.54)</f>
        <v>1321.54</v>
      </c>
      <c r="C713" s="2">
        <f>IFERROR(__xludf.DUMMYFUNCTION("""COMPUTED_VALUE"""),1326.42)</f>
        <v>1326.42</v>
      </c>
      <c r="D713" s="2">
        <f>IFERROR(__xludf.DUMMYFUNCTION("""COMPUTED_VALUE"""),1292.28)</f>
        <v>1292.28</v>
      </c>
      <c r="E713" s="2">
        <f>IFERROR(__xludf.DUMMYFUNCTION("""COMPUTED_VALUE"""),1297.16)</f>
        <v>1297.16</v>
      </c>
      <c r="F713" s="2">
        <f>IFERROR(__xludf.DUMMYFUNCTION("""COMPUTED_VALUE"""),6874200.0)</f>
        <v>6874200</v>
      </c>
      <c r="G713" s="2">
        <f t="shared" si="1"/>
        <v>34.14</v>
      </c>
    </row>
    <row r="714" ht="15.75" customHeight="1">
      <c r="A714" s="1">
        <f>IFERROR(__xludf.DUMMYFUNCTION("""COMPUTED_VALUE"""),44895.66666666667)</f>
        <v>44895.66667</v>
      </c>
      <c r="B714" s="2">
        <f>IFERROR(__xludf.DUMMYFUNCTION("""COMPUTED_VALUE"""),1297.16)</f>
        <v>1297.16</v>
      </c>
      <c r="C714" s="2">
        <f>IFERROR(__xludf.DUMMYFUNCTION("""COMPUTED_VALUE"""),1311.79)</f>
        <v>1311.79</v>
      </c>
      <c r="D714" s="2">
        <f>IFERROR(__xludf.DUMMYFUNCTION("""COMPUTED_VALUE"""),1297.16)</f>
        <v>1297.16</v>
      </c>
      <c r="E714" s="2">
        <f>IFERROR(__xludf.DUMMYFUNCTION("""COMPUTED_VALUE"""),1302.04)</f>
        <v>1302.04</v>
      </c>
      <c r="F714" s="2">
        <f>IFERROR(__xludf.DUMMYFUNCTION("""COMPUTED_VALUE"""),4660600.0)</f>
        <v>4660600</v>
      </c>
      <c r="G714" s="2">
        <f t="shared" si="1"/>
        <v>14.63</v>
      </c>
    </row>
    <row r="715" ht="15.75" customHeight="1">
      <c r="A715" s="1">
        <f>IFERROR(__xludf.DUMMYFUNCTION("""COMPUTED_VALUE"""),44896.66666666667)</f>
        <v>44896.66667</v>
      </c>
      <c r="B715" s="2">
        <f>IFERROR(__xludf.DUMMYFUNCTION("""COMPUTED_VALUE"""),1302.04)</f>
        <v>1302.04</v>
      </c>
      <c r="C715" s="2">
        <f>IFERROR(__xludf.DUMMYFUNCTION("""COMPUTED_VALUE"""),1306.91)</f>
        <v>1306.91</v>
      </c>
      <c r="D715" s="2">
        <f>IFERROR(__xludf.DUMMYFUNCTION("""COMPUTED_VALUE"""),1287.41)</f>
        <v>1287.41</v>
      </c>
      <c r="E715" s="2">
        <f>IFERROR(__xludf.DUMMYFUNCTION("""COMPUTED_VALUE"""),1292.28)</f>
        <v>1292.28</v>
      </c>
      <c r="F715" s="2">
        <f>IFERROR(__xludf.DUMMYFUNCTION("""COMPUTED_VALUE"""),4935500.0)</f>
        <v>4935500</v>
      </c>
      <c r="G715" s="2">
        <f t="shared" si="1"/>
        <v>19.5</v>
      </c>
    </row>
    <row r="716" ht="15.75" customHeight="1">
      <c r="A716" s="1">
        <f>IFERROR(__xludf.DUMMYFUNCTION("""COMPUTED_VALUE"""),44897.66666666667)</f>
        <v>44897.66667</v>
      </c>
      <c r="B716" s="2">
        <f>IFERROR(__xludf.DUMMYFUNCTION("""COMPUTED_VALUE"""),1292.28)</f>
        <v>1292.28</v>
      </c>
      <c r="C716" s="2">
        <f>IFERROR(__xludf.DUMMYFUNCTION("""COMPUTED_VALUE"""),1297.16)</f>
        <v>1297.16</v>
      </c>
      <c r="D716" s="2">
        <f>IFERROR(__xludf.DUMMYFUNCTION("""COMPUTED_VALUE"""),1277.65)</f>
        <v>1277.65</v>
      </c>
      <c r="E716" s="2">
        <f>IFERROR(__xludf.DUMMYFUNCTION("""COMPUTED_VALUE"""),1287.41)</f>
        <v>1287.41</v>
      </c>
      <c r="F716" s="2">
        <f>IFERROR(__xludf.DUMMYFUNCTION("""COMPUTED_VALUE"""),4969400.0)</f>
        <v>4969400</v>
      </c>
      <c r="G716" s="2">
        <f t="shared" si="1"/>
        <v>19.51</v>
      </c>
    </row>
    <row r="717" ht="15.75" customHeight="1">
      <c r="A717" s="1">
        <f>IFERROR(__xludf.DUMMYFUNCTION("""COMPUTED_VALUE"""),44900.66666666667)</f>
        <v>44900.66667</v>
      </c>
      <c r="B717" s="2">
        <f>IFERROR(__xludf.DUMMYFUNCTION("""COMPUTED_VALUE"""),1287.41)</f>
        <v>1287.41</v>
      </c>
      <c r="C717" s="2">
        <f>IFERROR(__xludf.DUMMYFUNCTION("""COMPUTED_VALUE"""),1302.04)</f>
        <v>1302.04</v>
      </c>
      <c r="D717" s="2">
        <f>IFERROR(__xludf.DUMMYFUNCTION("""COMPUTED_VALUE"""),1277.65)</f>
        <v>1277.65</v>
      </c>
      <c r="E717" s="2">
        <f>IFERROR(__xludf.DUMMYFUNCTION("""COMPUTED_VALUE"""),1277.65)</f>
        <v>1277.65</v>
      </c>
      <c r="F717" s="2">
        <f>IFERROR(__xludf.DUMMYFUNCTION("""COMPUTED_VALUE"""),3558700.0)</f>
        <v>3558700</v>
      </c>
      <c r="G717" s="2">
        <f t="shared" si="1"/>
        <v>24.39</v>
      </c>
    </row>
    <row r="718" ht="15.75" customHeight="1">
      <c r="A718" s="1">
        <f>IFERROR(__xludf.DUMMYFUNCTION("""COMPUTED_VALUE"""),44901.66666666667)</f>
        <v>44901.66667</v>
      </c>
      <c r="B718" s="2">
        <f>IFERROR(__xludf.DUMMYFUNCTION("""COMPUTED_VALUE"""),1277.65)</f>
        <v>1277.65</v>
      </c>
      <c r="C718" s="2">
        <f>IFERROR(__xludf.DUMMYFUNCTION("""COMPUTED_VALUE"""),1277.65)</f>
        <v>1277.65</v>
      </c>
      <c r="D718" s="2">
        <f>IFERROR(__xludf.DUMMYFUNCTION("""COMPUTED_VALUE"""),1253.27)</f>
        <v>1253.27</v>
      </c>
      <c r="E718" s="2">
        <f>IFERROR(__xludf.DUMMYFUNCTION("""COMPUTED_VALUE"""),1263.02)</f>
        <v>1263.02</v>
      </c>
      <c r="F718" s="2">
        <f>IFERROR(__xludf.DUMMYFUNCTION("""COMPUTED_VALUE"""),5370100.0)</f>
        <v>5370100</v>
      </c>
      <c r="G718" s="2">
        <f t="shared" si="1"/>
        <v>24.38</v>
      </c>
    </row>
    <row r="719" ht="15.75" customHeight="1">
      <c r="A719" s="1">
        <f>IFERROR(__xludf.DUMMYFUNCTION("""COMPUTED_VALUE"""),44902.66666666667)</f>
        <v>44902.66667</v>
      </c>
      <c r="B719" s="2">
        <f>IFERROR(__xludf.DUMMYFUNCTION("""COMPUTED_VALUE"""),1263.02)</f>
        <v>1263.02</v>
      </c>
      <c r="C719" s="2">
        <f>IFERROR(__xludf.DUMMYFUNCTION("""COMPUTED_VALUE"""),1267.9)</f>
        <v>1267.9</v>
      </c>
      <c r="D719" s="2">
        <f>IFERROR(__xludf.DUMMYFUNCTION("""COMPUTED_VALUE"""),1238.64)</f>
        <v>1238.64</v>
      </c>
      <c r="E719" s="2">
        <f>IFERROR(__xludf.DUMMYFUNCTION("""COMPUTED_VALUE"""),1238.64)</f>
        <v>1238.64</v>
      </c>
      <c r="F719" s="2">
        <f>IFERROR(__xludf.DUMMYFUNCTION("""COMPUTED_VALUE"""),3918700.0)</f>
        <v>3918700</v>
      </c>
      <c r="G719" s="2">
        <f t="shared" si="1"/>
        <v>29.26</v>
      </c>
    </row>
    <row r="720" ht="15.75" customHeight="1">
      <c r="A720" s="1">
        <f>IFERROR(__xludf.DUMMYFUNCTION("""COMPUTED_VALUE"""),44903.66666666667)</f>
        <v>44903.66667</v>
      </c>
      <c r="B720" s="2">
        <f>IFERROR(__xludf.DUMMYFUNCTION("""COMPUTED_VALUE"""),1219.14)</f>
        <v>1219.14</v>
      </c>
      <c r="C720" s="2">
        <f>IFERROR(__xludf.DUMMYFUNCTION("""COMPUTED_VALUE"""),1258.15)</f>
        <v>1258.15</v>
      </c>
      <c r="D720" s="2">
        <f>IFERROR(__xludf.DUMMYFUNCTION("""COMPUTED_VALUE"""),1155.74)</f>
        <v>1155.74</v>
      </c>
      <c r="E720" s="2">
        <f>IFERROR(__xludf.DUMMYFUNCTION("""COMPUTED_VALUE"""),1233.77)</f>
        <v>1233.77</v>
      </c>
      <c r="F720" s="2">
        <f>IFERROR(__xludf.DUMMYFUNCTION("""COMPUTED_VALUE"""),2.32976E7)</f>
        <v>23297600</v>
      </c>
      <c r="G720" s="2">
        <f t="shared" si="1"/>
        <v>102.41</v>
      </c>
    </row>
    <row r="721" ht="15.75" customHeight="1">
      <c r="A721" s="1">
        <f>IFERROR(__xludf.DUMMYFUNCTION("""COMPUTED_VALUE"""),44904.66666666667)</f>
        <v>44904.66667</v>
      </c>
      <c r="B721" s="2">
        <f>IFERROR(__xludf.DUMMYFUNCTION("""COMPUTED_VALUE"""),1228.89)</f>
        <v>1228.89</v>
      </c>
      <c r="C721" s="2">
        <f>IFERROR(__xludf.DUMMYFUNCTION("""COMPUTED_VALUE"""),1238.64)</f>
        <v>1238.64</v>
      </c>
      <c r="D721" s="2">
        <f>IFERROR(__xludf.DUMMYFUNCTION("""COMPUTED_VALUE"""),1194.75)</f>
        <v>1194.75</v>
      </c>
      <c r="E721" s="2">
        <f>IFERROR(__xludf.DUMMYFUNCTION("""COMPUTED_VALUE"""),1199.63)</f>
        <v>1199.63</v>
      </c>
      <c r="F721" s="2">
        <f>IFERROR(__xludf.DUMMYFUNCTION("""COMPUTED_VALUE"""),8244400.0)</f>
        <v>8244400</v>
      </c>
      <c r="G721" s="2">
        <f t="shared" si="1"/>
        <v>43.89</v>
      </c>
    </row>
    <row r="722" ht="15.75" customHeight="1">
      <c r="A722" s="1">
        <f>IFERROR(__xludf.DUMMYFUNCTION("""COMPUTED_VALUE"""),44907.66666666667)</f>
        <v>44907.66667</v>
      </c>
      <c r="B722" s="2">
        <f>IFERROR(__xludf.DUMMYFUNCTION("""COMPUTED_VALUE"""),1199.63)</f>
        <v>1199.63</v>
      </c>
      <c r="C722" s="2">
        <f>IFERROR(__xludf.DUMMYFUNCTION("""COMPUTED_VALUE"""),1219.14)</f>
        <v>1219.14</v>
      </c>
      <c r="D722" s="2">
        <f>IFERROR(__xludf.DUMMYFUNCTION("""COMPUTED_VALUE"""),1175.25)</f>
        <v>1175.25</v>
      </c>
      <c r="E722" s="2">
        <f>IFERROR(__xludf.DUMMYFUNCTION("""COMPUTED_VALUE"""),1214.26)</f>
        <v>1214.26</v>
      </c>
      <c r="F722" s="2">
        <f>IFERROR(__xludf.DUMMYFUNCTION("""COMPUTED_VALUE"""),8287500.0)</f>
        <v>8287500</v>
      </c>
      <c r="G722" s="2">
        <f t="shared" si="1"/>
        <v>43.89</v>
      </c>
    </row>
    <row r="723" ht="15.75" customHeight="1">
      <c r="A723" s="1">
        <f>IFERROR(__xludf.DUMMYFUNCTION("""COMPUTED_VALUE"""),44908.66666666667)</f>
        <v>44908.66667</v>
      </c>
      <c r="B723" s="2">
        <f>IFERROR(__xludf.DUMMYFUNCTION("""COMPUTED_VALUE"""),1214.26)</f>
        <v>1214.26</v>
      </c>
      <c r="C723" s="2">
        <f>IFERROR(__xludf.DUMMYFUNCTION("""COMPUTED_VALUE"""),1263.02)</f>
        <v>1263.02</v>
      </c>
      <c r="D723" s="2">
        <f>IFERROR(__xludf.DUMMYFUNCTION("""COMPUTED_VALUE"""),1214.26)</f>
        <v>1214.26</v>
      </c>
      <c r="E723" s="2">
        <f>IFERROR(__xludf.DUMMYFUNCTION("""COMPUTED_VALUE"""),1263.02)</f>
        <v>1263.02</v>
      </c>
      <c r="F723" s="2">
        <f>IFERROR(__xludf.DUMMYFUNCTION("""COMPUTED_VALUE"""),2.33645E7)</f>
        <v>23364500</v>
      </c>
      <c r="G723" s="2">
        <f t="shared" si="1"/>
        <v>48.76</v>
      </c>
    </row>
    <row r="724" ht="15.75" customHeight="1">
      <c r="A724" s="1">
        <f>IFERROR(__xludf.DUMMYFUNCTION("""COMPUTED_VALUE"""),44909.66666666667)</f>
        <v>44909.66667</v>
      </c>
      <c r="B724" s="2">
        <f>IFERROR(__xludf.DUMMYFUNCTION("""COMPUTED_VALUE"""),1285.0)</f>
        <v>1285</v>
      </c>
      <c r="C724" s="2">
        <f>IFERROR(__xludf.DUMMYFUNCTION("""COMPUTED_VALUE"""),1285.0)</f>
        <v>1285</v>
      </c>
      <c r="D724" s="2">
        <f>IFERROR(__xludf.DUMMYFUNCTION("""COMPUTED_VALUE"""),1200.0)</f>
        <v>1200</v>
      </c>
      <c r="E724" s="2">
        <f>IFERROR(__xludf.DUMMYFUNCTION("""COMPUTED_VALUE"""),1215.0)</f>
        <v>1215</v>
      </c>
      <c r="F724" s="2">
        <f>IFERROR(__xludf.DUMMYFUNCTION("""COMPUTED_VALUE"""),2.13804E7)</f>
        <v>21380400</v>
      </c>
      <c r="G724" s="2">
        <f t="shared" si="1"/>
        <v>85</v>
      </c>
    </row>
    <row r="725" ht="15.75" customHeight="1">
      <c r="A725" s="1">
        <f>IFERROR(__xludf.DUMMYFUNCTION("""COMPUTED_VALUE"""),44910.66666666667)</f>
        <v>44910.66667</v>
      </c>
      <c r="B725" s="2">
        <f>IFERROR(__xludf.DUMMYFUNCTION("""COMPUTED_VALUE"""),1215.0)</f>
        <v>1215</v>
      </c>
      <c r="C725" s="2">
        <f>IFERROR(__xludf.DUMMYFUNCTION("""COMPUTED_VALUE"""),1230.0)</f>
        <v>1230</v>
      </c>
      <c r="D725" s="2">
        <f>IFERROR(__xludf.DUMMYFUNCTION("""COMPUTED_VALUE"""),1200.0)</f>
        <v>1200</v>
      </c>
      <c r="E725" s="2">
        <f>IFERROR(__xludf.DUMMYFUNCTION("""COMPUTED_VALUE"""),1210.0)</f>
        <v>1210</v>
      </c>
      <c r="F725" s="2">
        <f>IFERROR(__xludf.DUMMYFUNCTION("""COMPUTED_VALUE"""),7163500.0)</f>
        <v>7163500</v>
      </c>
      <c r="G725" s="2">
        <f t="shared" si="1"/>
        <v>30</v>
      </c>
    </row>
    <row r="726" ht="15.75" customHeight="1">
      <c r="A726" s="1">
        <f>IFERROR(__xludf.DUMMYFUNCTION("""COMPUTED_VALUE"""),44911.66666666667)</f>
        <v>44911.66667</v>
      </c>
      <c r="B726" s="2">
        <f>IFERROR(__xludf.DUMMYFUNCTION("""COMPUTED_VALUE"""),1205.0)</f>
        <v>1205</v>
      </c>
      <c r="C726" s="2">
        <f>IFERROR(__xludf.DUMMYFUNCTION("""COMPUTED_VALUE"""),1220.0)</f>
        <v>1220</v>
      </c>
      <c r="D726" s="2">
        <f>IFERROR(__xludf.DUMMYFUNCTION("""COMPUTED_VALUE"""),1200.0)</f>
        <v>1200</v>
      </c>
      <c r="E726" s="2">
        <f>IFERROR(__xludf.DUMMYFUNCTION("""COMPUTED_VALUE"""),1200.0)</f>
        <v>1200</v>
      </c>
      <c r="F726" s="2">
        <f>IFERROR(__xludf.DUMMYFUNCTION("""COMPUTED_VALUE"""),1.60514E7)</f>
        <v>16051400</v>
      </c>
      <c r="G726" s="2">
        <f t="shared" si="1"/>
        <v>20</v>
      </c>
    </row>
    <row r="727" ht="15.75" customHeight="1">
      <c r="A727" s="1">
        <f>IFERROR(__xludf.DUMMYFUNCTION("""COMPUTED_VALUE"""),44914.66666666667)</f>
        <v>44914.66667</v>
      </c>
      <c r="B727" s="2">
        <f>IFERROR(__xludf.DUMMYFUNCTION("""COMPUTED_VALUE"""),1200.0)</f>
        <v>1200</v>
      </c>
      <c r="C727" s="2">
        <f>IFERROR(__xludf.DUMMYFUNCTION("""COMPUTED_VALUE"""),1200.0)</f>
        <v>1200</v>
      </c>
      <c r="D727" s="2">
        <f>IFERROR(__xludf.DUMMYFUNCTION("""COMPUTED_VALUE"""),1120.0)</f>
        <v>1120</v>
      </c>
      <c r="E727" s="2">
        <f>IFERROR(__xludf.DUMMYFUNCTION("""COMPUTED_VALUE"""),1120.0)</f>
        <v>1120</v>
      </c>
      <c r="F727" s="2">
        <f>IFERROR(__xludf.DUMMYFUNCTION("""COMPUTED_VALUE"""),3.56695E7)</f>
        <v>35669500</v>
      </c>
      <c r="G727" s="2">
        <f t="shared" si="1"/>
        <v>80</v>
      </c>
    </row>
    <row r="728" ht="15.75" customHeight="1">
      <c r="A728" s="1">
        <f>IFERROR(__xludf.DUMMYFUNCTION("""COMPUTED_VALUE"""),44915.66666666667)</f>
        <v>44915.66667</v>
      </c>
      <c r="B728" s="2">
        <f>IFERROR(__xludf.DUMMYFUNCTION("""COMPUTED_VALUE"""),1120.0)</f>
        <v>1120</v>
      </c>
      <c r="C728" s="2">
        <f>IFERROR(__xludf.DUMMYFUNCTION("""COMPUTED_VALUE"""),1140.0)</f>
        <v>1140</v>
      </c>
      <c r="D728" s="2">
        <f>IFERROR(__xludf.DUMMYFUNCTION("""COMPUTED_VALUE"""),1095.0)</f>
        <v>1095</v>
      </c>
      <c r="E728" s="2">
        <f>IFERROR(__xludf.DUMMYFUNCTION("""COMPUTED_VALUE"""),1100.0)</f>
        <v>1100</v>
      </c>
      <c r="F728" s="2">
        <f>IFERROR(__xludf.DUMMYFUNCTION("""COMPUTED_VALUE"""),2.94062E7)</f>
        <v>29406200</v>
      </c>
      <c r="G728" s="2">
        <f t="shared" si="1"/>
        <v>45</v>
      </c>
    </row>
    <row r="729" ht="15.75" customHeight="1">
      <c r="A729" s="1">
        <f>IFERROR(__xludf.DUMMYFUNCTION("""COMPUTED_VALUE"""),44916.66666666667)</f>
        <v>44916.66667</v>
      </c>
      <c r="B729" s="2">
        <f>IFERROR(__xludf.DUMMYFUNCTION("""COMPUTED_VALUE"""),1100.0)</f>
        <v>1100</v>
      </c>
      <c r="C729" s="2">
        <f>IFERROR(__xludf.DUMMYFUNCTION("""COMPUTED_VALUE"""),1200.0)</f>
        <v>1200</v>
      </c>
      <c r="D729" s="2">
        <f>IFERROR(__xludf.DUMMYFUNCTION("""COMPUTED_VALUE"""),1100.0)</f>
        <v>1100</v>
      </c>
      <c r="E729" s="2">
        <f>IFERROR(__xludf.DUMMYFUNCTION("""COMPUTED_VALUE"""),1150.0)</f>
        <v>1150</v>
      </c>
      <c r="F729" s="2">
        <f>IFERROR(__xludf.DUMMYFUNCTION("""COMPUTED_VALUE"""),6.2862E7)</f>
        <v>62862000</v>
      </c>
      <c r="G729" s="2">
        <f t="shared" si="1"/>
        <v>100</v>
      </c>
    </row>
    <row r="730" ht="15.75" customHeight="1">
      <c r="A730" s="1">
        <f>IFERROR(__xludf.DUMMYFUNCTION("""COMPUTED_VALUE"""),44917.66666666667)</f>
        <v>44917.66667</v>
      </c>
      <c r="B730" s="2">
        <f>IFERROR(__xludf.DUMMYFUNCTION("""COMPUTED_VALUE"""),1155.0)</f>
        <v>1155</v>
      </c>
      <c r="C730" s="2">
        <f>IFERROR(__xludf.DUMMYFUNCTION("""COMPUTED_VALUE"""),1240.0)</f>
        <v>1240</v>
      </c>
      <c r="D730" s="2">
        <f>IFERROR(__xludf.DUMMYFUNCTION("""COMPUTED_VALUE"""),1145.0)</f>
        <v>1145</v>
      </c>
      <c r="E730" s="2">
        <f>IFERROR(__xludf.DUMMYFUNCTION("""COMPUTED_VALUE"""),1220.0)</f>
        <v>1220</v>
      </c>
      <c r="F730" s="2">
        <f>IFERROR(__xludf.DUMMYFUNCTION("""COMPUTED_VALUE"""),7.14409E7)</f>
        <v>71440900</v>
      </c>
      <c r="G730" s="2">
        <f t="shared" si="1"/>
        <v>95</v>
      </c>
    </row>
    <row r="731" ht="15.75" customHeight="1">
      <c r="A731" s="1">
        <f>IFERROR(__xludf.DUMMYFUNCTION("""COMPUTED_VALUE"""),44918.66666666667)</f>
        <v>44918.66667</v>
      </c>
      <c r="B731" s="2">
        <f>IFERROR(__xludf.DUMMYFUNCTION("""COMPUTED_VALUE"""),1220.0)</f>
        <v>1220</v>
      </c>
      <c r="C731" s="2">
        <f>IFERROR(__xludf.DUMMYFUNCTION("""COMPUTED_VALUE"""),1265.0)</f>
        <v>1265</v>
      </c>
      <c r="D731" s="2">
        <f>IFERROR(__xludf.DUMMYFUNCTION("""COMPUTED_VALUE"""),1205.0)</f>
        <v>1205</v>
      </c>
      <c r="E731" s="2">
        <f>IFERROR(__xludf.DUMMYFUNCTION("""COMPUTED_VALUE"""),1215.0)</f>
        <v>1215</v>
      </c>
      <c r="F731" s="2">
        <f>IFERROR(__xludf.DUMMYFUNCTION("""COMPUTED_VALUE"""),6.44793E7)</f>
        <v>64479300</v>
      </c>
      <c r="G731" s="2">
        <f t="shared" si="1"/>
        <v>60</v>
      </c>
    </row>
    <row r="732" ht="15.75" customHeight="1">
      <c r="A732" s="1">
        <f>IFERROR(__xludf.DUMMYFUNCTION("""COMPUTED_VALUE"""),44921.66666666667)</f>
        <v>44921.66667</v>
      </c>
      <c r="B732" s="2">
        <f>IFERROR(__xludf.DUMMYFUNCTION("""COMPUTED_VALUE"""),1220.0)</f>
        <v>1220</v>
      </c>
      <c r="C732" s="2">
        <f>IFERROR(__xludf.DUMMYFUNCTION("""COMPUTED_VALUE"""),1355.0)</f>
        <v>1355</v>
      </c>
      <c r="D732" s="2">
        <f>IFERROR(__xludf.DUMMYFUNCTION("""COMPUTED_VALUE"""),1220.0)</f>
        <v>1220</v>
      </c>
      <c r="E732" s="2">
        <f>IFERROR(__xludf.DUMMYFUNCTION("""COMPUTED_VALUE"""),1310.0)</f>
        <v>1310</v>
      </c>
      <c r="F732" s="2">
        <f>IFERROR(__xludf.DUMMYFUNCTION("""COMPUTED_VALUE"""),7.85676E7)</f>
        <v>78567600</v>
      </c>
      <c r="G732" s="2">
        <f t="shared" si="1"/>
        <v>140</v>
      </c>
    </row>
    <row r="733" ht="15.75" customHeight="1">
      <c r="A733" s="1">
        <f>IFERROR(__xludf.DUMMYFUNCTION("""COMPUTED_VALUE"""),44922.66666666667)</f>
        <v>44922.66667</v>
      </c>
      <c r="B733" s="2">
        <f>IFERROR(__xludf.DUMMYFUNCTION("""COMPUTED_VALUE"""),1320.0)</f>
        <v>1320</v>
      </c>
      <c r="C733" s="2">
        <f>IFERROR(__xludf.DUMMYFUNCTION("""COMPUTED_VALUE"""),1365.0)</f>
        <v>1365</v>
      </c>
      <c r="D733" s="2">
        <f>IFERROR(__xludf.DUMMYFUNCTION("""COMPUTED_VALUE"""),1255.0)</f>
        <v>1255</v>
      </c>
      <c r="E733" s="2">
        <f>IFERROR(__xludf.DUMMYFUNCTION("""COMPUTED_VALUE"""),1280.0)</f>
        <v>1280</v>
      </c>
      <c r="F733" s="2">
        <f>IFERROR(__xludf.DUMMYFUNCTION("""COMPUTED_VALUE"""),5.69487E7)</f>
        <v>56948700</v>
      </c>
      <c r="G733" s="2">
        <f t="shared" si="1"/>
        <v>110</v>
      </c>
    </row>
    <row r="734" ht="15.75" customHeight="1">
      <c r="A734" s="1">
        <f>IFERROR(__xludf.DUMMYFUNCTION("""COMPUTED_VALUE"""),44923.66666666667)</f>
        <v>44923.66667</v>
      </c>
      <c r="B734" s="2">
        <f>IFERROR(__xludf.DUMMYFUNCTION("""COMPUTED_VALUE"""),1280.0)</f>
        <v>1280</v>
      </c>
      <c r="C734" s="2">
        <f>IFERROR(__xludf.DUMMYFUNCTION("""COMPUTED_VALUE"""),1310.0)</f>
        <v>1310</v>
      </c>
      <c r="D734" s="2">
        <f>IFERROR(__xludf.DUMMYFUNCTION("""COMPUTED_VALUE"""),1255.0)</f>
        <v>1255</v>
      </c>
      <c r="E734" s="2">
        <f>IFERROR(__xludf.DUMMYFUNCTION("""COMPUTED_VALUE"""),1270.0)</f>
        <v>1270</v>
      </c>
      <c r="F734" s="2">
        <f>IFERROR(__xludf.DUMMYFUNCTION("""COMPUTED_VALUE"""),3.41634E7)</f>
        <v>34163400</v>
      </c>
      <c r="G734" s="2">
        <f t="shared" si="1"/>
        <v>55</v>
      </c>
    </row>
    <row r="735" ht="15.75" customHeight="1">
      <c r="A735" s="1">
        <f>IFERROR(__xludf.DUMMYFUNCTION("""COMPUTED_VALUE"""),44924.66666666667)</f>
        <v>44924.66667</v>
      </c>
      <c r="B735" s="2">
        <f>IFERROR(__xludf.DUMMYFUNCTION("""COMPUTED_VALUE"""),1280.0)</f>
        <v>1280</v>
      </c>
      <c r="C735" s="2">
        <f>IFERROR(__xludf.DUMMYFUNCTION("""COMPUTED_VALUE"""),1300.0)</f>
        <v>1300</v>
      </c>
      <c r="D735" s="2">
        <f>IFERROR(__xludf.DUMMYFUNCTION("""COMPUTED_VALUE"""),1260.0)</f>
        <v>1260</v>
      </c>
      <c r="E735" s="2">
        <f>IFERROR(__xludf.DUMMYFUNCTION("""COMPUTED_VALUE"""),1290.0)</f>
        <v>1290</v>
      </c>
      <c r="F735" s="2">
        <f>IFERROR(__xludf.DUMMYFUNCTION("""COMPUTED_VALUE"""),2.00336E7)</f>
        <v>20033600</v>
      </c>
      <c r="G735" s="2">
        <f t="shared" si="1"/>
        <v>40</v>
      </c>
    </row>
    <row r="736" ht="15.75" customHeight="1">
      <c r="A736" s="1">
        <f>IFERROR(__xludf.DUMMYFUNCTION("""COMPUTED_VALUE"""),44925.66666666667)</f>
        <v>44925.66667</v>
      </c>
      <c r="B736" s="2">
        <f>IFERROR(__xludf.DUMMYFUNCTION("""COMPUTED_VALUE"""),1295.0)</f>
        <v>1295</v>
      </c>
      <c r="C736" s="2">
        <f>IFERROR(__xludf.DUMMYFUNCTION("""COMPUTED_VALUE"""),1310.0)</f>
        <v>1310</v>
      </c>
      <c r="D736" s="2">
        <f>IFERROR(__xludf.DUMMYFUNCTION("""COMPUTED_VALUE"""),1270.0)</f>
        <v>1270</v>
      </c>
      <c r="E736" s="2">
        <f>IFERROR(__xludf.DUMMYFUNCTION("""COMPUTED_VALUE"""),1290.0)</f>
        <v>1290</v>
      </c>
      <c r="F736" s="2">
        <f>IFERROR(__xludf.DUMMYFUNCTION("""COMPUTED_VALUE"""),1.8916E7)</f>
        <v>18916000</v>
      </c>
      <c r="G736" s="2">
        <f t="shared" si="1"/>
        <v>40</v>
      </c>
    </row>
    <row r="737" ht="15.75" customHeight="1">
      <c r="A737" s="1">
        <f>IFERROR(__xludf.DUMMYFUNCTION("""COMPUTED_VALUE"""),44928.66666666667)</f>
        <v>44928.66667</v>
      </c>
      <c r="B737" s="2">
        <f>IFERROR(__xludf.DUMMYFUNCTION("""COMPUTED_VALUE"""),1300.0)</f>
        <v>1300</v>
      </c>
      <c r="C737" s="2">
        <f>IFERROR(__xludf.DUMMYFUNCTION("""COMPUTED_VALUE"""),1305.0)</f>
        <v>1305</v>
      </c>
      <c r="D737" s="2">
        <f>IFERROR(__xludf.DUMMYFUNCTION("""COMPUTED_VALUE"""),1265.0)</f>
        <v>1265</v>
      </c>
      <c r="E737" s="2">
        <f>IFERROR(__xludf.DUMMYFUNCTION("""COMPUTED_VALUE"""),1285.0)</f>
        <v>1285</v>
      </c>
      <c r="F737" s="2">
        <f>IFERROR(__xludf.DUMMYFUNCTION("""COMPUTED_VALUE"""),1.06611E7)</f>
        <v>10661100</v>
      </c>
      <c r="G737" s="2">
        <f t="shared" si="1"/>
        <v>40</v>
      </c>
    </row>
    <row r="738" ht="15.75" customHeight="1">
      <c r="A738" s="1">
        <f>IFERROR(__xludf.DUMMYFUNCTION("""COMPUTED_VALUE"""),44929.66666666667)</f>
        <v>44929.66667</v>
      </c>
      <c r="B738" s="2">
        <f>IFERROR(__xludf.DUMMYFUNCTION("""COMPUTED_VALUE"""),1285.0)</f>
        <v>1285</v>
      </c>
      <c r="C738" s="2">
        <f>IFERROR(__xludf.DUMMYFUNCTION("""COMPUTED_VALUE"""),1395.0)</f>
        <v>1395</v>
      </c>
      <c r="D738" s="2">
        <f>IFERROR(__xludf.DUMMYFUNCTION("""COMPUTED_VALUE"""),1280.0)</f>
        <v>1280</v>
      </c>
      <c r="E738" s="2">
        <f>IFERROR(__xludf.DUMMYFUNCTION("""COMPUTED_VALUE"""),1395.0)</f>
        <v>1395</v>
      </c>
      <c r="F738" s="2">
        <f>IFERROR(__xludf.DUMMYFUNCTION("""COMPUTED_VALUE"""),6.96739E7)</f>
        <v>69673900</v>
      </c>
      <c r="G738" s="2">
        <f t="shared" si="1"/>
        <v>115</v>
      </c>
    </row>
    <row r="739" ht="15.75" customHeight="1">
      <c r="A739" s="1">
        <f>IFERROR(__xludf.DUMMYFUNCTION("""COMPUTED_VALUE"""),44930.66666666667)</f>
        <v>44930.66667</v>
      </c>
      <c r="B739" s="2">
        <f>IFERROR(__xludf.DUMMYFUNCTION("""COMPUTED_VALUE"""),1390.0)</f>
        <v>1390</v>
      </c>
      <c r="C739" s="2">
        <f>IFERROR(__xludf.DUMMYFUNCTION("""COMPUTED_VALUE"""),1425.0)</f>
        <v>1425</v>
      </c>
      <c r="D739" s="2">
        <f>IFERROR(__xludf.DUMMYFUNCTION("""COMPUTED_VALUE"""),1385.0)</f>
        <v>1385</v>
      </c>
      <c r="E739" s="2">
        <f>IFERROR(__xludf.DUMMYFUNCTION("""COMPUTED_VALUE"""),1385.0)</f>
        <v>1385</v>
      </c>
      <c r="F739" s="2">
        <f>IFERROR(__xludf.DUMMYFUNCTION("""COMPUTED_VALUE"""),5.82147E7)</f>
        <v>58214700</v>
      </c>
      <c r="G739" s="2">
        <f t="shared" si="1"/>
        <v>40</v>
      </c>
    </row>
    <row r="740" ht="15.75" customHeight="1">
      <c r="A740" s="1">
        <f>IFERROR(__xludf.DUMMYFUNCTION("""COMPUTED_VALUE"""),44931.66666666667)</f>
        <v>44931.66667</v>
      </c>
      <c r="B740" s="2">
        <f>IFERROR(__xludf.DUMMYFUNCTION("""COMPUTED_VALUE"""),1385.0)</f>
        <v>1385</v>
      </c>
      <c r="C740" s="2">
        <f>IFERROR(__xludf.DUMMYFUNCTION("""COMPUTED_VALUE"""),1390.0)</f>
        <v>1390</v>
      </c>
      <c r="D740" s="2">
        <f>IFERROR(__xludf.DUMMYFUNCTION("""COMPUTED_VALUE"""),1330.0)</f>
        <v>1330</v>
      </c>
      <c r="E740" s="2">
        <f>IFERROR(__xludf.DUMMYFUNCTION("""COMPUTED_VALUE"""),1335.0)</f>
        <v>1335</v>
      </c>
      <c r="F740" s="2">
        <f>IFERROR(__xludf.DUMMYFUNCTION("""COMPUTED_VALUE"""),3.59441E7)</f>
        <v>35944100</v>
      </c>
      <c r="G740" s="2">
        <f t="shared" si="1"/>
        <v>60</v>
      </c>
    </row>
    <row r="741" ht="15.75" customHeight="1">
      <c r="A741" s="1">
        <f>IFERROR(__xludf.DUMMYFUNCTION("""COMPUTED_VALUE"""),44932.66666666667)</f>
        <v>44932.66667</v>
      </c>
      <c r="B741" s="2">
        <f>IFERROR(__xludf.DUMMYFUNCTION("""COMPUTED_VALUE"""),1330.0)</f>
        <v>1330</v>
      </c>
      <c r="C741" s="2">
        <f>IFERROR(__xludf.DUMMYFUNCTION("""COMPUTED_VALUE"""),1415.0)</f>
        <v>1415</v>
      </c>
      <c r="D741" s="2">
        <f>IFERROR(__xludf.DUMMYFUNCTION("""COMPUTED_VALUE"""),1320.0)</f>
        <v>1320</v>
      </c>
      <c r="E741" s="2">
        <f>IFERROR(__xludf.DUMMYFUNCTION("""COMPUTED_VALUE"""),1390.0)</f>
        <v>1390</v>
      </c>
      <c r="F741" s="2">
        <f>IFERROR(__xludf.DUMMYFUNCTION("""COMPUTED_VALUE"""),4.38794E7)</f>
        <v>43879400</v>
      </c>
      <c r="G741" s="2">
        <f t="shared" si="1"/>
        <v>95</v>
      </c>
    </row>
    <row r="742" ht="15.75" customHeight="1">
      <c r="A742" s="1">
        <f>IFERROR(__xludf.DUMMYFUNCTION("""COMPUTED_VALUE"""),44935.66666666667)</f>
        <v>44935.66667</v>
      </c>
      <c r="B742" s="2">
        <f>IFERROR(__xludf.DUMMYFUNCTION("""COMPUTED_VALUE"""),1400.0)</f>
        <v>1400</v>
      </c>
      <c r="C742" s="2">
        <f>IFERROR(__xludf.DUMMYFUNCTION("""COMPUTED_VALUE"""),1405.0)</f>
        <v>1405</v>
      </c>
      <c r="D742" s="2">
        <f>IFERROR(__xludf.DUMMYFUNCTION("""COMPUTED_VALUE"""),1350.0)</f>
        <v>1350</v>
      </c>
      <c r="E742" s="2">
        <f>IFERROR(__xludf.DUMMYFUNCTION("""COMPUTED_VALUE"""),1365.0)</f>
        <v>1365</v>
      </c>
      <c r="F742" s="2">
        <f>IFERROR(__xludf.DUMMYFUNCTION("""COMPUTED_VALUE"""),2.92547E7)</f>
        <v>29254700</v>
      </c>
      <c r="G742" s="2">
        <f t="shared" si="1"/>
        <v>55</v>
      </c>
    </row>
    <row r="743" ht="15.75" customHeight="1">
      <c r="A743" s="1">
        <f>IFERROR(__xludf.DUMMYFUNCTION("""COMPUTED_VALUE"""),44936.66666666667)</f>
        <v>44936.66667</v>
      </c>
      <c r="B743" s="2">
        <f>IFERROR(__xludf.DUMMYFUNCTION("""COMPUTED_VALUE"""),1365.0)</f>
        <v>1365</v>
      </c>
      <c r="C743" s="2">
        <f>IFERROR(__xludf.DUMMYFUNCTION("""COMPUTED_VALUE"""),1370.0)</f>
        <v>1370</v>
      </c>
      <c r="D743" s="2">
        <f>IFERROR(__xludf.DUMMYFUNCTION("""COMPUTED_VALUE"""),1305.0)</f>
        <v>1305</v>
      </c>
      <c r="E743" s="2">
        <f>IFERROR(__xludf.DUMMYFUNCTION("""COMPUTED_VALUE"""),1325.0)</f>
        <v>1325</v>
      </c>
      <c r="F743" s="2">
        <f>IFERROR(__xludf.DUMMYFUNCTION("""COMPUTED_VALUE"""),1.91595E7)</f>
        <v>19159500</v>
      </c>
      <c r="G743" s="2">
        <f t="shared" si="1"/>
        <v>65</v>
      </c>
    </row>
    <row r="744" ht="15.75" customHeight="1">
      <c r="A744" s="1">
        <f>IFERROR(__xludf.DUMMYFUNCTION("""COMPUTED_VALUE"""),44937.66666666667)</f>
        <v>44937.66667</v>
      </c>
      <c r="B744" s="2">
        <f>IFERROR(__xludf.DUMMYFUNCTION("""COMPUTED_VALUE"""),1325.0)</f>
        <v>1325</v>
      </c>
      <c r="C744" s="2">
        <f>IFERROR(__xludf.DUMMYFUNCTION("""COMPUTED_VALUE"""),1340.0)</f>
        <v>1340</v>
      </c>
      <c r="D744" s="2">
        <f>IFERROR(__xludf.DUMMYFUNCTION("""COMPUTED_VALUE"""),1285.0)</f>
        <v>1285</v>
      </c>
      <c r="E744" s="2">
        <f>IFERROR(__xludf.DUMMYFUNCTION("""COMPUTED_VALUE"""),1335.0)</f>
        <v>1335</v>
      </c>
      <c r="F744" s="2">
        <f>IFERROR(__xludf.DUMMYFUNCTION("""COMPUTED_VALUE"""),2.19266E7)</f>
        <v>21926600</v>
      </c>
      <c r="G744" s="2">
        <f t="shared" si="1"/>
        <v>55</v>
      </c>
    </row>
    <row r="745" ht="15.75" customHeight="1">
      <c r="A745" s="1">
        <f>IFERROR(__xludf.DUMMYFUNCTION("""COMPUTED_VALUE"""),44938.66666666667)</f>
        <v>44938.66667</v>
      </c>
      <c r="B745" s="2">
        <f>IFERROR(__xludf.DUMMYFUNCTION("""COMPUTED_VALUE"""),1340.0)</f>
        <v>1340</v>
      </c>
      <c r="C745" s="2">
        <f>IFERROR(__xludf.DUMMYFUNCTION("""COMPUTED_VALUE"""),1365.0)</f>
        <v>1365</v>
      </c>
      <c r="D745" s="2">
        <f>IFERROR(__xludf.DUMMYFUNCTION("""COMPUTED_VALUE"""),1320.0)</f>
        <v>1320</v>
      </c>
      <c r="E745" s="2">
        <f>IFERROR(__xludf.DUMMYFUNCTION("""COMPUTED_VALUE"""),1330.0)</f>
        <v>1330</v>
      </c>
      <c r="F745" s="2">
        <f>IFERROR(__xludf.DUMMYFUNCTION("""COMPUTED_VALUE"""),2.79482E7)</f>
        <v>27948200</v>
      </c>
      <c r="G745" s="2">
        <f t="shared" si="1"/>
        <v>45</v>
      </c>
    </row>
    <row r="746" ht="15.75" customHeight="1">
      <c r="A746" s="1">
        <f>IFERROR(__xludf.DUMMYFUNCTION("""COMPUTED_VALUE"""),44939.66666666667)</f>
        <v>44939.66667</v>
      </c>
      <c r="B746" s="2">
        <f>IFERROR(__xludf.DUMMYFUNCTION("""COMPUTED_VALUE"""),1335.0)</f>
        <v>1335</v>
      </c>
      <c r="C746" s="2">
        <f>IFERROR(__xludf.DUMMYFUNCTION("""COMPUTED_VALUE"""),1345.0)</f>
        <v>1345</v>
      </c>
      <c r="D746" s="2">
        <f>IFERROR(__xludf.DUMMYFUNCTION("""COMPUTED_VALUE"""),1310.0)</f>
        <v>1310</v>
      </c>
      <c r="E746" s="2">
        <f>IFERROR(__xludf.DUMMYFUNCTION("""COMPUTED_VALUE"""),1320.0)</f>
        <v>1320</v>
      </c>
      <c r="F746" s="2">
        <f>IFERROR(__xludf.DUMMYFUNCTION("""COMPUTED_VALUE"""),9097100.0)</f>
        <v>9097100</v>
      </c>
      <c r="G746" s="2">
        <f t="shared" si="1"/>
        <v>35</v>
      </c>
    </row>
    <row r="747" ht="15.75" customHeight="1">
      <c r="A747" s="1">
        <f>IFERROR(__xludf.DUMMYFUNCTION("""COMPUTED_VALUE"""),44942.66666666667)</f>
        <v>44942.66667</v>
      </c>
      <c r="B747" s="2">
        <f>IFERROR(__xludf.DUMMYFUNCTION("""COMPUTED_VALUE"""),1320.0)</f>
        <v>1320</v>
      </c>
      <c r="C747" s="2">
        <f>IFERROR(__xludf.DUMMYFUNCTION("""COMPUTED_VALUE"""),1350.0)</f>
        <v>1350</v>
      </c>
      <c r="D747" s="2">
        <f>IFERROR(__xludf.DUMMYFUNCTION("""COMPUTED_VALUE"""),1310.0)</f>
        <v>1310</v>
      </c>
      <c r="E747" s="2">
        <f>IFERROR(__xludf.DUMMYFUNCTION("""COMPUTED_VALUE"""),1330.0)</f>
        <v>1330</v>
      </c>
      <c r="F747" s="2">
        <f>IFERROR(__xludf.DUMMYFUNCTION("""COMPUTED_VALUE"""),1.35963E7)</f>
        <v>13596300</v>
      </c>
      <c r="G747" s="2">
        <f t="shared" si="1"/>
        <v>40</v>
      </c>
    </row>
    <row r="748" ht="15.75" customHeight="1">
      <c r="A748" s="1">
        <f>IFERROR(__xludf.DUMMYFUNCTION("""COMPUTED_VALUE"""),44943.66666666667)</f>
        <v>44943.66667</v>
      </c>
      <c r="B748" s="2">
        <f>IFERROR(__xludf.DUMMYFUNCTION("""COMPUTED_VALUE"""),1335.0)</f>
        <v>1335</v>
      </c>
      <c r="C748" s="2">
        <f>IFERROR(__xludf.DUMMYFUNCTION("""COMPUTED_VALUE"""),1380.0)</f>
        <v>1380</v>
      </c>
      <c r="D748" s="2">
        <f>IFERROR(__xludf.DUMMYFUNCTION("""COMPUTED_VALUE"""),1330.0)</f>
        <v>1330</v>
      </c>
      <c r="E748" s="2">
        <f>IFERROR(__xludf.DUMMYFUNCTION("""COMPUTED_VALUE"""),1350.0)</f>
        <v>1350</v>
      </c>
      <c r="F748" s="2">
        <f>IFERROR(__xludf.DUMMYFUNCTION("""COMPUTED_VALUE"""),2.21585E7)</f>
        <v>22158500</v>
      </c>
      <c r="G748" s="2">
        <f t="shared" si="1"/>
        <v>50</v>
      </c>
    </row>
    <row r="749" ht="15.75" customHeight="1">
      <c r="A749" s="1">
        <f>IFERROR(__xludf.DUMMYFUNCTION("""COMPUTED_VALUE"""),44944.66666666667)</f>
        <v>44944.66667</v>
      </c>
      <c r="B749" s="2">
        <f>IFERROR(__xludf.DUMMYFUNCTION("""COMPUTED_VALUE"""),1355.0)</f>
        <v>1355</v>
      </c>
      <c r="C749" s="2">
        <f>IFERROR(__xludf.DUMMYFUNCTION("""COMPUTED_VALUE"""),1365.0)</f>
        <v>1365</v>
      </c>
      <c r="D749" s="2">
        <f>IFERROR(__xludf.DUMMYFUNCTION("""COMPUTED_VALUE"""),1335.0)</f>
        <v>1335</v>
      </c>
      <c r="E749" s="2">
        <f>IFERROR(__xludf.DUMMYFUNCTION("""COMPUTED_VALUE"""),1350.0)</f>
        <v>1350</v>
      </c>
      <c r="F749" s="2">
        <f>IFERROR(__xludf.DUMMYFUNCTION("""COMPUTED_VALUE"""),8691400.0)</f>
        <v>8691400</v>
      </c>
      <c r="G749" s="2">
        <f t="shared" si="1"/>
        <v>30</v>
      </c>
    </row>
    <row r="750" ht="15.75" customHeight="1">
      <c r="A750" s="1">
        <f>IFERROR(__xludf.DUMMYFUNCTION("""COMPUTED_VALUE"""),44945.66666666667)</f>
        <v>44945.66667</v>
      </c>
      <c r="B750" s="2">
        <f>IFERROR(__xludf.DUMMYFUNCTION("""COMPUTED_VALUE"""),1350.0)</f>
        <v>1350</v>
      </c>
      <c r="C750" s="2">
        <f>IFERROR(__xludf.DUMMYFUNCTION("""COMPUTED_VALUE"""),1355.0)</f>
        <v>1355</v>
      </c>
      <c r="D750" s="2">
        <f>IFERROR(__xludf.DUMMYFUNCTION("""COMPUTED_VALUE"""),1335.0)</f>
        <v>1335</v>
      </c>
      <c r="E750" s="2">
        <f>IFERROR(__xludf.DUMMYFUNCTION("""COMPUTED_VALUE"""),1340.0)</f>
        <v>1340</v>
      </c>
      <c r="F750" s="2">
        <f>IFERROR(__xludf.DUMMYFUNCTION("""COMPUTED_VALUE"""),8683200.0)</f>
        <v>8683200</v>
      </c>
      <c r="G750" s="2">
        <f t="shared" si="1"/>
        <v>20</v>
      </c>
    </row>
    <row r="751" ht="15.75" customHeight="1">
      <c r="A751" s="1">
        <f>IFERROR(__xludf.DUMMYFUNCTION("""COMPUTED_VALUE"""),44946.66666666667)</f>
        <v>44946.66667</v>
      </c>
      <c r="B751" s="2">
        <f>IFERROR(__xludf.DUMMYFUNCTION("""COMPUTED_VALUE"""),1340.0)</f>
        <v>1340</v>
      </c>
      <c r="C751" s="2">
        <f>IFERROR(__xludf.DUMMYFUNCTION("""COMPUTED_VALUE"""),1395.0)</f>
        <v>1395</v>
      </c>
      <c r="D751" s="2">
        <f>IFERROR(__xludf.DUMMYFUNCTION("""COMPUTED_VALUE"""),1335.0)</f>
        <v>1335</v>
      </c>
      <c r="E751" s="2">
        <f>IFERROR(__xludf.DUMMYFUNCTION("""COMPUTED_VALUE"""),1385.0)</f>
        <v>1385</v>
      </c>
      <c r="F751" s="2">
        <f>IFERROR(__xludf.DUMMYFUNCTION("""COMPUTED_VALUE"""),4.25253E7)</f>
        <v>42525300</v>
      </c>
      <c r="G751" s="2">
        <f t="shared" si="1"/>
        <v>60</v>
      </c>
    </row>
    <row r="752" ht="15.75" customHeight="1">
      <c r="A752" s="1">
        <f>IFERROR(__xludf.DUMMYFUNCTION("""COMPUTED_VALUE"""),44950.66666666667)</f>
        <v>44950.66667</v>
      </c>
      <c r="B752" s="2">
        <f>IFERROR(__xludf.DUMMYFUNCTION("""COMPUTED_VALUE"""),1385.0)</f>
        <v>1385</v>
      </c>
      <c r="C752" s="2">
        <f>IFERROR(__xludf.DUMMYFUNCTION("""COMPUTED_VALUE"""),1390.0)</f>
        <v>1390</v>
      </c>
      <c r="D752" s="2">
        <f>IFERROR(__xludf.DUMMYFUNCTION("""COMPUTED_VALUE"""),1350.0)</f>
        <v>1350</v>
      </c>
      <c r="E752" s="2">
        <f>IFERROR(__xludf.DUMMYFUNCTION("""COMPUTED_VALUE"""),1375.0)</f>
        <v>1375</v>
      </c>
      <c r="F752" s="2">
        <f>IFERROR(__xludf.DUMMYFUNCTION("""COMPUTED_VALUE"""),2.58315E7)</f>
        <v>25831500</v>
      </c>
      <c r="G752" s="2">
        <f t="shared" si="1"/>
        <v>40</v>
      </c>
    </row>
    <row r="753" ht="15.75" customHeight="1">
      <c r="A753" s="1">
        <f>IFERROR(__xludf.DUMMYFUNCTION("""COMPUTED_VALUE"""),44951.66666666667)</f>
        <v>44951.66667</v>
      </c>
      <c r="B753" s="2">
        <f>IFERROR(__xludf.DUMMYFUNCTION("""COMPUTED_VALUE"""),1375.0)</f>
        <v>1375</v>
      </c>
      <c r="C753" s="2">
        <f>IFERROR(__xludf.DUMMYFUNCTION("""COMPUTED_VALUE"""),1385.0)</f>
        <v>1385</v>
      </c>
      <c r="D753" s="2">
        <f>IFERROR(__xludf.DUMMYFUNCTION("""COMPUTED_VALUE"""),1360.0)</f>
        <v>1360</v>
      </c>
      <c r="E753" s="2">
        <f>IFERROR(__xludf.DUMMYFUNCTION("""COMPUTED_VALUE"""),1375.0)</f>
        <v>1375</v>
      </c>
      <c r="F753" s="2">
        <f>IFERROR(__xludf.DUMMYFUNCTION("""COMPUTED_VALUE"""),1.43685E7)</f>
        <v>14368500</v>
      </c>
      <c r="G753" s="2">
        <f t="shared" si="1"/>
        <v>25</v>
      </c>
    </row>
    <row r="754" ht="15.75" customHeight="1">
      <c r="A754" s="1">
        <f>IFERROR(__xludf.DUMMYFUNCTION("""COMPUTED_VALUE"""),44952.66666666667)</f>
        <v>44952.66667</v>
      </c>
      <c r="B754" s="2">
        <f>IFERROR(__xludf.DUMMYFUNCTION("""COMPUTED_VALUE"""),1375.0)</f>
        <v>1375</v>
      </c>
      <c r="C754" s="2">
        <f>IFERROR(__xludf.DUMMYFUNCTION("""COMPUTED_VALUE"""),1445.0)</f>
        <v>1445</v>
      </c>
      <c r="D754" s="2">
        <f>IFERROR(__xludf.DUMMYFUNCTION("""COMPUTED_VALUE"""),1375.0)</f>
        <v>1375</v>
      </c>
      <c r="E754" s="2">
        <f>IFERROR(__xludf.DUMMYFUNCTION("""COMPUTED_VALUE"""),1420.0)</f>
        <v>1420</v>
      </c>
      <c r="F754" s="2">
        <f>IFERROR(__xludf.DUMMYFUNCTION("""COMPUTED_VALUE"""),9.88007E7)</f>
        <v>98800700</v>
      </c>
      <c r="G754" s="2">
        <f t="shared" si="1"/>
        <v>70</v>
      </c>
    </row>
    <row r="755" ht="15.75" customHeight="1">
      <c r="A755" s="1">
        <f>IFERROR(__xludf.DUMMYFUNCTION("""COMPUTED_VALUE"""),44953.66666666667)</f>
        <v>44953.66667</v>
      </c>
      <c r="B755" s="2">
        <f>IFERROR(__xludf.DUMMYFUNCTION("""COMPUTED_VALUE"""),1420.0)</f>
        <v>1420</v>
      </c>
      <c r="C755" s="2">
        <f>IFERROR(__xludf.DUMMYFUNCTION("""COMPUTED_VALUE"""),1425.0)</f>
        <v>1425</v>
      </c>
      <c r="D755" s="2">
        <f>IFERROR(__xludf.DUMMYFUNCTION("""COMPUTED_VALUE"""),1390.0)</f>
        <v>1390</v>
      </c>
      <c r="E755" s="2">
        <f>IFERROR(__xludf.DUMMYFUNCTION("""COMPUTED_VALUE"""),1390.0)</f>
        <v>1390</v>
      </c>
      <c r="F755" s="2">
        <f>IFERROR(__xludf.DUMMYFUNCTION("""COMPUTED_VALUE"""),5.46349E7)</f>
        <v>54634900</v>
      </c>
      <c r="G755" s="2">
        <f t="shared" si="1"/>
        <v>35</v>
      </c>
    </row>
    <row r="756" ht="15.75" customHeight="1">
      <c r="A756" s="1">
        <f>IFERROR(__xludf.DUMMYFUNCTION("""COMPUTED_VALUE"""),44956.66666666667)</f>
        <v>44956.66667</v>
      </c>
      <c r="B756" s="2">
        <f>IFERROR(__xludf.DUMMYFUNCTION("""COMPUTED_VALUE"""),1390.0)</f>
        <v>1390</v>
      </c>
      <c r="C756" s="2">
        <f>IFERROR(__xludf.DUMMYFUNCTION("""COMPUTED_VALUE"""),1415.0)</f>
        <v>1415</v>
      </c>
      <c r="D756" s="2">
        <f>IFERROR(__xludf.DUMMYFUNCTION("""COMPUTED_VALUE"""),1360.0)</f>
        <v>1360</v>
      </c>
      <c r="E756" s="2">
        <f>IFERROR(__xludf.DUMMYFUNCTION("""COMPUTED_VALUE"""),1380.0)</f>
        <v>1380</v>
      </c>
      <c r="F756" s="2">
        <f>IFERROR(__xludf.DUMMYFUNCTION("""COMPUTED_VALUE"""),4.48356E7)</f>
        <v>44835600</v>
      </c>
      <c r="G756" s="2">
        <f t="shared" si="1"/>
        <v>55</v>
      </c>
    </row>
    <row r="757" ht="15.75" customHeight="1">
      <c r="A757" s="1">
        <f>IFERROR(__xludf.DUMMYFUNCTION("""COMPUTED_VALUE"""),44957.66666666667)</f>
        <v>44957.66667</v>
      </c>
      <c r="B757" s="2">
        <f>IFERROR(__xludf.DUMMYFUNCTION("""COMPUTED_VALUE"""),1390.0)</f>
        <v>1390</v>
      </c>
      <c r="C757" s="2">
        <f>IFERROR(__xludf.DUMMYFUNCTION("""COMPUTED_VALUE"""),1395.0)</f>
        <v>1395</v>
      </c>
      <c r="D757" s="2">
        <f>IFERROR(__xludf.DUMMYFUNCTION("""COMPUTED_VALUE"""),1330.0)</f>
        <v>1330</v>
      </c>
      <c r="E757" s="2">
        <f>IFERROR(__xludf.DUMMYFUNCTION("""COMPUTED_VALUE"""),1335.0)</f>
        <v>1335</v>
      </c>
      <c r="F757" s="2">
        <f>IFERROR(__xludf.DUMMYFUNCTION("""COMPUTED_VALUE"""),3.64668E7)</f>
        <v>36466800</v>
      </c>
      <c r="G757" s="2">
        <f t="shared" si="1"/>
        <v>65</v>
      </c>
    </row>
    <row r="758" ht="15.75" customHeight="1">
      <c r="A758" s="1">
        <f>IFERROR(__xludf.DUMMYFUNCTION("""COMPUTED_VALUE"""),44958.66666666667)</f>
        <v>44958.66667</v>
      </c>
      <c r="B758" s="2">
        <f>IFERROR(__xludf.DUMMYFUNCTION("""COMPUTED_VALUE"""),1340.0)</f>
        <v>1340</v>
      </c>
      <c r="C758" s="2">
        <f>IFERROR(__xludf.DUMMYFUNCTION("""COMPUTED_VALUE"""),1365.0)</f>
        <v>1365</v>
      </c>
      <c r="D758" s="2">
        <f>IFERROR(__xludf.DUMMYFUNCTION("""COMPUTED_VALUE"""),1340.0)</f>
        <v>1340</v>
      </c>
      <c r="E758" s="2">
        <f>IFERROR(__xludf.DUMMYFUNCTION("""COMPUTED_VALUE"""),1345.0)</f>
        <v>1345</v>
      </c>
      <c r="F758" s="2">
        <f>IFERROR(__xludf.DUMMYFUNCTION("""COMPUTED_VALUE"""),3.18422E7)</f>
        <v>31842200</v>
      </c>
      <c r="G758" s="2">
        <f t="shared" si="1"/>
        <v>30</v>
      </c>
    </row>
    <row r="759" ht="15.75" customHeight="1">
      <c r="A759" s="1">
        <f>IFERROR(__xludf.DUMMYFUNCTION("""COMPUTED_VALUE"""),44959.66666666667)</f>
        <v>44959.66667</v>
      </c>
      <c r="B759" s="2">
        <f>IFERROR(__xludf.DUMMYFUNCTION("""COMPUTED_VALUE"""),1360.0)</f>
        <v>1360</v>
      </c>
      <c r="C759" s="2">
        <f>IFERROR(__xludf.DUMMYFUNCTION("""COMPUTED_VALUE"""),1370.0)</f>
        <v>1370</v>
      </c>
      <c r="D759" s="2">
        <f>IFERROR(__xludf.DUMMYFUNCTION("""COMPUTED_VALUE"""),1345.0)</f>
        <v>1345</v>
      </c>
      <c r="E759" s="2">
        <f>IFERROR(__xludf.DUMMYFUNCTION("""COMPUTED_VALUE"""),1350.0)</f>
        <v>1350</v>
      </c>
      <c r="F759" s="2">
        <f>IFERROR(__xludf.DUMMYFUNCTION("""COMPUTED_VALUE"""),2.11279E7)</f>
        <v>21127900</v>
      </c>
      <c r="G759" s="2">
        <f t="shared" si="1"/>
        <v>25</v>
      </c>
    </row>
    <row r="760" ht="15.75" customHeight="1">
      <c r="A760" s="1">
        <f>IFERROR(__xludf.DUMMYFUNCTION("""COMPUTED_VALUE"""),44960.66666666667)</f>
        <v>44960.66667</v>
      </c>
      <c r="B760" s="2">
        <f>IFERROR(__xludf.DUMMYFUNCTION("""COMPUTED_VALUE"""),1350.0)</f>
        <v>1350</v>
      </c>
      <c r="C760" s="2">
        <f>IFERROR(__xludf.DUMMYFUNCTION("""COMPUTED_VALUE"""),1375.0)</f>
        <v>1375</v>
      </c>
      <c r="D760" s="2">
        <f>IFERROR(__xludf.DUMMYFUNCTION("""COMPUTED_VALUE"""),1345.0)</f>
        <v>1345</v>
      </c>
      <c r="E760" s="2">
        <f>IFERROR(__xludf.DUMMYFUNCTION("""COMPUTED_VALUE"""),1360.0)</f>
        <v>1360</v>
      </c>
      <c r="F760" s="2">
        <f>IFERROR(__xludf.DUMMYFUNCTION("""COMPUTED_VALUE"""),2.28085E7)</f>
        <v>22808500</v>
      </c>
      <c r="G760" s="2">
        <f t="shared" si="1"/>
        <v>30</v>
      </c>
    </row>
    <row r="761" ht="15.75" customHeight="1">
      <c r="A761" s="1">
        <f>IFERROR(__xludf.DUMMYFUNCTION("""COMPUTED_VALUE"""),44963.66666666667)</f>
        <v>44963.66667</v>
      </c>
      <c r="B761" s="2">
        <f>IFERROR(__xludf.DUMMYFUNCTION("""COMPUTED_VALUE"""),1360.0)</f>
        <v>1360</v>
      </c>
      <c r="C761" s="2">
        <f>IFERROR(__xludf.DUMMYFUNCTION("""COMPUTED_VALUE"""),1365.0)</f>
        <v>1365</v>
      </c>
      <c r="D761" s="2">
        <f>IFERROR(__xludf.DUMMYFUNCTION("""COMPUTED_VALUE"""),1300.0)</f>
        <v>1300</v>
      </c>
      <c r="E761" s="2">
        <f>IFERROR(__xludf.DUMMYFUNCTION("""COMPUTED_VALUE"""),1315.0)</f>
        <v>1315</v>
      </c>
      <c r="F761" s="2">
        <f>IFERROR(__xludf.DUMMYFUNCTION("""COMPUTED_VALUE"""),3.26897E7)</f>
        <v>32689700</v>
      </c>
      <c r="G761" s="2">
        <f t="shared" si="1"/>
        <v>65</v>
      </c>
    </row>
    <row r="762" ht="15.75" customHeight="1">
      <c r="A762" s="1">
        <f>IFERROR(__xludf.DUMMYFUNCTION("""COMPUTED_VALUE"""),44964.66666666667)</f>
        <v>44964.66667</v>
      </c>
      <c r="B762" s="2">
        <f>IFERROR(__xludf.DUMMYFUNCTION("""COMPUTED_VALUE"""),1315.0)</f>
        <v>1315</v>
      </c>
      <c r="C762" s="2">
        <f>IFERROR(__xludf.DUMMYFUNCTION("""COMPUTED_VALUE"""),1335.0)</f>
        <v>1335</v>
      </c>
      <c r="D762" s="2">
        <f>IFERROR(__xludf.DUMMYFUNCTION("""COMPUTED_VALUE"""),1315.0)</f>
        <v>1315</v>
      </c>
      <c r="E762" s="2">
        <f>IFERROR(__xludf.DUMMYFUNCTION("""COMPUTED_VALUE"""),1330.0)</f>
        <v>1330</v>
      </c>
      <c r="F762" s="2">
        <f>IFERROR(__xludf.DUMMYFUNCTION("""COMPUTED_VALUE"""),1.59376E7)</f>
        <v>15937600</v>
      </c>
      <c r="G762" s="2">
        <f t="shared" si="1"/>
        <v>20</v>
      </c>
    </row>
    <row r="763" ht="15.75" customHeight="1">
      <c r="A763" s="1">
        <f>IFERROR(__xludf.DUMMYFUNCTION("""COMPUTED_VALUE"""),44965.66666666667)</f>
        <v>44965.66667</v>
      </c>
      <c r="B763" s="2">
        <f>IFERROR(__xludf.DUMMYFUNCTION("""COMPUTED_VALUE"""),1335.0)</f>
        <v>1335</v>
      </c>
      <c r="C763" s="2">
        <f>IFERROR(__xludf.DUMMYFUNCTION("""COMPUTED_VALUE"""),1350.0)</f>
        <v>1350</v>
      </c>
      <c r="D763" s="2">
        <f>IFERROR(__xludf.DUMMYFUNCTION("""COMPUTED_VALUE"""),1335.0)</f>
        <v>1335</v>
      </c>
      <c r="E763" s="2">
        <f>IFERROR(__xludf.DUMMYFUNCTION("""COMPUTED_VALUE"""),1335.0)</f>
        <v>1335</v>
      </c>
      <c r="F763" s="2">
        <f>IFERROR(__xludf.DUMMYFUNCTION("""COMPUTED_VALUE"""),1.07304E7)</f>
        <v>10730400</v>
      </c>
      <c r="G763" s="2">
        <f t="shared" si="1"/>
        <v>20</v>
      </c>
    </row>
    <row r="764" ht="15.75" customHeight="1">
      <c r="A764" s="1">
        <f>IFERROR(__xludf.DUMMYFUNCTION("""COMPUTED_VALUE"""),44966.66666666667)</f>
        <v>44966.66667</v>
      </c>
      <c r="B764" s="2">
        <f>IFERROR(__xludf.DUMMYFUNCTION("""COMPUTED_VALUE"""),1335.0)</f>
        <v>1335</v>
      </c>
      <c r="C764" s="2">
        <f>IFERROR(__xludf.DUMMYFUNCTION("""COMPUTED_VALUE"""),1345.0)</f>
        <v>1345</v>
      </c>
      <c r="D764" s="2">
        <f>IFERROR(__xludf.DUMMYFUNCTION("""COMPUTED_VALUE"""),1315.0)</f>
        <v>1315</v>
      </c>
      <c r="E764" s="2">
        <f>IFERROR(__xludf.DUMMYFUNCTION("""COMPUTED_VALUE"""),1315.0)</f>
        <v>1315</v>
      </c>
      <c r="F764" s="2">
        <f>IFERROR(__xludf.DUMMYFUNCTION("""COMPUTED_VALUE"""),1.33396E7)</f>
        <v>13339600</v>
      </c>
      <c r="G764" s="2">
        <f t="shared" si="1"/>
        <v>30</v>
      </c>
    </row>
    <row r="765" ht="15.75" customHeight="1">
      <c r="A765" s="1">
        <f>IFERROR(__xludf.DUMMYFUNCTION("""COMPUTED_VALUE"""),44967.66666666667)</f>
        <v>44967.66667</v>
      </c>
      <c r="B765" s="2">
        <f>IFERROR(__xludf.DUMMYFUNCTION("""COMPUTED_VALUE"""),1315.0)</f>
        <v>1315</v>
      </c>
      <c r="C765" s="2">
        <f>IFERROR(__xludf.DUMMYFUNCTION("""COMPUTED_VALUE"""),1330.0)</f>
        <v>1330</v>
      </c>
      <c r="D765" s="2">
        <f>IFERROR(__xludf.DUMMYFUNCTION("""COMPUTED_VALUE"""),1310.0)</f>
        <v>1310</v>
      </c>
      <c r="E765" s="2">
        <f>IFERROR(__xludf.DUMMYFUNCTION("""COMPUTED_VALUE"""),1325.0)</f>
        <v>1325</v>
      </c>
      <c r="F765" s="2">
        <f>IFERROR(__xludf.DUMMYFUNCTION("""COMPUTED_VALUE"""),2.42133E7)</f>
        <v>24213300</v>
      </c>
      <c r="G765" s="2">
        <f t="shared" si="1"/>
        <v>20</v>
      </c>
    </row>
    <row r="766" ht="15.75" customHeight="1">
      <c r="A766" s="1">
        <f>IFERROR(__xludf.DUMMYFUNCTION("""COMPUTED_VALUE"""),44970.66666666667)</f>
        <v>44970.66667</v>
      </c>
      <c r="B766" s="2">
        <f>IFERROR(__xludf.DUMMYFUNCTION("""COMPUTED_VALUE"""),1325.0)</f>
        <v>1325</v>
      </c>
      <c r="C766" s="2">
        <f>IFERROR(__xludf.DUMMYFUNCTION("""COMPUTED_VALUE"""),1370.0)</f>
        <v>1370</v>
      </c>
      <c r="D766" s="2">
        <f>IFERROR(__xludf.DUMMYFUNCTION("""COMPUTED_VALUE"""),1325.0)</f>
        <v>1325</v>
      </c>
      <c r="E766" s="2">
        <f>IFERROR(__xludf.DUMMYFUNCTION("""COMPUTED_VALUE"""),1365.0)</f>
        <v>1365</v>
      </c>
      <c r="F766" s="2">
        <f>IFERROR(__xludf.DUMMYFUNCTION("""COMPUTED_VALUE"""),3.36482E7)</f>
        <v>33648200</v>
      </c>
      <c r="G766" s="2">
        <f t="shared" si="1"/>
        <v>45</v>
      </c>
    </row>
    <row r="767" ht="15.75" customHeight="1">
      <c r="A767" s="1">
        <f>IFERROR(__xludf.DUMMYFUNCTION("""COMPUTED_VALUE"""),44971.66666666667)</f>
        <v>44971.66667</v>
      </c>
      <c r="B767" s="2">
        <f>IFERROR(__xludf.DUMMYFUNCTION("""COMPUTED_VALUE"""),1370.0)</f>
        <v>1370</v>
      </c>
      <c r="C767" s="2">
        <f>IFERROR(__xludf.DUMMYFUNCTION("""COMPUTED_VALUE"""),1395.0)</f>
        <v>1395</v>
      </c>
      <c r="D767" s="2">
        <f>IFERROR(__xludf.DUMMYFUNCTION("""COMPUTED_VALUE"""),1365.0)</f>
        <v>1365</v>
      </c>
      <c r="E767" s="2">
        <f>IFERROR(__xludf.DUMMYFUNCTION("""COMPUTED_VALUE"""),1390.0)</f>
        <v>1390</v>
      </c>
      <c r="F767" s="2">
        <f>IFERROR(__xludf.DUMMYFUNCTION("""COMPUTED_VALUE"""),3.35249E7)</f>
        <v>33524900</v>
      </c>
      <c r="G767" s="2">
        <f t="shared" si="1"/>
        <v>30</v>
      </c>
    </row>
    <row r="768" ht="15.75" customHeight="1">
      <c r="A768" s="1">
        <f>IFERROR(__xludf.DUMMYFUNCTION("""COMPUTED_VALUE"""),44972.66666666667)</f>
        <v>44972.66667</v>
      </c>
      <c r="B768" s="2">
        <f>IFERROR(__xludf.DUMMYFUNCTION("""COMPUTED_VALUE"""),1390.0)</f>
        <v>1390</v>
      </c>
      <c r="C768" s="2">
        <f>IFERROR(__xludf.DUMMYFUNCTION("""COMPUTED_VALUE"""),1610.0)</f>
        <v>1610</v>
      </c>
      <c r="D768" s="2">
        <f>IFERROR(__xludf.DUMMYFUNCTION("""COMPUTED_VALUE"""),1370.0)</f>
        <v>1370</v>
      </c>
      <c r="E768" s="2">
        <f>IFERROR(__xludf.DUMMYFUNCTION("""COMPUTED_VALUE"""),1610.0)</f>
        <v>1610</v>
      </c>
      <c r="F768" s="2">
        <f>IFERROR(__xludf.DUMMYFUNCTION("""COMPUTED_VALUE"""),2.529164E8)</f>
        <v>252916400</v>
      </c>
      <c r="G768" s="2">
        <f t="shared" si="1"/>
        <v>240</v>
      </c>
    </row>
    <row r="769" ht="15.75" customHeight="1">
      <c r="A769" s="1">
        <f>IFERROR(__xludf.DUMMYFUNCTION("""COMPUTED_VALUE"""),44973.66666666667)</f>
        <v>44973.66667</v>
      </c>
      <c r="B769" s="2">
        <f>IFERROR(__xludf.DUMMYFUNCTION("""COMPUTED_VALUE"""),1610.0)</f>
        <v>1610</v>
      </c>
      <c r="C769" s="2">
        <f>IFERROR(__xludf.DUMMYFUNCTION("""COMPUTED_VALUE"""),1705.0)</f>
        <v>1705</v>
      </c>
      <c r="D769" s="2">
        <f>IFERROR(__xludf.DUMMYFUNCTION("""COMPUTED_VALUE"""),1600.0)</f>
        <v>1600</v>
      </c>
      <c r="E769" s="2">
        <f>IFERROR(__xludf.DUMMYFUNCTION("""COMPUTED_VALUE"""),1625.0)</f>
        <v>1625</v>
      </c>
      <c r="F769" s="2">
        <f>IFERROR(__xludf.DUMMYFUNCTION("""COMPUTED_VALUE"""),2.344548E8)</f>
        <v>234454800</v>
      </c>
      <c r="G769" s="2">
        <f t="shared" si="1"/>
        <v>105</v>
      </c>
    </row>
    <row r="770" ht="15.75" customHeight="1">
      <c r="A770" s="1">
        <f>IFERROR(__xludf.DUMMYFUNCTION("""COMPUTED_VALUE"""),44974.66666666667)</f>
        <v>44974.66667</v>
      </c>
      <c r="B770" s="2">
        <f>IFERROR(__xludf.DUMMYFUNCTION("""COMPUTED_VALUE"""),1625.0)</f>
        <v>1625</v>
      </c>
      <c r="C770" s="2">
        <f>IFERROR(__xludf.DUMMYFUNCTION("""COMPUTED_VALUE"""),1735.0)</f>
        <v>1735</v>
      </c>
      <c r="D770" s="2">
        <f>IFERROR(__xludf.DUMMYFUNCTION("""COMPUTED_VALUE"""),1585.0)</f>
        <v>1585</v>
      </c>
      <c r="E770" s="2">
        <f>IFERROR(__xludf.DUMMYFUNCTION("""COMPUTED_VALUE"""),1715.0)</f>
        <v>1715</v>
      </c>
      <c r="F770" s="2">
        <f>IFERROR(__xludf.DUMMYFUNCTION("""COMPUTED_VALUE"""),2.035883E8)</f>
        <v>203588300</v>
      </c>
      <c r="G770" s="2">
        <f t="shared" si="1"/>
        <v>150</v>
      </c>
    </row>
    <row r="771" ht="15.75" customHeight="1">
      <c r="A771" s="1">
        <f>IFERROR(__xludf.DUMMYFUNCTION("""COMPUTED_VALUE"""),44977.66666666667)</f>
        <v>44977.66667</v>
      </c>
      <c r="B771" s="2">
        <f>IFERROR(__xludf.DUMMYFUNCTION("""COMPUTED_VALUE"""),1720.0)</f>
        <v>1720</v>
      </c>
      <c r="C771" s="2">
        <f>IFERROR(__xludf.DUMMYFUNCTION("""COMPUTED_VALUE"""),1735.0)</f>
        <v>1735</v>
      </c>
      <c r="D771" s="2">
        <f>IFERROR(__xludf.DUMMYFUNCTION("""COMPUTED_VALUE"""),1660.0)</f>
        <v>1660</v>
      </c>
      <c r="E771" s="2">
        <f>IFERROR(__xludf.DUMMYFUNCTION("""COMPUTED_VALUE"""),1705.0)</f>
        <v>1705</v>
      </c>
      <c r="F771" s="2">
        <f>IFERROR(__xludf.DUMMYFUNCTION("""COMPUTED_VALUE"""),1.017E8)</f>
        <v>101700000</v>
      </c>
      <c r="G771" s="2">
        <f t="shared" si="1"/>
        <v>75</v>
      </c>
    </row>
    <row r="772" ht="15.75" customHeight="1">
      <c r="A772" s="1">
        <f>IFERROR(__xludf.DUMMYFUNCTION("""COMPUTED_VALUE"""),44978.66666666667)</f>
        <v>44978.66667</v>
      </c>
      <c r="B772" s="2">
        <f>IFERROR(__xludf.DUMMYFUNCTION("""COMPUTED_VALUE"""),1705.0)</f>
        <v>1705</v>
      </c>
      <c r="C772" s="2">
        <f>IFERROR(__xludf.DUMMYFUNCTION("""COMPUTED_VALUE"""),1745.0)</f>
        <v>1745</v>
      </c>
      <c r="D772" s="2">
        <f>IFERROR(__xludf.DUMMYFUNCTION("""COMPUTED_VALUE"""),1685.0)</f>
        <v>1685</v>
      </c>
      <c r="E772" s="2">
        <f>IFERROR(__xludf.DUMMYFUNCTION("""COMPUTED_VALUE"""),1700.0)</f>
        <v>1700</v>
      </c>
      <c r="F772" s="2">
        <f>IFERROR(__xludf.DUMMYFUNCTION("""COMPUTED_VALUE"""),7.52572E7)</f>
        <v>75257200</v>
      </c>
      <c r="G772" s="2">
        <f t="shared" si="1"/>
        <v>60</v>
      </c>
    </row>
    <row r="773" ht="15.75" customHeight="1">
      <c r="A773" s="1">
        <f>IFERROR(__xludf.DUMMYFUNCTION("""COMPUTED_VALUE"""),44979.66666666667)</f>
        <v>44979.66667</v>
      </c>
      <c r="B773" s="2">
        <f>IFERROR(__xludf.DUMMYFUNCTION("""COMPUTED_VALUE"""),1690.0)</f>
        <v>1690</v>
      </c>
      <c r="C773" s="2">
        <f>IFERROR(__xludf.DUMMYFUNCTION("""COMPUTED_VALUE"""),1720.0)</f>
        <v>1720</v>
      </c>
      <c r="D773" s="2">
        <f>IFERROR(__xludf.DUMMYFUNCTION("""COMPUTED_VALUE"""),1585.0)</f>
        <v>1585</v>
      </c>
      <c r="E773" s="2">
        <f>IFERROR(__xludf.DUMMYFUNCTION("""COMPUTED_VALUE"""),1585.0)</f>
        <v>1585</v>
      </c>
      <c r="F773" s="2">
        <f>IFERROR(__xludf.DUMMYFUNCTION("""COMPUTED_VALUE"""),1.15468E8)</f>
        <v>115468000</v>
      </c>
      <c r="G773" s="2">
        <f t="shared" si="1"/>
        <v>135</v>
      </c>
    </row>
    <row r="774" ht="15.75" customHeight="1">
      <c r="A774" s="1">
        <f>IFERROR(__xludf.DUMMYFUNCTION("""COMPUTED_VALUE"""),44980.66666666667)</f>
        <v>44980.66667</v>
      </c>
      <c r="B774" s="2">
        <f>IFERROR(__xludf.DUMMYFUNCTION("""COMPUTED_VALUE"""),1560.0)</f>
        <v>1560</v>
      </c>
      <c r="C774" s="2">
        <f>IFERROR(__xludf.DUMMYFUNCTION("""COMPUTED_VALUE"""),1630.0)</f>
        <v>1630</v>
      </c>
      <c r="D774" s="2">
        <f>IFERROR(__xludf.DUMMYFUNCTION("""COMPUTED_VALUE"""),1480.0)</f>
        <v>1480</v>
      </c>
      <c r="E774" s="2">
        <f>IFERROR(__xludf.DUMMYFUNCTION("""COMPUTED_VALUE"""),1625.0)</f>
        <v>1625</v>
      </c>
      <c r="F774" s="2">
        <f>IFERROR(__xludf.DUMMYFUNCTION("""COMPUTED_VALUE"""),1.77508E8)</f>
        <v>177508000</v>
      </c>
      <c r="G774" s="2">
        <f t="shared" si="1"/>
        <v>150</v>
      </c>
    </row>
    <row r="775" ht="15.75" customHeight="1">
      <c r="A775" s="1">
        <f>IFERROR(__xludf.DUMMYFUNCTION("""COMPUTED_VALUE"""),44981.66666666667)</f>
        <v>44981.66667</v>
      </c>
      <c r="B775" s="2">
        <f>IFERROR(__xludf.DUMMYFUNCTION("""COMPUTED_VALUE"""),1625.0)</f>
        <v>1625</v>
      </c>
      <c r="C775" s="2">
        <f>IFERROR(__xludf.DUMMYFUNCTION("""COMPUTED_VALUE"""),1640.0)</f>
        <v>1640</v>
      </c>
      <c r="D775" s="2">
        <f>IFERROR(__xludf.DUMMYFUNCTION("""COMPUTED_VALUE"""),1595.0)</f>
        <v>1595</v>
      </c>
      <c r="E775" s="2">
        <f>IFERROR(__xludf.DUMMYFUNCTION("""COMPUTED_VALUE"""),1630.0)</f>
        <v>1630</v>
      </c>
      <c r="F775" s="2">
        <f>IFERROR(__xludf.DUMMYFUNCTION("""COMPUTED_VALUE"""),6.53667E7)</f>
        <v>65366700</v>
      </c>
      <c r="G775" s="2">
        <f t="shared" si="1"/>
        <v>45</v>
      </c>
    </row>
    <row r="776" ht="15.75" customHeight="1">
      <c r="A776" s="1">
        <f>IFERROR(__xludf.DUMMYFUNCTION("""COMPUTED_VALUE"""),44984.66666666667)</f>
        <v>44984.66667</v>
      </c>
      <c r="B776" s="2">
        <f>IFERROR(__xludf.DUMMYFUNCTION("""COMPUTED_VALUE"""),1625.0)</f>
        <v>1625</v>
      </c>
      <c r="C776" s="2">
        <f>IFERROR(__xludf.DUMMYFUNCTION("""COMPUTED_VALUE"""),1625.0)</f>
        <v>1625</v>
      </c>
      <c r="D776" s="2">
        <f>IFERROR(__xludf.DUMMYFUNCTION("""COMPUTED_VALUE"""),1520.0)</f>
        <v>1520</v>
      </c>
      <c r="E776" s="2">
        <f>IFERROR(__xludf.DUMMYFUNCTION("""COMPUTED_VALUE"""),1520.0)</f>
        <v>1520</v>
      </c>
      <c r="F776" s="2">
        <f>IFERROR(__xludf.DUMMYFUNCTION("""COMPUTED_VALUE"""),7.48363E7)</f>
        <v>74836300</v>
      </c>
      <c r="G776" s="2">
        <f t="shared" si="1"/>
        <v>110</v>
      </c>
    </row>
    <row r="777" ht="15.75" customHeight="1">
      <c r="A777" s="1">
        <f>IFERROR(__xludf.DUMMYFUNCTION("""COMPUTED_VALUE"""),44985.66666666667)</f>
        <v>44985.66667</v>
      </c>
      <c r="B777" s="2">
        <f>IFERROR(__xludf.DUMMYFUNCTION("""COMPUTED_VALUE"""),1500.0)</f>
        <v>1500</v>
      </c>
      <c r="C777" s="2">
        <f>IFERROR(__xludf.DUMMYFUNCTION("""COMPUTED_VALUE"""),1540.0)</f>
        <v>1540</v>
      </c>
      <c r="D777" s="2">
        <f>IFERROR(__xludf.DUMMYFUNCTION("""COMPUTED_VALUE"""),1445.0)</f>
        <v>1445</v>
      </c>
      <c r="E777" s="2">
        <f>IFERROR(__xludf.DUMMYFUNCTION("""COMPUTED_VALUE"""),1520.0)</f>
        <v>1520</v>
      </c>
      <c r="F777" s="2">
        <f>IFERROR(__xludf.DUMMYFUNCTION("""COMPUTED_VALUE"""),1.226945E8)</f>
        <v>122694500</v>
      </c>
      <c r="G777" s="2">
        <f t="shared" si="1"/>
        <v>95</v>
      </c>
    </row>
    <row r="778" ht="15.75" customHeight="1">
      <c r="A778" s="1">
        <f>IFERROR(__xludf.DUMMYFUNCTION("""COMPUTED_VALUE"""),44986.66666666667)</f>
        <v>44986.66667</v>
      </c>
      <c r="B778" s="2">
        <f>IFERROR(__xludf.DUMMYFUNCTION("""COMPUTED_VALUE"""),1520.0)</f>
        <v>1520</v>
      </c>
      <c r="C778" s="2">
        <f>IFERROR(__xludf.DUMMYFUNCTION("""COMPUTED_VALUE"""),1595.0)</f>
        <v>1595</v>
      </c>
      <c r="D778" s="2">
        <f>IFERROR(__xludf.DUMMYFUNCTION("""COMPUTED_VALUE"""),1515.0)</f>
        <v>1515</v>
      </c>
      <c r="E778" s="2">
        <f>IFERROR(__xludf.DUMMYFUNCTION("""COMPUTED_VALUE"""),1595.0)</f>
        <v>1595</v>
      </c>
      <c r="F778" s="2">
        <f>IFERROR(__xludf.DUMMYFUNCTION("""COMPUTED_VALUE"""),5.87202E7)</f>
        <v>58720200</v>
      </c>
      <c r="G778" s="2">
        <f t="shared" si="1"/>
        <v>80</v>
      </c>
    </row>
    <row r="779" ht="15.75" customHeight="1">
      <c r="A779" s="1">
        <f>IFERROR(__xludf.DUMMYFUNCTION("""COMPUTED_VALUE"""),44987.66666666667)</f>
        <v>44987.66667</v>
      </c>
      <c r="B779" s="2">
        <f>IFERROR(__xludf.DUMMYFUNCTION("""COMPUTED_VALUE"""),1595.0)</f>
        <v>1595</v>
      </c>
      <c r="C779" s="2">
        <f>IFERROR(__xludf.DUMMYFUNCTION("""COMPUTED_VALUE"""),1625.0)</f>
        <v>1625</v>
      </c>
      <c r="D779" s="2">
        <f>IFERROR(__xludf.DUMMYFUNCTION("""COMPUTED_VALUE"""),1555.0)</f>
        <v>1555</v>
      </c>
      <c r="E779" s="2">
        <f>IFERROR(__xludf.DUMMYFUNCTION("""COMPUTED_VALUE"""),1565.0)</f>
        <v>1565</v>
      </c>
      <c r="F779" s="2">
        <f>IFERROR(__xludf.DUMMYFUNCTION("""COMPUTED_VALUE"""),3.969E7)</f>
        <v>39690000</v>
      </c>
      <c r="G779" s="2">
        <f t="shared" si="1"/>
        <v>70</v>
      </c>
    </row>
    <row r="780" ht="15.75" customHeight="1">
      <c r="A780" s="1">
        <f>IFERROR(__xludf.DUMMYFUNCTION("""COMPUTED_VALUE"""),44988.66666666667)</f>
        <v>44988.66667</v>
      </c>
      <c r="B780" s="2">
        <f>IFERROR(__xludf.DUMMYFUNCTION("""COMPUTED_VALUE"""),1570.0)</f>
        <v>1570</v>
      </c>
      <c r="C780" s="2">
        <f>IFERROR(__xludf.DUMMYFUNCTION("""COMPUTED_VALUE"""),1590.0)</f>
        <v>1590</v>
      </c>
      <c r="D780" s="2">
        <f>IFERROR(__xludf.DUMMYFUNCTION("""COMPUTED_VALUE"""),1550.0)</f>
        <v>1550</v>
      </c>
      <c r="E780" s="2">
        <f>IFERROR(__xludf.DUMMYFUNCTION("""COMPUTED_VALUE"""),1565.0)</f>
        <v>1565</v>
      </c>
      <c r="F780" s="2">
        <f>IFERROR(__xludf.DUMMYFUNCTION("""COMPUTED_VALUE"""),2.13554E7)</f>
        <v>21355400</v>
      </c>
      <c r="G780" s="2">
        <f t="shared" si="1"/>
        <v>40</v>
      </c>
    </row>
    <row r="781" ht="15.75" customHeight="1">
      <c r="A781" s="1">
        <f>IFERROR(__xludf.DUMMYFUNCTION("""COMPUTED_VALUE"""),44991.66666666667)</f>
        <v>44991.66667</v>
      </c>
      <c r="B781" s="2">
        <f>IFERROR(__xludf.DUMMYFUNCTION("""COMPUTED_VALUE"""),1580.0)</f>
        <v>1580</v>
      </c>
      <c r="C781" s="2">
        <f>IFERROR(__xludf.DUMMYFUNCTION("""COMPUTED_VALUE"""),1585.0)</f>
        <v>1585</v>
      </c>
      <c r="D781" s="2">
        <f>IFERROR(__xludf.DUMMYFUNCTION("""COMPUTED_VALUE"""),1530.0)</f>
        <v>1530</v>
      </c>
      <c r="E781" s="2">
        <f>IFERROR(__xludf.DUMMYFUNCTION("""COMPUTED_VALUE"""),1565.0)</f>
        <v>1565</v>
      </c>
      <c r="F781" s="2">
        <f>IFERROR(__xludf.DUMMYFUNCTION("""COMPUTED_VALUE"""),2.80692E7)</f>
        <v>28069200</v>
      </c>
      <c r="G781" s="2">
        <f t="shared" si="1"/>
        <v>55</v>
      </c>
    </row>
    <row r="782" ht="15.75" customHeight="1">
      <c r="A782" s="1">
        <f>IFERROR(__xludf.DUMMYFUNCTION("""COMPUTED_VALUE"""),44992.66666666667)</f>
        <v>44992.66667</v>
      </c>
      <c r="B782" s="2">
        <f>IFERROR(__xludf.DUMMYFUNCTION("""COMPUTED_VALUE"""),1565.0)</f>
        <v>1565</v>
      </c>
      <c r="C782" s="2">
        <f>IFERROR(__xludf.DUMMYFUNCTION("""COMPUTED_VALUE"""),1605.0)</f>
        <v>1605</v>
      </c>
      <c r="D782" s="2">
        <f>IFERROR(__xludf.DUMMYFUNCTION("""COMPUTED_VALUE"""),1555.0)</f>
        <v>1555</v>
      </c>
      <c r="E782" s="2">
        <f>IFERROR(__xludf.DUMMYFUNCTION("""COMPUTED_VALUE"""),1595.0)</f>
        <v>1595</v>
      </c>
      <c r="F782" s="2">
        <f>IFERROR(__xludf.DUMMYFUNCTION("""COMPUTED_VALUE"""),5.4785E7)</f>
        <v>54785000</v>
      </c>
      <c r="G782" s="2">
        <f t="shared" si="1"/>
        <v>50</v>
      </c>
    </row>
    <row r="783" ht="15.75" customHeight="1">
      <c r="A783" s="1">
        <f>IFERROR(__xludf.DUMMYFUNCTION("""COMPUTED_VALUE"""),44993.66666666667)</f>
        <v>44993.66667</v>
      </c>
      <c r="B783" s="2">
        <f>IFERROR(__xludf.DUMMYFUNCTION("""COMPUTED_VALUE"""),1600.0)</f>
        <v>1600</v>
      </c>
      <c r="C783" s="2">
        <f>IFERROR(__xludf.DUMMYFUNCTION("""COMPUTED_VALUE"""),1605.0)</f>
        <v>1605</v>
      </c>
      <c r="D783" s="2">
        <f>IFERROR(__xludf.DUMMYFUNCTION("""COMPUTED_VALUE"""),1550.0)</f>
        <v>1550</v>
      </c>
      <c r="E783" s="2">
        <f>IFERROR(__xludf.DUMMYFUNCTION("""COMPUTED_VALUE"""),1555.0)</f>
        <v>1555</v>
      </c>
      <c r="F783" s="2">
        <f>IFERROR(__xludf.DUMMYFUNCTION("""COMPUTED_VALUE"""),2.73654E7)</f>
        <v>27365400</v>
      </c>
      <c r="G783" s="2">
        <f t="shared" si="1"/>
        <v>55</v>
      </c>
    </row>
    <row r="784" ht="15.75" customHeight="1">
      <c r="A784" s="1">
        <f>IFERROR(__xludf.DUMMYFUNCTION("""COMPUTED_VALUE"""),44994.66666666667)</f>
        <v>44994.66667</v>
      </c>
      <c r="B784" s="2">
        <f>IFERROR(__xludf.DUMMYFUNCTION("""COMPUTED_VALUE"""),1560.0)</f>
        <v>1560</v>
      </c>
      <c r="C784" s="2">
        <f>IFERROR(__xludf.DUMMYFUNCTION("""COMPUTED_VALUE"""),1600.0)</f>
        <v>1600</v>
      </c>
      <c r="D784" s="2">
        <f>IFERROR(__xludf.DUMMYFUNCTION("""COMPUTED_VALUE"""),1555.0)</f>
        <v>1555</v>
      </c>
      <c r="E784" s="2">
        <f>IFERROR(__xludf.DUMMYFUNCTION("""COMPUTED_VALUE"""),1595.0)</f>
        <v>1595</v>
      </c>
      <c r="F784" s="2">
        <f>IFERROR(__xludf.DUMMYFUNCTION("""COMPUTED_VALUE"""),2.48367E7)</f>
        <v>24836700</v>
      </c>
      <c r="G784" s="2">
        <f t="shared" si="1"/>
        <v>45</v>
      </c>
    </row>
    <row r="785" ht="15.75" customHeight="1">
      <c r="A785" s="1">
        <f>IFERROR(__xludf.DUMMYFUNCTION("""COMPUTED_VALUE"""),44995.66666666667)</f>
        <v>44995.66667</v>
      </c>
      <c r="B785" s="2">
        <f>IFERROR(__xludf.DUMMYFUNCTION("""COMPUTED_VALUE"""),1590.0)</f>
        <v>1590</v>
      </c>
      <c r="C785" s="2">
        <f>IFERROR(__xludf.DUMMYFUNCTION("""COMPUTED_VALUE"""),1590.0)</f>
        <v>1590</v>
      </c>
      <c r="D785" s="2">
        <f>IFERROR(__xludf.DUMMYFUNCTION("""COMPUTED_VALUE"""),1555.0)</f>
        <v>1555</v>
      </c>
      <c r="E785" s="2">
        <f>IFERROR(__xludf.DUMMYFUNCTION("""COMPUTED_VALUE"""),1565.0)</f>
        <v>1565</v>
      </c>
      <c r="F785" s="2">
        <f>IFERROR(__xludf.DUMMYFUNCTION("""COMPUTED_VALUE"""),1.51105E7)</f>
        <v>15110500</v>
      </c>
      <c r="G785" s="2">
        <f t="shared" si="1"/>
        <v>40</v>
      </c>
    </row>
    <row r="786" ht="15.75" customHeight="1">
      <c r="A786" s="1">
        <f>IFERROR(__xludf.DUMMYFUNCTION("""COMPUTED_VALUE"""),44998.66666666667)</f>
        <v>44998.66667</v>
      </c>
      <c r="B786" s="2">
        <f>IFERROR(__xludf.DUMMYFUNCTION("""COMPUTED_VALUE"""),1555.0)</f>
        <v>1555</v>
      </c>
      <c r="C786" s="2">
        <f>IFERROR(__xludf.DUMMYFUNCTION("""COMPUTED_VALUE"""),1585.0)</f>
        <v>1585</v>
      </c>
      <c r="D786" s="2">
        <f>IFERROR(__xludf.DUMMYFUNCTION("""COMPUTED_VALUE"""),1535.0)</f>
        <v>1535</v>
      </c>
      <c r="E786" s="2">
        <f>IFERROR(__xludf.DUMMYFUNCTION("""COMPUTED_VALUE"""),1580.0)</f>
        <v>1580</v>
      </c>
      <c r="F786" s="2">
        <f>IFERROR(__xludf.DUMMYFUNCTION("""COMPUTED_VALUE"""),1.87933E7)</f>
        <v>18793300</v>
      </c>
      <c r="G786" s="2">
        <f t="shared" si="1"/>
        <v>50</v>
      </c>
    </row>
    <row r="787" ht="15.75" customHeight="1">
      <c r="A787" s="1">
        <f>IFERROR(__xludf.DUMMYFUNCTION("""COMPUTED_VALUE"""),44999.66666666667)</f>
        <v>44999.66667</v>
      </c>
      <c r="B787" s="2">
        <f>IFERROR(__xludf.DUMMYFUNCTION("""COMPUTED_VALUE"""),1580.0)</f>
        <v>1580</v>
      </c>
      <c r="C787" s="2">
        <f>IFERROR(__xludf.DUMMYFUNCTION("""COMPUTED_VALUE"""),1580.0)</f>
        <v>1580</v>
      </c>
      <c r="D787" s="2">
        <f>IFERROR(__xludf.DUMMYFUNCTION("""COMPUTED_VALUE"""),1490.0)</f>
        <v>1490</v>
      </c>
      <c r="E787" s="2">
        <f>IFERROR(__xludf.DUMMYFUNCTION("""COMPUTED_VALUE"""),1515.0)</f>
        <v>1515</v>
      </c>
      <c r="F787" s="2">
        <f>IFERROR(__xludf.DUMMYFUNCTION("""COMPUTED_VALUE"""),5.45799E7)</f>
        <v>54579900</v>
      </c>
      <c r="G787" s="2">
        <f t="shared" si="1"/>
        <v>90</v>
      </c>
    </row>
    <row r="788" ht="15.75" customHeight="1">
      <c r="A788" s="1">
        <f>IFERROR(__xludf.DUMMYFUNCTION("""COMPUTED_VALUE"""),45000.66666666667)</f>
        <v>45000.66667</v>
      </c>
      <c r="B788" s="2">
        <f>IFERROR(__xludf.DUMMYFUNCTION("""COMPUTED_VALUE"""),1525.0)</f>
        <v>1525</v>
      </c>
      <c r="C788" s="2">
        <f>IFERROR(__xludf.DUMMYFUNCTION("""COMPUTED_VALUE"""),1545.0)</f>
        <v>1545</v>
      </c>
      <c r="D788" s="2">
        <f>IFERROR(__xludf.DUMMYFUNCTION("""COMPUTED_VALUE"""),1505.0)</f>
        <v>1505</v>
      </c>
      <c r="E788" s="2">
        <f>IFERROR(__xludf.DUMMYFUNCTION("""COMPUTED_VALUE"""),1520.0)</f>
        <v>1520</v>
      </c>
      <c r="F788" s="2">
        <f>IFERROR(__xludf.DUMMYFUNCTION("""COMPUTED_VALUE"""),1.63675E7)</f>
        <v>16367500</v>
      </c>
      <c r="G788" s="2">
        <f t="shared" si="1"/>
        <v>40</v>
      </c>
    </row>
    <row r="789" ht="15.75" customHeight="1">
      <c r="A789" s="1">
        <f>IFERROR(__xludf.DUMMYFUNCTION("""COMPUTED_VALUE"""),45001.66666666667)</f>
        <v>45001.66667</v>
      </c>
      <c r="B789" s="2">
        <f>IFERROR(__xludf.DUMMYFUNCTION("""COMPUTED_VALUE"""),1525.0)</f>
        <v>1525</v>
      </c>
      <c r="C789" s="2">
        <f>IFERROR(__xludf.DUMMYFUNCTION("""COMPUTED_VALUE"""),1580.0)</f>
        <v>1580</v>
      </c>
      <c r="D789" s="2">
        <f>IFERROR(__xludf.DUMMYFUNCTION("""COMPUTED_VALUE"""),1495.0)</f>
        <v>1495</v>
      </c>
      <c r="E789" s="2">
        <f>IFERROR(__xludf.DUMMYFUNCTION("""COMPUTED_VALUE"""),1580.0)</f>
        <v>1580</v>
      </c>
      <c r="F789" s="2">
        <f>IFERROR(__xludf.DUMMYFUNCTION("""COMPUTED_VALUE"""),4.36958E7)</f>
        <v>43695800</v>
      </c>
      <c r="G789" s="2">
        <f t="shared" si="1"/>
        <v>85</v>
      </c>
    </row>
    <row r="790" ht="15.75" customHeight="1">
      <c r="A790" s="1">
        <f>IFERROR(__xludf.DUMMYFUNCTION("""COMPUTED_VALUE"""),45002.66666666667)</f>
        <v>45002.66667</v>
      </c>
      <c r="B790" s="2">
        <f>IFERROR(__xludf.DUMMYFUNCTION("""COMPUTED_VALUE"""),1590.0)</f>
        <v>1590</v>
      </c>
      <c r="C790" s="2">
        <f>IFERROR(__xludf.DUMMYFUNCTION("""COMPUTED_VALUE"""),1635.0)</f>
        <v>1635</v>
      </c>
      <c r="D790" s="2">
        <f>IFERROR(__xludf.DUMMYFUNCTION("""COMPUTED_VALUE"""),1565.0)</f>
        <v>1565</v>
      </c>
      <c r="E790" s="2">
        <f>IFERROR(__xludf.DUMMYFUNCTION("""COMPUTED_VALUE"""),1630.0)</f>
        <v>1630</v>
      </c>
      <c r="F790" s="2">
        <f>IFERROR(__xludf.DUMMYFUNCTION("""COMPUTED_VALUE"""),6.04162E7)</f>
        <v>60416200</v>
      </c>
      <c r="G790" s="2">
        <f t="shared" si="1"/>
        <v>70</v>
      </c>
    </row>
    <row r="791" ht="15.75" customHeight="1">
      <c r="A791" s="1">
        <f>IFERROR(__xludf.DUMMYFUNCTION("""COMPUTED_VALUE"""),45005.66666666667)</f>
        <v>45005.66667</v>
      </c>
      <c r="B791" s="2">
        <f>IFERROR(__xludf.DUMMYFUNCTION("""COMPUTED_VALUE"""),1630.0)</f>
        <v>1630</v>
      </c>
      <c r="C791" s="2">
        <f>IFERROR(__xludf.DUMMYFUNCTION("""COMPUTED_VALUE"""),1645.0)</f>
        <v>1645</v>
      </c>
      <c r="D791" s="2">
        <f>IFERROR(__xludf.DUMMYFUNCTION("""COMPUTED_VALUE"""),1560.0)</f>
        <v>1560</v>
      </c>
      <c r="E791" s="2">
        <f>IFERROR(__xludf.DUMMYFUNCTION("""COMPUTED_VALUE"""),1565.0)</f>
        <v>1565</v>
      </c>
      <c r="F791" s="2">
        <f>IFERROR(__xludf.DUMMYFUNCTION("""COMPUTED_VALUE"""),3.02641E7)</f>
        <v>30264100</v>
      </c>
      <c r="G791" s="2">
        <f t="shared" si="1"/>
        <v>85</v>
      </c>
    </row>
    <row r="792" ht="15.75" customHeight="1">
      <c r="A792" s="1">
        <f>IFERROR(__xludf.DUMMYFUNCTION("""COMPUTED_VALUE"""),45006.66666666667)</f>
        <v>45006.66667</v>
      </c>
      <c r="B792" s="2">
        <f>IFERROR(__xludf.DUMMYFUNCTION("""COMPUTED_VALUE"""),1575.0)</f>
        <v>1575</v>
      </c>
      <c r="C792" s="2">
        <f>IFERROR(__xludf.DUMMYFUNCTION("""COMPUTED_VALUE"""),1595.0)</f>
        <v>1595</v>
      </c>
      <c r="D792" s="2">
        <f>IFERROR(__xludf.DUMMYFUNCTION("""COMPUTED_VALUE"""),1570.0)</f>
        <v>1570</v>
      </c>
      <c r="E792" s="2">
        <f>IFERROR(__xludf.DUMMYFUNCTION("""COMPUTED_VALUE"""),1580.0)</f>
        <v>1580</v>
      </c>
      <c r="F792" s="2">
        <f>IFERROR(__xludf.DUMMYFUNCTION("""COMPUTED_VALUE"""),1.02325E7)</f>
        <v>10232500</v>
      </c>
      <c r="G792" s="2">
        <f t="shared" si="1"/>
        <v>30</v>
      </c>
    </row>
    <row r="793" ht="15.75" customHeight="1">
      <c r="A793" s="1">
        <f>IFERROR(__xludf.DUMMYFUNCTION("""COMPUTED_VALUE"""),45009.66666666667)</f>
        <v>45009.66667</v>
      </c>
      <c r="B793" s="2">
        <f>IFERROR(__xludf.DUMMYFUNCTION("""COMPUTED_VALUE"""),1580.0)</f>
        <v>1580</v>
      </c>
      <c r="C793" s="2">
        <f>IFERROR(__xludf.DUMMYFUNCTION("""COMPUTED_VALUE"""),1650.0)</f>
        <v>1650</v>
      </c>
      <c r="D793" s="2">
        <f>IFERROR(__xludf.DUMMYFUNCTION("""COMPUTED_VALUE"""),1575.0)</f>
        <v>1575</v>
      </c>
      <c r="E793" s="2">
        <f>IFERROR(__xludf.DUMMYFUNCTION("""COMPUTED_VALUE"""),1610.0)</f>
        <v>1610</v>
      </c>
      <c r="F793" s="2">
        <f>IFERROR(__xludf.DUMMYFUNCTION("""COMPUTED_VALUE"""),3.63504E7)</f>
        <v>36350400</v>
      </c>
      <c r="G793" s="2">
        <f t="shared" si="1"/>
        <v>75</v>
      </c>
    </row>
    <row r="794" ht="15.75" customHeight="1">
      <c r="A794" s="1">
        <f>IFERROR(__xludf.DUMMYFUNCTION("""COMPUTED_VALUE"""),45012.66666666667)</f>
        <v>45012.66667</v>
      </c>
      <c r="B794" s="2">
        <f>IFERROR(__xludf.DUMMYFUNCTION("""COMPUTED_VALUE"""),1615.0)</f>
        <v>1615</v>
      </c>
      <c r="C794" s="2">
        <f>IFERROR(__xludf.DUMMYFUNCTION("""COMPUTED_VALUE"""),1620.0)</f>
        <v>1620</v>
      </c>
      <c r="D794" s="2">
        <f>IFERROR(__xludf.DUMMYFUNCTION("""COMPUTED_VALUE"""),1590.0)</f>
        <v>1590</v>
      </c>
      <c r="E794" s="2">
        <f>IFERROR(__xludf.DUMMYFUNCTION("""COMPUTED_VALUE"""),1610.0)</f>
        <v>1610</v>
      </c>
      <c r="F794" s="2">
        <f>IFERROR(__xludf.DUMMYFUNCTION("""COMPUTED_VALUE"""),1.78072E7)</f>
        <v>17807200</v>
      </c>
      <c r="G794" s="2">
        <f t="shared" si="1"/>
        <v>30</v>
      </c>
    </row>
    <row r="795" ht="15.75" customHeight="1">
      <c r="A795" s="1">
        <f>IFERROR(__xludf.DUMMYFUNCTION("""COMPUTED_VALUE"""),45013.66666666667)</f>
        <v>45013.66667</v>
      </c>
      <c r="B795" s="2">
        <f>IFERROR(__xludf.DUMMYFUNCTION("""COMPUTED_VALUE"""),1615.0)</f>
        <v>1615</v>
      </c>
      <c r="C795" s="2">
        <f>IFERROR(__xludf.DUMMYFUNCTION("""COMPUTED_VALUE"""),1640.0)</f>
        <v>1640</v>
      </c>
      <c r="D795" s="2">
        <f>IFERROR(__xludf.DUMMYFUNCTION("""COMPUTED_VALUE"""),1610.0)</f>
        <v>1610</v>
      </c>
      <c r="E795" s="2">
        <f>IFERROR(__xludf.DUMMYFUNCTION("""COMPUTED_VALUE"""),1630.0)</f>
        <v>1630</v>
      </c>
      <c r="F795" s="2">
        <f>IFERROR(__xludf.DUMMYFUNCTION("""COMPUTED_VALUE"""),2.93559E7)</f>
        <v>29355900</v>
      </c>
      <c r="G795" s="2">
        <f t="shared" si="1"/>
        <v>30</v>
      </c>
    </row>
    <row r="796" ht="15.75" customHeight="1">
      <c r="A796" s="1">
        <f>IFERROR(__xludf.DUMMYFUNCTION("""COMPUTED_VALUE"""),45014.66666666667)</f>
        <v>45014.66667</v>
      </c>
      <c r="B796" s="2">
        <f>IFERROR(__xludf.DUMMYFUNCTION("""COMPUTED_VALUE"""),1635.0)</f>
        <v>1635</v>
      </c>
      <c r="C796" s="2">
        <f>IFERROR(__xludf.DUMMYFUNCTION("""COMPUTED_VALUE"""),1710.0)</f>
        <v>1710</v>
      </c>
      <c r="D796" s="2">
        <f>IFERROR(__xludf.DUMMYFUNCTION("""COMPUTED_VALUE"""),1635.0)</f>
        <v>1635</v>
      </c>
      <c r="E796" s="2">
        <f>IFERROR(__xludf.DUMMYFUNCTION("""COMPUTED_VALUE"""),1700.0)</f>
        <v>1700</v>
      </c>
      <c r="F796" s="2">
        <f>IFERROR(__xludf.DUMMYFUNCTION("""COMPUTED_VALUE"""),9.80207E7)</f>
        <v>98020700</v>
      </c>
      <c r="G796" s="2">
        <f t="shared" si="1"/>
        <v>80</v>
      </c>
    </row>
    <row r="797" ht="15.75" customHeight="1">
      <c r="A797" s="1">
        <f>IFERROR(__xludf.DUMMYFUNCTION("""COMPUTED_VALUE"""),45015.66666666667)</f>
        <v>45015.66667</v>
      </c>
      <c r="B797" s="2">
        <f>IFERROR(__xludf.DUMMYFUNCTION("""COMPUTED_VALUE"""),1700.0)</f>
        <v>1700</v>
      </c>
      <c r="C797" s="2">
        <f>IFERROR(__xludf.DUMMYFUNCTION("""COMPUTED_VALUE"""),1705.0)</f>
        <v>1705</v>
      </c>
      <c r="D797" s="2">
        <f>IFERROR(__xludf.DUMMYFUNCTION("""COMPUTED_VALUE"""),1640.0)</f>
        <v>1640</v>
      </c>
      <c r="E797" s="2">
        <f>IFERROR(__xludf.DUMMYFUNCTION("""COMPUTED_VALUE"""),1640.0)</f>
        <v>1640</v>
      </c>
      <c r="F797" s="2">
        <f>IFERROR(__xludf.DUMMYFUNCTION("""COMPUTED_VALUE"""),4.25468E7)</f>
        <v>42546800</v>
      </c>
      <c r="G797" s="2">
        <f t="shared" si="1"/>
        <v>65</v>
      </c>
    </row>
    <row r="798" ht="15.75" customHeight="1">
      <c r="A798" s="1">
        <f>IFERROR(__xludf.DUMMYFUNCTION("""COMPUTED_VALUE"""),45016.66666666667)</f>
        <v>45016.66667</v>
      </c>
      <c r="B798" s="2">
        <f>IFERROR(__xludf.DUMMYFUNCTION("""COMPUTED_VALUE"""),1650.0)</f>
        <v>1650</v>
      </c>
      <c r="C798" s="2">
        <f>IFERROR(__xludf.DUMMYFUNCTION("""COMPUTED_VALUE"""),1700.0)</f>
        <v>1700</v>
      </c>
      <c r="D798" s="2">
        <f>IFERROR(__xludf.DUMMYFUNCTION("""COMPUTED_VALUE"""),1650.0)</f>
        <v>1650</v>
      </c>
      <c r="E798" s="2">
        <f>IFERROR(__xludf.DUMMYFUNCTION("""COMPUTED_VALUE"""),1680.0)</f>
        <v>1680</v>
      </c>
      <c r="F798" s="2">
        <f>IFERROR(__xludf.DUMMYFUNCTION("""COMPUTED_VALUE"""),4.28547E7)</f>
        <v>42854700</v>
      </c>
      <c r="G798" s="2">
        <f t="shared" si="1"/>
        <v>60</v>
      </c>
    </row>
    <row r="799" ht="15.75" customHeight="1">
      <c r="A799" s="1">
        <f>IFERROR(__xludf.DUMMYFUNCTION("""COMPUTED_VALUE"""),45019.66666666667)</f>
        <v>45019.66667</v>
      </c>
      <c r="B799" s="2">
        <f>IFERROR(__xludf.DUMMYFUNCTION("""COMPUTED_VALUE"""),1690.0)</f>
        <v>1690</v>
      </c>
      <c r="C799" s="2">
        <f>IFERROR(__xludf.DUMMYFUNCTION("""COMPUTED_VALUE"""),1695.0)</f>
        <v>1695</v>
      </c>
      <c r="D799" s="2">
        <f>IFERROR(__xludf.DUMMYFUNCTION("""COMPUTED_VALUE"""),1655.0)</f>
        <v>1655</v>
      </c>
      <c r="E799" s="2">
        <f>IFERROR(__xludf.DUMMYFUNCTION("""COMPUTED_VALUE"""),1695.0)</f>
        <v>1695</v>
      </c>
      <c r="F799" s="2">
        <f>IFERROR(__xludf.DUMMYFUNCTION("""COMPUTED_VALUE"""),2.99634E7)</f>
        <v>29963400</v>
      </c>
      <c r="G799" s="2">
        <f t="shared" si="1"/>
        <v>40</v>
      </c>
    </row>
    <row r="800" ht="15.75" customHeight="1">
      <c r="A800" s="1">
        <f>IFERROR(__xludf.DUMMYFUNCTION("""COMPUTED_VALUE"""),45020.66666666667)</f>
        <v>45020.66667</v>
      </c>
      <c r="B800" s="2">
        <f>IFERROR(__xludf.DUMMYFUNCTION("""COMPUTED_VALUE"""),1700.0)</f>
        <v>1700</v>
      </c>
      <c r="C800" s="2">
        <f>IFERROR(__xludf.DUMMYFUNCTION("""COMPUTED_VALUE"""),1705.0)</f>
        <v>1705</v>
      </c>
      <c r="D800" s="2">
        <f>IFERROR(__xludf.DUMMYFUNCTION("""COMPUTED_VALUE"""),1660.0)</f>
        <v>1660</v>
      </c>
      <c r="E800" s="2">
        <f>IFERROR(__xludf.DUMMYFUNCTION("""COMPUTED_VALUE"""),1670.0)</f>
        <v>1670</v>
      </c>
      <c r="F800" s="2">
        <f>IFERROR(__xludf.DUMMYFUNCTION("""COMPUTED_VALUE"""),1.7761E7)</f>
        <v>17761000</v>
      </c>
      <c r="G800" s="2">
        <f t="shared" si="1"/>
        <v>45</v>
      </c>
    </row>
    <row r="801" ht="15.75" customHeight="1">
      <c r="A801" s="1">
        <f>IFERROR(__xludf.DUMMYFUNCTION("""COMPUTED_VALUE"""),45021.66666666667)</f>
        <v>45021.66667</v>
      </c>
      <c r="B801" s="2">
        <f>IFERROR(__xludf.DUMMYFUNCTION("""COMPUTED_VALUE"""),1680.0)</f>
        <v>1680</v>
      </c>
      <c r="C801" s="2">
        <f>IFERROR(__xludf.DUMMYFUNCTION("""COMPUTED_VALUE"""),1765.0)</f>
        <v>1765</v>
      </c>
      <c r="D801" s="2">
        <f>IFERROR(__xludf.DUMMYFUNCTION("""COMPUTED_VALUE"""),1670.0)</f>
        <v>1670</v>
      </c>
      <c r="E801" s="2">
        <f>IFERROR(__xludf.DUMMYFUNCTION("""COMPUTED_VALUE"""),1750.0)</f>
        <v>1750</v>
      </c>
      <c r="F801" s="2">
        <f>IFERROR(__xludf.DUMMYFUNCTION("""COMPUTED_VALUE"""),1.030779E8)</f>
        <v>103077900</v>
      </c>
      <c r="G801" s="2">
        <f t="shared" si="1"/>
        <v>95</v>
      </c>
    </row>
    <row r="802" ht="15.75" customHeight="1">
      <c r="A802" s="1">
        <f>IFERROR(__xludf.DUMMYFUNCTION("""COMPUTED_VALUE"""),45022.66666666667)</f>
        <v>45022.66667</v>
      </c>
      <c r="B802" s="2">
        <f>IFERROR(__xludf.DUMMYFUNCTION("""COMPUTED_VALUE"""),1750.0)</f>
        <v>1750</v>
      </c>
      <c r="C802" s="2">
        <f>IFERROR(__xludf.DUMMYFUNCTION("""COMPUTED_VALUE"""),1820.0)</f>
        <v>1820</v>
      </c>
      <c r="D802" s="2">
        <f>IFERROR(__xludf.DUMMYFUNCTION("""COMPUTED_VALUE"""),1735.0)</f>
        <v>1735</v>
      </c>
      <c r="E802" s="2">
        <f>IFERROR(__xludf.DUMMYFUNCTION("""COMPUTED_VALUE"""),1810.0)</f>
        <v>1810</v>
      </c>
      <c r="F802" s="2">
        <f>IFERROR(__xludf.DUMMYFUNCTION("""COMPUTED_VALUE"""),8.90809E7)</f>
        <v>89080900</v>
      </c>
      <c r="G802" s="2">
        <f t="shared" si="1"/>
        <v>85</v>
      </c>
    </row>
    <row r="803" ht="15.75" customHeight="1">
      <c r="A803" s="1">
        <f>IFERROR(__xludf.DUMMYFUNCTION("""COMPUTED_VALUE"""),45026.66666666667)</f>
        <v>45026.66667</v>
      </c>
      <c r="B803" s="2">
        <f>IFERROR(__xludf.DUMMYFUNCTION("""COMPUTED_VALUE"""),1810.0)</f>
        <v>1810</v>
      </c>
      <c r="C803" s="2">
        <f>IFERROR(__xludf.DUMMYFUNCTION("""COMPUTED_VALUE"""),1810.0)</f>
        <v>1810</v>
      </c>
      <c r="D803" s="2">
        <f>IFERROR(__xludf.DUMMYFUNCTION("""COMPUTED_VALUE"""),1755.0)</f>
        <v>1755</v>
      </c>
      <c r="E803" s="2">
        <f>IFERROR(__xludf.DUMMYFUNCTION("""COMPUTED_VALUE"""),1805.0)</f>
        <v>1805</v>
      </c>
      <c r="F803" s="2">
        <f>IFERROR(__xludf.DUMMYFUNCTION("""COMPUTED_VALUE"""),3.96507E7)</f>
        <v>39650700</v>
      </c>
      <c r="G803" s="2">
        <f t="shared" si="1"/>
        <v>55</v>
      </c>
    </row>
    <row r="804" ht="15.75" customHeight="1">
      <c r="A804" s="1">
        <f>IFERROR(__xludf.DUMMYFUNCTION("""COMPUTED_VALUE"""),45027.66666666667)</f>
        <v>45027.66667</v>
      </c>
      <c r="B804" s="2">
        <f>IFERROR(__xludf.DUMMYFUNCTION("""COMPUTED_VALUE"""),1805.0)</f>
        <v>1805</v>
      </c>
      <c r="C804" s="2">
        <f>IFERROR(__xludf.DUMMYFUNCTION("""COMPUTED_VALUE"""),1810.0)</f>
        <v>1810</v>
      </c>
      <c r="D804" s="2">
        <f>IFERROR(__xludf.DUMMYFUNCTION("""COMPUTED_VALUE"""),1770.0)</f>
        <v>1770</v>
      </c>
      <c r="E804" s="2">
        <f>IFERROR(__xludf.DUMMYFUNCTION("""COMPUTED_VALUE"""),1780.0)</f>
        <v>1780</v>
      </c>
      <c r="F804" s="2">
        <f>IFERROR(__xludf.DUMMYFUNCTION("""COMPUTED_VALUE"""),2.85347E7)</f>
        <v>28534700</v>
      </c>
      <c r="G804" s="2">
        <f t="shared" si="1"/>
        <v>40</v>
      </c>
    </row>
    <row r="805" ht="15.75" customHeight="1">
      <c r="A805" s="1">
        <f>IFERROR(__xludf.DUMMYFUNCTION("""COMPUTED_VALUE"""),45028.66666666667)</f>
        <v>45028.66667</v>
      </c>
      <c r="B805" s="2">
        <f>IFERROR(__xludf.DUMMYFUNCTION("""COMPUTED_VALUE"""),1780.0)</f>
        <v>1780</v>
      </c>
      <c r="C805" s="2">
        <f>IFERROR(__xludf.DUMMYFUNCTION("""COMPUTED_VALUE"""),1785.0)</f>
        <v>1785</v>
      </c>
      <c r="D805" s="2">
        <f>IFERROR(__xludf.DUMMYFUNCTION("""COMPUTED_VALUE"""),1735.0)</f>
        <v>1735</v>
      </c>
      <c r="E805" s="2">
        <f>IFERROR(__xludf.DUMMYFUNCTION("""COMPUTED_VALUE"""),1775.0)</f>
        <v>1775</v>
      </c>
      <c r="F805" s="2">
        <f>IFERROR(__xludf.DUMMYFUNCTION("""COMPUTED_VALUE"""),2.38093E7)</f>
        <v>23809300</v>
      </c>
      <c r="G805" s="2">
        <f t="shared" si="1"/>
        <v>50</v>
      </c>
    </row>
    <row r="806" ht="15.75" customHeight="1">
      <c r="A806" s="1">
        <f>IFERROR(__xludf.DUMMYFUNCTION("""COMPUTED_VALUE"""),45029.66666666667)</f>
        <v>45029.66667</v>
      </c>
      <c r="B806" s="2">
        <f>IFERROR(__xludf.DUMMYFUNCTION("""COMPUTED_VALUE"""),1770.0)</f>
        <v>1770</v>
      </c>
      <c r="C806" s="2">
        <f>IFERROR(__xludf.DUMMYFUNCTION("""COMPUTED_VALUE"""),1775.0)</f>
        <v>1775</v>
      </c>
      <c r="D806" s="2">
        <f>IFERROR(__xludf.DUMMYFUNCTION("""COMPUTED_VALUE"""),1715.0)</f>
        <v>1715</v>
      </c>
      <c r="E806" s="2">
        <f>IFERROR(__xludf.DUMMYFUNCTION("""COMPUTED_VALUE"""),1720.0)</f>
        <v>1720</v>
      </c>
      <c r="F806" s="2">
        <f>IFERROR(__xludf.DUMMYFUNCTION("""COMPUTED_VALUE"""),2.74118E7)</f>
        <v>27411800</v>
      </c>
      <c r="G806" s="2">
        <f t="shared" si="1"/>
        <v>60</v>
      </c>
    </row>
    <row r="807" ht="15.75" customHeight="1">
      <c r="A807" s="1">
        <f>IFERROR(__xludf.DUMMYFUNCTION("""COMPUTED_VALUE"""),45030.66666666667)</f>
        <v>45030.66667</v>
      </c>
      <c r="B807" s="2">
        <f>IFERROR(__xludf.DUMMYFUNCTION("""COMPUTED_VALUE"""),1730.0)</f>
        <v>1730</v>
      </c>
      <c r="C807" s="2">
        <f>IFERROR(__xludf.DUMMYFUNCTION("""COMPUTED_VALUE"""),1810.0)</f>
        <v>1810</v>
      </c>
      <c r="D807" s="2">
        <f>IFERROR(__xludf.DUMMYFUNCTION("""COMPUTED_VALUE"""),1730.0)</f>
        <v>1730</v>
      </c>
      <c r="E807" s="2">
        <f>IFERROR(__xludf.DUMMYFUNCTION("""COMPUTED_VALUE"""),1785.0)</f>
        <v>1785</v>
      </c>
      <c r="F807" s="2">
        <f>IFERROR(__xludf.DUMMYFUNCTION("""COMPUTED_VALUE"""),6.19804E7)</f>
        <v>61980400</v>
      </c>
      <c r="G807" s="2">
        <f t="shared" si="1"/>
        <v>90</v>
      </c>
    </row>
    <row r="808" ht="15.75" customHeight="1">
      <c r="A808" s="1">
        <f>IFERROR(__xludf.DUMMYFUNCTION("""COMPUTED_VALUE"""),45033.66666666667)</f>
        <v>45033.66667</v>
      </c>
      <c r="B808" s="2">
        <f>IFERROR(__xludf.DUMMYFUNCTION("""COMPUTED_VALUE"""),1785.0)</f>
        <v>1785</v>
      </c>
      <c r="C808" s="2">
        <f>IFERROR(__xludf.DUMMYFUNCTION("""COMPUTED_VALUE"""),1795.0)</f>
        <v>1795</v>
      </c>
      <c r="D808" s="2">
        <f>IFERROR(__xludf.DUMMYFUNCTION("""COMPUTED_VALUE"""),1735.0)</f>
        <v>1735</v>
      </c>
      <c r="E808" s="2">
        <f>IFERROR(__xludf.DUMMYFUNCTION("""COMPUTED_VALUE"""),1735.0)</f>
        <v>1735</v>
      </c>
      <c r="F808" s="2">
        <f>IFERROR(__xludf.DUMMYFUNCTION("""COMPUTED_VALUE"""),2.24243E7)</f>
        <v>22424300</v>
      </c>
      <c r="G808" s="2">
        <f t="shared" si="1"/>
        <v>60</v>
      </c>
    </row>
    <row r="809" ht="15.75" customHeight="1">
      <c r="A809" s="1">
        <f>IFERROR(__xludf.DUMMYFUNCTION("""COMPUTED_VALUE"""),45034.66666666667)</f>
        <v>45034.66667</v>
      </c>
      <c r="B809" s="2">
        <f>IFERROR(__xludf.DUMMYFUNCTION("""COMPUTED_VALUE"""),1745.0)</f>
        <v>1745</v>
      </c>
      <c r="C809" s="2">
        <f>IFERROR(__xludf.DUMMYFUNCTION("""COMPUTED_VALUE"""),1760.0)</f>
        <v>1760</v>
      </c>
      <c r="D809" s="2">
        <f>IFERROR(__xludf.DUMMYFUNCTION("""COMPUTED_VALUE"""),1705.0)</f>
        <v>1705</v>
      </c>
      <c r="E809" s="2">
        <f>IFERROR(__xludf.DUMMYFUNCTION("""COMPUTED_VALUE"""),1730.0)</f>
        <v>1730</v>
      </c>
      <c r="F809" s="2">
        <f>IFERROR(__xludf.DUMMYFUNCTION("""COMPUTED_VALUE"""),3.30993E7)</f>
        <v>33099300</v>
      </c>
      <c r="G809" s="2">
        <f t="shared" si="1"/>
        <v>55</v>
      </c>
    </row>
    <row r="810" ht="15.75" customHeight="1">
      <c r="A810" s="1">
        <f>IFERROR(__xludf.DUMMYFUNCTION("""COMPUTED_VALUE"""),45042.66666666667)</f>
        <v>45042.66667</v>
      </c>
      <c r="B810" s="2">
        <f>IFERROR(__xludf.DUMMYFUNCTION("""COMPUTED_VALUE"""),1730.0)</f>
        <v>1730</v>
      </c>
      <c r="C810" s="2">
        <f>IFERROR(__xludf.DUMMYFUNCTION("""COMPUTED_VALUE"""),1740.0)</f>
        <v>1740</v>
      </c>
      <c r="D810" s="2">
        <f>IFERROR(__xludf.DUMMYFUNCTION("""COMPUTED_VALUE"""),1690.0)</f>
        <v>1690</v>
      </c>
      <c r="E810" s="2">
        <f>IFERROR(__xludf.DUMMYFUNCTION("""COMPUTED_VALUE"""),1705.0)</f>
        <v>1705</v>
      </c>
      <c r="F810" s="2">
        <f>IFERROR(__xludf.DUMMYFUNCTION("""COMPUTED_VALUE"""),2.22805E7)</f>
        <v>22280500</v>
      </c>
      <c r="G810" s="2">
        <f t="shared" si="1"/>
        <v>50</v>
      </c>
    </row>
    <row r="811" ht="15.75" customHeight="1">
      <c r="A811" s="1">
        <f>IFERROR(__xludf.DUMMYFUNCTION("""COMPUTED_VALUE"""),45043.66666666667)</f>
        <v>45043.66667</v>
      </c>
      <c r="B811" s="2">
        <f>IFERROR(__xludf.DUMMYFUNCTION("""COMPUTED_VALUE"""),1715.0)</f>
        <v>1715</v>
      </c>
      <c r="C811" s="2">
        <f>IFERROR(__xludf.DUMMYFUNCTION("""COMPUTED_VALUE"""),1740.0)</f>
        <v>1740</v>
      </c>
      <c r="D811" s="2">
        <f>IFERROR(__xludf.DUMMYFUNCTION("""COMPUTED_VALUE"""),1665.0)</f>
        <v>1665</v>
      </c>
      <c r="E811" s="2">
        <f>IFERROR(__xludf.DUMMYFUNCTION("""COMPUTED_VALUE"""),1675.0)</f>
        <v>1675</v>
      </c>
      <c r="F811" s="2">
        <f>IFERROR(__xludf.DUMMYFUNCTION("""COMPUTED_VALUE"""),3.79665E7)</f>
        <v>37966500</v>
      </c>
      <c r="G811" s="2">
        <f t="shared" si="1"/>
        <v>75</v>
      </c>
    </row>
    <row r="812" ht="15.75" customHeight="1">
      <c r="A812" s="1">
        <f>IFERROR(__xludf.DUMMYFUNCTION("""COMPUTED_VALUE"""),45044.66666666667)</f>
        <v>45044.66667</v>
      </c>
      <c r="B812" s="2">
        <f>IFERROR(__xludf.DUMMYFUNCTION("""COMPUTED_VALUE"""),1680.0)</f>
        <v>1680</v>
      </c>
      <c r="C812" s="2">
        <f>IFERROR(__xludf.DUMMYFUNCTION("""COMPUTED_VALUE"""),1730.0)</f>
        <v>1730</v>
      </c>
      <c r="D812" s="2">
        <f>IFERROR(__xludf.DUMMYFUNCTION("""COMPUTED_VALUE"""),1680.0)</f>
        <v>1680</v>
      </c>
      <c r="E812" s="2">
        <f>IFERROR(__xludf.DUMMYFUNCTION("""COMPUTED_VALUE"""),1730.0)</f>
        <v>1730</v>
      </c>
      <c r="F812" s="2">
        <f>IFERROR(__xludf.DUMMYFUNCTION("""COMPUTED_VALUE"""),3.34026E7)</f>
        <v>33402600</v>
      </c>
      <c r="G812" s="2">
        <f t="shared" si="1"/>
        <v>55</v>
      </c>
    </row>
    <row r="813" ht="15.75" customHeight="1">
      <c r="A813" s="1">
        <f>IFERROR(__xludf.DUMMYFUNCTION("""COMPUTED_VALUE"""),45048.66666666667)</f>
        <v>45048.66667</v>
      </c>
      <c r="B813" s="2">
        <f>IFERROR(__xludf.DUMMYFUNCTION("""COMPUTED_VALUE"""),1730.0)</f>
        <v>1730</v>
      </c>
      <c r="C813" s="2">
        <f>IFERROR(__xludf.DUMMYFUNCTION("""COMPUTED_VALUE"""),1730.0)</f>
        <v>1730</v>
      </c>
      <c r="D813" s="2">
        <f>IFERROR(__xludf.DUMMYFUNCTION("""COMPUTED_VALUE"""),1680.0)</f>
        <v>1680</v>
      </c>
      <c r="E813" s="2">
        <f>IFERROR(__xludf.DUMMYFUNCTION("""COMPUTED_VALUE"""),1685.0)</f>
        <v>1685</v>
      </c>
      <c r="F813" s="2">
        <f>IFERROR(__xludf.DUMMYFUNCTION("""COMPUTED_VALUE"""),1.87586E7)</f>
        <v>18758600</v>
      </c>
      <c r="G813" s="2">
        <f t="shared" si="1"/>
        <v>50</v>
      </c>
    </row>
    <row r="814" ht="15.75" customHeight="1">
      <c r="A814" s="1">
        <f>IFERROR(__xludf.DUMMYFUNCTION("""COMPUTED_VALUE"""),45049.66666666667)</f>
        <v>45049.66667</v>
      </c>
      <c r="B814" s="2">
        <f>IFERROR(__xludf.DUMMYFUNCTION("""COMPUTED_VALUE"""),1690.0)</f>
        <v>1690</v>
      </c>
      <c r="C814" s="2">
        <f>IFERROR(__xludf.DUMMYFUNCTION("""COMPUTED_VALUE"""),1720.0)</f>
        <v>1720</v>
      </c>
      <c r="D814" s="2">
        <f>IFERROR(__xludf.DUMMYFUNCTION("""COMPUTED_VALUE"""),1690.0)</f>
        <v>1690</v>
      </c>
      <c r="E814" s="2">
        <f>IFERROR(__xludf.DUMMYFUNCTION("""COMPUTED_VALUE"""),1715.0)</f>
        <v>1715</v>
      </c>
      <c r="F814" s="2">
        <f>IFERROR(__xludf.DUMMYFUNCTION("""COMPUTED_VALUE"""),2.42695E7)</f>
        <v>24269500</v>
      </c>
      <c r="G814" s="2">
        <f t="shared" si="1"/>
        <v>35</v>
      </c>
    </row>
    <row r="815" ht="15.75" customHeight="1">
      <c r="A815" s="1">
        <f>IFERROR(__xludf.DUMMYFUNCTION("""COMPUTED_VALUE"""),45050.66666666667)</f>
        <v>45050.66667</v>
      </c>
      <c r="B815" s="2">
        <f>IFERROR(__xludf.DUMMYFUNCTION("""COMPUTED_VALUE"""),1720.0)</f>
        <v>1720</v>
      </c>
      <c r="C815" s="2">
        <f>IFERROR(__xludf.DUMMYFUNCTION("""COMPUTED_VALUE"""),1765.0)</f>
        <v>1765</v>
      </c>
      <c r="D815" s="2">
        <f>IFERROR(__xludf.DUMMYFUNCTION("""COMPUTED_VALUE"""),1710.0)</f>
        <v>1710</v>
      </c>
      <c r="E815" s="2">
        <f>IFERROR(__xludf.DUMMYFUNCTION("""COMPUTED_VALUE"""),1750.0)</f>
        <v>1750</v>
      </c>
      <c r="F815" s="2">
        <f>IFERROR(__xludf.DUMMYFUNCTION("""COMPUTED_VALUE"""),4.75137E7)</f>
        <v>47513700</v>
      </c>
      <c r="G815" s="2">
        <f t="shared" si="1"/>
        <v>55</v>
      </c>
    </row>
    <row r="816" ht="15.75" customHeight="1">
      <c r="A816" s="1">
        <f>IFERROR(__xludf.DUMMYFUNCTION("""COMPUTED_VALUE"""),45051.66666666667)</f>
        <v>45051.66667</v>
      </c>
      <c r="B816" s="2">
        <f>IFERROR(__xludf.DUMMYFUNCTION("""COMPUTED_VALUE"""),1750.0)</f>
        <v>1750</v>
      </c>
      <c r="C816" s="2">
        <f>IFERROR(__xludf.DUMMYFUNCTION("""COMPUTED_VALUE"""),1775.0)</f>
        <v>1775</v>
      </c>
      <c r="D816" s="2">
        <f>IFERROR(__xludf.DUMMYFUNCTION("""COMPUTED_VALUE"""),1730.0)</f>
        <v>1730</v>
      </c>
      <c r="E816" s="2">
        <f>IFERROR(__xludf.DUMMYFUNCTION("""COMPUTED_VALUE"""),1750.0)</f>
        <v>1750</v>
      </c>
      <c r="F816" s="2">
        <f>IFERROR(__xludf.DUMMYFUNCTION("""COMPUTED_VALUE"""),4.58872E7)</f>
        <v>45887200</v>
      </c>
      <c r="G816" s="2">
        <f t="shared" si="1"/>
        <v>45</v>
      </c>
    </row>
    <row r="817" ht="15.75" customHeight="1">
      <c r="A817" s="1">
        <f>IFERROR(__xludf.DUMMYFUNCTION("""COMPUTED_VALUE"""),45054.66666666667)</f>
        <v>45054.66667</v>
      </c>
      <c r="B817" s="2">
        <f>IFERROR(__xludf.DUMMYFUNCTION("""COMPUTED_VALUE"""),1750.0)</f>
        <v>1750</v>
      </c>
      <c r="C817" s="2">
        <f>IFERROR(__xludf.DUMMYFUNCTION("""COMPUTED_VALUE"""),1770.0)</f>
        <v>1770</v>
      </c>
      <c r="D817" s="2">
        <f>IFERROR(__xludf.DUMMYFUNCTION("""COMPUTED_VALUE"""),1750.0)</f>
        <v>1750</v>
      </c>
      <c r="E817" s="2">
        <f>IFERROR(__xludf.DUMMYFUNCTION("""COMPUTED_VALUE"""),1755.0)</f>
        <v>1755</v>
      </c>
      <c r="F817" s="2">
        <f>IFERROR(__xludf.DUMMYFUNCTION("""COMPUTED_VALUE"""),2.20039E7)</f>
        <v>22003900</v>
      </c>
      <c r="G817" s="2">
        <f t="shared" si="1"/>
        <v>20</v>
      </c>
    </row>
    <row r="818" ht="15.75" customHeight="1">
      <c r="A818" s="1">
        <f>IFERROR(__xludf.DUMMYFUNCTION("""COMPUTED_VALUE"""),45055.66666666667)</f>
        <v>45055.66667</v>
      </c>
      <c r="B818" s="2">
        <f>IFERROR(__xludf.DUMMYFUNCTION("""COMPUTED_VALUE"""),1750.0)</f>
        <v>1750</v>
      </c>
      <c r="C818" s="2">
        <f>IFERROR(__xludf.DUMMYFUNCTION("""COMPUTED_VALUE"""),1760.0)</f>
        <v>1760</v>
      </c>
      <c r="D818" s="2">
        <f>IFERROR(__xludf.DUMMYFUNCTION("""COMPUTED_VALUE"""),1735.0)</f>
        <v>1735</v>
      </c>
      <c r="E818" s="2">
        <f>IFERROR(__xludf.DUMMYFUNCTION("""COMPUTED_VALUE"""),1750.0)</f>
        <v>1750</v>
      </c>
      <c r="F818" s="2">
        <f>IFERROR(__xludf.DUMMYFUNCTION("""COMPUTED_VALUE"""),2.36465E7)</f>
        <v>23646500</v>
      </c>
      <c r="G818" s="2">
        <f t="shared" si="1"/>
        <v>25</v>
      </c>
    </row>
    <row r="819" ht="15.75" customHeight="1">
      <c r="A819" s="1">
        <f>IFERROR(__xludf.DUMMYFUNCTION("""COMPUTED_VALUE"""),45056.66666666667)</f>
        <v>45056.66667</v>
      </c>
      <c r="B819" s="2">
        <f>IFERROR(__xludf.DUMMYFUNCTION("""COMPUTED_VALUE"""),1750.0)</f>
        <v>1750</v>
      </c>
      <c r="C819" s="2">
        <f>IFERROR(__xludf.DUMMYFUNCTION("""COMPUTED_VALUE"""),1815.0)</f>
        <v>1815</v>
      </c>
      <c r="D819" s="2">
        <f>IFERROR(__xludf.DUMMYFUNCTION("""COMPUTED_VALUE"""),1740.0)</f>
        <v>1740</v>
      </c>
      <c r="E819" s="2">
        <f>IFERROR(__xludf.DUMMYFUNCTION("""COMPUTED_VALUE"""),1795.0)</f>
        <v>1795</v>
      </c>
      <c r="F819" s="2">
        <f>IFERROR(__xludf.DUMMYFUNCTION("""COMPUTED_VALUE"""),8.69693E7)</f>
        <v>86969300</v>
      </c>
      <c r="G819" s="2">
        <f t="shared" si="1"/>
        <v>75</v>
      </c>
    </row>
    <row r="820" ht="15.75" customHeight="1">
      <c r="A820" s="1">
        <f>IFERROR(__xludf.DUMMYFUNCTION("""COMPUTED_VALUE"""),45057.66666666667)</f>
        <v>45057.66667</v>
      </c>
      <c r="B820" s="2">
        <f>IFERROR(__xludf.DUMMYFUNCTION("""COMPUTED_VALUE"""),1795.0)</f>
        <v>1795</v>
      </c>
      <c r="C820" s="2">
        <f>IFERROR(__xludf.DUMMYFUNCTION("""COMPUTED_VALUE"""),1795.0)</f>
        <v>1795</v>
      </c>
      <c r="D820" s="2">
        <f>IFERROR(__xludf.DUMMYFUNCTION("""COMPUTED_VALUE"""),1755.0)</f>
        <v>1755</v>
      </c>
      <c r="E820" s="2">
        <f>IFERROR(__xludf.DUMMYFUNCTION("""COMPUTED_VALUE"""),1755.0)</f>
        <v>1755</v>
      </c>
      <c r="F820" s="2">
        <f>IFERROR(__xludf.DUMMYFUNCTION("""COMPUTED_VALUE"""),4.59248E7)</f>
        <v>45924800</v>
      </c>
      <c r="G820" s="2">
        <f t="shared" si="1"/>
        <v>40</v>
      </c>
    </row>
    <row r="821" ht="15.75" customHeight="1">
      <c r="A821" s="1">
        <f>IFERROR(__xludf.DUMMYFUNCTION("""COMPUTED_VALUE"""),45058.66666666667)</f>
        <v>45058.66667</v>
      </c>
      <c r="B821" s="2">
        <f>IFERROR(__xludf.DUMMYFUNCTION("""COMPUTED_VALUE"""),1760.0)</f>
        <v>1760</v>
      </c>
      <c r="C821" s="2">
        <f>IFERROR(__xludf.DUMMYFUNCTION("""COMPUTED_VALUE"""),1810.0)</f>
        <v>1810</v>
      </c>
      <c r="D821" s="2">
        <f>IFERROR(__xludf.DUMMYFUNCTION("""COMPUTED_VALUE"""),1760.0)</f>
        <v>1760</v>
      </c>
      <c r="E821" s="2">
        <f>IFERROR(__xludf.DUMMYFUNCTION("""COMPUTED_VALUE"""),1810.0)</f>
        <v>1810</v>
      </c>
      <c r="F821" s="2">
        <f>IFERROR(__xludf.DUMMYFUNCTION("""COMPUTED_VALUE"""),5.26746E7)</f>
        <v>52674600</v>
      </c>
      <c r="G821" s="2">
        <f t="shared" si="1"/>
        <v>55</v>
      </c>
    </row>
    <row r="822" ht="15.75" customHeight="1">
      <c r="A822" s="1">
        <f>IFERROR(__xludf.DUMMYFUNCTION("""COMPUTED_VALUE"""),45061.66666666667)</f>
        <v>45061.66667</v>
      </c>
      <c r="B822" s="2">
        <f>IFERROR(__xludf.DUMMYFUNCTION("""COMPUTED_VALUE"""),1765.0)</f>
        <v>1765</v>
      </c>
      <c r="C822" s="2">
        <f>IFERROR(__xludf.DUMMYFUNCTION("""COMPUTED_VALUE"""),1790.0)</f>
        <v>1790</v>
      </c>
      <c r="D822" s="2">
        <f>IFERROR(__xludf.DUMMYFUNCTION("""COMPUTED_VALUE"""),1685.0)</f>
        <v>1685</v>
      </c>
      <c r="E822" s="2">
        <f>IFERROR(__xludf.DUMMYFUNCTION("""COMPUTED_VALUE"""),1720.0)</f>
        <v>1720</v>
      </c>
      <c r="F822" s="2">
        <f>IFERROR(__xludf.DUMMYFUNCTION("""COMPUTED_VALUE"""),9.66432E7)</f>
        <v>96643200</v>
      </c>
      <c r="G822" s="2">
        <f t="shared" si="1"/>
        <v>125</v>
      </c>
    </row>
    <row r="823" ht="15.75" customHeight="1">
      <c r="A823" s="1">
        <f>IFERROR(__xludf.DUMMYFUNCTION("""COMPUTED_VALUE"""),45062.66666666667)</f>
        <v>45062.66667</v>
      </c>
      <c r="B823" s="2">
        <f>IFERROR(__xludf.DUMMYFUNCTION("""COMPUTED_VALUE"""),1720.0)</f>
        <v>1720</v>
      </c>
      <c r="C823" s="2">
        <f>IFERROR(__xludf.DUMMYFUNCTION("""COMPUTED_VALUE"""),1730.0)</f>
        <v>1730</v>
      </c>
      <c r="D823" s="2">
        <f>IFERROR(__xludf.DUMMYFUNCTION("""COMPUTED_VALUE"""),1600.0)</f>
        <v>1600</v>
      </c>
      <c r="E823" s="2">
        <f>IFERROR(__xludf.DUMMYFUNCTION("""COMPUTED_VALUE"""),1600.0)</f>
        <v>1600</v>
      </c>
      <c r="F823" s="2">
        <f>IFERROR(__xludf.DUMMYFUNCTION("""COMPUTED_VALUE"""),8.62582E7)</f>
        <v>86258200</v>
      </c>
      <c r="G823" s="2">
        <f t="shared" si="1"/>
        <v>130</v>
      </c>
    </row>
    <row r="824" ht="15.75" customHeight="1">
      <c r="A824" s="1">
        <f>IFERROR(__xludf.DUMMYFUNCTION("""COMPUTED_VALUE"""),45063.66666666667)</f>
        <v>45063.66667</v>
      </c>
      <c r="B824" s="2">
        <f>IFERROR(__xludf.DUMMYFUNCTION("""COMPUTED_VALUE"""),1530.0)</f>
        <v>1530</v>
      </c>
      <c r="C824" s="2">
        <f>IFERROR(__xludf.DUMMYFUNCTION("""COMPUTED_VALUE"""),1640.0)</f>
        <v>1640</v>
      </c>
      <c r="D824" s="2">
        <f>IFERROR(__xludf.DUMMYFUNCTION("""COMPUTED_VALUE"""),1530.0)</f>
        <v>1530</v>
      </c>
      <c r="E824" s="2">
        <f>IFERROR(__xludf.DUMMYFUNCTION("""COMPUTED_VALUE"""),1600.0)</f>
        <v>1600</v>
      </c>
      <c r="F824" s="2">
        <f>IFERROR(__xludf.DUMMYFUNCTION("""COMPUTED_VALUE"""),1.157789E8)</f>
        <v>115778900</v>
      </c>
      <c r="G824" s="2">
        <f t="shared" si="1"/>
        <v>110</v>
      </c>
    </row>
    <row r="825" ht="15.75" customHeight="1">
      <c r="A825" s="1">
        <f>IFERROR(__xludf.DUMMYFUNCTION("""COMPUTED_VALUE"""),45065.66666666667)</f>
        <v>45065.66667</v>
      </c>
      <c r="B825" s="2">
        <f>IFERROR(__xludf.DUMMYFUNCTION("""COMPUTED_VALUE"""),1615.0)</f>
        <v>1615</v>
      </c>
      <c r="C825" s="2">
        <f>IFERROR(__xludf.DUMMYFUNCTION("""COMPUTED_VALUE"""),1725.0)</f>
        <v>1725</v>
      </c>
      <c r="D825" s="2">
        <f>IFERROR(__xludf.DUMMYFUNCTION("""COMPUTED_VALUE"""),1615.0)</f>
        <v>1615</v>
      </c>
      <c r="E825" s="2">
        <f>IFERROR(__xludf.DUMMYFUNCTION("""COMPUTED_VALUE"""),1710.0)</f>
        <v>1710</v>
      </c>
      <c r="F825" s="2">
        <f>IFERROR(__xludf.DUMMYFUNCTION("""COMPUTED_VALUE"""),7.41864E7)</f>
        <v>74186400</v>
      </c>
      <c r="G825" s="2">
        <f t="shared" si="1"/>
        <v>125</v>
      </c>
    </row>
    <row r="826" ht="15.75" customHeight="1">
      <c r="A826" s="1">
        <f>IFERROR(__xludf.DUMMYFUNCTION("""COMPUTED_VALUE"""),45068.66666666667)</f>
        <v>45068.66667</v>
      </c>
      <c r="B826" s="2">
        <f>IFERROR(__xludf.DUMMYFUNCTION("""COMPUTED_VALUE"""),1710.0)</f>
        <v>1710</v>
      </c>
      <c r="C826" s="2">
        <f>IFERROR(__xludf.DUMMYFUNCTION("""COMPUTED_VALUE"""),1735.0)</f>
        <v>1735</v>
      </c>
      <c r="D826" s="2">
        <f>IFERROR(__xludf.DUMMYFUNCTION("""COMPUTED_VALUE"""),1690.0)</f>
        <v>1690</v>
      </c>
      <c r="E826" s="2">
        <f>IFERROR(__xludf.DUMMYFUNCTION("""COMPUTED_VALUE"""),1695.0)</f>
        <v>1695</v>
      </c>
      <c r="F826" s="2">
        <f>IFERROR(__xludf.DUMMYFUNCTION("""COMPUTED_VALUE"""),3.02406E7)</f>
        <v>30240600</v>
      </c>
      <c r="G826" s="2">
        <f t="shared" si="1"/>
        <v>45</v>
      </c>
    </row>
    <row r="827" ht="15.75" customHeight="1">
      <c r="A827" s="1">
        <f>IFERROR(__xludf.DUMMYFUNCTION("""COMPUTED_VALUE"""),45069.66666666667)</f>
        <v>45069.66667</v>
      </c>
      <c r="B827" s="2">
        <f>IFERROR(__xludf.DUMMYFUNCTION("""COMPUTED_VALUE"""),1695.0)</f>
        <v>1695</v>
      </c>
      <c r="C827" s="2">
        <f>IFERROR(__xludf.DUMMYFUNCTION("""COMPUTED_VALUE"""),1715.0)</f>
        <v>1715</v>
      </c>
      <c r="D827" s="2">
        <f>IFERROR(__xludf.DUMMYFUNCTION("""COMPUTED_VALUE"""),1660.0)</f>
        <v>1660</v>
      </c>
      <c r="E827" s="2">
        <f>IFERROR(__xludf.DUMMYFUNCTION("""COMPUTED_VALUE"""),1670.0)</f>
        <v>1670</v>
      </c>
      <c r="F827" s="2">
        <f>IFERROR(__xludf.DUMMYFUNCTION("""COMPUTED_VALUE"""),3.25916E7)</f>
        <v>32591600</v>
      </c>
      <c r="G827" s="2">
        <f t="shared" si="1"/>
        <v>55</v>
      </c>
    </row>
    <row r="828" ht="15.75" customHeight="1">
      <c r="A828" s="1">
        <f>IFERROR(__xludf.DUMMYFUNCTION("""COMPUTED_VALUE"""),45070.66666666667)</f>
        <v>45070.66667</v>
      </c>
      <c r="B828" s="2">
        <f>IFERROR(__xludf.DUMMYFUNCTION("""COMPUTED_VALUE"""),1670.0)</f>
        <v>1670</v>
      </c>
      <c r="C828" s="2">
        <f>IFERROR(__xludf.DUMMYFUNCTION("""COMPUTED_VALUE"""),1700.0)</f>
        <v>1700</v>
      </c>
      <c r="D828" s="2">
        <f>IFERROR(__xludf.DUMMYFUNCTION("""COMPUTED_VALUE"""),1660.0)</f>
        <v>1660</v>
      </c>
      <c r="E828" s="2">
        <f>IFERROR(__xludf.DUMMYFUNCTION("""COMPUTED_VALUE"""),1680.0)</f>
        <v>1680</v>
      </c>
      <c r="F828" s="2">
        <f>IFERROR(__xludf.DUMMYFUNCTION("""COMPUTED_VALUE"""),2.37208E7)</f>
        <v>23720800</v>
      </c>
      <c r="G828" s="2">
        <f t="shared" si="1"/>
        <v>40</v>
      </c>
    </row>
    <row r="829" ht="15.75" customHeight="1">
      <c r="A829" s="1">
        <f>IFERROR(__xludf.DUMMYFUNCTION("""COMPUTED_VALUE"""),45071.66666666667)</f>
        <v>45071.66667</v>
      </c>
      <c r="B829" s="2">
        <f>IFERROR(__xludf.DUMMYFUNCTION("""COMPUTED_VALUE"""),1685.0)</f>
        <v>1685</v>
      </c>
      <c r="C829" s="2">
        <f>IFERROR(__xludf.DUMMYFUNCTION("""COMPUTED_VALUE"""),1715.0)</f>
        <v>1715</v>
      </c>
      <c r="D829" s="2">
        <f>IFERROR(__xludf.DUMMYFUNCTION("""COMPUTED_VALUE"""),1680.0)</f>
        <v>1680</v>
      </c>
      <c r="E829" s="2">
        <f>IFERROR(__xludf.DUMMYFUNCTION("""COMPUTED_VALUE"""),1700.0)</f>
        <v>1700</v>
      </c>
      <c r="F829" s="2">
        <f>IFERROR(__xludf.DUMMYFUNCTION("""COMPUTED_VALUE"""),2.20294E7)</f>
        <v>22029400</v>
      </c>
      <c r="G829" s="2">
        <f t="shared" si="1"/>
        <v>35</v>
      </c>
    </row>
    <row r="830" ht="15.75" customHeight="1">
      <c r="A830" s="1">
        <f>IFERROR(__xludf.DUMMYFUNCTION("""COMPUTED_VALUE"""),45072.66666666667)</f>
        <v>45072.66667</v>
      </c>
      <c r="B830" s="2">
        <f>IFERROR(__xludf.DUMMYFUNCTION("""COMPUTED_VALUE"""),1700.0)</f>
        <v>1700</v>
      </c>
      <c r="C830" s="2">
        <f>IFERROR(__xludf.DUMMYFUNCTION("""COMPUTED_VALUE"""),1745.0)</f>
        <v>1745</v>
      </c>
      <c r="D830" s="2">
        <f>IFERROR(__xludf.DUMMYFUNCTION("""COMPUTED_VALUE"""),1695.0)</f>
        <v>1695</v>
      </c>
      <c r="E830" s="2">
        <f>IFERROR(__xludf.DUMMYFUNCTION("""COMPUTED_VALUE"""),1735.0)</f>
        <v>1735</v>
      </c>
      <c r="F830" s="2">
        <f>IFERROR(__xludf.DUMMYFUNCTION("""COMPUTED_VALUE"""),2.31589E7)</f>
        <v>23158900</v>
      </c>
      <c r="G830" s="2">
        <f t="shared" si="1"/>
        <v>50</v>
      </c>
    </row>
    <row r="831" ht="15.75" customHeight="1">
      <c r="A831" s="1">
        <f>IFERROR(__xludf.DUMMYFUNCTION("""COMPUTED_VALUE"""),45075.66666666667)</f>
        <v>45075.66667</v>
      </c>
      <c r="B831" s="2">
        <f>IFERROR(__xludf.DUMMYFUNCTION("""COMPUTED_VALUE"""),1740.0)</f>
        <v>1740</v>
      </c>
      <c r="C831" s="2">
        <f>IFERROR(__xludf.DUMMYFUNCTION("""COMPUTED_VALUE"""),1770.0)</f>
        <v>1770</v>
      </c>
      <c r="D831" s="2">
        <f>IFERROR(__xludf.DUMMYFUNCTION("""COMPUTED_VALUE"""),1725.0)</f>
        <v>1725</v>
      </c>
      <c r="E831" s="2">
        <f>IFERROR(__xludf.DUMMYFUNCTION("""COMPUTED_VALUE"""),1765.0)</f>
        <v>1765</v>
      </c>
      <c r="F831" s="2">
        <f>IFERROR(__xludf.DUMMYFUNCTION("""COMPUTED_VALUE"""),2.95952E7)</f>
        <v>29595200</v>
      </c>
      <c r="G831" s="2">
        <f t="shared" si="1"/>
        <v>45</v>
      </c>
    </row>
    <row r="832" ht="15.75" customHeight="1">
      <c r="A832" s="1">
        <f>IFERROR(__xludf.DUMMYFUNCTION("""COMPUTED_VALUE"""),45076.66666666667)</f>
        <v>45076.66667</v>
      </c>
      <c r="B832" s="2">
        <f>IFERROR(__xludf.DUMMYFUNCTION("""COMPUTED_VALUE"""),1765.0)</f>
        <v>1765</v>
      </c>
      <c r="C832" s="2">
        <f>IFERROR(__xludf.DUMMYFUNCTION("""COMPUTED_VALUE"""),1770.0)</f>
        <v>1770</v>
      </c>
      <c r="D832" s="2">
        <f>IFERROR(__xludf.DUMMYFUNCTION("""COMPUTED_VALUE"""),1735.0)</f>
        <v>1735</v>
      </c>
      <c r="E832" s="2">
        <f>IFERROR(__xludf.DUMMYFUNCTION("""COMPUTED_VALUE"""),1740.0)</f>
        <v>1740</v>
      </c>
      <c r="F832" s="2">
        <f>IFERROR(__xludf.DUMMYFUNCTION("""COMPUTED_VALUE"""),1.73457E7)</f>
        <v>17345700</v>
      </c>
      <c r="G832" s="2">
        <f t="shared" si="1"/>
        <v>35</v>
      </c>
    </row>
    <row r="833" ht="15.75" customHeight="1">
      <c r="A833" s="1">
        <f>IFERROR(__xludf.DUMMYFUNCTION("""COMPUTED_VALUE"""),45077.66666666667)</f>
        <v>45077.66667</v>
      </c>
      <c r="B833" s="2">
        <f>IFERROR(__xludf.DUMMYFUNCTION("""COMPUTED_VALUE"""),1740.0)</f>
        <v>1740</v>
      </c>
      <c r="C833" s="2">
        <f>IFERROR(__xludf.DUMMYFUNCTION("""COMPUTED_VALUE"""),1745.0)</f>
        <v>1745</v>
      </c>
      <c r="D833" s="2">
        <f>IFERROR(__xludf.DUMMYFUNCTION("""COMPUTED_VALUE"""),1710.0)</f>
        <v>1710</v>
      </c>
      <c r="E833" s="2">
        <f>IFERROR(__xludf.DUMMYFUNCTION("""COMPUTED_VALUE"""),1730.0)</f>
        <v>1730</v>
      </c>
      <c r="F833" s="2">
        <f>IFERROR(__xludf.DUMMYFUNCTION("""COMPUTED_VALUE"""),1.65543E7)</f>
        <v>16554300</v>
      </c>
      <c r="G833" s="2">
        <f t="shared" si="1"/>
        <v>35</v>
      </c>
    </row>
    <row r="834" ht="15.75" customHeight="1">
      <c r="A834" s="1">
        <f>IFERROR(__xludf.DUMMYFUNCTION("""COMPUTED_VALUE"""),45082.66666666667)</f>
        <v>45082.66667</v>
      </c>
      <c r="B834" s="2">
        <f>IFERROR(__xludf.DUMMYFUNCTION("""COMPUTED_VALUE"""),1730.0)</f>
        <v>1730</v>
      </c>
      <c r="C834" s="2">
        <f>IFERROR(__xludf.DUMMYFUNCTION("""COMPUTED_VALUE"""),1765.0)</f>
        <v>1765</v>
      </c>
      <c r="D834" s="2">
        <f>IFERROR(__xludf.DUMMYFUNCTION("""COMPUTED_VALUE"""),1730.0)</f>
        <v>1730</v>
      </c>
      <c r="E834" s="2">
        <f>IFERROR(__xludf.DUMMYFUNCTION("""COMPUTED_VALUE"""),1735.0)</f>
        <v>1735</v>
      </c>
      <c r="F834" s="2">
        <f>IFERROR(__xludf.DUMMYFUNCTION("""COMPUTED_VALUE"""),1.32453E7)</f>
        <v>13245300</v>
      </c>
      <c r="G834" s="2">
        <f t="shared" si="1"/>
        <v>35</v>
      </c>
    </row>
    <row r="835" ht="15.75" customHeight="1">
      <c r="A835" s="1">
        <f>IFERROR(__xludf.DUMMYFUNCTION("""COMPUTED_VALUE"""),45083.66666666667)</f>
        <v>45083.66667</v>
      </c>
      <c r="B835" s="2">
        <f>IFERROR(__xludf.DUMMYFUNCTION("""COMPUTED_VALUE"""),1735.0)</f>
        <v>1735</v>
      </c>
      <c r="C835" s="2">
        <f>IFERROR(__xludf.DUMMYFUNCTION("""COMPUTED_VALUE"""),1735.0)</f>
        <v>1735</v>
      </c>
      <c r="D835" s="2">
        <f>IFERROR(__xludf.DUMMYFUNCTION("""COMPUTED_VALUE"""),1675.0)</f>
        <v>1675</v>
      </c>
      <c r="E835" s="2">
        <f>IFERROR(__xludf.DUMMYFUNCTION("""COMPUTED_VALUE"""),1695.0)</f>
        <v>1695</v>
      </c>
      <c r="F835" s="2">
        <f>IFERROR(__xludf.DUMMYFUNCTION("""COMPUTED_VALUE"""),2.40261E7)</f>
        <v>24026100</v>
      </c>
      <c r="G835" s="2">
        <f t="shared" si="1"/>
        <v>60</v>
      </c>
    </row>
    <row r="836" ht="15.75" customHeight="1">
      <c r="A836" s="1">
        <f>IFERROR(__xludf.DUMMYFUNCTION("""COMPUTED_VALUE"""),45084.66666666667)</f>
        <v>45084.66667</v>
      </c>
      <c r="B836" s="2">
        <f>IFERROR(__xludf.DUMMYFUNCTION("""COMPUTED_VALUE"""),1695.0)</f>
        <v>1695</v>
      </c>
      <c r="C836" s="2">
        <f>IFERROR(__xludf.DUMMYFUNCTION("""COMPUTED_VALUE"""),1720.0)</f>
        <v>1720</v>
      </c>
      <c r="D836" s="2">
        <f>IFERROR(__xludf.DUMMYFUNCTION("""COMPUTED_VALUE"""),1695.0)</f>
        <v>1695</v>
      </c>
      <c r="E836" s="2">
        <f>IFERROR(__xludf.DUMMYFUNCTION("""COMPUTED_VALUE"""),1710.0)</f>
        <v>1710</v>
      </c>
      <c r="F836" s="2">
        <f>IFERROR(__xludf.DUMMYFUNCTION("""COMPUTED_VALUE"""),1.36306E7)</f>
        <v>13630600</v>
      </c>
      <c r="G836" s="2">
        <f t="shared" si="1"/>
        <v>25</v>
      </c>
    </row>
    <row r="837" ht="15.75" customHeight="1">
      <c r="A837" s="1">
        <f>IFERROR(__xludf.DUMMYFUNCTION("""COMPUTED_VALUE"""),45085.66666666667)</f>
        <v>45085.66667</v>
      </c>
      <c r="B837" s="2">
        <f>IFERROR(__xludf.DUMMYFUNCTION("""COMPUTED_VALUE"""),1680.0)</f>
        <v>1680</v>
      </c>
      <c r="C837" s="2">
        <f>IFERROR(__xludf.DUMMYFUNCTION("""COMPUTED_VALUE"""),1705.0)</f>
        <v>1705</v>
      </c>
      <c r="D837" s="2">
        <f>IFERROR(__xludf.DUMMYFUNCTION("""COMPUTED_VALUE"""),1680.0)</f>
        <v>1680</v>
      </c>
      <c r="E837" s="2">
        <f>IFERROR(__xludf.DUMMYFUNCTION("""COMPUTED_VALUE"""),1685.0)</f>
        <v>1685</v>
      </c>
      <c r="F837" s="2">
        <f>IFERROR(__xludf.DUMMYFUNCTION("""COMPUTED_VALUE"""),1.69541E7)</f>
        <v>16954100</v>
      </c>
      <c r="G837" s="2">
        <f t="shared" si="1"/>
        <v>30</v>
      </c>
    </row>
    <row r="838" ht="15.75" customHeight="1">
      <c r="A838" s="1">
        <f>IFERROR(__xludf.DUMMYFUNCTION("""COMPUTED_VALUE"""),45086.66666666667)</f>
        <v>45086.66667</v>
      </c>
      <c r="B838" s="2">
        <f>IFERROR(__xludf.DUMMYFUNCTION("""COMPUTED_VALUE"""),1690.0)</f>
        <v>1690</v>
      </c>
      <c r="C838" s="2">
        <f>IFERROR(__xludf.DUMMYFUNCTION("""COMPUTED_VALUE"""),1700.0)</f>
        <v>1700</v>
      </c>
      <c r="D838" s="2">
        <f>IFERROR(__xludf.DUMMYFUNCTION("""COMPUTED_VALUE"""),1675.0)</f>
        <v>1675</v>
      </c>
      <c r="E838" s="2">
        <f>IFERROR(__xludf.DUMMYFUNCTION("""COMPUTED_VALUE"""),1680.0)</f>
        <v>1680</v>
      </c>
      <c r="F838" s="2">
        <f>IFERROR(__xludf.DUMMYFUNCTION("""COMPUTED_VALUE"""),1.36526E7)</f>
        <v>13652600</v>
      </c>
      <c r="G838" s="2">
        <f t="shared" si="1"/>
        <v>25</v>
      </c>
    </row>
    <row r="839" ht="15.75" customHeight="1">
      <c r="A839" s="1">
        <f>IFERROR(__xludf.DUMMYFUNCTION("""COMPUTED_VALUE"""),45089.66666666667)</f>
        <v>45089.66667</v>
      </c>
      <c r="B839" s="2">
        <f>IFERROR(__xludf.DUMMYFUNCTION("""COMPUTED_VALUE"""),1680.0)</f>
        <v>1680</v>
      </c>
      <c r="C839" s="2">
        <f>IFERROR(__xludf.DUMMYFUNCTION("""COMPUTED_VALUE"""),1695.0)</f>
        <v>1695</v>
      </c>
      <c r="D839" s="2">
        <f>IFERROR(__xludf.DUMMYFUNCTION("""COMPUTED_VALUE"""),1660.0)</f>
        <v>1660</v>
      </c>
      <c r="E839" s="2">
        <f>IFERROR(__xludf.DUMMYFUNCTION("""COMPUTED_VALUE"""),1665.0)</f>
        <v>1665</v>
      </c>
      <c r="F839" s="2">
        <f>IFERROR(__xludf.DUMMYFUNCTION("""COMPUTED_VALUE"""),1.81883E7)</f>
        <v>18188300</v>
      </c>
      <c r="G839" s="2">
        <f t="shared" si="1"/>
        <v>35</v>
      </c>
    </row>
    <row r="840" ht="15.75" customHeight="1">
      <c r="A840" s="1">
        <f>IFERROR(__xludf.DUMMYFUNCTION("""COMPUTED_VALUE"""),45090.66666666667)</f>
        <v>45090.66667</v>
      </c>
      <c r="B840" s="2">
        <f>IFERROR(__xludf.DUMMYFUNCTION("""COMPUTED_VALUE"""),1665.0)</f>
        <v>1665</v>
      </c>
      <c r="C840" s="2">
        <f>IFERROR(__xludf.DUMMYFUNCTION("""COMPUTED_VALUE"""),1680.0)</f>
        <v>1680</v>
      </c>
      <c r="D840" s="2">
        <f>IFERROR(__xludf.DUMMYFUNCTION("""COMPUTED_VALUE"""),1660.0)</f>
        <v>1660</v>
      </c>
      <c r="E840" s="2">
        <f>IFERROR(__xludf.DUMMYFUNCTION("""COMPUTED_VALUE"""),1660.0)</f>
        <v>1660</v>
      </c>
      <c r="F840" s="2">
        <f>IFERROR(__xludf.DUMMYFUNCTION("""COMPUTED_VALUE"""),1.08632E7)</f>
        <v>10863200</v>
      </c>
      <c r="G840" s="2">
        <f t="shared" si="1"/>
        <v>20</v>
      </c>
    </row>
    <row r="841" ht="15.75" customHeight="1">
      <c r="A841" s="1">
        <f>IFERROR(__xludf.DUMMYFUNCTION("""COMPUTED_VALUE"""),45091.66666666667)</f>
        <v>45091.66667</v>
      </c>
      <c r="B841" s="2">
        <f>IFERROR(__xludf.DUMMYFUNCTION("""COMPUTED_VALUE"""),1660.0)</f>
        <v>1660</v>
      </c>
      <c r="C841" s="2">
        <f>IFERROR(__xludf.DUMMYFUNCTION("""COMPUTED_VALUE"""),1675.0)</f>
        <v>1675</v>
      </c>
      <c r="D841" s="2">
        <f>IFERROR(__xludf.DUMMYFUNCTION("""COMPUTED_VALUE"""),1635.0)</f>
        <v>1635</v>
      </c>
      <c r="E841" s="2">
        <f>IFERROR(__xludf.DUMMYFUNCTION("""COMPUTED_VALUE"""),1670.0)</f>
        <v>1670</v>
      </c>
      <c r="F841" s="2">
        <f>IFERROR(__xludf.DUMMYFUNCTION("""COMPUTED_VALUE"""),2.07054E7)</f>
        <v>20705400</v>
      </c>
      <c r="G841" s="2">
        <f t="shared" si="1"/>
        <v>40</v>
      </c>
    </row>
    <row r="842" ht="15.75" customHeight="1">
      <c r="A842" s="1">
        <f>IFERROR(__xludf.DUMMYFUNCTION("""COMPUTED_VALUE"""),45092.66666666667)</f>
        <v>45092.66667</v>
      </c>
      <c r="B842" s="2">
        <f>IFERROR(__xludf.DUMMYFUNCTION("""COMPUTED_VALUE"""),1675.0)</f>
        <v>1675</v>
      </c>
      <c r="C842" s="2">
        <f>IFERROR(__xludf.DUMMYFUNCTION("""COMPUTED_VALUE"""),1685.0)</f>
        <v>1685</v>
      </c>
      <c r="D842" s="2">
        <f>IFERROR(__xludf.DUMMYFUNCTION("""COMPUTED_VALUE"""),1655.0)</f>
        <v>1655</v>
      </c>
      <c r="E842" s="2">
        <f>IFERROR(__xludf.DUMMYFUNCTION("""COMPUTED_VALUE"""),1680.0)</f>
        <v>1680</v>
      </c>
      <c r="F842" s="2">
        <f>IFERROR(__xludf.DUMMYFUNCTION("""COMPUTED_VALUE"""),1.23937E7)</f>
        <v>12393700</v>
      </c>
      <c r="G842" s="2">
        <f t="shared" si="1"/>
        <v>30</v>
      </c>
    </row>
    <row r="843" ht="15.75" customHeight="1">
      <c r="A843" s="1">
        <f>IFERROR(__xludf.DUMMYFUNCTION("""COMPUTED_VALUE"""),45093.66666666667)</f>
        <v>45093.66667</v>
      </c>
      <c r="B843" s="2">
        <f>IFERROR(__xludf.DUMMYFUNCTION("""COMPUTED_VALUE"""),1685.0)</f>
        <v>1685</v>
      </c>
      <c r="C843" s="2">
        <f>IFERROR(__xludf.DUMMYFUNCTION("""COMPUTED_VALUE"""),1690.0)</f>
        <v>1690</v>
      </c>
      <c r="D843" s="2">
        <f>IFERROR(__xludf.DUMMYFUNCTION("""COMPUTED_VALUE"""),1660.0)</f>
        <v>1660</v>
      </c>
      <c r="E843" s="2">
        <f>IFERROR(__xludf.DUMMYFUNCTION("""COMPUTED_VALUE"""),1670.0)</f>
        <v>1670</v>
      </c>
      <c r="F843" s="2">
        <f>IFERROR(__xludf.DUMMYFUNCTION("""COMPUTED_VALUE"""),1.24656E7)</f>
        <v>12465600</v>
      </c>
      <c r="G843" s="2">
        <f t="shared" si="1"/>
        <v>30</v>
      </c>
    </row>
    <row r="844" ht="15.75" customHeight="1">
      <c r="A844" s="1">
        <f>IFERROR(__xludf.DUMMYFUNCTION("""COMPUTED_VALUE"""),45096.66666666667)</f>
        <v>45096.66667</v>
      </c>
      <c r="B844" s="2">
        <f>IFERROR(__xludf.DUMMYFUNCTION("""COMPUTED_VALUE"""),1675.0)</f>
        <v>1675</v>
      </c>
      <c r="C844" s="2">
        <f>IFERROR(__xludf.DUMMYFUNCTION("""COMPUTED_VALUE"""),1675.0)</f>
        <v>1675</v>
      </c>
      <c r="D844" s="2">
        <f>IFERROR(__xludf.DUMMYFUNCTION("""COMPUTED_VALUE"""),1650.0)</f>
        <v>1650</v>
      </c>
      <c r="E844" s="2">
        <f>IFERROR(__xludf.DUMMYFUNCTION("""COMPUTED_VALUE"""),1650.0)</f>
        <v>1650</v>
      </c>
      <c r="F844" s="2">
        <f>IFERROR(__xludf.DUMMYFUNCTION("""COMPUTED_VALUE"""),8799500.0)</f>
        <v>8799500</v>
      </c>
      <c r="G844" s="2">
        <f t="shared" si="1"/>
        <v>25</v>
      </c>
    </row>
    <row r="845" ht="15.75" customHeight="1">
      <c r="A845" s="1">
        <f>IFERROR(__xludf.DUMMYFUNCTION("""COMPUTED_VALUE"""),45097.66666666667)</f>
        <v>45097.66667</v>
      </c>
      <c r="B845" s="2">
        <f>IFERROR(__xludf.DUMMYFUNCTION("""COMPUTED_VALUE"""),1650.0)</f>
        <v>1650</v>
      </c>
      <c r="C845" s="2">
        <f>IFERROR(__xludf.DUMMYFUNCTION("""COMPUTED_VALUE"""),1660.0)</f>
        <v>1660</v>
      </c>
      <c r="D845" s="2">
        <f>IFERROR(__xludf.DUMMYFUNCTION("""COMPUTED_VALUE"""),1640.0)</f>
        <v>1640</v>
      </c>
      <c r="E845" s="2">
        <f>IFERROR(__xludf.DUMMYFUNCTION("""COMPUTED_VALUE"""),1645.0)</f>
        <v>1645</v>
      </c>
      <c r="F845" s="2">
        <f>IFERROR(__xludf.DUMMYFUNCTION("""COMPUTED_VALUE"""),7042600.0)</f>
        <v>7042600</v>
      </c>
      <c r="G845" s="2">
        <f t="shared" si="1"/>
        <v>20</v>
      </c>
    </row>
    <row r="846" ht="15.75" customHeight="1">
      <c r="A846" s="1">
        <f>IFERROR(__xludf.DUMMYFUNCTION("""COMPUTED_VALUE"""),45098.66666666667)</f>
        <v>45098.66667</v>
      </c>
      <c r="B846" s="2">
        <f>IFERROR(__xludf.DUMMYFUNCTION("""COMPUTED_VALUE"""),1645.0)</f>
        <v>1645</v>
      </c>
      <c r="C846" s="2">
        <f>IFERROR(__xludf.DUMMYFUNCTION("""COMPUTED_VALUE"""),1660.0)</f>
        <v>1660</v>
      </c>
      <c r="D846" s="2">
        <f>IFERROR(__xludf.DUMMYFUNCTION("""COMPUTED_VALUE"""),1640.0)</f>
        <v>1640</v>
      </c>
      <c r="E846" s="2">
        <f>IFERROR(__xludf.DUMMYFUNCTION("""COMPUTED_VALUE"""),1640.0)</f>
        <v>1640</v>
      </c>
      <c r="F846" s="2">
        <f>IFERROR(__xludf.DUMMYFUNCTION("""COMPUTED_VALUE"""),8210600.0)</f>
        <v>8210600</v>
      </c>
      <c r="G846" s="2">
        <f t="shared" si="1"/>
        <v>20</v>
      </c>
    </row>
    <row r="847" ht="15.75" customHeight="1">
      <c r="A847" s="1">
        <f>IFERROR(__xludf.DUMMYFUNCTION("""COMPUTED_VALUE"""),45099.66666666667)</f>
        <v>45099.66667</v>
      </c>
      <c r="B847" s="2">
        <f>IFERROR(__xludf.DUMMYFUNCTION("""COMPUTED_VALUE"""),1645.0)</f>
        <v>1645</v>
      </c>
      <c r="C847" s="2">
        <f>IFERROR(__xludf.DUMMYFUNCTION("""COMPUTED_VALUE"""),1710.0)</f>
        <v>1710</v>
      </c>
      <c r="D847" s="2">
        <f>IFERROR(__xludf.DUMMYFUNCTION("""COMPUTED_VALUE"""),1645.0)</f>
        <v>1645</v>
      </c>
      <c r="E847" s="2">
        <f>IFERROR(__xludf.DUMMYFUNCTION("""COMPUTED_VALUE"""),1690.0)</f>
        <v>1690</v>
      </c>
      <c r="F847" s="2">
        <f>IFERROR(__xludf.DUMMYFUNCTION("""COMPUTED_VALUE"""),3.64864E7)</f>
        <v>36486400</v>
      </c>
      <c r="G847" s="2">
        <f t="shared" si="1"/>
        <v>70</v>
      </c>
    </row>
    <row r="848" ht="15.75" customHeight="1">
      <c r="A848" s="1">
        <f>IFERROR(__xludf.DUMMYFUNCTION("""COMPUTED_VALUE"""),45100.66666666667)</f>
        <v>45100.66667</v>
      </c>
      <c r="B848" s="2">
        <f>IFERROR(__xludf.DUMMYFUNCTION("""COMPUTED_VALUE"""),1705.0)</f>
        <v>1705</v>
      </c>
      <c r="C848" s="2">
        <f>IFERROR(__xludf.DUMMYFUNCTION("""COMPUTED_VALUE"""),1720.0)</f>
        <v>1720</v>
      </c>
      <c r="D848" s="2">
        <f>IFERROR(__xludf.DUMMYFUNCTION("""COMPUTED_VALUE"""),1680.0)</f>
        <v>1680</v>
      </c>
      <c r="E848" s="2">
        <f>IFERROR(__xludf.DUMMYFUNCTION("""COMPUTED_VALUE"""),1680.0)</f>
        <v>1680</v>
      </c>
      <c r="F848" s="2">
        <f>IFERROR(__xludf.DUMMYFUNCTION("""COMPUTED_VALUE"""),3.6047E7)</f>
        <v>36047000</v>
      </c>
      <c r="G848" s="2">
        <f t="shared" si="1"/>
        <v>40</v>
      </c>
    </row>
    <row r="849" ht="15.75" customHeight="1">
      <c r="A849" s="1">
        <f>IFERROR(__xludf.DUMMYFUNCTION("""COMPUTED_VALUE"""),45103.66666666667)</f>
        <v>45103.66667</v>
      </c>
      <c r="B849" s="2">
        <f>IFERROR(__xludf.DUMMYFUNCTION("""COMPUTED_VALUE"""),1680.0)</f>
        <v>1680</v>
      </c>
      <c r="C849" s="2">
        <f>IFERROR(__xludf.DUMMYFUNCTION("""COMPUTED_VALUE"""),1690.0)</f>
        <v>1690</v>
      </c>
      <c r="D849" s="2">
        <f>IFERROR(__xludf.DUMMYFUNCTION("""COMPUTED_VALUE"""),1655.0)</f>
        <v>1655</v>
      </c>
      <c r="E849" s="2">
        <f>IFERROR(__xludf.DUMMYFUNCTION("""COMPUTED_VALUE"""),1665.0)</f>
        <v>1665</v>
      </c>
      <c r="F849" s="2">
        <f>IFERROR(__xludf.DUMMYFUNCTION("""COMPUTED_VALUE"""),1.29213E7)</f>
        <v>12921300</v>
      </c>
      <c r="G849" s="2">
        <f t="shared" si="1"/>
        <v>35</v>
      </c>
    </row>
    <row r="850" ht="15.75" customHeight="1">
      <c r="A850" s="1">
        <f>IFERROR(__xludf.DUMMYFUNCTION("""COMPUTED_VALUE"""),45104.66666666667)</f>
        <v>45104.66667</v>
      </c>
      <c r="B850" s="2">
        <f>IFERROR(__xludf.DUMMYFUNCTION("""COMPUTED_VALUE"""),1670.0)</f>
        <v>1670</v>
      </c>
      <c r="C850" s="2">
        <f>IFERROR(__xludf.DUMMYFUNCTION("""COMPUTED_VALUE"""),1690.0)</f>
        <v>1690</v>
      </c>
      <c r="D850" s="2">
        <f>IFERROR(__xludf.DUMMYFUNCTION("""COMPUTED_VALUE"""),1655.0)</f>
        <v>1655</v>
      </c>
      <c r="E850" s="2">
        <f>IFERROR(__xludf.DUMMYFUNCTION("""COMPUTED_VALUE"""),1690.0)</f>
        <v>1690</v>
      </c>
      <c r="F850" s="2">
        <f>IFERROR(__xludf.DUMMYFUNCTION("""COMPUTED_VALUE"""),1.68253E7)</f>
        <v>16825300</v>
      </c>
      <c r="G850" s="2">
        <f t="shared" si="1"/>
        <v>35</v>
      </c>
    </row>
    <row r="851" ht="15.75" customHeight="1">
      <c r="A851" s="1">
        <f>IFERROR(__xludf.DUMMYFUNCTION("""COMPUTED_VALUE"""),45110.66666666667)</f>
        <v>45110.66667</v>
      </c>
      <c r="B851" s="2">
        <f>IFERROR(__xludf.DUMMYFUNCTION("""COMPUTED_VALUE"""),1690.0)</f>
        <v>1690</v>
      </c>
      <c r="C851" s="2">
        <f>IFERROR(__xludf.DUMMYFUNCTION("""COMPUTED_VALUE"""),1715.0)</f>
        <v>1715</v>
      </c>
      <c r="D851" s="2">
        <f>IFERROR(__xludf.DUMMYFUNCTION("""COMPUTED_VALUE"""),1680.0)</f>
        <v>1680</v>
      </c>
      <c r="E851" s="2">
        <f>IFERROR(__xludf.DUMMYFUNCTION("""COMPUTED_VALUE"""),1690.0)</f>
        <v>1690</v>
      </c>
      <c r="F851" s="2">
        <f>IFERROR(__xludf.DUMMYFUNCTION("""COMPUTED_VALUE"""),2.79364E7)</f>
        <v>27936400</v>
      </c>
      <c r="G851" s="2">
        <f t="shared" si="1"/>
        <v>35</v>
      </c>
    </row>
    <row r="852" ht="15.75" customHeight="1">
      <c r="A852" s="1">
        <f>IFERROR(__xludf.DUMMYFUNCTION("""COMPUTED_VALUE"""),45111.66666666667)</f>
        <v>45111.66667</v>
      </c>
      <c r="B852" s="2">
        <f>IFERROR(__xludf.DUMMYFUNCTION("""COMPUTED_VALUE"""),1690.0)</f>
        <v>1690</v>
      </c>
      <c r="C852" s="2">
        <f>IFERROR(__xludf.DUMMYFUNCTION("""COMPUTED_VALUE"""),1800.0)</f>
        <v>1800</v>
      </c>
      <c r="D852" s="2">
        <f>IFERROR(__xludf.DUMMYFUNCTION("""COMPUTED_VALUE"""),1690.0)</f>
        <v>1690</v>
      </c>
      <c r="E852" s="2">
        <f>IFERROR(__xludf.DUMMYFUNCTION("""COMPUTED_VALUE"""),1790.0)</f>
        <v>1790</v>
      </c>
      <c r="F852" s="2">
        <f>IFERROR(__xludf.DUMMYFUNCTION("""COMPUTED_VALUE"""),8.65142E7)</f>
        <v>86514200</v>
      </c>
      <c r="G852" s="2">
        <f t="shared" si="1"/>
        <v>110</v>
      </c>
    </row>
    <row r="853" ht="15.75" customHeight="1">
      <c r="A853" s="1">
        <f>IFERROR(__xludf.DUMMYFUNCTION("""COMPUTED_VALUE"""),45112.66666666667)</f>
        <v>45112.66667</v>
      </c>
      <c r="B853" s="2">
        <f>IFERROR(__xludf.DUMMYFUNCTION("""COMPUTED_VALUE"""),1785.0)</f>
        <v>1785</v>
      </c>
      <c r="C853" s="2">
        <f>IFERROR(__xludf.DUMMYFUNCTION("""COMPUTED_VALUE"""),1790.0)</f>
        <v>1790</v>
      </c>
      <c r="D853" s="2">
        <f>IFERROR(__xludf.DUMMYFUNCTION("""COMPUTED_VALUE"""),1745.0)</f>
        <v>1745</v>
      </c>
      <c r="E853" s="2">
        <f>IFERROR(__xludf.DUMMYFUNCTION("""COMPUTED_VALUE"""),1750.0)</f>
        <v>1750</v>
      </c>
      <c r="F853" s="2">
        <f>IFERROR(__xludf.DUMMYFUNCTION("""COMPUTED_VALUE"""),4.63304E7)</f>
        <v>46330400</v>
      </c>
      <c r="G853" s="2">
        <f t="shared" si="1"/>
        <v>45</v>
      </c>
    </row>
    <row r="854" ht="15.75" customHeight="1">
      <c r="A854" s="1">
        <f>IFERROR(__xludf.DUMMYFUNCTION("""COMPUTED_VALUE"""),45113.66666666667)</f>
        <v>45113.66667</v>
      </c>
      <c r="B854" s="2">
        <f>IFERROR(__xludf.DUMMYFUNCTION("""COMPUTED_VALUE"""),1750.0)</f>
        <v>1750</v>
      </c>
      <c r="C854" s="2">
        <f>IFERROR(__xludf.DUMMYFUNCTION("""COMPUTED_VALUE"""),1750.0)</f>
        <v>1750</v>
      </c>
      <c r="D854" s="2">
        <f>IFERROR(__xludf.DUMMYFUNCTION("""COMPUTED_VALUE"""),1705.0)</f>
        <v>1705</v>
      </c>
      <c r="E854" s="2">
        <f>IFERROR(__xludf.DUMMYFUNCTION("""COMPUTED_VALUE"""),1710.0)</f>
        <v>1710</v>
      </c>
      <c r="F854" s="2">
        <f>IFERROR(__xludf.DUMMYFUNCTION("""COMPUTED_VALUE"""),4.96959E7)</f>
        <v>49695900</v>
      </c>
      <c r="G854" s="2">
        <f t="shared" si="1"/>
        <v>45</v>
      </c>
    </row>
    <row r="855" ht="15.75" customHeight="1">
      <c r="A855" s="1">
        <f>IFERROR(__xludf.DUMMYFUNCTION("""COMPUTED_VALUE"""),45114.66666666667)</f>
        <v>45114.66667</v>
      </c>
      <c r="B855" s="2">
        <f>IFERROR(__xludf.DUMMYFUNCTION("""COMPUTED_VALUE"""),1710.0)</f>
        <v>1710</v>
      </c>
      <c r="C855" s="2">
        <f>IFERROR(__xludf.DUMMYFUNCTION("""COMPUTED_VALUE"""),1765.0)</f>
        <v>1765</v>
      </c>
      <c r="D855" s="2">
        <f>IFERROR(__xludf.DUMMYFUNCTION("""COMPUTED_VALUE"""),1705.0)</f>
        <v>1705</v>
      </c>
      <c r="E855" s="2">
        <f>IFERROR(__xludf.DUMMYFUNCTION("""COMPUTED_VALUE"""),1735.0)</f>
        <v>1735</v>
      </c>
      <c r="F855" s="2">
        <f>IFERROR(__xludf.DUMMYFUNCTION("""COMPUTED_VALUE"""),2.5889E7)</f>
        <v>25889000</v>
      </c>
      <c r="G855" s="2">
        <f t="shared" si="1"/>
        <v>60</v>
      </c>
    </row>
    <row r="856" ht="15.75" customHeight="1">
      <c r="A856" s="1">
        <f>IFERROR(__xludf.DUMMYFUNCTION("""COMPUTED_VALUE"""),45117.66666666667)</f>
        <v>45117.66667</v>
      </c>
      <c r="B856" s="2">
        <f>IFERROR(__xludf.DUMMYFUNCTION("""COMPUTED_VALUE"""),1735.0)</f>
        <v>1735</v>
      </c>
      <c r="C856" s="2">
        <f>IFERROR(__xludf.DUMMYFUNCTION("""COMPUTED_VALUE"""),1745.0)</f>
        <v>1745</v>
      </c>
      <c r="D856" s="2">
        <f>IFERROR(__xludf.DUMMYFUNCTION("""COMPUTED_VALUE"""),1710.0)</f>
        <v>1710</v>
      </c>
      <c r="E856" s="2">
        <f>IFERROR(__xludf.DUMMYFUNCTION("""COMPUTED_VALUE"""),1715.0)</f>
        <v>1715</v>
      </c>
      <c r="F856" s="2">
        <f>IFERROR(__xludf.DUMMYFUNCTION("""COMPUTED_VALUE"""),2.01908E7)</f>
        <v>20190800</v>
      </c>
      <c r="G856" s="2">
        <f t="shared" si="1"/>
        <v>35</v>
      </c>
    </row>
    <row r="857" ht="15.75" customHeight="1">
      <c r="A857" s="1">
        <f>IFERROR(__xludf.DUMMYFUNCTION("""COMPUTED_VALUE"""),45118.66666666667)</f>
        <v>45118.66667</v>
      </c>
      <c r="B857" s="2">
        <f>IFERROR(__xludf.DUMMYFUNCTION("""COMPUTED_VALUE"""),1720.0)</f>
        <v>1720</v>
      </c>
      <c r="C857" s="2">
        <f>IFERROR(__xludf.DUMMYFUNCTION("""COMPUTED_VALUE"""),1730.0)</f>
        <v>1730</v>
      </c>
      <c r="D857" s="2">
        <f>IFERROR(__xludf.DUMMYFUNCTION("""COMPUTED_VALUE"""),1710.0)</f>
        <v>1710</v>
      </c>
      <c r="E857" s="2">
        <f>IFERROR(__xludf.DUMMYFUNCTION("""COMPUTED_VALUE"""),1715.0)</f>
        <v>1715</v>
      </c>
      <c r="F857" s="2">
        <f>IFERROR(__xludf.DUMMYFUNCTION("""COMPUTED_VALUE"""),1.67591E7)</f>
        <v>16759100</v>
      </c>
      <c r="G857" s="2">
        <f t="shared" si="1"/>
        <v>20</v>
      </c>
    </row>
    <row r="858" ht="15.75" customHeight="1">
      <c r="A858" s="1">
        <f>IFERROR(__xludf.DUMMYFUNCTION("""COMPUTED_VALUE"""),45119.66666666667)</f>
        <v>45119.66667</v>
      </c>
      <c r="B858" s="2">
        <f>IFERROR(__xludf.DUMMYFUNCTION("""COMPUTED_VALUE"""),1720.0)</f>
        <v>1720</v>
      </c>
      <c r="C858" s="2">
        <f>IFERROR(__xludf.DUMMYFUNCTION("""COMPUTED_VALUE"""),1745.0)</f>
        <v>1745</v>
      </c>
      <c r="D858" s="2">
        <f>IFERROR(__xludf.DUMMYFUNCTION("""COMPUTED_VALUE"""),1710.0)</f>
        <v>1710</v>
      </c>
      <c r="E858" s="2">
        <f>IFERROR(__xludf.DUMMYFUNCTION("""COMPUTED_VALUE"""),1740.0)</f>
        <v>1740</v>
      </c>
      <c r="F858" s="2">
        <f>IFERROR(__xludf.DUMMYFUNCTION("""COMPUTED_VALUE"""),2.1447E7)</f>
        <v>21447000</v>
      </c>
      <c r="G858" s="2">
        <f t="shared" si="1"/>
        <v>35</v>
      </c>
    </row>
    <row r="859" ht="15.75" customHeight="1">
      <c r="A859" s="1">
        <f>IFERROR(__xludf.DUMMYFUNCTION("""COMPUTED_VALUE"""),45120.66666666667)</f>
        <v>45120.66667</v>
      </c>
      <c r="B859" s="2">
        <f>IFERROR(__xludf.DUMMYFUNCTION("""COMPUTED_VALUE"""),1740.0)</f>
        <v>1740</v>
      </c>
      <c r="C859" s="2">
        <f>IFERROR(__xludf.DUMMYFUNCTION("""COMPUTED_VALUE"""),1745.0)</f>
        <v>1745</v>
      </c>
      <c r="D859" s="2">
        <f>IFERROR(__xludf.DUMMYFUNCTION("""COMPUTED_VALUE"""),1670.0)</f>
        <v>1670</v>
      </c>
      <c r="E859" s="2">
        <f>IFERROR(__xludf.DUMMYFUNCTION("""COMPUTED_VALUE"""),1705.0)</f>
        <v>1705</v>
      </c>
      <c r="F859" s="2">
        <f>IFERROR(__xludf.DUMMYFUNCTION("""COMPUTED_VALUE"""),4.8568E7)</f>
        <v>48568000</v>
      </c>
      <c r="G859" s="2">
        <f t="shared" si="1"/>
        <v>75</v>
      </c>
    </row>
    <row r="860" ht="15.75" customHeight="1">
      <c r="A860" s="1">
        <f>IFERROR(__xludf.DUMMYFUNCTION("""COMPUTED_VALUE"""),45121.66666666667)</f>
        <v>45121.66667</v>
      </c>
      <c r="B860" s="2">
        <f>IFERROR(__xludf.DUMMYFUNCTION("""COMPUTED_VALUE"""),1710.0)</f>
        <v>1710</v>
      </c>
      <c r="C860" s="2">
        <f>IFERROR(__xludf.DUMMYFUNCTION("""COMPUTED_VALUE"""),1720.0)</f>
        <v>1720</v>
      </c>
      <c r="D860" s="2">
        <f>IFERROR(__xludf.DUMMYFUNCTION("""COMPUTED_VALUE"""),1690.0)</f>
        <v>1690</v>
      </c>
      <c r="E860" s="2">
        <f>IFERROR(__xludf.DUMMYFUNCTION("""COMPUTED_VALUE"""),1695.0)</f>
        <v>1695</v>
      </c>
      <c r="F860" s="2">
        <f>IFERROR(__xludf.DUMMYFUNCTION("""COMPUTED_VALUE"""),1.4702E7)</f>
        <v>14702000</v>
      </c>
      <c r="G860" s="2">
        <f t="shared" si="1"/>
        <v>30</v>
      </c>
    </row>
    <row r="861" ht="15.75" customHeight="1">
      <c r="A861" s="1">
        <f>IFERROR(__xludf.DUMMYFUNCTION("""COMPUTED_VALUE"""),45124.66666666667)</f>
        <v>45124.66667</v>
      </c>
      <c r="B861" s="2">
        <f>IFERROR(__xludf.DUMMYFUNCTION("""COMPUTED_VALUE"""),1695.0)</f>
        <v>1695</v>
      </c>
      <c r="C861" s="2">
        <f>IFERROR(__xludf.DUMMYFUNCTION("""COMPUTED_VALUE"""),1710.0)</f>
        <v>1710</v>
      </c>
      <c r="D861" s="2">
        <f>IFERROR(__xludf.DUMMYFUNCTION("""COMPUTED_VALUE"""),1680.0)</f>
        <v>1680</v>
      </c>
      <c r="E861" s="2">
        <f>IFERROR(__xludf.DUMMYFUNCTION("""COMPUTED_VALUE"""),1680.0)</f>
        <v>1680</v>
      </c>
      <c r="F861" s="2">
        <f>IFERROR(__xludf.DUMMYFUNCTION("""COMPUTED_VALUE"""),2.98811E7)</f>
        <v>29881100</v>
      </c>
      <c r="G861" s="2">
        <f t="shared" si="1"/>
        <v>30</v>
      </c>
    </row>
    <row r="862" ht="15.75" customHeight="1">
      <c r="A862" s="1">
        <f>IFERROR(__xludf.DUMMYFUNCTION("""COMPUTED_VALUE"""),45125.66666666667)</f>
        <v>45125.66667</v>
      </c>
      <c r="B862" s="2">
        <f>IFERROR(__xludf.DUMMYFUNCTION("""COMPUTED_VALUE"""),1680.0)</f>
        <v>1680</v>
      </c>
      <c r="C862" s="2">
        <f>IFERROR(__xludf.DUMMYFUNCTION("""COMPUTED_VALUE"""),1695.0)</f>
        <v>1695</v>
      </c>
      <c r="D862" s="2">
        <f>IFERROR(__xludf.DUMMYFUNCTION("""COMPUTED_VALUE"""),1665.0)</f>
        <v>1665</v>
      </c>
      <c r="E862" s="2">
        <f>IFERROR(__xludf.DUMMYFUNCTION("""COMPUTED_VALUE"""),1670.0)</f>
        <v>1670</v>
      </c>
      <c r="F862" s="2">
        <f>IFERROR(__xludf.DUMMYFUNCTION("""COMPUTED_VALUE"""),2.00675E7)</f>
        <v>20067500</v>
      </c>
      <c r="G862" s="2">
        <f t="shared" si="1"/>
        <v>30</v>
      </c>
    </row>
    <row r="863" ht="15.75" customHeight="1">
      <c r="A863" s="1">
        <f>IFERROR(__xludf.DUMMYFUNCTION("""COMPUTED_VALUE"""),45127.66666666667)</f>
        <v>45127.66667</v>
      </c>
      <c r="B863" s="2">
        <f>IFERROR(__xludf.DUMMYFUNCTION("""COMPUTED_VALUE"""),1670.0)</f>
        <v>1670</v>
      </c>
      <c r="C863" s="2">
        <f>IFERROR(__xludf.DUMMYFUNCTION("""COMPUTED_VALUE"""),1700.0)</f>
        <v>1700</v>
      </c>
      <c r="D863" s="2">
        <f>IFERROR(__xludf.DUMMYFUNCTION("""COMPUTED_VALUE"""),1670.0)</f>
        <v>1670</v>
      </c>
      <c r="E863" s="2">
        <f>IFERROR(__xludf.DUMMYFUNCTION("""COMPUTED_VALUE"""),1675.0)</f>
        <v>1675</v>
      </c>
      <c r="F863" s="2">
        <f>IFERROR(__xludf.DUMMYFUNCTION("""COMPUTED_VALUE"""),2.16148E7)</f>
        <v>21614800</v>
      </c>
      <c r="G863" s="2">
        <f t="shared" si="1"/>
        <v>30</v>
      </c>
    </row>
    <row r="864" ht="15.75" customHeight="1">
      <c r="A864" s="1">
        <f>IFERROR(__xludf.DUMMYFUNCTION("""COMPUTED_VALUE"""),45128.66666666667)</f>
        <v>45128.66667</v>
      </c>
      <c r="B864" s="2">
        <f>IFERROR(__xludf.DUMMYFUNCTION("""COMPUTED_VALUE"""),1680.0)</f>
        <v>1680</v>
      </c>
      <c r="C864" s="2">
        <f>IFERROR(__xludf.DUMMYFUNCTION("""COMPUTED_VALUE"""),1695.0)</f>
        <v>1695</v>
      </c>
      <c r="D864" s="2">
        <f>IFERROR(__xludf.DUMMYFUNCTION("""COMPUTED_VALUE"""),1680.0)</f>
        <v>1680</v>
      </c>
      <c r="E864" s="2">
        <f>IFERROR(__xludf.DUMMYFUNCTION("""COMPUTED_VALUE"""),1690.0)</f>
        <v>1690</v>
      </c>
      <c r="F864" s="2">
        <f>IFERROR(__xludf.DUMMYFUNCTION("""COMPUTED_VALUE"""),1.21821E7)</f>
        <v>12182100</v>
      </c>
      <c r="G864" s="2">
        <f t="shared" si="1"/>
        <v>20</v>
      </c>
    </row>
    <row r="865" ht="15.75" customHeight="1">
      <c r="A865" s="1">
        <f>IFERROR(__xludf.DUMMYFUNCTION("""COMPUTED_VALUE"""),45131.66666666667)</f>
        <v>45131.66667</v>
      </c>
      <c r="B865" s="2">
        <f>IFERROR(__xludf.DUMMYFUNCTION("""COMPUTED_VALUE"""),1695.0)</f>
        <v>1695</v>
      </c>
      <c r="C865" s="2">
        <f>IFERROR(__xludf.DUMMYFUNCTION("""COMPUTED_VALUE"""),1700.0)</f>
        <v>1700</v>
      </c>
      <c r="D865" s="2">
        <f>IFERROR(__xludf.DUMMYFUNCTION("""COMPUTED_VALUE"""),1685.0)</f>
        <v>1685</v>
      </c>
      <c r="E865" s="2">
        <f>IFERROR(__xludf.DUMMYFUNCTION("""COMPUTED_VALUE"""),1690.0)</f>
        <v>1690</v>
      </c>
      <c r="F865" s="2">
        <f>IFERROR(__xludf.DUMMYFUNCTION("""COMPUTED_VALUE"""),1.16581E7)</f>
        <v>11658100</v>
      </c>
      <c r="G865" s="2">
        <f t="shared" si="1"/>
        <v>15</v>
      </c>
    </row>
    <row r="866" ht="15.75" customHeight="1">
      <c r="A866" s="1">
        <f>IFERROR(__xludf.DUMMYFUNCTION("""COMPUTED_VALUE"""),45132.66666666667)</f>
        <v>45132.66667</v>
      </c>
      <c r="B866" s="2">
        <f>IFERROR(__xludf.DUMMYFUNCTION("""COMPUTED_VALUE"""),1690.0)</f>
        <v>1690</v>
      </c>
      <c r="C866" s="2">
        <f>IFERROR(__xludf.DUMMYFUNCTION("""COMPUTED_VALUE"""),1695.0)</f>
        <v>1695</v>
      </c>
      <c r="D866" s="2">
        <f>IFERROR(__xludf.DUMMYFUNCTION("""COMPUTED_VALUE"""),1660.0)</f>
        <v>1660</v>
      </c>
      <c r="E866" s="2">
        <f>IFERROR(__xludf.DUMMYFUNCTION("""COMPUTED_VALUE"""),1665.0)</f>
        <v>1665</v>
      </c>
      <c r="F866" s="2">
        <f>IFERROR(__xludf.DUMMYFUNCTION("""COMPUTED_VALUE"""),1.87832E7)</f>
        <v>18783200</v>
      </c>
      <c r="G866" s="2">
        <f t="shared" si="1"/>
        <v>35</v>
      </c>
    </row>
    <row r="867" ht="15.75" customHeight="1">
      <c r="A867" s="1">
        <f>IFERROR(__xludf.DUMMYFUNCTION("""COMPUTED_VALUE"""),45133.66666666667)</f>
        <v>45133.66667</v>
      </c>
      <c r="B867" s="2">
        <f>IFERROR(__xludf.DUMMYFUNCTION("""COMPUTED_VALUE"""),1665.0)</f>
        <v>1665</v>
      </c>
      <c r="C867" s="2">
        <f>IFERROR(__xludf.DUMMYFUNCTION("""COMPUTED_VALUE"""),1685.0)</f>
        <v>1685</v>
      </c>
      <c r="D867" s="2">
        <f>IFERROR(__xludf.DUMMYFUNCTION("""COMPUTED_VALUE"""),1660.0)</f>
        <v>1660</v>
      </c>
      <c r="E867" s="2">
        <f>IFERROR(__xludf.DUMMYFUNCTION("""COMPUTED_VALUE"""),1665.0)</f>
        <v>1665</v>
      </c>
      <c r="F867" s="2">
        <f>IFERROR(__xludf.DUMMYFUNCTION("""COMPUTED_VALUE"""),1.91355E7)</f>
        <v>19135500</v>
      </c>
      <c r="G867" s="2">
        <f t="shared" si="1"/>
        <v>25</v>
      </c>
    </row>
    <row r="868" ht="15.75" customHeight="1">
      <c r="A868" s="1">
        <f>IFERROR(__xludf.DUMMYFUNCTION("""COMPUTED_VALUE"""),45134.66666666667)</f>
        <v>45134.66667</v>
      </c>
      <c r="B868" s="2">
        <f>IFERROR(__xludf.DUMMYFUNCTION("""COMPUTED_VALUE"""),1670.0)</f>
        <v>1670</v>
      </c>
      <c r="C868" s="2">
        <f>IFERROR(__xludf.DUMMYFUNCTION("""COMPUTED_VALUE"""),1695.0)</f>
        <v>1695</v>
      </c>
      <c r="D868" s="2">
        <f>IFERROR(__xludf.DUMMYFUNCTION("""COMPUTED_VALUE"""),1655.0)</f>
        <v>1655</v>
      </c>
      <c r="E868" s="2">
        <f>IFERROR(__xludf.DUMMYFUNCTION("""COMPUTED_VALUE"""),1660.0)</f>
        <v>1660</v>
      </c>
      <c r="F868" s="2">
        <f>IFERROR(__xludf.DUMMYFUNCTION("""COMPUTED_VALUE"""),1.48989E7)</f>
        <v>14898900</v>
      </c>
      <c r="G868" s="2">
        <f t="shared" si="1"/>
        <v>40</v>
      </c>
    </row>
    <row r="869" ht="15.75" customHeight="1">
      <c r="A869" s="1">
        <f>IFERROR(__xludf.DUMMYFUNCTION("""COMPUTED_VALUE"""),45135.66666666667)</f>
        <v>45135.66667</v>
      </c>
      <c r="B869" s="2">
        <f>IFERROR(__xludf.DUMMYFUNCTION("""COMPUTED_VALUE"""),1660.0)</f>
        <v>1660</v>
      </c>
      <c r="C869" s="2">
        <f>IFERROR(__xludf.DUMMYFUNCTION("""COMPUTED_VALUE"""),1670.0)</f>
        <v>1670</v>
      </c>
      <c r="D869" s="2">
        <f>IFERROR(__xludf.DUMMYFUNCTION("""COMPUTED_VALUE"""),1650.0)</f>
        <v>1650</v>
      </c>
      <c r="E869" s="2">
        <f>IFERROR(__xludf.DUMMYFUNCTION("""COMPUTED_VALUE"""),1650.0)</f>
        <v>1650</v>
      </c>
      <c r="F869" s="2">
        <f>IFERROR(__xludf.DUMMYFUNCTION("""COMPUTED_VALUE"""),9803400.0)</f>
        <v>9803400</v>
      </c>
      <c r="G869" s="2">
        <f t="shared" si="1"/>
        <v>20</v>
      </c>
    </row>
    <row r="870" ht="15.75" customHeight="1">
      <c r="A870" s="1">
        <f>IFERROR(__xludf.DUMMYFUNCTION("""COMPUTED_VALUE"""),45138.66666666667)</f>
        <v>45138.66667</v>
      </c>
      <c r="B870" s="2">
        <f>IFERROR(__xludf.DUMMYFUNCTION("""COMPUTED_VALUE"""),1650.0)</f>
        <v>1650</v>
      </c>
      <c r="C870" s="2">
        <f>IFERROR(__xludf.DUMMYFUNCTION("""COMPUTED_VALUE"""),1670.0)</f>
        <v>1670</v>
      </c>
      <c r="D870" s="2">
        <f>IFERROR(__xludf.DUMMYFUNCTION("""COMPUTED_VALUE"""),1640.0)</f>
        <v>1640</v>
      </c>
      <c r="E870" s="2">
        <f>IFERROR(__xludf.DUMMYFUNCTION("""COMPUTED_VALUE"""),1655.0)</f>
        <v>1655</v>
      </c>
      <c r="F870" s="2">
        <f>IFERROR(__xludf.DUMMYFUNCTION("""COMPUTED_VALUE"""),1.41104E7)</f>
        <v>14110400</v>
      </c>
      <c r="G870" s="2">
        <f t="shared" si="1"/>
        <v>30</v>
      </c>
    </row>
    <row r="871" ht="15.75" customHeight="1">
      <c r="A871" s="1">
        <f>IFERROR(__xludf.DUMMYFUNCTION("""COMPUTED_VALUE"""),45139.66666666667)</f>
        <v>45139.66667</v>
      </c>
      <c r="B871" s="2">
        <f>IFERROR(__xludf.DUMMYFUNCTION("""COMPUTED_VALUE"""),1660.0)</f>
        <v>1660</v>
      </c>
      <c r="C871" s="2">
        <f>IFERROR(__xludf.DUMMYFUNCTION("""COMPUTED_VALUE"""),1670.0)</f>
        <v>1670</v>
      </c>
      <c r="D871" s="2">
        <f>IFERROR(__xludf.DUMMYFUNCTION("""COMPUTED_VALUE"""),1640.0)</f>
        <v>1640</v>
      </c>
      <c r="E871" s="2">
        <f>IFERROR(__xludf.DUMMYFUNCTION("""COMPUTED_VALUE"""),1645.0)</f>
        <v>1645</v>
      </c>
      <c r="F871" s="2">
        <f>IFERROR(__xludf.DUMMYFUNCTION("""COMPUTED_VALUE"""),1.07789E7)</f>
        <v>10778900</v>
      </c>
      <c r="G871" s="2">
        <f t="shared" si="1"/>
        <v>30</v>
      </c>
    </row>
    <row r="872" ht="15.75" customHeight="1">
      <c r="A872" s="1">
        <f>IFERROR(__xludf.DUMMYFUNCTION("""COMPUTED_VALUE"""),45140.66666666667)</f>
        <v>45140.66667</v>
      </c>
      <c r="B872" s="2">
        <f>IFERROR(__xludf.DUMMYFUNCTION("""COMPUTED_VALUE"""),1645.0)</f>
        <v>1645</v>
      </c>
      <c r="C872" s="2">
        <f>IFERROR(__xludf.DUMMYFUNCTION("""COMPUTED_VALUE"""),1655.0)</f>
        <v>1655</v>
      </c>
      <c r="D872" s="2">
        <f>IFERROR(__xludf.DUMMYFUNCTION("""COMPUTED_VALUE"""),1600.0)</f>
        <v>1600</v>
      </c>
      <c r="E872" s="2">
        <f>IFERROR(__xludf.DUMMYFUNCTION("""COMPUTED_VALUE"""),1605.0)</f>
        <v>1605</v>
      </c>
      <c r="F872" s="2">
        <f>IFERROR(__xludf.DUMMYFUNCTION("""COMPUTED_VALUE"""),2.36274E7)</f>
        <v>23627400</v>
      </c>
      <c r="G872" s="2">
        <f t="shared" si="1"/>
        <v>55</v>
      </c>
    </row>
    <row r="873" ht="15.75" customHeight="1">
      <c r="A873" s="1">
        <f>IFERROR(__xludf.DUMMYFUNCTION("""COMPUTED_VALUE"""),45141.66666666667)</f>
        <v>45141.66667</v>
      </c>
      <c r="B873" s="2">
        <f>IFERROR(__xludf.DUMMYFUNCTION("""COMPUTED_VALUE"""),1605.0)</f>
        <v>1605</v>
      </c>
      <c r="C873" s="2">
        <f>IFERROR(__xludf.DUMMYFUNCTION("""COMPUTED_VALUE"""),1625.0)</f>
        <v>1625</v>
      </c>
      <c r="D873" s="2">
        <f>IFERROR(__xludf.DUMMYFUNCTION("""COMPUTED_VALUE"""),1600.0)</f>
        <v>1600</v>
      </c>
      <c r="E873" s="2">
        <f>IFERROR(__xludf.DUMMYFUNCTION("""COMPUTED_VALUE"""),1600.0)</f>
        <v>1600</v>
      </c>
      <c r="F873" s="2">
        <f>IFERROR(__xludf.DUMMYFUNCTION("""COMPUTED_VALUE"""),2.83172E7)</f>
        <v>28317200</v>
      </c>
      <c r="G873" s="2">
        <f t="shared" si="1"/>
        <v>25</v>
      </c>
    </row>
    <row r="874" ht="15.75" customHeight="1">
      <c r="A874" s="1">
        <f>IFERROR(__xludf.DUMMYFUNCTION("""COMPUTED_VALUE"""),45142.66666666667)</f>
        <v>45142.66667</v>
      </c>
      <c r="B874" s="2">
        <f>IFERROR(__xludf.DUMMYFUNCTION("""COMPUTED_VALUE"""),1610.0)</f>
        <v>1610</v>
      </c>
      <c r="C874" s="2">
        <f>IFERROR(__xludf.DUMMYFUNCTION("""COMPUTED_VALUE"""),1620.0)</f>
        <v>1620</v>
      </c>
      <c r="D874" s="2">
        <f>IFERROR(__xludf.DUMMYFUNCTION("""COMPUTED_VALUE"""),1605.0)</f>
        <v>1605</v>
      </c>
      <c r="E874" s="2">
        <f>IFERROR(__xludf.DUMMYFUNCTION("""COMPUTED_VALUE"""),1610.0)</f>
        <v>1610</v>
      </c>
      <c r="F874" s="2">
        <f>IFERROR(__xludf.DUMMYFUNCTION("""COMPUTED_VALUE"""),1.07784E7)</f>
        <v>10778400</v>
      </c>
      <c r="G874" s="2">
        <f t="shared" si="1"/>
        <v>20</v>
      </c>
    </row>
    <row r="875" ht="15.75" customHeight="1">
      <c r="A875" s="1">
        <f>IFERROR(__xludf.DUMMYFUNCTION("""COMPUTED_VALUE"""),45145.66666666667)</f>
        <v>45145.66667</v>
      </c>
      <c r="B875" s="2">
        <f>IFERROR(__xludf.DUMMYFUNCTION("""COMPUTED_VALUE"""),1610.0)</f>
        <v>1610</v>
      </c>
      <c r="C875" s="2">
        <f>IFERROR(__xludf.DUMMYFUNCTION("""COMPUTED_VALUE"""),1670.0)</f>
        <v>1670</v>
      </c>
      <c r="D875" s="2">
        <f>IFERROR(__xludf.DUMMYFUNCTION("""COMPUTED_VALUE"""),1605.0)</f>
        <v>1605</v>
      </c>
      <c r="E875" s="2">
        <f>IFERROR(__xludf.DUMMYFUNCTION("""COMPUTED_VALUE"""),1665.0)</f>
        <v>1665</v>
      </c>
      <c r="F875" s="2">
        <f>IFERROR(__xludf.DUMMYFUNCTION("""COMPUTED_VALUE"""),3.15397E7)</f>
        <v>31539700</v>
      </c>
      <c r="G875" s="2">
        <f t="shared" si="1"/>
        <v>65</v>
      </c>
    </row>
    <row r="876" ht="15.75" customHeight="1">
      <c r="A876" s="1">
        <f>IFERROR(__xludf.DUMMYFUNCTION("""COMPUTED_VALUE"""),45146.66666666667)</f>
        <v>45146.66667</v>
      </c>
      <c r="B876" s="2">
        <f>IFERROR(__xludf.DUMMYFUNCTION("""COMPUTED_VALUE"""),1670.0)</f>
        <v>1670</v>
      </c>
      <c r="C876" s="2">
        <f>IFERROR(__xludf.DUMMYFUNCTION("""COMPUTED_VALUE"""),1680.0)</f>
        <v>1680</v>
      </c>
      <c r="D876" s="2">
        <f>IFERROR(__xludf.DUMMYFUNCTION("""COMPUTED_VALUE"""),1660.0)</f>
        <v>1660</v>
      </c>
      <c r="E876" s="2">
        <f>IFERROR(__xludf.DUMMYFUNCTION("""COMPUTED_VALUE"""),1670.0)</f>
        <v>1670</v>
      </c>
      <c r="F876" s="2">
        <f>IFERROR(__xludf.DUMMYFUNCTION("""COMPUTED_VALUE"""),1.21452E7)</f>
        <v>12145200</v>
      </c>
      <c r="G876" s="2">
        <f t="shared" si="1"/>
        <v>20</v>
      </c>
    </row>
    <row r="877" ht="15.75" customHeight="1">
      <c r="A877" s="1">
        <f>IFERROR(__xludf.DUMMYFUNCTION("""COMPUTED_VALUE"""),45147.66666666667)</f>
        <v>45147.66667</v>
      </c>
      <c r="B877" s="2">
        <f>IFERROR(__xludf.DUMMYFUNCTION("""COMPUTED_VALUE"""),1670.0)</f>
        <v>1670</v>
      </c>
      <c r="C877" s="2">
        <f>IFERROR(__xludf.DUMMYFUNCTION("""COMPUTED_VALUE"""),1690.0)</f>
        <v>1690</v>
      </c>
      <c r="D877" s="2">
        <f>IFERROR(__xludf.DUMMYFUNCTION("""COMPUTED_VALUE"""),1665.0)</f>
        <v>1665</v>
      </c>
      <c r="E877" s="2">
        <f>IFERROR(__xludf.DUMMYFUNCTION("""COMPUTED_VALUE"""),1675.0)</f>
        <v>1675</v>
      </c>
      <c r="F877" s="2">
        <f>IFERROR(__xludf.DUMMYFUNCTION("""COMPUTED_VALUE"""),2.71327E7)</f>
        <v>27132700</v>
      </c>
      <c r="G877" s="2">
        <f t="shared" si="1"/>
        <v>25</v>
      </c>
    </row>
    <row r="878" ht="15.75" customHeight="1">
      <c r="A878" s="1">
        <f>IFERROR(__xludf.DUMMYFUNCTION("""COMPUTED_VALUE"""),45148.66666666667)</f>
        <v>45148.66667</v>
      </c>
      <c r="B878" s="2">
        <f>IFERROR(__xludf.DUMMYFUNCTION("""COMPUTED_VALUE"""),1675.0)</f>
        <v>1675</v>
      </c>
      <c r="C878" s="2">
        <f>IFERROR(__xludf.DUMMYFUNCTION("""COMPUTED_VALUE"""),1675.0)</f>
        <v>1675</v>
      </c>
      <c r="D878" s="2">
        <f>IFERROR(__xludf.DUMMYFUNCTION("""COMPUTED_VALUE"""),1650.0)</f>
        <v>1650</v>
      </c>
      <c r="E878" s="2">
        <f>IFERROR(__xludf.DUMMYFUNCTION("""COMPUTED_VALUE"""),1660.0)</f>
        <v>1660</v>
      </c>
      <c r="F878" s="2">
        <f>IFERROR(__xludf.DUMMYFUNCTION("""COMPUTED_VALUE"""),1.00367E7)</f>
        <v>10036700</v>
      </c>
      <c r="G878" s="2">
        <f t="shared" si="1"/>
        <v>25</v>
      </c>
    </row>
    <row r="879" ht="15.75" customHeight="1">
      <c r="A879" s="1">
        <f>IFERROR(__xludf.DUMMYFUNCTION("""COMPUTED_VALUE"""),45149.66666666667)</f>
        <v>45149.66667</v>
      </c>
      <c r="B879" s="2">
        <f>IFERROR(__xludf.DUMMYFUNCTION("""COMPUTED_VALUE"""),1665.0)</f>
        <v>1665</v>
      </c>
      <c r="C879" s="2">
        <f>IFERROR(__xludf.DUMMYFUNCTION("""COMPUTED_VALUE"""),1670.0)</f>
        <v>1670</v>
      </c>
      <c r="D879" s="2">
        <f>IFERROR(__xludf.DUMMYFUNCTION("""COMPUTED_VALUE"""),1640.0)</f>
        <v>1640</v>
      </c>
      <c r="E879" s="2">
        <f>IFERROR(__xludf.DUMMYFUNCTION("""COMPUTED_VALUE"""),1645.0)</f>
        <v>1645</v>
      </c>
      <c r="F879" s="2">
        <f>IFERROR(__xludf.DUMMYFUNCTION("""COMPUTED_VALUE"""),6519300.0)</f>
        <v>6519300</v>
      </c>
      <c r="G879" s="2">
        <f t="shared" si="1"/>
        <v>30</v>
      </c>
    </row>
    <row r="880" ht="15.75" customHeight="1">
      <c r="A880" s="1">
        <f>IFERROR(__xludf.DUMMYFUNCTION("""COMPUTED_VALUE"""),45152.66666666667)</f>
        <v>45152.66667</v>
      </c>
      <c r="B880" s="2">
        <f>IFERROR(__xludf.DUMMYFUNCTION("""COMPUTED_VALUE"""),1645.0)</f>
        <v>1645</v>
      </c>
      <c r="C880" s="2">
        <f>IFERROR(__xludf.DUMMYFUNCTION("""COMPUTED_VALUE"""),1700.0)</f>
        <v>1700</v>
      </c>
      <c r="D880" s="2">
        <f>IFERROR(__xludf.DUMMYFUNCTION("""COMPUTED_VALUE"""),1645.0)</f>
        <v>1645</v>
      </c>
      <c r="E880" s="2">
        <f>IFERROR(__xludf.DUMMYFUNCTION("""COMPUTED_VALUE"""),1685.0)</f>
        <v>1685</v>
      </c>
      <c r="F880" s="2">
        <f>IFERROR(__xludf.DUMMYFUNCTION("""COMPUTED_VALUE"""),2.29089E7)</f>
        <v>22908900</v>
      </c>
      <c r="G880" s="2">
        <f t="shared" si="1"/>
        <v>55</v>
      </c>
    </row>
    <row r="881" ht="15.75" customHeight="1">
      <c r="A881" s="1">
        <f>IFERROR(__xludf.DUMMYFUNCTION("""COMPUTED_VALUE"""),45153.66666666667)</f>
        <v>45153.66667</v>
      </c>
      <c r="B881" s="2">
        <f>IFERROR(__xludf.DUMMYFUNCTION("""COMPUTED_VALUE"""),1690.0)</f>
        <v>1690</v>
      </c>
      <c r="C881" s="2">
        <f>IFERROR(__xludf.DUMMYFUNCTION("""COMPUTED_VALUE"""),1725.0)</f>
        <v>1725</v>
      </c>
      <c r="D881" s="2">
        <f>IFERROR(__xludf.DUMMYFUNCTION("""COMPUTED_VALUE"""),1690.0)</f>
        <v>1690</v>
      </c>
      <c r="E881" s="2">
        <f>IFERROR(__xludf.DUMMYFUNCTION("""COMPUTED_VALUE"""),1725.0)</f>
        <v>1725</v>
      </c>
      <c r="F881" s="2">
        <f>IFERROR(__xludf.DUMMYFUNCTION("""COMPUTED_VALUE"""),4.48726E7)</f>
        <v>44872600</v>
      </c>
      <c r="G881" s="2">
        <f t="shared" si="1"/>
        <v>40</v>
      </c>
    </row>
    <row r="882" ht="15.75" customHeight="1">
      <c r="A882" s="1">
        <f>IFERROR(__xludf.DUMMYFUNCTION("""COMPUTED_VALUE"""),45154.66666666667)</f>
        <v>45154.66667</v>
      </c>
      <c r="B882" s="2">
        <f>IFERROR(__xludf.DUMMYFUNCTION("""COMPUTED_VALUE"""),1725.0)</f>
        <v>1725</v>
      </c>
      <c r="C882" s="2">
        <f>IFERROR(__xludf.DUMMYFUNCTION("""COMPUTED_VALUE"""),1730.0)</f>
        <v>1730</v>
      </c>
      <c r="D882" s="2">
        <f>IFERROR(__xludf.DUMMYFUNCTION("""COMPUTED_VALUE"""),1695.0)</f>
        <v>1695</v>
      </c>
      <c r="E882" s="2">
        <f>IFERROR(__xludf.DUMMYFUNCTION("""COMPUTED_VALUE"""),1705.0)</f>
        <v>1705</v>
      </c>
      <c r="F882" s="2">
        <f>IFERROR(__xludf.DUMMYFUNCTION("""COMPUTED_VALUE"""),1.7188E7)</f>
        <v>17188000</v>
      </c>
      <c r="G882" s="2">
        <f t="shared" si="1"/>
        <v>35</v>
      </c>
    </row>
    <row r="883" ht="15.75" customHeight="1">
      <c r="A883" s="1">
        <f>IFERROR(__xludf.DUMMYFUNCTION("""COMPUTED_VALUE"""),45156.66666666667)</f>
        <v>45156.66667</v>
      </c>
      <c r="B883" s="2">
        <f>IFERROR(__xludf.DUMMYFUNCTION("""COMPUTED_VALUE"""),1700.0)</f>
        <v>1700</v>
      </c>
      <c r="C883" s="2">
        <f>IFERROR(__xludf.DUMMYFUNCTION("""COMPUTED_VALUE"""),1715.0)</f>
        <v>1715</v>
      </c>
      <c r="D883" s="2">
        <f>IFERROR(__xludf.DUMMYFUNCTION("""COMPUTED_VALUE"""),1700.0)</f>
        <v>1700</v>
      </c>
      <c r="E883" s="2">
        <f>IFERROR(__xludf.DUMMYFUNCTION("""COMPUTED_VALUE"""),1710.0)</f>
        <v>1710</v>
      </c>
      <c r="F883" s="2">
        <f>IFERROR(__xludf.DUMMYFUNCTION("""COMPUTED_VALUE"""),1.39053E7)</f>
        <v>13905300</v>
      </c>
      <c r="G883" s="2">
        <f t="shared" si="1"/>
        <v>15</v>
      </c>
    </row>
    <row r="884" ht="15.75" customHeight="1">
      <c r="A884" s="1">
        <f>IFERROR(__xludf.DUMMYFUNCTION("""COMPUTED_VALUE"""),45159.66666666667)</f>
        <v>45159.66667</v>
      </c>
      <c r="B884" s="2">
        <f>IFERROR(__xludf.DUMMYFUNCTION("""COMPUTED_VALUE"""),1710.0)</f>
        <v>1710</v>
      </c>
      <c r="C884" s="2">
        <f>IFERROR(__xludf.DUMMYFUNCTION("""COMPUTED_VALUE"""),1720.0)</f>
        <v>1720</v>
      </c>
      <c r="D884" s="2">
        <f>IFERROR(__xludf.DUMMYFUNCTION("""COMPUTED_VALUE"""),1695.0)</f>
        <v>1695</v>
      </c>
      <c r="E884" s="2">
        <f>IFERROR(__xludf.DUMMYFUNCTION("""COMPUTED_VALUE"""),1700.0)</f>
        <v>1700</v>
      </c>
      <c r="F884" s="2">
        <f>IFERROR(__xludf.DUMMYFUNCTION("""COMPUTED_VALUE"""),1.39102E7)</f>
        <v>13910200</v>
      </c>
      <c r="G884" s="2">
        <f t="shared" si="1"/>
        <v>25</v>
      </c>
    </row>
    <row r="885" ht="15.75" customHeight="1">
      <c r="A885" s="1">
        <f>IFERROR(__xludf.DUMMYFUNCTION("""COMPUTED_VALUE"""),45160.66666666667)</f>
        <v>45160.66667</v>
      </c>
      <c r="B885" s="2">
        <f>IFERROR(__xludf.DUMMYFUNCTION("""COMPUTED_VALUE"""),1705.0)</f>
        <v>1705</v>
      </c>
      <c r="C885" s="2">
        <f>IFERROR(__xludf.DUMMYFUNCTION("""COMPUTED_VALUE"""),1710.0)</f>
        <v>1710</v>
      </c>
      <c r="D885" s="2">
        <f>IFERROR(__xludf.DUMMYFUNCTION("""COMPUTED_VALUE"""),1660.0)</f>
        <v>1660</v>
      </c>
      <c r="E885" s="2">
        <f>IFERROR(__xludf.DUMMYFUNCTION("""COMPUTED_VALUE"""),1670.0)</f>
        <v>1670</v>
      </c>
      <c r="F885" s="2">
        <f>IFERROR(__xludf.DUMMYFUNCTION("""COMPUTED_VALUE"""),2.54572E7)</f>
        <v>25457200</v>
      </c>
      <c r="G885" s="2">
        <f t="shared" si="1"/>
        <v>50</v>
      </c>
    </row>
    <row r="886" ht="15.75" customHeight="1">
      <c r="A886" s="1">
        <f>IFERROR(__xludf.DUMMYFUNCTION("""COMPUTED_VALUE"""),45161.66666666667)</f>
        <v>45161.66667</v>
      </c>
      <c r="B886" s="2">
        <f>IFERROR(__xludf.DUMMYFUNCTION("""COMPUTED_VALUE"""),1670.0)</f>
        <v>1670</v>
      </c>
      <c r="C886" s="2">
        <f>IFERROR(__xludf.DUMMYFUNCTION("""COMPUTED_VALUE"""),1695.0)</f>
        <v>1695</v>
      </c>
      <c r="D886" s="2">
        <f>IFERROR(__xludf.DUMMYFUNCTION("""COMPUTED_VALUE"""),1665.0)</f>
        <v>1665</v>
      </c>
      <c r="E886" s="2">
        <f>IFERROR(__xludf.DUMMYFUNCTION("""COMPUTED_VALUE"""),1685.0)</f>
        <v>1685</v>
      </c>
      <c r="F886" s="2">
        <f>IFERROR(__xludf.DUMMYFUNCTION("""COMPUTED_VALUE"""),1.64976E7)</f>
        <v>16497600</v>
      </c>
      <c r="G886" s="2">
        <f t="shared" si="1"/>
        <v>30</v>
      </c>
    </row>
    <row r="887" ht="15.75" customHeight="1">
      <c r="A887" s="1">
        <f>IFERROR(__xludf.DUMMYFUNCTION("""COMPUTED_VALUE"""),45162.66666666667)</f>
        <v>45162.66667</v>
      </c>
      <c r="B887" s="2">
        <f>IFERROR(__xludf.DUMMYFUNCTION("""COMPUTED_VALUE"""),1685.0)</f>
        <v>1685</v>
      </c>
      <c r="C887" s="2">
        <f>IFERROR(__xludf.DUMMYFUNCTION("""COMPUTED_VALUE"""),1710.0)</f>
        <v>1710</v>
      </c>
      <c r="D887" s="2">
        <f>IFERROR(__xludf.DUMMYFUNCTION("""COMPUTED_VALUE"""),1680.0)</f>
        <v>1680</v>
      </c>
      <c r="E887" s="2">
        <f>IFERROR(__xludf.DUMMYFUNCTION("""COMPUTED_VALUE"""),1680.0)</f>
        <v>1680</v>
      </c>
      <c r="F887" s="2">
        <f>IFERROR(__xludf.DUMMYFUNCTION("""COMPUTED_VALUE"""),9177300.0)</f>
        <v>9177300</v>
      </c>
      <c r="G887" s="2">
        <f t="shared" si="1"/>
        <v>30</v>
      </c>
    </row>
    <row r="888" ht="15.75" customHeight="1">
      <c r="A888" s="1">
        <f>IFERROR(__xludf.DUMMYFUNCTION("""COMPUTED_VALUE"""),45163.66666666667)</f>
        <v>45163.66667</v>
      </c>
      <c r="B888" s="2">
        <f>IFERROR(__xludf.DUMMYFUNCTION("""COMPUTED_VALUE"""),1680.0)</f>
        <v>1680</v>
      </c>
      <c r="C888" s="2">
        <f>IFERROR(__xludf.DUMMYFUNCTION("""COMPUTED_VALUE"""),1690.0)</f>
        <v>1690</v>
      </c>
      <c r="D888" s="2">
        <f>IFERROR(__xludf.DUMMYFUNCTION("""COMPUTED_VALUE"""),1670.0)</f>
        <v>1670</v>
      </c>
      <c r="E888" s="2">
        <f>IFERROR(__xludf.DUMMYFUNCTION("""COMPUTED_VALUE"""),1685.0)</f>
        <v>1685</v>
      </c>
      <c r="F888" s="2">
        <f>IFERROR(__xludf.DUMMYFUNCTION("""COMPUTED_VALUE"""),8246500.0)</f>
        <v>8246500</v>
      </c>
      <c r="G888" s="2">
        <f t="shared" si="1"/>
        <v>20</v>
      </c>
    </row>
    <row r="889" ht="15.75" customHeight="1">
      <c r="A889" s="1">
        <f>IFERROR(__xludf.DUMMYFUNCTION("""COMPUTED_VALUE"""),45166.66666666667)</f>
        <v>45166.66667</v>
      </c>
      <c r="B889" s="2">
        <f>IFERROR(__xludf.DUMMYFUNCTION("""COMPUTED_VALUE"""),1685.0)</f>
        <v>1685</v>
      </c>
      <c r="C889" s="2">
        <f>IFERROR(__xludf.DUMMYFUNCTION("""COMPUTED_VALUE"""),1730.0)</f>
        <v>1730</v>
      </c>
      <c r="D889" s="2">
        <f>IFERROR(__xludf.DUMMYFUNCTION("""COMPUTED_VALUE"""),1685.0)</f>
        <v>1685</v>
      </c>
      <c r="E889" s="2">
        <f>IFERROR(__xludf.DUMMYFUNCTION("""COMPUTED_VALUE"""),1695.0)</f>
        <v>1695</v>
      </c>
      <c r="F889" s="2">
        <f>IFERROR(__xludf.DUMMYFUNCTION("""COMPUTED_VALUE"""),3.19286E7)</f>
        <v>31928600</v>
      </c>
      <c r="G889" s="2">
        <f t="shared" si="1"/>
        <v>45</v>
      </c>
    </row>
    <row r="890" ht="15.75" customHeight="1">
      <c r="A890" s="1">
        <f>IFERROR(__xludf.DUMMYFUNCTION("""COMPUTED_VALUE"""),45167.66666666667)</f>
        <v>45167.66667</v>
      </c>
      <c r="B890" s="2">
        <f>IFERROR(__xludf.DUMMYFUNCTION("""COMPUTED_VALUE"""),1700.0)</f>
        <v>1700</v>
      </c>
      <c r="C890" s="2">
        <f>IFERROR(__xludf.DUMMYFUNCTION("""COMPUTED_VALUE"""),1710.0)</f>
        <v>1710</v>
      </c>
      <c r="D890" s="2">
        <f>IFERROR(__xludf.DUMMYFUNCTION("""COMPUTED_VALUE"""),1685.0)</f>
        <v>1685</v>
      </c>
      <c r="E890" s="2">
        <f>IFERROR(__xludf.DUMMYFUNCTION("""COMPUTED_VALUE"""),1685.0)</f>
        <v>1685</v>
      </c>
      <c r="F890" s="2">
        <f>IFERROR(__xludf.DUMMYFUNCTION("""COMPUTED_VALUE"""),1.44757E7)</f>
        <v>14475700</v>
      </c>
      <c r="G890" s="2">
        <f t="shared" si="1"/>
        <v>25</v>
      </c>
    </row>
    <row r="891" ht="15.75" customHeight="1">
      <c r="A891" s="1">
        <f>IFERROR(__xludf.DUMMYFUNCTION("""COMPUTED_VALUE"""),45168.66666666667)</f>
        <v>45168.66667</v>
      </c>
      <c r="B891" s="2">
        <f>IFERROR(__xludf.DUMMYFUNCTION("""COMPUTED_VALUE"""),1690.0)</f>
        <v>1690</v>
      </c>
      <c r="C891" s="2">
        <f>IFERROR(__xludf.DUMMYFUNCTION("""COMPUTED_VALUE"""),1700.0)</f>
        <v>1700</v>
      </c>
      <c r="D891" s="2">
        <f>IFERROR(__xludf.DUMMYFUNCTION("""COMPUTED_VALUE"""),1685.0)</f>
        <v>1685</v>
      </c>
      <c r="E891" s="2">
        <f>IFERROR(__xludf.DUMMYFUNCTION("""COMPUTED_VALUE"""),1685.0)</f>
        <v>1685</v>
      </c>
      <c r="F891" s="2">
        <f>IFERROR(__xludf.DUMMYFUNCTION("""COMPUTED_VALUE"""),9397800.0)</f>
        <v>9397800</v>
      </c>
      <c r="G891" s="2">
        <f t="shared" si="1"/>
        <v>15</v>
      </c>
    </row>
    <row r="892" ht="15.75" customHeight="1">
      <c r="A892" s="1">
        <f>IFERROR(__xludf.DUMMYFUNCTION("""COMPUTED_VALUE"""),45169.66666666667)</f>
        <v>45169.66667</v>
      </c>
      <c r="B892" s="2">
        <f>IFERROR(__xludf.DUMMYFUNCTION("""COMPUTED_VALUE"""),1685.0)</f>
        <v>1685</v>
      </c>
      <c r="C892" s="2">
        <f>IFERROR(__xludf.DUMMYFUNCTION("""COMPUTED_VALUE"""),1730.0)</f>
        <v>1730</v>
      </c>
      <c r="D892" s="2">
        <f>IFERROR(__xludf.DUMMYFUNCTION("""COMPUTED_VALUE"""),1680.0)</f>
        <v>1680</v>
      </c>
      <c r="E892" s="2">
        <f>IFERROR(__xludf.DUMMYFUNCTION("""COMPUTED_VALUE"""),1710.0)</f>
        <v>1710</v>
      </c>
      <c r="F892" s="2">
        <f>IFERROR(__xludf.DUMMYFUNCTION("""COMPUTED_VALUE"""),2.57714E7)</f>
        <v>25771400</v>
      </c>
      <c r="G892" s="2">
        <f t="shared" si="1"/>
        <v>50</v>
      </c>
    </row>
    <row r="893" ht="15.75" customHeight="1">
      <c r="A893" s="1">
        <f>IFERROR(__xludf.DUMMYFUNCTION("""COMPUTED_VALUE"""),45170.66666666667)</f>
        <v>45170.66667</v>
      </c>
      <c r="B893" s="2">
        <f>IFERROR(__xludf.DUMMYFUNCTION("""COMPUTED_VALUE"""),1710.0)</f>
        <v>1710</v>
      </c>
      <c r="C893" s="2">
        <f>IFERROR(__xludf.DUMMYFUNCTION("""COMPUTED_VALUE"""),1720.0)</f>
        <v>1720</v>
      </c>
      <c r="D893" s="2">
        <f>IFERROR(__xludf.DUMMYFUNCTION("""COMPUTED_VALUE"""),1685.0)</f>
        <v>1685</v>
      </c>
      <c r="E893" s="2">
        <f>IFERROR(__xludf.DUMMYFUNCTION("""COMPUTED_VALUE"""),1685.0)</f>
        <v>1685</v>
      </c>
      <c r="F893" s="2">
        <f>IFERROR(__xludf.DUMMYFUNCTION("""COMPUTED_VALUE"""),2.14146E7)</f>
        <v>21414600</v>
      </c>
      <c r="G893" s="2">
        <f t="shared" si="1"/>
        <v>35</v>
      </c>
    </row>
    <row r="894" ht="15.75" customHeight="1">
      <c r="A894" s="1">
        <f>IFERROR(__xludf.DUMMYFUNCTION("""COMPUTED_VALUE"""),45173.66666666667)</f>
        <v>45173.66667</v>
      </c>
      <c r="B894" s="2">
        <f>IFERROR(__xludf.DUMMYFUNCTION("""COMPUTED_VALUE"""),1685.0)</f>
        <v>1685</v>
      </c>
      <c r="C894" s="2">
        <f>IFERROR(__xludf.DUMMYFUNCTION("""COMPUTED_VALUE"""),1705.0)</f>
        <v>1705</v>
      </c>
      <c r="D894" s="2">
        <f>IFERROR(__xludf.DUMMYFUNCTION("""COMPUTED_VALUE"""),1660.0)</f>
        <v>1660</v>
      </c>
      <c r="E894" s="2">
        <f>IFERROR(__xludf.DUMMYFUNCTION("""COMPUTED_VALUE"""),1670.0)</f>
        <v>1670</v>
      </c>
      <c r="F894" s="2">
        <f>IFERROR(__xludf.DUMMYFUNCTION("""COMPUTED_VALUE"""),1.94214E7)</f>
        <v>19421400</v>
      </c>
      <c r="G894" s="2">
        <f t="shared" si="1"/>
        <v>45</v>
      </c>
    </row>
    <row r="895" ht="15.75" customHeight="1">
      <c r="A895" s="1">
        <f>IFERROR(__xludf.DUMMYFUNCTION("""COMPUTED_VALUE"""),45174.66666666667)</f>
        <v>45174.66667</v>
      </c>
      <c r="B895" s="2">
        <f>IFERROR(__xludf.DUMMYFUNCTION("""COMPUTED_VALUE"""),1670.0)</f>
        <v>1670</v>
      </c>
      <c r="C895" s="2">
        <f>IFERROR(__xludf.DUMMYFUNCTION("""COMPUTED_VALUE"""),1675.0)</f>
        <v>1675</v>
      </c>
      <c r="D895" s="2">
        <f>IFERROR(__xludf.DUMMYFUNCTION("""COMPUTED_VALUE"""),1640.0)</f>
        <v>1640</v>
      </c>
      <c r="E895" s="2">
        <f>IFERROR(__xludf.DUMMYFUNCTION("""COMPUTED_VALUE"""),1645.0)</f>
        <v>1645</v>
      </c>
      <c r="F895" s="2">
        <f>IFERROR(__xludf.DUMMYFUNCTION("""COMPUTED_VALUE"""),2.48609E7)</f>
        <v>24860900</v>
      </c>
      <c r="G895" s="2">
        <f t="shared" si="1"/>
        <v>35</v>
      </c>
    </row>
    <row r="896" ht="15.75" customHeight="1">
      <c r="A896" s="1">
        <f>IFERROR(__xludf.DUMMYFUNCTION("""COMPUTED_VALUE"""),45175.66666666667)</f>
        <v>45175.66667</v>
      </c>
      <c r="B896" s="2">
        <f>IFERROR(__xludf.DUMMYFUNCTION("""COMPUTED_VALUE"""),1650.0)</f>
        <v>1650</v>
      </c>
      <c r="C896" s="2">
        <f>IFERROR(__xludf.DUMMYFUNCTION("""COMPUTED_VALUE"""),1670.0)</f>
        <v>1670</v>
      </c>
      <c r="D896" s="2">
        <f>IFERROR(__xludf.DUMMYFUNCTION("""COMPUTED_VALUE"""),1650.0)</f>
        <v>1650</v>
      </c>
      <c r="E896" s="2">
        <f>IFERROR(__xludf.DUMMYFUNCTION("""COMPUTED_VALUE"""),1660.0)</f>
        <v>1660</v>
      </c>
      <c r="F896" s="2">
        <f>IFERROR(__xludf.DUMMYFUNCTION("""COMPUTED_VALUE"""),1.48757E7)</f>
        <v>14875700</v>
      </c>
      <c r="G896" s="2">
        <f t="shared" si="1"/>
        <v>25</v>
      </c>
    </row>
    <row r="897" ht="15.75" customHeight="1">
      <c r="A897" s="1">
        <f>IFERROR(__xludf.DUMMYFUNCTION("""COMPUTED_VALUE"""),45176.66666666667)</f>
        <v>45176.66667</v>
      </c>
      <c r="B897" s="2">
        <f>IFERROR(__xludf.DUMMYFUNCTION("""COMPUTED_VALUE"""),1660.0)</f>
        <v>1660</v>
      </c>
      <c r="C897" s="2">
        <f>IFERROR(__xludf.DUMMYFUNCTION("""COMPUTED_VALUE"""),1675.0)</f>
        <v>1675</v>
      </c>
      <c r="D897" s="2">
        <f>IFERROR(__xludf.DUMMYFUNCTION("""COMPUTED_VALUE"""),1630.0)</f>
        <v>1630</v>
      </c>
      <c r="E897" s="2">
        <f>IFERROR(__xludf.DUMMYFUNCTION("""COMPUTED_VALUE"""),1640.0)</f>
        <v>1640</v>
      </c>
      <c r="F897" s="2">
        <f>IFERROR(__xludf.DUMMYFUNCTION("""COMPUTED_VALUE"""),1.96137E7)</f>
        <v>19613700</v>
      </c>
      <c r="G897" s="2">
        <f t="shared" si="1"/>
        <v>45</v>
      </c>
    </row>
    <row r="898" ht="15.75" customHeight="1">
      <c r="A898" s="1">
        <f>IFERROR(__xludf.DUMMYFUNCTION("""COMPUTED_VALUE"""),45177.66666666667)</f>
        <v>45177.66667</v>
      </c>
      <c r="B898" s="2">
        <f>IFERROR(__xludf.DUMMYFUNCTION("""COMPUTED_VALUE"""),1665.0)</f>
        <v>1665</v>
      </c>
      <c r="C898" s="2">
        <f>IFERROR(__xludf.DUMMYFUNCTION("""COMPUTED_VALUE"""),1665.0)</f>
        <v>1665</v>
      </c>
      <c r="D898" s="2">
        <f>IFERROR(__xludf.DUMMYFUNCTION("""COMPUTED_VALUE"""),1640.0)</f>
        <v>1640</v>
      </c>
      <c r="E898" s="2">
        <f>IFERROR(__xludf.DUMMYFUNCTION("""COMPUTED_VALUE"""),1640.0)</f>
        <v>1640</v>
      </c>
      <c r="F898" s="2">
        <f>IFERROR(__xludf.DUMMYFUNCTION("""COMPUTED_VALUE"""),8229200.0)</f>
        <v>8229200</v>
      </c>
      <c r="G898" s="2">
        <f t="shared" si="1"/>
        <v>25</v>
      </c>
    </row>
    <row r="899" ht="15.75" customHeight="1">
      <c r="A899" s="1">
        <f>IFERROR(__xludf.DUMMYFUNCTION("""COMPUTED_VALUE"""),45180.66666666667)</f>
        <v>45180.66667</v>
      </c>
      <c r="B899" s="2">
        <f>IFERROR(__xludf.DUMMYFUNCTION("""COMPUTED_VALUE"""),1640.0)</f>
        <v>1640</v>
      </c>
      <c r="C899" s="2">
        <f>IFERROR(__xludf.DUMMYFUNCTION("""COMPUTED_VALUE"""),1655.0)</f>
        <v>1655</v>
      </c>
      <c r="D899" s="2">
        <f>IFERROR(__xludf.DUMMYFUNCTION("""COMPUTED_VALUE"""),1640.0)</f>
        <v>1640</v>
      </c>
      <c r="E899" s="2">
        <f>IFERROR(__xludf.DUMMYFUNCTION("""COMPUTED_VALUE"""),1655.0)</f>
        <v>1655</v>
      </c>
      <c r="F899" s="2">
        <f>IFERROR(__xludf.DUMMYFUNCTION("""COMPUTED_VALUE"""),6417100.0)</f>
        <v>6417100</v>
      </c>
      <c r="G899" s="2">
        <f t="shared" si="1"/>
        <v>15</v>
      </c>
    </row>
    <row r="900" ht="15.75" customHeight="1">
      <c r="A900" s="1">
        <f>IFERROR(__xludf.DUMMYFUNCTION("""COMPUTED_VALUE"""),45181.66666666667)</f>
        <v>45181.66667</v>
      </c>
      <c r="B900" s="2">
        <f>IFERROR(__xludf.DUMMYFUNCTION("""COMPUTED_VALUE"""),1655.0)</f>
        <v>1655</v>
      </c>
      <c r="C900" s="2">
        <f>IFERROR(__xludf.DUMMYFUNCTION("""COMPUTED_VALUE"""),1660.0)</f>
        <v>1660</v>
      </c>
      <c r="D900" s="2">
        <f>IFERROR(__xludf.DUMMYFUNCTION("""COMPUTED_VALUE"""),1635.0)</f>
        <v>1635</v>
      </c>
      <c r="E900" s="2">
        <f>IFERROR(__xludf.DUMMYFUNCTION("""COMPUTED_VALUE"""),1640.0)</f>
        <v>1640</v>
      </c>
      <c r="F900" s="2">
        <f>IFERROR(__xludf.DUMMYFUNCTION("""COMPUTED_VALUE"""),9831800.0)</f>
        <v>9831800</v>
      </c>
      <c r="G900" s="2">
        <f t="shared" si="1"/>
        <v>25</v>
      </c>
    </row>
    <row r="901" ht="15.75" customHeight="1">
      <c r="A901" s="1">
        <f>IFERROR(__xludf.DUMMYFUNCTION("""COMPUTED_VALUE"""),45182.66666666667)</f>
        <v>45182.66667</v>
      </c>
      <c r="B901" s="2">
        <f>IFERROR(__xludf.DUMMYFUNCTION("""COMPUTED_VALUE"""),1645.0)</f>
        <v>1645</v>
      </c>
      <c r="C901" s="2">
        <f>IFERROR(__xludf.DUMMYFUNCTION("""COMPUTED_VALUE"""),1665.0)</f>
        <v>1665</v>
      </c>
      <c r="D901" s="2">
        <f>IFERROR(__xludf.DUMMYFUNCTION("""COMPUTED_VALUE"""),1640.0)</f>
        <v>1640</v>
      </c>
      <c r="E901" s="2">
        <f>IFERROR(__xludf.DUMMYFUNCTION("""COMPUTED_VALUE"""),1655.0)</f>
        <v>1655</v>
      </c>
      <c r="F901" s="2">
        <f>IFERROR(__xludf.DUMMYFUNCTION("""COMPUTED_VALUE"""),1.00624E7)</f>
        <v>10062400</v>
      </c>
      <c r="G901" s="2">
        <f t="shared" si="1"/>
        <v>25</v>
      </c>
    </row>
    <row r="902" ht="15.75" customHeight="1">
      <c r="A902" s="1">
        <f>IFERROR(__xludf.DUMMYFUNCTION("""COMPUTED_VALUE"""),45183.66666666667)</f>
        <v>45183.66667</v>
      </c>
      <c r="B902" s="2">
        <f>IFERROR(__xludf.DUMMYFUNCTION("""COMPUTED_VALUE"""),1665.0)</f>
        <v>1665</v>
      </c>
      <c r="C902" s="2">
        <f>IFERROR(__xludf.DUMMYFUNCTION("""COMPUTED_VALUE"""),1670.0)</f>
        <v>1670</v>
      </c>
      <c r="D902" s="2">
        <f>IFERROR(__xludf.DUMMYFUNCTION("""COMPUTED_VALUE"""),1645.0)</f>
        <v>1645</v>
      </c>
      <c r="E902" s="2">
        <f>IFERROR(__xludf.DUMMYFUNCTION("""COMPUTED_VALUE"""),1660.0)</f>
        <v>1660</v>
      </c>
      <c r="F902" s="2">
        <f>IFERROR(__xludf.DUMMYFUNCTION("""COMPUTED_VALUE"""),1.68142E7)</f>
        <v>16814200</v>
      </c>
      <c r="G902" s="2">
        <f t="shared" si="1"/>
        <v>25</v>
      </c>
    </row>
    <row r="903" ht="15.75" customHeight="1">
      <c r="A903" s="1">
        <f>IFERROR(__xludf.DUMMYFUNCTION("""COMPUTED_VALUE"""),45184.66666666667)</f>
        <v>45184.66667</v>
      </c>
      <c r="B903" s="2">
        <f>IFERROR(__xludf.DUMMYFUNCTION("""COMPUTED_VALUE"""),1660.0)</f>
        <v>1660</v>
      </c>
      <c r="C903" s="2">
        <f>IFERROR(__xludf.DUMMYFUNCTION("""COMPUTED_VALUE"""),1670.0)</f>
        <v>1670</v>
      </c>
      <c r="D903" s="2">
        <f>IFERROR(__xludf.DUMMYFUNCTION("""COMPUTED_VALUE"""),1650.0)</f>
        <v>1650</v>
      </c>
      <c r="E903" s="2">
        <f>IFERROR(__xludf.DUMMYFUNCTION("""COMPUTED_VALUE"""),1655.0)</f>
        <v>1655</v>
      </c>
      <c r="F903" s="2">
        <f>IFERROR(__xludf.DUMMYFUNCTION("""COMPUTED_VALUE"""),1.22739E7)</f>
        <v>12273900</v>
      </c>
      <c r="G903" s="2">
        <f t="shared" si="1"/>
        <v>20</v>
      </c>
    </row>
    <row r="904" ht="15.75" customHeight="1">
      <c r="A904" s="1">
        <f>IFERROR(__xludf.DUMMYFUNCTION("""COMPUTED_VALUE"""),45187.66666666667)</f>
        <v>45187.66667</v>
      </c>
      <c r="B904" s="2">
        <f>IFERROR(__xludf.DUMMYFUNCTION("""COMPUTED_VALUE"""),1655.0)</f>
        <v>1655</v>
      </c>
      <c r="C904" s="2">
        <f>IFERROR(__xludf.DUMMYFUNCTION("""COMPUTED_VALUE"""),1655.0)</f>
        <v>1655</v>
      </c>
      <c r="D904" s="2">
        <f>IFERROR(__xludf.DUMMYFUNCTION("""COMPUTED_VALUE"""),1600.0)</f>
        <v>1600</v>
      </c>
      <c r="E904" s="2">
        <f>IFERROR(__xludf.DUMMYFUNCTION("""COMPUTED_VALUE"""),1605.0)</f>
        <v>1605</v>
      </c>
      <c r="F904" s="2">
        <f>IFERROR(__xludf.DUMMYFUNCTION("""COMPUTED_VALUE"""),2.87231E7)</f>
        <v>28723100</v>
      </c>
      <c r="G904" s="2">
        <f t="shared" si="1"/>
        <v>55</v>
      </c>
    </row>
    <row r="905" ht="15.75" customHeight="1">
      <c r="A905" s="1">
        <f>IFERROR(__xludf.DUMMYFUNCTION("""COMPUTED_VALUE"""),45188.66666666667)</f>
        <v>45188.66667</v>
      </c>
      <c r="B905" s="2">
        <f>IFERROR(__xludf.DUMMYFUNCTION("""COMPUTED_VALUE"""),1615.0)</f>
        <v>1615</v>
      </c>
      <c r="C905" s="2">
        <f>IFERROR(__xludf.DUMMYFUNCTION("""COMPUTED_VALUE"""),1645.0)</f>
        <v>1645</v>
      </c>
      <c r="D905" s="2">
        <f>IFERROR(__xludf.DUMMYFUNCTION("""COMPUTED_VALUE"""),1605.0)</f>
        <v>1605</v>
      </c>
      <c r="E905" s="2">
        <f>IFERROR(__xludf.DUMMYFUNCTION("""COMPUTED_VALUE"""),1620.0)</f>
        <v>1620</v>
      </c>
      <c r="F905" s="2">
        <f>IFERROR(__xludf.DUMMYFUNCTION("""COMPUTED_VALUE"""),2.63773E7)</f>
        <v>26377300</v>
      </c>
      <c r="G905" s="2">
        <f t="shared" si="1"/>
        <v>40</v>
      </c>
    </row>
    <row r="906" ht="15.75" customHeight="1">
      <c r="A906" s="1">
        <f>IFERROR(__xludf.DUMMYFUNCTION("""COMPUTED_VALUE"""),45189.66666666667)</f>
        <v>45189.66667</v>
      </c>
      <c r="B906" s="2">
        <f>IFERROR(__xludf.DUMMYFUNCTION("""COMPUTED_VALUE"""),1635.0)</f>
        <v>1635</v>
      </c>
      <c r="C906" s="2">
        <f>IFERROR(__xludf.DUMMYFUNCTION("""COMPUTED_VALUE"""),1735.0)</f>
        <v>1735</v>
      </c>
      <c r="D906" s="2">
        <f>IFERROR(__xludf.DUMMYFUNCTION("""COMPUTED_VALUE"""),1630.0)</f>
        <v>1630</v>
      </c>
      <c r="E906" s="2">
        <f>IFERROR(__xludf.DUMMYFUNCTION("""COMPUTED_VALUE"""),1715.0)</f>
        <v>1715</v>
      </c>
      <c r="F906" s="2">
        <f>IFERROR(__xludf.DUMMYFUNCTION("""COMPUTED_VALUE"""),1.035412E8)</f>
        <v>103541200</v>
      </c>
      <c r="G906" s="2">
        <f t="shared" si="1"/>
        <v>115</v>
      </c>
    </row>
    <row r="907" ht="15.75" customHeight="1">
      <c r="A907" s="1">
        <f>IFERROR(__xludf.DUMMYFUNCTION("""COMPUTED_VALUE"""),45190.66666666667)</f>
        <v>45190.66667</v>
      </c>
      <c r="B907" s="2">
        <f>IFERROR(__xludf.DUMMYFUNCTION("""COMPUTED_VALUE"""),1720.0)</f>
        <v>1720</v>
      </c>
      <c r="C907" s="2">
        <f>IFERROR(__xludf.DUMMYFUNCTION("""COMPUTED_VALUE"""),1730.0)</f>
        <v>1730</v>
      </c>
      <c r="D907" s="2">
        <f>IFERROR(__xludf.DUMMYFUNCTION("""COMPUTED_VALUE"""),1650.0)</f>
        <v>1650</v>
      </c>
      <c r="E907" s="2">
        <f>IFERROR(__xludf.DUMMYFUNCTION("""COMPUTED_VALUE"""),1650.0)</f>
        <v>1650</v>
      </c>
      <c r="F907" s="2">
        <f>IFERROR(__xludf.DUMMYFUNCTION("""COMPUTED_VALUE"""),6.18709E7)</f>
        <v>61870900</v>
      </c>
      <c r="G907" s="2">
        <f t="shared" si="1"/>
        <v>80</v>
      </c>
    </row>
    <row r="908" ht="15.75" customHeight="1">
      <c r="A908" s="1">
        <f>IFERROR(__xludf.DUMMYFUNCTION("""COMPUTED_VALUE"""),45191.66666666667)</f>
        <v>45191.66667</v>
      </c>
      <c r="B908" s="2">
        <f>IFERROR(__xludf.DUMMYFUNCTION("""COMPUTED_VALUE"""),1650.0)</f>
        <v>1650</v>
      </c>
      <c r="C908" s="2">
        <f>IFERROR(__xludf.DUMMYFUNCTION("""COMPUTED_VALUE"""),1670.0)</f>
        <v>1670</v>
      </c>
      <c r="D908" s="2">
        <f>IFERROR(__xludf.DUMMYFUNCTION("""COMPUTED_VALUE"""),1630.0)</f>
        <v>1630</v>
      </c>
      <c r="E908" s="2">
        <f>IFERROR(__xludf.DUMMYFUNCTION("""COMPUTED_VALUE"""),1640.0)</f>
        <v>1640</v>
      </c>
      <c r="F908" s="2">
        <f>IFERROR(__xludf.DUMMYFUNCTION("""COMPUTED_VALUE"""),2.87764E7)</f>
        <v>28776400</v>
      </c>
      <c r="G908" s="2">
        <f t="shared" si="1"/>
        <v>40</v>
      </c>
    </row>
    <row r="909" ht="15.75" customHeight="1">
      <c r="A909" s="1">
        <f>IFERROR(__xludf.DUMMYFUNCTION("""COMPUTED_VALUE"""),45194.66666666667)</f>
        <v>45194.66667</v>
      </c>
      <c r="B909" s="2">
        <f>IFERROR(__xludf.DUMMYFUNCTION("""COMPUTED_VALUE"""),1640.0)</f>
        <v>1640</v>
      </c>
      <c r="C909" s="2">
        <f>IFERROR(__xludf.DUMMYFUNCTION("""COMPUTED_VALUE"""),1650.0)</f>
        <v>1650</v>
      </c>
      <c r="D909" s="2">
        <f>IFERROR(__xludf.DUMMYFUNCTION("""COMPUTED_VALUE"""),1615.0)</f>
        <v>1615</v>
      </c>
      <c r="E909" s="2">
        <f>IFERROR(__xludf.DUMMYFUNCTION("""COMPUTED_VALUE"""),1620.0)</f>
        <v>1620</v>
      </c>
      <c r="F909" s="2">
        <f>IFERROR(__xludf.DUMMYFUNCTION("""COMPUTED_VALUE"""),2.26541E7)</f>
        <v>22654100</v>
      </c>
      <c r="G909" s="2">
        <f t="shared" si="1"/>
        <v>35</v>
      </c>
    </row>
    <row r="910" ht="15.75" customHeight="1">
      <c r="A910" s="1">
        <f>IFERROR(__xludf.DUMMYFUNCTION("""COMPUTED_VALUE"""),45195.66666666667)</f>
        <v>45195.66667</v>
      </c>
      <c r="B910" s="2">
        <f>IFERROR(__xludf.DUMMYFUNCTION("""COMPUTED_VALUE"""),1620.0)</f>
        <v>1620</v>
      </c>
      <c r="C910" s="2">
        <f>IFERROR(__xludf.DUMMYFUNCTION("""COMPUTED_VALUE"""),1635.0)</f>
        <v>1635</v>
      </c>
      <c r="D910" s="2">
        <f>IFERROR(__xludf.DUMMYFUNCTION("""COMPUTED_VALUE"""),1600.0)</f>
        <v>1600</v>
      </c>
      <c r="E910" s="2">
        <f>IFERROR(__xludf.DUMMYFUNCTION("""COMPUTED_VALUE"""),1605.0)</f>
        <v>1605</v>
      </c>
      <c r="F910" s="2">
        <f>IFERROR(__xludf.DUMMYFUNCTION("""COMPUTED_VALUE"""),2.85859E7)</f>
        <v>28585900</v>
      </c>
      <c r="G910" s="2">
        <f t="shared" si="1"/>
        <v>35</v>
      </c>
    </row>
    <row r="911" ht="15.75" customHeight="1">
      <c r="A911" s="1">
        <f>IFERROR(__xludf.DUMMYFUNCTION("""COMPUTED_VALUE"""),45196.66666666667)</f>
        <v>45196.66667</v>
      </c>
      <c r="B911" s="2">
        <f>IFERROR(__xludf.DUMMYFUNCTION("""COMPUTED_VALUE"""),1615.0)</f>
        <v>1615</v>
      </c>
      <c r="C911" s="2">
        <f>IFERROR(__xludf.DUMMYFUNCTION("""COMPUTED_VALUE"""),1640.0)</f>
        <v>1640</v>
      </c>
      <c r="D911" s="2">
        <f>IFERROR(__xludf.DUMMYFUNCTION("""COMPUTED_VALUE"""),1610.0)</f>
        <v>1610</v>
      </c>
      <c r="E911" s="2">
        <f>IFERROR(__xludf.DUMMYFUNCTION("""COMPUTED_VALUE"""),1615.0)</f>
        <v>1615</v>
      </c>
      <c r="F911" s="2">
        <f>IFERROR(__xludf.DUMMYFUNCTION("""COMPUTED_VALUE"""),2.17382E7)</f>
        <v>21738200</v>
      </c>
      <c r="G911" s="2">
        <f t="shared" si="1"/>
        <v>35</v>
      </c>
    </row>
    <row r="912" ht="15.75" customHeight="1">
      <c r="A912" s="1">
        <f>IFERROR(__xludf.DUMMYFUNCTION("""COMPUTED_VALUE"""),45198.66666666667)</f>
        <v>45198.66667</v>
      </c>
      <c r="B912" s="2">
        <f>IFERROR(__xludf.DUMMYFUNCTION("""COMPUTED_VALUE"""),1620.0)</f>
        <v>1620</v>
      </c>
      <c r="C912" s="2">
        <f>IFERROR(__xludf.DUMMYFUNCTION("""COMPUTED_VALUE"""),1630.0)</f>
        <v>1630</v>
      </c>
      <c r="D912" s="2">
        <f>IFERROR(__xludf.DUMMYFUNCTION("""COMPUTED_VALUE"""),1605.0)</f>
        <v>1605</v>
      </c>
      <c r="E912" s="2">
        <f>IFERROR(__xludf.DUMMYFUNCTION("""COMPUTED_VALUE"""),1625.0)</f>
        <v>1625</v>
      </c>
      <c r="F912" s="2">
        <f>IFERROR(__xludf.DUMMYFUNCTION("""COMPUTED_VALUE"""),1.47922E7)</f>
        <v>14792200</v>
      </c>
      <c r="G912" s="2">
        <f t="shared" si="1"/>
        <v>25</v>
      </c>
    </row>
    <row r="913" ht="15.75" customHeight="1">
      <c r="A913" s="1">
        <f>IFERROR(__xludf.DUMMYFUNCTION("""COMPUTED_VALUE"""),45201.66666666667)</f>
        <v>45201.66667</v>
      </c>
      <c r="B913" s="2">
        <f>IFERROR(__xludf.DUMMYFUNCTION("""COMPUTED_VALUE"""),1625.0)</f>
        <v>1625</v>
      </c>
      <c r="C913" s="2">
        <f>IFERROR(__xludf.DUMMYFUNCTION("""COMPUTED_VALUE"""),1640.0)</f>
        <v>1640</v>
      </c>
      <c r="D913" s="2">
        <f>IFERROR(__xludf.DUMMYFUNCTION("""COMPUTED_VALUE"""),1610.0)</f>
        <v>1610</v>
      </c>
      <c r="E913" s="2">
        <f>IFERROR(__xludf.DUMMYFUNCTION("""COMPUTED_VALUE"""),1615.0)</f>
        <v>1615</v>
      </c>
      <c r="F913" s="2">
        <f>IFERROR(__xludf.DUMMYFUNCTION("""COMPUTED_VALUE"""),1.03821E7)</f>
        <v>10382100</v>
      </c>
      <c r="G913" s="2">
        <f t="shared" si="1"/>
        <v>30</v>
      </c>
    </row>
    <row r="914" ht="15.75" customHeight="1">
      <c r="A914" s="1">
        <f>IFERROR(__xludf.DUMMYFUNCTION("""COMPUTED_VALUE"""),45202.66666666667)</f>
        <v>45202.66667</v>
      </c>
      <c r="B914" s="2">
        <f>IFERROR(__xludf.DUMMYFUNCTION("""COMPUTED_VALUE"""),1615.0)</f>
        <v>1615</v>
      </c>
      <c r="C914" s="2">
        <f>IFERROR(__xludf.DUMMYFUNCTION("""COMPUTED_VALUE"""),1625.0)</f>
        <v>1625</v>
      </c>
      <c r="D914" s="2">
        <f>IFERROR(__xludf.DUMMYFUNCTION("""COMPUTED_VALUE"""),1540.0)</f>
        <v>1540</v>
      </c>
      <c r="E914" s="2">
        <f>IFERROR(__xludf.DUMMYFUNCTION("""COMPUTED_VALUE"""),1540.0)</f>
        <v>1540</v>
      </c>
      <c r="F914" s="2">
        <f>IFERROR(__xludf.DUMMYFUNCTION("""COMPUTED_VALUE"""),5.66228E7)</f>
        <v>56622800</v>
      </c>
      <c r="G914" s="2">
        <f t="shared" si="1"/>
        <v>85</v>
      </c>
    </row>
    <row r="915" ht="15.75" customHeight="1">
      <c r="A915" s="1">
        <f>IFERROR(__xludf.DUMMYFUNCTION("""COMPUTED_VALUE"""),45203.66666666667)</f>
        <v>45203.66667</v>
      </c>
      <c r="B915" s="2">
        <f>IFERROR(__xludf.DUMMYFUNCTION("""COMPUTED_VALUE"""),1540.0)</f>
        <v>1540</v>
      </c>
      <c r="C915" s="2">
        <f>IFERROR(__xludf.DUMMYFUNCTION("""COMPUTED_VALUE"""),1545.0)</f>
        <v>1545</v>
      </c>
      <c r="D915" s="2">
        <f>IFERROR(__xludf.DUMMYFUNCTION("""COMPUTED_VALUE"""),1500.0)</f>
        <v>1500</v>
      </c>
      <c r="E915" s="2">
        <f>IFERROR(__xludf.DUMMYFUNCTION("""COMPUTED_VALUE"""),1510.0)</f>
        <v>1510</v>
      </c>
      <c r="F915" s="2">
        <f>IFERROR(__xludf.DUMMYFUNCTION("""COMPUTED_VALUE"""),3.98065E7)</f>
        <v>39806500</v>
      </c>
      <c r="G915" s="2">
        <f t="shared" si="1"/>
        <v>45</v>
      </c>
    </row>
    <row r="916" ht="15.75" customHeight="1">
      <c r="A916" s="1">
        <f>IFERROR(__xludf.DUMMYFUNCTION("""COMPUTED_VALUE"""),45204.66666666667)</f>
        <v>45204.66667</v>
      </c>
      <c r="B916" s="2">
        <f>IFERROR(__xludf.DUMMYFUNCTION("""COMPUTED_VALUE"""),1510.0)</f>
        <v>1510</v>
      </c>
      <c r="C916" s="2">
        <f>IFERROR(__xludf.DUMMYFUNCTION("""COMPUTED_VALUE"""),1575.0)</f>
        <v>1575</v>
      </c>
      <c r="D916" s="2">
        <f>IFERROR(__xludf.DUMMYFUNCTION("""COMPUTED_VALUE"""),1510.0)</f>
        <v>1510</v>
      </c>
      <c r="E916" s="2">
        <f>IFERROR(__xludf.DUMMYFUNCTION("""COMPUTED_VALUE"""),1545.0)</f>
        <v>1545</v>
      </c>
      <c r="F916" s="2">
        <f>IFERROR(__xludf.DUMMYFUNCTION("""COMPUTED_VALUE"""),2.92014E7)</f>
        <v>29201400</v>
      </c>
      <c r="G916" s="2">
        <f t="shared" si="1"/>
        <v>65</v>
      </c>
    </row>
    <row r="917" ht="15.75" customHeight="1">
      <c r="A917" s="1">
        <f>IFERROR(__xludf.DUMMYFUNCTION("""COMPUTED_VALUE"""),45205.66666666667)</f>
        <v>45205.66667</v>
      </c>
      <c r="B917" s="2">
        <f>IFERROR(__xludf.DUMMYFUNCTION("""COMPUTED_VALUE"""),1560.0)</f>
        <v>1560</v>
      </c>
      <c r="C917" s="2">
        <f>IFERROR(__xludf.DUMMYFUNCTION("""COMPUTED_VALUE"""),1560.0)</f>
        <v>1560</v>
      </c>
      <c r="D917" s="2">
        <f>IFERROR(__xludf.DUMMYFUNCTION("""COMPUTED_VALUE"""),1530.0)</f>
        <v>1530</v>
      </c>
      <c r="E917" s="2">
        <f>IFERROR(__xludf.DUMMYFUNCTION("""COMPUTED_VALUE"""),1540.0)</f>
        <v>1540</v>
      </c>
      <c r="F917" s="2">
        <f>IFERROR(__xludf.DUMMYFUNCTION("""COMPUTED_VALUE"""),1.07677E7)</f>
        <v>10767700</v>
      </c>
      <c r="G917" s="2">
        <f t="shared" si="1"/>
        <v>30</v>
      </c>
    </row>
    <row r="918" ht="15.75" customHeight="1">
      <c r="A918" s="1">
        <f>IFERROR(__xludf.DUMMYFUNCTION("""COMPUTED_VALUE"""),45208.66666666667)</f>
        <v>45208.66667</v>
      </c>
      <c r="B918" s="2">
        <f>IFERROR(__xludf.DUMMYFUNCTION("""COMPUTED_VALUE"""),1540.0)</f>
        <v>1540</v>
      </c>
      <c r="C918" s="2">
        <f>IFERROR(__xludf.DUMMYFUNCTION("""COMPUTED_VALUE"""),1565.0)</f>
        <v>1565</v>
      </c>
      <c r="D918" s="2">
        <f>IFERROR(__xludf.DUMMYFUNCTION("""COMPUTED_VALUE"""),1540.0)</f>
        <v>1540</v>
      </c>
      <c r="E918" s="2">
        <f>IFERROR(__xludf.DUMMYFUNCTION("""COMPUTED_VALUE"""),1560.0)</f>
        <v>1560</v>
      </c>
      <c r="F918" s="2">
        <f>IFERROR(__xludf.DUMMYFUNCTION("""COMPUTED_VALUE"""),1.29027E7)</f>
        <v>12902700</v>
      </c>
      <c r="G918" s="2">
        <f t="shared" si="1"/>
        <v>25</v>
      </c>
    </row>
    <row r="919" ht="15.75" customHeight="1">
      <c r="A919" s="1">
        <f>IFERROR(__xludf.DUMMYFUNCTION("""COMPUTED_VALUE"""),45209.66666666667)</f>
        <v>45209.66667</v>
      </c>
      <c r="B919" s="2">
        <f>IFERROR(__xludf.DUMMYFUNCTION("""COMPUTED_VALUE"""),1560.0)</f>
        <v>1560</v>
      </c>
      <c r="C919" s="2">
        <f>IFERROR(__xludf.DUMMYFUNCTION("""COMPUTED_VALUE"""),1570.0)</f>
        <v>1570</v>
      </c>
      <c r="D919" s="2">
        <f>IFERROR(__xludf.DUMMYFUNCTION("""COMPUTED_VALUE"""),1545.0)</f>
        <v>1545</v>
      </c>
      <c r="E919" s="2">
        <f>IFERROR(__xludf.DUMMYFUNCTION("""COMPUTED_VALUE"""),1565.0)</f>
        <v>1565</v>
      </c>
      <c r="F919" s="2">
        <f>IFERROR(__xludf.DUMMYFUNCTION("""COMPUTED_VALUE"""),7152200.0)</f>
        <v>7152200</v>
      </c>
      <c r="G919" s="2">
        <f t="shared" si="1"/>
        <v>25</v>
      </c>
    </row>
    <row r="920" ht="15.75" customHeight="1">
      <c r="A920" s="1">
        <f>IFERROR(__xludf.DUMMYFUNCTION("""COMPUTED_VALUE"""),45210.66666666667)</f>
        <v>45210.66667</v>
      </c>
      <c r="B920" s="2">
        <f>IFERROR(__xludf.DUMMYFUNCTION("""COMPUTED_VALUE"""),1570.0)</f>
        <v>1570</v>
      </c>
      <c r="C920" s="2">
        <f>IFERROR(__xludf.DUMMYFUNCTION("""COMPUTED_VALUE"""),1580.0)</f>
        <v>1580</v>
      </c>
      <c r="D920" s="2">
        <f>IFERROR(__xludf.DUMMYFUNCTION("""COMPUTED_VALUE"""),1550.0)</f>
        <v>1550</v>
      </c>
      <c r="E920" s="2">
        <f>IFERROR(__xludf.DUMMYFUNCTION("""COMPUTED_VALUE"""),1555.0)</f>
        <v>1555</v>
      </c>
      <c r="F920" s="2">
        <f>IFERROR(__xludf.DUMMYFUNCTION("""COMPUTED_VALUE"""),8126500.0)</f>
        <v>8126500</v>
      </c>
      <c r="G920" s="2">
        <f t="shared" si="1"/>
        <v>30</v>
      </c>
    </row>
    <row r="921" ht="15.75" customHeight="1">
      <c r="A921" s="1">
        <f>IFERROR(__xludf.DUMMYFUNCTION("""COMPUTED_VALUE"""),45211.66666666667)</f>
        <v>45211.66667</v>
      </c>
      <c r="B921" s="2">
        <f>IFERROR(__xludf.DUMMYFUNCTION("""COMPUTED_VALUE"""),1560.0)</f>
        <v>1560</v>
      </c>
      <c r="C921" s="2">
        <f>IFERROR(__xludf.DUMMYFUNCTION("""COMPUTED_VALUE"""),1595.0)</f>
        <v>1595</v>
      </c>
      <c r="D921" s="2">
        <f>IFERROR(__xludf.DUMMYFUNCTION("""COMPUTED_VALUE"""),1560.0)</f>
        <v>1560</v>
      </c>
      <c r="E921" s="2">
        <f>IFERROR(__xludf.DUMMYFUNCTION("""COMPUTED_VALUE"""),1585.0)</f>
        <v>1585</v>
      </c>
      <c r="F921" s="2">
        <f>IFERROR(__xludf.DUMMYFUNCTION("""COMPUTED_VALUE"""),2.17868E7)</f>
        <v>21786800</v>
      </c>
      <c r="G921" s="2">
        <f t="shared" si="1"/>
        <v>40</v>
      </c>
    </row>
    <row r="922" ht="15.75" customHeight="1">
      <c r="A922" s="1">
        <f>IFERROR(__xludf.DUMMYFUNCTION("""COMPUTED_VALUE"""),45212.66666666667)</f>
        <v>45212.66667</v>
      </c>
      <c r="B922" s="2">
        <f>IFERROR(__xludf.DUMMYFUNCTION("""COMPUTED_VALUE"""),1585.0)</f>
        <v>1585</v>
      </c>
      <c r="C922" s="2">
        <f>IFERROR(__xludf.DUMMYFUNCTION("""COMPUTED_VALUE"""),1585.0)</f>
        <v>1585</v>
      </c>
      <c r="D922" s="2">
        <f>IFERROR(__xludf.DUMMYFUNCTION("""COMPUTED_VALUE"""),1530.0)</f>
        <v>1530</v>
      </c>
      <c r="E922" s="2">
        <f>IFERROR(__xludf.DUMMYFUNCTION("""COMPUTED_VALUE"""),1540.0)</f>
        <v>1540</v>
      </c>
      <c r="F922" s="2">
        <f>IFERROR(__xludf.DUMMYFUNCTION("""COMPUTED_VALUE"""),1.65532E7)</f>
        <v>16553200</v>
      </c>
      <c r="G922" s="2">
        <f t="shared" si="1"/>
        <v>55</v>
      </c>
    </row>
    <row r="923" ht="15.75" customHeight="1">
      <c r="A923" s="1">
        <f>IFERROR(__xludf.DUMMYFUNCTION("""COMPUTED_VALUE"""),45215.66666666667)</f>
        <v>45215.66667</v>
      </c>
      <c r="B923" s="2">
        <f>IFERROR(__xludf.DUMMYFUNCTION("""COMPUTED_VALUE"""),1530.0)</f>
        <v>1530</v>
      </c>
      <c r="C923" s="2">
        <f>IFERROR(__xludf.DUMMYFUNCTION("""COMPUTED_VALUE"""),1540.0)</f>
        <v>1540</v>
      </c>
      <c r="D923" s="2">
        <f>IFERROR(__xludf.DUMMYFUNCTION("""COMPUTED_VALUE"""),1515.0)</f>
        <v>1515</v>
      </c>
      <c r="E923" s="2">
        <f>IFERROR(__xludf.DUMMYFUNCTION("""COMPUTED_VALUE"""),1525.0)</f>
        <v>1525</v>
      </c>
      <c r="F923" s="2">
        <f>IFERROR(__xludf.DUMMYFUNCTION("""COMPUTED_VALUE"""),1.18308E7)</f>
        <v>11830800</v>
      </c>
      <c r="G923" s="2">
        <f t="shared" si="1"/>
        <v>25</v>
      </c>
    </row>
    <row r="924" ht="15.75" customHeight="1">
      <c r="A924" s="1">
        <f>IFERROR(__xludf.DUMMYFUNCTION("""COMPUTED_VALUE"""),45216.66666666667)</f>
        <v>45216.66667</v>
      </c>
      <c r="B924" s="2">
        <f>IFERROR(__xludf.DUMMYFUNCTION("""COMPUTED_VALUE"""),1530.0)</f>
        <v>1530</v>
      </c>
      <c r="C924" s="2">
        <f>IFERROR(__xludf.DUMMYFUNCTION("""COMPUTED_VALUE"""),1545.0)</f>
        <v>1545</v>
      </c>
      <c r="D924" s="2">
        <f>IFERROR(__xludf.DUMMYFUNCTION("""COMPUTED_VALUE"""),1515.0)</f>
        <v>1515</v>
      </c>
      <c r="E924" s="2">
        <f>IFERROR(__xludf.DUMMYFUNCTION("""COMPUTED_VALUE"""),1540.0)</f>
        <v>1540</v>
      </c>
      <c r="F924" s="2">
        <f>IFERROR(__xludf.DUMMYFUNCTION("""COMPUTED_VALUE"""),1.1759E7)</f>
        <v>11759000</v>
      </c>
      <c r="G924" s="2">
        <f t="shared" si="1"/>
        <v>30</v>
      </c>
    </row>
    <row r="925" ht="15.75" customHeight="1">
      <c r="A925" s="1">
        <f>IFERROR(__xludf.DUMMYFUNCTION("""COMPUTED_VALUE"""),45217.66666666667)</f>
        <v>45217.66667</v>
      </c>
      <c r="B925" s="2">
        <f>IFERROR(__xludf.DUMMYFUNCTION("""COMPUTED_VALUE"""),1540.0)</f>
        <v>1540</v>
      </c>
      <c r="C925" s="2">
        <f>IFERROR(__xludf.DUMMYFUNCTION("""COMPUTED_VALUE"""),1540.0)</f>
        <v>1540</v>
      </c>
      <c r="D925" s="2">
        <f>IFERROR(__xludf.DUMMYFUNCTION("""COMPUTED_VALUE"""),1515.0)</f>
        <v>1515</v>
      </c>
      <c r="E925" s="2">
        <f>IFERROR(__xludf.DUMMYFUNCTION("""COMPUTED_VALUE"""),1535.0)</f>
        <v>1535</v>
      </c>
      <c r="F925" s="2">
        <f>IFERROR(__xludf.DUMMYFUNCTION("""COMPUTED_VALUE"""),4565700.0)</f>
        <v>4565700</v>
      </c>
      <c r="G925" s="2">
        <f t="shared" si="1"/>
        <v>25</v>
      </c>
    </row>
    <row r="926" ht="15.75" customHeight="1">
      <c r="A926" s="1">
        <f>IFERROR(__xludf.DUMMYFUNCTION("""COMPUTED_VALUE"""),45218.66666666667)</f>
        <v>45218.66667</v>
      </c>
      <c r="B926" s="2">
        <f>IFERROR(__xludf.DUMMYFUNCTION("""COMPUTED_VALUE"""),1535.0)</f>
        <v>1535</v>
      </c>
      <c r="C926" s="2">
        <f>IFERROR(__xludf.DUMMYFUNCTION("""COMPUTED_VALUE"""),1540.0)</f>
        <v>1540</v>
      </c>
      <c r="D926" s="2">
        <f>IFERROR(__xludf.DUMMYFUNCTION("""COMPUTED_VALUE"""),1510.0)</f>
        <v>1510</v>
      </c>
      <c r="E926" s="2">
        <f>IFERROR(__xludf.DUMMYFUNCTION("""COMPUTED_VALUE"""),1510.0)</f>
        <v>1510</v>
      </c>
      <c r="F926" s="2">
        <f>IFERROR(__xludf.DUMMYFUNCTION("""COMPUTED_VALUE"""),7995700.0)</f>
        <v>7995700</v>
      </c>
      <c r="G926" s="2">
        <f t="shared" si="1"/>
        <v>30</v>
      </c>
    </row>
    <row r="927" ht="15.75" customHeight="1">
      <c r="A927" s="1">
        <f>IFERROR(__xludf.DUMMYFUNCTION("""COMPUTED_VALUE"""),45219.66666666667)</f>
        <v>45219.66667</v>
      </c>
      <c r="B927" s="2">
        <f>IFERROR(__xludf.DUMMYFUNCTION("""COMPUTED_VALUE"""),1510.0)</f>
        <v>1510</v>
      </c>
      <c r="C927" s="2">
        <f>IFERROR(__xludf.DUMMYFUNCTION("""COMPUTED_VALUE"""),1535.0)</f>
        <v>1535</v>
      </c>
      <c r="D927" s="2">
        <f>IFERROR(__xludf.DUMMYFUNCTION("""COMPUTED_VALUE"""),1450.0)</f>
        <v>1450</v>
      </c>
      <c r="E927" s="2">
        <f>IFERROR(__xludf.DUMMYFUNCTION("""COMPUTED_VALUE"""),1520.0)</f>
        <v>1520</v>
      </c>
      <c r="F927" s="2">
        <f>IFERROR(__xludf.DUMMYFUNCTION("""COMPUTED_VALUE"""),1.79361E7)</f>
        <v>17936100</v>
      </c>
      <c r="G927" s="2">
        <f t="shared" si="1"/>
        <v>85</v>
      </c>
    </row>
    <row r="928" ht="15.75" customHeight="1">
      <c r="A928" s="1">
        <f>IFERROR(__xludf.DUMMYFUNCTION("""COMPUTED_VALUE"""),45222.66666666667)</f>
        <v>45222.66667</v>
      </c>
      <c r="B928" s="2">
        <f>IFERROR(__xludf.DUMMYFUNCTION("""COMPUTED_VALUE"""),1520.0)</f>
        <v>1520</v>
      </c>
      <c r="C928" s="2">
        <f>IFERROR(__xludf.DUMMYFUNCTION("""COMPUTED_VALUE"""),1520.0)</f>
        <v>1520</v>
      </c>
      <c r="D928" s="2">
        <f>IFERROR(__xludf.DUMMYFUNCTION("""COMPUTED_VALUE"""),1475.0)</f>
        <v>1475</v>
      </c>
      <c r="E928" s="2">
        <f>IFERROR(__xludf.DUMMYFUNCTION("""COMPUTED_VALUE"""),1490.0)</f>
        <v>1490</v>
      </c>
      <c r="F928" s="2">
        <f>IFERROR(__xludf.DUMMYFUNCTION("""COMPUTED_VALUE"""),1.10638E7)</f>
        <v>11063800</v>
      </c>
      <c r="G928" s="2">
        <f t="shared" si="1"/>
        <v>45</v>
      </c>
    </row>
    <row r="929" ht="15.75" customHeight="1">
      <c r="A929" s="1">
        <f>IFERROR(__xludf.DUMMYFUNCTION("""COMPUTED_VALUE"""),45223.66666666667)</f>
        <v>45223.66667</v>
      </c>
      <c r="B929" s="2">
        <f>IFERROR(__xludf.DUMMYFUNCTION("""COMPUTED_VALUE"""),1495.0)</f>
        <v>1495</v>
      </c>
      <c r="C929" s="2">
        <f>IFERROR(__xludf.DUMMYFUNCTION("""COMPUTED_VALUE"""),1555.0)</f>
        <v>1555</v>
      </c>
      <c r="D929" s="2">
        <f>IFERROR(__xludf.DUMMYFUNCTION("""COMPUTED_VALUE"""),1495.0)</f>
        <v>1495</v>
      </c>
      <c r="E929" s="2">
        <f>IFERROR(__xludf.DUMMYFUNCTION("""COMPUTED_VALUE"""),1545.0)</f>
        <v>1545</v>
      </c>
      <c r="F929" s="2">
        <f>IFERROR(__xludf.DUMMYFUNCTION("""COMPUTED_VALUE"""),1.25326E7)</f>
        <v>12532600</v>
      </c>
      <c r="G929" s="2">
        <f t="shared" si="1"/>
        <v>65</v>
      </c>
    </row>
    <row r="930" ht="15.75" customHeight="1">
      <c r="A930" s="1">
        <f>IFERROR(__xludf.DUMMYFUNCTION("""COMPUTED_VALUE"""),45224.66666666667)</f>
        <v>45224.66667</v>
      </c>
      <c r="B930" s="2">
        <f>IFERROR(__xludf.DUMMYFUNCTION("""COMPUTED_VALUE"""),1545.0)</f>
        <v>1545</v>
      </c>
      <c r="C930" s="2">
        <f>IFERROR(__xludf.DUMMYFUNCTION("""COMPUTED_VALUE"""),1560.0)</f>
        <v>1560</v>
      </c>
      <c r="D930" s="2">
        <f>IFERROR(__xludf.DUMMYFUNCTION("""COMPUTED_VALUE"""),1515.0)</f>
        <v>1515</v>
      </c>
      <c r="E930" s="2">
        <f>IFERROR(__xludf.DUMMYFUNCTION("""COMPUTED_VALUE"""),1525.0)</f>
        <v>1525</v>
      </c>
      <c r="F930" s="2">
        <f>IFERROR(__xludf.DUMMYFUNCTION("""COMPUTED_VALUE"""),8565400.0)</f>
        <v>8565400</v>
      </c>
      <c r="G930" s="2">
        <f t="shared" si="1"/>
        <v>45</v>
      </c>
    </row>
    <row r="931" ht="15.75" customHeight="1">
      <c r="A931" s="1">
        <f>IFERROR(__xludf.DUMMYFUNCTION("""COMPUTED_VALUE"""),45225.66666666667)</f>
        <v>45225.66667</v>
      </c>
      <c r="B931" s="2">
        <f>IFERROR(__xludf.DUMMYFUNCTION("""COMPUTED_VALUE"""),1525.0)</f>
        <v>1525</v>
      </c>
      <c r="C931" s="2">
        <f>IFERROR(__xludf.DUMMYFUNCTION("""COMPUTED_VALUE"""),1530.0)</f>
        <v>1530</v>
      </c>
      <c r="D931" s="2">
        <f>IFERROR(__xludf.DUMMYFUNCTION("""COMPUTED_VALUE"""),1495.0)</f>
        <v>1495</v>
      </c>
      <c r="E931" s="2">
        <f>IFERROR(__xludf.DUMMYFUNCTION("""COMPUTED_VALUE"""),1515.0)</f>
        <v>1515</v>
      </c>
      <c r="F931" s="2">
        <f>IFERROR(__xludf.DUMMYFUNCTION("""COMPUTED_VALUE"""),7544900.0)</f>
        <v>7544900</v>
      </c>
      <c r="G931" s="2">
        <f t="shared" si="1"/>
        <v>35</v>
      </c>
    </row>
    <row r="932" ht="15.75" customHeight="1">
      <c r="A932" s="1">
        <f>IFERROR(__xludf.DUMMYFUNCTION("""COMPUTED_VALUE"""),45226.66666666667)</f>
        <v>45226.66667</v>
      </c>
      <c r="B932" s="2">
        <f>IFERROR(__xludf.DUMMYFUNCTION("""COMPUTED_VALUE"""),1515.0)</f>
        <v>1515</v>
      </c>
      <c r="C932" s="2">
        <f>IFERROR(__xludf.DUMMYFUNCTION("""COMPUTED_VALUE"""),1535.0)</f>
        <v>1535</v>
      </c>
      <c r="D932" s="2">
        <f>IFERROR(__xludf.DUMMYFUNCTION("""COMPUTED_VALUE"""),1505.0)</f>
        <v>1505</v>
      </c>
      <c r="E932" s="2">
        <f>IFERROR(__xludf.DUMMYFUNCTION("""COMPUTED_VALUE"""),1530.0)</f>
        <v>1530</v>
      </c>
      <c r="F932" s="2">
        <f>IFERROR(__xludf.DUMMYFUNCTION("""COMPUTED_VALUE"""),3745400.0)</f>
        <v>3745400</v>
      </c>
      <c r="G932" s="2">
        <f t="shared" si="1"/>
        <v>30</v>
      </c>
    </row>
    <row r="933" ht="15.75" customHeight="1">
      <c r="A933" s="1">
        <f>IFERROR(__xludf.DUMMYFUNCTION("""COMPUTED_VALUE"""),45229.66666666667)</f>
        <v>45229.66667</v>
      </c>
      <c r="B933" s="2">
        <f>IFERROR(__xludf.DUMMYFUNCTION("""COMPUTED_VALUE"""),1530.0)</f>
        <v>1530</v>
      </c>
      <c r="C933" s="2">
        <f>IFERROR(__xludf.DUMMYFUNCTION("""COMPUTED_VALUE"""),1535.0)</f>
        <v>1535</v>
      </c>
      <c r="D933" s="2">
        <f>IFERROR(__xludf.DUMMYFUNCTION("""COMPUTED_VALUE"""),1510.0)</f>
        <v>1510</v>
      </c>
      <c r="E933" s="2">
        <f>IFERROR(__xludf.DUMMYFUNCTION("""COMPUTED_VALUE"""),1510.0)</f>
        <v>1510</v>
      </c>
      <c r="F933" s="2">
        <f>IFERROR(__xludf.DUMMYFUNCTION("""COMPUTED_VALUE"""),8708600.0)</f>
        <v>8708600</v>
      </c>
      <c r="G933" s="2">
        <f t="shared" si="1"/>
        <v>25</v>
      </c>
    </row>
    <row r="934" ht="15.75" customHeight="1">
      <c r="A934" s="1">
        <f>IFERROR(__xludf.DUMMYFUNCTION("""COMPUTED_VALUE"""),45230.66666666667)</f>
        <v>45230.66667</v>
      </c>
      <c r="B934" s="2">
        <f>IFERROR(__xludf.DUMMYFUNCTION("""COMPUTED_VALUE"""),1515.0)</f>
        <v>1515</v>
      </c>
      <c r="C934" s="2">
        <f>IFERROR(__xludf.DUMMYFUNCTION("""COMPUTED_VALUE"""),1535.0)</f>
        <v>1535</v>
      </c>
      <c r="D934" s="2">
        <f>IFERROR(__xludf.DUMMYFUNCTION("""COMPUTED_VALUE"""),1485.0)</f>
        <v>1485</v>
      </c>
      <c r="E934" s="2">
        <f>IFERROR(__xludf.DUMMYFUNCTION("""COMPUTED_VALUE"""),1500.0)</f>
        <v>1500</v>
      </c>
      <c r="F934" s="2">
        <f>IFERROR(__xludf.DUMMYFUNCTION("""COMPUTED_VALUE"""),1.04187E7)</f>
        <v>10418700</v>
      </c>
      <c r="G934" s="2">
        <f t="shared" si="1"/>
        <v>50</v>
      </c>
    </row>
    <row r="935" ht="15.75" customHeight="1">
      <c r="A935" s="1">
        <f>IFERROR(__xludf.DUMMYFUNCTION("""COMPUTED_VALUE"""),45231.66666666667)</f>
        <v>45231.66667</v>
      </c>
      <c r="B935" s="2">
        <f>IFERROR(__xludf.DUMMYFUNCTION("""COMPUTED_VALUE"""),1505.0)</f>
        <v>1505</v>
      </c>
      <c r="C935" s="2">
        <f>IFERROR(__xludf.DUMMYFUNCTION("""COMPUTED_VALUE"""),1515.0)</f>
        <v>1515</v>
      </c>
      <c r="D935" s="2">
        <f>IFERROR(__xludf.DUMMYFUNCTION("""COMPUTED_VALUE"""),1485.0)</f>
        <v>1485</v>
      </c>
      <c r="E935" s="2">
        <f>IFERROR(__xludf.DUMMYFUNCTION("""COMPUTED_VALUE"""),1490.0)</f>
        <v>1490</v>
      </c>
      <c r="F935" s="2">
        <f>IFERROR(__xludf.DUMMYFUNCTION("""COMPUTED_VALUE"""),8827400.0)</f>
        <v>8827400</v>
      </c>
      <c r="G935" s="2">
        <f t="shared" si="1"/>
        <v>30</v>
      </c>
    </row>
    <row r="936" ht="15.75" customHeight="1">
      <c r="A936" s="1">
        <f>IFERROR(__xludf.DUMMYFUNCTION("""COMPUTED_VALUE"""),45232.66666666667)</f>
        <v>45232.66667</v>
      </c>
      <c r="B936" s="2">
        <f>IFERROR(__xludf.DUMMYFUNCTION("""COMPUTED_VALUE"""),1505.0)</f>
        <v>1505</v>
      </c>
      <c r="C936" s="2">
        <f>IFERROR(__xludf.DUMMYFUNCTION("""COMPUTED_VALUE"""),1525.0)</f>
        <v>1525</v>
      </c>
      <c r="D936" s="2">
        <f>IFERROR(__xludf.DUMMYFUNCTION("""COMPUTED_VALUE"""),1490.0)</f>
        <v>1490</v>
      </c>
      <c r="E936" s="2">
        <f>IFERROR(__xludf.DUMMYFUNCTION("""COMPUTED_VALUE"""),1500.0)</f>
        <v>1500</v>
      </c>
      <c r="F936" s="2">
        <f>IFERROR(__xludf.DUMMYFUNCTION("""COMPUTED_VALUE"""),1.25856E7)</f>
        <v>12585600</v>
      </c>
      <c r="G936" s="2">
        <f t="shared" si="1"/>
        <v>35</v>
      </c>
    </row>
    <row r="937" ht="15.75" customHeight="1">
      <c r="A937" s="1">
        <f>IFERROR(__xludf.DUMMYFUNCTION("""COMPUTED_VALUE"""),45233.66666666667)</f>
        <v>45233.66667</v>
      </c>
      <c r="B937" s="2">
        <f>IFERROR(__xludf.DUMMYFUNCTION("""COMPUTED_VALUE"""),1520.0)</f>
        <v>1520</v>
      </c>
      <c r="C937" s="2">
        <f>IFERROR(__xludf.DUMMYFUNCTION("""COMPUTED_VALUE"""),1520.0)</f>
        <v>1520</v>
      </c>
      <c r="D937" s="2">
        <f>IFERROR(__xludf.DUMMYFUNCTION("""COMPUTED_VALUE"""),1495.0)</f>
        <v>1495</v>
      </c>
      <c r="E937" s="2">
        <f>IFERROR(__xludf.DUMMYFUNCTION("""COMPUTED_VALUE"""),1505.0)</f>
        <v>1505</v>
      </c>
      <c r="F937" s="2">
        <f>IFERROR(__xludf.DUMMYFUNCTION("""COMPUTED_VALUE"""),7951000.0)</f>
        <v>7951000</v>
      </c>
      <c r="G937" s="2">
        <f t="shared" si="1"/>
        <v>25</v>
      </c>
    </row>
    <row r="938" ht="15.75" customHeight="1">
      <c r="A938" s="1">
        <f>IFERROR(__xludf.DUMMYFUNCTION("""COMPUTED_VALUE"""),45236.66666666667)</f>
        <v>45236.66667</v>
      </c>
      <c r="B938" s="2">
        <f>IFERROR(__xludf.DUMMYFUNCTION("""COMPUTED_VALUE"""),1510.0)</f>
        <v>1510</v>
      </c>
      <c r="C938" s="2">
        <f>IFERROR(__xludf.DUMMYFUNCTION("""COMPUTED_VALUE"""),1530.0)</f>
        <v>1530</v>
      </c>
      <c r="D938" s="2">
        <f>IFERROR(__xludf.DUMMYFUNCTION("""COMPUTED_VALUE"""),1505.0)</f>
        <v>1505</v>
      </c>
      <c r="E938" s="2">
        <f>IFERROR(__xludf.DUMMYFUNCTION("""COMPUTED_VALUE"""),1520.0)</f>
        <v>1520</v>
      </c>
      <c r="F938" s="2">
        <f>IFERROR(__xludf.DUMMYFUNCTION("""COMPUTED_VALUE"""),6659100.0)</f>
        <v>6659100</v>
      </c>
      <c r="G938" s="2">
        <f t="shared" si="1"/>
        <v>25</v>
      </c>
    </row>
    <row r="939" ht="15.75" customHeight="1">
      <c r="A939" s="1">
        <f>IFERROR(__xludf.DUMMYFUNCTION("""COMPUTED_VALUE"""),45237.66666666667)</f>
        <v>45237.66667</v>
      </c>
      <c r="B939" s="2">
        <f>IFERROR(__xludf.DUMMYFUNCTION("""COMPUTED_VALUE"""),1520.0)</f>
        <v>1520</v>
      </c>
      <c r="C939" s="2">
        <f>IFERROR(__xludf.DUMMYFUNCTION("""COMPUTED_VALUE"""),1525.0)</f>
        <v>1525</v>
      </c>
      <c r="D939" s="2">
        <f>IFERROR(__xludf.DUMMYFUNCTION("""COMPUTED_VALUE"""),1480.0)</f>
        <v>1480</v>
      </c>
      <c r="E939" s="2">
        <f>IFERROR(__xludf.DUMMYFUNCTION("""COMPUTED_VALUE"""),1500.0)</f>
        <v>1500</v>
      </c>
      <c r="F939" s="2">
        <f>IFERROR(__xludf.DUMMYFUNCTION("""COMPUTED_VALUE"""),1.79793E7)</f>
        <v>17979300</v>
      </c>
      <c r="G939" s="2">
        <f t="shared" si="1"/>
        <v>45</v>
      </c>
    </row>
    <row r="940" ht="15.75" customHeight="1">
      <c r="A940" s="1">
        <f>IFERROR(__xludf.DUMMYFUNCTION("""COMPUTED_VALUE"""),45238.66666666667)</f>
        <v>45238.66667</v>
      </c>
      <c r="B940" s="2">
        <f>IFERROR(__xludf.DUMMYFUNCTION("""COMPUTED_VALUE"""),1500.0)</f>
        <v>1500</v>
      </c>
      <c r="C940" s="2">
        <f>IFERROR(__xludf.DUMMYFUNCTION("""COMPUTED_VALUE"""),1500.0)</f>
        <v>1500</v>
      </c>
      <c r="D940" s="2">
        <f>IFERROR(__xludf.DUMMYFUNCTION("""COMPUTED_VALUE"""),1455.0)</f>
        <v>1455</v>
      </c>
      <c r="E940" s="2">
        <f>IFERROR(__xludf.DUMMYFUNCTION("""COMPUTED_VALUE"""),1465.0)</f>
        <v>1465</v>
      </c>
      <c r="F940" s="2">
        <f>IFERROR(__xludf.DUMMYFUNCTION("""COMPUTED_VALUE"""),1.68176E7)</f>
        <v>16817600</v>
      </c>
      <c r="G940" s="2">
        <f t="shared" si="1"/>
        <v>45</v>
      </c>
    </row>
    <row r="941" ht="15.75" customHeight="1">
      <c r="A941" s="1">
        <f>IFERROR(__xludf.DUMMYFUNCTION("""COMPUTED_VALUE"""),45239.66666666667)</f>
        <v>45239.66667</v>
      </c>
      <c r="B941" s="2">
        <f>IFERROR(__xludf.DUMMYFUNCTION("""COMPUTED_VALUE"""),1470.0)</f>
        <v>1470</v>
      </c>
      <c r="C941" s="2">
        <f>IFERROR(__xludf.DUMMYFUNCTION("""COMPUTED_VALUE"""),1485.0)</f>
        <v>1485</v>
      </c>
      <c r="D941" s="2">
        <f>IFERROR(__xludf.DUMMYFUNCTION("""COMPUTED_VALUE"""),1460.0)</f>
        <v>1460</v>
      </c>
      <c r="E941" s="2">
        <f>IFERROR(__xludf.DUMMYFUNCTION("""COMPUTED_VALUE"""),1475.0)</f>
        <v>1475</v>
      </c>
      <c r="F941" s="2">
        <f>IFERROR(__xludf.DUMMYFUNCTION("""COMPUTED_VALUE"""),6077200.0)</f>
        <v>6077200</v>
      </c>
      <c r="G941" s="2">
        <f t="shared" si="1"/>
        <v>25</v>
      </c>
    </row>
    <row r="942" ht="15.75" customHeight="1">
      <c r="A942" s="1">
        <f>IFERROR(__xludf.DUMMYFUNCTION("""COMPUTED_VALUE"""),45240.66666666667)</f>
        <v>45240.66667</v>
      </c>
      <c r="B942" s="2">
        <f>IFERROR(__xludf.DUMMYFUNCTION("""COMPUTED_VALUE"""),1480.0)</f>
        <v>1480</v>
      </c>
      <c r="C942" s="2">
        <f>IFERROR(__xludf.DUMMYFUNCTION("""COMPUTED_VALUE"""),1490.0)</f>
        <v>1490</v>
      </c>
      <c r="D942" s="2">
        <f>IFERROR(__xludf.DUMMYFUNCTION("""COMPUTED_VALUE"""),1460.0)</f>
        <v>1460</v>
      </c>
      <c r="E942" s="2">
        <f>IFERROR(__xludf.DUMMYFUNCTION("""COMPUTED_VALUE"""),1465.0)</f>
        <v>1465</v>
      </c>
      <c r="F942" s="2">
        <f>IFERROR(__xludf.DUMMYFUNCTION("""COMPUTED_VALUE"""),3648000.0)</f>
        <v>3648000</v>
      </c>
      <c r="G942" s="2">
        <f t="shared" si="1"/>
        <v>30</v>
      </c>
    </row>
    <row r="943" ht="15.75" customHeight="1">
      <c r="A943" s="1">
        <f>IFERROR(__xludf.DUMMYFUNCTION("""COMPUTED_VALUE"""),45243.66666666667)</f>
        <v>45243.66667</v>
      </c>
      <c r="B943" s="2">
        <f>IFERROR(__xludf.DUMMYFUNCTION("""COMPUTED_VALUE"""),1465.0)</f>
        <v>1465</v>
      </c>
      <c r="C943" s="2">
        <f>IFERROR(__xludf.DUMMYFUNCTION("""COMPUTED_VALUE"""),1475.0)</f>
        <v>1475</v>
      </c>
      <c r="D943" s="2">
        <f>IFERROR(__xludf.DUMMYFUNCTION("""COMPUTED_VALUE"""),1455.0)</f>
        <v>1455</v>
      </c>
      <c r="E943" s="2">
        <f>IFERROR(__xludf.DUMMYFUNCTION("""COMPUTED_VALUE"""),1460.0)</f>
        <v>1460</v>
      </c>
      <c r="F943" s="2">
        <f>IFERROR(__xludf.DUMMYFUNCTION("""COMPUTED_VALUE"""),5792400.0)</f>
        <v>5792400</v>
      </c>
      <c r="G943" s="2">
        <f t="shared" si="1"/>
        <v>20</v>
      </c>
    </row>
    <row r="944" ht="15.75" customHeight="1">
      <c r="A944" s="1">
        <f>IFERROR(__xludf.DUMMYFUNCTION("""COMPUTED_VALUE"""),45244.66666666667)</f>
        <v>45244.66667</v>
      </c>
      <c r="B944" s="2">
        <f>IFERROR(__xludf.DUMMYFUNCTION("""COMPUTED_VALUE"""),1465.0)</f>
        <v>1465</v>
      </c>
      <c r="C944" s="2">
        <f>IFERROR(__xludf.DUMMYFUNCTION("""COMPUTED_VALUE"""),1485.0)</f>
        <v>1485</v>
      </c>
      <c r="D944" s="2">
        <f>IFERROR(__xludf.DUMMYFUNCTION("""COMPUTED_VALUE"""),1465.0)</f>
        <v>1465</v>
      </c>
      <c r="E944" s="2">
        <f>IFERROR(__xludf.DUMMYFUNCTION("""COMPUTED_VALUE"""),1480.0)</f>
        <v>1480</v>
      </c>
      <c r="F944" s="2">
        <f>IFERROR(__xludf.DUMMYFUNCTION("""COMPUTED_VALUE"""),3536500.0)</f>
        <v>3536500</v>
      </c>
      <c r="G944" s="2">
        <f t="shared" si="1"/>
        <v>25</v>
      </c>
    </row>
    <row r="945" ht="15.75" customHeight="1">
      <c r="A945" s="1">
        <f>IFERROR(__xludf.DUMMYFUNCTION("""COMPUTED_VALUE"""),45245.66666666667)</f>
        <v>45245.66667</v>
      </c>
      <c r="B945" s="2">
        <f>IFERROR(__xludf.DUMMYFUNCTION("""COMPUTED_VALUE"""),1500.0)</f>
        <v>1500</v>
      </c>
      <c r="C945" s="2">
        <f>IFERROR(__xludf.DUMMYFUNCTION("""COMPUTED_VALUE"""),1550.0)</f>
        <v>1550</v>
      </c>
      <c r="D945" s="2">
        <f>IFERROR(__xludf.DUMMYFUNCTION("""COMPUTED_VALUE"""),1500.0)</f>
        <v>1500</v>
      </c>
      <c r="E945" s="2">
        <f>IFERROR(__xludf.DUMMYFUNCTION("""COMPUTED_VALUE"""),1535.0)</f>
        <v>1535</v>
      </c>
      <c r="F945" s="2">
        <f>IFERROR(__xludf.DUMMYFUNCTION("""COMPUTED_VALUE"""),2.10318E7)</f>
        <v>21031800</v>
      </c>
      <c r="G945" s="2">
        <f t="shared" si="1"/>
        <v>70</v>
      </c>
    </row>
    <row r="946" ht="15.75" customHeight="1">
      <c r="A946" s="1">
        <f>IFERROR(__xludf.DUMMYFUNCTION("""COMPUTED_VALUE"""),45246.66666666667)</f>
        <v>45246.66667</v>
      </c>
      <c r="B946" s="2">
        <f>IFERROR(__xludf.DUMMYFUNCTION("""COMPUTED_VALUE"""),1535.0)</f>
        <v>1535</v>
      </c>
      <c r="C946" s="2">
        <f>IFERROR(__xludf.DUMMYFUNCTION("""COMPUTED_VALUE"""),1550.0)</f>
        <v>1550</v>
      </c>
      <c r="D946" s="2">
        <f>IFERROR(__xludf.DUMMYFUNCTION("""COMPUTED_VALUE"""),1520.0)</f>
        <v>1520</v>
      </c>
      <c r="E946" s="2">
        <f>IFERROR(__xludf.DUMMYFUNCTION("""COMPUTED_VALUE"""),1545.0)</f>
        <v>1545</v>
      </c>
      <c r="F946" s="2">
        <f>IFERROR(__xludf.DUMMYFUNCTION("""COMPUTED_VALUE"""),1.38382E7)</f>
        <v>13838200</v>
      </c>
      <c r="G946" s="2">
        <f t="shared" si="1"/>
        <v>30</v>
      </c>
    </row>
    <row r="947" ht="15.75" customHeight="1">
      <c r="A947" s="1">
        <f>IFERROR(__xludf.DUMMYFUNCTION("""COMPUTED_VALUE"""),45247.66666666667)</f>
        <v>45247.66667</v>
      </c>
      <c r="B947" s="2">
        <f>IFERROR(__xludf.DUMMYFUNCTION("""COMPUTED_VALUE"""),1545.0)</f>
        <v>1545</v>
      </c>
      <c r="C947" s="2">
        <f>IFERROR(__xludf.DUMMYFUNCTION("""COMPUTED_VALUE"""),1620.0)</f>
        <v>1620</v>
      </c>
      <c r="D947" s="2">
        <f>IFERROR(__xludf.DUMMYFUNCTION("""COMPUTED_VALUE"""),1540.0)</f>
        <v>1540</v>
      </c>
      <c r="E947" s="2">
        <f>IFERROR(__xludf.DUMMYFUNCTION("""COMPUTED_VALUE"""),1605.0)</f>
        <v>1605</v>
      </c>
      <c r="F947" s="2">
        <f>IFERROR(__xludf.DUMMYFUNCTION("""COMPUTED_VALUE"""),5.41172E7)</f>
        <v>54117200</v>
      </c>
      <c r="G947" s="2">
        <f t="shared" si="1"/>
        <v>80</v>
      </c>
    </row>
    <row r="948" ht="15.75" customHeight="1">
      <c r="A948" s="1">
        <f>IFERROR(__xludf.DUMMYFUNCTION("""COMPUTED_VALUE"""),45250.66666666667)</f>
        <v>45250.66667</v>
      </c>
      <c r="B948" s="2">
        <f>IFERROR(__xludf.DUMMYFUNCTION("""COMPUTED_VALUE"""),1605.0)</f>
        <v>1605</v>
      </c>
      <c r="C948" s="2">
        <f>IFERROR(__xludf.DUMMYFUNCTION("""COMPUTED_VALUE"""),1660.0)</f>
        <v>1660</v>
      </c>
      <c r="D948" s="2">
        <f>IFERROR(__xludf.DUMMYFUNCTION("""COMPUTED_VALUE"""),1595.0)</f>
        <v>1595</v>
      </c>
      <c r="E948" s="2">
        <f>IFERROR(__xludf.DUMMYFUNCTION("""COMPUTED_VALUE"""),1635.0)</f>
        <v>1635</v>
      </c>
      <c r="F948" s="2">
        <f>IFERROR(__xludf.DUMMYFUNCTION("""COMPUTED_VALUE"""),4.31762E7)</f>
        <v>43176200</v>
      </c>
      <c r="G948" s="2">
        <f t="shared" si="1"/>
        <v>65</v>
      </c>
    </row>
    <row r="949" ht="15.75" customHeight="1">
      <c r="A949" s="1">
        <f>IFERROR(__xludf.DUMMYFUNCTION("""COMPUTED_VALUE"""),45251.66666666667)</f>
        <v>45251.66667</v>
      </c>
      <c r="B949" s="2">
        <f>IFERROR(__xludf.DUMMYFUNCTION("""COMPUTED_VALUE"""),1635.0)</f>
        <v>1635</v>
      </c>
      <c r="C949" s="2">
        <f>IFERROR(__xludf.DUMMYFUNCTION("""COMPUTED_VALUE"""),1650.0)</f>
        <v>1650</v>
      </c>
      <c r="D949" s="2">
        <f>IFERROR(__xludf.DUMMYFUNCTION("""COMPUTED_VALUE"""),1615.0)</f>
        <v>1615</v>
      </c>
      <c r="E949" s="2">
        <f>IFERROR(__xludf.DUMMYFUNCTION("""COMPUTED_VALUE"""),1640.0)</f>
        <v>1640</v>
      </c>
      <c r="F949" s="2">
        <f>IFERROR(__xludf.DUMMYFUNCTION("""COMPUTED_VALUE"""),1.37584E7)</f>
        <v>13758400</v>
      </c>
      <c r="G949" s="2">
        <f t="shared" si="1"/>
        <v>35</v>
      </c>
    </row>
    <row r="950" ht="15.75" customHeight="1">
      <c r="A950" s="1">
        <f>IFERROR(__xludf.DUMMYFUNCTION("""COMPUTED_VALUE"""),45252.66666666667)</f>
        <v>45252.66667</v>
      </c>
      <c r="B950" s="2">
        <f>IFERROR(__xludf.DUMMYFUNCTION("""COMPUTED_VALUE"""),1640.0)</f>
        <v>1640</v>
      </c>
      <c r="C950" s="2">
        <f>IFERROR(__xludf.DUMMYFUNCTION("""COMPUTED_VALUE"""),1640.0)</f>
        <v>1640</v>
      </c>
      <c r="D950" s="2">
        <f>IFERROR(__xludf.DUMMYFUNCTION("""COMPUTED_VALUE"""),1610.0)</f>
        <v>1610</v>
      </c>
      <c r="E950" s="2">
        <f>IFERROR(__xludf.DUMMYFUNCTION("""COMPUTED_VALUE"""),1615.0)</f>
        <v>1615</v>
      </c>
      <c r="F950" s="2">
        <f>IFERROR(__xludf.DUMMYFUNCTION("""COMPUTED_VALUE"""),7902600.0)</f>
        <v>7902600</v>
      </c>
      <c r="G950" s="2">
        <f t="shared" si="1"/>
        <v>30</v>
      </c>
    </row>
    <row r="951" ht="15.75" customHeight="1">
      <c r="A951" s="1">
        <f>IFERROR(__xludf.DUMMYFUNCTION("""COMPUTED_VALUE"""),45253.66666666667)</f>
        <v>45253.66667</v>
      </c>
      <c r="B951" s="2">
        <f>IFERROR(__xludf.DUMMYFUNCTION("""COMPUTED_VALUE"""),1615.0)</f>
        <v>1615</v>
      </c>
      <c r="C951" s="2">
        <f>IFERROR(__xludf.DUMMYFUNCTION("""COMPUTED_VALUE"""),1645.0)</f>
        <v>1645</v>
      </c>
      <c r="D951" s="2">
        <f>IFERROR(__xludf.DUMMYFUNCTION("""COMPUTED_VALUE"""),1615.0)</f>
        <v>1615</v>
      </c>
      <c r="E951" s="2">
        <f>IFERROR(__xludf.DUMMYFUNCTION("""COMPUTED_VALUE"""),1625.0)</f>
        <v>1625</v>
      </c>
      <c r="F951" s="2">
        <f>IFERROR(__xludf.DUMMYFUNCTION("""COMPUTED_VALUE"""),1.2758E7)</f>
        <v>12758000</v>
      </c>
      <c r="G951" s="2">
        <f t="shared" si="1"/>
        <v>30</v>
      </c>
    </row>
    <row r="952" ht="15.75" customHeight="1">
      <c r="A952" s="1">
        <f>IFERROR(__xludf.DUMMYFUNCTION("""COMPUTED_VALUE"""),45254.66666666667)</f>
        <v>45254.66667</v>
      </c>
      <c r="B952" s="2">
        <f>IFERROR(__xludf.DUMMYFUNCTION("""COMPUTED_VALUE"""),1630.0)</f>
        <v>1630</v>
      </c>
      <c r="C952" s="2">
        <f>IFERROR(__xludf.DUMMYFUNCTION("""COMPUTED_VALUE"""),1680.0)</f>
        <v>1680</v>
      </c>
      <c r="D952" s="2">
        <f>IFERROR(__xludf.DUMMYFUNCTION("""COMPUTED_VALUE"""),1630.0)</f>
        <v>1630</v>
      </c>
      <c r="E952" s="2">
        <f>IFERROR(__xludf.DUMMYFUNCTION("""COMPUTED_VALUE"""),1655.0)</f>
        <v>1655</v>
      </c>
      <c r="F952" s="2">
        <f>IFERROR(__xludf.DUMMYFUNCTION("""COMPUTED_VALUE"""),4.61249E7)</f>
        <v>46124900</v>
      </c>
      <c r="G952" s="2">
        <f t="shared" si="1"/>
        <v>55</v>
      </c>
    </row>
    <row r="953" ht="15.75" customHeight="1">
      <c r="A953" s="1">
        <f>IFERROR(__xludf.DUMMYFUNCTION("""COMPUTED_VALUE"""),45257.66666666667)</f>
        <v>45257.66667</v>
      </c>
      <c r="B953" s="2">
        <f>IFERROR(__xludf.DUMMYFUNCTION("""COMPUTED_VALUE"""),1655.0)</f>
        <v>1655</v>
      </c>
      <c r="C953" s="2">
        <f>IFERROR(__xludf.DUMMYFUNCTION("""COMPUTED_VALUE"""),1685.0)</f>
        <v>1685</v>
      </c>
      <c r="D953" s="2">
        <f>IFERROR(__xludf.DUMMYFUNCTION("""COMPUTED_VALUE"""),1640.0)</f>
        <v>1640</v>
      </c>
      <c r="E953" s="2">
        <f>IFERROR(__xludf.DUMMYFUNCTION("""COMPUTED_VALUE"""),1645.0)</f>
        <v>1645</v>
      </c>
      <c r="F953" s="2">
        <f>IFERROR(__xludf.DUMMYFUNCTION("""COMPUTED_VALUE"""),1.86086E7)</f>
        <v>18608600</v>
      </c>
      <c r="G953" s="2">
        <f t="shared" si="1"/>
        <v>45</v>
      </c>
    </row>
    <row r="954" ht="15.75" customHeight="1">
      <c r="A954" s="1">
        <f>IFERROR(__xludf.DUMMYFUNCTION("""COMPUTED_VALUE"""),45258.66666666667)</f>
        <v>45258.66667</v>
      </c>
      <c r="B954" s="2">
        <f>IFERROR(__xludf.DUMMYFUNCTION("""COMPUTED_VALUE"""),1645.0)</f>
        <v>1645</v>
      </c>
      <c r="C954" s="2">
        <f>IFERROR(__xludf.DUMMYFUNCTION("""COMPUTED_VALUE"""),1690.0)</f>
        <v>1690</v>
      </c>
      <c r="D954" s="2">
        <f>IFERROR(__xludf.DUMMYFUNCTION("""COMPUTED_VALUE"""),1640.0)</f>
        <v>1640</v>
      </c>
      <c r="E954" s="2">
        <f>IFERROR(__xludf.DUMMYFUNCTION("""COMPUTED_VALUE"""),1660.0)</f>
        <v>1660</v>
      </c>
      <c r="F954" s="2">
        <f>IFERROR(__xludf.DUMMYFUNCTION("""COMPUTED_VALUE"""),4.64974E7)</f>
        <v>46497400</v>
      </c>
      <c r="G954" s="2">
        <f t="shared" si="1"/>
        <v>50</v>
      </c>
    </row>
    <row r="955" ht="15.75" customHeight="1">
      <c r="A955" s="1">
        <f>IFERROR(__xludf.DUMMYFUNCTION("""COMPUTED_VALUE"""),45259.66666666667)</f>
        <v>45259.66667</v>
      </c>
      <c r="B955" s="2">
        <f>IFERROR(__xludf.DUMMYFUNCTION("""COMPUTED_VALUE"""),1665.0)</f>
        <v>1665</v>
      </c>
      <c r="C955" s="2">
        <f>IFERROR(__xludf.DUMMYFUNCTION("""COMPUTED_VALUE"""),1670.0)</f>
        <v>1670</v>
      </c>
      <c r="D955" s="2">
        <f>IFERROR(__xludf.DUMMYFUNCTION("""COMPUTED_VALUE"""),1635.0)</f>
        <v>1635</v>
      </c>
      <c r="E955" s="2">
        <f>IFERROR(__xludf.DUMMYFUNCTION("""COMPUTED_VALUE"""),1645.0)</f>
        <v>1645</v>
      </c>
      <c r="F955" s="2">
        <f>IFERROR(__xludf.DUMMYFUNCTION("""COMPUTED_VALUE"""),7381300.0)</f>
        <v>7381300</v>
      </c>
      <c r="G955" s="2">
        <f t="shared" si="1"/>
        <v>35</v>
      </c>
    </row>
    <row r="956" ht="15.75" customHeight="1">
      <c r="A956" s="1">
        <f>IFERROR(__xludf.DUMMYFUNCTION("""COMPUTED_VALUE"""),45260.66666666667)</f>
        <v>45260.66667</v>
      </c>
      <c r="B956" s="2">
        <f>IFERROR(__xludf.DUMMYFUNCTION("""COMPUTED_VALUE"""),1645.0)</f>
        <v>1645</v>
      </c>
      <c r="C956" s="2">
        <f>IFERROR(__xludf.DUMMYFUNCTION("""COMPUTED_VALUE"""),1670.0)</f>
        <v>1670</v>
      </c>
      <c r="D956" s="2">
        <f>IFERROR(__xludf.DUMMYFUNCTION("""COMPUTED_VALUE"""),1645.0)</f>
        <v>1645</v>
      </c>
      <c r="E956" s="2">
        <f>IFERROR(__xludf.DUMMYFUNCTION("""COMPUTED_VALUE"""),1655.0)</f>
        <v>1655</v>
      </c>
      <c r="F956" s="2">
        <f>IFERROR(__xludf.DUMMYFUNCTION("""COMPUTED_VALUE"""),2.21818E7)</f>
        <v>22181800</v>
      </c>
      <c r="G956" s="2">
        <f t="shared" si="1"/>
        <v>25</v>
      </c>
    </row>
    <row r="957" ht="15.75" customHeight="1">
      <c r="A957" s="1">
        <f>IFERROR(__xludf.DUMMYFUNCTION("""COMPUTED_VALUE"""),45261.66666666667)</f>
        <v>45261.66667</v>
      </c>
      <c r="B957" s="2">
        <f>IFERROR(__xludf.DUMMYFUNCTION("""COMPUTED_VALUE"""),1650.0)</f>
        <v>1650</v>
      </c>
      <c r="C957" s="2">
        <f>IFERROR(__xludf.DUMMYFUNCTION("""COMPUTED_VALUE"""),1690.0)</f>
        <v>1690</v>
      </c>
      <c r="D957" s="2">
        <f>IFERROR(__xludf.DUMMYFUNCTION("""COMPUTED_VALUE"""),1650.0)</f>
        <v>1650</v>
      </c>
      <c r="E957" s="2">
        <f>IFERROR(__xludf.DUMMYFUNCTION("""COMPUTED_VALUE"""),1675.0)</f>
        <v>1675</v>
      </c>
      <c r="F957" s="2">
        <f>IFERROR(__xludf.DUMMYFUNCTION("""COMPUTED_VALUE"""),2.71344E7)</f>
        <v>27134400</v>
      </c>
      <c r="G957" s="2">
        <f t="shared" si="1"/>
        <v>40</v>
      </c>
    </row>
    <row r="958" ht="15.75" customHeight="1">
      <c r="A958" s="1">
        <f>IFERROR(__xludf.DUMMYFUNCTION("""COMPUTED_VALUE"""),45264.66666666667)</f>
        <v>45264.66667</v>
      </c>
      <c r="B958" s="2">
        <f>IFERROR(__xludf.DUMMYFUNCTION("""COMPUTED_VALUE"""),1675.0)</f>
        <v>1675</v>
      </c>
      <c r="C958" s="2">
        <f>IFERROR(__xludf.DUMMYFUNCTION("""COMPUTED_VALUE"""),1715.0)</f>
        <v>1715</v>
      </c>
      <c r="D958" s="2">
        <f>IFERROR(__xludf.DUMMYFUNCTION("""COMPUTED_VALUE"""),1675.0)</f>
        <v>1675</v>
      </c>
      <c r="E958" s="2">
        <f>IFERROR(__xludf.DUMMYFUNCTION("""COMPUTED_VALUE"""),1700.0)</f>
        <v>1700</v>
      </c>
      <c r="F958" s="2">
        <f>IFERROR(__xludf.DUMMYFUNCTION("""COMPUTED_VALUE"""),3.76579E7)</f>
        <v>37657900</v>
      </c>
      <c r="G958" s="2">
        <f t="shared" si="1"/>
        <v>40</v>
      </c>
    </row>
    <row r="959" ht="15.75" customHeight="1">
      <c r="A959" s="1">
        <f>IFERROR(__xludf.DUMMYFUNCTION("""COMPUTED_VALUE"""),45265.66666666667)</f>
        <v>45265.66667</v>
      </c>
      <c r="B959" s="2">
        <f>IFERROR(__xludf.DUMMYFUNCTION("""COMPUTED_VALUE"""),1700.0)</f>
        <v>1700</v>
      </c>
      <c r="C959" s="2">
        <f>IFERROR(__xludf.DUMMYFUNCTION("""COMPUTED_VALUE"""),1725.0)</f>
        <v>1725</v>
      </c>
      <c r="D959" s="2">
        <f>IFERROR(__xludf.DUMMYFUNCTION("""COMPUTED_VALUE"""),1690.0)</f>
        <v>1690</v>
      </c>
      <c r="E959" s="2">
        <f>IFERROR(__xludf.DUMMYFUNCTION("""COMPUTED_VALUE"""),1715.0)</f>
        <v>1715</v>
      </c>
      <c r="F959" s="2">
        <f>IFERROR(__xludf.DUMMYFUNCTION("""COMPUTED_VALUE"""),4.23849E7)</f>
        <v>42384900</v>
      </c>
      <c r="G959" s="2">
        <f t="shared" si="1"/>
        <v>35</v>
      </c>
    </row>
    <row r="960" ht="15.75" customHeight="1">
      <c r="A960" s="1">
        <f>IFERROR(__xludf.DUMMYFUNCTION("""COMPUTED_VALUE"""),45266.66666666667)</f>
        <v>45266.66667</v>
      </c>
      <c r="B960" s="2">
        <f>IFERROR(__xludf.DUMMYFUNCTION("""COMPUTED_VALUE"""),1715.0)</f>
        <v>1715</v>
      </c>
      <c r="C960" s="2">
        <f>IFERROR(__xludf.DUMMYFUNCTION("""COMPUTED_VALUE"""),1780.0)</f>
        <v>1780</v>
      </c>
      <c r="D960" s="2">
        <f>IFERROR(__xludf.DUMMYFUNCTION("""COMPUTED_VALUE"""),1710.0)</f>
        <v>1710</v>
      </c>
      <c r="E960" s="2">
        <f>IFERROR(__xludf.DUMMYFUNCTION("""COMPUTED_VALUE"""),1740.0)</f>
        <v>1740</v>
      </c>
      <c r="F960" s="2">
        <f>IFERROR(__xludf.DUMMYFUNCTION("""COMPUTED_VALUE"""),5.20127E7)</f>
        <v>52012700</v>
      </c>
      <c r="G960" s="2">
        <f t="shared" si="1"/>
        <v>70</v>
      </c>
    </row>
    <row r="961" ht="15.75" customHeight="1">
      <c r="A961" s="1">
        <f>IFERROR(__xludf.DUMMYFUNCTION("""COMPUTED_VALUE"""),45267.66666666667)</f>
        <v>45267.66667</v>
      </c>
      <c r="B961" s="2">
        <f>IFERROR(__xludf.DUMMYFUNCTION("""COMPUTED_VALUE"""),1740.0)</f>
        <v>1740</v>
      </c>
      <c r="C961" s="2">
        <f>IFERROR(__xludf.DUMMYFUNCTION("""COMPUTED_VALUE"""),1740.0)</f>
        <v>1740</v>
      </c>
      <c r="D961" s="2">
        <f>IFERROR(__xludf.DUMMYFUNCTION("""COMPUTED_VALUE"""),1660.0)</f>
        <v>1660</v>
      </c>
      <c r="E961" s="2">
        <f>IFERROR(__xludf.DUMMYFUNCTION("""COMPUTED_VALUE"""),1685.0)</f>
        <v>1685</v>
      </c>
      <c r="F961" s="2">
        <f>IFERROR(__xludf.DUMMYFUNCTION("""COMPUTED_VALUE"""),3.00286E7)</f>
        <v>30028600</v>
      </c>
      <c r="G961" s="2">
        <f t="shared" si="1"/>
        <v>80</v>
      </c>
    </row>
    <row r="962" ht="15.75" customHeight="1">
      <c r="A962" s="1">
        <f>IFERROR(__xludf.DUMMYFUNCTION("""COMPUTED_VALUE"""),45268.66666666667)</f>
        <v>45268.66667</v>
      </c>
      <c r="B962" s="2">
        <f>IFERROR(__xludf.DUMMYFUNCTION("""COMPUTED_VALUE"""),1680.0)</f>
        <v>1680</v>
      </c>
      <c r="C962" s="2">
        <f>IFERROR(__xludf.DUMMYFUNCTION("""COMPUTED_VALUE"""),1700.0)</f>
        <v>1700</v>
      </c>
      <c r="D962" s="2">
        <f>IFERROR(__xludf.DUMMYFUNCTION("""COMPUTED_VALUE"""),1645.0)</f>
        <v>1645</v>
      </c>
      <c r="E962" s="2">
        <f>IFERROR(__xludf.DUMMYFUNCTION("""COMPUTED_VALUE"""),1685.0)</f>
        <v>1685</v>
      </c>
      <c r="F962" s="2">
        <f>IFERROR(__xludf.DUMMYFUNCTION("""COMPUTED_VALUE"""),1.22578E7)</f>
        <v>12257800</v>
      </c>
      <c r="G962" s="2">
        <f t="shared" si="1"/>
        <v>55</v>
      </c>
    </row>
    <row r="963" ht="15.75" customHeight="1">
      <c r="A963" s="1">
        <f>IFERROR(__xludf.DUMMYFUNCTION("""COMPUTED_VALUE"""),45271.66666666667)</f>
        <v>45271.66667</v>
      </c>
      <c r="B963" s="2">
        <f>IFERROR(__xludf.DUMMYFUNCTION("""COMPUTED_VALUE"""),1690.0)</f>
        <v>1690</v>
      </c>
      <c r="C963" s="2">
        <f>IFERROR(__xludf.DUMMYFUNCTION("""COMPUTED_VALUE"""),1690.0)</f>
        <v>1690</v>
      </c>
      <c r="D963" s="2">
        <f>IFERROR(__xludf.DUMMYFUNCTION("""COMPUTED_VALUE"""),1650.0)</f>
        <v>1650</v>
      </c>
      <c r="E963" s="2">
        <f>IFERROR(__xludf.DUMMYFUNCTION("""COMPUTED_VALUE"""),1670.0)</f>
        <v>1670</v>
      </c>
      <c r="F963" s="2">
        <f>IFERROR(__xludf.DUMMYFUNCTION("""COMPUTED_VALUE"""),8377900.0)</f>
        <v>8377900</v>
      </c>
      <c r="G963" s="2">
        <f t="shared" si="1"/>
        <v>40</v>
      </c>
    </row>
    <row r="964" ht="15.75" customHeight="1">
      <c r="A964" s="1">
        <f>IFERROR(__xludf.DUMMYFUNCTION("""COMPUTED_VALUE"""),45272.66666666667)</f>
        <v>45272.66667</v>
      </c>
      <c r="B964" s="2">
        <f>IFERROR(__xludf.DUMMYFUNCTION("""COMPUTED_VALUE"""),1670.0)</f>
        <v>1670</v>
      </c>
      <c r="C964" s="2">
        <f>IFERROR(__xludf.DUMMYFUNCTION("""COMPUTED_VALUE"""),1715.0)</f>
        <v>1715</v>
      </c>
      <c r="D964" s="2">
        <f>IFERROR(__xludf.DUMMYFUNCTION("""COMPUTED_VALUE"""),1615.0)</f>
        <v>1615</v>
      </c>
      <c r="E964" s="2">
        <f>IFERROR(__xludf.DUMMYFUNCTION("""COMPUTED_VALUE"""),1640.0)</f>
        <v>1640</v>
      </c>
      <c r="F964" s="2">
        <f>IFERROR(__xludf.DUMMYFUNCTION("""COMPUTED_VALUE"""),3.04865E7)</f>
        <v>30486500</v>
      </c>
      <c r="G964" s="2">
        <f t="shared" si="1"/>
        <v>100</v>
      </c>
    </row>
    <row r="965" ht="15.75" customHeight="1">
      <c r="A965" s="1">
        <f>IFERROR(__xludf.DUMMYFUNCTION("""COMPUTED_VALUE"""),45273.66666666667)</f>
        <v>45273.66667</v>
      </c>
      <c r="B965" s="2">
        <f>IFERROR(__xludf.DUMMYFUNCTION("""COMPUTED_VALUE"""),1645.0)</f>
        <v>1645</v>
      </c>
      <c r="C965" s="2">
        <f>IFERROR(__xludf.DUMMYFUNCTION("""COMPUTED_VALUE"""),1660.0)</f>
        <v>1660</v>
      </c>
      <c r="D965" s="2">
        <f>IFERROR(__xludf.DUMMYFUNCTION("""COMPUTED_VALUE"""),1635.0)</f>
        <v>1635</v>
      </c>
      <c r="E965" s="2">
        <f>IFERROR(__xludf.DUMMYFUNCTION("""COMPUTED_VALUE"""),1645.0)</f>
        <v>1645</v>
      </c>
      <c r="F965" s="2">
        <f>IFERROR(__xludf.DUMMYFUNCTION("""COMPUTED_VALUE"""),8918700.0)</f>
        <v>8918700</v>
      </c>
      <c r="G965" s="2">
        <f t="shared" si="1"/>
        <v>25</v>
      </c>
    </row>
    <row r="966" ht="15.75" customHeight="1">
      <c r="A966" s="1">
        <f>IFERROR(__xludf.DUMMYFUNCTION("""COMPUTED_VALUE"""),45274.66666666667)</f>
        <v>45274.66667</v>
      </c>
      <c r="B966" s="2">
        <f>IFERROR(__xludf.DUMMYFUNCTION("""COMPUTED_VALUE"""),1660.0)</f>
        <v>1660</v>
      </c>
      <c r="C966" s="2">
        <f>IFERROR(__xludf.DUMMYFUNCTION("""COMPUTED_VALUE"""),1730.0)</f>
        <v>1730</v>
      </c>
      <c r="D966" s="2">
        <f>IFERROR(__xludf.DUMMYFUNCTION("""COMPUTED_VALUE"""),1655.0)</f>
        <v>1655</v>
      </c>
      <c r="E966" s="2">
        <f>IFERROR(__xludf.DUMMYFUNCTION("""COMPUTED_VALUE"""),1705.0)</f>
        <v>1705</v>
      </c>
      <c r="F966" s="2">
        <f>IFERROR(__xludf.DUMMYFUNCTION("""COMPUTED_VALUE"""),2.54825E7)</f>
        <v>25482500</v>
      </c>
      <c r="G966" s="2">
        <f t="shared" si="1"/>
        <v>85</v>
      </c>
    </row>
    <row r="967" ht="15.75" customHeight="1">
      <c r="A967" s="1">
        <f>IFERROR(__xludf.DUMMYFUNCTION("""COMPUTED_VALUE"""),45275.66666666667)</f>
        <v>45275.66667</v>
      </c>
      <c r="B967" s="2">
        <f>IFERROR(__xludf.DUMMYFUNCTION("""COMPUTED_VALUE"""),1710.0)</f>
        <v>1710</v>
      </c>
      <c r="C967" s="2">
        <f>IFERROR(__xludf.DUMMYFUNCTION("""COMPUTED_VALUE"""),1715.0)</f>
        <v>1715</v>
      </c>
      <c r="D967" s="2">
        <f>IFERROR(__xludf.DUMMYFUNCTION("""COMPUTED_VALUE"""),1700.0)</f>
        <v>1700</v>
      </c>
      <c r="E967" s="2">
        <f>IFERROR(__xludf.DUMMYFUNCTION("""COMPUTED_VALUE"""),1700.0)</f>
        <v>1700</v>
      </c>
      <c r="F967" s="2">
        <f>IFERROR(__xludf.DUMMYFUNCTION("""COMPUTED_VALUE"""),1.23177E7)</f>
        <v>12317700</v>
      </c>
      <c r="G967" s="2">
        <f t="shared" si="1"/>
        <v>15</v>
      </c>
    </row>
    <row r="968" ht="15.75" customHeight="1">
      <c r="A968" s="1">
        <f>IFERROR(__xludf.DUMMYFUNCTION("""COMPUTED_VALUE"""),45278.66666666667)</f>
        <v>45278.66667</v>
      </c>
      <c r="B968" s="2">
        <f>IFERROR(__xludf.DUMMYFUNCTION("""COMPUTED_VALUE"""),1690.0)</f>
        <v>1690</v>
      </c>
      <c r="C968" s="2">
        <f>IFERROR(__xludf.DUMMYFUNCTION("""COMPUTED_VALUE"""),1705.0)</f>
        <v>1705</v>
      </c>
      <c r="D968" s="2">
        <f>IFERROR(__xludf.DUMMYFUNCTION("""COMPUTED_VALUE"""),1670.0)</f>
        <v>1670</v>
      </c>
      <c r="E968" s="2">
        <f>IFERROR(__xludf.DUMMYFUNCTION("""COMPUTED_VALUE"""),1695.0)</f>
        <v>1695</v>
      </c>
      <c r="F968" s="2">
        <f>IFERROR(__xludf.DUMMYFUNCTION("""COMPUTED_VALUE"""),1.25215E7)</f>
        <v>12521500</v>
      </c>
      <c r="G968" s="2">
        <f t="shared" si="1"/>
        <v>35</v>
      </c>
    </row>
    <row r="969" ht="15.75" customHeight="1">
      <c r="A969" s="1">
        <f>IFERROR(__xludf.DUMMYFUNCTION("""COMPUTED_VALUE"""),45279.66666666667)</f>
        <v>45279.66667</v>
      </c>
      <c r="B969" s="2">
        <f>IFERROR(__xludf.DUMMYFUNCTION("""COMPUTED_VALUE"""),1700.0)</f>
        <v>1700</v>
      </c>
      <c r="C969" s="2">
        <f>IFERROR(__xludf.DUMMYFUNCTION("""COMPUTED_VALUE"""),1710.0)</f>
        <v>1710</v>
      </c>
      <c r="D969" s="2">
        <f>IFERROR(__xludf.DUMMYFUNCTION("""COMPUTED_VALUE"""),1690.0)</f>
        <v>1690</v>
      </c>
      <c r="E969" s="2">
        <f>IFERROR(__xludf.DUMMYFUNCTION("""COMPUTED_VALUE"""),1705.0)</f>
        <v>1705</v>
      </c>
      <c r="F969" s="2">
        <f>IFERROR(__xludf.DUMMYFUNCTION("""COMPUTED_VALUE"""),5861900.0)</f>
        <v>5861900</v>
      </c>
      <c r="G969" s="2">
        <f t="shared" si="1"/>
        <v>20</v>
      </c>
    </row>
    <row r="970" ht="15.75" customHeight="1">
      <c r="A970" s="1">
        <f>IFERROR(__xludf.DUMMYFUNCTION("""COMPUTED_VALUE"""),45280.66666666667)</f>
        <v>45280.66667</v>
      </c>
      <c r="B970" s="2">
        <f>IFERROR(__xludf.DUMMYFUNCTION("""COMPUTED_VALUE"""),1710.0)</f>
        <v>1710</v>
      </c>
      <c r="C970" s="2">
        <f>IFERROR(__xludf.DUMMYFUNCTION("""COMPUTED_VALUE"""),1765.0)</f>
        <v>1765</v>
      </c>
      <c r="D970" s="2">
        <f>IFERROR(__xludf.DUMMYFUNCTION("""COMPUTED_VALUE"""),1710.0)</f>
        <v>1710</v>
      </c>
      <c r="E970" s="2">
        <f>IFERROR(__xludf.DUMMYFUNCTION("""COMPUTED_VALUE"""),1755.0)</f>
        <v>1755</v>
      </c>
      <c r="F970" s="2">
        <f>IFERROR(__xludf.DUMMYFUNCTION("""COMPUTED_VALUE"""),3.91635E7)</f>
        <v>39163500</v>
      </c>
      <c r="G970" s="2">
        <f t="shared" si="1"/>
        <v>60</v>
      </c>
    </row>
    <row r="971" ht="15.75" customHeight="1">
      <c r="A971" s="1">
        <f>IFERROR(__xludf.DUMMYFUNCTION("""COMPUTED_VALUE"""),45281.66666666667)</f>
        <v>45281.66667</v>
      </c>
      <c r="B971" s="2">
        <f>IFERROR(__xludf.DUMMYFUNCTION("""COMPUTED_VALUE"""),1765.0)</f>
        <v>1765</v>
      </c>
      <c r="C971" s="2">
        <f>IFERROR(__xludf.DUMMYFUNCTION("""COMPUTED_VALUE"""),1765.0)</f>
        <v>1765</v>
      </c>
      <c r="D971" s="2">
        <f>IFERROR(__xludf.DUMMYFUNCTION("""COMPUTED_VALUE"""),1680.0)</f>
        <v>1680</v>
      </c>
      <c r="E971" s="2">
        <f>IFERROR(__xludf.DUMMYFUNCTION("""COMPUTED_VALUE"""),1690.0)</f>
        <v>1690</v>
      </c>
      <c r="F971" s="2">
        <f>IFERROR(__xludf.DUMMYFUNCTION("""COMPUTED_VALUE"""),2.531E7)</f>
        <v>25310000</v>
      </c>
      <c r="G971" s="2">
        <f t="shared" si="1"/>
        <v>85</v>
      </c>
    </row>
    <row r="972" ht="15.75" customHeight="1">
      <c r="A972" s="1">
        <f>IFERROR(__xludf.DUMMYFUNCTION("""COMPUTED_VALUE"""),45282.66666666667)</f>
        <v>45282.66667</v>
      </c>
      <c r="B972" s="2">
        <f>IFERROR(__xludf.DUMMYFUNCTION("""COMPUTED_VALUE"""),1690.0)</f>
        <v>1690</v>
      </c>
      <c r="C972" s="2">
        <f>IFERROR(__xludf.DUMMYFUNCTION("""COMPUTED_VALUE"""),1725.0)</f>
        <v>1725</v>
      </c>
      <c r="D972" s="2">
        <f>IFERROR(__xludf.DUMMYFUNCTION("""COMPUTED_VALUE"""),1685.0)</f>
        <v>1685</v>
      </c>
      <c r="E972" s="2">
        <f>IFERROR(__xludf.DUMMYFUNCTION("""COMPUTED_VALUE"""),1695.0)</f>
        <v>1695</v>
      </c>
      <c r="F972" s="2">
        <f>IFERROR(__xludf.DUMMYFUNCTION("""COMPUTED_VALUE"""),9421600.0)</f>
        <v>9421600</v>
      </c>
      <c r="G972" s="2">
        <f t="shared" si="1"/>
        <v>40</v>
      </c>
    </row>
    <row r="973" ht="15.75" customHeight="1">
      <c r="A973" s="1">
        <f>IFERROR(__xludf.DUMMYFUNCTION("""COMPUTED_VALUE"""),45287.66666666667)</f>
        <v>45287.66667</v>
      </c>
      <c r="B973" s="2">
        <f>IFERROR(__xludf.DUMMYFUNCTION("""COMPUTED_VALUE"""),1695.0)</f>
        <v>1695</v>
      </c>
      <c r="C973" s="2">
        <f>IFERROR(__xludf.DUMMYFUNCTION("""COMPUTED_VALUE"""),1705.0)</f>
        <v>1705</v>
      </c>
      <c r="D973" s="2">
        <f>IFERROR(__xludf.DUMMYFUNCTION("""COMPUTED_VALUE"""),1685.0)</f>
        <v>1685</v>
      </c>
      <c r="E973" s="2">
        <f>IFERROR(__xludf.DUMMYFUNCTION("""COMPUTED_VALUE"""),1695.0)</f>
        <v>1695</v>
      </c>
      <c r="F973" s="2">
        <f>IFERROR(__xludf.DUMMYFUNCTION("""COMPUTED_VALUE"""),1.09236E7)</f>
        <v>10923600</v>
      </c>
      <c r="G973" s="2">
        <f t="shared" si="1"/>
        <v>20</v>
      </c>
    </row>
    <row r="974" ht="15.75" customHeight="1">
      <c r="A974" s="1">
        <f>IFERROR(__xludf.DUMMYFUNCTION("""COMPUTED_VALUE"""),45288.66666666667)</f>
        <v>45288.66667</v>
      </c>
      <c r="B974" s="2">
        <f>IFERROR(__xludf.DUMMYFUNCTION("""COMPUTED_VALUE"""),1695.0)</f>
        <v>1695</v>
      </c>
      <c r="C974" s="2">
        <f>IFERROR(__xludf.DUMMYFUNCTION("""COMPUTED_VALUE"""),1745.0)</f>
        <v>1745</v>
      </c>
      <c r="D974" s="2">
        <f>IFERROR(__xludf.DUMMYFUNCTION("""COMPUTED_VALUE"""),1685.0)</f>
        <v>1685</v>
      </c>
      <c r="E974" s="2">
        <f>IFERROR(__xludf.DUMMYFUNCTION("""COMPUTED_VALUE"""),1740.0)</f>
        <v>1740</v>
      </c>
      <c r="F974" s="2">
        <f>IFERROR(__xludf.DUMMYFUNCTION("""COMPUTED_VALUE"""),2.32227E7)</f>
        <v>23222700</v>
      </c>
      <c r="G974" s="2">
        <f t="shared" si="1"/>
        <v>60</v>
      </c>
    </row>
    <row r="975" ht="15.75" customHeight="1">
      <c r="A975" s="1">
        <f>IFERROR(__xludf.DUMMYFUNCTION("""COMPUTED_VALUE"""),45289.66666666667)</f>
        <v>45289.66667</v>
      </c>
      <c r="B975" s="2">
        <f>IFERROR(__xludf.DUMMYFUNCTION("""COMPUTED_VALUE"""),1735.0)</f>
        <v>1735</v>
      </c>
      <c r="C975" s="2">
        <f>IFERROR(__xludf.DUMMYFUNCTION("""COMPUTED_VALUE"""),1745.0)</f>
        <v>1745</v>
      </c>
      <c r="D975" s="2">
        <f>IFERROR(__xludf.DUMMYFUNCTION("""COMPUTED_VALUE"""),1710.0)</f>
        <v>1710</v>
      </c>
      <c r="E975" s="2">
        <f>IFERROR(__xludf.DUMMYFUNCTION("""COMPUTED_VALUE"""),1740.0)</f>
        <v>1740</v>
      </c>
      <c r="F975" s="2">
        <f>IFERROR(__xludf.DUMMYFUNCTION("""COMPUTED_VALUE"""),2.10991E7)</f>
        <v>21099100</v>
      </c>
      <c r="G975" s="2">
        <f t="shared" si="1"/>
        <v>35</v>
      </c>
    </row>
    <row r="976" ht="15.75" customHeight="1">
      <c r="A976" s="1">
        <f>IFERROR(__xludf.DUMMYFUNCTION("""COMPUTED_VALUE"""),45293.66666666667)</f>
        <v>45293.66667</v>
      </c>
      <c r="B976" s="2">
        <f>IFERROR(__xludf.DUMMYFUNCTION("""COMPUTED_VALUE"""),1740.0)</f>
        <v>1740</v>
      </c>
      <c r="C976" s="2">
        <f>IFERROR(__xludf.DUMMYFUNCTION("""COMPUTED_VALUE"""),1745.0)</f>
        <v>1745</v>
      </c>
      <c r="D976" s="2">
        <f>IFERROR(__xludf.DUMMYFUNCTION("""COMPUTED_VALUE"""),1710.0)</f>
        <v>1710</v>
      </c>
      <c r="E976" s="2">
        <f>IFERROR(__xludf.DUMMYFUNCTION("""COMPUTED_VALUE"""),1740.0)</f>
        <v>1740</v>
      </c>
      <c r="F976" s="2">
        <f>IFERROR(__xludf.DUMMYFUNCTION("""COMPUTED_VALUE"""),1.31187E7)</f>
        <v>13118700</v>
      </c>
      <c r="G976" s="2">
        <f t="shared" si="1"/>
        <v>35</v>
      </c>
    </row>
    <row r="977" ht="15.75" customHeight="1">
      <c r="A977" s="1">
        <f>IFERROR(__xludf.DUMMYFUNCTION("""COMPUTED_VALUE"""),45294.66666666667)</f>
        <v>45294.66667</v>
      </c>
      <c r="B977" s="2">
        <f>IFERROR(__xludf.DUMMYFUNCTION("""COMPUTED_VALUE"""),1735.0)</f>
        <v>1735</v>
      </c>
      <c r="C977" s="2">
        <f>IFERROR(__xludf.DUMMYFUNCTION("""COMPUTED_VALUE"""),1830.0)</f>
        <v>1830</v>
      </c>
      <c r="D977" s="2">
        <f>IFERROR(__xludf.DUMMYFUNCTION("""COMPUTED_VALUE"""),1730.0)</f>
        <v>1730</v>
      </c>
      <c r="E977" s="2">
        <f>IFERROR(__xludf.DUMMYFUNCTION("""COMPUTED_VALUE"""),1800.0)</f>
        <v>1800</v>
      </c>
      <c r="F977" s="2">
        <f>IFERROR(__xludf.DUMMYFUNCTION("""COMPUTED_VALUE"""),7.65112E7)</f>
        <v>76511200</v>
      </c>
      <c r="G977" s="2">
        <f t="shared" si="1"/>
        <v>100</v>
      </c>
    </row>
    <row r="978" ht="15.75" customHeight="1">
      <c r="A978" s="1">
        <f>IFERROR(__xludf.DUMMYFUNCTION("""COMPUTED_VALUE"""),45295.66666666667)</f>
        <v>45295.66667</v>
      </c>
      <c r="B978" s="2">
        <f>IFERROR(__xludf.DUMMYFUNCTION("""COMPUTED_VALUE"""),1795.0)</f>
        <v>1795</v>
      </c>
      <c r="C978" s="2">
        <f>IFERROR(__xludf.DUMMYFUNCTION("""COMPUTED_VALUE"""),1895.0)</f>
        <v>1895</v>
      </c>
      <c r="D978" s="2">
        <f>IFERROR(__xludf.DUMMYFUNCTION("""COMPUTED_VALUE"""),1780.0)</f>
        <v>1780</v>
      </c>
      <c r="E978" s="2">
        <f>IFERROR(__xludf.DUMMYFUNCTION("""COMPUTED_VALUE"""),1895.0)</f>
        <v>1895</v>
      </c>
      <c r="F978" s="2">
        <f>IFERROR(__xludf.DUMMYFUNCTION("""COMPUTED_VALUE"""),8.08729E7)</f>
        <v>80872900</v>
      </c>
      <c r="G978" s="2">
        <f t="shared" si="1"/>
        <v>115</v>
      </c>
    </row>
    <row r="979" ht="15.75" customHeight="1">
      <c r="A979" s="1">
        <f>IFERROR(__xludf.DUMMYFUNCTION("""COMPUTED_VALUE"""),45296.66666666667)</f>
        <v>45296.66667</v>
      </c>
      <c r="B979" s="2">
        <f>IFERROR(__xludf.DUMMYFUNCTION("""COMPUTED_VALUE"""),1895.0)</f>
        <v>1895</v>
      </c>
      <c r="C979" s="2">
        <f>IFERROR(__xludf.DUMMYFUNCTION("""COMPUTED_VALUE"""),1955.0)</f>
        <v>1955</v>
      </c>
      <c r="D979" s="2">
        <f>IFERROR(__xludf.DUMMYFUNCTION("""COMPUTED_VALUE"""),1885.0)</f>
        <v>1885</v>
      </c>
      <c r="E979" s="2">
        <f>IFERROR(__xludf.DUMMYFUNCTION("""COMPUTED_VALUE"""),1900.0)</f>
        <v>1900</v>
      </c>
      <c r="F979" s="2">
        <f>IFERROR(__xludf.DUMMYFUNCTION("""COMPUTED_VALUE"""),9.06721E7)</f>
        <v>90672100</v>
      </c>
      <c r="G979" s="2">
        <f t="shared" si="1"/>
        <v>70</v>
      </c>
    </row>
    <row r="980" ht="15.75" customHeight="1">
      <c r="A980" s="1">
        <f>IFERROR(__xludf.DUMMYFUNCTION("""COMPUTED_VALUE"""),45299.66666666667)</f>
        <v>45299.66667</v>
      </c>
      <c r="B980" s="2">
        <f>IFERROR(__xludf.DUMMYFUNCTION("""COMPUTED_VALUE"""),1900.0)</f>
        <v>1900</v>
      </c>
      <c r="C980" s="2">
        <f>IFERROR(__xludf.DUMMYFUNCTION("""COMPUTED_VALUE"""),2010.0)</f>
        <v>2010</v>
      </c>
      <c r="D980" s="2">
        <f>IFERROR(__xludf.DUMMYFUNCTION("""COMPUTED_VALUE"""),1900.0)</f>
        <v>1900</v>
      </c>
      <c r="E980" s="2">
        <f>IFERROR(__xludf.DUMMYFUNCTION("""COMPUTED_VALUE"""),1925.0)</f>
        <v>1925</v>
      </c>
      <c r="F980" s="2">
        <f>IFERROR(__xludf.DUMMYFUNCTION("""COMPUTED_VALUE"""),1.066843E8)</f>
        <v>106684300</v>
      </c>
      <c r="G980" s="2">
        <f t="shared" si="1"/>
        <v>110</v>
      </c>
    </row>
    <row r="981" ht="15.75" customHeight="1">
      <c r="A981" s="1">
        <f>IFERROR(__xludf.DUMMYFUNCTION("""COMPUTED_VALUE"""),45300.66666666667)</f>
        <v>45300.66667</v>
      </c>
      <c r="B981" s="2">
        <f>IFERROR(__xludf.DUMMYFUNCTION("""COMPUTED_VALUE"""),1940.0)</f>
        <v>1940</v>
      </c>
      <c r="C981" s="2">
        <f>IFERROR(__xludf.DUMMYFUNCTION("""COMPUTED_VALUE"""),1975.0)</f>
        <v>1975</v>
      </c>
      <c r="D981" s="2">
        <f>IFERROR(__xludf.DUMMYFUNCTION("""COMPUTED_VALUE"""),1905.0)</f>
        <v>1905</v>
      </c>
      <c r="E981" s="2">
        <f>IFERROR(__xludf.DUMMYFUNCTION("""COMPUTED_VALUE"""),1960.0)</f>
        <v>1960</v>
      </c>
      <c r="F981" s="2">
        <f>IFERROR(__xludf.DUMMYFUNCTION("""COMPUTED_VALUE"""),4.13476E7)</f>
        <v>41347600</v>
      </c>
      <c r="G981" s="2">
        <f t="shared" si="1"/>
        <v>70</v>
      </c>
    </row>
    <row r="982" ht="15.75" customHeight="1">
      <c r="A982" s="1">
        <f>IFERROR(__xludf.DUMMYFUNCTION("""COMPUTED_VALUE"""),45301.66666666667)</f>
        <v>45301.66667</v>
      </c>
      <c r="B982" s="2">
        <f>IFERROR(__xludf.DUMMYFUNCTION("""COMPUTED_VALUE"""),1960.0)</f>
        <v>1960</v>
      </c>
      <c r="C982" s="2">
        <f>IFERROR(__xludf.DUMMYFUNCTION("""COMPUTED_VALUE"""),1970.0)</f>
        <v>1970</v>
      </c>
      <c r="D982" s="2">
        <f>IFERROR(__xludf.DUMMYFUNCTION("""COMPUTED_VALUE"""),1905.0)</f>
        <v>1905</v>
      </c>
      <c r="E982" s="2">
        <f>IFERROR(__xludf.DUMMYFUNCTION("""COMPUTED_VALUE"""),1935.0)</f>
        <v>1935</v>
      </c>
      <c r="F982" s="2">
        <f>IFERROR(__xludf.DUMMYFUNCTION("""COMPUTED_VALUE"""),4.57372E7)</f>
        <v>45737200</v>
      </c>
      <c r="G982" s="2">
        <f t="shared" si="1"/>
        <v>65</v>
      </c>
    </row>
    <row r="983" ht="15.75" customHeight="1">
      <c r="A983" s="1">
        <f>IFERROR(__xludf.DUMMYFUNCTION("""COMPUTED_VALUE"""),45302.66666666667)</f>
        <v>45302.66667</v>
      </c>
      <c r="B983" s="2">
        <f>IFERROR(__xludf.DUMMYFUNCTION("""COMPUTED_VALUE"""),1940.0)</f>
        <v>1940</v>
      </c>
      <c r="C983" s="2">
        <f>IFERROR(__xludf.DUMMYFUNCTION("""COMPUTED_VALUE"""),2050.0)</f>
        <v>2050</v>
      </c>
      <c r="D983" s="2">
        <f>IFERROR(__xludf.DUMMYFUNCTION("""COMPUTED_VALUE"""),1940.0)</f>
        <v>1940</v>
      </c>
      <c r="E983" s="2">
        <f>IFERROR(__xludf.DUMMYFUNCTION("""COMPUTED_VALUE"""),1970.0)</f>
        <v>1970</v>
      </c>
      <c r="F983" s="2">
        <f>IFERROR(__xludf.DUMMYFUNCTION("""COMPUTED_VALUE"""),6.3983E7)</f>
        <v>63983000</v>
      </c>
      <c r="G983" s="2">
        <f t="shared" si="1"/>
        <v>115</v>
      </c>
    </row>
    <row r="984" ht="15.75" customHeight="1">
      <c r="A984" s="1">
        <f>IFERROR(__xludf.DUMMYFUNCTION("""COMPUTED_VALUE"""),45303.66666666667)</f>
        <v>45303.66667</v>
      </c>
      <c r="B984" s="2">
        <f>IFERROR(__xludf.DUMMYFUNCTION("""COMPUTED_VALUE"""),1970.0)</f>
        <v>1970</v>
      </c>
      <c r="C984" s="2">
        <f>IFERROR(__xludf.DUMMYFUNCTION("""COMPUTED_VALUE"""),2010.0)</f>
        <v>2010</v>
      </c>
      <c r="D984" s="2">
        <f>IFERROR(__xludf.DUMMYFUNCTION("""COMPUTED_VALUE"""),1960.0)</f>
        <v>1960</v>
      </c>
      <c r="E984" s="2">
        <f>IFERROR(__xludf.DUMMYFUNCTION("""COMPUTED_VALUE"""),1980.0)</f>
        <v>1980</v>
      </c>
      <c r="F984" s="2">
        <f>IFERROR(__xludf.DUMMYFUNCTION("""COMPUTED_VALUE"""),3.58365E7)</f>
        <v>35836500</v>
      </c>
      <c r="G984" s="2">
        <f t="shared" si="1"/>
        <v>50</v>
      </c>
    </row>
    <row r="985" ht="15.75" customHeight="1">
      <c r="A985" s="1">
        <f>IFERROR(__xludf.DUMMYFUNCTION("""COMPUTED_VALUE"""),45306.66666666667)</f>
        <v>45306.66667</v>
      </c>
      <c r="B985" s="2">
        <f>IFERROR(__xludf.DUMMYFUNCTION("""COMPUTED_VALUE"""),1980.0)</f>
        <v>1980</v>
      </c>
      <c r="C985" s="2">
        <f>IFERROR(__xludf.DUMMYFUNCTION("""COMPUTED_VALUE"""),1985.0)</f>
        <v>1985</v>
      </c>
      <c r="D985" s="2">
        <f>IFERROR(__xludf.DUMMYFUNCTION("""COMPUTED_VALUE"""),1930.0)</f>
        <v>1930</v>
      </c>
      <c r="E985" s="2">
        <f>IFERROR(__xludf.DUMMYFUNCTION("""COMPUTED_VALUE"""),1945.0)</f>
        <v>1945</v>
      </c>
      <c r="F985" s="2">
        <f>IFERROR(__xludf.DUMMYFUNCTION("""COMPUTED_VALUE"""),2.98272E7)</f>
        <v>29827200</v>
      </c>
      <c r="G985" s="2">
        <f t="shared" si="1"/>
        <v>55</v>
      </c>
    </row>
    <row r="986" ht="15.75" customHeight="1">
      <c r="A986" s="1">
        <f>IFERROR(__xludf.DUMMYFUNCTION("""COMPUTED_VALUE"""),45307.66666666667)</f>
        <v>45307.66667</v>
      </c>
      <c r="B986" s="2">
        <f>IFERROR(__xludf.DUMMYFUNCTION("""COMPUTED_VALUE"""),1945.0)</f>
        <v>1945</v>
      </c>
      <c r="C986" s="2">
        <f>IFERROR(__xludf.DUMMYFUNCTION("""COMPUTED_VALUE"""),1950.0)</f>
        <v>1950</v>
      </c>
      <c r="D986" s="2">
        <f>IFERROR(__xludf.DUMMYFUNCTION("""COMPUTED_VALUE"""),1915.0)</f>
        <v>1915</v>
      </c>
      <c r="E986" s="2">
        <f>IFERROR(__xludf.DUMMYFUNCTION("""COMPUTED_VALUE"""),1930.0)</f>
        <v>1930</v>
      </c>
      <c r="F986" s="2">
        <f>IFERROR(__xludf.DUMMYFUNCTION("""COMPUTED_VALUE"""),2.95156E7)</f>
        <v>29515600</v>
      </c>
      <c r="G986" s="2">
        <f t="shared" si="1"/>
        <v>35</v>
      </c>
    </row>
    <row r="987" ht="15.75" customHeight="1">
      <c r="A987" s="1">
        <f>IFERROR(__xludf.DUMMYFUNCTION("""COMPUTED_VALUE"""),45308.66666666667)</f>
        <v>45308.66667</v>
      </c>
      <c r="B987" s="2">
        <f>IFERROR(__xludf.DUMMYFUNCTION("""COMPUTED_VALUE"""),1930.0)</f>
        <v>1930</v>
      </c>
      <c r="C987" s="2">
        <f>IFERROR(__xludf.DUMMYFUNCTION("""COMPUTED_VALUE"""),1965.0)</f>
        <v>1965</v>
      </c>
      <c r="D987" s="2">
        <f>IFERROR(__xludf.DUMMYFUNCTION("""COMPUTED_VALUE"""),1920.0)</f>
        <v>1920</v>
      </c>
      <c r="E987" s="2">
        <f>IFERROR(__xludf.DUMMYFUNCTION("""COMPUTED_VALUE"""),1950.0)</f>
        <v>1950</v>
      </c>
      <c r="F987" s="2">
        <f>IFERROR(__xludf.DUMMYFUNCTION("""COMPUTED_VALUE"""),5.03571E7)</f>
        <v>50357100</v>
      </c>
      <c r="G987" s="2">
        <f t="shared" si="1"/>
        <v>45</v>
      </c>
    </row>
    <row r="988" ht="15.75" customHeight="1">
      <c r="A988" s="1">
        <f>IFERROR(__xludf.DUMMYFUNCTION("""COMPUTED_VALUE"""),45309.66666666667)</f>
        <v>45309.66667</v>
      </c>
      <c r="B988" s="2">
        <f>IFERROR(__xludf.DUMMYFUNCTION("""COMPUTED_VALUE"""),1950.0)</f>
        <v>1950</v>
      </c>
      <c r="C988" s="2">
        <f>IFERROR(__xludf.DUMMYFUNCTION("""COMPUTED_VALUE"""),2030.0)</f>
        <v>2030</v>
      </c>
      <c r="D988" s="2">
        <f>IFERROR(__xludf.DUMMYFUNCTION("""COMPUTED_VALUE"""),1950.0)</f>
        <v>1950</v>
      </c>
      <c r="E988" s="2">
        <f>IFERROR(__xludf.DUMMYFUNCTION("""COMPUTED_VALUE"""),2010.0)</f>
        <v>2010</v>
      </c>
      <c r="F988" s="2">
        <f>IFERROR(__xludf.DUMMYFUNCTION("""COMPUTED_VALUE"""),6.62241E7)</f>
        <v>66224100</v>
      </c>
      <c r="G988" s="2">
        <f t="shared" si="1"/>
        <v>80</v>
      </c>
    </row>
    <row r="989" ht="15.75" customHeight="1">
      <c r="A989" s="1">
        <f>IFERROR(__xludf.DUMMYFUNCTION("""COMPUTED_VALUE"""),45310.66666666667)</f>
        <v>45310.66667</v>
      </c>
      <c r="B989" s="2">
        <f>IFERROR(__xludf.DUMMYFUNCTION("""COMPUTED_VALUE"""),2030.0)</f>
        <v>2030</v>
      </c>
      <c r="C989" s="2">
        <f>IFERROR(__xludf.DUMMYFUNCTION("""COMPUTED_VALUE"""),2040.0)</f>
        <v>2040</v>
      </c>
      <c r="D989" s="2">
        <f>IFERROR(__xludf.DUMMYFUNCTION("""COMPUTED_VALUE"""),1995.0)</f>
        <v>1995</v>
      </c>
      <c r="E989" s="2">
        <f>IFERROR(__xludf.DUMMYFUNCTION("""COMPUTED_VALUE"""),2010.0)</f>
        <v>2010</v>
      </c>
      <c r="F989" s="2">
        <f>IFERROR(__xludf.DUMMYFUNCTION("""COMPUTED_VALUE"""),2.98492E7)</f>
        <v>29849200</v>
      </c>
      <c r="G989" s="2">
        <f t="shared" si="1"/>
        <v>45</v>
      </c>
    </row>
    <row r="990" ht="15.75" customHeight="1">
      <c r="A990" s="1">
        <f>IFERROR(__xludf.DUMMYFUNCTION("""COMPUTED_VALUE"""),45313.66666666667)</f>
        <v>45313.66667</v>
      </c>
      <c r="B990" s="2">
        <f>IFERROR(__xludf.DUMMYFUNCTION("""COMPUTED_VALUE"""),2020.0)</f>
        <v>2020</v>
      </c>
      <c r="C990" s="2">
        <f>IFERROR(__xludf.DUMMYFUNCTION("""COMPUTED_VALUE"""),2090.0)</f>
        <v>2090</v>
      </c>
      <c r="D990" s="2">
        <f>IFERROR(__xludf.DUMMYFUNCTION("""COMPUTED_VALUE"""),2000.0)</f>
        <v>2000</v>
      </c>
      <c r="E990" s="2">
        <f>IFERROR(__xludf.DUMMYFUNCTION("""COMPUTED_VALUE"""),2090.0)</f>
        <v>2090</v>
      </c>
      <c r="F990" s="2">
        <f>IFERROR(__xludf.DUMMYFUNCTION("""COMPUTED_VALUE"""),5.90234E7)</f>
        <v>59023400</v>
      </c>
      <c r="G990" s="2">
        <f t="shared" si="1"/>
        <v>90</v>
      </c>
    </row>
    <row r="991" ht="15.75" customHeight="1">
      <c r="A991" s="1">
        <f>IFERROR(__xludf.DUMMYFUNCTION("""COMPUTED_VALUE"""),45314.66666666667)</f>
        <v>45314.66667</v>
      </c>
      <c r="B991" s="2">
        <f>IFERROR(__xludf.DUMMYFUNCTION("""COMPUTED_VALUE"""),2100.0)</f>
        <v>2100</v>
      </c>
      <c r="C991" s="2">
        <f>IFERROR(__xludf.DUMMYFUNCTION("""COMPUTED_VALUE"""),2190.0)</f>
        <v>2190</v>
      </c>
      <c r="D991" s="2">
        <f>IFERROR(__xludf.DUMMYFUNCTION("""COMPUTED_VALUE"""),2090.0)</f>
        <v>2090</v>
      </c>
      <c r="E991" s="2">
        <f>IFERROR(__xludf.DUMMYFUNCTION("""COMPUTED_VALUE"""),2160.0)</f>
        <v>2160</v>
      </c>
      <c r="F991" s="2">
        <f>IFERROR(__xludf.DUMMYFUNCTION("""COMPUTED_VALUE"""),9.88303E7)</f>
        <v>98830300</v>
      </c>
      <c r="G991" s="2">
        <f t="shared" si="1"/>
        <v>100</v>
      </c>
    </row>
    <row r="992" ht="15.75" customHeight="1">
      <c r="A992" s="1">
        <f>IFERROR(__xludf.DUMMYFUNCTION("""COMPUTED_VALUE"""),45315.66666666667)</f>
        <v>45315.66667</v>
      </c>
      <c r="B992" s="2">
        <f>IFERROR(__xludf.DUMMYFUNCTION("""COMPUTED_VALUE"""),2160.0)</f>
        <v>2160</v>
      </c>
      <c r="C992" s="2">
        <f>IFERROR(__xludf.DUMMYFUNCTION("""COMPUTED_VALUE"""),2170.0)</f>
        <v>2170</v>
      </c>
      <c r="D992" s="2">
        <f>IFERROR(__xludf.DUMMYFUNCTION("""COMPUTED_VALUE"""),2050.0)</f>
        <v>2050</v>
      </c>
      <c r="E992" s="2">
        <f>IFERROR(__xludf.DUMMYFUNCTION("""COMPUTED_VALUE"""),2070.0)</f>
        <v>2070</v>
      </c>
      <c r="F992" s="2">
        <f>IFERROR(__xludf.DUMMYFUNCTION("""COMPUTED_VALUE"""),5.1015E7)</f>
        <v>51015000</v>
      </c>
      <c r="G992" s="2">
        <f t="shared" si="1"/>
        <v>120</v>
      </c>
    </row>
    <row r="993" ht="15.75" customHeight="1">
      <c r="A993" s="1">
        <f>IFERROR(__xludf.DUMMYFUNCTION("""COMPUTED_VALUE"""),45316.66666666667)</f>
        <v>45316.66667</v>
      </c>
      <c r="B993" s="2">
        <f>IFERROR(__xludf.DUMMYFUNCTION("""COMPUTED_VALUE"""),2070.0)</f>
        <v>2070</v>
      </c>
      <c r="C993" s="2">
        <f>IFERROR(__xludf.DUMMYFUNCTION("""COMPUTED_VALUE"""),2130.0)</f>
        <v>2130</v>
      </c>
      <c r="D993" s="2">
        <f>IFERROR(__xludf.DUMMYFUNCTION("""COMPUTED_VALUE"""),2030.0)</f>
        <v>2030</v>
      </c>
      <c r="E993" s="2">
        <f>IFERROR(__xludf.DUMMYFUNCTION("""COMPUTED_VALUE"""),2040.0)</f>
        <v>2040</v>
      </c>
      <c r="F993" s="2">
        <f>IFERROR(__xludf.DUMMYFUNCTION("""COMPUTED_VALUE"""),2.75509E7)</f>
        <v>27550900</v>
      </c>
      <c r="G993" s="2">
        <f t="shared" si="1"/>
        <v>100</v>
      </c>
    </row>
    <row r="994" ht="15.75" customHeight="1">
      <c r="A994" s="1">
        <f>IFERROR(__xludf.DUMMYFUNCTION("""COMPUTED_VALUE"""),45317.66666666667)</f>
        <v>45317.66667</v>
      </c>
      <c r="B994" s="2">
        <f>IFERROR(__xludf.DUMMYFUNCTION("""COMPUTED_VALUE"""),2040.0)</f>
        <v>2040</v>
      </c>
      <c r="C994" s="2">
        <f>IFERROR(__xludf.DUMMYFUNCTION("""COMPUTED_VALUE"""),2060.0)</f>
        <v>2060</v>
      </c>
      <c r="D994" s="2">
        <f>IFERROR(__xludf.DUMMYFUNCTION("""COMPUTED_VALUE"""),1965.0)</f>
        <v>1965</v>
      </c>
      <c r="E994" s="2">
        <f>IFERROR(__xludf.DUMMYFUNCTION("""COMPUTED_VALUE"""),1995.0)</f>
        <v>1995</v>
      </c>
      <c r="F994" s="2">
        <f>IFERROR(__xludf.DUMMYFUNCTION("""COMPUTED_VALUE"""),4.58011E7)</f>
        <v>45801100</v>
      </c>
      <c r="G994" s="2">
        <f t="shared" si="1"/>
        <v>95</v>
      </c>
    </row>
    <row r="995" ht="15.75" customHeight="1">
      <c r="A995" s="1">
        <f>IFERROR(__xludf.DUMMYFUNCTION("""COMPUTED_VALUE"""),45320.66666666667)</f>
        <v>45320.66667</v>
      </c>
      <c r="B995" s="2">
        <f>IFERROR(__xludf.DUMMYFUNCTION("""COMPUTED_VALUE"""),1995.0)</f>
        <v>1995</v>
      </c>
      <c r="C995" s="2">
        <f>IFERROR(__xludf.DUMMYFUNCTION("""COMPUTED_VALUE"""),2140.0)</f>
        <v>2140</v>
      </c>
      <c r="D995" s="2">
        <f>IFERROR(__xludf.DUMMYFUNCTION("""COMPUTED_VALUE"""),1995.0)</f>
        <v>1995</v>
      </c>
      <c r="E995" s="2">
        <f>IFERROR(__xludf.DUMMYFUNCTION("""COMPUTED_VALUE"""),2140.0)</f>
        <v>2140</v>
      </c>
      <c r="F995" s="2">
        <f>IFERROR(__xludf.DUMMYFUNCTION("""COMPUTED_VALUE"""),4.52642E7)</f>
        <v>45264200</v>
      </c>
      <c r="G995" s="2">
        <f t="shared" si="1"/>
        <v>145</v>
      </c>
    </row>
    <row r="996" ht="15.75" customHeight="1">
      <c r="A996" s="1">
        <f>IFERROR(__xludf.DUMMYFUNCTION("""COMPUTED_VALUE"""),45321.66666666667)</f>
        <v>45321.66667</v>
      </c>
      <c r="B996" s="2">
        <f>IFERROR(__xludf.DUMMYFUNCTION("""COMPUTED_VALUE"""),2140.0)</f>
        <v>2140</v>
      </c>
      <c r="C996" s="2">
        <f>IFERROR(__xludf.DUMMYFUNCTION("""COMPUTED_VALUE"""),2180.0)</f>
        <v>2180</v>
      </c>
      <c r="D996" s="2">
        <f>IFERROR(__xludf.DUMMYFUNCTION("""COMPUTED_VALUE"""),2120.0)</f>
        <v>2120</v>
      </c>
      <c r="E996" s="2">
        <f>IFERROR(__xludf.DUMMYFUNCTION("""COMPUTED_VALUE"""),2180.0)</f>
        <v>2180</v>
      </c>
      <c r="F996" s="2">
        <f>IFERROR(__xludf.DUMMYFUNCTION("""COMPUTED_VALUE"""),4.78418E7)</f>
        <v>47841800</v>
      </c>
      <c r="G996" s="2">
        <f t="shared" si="1"/>
        <v>60</v>
      </c>
    </row>
    <row r="997" ht="15.75" customHeight="1">
      <c r="A997" s="1">
        <f>IFERROR(__xludf.DUMMYFUNCTION("""COMPUTED_VALUE"""),45322.66666666667)</f>
        <v>45322.66667</v>
      </c>
      <c r="B997" s="2">
        <f>IFERROR(__xludf.DUMMYFUNCTION("""COMPUTED_VALUE"""),2180.0)</f>
        <v>2180</v>
      </c>
      <c r="C997" s="2">
        <f>IFERROR(__xludf.DUMMYFUNCTION("""COMPUTED_VALUE"""),2340.0)</f>
        <v>2340</v>
      </c>
      <c r="D997" s="2">
        <f>IFERROR(__xludf.DUMMYFUNCTION("""COMPUTED_VALUE"""),2160.0)</f>
        <v>2160</v>
      </c>
      <c r="E997" s="2">
        <f>IFERROR(__xludf.DUMMYFUNCTION("""COMPUTED_VALUE"""),2330.0)</f>
        <v>2330</v>
      </c>
      <c r="F997" s="2">
        <f>IFERROR(__xludf.DUMMYFUNCTION("""COMPUTED_VALUE"""),1.201019E8)</f>
        <v>120101900</v>
      </c>
      <c r="G997" s="2">
        <f t="shared" si="1"/>
        <v>180</v>
      </c>
    </row>
    <row r="998" ht="15.75" customHeight="1">
      <c r="A998" s="1">
        <f>IFERROR(__xludf.DUMMYFUNCTION("""COMPUTED_VALUE"""),45323.66666666667)</f>
        <v>45323.66667</v>
      </c>
      <c r="B998" s="2">
        <f>IFERROR(__xludf.DUMMYFUNCTION("""COMPUTED_VALUE"""),2330.0)</f>
        <v>2330</v>
      </c>
      <c r="C998" s="2">
        <f>IFERROR(__xludf.DUMMYFUNCTION("""COMPUTED_VALUE"""),2400.0)</f>
        <v>2400</v>
      </c>
      <c r="D998" s="2">
        <f>IFERROR(__xludf.DUMMYFUNCTION("""COMPUTED_VALUE"""),2270.0)</f>
        <v>2270</v>
      </c>
      <c r="E998" s="2">
        <f>IFERROR(__xludf.DUMMYFUNCTION("""COMPUTED_VALUE"""),2300.0)</f>
        <v>2300</v>
      </c>
      <c r="F998" s="2">
        <f>IFERROR(__xludf.DUMMYFUNCTION("""COMPUTED_VALUE"""),9.22402E7)</f>
        <v>92240200</v>
      </c>
      <c r="G998" s="2">
        <f t="shared" si="1"/>
        <v>130</v>
      </c>
    </row>
    <row r="999" ht="15.75" customHeight="1">
      <c r="A999" s="1">
        <f>IFERROR(__xludf.DUMMYFUNCTION("""COMPUTED_VALUE"""),45324.66666666667)</f>
        <v>45324.66667</v>
      </c>
      <c r="B999" s="2">
        <f>IFERROR(__xludf.DUMMYFUNCTION("""COMPUTED_VALUE"""),2310.0)</f>
        <v>2310</v>
      </c>
      <c r="C999" s="2">
        <f>IFERROR(__xludf.DUMMYFUNCTION("""COMPUTED_VALUE"""),2400.0)</f>
        <v>2400</v>
      </c>
      <c r="D999" s="2">
        <f>IFERROR(__xludf.DUMMYFUNCTION("""COMPUTED_VALUE"""),2290.0)</f>
        <v>2290</v>
      </c>
      <c r="E999" s="2">
        <f>IFERROR(__xludf.DUMMYFUNCTION("""COMPUTED_VALUE"""),2320.0)</f>
        <v>2320</v>
      </c>
      <c r="F999" s="2">
        <f>IFERROR(__xludf.DUMMYFUNCTION("""COMPUTED_VALUE"""),5.99807E7)</f>
        <v>59980700</v>
      </c>
      <c r="G999" s="2">
        <f t="shared" si="1"/>
        <v>110</v>
      </c>
    </row>
    <row r="1000" ht="15.75" customHeight="1">
      <c r="A1000" s="1">
        <f>IFERROR(__xludf.DUMMYFUNCTION("""COMPUTED_VALUE"""),45327.66666666667)</f>
        <v>45327.66667</v>
      </c>
      <c r="B1000" s="2">
        <f>IFERROR(__xludf.DUMMYFUNCTION("""COMPUTED_VALUE"""),2320.0)</f>
        <v>2320</v>
      </c>
      <c r="C1000" s="2">
        <f>IFERROR(__xludf.DUMMYFUNCTION("""COMPUTED_VALUE"""),2350.0)</f>
        <v>2350</v>
      </c>
      <c r="D1000" s="2">
        <f>IFERROR(__xludf.DUMMYFUNCTION("""COMPUTED_VALUE"""),2290.0)</f>
        <v>2290</v>
      </c>
      <c r="E1000" s="2">
        <f>IFERROR(__xludf.DUMMYFUNCTION("""COMPUTED_VALUE"""),2310.0)</f>
        <v>2310</v>
      </c>
      <c r="F1000" s="2">
        <f>IFERROR(__xludf.DUMMYFUNCTION("""COMPUTED_VALUE"""),4.06286E7)</f>
        <v>40628600</v>
      </c>
      <c r="G1000" s="2">
        <f t="shared" si="1"/>
        <v>60</v>
      </c>
    </row>
    <row r="1001" ht="15.75" customHeight="1">
      <c r="A1001" s="1">
        <f>IFERROR(__xludf.DUMMYFUNCTION("""COMPUTED_VALUE"""),45328.66666666667)</f>
        <v>45328.66667</v>
      </c>
      <c r="B1001" s="2">
        <f>IFERROR(__xludf.DUMMYFUNCTION("""COMPUTED_VALUE"""),2310.0)</f>
        <v>2310</v>
      </c>
      <c r="C1001" s="2">
        <f>IFERROR(__xludf.DUMMYFUNCTION("""COMPUTED_VALUE"""),2320.0)</f>
        <v>2320</v>
      </c>
      <c r="D1001" s="2">
        <f>IFERROR(__xludf.DUMMYFUNCTION("""COMPUTED_VALUE"""),2290.0)</f>
        <v>2290</v>
      </c>
      <c r="E1001" s="2">
        <f>IFERROR(__xludf.DUMMYFUNCTION("""COMPUTED_VALUE"""),2310.0)</f>
        <v>2310</v>
      </c>
      <c r="F1001" s="2">
        <f>IFERROR(__xludf.DUMMYFUNCTION("""COMPUTED_VALUE"""),1.462E7)</f>
        <v>14620000</v>
      </c>
      <c r="G1001" s="2">
        <f t="shared" si="1"/>
        <v>30</v>
      </c>
    </row>
    <row r="1002" ht="15.75" customHeight="1">
      <c r="A1002" s="1">
        <f>IFERROR(__xludf.DUMMYFUNCTION("""COMPUTED_VALUE"""),45329.66666666667)</f>
        <v>45329.66667</v>
      </c>
      <c r="B1002" s="2">
        <f>IFERROR(__xludf.DUMMYFUNCTION("""COMPUTED_VALUE"""),2310.0)</f>
        <v>2310</v>
      </c>
      <c r="C1002" s="2">
        <f>IFERROR(__xludf.DUMMYFUNCTION("""COMPUTED_VALUE"""),2380.0)</f>
        <v>2380</v>
      </c>
      <c r="D1002" s="2">
        <f>IFERROR(__xludf.DUMMYFUNCTION("""COMPUTED_VALUE"""),2310.0)</f>
        <v>2310</v>
      </c>
      <c r="E1002" s="2">
        <f>IFERROR(__xludf.DUMMYFUNCTION("""COMPUTED_VALUE"""),2360.0)</f>
        <v>2360</v>
      </c>
      <c r="F1002" s="2">
        <f>IFERROR(__xludf.DUMMYFUNCTION("""COMPUTED_VALUE"""),3.65843E7)</f>
        <v>36584300</v>
      </c>
      <c r="G1002" s="2">
        <f t="shared" si="1"/>
        <v>70</v>
      </c>
    </row>
    <row r="1003" ht="15.75" customHeight="1">
      <c r="A1003" s="1">
        <f>IFERROR(__xludf.DUMMYFUNCTION("""COMPUTED_VALUE"""),45334.66666666667)</f>
        <v>45334.66667</v>
      </c>
      <c r="B1003" s="2">
        <f>IFERROR(__xludf.DUMMYFUNCTION("""COMPUTED_VALUE"""),2370.0)</f>
        <v>2370</v>
      </c>
      <c r="C1003" s="2">
        <f>IFERROR(__xludf.DUMMYFUNCTION("""COMPUTED_VALUE"""),2400.0)</f>
        <v>2400</v>
      </c>
      <c r="D1003" s="2">
        <f>IFERROR(__xludf.DUMMYFUNCTION("""COMPUTED_VALUE"""),2330.0)</f>
        <v>2330</v>
      </c>
      <c r="E1003" s="2">
        <f>IFERROR(__xludf.DUMMYFUNCTION("""COMPUTED_VALUE"""),2370.0)</f>
        <v>2370</v>
      </c>
      <c r="F1003" s="2">
        <f>IFERROR(__xludf.DUMMYFUNCTION("""COMPUTED_VALUE"""),4.09647E7)</f>
        <v>40964700</v>
      </c>
      <c r="G1003" s="2">
        <f t="shared" si="1"/>
        <v>70</v>
      </c>
    </row>
    <row r="1004" ht="15.75" customHeight="1">
      <c r="A1004" s="1">
        <f>IFERROR(__xludf.DUMMYFUNCTION("""COMPUTED_VALUE"""),45335.66666666667)</f>
        <v>45335.66667</v>
      </c>
      <c r="B1004" s="2">
        <f>IFERROR(__xludf.DUMMYFUNCTION("""COMPUTED_VALUE"""),2370.0)</f>
        <v>2370</v>
      </c>
      <c r="C1004" s="2">
        <f>IFERROR(__xludf.DUMMYFUNCTION("""COMPUTED_VALUE"""),2380.0)</f>
        <v>2380</v>
      </c>
      <c r="D1004" s="2">
        <f>IFERROR(__xludf.DUMMYFUNCTION("""COMPUTED_VALUE"""),2330.0)</f>
        <v>2330</v>
      </c>
      <c r="E1004" s="2">
        <f>IFERROR(__xludf.DUMMYFUNCTION("""COMPUTED_VALUE"""),2350.0)</f>
        <v>2350</v>
      </c>
      <c r="F1004" s="2">
        <f>IFERROR(__xludf.DUMMYFUNCTION("""COMPUTED_VALUE"""),2.67763E7)</f>
        <v>26776300</v>
      </c>
      <c r="G1004" s="2">
        <f t="shared" si="1"/>
        <v>50</v>
      </c>
    </row>
    <row r="1005" ht="15.75" customHeight="1">
      <c r="A1005" s="1">
        <f>IFERROR(__xludf.DUMMYFUNCTION("""COMPUTED_VALUE"""),45337.66666666667)</f>
        <v>45337.66667</v>
      </c>
      <c r="B1005" s="2">
        <f>IFERROR(__xludf.DUMMYFUNCTION("""COMPUTED_VALUE"""),2400.0)</f>
        <v>2400</v>
      </c>
      <c r="C1005" s="2">
        <f>IFERROR(__xludf.DUMMYFUNCTION("""COMPUTED_VALUE"""),2450.0)</f>
        <v>2450</v>
      </c>
      <c r="D1005" s="2">
        <f>IFERROR(__xludf.DUMMYFUNCTION("""COMPUTED_VALUE"""),2380.0)</f>
        <v>2380</v>
      </c>
      <c r="E1005" s="2">
        <f>IFERROR(__xludf.DUMMYFUNCTION("""COMPUTED_VALUE"""),2390.0)</f>
        <v>2390</v>
      </c>
      <c r="F1005" s="2">
        <f>IFERROR(__xludf.DUMMYFUNCTION("""COMPUTED_VALUE"""),7.41088E7)</f>
        <v>74108800</v>
      </c>
      <c r="G1005" s="2">
        <f t="shared" si="1"/>
        <v>100</v>
      </c>
    </row>
    <row r="1006" ht="15.75" customHeight="1">
      <c r="A1006" s="1">
        <f>IFERROR(__xludf.DUMMYFUNCTION("""COMPUTED_VALUE"""),45338.66666666667)</f>
        <v>45338.66667</v>
      </c>
      <c r="B1006" s="2">
        <f>IFERROR(__xludf.DUMMYFUNCTION("""COMPUTED_VALUE"""),2390.0)</f>
        <v>2390</v>
      </c>
      <c r="C1006" s="2">
        <f>IFERROR(__xludf.DUMMYFUNCTION("""COMPUTED_VALUE"""),2410.0)</f>
        <v>2410</v>
      </c>
      <c r="D1006" s="2">
        <f>IFERROR(__xludf.DUMMYFUNCTION("""COMPUTED_VALUE"""),2310.0)</f>
        <v>2310</v>
      </c>
      <c r="E1006" s="2">
        <f>IFERROR(__xludf.DUMMYFUNCTION("""COMPUTED_VALUE"""),2330.0)</f>
        <v>2330</v>
      </c>
      <c r="F1006" s="2">
        <f>IFERROR(__xludf.DUMMYFUNCTION("""COMPUTED_VALUE"""),3.93941E7)</f>
        <v>39394100</v>
      </c>
      <c r="G1006" s="2">
        <f t="shared" si="1"/>
        <v>100</v>
      </c>
    </row>
    <row r="1007" ht="15.75" customHeight="1">
      <c r="A1007" s="1">
        <f>IFERROR(__xludf.DUMMYFUNCTION("""COMPUTED_VALUE"""),45341.66666666667)</f>
        <v>45341.66667</v>
      </c>
      <c r="B1007" s="2">
        <f>IFERROR(__xludf.DUMMYFUNCTION("""COMPUTED_VALUE"""),2330.0)</f>
        <v>2330</v>
      </c>
      <c r="C1007" s="2">
        <f>IFERROR(__xludf.DUMMYFUNCTION("""COMPUTED_VALUE"""),2410.0)</f>
        <v>2410</v>
      </c>
      <c r="D1007" s="2">
        <f>IFERROR(__xludf.DUMMYFUNCTION("""COMPUTED_VALUE"""),2290.0)</f>
        <v>2290</v>
      </c>
      <c r="E1007" s="2">
        <f>IFERROR(__xludf.DUMMYFUNCTION("""COMPUTED_VALUE"""),2380.0)</f>
        <v>2380</v>
      </c>
      <c r="F1007" s="2">
        <f>IFERROR(__xludf.DUMMYFUNCTION("""COMPUTED_VALUE"""),4.92027E7)</f>
        <v>49202700</v>
      </c>
      <c r="G1007" s="2">
        <f t="shared" si="1"/>
        <v>120</v>
      </c>
    </row>
    <row r="1008" ht="15.75" customHeight="1">
      <c r="A1008" s="1">
        <f>IFERROR(__xludf.DUMMYFUNCTION("""COMPUTED_VALUE"""),45342.66666666667)</f>
        <v>45342.66667</v>
      </c>
      <c r="B1008" s="2">
        <f>IFERROR(__xludf.DUMMYFUNCTION("""COMPUTED_VALUE"""),2400.0)</f>
        <v>2400</v>
      </c>
      <c r="C1008" s="2">
        <f>IFERROR(__xludf.DUMMYFUNCTION("""COMPUTED_VALUE"""),2500.0)</f>
        <v>2500</v>
      </c>
      <c r="D1008" s="2">
        <f>IFERROR(__xludf.DUMMYFUNCTION("""COMPUTED_VALUE"""),2360.0)</f>
        <v>2360</v>
      </c>
      <c r="E1008" s="2">
        <f>IFERROR(__xludf.DUMMYFUNCTION("""COMPUTED_VALUE"""),2480.0)</f>
        <v>2480</v>
      </c>
      <c r="F1008" s="2">
        <f>IFERROR(__xludf.DUMMYFUNCTION("""COMPUTED_VALUE"""),7.68809E7)</f>
        <v>76880900</v>
      </c>
      <c r="G1008" s="2">
        <f t="shared" si="1"/>
        <v>140</v>
      </c>
    </row>
    <row r="1009" ht="15.75" customHeight="1">
      <c r="A1009" s="1">
        <f>IFERROR(__xludf.DUMMYFUNCTION("""COMPUTED_VALUE"""),45343.66666666667)</f>
        <v>45343.66667</v>
      </c>
      <c r="B1009" s="2">
        <f>IFERROR(__xludf.DUMMYFUNCTION("""COMPUTED_VALUE"""),2480.0)</f>
        <v>2480</v>
      </c>
      <c r="C1009" s="2">
        <f>IFERROR(__xludf.DUMMYFUNCTION("""COMPUTED_VALUE"""),2500.0)</f>
        <v>2500</v>
      </c>
      <c r="D1009" s="2">
        <f>IFERROR(__xludf.DUMMYFUNCTION("""COMPUTED_VALUE"""),2400.0)</f>
        <v>2400</v>
      </c>
      <c r="E1009" s="2">
        <f>IFERROR(__xludf.DUMMYFUNCTION("""COMPUTED_VALUE"""),2440.0)</f>
        <v>2440</v>
      </c>
      <c r="F1009" s="2">
        <f>IFERROR(__xludf.DUMMYFUNCTION("""COMPUTED_VALUE"""),6.66385E7)</f>
        <v>66638500</v>
      </c>
      <c r="G1009" s="2">
        <f t="shared" si="1"/>
        <v>100</v>
      </c>
    </row>
    <row r="1010" ht="15.75" customHeight="1">
      <c r="A1010" s="1">
        <f>IFERROR(__xludf.DUMMYFUNCTION("""COMPUTED_VALUE"""),45344.66666666667)</f>
        <v>45344.66667</v>
      </c>
      <c r="B1010" s="2">
        <f>IFERROR(__xludf.DUMMYFUNCTION("""COMPUTED_VALUE"""),2450.0)</f>
        <v>2450</v>
      </c>
      <c r="C1010" s="2">
        <f>IFERROR(__xludf.DUMMYFUNCTION("""COMPUTED_VALUE"""),2470.0)</f>
        <v>2470</v>
      </c>
      <c r="D1010" s="2">
        <f>IFERROR(__xludf.DUMMYFUNCTION("""COMPUTED_VALUE"""),2430.0)</f>
        <v>2430</v>
      </c>
      <c r="E1010" s="2">
        <f>IFERROR(__xludf.DUMMYFUNCTION("""COMPUTED_VALUE"""),2460.0)</f>
        <v>2460</v>
      </c>
      <c r="F1010" s="2">
        <f>IFERROR(__xludf.DUMMYFUNCTION("""COMPUTED_VALUE"""),3.23301E7)</f>
        <v>32330100</v>
      </c>
      <c r="G1010" s="2">
        <f t="shared" si="1"/>
        <v>40</v>
      </c>
    </row>
    <row r="1011" ht="15.75" customHeight="1">
      <c r="A1011" s="1">
        <f>IFERROR(__xludf.DUMMYFUNCTION("""COMPUTED_VALUE"""),45345.66666666667)</f>
        <v>45345.66667</v>
      </c>
      <c r="B1011" s="2">
        <f>IFERROR(__xludf.DUMMYFUNCTION("""COMPUTED_VALUE"""),2470.0)</f>
        <v>2470</v>
      </c>
      <c r="C1011" s="2">
        <f>IFERROR(__xludf.DUMMYFUNCTION("""COMPUTED_VALUE"""),2480.0)</f>
        <v>2480</v>
      </c>
      <c r="D1011" s="2">
        <f>IFERROR(__xludf.DUMMYFUNCTION("""COMPUTED_VALUE"""),2420.0)</f>
        <v>2420</v>
      </c>
      <c r="E1011" s="2">
        <f>IFERROR(__xludf.DUMMYFUNCTION("""COMPUTED_VALUE"""),2450.0)</f>
        <v>2450</v>
      </c>
      <c r="F1011" s="2">
        <f>IFERROR(__xludf.DUMMYFUNCTION("""COMPUTED_VALUE"""),2.27468E7)</f>
        <v>22746800</v>
      </c>
      <c r="G1011" s="2">
        <f t="shared" si="1"/>
        <v>60</v>
      </c>
    </row>
    <row r="1012" ht="15.75" customHeight="1">
      <c r="A1012" s="1">
        <f>IFERROR(__xludf.DUMMYFUNCTION("""COMPUTED_VALUE"""),45348.66666666667)</f>
        <v>45348.66667</v>
      </c>
      <c r="B1012" s="2">
        <f>IFERROR(__xludf.DUMMYFUNCTION("""COMPUTED_VALUE"""),2450.0)</f>
        <v>2450</v>
      </c>
      <c r="C1012" s="2">
        <f>IFERROR(__xludf.DUMMYFUNCTION("""COMPUTED_VALUE"""),2470.0)</f>
        <v>2470</v>
      </c>
      <c r="D1012" s="2">
        <f>IFERROR(__xludf.DUMMYFUNCTION("""COMPUTED_VALUE"""),2420.0)</f>
        <v>2420</v>
      </c>
      <c r="E1012" s="2">
        <f>IFERROR(__xludf.DUMMYFUNCTION("""COMPUTED_VALUE"""),2430.0)</f>
        <v>2430</v>
      </c>
      <c r="F1012" s="2">
        <f>IFERROR(__xludf.DUMMYFUNCTION("""COMPUTED_VALUE"""),2.1265E7)</f>
        <v>21265000</v>
      </c>
      <c r="G1012" s="2">
        <f t="shared" si="1"/>
        <v>50</v>
      </c>
    </row>
    <row r="1013" ht="15.75" customHeight="1">
      <c r="A1013" s="1">
        <f>IFERROR(__xludf.DUMMYFUNCTION("""COMPUTED_VALUE"""),45349.66666666667)</f>
        <v>45349.66667</v>
      </c>
      <c r="B1013" s="2">
        <f>IFERROR(__xludf.DUMMYFUNCTION("""COMPUTED_VALUE"""),2420.0)</f>
        <v>2420</v>
      </c>
      <c r="C1013" s="2">
        <f>IFERROR(__xludf.DUMMYFUNCTION("""COMPUTED_VALUE"""),2550.0)</f>
        <v>2550</v>
      </c>
      <c r="D1013" s="2">
        <f>IFERROR(__xludf.DUMMYFUNCTION("""COMPUTED_VALUE"""),2400.0)</f>
        <v>2400</v>
      </c>
      <c r="E1013" s="2">
        <f>IFERROR(__xludf.DUMMYFUNCTION("""COMPUTED_VALUE"""),2510.0)</f>
        <v>2510</v>
      </c>
      <c r="F1013" s="2">
        <f>IFERROR(__xludf.DUMMYFUNCTION("""COMPUTED_VALUE"""),5.32856E7)</f>
        <v>53285600</v>
      </c>
      <c r="G1013" s="2">
        <f t="shared" si="1"/>
        <v>150</v>
      </c>
    </row>
    <row r="1014" ht="15.75" customHeight="1">
      <c r="A1014" s="1">
        <f>IFERROR(__xludf.DUMMYFUNCTION("""COMPUTED_VALUE"""),45350.66666666667)</f>
        <v>45350.66667</v>
      </c>
      <c r="B1014" s="2">
        <f>IFERROR(__xludf.DUMMYFUNCTION("""COMPUTED_VALUE"""),2530.0)</f>
        <v>2530</v>
      </c>
      <c r="C1014" s="2">
        <f>IFERROR(__xludf.DUMMYFUNCTION("""COMPUTED_VALUE"""),2540.0)</f>
        <v>2540</v>
      </c>
      <c r="D1014" s="2">
        <f>IFERROR(__xludf.DUMMYFUNCTION("""COMPUTED_VALUE"""),2470.0)</f>
        <v>2470</v>
      </c>
      <c r="E1014" s="2">
        <f>IFERROR(__xludf.DUMMYFUNCTION("""COMPUTED_VALUE"""),2480.0)</f>
        <v>2480</v>
      </c>
      <c r="F1014" s="2">
        <f>IFERROR(__xludf.DUMMYFUNCTION("""COMPUTED_VALUE"""),2.91855E7)</f>
        <v>29185500</v>
      </c>
      <c r="G1014" s="2">
        <f t="shared" si="1"/>
        <v>70</v>
      </c>
    </row>
    <row r="1015" ht="15.75" customHeight="1">
      <c r="A1015" s="1">
        <f>IFERROR(__xludf.DUMMYFUNCTION("""COMPUTED_VALUE"""),45351.66666666667)</f>
        <v>45351.66667</v>
      </c>
      <c r="B1015" s="2">
        <f>IFERROR(__xludf.DUMMYFUNCTION("""COMPUTED_VALUE"""),2490.0)</f>
        <v>2490</v>
      </c>
      <c r="C1015" s="2">
        <f>IFERROR(__xludf.DUMMYFUNCTION("""COMPUTED_VALUE"""),2520.0)</f>
        <v>2520</v>
      </c>
      <c r="D1015" s="2">
        <f>IFERROR(__xludf.DUMMYFUNCTION("""COMPUTED_VALUE"""),2430.0)</f>
        <v>2430</v>
      </c>
      <c r="E1015" s="2">
        <f>IFERROR(__xludf.DUMMYFUNCTION("""COMPUTED_VALUE"""),2470.0)</f>
        <v>2470</v>
      </c>
      <c r="F1015" s="2">
        <f>IFERROR(__xludf.DUMMYFUNCTION("""COMPUTED_VALUE"""),2.33601E7)</f>
        <v>23360100</v>
      </c>
      <c r="G1015" s="2">
        <f t="shared" si="1"/>
        <v>90</v>
      </c>
    </row>
    <row r="1016" ht="15.75" customHeight="1">
      <c r="A1016" s="1">
        <f>IFERROR(__xludf.DUMMYFUNCTION("""COMPUTED_VALUE"""),45352.66666666667)</f>
        <v>45352.66667</v>
      </c>
      <c r="B1016" s="2">
        <f>IFERROR(__xludf.DUMMYFUNCTION("""COMPUTED_VALUE"""),2470.0)</f>
        <v>2470</v>
      </c>
      <c r="C1016" s="2">
        <f>IFERROR(__xludf.DUMMYFUNCTION("""COMPUTED_VALUE"""),2480.0)</f>
        <v>2480</v>
      </c>
      <c r="D1016" s="2">
        <f>IFERROR(__xludf.DUMMYFUNCTION("""COMPUTED_VALUE"""),2370.0)</f>
        <v>2370</v>
      </c>
      <c r="E1016" s="2">
        <f>IFERROR(__xludf.DUMMYFUNCTION("""COMPUTED_VALUE"""),2420.0)</f>
        <v>2420</v>
      </c>
      <c r="F1016" s="2">
        <f>IFERROR(__xludf.DUMMYFUNCTION("""COMPUTED_VALUE"""),2.77626E7)</f>
        <v>27762600</v>
      </c>
      <c r="G1016" s="2">
        <f t="shared" si="1"/>
        <v>110</v>
      </c>
    </row>
    <row r="1017" ht="15.75" customHeight="1">
      <c r="A1017" s="1">
        <f>IFERROR(__xludf.DUMMYFUNCTION("""COMPUTED_VALUE"""),45355.66666666667)</f>
        <v>45355.66667</v>
      </c>
      <c r="B1017" s="2">
        <f>IFERROR(__xludf.DUMMYFUNCTION("""COMPUTED_VALUE"""),2420.0)</f>
        <v>2420</v>
      </c>
      <c r="C1017" s="2">
        <f>IFERROR(__xludf.DUMMYFUNCTION("""COMPUTED_VALUE"""),2450.0)</f>
        <v>2450</v>
      </c>
      <c r="D1017" s="2">
        <f>IFERROR(__xludf.DUMMYFUNCTION("""COMPUTED_VALUE"""),2380.0)</f>
        <v>2380</v>
      </c>
      <c r="E1017" s="2">
        <f>IFERROR(__xludf.DUMMYFUNCTION("""COMPUTED_VALUE"""),2410.0)</f>
        <v>2410</v>
      </c>
      <c r="F1017" s="2">
        <f>IFERROR(__xludf.DUMMYFUNCTION("""COMPUTED_VALUE"""),2.24116E7)</f>
        <v>22411600</v>
      </c>
      <c r="G1017" s="2">
        <f t="shared" si="1"/>
        <v>70</v>
      </c>
    </row>
    <row r="1018" ht="15.75" customHeight="1">
      <c r="A1018" s="1">
        <f>IFERROR(__xludf.DUMMYFUNCTION("""COMPUTED_VALUE"""),45356.66666666667)</f>
        <v>45356.66667</v>
      </c>
      <c r="B1018" s="2">
        <f>IFERROR(__xludf.DUMMYFUNCTION("""COMPUTED_VALUE"""),2410.0)</f>
        <v>2410</v>
      </c>
      <c r="C1018" s="2">
        <f>IFERROR(__xludf.DUMMYFUNCTION("""COMPUTED_VALUE"""),2450.0)</f>
        <v>2450</v>
      </c>
      <c r="D1018" s="2">
        <f>IFERROR(__xludf.DUMMYFUNCTION("""COMPUTED_VALUE"""),2410.0)</f>
        <v>2410</v>
      </c>
      <c r="E1018" s="2">
        <f>IFERROR(__xludf.DUMMYFUNCTION("""COMPUTED_VALUE"""),2430.0)</f>
        <v>2430</v>
      </c>
      <c r="F1018" s="2">
        <f>IFERROR(__xludf.DUMMYFUNCTION("""COMPUTED_VALUE"""),1.84207E7)</f>
        <v>18420700</v>
      </c>
      <c r="G1018" s="2">
        <f t="shared" si="1"/>
        <v>40</v>
      </c>
    </row>
    <row r="1019" ht="15.75" customHeight="1">
      <c r="A1019" s="1">
        <f>IFERROR(__xludf.DUMMYFUNCTION("""COMPUTED_VALUE"""),45357.66666666667)</f>
        <v>45357.66667</v>
      </c>
      <c r="B1019" s="2">
        <f>IFERROR(__xludf.DUMMYFUNCTION("""COMPUTED_VALUE"""),2430.0)</f>
        <v>2430</v>
      </c>
      <c r="C1019" s="2">
        <f>IFERROR(__xludf.DUMMYFUNCTION("""COMPUTED_VALUE"""),2480.0)</f>
        <v>2480</v>
      </c>
      <c r="D1019" s="2">
        <f>IFERROR(__xludf.DUMMYFUNCTION("""COMPUTED_VALUE"""),2400.0)</f>
        <v>2400</v>
      </c>
      <c r="E1019" s="2">
        <f>IFERROR(__xludf.DUMMYFUNCTION("""COMPUTED_VALUE"""),2470.0)</f>
        <v>2470</v>
      </c>
      <c r="F1019" s="2">
        <f>IFERROR(__xludf.DUMMYFUNCTION("""COMPUTED_VALUE"""),2.52451E7)</f>
        <v>25245100</v>
      </c>
      <c r="G1019" s="2">
        <f t="shared" si="1"/>
        <v>80</v>
      </c>
    </row>
    <row r="1020" ht="15.75" customHeight="1">
      <c r="A1020" s="1">
        <f>IFERROR(__xludf.DUMMYFUNCTION("""COMPUTED_VALUE"""),45358.66666666667)</f>
        <v>45358.66667</v>
      </c>
      <c r="B1020" s="2">
        <f>IFERROR(__xludf.DUMMYFUNCTION("""COMPUTED_VALUE"""),2500.0)</f>
        <v>2500</v>
      </c>
      <c r="C1020" s="2">
        <f>IFERROR(__xludf.DUMMYFUNCTION("""COMPUTED_VALUE"""),2520.0)</f>
        <v>2520</v>
      </c>
      <c r="D1020" s="2">
        <f>IFERROR(__xludf.DUMMYFUNCTION("""COMPUTED_VALUE"""),2470.0)</f>
        <v>2470</v>
      </c>
      <c r="E1020" s="2">
        <f>IFERROR(__xludf.DUMMYFUNCTION("""COMPUTED_VALUE"""),2480.0)</f>
        <v>2480</v>
      </c>
      <c r="F1020" s="2">
        <f>IFERROR(__xludf.DUMMYFUNCTION("""COMPUTED_VALUE"""),3.13958E7)</f>
        <v>31395800</v>
      </c>
      <c r="G1020" s="2">
        <f t="shared" si="1"/>
        <v>50</v>
      </c>
    </row>
    <row r="1021" ht="15.75" customHeight="1">
      <c r="A1021" s="1">
        <f>IFERROR(__xludf.DUMMYFUNCTION("""COMPUTED_VALUE"""),45359.66666666667)</f>
        <v>45359.66667</v>
      </c>
      <c r="B1021" s="2">
        <f>IFERROR(__xludf.DUMMYFUNCTION("""COMPUTED_VALUE"""),2500.0)</f>
        <v>2500</v>
      </c>
      <c r="C1021" s="2">
        <f>IFERROR(__xludf.DUMMYFUNCTION("""COMPUTED_VALUE"""),2620.0)</f>
        <v>2620</v>
      </c>
      <c r="D1021" s="2">
        <f>IFERROR(__xludf.DUMMYFUNCTION("""COMPUTED_VALUE"""),2470.0)</f>
        <v>2470</v>
      </c>
      <c r="E1021" s="2">
        <f>IFERROR(__xludf.DUMMYFUNCTION("""COMPUTED_VALUE"""),2600.0)</f>
        <v>2600</v>
      </c>
      <c r="F1021" s="2">
        <f>IFERROR(__xludf.DUMMYFUNCTION("""COMPUTED_VALUE"""),7.4013E7)</f>
        <v>74013000</v>
      </c>
      <c r="G1021" s="2">
        <f t="shared" si="1"/>
        <v>150</v>
      </c>
    </row>
    <row r="1022" ht="15.75" customHeight="1">
      <c r="A1022" s="1">
        <f>IFERROR(__xludf.DUMMYFUNCTION("""COMPUTED_VALUE"""),45364.66666666667)</f>
        <v>45364.66667</v>
      </c>
      <c r="B1022" s="2">
        <f>IFERROR(__xludf.DUMMYFUNCTION("""COMPUTED_VALUE"""),2610.0)</f>
        <v>2610</v>
      </c>
      <c r="C1022" s="2">
        <f>IFERROR(__xludf.DUMMYFUNCTION("""COMPUTED_VALUE"""),2850.0)</f>
        <v>2850</v>
      </c>
      <c r="D1022" s="2">
        <f>IFERROR(__xludf.DUMMYFUNCTION("""COMPUTED_VALUE"""),2610.0)</f>
        <v>2610</v>
      </c>
      <c r="E1022" s="2">
        <f>IFERROR(__xludf.DUMMYFUNCTION("""COMPUTED_VALUE"""),2850.0)</f>
        <v>2850</v>
      </c>
      <c r="F1022" s="2">
        <f>IFERROR(__xludf.DUMMYFUNCTION("""COMPUTED_VALUE"""),9.87692E7)</f>
        <v>98769200</v>
      </c>
      <c r="G1022" s="2">
        <f t="shared" si="1"/>
        <v>250</v>
      </c>
    </row>
    <row r="1023" ht="15.75" customHeight="1">
      <c r="A1023" s="1">
        <f>IFERROR(__xludf.DUMMYFUNCTION("""COMPUTED_VALUE"""),45365.66666666667)</f>
        <v>45365.66667</v>
      </c>
      <c r="B1023" s="2">
        <f>IFERROR(__xludf.DUMMYFUNCTION("""COMPUTED_VALUE"""),2870.0)</f>
        <v>2870</v>
      </c>
      <c r="C1023" s="2">
        <f>IFERROR(__xludf.DUMMYFUNCTION("""COMPUTED_VALUE"""),2960.0)</f>
        <v>2960</v>
      </c>
      <c r="D1023" s="2">
        <f>IFERROR(__xludf.DUMMYFUNCTION("""COMPUTED_VALUE"""),2680.0)</f>
        <v>2680</v>
      </c>
      <c r="E1023" s="2">
        <f>IFERROR(__xludf.DUMMYFUNCTION("""COMPUTED_VALUE"""),2710.0)</f>
        <v>2710</v>
      </c>
      <c r="F1023" s="2">
        <f>IFERROR(__xludf.DUMMYFUNCTION("""COMPUTED_VALUE"""),1.039467E8)</f>
        <v>103946700</v>
      </c>
      <c r="G1023" s="2">
        <f t="shared" si="1"/>
        <v>280</v>
      </c>
    </row>
    <row r="1024" ht="15.75" customHeight="1">
      <c r="A1024" s="1">
        <f>IFERROR(__xludf.DUMMYFUNCTION("""COMPUTED_VALUE"""),45366.66666666667)</f>
        <v>45366.66667</v>
      </c>
      <c r="B1024" s="2">
        <f>IFERROR(__xludf.DUMMYFUNCTION("""COMPUTED_VALUE"""),2720.0)</f>
        <v>2720</v>
      </c>
      <c r="C1024" s="2">
        <f>IFERROR(__xludf.DUMMYFUNCTION("""COMPUTED_VALUE"""),2780.0)</f>
        <v>2780</v>
      </c>
      <c r="D1024" s="2">
        <f>IFERROR(__xludf.DUMMYFUNCTION("""COMPUTED_VALUE"""),2650.0)</f>
        <v>2650</v>
      </c>
      <c r="E1024" s="2">
        <f>IFERROR(__xludf.DUMMYFUNCTION("""COMPUTED_VALUE"""),2670.0)</f>
        <v>2670</v>
      </c>
      <c r="F1024" s="2">
        <f>IFERROR(__xludf.DUMMYFUNCTION("""COMPUTED_VALUE"""),4.59213E7)</f>
        <v>45921300</v>
      </c>
      <c r="G1024" s="2">
        <f t="shared" si="1"/>
        <v>130</v>
      </c>
    </row>
    <row r="1025" ht="15.75" customHeight="1">
      <c r="A1025" s="1">
        <f>IFERROR(__xludf.DUMMYFUNCTION("""COMPUTED_VALUE"""),45369.66666666667)</f>
        <v>45369.66667</v>
      </c>
      <c r="B1025" s="2">
        <f>IFERROR(__xludf.DUMMYFUNCTION("""COMPUTED_VALUE"""),2670.0)</f>
        <v>2670</v>
      </c>
      <c r="C1025" s="2">
        <f>IFERROR(__xludf.DUMMYFUNCTION("""COMPUTED_VALUE"""),2700.0)</f>
        <v>2700</v>
      </c>
      <c r="D1025" s="2">
        <f>IFERROR(__xludf.DUMMYFUNCTION("""COMPUTED_VALUE"""),2610.0)</f>
        <v>2610</v>
      </c>
      <c r="E1025" s="2">
        <f>IFERROR(__xludf.DUMMYFUNCTION("""COMPUTED_VALUE"""),2640.0)</f>
        <v>2640</v>
      </c>
      <c r="F1025" s="2">
        <f>IFERROR(__xludf.DUMMYFUNCTION("""COMPUTED_VALUE"""),4.28838E7)</f>
        <v>42883800</v>
      </c>
      <c r="G1025" s="2">
        <f t="shared" si="1"/>
        <v>90</v>
      </c>
    </row>
    <row r="1026" ht="15.75" customHeight="1">
      <c r="A1026" s="1">
        <f>IFERROR(__xludf.DUMMYFUNCTION("""COMPUTED_VALUE"""),45370.66666666667)</f>
        <v>45370.66667</v>
      </c>
      <c r="B1026" s="2">
        <f>IFERROR(__xludf.DUMMYFUNCTION("""COMPUTED_VALUE"""),2650.0)</f>
        <v>2650</v>
      </c>
      <c r="C1026" s="2">
        <f>IFERROR(__xludf.DUMMYFUNCTION("""COMPUTED_VALUE"""),2730.0)</f>
        <v>2730</v>
      </c>
      <c r="D1026" s="2">
        <f>IFERROR(__xludf.DUMMYFUNCTION("""COMPUTED_VALUE"""),2640.0)</f>
        <v>2640</v>
      </c>
      <c r="E1026" s="2">
        <f>IFERROR(__xludf.DUMMYFUNCTION("""COMPUTED_VALUE"""),2660.0)</f>
        <v>2660</v>
      </c>
      <c r="F1026" s="2">
        <f>IFERROR(__xludf.DUMMYFUNCTION("""COMPUTED_VALUE"""),5.70885E7)</f>
        <v>57088500</v>
      </c>
      <c r="G1026" s="2">
        <f t="shared" si="1"/>
        <v>90</v>
      </c>
    </row>
    <row r="1027" ht="15.75" customHeight="1">
      <c r="A1027" s="1">
        <f>IFERROR(__xludf.DUMMYFUNCTION("""COMPUTED_VALUE"""),45371.66666666667)</f>
        <v>45371.66667</v>
      </c>
      <c r="B1027" s="2">
        <f>IFERROR(__xludf.DUMMYFUNCTION("""COMPUTED_VALUE"""),2690.0)</f>
        <v>2690</v>
      </c>
      <c r="C1027" s="2">
        <f>IFERROR(__xludf.DUMMYFUNCTION("""COMPUTED_VALUE"""),2720.0)</f>
        <v>2720</v>
      </c>
      <c r="D1027" s="2">
        <f>IFERROR(__xludf.DUMMYFUNCTION("""COMPUTED_VALUE"""),2640.0)</f>
        <v>2640</v>
      </c>
      <c r="E1027" s="2">
        <f>IFERROR(__xludf.DUMMYFUNCTION("""COMPUTED_VALUE"""),2660.0)</f>
        <v>2660</v>
      </c>
      <c r="F1027" s="2">
        <f>IFERROR(__xludf.DUMMYFUNCTION("""COMPUTED_VALUE"""),2.32017E7)</f>
        <v>23201700</v>
      </c>
      <c r="G1027" s="2">
        <f t="shared" si="1"/>
        <v>80</v>
      </c>
    </row>
    <row r="1028" ht="15.75" customHeight="1">
      <c r="A1028" s="1">
        <f>IFERROR(__xludf.DUMMYFUNCTION("""COMPUTED_VALUE"""),45372.66666666667)</f>
        <v>45372.66667</v>
      </c>
      <c r="B1028" s="2">
        <f>IFERROR(__xludf.DUMMYFUNCTION("""COMPUTED_VALUE"""),2690.0)</f>
        <v>2690</v>
      </c>
      <c r="C1028" s="2">
        <f>IFERROR(__xludf.DUMMYFUNCTION("""COMPUTED_VALUE"""),2720.0)</f>
        <v>2720</v>
      </c>
      <c r="D1028" s="2">
        <f>IFERROR(__xludf.DUMMYFUNCTION("""COMPUTED_VALUE"""),2660.0)</f>
        <v>2660</v>
      </c>
      <c r="E1028" s="2">
        <f>IFERROR(__xludf.DUMMYFUNCTION("""COMPUTED_VALUE"""),2680.0)</f>
        <v>2680</v>
      </c>
      <c r="F1028" s="2">
        <f>IFERROR(__xludf.DUMMYFUNCTION("""COMPUTED_VALUE"""),2.19061E7)</f>
        <v>21906100</v>
      </c>
      <c r="G1028" s="2">
        <f t="shared" si="1"/>
        <v>60</v>
      </c>
    </row>
    <row r="1029" ht="15.75" customHeight="1">
      <c r="A1029" s="1">
        <f>IFERROR(__xludf.DUMMYFUNCTION("""COMPUTED_VALUE"""),45373.66666666667)</f>
        <v>45373.66667</v>
      </c>
      <c r="B1029" s="2">
        <f>IFERROR(__xludf.DUMMYFUNCTION("""COMPUTED_VALUE"""),2680.0)</f>
        <v>2680</v>
      </c>
      <c r="C1029" s="2">
        <f>IFERROR(__xludf.DUMMYFUNCTION("""COMPUTED_VALUE"""),2680.0)</f>
        <v>2680</v>
      </c>
      <c r="D1029" s="2">
        <f>IFERROR(__xludf.DUMMYFUNCTION("""COMPUTED_VALUE"""),2620.0)</f>
        <v>2620</v>
      </c>
      <c r="E1029" s="2">
        <f>IFERROR(__xludf.DUMMYFUNCTION("""COMPUTED_VALUE"""),2630.0)</f>
        <v>2630</v>
      </c>
      <c r="F1029" s="2">
        <f>IFERROR(__xludf.DUMMYFUNCTION("""COMPUTED_VALUE"""),2.07279E7)</f>
        <v>20727900</v>
      </c>
      <c r="G1029" s="2">
        <f t="shared" si="1"/>
        <v>60</v>
      </c>
    </row>
    <row r="1030" ht="15.75" customHeight="1">
      <c r="A1030" s="1">
        <f>IFERROR(__xludf.DUMMYFUNCTION("""COMPUTED_VALUE"""),45376.66666666667)</f>
        <v>45376.66667</v>
      </c>
      <c r="B1030" s="2">
        <f>IFERROR(__xludf.DUMMYFUNCTION("""COMPUTED_VALUE"""),2680.0)</f>
        <v>2680</v>
      </c>
      <c r="C1030" s="2">
        <f>IFERROR(__xludf.DUMMYFUNCTION("""COMPUTED_VALUE"""),2680.0)</f>
        <v>2680</v>
      </c>
      <c r="D1030" s="2">
        <f>IFERROR(__xludf.DUMMYFUNCTION("""COMPUTED_VALUE"""),2630.0)</f>
        <v>2630</v>
      </c>
      <c r="E1030" s="2">
        <f>IFERROR(__xludf.DUMMYFUNCTION("""COMPUTED_VALUE"""),2660.0)</f>
        <v>2660</v>
      </c>
      <c r="F1030" s="2">
        <f>IFERROR(__xludf.DUMMYFUNCTION("""COMPUTED_VALUE"""),2.64424E7)</f>
        <v>26442400</v>
      </c>
      <c r="G1030" s="2">
        <f t="shared" si="1"/>
        <v>50</v>
      </c>
    </row>
    <row r="1031" ht="15.75" customHeight="1">
      <c r="A1031" s="1">
        <f>IFERROR(__xludf.DUMMYFUNCTION("""COMPUTED_VALUE"""),45377.66666666667)</f>
        <v>45377.66667</v>
      </c>
      <c r="B1031" s="2">
        <f>IFERROR(__xludf.DUMMYFUNCTION("""COMPUTED_VALUE"""),2680.0)</f>
        <v>2680</v>
      </c>
      <c r="C1031" s="2">
        <f>IFERROR(__xludf.DUMMYFUNCTION("""COMPUTED_VALUE"""),2680.0)</f>
        <v>2680</v>
      </c>
      <c r="D1031" s="2">
        <f>IFERROR(__xludf.DUMMYFUNCTION("""COMPUTED_VALUE"""),2630.0)</f>
        <v>2630</v>
      </c>
      <c r="E1031" s="2">
        <f>IFERROR(__xludf.DUMMYFUNCTION("""COMPUTED_VALUE"""),2680.0)</f>
        <v>2680</v>
      </c>
      <c r="F1031" s="2">
        <f>IFERROR(__xludf.DUMMYFUNCTION("""COMPUTED_VALUE"""),1.97941E7)</f>
        <v>19794100</v>
      </c>
      <c r="G1031" s="2">
        <f t="shared" si="1"/>
        <v>50</v>
      </c>
    </row>
    <row r="1032" ht="15.75" customHeight="1">
      <c r="A1032" s="1">
        <f>IFERROR(__xludf.DUMMYFUNCTION("""COMPUTED_VALUE"""),45378.66666666667)</f>
        <v>45378.66667</v>
      </c>
      <c r="B1032" s="2">
        <f>IFERROR(__xludf.DUMMYFUNCTION("""COMPUTED_VALUE"""),2690.0)</f>
        <v>2690</v>
      </c>
      <c r="C1032" s="2">
        <f>IFERROR(__xludf.DUMMYFUNCTION("""COMPUTED_VALUE"""),2760.0)</f>
        <v>2760</v>
      </c>
      <c r="D1032" s="2">
        <f>IFERROR(__xludf.DUMMYFUNCTION("""COMPUTED_VALUE"""),2670.0)</f>
        <v>2670</v>
      </c>
      <c r="E1032" s="2">
        <f>IFERROR(__xludf.DUMMYFUNCTION("""COMPUTED_VALUE"""),2720.0)</f>
        <v>2720</v>
      </c>
      <c r="F1032" s="2">
        <f>IFERROR(__xludf.DUMMYFUNCTION("""COMPUTED_VALUE"""),5.63421E7)</f>
        <v>56342100</v>
      </c>
      <c r="G1032" s="2">
        <f t="shared" si="1"/>
        <v>90</v>
      </c>
    </row>
    <row r="1033" ht="15.75" customHeight="1">
      <c r="A1033" s="1">
        <f>IFERROR(__xludf.DUMMYFUNCTION("""COMPUTED_VALUE"""),45379.66666666667)</f>
        <v>45379.66667</v>
      </c>
      <c r="B1033" s="2">
        <f>IFERROR(__xludf.DUMMYFUNCTION("""COMPUTED_VALUE"""),2740.0)</f>
        <v>2740</v>
      </c>
      <c r="C1033" s="2">
        <f>IFERROR(__xludf.DUMMYFUNCTION("""COMPUTED_VALUE"""),2750.0)</f>
        <v>2750</v>
      </c>
      <c r="D1033" s="2">
        <f>IFERROR(__xludf.DUMMYFUNCTION("""COMPUTED_VALUE"""),2670.0)</f>
        <v>2670</v>
      </c>
      <c r="E1033" s="2">
        <f>IFERROR(__xludf.DUMMYFUNCTION("""COMPUTED_VALUE"""),2710.0)</f>
        <v>2710</v>
      </c>
      <c r="F1033" s="2">
        <f>IFERROR(__xludf.DUMMYFUNCTION("""COMPUTED_VALUE"""),2.09681E7)</f>
        <v>20968100</v>
      </c>
      <c r="G1033" s="2">
        <f t="shared" si="1"/>
        <v>80</v>
      </c>
    </row>
    <row r="1034" ht="15.75" customHeight="1">
      <c r="A1034" s="1">
        <f>IFERROR(__xludf.DUMMYFUNCTION("""COMPUTED_VALUE"""),45383.66666666667)</f>
        <v>45383.66667</v>
      </c>
      <c r="B1034" s="2">
        <f>IFERROR(__xludf.DUMMYFUNCTION("""COMPUTED_VALUE"""),2710.0)</f>
        <v>2710</v>
      </c>
      <c r="C1034" s="2">
        <f>IFERROR(__xludf.DUMMYFUNCTION("""COMPUTED_VALUE"""),2720.0)</f>
        <v>2720</v>
      </c>
      <c r="D1034" s="2">
        <f>IFERROR(__xludf.DUMMYFUNCTION("""COMPUTED_VALUE"""),2440.0)</f>
        <v>2440</v>
      </c>
      <c r="E1034" s="2">
        <f>IFERROR(__xludf.DUMMYFUNCTION("""COMPUTED_VALUE"""),2550.0)</f>
        <v>2550</v>
      </c>
      <c r="F1034" s="2">
        <f>IFERROR(__xludf.DUMMYFUNCTION("""COMPUTED_VALUE"""),9.82653E7)</f>
        <v>98265300</v>
      </c>
      <c r="G1034" s="2">
        <f t="shared" si="1"/>
        <v>280</v>
      </c>
    </row>
    <row r="1035" ht="15.75" customHeight="1">
      <c r="A1035" s="1">
        <f>IFERROR(__xludf.DUMMYFUNCTION("""COMPUTED_VALUE"""),45384.66666666667)</f>
        <v>45384.66667</v>
      </c>
      <c r="B1035" s="2">
        <f>IFERROR(__xludf.DUMMYFUNCTION("""COMPUTED_VALUE"""),2550.0)</f>
        <v>2550</v>
      </c>
      <c r="C1035" s="2">
        <f>IFERROR(__xludf.DUMMYFUNCTION("""COMPUTED_VALUE"""),2700.0)</f>
        <v>2700</v>
      </c>
      <c r="D1035" s="2">
        <f>IFERROR(__xludf.DUMMYFUNCTION("""COMPUTED_VALUE"""),2510.0)</f>
        <v>2510</v>
      </c>
      <c r="E1035" s="2">
        <f>IFERROR(__xludf.DUMMYFUNCTION("""COMPUTED_VALUE"""),2690.0)</f>
        <v>2690</v>
      </c>
      <c r="F1035" s="2">
        <f>IFERROR(__xludf.DUMMYFUNCTION("""COMPUTED_VALUE"""),6.88968E7)</f>
        <v>68896800</v>
      </c>
      <c r="G1035" s="2">
        <f t="shared" si="1"/>
        <v>190</v>
      </c>
    </row>
    <row r="1036" ht="15.75" customHeight="1">
      <c r="A1036" s="1">
        <f>IFERROR(__xludf.DUMMYFUNCTION("""COMPUTED_VALUE"""),45385.66666666667)</f>
        <v>45385.66667</v>
      </c>
      <c r="B1036" s="2">
        <f>IFERROR(__xludf.DUMMYFUNCTION("""COMPUTED_VALUE"""),2690.0)</f>
        <v>2690</v>
      </c>
      <c r="C1036" s="2">
        <f>IFERROR(__xludf.DUMMYFUNCTION("""COMPUTED_VALUE"""),2690.0)</f>
        <v>2690</v>
      </c>
      <c r="D1036" s="2">
        <f>IFERROR(__xludf.DUMMYFUNCTION("""COMPUTED_VALUE"""),2590.0)</f>
        <v>2590</v>
      </c>
      <c r="E1036" s="2">
        <f>IFERROR(__xludf.DUMMYFUNCTION("""COMPUTED_VALUE"""),2640.0)</f>
        <v>2640</v>
      </c>
      <c r="F1036" s="2">
        <f>IFERROR(__xludf.DUMMYFUNCTION("""COMPUTED_VALUE"""),2.4102E7)</f>
        <v>24102000</v>
      </c>
      <c r="G1036" s="2">
        <f t="shared" si="1"/>
        <v>100</v>
      </c>
    </row>
    <row r="1037" ht="15.75" customHeight="1">
      <c r="A1037" s="1">
        <f>IFERROR(__xludf.DUMMYFUNCTION("""COMPUTED_VALUE"""),45386.66666666667)</f>
        <v>45386.66667</v>
      </c>
      <c r="B1037" s="2">
        <f>IFERROR(__xludf.DUMMYFUNCTION("""COMPUTED_VALUE"""),2660.0)</f>
        <v>2660</v>
      </c>
      <c r="C1037" s="2">
        <f>IFERROR(__xludf.DUMMYFUNCTION("""COMPUTED_VALUE"""),2740.0)</f>
        <v>2740</v>
      </c>
      <c r="D1037" s="2">
        <f>IFERROR(__xludf.DUMMYFUNCTION("""COMPUTED_VALUE"""),2650.0)</f>
        <v>2650</v>
      </c>
      <c r="E1037" s="2">
        <f>IFERROR(__xludf.DUMMYFUNCTION("""COMPUTED_VALUE"""),2730.0)</f>
        <v>2730</v>
      </c>
      <c r="F1037" s="2">
        <f>IFERROR(__xludf.DUMMYFUNCTION("""COMPUTED_VALUE"""),3.50173E7)</f>
        <v>35017300</v>
      </c>
      <c r="G1037" s="2">
        <f t="shared" si="1"/>
        <v>100</v>
      </c>
    </row>
    <row r="1038" ht="15.75" customHeight="1">
      <c r="A1038" s="1">
        <f>IFERROR(__xludf.DUMMYFUNCTION("""COMPUTED_VALUE"""),45387.66666666667)</f>
        <v>45387.66667</v>
      </c>
      <c r="B1038" s="2">
        <f>IFERROR(__xludf.DUMMYFUNCTION("""COMPUTED_VALUE"""),2730.0)</f>
        <v>2730</v>
      </c>
      <c r="C1038" s="2">
        <f>IFERROR(__xludf.DUMMYFUNCTION("""COMPUTED_VALUE"""),2750.0)</f>
        <v>2750</v>
      </c>
      <c r="D1038" s="2">
        <f>IFERROR(__xludf.DUMMYFUNCTION("""COMPUTED_VALUE"""),2690.0)</f>
        <v>2690</v>
      </c>
      <c r="E1038" s="2">
        <f>IFERROR(__xludf.DUMMYFUNCTION("""COMPUTED_VALUE"""),2700.0)</f>
        <v>2700</v>
      </c>
      <c r="F1038" s="2">
        <f>IFERROR(__xludf.DUMMYFUNCTION("""COMPUTED_VALUE"""),1.33709E7)</f>
        <v>13370900</v>
      </c>
      <c r="G1038" s="2">
        <f t="shared" si="1"/>
        <v>60</v>
      </c>
    </row>
    <row r="1039" ht="15.75" customHeight="1">
      <c r="A1039" s="1">
        <f>IFERROR(__xludf.DUMMYFUNCTION("""COMPUTED_VALUE"""),45398.66666666667)</f>
        <v>45398.66667</v>
      </c>
      <c r="B1039" s="2">
        <f>IFERROR(__xludf.DUMMYFUNCTION("""COMPUTED_VALUE"""),2590.0)</f>
        <v>2590</v>
      </c>
      <c r="C1039" s="2">
        <f>IFERROR(__xludf.DUMMYFUNCTION("""COMPUTED_VALUE"""),2640.0)</f>
        <v>2640</v>
      </c>
      <c r="D1039" s="2">
        <f>IFERROR(__xludf.DUMMYFUNCTION("""COMPUTED_VALUE"""),2520.0)</f>
        <v>2520</v>
      </c>
      <c r="E1039" s="2">
        <f>IFERROR(__xludf.DUMMYFUNCTION("""COMPUTED_VALUE"""),2550.0)</f>
        <v>2550</v>
      </c>
      <c r="F1039" s="2">
        <f>IFERROR(__xludf.DUMMYFUNCTION("""COMPUTED_VALUE"""),3.92447E7)</f>
        <v>39244700</v>
      </c>
      <c r="G1039" s="2">
        <f t="shared" si="1"/>
        <v>180</v>
      </c>
    </row>
    <row r="1040" ht="15.75" customHeight="1">
      <c r="A1040" s="1">
        <f>IFERROR(__xludf.DUMMYFUNCTION("""COMPUTED_VALUE"""),45399.66666666667)</f>
        <v>45399.66667</v>
      </c>
      <c r="B1040" s="2">
        <f>IFERROR(__xludf.DUMMYFUNCTION("""COMPUTED_VALUE"""),2570.0)</f>
        <v>2570</v>
      </c>
      <c r="C1040" s="2">
        <f>IFERROR(__xludf.DUMMYFUNCTION("""COMPUTED_VALUE"""),2600.0)</f>
        <v>2600</v>
      </c>
      <c r="D1040" s="2">
        <f>IFERROR(__xludf.DUMMYFUNCTION("""COMPUTED_VALUE"""),2460.0)</f>
        <v>2460</v>
      </c>
      <c r="E1040" s="2">
        <f>IFERROR(__xludf.DUMMYFUNCTION("""COMPUTED_VALUE"""),2480.0)</f>
        <v>2480</v>
      </c>
      <c r="F1040" s="2">
        <f>IFERROR(__xludf.DUMMYFUNCTION("""COMPUTED_VALUE"""),3.52465E7)</f>
        <v>35246500</v>
      </c>
      <c r="G1040" s="2">
        <f t="shared" si="1"/>
        <v>140</v>
      </c>
    </row>
    <row r="1041" ht="15.75" customHeight="1">
      <c r="A1041" s="1">
        <f>IFERROR(__xludf.DUMMYFUNCTION("""COMPUTED_VALUE"""),45400.66666666667)</f>
        <v>45400.66667</v>
      </c>
      <c r="B1041" s="2">
        <f>IFERROR(__xludf.DUMMYFUNCTION("""COMPUTED_VALUE"""),2510.0)</f>
        <v>2510</v>
      </c>
      <c r="C1041" s="2">
        <f>IFERROR(__xludf.DUMMYFUNCTION("""COMPUTED_VALUE"""),2620.0)</f>
        <v>2620</v>
      </c>
      <c r="D1041" s="2">
        <f>IFERROR(__xludf.DUMMYFUNCTION("""COMPUTED_VALUE"""),2510.0)</f>
        <v>2510</v>
      </c>
      <c r="E1041" s="2">
        <f>IFERROR(__xludf.DUMMYFUNCTION("""COMPUTED_VALUE"""),2600.0)</f>
        <v>2600</v>
      </c>
      <c r="F1041" s="2">
        <f>IFERROR(__xludf.DUMMYFUNCTION("""COMPUTED_VALUE"""),6.07076E7)</f>
        <v>60707600</v>
      </c>
      <c r="G1041" s="2">
        <f t="shared" si="1"/>
        <v>140</v>
      </c>
    </row>
    <row r="1042" ht="15.75" customHeight="1">
      <c r="A1042" s="1">
        <f>IFERROR(__xludf.DUMMYFUNCTION("""COMPUTED_VALUE"""),45401.66666666667)</f>
        <v>45401.66667</v>
      </c>
      <c r="B1042" s="2">
        <f>IFERROR(__xludf.DUMMYFUNCTION("""COMPUTED_VALUE"""),2560.0)</f>
        <v>2560</v>
      </c>
      <c r="C1042" s="2">
        <f>IFERROR(__xludf.DUMMYFUNCTION("""COMPUTED_VALUE"""),2570.0)</f>
        <v>2570</v>
      </c>
      <c r="D1042" s="2">
        <f>IFERROR(__xludf.DUMMYFUNCTION("""COMPUTED_VALUE"""),2470.0)</f>
        <v>2470</v>
      </c>
      <c r="E1042" s="2">
        <f>IFERROR(__xludf.DUMMYFUNCTION("""COMPUTED_VALUE"""),2540.0)</f>
        <v>2540</v>
      </c>
      <c r="F1042" s="2">
        <f>IFERROR(__xludf.DUMMYFUNCTION("""COMPUTED_VALUE"""),4.36489E7)</f>
        <v>43648900</v>
      </c>
      <c r="G1042" s="2">
        <f t="shared" si="1"/>
        <v>130</v>
      </c>
    </row>
    <row r="1043" ht="15.75" customHeight="1">
      <c r="A1043" s="1">
        <f>IFERROR(__xludf.DUMMYFUNCTION("""COMPUTED_VALUE"""),45404.66666666667)</f>
        <v>45404.66667</v>
      </c>
      <c r="B1043" s="2">
        <f>IFERROR(__xludf.DUMMYFUNCTION("""COMPUTED_VALUE"""),2540.0)</f>
        <v>2540</v>
      </c>
      <c r="C1043" s="2">
        <f>IFERROR(__xludf.DUMMYFUNCTION("""COMPUTED_VALUE"""),2560.0)</f>
        <v>2560</v>
      </c>
      <c r="D1043" s="2">
        <f>IFERROR(__xludf.DUMMYFUNCTION("""COMPUTED_VALUE"""),2480.0)</f>
        <v>2480</v>
      </c>
      <c r="E1043" s="2">
        <f>IFERROR(__xludf.DUMMYFUNCTION("""COMPUTED_VALUE"""),2540.0)</f>
        <v>2540</v>
      </c>
      <c r="F1043" s="2">
        <f>IFERROR(__xludf.DUMMYFUNCTION("""COMPUTED_VALUE"""),3.30081E7)</f>
        <v>33008100</v>
      </c>
      <c r="G1043" s="2">
        <f t="shared" si="1"/>
        <v>80</v>
      </c>
    </row>
    <row r="1044" ht="15.75" customHeight="1">
      <c r="A1044" s="1">
        <f>IFERROR(__xludf.DUMMYFUNCTION("""COMPUTED_VALUE"""),45405.66666666667)</f>
        <v>45405.66667</v>
      </c>
      <c r="B1044" s="2">
        <f>IFERROR(__xludf.DUMMYFUNCTION("""COMPUTED_VALUE"""),2550.0)</f>
        <v>2550</v>
      </c>
      <c r="C1044" s="2">
        <f>IFERROR(__xludf.DUMMYFUNCTION("""COMPUTED_VALUE"""),2630.0)</f>
        <v>2630</v>
      </c>
      <c r="D1044" s="2">
        <f>IFERROR(__xludf.DUMMYFUNCTION("""COMPUTED_VALUE"""),2530.0)</f>
        <v>2530</v>
      </c>
      <c r="E1044" s="2">
        <f>IFERROR(__xludf.DUMMYFUNCTION("""COMPUTED_VALUE"""),2600.0)</f>
        <v>2600</v>
      </c>
      <c r="F1044" s="2">
        <f>IFERROR(__xludf.DUMMYFUNCTION("""COMPUTED_VALUE"""),3.92829E7)</f>
        <v>39282900</v>
      </c>
      <c r="G1044" s="2">
        <f t="shared" si="1"/>
        <v>100</v>
      </c>
    </row>
    <row r="1045" ht="15.75" customHeight="1">
      <c r="A1045" s="1">
        <f>IFERROR(__xludf.DUMMYFUNCTION("""COMPUTED_VALUE"""),45406.66666666667)</f>
        <v>45406.66667</v>
      </c>
      <c r="B1045" s="2">
        <f>IFERROR(__xludf.DUMMYFUNCTION("""COMPUTED_VALUE"""),2620.0)</f>
        <v>2620</v>
      </c>
      <c r="C1045" s="2">
        <f>IFERROR(__xludf.DUMMYFUNCTION("""COMPUTED_VALUE"""),2670.0)</f>
        <v>2670</v>
      </c>
      <c r="D1045" s="2">
        <f>IFERROR(__xludf.DUMMYFUNCTION("""COMPUTED_VALUE"""),2600.0)</f>
        <v>2600</v>
      </c>
      <c r="E1045" s="2">
        <f>IFERROR(__xludf.DUMMYFUNCTION("""COMPUTED_VALUE"""),2640.0)</f>
        <v>2640</v>
      </c>
      <c r="F1045" s="2">
        <f>IFERROR(__xludf.DUMMYFUNCTION("""COMPUTED_VALUE"""),3.30882E7)</f>
        <v>33088200</v>
      </c>
      <c r="G1045" s="2">
        <f t="shared" si="1"/>
        <v>70</v>
      </c>
    </row>
    <row r="1046" ht="15.75" customHeight="1">
      <c r="A1046" s="1">
        <f>IFERROR(__xludf.DUMMYFUNCTION("""COMPUTED_VALUE"""),45407.66666666667)</f>
        <v>45407.66667</v>
      </c>
      <c r="B1046" s="2">
        <f>IFERROR(__xludf.DUMMYFUNCTION("""COMPUTED_VALUE"""),2640.0)</f>
        <v>2640</v>
      </c>
      <c r="C1046" s="2">
        <f>IFERROR(__xludf.DUMMYFUNCTION("""COMPUTED_VALUE"""),2650.0)</f>
        <v>2650</v>
      </c>
      <c r="D1046" s="2">
        <f>IFERROR(__xludf.DUMMYFUNCTION("""COMPUTED_VALUE"""),2580.0)</f>
        <v>2580</v>
      </c>
      <c r="E1046" s="2">
        <f>IFERROR(__xludf.DUMMYFUNCTION("""COMPUTED_VALUE"""),2580.0)</f>
        <v>2580</v>
      </c>
      <c r="F1046" s="2">
        <f>IFERROR(__xludf.DUMMYFUNCTION("""COMPUTED_VALUE"""),1.53288E7)</f>
        <v>15328800</v>
      </c>
      <c r="G1046" s="2">
        <f t="shared" si="1"/>
        <v>70</v>
      </c>
    </row>
    <row r="1047" ht="15.75" customHeight="1">
      <c r="A1047" s="1">
        <f>IFERROR(__xludf.DUMMYFUNCTION("""COMPUTED_VALUE"""),45408.66666666667)</f>
        <v>45408.66667</v>
      </c>
      <c r="B1047" s="2">
        <f>IFERROR(__xludf.DUMMYFUNCTION("""COMPUTED_VALUE"""),2580.0)</f>
        <v>2580</v>
      </c>
      <c r="C1047" s="2">
        <f>IFERROR(__xludf.DUMMYFUNCTION("""COMPUTED_VALUE"""),2600.0)</f>
        <v>2600</v>
      </c>
      <c r="D1047" s="2">
        <f>IFERROR(__xludf.DUMMYFUNCTION("""COMPUTED_VALUE"""),2470.0)</f>
        <v>2470</v>
      </c>
      <c r="E1047" s="2">
        <f>IFERROR(__xludf.DUMMYFUNCTION("""COMPUTED_VALUE"""),2470.0)</f>
        <v>2470</v>
      </c>
      <c r="F1047" s="2">
        <f>IFERROR(__xludf.DUMMYFUNCTION("""COMPUTED_VALUE"""),3.44908E7)</f>
        <v>34490800</v>
      </c>
      <c r="G1047" s="2">
        <f t="shared" si="1"/>
        <v>130</v>
      </c>
    </row>
    <row r="1048" ht="15.75" customHeight="1">
      <c r="A1048" s="1">
        <f>IFERROR(__xludf.DUMMYFUNCTION("""COMPUTED_VALUE"""),45411.66666666667)</f>
        <v>45411.66667</v>
      </c>
      <c r="B1048" s="2">
        <f>IFERROR(__xludf.DUMMYFUNCTION("""COMPUTED_VALUE"""),2480.0)</f>
        <v>2480</v>
      </c>
      <c r="C1048" s="2">
        <f>IFERROR(__xludf.DUMMYFUNCTION("""COMPUTED_VALUE"""),2530.0)</f>
        <v>2530</v>
      </c>
      <c r="D1048" s="2">
        <f>IFERROR(__xludf.DUMMYFUNCTION("""COMPUTED_VALUE"""),2460.0)</f>
        <v>2460</v>
      </c>
      <c r="E1048" s="2">
        <f>IFERROR(__xludf.DUMMYFUNCTION("""COMPUTED_VALUE"""),2510.0)</f>
        <v>2510</v>
      </c>
      <c r="F1048" s="2">
        <f>IFERROR(__xludf.DUMMYFUNCTION("""COMPUTED_VALUE"""),2.35657E7)</f>
        <v>23565700</v>
      </c>
      <c r="G1048" s="2">
        <f t="shared" si="1"/>
        <v>70</v>
      </c>
    </row>
    <row r="1049" ht="15.75" customHeight="1">
      <c r="A1049" s="1">
        <f>IFERROR(__xludf.DUMMYFUNCTION("""COMPUTED_VALUE"""),45412.66666666667)</f>
        <v>45412.66667</v>
      </c>
      <c r="B1049" s="2">
        <f>IFERROR(__xludf.DUMMYFUNCTION("""COMPUTED_VALUE"""),2520.0)</f>
        <v>2520</v>
      </c>
      <c r="C1049" s="2">
        <f>IFERROR(__xludf.DUMMYFUNCTION("""COMPUTED_VALUE"""),2640.0)</f>
        <v>2640</v>
      </c>
      <c r="D1049" s="2">
        <f>IFERROR(__xludf.DUMMYFUNCTION("""COMPUTED_VALUE"""),2520.0)</f>
        <v>2520</v>
      </c>
      <c r="E1049" s="2">
        <f>IFERROR(__xludf.DUMMYFUNCTION("""COMPUTED_VALUE"""),2640.0)</f>
        <v>2640</v>
      </c>
      <c r="F1049" s="2">
        <f>IFERROR(__xludf.DUMMYFUNCTION("""COMPUTED_VALUE"""),3.77942E7)</f>
        <v>37794200</v>
      </c>
      <c r="G1049" s="2">
        <f t="shared" si="1"/>
        <v>130</v>
      </c>
    </row>
    <row r="1050" ht="15.75" customHeight="1">
      <c r="A1050" s="1">
        <f>IFERROR(__xludf.DUMMYFUNCTION("""COMPUTED_VALUE"""),45414.66666666667)</f>
        <v>45414.66667</v>
      </c>
      <c r="B1050" s="2">
        <f>IFERROR(__xludf.DUMMYFUNCTION("""COMPUTED_VALUE"""),2640.0)</f>
        <v>2640</v>
      </c>
      <c r="C1050" s="2">
        <f>IFERROR(__xludf.DUMMYFUNCTION("""COMPUTED_VALUE"""),2640.0)</f>
        <v>2640</v>
      </c>
      <c r="D1050" s="2">
        <f>IFERROR(__xludf.DUMMYFUNCTION("""COMPUTED_VALUE"""),2510.0)</f>
        <v>2510</v>
      </c>
      <c r="E1050" s="2">
        <f>IFERROR(__xludf.DUMMYFUNCTION("""COMPUTED_VALUE"""),2540.0)</f>
        <v>2540</v>
      </c>
      <c r="F1050" s="2">
        <f>IFERROR(__xludf.DUMMYFUNCTION("""COMPUTED_VALUE"""),3.37037E7)</f>
        <v>33703700</v>
      </c>
      <c r="G1050" s="2">
        <f t="shared" si="1"/>
        <v>130</v>
      </c>
    </row>
    <row r="1051" ht="15.75" customHeight="1">
      <c r="A1051" s="1">
        <f>IFERROR(__xludf.DUMMYFUNCTION("""COMPUTED_VALUE"""),45415.66666666667)</f>
        <v>45415.66667</v>
      </c>
      <c r="B1051" s="2">
        <f>IFERROR(__xludf.DUMMYFUNCTION("""COMPUTED_VALUE"""),2550.0)</f>
        <v>2550</v>
      </c>
      <c r="C1051" s="2">
        <f>IFERROR(__xludf.DUMMYFUNCTION("""COMPUTED_VALUE"""),2650.0)</f>
        <v>2650</v>
      </c>
      <c r="D1051" s="2">
        <f>IFERROR(__xludf.DUMMYFUNCTION("""COMPUTED_VALUE"""),2520.0)</f>
        <v>2520</v>
      </c>
      <c r="E1051" s="2">
        <f>IFERROR(__xludf.DUMMYFUNCTION("""COMPUTED_VALUE"""),2630.0)</f>
        <v>2630</v>
      </c>
      <c r="F1051" s="2">
        <f>IFERROR(__xludf.DUMMYFUNCTION("""COMPUTED_VALUE"""),3.44757E7)</f>
        <v>34475700</v>
      </c>
      <c r="G1051" s="2">
        <f t="shared" si="1"/>
        <v>130</v>
      </c>
    </row>
    <row r="1052" ht="15.75" customHeight="1">
      <c r="A1052" s="1">
        <f>IFERROR(__xludf.DUMMYFUNCTION("""COMPUTED_VALUE"""),45418.66666666667)</f>
        <v>45418.66667</v>
      </c>
      <c r="B1052" s="2">
        <f>IFERROR(__xludf.DUMMYFUNCTION("""COMPUTED_VALUE"""),2670.0)</f>
        <v>2670</v>
      </c>
      <c r="C1052" s="2">
        <f>IFERROR(__xludf.DUMMYFUNCTION("""COMPUTED_VALUE"""),2870.0)</f>
        <v>2870</v>
      </c>
      <c r="D1052" s="2">
        <f>IFERROR(__xludf.DUMMYFUNCTION("""COMPUTED_VALUE"""),2670.0)</f>
        <v>2670</v>
      </c>
      <c r="E1052" s="2">
        <f>IFERROR(__xludf.DUMMYFUNCTION("""COMPUTED_VALUE"""),2790.0)</f>
        <v>2790</v>
      </c>
      <c r="F1052" s="2">
        <f>IFERROR(__xludf.DUMMYFUNCTION("""COMPUTED_VALUE"""),9.73494E7)</f>
        <v>97349400</v>
      </c>
      <c r="G1052" s="2">
        <f t="shared" si="1"/>
        <v>240</v>
      </c>
    </row>
    <row r="1053" ht="15.75" customHeight="1">
      <c r="A1053" s="1">
        <f>IFERROR(__xludf.DUMMYFUNCTION("""COMPUTED_VALUE"""),45419.66666666667)</f>
        <v>45419.66667</v>
      </c>
      <c r="B1053" s="2">
        <f>IFERROR(__xludf.DUMMYFUNCTION("""COMPUTED_VALUE"""),2790.0)</f>
        <v>2790</v>
      </c>
      <c r="C1053" s="2">
        <f>IFERROR(__xludf.DUMMYFUNCTION("""COMPUTED_VALUE"""),2800.0)</f>
        <v>2800</v>
      </c>
      <c r="D1053" s="2">
        <f>IFERROR(__xludf.DUMMYFUNCTION("""COMPUTED_VALUE"""),2700.0)</f>
        <v>2700</v>
      </c>
      <c r="E1053" s="2">
        <f>IFERROR(__xludf.DUMMYFUNCTION("""COMPUTED_VALUE"""),2700.0)</f>
        <v>2700</v>
      </c>
      <c r="F1053" s="2">
        <f>IFERROR(__xludf.DUMMYFUNCTION("""COMPUTED_VALUE"""),3.58365E7)</f>
        <v>35836500</v>
      </c>
      <c r="G1053" s="2">
        <f t="shared" si="1"/>
        <v>100</v>
      </c>
    </row>
    <row r="1054" ht="15.75" customHeight="1">
      <c r="A1054" s="1">
        <f>IFERROR(__xludf.DUMMYFUNCTION("""COMPUTED_VALUE"""),45420.66666666667)</f>
        <v>45420.66667</v>
      </c>
      <c r="B1054" s="2">
        <f>IFERROR(__xludf.DUMMYFUNCTION("""COMPUTED_VALUE"""),2700.0)</f>
        <v>2700</v>
      </c>
      <c r="C1054" s="2">
        <f>IFERROR(__xludf.DUMMYFUNCTION("""COMPUTED_VALUE"""),2740.0)</f>
        <v>2740</v>
      </c>
      <c r="D1054" s="2">
        <f>IFERROR(__xludf.DUMMYFUNCTION("""COMPUTED_VALUE"""),2510.0)</f>
        <v>2510</v>
      </c>
      <c r="E1054" s="2">
        <f>IFERROR(__xludf.DUMMYFUNCTION("""COMPUTED_VALUE"""),2540.0)</f>
        <v>2540</v>
      </c>
      <c r="F1054" s="2">
        <f>IFERROR(__xludf.DUMMYFUNCTION("""COMPUTED_VALUE"""),8.7917E7)</f>
        <v>87917000</v>
      </c>
      <c r="G1054" s="2">
        <f t="shared" si="1"/>
        <v>230</v>
      </c>
    </row>
    <row r="1055" ht="15.75" customHeight="1">
      <c r="A1055" s="1">
        <f>IFERROR(__xludf.DUMMYFUNCTION("""COMPUTED_VALUE"""),45425.66666666667)</f>
        <v>45425.66667</v>
      </c>
      <c r="B1055" s="2">
        <f>IFERROR(__xludf.DUMMYFUNCTION("""COMPUTED_VALUE"""),2540.0)</f>
        <v>2540</v>
      </c>
      <c r="C1055" s="2">
        <f>IFERROR(__xludf.DUMMYFUNCTION("""COMPUTED_VALUE"""),2550.0)</f>
        <v>2550</v>
      </c>
      <c r="D1055" s="2">
        <f>IFERROR(__xludf.DUMMYFUNCTION("""COMPUTED_VALUE"""),2230.0)</f>
        <v>2230</v>
      </c>
      <c r="E1055" s="2">
        <f>IFERROR(__xludf.DUMMYFUNCTION("""COMPUTED_VALUE"""),2300.0)</f>
        <v>2300</v>
      </c>
      <c r="F1055" s="2">
        <f>IFERROR(__xludf.DUMMYFUNCTION("""COMPUTED_VALUE"""),1.723827E8)</f>
        <v>172382700</v>
      </c>
      <c r="G1055" s="2">
        <f t="shared" si="1"/>
        <v>320</v>
      </c>
    </row>
    <row r="1056" ht="15.75" customHeight="1">
      <c r="A1056" s="1">
        <f>IFERROR(__xludf.DUMMYFUNCTION("""COMPUTED_VALUE"""),45426.66666666667)</f>
        <v>45426.66667</v>
      </c>
      <c r="B1056" s="2">
        <f>IFERROR(__xludf.DUMMYFUNCTION("""COMPUTED_VALUE"""),2310.0)</f>
        <v>2310</v>
      </c>
      <c r="C1056" s="2">
        <f>IFERROR(__xludf.DUMMYFUNCTION("""COMPUTED_VALUE"""),2390.0)</f>
        <v>2390</v>
      </c>
      <c r="D1056" s="2">
        <f>IFERROR(__xludf.DUMMYFUNCTION("""COMPUTED_VALUE"""),2270.0)</f>
        <v>2270</v>
      </c>
      <c r="E1056" s="2">
        <f>IFERROR(__xludf.DUMMYFUNCTION("""COMPUTED_VALUE"""),2350.0)</f>
        <v>2350</v>
      </c>
      <c r="F1056" s="2">
        <f>IFERROR(__xludf.DUMMYFUNCTION("""COMPUTED_VALUE"""),8.82502E7)</f>
        <v>88250200</v>
      </c>
      <c r="G1056" s="2">
        <f t="shared" si="1"/>
        <v>120</v>
      </c>
    </row>
    <row r="1057" ht="15.75" customHeight="1">
      <c r="A1057" s="1">
        <f>IFERROR(__xludf.DUMMYFUNCTION("""COMPUTED_VALUE"""),45427.66666666667)</f>
        <v>45427.66667</v>
      </c>
      <c r="B1057" s="2">
        <f>IFERROR(__xludf.DUMMYFUNCTION("""COMPUTED_VALUE"""),2350.0)</f>
        <v>2350</v>
      </c>
      <c r="C1057" s="2">
        <f>IFERROR(__xludf.DUMMYFUNCTION("""COMPUTED_VALUE"""),2550.0)</f>
        <v>2550</v>
      </c>
      <c r="D1057" s="2">
        <f>IFERROR(__xludf.DUMMYFUNCTION("""COMPUTED_VALUE"""),2340.0)</f>
        <v>2340</v>
      </c>
      <c r="E1057" s="2">
        <f>IFERROR(__xludf.DUMMYFUNCTION("""COMPUTED_VALUE"""),2540.0)</f>
        <v>2540</v>
      </c>
      <c r="F1057" s="2">
        <f>IFERROR(__xludf.DUMMYFUNCTION("""COMPUTED_VALUE"""),9.94398E7)</f>
        <v>99439800</v>
      </c>
      <c r="G1057" s="2">
        <f t="shared" si="1"/>
        <v>210</v>
      </c>
    </row>
    <row r="1058" ht="15.75" customHeight="1">
      <c r="A1058" s="1">
        <f>IFERROR(__xludf.DUMMYFUNCTION("""COMPUTED_VALUE"""),45428.66666666667)</f>
        <v>45428.66667</v>
      </c>
      <c r="B1058" s="2">
        <f>IFERROR(__xludf.DUMMYFUNCTION("""COMPUTED_VALUE"""),2580.0)</f>
        <v>2580</v>
      </c>
      <c r="C1058" s="2">
        <f>IFERROR(__xludf.DUMMYFUNCTION("""COMPUTED_VALUE"""),2650.0)</f>
        <v>2650</v>
      </c>
      <c r="D1058" s="2">
        <f>IFERROR(__xludf.DUMMYFUNCTION("""COMPUTED_VALUE"""),2540.0)</f>
        <v>2540</v>
      </c>
      <c r="E1058" s="2">
        <f>IFERROR(__xludf.DUMMYFUNCTION("""COMPUTED_VALUE"""),2540.0)</f>
        <v>2540</v>
      </c>
      <c r="F1058" s="2">
        <f>IFERROR(__xludf.DUMMYFUNCTION("""COMPUTED_VALUE"""),6.62382E7)</f>
        <v>66238200</v>
      </c>
      <c r="G1058" s="2">
        <f t="shared" si="1"/>
        <v>110</v>
      </c>
    </row>
    <row r="1059" ht="15.75" customHeight="1">
      <c r="A1059" s="1">
        <f>IFERROR(__xludf.DUMMYFUNCTION("""COMPUTED_VALUE"""),45429.66666666667)</f>
        <v>45429.66667</v>
      </c>
      <c r="B1059" s="2">
        <f>IFERROR(__xludf.DUMMYFUNCTION("""COMPUTED_VALUE"""),2550.0)</f>
        <v>2550</v>
      </c>
      <c r="C1059" s="2">
        <f>IFERROR(__xludf.DUMMYFUNCTION("""COMPUTED_VALUE"""),2580.0)</f>
        <v>2580</v>
      </c>
      <c r="D1059" s="2">
        <f>IFERROR(__xludf.DUMMYFUNCTION("""COMPUTED_VALUE"""),2490.0)</f>
        <v>2490</v>
      </c>
      <c r="E1059" s="2">
        <f>IFERROR(__xludf.DUMMYFUNCTION("""COMPUTED_VALUE"""),2520.0)</f>
        <v>2520</v>
      </c>
      <c r="F1059" s="2">
        <f>IFERROR(__xludf.DUMMYFUNCTION("""COMPUTED_VALUE"""),3.94596E7)</f>
        <v>39459600</v>
      </c>
      <c r="G1059" s="2">
        <f t="shared" si="1"/>
        <v>90</v>
      </c>
    </row>
    <row r="1060" ht="15.75" customHeight="1">
      <c r="A1060" s="1">
        <f>IFERROR(__xludf.DUMMYFUNCTION("""COMPUTED_VALUE"""),45432.66666666667)</f>
        <v>45432.66667</v>
      </c>
      <c r="B1060" s="2">
        <f>IFERROR(__xludf.DUMMYFUNCTION("""COMPUTED_VALUE"""),2530.0)</f>
        <v>2530</v>
      </c>
      <c r="C1060" s="2">
        <f>IFERROR(__xludf.DUMMYFUNCTION("""COMPUTED_VALUE"""),2540.0)</f>
        <v>2540</v>
      </c>
      <c r="D1060" s="2">
        <f>IFERROR(__xludf.DUMMYFUNCTION("""COMPUTED_VALUE"""),2460.0)</f>
        <v>2460</v>
      </c>
      <c r="E1060" s="2">
        <f>IFERROR(__xludf.DUMMYFUNCTION("""COMPUTED_VALUE"""),2470.0)</f>
        <v>2470</v>
      </c>
      <c r="F1060" s="2">
        <f>IFERROR(__xludf.DUMMYFUNCTION("""COMPUTED_VALUE"""),1.95782E7)</f>
        <v>19578200</v>
      </c>
      <c r="G1060" s="2">
        <f t="shared" si="1"/>
        <v>80</v>
      </c>
    </row>
    <row r="1061" ht="15.75" customHeight="1">
      <c r="A1061" s="1">
        <f>IFERROR(__xludf.DUMMYFUNCTION("""COMPUTED_VALUE"""),45433.66666666667)</f>
        <v>45433.66667</v>
      </c>
      <c r="B1061" s="2">
        <f>IFERROR(__xludf.DUMMYFUNCTION("""COMPUTED_VALUE"""),2470.0)</f>
        <v>2470</v>
      </c>
      <c r="C1061" s="2">
        <f>IFERROR(__xludf.DUMMYFUNCTION("""COMPUTED_VALUE"""),2470.0)</f>
        <v>2470</v>
      </c>
      <c r="D1061" s="2">
        <f>IFERROR(__xludf.DUMMYFUNCTION("""COMPUTED_VALUE"""),2350.0)</f>
        <v>2350</v>
      </c>
      <c r="E1061" s="2">
        <f>IFERROR(__xludf.DUMMYFUNCTION("""COMPUTED_VALUE"""),2360.0)</f>
        <v>2360</v>
      </c>
      <c r="F1061" s="2">
        <f>IFERROR(__xludf.DUMMYFUNCTION("""COMPUTED_VALUE"""),3.46636E7)</f>
        <v>34663600</v>
      </c>
      <c r="G1061" s="2">
        <f t="shared" si="1"/>
        <v>120</v>
      </c>
    </row>
    <row r="1062" ht="15.75" customHeight="1">
      <c r="A1062" s="1">
        <f>IFERROR(__xludf.DUMMYFUNCTION("""COMPUTED_VALUE"""),45434.66666666667)</f>
        <v>45434.66667</v>
      </c>
      <c r="B1062" s="2">
        <f>IFERROR(__xludf.DUMMYFUNCTION("""COMPUTED_VALUE"""),2380.0)</f>
        <v>2380</v>
      </c>
      <c r="C1062" s="2">
        <f>IFERROR(__xludf.DUMMYFUNCTION("""COMPUTED_VALUE"""),2410.0)</f>
        <v>2410</v>
      </c>
      <c r="D1062" s="2">
        <f>IFERROR(__xludf.DUMMYFUNCTION("""COMPUTED_VALUE"""),2310.0)</f>
        <v>2310</v>
      </c>
      <c r="E1062" s="2">
        <f>IFERROR(__xludf.DUMMYFUNCTION("""COMPUTED_VALUE"""),2330.0)</f>
        <v>2330</v>
      </c>
      <c r="F1062" s="2">
        <f>IFERROR(__xludf.DUMMYFUNCTION("""COMPUTED_VALUE"""),5.09805E7)</f>
        <v>50980500</v>
      </c>
      <c r="G1062" s="2">
        <f t="shared" si="1"/>
        <v>100</v>
      </c>
    </row>
    <row r="1063" ht="15.75" customHeight="1">
      <c r="A1063" s="1">
        <f>IFERROR(__xludf.DUMMYFUNCTION("""COMPUTED_VALUE"""),45439.66666666667)</f>
        <v>45439.66667</v>
      </c>
      <c r="B1063" s="2">
        <f>IFERROR(__xludf.DUMMYFUNCTION("""COMPUTED_VALUE"""),2330.0)</f>
        <v>2330</v>
      </c>
      <c r="C1063" s="2">
        <f>IFERROR(__xludf.DUMMYFUNCTION("""COMPUTED_VALUE"""),2340.0)</f>
        <v>2340</v>
      </c>
      <c r="D1063" s="2">
        <f>IFERROR(__xludf.DUMMYFUNCTION("""COMPUTED_VALUE"""),2260.0)</f>
        <v>2260</v>
      </c>
      <c r="E1063" s="2">
        <f>IFERROR(__xludf.DUMMYFUNCTION("""COMPUTED_VALUE"""),2270.0)</f>
        <v>2270</v>
      </c>
      <c r="F1063" s="2">
        <f>IFERROR(__xludf.DUMMYFUNCTION("""COMPUTED_VALUE"""),4.18804E7)</f>
        <v>41880400</v>
      </c>
      <c r="G1063" s="2">
        <f t="shared" si="1"/>
        <v>80</v>
      </c>
    </row>
    <row r="1064" ht="15.75" customHeight="1">
      <c r="A1064" s="1">
        <f>IFERROR(__xludf.DUMMYFUNCTION("""COMPUTED_VALUE"""),45440.66666666667)</f>
        <v>45440.66667</v>
      </c>
      <c r="B1064" s="2">
        <f>IFERROR(__xludf.DUMMYFUNCTION("""COMPUTED_VALUE"""),2280.0)</f>
        <v>2280</v>
      </c>
      <c r="C1064" s="2">
        <f>IFERROR(__xludf.DUMMYFUNCTION("""COMPUTED_VALUE"""),2340.0)</f>
        <v>2340</v>
      </c>
      <c r="D1064" s="2">
        <f>IFERROR(__xludf.DUMMYFUNCTION("""COMPUTED_VALUE"""),2280.0)</f>
        <v>2280</v>
      </c>
      <c r="E1064" s="2">
        <f>IFERROR(__xludf.DUMMYFUNCTION("""COMPUTED_VALUE"""),2290.0)</f>
        <v>2290</v>
      </c>
      <c r="F1064" s="2">
        <f>IFERROR(__xludf.DUMMYFUNCTION("""COMPUTED_VALUE"""),2.73182E7)</f>
        <v>27318200</v>
      </c>
      <c r="G1064" s="2">
        <f t="shared" si="1"/>
        <v>70</v>
      </c>
    </row>
    <row r="1065" ht="15.75" customHeight="1">
      <c r="A1065" s="1">
        <f>IFERROR(__xludf.DUMMYFUNCTION("""COMPUTED_VALUE"""),45441.66666666667)</f>
        <v>45441.66667</v>
      </c>
      <c r="B1065" s="2">
        <f>IFERROR(__xludf.DUMMYFUNCTION("""COMPUTED_VALUE"""),2290.0)</f>
        <v>2290</v>
      </c>
      <c r="C1065" s="2">
        <f>IFERROR(__xludf.DUMMYFUNCTION("""COMPUTED_VALUE"""),2300.0)</f>
        <v>2300</v>
      </c>
      <c r="D1065" s="2">
        <f>IFERROR(__xludf.DUMMYFUNCTION("""COMPUTED_VALUE"""),2160.0)</f>
        <v>2160</v>
      </c>
      <c r="E1065" s="2">
        <f>IFERROR(__xludf.DUMMYFUNCTION("""COMPUTED_VALUE"""),2200.0)</f>
        <v>2200</v>
      </c>
      <c r="F1065" s="2">
        <f>IFERROR(__xludf.DUMMYFUNCTION("""COMPUTED_VALUE"""),3.62297E7)</f>
        <v>36229700</v>
      </c>
      <c r="G1065" s="2">
        <f t="shared" si="1"/>
        <v>140</v>
      </c>
    </row>
    <row r="1066" ht="15.75" customHeight="1">
      <c r="A1066" s="1">
        <f>IFERROR(__xludf.DUMMYFUNCTION("""COMPUTED_VALUE"""),45442.66666666667)</f>
        <v>45442.66667</v>
      </c>
      <c r="B1066" s="2">
        <f>IFERROR(__xludf.DUMMYFUNCTION("""COMPUTED_VALUE"""),2200.0)</f>
        <v>2200</v>
      </c>
      <c r="C1066" s="2">
        <f>IFERROR(__xludf.DUMMYFUNCTION("""COMPUTED_VALUE"""),2200.0)</f>
        <v>2200</v>
      </c>
      <c r="D1066" s="2">
        <f>IFERROR(__xludf.DUMMYFUNCTION("""COMPUTED_VALUE"""),2110.0)</f>
        <v>2110</v>
      </c>
      <c r="E1066" s="2">
        <f>IFERROR(__xludf.DUMMYFUNCTION("""COMPUTED_VALUE"""),2160.0)</f>
        <v>2160</v>
      </c>
      <c r="F1066" s="2">
        <f>IFERROR(__xludf.DUMMYFUNCTION("""COMPUTED_VALUE"""),4.47895E7)</f>
        <v>44789500</v>
      </c>
      <c r="G1066" s="2">
        <f t="shared" si="1"/>
        <v>90</v>
      </c>
    </row>
    <row r="1067" ht="15.75" customHeight="1">
      <c r="A1067" s="1">
        <f>IFERROR(__xludf.DUMMYFUNCTION("""COMPUTED_VALUE"""),45443.66666666667)</f>
        <v>45443.66667</v>
      </c>
      <c r="B1067" s="2">
        <f>IFERROR(__xludf.DUMMYFUNCTION("""COMPUTED_VALUE"""),2170.0)</f>
        <v>2170</v>
      </c>
      <c r="C1067" s="2">
        <f>IFERROR(__xludf.DUMMYFUNCTION("""COMPUTED_VALUE"""),2240.0)</f>
        <v>2240</v>
      </c>
      <c r="D1067" s="2">
        <f>IFERROR(__xludf.DUMMYFUNCTION("""COMPUTED_VALUE"""),2160.0)</f>
        <v>2160</v>
      </c>
      <c r="E1067" s="2">
        <f>IFERROR(__xludf.DUMMYFUNCTION("""COMPUTED_VALUE"""),2200.0)</f>
        <v>2200</v>
      </c>
      <c r="F1067" s="2">
        <f>IFERROR(__xludf.DUMMYFUNCTION("""COMPUTED_VALUE"""),3.44381E7)</f>
        <v>34438100</v>
      </c>
      <c r="G1067" s="2">
        <f t="shared" si="1"/>
        <v>80</v>
      </c>
    </row>
    <row r="1068" ht="15.75" customHeight="1">
      <c r="A1068" s="1">
        <f>IFERROR(__xludf.DUMMYFUNCTION("""COMPUTED_VALUE"""),45446.66666666667)</f>
        <v>45446.66667</v>
      </c>
      <c r="B1068" s="2">
        <f>IFERROR(__xludf.DUMMYFUNCTION("""COMPUTED_VALUE"""),2240.0)</f>
        <v>2240</v>
      </c>
      <c r="C1068" s="2">
        <f>IFERROR(__xludf.DUMMYFUNCTION("""COMPUTED_VALUE"""),2270.0)</f>
        <v>2270</v>
      </c>
      <c r="D1068" s="2">
        <f>IFERROR(__xludf.DUMMYFUNCTION("""COMPUTED_VALUE"""),2200.0)</f>
        <v>2200</v>
      </c>
      <c r="E1068" s="2">
        <f>IFERROR(__xludf.DUMMYFUNCTION("""COMPUTED_VALUE"""),2230.0)</f>
        <v>2230</v>
      </c>
      <c r="F1068" s="2">
        <f>IFERROR(__xludf.DUMMYFUNCTION("""COMPUTED_VALUE"""),3.70695E7)</f>
        <v>37069500</v>
      </c>
      <c r="G1068" s="2">
        <f t="shared" si="1"/>
        <v>70</v>
      </c>
    </row>
    <row r="1069" ht="15.75" customHeight="1">
      <c r="A1069" s="1">
        <f>IFERROR(__xludf.DUMMYFUNCTION("""COMPUTED_VALUE"""),45447.66666666667)</f>
        <v>45447.66667</v>
      </c>
      <c r="B1069" s="2">
        <f>IFERROR(__xludf.DUMMYFUNCTION("""COMPUTED_VALUE"""),2240.0)</f>
        <v>2240</v>
      </c>
      <c r="C1069" s="2">
        <f>IFERROR(__xludf.DUMMYFUNCTION("""COMPUTED_VALUE"""),2330.0)</f>
        <v>2330</v>
      </c>
      <c r="D1069" s="2">
        <f>IFERROR(__xludf.DUMMYFUNCTION("""COMPUTED_VALUE"""),2240.0)</f>
        <v>2240</v>
      </c>
      <c r="E1069" s="2">
        <f>IFERROR(__xludf.DUMMYFUNCTION("""COMPUTED_VALUE"""),2280.0)</f>
        <v>2280</v>
      </c>
      <c r="F1069" s="2">
        <f>IFERROR(__xludf.DUMMYFUNCTION("""COMPUTED_VALUE"""),4.2763E7)</f>
        <v>42763000</v>
      </c>
      <c r="G1069" s="2">
        <f t="shared" si="1"/>
        <v>100</v>
      </c>
    </row>
    <row r="1070" ht="15.75" customHeight="1">
      <c r="A1070" s="1">
        <f>IFERROR(__xludf.DUMMYFUNCTION("""COMPUTED_VALUE"""),45448.66666666667)</f>
        <v>45448.66667</v>
      </c>
      <c r="B1070" s="2">
        <f>IFERROR(__xludf.DUMMYFUNCTION("""COMPUTED_VALUE"""),2280.0)</f>
        <v>2280</v>
      </c>
      <c r="C1070" s="2">
        <f>IFERROR(__xludf.DUMMYFUNCTION("""COMPUTED_VALUE"""),2310.0)</f>
        <v>2310</v>
      </c>
      <c r="D1070" s="2">
        <f>IFERROR(__xludf.DUMMYFUNCTION("""COMPUTED_VALUE"""),2230.0)</f>
        <v>2230</v>
      </c>
      <c r="E1070" s="2">
        <f>IFERROR(__xludf.DUMMYFUNCTION("""COMPUTED_VALUE"""),2260.0)</f>
        <v>2260</v>
      </c>
      <c r="F1070" s="2">
        <f>IFERROR(__xludf.DUMMYFUNCTION("""COMPUTED_VALUE"""),1.76756E7)</f>
        <v>17675600</v>
      </c>
      <c r="G1070" s="2">
        <f t="shared" si="1"/>
        <v>80</v>
      </c>
    </row>
    <row r="1071" ht="15.75" customHeight="1">
      <c r="A1071" s="1">
        <f>IFERROR(__xludf.DUMMYFUNCTION("""COMPUTED_VALUE"""),45449.66666666667)</f>
        <v>45449.66667</v>
      </c>
      <c r="B1071" s="2">
        <f>IFERROR(__xludf.DUMMYFUNCTION("""COMPUTED_VALUE"""),2240.0)</f>
        <v>2240</v>
      </c>
      <c r="C1071" s="2">
        <f>IFERROR(__xludf.DUMMYFUNCTION("""COMPUTED_VALUE"""),2260.0)</f>
        <v>2260</v>
      </c>
      <c r="D1071" s="2">
        <f>IFERROR(__xludf.DUMMYFUNCTION("""COMPUTED_VALUE"""),2150.0)</f>
        <v>2150</v>
      </c>
      <c r="E1071" s="2">
        <f>IFERROR(__xludf.DUMMYFUNCTION("""COMPUTED_VALUE"""),2190.0)</f>
        <v>2190</v>
      </c>
      <c r="F1071" s="2">
        <f>IFERROR(__xludf.DUMMYFUNCTION("""COMPUTED_VALUE"""),3.76655E7)</f>
        <v>37665500</v>
      </c>
      <c r="G1071" s="2">
        <f t="shared" si="1"/>
        <v>110</v>
      </c>
    </row>
    <row r="1072" ht="15.75" customHeight="1">
      <c r="A1072" s="1">
        <f>IFERROR(__xludf.DUMMYFUNCTION("""COMPUTED_VALUE"""),45450.66666666667)</f>
        <v>45450.66667</v>
      </c>
      <c r="B1072" s="2">
        <f>IFERROR(__xludf.DUMMYFUNCTION("""COMPUTED_VALUE"""),2180.0)</f>
        <v>2180</v>
      </c>
      <c r="C1072" s="2">
        <f>IFERROR(__xludf.DUMMYFUNCTION("""COMPUTED_VALUE"""),2240.0)</f>
        <v>2240</v>
      </c>
      <c r="D1072" s="2">
        <f>IFERROR(__xludf.DUMMYFUNCTION("""COMPUTED_VALUE"""),2170.0)</f>
        <v>2170</v>
      </c>
      <c r="E1072" s="2">
        <f>IFERROR(__xludf.DUMMYFUNCTION("""COMPUTED_VALUE"""),2180.0)</f>
        <v>2180</v>
      </c>
      <c r="F1072" s="2">
        <f>IFERROR(__xludf.DUMMYFUNCTION("""COMPUTED_VALUE"""),1.72919E7)</f>
        <v>17291900</v>
      </c>
      <c r="G1072" s="2">
        <f t="shared" si="1"/>
        <v>70</v>
      </c>
    </row>
    <row r="1073" ht="15.75" customHeight="1">
      <c r="A1073" s="1">
        <f>IFERROR(__xludf.DUMMYFUNCTION("""COMPUTED_VALUE"""),45453.66666666667)</f>
        <v>45453.66667</v>
      </c>
      <c r="B1073" s="2">
        <f>IFERROR(__xludf.DUMMYFUNCTION("""COMPUTED_VALUE"""),2170.0)</f>
        <v>2170</v>
      </c>
      <c r="C1073" s="2">
        <f>IFERROR(__xludf.DUMMYFUNCTION("""COMPUTED_VALUE"""),2170.0)</f>
        <v>2170</v>
      </c>
      <c r="D1073" s="2">
        <f>IFERROR(__xludf.DUMMYFUNCTION("""COMPUTED_VALUE"""),2090.0)</f>
        <v>2090</v>
      </c>
      <c r="E1073" s="2">
        <f>IFERROR(__xludf.DUMMYFUNCTION("""COMPUTED_VALUE"""),2130.0)</f>
        <v>2130</v>
      </c>
      <c r="F1073" s="2">
        <f>IFERROR(__xludf.DUMMYFUNCTION("""COMPUTED_VALUE"""),2.33519E7)</f>
        <v>23351900</v>
      </c>
      <c r="G1073" s="2">
        <f t="shared" si="1"/>
        <v>90</v>
      </c>
    </row>
    <row r="1074" ht="15.75" customHeight="1">
      <c r="A1074" s="1">
        <f>IFERROR(__xludf.DUMMYFUNCTION("""COMPUTED_VALUE"""),45454.66666666667)</f>
        <v>45454.66667</v>
      </c>
      <c r="B1074" s="2">
        <f>IFERROR(__xludf.DUMMYFUNCTION("""COMPUTED_VALUE"""),2130.0)</f>
        <v>2130</v>
      </c>
      <c r="C1074" s="2">
        <f>IFERROR(__xludf.DUMMYFUNCTION("""COMPUTED_VALUE"""),2190.0)</f>
        <v>2190</v>
      </c>
      <c r="D1074" s="2">
        <f>IFERROR(__xludf.DUMMYFUNCTION("""COMPUTED_VALUE"""),2120.0)</f>
        <v>2120</v>
      </c>
      <c r="E1074" s="2">
        <f>IFERROR(__xludf.DUMMYFUNCTION("""COMPUTED_VALUE"""),2170.0)</f>
        <v>2170</v>
      </c>
      <c r="F1074" s="2">
        <f>IFERROR(__xludf.DUMMYFUNCTION("""COMPUTED_VALUE"""),1.64015E7)</f>
        <v>16401500</v>
      </c>
      <c r="G1074" s="2">
        <f t="shared" si="1"/>
        <v>70</v>
      </c>
    </row>
    <row r="1075" ht="15.75" customHeight="1">
      <c r="A1075" s="1">
        <f>IFERROR(__xludf.DUMMYFUNCTION("""COMPUTED_VALUE"""),45455.66666666667)</f>
        <v>45455.66667</v>
      </c>
      <c r="B1075" s="2">
        <f>IFERROR(__xludf.DUMMYFUNCTION("""COMPUTED_VALUE"""),2160.0)</f>
        <v>2160</v>
      </c>
      <c r="C1075" s="2">
        <f>IFERROR(__xludf.DUMMYFUNCTION("""COMPUTED_VALUE"""),2170.0)</f>
        <v>2170</v>
      </c>
      <c r="D1075" s="2">
        <f>IFERROR(__xludf.DUMMYFUNCTION("""COMPUTED_VALUE"""),2120.0)</f>
        <v>2120</v>
      </c>
      <c r="E1075" s="2">
        <f>IFERROR(__xludf.DUMMYFUNCTION("""COMPUTED_VALUE"""),2150.0)</f>
        <v>2150</v>
      </c>
      <c r="F1075" s="2">
        <f>IFERROR(__xludf.DUMMYFUNCTION("""COMPUTED_VALUE"""),8102600.0)</f>
        <v>8102600</v>
      </c>
      <c r="G1075" s="2">
        <f t="shared" si="1"/>
        <v>50</v>
      </c>
    </row>
    <row r="1076" ht="15.75" customHeight="1">
      <c r="A1076" s="1">
        <f>IFERROR(__xludf.DUMMYFUNCTION("""COMPUTED_VALUE"""),45456.66666666667)</f>
        <v>45456.66667</v>
      </c>
      <c r="B1076" s="2">
        <f>IFERROR(__xludf.DUMMYFUNCTION("""COMPUTED_VALUE"""),2190.0)</f>
        <v>2190</v>
      </c>
      <c r="C1076" s="2">
        <f>IFERROR(__xludf.DUMMYFUNCTION("""COMPUTED_VALUE"""),2290.0)</f>
        <v>2290</v>
      </c>
      <c r="D1076" s="2">
        <f>IFERROR(__xludf.DUMMYFUNCTION("""COMPUTED_VALUE"""),2170.0)</f>
        <v>2170</v>
      </c>
      <c r="E1076" s="2">
        <f>IFERROR(__xludf.DUMMYFUNCTION("""COMPUTED_VALUE"""),2280.0)</f>
        <v>2280</v>
      </c>
      <c r="F1076" s="2">
        <f>IFERROR(__xludf.DUMMYFUNCTION("""COMPUTED_VALUE"""),3.34784E7)</f>
        <v>33478400</v>
      </c>
      <c r="G1076" s="2">
        <f t="shared" si="1"/>
        <v>140</v>
      </c>
    </row>
    <row r="1077" ht="15.75" customHeight="1">
      <c r="A1077" s="1">
        <f>IFERROR(__xludf.DUMMYFUNCTION("""COMPUTED_VALUE"""),45457.66666666667)</f>
        <v>45457.66667</v>
      </c>
      <c r="B1077" s="2">
        <f>IFERROR(__xludf.DUMMYFUNCTION("""COMPUTED_VALUE"""),2290.0)</f>
        <v>2290</v>
      </c>
      <c r="C1077" s="2">
        <f>IFERROR(__xludf.DUMMYFUNCTION("""COMPUTED_VALUE"""),2300.0)</f>
        <v>2300</v>
      </c>
      <c r="D1077" s="2">
        <f>IFERROR(__xludf.DUMMYFUNCTION("""COMPUTED_VALUE"""),2230.0)</f>
        <v>2230</v>
      </c>
      <c r="E1077" s="2">
        <f>IFERROR(__xludf.DUMMYFUNCTION("""COMPUTED_VALUE"""),2280.0)</f>
        <v>2280</v>
      </c>
      <c r="F1077" s="2">
        <f>IFERROR(__xludf.DUMMYFUNCTION("""COMPUTED_VALUE"""),3.65422E7)</f>
        <v>36542200</v>
      </c>
      <c r="G1077" s="2">
        <f t="shared" si="1"/>
        <v>70</v>
      </c>
    </row>
    <row r="1078" ht="15.75" customHeight="1">
      <c r="A1078" s="1">
        <f>IFERROR(__xludf.DUMMYFUNCTION("""COMPUTED_VALUE"""),45462.66666666667)</f>
        <v>45462.66667</v>
      </c>
      <c r="B1078" s="2">
        <f>IFERROR(__xludf.DUMMYFUNCTION("""COMPUTED_VALUE"""),2300.0)</f>
        <v>2300</v>
      </c>
      <c r="C1078" s="2">
        <f>IFERROR(__xludf.DUMMYFUNCTION("""COMPUTED_VALUE"""),2450.0)</f>
        <v>2450</v>
      </c>
      <c r="D1078" s="2">
        <f>IFERROR(__xludf.DUMMYFUNCTION("""COMPUTED_VALUE"""),2300.0)</f>
        <v>2300</v>
      </c>
      <c r="E1078" s="2">
        <f>IFERROR(__xludf.DUMMYFUNCTION("""COMPUTED_VALUE"""),2410.0)</f>
        <v>2410</v>
      </c>
      <c r="F1078" s="2">
        <f>IFERROR(__xludf.DUMMYFUNCTION("""COMPUTED_VALUE"""),6.42223E7)</f>
        <v>64222300</v>
      </c>
      <c r="G1078" s="2">
        <f t="shared" si="1"/>
        <v>170</v>
      </c>
    </row>
    <row r="1079" ht="15.75" customHeight="1">
      <c r="A1079" s="1">
        <f>IFERROR(__xludf.DUMMYFUNCTION("""COMPUTED_VALUE"""),45463.66666666667)</f>
        <v>45463.66667</v>
      </c>
      <c r="B1079" s="2">
        <f>IFERROR(__xludf.DUMMYFUNCTION("""COMPUTED_VALUE"""),2430.0)</f>
        <v>2430</v>
      </c>
      <c r="C1079" s="2">
        <f>IFERROR(__xludf.DUMMYFUNCTION("""COMPUTED_VALUE"""),2470.0)</f>
        <v>2470</v>
      </c>
      <c r="D1079" s="2">
        <f>IFERROR(__xludf.DUMMYFUNCTION("""COMPUTED_VALUE"""),2410.0)</f>
        <v>2410</v>
      </c>
      <c r="E1079" s="2">
        <f>IFERROR(__xludf.DUMMYFUNCTION("""COMPUTED_VALUE"""),2440.0)</f>
        <v>2440</v>
      </c>
      <c r="F1079" s="2">
        <f>IFERROR(__xludf.DUMMYFUNCTION("""COMPUTED_VALUE"""),4.39096E7)</f>
        <v>43909600</v>
      </c>
      <c r="G1079" s="2">
        <f t="shared" si="1"/>
        <v>60</v>
      </c>
    </row>
    <row r="1080" ht="15.75" customHeight="1">
      <c r="A1080" s="1">
        <f>IFERROR(__xludf.DUMMYFUNCTION("""COMPUTED_VALUE"""),45464.66666666667)</f>
        <v>45464.66667</v>
      </c>
      <c r="B1080" s="2">
        <f>IFERROR(__xludf.DUMMYFUNCTION("""COMPUTED_VALUE"""),2440.0)</f>
        <v>2440</v>
      </c>
      <c r="C1080" s="2">
        <f>IFERROR(__xludf.DUMMYFUNCTION("""COMPUTED_VALUE"""),2500.0)</f>
        <v>2500</v>
      </c>
      <c r="D1080" s="2">
        <f>IFERROR(__xludf.DUMMYFUNCTION("""COMPUTED_VALUE"""),2410.0)</f>
        <v>2410</v>
      </c>
      <c r="E1080" s="2">
        <f>IFERROR(__xludf.DUMMYFUNCTION("""COMPUTED_VALUE"""),2420.0)</f>
        <v>2420</v>
      </c>
      <c r="F1080" s="2">
        <f>IFERROR(__xludf.DUMMYFUNCTION("""COMPUTED_VALUE"""),4.6445E7)</f>
        <v>46445000</v>
      </c>
      <c r="G1080" s="2">
        <f t="shared" si="1"/>
        <v>90</v>
      </c>
    </row>
    <row r="1081" ht="15.75" customHeight="1">
      <c r="A1081" s="1">
        <f>IFERROR(__xludf.DUMMYFUNCTION("""COMPUTED_VALUE"""),45467.66666666667)</f>
        <v>45467.66667</v>
      </c>
      <c r="B1081" s="2">
        <f>IFERROR(__xludf.DUMMYFUNCTION("""COMPUTED_VALUE"""),2420.0)</f>
        <v>2420</v>
      </c>
      <c r="C1081" s="2">
        <f>IFERROR(__xludf.DUMMYFUNCTION("""COMPUTED_VALUE"""),2540.0)</f>
        <v>2540</v>
      </c>
      <c r="D1081" s="2">
        <f>IFERROR(__xludf.DUMMYFUNCTION("""COMPUTED_VALUE"""),2420.0)</f>
        <v>2420</v>
      </c>
      <c r="E1081" s="2">
        <f>IFERROR(__xludf.DUMMYFUNCTION("""COMPUTED_VALUE"""),2510.0)</f>
        <v>2510</v>
      </c>
      <c r="F1081" s="2">
        <f>IFERROR(__xludf.DUMMYFUNCTION("""COMPUTED_VALUE"""),4.57391E7)</f>
        <v>45739100</v>
      </c>
      <c r="G1081" s="2">
        <f t="shared" si="1"/>
        <v>120</v>
      </c>
    </row>
    <row r="1082" ht="15.75" customHeight="1">
      <c r="A1082" s="1">
        <f>IFERROR(__xludf.DUMMYFUNCTION("""COMPUTED_VALUE"""),45468.66666666667)</f>
        <v>45468.66667</v>
      </c>
      <c r="B1082" s="2">
        <f>IFERROR(__xludf.DUMMYFUNCTION("""COMPUTED_VALUE"""),2520.0)</f>
        <v>2520</v>
      </c>
      <c r="C1082" s="2">
        <f>IFERROR(__xludf.DUMMYFUNCTION("""COMPUTED_VALUE"""),2580.0)</f>
        <v>2580</v>
      </c>
      <c r="D1082" s="2">
        <f>IFERROR(__xludf.DUMMYFUNCTION("""COMPUTED_VALUE"""),2460.0)</f>
        <v>2460</v>
      </c>
      <c r="E1082" s="2">
        <f>IFERROR(__xludf.DUMMYFUNCTION("""COMPUTED_VALUE"""),2500.0)</f>
        <v>2500</v>
      </c>
      <c r="F1082" s="2">
        <f>IFERROR(__xludf.DUMMYFUNCTION("""COMPUTED_VALUE"""),4.11637E7)</f>
        <v>41163700</v>
      </c>
      <c r="G1082" s="2">
        <f t="shared" si="1"/>
        <v>120</v>
      </c>
    </row>
    <row r="1083" ht="15.75" customHeight="1">
      <c r="A1083" s="1">
        <f>IFERROR(__xludf.DUMMYFUNCTION("""COMPUTED_VALUE"""),45469.66666666667)</f>
        <v>45469.66667</v>
      </c>
      <c r="B1083" s="2">
        <f>IFERROR(__xludf.DUMMYFUNCTION("""COMPUTED_VALUE"""),2500.0)</f>
        <v>2500</v>
      </c>
      <c r="C1083" s="2">
        <f>IFERROR(__xludf.DUMMYFUNCTION("""COMPUTED_VALUE"""),2560.0)</f>
        <v>2560</v>
      </c>
      <c r="D1083" s="2">
        <f>IFERROR(__xludf.DUMMYFUNCTION("""COMPUTED_VALUE"""),2500.0)</f>
        <v>2500</v>
      </c>
      <c r="E1083" s="2">
        <f>IFERROR(__xludf.DUMMYFUNCTION("""COMPUTED_VALUE"""),2550.0)</f>
        <v>2550</v>
      </c>
      <c r="F1083" s="2">
        <f>IFERROR(__xludf.DUMMYFUNCTION("""COMPUTED_VALUE"""),3.01145E7)</f>
        <v>30114500</v>
      </c>
      <c r="G1083" s="2">
        <f t="shared" si="1"/>
        <v>60</v>
      </c>
    </row>
    <row r="1084" ht="15.75" customHeight="1">
      <c r="A1084" s="1">
        <f>IFERROR(__xludf.DUMMYFUNCTION("""COMPUTED_VALUE"""),45470.66666666667)</f>
        <v>45470.66667</v>
      </c>
      <c r="B1084" s="2">
        <f>IFERROR(__xludf.DUMMYFUNCTION("""COMPUTED_VALUE"""),2550.0)</f>
        <v>2550</v>
      </c>
      <c r="C1084" s="2">
        <f>IFERROR(__xludf.DUMMYFUNCTION("""COMPUTED_VALUE"""),2610.0)</f>
        <v>2610</v>
      </c>
      <c r="D1084" s="2">
        <f>IFERROR(__xludf.DUMMYFUNCTION("""COMPUTED_VALUE"""),2520.0)</f>
        <v>2520</v>
      </c>
      <c r="E1084" s="2">
        <f>IFERROR(__xludf.DUMMYFUNCTION("""COMPUTED_VALUE"""),2540.0)</f>
        <v>2540</v>
      </c>
      <c r="F1084" s="2">
        <f>IFERROR(__xludf.DUMMYFUNCTION("""COMPUTED_VALUE"""),3.68E7)</f>
        <v>36800000</v>
      </c>
      <c r="G1084" s="2">
        <f t="shared" si="1"/>
        <v>90</v>
      </c>
    </row>
    <row r="1085" ht="15.75" customHeight="1">
      <c r="A1085" s="1">
        <f>IFERROR(__xludf.DUMMYFUNCTION("""COMPUTED_VALUE"""),45471.66666666667)</f>
        <v>45471.66667</v>
      </c>
      <c r="B1085" s="2">
        <f>IFERROR(__xludf.DUMMYFUNCTION("""COMPUTED_VALUE"""),2550.0)</f>
        <v>2550</v>
      </c>
      <c r="C1085" s="2">
        <f>IFERROR(__xludf.DUMMYFUNCTION("""COMPUTED_VALUE"""),2630.0)</f>
        <v>2630</v>
      </c>
      <c r="D1085" s="2">
        <f>IFERROR(__xludf.DUMMYFUNCTION("""COMPUTED_VALUE"""),2550.0)</f>
        <v>2550</v>
      </c>
      <c r="E1085" s="2">
        <f>IFERROR(__xludf.DUMMYFUNCTION("""COMPUTED_VALUE"""),2620.0)</f>
        <v>2620</v>
      </c>
      <c r="F1085" s="2">
        <f>IFERROR(__xludf.DUMMYFUNCTION("""COMPUTED_VALUE"""),8.09722E7)</f>
        <v>80972200</v>
      </c>
      <c r="G1085" s="2">
        <f t="shared" si="1"/>
        <v>90</v>
      </c>
    </row>
    <row r="1086" ht="15.75" customHeight="1">
      <c r="A1086" s="1">
        <f>IFERROR(__xludf.DUMMYFUNCTION("""COMPUTED_VALUE"""),45474.66666666667)</f>
        <v>45474.66667</v>
      </c>
      <c r="B1086" s="2">
        <f>IFERROR(__xludf.DUMMYFUNCTION("""COMPUTED_VALUE"""),2680.0)</f>
        <v>2680</v>
      </c>
      <c r="C1086" s="2">
        <f>IFERROR(__xludf.DUMMYFUNCTION("""COMPUTED_VALUE"""),2680.0)</f>
        <v>2680</v>
      </c>
      <c r="D1086" s="2">
        <f>IFERROR(__xludf.DUMMYFUNCTION("""COMPUTED_VALUE"""),2540.0)</f>
        <v>2540</v>
      </c>
      <c r="E1086" s="2">
        <f>IFERROR(__xludf.DUMMYFUNCTION("""COMPUTED_VALUE"""),2610.0)</f>
        <v>2610</v>
      </c>
      <c r="F1086" s="2">
        <f>IFERROR(__xludf.DUMMYFUNCTION("""COMPUTED_VALUE"""),3.67122E7)</f>
        <v>36712200</v>
      </c>
      <c r="G1086" s="2">
        <f t="shared" si="1"/>
        <v>140</v>
      </c>
    </row>
    <row r="1087" ht="15.75" customHeight="1">
      <c r="A1087" s="1">
        <f>IFERROR(__xludf.DUMMYFUNCTION("""COMPUTED_VALUE"""),45475.66666666667)</f>
        <v>45475.66667</v>
      </c>
      <c r="B1087" s="2">
        <f>IFERROR(__xludf.DUMMYFUNCTION("""COMPUTED_VALUE"""),2610.0)</f>
        <v>2610</v>
      </c>
      <c r="C1087" s="2">
        <f>IFERROR(__xludf.DUMMYFUNCTION("""COMPUTED_VALUE"""),2610.0)</f>
        <v>2610</v>
      </c>
      <c r="D1087" s="2">
        <f>IFERROR(__xludf.DUMMYFUNCTION("""COMPUTED_VALUE"""),2540.0)</f>
        <v>2540</v>
      </c>
      <c r="E1087" s="2">
        <f>IFERROR(__xludf.DUMMYFUNCTION("""COMPUTED_VALUE"""),2560.0)</f>
        <v>2560</v>
      </c>
      <c r="F1087" s="2">
        <f>IFERROR(__xludf.DUMMYFUNCTION("""COMPUTED_VALUE"""),1.92722E7)</f>
        <v>19272200</v>
      </c>
      <c r="G1087" s="2">
        <f t="shared" si="1"/>
        <v>70</v>
      </c>
    </row>
    <row r="1088" ht="15.75" customHeight="1">
      <c r="A1088" s="1">
        <f>IFERROR(__xludf.DUMMYFUNCTION("""COMPUTED_VALUE"""),45476.66666666667)</f>
        <v>45476.66667</v>
      </c>
      <c r="B1088" s="2">
        <f>IFERROR(__xludf.DUMMYFUNCTION("""COMPUTED_VALUE"""),2570.0)</f>
        <v>2570</v>
      </c>
      <c r="C1088" s="2">
        <f>IFERROR(__xludf.DUMMYFUNCTION("""COMPUTED_VALUE"""),2590.0)</f>
        <v>2590</v>
      </c>
      <c r="D1088" s="2">
        <f>IFERROR(__xludf.DUMMYFUNCTION("""COMPUTED_VALUE"""),2470.0)</f>
        <v>2470</v>
      </c>
      <c r="E1088" s="2">
        <f>IFERROR(__xludf.DUMMYFUNCTION("""COMPUTED_VALUE"""),2500.0)</f>
        <v>2500</v>
      </c>
      <c r="F1088" s="2">
        <f>IFERROR(__xludf.DUMMYFUNCTION("""COMPUTED_VALUE"""),3.51066E7)</f>
        <v>35106600</v>
      </c>
      <c r="G1088" s="2">
        <f t="shared" si="1"/>
        <v>120</v>
      </c>
    </row>
    <row r="1089" ht="15.75" customHeight="1">
      <c r="A1089" s="1">
        <f>IFERROR(__xludf.DUMMYFUNCTION("""COMPUTED_VALUE"""),45477.66666666667)</f>
        <v>45477.66667</v>
      </c>
      <c r="B1089" s="2">
        <f>IFERROR(__xludf.DUMMYFUNCTION("""COMPUTED_VALUE"""),2500.0)</f>
        <v>2500</v>
      </c>
      <c r="C1089" s="2">
        <f>IFERROR(__xludf.DUMMYFUNCTION("""COMPUTED_VALUE"""),2550.0)</f>
        <v>2550</v>
      </c>
      <c r="D1089" s="2">
        <f>IFERROR(__xludf.DUMMYFUNCTION("""COMPUTED_VALUE"""),2480.0)</f>
        <v>2480</v>
      </c>
      <c r="E1089" s="2">
        <f>IFERROR(__xludf.DUMMYFUNCTION("""COMPUTED_VALUE"""),2490.0)</f>
        <v>2490</v>
      </c>
      <c r="F1089" s="2">
        <f>IFERROR(__xludf.DUMMYFUNCTION("""COMPUTED_VALUE"""),2.89131E7)</f>
        <v>28913100</v>
      </c>
      <c r="G1089" s="2">
        <f t="shared" si="1"/>
        <v>70</v>
      </c>
    </row>
    <row r="1090" ht="15.75" customHeight="1">
      <c r="A1090" s="1">
        <f>IFERROR(__xludf.DUMMYFUNCTION("""COMPUTED_VALUE"""),45478.66666666667)</f>
        <v>45478.66667</v>
      </c>
      <c r="B1090" s="2">
        <f>IFERROR(__xludf.DUMMYFUNCTION("""COMPUTED_VALUE"""),2490.0)</f>
        <v>2490</v>
      </c>
      <c r="C1090" s="2">
        <f>IFERROR(__xludf.DUMMYFUNCTION("""COMPUTED_VALUE"""),2530.0)</f>
        <v>2530</v>
      </c>
      <c r="D1090" s="2">
        <f>IFERROR(__xludf.DUMMYFUNCTION("""COMPUTED_VALUE"""),2470.0)</f>
        <v>2470</v>
      </c>
      <c r="E1090" s="2">
        <f>IFERROR(__xludf.DUMMYFUNCTION("""COMPUTED_VALUE"""),2490.0)</f>
        <v>2490</v>
      </c>
      <c r="F1090" s="2">
        <f>IFERROR(__xludf.DUMMYFUNCTION("""COMPUTED_VALUE"""),2.10063E7)</f>
        <v>21006300</v>
      </c>
      <c r="G1090" s="2">
        <f t="shared" si="1"/>
        <v>60</v>
      </c>
    </row>
    <row r="1091" ht="15.75" customHeight="1">
      <c r="A1091" s="1">
        <f>IFERROR(__xludf.DUMMYFUNCTION("""COMPUTED_VALUE"""),45481.66666666667)</f>
        <v>45481.66667</v>
      </c>
      <c r="B1091" s="2">
        <f>IFERROR(__xludf.DUMMYFUNCTION("""COMPUTED_VALUE"""),2500.0)</f>
        <v>2500</v>
      </c>
      <c r="C1091" s="2">
        <f>IFERROR(__xludf.DUMMYFUNCTION("""COMPUTED_VALUE"""),2500.0)</f>
        <v>2500</v>
      </c>
      <c r="D1091" s="2">
        <f>IFERROR(__xludf.DUMMYFUNCTION("""COMPUTED_VALUE"""),2430.0)</f>
        <v>2430</v>
      </c>
      <c r="E1091" s="2">
        <f>IFERROR(__xludf.DUMMYFUNCTION("""COMPUTED_VALUE"""),2450.0)</f>
        <v>2450</v>
      </c>
      <c r="F1091" s="2">
        <f>IFERROR(__xludf.DUMMYFUNCTION("""COMPUTED_VALUE"""),3.37122E7)</f>
        <v>33712200</v>
      </c>
      <c r="G1091" s="2">
        <f t="shared" si="1"/>
        <v>70</v>
      </c>
    </row>
    <row r="1092" ht="15.75" customHeight="1">
      <c r="A1092" s="1">
        <f>IFERROR(__xludf.DUMMYFUNCTION("""COMPUTED_VALUE"""),45482.66666666667)</f>
        <v>45482.66667</v>
      </c>
      <c r="B1092" s="2">
        <f>IFERROR(__xludf.DUMMYFUNCTION("""COMPUTED_VALUE"""),2460.0)</f>
        <v>2460</v>
      </c>
      <c r="C1092" s="2">
        <f>IFERROR(__xludf.DUMMYFUNCTION("""COMPUTED_VALUE"""),2540.0)</f>
        <v>2540</v>
      </c>
      <c r="D1092" s="2">
        <f>IFERROR(__xludf.DUMMYFUNCTION("""COMPUTED_VALUE"""),2450.0)</f>
        <v>2450</v>
      </c>
      <c r="E1092" s="2">
        <f>IFERROR(__xludf.DUMMYFUNCTION("""COMPUTED_VALUE"""),2520.0)</f>
        <v>2520</v>
      </c>
      <c r="F1092" s="2">
        <f>IFERROR(__xludf.DUMMYFUNCTION("""COMPUTED_VALUE"""),5.06156E7)</f>
        <v>50615600</v>
      </c>
      <c r="G1092" s="2">
        <f t="shared" si="1"/>
        <v>90</v>
      </c>
    </row>
    <row r="1093" ht="15.75" customHeight="1">
      <c r="A1093" s="1">
        <f>IFERROR(__xludf.DUMMYFUNCTION("""COMPUTED_VALUE"""),45483.66666666667)</f>
        <v>45483.66667</v>
      </c>
      <c r="B1093" s="2">
        <f>IFERROR(__xludf.DUMMYFUNCTION("""COMPUTED_VALUE"""),2530.0)</f>
        <v>2530</v>
      </c>
      <c r="C1093" s="2">
        <f>IFERROR(__xludf.DUMMYFUNCTION("""COMPUTED_VALUE"""),2550.0)</f>
        <v>2550</v>
      </c>
      <c r="D1093" s="2">
        <f>IFERROR(__xludf.DUMMYFUNCTION("""COMPUTED_VALUE"""),2470.0)</f>
        <v>2470</v>
      </c>
      <c r="E1093" s="2">
        <f>IFERROR(__xludf.DUMMYFUNCTION("""COMPUTED_VALUE"""),2470.0)</f>
        <v>2470</v>
      </c>
      <c r="F1093" s="2">
        <f>IFERROR(__xludf.DUMMYFUNCTION("""COMPUTED_VALUE"""),2.46988E7)</f>
        <v>24698800</v>
      </c>
      <c r="G1093" s="2">
        <f t="shared" si="1"/>
        <v>80</v>
      </c>
    </row>
    <row r="1094" ht="15.75" customHeight="1">
      <c r="A1094" s="1">
        <f>IFERROR(__xludf.DUMMYFUNCTION("""COMPUTED_VALUE"""),45484.66666666667)</f>
        <v>45484.66667</v>
      </c>
      <c r="B1094" s="2">
        <f>IFERROR(__xludf.DUMMYFUNCTION("""COMPUTED_VALUE"""),2490.0)</f>
        <v>2490</v>
      </c>
      <c r="C1094" s="2">
        <f>IFERROR(__xludf.DUMMYFUNCTION("""COMPUTED_VALUE"""),2530.0)</f>
        <v>2530</v>
      </c>
      <c r="D1094" s="2">
        <f>IFERROR(__xludf.DUMMYFUNCTION("""COMPUTED_VALUE"""),2480.0)</f>
        <v>2480</v>
      </c>
      <c r="E1094" s="2">
        <f>IFERROR(__xludf.DUMMYFUNCTION("""COMPUTED_VALUE"""),2510.0)</f>
        <v>2510</v>
      </c>
      <c r="F1094" s="2">
        <f>IFERROR(__xludf.DUMMYFUNCTION("""COMPUTED_VALUE"""),2.04147E7)</f>
        <v>20414700</v>
      </c>
      <c r="G1094" s="2">
        <f t="shared" si="1"/>
        <v>60</v>
      </c>
    </row>
    <row r="1095" ht="15.75" customHeight="1">
      <c r="A1095" s="1">
        <f>IFERROR(__xludf.DUMMYFUNCTION("""COMPUTED_VALUE"""),45485.66666666667)</f>
        <v>45485.66667</v>
      </c>
      <c r="B1095" s="2">
        <f>IFERROR(__xludf.DUMMYFUNCTION("""COMPUTED_VALUE"""),2520.0)</f>
        <v>2520</v>
      </c>
      <c r="C1095" s="2">
        <f>IFERROR(__xludf.DUMMYFUNCTION("""COMPUTED_VALUE"""),2560.0)</f>
        <v>2560</v>
      </c>
      <c r="D1095" s="2">
        <f>IFERROR(__xludf.DUMMYFUNCTION("""COMPUTED_VALUE"""),2490.0)</f>
        <v>2490</v>
      </c>
      <c r="E1095" s="2">
        <f>IFERROR(__xludf.DUMMYFUNCTION("""COMPUTED_VALUE"""),2510.0)</f>
        <v>2510</v>
      </c>
      <c r="F1095" s="2">
        <f>IFERROR(__xludf.DUMMYFUNCTION("""COMPUTED_VALUE"""),4.35832E7)</f>
        <v>43583200</v>
      </c>
      <c r="G1095" s="2">
        <f t="shared" si="1"/>
        <v>70</v>
      </c>
    </row>
    <row r="1096" ht="15.75" customHeight="1">
      <c r="A1096" s="1">
        <f>IFERROR(__xludf.DUMMYFUNCTION("""COMPUTED_VALUE"""),45488.66666666667)</f>
        <v>45488.66667</v>
      </c>
      <c r="B1096" s="2">
        <f>IFERROR(__xludf.DUMMYFUNCTION("""COMPUTED_VALUE"""),2510.0)</f>
        <v>2510</v>
      </c>
      <c r="C1096" s="2">
        <f>IFERROR(__xludf.DUMMYFUNCTION("""COMPUTED_VALUE"""),2520.0)</f>
        <v>2520</v>
      </c>
      <c r="D1096" s="2">
        <f>IFERROR(__xludf.DUMMYFUNCTION("""COMPUTED_VALUE"""),2470.0)</f>
        <v>2470</v>
      </c>
      <c r="E1096" s="2">
        <f>IFERROR(__xludf.DUMMYFUNCTION("""COMPUTED_VALUE"""),2480.0)</f>
        <v>2480</v>
      </c>
      <c r="F1096" s="2">
        <f>IFERROR(__xludf.DUMMYFUNCTION("""COMPUTED_VALUE"""),1.65675E7)</f>
        <v>16567500</v>
      </c>
      <c r="G1096" s="2">
        <f t="shared" si="1"/>
        <v>50</v>
      </c>
    </row>
    <row r="1097" ht="15.75" customHeight="1">
      <c r="A1097" s="1">
        <f>IFERROR(__xludf.DUMMYFUNCTION("""COMPUTED_VALUE"""),45489.66666666667)</f>
        <v>45489.66667</v>
      </c>
      <c r="B1097" s="2">
        <f>IFERROR(__xludf.DUMMYFUNCTION("""COMPUTED_VALUE"""),2480.0)</f>
        <v>2480</v>
      </c>
      <c r="C1097" s="2">
        <f>IFERROR(__xludf.DUMMYFUNCTION("""COMPUTED_VALUE"""),2490.0)</f>
        <v>2490</v>
      </c>
      <c r="D1097" s="2">
        <f>IFERROR(__xludf.DUMMYFUNCTION("""COMPUTED_VALUE"""),2450.0)</f>
        <v>2450</v>
      </c>
      <c r="E1097" s="2">
        <f>IFERROR(__xludf.DUMMYFUNCTION("""COMPUTED_VALUE"""),2460.0)</f>
        <v>2460</v>
      </c>
      <c r="F1097" s="2">
        <f>IFERROR(__xludf.DUMMYFUNCTION("""COMPUTED_VALUE"""),1.46912E7)</f>
        <v>14691200</v>
      </c>
      <c r="G1097" s="2">
        <f t="shared" si="1"/>
        <v>40</v>
      </c>
    </row>
    <row r="1098" ht="15.75" customHeight="1">
      <c r="A1098" s="1">
        <f>IFERROR(__xludf.DUMMYFUNCTION("""COMPUTED_VALUE"""),45490.66666666667)</f>
        <v>45490.66667</v>
      </c>
      <c r="B1098" s="2">
        <f>IFERROR(__xludf.DUMMYFUNCTION("""COMPUTED_VALUE"""),2470.0)</f>
        <v>2470</v>
      </c>
      <c r="C1098" s="2">
        <f>IFERROR(__xludf.DUMMYFUNCTION("""COMPUTED_VALUE"""),2500.0)</f>
        <v>2500</v>
      </c>
      <c r="D1098" s="2">
        <f>IFERROR(__xludf.DUMMYFUNCTION("""COMPUTED_VALUE"""),2470.0)</f>
        <v>2470</v>
      </c>
      <c r="E1098" s="2">
        <f>IFERROR(__xludf.DUMMYFUNCTION("""COMPUTED_VALUE"""),2480.0)</f>
        <v>2480</v>
      </c>
      <c r="F1098" s="2">
        <f>IFERROR(__xludf.DUMMYFUNCTION("""COMPUTED_VALUE"""),1.54069E7)</f>
        <v>15406900</v>
      </c>
      <c r="G1098" s="2">
        <f t="shared" si="1"/>
        <v>40</v>
      </c>
    </row>
    <row r="1099" ht="15.75" customHeight="1">
      <c r="A1099" s="1">
        <f>IFERROR(__xludf.DUMMYFUNCTION("""COMPUTED_VALUE"""),45491.66666666667)</f>
        <v>45491.66667</v>
      </c>
      <c r="B1099" s="2">
        <f>IFERROR(__xludf.DUMMYFUNCTION("""COMPUTED_VALUE"""),2480.0)</f>
        <v>2480</v>
      </c>
      <c r="C1099" s="2">
        <f>IFERROR(__xludf.DUMMYFUNCTION("""COMPUTED_VALUE"""),2510.0)</f>
        <v>2510</v>
      </c>
      <c r="D1099" s="2">
        <f>IFERROR(__xludf.DUMMYFUNCTION("""COMPUTED_VALUE"""),2460.0)</f>
        <v>2460</v>
      </c>
      <c r="E1099" s="2">
        <f>IFERROR(__xludf.DUMMYFUNCTION("""COMPUTED_VALUE"""),2490.0)</f>
        <v>2490</v>
      </c>
      <c r="F1099" s="2">
        <f>IFERROR(__xludf.DUMMYFUNCTION("""COMPUTED_VALUE"""),2.00956E7)</f>
        <v>20095600</v>
      </c>
      <c r="G1099" s="2">
        <f t="shared" si="1"/>
        <v>50</v>
      </c>
    </row>
    <row r="1100" ht="15.75" customHeight="1">
      <c r="A1100" s="1">
        <f>IFERROR(__xludf.DUMMYFUNCTION("""COMPUTED_VALUE"""),45492.66666666667)</f>
        <v>45492.66667</v>
      </c>
      <c r="B1100" s="2">
        <f>IFERROR(__xludf.DUMMYFUNCTION("""COMPUTED_VALUE"""),2490.0)</f>
        <v>2490</v>
      </c>
      <c r="C1100" s="2">
        <f>IFERROR(__xludf.DUMMYFUNCTION("""COMPUTED_VALUE"""),2490.0)</f>
        <v>2490</v>
      </c>
      <c r="D1100" s="2">
        <f>IFERROR(__xludf.DUMMYFUNCTION("""COMPUTED_VALUE"""),2450.0)</f>
        <v>2450</v>
      </c>
      <c r="E1100" s="2">
        <f>IFERROR(__xludf.DUMMYFUNCTION("""COMPUTED_VALUE"""),2450.0)</f>
        <v>2450</v>
      </c>
      <c r="F1100" s="2">
        <f>IFERROR(__xludf.DUMMYFUNCTION("""COMPUTED_VALUE"""),2.00053E7)</f>
        <v>20005300</v>
      </c>
      <c r="G1100" s="2">
        <f t="shared" si="1"/>
        <v>40</v>
      </c>
    </row>
    <row r="1101" ht="15.75" customHeight="1">
      <c r="A1101" s="1">
        <f>IFERROR(__xludf.DUMMYFUNCTION("""COMPUTED_VALUE"""),45495.66666666667)</f>
        <v>45495.66667</v>
      </c>
      <c r="B1101" s="2">
        <f>IFERROR(__xludf.DUMMYFUNCTION("""COMPUTED_VALUE"""),2460.0)</f>
        <v>2460</v>
      </c>
      <c r="C1101" s="2">
        <f>IFERROR(__xludf.DUMMYFUNCTION("""COMPUTED_VALUE"""),2570.0)</f>
        <v>2570</v>
      </c>
      <c r="D1101" s="2">
        <f>IFERROR(__xludf.DUMMYFUNCTION("""COMPUTED_VALUE"""),2460.0)</f>
        <v>2460</v>
      </c>
      <c r="E1101" s="2">
        <f>IFERROR(__xludf.DUMMYFUNCTION("""COMPUTED_VALUE"""),2560.0)</f>
        <v>2560</v>
      </c>
      <c r="F1101" s="2">
        <f>IFERROR(__xludf.DUMMYFUNCTION("""COMPUTED_VALUE"""),4.9721E7)</f>
        <v>49721000</v>
      </c>
      <c r="G1101" s="2">
        <f t="shared" si="1"/>
        <v>120</v>
      </c>
    </row>
    <row r="1102" ht="15.75" customHeight="1">
      <c r="A1102" s="1">
        <f>IFERROR(__xludf.DUMMYFUNCTION("""COMPUTED_VALUE"""),45496.66666666667)</f>
        <v>45496.66667</v>
      </c>
      <c r="B1102" s="2">
        <f>IFERROR(__xludf.DUMMYFUNCTION("""COMPUTED_VALUE"""),2580.0)</f>
        <v>2580</v>
      </c>
      <c r="C1102" s="2">
        <f>IFERROR(__xludf.DUMMYFUNCTION("""COMPUTED_VALUE"""),2590.0)</f>
        <v>2590</v>
      </c>
      <c r="D1102" s="2">
        <f>IFERROR(__xludf.DUMMYFUNCTION("""COMPUTED_VALUE"""),2520.0)</f>
        <v>2520</v>
      </c>
      <c r="E1102" s="2">
        <f>IFERROR(__xludf.DUMMYFUNCTION("""COMPUTED_VALUE"""),2530.0)</f>
        <v>2530</v>
      </c>
      <c r="F1102" s="2">
        <f>IFERROR(__xludf.DUMMYFUNCTION("""COMPUTED_VALUE"""),3.27389E7)</f>
        <v>32738900</v>
      </c>
      <c r="G1102" s="2">
        <f t="shared" si="1"/>
        <v>70</v>
      </c>
    </row>
    <row r="1103" ht="15.75" customHeight="1">
      <c r="A1103" s="1">
        <f>IFERROR(__xludf.DUMMYFUNCTION("""COMPUTED_VALUE"""),45497.66666666667)</f>
        <v>45497.66667</v>
      </c>
      <c r="B1103" s="2">
        <f>IFERROR(__xludf.DUMMYFUNCTION("""COMPUTED_VALUE"""),2540.0)</f>
        <v>2540</v>
      </c>
      <c r="C1103" s="2">
        <f>IFERROR(__xludf.DUMMYFUNCTION("""COMPUTED_VALUE"""),2540.0)</f>
        <v>2540</v>
      </c>
      <c r="D1103" s="2">
        <f>IFERROR(__xludf.DUMMYFUNCTION("""COMPUTED_VALUE"""),2480.0)</f>
        <v>2480</v>
      </c>
      <c r="E1103" s="2">
        <f>IFERROR(__xludf.DUMMYFUNCTION("""COMPUTED_VALUE"""),2500.0)</f>
        <v>2500</v>
      </c>
      <c r="F1103" s="2">
        <f>IFERROR(__xludf.DUMMYFUNCTION("""COMPUTED_VALUE"""),1.43506E7)</f>
        <v>14350600</v>
      </c>
      <c r="G1103" s="2">
        <f t="shared" si="1"/>
        <v>60</v>
      </c>
    </row>
    <row r="1104" ht="15.75" customHeight="1">
      <c r="A1104" s="1">
        <f>IFERROR(__xludf.DUMMYFUNCTION("""COMPUTED_VALUE"""),45498.66666666667)</f>
        <v>45498.66667</v>
      </c>
      <c r="B1104" s="2">
        <f>IFERROR(__xludf.DUMMYFUNCTION("""COMPUTED_VALUE"""),2490.0)</f>
        <v>2490</v>
      </c>
      <c r="C1104" s="2">
        <f>IFERROR(__xludf.DUMMYFUNCTION("""COMPUTED_VALUE"""),2490.0)</f>
        <v>2490</v>
      </c>
      <c r="D1104" s="2">
        <f>IFERROR(__xludf.DUMMYFUNCTION("""COMPUTED_VALUE"""),2390.0)</f>
        <v>2390</v>
      </c>
      <c r="E1104" s="2">
        <f>IFERROR(__xludf.DUMMYFUNCTION("""COMPUTED_VALUE"""),2420.0)</f>
        <v>2420</v>
      </c>
      <c r="F1104" s="2">
        <f>IFERROR(__xludf.DUMMYFUNCTION("""COMPUTED_VALUE"""),3.12351E7)</f>
        <v>31235100</v>
      </c>
      <c r="G1104" s="2">
        <f t="shared" si="1"/>
        <v>110</v>
      </c>
    </row>
    <row r="1105" ht="15.75" customHeight="1">
      <c r="A1105" s="1">
        <f>IFERROR(__xludf.DUMMYFUNCTION("""COMPUTED_VALUE"""),45499.66666666667)</f>
        <v>45499.66667</v>
      </c>
      <c r="B1105" s="2">
        <f>IFERROR(__xludf.DUMMYFUNCTION("""COMPUTED_VALUE"""),2430.0)</f>
        <v>2430</v>
      </c>
      <c r="C1105" s="2">
        <f>IFERROR(__xludf.DUMMYFUNCTION("""COMPUTED_VALUE"""),2470.0)</f>
        <v>2470</v>
      </c>
      <c r="D1105" s="2">
        <f>IFERROR(__xludf.DUMMYFUNCTION("""COMPUTED_VALUE"""),2430.0)</f>
        <v>2430</v>
      </c>
      <c r="E1105" s="2">
        <f>IFERROR(__xludf.DUMMYFUNCTION("""COMPUTED_VALUE"""),2460.0)</f>
        <v>2460</v>
      </c>
      <c r="F1105" s="2">
        <f>IFERROR(__xludf.DUMMYFUNCTION("""COMPUTED_VALUE"""),1.73858E7)</f>
        <v>17385800</v>
      </c>
      <c r="G1105" s="2">
        <f t="shared" si="1"/>
        <v>50</v>
      </c>
    </row>
    <row r="1106" ht="15.75" customHeight="1">
      <c r="A1106" s="1">
        <f>IFERROR(__xludf.DUMMYFUNCTION("""COMPUTED_VALUE"""),45502.66666666667)</f>
        <v>45502.66667</v>
      </c>
      <c r="B1106" s="2">
        <f>IFERROR(__xludf.DUMMYFUNCTION("""COMPUTED_VALUE"""),2480.0)</f>
        <v>2480</v>
      </c>
      <c r="C1106" s="2">
        <f>IFERROR(__xludf.DUMMYFUNCTION("""COMPUTED_VALUE"""),2500.0)</f>
        <v>2500</v>
      </c>
      <c r="D1106" s="2">
        <f>IFERROR(__xludf.DUMMYFUNCTION("""COMPUTED_VALUE"""),2440.0)</f>
        <v>2440</v>
      </c>
      <c r="E1106" s="2">
        <f>IFERROR(__xludf.DUMMYFUNCTION("""COMPUTED_VALUE"""),2480.0)</f>
        <v>2480</v>
      </c>
      <c r="F1106" s="2">
        <f>IFERROR(__xludf.DUMMYFUNCTION("""COMPUTED_VALUE"""),2.00607E7)</f>
        <v>20060700</v>
      </c>
      <c r="G1106" s="2">
        <f t="shared" si="1"/>
        <v>60</v>
      </c>
    </row>
    <row r="1107" ht="15.75" customHeight="1">
      <c r="A1107" s="1">
        <f>IFERROR(__xludf.DUMMYFUNCTION("""COMPUTED_VALUE"""),45503.66666666667)</f>
        <v>45503.66667</v>
      </c>
      <c r="B1107" s="2">
        <f>IFERROR(__xludf.DUMMYFUNCTION("""COMPUTED_VALUE"""),2480.0)</f>
        <v>2480</v>
      </c>
      <c r="C1107" s="2">
        <f>IFERROR(__xludf.DUMMYFUNCTION("""COMPUTED_VALUE"""),2500.0)</f>
        <v>2500</v>
      </c>
      <c r="D1107" s="2">
        <f>IFERROR(__xludf.DUMMYFUNCTION("""COMPUTED_VALUE"""),2460.0)</f>
        <v>2460</v>
      </c>
      <c r="E1107" s="2">
        <f>IFERROR(__xludf.DUMMYFUNCTION("""COMPUTED_VALUE"""),2480.0)</f>
        <v>2480</v>
      </c>
      <c r="F1107" s="2">
        <f>IFERROR(__xludf.DUMMYFUNCTION("""COMPUTED_VALUE"""),1.36852E7)</f>
        <v>13685200</v>
      </c>
      <c r="G1107" s="2">
        <f t="shared" si="1"/>
        <v>40</v>
      </c>
    </row>
    <row r="1108" ht="15.75" customHeight="1">
      <c r="A1108" s="1">
        <f>IFERROR(__xludf.DUMMYFUNCTION("""COMPUTED_VALUE"""),45504.66666666667)</f>
        <v>45504.66667</v>
      </c>
      <c r="B1108" s="2">
        <f>IFERROR(__xludf.DUMMYFUNCTION("""COMPUTED_VALUE"""),2490.0)</f>
        <v>2490</v>
      </c>
      <c r="C1108" s="2">
        <f>IFERROR(__xludf.DUMMYFUNCTION("""COMPUTED_VALUE"""),2620.0)</f>
        <v>2620</v>
      </c>
      <c r="D1108" s="2">
        <f>IFERROR(__xludf.DUMMYFUNCTION("""COMPUTED_VALUE"""),2490.0)</f>
        <v>2490</v>
      </c>
      <c r="E1108" s="2">
        <f>IFERROR(__xludf.DUMMYFUNCTION("""COMPUTED_VALUE"""),2600.0)</f>
        <v>2600</v>
      </c>
      <c r="F1108" s="2">
        <f>IFERROR(__xludf.DUMMYFUNCTION("""COMPUTED_VALUE"""),9.38016E7)</f>
        <v>93801600</v>
      </c>
      <c r="G1108" s="2">
        <f t="shared" si="1"/>
        <v>140</v>
      </c>
    </row>
    <row r="1109" ht="15.75" customHeight="1">
      <c r="A1109" s="1">
        <f>IFERROR(__xludf.DUMMYFUNCTION("""COMPUTED_VALUE"""),45505.66666666667)</f>
        <v>45505.66667</v>
      </c>
      <c r="B1109" s="2">
        <f>IFERROR(__xludf.DUMMYFUNCTION("""COMPUTED_VALUE"""),2600.0)</f>
        <v>2600</v>
      </c>
      <c r="C1109" s="2">
        <f>IFERROR(__xludf.DUMMYFUNCTION("""COMPUTED_VALUE"""),2640.0)</f>
        <v>2640</v>
      </c>
      <c r="D1109" s="2">
        <f>IFERROR(__xludf.DUMMYFUNCTION("""COMPUTED_VALUE"""),2570.0)</f>
        <v>2570</v>
      </c>
      <c r="E1109" s="2">
        <f>IFERROR(__xludf.DUMMYFUNCTION("""COMPUTED_VALUE"""),2580.0)</f>
        <v>2580</v>
      </c>
      <c r="F1109" s="2">
        <f>IFERROR(__xludf.DUMMYFUNCTION("""COMPUTED_VALUE"""),3.17674E7)</f>
        <v>31767400</v>
      </c>
      <c r="G1109" s="2">
        <f t="shared" si="1"/>
        <v>70</v>
      </c>
    </row>
    <row r="1110" ht="15.75" customHeight="1">
      <c r="A1110" s="1">
        <f>IFERROR(__xludf.DUMMYFUNCTION("""COMPUTED_VALUE"""),45506.66666666667)</f>
        <v>45506.66667</v>
      </c>
      <c r="B1110" s="2">
        <f>IFERROR(__xludf.DUMMYFUNCTION("""COMPUTED_VALUE"""),2550.0)</f>
        <v>2550</v>
      </c>
      <c r="C1110" s="2">
        <f>IFERROR(__xludf.DUMMYFUNCTION("""COMPUTED_VALUE"""),2580.0)</f>
        <v>2580</v>
      </c>
      <c r="D1110" s="2">
        <f>IFERROR(__xludf.DUMMYFUNCTION("""COMPUTED_VALUE"""),2520.0)</f>
        <v>2520</v>
      </c>
      <c r="E1110" s="2">
        <f>IFERROR(__xludf.DUMMYFUNCTION("""COMPUTED_VALUE"""),2550.0)</f>
        <v>2550</v>
      </c>
      <c r="F1110" s="2">
        <f>IFERROR(__xludf.DUMMYFUNCTION("""COMPUTED_VALUE"""),3.44135E7)</f>
        <v>34413500</v>
      </c>
      <c r="G1110" s="2">
        <f t="shared" si="1"/>
        <v>60</v>
      </c>
    </row>
    <row r="1111" ht="15.75" customHeight="1">
      <c r="A1111" s="1">
        <f>IFERROR(__xludf.DUMMYFUNCTION("""COMPUTED_VALUE"""),45509.66666666667)</f>
        <v>45509.66667</v>
      </c>
      <c r="B1111" s="2">
        <f>IFERROR(__xludf.DUMMYFUNCTION("""COMPUTED_VALUE"""),2490.0)</f>
        <v>2490</v>
      </c>
      <c r="C1111" s="2">
        <f>IFERROR(__xludf.DUMMYFUNCTION("""COMPUTED_VALUE"""),2500.0)</f>
        <v>2500</v>
      </c>
      <c r="D1111" s="2">
        <f>IFERROR(__xludf.DUMMYFUNCTION("""COMPUTED_VALUE"""),2360.0)</f>
        <v>2360</v>
      </c>
      <c r="E1111" s="2">
        <f>IFERROR(__xludf.DUMMYFUNCTION("""COMPUTED_VALUE"""),2420.0)</f>
        <v>2420</v>
      </c>
      <c r="F1111" s="2">
        <f>IFERROR(__xludf.DUMMYFUNCTION("""COMPUTED_VALUE"""),7.38209E7)</f>
        <v>73820900</v>
      </c>
      <c r="G1111" s="2">
        <f t="shared" si="1"/>
        <v>190</v>
      </c>
    </row>
    <row r="1112" ht="15.75" customHeight="1">
      <c r="A1112" s="1">
        <f>IFERROR(__xludf.DUMMYFUNCTION("""COMPUTED_VALUE"""),45510.66666666667)</f>
        <v>45510.66667</v>
      </c>
      <c r="B1112" s="2">
        <f>IFERROR(__xludf.DUMMYFUNCTION("""COMPUTED_VALUE"""),2440.0)</f>
        <v>2440</v>
      </c>
      <c r="C1112" s="2">
        <f>IFERROR(__xludf.DUMMYFUNCTION("""COMPUTED_VALUE"""),2510.0)</f>
        <v>2510</v>
      </c>
      <c r="D1112" s="2">
        <f>IFERROR(__xludf.DUMMYFUNCTION("""COMPUTED_VALUE"""),2420.0)</f>
        <v>2420</v>
      </c>
      <c r="E1112" s="2">
        <f>IFERROR(__xludf.DUMMYFUNCTION("""COMPUTED_VALUE"""),2500.0)</f>
        <v>2500</v>
      </c>
      <c r="F1112" s="2">
        <f>IFERROR(__xludf.DUMMYFUNCTION("""COMPUTED_VALUE"""),4.94363E7)</f>
        <v>49436300</v>
      </c>
      <c r="G1112" s="2">
        <f t="shared" si="1"/>
        <v>90</v>
      </c>
    </row>
    <row r="1113" ht="15.75" customHeight="1">
      <c r="A1113" s="1">
        <f>IFERROR(__xludf.DUMMYFUNCTION("""COMPUTED_VALUE"""),45511.66666666667)</f>
        <v>45511.66667</v>
      </c>
      <c r="B1113" s="2">
        <f>IFERROR(__xludf.DUMMYFUNCTION("""COMPUTED_VALUE"""),2510.0)</f>
        <v>2510</v>
      </c>
      <c r="C1113" s="2">
        <f>IFERROR(__xludf.DUMMYFUNCTION("""COMPUTED_VALUE"""),2530.0)</f>
        <v>2530</v>
      </c>
      <c r="D1113" s="2">
        <f>IFERROR(__xludf.DUMMYFUNCTION("""COMPUTED_VALUE"""),2480.0)</f>
        <v>2480</v>
      </c>
      <c r="E1113" s="2">
        <f>IFERROR(__xludf.DUMMYFUNCTION("""COMPUTED_VALUE"""),2520.0)</f>
        <v>2520</v>
      </c>
      <c r="F1113" s="2">
        <f>IFERROR(__xludf.DUMMYFUNCTION("""COMPUTED_VALUE"""),1.85119E7)</f>
        <v>18511900</v>
      </c>
      <c r="G1113" s="2">
        <f t="shared" si="1"/>
        <v>50</v>
      </c>
    </row>
    <row r="1114" ht="15.75" customHeight="1">
      <c r="A1114" s="1">
        <f>IFERROR(__xludf.DUMMYFUNCTION("""COMPUTED_VALUE"""),45512.66666666667)</f>
        <v>45512.66667</v>
      </c>
      <c r="B1114" s="2">
        <f>IFERROR(__xludf.DUMMYFUNCTION("""COMPUTED_VALUE"""),2510.0)</f>
        <v>2510</v>
      </c>
      <c r="C1114" s="2">
        <f>IFERROR(__xludf.DUMMYFUNCTION("""COMPUTED_VALUE"""),2540.0)</f>
        <v>2540</v>
      </c>
      <c r="D1114" s="2">
        <f>IFERROR(__xludf.DUMMYFUNCTION("""COMPUTED_VALUE"""),2480.0)</f>
        <v>2480</v>
      </c>
      <c r="E1114" s="2">
        <f>IFERROR(__xludf.DUMMYFUNCTION("""COMPUTED_VALUE"""),2520.0)</f>
        <v>2520</v>
      </c>
      <c r="F1114" s="2">
        <f>IFERROR(__xludf.DUMMYFUNCTION("""COMPUTED_VALUE"""),1.78052E7)</f>
        <v>17805200</v>
      </c>
      <c r="G1114" s="2">
        <f t="shared" si="1"/>
        <v>60</v>
      </c>
    </row>
    <row r="1115" ht="15.75" customHeight="1">
      <c r="A1115" s="1">
        <f>IFERROR(__xludf.DUMMYFUNCTION("""COMPUTED_VALUE"""),45513.66666666667)</f>
        <v>45513.66667</v>
      </c>
      <c r="B1115" s="2">
        <f>IFERROR(__xludf.DUMMYFUNCTION("""COMPUTED_VALUE"""),2540.0)</f>
        <v>2540</v>
      </c>
      <c r="C1115" s="2">
        <f>IFERROR(__xludf.DUMMYFUNCTION("""COMPUTED_VALUE"""),2600.0)</f>
        <v>2600</v>
      </c>
      <c r="D1115" s="2">
        <f>IFERROR(__xludf.DUMMYFUNCTION("""COMPUTED_VALUE"""),2520.0)</f>
        <v>2520</v>
      </c>
      <c r="E1115" s="2">
        <f>IFERROR(__xludf.DUMMYFUNCTION("""COMPUTED_VALUE"""),2590.0)</f>
        <v>2590</v>
      </c>
      <c r="F1115" s="2">
        <f>IFERROR(__xludf.DUMMYFUNCTION("""COMPUTED_VALUE"""),3.36119E7)</f>
        <v>33611900</v>
      </c>
      <c r="G1115" s="2">
        <f t="shared" si="1"/>
        <v>80</v>
      </c>
    </row>
    <row r="1116" ht="15.75" customHeight="1">
      <c r="A1116" s="1">
        <f>IFERROR(__xludf.DUMMYFUNCTION("""COMPUTED_VALUE"""),45516.66666666667)</f>
        <v>45516.66667</v>
      </c>
      <c r="B1116" s="2">
        <f>IFERROR(__xludf.DUMMYFUNCTION("""COMPUTED_VALUE"""),2590.0)</f>
        <v>2590</v>
      </c>
      <c r="C1116" s="2">
        <f>IFERROR(__xludf.DUMMYFUNCTION("""COMPUTED_VALUE"""),2630.0)</f>
        <v>2630</v>
      </c>
      <c r="D1116" s="2">
        <f>IFERROR(__xludf.DUMMYFUNCTION("""COMPUTED_VALUE"""),2560.0)</f>
        <v>2560</v>
      </c>
      <c r="E1116" s="2">
        <f>IFERROR(__xludf.DUMMYFUNCTION("""COMPUTED_VALUE"""),2600.0)</f>
        <v>2600</v>
      </c>
      <c r="F1116" s="2">
        <f>IFERROR(__xludf.DUMMYFUNCTION("""COMPUTED_VALUE"""),2.8093E7)</f>
        <v>28093000</v>
      </c>
      <c r="G1116" s="2">
        <f t="shared" si="1"/>
        <v>70</v>
      </c>
    </row>
    <row r="1117" ht="15.75" customHeight="1">
      <c r="A1117" s="1">
        <f>IFERROR(__xludf.DUMMYFUNCTION("""COMPUTED_VALUE"""),45517.66666666667)</f>
        <v>45517.66667</v>
      </c>
      <c r="B1117" s="2">
        <f>IFERROR(__xludf.DUMMYFUNCTION("""COMPUTED_VALUE"""),2600.0)</f>
        <v>2600</v>
      </c>
      <c r="C1117" s="2">
        <f>IFERROR(__xludf.DUMMYFUNCTION("""COMPUTED_VALUE"""),2670.0)</f>
        <v>2670</v>
      </c>
      <c r="D1117" s="2">
        <f>IFERROR(__xludf.DUMMYFUNCTION("""COMPUTED_VALUE"""),2590.0)</f>
        <v>2590</v>
      </c>
      <c r="E1117" s="2">
        <f>IFERROR(__xludf.DUMMYFUNCTION("""COMPUTED_VALUE"""),2670.0)</f>
        <v>2670</v>
      </c>
      <c r="F1117" s="2">
        <f>IFERROR(__xludf.DUMMYFUNCTION("""COMPUTED_VALUE"""),3.63565E7)</f>
        <v>36356500</v>
      </c>
      <c r="G1117" s="2">
        <f t="shared" si="1"/>
        <v>80</v>
      </c>
    </row>
    <row r="1118" ht="15.75" customHeight="1">
      <c r="A1118" s="1">
        <f>IFERROR(__xludf.DUMMYFUNCTION("""COMPUTED_VALUE"""),45518.66666666667)</f>
        <v>45518.66667</v>
      </c>
      <c r="B1118" s="2">
        <f>IFERROR(__xludf.DUMMYFUNCTION("""COMPUTED_VALUE"""),2670.0)</f>
        <v>2670</v>
      </c>
      <c r="C1118" s="2">
        <f>IFERROR(__xludf.DUMMYFUNCTION("""COMPUTED_VALUE"""),2680.0)</f>
        <v>2680</v>
      </c>
      <c r="D1118" s="2">
        <f>IFERROR(__xludf.DUMMYFUNCTION("""COMPUTED_VALUE"""),2630.0)</f>
        <v>2630</v>
      </c>
      <c r="E1118" s="2">
        <f>IFERROR(__xludf.DUMMYFUNCTION("""COMPUTED_VALUE"""),2660.0)</f>
        <v>2660</v>
      </c>
      <c r="F1118" s="2">
        <f>IFERROR(__xludf.DUMMYFUNCTION("""COMPUTED_VALUE"""),2.29428E7)</f>
        <v>22942800</v>
      </c>
      <c r="G1118" s="2">
        <f t="shared" si="1"/>
        <v>50</v>
      </c>
    </row>
    <row r="1119" ht="15.75" customHeight="1">
      <c r="A1119" s="1">
        <f>IFERROR(__xludf.DUMMYFUNCTION("""COMPUTED_VALUE"""),45519.66666666667)</f>
        <v>45519.66667</v>
      </c>
      <c r="B1119" s="2">
        <f>IFERROR(__xludf.DUMMYFUNCTION("""COMPUTED_VALUE"""),2680.0)</f>
        <v>2680</v>
      </c>
      <c r="C1119" s="2">
        <f>IFERROR(__xludf.DUMMYFUNCTION("""COMPUTED_VALUE"""),2700.0)</f>
        <v>2700</v>
      </c>
      <c r="D1119" s="2">
        <f>IFERROR(__xludf.DUMMYFUNCTION("""COMPUTED_VALUE"""),2610.0)</f>
        <v>2610</v>
      </c>
      <c r="E1119" s="2">
        <f>IFERROR(__xludf.DUMMYFUNCTION("""COMPUTED_VALUE"""),2660.0)</f>
        <v>2660</v>
      </c>
      <c r="F1119" s="2">
        <f>IFERROR(__xludf.DUMMYFUNCTION("""COMPUTED_VALUE"""),3.16854E7)</f>
        <v>31685400</v>
      </c>
      <c r="G1119" s="2">
        <f t="shared" si="1"/>
        <v>90</v>
      </c>
    </row>
    <row r="1120" ht="15.75" customHeight="1">
      <c r="A1120" s="1">
        <f>IFERROR(__xludf.DUMMYFUNCTION("""COMPUTED_VALUE"""),45520.66666666667)</f>
        <v>45520.66667</v>
      </c>
      <c r="B1120" s="2">
        <f>IFERROR(__xludf.DUMMYFUNCTION("""COMPUTED_VALUE"""),2680.0)</f>
        <v>2680</v>
      </c>
      <c r="C1120" s="2">
        <f>IFERROR(__xludf.DUMMYFUNCTION("""COMPUTED_VALUE"""),2680.0)</f>
        <v>2680</v>
      </c>
      <c r="D1120" s="2">
        <f>IFERROR(__xludf.DUMMYFUNCTION("""COMPUTED_VALUE"""),2610.0)</f>
        <v>2610</v>
      </c>
      <c r="E1120" s="2">
        <f>IFERROR(__xludf.DUMMYFUNCTION("""COMPUTED_VALUE"""),2620.0)</f>
        <v>2620</v>
      </c>
      <c r="F1120" s="2">
        <f>IFERROR(__xludf.DUMMYFUNCTION("""COMPUTED_VALUE"""),1.73705E7)</f>
        <v>17370500</v>
      </c>
      <c r="G1120" s="2">
        <f t="shared" si="1"/>
        <v>70</v>
      </c>
    </row>
    <row r="1121" ht="15.75" customHeight="1">
      <c r="A1121" s="1">
        <f>IFERROR(__xludf.DUMMYFUNCTION("""COMPUTED_VALUE"""),45523.66666666667)</f>
        <v>45523.66667</v>
      </c>
      <c r="B1121" s="2">
        <f>IFERROR(__xludf.DUMMYFUNCTION("""COMPUTED_VALUE"""),2620.0)</f>
        <v>2620</v>
      </c>
      <c r="C1121" s="2">
        <f>IFERROR(__xludf.DUMMYFUNCTION("""COMPUTED_VALUE"""),2630.0)</f>
        <v>2630</v>
      </c>
      <c r="D1121" s="2">
        <f>IFERROR(__xludf.DUMMYFUNCTION("""COMPUTED_VALUE"""),2590.0)</f>
        <v>2590</v>
      </c>
      <c r="E1121" s="2">
        <f>IFERROR(__xludf.DUMMYFUNCTION("""COMPUTED_VALUE"""),2610.0)</f>
        <v>2610</v>
      </c>
      <c r="F1121" s="2">
        <f>IFERROR(__xludf.DUMMYFUNCTION("""COMPUTED_VALUE"""),8351200.0)</f>
        <v>8351200</v>
      </c>
      <c r="G1121" s="2">
        <f t="shared" si="1"/>
        <v>40</v>
      </c>
    </row>
    <row r="1122" ht="15.75" customHeight="1">
      <c r="A1122" s="1">
        <f>IFERROR(__xludf.DUMMYFUNCTION("""COMPUTED_VALUE"""),45524.66666666667)</f>
        <v>45524.66667</v>
      </c>
      <c r="B1122" s="2">
        <f>IFERROR(__xludf.DUMMYFUNCTION("""COMPUTED_VALUE"""),2610.0)</f>
        <v>2610</v>
      </c>
      <c r="C1122" s="2">
        <f>IFERROR(__xludf.DUMMYFUNCTION("""COMPUTED_VALUE"""),2660.0)</f>
        <v>2660</v>
      </c>
      <c r="D1122" s="2">
        <f>IFERROR(__xludf.DUMMYFUNCTION("""COMPUTED_VALUE"""),2610.0)</f>
        <v>2610</v>
      </c>
      <c r="E1122" s="2">
        <f>IFERROR(__xludf.DUMMYFUNCTION("""COMPUTED_VALUE"""),2640.0)</f>
        <v>2640</v>
      </c>
      <c r="F1122" s="2">
        <f>IFERROR(__xludf.DUMMYFUNCTION("""COMPUTED_VALUE"""),2.33626E7)</f>
        <v>23362600</v>
      </c>
      <c r="G1122" s="2">
        <f t="shared" si="1"/>
        <v>50</v>
      </c>
    </row>
    <row r="1123" ht="15.75" customHeight="1">
      <c r="A1123" s="1">
        <f>IFERROR(__xludf.DUMMYFUNCTION("""COMPUTED_VALUE"""),45525.66666666667)</f>
        <v>45525.66667</v>
      </c>
      <c r="B1123" s="2">
        <f>IFERROR(__xludf.DUMMYFUNCTION("""COMPUTED_VALUE"""),2650.0)</f>
        <v>2650</v>
      </c>
      <c r="C1123" s="2">
        <f>IFERROR(__xludf.DUMMYFUNCTION("""COMPUTED_VALUE"""),2740.0)</f>
        <v>2740</v>
      </c>
      <c r="D1123" s="2">
        <f>IFERROR(__xludf.DUMMYFUNCTION("""COMPUTED_VALUE"""),2640.0)</f>
        <v>2640</v>
      </c>
      <c r="E1123" s="2">
        <f>IFERROR(__xludf.DUMMYFUNCTION("""COMPUTED_VALUE"""),2680.0)</f>
        <v>2680</v>
      </c>
      <c r="F1123" s="2">
        <f>IFERROR(__xludf.DUMMYFUNCTION("""COMPUTED_VALUE"""),5.16386E7)</f>
        <v>51638600</v>
      </c>
      <c r="G1123" s="2">
        <f t="shared" si="1"/>
        <v>100</v>
      </c>
    </row>
    <row r="1124" ht="15.75" customHeight="1">
      <c r="A1124" s="1">
        <f>IFERROR(__xludf.DUMMYFUNCTION("""COMPUTED_VALUE"""),45526.66666666667)</f>
        <v>45526.66667</v>
      </c>
      <c r="B1124" s="2">
        <f>IFERROR(__xludf.DUMMYFUNCTION("""COMPUTED_VALUE"""),2680.0)</f>
        <v>2680</v>
      </c>
      <c r="C1124" s="2">
        <f>IFERROR(__xludf.DUMMYFUNCTION("""COMPUTED_VALUE"""),2690.0)</f>
        <v>2690</v>
      </c>
      <c r="D1124" s="2">
        <f>IFERROR(__xludf.DUMMYFUNCTION("""COMPUTED_VALUE"""),2610.0)</f>
        <v>2610</v>
      </c>
      <c r="E1124" s="2">
        <f>IFERROR(__xludf.DUMMYFUNCTION("""COMPUTED_VALUE"""),2620.0)</f>
        <v>2620</v>
      </c>
      <c r="F1124" s="2">
        <f>IFERROR(__xludf.DUMMYFUNCTION("""COMPUTED_VALUE"""),4.04217E7)</f>
        <v>40421700</v>
      </c>
      <c r="G1124" s="2">
        <f t="shared" si="1"/>
        <v>80</v>
      </c>
    </row>
    <row r="1125" ht="15.75" customHeight="1">
      <c r="A1125" s="1">
        <f>IFERROR(__xludf.DUMMYFUNCTION("""COMPUTED_VALUE"""),45527.66666666667)</f>
        <v>45527.66667</v>
      </c>
      <c r="B1125" s="2">
        <f>IFERROR(__xludf.DUMMYFUNCTION("""COMPUTED_VALUE"""),2640.0)</f>
        <v>2640</v>
      </c>
      <c r="C1125" s="2">
        <f>IFERROR(__xludf.DUMMYFUNCTION("""COMPUTED_VALUE"""),2730.0)</f>
        <v>2730</v>
      </c>
      <c r="D1125" s="2">
        <f>IFERROR(__xludf.DUMMYFUNCTION("""COMPUTED_VALUE"""),2620.0)</f>
        <v>2620</v>
      </c>
      <c r="E1125" s="2">
        <f>IFERROR(__xludf.DUMMYFUNCTION("""COMPUTED_VALUE"""),2700.0)</f>
        <v>2700</v>
      </c>
      <c r="F1125" s="2">
        <f>IFERROR(__xludf.DUMMYFUNCTION("""COMPUTED_VALUE"""),3.32952E7)</f>
        <v>33295200</v>
      </c>
      <c r="G1125" s="2">
        <f t="shared" si="1"/>
        <v>110</v>
      </c>
    </row>
    <row r="1126" ht="15.75" customHeight="1">
      <c r="A1126" s="1">
        <f>IFERROR(__xludf.DUMMYFUNCTION("""COMPUTED_VALUE"""),45530.66666666667)</f>
        <v>45530.66667</v>
      </c>
      <c r="B1126" s="2">
        <f>IFERROR(__xludf.DUMMYFUNCTION("""COMPUTED_VALUE"""),2760.0)</f>
        <v>2760</v>
      </c>
      <c r="C1126" s="2">
        <f>IFERROR(__xludf.DUMMYFUNCTION("""COMPUTED_VALUE"""),2790.0)</f>
        <v>2790</v>
      </c>
      <c r="D1126" s="2">
        <f>IFERROR(__xludf.DUMMYFUNCTION("""COMPUTED_VALUE"""),2700.0)</f>
        <v>2700</v>
      </c>
      <c r="E1126" s="2">
        <f>IFERROR(__xludf.DUMMYFUNCTION("""COMPUTED_VALUE"""),2730.0)</f>
        <v>2730</v>
      </c>
      <c r="F1126" s="2">
        <f>IFERROR(__xludf.DUMMYFUNCTION("""COMPUTED_VALUE"""),7.19792E7)</f>
        <v>71979200</v>
      </c>
      <c r="G1126" s="2">
        <f t="shared" si="1"/>
        <v>90</v>
      </c>
    </row>
    <row r="1127" ht="15.75" customHeight="1">
      <c r="A1127" s="1">
        <f>IFERROR(__xludf.DUMMYFUNCTION("""COMPUTED_VALUE"""),45531.66666666667)</f>
        <v>45531.66667</v>
      </c>
      <c r="B1127" s="2">
        <f>IFERROR(__xludf.DUMMYFUNCTION("""COMPUTED_VALUE"""),2730.0)</f>
        <v>2730</v>
      </c>
      <c r="C1127" s="2">
        <f>IFERROR(__xludf.DUMMYFUNCTION("""COMPUTED_VALUE"""),2740.0)</f>
        <v>2740</v>
      </c>
      <c r="D1127" s="2">
        <f>IFERROR(__xludf.DUMMYFUNCTION("""COMPUTED_VALUE"""),2670.0)</f>
        <v>2670</v>
      </c>
      <c r="E1127" s="2">
        <f>IFERROR(__xludf.DUMMYFUNCTION("""COMPUTED_VALUE"""),2740.0)</f>
        <v>2740</v>
      </c>
      <c r="F1127" s="2">
        <f>IFERROR(__xludf.DUMMYFUNCTION("""COMPUTED_VALUE"""),2.54479E7)</f>
        <v>25447900</v>
      </c>
      <c r="G1127" s="2">
        <f t="shared" si="1"/>
        <v>70</v>
      </c>
    </row>
    <row r="1128" ht="15.75" customHeight="1">
      <c r="A1128" s="1">
        <f>IFERROR(__xludf.DUMMYFUNCTION("""COMPUTED_VALUE"""),45532.66666666667)</f>
        <v>45532.66667</v>
      </c>
      <c r="B1128" s="2">
        <f>IFERROR(__xludf.DUMMYFUNCTION("""COMPUTED_VALUE"""),2740.0)</f>
        <v>2740</v>
      </c>
      <c r="C1128" s="2">
        <f>IFERROR(__xludf.DUMMYFUNCTION("""COMPUTED_VALUE"""),2750.0)</f>
        <v>2750</v>
      </c>
      <c r="D1128" s="2">
        <f>IFERROR(__xludf.DUMMYFUNCTION("""COMPUTED_VALUE"""),2710.0)</f>
        <v>2710</v>
      </c>
      <c r="E1128" s="2">
        <f>IFERROR(__xludf.DUMMYFUNCTION("""COMPUTED_VALUE"""),2730.0)</f>
        <v>2730</v>
      </c>
      <c r="F1128" s="2">
        <f>IFERROR(__xludf.DUMMYFUNCTION("""COMPUTED_VALUE"""),2.39686E7)</f>
        <v>23968600</v>
      </c>
      <c r="G1128" s="2">
        <f t="shared" si="1"/>
        <v>40</v>
      </c>
    </row>
    <row r="1129" ht="15.75" customHeight="1">
      <c r="A1129" s="1">
        <f>IFERROR(__xludf.DUMMYFUNCTION("""COMPUTED_VALUE"""),45533.66666666667)</f>
        <v>45533.66667</v>
      </c>
      <c r="B1129" s="2">
        <f>IFERROR(__xludf.DUMMYFUNCTION("""COMPUTED_VALUE"""),2700.0)</f>
        <v>2700</v>
      </c>
      <c r="C1129" s="2">
        <f>IFERROR(__xludf.DUMMYFUNCTION("""COMPUTED_VALUE"""),2710.0)</f>
        <v>2710</v>
      </c>
      <c r="D1129" s="2">
        <f>IFERROR(__xludf.DUMMYFUNCTION("""COMPUTED_VALUE"""),2680.0)</f>
        <v>2680</v>
      </c>
      <c r="E1129" s="2">
        <f>IFERROR(__xludf.DUMMYFUNCTION("""COMPUTED_VALUE"""),2680.0)</f>
        <v>2680</v>
      </c>
      <c r="F1129" s="2">
        <f>IFERROR(__xludf.DUMMYFUNCTION("""COMPUTED_VALUE"""),2.85563E7)</f>
        <v>28556300</v>
      </c>
      <c r="G1129" s="2">
        <f t="shared" si="1"/>
        <v>50</v>
      </c>
    </row>
    <row r="1130" ht="15.75" customHeight="1">
      <c r="A1130" s="1">
        <f>IFERROR(__xludf.DUMMYFUNCTION("""COMPUTED_VALUE"""),45534.66666666667)</f>
        <v>45534.66667</v>
      </c>
      <c r="B1130" s="2">
        <f>IFERROR(__xludf.DUMMYFUNCTION("""COMPUTED_VALUE"""),2680.0)</f>
        <v>2680</v>
      </c>
      <c r="C1130" s="2">
        <f>IFERROR(__xludf.DUMMYFUNCTION("""COMPUTED_VALUE"""),2700.0)</f>
        <v>2700</v>
      </c>
      <c r="D1130" s="2">
        <f>IFERROR(__xludf.DUMMYFUNCTION("""COMPUTED_VALUE"""),2620.0)</f>
        <v>2620</v>
      </c>
      <c r="E1130" s="2">
        <f>IFERROR(__xludf.DUMMYFUNCTION("""COMPUTED_VALUE"""),2650.0)</f>
        <v>2650</v>
      </c>
      <c r="F1130" s="2">
        <f>IFERROR(__xludf.DUMMYFUNCTION("""COMPUTED_VALUE"""),2.71504E7)</f>
        <v>27150400</v>
      </c>
      <c r="G1130" s="2">
        <f t="shared" si="1"/>
        <v>80</v>
      </c>
    </row>
    <row r="1131" ht="15.75" customHeight="1">
      <c r="A1131" s="1">
        <f>IFERROR(__xludf.DUMMYFUNCTION("""COMPUTED_VALUE"""),45537.66666666667)</f>
        <v>45537.66667</v>
      </c>
      <c r="B1131" s="2">
        <f>IFERROR(__xludf.DUMMYFUNCTION("""COMPUTED_VALUE"""),2660.0)</f>
        <v>2660</v>
      </c>
      <c r="C1131" s="2">
        <f>IFERROR(__xludf.DUMMYFUNCTION("""COMPUTED_VALUE"""),2690.0)</f>
        <v>2690</v>
      </c>
      <c r="D1131" s="2">
        <f>IFERROR(__xludf.DUMMYFUNCTION("""COMPUTED_VALUE"""),2600.0)</f>
        <v>2600</v>
      </c>
      <c r="E1131" s="2">
        <f>IFERROR(__xludf.DUMMYFUNCTION("""COMPUTED_VALUE"""),2610.0)</f>
        <v>2610</v>
      </c>
      <c r="F1131" s="2">
        <f>IFERROR(__xludf.DUMMYFUNCTION("""COMPUTED_VALUE"""),4.47776E7)</f>
        <v>44777600</v>
      </c>
      <c r="G1131" s="2">
        <f t="shared" si="1"/>
        <v>90</v>
      </c>
    </row>
    <row r="1132" ht="15.75" customHeight="1">
      <c r="A1132" s="1">
        <f>IFERROR(__xludf.DUMMYFUNCTION("""COMPUTED_VALUE"""),45538.66666666667)</f>
        <v>45538.66667</v>
      </c>
      <c r="B1132" s="2">
        <f>IFERROR(__xludf.DUMMYFUNCTION("""COMPUTED_VALUE"""),2620.0)</f>
        <v>2620</v>
      </c>
      <c r="C1132" s="2">
        <f>IFERROR(__xludf.DUMMYFUNCTION("""COMPUTED_VALUE"""),2640.0)</f>
        <v>2640</v>
      </c>
      <c r="D1132" s="2">
        <f>IFERROR(__xludf.DUMMYFUNCTION("""COMPUTED_VALUE"""),2550.0)</f>
        <v>2550</v>
      </c>
      <c r="E1132" s="2">
        <f>IFERROR(__xludf.DUMMYFUNCTION("""COMPUTED_VALUE"""),2590.0)</f>
        <v>2590</v>
      </c>
      <c r="F1132" s="2">
        <f>IFERROR(__xludf.DUMMYFUNCTION("""COMPUTED_VALUE"""),4.61441E7)</f>
        <v>46144100</v>
      </c>
      <c r="G1132" s="2">
        <f t="shared" si="1"/>
        <v>90</v>
      </c>
    </row>
    <row r="1133" ht="15.75" customHeight="1">
      <c r="A1133" s="1">
        <f>IFERROR(__xludf.DUMMYFUNCTION("""COMPUTED_VALUE"""),45539.66666666667)</f>
        <v>45539.66667</v>
      </c>
      <c r="B1133" s="2">
        <f>IFERROR(__xludf.DUMMYFUNCTION("""COMPUTED_VALUE"""),2560.0)</f>
        <v>2560</v>
      </c>
      <c r="C1133" s="2">
        <f>IFERROR(__xludf.DUMMYFUNCTION("""COMPUTED_VALUE"""),2610.0)</f>
        <v>2610</v>
      </c>
      <c r="D1133" s="2">
        <f>IFERROR(__xludf.DUMMYFUNCTION("""COMPUTED_VALUE"""),2540.0)</f>
        <v>2540</v>
      </c>
      <c r="E1133" s="2">
        <f>IFERROR(__xludf.DUMMYFUNCTION("""COMPUTED_VALUE"""),2570.0)</f>
        <v>2570</v>
      </c>
      <c r="F1133" s="2">
        <f>IFERROR(__xludf.DUMMYFUNCTION("""COMPUTED_VALUE"""),2.40264E7)</f>
        <v>24026400</v>
      </c>
      <c r="G1133" s="2">
        <f t="shared" si="1"/>
        <v>70</v>
      </c>
    </row>
    <row r="1134" ht="15.75" customHeight="1">
      <c r="A1134" s="1">
        <f>IFERROR(__xludf.DUMMYFUNCTION("""COMPUTED_VALUE"""),45540.66666666667)</f>
        <v>45540.66667</v>
      </c>
      <c r="B1134" s="2">
        <f>IFERROR(__xludf.DUMMYFUNCTION("""COMPUTED_VALUE"""),2570.0)</f>
        <v>2570</v>
      </c>
      <c r="C1134" s="2">
        <f>IFERROR(__xludf.DUMMYFUNCTION("""COMPUTED_VALUE"""),2660.0)</f>
        <v>2660</v>
      </c>
      <c r="D1134" s="2">
        <f>IFERROR(__xludf.DUMMYFUNCTION("""COMPUTED_VALUE"""),2560.0)</f>
        <v>2560</v>
      </c>
      <c r="E1134" s="2">
        <f>IFERROR(__xludf.DUMMYFUNCTION("""COMPUTED_VALUE"""),2650.0)</f>
        <v>2650</v>
      </c>
      <c r="F1134" s="2">
        <f>IFERROR(__xludf.DUMMYFUNCTION("""COMPUTED_VALUE"""),5.24964E7)</f>
        <v>52496400</v>
      </c>
      <c r="G1134" s="2">
        <f t="shared" si="1"/>
        <v>100</v>
      </c>
    </row>
    <row r="1135" ht="15.75" customHeight="1">
      <c r="A1135" s="1">
        <f>IFERROR(__xludf.DUMMYFUNCTION("""COMPUTED_VALUE"""),45541.66666666667)</f>
        <v>45541.66667</v>
      </c>
      <c r="B1135" s="2">
        <f>IFERROR(__xludf.DUMMYFUNCTION("""COMPUTED_VALUE"""),2660.0)</f>
        <v>2660</v>
      </c>
      <c r="C1135" s="2">
        <f>IFERROR(__xludf.DUMMYFUNCTION("""COMPUTED_VALUE"""),2670.0)</f>
        <v>2670</v>
      </c>
      <c r="D1135" s="2">
        <f>IFERROR(__xludf.DUMMYFUNCTION("""COMPUTED_VALUE"""),2610.0)</f>
        <v>2610</v>
      </c>
      <c r="E1135" s="2">
        <f>IFERROR(__xludf.DUMMYFUNCTION("""COMPUTED_VALUE"""),2630.0)</f>
        <v>2630</v>
      </c>
      <c r="F1135" s="2">
        <f>IFERROR(__xludf.DUMMYFUNCTION("""COMPUTED_VALUE"""),1.89679E7)</f>
        <v>18967900</v>
      </c>
      <c r="G1135" s="2">
        <f t="shared" si="1"/>
        <v>60</v>
      </c>
    </row>
    <row r="1136" ht="15.75" customHeight="1">
      <c r="A1136" s="1">
        <f>IFERROR(__xludf.DUMMYFUNCTION("""COMPUTED_VALUE"""),45544.66666666667)</f>
        <v>45544.66667</v>
      </c>
      <c r="B1136" s="2">
        <f>IFERROR(__xludf.DUMMYFUNCTION("""COMPUTED_VALUE"""),2630.0)</f>
        <v>2630</v>
      </c>
      <c r="C1136" s="2">
        <f>IFERROR(__xludf.DUMMYFUNCTION("""COMPUTED_VALUE"""),2660.0)</f>
        <v>2660</v>
      </c>
      <c r="D1136" s="2">
        <f>IFERROR(__xludf.DUMMYFUNCTION("""COMPUTED_VALUE"""),2580.0)</f>
        <v>2580</v>
      </c>
      <c r="E1136" s="2">
        <f>IFERROR(__xludf.DUMMYFUNCTION("""COMPUTED_VALUE"""),2620.0)</f>
        <v>2620</v>
      </c>
      <c r="F1136" s="2">
        <f>IFERROR(__xludf.DUMMYFUNCTION("""COMPUTED_VALUE"""),3.38436E7)</f>
        <v>33843600</v>
      </c>
      <c r="G1136" s="2">
        <f t="shared" si="1"/>
        <v>80</v>
      </c>
    </row>
    <row r="1137" ht="15.75" customHeight="1">
      <c r="A1137" s="1">
        <f>IFERROR(__xludf.DUMMYFUNCTION("""COMPUTED_VALUE"""),45545.66666666667)</f>
        <v>45545.66667</v>
      </c>
      <c r="B1137" s="2">
        <f>IFERROR(__xludf.DUMMYFUNCTION("""COMPUTED_VALUE"""),2630.0)</f>
        <v>2630</v>
      </c>
      <c r="C1137" s="2">
        <f>IFERROR(__xludf.DUMMYFUNCTION("""COMPUTED_VALUE"""),2660.0)</f>
        <v>2660</v>
      </c>
      <c r="D1137" s="2">
        <f>IFERROR(__xludf.DUMMYFUNCTION("""COMPUTED_VALUE"""),2620.0)</f>
        <v>2620</v>
      </c>
      <c r="E1137" s="2">
        <f>IFERROR(__xludf.DUMMYFUNCTION("""COMPUTED_VALUE"""),2650.0)</f>
        <v>2650</v>
      </c>
      <c r="F1137" s="2">
        <f>IFERROR(__xludf.DUMMYFUNCTION("""COMPUTED_VALUE"""),1.91727E7)</f>
        <v>19172700</v>
      </c>
      <c r="G1137" s="2">
        <f t="shared" si="1"/>
        <v>40</v>
      </c>
    </row>
    <row r="1138" ht="15.75" customHeight="1">
      <c r="A1138" s="1">
        <f>IFERROR(__xludf.DUMMYFUNCTION("""COMPUTED_VALUE"""),45546.66666666667)</f>
        <v>45546.66667</v>
      </c>
      <c r="B1138" s="2">
        <f>IFERROR(__xludf.DUMMYFUNCTION("""COMPUTED_VALUE"""),2650.0)</f>
        <v>2650</v>
      </c>
      <c r="C1138" s="2">
        <f>IFERROR(__xludf.DUMMYFUNCTION("""COMPUTED_VALUE"""),2770.0)</f>
        <v>2770</v>
      </c>
      <c r="D1138" s="2">
        <f>IFERROR(__xludf.DUMMYFUNCTION("""COMPUTED_VALUE"""),2630.0)</f>
        <v>2630</v>
      </c>
      <c r="E1138" s="2">
        <f>IFERROR(__xludf.DUMMYFUNCTION("""COMPUTED_VALUE"""),2750.0)</f>
        <v>2750</v>
      </c>
      <c r="F1138" s="2">
        <f>IFERROR(__xludf.DUMMYFUNCTION("""COMPUTED_VALUE"""),9.24668E7)</f>
        <v>92466800</v>
      </c>
      <c r="G1138" s="2">
        <f t="shared" si="1"/>
        <v>140</v>
      </c>
    </row>
    <row r="1139" ht="15.75" customHeight="1">
      <c r="A1139" s="1">
        <f>IFERROR(__xludf.DUMMYFUNCTION("""COMPUTED_VALUE"""),45547.66666666667)</f>
        <v>45547.66667</v>
      </c>
      <c r="B1139" s="2">
        <f>IFERROR(__xludf.DUMMYFUNCTION("""COMPUTED_VALUE"""),2770.0)</f>
        <v>2770</v>
      </c>
      <c r="C1139" s="2">
        <f>IFERROR(__xludf.DUMMYFUNCTION("""COMPUTED_VALUE"""),2900.0)</f>
        <v>2900</v>
      </c>
      <c r="D1139" s="2">
        <f>IFERROR(__xludf.DUMMYFUNCTION("""COMPUTED_VALUE"""),2760.0)</f>
        <v>2760</v>
      </c>
      <c r="E1139" s="2">
        <f>IFERROR(__xludf.DUMMYFUNCTION("""COMPUTED_VALUE"""),2880.0)</f>
        <v>2880</v>
      </c>
      <c r="F1139" s="2">
        <f>IFERROR(__xludf.DUMMYFUNCTION("""COMPUTED_VALUE"""),9.08651E7)</f>
        <v>90865100</v>
      </c>
      <c r="G1139" s="2">
        <f t="shared" si="1"/>
        <v>150</v>
      </c>
    </row>
    <row r="1140" ht="15.75" customHeight="1">
      <c r="A1140" s="1">
        <f>IFERROR(__xludf.DUMMYFUNCTION("""COMPUTED_VALUE"""),45548.66666666667)</f>
        <v>45548.66667</v>
      </c>
      <c r="B1140" s="2">
        <f>IFERROR(__xludf.DUMMYFUNCTION("""COMPUTED_VALUE"""),2880.0)</f>
        <v>2880</v>
      </c>
      <c r="C1140" s="2">
        <f>IFERROR(__xludf.DUMMYFUNCTION("""COMPUTED_VALUE"""),2910.0)</f>
        <v>2910</v>
      </c>
      <c r="D1140" s="2">
        <f>IFERROR(__xludf.DUMMYFUNCTION("""COMPUTED_VALUE"""),2810.0)</f>
        <v>2810</v>
      </c>
      <c r="E1140" s="2">
        <f>IFERROR(__xludf.DUMMYFUNCTION("""COMPUTED_VALUE"""),2860.0)</f>
        <v>2860</v>
      </c>
      <c r="F1140" s="2">
        <f>IFERROR(__xludf.DUMMYFUNCTION("""COMPUTED_VALUE"""),5.32655E7)</f>
        <v>53265500</v>
      </c>
      <c r="G1140" s="2">
        <f t="shared" si="1"/>
        <v>100</v>
      </c>
    </row>
    <row r="1141" ht="15.75" customHeight="1">
      <c r="A1141" s="1">
        <f>IFERROR(__xludf.DUMMYFUNCTION("""COMPUTED_VALUE"""),45552.66666666667)</f>
        <v>45552.66667</v>
      </c>
      <c r="B1141" s="2">
        <f>IFERROR(__xludf.DUMMYFUNCTION("""COMPUTED_VALUE"""),2860.0)</f>
        <v>2860</v>
      </c>
      <c r="C1141" s="2">
        <f>IFERROR(__xludf.DUMMYFUNCTION("""COMPUTED_VALUE"""),3180.0)</f>
        <v>3180</v>
      </c>
      <c r="D1141" s="2">
        <f>IFERROR(__xludf.DUMMYFUNCTION("""COMPUTED_VALUE"""),2850.0)</f>
        <v>2850</v>
      </c>
      <c r="E1141" s="2">
        <f>IFERROR(__xludf.DUMMYFUNCTION("""COMPUTED_VALUE"""),3100.0)</f>
        <v>3100</v>
      </c>
      <c r="F1141" s="2">
        <f>IFERROR(__xludf.DUMMYFUNCTION("""COMPUTED_VALUE"""),1.980063E8)</f>
        <v>198006300</v>
      </c>
      <c r="G1141" s="2">
        <f t="shared" si="1"/>
        <v>330</v>
      </c>
    </row>
    <row r="1142" ht="15.75" customHeight="1">
      <c r="A1142" s="1">
        <f>IFERROR(__xludf.DUMMYFUNCTION("""COMPUTED_VALUE"""),45553.66666666667)</f>
        <v>45553.66667</v>
      </c>
      <c r="B1142" s="2">
        <f>IFERROR(__xludf.DUMMYFUNCTION("""COMPUTED_VALUE"""),3120.0)</f>
        <v>3120</v>
      </c>
      <c r="C1142" s="2">
        <f>IFERROR(__xludf.DUMMYFUNCTION("""COMPUTED_VALUE"""),3200.0)</f>
        <v>3200</v>
      </c>
      <c r="D1142" s="2">
        <f>IFERROR(__xludf.DUMMYFUNCTION("""COMPUTED_VALUE"""),3120.0)</f>
        <v>3120</v>
      </c>
      <c r="E1142" s="2">
        <f>IFERROR(__xludf.DUMMYFUNCTION("""COMPUTED_VALUE"""),3140.0)</f>
        <v>3140</v>
      </c>
      <c r="F1142" s="2">
        <f>IFERROR(__xludf.DUMMYFUNCTION("""COMPUTED_VALUE"""),8.46944E7)</f>
        <v>84694400</v>
      </c>
      <c r="G1142" s="2">
        <f t="shared" si="1"/>
        <v>100</v>
      </c>
    </row>
    <row r="1143" ht="15.75" customHeight="1">
      <c r="A1143" s="1">
        <f>IFERROR(__xludf.DUMMYFUNCTION("""COMPUTED_VALUE"""),45554.66666666667)</f>
        <v>45554.66667</v>
      </c>
      <c r="B1143" s="2">
        <f>IFERROR(__xludf.DUMMYFUNCTION("""COMPUTED_VALUE"""),3180.0)</f>
        <v>3180</v>
      </c>
      <c r="C1143" s="2">
        <f>IFERROR(__xludf.DUMMYFUNCTION("""COMPUTED_VALUE"""),3200.0)</f>
        <v>3200</v>
      </c>
      <c r="D1143" s="2">
        <f>IFERROR(__xludf.DUMMYFUNCTION("""COMPUTED_VALUE"""),3130.0)</f>
        <v>3130</v>
      </c>
      <c r="E1143" s="2">
        <f>IFERROR(__xludf.DUMMYFUNCTION("""COMPUTED_VALUE"""),3160.0)</f>
        <v>3160</v>
      </c>
      <c r="F1143" s="2">
        <f>IFERROR(__xludf.DUMMYFUNCTION("""COMPUTED_VALUE"""),4.57036E7)</f>
        <v>45703600</v>
      </c>
      <c r="G1143" s="2">
        <f t="shared" si="1"/>
        <v>70</v>
      </c>
    </row>
    <row r="1144" ht="15.75" customHeight="1">
      <c r="A1144" s="1">
        <f>IFERROR(__xludf.DUMMYFUNCTION("""COMPUTED_VALUE"""),45555.66666666667)</f>
        <v>45555.66667</v>
      </c>
      <c r="B1144" s="2">
        <f>IFERROR(__xludf.DUMMYFUNCTION("""COMPUTED_VALUE"""),3190.0)</f>
        <v>3190</v>
      </c>
      <c r="C1144" s="2">
        <f>IFERROR(__xludf.DUMMYFUNCTION("""COMPUTED_VALUE"""),3350.0)</f>
        <v>3350</v>
      </c>
      <c r="D1144" s="2">
        <f>IFERROR(__xludf.DUMMYFUNCTION("""COMPUTED_VALUE"""),3030.0)</f>
        <v>3030</v>
      </c>
      <c r="E1144" s="2">
        <f>IFERROR(__xludf.DUMMYFUNCTION("""COMPUTED_VALUE"""),3030.0)</f>
        <v>3030</v>
      </c>
      <c r="F1144" s="2">
        <f>IFERROR(__xludf.DUMMYFUNCTION("""COMPUTED_VALUE"""),2.02658E8)</f>
        <v>202658000</v>
      </c>
      <c r="G1144" s="2">
        <f t="shared" si="1"/>
        <v>320</v>
      </c>
    </row>
    <row r="1145" ht="15.75" customHeight="1">
      <c r="A1145" s="1">
        <f>IFERROR(__xludf.DUMMYFUNCTION("""COMPUTED_VALUE"""),45558.66666666667)</f>
        <v>45558.66667</v>
      </c>
      <c r="B1145" s="2">
        <f>IFERROR(__xludf.DUMMYFUNCTION("""COMPUTED_VALUE"""),3050.0)</f>
        <v>3050</v>
      </c>
      <c r="C1145" s="2">
        <f>IFERROR(__xludf.DUMMYFUNCTION("""COMPUTED_VALUE"""),3150.0)</f>
        <v>3150</v>
      </c>
      <c r="D1145" s="2">
        <f>IFERROR(__xludf.DUMMYFUNCTION("""COMPUTED_VALUE"""),3050.0)</f>
        <v>3050</v>
      </c>
      <c r="E1145" s="2">
        <f>IFERROR(__xludf.DUMMYFUNCTION("""COMPUTED_VALUE"""),3150.0)</f>
        <v>3150</v>
      </c>
      <c r="F1145" s="2">
        <f>IFERROR(__xludf.DUMMYFUNCTION("""COMPUTED_VALUE"""),4.6607E7)</f>
        <v>46607000</v>
      </c>
      <c r="G1145" s="2">
        <f t="shared" si="1"/>
        <v>120</v>
      </c>
    </row>
    <row r="1146" ht="15.75" customHeight="1">
      <c r="A1146" s="1">
        <f>IFERROR(__xludf.DUMMYFUNCTION("""COMPUTED_VALUE"""),45559.66666666667)</f>
        <v>45559.66667</v>
      </c>
      <c r="B1146" s="2">
        <f>IFERROR(__xludf.DUMMYFUNCTION("""COMPUTED_VALUE"""),3150.0)</f>
        <v>3150</v>
      </c>
      <c r="C1146" s="2">
        <f>IFERROR(__xludf.DUMMYFUNCTION("""COMPUTED_VALUE"""),3170.0)</f>
        <v>3170</v>
      </c>
      <c r="D1146" s="2">
        <f>IFERROR(__xludf.DUMMYFUNCTION("""COMPUTED_VALUE"""),3090.0)</f>
        <v>3090</v>
      </c>
      <c r="E1146" s="2">
        <f>IFERROR(__xludf.DUMMYFUNCTION("""COMPUTED_VALUE"""),3110.0)</f>
        <v>3110</v>
      </c>
      <c r="F1146" s="2">
        <f>IFERROR(__xludf.DUMMYFUNCTION("""COMPUTED_VALUE"""),2.62471E7)</f>
        <v>26247100</v>
      </c>
      <c r="G1146" s="2">
        <f t="shared" si="1"/>
        <v>80</v>
      </c>
    </row>
    <row r="1147" ht="15.75" customHeight="1">
      <c r="A1147" s="1">
        <f>IFERROR(__xludf.DUMMYFUNCTION("""COMPUTED_VALUE"""),45560.66666666667)</f>
        <v>45560.66667</v>
      </c>
      <c r="B1147" s="2">
        <f>IFERROR(__xludf.DUMMYFUNCTION("""COMPUTED_VALUE"""),3120.0)</f>
        <v>3120</v>
      </c>
      <c r="C1147" s="2">
        <f>IFERROR(__xludf.DUMMYFUNCTION("""COMPUTED_VALUE"""),3120.0)</f>
        <v>3120</v>
      </c>
      <c r="D1147" s="2">
        <f>IFERROR(__xludf.DUMMYFUNCTION("""COMPUTED_VALUE"""),3010.0)</f>
        <v>3010</v>
      </c>
      <c r="E1147" s="2">
        <f>IFERROR(__xludf.DUMMYFUNCTION("""COMPUTED_VALUE"""),3070.0)</f>
        <v>3070</v>
      </c>
      <c r="F1147" s="2">
        <f>IFERROR(__xludf.DUMMYFUNCTION("""COMPUTED_VALUE"""),5.03929E7)</f>
        <v>50392900</v>
      </c>
      <c r="G1147" s="2">
        <f t="shared" si="1"/>
        <v>110</v>
      </c>
    </row>
    <row r="1148" ht="15.75" customHeight="1">
      <c r="A1148" s="1">
        <f>IFERROR(__xludf.DUMMYFUNCTION("""COMPUTED_VALUE"""),45561.66666666667)</f>
        <v>45561.66667</v>
      </c>
      <c r="B1148" s="2">
        <f>IFERROR(__xludf.DUMMYFUNCTION("""COMPUTED_VALUE"""),3070.0)</f>
        <v>3070</v>
      </c>
      <c r="C1148" s="2">
        <f>IFERROR(__xludf.DUMMYFUNCTION("""COMPUTED_VALUE"""),3130.0)</f>
        <v>3130</v>
      </c>
      <c r="D1148" s="2">
        <f>IFERROR(__xludf.DUMMYFUNCTION("""COMPUTED_VALUE"""),3050.0)</f>
        <v>3050</v>
      </c>
      <c r="E1148" s="2">
        <f>IFERROR(__xludf.DUMMYFUNCTION("""COMPUTED_VALUE"""),3100.0)</f>
        <v>3100</v>
      </c>
      <c r="F1148" s="2">
        <f>IFERROR(__xludf.DUMMYFUNCTION("""COMPUTED_VALUE"""),3.58562E7)</f>
        <v>35856200</v>
      </c>
      <c r="G1148" s="2">
        <f t="shared" si="1"/>
        <v>80</v>
      </c>
    </row>
    <row r="1149" ht="15.75" customHeight="1">
      <c r="A1149" s="1">
        <f>IFERROR(__xludf.DUMMYFUNCTION("""COMPUTED_VALUE"""),45562.66666666667)</f>
        <v>45562.66667</v>
      </c>
      <c r="B1149" s="2">
        <f>IFERROR(__xludf.DUMMYFUNCTION("""COMPUTED_VALUE"""),3090.0)</f>
        <v>3090</v>
      </c>
      <c r="C1149" s="2">
        <f>IFERROR(__xludf.DUMMYFUNCTION("""COMPUTED_VALUE"""),3120.0)</f>
        <v>3120</v>
      </c>
      <c r="D1149" s="2">
        <f>IFERROR(__xludf.DUMMYFUNCTION("""COMPUTED_VALUE"""),3050.0)</f>
        <v>3050</v>
      </c>
      <c r="E1149" s="2">
        <f>IFERROR(__xludf.DUMMYFUNCTION("""COMPUTED_VALUE"""),3060.0)</f>
        <v>3060</v>
      </c>
      <c r="F1149" s="2">
        <f>IFERROR(__xludf.DUMMYFUNCTION("""COMPUTED_VALUE"""),2.50717E7)</f>
        <v>25071700</v>
      </c>
      <c r="G1149" s="2">
        <f t="shared" si="1"/>
        <v>70</v>
      </c>
    </row>
    <row r="1150" ht="15.75" customHeight="1">
      <c r="A1150" s="1">
        <f>IFERROR(__xludf.DUMMYFUNCTION("""COMPUTED_VALUE"""),45565.66666666667)</f>
        <v>45565.66667</v>
      </c>
      <c r="B1150" s="2">
        <f>IFERROR(__xludf.DUMMYFUNCTION("""COMPUTED_VALUE"""),3060.0)</f>
        <v>3060</v>
      </c>
      <c r="C1150" s="2">
        <f>IFERROR(__xludf.DUMMYFUNCTION("""COMPUTED_VALUE"""),3060.0)</f>
        <v>3060</v>
      </c>
      <c r="D1150" s="2">
        <f>IFERROR(__xludf.DUMMYFUNCTION("""COMPUTED_VALUE"""),3000.0)</f>
        <v>3000</v>
      </c>
      <c r="E1150" s="2">
        <f>IFERROR(__xludf.DUMMYFUNCTION("""COMPUTED_VALUE"""),3010.0)</f>
        <v>3010</v>
      </c>
      <c r="F1150" s="2">
        <f>IFERROR(__xludf.DUMMYFUNCTION("""COMPUTED_VALUE"""),2.59362E7)</f>
        <v>25936200</v>
      </c>
      <c r="G1150" s="2">
        <f t="shared" si="1"/>
        <v>60</v>
      </c>
    </row>
    <row r="1151" ht="15.75" customHeight="1">
      <c r="A1151" s="1">
        <f>IFERROR(__xludf.DUMMYFUNCTION("""COMPUTED_VALUE"""),45566.66666666667)</f>
        <v>45566.66667</v>
      </c>
      <c r="B1151" s="2">
        <f>IFERROR(__xludf.DUMMYFUNCTION("""COMPUTED_VALUE"""),3010.0)</f>
        <v>3010</v>
      </c>
      <c r="C1151" s="2">
        <f>IFERROR(__xludf.DUMMYFUNCTION("""COMPUTED_VALUE"""),3070.0)</f>
        <v>3070</v>
      </c>
      <c r="D1151" s="2">
        <f>IFERROR(__xludf.DUMMYFUNCTION("""COMPUTED_VALUE"""),2980.0)</f>
        <v>2980</v>
      </c>
      <c r="E1151" s="2">
        <f>IFERROR(__xludf.DUMMYFUNCTION("""COMPUTED_VALUE"""),3000.0)</f>
        <v>3000</v>
      </c>
      <c r="F1151" s="2">
        <f>IFERROR(__xludf.DUMMYFUNCTION("""COMPUTED_VALUE"""),2.93742E7)</f>
        <v>29374200</v>
      </c>
      <c r="G1151" s="2">
        <f t="shared" si="1"/>
        <v>90</v>
      </c>
    </row>
    <row r="1152" ht="15.75" customHeight="1">
      <c r="A1152" s="1">
        <f>IFERROR(__xludf.DUMMYFUNCTION("""COMPUTED_VALUE"""),45567.66666666667)</f>
        <v>45567.66667</v>
      </c>
      <c r="B1152" s="2">
        <f>IFERROR(__xludf.DUMMYFUNCTION("""COMPUTED_VALUE"""),3000.0)</f>
        <v>3000</v>
      </c>
      <c r="C1152" s="2">
        <f>IFERROR(__xludf.DUMMYFUNCTION("""COMPUTED_VALUE"""),3000.0)</f>
        <v>3000</v>
      </c>
      <c r="D1152" s="2">
        <f>IFERROR(__xludf.DUMMYFUNCTION("""COMPUTED_VALUE"""),2890.0)</f>
        <v>2890</v>
      </c>
      <c r="E1152" s="2">
        <f>IFERROR(__xludf.DUMMYFUNCTION("""COMPUTED_VALUE"""),2940.0)</f>
        <v>2940</v>
      </c>
      <c r="F1152" s="2">
        <f>IFERROR(__xludf.DUMMYFUNCTION("""COMPUTED_VALUE"""),5.29768E7)</f>
        <v>52976800</v>
      </c>
      <c r="G1152" s="2">
        <f t="shared" si="1"/>
        <v>110</v>
      </c>
    </row>
    <row r="1153" ht="15.75" customHeight="1">
      <c r="A1153" s="1">
        <f>IFERROR(__xludf.DUMMYFUNCTION("""COMPUTED_VALUE"""),45568.66666666667)</f>
        <v>45568.66667</v>
      </c>
      <c r="B1153" s="2">
        <f>IFERROR(__xludf.DUMMYFUNCTION("""COMPUTED_VALUE"""),2940.0)</f>
        <v>2940</v>
      </c>
      <c r="C1153" s="2">
        <f>IFERROR(__xludf.DUMMYFUNCTION("""COMPUTED_VALUE"""),3000.0)</f>
        <v>3000</v>
      </c>
      <c r="D1153" s="2">
        <f>IFERROR(__xludf.DUMMYFUNCTION("""COMPUTED_VALUE"""),2870.0)</f>
        <v>2870</v>
      </c>
      <c r="E1153" s="2">
        <f>IFERROR(__xludf.DUMMYFUNCTION("""COMPUTED_VALUE"""),2970.0)</f>
        <v>2970</v>
      </c>
      <c r="F1153" s="2">
        <f>IFERROR(__xludf.DUMMYFUNCTION("""COMPUTED_VALUE"""),3.20288E7)</f>
        <v>32028800</v>
      </c>
      <c r="G1153" s="2">
        <f t="shared" si="1"/>
        <v>130</v>
      </c>
    </row>
    <row r="1154" ht="15.75" customHeight="1">
      <c r="A1154" s="1">
        <f>IFERROR(__xludf.DUMMYFUNCTION("""COMPUTED_VALUE"""),45569.66666666667)</f>
        <v>45569.66667</v>
      </c>
      <c r="B1154" s="2">
        <f>IFERROR(__xludf.DUMMYFUNCTION("""COMPUTED_VALUE"""),2980.0)</f>
        <v>2980</v>
      </c>
      <c r="C1154" s="2">
        <f>IFERROR(__xludf.DUMMYFUNCTION("""COMPUTED_VALUE"""),2990.0)</f>
        <v>2990</v>
      </c>
      <c r="D1154" s="2">
        <f>IFERROR(__xludf.DUMMYFUNCTION("""COMPUTED_VALUE"""),2910.0)</f>
        <v>2910</v>
      </c>
      <c r="E1154" s="2">
        <f>IFERROR(__xludf.DUMMYFUNCTION("""COMPUTED_VALUE"""),2910.0)</f>
        <v>2910</v>
      </c>
      <c r="F1154" s="2">
        <f>IFERROR(__xludf.DUMMYFUNCTION("""COMPUTED_VALUE"""),1.74357E7)</f>
        <v>17435700</v>
      </c>
      <c r="G1154" s="2">
        <f t="shared" si="1"/>
        <v>80</v>
      </c>
    </row>
    <row r="1155" ht="15.75" customHeight="1">
      <c r="A1155" s="1">
        <f>IFERROR(__xludf.DUMMYFUNCTION("""COMPUTED_VALUE"""),45572.66666666667)</f>
        <v>45572.66667</v>
      </c>
      <c r="B1155" s="2">
        <f>IFERROR(__xludf.DUMMYFUNCTION("""COMPUTED_VALUE"""),2910.0)</f>
        <v>2910</v>
      </c>
      <c r="C1155" s="2">
        <f>IFERROR(__xludf.DUMMYFUNCTION("""COMPUTED_VALUE"""),2940.0)</f>
        <v>2940</v>
      </c>
      <c r="D1155" s="2">
        <f>IFERROR(__xludf.DUMMYFUNCTION("""COMPUTED_VALUE"""),2850.0)</f>
        <v>2850</v>
      </c>
      <c r="E1155" s="2">
        <f>IFERROR(__xludf.DUMMYFUNCTION("""COMPUTED_VALUE"""),2910.0)</f>
        <v>2910</v>
      </c>
      <c r="F1155" s="2">
        <f>IFERROR(__xludf.DUMMYFUNCTION("""COMPUTED_VALUE"""),2.48242E7)</f>
        <v>24824200</v>
      </c>
      <c r="G1155" s="2">
        <f t="shared" si="1"/>
        <v>90</v>
      </c>
    </row>
    <row r="1156" ht="15.75" customHeight="1">
      <c r="A1156" s="1">
        <f>IFERROR(__xludf.DUMMYFUNCTION("""COMPUTED_VALUE"""),45573.66666666667)</f>
        <v>45573.66667</v>
      </c>
      <c r="B1156" s="2">
        <f>IFERROR(__xludf.DUMMYFUNCTION("""COMPUTED_VALUE"""),2910.0)</f>
        <v>2910</v>
      </c>
      <c r="C1156" s="2">
        <f>IFERROR(__xludf.DUMMYFUNCTION("""COMPUTED_VALUE"""),3100.0)</f>
        <v>3100</v>
      </c>
      <c r="D1156" s="2">
        <f>IFERROR(__xludf.DUMMYFUNCTION("""COMPUTED_VALUE"""),2870.0)</f>
        <v>2870</v>
      </c>
      <c r="E1156" s="2">
        <f>IFERROR(__xludf.DUMMYFUNCTION("""COMPUTED_VALUE"""),3050.0)</f>
        <v>3050</v>
      </c>
      <c r="F1156" s="2">
        <f>IFERROR(__xludf.DUMMYFUNCTION("""COMPUTED_VALUE"""),7.40541E7)</f>
        <v>74054100</v>
      </c>
      <c r="G1156" s="2">
        <f t="shared" si="1"/>
        <v>230</v>
      </c>
    </row>
    <row r="1157" ht="15.75" customHeight="1">
      <c r="A1157" s="1">
        <f>IFERROR(__xludf.DUMMYFUNCTION("""COMPUTED_VALUE"""),45574.66666666667)</f>
        <v>45574.66667</v>
      </c>
      <c r="B1157" s="2">
        <f>IFERROR(__xludf.DUMMYFUNCTION("""COMPUTED_VALUE"""),3080.0)</f>
        <v>3080</v>
      </c>
      <c r="C1157" s="2">
        <f>IFERROR(__xludf.DUMMYFUNCTION("""COMPUTED_VALUE"""),3110.0)</f>
        <v>3110</v>
      </c>
      <c r="D1157" s="2">
        <f>IFERROR(__xludf.DUMMYFUNCTION("""COMPUTED_VALUE"""),3000.0)</f>
        <v>3000</v>
      </c>
      <c r="E1157" s="2">
        <f>IFERROR(__xludf.DUMMYFUNCTION("""COMPUTED_VALUE"""),3000.0)</f>
        <v>3000</v>
      </c>
      <c r="F1157" s="2">
        <f>IFERROR(__xludf.DUMMYFUNCTION("""COMPUTED_VALUE"""),5.28849E7)</f>
        <v>52884900</v>
      </c>
      <c r="G1157" s="2">
        <f t="shared" si="1"/>
        <v>110</v>
      </c>
    </row>
    <row r="1158" ht="15.75" customHeight="1">
      <c r="A1158" s="1">
        <f>IFERROR(__xludf.DUMMYFUNCTION("""COMPUTED_VALUE"""),45575.66666666667)</f>
        <v>45575.66667</v>
      </c>
      <c r="B1158" s="2">
        <f>IFERROR(__xludf.DUMMYFUNCTION("""COMPUTED_VALUE"""),3010.0)</f>
        <v>3010</v>
      </c>
      <c r="C1158" s="2">
        <f>IFERROR(__xludf.DUMMYFUNCTION("""COMPUTED_VALUE"""),3040.0)</f>
        <v>3040</v>
      </c>
      <c r="D1158" s="2">
        <f>IFERROR(__xludf.DUMMYFUNCTION("""COMPUTED_VALUE"""),2980.0)</f>
        <v>2980</v>
      </c>
      <c r="E1158" s="2">
        <f>IFERROR(__xludf.DUMMYFUNCTION("""COMPUTED_VALUE"""),3030.0)</f>
        <v>3030</v>
      </c>
      <c r="F1158" s="2">
        <f>IFERROR(__xludf.DUMMYFUNCTION("""COMPUTED_VALUE"""),1.71675E7)</f>
        <v>17167500</v>
      </c>
      <c r="G1158" s="2">
        <f t="shared" si="1"/>
        <v>60</v>
      </c>
    </row>
    <row r="1159" ht="15.75" customHeight="1">
      <c r="A1159" s="1">
        <f>IFERROR(__xludf.DUMMYFUNCTION("""COMPUTED_VALUE"""),45576.66666666667)</f>
        <v>45576.66667</v>
      </c>
      <c r="B1159" s="2">
        <f>IFERROR(__xludf.DUMMYFUNCTION("""COMPUTED_VALUE"""),3050.0)</f>
        <v>3050</v>
      </c>
      <c r="C1159" s="2">
        <f>IFERROR(__xludf.DUMMYFUNCTION("""COMPUTED_VALUE"""),3050.0)</f>
        <v>3050</v>
      </c>
      <c r="D1159" s="2">
        <f>IFERROR(__xludf.DUMMYFUNCTION("""COMPUTED_VALUE"""),2990.0)</f>
        <v>2990</v>
      </c>
      <c r="E1159" s="2">
        <f>IFERROR(__xludf.DUMMYFUNCTION("""COMPUTED_VALUE"""),3000.0)</f>
        <v>3000</v>
      </c>
      <c r="F1159" s="2">
        <f>IFERROR(__xludf.DUMMYFUNCTION("""COMPUTED_VALUE"""),1.84874E7)</f>
        <v>18487400</v>
      </c>
      <c r="G1159" s="2">
        <f t="shared" si="1"/>
        <v>60</v>
      </c>
    </row>
    <row r="1160" ht="15.75" customHeight="1">
      <c r="A1160" s="1">
        <f>IFERROR(__xludf.DUMMYFUNCTION("""COMPUTED_VALUE"""),45579.66666666667)</f>
        <v>45579.66667</v>
      </c>
      <c r="B1160" s="2">
        <f>IFERROR(__xludf.DUMMYFUNCTION("""COMPUTED_VALUE"""),3000.0)</f>
        <v>3000</v>
      </c>
      <c r="C1160" s="2">
        <f>IFERROR(__xludf.DUMMYFUNCTION("""COMPUTED_VALUE"""),3030.0)</f>
        <v>3030</v>
      </c>
      <c r="D1160" s="2">
        <f>IFERROR(__xludf.DUMMYFUNCTION("""COMPUTED_VALUE"""),2990.0)</f>
        <v>2990</v>
      </c>
      <c r="E1160" s="2">
        <f>IFERROR(__xludf.DUMMYFUNCTION("""COMPUTED_VALUE"""),3000.0)</f>
        <v>3000</v>
      </c>
      <c r="F1160" s="2">
        <f>IFERROR(__xludf.DUMMYFUNCTION("""COMPUTED_VALUE"""),2.03431E7)</f>
        <v>20343100</v>
      </c>
      <c r="G1160" s="2">
        <f t="shared" si="1"/>
        <v>40</v>
      </c>
    </row>
    <row r="1161" ht="15.75" customHeight="1">
      <c r="A1161" s="1">
        <f>IFERROR(__xludf.DUMMYFUNCTION("""COMPUTED_VALUE"""),45580.66666666667)</f>
        <v>45580.66667</v>
      </c>
      <c r="B1161" s="2">
        <f>IFERROR(__xludf.DUMMYFUNCTION("""COMPUTED_VALUE"""),3010.0)</f>
        <v>3010</v>
      </c>
      <c r="C1161" s="2">
        <f>IFERROR(__xludf.DUMMYFUNCTION("""COMPUTED_VALUE"""),3040.0)</f>
        <v>3040</v>
      </c>
      <c r="D1161" s="2">
        <f>IFERROR(__xludf.DUMMYFUNCTION("""COMPUTED_VALUE"""),2990.0)</f>
        <v>2990</v>
      </c>
      <c r="E1161" s="2">
        <f>IFERROR(__xludf.DUMMYFUNCTION("""COMPUTED_VALUE"""),3020.0)</f>
        <v>3020</v>
      </c>
      <c r="F1161" s="2">
        <f>IFERROR(__xludf.DUMMYFUNCTION("""COMPUTED_VALUE"""),3.0658E7)</f>
        <v>30658000</v>
      </c>
      <c r="G1161" s="2">
        <f t="shared" si="1"/>
        <v>50</v>
      </c>
    </row>
    <row r="1162" ht="15.75" customHeight="1">
      <c r="A1162" s="1">
        <f>IFERROR(__xludf.DUMMYFUNCTION("""COMPUTED_VALUE"""),45581.66666666667)</f>
        <v>45581.66667</v>
      </c>
      <c r="B1162" s="2">
        <f>IFERROR(__xludf.DUMMYFUNCTION("""COMPUTED_VALUE"""),3020.0)</f>
        <v>3020</v>
      </c>
      <c r="C1162" s="2">
        <f>IFERROR(__xludf.DUMMYFUNCTION("""COMPUTED_VALUE"""),3040.0)</f>
        <v>3040</v>
      </c>
      <c r="D1162" s="2">
        <f>IFERROR(__xludf.DUMMYFUNCTION("""COMPUTED_VALUE"""),2990.0)</f>
        <v>2990</v>
      </c>
      <c r="E1162" s="2">
        <f>IFERROR(__xludf.DUMMYFUNCTION("""COMPUTED_VALUE"""),3020.0)</f>
        <v>3020</v>
      </c>
      <c r="F1162" s="2">
        <f>IFERROR(__xludf.DUMMYFUNCTION("""COMPUTED_VALUE"""),2.67628E7)</f>
        <v>26762800</v>
      </c>
      <c r="G1162" s="2">
        <f t="shared" si="1"/>
        <v>50</v>
      </c>
    </row>
    <row r="1163" ht="15.75" customHeight="1">
      <c r="A1163" s="1">
        <f>IFERROR(__xludf.DUMMYFUNCTION("""COMPUTED_VALUE"""),45582.66666666667)</f>
        <v>45582.66667</v>
      </c>
      <c r="B1163" s="2">
        <f>IFERROR(__xludf.DUMMYFUNCTION("""COMPUTED_VALUE"""),3040.0)</f>
        <v>3040</v>
      </c>
      <c r="C1163" s="2">
        <f>IFERROR(__xludf.DUMMYFUNCTION("""COMPUTED_VALUE"""),3140.0)</f>
        <v>3140</v>
      </c>
      <c r="D1163" s="2">
        <f>IFERROR(__xludf.DUMMYFUNCTION("""COMPUTED_VALUE"""),3020.0)</f>
        <v>3020</v>
      </c>
      <c r="E1163" s="2">
        <f>IFERROR(__xludf.DUMMYFUNCTION("""COMPUTED_VALUE"""),3110.0)</f>
        <v>3110</v>
      </c>
      <c r="F1163" s="2">
        <f>IFERROR(__xludf.DUMMYFUNCTION("""COMPUTED_VALUE"""),5.62123E7)</f>
        <v>56212300</v>
      </c>
      <c r="G1163" s="2">
        <f t="shared" si="1"/>
        <v>120</v>
      </c>
    </row>
    <row r="1164" ht="15.75" customHeight="1">
      <c r="A1164" s="1">
        <f>IFERROR(__xludf.DUMMYFUNCTION("""COMPUTED_VALUE"""),45583.66666666667)</f>
        <v>45583.66667</v>
      </c>
      <c r="B1164" s="2">
        <f>IFERROR(__xludf.DUMMYFUNCTION("""COMPUTED_VALUE"""),3140.0)</f>
        <v>3140</v>
      </c>
      <c r="C1164" s="2">
        <f>IFERROR(__xludf.DUMMYFUNCTION("""COMPUTED_VALUE"""),3140.0)</f>
        <v>3140</v>
      </c>
      <c r="D1164" s="2">
        <f>IFERROR(__xludf.DUMMYFUNCTION("""COMPUTED_VALUE"""),3090.0)</f>
        <v>3090</v>
      </c>
      <c r="E1164" s="2">
        <f>IFERROR(__xludf.DUMMYFUNCTION("""COMPUTED_VALUE"""),3100.0)</f>
        <v>3100</v>
      </c>
      <c r="F1164" s="2">
        <f>IFERROR(__xludf.DUMMYFUNCTION("""COMPUTED_VALUE"""),1.95219E7)</f>
        <v>19521900</v>
      </c>
      <c r="G1164" s="2">
        <f t="shared" si="1"/>
        <v>50</v>
      </c>
    </row>
    <row r="1165" ht="15.75" customHeight="1">
      <c r="A1165" s="1">
        <f>IFERROR(__xludf.DUMMYFUNCTION("""COMPUTED_VALUE"""),45586.66666666667)</f>
        <v>45586.66667</v>
      </c>
      <c r="B1165" s="2">
        <f>IFERROR(__xludf.DUMMYFUNCTION("""COMPUTED_VALUE"""),3120.0)</f>
        <v>3120</v>
      </c>
      <c r="C1165" s="2">
        <f>IFERROR(__xludf.DUMMYFUNCTION("""COMPUTED_VALUE"""),3130.0)</f>
        <v>3130</v>
      </c>
      <c r="D1165" s="2">
        <f>IFERROR(__xludf.DUMMYFUNCTION("""COMPUTED_VALUE"""),3060.0)</f>
        <v>3060</v>
      </c>
      <c r="E1165" s="2">
        <f>IFERROR(__xludf.DUMMYFUNCTION("""COMPUTED_VALUE"""),3080.0)</f>
        <v>3080</v>
      </c>
      <c r="F1165" s="2">
        <f>IFERROR(__xludf.DUMMYFUNCTION("""COMPUTED_VALUE"""),1.34632E7)</f>
        <v>13463200</v>
      </c>
      <c r="G1165" s="2">
        <f t="shared" si="1"/>
        <v>70</v>
      </c>
    </row>
    <row r="1166" ht="15.75" customHeight="1">
      <c r="A1166" s="1">
        <f>IFERROR(__xludf.DUMMYFUNCTION("""COMPUTED_VALUE"""),45587.66666666667)</f>
        <v>45587.66667</v>
      </c>
      <c r="B1166" s="2">
        <f>IFERROR(__xludf.DUMMYFUNCTION("""COMPUTED_VALUE"""),3090.0)</f>
        <v>3090</v>
      </c>
      <c r="C1166" s="2">
        <f>IFERROR(__xludf.DUMMYFUNCTION("""COMPUTED_VALUE"""),3090.0)</f>
        <v>3090</v>
      </c>
      <c r="D1166" s="2">
        <f>IFERROR(__xludf.DUMMYFUNCTION("""COMPUTED_VALUE"""),2980.0)</f>
        <v>2980</v>
      </c>
      <c r="E1166" s="2">
        <f>IFERROR(__xludf.DUMMYFUNCTION("""COMPUTED_VALUE"""),3000.0)</f>
        <v>3000</v>
      </c>
      <c r="F1166" s="2">
        <f>IFERROR(__xludf.DUMMYFUNCTION("""COMPUTED_VALUE"""),4.20702E7)</f>
        <v>42070200</v>
      </c>
      <c r="G1166" s="2">
        <f t="shared" si="1"/>
        <v>110</v>
      </c>
    </row>
    <row r="1167" ht="15.75" customHeight="1">
      <c r="A1167" s="1">
        <f>IFERROR(__xludf.DUMMYFUNCTION("""COMPUTED_VALUE"""),45588.66666666667)</f>
        <v>45588.66667</v>
      </c>
      <c r="B1167" s="2">
        <f>IFERROR(__xludf.DUMMYFUNCTION("""COMPUTED_VALUE"""),3000.0)</f>
        <v>3000</v>
      </c>
      <c r="C1167" s="2">
        <f>IFERROR(__xludf.DUMMYFUNCTION("""COMPUTED_VALUE"""),3030.0)</f>
        <v>3030</v>
      </c>
      <c r="D1167" s="2">
        <f>IFERROR(__xludf.DUMMYFUNCTION("""COMPUTED_VALUE"""),2980.0)</f>
        <v>2980</v>
      </c>
      <c r="E1167" s="2">
        <f>IFERROR(__xludf.DUMMYFUNCTION("""COMPUTED_VALUE"""),3020.0)</f>
        <v>3020</v>
      </c>
      <c r="F1167" s="2">
        <f>IFERROR(__xludf.DUMMYFUNCTION("""COMPUTED_VALUE"""),1.59545E7)</f>
        <v>15954500</v>
      </c>
      <c r="G1167" s="2">
        <f t="shared" si="1"/>
        <v>50</v>
      </c>
    </row>
    <row r="1168" ht="15.75" customHeight="1">
      <c r="A1168" s="1">
        <f>IFERROR(__xludf.DUMMYFUNCTION("""COMPUTED_VALUE"""),45589.66666666667)</f>
        <v>45589.66667</v>
      </c>
      <c r="B1168" s="2">
        <f>IFERROR(__xludf.DUMMYFUNCTION("""COMPUTED_VALUE"""),3020.0)</f>
        <v>3020</v>
      </c>
      <c r="C1168" s="2">
        <f>IFERROR(__xludf.DUMMYFUNCTION("""COMPUTED_VALUE"""),3110.0)</f>
        <v>3110</v>
      </c>
      <c r="D1168" s="2">
        <f>IFERROR(__xludf.DUMMYFUNCTION("""COMPUTED_VALUE"""),3010.0)</f>
        <v>3010</v>
      </c>
      <c r="E1168" s="2">
        <f>IFERROR(__xludf.DUMMYFUNCTION("""COMPUTED_VALUE"""),3090.0)</f>
        <v>3090</v>
      </c>
      <c r="F1168" s="2">
        <f>IFERROR(__xludf.DUMMYFUNCTION("""COMPUTED_VALUE"""),4.95932E7)</f>
        <v>49593200</v>
      </c>
      <c r="G1168" s="2">
        <f t="shared" si="1"/>
        <v>100</v>
      </c>
    </row>
    <row r="1169" ht="15.75" customHeight="1">
      <c r="A1169" s="1">
        <f>IFERROR(__xludf.DUMMYFUNCTION("""COMPUTED_VALUE"""),45590.66666666667)</f>
        <v>45590.66667</v>
      </c>
      <c r="B1169" s="2">
        <f>IFERROR(__xludf.DUMMYFUNCTION("""COMPUTED_VALUE"""),3100.0)</f>
        <v>3100</v>
      </c>
      <c r="C1169" s="2">
        <f>IFERROR(__xludf.DUMMYFUNCTION("""COMPUTED_VALUE"""),3110.0)</f>
        <v>3110</v>
      </c>
      <c r="D1169" s="2">
        <f>IFERROR(__xludf.DUMMYFUNCTION("""COMPUTED_VALUE"""),3010.0)</f>
        <v>3010</v>
      </c>
      <c r="E1169" s="2">
        <f>IFERROR(__xludf.DUMMYFUNCTION("""COMPUTED_VALUE"""),3010.0)</f>
        <v>3010</v>
      </c>
      <c r="F1169" s="2">
        <f>IFERROR(__xludf.DUMMYFUNCTION("""COMPUTED_VALUE"""),2.06041E7)</f>
        <v>20604100</v>
      </c>
      <c r="G1169" s="2">
        <f t="shared" si="1"/>
        <v>100</v>
      </c>
    </row>
    <row r="1170" ht="15.75" customHeight="1">
      <c r="A1170" s="1">
        <f>IFERROR(__xludf.DUMMYFUNCTION("""COMPUTED_VALUE"""),45593.66666666667)</f>
        <v>45593.66667</v>
      </c>
      <c r="B1170" s="2">
        <f>IFERROR(__xludf.DUMMYFUNCTION("""COMPUTED_VALUE"""),3020.0)</f>
        <v>3020</v>
      </c>
      <c r="C1170" s="2">
        <f>IFERROR(__xludf.DUMMYFUNCTION("""COMPUTED_VALUE"""),3040.0)</f>
        <v>3040</v>
      </c>
      <c r="D1170" s="2">
        <f>IFERROR(__xludf.DUMMYFUNCTION("""COMPUTED_VALUE"""),2940.0)</f>
        <v>2940</v>
      </c>
      <c r="E1170" s="2">
        <f>IFERROR(__xludf.DUMMYFUNCTION("""COMPUTED_VALUE"""),3010.0)</f>
        <v>3010</v>
      </c>
      <c r="F1170" s="2">
        <f>IFERROR(__xludf.DUMMYFUNCTION("""COMPUTED_VALUE"""),1.88514E7)</f>
        <v>18851400</v>
      </c>
      <c r="G1170" s="2">
        <f t="shared" si="1"/>
        <v>100</v>
      </c>
    </row>
    <row r="1171" ht="15.75" customHeight="1">
      <c r="A1171" s="1">
        <f>IFERROR(__xludf.DUMMYFUNCTION("""COMPUTED_VALUE"""),45594.66666666667)</f>
        <v>45594.66667</v>
      </c>
      <c r="B1171" s="2">
        <f>IFERROR(__xludf.DUMMYFUNCTION("""COMPUTED_VALUE"""),3010.0)</f>
        <v>3010</v>
      </c>
      <c r="C1171" s="2">
        <f>IFERROR(__xludf.DUMMYFUNCTION("""COMPUTED_VALUE"""),3030.0)</f>
        <v>3030</v>
      </c>
      <c r="D1171" s="2">
        <f>IFERROR(__xludf.DUMMYFUNCTION("""COMPUTED_VALUE"""),2930.0)</f>
        <v>2930</v>
      </c>
      <c r="E1171" s="2">
        <f>IFERROR(__xludf.DUMMYFUNCTION("""COMPUTED_VALUE"""),2950.0)</f>
        <v>2950</v>
      </c>
      <c r="F1171" s="2">
        <f>IFERROR(__xludf.DUMMYFUNCTION("""COMPUTED_VALUE"""),4.50943E7)</f>
        <v>45094300</v>
      </c>
      <c r="G1171" s="2">
        <f t="shared" si="1"/>
        <v>100</v>
      </c>
    </row>
    <row r="1172" ht="15.75" customHeight="1">
      <c r="A1172" s="1">
        <f>IFERROR(__xludf.DUMMYFUNCTION("""COMPUTED_VALUE"""),45595.66666666667)</f>
        <v>45595.66667</v>
      </c>
      <c r="B1172" s="2">
        <f>IFERROR(__xludf.DUMMYFUNCTION("""COMPUTED_VALUE"""),2950.0)</f>
        <v>2950</v>
      </c>
      <c r="C1172" s="2">
        <f>IFERROR(__xludf.DUMMYFUNCTION("""COMPUTED_VALUE"""),3000.0)</f>
        <v>3000</v>
      </c>
      <c r="D1172" s="2">
        <f>IFERROR(__xludf.DUMMYFUNCTION("""COMPUTED_VALUE"""),2900.0)</f>
        <v>2900</v>
      </c>
      <c r="E1172" s="2">
        <f>IFERROR(__xludf.DUMMYFUNCTION("""COMPUTED_VALUE"""),2960.0)</f>
        <v>2960</v>
      </c>
      <c r="F1172" s="2">
        <f>IFERROR(__xludf.DUMMYFUNCTION("""COMPUTED_VALUE"""),3.66911E7)</f>
        <v>36691100</v>
      </c>
      <c r="G1172" s="2">
        <f t="shared" si="1"/>
        <v>100</v>
      </c>
    </row>
    <row r="1173" ht="15.75" customHeight="1">
      <c r="A1173" s="1">
        <f>IFERROR(__xludf.DUMMYFUNCTION("""COMPUTED_VALUE"""),45596.66666666667)</f>
        <v>45596.66667</v>
      </c>
      <c r="B1173" s="2">
        <f>IFERROR(__xludf.DUMMYFUNCTION("""COMPUTED_VALUE"""),2960.0)</f>
        <v>2960</v>
      </c>
      <c r="C1173" s="2">
        <f>IFERROR(__xludf.DUMMYFUNCTION("""COMPUTED_VALUE"""),3060.0)</f>
        <v>3060</v>
      </c>
      <c r="D1173" s="2">
        <f>IFERROR(__xludf.DUMMYFUNCTION("""COMPUTED_VALUE"""),2960.0)</f>
        <v>2960</v>
      </c>
      <c r="E1173" s="2">
        <f>IFERROR(__xludf.DUMMYFUNCTION("""COMPUTED_VALUE"""),3030.0)</f>
        <v>3030</v>
      </c>
      <c r="F1173" s="2">
        <f>IFERROR(__xludf.DUMMYFUNCTION("""COMPUTED_VALUE"""),2.84726E7)</f>
        <v>28472600</v>
      </c>
      <c r="G1173" s="2">
        <f t="shared" si="1"/>
        <v>100</v>
      </c>
    </row>
    <row r="1174" ht="15.75" customHeight="1">
      <c r="A1174" s="1">
        <f>IFERROR(__xludf.DUMMYFUNCTION("""COMPUTED_VALUE"""),45597.66666666667)</f>
        <v>45597.66667</v>
      </c>
      <c r="B1174" s="2">
        <f>IFERROR(__xludf.DUMMYFUNCTION("""COMPUTED_VALUE"""),3030.0)</f>
        <v>3030</v>
      </c>
      <c r="C1174" s="2">
        <f>IFERROR(__xludf.DUMMYFUNCTION("""COMPUTED_VALUE"""),3030.0)</f>
        <v>3030</v>
      </c>
      <c r="D1174" s="2">
        <f>IFERROR(__xludf.DUMMYFUNCTION("""COMPUTED_VALUE"""),2930.0)</f>
        <v>2930</v>
      </c>
      <c r="E1174" s="2">
        <f>IFERROR(__xludf.DUMMYFUNCTION("""COMPUTED_VALUE"""),2950.0)</f>
        <v>2950</v>
      </c>
      <c r="F1174" s="2">
        <f>IFERROR(__xludf.DUMMYFUNCTION("""COMPUTED_VALUE"""),2.30472E7)</f>
        <v>23047200</v>
      </c>
      <c r="G1174" s="2">
        <f t="shared" si="1"/>
        <v>100</v>
      </c>
    </row>
    <row r="1175" ht="15.75" customHeight="1">
      <c r="A1175" s="1">
        <f>IFERROR(__xludf.DUMMYFUNCTION("""COMPUTED_VALUE"""),45600.66666666667)</f>
        <v>45600.66667</v>
      </c>
      <c r="B1175" s="2">
        <f>IFERROR(__xludf.DUMMYFUNCTION("""COMPUTED_VALUE"""),2950.0)</f>
        <v>2950</v>
      </c>
      <c r="C1175" s="2">
        <f>IFERROR(__xludf.DUMMYFUNCTION("""COMPUTED_VALUE"""),2970.0)</f>
        <v>2970</v>
      </c>
      <c r="D1175" s="2">
        <f>IFERROR(__xludf.DUMMYFUNCTION("""COMPUTED_VALUE"""),2900.0)</f>
        <v>2900</v>
      </c>
      <c r="E1175" s="2">
        <f>IFERROR(__xludf.DUMMYFUNCTION("""COMPUTED_VALUE"""),2940.0)</f>
        <v>2940</v>
      </c>
      <c r="F1175" s="2">
        <f>IFERROR(__xludf.DUMMYFUNCTION("""COMPUTED_VALUE"""),2.53661E7)</f>
        <v>25366100</v>
      </c>
      <c r="G1175" s="2">
        <f t="shared" si="1"/>
        <v>70</v>
      </c>
    </row>
    <row r="1176" ht="15.75" customHeight="1">
      <c r="A1176" s="1">
        <f>IFERROR(__xludf.DUMMYFUNCTION("""COMPUTED_VALUE"""),45601.66666666667)</f>
        <v>45601.66667</v>
      </c>
      <c r="B1176" s="2">
        <f>IFERROR(__xludf.DUMMYFUNCTION("""COMPUTED_VALUE"""),2950.0)</f>
        <v>2950</v>
      </c>
      <c r="C1176" s="2">
        <f>IFERROR(__xludf.DUMMYFUNCTION("""COMPUTED_VALUE"""),2980.0)</f>
        <v>2980</v>
      </c>
      <c r="D1176" s="2">
        <f>IFERROR(__xludf.DUMMYFUNCTION("""COMPUTED_VALUE"""),2920.0)</f>
        <v>2920</v>
      </c>
      <c r="E1176" s="2">
        <f>IFERROR(__xludf.DUMMYFUNCTION("""COMPUTED_VALUE"""),2970.0)</f>
        <v>2970</v>
      </c>
      <c r="F1176" s="2">
        <f>IFERROR(__xludf.DUMMYFUNCTION("""COMPUTED_VALUE"""),1.94288E7)</f>
        <v>19428800</v>
      </c>
      <c r="G1176" s="2">
        <f t="shared" si="1"/>
        <v>60</v>
      </c>
    </row>
    <row r="1177" ht="15.75" customHeight="1">
      <c r="A1177" s="1">
        <f>IFERROR(__xludf.DUMMYFUNCTION("""COMPUTED_VALUE"""),45602.66666666667)</f>
        <v>45602.66667</v>
      </c>
      <c r="B1177" s="2">
        <f>IFERROR(__xludf.DUMMYFUNCTION("""COMPUTED_VALUE"""),2980.0)</f>
        <v>2980</v>
      </c>
      <c r="C1177" s="2">
        <f>IFERROR(__xludf.DUMMYFUNCTION("""COMPUTED_VALUE"""),2990.0)</f>
        <v>2990</v>
      </c>
      <c r="D1177" s="2">
        <f>IFERROR(__xludf.DUMMYFUNCTION("""COMPUTED_VALUE"""),2860.0)</f>
        <v>2860</v>
      </c>
      <c r="E1177" s="2">
        <f>IFERROR(__xludf.DUMMYFUNCTION("""COMPUTED_VALUE"""),2900.0)</f>
        <v>2900</v>
      </c>
      <c r="F1177" s="2">
        <f>IFERROR(__xludf.DUMMYFUNCTION("""COMPUTED_VALUE"""),2.40153E7)</f>
        <v>24015300</v>
      </c>
      <c r="G1177" s="2">
        <f t="shared" si="1"/>
        <v>130</v>
      </c>
    </row>
    <row r="1178" ht="15.75" customHeight="1">
      <c r="A1178" s="1">
        <f>IFERROR(__xludf.DUMMYFUNCTION("""COMPUTED_VALUE"""),45603.66666666667)</f>
        <v>45603.66667</v>
      </c>
      <c r="B1178" s="2">
        <f>IFERROR(__xludf.DUMMYFUNCTION("""COMPUTED_VALUE"""),2900.0)</f>
        <v>2900</v>
      </c>
      <c r="C1178" s="2">
        <f>IFERROR(__xludf.DUMMYFUNCTION("""COMPUTED_VALUE"""),2910.0)</f>
        <v>2910</v>
      </c>
      <c r="D1178" s="2">
        <f>IFERROR(__xludf.DUMMYFUNCTION("""COMPUTED_VALUE"""),2800.0)</f>
        <v>2800</v>
      </c>
      <c r="E1178" s="2">
        <f>IFERROR(__xludf.DUMMYFUNCTION("""COMPUTED_VALUE"""),2850.0)</f>
        <v>2850</v>
      </c>
      <c r="F1178" s="2">
        <f>IFERROR(__xludf.DUMMYFUNCTION("""COMPUTED_VALUE"""),2.74646E7)</f>
        <v>27464600</v>
      </c>
      <c r="G1178" s="2">
        <f t="shared" si="1"/>
        <v>110</v>
      </c>
    </row>
    <row r="1179" ht="15.75" customHeight="1">
      <c r="A1179" s="1">
        <f>IFERROR(__xludf.DUMMYFUNCTION("""COMPUTED_VALUE"""),45604.66666666667)</f>
        <v>45604.66667</v>
      </c>
      <c r="B1179" s="2">
        <f>IFERROR(__xludf.DUMMYFUNCTION("""COMPUTED_VALUE"""),2870.0)</f>
        <v>2870</v>
      </c>
      <c r="C1179" s="2">
        <f>IFERROR(__xludf.DUMMYFUNCTION("""COMPUTED_VALUE"""),2920.0)</f>
        <v>2920</v>
      </c>
      <c r="D1179" s="2">
        <f>IFERROR(__xludf.DUMMYFUNCTION("""COMPUTED_VALUE"""),2840.0)</f>
        <v>2840</v>
      </c>
      <c r="E1179" s="2">
        <f>IFERROR(__xludf.DUMMYFUNCTION("""COMPUTED_VALUE"""),2860.0)</f>
        <v>2860</v>
      </c>
      <c r="F1179" s="2">
        <f>IFERROR(__xludf.DUMMYFUNCTION("""COMPUTED_VALUE"""),2.46692E7)</f>
        <v>24669200</v>
      </c>
      <c r="G1179" s="2">
        <f t="shared" si="1"/>
        <v>80</v>
      </c>
    </row>
    <row r="1180" ht="15.75" customHeight="1">
      <c r="A1180" s="1">
        <f>IFERROR(__xludf.DUMMYFUNCTION("""COMPUTED_VALUE"""),45607.66666666667)</f>
        <v>45607.66667</v>
      </c>
      <c r="B1180" s="2">
        <f>IFERROR(__xludf.DUMMYFUNCTION("""COMPUTED_VALUE"""),2870.0)</f>
        <v>2870</v>
      </c>
      <c r="C1180" s="2">
        <f>IFERROR(__xludf.DUMMYFUNCTION("""COMPUTED_VALUE"""),2890.0)</f>
        <v>2890</v>
      </c>
      <c r="D1180" s="2">
        <f>IFERROR(__xludf.DUMMYFUNCTION("""COMPUTED_VALUE"""),2760.0)</f>
        <v>2760</v>
      </c>
      <c r="E1180" s="2">
        <f>IFERROR(__xludf.DUMMYFUNCTION("""COMPUTED_VALUE"""),2820.0)</f>
        <v>2820</v>
      </c>
      <c r="F1180" s="2">
        <f>IFERROR(__xludf.DUMMYFUNCTION("""COMPUTED_VALUE"""),2.33667E7)</f>
        <v>23366700</v>
      </c>
      <c r="G1180" s="2">
        <f t="shared" si="1"/>
        <v>130</v>
      </c>
    </row>
    <row r="1181" ht="15.75" customHeight="1">
      <c r="A1181" s="1">
        <f>IFERROR(__xludf.DUMMYFUNCTION("""COMPUTED_VALUE"""),45608.66666666667)</f>
        <v>45608.66667</v>
      </c>
      <c r="B1181" s="2">
        <f>IFERROR(__xludf.DUMMYFUNCTION("""COMPUTED_VALUE"""),2820.0)</f>
        <v>2820</v>
      </c>
      <c r="C1181" s="2">
        <f>IFERROR(__xludf.DUMMYFUNCTION("""COMPUTED_VALUE"""),2890.0)</f>
        <v>2890</v>
      </c>
      <c r="D1181" s="2">
        <f>IFERROR(__xludf.DUMMYFUNCTION("""COMPUTED_VALUE"""),2820.0)</f>
        <v>2820</v>
      </c>
      <c r="E1181" s="2">
        <f>IFERROR(__xludf.DUMMYFUNCTION("""COMPUTED_VALUE"""),2880.0)</f>
        <v>2880</v>
      </c>
      <c r="F1181" s="2">
        <f>IFERROR(__xludf.DUMMYFUNCTION("""COMPUTED_VALUE"""),1.30576E7)</f>
        <v>13057600</v>
      </c>
      <c r="G1181" s="2">
        <f t="shared" si="1"/>
        <v>70</v>
      </c>
    </row>
    <row r="1182" ht="15.75" customHeight="1">
      <c r="A1182" s="1">
        <f>IFERROR(__xludf.DUMMYFUNCTION("""COMPUTED_VALUE"""),45609.66666666667)</f>
        <v>45609.66667</v>
      </c>
      <c r="B1182" s="2">
        <f>IFERROR(__xludf.DUMMYFUNCTION("""COMPUTED_VALUE"""),2880.0)</f>
        <v>2880</v>
      </c>
      <c r="C1182" s="2">
        <f>IFERROR(__xludf.DUMMYFUNCTION("""COMPUTED_VALUE"""),2940.0)</f>
        <v>2940</v>
      </c>
      <c r="D1182" s="2">
        <f>IFERROR(__xludf.DUMMYFUNCTION("""COMPUTED_VALUE"""),2870.0)</f>
        <v>2870</v>
      </c>
      <c r="E1182" s="2">
        <f>IFERROR(__xludf.DUMMYFUNCTION("""COMPUTED_VALUE"""),2890.0)</f>
        <v>2890</v>
      </c>
      <c r="F1182" s="2">
        <f>IFERROR(__xludf.DUMMYFUNCTION("""COMPUTED_VALUE"""),2.36765E7)</f>
        <v>23676500</v>
      </c>
      <c r="G1182" s="2">
        <f t="shared" si="1"/>
        <v>70</v>
      </c>
    </row>
    <row r="1183" ht="15.75" customHeight="1">
      <c r="A1183" s="1">
        <f>IFERROR(__xludf.DUMMYFUNCTION("""COMPUTED_VALUE"""),45610.66666666667)</f>
        <v>45610.66667</v>
      </c>
      <c r="B1183" s="2">
        <f>IFERROR(__xludf.DUMMYFUNCTION("""COMPUTED_VALUE"""),2890.0)</f>
        <v>2890</v>
      </c>
      <c r="C1183" s="2">
        <f>IFERROR(__xludf.DUMMYFUNCTION("""COMPUTED_VALUE"""),2900.0)</f>
        <v>2900</v>
      </c>
      <c r="D1183" s="2">
        <f>IFERROR(__xludf.DUMMYFUNCTION("""COMPUTED_VALUE"""),2840.0)</f>
        <v>2840</v>
      </c>
      <c r="E1183" s="2">
        <f>IFERROR(__xludf.DUMMYFUNCTION("""COMPUTED_VALUE"""),2850.0)</f>
        <v>2850</v>
      </c>
      <c r="F1183" s="2">
        <f>IFERROR(__xludf.DUMMYFUNCTION("""COMPUTED_VALUE"""),1.36328E7)</f>
        <v>13632800</v>
      </c>
      <c r="G1183" s="2">
        <f t="shared" si="1"/>
        <v>60</v>
      </c>
    </row>
    <row r="1184" ht="15.75" customHeight="1">
      <c r="A1184" s="1">
        <f>IFERROR(__xludf.DUMMYFUNCTION("""COMPUTED_VALUE"""),45611.66666666667)</f>
        <v>45611.66667</v>
      </c>
      <c r="B1184" s="2">
        <f>IFERROR(__xludf.DUMMYFUNCTION("""COMPUTED_VALUE"""),2840.0)</f>
        <v>2840</v>
      </c>
      <c r="C1184" s="2">
        <f>IFERROR(__xludf.DUMMYFUNCTION("""COMPUTED_VALUE"""),2880.0)</f>
        <v>2880</v>
      </c>
      <c r="D1184" s="2">
        <f>IFERROR(__xludf.DUMMYFUNCTION("""COMPUTED_VALUE"""),2820.0)</f>
        <v>2820</v>
      </c>
      <c r="E1184" s="2">
        <f>IFERROR(__xludf.DUMMYFUNCTION("""COMPUTED_VALUE"""),2850.0)</f>
        <v>2850</v>
      </c>
      <c r="F1184" s="2">
        <f>IFERROR(__xludf.DUMMYFUNCTION("""COMPUTED_VALUE"""),1.33138E7)</f>
        <v>13313800</v>
      </c>
      <c r="G1184" s="2">
        <f t="shared" si="1"/>
        <v>60</v>
      </c>
    </row>
    <row r="1185" ht="15.75" customHeight="1">
      <c r="A1185" s="1">
        <f>IFERROR(__xludf.DUMMYFUNCTION("""COMPUTED_VALUE"""),45614.66666666667)</f>
        <v>45614.66667</v>
      </c>
      <c r="B1185" s="2">
        <f>IFERROR(__xludf.DUMMYFUNCTION("""COMPUTED_VALUE"""),2860.0)</f>
        <v>2860</v>
      </c>
      <c r="C1185" s="2">
        <f>IFERROR(__xludf.DUMMYFUNCTION("""COMPUTED_VALUE"""),2900.0)</f>
        <v>2900</v>
      </c>
      <c r="D1185" s="2">
        <f>IFERROR(__xludf.DUMMYFUNCTION("""COMPUTED_VALUE"""),2790.0)</f>
        <v>2790</v>
      </c>
      <c r="E1185" s="2">
        <f>IFERROR(__xludf.DUMMYFUNCTION("""COMPUTED_VALUE"""),2850.0)</f>
        <v>2850</v>
      </c>
      <c r="F1185" s="2">
        <f>IFERROR(__xludf.DUMMYFUNCTION("""COMPUTED_VALUE"""),1.92426E7)</f>
        <v>19242600</v>
      </c>
      <c r="G1185" s="2">
        <f t="shared" si="1"/>
        <v>110</v>
      </c>
    </row>
    <row r="1186" ht="15.75" customHeight="1">
      <c r="A1186" s="1">
        <f>IFERROR(__xludf.DUMMYFUNCTION("""COMPUTED_VALUE"""),45615.66666666667)</f>
        <v>45615.66667</v>
      </c>
      <c r="B1186" s="2">
        <f>IFERROR(__xludf.DUMMYFUNCTION("""COMPUTED_VALUE"""),2850.0)</f>
        <v>2850</v>
      </c>
      <c r="C1186" s="2">
        <f>IFERROR(__xludf.DUMMYFUNCTION("""COMPUTED_VALUE"""),2860.0)</f>
        <v>2860</v>
      </c>
      <c r="D1186" s="2">
        <f>IFERROR(__xludf.DUMMYFUNCTION("""COMPUTED_VALUE"""),2780.0)</f>
        <v>2780</v>
      </c>
      <c r="E1186" s="2">
        <f>IFERROR(__xludf.DUMMYFUNCTION("""COMPUTED_VALUE"""),2780.0)</f>
        <v>2780</v>
      </c>
      <c r="F1186" s="2">
        <f>IFERROR(__xludf.DUMMYFUNCTION("""COMPUTED_VALUE"""),2.26319E7)</f>
        <v>22631900</v>
      </c>
      <c r="G1186" s="2">
        <f t="shared" si="1"/>
        <v>80</v>
      </c>
    </row>
    <row r="1187" ht="15.75" customHeight="1">
      <c r="A1187" s="1">
        <f>IFERROR(__xludf.DUMMYFUNCTION("""COMPUTED_VALUE"""),45616.66666666667)</f>
        <v>45616.66667</v>
      </c>
      <c r="B1187" s="2">
        <f>IFERROR(__xludf.DUMMYFUNCTION("""COMPUTED_VALUE"""),2800.0)</f>
        <v>2800</v>
      </c>
      <c r="C1187" s="2">
        <f>IFERROR(__xludf.DUMMYFUNCTION("""COMPUTED_VALUE"""),2820.0)</f>
        <v>2820</v>
      </c>
      <c r="D1187" s="2">
        <f>IFERROR(__xludf.DUMMYFUNCTION("""COMPUTED_VALUE"""),2750.0)</f>
        <v>2750</v>
      </c>
      <c r="E1187" s="2">
        <f>IFERROR(__xludf.DUMMYFUNCTION("""COMPUTED_VALUE"""),2770.0)</f>
        <v>2770</v>
      </c>
      <c r="F1187" s="2">
        <f>IFERROR(__xludf.DUMMYFUNCTION("""COMPUTED_VALUE"""),1.39101E7)</f>
        <v>13910100</v>
      </c>
      <c r="G1187" s="2">
        <f t="shared" si="1"/>
        <v>70</v>
      </c>
    </row>
    <row r="1188" ht="15.75" customHeight="1">
      <c r="A1188" s="1">
        <f>IFERROR(__xludf.DUMMYFUNCTION("""COMPUTED_VALUE"""),45617.66666666667)</f>
        <v>45617.66667</v>
      </c>
      <c r="B1188" s="2">
        <f>IFERROR(__xludf.DUMMYFUNCTION("""COMPUTED_VALUE"""),2770.0)</f>
        <v>2770</v>
      </c>
      <c r="C1188" s="2">
        <f>IFERROR(__xludf.DUMMYFUNCTION("""COMPUTED_VALUE"""),2800.0)</f>
        <v>2800</v>
      </c>
      <c r="D1188" s="2">
        <f>IFERROR(__xludf.DUMMYFUNCTION("""COMPUTED_VALUE"""),2660.0)</f>
        <v>2660</v>
      </c>
      <c r="E1188" s="2">
        <f>IFERROR(__xludf.DUMMYFUNCTION("""COMPUTED_VALUE"""),2690.0)</f>
        <v>2690</v>
      </c>
      <c r="F1188" s="2">
        <f>IFERROR(__xludf.DUMMYFUNCTION("""COMPUTED_VALUE"""),3.23873E7)</f>
        <v>32387300</v>
      </c>
      <c r="G1188" s="2">
        <f t="shared" si="1"/>
        <v>140</v>
      </c>
    </row>
    <row r="1189" ht="15.75" customHeight="1">
      <c r="A1189" s="1">
        <f>IFERROR(__xludf.DUMMYFUNCTION("""COMPUTED_VALUE"""),45618.66666666667)</f>
        <v>45618.66667</v>
      </c>
      <c r="B1189" s="2">
        <f>IFERROR(__xludf.DUMMYFUNCTION("""COMPUTED_VALUE"""),2720.0)</f>
        <v>2720</v>
      </c>
      <c r="C1189" s="2">
        <f>IFERROR(__xludf.DUMMYFUNCTION("""COMPUTED_VALUE"""),2970.0)</f>
        <v>2970</v>
      </c>
      <c r="D1189" s="2">
        <f>IFERROR(__xludf.DUMMYFUNCTION("""COMPUTED_VALUE"""),2690.0)</f>
        <v>2690</v>
      </c>
      <c r="E1189" s="2">
        <f>IFERROR(__xludf.DUMMYFUNCTION("""COMPUTED_VALUE"""),2950.0)</f>
        <v>2950</v>
      </c>
      <c r="F1189" s="2">
        <f>IFERROR(__xludf.DUMMYFUNCTION("""COMPUTED_VALUE"""),5.53262E7)</f>
        <v>55326200</v>
      </c>
      <c r="G1189" s="2">
        <f t="shared" si="1"/>
        <v>280</v>
      </c>
    </row>
    <row r="1190" ht="15.75" customHeight="1">
      <c r="A1190" s="1">
        <f>IFERROR(__xludf.DUMMYFUNCTION("""COMPUTED_VALUE"""),45621.66666666667)</f>
        <v>45621.66667</v>
      </c>
      <c r="B1190" s="2">
        <f>IFERROR(__xludf.DUMMYFUNCTION("""COMPUTED_VALUE"""),2950.0)</f>
        <v>2950</v>
      </c>
      <c r="C1190" s="2">
        <f>IFERROR(__xludf.DUMMYFUNCTION("""COMPUTED_VALUE"""),3040.0)</f>
        <v>3040</v>
      </c>
      <c r="D1190" s="2">
        <f>IFERROR(__xludf.DUMMYFUNCTION("""COMPUTED_VALUE"""),2920.0)</f>
        <v>2920</v>
      </c>
      <c r="E1190" s="2">
        <f>IFERROR(__xludf.DUMMYFUNCTION("""COMPUTED_VALUE"""),2950.0)</f>
        <v>2950</v>
      </c>
      <c r="F1190" s="2">
        <f>IFERROR(__xludf.DUMMYFUNCTION("""COMPUTED_VALUE"""),4.45234E7)</f>
        <v>44523400</v>
      </c>
      <c r="G1190" s="2">
        <f t="shared" si="1"/>
        <v>120</v>
      </c>
    </row>
    <row r="1191" ht="15.75" customHeight="1">
      <c r="A1191" s="1">
        <f>IFERROR(__xludf.DUMMYFUNCTION("""COMPUTED_VALUE"""),45622.66666666667)</f>
        <v>45622.66667</v>
      </c>
      <c r="B1191" s="2">
        <f>IFERROR(__xludf.DUMMYFUNCTION("""COMPUTED_VALUE"""),2980.0)</f>
        <v>2980</v>
      </c>
      <c r="C1191" s="2">
        <f>IFERROR(__xludf.DUMMYFUNCTION("""COMPUTED_VALUE"""),2980.0)</f>
        <v>2980</v>
      </c>
      <c r="D1191" s="2">
        <f>IFERROR(__xludf.DUMMYFUNCTION("""COMPUTED_VALUE"""),2910.0)</f>
        <v>2910</v>
      </c>
      <c r="E1191" s="2">
        <f>IFERROR(__xludf.DUMMYFUNCTION("""COMPUTED_VALUE"""),2920.0)</f>
        <v>2920</v>
      </c>
      <c r="F1191" s="2">
        <f>IFERROR(__xludf.DUMMYFUNCTION("""COMPUTED_VALUE"""),1.0893E7)</f>
        <v>10893000</v>
      </c>
      <c r="G1191" s="2">
        <f t="shared" si="1"/>
        <v>70</v>
      </c>
    </row>
    <row r="1192" ht="15.75" customHeight="1">
      <c r="A1192" s="1">
        <f>IFERROR(__xludf.DUMMYFUNCTION("""COMPUTED_VALUE"""),45624.66666666667)</f>
        <v>45624.66667</v>
      </c>
      <c r="B1192" s="2">
        <f>IFERROR(__xludf.DUMMYFUNCTION("""COMPUTED_VALUE"""),2930.0)</f>
        <v>2930</v>
      </c>
      <c r="C1192" s="2">
        <f>IFERROR(__xludf.DUMMYFUNCTION("""COMPUTED_VALUE"""),2950.0)</f>
        <v>2950</v>
      </c>
      <c r="D1192" s="2">
        <f>IFERROR(__xludf.DUMMYFUNCTION("""COMPUTED_VALUE"""),2880.0)</f>
        <v>2880</v>
      </c>
      <c r="E1192" s="2">
        <f>IFERROR(__xludf.DUMMYFUNCTION("""COMPUTED_VALUE"""),2910.0)</f>
        <v>2910</v>
      </c>
      <c r="F1192" s="2">
        <f>IFERROR(__xludf.DUMMYFUNCTION("""COMPUTED_VALUE"""),1.29858E7)</f>
        <v>12985800</v>
      </c>
      <c r="G1192" s="2">
        <f t="shared" si="1"/>
        <v>70</v>
      </c>
    </row>
    <row r="1193" ht="15.75" customHeight="1">
      <c r="A1193" s="1">
        <f>IFERROR(__xludf.DUMMYFUNCTION("""COMPUTED_VALUE"""),45625.66666666667)</f>
        <v>45625.66667</v>
      </c>
      <c r="B1193" s="2">
        <f>IFERROR(__xludf.DUMMYFUNCTION("""COMPUTED_VALUE"""),2910.0)</f>
        <v>2910</v>
      </c>
      <c r="C1193" s="2">
        <f>IFERROR(__xludf.DUMMYFUNCTION("""COMPUTED_VALUE"""),2920.0)</f>
        <v>2920</v>
      </c>
      <c r="D1193" s="2">
        <f>IFERROR(__xludf.DUMMYFUNCTION("""COMPUTED_VALUE"""),2860.0)</f>
        <v>2860</v>
      </c>
      <c r="E1193" s="2">
        <f>IFERROR(__xludf.DUMMYFUNCTION("""COMPUTED_VALUE"""),2900.0)</f>
        <v>2900</v>
      </c>
      <c r="F1193" s="2">
        <f>IFERROR(__xludf.DUMMYFUNCTION("""COMPUTED_VALUE"""),1.01885E7)</f>
        <v>10188500</v>
      </c>
      <c r="G1193" s="2">
        <f t="shared" si="1"/>
        <v>60</v>
      </c>
    </row>
    <row r="1194" ht="15.75" customHeight="1">
      <c r="A1194" s="1">
        <f>IFERROR(__xludf.DUMMYFUNCTION("""COMPUTED_VALUE"""),45628.66666666667)</f>
        <v>45628.66667</v>
      </c>
      <c r="B1194" s="2">
        <f>IFERROR(__xludf.DUMMYFUNCTION("""COMPUTED_VALUE"""),2920.0)</f>
        <v>2920</v>
      </c>
      <c r="C1194" s="2">
        <f>IFERROR(__xludf.DUMMYFUNCTION("""COMPUTED_VALUE"""),2930.0)</f>
        <v>2930</v>
      </c>
      <c r="D1194" s="2">
        <f>IFERROR(__xludf.DUMMYFUNCTION("""COMPUTED_VALUE"""),2830.0)</f>
        <v>2830</v>
      </c>
      <c r="E1194" s="2">
        <f>IFERROR(__xludf.DUMMYFUNCTION("""COMPUTED_VALUE"""),2840.0)</f>
        <v>2840</v>
      </c>
      <c r="F1194" s="2">
        <f>IFERROR(__xludf.DUMMYFUNCTION("""COMPUTED_VALUE"""),1.77427E7)</f>
        <v>17742700</v>
      </c>
      <c r="G1194" s="2">
        <f t="shared" si="1"/>
        <v>100</v>
      </c>
    </row>
    <row r="1195" ht="15.75" customHeight="1">
      <c r="A1195" s="1">
        <f>IFERROR(__xludf.DUMMYFUNCTION("""COMPUTED_VALUE"""),45629.66666666667)</f>
        <v>45629.66667</v>
      </c>
      <c r="B1195" s="2">
        <f>IFERROR(__xludf.DUMMYFUNCTION("""COMPUTED_VALUE"""),2890.0)</f>
        <v>2890</v>
      </c>
      <c r="C1195" s="2">
        <f>IFERROR(__xludf.DUMMYFUNCTION("""COMPUTED_VALUE"""),2960.0)</f>
        <v>2960</v>
      </c>
      <c r="D1195" s="2">
        <f>IFERROR(__xludf.DUMMYFUNCTION("""COMPUTED_VALUE"""),2890.0)</f>
        <v>2890</v>
      </c>
      <c r="E1195" s="2">
        <f>IFERROR(__xludf.DUMMYFUNCTION("""COMPUTED_VALUE"""),2940.0)</f>
        <v>2940</v>
      </c>
      <c r="F1195" s="2">
        <f>IFERROR(__xludf.DUMMYFUNCTION("""COMPUTED_VALUE"""),2.12825E7)</f>
        <v>21282500</v>
      </c>
      <c r="G1195" s="2">
        <f t="shared" si="1"/>
        <v>120</v>
      </c>
    </row>
    <row r="1196" ht="15.75" customHeight="1">
      <c r="A1196" s="1">
        <f>IFERROR(__xludf.DUMMYFUNCTION("""COMPUTED_VALUE"""),45630.66666666667)</f>
        <v>45630.66667</v>
      </c>
      <c r="B1196" s="2">
        <f>IFERROR(__xludf.DUMMYFUNCTION("""COMPUTED_VALUE"""),2950.0)</f>
        <v>2950</v>
      </c>
      <c r="C1196" s="2">
        <f>IFERROR(__xludf.DUMMYFUNCTION("""COMPUTED_VALUE"""),3010.0)</f>
        <v>3010</v>
      </c>
      <c r="D1196" s="2">
        <f>IFERROR(__xludf.DUMMYFUNCTION("""COMPUTED_VALUE"""),2940.0)</f>
        <v>2940</v>
      </c>
      <c r="E1196" s="2">
        <f>IFERROR(__xludf.DUMMYFUNCTION("""COMPUTED_VALUE"""),3000.0)</f>
        <v>3000</v>
      </c>
      <c r="F1196" s="2">
        <f>IFERROR(__xludf.DUMMYFUNCTION("""COMPUTED_VALUE"""),3.01446E7)</f>
        <v>30144600</v>
      </c>
      <c r="G1196" s="2">
        <f t="shared" si="1"/>
        <v>70</v>
      </c>
    </row>
    <row r="1197" ht="15.75" customHeight="1">
      <c r="A1197" s="1">
        <f>IFERROR(__xludf.DUMMYFUNCTION("""COMPUTED_VALUE"""),45631.66666666667)</f>
        <v>45631.66667</v>
      </c>
      <c r="B1197" s="2">
        <f>IFERROR(__xludf.DUMMYFUNCTION("""COMPUTED_VALUE"""),2990.0)</f>
        <v>2990</v>
      </c>
      <c r="C1197" s="2">
        <f>IFERROR(__xludf.DUMMYFUNCTION("""COMPUTED_VALUE"""),2990.0)</f>
        <v>2990</v>
      </c>
      <c r="D1197" s="2">
        <f>IFERROR(__xludf.DUMMYFUNCTION("""COMPUTED_VALUE"""),2930.0)</f>
        <v>2930</v>
      </c>
      <c r="E1197" s="2">
        <f>IFERROR(__xludf.DUMMYFUNCTION("""COMPUTED_VALUE"""),2970.0)</f>
        <v>2970</v>
      </c>
      <c r="F1197" s="2">
        <f>IFERROR(__xludf.DUMMYFUNCTION("""COMPUTED_VALUE"""),1.20034E7)</f>
        <v>12003400</v>
      </c>
      <c r="G1197" s="2">
        <f t="shared" si="1"/>
        <v>70</v>
      </c>
    </row>
    <row r="1198" ht="15.75" customHeight="1">
      <c r="A1198" s="1">
        <f>IFERROR(__xludf.DUMMYFUNCTION("""COMPUTED_VALUE"""),45632.66666666667)</f>
        <v>45632.66667</v>
      </c>
      <c r="B1198" s="2">
        <f>IFERROR(__xludf.DUMMYFUNCTION("""COMPUTED_VALUE"""),2960.0)</f>
        <v>2960</v>
      </c>
      <c r="C1198" s="2">
        <f>IFERROR(__xludf.DUMMYFUNCTION("""COMPUTED_VALUE"""),2990.0)</f>
        <v>2990</v>
      </c>
      <c r="D1198" s="2">
        <f>IFERROR(__xludf.DUMMYFUNCTION("""COMPUTED_VALUE"""),2940.0)</f>
        <v>2940</v>
      </c>
      <c r="E1198" s="2">
        <f>IFERROR(__xludf.DUMMYFUNCTION("""COMPUTED_VALUE"""),2980.0)</f>
        <v>2980</v>
      </c>
      <c r="F1198" s="2">
        <f>IFERROR(__xludf.DUMMYFUNCTION("""COMPUTED_VALUE"""),1.55646E7)</f>
        <v>15564600</v>
      </c>
      <c r="G1198" s="2">
        <f t="shared" si="1"/>
        <v>50</v>
      </c>
    </row>
    <row r="1199" ht="15.75" customHeight="1">
      <c r="A1199" s="1">
        <f>IFERROR(__xludf.DUMMYFUNCTION("""COMPUTED_VALUE"""),45635.66666666667)</f>
        <v>45635.66667</v>
      </c>
      <c r="B1199" s="2">
        <f>IFERROR(__xludf.DUMMYFUNCTION("""COMPUTED_VALUE"""),2980.0)</f>
        <v>2980</v>
      </c>
      <c r="C1199" s="2">
        <f>IFERROR(__xludf.DUMMYFUNCTION("""COMPUTED_VALUE"""),3030.0)</f>
        <v>3030</v>
      </c>
      <c r="D1199" s="2">
        <f>IFERROR(__xludf.DUMMYFUNCTION("""COMPUTED_VALUE"""),2980.0)</f>
        <v>2980</v>
      </c>
      <c r="E1199" s="2">
        <f>IFERROR(__xludf.DUMMYFUNCTION("""COMPUTED_VALUE"""),3010.0)</f>
        <v>3010</v>
      </c>
      <c r="F1199" s="2">
        <f>IFERROR(__xludf.DUMMYFUNCTION("""COMPUTED_VALUE"""),1.92936E7)</f>
        <v>19293600</v>
      </c>
      <c r="G1199" s="2">
        <f t="shared" si="1"/>
        <v>50</v>
      </c>
    </row>
    <row r="1200" ht="15.75" customHeight="1">
      <c r="A1200" s="1">
        <f>IFERROR(__xludf.DUMMYFUNCTION("""COMPUTED_VALUE"""),45636.66666666667)</f>
        <v>45636.66667</v>
      </c>
      <c r="B1200" s="2">
        <f>IFERROR(__xludf.DUMMYFUNCTION("""COMPUTED_VALUE"""),3010.0)</f>
        <v>3010</v>
      </c>
      <c r="C1200" s="2">
        <f>IFERROR(__xludf.DUMMYFUNCTION("""COMPUTED_VALUE"""),3020.0)</f>
        <v>3020</v>
      </c>
      <c r="D1200" s="2">
        <f>IFERROR(__xludf.DUMMYFUNCTION("""COMPUTED_VALUE"""),2950.0)</f>
        <v>2950</v>
      </c>
      <c r="E1200" s="2">
        <f>IFERROR(__xludf.DUMMYFUNCTION("""COMPUTED_VALUE"""),2970.0)</f>
        <v>2970</v>
      </c>
      <c r="F1200" s="2">
        <f>IFERROR(__xludf.DUMMYFUNCTION("""COMPUTED_VALUE"""),1.81168E7)</f>
        <v>18116800</v>
      </c>
      <c r="G1200" s="2">
        <f t="shared" si="1"/>
        <v>70</v>
      </c>
    </row>
    <row r="1201" ht="15.75" customHeight="1">
      <c r="A1201" s="1">
        <f>IFERROR(__xludf.DUMMYFUNCTION("""COMPUTED_VALUE"""),45637.66666666667)</f>
        <v>45637.66667</v>
      </c>
      <c r="B1201" s="2">
        <f>IFERROR(__xludf.DUMMYFUNCTION("""COMPUTED_VALUE"""),2970.0)</f>
        <v>2970</v>
      </c>
      <c r="C1201" s="2">
        <f>IFERROR(__xludf.DUMMYFUNCTION("""COMPUTED_VALUE"""),3010.0)</f>
        <v>3010</v>
      </c>
      <c r="D1201" s="2">
        <f>IFERROR(__xludf.DUMMYFUNCTION("""COMPUTED_VALUE"""),2950.0)</f>
        <v>2950</v>
      </c>
      <c r="E1201" s="2">
        <f>IFERROR(__xludf.DUMMYFUNCTION("""COMPUTED_VALUE"""),2970.0)</f>
        <v>2970</v>
      </c>
      <c r="F1201" s="2">
        <f>IFERROR(__xludf.DUMMYFUNCTION("""COMPUTED_VALUE"""),1.39408E7)</f>
        <v>13940800</v>
      </c>
      <c r="G1201" s="2">
        <f t="shared" si="1"/>
        <v>60</v>
      </c>
    </row>
    <row r="1202" ht="15.75" customHeight="1">
      <c r="A1202" s="1">
        <f>IFERROR(__xludf.DUMMYFUNCTION("""COMPUTED_VALUE"""),45638.66666666667)</f>
        <v>45638.66667</v>
      </c>
      <c r="B1202" s="2">
        <f>IFERROR(__xludf.DUMMYFUNCTION("""COMPUTED_VALUE"""),2960.0)</f>
        <v>2960</v>
      </c>
      <c r="C1202" s="2">
        <f>IFERROR(__xludf.DUMMYFUNCTION("""COMPUTED_VALUE"""),2960.0)</f>
        <v>2960</v>
      </c>
      <c r="D1202" s="2">
        <f>IFERROR(__xludf.DUMMYFUNCTION("""COMPUTED_VALUE"""),2900.0)</f>
        <v>2900</v>
      </c>
      <c r="E1202" s="2">
        <f>IFERROR(__xludf.DUMMYFUNCTION("""COMPUTED_VALUE"""),2900.0)</f>
        <v>2900</v>
      </c>
      <c r="F1202" s="2">
        <f>IFERROR(__xludf.DUMMYFUNCTION("""COMPUTED_VALUE"""),1.88828E7)</f>
        <v>18882800</v>
      </c>
      <c r="G1202" s="2">
        <f t="shared" si="1"/>
        <v>70</v>
      </c>
    </row>
    <row r="1203" ht="15.75" customHeight="1">
      <c r="A1203" s="1">
        <f>IFERROR(__xludf.DUMMYFUNCTION("""COMPUTED_VALUE"""),45639.66666666667)</f>
        <v>45639.66667</v>
      </c>
      <c r="B1203" s="2">
        <f>IFERROR(__xludf.DUMMYFUNCTION("""COMPUTED_VALUE"""),2910.0)</f>
        <v>2910</v>
      </c>
      <c r="C1203" s="2">
        <f>IFERROR(__xludf.DUMMYFUNCTION("""COMPUTED_VALUE"""),2950.0)</f>
        <v>2950</v>
      </c>
      <c r="D1203" s="2">
        <f>IFERROR(__xludf.DUMMYFUNCTION("""COMPUTED_VALUE"""),2880.0)</f>
        <v>2880</v>
      </c>
      <c r="E1203" s="2">
        <f>IFERROR(__xludf.DUMMYFUNCTION("""COMPUTED_VALUE"""),2900.0)</f>
        <v>2900</v>
      </c>
      <c r="F1203" s="2">
        <f>IFERROR(__xludf.DUMMYFUNCTION("""COMPUTED_VALUE"""),1.70775E7)</f>
        <v>17077500</v>
      </c>
      <c r="G1203" s="2">
        <f t="shared" si="1"/>
        <v>70</v>
      </c>
    </row>
    <row r="1204" ht="15.75" customHeight="1">
      <c r="A1204" s="1">
        <f>IFERROR(__xludf.DUMMYFUNCTION("""COMPUTED_VALUE"""),45642.66666666667)</f>
        <v>45642.66667</v>
      </c>
      <c r="B1204" s="2">
        <f>IFERROR(__xludf.DUMMYFUNCTION("""COMPUTED_VALUE"""),2900.0)</f>
        <v>2900</v>
      </c>
      <c r="C1204" s="2">
        <f>IFERROR(__xludf.DUMMYFUNCTION("""COMPUTED_VALUE"""),2910.0)</f>
        <v>2910</v>
      </c>
      <c r="D1204" s="2">
        <f>IFERROR(__xludf.DUMMYFUNCTION("""COMPUTED_VALUE"""),2830.0)</f>
        <v>2830</v>
      </c>
      <c r="E1204" s="2">
        <f>IFERROR(__xludf.DUMMYFUNCTION("""COMPUTED_VALUE"""),2850.0)</f>
        <v>2850</v>
      </c>
      <c r="F1204" s="2">
        <f>IFERROR(__xludf.DUMMYFUNCTION("""COMPUTED_VALUE"""),1.84163E7)</f>
        <v>18416300</v>
      </c>
      <c r="G1204" s="2">
        <f t="shared" si="1"/>
        <v>80</v>
      </c>
    </row>
    <row r="1205" ht="15.75" customHeight="1">
      <c r="A1205" s="1">
        <f>IFERROR(__xludf.DUMMYFUNCTION("""COMPUTED_VALUE"""),45643.66666666667)</f>
        <v>45643.66667</v>
      </c>
      <c r="B1205" s="2">
        <f>IFERROR(__xludf.DUMMYFUNCTION("""COMPUTED_VALUE"""),2850.0)</f>
        <v>2850</v>
      </c>
      <c r="C1205" s="2">
        <f>IFERROR(__xludf.DUMMYFUNCTION("""COMPUTED_VALUE"""),2880.0)</f>
        <v>2880</v>
      </c>
      <c r="D1205" s="2">
        <f>IFERROR(__xludf.DUMMYFUNCTION("""COMPUTED_VALUE"""),2760.0)</f>
        <v>2760</v>
      </c>
      <c r="E1205" s="2">
        <f>IFERROR(__xludf.DUMMYFUNCTION("""COMPUTED_VALUE"""),2760.0)</f>
        <v>2760</v>
      </c>
      <c r="F1205" s="2">
        <f>IFERROR(__xludf.DUMMYFUNCTION("""COMPUTED_VALUE"""),1.89734E7)</f>
        <v>18973400</v>
      </c>
      <c r="G1205" s="2">
        <f t="shared" si="1"/>
        <v>120</v>
      </c>
    </row>
    <row r="1206" ht="15.75" customHeight="1">
      <c r="A1206" s="1">
        <f>IFERROR(__xludf.DUMMYFUNCTION("""COMPUTED_VALUE"""),45644.66666666667)</f>
        <v>45644.66667</v>
      </c>
      <c r="B1206" s="2">
        <f>IFERROR(__xludf.DUMMYFUNCTION("""COMPUTED_VALUE"""),2760.0)</f>
        <v>2760</v>
      </c>
      <c r="C1206" s="2">
        <f>IFERROR(__xludf.DUMMYFUNCTION("""COMPUTED_VALUE"""),2780.0)</f>
        <v>2780</v>
      </c>
      <c r="D1206" s="2">
        <f>IFERROR(__xludf.DUMMYFUNCTION("""COMPUTED_VALUE"""),2670.0)</f>
        <v>2670</v>
      </c>
      <c r="E1206" s="2">
        <f>IFERROR(__xludf.DUMMYFUNCTION("""COMPUTED_VALUE"""),2680.0)</f>
        <v>2680</v>
      </c>
      <c r="F1206" s="2">
        <f>IFERROR(__xludf.DUMMYFUNCTION("""COMPUTED_VALUE"""),3.06126E7)</f>
        <v>30612600</v>
      </c>
      <c r="G1206" s="2">
        <f t="shared" si="1"/>
        <v>110</v>
      </c>
    </row>
    <row r="1207" ht="15.75" customHeight="1">
      <c r="A1207" s="1">
        <f>IFERROR(__xludf.DUMMYFUNCTION("""COMPUTED_VALUE"""),45645.66666666667)</f>
        <v>45645.66667</v>
      </c>
      <c r="B1207" s="2">
        <f>IFERROR(__xludf.DUMMYFUNCTION("""COMPUTED_VALUE"""),2600.0)</f>
        <v>2600</v>
      </c>
      <c r="C1207" s="2">
        <f>IFERROR(__xludf.DUMMYFUNCTION("""COMPUTED_VALUE"""),2660.0)</f>
        <v>2660</v>
      </c>
      <c r="D1207" s="2">
        <f>IFERROR(__xludf.DUMMYFUNCTION("""COMPUTED_VALUE"""),2560.0)</f>
        <v>2560</v>
      </c>
      <c r="E1207" s="2">
        <f>IFERROR(__xludf.DUMMYFUNCTION("""COMPUTED_VALUE"""),2640.0)</f>
        <v>2640</v>
      </c>
      <c r="F1207" s="2">
        <f>IFERROR(__xludf.DUMMYFUNCTION("""COMPUTED_VALUE"""),2.31784E7)</f>
        <v>23178400</v>
      </c>
      <c r="G1207" s="2">
        <f t="shared" si="1"/>
        <v>120</v>
      </c>
    </row>
    <row r="1208" ht="15.75" customHeight="1">
      <c r="A1208" s="1">
        <f>IFERROR(__xludf.DUMMYFUNCTION("""COMPUTED_VALUE"""),45646.66666666667)</f>
        <v>45646.66667</v>
      </c>
      <c r="B1208" s="2">
        <f>IFERROR(__xludf.DUMMYFUNCTION("""COMPUTED_VALUE"""),2660.0)</f>
        <v>2660</v>
      </c>
      <c r="C1208" s="2">
        <f>IFERROR(__xludf.DUMMYFUNCTION("""COMPUTED_VALUE"""),2770.0)</f>
        <v>2770</v>
      </c>
      <c r="D1208" s="2">
        <f>IFERROR(__xludf.DUMMYFUNCTION("""COMPUTED_VALUE"""),2630.0)</f>
        <v>2630</v>
      </c>
      <c r="E1208" s="2">
        <f>IFERROR(__xludf.DUMMYFUNCTION("""COMPUTED_VALUE"""),2750.0)</f>
        <v>2750</v>
      </c>
      <c r="F1208" s="2">
        <f>IFERROR(__xludf.DUMMYFUNCTION("""COMPUTED_VALUE"""),2.36318E7)</f>
        <v>23631800</v>
      </c>
      <c r="G1208" s="2">
        <f t="shared" si="1"/>
        <v>140</v>
      </c>
    </row>
    <row r="1209" ht="15.75" customHeight="1">
      <c r="A1209" s="1">
        <f>IFERROR(__xludf.DUMMYFUNCTION("""COMPUTED_VALUE"""),45649.66666666667)</f>
        <v>45649.66667</v>
      </c>
      <c r="B1209" s="2">
        <f>IFERROR(__xludf.DUMMYFUNCTION("""COMPUTED_VALUE"""),2780.0)</f>
        <v>2780</v>
      </c>
      <c r="C1209" s="2">
        <f>IFERROR(__xludf.DUMMYFUNCTION("""COMPUTED_VALUE"""),2840.0)</f>
        <v>2840</v>
      </c>
      <c r="D1209" s="2">
        <f>IFERROR(__xludf.DUMMYFUNCTION("""COMPUTED_VALUE"""),2760.0)</f>
        <v>2760</v>
      </c>
      <c r="E1209" s="2">
        <f>IFERROR(__xludf.DUMMYFUNCTION("""COMPUTED_VALUE"""),2800.0)</f>
        <v>2800</v>
      </c>
      <c r="F1209" s="2">
        <f>IFERROR(__xludf.DUMMYFUNCTION("""COMPUTED_VALUE"""),2.21183E7)</f>
        <v>22118300</v>
      </c>
      <c r="G1209" s="2">
        <f t="shared" si="1"/>
        <v>90</v>
      </c>
    </row>
    <row r="1210" ht="15.75" customHeight="1">
      <c r="A1210" s="1">
        <f>IFERROR(__xludf.DUMMYFUNCTION("""COMPUTED_VALUE"""),45650.66666666667)</f>
        <v>45650.66667</v>
      </c>
      <c r="B1210" s="2">
        <f>IFERROR(__xludf.DUMMYFUNCTION("""COMPUTED_VALUE"""),2800.0)</f>
        <v>2800</v>
      </c>
      <c r="C1210" s="2">
        <f>IFERROR(__xludf.DUMMYFUNCTION("""COMPUTED_VALUE"""),2810.0)</f>
        <v>2810</v>
      </c>
      <c r="D1210" s="2">
        <f>IFERROR(__xludf.DUMMYFUNCTION("""COMPUTED_VALUE"""),2750.0)</f>
        <v>2750</v>
      </c>
      <c r="E1210" s="2">
        <f>IFERROR(__xludf.DUMMYFUNCTION("""COMPUTED_VALUE"""),2750.0)</f>
        <v>2750</v>
      </c>
      <c r="F1210" s="2">
        <f>IFERROR(__xludf.DUMMYFUNCTION("""COMPUTED_VALUE"""),9029200.0)</f>
        <v>9029200</v>
      </c>
      <c r="G1210" s="2">
        <f t="shared" si="1"/>
        <v>60</v>
      </c>
    </row>
    <row r="1211" ht="15.75" customHeight="1">
      <c r="A1211" s="1">
        <f>IFERROR(__xludf.DUMMYFUNCTION("""COMPUTED_VALUE"""),45653.66666666667)</f>
        <v>45653.66667</v>
      </c>
      <c r="B1211" s="2">
        <f>IFERROR(__xludf.DUMMYFUNCTION("""COMPUTED_VALUE"""),2750.0)</f>
        <v>2750</v>
      </c>
      <c r="C1211" s="2">
        <f>IFERROR(__xludf.DUMMYFUNCTION("""COMPUTED_VALUE"""),2800.0)</f>
        <v>2800</v>
      </c>
      <c r="D1211" s="2">
        <f>IFERROR(__xludf.DUMMYFUNCTION("""COMPUTED_VALUE"""),2740.0)</f>
        <v>2740</v>
      </c>
      <c r="E1211" s="2">
        <f>IFERROR(__xludf.DUMMYFUNCTION("""COMPUTED_VALUE"""),2770.0)</f>
        <v>2770</v>
      </c>
      <c r="F1211" s="2">
        <f>IFERROR(__xludf.DUMMYFUNCTION("""COMPUTED_VALUE"""),1.45073E7)</f>
        <v>14507300</v>
      </c>
      <c r="G1211" s="2">
        <f t="shared" si="1"/>
        <v>60</v>
      </c>
    </row>
    <row r="1212" ht="15.75" customHeight="1">
      <c r="A1212" s="1">
        <f>IFERROR(__xludf.DUMMYFUNCTION("""COMPUTED_VALUE"""),45656.66666666667)</f>
        <v>45656.66667</v>
      </c>
      <c r="B1212" s="2">
        <f>IFERROR(__xludf.DUMMYFUNCTION("""COMPUTED_VALUE"""),2780.0)</f>
        <v>2780</v>
      </c>
      <c r="C1212" s="2">
        <f>IFERROR(__xludf.DUMMYFUNCTION("""COMPUTED_VALUE"""),2790.0)</f>
        <v>2790</v>
      </c>
      <c r="D1212" s="2">
        <f>IFERROR(__xludf.DUMMYFUNCTION("""COMPUTED_VALUE"""),2700.0)</f>
        <v>2700</v>
      </c>
      <c r="E1212" s="2">
        <f>IFERROR(__xludf.DUMMYFUNCTION("""COMPUTED_VALUE"""),2730.0)</f>
        <v>2730</v>
      </c>
      <c r="F1212" s="2">
        <f>IFERROR(__xludf.DUMMYFUNCTION("""COMPUTED_VALUE"""),1.31566E7)</f>
        <v>13156600</v>
      </c>
      <c r="G1212" s="2">
        <f t="shared" si="1"/>
        <v>90</v>
      </c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7" width="12.63"/>
  </cols>
  <sheetData>
    <row r="1" ht="15.75" customHeight="1">
      <c r="A1" s="1" t="str">
        <f>IFERROR(__xludf.DUMMYFUNCTION("GOOGLEFINANCE(""IDX:ELSA"", ""all"", DATE(2020,1,1), DATE(2025,1,1), ""DAILY"")
"),"Date")</f>
        <v>Date</v>
      </c>
      <c r="B1" s="2" t="str">
        <f>IFERROR(__xludf.DUMMYFUNCTION("""COMPUTED_VALUE"""),"Open")</f>
        <v>Open</v>
      </c>
      <c r="C1" s="2" t="str">
        <f>IFERROR(__xludf.DUMMYFUNCTION("""COMPUTED_VALUE"""),"High")</f>
        <v>High</v>
      </c>
      <c r="D1" s="2" t="str">
        <f>IFERROR(__xludf.DUMMYFUNCTION("""COMPUTED_VALUE"""),"Low")</f>
        <v>Low</v>
      </c>
      <c r="E1" s="2" t="str">
        <f>IFERROR(__xludf.DUMMYFUNCTION("""COMPUTED_VALUE"""),"Close")</f>
        <v>Close</v>
      </c>
      <c r="F1" s="2" t="str">
        <f>IFERROR(__xludf.DUMMYFUNCTION("""COMPUTED_VALUE"""),"Volume")</f>
        <v>Volume</v>
      </c>
      <c r="G1" s="3" t="s">
        <v>0</v>
      </c>
    </row>
    <row r="2" ht="15.75" customHeight="1">
      <c r="A2" s="1">
        <f>IFERROR(__xludf.DUMMYFUNCTION("""COMPUTED_VALUE"""),43832.66666666667)</f>
        <v>43832.66667</v>
      </c>
      <c r="B2" s="2">
        <f>IFERROR(__xludf.DUMMYFUNCTION("""COMPUTED_VALUE"""),306.0)</f>
        <v>306</v>
      </c>
      <c r="C2" s="2">
        <f>IFERROR(__xludf.DUMMYFUNCTION("""COMPUTED_VALUE"""),310.0)</f>
        <v>310</v>
      </c>
      <c r="D2" s="2">
        <f>IFERROR(__xludf.DUMMYFUNCTION("""COMPUTED_VALUE"""),300.0)</f>
        <v>300</v>
      </c>
      <c r="E2" s="2">
        <f>IFERROR(__xludf.DUMMYFUNCTION("""COMPUTED_VALUE"""),302.0)</f>
        <v>302</v>
      </c>
      <c r="F2" s="2">
        <f>IFERROR(__xludf.DUMMYFUNCTION("""COMPUTED_VALUE"""),1.04649E7)</f>
        <v>10464900</v>
      </c>
      <c r="G2" s="2"/>
    </row>
    <row r="3" ht="15.75" customHeight="1">
      <c r="A3" s="1">
        <f>IFERROR(__xludf.DUMMYFUNCTION("""COMPUTED_VALUE"""),43833.66666666667)</f>
        <v>43833.66667</v>
      </c>
      <c r="B3" s="2">
        <f>IFERROR(__xludf.DUMMYFUNCTION("""COMPUTED_VALUE"""),302.0)</f>
        <v>302</v>
      </c>
      <c r="C3" s="2">
        <f>IFERROR(__xludf.DUMMYFUNCTION("""COMPUTED_VALUE"""),320.0)</f>
        <v>320</v>
      </c>
      <c r="D3" s="2">
        <f>IFERROR(__xludf.DUMMYFUNCTION("""COMPUTED_VALUE"""),302.0)</f>
        <v>302</v>
      </c>
      <c r="E3" s="2">
        <f>IFERROR(__xludf.DUMMYFUNCTION("""COMPUTED_VALUE"""),316.0)</f>
        <v>316</v>
      </c>
      <c r="F3" s="2">
        <f>IFERROR(__xludf.DUMMYFUNCTION("""COMPUTED_VALUE"""),6.50929E7)</f>
        <v>65092900</v>
      </c>
      <c r="G3" s="2">
        <f t="shared" ref="G3:G1212" si="1">MAX(C3-D3, ABS(C3-E2), ABS(D3-E2))</f>
        <v>18</v>
      </c>
    </row>
    <row r="4" ht="15.75" customHeight="1">
      <c r="A4" s="1">
        <f>IFERROR(__xludf.DUMMYFUNCTION("""COMPUTED_VALUE"""),43836.66666666667)</f>
        <v>43836.66667</v>
      </c>
      <c r="B4" s="2">
        <f>IFERROR(__xludf.DUMMYFUNCTION("""COMPUTED_VALUE"""),320.0)</f>
        <v>320</v>
      </c>
      <c r="C4" s="2">
        <f>IFERROR(__xludf.DUMMYFUNCTION("""COMPUTED_VALUE"""),334.0)</f>
        <v>334</v>
      </c>
      <c r="D4" s="2">
        <f>IFERROR(__xludf.DUMMYFUNCTION("""COMPUTED_VALUE"""),318.0)</f>
        <v>318</v>
      </c>
      <c r="E4" s="2">
        <f>IFERROR(__xludf.DUMMYFUNCTION("""COMPUTED_VALUE"""),330.0)</f>
        <v>330</v>
      </c>
      <c r="F4" s="2">
        <f>IFERROR(__xludf.DUMMYFUNCTION("""COMPUTED_VALUE"""),1.295294E8)</f>
        <v>129529400</v>
      </c>
      <c r="G4" s="2">
        <f t="shared" si="1"/>
        <v>18</v>
      </c>
    </row>
    <row r="5" ht="15.75" customHeight="1">
      <c r="A5" s="1">
        <f>IFERROR(__xludf.DUMMYFUNCTION("""COMPUTED_VALUE"""),43837.66666666667)</f>
        <v>43837.66667</v>
      </c>
      <c r="B5" s="2">
        <f>IFERROR(__xludf.DUMMYFUNCTION("""COMPUTED_VALUE"""),332.0)</f>
        <v>332</v>
      </c>
      <c r="C5" s="2">
        <f>IFERROR(__xludf.DUMMYFUNCTION("""COMPUTED_VALUE"""),334.0)</f>
        <v>334</v>
      </c>
      <c r="D5" s="2">
        <f>IFERROR(__xludf.DUMMYFUNCTION("""COMPUTED_VALUE"""),322.0)</f>
        <v>322</v>
      </c>
      <c r="E5" s="2">
        <f>IFERROR(__xludf.DUMMYFUNCTION("""COMPUTED_VALUE"""),326.0)</f>
        <v>326</v>
      </c>
      <c r="F5" s="2">
        <f>IFERROR(__xludf.DUMMYFUNCTION("""COMPUTED_VALUE"""),3.74066E7)</f>
        <v>37406600</v>
      </c>
      <c r="G5" s="2">
        <f t="shared" si="1"/>
        <v>12</v>
      </c>
    </row>
    <row r="6" ht="15.75" customHeight="1">
      <c r="A6" s="1">
        <f>IFERROR(__xludf.DUMMYFUNCTION("""COMPUTED_VALUE"""),43838.66666666667)</f>
        <v>43838.66667</v>
      </c>
      <c r="B6" s="2">
        <f>IFERROR(__xludf.DUMMYFUNCTION("""COMPUTED_VALUE"""),334.0)</f>
        <v>334</v>
      </c>
      <c r="C6" s="2">
        <f>IFERROR(__xludf.DUMMYFUNCTION("""COMPUTED_VALUE"""),338.0)</f>
        <v>338</v>
      </c>
      <c r="D6" s="2">
        <f>IFERROR(__xludf.DUMMYFUNCTION("""COMPUTED_VALUE"""),324.0)</f>
        <v>324</v>
      </c>
      <c r="E6" s="2">
        <f>IFERROR(__xludf.DUMMYFUNCTION("""COMPUTED_VALUE"""),326.0)</f>
        <v>326</v>
      </c>
      <c r="F6" s="2">
        <f>IFERROR(__xludf.DUMMYFUNCTION("""COMPUTED_VALUE"""),8.65525E7)</f>
        <v>86552500</v>
      </c>
      <c r="G6" s="2">
        <f t="shared" si="1"/>
        <v>14</v>
      </c>
    </row>
    <row r="7" ht="15.75" customHeight="1">
      <c r="A7" s="1">
        <f>IFERROR(__xludf.DUMMYFUNCTION("""COMPUTED_VALUE"""),43839.66666666667)</f>
        <v>43839.66667</v>
      </c>
      <c r="B7" s="2">
        <f>IFERROR(__xludf.DUMMYFUNCTION("""COMPUTED_VALUE"""),322.0)</f>
        <v>322</v>
      </c>
      <c r="C7" s="2">
        <f>IFERROR(__xludf.DUMMYFUNCTION("""COMPUTED_VALUE"""),322.0)</f>
        <v>322</v>
      </c>
      <c r="D7" s="2">
        <f>IFERROR(__xludf.DUMMYFUNCTION("""COMPUTED_VALUE"""),312.0)</f>
        <v>312</v>
      </c>
      <c r="E7" s="2">
        <f>IFERROR(__xludf.DUMMYFUNCTION("""COMPUTED_VALUE"""),316.0)</f>
        <v>316</v>
      </c>
      <c r="F7" s="2">
        <f>IFERROR(__xludf.DUMMYFUNCTION("""COMPUTED_VALUE"""),4.56015E7)</f>
        <v>45601500</v>
      </c>
      <c r="G7" s="2">
        <f t="shared" si="1"/>
        <v>14</v>
      </c>
    </row>
    <row r="8" ht="15.75" customHeight="1">
      <c r="A8" s="1">
        <f>IFERROR(__xludf.DUMMYFUNCTION("""COMPUTED_VALUE"""),43840.66666666667)</f>
        <v>43840.66667</v>
      </c>
      <c r="B8" s="2">
        <f>IFERROR(__xludf.DUMMYFUNCTION("""COMPUTED_VALUE"""),316.0)</f>
        <v>316</v>
      </c>
      <c r="C8" s="2">
        <f>IFERROR(__xludf.DUMMYFUNCTION("""COMPUTED_VALUE"""),318.0)</f>
        <v>318</v>
      </c>
      <c r="D8" s="2">
        <f>IFERROR(__xludf.DUMMYFUNCTION("""COMPUTED_VALUE"""),312.0)</f>
        <v>312</v>
      </c>
      <c r="E8" s="2">
        <f>IFERROR(__xludf.DUMMYFUNCTION("""COMPUTED_VALUE"""),316.0)</f>
        <v>316</v>
      </c>
      <c r="F8" s="2">
        <f>IFERROR(__xludf.DUMMYFUNCTION("""COMPUTED_VALUE"""),1.62998E7)</f>
        <v>16299800</v>
      </c>
      <c r="G8" s="2">
        <f t="shared" si="1"/>
        <v>6</v>
      </c>
    </row>
    <row r="9" ht="15.75" customHeight="1">
      <c r="A9" s="1">
        <f>IFERROR(__xludf.DUMMYFUNCTION("""COMPUTED_VALUE"""),43843.66666666667)</f>
        <v>43843.66667</v>
      </c>
      <c r="B9" s="2">
        <f>IFERROR(__xludf.DUMMYFUNCTION("""COMPUTED_VALUE"""),316.0)</f>
        <v>316</v>
      </c>
      <c r="C9" s="2">
        <f>IFERROR(__xludf.DUMMYFUNCTION("""COMPUTED_VALUE"""),318.0)</f>
        <v>318</v>
      </c>
      <c r="D9" s="2">
        <f>IFERROR(__xludf.DUMMYFUNCTION("""COMPUTED_VALUE"""),312.0)</f>
        <v>312</v>
      </c>
      <c r="E9" s="2">
        <f>IFERROR(__xludf.DUMMYFUNCTION("""COMPUTED_VALUE"""),312.0)</f>
        <v>312</v>
      </c>
      <c r="F9" s="2">
        <f>IFERROR(__xludf.DUMMYFUNCTION("""COMPUTED_VALUE"""),1.81837E7)</f>
        <v>18183700</v>
      </c>
      <c r="G9" s="2">
        <f t="shared" si="1"/>
        <v>6</v>
      </c>
    </row>
    <row r="10" ht="15.75" customHeight="1">
      <c r="A10" s="1">
        <f>IFERROR(__xludf.DUMMYFUNCTION("""COMPUTED_VALUE"""),43844.66666666667)</f>
        <v>43844.66667</v>
      </c>
      <c r="B10" s="2">
        <f>IFERROR(__xludf.DUMMYFUNCTION("""COMPUTED_VALUE"""),312.0)</f>
        <v>312</v>
      </c>
      <c r="C10" s="2">
        <f>IFERROR(__xludf.DUMMYFUNCTION("""COMPUTED_VALUE"""),314.0)</f>
        <v>314</v>
      </c>
      <c r="D10" s="2">
        <f>IFERROR(__xludf.DUMMYFUNCTION("""COMPUTED_VALUE"""),304.0)</f>
        <v>304</v>
      </c>
      <c r="E10" s="2">
        <f>IFERROR(__xludf.DUMMYFUNCTION("""COMPUTED_VALUE"""),304.0)</f>
        <v>304</v>
      </c>
      <c r="F10" s="2">
        <f>IFERROR(__xludf.DUMMYFUNCTION("""COMPUTED_VALUE"""),3.59393E7)</f>
        <v>35939300</v>
      </c>
      <c r="G10" s="2">
        <f t="shared" si="1"/>
        <v>10</v>
      </c>
    </row>
    <row r="11" ht="15.75" customHeight="1">
      <c r="A11" s="1">
        <f>IFERROR(__xludf.DUMMYFUNCTION("""COMPUTED_VALUE"""),43845.66666666667)</f>
        <v>43845.66667</v>
      </c>
      <c r="B11" s="2">
        <f>IFERROR(__xludf.DUMMYFUNCTION("""COMPUTED_VALUE"""),304.0)</f>
        <v>304</v>
      </c>
      <c r="C11" s="2">
        <f>IFERROR(__xludf.DUMMYFUNCTION("""COMPUTED_VALUE"""),310.0)</f>
        <v>310</v>
      </c>
      <c r="D11" s="2">
        <f>IFERROR(__xludf.DUMMYFUNCTION("""COMPUTED_VALUE"""),302.0)</f>
        <v>302</v>
      </c>
      <c r="E11" s="2">
        <f>IFERROR(__xludf.DUMMYFUNCTION("""COMPUTED_VALUE"""),304.0)</f>
        <v>304</v>
      </c>
      <c r="F11" s="2">
        <f>IFERROR(__xludf.DUMMYFUNCTION("""COMPUTED_VALUE"""),2.70346E7)</f>
        <v>27034600</v>
      </c>
      <c r="G11" s="2">
        <f t="shared" si="1"/>
        <v>8</v>
      </c>
    </row>
    <row r="12" ht="15.75" customHeight="1">
      <c r="A12" s="1">
        <f>IFERROR(__xludf.DUMMYFUNCTION("""COMPUTED_VALUE"""),43846.66666666667)</f>
        <v>43846.66667</v>
      </c>
      <c r="B12" s="2">
        <f>IFERROR(__xludf.DUMMYFUNCTION("""COMPUTED_VALUE"""),304.0)</f>
        <v>304</v>
      </c>
      <c r="C12" s="2">
        <f>IFERROR(__xludf.DUMMYFUNCTION("""COMPUTED_VALUE"""),308.0)</f>
        <v>308</v>
      </c>
      <c r="D12" s="2">
        <f>IFERROR(__xludf.DUMMYFUNCTION("""COMPUTED_VALUE"""),302.0)</f>
        <v>302</v>
      </c>
      <c r="E12" s="2">
        <f>IFERROR(__xludf.DUMMYFUNCTION("""COMPUTED_VALUE"""),304.0)</f>
        <v>304</v>
      </c>
      <c r="F12" s="2">
        <f>IFERROR(__xludf.DUMMYFUNCTION("""COMPUTED_VALUE"""),2.48298E7)</f>
        <v>24829800</v>
      </c>
      <c r="G12" s="2">
        <f t="shared" si="1"/>
        <v>6</v>
      </c>
    </row>
    <row r="13" ht="15.75" customHeight="1">
      <c r="A13" s="1">
        <f>IFERROR(__xludf.DUMMYFUNCTION("""COMPUTED_VALUE"""),43847.66666666667)</f>
        <v>43847.66667</v>
      </c>
      <c r="B13" s="2">
        <f>IFERROR(__xludf.DUMMYFUNCTION("""COMPUTED_VALUE"""),306.0)</f>
        <v>306</v>
      </c>
      <c r="C13" s="2">
        <f>IFERROR(__xludf.DUMMYFUNCTION("""COMPUTED_VALUE"""),310.0)</f>
        <v>310</v>
      </c>
      <c r="D13" s="2">
        <f>IFERROR(__xludf.DUMMYFUNCTION("""COMPUTED_VALUE"""),304.0)</f>
        <v>304</v>
      </c>
      <c r="E13" s="2">
        <f>IFERROR(__xludf.DUMMYFUNCTION("""COMPUTED_VALUE"""),304.0)</f>
        <v>304</v>
      </c>
      <c r="F13" s="2">
        <f>IFERROR(__xludf.DUMMYFUNCTION("""COMPUTED_VALUE"""),1.53413E7)</f>
        <v>15341300</v>
      </c>
      <c r="G13" s="2">
        <f t="shared" si="1"/>
        <v>6</v>
      </c>
    </row>
    <row r="14" ht="15.75" customHeight="1">
      <c r="A14" s="1">
        <f>IFERROR(__xludf.DUMMYFUNCTION("""COMPUTED_VALUE"""),43850.66666666667)</f>
        <v>43850.66667</v>
      </c>
      <c r="B14" s="2">
        <f>IFERROR(__xludf.DUMMYFUNCTION("""COMPUTED_VALUE"""),306.0)</f>
        <v>306</v>
      </c>
      <c r="C14" s="2">
        <f>IFERROR(__xludf.DUMMYFUNCTION("""COMPUTED_VALUE"""),308.0)</f>
        <v>308</v>
      </c>
      <c r="D14" s="2">
        <f>IFERROR(__xludf.DUMMYFUNCTION("""COMPUTED_VALUE"""),302.0)</f>
        <v>302</v>
      </c>
      <c r="E14" s="2">
        <f>IFERROR(__xludf.DUMMYFUNCTION("""COMPUTED_VALUE"""),302.0)</f>
        <v>302</v>
      </c>
      <c r="F14" s="2">
        <f>IFERROR(__xludf.DUMMYFUNCTION("""COMPUTED_VALUE"""),1.00635E7)</f>
        <v>10063500</v>
      </c>
      <c r="G14" s="2">
        <f t="shared" si="1"/>
        <v>6</v>
      </c>
    </row>
    <row r="15" ht="15.75" customHeight="1">
      <c r="A15" s="1">
        <f>IFERROR(__xludf.DUMMYFUNCTION("""COMPUTED_VALUE"""),43851.66666666667)</f>
        <v>43851.66667</v>
      </c>
      <c r="B15" s="2">
        <f>IFERROR(__xludf.DUMMYFUNCTION("""COMPUTED_VALUE"""),304.0)</f>
        <v>304</v>
      </c>
      <c r="C15" s="2">
        <f>IFERROR(__xludf.DUMMYFUNCTION("""COMPUTED_VALUE"""),304.0)</f>
        <v>304</v>
      </c>
      <c r="D15" s="2">
        <f>IFERROR(__xludf.DUMMYFUNCTION("""COMPUTED_VALUE"""),296.0)</f>
        <v>296</v>
      </c>
      <c r="E15" s="2">
        <f>IFERROR(__xludf.DUMMYFUNCTION("""COMPUTED_VALUE"""),296.0)</f>
        <v>296</v>
      </c>
      <c r="F15" s="2">
        <f>IFERROR(__xludf.DUMMYFUNCTION("""COMPUTED_VALUE"""),2.06628E7)</f>
        <v>20662800</v>
      </c>
      <c r="G15" s="2">
        <f t="shared" si="1"/>
        <v>8</v>
      </c>
    </row>
    <row r="16" ht="15.75" customHeight="1">
      <c r="A16" s="1">
        <f>IFERROR(__xludf.DUMMYFUNCTION("""COMPUTED_VALUE"""),43852.66666666667)</f>
        <v>43852.66667</v>
      </c>
      <c r="B16" s="2">
        <f>IFERROR(__xludf.DUMMYFUNCTION("""COMPUTED_VALUE"""),296.0)</f>
        <v>296</v>
      </c>
      <c r="C16" s="2">
        <f>IFERROR(__xludf.DUMMYFUNCTION("""COMPUTED_VALUE"""),300.0)</f>
        <v>300</v>
      </c>
      <c r="D16" s="2">
        <f>IFERROR(__xludf.DUMMYFUNCTION("""COMPUTED_VALUE"""),290.0)</f>
        <v>290</v>
      </c>
      <c r="E16" s="2">
        <f>IFERROR(__xludf.DUMMYFUNCTION("""COMPUTED_VALUE"""),292.0)</f>
        <v>292</v>
      </c>
      <c r="F16" s="2">
        <f>IFERROR(__xludf.DUMMYFUNCTION("""COMPUTED_VALUE"""),1.8963E7)</f>
        <v>18963000</v>
      </c>
      <c r="G16" s="2">
        <f t="shared" si="1"/>
        <v>10</v>
      </c>
    </row>
    <row r="17" ht="15.75" customHeight="1">
      <c r="A17" s="1">
        <f>IFERROR(__xludf.DUMMYFUNCTION("""COMPUTED_VALUE"""),43853.66666666667)</f>
        <v>43853.66667</v>
      </c>
      <c r="B17" s="2">
        <f>IFERROR(__xludf.DUMMYFUNCTION("""COMPUTED_VALUE"""),292.0)</f>
        <v>292</v>
      </c>
      <c r="C17" s="2">
        <f>IFERROR(__xludf.DUMMYFUNCTION("""COMPUTED_VALUE"""),292.0)</f>
        <v>292</v>
      </c>
      <c r="D17" s="2">
        <f>IFERROR(__xludf.DUMMYFUNCTION("""COMPUTED_VALUE"""),282.0)</f>
        <v>282</v>
      </c>
      <c r="E17" s="2">
        <f>IFERROR(__xludf.DUMMYFUNCTION("""COMPUTED_VALUE"""),286.0)</f>
        <v>286</v>
      </c>
      <c r="F17" s="2">
        <f>IFERROR(__xludf.DUMMYFUNCTION("""COMPUTED_VALUE"""),1.49562E7)</f>
        <v>14956200</v>
      </c>
      <c r="G17" s="2">
        <f t="shared" si="1"/>
        <v>10</v>
      </c>
    </row>
    <row r="18" ht="15.75" customHeight="1">
      <c r="A18" s="1">
        <f>IFERROR(__xludf.DUMMYFUNCTION("""COMPUTED_VALUE"""),43854.66666666667)</f>
        <v>43854.66667</v>
      </c>
      <c r="B18" s="2">
        <f>IFERROR(__xludf.DUMMYFUNCTION("""COMPUTED_VALUE"""),288.0)</f>
        <v>288</v>
      </c>
      <c r="C18" s="2">
        <f>IFERROR(__xludf.DUMMYFUNCTION("""COMPUTED_VALUE"""),292.0)</f>
        <v>292</v>
      </c>
      <c r="D18" s="2">
        <f>IFERROR(__xludf.DUMMYFUNCTION("""COMPUTED_VALUE"""),282.0)</f>
        <v>282</v>
      </c>
      <c r="E18" s="2">
        <f>IFERROR(__xludf.DUMMYFUNCTION("""COMPUTED_VALUE"""),284.0)</f>
        <v>284</v>
      </c>
      <c r="F18" s="2">
        <f>IFERROR(__xludf.DUMMYFUNCTION("""COMPUTED_VALUE"""),5748700.0)</f>
        <v>5748700</v>
      </c>
      <c r="G18" s="2">
        <f t="shared" si="1"/>
        <v>10</v>
      </c>
    </row>
    <row r="19" ht="15.75" customHeight="1">
      <c r="A19" s="1">
        <f>IFERROR(__xludf.DUMMYFUNCTION("""COMPUTED_VALUE"""),43857.66666666667)</f>
        <v>43857.66667</v>
      </c>
      <c r="B19" s="2">
        <f>IFERROR(__xludf.DUMMYFUNCTION("""COMPUTED_VALUE"""),278.0)</f>
        <v>278</v>
      </c>
      <c r="C19" s="2">
        <f>IFERROR(__xludf.DUMMYFUNCTION("""COMPUTED_VALUE"""),282.0)</f>
        <v>282</v>
      </c>
      <c r="D19" s="2">
        <f>IFERROR(__xludf.DUMMYFUNCTION("""COMPUTED_VALUE"""),270.0)</f>
        <v>270</v>
      </c>
      <c r="E19" s="2">
        <f>IFERROR(__xludf.DUMMYFUNCTION("""COMPUTED_VALUE"""),274.0)</f>
        <v>274</v>
      </c>
      <c r="F19" s="2">
        <f>IFERROR(__xludf.DUMMYFUNCTION("""COMPUTED_VALUE"""),2.27169E7)</f>
        <v>22716900</v>
      </c>
      <c r="G19" s="2">
        <f t="shared" si="1"/>
        <v>14</v>
      </c>
    </row>
    <row r="20" ht="15.75" customHeight="1">
      <c r="A20" s="1">
        <f>IFERROR(__xludf.DUMMYFUNCTION("""COMPUTED_VALUE"""),43858.66666666667)</f>
        <v>43858.66667</v>
      </c>
      <c r="B20" s="2">
        <f>IFERROR(__xludf.DUMMYFUNCTION("""COMPUTED_VALUE"""),274.0)</f>
        <v>274</v>
      </c>
      <c r="C20" s="2">
        <f>IFERROR(__xludf.DUMMYFUNCTION("""COMPUTED_VALUE"""),282.0)</f>
        <v>282</v>
      </c>
      <c r="D20" s="2">
        <f>IFERROR(__xludf.DUMMYFUNCTION("""COMPUTED_VALUE"""),270.0)</f>
        <v>270</v>
      </c>
      <c r="E20" s="2">
        <f>IFERROR(__xludf.DUMMYFUNCTION("""COMPUTED_VALUE"""),280.0)</f>
        <v>280</v>
      </c>
      <c r="F20" s="2">
        <f>IFERROR(__xludf.DUMMYFUNCTION("""COMPUTED_VALUE"""),1.64309E7)</f>
        <v>16430900</v>
      </c>
      <c r="G20" s="2">
        <f t="shared" si="1"/>
        <v>12</v>
      </c>
    </row>
    <row r="21" ht="15.75" customHeight="1">
      <c r="A21" s="1">
        <f>IFERROR(__xludf.DUMMYFUNCTION("""COMPUTED_VALUE"""),43859.66666666667)</f>
        <v>43859.66667</v>
      </c>
      <c r="B21" s="2">
        <f>IFERROR(__xludf.DUMMYFUNCTION("""COMPUTED_VALUE"""),282.0)</f>
        <v>282</v>
      </c>
      <c r="C21" s="2">
        <f>IFERROR(__xludf.DUMMYFUNCTION("""COMPUTED_VALUE"""),288.0)</f>
        <v>288</v>
      </c>
      <c r="D21" s="2">
        <f>IFERROR(__xludf.DUMMYFUNCTION("""COMPUTED_VALUE"""),282.0)</f>
        <v>282</v>
      </c>
      <c r="E21" s="2">
        <f>IFERROR(__xludf.DUMMYFUNCTION("""COMPUTED_VALUE"""),282.0)</f>
        <v>282</v>
      </c>
      <c r="F21" s="2">
        <f>IFERROR(__xludf.DUMMYFUNCTION("""COMPUTED_VALUE"""),1.38042E7)</f>
        <v>13804200</v>
      </c>
      <c r="G21" s="2">
        <f t="shared" si="1"/>
        <v>8</v>
      </c>
    </row>
    <row r="22" ht="15.75" customHeight="1">
      <c r="A22" s="1">
        <f>IFERROR(__xludf.DUMMYFUNCTION("""COMPUTED_VALUE"""),43860.66666666667)</f>
        <v>43860.66667</v>
      </c>
      <c r="B22" s="2">
        <f>IFERROR(__xludf.DUMMYFUNCTION("""COMPUTED_VALUE"""),284.0)</f>
        <v>284</v>
      </c>
      <c r="C22" s="2">
        <f>IFERROR(__xludf.DUMMYFUNCTION("""COMPUTED_VALUE"""),284.0)</f>
        <v>284</v>
      </c>
      <c r="D22" s="2">
        <f>IFERROR(__xludf.DUMMYFUNCTION("""COMPUTED_VALUE"""),272.0)</f>
        <v>272</v>
      </c>
      <c r="E22" s="2">
        <f>IFERROR(__xludf.DUMMYFUNCTION("""COMPUTED_VALUE"""),274.0)</f>
        <v>274</v>
      </c>
      <c r="F22" s="2">
        <f>IFERROR(__xludf.DUMMYFUNCTION("""COMPUTED_VALUE"""),8791900.0)</f>
        <v>8791900</v>
      </c>
      <c r="G22" s="2">
        <f t="shared" si="1"/>
        <v>12</v>
      </c>
    </row>
    <row r="23" ht="15.75" customHeight="1">
      <c r="A23" s="1">
        <f>IFERROR(__xludf.DUMMYFUNCTION("""COMPUTED_VALUE"""),43861.66666666667)</f>
        <v>43861.66667</v>
      </c>
      <c r="B23" s="2">
        <f>IFERROR(__xludf.DUMMYFUNCTION("""COMPUTED_VALUE"""),280.0)</f>
        <v>280</v>
      </c>
      <c r="C23" s="2">
        <f>IFERROR(__xludf.DUMMYFUNCTION("""COMPUTED_VALUE"""),280.0)</f>
        <v>280</v>
      </c>
      <c r="D23" s="2">
        <f>IFERROR(__xludf.DUMMYFUNCTION("""COMPUTED_VALUE"""),270.0)</f>
        <v>270</v>
      </c>
      <c r="E23" s="2">
        <f>IFERROR(__xludf.DUMMYFUNCTION("""COMPUTED_VALUE"""),272.0)</f>
        <v>272</v>
      </c>
      <c r="F23" s="2">
        <f>IFERROR(__xludf.DUMMYFUNCTION("""COMPUTED_VALUE"""),1.53986E7)</f>
        <v>15398600</v>
      </c>
      <c r="G23" s="2">
        <f t="shared" si="1"/>
        <v>10</v>
      </c>
    </row>
    <row r="24" ht="15.75" customHeight="1">
      <c r="A24" s="1">
        <f>IFERROR(__xludf.DUMMYFUNCTION("""COMPUTED_VALUE"""),43864.66666666667)</f>
        <v>43864.66667</v>
      </c>
      <c r="B24" s="2">
        <f>IFERROR(__xludf.DUMMYFUNCTION("""COMPUTED_VALUE"""),272.0)</f>
        <v>272</v>
      </c>
      <c r="C24" s="2">
        <f>IFERROR(__xludf.DUMMYFUNCTION("""COMPUTED_VALUE"""),272.0)</f>
        <v>272</v>
      </c>
      <c r="D24" s="2">
        <f>IFERROR(__xludf.DUMMYFUNCTION("""COMPUTED_VALUE"""),260.0)</f>
        <v>260</v>
      </c>
      <c r="E24" s="2">
        <f>IFERROR(__xludf.DUMMYFUNCTION("""COMPUTED_VALUE"""),260.0)</f>
        <v>260</v>
      </c>
      <c r="F24" s="2">
        <f>IFERROR(__xludf.DUMMYFUNCTION("""COMPUTED_VALUE"""),2.56012E7)</f>
        <v>25601200</v>
      </c>
      <c r="G24" s="2">
        <f t="shared" si="1"/>
        <v>12</v>
      </c>
    </row>
    <row r="25" ht="15.75" customHeight="1">
      <c r="A25" s="1">
        <f>IFERROR(__xludf.DUMMYFUNCTION("""COMPUTED_VALUE"""),43865.66666666667)</f>
        <v>43865.66667</v>
      </c>
      <c r="B25" s="2">
        <f>IFERROR(__xludf.DUMMYFUNCTION("""COMPUTED_VALUE"""),260.0)</f>
        <v>260</v>
      </c>
      <c r="C25" s="2">
        <f>IFERROR(__xludf.DUMMYFUNCTION("""COMPUTED_VALUE"""),266.0)</f>
        <v>266</v>
      </c>
      <c r="D25" s="2">
        <f>IFERROR(__xludf.DUMMYFUNCTION("""COMPUTED_VALUE"""),256.0)</f>
        <v>256</v>
      </c>
      <c r="E25" s="2">
        <f>IFERROR(__xludf.DUMMYFUNCTION("""COMPUTED_VALUE"""),258.0)</f>
        <v>258</v>
      </c>
      <c r="F25" s="2">
        <f>IFERROR(__xludf.DUMMYFUNCTION("""COMPUTED_VALUE"""),1.59582E7)</f>
        <v>15958200</v>
      </c>
      <c r="G25" s="2">
        <f t="shared" si="1"/>
        <v>10</v>
      </c>
    </row>
    <row r="26" ht="15.75" customHeight="1">
      <c r="A26" s="1">
        <f>IFERROR(__xludf.DUMMYFUNCTION("""COMPUTED_VALUE"""),43866.66666666667)</f>
        <v>43866.66667</v>
      </c>
      <c r="B26" s="2">
        <f>IFERROR(__xludf.DUMMYFUNCTION("""COMPUTED_VALUE"""),258.0)</f>
        <v>258</v>
      </c>
      <c r="C26" s="2">
        <f>IFERROR(__xludf.DUMMYFUNCTION("""COMPUTED_VALUE"""),260.0)</f>
        <v>260</v>
      </c>
      <c r="D26" s="2">
        <f>IFERROR(__xludf.DUMMYFUNCTION("""COMPUTED_VALUE"""),254.0)</f>
        <v>254</v>
      </c>
      <c r="E26" s="2">
        <f>IFERROR(__xludf.DUMMYFUNCTION("""COMPUTED_VALUE"""),256.0)</f>
        <v>256</v>
      </c>
      <c r="F26" s="2">
        <f>IFERROR(__xludf.DUMMYFUNCTION("""COMPUTED_VALUE"""),1.54296E7)</f>
        <v>15429600</v>
      </c>
      <c r="G26" s="2">
        <f t="shared" si="1"/>
        <v>6</v>
      </c>
    </row>
    <row r="27" ht="15.75" customHeight="1">
      <c r="A27" s="1">
        <f>IFERROR(__xludf.DUMMYFUNCTION("""COMPUTED_VALUE"""),43867.66666666667)</f>
        <v>43867.66667</v>
      </c>
      <c r="B27" s="2">
        <f>IFERROR(__xludf.DUMMYFUNCTION("""COMPUTED_VALUE"""),260.0)</f>
        <v>260</v>
      </c>
      <c r="C27" s="2">
        <f>IFERROR(__xludf.DUMMYFUNCTION("""COMPUTED_VALUE"""),270.0)</f>
        <v>270</v>
      </c>
      <c r="D27" s="2">
        <f>IFERROR(__xludf.DUMMYFUNCTION("""COMPUTED_VALUE"""),258.0)</f>
        <v>258</v>
      </c>
      <c r="E27" s="2">
        <f>IFERROR(__xludf.DUMMYFUNCTION("""COMPUTED_VALUE"""),268.0)</f>
        <v>268</v>
      </c>
      <c r="F27" s="2">
        <f>IFERROR(__xludf.DUMMYFUNCTION("""COMPUTED_VALUE"""),3.31837E7)</f>
        <v>33183700</v>
      </c>
      <c r="G27" s="2">
        <f t="shared" si="1"/>
        <v>14</v>
      </c>
    </row>
    <row r="28" ht="15.75" customHeight="1">
      <c r="A28" s="1">
        <f>IFERROR(__xludf.DUMMYFUNCTION("""COMPUTED_VALUE"""),43868.66666666667)</f>
        <v>43868.66667</v>
      </c>
      <c r="B28" s="2">
        <f>IFERROR(__xludf.DUMMYFUNCTION("""COMPUTED_VALUE"""),268.0)</f>
        <v>268</v>
      </c>
      <c r="C28" s="2">
        <f>IFERROR(__xludf.DUMMYFUNCTION("""COMPUTED_VALUE"""),274.0)</f>
        <v>274</v>
      </c>
      <c r="D28" s="2">
        <f>IFERROR(__xludf.DUMMYFUNCTION("""COMPUTED_VALUE"""),260.0)</f>
        <v>260</v>
      </c>
      <c r="E28" s="2">
        <f>IFERROR(__xludf.DUMMYFUNCTION("""COMPUTED_VALUE"""),260.0)</f>
        <v>260</v>
      </c>
      <c r="F28" s="2">
        <f>IFERROR(__xludf.DUMMYFUNCTION("""COMPUTED_VALUE"""),1.66221E7)</f>
        <v>16622100</v>
      </c>
      <c r="G28" s="2">
        <f t="shared" si="1"/>
        <v>14</v>
      </c>
    </row>
    <row r="29" ht="15.75" customHeight="1">
      <c r="A29" s="1">
        <f>IFERROR(__xludf.DUMMYFUNCTION("""COMPUTED_VALUE"""),43871.66666666667)</f>
        <v>43871.66667</v>
      </c>
      <c r="B29" s="2">
        <f>IFERROR(__xludf.DUMMYFUNCTION("""COMPUTED_VALUE"""),260.0)</f>
        <v>260</v>
      </c>
      <c r="C29" s="2">
        <f>IFERROR(__xludf.DUMMYFUNCTION("""COMPUTED_VALUE"""),260.0)</f>
        <v>260</v>
      </c>
      <c r="D29" s="2">
        <f>IFERROR(__xludf.DUMMYFUNCTION("""COMPUTED_VALUE"""),250.0)</f>
        <v>250</v>
      </c>
      <c r="E29" s="2">
        <f>IFERROR(__xludf.DUMMYFUNCTION("""COMPUTED_VALUE"""),252.0)</f>
        <v>252</v>
      </c>
      <c r="F29" s="2">
        <f>IFERROR(__xludf.DUMMYFUNCTION("""COMPUTED_VALUE"""),1.72821E7)</f>
        <v>17282100</v>
      </c>
      <c r="G29" s="2">
        <f t="shared" si="1"/>
        <v>10</v>
      </c>
    </row>
    <row r="30" ht="15.75" customHeight="1">
      <c r="A30" s="1">
        <f>IFERROR(__xludf.DUMMYFUNCTION("""COMPUTED_VALUE"""),43872.66666666667)</f>
        <v>43872.66667</v>
      </c>
      <c r="B30" s="2">
        <f>IFERROR(__xludf.DUMMYFUNCTION("""COMPUTED_VALUE"""),252.0)</f>
        <v>252</v>
      </c>
      <c r="C30" s="2">
        <f>IFERROR(__xludf.DUMMYFUNCTION("""COMPUTED_VALUE"""),256.0)</f>
        <v>256</v>
      </c>
      <c r="D30" s="2">
        <f>IFERROR(__xludf.DUMMYFUNCTION("""COMPUTED_VALUE"""),250.0)</f>
        <v>250</v>
      </c>
      <c r="E30" s="2">
        <f>IFERROR(__xludf.DUMMYFUNCTION("""COMPUTED_VALUE"""),254.0)</f>
        <v>254</v>
      </c>
      <c r="F30" s="2">
        <f>IFERROR(__xludf.DUMMYFUNCTION("""COMPUTED_VALUE"""),8036300.0)</f>
        <v>8036300</v>
      </c>
      <c r="G30" s="2">
        <f t="shared" si="1"/>
        <v>6</v>
      </c>
    </row>
    <row r="31" ht="15.75" customHeight="1">
      <c r="A31" s="1">
        <f>IFERROR(__xludf.DUMMYFUNCTION("""COMPUTED_VALUE"""),43873.66666666667)</f>
        <v>43873.66667</v>
      </c>
      <c r="B31" s="2">
        <f>IFERROR(__xludf.DUMMYFUNCTION("""COMPUTED_VALUE"""),254.0)</f>
        <v>254</v>
      </c>
      <c r="C31" s="2">
        <f>IFERROR(__xludf.DUMMYFUNCTION("""COMPUTED_VALUE"""),258.0)</f>
        <v>258</v>
      </c>
      <c r="D31" s="2">
        <f>IFERROR(__xludf.DUMMYFUNCTION("""COMPUTED_VALUE"""),252.0)</f>
        <v>252</v>
      </c>
      <c r="E31" s="2">
        <f>IFERROR(__xludf.DUMMYFUNCTION("""COMPUTED_VALUE"""),252.0)</f>
        <v>252</v>
      </c>
      <c r="F31" s="2">
        <f>IFERROR(__xludf.DUMMYFUNCTION("""COMPUTED_VALUE"""),1.29581E7)</f>
        <v>12958100</v>
      </c>
      <c r="G31" s="2">
        <f t="shared" si="1"/>
        <v>6</v>
      </c>
    </row>
    <row r="32" ht="15.75" customHeight="1">
      <c r="A32" s="1">
        <f>IFERROR(__xludf.DUMMYFUNCTION("""COMPUTED_VALUE"""),43874.66666666667)</f>
        <v>43874.66667</v>
      </c>
      <c r="B32" s="2">
        <f>IFERROR(__xludf.DUMMYFUNCTION("""COMPUTED_VALUE"""),258.0)</f>
        <v>258</v>
      </c>
      <c r="C32" s="2">
        <f>IFERROR(__xludf.DUMMYFUNCTION("""COMPUTED_VALUE"""),258.0)</f>
        <v>258</v>
      </c>
      <c r="D32" s="2">
        <f>IFERROR(__xludf.DUMMYFUNCTION("""COMPUTED_VALUE"""),248.0)</f>
        <v>248</v>
      </c>
      <c r="E32" s="2">
        <f>IFERROR(__xludf.DUMMYFUNCTION("""COMPUTED_VALUE"""),250.0)</f>
        <v>250</v>
      </c>
      <c r="F32" s="2">
        <f>IFERROR(__xludf.DUMMYFUNCTION("""COMPUTED_VALUE"""),2.41084E7)</f>
        <v>24108400</v>
      </c>
      <c r="G32" s="2">
        <f t="shared" si="1"/>
        <v>10</v>
      </c>
    </row>
    <row r="33" ht="15.75" customHeight="1">
      <c r="A33" s="1">
        <f>IFERROR(__xludf.DUMMYFUNCTION("""COMPUTED_VALUE"""),43875.66666666667)</f>
        <v>43875.66667</v>
      </c>
      <c r="B33" s="2">
        <f>IFERROR(__xludf.DUMMYFUNCTION("""COMPUTED_VALUE"""),250.0)</f>
        <v>250</v>
      </c>
      <c r="C33" s="2">
        <f>IFERROR(__xludf.DUMMYFUNCTION("""COMPUTED_VALUE"""),252.0)</f>
        <v>252</v>
      </c>
      <c r="D33" s="2">
        <f>IFERROR(__xludf.DUMMYFUNCTION("""COMPUTED_VALUE"""),246.0)</f>
        <v>246</v>
      </c>
      <c r="E33" s="2">
        <f>IFERROR(__xludf.DUMMYFUNCTION("""COMPUTED_VALUE"""),248.0)</f>
        <v>248</v>
      </c>
      <c r="F33" s="2">
        <f>IFERROR(__xludf.DUMMYFUNCTION("""COMPUTED_VALUE"""),1.66682E7)</f>
        <v>16668200</v>
      </c>
      <c r="G33" s="2">
        <f t="shared" si="1"/>
        <v>6</v>
      </c>
    </row>
    <row r="34" ht="15.75" customHeight="1">
      <c r="A34" s="1">
        <f>IFERROR(__xludf.DUMMYFUNCTION("""COMPUTED_VALUE"""),43878.66666666667)</f>
        <v>43878.66667</v>
      </c>
      <c r="B34" s="2">
        <f>IFERROR(__xludf.DUMMYFUNCTION("""COMPUTED_VALUE"""),248.0)</f>
        <v>248</v>
      </c>
      <c r="C34" s="2">
        <f>IFERROR(__xludf.DUMMYFUNCTION("""COMPUTED_VALUE"""),250.0)</f>
        <v>250</v>
      </c>
      <c r="D34" s="2">
        <f>IFERROR(__xludf.DUMMYFUNCTION("""COMPUTED_VALUE"""),242.0)</f>
        <v>242</v>
      </c>
      <c r="E34" s="2">
        <f>IFERROR(__xludf.DUMMYFUNCTION("""COMPUTED_VALUE"""),244.0)</f>
        <v>244</v>
      </c>
      <c r="F34" s="2">
        <f>IFERROR(__xludf.DUMMYFUNCTION("""COMPUTED_VALUE"""),1.13867E7)</f>
        <v>11386700</v>
      </c>
      <c r="G34" s="2">
        <f t="shared" si="1"/>
        <v>8</v>
      </c>
    </row>
    <row r="35" ht="15.75" customHeight="1">
      <c r="A35" s="1">
        <f>IFERROR(__xludf.DUMMYFUNCTION("""COMPUTED_VALUE"""),43879.66666666667)</f>
        <v>43879.66667</v>
      </c>
      <c r="B35" s="2">
        <f>IFERROR(__xludf.DUMMYFUNCTION("""COMPUTED_VALUE"""),250.0)</f>
        <v>250</v>
      </c>
      <c r="C35" s="2">
        <f>IFERROR(__xludf.DUMMYFUNCTION("""COMPUTED_VALUE"""),262.0)</f>
        <v>262</v>
      </c>
      <c r="D35" s="2">
        <f>IFERROR(__xludf.DUMMYFUNCTION("""COMPUTED_VALUE"""),246.0)</f>
        <v>246</v>
      </c>
      <c r="E35" s="2">
        <f>IFERROR(__xludf.DUMMYFUNCTION("""COMPUTED_VALUE"""),256.0)</f>
        <v>256</v>
      </c>
      <c r="F35" s="2">
        <f>IFERROR(__xludf.DUMMYFUNCTION("""COMPUTED_VALUE"""),6.34593E7)</f>
        <v>63459300</v>
      </c>
      <c r="G35" s="2">
        <f t="shared" si="1"/>
        <v>18</v>
      </c>
    </row>
    <row r="36" ht="15.75" customHeight="1">
      <c r="A36" s="1">
        <f>IFERROR(__xludf.DUMMYFUNCTION("""COMPUTED_VALUE"""),43880.66666666667)</f>
        <v>43880.66667</v>
      </c>
      <c r="B36" s="2">
        <f>IFERROR(__xludf.DUMMYFUNCTION("""COMPUTED_VALUE"""),260.0)</f>
        <v>260</v>
      </c>
      <c r="C36" s="2">
        <f>IFERROR(__xludf.DUMMYFUNCTION("""COMPUTED_VALUE"""),270.0)</f>
        <v>270</v>
      </c>
      <c r="D36" s="2">
        <f>IFERROR(__xludf.DUMMYFUNCTION("""COMPUTED_VALUE"""),258.0)</f>
        <v>258</v>
      </c>
      <c r="E36" s="2">
        <f>IFERROR(__xludf.DUMMYFUNCTION("""COMPUTED_VALUE"""),262.0)</f>
        <v>262</v>
      </c>
      <c r="F36" s="2">
        <f>IFERROR(__xludf.DUMMYFUNCTION("""COMPUTED_VALUE"""),5.57448E7)</f>
        <v>55744800</v>
      </c>
      <c r="G36" s="2">
        <f t="shared" si="1"/>
        <v>14</v>
      </c>
    </row>
    <row r="37" ht="15.75" customHeight="1">
      <c r="A37" s="1">
        <f>IFERROR(__xludf.DUMMYFUNCTION("""COMPUTED_VALUE"""),43881.66666666667)</f>
        <v>43881.66667</v>
      </c>
      <c r="B37" s="2">
        <f>IFERROR(__xludf.DUMMYFUNCTION("""COMPUTED_VALUE"""),266.0)</f>
        <v>266</v>
      </c>
      <c r="C37" s="2">
        <f>IFERROR(__xludf.DUMMYFUNCTION("""COMPUTED_VALUE"""),272.0)</f>
        <v>272</v>
      </c>
      <c r="D37" s="2">
        <f>IFERROR(__xludf.DUMMYFUNCTION("""COMPUTED_VALUE"""),260.0)</f>
        <v>260</v>
      </c>
      <c r="E37" s="2">
        <f>IFERROR(__xludf.DUMMYFUNCTION("""COMPUTED_VALUE"""),262.0)</f>
        <v>262</v>
      </c>
      <c r="F37" s="2">
        <f>IFERROR(__xludf.DUMMYFUNCTION("""COMPUTED_VALUE"""),4.19521E7)</f>
        <v>41952100</v>
      </c>
      <c r="G37" s="2">
        <f t="shared" si="1"/>
        <v>12</v>
      </c>
    </row>
    <row r="38" ht="15.75" customHeight="1">
      <c r="A38" s="1">
        <f>IFERROR(__xludf.DUMMYFUNCTION("""COMPUTED_VALUE"""),43882.66666666667)</f>
        <v>43882.66667</v>
      </c>
      <c r="B38" s="2">
        <f>IFERROR(__xludf.DUMMYFUNCTION("""COMPUTED_VALUE"""),264.0)</f>
        <v>264</v>
      </c>
      <c r="C38" s="2">
        <f>IFERROR(__xludf.DUMMYFUNCTION("""COMPUTED_VALUE"""),264.0)</f>
        <v>264</v>
      </c>
      <c r="D38" s="2">
        <f>IFERROR(__xludf.DUMMYFUNCTION("""COMPUTED_VALUE"""),252.0)</f>
        <v>252</v>
      </c>
      <c r="E38" s="2">
        <f>IFERROR(__xludf.DUMMYFUNCTION("""COMPUTED_VALUE"""),254.0)</f>
        <v>254</v>
      </c>
      <c r="F38" s="2">
        <f>IFERROR(__xludf.DUMMYFUNCTION("""COMPUTED_VALUE"""),1.75259E7)</f>
        <v>17525900</v>
      </c>
      <c r="G38" s="2">
        <f t="shared" si="1"/>
        <v>12</v>
      </c>
    </row>
    <row r="39" ht="15.75" customHeight="1">
      <c r="A39" s="1">
        <f>IFERROR(__xludf.DUMMYFUNCTION("""COMPUTED_VALUE"""),43885.66666666667)</f>
        <v>43885.66667</v>
      </c>
      <c r="B39" s="2">
        <f>IFERROR(__xludf.DUMMYFUNCTION("""COMPUTED_VALUE"""),250.0)</f>
        <v>250</v>
      </c>
      <c r="C39" s="2">
        <f>IFERROR(__xludf.DUMMYFUNCTION("""COMPUTED_VALUE"""),252.0)</f>
        <v>252</v>
      </c>
      <c r="D39" s="2">
        <f>IFERROR(__xludf.DUMMYFUNCTION("""COMPUTED_VALUE"""),244.0)</f>
        <v>244</v>
      </c>
      <c r="E39" s="2">
        <f>IFERROR(__xludf.DUMMYFUNCTION("""COMPUTED_VALUE"""),246.0)</f>
        <v>246</v>
      </c>
      <c r="F39" s="2">
        <f>IFERROR(__xludf.DUMMYFUNCTION("""COMPUTED_VALUE"""),1.89108E7)</f>
        <v>18910800</v>
      </c>
      <c r="G39" s="2">
        <f t="shared" si="1"/>
        <v>10</v>
      </c>
    </row>
    <row r="40" ht="15.75" customHeight="1">
      <c r="A40" s="1">
        <f>IFERROR(__xludf.DUMMYFUNCTION("""COMPUTED_VALUE"""),43886.66666666667)</f>
        <v>43886.66667</v>
      </c>
      <c r="B40" s="2">
        <f>IFERROR(__xludf.DUMMYFUNCTION("""COMPUTED_VALUE"""),246.0)</f>
        <v>246</v>
      </c>
      <c r="C40" s="2">
        <f>IFERROR(__xludf.DUMMYFUNCTION("""COMPUTED_VALUE"""),250.0)</f>
        <v>250</v>
      </c>
      <c r="D40" s="2">
        <f>IFERROR(__xludf.DUMMYFUNCTION("""COMPUTED_VALUE"""),242.0)</f>
        <v>242</v>
      </c>
      <c r="E40" s="2">
        <f>IFERROR(__xludf.DUMMYFUNCTION("""COMPUTED_VALUE"""),244.0)</f>
        <v>244</v>
      </c>
      <c r="F40" s="2">
        <f>IFERROR(__xludf.DUMMYFUNCTION("""COMPUTED_VALUE"""),2.81692E7)</f>
        <v>28169200</v>
      </c>
      <c r="G40" s="2">
        <f t="shared" si="1"/>
        <v>8</v>
      </c>
    </row>
    <row r="41" ht="15.75" customHeight="1">
      <c r="A41" s="1">
        <f>IFERROR(__xludf.DUMMYFUNCTION("""COMPUTED_VALUE"""),43887.66666666667)</f>
        <v>43887.66667</v>
      </c>
      <c r="B41" s="2">
        <f>IFERROR(__xludf.DUMMYFUNCTION("""COMPUTED_VALUE"""),244.0)</f>
        <v>244</v>
      </c>
      <c r="C41" s="2">
        <f>IFERROR(__xludf.DUMMYFUNCTION("""COMPUTED_VALUE"""),246.0)</f>
        <v>246</v>
      </c>
      <c r="D41" s="2">
        <f>IFERROR(__xludf.DUMMYFUNCTION("""COMPUTED_VALUE"""),228.0)</f>
        <v>228</v>
      </c>
      <c r="E41" s="2">
        <f>IFERROR(__xludf.DUMMYFUNCTION("""COMPUTED_VALUE"""),230.0)</f>
        <v>230</v>
      </c>
      <c r="F41" s="2">
        <f>IFERROR(__xludf.DUMMYFUNCTION("""COMPUTED_VALUE"""),7.8431E7)</f>
        <v>78431000</v>
      </c>
      <c r="G41" s="2">
        <f t="shared" si="1"/>
        <v>18</v>
      </c>
    </row>
    <row r="42" ht="15.75" customHeight="1">
      <c r="A42" s="1">
        <f>IFERROR(__xludf.DUMMYFUNCTION("""COMPUTED_VALUE"""),43888.66666666667)</f>
        <v>43888.66667</v>
      </c>
      <c r="B42" s="2">
        <f>IFERROR(__xludf.DUMMYFUNCTION("""COMPUTED_VALUE"""),230.0)</f>
        <v>230</v>
      </c>
      <c r="C42" s="2">
        <f>IFERROR(__xludf.DUMMYFUNCTION("""COMPUTED_VALUE"""),232.0)</f>
        <v>232</v>
      </c>
      <c r="D42" s="2">
        <f>IFERROR(__xludf.DUMMYFUNCTION("""COMPUTED_VALUE"""),224.0)</f>
        <v>224</v>
      </c>
      <c r="E42" s="2">
        <f>IFERROR(__xludf.DUMMYFUNCTION("""COMPUTED_VALUE"""),226.0)</f>
        <v>226</v>
      </c>
      <c r="F42" s="2">
        <f>IFERROR(__xludf.DUMMYFUNCTION("""COMPUTED_VALUE"""),2.70821E7)</f>
        <v>27082100</v>
      </c>
      <c r="G42" s="2">
        <f t="shared" si="1"/>
        <v>8</v>
      </c>
    </row>
    <row r="43" ht="15.75" customHeight="1">
      <c r="A43" s="1">
        <f>IFERROR(__xludf.DUMMYFUNCTION("""COMPUTED_VALUE"""),43889.66666666667)</f>
        <v>43889.66667</v>
      </c>
      <c r="B43" s="2">
        <f>IFERROR(__xludf.DUMMYFUNCTION("""COMPUTED_VALUE"""),220.0)</f>
        <v>220</v>
      </c>
      <c r="C43" s="2">
        <f>IFERROR(__xludf.DUMMYFUNCTION("""COMPUTED_VALUE"""),222.0)</f>
        <v>222</v>
      </c>
      <c r="D43" s="2">
        <f>IFERROR(__xludf.DUMMYFUNCTION("""COMPUTED_VALUE"""),200.0)</f>
        <v>200</v>
      </c>
      <c r="E43" s="2">
        <f>IFERROR(__xludf.DUMMYFUNCTION("""COMPUTED_VALUE"""),208.0)</f>
        <v>208</v>
      </c>
      <c r="F43" s="2">
        <f>IFERROR(__xludf.DUMMYFUNCTION("""COMPUTED_VALUE"""),5.23151E7)</f>
        <v>52315100</v>
      </c>
      <c r="G43" s="2">
        <f t="shared" si="1"/>
        <v>26</v>
      </c>
    </row>
    <row r="44" ht="15.75" customHeight="1">
      <c r="A44" s="1">
        <f>IFERROR(__xludf.DUMMYFUNCTION("""COMPUTED_VALUE"""),43892.66666666667)</f>
        <v>43892.66667</v>
      </c>
      <c r="B44" s="2">
        <f>IFERROR(__xludf.DUMMYFUNCTION("""COMPUTED_VALUE"""),210.0)</f>
        <v>210</v>
      </c>
      <c r="C44" s="2">
        <f>IFERROR(__xludf.DUMMYFUNCTION("""COMPUTED_VALUE"""),218.0)</f>
        <v>218</v>
      </c>
      <c r="D44" s="2">
        <f>IFERROR(__xludf.DUMMYFUNCTION("""COMPUTED_VALUE"""),204.0)</f>
        <v>204</v>
      </c>
      <c r="E44" s="2">
        <f>IFERROR(__xludf.DUMMYFUNCTION("""COMPUTED_VALUE"""),214.0)</f>
        <v>214</v>
      </c>
      <c r="F44" s="2">
        <f>IFERROR(__xludf.DUMMYFUNCTION("""COMPUTED_VALUE"""),3.17506E7)</f>
        <v>31750600</v>
      </c>
      <c r="G44" s="2">
        <f t="shared" si="1"/>
        <v>14</v>
      </c>
    </row>
    <row r="45" ht="15.75" customHeight="1">
      <c r="A45" s="1">
        <f>IFERROR(__xludf.DUMMYFUNCTION("""COMPUTED_VALUE"""),43893.66666666667)</f>
        <v>43893.66667</v>
      </c>
      <c r="B45" s="2">
        <f>IFERROR(__xludf.DUMMYFUNCTION("""COMPUTED_VALUE"""),220.0)</f>
        <v>220</v>
      </c>
      <c r="C45" s="2">
        <f>IFERROR(__xludf.DUMMYFUNCTION("""COMPUTED_VALUE"""),234.0)</f>
        <v>234</v>
      </c>
      <c r="D45" s="2">
        <f>IFERROR(__xludf.DUMMYFUNCTION("""COMPUTED_VALUE"""),220.0)</f>
        <v>220</v>
      </c>
      <c r="E45" s="2">
        <f>IFERROR(__xludf.DUMMYFUNCTION("""COMPUTED_VALUE"""),232.0)</f>
        <v>232</v>
      </c>
      <c r="F45" s="2">
        <f>IFERROR(__xludf.DUMMYFUNCTION("""COMPUTED_VALUE"""),3.96287E7)</f>
        <v>39628700</v>
      </c>
      <c r="G45" s="2">
        <f t="shared" si="1"/>
        <v>20</v>
      </c>
    </row>
    <row r="46" ht="15.75" customHeight="1">
      <c r="A46" s="1">
        <f>IFERROR(__xludf.DUMMYFUNCTION("""COMPUTED_VALUE"""),43894.66666666667)</f>
        <v>43894.66667</v>
      </c>
      <c r="B46" s="2">
        <f>IFERROR(__xludf.DUMMYFUNCTION("""COMPUTED_VALUE"""),234.0)</f>
        <v>234</v>
      </c>
      <c r="C46" s="2">
        <f>IFERROR(__xludf.DUMMYFUNCTION("""COMPUTED_VALUE"""),236.0)</f>
        <v>236</v>
      </c>
      <c r="D46" s="2">
        <f>IFERROR(__xludf.DUMMYFUNCTION("""COMPUTED_VALUE"""),226.0)</f>
        <v>226</v>
      </c>
      <c r="E46" s="2">
        <f>IFERROR(__xludf.DUMMYFUNCTION("""COMPUTED_VALUE"""),232.0)</f>
        <v>232</v>
      </c>
      <c r="F46" s="2">
        <f>IFERROR(__xludf.DUMMYFUNCTION("""COMPUTED_VALUE"""),3.25152E7)</f>
        <v>32515200</v>
      </c>
      <c r="G46" s="2">
        <f t="shared" si="1"/>
        <v>10</v>
      </c>
    </row>
    <row r="47" ht="15.75" customHeight="1">
      <c r="A47" s="1">
        <f>IFERROR(__xludf.DUMMYFUNCTION("""COMPUTED_VALUE"""),43895.66666666667)</f>
        <v>43895.66667</v>
      </c>
      <c r="B47" s="2">
        <f>IFERROR(__xludf.DUMMYFUNCTION("""COMPUTED_VALUE"""),234.0)</f>
        <v>234</v>
      </c>
      <c r="C47" s="2">
        <f>IFERROR(__xludf.DUMMYFUNCTION("""COMPUTED_VALUE"""),244.0)</f>
        <v>244</v>
      </c>
      <c r="D47" s="2">
        <f>IFERROR(__xludf.DUMMYFUNCTION("""COMPUTED_VALUE"""),232.0)</f>
        <v>232</v>
      </c>
      <c r="E47" s="2">
        <f>IFERROR(__xludf.DUMMYFUNCTION("""COMPUTED_VALUE"""),234.0)</f>
        <v>234</v>
      </c>
      <c r="F47" s="2">
        <f>IFERROR(__xludf.DUMMYFUNCTION("""COMPUTED_VALUE"""),2.42131E7)</f>
        <v>24213100</v>
      </c>
      <c r="G47" s="2">
        <f t="shared" si="1"/>
        <v>12</v>
      </c>
    </row>
    <row r="48" ht="15.75" customHeight="1">
      <c r="A48" s="1">
        <f>IFERROR(__xludf.DUMMYFUNCTION("""COMPUTED_VALUE"""),43896.66666666667)</f>
        <v>43896.66667</v>
      </c>
      <c r="B48" s="2">
        <f>IFERROR(__xludf.DUMMYFUNCTION("""COMPUTED_VALUE"""),230.0)</f>
        <v>230</v>
      </c>
      <c r="C48" s="2">
        <f>IFERROR(__xludf.DUMMYFUNCTION("""COMPUTED_VALUE"""),232.0)</f>
        <v>232</v>
      </c>
      <c r="D48" s="2">
        <f>IFERROR(__xludf.DUMMYFUNCTION("""COMPUTED_VALUE"""),222.0)</f>
        <v>222</v>
      </c>
      <c r="E48" s="2">
        <f>IFERROR(__xludf.DUMMYFUNCTION("""COMPUTED_VALUE"""),230.0)</f>
        <v>230</v>
      </c>
      <c r="F48" s="2">
        <f>IFERROR(__xludf.DUMMYFUNCTION("""COMPUTED_VALUE"""),2.54817E7)</f>
        <v>25481700</v>
      </c>
      <c r="G48" s="2">
        <f t="shared" si="1"/>
        <v>12</v>
      </c>
    </row>
    <row r="49" ht="15.75" customHeight="1">
      <c r="A49" s="1">
        <f>IFERROR(__xludf.DUMMYFUNCTION("""COMPUTED_VALUE"""),43899.66666666667)</f>
        <v>43899.66667</v>
      </c>
      <c r="B49" s="2">
        <f>IFERROR(__xludf.DUMMYFUNCTION("""COMPUTED_VALUE"""),214.0)</f>
        <v>214</v>
      </c>
      <c r="C49" s="2">
        <f>IFERROR(__xludf.DUMMYFUNCTION("""COMPUTED_VALUE"""),218.0)</f>
        <v>218</v>
      </c>
      <c r="D49" s="2">
        <f>IFERROR(__xludf.DUMMYFUNCTION("""COMPUTED_VALUE"""),199.0)</f>
        <v>199</v>
      </c>
      <c r="E49" s="2">
        <f>IFERROR(__xludf.DUMMYFUNCTION("""COMPUTED_VALUE"""),202.0)</f>
        <v>202</v>
      </c>
      <c r="F49" s="2">
        <f>IFERROR(__xludf.DUMMYFUNCTION("""COMPUTED_VALUE"""),5.4137E7)</f>
        <v>54137000</v>
      </c>
      <c r="G49" s="2">
        <f t="shared" si="1"/>
        <v>31</v>
      </c>
    </row>
    <row r="50" ht="15.75" customHeight="1">
      <c r="A50" s="1">
        <f>IFERROR(__xludf.DUMMYFUNCTION("""COMPUTED_VALUE"""),43900.66666666667)</f>
        <v>43900.66667</v>
      </c>
      <c r="B50" s="2">
        <f>IFERROR(__xludf.DUMMYFUNCTION("""COMPUTED_VALUE"""),206.0)</f>
        <v>206</v>
      </c>
      <c r="C50" s="2">
        <f>IFERROR(__xludf.DUMMYFUNCTION("""COMPUTED_VALUE"""),212.0)</f>
        <v>212</v>
      </c>
      <c r="D50" s="2">
        <f>IFERROR(__xludf.DUMMYFUNCTION("""COMPUTED_VALUE"""),200.0)</f>
        <v>200</v>
      </c>
      <c r="E50" s="2">
        <f>IFERROR(__xludf.DUMMYFUNCTION("""COMPUTED_VALUE"""),202.0)</f>
        <v>202</v>
      </c>
      <c r="F50" s="2">
        <f>IFERROR(__xludf.DUMMYFUNCTION("""COMPUTED_VALUE"""),4.24104E7)</f>
        <v>42410400</v>
      </c>
      <c r="G50" s="2">
        <f t="shared" si="1"/>
        <v>12</v>
      </c>
    </row>
    <row r="51" ht="15.75" customHeight="1">
      <c r="A51" s="1">
        <f>IFERROR(__xludf.DUMMYFUNCTION("""COMPUTED_VALUE"""),43901.66666666667)</f>
        <v>43901.66667</v>
      </c>
      <c r="B51" s="2">
        <f>IFERROR(__xludf.DUMMYFUNCTION("""COMPUTED_VALUE"""),206.0)</f>
        <v>206</v>
      </c>
      <c r="C51" s="2">
        <f>IFERROR(__xludf.DUMMYFUNCTION("""COMPUTED_VALUE"""),210.0)</f>
        <v>210</v>
      </c>
      <c r="D51" s="2">
        <f>IFERROR(__xludf.DUMMYFUNCTION("""COMPUTED_VALUE"""),190.0)</f>
        <v>190</v>
      </c>
      <c r="E51" s="2">
        <f>IFERROR(__xludf.DUMMYFUNCTION("""COMPUTED_VALUE"""),193.0)</f>
        <v>193</v>
      </c>
      <c r="F51" s="2">
        <f>IFERROR(__xludf.DUMMYFUNCTION("""COMPUTED_VALUE"""),4.41409E7)</f>
        <v>44140900</v>
      </c>
      <c r="G51" s="2">
        <f t="shared" si="1"/>
        <v>20</v>
      </c>
    </row>
    <row r="52" ht="15.75" customHeight="1">
      <c r="A52" s="1">
        <f>IFERROR(__xludf.DUMMYFUNCTION("""COMPUTED_VALUE"""),43902.66666666667)</f>
        <v>43902.66667</v>
      </c>
      <c r="B52" s="2">
        <f>IFERROR(__xludf.DUMMYFUNCTION("""COMPUTED_VALUE"""),188.0)</f>
        <v>188</v>
      </c>
      <c r="C52" s="2">
        <f>IFERROR(__xludf.DUMMYFUNCTION("""COMPUTED_VALUE"""),188.0)</f>
        <v>188</v>
      </c>
      <c r="D52" s="2">
        <f>IFERROR(__xludf.DUMMYFUNCTION("""COMPUTED_VALUE"""),174.0)</f>
        <v>174</v>
      </c>
      <c r="E52" s="2">
        <f>IFERROR(__xludf.DUMMYFUNCTION("""COMPUTED_VALUE"""),174.0)</f>
        <v>174</v>
      </c>
      <c r="F52" s="2">
        <f>IFERROR(__xludf.DUMMYFUNCTION("""COMPUTED_VALUE"""),4.47264E7)</f>
        <v>44726400</v>
      </c>
      <c r="G52" s="2">
        <f t="shared" si="1"/>
        <v>19</v>
      </c>
    </row>
    <row r="53" ht="15.75" customHeight="1">
      <c r="A53" s="1">
        <f>IFERROR(__xludf.DUMMYFUNCTION("""COMPUTED_VALUE"""),43903.66666666667)</f>
        <v>43903.66667</v>
      </c>
      <c r="B53" s="2">
        <f>IFERROR(__xludf.DUMMYFUNCTION("""COMPUTED_VALUE"""),170.0)</f>
        <v>170</v>
      </c>
      <c r="C53" s="2">
        <f>IFERROR(__xludf.DUMMYFUNCTION("""COMPUTED_VALUE"""),177.0)</f>
        <v>177</v>
      </c>
      <c r="D53" s="2">
        <f>IFERROR(__xludf.DUMMYFUNCTION("""COMPUTED_VALUE"""),162.0)</f>
        <v>162</v>
      </c>
      <c r="E53" s="2">
        <f>IFERROR(__xludf.DUMMYFUNCTION("""COMPUTED_VALUE"""),176.0)</f>
        <v>176</v>
      </c>
      <c r="F53" s="2">
        <f>IFERROR(__xludf.DUMMYFUNCTION("""COMPUTED_VALUE"""),4.25058E7)</f>
        <v>42505800</v>
      </c>
      <c r="G53" s="2">
        <f t="shared" si="1"/>
        <v>15</v>
      </c>
    </row>
    <row r="54" ht="15.75" customHeight="1">
      <c r="A54" s="1">
        <f>IFERROR(__xludf.DUMMYFUNCTION("""COMPUTED_VALUE"""),43906.66666666667)</f>
        <v>43906.66667</v>
      </c>
      <c r="B54" s="2">
        <f>IFERROR(__xludf.DUMMYFUNCTION("""COMPUTED_VALUE"""),175.0)</f>
        <v>175</v>
      </c>
      <c r="C54" s="2">
        <f>IFERROR(__xludf.DUMMYFUNCTION("""COMPUTED_VALUE"""),175.0)</f>
        <v>175</v>
      </c>
      <c r="D54" s="2">
        <f>IFERROR(__xludf.DUMMYFUNCTION("""COMPUTED_VALUE"""),164.0)</f>
        <v>164</v>
      </c>
      <c r="E54" s="2">
        <f>IFERROR(__xludf.DUMMYFUNCTION("""COMPUTED_VALUE"""),164.0)</f>
        <v>164</v>
      </c>
      <c r="F54" s="2">
        <f>IFERROR(__xludf.DUMMYFUNCTION("""COMPUTED_VALUE"""),1.35193E7)</f>
        <v>13519300</v>
      </c>
      <c r="G54" s="2">
        <f t="shared" si="1"/>
        <v>12</v>
      </c>
    </row>
    <row r="55" ht="15.75" customHeight="1">
      <c r="A55" s="1">
        <f>IFERROR(__xludf.DUMMYFUNCTION("""COMPUTED_VALUE"""),43907.66666666667)</f>
        <v>43907.66667</v>
      </c>
      <c r="B55" s="2">
        <f>IFERROR(__xludf.DUMMYFUNCTION("""COMPUTED_VALUE"""),160.0)</f>
        <v>160</v>
      </c>
      <c r="C55" s="2">
        <f>IFERROR(__xludf.DUMMYFUNCTION("""COMPUTED_VALUE"""),164.0)</f>
        <v>164</v>
      </c>
      <c r="D55" s="2">
        <f>IFERROR(__xludf.DUMMYFUNCTION("""COMPUTED_VALUE"""),153.0)</f>
        <v>153</v>
      </c>
      <c r="E55" s="2">
        <f>IFERROR(__xludf.DUMMYFUNCTION("""COMPUTED_VALUE"""),153.0)</f>
        <v>153</v>
      </c>
      <c r="F55" s="2">
        <f>IFERROR(__xludf.DUMMYFUNCTION("""COMPUTED_VALUE"""),1.71459E7)</f>
        <v>17145900</v>
      </c>
      <c r="G55" s="2">
        <f t="shared" si="1"/>
        <v>11</v>
      </c>
    </row>
    <row r="56" ht="15.75" customHeight="1">
      <c r="A56" s="1">
        <f>IFERROR(__xludf.DUMMYFUNCTION("""COMPUTED_VALUE"""),43908.66666666667)</f>
        <v>43908.66667</v>
      </c>
      <c r="B56" s="2">
        <f>IFERROR(__xludf.DUMMYFUNCTION("""COMPUTED_VALUE"""),153.0)</f>
        <v>153</v>
      </c>
      <c r="C56" s="2">
        <f>IFERROR(__xludf.DUMMYFUNCTION("""COMPUTED_VALUE"""),156.0)</f>
        <v>156</v>
      </c>
      <c r="D56" s="2">
        <f>IFERROR(__xludf.DUMMYFUNCTION("""COMPUTED_VALUE"""),143.0)</f>
        <v>143</v>
      </c>
      <c r="E56" s="2">
        <f>IFERROR(__xludf.DUMMYFUNCTION("""COMPUTED_VALUE"""),143.0)</f>
        <v>143</v>
      </c>
      <c r="F56" s="2">
        <f>IFERROR(__xludf.DUMMYFUNCTION("""COMPUTED_VALUE"""),2.33906E7)</f>
        <v>23390600</v>
      </c>
      <c r="G56" s="2">
        <f t="shared" si="1"/>
        <v>13</v>
      </c>
    </row>
    <row r="57" ht="15.75" customHeight="1">
      <c r="A57" s="1">
        <f>IFERROR(__xludf.DUMMYFUNCTION("""COMPUTED_VALUE"""),43909.66666666667)</f>
        <v>43909.66667</v>
      </c>
      <c r="B57" s="2">
        <f>IFERROR(__xludf.DUMMYFUNCTION("""COMPUTED_VALUE"""),143.0)</f>
        <v>143</v>
      </c>
      <c r="C57" s="2">
        <f>IFERROR(__xludf.DUMMYFUNCTION("""COMPUTED_VALUE"""),143.0)</f>
        <v>143</v>
      </c>
      <c r="D57" s="2">
        <f>IFERROR(__xludf.DUMMYFUNCTION("""COMPUTED_VALUE"""),133.0)</f>
        <v>133</v>
      </c>
      <c r="E57" s="2">
        <f>IFERROR(__xludf.DUMMYFUNCTION("""COMPUTED_VALUE"""),133.0)</f>
        <v>133</v>
      </c>
      <c r="F57" s="2">
        <f>IFERROR(__xludf.DUMMYFUNCTION("""COMPUTED_VALUE"""),4503100.0)</f>
        <v>4503100</v>
      </c>
      <c r="G57" s="2">
        <f t="shared" si="1"/>
        <v>10</v>
      </c>
    </row>
    <row r="58" ht="15.75" customHeight="1">
      <c r="A58" s="1">
        <f>IFERROR(__xludf.DUMMYFUNCTION("""COMPUTED_VALUE"""),43910.66666666667)</f>
        <v>43910.66667</v>
      </c>
      <c r="B58" s="2">
        <f>IFERROR(__xludf.DUMMYFUNCTION("""COMPUTED_VALUE"""),124.0)</f>
        <v>124</v>
      </c>
      <c r="C58" s="2">
        <f>IFERROR(__xludf.DUMMYFUNCTION("""COMPUTED_VALUE"""),142.0)</f>
        <v>142</v>
      </c>
      <c r="D58" s="2">
        <f>IFERROR(__xludf.DUMMYFUNCTION("""COMPUTED_VALUE"""),124.0)</f>
        <v>124</v>
      </c>
      <c r="E58" s="2">
        <f>IFERROR(__xludf.DUMMYFUNCTION("""COMPUTED_VALUE"""),138.0)</f>
        <v>138</v>
      </c>
      <c r="F58" s="2">
        <f>IFERROR(__xludf.DUMMYFUNCTION("""COMPUTED_VALUE"""),3.28523E7)</f>
        <v>32852300</v>
      </c>
      <c r="G58" s="2">
        <f t="shared" si="1"/>
        <v>18</v>
      </c>
    </row>
    <row r="59" ht="15.75" customHeight="1">
      <c r="A59" s="1">
        <f>IFERROR(__xludf.DUMMYFUNCTION("""COMPUTED_VALUE"""),43913.66666666667)</f>
        <v>43913.66667</v>
      </c>
      <c r="B59" s="2">
        <f>IFERROR(__xludf.DUMMYFUNCTION("""COMPUTED_VALUE"""),135.0)</f>
        <v>135</v>
      </c>
      <c r="C59" s="2">
        <f>IFERROR(__xludf.DUMMYFUNCTION("""COMPUTED_VALUE"""),138.0)</f>
        <v>138</v>
      </c>
      <c r="D59" s="2">
        <f>IFERROR(__xludf.DUMMYFUNCTION("""COMPUTED_VALUE"""),129.0)</f>
        <v>129</v>
      </c>
      <c r="E59" s="2">
        <f>IFERROR(__xludf.DUMMYFUNCTION("""COMPUTED_VALUE"""),129.0)</f>
        <v>129</v>
      </c>
      <c r="F59" s="2">
        <f>IFERROR(__xludf.DUMMYFUNCTION("""COMPUTED_VALUE"""),2.15155E7)</f>
        <v>21515500</v>
      </c>
      <c r="G59" s="2">
        <f t="shared" si="1"/>
        <v>9</v>
      </c>
    </row>
    <row r="60" ht="15.75" customHeight="1">
      <c r="A60" s="1">
        <f>IFERROR(__xludf.DUMMYFUNCTION("""COMPUTED_VALUE"""),43914.66666666667)</f>
        <v>43914.66667</v>
      </c>
      <c r="B60" s="2">
        <f>IFERROR(__xludf.DUMMYFUNCTION("""COMPUTED_VALUE"""),129.0)</f>
        <v>129</v>
      </c>
      <c r="C60" s="2">
        <f>IFERROR(__xludf.DUMMYFUNCTION("""COMPUTED_VALUE"""),140.0)</f>
        <v>140</v>
      </c>
      <c r="D60" s="2">
        <f>IFERROR(__xludf.DUMMYFUNCTION("""COMPUTED_VALUE"""),128.0)</f>
        <v>128</v>
      </c>
      <c r="E60" s="2">
        <f>IFERROR(__xludf.DUMMYFUNCTION("""COMPUTED_VALUE"""),139.0)</f>
        <v>139</v>
      </c>
      <c r="F60" s="2">
        <f>IFERROR(__xludf.DUMMYFUNCTION("""COMPUTED_VALUE"""),3.91325E7)</f>
        <v>39132500</v>
      </c>
      <c r="G60" s="2">
        <f t="shared" si="1"/>
        <v>12</v>
      </c>
    </row>
    <row r="61" ht="15.75" customHeight="1">
      <c r="A61" s="1">
        <f>IFERROR(__xludf.DUMMYFUNCTION("""COMPUTED_VALUE"""),43916.66666666667)</f>
        <v>43916.66667</v>
      </c>
      <c r="B61" s="2">
        <f>IFERROR(__xludf.DUMMYFUNCTION("""COMPUTED_VALUE"""),138.0)</f>
        <v>138</v>
      </c>
      <c r="C61" s="2">
        <f>IFERROR(__xludf.DUMMYFUNCTION("""COMPUTED_VALUE"""),162.0)</f>
        <v>162</v>
      </c>
      <c r="D61" s="2">
        <f>IFERROR(__xludf.DUMMYFUNCTION("""COMPUTED_VALUE"""),138.0)</f>
        <v>138</v>
      </c>
      <c r="E61" s="2">
        <f>IFERROR(__xludf.DUMMYFUNCTION("""COMPUTED_VALUE"""),150.0)</f>
        <v>150</v>
      </c>
      <c r="F61" s="2">
        <f>IFERROR(__xludf.DUMMYFUNCTION("""COMPUTED_VALUE"""),5.47814E7)</f>
        <v>54781400</v>
      </c>
      <c r="G61" s="2">
        <f t="shared" si="1"/>
        <v>24</v>
      </c>
    </row>
    <row r="62" ht="15.75" customHeight="1">
      <c r="A62" s="1">
        <f>IFERROR(__xludf.DUMMYFUNCTION("""COMPUTED_VALUE"""),43917.66666666667)</f>
        <v>43917.66667</v>
      </c>
      <c r="B62" s="2">
        <f>IFERROR(__xludf.DUMMYFUNCTION("""COMPUTED_VALUE"""),153.0)</f>
        <v>153</v>
      </c>
      <c r="C62" s="2">
        <f>IFERROR(__xludf.DUMMYFUNCTION("""COMPUTED_VALUE"""),166.0)</f>
        <v>166</v>
      </c>
      <c r="D62" s="2">
        <f>IFERROR(__xludf.DUMMYFUNCTION("""COMPUTED_VALUE"""),150.0)</f>
        <v>150</v>
      </c>
      <c r="E62" s="2">
        <f>IFERROR(__xludf.DUMMYFUNCTION("""COMPUTED_VALUE"""),154.0)</f>
        <v>154</v>
      </c>
      <c r="F62" s="2">
        <f>IFERROR(__xludf.DUMMYFUNCTION("""COMPUTED_VALUE"""),6.9071E7)</f>
        <v>69071000</v>
      </c>
      <c r="G62" s="2">
        <f t="shared" si="1"/>
        <v>16</v>
      </c>
    </row>
    <row r="63" ht="15.75" customHeight="1">
      <c r="A63" s="1">
        <f>IFERROR(__xludf.DUMMYFUNCTION("""COMPUTED_VALUE"""),43920.66666666667)</f>
        <v>43920.66667</v>
      </c>
      <c r="B63" s="2">
        <f>IFERROR(__xludf.DUMMYFUNCTION("""COMPUTED_VALUE"""),146.0)</f>
        <v>146</v>
      </c>
      <c r="C63" s="2">
        <f>IFERROR(__xludf.DUMMYFUNCTION("""COMPUTED_VALUE"""),153.0)</f>
        <v>153</v>
      </c>
      <c r="D63" s="2">
        <f>IFERROR(__xludf.DUMMYFUNCTION("""COMPUTED_VALUE"""),144.0)</f>
        <v>144</v>
      </c>
      <c r="E63" s="2">
        <f>IFERROR(__xludf.DUMMYFUNCTION("""COMPUTED_VALUE"""),145.0)</f>
        <v>145</v>
      </c>
      <c r="F63" s="2">
        <f>IFERROR(__xludf.DUMMYFUNCTION("""COMPUTED_VALUE"""),1.1662E7)</f>
        <v>11662000</v>
      </c>
      <c r="G63" s="2">
        <f t="shared" si="1"/>
        <v>10</v>
      </c>
    </row>
    <row r="64" ht="15.75" customHeight="1">
      <c r="A64" s="1">
        <f>IFERROR(__xludf.DUMMYFUNCTION("""COMPUTED_VALUE"""),43921.66666666667)</f>
        <v>43921.66667</v>
      </c>
      <c r="B64" s="2">
        <f>IFERROR(__xludf.DUMMYFUNCTION("""COMPUTED_VALUE"""),145.0)</f>
        <v>145</v>
      </c>
      <c r="C64" s="2">
        <f>IFERROR(__xludf.DUMMYFUNCTION("""COMPUTED_VALUE"""),156.0)</f>
        <v>156</v>
      </c>
      <c r="D64" s="2">
        <f>IFERROR(__xludf.DUMMYFUNCTION("""COMPUTED_VALUE"""),145.0)</f>
        <v>145</v>
      </c>
      <c r="E64" s="2">
        <f>IFERROR(__xludf.DUMMYFUNCTION("""COMPUTED_VALUE"""),151.0)</f>
        <v>151</v>
      </c>
      <c r="F64" s="2">
        <f>IFERROR(__xludf.DUMMYFUNCTION("""COMPUTED_VALUE"""),2.24544E7)</f>
        <v>22454400</v>
      </c>
      <c r="G64" s="2">
        <f t="shared" si="1"/>
        <v>11</v>
      </c>
    </row>
    <row r="65" ht="15.75" customHeight="1">
      <c r="A65" s="1">
        <f>IFERROR(__xludf.DUMMYFUNCTION("""COMPUTED_VALUE"""),43922.66666666667)</f>
        <v>43922.66667</v>
      </c>
      <c r="B65" s="2">
        <f>IFERROR(__xludf.DUMMYFUNCTION("""COMPUTED_VALUE"""),155.0)</f>
        <v>155</v>
      </c>
      <c r="C65" s="2">
        <f>IFERROR(__xludf.DUMMYFUNCTION("""COMPUTED_VALUE"""),156.0)</f>
        <v>156</v>
      </c>
      <c r="D65" s="2">
        <f>IFERROR(__xludf.DUMMYFUNCTION("""COMPUTED_VALUE"""),141.0)</f>
        <v>141</v>
      </c>
      <c r="E65" s="2">
        <f>IFERROR(__xludf.DUMMYFUNCTION("""COMPUTED_VALUE"""),141.0)</f>
        <v>141</v>
      </c>
      <c r="F65" s="2">
        <f>IFERROR(__xludf.DUMMYFUNCTION("""COMPUTED_VALUE"""),4.2072E7)</f>
        <v>42072000</v>
      </c>
      <c r="G65" s="2">
        <f t="shared" si="1"/>
        <v>15</v>
      </c>
    </row>
    <row r="66" ht="15.75" customHeight="1">
      <c r="A66" s="1">
        <f>IFERROR(__xludf.DUMMYFUNCTION("""COMPUTED_VALUE"""),43923.66666666667)</f>
        <v>43923.66667</v>
      </c>
      <c r="B66" s="2">
        <f>IFERROR(__xludf.DUMMYFUNCTION("""COMPUTED_VALUE"""),143.0)</f>
        <v>143</v>
      </c>
      <c r="C66" s="2">
        <f>IFERROR(__xludf.DUMMYFUNCTION("""COMPUTED_VALUE"""),188.0)</f>
        <v>188</v>
      </c>
      <c r="D66" s="2">
        <f>IFERROR(__xludf.DUMMYFUNCTION("""COMPUTED_VALUE"""),139.0)</f>
        <v>139</v>
      </c>
      <c r="E66" s="2">
        <f>IFERROR(__xludf.DUMMYFUNCTION("""COMPUTED_VALUE"""),181.0)</f>
        <v>181</v>
      </c>
      <c r="F66" s="2">
        <f>IFERROR(__xludf.DUMMYFUNCTION("""COMPUTED_VALUE"""),1.841762E8)</f>
        <v>184176200</v>
      </c>
      <c r="G66" s="2">
        <f t="shared" si="1"/>
        <v>49</v>
      </c>
    </row>
    <row r="67" ht="15.75" customHeight="1">
      <c r="A67" s="1">
        <f>IFERROR(__xludf.DUMMYFUNCTION("""COMPUTED_VALUE"""),43924.66666666667)</f>
        <v>43924.66667</v>
      </c>
      <c r="B67" s="2">
        <f>IFERROR(__xludf.DUMMYFUNCTION("""COMPUTED_VALUE"""),190.0)</f>
        <v>190</v>
      </c>
      <c r="C67" s="2">
        <f>IFERROR(__xludf.DUMMYFUNCTION("""COMPUTED_VALUE"""),220.0)</f>
        <v>220</v>
      </c>
      <c r="D67" s="2">
        <f>IFERROR(__xludf.DUMMYFUNCTION("""COMPUTED_VALUE"""),186.0)</f>
        <v>186</v>
      </c>
      <c r="E67" s="2">
        <f>IFERROR(__xludf.DUMMYFUNCTION("""COMPUTED_VALUE"""),204.0)</f>
        <v>204</v>
      </c>
      <c r="F67" s="2">
        <f>IFERROR(__xludf.DUMMYFUNCTION("""COMPUTED_VALUE"""),2.729404E8)</f>
        <v>272940400</v>
      </c>
      <c r="G67" s="2">
        <f t="shared" si="1"/>
        <v>39</v>
      </c>
    </row>
    <row r="68" ht="15.75" customHeight="1">
      <c r="A68" s="1">
        <f>IFERROR(__xludf.DUMMYFUNCTION("""COMPUTED_VALUE"""),43927.66666666667)</f>
        <v>43927.66667</v>
      </c>
      <c r="B68" s="2">
        <f>IFERROR(__xludf.DUMMYFUNCTION("""COMPUTED_VALUE"""),208.0)</f>
        <v>208</v>
      </c>
      <c r="C68" s="2">
        <f>IFERROR(__xludf.DUMMYFUNCTION("""COMPUTED_VALUE"""),218.0)</f>
        <v>218</v>
      </c>
      <c r="D68" s="2">
        <f>IFERROR(__xludf.DUMMYFUNCTION("""COMPUTED_VALUE"""),206.0)</f>
        <v>206</v>
      </c>
      <c r="E68" s="2">
        <f>IFERROR(__xludf.DUMMYFUNCTION("""COMPUTED_VALUE"""),214.0)</f>
        <v>214</v>
      </c>
      <c r="F68" s="2">
        <f>IFERROR(__xludf.DUMMYFUNCTION("""COMPUTED_VALUE"""),1.223271E8)</f>
        <v>122327100</v>
      </c>
      <c r="G68" s="2">
        <f t="shared" si="1"/>
        <v>14</v>
      </c>
    </row>
    <row r="69" ht="15.75" customHeight="1">
      <c r="A69" s="1">
        <f>IFERROR(__xludf.DUMMYFUNCTION("""COMPUTED_VALUE"""),43928.66666666667)</f>
        <v>43928.66667</v>
      </c>
      <c r="B69" s="2">
        <f>IFERROR(__xludf.DUMMYFUNCTION("""COMPUTED_VALUE"""),216.0)</f>
        <v>216</v>
      </c>
      <c r="C69" s="2">
        <f>IFERROR(__xludf.DUMMYFUNCTION("""COMPUTED_VALUE"""),224.0)</f>
        <v>224</v>
      </c>
      <c r="D69" s="2">
        <f>IFERROR(__xludf.DUMMYFUNCTION("""COMPUTED_VALUE"""),202.0)</f>
        <v>202</v>
      </c>
      <c r="E69" s="2">
        <f>IFERROR(__xludf.DUMMYFUNCTION("""COMPUTED_VALUE"""),220.0)</f>
        <v>220</v>
      </c>
      <c r="F69" s="2">
        <f>IFERROR(__xludf.DUMMYFUNCTION("""COMPUTED_VALUE"""),9.26912E7)</f>
        <v>92691200</v>
      </c>
      <c r="G69" s="2">
        <f t="shared" si="1"/>
        <v>22</v>
      </c>
    </row>
    <row r="70" ht="15.75" customHeight="1">
      <c r="A70" s="1">
        <f>IFERROR(__xludf.DUMMYFUNCTION("""COMPUTED_VALUE"""),43929.66666666667)</f>
        <v>43929.66667</v>
      </c>
      <c r="B70" s="2">
        <f>IFERROR(__xludf.DUMMYFUNCTION("""COMPUTED_VALUE"""),216.0)</f>
        <v>216</v>
      </c>
      <c r="C70" s="2">
        <f>IFERROR(__xludf.DUMMYFUNCTION("""COMPUTED_VALUE"""),216.0)</f>
        <v>216</v>
      </c>
      <c r="D70" s="2">
        <f>IFERROR(__xludf.DUMMYFUNCTION("""COMPUTED_VALUE"""),206.0)</f>
        <v>206</v>
      </c>
      <c r="E70" s="2">
        <f>IFERROR(__xludf.DUMMYFUNCTION("""COMPUTED_VALUE"""),206.0)</f>
        <v>206</v>
      </c>
      <c r="F70" s="2">
        <f>IFERROR(__xludf.DUMMYFUNCTION("""COMPUTED_VALUE"""),5.67673E7)</f>
        <v>56767300</v>
      </c>
      <c r="G70" s="2">
        <f t="shared" si="1"/>
        <v>14</v>
      </c>
    </row>
    <row r="71" ht="15.75" customHeight="1">
      <c r="A71" s="1">
        <f>IFERROR(__xludf.DUMMYFUNCTION("""COMPUTED_VALUE"""),43930.66666666667)</f>
        <v>43930.66667</v>
      </c>
      <c r="B71" s="2">
        <f>IFERROR(__xludf.DUMMYFUNCTION("""COMPUTED_VALUE"""),210.0)</f>
        <v>210</v>
      </c>
      <c r="C71" s="2">
        <f>IFERROR(__xludf.DUMMYFUNCTION("""COMPUTED_VALUE"""),228.0)</f>
        <v>228</v>
      </c>
      <c r="D71" s="2">
        <f>IFERROR(__xludf.DUMMYFUNCTION("""COMPUTED_VALUE"""),210.0)</f>
        <v>210</v>
      </c>
      <c r="E71" s="2">
        <f>IFERROR(__xludf.DUMMYFUNCTION("""COMPUTED_VALUE"""),226.0)</f>
        <v>226</v>
      </c>
      <c r="F71" s="2">
        <f>IFERROR(__xludf.DUMMYFUNCTION("""COMPUTED_VALUE"""),1.671807E8)</f>
        <v>167180700</v>
      </c>
      <c r="G71" s="2">
        <f t="shared" si="1"/>
        <v>22</v>
      </c>
    </row>
    <row r="72" ht="15.75" customHeight="1">
      <c r="A72" s="1">
        <f>IFERROR(__xludf.DUMMYFUNCTION("""COMPUTED_VALUE"""),43934.66666666667)</f>
        <v>43934.66667</v>
      </c>
      <c r="B72" s="2">
        <f>IFERROR(__xludf.DUMMYFUNCTION("""COMPUTED_VALUE"""),224.0)</f>
        <v>224</v>
      </c>
      <c r="C72" s="2">
        <f>IFERROR(__xludf.DUMMYFUNCTION("""COMPUTED_VALUE"""),230.0)</f>
        <v>230</v>
      </c>
      <c r="D72" s="2">
        <f>IFERROR(__xludf.DUMMYFUNCTION("""COMPUTED_VALUE"""),212.0)</f>
        <v>212</v>
      </c>
      <c r="E72" s="2">
        <f>IFERROR(__xludf.DUMMYFUNCTION("""COMPUTED_VALUE"""),214.0)</f>
        <v>214</v>
      </c>
      <c r="F72" s="2">
        <f>IFERROR(__xludf.DUMMYFUNCTION("""COMPUTED_VALUE"""),1.008688E8)</f>
        <v>100868800</v>
      </c>
      <c r="G72" s="2">
        <f t="shared" si="1"/>
        <v>18</v>
      </c>
    </row>
    <row r="73" ht="15.75" customHeight="1">
      <c r="A73" s="1">
        <f>IFERROR(__xludf.DUMMYFUNCTION("""COMPUTED_VALUE"""),43935.66666666667)</f>
        <v>43935.66667</v>
      </c>
      <c r="B73" s="2">
        <f>IFERROR(__xludf.DUMMYFUNCTION("""COMPUTED_VALUE"""),214.0)</f>
        <v>214</v>
      </c>
      <c r="C73" s="2">
        <f>IFERROR(__xludf.DUMMYFUNCTION("""COMPUTED_VALUE"""),218.0)</f>
        <v>218</v>
      </c>
      <c r="D73" s="2">
        <f>IFERROR(__xludf.DUMMYFUNCTION("""COMPUTED_VALUE"""),210.0)</f>
        <v>210</v>
      </c>
      <c r="E73" s="2">
        <f>IFERROR(__xludf.DUMMYFUNCTION("""COMPUTED_VALUE"""),212.0)</f>
        <v>212</v>
      </c>
      <c r="F73" s="2">
        <f>IFERROR(__xludf.DUMMYFUNCTION("""COMPUTED_VALUE"""),5.32178E7)</f>
        <v>53217800</v>
      </c>
      <c r="G73" s="2">
        <f t="shared" si="1"/>
        <v>8</v>
      </c>
    </row>
    <row r="74" ht="15.75" customHeight="1">
      <c r="A74" s="1">
        <f>IFERROR(__xludf.DUMMYFUNCTION("""COMPUTED_VALUE"""),43936.66666666667)</f>
        <v>43936.66667</v>
      </c>
      <c r="B74" s="2">
        <f>IFERROR(__xludf.DUMMYFUNCTION("""COMPUTED_VALUE"""),212.0)</f>
        <v>212</v>
      </c>
      <c r="C74" s="2">
        <f>IFERROR(__xludf.DUMMYFUNCTION("""COMPUTED_VALUE"""),212.0)</f>
        <v>212</v>
      </c>
      <c r="D74" s="2">
        <f>IFERROR(__xludf.DUMMYFUNCTION("""COMPUTED_VALUE"""),198.0)</f>
        <v>198</v>
      </c>
      <c r="E74" s="2">
        <f>IFERROR(__xludf.DUMMYFUNCTION("""COMPUTED_VALUE"""),200.0)</f>
        <v>200</v>
      </c>
      <c r="F74" s="2">
        <f>IFERROR(__xludf.DUMMYFUNCTION("""COMPUTED_VALUE"""),8.11488E7)</f>
        <v>81148800</v>
      </c>
      <c r="G74" s="2">
        <f t="shared" si="1"/>
        <v>14</v>
      </c>
    </row>
    <row r="75" ht="15.75" customHeight="1">
      <c r="A75" s="1">
        <f>IFERROR(__xludf.DUMMYFUNCTION("""COMPUTED_VALUE"""),43937.66666666667)</f>
        <v>43937.66667</v>
      </c>
      <c r="B75" s="2">
        <f>IFERROR(__xludf.DUMMYFUNCTION("""COMPUTED_VALUE"""),194.0)</f>
        <v>194</v>
      </c>
      <c r="C75" s="2">
        <f>IFERROR(__xludf.DUMMYFUNCTION("""COMPUTED_VALUE"""),202.0)</f>
        <v>202</v>
      </c>
      <c r="D75" s="2">
        <f>IFERROR(__xludf.DUMMYFUNCTION("""COMPUTED_VALUE"""),188.0)</f>
        <v>188</v>
      </c>
      <c r="E75" s="2">
        <f>IFERROR(__xludf.DUMMYFUNCTION("""COMPUTED_VALUE"""),189.0)</f>
        <v>189</v>
      </c>
      <c r="F75" s="2">
        <f>IFERROR(__xludf.DUMMYFUNCTION("""COMPUTED_VALUE"""),3.63455E7)</f>
        <v>36345500</v>
      </c>
      <c r="G75" s="2">
        <f t="shared" si="1"/>
        <v>14</v>
      </c>
    </row>
    <row r="76" ht="15.75" customHeight="1">
      <c r="A76" s="1">
        <f>IFERROR(__xludf.DUMMYFUNCTION("""COMPUTED_VALUE"""),43938.66666666667)</f>
        <v>43938.66667</v>
      </c>
      <c r="B76" s="2">
        <f>IFERROR(__xludf.DUMMYFUNCTION("""COMPUTED_VALUE"""),189.0)</f>
        <v>189</v>
      </c>
      <c r="C76" s="2">
        <f>IFERROR(__xludf.DUMMYFUNCTION("""COMPUTED_VALUE"""),208.0)</f>
        <v>208</v>
      </c>
      <c r="D76" s="2">
        <f>IFERROR(__xludf.DUMMYFUNCTION("""COMPUTED_VALUE"""),189.0)</f>
        <v>189</v>
      </c>
      <c r="E76" s="2">
        <f>IFERROR(__xludf.DUMMYFUNCTION("""COMPUTED_VALUE"""),196.0)</f>
        <v>196</v>
      </c>
      <c r="F76" s="2">
        <f>IFERROR(__xludf.DUMMYFUNCTION("""COMPUTED_VALUE"""),6.1352E7)</f>
        <v>61352000</v>
      </c>
      <c r="G76" s="2">
        <f t="shared" si="1"/>
        <v>19</v>
      </c>
    </row>
    <row r="77" ht="15.75" customHeight="1">
      <c r="A77" s="1">
        <f>IFERROR(__xludf.DUMMYFUNCTION("""COMPUTED_VALUE"""),43941.66666666667)</f>
        <v>43941.66667</v>
      </c>
      <c r="B77" s="2">
        <f>IFERROR(__xludf.DUMMYFUNCTION("""COMPUTED_VALUE"""),195.0)</f>
        <v>195</v>
      </c>
      <c r="C77" s="2">
        <f>IFERROR(__xludf.DUMMYFUNCTION("""COMPUTED_VALUE"""),204.0)</f>
        <v>204</v>
      </c>
      <c r="D77" s="2">
        <f>IFERROR(__xludf.DUMMYFUNCTION("""COMPUTED_VALUE"""),190.0)</f>
        <v>190</v>
      </c>
      <c r="E77" s="2">
        <f>IFERROR(__xludf.DUMMYFUNCTION("""COMPUTED_VALUE"""),194.0)</f>
        <v>194</v>
      </c>
      <c r="F77" s="2">
        <f>IFERROR(__xludf.DUMMYFUNCTION("""COMPUTED_VALUE"""),5.94599E7)</f>
        <v>59459900</v>
      </c>
      <c r="G77" s="2">
        <f t="shared" si="1"/>
        <v>14</v>
      </c>
    </row>
    <row r="78" ht="15.75" customHeight="1">
      <c r="A78" s="1">
        <f>IFERROR(__xludf.DUMMYFUNCTION("""COMPUTED_VALUE"""),43942.66666666667)</f>
        <v>43942.66667</v>
      </c>
      <c r="B78" s="2">
        <f>IFERROR(__xludf.DUMMYFUNCTION("""COMPUTED_VALUE"""),194.0)</f>
        <v>194</v>
      </c>
      <c r="C78" s="2">
        <f>IFERROR(__xludf.DUMMYFUNCTION("""COMPUTED_VALUE"""),195.0)</f>
        <v>195</v>
      </c>
      <c r="D78" s="2">
        <f>IFERROR(__xludf.DUMMYFUNCTION("""COMPUTED_VALUE"""),181.0)</f>
        <v>181</v>
      </c>
      <c r="E78" s="2">
        <f>IFERROR(__xludf.DUMMYFUNCTION("""COMPUTED_VALUE"""),183.0)</f>
        <v>183</v>
      </c>
      <c r="F78" s="2">
        <f>IFERROR(__xludf.DUMMYFUNCTION("""COMPUTED_VALUE"""),4.31375E7)</f>
        <v>43137500</v>
      </c>
      <c r="G78" s="2">
        <f t="shared" si="1"/>
        <v>14</v>
      </c>
    </row>
    <row r="79" ht="15.75" customHeight="1">
      <c r="A79" s="1">
        <f>IFERROR(__xludf.DUMMYFUNCTION("""COMPUTED_VALUE"""),43943.66666666667)</f>
        <v>43943.66667</v>
      </c>
      <c r="B79" s="2">
        <f>IFERROR(__xludf.DUMMYFUNCTION("""COMPUTED_VALUE"""),184.0)</f>
        <v>184</v>
      </c>
      <c r="C79" s="2">
        <f>IFERROR(__xludf.DUMMYFUNCTION("""COMPUTED_VALUE"""),184.0)</f>
        <v>184</v>
      </c>
      <c r="D79" s="2">
        <f>IFERROR(__xludf.DUMMYFUNCTION("""COMPUTED_VALUE"""),172.0)</f>
        <v>172</v>
      </c>
      <c r="E79" s="2">
        <f>IFERROR(__xludf.DUMMYFUNCTION("""COMPUTED_VALUE"""),183.0)</f>
        <v>183</v>
      </c>
      <c r="F79" s="2">
        <f>IFERROR(__xludf.DUMMYFUNCTION("""COMPUTED_VALUE"""),2.83918E7)</f>
        <v>28391800</v>
      </c>
      <c r="G79" s="2">
        <f t="shared" si="1"/>
        <v>12</v>
      </c>
    </row>
    <row r="80" ht="15.75" customHeight="1">
      <c r="A80" s="1">
        <f>IFERROR(__xludf.DUMMYFUNCTION("""COMPUTED_VALUE"""),43944.66666666667)</f>
        <v>43944.66667</v>
      </c>
      <c r="B80" s="2">
        <f>IFERROR(__xludf.DUMMYFUNCTION("""COMPUTED_VALUE"""),187.0)</f>
        <v>187</v>
      </c>
      <c r="C80" s="2">
        <f>IFERROR(__xludf.DUMMYFUNCTION("""COMPUTED_VALUE"""),204.0)</f>
        <v>204</v>
      </c>
      <c r="D80" s="2">
        <f>IFERROR(__xludf.DUMMYFUNCTION("""COMPUTED_VALUE"""),186.0)</f>
        <v>186</v>
      </c>
      <c r="E80" s="2">
        <f>IFERROR(__xludf.DUMMYFUNCTION("""COMPUTED_VALUE"""),199.0)</f>
        <v>199</v>
      </c>
      <c r="F80" s="2">
        <f>IFERROR(__xludf.DUMMYFUNCTION("""COMPUTED_VALUE"""),9.8796E7)</f>
        <v>98796000</v>
      </c>
      <c r="G80" s="2">
        <f t="shared" si="1"/>
        <v>21</v>
      </c>
    </row>
    <row r="81" ht="15.75" customHeight="1">
      <c r="A81" s="1">
        <f>IFERROR(__xludf.DUMMYFUNCTION("""COMPUTED_VALUE"""),43945.66666666667)</f>
        <v>43945.66667</v>
      </c>
      <c r="B81" s="2">
        <f>IFERROR(__xludf.DUMMYFUNCTION("""COMPUTED_VALUE"""),202.0)</f>
        <v>202</v>
      </c>
      <c r="C81" s="2">
        <f>IFERROR(__xludf.DUMMYFUNCTION("""COMPUTED_VALUE"""),212.0)</f>
        <v>212</v>
      </c>
      <c r="D81" s="2">
        <f>IFERROR(__xludf.DUMMYFUNCTION("""COMPUTED_VALUE"""),190.0)</f>
        <v>190</v>
      </c>
      <c r="E81" s="2">
        <f>IFERROR(__xludf.DUMMYFUNCTION("""COMPUTED_VALUE"""),191.0)</f>
        <v>191</v>
      </c>
      <c r="F81" s="2">
        <f>IFERROR(__xludf.DUMMYFUNCTION("""COMPUTED_VALUE"""),1.313003E8)</f>
        <v>131300300</v>
      </c>
      <c r="G81" s="2">
        <f t="shared" si="1"/>
        <v>22</v>
      </c>
    </row>
    <row r="82" ht="15.75" customHeight="1">
      <c r="A82" s="1">
        <f>IFERROR(__xludf.DUMMYFUNCTION("""COMPUTED_VALUE"""),43948.66666666667)</f>
        <v>43948.66667</v>
      </c>
      <c r="B82" s="2">
        <f>IFERROR(__xludf.DUMMYFUNCTION("""COMPUTED_VALUE"""),191.0)</f>
        <v>191</v>
      </c>
      <c r="C82" s="2">
        <f>IFERROR(__xludf.DUMMYFUNCTION("""COMPUTED_VALUE"""),197.0)</f>
        <v>197</v>
      </c>
      <c r="D82" s="2">
        <f>IFERROR(__xludf.DUMMYFUNCTION("""COMPUTED_VALUE"""),186.0)</f>
        <v>186</v>
      </c>
      <c r="E82" s="2">
        <f>IFERROR(__xludf.DUMMYFUNCTION("""COMPUTED_VALUE"""),189.0)</f>
        <v>189</v>
      </c>
      <c r="F82" s="2">
        <f>IFERROR(__xludf.DUMMYFUNCTION("""COMPUTED_VALUE"""),2.83633E7)</f>
        <v>28363300</v>
      </c>
      <c r="G82" s="2">
        <f t="shared" si="1"/>
        <v>11</v>
      </c>
    </row>
    <row r="83" ht="15.75" customHeight="1">
      <c r="A83" s="1">
        <f>IFERROR(__xludf.DUMMYFUNCTION("""COMPUTED_VALUE"""),43949.66666666667)</f>
        <v>43949.66667</v>
      </c>
      <c r="B83" s="2">
        <f>IFERROR(__xludf.DUMMYFUNCTION("""COMPUTED_VALUE"""),186.0)</f>
        <v>186</v>
      </c>
      <c r="C83" s="2">
        <f>IFERROR(__xludf.DUMMYFUNCTION("""COMPUTED_VALUE"""),191.0)</f>
        <v>191</v>
      </c>
      <c r="D83" s="2">
        <f>IFERROR(__xludf.DUMMYFUNCTION("""COMPUTED_VALUE"""),182.0)</f>
        <v>182</v>
      </c>
      <c r="E83" s="2">
        <f>IFERROR(__xludf.DUMMYFUNCTION("""COMPUTED_VALUE"""),186.0)</f>
        <v>186</v>
      </c>
      <c r="F83" s="2">
        <f>IFERROR(__xludf.DUMMYFUNCTION("""COMPUTED_VALUE"""),2.54453E7)</f>
        <v>25445300</v>
      </c>
      <c r="G83" s="2">
        <f t="shared" si="1"/>
        <v>9</v>
      </c>
    </row>
    <row r="84" ht="15.75" customHeight="1">
      <c r="A84" s="1">
        <f>IFERROR(__xludf.DUMMYFUNCTION("""COMPUTED_VALUE"""),43950.66666666667)</f>
        <v>43950.66667</v>
      </c>
      <c r="B84" s="2">
        <f>IFERROR(__xludf.DUMMYFUNCTION("""COMPUTED_VALUE"""),190.0)</f>
        <v>190</v>
      </c>
      <c r="C84" s="2">
        <f>IFERROR(__xludf.DUMMYFUNCTION("""COMPUTED_VALUE"""),195.0)</f>
        <v>195</v>
      </c>
      <c r="D84" s="2">
        <f>IFERROR(__xludf.DUMMYFUNCTION("""COMPUTED_VALUE"""),189.0)</f>
        <v>189</v>
      </c>
      <c r="E84" s="2">
        <f>IFERROR(__xludf.DUMMYFUNCTION("""COMPUTED_VALUE"""),190.0)</f>
        <v>190</v>
      </c>
      <c r="F84" s="2">
        <f>IFERROR(__xludf.DUMMYFUNCTION("""COMPUTED_VALUE"""),2.44751E7)</f>
        <v>24475100</v>
      </c>
      <c r="G84" s="2">
        <f t="shared" si="1"/>
        <v>9</v>
      </c>
    </row>
    <row r="85" ht="15.75" customHeight="1">
      <c r="A85" s="1">
        <f>IFERROR(__xludf.DUMMYFUNCTION("""COMPUTED_VALUE"""),43951.66666666667)</f>
        <v>43951.66667</v>
      </c>
      <c r="B85" s="2">
        <f>IFERROR(__xludf.DUMMYFUNCTION("""COMPUTED_VALUE"""),200.0)</f>
        <v>200</v>
      </c>
      <c r="C85" s="2">
        <f>IFERROR(__xludf.DUMMYFUNCTION("""COMPUTED_VALUE"""),204.0)</f>
        <v>204</v>
      </c>
      <c r="D85" s="2">
        <f>IFERROR(__xludf.DUMMYFUNCTION("""COMPUTED_VALUE"""),195.0)</f>
        <v>195</v>
      </c>
      <c r="E85" s="2">
        <f>IFERROR(__xludf.DUMMYFUNCTION("""COMPUTED_VALUE"""),196.0)</f>
        <v>196</v>
      </c>
      <c r="F85" s="2">
        <f>IFERROR(__xludf.DUMMYFUNCTION("""COMPUTED_VALUE"""),1.070527E8)</f>
        <v>107052700</v>
      </c>
      <c r="G85" s="2">
        <f t="shared" si="1"/>
        <v>14</v>
      </c>
    </row>
    <row r="86" ht="15.75" customHeight="1">
      <c r="A86" s="1">
        <f>IFERROR(__xludf.DUMMYFUNCTION("""COMPUTED_VALUE"""),43955.66666666667)</f>
        <v>43955.66667</v>
      </c>
      <c r="B86" s="2">
        <f>IFERROR(__xludf.DUMMYFUNCTION("""COMPUTED_VALUE"""),196.0)</f>
        <v>196</v>
      </c>
      <c r="C86" s="2">
        <f>IFERROR(__xludf.DUMMYFUNCTION("""COMPUTED_VALUE"""),202.0)</f>
        <v>202</v>
      </c>
      <c r="D86" s="2">
        <f>IFERROR(__xludf.DUMMYFUNCTION("""COMPUTED_VALUE"""),189.0)</f>
        <v>189</v>
      </c>
      <c r="E86" s="2">
        <f>IFERROR(__xludf.DUMMYFUNCTION("""COMPUTED_VALUE"""),195.0)</f>
        <v>195</v>
      </c>
      <c r="F86" s="2">
        <f>IFERROR(__xludf.DUMMYFUNCTION("""COMPUTED_VALUE"""),5.04402E7)</f>
        <v>50440200</v>
      </c>
      <c r="G86" s="2">
        <f t="shared" si="1"/>
        <v>13</v>
      </c>
    </row>
    <row r="87" ht="15.75" customHeight="1">
      <c r="A87" s="1">
        <f>IFERROR(__xludf.DUMMYFUNCTION("""COMPUTED_VALUE"""),43956.66666666667)</f>
        <v>43956.66667</v>
      </c>
      <c r="B87" s="2">
        <f>IFERROR(__xludf.DUMMYFUNCTION("""COMPUTED_VALUE"""),200.0)</f>
        <v>200</v>
      </c>
      <c r="C87" s="2">
        <f>IFERROR(__xludf.DUMMYFUNCTION("""COMPUTED_VALUE"""),212.0)</f>
        <v>212</v>
      </c>
      <c r="D87" s="2">
        <f>IFERROR(__xludf.DUMMYFUNCTION("""COMPUTED_VALUE"""),200.0)</f>
        <v>200</v>
      </c>
      <c r="E87" s="2">
        <f>IFERROR(__xludf.DUMMYFUNCTION("""COMPUTED_VALUE"""),212.0)</f>
        <v>212</v>
      </c>
      <c r="F87" s="2">
        <f>IFERROR(__xludf.DUMMYFUNCTION("""COMPUTED_VALUE"""),1.162771E8)</f>
        <v>116277100</v>
      </c>
      <c r="G87" s="2">
        <f t="shared" si="1"/>
        <v>17</v>
      </c>
    </row>
    <row r="88" ht="15.75" customHeight="1">
      <c r="A88" s="1">
        <f>IFERROR(__xludf.DUMMYFUNCTION("""COMPUTED_VALUE"""),43957.66666666667)</f>
        <v>43957.66667</v>
      </c>
      <c r="B88" s="2">
        <f>IFERROR(__xludf.DUMMYFUNCTION("""COMPUTED_VALUE"""),202.0)</f>
        <v>202</v>
      </c>
      <c r="C88" s="2">
        <f>IFERROR(__xludf.DUMMYFUNCTION("""COMPUTED_VALUE"""),226.0)</f>
        <v>226</v>
      </c>
      <c r="D88" s="2">
        <f>IFERROR(__xludf.DUMMYFUNCTION("""COMPUTED_VALUE"""),202.0)</f>
        <v>202</v>
      </c>
      <c r="E88" s="2">
        <f>IFERROR(__xludf.DUMMYFUNCTION("""COMPUTED_VALUE"""),208.0)</f>
        <v>208</v>
      </c>
      <c r="F88" s="2">
        <f>IFERROR(__xludf.DUMMYFUNCTION("""COMPUTED_VALUE"""),1.515493E8)</f>
        <v>151549300</v>
      </c>
      <c r="G88" s="2">
        <f t="shared" si="1"/>
        <v>24</v>
      </c>
    </row>
    <row r="89" ht="15.75" customHeight="1">
      <c r="A89" s="1">
        <f>IFERROR(__xludf.DUMMYFUNCTION("""COMPUTED_VALUE"""),43959.66666666667)</f>
        <v>43959.66667</v>
      </c>
      <c r="B89" s="2">
        <f>IFERROR(__xludf.DUMMYFUNCTION("""COMPUTED_VALUE"""),212.0)</f>
        <v>212</v>
      </c>
      <c r="C89" s="2">
        <f>IFERROR(__xludf.DUMMYFUNCTION("""COMPUTED_VALUE"""),218.0)</f>
        <v>218</v>
      </c>
      <c r="D89" s="2">
        <f>IFERROR(__xludf.DUMMYFUNCTION("""COMPUTED_VALUE"""),208.0)</f>
        <v>208</v>
      </c>
      <c r="E89" s="2">
        <f>IFERROR(__xludf.DUMMYFUNCTION("""COMPUTED_VALUE"""),212.0)</f>
        <v>212</v>
      </c>
      <c r="F89" s="2">
        <f>IFERROR(__xludf.DUMMYFUNCTION("""COMPUTED_VALUE"""),4.9903E7)</f>
        <v>49903000</v>
      </c>
      <c r="G89" s="2">
        <f t="shared" si="1"/>
        <v>10</v>
      </c>
    </row>
    <row r="90" ht="15.75" customHeight="1">
      <c r="A90" s="1">
        <f>IFERROR(__xludf.DUMMYFUNCTION("""COMPUTED_VALUE"""),43962.66666666667)</f>
        <v>43962.66667</v>
      </c>
      <c r="B90" s="2">
        <f>IFERROR(__xludf.DUMMYFUNCTION("""COMPUTED_VALUE"""),208.0)</f>
        <v>208</v>
      </c>
      <c r="C90" s="2">
        <f>IFERROR(__xludf.DUMMYFUNCTION("""COMPUTED_VALUE"""),214.0)</f>
        <v>214</v>
      </c>
      <c r="D90" s="2">
        <f>IFERROR(__xludf.DUMMYFUNCTION("""COMPUTED_VALUE"""),208.0)</f>
        <v>208</v>
      </c>
      <c r="E90" s="2">
        <f>IFERROR(__xludf.DUMMYFUNCTION("""COMPUTED_VALUE"""),208.0)</f>
        <v>208</v>
      </c>
      <c r="F90" s="2">
        <f>IFERROR(__xludf.DUMMYFUNCTION("""COMPUTED_VALUE"""),2.8062E7)</f>
        <v>28062000</v>
      </c>
      <c r="G90" s="2">
        <f t="shared" si="1"/>
        <v>6</v>
      </c>
    </row>
    <row r="91" ht="15.75" customHeight="1">
      <c r="A91" s="1">
        <f>IFERROR(__xludf.DUMMYFUNCTION("""COMPUTED_VALUE"""),43963.66666666667)</f>
        <v>43963.66667</v>
      </c>
      <c r="B91" s="2">
        <f>IFERROR(__xludf.DUMMYFUNCTION("""COMPUTED_VALUE"""),208.0)</f>
        <v>208</v>
      </c>
      <c r="C91" s="2">
        <f>IFERROR(__xludf.DUMMYFUNCTION("""COMPUTED_VALUE"""),210.0)</f>
        <v>210</v>
      </c>
      <c r="D91" s="2">
        <f>IFERROR(__xludf.DUMMYFUNCTION("""COMPUTED_VALUE"""),202.0)</f>
        <v>202</v>
      </c>
      <c r="E91" s="2">
        <f>IFERROR(__xludf.DUMMYFUNCTION("""COMPUTED_VALUE"""),204.0)</f>
        <v>204</v>
      </c>
      <c r="F91" s="2">
        <f>IFERROR(__xludf.DUMMYFUNCTION("""COMPUTED_VALUE"""),1.81671E7)</f>
        <v>18167100</v>
      </c>
      <c r="G91" s="2">
        <f t="shared" si="1"/>
        <v>8</v>
      </c>
    </row>
    <row r="92" ht="15.75" customHeight="1">
      <c r="A92" s="1">
        <f>IFERROR(__xludf.DUMMYFUNCTION("""COMPUTED_VALUE"""),43964.66666666667)</f>
        <v>43964.66667</v>
      </c>
      <c r="B92" s="2">
        <f>IFERROR(__xludf.DUMMYFUNCTION("""COMPUTED_VALUE"""),204.0)</f>
        <v>204</v>
      </c>
      <c r="C92" s="2">
        <f>IFERROR(__xludf.DUMMYFUNCTION("""COMPUTED_VALUE"""),208.0)</f>
        <v>208</v>
      </c>
      <c r="D92" s="2">
        <f>IFERROR(__xludf.DUMMYFUNCTION("""COMPUTED_VALUE"""),196.0)</f>
        <v>196</v>
      </c>
      <c r="E92" s="2">
        <f>IFERROR(__xludf.DUMMYFUNCTION("""COMPUTED_VALUE"""),202.0)</f>
        <v>202</v>
      </c>
      <c r="F92" s="2">
        <f>IFERROR(__xludf.DUMMYFUNCTION("""COMPUTED_VALUE"""),2.95436E7)</f>
        <v>29543600</v>
      </c>
      <c r="G92" s="2">
        <f t="shared" si="1"/>
        <v>12</v>
      </c>
    </row>
    <row r="93" ht="15.75" customHeight="1">
      <c r="A93" s="1">
        <f>IFERROR(__xludf.DUMMYFUNCTION("""COMPUTED_VALUE"""),43965.66666666667)</f>
        <v>43965.66667</v>
      </c>
      <c r="B93" s="2">
        <f>IFERROR(__xludf.DUMMYFUNCTION("""COMPUTED_VALUE"""),204.0)</f>
        <v>204</v>
      </c>
      <c r="C93" s="2">
        <f>IFERROR(__xludf.DUMMYFUNCTION("""COMPUTED_VALUE"""),206.0)</f>
        <v>206</v>
      </c>
      <c r="D93" s="2">
        <f>IFERROR(__xludf.DUMMYFUNCTION("""COMPUTED_VALUE"""),197.0)</f>
        <v>197</v>
      </c>
      <c r="E93" s="2">
        <f>IFERROR(__xludf.DUMMYFUNCTION("""COMPUTED_VALUE"""),199.0)</f>
        <v>199</v>
      </c>
      <c r="F93" s="2">
        <f>IFERROR(__xludf.DUMMYFUNCTION("""COMPUTED_VALUE"""),2.33425E7)</f>
        <v>23342500</v>
      </c>
      <c r="G93" s="2">
        <f t="shared" si="1"/>
        <v>9</v>
      </c>
    </row>
    <row r="94" ht="15.75" customHeight="1">
      <c r="A94" s="1">
        <f>IFERROR(__xludf.DUMMYFUNCTION("""COMPUTED_VALUE"""),43966.66666666667)</f>
        <v>43966.66667</v>
      </c>
      <c r="B94" s="2">
        <f>IFERROR(__xludf.DUMMYFUNCTION("""COMPUTED_VALUE"""),202.0)</f>
        <v>202</v>
      </c>
      <c r="C94" s="2">
        <f>IFERROR(__xludf.DUMMYFUNCTION("""COMPUTED_VALUE"""),208.0)</f>
        <v>208</v>
      </c>
      <c r="D94" s="2">
        <f>IFERROR(__xludf.DUMMYFUNCTION("""COMPUTED_VALUE"""),198.0)</f>
        <v>198</v>
      </c>
      <c r="E94" s="2">
        <f>IFERROR(__xludf.DUMMYFUNCTION("""COMPUTED_VALUE"""),200.0)</f>
        <v>200</v>
      </c>
      <c r="F94" s="2">
        <f>IFERROR(__xludf.DUMMYFUNCTION("""COMPUTED_VALUE"""),3.71909E7)</f>
        <v>37190900</v>
      </c>
      <c r="G94" s="2">
        <f t="shared" si="1"/>
        <v>10</v>
      </c>
    </row>
    <row r="95" ht="15.75" customHeight="1">
      <c r="A95" s="1">
        <f>IFERROR(__xludf.DUMMYFUNCTION("""COMPUTED_VALUE"""),43969.66666666667)</f>
        <v>43969.66667</v>
      </c>
      <c r="B95" s="2">
        <f>IFERROR(__xludf.DUMMYFUNCTION("""COMPUTED_VALUE"""),206.0)</f>
        <v>206</v>
      </c>
      <c r="C95" s="2">
        <f>IFERROR(__xludf.DUMMYFUNCTION("""COMPUTED_VALUE"""),210.0)</f>
        <v>210</v>
      </c>
      <c r="D95" s="2">
        <f>IFERROR(__xludf.DUMMYFUNCTION("""COMPUTED_VALUE"""),202.0)</f>
        <v>202</v>
      </c>
      <c r="E95" s="2">
        <f>IFERROR(__xludf.DUMMYFUNCTION("""COMPUTED_VALUE"""),206.0)</f>
        <v>206</v>
      </c>
      <c r="F95" s="2">
        <f>IFERROR(__xludf.DUMMYFUNCTION("""COMPUTED_VALUE"""),3.58517E7)</f>
        <v>35851700</v>
      </c>
      <c r="G95" s="2">
        <f t="shared" si="1"/>
        <v>10</v>
      </c>
    </row>
    <row r="96" ht="15.75" customHeight="1">
      <c r="A96" s="1">
        <f>IFERROR(__xludf.DUMMYFUNCTION("""COMPUTED_VALUE"""),43970.66666666667)</f>
        <v>43970.66667</v>
      </c>
      <c r="B96" s="2">
        <f>IFERROR(__xludf.DUMMYFUNCTION("""COMPUTED_VALUE"""),212.0)</f>
        <v>212</v>
      </c>
      <c r="C96" s="2">
        <f>IFERROR(__xludf.DUMMYFUNCTION("""COMPUTED_VALUE"""),214.0)</f>
        <v>214</v>
      </c>
      <c r="D96" s="2">
        <f>IFERROR(__xludf.DUMMYFUNCTION("""COMPUTED_VALUE"""),206.0)</f>
        <v>206</v>
      </c>
      <c r="E96" s="2">
        <f>IFERROR(__xludf.DUMMYFUNCTION("""COMPUTED_VALUE"""),206.0)</f>
        <v>206</v>
      </c>
      <c r="F96" s="2">
        <f>IFERROR(__xludf.DUMMYFUNCTION("""COMPUTED_VALUE"""),3.81814E7)</f>
        <v>38181400</v>
      </c>
      <c r="G96" s="2">
        <f t="shared" si="1"/>
        <v>8</v>
      </c>
    </row>
    <row r="97" ht="15.75" customHeight="1">
      <c r="A97" s="1">
        <f>IFERROR(__xludf.DUMMYFUNCTION("""COMPUTED_VALUE"""),43971.66666666667)</f>
        <v>43971.66667</v>
      </c>
      <c r="B97" s="2">
        <f>IFERROR(__xludf.DUMMYFUNCTION("""COMPUTED_VALUE"""),208.0)</f>
        <v>208</v>
      </c>
      <c r="C97" s="2">
        <f>IFERROR(__xludf.DUMMYFUNCTION("""COMPUTED_VALUE"""),208.0)</f>
        <v>208</v>
      </c>
      <c r="D97" s="2">
        <f>IFERROR(__xludf.DUMMYFUNCTION("""COMPUTED_VALUE"""),200.0)</f>
        <v>200</v>
      </c>
      <c r="E97" s="2">
        <f>IFERROR(__xludf.DUMMYFUNCTION("""COMPUTED_VALUE"""),202.0)</f>
        <v>202</v>
      </c>
      <c r="F97" s="2">
        <f>IFERROR(__xludf.DUMMYFUNCTION("""COMPUTED_VALUE"""),1.96277E7)</f>
        <v>19627700</v>
      </c>
      <c r="G97" s="2">
        <f t="shared" si="1"/>
        <v>8</v>
      </c>
    </row>
    <row r="98" ht="15.75" customHeight="1">
      <c r="A98" s="1">
        <f>IFERROR(__xludf.DUMMYFUNCTION("""COMPUTED_VALUE"""),43977.66666666667)</f>
        <v>43977.66667</v>
      </c>
      <c r="B98" s="2">
        <f>IFERROR(__xludf.DUMMYFUNCTION("""COMPUTED_VALUE"""),204.0)</f>
        <v>204</v>
      </c>
      <c r="C98" s="2">
        <f>IFERROR(__xludf.DUMMYFUNCTION("""COMPUTED_VALUE"""),208.0)</f>
        <v>208</v>
      </c>
      <c r="D98" s="2">
        <f>IFERROR(__xludf.DUMMYFUNCTION("""COMPUTED_VALUE"""),202.0)</f>
        <v>202</v>
      </c>
      <c r="E98" s="2">
        <f>IFERROR(__xludf.DUMMYFUNCTION("""COMPUTED_VALUE"""),202.0)</f>
        <v>202</v>
      </c>
      <c r="F98" s="2">
        <f>IFERROR(__xludf.DUMMYFUNCTION("""COMPUTED_VALUE"""),2.99011E7)</f>
        <v>29901100</v>
      </c>
      <c r="G98" s="2">
        <f t="shared" si="1"/>
        <v>6</v>
      </c>
    </row>
    <row r="99" ht="15.75" customHeight="1">
      <c r="A99" s="1">
        <f>IFERROR(__xludf.DUMMYFUNCTION("""COMPUTED_VALUE"""),43978.66666666667)</f>
        <v>43978.66667</v>
      </c>
      <c r="B99" s="2">
        <f>IFERROR(__xludf.DUMMYFUNCTION("""COMPUTED_VALUE"""),204.0)</f>
        <v>204</v>
      </c>
      <c r="C99" s="2">
        <f>IFERROR(__xludf.DUMMYFUNCTION("""COMPUTED_VALUE"""),206.0)</f>
        <v>206</v>
      </c>
      <c r="D99" s="2">
        <f>IFERROR(__xludf.DUMMYFUNCTION("""COMPUTED_VALUE"""),198.0)</f>
        <v>198</v>
      </c>
      <c r="E99" s="2">
        <f>IFERROR(__xludf.DUMMYFUNCTION("""COMPUTED_VALUE"""),199.0)</f>
        <v>199</v>
      </c>
      <c r="F99" s="2">
        <f>IFERROR(__xludf.DUMMYFUNCTION("""COMPUTED_VALUE"""),4.61913E7)</f>
        <v>46191300</v>
      </c>
      <c r="G99" s="2">
        <f t="shared" si="1"/>
        <v>8</v>
      </c>
    </row>
    <row r="100" ht="15.75" customHeight="1">
      <c r="A100" s="1">
        <f>IFERROR(__xludf.DUMMYFUNCTION("""COMPUTED_VALUE"""),43979.66666666667)</f>
        <v>43979.66667</v>
      </c>
      <c r="B100" s="2">
        <f>IFERROR(__xludf.DUMMYFUNCTION("""COMPUTED_VALUE"""),202.0)</f>
        <v>202</v>
      </c>
      <c r="C100" s="2">
        <f>IFERROR(__xludf.DUMMYFUNCTION("""COMPUTED_VALUE"""),204.0)</f>
        <v>204</v>
      </c>
      <c r="D100" s="2">
        <f>IFERROR(__xludf.DUMMYFUNCTION("""COMPUTED_VALUE"""),198.0)</f>
        <v>198</v>
      </c>
      <c r="E100" s="2">
        <f>IFERROR(__xludf.DUMMYFUNCTION("""COMPUTED_VALUE"""),198.0)</f>
        <v>198</v>
      </c>
      <c r="F100" s="2">
        <f>IFERROR(__xludf.DUMMYFUNCTION("""COMPUTED_VALUE"""),5.3359E7)</f>
        <v>53359000</v>
      </c>
      <c r="G100" s="2">
        <f t="shared" si="1"/>
        <v>6</v>
      </c>
    </row>
    <row r="101" ht="15.75" customHeight="1">
      <c r="A101" s="1">
        <f>IFERROR(__xludf.DUMMYFUNCTION("""COMPUTED_VALUE"""),43980.66666666667)</f>
        <v>43980.66667</v>
      </c>
      <c r="B101" s="2">
        <f>IFERROR(__xludf.DUMMYFUNCTION("""COMPUTED_VALUE"""),198.0)</f>
        <v>198</v>
      </c>
      <c r="C101" s="2">
        <f>IFERROR(__xludf.DUMMYFUNCTION("""COMPUTED_VALUE"""),202.0)</f>
        <v>202</v>
      </c>
      <c r="D101" s="2">
        <f>IFERROR(__xludf.DUMMYFUNCTION("""COMPUTED_VALUE"""),196.0)</f>
        <v>196</v>
      </c>
      <c r="E101" s="2">
        <f>IFERROR(__xludf.DUMMYFUNCTION("""COMPUTED_VALUE"""),197.0)</f>
        <v>197</v>
      </c>
      <c r="F101" s="2">
        <f>IFERROR(__xludf.DUMMYFUNCTION("""COMPUTED_VALUE"""),4.07674E7)</f>
        <v>40767400</v>
      </c>
      <c r="G101" s="2">
        <f t="shared" si="1"/>
        <v>6</v>
      </c>
    </row>
    <row r="102" ht="15.75" customHeight="1">
      <c r="A102" s="1">
        <f>IFERROR(__xludf.DUMMYFUNCTION("""COMPUTED_VALUE"""),43984.66666666667)</f>
        <v>43984.66667</v>
      </c>
      <c r="B102" s="2">
        <f>IFERROR(__xludf.DUMMYFUNCTION("""COMPUTED_VALUE"""),202.0)</f>
        <v>202</v>
      </c>
      <c r="C102" s="2">
        <f>IFERROR(__xludf.DUMMYFUNCTION("""COMPUTED_VALUE"""),204.0)</f>
        <v>204</v>
      </c>
      <c r="D102" s="2">
        <f>IFERROR(__xludf.DUMMYFUNCTION("""COMPUTED_VALUE"""),197.0)</f>
        <v>197</v>
      </c>
      <c r="E102" s="2">
        <f>IFERROR(__xludf.DUMMYFUNCTION("""COMPUTED_VALUE"""),202.0)</f>
        <v>202</v>
      </c>
      <c r="F102" s="2">
        <f>IFERROR(__xludf.DUMMYFUNCTION("""COMPUTED_VALUE"""),4.41241E7)</f>
        <v>44124100</v>
      </c>
      <c r="G102" s="2">
        <f t="shared" si="1"/>
        <v>7</v>
      </c>
    </row>
    <row r="103" ht="15.75" customHeight="1">
      <c r="A103" s="1">
        <f>IFERROR(__xludf.DUMMYFUNCTION("""COMPUTED_VALUE"""),43985.66666666667)</f>
        <v>43985.66667</v>
      </c>
      <c r="B103" s="2">
        <f>IFERROR(__xludf.DUMMYFUNCTION("""COMPUTED_VALUE"""),204.0)</f>
        <v>204</v>
      </c>
      <c r="C103" s="2">
        <f>IFERROR(__xludf.DUMMYFUNCTION("""COMPUTED_VALUE"""),218.0)</f>
        <v>218</v>
      </c>
      <c r="D103" s="2">
        <f>IFERROR(__xludf.DUMMYFUNCTION("""COMPUTED_VALUE"""),202.0)</f>
        <v>202</v>
      </c>
      <c r="E103" s="2">
        <f>IFERROR(__xludf.DUMMYFUNCTION("""COMPUTED_VALUE"""),216.0)</f>
        <v>216</v>
      </c>
      <c r="F103" s="2">
        <f>IFERROR(__xludf.DUMMYFUNCTION("""COMPUTED_VALUE"""),1.565117E8)</f>
        <v>156511700</v>
      </c>
      <c r="G103" s="2">
        <f t="shared" si="1"/>
        <v>16</v>
      </c>
    </row>
    <row r="104" ht="15.75" customHeight="1">
      <c r="A104" s="1">
        <f>IFERROR(__xludf.DUMMYFUNCTION("""COMPUTED_VALUE"""),43986.66666666667)</f>
        <v>43986.66667</v>
      </c>
      <c r="B104" s="2">
        <f>IFERROR(__xludf.DUMMYFUNCTION("""COMPUTED_VALUE"""),218.0)</f>
        <v>218</v>
      </c>
      <c r="C104" s="2">
        <f>IFERROR(__xludf.DUMMYFUNCTION("""COMPUTED_VALUE"""),222.0)</f>
        <v>222</v>
      </c>
      <c r="D104" s="2">
        <f>IFERROR(__xludf.DUMMYFUNCTION("""COMPUTED_VALUE"""),208.0)</f>
        <v>208</v>
      </c>
      <c r="E104" s="2">
        <f>IFERROR(__xludf.DUMMYFUNCTION("""COMPUTED_VALUE"""),210.0)</f>
        <v>210</v>
      </c>
      <c r="F104" s="2">
        <f>IFERROR(__xludf.DUMMYFUNCTION("""COMPUTED_VALUE"""),1.061493E8)</f>
        <v>106149300</v>
      </c>
      <c r="G104" s="2">
        <f t="shared" si="1"/>
        <v>14</v>
      </c>
    </row>
    <row r="105" ht="15.75" customHeight="1">
      <c r="A105" s="1">
        <f>IFERROR(__xludf.DUMMYFUNCTION("""COMPUTED_VALUE"""),43987.66666666667)</f>
        <v>43987.66667</v>
      </c>
      <c r="B105" s="2">
        <f>IFERROR(__xludf.DUMMYFUNCTION("""COMPUTED_VALUE"""),212.0)</f>
        <v>212</v>
      </c>
      <c r="C105" s="2">
        <f>IFERROR(__xludf.DUMMYFUNCTION("""COMPUTED_VALUE"""),216.0)</f>
        <v>216</v>
      </c>
      <c r="D105" s="2">
        <f>IFERROR(__xludf.DUMMYFUNCTION("""COMPUTED_VALUE"""),208.0)</f>
        <v>208</v>
      </c>
      <c r="E105" s="2">
        <f>IFERROR(__xludf.DUMMYFUNCTION("""COMPUTED_VALUE"""),214.0)</f>
        <v>214</v>
      </c>
      <c r="F105" s="2">
        <f>IFERROR(__xludf.DUMMYFUNCTION("""COMPUTED_VALUE"""),4.00966E7)</f>
        <v>40096600</v>
      </c>
      <c r="G105" s="2">
        <f t="shared" si="1"/>
        <v>8</v>
      </c>
    </row>
    <row r="106" ht="15.75" customHeight="1">
      <c r="A106" s="1">
        <f>IFERROR(__xludf.DUMMYFUNCTION("""COMPUTED_VALUE"""),43990.66666666667)</f>
        <v>43990.66667</v>
      </c>
      <c r="B106" s="2">
        <f>IFERROR(__xludf.DUMMYFUNCTION("""COMPUTED_VALUE"""),220.0)</f>
        <v>220</v>
      </c>
      <c r="C106" s="2">
        <f>IFERROR(__xludf.DUMMYFUNCTION("""COMPUTED_VALUE"""),244.0)</f>
        <v>244</v>
      </c>
      <c r="D106" s="2">
        <f>IFERROR(__xludf.DUMMYFUNCTION("""COMPUTED_VALUE"""),220.0)</f>
        <v>220</v>
      </c>
      <c r="E106" s="2">
        <f>IFERROR(__xludf.DUMMYFUNCTION("""COMPUTED_VALUE"""),236.0)</f>
        <v>236</v>
      </c>
      <c r="F106" s="2">
        <f>IFERROR(__xludf.DUMMYFUNCTION("""COMPUTED_VALUE"""),2.826421E8)</f>
        <v>282642100</v>
      </c>
      <c r="G106" s="2">
        <f t="shared" si="1"/>
        <v>30</v>
      </c>
    </row>
    <row r="107" ht="15.75" customHeight="1">
      <c r="A107" s="1">
        <f>IFERROR(__xludf.DUMMYFUNCTION("""COMPUTED_VALUE"""),43991.66666666667)</f>
        <v>43991.66667</v>
      </c>
      <c r="B107" s="2">
        <f>IFERROR(__xludf.DUMMYFUNCTION("""COMPUTED_VALUE"""),240.0)</f>
        <v>240</v>
      </c>
      <c r="C107" s="2">
        <f>IFERROR(__xludf.DUMMYFUNCTION("""COMPUTED_VALUE"""),244.0)</f>
        <v>244</v>
      </c>
      <c r="D107" s="2">
        <f>IFERROR(__xludf.DUMMYFUNCTION("""COMPUTED_VALUE"""),220.0)</f>
        <v>220</v>
      </c>
      <c r="E107" s="2">
        <f>IFERROR(__xludf.DUMMYFUNCTION("""COMPUTED_VALUE"""),224.0)</f>
        <v>224</v>
      </c>
      <c r="F107" s="2">
        <f>IFERROR(__xludf.DUMMYFUNCTION("""COMPUTED_VALUE"""),1.678354E8)</f>
        <v>167835400</v>
      </c>
      <c r="G107" s="2">
        <f t="shared" si="1"/>
        <v>24</v>
      </c>
    </row>
    <row r="108" ht="15.75" customHeight="1">
      <c r="A108" s="1">
        <f>IFERROR(__xludf.DUMMYFUNCTION("""COMPUTED_VALUE"""),43992.66666666667)</f>
        <v>43992.66667</v>
      </c>
      <c r="B108" s="2">
        <f>IFERROR(__xludf.DUMMYFUNCTION("""COMPUTED_VALUE"""),224.0)</f>
        <v>224</v>
      </c>
      <c r="C108" s="2">
        <f>IFERROR(__xludf.DUMMYFUNCTION("""COMPUTED_VALUE"""),232.0)</f>
        <v>232</v>
      </c>
      <c r="D108" s="2">
        <f>IFERROR(__xludf.DUMMYFUNCTION("""COMPUTED_VALUE"""),218.0)</f>
        <v>218</v>
      </c>
      <c r="E108" s="2">
        <f>IFERROR(__xludf.DUMMYFUNCTION("""COMPUTED_VALUE"""),230.0)</f>
        <v>230</v>
      </c>
      <c r="F108" s="2">
        <f>IFERROR(__xludf.DUMMYFUNCTION("""COMPUTED_VALUE"""),7.97185E7)</f>
        <v>79718500</v>
      </c>
      <c r="G108" s="2">
        <f t="shared" si="1"/>
        <v>14</v>
      </c>
    </row>
    <row r="109" ht="15.75" customHeight="1">
      <c r="A109" s="1">
        <f>IFERROR(__xludf.DUMMYFUNCTION("""COMPUTED_VALUE"""),43993.66666666667)</f>
        <v>43993.66667</v>
      </c>
      <c r="B109" s="2">
        <f>IFERROR(__xludf.DUMMYFUNCTION("""COMPUTED_VALUE"""),230.0)</f>
        <v>230</v>
      </c>
      <c r="C109" s="2">
        <f>IFERROR(__xludf.DUMMYFUNCTION("""COMPUTED_VALUE"""),236.0)</f>
        <v>236</v>
      </c>
      <c r="D109" s="2">
        <f>IFERROR(__xludf.DUMMYFUNCTION("""COMPUTED_VALUE"""),220.0)</f>
        <v>220</v>
      </c>
      <c r="E109" s="2">
        <f>IFERROR(__xludf.DUMMYFUNCTION("""COMPUTED_VALUE"""),222.0)</f>
        <v>222</v>
      </c>
      <c r="F109" s="2">
        <f>IFERROR(__xludf.DUMMYFUNCTION("""COMPUTED_VALUE"""),4.6725E7)</f>
        <v>46725000</v>
      </c>
      <c r="G109" s="2">
        <f t="shared" si="1"/>
        <v>16</v>
      </c>
    </row>
    <row r="110" ht="15.75" customHeight="1">
      <c r="A110" s="1">
        <f>IFERROR(__xludf.DUMMYFUNCTION("""COMPUTED_VALUE"""),43994.66666666667)</f>
        <v>43994.66667</v>
      </c>
      <c r="B110" s="2">
        <f>IFERROR(__xludf.DUMMYFUNCTION("""COMPUTED_VALUE"""),216.0)</f>
        <v>216</v>
      </c>
      <c r="C110" s="2">
        <f>IFERROR(__xludf.DUMMYFUNCTION("""COMPUTED_VALUE"""),228.0)</f>
        <v>228</v>
      </c>
      <c r="D110" s="2">
        <f>IFERROR(__xludf.DUMMYFUNCTION("""COMPUTED_VALUE"""),208.0)</f>
        <v>208</v>
      </c>
      <c r="E110" s="2">
        <f>IFERROR(__xludf.DUMMYFUNCTION("""COMPUTED_VALUE"""),226.0)</f>
        <v>226</v>
      </c>
      <c r="F110" s="2">
        <f>IFERROR(__xludf.DUMMYFUNCTION("""COMPUTED_VALUE"""),7.51993E7)</f>
        <v>75199300</v>
      </c>
      <c r="G110" s="2">
        <f t="shared" si="1"/>
        <v>20</v>
      </c>
    </row>
    <row r="111" ht="15.75" customHeight="1">
      <c r="A111" s="1">
        <f>IFERROR(__xludf.DUMMYFUNCTION("""COMPUTED_VALUE"""),43997.66666666667)</f>
        <v>43997.66667</v>
      </c>
      <c r="B111" s="2">
        <f>IFERROR(__xludf.DUMMYFUNCTION("""COMPUTED_VALUE"""),226.0)</f>
        <v>226</v>
      </c>
      <c r="C111" s="2">
        <f>IFERROR(__xludf.DUMMYFUNCTION("""COMPUTED_VALUE"""),228.0)</f>
        <v>228</v>
      </c>
      <c r="D111" s="2">
        <f>IFERROR(__xludf.DUMMYFUNCTION("""COMPUTED_VALUE"""),216.0)</f>
        <v>216</v>
      </c>
      <c r="E111" s="2">
        <f>IFERROR(__xludf.DUMMYFUNCTION("""COMPUTED_VALUE"""),216.0)</f>
        <v>216</v>
      </c>
      <c r="F111" s="2">
        <f>IFERROR(__xludf.DUMMYFUNCTION("""COMPUTED_VALUE"""),4.17414E7)</f>
        <v>41741400</v>
      </c>
      <c r="G111" s="2">
        <f t="shared" si="1"/>
        <v>12</v>
      </c>
    </row>
    <row r="112" ht="15.75" customHeight="1">
      <c r="A112" s="1">
        <f>IFERROR(__xludf.DUMMYFUNCTION("""COMPUTED_VALUE"""),43998.66666666667)</f>
        <v>43998.66667</v>
      </c>
      <c r="B112" s="2">
        <f>IFERROR(__xludf.DUMMYFUNCTION("""COMPUTED_VALUE"""),220.0)</f>
        <v>220</v>
      </c>
      <c r="C112" s="2">
        <f>IFERROR(__xludf.DUMMYFUNCTION("""COMPUTED_VALUE"""),234.0)</f>
        <v>234</v>
      </c>
      <c r="D112" s="2">
        <f>IFERROR(__xludf.DUMMYFUNCTION("""COMPUTED_VALUE"""),220.0)</f>
        <v>220</v>
      </c>
      <c r="E112" s="2">
        <f>IFERROR(__xludf.DUMMYFUNCTION("""COMPUTED_VALUE"""),228.0)</f>
        <v>228</v>
      </c>
      <c r="F112" s="2">
        <f>IFERROR(__xludf.DUMMYFUNCTION("""COMPUTED_VALUE"""),7.74001E7)</f>
        <v>77400100</v>
      </c>
      <c r="G112" s="2">
        <f t="shared" si="1"/>
        <v>18</v>
      </c>
    </row>
    <row r="113" ht="15.75" customHeight="1">
      <c r="A113" s="1">
        <f>IFERROR(__xludf.DUMMYFUNCTION("""COMPUTED_VALUE"""),43999.66666666667)</f>
        <v>43999.66667</v>
      </c>
      <c r="B113" s="2">
        <f>IFERROR(__xludf.DUMMYFUNCTION("""COMPUTED_VALUE"""),230.0)</f>
        <v>230</v>
      </c>
      <c r="C113" s="2">
        <f>IFERROR(__xludf.DUMMYFUNCTION("""COMPUTED_VALUE"""),234.0)</f>
        <v>234</v>
      </c>
      <c r="D113" s="2">
        <f>IFERROR(__xludf.DUMMYFUNCTION("""COMPUTED_VALUE"""),226.0)</f>
        <v>226</v>
      </c>
      <c r="E113" s="2">
        <f>IFERROR(__xludf.DUMMYFUNCTION("""COMPUTED_VALUE"""),230.0)</f>
        <v>230</v>
      </c>
      <c r="F113" s="2">
        <f>IFERROR(__xludf.DUMMYFUNCTION("""COMPUTED_VALUE"""),4.15269E7)</f>
        <v>41526900</v>
      </c>
      <c r="G113" s="2">
        <f t="shared" si="1"/>
        <v>8</v>
      </c>
    </row>
    <row r="114" ht="15.75" customHeight="1">
      <c r="A114" s="1">
        <f>IFERROR(__xludf.DUMMYFUNCTION("""COMPUTED_VALUE"""),44000.66666666667)</f>
        <v>44000.66667</v>
      </c>
      <c r="B114" s="2">
        <f>IFERROR(__xludf.DUMMYFUNCTION("""COMPUTED_VALUE"""),228.0)</f>
        <v>228</v>
      </c>
      <c r="C114" s="2">
        <f>IFERROR(__xludf.DUMMYFUNCTION("""COMPUTED_VALUE"""),232.0)</f>
        <v>232</v>
      </c>
      <c r="D114" s="2">
        <f>IFERROR(__xludf.DUMMYFUNCTION("""COMPUTED_VALUE"""),222.0)</f>
        <v>222</v>
      </c>
      <c r="E114" s="2">
        <f>IFERROR(__xludf.DUMMYFUNCTION("""COMPUTED_VALUE"""),226.0)</f>
        <v>226</v>
      </c>
      <c r="F114" s="2">
        <f>IFERROR(__xludf.DUMMYFUNCTION("""COMPUTED_VALUE"""),5.08542E7)</f>
        <v>50854200</v>
      </c>
      <c r="G114" s="2">
        <f t="shared" si="1"/>
        <v>10</v>
      </c>
    </row>
    <row r="115" ht="15.75" customHeight="1">
      <c r="A115" s="1">
        <f>IFERROR(__xludf.DUMMYFUNCTION("""COMPUTED_VALUE"""),44001.66666666667)</f>
        <v>44001.66667</v>
      </c>
      <c r="B115" s="2">
        <f>IFERROR(__xludf.DUMMYFUNCTION("""COMPUTED_VALUE"""),230.0)</f>
        <v>230</v>
      </c>
      <c r="C115" s="2">
        <f>IFERROR(__xludf.DUMMYFUNCTION("""COMPUTED_VALUE"""),240.0)</f>
        <v>240</v>
      </c>
      <c r="D115" s="2">
        <f>IFERROR(__xludf.DUMMYFUNCTION("""COMPUTED_VALUE"""),228.0)</f>
        <v>228</v>
      </c>
      <c r="E115" s="2">
        <f>IFERROR(__xludf.DUMMYFUNCTION("""COMPUTED_VALUE"""),234.0)</f>
        <v>234</v>
      </c>
      <c r="F115" s="2">
        <f>IFERROR(__xludf.DUMMYFUNCTION("""COMPUTED_VALUE"""),1.423028E8)</f>
        <v>142302800</v>
      </c>
      <c r="G115" s="2">
        <f t="shared" si="1"/>
        <v>14</v>
      </c>
    </row>
    <row r="116" ht="15.75" customHeight="1">
      <c r="A116" s="1">
        <f>IFERROR(__xludf.DUMMYFUNCTION("""COMPUTED_VALUE"""),44004.66666666667)</f>
        <v>44004.66667</v>
      </c>
      <c r="B116" s="2">
        <f>IFERROR(__xludf.DUMMYFUNCTION("""COMPUTED_VALUE"""),238.0)</f>
        <v>238</v>
      </c>
      <c r="C116" s="2">
        <f>IFERROR(__xludf.DUMMYFUNCTION("""COMPUTED_VALUE"""),240.0)</f>
        <v>240</v>
      </c>
      <c r="D116" s="2">
        <f>IFERROR(__xludf.DUMMYFUNCTION("""COMPUTED_VALUE"""),230.0)</f>
        <v>230</v>
      </c>
      <c r="E116" s="2">
        <f>IFERROR(__xludf.DUMMYFUNCTION("""COMPUTED_VALUE"""),232.0)</f>
        <v>232</v>
      </c>
      <c r="F116" s="2">
        <f>IFERROR(__xludf.DUMMYFUNCTION("""COMPUTED_VALUE"""),1.101651E8)</f>
        <v>110165100</v>
      </c>
      <c r="G116" s="2">
        <f t="shared" si="1"/>
        <v>10</v>
      </c>
    </row>
    <row r="117" ht="15.75" customHeight="1">
      <c r="A117" s="1">
        <f>IFERROR(__xludf.DUMMYFUNCTION("""COMPUTED_VALUE"""),44005.66666666667)</f>
        <v>44005.66667</v>
      </c>
      <c r="B117" s="2">
        <f>IFERROR(__xludf.DUMMYFUNCTION("""COMPUTED_VALUE"""),232.0)</f>
        <v>232</v>
      </c>
      <c r="C117" s="2">
        <f>IFERROR(__xludf.DUMMYFUNCTION("""COMPUTED_VALUE"""),236.0)</f>
        <v>236</v>
      </c>
      <c r="D117" s="2">
        <f>IFERROR(__xludf.DUMMYFUNCTION("""COMPUTED_VALUE"""),224.0)</f>
        <v>224</v>
      </c>
      <c r="E117" s="2">
        <f>IFERROR(__xludf.DUMMYFUNCTION("""COMPUTED_VALUE"""),226.0)</f>
        <v>226</v>
      </c>
      <c r="F117" s="2">
        <f>IFERROR(__xludf.DUMMYFUNCTION("""COMPUTED_VALUE"""),6.00793E7)</f>
        <v>60079300</v>
      </c>
      <c r="G117" s="2">
        <f t="shared" si="1"/>
        <v>12</v>
      </c>
    </row>
    <row r="118" ht="15.75" customHeight="1">
      <c r="A118" s="1">
        <f>IFERROR(__xludf.DUMMYFUNCTION("""COMPUTED_VALUE"""),44006.66666666667)</f>
        <v>44006.66667</v>
      </c>
      <c r="B118" s="2">
        <f>IFERROR(__xludf.DUMMYFUNCTION("""COMPUTED_VALUE"""),228.0)</f>
        <v>228</v>
      </c>
      <c r="C118" s="2">
        <f>IFERROR(__xludf.DUMMYFUNCTION("""COMPUTED_VALUE"""),234.0)</f>
        <v>234</v>
      </c>
      <c r="D118" s="2">
        <f>IFERROR(__xludf.DUMMYFUNCTION("""COMPUTED_VALUE"""),226.0)</f>
        <v>226</v>
      </c>
      <c r="E118" s="2">
        <f>IFERROR(__xludf.DUMMYFUNCTION("""COMPUTED_VALUE"""),226.0)</f>
        <v>226</v>
      </c>
      <c r="F118" s="2">
        <f>IFERROR(__xludf.DUMMYFUNCTION("""COMPUTED_VALUE"""),5.66378E7)</f>
        <v>56637800</v>
      </c>
      <c r="G118" s="2">
        <f t="shared" si="1"/>
        <v>8</v>
      </c>
    </row>
    <row r="119" ht="15.75" customHeight="1">
      <c r="A119" s="1">
        <f>IFERROR(__xludf.DUMMYFUNCTION("""COMPUTED_VALUE"""),44007.66666666667)</f>
        <v>44007.66667</v>
      </c>
      <c r="B119" s="2">
        <f>IFERROR(__xludf.DUMMYFUNCTION("""COMPUTED_VALUE"""),224.0)</f>
        <v>224</v>
      </c>
      <c r="C119" s="2">
        <f>IFERROR(__xludf.DUMMYFUNCTION("""COMPUTED_VALUE"""),226.0)</f>
        <v>226</v>
      </c>
      <c r="D119" s="2">
        <f>IFERROR(__xludf.DUMMYFUNCTION("""COMPUTED_VALUE"""),218.0)</f>
        <v>218</v>
      </c>
      <c r="E119" s="2">
        <f>IFERROR(__xludf.DUMMYFUNCTION("""COMPUTED_VALUE"""),220.0)</f>
        <v>220</v>
      </c>
      <c r="F119" s="2">
        <f>IFERROR(__xludf.DUMMYFUNCTION("""COMPUTED_VALUE"""),4.92168E7)</f>
        <v>49216800</v>
      </c>
      <c r="G119" s="2">
        <f t="shared" si="1"/>
        <v>8</v>
      </c>
    </row>
    <row r="120" ht="15.75" customHeight="1">
      <c r="A120" s="1">
        <f>IFERROR(__xludf.DUMMYFUNCTION("""COMPUTED_VALUE"""),44008.66666666667)</f>
        <v>44008.66667</v>
      </c>
      <c r="B120" s="2">
        <f>IFERROR(__xludf.DUMMYFUNCTION("""COMPUTED_VALUE"""),224.0)</f>
        <v>224</v>
      </c>
      <c r="C120" s="2">
        <f>IFERROR(__xludf.DUMMYFUNCTION("""COMPUTED_VALUE"""),228.0)</f>
        <v>228</v>
      </c>
      <c r="D120" s="2">
        <f>IFERROR(__xludf.DUMMYFUNCTION("""COMPUTED_VALUE"""),222.0)</f>
        <v>222</v>
      </c>
      <c r="E120" s="2">
        <f>IFERROR(__xludf.DUMMYFUNCTION("""COMPUTED_VALUE"""),224.0)</f>
        <v>224</v>
      </c>
      <c r="F120" s="2">
        <f>IFERROR(__xludf.DUMMYFUNCTION("""COMPUTED_VALUE"""),3.26302E7)</f>
        <v>32630200</v>
      </c>
      <c r="G120" s="2">
        <f t="shared" si="1"/>
        <v>8</v>
      </c>
    </row>
    <row r="121" ht="15.75" customHeight="1">
      <c r="A121" s="1">
        <f>IFERROR(__xludf.DUMMYFUNCTION("""COMPUTED_VALUE"""),44011.66666666667)</f>
        <v>44011.66667</v>
      </c>
      <c r="B121" s="2">
        <f>IFERROR(__xludf.DUMMYFUNCTION("""COMPUTED_VALUE"""),224.0)</f>
        <v>224</v>
      </c>
      <c r="C121" s="2">
        <f>IFERROR(__xludf.DUMMYFUNCTION("""COMPUTED_VALUE"""),224.0)</f>
        <v>224</v>
      </c>
      <c r="D121" s="2">
        <f>IFERROR(__xludf.DUMMYFUNCTION("""COMPUTED_VALUE"""),218.0)</f>
        <v>218</v>
      </c>
      <c r="E121" s="2">
        <f>IFERROR(__xludf.DUMMYFUNCTION("""COMPUTED_VALUE"""),220.0)</f>
        <v>220</v>
      </c>
      <c r="F121" s="2">
        <f>IFERROR(__xludf.DUMMYFUNCTION("""COMPUTED_VALUE"""),2.29399E7)</f>
        <v>22939900</v>
      </c>
      <c r="G121" s="2">
        <f t="shared" si="1"/>
        <v>6</v>
      </c>
    </row>
    <row r="122" ht="15.75" customHeight="1">
      <c r="A122" s="1">
        <f>IFERROR(__xludf.DUMMYFUNCTION("""COMPUTED_VALUE"""),44012.66666666667)</f>
        <v>44012.66667</v>
      </c>
      <c r="B122" s="2">
        <f>IFERROR(__xludf.DUMMYFUNCTION("""COMPUTED_VALUE"""),226.0)</f>
        <v>226</v>
      </c>
      <c r="C122" s="2">
        <f>IFERROR(__xludf.DUMMYFUNCTION("""COMPUTED_VALUE"""),228.0)</f>
        <v>228</v>
      </c>
      <c r="D122" s="2">
        <f>IFERROR(__xludf.DUMMYFUNCTION("""COMPUTED_VALUE"""),218.0)</f>
        <v>218</v>
      </c>
      <c r="E122" s="2">
        <f>IFERROR(__xludf.DUMMYFUNCTION("""COMPUTED_VALUE"""),220.0)</f>
        <v>220</v>
      </c>
      <c r="F122" s="2">
        <f>IFERROR(__xludf.DUMMYFUNCTION("""COMPUTED_VALUE"""),2.79691E7)</f>
        <v>27969100</v>
      </c>
      <c r="G122" s="2">
        <f t="shared" si="1"/>
        <v>10</v>
      </c>
    </row>
    <row r="123" ht="15.75" customHeight="1">
      <c r="A123" s="1">
        <f>IFERROR(__xludf.DUMMYFUNCTION("""COMPUTED_VALUE"""),44013.66666666667)</f>
        <v>44013.66667</v>
      </c>
      <c r="B123" s="2">
        <f>IFERROR(__xludf.DUMMYFUNCTION("""COMPUTED_VALUE"""),222.0)</f>
        <v>222</v>
      </c>
      <c r="C123" s="2">
        <f>IFERROR(__xludf.DUMMYFUNCTION("""COMPUTED_VALUE"""),224.0)</f>
        <v>224</v>
      </c>
      <c r="D123" s="2">
        <f>IFERROR(__xludf.DUMMYFUNCTION("""COMPUTED_VALUE"""),218.0)</f>
        <v>218</v>
      </c>
      <c r="E123" s="2">
        <f>IFERROR(__xludf.DUMMYFUNCTION("""COMPUTED_VALUE"""),224.0)</f>
        <v>224</v>
      </c>
      <c r="F123" s="2">
        <f>IFERROR(__xludf.DUMMYFUNCTION("""COMPUTED_VALUE"""),2.02616E7)</f>
        <v>20261600</v>
      </c>
      <c r="G123" s="2">
        <f t="shared" si="1"/>
        <v>6</v>
      </c>
    </row>
    <row r="124" ht="15.75" customHeight="1">
      <c r="A124" s="1">
        <f>IFERROR(__xludf.DUMMYFUNCTION("""COMPUTED_VALUE"""),44014.66666666667)</f>
        <v>44014.66667</v>
      </c>
      <c r="B124" s="2">
        <f>IFERROR(__xludf.DUMMYFUNCTION("""COMPUTED_VALUE"""),226.0)</f>
        <v>226</v>
      </c>
      <c r="C124" s="2">
        <f>IFERROR(__xludf.DUMMYFUNCTION("""COMPUTED_VALUE"""),234.0)</f>
        <v>234</v>
      </c>
      <c r="D124" s="2">
        <f>IFERROR(__xludf.DUMMYFUNCTION("""COMPUTED_VALUE"""),224.0)</f>
        <v>224</v>
      </c>
      <c r="E124" s="2">
        <f>IFERROR(__xludf.DUMMYFUNCTION("""COMPUTED_VALUE"""),232.0)</f>
        <v>232</v>
      </c>
      <c r="F124" s="2">
        <f>IFERROR(__xludf.DUMMYFUNCTION("""COMPUTED_VALUE"""),9.65357E7)</f>
        <v>96535700</v>
      </c>
      <c r="G124" s="2">
        <f t="shared" si="1"/>
        <v>10</v>
      </c>
    </row>
    <row r="125" ht="15.75" customHeight="1">
      <c r="A125" s="1">
        <f>IFERROR(__xludf.DUMMYFUNCTION("""COMPUTED_VALUE"""),44015.66666666667)</f>
        <v>44015.66667</v>
      </c>
      <c r="B125" s="2">
        <f>IFERROR(__xludf.DUMMYFUNCTION("""COMPUTED_VALUE"""),236.0)</f>
        <v>236</v>
      </c>
      <c r="C125" s="2">
        <f>IFERROR(__xludf.DUMMYFUNCTION("""COMPUTED_VALUE"""),238.0)</f>
        <v>238</v>
      </c>
      <c r="D125" s="2">
        <f>IFERROR(__xludf.DUMMYFUNCTION("""COMPUTED_VALUE"""),228.0)</f>
        <v>228</v>
      </c>
      <c r="E125" s="2">
        <f>IFERROR(__xludf.DUMMYFUNCTION("""COMPUTED_VALUE"""),228.0)</f>
        <v>228</v>
      </c>
      <c r="F125" s="2">
        <f>IFERROR(__xludf.DUMMYFUNCTION("""COMPUTED_VALUE"""),5.45728E7)</f>
        <v>54572800</v>
      </c>
      <c r="G125" s="2">
        <f t="shared" si="1"/>
        <v>10</v>
      </c>
    </row>
    <row r="126" ht="15.75" customHeight="1">
      <c r="A126" s="1">
        <f>IFERROR(__xludf.DUMMYFUNCTION("""COMPUTED_VALUE"""),44018.66666666667)</f>
        <v>44018.66667</v>
      </c>
      <c r="B126" s="2">
        <f>IFERROR(__xludf.DUMMYFUNCTION("""COMPUTED_VALUE"""),230.0)</f>
        <v>230</v>
      </c>
      <c r="C126" s="2">
        <f>IFERROR(__xludf.DUMMYFUNCTION("""COMPUTED_VALUE"""),236.0)</f>
        <v>236</v>
      </c>
      <c r="D126" s="2">
        <f>IFERROR(__xludf.DUMMYFUNCTION("""COMPUTED_VALUE"""),228.0)</f>
        <v>228</v>
      </c>
      <c r="E126" s="2">
        <f>IFERROR(__xludf.DUMMYFUNCTION("""COMPUTED_VALUE"""),236.0)</f>
        <v>236</v>
      </c>
      <c r="F126" s="2">
        <f>IFERROR(__xludf.DUMMYFUNCTION("""COMPUTED_VALUE"""),5.20401E7)</f>
        <v>52040100</v>
      </c>
      <c r="G126" s="2">
        <f t="shared" si="1"/>
        <v>8</v>
      </c>
    </row>
    <row r="127" ht="15.75" customHeight="1">
      <c r="A127" s="1">
        <f>IFERROR(__xludf.DUMMYFUNCTION("""COMPUTED_VALUE"""),44019.66666666667)</f>
        <v>44019.66667</v>
      </c>
      <c r="B127" s="2">
        <f>IFERROR(__xludf.DUMMYFUNCTION("""COMPUTED_VALUE"""),240.0)</f>
        <v>240</v>
      </c>
      <c r="C127" s="2">
        <f>IFERROR(__xludf.DUMMYFUNCTION("""COMPUTED_VALUE"""),252.0)</f>
        <v>252</v>
      </c>
      <c r="D127" s="2">
        <f>IFERROR(__xludf.DUMMYFUNCTION("""COMPUTED_VALUE"""),236.0)</f>
        <v>236</v>
      </c>
      <c r="E127" s="2">
        <f>IFERROR(__xludf.DUMMYFUNCTION("""COMPUTED_VALUE"""),240.0)</f>
        <v>240</v>
      </c>
      <c r="F127" s="2">
        <f>IFERROR(__xludf.DUMMYFUNCTION("""COMPUTED_VALUE"""),2.56879E8)</f>
        <v>256879000</v>
      </c>
      <c r="G127" s="2">
        <f t="shared" si="1"/>
        <v>16</v>
      </c>
    </row>
    <row r="128" ht="15.75" customHeight="1">
      <c r="A128" s="1">
        <f>IFERROR(__xludf.DUMMYFUNCTION("""COMPUTED_VALUE"""),44020.66666666667)</f>
        <v>44020.66667</v>
      </c>
      <c r="B128" s="2">
        <f>IFERROR(__xludf.DUMMYFUNCTION("""COMPUTED_VALUE"""),242.0)</f>
        <v>242</v>
      </c>
      <c r="C128" s="2">
        <f>IFERROR(__xludf.DUMMYFUNCTION("""COMPUTED_VALUE"""),246.0)</f>
        <v>246</v>
      </c>
      <c r="D128" s="2">
        <f>IFERROR(__xludf.DUMMYFUNCTION("""COMPUTED_VALUE"""),236.0)</f>
        <v>236</v>
      </c>
      <c r="E128" s="2">
        <f>IFERROR(__xludf.DUMMYFUNCTION("""COMPUTED_VALUE"""),238.0)</f>
        <v>238</v>
      </c>
      <c r="F128" s="2">
        <f>IFERROR(__xludf.DUMMYFUNCTION("""COMPUTED_VALUE"""),9.45383E7)</f>
        <v>94538300</v>
      </c>
      <c r="G128" s="2">
        <f t="shared" si="1"/>
        <v>10</v>
      </c>
    </row>
    <row r="129" ht="15.75" customHeight="1">
      <c r="A129" s="1">
        <f>IFERROR(__xludf.DUMMYFUNCTION("""COMPUTED_VALUE"""),44021.66666666667)</f>
        <v>44021.66667</v>
      </c>
      <c r="B129" s="2">
        <f>IFERROR(__xludf.DUMMYFUNCTION("""COMPUTED_VALUE"""),244.0)</f>
        <v>244</v>
      </c>
      <c r="C129" s="2">
        <f>IFERROR(__xludf.DUMMYFUNCTION("""COMPUTED_VALUE"""),246.0)</f>
        <v>246</v>
      </c>
      <c r="D129" s="2">
        <f>IFERROR(__xludf.DUMMYFUNCTION("""COMPUTED_VALUE"""),240.0)</f>
        <v>240</v>
      </c>
      <c r="E129" s="2">
        <f>IFERROR(__xludf.DUMMYFUNCTION("""COMPUTED_VALUE"""),240.0)</f>
        <v>240</v>
      </c>
      <c r="F129" s="2">
        <f>IFERROR(__xludf.DUMMYFUNCTION("""COMPUTED_VALUE"""),8.19609E7)</f>
        <v>81960900</v>
      </c>
      <c r="G129" s="2">
        <f t="shared" si="1"/>
        <v>8</v>
      </c>
    </row>
    <row r="130" ht="15.75" customHeight="1">
      <c r="A130" s="1">
        <f>IFERROR(__xludf.DUMMYFUNCTION("""COMPUTED_VALUE"""),44022.66666666667)</f>
        <v>44022.66667</v>
      </c>
      <c r="B130" s="2">
        <f>IFERROR(__xludf.DUMMYFUNCTION("""COMPUTED_VALUE"""),240.0)</f>
        <v>240</v>
      </c>
      <c r="C130" s="2">
        <f>IFERROR(__xludf.DUMMYFUNCTION("""COMPUTED_VALUE"""),242.0)</f>
        <v>242</v>
      </c>
      <c r="D130" s="2">
        <f>IFERROR(__xludf.DUMMYFUNCTION("""COMPUTED_VALUE"""),238.0)</f>
        <v>238</v>
      </c>
      <c r="E130" s="2">
        <f>IFERROR(__xludf.DUMMYFUNCTION("""COMPUTED_VALUE"""),242.0)</f>
        <v>242</v>
      </c>
      <c r="F130" s="2">
        <f>IFERROR(__xludf.DUMMYFUNCTION("""COMPUTED_VALUE"""),4.89874E7)</f>
        <v>48987400</v>
      </c>
      <c r="G130" s="2">
        <f t="shared" si="1"/>
        <v>4</v>
      </c>
    </row>
    <row r="131" ht="15.75" customHeight="1">
      <c r="A131" s="1">
        <f>IFERROR(__xludf.DUMMYFUNCTION("""COMPUTED_VALUE"""),44025.66666666667)</f>
        <v>44025.66667</v>
      </c>
      <c r="B131" s="2">
        <f>IFERROR(__xludf.DUMMYFUNCTION("""COMPUTED_VALUE"""),244.0)</f>
        <v>244</v>
      </c>
      <c r="C131" s="2">
        <f>IFERROR(__xludf.DUMMYFUNCTION("""COMPUTED_VALUE"""),252.0)</f>
        <v>252</v>
      </c>
      <c r="D131" s="2">
        <f>IFERROR(__xludf.DUMMYFUNCTION("""COMPUTED_VALUE"""),244.0)</f>
        <v>244</v>
      </c>
      <c r="E131" s="2">
        <f>IFERROR(__xludf.DUMMYFUNCTION("""COMPUTED_VALUE"""),244.0)</f>
        <v>244</v>
      </c>
      <c r="F131" s="2">
        <f>IFERROR(__xludf.DUMMYFUNCTION("""COMPUTED_VALUE"""),1.085445E8)</f>
        <v>108544500</v>
      </c>
      <c r="G131" s="2">
        <f t="shared" si="1"/>
        <v>10</v>
      </c>
    </row>
    <row r="132" ht="15.75" customHeight="1">
      <c r="A132" s="1">
        <f>IFERROR(__xludf.DUMMYFUNCTION("""COMPUTED_VALUE"""),44026.66666666667)</f>
        <v>44026.66667</v>
      </c>
      <c r="B132" s="2">
        <f>IFERROR(__xludf.DUMMYFUNCTION("""COMPUTED_VALUE"""),240.0)</f>
        <v>240</v>
      </c>
      <c r="C132" s="2">
        <f>IFERROR(__xludf.DUMMYFUNCTION("""COMPUTED_VALUE"""),248.0)</f>
        <v>248</v>
      </c>
      <c r="D132" s="2">
        <f>IFERROR(__xludf.DUMMYFUNCTION("""COMPUTED_VALUE"""),240.0)</f>
        <v>240</v>
      </c>
      <c r="E132" s="2">
        <f>IFERROR(__xludf.DUMMYFUNCTION("""COMPUTED_VALUE"""),244.0)</f>
        <v>244</v>
      </c>
      <c r="F132" s="2">
        <f>IFERROR(__xludf.DUMMYFUNCTION("""COMPUTED_VALUE"""),8.67079E7)</f>
        <v>86707900</v>
      </c>
      <c r="G132" s="2">
        <f t="shared" si="1"/>
        <v>8</v>
      </c>
    </row>
    <row r="133" ht="15.75" customHeight="1">
      <c r="A133" s="1">
        <f>IFERROR(__xludf.DUMMYFUNCTION("""COMPUTED_VALUE"""),44027.66666666667)</f>
        <v>44027.66667</v>
      </c>
      <c r="B133" s="2">
        <f>IFERROR(__xludf.DUMMYFUNCTION("""COMPUTED_VALUE"""),246.0)</f>
        <v>246</v>
      </c>
      <c r="C133" s="2">
        <f>IFERROR(__xludf.DUMMYFUNCTION("""COMPUTED_VALUE"""),250.0)</f>
        <v>250</v>
      </c>
      <c r="D133" s="2">
        <f>IFERROR(__xludf.DUMMYFUNCTION("""COMPUTED_VALUE"""),240.0)</f>
        <v>240</v>
      </c>
      <c r="E133" s="2">
        <f>IFERROR(__xludf.DUMMYFUNCTION("""COMPUTED_VALUE"""),244.0)</f>
        <v>244</v>
      </c>
      <c r="F133" s="2">
        <f>IFERROR(__xludf.DUMMYFUNCTION("""COMPUTED_VALUE"""),8.53038E7)</f>
        <v>85303800</v>
      </c>
      <c r="G133" s="2">
        <f t="shared" si="1"/>
        <v>10</v>
      </c>
    </row>
    <row r="134" ht="15.75" customHeight="1">
      <c r="A134" s="1">
        <f>IFERROR(__xludf.DUMMYFUNCTION("""COMPUTED_VALUE"""),44028.66666666667)</f>
        <v>44028.66667</v>
      </c>
      <c r="B134" s="2">
        <f>IFERROR(__xludf.DUMMYFUNCTION("""COMPUTED_VALUE"""),246.0)</f>
        <v>246</v>
      </c>
      <c r="C134" s="2">
        <f>IFERROR(__xludf.DUMMYFUNCTION("""COMPUTED_VALUE"""),248.0)</f>
        <v>248</v>
      </c>
      <c r="D134" s="2">
        <f>IFERROR(__xludf.DUMMYFUNCTION("""COMPUTED_VALUE"""),242.0)</f>
        <v>242</v>
      </c>
      <c r="E134" s="2">
        <f>IFERROR(__xludf.DUMMYFUNCTION("""COMPUTED_VALUE"""),244.0)</f>
        <v>244</v>
      </c>
      <c r="F134" s="2">
        <f>IFERROR(__xludf.DUMMYFUNCTION("""COMPUTED_VALUE"""),1.114437E8)</f>
        <v>111443700</v>
      </c>
      <c r="G134" s="2">
        <f t="shared" si="1"/>
        <v>6</v>
      </c>
    </row>
    <row r="135" ht="15.75" customHeight="1">
      <c r="A135" s="1">
        <f>IFERROR(__xludf.DUMMYFUNCTION("""COMPUTED_VALUE"""),44029.66666666667)</f>
        <v>44029.66667</v>
      </c>
      <c r="B135" s="2">
        <f>IFERROR(__xludf.DUMMYFUNCTION("""COMPUTED_VALUE"""),240.0)</f>
        <v>240</v>
      </c>
      <c r="C135" s="2">
        <f>IFERROR(__xludf.DUMMYFUNCTION("""COMPUTED_VALUE"""),240.0)</f>
        <v>240</v>
      </c>
      <c r="D135" s="2">
        <f>IFERROR(__xludf.DUMMYFUNCTION("""COMPUTED_VALUE"""),228.0)</f>
        <v>228</v>
      </c>
      <c r="E135" s="2">
        <f>IFERROR(__xludf.DUMMYFUNCTION("""COMPUTED_VALUE"""),234.0)</f>
        <v>234</v>
      </c>
      <c r="F135" s="2">
        <f>IFERROR(__xludf.DUMMYFUNCTION("""COMPUTED_VALUE"""),6.58075E7)</f>
        <v>65807500</v>
      </c>
      <c r="G135" s="2">
        <f t="shared" si="1"/>
        <v>16</v>
      </c>
    </row>
    <row r="136" ht="15.75" customHeight="1">
      <c r="A136" s="1">
        <f>IFERROR(__xludf.DUMMYFUNCTION("""COMPUTED_VALUE"""),44032.66666666667)</f>
        <v>44032.66667</v>
      </c>
      <c r="B136" s="2">
        <f>IFERROR(__xludf.DUMMYFUNCTION("""COMPUTED_VALUE"""),234.0)</f>
        <v>234</v>
      </c>
      <c r="C136" s="2">
        <f>IFERROR(__xludf.DUMMYFUNCTION("""COMPUTED_VALUE"""),236.0)</f>
        <v>236</v>
      </c>
      <c r="D136" s="2">
        <f>IFERROR(__xludf.DUMMYFUNCTION("""COMPUTED_VALUE"""),226.0)</f>
        <v>226</v>
      </c>
      <c r="E136" s="2">
        <f>IFERROR(__xludf.DUMMYFUNCTION("""COMPUTED_VALUE"""),226.0)</f>
        <v>226</v>
      </c>
      <c r="F136" s="2">
        <f>IFERROR(__xludf.DUMMYFUNCTION("""COMPUTED_VALUE"""),3.61203E7)</f>
        <v>36120300</v>
      </c>
      <c r="G136" s="2">
        <f t="shared" si="1"/>
        <v>10</v>
      </c>
    </row>
    <row r="137" ht="15.75" customHeight="1">
      <c r="A137" s="1">
        <f>IFERROR(__xludf.DUMMYFUNCTION("""COMPUTED_VALUE"""),44033.66666666667)</f>
        <v>44033.66667</v>
      </c>
      <c r="B137" s="2">
        <f>IFERROR(__xludf.DUMMYFUNCTION("""COMPUTED_VALUE"""),226.0)</f>
        <v>226</v>
      </c>
      <c r="C137" s="2">
        <f>IFERROR(__xludf.DUMMYFUNCTION("""COMPUTED_VALUE"""),240.0)</f>
        <v>240</v>
      </c>
      <c r="D137" s="2">
        <f>IFERROR(__xludf.DUMMYFUNCTION("""COMPUTED_VALUE"""),226.0)</f>
        <v>226</v>
      </c>
      <c r="E137" s="2">
        <f>IFERROR(__xludf.DUMMYFUNCTION("""COMPUTED_VALUE"""),238.0)</f>
        <v>238</v>
      </c>
      <c r="F137" s="2">
        <f>IFERROR(__xludf.DUMMYFUNCTION("""COMPUTED_VALUE"""),7.72068E7)</f>
        <v>77206800</v>
      </c>
      <c r="G137" s="2">
        <f t="shared" si="1"/>
        <v>14</v>
      </c>
    </row>
    <row r="138" ht="15.75" customHeight="1">
      <c r="A138" s="1">
        <f>IFERROR(__xludf.DUMMYFUNCTION("""COMPUTED_VALUE"""),44034.66666666667)</f>
        <v>44034.66667</v>
      </c>
      <c r="B138" s="2">
        <f>IFERROR(__xludf.DUMMYFUNCTION("""COMPUTED_VALUE"""),240.0)</f>
        <v>240</v>
      </c>
      <c r="C138" s="2">
        <f>IFERROR(__xludf.DUMMYFUNCTION("""COMPUTED_VALUE"""),246.0)</f>
        <v>246</v>
      </c>
      <c r="D138" s="2">
        <f>IFERROR(__xludf.DUMMYFUNCTION("""COMPUTED_VALUE"""),238.0)</f>
        <v>238</v>
      </c>
      <c r="E138" s="2">
        <f>IFERROR(__xludf.DUMMYFUNCTION("""COMPUTED_VALUE"""),238.0)</f>
        <v>238</v>
      </c>
      <c r="F138" s="2">
        <f>IFERROR(__xludf.DUMMYFUNCTION("""COMPUTED_VALUE"""),7.43427E7)</f>
        <v>74342700</v>
      </c>
      <c r="G138" s="2">
        <f t="shared" si="1"/>
        <v>8</v>
      </c>
    </row>
    <row r="139" ht="15.75" customHeight="1">
      <c r="A139" s="1">
        <f>IFERROR(__xludf.DUMMYFUNCTION("""COMPUTED_VALUE"""),44035.66666666667)</f>
        <v>44035.66667</v>
      </c>
      <c r="B139" s="2">
        <f>IFERROR(__xludf.DUMMYFUNCTION("""COMPUTED_VALUE"""),238.0)</f>
        <v>238</v>
      </c>
      <c r="C139" s="2">
        <f>IFERROR(__xludf.DUMMYFUNCTION("""COMPUTED_VALUE"""),244.0)</f>
        <v>244</v>
      </c>
      <c r="D139" s="2">
        <f>IFERROR(__xludf.DUMMYFUNCTION("""COMPUTED_VALUE"""),236.0)</f>
        <v>236</v>
      </c>
      <c r="E139" s="2">
        <f>IFERROR(__xludf.DUMMYFUNCTION("""COMPUTED_VALUE"""),238.0)</f>
        <v>238</v>
      </c>
      <c r="F139" s="2">
        <f>IFERROR(__xludf.DUMMYFUNCTION("""COMPUTED_VALUE"""),6.96346E7)</f>
        <v>69634600</v>
      </c>
      <c r="G139" s="2">
        <f t="shared" si="1"/>
        <v>8</v>
      </c>
    </row>
    <row r="140" ht="15.75" customHeight="1">
      <c r="A140" s="1">
        <f>IFERROR(__xludf.DUMMYFUNCTION("""COMPUTED_VALUE"""),44036.66666666667)</f>
        <v>44036.66667</v>
      </c>
      <c r="B140" s="2">
        <f>IFERROR(__xludf.DUMMYFUNCTION("""COMPUTED_VALUE"""),238.0)</f>
        <v>238</v>
      </c>
      <c r="C140" s="2">
        <f>IFERROR(__xludf.DUMMYFUNCTION("""COMPUTED_VALUE"""),240.0)</f>
        <v>240</v>
      </c>
      <c r="D140" s="2">
        <f>IFERROR(__xludf.DUMMYFUNCTION("""COMPUTED_VALUE"""),232.0)</f>
        <v>232</v>
      </c>
      <c r="E140" s="2">
        <f>IFERROR(__xludf.DUMMYFUNCTION("""COMPUTED_VALUE"""),234.0)</f>
        <v>234</v>
      </c>
      <c r="F140" s="2">
        <f>IFERROR(__xludf.DUMMYFUNCTION("""COMPUTED_VALUE"""),2.1228E7)</f>
        <v>21228000</v>
      </c>
      <c r="G140" s="2">
        <f t="shared" si="1"/>
        <v>8</v>
      </c>
    </row>
    <row r="141" ht="15.75" customHeight="1">
      <c r="A141" s="1">
        <f>IFERROR(__xludf.DUMMYFUNCTION("""COMPUTED_VALUE"""),44039.66666666667)</f>
        <v>44039.66667</v>
      </c>
      <c r="B141" s="2">
        <f>IFERROR(__xludf.DUMMYFUNCTION("""COMPUTED_VALUE"""),234.0)</f>
        <v>234</v>
      </c>
      <c r="C141" s="2">
        <f>IFERROR(__xludf.DUMMYFUNCTION("""COMPUTED_VALUE"""),238.0)</f>
        <v>238</v>
      </c>
      <c r="D141" s="2">
        <f>IFERROR(__xludf.DUMMYFUNCTION("""COMPUTED_VALUE"""),230.0)</f>
        <v>230</v>
      </c>
      <c r="E141" s="2">
        <f>IFERROR(__xludf.DUMMYFUNCTION("""COMPUTED_VALUE"""),230.0)</f>
        <v>230</v>
      </c>
      <c r="F141" s="2">
        <f>IFERROR(__xludf.DUMMYFUNCTION("""COMPUTED_VALUE"""),2.22001E7)</f>
        <v>22200100</v>
      </c>
      <c r="G141" s="2">
        <f t="shared" si="1"/>
        <v>8</v>
      </c>
    </row>
    <row r="142" ht="15.75" customHeight="1">
      <c r="A142" s="1">
        <f>IFERROR(__xludf.DUMMYFUNCTION("""COMPUTED_VALUE"""),44040.66666666667)</f>
        <v>44040.66667</v>
      </c>
      <c r="B142" s="2">
        <f>IFERROR(__xludf.DUMMYFUNCTION("""COMPUTED_VALUE"""),234.0)</f>
        <v>234</v>
      </c>
      <c r="C142" s="2">
        <f>IFERROR(__xludf.DUMMYFUNCTION("""COMPUTED_VALUE"""),236.0)</f>
        <v>236</v>
      </c>
      <c r="D142" s="2">
        <f>IFERROR(__xludf.DUMMYFUNCTION("""COMPUTED_VALUE"""),230.0)</f>
        <v>230</v>
      </c>
      <c r="E142" s="2">
        <f>IFERROR(__xludf.DUMMYFUNCTION("""COMPUTED_VALUE"""),232.0)</f>
        <v>232</v>
      </c>
      <c r="F142" s="2">
        <f>IFERROR(__xludf.DUMMYFUNCTION("""COMPUTED_VALUE"""),2.37944E7)</f>
        <v>23794400</v>
      </c>
      <c r="G142" s="2">
        <f t="shared" si="1"/>
        <v>6</v>
      </c>
    </row>
    <row r="143" ht="15.75" customHeight="1">
      <c r="A143" s="1">
        <f>IFERROR(__xludf.DUMMYFUNCTION("""COMPUTED_VALUE"""),44041.66666666667)</f>
        <v>44041.66667</v>
      </c>
      <c r="B143" s="2">
        <f>IFERROR(__xludf.DUMMYFUNCTION("""COMPUTED_VALUE"""),232.0)</f>
        <v>232</v>
      </c>
      <c r="C143" s="2">
        <f>IFERROR(__xludf.DUMMYFUNCTION("""COMPUTED_VALUE"""),234.0)</f>
        <v>234</v>
      </c>
      <c r="D143" s="2">
        <f>IFERROR(__xludf.DUMMYFUNCTION("""COMPUTED_VALUE"""),230.0)</f>
        <v>230</v>
      </c>
      <c r="E143" s="2">
        <f>IFERROR(__xludf.DUMMYFUNCTION("""COMPUTED_VALUE"""),230.0)</f>
        <v>230</v>
      </c>
      <c r="F143" s="2">
        <f>IFERROR(__xludf.DUMMYFUNCTION("""COMPUTED_VALUE"""),1.54043E7)</f>
        <v>15404300</v>
      </c>
      <c r="G143" s="2">
        <f t="shared" si="1"/>
        <v>4</v>
      </c>
    </row>
    <row r="144" ht="15.75" customHeight="1">
      <c r="A144" s="1">
        <f>IFERROR(__xludf.DUMMYFUNCTION("""COMPUTED_VALUE"""),44042.66666666667)</f>
        <v>44042.66667</v>
      </c>
      <c r="B144" s="2">
        <f>IFERROR(__xludf.DUMMYFUNCTION("""COMPUTED_VALUE"""),232.0)</f>
        <v>232</v>
      </c>
      <c r="C144" s="2">
        <f>IFERROR(__xludf.DUMMYFUNCTION("""COMPUTED_VALUE"""),234.0)</f>
        <v>234</v>
      </c>
      <c r="D144" s="2">
        <f>IFERROR(__xludf.DUMMYFUNCTION("""COMPUTED_VALUE"""),228.0)</f>
        <v>228</v>
      </c>
      <c r="E144" s="2">
        <f>IFERROR(__xludf.DUMMYFUNCTION("""COMPUTED_VALUE"""),228.0)</f>
        <v>228</v>
      </c>
      <c r="F144" s="2">
        <f>IFERROR(__xludf.DUMMYFUNCTION("""COMPUTED_VALUE"""),2.25983E7)</f>
        <v>22598300</v>
      </c>
      <c r="G144" s="2">
        <f t="shared" si="1"/>
        <v>6</v>
      </c>
    </row>
    <row r="145" ht="15.75" customHeight="1">
      <c r="A145" s="1">
        <f>IFERROR(__xludf.DUMMYFUNCTION("""COMPUTED_VALUE"""),44046.66666666667)</f>
        <v>44046.66667</v>
      </c>
      <c r="B145" s="2">
        <f>IFERROR(__xludf.DUMMYFUNCTION("""COMPUTED_VALUE"""),228.0)</f>
        <v>228</v>
      </c>
      <c r="C145" s="2">
        <f>IFERROR(__xludf.DUMMYFUNCTION("""COMPUTED_VALUE"""),232.0)</f>
        <v>232</v>
      </c>
      <c r="D145" s="2">
        <f>IFERROR(__xludf.DUMMYFUNCTION("""COMPUTED_VALUE"""),214.0)</f>
        <v>214</v>
      </c>
      <c r="E145" s="2">
        <f>IFERROR(__xludf.DUMMYFUNCTION("""COMPUTED_VALUE"""),220.0)</f>
        <v>220</v>
      </c>
      <c r="F145" s="2">
        <f>IFERROR(__xludf.DUMMYFUNCTION("""COMPUTED_VALUE"""),4.75858E7)</f>
        <v>47585800</v>
      </c>
      <c r="G145" s="2">
        <f t="shared" si="1"/>
        <v>18</v>
      </c>
    </row>
    <row r="146" ht="15.75" customHeight="1">
      <c r="A146" s="1">
        <f>IFERROR(__xludf.DUMMYFUNCTION("""COMPUTED_VALUE"""),44047.66666666667)</f>
        <v>44047.66667</v>
      </c>
      <c r="B146" s="2">
        <f>IFERROR(__xludf.DUMMYFUNCTION("""COMPUTED_VALUE"""),220.0)</f>
        <v>220</v>
      </c>
      <c r="C146" s="2">
        <f>IFERROR(__xludf.DUMMYFUNCTION("""COMPUTED_VALUE"""),230.0)</f>
        <v>230</v>
      </c>
      <c r="D146" s="2">
        <f>IFERROR(__xludf.DUMMYFUNCTION("""COMPUTED_VALUE"""),220.0)</f>
        <v>220</v>
      </c>
      <c r="E146" s="2">
        <f>IFERROR(__xludf.DUMMYFUNCTION("""COMPUTED_VALUE"""),224.0)</f>
        <v>224</v>
      </c>
      <c r="F146" s="2">
        <f>IFERROR(__xludf.DUMMYFUNCTION("""COMPUTED_VALUE"""),2.00983E7)</f>
        <v>20098300</v>
      </c>
      <c r="G146" s="2">
        <f t="shared" si="1"/>
        <v>10</v>
      </c>
    </row>
    <row r="147" ht="15.75" customHeight="1">
      <c r="A147" s="1">
        <f>IFERROR(__xludf.DUMMYFUNCTION("""COMPUTED_VALUE"""),44048.66666666667)</f>
        <v>44048.66667</v>
      </c>
      <c r="B147" s="2">
        <f>IFERROR(__xludf.DUMMYFUNCTION("""COMPUTED_VALUE"""),226.0)</f>
        <v>226</v>
      </c>
      <c r="C147" s="2">
        <f>IFERROR(__xludf.DUMMYFUNCTION("""COMPUTED_VALUE"""),230.0)</f>
        <v>230</v>
      </c>
      <c r="D147" s="2">
        <f>IFERROR(__xludf.DUMMYFUNCTION("""COMPUTED_VALUE"""),222.0)</f>
        <v>222</v>
      </c>
      <c r="E147" s="2">
        <f>IFERROR(__xludf.DUMMYFUNCTION("""COMPUTED_VALUE"""),230.0)</f>
        <v>230</v>
      </c>
      <c r="F147" s="2">
        <f>IFERROR(__xludf.DUMMYFUNCTION("""COMPUTED_VALUE"""),2.01091E7)</f>
        <v>20109100</v>
      </c>
      <c r="G147" s="2">
        <f t="shared" si="1"/>
        <v>8</v>
      </c>
    </row>
    <row r="148" ht="15.75" customHeight="1">
      <c r="A148" s="1">
        <f>IFERROR(__xludf.DUMMYFUNCTION("""COMPUTED_VALUE"""),44049.66666666667)</f>
        <v>44049.66667</v>
      </c>
      <c r="B148" s="2">
        <f>IFERROR(__xludf.DUMMYFUNCTION("""COMPUTED_VALUE"""),234.0)</f>
        <v>234</v>
      </c>
      <c r="C148" s="2">
        <f>IFERROR(__xludf.DUMMYFUNCTION("""COMPUTED_VALUE"""),246.0)</f>
        <v>246</v>
      </c>
      <c r="D148" s="2">
        <f>IFERROR(__xludf.DUMMYFUNCTION("""COMPUTED_VALUE"""),232.0)</f>
        <v>232</v>
      </c>
      <c r="E148" s="2">
        <f>IFERROR(__xludf.DUMMYFUNCTION("""COMPUTED_VALUE"""),244.0)</f>
        <v>244</v>
      </c>
      <c r="F148" s="2">
        <f>IFERROR(__xludf.DUMMYFUNCTION("""COMPUTED_VALUE"""),1.217979E8)</f>
        <v>121797900</v>
      </c>
      <c r="G148" s="2">
        <f t="shared" si="1"/>
        <v>16</v>
      </c>
    </row>
    <row r="149" ht="15.75" customHeight="1">
      <c r="A149" s="1">
        <f>IFERROR(__xludf.DUMMYFUNCTION("""COMPUTED_VALUE"""),44050.66666666667)</f>
        <v>44050.66667</v>
      </c>
      <c r="B149" s="2">
        <f>IFERROR(__xludf.DUMMYFUNCTION("""COMPUTED_VALUE"""),246.0)</f>
        <v>246</v>
      </c>
      <c r="C149" s="2">
        <f>IFERROR(__xludf.DUMMYFUNCTION("""COMPUTED_VALUE"""),246.0)</f>
        <v>246</v>
      </c>
      <c r="D149" s="2">
        <f>IFERROR(__xludf.DUMMYFUNCTION("""COMPUTED_VALUE"""),236.0)</f>
        <v>236</v>
      </c>
      <c r="E149" s="2">
        <f>IFERROR(__xludf.DUMMYFUNCTION("""COMPUTED_VALUE"""),236.0)</f>
        <v>236</v>
      </c>
      <c r="F149" s="2">
        <f>IFERROR(__xludf.DUMMYFUNCTION("""COMPUTED_VALUE"""),8.38051E7)</f>
        <v>83805100</v>
      </c>
      <c r="G149" s="2">
        <f t="shared" si="1"/>
        <v>10</v>
      </c>
    </row>
    <row r="150" ht="15.75" customHeight="1">
      <c r="A150" s="1">
        <f>IFERROR(__xludf.DUMMYFUNCTION("""COMPUTED_VALUE"""),44053.66666666667)</f>
        <v>44053.66667</v>
      </c>
      <c r="B150" s="2">
        <f>IFERROR(__xludf.DUMMYFUNCTION("""COMPUTED_VALUE"""),238.0)</f>
        <v>238</v>
      </c>
      <c r="C150" s="2">
        <f>IFERROR(__xludf.DUMMYFUNCTION("""COMPUTED_VALUE"""),246.0)</f>
        <v>246</v>
      </c>
      <c r="D150" s="2">
        <f>IFERROR(__xludf.DUMMYFUNCTION("""COMPUTED_VALUE"""),236.0)</f>
        <v>236</v>
      </c>
      <c r="E150" s="2">
        <f>IFERROR(__xludf.DUMMYFUNCTION("""COMPUTED_VALUE"""),244.0)</f>
        <v>244</v>
      </c>
      <c r="F150" s="2">
        <f>IFERROR(__xludf.DUMMYFUNCTION("""COMPUTED_VALUE"""),5.83706E7)</f>
        <v>58370600</v>
      </c>
      <c r="G150" s="2">
        <f t="shared" si="1"/>
        <v>10</v>
      </c>
    </row>
    <row r="151" ht="15.75" customHeight="1">
      <c r="A151" s="1">
        <f>IFERROR(__xludf.DUMMYFUNCTION("""COMPUTED_VALUE"""),44054.66666666667)</f>
        <v>44054.66667</v>
      </c>
      <c r="B151" s="2">
        <f>IFERROR(__xludf.DUMMYFUNCTION("""COMPUTED_VALUE"""),248.0)</f>
        <v>248</v>
      </c>
      <c r="C151" s="2">
        <f>IFERROR(__xludf.DUMMYFUNCTION("""COMPUTED_VALUE"""),256.0)</f>
        <v>256</v>
      </c>
      <c r="D151" s="2">
        <f>IFERROR(__xludf.DUMMYFUNCTION("""COMPUTED_VALUE"""),246.0)</f>
        <v>246</v>
      </c>
      <c r="E151" s="2">
        <f>IFERROR(__xludf.DUMMYFUNCTION("""COMPUTED_VALUE"""),250.0)</f>
        <v>250</v>
      </c>
      <c r="F151" s="2">
        <f>IFERROR(__xludf.DUMMYFUNCTION("""COMPUTED_VALUE"""),2.212358E8)</f>
        <v>221235800</v>
      </c>
      <c r="G151" s="2">
        <f t="shared" si="1"/>
        <v>12</v>
      </c>
    </row>
    <row r="152" ht="15.75" customHeight="1">
      <c r="A152" s="1">
        <f>IFERROR(__xludf.DUMMYFUNCTION("""COMPUTED_VALUE"""),44055.66666666667)</f>
        <v>44055.66667</v>
      </c>
      <c r="B152" s="2">
        <f>IFERROR(__xludf.DUMMYFUNCTION("""COMPUTED_VALUE"""),250.0)</f>
        <v>250</v>
      </c>
      <c r="C152" s="2">
        <f>IFERROR(__xludf.DUMMYFUNCTION("""COMPUTED_VALUE"""),252.0)</f>
        <v>252</v>
      </c>
      <c r="D152" s="2">
        <f>IFERROR(__xludf.DUMMYFUNCTION("""COMPUTED_VALUE"""),242.0)</f>
        <v>242</v>
      </c>
      <c r="E152" s="2">
        <f>IFERROR(__xludf.DUMMYFUNCTION("""COMPUTED_VALUE"""),242.0)</f>
        <v>242</v>
      </c>
      <c r="F152" s="2">
        <f>IFERROR(__xludf.DUMMYFUNCTION("""COMPUTED_VALUE"""),6.39474E7)</f>
        <v>63947400</v>
      </c>
      <c r="G152" s="2">
        <f t="shared" si="1"/>
        <v>10</v>
      </c>
    </row>
    <row r="153" ht="15.75" customHeight="1">
      <c r="A153" s="1">
        <f>IFERROR(__xludf.DUMMYFUNCTION("""COMPUTED_VALUE"""),44056.66666666667)</f>
        <v>44056.66667</v>
      </c>
      <c r="B153" s="2">
        <f>IFERROR(__xludf.DUMMYFUNCTION("""COMPUTED_VALUE"""),248.0)</f>
        <v>248</v>
      </c>
      <c r="C153" s="2">
        <f>IFERROR(__xludf.DUMMYFUNCTION("""COMPUTED_VALUE"""),250.0)</f>
        <v>250</v>
      </c>
      <c r="D153" s="2">
        <f>IFERROR(__xludf.DUMMYFUNCTION("""COMPUTED_VALUE"""),242.0)</f>
        <v>242</v>
      </c>
      <c r="E153" s="2">
        <f>IFERROR(__xludf.DUMMYFUNCTION("""COMPUTED_VALUE"""),242.0)</f>
        <v>242</v>
      </c>
      <c r="F153" s="2">
        <f>IFERROR(__xludf.DUMMYFUNCTION("""COMPUTED_VALUE"""),3.03528E7)</f>
        <v>30352800</v>
      </c>
      <c r="G153" s="2">
        <f t="shared" si="1"/>
        <v>8</v>
      </c>
    </row>
    <row r="154" ht="15.75" customHeight="1">
      <c r="A154" s="1">
        <f>IFERROR(__xludf.DUMMYFUNCTION("""COMPUTED_VALUE"""),44057.66666666667)</f>
        <v>44057.66667</v>
      </c>
      <c r="B154" s="2">
        <f>IFERROR(__xludf.DUMMYFUNCTION("""COMPUTED_VALUE"""),244.0)</f>
        <v>244</v>
      </c>
      <c r="C154" s="2">
        <f>IFERROR(__xludf.DUMMYFUNCTION("""COMPUTED_VALUE"""),246.0)</f>
        <v>246</v>
      </c>
      <c r="D154" s="2">
        <f>IFERROR(__xludf.DUMMYFUNCTION("""COMPUTED_VALUE"""),240.0)</f>
        <v>240</v>
      </c>
      <c r="E154" s="2">
        <f>IFERROR(__xludf.DUMMYFUNCTION("""COMPUTED_VALUE"""),240.0)</f>
        <v>240</v>
      </c>
      <c r="F154" s="2">
        <f>IFERROR(__xludf.DUMMYFUNCTION("""COMPUTED_VALUE"""),1.85128E7)</f>
        <v>18512800</v>
      </c>
      <c r="G154" s="2">
        <f t="shared" si="1"/>
        <v>6</v>
      </c>
    </row>
    <row r="155" ht="15.75" customHeight="1">
      <c r="A155" s="1">
        <f>IFERROR(__xludf.DUMMYFUNCTION("""COMPUTED_VALUE"""),44061.66666666667)</f>
        <v>44061.66667</v>
      </c>
      <c r="B155" s="2">
        <f>IFERROR(__xludf.DUMMYFUNCTION("""COMPUTED_VALUE"""),240.0)</f>
        <v>240</v>
      </c>
      <c r="C155" s="2">
        <f>IFERROR(__xludf.DUMMYFUNCTION("""COMPUTED_VALUE"""),246.0)</f>
        <v>246</v>
      </c>
      <c r="D155" s="2">
        <f>IFERROR(__xludf.DUMMYFUNCTION("""COMPUTED_VALUE"""),240.0)</f>
        <v>240</v>
      </c>
      <c r="E155" s="2">
        <f>IFERROR(__xludf.DUMMYFUNCTION("""COMPUTED_VALUE"""),240.0)</f>
        <v>240</v>
      </c>
      <c r="F155" s="2">
        <f>IFERROR(__xludf.DUMMYFUNCTION("""COMPUTED_VALUE"""),4.41853E7)</f>
        <v>44185300</v>
      </c>
      <c r="G155" s="2">
        <f t="shared" si="1"/>
        <v>6</v>
      </c>
    </row>
    <row r="156" ht="15.75" customHeight="1">
      <c r="A156" s="1">
        <f>IFERROR(__xludf.DUMMYFUNCTION("""COMPUTED_VALUE"""),44062.66666666667)</f>
        <v>44062.66667</v>
      </c>
      <c r="B156" s="2">
        <f>IFERROR(__xludf.DUMMYFUNCTION("""COMPUTED_VALUE"""),240.0)</f>
        <v>240</v>
      </c>
      <c r="C156" s="2">
        <f>IFERROR(__xludf.DUMMYFUNCTION("""COMPUTED_VALUE"""),242.0)</f>
        <v>242</v>
      </c>
      <c r="D156" s="2">
        <f>IFERROR(__xludf.DUMMYFUNCTION("""COMPUTED_VALUE"""),236.0)</f>
        <v>236</v>
      </c>
      <c r="E156" s="2">
        <f>IFERROR(__xludf.DUMMYFUNCTION("""COMPUTED_VALUE"""),240.0)</f>
        <v>240</v>
      </c>
      <c r="F156" s="2">
        <f>IFERROR(__xludf.DUMMYFUNCTION("""COMPUTED_VALUE"""),3.52299E7)</f>
        <v>35229900</v>
      </c>
      <c r="G156" s="2">
        <f t="shared" si="1"/>
        <v>6</v>
      </c>
    </row>
    <row r="157" ht="15.75" customHeight="1">
      <c r="A157" s="1">
        <f>IFERROR(__xludf.DUMMYFUNCTION("""COMPUTED_VALUE"""),44067.66666666667)</f>
        <v>44067.66667</v>
      </c>
      <c r="B157" s="2">
        <f>IFERROR(__xludf.DUMMYFUNCTION("""COMPUTED_VALUE"""),242.0)</f>
        <v>242</v>
      </c>
      <c r="C157" s="2">
        <f>IFERROR(__xludf.DUMMYFUNCTION("""COMPUTED_VALUE"""),244.0)</f>
        <v>244</v>
      </c>
      <c r="D157" s="2">
        <f>IFERROR(__xludf.DUMMYFUNCTION("""COMPUTED_VALUE"""),238.0)</f>
        <v>238</v>
      </c>
      <c r="E157" s="2">
        <f>IFERROR(__xludf.DUMMYFUNCTION("""COMPUTED_VALUE"""),244.0)</f>
        <v>244</v>
      </c>
      <c r="F157" s="2">
        <f>IFERROR(__xludf.DUMMYFUNCTION("""COMPUTED_VALUE"""),5.08364E7)</f>
        <v>50836400</v>
      </c>
      <c r="G157" s="2">
        <f t="shared" si="1"/>
        <v>6</v>
      </c>
    </row>
    <row r="158" ht="15.75" customHeight="1">
      <c r="A158" s="1">
        <f>IFERROR(__xludf.DUMMYFUNCTION("""COMPUTED_VALUE"""),44068.66666666667)</f>
        <v>44068.66667</v>
      </c>
      <c r="B158" s="2">
        <f>IFERROR(__xludf.DUMMYFUNCTION("""COMPUTED_VALUE"""),246.0)</f>
        <v>246</v>
      </c>
      <c r="C158" s="2">
        <f>IFERROR(__xludf.DUMMYFUNCTION("""COMPUTED_VALUE"""),250.0)</f>
        <v>250</v>
      </c>
      <c r="D158" s="2">
        <f>IFERROR(__xludf.DUMMYFUNCTION("""COMPUTED_VALUE"""),244.0)</f>
        <v>244</v>
      </c>
      <c r="E158" s="2">
        <f>IFERROR(__xludf.DUMMYFUNCTION("""COMPUTED_VALUE"""),246.0)</f>
        <v>246</v>
      </c>
      <c r="F158" s="2">
        <f>IFERROR(__xludf.DUMMYFUNCTION("""COMPUTED_VALUE"""),5.16479E7)</f>
        <v>51647900</v>
      </c>
      <c r="G158" s="2">
        <f t="shared" si="1"/>
        <v>6</v>
      </c>
    </row>
    <row r="159" ht="15.75" customHeight="1">
      <c r="A159" s="1">
        <f>IFERROR(__xludf.DUMMYFUNCTION("""COMPUTED_VALUE"""),44069.66666666667)</f>
        <v>44069.66667</v>
      </c>
      <c r="B159" s="2">
        <f>IFERROR(__xludf.DUMMYFUNCTION("""COMPUTED_VALUE"""),250.0)</f>
        <v>250</v>
      </c>
      <c r="C159" s="2">
        <f>IFERROR(__xludf.DUMMYFUNCTION("""COMPUTED_VALUE"""),260.0)</f>
        <v>260</v>
      </c>
      <c r="D159" s="2">
        <f>IFERROR(__xludf.DUMMYFUNCTION("""COMPUTED_VALUE"""),248.0)</f>
        <v>248</v>
      </c>
      <c r="E159" s="2">
        <f>IFERROR(__xludf.DUMMYFUNCTION("""COMPUTED_VALUE"""),252.0)</f>
        <v>252</v>
      </c>
      <c r="F159" s="2">
        <f>IFERROR(__xludf.DUMMYFUNCTION("""COMPUTED_VALUE"""),1.995514E8)</f>
        <v>199551400</v>
      </c>
      <c r="G159" s="2">
        <f t="shared" si="1"/>
        <v>14</v>
      </c>
    </row>
    <row r="160" ht="15.75" customHeight="1">
      <c r="A160" s="1">
        <f>IFERROR(__xludf.DUMMYFUNCTION("""COMPUTED_VALUE"""),44070.66666666667)</f>
        <v>44070.66667</v>
      </c>
      <c r="B160" s="2">
        <f>IFERROR(__xludf.DUMMYFUNCTION("""COMPUTED_VALUE"""),254.0)</f>
        <v>254</v>
      </c>
      <c r="C160" s="2">
        <f>IFERROR(__xludf.DUMMYFUNCTION("""COMPUTED_VALUE"""),256.0)</f>
        <v>256</v>
      </c>
      <c r="D160" s="2">
        <f>IFERROR(__xludf.DUMMYFUNCTION("""COMPUTED_VALUE"""),246.0)</f>
        <v>246</v>
      </c>
      <c r="E160" s="2">
        <f>IFERROR(__xludf.DUMMYFUNCTION("""COMPUTED_VALUE"""),246.0)</f>
        <v>246</v>
      </c>
      <c r="F160" s="2">
        <f>IFERROR(__xludf.DUMMYFUNCTION("""COMPUTED_VALUE"""),8.78934E7)</f>
        <v>87893400</v>
      </c>
      <c r="G160" s="2">
        <f t="shared" si="1"/>
        <v>10</v>
      </c>
    </row>
    <row r="161" ht="15.75" customHeight="1">
      <c r="A161" s="1">
        <f>IFERROR(__xludf.DUMMYFUNCTION("""COMPUTED_VALUE"""),44071.66666666667)</f>
        <v>44071.66667</v>
      </c>
      <c r="B161" s="2">
        <f>IFERROR(__xludf.DUMMYFUNCTION("""COMPUTED_VALUE"""),246.0)</f>
        <v>246</v>
      </c>
      <c r="C161" s="2">
        <f>IFERROR(__xludf.DUMMYFUNCTION("""COMPUTED_VALUE"""),260.0)</f>
        <v>260</v>
      </c>
      <c r="D161" s="2">
        <f>IFERROR(__xludf.DUMMYFUNCTION("""COMPUTED_VALUE"""),244.0)</f>
        <v>244</v>
      </c>
      <c r="E161" s="2">
        <f>IFERROR(__xludf.DUMMYFUNCTION("""COMPUTED_VALUE"""),252.0)</f>
        <v>252</v>
      </c>
      <c r="F161" s="2">
        <f>IFERROR(__xludf.DUMMYFUNCTION("""COMPUTED_VALUE"""),1.390293E8)</f>
        <v>139029300</v>
      </c>
      <c r="G161" s="2">
        <f t="shared" si="1"/>
        <v>16</v>
      </c>
    </row>
    <row r="162" ht="15.75" customHeight="1">
      <c r="A162" s="1">
        <f>IFERROR(__xludf.DUMMYFUNCTION("""COMPUTED_VALUE"""),44074.66666666667)</f>
        <v>44074.66667</v>
      </c>
      <c r="B162" s="2">
        <f>IFERROR(__xludf.DUMMYFUNCTION("""COMPUTED_VALUE"""),254.0)</f>
        <v>254</v>
      </c>
      <c r="C162" s="2">
        <f>IFERROR(__xludf.DUMMYFUNCTION("""COMPUTED_VALUE"""),256.0)</f>
        <v>256</v>
      </c>
      <c r="D162" s="2">
        <f>IFERROR(__xludf.DUMMYFUNCTION("""COMPUTED_VALUE"""),244.0)</f>
        <v>244</v>
      </c>
      <c r="E162" s="2">
        <f>IFERROR(__xludf.DUMMYFUNCTION("""COMPUTED_VALUE"""),244.0)</f>
        <v>244</v>
      </c>
      <c r="F162" s="2">
        <f>IFERROR(__xludf.DUMMYFUNCTION("""COMPUTED_VALUE"""),8.27856E7)</f>
        <v>82785600</v>
      </c>
      <c r="G162" s="2">
        <f t="shared" si="1"/>
        <v>12</v>
      </c>
    </row>
    <row r="163" ht="15.75" customHeight="1">
      <c r="A163" s="1">
        <f>IFERROR(__xludf.DUMMYFUNCTION("""COMPUTED_VALUE"""),44075.66666666667)</f>
        <v>44075.66667</v>
      </c>
      <c r="B163" s="2">
        <f>IFERROR(__xludf.DUMMYFUNCTION("""COMPUTED_VALUE"""),244.0)</f>
        <v>244</v>
      </c>
      <c r="C163" s="2">
        <f>IFERROR(__xludf.DUMMYFUNCTION("""COMPUTED_VALUE"""),250.0)</f>
        <v>250</v>
      </c>
      <c r="D163" s="2">
        <f>IFERROR(__xludf.DUMMYFUNCTION("""COMPUTED_VALUE"""),242.0)</f>
        <v>242</v>
      </c>
      <c r="E163" s="2">
        <f>IFERROR(__xludf.DUMMYFUNCTION("""COMPUTED_VALUE"""),246.0)</f>
        <v>246</v>
      </c>
      <c r="F163" s="2">
        <f>IFERROR(__xludf.DUMMYFUNCTION("""COMPUTED_VALUE"""),2.78555E7)</f>
        <v>27855500</v>
      </c>
      <c r="G163" s="2">
        <f t="shared" si="1"/>
        <v>8</v>
      </c>
    </row>
    <row r="164" ht="15.75" customHeight="1">
      <c r="A164" s="1">
        <f>IFERROR(__xludf.DUMMYFUNCTION("""COMPUTED_VALUE"""),44076.66666666667)</f>
        <v>44076.66667</v>
      </c>
      <c r="B164" s="2">
        <f>IFERROR(__xludf.DUMMYFUNCTION("""COMPUTED_VALUE"""),250.0)</f>
        <v>250</v>
      </c>
      <c r="C164" s="2">
        <f>IFERROR(__xludf.DUMMYFUNCTION("""COMPUTED_VALUE"""),252.0)</f>
        <v>252</v>
      </c>
      <c r="D164" s="2">
        <f>IFERROR(__xludf.DUMMYFUNCTION("""COMPUTED_VALUE"""),248.0)</f>
        <v>248</v>
      </c>
      <c r="E164" s="2">
        <f>IFERROR(__xludf.DUMMYFUNCTION("""COMPUTED_VALUE"""),248.0)</f>
        <v>248</v>
      </c>
      <c r="F164" s="2">
        <f>IFERROR(__xludf.DUMMYFUNCTION("""COMPUTED_VALUE"""),3.58324E7)</f>
        <v>35832400</v>
      </c>
      <c r="G164" s="2">
        <f t="shared" si="1"/>
        <v>6</v>
      </c>
    </row>
    <row r="165" ht="15.75" customHeight="1">
      <c r="A165" s="1">
        <f>IFERROR(__xludf.DUMMYFUNCTION("""COMPUTED_VALUE"""),44077.66666666667)</f>
        <v>44077.66667</v>
      </c>
      <c r="B165" s="2">
        <f>IFERROR(__xludf.DUMMYFUNCTION("""COMPUTED_VALUE"""),250.0)</f>
        <v>250</v>
      </c>
      <c r="C165" s="2">
        <f>IFERROR(__xludf.DUMMYFUNCTION("""COMPUTED_VALUE"""),252.0)</f>
        <v>252</v>
      </c>
      <c r="D165" s="2">
        <f>IFERROR(__xludf.DUMMYFUNCTION("""COMPUTED_VALUE"""),240.0)</f>
        <v>240</v>
      </c>
      <c r="E165" s="2">
        <f>IFERROR(__xludf.DUMMYFUNCTION("""COMPUTED_VALUE"""),242.0)</f>
        <v>242</v>
      </c>
      <c r="F165" s="2">
        <f>IFERROR(__xludf.DUMMYFUNCTION("""COMPUTED_VALUE"""),4.98876E7)</f>
        <v>49887600</v>
      </c>
      <c r="G165" s="2">
        <f t="shared" si="1"/>
        <v>12</v>
      </c>
    </row>
    <row r="166" ht="15.75" customHeight="1">
      <c r="A166" s="1">
        <f>IFERROR(__xludf.DUMMYFUNCTION("""COMPUTED_VALUE"""),44078.66666666667)</f>
        <v>44078.66667</v>
      </c>
      <c r="B166" s="2">
        <f>IFERROR(__xludf.DUMMYFUNCTION("""COMPUTED_VALUE"""),240.0)</f>
        <v>240</v>
      </c>
      <c r="C166" s="2">
        <f>IFERROR(__xludf.DUMMYFUNCTION("""COMPUTED_VALUE"""),240.0)</f>
        <v>240</v>
      </c>
      <c r="D166" s="2">
        <f>IFERROR(__xludf.DUMMYFUNCTION("""COMPUTED_VALUE"""),230.0)</f>
        <v>230</v>
      </c>
      <c r="E166" s="2">
        <f>IFERROR(__xludf.DUMMYFUNCTION("""COMPUTED_VALUE"""),238.0)</f>
        <v>238</v>
      </c>
      <c r="F166" s="2">
        <f>IFERROR(__xludf.DUMMYFUNCTION("""COMPUTED_VALUE"""),4.11874E7)</f>
        <v>41187400</v>
      </c>
      <c r="G166" s="2">
        <f t="shared" si="1"/>
        <v>12</v>
      </c>
    </row>
    <row r="167" ht="15.75" customHeight="1">
      <c r="A167" s="1">
        <f>IFERROR(__xludf.DUMMYFUNCTION("""COMPUTED_VALUE"""),44081.66666666667)</f>
        <v>44081.66667</v>
      </c>
      <c r="B167" s="2">
        <f>IFERROR(__xludf.DUMMYFUNCTION("""COMPUTED_VALUE"""),232.0)</f>
        <v>232</v>
      </c>
      <c r="C167" s="2">
        <f>IFERROR(__xludf.DUMMYFUNCTION("""COMPUTED_VALUE"""),240.0)</f>
        <v>240</v>
      </c>
      <c r="D167" s="2">
        <f>IFERROR(__xludf.DUMMYFUNCTION("""COMPUTED_VALUE"""),232.0)</f>
        <v>232</v>
      </c>
      <c r="E167" s="2">
        <f>IFERROR(__xludf.DUMMYFUNCTION("""COMPUTED_VALUE"""),234.0)</f>
        <v>234</v>
      </c>
      <c r="F167" s="2">
        <f>IFERROR(__xludf.DUMMYFUNCTION("""COMPUTED_VALUE"""),5.12177E7)</f>
        <v>51217700</v>
      </c>
      <c r="G167" s="2">
        <f t="shared" si="1"/>
        <v>8</v>
      </c>
    </row>
    <row r="168" ht="15.75" customHeight="1">
      <c r="A168" s="1">
        <f>IFERROR(__xludf.DUMMYFUNCTION("""COMPUTED_VALUE"""),44082.66666666667)</f>
        <v>44082.66667</v>
      </c>
      <c r="B168" s="2">
        <f>IFERROR(__xludf.DUMMYFUNCTION("""COMPUTED_VALUE"""),234.0)</f>
        <v>234</v>
      </c>
      <c r="C168" s="2">
        <f>IFERROR(__xludf.DUMMYFUNCTION("""COMPUTED_VALUE"""),238.0)</f>
        <v>238</v>
      </c>
      <c r="D168" s="2">
        <f>IFERROR(__xludf.DUMMYFUNCTION("""COMPUTED_VALUE"""),232.0)</f>
        <v>232</v>
      </c>
      <c r="E168" s="2">
        <f>IFERROR(__xludf.DUMMYFUNCTION("""COMPUTED_VALUE"""),234.0)</f>
        <v>234</v>
      </c>
      <c r="F168" s="2">
        <f>IFERROR(__xludf.DUMMYFUNCTION("""COMPUTED_VALUE"""),2.90118E7)</f>
        <v>29011800</v>
      </c>
      <c r="G168" s="2">
        <f t="shared" si="1"/>
        <v>6</v>
      </c>
    </row>
    <row r="169" ht="15.75" customHeight="1">
      <c r="A169" s="1">
        <f>IFERROR(__xludf.DUMMYFUNCTION("""COMPUTED_VALUE"""),44083.66666666667)</f>
        <v>44083.66667</v>
      </c>
      <c r="B169" s="2">
        <f>IFERROR(__xludf.DUMMYFUNCTION("""COMPUTED_VALUE"""),230.0)</f>
        <v>230</v>
      </c>
      <c r="C169" s="2">
        <f>IFERROR(__xludf.DUMMYFUNCTION("""COMPUTED_VALUE"""),234.0)</f>
        <v>234</v>
      </c>
      <c r="D169" s="2">
        <f>IFERROR(__xludf.DUMMYFUNCTION("""COMPUTED_VALUE"""),226.0)</f>
        <v>226</v>
      </c>
      <c r="E169" s="2">
        <f>IFERROR(__xludf.DUMMYFUNCTION("""COMPUTED_VALUE"""),228.0)</f>
        <v>228</v>
      </c>
      <c r="F169" s="2">
        <f>IFERROR(__xludf.DUMMYFUNCTION("""COMPUTED_VALUE"""),5.79889E7)</f>
        <v>57988900</v>
      </c>
      <c r="G169" s="2">
        <f t="shared" si="1"/>
        <v>8</v>
      </c>
    </row>
    <row r="170" ht="15.75" customHeight="1">
      <c r="A170" s="1">
        <f>IFERROR(__xludf.DUMMYFUNCTION("""COMPUTED_VALUE"""),44084.66666666667)</f>
        <v>44084.66667</v>
      </c>
      <c r="B170" s="2">
        <f>IFERROR(__xludf.DUMMYFUNCTION("""COMPUTED_VALUE"""),228.0)</f>
        <v>228</v>
      </c>
      <c r="C170" s="2">
        <f>IFERROR(__xludf.DUMMYFUNCTION("""COMPUTED_VALUE"""),230.0)</f>
        <v>230</v>
      </c>
      <c r="D170" s="2">
        <f>IFERROR(__xludf.DUMMYFUNCTION("""COMPUTED_VALUE"""),214.0)</f>
        <v>214</v>
      </c>
      <c r="E170" s="2">
        <f>IFERROR(__xludf.DUMMYFUNCTION("""COMPUTED_VALUE"""),214.0)</f>
        <v>214</v>
      </c>
      <c r="F170" s="2">
        <f>IFERROR(__xludf.DUMMYFUNCTION("""COMPUTED_VALUE"""),6.60911E7)</f>
        <v>66091100</v>
      </c>
      <c r="G170" s="2">
        <f t="shared" si="1"/>
        <v>16</v>
      </c>
    </row>
    <row r="171" ht="15.75" customHeight="1">
      <c r="A171" s="1">
        <f>IFERROR(__xludf.DUMMYFUNCTION("""COMPUTED_VALUE"""),44085.66666666667)</f>
        <v>44085.66667</v>
      </c>
      <c r="B171" s="2">
        <f>IFERROR(__xludf.DUMMYFUNCTION("""COMPUTED_VALUE"""),214.0)</f>
        <v>214</v>
      </c>
      <c r="C171" s="2">
        <f>IFERROR(__xludf.DUMMYFUNCTION("""COMPUTED_VALUE"""),222.0)</f>
        <v>222</v>
      </c>
      <c r="D171" s="2">
        <f>IFERROR(__xludf.DUMMYFUNCTION("""COMPUTED_VALUE"""),202.0)</f>
        <v>202</v>
      </c>
      <c r="E171" s="2">
        <f>IFERROR(__xludf.DUMMYFUNCTION("""COMPUTED_VALUE"""),220.0)</f>
        <v>220</v>
      </c>
      <c r="F171" s="2">
        <f>IFERROR(__xludf.DUMMYFUNCTION("""COMPUTED_VALUE"""),6.10335E7)</f>
        <v>61033500</v>
      </c>
      <c r="G171" s="2">
        <f t="shared" si="1"/>
        <v>20</v>
      </c>
    </row>
    <row r="172" ht="15.75" customHeight="1">
      <c r="A172" s="1">
        <f>IFERROR(__xludf.DUMMYFUNCTION("""COMPUTED_VALUE"""),44088.66666666667)</f>
        <v>44088.66667</v>
      </c>
      <c r="B172" s="2">
        <f>IFERROR(__xludf.DUMMYFUNCTION("""COMPUTED_VALUE"""),222.0)</f>
        <v>222</v>
      </c>
      <c r="C172" s="2">
        <f>IFERROR(__xludf.DUMMYFUNCTION("""COMPUTED_VALUE"""),228.0)</f>
        <v>228</v>
      </c>
      <c r="D172" s="2">
        <f>IFERROR(__xludf.DUMMYFUNCTION("""COMPUTED_VALUE"""),222.0)</f>
        <v>222</v>
      </c>
      <c r="E172" s="2">
        <f>IFERROR(__xludf.DUMMYFUNCTION("""COMPUTED_VALUE"""),224.0)</f>
        <v>224</v>
      </c>
      <c r="F172" s="2">
        <f>IFERROR(__xludf.DUMMYFUNCTION("""COMPUTED_VALUE"""),4.04325E7)</f>
        <v>40432500</v>
      </c>
      <c r="G172" s="2">
        <f t="shared" si="1"/>
        <v>8</v>
      </c>
    </row>
    <row r="173" ht="15.75" customHeight="1">
      <c r="A173" s="1">
        <f>IFERROR(__xludf.DUMMYFUNCTION("""COMPUTED_VALUE"""),44089.66666666667)</f>
        <v>44089.66667</v>
      </c>
      <c r="B173" s="2">
        <f>IFERROR(__xludf.DUMMYFUNCTION("""COMPUTED_VALUE"""),224.0)</f>
        <v>224</v>
      </c>
      <c r="C173" s="2">
        <f>IFERROR(__xludf.DUMMYFUNCTION("""COMPUTED_VALUE"""),226.0)</f>
        <v>226</v>
      </c>
      <c r="D173" s="2">
        <f>IFERROR(__xludf.DUMMYFUNCTION("""COMPUTED_VALUE"""),216.0)</f>
        <v>216</v>
      </c>
      <c r="E173" s="2">
        <f>IFERROR(__xludf.DUMMYFUNCTION("""COMPUTED_VALUE"""),222.0)</f>
        <v>222</v>
      </c>
      <c r="F173" s="2">
        <f>IFERROR(__xludf.DUMMYFUNCTION("""COMPUTED_VALUE"""),2.43982E7)</f>
        <v>24398200</v>
      </c>
      <c r="G173" s="2">
        <f t="shared" si="1"/>
        <v>10</v>
      </c>
    </row>
    <row r="174" ht="15.75" customHeight="1">
      <c r="A174" s="1">
        <f>IFERROR(__xludf.DUMMYFUNCTION("""COMPUTED_VALUE"""),44090.66666666667)</f>
        <v>44090.66667</v>
      </c>
      <c r="B174" s="2">
        <f>IFERROR(__xludf.DUMMYFUNCTION("""COMPUTED_VALUE"""),222.0)</f>
        <v>222</v>
      </c>
      <c r="C174" s="2">
        <f>IFERROR(__xludf.DUMMYFUNCTION("""COMPUTED_VALUE"""),228.0)</f>
        <v>228</v>
      </c>
      <c r="D174" s="2">
        <f>IFERROR(__xludf.DUMMYFUNCTION("""COMPUTED_VALUE"""),222.0)</f>
        <v>222</v>
      </c>
      <c r="E174" s="2">
        <f>IFERROR(__xludf.DUMMYFUNCTION("""COMPUTED_VALUE"""),224.0)</f>
        <v>224</v>
      </c>
      <c r="F174" s="2">
        <f>IFERROR(__xludf.DUMMYFUNCTION("""COMPUTED_VALUE"""),3.53322E7)</f>
        <v>35332200</v>
      </c>
      <c r="G174" s="2">
        <f t="shared" si="1"/>
        <v>6</v>
      </c>
    </row>
    <row r="175" ht="15.75" customHeight="1">
      <c r="A175" s="1">
        <f>IFERROR(__xludf.DUMMYFUNCTION("""COMPUTED_VALUE"""),44091.66666666667)</f>
        <v>44091.66667</v>
      </c>
      <c r="B175" s="2">
        <f>IFERROR(__xludf.DUMMYFUNCTION("""COMPUTED_VALUE"""),228.0)</f>
        <v>228</v>
      </c>
      <c r="C175" s="2">
        <f>IFERROR(__xludf.DUMMYFUNCTION("""COMPUTED_VALUE"""),230.0)</f>
        <v>230</v>
      </c>
      <c r="D175" s="2">
        <f>IFERROR(__xludf.DUMMYFUNCTION("""COMPUTED_VALUE"""),220.0)</f>
        <v>220</v>
      </c>
      <c r="E175" s="2">
        <f>IFERROR(__xludf.DUMMYFUNCTION("""COMPUTED_VALUE"""),220.0)</f>
        <v>220</v>
      </c>
      <c r="F175" s="2">
        <f>IFERROR(__xludf.DUMMYFUNCTION("""COMPUTED_VALUE"""),4.54905E7)</f>
        <v>45490500</v>
      </c>
      <c r="G175" s="2">
        <f t="shared" si="1"/>
        <v>10</v>
      </c>
    </row>
    <row r="176" ht="15.75" customHeight="1">
      <c r="A176" s="1">
        <f>IFERROR(__xludf.DUMMYFUNCTION("""COMPUTED_VALUE"""),44092.66666666667)</f>
        <v>44092.66667</v>
      </c>
      <c r="B176" s="2">
        <f>IFERROR(__xludf.DUMMYFUNCTION("""COMPUTED_VALUE"""),222.0)</f>
        <v>222</v>
      </c>
      <c r="C176" s="2">
        <f>IFERROR(__xludf.DUMMYFUNCTION("""COMPUTED_VALUE"""),226.0)</f>
        <v>226</v>
      </c>
      <c r="D176" s="2">
        <f>IFERROR(__xludf.DUMMYFUNCTION("""COMPUTED_VALUE"""),220.0)</f>
        <v>220</v>
      </c>
      <c r="E176" s="2">
        <f>IFERROR(__xludf.DUMMYFUNCTION("""COMPUTED_VALUE"""),222.0)</f>
        <v>222</v>
      </c>
      <c r="F176" s="2">
        <f>IFERROR(__xludf.DUMMYFUNCTION("""COMPUTED_VALUE"""),2.39802E7)</f>
        <v>23980200</v>
      </c>
      <c r="G176" s="2">
        <f t="shared" si="1"/>
        <v>6</v>
      </c>
    </row>
    <row r="177" ht="15.75" customHeight="1">
      <c r="A177" s="1">
        <f>IFERROR(__xludf.DUMMYFUNCTION("""COMPUTED_VALUE"""),44095.66666666667)</f>
        <v>44095.66667</v>
      </c>
      <c r="B177" s="2">
        <f>IFERROR(__xludf.DUMMYFUNCTION("""COMPUTED_VALUE"""),222.0)</f>
        <v>222</v>
      </c>
      <c r="C177" s="2">
        <f>IFERROR(__xludf.DUMMYFUNCTION("""COMPUTED_VALUE"""),224.0)</f>
        <v>224</v>
      </c>
      <c r="D177" s="2">
        <f>IFERROR(__xludf.DUMMYFUNCTION("""COMPUTED_VALUE"""),212.0)</f>
        <v>212</v>
      </c>
      <c r="E177" s="2">
        <f>IFERROR(__xludf.DUMMYFUNCTION("""COMPUTED_VALUE"""),212.0)</f>
        <v>212</v>
      </c>
      <c r="F177" s="2">
        <f>IFERROR(__xludf.DUMMYFUNCTION("""COMPUTED_VALUE"""),3.39239E7)</f>
        <v>33923900</v>
      </c>
      <c r="G177" s="2">
        <f t="shared" si="1"/>
        <v>12</v>
      </c>
    </row>
    <row r="178" ht="15.75" customHeight="1">
      <c r="A178" s="1">
        <f>IFERROR(__xludf.DUMMYFUNCTION("""COMPUTED_VALUE"""),44096.66666666667)</f>
        <v>44096.66667</v>
      </c>
      <c r="B178" s="2">
        <f>IFERROR(__xludf.DUMMYFUNCTION("""COMPUTED_VALUE"""),206.0)</f>
        <v>206</v>
      </c>
      <c r="C178" s="2">
        <f>IFERROR(__xludf.DUMMYFUNCTION("""COMPUTED_VALUE"""),212.0)</f>
        <v>212</v>
      </c>
      <c r="D178" s="2">
        <f>IFERROR(__xludf.DUMMYFUNCTION("""COMPUTED_VALUE"""),202.0)</f>
        <v>202</v>
      </c>
      <c r="E178" s="2">
        <f>IFERROR(__xludf.DUMMYFUNCTION("""COMPUTED_VALUE"""),204.0)</f>
        <v>204</v>
      </c>
      <c r="F178" s="2">
        <f>IFERROR(__xludf.DUMMYFUNCTION("""COMPUTED_VALUE"""),5.59464E7)</f>
        <v>55946400</v>
      </c>
      <c r="G178" s="2">
        <f t="shared" si="1"/>
        <v>10</v>
      </c>
    </row>
    <row r="179" ht="15.75" customHeight="1">
      <c r="A179" s="1">
        <f>IFERROR(__xludf.DUMMYFUNCTION("""COMPUTED_VALUE"""),44097.66666666667)</f>
        <v>44097.66667</v>
      </c>
      <c r="B179" s="2">
        <f>IFERROR(__xludf.DUMMYFUNCTION("""COMPUTED_VALUE"""),204.0)</f>
        <v>204</v>
      </c>
      <c r="C179" s="2">
        <f>IFERROR(__xludf.DUMMYFUNCTION("""COMPUTED_VALUE"""),208.0)</f>
        <v>208</v>
      </c>
      <c r="D179" s="2">
        <f>IFERROR(__xludf.DUMMYFUNCTION("""COMPUTED_VALUE"""),196.0)</f>
        <v>196</v>
      </c>
      <c r="E179" s="2">
        <f>IFERROR(__xludf.DUMMYFUNCTION("""COMPUTED_VALUE"""),199.0)</f>
        <v>199</v>
      </c>
      <c r="F179" s="2">
        <f>IFERROR(__xludf.DUMMYFUNCTION("""COMPUTED_VALUE"""),4.75491E7)</f>
        <v>47549100</v>
      </c>
      <c r="G179" s="2">
        <f t="shared" si="1"/>
        <v>12</v>
      </c>
    </row>
    <row r="180" ht="15.75" customHeight="1">
      <c r="A180" s="1">
        <f>IFERROR(__xludf.DUMMYFUNCTION("""COMPUTED_VALUE"""),44098.66666666667)</f>
        <v>44098.66667</v>
      </c>
      <c r="B180" s="2">
        <f>IFERROR(__xludf.DUMMYFUNCTION("""COMPUTED_VALUE"""),197.0)</f>
        <v>197</v>
      </c>
      <c r="C180" s="2">
        <f>IFERROR(__xludf.DUMMYFUNCTION("""COMPUTED_VALUE"""),199.0)</f>
        <v>199</v>
      </c>
      <c r="D180" s="2">
        <f>IFERROR(__xludf.DUMMYFUNCTION("""COMPUTED_VALUE"""),193.0)</f>
        <v>193</v>
      </c>
      <c r="E180" s="2">
        <f>IFERROR(__xludf.DUMMYFUNCTION("""COMPUTED_VALUE"""),194.0)</f>
        <v>194</v>
      </c>
      <c r="F180" s="2">
        <f>IFERROR(__xludf.DUMMYFUNCTION("""COMPUTED_VALUE"""),2.14165E7)</f>
        <v>21416500</v>
      </c>
      <c r="G180" s="2">
        <f t="shared" si="1"/>
        <v>6</v>
      </c>
    </row>
    <row r="181" ht="15.75" customHeight="1">
      <c r="A181" s="1">
        <f>IFERROR(__xludf.DUMMYFUNCTION("""COMPUTED_VALUE"""),44099.66666666667)</f>
        <v>44099.66667</v>
      </c>
      <c r="B181" s="2">
        <f>IFERROR(__xludf.DUMMYFUNCTION("""COMPUTED_VALUE"""),195.0)</f>
        <v>195</v>
      </c>
      <c r="C181" s="2">
        <f>IFERROR(__xludf.DUMMYFUNCTION("""COMPUTED_VALUE"""),204.0)</f>
        <v>204</v>
      </c>
      <c r="D181" s="2">
        <f>IFERROR(__xludf.DUMMYFUNCTION("""COMPUTED_VALUE"""),195.0)</f>
        <v>195</v>
      </c>
      <c r="E181" s="2">
        <f>IFERROR(__xludf.DUMMYFUNCTION("""COMPUTED_VALUE"""),200.0)</f>
        <v>200</v>
      </c>
      <c r="F181" s="2">
        <f>IFERROR(__xludf.DUMMYFUNCTION("""COMPUTED_VALUE"""),3.2353E7)</f>
        <v>32353000</v>
      </c>
      <c r="G181" s="2">
        <f t="shared" si="1"/>
        <v>10</v>
      </c>
    </row>
    <row r="182" ht="15.75" customHeight="1">
      <c r="A182" s="1">
        <f>IFERROR(__xludf.DUMMYFUNCTION("""COMPUTED_VALUE"""),44102.66666666667)</f>
        <v>44102.66667</v>
      </c>
      <c r="B182" s="2">
        <f>IFERROR(__xludf.DUMMYFUNCTION("""COMPUTED_VALUE"""),200.0)</f>
        <v>200</v>
      </c>
      <c r="C182" s="2">
        <f>IFERROR(__xludf.DUMMYFUNCTION("""COMPUTED_VALUE"""),204.0)</f>
        <v>204</v>
      </c>
      <c r="D182" s="2">
        <f>IFERROR(__xludf.DUMMYFUNCTION("""COMPUTED_VALUE"""),197.0)</f>
        <v>197</v>
      </c>
      <c r="E182" s="2">
        <f>IFERROR(__xludf.DUMMYFUNCTION("""COMPUTED_VALUE"""),200.0)</f>
        <v>200</v>
      </c>
      <c r="F182" s="2">
        <f>IFERROR(__xludf.DUMMYFUNCTION("""COMPUTED_VALUE"""),1.57729E7)</f>
        <v>15772900</v>
      </c>
      <c r="G182" s="2">
        <f t="shared" si="1"/>
        <v>7</v>
      </c>
    </row>
    <row r="183" ht="15.75" customHeight="1">
      <c r="A183" s="1">
        <f>IFERROR(__xludf.DUMMYFUNCTION("""COMPUTED_VALUE"""),44103.66666666667)</f>
        <v>44103.66667</v>
      </c>
      <c r="B183" s="2">
        <f>IFERROR(__xludf.DUMMYFUNCTION("""COMPUTED_VALUE"""),200.0)</f>
        <v>200</v>
      </c>
      <c r="C183" s="2">
        <f>IFERROR(__xludf.DUMMYFUNCTION("""COMPUTED_VALUE"""),202.0)</f>
        <v>202</v>
      </c>
      <c r="D183" s="2">
        <f>IFERROR(__xludf.DUMMYFUNCTION("""COMPUTED_VALUE"""),197.0)</f>
        <v>197</v>
      </c>
      <c r="E183" s="2">
        <f>IFERROR(__xludf.DUMMYFUNCTION("""COMPUTED_VALUE"""),199.0)</f>
        <v>199</v>
      </c>
      <c r="F183" s="2">
        <f>IFERROR(__xludf.DUMMYFUNCTION("""COMPUTED_VALUE"""),1.07958E7)</f>
        <v>10795800</v>
      </c>
      <c r="G183" s="2">
        <f t="shared" si="1"/>
        <v>5</v>
      </c>
    </row>
    <row r="184" ht="15.75" customHeight="1">
      <c r="A184" s="1">
        <f>IFERROR(__xludf.DUMMYFUNCTION("""COMPUTED_VALUE"""),44104.66666666667)</f>
        <v>44104.66667</v>
      </c>
      <c r="B184" s="2">
        <f>IFERROR(__xludf.DUMMYFUNCTION("""COMPUTED_VALUE"""),199.0)</f>
        <v>199</v>
      </c>
      <c r="C184" s="2">
        <f>IFERROR(__xludf.DUMMYFUNCTION("""COMPUTED_VALUE"""),200.0)</f>
        <v>200</v>
      </c>
      <c r="D184" s="2">
        <f>IFERROR(__xludf.DUMMYFUNCTION("""COMPUTED_VALUE"""),192.0)</f>
        <v>192</v>
      </c>
      <c r="E184" s="2">
        <f>IFERROR(__xludf.DUMMYFUNCTION("""COMPUTED_VALUE"""),194.0)</f>
        <v>194</v>
      </c>
      <c r="F184" s="2">
        <f>IFERROR(__xludf.DUMMYFUNCTION("""COMPUTED_VALUE"""),3.12219E7)</f>
        <v>31221900</v>
      </c>
      <c r="G184" s="2">
        <f t="shared" si="1"/>
        <v>8</v>
      </c>
    </row>
    <row r="185" ht="15.75" customHeight="1">
      <c r="A185" s="1">
        <f>IFERROR(__xludf.DUMMYFUNCTION("""COMPUTED_VALUE"""),44105.66666666667)</f>
        <v>44105.66667</v>
      </c>
      <c r="B185" s="2">
        <f>IFERROR(__xludf.DUMMYFUNCTION("""COMPUTED_VALUE"""),195.0)</f>
        <v>195</v>
      </c>
      <c r="C185" s="2">
        <f>IFERROR(__xludf.DUMMYFUNCTION("""COMPUTED_VALUE"""),199.0)</f>
        <v>199</v>
      </c>
      <c r="D185" s="2">
        <f>IFERROR(__xludf.DUMMYFUNCTION("""COMPUTED_VALUE"""),195.0)</f>
        <v>195</v>
      </c>
      <c r="E185" s="2">
        <f>IFERROR(__xludf.DUMMYFUNCTION("""COMPUTED_VALUE"""),199.0)</f>
        <v>199</v>
      </c>
      <c r="F185" s="2">
        <f>IFERROR(__xludf.DUMMYFUNCTION("""COMPUTED_VALUE"""),1.82302E7)</f>
        <v>18230200</v>
      </c>
      <c r="G185" s="2">
        <f t="shared" si="1"/>
        <v>5</v>
      </c>
    </row>
    <row r="186" ht="15.75" customHeight="1">
      <c r="A186" s="1">
        <f>IFERROR(__xludf.DUMMYFUNCTION("""COMPUTED_VALUE"""),44106.66666666667)</f>
        <v>44106.66667</v>
      </c>
      <c r="B186" s="2">
        <f>IFERROR(__xludf.DUMMYFUNCTION("""COMPUTED_VALUE"""),200.0)</f>
        <v>200</v>
      </c>
      <c r="C186" s="2">
        <f>IFERROR(__xludf.DUMMYFUNCTION("""COMPUTED_VALUE"""),200.0)</f>
        <v>200</v>
      </c>
      <c r="D186" s="2">
        <f>IFERROR(__xludf.DUMMYFUNCTION("""COMPUTED_VALUE"""),194.0)</f>
        <v>194</v>
      </c>
      <c r="E186" s="2">
        <f>IFERROR(__xludf.DUMMYFUNCTION("""COMPUTED_VALUE"""),195.0)</f>
        <v>195</v>
      </c>
      <c r="F186" s="2">
        <f>IFERROR(__xludf.DUMMYFUNCTION("""COMPUTED_VALUE"""),2.74518E7)</f>
        <v>27451800</v>
      </c>
      <c r="G186" s="2">
        <f t="shared" si="1"/>
        <v>6</v>
      </c>
    </row>
    <row r="187" ht="15.75" customHeight="1">
      <c r="A187" s="1">
        <f>IFERROR(__xludf.DUMMYFUNCTION("""COMPUTED_VALUE"""),44109.66666666667)</f>
        <v>44109.66667</v>
      </c>
      <c r="B187" s="2">
        <f>IFERROR(__xludf.DUMMYFUNCTION("""COMPUTED_VALUE"""),197.0)</f>
        <v>197</v>
      </c>
      <c r="C187" s="2">
        <f>IFERROR(__xludf.DUMMYFUNCTION("""COMPUTED_VALUE"""),204.0)</f>
        <v>204</v>
      </c>
      <c r="D187" s="2">
        <f>IFERROR(__xludf.DUMMYFUNCTION("""COMPUTED_VALUE"""),195.0)</f>
        <v>195</v>
      </c>
      <c r="E187" s="2">
        <f>IFERROR(__xludf.DUMMYFUNCTION("""COMPUTED_VALUE"""),199.0)</f>
        <v>199</v>
      </c>
      <c r="F187" s="2">
        <f>IFERROR(__xludf.DUMMYFUNCTION("""COMPUTED_VALUE"""),4.19022E7)</f>
        <v>41902200</v>
      </c>
      <c r="G187" s="2">
        <f t="shared" si="1"/>
        <v>9</v>
      </c>
    </row>
    <row r="188" ht="15.75" customHeight="1">
      <c r="A188" s="1">
        <f>IFERROR(__xludf.DUMMYFUNCTION("""COMPUTED_VALUE"""),44110.66666666667)</f>
        <v>44110.66667</v>
      </c>
      <c r="B188" s="2">
        <f>IFERROR(__xludf.DUMMYFUNCTION("""COMPUTED_VALUE"""),202.0)</f>
        <v>202</v>
      </c>
      <c r="C188" s="2">
        <f>IFERROR(__xludf.DUMMYFUNCTION("""COMPUTED_VALUE"""),208.0)</f>
        <v>208</v>
      </c>
      <c r="D188" s="2">
        <f>IFERROR(__xludf.DUMMYFUNCTION("""COMPUTED_VALUE"""),202.0)</f>
        <v>202</v>
      </c>
      <c r="E188" s="2">
        <f>IFERROR(__xludf.DUMMYFUNCTION("""COMPUTED_VALUE"""),204.0)</f>
        <v>204</v>
      </c>
      <c r="F188" s="2">
        <f>IFERROR(__xludf.DUMMYFUNCTION("""COMPUTED_VALUE"""),6.2988E7)</f>
        <v>62988000</v>
      </c>
      <c r="G188" s="2">
        <f t="shared" si="1"/>
        <v>9</v>
      </c>
    </row>
    <row r="189" ht="15.75" customHeight="1">
      <c r="A189" s="1">
        <f>IFERROR(__xludf.DUMMYFUNCTION("""COMPUTED_VALUE"""),44111.66666666667)</f>
        <v>44111.66667</v>
      </c>
      <c r="B189" s="2">
        <f>IFERROR(__xludf.DUMMYFUNCTION("""COMPUTED_VALUE"""),204.0)</f>
        <v>204</v>
      </c>
      <c r="C189" s="2">
        <f>IFERROR(__xludf.DUMMYFUNCTION("""COMPUTED_VALUE"""),206.0)</f>
        <v>206</v>
      </c>
      <c r="D189" s="2">
        <f>IFERROR(__xludf.DUMMYFUNCTION("""COMPUTED_VALUE"""),200.0)</f>
        <v>200</v>
      </c>
      <c r="E189" s="2">
        <f>IFERROR(__xludf.DUMMYFUNCTION("""COMPUTED_VALUE"""),204.0)</f>
        <v>204</v>
      </c>
      <c r="F189" s="2">
        <f>IFERROR(__xludf.DUMMYFUNCTION("""COMPUTED_VALUE"""),2.94203E7)</f>
        <v>29420300</v>
      </c>
      <c r="G189" s="2">
        <f t="shared" si="1"/>
        <v>6</v>
      </c>
    </row>
    <row r="190" ht="15.75" customHeight="1">
      <c r="A190" s="1">
        <f>IFERROR(__xludf.DUMMYFUNCTION("""COMPUTED_VALUE"""),44112.66666666667)</f>
        <v>44112.66667</v>
      </c>
      <c r="B190" s="2">
        <f>IFERROR(__xludf.DUMMYFUNCTION("""COMPUTED_VALUE"""),204.0)</f>
        <v>204</v>
      </c>
      <c r="C190" s="2">
        <f>IFERROR(__xludf.DUMMYFUNCTION("""COMPUTED_VALUE"""),212.0)</f>
        <v>212</v>
      </c>
      <c r="D190" s="2">
        <f>IFERROR(__xludf.DUMMYFUNCTION("""COMPUTED_VALUE"""),204.0)</f>
        <v>204</v>
      </c>
      <c r="E190" s="2">
        <f>IFERROR(__xludf.DUMMYFUNCTION("""COMPUTED_VALUE"""),206.0)</f>
        <v>206</v>
      </c>
      <c r="F190" s="2">
        <f>IFERROR(__xludf.DUMMYFUNCTION("""COMPUTED_VALUE"""),3.68643E7)</f>
        <v>36864300</v>
      </c>
      <c r="G190" s="2">
        <f t="shared" si="1"/>
        <v>8</v>
      </c>
    </row>
    <row r="191" ht="15.75" customHeight="1">
      <c r="A191" s="1">
        <f>IFERROR(__xludf.DUMMYFUNCTION("""COMPUTED_VALUE"""),44113.66666666667)</f>
        <v>44113.66667</v>
      </c>
      <c r="B191" s="2">
        <f>IFERROR(__xludf.DUMMYFUNCTION("""COMPUTED_VALUE"""),210.0)</f>
        <v>210</v>
      </c>
      <c r="C191" s="2">
        <f>IFERROR(__xludf.DUMMYFUNCTION("""COMPUTED_VALUE"""),212.0)</f>
        <v>212</v>
      </c>
      <c r="D191" s="2">
        <f>IFERROR(__xludf.DUMMYFUNCTION("""COMPUTED_VALUE"""),206.0)</f>
        <v>206</v>
      </c>
      <c r="E191" s="2">
        <f>IFERROR(__xludf.DUMMYFUNCTION("""COMPUTED_VALUE"""),210.0)</f>
        <v>210</v>
      </c>
      <c r="F191" s="2">
        <f>IFERROR(__xludf.DUMMYFUNCTION("""COMPUTED_VALUE"""),2.14699E7)</f>
        <v>21469900</v>
      </c>
      <c r="G191" s="2">
        <f t="shared" si="1"/>
        <v>6</v>
      </c>
    </row>
    <row r="192" ht="15.75" customHeight="1">
      <c r="A192" s="1">
        <f>IFERROR(__xludf.DUMMYFUNCTION("""COMPUTED_VALUE"""),44116.66666666667)</f>
        <v>44116.66667</v>
      </c>
      <c r="B192" s="2">
        <f>IFERROR(__xludf.DUMMYFUNCTION("""COMPUTED_VALUE"""),210.0)</f>
        <v>210</v>
      </c>
      <c r="C192" s="2">
        <f>IFERROR(__xludf.DUMMYFUNCTION("""COMPUTED_VALUE"""),212.0)</f>
        <v>212</v>
      </c>
      <c r="D192" s="2">
        <f>IFERROR(__xludf.DUMMYFUNCTION("""COMPUTED_VALUE"""),208.0)</f>
        <v>208</v>
      </c>
      <c r="E192" s="2">
        <f>IFERROR(__xludf.DUMMYFUNCTION("""COMPUTED_VALUE"""),212.0)</f>
        <v>212</v>
      </c>
      <c r="F192" s="2">
        <f>IFERROR(__xludf.DUMMYFUNCTION("""COMPUTED_VALUE"""),2.12966E7)</f>
        <v>21296600</v>
      </c>
      <c r="G192" s="2">
        <f t="shared" si="1"/>
        <v>4</v>
      </c>
    </row>
    <row r="193" ht="15.75" customHeight="1">
      <c r="A193" s="1">
        <f>IFERROR(__xludf.DUMMYFUNCTION("""COMPUTED_VALUE"""),44117.66666666667)</f>
        <v>44117.66667</v>
      </c>
      <c r="B193" s="2">
        <f>IFERROR(__xludf.DUMMYFUNCTION("""COMPUTED_VALUE"""),210.0)</f>
        <v>210</v>
      </c>
      <c r="C193" s="2">
        <f>IFERROR(__xludf.DUMMYFUNCTION("""COMPUTED_VALUE"""),212.0)</f>
        <v>212</v>
      </c>
      <c r="D193" s="2">
        <f>IFERROR(__xludf.DUMMYFUNCTION("""COMPUTED_VALUE"""),206.0)</f>
        <v>206</v>
      </c>
      <c r="E193" s="2">
        <f>IFERROR(__xludf.DUMMYFUNCTION("""COMPUTED_VALUE"""),212.0)</f>
        <v>212</v>
      </c>
      <c r="F193" s="2">
        <f>IFERROR(__xludf.DUMMYFUNCTION("""COMPUTED_VALUE"""),2.05365E7)</f>
        <v>20536500</v>
      </c>
      <c r="G193" s="2">
        <f t="shared" si="1"/>
        <v>6</v>
      </c>
    </row>
    <row r="194" ht="15.75" customHeight="1">
      <c r="A194" s="1">
        <f>IFERROR(__xludf.DUMMYFUNCTION("""COMPUTED_VALUE"""),44118.66666666667)</f>
        <v>44118.66667</v>
      </c>
      <c r="B194" s="2">
        <f>IFERROR(__xludf.DUMMYFUNCTION("""COMPUTED_VALUE"""),212.0)</f>
        <v>212</v>
      </c>
      <c r="C194" s="2">
        <f>IFERROR(__xludf.DUMMYFUNCTION("""COMPUTED_VALUE"""),220.0)</f>
        <v>220</v>
      </c>
      <c r="D194" s="2">
        <f>IFERROR(__xludf.DUMMYFUNCTION("""COMPUTED_VALUE"""),210.0)</f>
        <v>210</v>
      </c>
      <c r="E194" s="2">
        <f>IFERROR(__xludf.DUMMYFUNCTION("""COMPUTED_VALUE"""),218.0)</f>
        <v>218</v>
      </c>
      <c r="F194" s="2">
        <f>IFERROR(__xludf.DUMMYFUNCTION("""COMPUTED_VALUE"""),5.69814E7)</f>
        <v>56981400</v>
      </c>
      <c r="G194" s="2">
        <f t="shared" si="1"/>
        <v>10</v>
      </c>
    </row>
    <row r="195" ht="15.75" customHeight="1">
      <c r="A195" s="1">
        <f>IFERROR(__xludf.DUMMYFUNCTION("""COMPUTED_VALUE"""),44119.66666666667)</f>
        <v>44119.66667</v>
      </c>
      <c r="B195" s="2">
        <f>IFERROR(__xludf.DUMMYFUNCTION("""COMPUTED_VALUE"""),218.0)</f>
        <v>218</v>
      </c>
      <c r="C195" s="2">
        <f>IFERROR(__xludf.DUMMYFUNCTION("""COMPUTED_VALUE"""),226.0)</f>
        <v>226</v>
      </c>
      <c r="D195" s="2">
        <f>IFERROR(__xludf.DUMMYFUNCTION("""COMPUTED_VALUE"""),212.0)</f>
        <v>212</v>
      </c>
      <c r="E195" s="2">
        <f>IFERROR(__xludf.DUMMYFUNCTION("""COMPUTED_VALUE"""),212.0)</f>
        <v>212</v>
      </c>
      <c r="F195" s="2">
        <f>IFERROR(__xludf.DUMMYFUNCTION("""COMPUTED_VALUE"""),5.08234E7)</f>
        <v>50823400</v>
      </c>
      <c r="G195" s="2">
        <f t="shared" si="1"/>
        <v>14</v>
      </c>
    </row>
    <row r="196" ht="15.75" customHeight="1">
      <c r="A196" s="1">
        <f>IFERROR(__xludf.DUMMYFUNCTION("""COMPUTED_VALUE"""),44120.66666666667)</f>
        <v>44120.66667</v>
      </c>
      <c r="B196" s="2">
        <f>IFERROR(__xludf.DUMMYFUNCTION("""COMPUTED_VALUE"""),212.0)</f>
        <v>212</v>
      </c>
      <c r="C196" s="2">
        <f>IFERROR(__xludf.DUMMYFUNCTION("""COMPUTED_VALUE"""),216.0)</f>
        <v>216</v>
      </c>
      <c r="D196" s="2">
        <f>IFERROR(__xludf.DUMMYFUNCTION("""COMPUTED_VALUE"""),212.0)</f>
        <v>212</v>
      </c>
      <c r="E196" s="2">
        <f>IFERROR(__xludf.DUMMYFUNCTION("""COMPUTED_VALUE"""),214.0)</f>
        <v>214</v>
      </c>
      <c r="F196" s="2">
        <f>IFERROR(__xludf.DUMMYFUNCTION("""COMPUTED_VALUE"""),1.30417E7)</f>
        <v>13041700</v>
      </c>
      <c r="G196" s="2">
        <f t="shared" si="1"/>
        <v>4</v>
      </c>
    </row>
    <row r="197" ht="15.75" customHeight="1">
      <c r="A197" s="1">
        <f>IFERROR(__xludf.DUMMYFUNCTION("""COMPUTED_VALUE"""),44123.66666666667)</f>
        <v>44123.66667</v>
      </c>
      <c r="B197" s="2">
        <f>IFERROR(__xludf.DUMMYFUNCTION("""COMPUTED_VALUE"""),214.0)</f>
        <v>214</v>
      </c>
      <c r="C197" s="2">
        <f>IFERROR(__xludf.DUMMYFUNCTION("""COMPUTED_VALUE"""),218.0)</f>
        <v>218</v>
      </c>
      <c r="D197" s="2">
        <f>IFERROR(__xludf.DUMMYFUNCTION("""COMPUTED_VALUE"""),214.0)</f>
        <v>214</v>
      </c>
      <c r="E197" s="2">
        <f>IFERROR(__xludf.DUMMYFUNCTION("""COMPUTED_VALUE"""),214.0)</f>
        <v>214</v>
      </c>
      <c r="F197" s="2">
        <f>IFERROR(__xludf.DUMMYFUNCTION("""COMPUTED_VALUE"""),1.27788E7)</f>
        <v>12778800</v>
      </c>
      <c r="G197" s="2">
        <f t="shared" si="1"/>
        <v>4</v>
      </c>
    </row>
    <row r="198" ht="15.75" customHeight="1">
      <c r="A198" s="1">
        <f>IFERROR(__xludf.DUMMYFUNCTION("""COMPUTED_VALUE"""),44124.66666666667)</f>
        <v>44124.66667</v>
      </c>
      <c r="B198" s="2">
        <f>IFERROR(__xludf.DUMMYFUNCTION("""COMPUTED_VALUE"""),214.0)</f>
        <v>214</v>
      </c>
      <c r="C198" s="2">
        <f>IFERROR(__xludf.DUMMYFUNCTION("""COMPUTED_VALUE"""),218.0)</f>
        <v>218</v>
      </c>
      <c r="D198" s="2">
        <f>IFERROR(__xludf.DUMMYFUNCTION("""COMPUTED_VALUE"""),212.0)</f>
        <v>212</v>
      </c>
      <c r="E198" s="2">
        <f>IFERROR(__xludf.DUMMYFUNCTION("""COMPUTED_VALUE"""),214.0)</f>
        <v>214</v>
      </c>
      <c r="F198" s="2">
        <f>IFERROR(__xludf.DUMMYFUNCTION("""COMPUTED_VALUE"""),9937500.0)</f>
        <v>9937500</v>
      </c>
      <c r="G198" s="2">
        <f t="shared" si="1"/>
        <v>6</v>
      </c>
    </row>
    <row r="199" ht="15.75" customHeight="1">
      <c r="A199" s="1">
        <f>IFERROR(__xludf.DUMMYFUNCTION("""COMPUTED_VALUE"""),44125.66666666667)</f>
        <v>44125.66667</v>
      </c>
      <c r="B199" s="2">
        <f>IFERROR(__xludf.DUMMYFUNCTION("""COMPUTED_VALUE"""),216.0)</f>
        <v>216</v>
      </c>
      <c r="C199" s="2">
        <f>IFERROR(__xludf.DUMMYFUNCTION("""COMPUTED_VALUE"""),218.0)</f>
        <v>218</v>
      </c>
      <c r="D199" s="2">
        <f>IFERROR(__xludf.DUMMYFUNCTION("""COMPUTED_VALUE"""),214.0)</f>
        <v>214</v>
      </c>
      <c r="E199" s="2">
        <f>IFERROR(__xludf.DUMMYFUNCTION("""COMPUTED_VALUE"""),214.0)</f>
        <v>214</v>
      </c>
      <c r="F199" s="2">
        <f>IFERROR(__xludf.DUMMYFUNCTION("""COMPUTED_VALUE"""),1.33679E7)</f>
        <v>13367900</v>
      </c>
      <c r="G199" s="2">
        <f t="shared" si="1"/>
        <v>4</v>
      </c>
    </row>
    <row r="200" ht="15.75" customHeight="1">
      <c r="A200" s="1">
        <f>IFERROR(__xludf.DUMMYFUNCTION("""COMPUTED_VALUE"""),44126.66666666667)</f>
        <v>44126.66667</v>
      </c>
      <c r="B200" s="2">
        <f>IFERROR(__xludf.DUMMYFUNCTION("""COMPUTED_VALUE"""),212.0)</f>
        <v>212</v>
      </c>
      <c r="C200" s="2">
        <f>IFERROR(__xludf.DUMMYFUNCTION("""COMPUTED_VALUE"""),216.0)</f>
        <v>216</v>
      </c>
      <c r="D200" s="2">
        <f>IFERROR(__xludf.DUMMYFUNCTION("""COMPUTED_VALUE"""),210.0)</f>
        <v>210</v>
      </c>
      <c r="E200" s="2">
        <f>IFERROR(__xludf.DUMMYFUNCTION("""COMPUTED_VALUE"""),212.0)</f>
        <v>212</v>
      </c>
      <c r="F200" s="2">
        <f>IFERROR(__xludf.DUMMYFUNCTION("""COMPUTED_VALUE"""),7822500.0)</f>
        <v>7822500</v>
      </c>
      <c r="G200" s="2">
        <f t="shared" si="1"/>
        <v>6</v>
      </c>
    </row>
    <row r="201" ht="15.75" customHeight="1">
      <c r="A201" s="1">
        <f>IFERROR(__xludf.DUMMYFUNCTION("""COMPUTED_VALUE"""),44127.66666666667)</f>
        <v>44127.66667</v>
      </c>
      <c r="B201" s="2">
        <f>IFERROR(__xludf.DUMMYFUNCTION("""COMPUTED_VALUE"""),214.0)</f>
        <v>214</v>
      </c>
      <c r="C201" s="2">
        <f>IFERROR(__xludf.DUMMYFUNCTION("""COMPUTED_VALUE"""),216.0)</f>
        <v>216</v>
      </c>
      <c r="D201" s="2">
        <f>IFERROR(__xludf.DUMMYFUNCTION("""COMPUTED_VALUE"""),212.0)</f>
        <v>212</v>
      </c>
      <c r="E201" s="2">
        <f>IFERROR(__xludf.DUMMYFUNCTION("""COMPUTED_VALUE"""),214.0)</f>
        <v>214</v>
      </c>
      <c r="F201" s="2">
        <f>IFERROR(__xludf.DUMMYFUNCTION("""COMPUTED_VALUE"""),8286800.0)</f>
        <v>8286800</v>
      </c>
      <c r="G201" s="2">
        <f t="shared" si="1"/>
        <v>4</v>
      </c>
    </row>
    <row r="202" ht="15.75" customHeight="1">
      <c r="A202" s="1">
        <f>IFERROR(__xludf.DUMMYFUNCTION("""COMPUTED_VALUE"""),44130.66666666667)</f>
        <v>44130.66667</v>
      </c>
      <c r="B202" s="2">
        <f>IFERROR(__xludf.DUMMYFUNCTION("""COMPUTED_VALUE"""),210.0)</f>
        <v>210</v>
      </c>
      <c r="C202" s="2">
        <f>IFERROR(__xludf.DUMMYFUNCTION("""COMPUTED_VALUE"""),216.0)</f>
        <v>216</v>
      </c>
      <c r="D202" s="2">
        <f>IFERROR(__xludf.DUMMYFUNCTION("""COMPUTED_VALUE"""),210.0)</f>
        <v>210</v>
      </c>
      <c r="E202" s="2">
        <f>IFERROR(__xludf.DUMMYFUNCTION("""COMPUTED_VALUE"""),214.0)</f>
        <v>214</v>
      </c>
      <c r="F202" s="2">
        <f>IFERROR(__xludf.DUMMYFUNCTION("""COMPUTED_VALUE"""),9674000.0)</f>
        <v>9674000</v>
      </c>
      <c r="G202" s="2">
        <f t="shared" si="1"/>
        <v>6</v>
      </c>
    </row>
    <row r="203" ht="15.75" customHeight="1">
      <c r="A203" s="1">
        <f>IFERROR(__xludf.DUMMYFUNCTION("""COMPUTED_VALUE"""),44131.66666666667)</f>
        <v>44131.66667</v>
      </c>
      <c r="B203" s="2">
        <f>IFERROR(__xludf.DUMMYFUNCTION("""COMPUTED_VALUE"""),214.0)</f>
        <v>214</v>
      </c>
      <c r="C203" s="2">
        <f>IFERROR(__xludf.DUMMYFUNCTION("""COMPUTED_VALUE"""),214.0)</f>
        <v>214</v>
      </c>
      <c r="D203" s="2">
        <f>IFERROR(__xludf.DUMMYFUNCTION("""COMPUTED_VALUE"""),210.0)</f>
        <v>210</v>
      </c>
      <c r="E203" s="2">
        <f>IFERROR(__xludf.DUMMYFUNCTION("""COMPUTED_VALUE"""),212.0)</f>
        <v>212</v>
      </c>
      <c r="F203" s="2">
        <f>IFERROR(__xludf.DUMMYFUNCTION("""COMPUTED_VALUE"""),1.15316E7)</f>
        <v>11531600</v>
      </c>
      <c r="G203" s="2">
        <f t="shared" si="1"/>
        <v>4</v>
      </c>
    </row>
    <row r="204" ht="15.75" customHeight="1">
      <c r="A204" s="1">
        <f>IFERROR(__xludf.DUMMYFUNCTION("""COMPUTED_VALUE"""),44137.66666666667)</f>
        <v>44137.66667</v>
      </c>
      <c r="B204" s="2">
        <f>IFERROR(__xludf.DUMMYFUNCTION("""COMPUTED_VALUE"""),210.0)</f>
        <v>210</v>
      </c>
      <c r="C204" s="2">
        <f>IFERROR(__xludf.DUMMYFUNCTION("""COMPUTED_VALUE"""),212.0)</f>
        <v>212</v>
      </c>
      <c r="D204" s="2">
        <f>IFERROR(__xludf.DUMMYFUNCTION("""COMPUTED_VALUE"""),206.0)</f>
        <v>206</v>
      </c>
      <c r="E204" s="2">
        <f>IFERROR(__xludf.DUMMYFUNCTION("""COMPUTED_VALUE"""),208.0)</f>
        <v>208</v>
      </c>
      <c r="F204" s="2">
        <f>IFERROR(__xludf.DUMMYFUNCTION("""COMPUTED_VALUE"""),1.12093E7)</f>
        <v>11209300</v>
      </c>
      <c r="G204" s="2">
        <f t="shared" si="1"/>
        <v>6</v>
      </c>
    </row>
    <row r="205" ht="15.75" customHeight="1">
      <c r="A205" s="1">
        <f>IFERROR(__xludf.DUMMYFUNCTION("""COMPUTED_VALUE"""),44138.66666666667)</f>
        <v>44138.66667</v>
      </c>
      <c r="B205" s="2">
        <f>IFERROR(__xludf.DUMMYFUNCTION("""COMPUTED_VALUE"""),212.0)</f>
        <v>212</v>
      </c>
      <c r="C205" s="2">
        <f>IFERROR(__xludf.DUMMYFUNCTION("""COMPUTED_VALUE"""),214.0)</f>
        <v>214</v>
      </c>
      <c r="D205" s="2">
        <f>IFERROR(__xludf.DUMMYFUNCTION("""COMPUTED_VALUE"""),208.0)</f>
        <v>208</v>
      </c>
      <c r="E205" s="2">
        <f>IFERROR(__xludf.DUMMYFUNCTION("""COMPUTED_VALUE"""),210.0)</f>
        <v>210</v>
      </c>
      <c r="F205" s="2">
        <f>IFERROR(__xludf.DUMMYFUNCTION("""COMPUTED_VALUE"""),1.9823E7)</f>
        <v>19823000</v>
      </c>
      <c r="G205" s="2">
        <f t="shared" si="1"/>
        <v>6</v>
      </c>
    </row>
    <row r="206" ht="15.75" customHeight="1">
      <c r="A206" s="1">
        <f>IFERROR(__xludf.DUMMYFUNCTION("""COMPUTED_VALUE"""),44139.66666666667)</f>
        <v>44139.66667</v>
      </c>
      <c r="B206" s="2">
        <f>IFERROR(__xludf.DUMMYFUNCTION("""COMPUTED_VALUE"""),212.0)</f>
        <v>212</v>
      </c>
      <c r="C206" s="2">
        <f>IFERROR(__xludf.DUMMYFUNCTION("""COMPUTED_VALUE"""),214.0)</f>
        <v>214</v>
      </c>
      <c r="D206" s="2">
        <f>IFERROR(__xludf.DUMMYFUNCTION("""COMPUTED_VALUE"""),208.0)</f>
        <v>208</v>
      </c>
      <c r="E206" s="2">
        <f>IFERROR(__xludf.DUMMYFUNCTION("""COMPUTED_VALUE"""),208.0)</f>
        <v>208</v>
      </c>
      <c r="F206" s="2">
        <f>IFERROR(__xludf.DUMMYFUNCTION("""COMPUTED_VALUE"""),1.58694E7)</f>
        <v>15869400</v>
      </c>
      <c r="G206" s="2">
        <f t="shared" si="1"/>
        <v>6</v>
      </c>
    </row>
    <row r="207" ht="15.75" customHeight="1">
      <c r="A207" s="1">
        <f>IFERROR(__xludf.DUMMYFUNCTION("""COMPUTED_VALUE"""),44140.66666666667)</f>
        <v>44140.66667</v>
      </c>
      <c r="B207" s="2">
        <f>IFERROR(__xludf.DUMMYFUNCTION("""COMPUTED_VALUE"""),210.0)</f>
        <v>210</v>
      </c>
      <c r="C207" s="2">
        <f>IFERROR(__xludf.DUMMYFUNCTION("""COMPUTED_VALUE"""),218.0)</f>
        <v>218</v>
      </c>
      <c r="D207" s="2">
        <f>IFERROR(__xludf.DUMMYFUNCTION("""COMPUTED_VALUE"""),208.0)</f>
        <v>208</v>
      </c>
      <c r="E207" s="2">
        <f>IFERROR(__xludf.DUMMYFUNCTION("""COMPUTED_VALUE"""),214.0)</f>
        <v>214</v>
      </c>
      <c r="F207" s="2">
        <f>IFERROR(__xludf.DUMMYFUNCTION("""COMPUTED_VALUE"""),3.8711E7)</f>
        <v>38711000</v>
      </c>
      <c r="G207" s="2">
        <f t="shared" si="1"/>
        <v>10</v>
      </c>
    </row>
    <row r="208" ht="15.75" customHeight="1">
      <c r="A208" s="1">
        <f>IFERROR(__xludf.DUMMYFUNCTION("""COMPUTED_VALUE"""),44141.66666666667)</f>
        <v>44141.66667</v>
      </c>
      <c r="B208" s="2">
        <f>IFERROR(__xludf.DUMMYFUNCTION("""COMPUTED_VALUE"""),216.0)</f>
        <v>216</v>
      </c>
      <c r="C208" s="2">
        <f>IFERROR(__xludf.DUMMYFUNCTION("""COMPUTED_VALUE"""),218.0)</f>
        <v>218</v>
      </c>
      <c r="D208" s="2">
        <f>IFERROR(__xludf.DUMMYFUNCTION("""COMPUTED_VALUE"""),212.0)</f>
        <v>212</v>
      </c>
      <c r="E208" s="2">
        <f>IFERROR(__xludf.DUMMYFUNCTION("""COMPUTED_VALUE"""),214.0)</f>
        <v>214</v>
      </c>
      <c r="F208" s="2">
        <f>IFERROR(__xludf.DUMMYFUNCTION("""COMPUTED_VALUE"""),1.06815E7)</f>
        <v>10681500</v>
      </c>
      <c r="G208" s="2">
        <f t="shared" si="1"/>
        <v>6</v>
      </c>
    </row>
    <row r="209" ht="15.75" customHeight="1">
      <c r="A209" s="1">
        <f>IFERROR(__xludf.DUMMYFUNCTION("""COMPUTED_VALUE"""),44144.66666666667)</f>
        <v>44144.66667</v>
      </c>
      <c r="B209" s="2">
        <f>IFERROR(__xludf.DUMMYFUNCTION("""COMPUTED_VALUE"""),216.0)</f>
        <v>216</v>
      </c>
      <c r="C209" s="2">
        <f>IFERROR(__xludf.DUMMYFUNCTION("""COMPUTED_VALUE"""),224.0)</f>
        <v>224</v>
      </c>
      <c r="D209" s="2">
        <f>IFERROR(__xludf.DUMMYFUNCTION("""COMPUTED_VALUE"""),216.0)</f>
        <v>216</v>
      </c>
      <c r="E209" s="2">
        <f>IFERROR(__xludf.DUMMYFUNCTION("""COMPUTED_VALUE"""),220.0)</f>
        <v>220</v>
      </c>
      <c r="F209" s="2">
        <f>IFERROR(__xludf.DUMMYFUNCTION("""COMPUTED_VALUE"""),5.75553E7)</f>
        <v>57555300</v>
      </c>
      <c r="G209" s="2">
        <f t="shared" si="1"/>
        <v>10</v>
      </c>
    </row>
    <row r="210" ht="15.75" customHeight="1">
      <c r="A210" s="1">
        <f>IFERROR(__xludf.DUMMYFUNCTION("""COMPUTED_VALUE"""),44145.66666666667)</f>
        <v>44145.66667</v>
      </c>
      <c r="B210" s="2">
        <f>IFERROR(__xludf.DUMMYFUNCTION("""COMPUTED_VALUE"""),226.0)</f>
        <v>226</v>
      </c>
      <c r="C210" s="2">
        <f>IFERROR(__xludf.DUMMYFUNCTION("""COMPUTED_VALUE"""),238.0)</f>
        <v>238</v>
      </c>
      <c r="D210" s="2">
        <f>IFERROR(__xludf.DUMMYFUNCTION("""COMPUTED_VALUE"""),226.0)</f>
        <v>226</v>
      </c>
      <c r="E210" s="2">
        <f>IFERROR(__xludf.DUMMYFUNCTION("""COMPUTED_VALUE"""),234.0)</f>
        <v>234</v>
      </c>
      <c r="F210" s="2">
        <f>IFERROR(__xludf.DUMMYFUNCTION("""COMPUTED_VALUE"""),9.82046E7)</f>
        <v>98204600</v>
      </c>
      <c r="G210" s="2">
        <f t="shared" si="1"/>
        <v>18</v>
      </c>
    </row>
    <row r="211" ht="15.75" customHeight="1">
      <c r="A211" s="1">
        <f>IFERROR(__xludf.DUMMYFUNCTION("""COMPUTED_VALUE"""),44146.66666666667)</f>
        <v>44146.66667</v>
      </c>
      <c r="B211" s="2">
        <f>IFERROR(__xludf.DUMMYFUNCTION("""COMPUTED_VALUE"""),240.0)</f>
        <v>240</v>
      </c>
      <c r="C211" s="2">
        <f>IFERROR(__xludf.DUMMYFUNCTION("""COMPUTED_VALUE"""),240.0)</f>
        <v>240</v>
      </c>
      <c r="D211" s="2">
        <f>IFERROR(__xludf.DUMMYFUNCTION("""COMPUTED_VALUE"""),232.0)</f>
        <v>232</v>
      </c>
      <c r="E211" s="2">
        <f>IFERROR(__xludf.DUMMYFUNCTION("""COMPUTED_VALUE"""),234.0)</f>
        <v>234</v>
      </c>
      <c r="F211" s="2">
        <f>IFERROR(__xludf.DUMMYFUNCTION("""COMPUTED_VALUE"""),6.04442E7)</f>
        <v>60444200</v>
      </c>
      <c r="G211" s="2">
        <f t="shared" si="1"/>
        <v>8</v>
      </c>
    </row>
    <row r="212" ht="15.75" customHeight="1">
      <c r="A212" s="1">
        <f>IFERROR(__xludf.DUMMYFUNCTION("""COMPUTED_VALUE"""),44147.66666666667)</f>
        <v>44147.66667</v>
      </c>
      <c r="B212" s="2">
        <f>IFERROR(__xludf.DUMMYFUNCTION("""COMPUTED_VALUE"""),236.0)</f>
        <v>236</v>
      </c>
      <c r="C212" s="2">
        <f>IFERROR(__xludf.DUMMYFUNCTION("""COMPUTED_VALUE"""),236.0)</f>
        <v>236</v>
      </c>
      <c r="D212" s="2">
        <f>IFERROR(__xludf.DUMMYFUNCTION("""COMPUTED_VALUE"""),228.0)</f>
        <v>228</v>
      </c>
      <c r="E212" s="2">
        <f>IFERROR(__xludf.DUMMYFUNCTION("""COMPUTED_VALUE"""),228.0)</f>
        <v>228</v>
      </c>
      <c r="F212" s="2">
        <f>IFERROR(__xludf.DUMMYFUNCTION("""COMPUTED_VALUE"""),3.83101E7)</f>
        <v>38310100</v>
      </c>
      <c r="G212" s="2">
        <f t="shared" si="1"/>
        <v>8</v>
      </c>
    </row>
    <row r="213" ht="15.75" customHeight="1">
      <c r="A213" s="1">
        <f>IFERROR(__xludf.DUMMYFUNCTION("""COMPUTED_VALUE"""),44148.66666666667)</f>
        <v>44148.66667</v>
      </c>
      <c r="B213" s="2">
        <f>IFERROR(__xludf.DUMMYFUNCTION("""COMPUTED_VALUE"""),228.0)</f>
        <v>228</v>
      </c>
      <c r="C213" s="2">
        <f>IFERROR(__xludf.DUMMYFUNCTION("""COMPUTED_VALUE"""),230.0)</f>
        <v>230</v>
      </c>
      <c r="D213" s="2">
        <f>IFERROR(__xludf.DUMMYFUNCTION("""COMPUTED_VALUE"""),224.0)</f>
        <v>224</v>
      </c>
      <c r="E213" s="2">
        <f>IFERROR(__xludf.DUMMYFUNCTION("""COMPUTED_VALUE"""),230.0)</f>
        <v>230</v>
      </c>
      <c r="F213" s="2">
        <f>IFERROR(__xludf.DUMMYFUNCTION("""COMPUTED_VALUE"""),2.22896E7)</f>
        <v>22289600</v>
      </c>
      <c r="G213" s="2">
        <f t="shared" si="1"/>
        <v>6</v>
      </c>
    </row>
    <row r="214" ht="15.75" customHeight="1">
      <c r="A214" s="1">
        <f>IFERROR(__xludf.DUMMYFUNCTION("""COMPUTED_VALUE"""),44151.66666666667)</f>
        <v>44151.66667</v>
      </c>
      <c r="B214" s="2">
        <f>IFERROR(__xludf.DUMMYFUNCTION("""COMPUTED_VALUE"""),228.0)</f>
        <v>228</v>
      </c>
      <c r="C214" s="2">
        <f>IFERROR(__xludf.DUMMYFUNCTION("""COMPUTED_VALUE"""),238.0)</f>
        <v>238</v>
      </c>
      <c r="D214" s="2">
        <f>IFERROR(__xludf.DUMMYFUNCTION("""COMPUTED_VALUE"""),228.0)</f>
        <v>228</v>
      </c>
      <c r="E214" s="2">
        <f>IFERROR(__xludf.DUMMYFUNCTION("""COMPUTED_VALUE"""),236.0)</f>
        <v>236</v>
      </c>
      <c r="F214" s="2">
        <f>IFERROR(__xludf.DUMMYFUNCTION("""COMPUTED_VALUE"""),5.80011E7)</f>
        <v>58001100</v>
      </c>
      <c r="G214" s="2">
        <f t="shared" si="1"/>
        <v>10</v>
      </c>
    </row>
    <row r="215" ht="15.75" customHeight="1">
      <c r="A215" s="1">
        <f>IFERROR(__xludf.DUMMYFUNCTION("""COMPUTED_VALUE"""),44152.66666666667)</f>
        <v>44152.66667</v>
      </c>
      <c r="B215" s="2">
        <f>IFERROR(__xludf.DUMMYFUNCTION("""COMPUTED_VALUE"""),240.0)</f>
        <v>240</v>
      </c>
      <c r="C215" s="2">
        <f>IFERROR(__xludf.DUMMYFUNCTION("""COMPUTED_VALUE"""),246.0)</f>
        <v>246</v>
      </c>
      <c r="D215" s="2">
        <f>IFERROR(__xludf.DUMMYFUNCTION("""COMPUTED_VALUE"""),236.0)</f>
        <v>236</v>
      </c>
      <c r="E215" s="2">
        <f>IFERROR(__xludf.DUMMYFUNCTION("""COMPUTED_VALUE"""),236.0)</f>
        <v>236</v>
      </c>
      <c r="F215" s="2">
        <f>IFERROR(__xludf.DUMMYFUNCTION("""COMPUTED_VALUE"""),6.78029E7)</f>
        <v>67802900</v>
      </c>
      <c r="G215" s="2">
        <f t="shared" si="1"/>
        <v>10</v>
      </c>
    </row>
    <row r="216" ht="15.75" customHeight="1">
      <c r="A216" s="1">
        <f>IFERROR(__xludf.DUMMYFUNCTION("""COMPUTED_VALUE"""),44153.66666666667)</f>
        <v>44153.66667</v>
      </c>
      <c r="B216" s="2">
        <f>IFERROR(__xludf.DUMMYFUNCTION("""COMPUTED_VALUE"""),236.0)</f>
        <v>236</v>
      </c>
      <c r="C216" s="2">
        <f>IFERROR(__xludf.DUMMYFUNCTION("""COMPUTED_VALUE"""),244.0)</f>
        <v>244</v>
      </c>
      <c r="D216" s="2">
        <f>IFERROR(__xludf.DUMMYFUNCTION("""COMPUTED_VALUE"""),236.0)</f>
        <v>236</v>
      </c>
      <c r="E216" s="2">
        <f>IFERROR(__xludf.DUMMYFUNCTION("""COMPUTED_VALUE"""),240.0)</f>
        <v>240</v>
      </c>
      <c r="F216" s="2">
        <f>IFERROR(__xludf.DUMMYFUNCTION("""COMPUTED_VALUE"""),5.3564E7)</f>
        <v>53564000</v>
      </c>
      <c r="G216" s="2">
        <f t="shared" si="1"/>
        <v>8</v>
      </c>
    </row>
    <row r="217" ht="15.75" customHeight="1">
      <c r="A217" s="1">
        <f>IFERROR(__xludf.DUMMYFUNCTION("""COMPUTED_VALUE"""),44154.66666666667)</f>
        <v>44154.66667</v>
      </c>
      <c r="B217" s="2">
        <f>IFERROR(__xludf.DUMMYFUNCTION("""COMPUTED_VALUE"""),240.0)</f>
        <v>240</v>
      </c>
      <c r="C217" s="2">
        <f>IFERROR(__xludf.DUMMYFUNCTION("""COMPUTED_VALUE"""),246.0)</f>
        <v>246</v>
      </c>
      <c r="D217" s="2">
        <f>IFERROR(__xludf.DUMMYFUNCTION("""COMPUTED_VALUE"""),238.0)</f>
        <v>238</v>
      </c>
      <c r="E217" s="2">
        <f>IFERROR(__xludf.DUMMYFUNCTION("""COMPUTED_VALUE"""),244.0)</f>
        <v>244</v>
      </c>
      <c r="F217" s="2">
        <f>IFERROR(__xludf.DUMMYFUNCTION("""COMPUTED_VALUE"""),5.86332E7)</f>
        <v>58633200</v>
      </c>
      <c r="G217" s="2">
        <f t="shared" si="1"/>
        <v>8</v>
      </c>
    </row>
    <row r="218" ht="15.75" customHeight="1">
      <c r="A218" s="1">
        <f>IFERROR(__xludf.DUMMYFUNCTION("""COMPUTED_VALUE"""),44155.66666666667)</f>
        <v>44155.66667</v>
      </c>
      <c r="B218" s="2">
        <f>IFERROR(__xludf.DUMMYFUNCTION("""COMPUTED_VALUE"""),244.0)</f>
        <v>244</v>
      </c>
      <c r="C218" s="2">
        <f>IFERROR(__xludf.DUMMYFUNCTION("""COMPUTED_VALUE"""),264.0)</f>
        <v>264</v>
      </c>
      <c r="D218" s="2">
        <f>IFERROR(__xludf.DUMMYFUNCTION("""COMPUTED_VALUE"""),242.0)</f>
        <v>242</v>
      </c>
      <c r="E218" s="2">
        <f>IFERROR(__xludf.DUMMYFUNCTION("""COMPUTED_VALUE"""),254.0)</f>
        <v>254</v>
      </c>
      <c r="F218" s="2">
        <f>IFERROR(__xludf.DUMMYFUNCTION("""COMPUTED_VALUE"""),2.446151E8)</f>
        <v>244615100</v>
      </c>
      <c r="G218" s="2">
        <f t="shared" si="1"/>
        <v>22</v>
      </c>
    </row>
    <row r="219" ht="15.75" customHeight="1">
      <c r="A219" s="1">
        <f>IFERROR(__xludf.DUMMYFUNCTION("""COMPUTED_VALUE"""),44158.66666666667)</f>
        <v>44158.66667</v>
      </c>
      <c r="B219" s="2">
        <f>IFERROR(__xludf.DUMMYFUNCTION("""COMPUTED_VALUE"""),258.0)</f>
        <v>258</v>
      </c>
      <c r="C219" s="2">
        <f>IFERROR(__xludf.DUMMYFUNCTION("""COMPUTED_VALUE"""),268.0)</f>
        <v>268</v>
      </c>
      <c r="D219" s="2">
        <f>IFERROR(__xludf.DUMMYFUNCTION("""COMPUTED_VALUE"""),254.0)</f>
        <v>254</v>
      </c>
      <c r="E219" s="2">
        <f>IFERROR(__xludf.DUMMYFUNCTION("""COMPUTED_VALUE"""),266.0)</f>
        <v>266</v>
      </c>
      <c r="F219" s="2">
        <f>IFERROR(__xludf.DUMMYFUNCTION("""COMPUTED_VALUE"""),1.611445E8)</f>
        <v>161144500</v>
      </c>
      <c r="G219" s="2">
        <f t="shared" si="1"/>
        <v>14</v>
      </c>
    </row>
    <row r="220" ht="15.75" customHeight="1">
      <c r="A220" s="1">
        <f>IFERROR(__xludf.DUMMYFUNCTION("""COMPUTED_VALUE"""),44159.66666666667)</f>
        <v>44159.66667</v>
      </c>
      <c r="B220" s="2">
        <f>IFERROR(__xludf.DUMMYFUNCTION("""COMPUTED_VALUE"""),272.0)</f>
        <v>272</v>
      </c>
      <c r="C220" s="2">
        <f>IFERROR(__xludf.DUMMYFUNCTION("""COMPUTED_VALUE"""),306.0)</f>
        <v>306</v>
      </c>
      <c r="D220" s="2">
        <f>IFERROR(__xludf.DUMMYFUNCTION("""COMPUTED_VALUE"""),268.0)</f>
        <v>268</v>
      </c>
      <c r="E220" s="2">
        <f>IFERROR(__xludf.DUMMYFUNCTION("""COMPUTED_VALUE"""),306.0)</f>
        <v>306</v>
      </c>
      <c r="F220" s="2">
        <f>IFERROR(__xludf.DUMMYFUNCTION("""COMPUTED_VALUE"""),3.657472E8)</f>
        <v>365747200</v>
      </c>
      <c r="G220" s="2">
        <f t="shared" si="1"/>
        <v>40</v>
      </c>
    </row>
    <row r="221" ht="15.75" customHeight="1">
      <c r="A221" s="1">
        <f>IFERROR(__xludf.DUMMYFUNCTION("""COMPUTED_VALUE"""),44160.66666666667)</f>
        <v>44160.66667</v>
      </c>
      <c r="B221" s="2">
        <f>IFERROR(__xludf.DUMMYFUNCTION("""COMPUTED_VALUE"""),320.0)</f>
        <v>320</v>
      </c>
      <c r="C221" s="2">
        <f>IFERROR(__xludf.DUMMYFUNCTION("""COMPUTED_VALUE"""),328.0)</f>
        <v>328</v>
      </c>
      <c r="D221" s="2">
        <f>IFERROR(__xludf.DUMMYFUNCTION("""COMPUTED_VALUE"""),288.0)</f>
        <v>288</v>
      </c>
      <c r="E221" s="2">
        <f>IFERROR(__xludf.DUMMYFUNCTION("""COMPUTED_VALUE"""),296.0)</f>
        <v>296</v>
      </c>
      <c r="F221" s="2">
        <f>IFERROR(__xludf.DUMMYFUNCTION("""COMPUTED_VALUE"""),3.811532E8)</f>
        <v>381153200</v>
      </c>
      <c r="G221" s="2">
        <f t="shared" si="1"/>
        <v>40</v>
      </c>
    </row>
    <row r="222" ht="15.75" customHeight="1">
      <c r="A222" s="1">
        <f>IFERROR(__xludf.DUMMYFUNCTION("""COMPUTED_VALUE"""),44161.66666666667)</f>
        <v>44161.66667</v>
      </c>
      <c r="B222" s="2">
        <f>IFERROR(__xludf.DUMMYFUNCTION("""COMPUTED_VALUE"""),300.0)</f>
        <v>300</v>
      </c>
      <c r="C222" s="2">
        <f>IFERROR(__xludf.DUMMYFUNCTION("""COMPUTED_VALUE"""),314.0)</f>
        <v>314</v>
      </c>
      <c r="D222" s="2">
        <f>IFERROR(__xludf.DUMMYFUNCTION("""COMPUTED_VALUE"""),290.0)</f>
        <v>290</v>
      </c>
      <c r="E222" s="2">
        <f>IFERROR(__xludf.DUMMYFUNCTION("""COMPUTED_VALUE"""),306.0)</f>
        <v>306</v>
      </c>
      <c r="F222" s="2">
        <f>IFERROR(__xludf.DUMMYFUNCTION("""COMPUTED_VALUE"""),1.860065E8)</f>
        <v>186006500</v>
      </c>
      <c r="G222" s="2">
        <f t="shared" si="1"/>
        <v>24</v>
      </c>
    </row>
    <row r="223" ht="15.75" customHeight="1">
      <c r="A223" s="1">
        <f>IFERROR(__xludf.DUMMYFUNCTION("""COMPUTED_VALUE"""),44162.66666666667)</f>
        <v>44162.66667</v>
      </c>
      <c r="B223" s="2">
        <f>IFERROR(__xludf.DUMMYFUNCTION("""COMPUTED_VALUE"""),308.0)</f>
        <v>308</v>
      </c>
      <c r="C223" s="2">
        <f>IFERROR(__xludf.DUMMYFUNCTION("""COMPUTED_VALUE"""),312.0)</f>
        <v>312</v>
      </c>
      <c r="D223" s="2">
        <f>IFERROR(__xludf.DUMMYFUNCTION("""COMPUTED_VALUE"""),298.0)</f>
        <v>298</v>
      </c>
      <c r="E223" s="2">
        <f>IFERROR(__xludf.DUMMYFUNCTION("""COMPUTED_VALUE"""),300.0)</f>
        <v>300</v>
      </c>
      <c r="F223" s="2">
        <f>IFERROR(__xludf.DUMMYFUNCTION("""COMPUTED_VALUE"""),1.037604E8)</f>
        <v>103760400</v>
      </c>
      <c r="G223" s="2">
        <f t="shared" si="1"/>
        <v>14</v>
      </c>
    </row>
    <row r="224" ht="15.75" customHeight="1">
      <c r="A224" s="1">
        <f>IFERROR(__xludf.DUMMYFUNCTION("""COMPUTED_VALUE"""),44165.66666666667)</f>
        <v>44165.66667</v>
      </c>
      <c r="B224" s="2">
        <f>IFERROR(__xludf.DUMMYFUNCTION("""COMPUTED_VALUE"""),304.0)</f>
        <v>304</v>
      </c>
      <c r="C224" s="2">
        <f>IFERROR(__xludf.DUMMYFUNCTION("""COMPUTED_VALUE"""),324.0)</f>
        <v>324</v>
      </c>
      <c r="D224" s="2">
        <f>IFERROR(__xludf.DUMMYFUNCTION("""COMPUTED_VALUE"""),282.0)</f>
        <v>282</v>
      </c>
      <c r="E224" s="2">
        <f>IFERROR(__xludf.DUMMYFUNCTION("""COMPUTED_VALUE"""),294.0)</f>
        <v>294</v>
      </c>
      <c r="F224" s="2">
        <f>IFERROR(__xludf.DUMMYFUNCTION("""COMPUTED_VALUE"""),4.084046E8)</f>
        <v>408404600</v>
      </c>
      <c r="G224" s="2">
        <f t="shared" si="1"/>
        <v>42</v>
      </c>
    </row>
    <row r="225" ht="15.75" customHeight="1">
      <c r="A225" s="1">
        <f>IFERROR(__xludf.DUMMYFUNCTION("""COMPUTED_VALUE"""),44166.66666666667)</f>
        <v>44166.66667</v>
      </c>
      <c r="B225" s="2">
        <f>IFERROR(__xludf.DUMMYFUNCTION("""COMPUTED_VALUE"""),298.0)</f>
        <v>298</v>
      </c>
      <c r="C225" s="2">
        <f>IFERROR(__xludf.DUMMYFUNCTION("""COMPUTED_VALUE"""),330.0)</f>
        <v>330</v>
      </c>
      <c r="D225" s="2">
        <f>IFERROR(__xludf.DUMMYFUNCTION("""COMPUTED_VALUE"""),294.0)</f>
        <v>294</v>
      </c>
      <c r="E225" s="2">
        <f>IFERROR(__xludf.DUMMYFUNCTION("""COMPUTED_VALUE"""),314.0)</f>
        <v>314</v>
      </c>
      <c r="F225" s="2">
        <f>IFERROR(__xludf.DUMMYFUNCTION("""COMPUTED_VALUE"""),4.984893E8)</f>
        <v>498489300</v>
      </c>
      <c r="G225" s="2">
        <f t="shared" si="1"/>
        <v>36</v>
      </c>
    </row>
    <row r="226" ht="15.75" customHeight="1">
      <c r="A226" s="1">
        <f>IFERROR(__xludf.DUMMYFUNCTION("""COMPUTED_VALUE"""),44167.66666666667)</f>
        <v>44167.66667</v>
      </c>
      <c r="B226" s="2">
        <f>IFERROR(__xludf.DUMMYFUNCTION("""COMPUTED_VALUE"""),320.0)</f>
        <v>320</v>
      </c>
      <c r="C226" s="2">
        <f>IFERROR(__xludf.DUMMYFUNCTION("""COMPUTED_VALUE"""),350.0)</f>
        <v>350</v>
      </c>
      <c r="D226" s="2">
        <f>IFERROR(__xludf.DUMMYFUNCTION("""COMPUTED_VALUE"""),314.0)</f>
        <v>314</v>
      </c>
      <c r="E226" s="2">
        <f>IFERROR(__xludf.DUMMYFUNCTION("""COMPUTED_VALUE"""),342.0)</f>
        <v>342</v>
      </c>
      <c r="F226" s="2">
        <f>IFERROR(__xludf.DUMMYFUNCTION("""COMPUTED_VALUE"""),6.622791E8)</f>
        <v>662279100</v>
      </c>
      <c r="G226" s="2">
        <f t="shared" si="1"/>
        <v>36</v>
      </c>
    </row>
    <row r="227" ht="15.75" customHeight="1">
      <c r="A227" s="1">
        <f>IFERROR(__xludf.DUMMYFUNCTION("""COMPUTED_VALUE"""),44168.66666666667)</f>
        <v>44168.66667</v>
      </c>
      <c r="B227" s="2">
        <f>IFERROR(__xludf.DUMMYFUNCTION("""COMPUTED_VALUE"""),350.0)</f>
        <v>350</v>
      </c>
      <c r="C227" s="2">
        <f>IFERROR(__xludf.DUMMYFUNCTION("""COMPUTED_VALUE"""),364.0)</f>
        <v>364</v>
      </c>
      <c r="D227" s="2">
        <f>IFERROR(__xludf.DUMMYFUNCTION("""COMPUTED_VALUE"""),338.0)</f>
        <v>338</v>
      </c>
      <c r="E227" s="2">
        <f>IFERROR(__xludf.DUMMYFUNCTION("""COMPUTED_VALUE"""),364.0)</f>
        <v>364</v>
      </c>
      <c r="F227" s="2">
        <f>IFERROR(__xludf.DUMMYFUNCTION("""COMPUTED_VALUE"""),5.415604E8)</f>
        <v>541560400</v>
      </c>
      <c r="G227" s="2">
        <f t="shared" si="1"/>
        <v>26</v>
      </c>
    </row>
    <row r="228" ht="15.75" customHeight="1">
      <c r="A228" s="1">
        <f>IFERROR(__xludf.DUMMYFUNCTION("""COMPUTED_VALUE"""),44169.66666666667)</f>
        <v>44169.66667</v>
      </c>
      <c r="B228" s="2">
        <f>IFERROR(__xludf.DUMMYFUNCTION("""COMPUTED_VALUE"""),370.0)</f>
        <v>370</v>
      </c>
      <c r="C228" s="2">
        <f>IFERROR(__xludf.DUMMYFUNCTION("""COMPUTED_VALUE"""),382.0)</f>
        <v>382</v>
      </c>
      <c r="D228" s="2">
        <f>IFERROR(__xludf.DUMMYFUNCTION("""COMPUTED_VALUE"""),358.0)</f>
        <v>358</v>
      </c>
      <c r="E228" s="2">
        <f>IFERROR(__xludf.DUMMYFUNCTION("""COMPUTED_VALUE"""),370.0)</f>
        <v>370</v>
      </c>
      <c r="F228" s="2">
        <f>IFERROR(__xludf.DUMMYFUNCTION("""COMPUTED_VALUE"""),5.47353E8)</f>
        <v>547353000</v>
      </c>
      <c r="G228" s="2">
        <f t="shared" si="1"/>
        <v>24</v>
      </c>
    </row>
    <row r="229" ht="15.75" customHeight="1">
      <c r="A229" s="1">
        <f>IFERROR(__xludf.DUMMYFUNCTION("""COMPUTED_VALUE"""),44172.66666666667)</f>
        <v>44172.66667</v>
      </c>
      <c r="B229" s="2">
        <f>IFERROR(__xludf.DUMMYFUNCTION("""COMPUTED_VALUE"""),374.0)</f>
        <v>374</v>
      </c>
      <c r="C229" s="2">
        <f>IFERROR(__xludf.DUMMYFUNCTION("""COMPUTED_VALUE"""),378.0)</f>
        <v>378</v>
      </c>
      <c r="D229" s="2">
        <f>IFERROR(__xludf.DUMMYFUNCTION("""COMPUTED_VALUE"""),366.0)</f>
        <v>366</v>
      </c>
      <c r="E229" s="2">
        <f>IFERROR(__xludf.DUMMYFUNCTION("""COMPUTED_VALUE"""),368.0)</f>
        <v>368</v>
      </c>
      <c r="F229" s="2">
        <f>IFERROR(__xludf.DUMMYFUNCTION("""COMPUTED_VALUE"""),1.627109E8)</f>
        <v>162710900</v>
      </c>
      <c r="G229" s="2">
        <f t="shared" si="1"/>
        <v>12</v>
      </c>
    </row>
    <row r="230" ht="15.75" customHeight="1">
      <c r="A230" s="1">
        <f>IFERROR(__xludf.DUMMYFUNCTION("""COMPUTED_VALUE"""),44173.66666666667)</f>
        <v>44173.66667</v>
      </c>
      <c r="B230" s="2">
        <f>IFERROR(__xludf.DUMMYFUNCTION("""COMPUTED_VALUE"""),368.0)</f>
        <v>368</v>
      </c>
      <c r="C230" s="2">
        <f>IFERROR(__xludf.DUMMYFUNCTION("""COMPUTED_VALUE"""),372.0)</f>
        <v>372</v>
      </c>
      <c r="D230" s="2">
        <f>IFERROR(__xludf.DUMMYFUNCTION("""COMPUTED_VALUE"""),360.0)</f>
        <v>360</v>
      </c>
      <c r="E230" s="2">
        <f>IFERROR(__xludf.DUMMYFUNCTION("""COMPUTED_VALUE"""),364.0)</f>
        <v>364</v>
      </c>
      <c r="F230" s="2">
        <f>IFERROR(__xludf.DUMMYFUNCTION("""COMPUTED_VALUE"""),1.367238E8)</f>
        <v>136723800</v>
      </c>
      <c r="G230" s="2">
        <f t="shared" si="1"/>
        <v>12</v>
      </c>
    </row>
    <row r="231" ht="15.75" customHeight="1">
      <c r="A231" s="1">
        <f>IFERROR(__xludf.DUMMYFUNCTION("""COMPUTED_VALUE"""),44175.66666666667)</f>
        <v>44175.66667</v>
      </c>
      <c r="B231" s="2">
        <f>IFERROR(__xludf.DUMMYFUNCTION("""COMPUTED_VALUE"""),364.0)</f>
        <v>364</v>
      </c>
      <c r="C231" s="2">
        <f>IFERROR(__xludf.DUMMYFUNCTION("""COMPUTED_VALUE"""),374.0)</f>
        <v>374</v>
      </c>
      <c r="D231" s="2">
        <f>IFERROR(__xludf.DUMMYFUNCTION("""COMPUTED_VALUE"""),362.0)</f>
        <v>362</v>
      </c>
      <c r="E231" s="2">
        <f>IFERROR(__xludf.DUMMYFUNCTION("""COMPUTED_VALUE"""),364.0)</f>
        <v>364</v>
      </c>
      <c r="F231" s="2">
        <f>IFERROR(__xludf.DUMMYFUNCTION("""COMPUTED_VALUE"""),1.847781E8)</f>
        <v>184778100</v>
      </c>
      <c r="G231" s="2">
        <f t="shared" si="1"/>
        <v>12</v>
      </c>
    </row>
    <row r="232" ht="15.75" customHeight="1">
      <c r="A232" s="1">
        <f>IFERROR(__xludf.DUMMYFUNCTION("""COMPUTED_VALUE"""),44176.66666666667)</f>
        <v>44176.66667</v>
      </c>
      <c r="B232" s="2">
        <f>IFERROR(__xludf.DUMMYFUNCTION("""COMPUTED_VALUE"""),366.0)</f>
        <v>366</v>
      </c>
      <c r="C232" s="2">
        <f>IFERROR(__xludf.DUMMYFUNCTION("""COMPUTED_VALUE"""),378.0)</f>
        <v>378</v>
      </c>
      <c r="D232" s="2">
        <f>IFERROR(__xludf.DUMMYFUNCTION("""COMPUTED_VALUE"""),366.0)</f>
        <v>366</v>
      </c>
      <c r="E232" s="2">
        <f>IFERROR(__xludf.DUMMYFUNCTION("""COMPUTED_VALUE"""),368.0)</f>
        <v>368</v>
      </c>
      <c r="F232" s="2">
        <f>IFERROR(__xludf.DUMMYFUNCTION("""COMPUTED_VALUE"""),1.710754E8)</f>
        <v>171075400</v>
      </c>
      <c r="G232" s="2">
        <f t="shared" si="1"/>
        <v>14</v>
      </c>
    </row>
    <row r="233" ht="15.75" customHeight="1">
      <c r="A233" s="1">
        <f>IFERROR(__xludf.DUMMYFUNCTION("""COMPUTED_VALUE"""),44179.66666666667)</f>
        <v>44179.66667</v>
      </c>
      <c r="B233" s="2">
        <f>IFERROR(__xludf.DUMMYFUNCTION("""COMPUTED_VALUE"""),370.0)</f>
        <v>370</v>
      </c>
      <c r="C233" s="2">
        <f>IFERROR(__xludf.DUMMYFUNCTION("""COMPUTED_VALUE"""),374.0)</f>
        <v>374</v>
      </c>
      <c r="D233" s="2">
        <f>IFERROR(__xludf.DUMMYFUNCTION("""COMPUTED_VALUE"""),366.0)</f>
        <v>366</v>
      </c>
      <c r="E233" s="2">
        <f>IFERROR(__xludf.DUMMYFUNCTION("""COMPUTED_VALUE"""),370.0)</f>
        <v>370</v>
      </c>
      <c r="F233" s="2">
        <f>IFERROR(__xludf.DUMMYFUNCTION("""COMPUTED_VALUE"""),1.031014E8)</f>
        <v>103101400</v>
      </c>
      <c r="G233" s="2">
        <f t="shared" si="1"/>
        <v>8</v>
      </c>
    </row>
    <row r="234" ht="15.75" customHeight="1">
      <c r="A234" s="1">
        <f>IFERROR(__xludf.DUMMYFUNCTION("""COMPUTED_VALUE"""),44180.66666666667)</f>
        <v>44180.66667</v>
      </c>
      <c r="B234" s="2">
        <f>IFERROR(__xludf.DUMMYFUNCTION("""COMPUTED_VALUE"""),374.0)</f>
        <v>374</v>
      </c>
      <c r="C234" s="2">
        <f>IFERROR(__xludf.DUMMYFUNCTION("""COMPUTED_VALUE"""),374.0)</f>
        <v>374</v>
      </c>
      <c r="D234" s="2">
        <f>IFERROR(__xludf.DUMMYFUNCTION("""COMPUTED_VALUE"""),360.0)</f>
        <v>360</v>
      </c>
      <c r="E234" s="2">
        <f>IFERROR(__xludf.DUMMYFUNCTION("""COMPUTED_VALUE"""),366.0)</f>
        <v>366</v>
      </c>
      <c r="F234" s="2">
        <f>IFERROR(__xludf.DUMMYFUNCTION("""COMPUTED_VALUE"""),7.56787E7)</f>
        <v>75678700</v>
      </c>
      <c r="G234" s="2">
        <f t="shared" si="1"/>
        <v>14</v>
      </c>
    </row>
    <row r="235" ht="15.75" customHeight="1">
      <c r="A235" s="1">
        <f>IFERROR(__xludf.DUMMYFUNCTION("""COMPUTED_VALUE"""),44181.66666666667)</f>
        <v>44181.66667</v>
      </c>
      <c r="B235" s="2">
        <f>IFERROR(__xludf.DUMMYFUNCTION("""COMPUTED_VALUE"""),372.0)</f>
        <v>372</v>
      </c>
      <c r="C235" s="2">
        <f>IFERROR(__xludf.DUMMYFUNCTION("""COMPUTED_VALUE"""),378.0)</f>
        <v>378</v>
      </c>
      <c r="D235" s="2">
        <f>IFERROR(__xludf.DUMMYFUNCTION("""COMPUTED_VALUE"""),364.0)</f>
        <v>364</v>
      </c>
      <c r="E235" s="2">
        <f>IFERROR(__xludf.DUMMYFUNCTION("""COMPUTED_VALUE"""),366.0)</f>
        <v>366</v>
      </c>
      <c r="F235" s="2">
        <f>IFERROR(__xludf.DUMMYFUNCTION("""COMPUTED_VALUE"""),1.449177E8)</f>
        <v>144917700</v>
      </c>
      <c r="G235" s="2">
        <f t="shared" si="1"/>
        <v>14</v>
      </c>
    </row>
    <row r="236" ht="15.75" customHeight="1">
      <c r="A236" s="1">
        <f>IFERROR(__xludf.DUMMYFUNCTION("""COMPUTED_VALUE"""),44182.66666666667)</f>
        <v>44182.66667</v>
      </c>
      <c r="B236" s="2">
        <f>IFERROR(__xludf.DUMMYFUNCTION("""COMPUTED_VALUE"""),368.0)</f>
        <v>368</v>
      </c>
      <c r="C236" s="2">
        <f>IFERROR(__xludf.DUMMYFUNCTION("""COMPUTED_VALUE"""),384.0)</f>
        <v>384</v>
      </c>
      <c r="D236" s="2">
        <f>IFERROR(__xludf.DUMMYFUNCTION("""COMPUTED_VALUE"""),368.0)</f>
        <v>368</v>
      </c>
      <c r="E236" s="2">
        <f>IFERROR(__xludf.DUMMYFUNCTION("""COMPUTED_VALUE"""),376.0)</f>
        <v>376</v>
      </c>
      <c r="F236" s="2">
        <f>IFERROR(__xludf.DUMMYFUNCTION("""COMPUTED_VALUE"""),3.257187E8)</f>
        <v>325718700</v>
      </c>
      <c r="G236" s="2">
        <f t="shared" si="1"/>
        <v>18</v>
      </c>
    </row>
    <row r="237" ht="15.75" customHeight="1">
      <c r="A237" s="1">
        <f>IFERROR(__xludf.DUMMYFUNCTION("""COMPUTED_VALUE"""),44183.66666666667)</f>
        <v>44183.66667</v>
      </c>
      <c r="B237" s="2">
        <f>IFERROR(__xludf.DUMMYFUNCTION("""COMPUTED_VALUE"""),374.0)</f>
        <v>374</v>
      </c>
      <c r="C237" s="2">
        <f>IFERROR(__xludf.DUMMYFUNCTION("""COMPUTED_VALUE"""),392.0)</f>
        <v>392</v>
      </c>
      <c r="D237" s="2">
        <f>IFERROR(__xludf.DUMMYFUNCTION("""COMPUTED_VALUE"""),374.0)</f>
        <v>374</v>
      </c>
      <c r="E237" s="2">
        <f>IFERROR(__xludf.DUMMYFUNCTION("""COMPUTED_VALUE"""),380.0)</f>
        <v>380</v>
      </c>
      <c r="F237" s="2">
        <f>IFERROR(__xludf.DUMMYFUNCTION("""COMPUTED_VALUE"""),2.423967E8)</f>
        <v>242396700</v>
      </c>
      <c r="G237" s="2">
        <f t="shared" si="1"/>
        <v>18</v>
      </c>
    </row>
    <row r="238" ht="15.75" customHeight="1">
      <c r="A238" s="1">
        <f>IFERROR(__xludf.DUMMYFUNCTION("""COMPUTED_VALUE"""),44186.66666666667)</f>
        <v>44186.66667</v>
      </c>
      <c r="B238" s="2">
        <f>IFERROR(__xludf.DUMMYFUNCTION("""COMPUTED_VALUE"""),382.0)</f>
        <v>382</v>
      </c>
      <c r="C238" s="2">
        <f>IFERROR(__xludf.DUMMYFUNCTION("""COMPUTED_VALUE"""),388.0)</f>
        <v>388</v>
      </c>
      <c r="D238" s="2">
        <f>IFERROR(__xludf.DUMMYFUNCTION("""COMPUTED_VALUE"""),378.0)</f>
        <v>378</v>
      </c>
      <c r="E238" s="2">
        <f>IFERROR(__xludf.DUMMYFUNCTION("""COMPUTED_VALUE"""),380.0)</f>
        <v>380</v>
      </c>
      <c r="F238" s="2">
        <f>IFERROR(__xludf.DUMMYFUNCTION("""COMPUTED_VALUE"""),1.493167E8)</f>
        <v>149316700</v>
      </c>
      <c r="G238" s="2">
        <f t="shared" si="1"/>
        <v>10</v>
      </c>
    </row>
    <row r="239" ht="15.75" customHeight="1">
      <c r="A239" s="1">
        <f>IFERROR(__xludf.DUMMYFUNCTION("""COMPUTED_VALUE"""),44187.66666666667)</f>
        <v>44187.66667</v>
      </c>
      <c r="B239" s="2">
        <f>IFERROR(__xludf.DUMMYFUNCTION("""COMPUTED_VALUE"""),382.0)</f>
        <v>382</v>
      </c>
      <c r="C239" s="2">
        <f>IFERROR(__xludf.DUMMYFUNCTION("""COMPUTED_VALUE"""),382.0)</f>
        <v>382</v>
      </c>
      <c r="D239" s="2">
        <f>IFERROR(__xludf.DUMMYFUNCTION("""COMPUTED_VALUE"""),354.0)</f>
        <v>354</v>
      </c>
      <c r="E239" s="2">
        <f>IFERROR(__xludf.DUMMYFUNCTION("""COMPUTED_VALUE"""),370.0)</f>
        <v>370</v>
      </c>
      <c r="F239" s="2">
        <f>IFERROR(__xludf.DUMMYFUNCTION("""COMPUTED_VALUE"""),3.145704E8)</f>
        <v>314570400</v>
      </c>
      <c r="G239" s="2">
        <f t="shared" si="1"/>
        <v>28</v>
      </c>
    </row>
    <row r="240" ht="15.75" customHeight="1">
      <c r="A240" s="1">
        <f>IFERROR(__xludf.DUMMYFUNCTION("""COMPUTED_VALUE"""),44188.66666666667)</f>
        <v>44188.66667</v>
      </c>
      <c r="B240" s="2">
        <f>IFERROR(__xludf.DUMMYFUNCTION("""COMPUTED_VALUE"""),374.0)</f>
        <v>374</v>
      </c>
      <c r="C240" s="2">
        <f>IFERROR(__xludf.DUMMYFUNCTION("""COMPUTED_VALUE"""),380.0)</f>
        <v>380</v>
      </c>
      <c r="D240" s="2">
        <f>IFERROR(__xludf.DUMMYFUNCTION("""COMPUTED_VALUE"""),350.0)</f>
        <v>350</v>
      </c>
      <c r="E240" s="2">
        <f>IFERROR(__xludf.DUMMYFUNCTION("""COMPUTED_VALUE"""),360.0)</f>
        <v>360</v>
      </c>
      <c r="F240" s="2">
        <f>IFERROR(__xludf.DUMMYFUNCTION("""COMPUTED_VALUE"""),2.051698E8)</f>
        <v>205169800</v>
      </c>
      <c r="G240" s="2">
        <f t="shared" si="1"/>
        <v>30</v>
      </c>
    </row>
    <row r="241" ht="15.75" customHeight="1">
      <c r="A241" s="1">
        <f>IFERROR(__xludf.DUMMYFUNCTION("""COMPUTED_VALUE"""),44193.66666666667)</f>
        <v>44193.66667</v>
      </c>
      <c r="B241" s="2">
        <f>IFERROR(__xludf.DUMMYFUNCTION("""COMPUTED_VALUE"""),358.0)</f>
        <v>358</v>
      </c>
      <c r="C241" s="2">
        <f>IFERROR(__xludf.DUMMYFUNCTION("""COMPUTED_VALUE"""),370.0)</f>
        <v>370</v>
      </c>
      <c r="D241" s="2">
        <f>IFERROR(__xludf.DUMMYFUNCTION("""COMPUTED_VALUE"""),350.0)</f>
        <v>350</v>
      </c>
      <c r="E241" s="2">
        <f>IFERROR(__xludf.DUMMYFUNCTION("""COMPUTED_VALUE"""),360.0)</f>
        <v>360</v>
      </c>
      <c r="F241" s="2">
        <f>IFERROR(__xludf.DUMMYFUNCTION("""COMPUTED_VALUE"""),7.48727E7)</f>
        <v>74872700</v>
      </c>
      <c r="G241" s="2">
        <f t="shared" si="1"/>
        <v>20</v>
      </c>
    </row>
    <row r="242" ht="15.75" customHeight="1">
      <c r="A242" s="1">
        <f>IFERROR(__xludf.DUMMYFUNCTION("""COMPUTED_VALUE"""),44194.66666666667)</f>
        <v>44194.66667</v>
      </c>
      <c r="B242" s="2">
        <f>IFERROR(__xludf.DUMMYFUNCTION("""COMPUTED_VALUE"""),360.0)</f>
        <v>360</v>
      </c>
      <c r="C242" s="2">
        <f>IFERROR(__xludf.DUMMYFUNCTION("""COMPUTED_VALUE"""),374.0)</f>
        <v>374</v>
      </c>
      <c r="D242" s="2">
        <f>IFERROR(__xludf.DUMMYFUNCTION("""COMPUTED_VALUE"""),360.0)</f>
        <v>360</v>
      </c>
      <c r="E242" s="2">
        <f>IFERROR(__xludf.DUMMYFUNCTION("""COMPUTED_VALUE"""),362.0)</f>
        <v>362</v>
      </c>
      <c r="F242" s="2">
        <f>IFERROR(__xludf.DUMMYFUNCTION("""COMPUTED_VALUE"""),1.267126E8)</f>
        <v>126712600</v>
      </c>
      <c r="G242" s="2">
        <f t="shared" si="1"/>
        <v>14</v>
      </c>
    </row>
    <row r="243" ht="15.75" customHeight="1">
      <c r="A243" s="1">
        <f>IFERROR(__xludf.DUMMYFUNCTION("""COMPUTED_VALUE"""),44195.66666666667)</f>
        <v>44195.66667</v>
      </c>
      <c r="B243" s="2">
        <f>IFERROR(__xludf.DUMMYFUNCTION("""COMPUTED_VALUE"""),364.0)</f>
        <v>364</v>
      </c>
      <c r="C243" s="2">
        <f>IFERROR(__xludf.DUMMYFUNCTION("""COMPUTED_VALUE"""),368.0)</f>
        <v>368</v>
      </c>
      <c r="D243" s="2">
        <f>IFERROR(__xludf.DUMMYFUNCTION("""COMPUTED_VALUE"""),352.0)</f>
        <v>352</v>
      </c>
      <c r="E243" s="2">
        <f>IFERROR(__xludf.DUMMYFUNCTION("""COMPUTED_VALUE"""),352.0)</f>
        <v>352</v>
      </c>
      <c r="F243" s="2">
        <f>IFERROR(__xludf.DUMMYFUNCTION("""COMPUTED_VALUE"""),8.43337E7)</f>
        <v>84333700</v>
      </c>
      <c r="G243" s="2">
        <f t="shared" si="1"/>
        <v>16</v>
      </c>
    </row>
    <row r="244" ht="15.75" customHeight="1">
      <c r="A244" s="1">
        <f>IFERROR(__xludf.DUMMYFUNCTION("""COMPUTED_VALUE"""),44200.625)</f>
        <v>44200.625</v>
      </c>
      <c r="B244" s="2">
        <f>IFERROR(__xludf.DUMMYFUNCTION("""COMPUTED_VALUE"""),350.0)</f>
        <v>350</v>
      </c>
      <c r="C244" s="2">
        <f>IFERROR(__xludf.DUMMYFUNCTION("""COMPUTED_VALUE"""),360.0)</f>
        <v>360</v>
      </c>
      <c r="D244" s="2">
        <f>IFERROR(__xludf.DUMMYFUNCTION("""COMPUTED_VALUE"""),332.0)</f>
        <v>332</v>
      </c>
      <c r="E244" s="2">
        <f>IFERROR(__xludf.DUMMYFUNCTION("""COMPUTED_VALUE"""),360.0)</f>
        <v>360</v>
      </c>
      <c r="F244" s="2">
        <f>IFERROR(__xludf.DUMMYFUNCTION("""COMPUTED_VALUE"""),1.039222E8)</f>
        <v>103922200</v>
      </c>
      <c r="G244" s="2">
        <f t="shared" si="1"/>
        <v>28</v>
      </c>
    </row>
    <row r="245" ht="15.75" customHeight="1">
      <c r="A245" s="1">
        <f>IFERROR(__xludf.DUMMYFUNCTION("""COMPUTED_VALUE"""),44201.625)</f>
        <v>44201.625</v>
      </c>
      <c r="B245" s="2">
        <f>IFERROR(__xludf.DUMMYFUNCTION("""COMPUTED_VALUE"""),360.0)</f>
        <v>360</v>
      </c>
      <c r="C245" s="2">
        <f>IFERROR(__xludf.DUMMYFUNCTION("""COMPUTED_VALUE"""),360.0)</f>
        <v>360</v>
      </c>
      <c r="D245" s="2">
        <f>IFERROR(__xludf.DUMMYFUNCTION("""COMPUTED_VALUE"""),352.0)</f>
        <v>352</v>
      </c>
      <c r="E245" s="2">
        <f>IFERROR(__xludf.DUMMYFUNCTION("""COMPUTED_VALUE"""),354.0)</f>
        <v>354</v>
      </c>
      <c r="F245" s="2">
        <f>IFERROR(__xludf.DUMMYFUNCTION("""COMPUTED_VALUE"""),5.2593E7)</f>
        <v>52593000</v>
      </c>
      <c r="G245" s="2">
        <f t="shared" si="1"/>
        <v>8</v>
      </c>
    </row>
    <row r="246" ht="15.75" customHeight="1">
      <c r="A246" s="1">
        <f>IFERROR(__xludf.DUMMYFUNCTION("""COMPUTED_VALUE"""),44202.625)</f>
        <v>44202.625</v>
      </c>
      <c r="B246" s="2">
        <f>IFERROR(__xludf.DUMMYFUNCTION("""COMPUTED_VALUE"""),362.0)</f>
        <v>362</v>
      </c>
      <c r="C246" s="2">
        <f>IFERROR(__xludf.DUMMYFUNCTION("""COMPUTED_VALUE"""),378.0)</f>
        <v>378</v>
      </c>
      <c r="D246" s="2">
        <f>IFERROR(__xludf.DUMMYFUNCTION("""COMPUTED_VALUE"""),358.0)</f>
        <v>358</v>
      </c>
      <c r="E246" s="2">
        <f>IFERROR(__xludf.DUMMYFUNCTION("""COMPUTED_VALUE"""),366.0)</f>
        <v>366</v>
      </c>
      <c r="F246" s="2">
        <f>IFERROR(__xludf.DUMMYFUNCTION("""COMPUTED_VALUE"""),2.036807E8)</f>
        <v>203680700</v>
      </c>
      <c r="G246" s="2">
        <f t="shared" si="1"/>
        <v>24</v>
      </c>
    </row>
    <row r="247" ht="15.75" customHeight="1">
      <c r="A247" s="1">
        <f>IFERROR(__xludf.DUMMYFUNCTION("""COMPUTED_VALUE"""),44203.66666666667)</f>
        <v>44203.66667</v>
      </c>
      <c r="B247" s="2">
        <f>IFERROR(__xludf.DUMMYFUNCTION("""COMPUTED_VALUE"""),370.0)</f>
        <v>370</v>
      </c>
      <c r="C247" s="2">
        <f>IFERROR(__xludf.DUMMYFUNCTION("""COMPUTED_VALUE"""),400.0)</f>
        <v>400</v>
      </c>
      <c r="D247" s="2">
        <f>IFERROR(__xludf.DUMMYFUNCTION("""COMPUTED_VALUE"""),368.0)</f>
        <v>368</v>
      </c>
      <c r="E247" s="2">
        <f>IFERROR(__xludf.DUMMYFUNCTION("""COMPUTED_VALUE"""),388.0)</f>
        <v>388</v>
      </c>
      <c r="F247" s="2">
        <f>IFERROR(__xludf.DUMMYFUNCTION("""COMPUTED_VALUE"""),5.490265E8)</f>
        <v>549026500</v>
      </c>
      <c r="G247" s="2">
        <f t="shared" si="1"/>
        <v>34</v>
      </c>
    </row>
    <row r="248" ht="15.75" customHeight="1">
      <c r="A248" s="1">
        <f>IFERROR(__xludf.DUMMYFUNCTION("""COMPUTED_VALUE"""),44204.66666666667)</f>
        <v>44204.66667</v>
      </c>
      <c r="B248" s="2">
        <f>IFERROR(__xludf.DUMMYFUNCTION("""COMPUTED_VALUE"""),392.0)</f>
        <v>392</v>
      </c>
      <c r="C248" s="2">
        <f>IFERROR(__xludf.DUMMYFUNCTION("""COMPUTED_VALUE"""),434.0)</f>
        <v>434</v>
      </c>
      <c r="D248" s="2">
        <f>IFERROR(__xludf.DUMMYFUNCTION("""COMPUTED_VALUE"""),388.0)</f>
        <v>388</v>
      </c>
      <c r="E248" s="2">
        <f>IFERROR(__xludf.DUMMYFUNCTION("""COMPUTED_VALUE"""),424.0)</f>
        <v>424</v>
      </c>
      <c r="F248" s="2">
        <f>IFERROR(__xludf.DUMMYFUNCTION("""COMPUTED_VALUE"""),1.0318777E9)</f>
        <v>1031877700</v>
      </c>
      <c r="G248" s="2">
        <f t="shared" si="1"/>
        <v>46</v>
      </c>
    </row>
    <row r="249" ht="15.75" customHeight="1">
      <c r="A249" s="1">
        <f>IFERROR(__xludf.DUMMYFUNCTION("""COMPUTED_VALUE"""),44207.625)</f>
        <v>44207.625</v>
      </c>
      <c r="B249" s="2">
        <f>IFERROR(__xludf.DUMMYFUNCTION("""COMPUTED_VALUE"""),424.0)</f>
        <v>424</v>
      </c>
      <c r="C249" s="2">
        <f>IFERROR(__xludf.DUMMYFUNCTION("""COMPUTED_VALUE"""),505.0)</f>
        <v>505</v>
      </c>
      <c r="D249" s="2">
        <f>IFERROR(__xludf.DUMMYFUNCTION("""COMPUTED_VALUE"""),424.0)</f>
        <v>424</v>
      </c>
      <c r="E249" s="2">
        <f>IFERROR(__xludf.DUMMYFUNCTION("""COMPUTED_VALUE"""),484.0)</f>
        <v>484</v>
      </c>
      <c r="F249" s="2">
        <f>IFERROR(__xludf.DUMMYFUNCTION("""COMPUTED_VALUE"""),1.0755301E9)</f>
        <v>1075530100</v>
      </c>
      <c r="G249" s="2">
        <f t="shared" si="1"/>
        <v>81</v>
      </c>
    </row>
    <row r="250" ht="15.75" customHeight="1">
      <c r="A250" s="1">
        <f>IFERROR(__xludf.DUMMYFUNCTION("""COMPUTED_VALUE"""),44208.625)</f>
        <v>44208.625</v>
      </c>
      <c r="B250" s="2">
        <f>IFERROR(__xludf.DUMMYFUNCTION("""COMPUTED_VALUE"""),490.0)</f>
        <v>490</v>
      </c>
      <c r="C250" s="2">
        <f>IFERROR(__xludf.DUMMYFUNCTION("""COMPUTED_VALUE"""),492.0)</f>
        <v>492</v>
      </c>
      <c r="D250" s="2">
        <f>IFERROR(__xludf.DUMMYFUNCTION("""COMPUTED_VALUE"""),464.0)</f>
        <v>464</v>
      </c>
      <c r="E250" s="2">
        <f>IFERROR(__xludf.DUMMYFUNCTION("""COMPUTED_VALUE"""),472.0)</f>
        <v>472</v>
      </c>
      <c r="F250" s="2">
        <f>IFERROR(__xludf.DUMMYFUNCTION("""COMPUTED_VALUE"""),3.700625E8)</f>
        <v>370062500</v>
      </c>
      <c r="G250" s="2">
        <f t="shared" si="1"/>
        <v>28</v>
      </c>
    </row>
    <row r="251" ht="15.75" customHeight="1">
      <c r="A251" s="1">
        <f>IFERROR(__xludf.DUMMYFUNCTION("""COMPUTED_VALUE"""),44209.625)</f>
        <v>44209.625</v>
      </c>
      <c r="B251" s="2">
        <f>IFERROR(__xludf.DUMMYFUNCTION("""COMPUTED_VALUE"""),482.0)</f>
        <v>482</v>
      </c>
      <c r="C251" s="2">
        <f>IFERROR(__xludf.DUMMYFUNCTION("""COMPUTED_VALUE"""),525.0)</f>
        <v>525</v>
      </c>
      <c r="D251" s="2">
        <f>IFERROR(__xludf.DUMMYFUNCTION("""COMPUTED_VALUE"""),480.0)</f>
        <v>480</v>
      </c>
      <c r="E251" s="2">
        <f>IFERROR(__xludf.DUMMYFUNCTION("""COMPUTED_VALUE"""),498.0)</f>
        <v>498</v>
      </c>
      <c r="F251" s="2">
        <f>IFERROR(__xludf.DUMMYFUNCTION("""COMPUTED_VALUE"""),8.286875E8)</f>
        <v>828687500</v>
      </c>
      <c r="G251" s="2">
        <f t="shared" si="1"/>
        <v>53</v>
      </c>
    </row>
    <row r="252" ht="15.75" customHeight="1">
      <c r="A252" s="1">
        <f>IFERROR(__xludf.DUMMYFUNCTION("""COMPUTED_VALUE"""),44210.625)</f>
        <v>44210.625</v>
      </c>
      <c r="B252" s="2">
        <f>IFERROR(__xludf.DUMMYFUNCTION("""COMPUTED_VALUE"""),498.0)</f>
        <v>498</v>
      </c>
      <c r="C252" s="2">
        <f>IFERROR(__xludf.DUMMYFUNCTION("""COMPUTED_VALUE"""),500.0)</f>
        <v>500</v>
      </c>
      <c r="D252" s="2">
        <f>IFERROR(__xludf.DUMMYFUNCTION("""COMPUTED_VALUE"""),482.0)</f>
        <v>482</v>
      </c>
      <c r="E252" s="2">
        <f>IFERROR(__xludf.DUMMYFUNCTION("""COMPUTED_VALUE"""),484.0)</f>
        <v>484</v>
      </c>
      <c r="F252" s="2">
        <f>IFERROR(__xludf.DUMMYFUNCTION("""COMPUTED_VALUE"""),2.575758E8)</f>
        <v>257575800</v>
      </c>
      <c r="G252" s="2">
        <f t="shared" si="1"/>
        <v>18</v>
      </c>
    </row>
    <row r="253" ht="15.75" customHeight="1">
      <c r="A253" s="1">
        <f>IFERROR(__xludf.DUMMYFUNCTION("""COMPUTED_VALUE"""),44211.625)</f>
        <v>44211.625</v>
      </c>
      <c r="B253" s="2">
        <f>IFERROR(__xludf.DUMMYFUNCTION("""COMPUTED_VALUE"""),494.0)</f>
        <v>494</v>
      </c>
      <c r="C253" s="2">
        <f>IFERROR(__xludf.DUMMYFUNCTION("""COMPUTED_VALUE"""),498.0)</f>
        <v>498</v>
      </c>
      <c r="D253" s="2">
        <f>IFERROR(__xludf.DUMMYFUNCTION("""COMPUTED_VALUE"""),466.0)</f>
        <v>466</v>
      </c>
      <c r="E253" s="2">
        <f>IFERROR(__xludf.DUMMYFUNCTION("""COMPUTED_VALUE"""),474.0)</f>
        <v>474</v>
      </c>
      <c r="F253" s="2">
        <f>IFERROR(__xludf.DUMMYFUNCTION("""COMPUTED_VALUE"""),2.016385E8)</f>
        <v>201638500</v>
      </c>
      <c r="G253" s="2">
        <f t="shared" si="1"/>
        <v>32</v>
      </c>
    </row>
    <row r="254" ht="15.75" customHeight="1">
      <c r="A254" s="1">
        <f>IFERROR(__xludf.DUMMYFUNCTION("""COMPUTED_VALUE"""),44214.625)</f>
        <v>44214.625</v>
      </c>
      <c r="B254" s="2">
        <f>IFERROR(__xludf.DUMMYFUNCTION("""COMPUTED_VALUE"""),470.0)</f>
        <v>470</v>
      </c>
      <c r="C254" s="2">
        <f>IFERROR(__xludf.DUMMYFUNCTION("""COMPUTED_VALUE"""),474.0)</f>
        <v>474</v>
      </c>
      <c r="D254" s="2">
        <f>IFERROR(__xludf.DUMMYFUNCTION("""COMPUTED_VALUE"""),442.0)</f>
        <v>442</v>
      </c>
      <c r="E254" s="2">
        <f>IFERROR(__xludf.DUMMYFUNCTION("""COMPUTED_VALUE"""),442.0)</f>
        <v>442</v>
      </c>
      <c r="F254" s="2">
        <f>IFERROR(__xludf.DUMMYFUNCTION("""COMPUTED_VALUE"""),2.522659E8)</f>
        <v>252265900</v>
      </c>
      <c r="G254" s="2">
        <f t="shared" si="1"/>
        <v>32</v>
      </c>
    </row>
    <row r="255" ht="15.75" customHeight="1">
      <c r="A255" s="1">
        <f>IFERROR(__xludf.DUMMYFUNCTION("""COMPUTED_VALUE"""),44215.625)</f>
        <v>44215.625</v>
      </c>
      <c r="B255" s="2">
        <f>IFERROR(__xludf.DUMMYFUNCTION("""COMPUTED_VALUE"""),430.0)</f>
        <v>430</v>
      </c>
      <c r="C255" s="2">
        <f>IFERROR(__xludf.DUMMYFUNCTION("""COMPUTED_VALUE"""),446.0)</f>
        <v>446</v>
      </c>
      <c r="D255" s="2">
        <f>IFERROR(__xludf.DUMMYFUNCTION("""COMPUTED_VALUE"""),412.0)</f>
        <v>412</v>
      </c>
      <c r="E255" s="2">
        <f>IFERROR(__xludf.DUMMYFUNCTION("""COMPUTED_VALUE"""),420.0)</f>
        <v>420</v>
      </c>
      <c r="F255" s="2">
        <f>IFERROR(__xludf.DUMMYFUNCTION("""COMPUTED_VALUE"""),2.66327E8)</f>
        <v>266327000</v>
      </c>
      <c r="G255" s="2">
        <f t="shared" si="1"/>
        <v>34</v>
      </c>
    </row>
    <row r="256" ht="15.75" customHeight="1">
      <c r="A256" s="1">
        <f>IFERROR(__xludf.DUMMYFUNCTION("""COMPUTED_VALUE"""),44216.625)</f>
        <v>44216.625</v>
      </c>
      <c r="B256" s="2">
        <f>IFERROR(__xludf.DUMMYFUNCTION("""COMPUTED_VALUE"""),416.0)</f>
        <v>416</v>
      </c>
      <c r="C256" s="2">
        <f>IFERROR(__xludf.DUMMYFUNCTION("""COMPUTED_VALUE"""),466.0)</f>
        <v>466</v>
      </c>
      <c r="D256" s="2">
        <f>IFERROR(__xludf.DUMMYFUNCTION("""COMPUTED_VALUE"""),416.0)</f>
        <v>416</v>
      </c>
      <c r="E256" s="2">
        <f>IFERROR(__xludf.DUMMYFUNCTION("""COMPUTED_VALUE"""),466.0)</f>
        <v>466</v>
      </c>
      <c r="F256" s="2">
        <f>IFERROR(__xludf.DUMMYFUNCTION("""COMPUTED_VALUE"""),3.163382E8)</f>
        <v>316338200</v>
      </c>
      <c r="G256" s="2">
        <f t="shared" si="1"/>
        <v>50</v>
      </c>
    </row>
    <row r="257" ht="15.75" customHeight="1">
      <c r="A257" s="1">
        <f>IFERROR(__xludf.DUMMYFUNCTION("""COMPUTED_VALUE"""),44217.625)</f>
        <v>44217.625</v>
      </c>
      <c r="B257" s="2">
        <f>IFERROR(__xludf.DUMMYFUNCTION("""COMPUTED_VALUE"""),474.0)</f>
        <v>474</v>
      </c>
      <c r="C257" s="2">
        <f>IFERROR(__xludf.DUMMYFUNCTION("""COMPUTED_VALUE"""),476.0)</f>
        <v>476</v>
      </c>
      <c r="D257" s="2">
        <f>IFERROR(__xludf.DUMMYFUNCTION("""COMPUTED_VALUE"""),444.0)</f>
        <v>444</v>
      </c>
      <c r="E257" s="2">
        <f>IFERROR(__xludf.DUMMYFUNCTION("""COMPUTED_VALUE"""),450.0)</f>
        <v>450</v>
      </c>
      <c r="F257" s="2">
        <f>IFERROR(__xludf.DUMMYFUNCTION("""COMPUTED_VALUE"""),2.071398E8)</f>
        <v>207139800</v>
      </c>
      <c r="G257" s="2">
        <f t="shared" si="1"/>
        <v>32</v>
      </c>
    </row>
    <row r="258" ht="15.75" customHeight="1">
      <c r="A258" s="1">
        <f>IFERROR(__xludf.DUMMYFUNCTION("""COMPUTED_VALUE"""),44218.625)</f>
        <v>44218.625</v>
      </c>
      <c r="B258" s="2">
        <f>IFERROR(__xludf.DUMMYFUNCTION("""COMPUTED_VALUE"""),450.0)</f>
        <v>450</v>
      </c>
      <c r="C258" s="2">
        <f>IFERROR(__xludf.DUMMYFUNCTION("""COMPUTED_VALUE"""),452.0)</f>
        <v>452</v>
      </c>
      <c r="D258" s="2">
        <f>IFERROR(__xludf.DUMMYFUNCTION("""COMPUTED_VALUE"""),420.0)</f>
        <v>420</v>
      </c>
      <c r="E258" s="2">
        <f>IFERROR(__xludf.DUMMYFUNCTION("""COMPUTED_VALUE"""),426.0)</f>
        <v>426</v>
      </c>
      <c r="F258" s="2">
        <f>IFERROR(__xludf.DUMMYFUNCTION("""COMPUTED_VALUE"""),1.540396E8)</f>
        <v>154039600</v>
      </c>
      <c r="G258" s="2">
        <f t="shared" si="1"/>
        <v>32</v>
      </c>
    </row>
    <row r="259" ht="15.75" customHeight="1">
      <c r="A259" s="1">
        <f>IFERROR(__xludf.DUMMYFUNCTION("""COMPUTED_VALUE"""),44221.625)</f>
        <v>44221.625</v>
      </c>
      <c r="B259" s="2">
        <f>IFERROR(__xludf.DUMMYFUNCTION("""COMPUTED_VALUE"""),420.0)</f>
        <v>420</v>
      </c>
      <c r="C259" s="2">
        <f>IFERROR(__xludf.DUMMYFUNCTION("""COMPUTED_VALUE"""),424.0)</f>
        <v>424</v>
      </c>
      <c r="D259" s="2">
        <f>IFERROR(__xludf.DUMMYFUNCTION("""COMPUTED_VALUE"""),400.0)</f>
        <v>400</v>
      </c>
      <c r="E259" s="2">
        <f>IFERROR(__xludf.DUMMYFUNCTION("""COMPUTED_VALUE"""),404.0)</f>
        <v>404</v>
      </c>
      <c r="F259" s="2">
        <f>IFERROR(__xludf.DUMMYFUNCTION("""COMPUTED_VALUE"""),1.621024E8)</f>
        <v>162102400</v>
      </c>
      <c r="G259" s="2">
        <f t="shared" si="1"/>
        <v>26</v>
      </c>
    </row>
    <row r="260" ht="15.75" customHeight="1">
      <c r="A260" s="1">
        <f>IFERROR(__xludf.DUMMYFUNCTION("""COMPUTED_VALUE"""),44222.625)</f>
        <v>44222.625</v>
      </c>
      <c r="B260" s="2">
        <f>IFERROR(__xludf.DUMMYFUNCTION("""COMPUTED_VALUE"""),406.0)</f>
        <v>406</v>
      </c>
      <c r="C260" s="2">
        <f>IFERROR(__xludf.DUMMYFUNCTION("""COMPUTED_VALUE"""),436.0)</f>
        <v>436</v>
      </c>
      <c r="D260" s="2">
        <f>IFERROR(__xludf.DUMMYFUNCTION("""COMPUTED_VALUE"""),380.0)</f>
        <v>380</v>
      </c>
      <c r="E260" s="2">
        <f>IFERROR(__xludf.DUMMYFUNCTION("""COMPUTED_VALUE"""),384.0)</f>
        <v>384</v>
      </c>
      <c r="F260" s="2">
        <f>IFERROR(__xludf.DUMMYFUNCTION("""COMPUTED_VALUE"""),3.555178E8)</f>
        <v>355517800</v>
      </c>
      <c r="G260" s="2">
        <f t="shared" si="1"/>
        <v>56</v>
      </c>
    </row>
    <row r="261" ht="15.75" customHeight="1">
      <c r="A261" s="1">
        <f>IFERROR(__xludf.DUMMYFUNCTION("""COMPUTED_VALUE"""),44223.625)</f>
        <v>44223.625</v>
      </c>
      <c r="B261" s="2">
        <f>IFERROR(__xludf.DUMMYFUNCTION("""COMPUTED_VALUE"""),386.0)</f>
        <v>386</v>
      </c>
      <c r="C261" s="2">
        <f>IFERROR(__xludf.DUMMYFUNCTION("""COMPUTED_VALUE"""),386.0)</f>
        <v>386</v>
      </c>
      <c r="D261" s="2">
        <f>IFERROR(__xludf.DUMMYFUNCTION("""COMPUTED_VALUE"""),362.0)</f>
        <v>362</v>
      </c>
      <c r="E261" s="2">
        <f>IFERROR(__xludf.DUMMYFUNCTION("""COMPUTED_VALUE"""),376.0)</f>
        <v>376</v>
      </c>
      <c r="F261" s="2">
        <f>IFERROR(__xludf.DUMMYFUNCTION("""COMPUTED_VALUE"""),3.954123E8)</f>
        <v>395412300</v>
      </c>
      <c r="G261" s="2">
        <f t="shared" si="1"/>
        <v>24</v>
      </c>
    </row>
    <row r="262" ht="15.75" customHeight="1">
      <c r="A262" s="1">
        <f>IFERROR(__xludf.DUMMYFUNCTION("""COMPUTED_VALUE"""),44224.625)</f>
        <v>44224.625</v>
      </c>
      <c r="B262" s="2">
        <f>IFERROR(__xludf.DUMMYFUNCTION("""COMPUTED_VALUE"""),374.0)</f>
        <v>374</v>
      </c>
      <c r="C262" s="2">
        <f>IFERROR(__xludf.DUMMYFUNCTION("""COMPUTED_VALUE"""),378.0)</f>
        <v>378</v>
      </c>
      <c r="D262" s="2">
        <f>IFERROR(__xludf.DUMMYFUNCTION("""COMPUTED_VALUE"""),350.0)</f>
        <v>350</v>
      </c>
      <c r="E262" s="2">
        <f>IFERROR(__xludf.DUMMYFUNCTION("""COMPUTED_VALUE"""),350.0)</f>
        <v>350</v>
      </c>
      <c r="F262" s="2">
        <f>IFERROR(__xludf.DUMMYFUNCTION("""COMPUTED_VALUE"""),2.529916E8)</f>
        <v>252991600</v>
      </c>
      <c r="G262" s="2">
        <f t="shared" si="1"/>
        <v>28</v>
      </c>
    </row>
    <row r="263" ht="15.75" customHeight="1">
      <c r="A263" s="1">
        <f>IFERROR(__xludf.DUMMYFUNCTION("""COMPUTED_VALUE"""),44225.625)</f>
        <v>44225.625</v>
      </c>
      <c r="B263" s="2">
        <f>IFERROR(__xludf.DUMMYFUNCTION("""COMPUTED_VALUE"""),352.0)</f>
        <v>352</v>
      </c>
      <c r="C263" s="2">
        <f>IFERROR(__xludf.DUMMYFUNCTION("""COMPUTED_VALUE"""),366.0)</f>
        <v>366</v>
      </c>
      <c r="D263" s="2">
        <f>IFERROR(__xludf.DUMMYFUNCTION("""COMPUTED_VALUE"""),334.0)</f>
        <v>334</v>
      </c>
      <c r="E263" s="2">
        <f>IFERROR(__xludf.DUMMYFUNCTION("""COMPUTED_VALUE"""),358.0)</f>
        <v>358</v>
      </c>
      <c r="F263" s="2">
        <f>IFERROR(__xludf.DUMMYFUNCTION("""COMPUTED_VALUE"""),3.440666E8)</f>
        <v>344066600</v>
      </c>
      <c r="G263" s="2">
        <f t="shared" si="1"/>
        <v>32</v>
      </c>
    </row>
    <row r="264" ht="15.75" customHeight="1">
      <c r="A264" s="1">
        <f>IFERROR(__xludf.DUMMYFUNCTION("""COMPUTED_VALUE"""),44228.625)</f>
        <v>44228.625</v>
      </c>
      <c r="B264" s="2">
        <f>IFERROR(__xludf.DUMMYFUNCTION("""COMPUTED_VALUE"""),360.0)</f>
        <v>360</v>
      </c>
      <c r="C264" s="2">
        <f>IFERROR(__xludf.DUMMYFUNCTION("""COMPUTED_VALUE"""),374.0)</f>
        <v>374</v>
      </c>
      <c r="D264" s="2">
        <f>IFERROR(__xludf.DUMMYFUNCTION("""COMPUTED_VALUE"""),340.0)</f>
        <v>340</v>
      </c>
      <c r="E264" s="2">
        <f>IFERROR(__xludf.DUMMYFUNCTION("""COMPUTED_VALUE"""),372.0)</f>
        <v>372</v>
      </c>
      <c r="F264" s="2">
        <f>IFERROR(__xludf.DUMMYFUNCTION("""COMPUTED_VALUE"""),3.298956E8)</f>
        <v>329895600</v>
      </c>
      <c r="G264" s="2">
        <f t="shared" si="1"/>
        <v>34</v>
      </c>
    </row>
    <row r="265" ht="15.75" customHeight="1">
      <c r="A265" s="1">
        <f>IFERROR(__xludf.DUMMYFUNCTION("""COMPUTED_VALUE"""),44229.625)</f>
        <v>44229.625</v>
      </c>
      <c r="B265" s="2">
        <f>IFERROR(__xludf.DUMMYFUNCTION("""COMPUTED_VALUE"""),380.0)</f>
        <v>380</v>
      </c>
      <c r="C265" s="2">
        <f>IFERROR(__xludf.DUMMYFUNCTION("""COMPUTED_VALUE"""),392.0)</f>
        <v>392</v>
      </c>
      <c r="D265" s="2">
        <f>IFERROR(__xludf.DUMMYFUNCTION("""COMPUTED_VALUE"""),362.0)</f>
        <v>362</v>
      </c>
      <c r="E265" s="2">
        <f>IFERROR(__xludf.DUMMYFUNCTION("""COMPUTED_VALUE"""),366.0)</f>
        <v>366</v>
      </c>
      <c r="F265" s="2">
        <f>IFERROR(__xludf.DUMMYFUNCTION("""COMPUTED_VALUE"""),5.120347E8)</f>
        <v>512034700</v>
      </c>
      <c r="G265" s="2">
        <f t="shared" si="1"/>
        <v>30</v>
      </c>
    </row>
    <row r="266" ht="15.75" customHeight="1">
      <c r="A266" s="1">
        <f>IFERROR(__xludf.DUMMYFUNCTION("""COMPUTED_VALUE"""),44230.625)</f>
        <v>44230.625</v>
      </c>
      <c r="B266" s="2">
        <f>IFERROR(__xludf.DUMMYFUNCTION("""COMPUTED_VALUE"""),376.0)</f>
        <v>376</v>
      </c>
      <c r="C266" s="2">
        <f>IFERROR(__xludf.DUMMYFUNCTION("""COMPUTED_VALUE"""),384.0)</f>
        <v>384</v>
      </c>
      <c r="D266" s="2">
        <f>IFERROR(__xludf.DUMMYFUNCTION("""COMPUTED_VALUE"""),372.0)</f>
        <v>372</v>
      </c>
      <c r="E266" s="2">
        <f>IFERROR(__xludf.DUMMYFUNCTION("""COMPUTED_VALUE"""),376.0)</f>
        <v>376</v>
      </c>
      <c r="F266" s="2">
        <f>IFERROR(__xludf.DUMMYFUNCTION("""COMPUTED_VALUE"""),2.305129E8)</f>
        <v>230512900</v>
      </c>
      <c r="G266" s="2">
        <f t="shared" si="1"/>
        <v>18</v>
      </c>
    </row>
    <row r="267" ht="15.75" customHeight="1">
      <c r="A267" s="1">
        <f>IFERROR(__xludf.DUMMYFUNCTION("""COMPUTED_VALUE"""),44231.625)</f>
        <v>44231.625</v>
      </c>
      <c r="B267" s="2">
        <f>IFERROR(__xludf.DUMMYFUNCTION("""COMPUTED_VALUE"""),382.0)</f>
        <v>382</v>
      </c>
      <c r="C267" s="2">
        <f>IFERROR(__xludf.DUMMYFUNCTION("""COMPUTED_VALUE"""),384.0)</f>
        <v>384</v>
      </c>
      <c r="D267" s="2">
        <f>IFERROR(__xludf.DUMMYFUNCTION("""COMPUTED_VALUE"""),370.0)</f>
        <v>370</v>
      </c>
      <c r="E267" s="2">
        <f>IFERROR(__xludf.DUMMYFUNCTION("""COMPUTED_VALUE"""),374.0)</f>
        <v>374</v>
      </c>
      <c r="F267" s="2">
        <f>IFERROR(__xludf.DUMMYFUNCTION("""COMPUTED_VALUE"""),1.699263E8)</f>
        <v>169926300</v>
      </c>
      <c r="G267" s="2">
        <f t="shared" si="1"/>
        <v>14</v>
      </c>
    </row>
    <row r="268" ht="15.75" customHeight="1">
      <c r="A268" s="1">
        <f>IFERROR(__xludf.DUMMYFUNCTION("""COMPUTED_VALUE"""),44232.625)</f>
        <v>44232.625</v>
      </c>
      <c r="B268" s="2">
        <f>IFERROR(__xludf.DUMMYFUNCTION("""COMPUTED_VALUE"""),380.0)</f>
        <v>380</v>
      </c>
      <c r="C268" s="2">
        <f>IFERROR(__xludf.DUMMYFUNCTION("""COMPUTED_VALUE"""),384.0)</f>
        <v>384</v>
      </c>
      <c r="D268" s="2">
        <f>IFERROR(__xludf.DUMMYFUNCTION("""COMPUTED_VALUE"""),370.0)</f>
        <v>370</v>
      </c>
      <c r="E268" s="2">
        <f>IFERROR(__xludf.DUMMYFUNCTION("""COMPUTED_VALUE"""),380.0)</f>
        <v>380</v>
      </c>
      <c r="F268" s="2">
        <f>IFERROR(__xludf.DUMMYFUNCTION("""COMPUTED_VALUE"""),2.168456E8)</f>
        <v>216845600</v>
      </c>
      <c r="G268" s="2">
        <f t="shared" si="1"/>
        <v>14</v>
      </c>
    </row>
    <row r="269" ht="15.75" customHeight="1">
      <c r="A269" s="1">
        <f>IFERROR(__xludf.DUMMYFUNCTION("""COMPUTED_VALUE"""),44235.625)</f>
        <v>44235.625</v>
      </c>
      <c r="B269" s="2">
        <f>IFERROR(__xludf.DUMMYFUNCTION("""COMPUTED_VALUE"""),392.0)</f>
        <v>392</v>
      </c>
      <c r="C269" s="2">
        <f>IFERROR(__xludf.DUMMYFUNCTION("""COMPUTED_VALUE"""),392.0)</f>
        <v>392</v>
      </c>
      <c r="D269" s="2">
        <f>IFERROR(__xludf.DUMMYFUNCTION("""COMPUTED_VALUE"""),380.0)</f>
        <v>380</v>
      </c>
      <c r="E269" s="2">
        <f>IFERROR(__xludf.DUMMYFUNCTION("""COMPUTED_VALUE"""),386.0)</f>
        <v>386</v>
      </c>
      <c r="F269" s="2">
        <f>IFERROR(__xludf.DUMMYFUNCTION("""COMPUTED_VALUE"""),2.107856E8)</f>
        <v>210785600</v>
      </c>
      <c r="G269" s="2">
        <f t="shared" si="1"/>
        <v>12</v>
      </c>
    </row>
    <row r="270" ht="15.75" customHeight="1">
      <c r="A270" s="1">
        <f>IFERROR(__xludf.DUMMYFUNCTION("""COMPUTED_VALUE"""),44236.625)</f>
        <v>44236.625</v>
      </c>
      <c r="B270" s="2">
        <f>IFERROR(__xludf.DUMMYFUNCTION("""COMPUTED_VALUE"""),392.0)</f>
        <v>392</v>
      </c>
      <c r="C270" s="2">
        <f>IFERROR(__xludf.DUMMYFUNCTION("""COMPUTED_VALUE"""),398.0)</f>
        <v>398</v>
      </c>
      <c r="D270" s="2">
        <f>IFERROR(__xludf.DUMMYFUNCTION("""COMPUTED_VALUE"""),376.0)</f>
        <v>376</v>
      </c>
      <c r="E270" s="2">
        <f>IFERROR(__xludf.DUMMYFUNCTION("""COMPUTED_VALUE"""),382.0)</f>
        <v>382</v>
      </c>
      <c r="F270" s="2">
        <f>IFERROR(__xludf.DUMMYFUNCTION("""COMPUTED_VALUE"""),3.513844E8)</f>
        <v>351384400</v>
      </c>
      <c r="G270" s="2">
        <f t="shared" si="1"/>
        <v>22</v>
      </c>
    </row>
    <row r="271" ht="15.75" customHeight="1">
      <c r="A271" s="1">
        <f>IFERROR(__xludf.DUMMYFUNCTION("""COMPUTED_VALUE"""),44237.625)</f>
        <v>44237.625</v>
      </c>
      <c r="B271" s="2">
        <f>IFERROR(__xludf.DUMMYFUNCTION("""COMPUTED_VALUE"""),384.0)</f>
        <v>384</v>
      </c>
      <c r="C271" s="2">
        <f>IFERROR(__xludf.DUMMYFUNCTION("""COMPUTED_VALUE"""),386.0)</f>
        <v>386</v>
      </c>
      <c r="D271" s="2">
        <f>IFERROR(__xludf.DUMMYFUNCTION("""COMPUTED_VALUE"""),376.0)</f>
        <v>376</v>
      </c>
      <c r="E271" s="2">
        <f>IFERROR(__xludf.DUMMYFUNCTION("""COMPUTED_VALUE"""),382.0)</f>
        <v>382</v>
      </c>
      <c r="F271" s="2">
        <f>IFERROR(__xludf.DUMMYFUNCTION("""COMPUTED_VALUE"""),1.038856E8)</f>
        <v>103885600</v>
      </c>
      <c r="G271" s="2">
        <f t="shared" si="1"/>
        <v>10</v>
      </c>
    </row>
    <row r="272" ht="15.75" customHeight="1">
      <c r="A272" s="1">
        <f>IFERROR(__xludf.DUMMYFUNCTION("""COMPUTED_VALUE"""),44238.625)</f>
        <v>44238.625</v>
      </c>
      <c r="B272" s="2">
        <f>IFERROR(__xludf.DUMMYFUNCTION("""COMPUTED_VALUE"""),382.0)</f>
        <v>382</v>
      </c>
      <c r="C272" s="2">
        <f>IFERROR(__xludf.DUMMYFUNCTION("""COMPUTED_VALUE"""),384.0)</f>
        <v>384</v>
      </c>
      <c r="D272" s="2">
        <f>IFERROR(__xludf.DUMMYFUNCTION("""COMPUTED_VALUE"""),376.0)</f>
        <v>376</v>
      </c>
      <c r="E272" s="2">
        <f>IFERROR(__xludf.DUMMYFUNCTION("""COMPUTED_VALUE"""),380.0)</f>
        <v>380</v>
      </c>
      <c r="F272" s="2">
        <f>IFERROR(__xludf.DUMMYFUNCTION("""COMPUTED_VALUE"""),6.9509E7)</f>
        <v>69509000</v>
      </c>
      <c r="G272" s="2">
        <f t="shared" si="1"/>
        <v>8</v>
      </c>
    </row>
    <row r="273" ht="15.75" customHeight="1">
      <c r="A273" s="1">
        <f>IFERROR(__xludf.DUMMYFUNCTION("""COMPUTED_VALUE"""),44242.625)</f>
        <v>44242.625</v>
      </c>
      <c r="B273" s="2">
        <f>IFERROR(__xludf.DUMMYFUNCTION("""COMPUTED_VALUE"""),388.0)</f>
        <v>388</v>
      </c>
      <c r="C273" s="2">
        <f>IFERROR(__xludf.DUMMYFUNCTION("""COMPUTED_VALUE"""),394.0)</f>
        <v>394</v>
      </c>
      <c r="D273" s="2">
        <f>IFERROR(__xludf.DUMMYFUNCTION("""COMPUTED_VALUE"""),384.0)</f>
        <v>384</v>
      </c>
      <c r="E273" s="2">
        <f>IFERROR(__xludf.DUMMYFUNCTION("""COMPUTED_VALUE"""),388.0)</f>
        <v>388</v>
      </c>
      <c r="F273" s="2">
        <f>IFERROR(__xludf.DUMMYFUNCTION("""COMPUTED_VALUE"""),1.613618E8)</f>
        <v>161361800</v>
      </c>
      <c r="G273" s="2">
        <f t="shared" si="1"/>
        <v>14</v>
      </c>
    </row>
    <row r="274" ht="15.75" customHeight="1">
      <c r="A274" s="1">
        <f>IFERROR(__xludf.DUMMYFUNCTION("""COMPUTED_VALUE"""),44243.625)</f>
        <v>44243.625</v>
      </c>
      <c r="B274" s="2">
        <f>IFERROR(__xludf.DUMMYFUNCTION("""COMPUTED_VALUE"""),390.0)</f>
        <v>390</v>
      </c>
      <c r="C274" s="2">
        <f>IFERROR(__xludf.DUMMYFUNCTION("""COMPUTED_VALUE"""),394.0)</f>
        <v>394</v>
      </c>
      <c r="D274" s="2">
        <f>IFERROR(__xludf.DUMMYFUNCTION("""COMPUTED_VALUE"""),386.0)</f>
        <v>386</v>
      </c>
      <c r="E274" s="2">
        <f>IFERROR(__xludf.DUMMYFUNCTION("""COMPUTED_VALUE"""),386.0)</f>
        <v>386</v>
      </c>
      <c r="F274" s="2">
        <f>IFERROR(__xludf.DUMMYFUNCTION("""COMPUTED_VALUE"""),1.126076E8)</f>
        <v>112607600</v>
      </c>
      <c r="G274" s="2">
        <f t="shared" si="1"/>
        <v>8</v>
      </c>
    </row>
    <row r="275" ht="15.75" customHeight="1">
      <c r="A275" s="1">
        <f>IFERROR(__xludf.DUMMYFUNCTION("""COMPUTED_VALUE"""),44244.625)</f>
        <v>44244.625</v>
      </c>
      <c r="B275" s="2">
        <f>IFERROR(__xludf.DUMMYFUNCTION("""COMPUTED_VALUE"""),388.0)</f>
        <v>388</v>
      </c>
      <c r="C275" s="2">
        <f>IFERROR(__xludf.DUMMYFUNCTION("""COMPUTED_VALUE"""),408.0)</f>
        <v>408</v>
      </c>
      <c r="D275" s="2">
        <f>IFERROR(__xludf.DUMMYFUNCTION("""COMPUTED_VALUE"""),380.0)</f>
        <v>380</v>
      </c>
      <c r="E275" s="2">
        <f>IFERROR(__xludf.DUMMYFUNCTION("""COMPUTED_VALUE"""),398.0)</f>
        <v>398</v>
      </c>
      <c r="F275" s="2">
        <f>IFERROR(__xludf.DUMMYFUNCTION("""COMPUTED_VALUE"""),6.566147E8)</f>
        <v>656614700</v>
      </c>
      <c r="G275" s="2">
        <f t="shared" si="1"/>
        <v>28</v>
      </c>
    </row>
    <row r="276" ht="15.75" customHeight="1">
      <c r="A276" s="1">
        <f>IFERROR(__xludf.DUMMYFUNCTION("""COMPUTED_VALUE"""),44245.625)</f>
        <v>44245.625</v>
      </c>
      <c r="B276" s="2">
        <f>IFERROR(__xludf.DUMMYFUNCTION("""COMPUTED_VALUE"""),402.0)</f>
        <v>402</v>
      </c>
      <c r="C276" s="2">
        <f>IFERROR(__xludf.DUMMYFUNCTION("""COMPUTED_VALUE"""),414.0)</f>
        <v>414</v>
      </c>
      <c r="D276" s="2">
        <f>IFERROR(__xludf.DUMMYFUNCTION("""COMPUTED_VALUE"""),398.0)</f>
        <v>398</v>
      </c>
      <c r="E276" s="2">
        <f>IFERROR(__xludf.DUMMYFUNCTION("""COMPUTED_VALUE"""),398.0)</f>
        <v>398</v>
      </c>
      <c r="F276" s="2">
        <f>IFERROR(__xludf.DUMMYFUNCTION("""COMPUTED_VALUE"""),4.105452E8)</f>
        <v>410545200</v>
      </c>
      <c r="G276" s="2">
        <f t="shared" si="1"/>
        <v>16</v>
      </c>
    </row>
    <row r="277" ht="15.75" customHeight="1">
      <c r="A277" s="1">
        <f>IFERROR(__xludf.DUMMYFUNCTION("""COMPUTED_VALUE"""),44246.625)</f>
        <v>44246.625</v>
      </c>
      <c r="B277" s="2">
        <f>IFERROR(__xludf.DUMMYFUNCTION("""COMPUTED_VALUE"""),398.0)</f>
        <v>398</v>
      </c>
      <c r="C277" s="2">
        <f>IFERROR(__xludf.DUMMYFUNCTION("""COMPUTED_VALUE"""),398.0)</f>
        <v>398</v>
      </c>
      <c r="D277" s="2">
        <f>IFERROR(__xludf.DUMMYFUNCTION("""COMPUTED_VALUE"""),384.0)</f>
        <v>384</v>
      </c>
      <c r="E277" s="2">
        <f>IFERROR(__xludf.DUMMYFUNCTION("""COMPUTED_VALUE"""),392.0)</f>
        <v>392</v>
      </c>
      <c r="F277" s="2">
        <f>IFERROR(__xludf.DUMMYFUNCTION("""COMPUTED_VALUE"""),1.501909E8)</f>
        <v>150190900</v>
      </c>
      <c r="G277" s="2">
        <f t="shared" si="1"/>
        <v>14</v>
      </c>
    </row>
    <row r="278" ht="15.75" customHeight="1">
      <c r="A278" s="1">
        <f>IFERROR(__xludf.DUMMYFUNCTION("""COMPUTED_VALUE"""),44249.625)</f>
        <v>44249.625</v>
      </c>
      <c r="B278" s="2">
        <f>IFERROR(__xludf.DUMMYFUNCTION("""COMPUTED_VALUE"""),392.0)</f>
        <v>392</v>
      </c>
      <c r="C278" s="2">
        <f>IFERROR(__xludf.DUMMYFUNCTION("""COMPUTED_VALUE"""),410.0)</f>
        <v>410</v>
      </c>
      <c r="D278" s="2">
        <f>IFERROR(__xludf.DUMMYFUNCTION("""COMPUTED_VALUE"""),392.0)</f>
        <v>392</v>
      </c>
      <c r="E278" s="2">
        <f>IFERROR(__xludf.DUMMYFUNCTION("""COMPUTED_VALUE"""),404.0)</f>
        <v>404</v>
      </c>
      <c r="F278" s="2">
        <f>IFERROR(__xludf.DUMMYFUNCTION("""COMPUTED_VALUE"""),2.964455E8)</f>
        <v>296445500</v>
      </c>
      <c r="G278" s="2">
        <f t="shared" si="1"/>
        <v>18</v>
      </c>
    </row>
    <row r="279" ht="15.75" customHeight="1">
      <c r="A279" s="1">
        <f>IFERROR(__xludf.DUMMYFUNCTION("""COMPUTED_VALUE"""),44250.66666666667)</f>
        <v>44250.66667</v>
      </c>
      <c r="B279" s="2">
        <f>IFERROR(__xludf.DUMMYFUNCTION("""COMPUTED_VALUE"""),410.0)</f>
        <v>410</v>
      </c>
      <c r="C279" s="2">
        <f>IFERROR(__xludf.DUMMYFUNCTION("""COMPUTED_VALUE"""),424.0)</f>
        <v>424</v>
      </c>
      <c r="D279" s="2">
        <f>IFERROR(__xludf.DUMMYFUNCTION("""COMPUTED_VALUE"""),406.0)</f>
        <v>406</v>
      </c>
      <c r="E279" s="2">
        <f>IFERROR(__xludf.DUMMYFUNCTION("""COMPUTED_VALUE"""),424.0)</f>
        <v>424</v>
      </c>
      <c r="F279" s="2">
        <f>IFERROR(__xludf.DUMMYFUNCTION("""COMPUTED_VALUE"""),5.279428E8)</f>
        <v>527942800</v>
      </c>
      <c r="G279" s="2">
        <f t="shared" si="1"/>
        <v>20</v>
      </c>
    </row>
    <row r="280" ht="15.75" customHeight="1">
      <c r="A280" s="1">
        <f>IFERROR(__xludf.DUMMYFUNCTION("""COMPUTED_VALUE"""),44251.625)</f>
        <v>44251.625</v>
      </c>
      <c r="B280" s="2">
        <f>IFERROR(__xludf.DUMMYFUNCTION("""COMPUTED_VALUE"""),422.0)</f>
        <v>422</v>
      </c>
      <c r="C280" s="2">
        <f>IFERROR(__xludf.DUMMYFUNCTION("""COMPUTED_VALUE"""),428.0)</f>
        <v>428</v>
      </c>
      <c r="D280" s="2">
        <f>IFERROR(__xludf.DUMMYFUNCTION("""COMPUTED_VALUE"""),406.0)</f>
        <v>406</v>
      </c>
      <c r="E280" s="2">
        <f>IFERROR(__xludf.DUMMYFUNCTION("""COMPUTED_VALUE"""),410.0)</f>
        <v>410</v>
      </c>
      <c r="F280" s="2">
        <f>IFERROR(__xludf.DUMMYFUNCTION("""COMPUTED_VALUE"""),2.352484E8)</f>
        <v>235248400</v>
      </c>
      <c r="G280" s="2">
        <f t="shared" si="1"/>
        <v>22</v>
      </c>
    </row>
    <row r="281" ht="15.75" customHeight="1">
      <c r="A281" s="1">
        <f>IFERROR(__xludf.DUMMYFUNCTION("""COMPUTED_VALUE"""),44252.625)</f>
        <v>44252.625</v>
      </c>
      <c r="B281" s="2">
        <f>IFERROR(__xludf.DUMMYFUNCTION("""COMPUTED_VALUE"""),418.0)</f>
        <v>418</v>
      </c>
      <c r="C281" s="2">
        <f>IFERROR(__xludf.DUMMYFUNCTION("""COMPUTED_VALUE"""),426.0)</f>
        <v>426</v>
      </c>
      <c r="D281" s="2">
        <f>IFERROR(__xludf.DUMMYFUNCTION("""COMPUTED_VALUE"""),410.0)</f>
        <v>410</v>
      </c>
      <c r="E281" s="2">
        <f>IFERROR(__xludf.DUMMYFUNCTION("""COMPUTED_VALUE"""),414.0)</f>
        <v>414</v>
      </c>
      <c r="F281" s="2">
        <f>IFERROR(__xludf.DUMMYFUNCTION("""COMPUTED_VALUE"""),2.305973E8)</f>
        <v>230597300</v>
      </c>
      <c r="G281" s="2">
        <f t="shared" si="1"/>
        <v>16</v>
      </c>
    </row>
    <row r="282" ht="15.75" customHeight="1">
      <c r="A282" s="1">
        <f>IFERROR(__xludf.DUMMYFUNCTION("""COMPUTED_VALUE"""),44253.625)</f>
        <v>44253.625</v>
      </c>
      <c r="B282" s="2">
        <f>IFERROR(__xludf.DUMMYFUNCTION("""COMPUTED_VALUE"""),412.0)</f>
        <v>412</v>
      </c>
      <c r="C282" s="2">
        <f>IFERROR(__xludf.DUMMYFUNCTION("""COMPUTED_VALUE"""),412.0)</f>
        <v>412</v>
      </c>
      <c r="D282" s="2">
        <f>IFERROR(__xludf.DUMMYFUNCTION("""COMPUTED_VALUE"""),396.0)</f>
        <v>396</v>
      </c>
      <c r="E282" s="2">
        <f>IFERROR(__xludf.DUMMYFUNCTION("""COMPUTED_VALUE"""),402.0)</f>
        <v>402</v>
      </c>
      <c r="F282" s="2">
        <f>IFERROR(__xludf.DUMMYFUNCTION("""COMPUTED_VALUE"""),1.667127E8)</f>
        <v>166712700</v>
      </c>
      <c r="G282" s="2">
        <f t="shared" si="1"/>
        <v>18</v>
      </c>
    </row>
    <row r="283" ht="15.75" customHeight="1">
      <c r="A283" s="1">
        <f>IFERROR(__xludf.DUMMYFUNCTION("""COMPUTED_VALUE"""),44256.625)</f>
        <v>44256.625</v>
      </c>
      <c r="B283" s="2">
        <f>IFERROR(__xludf.DUMMYFUNCTION("""COMPUTED_VALUE"""),402.0)</f>
        <v>402</v>
      </c>
      <c r="C283" s="2">
        <f>IFERROR(__xludf.DUMMYFUNCTION("""COMPUTED_VALUE"""),408.0)</f>
        <v>408</v>
      </c>
      <c r="D283" s="2">
        <f>IFERROR(__xludf.DUMMYFUNCTION("""COMPUTED_VALUE"""),398.0)</f>
        <v>398</v>
      </c>
      <c r="E283" s="2">
        <f>IFERROR(__xludf.DUMMYFUNCTION("""COMPUTED_VALUE"""),404.0)</f>
        <v>404</v>
      </c>
      <c r="F283" s="2">
        <f>IFERROR(__xludf.DUMMYFUNCTION("""COMPUTED_VALUE"""),9.77573E7)</f>
        <v>97757300</v>
      </c>
      <c r="G283" s="2">
        <f t="shared" si="1"/>
        <v>10</v>
      </c>
    </row>
    <row r="284" ht="15.75" customHeight="1">
      <c r="A284" s="1">
        <f>IFERROR(__xludf.DUMMYFUNCTION("""COMPUTED_VALUE"""),44257.625)</f>
        <v>44257.625</v>
      </c>
      <c r="B284" s="2">
        <f>IFERROR(__xludf.DUMMYFUNCTION("""COMPUTED_VALUE"""),406.0)</f>
        <v>406</v>
      </c>
      <c r="C284" s="2">
        <f>IFERROR(__xludf.DUMMYFUNCTION("""COMPUTED_VALUE"""),408.0)</f>
        <v>408</v>
      </c>
      <c r="D284" s="2">
        <f>IFERROR(__xludf.DUMMYFUNCTION("""COMPUTED_VALUE"""),390.0)</f>
        <v>390</v>
      </c>
      <c r="E284" s="2">
        <f>IFERROR(__xludf.DUMMYFUNCTION("""COMPUTED_VALUE"""),392.0)</f>
        <v>392</v>
      </c>
      <c r="F284" s="2">
        <f>IFERROR(__xludf.DUMMYFUNCTION("""COMPUTED_VALUE"""),1.277584E8)</f>
        <v>127758400</v>
      </c>
      <c r="G284" s="2">
        <f t="shared" si="1"/>
        <v>18</v>
      </c>
    </row>
    <row r="285" ht="15.75" customHeight="1">
      <c r="A285" s="1">
        <f>IFERROR(__xludf.DUMMYFUNCTION("""COMPUTED_VALUE"""),44258.625)</f>
        <v>44258.625</v>
      </c>
      <c r="B285" s="2">
        <f>IFERROR(__xludf.DUMMYFUNCTION("""COMPUTED_VALUE"""),400.0)</f>
        <v>400</v>
      </c>
      <c r="C285" s="2">
        <f>IFERROR(__xludf.DUMMYFUNCTION("""COMPUTED_VALUE"""),400.0)</f>
        <v>400</v>
      </c>
      <c r="D285" s="2">
        <f>IFERROR(__xludf.DUMMYFUNCTION("""COMPUTED_VALUE"""),380.0)</f>
        <v>380</v>
      </c>
      <c r="E285" s="2">
        <f>IFERROR(__xludf.DUMMYFUNCTION("""COMPUTED_VALUE"""),384.0)</f>
        <v>384</v>
      </c>
      <c r="F285" s="2">
        <f>IFERROR(__xludf.DUMMYFUNCTION("""COMPUTED_VALUE"""),1.28603E8)</f>
        <v>128603000</v>
      </c>
      <c r="G285" s="2">
        <f t="shared" si="1"/>
        <v>20</v>
      </c>
    </row>
    <row r="286" ht="15.75" customHeight="1">
      <c r="A286" s="1">
        <f>IFERROR(__xludf.DUMMYFUNCTION("""COMPUTED_VALUE"""),44259.625)</f>
        <v>44259.625</v>
      </c>
      <c r="B286" s="2">
        <f>IFERROR(__xludf.DUMMYFUNCTION("""COMPUTED_VALUE"""),384.0)</f>
        <v>384</v>
      </c>
      <c r="C286" s="2">
        <f>IFERROR(__xludf.DUMMYFUNCTION("""COMPUTED_VALUE"""),392.0)</f>
        <v>392</v>
      </c>
      <c r="D286" s="2">
        <f>IFERROR(__xludf.DUMMYFUNCTION("""COMPUTED_VALUE"""),380.0)</f>
        <v>380</v>
      </c>
      <c r="E286" s="2">
        <f>IFERROR(__xludf.DUMMYFUNCTION("""COMPUTED_VALUE"""),388.0)</f>
        <v>388</v>
      </c>
      <c r="F286" s="2">
        <f>IFERROR(__xludf.DUMMYFUNCTION("""COMPUTED_VALUE"""),9.95149E7)</f>
        <v>99514900</v>
      </c>
      <c r="G286" s="2">
        <f t="shared" si="1"/>
        <v>12</v>
      </c>
    </row>
    <row r="287" ht="15.75" customHeight="1">
      <c r="A287" s="1">
        <f>IFERROR(__xludf.DUMMYFUNCTION("""COMPUTED_VALUE"""),44260.625)</f>
        <v>44260.625</v>
      </c>
      <c r="B287" s="2">
        <f>IFERROR(__xludf.DUMMYFUNCTION("""COMPUTED_VALUE"""),392.0)</f>
        <v>392</v>
      </c>
      <c r="C287" s="2">
        <f>IFERROR(__xludf.DUMMYFUNCTION("""COMPUTED_VALUE"""),396.0)</f>
        <v>396</v>
      </c>
      <c r="D287" s="2">
        <f>IFERROR(__xludf.DUMMYFUNCTION("""COMPUTED_VALUE"""),382.0)</f>
        <v>382</v>
      </c>
      <c r="E287" s="2">
        <f>IFERROR(__xludf.DUMMYFUNCTION("""COMPUTED_VALUE"""),384.0)</f>
        <v>384</v>
      </c>
      <c r="F287" s="2">
        <f>IFERROR(__xludf.DUMMYFUNCTION("""COMPUTED_VALUE"""),1.88044E8)</f>
        <v>188044000</v>
      </c>
      <c r="G287" s="2">
        <f t="shared" si="1"/>
        <v>14</v>
      </c>
    </row>
    <row r="288" ht="15.75" customHeight="1">
      <c r="A288" s="1">
        <f>IFERROR(__xludf.DUMMYFUNCTION("""COMPUTED_VALUE"""),44263.66666666667)</f>
        <v>44263.66667</v>
      </c>
      <c r="B288" s="2">
        <f>IFERROR(__xludf.DUMMYFUNCTION("""COMPUTED_VALUE"""),394.0)</f>
        <v>394</v>
      </c>
      <c r="C288" s="2">
        <f>IFERROR(__xludf.DUMMYFUNCTION("""COMPUTED_VALUE"""),406.0)</f>
        <v>406</v>
      </c>
      <c r="D288" s="2">
        <f>IFERROR(__xludf.DUMMYFUNCTION("""COMPUTED_VALUE"""),388.0)</f>
        <v>388</v>
      </c>
      <c r="E288" s="2">
        <f>IFERROR(__xludf.DUMMYFUNCTION("""COMPUTED_VALUE"""),398.0)</f>
        <v>398</v>
      </c>
      <c r="F288" s="2">
        <f>IFERROR(__xludf.DUMMYFUNCTION("""COMPUTED_VALUE"""),3.232152E8)</f>
        <v>323215200</v>
      </c>
      <c r="G288" s="2">
        <f t="shared" si="1"/>
        <v>22</v>
      </c>
    </row>
    <row r="289" ht="15.75" customHeight="1">
      <c r="A289" s="1">
        <f>IFERROR(__xludf.DUMMYFUNCTION("""COMPUTED_VALUE"""),44264.625)</f>
        <v>44264.625</v>
      </c>
      <c r="B289" s="2">
        <f>IFERROR(__xludf.DUMMYFUNCTION("""COMPUTED_VALUE"""),398.0)</f>
        <v>398</v>
      </c>
      <c r="C289" s="2">
        <f>IFERROR(__xludf.DUMMYFUNCTION("""COMPUTED_VALUE"""),404.0)</f>
        <v>404</v>
      </c>
      <c r="D289" s="2">
        <f>IFERROR(__xludf.DUMMYFUNCTION("""COMPUTED_VALUE"""),382.0)</f>
        <v>382</v>
      </c>
      <c r="E289" s="2">
        <f>IFERROR(__xludf.DUMMYFUNCTION("""COMPUTED_VALUE"""),386.0)</f>
        <v>386</v>
      </c>
      <c r="F289" s="2">
        <f>IFERROR(__xludf.DUMMYFUNCTION("""COMPUTED_VALUE"""),1.292503E8)</f>
        <v>129250300</v>
      </c>
      <c r="G289" s="2">
        <f t="shared" si="1"/>
        <v>22</v>
      </c>
    </row>
    <row r="290" ht="15.75" customHeight="1">
      <c r="A290" s="1">
        <f>IFERROR(__xludf.DUMMYFUNCTION("""COMPUTED_VALUE"""),44265.625)</f>
        <v>44265.625</v>
      </c>
      <c r="B290" s="2">
        <f>IFERROR(__xludf.DUMMYFUNCTION("""COMPUTED_VALUE"""),386.0)</f>
        <v>386</v>
      </c>
      <c r="C290" s="2">
        <f>IFERROR(__xludf.DUMMYFUNCTION("""COMPUTED_VALUE"""),390.0)</f>
        <v>390</v>
      </c>
      <c r="D290" s="2">
        <f>IFERROR(__xludf.DUMMYFUNCTION("""COMPUTED_VALUE"""),380.0)</f>
        <v>380</v>
      </c>
      <c r="E290" s="2">
        <f>IFERROR(__xludf.DUMMYFUNCTION("""COMPUTED_VALUE"""),382.0)</f>
        <v>382</v>
      </c>
      <c r="F290" s="2">
        <f>IFERROR(__xludf.DUMMYFUNCTION("""COMPUTED_VALUE"""),5.60946E7)</f>
        <v>56094600</v>
      </c>
      <c r="G290" s="2">
        <f t="shared" si="1"/>
        <v>10</v>
      </c>
    </row>
    <row r="291" ht="15.75" customHeight="1">
      <c r="A291" s="1">
        <f>IFERROR(__xludf.DUMMYFUNCTION("""COMPUTED_VALUE"""),44267.625)</f>
        <v>44267.625</v>
      </c>
      <c r="B291" s="2">
        <f>IFERROR(__xludf.DUMMYFUNCTION("""COMPUTED_VALUE"""),388.0)</f>
        <v>388</v>
      </c>
      <c r="C291" s="2">
        <f>IFERROR(__xludf.DUMMYFUNCTION("""COMPUTED_VALUE"""),398.0)</f>
        <v>398</v>
      </c>
      <c r="D291" s="2">
        <f>IFERROR(__xludf.DUMMYFUNCTION("""COMPUTED_VALUE"""),382.0)</f>
        <v>382</v>
      </c>
      <c r="E291" s="2">
        <f>IFERROR(__xludf.DUMMYFUNCTION("""COMPUTED_VALUE"""),392.0)</f>
        <v>392</v>
      </c>
      <c r="F291" s="2">
        <f>IFERROR(__xludf.DUMMYFUNCTION("""COMPUTED_VALUE"""),1.200175E8)</f>
        <v>120017500</v>
      </c>
      <c r="G291" s="2">
        <f t="shared" si="1"/>
        <v>16</v>
      </c>
    </row>
    <row r="292" ht="15.75" customHeight="1">
      <c r="A292" s="1">
        <f>IFERROR(__xludf.DUMMYFUNCTION("""COMPUTED_VALUE"""),44270.625)</f>
        <v>44270.625</v>
      </c>
      <c r="B292" s="2">
        <f>IFERROR(__xludf.DUMMYFUNCTION("""COMPUTED_VALUE"""),396.0)</f>
        <v>396</v>
      </c>
      <c r="C292" s="2">
        <f>IFERROR(__xludf.DUMMYFUNCTION("""COMPUTED_VALUE"""),398.0)</f>
        <v>398</v>
      </c>
      <c r="D292" s="2">
        <f>IFERROR(__xludf.DUMMYFUNCTION("""COMPUTED_VALUE"""),390.0)</f>
        <v>390</v>
      </c>
      <c r="E292" s="2">
        <f>IFERROR(__xludf.DUMMYFUNCTION("""COMPUTED_VALUE"""),396.0)</f>
        <v>396</v>
      </c>
      <c r="F292" s="2">
        <f>IFERROR(__xludf.DUMMYFUNCTION("""COMPUTED_VALUE"""),7.04123E7)</f>
        <v>70412300</v>
      </c>
      <c r="G292" s="2">
        <f t="shared" si="1"/>
        <v>8</v>
      </c>
    </row>
    <row r="293" ht="15.75" customHeight="1">
      <c r="A293" s="1">
        <f>IFERROR(__xludf.DUMMYFUNCTION("""COMPUTED_VALUE"""),44271.625)</f>
        <v>44271.625</v>
      </c>
      <c r="B293" s="2">
        <f>IFERROR(__xludf.DUMMYFUNCTION("""COMPUTED_VALUE"""),396.0)</f>
        <v>396</v>
      </c>
      <c r="C293" s="2">
        <f>IFERROR(__xludf.DUMMYFUNCTION("""COMPUTED_VALUE"""),400.0)</f>
        <v>400</v>
      </c>
      <c r="D293" s="2">
        <f>IFERROR(__xludf.DUMMYFUNCTION("""COMPUTED_VALUE"""),384.0)</f>
        <v>384</v>
      </c>
      <c r="E293" s="2">
        <f>IFERROR(__xludf.DUMMYFUNCTION("""COMPUTED_VALUE"""),388.0)</f>
        <v>388</v>
      </c>
      <c r="F293" s="2">
        <f>IFERROR(__xludf.DUMMYFUNCTION("""COMPUTED_VALUE"""),7.95603E7)</f>
        <v>79560300</v>
      </c>
      <c r="G293" s="2">
        <f t="shared" si="1"/>
        <v>16</v>
      </c>
    </row>
    <row r="294" ht="15.75" customHeight="1">
      <c r="A294" s="1">
        <f>IFERROR(__xludf.DUMMYFUNCTION("""COMPUTED_VALUE"""),44272.625)</f>
        <v>44272.625</v>
      </c>
      <c r="B294" s="2">
        <f>IFERROR(__xludf.DUMMYFUNCTION("""COMPUTED_VALUE"""),380.0)</f>
        <v>380</v>
      </c>
      <c r="C294" s="2">
        <f>IFERROR(__xludf.DUMMYFUNCTION("""COMPUTED_VALUE"""),390.0)</f>
        <v>390</v>
      </c>
      <c r="D294" s="2">
        <f>IFERROR(__xludf.DUMMYFUNCTION("""COMPUTED_VALUE"""),380.0)</f>
        <v>380</v>
      </c>
      <c r="E294" s="2">
        <f>IFERROR(__xludf.DUMMYFUNCTION("""COMPUTED_VALUE"""),386.0)</f>
        <v>386</v>
      </c>
      <c r="F294" s="2">
        <f>IFERROR(__xludf.DUMMYFUNCTION("""COMPUTED_VALUE"""),3.25463E7)</f>
        <v>32546300</v>
      </c>
      <c r="G294" s="2">
        <f t="shared" si="1"/>
        <v>10</v>
      </c>
    </row>
    <row r="295" ht="15.75" customHeight="1">
      <c r="A295" s="1">
        <f>IFERROR(__xludf.DUMMYFUNCTION("""COMPUTED_VALUE"""),44273.625)</f>
        <v>44273.625</v>
      </c>
      <c r="B295" s="2">
        <f>IFERROR(__xludf.DUMMYFUNCTION("""COMPUTED_VALUE"""),390.0)</f>
        <v>390</v>
      </c>
      <c r="C295" s="2">
        <f>IFERROR(__xludf.DUMMYFUNCTION("""COMPUTED_VALUE"""),390.0)</f>
        <v>390</v>
      </c>
      <c r="D295" s="2">
        <f>IFERROR(__xludf.DUMMYFUNCTION("""COMPUTED_VALUE"""),384.0)</f>
        <v>384</v>
      </c>
      <c r="E295" s="2">
        <f>IFERROR(__xludf.DUMMYFUNCTION("""COMPUTED_VALUE"""),386.0)</f>
        <v>386</v>
      </c>
      <c r="F295" s="2">
        <f>IFERROR(__xludf.DUMMYFUNCTION("""COMPUTED_VALUE"""),3.93548E7)</f>
        <v>39354800</v>
      </c>
      <c r="G295" s="2">
        <f t="shared" si="1"/>
        <v>6</v>
      </c>
    </row>
    <row r="296" ht="15.75" customHeight="1">
      <c r="A296" s="1">
        <f>IFERROR(__xludf.DUMMYFUNCTION("""COMPUTED_VALUE"""),44274.625)</f>
        <v>44274.625</v>
      </c>
      <c r="B296" s="2">
        <f>IFERROR(__xludf.DUMMYFUNCTION("""COMPUTED_VALUE"""),386.0)</f>
        <v>386</v>
      </c>
      <c r="C296" s="2">
        <f>IFERROR(__xludf.DUMMYFUNCTION("""COMPUTED_VALUE"""),386.0)</f>
        <v>386</v>
      </c>
      <c r="D296" s="2">
        <f>IFERROR(__xludf.DUMMYFUNCTION("""COMPUTED_VALUE"""),374.0)</f>
        <v>374</v>
      </c>
      <c r="E296" s="2">
        <f>IFERROR(__xludf.DUMMYFUNCTION("""COMPUTED_VALUE"""),384.0)</f>
        <v>384</v>
      </c>
      <c r="F296" s="2">
        <f>IFERROR(__xludf.DUMMYFUNCTION("""COMPUTED_VALUE"""),8.64128E7)</f>
        <v>86412800</v>
      </c>
      <c r="G296" s="2">
        <f t="shared" si="1"/>
        <v>12</v>
      </c>
    </row>
    <row r="297" ht="15.75" customHeight="1">
      <c r="A297" s="1">
        <f>IFERROR(__xludf.DUMMYFUNCTION("""COMPUTED_VALUE"""),44277.625)</f>
        <v>44277.625</v>
      </c>
      <c r="B297" s="2">
        <f>IFERROR(__xludf.DUMMYFUNCTION("""COMPUTED_VALUE"""),384.0)</f>
        <v>384</v>
      </c>
      <c r="C297" s="2">
        <f>IFERROR(__xludf.DUMMYFUNCTION("""COMPUTED_VALUE"""),388.0)</f>
        <v>388</v>
      </c>
      <c r="D297" s="2">
        <f>IFERROR(__xludf.DUMMYFUNCTION("""COMPUTED_VALUE"""),380.0)</f>
        <v>380</v>
      </c>
      <c r="E297" s="2">
        <f>IFERROR(__xludf.DUMMYFUNCTION("""COMPUTED_VALUE"""),380.0)</f>
        <v>380</v>
      </c>
      <c r="F297" s="2">
        <f>IFERROR(__xludf.DUMMYFUNCTION("""COMPUTED_VALUE"""),5.58396E7)</f>
        <v>55839600</v>
      </c>
      <c r="G297" s="2">
        <f t="shared" si="1"/>
        <v>8</v>
      </c>
    </row>
    <row r="298" ht="15.75" customHeight="1">
      <c r="A298" s="1">
        <f>IFERROR(__xludf.DUMMYFUNCTION("""COMPUTED_VALUE"""),44278.625)</f>
        <v>44278.625</v>
      </c>
      <c r="B298" s="2">
        <f>IFERROR(__xludf.DUMMYFUNCTION("""COMPUTED_VALUE"""),382.0)</f>
        <v>382</v>
      </c>
      <c r="C298" s="2">
        <f>IFERROR(__xludf.DUMMYFUNCTION("""COMPUTED_VALUE"""),384.0)</f>
        <v>384</v>
      </c>
      <c r="D298" s="2">
        <f>IFERROR(__xludf.DUMMYFUNCTION("""COMPUTED_VALUE"""),372.0)</f>
        <v>372</v>
      </c>
      <c r="E298" s="2">
        <f>IFERROR(__xludf.DUMMYFUNCTION("""COMPUTED_VALUE"""),372.0)</f>
        <v>372</v>
      </c>
      <c r="F298" s="2">
        <f>IFERROR(__xludf.DUMMYFUNCTION("""COMPUTED_VALUE"""),1.097276E8)</f>
        <v>109727600</v>
      </c>
      <c r="G298" s="2">
        <f t="shared" si="1"/>
        <v>12</v>
      </c>
    </row>
    <row r="299" ht="15.75" customHeight="1">
      <c r="A299" s="1">
        <f>IFERROR(__xludf.DUMMYFUNCTION("""COMPUTED_VALUE"""),44279.625)</f>
        <v>44279.625</v>
      </c>
      <c r="B299" s="2">
        <f>IFERROR(__xludf.DUMMYFUNCTION("""COMPUTED_VALUE"""),364.0)</f>
        <v>364</v>
      </c>
      <c r="C299" s="2">
        <f>IFERROR(__xludf.DUMMYFUNCTION("""COMPUTED_VALUE"""),372.0)</f>
        <v>372</v>
      </c>
      <c r="D299" s="2">
        <f>IFERROR(__xludf.DUMMYFUNCTION("""COMPUTED_VALUE"""),354.0)</f>
        <v>354</v>
      </c>
      <c r="E299" s="2">
        <f>IFERROR(__xludf.DUMMYFUNCTION("""COMPUTED_VALUE"""),356.0)</f>
        <v>356</v>
      </c>
      <c r="F299" s="2">
        <f>IFERROR(__xludf.DUMMYFUNCTION("""COMPUTED_VALUE"""),1.392343E8)</f>
        <v>139234300</v>
      </c>
      <c r="G299" s="2">
        <f t="shared" si="1"/>
        <v>18</v>
      </c>
    </row>
    <row r="300" ht="15.75" customHeight="1">
      <c r="A300" s="1">
        <f>IFERROR(__xludf.DUMMYFUNCTION("""COMPUTED_VALUE"""),44280.625)</f>
        <v>44280.625</v>
      </c>
      <c r="B300" s="2">
        <f>IFERROR(__xludf.DUMMYFUNCTION("""COMPUTED_VALUE"""),360.0)</f>
        <v>360</v>
      </c>
      <c r="C300" s="2">
        <f>IFERROR(__xludf.DUMMYFUNCTION("""COMPUTED_VALUE"""),370.0)</f>
        <v>370</v>
      </c>
      <c r="D300" s="2">
        <f>IFERROR(__xludf.DUMMYFUNCTION("""COMPUTED_VALUE"""),352.0)</f>
        <v>352</v>
      </c>
      <c r="E300" s="2">
        <f>IFERROR(__xludf.DUMMYFUNCTION("""COMPUTED_VALUE"""),362.0)</f>
        <v>362</v>
      </c>
      <c r="F300" s="2">
        <f>IFERROR(__xludf.DUMMYFUNCTION("""COMPUTED_VALUE"""),1.116259E8)</f>
        <v>111625900</v>
      </c>
      <c r="G300" s="2">
        <f t="shared" si="1"/>
        <v>18</v>
      </c>
    </row>
    <row r="301" ht="15.75" customHeight="1">
      <c r="A301" s="1">
        <f>IFERROR(__xludf.DUMMYFUNCTION("""COMPUTED_VALUE"""),44281.625)</f>
        <v>44281.625</v>
      </c>
      <c r="B301" s="2">
        <f>IFERROR(__xludf.DUMMYFUNCTION("""COMPUTED_VALUE"""),362.0)</f>
        <v>362</v>
      </c>
      <c r="C301" s="2">
        <f>IFERROR(__xludf.DUMMYFUNCTION("""COMPUTED_VALUE"""),370.0)</f>
        <v>370</v>
      </c>
      <c r="D301" s="2">
        <f>IFERROR(__xludf.DUMMYFUNCTION("""COMPUTED_VALUE"""),354.0)</f>
        <v>354</v>
      </c>
      <c r="E301" s="2">
        <f>IFERROR(__xludf.DUMMYFUNCTION("""COMPUTED_VALUE"""),368.0)</f>
        <v>368</v>
      </c>
      <c r="F301" s="2">
        <f>IFERROR(__xludf.DUMMYFUNCTION("""COMPUTED_VALUE"""),6.59827E7)</f>
        <v>65982700</v>
      </c>
      <c r="G301" s="2">
        <f t="shared" si="1"/>
        <v>16</v>
      </c>
    </row>
    <row r="302" ht="15.75" customHeight="1">
      <c r="A302" s="1">
        <f>IFERROR(__xludf.DUMMYFUNCTION("""COMPUTED_VALUE"""),44284.625)</f>
        <v>44284.625</v>
      </c>
      <c r="B302" s="2">
        <f>IFERROR(__xludf.DUMMYFUNCTION("""COMPUTED_VALUE"""),370.0)</f>
        <v>370</v>
      </c>
      <c r="C302" s="2">
        <f>IFERROR(__xludf.DUMMYFUNCTION("""COMPUTED_VALUE"""),374.0)</f>
        <v>374</v>
      </c>
      <c r="D302" s="2">
        <f>IFERROR(__xludf.DUMMYFUNCTION("""COMPUTED_VALUE"""),358.0)</f>
        <v>358</v>
      </c>
      <c r="E302" s="2">
        <f>IFERROR(__xludf.DUMMYFUNCTION("""COMPUTED_VALUE"""),362.0)</f>
        <v>362</v>
      </c>
      <c r="F302" s="2">
        <f>IFERROR(__xludf.DUMMYFUNCTION("""COMPUTED_VALUE"""),3.992E7)</f>
        <v>39920000</v>
      </c>
      <c r="G302" s="2">
        <f t="shared" si="1"/>
        <v>16</v>
      </c>
    </row>
    <row r="303" ht="15.75" customHeight="1">
      <c r="A303" s="1">
        <f>IFERROR(__xludf.DUMMYFUNCTION("""COMPUTED_VALUE"""),44285.625)</f>
        <v>44285.625</v>
      </c>
      <c r="B303" s="2">
        <f>IFERROR(__xludf.DUMMYFUNCTION("""COMPUTED_VALUE"""),366.0)</f>
        <v>366</v>
      </c>
      <c r="C303" s="2">
        <f>IFERROR(__xludf.DUMMYFUNCTION("""COMPUTED_VALUE"""),366.0)</f>
        <v>366</v>
      </c>
      <c r="D303" s="2">
        <f>IFERROR(__xludf.DUMMYFUNCTION("""COMPUTED_VALUE"""),354.0)</f>
        <v>354</v>
      </c>
      <c r="E303" s="2">
        <f>IFERROR(__xludf.DUMMYFUNCTION("""COMPUTED_VALUE"""),356.0)</f>
        <v>356</v>
      </c>
      <c r="F303" s="2">
        <f>IFERROR(__xludf.DUMMYFUNCTION("""COMPUTED_VALUE"""),4.74126E7)</f>
        <v>47412600</v>
      </c>
      <c r="G303" s="2">
        <f t="shared" si="1"/>
        <v>12</v>
      </c>
    </row>
    <row r="304" ht="15.75" customHeight="1">
      <c r="A304" s="1">
        <f>IFERROR(__xludf.DUMMYFUNCTION("""COMPUTED_VALUE"""),44286.625)</f>
        <v>44286.625</v>
      </c>
      <c r="B304" s="2">
        <f>IFERROR(__xludf.DUMMYFUNCTION("""COMPUTED_VALUE"""),356.0)</f>
        <v>356</v>
      </c>
      <c r="C304" s="2">
        <f>IFERROR(__xludf.DUMMYFUNCTION("""COMPUTED_VALUE"""),356.0)</f>
        <v>356</v>
      </c>
      <c r="D304" s="2">
        <f>IFERROR(__xludf.DUMMYFUNCTION("""COMPUTED_VALUE"""),338.0)</f>
        <v>338</v>
      </c>
      <c r="E304" s="2">
        <f>IFERROR(__xludf.DUMMYFUNCTION("""COMPUTED_VALUE"""),344.0)</f>
        <v>344</v>
      </c>
      <c r="F304" s="2">
        <f>IFERROR(__xludf.DUMMYFUNCTION("""COMPUTED_VALUE"""),8.52827E7)</f>
        <v>85282700</v>
      </c>
      <c r="G304" s="2">
        <f t="shared" si="1"/>
        <v>18</v>
      </c>
    </row>
    <row r="305" ht="15.75" customHeight="1">
      <c r="A305" s="1">
        <f>IFERROR(__xludf.DUMMYFUNCTION("""COMPUTED_VALUE"""),44287.625)</f>
        <v>44287.625</v>
      </c>
      <c r="B305" s="2">
        <f>IFERROR(__xludf.DUMMYFUNCTION("""COMPUTED_VALUE"""),346.0)</f>
        <v>346</v>
      </c>
      <c r="C305" s="2">
        <f>IFERROR(__xludf.DUMMYFUNCTION("""COMPUTED_VALUE"""),350.0)</f>
        <v>350</v>
      </c>
      <c r="D305" s="2">
        <f>IFERROR(__xludf.DUMMYFUNCTION("""COMPUTED_VALUE"""),342.0)</f>
        <v>342</v>
      </c>
      <c r="E305" s="2">
        <f>IFERROR(__xludf.DUMMYFUNCTION("""COMPUTED_VALUE"""),346.0)</f>
        <v>346</v>
      </c>
      <c r="F305" s="2">
        <f>IFERROR(__xludf.DUMMYFUNCTION("""COMPUTED_VALUE"""),4.38957E7)</f>
        <v>43895700</v>
      </c>
      <c r="G305" s="2">
        <f t="shared" si="1"/>
        <v>8</v>
      </c>
    </row>
    <row r="306" ht="15.75" customHeight="1">
      <c r="A306" s="1">
        <f>IFERROR(__xludf.DUMMYFUNCTION("""COMPUTED_VALUE"""),44291.625)</f>
        <v>44291.625</v>
      </c>
      <c r="B306" s="2">
        <f>IFERROR(__xludf.DUMMYFUNCTION("""COMPUTED_VALUE"""),346.0)</f>
        <v>346</v>
      </c>
      <c r="C306" s="2">
        <f>IFERROR(__xludf.DUMMYFUNCTION("""COMPUTED_VALUE"""),354.0)</f>
        <v>354</v>
      </c>
      <c r="D306" s="2">
        <f>IFERROR(__xludf.DUMMYFUNCTION("""COMPUTED_VALUE"""),340.0)</f>
        <v>340</v>
      </c>
      <c r="E306" s="2">
        <f>IFERROR(__xludf.DUMMYFUNCTION("""COMPUTED_VALUE"""),340.0)</f>
        <v>340</v>
      </c>
      <c r="F306" s="2">
        <f>IFERROR(__xludf.DUMMYFUNCTION("""COMPUTED_VALUE"""),4.11456E7)</f>
        <v>41145600</v>
      </c>
      <c r="G306" s="2">
        <f t="shared" si="1"/>
        <v>14</v>
      </c>
    </row>
    <row r="307" ht="15.75" customHeight="1">
      <c r="A307" s="1">
        <f>IFERROR(__xludf.DUMMYFUNCTION("""COMPUTED_VALUE"""),44292.625)</f>
        <v>44292.625</v>
      </c>
      <c r="B307" s="2">
        <f>IFERROR(__xludf.DUMMYFUNCTION("""COMPUTED_VALUE"""),340.0)</f>
        <v>340</v>
      </c>
      <c r="C307" s="2">
        <f>IFERROR(__xludf.DUMMYFUNCTION("""COMPUTED_VALUE"""),340.0)</f>
        <v>340</v>
      </c>
      <c r="D307" s="2">
        <f>IFERROR(__xludf.DUMMYFUNCTION("""COMPUTED_VALUE"""),326.0)</f>
        <v>326</v>
      </c>
      <c r="E307" s="2">
        <f>IFERROR(__xludf.DUMMYFUNCTION("""COMPUTED_VALUE"""),332.0)</f>
        <v>332</v>
      </c>
      <c r="F307" s="2">
        <f>IFERROR(__xludf.DUMMYFUNCTION("""COMPUTED_VALUE"""),1.211708E8)</f>
        <v>121170800</v>
      </c>
      <c r="G307" s="2">
        <f t="shared" si="1"/>
        <v>14</v>
      </c>
    </row>
    <row r="308" ht="15.75" customHeight="1">
      <c r="A308" s="1">
        <f>IFERROR(__xludf.DUMMYFUNCTION("""COMPUTED_VALUE"""),44293.625)</f>
        <v>44293.625</v>
      </c>
      <c r="B308" s="2">
        <f>IFERROR(__xludf.DUMMYFUNCTION("""COMPUTED_VALUE"""),336.0)</f>
        <v>336</v>
      </c>
      <c r="C308" s="2">
        <f>IFERROR(__xludf.DUMMYFUNCTION("""COMPUTED_VALUE"""),336.0)</f>
        <v>336</v>
      </c>
      <c r="D308" s="2">
        <f>IFERROR(__xludf.DUMMYFUNCTION("""COMPUTED_VALUE"""),328.0)</f>
        <v>328</v>
      </c>
      <c r="E308" s="2">
        <f>IFERROR(__xludf.DUMMYFUNCTION("""COMPUTED_VALUE"""),332.0)</f>
        <v>332</v>
      </c>
      <c r="F308" s="2">
        <f>IFERROR(__xludf.DUMMYFUNCTION("""COMPUTED_VALUE"""),4.25943E7)</f>
        <v>42594300</v>
      </c>
      <c r="G308" s="2">
        <f t="shared" si="1"/>
        <v>8</v>
      </c>
    </row>
    <row r="309" ht="15.75" customHeight="1">
      <c r="A309" s="1">
        <f>IFERROR(__xludf.DUMMYFUNCTION("""COMPUTED_VALUE"""),44294.625)</f>
        <v>44294.625</v>
      </c>
      <c r="B309" s="2">
        <f>IFERROR(__xludf.DUMMYFUNCTION("""COMPUTED_VALUE"""),332.0)</f>
        <v>332</v>
      </c>
      <c r="C309" s="2">
        <f>IFERROR(__xludf.DUMMYFUNCTION("""COMPUTED_VALUE"""),346.0)</f>
        <v>346</v>
      </c>
      <c r="D309" s="2">
        <f>IFERROR(__xludf.DUMMYFUNCTION("""COMPUTED_VALUE"""),330.0)</f>
        <v>330</v>
      </c>
      <c r="E309" s="2">
        <f>IFERROR(__xludf.DUMMYFUNCTION("""COMPUTED_VALUE"""),346.0)</f>
        <v>346</v>
      </c>
      <c r="F309" s="2">
        <f>IFERROR(__xludf.DUMMYFUNCTION("""COMPUTED_VALUE"""),7.59308E7)</f>
        <v>75930800</v>
      </c>
      <c r="G309" s="2">
        <f t="shared" si="1"/>
        <v>16</v>
      </c>
    </row>
    <row r="310" ht="15.75" customHeight="1">
      <c r="A310" s="1">
        <f>IFERROR(__xludf.DUMMYFUNCTION("""COMPUTED_VALUE"""),44295.625)</f>
        <v>44295.625</v>
      </c>
      <c r="B310" s="2">
        <f>IFERROR(__xludf.DUMMYFUNCTION("""COMPUTED_VALUE"""),350.0)</f>
        <v>350</v>
      </c>
      <c r="C310" s="2">
        <f>IFERROR(__xludf.DUMMYFUNCTION("""COMPUTED_VALUE"""),352.0)</f>
        <v>352</v>
      </c>
      <c r="D310" s="2">
        <f>IFERROR(__xludf.DUMMYFUNCTION("""COMPUTED_VALUE"""),342.0)</f>
        <v>342</v>
      </c>
      <c r="E310" s="2">
        <f>IFERROR(__xludf.DUMMYFUNCTION("""COMPUTED_VALUE"""),342.0)</f>
        <v>342</v>
      </c>
      <c r="F310" s="2">
        <f>IFERROR(__xludf.DUMMYFUNCTION("""COMPUTED_VALUE"""),4.95783E7)</f>
        <v>49578300</v>
      </c>
      <c r="G310" s="2">
        <f t="shared" si="1"/>
        <v>10</v>
      </c>
    </row>
    <row r="311" ht="15.75" customHeight="1">
      <c r="A311" s="1">
        <f>IFERROR(__xludf.DUMMYFUNCTION("""COMPUTED_VALUE"""),44298.625)</f>
        <v>44298.625</v>
      </c>
      <c r="B311" s="2">
        <f>IFERROR(__xludf.DUMMYFUNCTION("""COMPUTED_VALUE"""),344.0)</f>
        <v>344</v>
      </c>
      <c r="C311" s="2">
        <f>IFERROR(__xludf.DUMMYFUNCTION("""COMPUTED_VALUE"""),346.0)</f>
        <v>346</v>
      </c>
      <c r="D311" s="2">
        <f>IFERROR(__xludf.DUMMYFUNCTION("""COMPUTED_VALUE"""),326.0)</f>
        <v>326</v>
      </c>
      <c r="E311" s="2">
        <f>IFERROR(__xludf.DUMMYFUNCTION("""COMPUTED_VALUE"""),328.0)</f>
        <v>328</v>
      </c>
      <c r="F311" s="2">
        <f>IFERROR(__xludf.DUMMYFUNCTION("""COMPUTED_VALUE"""),5.87804E7)</f>
        <v>58780400</v>
      </c>
      <c r="G311" s="2">
        <f t="shared" si="1"/>
        <v>20</v>
      </c>
    </row>
    <row r="312" ht="15.75" customHeight="1">
      <c r="A312" s="1">
        <f>IFERROR(__xludf.DUMMYFUNCTION("""COMPUTED_VALUE"""),44299.625)</f>
        <v>44299.625</v>
      </c>
      <c r="B312" s="2">
        <f>IFERROR(__xludf.DUMMYFUNCTION("""COMPUTED_VALUE"""),330.0)</f>
        <v>330</v>
      </c>
      <c r="C312" s="2">
        <f>IFERROR(__xludf.DUMMYFUNCTION("""COMPUTED_VALUE"""),332.0)</f>
        <v>332</v>
      </c>
      <c r="D312" s="2">
        <f>IFERROR(__xludf.DUMMYFUNCTION("""COMPUTED_VALUE"""),318.0)</f>
        <v>318</v>
      </c>
      <c r="E312" s="2">
        <f>IFERROR(__xludf.DUMMYFUNCTION("""COMPUTED_VALUE"""),324.0)</f>
        <v>324</v>
      </c>
      <c r="F312" s="2">
        <f>IFERROR(__xludf.DUMMYFUNCTION("""COMPUTED_VALUE"""),5.68949E7)</f>
        <v>56894900</v>
      </c>
      <c r="G312" s="2">
        <f t="shared" si="1"/>
        <v>14</v>
      </c>
    </row>
    <row r="313" ht="15.75" customHeight="1">
      <c r="A313" s="1">
        <f>IFERROR(__xludf.DUMMYFUNCTION("""COMPUTED_VALUE"""),44300.625)</f>
        <v>44300.625</v>
      </c>
      <c r="B313" s="2">
        <f>IFERROR(__xludf.DUMMYFUNCTION("""COMPUTED_VALUE"""),326.0)</f>
        <v>326</v>
      </c>
      <c r="C313" s="2">
        <f>IFERROR(__xludf.DUMMYFUNCTION("""COMPUTED_VALUE"""),338.0)</f>
        <v>338</v>
      </c>
      <c r="D313" s="2">
        <f>IFERROR(__xludf.DUMMYFUNCTION("""COMPUTED_VALUE"""),326.0)</f>
        <v>326</v>
      </c>
      <c r="E313" s="2">
        <f>IFERROR(__xludf.DUMMYFUNCTION("""COMPUTED_VALUE"""),338.0)</f>
        <v>338</v>
      </c>
      <c r="F313" s="2">
        <f>IFERROR(__xludf.DUMMYFUNCTION("""COMPUTED_VALUE"""),4.80647E7)</f>
        <v>48064700</v>
      </c>
      <c r="G313" s="2">
        <f t="shared" si="1"/>
        <v>14</v>
      </c>
    </row>
    <row r="314" ht="15.75" customHeight="1">
      <c r="A314" s="1">
        <f>IFERROR(__xludf.DUMMYFUNCTION("""COMPUTED_VALUE"""),44301.625)</f>
        <v>44301.625</v>
      </c>
      <c r="B314" s="2">
        <f>IFERROR(__xludf.DUMMYFUNCTION("""COMPUTED_VALUE"""),350.0)</f>
        <v>350</v>
      </c>
      <c r="C314" s="2">
        <f>IFERROR(__xludf.DUMMYFUNCTION("""COMPUTED_VALUE"""),350.0)</f>
        <v>350</v>
      </c>
      <c r="D314" s="2">
        <f>IFERROR(__xludf.DUMMYFUNCTION("""COMPUTED_VALUE"""),340.0)</f>
        <v>340</v>
      </c>
      <c r="E314" s="2">
        <f>IFERROR(__xludf.DUMMYFUNCTION("""COMPUTED_VALUE"""),340.0)</f>
        <v>340</v>
      </c>
      <c r="F314" s="2">
        <f>IFERROR(__xludf.DUMMYFUNCTION("""COMPUTED_VALUE"""),3.6269E7)</f>
        <v>36269000</v>
      </c>
      <c r="G314" s="2">
        <f t="shared" si="1"/>
        <v>12</v>
      </c>
    </row>
    <row r="315" ht="15.75" customHeight="1">
      <c r="A315" s="1">
        <f>IFERROR(__xludf.DUMMYFUNCTION("""COMPUTED_VALUE"""),44302.625)</f>
        <v>44302.625</v>
      </c>
      <c r="B315" s="2">
        <f>IFERROR(__xludf.DUMMYFUNCTION("""COMPUTED_VALUE"""),340.0)</f>
        <v>340</v>
      </c>
      <c r="C315" s="2">
        <f>IFERROR(__xludf.DUMMYFUNCTION("""COMPUTED_VALUE"""),344.0)</f>
        <v>344</v>
      </c>
      <c r="D315" s="2">
        <f>IFERROR(__xludf.DUMMYFUNCTION("""COMPUTED_VALUE"""),338.0)</f>
        <v>338</v>
      </c>
      <c r="E315" s="2">
        <f>IFERROR(__xludf.DUMMYFUNCTION("""COMPUTED_VALUE"""),338.0)</f>
        <v>338</v>
      </c>
      <c r="F315" s="2">
        <f>IFERROR(__xludf.DUMMYFUNCTION("""COMPUTED_VALUE"""),3.02726E7)</f>
        <v>30272600</v>
      </c>
      <c r="G315" s="2">
        <f t="shared" si="1"/>
        <v>6</v>
      </c>
    </row>
    <row r="316" ht="15.75" customHeight="1">
      <c r="A316" s="1">
        <f>IFERROR(__xludf.DUMMYFUNCTION("""COMPUTED_VALUE"""),44305.625)</f>
        <v>44305.625</v>
      </c>
      <c r="B316" s="2">
        <f>IFERROR(__xludf.DUMMYFUNCTION("""COMPUTED_VALUE"""),340.0)</f>
        <v>340</v>
      </c>
      <c r="C316" s="2">
        <f>IFERROR(__xludf.DUMMYFUNCTION("""COMPUTED_VALUE"""),340.0)</f>
        <v>340</v>
      </c>
      <c r="D316" s="2">
        <f>IFERROR(__xludf.DUMMYFUNCTION("""COMPUTED_VALUE"""),330.0)</f>
        <v>330</v>
      </c>
      <c r="E316" s="2">
        <f>IFERROR(__xludf.DUMMYFUNCTION("""COMPUTED_VALUE"""),332.0)</f>
        <v>332</v>
      </c>
      <c r="F316" s="2">
        <f>IFERROR(__xludf.DUMMYFUNCTION("""COMPUTED_VALUE"""),2.49846E7)</f>
        <v>24984600</v>
      </c>
      <c r="G316" s="2">
        <f t="shared" si="1"/>
        <v>10</v>
      </c>
    </row>
    <row r="317" ht="15.75" customHeight="1">
      <c r="A317" s="1">
        <f>IFERROR(__xludf.DUMMYFUNCTION("""COMPUTED_VALUE"""),44306.625)</f>
        <v>44306.625</v>
      </c>
      <c r="B317" s="2">
        <f>IFERROR(__xludf.DUMMYFUNCTION("""COMPUTED_VALUE"""),332.0)</f>
        <v>332</v>
      </c>
      <c r="C317" s="2">
        <f>IFERROR(__xludf.DUMMYFUNCTION("""COMPUTED_VALUE"""),338.0)</f>
        <v>338</v>
      </c>
      <c r="D317" s="2">
        <f>IFERROR(__xludf.DUMMYFUNCTION("""COMPUTED_VALUE"""),330.0)</f>
        <v>330</v>
      </c>
      <c r="E317" s="2">
        <f>IFERROR(__xludf.DUMMYFUNCTION("""COMPUTED_VALUE"""),336.0)</f>
        <v>336</v>
      </c>
      <c r="F317" s="2">
        <f>IFERROR(__xludf.DUMMYFUNCTION("""COMPUTED_VALUE"""),1.65201E7)</f>
        <v>16520100</v>
      </c>
      <c r="G317" s="2">
        <f t="shared" si="1"/>
        <v>8</v>
      </c>
    </row>
    <row r="318" ht="15.75" customHeight="1">
      <c r="A318" s="1">
        <f>IFERROR(__xludf.DUMMYFUNCTION("""COMPUTED_VALUE"""),44307.625)</f>
        <v>44307.625</v>
      </c>
      <c r="B318" s="2">
        <f>IFERROR(__xludf.DUMMYFUNCTION("""COMPUTED_VALUE"""),334.0)</f>
        <v>334</v>
      </c>
      <c r="C318" s="2">
        <f>IFERROR(__xludf.DUMMYFUNCTION("""COMPUTED_VALUE"""),336.0)</f>
        <v>336</v>
      </c>
      <c r="D318" s="2">
        <f>IFERROR(__xludf.DUMMYFUNCTION("""COMPUTED_VALUE"""),330.0)</f>
        <v>330</v>
      </c>
      <c r="E318" s="2">
        <f>IFERROR(__xludf.DUMMYFUNCTION("""COMPUTED_VALUE"""),334.0)</f>
        <v>334</v>
      </c>
      <c r="F318" s="2">
        <f>IFERROR(__xludf.DUMMYFUNCTION("""COMPUTED_VALUE"""),1.89514E7)</f>
        <v>18951400</v>
      </c>
      <c r="G318" s="2">
        <f t="shared" si="1"/>
        <v>6</v>
      </c>
    </row>
    <row r="319" ht="15.75" customHeight="1">
      <c r="A319" s="1">
        <f>IFERROR(__xludf.DUMMYFUNCTION("""COMPUTED_VALUE"""),44308.625)</f>
        <v>44308.625</v>
      </c>
      <c r="B319" s="2">
        <f>IFERROR(__xludf.DUMMYFUNCTION("""COMPUTED_VALUE"""),334.0)</f>
        <v>334</v>
      </c>
      <c r="C319" s="2">
        <f>IFERROR(__xludf.DUMMYFUNCTION("""COMPUTED_VALUE"""),338.0)</f>
        <v>338</v>
      </c>
      <c r="D319" s="2">
        <f>IFERROR(__xludf.DUMMYFUNCTION("""COMPUTED_VALUE"""),330.0)</f>
        <v>330</v>
      </c>
      <c r="E319" s="2">
        <f>IFERROR(__xludf.DUMMYFUNCTION("""COMPUTED_VALUE"""),332.0)</f>
        <v>332</v>
      </c>
      <c r="F319" s="2">
        <f>IFERROR(__xludf.DUMMYFUNCTION("""COMPUTED_VALUE"""),1.51546E7)</f>
        <v>15154600</v>
      </c>
      <c r="G319" s="2">
        <f t="shared" si="1"/>
        <v>8</v>
      </c>
    </row>
    <row r="320" ht="15.75" customHeight="1">
      <c r="A320" s="1">
        <f>IFERROR(__xludf.DUMMYFUNCTION("""COMPUTED_VALUE"""),44309.625)</f>
        <v>44309.625</v>
      </c>
      <c r="B320" s="2">
        <f>IFERROR(__xludf.DUMMYFUNCTION("""COMPUTED_VALUE"""),332.0)</f>
        <v>332</v>
      </c>
      <c r="C320" s="2">
        <f>IFERROR(__xludf.DUMMYFUNCTION("""COMPUTED_VALUE"""),344.0)</f>
        <v>344</v>
      </c>
      <c r="D320" s="2">
        <f>IFERROR(__xludf.DUMMYFUNCTION("""COMPUTED_VALUE"""),330.0)</f>
        <v>330</v>
      </c>
      <c r="E320" s="2">
        <f>IFERROR(__xludf.DUMMYFUNCTION("""COMPUTED_VALUE"""),342.0)</f>
        <v>342</v>
      </c>
      <c r="F320" s="2">
        <f>IFERROR(__xludf.DUMMYFUNCTION("""COMPUTED_VALUE"""),6.37773E7)</f>
        <v>63777300</v>
      </c>
      <c r="G320" s="2">
        <f t="shared" si="1"/>
        <v>14</v>
      </c>
    </row>
    <row r="321" ht="15.75" customHeight="1">
      <c r="A321" s="1">
        <f>IFERROR(__xludf.DUMMYFUNCTION("""COMPUTED_VALUE"""),44312.625)</f>
        <v>44312.625</v>
      </c>
      <c r="B321" s="2">
        <f>IFERROR(__xludf.DUMMYFUNCTION("""COMPUTED_VALUE"""),344.0)</f>
        <v>344</v>
      </c>
      <c r="C321" s="2">
        <f>IFERROR(__xludf.DUMMYFUNCTION("""COMPUTED_VALUE"""),348.0)</f>
        <v>348</v>
      </c>
      <c r="D321" s="2">
        <f>IFERROR(__xludf.DUMMYFUNCTION("""COMPUTED_VALUE"""),340.0)</f>
        <v>340</v>
      </c>
      <c r="E321" s="2">
        <f>IFERROR(__xludf.DUMMYFUNCTION("""COMPUTED_VALUE"""),342.0)</f>
        <v>342</v>
      </c>
      <c r="F321" s="2">
        <f>IFERROR(__xludf.DUMMYFUNCTION("""COMPUTED_VALUE"""),3.50414E7)</f>
        <v>35041400</v>
      </c>
      <c r="G321" s="2">
        <f t="shared" si="1"/>
        <v>8</v>
      </c>
    </row>
    <row r="322" ht="15.75" customHeight="1">
      <c r="A322" s="1">
        <f>IFERROR(__xludf.DUMMYFUNCTION("""COMPUTED_VALUE"""),44313.625)</f>
        <v>44313.625</v>
      </c>
      <c r="B322" s="2">
        <f>IFERROR(__xludf.DUMMYFUNCTION("""COMPUTED_VALUE"""),342.0)</f>
        <v>342</v>
      </c>
      <c r="C322" s="2">
        <f>IFERROR(__xludf.DUMMYFUNCTION("""COMPUTED_VALUE"""),342.0)</f>
        <v>342</v>
      </c>
      <c r="D322" s="2">
        <f>IFERROR(__xludf.DUMMYFUNCTION("""COMPUTED_VALUE"""),334.0)</f>
        <v>334</v>
      </c>
      <c r="E322" s="2">
        <f>IFERROR(__xludf.DUMMYFUNCTION("""COMPUTED_VALUE"""),336.0)</f>
        <v>336</v>
      </c>
      <c r="F322" s="2">
        <f>IFERROR(__xludf.DUMMYFUNCTION("""COMPUTED_VALUE"""),2.23937E7)</f>
        <v>22393700</v>
      </c>
      <c r="G322" s="2">
        <f t="shared" si="1"/>
        <v>8</v>
      </c>
    </row>
    <row r="323" ht="15.75" customHeight="1">
      <c r="A323" s="1">
        <f>IFERROR(__xludf.DUMMYFUNCTION("""COMPUTED_VALUE"""),44314.625)</f>
        <v>44314.625</v>
      </c>
      <c r="B323" s="2">
        <f>IFERROR(__xludf.DUMMYFUNCTION("""COMPUTED_VALUE"""),338.0)</f>
        <v>338</v>
      </c>
      <c r="C323" s="2">
        <f>IFERROR(__xludf.DUMMYFUNCTION("""COMPUTED_VALUE"""),342.0)</f>
        <v>342</v>
      </c>
      <c r="D323" s="2">
        <f>IFERROR(__xludf.DUMMYFUNCTION("""COMPUTED_VALUE"""),334.0)</f>
        <v>334</v>
      </c>
      <c r="E323" s="2">
        <f>IFERROR(__xludf.DUMMYFUNCTION("""COMPUTED_VALUE"""),342.0)</f>
        <v>342</v>
      </c>
      <c r="F323" s="2">
        <f>IFERROR(__xludf.DUMMYFUNCTION("""COMPUTED_VALUE"""),2.58034E7)</f>
        <v>25803400</v>
      </c>
      <c r="G323" s="2">
        <f t="shared" si="1"/>
        <v>8</v>
      </c>
    </row>
    <row r="324" ht="15.75" customHeight="1">
      <c r="A324" s="1">
        <f>IFERROR(__xludf.DUMMYFUNCTION("""COMPUTED_VALUE"""),44315.625)</f>
        <v>44315.625</v>
      </c>
      <c r="B324" s="2">
        <f>IFERROR(__xludf.DUMMYFUNCTION("""COMPUTED_VALUE"""),344.0)</f>
        <v>344</v>
      </c>
      <c r="C324" s="2">
        <f>IFERROR(__xludf.DUMMYFUNCTION("""COMPUTED_VALUE"""),348.0)</f>
        <v>348</v>
      </c>
      <c r="D324" s="2">
        <f>IFERROR(__xludf.DUMMYFUNCTION("""COMPUTED_VALUE"""),342.0)</f>
        <v>342</v>
      </c>
      <c r="E324" s="2">
        <f>IFERROR(__xludf.DUMMYFUNCTION("""COMPUTED_VALUE"""),344.0)</f>
        <v>344</v>
      </c>
      <c r="F324" s="2">
        <f>IFERROR(__xludf.DUMMYFUNCTION("""COMPUTED_VALUE"""),4.85097E7)</f>
        <v>48509700</v>
      </c>
      <c r="G324" s="2">
        <f t="shared" si="1"/>
        <v>6</v>
      </c>
    </row>
    <row r="325" ht="15.75" customHeight="1">
      <c r="A325" s="1">
        <f>IFERROR(__xludf.DUMMYFUNCTION("""COMPUTED_VALUE"""),44316.625)</f>
        <v>44316.625</v>
      </c>
      <c r="B325" s="2">
        <f>IFERROR(__xludf.DUMMYFUNCTION("""COMPUTED_VALUE"""),346.0)</f>
        <v>346</v>
      </c>
      <c r="C325" s="2">
        <f>IFERROR(__xludf.DUMMYFUNCTION("""COMPUTED_VALUE"""),358.0)</f>
        <v>358</v>
      </c>
      <c r="D325" s="2">
        <f>IFERROR(__xludf.DUMMYFUNCTION("""COMPUTED_VALUE"""),344.0)</f>
        <v>344</v>
      </c>
      <c r="E325" s="2">
        <f>IFERROR(__xludf.DUMMYFUNCTION("""COMPUTED_VALUE"""),356.0)</f>
        <v>356</v>
      </c>
      <c r="F325" s="2">
        <f>IFERROR(__xludf.DUMMYFUNCTION("""COMPUTED_VALUE"""),1.695215E8)</f>
        <v>169521500</v>
      </c>
      <c r="G325" s="2">
        <f t="shared" si="1"/>
        <v>14</v>
      </c>
    </row>
    <row r="326" ht="15.75" customHeight="1">
      <c r="A326" s="1">
        <f>IFERROR(__xludf.DUMMYFUNCTION("""COMPUTED_VALUE"""),44319.66666666667)</f>
        <v>44319.66667</v>
      </c>
      <c r="B326" s="2">
        <f>IFERROR(__xludf.DUMMYFUNCTION("""COMPUTED_VALUE"""),356.0)</f>
        <v>356</v>
      </c>
      <c r="C326" s="2">
        <f>IFERROR(__xludf.DUMMYFUNCTION("""COMPUTED_VALUE"""),356.0)</f>
        <v>356</v>
      </c>
      <c r="D326" s="2">
        <f>IFERROR(__xludf.DUMMYFUNCTION("""COMPUTED_VALUE"""),340.0)</f>
        <v>340</v>
      </c>
      <c r="E326" s="2">
        <f>IFERROR(__xludf.DUMMYFUNCTION("""COMPUTED_VALUE"""),342.0)</f>
        <v>342</v>
      </c>
      <c r="F326" s="2">
        <f>IFERROR(__xludf.DUMMYFUNCTION("""COMPUTED_VALUE"""),1.020389E8)</f>
        <v>102038900</v>
      </c>
      <c r="G326" s="2">
        <f t="shared" si="1"/>
        <v>16</v>
      </c>
    </row>
    <row r="327" ht="15.75" customHeight="1">
      <c r="A327" s="1">
        <f>IFERROR(__xludf.DUMMYFUNCTION("""COMPUTED_VALUE"""),44320.66666666667)</f>
        <v>44320.66667</v>
      </c>
      <c r="B327" s="2">
        <f>IFERROR(__xludf.DUMMYFUNCTION("""COMPUTED_VALUE"""),344.0)</f>
        <v>344</v>
      </c>
      <c r="C327" s="2">
        <f>IFERROR(__xludf.DUMMYFUNCTION("""COMPUTED_VALUE"""),348.0)</f>
        <v>348</v>
      </c>
      <c r="D327" s="2">
        <f>IFERROR(__xludf.DUMMYFUNCTION("""COMPUTED_VALUE"""),340.0)</f>
        <v>340</v>
      </c>
      <c r="E327" s="2">
        <f>IFERROR(__xludf.DUMMYFUNCTION("""COMPUTED_VALUE"""),342.0)</f>
        <v>342</v>
      </c>
      <c r="F327" s="2">
        <f>IFERROR(__xludf.DUMMYFUNCTION("""COMPUTED_VALUE"""),3.62279E7)</f>
        <v>36227900</v>
      </c>
      <c r="G327" s="2">
        <f t="shared" si="1"/>
        <v>8</v>
      </c>
    </row>
    <row r="328" ht="15.75" customHeight="1">
      <c r="A328" s="1">
        <f>IFERROR(__xludf.DUMMYFUNCTION("""COMPUTED_VALUE"""),44321.625)</f>
        <v>44321.625</v>
      </c>
      <c r="B328" s="2">
        <f>IFERROR(__xludf.DUMMYFUNCTION("""COMPUTED_VALUE"""),344.0)</f>
        <v>344</v>
      </c>
      <c r="C328" s="2">
        <f>IFERROR(__xludf.DUMMYFUNCTION("""COMPUTED_VALUE"""),352.0)</f>
        <v>352</v>
      </c>
      <c r="D328" s="2">
        <f>IFERROR(__xludf.DUMMYFUNCTION("""COMPUTED_VALUE"""),344.0)</f>
        <v>344</v>
      </c>
      <c r="E328" s="2">
        <f>IFERROR(__xludf.DUMMYFUNCTION("""COMPUTED_VALUE"""),348.0)</f>
        <v>348</v>
      </c>
      <c r="F328" s="2">
        <f>IFERROR(__xludf.DUMMYFUNCTION("""COMPUTED_VALUE"""),5.98921E7)</f>
        <v>59892100</v>
      </c>
      <c r="G328" s="2">
        <f t="shared" si="1"/>
        <v>10</v>
      </c>
    </row>
    <row r="329" ht="15.75" customHeight="1">
      <c r="A329" s="1">
        <f>IFERROR(__xludf.DUMMYFUNCTION("""COMPUTED_VALUE"""),44322.625)</f>
        <v>44322.625</v>
      </c>
      <c r="B329" s="2">
        <f>IFERROR(__xludf.DUMMYFUNCTION("""COMPUTED_VALUE"""),348.0)</f>
        <v>348</v>
      </c>
      <c r="C329" s="2">
        <f>IFERROR(__xludf.DUMMYFUNCTION("""COMPUTED_VALUE"""),352.0)</f>
        <v>352</v>
      </c>
      <c r="D329" s="2">
        <f>IFERROR(__xludf.DUMMYFUNCTION("""COMPUTED_VALUE"""),344.0)</f>
        <v>344</v>
      </c>
      <c r="E329" s="2">
        <f>IFERROR(__xludf.DUMMYFUNCTION("""COMPUTED_VALUE"""),346.0)</f>
        <v>346</v>
      </c>
      <c r="F329" s="2">
        <f>IFERROR(__xludf.DUMMYFUNCTION("""COMPUTED_VALUE"""),2.44274E7)</f>
        <v>24427400</v>
      </c>
      <c r="G329" s="2">
        <f t="shared" si="1"/>
        <v>8</v>
      </c>
    </row>
    <row r="330" ht="15.75" customHeight="1">
      <c r="A330" s="1">
        <f>IFERROR(__xludf.DUMMYFUNCTION("""COMPUTED_VALUE"""),44323.625)</f>
        <v>44323.625</v>
      </c>
      <c r="B330" s="2">
        <f>IFERROR(__xludf.DUMMYFUNCTION("""COMPUTED_VALUE"""),346.0)</f>
        <v>346</v>
      </c>
      <c r="C330" s="2">
        <f>IFERROR(__xludf.DUMMYFUNCTION("""COMPUTED_VALUE"""),352.0)</f>
        <v>352</v>
      </c>
      <c r="D330" s="2">
        <f>IFERROR(__xludf.DUMMYFUNCTION("""COMPUTED_VALUE"""),342.0)</f>
        <v>342</v>
      </c>
      <c r="E330" s="2">
        <f>IFERROR(__xludf.DUMMYFUNCTION("""COMPUTED_VALUE"""),342.0)</f>
        <v>342</v>
      </c>
      <c r="F330" s="2">
        <f>IFERROR(__xludf.DUMMYFUNCTION("""COMPUTED_VALUE"""),4.19573E7)</f>
        <v>41957300</v>
      </c>
      <c r="G330" s="2">
        <f t="shared" si="1"/>
        <v>10</v>
      </c>
    </row>
    <row r="331" ht="15.75" customHeight="1">
      <c r="A331" s="1">
        <f>IFERROR(__xludf.DUMMYFUNCTION("""COMPUTED_VALUE"""),44326.66666666667)</f>
        <v>44326.66667</v>
      </c>
      <c r="B331" s="2">
        <f>IFERROR(__xludf.DUMMYFUNCTION("""COMPUTED_VALUE"""),342.0)</f>
        <v>342</v>
      </c>
      <c r="C331" s="2">
        <f>IFERROR(__xludf.DUMMYFUNCTION("""COMPUTED_VALUE"""),348.0)</f>
        <v>348</v>
      </c>
      <c r="D331" s="2">
        <f>IFERROR(__xludf.DUMMYFUNCTION("""COMPUTED_VALUE"""),342.0)</f>
        <v>342</v>
      </c>
      <c r="E331" s="2">
        <f>IFERROR(__xludf.DUMMYFUNCTION("""COMPUTED_VALUE"""),344.0)</f>
        <v>344</v>
      </c>
      <c r="F331" s="2">
        <f>IFERROR(__xludf.DUMMYFUNCTION("""COMPUTED_VALUE"""),2.72554E7)</f>
        <v>27255400</v>
      </c>
      <c r="G331" s="2">
        <f t="shared" si="1"/>
        <v>6</v>
      </c>
    </row>
    <row r="332" ht="15.75" customHeight="1">
      <c r="A332" s="1">
        <f>IFERROR(__xludf.DUMMYFUNCTION("""COMPUTED_VALUE"""),44327.66666666667)</f>
        <v>44327.66667</v>
      </c>
      <c r="B332" s="2">
        <f>IFERROR(__xludf.DUMMYFUNCTION("""COMPUTED_VALUE"""),344.0)</f>
        <v>344</v>
      </c>
      <c r="C332" s="2">
        <f>IFERROR(__xludf.DUMMYFUNCTION("""COMPUTED_VALUE"""),344.0)</f>
        <v>344</v>
      </c>
      <c r="D332" s="2">
        <f>IFERROR(__xludf.DUMMYFUNCTION("""COMPUTED_VALUE"""),336.0)</f>
        <v>336</v>
      </c>
      <c r="E332" s="2">
        <f>IFERROR(__xludf.DUMMYFUNCTION("""COMPUTED_VALUE"""),336.0)</f>
        <v>336</v>
      </c>
      <c r="F332" s="2">
        <f>IFERROR(__xludf.DUMMYFUNCTION("""COMPUTED_VALUE"""),3.7241E7)</f>
        <v>37241000</v>
      </c>
      <c r="G332" s="2">
        <f t="shared" si="1"/>
        <v>8</v>
      </c>
    </row>
    <row r="333" ht="15.75" customHeight="1">
      <c r="A333" s="1">
        <f>IFERROR(__xludf.DUMMYFUNCTION("""COMPUTED_VALUE"""),44333.625)</f>
        <v>44333.625</v>
      </c>
      <c r="B333" s="2">
        <f>IFERROR(__xludf.DUMMYFUNCTION("""COMPUTED_VALUE"""),334.0)</f>
        <v>334</v>
      </c>
      <c r="C333" s="2">
        <f>IFERROR(__xludf.DUMMYFUNCTION("""COMPUTED_VALUE"""),340.0)</f>
        <v>340</v>
      </c>
      <c r="D333" s="2">
        <f>IFERROR(__xludf.DUMMYFUNCTION("""COMPUTED_VALUE"""),326.0)</f>
        <v>326</v>
      </c>
      <c r="E333" s="2">
        <f>IFERROR(__xludf.DUMMYFUNCTION("""COMPUTED_VALUE"""),326.0)</f>
        <v>326</v>
      </c>
      <c r="F333" s="2">
        <f>IFERROR(__xludf.DUMMYFUNCTION("""COMPUTED_VALUE"""),4.85918E7)</f>
        <v>48591800</v>
      </c>
      <c r="G333" s="2">
        <f t="shared" si="1"/>
        <v>14</v>
      </c>
    </row>
    <row r="334" ht="15.75" customHeight="1">
      <c r="A334" s="1">
        <f>IFERROR(__xludf.DUMMYFUNCTION("""COMPUTED_VALUE"""),44334.625)</f>
        <v>44334.625</v>
      </c>
      <c r="B334" s="2">
        <f>IFERROR(__xludf.DUMMYFUNCTION("""COMPUTED_VALUE"""),324.0)</f>
        <v>324</v>
      </c>
      <c r="C334" s="2">
        <f>IFERROR(__xludf.DUMMYFUNCTION("""COMPUTED_VALUE"""),334.0)</f>
        <v>334</v>
      </c>
      <c r="D334" s="2">
        <f>IFERROR(__xludf.DUMMYFUNCTION("""COMPUTED_VALUE"""),322.0)</f>
        <v>322</v>
      </c>
      <c r="E334" s="2">
        <f>IFERROR(__xludf.DUMMYFUNCTION("""COMPUTED_VALUE"""),334.0)</f>
        <v>334</v>
      </c>
      <c r="F334" s="2">
        <f>IFERROR(__xludf.DUMMYFUNCTION("""COMPUTED_VALUE"""),4.58366E7)</f>
        <v>45836600</v>
      </c>
      <c r="G334" s="2">
        <f t="shared" si="1"/>
        <v>12</v>
      </c>
    </row>
    <row r="335" ht="15.75" customHeight="1">
      <c r="A335" s="1">
        <f>IFERROR(__xludf.DUMMYFUNCTION("""COMPUTED_VALUE"""),44335.625)</f>
        <v>44335.625</v>
      </c>
      <c r="B335" s="2">
        <f>IFERROR(__xludf.DUMMYFUNCTION("""COMPUTED_VALUE"""),336.0)</f>
        <v>336</v>
      </c>
      <c r="C335" s="2">
        <f>IFERROR(__xludf.DUMMYFUNCTION("""COMPUTED_VALUE"""),336.0)</f>
        <v>336</v>
      </c>
      <c r="D335" s="2">
        <f>IFERROR(__xludf.DUMMYFUNCTION("""COMPUTED_VALUE"""),322.0)</f>
        <v>322</v>
      </c>
      <c r="E335" s="2">
        <f>IFERROR(__xludf.DUMMYFUNCTION("""COMPUTED_VALUE"""),324.0)</f>
        <v>324</v>
      </c>
      <c r="F335" s="2">
        <f>IFERROR(__xludf.DUMMYFUNCTION("""COMPUTED_VALUE"""),2.68822E7)</f>
        <v>26882200</v>
      </c>
      <c r="G335" s="2">
        <f t="shared" si="1"/>
        <v>14</v>
      </c>
    </row>
    <row r="336" ht="15.75" customHeight="1">
      <c r="A336" s="1">
        <f>IFERROR(__xludf.DUMMYFUNCTION("""COMPUTED_VALUE"""),44336.625)</f>
        <v>44336.625</v>
      </c>
      <c r="B336" s="2">
        <f>IFERROR(__xludf.DUMMYFUNCTION("""COMPUTED_VALUE"""),324.0)</f>
        <v>324</v>
      </c>
      <c r="C336" s="2">
        <f>IFERROR(__xludf.DUMMYFUNCTION("""COMPUTED_VALUE"""),324.0)</f>
        <v>324</v>
      </c>
      <c r="D336" s="2">
        <f>IFERROR(__xludf.DUMMYFUNCTION("""COMPUTED_VALUE"""),312.0)</f>
        <v>312</v>
      </c>
      <c r="E336" s="2">
        <f>IFERROR(__xludf.DUMMYFUNCTION("""COMPUTED_VALUE"""),316.0)</f>
        <v>316</v>
      </c>
      <c r="F336" s="2">
        <f>IFERROR(__xludf.DUMMYFUNCTION("""COMPUTED_VALUE"""),3.22414E7)</f>
        <v>32241400</v>
      </c>
      <c r="G336" s="2">
        <f t="shared" si="1"/>
        <v>12</v>
      </c>
    </row>
    <row r="337" ht="15.75" customHeight="1">
      <c r="A337" s="1">
        <f>IFERROR(__xludf.DUMMYFUNCTION("""COMPUTED_VALUE"""),44337.625)</f>
        <v>44337.625</v>
      </c>
      <c r="B337" s="2">
        <f>IFERROR(__xludf.DUMMYFUNCTION("""COMPUTED_VALUE"""),316.0)</f>
        <v>316</v>
      </c>
      <c r="C337" s="2">
        <f>IFERROR(__xludf.DUMMYFUNCTION("""COMPUTED_VALUE"""),320.0)</f>
        <v>320</v>
      </c>
      <c r="D337" s="2">
        <f>IFERROR(__xludf.DUMMYFUNCTION("""COMPUTED_VALUE"""),300.0)</f>
        <v>300</v>
      </c>
      <c r="E337" s="2">
        <f>IFERROR(__xludf.DUMMYFUNCTION("""COMPUTED_VALUE"""),302.0)</f>
        <v>302</v>
      </c>
      <c r="F337" s="2">
        <f>IFERROR(__xludf.DUMMYFUNCTION("""COMPUTED_VALUE"""),5.71645E7)</f>
        <v>57164500</v>
      </c>
      <c r="G337" s="2">
        <f t="shared" si="1"/>
        <v>20</v>
      </c>
    </row>
    <row r="338" ht="15.75" customHeight="1">
      <c r="A338" s="1">
        <f>IFERROR(__xludf.DUMMYFUNCTION("""COMPUTED_VALUE"""),44340.625)</f>
        <v>44340.625</v>
      </c>
      <c r="B338" s="2">
        <f>IFERROR(__xludf.DUMMYFUNCTION("""COMPUTED_VALUE"""),304.0)</f>
        <v>304</v>
      </c>
      <c r="C338" s="2">
        <f>IFERROR(__xludf.DUMMYFUNCTION("""COMPUTED_VALUE"""),306.0)</f>
        <v>306</v>
      </c>
      <c r="D338" s="2">
        <f>IFERROR(__xludf.DUMMYFUNCTION("""COMPUTED_VALUE"""),294.0)</f>
        <v>294</v>
      </c>
      <c r="E338" s="2">
        <f>IFERROR(__xludf.DUMMYFUNCTION("""COMPUTED_VALUE"""),294.0)</f>
        <v>294</v>
      </c>
      <c r="F338" s="2">
        <f>IFERROR(__xludf.DUMMYFUNCTION("""COMPUTED_VALUE"""),4.42306E7)</f>
        <v>44230600</v>
      </c>
      <c r="G338" s="2">
        <f t="shared" si="1"/>
        <v>12</v>
      </c>
    </row>
    <row r="339" ht="15.75" customHeight="1">
      <c r="A339" s="1">
        <f>IFERROR(__xludf.DUMMYFUNCTION("""COMPUTED_VALUE"""),44341.625)</f>
        <v>44341.625</v>
      </c>
      <c r="B339" s="2">
        <f>IFERROR(__xludf.DUMMYFUNCTION("""COMPUTED_VALUE"""),296.0)</f>
        <v>296</v>
      </c>
      <c r="C339" s="2">
        <f>IFERROR(__xludf.DUMMYFUNCTION("""COMPUTED_VALUE"""),306.0)</f>
        <v>306</v>
      </c>
      <c r="D339" s="2">
        <f>IFERROR(__xludf.DUMMYFUNCTION("""COMPUTED_VALUE"""),296.0)</f>
        <v>296</v>
      </c>
      <c r="E339" s="2">
        <f>IFERROR(__xludf.DUMMYFUNCTION("""COMPUTED_VALUE"""),304.0)</f>
        <v>304</v>
      </c>
      <c r="F339" s="2">
        <f>IFERROR(__xludf.DUMMYFUNCTION("""COMPUTED_VALUE"""),3.31186E7)</f>
        <v>33118600</v>
      </c>
      <c r="G339" s="2">
        <f t="shared" si="1"/>
        <v>12</v>
      </c>
    </row>
    <row r="340" ht="15.75" customHeight="1">
      <c r="A340" s="1">
        <f>IFERROR(__xludf.DUMMYFUNCTION("""COMPUTED_VALUE"""),44343.625)</f>
        <v>44343.625</v>
      </c>
      <c r="B340" s="2">
        <f>IFERROR(__xludf.DUMMYFUNCTION("""COMPUTED_VALUE"""),304.0)</f>
        <v>304</v>
      </c>
      <c r="C340" s="2">
        <f>IFERROR(__xludf.DUMMYFUNCTION("""COMPUTED_VALUE"""),310.0)</f>
        <v>310</v>
      </c>
      <c r="D340" s="2">
        <f>IFERROR(__xludf.DUMMYFUNCTION("""COMPUTED_VALUE"""),302.0)</f>
        <v>302</v>
      </c>
      <c r="E340" s="2">
        <f>IFERROR(__xludf.DUMMYFUNCTION("""COMPUTED_VALUE"""),304.0)</f>
        <v>304</v>
      </c>
      <c r="F340" s="2">
        <f>IFERROR(__xludf.DUMMYFUNCTION("""COMPUTED_VALUE"""),2.30373E7)</f>
        <v>23037300</v>
      </c>
      <c r="G340" s="2">
        <f t="shared" si="1"/>
        <v>8</v>
      </c>
    </row>
    <row r="341" ht="15.75" customHeight="1">
      <c r="A341" s="1">
        <f>IFERROR(__xludf.DUMMYFUNCTION("""COMPUTED_VALUE"""),44344.625)</f>
        <v>44344.625</v>
      </c>
      <c r="B341" s="2">
        <f>IFERROR(__xludf.DUMMYFUNCTION("""COMPUTED_VALUE"""),304.0)</f>
        <v>304</v>
      </c>
      <c r="C341" s="2">
        <f>IFERROR(__xludf.DUMMYFUNCTION("""COMPUTED_VALUE"""),308.0)</f>
        <v>308</v>
      </c>
      <c r="D341" s="2">
        <f>IFERROR(__xludf.DUMMYFUNCTION("""COMPUTED_VALUE"""),300.0)</f>
        <v>300</v>
      </c>
      <c r="E341" s="2">
        <f>IFERROR(__xludf.DUMMYFUNCTION("""COMPUTED_VALUE"""),302.0)</f>
        <v>302</v>
      </c>
      <c r="F341" s="2">
        <f>IFERROR(__xludf.DUMMYFUNCTION("""COMPUTED_VALUE"""),2.29787E7)</f>
        <v>22978700</v>
      </c>
      <c r="G341" s="2">
        <f t="shared" si="1"/>
        <v>8</v>
      </c>
    </row>
    <row r="342" ht="15.75" customHeight="1">
      <c r="A342" s="1">
        <f>IFERROR(__xludf.DUMMYFUNCTION("""COMPUTED_VALUE"""),44347.625)</f>
        <v>44347.625</v>
      </c>
      <c r="B342" s="2">
        <f>IFERROR(__xludf.DUMMYFUNCTION("""COMPUTED_VALUE"""),304.0)</f>
        <v>304</v>
      </c>
      <c r="C342" s="2">
        <f>IFERROR(__xludf.DUMMYFUNCTION("""COMPUTED_VALUE"""),306.0)</f>
        <v>306</v>
      </c>
      <c r="D342" s="2">
        <f>IFERROR(__xludf.DUMMYFUNCTION("""COMPUTED_VALUE"""),300.0)</f>
        <v>300</v>
      </c>
      <c r="E342" s="2">
        <f>IFERROR(__xludf.DUMMYFUNCTION("""COMPUTED_VALUE"""),304.0)</f>
        <v>304</v>
      </c>
      <c r="F342" s="2">
        <f>IFERROR(__xludf.DUMMYFUNCTION("""COMPUTED_VALUE"""),1.36157E7)</f>
        <v>13615700</v>
      </c>
      <c r="G342" s="2">
        <f t="shared" si="1"/>
        <v>6</v>
      </c>
    </row>
    <row r="343" ht="15.75" customHeight="1">
      <c r="A343" s="1">
        <f>IFERROR(__xludf.DUMMYFUNCTION("""COMPUTED_VALUE"""),44349.625)</f>
        <v>44349.625</v>
      </c>
      <c r="B343" s="2">
        <f>IFERROR(__xludf.DUMMYFUNCTION("""COMPUTED_VALUE"""),304.0)</f>
        <v>304</v>
      </c>
      <c r="C343" s="2">
        <f>IFERROR(__xludf.DUMMYFUNCTION("""COMPUTED_VALUE"""),338.0)</f>
        <v>338</v>
      </c>
      <c r="D343" s="2">
        <f>IFERROR(__xludf.DUMMYFUNCTION("""COMPUTED_VALUE"""),304.0)</f>
        <v>304</v>
      </c>
      <c r="E343" s="2">
        <f>IFERROR(__xludf.DUMMYFUNCTION("""COMPUTED_VALUE"""),326.0)</f>
        <v>326</v>
      </c>
      <c r="F343" s="2">
        <f>IFERROR(__xludf.DUMMYFUNCTION("""COMPUTED_VALUE"""),1.76246E8)</f>
        <v>176246000</v>
      </c>
      <c r="G343" s="2">
        <f t="shared" si="1"/>
        <v>34</v>
      </c>
    </row>
    <row r="344" ht="15.75" customHeight="1">
      <c r="A344" s="1">
        <f>IFERROR(__xludf.DUMMYFUNCTION("""COMPUTED_VALUE"""),44350.625)</f>
        <v>44350.625</v>
      </c>
      <c r="B344" s="2">
        <f>IFERROR(__xludf.DUMMYFUNCTION("""COMPUTED_VALUE"""),328.0)</f>
        <v>328</v>
      </c>
      <c r="C344" s="2">
        <f>IFERROR(__xludf.DUMMYFUNCTION("""COMPUTED_VALUE"""),334.0)</f>
        <v>334</v>
      </c>
      <c r="D344" s="2">
        <f>IFERROR(__xludf.DUMMYFUNCTION("""COMPUTED_VALUE"""),324.0)</f>
        <v>324</v>
      </c>
      <c r="E344" s="2">
        <f>IFERROR(__xludf.DUMMYFUNCTION("""COMPUTED_VALUE"""),326.0)</f>
        <v>326</v>
      </c>
      <c r="F344" s="2">
        <f>IFERROR(__xludf.DUMMYFUNCTION("""COMPUTED_VALUE"""),5.36355E7)</f>
        <v>53635500</v>
      </c>
      <c r="G344" s="2">
        <f t="shared" si="1"/>
        <v>10</v>
      </c>
    </row>
    <row r="345" ht="15.75" customHeight="1">
      <c r="A345" s="1">
        <f>IFERROR(__xludf.DUMMYFUNCTION("""COMPUTED_VALUE"""),44351.625)</f>
        <v>44351.625</v>
      </c>
      <c r="B345" s="2">
        <f>IFERROR(__xludf.DUMMYFUNCTION("""COMPUTED_VALUE"""),328.0)</f>
        <v>328</v>
      </c>
      <c r="C345" s="2">
        <f>IFERROR(__xludf.DUMMYFUNCTION("""COMPUTED_VALUE"""),328.0)</f>
        <v>328</v>
      </c>
      <c r="D345" s="2">
        <f>IFERROR(__xludf.DUMMYFUNCTION("""COMPUTED_VALUE"""),320.0)</f>
        <v>320</v>
      </c>
      <c r="E345" s="2">
        <f>IFERROR(__xludf.DUMMYFUNCTION("""COMPUTED_VALUE"""),322.0)</f>
        <v>322</v>
      </c>
      <c r="F345" s="2">
        <f>IFERROR(__xludf.DUMMYFUNCTION("""COMPUTED_VALUE"""),2.31483E7)</f>
        <v>23148300</v>
      </c>
      <c r="G345" s="2">
        <f t="shared" si="1"/>
        <v>8</v>
      </c>
    </row>
    <row r="346" ht="15.75" customHeight="1">
      <c r="A346" s="1">
        <f>IFERROR(__xludf.DUMMYFUNCTION("""COMPUTED_VALUE"""),44354.625)</f>
        <v>44354.625</v>
      </c>
      <c r="B346" s="2">
        <f>IFERROR(__xludf.DUMMYFUNCTION("""COMPUTED_VALUE"""),324.0)</f>
        <v>324</v>
      </c>
      <c r="C346" s="2">
        <f>IFERROR(__xludf.DUMMYFUNCTION("""COMPUTED_VALUE"""),328.0)</f>
        <v>328</v>
      </c>
      <c r="D346" s="2">
        <f>IFERROR(__xludf.DUMMYFUNCTION("""COMPUTED_VALUE"""),318.0)</f>
        <v>318</v>
      </c>
      <c r="E346" s="2">
        <f>IFERROR(__xludf.DUMMYFUNCTION("""COMPUTED_VALUE"""),318.0)</f>
        <v>318</v>
      </c>
      <c r="F346" s="2">
        <f>IFERROR(__xludf.DUMMYFUNCTION("""COMPUTED_VALUE"""),2.66418E7)</f>
        <v>26641800</v>
      </c>
      <c r="G346" s="2">
        <f t="shared" si="1"/>
        <v>10</v>
      </c>
    </row>
    <row r="347" ht="15.75" customHeight="1">
      <c r="A347" s="1">
        <f>IFERROR(__xludf.DUMMYFUNCTION("""COMPUTED_VALUE"""),44355.625)</f>
        <v>44355.625</v>
      </c>
      <c r="B347" s="2">
        <f>IFERROR(__xludf.DUMMYFUNCTION("""COMPUTED_VALUE"""),320.0)</f>
        <v>320</v>
      </c>
      <c r="C347" s="2">
        <f>IFERROR(__xludf.DUMMYFUNCTION("""COMPUTED_VALUE"""),322.0)</f>
        <v>322</v>
      </c>
      <c r="D347" s="2">
        <f>IFERROR(__xludf.DUMMYFUNCTION("""COMPUTED_VALUE"""),306.0)</f>
        <v>306</v>
      </c>
      <c r="E347" s="2">
        <f>IFERROR(__xludf.DUMMYFUNCTION("""COMPUTED_VALUE"""),310.0)</f>
        <v>310</v>
      </c>
      <c r="F347" s="2">
        <f>IFERROR(__xludf.DUMMYFUNCTION("""COMPUTED_VALUE"""),4.32608E7)</f>
        <v>43260800</v>
      </c>
      <c r="G347" s="2">
        <f t="shared" si="1"/>
        <v>16</v>
      </c>
    </row>
    <row r="348" ht="15.75" customHeight="1">
      <c r="A348" s="1">
        <f>IFERROR(__xludf.DUMMYFUNCTION("""COMPUTED_VALUE"""),44356.625)</f>
        <v>44356.625</v>
      </c>
      <c r="B348" s="2">
        <f>IFERROR(__xludf.DUMMYFUNCTION("""COMPUTED_VALUE"""),312.0)</f>
        <v>312</v>
      </c>
      <c r="C348" s="2">
        <f>IFERROR(__xludf.DUMMYFUNCTION("""COMPUTED_VALUE"""),326.0)</f>
        <v>326</v>
      </c>
      <c r="D348" s="2">
        <f>IFERROR(__xludf.DUMMYFUNCTION("""COMPUTED_VALUE"""),310.0)</f>
        <v>310</v>
      </c>
      <c r="E348" s="2">
        <f>IFERROR(__xludf.DUMMYFUNCTION("""COMPUTED_VALUE"""),320.0)</f>
        <v>320</v>
      </c>
      <c r="F348" s="2">
        <f>IFERROR(__xludf.DUMMYFUNCTION("""COMPUTED_VALUE"""),4.58669E7)</f>
        <v>45866900</v>
      </c>
      <c r="G348" s="2">
        <f t="shared" si="1"/>
        <v>16</v>
      </c>
    </row>
    <row r="349" ht="15.75" customHeight="1">
      <c r="A349" s="1">
        <f>IFERROR(__xludf.DUMMYFUNCTION("""COMPUTED_VALUE"""),44357.625)</f>
        <v>44357.625</v>
      </c>
      <c r="B349" s="2">
        <f>IFERROR(__xludf.DUMMYFUNCTION("""COMPUTED_VALUE"""),322.0)</f>
        <v>322</v>
      </c>
      <c r="C349" s="2">
        <f>IFERROR(__xludf.DUMMYFUNCTION("""COMPUTED_VALUE"""),324.0)</f>
        <v>324</v>
      </c>
      <c r="D349" s="2">
        <f>IFERROR(__xludf.DUMMYFUNCTION("""COMPUTED_VALUE"""),316.0)</f>
        <v>316</v>
      </c>
      <c r="E349" s="2">
        <f>IFERROR(__xludf.DUMMYFUNCTION("""COMPUTED_VALUE"""),318.0)</f>
        <v>318</v>
      </c>
      <c r="F349" s="2">
        <f>IFERROR(__xludf.DUMMYFUNCTION("""COMPUTED_VALUE"""),2.64659E7)</f>
        <v>26465900</v>
      </c>
      <c r="G349" s="2">
        <f t="shared" si="1"/>
        <v>8</v>
      </c>
    </row>
    <row r="350" ht="15.75" customHeight="1">
      <c r="A350" s="1">
        <f>IFERROR(__xludf.DUMMYFUNCTION("""COMPUTED_VALUE"""),44358.625)</f>
        <v>44358.625</v>
      </c>
      <c r="B350" s="2">
        <f>IFERROR(__xludf.DUMMYFUNCTION("""COMPUTED_VALUE"""),322.0)</f>
        <v>322</v>
      </c>
      <c r="C350" s="2">
        <f>IFERROR(__xludf.DUMMYFUNCTION("""COMPUTED_VALUE"""),330.0)</f>
        <v>330</v>
      </c>
      <c r="D350" s="2">
        <f>IFERROR(__xludf.DUMMYFUNCTION("""COMPUTED_VALUE"""),318.0)</f>
        <v>318</v>
      </c>
      <c r="E350" s="2">
        <f>IFERROR(__xludf.DUMMYFUNCTION("""COMPUTED_VALUE"""),322.0)</f>
        <v>322</v>
      </c>
      <c r="F350" s="2">
        <f>IFERROR(__xludf.DUMMYFUNCTION("""COMPUTED_VALUE"""),4.46177E7)</f>
        <v>44617700</v>
      </c>
      <c r="G350" s="2">
        <f t="shared" si="1"/>
        <v>12</v>
      </c>
    </row>
    <row r="351" ht="15.75" customHeight="1">
      <c r="A351" s="1">
        <f>IFERROR(__xludf.DUMMYFUNCTION("""COMPUTED_VALUE"""),44361.66666666667)</f>
        <v>44361.66667</v>
      </c>
      <c r="B351" s="2">
        <f>IFERROR(__xludf.DUMMYFUNCTION("""COMPUTED_VALUE"""),322.0)</f>
        <v>322</v>
      </c>
      <c r="C351" s="2">
        <f>IFERROR(__xludf.DUMMYFUNCTION("""COMPUTED_VALUE"""),328.0)</f>
        <v>328</v>
      </c>
      <c r="D351" s="2">
        <f>IFERROR(__xludf.DUMMYFUNCTION("""COMPUTED_VALUE"""),320.0)</f>
        <v>320</v>
      </c>
      <c r="E351" s="2">
        <f>IFERROR(__xludf.DUMMYFUNCTION("""COMPUTED_VALUE"""),322.0)</f>
        <v>322</v>
      </c>
      <c r="F351" s="2">
        <f>IFERROR(__xludf.DUMMYFUNCTION("""COMPUTED_VALUE"""),3.72585E7)</f>
        <v>37258500</v>
      </c>
      <c r="G351" s="2">
        <f t="shared" si="1"/>
        <v>8</v>
      </c>
    </row>
    <row r="352" ht="15.75" customHeight="1">
      <c r="A352" s="1">
        <f>IFERROR(__xludf.DUMMYFUNCTION("""COMPUTED_VALUE"""),44362.625)</f>
        <v>44362.625</v>
      </c>
      <c r="B352" s="2">
        <f>IFERROR(__xludf.DUMMYFUNCTION("""COMPUTED_VALUE"""),322.0)</f>
        <v>322</v>
      </c>
      <c r="C352" s="2">
        <f>IFERROR(__xludf.DUMMYFUNCTION("""COMPUTED_VALUE"""),326.0)</f>
        <v>326</v>
      </c>
      <c r="D352" s="2">
        <f>IFERROR(__xludf.DUMMYFUNCTION("""COMPUTED_VALUE"""),314.0)</f>
        <v>314</v>
      </c>
      <c r="E352" s="2">
        <f>IFERROR(__xludf.DUMMYFUNCTION("""COMPUTED_VALUE"""),316.0)</f>
        <v>316</v>
      </c>
      <c r="F352" s="2">
        <f>IFERROR(__xludf.DUMMYFUNCTION("""COMPUTED_VALUE"""),2.90288E7)</f>
        <v>29028800</v>
      </c>
      <c r="G352" s="2">
        <f t="shared" si="1"/>
        <v>12</v>
      </c>
    </row>
    <row r="353" ht="15.75" customHeight="1">
      <c r="A353" s="1">
        <f>IFERROR(__xludf.DUMMYFUNCTION("""COMPUTED_VALUE"""),44363.625)</f>
        <v>44363.625</v>
      </c>
      <c r="B353" s="2">
        <f>IFERROR(__xludf.DUMMYFUNCTION("""COMPUTED_VALUE"""),318.0)</f>
        <v>318</v>
      </c>
      <c r="C353" s="2">
        <f>IFERROR(__xludf.DUMMYFUNCTION("""COMPUTED_VALUE"""),322.0)</f>
        <v>322</v>
      </c>
      <c r="D353" s="2">
        <f>IFERROR(__xludf.DUMMYFUNCTION("""COMPUTED_VALUE"""),318.0)</f>
        <v>318</v>
      </c>
      <c r="E353" s="2">
        <f>IFERROR(__xludf.DUMMYFUNCTION("""COMPUTED_VALUE"""),320.0)</f>
        <v>320</v>
      </c>
      <c r="F353" s="2">
        <f>IFERROR(__xludf.DUMMYFUNCTION("""COMPUTED_VALUE"""),2.52514E7)</f>
        <v>25251400</v>
      </c>
      <c r="G353" s="2">
        <f t="shared" si="1"/>
        <v>6</v>
      </c>
    </row>
    <row r="354" ht="15.75" customHeight="1">
      <c r="A354" s="1">
        <f>IFERROR(__xludf.DUMMYFUNCTION("""COMPUTED_VALUE"""),44364.625)</f>
        <v>44364.625</v>
      </c>
      <c r="B354" s="2">
        <f>IFERROR(__xludf.DUMMYFUNCTION("""COMPUTED_VALUE"""),320.0)</f>
        <v>320</v>
      </c>
      <c r="C354" s="2">
        <f>IFERROR(__xludf.DUMMYFUNCTION("""COMPUTED_VALUE"""),322.0)</f>
        <v>322</v>
      </c>
      <c r="D354" s="2">
        <f>IFERROR(__xludf.DUMMYFUNCTION("""COMPUTED_VALUE"""),312.0)</f>
        <v>312</v>
      </c>
      <c r="E354" s="2">
        <f>IFERROR(__xludf.DUMMYFUNCTION("""COMPUTED_VALUE"""),312.0)</f>
        <v>312</v>
      </c>
      <c r="F354" s="2">
        <f>IFERROR(__xludf.DUMMYFUNCTION("""COMPUTED_VALUE"""),2.85111E7)</f>
        <v>28511100</v>
      </c>
      <c r="G354" s="2">
        <f t="shared" si="1"/>
        <v>10</v>
      </c>
    </row>
    <row r="355" ht="15.75" customHeight="1">
      <c r="A355" s="1">
        <f>IFERROR(__xludf.DUMMYFUNCTION("""COMPUTED_VALUE"""),44365.625)</f>
        <v>44365.625</v>
      </c>
      <c r="B355" s="2">
        <f>IFERROR(__xludf.DUMMYFUNCTION("""COMPUTED_VALUE"""),314.0)</f>
        <v>314</v>
      </c>
      <c r="C355" s="2">
        <f>IFERROR(__xludf.DUMMYFUNCTION("""COMPUTED_VALUE"""),314.0)</f>
        <v>314</v>
      </c>
      <c r="D355" s="2">
        <f>IFERROR(__xludf.DUMMYFUNCTION("""COMPUTED_VALUE"""),296.0)</f>
        <v>296</v>
      </c>
      <c r="E355" s="2">
        <f>IFERROR(__xludf.DUMMYFUNCTION("""COMPUTED_VALUE"""),302.0)</f>
        <v>302</v>
      </c>
      <c r="F355" s="2">
        <f>IFERROR(__xludf.DUMMYFUNCTION("""COMPUTED_VALUE"""),5.98631E7)</f>
        <v>59863100</v>
      </c>
      <c r="G355" s="2">
        <f t="shared" si="1"/>
        <v>18</v>
      </c>
    </row>
    <row r="356" ht="15.75" customHeight="1">
      <c r="A356" s="1">
        <f>IFERROR(__xludf.DUMMYFUNCTION("""COMPUTED_VALUE"""),44368.66666666667)</f>
        <v>44368.66667</v>
      </c>
      <c r="B356" s="2">
        <f>IFERROR(__xludf.DUMMYFUNCTION("""COMPUTED_VALUE"""),296.0)</f>
        <v>296</v>
      </c>
      <c r="C356" s="2">
        <f>IFERROR(__xludf.DUMMYFUNCTION("""COMPUTED_VALUE"""),302.0)</f>
        <v>302</v>
      </c>
      <c r="D356" s="2">
        <f>IFERROR(__xludf.DUMMYFUNCTION("""COMPUTED_VALUE"""),292.0)</f>
        <v>292</v>
      </c>
      <c r="E356" s="2">
        <f>IFERROR(__xludf.DUMMYFUNCTION("""COMPUTED_VALUE"""),296.0)</f>
        <v>296</v>
      </c>
      <c r="F356" s="2">
        <f>IFERROR(__xludf.DUMMYFUNCTION("""COMPUTED_VALUE"""),3.07224E7)</f>
        <v>30722400</v>
      </c>
      <c r="G356" s="2">
        <f t="shared" si="1"/>
        <v>10</v>
      </c>
    </row>
    <row r="357" ht="15.75" customHeight="1">
      <c r="A357" s="1">
        <f>IFERROR(__xludf.DUMMYFUNCTION("""COMPUTED_VALUE"""),44369.625)</f>
        <v>44369.625</v>
      </c>
      <c r="B357" s="2">
        <f>IFERROR(__xludf.DUMMYFUNCTION("""COMPUTED_VALUE"""),302.0)</f>
        <v>302</v>
      </c>
      <c r="C357" s="2">
        <f>IFERROR(__xludf.DUMMYFUNCTION("""COMPUTED_VALUE"""),306.0)</f>
        <v>306</v>
      </c>
      <c r="D357" s="2">
        <f>IFERROR(__xludf.DUMMYFUNCTION("""COMPUTED_VALUE"""),298.0)</f>
        <v>298</v>
      </c>
      <c r="E357" s="2">
        <f>IFERROR(__xludf.DUMMYFUNCTION("""COMPUTED_VALUE"""),300.0)</f>
        <v>300</v>
      </c>
      <c r="F357" s="2">
        <f>IFERROR(__xludf.DUMMYFUNCTION("""COMPUTED_VALUE"""),4.01449E7)</f>
        <v>40144900</v>
      </c>
      <c r="G357" s="2">
        <f t="shared" si="1"/>
        <v>10</v>
      </c>
    </row>
    <row r="358" ht="15.75" customHeight="1">
      <c r="A358" s="1">
        <f>IFERROR(__xludf.DUMMYFUNCTION("""COMPUTED_VALUE"""),44370.625)</f>
        <v>44370.625</v>
      </c>
      <c r="B358" s="2">
        <f>IFERROR(__xludf.DUMMYFUNCTION("""COMPUTED_VALUE"""),300.0)</f>
        <v>300</v>
      </c>
      <c r="C358" s="2">
        <f>IFERROR(__xludf.DUMMYFUNCTION("""COMPUTED_VALUE"""),304.0)</f>
        <v>304</v>
      </c>
      <c r="D358" s="2">
        <f>IFERROR(__xludf.DUMMYFUNCTION("""COMPUTED_VALUE"""),296.0)</f>
        <v>296</v>
      </c>
      <c r="E358" s="2">
        <f>IFERROR(__xludf.DUMMYFUNCTION("""COMPUTED_VALUE"""),296.0)</f>
        <v>296</v>
      </c>
      <c r="F358" s="2">
        <f>IFERROR(__xludf.DUMMYFUNCTION("""COMPUTED_VALUE"""),3.10895E7)</f>
        <v>31089500</v>
      </c>
      <c r="G358" s="2">
        <f t="shared" si="1"/>
        <v>8</v>
      </c>
    </row>
    <row r="359" ht="15.75" customHeight="1">
      <c r="A359" s="1">
        <f>IFERROR(__xludf.DUMMYFUNCTION("""COMPUTED_VALUE"""),44371.625)</f>
        <v>44371.625</v>
      </c>
      <c r="B359" s="2">
        <f>IFERROR(__xludf.DUMMYFUNCTION("""COMPUTED_VALUE"""),296.0)</f>
        <v>296</v>
      </c>
      <c r="C359" s="2">
        <f>IFERROR(__xludf.DUMMYFUNCTION("""COMPUTED_VALUE"""),300.0)</f>
        <v>300</v>
      </c>
      <c r="D359" s="2">
        <f>IFERROR(__xludf.DUMMYFUNCTION("""COMPUTED_VALUE"""),290.0)</f>
        <v>290</v>
      </c>
      <c r="E359" s="2">
        <f>IFERROR(__xludf.DUMMYFUNCTION("""COMPUTED_VALUE"""),292.0)</f>
        <v>292</v>
      </c>
      <c r="F359" s="2">
        <f>IFERROR(__xludf.DUMMYFUNCTION("""COMPUTED_VALUE"""),4.00029E7)</f>
        <v>40002900</v>
      </c>
      <c r="G359" s="2">
        <f t="shared" si="1"/>
        <v>10</v>
      </c>
    </row>
    <row r="360" ht="15.75" customHeight="1">
      <c r="A360" s="1">
        <f>IFERROR(__xludf.DUMMYFUNCTION("""COMPUTED_VALUE"""),44372.625)</f>
        <v>44372.625</v>
      </c>
      <c r="B360" s="2">
        <f>IFERROR(__xludf.DUMMYFUNCTION("""COMPUTED_VALUE"""),292.0)</f>
        <v>292</v>
      </c>
      <c r="C360" s="2">
        <f>IFERROR(__xludf.DUMMYFUNCTION("""COMPUTED_VALUE"""),296.0)</f>
        <v>296</v>
      </c>
      <c r="D360" s="2">
        <f>IFERROR(__xludf.DUMMYFUNCTION("""COMPUTED_VALUE"""),290.0)</f>
        <v>290</v>
      </c>
      <c r="E360" s="2">
        <f>IFERROR(__xludf.DUMMYFUNCTION("""COMPUTED_VALUE"""),292.0)</f>
        <v>292</v>
      </c>
      <c r="F360" s="2">
        <f>IFERROR(__xludf.DUMMYFUNCTION("""COMPUTED_VALUE"""),2.66111E7)</f>
        <v>26611100</v>
      </c>
      <c r="G360" s="2">
        <f t="shared" si="1"/>
        <v>6</v>
      </c>
    </row>
    <row r="361" ht="15.75" customHeight="1">
      <c r="A361" s="1">
        <f>IFERROR(__xludf.DUMMYFUNCTION("""COMPUTED_VALUE"""),44375.66666666667)</f>
        <v>44375.66667</v>
      </c>
      <c r="B361" s="2">
        <f>IFERROR(__xludf.DUMMYFUNCTION("""COMPUTED_VALUE"""),292.0)</f>
        <v>292</v>
      </c>
      <c r="C361" s="2">
        <f>IFERROR(__xludf.DUMMYFUNCTION("""COMPUTED_VALUE"""),296.0)</f>
        <v>296</v>
      </c>
      <c r="D361" s="2">
        <f>IFERROR(__xludf.DUMMYFUNCTION("""COMPUTED_VALUE"""),278.0)</f>
        <v>278</v>
      </c>
      <c r="E361" s="2">
        <f>IFERROR(__xludf.DUMMYFUNCTION("""COMPUTED_VALUE"""),278.0)</f>
        <v>278</v>
      </c>
      <c r="F361" s="2">
        <f>IFERROR(__xludf.DUMMYFUNCTION("""COMPUTED_VALUE"""),5.37725E7)</f>
        <v>53772500</v>
      </c>
      <c r="G361" s="2">
        <f t="shared" si="1"/>
        <v>18</v>
      </c>
    </row>
    <row r="362" ht="15.75" customHeight="1">
      <c r="A362" s="1">
        <f>IFERROR(__xludf.DUMMYFUNCTION("""COMPUTED_VALUE"""),44376.625)</f>
        <v>44376.625</v>
      </c>
      <c r="B362" s="2">
        <f>IFERROR(__xludf.DUMMYFUNCTION("""COMPUTED_VALUE"""),276.0)</f>
        <v>276</v>
      </c>
      <c r="C362" s="2">
        <f>IFERROR(__xludf.DUMMYFUNCTION("""COMPUTED_VALUE"""),280.0)</f>
        <v>280</v>
      </c>
      <c r="D362" s="2">
        <f>IFERROR(__xludf.DUMMYFUNCTION("""COMPUTED_VALUE"""),266.0)</f>
        <v>266</v>
      </c>
      <c r="E362" s="2">
        <f>IFERROR(__xludf.DUMMYFUNCTION("""COMPUTED_VALUE"""),270.0)</f>
        <v>270</v>
      </c>
      <c r="F362" s="2">
        <f>IFERROR(__xludf.DUMMYFUNCTION("""COMPUTED_VALUE"""),5.46704E7)</f>
        <v>54670400</v>
      </c>
      <c r="G362" s="2">
        <f t="shared" si="1"/>
        <v>14</v>
      </c>
    </row>
    <row r="363" ht="15.75" customHeight="1">
      <c r="A363" s="1">
        <f>IFERROR(__xludf.DUMMYFUNCTION("""COMPUTED_VALUE"""),44377.625)</f>
        <v>44377.625</v>
      </c>
      <c r="B363" s="2">
        <f>IFERROR(__xludf.DUMMYFUNCTION("""COMPUTED_VALUE"""),270.0)</f>
        <v>270</v>
      </c>
      <c r="C363" s="2">
        <f>IFERROR(__xludf.DUMMYFUNCTION("""COMPUTED_VALUE"""),274.0)</f>
        <v>274</v>
      </c>
      <c r="D363" s="2">
        <f>IFERROR(__xludf.DUMMYFUNCTION("""COMPUTED_VALUE"""),266.0)</f>
        <v>266</v>
      </c>
      <c r="E363" s="2">
        <f>IFERROR(__xludf.DUMMYFUNCTION("""COMPUTED_VALUE"""),266.0)</f>
        <v>266</v>
      </c>
      <c r="F363" s="2">
        <f>IFERROR(__xludf.DUMMYFUNCTION("""COMPUTED_VALUE"""),2.91872E7)</f>
        <v>29187200</v>
      </c>
      <c r="G363" s="2">
        <f t="shared" si="1"/>
        <v>8</v>
      </c>
    </row>
    <row r="364" ht="15.75" customHeight="1">
      <c r="A364" s="1">
        <f>IFERROR(__xludf.DUMMYFUNCTION("""COMPUTED_VALUE"""),44378.625)</f>
        <v>44378.625</v>
      </c>
      <c r="B364" s="2">
        <f>IFERROR(__xludf.DUMMYFUNCTION("""COMPUTED_VALUE"""),266.0)</f>
        <v>266</v>
      </c>
      <c r="C364" s="2">
        <f>IFERROR(__xludf.DUMMYFUNCTION("""COMPUTED_VALUE"""),272.0)</f>
        <v>272</v>
      </c>
      <c r="D364" s="2">
        <f>IFERROR(__xludf.DUMMYFUNCTION("""COMPUTED_VALUE"""),264.0)</f>
        <v>264</v>
      </c>
      <c r="E364" s="2">
        <f>IFERROR(__xludf.DUMMYFUNCTION("""COMPUTED_VALUE"""),266.0)</f>
        <v>266</v>
      </c>
      <c r="F364" s="2">
        <f>IFERROR(__xludf.DUMMYFUNCTION("""COMPUTED_VALUE"""),5.43694E7)</f>
        <v>54369400</v>
      </c>
      <c r="G364" s="2">
        <f t="shared" si="1"/>
        <v>8</v>
      </c>
    </row>
    <row r="365" ht="15.75" customHeight="1">
      <c r="A365" s="1">
        <f>IFERROR(__xludf.DUMMYFUNCTION("""COMPUTED_VALUE"""),44379.625)</f>
        <v>44379.625</v>
      </c>
      <c r="B365" s="2">
        <f>IFERROR(__xludf.DUMMYFUNCTION("""COMPUTED_VALUE"""),270.0)</f>
        <v>270</v>
      </c>
      <c r="C365" s="2">
        <f>IFERROR(__xludf.DUMMYFUNCTION("""COMPUTED_VALUE"""),274.0)</f>
        <v>274</v>
      </c>
      <c r="D365" s="2">
        <f>IFERROR(__xludf.DUMMYFUNCTION("""COMPUTED_VALUE"""),266.0)</f>
        <v>266</v>
      </c>
      <c r="E365" s="2">
        <f>IFERROR(__xludf.DUMMYFUNCTION("""COMPUTED_VALUE"""),270.0)</f>
        <v>270</v>
      </c>
      <c r="F365" s="2">
        <f>IFERROR(__xludf.DUMMYFUNCTION("""COMPUTED_VALUE"""),6.42264E7)</f>
        <v>64226400</v>
      </c>
      <c r="G365" s="2">
        <f t="shared" si="1"/>
        <v>8</v>
      </c>
    </row>
    <row r="366" ht="15.75" customHeight="1">
      <c r="A366" s="1">
        <f>IFERROR(__xludf.DUMMYFUNCTION("""COMPUTED_VALUE"""),44382.625)</f>
        <v>44382.625</v>
      </c>
      <c r="B366" s="2">
        <f>IFERROR(__xludf.DUMMYFUNCTION("""COMPUTED_VALUE"""),270.0)</f>
        <v>270</v>
      </c>
      <c r="C366" s="2">
        <f>IFERROR(__xludf.DUMMYFUNCTION("""COMPUTED_VALUE"""),274.0)</f>
        <v>274</v>
      </c>
      <c r="D366" s="2">
        <f>IFERROR(__xludf.DUMMYFUNCTION("""COMPUTED_VALUE"""),266.0)</f>
        <v>266</v>
      </c>
      <c r="E366" s="2">
        <f>IFERROR(__xludf.DUMMYFUNCTION("""COMPUTED_VALUE"""),268.0)</f>
        <v>268</v>
      </c>
      <c r="F366" s="2">
        <f>IFERROR(__xludf.DUMMYFUNCTION("""COMPUTED_VALUE"""),2.001E7)</f>
        <v>20010000</v>
      </c>
      <c r="G366" s="2">
        <f t="shared" si="1"/>
        <v>8</v>
      </c>
    </row>
    <row r="367" ht="15.75" customHeight="1">
      <c r="A367" s="1">
        <f>IFERROR(__xludf.DUMMYFUNCTION("""COMPUTED_VALUE"""),44383.625)</f>
        <v>44383.625</v>
      </c>
      <c r="B367" s="2">
        <f>IFERROR(__xludf.DUMMYFUNCTION("""COMPUTED_VALUE"""),270.0)</f>
        <v>270</v>
      </c>
      <c r="C367" s="2">
        <f>IFERROR(__xludf.DUMMYFUNCTION("""COMPUTED_VALUE"""),286.0)</f>
        <v>286</v>
      </c>
      <c r="D367" s="2">
        <f>IFERROR(__xludf.DUMMYFUNCTION("""COMPUTED_VALUE"""),268.0)</f>
        <v>268</v>
      </c>
      <c r="E367" s="2">
        <f>IFERROR(__xludf.DUMMYFUNCTION("""COMPUTED_VALUE"""),286.0)</f>
        <v>286</v>
      </c>
      <c r="F367" s="2">
        <f>IFERROR(__xludf.DUMMYFUNCTION("""COMPUTED_VALUE"""),1.001762E8)</f>
        <v>100176200</v>
      </c>
      <c r="G367" s="2">
        <f t="shared" si="1"/>
        <v>18</v>
      </c>
    </row>
    <row r="368" ht="15.75" customHeight="1">
      <c r="A368" s="1">
        <f>IFERROR(__xludf.DUMMYFUNCTION("""COMPUTED_VALUE"""),44384.625)</f>
        <v>44384.625</v>
      </c>
      <c r="B368" s="2">
        <f>IFERROR(__xludf.DUMMYFUNCTION("""COMPUTED_VALUE"""),288.0)</f>
        <v>288</v>
      </c>
      <c r="C368" s="2">
        <f>IFERROR(__xludf.DUMMYFUNCTION("""COMPUTED_VALUE"""),288.0)</f>
        <v>288</v>
      </c>
      <c r="D368" s="2">
        <f>IFERROR(__xludf.DUMMYFUNCTION("""COMPUTED_VALUE"""),276.0)</f>
        <v>276</v>
      </c>
      <c r="E368" s="2">
        <f>IFERROR(__xludf.DUMMYFUNCTION("""COMPUTED_VALUE"""),278.0)</f>
        <v>278</v>
      </c>
      <c r="F368" s="2">
        <f>IFERROR(__xludf.DUMMYFUNCTION("""COMPUTED_VALUE"""),4.53085E7)</f>
        <v>45308500</v>
      </c>
      <c r="G368" s="2">
        <f t="shared" si="1"/>
        <v>12</v>
      </c>
    </row>
    <row r="369" ht="15.75" customHeight="1">
      <c r="A369" s="1">
        <f>IFERROR(__xludf.DUMMYFUNCTION("""COMPUTED_VALUE"""),44385.625)</f>
        <v>44385.625</v>
      </c>
      <c r="B369" s="2">
        <f>IFERROR(__xludf.DUMMYFUNCTION("""COMPUTED_VALUE"""),280.0)</f>
        <v>280</v>
      </c>
      <c r="C369" s="2">
        <f>IFERROR(__xludf.DUMMYFUNCTION("""COMPUTED_VALUE"""),280.0)</f>
        <v>280</v>
      </c>
      <c r="D369" s="2">
        <f>IFERROR(__xludf.DUMMYFUNCTION("""COMPUTED_VALUE"""),272.0)</f>
        <v>272</v>
      </c>
      <c r="E369" s="2">
        <f>IFERROR(__xludf.DUMMYFUNCTION("""COMPUTED_VALUE"""),272.0)</f>
        <v>272</v>
      </c>
      <c r="F369" s="2">
        <f>IFERROR(__xludf.DUMMYFUNCTION("""COMPUTED_VALUE"""),3.68432E7)</f>
        <v>36843200</v>
      </c>
      <c r="G369" s="2">
        <f t="shared" si="1"/>
        <v>8</v>
      </c>
    </row>
    <row r="370" ht="15.75" customHeight="1">
      <c r="A370" s="1">
        <f>IFERROR(__xludf.DUMMYFUNCTION("""COMPUTED_VALUE"""),44386.625)</f>
        <v>44386.625</v>
      </c>
      <c r="B370" s="2">
        <f>IFERROR(__xludf.DUMMYFUNCTION("""COMPUTED_VALUE"""),272.0)</f>
        <v>272</v>
      </c>
      <c r="C370" s="2">
        <f>IFERROR(__xludf.DUMMYFUNCTION("""COMPUTED_VALUE"""),280.0)</f>
        <v>280</v>
      </c>
      <c r="D370" s="2">
        <f>IFERROR(__xludf.DUMMYFUNCTION("""COMPUTED_VALUE"""),272.0)</f>
        <v>272</v>
      </c>
      <c r="E370" s="2">
        <f>IFERROR(__xludf.DUMMYFUNCTION("""COMPUTED_VALUE"""),274.0)</f>
        <v>274</v>
      </c>
      <c r="F370" s="2">
        <f>IFERROR(__xludf.DUMMYFUNCTION("""COMPUTED_VALUE"""),2.84563E7)</f>
        <v>28456300</v>
      </c>
      <c r="G370" s="2">
        <f t="shared" si="1"/>
        <v>8</v>
      </c>
    </row>
    <row r="371" ht="15.75" customHeight="1">
      <c r="A371" s="1">
        <f>IFERROR(__xludf.DUMMYFUNCTION("""COMPUTED_VALUE"""),44389.625)</f>
        <v>44389.625</v>
      </c>
      <c r="B371" s="2">
        <f>IFERROR(__xludf.DUMMYFUNCTION("""COMPUTED_VALUE"""),280.0)</f>
        <v>280</v>
      </c>
      <c r="C371" s="2">
        <f>IFERROR(__xludf.DUMMYFUNCTION("""COMPUTED_VALUE"""),280.0)</f>
        <v>280</v>
      </c>
      <c r="D371" s="2">
        <f>IFERROR(__xludf.DUMMYFUNCTION("""COMPUTED_VALUE"""),272.0)</f>
        <v>272</v>
      </c>
      <c r="E371" s="2">
        <f>IFERROR(__xludf.DUMMYFUNCTION("""COMPUTED_VALUE"""),274.0)</f>
        <v>274</v>
      </c>
      <c r="F371" s="2">
        <f>IFERROR(__xludf.DUMMYFUNCTION("""COMPUTED_VALUE"""),3.16048E7)</f>
        <v>31604800</v>
      </c>
      <c r="G371" s="2">
        <f t="shared" si="1"/>
        <v>8</v>
      </c>
    </row>
    <row r="372" ht="15.75" customHeight="1">
      <c r="A372" s="1">
        <f>IFERROR(__xludf.DUMMYFUNCTION("""COMPUTED_VALUE"""),44390.625)</f>
        <v>44390.625</v>
      </c>
      <c r="B372" s="2">
        <f>IFERROR(__xludf.DUMMYFUNCTION("""COMPUTED_VALUE"""),274.0)</f>
        <v>274</v>
      </c>
      <c r="C372" s="2">
        <f>IFERROR(__xludf.DUMMYFUNCTION("""COMPUTED_VALUE"""),276.0)</f>
        <v>276</v>
      </c>
      <c r="D372" s="2">
        <f>IFERROR(__xludf.DUMMYFUNCTION("""COMPUTED_VALUE"""),264.0)</f>
        <v>264</v>
      </c>
      <c r="E372" s="2">
        <f>IFERROR(__xludf.DUMMYFUNCTION("""COMPUTED_VALUE"""),266.0)</f>
        <v>266</v>
      </c>
      <c r="F372" s="2">
        <f>IFERROR(__xludf.DUMMYFUNCTION("""COMPUTED_VALUE"""),4.13335E7)</f>
        <v>41333500</v>
      </c>
      <c r="G372" s="2">
        <f t="shared" si="1"/>
        <v>12</v>
      </c>
    </row>
    <row r="373" ht="15.75" customHeight="1">
      <c r="A373" s="1">
        <f>IFERROR(__xludf.DUMMYFUNCTION("""COMPUTED_VALUE"""),44391.625)</f>
        <v>44391.625</v>
      </c>
      <c r="B373" s="2">
        <f>IFERROR(__xludf.DUMMYFUNCTION("""COMPUTED_VALUE"""),266.0)</f>
        <v>266</v>
      </c>
      <c r="C373" s="2">
        <f>IFERROR(__xludf.DUMMYFUNCTION("""COMPUTED_VALUE"""),270.0)</f>
        <v>270</v>
      </c>
      <c r="D373" s="2">
        <f>IFERROR(__xludf.DUMMYFUNCTION("""COMPUTED_VALUE"""),256.0)</f>
        <v>256</v>
      </c>
      <c r="E373" s="2">
        <f>IFERROR(__xludf.DUMMYFUNCTION("""COMPUTED_VALUE"""),258.0)</f>
        <v>258</v>
      </c>
      <c r="F373" s="2">
        <f>IFERROR(__xludf.DUMMYFUNCTION("""COMPUTED_VALUE"""),5.63749E7)</f>
        <v>56374900</v>
      </c>
      <c r="G373" s="2">
        <f t="shared" si="1"/>
        <v>14</v>
      </c>
    </row>
    <row r="374" ht="15.75" customHeight="1">
      <c r="A374" s="1">
        <f>IFERROR(__xludf.DUMMYFUNCTION("""COMPUTED_VALUE"""),44392.625)</f>
        <v>44392.625</v>
      </c>
      <c r="B374" s="2">
        <f>IFERROR(__xludf.DUMMYFUNCTION("""COMPUTED_VALUE"""),256.0)</f>
        <v>256</v>
      </c>
      <c r="C374" s="2">
        <f>IFERROR(__xludf.DUMMYFUNCTION("""COMPUTED_VALUE"""),260.0)</f>
        <v>260</v>
      </c>
      <c r="D374" s="2">
        <f>IFERROR(__xludf.DUMMYFUNCTION("""COMPUTED_VALUE"""),254.0)</f>
        <v>254</v>
      </c>
      <c r="E374" s="2">
        <f>IFERROR(__xludf.DUMMYFUNCTION("""COMPUTED_VALUE"""),256.0)</f>
        <v>256</v>
      </c>
      <c r="F374" s="2">
        <f>IFERROR(__xludf.DUMMYFUNCTION("""COMPUTED_VALUE"""),3.28819E7)</f>
        <v>32881900</v>
      </c>
      <c r="G374" s="2">
        <f t="shared" si="1"/>
        <v>6</v>
      </c>
    </row>
    <row r="375" ht="15.75" customHeight="1">
      <c r="A375" s="1">
        <f>IFERROR(__xludf.DUMMYFUNCTION("""COMPUTED_VALUE"""),44393.625)</f>
        <v>44393.625</v>
      </c>
      <c r="B375" s="2">
        <f>IFERROR(__xludf.DUMMYFUNCTION("""COMPUTED_VALUE"""),256.0)</f>
        <v>256</v>
      </c>
      <c r="C375" s="2">
        <f>IFERROR(__xludf.DUMMYFUNCTION("""COMPUTED_VALUE"""),260.0)</f>
        <v>260</v>
      </c>
      <c r="D375" s="2">
        <f>IFERROR(__xludf.DUMMYFUNCTION("""COMPUTED_VALUE"""),256.0)</f>
        <v>256</v>
      </c>
      <c r="E375" s="2">
        <f>IFERROR(__xludf.DUMMYFUNCTION("""COMPUTED_VALUE"""),258.0)</f>
        <v>258</v>
      </c>
      <c r="F375" s="2">
        <f>IFERROR(__xludf.DUMMYFUNCTION("""COMPUTED_VALUE"""),5.5981E7)</f>
        <v>55981000</v>
      </c>
      <c r="G375" s="2">
        <f t="shared" si="1"/>
        <v>4</v>
      </c>
    </row>
    <row r="376" ht="15.75" customHeight="1">
      <c r="A376" s="1">
        <f>IFERROR(__xludf.DUMMYFUNCTION("""COMPUTED_VALUE"""),44396.625)</f>
        <v>44396.625</v>
      </c>
      <c r="B376" s="2">
        <f>IFERROR(__xludf.DUMMYFUNCTION("""COMPUTED_VALUE"""),258.0)</f>
        <v>258</v>
      </c>
      <c r="C376" s="2">
        <f>IFERROR(__xludf.DUMMYFUNCTION("""COMPUTED_VALUE"""),264.0)</f>
        <v>264</v>
      </c>
      <c r="D376" s="2">
        <f>IFERROR(__xludf.DUMMYFUNCTION("""COMPUTED_VALUE"""),256.0)</f>
        <v>256</v>
      </c>
      <c r="E376" s="2">
        <f>IFERROR(__xludf.DUMMYFUNCTION("""COMPUTED_VALUE"""),264.0)</f>
        <v>264</v>
      </c>
      <c r="F376" s="2">
        <f>IFERROR(__xludf.DUMMYFUNCTION("""COMPUTED_VALUE"""),3.14214E7)</f>
        <v>31421400</v>
      </c>
      <c r="G376" s="2">
        <f t="shared" si="1"/>
        <v>8</v>
      </c>
    </row>
    <row r="377" ht="15.75" customHeight="1">
      <c r="A377" s="1">
        <f>IFERROR(__xludf.DUMMYFUNCTION("""COMPUTED_VALUE"""),44398.625)</f>
        <v>44398.625</v>
      </c>
      <c r="B377" s="2">
        <f>IFERROR(__xludf.DUMMYFUNCTION("""COMPUTED_VALUE"""),266.0)</f>
        <v>266</v>
      </c>
      <c r="C377" s="2">
        <f>IFERROR(__xludf.DUMMYFUNCTION("""COMPUTED_VALUE"""),274.0)</f>
        <v>274</v>
      </c>
      <c r="D377" s="2">
        <f>IFERROR(__xludf.DUMMYFUNCTION("""COMPUTED_VALUE"""),262.0)</f>
        <v>262</v>
      </c>
      <c r="E377" s="2">
        <f>IFERROR(__xludf.DUMMYFUNCTION("""COMPUTED_VALUE"""),264.0)</f>
        <v>264</v>
      </c>
      <c r="F377" s="2">
        <f>IFERROR(__xludf.DUMMYFUNCTION("""COMPUTED_VALUE"""),6.16993E7)</f>
        <v>61699300</v>
      </c>
      <c r="G377" s="2">
        <f t="shared" si="1"/>
        <v>12</v>
      </c>
    </row>
    <row r="378" ht="15.75" customHeight="1">
      <c r="A378" s="1">
        <f>IFERROR(__xludf.DUMMYFUNCTION("""COMPUTED_VALUE"""),44399.625)</f>
        <v>44399.625</v>
      </c>
      <c r="B378" s="2">
        <f>IFERROR(__xludf.DUMMYFUNCTION("""COMPUTED_VALUE"""),266.0)</f>
        <v>266</v>
      </c>
      <c r="C378" s="2">
        <f>IFERROR(__xludf.DUMMYFUNCTION("""COMPUTED_VALUE"""),276.0)</f>
        <v>276</v>
      </c>
      <c r="D378" s="2">
        <f>IFERROR(__xludf.DUMMYFUNCTION("""COMPUTED_VALUE"""),264.0)</f>
        <v>264</v>
      </c>
      <c r="E378" s="2">
        <f>IFERROR(__xludf.DUMMYFUNCTION("""COMPUTED_VALUE"""),272.0)</f>
        <v>272</v>
      </c>
      <c r="F378" s="2">
        <f>IFERROR(__xludf.DUMMYFUNCTION("""COMPUTED_VALUE"""),6.47839E7)</f>
        <v>64783900</v>
      </c>
      <c r="G378" s="2">
        <f t="shared" si="1"/>
        <v>12</v>
      </c>
    </row>
    <row r="379" ht="15.75" customHeight="1">
      <c r="A379" s="1">
        <f>IFERROR(__xludf.DUMMYFUNCTION("""COMPUTED_VALUE"""),44400.625)</f>
        <v>44400.625</v>
      </c>
      <c r="B379" s="2">
        <f>IFERROR(__xludf.DUMMYFUNCTION("""COMPUTED_VALUE"""),274.0)</f>
        <v>274</v>
      </c>
      <c r="C379" s="2">
        <f>IFERROR(__xludf.DUMMYFUNCTION("""COMPUTED_VALUE"""),280.0)</f>
        <v>280</v>
      </c>
      <c r="D379" s="2">
        <f>IFERROR(__xludf.DUMMYFUNCTION("""COMPUTED_VALUE"""),272.0)</f>
        <v>272</v>
      </c>
      <c r="E379" s="2">
        <f>IFERROR(__xludf.DUMMYFUNCTION("""COMPUTED_VALUE"""),274.0)</f>
        <v>274</v>
      </c>
      <c r="F379" s="2">
        <f>IFERROR(__xludf.DUMMYFUNCTION("""COMPUTED_VALUE"""),4.68451E7)</f>
        <v>46845100</v>
      </c>
      <c r="G379" s="2">
        <f t="shared" si="1"/>
        <v>8</v>
      </c>
    </row>
    <row r="380" ht="15.75" customHeight="1">
      <c r="A380" s="1">
        <f>IFERROR(__xludf.DUMMYFUNCTION("""COMPUTED_VALUE"""),44403.625)</f>
        <v>44403.625</v>
      </c>
      <c r="B380" s="2">
        <f>IFERROR(__xludf.DUMMYFUNCTION("""COMPUTED_VALUE"""),274.0)</f>
        <v>274</v>
      </c>
      <c r="C380" s="2">
        <f>IFERROR(__xludf.DUMMYFUNCTION("""COMPUTED_VALUE"""),280.0)</f>
        <v>280</v>
      </c>
      <c r="D380" s="2">
        <f>IFERROR(__xludf.DUMMYFUNCTION("""COMPUTED_VALUE"""),274.0)</f>
        <v>274</v>
      </c>
      <c r="E380" s="2">
        <f>IFERROR(__xludf.DUMMYFUNCTION("""COMPUTED_VALUE"""),274.0)</f>
        <v>274</v>
      </c>
      <c r="F380" s="2">
        <f>IFERROR(__xludf.DUMMYFUNCTION("""COMPUTED_VALUE"""),3.73408E7)</f>
        <v>37340800</v>
      </c>
      <c r="G380" s="2">
        <f t="shared" si="1"/>
        <v>6</v>
      </c>
    </row>
    <row r="381" ht="15.75" customHeight="1">
      <c r="A381" s="1">
        <f>IFERROR(__xludf.DUMMYFUNCTION("""COMPUTED_VALUE"""),44404.625)</f>
        <v>44404.625</v>
      </c>
      <c r="B381" s="2">
        <f>IFERROR(__xludf.DUMMYFUNCTION("""COMPUTED_VALUE"""),274.0)</f>
        <v>274</v>
      </c>
      <c r="C381" s="2">
        <f>IFERROR(__xludf.DUMMYFUNCTION("""COMPUTED_VALUE"""),276.0)</f>
        <v>276</v>
      </c>
      <c r="D381" s="2">
        <f>IFERROR(__xludf.DUMMYFUNCTION("""COMPUTED_VALUE"""),268.0)</f>
        <v>268</v>
      </c>
      <c r="E381" s="2">
        <f>IFERROR(__xludf.DUMMYFUNCTION("""COMPUTED_VALUE"""),268.0)</f>
        <v>268</v>
      </c>
      <c r="F381" s="2">
        <f>IFERROR(__xludf.DUMMYFUNCTION("""COMPUTED_VALUE"""),4.44333E7)</f>
        <v>44433300</v>
      </c>
      <c r="G381" s="2">
        <f t="shared" si="1"/>
        <v>8</v>
      </c>
    </row>
    <row r="382" ht="15.75" customHeight="1">
      <c r="A382" s="1">
        <f>IFERROR(__xludf.DUMMYFUNCTION("""COMPUTED_VALUE"""),44405.625)</f>
        <v>44405.625</v>
      </c>
      <c r="B382" s="2">
        <f>IFERROR(__xludf.DUMMYFUNCTION("""COMPUTED_VALUE"""),270.0)</f>
        <v>270</v>
      </c>
      <c r="C382" s="2">
        <f>IFERROR(__xludf.DUMMYFUNCTION("""COMPUTED_VALUE"""),270.0)</f>
        <v>270</v>
      </c>
      <c r="D382" s="2">
        <f>IFERROR(__xludf.DUMMYFUNCTION("""COMPUTED_VALUE"""),266.0)</f>
        <v>266</v>
      </c>
      <c r="E382" s="2">
        <f>IFERROR(__xludf.DUMMYFUNCTION("""COMPUTED_VALUE"""),266.0)</f>
        <v>266</v>
      </c>
      <c r="F382" s="2">
        <f>IFERROR(__xludf.DUMMYFUNCTION("""COMPUTED_VALUE"""),2.64942E7)</f>
        <v>26494200</v>
      </c>
      <c r="G382" s="2">
        <f t="shared" si="1"/>
        <v>4</v>
      </c>
    </row>
    <row r="383" ht="15.75" customHeight="1">
      <c r="A383" s="1">
        <f>IFERROR(__xludf.DUMMYFUNCTION("""COMPUTED_VALUE"""),44406.625)</f>
        <v>44406.625</v>
      </c>
      <c r="B383" s="2">
        <f>IFERROR(__xludf.DUMMYFUNCTION("""COMPUTED_VALUE"""),266.0)</f>
        <v>266</v>
      </c>
      <c r="C383" s="2">
        <f>IFERROR(__xludf.DUMMYFUNCTION("""COMPUTED_VALUE"""),274.0)</f>
        <v>274</v>
      </c>
      <c r="D383" s="2">
        <f>IFERROR(__xludf.DUMMYFUNCTION("""COMPUTED_VALUE"""),266.0)</f>
        <v>266</v>
      </c>
      <c r="E383" s="2">
        <f>IFERROR(__xludf.DUMMYFUNCTION("""COMPUTED_VALUE"""),272.0)</f>
        <v>272</v>
      </c>
      <c r="F383" s="2">
        <f>IFERROR(__xludf.DUMMYFUNCTION("""COMPUTED_VALUE"""),4.03863E7)</f>
        <v>40386300</v>
      </c>
      <c r="G383" s="2">
        <f t="shared" si="1"/>
        <v>8</v>
      </c>
    </row>
    <row r="384" ht="15.75" customHeight="1">
      <c r="A384" s="1">
        <f>IFERROR(__xludf.DUMMYFUNCTION("""COMPUTED_VALUE"""),44407.625)</f>
        <v>44407.625</v>
      </c>
      <c r="B384" s="2">
        <f>IFERROR(__xludf.DUMMYFUNCTION("""COMPUTED_VALUE"""),266.0)</f>
        <v>266</v>
      </c>
      <c r="C384" s="2">
        <f>IFERROR(__xludf.DUMMYFUNCTION("""COMPUTED_VALUE"""),268.0)</f>
        <v>268</v>
      </c>
      <c r="D384" s="2">
        <f>IFERROR(__xludf.DUMMYFUNCTION("""COMPUTED_VALUE"""),260.0)</f>
        <v>260</v>
      </c>
      <c r="E384" s="2">
        <f>IFERROR(__xludf.DUMMYFUNCTION("""COMPUTED_VALUE"""),262.0)</f>
        <v>262</v>
      </c>
      <c r="F384" s="2">
        <f>IFERROR(__xludf.DUMMYFUNCTION("""COMPUTED_VALUE"""),4.37901E7)</f>
        <v>43790100</v>
      </c>
      <c r="G384" s="2">
        <f t="shared" si="1"/>
        <v>12</v>
      </c>
    </row>
    <row r="385" ht="15.75" customHeight="1">
      <c r="A385" s="1">
        <f>IFERROR(__xludf.DUMMYFUNCTION("""COMPUTED_VALUE"""),44410.625)</f>
        <v>44410.625</v>
      </c>
      <c r="B385" s="2">
        <f>IFERROR(__xludf.DUMMYFUNCTION("""COMPUTED_VALUE"""),264.0)</f>
        <v>264</v>
      </c>
      <c r="C385" s="2">
        <f>IFERROR(__xludf.DUMMYFUNCTION("""COMPUTED_VALUE"""),266.0)</f>
        <v>266</v>
      </c>
      <c r="D385" s="2">
        <f>IFERROR(__xludf.DUMMYFUNCTION("""COMPUTED_VALUE"""),256.0)</f>
        <v>256</v>
      </c>
      <c r="E385" s="2">
        <f>IFERROR(__xludf.DUMMYFUNCTION("""COMPUTED_VALUE"""),260.0)</f>
        <v>260</v>
      </c>
      <c r="F385" s="2">
        <f>IFERROR(__xludf.DUMMYFUNCTION("""COMPUTED_VALUE"""),2.7718E7)</f>
        <v>27718000</v>
      </c>
      <c r="G385" s="2">
        <f t="shared" si="1"/>
        <v>10</v>
      </c>
    </row>
    <row r="386" ht="15.75" customHeight="1">
      <c r="A386" s="1">
        <f>IFERROR(__xludf.DUMMYFUNCTION("""COMPUTED_VALUE"""),44411.625)</f>
        <v>44411.625</v>
      </c>
      <c r="B386" s="2">
        <f>IFERROR(__xludf.DUMMYFUNCTION("""COMPUTED_VALUE"""),260.0)</f>
        <v>260</v>
      </c>
      <c r="C386" s="2">
        <f>IFERROR(__xludf.DUMMYFUNCTION("""COMPUTED_VALUE"""),262.0)</f>
        <v>262</v>
      </c>
      <c r="D386" s="2">
        <f>IFERROR(__xludf.DUMMYFUNCTION("""COMPUTED_VALUE"""),256.0)</f>
        <v>256</v>
      </c>
      <c r="E386" s="2">
        <f>IFERROR(__xludf.DUMMYFUNCTION("""COMPUTED_VALUE"""),258.0)</f>
        <v>258</v>
      </c>
      <c r="F386" s="2">
        <f>IFERROR(__xludf.DUMMYFUNCTION("""COMPUTED_VALUE"""),1.25765E7)</f>
        <v>12576500</v>
      </c>
      <c r="G386" s="2">
        <f t="shared" si="1"/>
        <v>6</v>
      </c>
    </row>
    <row r="387" ht="15.75" customHeight="1">
      <c r="A387" s="1">
        <f>IFERROR(__xludf.DUMMYFUNCTION("""COMPUTED_VALUE"""),44412.625)</f>
        <v>44412.625</v>
      </c>
      <c r="B387" s="2">
        <f>IFERROR(__xludf.DUMMYFUNCTION("""COMPUTED_VALUE"""),260.0)</f>
        <v>260</v>
      </c>
      <c r="C387" s="2">
        <f>IFERROR(__xludf.DUMMYFUNCTION("""COMPUTED_VALUE"""),268.0)</f>
        <v>268</v>
      </c>
      <c r="D387" s="2">
        <f>IFERROR(__xludf.DUMMYFUNCTION("""COMPUTED_VALUE"""),258.0)</f>
        <v>258</v>
      </c>
      <c r="E387" s="2">
        <f>IFERROR(__xludf.DUMMYFUNCTION("""COMPUTED_VALUE"""),266.0)</f>
        <v>266</v>
      </c>
      <c r="F387" s="2">
        <f>IFERROR(__xludf.DUMMYFUNCTION("""COMPUTED_VALUE"""),3.42284E7)</f>
        <v>34228400</v>
      </c>
      <c r="G387" s="2">
        <f t="shared" si="1"/>
        <v>10</v>
      </c>
    </row>
    <row r="388" ht="15.75" customHeight="1">
      <c r="A388" s="1">
        <f>IFERROR(__xludf.DUMMYFUNCTION("""COMPUTED_VALUE"""),44413.625)</f>
        <v>44413.625</v>
      </c>
      <c r="B388" s="2">
        <f>IFERROR(__xludf.DUMMYFUNCTION("""COMPUTED_VALUE"""),270.0)</f>
        <v>270</v>
      </c>
      <c r="C388" s="2">
        <f>IFERROR(__xludf.DUMMYFUNCTION("""COMPUTED_VALUE"""),270.0)</f>
        <v>270</v>
      </c>
      <c r="D388" s="2">
        <f>IFERROR(__xludf.DUMMYFUNCTION("""COMPUTED_VALUE"""),262.0)</f>
        <v>262</v>
      </c>
      <c r="E388" s="2">
        <f>IFERROR(__xludf.DUMMYFUNCTION("""COMPUTED_VALUE"""),262.0)</f>
        <v>262</v>
      </c>
      <c r="F388" s="2">
        <f>IFERROR(__xludf.DUMMYFUNCTION("""COMPUTED_VALUE"""),2.54194E7)</f>
        <v>25419400</v>
      </c>
      <c r="G388" s="2">
        <f t="shared" si="1"/>
        <v>8</v>
      </c>
    </row>
    <row r="389" ht="15.75" customHeight="1">
      <c r="A389" s="1">
        <f>IFERROR(__xludf.DUMMYFUNCTION("""COMPUTED_VALUE"""),44414.625)</f>
        <v>44414.625</v>
      </c>
      <c r="B389" s="2">
        <f>IFERROR(__xludf.DUMMYFUNCTION("""COMPUTED_VALUE"""),264.0)</f>
        <v>264</v>
      </c>
      <c r="C389" s="2">
        <f>IFERROR(__xludf.DUMMYFUNCTION("""COMPUTED_VALUE"""),268.0)</f>
        <v>268</v>
      </c>
      <c r="D389" s="2">
        <f>IFERROR(__xludf.DUMMYFUNCTION("""COMPUTED_VALUE"""),262.0)</f>
        <v>262</v>
      </c>
      <c r="E389" s="2">
        <f>IFERROR(__xludf.DUMMYFUNCTION("""COMPUTED_VALUE"""),266.0)</f>
        <v>266</v>
      </c>
      <c r="F389" s="2">
        <f>IFERROR(__xludf.DUMMYFUNCTION("""COMPUTED_VALUE"""),2.20396E7)</f>
        <v>22039600</v>
      </c>
      <c r="G389" s="2">
        <f t="shared" si="1"/>
        <v>6</v>
      </c>
    </row>
    <row r="390" ht="15.75" customHeight="1">
      <c r="A390" s="1">
        <f>IFERROR(__xludf.DUMMYFUNCTION("""COMPUTED_VALUE"""),44417.625)</f>
        <v>44417.625</v>
      </c>
      <c r="B390" s="2">
        <f>IFERROR(__xludf.DUMMYFUNCTION("""COMPUTED_VALUE"""),268.0)</f>
        <v>268</v>
      </c>
      <c r="C390" s="2">
        <f>IFERROR(__xludf.DUMMYFUNCTION("""COMPUTED_VALUE"""),268.0)</f>
        <v>268</v>
      </c>
      <c r="D390" s="2">
        <f>IFERROR(__xludf.DUMMYFUNCTION("""COMPUTED_VALUE"""),260.0)</f>
        <v>260</v>
      </c>
      <c r="E390" s="2">
        <f>IFERROR(__xludf.DUMMYFUNCTION("""COMPUTED_VALUE"""),262.0)</f>
        <v>262</v>
      </c>
      <c r="F390" s="2">
        <f>IFERROR(__xludf.DUMMYFUNCTION("""COMPUTED_VALUE"""),2.71131E7)</f>
        <v>27113100</v>
      </c>
      <c r="G390" s="2">
        <f t="shared" si="1"/>
        <v>8</v>
      </c>
    </row>
    <row r="391" ht="15.75" customHeight="1">
      <c r="A391" s="1">
        <f>IFERROR(__xludf.DUMMYFUNCTION("""COMPUTED_VALUE"""),44418.625)</f>
        <v>44418.625</v>
      </c>
      <c r="B391" s="2">
        <f>IFERROR(__xludf.DUMMYFUNCTION("""COMPUTED_VALUE"""),262.0)</f>
        <v>262</v>
      </c>
      <c r="C391" s="2">
        <f>IFERROR(__xludf.DUMMYFUNCTION("""COMPUTED_VALUE"""),264.0)</f>
        <v>264</v>
      </c>
      <c r="D391" s="2">
        <f>IFERROR(__xludf.DUMMYFUNCTION("""COMPUTED_VALUE"""),258.0)</f>
        <v>258</v>
      </c>
      <c r="E391" s="2">
        <f>IFERROR(__xludf.DUMMYFUNCTION("""COMPUTED_VALUE"""),260.0)</f>
        <v>260</v>
      </c>
      <c r="F391" s="2">
        <f>IFERROR(__xludf.DUMMYFUNCTION("""COMPUTED_VALUE"""),2.06626E7)</f>
        <v>20662600</v>
      </c>
      <c r="G391" s="2">
        <f t="shared" si="1"/>
        <v>6</v>
      </c>
    </row>
    <row r="392" ht="15.75" customHeight="1">
      <c r="A392" s="1">
        <f>IFERROR(__xludf.DUMMYFUNCTION("""COMPUTED_VALUE"""),44420.625)</f>
        <v>44420.625</v>
      </c>
      <c r="B392" s="2">
        <f>IFERROR(__xludf.DUMMYFUNCTION("""COMPUTED_VALUE"""),262.0)</f>
        <v>262</v>
      </c>
      <c r="C392" s="2">
        <f>IFERROR(__xludf.DUMMYFUNCTION("""COMPUTED_VALUE"""),266.0)</f>
        <v>266</v>
      </c>
      <c r="D392" s="2">
        <f>IFERROR(__xludf.DUMMYFUNCTION("""COMPUTED_VALUE"""),260.0)</f>
        <v>260</v>
      </c>
      <c r="E392" s="2">
        <f>IFERROR(__xludf.DUMMYFUNCTION("""COMPUTED_VALUE"""),262.0)</f>
        <v>262</v>
      </c>
      <c r="F392" s="2">
        <f>IFERROR(__xludf.DUMMYFUNCTION("""COMPUTED_VALUE"""),2.92256E7)</f>
        <v>29225600</v>
      </c>
      <c r="G392" s="2">
        <f t="shared" si="1"/>
        <v>6</v>
      </c>
    </row>
    <row r="393" ht="15.75" customHeight="1">
      <c r="A393" s="1">
        <f>IFERROR(__xludf.DUMMYFUNCTION("""COMPUTED_VALUE"""),44421.625)</f>
        <v>44421.625</v>
      </c>
      <c r="B393" s="2">
        <f>IFERROR(__xludf.DUMMYFUNCTION("""COMPUTED_VALUE"""),260.0)</f>
        <v>260</v>
      </c>
      <c r="C393" s="2">
        <f>IFERROR(__xludf.DUMMYFUNCTION("""COMPUTED_VALUE"""),264.0)</f>
        <v>264</v>
      </c>
      <c r="D393" s="2">
        <f>IFERROR(__xludf.DUMMYFUNCTION("""COMPUTED_VALUE"""),258.0)</f>
        <v>258</v>
      </c>
      <c r="E393" s="2">
        <f>IFERROR(__xludf.DUMMYFUNCTION("""COMPUTED_VALUE"""),260.0)</f>
        <v>260</v>
      </c>
      <c r="F393" s="2">
        <f>IFERROR(__xludf.DUMMYFUNCTION("""COMPUTED_VALUE"""),1.83129E7)</f>
        <v>18312900</v>
      </c>
      <c r="G393" s="2">
        <f t="shared" si="1"/>
        <v>6</v>
      </c>
    </row>
    <row r="394" ht="15.75" customHeight="1">
      <c r="A394" s="1">
        <f>IFERROR(__xludf.DUMMYFUNCTION("""COMPUTED_VALUE"""),44424.625)</f>
        <v>44424.625</v>
      </c>
      <c r="B394" s="2">
        <f>IFERROR(__xludf.DUMMYFUNCTION("""COMPUTED_VALUE"""),260.0)</f>
        <v>260</v>
      </c>
      <c r="C394" s="2">
        <f>IFERROR(__xludf.DUMMYFUNCTION("""COMPUTED_VALUE"""),262.0)</f>
        <v>262</v>
      </c>
      <c r="D394" s="2">
        <f>IFERROR(__xludf.DUMMYFUNCTION("""COMPUTED_VALUE"""),256.0)</f>
        <v>256</v>
      </c>
      <c r="E394" s="2">
        <f>IFERROR(__xludf.DUMMYFUNCTION("""COMPUTED_VALUE"""),260.0)</f>
        <v>260</v>
      </c>
      <c r="F394" s="2">
        <f>IFERROR(__xludf.DUMMYFUNCTION("""COMPUTED_VALUE"""),1.65323E7)</f>
        <v>16532300</v>
      </c>
      <c r="G394" s="2">
        <f t="shared" si="1"/>
        <v>6</v>
      </c>
    </row>
    <row r="395" ht="15.75" customHeight="1">
      <c r="A395" s="1">
        <f>IFERROR(__xludf.DUMMYFUNCTION("""COMPUTED_VALUE"""),44426.625)</f>
        <v>44426.625</v>
      </c>
      <c r="B395" s="2">
        <f>IFERROR(__xludf.DUMMYFUNCTION("""COMPUTED_VALUE"""),260.0)</f>
        <v>260</v>
      </c>
      <c r="C395" s="2">
        <f>IFERROR(__xludf.DUMMYFUNCTION("""COMPUTED_VALUE"""),262.0)</f>
        <v>262</v>
      </c>
      <c r="D395" s="2">
        <f>IFERROR(__xludf.DUMMYFUNCTION("""COMPUTED_VALUE"""),256.0)</f>
        <v>256</v>
      </c>
      <c r="E395" s="2">
        <f>IFERROR(__xludf.DUMMYFUNCTION("""COMPUTED_VALUE"""),258.0)</f>
        <v>258</v>
      </c>
      <c r="F395" s="2">
        <f>IFERROR(__xludf.DUMMYFUNCTION("""COMPUTED_VALUE"""),2.02093E7)</f>
        <v>20209300</v>
      </c>
      <c r="G395" s="2">
        <f t="shared" si="1"/>
        <v>6</v>
      </c>
    </row>
    <row r="396" ht="15.75" customHeight="1">
      <c r="A396" s="1">
        <f>IFERROR(__xludf.DUMMYFUNCTION("""COMPUTED_VALUE"""),44427.625)</f>
        <v>44427.625</v>
      </c>
      <c r="B396" s="2">
        <f>IFERROR(__xludf.DUMMYFUNCTION("""COMPUTED_VALUE"""),260.0)</f>
        <v>260</v>
      </c>
      <c r="C396" s="2">
        <f>IFERROR(__xludf.DUMMYFUNCTION("""COMPUTED_VALUE"""),260.0)</f>
        <v>260</v>
      </c>
      <c r="D396" s="2">
        <f>IFERROR(__xludf.DUMMYFUNCTION("""COMPUTED_VALUE"""),250.0)</f>
        <v>250</v>
      </c>
      <c r="E396" s="2">
        <f>IFERROR(__xludf.DUMMYFUNCTION("""COMPUTED_VALUE"""),250.0)</f>
        <v>250</v>
      </c>
      <c r="F396" s="2">
        <f>IFERROR(__xludf.DUMMYFUNCTION("""COMPUTED_VALUE"""),4.05305E7)</f>
        <v>40530500</v>
      </c>
      <c r="G396" s="2">
        <f t="shared" si="1"/>
        <v>10</v>
      </c>
    </row>
    <row r="397" ht="15.75" customHeight="1">
      <c r="A397" s="1">
        <f>IFERROR(__xludf.DUMMYFUNCTION("""COMPUTED_VALUE"""),44428.625)</f>
        <v>44428.625</v>
      </c>
      <c r="B397" s="2">
        <f>IFERROR(__xludf.DUMMYFUNCTION("""COMPUTED_VALUE"""),250.0)</f>
        <v>250</v>
      </c>
      <c r="C397" s="2">
        <f>IFERROR(__xludf.DUMMYFUNCTION("""COMPUTED_VALUE"""),252.0)</f>
        <v>252</v>
      </c>
      <c r="D397" s="2">
        <f>IFERROR(__xludf.DUMMYFUNCTION("""COMPUTED_VALUE"""),240.0)</f>
        <v>240</v>
      </c>
      <c r="E397" s="2">
        <f>IFERROR(__xludf.DUMMYFUNCTION("""COMPUTED_VALUE"""),244.0)</f>
        <v>244</v>
      </c>
      <c r="F397" s="2">
        <f>IFERROR(__xludf.DUMMYFUNCTION("""COMPUTED_VALUE"""),4.79783E7)</f>
        <v>47978300</v>
      </c>
      <c r="G397" s="2">
        <f t="shared" si="1"/>
        <v>12</v>
      </c>
    </row>
    <row r="398" ht="15.75" customHeight="1">
      <c r="A398" s="1">
        <f>IFERROR(__xludf.DUMMYFUNCTION("""COMPUTED_VALUE"""),44431.66666666667)</f>
        <v>44431.66667</v>
      </c>
      <c r="B398" s="2">
        <f>IFERROR(__xludf.DUMMYFUNCTION("""COMPUTED_VALUE"""),244.0)</f>
        <v>244</v>
      </c>
      <c r="C398" s="2">
        <f>IFERROR(__xludf.DUMMYFUNCTION("""COMPUTED_VALUE"""),264.0)</f>
        <v>264</v>
      </c>
      <c r="D398" s="2">
        <f>IFERROR(__xludf.DUMMYFUNCTION("""COMPUTED_VALUE"""),242.0)</f>
        <v>242</v>
      </c>
      <c r="E398" s="2">
        <f>IFERROR(__xludf.DUMMYFUNCTION("""COMPUTED_VALUE"""),256.0)</f>
        <v>256</v>
      </c>
      <c r="F398" s="2">
        <f>IFERROR(__xludf.DUMMYFUNCTION("""COMPUTED_VALUE"""),8.80253E7)</f>
        <v>88025300</v>
      </c>
      <c r="G398" s="2">
        <f t="shared" si="1"/>
        <v>22</v>
      </c>
    </row>
    <row r="399" ht="15.75" customHeight="1">
      <c r="A399" s="1">
        <f>IFERROR(__xludf.DUMMYFUNCTION("""COMPUTED_VALUE"""),44432.66666666667)</f>
        <v>44432.66667</v>
      </c>
      <c r="B399" s="2">
        <f>IFERROR(__xludf.DUMMYFUNCTION("""COMPUTED_VALUE"""),260.0)</f>
        <v>260</v>
      </c>
      <c r="C399" s="2">
        <f>IFERROR(__xludf.DUMMYFUNCTION("""COMPUTED_VALUE"""),266.0)</f>
        <v>266</v>
      </c>
      <c r="D399" s="2">
        <f>IFERROR(__xludf.DUMMYFUNCTION("""COMPUTED_VALUE"""),256.0)</f>
        <v>256</v>
      </c>
      <c r="E399" s="2">
        <f>IFERROR(__xludf.DUMMYFUNCTION("""COMPUTED_VALUE"""),256.0)</f>
        <v>256</v>
      </c>
      <c r="F399" s="2">
        <f>IFERROR(__xludf.DUMMYFUNCTION("""COMPUTED_VALUE"""),3.33026E7)</f>
        <v>33302600</v>
      </c>
      <c r="G399" s="2">
        <f t="shared" si="1"/>
        <v>10</v>
      </c>
    </row>
    <row r="400" ht="15.75" customHeight="1">
      <c r="A400" s="1">
        <f>IFERROR(__xludf.DUMMYFUNCTION("""COMPUTED_VALUE"""),44433.625)</f>
        <v>44433.625</v>
      </c>
      <c r="B400" s="2">
        <f>IFERROR(__xludf.DUMMYFUNCTION("""COMPUTED_VALUE"""),258.0)</f>
        <v>258</v>
      </c>
      <c r="C400" s="2">
        <f>IFERROR(__xludf.DUMMYFUNCTION("""COMPUTED_VALUE"""),264.0)</f>
        <v>264</v>
      </c>
      <c r="D400" s="2">
        <f>IFERROR(__xludf.DUMMYFUNCTION("""COMPUTED_VALUE"""),258.0)</f>
        <v>258</v>
      </c>
      <c r="E400" s="2">
        <f>IFERROR(__xludf.DUMMYFUNCTION("""COMPUTED_VALUE"""),258.0)</f>
        <v>258</v>
      </c>
      <c r="F400" s="2">
        <f>IFERROR(__xludf.DUMMYFUNCTION("""COMPUTED_VALUE"""),3.24009E7)</f>
        <v>32400900</v>
      </c>
      <c r="G400" s="2">
        <f t="shared" si="1"/>
        <v>8</v>
      </c>
    </row>
    <row r="401" ht="15.75" customHeight="1">
      <c r="A401" s="1">
        <f>IFERROR(__xludf.DUMMYFUNCTION("""COMPUTED_VALUE"""),44434.625)</f>
        <v>44434.625</v>
      </c>
      <c r="B401" s="2">
        <f>IFERROR(__xludf.DUMMYFUNCTION("""COMPUTED_VALUE"""),260.0)</f>
        <v>260</v>
      </c>
      <c r="C401" s="2">
        <f>IFERROR(__xludf.DUMMYFUNCTION("""COMPUTED_VALUE"""),262.0)</f>
        <v>262</v>
      </c>
      <c r="D401" s="2">
        <f>IFERROR(__xludf.DUMMYFUNCTION("""COMPUTED_VALUE"""),254.0)</f>
        <v>254</v>
      </c>
      <c r="E401" s="2">
        <f>IFERROR(__xludf.DUMMYFUNCTION("""COMPUTED_VALUE"""),256.0)</f>
        <v>256</v>
      </c>
      <c r="F401" s="2">
        <f>IFERROR(__xludf.DUMMYFUNCTION("""COMPUTED_VALUE"""),9899600.0)</f>
        <v>9899600</v>
      </c>
      <c r="G401" s="2">
        <f t="shared" si="1"/>
        <v>8</v>
      </c>
    </row>
    <row r="402" ht="15.75" customHeight="1">
      <c r="A402" s="1">
        <f>IFERROR(__xludf.DUMMYFUNCTION("""COMPUTED_VALUE"""),44435.625)</f>
        <v>44435.625</v>
      </c>
      <c r="B402" s="2">
        <f>IFERROR(__xludf.DUMMYFUNCTION("""COMPUTED_VALUE"""),256.0)</f>
        <v>256</v>
      </c>
      <c r="C402" s="2">
        <f>IFERROR(__xludf.DUMMYFUNCTION("""COMPUTED_VALUE"""),262.0)</f>
        <v>262</v>
      </c>
      <c r="D402" s="2">
        <f>IFERROR(__xludf.DUMMYFUNCTION("""COMPUTED_VALUE"""),250.0)</f>
        <v>250</v>
      </c>
      <c r="E402" s="2">
        <f>IFERROR(__xludf.DUMMYFUNCTION("""COMPUTED_VALUE"""),258.0)</f>
        <v>258</v>
      </c>
      <c r="F402" s="2">
        <f>IFERROR(__xludf.DUMMYFUNCTION("""COMPUTED_VALUE"""),2.69327E7)</f>
        <v>26932700</v>
      </c>
      <c r="G402" s="2">
        <f t="shared" si="1"/>
        <v>12</v>
      </c>
    </row>
    <row r="403" ht="15.75" customHeight="1">
      <c r="A403" s="1">
        <f>IFERROR(__xludf.DUMMYFUNCTION("""COMPUTED_VALUE"""),44438.625)</f>
        <v>44438.625</v>
      </c>
      <c r="B403" s="2">
        <f>IFERROR(__xludf.DUMMYFUNCTION("""COMPUTED_VALUE"""),258.0)</f>
        <v>258</v>
      </c>
      <c r="C403" s="2">
        <f>IFERROR(__xludf.DUMMYFUNCTION("""COMPUTED_VALUE"""),262.0)</f>
        <v>262</v>
      </c>
      <c r="D403" s="2">
        <f>IFERROR(__xludf.DUMMYFUNCTION("""COMPUTED_VALUE"""),256.0)</f>
        <v>256</v>
      </c>
      <c r="E403" s="2">
        <f>IFERROR(__xludf.DUMMYFUNCTION("""COMPUTED_VALUE"""),258.0)</f>
        <v>258</v>
      </c>
      <c r="F403" s="2">
        <f>IFERROR(__xludf.DUMMYFUNCTION("""COMPUTED_VALUE"""),1.33759E7)</f>
        <v>13375900</v>
      </c>
      <c r="G403" s="2">
        <f t="shared" si="1"/>
        <v>6</v>
      </c>
    </row>
    <row r="404" ht="15.75" customHeight="1">
      <c r="A404" s="1">
        <f>IFERROR(__xludf.DUMMYFUNCTION("""COMPUTED_VALUE"""),44439.625)</f>
        <v>44439.625</v>
      </c>
      <c r="B404" s="2">
        <f>IFERROR(__xludf.DUMMYFUNCTION("""COMPUTED_VALUE"""),262.0)</f>
        <v>262</v>
      </c>
      <c r="C404" s="2">
        <f>IFERROR(__xludf.DUMMYFUNCTION("""COMPUTED_VALUE"""),262.0)</f>
        <v>262</v>
      </c>
      <c r="D404" s="2">
        <f>IFERROR(__xludf.DUMMYFUNCTION("""COMPUTED_VALUE"""),258.0)</f>
        <v>258</v>
      </c>
      <c r="E404" s="2">
        <f>IFERROR(__xludf.DUMMYFUNCTION("""COMPUTED_VALUE"""),260.0)</f>
        <v>260</v>
      </c>
      <c r="F404" s="2">
        <f>IFERROR(__xludf.DUMMYFUNCTION("""COMPUTED_VALUE"""),1.13865E7)</f>
        <v>11386500</v>
      </c>
      <c r="G404" s="2">
        <f t="shared" si="1"/>
        <v>4</v>
      </c>
    </row>
    <row r="405" ht="15.75" customHeight="1">
      <c r="A405" s="1">
        <f>IFERROR(__xludf.DUMMYFUNCTION("""COMPUTED_VALUE"""),44440.625)</f>
        <v>44440.625</v>
      </c>
      <c r="B405" s="2">
        <f>IFERROR(__xludf.DUMMYFUNCTION("""COMPUTED_VALUE"""),260.0)</f>
        <v>260</v>
      </c>
      <c r="C405" s="2">
        <f>IFERROR(__xludf.DUMMYFUNCTION("""COMPUTED_VALUE"""),266.0)</f>
        <v>266</v>
      </c>
      <c r="D405" s="2">
        <f>IFERROR(__xludf.DUMMYFUNCTION("""COMPUTED_VALUE"""),258.0)</f>
        <v>258</v>
      </c>
      <c r="E405" s="2">
        <f>IFERROR(__xludf.DUMMYFUNCTION("""COMPUTED_VALUE"""),266.0)</f>
        <v>266</v>
      </c>
      <c r="F405" s="2">
        <f>IFERROR(__xludf.DUMMYFUNCTION("""COMPUTED_VALUE"""),3.54509E7)</f>
        <v>35450900</v>
      </c>
      <c r="G405" s="2">
        <f t="shared" si="1"/>
        <v>8</v>
      </c>
    </row>
    <row r="406" ht="15.75" customHeight="1">
      <c r="A406" s="1">
        <f>IFERROR(__xludf.DUMMYFUNCTION("""COMPUTED_VALUE"""),44441.625)</f>
        <v>44441.625</v>
      </c>
      <c r="B406" s="2">
        <f>IFERROR(__xludf.DUMMYFUNCTION("""COMPUTED_VALUE"""),266.0)</f>
        <v>266</v>
      </c>
      <c r="C406" s="2">
        <f>IFERROR(__xludf.DUMMYFUNCTION("""COMPUTED_VALUE"""),294.0)</f>
        <v>294</v>
      </c>
      <c r="D406" s="2">
        <f>IFERROR(__xludf.DUMMYFUNCTION("""COMPUTED_VALUE"""),266.0)</f>
        <v>266</v>
      </c>
      <c r="E406" s="2">
        <f>IFERROR(__xludf.DUMMYFUNCTION("""COMPUTED_VALUE"""),292.0)</f>
        <v>292</v>
      </c>
      <c r="F406" s="2">
        <f>IFERROR(__xludf.DUMMYFUNCTION("""COMPUTED_VALUE"""),3.545122E8)</f>
        <v>354512200</v>
      </c>
      <c r="G406" s="2">
        <f t="shared" si="1"/>
        <v>28</v>
      </c>
    </row>
    <row r="407" ht="15.75" customHeight="1">
      <c r="A407" s="1">
        <f>IFERROR(__xludf.DUMMYFUNCTION("""COMPUTED_VALUE"""),44442.625)</f>
        <v>44442.625</v>
      </c>
      <c r="B407" s="2">
        <f>IFERROR(__xludf.DUMMYFUNCTION("""COMPUTED_VALUE"""),292.0)</f>
        <v>292</v>
      </c>
      <c r="C407" s="2">
        <f>IFERROR(__xludf.DUMMYFUNCTION("""COMPUTED_VALUE"""),296.0)</f>
        <v>296</v>
      </c>
      <c r="D407" s="2">
        <f>IFERROR(__xludf.DUMMYFUNCTION("""COMPUTED_VALUE"""),274.0)</f>
        <v>274</v>
      </c>
      <c r="E407" s="2">
        <f>IFERROR(__xludf.DUMMYFUNCTION("""COMPUTED_VALUE"""),278.0)</f>
        <v>278</v>
      </c>
      <c r="F407" s="2">
        <f>IFERROR(__xludf.DUMMYFUNCTION("""COMPUTED_VALUE"""),2.332695E8)</f>
        <v>233269500</v>
      </c>
      <c r="G407" s="2">
        <f t="shared" si="1"/>
        <v>22</v>
      </c>
    </row>
    <row r="408" ht="15.75" customHeight="1">
      <c r="A408" s="1">
        <f>IFERROR(__xludf.DUMMYFUNCTION("""COMPUTED_VALUE"""),44445.625)</f>
        <v>44445.625</v>
      </c>
      <c r="B408" s="2">
        <f>IFERROR(__xludf.DUMMYFUNCTION("""COMPUTED_VALUE"""),280.0)</f>
        <v>280</v>
      </c>
      <c r="C408" s="2">
        <f>IFERROR(__xludf.DUMMYFUNCTION("""COMPUTED_VALUE"""),288.0)</f>
        <v>288</v>
      </c>
      <c r="D408" s="2">
        <f>IFERROR(__xludf.DUMMYFUNCTION("""COMPUTED_VALUE"""),278.0)</f>
        <v>278</v>
      </c>
      <c r="E408" s="2">
        <f>IFERROR(__xludf.DUMMYFUNCTION("""COMPUTED_VALUE"""),288.0)</f>
        <v>288</v>
      </c>
      <c r="F408" s="2">
        <f>IFERROR(__xludf.DUMMYFUNCTION("""COMPUTED_VALUE"""),8.85568E7)</f>
        <v>88556800</v>
      </c>
      <c r="G408" s="2">
        <f t="shared" si="1"/>
        <v>10</v>
      </c>
    </row>
    <row r="409" ht="15.75" customHeight="1">
      <c r="A409" s="1">
        <f>IFERROR(__xludf.DUMMYFUNCTION("""COMPUTED_VALUE"""),44446.625)</f>
        <v>44446.625</v>
      </c>
      <c r="B409" s="2">
        <f>IFERROR(__xludf.DUMMYFUNCTION("""COMPUTED_VALUE"""),290.0)</f>
        <v>290</v>
      </c>
      <c r="C409" s="2">
        <f>IFERROR(__xludf.DUMMYFUNCTION("""COMPUTED_VALUE"""),292.0)</f>
        <v>292</v>
      </c>
      <c r="D409" s="2">
        <f>IFERROR(__xludf.DUMMYFUNCTION("""COMPUTED_VALUE"""),284.0)</f>
        <v>284</v>
      </c>
      <c r="E409" s="2">
        <f>IFERROR(__xludf.DUMMYFUNCTION("""COMPUTED_VALUE"""),284.0)</f>
        <v>284</v>
      </c>
      <c r="F409" s="2">
        <f>IFERROR(__xludf.DUMMYFUNCTION("""COMPUTED_VALUE"""),6.07117E7)</f>
        <v>60711700</v>
      </c>
      <c r="G409" s="2">
        <f t="shared" si="1"/>
        <v>8</v>
      </c>
    </row>
    <row r="410" ht="15.75" customHeight="1">
      <c r="A410" s="1">
        <f>IFERROR(__xludf.DUMMYFUNCTION("""COMPUTED_VALUE"""),44447.625)</f>
        <v>44447.625</v>
      </c>
      <c r="B410" s="2">
        <f>IFERROR(__xludf.DUMMYFUNCTION("""COMPUTED_VALUE"""),286.0)</f>
        <v>286</v>
      </c>
      <c r="C410" s="2">
        <f>IFERROR(__xludf.DUMMYFUNCTION("""COMPUTED_VALUE"""),286.0)</f>
        <v>286</v>
      </c>
      <c r="D410" s="2">
        <f>IFERROR(__xludf.DUMMYFUNCTION("""COMPUTED_VALUE"""),274.0)</f>
        <v>274</v>
      </c>
      <c r="E410" s="2">
        <f>IFERROR(__xludf.DUMMYFUNCTION("""COMPUTED_VALUE"""),278.0)</f>
        <v>278</v>
      </c>
      <c r="F410" s="2">
        <f>IFERROR(__xludf.DUMMYFUNCTION("""COMPUTED_VALUE"""),5.18779E7)</f>
        <v>51877900</v>
      </c>
      <c r="G410" s="2">
        <f t="shared" si="1"/>
        <v>12</v>
      </c>
    </row>
    <row r="411" ht="15.75" customHeight="1">
      <c r="A411" s="1">
        <f>IFERROR(__xludf.DUMMYFUNCTION("""COMPUTED_VALUE"""),44448.625)</f>
        <v>44448.625</v>
      </c>
      <c r="B411" s="2">
        <f>IFERROR(__xludf.DUMMYFUNCTION("""COMPUTED_VALUE"""),278.0)</f>
        <v>278</v>
      </c>
      <c r="C411" s="2">
        <f>IFERROR(__xludf.DUMMYFUNCTION("""COMPUTED_VALUE"""),280.0)</f>
        <v>280</v>
      </c>
      <c r="D411" s="2">
        <f>IFERROR(__xludf.DUMMYFUNCTION("""COMPUTED_VALUE"""),270.0)</f>
        <v>270</v>
      </c>
      <c r="E411" s="2">
        <f>IFERROR(__xludf.DUMMYFUNCTION("""COMPUTED_VALUE"""),278.0)</f>
        <v>278</v>
      </c>
      <c r="F411" s="2">
        <f>IFERROR(__xludf.DUMMYFUNCTION("""COMPUTED_VALUE"""),4.52165E7)</f>
        <v>45216500</v>
      </c>
      <c r="G411" s="2">
        <f t="shared" si="1"/>
        <v>10</v>
      </c>
    </row>
    <row r="412" ht="15.75" customHeight="1">
      <c r="A412" s="1">
        <f>IFERROR(__xludf.DUMMYFUNCTION("""COMPUTED_VALUE"""),44449.625)</f>
        <v>44449.625</v>
      </c>
      <c r="B412" s="2">
        <f>IFERROR(__xludf.DUMMYFUNCTION("""COMPUTED_VALUE"""),278.0)</f>
        <v>278</v>
      </c>
      <c r="C412" s="2">
        <f>IFERROR(__xludf.DUMMYFUNCTION("""COMPUTED_VALUE"""),280.0)</f>
        <v>280</v>
      </c>
      <c r="D412" s="2">
        <f>IFERROR(__xludf.DUMMYFUNCTION("""COMPUTED_VALUE"""),274.0)</f>
        <v>274</v>
      </c>
      <c r="E412" s="2">
        <f>IFERROR(__xludf.DUMMYFUNCTION("""COMPUTED_VALUE"""),276.0)</f>
        <v>276</v>
      </c>
      <c r="F412" s="2">
        <f>IFERROR(__xludf.DUMMYFUNCTION("""COMPUTED_VALUE"""),2.34151E7)</f>
        <v>23415100</v>
      </c>
      <c r="G412" s="2">
        <f t="shared" si="1"/>
        <v>6</v>
      </c>
    </row>
    <row r="413" ht="15.75" customHeight="1">
      <c r="A413" s="1">
        <f>IFERROR(__xludf.DUMMYFUNCTION("""COMPUTED_VALUE"""),44452.625)</f>
        <v>44452.625</v>
      </c>
      <c r="B413" s="2">
        <f>IFERROR(__xludf.DUMMYFUNCTION("""COMPUTED_VALUE"""),278.0)</f>
        <v>278</v>
      </c>
      <c r="C413" s="2">
        <f>IFERROR(__xludf.DUMMYFUNCTION("""COMPUTED_VALUE"""),284.0)</f>
        <v>284</v>
      </c>
      <c r="D413" s="2">
        <f>IFERROR(__xludf.DUMMYFUNCTION("""COMPUTED_VALUE"""),276.0)</f>
        <v>276</v>
      </c>
      <c r="E413" s="2">
        <f>IFERROR(__xludf.DUMMYFUNCTION("""COMPUTED_VALUE"""),282.0)</f>
        <v>282</v>
      </c>
      <c r="F413" s="2">
        <f>IFERROR(__xludf.DUMMYFUNCTION("""COMPUTED_VALUE"""),5.2376E7)</f>
        <v>52376000</v>
      </c>
      <c r="G413" s="2">
        <f t="shared" si="1"/>
        <v>8</v>
      </c>
    </row>
    <row r="414" ht="15.75" customHeight="1">
      <c r="A414" s="1">
        <f>IFERROR(__xludf.DUMMYFUNCTION("""COMPUTED_VALUE"""),44453.625)</f>
        <v>44453.625</v>
      </c>
      <c r="B414" s="2">
        <f>IFERROR(__xludf.DUMMYFUNCTION("""COMPUTED_VALUE"""),284.0)</f>
        <v>284</v>
      </c>
      <c r="C414" s="2">
        <f>IFERROR(__xludf.DUMMYFUNCTION("""COMPUTED_VALUE"""),296.0)</f>
        <v>296</v>
      </c>
      <c r="D414" s="2">
        <f>IFERROR(__xludf.DUMMYFUNCTION("""COMPUTED_VALUE"""),284.0)</f>
        <v>284</v>
      </c>
      <c r="E414" s="2">
        <f>IFERROR(__xludf.DUMMYFUNCTION("""COMPUTED_VALUE"""),288.0)</f>
        <v>288</v>
      </c>
      <c r="F414" s="2">
        <f>IFERROR(__xludf.DUMMYFUNCTION("""COMPUTED_VALUE"""),1.886847E8)</f>
        <v>188684700</v>
      </c>
      <c r="G414" s="2">
        <f t="shared" si="1"/>
        <v>14</v>
      </c>
    </row>
    <row r="415" ht="15.75" customHeight="1">
      <c r="A415" s="1">
        <f>IFERROR(__xludf.DUMMYFUNCTION("""COMPUTED_VALUE"""),44454.625)</f>
        <v>44454.625</v>
      </c>
      <c r="B415" s="2">
        <f>IFERROR(__xludf.DUMMYFUNCTION("""COMPUTED_VALUE"""),290.0)</f>
        <v>290</v>
      </c>
      <c r="C415" s="2">
        <f>IFERROR(__xludf.DUMMYFUNCTION("""COMPUTED_VALUE"""),292.0)</f>
        <v>292</v>
      </c>
      <c r="D415" s="2">
        <f>IFERROR(__xludf.DUMMYFUNCTION("""COMPUTED_VALUE"""),286.0)</f>
        <v>286</v>
      </c>
      <c r="E415" s="2">
        <f>IFERROR(__xludf.DUMMYFUNCTION("""COMPUTED_VALUE"""),288.0)</f>
        <v>288</v>
      </c>
      <c r="F415" s="2">
        <f>IFERROR(__xludf.DUMMYFUNCTION("""COMPUTED_VALUE"""),4.12499E7)</f>
        <v>41249900</v>
      </c>
      <c r="G415" s="2">
        <f t="shared" si="1"/>
        <v>6</v>
      </c>
    </row>
    <row r="416" ht="15.75" customHeight="1">
      <c r="A416" s="1">
        <f>IFERROR(__xludf.DUMMYFUNCTION("""COMPUTED_VALUE"""),44455.625)</f>
        <v>44455.625</v>
      </c>
      <c r="B416" s="2">
        <f>IFERROR(__xludf.DUMMYFUNCTION("""COMPUTED_VALUE"""),290.0)</f>
        <v>290</v>
      </c>
      <c r="C416" s="2">
        <f>IFERROR(__xludf.DUMMYFUNCTION("""COMPUTED_VALUE"""),294.0)</f>
        <v>294</v>
      </c>
      <c r="D416" s="2">
        <f>IFERROR(__xludf.DUMMYFUNCTION("""COMPUTED_VALUE"""),286.0)</f>
        <v>286</v>
      </c>
      <c r="E416" s="2">
        <f>IFERROR(__xludf.DUMMYFUNCTION("""COMPUTED_VALUE"""),290.0)</f>
        <v>290</v>
      </c>
      <c r="F416" s="2">
        <f>IFERROR(__xludf.DUMMYFUNCTION("""COMPUTED_VALUE"""),6.44657E7)</f>
        <v>64465700</v>
      </c>
      <c r="G416" s="2">
        <f t="shared" si="1"/>
        <v>8</v>
      </c>
    </row>
    <row r="417" ht="15.75" customHeight="1">
      <c r="A417" s="1">
        <f>IFERROR(__xludf.DUMMYFUNCTION("""COMPUTED_VALUE"""),44456.625)</f>
        <v>44456.625</v>
      </c>
      <c r="B417" s="2">
        <f>IFERROR(__xludf.DUMMYFUNCTION("""COMPUTED_VALUE"""),290.0)</f>
        <v>290</v>
      </c>
      <c r="C417" s="2">
        <f>IFERROR(__xludf.DUMMYFUNCTION("""COMPUTED_VALUE"""),290.0)</f>
        <v>290</v>
      </c>
      <c r="D417" s="2">
        <f>IFERROR(__xludf.DUMMYFUNCTION("""COMPUTED_VALUE"""),284.0)</f>
        <v>284</v>
      </c>
      <c r="E417" s="2">
        <f>IFERROR(__xludf.DUMMYFUNCTION("""COMPUTED_VALUE"""),286.0)</f>
        <v>286</v>
      </c>
      <c r="F417" s="2">
        <f>IFERROR(__xludf.DUMMYFUNCTION("""COMPUTED_VALUE"""),2.71063E7)</f>
        <v>27106300</v>
      </c>
      <c r="G417" s="2">
        <f t="shared" si="1"/>
        <v>6</v>
      </c>
    </row>
    <row r="418" ht="15.75" customHeight="1">
      <c r="A418" s="1">
        <f>IFERROR(__xludf.DUMMYFUNCTION("""COMPUTED_VALUE"""),44459.625)</f>
        <v>44459.625</v>
      </c>
      <c r="B418" s="2">
        <f>IFERROR(__xludf.DUMMYFUNCTION("""COMPUTED_VALUE"""),286.0)</f>
        <v>286</v>
      </c>
      <c r="C418" s="2">
        <f>IFERROR(__xludf.DUMMYFUNCTION("""COMPUTED_VALUE"""),286.0)</f>
        <v>286</v>
      </c>
      <c r="D418" s="2">
        <f>IFERROR(__xludf.DUMMYFUNCTION("""COMPUTED_VALUE"""),276.0)</f>
        <v>276</v>
      </c>
      <c r="E418" s="2">
        <f>IFERROR(__xludf.DUMMYFUNCTION("""COMPUTED_VALUE"""),276.0)</f>
        <v>276</v>
      </c>
      <c r="F418" s="2">
        <f>IFERROR(__xludf.DUMMYFUNCTION("""COMPUTED_VALUE"""),4.8277E7)</f>
        <v>48277000</v>
      </c>
      <c r="G418" s="2">
        <f t="shared" si="1"/>
        <v>10</v>
      </c>
    </row>
    <row r="419" ht="15.75" customHeight="1">
      <c r="A419" s="1">
        <f>IFERROR(__xludf.DUMMYFUNCTION("""COMPUTED_VALUE"""),44460.625)</f>
        <v>44460.625</v>
      </c>
      <c r="B419" s="2">
        <f>IFERROR(__xludf.DUMMYFUNCTION("""COMPUTED_VALUE"""),276.0)</f>
        <v>276</v>
      </c>
      <c r="C419" s="2">
        <f>IFERROR(__xludf.DUMMYFUNCTION("""COMPUTED_VALUE"""),280.0)</f>
        <v>280</v>
      </c>
      <c r="D419" s="2">
        <f>IFERROR(__xludf.DUMMYFUNCTION("""COMPUTED_VALUE"""),272.0)</f>
        <v>272</v>
      </c>
      <c r="E419" s="2">
        <f>IFERROR(__xludf.DUMMYFUNCTION("""COMPUTED_VALUE"""),280.0)</f>
        <v>280</v>
      </c>
      <c r="F419" s="2">
        <f>IFERROR(__xludf.DUMMYFUNCTION("""COMPUTED_VALUE"""),2.89664E7)</f>
        <v>28966400</v>
      </c>
      <c r="G419" s="2">
        <f t="shared" si="1"/>
        <v>8</v>
      </c>
    </row>
    <row r="420" ht="15.75" customHeight="1">
      <c r="A420" s="1">
        <f>IFERROR(__xludf.DUMMYFUNCTION("""COMPUTED_VALUE"""),44461.625)</f>
        <v>44461.625</v>
      </c>
      <c r="B420" s="2">
        <f>IFERROR(__xludf.DUMMYFUNCTION("""COMPUTED_VALUE"""),278.0)</f>
        <v>278</v>
      </c>
      <c r="C420" s="2">
        <f>IFERROR(__xludf.DUMMYFUNCTION("""COMPUTED_VALUE"""),282.0)</f>
        <v>282</v>
      </c>
      <c r="D420" s="2">
        <f>IFERROR(__xludf.DUMMYFUNCTION("""COMPUTED_VALUE"""),278.0)</f>
        <v>278</v>
      </c>
      <c r="E420" s="2">
        <f>IFERROR(__xludf.DUMMYFUNCTION("""COMPUTED_VALUE"""),278.0)</f>
        <v>278</v>
      </c>
      <c r="F420" s="2">
        <f>IFERROR(__xludf.DUMMYFUNCTION("""COMPUTED_VALUE"""),1.77506E7)</f>
        <v>17750600</v>
      </c>
      <c r="G420" s="2">
        <f t="shared" si="1"/>
        <v>4</v>
      </c>
    </row>
    <row r="421" ht="15.75" customHeight="1">
      <c r="A421" s="1">
        <f>IFERROR(__xludf.DUMMYFUNCTION("""COMPUTED_VALUE"""),44462.625)</f>
        <v>44462.625</v>
      </c>
      <c r="B421" s="2">
        <f>IFERROR(__xludf.DUMMYFUNCTION("""COMPUTED_VALUE"""),282.0)</f>
        <v>282</v>
      </c>
      <c r="C421" s="2">
        <f>IFERROR(__xludf.DUMMYFUNCTION("""COMPUTED_VALUE"""),284.0)</f>
        <v>284</v>
      </c>
      <c r="D421" s="2">
        <f>IFERROR(__xludf.DUMMYFUNCTION("""COMPUTED_VALUE"""),278.0)</f>
        <v>278</v>
      </c>
      <c r="E421" s="2">
        <f>IFERROR(__xludf.DUMMYFUNCTION("""COMPUTED_VALUE"""),280.0)</f>
        <v>280</v>
      </c>
      <c r="F421" s="2">
        <f>IFERROR(__xludf.DUMMYFUNCTION("""COMPUTED_VALUE"""),1.487E7)</f>
        <v>14870000</v>
      </c>
      <c r="G421" s="2">
        <f t="shared" si="1"/>
        <v>6</v>
      </c>
    </row>
    <row r="422" ht="15.75" customHeight="1">
      <c r="A422" s="1">
        <f>IFERROR(__xludf.DUMMYFUNCTION("""COMPUTED_VALUE"""),44463.625)</f>
        <v>44463.625</v>
      </c>
      <c r="B422" s="2">
        <f>IFERROR(__xludf.DUMMYFUNCTION("""COMPUTED_VALUE"""),286.0)</f>
        <v>286</v>
      </c>
      <c r="C422" s="2">
        <f>IFERROR(__xludf.DUMMYFUNCTION("""COMPUTED_VALUE"""),288.0)</f>
        <v>288</v>
      </c>
      <c r="D422" s="2">
        <f>IFERROR(__xludf.DUMMYFUNCTION("""COMPUTED_VALUE"""),280.0)</f>
        <v>280</v>
      </c>
      <c r="E422" s="2">
        <f>IFERROR(__xludf.DUMMYFUNCTION("""COMPUTED_VALUE"""),284.0)</f>
        <v>284</v>
      </c>
      <c r="F422" s="2">
        <f>IFERROR(__xludf.DUMMYFUNCTION("""COMPUTED_VALUE"""),6.37115E7)</f>
        <v>63711500</v>
      </c>
      <c r="G422" s="2">
        <f t="shared" si="1"/>
        <v>8</v>
      </c>
    </row>
    <row r="423" ht="15.75" customHeight="1">
      <c r="A423" s="1">
        <f>IFERROR(__xludf.DUMMYFUNCTION("""COMPUTED_VALUE"""),44466.625)</f>
        <v>44466.625</v>
      </c>
      <c r="B423" s="2">
        <f>IFERROR(__xludf.DUMMYFUNCTION("""COMPUTED_VALUE"""),286.0)</f>
        <v>286</v>
      </c>
      <c r="C423" s="2">
        <f>IFERROR(__xludf.DUMMYFUNCTION("""COMPUTED_VALUE"""),308.0)</f>
        <v>308</v>
      </c>
      <c r="D423" s="2">
        <f>IFERROR(__xludf.DUMMYFUNCTION("""COMPUTED_VALUE"""),284.0)</f>
        <v>284</v>
      </c>
      <c r="E423" s="2">
        <f>IFERROR(__xludf.DUMMYFUNCTION("""COMPUTED_VALUE"""),304.0)</f>
        <v>304</v>
      </c>
      <c r="F423" s="2">
        <f>IFERROR(__xludf.DUMMYFUNCTION("""COMPUTED_VALUE"""),3.245584E8)</f>
        <v>324558400</v>
      </c>
      <c r="G423" s="2">
        <f t="shared" si="1"/>
        <v>24</v>
      </c>
    </row>
    <row r="424" ht="15.75" customHeight="1">
      <c r="A424" s="1">
        <f>IFERROR(__xludf.DUMMYFUNCTION("""COMPUTED_VALUE"""),44467.625)</f>
        <v>44467.625</v>
      </c>
      <c r="B424" s="2">
        <f>IFERROR(__xludf.DUMMYFUNCTION("""COMPUTED_VALUE"""),304.0)</f>
        <v>304</v>
      </c>
      <c r="C424" s="2">
        <f>IFERROR(__xludf.DUMMYFUNCTION("""COMPUTED_VALUE"""),314.0)</f>
        <v>314</v>
      </c>
      <c r="D424" s="2">
        <f>IFERROR(__xludf.DUMMYFUNCTION("""COMPUTED_VALUE"""),300.0)</f>
        <v>300</v>
      </c>
      <c r="E424" s="2">
        <f>IFERROR(__xludf.DUMMYFUNCTION("""COMPUTED_VALUE"""),306.0)</f>
        <v>306</v>
      </c>
      <c r="F424" s="2">
        <f>IFERROR(__xludf.DUMMYFUNCTION("""COMPUTED_VALUE"""),2.177524E8)</f>
        <v>217752400</v>
      </c>
      <c r="G424" s="2">
        <f t="shared" si="1"/>
        <v>14</v>
      </c>
    </row>
    <row r="425" ht="15.75" customHeight="1">
      <c r="A425" s="1">
        <f>IFERROR(__xludf.DUMMYFUNCTION("""COMPUTED_VALUE"""),44468.625)</f>
        <v>44468.625</v>
      </c>
      <c r="B425" s="2">
        <f>IFERROR(__xludf.DUMMYFUNCTION("""COMPUTED_VALUE"""),302.0)</f>
        <v>302</v>
      </c>
      <c r="C425" s="2">
        <f>IFERROR(__xludf.DUMMYFUNCTION("""COMPUTED_VALUE"""),308.0)</f>
        <v>308</v>
      </c>
      <c r="D425" s="2">
        <f>IFERROR(__xludf.DUMMYFUNCTION("""COMPUTED_VALUE"""),300.0)</f>
        <v>300</v>
      </c>
      <c r="E425" s="2">
        <f>IFERROR(__xludf.DUMMYFUNCTION("""COMPUTED_VALUE"""),302.0)</f>
        <v>302</v>
      </c>
      <c r="F425" s="2">
        <f>IFERROR(__xludf.DUMMYFUNCTION("""COMPUTED_VALUE"""),9.6298E7)</f>
        <v>96298000</v>
      </c>
      <c r="G425" s="2">
        <f t="shared" si="1"/>
        <v>8</v>
      </c>
    </row>
    <row r="426" ht="15.75" customHeight="1">
      <c r="A426" s="1">
        <f>IFERROR(__xludf.DUMMYFUNCTION("""COMPUTED_VALUE"""),44469.625)</f>
        <v>44469.625</v>
      </c>
      <c r="B426" s="2">
        <f>IFERROR(__xludf.DUMMYFUNCTION("""COMPUTED_VALUE"""),304.0)</f>
        <v>304</v>
      </c>
      <c r="C426" s="2">
        <f>IFERROR(__xludf.DUMMYFUNCTION("""COMPUTED_VALUE"""),314.0)</f>
        <v>314</v>
      </c>
      <c r="D426" s="2">
        <f>IFERROR(__xludf.DUMMYFUNCTION("""COMPUTED_VALUE"""),302.0)</f>
        <v>302</v>
      </c>
      <c r="E426" s="2">
        <f>IFERROR(__xludf.DUMMYFUNCTION("""COMPUTED_VALUE"""),306.0)</f>
        <v>306</v>
      </c>
      <c r="F426" s="2">
        <f>IFERROR(__xludf.DUMMYFUNCTION("""COMPUTED_VALUE"""),1.03442E8)</f>
        <v>103442000</v>
      </c>
      <c r="G426" s="2">
        <f t="shared" si="1"/>
        <v>12</v>
      </c>
    </row>
    <row r="427" ht="15.75" customHeight="1">
      <c r="A427" s="1">
        <f>IFERROR(__xludf.DUMMYFUNCTION("""COMPUTED_VALUE"""),44470.625)</f>
        <v>44470.625</v>
      </c>
      <c r="B427" s="2">
        <f>IFERROR(__xludf.DUMMYFUNCTION("""COMPUTED_VALUE"""),306.0)</f>
        <v>306</v>
      </c>
      <c r="C427" s="2">
        <f>IFERROR(__xludf.DUMMYFUNCTION("""COMPUTED_VALUE"""),314.0)</f>
        <v>314</v>
      </c>
      <c r="D427" s="2">
        <f>IFERROR(__xludf.DUMMYFUNCTION("""COMPUTED_VALUE"""),302.0)</f>
        <v>302</v>
      </c>
      <c r="E427" s="2">
        <f>IFERROR(__xludf.DUMMYFUNCTION("""COMPUTED_VALUE"""),308.0)</f>
        <v>308</v>
      </c>
      <c r="F427" s="2">
        <f>IFERROR(__xludf.DUMMYFUNCTION("""COMPUTED_VALUE"""),8.151E7)</f>
        <v>81510000</v>
      </c>
      <c r="G427" s="2">
        <f t="shared" si="1"/>
        <v>12</v>
      </c>
    </row>
    <row r="428" ht="15.75" customHeight="1">
      <c r="A428" s="1">
        <f>IFERROR(__xludf.DUMMYFUNCTION("""COMPUTED_VALUE"""),44473.625)</f>
        <v>44473.625</v>
      </c>
      <c r="B428" s="2">
        <f>IFERROR(__xludf.DUMMYFUNCTION("""COMPUTED_VALUE"""),312.0)</f>
        <v>312</v>
      </c>
      <c r="C428" s="2">
        <f>IFERROR(__xludf.DUMMYFUNCTION("""COMPUTED_VALUE"""),326.0)</f>
        <v>326</v>
      </c>
      <c r="D428" s="2">
        <f>IFERROR(__xludf.DUMMYFUNCTION("""COMPUTED_VALUE"""),310.0)</f>
        <v>310</v>
      </c>
      <c r="E428" s="2">
        <f>IFERROR(__xludf.DUMMYFUNCTION("""COMPUTED_VALUE"""),320.0)</f>
        <v>320</v>
      </c>
      <c r="F428" s="2">
        <f>IFERROR(__xludf.DUMMYFUNCTION("""COMPUTED_VALUE"""),1.63375E8)</f>
        <v>163375000</v>
      </c>
      <c r="G428" s="2">
        <f t="shared" si="1"/>
        <v>18</v>
      </c>
    </row>
    <row r="429" ht="15.75" customHeight="1">
      <c r="A429" s="1">
        <f>IFERROR(__xludf.DUMMYFUNCTION("""COMPUTED_VALUE"""),44474.625)</f>
        <v>44474.625</v>
      </c>
      <c r="B429" s="2">
        <f>IFERROR(__xludf.DUMMYFUNCTION("""COMPUTED_VALUE"""),324.0)</f>
        <v>324</v>
      </c>
      <c r="C429" s="2">
        <f>IFERROR(__xludf.DUMMYFUNCTION("""COMPUTED_VALUE"""),342.0)</f>
        <v>342</v>
      </c>
      <c r="D429" s="2">
        <f>IFERROR(__xludf.DUMMYFUNCTION("""COMPUTED_VALUE"""),322.0)</f>
        <v>322</v>
      </c>
      <c r="E429" s="2">
        <f>IFERROR(__xludf.DUMMYFUNCTION("""COMPUTED_VALUE"""),328.0)</f>
        <v>328</v>
      </c>
      <c r="F429" s="2">
        <f>IFERROR(__xludf.DUMMYFUNCTION("""COMPUTED_VALUE"""),2.584474E8)</f>
        <v>258447400</v>
      </c>
      <c r="G429" s="2">
        <f t="shared" si="1"/>
        <v>22</v>
      </c>
    </row>
    <row r="430" ht="15.75" customHeight="1">
      <c r="A430" s="1">
        <f>IFERROR(__xludf.DUMMYFUNCTION("""COMPUTED_VALUE"""),44475.625)</f>
        <v>44475.625</v>
      </c>
      <c r="B430" s="2">
        <f>IFERROR(__xludf.DUMMYFUNCTION("""COMPUTED_VALUE"""),334.0)</f>
        <v>334</v>
      </c>
      <c r="C430" s="2">
        <f>IFERROR(__xludf.DUMMYFUNCTION("""COMPUTED_VALUE"""),338.0)</f>
        <v>338</v>
      </c>
      <c r="D430" s="2">
        <f>IFERROR(__xludf.DUMMYFUNCTION("""COMPUTED_VALUE"""),320.0)</f>
        <v>320</v>
      </c>
      <c r="E430" s="2">
        <f>IFERROR(__xludf.DUMMYFUNCTION("""COMPUTED_VALUE"""),324.0)</f>
        <v>324</v>
      </c>
      <c r="F430" s="2">
        <f>IFERROR(__xludf.DUMMYFUNCTION("""COMPUTED_VALUE"""),1.876352E8)</f>
        <v>187635200</v>
      </c>
      <c r="G430" s="2">
        <f t="shared" si="1"/>
        <v>18</v>
      </c>
    </row>
    <row r="431" ht="15.75" customHeight="1">
      <c r="A431" s="1">
        <f>IFERROR(__xludf.DUMMYFUNCTION("""COMPUTED_VALUE"""),44476.625)</f>
        <v>44476.625</v>
      </c>
      <c r="B431" s="2">
        <f>IFERROR(__xludf.DUMMYFUNCTION("""COMPUTED_VALUE"""),324.0)</f>
        <v>324</v>
      </c>
      <c r="C431" s="2">
        <f>IFERROR(__xludf.DUMMYFUNCTION("""COMPUTED_VALUE"""),326.0)</f>
        <v>326</v>
      </c>
      <c r="D431" s="2">
        <f>IFERROR(__xludf.DUMMYFUNCTION("""COMPUTED_VALUE"""),312.0)</f>
        <v>312</v>
      </c>
      <c r="E431" s="2">
        <f>IFERROR(__xludf.DUMMYFUNCTION("""COMPUTED_VALUE"""),314.0)</f>
        <v>314</v>
      </c>
      <c r="F431" s="2">
        <f>IFERROR(__xludf.DUMMYFUNCTION("""COMPUTED_VALUE"""),1.108814E8)</f>
        <v>110881400</v>
      </c>
      <c r="G431" s="2">
        <f t="shared" si="1"/>
        <v>14</v>
      </c>
    </row>
    <row r="432" ht="15.75" customHeight="1">
      <c r="A432" s="1">
        <f>IFERROR(__xludf.DUMMYFUNCTION("""COMPUTED_VALUE"""),44477.625)</f>
        <v>44477.625</v>
      </c>
      <c r="B432" s="2">
        <f>IFERROR(__xludf.DUMMYFUNCTION("""COMPUTED_VALUE"""),318.0)</f>
        <v>318</v>
      </c>
      <c r="C432" s="2">
        <f>IFERROR(__xludf.DUMMYFUNCTION("""COMPUTED_VALUE"""),328.0)</f>
        <v>328</v>
      </c>
      <c r="D432" s="2">
        <f>IFERROR(__xludf.DUMMYFUNCTION("""COMPUTED_VALUE"""),312.0)</f>
        <v>312</v>
      </c>
      <c r="E432" s="2">
        <f>IFERROR(__xludf.DUMMYFUNCTION("""COMPUTED_VALUE"""),326.0)</f>
        <v>326</v>
      </c>
      <c r="F432" s="2">
        <f>IFERROR(__xludf.DUMMYFUNCTION("""COMPUTED_VALUE"""),7.33964E7)</f>
        <v>73396400</v>
      </c>
      <c r="G432" s="2">
        <f t="shared" si="1"/>
        <v>16</v>
      </c>
    </row>
    <row r="433" ht="15.75" customHeight="1">
      <c r="A433" s="1">
        <f>IFERROR(__xludf.DUMMYFUNCTION("""COMPUTED_VALUE"""),44480.625)</f>
        <v>44480.625</v>
      </c>
      <c r="B433" s="2">
        <f>IFERROR(__xludf.DUMMYFUNCTION("""COMPUTED_VALUE"""),328.0)</f>
        <v>328</v>
      </c>
      <c r="C433" s="2">
        <f>IFERROR(__xludf.DUMMYFUNCTION("""COMPUTED_VALUE"""),334.0)</f>
        <v>334</v>
      </c>
      <c r="D433" s="2">
        <f>IFERROR(__xludf.DUMMYFUNCTION("""COMPUTED_VALUE"""),326.0)</f>
        <v>326</v>
      </c>
      <c r="E433" s="2">
        <f>IFERROR(__xludf.DUMMYFUNCTION("""COMPUTED_VALUE"""),330.0)</f>
        <v>330</v>
      </c>
      <c r="F433" s="2">
        <f>IFERROR(__xludf.DUMMYFUNCTION("""COMPUTED_VALUE"""),8.73174E7)</f>
        <v>87317400</v>
      </c>
      <c r="G433" s="2">
        <f t="shared" si="1"/>
        <v>8</v>
      </c>
    </row>
    <row r="434" ht="15.75" customHeight="1">
      <c r="A434" s="1">
        <f>IFERROR(__xludf.DUMMYFUNCTION("""COMPUTED_VALUE"""),44481.66666666667)</f>
        <v>44481.66667</v>
      </c>
      <c r="B434" s="2">
        <f>IFERROR(__xludf.DUMMYFUNCTION("""COMPUTED_VALUE"""),330.0)</f>
        <v>330</v>
      </c>
      <c r="C434" s="2">
        <f>IFERROR(__xludf.DUMMYFUNCTION("""COMPUTED_VALUE"""),338.0)</f>
        <v>338</v>
      </c>
      <c r="D434" s="2">
        <f>IFERROR(__xludf.DUMMYFUNCTION("""COMPUTED_VALUE"""),328.0)</f>
        <v>328</v>
      </c>
      <c r="E434" s="2">
        <f>IFERROR(__xludf.DUMMYFUNCTION("""COMPUTED_VALUE"""),330.0)</f>
        <v>330</v>
      </c>
      <c r="F434" s="2">
        <f>IFERROR(__xludf.DUMMYFUNCTION("""COMPUTED_VALUE"""),1.045163E8)</f>
        <v>104516300</v>
      </c>
      <c r="G434" s="2">
        <f t="shared" si="1"/>
        <v>10</v>
      </c>
    </row>
    <row r="435" ht="15.75" customHeight="1">
      <c r="A435" s="1">
        <f>IFERROR(__xludf.DUMMYFUNCTION("""COMPUTED_VALUE"""),44482.625)</f>
        <v>44482.625</v>
      </c>
      <c r="B435" s="2">
        <f>IFERROR(__xludf.DUMMYFUNCTION("""COMPUTED_VALUE"""),332.0)</f>
        <v>332</v>
      </c>
      <c r="C435" s="2">
        <f>IFERROR(__xludf.DUMMYFUNCTION("""COMPUTED_VALUE"""),334.0)</f>
        <v>334</v>
      </c>
      <c r="D435" s="2">
        <f>IFERROR(__xludf.DUMMYFUNCTION("""COMPUTED_VALUE"""),326.0)</f>
        <v>326</v>
      </c>
      <c r="E435" s="2">
        <f>IFERROR(__xludf.DUMMYFUNCTION("""COMPUTED_VALUE"""),326.0)</f>
        <v>326</v>
      </c>
      <c r="F435" s="2">
        <f>IFERROR(__xludf.DUMMYFUNCTION("""COMPUTED_VALUE"""),4.53373E7)</f>
        <v>45337300</v>
      </c>
      <c r="G435" s="2">
        <f t="shared" si="1"/>
        <v>8</v>
      </c>
    </row>
    <row r="436" ht="15.75" customHeight="1">
      <c r="A436" s="1">
        <f>IFERROR(__xludf.DUMMYFUNCTION("""COMPUTED_VALUE"""),44483.66666666667)</f>
        <v>44483.66667</v>
      </c>
      <c r="B436" s="2">
        <f>IFERROR(__xludf.DUMMYFUNCTION("""COMPUTED_VALUE"""),326.0)</f>
        <v>326</v>
      </c>
      <c r="C436" s="2">
        <f>IFERROR(__xludf.DUMMYFUNCTION("""COMPUTED_VALUE"""),334.0)</f>
        <v>334</v>
      </c>
      <c r="D436" s="2">
        <f>IFERROR(__xludf.DUMMYFUNCTION("""COMPUTED_VALUE"""),326.0)</f>
        <v>326</v>
      </c>
      <c r="E436" s="2">
        <f>IFERROR(__xludf.DUMMYFUNCTION("""COMPUTED_VALUE"""),332.0)</f>
        <v>332</v>
      </c>
      <c r="F436" s="2">
        <f>IFERROR(__xludf.DUMMYFUNCTION("""COMPUTED_VALUE"""),5.35583E7)</f>
        <v>53558300</v>
      </c>
      <c r="G436" s="2">
        <f t="shared" si="1"/>
        <v>8</v>
      </c>
    </row>
    <row r="437" ht="15.75" customHeight="1">
      <c r="A437" s="1">
        <f>IFERROR(__xludf.DUMMYFUNCTION("""COMPUTED_VALUE"""),44484.66666666667)</f>
        <v>44484.66667</v>
      </c>
      <c r="B437" s="2">
        <f>IFERROR(__xludf.DUMMYFUNCTION("""COMPUTED_VALUE"""),334.0)</f>
        <v>334</v>
      </c>
      <c r="C437" s="2">
        <f>IFERROR(__xludf.DUMMYFUNCTION("""COMPUTED_VALUE"""),342.0)</f>
        <v>342</v>
      </c>
      <c r="D437" s="2">
        <f>IFERROR(__xludf.DUMMYFUNCTION("""COMPUTED_VALUE"""),330.0)</f>
        <v>330</v>
      </c>
      <c r="E437" s="2">
        <f>IFERROR(__xludf.DUMMYFUNCTION("""COMPUTED_VALUE"""),334.0)</f>
        <v>334</v>
      </c>
      <c r="F437" s="2">
        <f>IFERROR(__xludf.DUMMYFUNCTION("""COMPUTED_VALUE"""),9.085E7)</f>
        <v>90850000</v>
      </c>
      <c r="G437" s="2">
        <f t="shared" si="1"/>
        <v>12</v>
      </c>
    </row>
    <row r="438" ht="15.75" customHeight="1">
      <c r="A438" s="1">
        <f>IFERROR(__xludf.DUMMYFUNCTION("""COMPUTED_VALUE"""),44487.625)</f>
        <v>44487.625</v>
      </c>
      <c r="B438" s="2">
        <f>IFERROR(__xludf.DUMMYFUNCTION("""COMPUTED_VALUE"""),336.0)</f>
        <v>336</v>
      </c>
      <c r="C438" s="2">
        <f>IFERROR(__xludf.DUMMYFUNCTION("""COMPUTED_VALUE"""),342.0)</f>
        <v>342</v>
      </c>
      <c r="D438" s="2">
        <f>IFERROR(__xludf.DUMMYFUNCTION("""COMPUTED_VALUE"""),334.0)</f>
        <v>334</v>
      </c>
      <c r="E438" s="2">
        <f>IFERROR(__xludf.DUMMYFUNCTION("""COMPUTED_VALUE"""),338.0)</f>
        <v>338</v>
      </c>
      <c r="F438" s="2">
        <f>IFERROR(__xludf.DUMMYFUNCTION("""COMPUTED_VALUE"""),8.66215E7)</f>
        <v>86621500</v>
      </c>
      <c r="G438" s="2">
        <f t="shared" si="1"/>
        <v>8</v>
      </c>
    </row>
    <row r="439" ht="15.75" customHeight="1">
      <c r="A439" s="1">
        <f>IFERROR(__xludf.DUMMYFUNCTION("""COMPUTED_VALUE"""),44488.625)</f>
        <v>44488.625</v>
      </c>
      <c r="B439" s="2">
        <f>IFERROR(__xludf.DUMMYFUNCTION("""COMPUTED_VALUE"""),340.0)</f>
        <v>340</v>
      </c>
      <c r="C439" s="2">
        <f>IFERROR(__xludf.DUMMYFUNCTION("""COMPUTED_VALUE"""),340.0)</f>
        <v>340</v>
      </c>
      <c r="D439" s="2">
        <f>IFERROR(__xludf.DUMMYFUNCTION("""COMPUTED_VALUE"""),332.0)</f>
        <v>332</v>
      </c>
      <c r="E439" s="2">
        <f>IFERROR(__xludf.DUMMYFUNCTION("""COMPUTED_VALUE"""),334.0)</f>
        <v>334</v>
      </c>
      <c r="F439" s="2">
        <f>IFERROR(__xludf.DUMMYFUNCTION("""COMPUTED_VALUE"""),4.39142E7)</f>
        <v>43914200</v>
      </c>
      <c r="G439" s="2">
        <f t="shared" si="1"/>
        <v>8</v>
      </c>
    </row>
    <row r="440" ht="15.75" customHeight="1">
      <c r="A440" s="1">
        <f>IFERROR(__xludf.DUMMYFUNCTION("""COMPUTED_VALUE"""),44490.625)</f>
        <v>44490.625</v>
      </c>
      <c r="B440" s="2">
        <f>IFERROR(__xludf.DUMMYFUNCTION("""COMPUTED_VALUE"""),332.0)</f>
        <v>332</v>
      </c>
      <c r="C440" s="2">
        <f>IFERROR(__xludf.DUMMYFUNCTION("""COMPUTED_VALUE"""),340.0)</f>
        <v>340</v>
      </c>
      <c r="D440" s="2">
        <f>IFERROR(__xludf.DUMMYFUNCTION("""COMPUTED_VALUE"""),318.0)</f>
        <v>318</v>
      </c>
      <c r="E440" s="2">
        <f>IFERROR(__xludf.DUMMYFUNCTION("""COMPUTED_VALUE"""),320.0)</f>
        <v>320</v>
      </c>
      <c r="F440" s="2">
        <f>IFERROR(__xludf.DUMMYFUNCTION("""COMPUTED_VALUE"""),1.107577E8)</f>
        <v>110757700</v>
      </c>
      <c r="G440" s="2">
        <f t="shared" si="1"/>
        <v>22</v>
      </c>
    </row>
    <row r="441" ht="15.75" customHeight="1">
      <c r="A441" s="1">
        <f>IFERROR(__xludf.DUMMYFUNCTION("""COMPUTED_VALUE"""),44491.625)</f>
        <v>44491.625</v>
      </c>
      <c r="B441" s="2">
        <f>IFERROR(__xludf.DUMMYFUNCTION("""COMPUTED_VALUE"""),318.0)</f>
        <v>318</v>
      </c>
      <c r="C441" s="2">
        <f>IFERROR(__xludf.DUMMYFUNCTION("""COMPUTED_VALUE"""),320.0)</f>
        <v>320</v>
      </c>
      <c r="D441" s="2">
        <f>IFERROR(__xludf.DUMMYFUNCTION("""COMPUTED_VALUE"""),306.0)</f>
        <v>306</v>
      </c>
      <c r="E441" s="2">
        <f>IFERROR(__xludf.DUMMYFUNCTION("""COMPUTED_VALUE"""),316.0)</f>
        <v>316</v>
      </c>
      <c r="F441" s="2">
        <f>IFERROR(__xludf.DUMMYFUNCTION("""COMPUTED_VALUE"""),5.04907E7)</f>
        <v>50490700</v>
      </c>
      <c r="G441" s="2">
        <f t="shared" si="1"/>
        <v>14</v>
      </c>
    </row>
    <row r="442" ht="15.75" customHeight="1">
      <c r="A442" s="1">
        <f>IFERROR(__xludf.DUMMYFUNCTION("""COMPUTED_VALUE"""),44494.625)</f>
        <v>44494.625</v>
      </c>
      <c r="B442" s="2">
        <f>IFERROR(__xludf.DUMMYFUNCTION("""COMPUTED_VALUE"""),318.0)</f>
        <v>318</v>
      </c>
      <c r="C442" s="2">
        <f>IFERROR(__xludf.DUMMYFUNCTION("""COMPUTED_VALUE"""),326.0)</f>
        <v>326</v>
      </c>
      <c r="D442" s="2">
        <f>IFERROR(__xludf.DUMMYFUNCTION("""COMPUTED_VALUE"""),318.0)</f>
        <v>318</v>
      </c>
      <c r="E442" s="2">
        <f>IFERROR(__xludf.DUMMYFUNCTION("""COMPUTED_VALUE"""),320.0)</f>
        <v>320</v>
      </c>
      <c r="F442" s="2">
        <f>IFERROR(__xludf.DUMMYFUNCTION("""COMPUTED_VALUE"""),3.99547E7)</f>
        <v>39954700</v>
      </c>
      <c r="G442" s="2">
        <f t="shared" si="1"/>
        <v>10</v>
      </c>
    </row>
    <row r="443" ht="15.75" customHeight="1">
      <c r="A443" s="1">
        <f>IFERROR(__xludf.DUMMYFUNCTION("""COMPUTED_VALUE"""),44495.625)</f>
        <v>44495.625</v>
      </c>
      <c r="B443" s="2">
        <f>IFERROR(__xludf.DUMMYFUNCTION("""COMPUTED_VALUE"""),320.0)</f>
        <v>320</v>
      </c>
      <c r="C443" s="2">
        <f>IFERROR(__xludf.DUMMYFUNCTION("""COMPUTED_VALUE"""),324.0)</f>
        <v>324</v>
      </c>
      <c r="D443" s="2">
        <f>IFERROR(__xludf.DUMMYFUNCTION("""COMPUTED_VALUE"""),316.0)</f>
        <v>316</v>
      </c>
      <c r="E443" s="2">
        <f>IFERROR(__xludf.DUMMYFUNCTION("""COMPUTED_VALUE"""),318.0)</f>
        <v>318</v>
      </c>
      <c r="F443" s="2">
        <f>IFERROR(__xludf.DUMMYFUNCTION("""COMPUTED_VALUE"""),2.87581E7)</f>
        <v>28758100</v>
      </c>
      <c r="G443" s="2">
        <f t="shared" si="1"/>
        <v>8</v>
      </c>
    </row>
    <row r="444" ht="15.75" customHeight="1">
      <c r="A444" s="1">
        <f>IFERROR(__xludf.DUMMYFUNCTION("""COMPUTED_VALUE"""),44496.625)</f>
        <v>44496.625</v>
      </c>
      <c r="B444" s="2">
        <f>IFERROR(__xludf.DUMMYFUNCTION("""COMPUTED_VALUE"""),318.0)</f>
        <v>318</v>
      </c>
      <c r="C444" s="2">
        <f>IFERROR(__xludf.DUMMYFUNCTION("""COMPUTED_VALUE"""),322.0)</f>
        <v>322</v>
      </c>
      <c r="D444" s="2">
        <f>IFERROR(__xludf.DUMMYFUNCTION("""COMPUTED_VALUE"""),312.0)</f>
        <v>312</v>
      </c>
      <c r="E444" s="2">
        <f>IFERROR(__xludf.DUMMYFUNCTION("""COMPUTED_VALUE"""),312.0)</f>
        <v>312</v>
      </c>
      <c r="F444" s="2">
        <f>IFERROR(__xludf.DUMMYFUNCTION("""COMPUTED_VALUE"""),3.10906E7)</f>
        <v>31090600</v>
      </c>
      <c r="G444" s="2">
        <f t="shared" si="1"/>
        <v>10</v>
      </c>
    </row>
    <row r="445" ht="15.75" customHeight="1">
      <c r="A445" s="1">
        <f>IFERROR(__xludf.DUMMYFUNCTION("""COMPUTED_VALUE"""),44497.625)</f>
        <v>44497.625</v>
      </c>
      <c r="B445" s="2">
        <f>IFERROR(__xludf.DUMMYFUNCTION("""COMPUTED_VALUE"""),312.0)</f>
        <v>312</v>
      </c>
      <c r="C445" s="2">
        <f>IFERROR(__xludf.DUMMYFUNCTION("""COMPUTED_VALUE"""),312.0)</f>
        <v>312</v>
      </c>
      <c r="D445" s="2">
        <f>IFERROR(__xludf.DUMMYFUNCTION("""COMPUTED_VALUE"""),298.0)</f>
        <v>298</v>
      </c>
      <c r="E445" s="2">
        <f>IFERROR(__xludf.DUMMYFUNCTION("""COMPUTED_VALUE"""),300.0)</f>
        <v>300</v>
      </c>
      <c r="F445" s="2">
        <f>IFERROR(__xludf.DUMMYFUNCTION("""COMPUTED_VALUE"""),7.79278E7)</f>
        <v>77927800</v>
      </c>
      <c r="G445" s="2">
        <f t="shared" si="1"/>
        <v>14</v>
      </c>
    </row>
    <row r="446" ht="15.75" customHeight="1">
      <c r="A446" s="1">
        <f>IFERROR(__xludf.DUMMYFUNCTION("""COMPUTED_VALUE"""),44498.625)</f>
        <v>44498.625</v>
      </c>
      <c r="B446" s="2">
        <f>IFERROR(__xludf.DUMMYFUNCTION("""COMPUTED_VALUE"""),300.0)</f>
        <v>300</v>
      </c>
      <c r="C446" s="2">
        <f>IFERROR(__xludf.DUMMYFUNCTION("""COMPUTED_VALUE"""),310.0)</f>
        <v>310</v>
      </c>
      <c r="D446" s="2">
        <f>IFERROR(__xludf.DUMMYFUNCTION("""COMPUTED_VALUE"""),300.0)</f>
        <v>300</v>
      </c>
      <c r="E446" s="2">
        <f>IFERROR(__xludf.DUMMYFUNCTION("""COMPUTED_VALUE"""),304.0)</f>
        <v>304</v>
      </c>
      <c r="F446" s="2">
        <f>IFERROR(__xludf.DUMMYFUNCTION("""COMPUTED_VALUE"""),3.66504E7)</f>
        <v>36650400</v>
      </c>
      <c r="G446" s="2">
        <f t="shared" si="1"/>
        <v>10</v>
      </c>
    </row>
    <row r="447" ht="15.75" customHeight="1">
      <c r="A447" s="1">
        <f>IFERROR(__xludf.DUMMYFUNCTION("""COMPUTED_VALUE"""),44501.625)</f>
        <v>44501.625</v>
      </c>
      <c r="B447" s="2">
        <f>IFERROR(__xludf.DUMMYFUNCTION("""COMPUTED_VALUE"""),308.0)</f>
        <v>308</v>
      </c>
      <c r="C447" s="2">
        <f>IFERROR(__xludf.DUMMYFUNCTION("""COMPUTED_VALUE"""),308.0)</f>
        <v>308</v>
      </c>
      <c r="D447" s="2">
        <f>IFERROR(__xludf.DUMMYFUNCTION("""COMPUTED_VALUE"""),302.0)</f>
        <v>302</v>
      </c>
      <c r="E447" s="2">
        <f>IFERROR(__xludf.DUMMYFUNCTION("""COMPUTED_VALUE"""),306.0)</f>
        <v>306</v>
      </c>
      <c r="F447" s="2">
        <f>IFERROR(__xludf.DUMMYFUNCTION("""COMPUTED_VALUE"""),2.04816E7)</f>
        <v>20481600</v>
      </c>
      <c r="G447" s="2">
        <f t="shared" si="1"/>
        <v>6</v>
      </c>
    </row>
    <row r="448" ht="15.75" customHeight="1">
      <c r="A448" s="1">
        <f>IFERROR(__xludf.DUMMYFUNCTION("""COMPUTED_VALUE"""),44502.625)</f>
        <v>44502.625</v>
      </c>
      <c r="B448" s="2">
        <f>IFERROR(__xludf.DUMMYFUNCTION("""COMPUTED_VALUE"""),306.0)</f>
        <v>306</v>
      </c>
      <c r="C448" s="2">
        <f>IFERROR(__xludf.DUMMYFUNCTION("""COMPUTED_VALUE"""),310.0)</f>
        <v>310</v>
      </c>
      <c r="D448" s="2">
        <f>IFERROR(__xludf.DUMMYFUNCTION("""COMPUTED_VALUE"""),302.0)</f>
        <v>302</v>
      </c>
      <c r="E448" s="2">
        <f>IFERROR(__xludf.DUMMYFUNCTION("""COMPUTED_VALUE"""),302.0)</f>
        <v>302</v>
      </c>
      <c r="F448" s="2">
        <f>IFERROR(__xludf.DUMMYFUNCTION("""COMPUTED_VALUE"""),1.55071E7)</f>
        <v>15507100</v>
      </c>
      <c r="G448" s="2">
        <f t="shared" si="1"/>
        <v>8</v>
      </c>
    </row>
    <row r="449" ht="15.75" customHeight="1">
      <c r="A449" s="1">
        <f>IFERROR(__xludf.DUMMYFUNCTION("""COMPUTED_VALUE"""),44503.625)</f>
        <v>44503.625</v>
      </c>
      <c r="B449" s="2">
        <f>IFERROR(__xludf.DUMMYFUNCTION("""COMPUTED_VALUE"""),302.0)</f>
        <v>302</v>
      </c>
      <c r="C449" s="2">
        <f>IFERROR(__xludf.DUMMYFUNCTION("""COMPUTED_VALUE"""),306.0)</f>
        <v>306</v>
      </c>
      <c r="D449" s="2">
        <f>IFERROR(__xludf.DUMMYFUNCTION("""COMPUTED_VALUE"""),300.0)</f>
        <v>300</v>
      </c>
      <c r="E449" s="2">
        <f>IFERROR(__xludf.DUMMYFUNCTION("""COMPUTED_VALUE"""),304.0)</f>
        <v>304</v>
      </c>
      <c r="F449" s="2">
        <f>IFERROR(__xludf.DUMMYFUNCTION("""COMPUTED_VALUE"""),1.41607E7)</f>
        <v>14160700</v>
      </c>
      <c r="G449" s="2">
        <f t="shared" si="1"/>
        <v>6</v>
      </c>
    </row>
    <row r="450" ht="15.75" customHeight="1">
      <c r="A450" s="1">
        <f>IFERROR(__xludf.DUMMYFUNCTION("""COMPUTED_VALUE"""),44504.66666666667)</f>
        <v>44504.66667</v>
      </c>
      <c r="B450" s="2">
        <f>IFERROR(__xludf.DUMMYFUNCTION("""COMPUTED_VALUE"""),304.0)</f>
        <v>304</v>
      </c>
      <c r="C450" s="2">
        <f>IFERROR(__xludf.DUMMYFUNCTION("""COMPUTED_VALUE"""),312.0)</f>
        <v>312</v>
      </c>
      <c r="D450" s="2">
        <f>IFERROR(__xludf.DUMMYFUNCTION("""COMPUTED_VALUE"""),300.0)</f>
        <v>300</v>
      </c>
      <c r="E450" s="2">
        <f>IFERROR(__xludf.DUMMYFUNCTION("""COMPUTED_VALUE"""),310.0)</f>
        <v>310</v>
      </c>
      <c r="F450" s="2">
        <f>IFERROR(__xludf.DUMMYFUNCTION("""COMPUTED_VALUE"""),3.46269E7)</f>
        <v>34626900</v>
      </c>
      <c r="G450" s="2">
        <f t="shared" si="1"/>
        <v>12</v>
      </c>
    </row>
    <row r="451" ht="15.75" customHeight="1">
      <c r="A451" s="1">
        <f>IFERROR(__xludf.DUMMYFUNCTION("""COMPUTED_VALUE"""),44505.625)</f>
        <v>44505.625</v>
      </c>
      <c r="B451" s="2">
        <f>IFERROR(__xludf.DUMMYFUNCTION("""COMPUTED_VALUE"""),308.0)</f>
        <v>308</v>
      </c>
      <c r="C451" s="2">
        <f>IFERROR(__xludf.DUMMYFUNCTION("""COMPUTED_VALUE"""),312.0)</f>
        <v>312</v>
      </c>
      <c r="D451" s="2">
        <f>IFERROR(__xludf.DUMMYFUNCTION("""COMPUTED_VALUE"""),304.0)</f>
        <v>304</v>
      </c>
      <c r="E451" s="2">
        <f>IFERROR(__xludf.DUMMYFUNCTION("""COMPUTED_VALUE"""),310.0)</f>
        <v>310</v>
      </c>
      <c r="F451" s="2">
        <f>IFERROR(__xludf.DUMMYFUNCTION("""COMPUTED_VALUE"""),1.65984E7)</f>
        <v>16598400</v>
      </c>
      <c r="G451" s="2">
        <f t="shared" si="1"/>
        <v>8</v>
      </c>
    </row>
    <row r="452" ht="15.75" customHeight="1">
      <c r="A452" s="1">
        <f>IFERROR(__xludf.DUMMYFUNCTION("""COMPUTED_VALUE"""),44508.625)</f>
        <v>44508.625</v>
      </c>
      <c r="B452" s="2">
        <f>IFERROR(__xludf.DUMMYFUNCTION("""COMPUTED_VALUE"""),310.0)</f>
        <v>310</v>
      </c>
      <c r="C452" s="2">
        <f>IFERROR(__xludf.DUMMYFUNCTION("""COMPUTED_VALUE"""),316.0)</f>
        <v>316</v>
      </c>
      <c r="D452" s="2">
        <f>IFERROR(__xludf.DUMMYFUNCTION("""COMPUTED_VALUE"""),308.0)</f>
        <v>308</v>
      </c>
      <c r="E452" s="2">
        <f>IFERROR(__xludf.DUMMYFUNCTION("""COMPUTED_VALUE"""),312.0)</f>
        <v>312</v>
      </c>
      <c r="F452" s="2">
        <f>IFERROR(__xludf.DUMMYFUNCTION("""COMPUTED_VALUE"""),2.09659E7)</f>
        <v>20965900</v>
      </c>
      <c r="G452" s="2">
        <f t="shared" si="1"/>
        <v>8</v>
      </c>
    </row>
    <row r="453" ht="15.75" customHeight="1">
      <c r="A453" s="1">
        <f>IFERROR(__xludf.DUMMYFUNCTION("""COMPUTED_VALUE"""),44509.625)</f>
        <v>44509.625</v>
      </c>
      <c r="B453" s="2">
        <f>IFERROR(__xludf.DUMMYFUNCTION("""COMPUTED_VALUE"""),314.0)</f>
        <v>314</v>
      </c>
      <c r="C453" s="2">
        <f>IFERROR(__xludf.DUMMYFUNCTION("""COMPUTED_VALUE"""),314.0)</f>
        <v>314</v>
      </c>
      <c r="D453" s="2">
        <f>IFERROR(__xludf.DUMMYFUNCTION("""COMPUTED_VALUE"""),308.0)</f>
        <v>308</v>
      </c>
      <c r="E453" s="2">
        <f>IFERROR(__xludf.DUMMYFUNCTION("""COMPUTED_VALUE"""),310.0)</f>
        <v>310</v>
      </c>
      <c r="F453" s="2">
        <f>IFERROR(__xludf.DUMMYFUNCTION("""COMPUTED_VALUE"""),1.963E7)</f>
        <v>19630000</v>
      </c>
      <c r="G453" s="2">
        <f t="shared" si="1"/>
        <v>6</v>
      </c>
    </row>
    <row r="454" ht="15.75" customHeight="1">
      <c r="A454" s="1">
        <f>IFERROR(__xludf.DUMMYFUNCTION("""COMPUTED_VALUE"""),44510.625)</f>
        <v>44510.625</v>
      </c>
      <c r="B454" s="2">
        <f>IFERROR(__xludf.DUMMYFUNCTION("""COMPUTED_VALUE"""),312.0)</f>
        <v>312</v>
      </c>
      <c r="C454" s="2">
        <f>IFERROR(__xludf.DUMMYFUNCTION("""COMPUTED_VALUE"""),314.0)</f>
        <v>314</v>
      </c>
      <c r="D454" s="2">
        <f>IFERROR(__xludf.DUMMYFUNCTION("""COMPUTED_VALUE"""),306.0)</f>
        <v>306</v>
      </c>
      <c r="E454" s="2">
        <f>IFERROR(__xludf.DUMMYFUNCTION("""COMPUTED_VALUE"""),306.0)</f>
        <v>306</v>
      </c>
      <c r="F454" s="2">
        <f>IFERROR(__xludf.DUMMYFUNCTION("""COMPUTED_VALUE"""),2.59674E7)</f>
        <v>25967400</v>
      </c>
      <c r="G454" s="2">
        <f t="shared" si="1"/>
        <v>8</v>
      </c>
    </row>
    <row r="455" ht="15.75" customHeight="1">
      <c r="A455" s="1">
        <f>IFERROR(__xludf.DUMMYFUNCTION("""COMPUTED_VALUE"""),44511.625)</f>
        <v>44511.625</v>
      </c>
      <c r="B455" s="2">
        <f>IFERROR(__xludf.DUMMYFUNCTION("""COMPUTED_VALUE"""),306.0)</f>
        <v>306</v>
      </c>
      <c r="C455" s="2">
        <f>IFERROR(__xludf.DUMMYFUNCTION("""COMPUTED_VALUE"""),308.0)</f>
        <v>308</v>
      </c>
      <c r="D455" s="2">
        <f>IFERROR(__xludf.DUMMYFUNCTION("""COMPUTED_VALUE"""),304.0)</f>
        <v>304</v>
      </c>
      <c r="E455" s="2">
        <f>IFERROR(__xludf.DUMMYFUNCTION("""COMPUTED_VALUE"""),304.0)</f>
        <v>304</v>
      </c>
      <c r="F455" s="2">
        <f>IFERROR(__xludf.DUMMYFUNCTION("""COMPUTED_VALUE"""),2.49194E7)</f>
        <v>24919400</v>
      </c>
      <c r="G455" s="2">
        <f t="shared" si="1"/>
        <v>4</v>
      </c>
    </row>
    <row r="456" ht="15.75" customHeight="1">
      <c r="A456" s="1">
        <f>IFERROR(__xludf.DUMMYFUNCTION("""COMPUTED_VALUE"""),44512.625)</f>
        <v>44512.625</v>
      </c>
      <c r="B456" s="2">
        <f>IFERROR(__xludf.DUMMYFUNCTION("""COMPUTED_VALUE"""),308.0)</f>
        <v>308</v>
      </c>
      <c r="C456" s="2">
        <f>IFERROR(__xludf.DUMMYFUNCTION("""COMPUTED_VALUE"""),308.0)</f>
        <v>308</v>
      </c>
      <c r="D456" s="2">
        <f>IFERROR(__xludf.DUMMYFUNCTION("""COMPUTED_VALUE"""),302.0)</f>
        <v>302</v>
      </c>
      <c r="E456" s="2">
        <f>IFERROR(__xludf.DUMMYFUNCTION("""COMPUTED_VALUE"""),302.0)</f>
        <v>302</v>
      </c>
      <c r="F456" s="2">
        <f>IFERROR(__xludf.DUMMYFUNCTION("""COMPUTED_VALUE"""),2.083E7)</f>
        <v>20830000</v>
      </c>
      <c r="G456" s="2">
        <f t="shared" si="1"/>
        <v>6</v>
      </c>
    </row>
    <row r="457" ht="15.75" customHeight="1">
      <c r="A457" s="1">
        <f>IFERROR(__xludf.DUMMYFUNCTION("""COMPUTED_VALUE"""),44515.625)</f>
        <v>44515.625</v>
      </c>
      <c r="B457" s="2">
        <f>IFERROR(__xludf.DUMMYFUNCTION("""COMPUTED_VALUE"""),302.0)</f>
        <v>302</v>
      </c>
      <c r="C457" s="2">
        <f>IFERROR(__xludf.DUMMYFUNCTION("""COMPUTED_VALUE"""),306.0)</f>
        <v>306</v>
      </c>
      <c r="D457" s="2">
        <f>IFERROR(__xludf.DUMMYFUNCTION("""COMPUTED_VALUE"""),300.0)</f>
        <v>300</v>
      </c>
      <c r="E457" s="2">
        <f>IFERROR(__xludf.DUMMYFUNCTION("""COMPUTED_VALUE"""),302.0)</f>
        <v>302</v>
      </c>
      <c r="F457" s="2">
        <f>IFERROR(__xludf.DUMMYFUNCTION("""COMPUTED_VALUE"""),1.6032E7)</f>
        <v>16032000</v>
      </c>
      <c r="G457" s="2">
        <f t="shared" si="1"/>
        <v>6</v>
      </c>
    </row>
    <row r="458" ht="15.75" customHeight="1">
      <c r="A458" s="1">
        <f>IFERROR(__xludf.DUMMYFUNCTION("""COMPUTED_VALUE"""),44516.625)</f>
        <v>44516.625</v>
      </c>
      <c r="B458" s="2">
        <f>IFERROR(__xludf.DUMMYFUNCTION("""COMPUTED_VALUE"""),304.0)</f>
        <v>304</v>
      </c>
      <c r="C458" s="2">
        <f>IFERROR(__xludf.DUMMYFUNCTION("""COMPUTED_VALUE"""),304.0)</f>
        <v>304</v>
      </c>
      <c r="D458" s="2">
        <f>IFERROR(__xludf.DUMMYFUNCTION("""COMPUTED_VALUE"""),300.0)</f>
        <v>300</v>
      </c>
      <c r="E458" s="2">
        <f>IFERROR(__xludf.DUMMYFUNCTION("""COMPUTED_VALUE"""),300.0)</f>
        <v>300</v>
      </c>
      <c r="F458" s="2">
        <f>IFERROR(__xludf.DUMMYFUNCTION("""COMPUTED_VALUE"""),2.14083E7)</f>
        <v>21408300</v>
      </c>
      <c r="G458" s="2">
        <f t="shared" si="1"/>
        <v>4</v>
      </c>
    </row>
    <row r="459" ht="15.75" customHeight="1">
      <c r="A459" s="1">
        <f>IFERROR(__xludf.DUMMYFUNCTION("""COMPUTED_VALUE"""),44517.625)</f>
        <v>44517.625</v>
      </c>
      <c r="B459" s="2">
        <f>IFERROR(__xludf.DUMMYFUNCTION("""COMPUTED_VALUE"""),302.0)</f>
        <v>302</v>
      </c>
      <c r="C459" s="2">
        <f>IFERROR(__xludf.DUMMYFUNCTION("""COMPUTED_VALUE"""),304.0)</f>
        <v>304</v>
      </c>
      <c r="D459" s="2">
        <f>IFERROR(__xludf.DUMMYFUNCTION("""COMPUTED_VALUE"""),298.0)</f>
        <v>298</v>
      </c>
      <c r="E459" s="2">
        <f>IFERROR(__xludf.DUMMYFUNCTION("""COMPUTED_VALUE"""),300.0)</f>
        <v>300</v>
      </c>
      <c r="F459" s="2">
        <f>IFERROR(__xludf.DUMMYFUNCTION("""COMPUTED_VALUE"""),2.40621E7)</f>
        <v>24062100</v>
      </c>
      <c r="G459" s="2">
        <f t="shared" si="1"/>
        <v>6</v>
      </c>
    </row>
    <row r="460" ht="15.75" customHeight="1">
      <c r="A460" s="1">
        <f>IFERROR(__xludf.DUMMYFUNCTION("""COMPUTED_VALUE"""),44518.625)</f>
        <v>44518.625</v>
      </c>
      <c r="B460" s="2">
        <f>IFERROR(__xludf.DUMMYFUNCTION("""COMPUTED_VALUE"""),300.0)</f>
        <v>300</v>
      </c>
      <c r="C460" s="2">
        <f>IFERROR(__xludf.DUMMYFUNCTION("""COMPUTED_VALUE"""),300.0)</f>
        <v>300</v>
      </c>
      <c r="D460" s="2">
        <f>IFERROR(__xludf.DUMMYFUNCTION("""COMPUTED_VALUE"""),292.0)</f>
        <v>292</v>
      </c>
      <c r="E460" s="2">
        <f>IFERROR(__xludf.DUMMYFUNCTION("""COMPUTED_VALUE"""),292.0)</f>
        <v>292</v>
      </c>
      <c r="F460" s="2">
        <f>IFERROR(__xludf.DUMMYFUNCTION("""COMPUTED_VALUE"""),3.53759E7)</f>
        <v>35375900</v>
      </c>
      <c r="G460" s="2">
        <f t="shared" si="1"/>
        <v>8</v>
      </c>
    </row>
    <row r="461" ht="15.75" customHeight="1">
      <c r="A461" s="1">
        <f>IFERROR(__xludf.DUMMYFUNCTION("""COMPUTED_VALUE"""),44519.625)</f>
        <v>44519.625</v>
      </c>
      <c r="B461" s="2">
        <f>IFERROR(__xludf.DUMMYFUNCTION("""COMPUTED_VALUE"""),294.0)</f>
        <v>294</v>
      </c>
      <c r="C461" s="2">
        <f>IFERROR(__xludf.DUMMYFUNCTION("""COMPUTED_VALUE"""),298.0)</f>
        <v>298</v>
      </c>
      <c r="D461" s="2">
        <f>IFERROR(__xludf.DUMMYFUNCTION("""COMPUTED_VALUE"""),290.0)</f>
        <v>290</v>
      </c>
      <c r="E461" s="2">
        <f>IFERROR(__xludf.DUMMYFUNCTION("""COMPUTED_VALUE"""),294.0)</f>
        <v>294</v>
      </c>
      <c r="F461" s="2">
        <f>IFERROR(__xludf.DUMMYFUNCTION("""COMPUTED_VALUE"""),2.94308E7)</f>
        <v>29430800</v>
      </c>
      <c r="G461" s="2">
        <f t="shared" si="1"/>
        <v>8</v>
      </c>
    </row>
    <row r="462" ht="15.75" customHeight="1">
      <c r="A462" s="1">
        <f>IFERROR(__xludf.DUMMYFUNCTION("""COMPUTED_VALUE"""),44522.625)</f>
        <v>44522.625</v>
      </c>
      <c r="B462" s="2">
        <f>IFERROR(__xludf.DUMMYFUNCTION("""COMPUTED_VALUE"""),294.0)</f>
        <v>294</v>
      </c>
      <c r="C462" s="2">
        <f>IFERROR(__xludf.DUMMYFUNCTION("""COMPUTED_VALUE"""),296.0)</f>
        <v>296</v>
      </c>
      <c r="D462" s="2">
        <f>IFERROR(__xludf.DUMMYFUNCTION("""COMPUTED_VALUE"""),286.0)</f>
        <v>286</v>
      </c>
      <c r="E462" s="2">
        <f>IFERROR(__xludf.DUMMYFUNCTION("""COMPUTED_VALUE"""),286.0)</f>
        <v>286</v>
      </c>
      <c r="F462" s="2">
        <f>IFERROR(__xludf.DUMMYFUNCTION("""COMPUTED_VALUE"""),5.73225E7)</f>
        <v>57322500</v>
      </c>
      <c r="G462" s="2">
        <f t="shared" si="1"/>
        <v>10</v>
      </c>
    </row>
    <row r="463" ht="15.75" customHeight="1">
      <c r="A463" s="1">
        <f>IFERROR(__xludf.DUMMYFUNCTION("""COMPUTED_VALUE"""),44523.625)</f>
        <v>44523.625</v>
      </c>
      <c r="B463" s="2">
        <f>IFERROR(__xludf.DUMMYFUNCTION("""COMPUTED_VALUE"""),284.0)</f>
        <v>284</v>
      </c>
      <c r="C463" s="2">
        <f>IFERROR(__xludf.DUMMYFUNCTION("""COMPUTED_VALUE"""),292.0)</f>
        <v>292</v>
      </c>
      <c r="D463" s="2">
        <f>IFERROR(__xludf.DUMMYFUNCTION("""COMPUTED_VALUE"""),284.0)</f>
        <v>284</v>
      </c>
      <c r="E463" s="2">
        <f>IFERROR(__xludf.DUMMYFUNCTION("""COMPUTED_VALUE"""),286.0)</f>
        <v>286</v>
      </c>
      <c r="F463" s="2">
        <f>IFERROR(__xludf.DUMMYFUNCTION("""COMPUTED_VALUE"""),2.7966E7)</f>
        <v>27966000</v>
      </c>
      <c r="G463" s="2">
        <f t="shared" si="1"/>
        <v>8</v>
      </c>
    </row>
    <row r="464" ht="15.75" customHeight="1">
      <c r="A464" s="1">
        <f>IFERROR(__xludf.DUMMYFUNCTION("""COMPUTED_VALUE"""),44524.625)</f>
        <v>44524.625</v>
      </c>
      <c r="B464" s="2">
        <f>IFERROR(__xludf.DUMMYFUNCTION("""COMPUTED_VALUE"""),288.0)</f>
        <v>288</v>
      </c>
      <c r="C464" s="2">
        <f>IFERROR(__xludf.DUMMYFUNCTION("""COMPUTED_VALUE"""),294.0)</f>
        <v>294</v>
      </c>
      <c r="D464" s="2">
        <f>IFERROR(__xludf.DUMMYFUNCTION("""COMPUTED_VALUE"""),288.0)</f>
        <v>288</v>
      </c>
      <c r="E464" s="2">
        <f>IFERROR(__xludf.DUMMYFUNCTION("""COMPUTED_VALUE"""),294.0)</f>
        <v>294</v>
      </c>
      <c r="F464" s="2">
        <f>IFERROR(__xludf.DUMMYFUNCTION("""COMPUTED_VALUE"""),2.4792E7)</f>
        <v>24792000</v>
      </c>
      <c r="G464" s="2">
        <f t="shared" si="1"/>
        <v>8</v>
      </c>
    </row>
    <row r="465" ht="15.75" customHeight="1">
      <c r="A465" s="1">
        <f>IFERROR(__xludf.DUMMYFUNCTION("""COMPUTED_VALUE"""),44525.625)</f>
        <v>44525.625</v>
      </c>
      <c r="B465" s="2">
        <f>IFERROR(__xludf.DUMMYFUNCTION("""COMPUTED_VALUE"""),294.0)</f>
        <v>294</v>
      </c>
      <c r="C465" s="2">
        <f>IFERROR(__xludf.DUMMYFUNCTION("""COMPUTED_VALUE"""),298.0)</f>
        <v>298</v>
      </c>
      <c r="D465" s="2">
        <f>IFERROR(__xludf.DUMMYFUNCTION("""COMPUTED_VALUE"""),290.0)</f>
        <v>290</v>
      </c>
      <c r="E465" s="2">
        <f>IFERROR(__xludf.DUMMYFUNCTION("""COMPUTED_VALUE"""),292.0)</f>
        <v>292</v>
      </c>
      <c r="F465" s="2">
        <f>IFERROR(__xludf.DUMMYFUNCTION("""COMPUTED_VALUE"""),1.60219E7)</f>
        <v>16021900</v>
      </c>
      <c r="G465" s="2">
        <f t="shared" si="1"/>
        <v>8</v>
      </c>
    </row>
    <row r="466" ht="15.75" customHeight="1">
      <c r="A466" s="1">
        <f>IFERROR(__xludf.DUMMYFUNCTION("""COMPUTED_VALUE"""),44526.625)</f>
        <v>44526.625</v>
      </c>
      <c r="B466" s="2">
        <f>IFERROR(__xludf.DUMMYFUNCTION("""COMPUTED_VALUE"""),292.0)</f>
        <v>292</v>
      </c>
      <c r="C466" s="2">
        <f>IFERROR(__xludf.DUMMYFUNCTION("""COMPUTED_VALUE"""),294.0)</f>
        <v>294</v>
      </c>
      <c r="D466" s="2">
        <f>IFERROR(__xludf.DUMMYFUNCTION("""COMPUTED_VALUE"""),284.0)</f>
        <v>284</v>
      </c>
      <c r="E466" s="2">
        <f>IFERROR(__xludf.DUMMYFUNCTION("""COMPUTED_VALUE"""),284.0)</f>
        <v>284</v>
      </c>
      <c r="F466" s="2">
        <f>IFERROR(__xludf.DUMMYFUNCTION("""COMPUTED_VALUE"""),2.54415E7)</f>
        <v>25441500</v>
      </c>
      <c r="G466" s="2">
        <f t="shared" si="1"/>
        <v>10</v>
      </c>
    </row>
    <row r="467" ht="15.75" customHeight="1">
      <c r="A467" s="1">
        <f>IFERROR(__xludf.DUMMYFUNCTION("""COMPUTED_VALUE"""),44529.625)</f>
        <v>44529.625</v>
      </c>
      <c r="B467" s="2">
        <f>IFERROR(__xludf.DUMMYFUNCTION("""COMPUTED_VALUE"""),284.0)</f>
        <v>284</v>
      </c>
      <c r="C467" s="2">
        <f>IFERROR(__xludf.DUMMYFUNCTION("""COMPUTED_VALUE"""),284.0)</f>
        <v>284</v>
      </c>
      <c r="D467" s="2">
        <f>IFERROR(__xludf.DUMMYFUNCTION("""COMPUTED_VALUE"""),274.0)</f>
        <v>274</v>
      </c>
      <c r="E467" s="2">
        <f>IFERROR(__xludf.DUMMYFUNCTION("""COMPUTED_VALUE"""),278.0)</f>
        <v>278</v>
      </c>
      <c r="F467" s="2">
        <f>IFERROR(__xludf.DUMMYFUNCTION("""COMPUTED_VALUE"""),3.05255E7)</f>
        <v>30525500</v>
      </c>
      <c r="G467" s="2">
        <f t="shared" si="1"/>
        <v>10</v>
      </c>
    </row>
    <row r="468" ht="15.75" customHeight="1">
      <c r="A468" s="1">
        <f>IFERROR(__xludf.DUMMYFUNCTION("""COMPUTED_VALUE"""),44530.625)</f>
        <v>44530.625</v>
      </c>
      <c r="B468" s="2">
        <f>IFERROR(__xludf.DUMMYFUNCTION("""COMPUTED_VALUE"""),280.0)</f>
        <v>280</v>
      </c>
      <c r="C468" s="2">
        <f>IFERROR(__xludf.DUMMYFUNCTION("""COMPUTED_VALUE"""),284.0)</f>
        <v>284</v>
      </c>
      <c r="D468" s="2">
        <f>IFERROR(__xludf.DUMMYFUNCTION("""COMPUTED_VALUE"""),276.0)</f>
        <v>276</v>
      </c>
      <c r="E468" s="2">
        <f>IFERROR(__xludf.DUMMYFUNCTION("""COMPUTED_VALUE"""),278.0)</f>
        <v>278</v>
      </c>
      <c r="F468" s="2">
        <f>IFERROR(__xludf.DUMMYFUNCTION("""COMPUTED_VALUE"""),2.71923E7)</f>
        <v>27192300</v>
      </c>
      <c r="G468" s="2">
        <f t="shared" si="1"/>
        <v>8</v>
      </c>
    </row>
    <row r="469" ht="15.75" customHeight="1">
      <c r="A469" s="1">
        <f>IFERROR(__xludf.DUMMYFUNCTION("""COMPUTED_VALUE"""),44531.66666666667)</f>
        <v>44531.66667</v>
      </c>
      <c r="B469" s="2">
        <f>IFERROR(__xludf.DUMMYFUNCTION("""COMPUTED_VALUE"""),278.0)</f>
        <v>278</v>
      </c>
      <c r="C469" s="2">
        <f>IFERROR(__xludf.DUMMYFUNCTION("""COMPUTED_VALUE"""),282.0)</f>
        <v>282</v>
      </c>
      <c r="D469" s="2">
        <f>IFERROR(__xludf.DUMMYFUNCTION("""COMPUTED_VALUE"""),274.0)</f>
        <v>274</v>
      </c>
      <c r="E469" s="2">
        <f>IFERROR(__xludf.DUMMYFUNCTION("""COMPUTED_VALUE"""),274.0)</f>
        <v>274</v>
      </c>
      <c r="F469" s="2">
        <f>IFERROR(__xludf.DUMMYFUNCTION("""COMPUTED_VALUE"""),2.81908E7)</f>
        <v>28190800</v>
      </c>
      <c r="G469" s="2">
        <f t="shared" si="1"/>
        <v>8</v>
      </c>
    </row>
    <row r="470" ht="15.75" customHeight="1">
      <c r="A470" s="1">
        <f>IFERROR(__xludf.DUMMYFUNCTION("""COMPUTED_VALUE"""),44532.66666666667)</f>
        <v>44532.66667</v>
      </c>
      <c r="B470" s="2">
        <f>IFERROR(__xludf.DUMMYFUNCTION("""COMPUTED_VALUE"""),280.0)</f>
        <v>280</v>
      </c>
      <c r="C470" s="2">
        <f>IFERROR(__xludf.DUMMYFUNCTION("""COMPUTED_VALUE"""),280.0)</f>
        <v>280</v>
      </c>
      <c r="D470" s="2">
        <f>IFERROR(__xludf.DUMMYFUNCTION("""COMPUTED_VALUE"""),266.0)</f>
        <v>266</v>
      </c>
      <c r="E470" s="2">
        <f>IFERROR(__xludf.DUMMYFUNCTION("""COMPUTED_VALUE"""),274.0)</f>
        <v>274</v>
      </c>
      <c r="F470" s="2">
        <f>IFERROR(__xludf.DUMMYFUNCTION("""COMPUTED_VALUE"""),1.89429E7)</f>
        <v>18942900</v>
      </c>
      <c r="G470" s="2">
        <f t="shared" si="1"/>
        <v>14</v>
      </c>
    </row>
    <row r="471" ht="15.75" customHeight="1">
      <c r="A471" s="1">
        <f>IFERROR(__xludf.DUMMYFUNCTION("""COMPUTED_VALUE"""),44533.66666666667)</f>
        <v>44533.66667</v>
      </c>
      <c r="B471" s="2">
        <f>IFERROR(__xludf.DUMMYFUNCTION("""COMPUTED_VALUE"""),274.0)</f>
        <v>274</v>
      </c>
      <c r="C471" s="2">
        <f>IFERROR(__xludf.DUMMYFUNCTION("""COMPUTED_VALUE"""),280.0)</f>
        <v>280</v>
      </c>
      <c r="D471" s="2">
        <f>IFERROR(__xludf.DUMMYFUNCTION("""COMPUTED_VALUE"""),274.0)</f>
        <v>274</v>
      </c>
      <c r="E471" s="2">
        <f>IFERROR(__xludf.DUMMYFUNCTION("""COMPUTED_VALUE"""),278.0)</f>
        <v>278</v>
      </c>
      <c r="F471" s="2">
        <f>IFERROR(__xludf.DUMMYFUNCTION("""COMPUTED_VALUE"""),1.85471E7)</f>
        <v>18547100</v>
      </c>
      <c r="G471" s="2">
        <f t="shared" si="1"/>
        <v>6</v>
      </c>
    </row>
    <row r="472" ht="15.75" customHeight="1">
      <c r="A472" s="1">
        <f>IFERROR(__xludf.DUMMYFUNCTION("""COMPUTED_VALUE"""),44536.66666666667)</f>
        <v>44536.66667</v>
      </c>
      <c r="B472" s="2">
        <f>IFERROR(__xludf.DUMMYFUNCTION("""COMPUTED_VALUE"""),282.0)</f>
        <v>282</v>
      </c>
      <c r="C472" s="2">
        <f>IFERROR(__xludf.DUMMYFUNCTION("""COMPUTED_VALUE"""),282.0)</f>
        <v>282</v>
      </c>
      <c r="D472" s="2">
        <f>IFERROR(__xludf.DUMMYFUNCTION("""COMPUTED_VALUE"""),278.0)</f>
        <v>278</v>
      </c>
      <c r="E472" s="2">
        <f>IFERROR(__xludf.DUMMYFUNCTION("""COMPUTED_VALUE"""),278.0)</f>
        <v>278</v>
      </c>
      <c r="F472" s="2">
        <f>IFERROR(__xludf.DUMMYFUNCTION("""COMPUTED_VALUE"""),2.04928E7)</f>
        <v>20492800</v>
      </c>
      <c r="G472" s="2">
        <f t="shared" si="1"/>
        <v>4</v>
      </c>
    </row>
    <row r="473" ht="15.75" customHeight="1">
      <c r="A473" s="1">
        <f>IFERROR(__xludf.DUMMYFUNCTION("""COMPUTED_VALUE"""),44537.66666666667)</f>
        <v>44537.66667</v>
      </c>
      <c r="B473" s="2">
        <f>IFERROR(__xludf.DUMMYFUNCTION("""COMPUTED_VALUE"""),282.0)</f>
        <v>282</v>
      </c>
      <c r="C473" s="2">
        <f>IFERROR(__xludf.DUMMYFUNCTION("""COMPUTED_VALUE"""),294.0)</f>
        <v>294</v>
      </c>
      <c r="D473" s="2">
        <f>IFERROR(__xludf.DUMMYFUNCTION("""COMPUTED_VALUE"""),282.0)</f>
        <v>282</v>
      </c>
      <c r="E473" s="2">
        <f>IFERROR(__xludf.DUMMYFUNCTION("""COMPUTED_VALUE"""),288.0)</f>
        <v>288</v>
      </c>
      <c r="F473" s="2">
        <f>IFERROR(__xludf.DUMMYFUNCTION("""COMPUTED_VALUE"""),4.30718E7)</f>
        <v>43071800</v>
      </c>
      <c r="G473" s="2">
        <f t="shared" si="1"/>
        <v>16</v>
      </c>
    </row>
    <row r="474" ht="15.75" customHeight="1">
      <c r="A474" s="1">
        <f>IFERROR(__xludf.DUMMYFUNCTION("""COMPUTED_VALUE"""),44538.66666666667)</f>
        <v>44538.66667</v>
      </c>
      <c r="B474" s="2">
        <f>IFERROR(__xludf.DUMMYFUNCTION("""COMPUTED_VALUE"""),288.0)</f>
        <v>288</v>
      </c>
      <c r="C474" s="2">
        <f>IFERROR(__xludf.DUMMYFUNCTION("""COMPUTED_VALUE"""),296.0)</f>
        <v>296</v>
      </c>
      <c r="D474" s="2">
        <f>IFERROR(__xludf.DUMMYFUNCTION("""COMPUTED_VALUE"""),288.0)</f>
        <v>288</v>
      </c>
      <c r="E474" s="2">
        <f>IFERROR(__xludf.DUMMYFUNCTION("""COMPUTED_VALUE"""),288.0)</f>
        <v>288</v>
      </c>
      <c r="F474" s="2">
        <f>IFERROR(__xludf.DUMMYFUNCTION("""COMPUTED_VALUE"""),2.36976E7)</f>
        <v>23697600</v>
      </c>
      <c r="G474" s="2">
        <f t="shared" si="1"/>
        <v>8</v>
      </c>
    </row>
    <row r="475" ht="15.75" customHeight="1">
      <c r="A475" s="1">
        <f>IFERROR(__xludf.DUMMYFUNCTION("""COMPUTED_VALUE"""),44539.66666666667)</f>
        <v>44539.66667</v>
      </c>
      <c r="B475" s="2">
        <f>IFERROR(__xludf.DUMMYFUNCTION("""COMPUTED_VALUE"""),290.0)</f>
        <v>290</v>
      </c>
      <c r="C475" s="2">
        <f>IFERROR(__xludf.DUMMYFUNCTION("""COMPUTED_VALUE"""),290.0)</f>
        <v>290</v>
      </c>
      <c r="D475" s="2">
        <f>IFERROR(__xludf.DUMMYFUNCTION("""COMPUTED_VALUE"""),284.0)</f>
        <v>284</v>
      </c>
      <c r="E475" s="2">
        <f>IFERROR(__xludf.DUMMYFUNCTION("""COMPUTED_VALUE"""),288.0)</f>
        <v>288</v>
      </c>
      <c r="F475" s="2">
        <f>IFERROR(__xludf.DUMMYFUNCTION("""COMPUTED_VALUE"""),1.65268E7)</f>
        <v>16526800</v>
      </c>
      <c r="G475" s="2">
        <f t="shared" si="1"/>
        <v>6</v>
      </c>
    </row>
    <row r="476" ht="15.75" customHeight="1">
      <c r="A476" s="1">
        <f>IFERROR(__xludf.DUMMYFUNCTION("""COMPUTED_VALUE"""),44540.66666666667)</f>
        <v>44540.66667</v>
      </c>
      <c r="B476" s="2">
        <f>IFERROR(__xludf.DUMMYFUNCTION("""COMPUTED_VALUE"""),286.0)</f>
        <v>286</v>
      </c>
      <c r="C476" s="2">
        <f>IFERROR(__xludf.DUMMYFUNCTION("""COMPUTED_VALUE"""),290.0)</f>
        <v>290</v>
      </c>
      <c r="D476" s="2">
        <f>IFERROR(__xludf.DUMMYFUNCTION("""COMPUTED_VALUE"""),282.0)</f>
        <v>282</v>
      </c>
      <c r="E476" s="2">
        <f>IFERROR(__xludf.DUMMYFUNCTION("""COMPUTED_VALUE"""),286.0)</f>
        <v>286</v>
      </c>
      <c r="F476" s="2">
        <f>IFERROR(__xludf.DUMMYFUNCTION("""COMPUTED_VALUE"""),1.26284E7)</f>
        <v>12628400</v>
      </c>
      <c r="G476" s="2">
        <f t="shared" si="1"/>
        <v>8</v>
      </c>
    </row>
    <row r="477" ht="15.75" customHeight="1">
      <c r="A477" s="1">
        <f>IFERROR(__xludf.DUMMYFUNCTION("""COMPUTED_VALUE"""),44543.66666666667)</f>
        <v>44543.66667</v>
      </c>
      <c r="B477" s="2">
        <f>IFERROR(__xludf.DUMMYFUNCTION("""COMPUTED_VALUE"""),286.0)</f>
        <v>286</v>
      </c>
      <c r="C477" s="2">
        <f>IFERROR(__xludf.DUMMYFUNCTION("""COMPUTED_VALUE"""),294.0)</f>
        <v>294</v>
      </c>
      <c r="D477" s="2">
        <f>IFERROR(__xludf.DUMMYFUNCTION("""COMPUTED_VALUE"""),286.0)</f>
        <v>286</v>
      </c>
      <c r="E477" s="2">
        <f>IFERROR(__xludf.DUMMYFUNCTION("""COMPUTED_VALUE"""),292.0)</f>
        <v>292</v>
      </c>
      <c r="F477" s="2">
        <f>IFERROR(__xludf.DUMMYFUNCTION("""COMPUTED_VALUE"""),2.50454E7)</f>
        <v>25045400</v>
      </c>
      <c r="G477" s="2">
        <f t="shared" si="1"/>
        <v>8</v>
      </c>
    </row>
    <row r="478" ht="15.75" customHeight="1">
      <c r="A478" s="1">
        <f>IFERROR(__xludf.DUMMYFUNCTION("""COMPUTED_VALUE"""),44544.66666666667)</f>
        <v>44544.66667</v>
      </c>
      <c r="B478" s="2">
        <f>IFERROR(__xludf.DUMMYFUNCTION("""COMPUTED_VALUE"""),292.0)</f>
        <v>292</v>
      </c>
      <c r="C478" s="2">
        <f>IFERROR(__xludf.DUMMYFUNCTION("""COMPUTED_VALUE"""),294.0)</f>
        <v>294</v>
      </c>
      <c r="D478" s="2">
        <f>IFERROR(__xludf.DUMMYFUNCTION("""COMPUTED_VALUE"""),284.0)</f>
        <v>284</v>
      </c>
      <c r="E478" s="2">
        <f>IFERROR(__xludf.DUMMYFUNCTION("""COMPUTED_VALUE"""),286.0)</f>
        <v>286</v>
      </c>
      <c r="F478" s="2">
        <f>IFERROR(__xludf.DUMMYFUNCTION("""COMPUTED_VALUE"""),1.51223E7)</f>
        <v>15122300</v>
      </c>
      <c r="G478" s="2">
        <f t="shared" si="1"/>
        <v>10</v>
      </c>
    </row>
    <row r="479" ht="15.75" customHeight="1">
      <c r="A479" s="1">
        <f>IFERROR(__xludf.DUMMYFUNCTION("""COMPUTED_VALUE"""),44545.66666666667)</f>
        <v>44545.66667</v>
      </c>
      <c r="B479" s="2">
        <f>IFERROR(__xludf.DUMMYFUNCTION("""COMPUTED_VALUE"""),288.0)</f>
        <v>288</v>
      </c>
      <c r="C479" s="2">
        <f>IFERROR(__xludf.DUMMYFUNCTION("""COMPUTED_VALUE"""),288.0)</f>
        <v>288</v>
      </c>
      <c r="D479" s="2">
        <f>IFERROR(__xludf.DUMMYFUNCTION("""COMPUTED_VALUE"""),282.0)</f>
        <v>282</v>
      </c>
      <c r="E479" s="2">
        <f>IFERROR(__xludf.DUMMYFUNCTION("""COMPUTED_VALUE"""),282.0)</f>
        <v>282</v>
      </c>
      <c r="F479" s="2">
        <f>IFERROR(__xludf.DUMMYFUNCTION("""COMPUTED_VALUE"""),1.0088E7)</f>
        <v>10088000</v>
      </c>
      <c r="G479" s="2">
        <f t="shared" si="1"/>
        <v>6</v>
      </c>
    </row>
    <row r="480" ht="15.75" customHeight="1">
      <c r="A480" s="1">
        <f>IFERROR(__xludf.DUMMYFUNCTION("""COMPUTED_VALUE"""),44546.66666666667)</f>
        <v>44546.66667</v>
      </c>
      <c r="B480" s="2">
        <f>IFERROR(__xludf.DUMMYFUNCTION("""COMPUTED_VALUE"""),284.0)</f>
        <v>284</v>
      </c>
      <c r="C480" s="2">
        <f>IFERROR(__xludf.DUMMYFUNCTION("""COMPUTED_VALUE"""),288.0)</f>
        <v>288</v>
      </c>
      <c r="D480" s="2">
        <f>IFERROR(__xludf.DUMMYFUNCTION("""COMPUTED_VALUE"""),276.0)</f>
        <v>276</v>
      </c>
      <c r="E480" s="2">
        <f>IFERROR(__xludf.DUMMYFUNCTION("""COMPUTED_VALUE"""),278.0)</f>
        <v>278</v>
      </c>
      <c r="F480" s="2">
        <f>IFERROR(__xludf.DUMMYFUNCTION("""COMPUTED_VALUE"""),1.89326E7)</f>
        <v>18932600</v>
      </c>
      <c r="G480" s="2">
        <f t="shared" si="1"/>
        <v>12</v>
      </c>
    </row>
    <row r="481" ht="15.75" customHeight="1">
      <c r="A481" s="1">
        <f>IFERROR(__xludf.DUMMYFUNCTION("""COMPUTED_VALUE"""),44547.66666666667)</f>
        <v>44547.66667</v>
      </c>
      <c r="B481" s="2">
        <f>IFERROR(__xludf.DUMMYFUNCTION("""COMPUTED_VALUE"""),278.0)</f>
        <v>278</v>
      </c>
      <c r="C481" s="2">
        <f>IFERROR(__xludf.DUMMYFUNCTION("""COMPUTED_VALUE"""),280.0)</f>
        <v>280</v>
      </c>
      <c r="D481" s="2">
        <f>IFERROR(__xludf.DUMMYFUNCTION("""COMPUTED_VALUE"""),276.0)</f>
        <v>276</v>
      </c>
      <c r="E481" s="2">
        <f>IFERROR(__xludf.DUMMYFUNCTION("""COMPUTED_VALUE"""),276.0)</f>
        <v>276</v>
      </c>
      <c r="F481" s="2">
        <f>IFERROR(__xludf.DUMMYFUNCTION("""COMPUTED_VALUE"""),7544200.0)</f>
        <v>7544200</v>
      </c>
      <c r="G481" s="2">
        <f t="shared" si="1"/>
        <v>4</v>
      </c>
    </row>
    <row r="482" ht="15.75" customHeight="1">
      <c r="A482" s="1">
        <f>IFERROR(__xludf.DUMMYFUNCTION("""COMPUTED_VALUE"""),44550.66666666667)</f>
        <v>44550.66667</v>
      </c>
      <c r="B482" s="2">
        <f>IFERROR(__xludf.DUMMYFUNCTION("""COMPUTED_VALUE"""),276.0)</f>
        <v>276</v>
      </c>
      <c r="C482" s="2">
        <f>IFERROR(__xludf.DUMMYFUNCTION("""COMPUTED_VALUE"""),278.0)</f>
        <v>278</v>
      </c>
      <c r="D482" s="2">
        <f>IFERROR(__xludf.DUMMYFUNCTION("""COMPUTED_VALUE"""),272.0)</f>
        <v>272</v>
      </c>
      <c r="E482" s="2">
        <f>IFERROR(__xludf.DUMMYFUNCTION("""COMPUTED_VALUE"""),272.0)</f>
        <v>272</v>
      </c>
      <c r="F482" s="2">
        <f>IFERROR(__xludf.DUMMYFUNCTION("""COMPUTED_VALUE"""),1.30182E7)</f>
        <v>13018200</v>
      </c>
      <c r="G482" s="2">
        <f t="shared" si="1"/>
        <v>6</v>
      </c>
    </row>
    <row r="483" ht="15.75" customHeight="1">
      <c r="A483" s="1">
        <f>IFERROR(__xludf.DUMMYFUNCTION("""COMPUTED_VALUE"""),44551.66666666667)</f>
        <v>44551.66667</v>
      </c>
      <c r="B483" s="2">
        <f>IFERROR(__xludf.DUMMYFUNCTION("""COMPUTED_VALUE"""),276.0)</f>
        <v>276</v>
      </c>
      <c r="C483" s="2">
        <f>IFERROR(__xludf.DUMMYFUNCTION("""COMPUTED_VALUE"""),276.0)</f>
        <v>276</v>
      </c>
      <c r="D483" s="2">
        <f>IFERROR(__xludf.DUMMYFUNCTION("""COMPUTED_VALUE"""),272.0)</f>
        <v>272</v>
      </c>
      <c r="E483" s="2">
        <f>IFERROR(__xludf.DUMMYFUNCTION("""COMPUTED_VALUE"""),274.0)</f>
        <v>274</v>
      </c>
      <c r="F483" s="2">
        <f>IFERROR(__xludf.DUMMYFUNCTION("""COMPUTED_VALUE"""),1.2517E7)</f>
        <v>12517000</v>
      </c>
      <c r="G483" s="2">
        <f t="shared" si="1"/>
        <v>4</v>
      </c>
    </row>
    <row r="484" ht="15.75" customHeight="1">
      <c r="A484" s="1">
        <f>IFERROR(__xludf.DUMMYFUNCTION("""COMPUTED_VALUE"""),44552.66666666667)</f>
        <v>44552.66667</v>
      </c>
      <c r="B484" s="2">
        <f>IFERROR(__xludf.DUMMYFUNCTION("""COMPUTED_VALUE"""),278.0)</f>
        <v>278</v>
      </c>
      <c r="C484" s="2">
        <f>IFERROR(__xludf.DUMMYFUNCTION("""COMPUTED_VALUE"""),280.0)</f>
        <v>280</v>
      </c>
      <c r="D484" s="2">
        <f>IFERROR(__xludf.DUMMYFUNCTION("""COMPUTED_VALUE"""),272.0)</f>
        <v>272</v>
      </c>
      <c r="E484" s="2">
        <f>IFERROR(__xludf.DUMMYFUNCTION("""COMPUTED_VALUE"""),272.0)</f>
        <v>272</v>
      </c>
      <c r="F484" s="2">
        <f>IFERROR(__xludf.DUMMYFUNCTION("""COMPUTED_VALUE"""),2.14387E7)</f>
        <v>21438700</v>
      </c>
      <c r="G484" s="2">
        <f t="shared" si="1"/>
        <v>8</v>
      </c>
    </row>
    <row r="485" ht="15.75" customHeight="1">
      <c r="A485" s="1">
        <f>IFERROR(__xludf.DUMMYFUNCTION("""COMPUTED_VALUE"""),44553.66666666667)</f>
        <v>44553.66667</v>
      </c>
      <c r="B485" s="2">
        <f>IFERROR(__xludf.DUMMYFUNCTION("""COMPUTED_VALUE"""),274.0)</f>
        <v>274</v>
      </c>
      <c r="C485" s="2">
        <f>IFERROR(__xludf.DUMMYFUNCTION("""COMPUTED_VALUE"""),278.0)</f>
        <v>278</v>
      </c>
      <c r="D485" s="2">
        <f>IFERROR(__xludf.DUMMYFUNCTION("""COMPUTED_VALUE"""),270.0)</f>
        <v>270</v>
      </c>
      <c r="E485" s="2">
        <f>IFERROR(__xludf.DUMMYFUNCTION("""COMPUTED_VALUE"""),274.0)</f>
        <v>274</v>
      </c>
      <c r="F485" s="2">
        <f>IFERROR(__xludf.DUMMYFUNCTION("""COMPUTED_VALUE"""),1.31561E7)</f>
        <v>13156100</v>
      </c>
      <c r="G485" s="2">
        <f t="shared" si="1"/>
        <v>8</v>
      </c>
    </row>
    <row r="486" ht="15.75" customHeight="1">
      <c r="A486" s="1">
        <f>IFERROR(__xludf.DUMMYFUNCTION("""COMPUTED_VALUE"""),44554.66666666667)</f>
        <v>44554.66667</v>
      </c>
      <c r="B486" s="2">
        <f>IFERROR(__xludf.DUMMYFUNCTION("""COMPUTED_VALUE"""),274.0)</f>
        <v>274</v>
      </c>
      <c r="C486" s="2">
        <f>IFERROR(__xludf.DUMMYFUNCTION("""COMPUTED_VALUE"""),278.0)</f>
        <v>278</v>
      </c>
      <c r="D486" s="2">
        <f>IFERROR(__xludf.DUMMYFUNCTION("""COMPUTED_VALUE"""),272.0)</f>
        <v>272</v>
      </c>
      <c r="E486" s="2">
        <f>IFERROR(__xludf.DUMMYFUNCTION("""COMPUTED_VALUE"""),274.0)</f>
        <v>274</v>
      </c>
      <c r="F486" s="2">
        <f>IFERROR(__xludf.DUMMYFUNCTION("""COMPUTED_VALUE"""),7902100.0)</f>
        <v>7902100</v>
      </c>
      <c r="G486" s="2">
        <f t="shared" si="1"/>
        <v>6</v>
      </c>
    </row>
    <row r="487" ht="15.75" customHeight="1">
      <c r="A487" s="1">
        <f>IFERROR(__xludf.DUMMYFUNCTION("""COMPUTED_VALUE"""),44557.66666666667)</f>
        <v>44557.66667</v>
      </c>
      <c r="B487" s="2">
        <f>IFERROR(__xludf.DUMMYFUNCTION("""COMPUTED_VALUE"""),274.0)</f>
        <v>274</v>
      </c>
      <c r="C487" s="2">
        <f>IFERROR(__xludf.DUMMYFUNCTION("""COMPUTED_VALUE"""),280.0)</f>
        <v>280</v>
      </c>
      <c r="D487" s="2">
        <f>IFERROR(__xludf.DUMMYFUNCTION("""COMPUTED_VALUE"""),274.0)</f>
        <v>274</v>
      </c>
      <c r="E487" s="2">
        <f>IFERROR(__xludf.DUMMYFUNCTION("""COMPUTED_VALUE"""),278.0)</f>
        <v>278</v>
      </c>
      <c r="F487" s="2">
        <f>IFERROR(__xludf.DUMMYFUNCTION("""COMPUTED_VALUE"""),1.39612E7)</f>
        <v>13961200</v>
      </c>
      <c r="G487" s="2">
        <f t="shared" si="1"/>
        <v>6</v>
      </c>
    </row>
    <row r="488" ht="15.75" customHeight="1">
      <c r="A488" s="1">
        <f>IFERROR(__xludf.DUMMYFUNCTION("""COMPUTED_VALUE"""),44558.66666666667)</f>
        <v>44558.66667</v>
      </c>
      <c r="B488" s="2">
        <f>IFERROR(__xludf.DUMMYFUNCTION("""COMPUTED_VALUE"""),278.0)</f>
        <v>278</v>
      </c>
      <c r="C488" s="2">
        <f>IFERROR(__xludf.DUMMYFUNCTION("""COMPUTED_VALUE"""),286.0)</f>
        <v>286</v>
      </c>
      <c r="D488" s="2">
        <f>IFERROR(__xludf.DUMMYFUNCTION("""COMPUTED_VALUE"""),278.0)</f>
        <v>278</v>
      </c>
      <c r="E488" s="2">
        <f>IFERROR(__xludf.DUMMYFUNCTION("""COMPUTED_VALUE"""),282.0)</f>
        <v>282</v>
      </c>
      <c r="F488" s="2">
        <f>IFERROR(__xludf.DUMMYFUNCTION("""COMPUTED_VALUE"""),2.17707E7)</f>
        <v>21770700</v>
      </c>
      <c r="G488" s="2">
        <f t="shared" si="1"/>
        <v>8</v>
      </c>
    </row>
    <row r="489" ht="15.75" customHeight="1">
      <c r="A489" s="1">
        <f>IFERROR(__xludf.DUMMYFUNCTION("""COMPUTED_VALUE"""),44559.66666666667)</f>
        <v>44559.66667</v>
      </c>
      <c r="B489" s="2">
        <f>IFERROR(__xludf.DUMMYFUNCTION("""COMPUTED_VALUE"""),282.0)</f>
        <v>282</v>
      </c>
      <c r="C489" s="2">
        <f>IFERROR(__xludf.DUMMYFUNCTION("""COMPUTED_VALUE"""),286.0)</f>
        <v>286</v>
      </c>
      <c r="D489" s="2">
        <f>IFERROR(__xludf.DUMMYFUNCTION("""COMPUTED_VALUE"""),278.0)</f>
        <v>278</v>
      </c>
      <c r="E489" s="2">
        <f>IFERROR(__xludf.DUMMYFUNCTION("""COMPUTED_VALUE"""),278.0)</f>
        <v>278</v>
      </c>
      <c r="F489" s="2">
        <f>IFERROR(__xludf.DUMMYFUNCTION("""COMPUTED_VALUE"""),1.06624E7)</f>
        <v>10662400</v>
      </c>
      <c r="G489" s="2">
        <f t="shared" si="1"/>
        <v>8</v>
      </c>
    </row>
    <row r="490" ht="15.75" customHeight="1">
      <c r="A490" s="1">
        <f>IFERROR(__xludf.DUMMYFUNCTION("""COMPUTED_VALUE"""),44560.66666666667)</f>
        <v>44560.66667</v>
      </c>
      <c r="B490" s="2">
        <f>IFERROR(__xludf.DUMMYFUNCTION("""COMPUTED_VALUE"""),278.0)</f>
        <v>278</v>
      </c>
      <c r="C490" s="2">
        <f>IFERROR(__xludf.DUMMYFUNCTION("""COMPUTED_VALUE"""),282.0)</f>
        <v>282</v>
      </c>
      <c r="D490" s="2">
        <f>IFERROR(__xludf.DUMMYFUNCTION("""COMPUTED_VALUE"""),276.0)</f>
        <v>276</v>
      </c>
      <c r="E490" s="2">
        <f>IFERROR(__xludf.DUMMYFUNCTION("""COMPUTED_VALUE"""),276.0)</f>
        <v>276</v>
      </c>
      <c r="F490" s="2">
        <f>IFERROR(__xludf.DUMMYFUNCTION("""COMPUTED_VALUE"""),1.00863E7)</f>
        <v>10086300</v>
      </c>
      <c r="G490" s="2">
        <f t="shared" si="1"/>
        <v>6</v>
      </c>
    </row>
    <row r="491" ht="15.75" customHeight="1">
      <c r="A491" s="1">
        <f>IFERROR(__xludf.DUMMYFUNCTION("""COMPUTED_VALUE"""),44564.66666666667)</f>
        <v>44564.66667</v>
      </c>
      <c r="B491" s="2">
        <f>IFERROR(__xludf.DUMMYFUNCTION("""COMPUTED_VALUE"""),276.0)</f>
        <v>276</v>
      </c>
      <c r="C491" s="2">
        <f>IFERROR(__xludf.DUMMYFUNCTION("""COMPUTED_VALUE"""),278.0)</f>
        <v>278</v>
      </c>
      <c r="D491" s="2">
        <f>IFERROR(__xludf.DUMMYFUNCTION("""COMPUTED_VALUE"""),274.0)</f>
        <v>274</v>
      </c>
      <c r="E491" s="2">
        <f>IFERROR(__xludf.DUMMYFUNCTION("""COMPUTED_VALUE"""),274.0)</f>
        <v>274</v>
      </c>
      <c r="F491" s="2">
        <f>IFERROR(__xludf.DUMMYFUNCTION("""COMPUTED_VALUE"""),9318300.0)</f>
        <v>9318300</v>
      </c>
      <c r="G491" s="2">
        <f t="shared" si="1"/>
        <v>4</v>
      </c>
    </row>
    <row r="492" ht="15.75" customHeight="1">
      <c r="A492" s="1">
        <f>IFERROR(__xludf.DUMMYFUNCTION("""COMPUTED_VALUE"""),44565.66666666667)</f>
        <v>44565.66667</v>
      </c>
      <c r="B492" s="2">
        <f>IFERROR(__xludf.DUMMYFUNCTION("""COMPUTED_VALUE"""),274.0)</f>
        <v>274</v>
      </c>
      <c r="C492" s="2">
        <f>IFERROR(__xludf.DUMMYFUNCTION("""COMPUTED_VALUE"""),278.0)</f>
        <v>278</v>
      </c>
      <c r="D492" s="2">
        <f>IFERROR(__xludf.DUMMYFUNCTION("""COMPUTED_VALUE"""),274.0)</f>
        <v>274</v>
      </c>
      <c r="E492" s="2">
        <f>IFERROR(__xludf.DUMMYFUNCTION("""COMPUTED_VALUE"""),276.0)</f>
        <v>276</v>
      </c>
      <c r="F492" s="2">
        <f>IFERROR(__xludf.DUMMYFUNCTION("""COMPUTED_VALUE"""),9798500.0)</f>
        <v>9798500</v>
      </c>
      <c r="G492" s="2">
        <f t="shared" si="1"/>
        <v>4</v>
      </c>
    </row>
    <row r="493" ht="15.75" customHeight="1">
      <c r="A493" s="1">
        <f>IFERROR(__xludf.DUMMYFUNCTION("""COMPUTED_VALUE"""),44566.66666666667)</f>
        <v>44566.66667</v>
      </c>
      <c r="B493" s="2">
        <f>IFERROR(__xludf.DUMMYFUNCTION("""COMPUTED_VALUE"""),274.0)</f>
        <v>274</v>
      </c>
      <c r="C493" s="2">
        <f>IFERROR(__xludf.DUMMYFUNCTION("""COMPUTED_VALUE"""),280.0)</f>
        <v>280</v>
      </c>
      <c r="D493" s="2">
        <f>IFERROR(__xludf.DUMMYFUNCTION("""COMPUTED_VALUE"""),274.0)</f>
        <v>274</v>
      </c>
      <c r="E493" s="2">
        <f>IFERROR(__xludf.DUMMYFUNCTION("""COMPUTED_VALUE"""),276.0)</f>
        <v>276</v>
      </c>
      <c r="F493" s="2">
        <f>IFERROR(__xludf.DUMMYFUNCTION("""COMPUTED_VALUE"""),1.59961E7)</f>
        <v>15996100</v>
      </c>
      <c r="G493" s="2">
        <f t="shared" si="1"/>
        <v>6</v>
      </c>
    </row>
    <row r="494" ht="15.75" customHeight="1">
      <c r="A494" s="1">
        <f>IFERROR(__xludf.DUMMYFUNCTION("""COMPUTED_VALUE"""),44567.66666666667)</f>
        <v>44567.66667</v>
      </c>
      <c r="B494" s="2">
        <f>IFERROR(__xludf.DUMMYFUNCTION("""COMPUTED_VALUE"""),276.0)</f>
        <v>276</v>
      </c>
      <c r="C494" s="2">
        <f>IFERROR(__xludf.DUMMYFUNCTION("""COMPUTED_VALUE"""),276.0)</f>
        <v>276</v>
      </c>
      <c r="D494" s="2">
        <f>IFERROR(__xludf.DUMMYFUNCTION("""COMPUTED_VALUE"""),270.0)</f>
        <v>270</v>
      </c>
      <c r="E494" s="2">
        <f>IFERROR(__xludf.DUMMYFUNCTION("""COMPUTED_VALUE"""),272.0)</f>
        <v>272</v>
      </c>
      <c r="F494" s="2">
        <f>IFERROR(__xludf.DUMMYFUNCTION("""COMPUTED_VALUE"""),1.76557E7)</f>
        <v>17655700</v>
      </c>
      <c r="G494" s="2">
        <f t="shared" si="1"/>
        <v>6</v>
      </c>
    </row>
    <row r="495" ht="15.75" customHeight="1">
      <c r="A495" s="1">
        <f>IFERROR(__xludf.DUMMYFUNCTION("""COMPUTED_VALUE"""),44568.66666666667)</f>
        <v>44568.66667</v>
      </c>
      <c r="B495" s="2">
        <f>IFERROR(__xludf.DUMMYFUNCTION("""COMPUTED_VALUE"""),274.0)</f>
        <v>274</v>
      </c>
      <c r="C495" s="2">
        <f>IFERROR(__xludf.DUMMYFUNCTION("""COMPUTED_VALUE"""),280.0)</f>
        <v>280</v>
      </c>
      <c r="D495" s="2">
        <f>IFERROR(__xludf.DUMMYFUNCTION("""COMPUTED_VALUE"""),274.0)</f>
        <v>274</v>
      </c>
      <c r="E495" s="2">
        <f>IFERROR(__xludf.DUMMYFUNCTION("""COMPUTED_VALUE"""),274.0)</f>
        <v>274</v>
      </c>
      <c r="F495" s="2">
        <f>IFERROR(__xludf.DUMMYFUNCTION("""COMPUTED_VALUE"""),1.38141E7)</f>
        <v>13814100</v>
      </c>
      <c r="G495" s="2">
        <f t="shared" si="1"/>
        <v>8</v>
      </c>
    </row>
    <row r="496" ht="15.75" customHeight="1">
      <c r="A496" s="1">
        <f>IFERROR(__xludf.DUMMYFUNCTION("""COMPUTED_VALUE"""),44571.66666666667)</f>
        <v>44571.66667</v>
      </c>
      <c r="B496" s="2">
        <f>IFERROR(__xludf.DUMMYFUNCTION("""COMPUTED_VALUE"""),274.0)</f>
        <v>274</v>
      </c>
      <c r="C496" s="2">
        <f>IFERROR(__xludf.DUMMYFUNCTION("""COMPUTED_VALUE"""),276.0)</f>
        <v>276</v>
      </c>
      <c r="D496" s="2">
        <f>IFERROR(__xludf.DUMMYFUNCTION("""COMPUTED_VALUE"""),272.0)</f>
        <v>272</v>
      </c>
      <c r="E496" s="2">
        <f>IFERROR(__xludf.DUMMYFUNCTION("""COMPUTED_VALUE"""),272.0)</f>
        <v>272</v>
      </c>
      <c r="F496" s="2">
        <f>IFERROR(__xludf.DUMMYFUNCTION("""COMPUTED_VALUE"""),8883700.0)</f>
        <v>8883700</v>
      </c>
      <c r="G496" s="2">
        <f t="shared" si="1"/>
        <v>4</v>
      </c>
    </row>
    <row r="497" ht="15.75" customHeight="1">
      <c r="A497" s="1">
        <f>IFERROR(__xludf.DUMMYFUNCTION("""COMPUTED_VALUE"""),44572.66666666667)</f>
        <v>44572.66667</v>
      </c>
      <c r="B497" s="2">
        <f>IFERROR(__xludf.DUMMYFUNCTION("""COMPUTED_VALUE"""),272.0)</f>
        <v>272</v>
      </c>
      <c r="C497" s="2">
        <f>IFERROR(__xludf.DUMMYFUNCTION("""COMPUTED_VALUE"""),274.0)</f>
        <v>274</v>
      </c>
      <c r="D497" s="2">
        <f>IFERROR(__xludf.DUMMYFUNCTION("""COMPUTED_VALUE"""),266.0)</f>
        <v>266</v>
      </c>
      <c r="E497" s="2">
        <f>IFERROR(__xludf.DUMMYFUNCTION("""COMPUTED_VALUE"""),268.0)</f>
        <v>268</v>
      </c>
      <c r="F497" s="2">
        <f>IFERROR(__xludf.DUMMYFUNCTION("""COMPUTED_VALUE"""),1.63229E7)</f>
        <v>16322900</v>
      </c>
      <c r="G497" s="2">
        <f t="shared" si="1"/>
        <v>8</v>
      </c>
    </row>
    <row r="498" ht="15.75" customHeight="1">
      <c r="A498" s="1">
        <f>IFERROR(__xludf.DUMMYFUNCTION("""COMPUTED_VALUE"""),44573.66666666667)</f>
        <v>44573.66667</v>
      </c>
      <c r="B498" s="2">
        <f>IFERROR(__xludf.DUMMYFUNCTION("""COMPUTED_VALUE"""),270.0)</f>
        <v>270</v>
      </c>
      <c r="C498" s="2">
        <f>IFERROR(__xludf.DUMMYFUNCTION("""COMPUTED_VALUE"""),276.0)</f>
        <v>276</v>
      </c>
      <c r="D498" s="2">
        <f>IFERROR(__xludf.DUMMYFUNCTION("""COMPUTED_VALUE"""),254.0)</f>
        <v>254</v>
      </c>
      <c r="E498" s="2">
        <f>IFERROR(__xludf.DUMMYFUNCTION("""COMPUTED_VALUE"""),256.0)</f>
        <v>256</v>
      </c>
      <c r="F498" s="2">
        <f>IFERROR(__xludf.DUMMYFUNCTION("""COMPUTED_VALUE"""),3.09194E7)</f>
        <v>30919400</v>
      </c>
      <c r="G498" s="2">
        <f t="shared" si="1"/>
        <v>22</v>
      </c>
    </row>
    <row r="499" ht="15.75" customHeight="1">
      <c r="A499" s="1">
        <f>IFERROR(__xludf.DUMMYFUNCTION("""COMPUTED_VALUE"""),44574.66666666667)</f>
        <v>44574.66667</v>
      </c>
      <c r="B499" s="2">
        <f>IFERROR(__xludf.DUMMYFUNCTION("""COMPUTED_VALUE"""),258.0)</f>
        <v>258</v>
      </c>
      <c r="C499" s="2">
        <f>IFERROR(__xludf.DUMMYFUNCTION("""COMPUTED_VALUE"""),262.0)</f>
        <v>262</v>
      </c>
      <c r="D499" s="2">
        <f>IFERROR(__xludf.DUMMYFUNCTION("""COMPUTED_VALUE"""),256.0)</f>
        <v>256</v>
      </c>
      <c r="E499" s="2">
        <f>IFERROR(__xludf.DUMMYFUNCTION("""COMPUTED_VALUE"""),260.0)</f>
        <v>260</v>
      </c>
      <c r="F499" s="2">
        <f>IFERROR(__xludf.DUMMYFUNCTION("""COMPUTED_VALUE"""),1.36596E7)</f>
        <v>13659600</v>
      </c>
      <c r="G499" s="2">
        <f t="shared" si="1"/>
        <v>6</v>
      </c>
    </row>
    <row r="500" ht="15.75" customHeight="1">
      <c r="A500" s="1">
        <f>IFERROR(__xludf.DUMMYFUNCTION("""COMPUTED_VALUE"""),44575.66666666667)</f>
        <v>44575.66667</v>
      </c>
      <c r="B500" s="2">
        <f>IFERROR(__xludf.DUMMYFUNCTION("""COMPUTED_VALUE"""),260.0)</f>
        <v>260</v>
      </c>
      <c r="C500" s="2">
        <f>IFERROR(__xludf.DUMMYFUNCTION("""COMPUTED_VALUE"""),264.0)</f>
        <v>264</v>
      </c>
      <c r="D500" s="2">
        <f>IFERROR(__xludf.DUMMYFUNCTION("""COMPUTED_VALUE"""),256.0)</f>
        <v>256</v>
      </c>
      <c r="E500" s="2">
        <f>IFERROR(__xludf.DUMMYFUNCTION("""COMPUTED_VALUE"""),260.0)</f>
        <v>260</v>
      </c>
      <c r="F500" s="2">
        <f>IFERROR(__xludf.DUMMYFUNCTION("""COMPUTED_VALUE"""),1.15457E7)</f>
        <v>11545700</v>
      </c>
      <c r="G500" s="2">
        <f t="shared" si="1"/>
        <v>8</v>
      </c>
    </row>
    <row r="501" ht="15.75" customHeight="1">
      <c r="A501" s="1">
        <f>IFERROR(__xludf.DUMMYFUNCTION("""COMPUTED_VALUE"""),44578.66666666667)</f>
        <v>44578.66667</v>
      </c>
      <c r="B501" s="2">
        <f>IFERROR(__xludf.DUMMYFUNCTION("""COMPUTED_VALUE"""),260.0)</f>
        <v>260</v>
      </c>
      <c r="C501" s="2">
        <f>IFERROR(__xludf.DUMMYFUNCTION("""COMPUTED_VALUE"""),264.0)</f>
        <v>264</v>
      </c>
      <c r="D501" s="2">
        <f>IFERROR(__xludf.DUMMYFUNCTION("""COMPUTED_VALUE"""),254.0)</f>
        <v>254</v>
      </c>
      <c r="E501" s="2">
        <f>IFERROR(__xludf.DUMMYFUNCTION("""COMPUTED_VALUE"""),254.0)</f>
        <v>254</v>
      </c>
      <c r="F501" s="2">
        <f>IFERROR(__xludf.DUMMYFUNCTION("""COMPUTED_VALUE"""),1.33298E7)</f>
        <v>13329800</v>
      </c>
      <c r="G501" s="2">
        <f t="shared" si="1"/>
        <v>10</v>
      </c>
    </row>
    <row r="502" ht="15.75" customHeight="1">
      <c r="A502" s="1">
        <f>IFERROR(__xludf.DUMMYFUNCTION("""COMPUTED_VALUE"""),44579.66666666667)</f>
        <v>44579.66667</v>
      </c>
      <c r="B502" s="2">
        <f>IFERROR(__xludf.DUMMYFUNCTION("""COMPUTED_VALUE"""),254.0)</f>
        <v>254</v>
      </c>
      <c r="C502" s="2">
        <f>IFERROR(__xludf.DUMMYFUNCTION("""COMPUTED_VALUE"""),258.0)</f>
        <v>258</v>
      </c>
      <c r="D502" s="2">
        <f>IFERROR(__xludf.DUMMYFUNCTION("""COMPUTED_VALUE"""),250.0)</f>
        <v>250</v>
      </c>
      <c r="E502" s="2">
        <f>IFERROR(__xludf.DUMMYFUNCTION("""COMPUTED_VALUE"""),254.0)</f>
        <v>254</v>
      </c>
      <c r="F502" s="2">
        <f>IFERROR(__xludf.DUMMYFUNCTION("""COMPUTED_VALUE"""),1.9288E7)</f>
        <v>19288000</v>
      </c>
      <c r="G502" s="2">
        <f t="shared" si="1"/>
        <v>8</v>
      </c>
    </row>
    <row r="503" ht="15.75" customHeight="1">
      <c r="A503" s="1">
        <f>IFERROR(__xludf.DUMMYFUNCTION("""COMPUTED_VALUE"""),44580.66666666667)</f>
        <v>44580.66667</v>
      </c>
      <c r="B503" s="2">
        <f>IFERROR(__xludf.DUMMYFUNCTION("""COMPUTED_VALUE"""),254.0)</f>
        <v>254</v>
      </c>
      <c r="C503" s="2">
        <f>IFERROR(__xludf.DUMMYFUNCTION("""COMPUTED_VALUE"""),268.0)</f>
        <v>268</v>
      </c>
      <c r="D503" s="2">
        <f>IFERROR(__xludf.DUMMYFUNCTION("""COMPUTED_VALUE"""),254.0)</f>
        <v>254</v>
      </c>
      <c r="E503" s="2">
        <f>IFERROR(__xludf.DUMMYFUNCTION("""COMPUTED_VALUE"""),264.0)</f>
        <v>264</v>
      </c>
      <c r="F503" s="2">
        <f>IFERROR(__xludf.DUMMYFUNCTION("""COMPUTED_VALUE"""),3.89995E7)</f>
        <v>38999500</v>
      </c>
      <c r="G503" s="2">
        <f t="shared" si="1"/>
        <v>14</v>
      </c>
    </row>
    <row r="504" ht="15.75" customHeight="1">
      <c r="A504" s="1">
        <f>IFERROR(__xludf.DUMMYFUNCTION("""COMPUTED_VALUE"""),44581.66666666667)</f>
        <v>44581.66667</v>
      </c>
      <c r="B504" s="2">
        <f>IFERROR(__xludf.DUMMYFUNCTION("""COMPUTED_VALUE"""),264.0)</f>
        <v>264</v>
      </c>
      <c r="C504" s="2">
        <f>IFERROR(__xludf.DUMMYFUNCTION("""COMPUTED_VALUE"""),268.0)</f>
        <v>268</v>
      </c>
      <c r="D504" s="2">
        <f>IFERROR(__xludf.DUMMYFUNCTION("""COMPUTED_VALUE"""),262.0)</f>
        <v>262</v>
      </c>
      <c r="E504" s="2">
        <f>IFERROR(__xludf.DUMMYFUNCTION("""COMPUTED_VALUE"""),264.0)</f>
        <v>264</v>
      </c>
      <c r="F504" s="2">
        <f>IFERROR(__xludf.DUMMYFUNCTION("""COMPUTED_VALUE"""),2.32723E7)</f>
        <v>23272300</v>
      </c>
      <c r="G504" s="2">
        <f t="shared" si="1"/>
        <v>6</v>
      </c>
    </row>
    <row r="505" ht="15.75" customHeight="1">
      <c r="A505" s="1">
        <f>IFERROR(__xludf.DUMMYFUNCTION("""COMPUTED_VALUE"""),44582.66666666667)</f>
        <v>44582.66667</v>
      </c>
      <c r="B505" s="2">
        <f>IFERROR(__xludf.DUMMYFUNCTION("""COMPUTED_VALUE"""),264.0)</f>
        <v>264</v>
      </c>
      <c r="C505" s="2">
        <f>IFERROR(__xludf.DUMMYFUNCTION("""COMPUTED_VALUE"""),264.0)</f>
        <v>264</v>
      </c>
      <c r="D505" s="2">
        <f>IFERROR(__xludf.DUMMYFUNCTION("""COMPUTED_VALUE"""),258.0)</f>
        <v>258</v>
      </c>
      <c r="E505" s="2">
        <f>IFERROR(__xludf.DUMMYFUNCTION("""COMPUTED_VALUE"""),262.0)</f>
        <v>262</v>
      </c>
      <c r="F505" s="2">
        <f>IFERROR(__xludf.DUMMYFUNCTION("""COMPUTED_VALUE"""),1.13816E7)</f>
        <v>11381600</v>
      </c>
      <c r="G505" s="2">
        <f t="shared" si="1"/>
        <v>6</v>
      </c>
    </row>
    <row r="506" ht="15.75" customHeight="1">
      <c r="A506" s="1">
        <f>IFERROR(__xludf.DUMMYFUNCTION("""COMPUTED_VALUE"""),44585.66666666667)</f>
        <v>44585.66667</v>
      </c>
      <c r="B506" s="2">
        <f>IFERROR(__xludf.DUMMYFUNCTION("""COMPUTED_VALUE"""),262.0)</f>
        <v>262</v>
      </c>
      <c r="C506" s="2">
        <f>IFERROR(__xludf.DUMMYFUNCTION("""COMPUTED_VALUE"""),264.0)</f>
        <v>264</v>
      </c>
      <c r="D506" s="2">
        <f>IFERROR(__xludf.DUMMYFUNCTION("""COMPUTED_VALUE"""),258.0)</f>
        <v>258</v>
      </c>
      <c r="E506" s="2">
        <f>IFERROR(__xludf.DUMMYFUNCTION("""COMPUTED_VALUE"""),260.0)</f>
        <v>260</v>
      </c>
      <c r="F506" s="2">
        <f>IFERROR(__xludf.DUMMYFUNCTION("""COMPUTED_VALUE"""),1.20949E7)</f>
        <v>12094900</v>
      </c>
      <c r="G506" s="2">
        <f t="shared" si="1"/>
        <v>6</v>
      </c>
    </row>
    <row r="507" ht="15.75" customHeight="1">
      <c r="A507" s="1">
        <f>IFERROR(__xludf.DUMMYFUNCTION("""COMPUTED_VALUE"""),44586.66666666667)</f>
        <v>44586.66667</v>
      </c>
      <c r="B507" s="2">
        <f>IFERROR(__xludf.DUMMYFUNCTION("""COMPUTED_VALUE"""),260.0)</f>
        <v>260</v>
      </c>
      <c r="C507" s="2">
        <f>IFERROR(__xludf.DUMMYFUNCTION("""COMPUTED_VALUE"""),260.0)</f>
        <v>260</v>
      </c>
      <c r="D507" s="2">
        <f>IFERROR(__xludf.DUMMYFUNCTION("""COMPUTED_VALUE"""),252.0)</f>
        <v>252</v>
      </c>
      <c r="E507" s="2">
        <f>IFERROR(__xludf.DUMMYFUNCTION("""COMPUTED_VALUE"""),252.0)</f>
        <v>252</v>
      </c>
      <c r="F507" s="2">
        <f>IFERROR(__xludf.DUMMYFUNCTION("""COMPUTED_VALUE"""),1.17601E7)</f>
        <v>11760100</v>
      </c>
      <c r="G507" s="2">
        <f t="shared" si="1"/>
        <v>8</v>
      </c>
    </row>
    <row r="508" ht="15.75" customHeight="1">
      <c r="A508" s="1">
        <f>IFERROR(__xludf.DUMMYFUNCTION("""COMPUTED_VALUE"""),44587.66666666667)</f>
        <v>44587.66667</v>
      </c>
      <c r="B508" s="2">
        <f>IFERROR(__xludf.DUMMYFUNCTION("""COMPUTED_VALUE"""),252.0)</f>
        <v>252</v>
      </c>
      <c r="C508" s="2">
        <f>IFERROR(__xludf.DUMMYFUNCTION("""COMPUTED_VALUE"""),258.0)</f>
        <v>258</v>
      </c>
      <c r="D508" s="2">
        <f>IFERROR(__xludf.DUMMYFUNCTION("""COMPUTED_VALUE"""),252.0)</f>
        <v>252</v>
      </c>
      <c r="E508" s="2">
        <f>IFERROR(__xludf.DUMMYFUNCTION("""COMPUTED_VALUE"""),258.0)</f>
        <v>258</v>
      </c>
      <c r="F508" s="2">
        <f>IFERROR(__xludf.DUMMYFUNCTION("""COMPUTED_VALUE"""),1.06097E7)</f>
        <v>10609700</v>
      </c>
      <c r="G508" s="2">
        <f t="shared" si="1"/>
        <v>6</v>
      </c>
    </row>
    <row r="509" ht="15.75" customHeight="1">
      <c r="A509" s="1">
        <f>IFERROR(__xludf.DUMMYFUNCTION("""COMPUTED_VALUE"""),44588.66666666667)</f>
        <v>44588.66667</v>
      </c>
      <c r="B509" s="2">
        <f>IFERROR(__xludf.DUMMYFUNCTION("""COMPUTED_VALUE"""),258.0)</f>
        <v>258</v>
      </c>
      <c r="C509" s="2">
        <f>IFERROR(__xludf.DUMMYFUNCTION("""COMPUTED_VALUE"""),260.0)</f>
        <v>260</v>
      </c>
      <c r="D509" s="2">
        <f>IFERROR(__xludf.DUMMYFUNCTION("""COMPUTED_VALUE"""),252.0)</f>
        <v>252</v>
      </c>
      <c r="E509" s="2">
        <f>IFERROR(__xludf.DUMMYFUNCTION("""COMPUTED_VALUE"""),256.0)</f>
        <v>256</v>
      </c>
      <c r="F509" s="2">
        <f>IFERROR(__xludf.DUMMYFUNCTION("""COMPUTED_VALUE"""),1.05149E7)</f>
        <v>10514900</v>
      </c>
      <c r="G509" s="2">
        <f t="shared" si="1"/>
        <v>8</v>
      </c>
    </row>
    <row r="510" ht="15.75" customHeight="1">
      <c r="A510" s="1">
        <f>IFERROR(__xludf.DUMMYFUNCTION("""COMPUTED_VALUE"""),44589.66666666667)</f>
        <v>44589.66667</v>
      </c>
      <c r="B510" s="2">
        <f>IFERROR(__xludf.DUMMYFUNCTION("""COMPUTED_VALUE"""),260.0)</f>
        <v>260</v>
      </c>
      <c r="C510" s="2">
        <f>IFERROR(__xludf.DUMMYFUNCTION("""COMPUTED_VALUE"""),270.0)</f>
        <v>270</v>
      </c>
      <c r="D510" s="2">
        <f>IFERROR(__xludf.DUMMYFUNCTION("""COMPUTED_VALUE"""),256.0)</f>
        <v>256</v>
      </c>
      <c r="E510" s="2">
        <f>IFERROR(__xludf.DUMMYFUNCTION("""COMPUTED_VALUE"""),268.0)</f>
        <v>268</v>
      </c>
      <c r="F510" s="2">
        <f>IFERROR(__xludf.DUMMYFUNCTION("""COMPUTED_VALUE"""),1.99033E7)</f>
        <v>19903300</v>
      </c>
      <c r="G510" s="2">
        <f t="shared" si="1"/>
        <v>14</v>
      </c>
    </row>
    <row r="511" ht="15.75" customHeight="1">
      <c r="A511" s="1">
        <f>IFERROR(__xludf.DUMMYFUNCTION("""COMPUTED_VALUE"""),44592.66666666667)</f>
        <v>44592.66667</v>
      </c>
      <c r="B511" s="2">
        <f>IFERROR(__xludf.DUMMYFUNCTION("""COMPUTED_VALUE"""),274.0)</f>
        <v>274</v>
      </c>
      <c r="C511" s="2">
        <f>IFERROR(__xludf.DUMMYFUNCTION("""COMPUTED_VALUE"""),282.0)</f>
        <v>282</v>
      </c>
      <c r="D511" s="2">
        <f>IFERROR(__xludf.DUMMYFUNCTION("""COMPUTED_VALUE"""),268.0)</f>
        <v>268</v>
      </c>
      <c r="E511" s="2">
        <f>IFERROR(__xludf.DUMMYFUNCTION("""COMPUTED_VALUE"""),276.0)</f>
        <v>276</v>
      </c>
      <c r="F511" s="2">
        <f>IFERROR(__xludf.DUMMYFUNCTION("""COMPUTED_VALUE"""),5.54601E7)</f>
        <v>55460100</v>
      </c>
      <c r="G511" s="2">
        <f t="shared" si="1"/>
        <v>14</v>
      </c>
    </row>
    <row r="512" ht="15.75" customHeight="1">
      <c r="A512" s="1">
        <f>IFERROR(__xludf.DUMMYFUNCTION("""COMPUTED_VALUE"""),44594.66666666667)</f>
        <v>44594.66667</v>
      </c>
      <c r="B512" s="2">
        <f>IFERROR(__xludf.DUMMYFUNCTION("""COMPUTED_VALUE"""),276.0)</f>
        <v>276</v>
      </c>
      <c r="C512" s="2">
        <f>IFERROR(__xludf.DUMMYFUNCTION("""COMPUTED_VALUE"""),282.0)</f>
        <v>282</v>
      </c>
      <c r="D512" s="2">
        <f>IFERROR(__xludf.DUMMYFUNCTION("""COMPUTED_VALUE"""),276.0)</f>
        <v>276</v>
      </c>
      <c r="E512" s="2">
        <f>IFERROR(__xludf.DUMMYFUNCTION("""COMPUTED_VALUE"""),276.0)</f>
        <v>276</v>
      </c>
      <c r="F512" s="2">
        <f>IFERROR(__xludf.DUMMYFUNCTION("""COMPUTED_VALUE"""),1.76971E7)</f>
        <v>17697100</v>
      </c>
      <c r="G512" s="2">
        <f t="shared" si="1"/>
        <v>6</v>
      </c>
    </row>
    <row r="513" ht="15.75" customHeight="1">
      <c r="A513" s="1">
        <f>IFERROR(__xludf.DUMMYFUNCTION("""COMPUTED_VALUE"""),44595.66666666667)</f>
        <v>44595.66667</v>
      </c>
      <c r="B513" s="2">
        <f>IFERROR(__xludf.DUMMYFUNCTION("""COMPUTED_VALUE"""),276.0)</f>
        <v>276</v>
      </c>
      <c r="C513" s="2">
        <f>IFERROR(__xludf.DUMMYFUNCTION("""COMPUTED_VALUE"""),286.0)</f>
        <v>286</v>
      </c>
      <c r="D513" s="2">
        <f>IFERROR(__xludf.DUMMYFUNCTION("""COMPUTED_VALUE"""),272.0)</f>
        <v>272</v>
      </c>
      <c r="E513" s="2">
        <f>IFERROR(__xludf.DUMMYFUNCTION("""COMPUTED_VALUE"""),282.0)</f>
        <v>282</v>
      </c>
      <c r="F513" s="2">
        <f>IFERROR(__xludf.DUMMYFUNCTION("""COMPUTED_VALUE"""),3.05064E7)</f>
        <v>30506400</v>
      </c>
      <c r="G513" s="2">
        <f t="shared" si="1"/>
        <v>14</v>
      </c>
    </row>
    <row r="514" ht="15.75" customHeight="1">
      <c r="A514" s="1">
        <f>IFERROR(__xludf.DUMMYFUNCTION("""COMPUTED_VALUE"""),44596.66666666667)</f>
        <v>44596.66667</v>
      </c>
      <c r="B514" s="2">
        <f>IFERROR(__xludf.DUMMYFUNCTION("""COMPUTED_VALUE"""),288.0)</f>
        <v>288</v>
      </c>
      <c r="C514" s="2">
        <f>IFERROR(__xludf.DUMMYFUNCTION("""COMPUTED_VALUE"""),288.0)</f>
        <v>288</v>
      </c>
      <c r="D514" s="2">
        <f>IFERROR(__xludf.DUMMYFUNCTION("""COMPUTED_VALUE"""),278.0)</f>
        <v>278</v>
      </c>
      <c r="E514" s="2">
        <f>IFERROR(__xludf.DUMMYFUNCTION("""COMPUTED_VALUE"""),278.0)</f>
        <v>278</v>
      </c>
      <c r="F514" s="2">
        <f>IFERROR(__xludf.DUMMYFUNCTION("""COMPUTED_VALUE"""),1.80315E7)</f>
        <v>18031500</v>
      </c>
      <c r="G514" s="2">
        <f t="shared" si="1"/>
        <v>10</v>
      </c>
    </row>
    <row r="515" ht="15.75" customHeight="1">
      <c r="A515" s="1">
        <f>IFERROR(__xludf.DUMMYFUNCTION("""COMPUTED_VALUE"""),44599.66666666667)</f>
        <v>44599.66667</v>
      </c>
      <c r="B515" s="2">
        <f>IFERROR(__xludf.DUMMYFUNCTION("""COMPUTED_VALUE"""),282.0)</f>
        <v>282</v>
      </c>
      <c r="C515" s="2">
        <f>IFERROR(__xludf.DUMMYFUNCTION("""COMPUTED_VALUE"""),286.0)</f>
        <v>286</v>
      </c>
      <c r="D515" s="2">
        <f>IFERROR(__xludf.DUMMYFUNCTION("""COMPUTED_VALUE"""),276.0)</f>
        <v>276</v>
      </c>
      <c r="E515" s="2">
        <f>IFERROR(__xludf.DUMMYFUNCTION("""COMPUTED_VALUE"""),282.0)</f>
        <v>282</v>
      </c>
      <c r="F515" s="2">
        <f>IFERROR(__xludf.DUMMYFUNCTION("""COMPUTED_VALUE"""),4.03979E7)</f>
        <v>40397900</v>
      </c>
      <c r="G515" s="2">
        <f t="shared" si="1"/>
        <v>10</v>
      </c>
    </row>
    <row r="516" ht="15.75" customHeight="1">
      <c r="A516" s="1">
        <f>IFERROR(__xludf.DUMMYFUNCTION("""COMPUTED_VALUE"""),44600.66666666667)</f>
        <v>44600.66667</v>
      </c>
      <c r="B516" s="2">
        <f>IFERROR(__xludf.DUMMYFUNCTION("""COMPUTED_VALUE"""),282.0)</f>
        <v>282</v>
      </c>
      <c r="C516" s="2">
        <f>IFERROR(__xludf.DUMMYFUNCTION("""COMPUTED_VALUE"""),286.0)</f>
        <v>286</v>
      </c>
      <c r="D516" s="2">
        <f>IFERROR(__xludf.DUMMYFUNCTION("""COMPUTED_VALUE"""),278.0)</f>
        <v>278</v>
      </c>
      <c r="E516" s="2">
        <f>IFERROR(__xludf.DUMMYFUNCTION("""COMPUTED_VALUE"""),284.0)</f>
        <v>284</v>
      </c>
      <c r="F516" s="2">
        <f>IFERROR(__xludf.DUMMYFUNCTION("""COMPUTED_VALUE"""),2.06398E7)</f>
        <v>20639800</v>
      </c>
      <c r="G516" s="2">
        <f t="shared" si="1"/>
        <v>8</v>
      </c>
    </row>
    <row r="517" ht="15.75" customHeight="1">
      <c r="A517" s="1">
        <f>IFERROR(__xludf.DUMMYFUNCTION("""COMPUTED_VALUE"""),44601.66666666667)</f>
        <v>44601.66667</v>
      </c>
      <c r="B517" s="2">
        <f>IFERROR(__xludf.DUMMYFUNCTION("""COMPUTED_VALUE"""),284.0)</f>
        <v>284</v>
      </c>
      <c r="C517" s="2">
        <f>IFERROR(__xludf.DUMMYFUNCTION("""COMPUTED_VALUE"""),284.0)</f>
        <v>284</v>
      </c>
      <c r="D517" s="2">
        <f>IFERROR(__xludf.DUMMYFUNCTION("""COMPUTED_VALUE"""),280.0)</f>
        <v>280</v>
      </c>
      <c r="E517" s="2">
        <f>IFERROR(__xludf.DUMMYFUNCTION("""COMPUTED_VALUE"""),282.0)</f>
        <v>282</v>
      </c>
      <c r="F517" s="2">
        <f>IFERROR(__xludf.DUMMYFUNCTION("""COMPUTED_VALUE"""),1.5112E7)</f>
        <v>15112000</v>
      </c>
      <c r="G517" s="2">
        <f t="shared" si="1"/>
        <v>4</v>
      </c>
    </row>
    <row r="518" ht="15.75" customHeight="1">
      <c r="A518" s="1">
        <f>IFERROR(__xludf.DUMMYFUNCTION("""COMPUTED_VALUE"""),44602.66666666667)</f>
        <v>44602.66667</v>
      </c>
      <c r="B518" s="2">
        <f>IFERROR(__xludf.DUMMYFUNCTION("""COMPUTED_VALUE"""),284.0)</f>
        <v>284</v>
      </c>
      <c r="C518" s="2">
        <f>IFERROR(__xludf.DUMMYFUNCTION("""COMPUTED_VALUE"""),288.0)</f>
        <v>288</v>
      </c>
      <c r="D518" s="2">
        <f>IFERROR(__xludf.DUMMYFUNCTION("""COMPUTED_VALUE"""),280.0)</f>
        <v>280</v>
      </c>
      <c r="E518" s="2">
        <f>IFERROR(__xludf.DUMMYFUNCTION("""COMPUTED_VALUE"""),282.0)</f>
        <v>282</v>
      </c>
      <c r="F518" s="2">
        <f>IFERROR(__xludf.DUMMYFUNCTION("""COMPUTED_VALUE"""),1.98496E7)</f>
        <v>19849600</v>
      </c>
      <c r="G518" s="2">
        <f t="shared" si="1"/>
        <v>8</v>
      </c>
    </row>
    <row r="519" ht="15.75" customHeight="1">
      <c r="A519" s="1">
        <f>IFERROR(__xludf.DUMMYFUNCTION("""COMPUTED_VALUE"""),44603.66666666667)</f>
        <v>44603.66667</v>
      </c>
      <c r="B519" s="2">
        <f>IFERROR(__xludf.DUMMYFUNCTION("""COMPUTED_VALUE"""),282.0)</f>
        <v>282</v>
      </c>
      <c r="C519" s="2">
        <f>IFERROR(__xludf.DUMMYFUNCTION("""COMPUTED_VALUE"""),282.0)</f>
        <v>282</v>
      </c>
      <c r="D519" s="2">
        <f>IFERROR(__xludf.DUMMYFUNCTION("""COMPUTED_VALUE"""),276.0)</f>
        <v>276</v>
      </c>
      <c r="E519" s="2">
        <f>IFERROR(__xludf.DUMMYFUNCTION("""COMPUTED_VALUE"""),280.0)</f>
        <v>280</v>
      </c>
      <c r="F519" s="2">
        <f>IFERROR(__xludf.DUMMYFUNCTION("""COMPUTED_VALUE"""),1.56986E7)</f>
        <v>15698600</v>
      </c>
      <c r="G519" s="2">
        <f t="shared" si="1"/>
        <v>6</v>
      </c>
    </row>
    <row r="520" ht="15.75" customHeight="1">
      <c r="A520" s="1">
        <f>IFERROR(__xludf.DUMMYFUNCTION("""COMPUTED_VALUE"""),44606.66666666667)</f>
        <v>44606.66667</v>
      </c>
      <c r="B520" s="2">
        <f>IFERROR(__xludf.DUMMYFUNCTION("""COMPUTED_VALUE"""),284.0)</f>
        <v>284</v>
      </c>
      <c r="C520" s="2">
        <f>IFERROR(__xludf.DUMMYFUNCTION("""COMPUTED_VALUE"""),304.0)</f>
        <v>304</v>
      </c>
      <c r="D520" s="2">
        <f>IFERROR(__xludf.DUMMYFUNCTION("""COMPUTED_VALUE"""),280.0)</f>
        <v>280</v>
      </c>
      <c r="E520" s="2">
        <f>IFERROR(__xludf.DUMMYFUNCTION("""COMPUTED_VALUE"""),302.0)</f>
        <v>302</v>
      </c>
      <c r="F520" s="2">
        <f>IFERROR(__xludf.DUMMYFUNCTION("""COMPUTED_VALUE"""),1.935028E8)</f>
        <v>193502800</v>
      </c>
      <c r="G520" s="2">
        <f t="shared" si="1"/>
        <v>24</v>
      </c>
    </row>
    <row r="521" ht="15.75" customHeight="1">
      <c r="A521" s="1">
        <f>IFERROR(__xludf.DUMMYFUNCTION("""COMPUTED_VALUE"""),44607.66666666667)</f>
        <v>44607.66667</v>
      </c>
      <c r="B521" s="2">
        <f>IFERROR(__xludf.DUMMYFUNCTION("""COMPUTED_VALUE"""),304.0)</f>
        <v>304</v>
      </c>
      <c r="C521" s="2">
        <f>IFERROR(__xludf.DUMMYFUNCTION("""COMPUTED_VALUE"""),308.0)</f>
        <v>308</v>
      </c>
      <c r="D521" s="2">
        <f>IFERROR(__xludf.DUMMYFUNCTION("""COMPUTED_VALUE"""),296.0)</f>
        <v>296</v>
      </c>
      <c r="E521" s="2">
        <f>IFERROR(__xludf.DUMMYFUNCTION("""COMPUTED_VALUE"""),296.0)</f>
        <v>296</v>
      </c>
      <c r="F521" s="2">
        <f>IFERROR(__xludf.DUMMYFUNCTION("""COMPUTED_VALUE"""),8.23051E7)</f>
        <v>82305100</v>
      </c>
      <c r="G521" s="2">
        <f t="shared" si="1"/>
        <v>12</v>
      </c>
    </row>
    <row r="522" ht="15.75" customHeight="1">
      <c r="A522" s="1">
        <f>IFERROR(__xludf.DUMMYFUNCTION("""COMPUTED_VALUE"""),44608.66666666667)</f>
        <v>44608.66667</v>
      </c>
      <c r="B522" s="2">
        <f>IFERROR(__xludf.DUMMYFUNCTION("""COMPUTED_VALUE"""),296.0)</f>
        <v>296</v>
      </c>
      <c r="C522" s="2">
        <f>IFERROR(__xludf.DUMMYFUNCTION("""COMPUTED_VALUE"""),296.0)</f>
        <v>296</v>
      </c>
      <c r="D522" s="2">
        <f>IFERROR(__xludf.DUMMYFUNCTION("""COMPUTED_VALUE"""),284.0)</f>
        <v>284</v>
      </c>
      <c r="E522" s="2">
        <f>IFERROR(__xludf.DUMMYFUNCTION("""COMPUTED_VALUE"""),286.0)</f>
        <v>286</v>
      </c>
      <c r="F522" s="2">
        <f>IFERROR(__xludf.DUMMYFUNCTION("""COMPUTED_VALUE"""),7.46934E7)</f>
        <v>74693400</v>
      </c>
      <c r="G522" s="2">
        <f t="shared" si="1"/>
        <v>12</v>
      </c>
    </row>
    <row r="523" ht="15.75" customHeight="1">
      <c r="A523" s="1">
        <f>IFERROR(__xludf.DUMMYFUNCTION("""COMPUTED_VALUE"""),44609.66666666667)</f>
        <v>44609.66667</v>
      </c>
      <c r="B523" s="2">
        <f>IFERROR(__xludf.DUMMYFUNCTION("""COMPUTED_VALUE"""),288.0)</f>
        <v>288</v>
      </c>
      <c r="C523" s="2">
        <f>IFERROR(__xludf.DUMMYFUNCTION("""COMPUTED_VALUE"""),298.0)</f>
        <v>298</v>
      </c>
      <c r="D523" s="2">
        <f>IFERROR(__xludf.DUMMYFUNCTION("""COMPUTED_VALUE"""),286.0)</f>
        <v>286</v>
      </c>
      <c r="E523" s="2">
        <f>IFERROR(__xludf.DUMMYFUNCTION("""COMPUTED_VALUE"""),292.0)</f>
        <v>292</v>
      </c>
      <c r="F523" s="2">
        <f>IFERROR(__xludf.DUMMYFUNCTION("""COMPUTED_VALUE"""),7.182E7)</f>
        <v>71820000</v>
      </c>
      <c r="G523" s="2">
        <f t="shared" si="1"/>
        <v>12</v>
      </c>
    </row>
    <row r="524" ht="15.75" customHeight="1">
      <c r="A524" s="1">
        <f>IFERROR(__xludf.DUMMYFUNCTION("""COMPUTED_VALUE"""),44610.66666666667)</f>
        <v>44610.66667</v>
      </c>
      <c r="B524" s="2">
        <f>IFERROR(__xludf.DUMMYFUNCTION("""COMPUTED_VALUE"""),292.0)</f>
        <v>292</v>
      </c>
      <c r="C524" s="2">
        <f>IFERROR(__xludf.DUMMYFUNCTION("""COMPUTED_VALUE"""),294.0)</f>
        <v>294</v>
      </c>
      <c r="D524" s="2">
        <f>IFERROR(__xludf.DUMMYFUNCTION("""COMPUTED_VALUE"""),288.0)</f>
        <v>288</v>
      </c>
      <c r="E524" s="2">
        <f>IFERROR(__xludf.DUMMYFUNCTION("""COMPUTED_VALUE"""),290.0)</f>
        <v>290</v>
      </c>
      <c r="F524" s="2">
        <f>IFERROR(__xludf.DUMMYFUNCTION("""COMPUTED_VALUE"""),3.41132E7)</f>
        <v>34113200</v>
      </c>
      <c r="G524" s="2">
        <f t="shared" si="1"/>
        <v>6</v>
      </c>
    </row>
    <row r="525" ht="15.75" customHeight="1">
      <c r="A525" s="1">
        <f>IFERROR(__xludf.DUMMYFUNCTION("""COMPUTED_VALUE"""),44613.66666666667)</f>
        <v>44613.66667</v>
      </c>
      <c r="B525" s="2">
        <f>IFERROR(__xludf.DUMMYFUNCTION("""COMPUTED_VALUE"""),292.0)</f>
        <v>292</v>
      </c>
      <c r="C525" s="2">
        <f>IFERROR(__xludf.DUMMYFUNCTION("""COMPUTED_VALUE"""),294.0)</f>
        <v>294</v>
      </c>
      <c r="D525" s="2">
        <f>IFERROR(__xludf.DUMMYFUNCTION("""COMPUTED_VALUE"""),288.0)</f>
        <v>288</v>
      </c>
      <c r="E525" s="2">
        <f>IFERROR(__xludf.DUMMYFUNCTION("""COMPUTED_VALUE"""),292.0)</f>
        <v>292</v>
      </c>
      <c r="F525" s="2">
        <f>IFERROR(__xludf.DUMMYFUNCTION("""COMPUTED_VALUE"""),2.18528E7)</f>
        <v>21852800</v>
      </c>
      <c r="G525" s="2">
        <f t="shared" si="1"/>
        <v>6</v>
      </c>
    </row>
    <row r="526" ht="15.75" customHeight="1">
      <c r="A526" s="1">
        <f>IFERROR(__xludf.DUMMYFUNCTION("""COMPUTED_VALUE"""),44614.66666666667)</f>
        <v>44614.66667</v>
      </c>
      <c r="B526" s="2">
        <f>IFERROR(__xludf.DUMMYFUNCTION("""COMPUTED_VALUE"""),294.0)</f>
        <v>294</v>
      </c>
      <c r="C526" s="2">
        <f>IFERROR(__xludf.DUMMYFUNCTION("""COMPUTED_VALUE"""),300.0)</f>
        <v>300</v>
      </c>
      <c r="D526" s="2">
        <f>IFERROR(__xludf.DUMMYFUNCTION("""COMPUTED_VALUE"""),292.0)</f>
        <v>292</v>
      </c>
      <c r="E526" s="2">
        <f>IFERROR(__xludf.DUMMYFUNCTION("""COMPUTED_VALUE"""),298.0)</f>
        <v>298</v>
      </c>
      <c r="F526" s="2">
        <f>IFERROR(__xludf.DUMMYFUNCTION("""COMPUTED_VALUE"""),6.44735E7)</f>
        <v>64473500</v>
      </c>
      <c r="G526" s="2">
        <f t="shared" si="1"/>
        <v>8</v>
      </c>
    </row>
    <row r="527" ht="15.75" customHeight="1">
      <c r="A527" s="1">
        <f>IFERROR(__xludf.DUMMYFUNCTION("""COMPUTED_VALUE"""),44615.66666666667)</f>
        <v>44615.66667</v>
      </c>
      <c r="B527" s="2">
        <f>IFERROR(__xludf.DUMMYFUNCTION("""COMPUTED_VALUE"""),300.0)</f>
        <v>300</v>
      </c>
      <c r="C527" s="2">
        <f>IFERROR(__xludf.DUMMYFUNCTION("""COMPUTED_VALUE"""),302.0)</f>
        <v>302</v>
      </c>
      <c r="D527" s="2">
        <f>IFERROR(__xludf.DUMMYFUNCTION("""COMPUTED_VALUE"""),292.0)</f>
        <v>292</v>
      </c>
      <c r="E527" s="2">
        <f>IFERROR(__xludf.DUMMYFUNCTION("""COMPUTED_VALUE"""),292.0)</f>
        <v>292</v>
      </c>
      <c r="F527" s="2">
        <f>IFERROR(__xludf.DUMMYFUNCTION("""COMPUTED_VALUE"""),6.30145E7)</f>
        <v>63014500</v>
      </c>
      <c r="G527" s="2">
        <f t="shared" si="1"/>
        <v>10</v>
      </c>
    </row>
    <row r="528" ht="15.75" customHeight="1">
      <c r="A528" s="1">
        <f>IFERROR(__xludf.DUMMYFUNCTION("""COMPUTED_VALUE"""),44616.66666666667)</f>
        <v>44616.66667</v>
      </c>
      <c r="B528" s="2">
        <f>IFERROR(__xludf.DUMMYFUNCTION("""COMPUTED_VALUE"""),292.0)</f>
        <v>292</v>
      </c>
      <c r="C528" s="2">
        <f>IFERROR(__xludf.DUMMYFUNCTION("""COMPUTED_VALUE"""),342.0)</f>
        <v>342</v>
      </c>
      <c r="D528" s="2">
        <f>IFERROR(__xludf.DUMMYFUNCTION("""COMPUTED_VALUE"""),290.0)</f>
        <v>290</v>
      </c>
      <c r="E528" s="2">
        <f>IFERROR(__xludf.DUMMYFUNCTION("""COMPUTED_VALUE"""),328.0)</f>
        <v>328</v>
      </c>
      <c r="F528" s="2">
        <f>IFERROR(__xludf.DUMMYFUNCTION("""COMPUTED_VALUE"""),1.0099871E9)</f>
        <v>1009987100</v>
      </c>
      <c r="G528" s="2">
        <f t="shared" si="1"/>
        <v>52</v>
      </c>
    </row>
    <row r="529" ht="15.75" customHeight="1">
      <c r="A529" s="1">
        <f>IFERROR(__xludf.DUMMYFUNCTION("""COMPUTED_VALUE"""),44617.66666666667)</f>
        <v>44617.66667</v>
      </c>
      <c r="B529" s="2">
        <f>IFERROR(__xludf.DUMMYFUNCTION("""COMPUTED_VALUE"""),330.0)</f>
        <v>330</v>
      </c>
      <c r="C529" s="2">
        <f>IFERROR(__xludf.DUMMYFUNCTION("""COMPUTED_VALUE"""),332.0)</f>
        <v>332</v>
      </c>
      <c r="D529" s="2">
        <f>IFERROR(__xludf.DUMMYFUNCTION("""COMPUTED_VALUE"""),308.0)</f>
        <v>308</v>
      </c>
      <c r="E529" s="2">
        <f>IFERROR(__xludf.DUMMYFUNCTION("""COMPUTED_VALUE"""),312.0)</f>
        <v>312</v>
      </c>
      <c r="F529" s="2">
        <f>IFERROR(__xludf.DUMMYFUNCTION("""COMPUTED_VALUE"""),3.073188E8)</f>
        <v>307318800</v>
      </c>
      <c r="G529" s="2">
        <f t="shared" si="1"/>
        <v>24</v>
      </c>
    </row>
    <row r="530" ht="15.75" customHeight="1">
      <c r="A530" s="1">
        <f>IFERROR(__xludf.DUMMYFUNCTION("""COMPUTED_VALUE"""),44621.66666666667)</f>
        <v>44621.66667</v>
      </c>
      <c r="B530" s="2">
        <f>IFERROR(__xludf.DUMMYFUNCTION("""COMPUTED_VALUE"""),316.0)</f>
        <v>316</v>
      </c>
      <c r="C530" s="2">
        <f>IFERROR(__xludf.DUMMYFUNCTION("""COMPUTED_VALUE"""),326.0)</f>
        <v>326</v>
      </c>
      <c r="D530" s="2">
        <f>IFERROR(__xludf.DUMMYFUNCTION("""COMPUTED_VALUE"""),314.0)</f>
        <v>314</v>
      </c>
      <c r="E530" s="2">
        <f>IFERROR(__xludf.DUMMYFUNCTION("""COMPUTED_VALUE"""),316.0)</f>
        <v>316</v>
      </c>
      <c r="F530" s="2">
        <f>IFERROR(__xludf.DUMMYFUNCTION("""COMPUTED_VALUE"""),1.079848E8)</f>
        <v>107984800</v>
      </c>
      <c r="G530" s="2">
        <f t="shared" si="1"/>
        <v>14</v>
      </c>
    </row>
    <row r="531" ht="15.75" customHeight="1">
      <c r="A531" s="1">
        <f>IFERROR(__xludf.DUMMYFUNCTION("""COMPUTED_VALUE"""),44622.66666666667)</f>
        <v>44622.66667</v>
      </c>
      <c r="B531" s="2">
        <f>IFERROR(__xludf.DUMMYFUNCTION("""COMPUTED_VALUE"""),330.0)</f>
        <v>330</v>
      </c>
      <c r="C531" s="2">
        <f>IFERROR(__xludf.DUMMYFUNCTION("""COMPUTED_VALUE"""),338.0)</f>
        <v>338</v>
      </c>
      <c r="D531" s="2">
        <f>IFERROR(__xludf.DUMMYFUNCTION("""COMPUTED_VALUE"""),320.0)</f>
        <v>320</v>
      </c>
      <c r="E531" s="2">
        <f>IFERROR(__xludf.DUMMYFUNCTION("""COMPUTED_VALUE"""),328.0)</f>
        <v>328</v>
      </c>
      <c r="F531" s="2">
        <f>IFERROR(__xludf.DUMMYFUNCTION("""COMPUTED_VALUE"""),2.855841E8)</f>
        <v>285584100</v>
      </c>
      <c r="G531" s="2">
        <f t="shared" si="1"/>
        <v>22</v>
      </c>
    </row>
    <row r="532" ht="15.75" customHeight="1">
      <c r="A532" s="1">
        <f>IFERROR(__xludf.DUMMYFUNCTION("""COMPUTED_VALUE"""),44624.66666666667)</f>
        <v>44624.66667</v>
      </c>
      <c r="B532" s="2">
        <f>IFERROR(__xludf.DUMMYFUNCTION("""COMPUTED_VALUE"""),328.0)</f>
        <v>328</v>
      </c>
      <c r="C532" s="2">
        <f>IFERROR(__xludf.DUMMYFUNCTION("""COMPUTED_VALUE"""),332.0)</f>
        <v>332</v>
      </c>
      <c r="D532" s="2">
        <f>IFERROR(__xludf.DUMMYFUNCTION("""COMPUTED_VALUE"""),318.0)</f>
        <v>318</v>
      </c>
      <c r="E532" s="2">
        <f>IFERROR(__xludf.DUMMYFUNCTION("""COMPUTED_VALUE"""),322.0)</f>
        <v>322</v>
      </c>
      <c r="F532" s="2">
        <f>IFERROR(__xludf.DUMMYFUNCTION("""COMPUTED_VALUE"""),1.467212E8)</f>
        <v>146721200</v>
      </c>
      <c r="G532" s="2">
        <f t="shared" si="1"/>
        <v>14</v>
      </c>
    </row>
    <row r="533" ht="15.75" customHeight="1">
      <c r="A533" s="1">
        <f>IFERROR(__xludf.DUMMYFUNCTION("""COMPUTED_VALUE"""),44627.66666666667)</f>
        <v>44627.66667</v>
      </c>
      <c r="B533" s="2">
        <f>IFERROR(__xludf.DUMMYFUNCTION("""COMPUTED_VALUE"""),330.0)</f>
        <v>330</v>
      </c>
      <c r="C533" s="2">
        <f>IFERROR(__xludf.DUMMYFUNCTION("""COMPUTED_VALUE"""),350.0)</f>
        <v>350</v>
      </c>
      <c r="D533" s="2">
        <f>IFERROR(__xludf.DUMMYFUNCTION("""COMPUTED_VALUE"""),330.0)</f>
        <v>330</v>
      </c>
      <c r="E533" s="2">
        <f>IFERROR(__xludf.DUMMYFUNCTION("""COMPUTED_VALUE"""),348.0)</f>
        <v>348</v>
      </c>
      <c r="F533" s="2">
        <f>IFERROR(__xludf.DUMMYFUNCTION("""COMPUTED_VALUE"""),4.972964E8)</f>
        <v>497296400</v>
      </c>
      <c r="G533" s="2">
        <f t="shared" si="1"/>
        <v>28</v>
      </c>
    </row>
    <row r="534" ht="15.75" customHeight="1">
      <c r="A534" s="1">
        <f>IFERROR(__xludf.DUMMYFUNCTION("""COMPUTED_VALUE"""),44628.66666666667)</f>
        <v>44628.66667</v>
      </c>
      <c r="B534" s="2">
        <f>IFERROR(__xludf.DUMMYFUNCTION("""COMPUTED_VALUE"""),360.0)</f>
        <v>360</v>
      </c>
      <c r="C534" s="2">
        <f>IFERROR(__xludf.DUMMYFUNCTION("""COMPUTED_VALUE"""),360.0)</f>
        <v>360</v>
      </c>
      <c r="D534" s="2">
        <f>IFERROR(__xludf.DUMMYFUNCTION("""COMPUTED_VALUE"""),326.0)</f>
        <v>326</v>
      </c>
      <c r="E534" s="2">
        <f>IFERROR(__xludf.DUMMYFUNCTION("""COMPUTED_VALUE"""),326.0)</f>
        <v>326</v>
      </c>
      <c r="F534" s="2">
        <f>IFERROR(__xludf.DUMMYFUNCTION("""COMPUTED_VALUE"""),2.521154E8)</f>
        <v>252115400</v>
      </c>
      <c r="G534" s="2">
        <f t="shared" si="1"/>
        <v>34</v>
      </c>
    </row>
    <row r="535" ht="15.75" customHeight="1">
      <c r="A535" s="1">
        <f>IFERROR(__xludf.DUMMYFUNCTION("""COMPUTED_VALUE"""),44629.66666666667)</f>
        <v>44629.66667</v>
      </c>
      <c r="B535" s="2">
        <f>IFERROR(__xludf.DUMMYFUNCTION("""COMPUTED_VALUE"""),326.0)</f>
        <v>326</v>
      </c>
      <c r="C535" s="2">
        <f>IFERROR(__xludf.DUMMYFUNCTION("""COMPUTED_VALUE"""),338.0)</f>
        <v>338</v>
      </c>
      <c r="D535" s="2">
        <f>IFERROR(__xludf.DUMMYFUNCTION("""COMPUTED_VALUE"""),322.0)</f>
        <v>322</v>
      </c>
      <c r="E535" s="2">
        <f>IFERROR(__xludf.DUMMYFUNCTION("""COMPUTED_VALUE"""),326.0)</f>
        <v>326</v>
      </c>
      <c r="F535" s="2">
        <f>IFERROR(__xludf.DUMMYFUNCTION("""COMPUTED_VALUE"""),1.437646E8)</f>
        <v>143764600</v>
      </c>
      <c r="G535" s="2">
        <f t="shared" si="1"/>
        <v>16</v>
      </c>
    </row>
    <row r="536" ht="15.75" customHeight="1">
      <c r="A536" s="1">
        <f>IFERROR(__xludf.DUMMYFUNCTION("""COMPUTED_VALUE"""),44630.66666666667)</f>
        <v>44630.66667</v>
      </c>
      <c r="B536" s="2">
        <f>IFERROR(__xludf.DUMMYFUNCTION("""COMPUTED_VALUE"""),308.0)</f>
        <v>308</v>
      </c>
      <c r="C536" s="2">
        <f>IFERROR(__xludf.DUMMYFUNCTION("""COMPUTED_VALUE"""),322.0)</f>
        <v>322</v>
      </c>
      <c r="D536" s="2">
        <f>IFERROR(__xludf.DUMMYFUNCTION("""COMPUTED_VALUE"""),304.0)</f>
        <v>304</v>
      </c>
      <c r="E536" s="2">
        <f>IFERROR(__xludf.DUMMYFUNCTION("""COMPUTED_VALUE"""),306.0)</f>
        <v>306</v>
      </c>
      <c r="F536" s="2">
        <f>IFERROR(__xludf.DUMMYFUNCTION("""COMPUTED_VALUE"""),1.911897E8)</f>
        <v>191189700</v>
      </c>
      <c r="G536" s="2">
        <f t="shared" si="1"/>
        <v>22</v>
      </c>
    </row>
    <row r="537" ht="15.75" customHeight="1">
      <c r="A537" s="1">
        <f>IFERROR(__xludf.DUMMYFUNCTION("""COMPUTED_VALUE"""),44631.66666666667)</f>
        <v>44631.66667</v>
      </c>
      <c r="B537" s="2">
        <f>IFERROR(__xludf.DUMMYFUNCTION("""COMPUTED_VALUE"""),304.0)</f>
        <v>304</v>
      </c>
      <c r="C537" s="2">
        <f>IFERROR(__xludf.DUMMYFUNCTION("""COMPUTED_VALUE"""),314.0)</f>
        <v>314</v>
      </c>
      <c r="D537" s="2">
        <f>IFERROR(__xludf.DUMMYFUNCTION("""COMPUTED_VALUE"""),296.0)</f>
        <v>296</v>
      </c>
      <c r="E537" s="2">
        <f>IFERROR(__xludf.DUMMYFUNCTION("""COMPUTED_VALUE"""),304.0)</f>
        <v>304</v>
      </c>
      <c r="F537" s="2">
        <f>IFERROR(__xludf.DUMMYFUNCTION("""COMPUTED_VALUE"""),9.84081E7)</f>
        <v>98408100</v>
      </c>
      <c r="G537" s="2">
        <f t="shared" si="1"/>
        <v>18</v>
      </c>
    </row>
    <row r="538" ht="15.75" customHeight="1">
      <c r="A538" s="1">
        <f>IFERROR(__xludf.DUMMYFUNCTION("""COMPUTED_VALUE"""),44634.66666666667)</f>
        <v>44634.66667</v>
      </c>
      <c r="B538" s="2">
        <f>IFERROR(__xludf.DUMMYFUNCTION("""COMPUTED_VALUE"""),304.0)</f>
        <v>304</v>
      </c>
      <c r="C538" s="2">
        <f>IFERROR(__xludf.DUMMYFUNCTION("""COMPUTED_VALUE"""),306.0)</f>
        <v>306</v>
      </c>
      <c r="D538" s="2">
        <f>IFERROR(__xludf.DUMMYFUNCTION("""COMPUTED_VALUE"""),284.0)</f>
        <v>284</v>
      </c>
      <c r="E538" s="2">
        <f>IFERROR(__xludf.DUMMYFUNCTION("""COMPUTED_VALUE"""),286.0)</f>
        <v>286</v>
      </c>
      <c r="F538" s="2">
        <f>IFERROR(__xludf.DUMMYFUNCTION("""COMPUTED_VALUE"""),1.256111E8)</f>
        <v>125611100</v>
      </c>
      <c r="G538" s="2">
        <f t="shared" si="1"/>
        <v>22</v>
      </c>
    </row>
    <row r="539" ht="15.75" customHeight="1">
      <c r="A539" s="1">
        <f>IFERROR(__xludf.DUMMYFUNCTION("""COMPUTED_VALUE"""),44635.66666666667)</f>
        <v>44635.66667</v>
      </c>
      <c r="B539" s="2">
        <f>IFERROR(__xludf.DUMMYFUNCTION("""COMPUTED_VALUE"""),288.0)</f>
        <v>288</v>
      </c>
      <c r="C539" s="2">
        <f>IFERROR(__xludf.DUMMYFUNCTION("""COMPUTED_VALUE"""),288.0)</f>
        <v>288</v>
      </c>
      <c r="D539" s="2">
        <f>IFERROR(__xludf.DUMMYFUNCTION("""COMPUTED_VALUE"""),272.0)</f>
        <v>272</v>
      </c>
      <c r="E539" s="2">
        <f>IFERROR(__xludf.DUMMYFUNCTION("""COMPUTED_VALUE"""),284.0)</f>
        <v>284</v>
      </c>
      <c r="F539" s="2">
        <f>IFERROR(__xludf.DUMMYFUNCTION("""COMPUTED_VALUE"""),9.09425E7)</f>
        <v>90942500</v>
      </c>
      <c r="G539" s="2">
        <f t="shared" si="1"/>
        <v>16</v>
      </c>
    </row>
    <row r="540" ht="15.75" customHeight="1">
      <c r="A540" s="1">
        <f>IFERROR(__xludf.DUMMYFUNCTION("""COMPUTED_VALUE"""),44636.66666666667)</f>
        <v>44636.66667</v>
      </c>
      <c r="B540" s="2">
        <f>IFERROR(__xludf.DUMMYFUNCTION("""COMPUTED_VALUE"""),284.0)</f>
        <v>284</v>
      </c>
      <c r="C540" s="2">
        <f>IFERROR(__xludf.DUMMYFUNCTION("""COMPUTED_VALUE"""),294.0)</f>
        <v>294</v>
      </c>
      <c r="D540" s="2">
        <f>IFERROR(__xludf.DUMMYFUNCTION("""COMPUTED_VALUE"""),280.0)</f>
        <v>280</v>
      </c>
      <c r="E540" s="2">
        <f>IFERROR(__xludf.DUMMYFUNCTION("""COMPUTED_VALUE"""),292.0)</f>
        <v>292</v>
      </c>
      <c r="F540" s="2">
        <f>IFERROR(__xludf.DUMMYFUNCTION("""COMPUTED_VALUE"""),6.34813E7)</f>
        <v>63481300</v>
      </c>
      <c r="G540" s="2">
        <f t="shared" si="1"/>
        <v>14</v>
      </c>
    </row>
    <row r="541" ht="15.75" customHeight="1">
      <c r="A541" s="1">
        <f>IFERROR(__xludf.DUMMYFUNCTION("""COMPUTED_VALUE"""),44637.66666666667)</f>
        <v>44637.66667</v>
      </c>
      <c r="B541" s="2">
        <f>IFERROR(__xludf.DUMMYFUNCTION("""COMPUTED_VALUE"""),294.0)</f>
        <v>294</v>
      </c>
      <c r="C541" s="2">
        <f>IFERROR(__xludf.DUMMYFUNCTION("""COMPUTED_VALUE"""),302.0)</f>
        <v>302</v>
      </c>
      <c r="D541" s="2">
        <f>IFERROR(__xludf.DUMMYFUNCTION("""COMPUTED_VALUE"""),288.0)</f>
        <v>288</v>
      </c>
      <c r="E541" s="2">
        <f>IFERROR(__xludf.DUMMYFUNCTION("""COMPUTED_VALUE"""),300.0)</f>
        <v>300</v>
      </c>
      <c r="F541" s="2">
        <f>IFERROR(__xludf.DUMMYFUNCTION("""COMPUTED_VALUE"""),5.47874E7)</f>
        <v>54787400</v>
      </c>
      <c r="G541" s="2">
        <f t="shared" si="1"/>
        <v>14</v>
      </c>
    </row>
    <row r="542" ht="15.75" customHeight="1">
      <c r="A542" s="1">
        <f>IFERROR(__xludf.DUMMYFUNCTION("""COMPUTED_VALUE"""),44638.66666666667)</f>
        <v>44638.66667</v>
      </c>
      <c r="B542" s="2">
        <f>IFERROR(__xludf.DUMMYFUNCTION("""COMPUTED_VALUE"""),308.0)</f>
        <v>308</v>
      </c>
      <c r="C542" s="2">
        <f>IFERROR(__xludf.DUMMYFUNCTION("""COMPUTED_VALUE"""),320.0)</f>
        <v>320</v>
      </c>
      <c r="D542" s="2">
        <f>IFERROR(__xludf.DUMMYFUNCTION("""COMPUTED_VALUE"""),302.0)</f>
        <v>302</v>
      </c>
      <c r="E542" s="2">
        <f>IFERROR(__xludf.DUMMYFUNCTION("""COMPUTED_VALUE"""),306.0)</f>
        <v>306</v>
      </c>
      <c r="F542" s="2">
        <f>IFERROR(__xludf.DUMMYFUNCTION("""COMPUTED_VALUE"""),1.088874E8)</f>
        <v>108887400</v>
      </c>
      <c r="G542" s="2">
        <f t="shared" si="1"/>
        <v>20</v>
      </c>
    </row>
    <row r="543" ht="15.75" customHeight="1">
      <c r="A543" s="1">
        <f>IFERROR(__xludf.DUMMYFUNCTION("""COMPUTED_VALUE"""),44641.66666666667)</f>
        <v>44641.66667</v>
      </c>
      <c r="B543" s="2">
        <f>IFERROR(__xludf.DUMMYFUNCTION("""COMPUTED_VALUE"""),306.0)</f>
        <v>306</v>
      </c>
      <c r="C543" s="2">
        <f>IFERROR(__xludf.DUMMYFUNCTION("""COMPUTED_VALUE"""),310.0)</f>
        <v>310</v>
      </c>
      <c r="D543" s="2">
        <f>IFERROR(__xludf.DUMMYFUNCTION("""COMPUTED_VALUE"""),300.0)</f>
        <v>300</v>
      </c>
      <c r="E543" s="2">
        <f>IFERROR(__xludf.DUMMYFUNCTION("""COMPUTED_VALUE"""),306.0)</f>
        <v>306</v>
      </c>
      <c r="F543" s="2">
        <f>IFERROR(__xludf.DUMMYFUNCTION("""COMPUTED_VALUE"""),4.94255E7)</f>
        <v>49425500</v>
      </c>
      <c r="G543" s="2">
        <f t="shared" si="1"/>
        <v>10</v>
      </c>
    </row>
    <row r="544" ht="15.75" customHeight="1">
      <c r="A544" s="1">
        <f>IFERROR(__xludf.DUMMYFUNCTION("""COMPUTED_VALUE"""),44642.66666666667)</f>
        <v>44642.66667</v>
      </c>
      <c r="B544" s="2">
        <f>IFERROR(__xludf.DUMMYFUNCTION("""COMPUTED_VALUE"""),310.0)</f>
        <v>310</v>
      </c>
      <c r="C544" s="2">
        <f>IFERROR(__xludf.DUMMYFUNCTION("""COMPUTED_VALUE"""),314.0)</f>
        <v>314</v>
      </c>
      <c r="D544" s="2">
        <f>IFERROR(__xludf.DUMMYFUNCTION("""COMPUTED_VALUE"""),308.0)</f>
        <v>308</v>
      </c>
      <c r="E544" s="2">
        <f>IFERROR(__xludf.DUMMYFUNCTION("""COMPUTED_VALUE"""),310.0)</f>
        <v>310</v>
      </c>
      <c r="F544" s="2">
        <f>IFERROR(__xludf.DUMMYFUNCTION("""COMPUTED_VALUE"""),7.80126E7)</f>
        <v>78012600</v>
      </c>
      <c r="G544" s="2">
        <f t="shared" si="1"/>
        <v>8</v>
      </c>
    </row>
    <row r="545" ht="15.75" customHeight="1">
      <c r="A545" s="1">
        <f>IFERROR(__xludf.DUMMYFUNCTION("""COMPUTED_VALUE"""),44643.66666666667)</f>
        <v>44643.66667</v>
      </c>
      <c r="B545" s="2">
        <f>IFERROR(__xludf.DUMMYFUNCTION("""COMPUTED_VALUE"""),310.0)</f>
        <v>310</v>
      </c>
      <c r="C545" s="2">
        <f>IFERROR(__xludf.DUMMYFUNCTION("""COMPUTED_VALUE"""),312.0)</f>
        <v>312</v>
      </c>
      <c r="D545" s="2">
        <f>IFERROR(__xludf.DUMMYFUNCTION("""COMPUTED_VALUE"""),304.0)</f>
        <v>304</v>
      </c>
      <c r="E545" s="2">
        <f>IFERROR(__xludf.DUMMYFUNCTION("""COMPUTED_VALUE"""),306.0)</f>
        <v>306</v>
      </c>
      <c r="F545" s="2">
        <f>IFERROR(__xludf.DUMMYFUNCTION("""COMPUTED_VALUE"""),2.76546E7)</f>
        <v>27654600</v>
      </c>
      <c r="G545" s="2">
        <f t="shared" si="1"/>
        <v>8</v>
      </c>
    </row>
    <row r="546" ht="15.75" customHeight="1">
      <c r="A546" s="1">
        <f>IFERROR(__xludf.DUMMYFUNCTION("""COMPUTED_VALUE"""),44644.66666666667)</f>
        <v>44644.66667</v>
      </c>
      <c r="B546" s="2">
        <f>IFERROR(__xludf.DUMMYFUNCTION("""COMPUTED_VALUE"""),310.0)</f>
        <v>310</v>
      </c>
      <c r="C546" s="2">
        <f>IFERROR(__xludf.DUMMYFUNCTION("""COMPUTED_VALUE"""),312.0)</f>
        <v>312</v>
      </c>
      <c r="D546" s="2">
        <f>IFERROR(__xludf.DUMMYFUNCTION("""COMPUTED_VALUE"""),304.0)</f>
        <v>304</v>
      </c>
      <c r="E546" s="2">
        <f>IFERROR(__xludf.DUMMYFUNCTION("""COMPUTED_VALUE"""),308.0)</f>
        <v>308</v>
      </c>
      <c r="F546" s="2">
        <f>IFERROR(__xludf.DUMMYFUNCTION("""COMPUTED_VALUE"""),4.32168E7)</f>
        <v>43216800</v>
      </c>
      <c r="G546" s="2">
        <f t="shared" si="1"/>
        <v>8</v>
      </c>
    </row>
    <row r="547" ht="15.75" customHeight="1">
      <c r="A547" s="1">
        <f>IFERROR(__xludf.DUMMYFUNCTION("""COMPUTED_VALUE"""),44645.66666666667)</f>
        <v>44645.66667</v>
      </c>
      <c r="B547" s="2">
        <f>IFERROR(__xludf.DUMMYFUNCTION("""COMPUTED_VALUE"""),308.0)</f>
        <v>308</v>
      </c>
      <c r="C547" s="2">
        <f>IFERROR(__xludf.DUMMYFUNCTION("""COMPUTED_VALUE"""),308.0)</f>
        <v>308</v>
      </c>
      <c r="D547" s="2">
        <f>IFERROR(__xludf.DUMMYFUNCTION("""COMPUTED_VALUE"""),300.0)</f>
        <v>300</v>
      </c>
      <c r="E547" s="2">
        <f>IFERROR(__xludf.DUMMYFUNCTION("""COMPUTED_VALUE"""),300.0)</f>
        <v>300</v>
      </c>
      <c r="F547" s="2">
        <f>IFERROR(__xludf.DUMMYFUNCTION("""COMPUTED_VALUE"""),3.01691E7)</f>
        <v>30169100</v>
      </c>
      <c r="G547" s="2">
        <f t="shared" si="1"/>
        <v>8</v>
      </c>
    </row>
    <row r="548" ht="15.75" customHeight="1">
      <c r="A548" s="1">
        <f>IFERROR(__xludf.DUMMYFUNCTION("""COMPUTED_VALUE"""),44648.66666666667)</f>
        <v>44648.66667</v>
      </c>
      <c r="B548" s="2">
        <f>IFERROR(__xludf.DUMMYFUNCTION("""COMPUTED_VALUE"""),302.0)</f>
        <v>302</v>
      </c>
      <c r="C548" s="2">
        <f>IFERROR(__xludf.DUMMYFUNCTION("""COMPUTED_VALUE"""),308.0)</f>
        <v>308</v>
      </c>
      <c r="D548" s="2">
        <f>IFERROR(__xludf.DUMMYFUNCTION("""COMPUTED_VALUE"""),298.0)</f>
        <v>298</v>
      </c>
      <c r="E548" s="2">
        <f>IFERROR(__xludf.DUMMYFUNCTION("""COMPUTED_VALUE"""),300.0)</f>
        <v>300</v>
      </c>
      <c r="F548" s="2">
        <f>IFERROR(__xludf.DUMMYFUNCTION("""COMPUTED_VALUE"""),5.41221E7)</f>
        <v>54122100</v>
      </c>
      <c r="G548" s="2">
        <f t="shared" si="1"/>
        <v>10</v>
      </c>
    </row>
    <row r="549" ht="15.75" customHeight="1">
      <c r="A549" s="1">
        <f>IFERROR(__xludf.DUMMYFUNCTION("""COMPUTED_VALUE"""),44649.66666666667)</f>
        <v>44649.66667</v>
      </c>
      <c r="B549" s="2">
        <f>IFERROR(__xludf.DUMMYFUNCTION("""COMPUTED_VALUE"""),298.0)</f>
        <v>298</v>
      </c>
      <c r="C549" s="2">
        <f>IFERROR(__xludf.DUMMYFUNCTION("""COMPUTED_VALUE"""),300.0)</f>
        <v>300</v>
      </c>
      <c r="D549" s="2">
        <f>IFERROR(__xludf.DUMMYFUNCTION("""COMPUTED_VALUE"""),292.0)</f>
        <v>292</v>
      </c>
      <c r="E549" s="2">
        <f>IFERROR(__xludf.DUMMYFUNCTION("""COMPUTED_VALUE"""),294.0)</f>
        <v>294</v>
      </c>
      <c r="F549" s="2">
        <f>IFERROR(__xludf.DUMMYFUNCTION("""COMPUTED_VALUE"""),3.88536E7)</f>
        <v>38853600</v>
      </c>
      <c r="G549" s="2">
        <f t="shared" si="1"/>
        <v>8</v>
      </c>
    </row>
    <row r="550" ht="15.75" customHeight="1">
      <c r="A550" s="1">
        <f>IFERROR(__xludf.DUMMYFUNCTION("""COMPUTED_VALUE"""),44650.66666666667)</f>
        <v>44650.66667</v>
      </c>
      <c r="B550" s="2">
        <f>IFERROR(__xludf.DUMMYFUNCTION("""COMPUTED_VALUE"""),294.0)</f>
        <v>294</v>
      </c>
      <c r="C550" s="2">
        <f>IFERROR(__xludf.DUMMYFUNCTION("""COMPUTED_VALUE"""),298.0)</f>
        <v>298</v>
      </c>
      <c r="D550" s="2">
        <f>IFERROR(__xludf.DUMMYFUNCTION("""COMPUTED_VALUE"""),290.0)</f>
        <v>290</v>
      </c>
      <c r="E550" s="2">
        <f>IFERROR(__xludf.DUMMYFUNCTION("""COMPUTED_VALUE"""),292.0)</f>
        <v>292</v>
      </c>
      <c r="F550" s="2">
        <f>IFERROR(__xludf.DUMMYFUNCTION("""COMPUTED_VALUE"""),4.09111E7)</f>
        <v>40911100</v>
      </c>
      <c r="G550" s="2">
        <f t="shared" si="1"/>
        <v>8</v>
      </c>
    </row>
    <row r="551" ht="15.75" customHeight="1">
      <c r="A551" s="1">
        <f>IFERROR(__xludf.DUMMYFUNCTION("""COMPUTED_VALUE"""),44651.66666666667)</f>
        <v>44651.66667</v>
      </c>
      <c r="B551" s="2">
        <f>IFERROR(__xludf.DUMMYFUNCTION("""COMPUTED_VALUE"""),292.0)</f>
        <v>292</v>
      </c>
      <c r="C551" s="2">
        <f>IFERROR(__xludf.DUMMYFUNCTION("""COMPUTED_VALUE"""),296.0)</f>
        <v>296</v>
      </c>
      <c r="D551" s="2">
        <f>IFERROR(__xludf.DUMMYFUNCTION("""COMPUTED_VALUE"""),290.0)</f>
        <v>290</v>
      </c>
      <c r="E551" s="2">
        <f>IFERROR(__xludf.DUMMYFUNCTION("""COMPUTED_VALUE"""),294.0)</f>
        <v>294</v>
      </c>
      <c r="F551" s="2">
        <f>IFERROR(__xludf.DUMMYFUNCTION("""COMPUTED_VALUE"""),2.73635E7)</f>
        <v>27363500</v>
      </c>
      <c r="G551" s="2">
        <f t="shared" si="1"/>
        <v>6</v>
      </c>
    </row>
    <row r="552" ht="15.75" customHeight="1">
      <c r="A552" s="1">
        <f>IFERROR(__xludf.DUMMYFUNCTION("""COMPUTED_VALUE"""),44652.66666666667)</f>
        <v>44652.66667</v>
      </c>
      <c r="B552" s="2">
        <f>IFERROR(__xludf.DUMMYFUNCTION("""COMPUTED_VALUE"""),296.0)</f>
        <v>296</v>
      </c>
      <c r="C552" s="2">
        <f>IFERROR(__xludf.DUMMYFUNCTION("""COMPUTED_VALUE"""),298.0)</f>
        <v>298</v>
      </c>
      <c r="D552" s="2">
        <f>IFERROR(__xludf.DUMMYFUNCTION("""COMPUTED_VALUE"""),292.0)</f>
        <v>292</v>
      </c>
      <c r="E552" s="2">
        <f>IFERROR(__xludf.DUMMYFUNCTION("""COMPUTED_VALUE"""),292.0)</f>
        <v>292</v>
      </c>
      <c r="F552" s="2">
        <f>IFERROR(__xludf.DUMMYFUNCTION("""COMPUTED_VALUE"""),1.80056E7)</f>
        <v>18005600</v>
      </c>
      <c r="G552" s="2">
        <f t="shared" si="1"/>
        <v>6</v>
      </c>
    </row>
    <row r="553" ht="15.75" customHeight="1">
      <c r="A553" s="1">
        <f>IFERROR(__xludf.DUMMYFUNCTION("""COMPUTED_VALUE"""),44655.66666666667)</f>
        <v>44655.66667</v>
      </c>
      <c r="B553" s="2">
        <f>IFERROR(__xludf.DUMMYFUNCTION("""COMPUTED_VALUE"""),292.0)</f>
        <v>292</v>
      </c>
      <c r="C553" s="2">
        <f>IFERROR(__xludf.DUMMYFUNCTION("""COMPUTED_VALUE"""),296.0)</f>
        <v>296</v>
      </c>
      <c r="D553" s="2">
        <f>IFERROR(__xludf.DUMMYFUNCTION("""COMPUTED_VALUE"""),290.0)</f>
        <v>290</v>
      </c>
      <c r="E553" s="2">
        <f>IFERROR(__xludf.DUMMYFUNCTION("""COMPUTED_VALUE"""),290.0)</f>
        <v>290</v>
      </c>
      <c r="F553" s="2">
        <f>IFERROR(__xludf.DUMMYFUNCTION("""COMPUTED_VALUE"""),2.39276E7)</f>
        <v>23927600</v>
      </c>
      <c r="G553" s="2">
        <f t="shared" si="1"/>
        <v>6</v>
      </c>
    </row>
    <row r="554" ht="15.75" customHeight="1">
      <c r="A554" s="1">
        <f>IFERROR(__xludf.DUMMYFUNCTION("""COMPUTED_VALUE"""),44656.66666666667)</f>
        <v>44656.66667</v>
      </c>
      <c r="B554" s="2">
        <f>IFERROR(__xludf.DUMMYFUNCTION("""COMPUTED_VALUE"""),294.0)</f>
        <v>294</v>
      </c>
      <c r="C554" s="2">
        <f>IFERROR(__xludf.DUMMYFUNCTION("""COMPUTED_VALUE"""),300.0)</f>
        <v>300</v>
      </c>
      <c r="D554" s="2">
        <f>IFERROR(__xludf.DUMMYFUNCTION("""COMPUTED_VALUE"""),292.0)</f>
        <v>292</v>
      </c>
      <c r="E554" s="2">
        <f>IFERROR(__xludf.DUMMYFUNCTION("""COMPUTED_VALUE"""),296.0)</f>
        <v>296</v>
      </c>
      <c r="F554" s="2">
        <f>IFERROR(__xludf.DUMMYFUNCTION("""COMPUTED_VALUE"""),4.68661E7)</f>
        <v>46866100</v>
      </c>
      <c r="G554" s="2">
        <f t="shared" si="1"/>
        <v>10</v>
      </c>
    </row>
    <row r="555" ht="15.75" customHeight="1">
      <c r="A555" s="1">
        <f>IFERROR(__xludf.DUMMYFUNCTION("""COMPUTED_VALUE"""),44657.66666666667)</f>
        <v>44657.66667</v>
      </c>
      <c r="B555" s="2">
        <f>IFERROR(__xludf.DUMMYFUNCTION("""COMPUTED_VALUE"""),296.0)</f>
        <v>296</v>
      </c>
      <c r="C555" s="2">
        <f>IFERROR(__xludf.DUMMYFUNCTION("""COMPUTED_VALUE"""),304.0)</f>
        <v>304</v>
      </c>
      <c r="D555" s="2">
        <f>IFERROR(__xludf.DUMMYFUNCTION("""COMPUTED_VALUE"""),294.0)</f>
        <v>294</v>
      </c>
      <c r="E555" s="2">
        <f>IFERROR(__xludf.DUMMYFUNCTION("""COMPUTED_VALUE"""),298.0)</f>
        <v>298</v>
      </c>
      <c r="F555" s="2">
        <f>IFERROR(__xludf.DUMMYFUNCTION("""COMPUTED_VALUE"""),7.70081E7)</f>
        <v>77008100</v>
      </c>
      <c r="G555" s="2">
        <f t="shared" si="1"/>
        <v>10</v>
      </c>
    </row>
    <row r="556" ht="15.75" customHeight="1">
      <c r="A556" s="1">
        <f>IFERROR(__xludf.DUMMYFUNCTION("""COMPUTED_VALUE"""),44658.66666666667)</f>
        <v>44658.66667</v>
      </c>
      <c r="B556" s="2">
        <f>IFERROR(__xludf.DUMMYFUNCTION("""COMPUTED_VALUE"""),298.0)</f>
        <v>298</v>
      </c>
      <c r="C556" s="2">
        <f>IFERROR(__xludf.DUMMYFUNCTION("""COMPUTED_VALUE"""),300.0)</f>
        <v>300</v>
      </c>
      <c r="D556" s="2">
        <f>IFERROR(__xludf.DUMMYFUNCTION("""COMPUTED_VALUE"""),294.0)</f>
        <v>294</v>
      </c>
      <c r="E556" s="2">
        <f>IFERROR(__xludf.DUMMYFUNCTION("""COMPUTED_VALUE"""),298.0)</f>
        <v>298</v>
      </c>
      <c r="F556" s="2">
        <f>IFERROR(__xludf.DUMMYFUNCTION("""COMPUTED_VALUE"""),2.49408E7)</f>
        <v>24940800</v>
      </c>
      <c r="G556" s="2">
        <f t="shared" si="1"/>
        <v>6</v>
      </c>
    </row>
    <row r="557" ht="15.75" customHeight="1">
      <c r="A557" s="1">
        <f>IFERROR(__xludf.DUMMYFUNCTION("""COMPUTED_VALUE"""),44659.66666666667)</f>
        <v>44659.66667</v>
      </c>
      <c r="B557" s="2">
        <f>IFERROR(__xludf.DUMMYFUNCTION("""COMPUTED_VALUE"""),298.0)</f>
        <v>298</v>
      </c>
      <c r="C557" s="2">
        <f>IFERROR(__xludf.DUMMYFUNCTION("""COMPUTED_VALUE"""),302.0)</f>
        <v>302</v>
      </c>
      <c r="D557" s="2">
        <f>IFERROR(__xludf.DUMMYFUNCTION("""COMPUTED_VALUE"""),298.0)</f>
        <v>298</v>
      </c>
      <c r="E557" s="2">
        <f>IFERROR(__xludf.DUMMYFUNCTION("""COMPUTED_VALUE"""),300.0)</f>
        <v>300</v>
      </c>
      <c r="F557" s="2">
        <f>IFERROR(__xludf.DUMMYFUNCTION("""COMPUTED_VALUE"""),3.49257E7)</f>
        <v>34925700</v>
      </c>
      <c r="G557" s="2">
        <f t="shared" si="1"/>
        <v>4</v>
      </c>
    </row>
    <row r="558" ht="15.75" customHeight="1">
      <c r="A558" s="1">
        <f>IFERROR(__xludf.DUMMYFUNCTION("""COMPUTED_VALUE"""),44662.66666666667)</f>
        <v>44662.66667</v>
      </c>
      <c r="B558" s="2">
        <f>IFERROR(__xludf.DUMMYFUNCTION("""COMPUTED_VALUE"""),302.0)</f>
        <v>302</v>
      </c>
      <c r="C558" s="2">
        <f>IFERROR(__xludf.DUMMYFUNCTION("""COMPUTED_VALUE"""),304.0)</f>
        <v>304</v>
      </c>
      <c r="D558" s="2">
        <f>IFERROR(__xludf.DUMMYFUNCTION("""COMPUTED_VALUE"""),290.0)</f>
        <v>290</v>
      </c>
      <c r="E558" s="2">
        <f>IFERROR(__xludf.DUMMYFUNCTION("""COMPUTED_VALUE"""),290.0)</f>
        <v>290</v>
      </c>
      <c r="F558" s="2">
        <f>IFERROR(__xludf.DUMMYFUNCTION("""COMPUTED_VALUE"""),4.86777E7)</f>
        <v>48677700</v>
      </c>
      <c r="G558" s="2">
        <f t="shared" si="1"/>
        <v>14</v>
      </c>
    </row>
    <row r="559" ht="15.75" customHeight="1">
      <c r="A559" s="1">
        <f>IFERROR(__xludf.DUMMYFUNCTION("""COMPUTED_VALUE"""),44663.66666666667)</f>
        <v>44663.66667</v>
      </c>
      <c r="B559" s="2">
        <f>IFERROR(__xludf.DUMMYFUNCTION("""COMPUTED_VALUE"""),296.0)</f>
        <v>296</v>
      </c>
      <c r="C559" s="2">
        <f>IFERROR(__xludf.DUMMYFUNCTION("""COMPUTED_VALUE"""),296.0)</f>
        <v>296</v>
      </c>
      <c r="D559" s="2">
        <f>IFERROR(__xludf.DUMMYFUNCTION("""COMPUTED_VALUE"""),280.0)</f>
        <v>280</v>
      </c>
      <c r="E559" s="2">
        <f>IFERROR(__xludf.DUMMYFUNCTION("""COMPUTED_VALUE"""),284.0)</f>
        <v>284</v>
      </c>
      <c r="F559" s="2">
        <f>IFERROR(__xludf.DUMMYFUNCTION("""COMPUTED_VALUE"""),5.89588E7)</f>
        <v>58958800</v>
      </c>
      <c r="G559" s="2">
        <f t="shared" si="1"/>
        <v>16</v>
      </c>
    </row>
    <row r="560" ht="15.75" customHeight="1">
      <c r="A560" s="1">
        <f>IFERROR(__xludf.DUMMYFUNCTION("""COMPUTED_VALUE"""),44664.66666666667)</f>
        <v>44664.66667</v>
      </c>
      <c r="B560" s="2">
        <f>IFERROR(__xludf.DUMMYFUNCTION("""COMPUTED_VALUE"""),288.0)</f>
        <v>288</v>
      </c>
      <c r="C560" s="2">
        <f>IFERROR(__xludf.DUMMYFUNCTION("""COMPUTED_VALUE"""),294.0)</f>
        <v>294</v>
      </c>
      <c r="D560" s="2">
        <f>IFERROR(__xludf.DUMMYFUNCTION("""COMPUTED_VALUE"""),286.0)</f>
        <v>286</v>
      </c>
      <c r="E560" s="2">
        <f>IFERROR(__xludf.DUMMYFUNCTION("""COMPUTED_VALUE"""),286.0)</f>
        <v>286</v>
      </c>
      <c r="F560" s="2">
        <f>IFERROR(__xludf.DUMMYFUNCTION("""COMPUTED_VALUE"""),3.44929E7)</f>
        <v>34492900</v>
      </c>
      <c r="G560" s="2">
        <f t="shared" si="1"/>
        <v>10</v>
      </c>
    </row>
    <row r="561" ht="15.75" customHeight="1">
      <c r="A561" s="1">
        <f>IFERROR(__xludf.DUMMYFUNCTION("""COMPUTED_VALUE"""),44665.66666666667)</f>
        <v>44665.66667</v>
      </c>
      <c r="B561" s="2">
        <f>IFERROR(__xludf.DUMMYFUNCTION("""COMPUTED_VALUE"""),290.0)</f>
        <v>290</v>
      </c>
      <c r="C561" s="2">
        <f>IFERROR(__xludf.DUMMYFUNCTION("""COMPUTED_VALUE"""),296.0)</f>
        <v>296</v>
      </c>
      <c r="D561" s="2">
        <f>IFERROR(__xludf.DUMMYFUNCTION("""COMPUTED_VALUE"""),286.0)</f>
        <v>286</v>
      </c>
      <c r="E561" s="2">
        <f>IFERROR(__xludf.DUMMYFUNCTION("""COMPUTED_VALUE"""),288.0)</f>
        <v>288</v>
      </c>
      <c r="F561" s="2">
        <f>IFERROR(__xludf.DUMMYFUNCTION("""COMPUTED_VALUE"""),2.22196E7)</f>
        <v>22219600</v>
      </c>
      <c r="G561" s="2">
        <f t="shared" si="1"/>
        <v>10</v>
      </c>
    </row>
    <row r="562" ht="15.75" customHeight="1">
      <c r="A562" s="1">
        <f>IFERROR(__xludf.DUMMYFUNCTION("""COMPUTED_VALUE"""),44669.66666666667)</f>
        <v>44669.66667</v>
      </c>
      <c r="B562" s="2">
        <f>IFERROR(__xludf.DUMMYFUNCTION("""COMPUTED_VALUE"""),290.0)</f>
        <v>290</v>
      </c>
      <c r="C562" s="2">
        <f>IFERROR(__xludf.DUMMYFUNCTION("""COMPUTED_VALUE"""),302.0)</f>
        <v>302</v>
      </c>
      <c r="D562" s="2">
        <f>IFERROR(__xludf.DUMMYFUNCTION("""COMPUTED_VALUE"""),288.0)</f>
        <v>288</v>
      </c>
      <c r="E562" s="2">
        <f>IFERROR(__xludf.DUMMYFUNCTION("""COMPUTED_VALUE"""),300.0)</f>
        <v>300</v>
      </c>
      <c r="F562" s="2">
        <f>IFERROR(__xludf.DUMMYFUNCTION("""COMPUTED_VALUE"""),7.1042E7)</f>
        <v>71042000</v>
      </c>
      <c r="G562" s="2">
        <f t="shared" si="1"/>
        <v>14</v>
      </c>
    </row>
    <row r="563" ht="15.75" customHeight="1">
      <c r="A563" s="1">
        <f>IFERROR(__xludf.DUMMYFUNCTION("""COMPUTED_VALUE"""),44670.66666666667)</f>
        <v>44670.66667</v>
      </c>
      <c r="B563" s="2">
        <f>IFERROR(__xludf.DUMMYFUNCTION("""COMPUTED_VALUE"""),300.0)</f>
        <v>300</v>
      </c>
      <c r="C563" s="2">
        <f>IFERROR(__xludf.DUMMYFUNCTION("""COMPUTED_VALUE"""),304.0)</f>
        <v>304</v>
      </c>
      <c r="D563" s="2">
        <f>IFERROR(__xludf.DUMMYFUNCTION("""COMPUTED_VALUE"""),296.0)</f>
        <v>296</v>
      </c>
      <c r="E563" s="2">
        <f>IFERROR(__xludf.DUMMYFUNCTION("""COMPUTED_VALUE"""),300.0)</f>
        <v>300</v>
      </c>
      <c r="F563" s="2">
        <f>IFERROR(__xludf.DUMMYFUNCTION("""COMPUTED_VALUE"""),6.88142E7)</f>
        <v>68814200</v>
      </c>
      <c r="G563" s="2">
        <f t="shared" si="1"/>
        <v>8</v>
      </c>
    </row>
    <row r="564" ht="15.75" customHeight="1">
      <c r="A564" s="1">
        <f>IFERROR(__xludf.DUMMYFUNCTION("""COMPUTED_VALUE"""),44671.66666666667)</f>
        <v>44671.66667</v>
      </c>
      <c r="B564" s="2">
        <f>IFERROR(__xludf.DUMMYFUNCTION("""COMPUTED_VALUE"""),294.0)</f>
        <v>294</v>
      </c>
      <c r="C564" s="2">
        <f>IFERROR(__xludf.DUMMYFUNCTION("""COMPUTED_VALUE"""),298.0)</f>
        <v>298</v>
      </c>
      <c r="D564" s="2">
        <f>IFERROR(__xludf.DUMMYFUNCTION("""COMPUTED_VALUE"""),292.0)</f>
        <v>292</v>
      </c>
      <c r="E564" s="2">
        <f>IFERROR(__xludf.DUMMYFUNCTION("""COMPUTED_VALUE"""),294.0)</f>
        <v>294</v>
      </c>
      <c r="F564" s="2">
        <f>IFERROR(__xludf.DUMMYFUNCTION("""COMPUTED_VALUE"""),3.15113E7)</f>
        <v>31511300</v>
      </c>
      <c r="G564" s="2">
        <f t="shared" si="1"/>
        <v>8</v>
      </c>
    </row>
    <row r="565" ht="15.75" customHeight="1">
      <c r="A565" s="1">
        <f>IFERROR(__xludf.DUMMYFUNCTION("""COMPUTED_VALUE"""),44672.66666666667)</f>
        <v>44672.66667</v>
      </c>
      <c r="B565" s="2">
        <f>IFERROR(__xludf.DUMMYFUNCTION("""COMPUTED_VALUE"""),294.0)</f>
        <v>294</v>
      </c>
      <c r="C565" s="2">
        <f>IFERROR(__xludf.DUMMYFUNCTION("""COMPUTED_VALUE"""),304.0)</f>
        <v>304</v>
      </c>
      <c r="D565" s="2">
        <f>IFERROR(__xludf.DUMMYFUNCTION("""COMPUTED_VALUE"""),292.0)</f>
        <v>292</v>
      </c>
      <c r="E565" s="2">
        <f>IFERROR(__xludf.DUMMYFUNCTION("""COMPUTED_VALUE"""),296.0)</f>
        <v>296</v>
      </c>
      <c r="F565" s="2">
        <f>IFERROR(__xludf.DUMMYFUNCTION("""COMPUTED_VALUE"""),4.67638E7)</f>
        <v>46763800</v>
      </c>
      <c r="G565" s="2">
        <f t="shared" si="1"/>
        <v>12</v>
      </c>
    </row>
    <row r="566" ht="15.75" customHeight="1">
      <c r="A566" s="1">
        <f>IFERROR(__xludf.DUMMYFUNCTION("""COMPUTED_VALUE"""),44673.66666666667)</f>
        <v>44673.66667</v>
      </c>
      <c r="B566" s="2">
        <f>IFERROR(__xludf.DUMMYFUNCTION("""COMPUTED_VALUE"""),298.0)</f>
        <v>298</v>
      </c>
      <c r="C566" s="2">
        <f>IFERROR(__xludf.DUMMYFUNCTION("""COMPUTED_VALUE"""),298.0)</f>
        <v>298</v>
      </c>
      <c r="D566" s="2">
        <f>IFERROR(__xludf.DUMMYFUNCTION("""COMPUTED_VALUE"""),290.0)</f>
        <v>290</v>
      </c>
      <c r="E566" s="2">
        <f>IFERROR(__xludf.DUMMYFUNCTION("""COMPUTED_VALUE"""),292.0)</f>
        <v>292</v>
      </c>
      <c r="F566" s="2">
        <f>IFERROR(__xludf.DUMMYFUNCTION("""COMPUTED_VALUE"""),2.54151E7)</f>
        <v>25415100</v>
      </c>
      <c r="G566" s="2">
        <f t="shared" si="1"/>
        <v>8</v>
      </c>
    </row>
    <row r="567" ht="15.75" customHeight="1">
      <c r="A567" s="1">
        <f>IFERROR(__xludf.DUMMYFUNCTION("""COMPUTED_VALUE"""),44676.66666666667)</f>
        <v>44676.66667</v>
      </c>
      <c r="B567" s="2">
        <f>IFERROR(__xludf.DUMMYFUNCTION("""COMPUTED_VALUE"""),286.0)</f>
        <v>286</v>
      </c>
      <c r="C567" s="2">
        <f>IFERROR(__xludf.DUMMYFUNCTION("""COMPUTED_VALUE"""),290.0)</f>
        <v>290</v>
      </c>
      <c r="D567" s="2">
        <f>IFERROR(__xludf.DUMMYFUNCTION("""COMPUTED_VALUE"""),282.0)</f>
        <v>282</v>
      </c>
      <c r="E567" s="2">
        <f>IFERROR(__xludf.DUMMYFUNCTION("""COMPUTED_VALUE"""),284.0)</f>
        <v>284</v>
      </c>
      <c r="F567" s="2">
        <f>IFERROR(__xludf.DUMMYFUNCTION("""COMPUTED_VALUE"""),3.00412E7)</f>
        <v>30041200</v>
      </c>
      <c r="G567" s="2">
        <f t="shared" si="1"/>
        <v>10</v>
      </c>
    </row>
    <row r="568" ht="15.75" customHeight="1">
      <c r="A568" s="1">
        <f>IFERROR(__xludf.DUMMYFUNCTION("""COMPUTED_VALUE"""),44677.66666666667)</f>
        <v>44677.66667</v>
      </c>
      <c r="B568" s="2">
        <f>IFERROR(__xludf.DUMMYFUNCTION("""COMPUTED_VALUE"""),284.0)</f>
        <v>284</v>
      </c>
      <c r="C568" s="2">
        <f>IFERROR(__xludf.DUMMYFUNCTION("""COMPUTED_VALUE"""),288.0)</f>
        <v>288</v>
      </c>
      <c r="D568" s="2">
        <f>IFERROR(__xludf.DUMMYFUNCTION("""COMPUTED_VALUE"""),282.0)</f>
        <v>282</v>
      </c>
      <c r="E568" s="2">
        <f>IFERROR(__xludf.DUMMYFUNCTION("""COMPUTED_VALUE"""),286.0)</f>
        <v>286</v>
      </c>
      <c r="F568" s="2">
        <f>IFERROR(__xludf.DUMMYFUNCTION("""COMPUTED_VALUE"""),2.26527E7)</f>
        <v>22652700</v>
      </c>
      <c r="G568" s="2">
        <f t="shared" si="1"/>
        <v>6</v>
      </c>
    </row>
    <row r="569" ht="15.75" customHeight="1">
      <c r="A569" s="1">
        <f>IFERROR(__xludf.DUMMYFUNCTION("""COMPUTED_VALUE"""),44678.66666666667)</f>
        <v>44678.66667</v>
      </c>
      <c r="B569" s="2">
        <f>IFERROR(__xludf.DUMMYFUNCTION("""COMPUTED_VALUE"""),286.0)</f>
        <v>286</v>
      </c>
      <c r="C569" s="2">
        <f>IFERROR(__xludf.DUMMYFUNCTION("""COMPUTED_VALUE"""),290.0)</f>
        <v>290</v>
      </c>
      <c r="D569" s="2">
        <f>IFERROR(__xludf.DUMMYFUNCTION("""COMPUTED_VALUE"""),284.0)</f>
        <v>284</v>
      </c>
      <c r="E569" s="2">
        <f>IFERROR(__xludf.DUMMYFUNCTION("""COMPUTED_VALUE"""),288.0)</f>
        <v>288</v>
      </c>
      <c r="F569" s="2">
        <f>IFERROR(__xludf.DUMMYFUNCTION("""COMPUTED_VALUE"""),2.15637E7)</f>
        <v>21563700</v>
      </c>
      <c r="G569" s="2">
        <f t="shared" si="1"/>
        <v>6</v>
      </c>
    </row>
    <row r="570" ht="15.75" customHeight="1">
      <c r="A570" s="1">
        <f>IFERROR(__xludf.DUMMYFUNCTION("""COMPUTED_VALUE"""),44679.66666666667)</f>
        <v>44679.66667</v>
      </c>
      <c r="B570" s="2">
        <f>IFERROR(__xludf.DUMMYFUNCTION("""COMPUTED_VALUE"""),290.0)</f>
        <v>290</v>
      </c>
      <c r="C570" s="2">
        <f>IFERROR(__xludf.DUMMYFUNCTION("""COMPUTED_VALUE"""),296.0)</f>
        <v>296</v>
      </c>
      <c r="D570" s="2">
        <f>IFERROR(__xludf.DUMMYFUNCTION("""COMPUTED_VALUE"""),286.0)</f>
        <v>286</v>
      </c>
      <c r="E570" s="2">
        <f>IFERROR(__xludf.DUMMYFUNCTION("""COMPUTED_VALUE"""),292.0)</f>
        <v>292</v>
      </c>
      <c r="F570" s="2">
        <f>IFERROR(__xludf.DUMMYFUNCTION("""COMPUTED_VALUE"""),3.4674E7)</f>
        <v>34674000</v>
      </c>
      <c r="G570" s="2">
        <f t="shared" si="1"/>
        <v>10</v>
      </c>
    </row>
    <row r="571" ht="15.75" customHeight="1">
      <c r="A571" s="1">
        <f>IFERROR(__xludf.DUMMYFUNCTION("""COMPUTED_VALUE"""),44690.66666666667)</f>
        <v>44690.66667</v>
      </c>
      <c r="B571" s="2">
        <f>IFERROR(__xludf.DUMMYFUNCTION("""COMPUTED_VALUE"""),294.0)</f>
        <v>294</v>
      </c>
      <c r="C571" s="2">
        <f>IFERROR(__xludf.DUMMYFUNCTION("""COMPUTED_VALUE"""),300.0)</f>
        <v>300</v>
      </c>
      <c r="D571" s="2">
        <f>IFERROR(__xludf.DUMMYFUNCTION("""COMPUTED_VALUE"""),286.0)</f>
        <v>286</v>
      </c>
      <c r="E571" s="2">
        <f>IFERROR(__xludf.DUMMYFUNCTION("""COMPUTED_VALUE"""),290.0)</f>
        <v>290</v>
      </c>
      <c r="F571" s="2">
        <f>IFERROR(__xludf.DUMMYFUNCTION("""COMPUTED_VALUE"""),4.43774E7)</f>
        <v>44377400</v>
      </c>
      <c r="G571" s="2">
        <f t="shared" si="1"/>
        <v>14</v>
      </c>
    </row>
    <row r="572" ht="15.75" customHeight="1">
      <c r="A572" s="1">
        <f>IFERROR(__xludf.DUMMYFUNCTION("""COMPUTED_VALUE"""),44691.66666666667)</f>
        <v>44691.66667</v>
      </c>
      <c r="B572" s="2">
        <f>IFERROR(__xludf.DUMMYFUNCTION("""COMPUTED_VALUE"""),290.0)</f>
        <v>290</v>
      </c>
      <c r="C572" s="2">
        <f>IFERROR(__xludf.DUMMYFUNCTION("""COMPUTED_VALUE"""),290.0)</f>
        <v>290</v>
      </c>
      <c r="D572" s="2">
        <f>IFERROR(__xludf.DUMMYFUNCTION("""COMPUTED_VALUE"""),276.0)</f>
        <v>276</v>
      </c>
      <c r="E572" s="2">
        <f>IFERROR(__xludf.DUMMYFUNCTION("""COMPUTED_VALUE"""),286.0)</f>
        <v>286</v>
      </c>
      <c r="F572" s="2">
        <f>IFERROR(__xludf.DUMMYFUNCTION("""COMPUTED_VALUE"""),4.54443E7)</f>
        <v>45444300</v>
      </c>
      <c r="G572" s="2">
        <f t="shared" si="1"/>
        <v>14</v>
      </c>
    </row>
    <row r="573" ht="15.75" customHeight="1">
      <c r="A573" s="1">
        <f>IFERROR(__xludf.DUMMYFUNCTION("""COMPUTED_VALUE"""),44692.66666666667)</f>
        <v>44692.66667</v>
      </c>
      <c r="B573" s="2">
        <f>IFERROR(__xludf.DUMMYFUNCTION("""COMPUTED_VALUE"""),284.0)</f>
        <v>284</v>
      </c>
      <c r="C573" s="2">
        <f>IFERROR(__xludf.DUMMYFUNCTION("""COMPUTED_VALUE"""),288.0)</f>
        <v>288</v>
      </c>
      <c r="D573" s="2">
        <f>IFERROR(__xludf.DUMMYFUNCTION("""COMPUTED_VALUE"""),282.0)</f>
        <v>282</v>
      </c>
      <c r="E573" s="2">
        <f>IFERROR(__xludf.DUMMYFUNCTION("""COMPUTED_VALUE"""),286.0)</f>
        <v>286</v>
      </c>
      <c r="F573" s="2">
        <f>IFERROR(__xludf.DUMMYFUNCTION("""COMPUTED_VALUE"""),2.18232E7)</f>
        <v>21823200</v>
      </c>
      <c r="G573" s="2">
        <f t="shared" si="1"/>
        <v>6</v>
      </c>
    </row>
    <row r="574" ht="15.75" customHeight="1">
      <c r="A574" s="1">
        <f>IFERROR(__xludf.DUMMYFUNCTION("""COMPUTED_VALUE"""),44693.66666666667)</f>
        <v>44693.66667</v>
      </c>
      <c r="B574" s="2">
        <f>IFERROR(__xludf.DUMMYFUNCTION("""COMPUTED_VALUE"""),290.0)</f>
        <v>290</v>
      </c>
      <c r="C574" s="2">
        <f>IFERROR(__xludf.DUMMYFUNCTION("""COMPUTED_VALUE"""),292.0)</f>
        <v>292</v>
      </c>
      <c r="D574" s="2">
        <f>IFERROR(__xludf.DUMMYFUNCTION("""COMPUTED_VALUE"""),274.0)</f>
        <v>274</v>
      </c>
      <c r="E574" s="2">
        <f>IFERROR(__xludf.DUMMYFUNCTION("""COMPUTED_VALUE"""),274.0)</f>
        <v>274</v>
      </c>
      <c r="F574" s="2">
        <f>IFERROR(__xludf.DUMMYFUNCTION("""COMPUTED_VALUE"""),5.29772E7)</f>
        <v>52977200</v>
      </c>
      <c r="G574" s="2">
        <f t="shared" si="1"/>
        <v>18</v>
      </c>
    </row>
    <row r="575" ht="15.75" customHeight="1">
      <c r="A575" s="1">
        <f>IFERROR(__xludf.DUMMYFUNCTION("""COMPUTED_VALUE"""),44694.66666666667)</f>
        <v>44694.66667</v>
      </c>
      <c r="B575" s="2">
        <f>IFERROR(__xludf.DUMMYFUNCTION("""COMPUTED_VALUE"""),278.0)</f>
        <v>278</v>
      </c>
      <c r="C575" s="2">
        <f>IFERROR(__xludf.DUMMYFUNCTION("""COMPUTED_VALUE"""),280.0)</f>
        <v>280</v>
      </c>
      <c r="D575" s="2">
        <f>IFERROR(__xludf.DUMMYFUNCTION("""COMPUTED_VALUE"""),276.0)</f>
        <v>276</v>
      </c>
      <c r="E575" s="2">
        <f>IFERROR(__xludf.DUMMYFUNCTION("""COMPUTED_VALUE"""),280.0)</f>
        <v>280</v>
      </c>
      <c r="F575" s="2">
        <f>IFERROR(__xludf.DUMMYFUNCTION("""COMPUTED_VALUE"""),1.70544E7)</f>
        <v>17054400</v>
      </c>
      <c r="G575" s="2">
        <f t="shared" si="1"/>
        <v>6</v>
      </c>
    </row>
    <row r="576" ht="15.75" customHeight="1">
      <c r="A576" s="1">
        <f>IFERROR(__xludf.DUMMYFUNCTION("""COMPUTED_VALUE"""),44698.66666666667)</f>
        <v>44698.66667</v>
      </c>
      <c r="B576" s="2">
        <f>IFERROR(__xludf.DUMMYFUNCTION("""COMPUTED_VALUE"""),284.0)</f>
        <v>284</v>
      </c>
      <c r="C576" s="2">
        <f>IFERROR(__xludf.DUMMYFUNCTION("""COMPUTED_VALUE"""),288.0)</f>
        <v>288</v>
      </c>
      <c r="D576" s="2">
        <f>IFERROR(__xludf.DUMMYFUNCTION("""COMPUTED_VALUE"""),282.0)</f>
        <v>282</v>
      </c>
      <c r="E576" s="2">
        <f>IFERROR(__xludf.DUMMYFUNCTION("""COMPUTED_VALUE"""),286.0)</f>
        <v>286</v>
      </c>
      <c r="F576" s="2">
        <f>IFERROR(__xludf.DUMMYFUNCTION("""COMPUTED_VALUE"""),4.20855E7)</f>
        <v>42085500</v>
      </c>
      <c r="G576" s="2">
        <f t="shared" si="1"/>
        <v>8</v>
      </c>
    </row>
    <row r="577" ht="15.75" customHeight="1">
      <c r="A577" s="1">
        <f>IFERROR(__xludf.DUMMYFUNCTION("""COMPUTED_VALUE"""),44699.66666666667)</f>
        <v>44699.66667</v>
      </c>
      <c r="B577" s="2">
        <f>IFERROR(__xludf.DUMMYFUNCTION("""COMPUTED_VALUE"""),286.0)</f>
        <v>286</v>
      </c>
      <c r="C577" s="2">
        <f>IFERROR(__xludf.DUMMYFUNCTION("""COMPUTED_VALUE"""),292.0)</f>
        <v>292</v>
      </c>
      <c r="D577" s="2">
        <f>IFERROR(__xludf.DUMMYFUNCTION("""COMPUTED_VALUE"""),286.0)</f>
        <v>286</v>
      </c>
      <c r="E577" s="2">
        <f>IFERROR(__xludf.DUMMYFUNCTION("""COMPUTED_VALUE"""),290.0)</f>
        <v>290</v>
      </c>
      <c r="F577" s="2">
        <f>IFERROR(__xludf.DUMMYFUNCTION("""COMPUTED_VALUE"""),3.88505E7)</f>
        <v>38850500</v>
      </c>
      <c r="G577" s="2">
        <f t="shared" si="1"/>
        <v>6</v>
      </c>
    </row>
    <row r="578" ht="15.75" customHeight="1">
      <c r="A578" s="1">
        <f>IFERROR(__xludf.DUMMYFUNCTION("""COMPUTED_VALUE"""),44700.66666666667)</f>
        <v>44700.66667</v>
      </c>
      <c r="B578" s="2">
        <f>IFERROR(__xludf.DUMMYFUNCTION("""COMPUTED_VALUE"""),290.0)</f>
        <v>290</v>
      </c>
      <c r="C578" s="2">
        <f>IFERROR(__xludf.DUMMYFUNCTION("""COMPUTED_VALUE"""),290.0)</f>
        <v>290</v>
      </c>
      <c r="D578" s="2">
        <f>IFERROR(__xludf.DUMMYFUNCTION("""COMPUTED_VALUE"""),282.0)</f>
        <v>282</v>
      </c>
      <c r="E578" s="2">
        <f>IFERROR(__xludf.DUMMYFUNCTION("""COMPUTED_VALUE"""),288.0)</f>
        <v>288</v>
      </c>
      <c r="F578" s="2">
        <f>IFERROR(__xludf.DUMMYFUNCTION("""COMPUTED_VALUE"""),2.87666E7)</f>
        <v>28766600</v>
      </c>
      <c r="G578" s="2">
        <f t="shared" si="1"/>
        <v>8</v>
      </c>
    </row>
    <row r="579" ht="15.75" customHeight="1">
      <c r="A579" s="1">
        <f>IFERROR(__xludf.DUMMYFUNCTION("""COMPUTED_VALUE"""),44701.66666666667)</f>
        <v>44701.66667</v>
      </c>
      <c r="B579" s="2">
        <f>IFERROR(__xludf.DUMMYFUNCTION("""COMPUTED_VALUE"""),288.0)</f>
        <v>288</v>
      </c>
      <c r="C579" s="2">
        <f>IFERROR(__xludf.DUMMYFUNCTION("""COMPUTED_VALUE"""),298.0)</f>
        <v>298</v>
      </c>
      <c r="D579" s="2">
        <f>IFERROR(__xludf.DUMMYFUNCTION("""COMPUTED_VALUE"""),288.0)</f>
        <v>288</v>
      </c>
      <c r="E579" s="2">
        <f>IFERROR(__xludf.DUMMYFUNCTION("""COMPUTED_VALUE"""),294.0)</f>
        <v>294</v>
      </c>
      <c r="F579" s="2">
        <f>IFERROR(__xludf.DUMMYFUNCTION("""COMPUTED_VALUE"""),4.55699E7)</f>
        <v>45569900</v>
      </c>
      <c r="G579" s="2">
        <f t="shared" si="1"/>
        <v>10</v>
      </c>
    </row>
    <row r="580" ht="15.75" customHeight="1">
      <c r="A580" s="1">
        <f>IFERROR(__xludf.DUMMYFUNCTION("""COMPUTED_VALUE"""),44704.66666666667)</f>
        <v>44704.66667</v>
      </c>
      <c r="B580" s="2">
        <f>IFERROR(__xludf.DUMMYFUNCTION("""COMPUTED_VALUE"""),298.0)</f>
        <v>298</v>
      </c>
      <c r="C580" s="2">
        <f>IFERROR(__xludf.DUMMYFUNCTION("""COMPUTED_VALUE"""),300.0)</f>
        <v>300</v>
      </c>
      <c r="D580" s="2">
        <f>IFERROR(__xludf.DUMMYFUNCTION("""COMPUTED_VALUE"""),290.0)</f>
        <v>290</v>
      </c>
      <c r="E580" s="2">
        <f>IFERROR(__xludf.DUMMYFUNCTION("""COMPUTED_VALUE"""),290.0)</f>
        <v>290</v>
      </c>
      <c r="F580" s="2">
        <f>IFERROR(__xludf.DUMMYFUNCTION("""COMPUTED_VALUE"""),1.49843E7)</f>
        <v>14984300</v>
      </c>
      <c r="G580" s="2">
        <f t="shared" si="1"/>
        <v>10</v>
      </c>
    </row>
    <row r="581" ht="15.75" customHeight="1">
      <c r="A581" s="1">
        <f>IFERROR(__xludf.DUMMYFUNCTION("""COMPUTED_VALUE"""),44705.66666666667)</f>
        <v>44705.66667</v>
      </c>
      <c r="B581" s="2">
        <f>IFERROR(__xludf.DUMMYFUNCTION("""COMPUTED_VALUE"""),290.0)</f>
        <v>290</v>
      </c>
      <c r="C581" s="2">
        <f>IFERROR(__xludf.DUMMYFUNCTION("""COMPUTED_VALUE"""),298.0)</f>
        <v>298</v>
      </c>
      <c r="D581" s="2">
        <f>IFERROR(__xludf.DUMMYFUNCTION("""COMPUTED_VALUE"""),288.0)</f>
        <v>288</v>
      </c>
      <c r="E581" s="2">
        <f>IFERROR(__xludf.DUMMYFUNCTION("""COMPUTED_VALUE"""),292.0)</f>
        <v>292</v>
      </c>
      <c r="F581" s="2">
        <f>IFERROR(__xludf.DUMMYFUNCTION("""COMPUTED_VALUE"""),3.15432E7)</f>
        <v>31543200</v>
      </c>
      <c r="G581" s="2">
        <f t="shared" si="1"/>
        <v>10</v>
      </c>
    </row>
    <row r="582" ht="15.75" customHeight="1">
      <c r="A582" s="1">
        <f>IFERROR(__xludf.DUMMYFUNCTION("""COMPUTED_VALUE"""),44706.66666666667)</f>
        <v>44706.66667</v>
      </c>
      <c r="B582" s="2">
        <f>IFERROR(__xludf.DUMMYFUNCTION("""COMPUTED_VALUE"""),292.0)</f>
        <v>292</v>
      </c>
      <c r="C582" s="2">
        <f>IFERROR(__xludf.DUMMYFUNCTION("""COMPUTED_VALUE"""),306.0)</f>
        <v>306</v>
      </c>
      <c r="D582" s="2">
        <f>IFERROR(__xludf.DUMMYFUNCTION("""COMPUTED_VALUE"""),292.0)</f>
        <v>292</v>
      </c>
      <c r="E582" s="2">
        <f>IFERROR(__xludf.DUMMYFUNCTION("""COMPUTED_VALUE"""),296.0)</f>
        <v>296</v>
      </c>
      <c r="F582" s="2">
        <f>IFERROR(__xludf.DUMMYFUNCTION("""COMPUTED_VALUE"""),7.50031E7)</f>
        <v>75003100</v>
      </c>
      <c r="G582" s="2">
        <f t="shared" si="1"/>
        <v>14</v>
      </c>
    </row>
    <row r="583" ht="15.75" customHeight="1">
      <c r="A583" s="1">
        <f>IFERROR(__xludf.DUMMYFUNCTION("""COMPUTED_VALUE"""),44708.66666666667)</f>
        <v>44708.66667</v>
      </c>
      <c r="B583" s="2">
        <f>IFERROR(__xludf.DUMMYFUNCTION("""COMPUTED_VALUE"""),300.0)</f>
        <v>300</v>
      </c>
      <c r="C583" s="2">
        <f>IFERROR(__xludf.DUMMYFUNCTION("""COMPUTED_VALUE"""),310.0)</f>
        <v>310</v>
      </c>
      <c r="D583" s="2">
        <f>IFERROR(__xludf.DUMMYFUNCTION("""COMPUTED_VALUE"""),298.0)</f>
        <v>298</v>
      </c>
      <c r="E583" s="2">
        <f>IFERROR(__xludf.DUMMYFUNCTION("""COMPUTED_VALUE"""),306.0)</f>
        <v>306</v>
      </c>
      <c r="F583" s="2">
        <f>IFERROR(__xludf.DUMMYFUNCTION("""COMPUTED_VALUE"""),1.019585E8)</f>
        <v>101958500</v>
      </c>
      <c r="G583" s="2">
        <f t="shared" si="1"/>
        <v>14</v>
      </c>
    </row>
    <row r="584" ht="15.75" customHeight="1">
      <c r="A584" s="1">
        <f>IFERROR(__xludf.DUMMYFUNCTION("""COMPUTED_VALUE"""),44711.66666666667)</f>
        <v>44711.66667</v>
      </c>
      <c r="B584" s="2">
        <f>IFERROR(__xludf.DUMMYFUNCTION("""COMPUTED_VALUE"""),310.0)</f>
        <v>310</v>
      </c>
      <c r="C584" s="2">
        <f>IFERROR(__xludf.DUMMYFUNCTION("""COMPUTED_VALUE"""),316.0)</f>
        <v>316</v>
      </c>
      <c r="D584" s="2">
        <f>IFERROR(__xludf.DUMMYFUNCTION("""COMPUTED_VALUE"""),302.0)</f>
        <v>302</v>
      </c>
      <c r="E584" s="2">
        <f>IFERROR(__xludf.DUMMYFUNCTION("""COMPUTED_VALUE"""),306.0)</f>
        <v>306</v>
      </c>
      <c r="F584" s="2">
        <f>IFERROR(__xludf.DUMMYFUNCTION("""COMPUTED_VALUE"""),7.9461E7)</f>
        <v>79461000</v>
      </c>
      <c r="G584" s="2">
        <f t="shared" si="1"/>
        <v>14</v>
      </c>
    </row>
    <row r="585" ht="15.75" customHeight="1">
      <c r="A585" s="1">
        <f>IFERROR(__xludf.DUMMYFUNCTION("""COMPUTED_VALUE"""),44712.66666666667)</f>
        <v>44712.66667</v>
      </c>
      <c r="B585" s="2">
        <f>IFERROR(__xludf.DUMMYFUNCTION("""COMPUTED_VALUE"""),310.0)</f>
        <v>310</v>
      </c>
      <c r="C585" s="2">
        <f>IFERROR(__xludf.DUMMYFUNCTION("""COMPUTED_VALUE"""),312.0)</f>
        <v>312</v>
      </c>
      <c r="D585" s="2">
        <f>IFERROR(__xludf.DUMMYFUNCTION("""COMPUTED_VALUE"""),308.0)</f>
        <v>308</v>
      </c>
      <c r="E585" s="2">
        <f>IFERROR(__xludf.DUMMYFUNCTION("""COMPUTED_VALUE"""),308.0)</f>
        <v>308</v>
      </c>
      <c r="F585" s="2">
        <f>IFERROR(__xludf.DUMMYFUNCTION("""COMPUTED_VALUE"""),4.25561E7)</f>
        <v>42556100</v>
      </c>
      <c r="G585" s="2">
        <f t="shared" si="1"/>
        <v>6</v>
      </c>
    </row>
    <row r="586" ht="15.75" customHeight="1">
      <c r="A586" s="1">
        <f>IFERROR(__xludf.DUMMYFUNCTION("""COMPUTED_VALUE"""),44714.66666666667)</f>
        <v>44714.66667</v>
      </c>
      <c r="B586" s="2">
        <f>IFERROR(__xludf.DUMMYFUNCTION("""COMPUTED_VALUE"""),310.0)</f>
        <v>310</v>
      </c>
      <c r="C586" s="2">
        <f>IFERROR(__xludf.DUMMYFUNCTION("""COMPUTED_VALUE"""),314.0)</f>
        <v>314</v>
      </c>
      <c r="D586" s="2">
        <f>IFERROR(__xludf.DUMMYFUNCTION("""COMPUTED_VALUE"""),302.0)</f>
        <v>302</v>
      </c>
      <c r="E586" s="2">
        <f>IFERROR(__xludf.DUMMYFUNCTION("""COMPUTED_VALUE"""),312.0)</f>
        <v>312</v>
      </c>
      <c r="F586" s="2">
        <f>IFERROR(__xludf.DUMMYFUNCTION("""COMPUTED_VALUE"""),6.62948E7)</f>
        <v>66294800</v>
      </c>
      <c r="G586" s="2">
        <f t="shared" si="1"/>
        <v>12</v>
      </c>
    </row>
    <row r="587" ht="15.75" customHeight="1">
      <c r="A587" s="1">
        <f>IFERROR(__xludf.DUMMYFUNCTION("""COMPUTED_VALUE"""),44715.66666666667)</f>
        <v>44715.66667</v>
      </c>
      <c r="B587" s="2">
        <f>IFERROR(__xludf.DUMMYFUNCTION("""COMPUTED_VALUE"""),316.0)</f>
        <v>316</v>
      </c>
      <c r="C587" s="2">
        <f>IFERROR(__xludf.DUMMYFUNCTION("""COMPUTED_VALUE"""),326.0)</f>
        <v>326</v>
      </c>
      <c r="D587" s="2">
        <f>IFERROR(__xludf.DUMMYFUNCTION("""COMPUTED_VALUE"""),314.0)</f>
        <v>314</v>
      </c>
      <c r="E587" s="2">
        <f>IFERROR(__xludf.DUMMYFUNCTION("""COMPUTED_VALUE"""),320.0)</f>
        <v>320</v>
      </c>
      <c r="F587" s="2">
        <f>IFERROR(__xludf.DUMMYFUNCTION("""COMPUTED_VALUE"""),1.246968E8)</f>
        <v>124696800</v>
      </c>
      <c r="G587" s="2">
        <f t="shared" si="1"/>
        <v>14</v>
      </c>
    </row>
    <row r="588" ht="15.75" customHeight="1">
      <c r="A588" s="1">
        <f>IFERROR(__xludf.DUMMYFUNCTION("""COMPUTED_VALUE"""),44718.66666666667)</f>
        <v>44718.66667</v>
      </c>
      <c r="B588" s="2">
        <f>IFERROR(__xludf.DUMMYFUNCTION("""COMPUTED_VALUE"""),324.0)</f>
        <v>324</v>
      </c>
      <c r="C588" s="2">
        <f>IFERROR(__xludf.DUMMYFUNCTION("""COMPUTED_VALUE"""),328.0)</f>
        <v>328</v>
      </c>
      <c r="D588" s="2">
        <f>IFERROR(__xludf.DUMMYFUNCTION("""COMPUTED_VALUE"""),318.0)</f>
        <v>318</v>
      </c>
      <c r="E588" s="2">
        <f>IFERROR(__xludf.DUMMYFUNCTION("""COMPUTED_VALUE"""),322.0)</f>
        <v>322</v>
      </c>
      <c r="F588" s="2">
        <f>IFERROR(__xludf.DUMMYFUNCTION("""COMPUTED_VALUE"""),8.17896E7)</f>
        <v>81789600</v>
      </c>
      <c r="G588" s="2">
        <f t="shared" si="1"/>
        <v>10</v>
      </c>
    </row>
    <row r="589" ht="15.75" customHeight="1">
      <c r="A589" s="1">
        <f>IFERROR(__xludf.DUMMYFUNCTION("""COMPUTED_VALUE"""),44719.66666666667)</f>
        <v>44719.66667</v>
      </c>
      <c r="B589" s="2">
        <f>IFERROR(__xludf.DUMMYFUNCTION("""COMPUTED_VALUE"""),322.0)</f>
        <v>322</v>
      </c>
      <c r="C589" s="2">
        <f>IFERROR(__xludf.DUMMYFUNCTION("""COMPUTED_VALUE"""),334.0)</f>
        <v>334</v>
      </c>
      <c r="D589" s="2">
        <f>IFERROR(__xludf.DUMMYFUNCTION("""COMPUTED_VALUE"""),318.0)</f>
        <v>318</v>
      </c>
      <c r="E589" s="2">
        <f>IFERROR(__xludf.DUMMYFUNCTION("""COMPUTED_VALUE"""),326.0)</f>
        <v>326</v>
      </c>
      <c r="F589" s="2">
        <f>IFERROR(__xludf.DUMMYFUNCTION("""COMPUTED_VALUE"""),1.20352E8)</f>
        <v>120352000</v>
      </c>
      <c r="G589" s="2">
        <f t="shared" si="1"/>
        <v>16</v>
      </c>
    </row>
    <row r="590" ht="15.75" customHeight="1">
      <c r="A590" s="1">
        <f>IFERROR(__xludf.DUMMYFUNCTION("""COMPUTED_VALUE"""),44720.66666666667)</f>
        <v>44720.66667</v>
      </c>
      <c r="B590" s="2">
        <f>IFERROR(__xludf.DUMMYFUNCTION("""COMPUTED_VALUE"""),328.0)</f>
        <v>328</v>
      </c>
      <c r="C590" s="2">
        <f>IFERROR(__xludf.DUMMYFUNCTION("""COMPUTED_VALUE"""),340.0)</f>
        <v>340</v>
      </c>
      <c r="D590" s="2">
        <f>IFERROR(__xludf.DUMMYFUNCTION("""COMPUTED_VALUE"""),326.0)</f>
        <v>326</v>
      </c>
      <c r="E590" s="2">
        <f>IFERROR(__xludf.DUMMYFUNCTION("""COMPUTED_VALUE"""),332.0)</f>
        <v>332</v>
      </c>
      <c r="F590" s="2">
        <f>IFERROR(__xludf.DUMMYFUNCTION("""COMPUTED_VALUE"""),1.496913E8)</f>
        <v>149691300</v>
      </c>
      <c r="G590" s="2">
        <f t="shared" si="1"/>
        <v>14</v>
      </c>
    </row>
    <row r="591" ht="15.75" customHeight="1">
      <c r="A591" s="1">
        <f>IFERROR(__xludf.DUMMYFUNCTION("""COMPUTED_VALUE"""),44721.66666666667)</f>
        <v>44721.66667</v>
      </c>
      <c r="B591" s="2">
        <f>IFERROR(__xludf.DUMMYFUNCTION("""COMPUTED_VALUE"""),334.0)</f>
        <v>334</v>
      </c>
      <c r="C591" s="2">
        <f>IFERROR(__xludf.DUMMYFUNCTION("""COMPUTED_VALUE"""),340.0)</f>
        <v>340</v>
      </c>
      <c r="D591" s="2">
        <f>IFERROR(__xludf.DUMMYFUNCTION("""COMPUTED_VALUE"""),328.0)</f>
        <v>328</v>
      </c>
      <c r="E591" s="2">
        <f>IFERROR(__xludf.DUMMYFUNCTION("""COMPUTED_VALUE"""),328.0)</f>
        <v>328</v>
      </c>
      <c r="F591" s="2">
        <f>IFERROR(__xludf.DUMMYFUNCTION("""COMPUTED_VALUE"""),9.60058E7)</f>
        <v>96005800</v>
      </c>
      <c r="G591" s="2">
        <f t="shared" si="1"/>
        <v>12</v>
      </c>
    </row>
    <row r="592" ht="15.75" customHeight="1">
      <c r="A592" s="1">
        <f>IFERROR(__xludf.DUMMYFUNCTION("""COMPUTED_VALUE"""),44722.66666666667)</f>
        <v>44722.66667</v>
      </c>
      <c r="B592" s="2">
        <f>IFERROR(__xludf.DUMMYFUNCTION("""COMPUTED_VALUE"""),340.0)</f>
        <v>340</v>
      </c>
      <c r="C592" s="2">
        <f>IFERROR(__xludf.DUMMYFUNCTION("""COMPUTED_VALUE"""),340.0)</f>
        <v>340</v>
      </c>
      <c r="D592" s="2">
        <f>IFERROR(__xludf.DUMMYFUNCTION("""COMPUTED_VALUE"""),316.0)</f>
        <v>316</v>
      </c>
      <c r="E592" s="2">
        <f>IFERROR(__xludf.DUMMYFUNCTION("""COMPUTED_VALUE"""),318.0)</f>
        <v>318</v>
      </c>
      <c r="F592" s="2">
        <f>IFERROR(__xludf.DUMMYFUNCTION("""COMPUTED_VALUE"""),6.76904E7)</f>
        <v>67690400</v>
      </c>
      <c r="G592" s="2">
        <f t="shared" si="1"/>
        <v>24</v>
      </c>
    </row>
    <row r="593" ht="15.75" customHeight="1">
      <c r="A593" s="1">
        <f>IFERROR(__xludf.DUMMYFUNCTION("""COMPUTED_VALUE"""),44725.66666666667)</f>
        <v>44725.66667</v>
      </c>
      <c r="B593" s="2">
        <f>IFERROR(__xludf.DUMMYFUNCTION("""COMPUTED_VALUE"""),318.0)</f>
        <v>318</v>
      </c>
      <c r="C593" s="2">
        <f>IFERROR(__xludf.DUMMYFUNCTION("""COMPUTED_VALUE"""),318.0)</f>
        <v>318</v>
      </c>
      <c r="D593" s="2">
        <f>IFERROR(__xludf.DUMMYFUNCTION("""COMPUTED_VALUE"""),300.0)</f>
        <v>300</v>
      </c>
      <c r="E593" s="2">
        <f>IFERROR(__xludf.DUMMYFUNCTION("""COMPUTED_VALUE"""),302.0)</f>
        <v>302</v>
      </c>
      <c r="F593" s="2">
        <f>IFERROR(__xludf.DUMMYFUNCTION("""COMPUTED_VALUE"""),7.70561E7)</f>
        <v>77056100</v>
      </c>
      <c r="G593" s="2">
        <f t="shared" si="1"/>
        <v>18</v>
      </c>
    </row>
    <row r="594" ht="15.75" customHeight="1">
      <c r="A594" s="1">
        <f>IFERROR(__xludf.DUMMYFUNCTION("""COMPUTED_VALUE"""),44726.66666666667)</f>
        <v>44726.66667</v>
      </c>
      <c r="B594" s="2">
        <f>IFERROR(__xludf.DUMMYFUNCTION("""COMPUTED_VALUE"""),298.0)</f>
        <v>298</v>
      </c>
      <c r="C594" s="2">
        <f>IFERROR(__xludf.DUMMYFUNCTION("""COMPUTED_VALUE"""),324.0)</f>
        <v>324</v>
      </c>
      <c r="D594" s="2">
        <f>IFERROR(__xludf.DUMMYFUNCTION("""COMPUTED_VALUE"""),298.0)</f>
        <v>298</v>
      </c>
      <c r="E594" s="2">
        <f>IFERROR(__xludf.DUMMYFUNCTION("""COMPUTED_VALUE"""),322.0)</f>
        <v>322</v>
      </c>
      <c r="F594" s="2">
        <f>IFERROR(__xludf.DUMMYFUNCTION("""COMPUTED_VALUE"""),8.77505E7)</f>
        <v>87750500</v>
      </c>
      <c r="G594" s="2">
        <f t="shared" si="1"/>
        <v>26</v>
      </c>
    </row>
    <row r="595" ht="15.75" customHeight="1">
      <c r="A595" s="1">
        <f>IFERROR(__xludf.DUMMYFUNCTION("""COMPUTED_VALUE"""),44727.66666666667)</f>
        <v>44727.66667</v>
      </c>
      <c r="B595" s="2">
        <f>IFERROR(__xludf.DUMMYFUNCTION("""COMPUTED_VALUE"""),322.0)</f>
        <v>322</v>
      </c>
      <c r="C595" s="2">
        <f>IFERROR(__xludf.DUMMYFUNCTION("""COMPUTED_VALUE"""),330.0)</f>
        <v>330</v>
      </c>
      <c r="D595" s="2">
        <f>IFERROR(__xludf.DUMMYFUNCTION("""COMPUTED_VALUE"""),306.0)</f>
        <v>306</v>
      </c>
      <c r="E595" s="2">
        <f>IFERROR(__xludf.DUMMYFUNCTION("""COMPUTED_VALUE"""),312.0)</f>
        <v>312</v>
      </c>
      <c r="F595" s="2">
        <f>IFERROR(__xludf.DUMMYFUNCTION("""COMPUTED_VALUE"""),9.49842E7)</f>
        <v>94984200</v>
      </c>
      <c r="G595" s="2">
        <f t="shared" si="1"/>
        <v>24</v>
      </c>
    </row>
    <row r="596" ht="15.75" customHeight="1">
      <c r="A596" s="1">
        <f>IFERROR(__xludf.DUMMYFUNCTION("""COMPUTED_VALUE"""),44728.66666666667)</f>
        <v>44728.66667</v>
      </c>
      <c r="B596" s="2">
        <f>IFERROR(__xludf.DUMMYFUNCTION("""COMPUTED_VALUE"""),318.0)</f>
        <v>318</v>
      </c>
      <c r="C596" s="2">
        <f>IFERROR(__xludf.DUMMYFUNCTION("""COMPUTED_VALUE"""),332.0)</f>
        <v>332</v>
      </c>
      <c r="D596" s="2">
        <f>IFERROR(__xludf.DUMMYFUNCTION("""COMPUTED_VALUE"""),314.0)</f>
        <v>314</v>
      </c>
      <c r="E596" s="2">
        <f>IFERROR(__xludf.DUMMYFUNCTION("""COMPUTED_VALUE"""),322.0)</f>
        <v>322</v>
      </c>
      <c r="F596" s="2">
        <f>IFERROR(__xludf.DUMMYFUNCTION("""COMPUTED_VALUE"""),1.971935E8)</f>
        <v>197193500</v>
      </c>
      <c r="G596" s="2">
        <f t="shared" si="1"/>
        <v>20</v>
      </c>
    </row>
    <row r="597" ht="15.75" customHeight="1">
      <c r="A597" s="1">
        <f>IFERROR(__xludf.DUMMYFUNCTION("""COMPUTED_VALUE"""),44729.66666666667)</f>
        <v>44729.66667</v>
      </c>
      <c r="B597" s="2">
        <f>IFERROR(__xludf.DUMMYFUNCTION("""COMPUTED_VALUE"""),322.0)</f>
        <v>322</v>
      </c>
      <c r="C597" s="2">
        <f>IFERROR(__xludf.DUMMYFUNCTION("""COMPUTED_VALUE"""),326.0)</f>
        <v>326</v>
      </c>
      <c r="D597" s="2">
        <f>IFERROR(__xludf.DUMMYFUNCTION("""COMPUTED_VALUE"""),312.0)</f>
        <v>312</v>
      </c>
      <c r="E597" s="2">
        <f>IFERROR(__xludf.DUMMYFUNCTION("""COMPUTED_VALUE"""),314.0)</f>
        <v>314</v>
      </c>
      <c r="F597" s="2">
        <f>IFERROR(__xludf.DUMMYFUNCTION("""COMPUTED_VALUE"""),8.1976E7)</f>
        <v>81976000</v>
      </c>
      <c r="G597" s="2">
        <f t="shared" si="1"/>
        <v>14</v>
      </c>
    </row>
    <row r="598" ht="15.75" customHeight="1">
      <c r="A598" s="1">
        <f>IFERROR(__xludf.DUMMYFUNCTION("""COMPUTED_VALUE"""),44732.66666666667)</f>
        <v>44732.66667</v>
      </c>
      <c r="B598" s="2">
        <f>IFERROR(__xludf.DUMMYFUNCTION("""COMPUTED_VALUE"""),310.0)</f>
        <v>310</v>
      </c>
      <c r="C598" s="2">
        <f>IFERROR(__xludf.DUMMYFUNCTION("""COMPUTED_VALUE"""),312.0)</f>
        <v>312</v>
      </c>
      <c r="D598" s="2">
        <f>IFERROR(__xludf.DUMMYFUNCTION("""COMPUTED_VALUE"""),300.0)</f>
        <v>300</v>
      </c>
      <c r="E598" s="2">
        <f>IFERROR(__xludf.DUMMYFUNCTION("""COMPUTED_VALUE"""),310.0)</f>
        <v>310</v>
      </c>
      <c r="F598" s="2">
        <f>IFERROR(__xludf.DUMMYFUNCTION("""COMPUTED_VALUE"""),8.67384E7)</f>
        <v>86738400</v>
      </c>
      <c r="G598" s="2">
        <f t="shared" si="1"/>
        <v>14</v>
      </c>
    </row>
    <row r="599" ht="15.75" customHeight="1">
      <c r="A599" s="1">
        <f>IFERROR(__xludf.DUMMYFUNCTION("""COMPUTED_VALUE"""),44733.66666666667)</f>
        <v>44733.66667</v>
      </c>
      <c r="B599" s="2">
        <f>IFERROR(__xludf.DUMMYFUNCTION("""COMPUTED_VALUE"""),312.0)</f>
        <v>312</v>
      </c>
      <c r="C599" s="2">
        <f>IFERROR(__xludf.DUMMYFUNCTION("""COMPUTED_VALUE"""),316.0)</f>
        <v>316</v>
      </c>
      <c r="D599" s="2">
        <f>IFERROR(__xludf.DUMMYFUNCTION("""COMPUTED_VALUE"""),308.0)</f>
        <v>308</v>
      </c>
      <c r="E599" s="2">
        <f>IFERROR(__xludf.DUMMYFUNCTION("""COMPUTED_VALUE"""),310.0)</f>
        <v>310</v>
      </c>
      <c r="F599" s="2">
        <f>IFERROR(__xludf.DUMMYFUNCTION("""COMPUTED_VALUE"""),3.79572E7)</f>
        <v>37957200</v>
      </c>
      <c r="G599" s="2">
        <f t="shared" si="1"/>
        <v>8</v>
      </c>
    </row>
    <row r="600" ht="15.75" customHeight="1">
      <c r="A600" s="1">
        <f>IFERROR(__xludf.DUMMYFUNCTION("""COMPUTED_VALUE"""),44734.66666666667)</f>
        <v>44734.66667</v>
      </c>
      <c r="B600" s="2">
        <f>IFERROR(__xludf.DUMMYFUNCTION("""COMPUTED_VALUE"""),312.0)</f>
        <v>312</v>
      </c>
      <c r="C600" s="2">
        <f>IFERROR(__xludf.DUMMYFUNCTION("""COMPUTED_VALUE"""),312.0)</f>
        <v>312</v>
      </c>
      <c r="D600" s="2">
        <f>IFERROR(__xludf.DUMMYFUNCTION("""COMPUTED_VALUE"""),300.0)</f>
        <v>300</v>
      </c>
      <c r="E600" s="2">
        <f>IFERROR(__xludf.DUMMYFUNCTION("""COMPUTED_VALUE"""),306.0)</f>
        <v>306</v>
      </c>
      <c r="F600" s="2">
        <f>IFERROR(__xludf.DUMMYFUNCTION("""COMPUTED_VALUE"""),6.47105E7)</f>
        <v>64710500</v>
      </c>
      <c r="G600" s="2">
        <f t="shared" si="1"/>
        <v>12</v>
      </c>
    </row>
    <row r="601" ht="15.75" customHeight="1">
      <c r="A601" s="1">
        <f>IFERROR(__xludf.DUMMYFUNCTION("""COMPUTED_VALUE"""),44735.66666666667)</f>
        <v>44735.66667</v>
      </c>
      <c r="B601" s="2">
        <f>IFERROR(__xludf.DUMMYFUNCTION("""COMPUTED_VALUE"""),306.0)</f>
        <v>306</v>
      </c>
      <c r="C601" s="2">
        <f>IFERROR(__xludf.DUMMYFUNCTION("""COMPUTED_VALUE"""),306.0)</f>
        <v>306</v>
      </c>
      <c r="D601" s="2">
        <f>IFERROR(__xludf.DUMMYFUNCTION("""COMPUTED_VALUE"""),288.0)</f>
        <v>288</v>
      </c>
      <c r="E601" s="2">
        <f>IFERROR(__xludf.DUMMYFUNCTION("""COMPUTED_VALUE"""),292.0)</f>
        <v>292</v>
      </c>
      <c r="F601" s="2">
        <f>IFERROR(__xludf.DUMMYFUNCTION("""COMPUTED_VALUE"""),7.43504E7)</f>
        <v>74350400</v>
      </c>
      <c r="G601" s="2">
        <f t="shared" si="1"/>
        <v>18</v>
      </c>
    </row>
    <row r="602" ht="15.75" customHeight="1">
      <c r="A602" s="1">
        <f>IFERROR(__xludf.DUMMYFUNCTION("""COMPUTED_VALUE"""),44736.66666666667)</f>
        <v>44736.66667</v>
      </c>
      <c r="B602" s="2">
        <f>IFERROR(__xludf.DUMMYFUNCTION("""COMPUTED_VALUE"""),292.0)</f>
        <v>292</v>
      </c>
      <c r="C602" s="2">
        <f>IFERROR(__xludf.DUMMYFUNCTION("""COMPUTED_VALUE"""),300.0)</f>
        <v>300</v>
      </c>
      <c r="D602" s="2">
        <f>IFERROR(__xludf.DUMMYFUNCTION("""COMPUTED_VALUE"""),292.0)</f>
        <v>292</v>
      </c>
      <c r="E602" s="2">
        <f>IFERROR(__xludf.DUMMYFUNCTION("""COMPUTED_VALUE"""),296.0)</f>
        <v>296</v>
      </c>
      <c r="F602" s="2">
        <f>IFERROR(__xludf.DUMMYFUNCTION("""COMPUTED_VALUE"""),3.85463E7)</f>
        <v>38546300</v>
      </c>
      <c r="G602" s="2">
        <f t="shared" si="1"/>
        <v>8</v>
      </c>
    </row>
    <row r="603" ht="15.75" customHeight="1">
      <c r="A603" s="1">
        <f>IFERROR(__xludf.DUMMYFUNCTION("""COMPUTED_VALUE"""),44739.66666666667)</f>
        <v>44739.66667</v>
      </c>
      <c r="B603" s="2">
        <f>IFERROR(__xludf.DUMMYFUNCTION("""COMPUTED_VALUE"""),300.0)</f>
        <v>300</v>
      </c>
      <c r="C603" s="2">
        <f>IFERROR(__xludf.DUMMYFUNCTION("""COMPUTED_VALUE"""),304.0)</f>
        <v>304</v>
      </c>
      <c r="D603" s="2">
        <f>IFERROR(__xludf.DUMMYFUNCTION("""COMPUTED_VALUE"""),296.0)</f>
        <v>296</v>
      </c>
      <c r="E603" s="2">
        <f>IFERROR(__xludf.DUMMYFUNCTION("""COMPUTED_VALUE"""),300.0)</f>
        <v>300</v>
      </c>
      <c r="F603" s="2">
        <f>IFERROR(__xludf.DUMMYFUNCTION("""COMPUTED_VALUE"""),3.62088E7)</f>
        <v>36208800</v>
      </c>
      <c r="G603" s="2">
        <f t="shared" si="1"/>
        <v>8</v>
      </c>
    </row>
    <row r="604" ht="15.75" customHeight="1">
      <c r="A604" s="1">
        <f>IFERROR(__xludf.DUMMYFUNCTION("""COMPUTED_VALUE"""),44740.66666666667)</f>
        <v>44740.66667</v>
      </c>
      <c r="B604" s="2">
        <f>IFERROR(__xludf.DUMMYFUNCTION("""COMPUTED_VALUE"""),302.0)</f>
        <v>302</v>
      </c>
      <c r="C604" s="2">
        <f>IFERROR(__xludf.DUMMYFUNCTION("""COMPUTED_VALUE"""),312.0)</f>
        <v>312</v>
      </c>
      <c r="D604" s="2">
        <f>IFERROR(__xludf.DUMMYFUNCTION("""COMPUTED_VALUE"""),302.0)</f>
        <v>302</v>
      </c>
      <c r="E604" s="2">
        <f>IFERROR(__xludf.DUMMYFUNCTION("""COMPUTED_VALUE"""),308.0)</f>
        <v>308</v>
      </c>
      <c r="F604" s="2">
        <f>IFERROR(__xludf.DUMMYFUNCTION("""COMPUTED_VALUE"""),4.4498E7)</f>
        <v>44498000</v>
      </c>
      <c r="G604" s="2">
        <f t="shared" si="1"/>
        <v>12</v>
      </c>
    </row>
    <row r="605" ht="15.75" customHeight="1">
      <c r="A605" s="1">
        <f>IFERROR(__xludf.DUMMYFUNCTION("""COMPUTED_VALUE"""),44741.66666666667)</f>
        <v>44741.66667</v>
      </c>
      <c r="B605" s="2">
        <f>IFERROR(__xludf.DUMMYFUNCTION("""COMPUTED_VALUE"""),310.0)</f>
        <v>310</v>
      </c>
      <c r="C605" s="2">
        <f>IFERROR(__xludf.DUMMYFUNCTION("""COMPUTED_VALUE"""),314.0)</f>
        <v>314</v>
      </c>
      <c r="D605" s="2">
        <f>IFERROR(__xludf.DUMMYFUNCTION("""COMPUTED_VALUE"""),304.0)</f>
        <v>304</v>
      </c>
      <c r="E605" s="2">
        <f>IFERROR(__xludf.DUMMYFUNCTION("""COMPUTED_VALUE"""),304.0)</f>
        <v>304</v>
      </c>
      <c r="F605" s="2">
        <f>IFERROR(__xludf.DUMMYFUNCTION("""COMPUTED_VALUE"""),3.91954E7)</f>
        <v>39195400</v>
      </c>
      <c r="G605" s="2">
        <f t="shared" si="1"/>
        <v>10</v>
      </c>
    </row>
    <row r="606" ht="15.75" customHeight="1">
      <c r="A606" s="1">
        <f>IFERROR(__xludf.DUMMYFUNCTION("""COMPUTED_VALUE"""),44742.66666666667)</f>
        <v>44742.66667</v>
      </c>
      <c r="B606" s="2">
        <f>IFERROR(__xludf.DUMMYFUNCTION("""COMPUTED_VALUE"""),310.0)</f>
        <v>310</v>
      </c>
      <c r="C606" s="2">
        <f>IFERROR(__xludf.DUMMYFUNCTION("""COMPUTED_VALUE"""),310.0)</f>
        <v>310</v>
      </c>
      <c r="D606" s="2">
        <f>IFERROR(__xludf.DUMMYFUNCTION("""COMPUTED_VALUE"""),300.0)</f>
        <v>300</v>
      </c>
      <c r="E606" s="2">
        <f>IFERROR(__xludf.DUMMYFUNCTION("""COMPUTED_VALUE"""),302.0)</f>
        <v>302</v>
      </c>
      <c r="F606" s="2">
        <f>IFERROR(__xludf.DUMMYFUNCTION("""COMPUTED_VALUE"""),1.60889E7)</f>
        <v>16088900</v>
      </c>
      <c r="G606" s="2">
        <f t="shared" si="1"/>
        <v>10</v>
      </c>
    </row>
    <row r="607" ht="15.75" customHeight="1">
      <c r="A607" s="1">
        <f>IFERROR(__xludf.DUMMYFUNCTION("""COMPUTED_VALUE"""),44743.66666666667)</f>
        <v>44743.66667</v>
      </c>
      <c r="B607" s="2">
        <f>IFERROR(__xludf.DUMMYFUNCTION("""COMPUTED_VALUE"""),300.0)</f>
        <v>300</v>
      </c>
      <c r="C607" s="2">
        <f>IFERROR(__xludf.DUMMYFUNCTION("""COMPUTED_VALUE"""),302.0)</f>
        <v>302</v>
      </c>
      <c r="D607" s="2">
        <f>IFERROR(__xludf.DUMMYFUNCTION("""COMPUTED_VALUE"""),284.0)</f>
        <v>284</v>
      </c>
      <c r="E607" s="2">
        <f>IFERROR(__xludf.DUMMYFUNCTION("""COMPUTED_VALUE"""),284.0)</f>
        <v>284</v>
      </c>
      <c r="F607" s="2">
        <f>IFERROR(__xludf.DUMMYFUNCTION("""COMPUTED_VALUE"""),5.06543E7)</f>
        <v>50654300</v>
      </c>
      <c r="G607" s="2">
        <f t="shared" si="1"/>
        <v>18</v>
      </c>
    </row>
    <row r="608" ht="15.75" customHeight="1">
      <c r="A608" s="1">
        <f>IFERROR(__xludf.DUMMYFUNCTION("""COMPUTED_VALUE"""),44746.66666666667)</f>
        <v>44746.66667</v>
      </c>
      <c r="B608" s="2">
        <f>IFERROR(__xludf.DUMMYFUNCTION("""COMPUTED_VALUE"""),284.0)</f>
        <v>284</v>
      </c>
      <c r="C608" s="2">
        <f>IFERROR(__xludf.DUMMYFUNCTION("""COMPUTED_VALUE"""),290.0)</f>
        <v>290</v>
      </c>
      <c r="D608" s="2">
        <f>IFERROR(__xludf.DUMMYFUNCTION("""COMPUTED_VALUE"""),280.0)</f>
        <v>280</v>
      </c>
      <c r="E608" s="2">
        <f>IFERROR(__xludf.DUMMYFUNCTION("""COMPUTED_VALUE"""),286.0)</f>
        <v>286</v>
      </c>
      <c r="F608" s="2">
        <f>IFERROR(__xludf.DUMMYFUNCTION("""COMPUTED_VALUE"""),3.90943E7)</f>
        <v>39094300</v>
      </c>
      <c r="G608" s="2">
        <f t="shared" si="1"/>
        <v>10</v>
      </c>
    </row>
    <row r="609" ht="15.75" customHeight="1">
      <c r="A609" s="1">
        <f>IFERROR(__xludf.DUMMYFUNCTION("""COMPUTED_VALUE"""),44747.66666666667)</f>
        <v>44747.66667</v>
      </c>
      <c r="B609" s="2">
        <f>IFERROR(__xludf.DUMMYFUNCTION("""COMPUTED_VALUE"""),296.0)</f>
        <v>296</v>
      </c>
      <c r="C609" s="2">
        <f>IFERROR(__xludf.DUMMYFUNCTION("""COMPUTED_VALUE"""),298.0)</f>
        <v>298</v>
      </c>
      <c r="D609" s="2">
        <f>IFERROR(__xludf.DUMMYFUNCTION("""COMPUTED_VALUE"""),286.0)</f>
        <v>286</v>
      </c>
      <c r="E609" s="2">
        <f>IFERROR(__xludf.DUMMYFUNCTION("""COMPUTED_VALUE"""),292.0)</f>
        <v>292</v>
      </c>
      <c r="F609" s="2">
        <f>IFERROR(__xludf.DUMMYFUNCTION("""COMPUTED_VALUE"""),2.74919E7)</f>
        <v>27491900</v>
      </c>
      <c r="G609" s="2">
        <f t="shared" si="1"/>
        <v>12</v>
      </c>
    </row>
    <row r="610" ht="15.75" customHeight="1">
      <c r="A610" s="1">
        <f>IFERROR(__xludf.DUMMYFUNCTION("""COMPUTED_VALUE"""),44748.66666666667)</f>
        <v>44748.66667</v>
      </c>
      <c r="B610" s="2">
        <f>IFERROR(__xludf.DUMMYFUNCTION("""COMPUTED_VALUE"""),284.0)</f>
        <v>284</v>
      </c>
      <c r="C610" s="2">
        <f>IFERROR(__xludf.DUMMYFUNCTION("""COMPUTED_VALUE"""),290.0)</f>
        <v>290</v>
      </c>
      <c r="D610" s="2">
        <f>IFERROR(__xludf.DUMMYFUNCTION("""COMPUTED_VALUE"""),282.0)</f>
        <v>282</v>
      </c>
      <c r="E610" s="2">
        <f>IFERROR(__xludf.DUMMYFUNCTION("""COMPUTED_VALUE"""),290.0)</f>
        <v>290</v>
      </c>
      <c r="F610" s="2">
        <f>IFERROR(__xludf.DUMMYFUNCTION("""COMPUTED_VALUE"""),2.98565E7)</f>
        <v>29856500</v>
      </c>
      <c r="G610" s="2">
        <f t="shared" si="1"/>
        <v>10</v>
      </c>
    </row>
    <row r="611" ht="15.75" customHeight="1">
      <c r="A611" s="1">
        <f>IFERROR(__xludf.DUMMYFUNCTION("""COMPUTED_VALUE"""),44749.66666666667)</f>
        <v>44749.66667</v>
      </c>
      <c r="B611" s="2">
        <f>IFERROR(__xludf.DUMMYFUNCTION("""COMPUTED_VALUE"""),290.0)</f>
        <v>290</v>
      </c>
      <c r="C611" s="2">
        <f>IFERROR(__xludf.DUMMYFUNCTION("""COMPUTED_VALUE"""),290.0)</f>
        <v>290</v>
      </c>
      <c r="D611" s="2">
        <f>IFERROR(__xludf.DUMMYFUNCTION("""COMPUTED_VALUE"""),284.0)</f>
        <v>284</v>
      </c>
      <c r="E611" s="2">
        <f>IFERROR(__xludf.DUMMYFUNCTION("""COMPUTED_VALUE"""),290.0)</f>
        <v>290</v>
      </c>
      <c r="F611" s="2">
        <f>IFERROR(__xludf.DUMMYFUNCTION("""COMPUTED_VALUE"""),1.52667E7)</f>
        <v>15266700</v>
      </c>
      <c r="G611" s="2">
        <f t="shared" si="1"/>
        <v>6</v>
      </c>
    </row>
    <row r="612" ht="15.75" customHeight="1">
      <c r="A612" s="1">
        <f>IFERROR(__xludf.DUMMYFUNCTION("""COMPUTED_VALUE"""),44750.66666666667)</f>
        <v>44750.66667</v>
      </c>
      <c r="B612" s="2">
        <f>IFERROR(__xludf.DUMMYFUNCTION("""COMPUTED_VALUE"""),292.0)</f>
        <v>292</v>
      </c>
      <c r="C612" s="2">
        <f>IFERROR(__xludf.DUMMYFUNCTION("""COMPUTED_VALUE"""),296.0)</f>
        <v>296</v>
      </c>
      <c r="D612" s="2">
        <f>IFERROR(__xludf.DUMMYFUNCTION("""COMPUTED_VALUE"""),290.0)</f>
        <v>290</v>
      </c>
      <c r="E612" s="2">
        <f>IFERROR(__xludf.DUMMYFUNCTION("""COMPUTED_VALUE"""),290.0)</f>
        <v>290</v>
      </c>
      <c r="F612" s="2">
        <f>IFERROR(__xludf.DUMMYFUNCTION("""COMPUTED_VALUE"""),2.06951E7)</f>
        <v>20695100</v>
      </c>
      <c r="G612" s="2">
        <f t="shared" si="1"/>
        <v>6</v>
      </c>
    </row>
    <row r="613" ht="15.75" customHeight="1">
      <c r="A613" s="1">
        <f>IFERROR(__xludf.DUMMYFUNCTION("""COMPUTED_VALUE"""),44753.66666666667)</f>
        <v>44753.66667</v>
      </c>
      <c r="B613" s="2">
        <f>IFERROR(__xludf.DUMMYFUNCTION("""COMPUTED_VALUE"""),292.0)</f>
        <v>292</v>
      </c>
      <c r="C613" s="2">
        <f>IFERROR(__xludf.DUMMYFUNCTION("""COMPUTED_VALUE"""),294.0)</f>
        <v>294</v>
      </c>
      <c r="D613" s="2">
        <f>IFERROR(__xludf.DUMMYFUNCTION("""COMPUTED_VALUE"""),290.0)</f>
        <v>290</v>
      </c>
      <c r="E613" s="2">
        <f>IFERROR(__xludf.DUMMYFUNCTION("""COMPUTED_VALUE"""),294.0)</f>
        <v>294</v>
      </c>
      <c r="F613" s="2">
        <f>IFERROR(__xludf.DUMMYFUNCTION("""COMPUTED_VALUE"""),1.4411E7)</f>
        <v>14411000</v>
      </c>
      <c r="G613" s="2">
        <f t="shared" si="1"/>
        <v>4</v>
      </c>
    </row>
    <row r="614" ht="15.75" customHeight="1">
      <c r="A614" s="1">
        <f>IFERROR(__xludf.DUMMYFUNCTION("""COMPUTED_VALUE"""),44754.66666666667)</f>
        <v>44754.66667</v>
      </c>
      <c r="B614" s="2">
        <f>IFERROR(__xludf.DUMMYFUNCTION("""COMPUTED_VALUE"""),294.0)</f>
        <v>294</v>
      </c>
      <c r="C614" s="2">
        <f>IFERROR(__xludf.DUMMYFUNCTION("""COMPUTED_VALUE"""),296.0)</f>
        <v>296</v>
      </c>
      <c r="D614" s="2">
        <f>IFERROR(__xludf.DUMMYFUNCTION("""COMPUTED_VALUE"""),290.0)</f>
        <v>290</v>
      </c>
      <c r="E614" s="2">
        <f>IFERROR(__xludf.DUMMYFUNCTION("""COMPUTED_VALUE"""),292.0)</f>
        <v>292</v>
      </c>
      <c r="F614" s="2">
        <f>IFERROR(__xludf.DUMMYFUNCTION("""COMPUTED_VALUE"""),1.77289E7)</f>
        <v>17728900</v>
      </c>
      <c r="G614" s="2">
        <f t="shared" si="1"/>
        <v>6</v>
      </c>
    </row>
    <row r="615" ht="15.75" customHeight="1">
      <c r="A615" s="1">
        <f>IFERROR(__xludf.DUMMYFUNCTION("""COMPUTED_VALUE"""),44755.66666666667)</f>
        <v>44755.66667</v>
      </c>
      <c r="B615" s="2">
        <f>IFERROR(__xludf.DUMMYFUNCTION("""COMPUTED_VALUE"""),290.0)</f>
        <v>290</v>
      </c>
      <c r="C615" s="2">
        <f>IFERROR(__xludf.DUMMYFUNCTION("""COMPUTED_VALUE"""),292.0)</f>
        <v>292</v>
      </c>
      <c r="D615" s="2">
        <f>IFERROR(__xludf.DUMMYFUNCTION("""COMPUTED_VALUE"""),286.0)</f>
        <v>286</v>
      </c>
      <c r="E615" s="2">
        <f>IFERROR(__xludf.DUMMYFUNCTION("""COMPUTED_VALUE"""),288.0)</f>
        <v>288</v>
      </c>
      <c r="F615" s="2">
        <f>IFERROR(__xludf.DUMMYFUNCTION("""COMPUTED_VALUE"""),2.12888E7)</f>
        <v>21288800</v>
      </c>
      <c r="G615" s="2">
        <f t="shared" si="1"/>
        <v>6</v>
      </c>
    </row>
    <row r="616" ht="15.75" customHeight="1">
      <c r="A616" s="1">
        <f>IFERROR(__xludf.DUMMYFUNCTION("""COMPUTED_VALUE"""),44756.66666666667)</f>
        <v>44756.66667</v>
      </c>
      <c r="B616" s="2">
        <f>IFERROR(__xludf.DUMMYFUNCTION("""COMPUTED_VALUE"""),288.0)</f>
        <v>288</v>
      </c>
      <c r="C616" s="2">
        <f>IFERROR(__xludf.DUMMYFUNCTION("""COMPUTED_VALUE"""),290.0)</f>
        <v>290</v>
      </c>
      <c r="D616" s="2">
        <f>IFERROR(__xludf.DUMMYFUNCTION("""COMPUTED_VALUE"""),284.0)</f>
        <v>284</v>
      </c>
      <c r="E616" s="2">
        <f>IFERROR(__xludf.DUMMYFUNCTION("""COMPUTED_VALUE"""),286.0)</f>
        <v>286</v>
      </c>
      <c r="F616" s="2">
        <f>IFERROR(__xludf.DUMMYFUNCTION("""COMPUTED_VALUE"""),9344300.0)</f>
        <v>9344300</v>
      </c>
      <c r="G616" s="2">
        <f t="shared" si="1"/>
        <v>6</v>
      </c>
    </row>
    <row r="617" ht="15.75" customHeight="1">
      <c r="A617" s="1">
        <f>IFERROR(__xludf.DUMMYFUNCTION("""COMPUTED_VALUE"""),44757.66666666667)</f>
        <v>44757.66667</v>
      </c>
      <c r="B617" s="2">
        <f>IFERROR(__xludf.DUMMYFUNCTION("""COMPUTED_VALUE"""),286.0)</f>
        <v>286</v>
      </c>
      <c r="C617" s="2">
        <f>IFERROR(__xludf.DUMMYFUNCTION("""COMPUTED_VALUE"""),288.0)</f>
        <v>288</v>
      </c>
      <c r="D617" s="2">
        <f>IFERROR(__xludf.DUMMYFUNCTION("""COMPUTED_VALUE"""),284.0)</f>
        <v>284</v>
      </c>
      <c r="E617" s="2">
        <f>IFERROR(__xludf.DUMMYFUNCTION("""COMPUTED_VALUE"""),284.0)</f>
        <v>284</v>
      </c>
      <c r="F617" s="2">
        <f>IFERROR(__xludf.DUMMYFUNCTION("""COMPUTED_VALUE"""),1.21157E7)</f>
        <v>12115700</v>
      </c>
      <c r="G617" s="2">
        <f t="shared" si="1"/>
        <v>4</v>
      </c>
    </row>
    <row r="618" ht="15.75" customHeight="1">
      <c r="A618" s="1">
        <f>IFERROR(__xludf.DUMMYFUNCTION("""COMPUTED_VALUE"""),44760.66666666667)</f>
        <v>44760.66667</v>
      </c>
      <c r="B618" s="2">
        <f>IFERROR(__xludf.DUMMYFUNCTION("""COMPUTED_VALUE"""),284.0)</f>
        <v>284</v>
      </c>
      <c r="C618" s="2">
        <f>IFERROR(__xludf.DUMMYFUNCTION("""COMPUTED_VALUE"""),292.0)</f>
        <v>292</v>
      </c>
      <c r="D618" s="2">
        <f>IFERROR(__xludf.DUMMYFUNCTION("""COMPUTED_VALUE"""),284.0)</f>
        <v>284</v>
      </c>
      <c r="E618" s="2">
        <f>IFERROR(__xludf.DUMMYFUNCTION("""COMPUTED_VALUE"""),290.0)</f>
        <v>290</v>
      </c>
      <c r="F618" s="2">
        <f>IFERROR(__xludf.DUMMYFUNCTION("""COMPUTED_VALUE"""),1.14264E7)</f>
        <v>11426400</v>
      </c>
      <c r="G618" s="2">
        <f t="shared" si="1"/>
        <v>8</v>
      </c>
    </row>
    <row r="619" ht="15.75" customHeight="1">
      <c r="A619" s="1">
        <f>IFERROR(__xludf.DUMMYFUNCTION("""COMPUTED_VALUE"""),44761.66666666667)</f>
        <v>44761.66667</v>
      </c>
      <c r="B619" s="2">
        <f>IFERROR(__xludf.DUMMYFUNCTION("""COMPUTED_VALUE"""),292.0)</f>
        <v>292</v>
      </c>
      <c r="C619" s="2">
        <f>IFERROR(__xludf.DUMMYFUNCTION("""COMPUTED_VALUE"""),298.0)</f>
        <v>298</v>
      </c>
      <c r="D619" s="2">
        <f>IFERROR(__xludf.DUMMYFUNCTION("""COMPUTED_VALUE"""),292.0)</f>
        <v>292</v>
      </c>
      <c r="E619" s="2">
        <f>IFERROR(__xludf.DUMMYFUNCTION("""COMPUTED_VALUE"""),296.0)</f>
        <v>296</v>
      </c>
      <c r="F619" s="2">
        <f>IFERROR(__xludf.DUMMYFUNCTION("""COMPUTED_VALUE"""),2.98073E7)</f>
        <v>29807300</v>
      </c>
      <c r="G619" s="2">
        <f t="shared" si="1"/>
        <v>8</v>
      </c>
    </row>
    <row r="620" ht="15.75" customHeight="1">
      <c r="A620" s="1">
        <f>IFERROR(__xludf.DUMMYFUNCTION("""COMPUTED_VALUE"""),44762.66666666667)</f>
        <v>44762.66667</v>
      </c>
      <c r="B620" s="2">
        <f>IFERROR(__xludf.DUMMYFUNCTION("""COMPUTED_VALUE"""),300.0)</f>
        <v>300</v>
      </c>
      <c r="C620" s="2">
        <f>IFERROR(__xludf.DUMMYFUNCTION("""COMPUTED_VALUE"""),304.0)</f>
        <v>304</v>
      </c>
      <c r="D620" s="2">
        <f>IFERROR(__xludf.DUMMYFUNCTION("""COMPUTED_VALUE"""),296.0)</f>
        <v>296</v>
      </c>
      <c r="E620" s="2">
        <f>IFERROR(__xludf.DUMMYFUNCTION("""COMPUTED_VALUE"""),300.0)</f>
        <v>300</v>
      </c>
      <c r="F620" s="2">
        <f>IFERROR(__xludf.DUMMYFUNCTION("""COMPUTED_VALUE"""),2.62742E7)</f>
        <v>26274200</v>
      </c>
      <c r="G620" s="2">
        <f t="shared" si="1"/>
        <v>8</v>
      </c>
    </row>
    <row r="621" ht="15.75" customHeight="1">
      <c r="A621" s="1">
        <f>IFERROR(__xludf.DUMMYFUNCTION("""COMPUTED_VALUE"""),44763.66666666667)</f>
        <v>44763.66667</v>
      </c>
      <c r="B621" s="2">
        <f>IFERROR(__xludf.DUMMYFUNCTION("""COMPUTED_VALUE"""),300.0)</f>
        <v>300</v>
      </c>
      <c r="C621" s="2">
        <f>IFERROR(__xludf.DUMMYFUNCTION("""COMPUTED_VALUE"""),304.0)</f>
        <v>304</v>
      </c>
      <c r="D621" s="2">
        <f>IFERROR(__xludf.DUMMYFUNCTION("""COMPUTED_VALUE"""),296.0)</f>
        <v>296</v>
      </c>
      <c r="E621" s="2">
        <f>IFERROR(__xludf.DUMMYFUNCTION("""COMPUTED_VALUE"""),298.0)</f>
        <v>298</v>
      </c>
      <c r="F621" s="2">
        <f>IFERROR(__xludf.DUMMYFUNCTION("""COMPUTED_VALUE"""),1.73933E7)</f>
        <v>17393300</v>
      </c>
      <c r="G621" s="2">
        <f t="shared" si="1"/>
        <v>8</v>
      </c>
    </row>
    <row r="622" ht="15.75" customHeight="1">
      <c r="A622" s="1">
        <f>IFERROR(__xludf.DUMMYFUNCTION("""COMPUTED_VALUE"""),44764.66666666667)</f>
        <v>44764.66667</v>
      </c>
      <c r="B622" s="2">
        <f>IFERROR(__xludf.DUMMYFUNCTION("""COMPUTED_VALUE"""),298.0)</f>
        <v>298</v>
      </c>
      <c r="C622" s="2">
        <f>IFERROR(__xludf.DUMMYFUNCTION("""COMPUTED_VALUE"""),302.0)</f>
        <v>302</v>
      </c>
      <c r="D622" s="2">
        <f>IFERROR(__xludf.DUMMYFUNCTION("""COMPUTED_VALUE"""),294.0)</f>
        <v>294</v>
      </c>
      <c r="E622" s="2">
        <f>IFERROR(__xludf.DUMMYFUNCTION("""COMPUTED_VALUE"""),300.0)</f>
        <v>300</v>
      </c>
      <c r="F622" s="2">
        <f>IFERROR(__xludf.DUMMYFUNCTION("""COMPUTED_VALUE"""),2.28697E7)</f>
        <v>22869700</v>
      </c>
      <c r="G622" s="2">
        <f t="shared" si="1"/>
        <v>8</v>
      </c>
    </row>
    <row r="623" ht="15.75" customHeight="1">
      <c r="A623" s="1">
        <f>IFERROR(__xludf.DUMMYFUNCTION("""COMPUTED_VALUE"""),44767.66666666667)</f>
        <v>44767.66667</v>
      </c>
      <c r="B623" s="2">
        <f>IFERROR(__xludf.DUMMYFUNCTION("""COMPUTED_VALUE"""),302.0)</f>
        <v>302</v>
      </c>
      <c r="C623" s="2">
        <f>IFERROR(__xludf.DUMMYFUNCTION("""COMPUTED_VALUE"""),302.0)</f>
        <v>302</v>
      </c>
      <c r="D623" s="2">
        <f>IFERROR(__xludf.DUMMYFUNCTION("""COMPUTED_VALUE"""),296.0)</f>
        <v>296</v>
      </c>
      <c r="E623" s="2">
        <f>IFERROR(__xludf.DUMMYFUNCTION("""COMPUTED_VALUE"""),298.0)</f>
        <v>298</v>
      </c>
      <c r="F623" s="2">
        <f>IFERROR(__xludf.DUMMYFUNCTION("""COMPUTED_VALUE"""),1.37378E7)</f>
        <v>13737800</v>
      </c>
      <c r="G623" s="2">
        <f t="shared" si="1"/>
        <v>6</v>
      </c>
    </row>
    <row r="624" ht="15.75" customHeight="1">
      <c r="A624" s="1">
        <f>IFERROR(__xludf.DUMMYFUNCTION("""COMPUTED_VALUE"""),44768.66666666667)</f>
        <v>44768.66667</v>
      </c>
      <c r="B624" s="2">
        <f>IFERROR(__xludf.DUMMYFUNCTION("""COMPUTED_VALUE"""),298.0)</f>
        <v>298</v>
      </c>
      <c r="C624" s="2">
        <f>IFERROR(__xludf.DUMMYFUNCTION("""COMPUTED_VALUE"""),302.0)</f>
        <v>302</v>
      </c>
      <c r="D624" s="2">
        <f>IFERROR(__xludf.DUMMYFUNCTION("""COMPUTED_VALUE"""),298.0)</f>
        <v>298</v>
      </c>
      <c r="E624" s="2">
        <f>IFERROR(__xludf.DUMMYFUNCTION("""COMPUTED_VALUE"""),300.0)</f>
        <v>300</v>
      </c>
      <c r="F624" s="2">
        <f>IFERROR(__xludf.DUMMYFUNCTION("""COMPUTED_VALUE"""),1.62543E7)</f>
        <v>16254300</v>
      </c>
      <c r="G624" s="2">
        <f t="shared" si="1"/>
        <v>4</v>
      </c>
    </row>
    <row r="625" ht="15.75" customHeight="1">
      <c r="A625" s="1">
        <f>IFERROR(__xludf.DUMMYFUNCTION("""COMPUTED_VALUE"""),44769.66666666667)</f>
        <v>44769.66667</v>
      </c>
      <c r="B625" s="2">
        <f>IFERROR(__xludf.DUMMYFUNCTION("""COMPUTED_VALUE"""),302.0)</f>
        <v>302</v>
      </c>
      <c r="C625" s="2">
        <f>IFERROR(__xludf.DUMMYFUNCTION("""COMPUTED_VALUE"""),306.0)</f>
        <v>306</v>
      </c>
      <c r="D625" s="2">
        <f>IFERROR(__xludf.DUMMYFUNCTION("""COMPUTED_VALUE"""),298.0)</f>
        <v>298</v>
      </c>
      <c r="E625" s="2">
        <f>IFERROR(__xludf.DUMMYFUNCTION("""COMPUTED_VALUE"""),304.0)</f>
        <v>304</v>
      </c>
      <c r="F625" s="2">
        <f>IFERROR(__xludf.DUMMYFUNCTION("""COMPUTED_VALUE"""),2.93881E7)</f>
        <v>29388100</v>
      </c>
      <c r="G625" s="2">
        <f t="shared" si="1"/>
        <v>8</v>
      </c>
    </row>
    <row r="626" ht="15.75" customHeight="1">
      <c r="A626" s="1">
        <f>IFERROR(__xludf.DUMMYFUNCTION("""COMPUTED_VALUE"""),44770.66666666667)</f>
        <v>44770.66667</v>
      </c>
      <c r="B626" s="2">
        <f>IFERROR(__xludf.DUMMYFUNCTION("""COMPUTED_VALUE"""),306.0)</f>
        <v>306</v>
      </c>
      <c r="C626" s="2">
        <f>IFERROR(__xludf.DUMMYFUNCTION("""COMPUTED_VALUE"""),310.0)</f>
        <v>310</v>
      </c>
      <c r="D626" s="2">
        <f>IFERROR(__xludf.DUMMYFUNCTION("""COMPUTED_VALUE"""),304.0)</f>
        <v>304</v>
      </c>
      <c r="E626" s="2">
        <f>IFERROR(__xludf.DUMMYFUNCTION("""COMPUTED_VALUE"""),308.0)</f>
        <v>308</v>
      </c>
      <c r="F626" s="2">
        <f>IFERROR(__xludf.DUMMYFUNCTION("""COMPUTED_VALUE"""),5.03887E7)</f>
        <v>50388700</v>
      </c>
      <c r="G626" s="2">
        <f t="shared" si="1"/>
        <v>6</v>
      </c>
    </row>
    <row r="627" ht="15.75" customHeight="1">
      <c r="A627" s="1">
        <f>IFERROR(__xludf.DUMMYFUNCTION("""COMPUTED_VALUE"""),44771.66666666667)</f>
        <v>44771.66667</v>
      </c>
      <c r="B627" s="2">
        <f>IFERROR(__xludf.DUMMYFUNCTION("""COMPUTED_VALUE"""),308.0)</f>
        <v>308</v>
      </c>
      <c r="C627" s="2">
        <f>IFERROR(__xludf.DUMMYFUNCTION("""COMPUTED_VALUE"""),308.0)</f>
        <v>308</v>
      </c>
      <c r="D627" s="2">
        <f>IFERROR(__xludf.DUMMYFUNCTION("""COMPUTED_VALUE"""),300.0)</f>
        <v>300</v>
      </c>
      <c r="E627" s="2">
        <f>IFERROR(__xludf.DUMMYFUNCTION("""COMPUTED_VALUE"""),302.0)</f>
        <v>302</v>
      </c>
      <c r="F627" s="2">
        <f>IFERROR(__xludf.DUMMYFUNCTION("""COMPUTED_VALUE"""),2.18051E7)</f>
        <v>21805100</v>
      </c>
      <c r="G627" s="2">
        <f t="shared" si="1"/>
        <v>8</v>
      </c>
    </row>
    <row r="628" ht="15.75" customHeight="1">
      <c r="A628" s="1">
        <f>IFERROR(__xludf.DUMMYFUNCTION("""COMPUTED_VALUE"""),44774.66666666667)</f>
        <v>44774.66667</v>
      </c>
      <c r="B628" s="2">
        <f>IFERROR(__xludf.DUMMYFUNCTION("""COMPUTED_VALUE"""),302.0)</f>
        <v>302</v>
      </c>
      <c r="C628" s="2">
        <f>IFERROR(__xludf.DUMMYFUNCTION("""COMPUTED_VALUE"""),306.0)</f>
        <v>306</v>
      </c>
      <c r="D628" s="2">
        <f>IFERROR(__xludf.DUMMYFUNCTION("""COMPUTED_VALUE"""),298.0)</f>
        <v>298</v>
      </c>
      <c r="E628" s="2">
        <f>IFERROR(__xludf.DUMMYFUNCTION("""COMPUTED_VALUE"""),300.0)</f>
        <v>300</v>
      </c>
      <c r="F628" s="2">
        <f>IFERROR(__xludf.DUMMYFUNCTION("""COMPUTED_VALUE"""),1.89424E7)</f>
        <v>18942400</v>
      </c>
      <c r="G628" s="2">
        <f t="shared" si="1"/>
        <v>8</v>
      </c>
    </row>
    <row r="629" ht="15.75" customHeight="1">
      <c r="A629" s="1">
        <f>IFERROR(__xludf.DUMMYFUNCTION("""COMPUTED_VALUE"""),44775.66666666667)</f>
        <v>44775.66667</v>
      </c>
      <c r="B629" s="2">
        <f>IFERROR(__xludf.DUMMYFUNCTION("""COMPUTED_VALUE"""),300.0)</f>
        <v>300</v>
      </c>
      <c r="C629" s="2">
        <f>IFERROR(__xludf.DUMMYFUNCTION("""COMPUTED_VALUE"""),300.0)</f>
        <v>300</v>
      </c>
      <c r="D629" s="2">
        <f>IFERROR(__xludf.DUMMYFUNCTION("""COMPUTED_VALUE"""),294.0)</f>
        <v>294</v>
      </c>
      <c r="E629" s="2">
        <f>IFERROR(__xludf.DUMMYFUNCTION("""COMPUTED_VALUE"""),296.0)</f>
        <v>296</v>
      </c>
      <c r="F629" s="2">
        <f>IFERROR(__xludf.DUMMYFUNCTION("""COMPUTED_VALUE"""),1.71611E7)</f>
        <v>17161100</v>
      </c>
      <c r="G629" s="2">
        <f t="shared" si="1"/>
        <v>6</v>
      </c>
    </row>
    <row r="630" ht="15.75" customHeight="1">
      <c r="A630" s="1">
        <f>IFERROR(__xludf.DUMMYFUNCTION("""COMPUTED_VALUE"""),44776.66666666667)</f>
        <v>44776.66667</v>
      </c>
      <c r="B630" s="2">
        <f>IFERROR(__xludf.DUMMYFUNCTION("""COMPUTED_VALUE"""),296.0)</f>
        <v>296</v>
      </c>
      <c r="C630" s="2">
        <f>IFERROR(__xludf.DUMMYFUNCTION("""COMPUTED_VALUE"""),306.0)</f>
        <v>306</v>
      </c>
      <c r="D630" s="2">
        <f>IFERROR(__xludf.DUMMYFUNCTION("""COMPUTED_VALUE"""),294.0)</f>
        <v>294</v>
      </c>
      <c r="E630" s="2">
        <f>IFERROR(__xludf.DUMMYFUNCTION("""COMPUTED_VALUE"""),302.0)</f>
        <v>302</v>
      </c>
      <c r="F630" s="2">
        <f>IFERROR(__xludf.DUMMYFUNCTION("""COMPUTED_VALUE"""),3.26025E7)</f>
        <v>32602500</v>
      </c>
      <c r="G630" s="2">
        <f t="shared" si="1"/>
        <v>12</v>
      </c>
    </row>
    <row r="631" ht="15.75" customHeight="1">
      <c r="A631" s="1">
        <f>IFERROR(__xludf.DUMMYFUNCTION("""COMPUTED_VALUE"""),44777.66666666667)</f>
        <v>44777.66667</v>
      </c>
      <c r="B631" s="2">
        <f>IFERROR(__xludf.DUMMYFUNCTION("""COMPUTED_VALUE"""),302.0)</f>
        <v>302</v>
      </c>
      <c r="C631" s="2">
        <f>IFERROR(__xludf.DUMMYFUNCTION("""COMPUTED_VALUE"""),304.0)</f>
        <v>304</v>
      </c>
      <c r="D631" s="2">
        <f>IFERROR(__xludf.DUMMYFUNCTION("""COMPUTED_VALUE"""),300.0)</f>
        <v>300</v>
      </c>
      <c r="E631" s="2">
        <f>IFERROR(__xludf.DUMMYFUNCTION("""COMPUTED_VALUE"""),300.0)</f>
        <v>300</v>
      </c>
      <c r="F631" s="2">
        <f>IFERROR(__xludf.DUMMYFUNCTION("""COMPUTED_VALUE"""),1.50404E7)</f>
        <v>15040400</v>
      </c>
      <c r="G631" s="2">
        <f t="shared" si="1"/>
        <v>4</v>
      </c>
    </row>
    <row r="632" ht="15.75" customHeight="1">
      <c r="A632" s="1">
        <f>IFERROR(__xludf.DUMMYFUNCTION("""COMPUTED_VALUE"""),44778.66666666667)</f>
        <v>44778.66667</v>
      </c>
      <c r="B632" s="2">
        <f>IFERROR(__xludf.DUMMYFUNCTION("""COMPUTED_VALUE"""),300.0)</f>
        <v>300</v>
      </c>
      <c r="C632" s="2">
        <f>IFERROR(__xludf.DUMMYFUNCTION("""COMPUTED_VALUE"""),300.0)</f>
        <v>300</v>
      </c>
      <c r="D632" s="2">
        <f>IFERROR(__xludf.DUMMYFUNCTION("""COMPUTED_VALUE"""),296.0)</f>
        <v>296</v>
      </c>
      <c r="E632" s="2">
        <f>IFERROR(__xludf.DUMMYFUNCTION("""COMPUTED_VALUE"""),298.0)</f>
        <v>298</v>
      </c>
      <c r="F632" s="2">
        <f>IFERROR(__xludf.DUMMYFUNCTION("""COMPUTED_VALUE"""),1.08351E7)</f>
        <v>10835100</v>
      </c>
      <c r="G632" s="2">
        <f t="shared" si="1"/>
        <v>4</v>
      </c>
    </row>
    <row r="633" ht="15.75" customHeight="1">
      <c r="A633" s="1">
        <f>IFERROR(__xludf.DUMMYFUNCTION("""COMPUTED_VALUE"""),44781.66666666667)</f>
        <v>44781.66667</v>
      </c>
      <c r="B633" s="2">
        <f>IFERROR(__xludf.DUMMYFUNCTION("""COMPUTED_VALUE"""),300.0)</f>
        <v>300</v>
      </c>
      <c r="C633" s="2">
        <f>IFERROR(__xludf.DUMMYFUNCTION("""COMPUTED_VALUE"""),304.0)</f>
        <v>304</v>
      </c>
      <c r="D633" s="2">
        <f>IFERROR(__xludf.DUMMYFUNCTION("""COMPUTED_VALUE"""),298.0)</f>
        <v>298</v>
      </c>
      <c r="E633" s="2">
        <f>IFERROR(__xludf.DUMMYFUNCTION("""COMPUTED_VALUE"""),304.0)</f>
        <v>304</v>
      </c>
      <c r="F633" s="2">
        <f>IFERROR(__xludf.DUMMYFUNCTION("""COMPUTED_VALUE"""),2.22192E7)</f>
        <v>22219200</v>
      </c>
      <c r="G633" s="2">
        <f t="shared" si="1"/>
        <v>6</v>
      </c>
    </row>
    <row r="634" ht="15.75" customHeight="1">
      <c r="A634" s="1">
        <f>IFERROR(__xludf.DUMMYFUNCTION("""COMPUTED_VALUE"""),44782.66666666667)</f>
        <v>44782.66667</v>
      </c>
      <c r="B634" s="2">
        <f>IFERROR(__xludf.DUMMYFUNCTION("""COMPUTED_VALUE"""),306.0)</f>
        <v>306</v>
      </c>
      <c r="C634" s="2">
        <f>IFERROR(__xludf.DUMMYFUNCTION("""COMPUTED_VALUE"""),308.0)</f>
        <v>308</v>
      </c>
      <c r="D634" s="2">
        <f>IFERROR(__xludf.DUMMYFUNCTION("""COMPUTED_VALUE"""),302.0)</f>
        <v>302</v>
      </c>
      <c r="E634" s="2">
        <f>IFERROR(__xludf.DUMMYFUNCTION("""COMPUTED_VALUE"""),302.0)</f>
        <v>302</v>
      </c>
      <c r="F634" s="2">
        <f>IFERROR(__xludf.DUMMYFUNCTION("""COMPUTED_VALUE"""),1.52005E7)</f>
        <v>15200500</v>
      </c>
      <c r="G634" s="2">
        <f t="shared" si="1"/>
        <v>6</v>
      </c>
    </row>
    <row r="635" ht="15.75" customHeight="1">
      <c r="A635" s="1">
        <f>IFERROR(__xludf.DUMMYFUNCTION("""COMPUTED_VALUE"""),44783.66666666667)</f>
        <v>44783.66667</v>
      </c>
      <c r="B635" s="2">
        <f>IFERROR(__xludf.DUMMYFUNCTION("""COMPUTED_VALUE"""),302.0)</f>
        <v>302</v>
      </c>
      <c r="C635" s="2">
        <f>IFERROR(__xludf.DUMMYFUNCTION("""COMPUTED_VALUE"""),306.0)</f>
        <v>306</v>
      </c>
      <c r="D635" s="2">
        <f>IFERROR(__xludf.DUMMYFUNCTION("""COMPUTED_VALUE"""),300.0)</f>
        <v>300</v>
      </c>
      <c r="E635" s="2">
        <f>IFERROR(__xludf.DUMMYFUNCTION("""COMPUTED_VALUE"""),304.0)</f>
        <v>304</v>
      </c>
      <c r="F635" s="2">
        <f>IFERROR(__xludf.DUMMYFUNCTION("""COMPUTED_VALUE"""),3.47462E7)</f>
        <v>34746200</v>
      </c>
      <c r="G635" s="2">
        <f t="shared" si="1"/>
        <v>6</v>
      </c>
    </row>
    <row r="636" ht="15.75" customHeight="1">
      <c r="A636" s="1">
        <f>IFERROR(__xludf.DUMMYFUNCTION("""COMPUTED_VALUE"""),44784.66666666667)</f>
        <v>44784.66667</v>
      </c>
      <c r="B636" s="2">
        <f>IFERROR(__xludf.DUMMYFUNCTION("""COMPUTED_VALUE"""),306.0)</f>
        <v>306</v>
      </c>
      <c r="C636" s="2">
        <f>IFERROR(__xludf.DUMMYFUNCTION("""COMPUTED_VALUE"""),308.0)</f>
        <v>308</v>
      </c>
      <c r="D636" s="2">
        <f>IFERROR(__xludf.DUMMYFUNCTION("""COMPUTED_VALUE"""),302.0)</f>
        <v>302</v>
      </c>
      <c r="E636" s="2">
        <f>IFERROR(__xludf.DUMMYFUNCTION("""COMPUTED_VALUE"""),304.0)</f>
        <v>304</v>
      </c>
      <c r="F636" s="2">
        <f>IFERROR(__xludf.DUMMYFUNCTION("""COMPUTED_VALUE"""),1.61763E7)</f>
        <v>16176300</v>
      </c>
      <c r="G636" s="2">
        <f t="shared" si="1"/>
        <v>6</v>
      </c>
    </row>
    <row r="637" ht="15.75" customHeight="1">
      <c r="A637" s="1">
        <f>IFERROR(__xludf.DUMMYFUNCTION("""COMPUTED_VALUE"""),44785.66666666667)</f>
        <v>44785.66667</v>
      </c>
      <c r="B637" s="2">
        <f>IFERROR(__xludf.DUMMYFUNCTION("""COMPUTED_VALUE"""),304.0)</f>
        <v>304</v>
      </c>
      <c r="C637" s="2">
        <f>IFERROR(__xludf.DUMMYFUNCTION("""COMPUTED_VALUE"""),310.0)</f>
        <v>310</v>
      </c>
      <c r="D637" s="2">
        <f>IFERROR(__xludf.DUMMYFUNCTION("""COMPUTED_VALUE"""),304.0)</f>
        <v>304</v>
      </c>
      <c r="E637" s="2">
        <f>IFERROR(__xludf.DUMMYFUNCTION("""COMPUTED_VALUE"""),306.0)</f>
        <v>306</v>
      </c>
      <c r="F637" s="2">
        <f>IFERROR(__xludf.DUMMYFUNCTION("""COMPUTED_VALUE"""),2.29968E7)</f>
        <v>22996800</v>
      </c>
      <c r="G637" s="2">
        <f t="shared" si="1"/>
        <v>6</v>
      </c>
    </row>
    <row r="638" ht="15.75" customHeight="1">
      <c r="A638" s="1">
        <f>IFERROR(__xludf.DUMMYFUNCTION("""COMPUTED_VALUE"""),44788.66666666667)</f>
        <v>44788.66667</v>
      </c>
      <c r="B638" s="2">
        <f>IFERROR(__xludf.DUMMYFUNCTION("""COMPUTED_VALUE"""),306.0)</f>
        <v>306</v>
      </c>
      <c r="C638" s="2">
        <f>IFERROR(__xludf.DUMMYFUNCTION("""COMPUTED_VALUE"""),308.0)</f>
        <v>308</v>
      </c>
      <c r="D638" s="2">
        <f>IFERROR(__xludf.DUMMYFUNCTION("""COMPUTED_VALUE"""),300.0)</f>
        <v>300</v>
      </c>
      <c r="E638" s="2">
        <f>IFERROR(__xludf.DUMMYFUNCTION("""COMPUTED_VALUE"""),302.0)</f>
        <v>302</v>
      </c>
      <c r="F638" s="2">
        <f>IFERROR(__xludf.DUMMYFUNCTION("""COMPUTED_VALUE"""),2.03274E7)</f>
        <v>20327400</v>
      </c>
      <c r="G638" s="2">
        <f t="shared" si="1"/>
        <v>8</v>
      </c>
    </row>
    <row r="639" ht="15.75" customHeight="1">
      <c r="A639" s="1">
        <f>IFERROR(__xludf.DUMMYFUNCTION("""COMPUTED_VALUE"""),44789.66666666667)</f>
        <v>44789.66667</v>
      </c>
      <c r="B639" s="2">
        <f>IFERROR(__xludf.DUMMYFUNCTION("""COMPUTED_VALUE"""),302.0)</f>
        <v>302</v>
      </c>
      <c r="C639" s="2">
        <f>IFERROR(__xludf.DUMMYFUNCTION("""COMPUTED_VALUE"""),304.0)</f>
        <v>304</v>
      </c>
      <c r="D639" s="2">
        <f>IFERROR(__xludf.DUMMYFUNCTION("""COMPUTED_VALUE"""),298.0)</f>
        <v>298</v>
      </c>
      <c r="E639" s="2">
        <f>IFERROR(__xludf.DUMMYFUNCTION("""COMPUTED_VALUE"""),298.0)</f>
        <v>298</v>
      </c>
      <c r="F639" s="2">
        <f>IFERROR(__xludf.DUMMYFUNCTION("""COMPUTED_VALUE"""),2.18254E7)</f>
        <v>21825400</v>
      </c>
      <c r="G639" s="2">
        <f t="shared" si="1"/>
        <v>6</v>
      </c>
    </row>
    <row r="640" ht="15.75" customHeight="1">
      <c r="A640" s="1">
        <f>IFERROR(__xludf.DUMMYFUNCTION("""COMPUTED_VALUE"""),44791.66666666667)</f>
        <v>44791.66667</v>
      </c>
      <c r="B640" s="2">
        <f>IFERROR(__xludf.DUMMYFUNCTION("""COMPUTED_VALUE"""),300.0)</f>
        <v>300</v>
      </c>
      <c r="C640" s="2">
        <f>IFERROR(__xludf.DUMMYFUNCTION("""COMPUTED_VALUE"""),300.0)</f>
        <v>300</v>
      </c>
      <c r="D640" s="2">
        <f>IFERROR(__xludf.DUMMYFUNCTION("""COMPUTED_VALUE"""),296.0)</f>
        <v>296</v>
      </c>
      <c r="E640" s="2">
        <f>IFERROR(__xludf.DUMMYFUNCTION("""COMPUTED_VALUE"""),298.0)</f>
        <v>298</v>
      </c>
      <c r="F640" s="2">
        <f>IFERROR(__xludf.DUMMYFUNCTION("""COMPUTED_VALUE"""),1.31021E7)</f>
        <v>13102100</v>
      </c>
      <c r="G640" s="2">
        <f t="shared" si="1"/>
        <v>4</v>
      </c>
    </row>
    <row r="641" ht="15.75" customHeight="1">
      <c r="A641" s="1">
        <f>IFERROR(__xludf.DUMMYFUNCTION("""COMPUTED_VALUE"""),44792.66666666667)</f>
        <v>44792.66667</v>
      </c>
      <c r="B641" s="2">
        <f>IFERROR(__xludf.DUMMYFUNCTION("""COMPUTED_VALUE"""),298.0)</f>
        <v>298</v>
      </c>
      <c r="C641" s="2">
        <f>IFERROR(__xludf.DUMMYFUNCTION("""COMPUTED_VALUE"""),308.0)</f>
        <v>308</v>
      </c>
      <c r="D641" s="2">
        <f>IFERROR(__xludf.DUMMYFUNCTION("""COMPUTED_VALUE"""),298.0)</f>
        <v>298</v>
      </c>
      <c r="E641" s="2">
        <f>IFERROR(__xludf.DUMMYFUNCTION("""COMPUTED_VALUE"""),304.0)</f>
        <v>304</v>
      </c>
      <c r="F641" s="2">
        <f>IFERROR(__xludf.DUMMYFUNCTION("""COMPUTED_VALUE"""),2.43509E7)</f>
        <v>24350900</v>
      </c>
      <c r="G641" s="2">
        <f t="shared" si="1"/>
        <v>10</v>
      </c>
    </row>
    <row r="642" ht="15.75" customHeight="1">
      <c r="A642" s="1">
        <f>IFERROR(__xludf.DUMMYFUNCTION("""COMPUTED_VALUE"""),44795.66666666667)</f>
        <v>44795.66667</v>
      </c>
      <c r="B642" s="2">
        <f>IFERROR(__xludf.DUMMYFUNCTION("""COMPUTED_VALUE"""),306.0)</f>
        <v>306</v>
      </c>
      <c r="C642" s="2">
        <f>IFERROR(__xludf.DUMMYFUNCTION("""COMPUTED_VALUE"""),308.0)</f>
        <v>308</v>
      </c>
      <c r="D642" s="2">
        <f>IFERROR(__xludf.DUMMYFUNCTION("""COMPUTED_VALUE"""),296.0)</f>
        <v>296</v>
      </c>
      <c r="E642" s="2">
        <f>IFERROR(__xludf.DUMMYFUNCTION("""COMPUTED_VALUE"""),300.0)</f>
        <v>300</v>
      </c>
      <c r="F642" s="2">
        <f>IFERROR(__xludf.DUMMYFUNCTION("""COMPUTED_VALUE"""),2.85186E7)</f>
        <v>28518600</v>
      </c>
      <c r="G642" s="2">
        <f t="shared" si="1"/>
        <v>12</v>
      </c>
    </row>
    <row r="643" ht="15.75" customHeight="1">
      <c r="A643" s="1">
        <f>IFERROR(__xludf.DUMMYFUNCTION("""COMPUTED_VALUE"""),44796.66666666667)</f>
        <v>44796.66667</v>
      </c>
      <c r="B643" s="2">
        <f>IFERROR(__xludf.DUMMYFUNCTION("""COMPUTED_VALUE"""),304.0)</f>
        <v>304</v>
      </c>
      <c r="C643" s="2">
        <f>IFERROR(__xludf.DUMMYFUNCTION("""COMPUTED_VALUE"""),326.0)</f>
        <v>326</v>
      </c>
      <c r="D643" s="2">
        <f>IFERROR(__xludf.DUMMYFUNCTION("""COMPUTED_VALUE"""),300.0)</f>
        <v>300</v>
      </c>
      <c r="E643" s="2">
        <f>IFERROR(__xludf.DUMMYFUNCTION("""COMPUTED_VALUE"""),318.0)</f>
        <v>318</v>
      </c>
      <c r="F643" s="2">
        <f>IFERROR(__xludf.DUMMYFUNCTION("""COMPUTED_VALUE"""),2.199497E8)</f>
        <v>219949700</v>
      </c>
      <c r="G643" s="2">
        <f t="shared" si="1"/>
        <v>26</v>
      </c>
    </row>
    <row r="644" ht="15.75" customHeight="1">
      <c r="A644" s="1">
        <f>IFERROR(__xludf.DUMMYFUNCTION("""COMPUTED_VALUE"""),44797.66666666667)</f>
        <v>44797.66667</v>
      </c>
      <c r="B644" s="2">
        <f>IFERROR(__xludf.DUMMYFUNCTION("""COMPUTED_VALUE"""),320.0)</f>
        <v>320</v>
      </c>
      <c r="C644" s="2">
        <f>IFERROR(__xludf.DUMMYFUNCTION("""COMPUTED_VALUE"""),322.0)</f>
        <v>322</v>
      </c>
      <c r="D644" s="2">
        <f>IFERROR(__xludf.DUMMYFUNCTION("""COMPUTED_VALUE"""),314.0)</f>
        <v>314</v>
      </c>
      <c r="E644" s="2">
        <f>IFERROR(__xludf.DUMMYFUNCTION("""COMPUTED_VALUE"""),320.0)</f>
        <v>320</v>
      </c>
      <c r="F644" s="2">
        <f>IFERROR(__xludf.DUMMYFUNCTION("""COMPUTED_VALUE"""),8.17058E7)</f>
        <v>81705800</v>
      </c>
      <c r="G644" s="2">
        <f t="shared" si="1"/>
        <v>8</v>
      </c>
    </row>
    <row r="645" ht="15.75" customHeight="1">
      <c r="A645" s="1">
        <f>IFERROR(__xludf.DUMMYFUNCTION("""COMPUTED_VALUE"""),44798.66666666667)</f>
        <v>44798.66667</v>
      </c>
      <c r="B645" s="2">
        <f>IFERROR(__xludf.DUMMYFUNCTION("""COMPUTED_VALUE"""),320.0)</f>
        <v>320</v>
      </c>
      <c r="C645" s="2">
        <f>IFERROR(__xludf.DUMMYFUNCTION("""COMPUTED_VALUE"""),324.0)</f>
        <v>324</v>
      </c>
      <c r="D645" s="2">
        <f>IFERROR(__xludf.DUMMYFUNCTION("""COMPUTED_VALUE"""),316.0)</f>
        <v>316</v>
      </c>
      <c r="E645" s="2">
        <f>IFERROR(__xludf.DUMMYFUNCTION("""COMPUTED_VALUE"""),318.0)</f>
        <v>318</v>
      </c>
      <c r="F645" s="2">
        <f>IFERROR(__xludf.DUMMYFUNCTION("""COMPUTED_VALUE"""),4.92832E7)</f>
        <v>49283200</v>
      </c>
      <c r="G645" s="2">
        <f t="shared" si="1"/>
        <v>8</v>
      </c>
    </row>
    <row r="646" ht="15.75" customHeight="1">
      <c r="A646" s="1">
        <f>IFERROR(__xludf.DUMMYFUNCTION("""COMPUTED_VALUE"""),44799.66666666667)</f>
        <v>44799.66667</v>
      </c>
      <c r="B646" s="2">
        <f>IFERROR(__xludf.DUMMYFUNCTION("""COMPUTED_VALUE"""),318.0)</f>
        <v>318</v>
      </c>
      <c r="C646" s="2">
        <f>IFERROR(__xludf.DUMMYFUNCTION("""COMPUTED_VALUE"""),342.0)</f>
        <v>342</v>
      </c>
      <c r="D646" s="2">
        <f>IFERROR(__xludf.DUMMYFUNCTION("""COMPUTED_VALUE"""),316.0)</f>
        <v>316</v>
      </c>
      <c r="E646" s="2">
        <f>IFERROR(__xludf.DUMMYFUNCTION("""COMPUTED_VALUE"""),322.0)</f>
        <v>322</v>
      </c>
      <c r="F646" s="2">
        <f>IFERROR(__xludf.DUMMYFUNCTION("""COMPUTED_VALUE"""),3.990366E8)</f>
        <v>399036600</v>
      </c>
      <c r="G646" s="2">
        <f t="shared" si="1"/>
        <v>26</v>
      </c>
    </row>
    <row r="647" ht="15.75" customHeight="1">
      <c r="A647" s="1">
        <f>IFERROR(__xludf.DUMMYFUNCTION("""COMPUTED_VALUE"""),44802.66666666667)</f>
        <v>44802.66667</v>
      </c>
      <c r="B647" s="2">
        <f>IFERROR(__xludf.DUMMYFUNCTION("""COMPUTED_VALUE"""),316.0)</f>
        <v>316</v>
      </c>
      <c r="C647" s="2">
        <f>IFERROR(__xludf.DUMMYFUNCTION("""COMPUTED_VALUE"""),332.0)</f>
        <v>332</v>
      </c>
      <c r="D647" s="2">
        <f>IFERROR(__xludf.DUMMYFUNCTION("""COMPUTED_VALUE"""),306.0)</f>
        <v>306</v>
      </c>
      <c r="E647" s="2">
        <f>IFERROR(__xludf.DUMMYFUNCTION("""COMPUTED_VALUE"""),326.0)</f>
        <v>326</v>
      </c>
      <c r="F647" s="2">
        <f>IFERROR(__xludf.DUMMYFUNCTION("""COMPUTED_VALUE"""),1.340037E8)</f>
        <v>134003700</v>
      </c>
      <c r="G647" s="2">
        <f t="shared" si="1"/>
        <v>26</v>
      </c>
    </row>
    <row r="648" ht="15.75" customHeight="1">
      <c r="A648" s="1">
        <f>IFERROR(__xludf.DUMMYFUNCTION("""COMPUTED_VALUE"""),44803.66666666667)</f>
        <v>44803.66667</v>
      </c>
      <c r="B648" s="2">
        <f>IFERROR(__xludf.DUMMYFUNCTION("""COMPUTED_VALUE"""),330.0)</f>
        <v>330</v>
      </c>
      <c r="C648" s="2">
        <f>IFERROR(__xludf.DUMMYFUNCTION("""COMPUTED_VALUE"""),334.0)</f>
        <v>334</v>
      </c>
      <c r="D648" s="2">
        <f>IFERROR(__xludf.DUMMYFUNCTION("""COMPUTED_VALUE"""),320.0)</f>
        <v>320</v>
      </c>
      <c r="E648" s="2">
        <f>IFERROR(__xludf.DUMMYFUNCTION("""COMPUTED_VALUE"""),324.0)</f>
        <v>324</v>
      </c>
      <c r="F648" s="2">
        <f>IFERROR(__xludf.DUMMYFUNCTION("""COMPUTED_VALUE"""),9.00217E7)</f>
        <v>90021700</v>
      </c>
      <c r="G648" s="2">
        <f t="shared" si="1"/>
        <v>14</v>
      </c>
    </row>
    <row r="649" ht="15.75" customHeight="1">
      <c r="A649" s="1">
        <f>IFERROR(__xludf.DUMMYFUNCTION("""COMPUTED_VALUE"""),44804.66666666667)</f>
        <v>44804.66667</v>
      </c>
      <c r="B649" s="2">
        <f>IFERROR(__xludf.DUMMYFUNCTION("""COMPUTED_VALUE"""),322.0)</f>
        <v>322</v>
      </c>
      <c r="C649" s="2">
        <f>IFERROR(__xludf.DUMMYFUNCTION("""COMPUTED_VALUE"""),324.0)</f>
        <v>324</v>
      </c>
      <c r="D649" s="2">
        <f>IFERROR(__xludf.DUMMYFUNCTION("""COMPUTED_VALUE"""),316.0)</f>
        <v>316</v>
      </c>
      <c r="E649" s="2">
        <f>IFERROR(__xludf.DUMMYFUNCTION("""COMPUTED_VALUE"""),318.0)</f>
        <v>318</v>
      </c>
      <c r="F649" s="2">
        <f>IFERROR(__xludf.DUMMYFUNCTION("""COMPUTED_VALUE"""),4.73295E7)</f>
        <v>47329500</v>
      </c>
      <c r="G649" s="2">
        <f t="shared" si="1"/>
        <v>8</v>
      </c>
    </row>
    <row r="650" ht="15.75" customHeight="1">
      <c r="A650" s="1">
        <f>IFERROR(__xludf.DUMMYFUNCTION("""COMPUTED_VALUE"""),44805.625)</f>
        <v>44805.625</v>
      </c>
      <c r="B650" s="2">
        <f>IFERROR(__xludf.DUMMYFUNCTION("""COMPUTED_VALUE"""),318.0)</f>
        <v>318</v>
      </c>
      <c r="C650" s="2">
        <f>IFERROR(__xludf.DUMMYFUNCTION("""COMPUTED_VALUE"""),322.0)</f>
        <v>322</v>
      </c>
      <c r="D650" s="2">
        <f>IFERROR(__xludf.DUMMYFUNCTION("""COMPUTED_VALUE"""),310.0)</f>
        <v>310</v>
      </c>
      <c r="E650" s="2">
        <f>IFERROR(__xludf.DUMMYFUNCTION("""COMPUTED_VALUE"""),318.0)</f>
        <v>318</v>
      </c>
      <c r="F650" s="2">
        <f>IFERROR(__xludf.DUMMYFUNCTION("""COMPUTED_VALUE"""),4.7738E7)</f>
        <v>47738000</v>
      </c>
      <c r="G650" s="2">
        <f t="shared" si="1"/>
        <v>12</v>
      </c>
    </row>
    <row r="651" ht="15.75" customHeight="1">
      <c r="A651" s="1">
        <f>IFERROR(__xludf.DUMMYFUNCTION("""COMPUTED_VALUE"""),44806.625)</f>
        <v>44806.625</v>
      </c>
      <c r="B651" s="2">
        <f>IFERROR(__xludf.DUMMYFUNCTION("""COMPUTED_VALUE"""),318.0)</f>
        <v>318</v>
      </c>
      <c r="C651" s="2">
        <f>IFERROR(__xludf.DUMMYFUNCTION("""COMPUTED_VALUE"""),322.0)</f>
        <v>322</v>
      </c>
      <c r="D651" s="2">
        <f>IFERROR(__xludf.DUMMYFUNCTION("""COMPUTED_VALUE"""),316.0)</f>
        <v>316</v>
      </c>
      <c r="E651" s="2">
        <f>IFERROR(__xludf.DUMMYFUNCTION("""COMPUTED_VALUE"""),318.0)</f>
        <v>318</v>
      </c>
      <c r="F651" s="2">
        <f>IFERROR(__xludf.DUMMYFUNCTION("""COMPUTED_VALUE"""),3.0792E7)</f>
        <v>30792000</v>
      </c>
      <c r="G651" s="2">
        <f t="shared" si="1"/>
        <v>6</v>
      </c>
    </row>
    <row r="652" ht="15.75" customHeight="1">
      <c r="A652" s="1">
        <f>IFERROR(__xludf.DUMMYFUNCTION("""COMPUTED_VALUE"""),44809.66666666667)</f>
        <v>44809.66667</v>
      </c>
      <c r="B652" s="2">
        <f>IFERROR(__xludf.DUMMYFUNCTION("""COMPUTED_VALUE"""),322.0)</f>
        <v>322</v>
      </c>
      <c r="C652" s="2">
        <f>IFERROR(__xludf.DUMMYFUNCTION("""COMPUTED_VALUE"""),332.0)</f>
        <v>332</v>
      </c>
      <c r="D652" s="2">
        <f>IFERROR(__xludf.DUMMYFUNCTION("""COMPUTED_VALUE"""),320.0)</f>
        <v>320</v>
      </c>
      <c r="E652" s="2">
        <f>IFERROR(__xludf.DUMMYFUNCTION("""COMPUTED_VALUE"""),328.0)</f>
        <v>328</v>
      </c>
      <c r="F652" s="2">
        <f>IFERROR(__xludf.DUMMYFUNCTION("""COMPUTED_VALUE"""),8.97933E7)</f>
        <v>89793300</v>
      </c>
      <c r="G652" s="2">
        <f t="shared" si="1"/>
        <v>14</v>
      </c>
    </row>
    <row r="653" ht="15.75" customHeight="1">
      <c r="A653" s="1">
        <f>IFERROR(__xludf.DUMMYFUNCTION("""COMPUTED_VALUE"""),44810.66666666667)</f>
        <v>44810.66667</v>
      </c>
      <c r="B653" s="2">
        <f>IFERROR(__xludf.DUMMYFUNCTION("""COMPUTED_VALUE"""),330.0)</f>
        <v>330</v>
      </c>
      <c r="C653" s="2">
        <f>IFERROR(__xludf.DUMMYFUNCTION("""COMPUTED_VALUE"""),346.0)</f>
        <v>346</v>
      </c>
      <c r="D653" s="2">
        <f>IFERROR(__xludf.DUMMYFUNCTION("""COMPUTED_VALUE"""),330.0)</f>
        <v>330</v>
      </c>
      <c r="E653" s="2">
        <f>IFERROR(__xludf.DUMMYFUNCTION("""COMPUTED_VALUE"""),336.0)</f>
        <v>336</v>
      </c>
      <c r="F653" s="2">
        <f>IFERROR(__xludf.DUMMYFUNCTION("""COMPUTED_VALUE"""),1.958539E8)</f>
        <v>195853900</v>
      </c>
      <c r="G653" s="2">
        <f t="shared" si="1"/>
        <v>18</v>
      </c>
    </row>
    <row r="654" ht="15.75" customHeight="1">
      <c r="A654" s="1">
        <f>IFERROR(__xludf.DUMMYFUNCTION("""COMPUTED_VALUE"""),44811.66666666667)</f>
        <v>44811.66667</v>
      </c>
      <c r="B654" s="2">
        <f>IFERROR(__xludf.DUMMYFUNCTION("""COMPUTED_VALUE"""),334.0)</f>
        <v>334</v>
      </c>
      <c r="C654" s="2">
        <f>IFERROR(__xludf.DUMMYFUNCTION("""COMPUTED_VALUE"""),336.0)</f>
        <v>336</v>
      </c>
      <c r="D654" s="2">
        <f>IFERROR(__xludf.DUMMYFUNCTION("""COMPUTED_VALUE"""),322.0)</f>
        <v>322</v>
      </c>
      <c r="E654" s="2">
        <f>IFERROR(__xludf.DUMMYFUNCTION("""COMPUTED_VALUE"""),326.0)</f>
        <v>326</v>
      </c>
      <c r="F654" s="2">
        <f>IFERROR(__xludf.DUMMYFUNCTION("""COMPUTED_VALUE"""),7.52644E7)</f>
        <v>75264400</v>
      </c>
      <c r="G654" s="2">
        <f t="shared" si="1"/>
        <v>14</v>
      </c>
    </row>
    <row r="655" ht="15.75" customHeight="1">
      <c r="A655" s="1">
        <f>IFERROR(__xludf.DUMMYFUNCTION("""COMPUTED_VALUE"""),44812.66666666667)</f>
        <v>44812.66667</v>
      </c>
      <c r="B655" s="2">
        <f>IFERROR(__xludf.DUMMYFUNCTION("""COMPUTED_VALUE"""),326.0)</f>
        <v>326</v>
      </c>
      <c r="C655" s="2">
        <f>IFERROR(__xludf.DUMMYFUNCTION("""COMPUTED_VALUE"""),326.0)</f>
        <v>326</v>
      </c>
      <c r="D655" s="2">
        <f>IFERROR(__xludf.DUMMYFUNCTION("""COMPUTED_VALUE"""),314.0)</f>
        <v>314</v>
      </c>
      <c r="E655" s="2">
        <f>IFERROR(__xludf.DUMMYFUNCTION("""COMPUTED_VALUE"""),318.0)</f>
        <v>318</v>
      </c>
      <c r="F655" s="2">
        <f>IFERROR(__xludf.DUMMYFUNCTION("""COMPUTED_VALUE"""),6.2931E7)</f>
        <v>62931000</v>
      </c>
      <c r="G655" s="2">
        <f t="shared" si="1"/>
        <v>12</v>
      </c>
    </row>
    <row r="656" ht="15.75" customHeight="1">
      <c r="A656" s="1">
        <f>IFERROR(__xludf.DUMMYFUNCTION("""COMPUTED_VALUE"""),44813.66666666667)</f>
        <v>44813.66667</v>
      </c>
      <c r="B656" s="2">
        <f>IFERROR(__xludf.DUMMYFUNCTION("""COMPUTED_VALUE"""),318.0)</f>
        <v>318</v>
      </c>
      <c r="C656" s="2">
        <f>IFERROR(__xludf.DUMMYFUNCTION("""COMPUTED_VALUE"""),322.0)</f>
        <v>322</v>
      </c>
      <c r="D656" s="2">
        <f>IFERROR(__xludf.DUMMYFUNCTION("""COMPUTED_VALUE"""),316.0)</f>
        <v>316</v>
      </c>
      <c r="E656" s="2">
        <f>IFERROR(__xludf.DUMMYFUNCTION("""COMPUTED_VALUE"""),318.0)</f>
        <v>318</v>
      </c>
      <c r="F656" s="2">
        <f>IFERROR(__xludf.DUMMYFUNCTION("""COMPUTED_VALUE"""),3.41561E7)</f>
        <v>34156100</v>
      </c>
      <c r="G656" s="2">
        <f t="shared" si="1"/>
        <v>6</v>
      </c>
    </row>
    <row r="657" ht="15.75" customHeight="1">
      <c r="A657" s="1">
        <f>IFERROR(__xludf.DUMMYFUNCTION("""COMPUTED_VALUE"""),44816.66666666667)</f>
        <v>44816.66667</v>
      </c>
      <c r="B657" s="2">
        <f>IFERROR(__xludf.DUMMYFUNCTION("""COMPUTED_VALUE"""),330.0)</f>
        <v>330</v>
      </c>
      <c r="C657" s="2">
        <f>IFERROR(__xludf.DUMMYFUNCTION("""COMPUTED_VALUE"""),366.0)</f>
        <v>366</v>
      </c>
      <c r="D657" s="2">
        <f>IFERROR(__xludf.DUMMYFUNCTION("""COMPUTED_VALUE"""),330.0)</f>
        <v>330</v>
      </c>
      <c r="E657" s="2">
        <f>IFERROR(__xludf.DUMMYFUNCTION("""COMPUTED_VALUE"""),354.0)</f>
        <v>354</v>
      </c>
      <c r="F657" s="2">
        <f>IFERROR(__xludf.DUMMYFUNCTION("""COMPUTED_VALUE"""),4.56808E8)</f>
        <v>456808000</v>
      </c>
      <c r="G657" s="2">
        <f t="shared" si="1"/>
        <v>48</v>
      </c>
    </row>
    <row r="658" ht="15.75" customHeight="1">
      <c r="A658" s="1">
        <f>IFERROR(__xludf.DUMMYFUNCTION("""COMPUTED_VALUE"""),44817.66666666667)</f>
        <v>44817.66667</v>
      </c>
      <c r="B658" s="2">
        <f>IFERROR(__xludf.DUMMYFUNCTION("""COMPUTED_VALUE"""),358.0)</f>
        <v>358</v>
      </c>
      <c r="C658" s="2">
        <f>IFERROR(__xludf.DUMMYFUNCTION("""COMPUTED_VALUE"""),364.0)</f>
        <v>364</v>
      </c>
      <c r="D658" s="2">
        <f>IFERROR(__xludf.DUMMYFUNCTION("""COMPUTED_VALUE"""),350.0)</f>
        <v>350</v>
      </c>
      <c r="E658" s="2">
        <f>IFERROR(__xludf.DUMMYFUNCTION("""COMPUTED_VALUE"""),350.0)</f>
        <v>350</v>
      </c>
      <c r="F658" s="2">
        <f>IFERROR(__xludf.DUMMYFUNCTION("""COMPUTED_VALUE"""),2.056661E8)</f>
        <v>205666100</v>
      </c>
      <c r="G658" s="2">
        <f t="shared" si="1"/>
        <v>14</v>
      </c>
    </row>
    <row r="659" ht="15.75" customHeight="1">
      <c r="A659" s="1">
        <f>IFERROR(__xludf.DUMMYFUNCTION("""COMPUTED_VALUE"""),44818.66666666667)</f>
        <v>44818.66667</v>
      </c>
      <c r="B659" s="2">
        <f>IFERROR(__xludf.DUMMYFUNCTION("""COMPUTED_VALUE"""),348.0)</f>
        <v>348</v>
      </c>
      <c r="C659" s="2">
        <f>IFERROR(__xludf.DUMMYFUNCTION("""COMPUTED_VALUE"""),356.0)</f>
        <v>356</v>
      </c>
      <c r="D659" s="2">
        <f>IFERROR(__xludf.DUMMYFUNCTION("""COMPUTED_VALUE"""),340.0)</f>
        <v>340</v>
      </c>
      <c r="E659" s="2">
        <f>IFERROR(__xludf.DUMMYFUNCTION("""COMPUTED_VALUE"""),352.0)</f>
        <v>352</v>
      </c>
      <c r="F659" s="2">
        <f>IFERROR(__xludf.DUMMYFUNCTION("""COMPUTED_VALUE"""),1.455261E8)</f>
        <v>145526100</v>
      </c>
      <c r="G659" s="2">
        <f t="shared" si="1"/>
        <v>16</v>
      </c>
    </row>
    <row r="660" ht="15.75" customHeight="1">
      <c r="A660" s="1">
        <f>IFERROR(__xludf.DUMMYFUNCTION("""COMPUTED_VALUE"""),44819.66666666667)</f>
        <v>44819.66667</v>
      </c>
      <c r="B660" s="2">
        <f>IFERROR(__xludf.DUMMYFUNCTION("""COMPUTED_VALUE"""),356.0)</f>
        <v>356</v>
      </c>
      <c r="C660" s="2">
        <f>IFERROR(__xludf.DUMMYFUNCTION("""COMPUTED_VALUE"""),364.0)</f>
        <v>364</v>
      </c>
      <c r="D660" s="2">
        <f>IFERROR(__xludf.DUMMYFUNCTION("""COMPUTED_VALUE"""),350.0)</f>
        <v>350</v>
      </c>
      <c r="E660" s="2">
        <f>IFERROR(__xludf.DUMMYFUNCTION("""COMPUTED_VALUE"""),350.0)</f>
        <v>350</v>
      </c>
      <c r="F660" s="2">
        <f>IFERROR(__xludf.DUMMYFUNCTION("""COMPUTED_VALUE"""),1.582781E8)</f>
        <v>158278100</v>
      </c>
      <c r="G660" s="2">
        <f t="shared" si="1"/>
        <v>14</v>
      </c>
    </row>
    <row r="661" ht="15.75" customHeight="1">
      <c r="A661" s="1">
        <f>IFERROR(__xludf.DUMMYFUNCTION("""COMPUTED_VALUE"""),44820.66666666667)</f>
        <v>44820.66667</v>
      </c>
      <c r="B661" s="2">
        <f>IFERROR(__xludf.DUMMYFUNCTION("""COMPUTED_VALUE"""),348.0)</f>
        <v>348</v>
      </c>
      <c r="C661" s="2">
        <f>IFERROR(__xludf.DUMMYFUNCTION("""COMPUTED_VALUE"""),348.0)</f>
        <v>348</v>
      </c>
      <c r="D661" s="2">
        <f>IFERROR(__xludf.DUMMYFUNCTION("""COMPUTED_VALUE"""),340.0)</f>
        <v>340</v>
      </c>
      <c r="E661" s="2">
        <f>IFERROR(__xludf.DUMMYFUNCTION("""COMPUTED_VALUE"""),342.0)</f>
        <v>342</v>
      </c>
      <c r="F661" s="2">
        <f>IFERROR(__xludf.DUMMYFUNCTION("""COMPUTED_VALUE"""),7.82329E7)</f>
        <v>78232900</v>
      </c>
      <c r="G661" s="2">
        <f t="shared" si="1"/>
        <v>10</v>
      </c>
    </row>
    <row r="662" ht="15.75" customHeight="1">
      <c r="A662" s="1">
        <f>IFERROR(__xludf.DUMMYFUNCTION("""COMPUTED_VALUE"""),44823.66666666667)</f>
        <v>44823.66667</v>
      </c>
      <c r="B662" s="2">
        <f>IFERROR(__xludf.DUMMYFUNCTION("""COMPUTED_VALUE"""),346.0)</f>
        <v>346</v>
      </c>
      <c r="C662" s="2">
        <f>IFERROR(__xludf.DUMMYFUNCTION("""COMPUTED_VALUE"""),346.0)</f>
        <v>346</v>
      </c>
      <c r="D662" s="2">
        <f>IFERROR(__xludf.DUMMYFUNCTION("""COMPUTED_VALUE"""),330.0)</f>
        <v>330</v>
      </c>
      <c r="E662" s="2">
        <f>IFERROR(__xludf.DUMMYFUNCTION("""COMPUTED_VALUE"""),332.0)</f>
        <v>332</v>
      </c>
      <c r="F662" s="2">
        <f>IFERROR(__xludf.DUMMYFUNCTION("""COMPUTED_VALUE"""),7.70225E7)</f>
        <v>77022500</v>
      </c>
      <c r="G662" s="2">
        <f t="shared" si="1"/>
        <v>16</v>
      </c>
    </row>
    <row r="663" ht="15.75" customHeight="1">
      <c r="A663" s="1">
        <f>IFERROR(__xludf.DUMMYFUNCTION("""COMPUTED_VALUE"""),44824.66666666667)</f>
        <v>44824.66667</v>
      </c>
      <c r="B663" s="2">
        <f>IFERROR(__xludf.DUMMYFUNCTION("""COMPUTED_VALUE"""),332.0)</f>
        <v>332</v>
      </c>
      <c r="C663" s="2">
        <f>IFERROR(__xludf.DUMMYFUNCTION("""COMPUTED_VALUE"""),338.0)</f>
        <v>338</v>
      </c>
      <c r="D663" s="2">
        <f>IFERROR(__xludf.DUMMYFUNCTION("""COMPUTED_VALUE"""),324.0)</f>
        <v>324</v>
      </c>
      <c r="E663" s="2">
        <f>IFERROR(__xludf.DUMMYFUNCTION("""COMPUTED_VALUE"""),326.0)</f>
        <v>326</v>
      </c>
      <c r="F663" s="2">
        <f>IFERROR(__xludf.DUMMYFUNCTION("""COMPUTED_VALUE"""),7.69345E7)</f>
        <v>76934500</v>
      </c>
      <c r="G663" s="2">
        <f t="shared" si="1"/>
        <v>14</v>
      </c>
    </row>
    <row r="664" ht="15.75" customHeight="1">
      <c r="A664" s="1">
        <f>IFERROR(__xludf.DUMMYFUNCTION("""COMPUTED_VALUE"""),44825.66666666667)</f>
        <v>44825.66667</v>
      </c>
      <c r="B664" s="2">
        <f>IFERROR(__xludf.DUMMYFUNCTION("""COMPUTED_VALUE"""),326.0)</f>
        <v>326</v>
      </c>
      <c r="C664" s="2">
        <f>IFERROR(__xludf.DUMMYFUNCTION("""COMPUTED_VALUE"""),338.0)</f>
        <v>338</v>
      </c>
      <c r="D664" s="2">
        <f>IFERROR(__xludf.DUMMYFUNCTION("""COMPUTED_VALUE"""),318.0)</f>
        <v>318</v>
      </c>
      <c r="E664" s="2">
        <f>IFERROR(__xludf.DUMMYFUNCTION("""COMPUTED_VALUE"""),336.0)</f>
        <v>336</v>
      </c>
      <c r="F664" s="2">
        <f>IFERROR(__xludf.DUMMYFUNCTION("""COMPUTED_VALUE"""),9.44325E7)</f>
        <v>94432500</v>
      </c>
      <c r="G664" s="2">
        <f t="shared" si="1"/>
        <v>20</v>
      </c>
    </row>
    <row r="665" ht="15.75" customHeight="1">
      <c r="A665" s="1">
        <f>IFERROR(__xludf.DUMMYFUNCTION("""COMPUTED_VALUE"""),44826.66666666667)</f>
        <v>44826.66667</v>
      </c>
      <c r="B665" s="2">
        <f>IFERROR(__xludf.DUMMYFUNCTION("""COMPUTED_VALUE"""),330.0)</f>
        <v>330</v>
      </c>
      <c r="C665" s="2">
        <f>IFERROR(__xludf.DUMMYFUNCTION("""COMPUTED_VALUE"""),338.0)</f>
        <v>338</v>
      </c>
      <c r="D665" s="2">
        <f>IFERROR(__xludf.DUMMYFUNCTION("""COMPUTED_VALUE"""),326.0)</f>
        <v>326</v>
      </c>
      <c r="E665" s="2">
        <f>IFERROR(__xludf.DUMMYFUNCTION("""COMPUTED_VALUE"""),336.0)</f>
        <v>336</v>
      </c>
      <c r="F665" s="2">
        <f>IFERROR(__xludf.DUMMYFUNCTION("""COMPUTED_VALUE"""),7.47209E7)</f>
        <v>74720900</v>
      </c>
      <c r="G665" s="2">
        <f t="shared" si="1"/>
        <v>12</v>
      </c>
    </row>
    <row r="666" ht="15.75" customHeight="1">
      <c r="A666" s="1">
        <f>IFERROR(__xludf.DUMMYFUNCTION("""COMPUTED_VALUE"""),44827.66666666667)</f>
        <v>44827.66667</v>
      </c>
      <c r="B666" s="2">
        <f>IFERROR(__xludf.DUMMYFUNCTION("""COMPUTED_VALUE"""),336.0)</f>
        <v>336</v>
      </c>
      <c r="C666" s="2">
        <f>IFERROR(__xludf.DUMMYFUNCTION("""COMPUTED_VALUE"""),340.0)</f>
        <v>340</v>
      </c>
      <c r="D666" s="2">
        <f>IFERROR(__xludf.DUMMYFUNCTION("""COMPUTED_VALUE"""),332.0)</f>
        <v>332</v>
      </c>
      <c r="E666" s="2">
        <f>IFERROR(__xludf.DUMMYFUNCTION("""COMPUTED_VALUE"""),332.0)</f>
        <v>332</v>
      </c>
      <c r="F666" s="2">
        <f>IFERROR(__xludf.DUMMYFUNCTION("""COMPUTED_VALUE"""),4.2298E7)</f>
        <v>42298000</v>
      </c>
      <c r="G666" s="2">
        <f t="shared" si="1"/>
        <v>8</v>
      </c>
    </row>
    <row r="667" ht="15.75" customHeight="1">
      <c r="A667" s="1">
        <f>IFERROR(__xludf.DUMMYFUNCTION("""COMPUTED_VALUE"""),44830.66666666667)</f>
        <v>44830.66667</v>
      </c>
      <c r="B667" s="2">
        <f>IFERROR(__xludf.DUMMYFUNCTION("""COMPUTED_VALUE"""),330.0)</f>
        <v>330</v>
      </c>
      <c r="C667" s="2">
        <f>IFERROR(__xludf.DUMMYFUNCTION("""COMPUTED_VALUE"""),330.0)</f>
        <v>330</v>
      </c>
      <c r="D667" s="2">
        <f>IFERROR(__xludf.DUMMYFUNCTION("""COMPUTED_VALUE"""),310.0)</f>
        <v>310</v>
      </c>
      <c r="E667" s="2">
        <f>IFERROR(__xludf.DUMMYFUNCTION("""COMPUTED_VALUE"""),310.0)</f>
        <v>310</v>
      </c>
      <c r="F667" s="2">
        <f>IFERROR(__xludf.DUMMYFUNCTION("""COMPUTED_VALUE"""),1.662767E8)</f>
        <v>166276700</v>
      </c>
      <c r="G667" s="2">
        <f t="shared" si="1"/>
        <v>22</v>
      </c>
    </row>
    <row r="668" ht="15.75" customHeight="1">
      <c r="A668" s="1">
        <f>IFERROR(__xludf.DUMMYFUNCTION("""COMPUTED_VALUE"""),44831.66666666667)</f>
        <v>44831.66667</v>
      </c>
      <c r="B668" s="2">
        <f>IFERROR(__xludf.DUMMYFUNCTION("""COMPUTED_VALUE"""),310.0)</f>
        <v>310</v>
      </c>
      <c r="C668" s="2">
        <f>IFERROR(__xludf.DUMMYFUNCTION("""COMPUTED_VALUE"""),312.0)</f>
        <v>312</v>
      </c>
      <c r="D668" s="2">
        <f>IFERROR(__xludf.DUMMYFUNCTION("""COMPUTED_VALUE"""),302.0)</f>
        <v>302</v>
      </c>
      <c r="E668" s="2">
        <f>IFERROR(__xludf.DUMMYFUNCTION("""COMPUTED_VALUE"""),308.0)</f>
        <v>308</v>
      </c>
      <c r="F668" s="2">
        <f>IFERROR(__xludf.DUMMYFUNCTION("""COMPUTED_VALUE"""),6.15689E7)</f>
        <v>61568900</v>
      </c>
      <c r="G668" s="2">
        <f t="shared" si="1"/>
        <v>10</v>
      </c>
    </row>
    <row r="669" ht="15.75" customHeight="1">
      <c r="A669" s="1">
        <f>IFERROR(__xludf.DUMMYFUNCTION("""COMPUTED_VALUE"""),44832.66666666667)</f>
        <v>44832.66667</v>
      </c>
      <c r="B669" s="2">
        <f>IFERROR(__xludf.DUMMYFUNCTION("""COMPUTED_VALUE"""),310.0)</f>
        <v>310</v>
      </c>
      <c r="C669" s="2">
        <f>IFERROR(__xludf.DUMMYFUNCTION("""COMPUTED_VALUE"""),312.0)</f>
        <v>312</v>
      </c>
      <c r="D669" s="2">
        <f>IFERROR(__xludf.DUMMYFUNCTION("""COMPUTED_VALUE"""),304.0)</f>
        <v>304</v>
      </c>
      <c r="E669" s="2">
        <f>IFERROR(__xludf.DUMMYFUNCTION("""COMPUTED_VALUE"""),304.0)</f>
        <v>304</v>
      </c>
      <c r="F669" s="2">
        <f>IFERROR(__xludf.DUMMYFUNCTION("""COMPUTED_VALUE"""),4.32826E7)</f>
        <v>43282600</v>
      </c>
      <c r="G669" s="2">
        <f t="shared" si="1"/>
        <v>8</v>
      </c>
    </row>
    <row r="670" ht="15.75" customHeight="1">
      <c r="A670" s="1">
        <f>IFERROR(__xludf.DUMMYFUNCTION("""COMPUTED_VALUE"""),44833.66666666667)</f>
        <v>44833.66667</v>
      </c>
      <c r="B670" s="2">
        <f>IFERROR(__xludf.DUMMYFUNCTION("""COMPUTED_VALUE"""),308.0)</f>
        <v>308</v>
      </c>
      <c r="C670" s="2">
        <f>IFERROR(__xludf.DUMMYFUNCTION("""COMPUTED_VALUE"""),318.0)</f>
        <v>318</v>
      </c>
      <c r="D670" s="2">
        <f>IFERROR(__xludf.DUMMYFUNCTION("""COMPUTED_VALUE"""),304.0)</f>
        <v>304</v>
      </c>
      <c r="E670" s="2">
        <f>IFERROR(__xludf.DUMMYFUNCTION("""COMPUTED_VALUE"""),306.0)</f>
        <v>306</v>
      </c>
      <c r="F670" s="2">
        <f>IFERROR(__xludf.DUMMYFUNCTION("""COMPUTED_VALUE"""),6.68465E7)</f>
        <v>66846500</v>
      </c>
      <c r="G670" s="2">
        <f t="shared" si="1"/>
        <v>14</v>
      </c>
    </row>
    <row r="671" ht="15.75" customHeight="1">
      <c r="A671" s="1">
        <f>IFERROR(__xludf.DUMMYFUNCTION("""COMPUTED_VALUE"""),44834.66666666667)</f>
        <v>44834.66667</v>
      </c>
      <c r="B671" s="2">
        <f>IFERROR(__xludf.DUMMYFUNCTION("""COMPUTED_VALUE"""),306.0)</f>
        <v>306</v>
      </c>
      <c r="C671" s="2">
        <f>IFERROR(__xludf.DUMMYFUNCTION("""COMPUTED_VALUE"""),308.0)</f>
        <v>308</v>
      </c>
      <c r="D671" s="2">
        <f>IFERROR(__xludf.DUMMYFUNCTION("""COMPUTED_VALUE"""),300.0)</f>
        <v>300</v>
      </c>
      <c r="E671" s="2">
        <f>IFERROR(__xludf.DUMMYFUNCTION("""COMPUTED_VALUE"""),308.0)</f>
        <v>308</v>
      </c>
      <c r="F671" s="2">
        <f>IFERROR(__xludf.DUMMYFUNCTION("""COMPUTED_VALUE"""),5.24304E7)</f>
        <v>52430400</v>
      </c>
      <c r="G671" s="2">
        <f t="shared" si="1"/>
        <v>8</v>
      </c>
    </row>
    <row r="672" ht="15.75" customHeight="1">
      <c r="A672" s="1">
        <f>IFERROR(__xludf.DUMMYFUNCTION("""COMPUTED_VALUE"""),44837.66666666667)</f>
        <v>44837.66667</v>
      </c>
      <c r="B672" s="2">
        <f>IFERROR(__xludf.DUMMYFUNCTION("""COMPUTED_VALUE"""),308.0)</f>
        <v>308</v>
      </c>
      <c r="C672" s="2">
        <f>IFERROR(__xludf.DUMMYFUNCTION("""COMPUTED_VALUE"""),316.0)</f>
        <v>316</v>
      </c>
      <c r="D672" s="2">
        <f>IFERROR(__xludf.DUMMYFUNCTION("""COMPUTED_VALUE"""),306.0)</f>
        <v>306</v>
      </c>
      <c r="E672" s="2">
        <f>IFERROR(__xludf.DUMMYFUNCTION("""COMPUTED_VALUE"""),314.0)</f>
        <v>314</v>
      </c>
      <c r="F672" s="2">
        <f>IFERROR(__xludf.DUMMYFUNCTION("""COMPUTED_VALUE"""),4.71743E7)</f>
        <v>47174300</v>
      </c>
      <c r="G672" s="2">
        <f t="shared" si="1"/>
        <v>10</v>
      </c>
    </row>
    <row r="673" ht="15.75" customHeight="1">
      <c r="A673" s="1">
        <f>IFERROR(__xludf.DUMMYFUNCTION("""COMPUTED_VALUE"""),44838.66666666667)</f>
        <v>44838.66667</v>
      </c>
      <c r="B673" s="2">
        <f>IFERROR(__xludf.DUMMYFUNCTION("""COMPUTED_VALUE"""),320.0)</f>
        <v>320</v>
      </c>
      <c r="C673" s="2">
        <f>IFERROR(__xludf.DUMMYFUNCTION("""COMPUTED_VALUE"""),324.0)</f>
        <v>324</v>
      </c>
      <c r="D673" s="2">
        <f>IFERROR(__xludf.DUMMYFUNCTION("""COMPUTED_VALUE"""),316.0)</f>
        <v>316</v>
      </c>
      <c r="E673" s="2">
        <f>IFERROR(__xludf.DUMMYFUNCTION("""COMPUTED_VALUE"""),324.0)</f>
        <v>324</v>
      </c>
      <c r="F673" s="2">
        <f>IFERROR(__xludf.DUMMYFUNCTION("""COMPUTED_VALUE"""),5.53254E7)</f>
        <v>55325400</v>
      </c>
      <c r="G673" s="2">
        <f t="shared" si="1"/>
        <v>10</v>
      </c>
    </row>
    <row r="674" ht="15.75" customHeight="1">
      <c r="A674" s="1">
        <f>IFERROR(__xludf.DUMMYFUNCTION("""COMPUTED_VALUE"""),44839.66666666667)</f>
        <v>44839.66667</v>
      </c>
      <c r="B674" s="2">
        <f>IFERROR(__xludf.DUMMYFUNCTION("""COMPUTED_VALUE"""),324.0)</f>
        <v>324</v>
      </c>
      <c r="C674" s="2">
        <f>IFERROR(__xludf.DUMMYFUNCTION("""COMPUTED_VALUE"""),330.0)</f>
        <v>330</v>
      </c>
      <c r="D674" s="2">
        <f>IFERROR(__xludf.DUMMYFUNCTION("""COMPUTED_VALUE"""),318.0)</f>
        <v>318</v>
      </c>
      <c r="E674" s="2">
        <f>IFERROR(__xludf.DUMMYFUNCTION("""COMPUTED_VALUE"""),320.0)</f>
        <v>320</v>
      </c>
      <c r="F674" s="2">
        <f>IFERROR(__xludf.DUMMYFUNCTION("""COMPUTED_VALUE"""),6.38674E7)</f>
        <v>63867400</v>
      </c>
      <c r="G674" s="2">
        <f t="shared" si="1"/>
        <v>12</v>
      </c>
    </row>
    <row r="675" ht="15.75" customHeight="1">
      <c r="A675" s="1">
        <f>IFERROR(__xludf.DUMMYFUNCTION("""COMPUTED_VALUE"""),44840.66666666667)</f>
        <v>44840.66667</v>
      </c>
      <c r="B675" s="2">
        <f>IFERROR(__xludf.DUMMYFUNCTION("""COMPUTED_VALUE"""),324.0)</f>
        <v>324</v>
      </c>
      <c r="C675" s="2">
        <f>IFERROR(__xludf.DUMMYFUNCTION("""COMPUTED_VALUE"""),328.0)</f>
        <v>328</v>
      </c>
      <c r="D675" s="2">
        <f>IFERROR(__xludf.DUMMYFUNCTION("""COMPUTED_VALUE"""),320.0)</f>
        <v>320</v>
      </c>
      <c r="E675" s="2">
        <f>IFERROR(__xludf.DUMMYFUNCTION("""COMPUTED_VALUE"""),322.0)</f>
        <v>322</v>
      </c>
      <c r="F675" s="2">
        <f>IFERROR(__xludf.DUMMYFUNCTION("""COMPUTED_VALUE"""),3.13552E7)</f>
        <v>31355200</v>
      </c>
      <c r="G675" s="2">
        <f t="shared" si="1"/>
        <v>8</v>
      </c>
    </row>
    <row r="676" ht="15.75" customHeight="1">
      <c r="A676" s="1">
        <f>IFERROR(__xludf.DUMMYFUNCTION("""COMPUTED_VALUE"""),44841.66666666667)</f>
        <v>44841.66667</v>
      </c>
      <c r="B676" s="2">
        <f>IFERROR(__xludf.DUMMYFUNCTION("""COMPUTED_VALUE"""),322.0)</f>
        <v>322</v>
      </c>
      <c r="C676" s="2">
        <f>IFERROR(__xludf.DUMMYFUNCTION("""COMPUTED_VALUE"""),326.0)</f>
        <v>326</v>
      </c>
      <c r="D676" s="2">
        <f>IFERROR(__xludf.DUMMYFUNCTION("""COMPUTED_VALUE"""),320.0)</f>
        <v>320</v>
      </c>
      <c r="E676" s="2">
        <f>IFERROR(__xludf.DUMMYFUNCTION("""COMPUTED_VALUE"""),322.0)</f>
        <v>322</v>
      </c>
      <c r="F676" s="2">
        <f>IFERROR(__xludf.DUMMYFUNCTION("""COMPUTED_VALUE"""),2.38672E7)</f>
        <v>23867200</v>
      </c>
      <c r="G676" s="2">
        <f t="shared" si="1"/>
        <v>6</v>
      </c>
    </row>
    <row r="677" ht="15.75" customHeight="1">
      <c r="A677" s="1">
        <f>IFERROR(__xludf.DUMMYFUNCTION("""COMPUTED_VALUE"""),44844.66666666667)</f>
        <v>44844.66667</v>
      </c>
      <c r="B677" s="2">
        <f>IFERROR(__xludf.DUMMYFUNCTION("""COMPUTED_VALUE"""),324.0)</f>
        <v>324</v>
      </c>
      <c r="C677" s="2">
        <f>IFERROR(__xludf.DUMMYFUNCTION("""COMPUTED_VALUE"""),338.0)</f>
        <v>338</v>
      </c>
      <c r="D677" s="2">
        <f>IFERROR(__xludf.DUMMYFUNCTION("""COMPUTED_VALUE"""),324.0)</f>
        <v>324</v>
      </c>
      <c r="E677" s="2">
        <f>IFERROR(__xludf.DUMMYFUNCTION("""COMPUTED_VALUE"""),328.0)</f>
        <v>328</v>
      </c>
      <c r="F677" s="2">
        <f>IFERROR(__xludf.DUMMYFUNCTION("""COMPUTED_VALUE"""),1.259747E8)</f>
        <v>125974700</v>
      </c>
      <c r="G677" s="2">
        <f t="shared" si="1"/>
        <v>16</v>
      </c>
    </row>
    <row r="678" ht="15.75" customHeight="1">
      <c r="A678" s="1">
        <f>IFERROR(__xludf.DUMMYFUNCTION("""COMPUTED_VALUE"""),44845.66666666667)</f>
        <v>44845.66667</v>
      </c>
      <c r="B678" s="2">
        <f>IFERROR(__xludf.DUMMYFUNCTION("""COMPUTED_VALUE"""),326.0)</f>
        <v>326</v>
      </c>
      <c r="C678" s="2">
        <f>IFERROR(__xludf.DUMMYFUNCTION("""COMPUTED_VALUE"""),328.0)</f>
        <v>328</v>
      </c>
      <c r="D678" s="2">
        <f>IFERROR(__xludf.DUMMYFUNCTION("""COMPUTED_VALUE"""),318.0)</f>
        <v>318</v>
      </c>
      <c r="E678" s="2">
        <f>IFERROR(__xludf.DUMMYFUNCTION("""COMPUTED_VALUE"""),320.0)</f>
        <v>320</v>
      </c>
      <c r="F678" s="2">
        <f>IFERROR(__xludf.DUMMYFUNCTION("""COMPUTED_VALUE"""),5.87412E7)</f>
        <v>58741200</v>
      </c>
      <c r="G678" s="2">
        <f t="shared" si="1"/>
        <v>10</v>
      </c>
    </row>
    <row r="679" ht="15.75" customHeight="1">
      <c r="A679" s="1">
        <f>IFERROR(__xludf.DUMMYFUNCTION("""COMPUTED_VALUE"""),44846.66666666667)</f>
        <v>44846.66667</v>
      </c>
      <c r="B679" s="2">
        <f>IFERROR(__xludf.DUMMYFUNCTION("""COMPUTED_VALUE"""),320.0)</f>
        <v>320</v>
      </c>
      <c r="C679" s="2">
        <f>IFERROR(__xludf.DUMMYFUNCTION("""COMPUTED_VALUE"""),320.0)</f>
        <v>320</v>
      </c>
      <c r="D679" s="2">
        <f>IFERROR(__xludf.DUMMYFUNCTION("""COMPUTED_VALUE"""),312.0)</f>
        <v>312</v>
      </c>
      <c r="E679" s="2">
        <f>IFERROR(__xludf.DUMMYFUNCTION("""COMPUTED_VALUE"""),314.0)</f>
        <v>314</v>
      </c>
      <c r="F679" s="2">
        <f>IFERROR(__xludf.DUMMYFUNCTION("""COMPUTED_VALUE"""),4.01614E7)</f>
        <v>40161400</v>
      </c>
      <c r="G679" s="2">
        <f t="shared" si="1"/>
        <v>8</v>
      </c>
    </row>
    <row r="680" ht="15.75" customHeight="1">
      <c r="A680" s="1">
        <f>IFERROR(__xludf.DUMMYFUNCTION("""COMPUTED_VALUE"""),44847.66666666667)</f>
        <v>44847.66667</v>
      </c>
      <c r="B680" s="2">
        <f>IFERROR(__xludf.DUMMYFUNCTION("""COMPUTED_VALUE"""),314.0)</f>
        <v>314</v>
      </c>
      <c r="C680" s="2">
        <f>IFERROR(__xludf.DUMMYFUNCTION("""COMPUTED_VALUE"""),324.0)</f>
        <v>324</v>
      </c>
      <c r="D680" s="2">
        <f>IFERROR(__xludf.DUMMYFUNCTION("""COMPUTED_VALUE"""),312.0)</f>
        <v>312</v>
      </c>
      <c r="E680" s="2">
        <f>IFERROR(__xludf.DUMMYFUNCTION("""COMPUTED_VALUE"""),316.0)</f>
        <v>316</v>
      </c>
      <c r="F680" s="2">
        <f>IFERROR(__xludf.DUMMYFUNCTION("""COMPUTED_VALUE"""),3.18772E7)</f>
        <v>31877200</v>
      </c>
      <c r="G680" s="2">
        <f t="shared" si="1"/>
        <v>12</v>
      </c>
    </row>
    <row r="681" ht="15.75" customHeight="1">
      <c r="A681" s="1">
        <f>IFERROR(__xludf.DUMMYFUNCTION("""COMPUTED_VALUE"""),44848.66666666667)</f>
        <v>44848.66667</v>
      </c>
      <c r="B681" s="2">
        <f>IFERROR(__xludf.DUMMYFUNCTION("""COMPUTED_VALUE"""),320.0)</f>
        <v>320</v>
      </c>
      <c r="C681" s="2">
        <f>IFERROR(__xludf.DUMMYFUNCTION("""COMPUTED_VALUE"""),324.0)</f>
        <v>324</v>
      </c>
      <c r="D681" s="2">
        <f>IFERROR(__xludf.DUMMYFUNCTION("""COMPUTED_VALUE"""),314.0)</f>
        <v>314</v>
      </c>
      <c r="E681" s="2">
        <f>IFERROR(__xludf.DUMMYFUNCTION("""COMPUTED_VALUE"""),316.0)</f>
        <v>316</v>
      </c>
      <c r="F681" s="2">
        <f>IFERROR(__xludf.DUMMYFUNCTION("""COMPUTED_VALUE"""),3.29037E7)</f>
        <v>32903700</v>
      </c>
      <c r="G681" s="2">
        <f t="shared" si="1"/>
        <v>10</v>
      </c>
    </row>
    <row r="682" ht="15.75" customHeight="1">
      <c r="A682" s="1">
        <f>IFERROR(__xludf.DUMMYFUNCTION("""COMPUTED_VALUE"""),44851.66666666667)</f>
        <v>44851.66667</v>
      </c>
      <c r="B682" s="2">
        <f>IFERROR(__xludf.DUMMYFUNCTION("""COMPUTED_VALUE"""),316.0)</f>
        <v>316</v>
      </c>
      <c r="C682" s="2">
        <f>IFERROR(__xludf.DUMMYFUNCTION("""COMPUTED_VALUE"""),316.0)</f>
        <v>316</v>
      </c>
      <c r="D682" s="2">
        <f>IFERROR(__xludf.DUMMYFUNCTION("""COMPUTED_VALUE"""),306.0)</f>
        <v>306</v>
      </c>
      <c r="E682" s="2">
        <f>IFERROR(__xludf.DUMMYFUNCTION("""COMPUTED_VALUE"""),312.0)</f>
        <v>312</v>
      </c>
      <c r="F682" s="2">
        <f>IFERROR(__xludf.DUMMYFUNCTION("""COMPUTED_VALUE"""),3.22831E7)</f>
        <v>32283100</v>
      </c>
      <c r="G682" s="2">
        <f t="shared" si="1"/>
        <v>10</v>
      </c>
    </row>
    <row r="683" ht="15.75" customHeight="1">
      <c r="A683" s="1">
        <f>IFERROR(__xludf.DUMMYFUNCTION("""COMPUTED_VALUE"""),44852.66666666667)</f>
        <v>44852.66667</v>
      </c>
      <c r="B683" s="2">
        <f>IFERROR(__xludf.DUMMYFUNCTION("""COMPUTED_VALUE"""),312.0)</f>
        <v>312</v>
      </c>
      <c r="C683" s="2">
        <f>IFERROR(__xludf.DUMMYFUNCTION("""COMPUTED_VALUE"""),316.0)</f>
        <v>316</v>
      </c>
      <c r="D683" s="2">
        <f>IFERROR(__xludf.DUMMYFUNCTION("""COMPUTED_VALUE"""),310.0)</f>
        <v>310</v>
      </c>
      <c r="E683" s="2">
        <f>IFERROR(__xludf.DUMMYFUNCTION("""COMPUTED_VALUE"""),314.0)</f>
        <v>314</v>
      </c>
      <c r="F683" s="2">
        <f>IFERROR(__xludf.DUMMYFUNCTION("""COMPUTED_VALUE"""),1.89712E7)</f>
        <v>18971200</v>
      </c>
      <c r="G683" s="2">
        <f t="shared" si="1"/>
        <v>6</v>
      </c>
    </row>
    <row r="684" ht="15.75" customHeight="1">
      <c r="A684" s="1">
        <f>IFERROR(__xludf.DUMMYFUNCTION("""COMPUTED_VALUE"""),44853.66666666667)</f>
        <v>44853.66667</v>
      </c>
      <c r="B684" s="2">
        <f>IFERROR(__xludf.DUMMYFUNCTION("""COMPUTED_VALUE"""),312.0)</f>
        <v>312</v>
      </c>
      <c r="C684" s="2">
        <f>IFERROR(__xludf.DUMMYFUNCTION("""COMPUTED_VALUE"""),316.0)</f>
        <v>316</v>
      </c>
      <c r="D684" s="2">
        <f>IFERROR(__xludf.DUMMYFUNCTION("""COMPUTED_VALUE"""),308.0)</f>
        <v>308</v>
      </c>
      <c r="E684" s="2">
        <f>IFERROR(__xludf.DUMMYFUNCTION("""COMPUTED_VALUE"""),310.0)</f>
        <v>310</v>
      </c>
      <c r="F684" s="2">
        <f>IFERROR(__xludf.DUMMYFUNCTION("""COMPUTED_VALUE"""),1.75272E7)</f>
        <v>17527200</v>
      </c>
      <c r="G684" s="2">
        <f t="shared" si="1"/>
        <v>8</v>
      </c>
    </row>
    <row r="685" ht="15.75" customHeight="1">
      <c r="A685" s="1">
        <f>IFERROR(__xludf.DUMMYFUNCTION("""COMPUTED_VALUE"""),44854.66666666667)</f>
        <v>44854.66667</v>
      </c>
      <c r="B685" s="2">
        <f>IFERROR(__xludf.DUMMYFUNCTION("""COMPUTED_VALUE"""),312.0)</f>
        <v>312</v>
      </c>
      <c r="C685" s="2">
        <f>IFERROR(__xludf.DUMMYFUNCTION("""COMPUTED_VALUE"""),318.0)</f>
        <v>318</v>
      </c>
      <c r="D685" s="2">
        <f>IFERROR(__xludf.DUMMYFUNCTION("""COMPUTED_VALUE"""),310.0)</f>
        <v>310</v>
      </c>
      <c r="E685" s="2">
        <f>IFERROR(__xludf.DUMMYFUNCTION("""COMPUTED_VALUE"""),318.0)</f>
        <v>318</v>
      </c>
      <c r="F685" s="2">
        <f>IFERROR(__xludf.DUMMYFUNCTION("""COMPUTED_VALUE"""),3.04081E7)</f>
        <v>30408100</v>
      </c>
      <c r="G685" s="2">
        <f t="shared" si="1"/>
        <v>8</v>
      </c>
    </row>
    <row r="686" ht="15.75" customHeight="1">
      <c r="A686" s="1">
        <f>IFERROR(__xludf.DUMMYFUNCTION("""COMPUTED_VALUE"""),44855.66666666667)</f>
        <v>44855.66667</v>
      </c>
      <c r="B686" s="2">
        <f>IFERROR(__xludf.DUMMYFUNCTION("""COMPUTED_VALUE"""),318.0)</f>
        <v>318</v>
      </c>
      <c r="C686" s="2">
        <f>IFERROR(__xludf.DUMMYFUNCTION("""COMPUTED_VALUE"""),322.0)</f>
        <v>322</v>
      </c>
      <c r="D686" s="2">
        <f>IFERROR(__xludf.DUMMYFUNCTION("""COMPUTED_VALUE"""),316.0)</f>
        <v>316</v>
      </c>
      <c r="E686" s="2">
        <f>IFERROR(__xludf.DUMMYFUNCTION("""COMPUTED_VALUE"""),320.0)</f>
        <v>320</v>
      </c>
      <c r="F686" s="2">
        <f>IFERROR(__xludf.DUMMYFUNCTION("""COMPUTED_VALUE"""),2.08912E7)</f>
        <v>20891200</v>
      </c>
      <c r="G686" s="2">
        <f t="shared" si="1"/>
        <v>6</v>
      </c>
    </row>
    <row r="687" ht="15.75" customHeight="1">
      <c r="A687" s="1">
        <f>IFERROR(__xludf.DUMMYFUNCTION("""COMPUTED_VALUE"""),44858.66666666667)</f>
        <v>44858.66667</v>
      </c>
      <c r="B687" s="2">
        <f>IFERROR(__xludf.DUMMYFUNCTION("""COMPUTED_VALUE"""),322.0)</f>
        <v>322</v>
      </c>
      <c r="C687" s="2">
        <f>IFERROR(__xludf.DUMMYFUNCTION("""COMPUTED_VALUE"""),334.0)</f>
        <v>334</v>
      </c>
      <c r="D687" s="2">
        <f>IFERROR(__xludf.DUMMYFUNCTION("""COMPUTED_VALUE"""),320.0)</f>
        <v>320</v>
      </c>
      <c r="E687" s="2">
        <f>IFERROR(__xludf.DUMMYFUNCTION("""COMPUTED_VALUE"""),330.0)</f>
        <v>330</v>
      </c>
      <c r="F687" s="2">
        <f>IFERROR(__xludf.DUMMYFUNCTION("""COMPUTED_VALUE"""),8.78765E7)</f>
        <v>87876500</v>
      </c>
      <c r="G687" s="2">
        <f t="shared" si="1"/>
        <v>14</v>
      </c>
    </row>
    <row r="688" ht="15.75" customHeight="1">
      <c r="A688" s="1">
        <f>IFERROR(__xludf.DUMMYFUNCTION("""COMPUTED_VALUE"""),44859.66666666667)</f>
        <v>44859.66667</v>
      </c>
      <c r="B688" s="2">
        <f>IFERROR(__xludf.DUMMYFUNCTION("""COMPUTED_VALUE"""),332.0)</f>
        <v>332</v>
      </c>
      <c r="C688" s="2">
        <f>IFERROR(__xludf.DUMMYFUNCTION("""COMPUTED_VALUE"""),338.0)</f>
        <v>338</v>
      </c>
      <c r="D688" s="2">
        <f>IFERROR(__xludf.DUMMYFUNCTION("""COMPUTED_VALUE"""),326.0)</f>
        <v>326</v>
      </c>
      <c r="E688" s="2">
        <f>IFERROR(__xludf.DUMMYFUNCTION("""COMPUTED_VALUE"""),336.0)</f>
        <v>336</v>
      </c>
      <c r="F688" s="2">
        <f>IFERROR(__xludf.DUMMYFUNCTION("""COMPUTED_VALUE"""),7.96212E7)</f>
        <v>79621200</v>
      </c>
      <c r="G688" s="2">
        <f t="shared" si="1"/>
        <v>12</v>
      </c>
    </row>
    <row r="689" ht="15.75" customHeight="1">
      <c r="A689" s="1">
        <f>IFERROR(__xludf.DUMMYFUNCTION("""COMPUTED_VALUE"""),44860.66666666667)</f>
        <v>44860.66667</v>
      </c>
      <c r="B689" s="2">
        <f>IFERROR(__xludf.DUMMYFUNCTION("""COMPUTED_VALUE"""),336.0)</f>
        <v>336</v>
      </c>
      <c r="C689" s="2">
        <f>IFERROR(__xludf.DUMMYFUNCTION("""COMPUTED_VALUE"""),350.0)</f>
        <v>350</v>
      </c>
      <c r="D689" s="2">
        <f>IFERROR(__xludf.DUMMYFUNCTION("""COMPUTED_VALUE"""),334.0)</f>
        <v>334</v>
      </c>
      <c r="E689" s="2">
        <f>IFERROR(__xludf.DUMMYFUNCTION("""COMPUTED_VALUE"""),346.0)</f>
        <v>346</v>
      </c>
      <c r="F689" s="2">
        <f>IFERROR(__xludf.DUMMYFUNCTION("""COMPUTED_VALUE"""),1.119012E8)</f>
        <v>111901200</v>
      </c>
      <c r="G689" s="2">
        <f t="shared" si="1"/>
        <v>16</v>
      </c>
    </row>
    <row r="690" ht="15.75" customHeight="1">
      <c r="A690" s="1">
        <f>IFERROR(__xludf.DUMMYFUNCTION("""COMPUTED_VALUE"""),44861.66666666667)</f>
        <v>44861.66667</v>
      </c>
      <c r="B690" s="2">
        <f>IFERROR(__xludf.DUMMYFUNCTION("""COMPUTED_VALUE"""),348.0)</f>
        <v>348</v>
      </c>
      <c r="C690" s="2">
        <f>IFERROR(__xludf.DUMMYFUNCTION("""COMPUTED_VALUE"""),360.0)</f>
        <v>360</v>
      </c>
      <c r="D690" s="2">
        <f>IFERROR(__xludf.DUMMYFUNCTION("""COMPUTED_VALUE"""),336.0)</f>
        <v>336</v>
      </c>
      <c r="E690" s="2">
        <f>IFERROR(__xludf.DUMMYFUNCTION("""COMPUTED_VALUE"""),340.0)</f>
        <v>340</v>
      </c>
      <c r="F690" s="2">
        <f>IFERROR(__xludf.DUMMYFUNCTION("""COMPUTED_VALUE"""),1.962236E8)</f>
        <v>196223600</v>
      </c>
      <c r="G690" s="2">
        <f t="shared" si="1"/>
        <v>24</v>
      </c>
    </row>
    <row r="691" ht="15.75" customHeight="1">
      <c r="A691" s="1">
        <f>IFERROR(__xludf.DUMMYFUNCTION("""COMPUTED_VALUE"""),44862.66666666667)</f>
        <v>44862.66667</v>
      </c>
      <c r="B691" s="2">
        <f>IFERROR(__xludf.DUMMYFUNCTION("""COMPUTED_VALUE"""),342.0)</f>
        <v>342</v>
      </c>
      <c r="C691" s="2">
        <f>IFERROR(__xludf.DUMMYFUNCTION("""COMPUTED_VALUE"""),366.0)</f>
        <v>366</v>
      </c>
      <c r="D691" s="2">
        <f>IFERROR(__xludf.DUMMYFUNCTION("""COMPUTED_VALUE"""),340.0)</f>
        <v>340</v>
      </c>
      <c r="E691" s="2">
        <f>IFERROR(__xludf.DUMMYFUNCTION("""COMPUTED_VALUE"""),352.0)</f>
        <v>352</v>
      </c>
      <c r="F691" s="2">
        <f>IFERROR(__xludf.DUMMYFUNCTION("""COMPUTED_VALUE"""),3.268749E8)</f>
        <v>326874900</v>
      </c>
      <c r="G691" s="2">
        <f t="shared" si="1"/>
        <v>26</v>
      </c>
    </row>
    <row r="692" ht="15.75" customHeight="1">
      <c r="A692" s="1">
        <f>IFERROR(__xludf.DUMMYFUNCTION("""COMPUTED_VALUE"""),44865.66666666667)</f>
        <v>44865.66667</v>
      </c>
      <c r="B692" s="2">
        <f>IFERROR(__xludf.DUMMYFUNCTION("""COMPUTED_VALUE"""),356.0)</f>
        <v>356</v>
      </c>
      <c r="C692" s="2">
        <f>IFERROR(__xludf.DUMMYFUNCTION("""COMPUTED_VALUE"""),378.0)</f>
        <v>378</v>
      </c>
      <c r="D692" s="2">
        <f>IFERROR(__xludf.DUMMYFUNCTION("""COMPUTED_VALUE"""),348.0)</f>
        <v>348</v>
      </c>
      <c r="E692" s="2">
        <f>IFERROR(__xludf.DUMMYFUNCTION("""COMPUTED_VALUE"""),376.0)</f>
        <v>376</v>
      </c>
      <c r="F692" s="2">
        <f>IFERROR(__xludf.DUMMYFUNCTION("""COMPUTED_VALUE"""),3.881229E8)</f>
        <v>388122900</v>
      </c>
      <c r="G692" s="2">
        <f t="shared" si="1"/>
        <v>30</v>
      </c>
    </row>
    <row r="693" ht="15.75" customHeight="1">
      <c r="A693" s="1">
        <f>IFERROR(__xludf.DUMMYFUNCTION("""COMPUTED_VALUE"""),44866.625)</f>
        <v>44866.625</v>
      </c>
      <c r="B693" s="2">
        <f>IFERROR(__xludf.DUMMYFUNCTION("""COMPUTED_VALUE"""),376.0)</f>
        <v>376</v>
      </c>
      <c r="C693" s="2">
        <f>IFERROR(__xludf.DUMMYFUNCTION("""COMPUTED_VALUE"""),384.0)</f>
        <v>384</v>
      </c>
      <c r="D693" s="2">
        <f>IFERROR(__xludf.DUMMYFUNCTION("""COMPUTED_VALUE"""),362.0)</f>
        <v>362</v>
      </c>
      <c r="E693" s="2">
        <f>IFERROR(__xludf.DUMMYFUNCTION("""COMPUTED_VALUE"""),368.0)</f>
        <v>368</v>
      </c>
      <c r="F693" s="2">
        <f>IFERROR(__xludf.DUMMYFUNCTION("""COMPUTED_VALUE"""),2.619298E8)</f>
        <v>261929800</v>
      </c>
      <c r="G693" s="2">
        <f t="shared" si="1"/>
        <v>22</v>
      </c>
    </row>
    <row r="694" ht="15.75" customHeight="1">
      <c r="A694" s="1">
        <f>IFERROR(__xludf.DUMMYFUNCTION("""COMPUTED_VALUE"""),44867.625)</f>
        <v>44867.625</v>
      </c>
      <c r="B694" s="2">
        <f>IFERROR(__xludf.DUMMYFUNCTION("""COMPUTED_VALUE"""),368.0)</f>
        <v>368</v>
      </c>
      <c r="C694" s="2">
        <f>IFERROR(__xludf.DUMMYFUNCTION("""COMPUTED_VALUE"""),378.0)</f>
        <v>378</v>
      </c>
      <c r="D694" s="2">
        <f>IFERROR(__xludf.DUMMYFUNCTION("""COMPUTED_VALUE"""),368.0)</f>
        <v>368</v>
      </c>
      <c r="E694" s="2">
        <f>IFERROR(__xludf.DUMMYFUNCTION("""COMPUTED_VALUE"""),372.0)</f>
        <v>372</v>
      </c>
      <c r="F694" s="2">
        <f>IFERROR(__xludf.DUMMYFUNCTION("""COMPUTED_VALUE"""),1.149723E8)</f>
        <v>114972300</v>
      </c>
      <c r="G694" s="2">
        <f t="shared" si="1"/>
        <v>10</v>
      </c>
    </row>
    <row r="695" ht="15.75" customHeight="1">
      <c r="A695" s="1">
        <f>IFERROR(__xludf.DUMMYFUNCTION("""COMPUTED_VALUE"""),44868.66666666667)</f>
        <v>44868.66667</v>
      </c>
      <c r="B695" s="2">
        <f>IFERROR(__xludf.DUMMYFUNCTION("""COMPUTED_VALUE"""),376.0)</f>
        <v>376</v>
      </c>
      <c r="C695" s="2">
        <f>IFERROR(__xludf.DUMMYFUNCTION("""COMPUTED_VALUE"""),392.0)</f>
        <v>392</v>
      </c>
      <c r="D695" s="2">
        <f>IFERROR(__xludf.DUMMYFUNCTION("""COMPUTED_VALUE"""),372.0)</f>
        <v>372</v>
      </c>
      <c r="E695" s="2">
        <f>IFERROR(__xludf.DUMMYFUNCTION("""COMPUTED_VALUE"""),384.0)</f>
        <v>384</v>
      </c>
      <c r="F695" s="2">
        <f>IFERROR(__xludf.DUMMYFUNCTION("""COMPUTED_VALUE"""),1.971923E8)</f>
        <v>197192300</v>
      </c>
      <c r="G695" s="2">
        <f t="shared" si="1"/>
        <v>20</v>
      </c>
    </row>
    <row r="696" ht="15.75" customHeight="1">
      <c r="A696" s="1">
        <f>IFERROR(__xludf.DUMMYFUNCTION("""COMPUTED_VALUE"""),44869.66666666667)</f>
        <v>44869.66667</v>
      </c>
      <c r="B696" s="2">
        <f>IFERROR(__xludf.DUMMYFUNCTION("""COMPUTED_VALUE"""),384.0)</f>
        <v>384</v>
      </c>
      <c r="C696" s="2">
        <f>IFERROR(__xludf.DUMMYFUNCTION("""COMPUTED_VALUE"""),400.0)</f>
        <v>400</v>
      </c>
      <c r="D696" s="2">
        <f>IFERROR(__xludf.DUMMYFUNCTION("""COMPUTED_VALUE"""),372.0)</f>
        <v>372</v>
      </c>
      <c r="E696" s="2">
        <f>IFERROR(__xludf.DUMMYFUNCTION("""COMPUTED_VALUE"""),394.0)</f>
        <v>394</v>
      </c>
      <c r="F696" s="2">
        <f>IFERROR(__xludf.DUMMYFUNCTION("""COMPUTED_VALUE"""),2.289563E8)</f>
        <v>228956300</v>
      </c>
      <c r="G696" s="2">
        <f t="shared" si="1"/>
        <v>28</v>
      </c>
    </row>
    <row r="697" ht="15.75" customHeight="1">
      <c r="A697" s="1">
        <f>IFERROR(__xludf.DUMMYFUNCTION("""COMPUTED_VALUE"""),44872.66666666667)</f>
        <v>44872.66667</v>
      </c>
      <c r="B697" s="2">
        <f>IFERROR(__xludf.DUMMYFUNCTION("""COMPUTED_VALUE"""),396.0)</f>
        <v>396</v>
      </c>
      <c r="C697" s="2">
        <f>IFERROR(__xludf.DUMMYFUNCTION("""COMPUTED_VALUE"""),400.0)</f>
        <v>400</v>
      </c>
      <c r="D697" s="2">
        <f>IFERROR(__xludf.DUMMYFUNCTION("""COMPUTED_VALUE"""),382.0)</f>
        <v>382</v>
      </c>
      <c r="E697" s="2">
        <f>IFERROR(__xludf.DUMMYFUNCTION("""COMPUTED_VALUE"""),384.0)</f>
        <v>384</v>
      </c>
      <c r="F697" s="2">
        <f>IFERROR(__xludf.DUMMYFUNCTION("""COMPUTED_VALUE"""),1.982771E8)</f>
        <v>198277100</v>
      </c>
      <c r="G697" s="2">
        <f t="shared" si="1"/>
        <v>18</v>
      </c>
    </row>
    <row r="698" ht="15.75" customHeight="1">
      <c r="A698" s="1">
        <f>IFERROR(__xludf.DUMMYFUNCTION("""COMPUTED_VALUE"""),44873.66666666667)</f>
        <v>44873.66667</v>
      </c>
      <c r="B698" s="2">
        <f>IFERROR(__xludf.DUMMYFUNCTION("""COMPUTED_VALUE"""),384.0)</f>
        <v>384</v>
      </c>
      <c r="C698" s="2">
        <f>IFERROR(__xludf.DUMMYFUNCTION("""COMPUTED_VALUE"""),394.0)</f>
        <v>394</v>
      </c>
      <c r="D698" s="2">
        <f>IFERROR(__xludf.DUMMYFUNCTION("""COMPUTED_VALUE"""),358.0)</f>
        <v>358</v>
      </c>
      <c r="E698" s="2">
        <f>IFERROR(__xludf.DUMMYFUNCTION("""COMPUTED_VALUE"""),358.0)</f>
        <v>358</v>
      </c>
      <c r="F698" s="2">
        <f>IFERROR(__xludf.DUMMYFUNCTION("""COMPUTED_VALUE"""),4.7172E8)</f>
        <v>471720000</v>
      </c>
      <c r="G698" s="2">
        <f t="shared" si="1"/>
        <v>36</v>
      </c>
    </row>
    <row r="699" ht="15.75" customHeight="1">
      <c r="A699" s="1">
        <f>IFERROR(__xludf.DUMMYFUNCTION("""COMPUTED_VALUE"""),44874.66666666667)</f>
        <v>44874.66667</v>
      </c>
      <c r="B699" s="2">
        <f>IFERROR(__xludf.DUMMYFUNCTION("""COMPUTED_VALUE"""),358.0)</f>
        <v>358</v>
      </c>
      <c r="C699" s="2">
        <f>IFERROR(__xludf.DUMMYFUNCTION("""COMPUTED_VALUE"""),368.0)</f>
        <v>368</v>
      </c>
      <c r="D699" s="2">
        <f>IFERROR(__xludf.DUMMYFUNCTION("""COMPUTED_VALUE"""),350.0)</f>
        <v>350</v>
      </c>
      <c r="E699" s="2">
        <f>IFERROR(__xludf.DUMMYFUNCTION("""COMPUTED_VALUE"""),354.0)</f>
        <v>354</v>
      </c>
      <c r="F699" s="2">
        <f>IFERROR(__xludf.DUMMYFUNCTION("""COMPUTED_VALUE"""),1.701246E8)</f>
        <v>170124600</v>
      </c>
      <c r="G699" s="2">
        <f t="shared" si="1"/>
        <v>18</v>
      </c>
    </row>
    <row r="700" ht="15.75" customHeight="1">
      <c r="A700" s="1">
        <f>IFERROR(__xludf.DUMMYFUNCTION("""COMPUTED_VALUE"""),44875.66666666667)</f>
        <v>44875.66667</v>
      </c>
      <c r="B700" s="2">
        <f>IFERROR(__xludf.DUMMYFUNCTION("""COMPUTED_VALUE"""),354.0)</f>
        <v>354</v>
      </c>
      <c r="C700" s="2">
        <f>IFERROR(__xludf.DUMMYFUNCTION("""COMPUTED_VALUE"""),356.0)</f>
        <v>356</v>
      </c>
      <c r="D700" s="2">
        <f>IFERROR(__xludf.DUMMYFUNCTION("""COMPUTED_VALUE"""),338.0)</f>
        <v>338</v>
      </c>
      <c r="E700" s="2">
        <f>IFERROR(__xludf.DUMMYFUNCTION("""COMPUTED_VALUE"""),344.0)</f>
        <v>344</v>
      </c>
      <c r="F700" s="2">
        <f>IFERROR(__xludf.DUMMYFUNCTION("""COMPUTED_VALUE"""),1.888526E8)</f>
        <v>188852600</v>
      </c>
      <c r="G700" s="2">
        <f t="shared" si="1"/>
        <v>18</v>
      </c>
    </row>
    <row r="701" ht="15.75" customHeight="1">
      <c r="A701" s="1">
        <f>IFERROR(__xludf.DUMMYFUNCTION("""COMPUTED_VALUE"""),44876.66666666667)</f>
        <v>44876.66667</v>
      </c>
      <c r="B701" s="2">
        <f>IFERROR(__xludf.DUMMYFUNCTION("""COMPUTED_VALUE"""),348.0)</f>
        <v>348</v>
      </c>
      <c r="C701" s="2">
        <f>IFERROR(__xludf.DUMMYFUNCTION("""COMPUTED_VALUE"""),370.0)</f>
        <v>370</v>
      </c>
      <c r="D701" s="2">
        <f>IFERROR(__xludf.DUMMYFUNCTION("""COMPUTED_VALUE"""),344.0)</f>
        <v>344</v>
      </c>
      <c r="E701" s="2">
        <f>IFERROR(__xludf.DUMMYFUNCTION("""COMPUTED_VALUE"""),364.0)</f>
        <v>364</v>
      </c>
      <c r="F701" s="2">
        <f>IFERROR(__xludf.DUMMYFUNCTION("""COMPUTED_VALUE"""),2.336762E8)</f>
        <v>233676200</v>
      </c>
      <c r="G701" s="2">
        <f t="shared" si="1"/>
        <v>26</v>
      </c>
    </row>
    <row r="702" ht="15.75" customHeight="1">
      <c r="A702" s="1">
        <f>IFERROR(__xludf.DUMMYFUNCTION("""COMPUTED_VALUE"""),44879.66666666667)</f>
        <v>44879.66667</v>
      </c>
      <c r="B702" s="2">
        <f>IFERROR(__xludf.DUMMYFUNCTION("""COMPUTED_VALUE"""),370.0)</f>
        <v>370</v>
      </c>
      <c r="C702" s="2">
        <f>IFERROR(__xludf.DUMMYFUNCTION("""COMPUTED_VALUE"""),372.0)</f>
        <v>372</v>
      </c>
      <c r="D702" s="2">
        <f>IFERROR(__xludf.DUMMYFUNCTION("""COMPUTED_VALUE"""),348.0)</f>
        <v>348</v>
      </c>
      <c r="E702" s="2">
        <f>IFERROR(__xludf.DUMMYFUNCTION("""COMPUTED_VALUE"""),350.0)</f>
        <v>350</v>
      </c>
      <c r="F702" s="2">
        <f>IFERROR(__xludf.DUMMYFUNCTION("""COMPUTED_VALUE"""),1.641396E8)</f>
        <v>164139600</v>
      </c>
      <c r="G702" s="2">
        <f t="shared" si="1"/>
        <v>24</v>
      </c>
    </row>
    <row r="703" ht="15.75" customHeight="1">
      <c r="A703" s="1">
        <f>IFERROR(__xludf.DUMMYFUNCTION("""COMPUTED_VALUE"""),44880.66666666667)</f>
        <v>44880.66667</v>
      </c>
      <c r="B703" s="2">
        <f>IFERROR(__xludf.DUMMYFUNCTION("""COMPUTED_VALUE"""),352.0)</f>
        <v>352</v>
      </c>
      <c r="C703" s="2">
        <f>IFERROR(__xludf.DUMMYFUNCTION("""COMPUTED_VALUE"""),352.0)</f>
        <v>352</v>
      </c>
      <c r="D703" s="2">
        <f>IFERROR(__xludf.DUMMYFUNCTION("""COMPUTED_VALUE"""),344.0)</f>
        <v>344</v>
      </c>
      <c r="E703" s="2">
        <f>IFERROR(__xludf.DUMMYFUNCTION("""COMPUTED_VALUE"""),346.0)</f>
        <v>346</v>
      </c>
      <c r="F703" s="2">
        <f>IFERROR(__xludf.DUMMYFUNCTION("""COMPUTED_VALUE"""),6.23643E7)</f>
        <v>62364300</v>
      </c>
      <c r="G703" s="2">
        <f t="shared" si="1"/>
        <v>8</v>
      </c>
    </row>
    <row r="704" ht="15.75" customHeight="1">
      <c r="A704" s="1">
        <f>IFERROR(__xludf.DUMMYFUNCTION("""COMPUTED_VALUE"""),44881.66666666667)</f>
        <v>44881.66667</v>
      </c>
      <c r="B704" s="2">
        <f>IFERROR(__xludf.DUMMYFUNCTION("""COMPUTED_VALUE"""),346.0)</f>
        <v>346</v>
      </c>
      <c r="C704" s="2">
        <f>IFERROR(__xludf.DUMMYFUNCTION("""COMPUTED_VALUE"""),354.0)</f>
        <v>354</v>
      </c>
      <c r="D704" s="2">
        <f>IFERROR(__xludf.DUMMYFUNCTION("""COMPUTED_VALUE"""),346.0)</f>
        <v>346</v>
      </c>
      <c r="E704" s="2">
        <f>IFERROR(__xludf.DUMMYFUNCTION("""COMPUTED_VALUE"""),346.0)</f>
        <v>346</v>
      </c>
      <c r="F704" s="2">
        <f>IFERROR(__xludf.DUMMYFUNCTION("""COMPUTED_VALUE"""),7.23898E7)</f>
        <v>72389800</v>
      </c>
      <c r="G704" s="2">
        <f t="shared" si="1"/>
        <v>8</v>
      </c>
    </row>
    <row r="705" ht="15.75" customHeight="1">
      <c r="A705" s="1">
        <f>IFERROR(__xludf.DUMMYFUNCTION("""COMPUTED_VALUE"""),44882.66666666667)</f>
        <v>44882.66667</v>
      </c>
      <c r="B705" s="2">
        <f>IFERROR(__xludf.DUMMYFUNCTION("""COMPUTED_VALUE"""),344.0)</f>
        <v>344</v>
      </c>
      <c r="C705" s="2">
        <f>IFERROR(__xludf.DUMMYFUNCTION("""COMPUTED_VALUE"""),346.0)</f>
        <v>346</v>
      </c>
      <c r="D705" s="2">
        <f>IFERROR(__xludf.DUMMYFUNCTION("""COMPUTED_VALUE"""),340.0)</f>
        <v>340</v>
      </c>
      <c r="E705" s="2">
        <f>IFERROR(__xludf.DUMMYFUNCTION("""COMPUTED_VALUE"""),342.0)</f>
        <v>342</v>
      </c>
      <c r="F705" s="2">
        <f>IFERROR(__xludf.DUMMYFUNCTION("""COMPUTED_VALUE"""),3.92749E7)</f>
        <v>39274900</v>
      </c>
      <c r="G705" s="2">
        <f t="shared" si="1"/>
        <v>6</v>
      </c>
    </row>
    <row r="706" ht="15.75" customHeight="1">
      <c r="A706" s="1">
        <f>IFERROR(__xludf.DUMMYFUNCTION("""COMPUTED_VALUE"""),44883.66666666667)</f>
        <v>44883.66667</v>
      </c>
      <c r="B706" s="2">
        <f>IFERROR(__xludf.DUMMYFUNCTION("""COMPUTED_VALUE"""),342.0)</f>
        <v>342</v>
      </c>
      <c r="C706" s="2">
        <f>IFERROR(__xludf.DUMMYFUNCTION("""COMPUTED_VALUE"""),346.0)</f>
        <v>346</v>
      </c>
      <c r="D706" s="2">
        <f>IFERROR(__xludf.DUMMYFUNCTION("""COMPUTED_VALUE"""),336.0)</f>
        <v>336</v>
      </c>
      <c r="E706" s="2">
        <f>IFERROR(__xludf.DUMMYFUNCTION("""COMPUTED_VALUE"""),340.0)</f>
        <v>340</v>
      </c>
      <c r="F706" s="2">
        <f>IFERROR(__xludf.DUMMYFUNCTION("""COMPUTED_VALUE"""),5.77285E7)</f>
        <v>57728500</v>
      </c>
      <c r="G706" s="2">
        <f t="shared" si="1"/>
        <v>10</v>
      </c>
    </row>
    <row r="707" ht="15.75" customHeight="1">
      <c r="A707" s="1">
        <f>IFERROR(__xludf.DUMMYFUNCTION("""COMPUTED_VALUE"""),44886.66666666667)</f>
        <v>44886.66667</v>
      </c>
      <c r="B707" s="2">
        <f>IFERROR(__xludf.DUMMYFUNCTION("""COMPUTED_VALUE"""),338.0)</f>
        <v>338</v>
      </c>
      <c r="C707" s="2">
        <f>IFERROR(__xludf.DUMMYFUNCTION("""COMPUTED_VALUE"""),344.0)</f>
        <v>344</v>
      </c>
      <c r="D707" s="2">
        <f>IFERROR(__xludf.DUMMYFUNCTION("""COMPUTED_VALUE"""),336.0)</f>
        <v>336</v>
      </c>
      <c r="E707" s="2">
        <f>IFERROR(__xludf.DUMMYFUNCTION("""COMPUTED_VALUE"""),338.0)</f>
        <v>338</v>
      </c>
      <c r="F707" s="2">
        <f>IFERROR(__xludf.DUMMYFUNCTION("""COMPUTED_VALUE"""),3.83894E7)</f>
        <v>38389400</v>
      </c>
      <c r="G707" s="2">
        <f t="shared" si="1"/>
        <v>8</v>
      </c>
    </row>
    <row r="708" ht="15.75" customHeight="1">
      <c r="A708" s="1">
        <f>IFERROR(__xludf.DUMMYFUNCTION("""COMPUTED_VALUE"""),44887.66666666667)</f>
        <v>44887.66667</v>
      </c>
      <c r="B708" s="2">
        <f>IFERROR(__xludf.DUMMYFUNCTION("""COMPUTED_VALUE"""),338.0)</f>
        <v>338</v>
      </c>
      <c r="C708" s="2">
        <f>IFERROR(__xludf.DUMMYFUNCTION("""COMPUTED_VALUE"""),348.0)</f>
        <v>348</v>
      </c>
      <c r="D708" s="2">
        <f>IFERROR(__xludf.DUMMYFUNCTION("""COMPUTED_VALUE"""),336.0)</f>
        <v>336</v>
      </c>
      <c r="E708" s="2">
        <f>IFERROR(__xludf.DUMMYFUNCTION("""COMPUTED_VALUE"""),340.0)</f>
        <v>340</v>
      </c>
      <c r="F708" s="2">
        <f>IFERROR(__xludf.DUMMYFUNCTION("""COMPUTED_VALUE"""),8.47939E7)</f>
        <v>84793900</v>
      </c>
      <c r="G708" s="2">
        <f t="shared" si="1"/>
        <v>12</v>
      </c>
    </row>
    <row r="709" ht="15.75" customHeight="1">
      <c r="A709" s="1">
        <f>IFERROR(__xludf.DUMMYFUNCTION("""COMPUTED_VALUE"""),44888.66666666667)</f>
        <v>44888.66667</v>
      </c>
      <c r="B709" s="2">
        <f>IFERROR(__xludf.DUMMYFUNCTION("""COMPUTED_VALUE"""),342.0)</f>
        <v>342</v>
      </c>
      <c r="C709" s="2">
        <f>IFERROR(__xludf.DUMMYFUNCTION("""COMPUTED_VALUE"""),354.0)</f>
        <v>354</v>
      </c>
      <c r="D709" s="2">
        <f>IFERROR(__xludf.DUMMYFUNCTION("""COMPUTED_VALUE"""),340.0)</f>
        <v>340</v>
      </c>
      <c r="E709" s="2">
        <f>IFERROR(__xludf.DUMMYFUNCTION("""COMPUTED_VALUE"""),346.0)</f>
        <v>346</v>
      </c>
      <c r="F709" s="2">
        <f>IFERROR(__xludf.DUMMYFUNCTION("""COMPUTED_VALUE"""),9.54543E7)</f>
        <v>95454300</v>
      </c>
      <c r="G709" s="2">
        <f t="shared" si="1"/>
        <v>14</v>
      </c>
    </row>
    <row r="710" ht="15.75" customHeight="1">
      <c r="A710" s="1">
        <f>IFERROR(__xludf.DUMMYFUNCTION("""COMPUTED_VALUE"""),44889.66666666667)</f>
        <v>44889.66667</v>
      </c>
      <c r="B710" s="2">
        <f>IFERROR(__xludf.DUMMYFUNCTION("""COMPUTED_VALUE"""),346.0)</f>
        <v>346</v>
      </c>
      <c r="C710" s="2">
        <f>IFERROR(__xludf.DUMMYFUNCTION("""COMPUTED_VALUE"""),350.0)</f>
        <v>350</v>
      </c>
      <c r="D710" s="2">
        <f>IFERROR(__xludf.DUMMYFUNCTION("""COMPUTED_VALUE"""),340.0)</f>
        <v>340</v>
      </c>
      <c r="E710" s="2">
        <f>IFERROR(__xludf.DUMMYFUNCTION("""COMPUTED_VALUE"""),344.0)</f>
        <v>344</v>
      </c>
      <c r="F710" s="2">
        <f>IFERROR(__xludf.DUMMYFUNCTION("""COMPUTED_VALUE"""),4.80775E7)</f>
        <v>48077500</v>
      </c>
      <c r="G710" s="2">
        <f t="shared" si="1"/>
        <v>10</v>
      </c>
    </row>
    <row r="711" ht="15.75" customHeight="1">
      <c r="A711" s="1">
        <f>IFERROR(__xludf.DUMMYFUNCTION("""COMPUTED_VALUE"""),44890.66666666667)</f>
        <v>44890.66667</v>
      </c>
      <c r="B711" s="2">
        <f>IFERROR(__xludf.DUMMYFUNCTION("""COMPUTED_VALUE"""),344.0)</f>
        <v>344</v>
      </c>
      <c r="C711" s="2">
        <f>IFERROR(__xludf.DUMMYFUNCTION("""COMPUTED_VALUE"""),346.0)</f>
        <v>346</v>
      </c>
      <c r="D711" s="2">
        <f>IFERROR(__xludf.DUMMYFUNCTION("""COMPUTED_VALUE"""),336.0)</f>
        <v>336</v>
      </c>
      <c r="E711" s="2">
        <f>IFERROR(__xludf.DUMMYFUNCTION("""COMPUTED_VALUE"""),336.0)</f>
        <v>336</v>
      </c>
      <c r="F711" s="2">
        <f>IFERROR(__xludf.DUMMYFUNCTION("""COMPUTED_VALUE"""),7.84201E7)</f>
        <v>78420100</v>
      </c>
      <c r="G711" s="2">
        <f t="shared" si="1"/>
        <v>10</v>
      </c>
    </row>
    <row r="712" ht="15.75" customHeight="1">
      <c r="A712" s="1">
        <f>IFERROR(__xludf.DUMMYFUNCTION("""COMPUTED_VALUE"""),44893.66666666667)</f>
        <v>44893.66667</v>
      </c>
      <c r="B712" s="2">
        <f>IFERROR(__xludf.DUMMYFUNCTION("""COMPUTED_VALUE"""),340.0)</f>
        <v>340</v>
      </c>
      <c r="C712" s="2">
        <f>IFERROR(__xludf.DUMMYFUNCTION("""COMPUTED_VALUE"""),340.0)</f>
        <v>340</v>
      </c>
      <c r="D712" s="2">
        <f>IFERROR(__xludf.DUMMYFUNCTION("""COMPUTED_VALUE"""),318.0)</f>
        <v>318</v>
      </c>
      <c r="E712" s="2">
        <f>IFERROR(__xludf.DUMMYFUNCTION("""COMPUTED_VALUE"""),318.0)</f>
        <v>318</v>
      </c>
      <c r="F712" s="2">
        <f>IFERROR(__xludf.DUMMYFUNCTION("""COMPUTED_VALUE"""),1.529376E8)</f>
        <v>152937600</v>
      </c>
      <c r="G712" s="2">
        <f t="shared" si="1"/>
        <v>22</v>
      </c>
    </row>
    <row r="713" ht="15.75" customHeight="1">
      <c r="A713" s="1">
        <f>IFERROR(__xludf.DUMMYFUNCTION("""COMPUTED_VALUE"""),44894.66666666667)</f>
        <v>44894.66667</v>
      </c>
      <c r="B713" s="2">
        <f>IFERROR(__xludf.DUMMYFUNCTION("""COMPUTED_VALUE"""),320.0)</f>
        <v>320</v>
      </c>
      <c r="C713" s="2">
        <f>IFERROR(__xludf.DUMMYFUNCTION("""COMPUTED_VALUE"""),330.0)</f>
        <v>330</v>
      </c>
      <c r="D713" s="2">
        <f>IFERROR(__xludf.DUMMYFUNCTION("""COMPUTED_VALUE"""),318.0)</f>
        <v>318</v>
      </c>
      <c r="E713" s="2">
        <f>IFERROR(__xludf.DUMMYFUNCTION("""COMPUTED_VALUE"""),326.0)</f>
        <v>326</v>
      </c>
      <c r="F713" s="2">
        <f>IFERROR(__xludf.DUMMYFUNCTION("""COMPUTED_VALUE"""),5.7858E7)</f>
        <v>57858000</v>
      </c>
      <c r="G713" s="2">
        <f t="shared" si="1"/>
        <v>12</v>
      </c>
    </row>
    <row r="714" ht="15.75" customHeight="1">
      <c r="A714" s="1">
        <f>IFERROR(__xludf.DUMMYFUNCTION("""COMPUTED_VALUE"""),44895.66666666667)</f>
        <v>44895.66667</v>
      </c>
      <c r="B714" s="2">
        <f>IFERROR(__xludf.DUMMYFUNCTION("""COMPUTED_VALUE"""),326.0)</f>
        <v>326</v>
      </c>
      <c r="C714" s="2">
        <f>IFERROR(__xludf.DUMMYFUNCTION("""COMPUTED_VALUE"""),332.0)</f>
        <v>332</v>
      </c>
      <c r="D714" s="2">
        <f>IFERROR(__xludf.DUMMYFUNCTION("""COMPUTED_VALUE"""),326.0)</f>
        <v>326</v>
      </c>
      <c r="E714" s="2">
        <f>IFERROR(__xludf.DUMMYFUNCTION("""COMPUTED_VALUE"""),328.0)</f>
        <v>328</v>
      </c>
      <c r="F714" s="2">
        <f>IFERROR(__xludf.DUMMYFUNCTION("""COMPUTED_VALUE"""),3.23694E7)</f>
        <v>32369400</v>
      </c>
      <c r="G714" s="2">
        <f t="shared" si="1"/>
        <v>6</v>
      </c>
    </row>
    <row r="715" ht="15.75" customHeight="1">
      <c r="A715" s="1">
        <f>IFERROR(__xludf.DUMMYFUNCTION("""COMPUTED_VALUE"""),44896.66666666667)</f>
        <v>44896.66667</v>
      </c>
      <c r="B715" s="2">
        <f>IFERROR(__xludf.DUMMYFUNCTION("""COMPUTED_VALUE"""),332.0)</f>
        <v>332</v>
      </c>
      <c r="C715" s="2">
        <f>IFERROR(__xludf.DUMMYFUNCTION("""COMPUTED_VALUE"""),338.0)</f>
        <v>338</v>
      </c>
      <c r="D715" s="2">
        <f>IFERROR(__xludf.DUMMYFUNCTION("""COMPUTED_VALUE"""),332.0)</f>
        <v>332</v>
      </c>
      <c r="E715" s="2">
        <f>IFERROR(__xludf.DUMMYFUNCTION("""COMPUTED_VALUE"""),332.0)</f>
        <v>332</v>
      </c>
      <c r="F715" s="2">
        <f>IFERROR(__xludf.DUMMYFUNCTION("""COMPUTED_VALUE"""),5.66244E7)</f>
        <v>56624400</v>
      </c>
      <c r="G715" s="2">
        <f t="shared" si="1"/>
        <v>10</v>
      </c>
    </row>
    <row r="716" ht="15.75" customHeight="1">
      <c r="A716" s="1">
        <f>IFERROR(__xludf.DUMMYFUNCTION("""COMPUTED_VALUE"""),44897.66666666667)</f>
        <v>44897.66667</v>
      </c>
      <c r="B716" s="2">
        <f>IFERROR(__xludf.DUMMYFUNCTION("""COMPUTED_VALUE"""),334.0)</f>
        <v>334</v>
      </c>
      <c r="C716" s="2">
        <f>IFERROR(__xludf.DUMMYFUNCTION("""COMPUTED_VALUE"""),338.0)</f>
        <v>338</v>
      </c>
      <c r="D716" s="2">
        <f>IFERROR(__xludf.DUMMYFUNCTION("""COMPUTED_VALUE"""),328.0)</f>
        <v>328</v>
      </c>
      <c r="E716" s="2">
        <f>IFERROR(__xludf.DUMMYFUNCTION("""COMPUTED_VALUE"""),332.0)</f>
        <v>332</v>
      </c>
      <c r="F716" s="2">
        <f>IFERROR(__xludf.DUMMYFUNCTION("""COMPUTED_VALUE"""),2.61985E7)</f>
        <v>26198500</v>
      </c>
      <c r="G716" s="2">
        <f t="shared" si="1"/>
        <v>10</v>
      </c>
    </row>
    <row r="717" ht="15.75" customHeight="1">
      <c r="A717" s="1">
        <f>IFERROR(__xludf.DUMMYFUNCTION("""COMPUTED_VALUE"""),44900.66666666667)</f>
        <v>44900.66667</v>
      </c>
      <c r="B717" s="2">
        <f>IFERROR(__xludf.DUMMYFUNCTION("""COMPUTED_VALUE"""),332.0)</f>
        <v>332</v>
      </c>
      <c r="C717" s="2">
        <f>IFERROR(__xludf.DUMMYFUNCTION("""COMPUTED_VALUE"""),340.0)</f>
        <v>340</v>
      </c>
      <c r="D717" s="2">
        <f>IFERROR(__xludf.DUMMYFUNCTION("""COMPUTED_VALUE"""),328.0)</f>
        <v>328</v>
      </c>
      <c r="E717" s="2">
        <f>IFERROR(__xludf.DUMMYFUNCTION("""COMPUTED_VALUE"""),332.0)</f>
        <v>332</v>
      </c>
      <c r="F717" s="2">
        <f>IFERROR(__xludf.DUMMYFUNCTION("""COMPUTED_VALUE"""),4.82302E7)</f>
        <v>48230200</v>
      </c>
      <c r="G717" s="2">
        <f t="shared" si="1"/>
        <v>12</v>
      </c>
    </row>
    <row r="718" ht="15.75" customHeight="1">
      <c r="A718" s="1">
        <f>IFERROR(__xludf.DUMMYFUNCTION("""COMPUTED_VALUE"""),44901.66666666667)</f>
        <v>44901.66667</v>
      </c>
      <c r="B718" s="2">
        <f>IFERROR(__xludf.DUMMYFUNCTION("""COMPUTED_VALUE"""),332.0)</f>
        <v>332</v>
      </c>
      <c r="C718" s="2">
        <f>IFERROR(__xludf.DUMMYFUNCTION("""COMPUTED_VALUE"""),332.0)</f>
        <v>332</v>
      </c>
      <c r="D718" s="2">
        <f>IFERROR(__xludf.DUMMYFUNCTION("""COMPUTED_VALUE"""),322.0)</f>
        <v>322</v>
      </c>
      <c r="E718" s="2">
        <f>IFERROR(__xludf.DUMMYFUNCTION("""COMPUTED_VALUE"""),326.0)</f>
        <v>326</v>
      </c>
      <c r="F718" s="2">
        <f>IFERROR(__xludf.DUMMYFUNCTION("""COMPUTED_VALUE"""),2.92262E7)</f>
        <v>29226200</v>
      </c>
      <c r="G718" s="2">
        <f t="shared" si="1"/>
        <v>10</v>
      </c>
    </row>
    <row r="719" ht="15.75" customHeight="1">
      <c r="A719" s="1">
        <f>IFERROR(__xludf.DUMMYFUNCTION("""COMPUTED_VALUE"""),44902.66666666667)</f>
        <v>44902.66667</v>
      </c>
      <c r="B719" s="2">
        <f>IFERROR(__xludf.DUMMYFUNCTION("""COMPUTED_VALUE"""),322.0)</f>
        <v>322</v>
      </c>
      <c r="C719" s="2">
        <f>IFERROR(__xludf.DUMMYFUNCTION("""COMPUTED_VALUE"""),324.0)</f>
        <v>324</v>
      </c>
      <c r="D719" s="2">
        <f>IFERROR(__xludf.DUMMYFUNCTION("""COMPUTED_VALUE"""),312.0)</f>
        <v>312</v>
      </c>
      <c r="E719" s="2">
        <f>IFERROR(__xludf.DUMMYFUNCTION("""COMPUTED_VALUE"""),318.0)</f>
        <v>318</v>
      </c>
      <c r="F719" s="2">
        <f>IFERROR(__xludf.DUMMYFUNCTION("""COMPUTED_VALUE"""),5.3804E7)</f>
        <v>53804000</v>
      </c>
      <c r="G719" s="2">
        <f t="shared" si="1"/>
        <v>14</v>
      </c>
    </row>
    <row r="720" ht="15.75" customHeight="1">
      <c r="A720" s="1">
        <f>IFERROR(__xludf.DUMMYFUNCTION("""COMPUTED_VALUE"""),44903.66666666667)</f>
        <v>44903.66667</v>
      </c>
      <c r="B720" s="2">
        <f>IFERROR(__xludf.DUMMYFUNCTION("""COMPUTED_VALUE"""),318.0)</f>
        <v>318</v>
      </c>
      <c r="C720" s="2">
        <f>IFERROR(__xludf.DUMMYFUNCTION("""COMPUTED_VALUE"""),320.0)</f>
        <v>320</v>
      </c>
      <c r="D720" s="2">
        <f>IFERROR(__xludf.DUMMYFUNCTION("""COMPUTED_VALUE"""),310.0)</f>
        <v>310</v>
      </c>
      <c r="E720" s="2">
        <f>IFERROR(__xludf.DUMMYFUNCTION("""COMPUTED_VALUE"""),318.0)</f>
        <v>318</v>
      </c>
      <c r="F720" s="2">
        <f>IFERROR(__xludf.DUMMYFUNCTION("""COMPUTED_VALUE"""),4.20692E7)</f>
        <v>42069200</v>
      </c>
      <c r="G720" s="2">
        <f t="shared" si="1"/>
        <v>10</v>
      </c>
    </row>
    <row r="721" ht="15.75" customHeight="1">
      <c r="A721" s="1">
        <f>IFERROR(__xludf.DUMMYFUNCTION("""COMPUTED_VALUE"""),44904.66666666667)</f>
        <v>44904.66667</v>
      </c>
      <c r="B721" s="2">
        <f>IFERROR(__xludf.DUMMYFUNCTION("""COMPUTED_VALUE"""),318.0)</f>
        <v>318</v>
      </c>
      <c r="C721" s="2">
        <f>IFERROR(__xludf.DUMMYFUNCTION("""COMPUTED_VALUE"""),320.0)</f>
        <v>320</v>
      </c>
      <c r="D721" s="2">
        <f>IFERROR(__xludf.DUMMYFUNCTION("""COMPUTED_VALUE"""),312.0)</f>
        <v>312</v>
      </c>
      <c r="E721" s="2">
        <f>IFERROR(__xludf.DUMMYFUNCTION("""COMPUTED_VALUE"""),314.0)</f>
        <v>314</v>
      </c>
      <c r="F721" s="2">
        <f>IFERROR(__xludf.DUMMYFUNCTION("""COMPUTED_VALUE"""),2.10887E7)</f>
        <v>21088700</v>
      </c>
      <c r="G721" s="2">
        <f t="shared" si="1"/>
        <v>8</v>
      </c>
    </row>
    <row r="722" ht="15.75" customHeight="1">
      <c r="A722" s="1">
        <f>IFERROR(__xludf.DUMMYFUNCTION("""COMPUTED_VALUE"""),44907.66666666667)</f>
        <v>44907.66667</v>
      </c>
      <c r="B722" s="2">
        <f>IFERROR(__xludf.DUMMYFUNCTION("""COMPUTED_VALUE"""),314.0)</f>
        <v>314</v>
      </c>
      <c r="C722" s="2">
        <f>IFERROR(__xludf.DUMMYFUNCTION("""COMPUTED_VALUE"""),322.0)</f>
        <v>322</v>
      </c>
      <c r="D722" s="2">
        <f>IFERROR(__xludf.DUMMYFUNCTION("""COMPUTED_VALUE"""),312.0)</f>
        <v>312</v>
      </c>
      <c r="E722" s="2">
        <f>IFERROR(__xludf.DUMMYFUNCTION("""COMPUTED_VALUE"""),320.0)</f>
        <v>320</v>
      </c>
      <c r="F722" s="2">
        <f>IFERROR(__xludf.DUMMYFUNCTION("""COMPUTED_VALUE"""),2.40309E7)</f>
        <v>24030900</v>
      </c>
      <c r="G722" s="2">
        <f t="shared" si="1"/>
        <v>10</v>
      </c>
    </row>
    <row r="723" ht="15.75" customHeight="1">
      <c r="A723" s="1">
        <f>IFERROR(__xludf.DUMMYFUNCTION("""COMPUTED_VALUE"""),44908.66666666667)</f>
        <v>44908.66667</v>
      </c>
      <c r="B723" s="2">
        <f>IFERROR(__xludf.DUMMYFUNCTION("""COMPUTED_VALUE"""),320.0)</f>
        <v>320</v>
      </c>
      <c r="C723" s="2">
        <f>IFERROR(__xludf.DUMMYFUNCTION("""COMPUTED_VALUE"""),326.0)</f>
        <v>326</v>
      </c>
      <c r="D723" s="2">
        <f>IFERROR(__xludf.DUMMYFUNCTION("""COMPUTED_VALUE"""),320.0)</f>
        <v>320</v>
      </c>
      <c r="E723" s="2">
        <f>IFERROR(__xludf.DUMMYFUNCTION("""COMPUTED_VALUE"""),322.0)</f>
        <v>322</v>
      </c>
      <c r="F723" s="2">
        <f>IFERROR(__xludf.DUMMYFUNCTION("""COMPUTED_VALUE"""),2.8963E7)</f>
        <v>28963000</v>
      </c>
      <c r="G723" s="2">
        <f t="shared" si="1"/>
        <v>6</v>
      </c>
    </row>
    <row r="724" ht="15.75" customHeight="1">
      <c r="A724" s="1">
        <f>IFERROR(__xludf.DUMMYFUNCTION("""COMPUTED_VALUE"""),44909.66666666667)</f>
        <v>44909.66667</v>
      </c>
      <c r="B724" s="2">
        <f>IFERROR(__xludf.DUMMYFUNCTION("""COMPUTED_VALUE"""),326.0)</f>
        <v>326</v>
      </c>
      <c r="C724" s="2">
        <f>IFERROR(__xludf.DUMMYFUNCTION("""COMPUTED_VALUE"""),328.0)</f>
        <v>328</v>
      </c>
      <c r="D724" s="2">
        <f>IFERROR(__xludf.DUMMYFUNCTION("""COMPUTED_VALUE"""),318.0)</f>
        <v>318</v>
      </c>
      <c r="E724" s="2">
        <f>IFERROR(__xludf.DUMMYFUNCTION("""COMPUTED_VALUE"""),320.0)</f>
        <v>320</v>
      </c>
      <c r="F724" s="2">
        <f>IFERROR(__xludf.DUMMYFUNCTION("""COMPUTED_VALUE"""),2.98925E7)</f>
        <v>29892500</v>
      </c>
      <c r="G724" s="2">
        <f t="shared" si="1"/>
        <v>10</v>
      </c>
    </row>
    <row r="725" ht="15.75" customHeight="1">
      <c r="A725" s="1">
        <f>IFERROR(__xludf.DUMMYFUNCTION("""COMPUTED_VALUE"""),44910.66666666667)</f>
        <v>44910.66667</v>
      </c>
      <c r="B725" s="2">
        <f>IFERROR(__xludf.DUMMYFUNCTION("""COMPUTED_VALUE"""),320.0)</f>
        <v>320</v>
      </c>
      <c r="C725" s="2">
        <f>IFERROR(__xludf.DUMMYFUNCTION("""COMPUTED_VALUE"""),324.0)</f>
        <v>324</v>
      </c>
      <c r="D725" s="2">
        <f>IFERROR(__xludf.DUMMYFUNCTION("""COMPUTED_VALUE"""),320.0)</f>
        <v>320</v>
      </c>
      <c r="E725" s="2">
        <f>IFERROR(__xludf.DUMMYFUNCTION("""COMPUTED_VALUE"""),320.0)</f>
        <v>320</v>
      </c>
      <c r="F725" s="2">
        <f>IFERROR(__xludf.DUMMYFUNCTION("""COMPUTED_VALUE"""),1.72119E7)</f>
        <v>17211900</v>
      </c>
      <c r="G725" s="2">
        <f t="shared" si="1"/>
        <v>4</v>
      </c>
    </row>
    <row r="726" ht="15.75" customHeight="1">
      <c r="A726" s="1">
        <f>IFERROR(__xludf.DUMMYFUNCTION("""COMPUTED_VALUE"""),44911.66666666667)</f>
        <v>44911.66667</v>
      </c>
      <c r="B726" s="2">
        <f>IFERROR(__xludf.DUMMYFUNCTION("""COMPUTED_VALUE"""),318.0)</f>
        <v>318</v>
      </c>
      <c r="C726" s="2">
        <f>IFERROR(__xludf.DUMMYFUNCTION("""COMPUTED_VALUE"""),320.0)</f>
        <v>320</v>
      </c>
      <c r="D726" s="2">
        <f>IFERROR(__xludf.DUMMYFUNCTION("""COMPUTED_VALUE"""),314.0)</f>
        <v>314</v>
      </c>
      <c r="E726" s="2">
        <f>IFERROR(__xludf.DUMMYFUNCTION("""COMPUTED_VALUE"""),318.0)</f>
        <v>318</v>
      </c>
      <c r="F726" s="2">
        <f>IFERROR(__xludf.DUMMYFUNCTION("""COMPUTED_VALUE"""),1.76388E7)</f>
        <v>17638800</v>
      </c>
      <c r="G726" s="2">
        <f t="shared" si="1"/>
        <v>6</v>
      </c>
    </row>
    <row r="727" ht="15.75" customHeight="1">
      <c r="A727" s="1">
        <f>IFERROR(__xludf.DUMMYFUNCTION("""COMPUTED_VALUE"""),44914.66666666667)</f>
        <v>44914.66667</v>
      </c>
      <c r="B727" s="2">
        <f>IFERROR(__xludf.DUMMYFUNCTION("""COMPUTED_VALUE"""),320.0)</f>
        <v>320</v>
      </c>
      <c r="C727" s="2">
        <f>IFERROR(__xludf.DUMMYFUNCTION("""COMPUTED_VALUE"""),320.0)</f>
        <v>320</v>
      </c>
      <c r="D727" s="2">
        <f>IFERROR(__xludf.DUMMYFUNCTION("""COMPUTED_VALUE"""),316.0)</f>
        <v>316</v>
      </c>
      <c r="E727" s="2">
        <f>IFERROR(__xludf.DUMMYFUNCTION("""COMPUTED_VALUE"""),316.0)</f>
        <v>316</v>
      </c>
      <c r="F727" s="2">
        <f>IFERROR(__xludf.DUMMYFUNCTION("""COMPUTED_VALUE"""),1.09393E7)</f>
        <v>10939300</v>
      </c>
      <c r="G727" s="2">
        <f t="shared" si="1"/>
        <v>4</v>
      </c>
    </row>
    <row r="728" ht="15.75" customHeight="1">
      <c r="A728" s="1">
        <f>IFERROR(__xludf.DUMMYFUNCTION("""COMPUTED_VALUE"""),44915.66666666667)</f>
        <v>44915.66667</v>
      </c>
      <c r="B728" s="2">
        <f>IFERROR(__xludf.DUMMYFUNCTION("""COMPUTED_VALUE"""),316.0)</f>
        <v>316</v>
      </c>
      <c r="C728" s="2">
        <f>IFERROR(__xludf.DUMMYFUNCTION("""COMPUTED_VALUE"""),322.0)</f>
        <v>322</v>
      </c>
      <c r="D728" s="2">
        <f>IFERROR(__xludf.DUMMYFUNCTION("""COMPUTED_VALUE"""),316.0)</f>
        <v>316</v>
      </c>
      <c r="E728" s="2">
        <f>IFERROR(__xludf.DUMMYFUNCTION("""COMPUTED_VALUE"""),318.0)</f>
        <v>318</v>
      </c>
      <c r="F728" s="2">
        <f>IFERROR(__xludf.DUMMYFUNCTION("""COMPUTED_VALUE"""),1.91054E7)</f>
        <v>19105400</v>
      </c>
      <c r="G728" s="2">
        <f t="shared" si="1"/>
        <v>6</v>
      </c>
    </row>
    <row r="729" ht="15.75" customHeight="1">
      <c r="A729" s="1">
        <f>IFERROR(__xludf.DUMMYFUNCTION("""COMPUTED_VALUE"""),44916.66666666667)</f>
        <v>44916.66667</v>
      </c>
      <c r="B729" s="2">
        <f>IFERROR(__xludf.DUMMYFUNCTION("""COMPUTED_VALUE"""),316.0)</f>
        <v>316</v>
      </c>
      <c r="C729" s="2">
        <f>IFERROR(__xludf.DUMMYFUNCTION("""COMPUTED_VALUE"""),322.0)</f>
        <v>322</v>
      </c>
      <c r="D729" s="2">
        <f>IFERROR(__xludf.DUMMYFUNCTION("""COMPUTED_VALUE"""),316.0)</f>
        <v>316</v>
      </c>
      <c r="E729" s="2">
        <f>IFERROR(__xludf.DUMMYFUNCTION("""COMPUTED_VALUE"""),318.0)</f>
        <v>318</v>
      </c>
      <c r="F729" s="2">
        <f>IFERROR(__xludf.DUMMYFUNCTION("""COMPUTED_VALUE"""),1.10295E7)</f>
        <v>11029500</v>
      </c>
      <c r="G729" s="2">
        <f t="shared" si="1"/>
        <v>6</v>
      </c>
    </row>
    <row r="730" ht="15.75" customHeight="1">
      <c r="A730" s="1">
        <f>IFERROR(__xludf.DUMMYFUNCTION("""COMPUTED_VALUE"""),44917.66666666667)</f>
        <v>44917.66667</v>
      </c>
      <c r="B730" s="2">
        <f>IFERROR(__xludf.DUMMYFUNCTION("""COMPUTED_VALUE"""),320.0)</f>
        <v>320</v>
      </c>
      <c r="C730" s="2">
        <f>IFERROR(__xludf.DUMMYFUNCTION("""COMPUTED_VALUE"""),324.0)</f>
        <v>324</v>
      </c>
      <c r="D730" s="2">
        <f>IFERROR(__xludf.DUMMYFUNCTION("""COMPUTED_VALUE"""),318.0)</f>
        <v>318</v>
      </c>
      <c r="E730" s="2">
        <f>IFERROR(__xludf.DUMMYFUNCTION("""COMPUTED_VALUE"""),320.0)</f>
        <v>320</v>
      </c>
      <c r="F730" s="2">
        <f>IFERROR(__xludf.DUMMYFUNCTION("""COMPUTED_VALUE"""),1.73462E7)</f>
        <v>17346200</v>
      </c>
      <c r="G730" s="2">
        <f t="shared" si="1"/>
        <v>6</v>
      </c>
    </row>
    <row r="731" ht="15.75" customHeight="1">
      <c r="A731" s="1">
        <f>IFERROR(__xludf.DUMMYFUNCTION("""COMPUTED_VALUE"""),44918.66666666667)</f>
        <v>44918.66667</v>
      </c>
      <c r="B731" s="2">
        <f>IFERROR(__xludf.DUMMYFUNCTION("""COMPUTED_VALUE"""),320.0)</f>
        <v>320</v>
      </c>
      <c r="C731" s="2">
        <f>IFERROR(__xludf.DUMMYFUNCTION("""COMPUTED_VALUE"""),322.0)</f>
        <v>322</v>
      </c>
      <c r="D731" s="2">
        <f>IFERROR(__xludf.DUMMYFUNCTION("""COMPUTED_VALUE"""),318.0)</f>
        <v>318</v>
      </c>
      <c r="E731" s="2">
        <f>IFERROR(__xludf.DUMMYFUNCTION("""COMPUTED_VALUE"""),320.0)</f>
        <v>320</v>
      </c>
      <c r="F731" s="2">
        <f>IFERROR(__xludf.DUMMYFUNCTION("""COMPUTED_VALUE"""),1.18483E7)</f>
        <v>11848300</v>
      </c>
      <c r="G731" s="2">
        <f t="shared" si="1"/>
        <v>4</v>
      </c>
    </row>
    <row r="732" ht="15.75" customHeight="1">
      <c r="A732" s="1">
        <f>IFERROR(__xludf.DUMMYFUNCTION("""COMPUTED_VALUE"""),44921.66666666667)</f>
        <v>44921.66667</v>
      </c>
      <c r="B732" s="2">
        <f>IFERROR(__xludf.DUMMYFUNCTION("""COMPUTED_VALUE"""),318.0)</f>
        <v>318</v>
      </c>
      <c r="C732" s="2">
        <f>IFERROR(__xludf.DUMMYFUNCTION("""COMPUTED_VALUE"""),324.0)</f>
        <v>324</v>
      </c>
      <c r="D732" s="2">
        <f>IFERROR(__xludf.DUMMYFUNCTION("""COMPUTED_VALUE"""),316.0)</f>
        <v>316</v>
      </c>
      <c r="E732" s="2">
        <f>IFERROR(__xludf.DUMMYFUNCTION("""COMPUTED_VALUE"""),320.0)</f>
        <v>320</v>
      </c>
      <c r="F732" s="2">
        <f>IFERROR(__xludf.DUMMYFUNCTION("""COMPUTED_VALUE"""),1.97625E7)</f>
        <v>19762500</v>
      </c>
      <c r="G732" s="2">
        <f t="shared" si="1"/>
        <v>8</v>
      </c>
    </row>
    <row r="733" ht="15.75" customHeight="1">
      <c r="A733" s="1">
        <f>IFERROR(__xludf.DUMMYFUNCTION("""COMPUTED_VALUE"""),44922.66666666667)</f>
        <v>44922.66667</v>
      </c>
      <c r="B733" s="2">
        <f>IFERROR(__xludf.DUMMYFUNCTION("""COMPUTED_VALUE"""),320.0)</f>
        <v>320</v>
      </c>
      <c r="C733" s="2">
        <f>IFERROR(__xludf.DUMMYFUNCTION("""COMPUTED_VALUE"""),328.0)</f>
        <v>328</v>
      </c>
      <c r="D733" s="2">
        <f>IFERROR(__xludf.DUMMYFUNCTION("""COMPUTED_VALUE"""),320.0)</f>
        <v>320</v>
      </c>
      <c r="E733" s="2">
        <f>IFERROR(__xludf.DUMMYFUNCTION("""COMPUTED_VALUE"""),322.0)</f>
        <v>322</v>
      </c>
      <c r="F733" s="2">
        <f>IFERROR(__xludf.DUMMYFUNCTION("""COMPUTED_VALUE"""),2.69321E7)</f>
        <v>26932100</v>
      </c>
      <c r="G733" s="2">
        <f t="shared" si="1"/>
        <v>8</v>
      </c>
    </row>
    <row r="734" ht="15.75" customHeight="1">
      <c r="A734" s="1">
        <f>IFERROR(__xludf.DUMMYFUNCTION("""COMPUTED_VALUE"""),44923.66666666667)</f>
        <v>44923.66667</v>
      </c>
      <c r="B734" s="2">
        <f>IFERROR(__xludf.DUMMYFUNCTION("""COMPUTED_VALUE"""),322.0)</f>
        <v>322</v>
      </c>
      <c r="C734" s="2">
        <f>IFERROR(__xludf.DUMMYFUNCTION("""COMPUTED_VALUE"""),324.0)</f>
        <v>324</v>
      </c>
      <c r="D734" s="2">
        <f>IFERROR(__xludf.DUMMYFUNCTION("""COMPUTED_VALUE"""),312.0)</f>
        <v>312</v>
      </c>
      <c r="E734" s="2">
        <f>IFERROR(__xludf.DUMMYFUNCTION("""COMPUTED_VALUE"""),316.0)</f>
        <v>316</v>
      </c>
      <c r="F734" s="2">
        <f>IFERROR(__xludf.DUMMYFUNCTION("""COMPUTED_VALUE"""),3.43342E7)</f>
        <v>34334200</v>
      </c>
      <c r="G734" s="2">
        <f t="shared" si="1"/>
        <v>12</v>
      </c>
    </row>
    <row r="735" ht="15.75" customHeight="1">
      <c r="A735" s="1">
        <f>IFERROR(__xludf.DUMMYFUNCTION("""COMPUTED_VALUE"""),44924.66666666667)</f>
        <v>44924.66667</v>
      </c>
      <c r="B735" s="2">
        <f>IFERROR(__xludf.DUMMYFUNCTION("""COMPUTED_VALUE"""),316.0)</f>
        <v>316</v>
      </c>
      <c r="C735" s="2">
        <f>IFERROR(__xludf.DUMMYFUNCTION("""COMPUTED_VALUE"""),316.0)</f>
        <v>316</v>
      </c>
      <c r="D735" s="2">
        <f>IFERROR(__xludf.DUMMYFUNCTION("""COMPUTED_VALUE"""),312.0)</f>
        <v>312</v>
      </c>
      <c r="E735" s="2">
        <f>IFERROR(__xludf.DUMMYFUNCTION("""COMPUTED_VALUE"""),312.0)</f>
        <v>312</v>
      </c>
      <c r="F735" s="2">
        <f>IFERROR(__xludf.DUMMYFUNCTION("""COMPUTED_VALUE"""),2.54023E7)</f>
        <v>25402300</v>
      </c>
      <c r="G735" s="2">
        <f t="shared" si="1"/>
        <v>4</v>
      </c>
    </row>
    <row r="736" ht="15.75" customHeight="1">
      <c r="A736" s="1">
        <f>IFERROR(__xludf.DUMMYFUNCTION("""COMPUTED_VALUE"""),44925.66666666667)</f>
        <v>44925.66667</v>
      </c>
      <c r="B736" s="2">
        <f>IFERROR(__xludf.DUMMYFUNCTION("""COMPUTED_VALUE"""),312.0)</f>
        <v>312</v>
      </c>
      <c r="C736" s="2">
        <f>IFERROR(__xludf.DUMMYFUNCTION("""COMPUTED_VALUE"""),316.0)</f>
        <v>316</v>
      </c>
      <c r="D736" s="2">
        <f>IFERROR(__xludf.DUMMYFUNCTION("""COMPUTED_VALUE"""),310.0)</f>
        <v>310</v>
      </c>
      <c r="E736" s="2">
        <f>IFERROR(__xludf.DUMMYFUNCTION("""COMPUTED_VALUE"""),312.0)</f>
        <v>312</v>
      </c>
      <c r="F736" s="2">
        <f>IFERROR(__xludf.DUMMYFUNCTION("""COMPUTED_VALUE"""),2.59392E7)</f>
        <v>25939200</v>
      </c>
      <c r="G736" s="2">
        <f t="shared" si="1"/>
        <v>6</v>
      </c>
    </row>
    <row r="737" ht="15.75" customHeight="1">
      <c r="A737" s="1">
        <f>IFERROR(__xludf.DUMMYFUNCTION("""COMPUTED_VALUE"""),44928.66666666667)</f>
        <v>44928.66667</v>
      </c>
      <c r="B737" s="2">
        <f>IFERROR(__xludf.DUMMYFUNCTION("""COMPUTED_VALUE"""),312.0)</f>
        <v>312</v>
      </c>
      <c r="C737" s="2">
        <f>IFERROR(__xludf.DUMMYFUNCTION("""COMPUTED_VALUE"""),320.0)</f>
        <v>320</v>
      </c>
      <c r="D737" s="2">
        <f>IFERROR(__xludf.DUMMYFUNCTION("""COMPUTED_VALUE"""),310.0)</f>
        <v>310</v>
      </c>
      <c r="E737" s="2">
        <f>IFERROR(__xludf.DUMMYFUNCTION("""COMPUTED_VALUE"""),318.0)</f>
        <v>318</v>
      </c>
      <c r="F737" s="2">
        <f>IFERROR(__xludf.DUMMYFUNCTION("""COMPUTED_VALUE"""),2.43098E7)</f>
        <v>24309800</v>
      </c>
      <c r="G737" s="2">
        <f t="shared" si="1"/>
        <v>10</v>
      </c>
    </row>
    <row r="738" ht="15.75" customHeight="1">
      <c r="A738" s="1">
        <f>IFERROR(__xludf.DUMMYFUNCTION("""COMPUTED_VALUE"""),44929.66666666667)</f>
        <v>44929.66667</v>
      </c>
      <c r="B738" s="2">
        <f>IFERROR(__xludf.DUMMYFUNCTION("""COMPUTED_VALUE"""),318.0)</f>
        <v>318</v>
      </c>
      <c r="C738" s="2">
        <f>IFERROR(__xludf.DUMMYFUNCTION("""COMPUTED_VALUE"""),320.0)</f>
        <v>320</v>
      </c>
      <c r="D738" s="2">
        <f>IFERROR(__xludf.DUMMYFUNCTION("""COMPUTED_VALUE"""),314.0)</f>
        <v>314</v>
      </c>
      <c r="E738" s="2">
        <f>IFERROR(__xludf.DUMMYFUNCTION("""COMPUTED_VALUE"""),320.0)</f>
        <v>320</v>
      </c>
      <c r="F738" s="2">
        <f>IFERROR(__xludf.DUMMYFUNCTION("""COMPUTED_VALUE"""),1.97923E7)</f>
        <v>19792300</v>
      </c>
      <c r="G738" s="2">
        <f t="shared" si="1"/>
        <v>6</v>
      </c>
    </row>
    <row r="739" ht="15.75" customHeight="1">
      <c r="A739" s="1">
        <f>IFERROR(__xludf.DUMMYFUNCTION("""COMPUTED_VALUE"""),44930.66666666667)</f>
        <v>44930.66667</v>
      </c>
      <c r="B739" s="2">
        <f>IFERROR(__xludf.DUMMYFUNCTION("""COMPUTED_VALUE"""),318.0)</f>
        <v>318</v>
      </c>
      <c r="C739" s="2">
        <f>IFERROR(__xludf.DUMMYFUNCTION("""COMPUTED_VALUE"""),320.0)</f>
        <v>320</v>
      </c>
      <c r="D739" s="2">
        <f>IFERROR(__xludf.DUMMYFUNCTION("""COMPUTED_VALUE"""),312.0)</f>
        <v>312</v>
      </c>
      <c r="E739" s="2">
        <f>IFERROR(__xludf.DUMMYFUNCTION("""COMPUTED_VALUE"""),312.0)</f>
        <v>312</v>
      </c>
      <c r="F739" s="2">
        <f>IFERROR(__xludf.DUMMYFUNCTION("""COMPUTED_VALUE"""),2.64332E7)</f>
        <v>26433200</v>
      </c>
      <c r="G739" s="2">
        <f t="shared" si="1"/>
        <v>8</v>
      </c>
    </row>
    <row r="740" ht="15.75" customHeight="1">
      <c r="A740" s="1">
        <f>IFERROR(__xludf.DUMMYFUNCTION("""COMPUTED_VALUE"""),44931.66666666667)</f>
        <v>44931.66667</v>
      </c>
      <c r="B740" s="2">
        <f>IFERROR(__xludf.DUMMYFUNCTION("""COMPUTED_VALUE"""),312.0)</f>
        <v>312</v>
      </c>
      <c r="C740" s="2">
        <f>IFERROR(__xludf.DUMMYFUNCTION("""COMPUTED_VALUE"""),312.0)</f>
        <v>312</v>
      </c>
      <c r="D740" s="2">
        <f>IFERROR(__xludf.DUMMYFUNCTION("""COMPUTED_VALUE"""),292.0)</f>
        <v>292</v>
      </c>
      <c r="E740" s="2">
        <f>IFERROR(__xludf.DUMMYFUNCTION("""COMPUTED_VALUE"""),292.0)</f>
        <v>292</v>
      </c>
      <c r="F740" s="2">
        <f>IFERROR(__xludf.DUMMYFUNCTION("""COMPUTED_VALUE"""),8.94818E7)</f>
        <v>89481800</v>
      </c>
      <c r="G740" s="2">
        <f t="shared" si="1"/>
        <v>20</v>
      </c>
    </row>
    <row r="741" ht="15.75" customHeight="1">
      <c r="A741" s="1">
        <f>IFERROR(__xludf.DUMMYFUNCTION("""COMPUTED_VALUE"""),44932.66666666667)</f>
        <v>44932.66667</v>
      </c>
      <c r="B741" s="2">
        <f>IFERROR(__xludf.DUMMYFUNCTION("""COMPUTED_VALUE"""),292.0)</f>
        <v>292</v>
      </c>
      <c r="C741" s="2">
        <f>IFERROR(__xludf.DUMMYFUNCTION("""COMPUTED_VALUE"""),298.0)</f>
        <v>298</v>
      </c>
      <c r="D741" s="2">
        <f>IFERROR(__xludf.DUMMYFUNCTION("""COMPUTED_VALUE"""),286.0)</f>
        <v>286</v>
      </c>
      <c r="E741" s="2">
        <f>IFERROR(__xludf.DUMMYFUNCTION("""COMPUTED_VALUE"""),292.0)</f>
        <v>292</v>
      </c>
      <c r="F741" s="2">
        <f>IFERROR(__xludf.DUMMYFUNCTION("""COMPUTED_VALUE"""),3.46689E7)</f>
        <v>34668900</v>
      </c>
      <c r="G741" s="2">
        <f t="shared" si="1"/>
        <v>12</v>
      </c>
    </row>
    <row r="742" ht="15.75" customHeight="1">
      <c r="A742" s="1">
        <f>IFERROR(__xludf.DUMMYFUNCTION("""COMPUTED_VALUE"""),44935.66666666667)</f>
        <v>44935.66667</v>
      </c>
      <c r="B742" s="2">
        <f>IFERROR(__xludf.DUMMYFUNCTION("""COMPUTED_VALUE"""),292.0)</f>
        <v>292</v>
      </c>
      <c r="C742" s="2">
        <f>IFERROR(__xludf.DUMMYFUNCTION("""COMPUTED_VALUE"""),300.0)</f>
        <v>300</v>
      </c>
      <c r="D742" s="2">
        <f>IFERROR(__xludf.DUMMYFUNCTION("""COMPUTED_VALUE"""),292.0)</f>
        <v>292</v>
      </c>
      <c r="E742" s="2">
        <f>IFERROR(__xludf.DUMMYFUNCTION("""COMPUTED_VALUE"""),294.0)</f>
        <v>294</v>
      </c>
      <c r="F742" s="2">
        <f>IFERROR(__xludf.DUMMYFUNCTION("""COMPUTED_VALUE"""),2.40778E7)</f>
        <v>24077800</v>
      </c>
      <c r="G742" s="2">
        <f t="shared" si="1"/>
        <v>8</v>
      </c>
    </row>
    <row r="743" ht="15.75" customHeight="1">
      <c r="A743" s="1">
        <f>IFERROR(__xludf.DUMMYFUNCTION("""COMPUTED_VALUE"""),44936.66666666667)</f>
        <v>44936.66667</v>
      </c>
      <c r="B743" s="2">
        <f>IFERROR(__xludf.DUMMYFUNCTION("""COMPUTED_VALUE"""),296.0)</f>
        <v>296</v>
      </c>
      <c r="C743" s="2">
        <f>IFERROR(__xludf.DUMMYFUNCTION("""COMPUTED_VALUE"""),302.0)</f>
        <v>302</v>
      </c>
      <c r="D743" s="2">
        <f>IFERROR(__xludf.DUMMYFUNCTION("""COMPUTED_VALUE"""),294.0)</f>
        <v>294</v>
      </c>
      <c r="E743" s="2">
        <f>IFERROR(__xludf.DUMMYFUNCTION("""COMPUTED_VALUE"""),296.0)</f>
        <v>296</v>
      </c>
      <c r="F743" s="2">
        <f>IFERROR(__xludf.DUMMYFUNCTION("""COMPUTED_VALUE"""),2.63346E7)</f>
        <v>26334600</v>
      </c>
      <c r="G743" s="2">
        <f t="shared" si="1"/>
        <v>8</v>
      </c>
    </row>
    <row r="744" ht="15.75" customHeight="1">
      <c r="A744" s="1">
        <f>IFERROR(__xludf.DUMMYFUNCTION("""COMPUTED_VALUE"""),44937.66666666667)</f>
        <v>44937.66667</v>
      </c>
      <c r="B744" s="2">
        <f>IFERROR(__xludf.DUMMYFUNCTION("""COMPUTED_VALUE"""),296.0)</f>
        <v>296</v>
      </c>
      <c r="C744" s="2">
        <f>IFERROR(__xludf.DUMMYFUNCTION("""COMPUTED_VALUE"""),298.0)</f>
        <v>298</v>
      </c>
      <c r="D744" s="2">
        <f>IFERROR(__xludf.DUMMYFUNCTION("""COMPUTED_VALUE"""),292.0)</f>
        <v>292</v>
      </c>
      <c r="E744" s="2">
        <f>IFERROR(__xludf.DUMMYFUNCTION("""COMPUTED_VALUE"""),292.0)</f>
        <v>292</v>
      </c>
      <c r="F744" s="2">
        <f>IFERROR(__xludf.DUMMYFUNCTION("""COMPUTED_VALUE"""),1.43252E7)</f>
        <v>14325200</v>
      </c>
      <c r="G744" s="2">
        <f t="shared" si="1"/>
        <v>6</v>
      </c>
    </row>
    <row r="745" ht="15.75" customHeight="1">
      <c r="A745" s="1">
        <f>IFERROR(__xludf.DUMMYFUNCTION("""COMPUTED_VALUE"""),44938.66666666667)</f>
        <v>44938.66667</v>
      </c>
      <c r="B745" s="2">
        <f>IFERROR(__xludf.DUMMYFUNCTION("""COMPUTED_VALUE"""),292.0)</f>
        <v>292</v>
      </c>
      <c r="C745" s="2">
        <f>IFERROR(__xludf.DUMMYFUNCTION("""COMPUTED_VALUE"""),300.0)</f>
        <v>300</v>
      </c>
      <c r="D745" s="2">
        <f>IFERROR(__xludf.DUMMYFUNCTION("""COMPUTED_VALUE"""),292.0)</f>
        <v>292</v>
      </c>
      <c r="E745" s="2">
        <f>IFERROR(__xludf.DUMMYFUNCTION("""COMPUTED_VALUE"""),296.0)</f>
        <v>296</v>
      </c>
      <c r="F745" s="2">
        <f>IFERROR(__xludf.DUMMYFUNCTION("""COMPUTED_VALUE"""),1.60724E7)</f>
        <v>16072400</v>
      </c>
      <c r="G745" s="2">
        <f t="shared" si="1"/>
        <v>8</v>
      </c>
    </row>
    <row r="746" ht="15.75" customHeight="1">
      <c r="A746" s="1">
        <f>IFERROR(__xludf.DUMMYFUNCTION("""COMPUTED_VALUE"""),44939.66666666667)</f>
        <v>44939.66667</v>
      </c>
      <c r="B746" s="2">
        <f>IFERROR(__xludf.DUMMYFUNCTION("""COMPUTED_VALUE"""),298.0)</f>
        <v>298</v>
      </c>
      <c r="C746" s="2">
        <f>IFERROR(__xludf.DUMMYFUNCTION("""COMPUTED_VALUE"""),308.0)</f>
        <v>308</v>
      </c>
      <c r="D746" s="2">
        <f>IFERROR(__xludf.DUMMYFUNCTION("""COMPUTED_VALUE"""),296.0)</f>
        <v>296</v>
      </c>
      <c r="E746" s="2">
        <f>IFERROR(__xludf.DUMMYFUNCTION("""COMPUTED_VALUE"""),304.0)</f>
        <v>304</v>
      </c>
      <c r="F746" s="2">
        <f>IFERROR(__xludf.DUMMYFUNCTION("""COMPUTED_VALUE"""),3.36048E7)</f>
        <v>33604800</v>
      </c>
      <c r="G746" s="2">
        <f t="shared" si="1"/>
        <v>12</v>
      </c>
    </row>
    <row r="747" ht="15.75" customHeight="1">
      <c r="A747" s="1">
        <f>IFERROR(__xludf.DUMMYFUNCTION("""COMPUTED_VALUE"""),44942.66666666667)</f>
        <v>44942.66667</v>
      </c>
      <c r="B747" s="2">
        <f>IFERROR(__xludf.DUMMYFUNCTION("""COMPUTED_VALUE"""),304.0)</f>
        <v>304</v>
      </c>
      <c r="C747" s="2">
        <f>IFERROR(__xludf.DUMMYFUNCTION("""COMPUTED_VALUE"""),308.0)</f>
        <v>308</v>
      </c>
      <c r="D747" s="2">
        <f>IFERROR(__xludf.DUMMYFUNCTION("""COMPUTED_VALUE"""),304.0)</f>
        <v>304</v>
      </c>
      <c r="E747" s="2">
        <f>IFERROR(__xludf.DUMMYFUNCTION("""COMPUTED_VALUE"""),306.0)</f>
        <v>306</v>
      </c>
      <c r="F747" s="2">
        <f>IFERROR(__xludf.DUMMYFUNCTION("""COMPUTED_VALUE"""),1.42292E7)</f>
        <v>14229200</v>
      </c>
      <c r="G747" s="2">
        <f t="shared" si="1"/>
        <v>4</v>
      </c>
    </row>
    <row r="748" ht="15.75" customHeight="1">
      <c r="A748" s="1">
        <f>IFERROR(__xludf.DUMMYFUNCTION("""COMPUTED_VALUE"""),44943.66666666667)</f>
        <v>44943.66667</v>
      </c>
      <c r="B748" s="2">
        <f>IFERROR(__xludf.DUMMYFUNCTION("""COMPUTED_VALUE"""),306.0)</f>
        <v>306</v>
      </c>
      <c r="C748" s="2">
        <f>IFERROR(__xludf.DUMMYFUNCTION("""COMPUTED_VALUE"""),316.0)</f>
        <v>316</v>
      </c>
      <c r="D748" s="2">
        <f>IFERROR(__xludf.DUMMYFUNCTION("""COMPUTED_VALUE"""),304.0)</f>
        <v>304</v>
      </c>
      <c r="E748" s="2">
        <f>IFERROR(__xludf.DUMMYFUNCTION("""COMPUTED_VALUE"""),312.0)</f>
        <v>312</v>
      </c>
      <c r="F748" s="2">
        <f>IFERROR(__xludf.DUMMYFUNCTION("""COMPUTED_VALUE"""),3.23122E7)</f>
        <v>32312200</v>
      </c>
      <c r="G748" s="2">
        <f t="shared" si="1"/>
        <v>12</v>
      </c>
    </row>
    <row r="749" ht="15.75" customHeight="1">
      <c r="A749" s="1">
        <f>IFERROR(__xludf.DUMMYFUNCTION("""COMPUTED_VALUE"""),44944.66666666667)</f>
        <v>44944.66667</v>
      </c>
      <c r="B749" s="2">
        <f>IFERROR(__xludf.DUMMYFUNCTION("""COMPUTED_VALUE"""),316.0)</f>
        <v>316</v>
      </c>
      <c r="C749" s="2">
        <f>IFERROR(__xludf.DUMMYFUNCTION("""COMPUTED_VALUE"""),318.0)</f>
        <v>318</v>
      </c>
      <c r="D749" s="2">
        <f>IFERROR(__xludf.DUMMYFUNCTION("""COMPUTED_VALUE"""),312.0)</f>
        <v>312</v>
      </c>
      <c r="E749" s="2">
        <f>IFERROR(__xludf.DUMMYFUNCTION("""COMPUTED_VALUE"""),314.0)</f>
        <v>314</v>
      </c>
      <c r="F749" s="2">
        <f>IFERROR(__xludf.DUMMYFUNCTION("""COMPUTED_VALUE"""),1.81835E7)</f>
        <v>18183500</v>
      </c>
      <c r="G749" s="2">
        <f t="shared" si="1"/>
        <v>6</v>
      </c>
    </row>
    <row r="750" ht="15.75" customHeight="1">
      <c r="A750" s="1">
        <f>IFERROR(__xludf.DUMMYFUNCTION("""COMPUTED_VALUE"""),44945.66666666667)</f>
        <v>44945.66667</v>
      </c>
      <c r="B750" s="2">
        <f>IFERROR(__xludf.DUMMYFUNCTION("""COMPUTED_VALUE"""),314.0)</f>
        <v>314</v>
      </c>
      <c r="C750" s="2">
        <f>IFERROR(__xludf.DUMMYFUNCTION("""COMPUTED_VALUE"""),316.0)</f>
        <v>316</v>
      </c>
      <c r="D750" s="2">
        <f>IFERROR(__xludf.DUMMYFUNCTION("""COMPUTED_VALUE"""),308.0)</f>
        <v>308</v>
      </c>
      <c r="E750" s="2">
        <f>IFERROR(__xludf.DUMMYFUNCTION("""COMPUTED_VALUE"""),314.0)</f>
        <v>314</v>
      </c>
      <c r="F750" s="2">
        <f>IFERROR(__xludf.DUMMYFUNCTION("""COMPUTED_VALUE"""),1.77413E7)</f>
        <v>17741300</v>
      </c>
      <c r="G750" s="2">
        <f t="shared" si="1"/>
        <v>8</v>
      </c>
    </row>
    <row r="751" ht="15.75" customHeight="1">
      <c r="A751" s="1">
        <f>IFERROR(__xludf.DUMMYFUNCTION("""COMPUTED_VALUE"""),44946.66666666667)</f>
        <v>44946.66667</v>
      </c>
      <c r="B751" s="2">
        <f>IFERROR(__xludf.DUMMYFUNCTION("""COMPUTED_VALUE"""),314.0)</f>
        <v>314</v>
      </c>
      <c r="C751" s="2">
        <f>IFERROR(__xludf.DUMMYFUNCTION("""COMPUTED_VALUE"""),320.0)</f>
        <v>320</v>
      </c>
      <c r="D751" s="2">
        <f>IFERROR(__xludf.DUMMYFUNCTION("""COMPUTED_VALUE"""),314.0)</f>
        <v>314</v>
      </c>
      <c r="E751" s="2">
        <f>IFERROR(__xludf.DUMMYFUNCTION("""COMPUTED_VALUE"""),318.0)</f>
        <v>318</v>
      </c>
      <c r="F751" s="2">
        <f>IFERROR(__xludf.DUMMYFUNCTION("""COMPUTED_VALUE"""),2.27889E7)</f>
        <v>22788900</v>
      </c>
      <c r="G751" s="2">
        <f t="shared" si="1"/>
        <v>6</v>
      </c>
    </row>
    <row r="752" ht="15.75" customHeight="1">
      <c r="A752" s="1">
        <f>IFERROR(__xludf.DUMMYFUNCTION("""COMPUTED_VALUE"""),44950.66666666667)</f>
        <v>44950.66667</v>
      </c>
      <c r="B752" s="2">
        <f>IFERROR(__xludf.DUMMYFUNCTION("""COMPUTED_VALUE"""),318.0)</f>
        <v>318</v>
      </c>
      <c r="C752" s="2">
        <f>IFERROR(__xludf.DUMMYFUNCTION("""COMPUTED_VALUE"""),326.0)</f>
        <v>326</v>
      </c>
      <c r="D752" s="2">
        <f>IFERROR(__xludf.DUMMYFUNCTION("""COMPUTED_VALUE"""),318.0)</f>
        <v>318</v>
      </c>
      <c r="E752" s="2">
        <f>IFERROR(__xludf.DUMMYFUNCTION("""COMPUTED_VALUE"""),322.0)</f>
        <v>322</v>
      </c>
      <c r="F752" s="2">
        <f>IFERROR(__xludf.DUMMYFUNCTION("""COMPUTED_VALUE"""),3.57798E7)</f>
        <v>35779800</v>
      </c>
      <c r="G752" s="2">
        <f t="shared" si="1"/>
        <v>8</v>
      </c>
    </row>
    <row r="753" ht="15.75" customHeight="1">
      <c r="A753" s="1">
        <f>IFERROR(__xludf.DUMMYFUNCTION("""COMPUTED_VALUE"""),44951.66666666667)</f>
        <v>44951.66667</v>
      </c>
      <c r="B753" s="2">
        <f>IFERROR(__xludf.DUMMYFUNCTION("""COMPUTED_VALUE"""),324.0)</f>
        <v>324</v>
      </c>
      <c r="C753" s="2">
        <f>IFERROR(__xludf.DUMMYFUNCTION("""COMPUTED_VALUE"""),324.0)</f>
        <v>324</v>
      </c>
      <c r="D753" s="2">
        <f>IFERROR(__xludf.DUMMYFUNCTION("""COMPUTED_VALUE"""),312.0)</f>
        <v>312</v>
      </c>
      <c r="E753" s="2">
        <f>IFERROR(__xludf.DUMMYFUNCTION("""COMPUTED_VALUE"""),316.0)</f>
        <v>316</v>
      </c>
      <c r="F753" s="2">
        <f>IFERROR(__xludf.DUMMYFUNCTION("""COMPUTED_VALUE"""),2.61564E7)</f>
        <v>26156400</v>
      </c>
      <c r="G753" s="2">
        <f t="shared" si="1"/>
        <v>12</v>
      </c>
    </row>
    <row r="754" ht="15.75" customHeight="1">
      <c r="A754" s="1">
        <f>IFERROR(__xludf.DUMMYFUNCTION("""COMPUTED_VALUE"""),44952.66666666667)</f>
        <v>44952.66667</v>
      </c>
      <c r="B754" s="2">
        <f>IFERROR(__xludf.DUMMYFUNCTION("""COMPUTED_VALUE"""),316.0)</f>
        <v>316</v>
      </c>
      <c r="C754" s="2">
        <f>IFERROR(__xludf.DUMMYFUNCTION("""COMPUTED_VALUE"""),324.0)</f>
        <v>324</v>
      </c>
      <c r="D754" s="2">
        <f>IFERROR(__xludf.DUMMYFUNCTION("""COMPUTED_VALUE"""),304.0)</f>
        <v>304</v>
      </c>
      <c r="E754" s="2">
        <f>IFERROR(__xludf.DUMMYFUNCTION("""COMPUTED_VALUE"""),310.0)</f>
        <v>310</v>
      </c>
      <c r="F754" s="2">
        <f>IFERROR(__xludf.DUMMYFUNCTION("""COMPUTED_VALUE"""),5.71869E7)</f>
        <v>57186900</v>
      </c>
      <c r="G754" s="2">
        <f t="shared" si="1"/>
        <v>20</v>
      </c>
    </row>
    <row r="755" ht="15.75" customHeight="1">
      <c r="A755" s="1">
        <f>IFERROR(__xludf.DUMMYFUNCTION("""COMPUTED_VALUE"""),44953.66666666667)</f>
        <v>44953.66667</v>
      </c>
      <c r="B755" s="2">
        <f>IFERROR(__xludf.DUMMYFUNCTION("""COMPUTED_VALUE"""),312.0)</f>
        <v>312</v>
      </c>
      <c r="C755" s="2">
        <f>IFERROR(__xludf.DUMMYFUNCTION("""COMPUTED_VALUE"""),316.0)</f>
        <v>316</v>
      </c>
      <c r="D755" s="2">
        <f>IFERROR(__xludf.DUMMYFUNCTION("""COMPUTED_VALUE"""),310.0)</f>
        <v>310</v>
      </c>
      <c r="E755" s="2">
        <f>IFERROR(__xludf.DUMMYFUNCTION("""COMPUTED_VALUE"""),314.0)</f>
        <v>314</v>
      </c>
      <c r="F755" s="2">
        <f>IFERROR(__xludf.DUMMYFUNCTION("""COMPUTED_VALUE"""),2.12147E7)</f>
        <v>21214700</v>
      </c>
      <c r="G755" s="2">
        <f t="shared" si="1"/>
        <v>6</v>
      </c>
    </row>
    <row r="756" ht="15.75" customHeight="1">
      <c r="A756" s="1">
        <f>IFERROR(__xludf.DUMMYFUNCTION("""COMPUTED_VALUE"""),44956.66666666667)</f>
        <v>44956.66667</v>
      </c>
      <c r="B756" s="2">
        <f>IFERROR(__xludf.DUMMYFUNCTION("""COMPUTED_VALUE"""),316.0)</f>
        <v>316</v>
      </c>
      <c r="C756" s="2">
        <f>IFERROR(__xludf.DUMMYFUNCTION("""COMPUTED_VALUE"""),318.0)</f>
        <v>318</v>
      </c>
      <c r="D756" s="2">
        <f>IFERROR(__xludf.DUMMYFUNCTION("""COMPUTED_VALUE"""),312.0)</f>
        <v>312</v>
      </c>
      <c r="E756" s="2">
        <f>IFERROR(__xludf.DUMMYFUNCTION("""COMPUTED_VALUE"""),312.0)</f>
        <v>312</v>
      </c>
      <c r="F756" s="2">
        <f>IFERROR(__xludf.DUMMYFUNCTION("""COMPUTED_VALUE"""),1.36855E7)</f>
        <v>13685500</v>
      </c>
      <c r="G756" s="2">
        <f t="shared" si="1"/>
        <v>6</v>
      </c>
    </row>
    <row r="757" ht="15.75" customHeight="1">
      <c r="A757" s="1">
        <f>IFERROR(__xludf.DUMMYFUNCTION("""COMPUTED_VALUE"""),44957.66666666667)</f>
        <v>44957.66667</v>
      </c>
      <c r="B757" s="2">
        <f>IFERROR(__xludf.DUMMYFUNCTION("""COMPUTED_VALUE"""),312.0)</f>
        <v>312</v>
      </c>
      <c r="C757" s="2">
        <f>IFERROR(__xludf.DUMMYFUNCTION("""COMPUTED_VALUE"""),316.0)</f>
        <v>316</v>
      </c>
      <c r="D757" s="2">
        <f>IFERROR(__xludf.DUMMYFUNCTION("""COMPUTED_VALUE"""),308.0)</f>
        <v>308</v>
      </c>
      <c r="E757" s="2">
        <f>IFERROR(__xludf.DUMMYFUNCTION("""COMPUTED_VALUE"""),312.0)</f>
        <v>312</v>
      </c>
      <c r="F757" s="2">
        <f>IFERROR(__xludf.DUMMYFUNCTION("""COMPUTED_VALUE"""),1.0792E7)</f>
        <v>10792000</v>
      </c>
      <c r="G757" s="2">
        <f t="shared" si="1"/>
        <v>8</v>
      </c>
    </row>
    <row r="758" ht="15.75" customHeight="1">
      <c r="A758" s="1">
        <f>IFERROR(__xludf.DUMMYFUNCTION("""COMPUTED_VALUE"""),44958.66666666667)</f>
        <v>44958.66667</v>
      </c>
      <c r="B758" s="2">
        <f>IFERROR(__xludf.DUMMYFUNCTION("""COMPUTED_VALUE"""),312.0)</f>
        <v>312</v>
      </c>
      <c r="C758" s="2">
        <f>IFERROR(__xludf.DUMMYFUNCTION("""COMPUTED_VALUE"""),316.0)</f>
        <v>316</v>
      </c>
      <c r="D758" s="2">
        <f>IFERROR(__xludf.DUMMYFUNCTION("""COMPUTED_VALUE"""),312.0)</f>
        <v>312</v>
      </c>
      <c r="E758" s="2">
        <f>IFERROR(__xludf.DUMMYFUNCTION("""COMPUTED_VALUE"""),312.0)</f>
        <v>312</v>
      </c>
      <c r="F758" s="2">
        <f>IFERROR(__xludf.DUMMYFUNCTION("""COMPUTED_VALUE"""),1.66098E7)</f>
        <v>16609800</v>
      </c>
      <c r="G758" s="2">
        <f t="shared" si="1"/>
        <v>4</v>
      </c>
    </row>
    <row r="759" ht="15.75" customHeight="1">
      <c r="A759" s="1">
        <f>IFERROR(__xludf.DUMMYFUNCTION("""COMPUTED_VALUE"""),44959.66666666667)</f>
        <v>44959.66667</v>
      </c>
      <c r="B759" s="2">
        <f>IFERROR(__xludf.DUMMYFUNCTION("""COMPUTED_VALUE"""),310.0)</f>
        <v>310</v>
      </c>
      <c r="C759" s="2">
        <f>IFERROR(__xludf.DUMMYFUNCTION("""COMPUTED_VALUE"""),320.0)</f>
        <v>320</v>
      </c>
      <c r="D759" s="2">
        <f>IFERROR(__xludf.DUMMYFUNCTION("""COMPUTED_VALUE"""),310.0)</f>
        <v>310</v>
      </c>
      <c r="E759" s="2">
        <f>IFERROR(__xludf.DUMMYFUNCTION("""COMPUTED_VALUE"""),318.0)</f>
        <v>318</v>
      </c>
      <c r="F759" s="2">
        <f>IFERROR(__xludf.DUMMYFUNCTION("""COMPUTED_VALUE"""),2.83451E7)</f>
        <v>28345100</v>
      </c>
      <c r="G759" s="2">
        <f t="shared" si="1"/>
        <v>10</v>
      </c>
    </row>
    <row r="760" ht="15.75" customHeight="1">
      <c r="A760" s="1">
        <f>IFERROR(__xludf.DUMMYFUNCTION("""COMPUTED_VALUE"""),44960.66666666667)</f>
        <v>44960.66667</v>
      </c>
      <c r="B760" s="2">
        <f>IFERROR(__xludf.DUMMYFUNCTION("""COMPUTED_VALUE"""),318.0)</f>
        <v>318</v>
      </c>
      <c r="C760" s="2">
        <f>IFERROR(__xludf.DUMMYFUNCTION("""COMPUTED_VALUE"""),322.0)</f>
        <v>322</v>
      </c>
      <c r="D760" s="2">
        <f>IFERROR(__xludf.DUMMYFUNCTION("""COMPUTED_VALUE"""),314.0)</f>
        <v>314</v>
      </c>
      <c r="E760" s="2">
        <f>IFERROR(__xludf.DUMMYFUNCTION("""COMPUTED_VALUE"""),316.0)</f>
        <v>316</v>
      </c>
      <c r="F760" s="2">
        <f>IFERROR(__xludf.DUMMYFUNCTION("""COMPUTED_VALUE"""),2.27467E7)</f>
        <v>22746700</v>
      </c>
      <c r="G760" s="2">
        <f t="shared" si="1"/>
        <v>8</v>
      </c>
    </row>
    <row r="761" ht="15.75" customHeight="1">
      <c r="A761" s="1">
        <f>IFERROR(__xludf.DUMMYFUNCTION("""COMPUTED_VALUE"""),44963.66666666667)</f>
        <v>44963.66667</v>
      </c>
      <c r="B761" s="2">
        <f>IFERROR(__xludf.DUMMYFUNCTION("""COMPUTED_VALUE"""),314.0)</f>
        <v>314</v>
      </c>
      <c r="C761" s="2">
        <f>IFERROR(__xludf.DUMMYFUNCTION("""COMPUTED_VALUE"""),318.0)</f>
        <v>318</v>
      </c>
      <c r="D761" s="2">
        <f>IFERROR(__xludf.DUMMYFUNCTION("""COMPUTED_VALUE"""),310.0)</f>
        <v>310</v>
      </c>
      <c r="E761" s="2">
        <f>IFERROR(__xludf.DUMMYFUNCTION("""COMPUTED_VALUE"""),314.0)</f>
        <v>314</v>
      </c>
      <c r="F761" s="2">
        <f>IFERROR(__xludf.DUMMYFUNCTION("""COMPUTED_VALUE"""),1.37584E7)</f>
        <v>13758400</v>
      </c>
      <c r="G761" s="2">
        <f t="shared" si="1"/>
        <v>8</v>
      </c>
    </row>
    <row r="762" ht="15.75" customHeight="1">
      <c r="A762" s="1">
        <f>IFERROR(__xludf.DUMMYFUNCTION("""COMPUTED_VALUE"""),44964.66666666667)</f>
        <v>44964.66667</v>
      </c>
      <c r="B762" s="2">
        <f>IFERROR(__xludf.DUMMYFUNCTION("""COMPUTED_VALUE"""),316.0)</f>
        <v>316</v>
      </c>
      <c r="C762" s="2">
        <f>IFERROR(__xludf.DUMMYFUNCTION("""COMPUTED_VALUE"""),318.0)</f>
        <v>318</v>
      </c>
      <c r="D762" s="2">
        <f>IFERROR(__xludf.DUMMYFUNCTION("""COMPUTED_VALUE"""),310.0)</f>
        <v>310</v>
      </c>
      <c r="E762" s="2">
        <f>IFERROR(__xludf.DUMMYFUNCTION("""COMPUTED_VALUE"""),310.0)</f>
        <v>310</v>
      </c>
      <c r="F762" s="2">
        <f>IFERROR(__xludf.DUMMYFUNCTION("""COMPUTED_VALUE"""),2.5322E7)</f>
        <v>25322000</v>
      </c>
      <c r="G762" s="2">
        <f t="shared" si="1"/>
        <v>8</v>
      </c>
    </row>
    <row r="763" ht="15.75" customHeight="1">
      <c r="A763" s="1">
        <f>IFERROR(__xludf.DUMMYFUNCTION("""COMPUTED_VALUE"""),44965.66666666667)</f>
        <v>44965.66667</v>
      </c>
      <c r="B763" s="2">
        <f>IFERROR(__xludf.DUMMYFUNCTION("""COMPUTED_VALUE"""),314.0)</f>
        <v>314</v>
      </c>
      <c r="C763" s="2">
        <f>IFERROR(__xludf.DUMMYFUNCTION("""COMPUTED_VALUE"""),318.0)</f>
        <v>318</v>
      </c>
      <c r="D763" s="2">
        <f>IFERROR(__xludf.DUMMYFUNCTION("""COMPUTED_VALUE"""),312.0)</f>
        <v>312</v>
      </c>
      <c r="E763" s="2">
        <f>IFERROR(__xludf.DUMMYFUNCTION("""COMPUTED_VALUE"""),316.0)</f>
        <v>316</v>
      </c>
      <c r="F763" s="2">
        <f>IFERROR(__xludf.DUMMYFUNCTION("""COMPUTED_VALUE"""),1.3802E7)</f>
        <v>13802000</v>
      </c>
      <c r="G763" s="2">
        <f t="shared" si="1"/>
        <v>8</v>
      </c>
    </row>
    <row r="764" ht="15.75" customHeight="1">
      <c r="A764" s="1">
        <f>IFERROR(__xludf.DUMMYFUNCTION("""COMPUTED_VALUE"""),44966.66666666667)</f>
        <v>44966.66667</v>
      </c>
      <c r="B764" s="2">
        <f>IFERROR(__xludf.DUMMYFUNCTION("""COMPUTED_VALUE"""),318.0)</f>
        <v>318</v>
      </c>
      <c r="C764" s="2">
        <f>IFERROR(__xludf.DUMMYFUNCTION("""COMPUTED_VALUE"""),324.0)</f>
        <v>324</v>
      </c>
      <c r="D764" s="2">
        <f>IFERROR(__xludf.DUMMYFUNCTION("""COMPUTED_VALUE"""),314.0)</f>
        <v>314</v>
      </c>
      <c r="E764" s="2">
        <f>IFERROR(__xludf.DUMMYFUNCTION("""COMPUTED_VALUE"""),316.0)</f>
        <v>316</v>
      </c>
      <c r="F764" s="2">
        <f>IFERROR(__xludf.DUMMYFUNCTION("""COMPUTED_VALUE"""),4.27226E7)</f>
        <v>42722600</v>
      </c>
      <c r="G764" s="2">
        <f t="shared" si="1"/>
        <v>10</v>
      </c>
    </row>
    <row r="765" ht="15.75" customHeight="1">
      <c r="A765" s="1">
        <f>IFERROR(__xludf.DUMMYFUNCTION("""COMPUTED_VALUE"""),44967.66666666667)</f>
        <v>44967.66667</v>
      </c>
      <c r="B765" s="2">
        <f>IFERROR(__xludf.DUMMYFUNCTION("""COMPUTED_VALUE"""),316.0)</f>
        <v>316</v>
      </c>
      <c r="C765" s="2">
        <f>IFERROR(__xludf.DUMMYFUNCTION("""COMPUTED_VALUE"""),320.0)</f>
        <v>320</v>
      </c>
      <c r="D765" s="2">
        <f>IFERROR(__xludf.DUMMYFUNCTION("""COMPUTED_VALUE"""),310.0)</f>
        <v>310</v>
      </c>
      <c r="E765" s="2">
        <f>IFERROR(__xludf.DUMMYFUNCTION("""COMPUTED_VALUE"""),314.0)</f>
        <v>314</v>
      </c>
      <c r="F765" s="2">
        <f>IFERROR(__xludf.DUMMYFUNCTION("""COMPUTED_VALUE"""),2.34536E7)</f>
        <v>23453600</v>
      </c>
      <c r="G765" s="2">
        <f t="shared" si="1"/>
        <v>10</v>
      </c>
    </row>
    <row r="766" ht="15.75" customHeight="1">
      <c r="A766" s="1">
        <f>IFERROR(__xludf.DUMMYFUNCTION("""COMPUTED_VALUE"""),44970.66666666667)</f>
        <v>44970.66667</v>
      </c>
      <c r="B766" s="2">
        <f>IFERROR(__xludf.DUMMYFUNCTION("""COMPUTED_VALUE"""),316.0)</f>
        <v>316</v>
      </c>
      <c r="C766" s="2">
        <f>IFERROR(__xludf.DUMMYFUNCTION("""COMPUTED_VALUE"""),320.0)</f>
        <v>320</v>
      </c>
      <c r="D766" s="2">
        <f>IFERROR(__xludf.DUMMYFUNCTION("""COMPUTED_VALUE"""),316.0)</f>
        <v>316</v>
      </c>
      <c r="E766" s="2">
        <f>IFERROR(__xludf.DUMMYFUNCTION("""COMPUTED_VALUE"""),316.0)</f>
        <v>316</v>
      </c>
      <c r="F766" s="2">
        <f>IFERROR(__xludf.DUMMYFUNCTION("""COMPUTED_VALUE"""),1.24358E7)</f>
        <v>12435800</v>
      </c>
      <c r="G766" s="2">
        <f t="shared" si="1"/>
        <v>6</v>
      </c>
    </row>
    <row r="767" ht="15.75" customHeight="1">
      <c r="A767" s="1">
        <f>IFERROR(__xludf.DUMMYFUNCTION("""COMPUTED_VALUE"""),44971.66666666667)</f>
        <v>44971.66667</v>
      </c>
      <c r="B767" s="2">
        <f>IFERROR(__xludf.DUMMYFUNCTION("""COMPUTED_VALUE"""),320.0)</f>
        <v>320</v>
      </c>
      <c r="C767" s="2">
        <f>IFERROR(__xludf.DUMMYFUNCTION("""COMPUTED_VALUE"""),320.0)</f>
        <v>320</v>
      </c>
      <c r="D767" s="2">
        <f>IFERROR(__xludf.DUMMYFUNCTION("""COMPUTED_VALUE"""),314.0)</f>
        <v>314</v>
      </c>
      <c r="E767" s="2">
        <f>IFERROR(__xludf.DUMMYFUNCTION("""COMPUTED_VALUE"""),316.0)</f>
        <v>316</v>
      </c>
      <c r="F767" s="2">
        <f>IFERROR(__xludf.DUMMYFUNCTION("""COMPUTED_VALUE"""),1.26909E7)</f>
        <v>12690900</v>
      </c>
      <c r="G767" s="2">
        <f t="shared" si="1"/>
        <v>6</v>
      </c>
    </row>
    <row r="768" ht="15.75" customHeight="1">
      <c r="A768" s="1">
        <f>IFERROR(__xludf.DUMMYFUNCTION("""COMPUTED_VALUE"""),44972.66666666667)</f>
        <v>44972.66667</v>
      </c>
      <c r="B768" s="2">
        <f>IFERROR(__xludf.DUMMYFUNCTION("""COMPUTED_VALUE"""),316.0)</f>
        <v>316</v>
      </c>
      <c r="C768" s="2">
        <f>IFERROR(__xludf.DUMMYFUNCTION("""COMPUTED_VALUE"""),320.0)</f>
        <v>320</v>
      </c>
      <c r="D768" s="2">
        <f>IFERROR(__xludf.DUMMYFUNCTION("""COMPUTED_VALUE"""),314.0)</f>
        <v>314</v>
      </c>
      <c r="E768" s="2">
        <f>IFERROR(__xludf.DUMMYFUNCTION("""COMPUTED_VALUE"""),316.0)</f>
        <v>316</v>
      </c>
      <c r="F768" s="2">
        <f>IFERROR(__xludf.DUMMYFUNCTION("""COMPUTED_VALUE"""),1.43884E7)</f>
        <v>14388400</v>
      </c>
      <c r="G768" s="2">
        <f t="shared" si="1"/>
        <v>6</v>
      </c>
    </row>
    <row r="769" ht="15.75" customHeight="1">
      <c r="A769" s="1">
        <f>IFERROR(__xludf.DUMMYFUNCTION("""COMPUTED_VALUE"""),44973.66666666667)</f>
        <v>44973.66667</v>
      </c>
      <c r="B769" s="2">
        <f>IFERROR(__xludf.DUMMYFUNCTION("""COMPUTED_VALUE"""),316.0)</f>
        <v>316</v>
      </c>
      <c r="C769" s="2">
        <f>IFERROR(__xludf.DUMMYFUNCTION("""COMPUTED_VALUE"""),318.0)</f>
        <v>318</v>
      </c>
      <c r="D769" s="2">
        <f>IFERROR(__xludf.DUMMYFUNCTION("""COMPUTED_VALUE"""),314.0)</f>
        <v>314</v>
      </c>
      <c r="E769" s="2">
        <f>IFERROR(__xludf.DUMMYFUNCTION("""COMPUTED_VALUE"""),314.0)</f>
        <v>314</v>
      </c>
      <c r="F769" s="2">
        <f>IFERROR(__xludf.DUMMYFUNCTION("""COMPUTED_VALUE"""),1.11466E7)</f>
        <v>11146600</v>
      </c>
      <c r="G769" s="2">
        <f t="shared" si="1"/>
        <v>4</v>
      </c>
    </row>
    <row r="770" ht="15.75" customHeight="1">
      <c r="A770" s="1">
        <f>IFERROR(__xludf.DUMMYFUNCTION("""COMPUTED_VALUE"""),44974.66666666667)</f>
        <v>44974.66667</v>
      </c>
      <c r="B770" s="2">
        <f>IFERROR(__xludf.DUMMYFUNCTION("""COMPUTED_VALUE"""),314.0)</f>
        <v>314</v>
      </c>
      <c r="C770" s="2">
        <f>IFERROR(__xludf.DUMMYFUNCTION("""COMPUTED_VALUE"""),316.0)</f>
        <v>316</v>
      </c>
      <c r="D770" s="2">
        <f>IFERROR(__xludf.DUMMYFUNCTION("""COMPUTED_VALUE"""),312.0)</f>
        <v>312</v>
      </c>
      <c r="E770" s="2">
        <f>IFERROR(__xludf.DUMMYFUNCTION("""COMPUTED_VALUE"""),314.0)</f>
        <v>314</v>
      </c>
      <c r="F770" s="2">
        <f>IFERROR(__xludf.DUMMYFUNCTION("""COMPUTED_VALUE"""),1.37763E7)</f>
        <v>13776300</v>
      </c>
      <c r="G770" s="2">
        <f t="shared" si="1"/>
        <v>4</v>
      </c>
    </row>
    <row r="771" ht="15.75" customHeight="1">
      <c r="A771" s="1">
        <f>IFERROR(__xludf.DUMMYFUNCTION("""COMPUTED_VALUE"""),44977.66666666667)</f>
        <v>44977.66667</v>
      </c>
      <c r="B771" s="2">
        <f>IFERROR(__xludf.DUMMYFUNCTION("""COMPUTED_VALUE"""),316.0)</f>
        <v>316</v>
      </c>
      <c r="C771" s="2">
        <f>IFERROR(__xludf.DUMMYFUNCTION("""COMPUTED_VALUE"""),316.0)</f>
        <v>316</v>
      </c>
      <c r="D771" s="2">
        <f>IFERROR(__xludf.DUMMYFUNCTION("""COMPUTED_VALUE"""),310.0)</f>
        <v>310</v>
      </c>
      <c r="E771" s="2">
        <f>IFERROR(__xludf.DUMMYFUNCTION("""COMPUTED_VALUE"""),312.0)</f>
        <v>312</v>
      </c>
      <c r="F771" s="2">
        <f>IFERROR(__xludf.DUMMYFUNCTION("""COMPUTED_VALUE"""),1.99406E7)</f>
        <v>19940600</v>
      </c>
      <c r="G771" s="2">
        <f t="shared" si="1"/>
        <v>6</v>
      </c>
    </row>
    <row r="772" ht="15.75" customHeight="1">
      <c r="A772" s="1">
        <f>IFERROR(__xludf.DUMMYFUNCTION("""COMPUTED_VALUE"""),44978.66666666667)</f>
        <v>44978.66667</v>
      </c>
      <c r="B772" s="2">
        <f>IFERROR(__xludf.DUMMYFUNCTION("""COMPUTED_VALUE"""),312.0)</f>
        <v>312</v>
      </c>
      <c r="C772" s="2">
        <f>IFERROR(__xludf.DUMMYFUNCTION("""COMPUTED_VALUE"""),316.0)</f>
        <v>316</v>
      </c>
      <c r="D772" s="2">
        <f>IFERROR(__xludf.DUMMYFUNCTION("""COMPUTED_VALUE"""),310.0)</f>
        <v>310</v>
      </c>
      <c r="E772" s="2">
        <f>IFERROR(__xludf.DUMMYFUNCTION("""COMPUTED_VALUE"""),312.0)</f>
        <v>312</v>
      </c>
      <c r="F772" s="2">
        <f>IFERROR(__xludf.DUMMYFUNCTION("""COMPUTED_VALUE"""),1.41317E7)</f>
        <v>14131700</v>
      </c>
      <c r="G772" s="2">
        <f t="shared" si="1"/>
        <v>6</v>
      </c>
    </row>
    <row r="773" ht="15.75" customHeight="1">
      <c r="A773" s="1">
        <f>IFERROR(__xludf.DUMMYFUNCTION("""COMPUTED_VALUE"""),44979.66666666667)</f>
        <v>44979.66667</v>
      </c>
      <c r="B773" s="2">
        <f>IFERROR(__xludf.DUMMYFUNCTION("""COMPUTED_VALUE"""),312.0)</f>
        <v>312</v>
      </c>
      <c r="C773" s="2">
        <f>IFERROR(__xludf.DUMMYFUNCTION("""COMPUTED_VALUE"""),314.0)</f>
        <v>314</v>
      </c>
      <c r="D773" s="2">
        <f>IFERROR(__xludf.DUMMYFUNCTION("""COMPUTED_VALUE"""),310.0)</f>
        <v>310</v>
      </c>
      <c r="E773" s="2">
        <f>IFERROR(__xludf.DUMMYFUNCTION("""COMPUTED_VALUE"""),310.0)</f>
        <v>310</v>
      </c>
      <c r="F773" s="2">
        <f>IFERROR(__xludf.DUMMYFUNCTION("""COMPUTED_VALUE"""),1.37918E7)</f>
        <v>13791800</v>
      </c>
      <c r="G773" s="2">
        <f t="shared" si="1"/>
        <v>4</v>
      </c>
    </row>
    <row r="774" ht="15.75" customHeight="1">
      <c r="A774" s="1">
        <f>IFERROR(__xludf.DUMMYFUNCTION("""COMPUTED_VALUE"""),44980.66666666667)</f>
        <v>44980.66667</v>
      </c>
      <c r="B774" s="2">
        <f>IFERROR(__xludf.DUMMYFUNCTION("""COMPUTED_VALUE"""),310.0)</f>
        <v>310</v>
      </c>
      <c r="C774" s="2">
        <f>IFERROR(__xludf.DUMMYFUNCTION("""COMPUTED_VALUE"""),312.0)</f>
        <v>312</v>
      </c>
      <c r="D774" s="2">
        <f>IFERROR(__xludf.DUMMYFUNCTION("""COMPUTED_VALUE"""),304.0)</f>
        <v>304</v>
      </c>
      <c r="E774" s="2">
        <f>IFERROR(__xludf.DUMMYFUNCTION("""COMPUTED_VALUE"""),308.0)</f>
        <v>308</v>
      </c>
      <c r="F774" s="2">
        <f>IFERROR(__xludf.DUMMYFUNCTION("""COMPUTED_VALUE"""),2.27493E7)</f>
        <v>22749300</v>
      </c>
      <c r="G774" s="2">
        <f t="shared" si="1"/>
        <v>8</v>
      </c>
    </row>
    <row r="775" ht="15.75" customHeight="1">
      <c r="A775" s="1">
        <f>IFERROR(__xludf.DUMMYFUNCTION("""COMPUTED_VALUE"""),44981.66666666667)</f>
        <v>44981.66667</v>
      </c>
      <c r="B775" s="2">
        <f>IFERROR(__xludf.DUMMYFUNCTION("""COMPUTED_VALUE"""),310.0)</f>
        <v>310</v>
      </c>
      <c r="C775" s="2">
        <f>IFERROR(__xludf.DUMMYFUNCTION("""COMPUTED_VALUE"""),312.0)</f>
        <v>312</v>
      </c>
      <c r="D775" s="2">
        <f>IFERROR(__xludf.DUMMYFUNCTION("""COMPUTED_VALUE"""),308.0)</f>
        <v>308</v>
      </c>
      <c r="E775" s="2">
        <f>IFERROR(__xludf.DUMMYFUNCTION("""COMPUTED_VALUE"""),310.0)</f>
        <v>310</v>
      </c>
      <c r="F775" s="2">
        <f>IFERROR(__xludf.DUMMYFUNCTION("""COMPUTED_VALUE"""),1.09952E7)</f>
        <v>10995200</v>
      </c>
      <c r="G775" s="2">
        <f t="shared" si="1"/>
        <v>4</v>
      </c>
    </row>
    <row r="776" ht="15.75" customHeight="1">
      <c r="A776" s="1">
        <f>IFERROR(__xludf.DUMMYFUNCTION("""COMPUTED_VALUE"""),44984.66666666667)</f>
        <v>44984.66667</v>
      </c>
      <c r="B776" s="2">
        <f>IFERROR(__xludf.DUMMYFUNCTION("""COMPUTED_VALUE"""),312.0)</f>
        <v>312</v>
      </c>
      <c r="C776" s="2">
        <f>IFERROR(__xludf.DUMMYFUNCTION("""COMPUTED_VALUE"""),312.0)</f>
        <v>312</v>
      </c>
      <c r="D776" s="2">
        <f>IFERROR(__xludf.DUMMYFUNCTION("""COMPUTED_VALUE"""),308.0)</f>
        <v>308</v>
      </c>
      <c r="E776" s="2">
        <f>IFERROR(__xludf.DUMMYFUNCTION("""COMPUTED_VALUE"""),310.0)</f>
        <v>310</v>
      </c>
      <c r="F776" s="2">
        <f>IFERROR(__xludf.DUMMYFUNCTION("""COMPUTED_VALUE"""),8797300.0)</f>
        <v>8797300</v>
      </c>
      <c r="G776" s="2">
        <f t="shared" si="1"/>
        <v>4</v>
      </c>
    </row>
    <row r="777" ht="15.75" customHeight="1">
      <c r="A777" s="1">
        <f>IFERROR(__xludf.DUMMYFUNCTION("""COMPUTED_VALUE"""),44985.66666666667)</f>
        <v>44985.66667</v>
      </c>
      <c r="B777" s="2">
        <f>IFERROR(__xludf.DUMMYFUNCTION("""COMPUTED_VALUE"""),310.0)</f>
        <v>310</v>
      </c>
      <c r="C777" s="2">
        <f>IFERROR(__xludf.DUMMYFUNCTION("""COMPUTED_VALUE"""),316.0)</f>
        <v>316</v>
      </c>
      <c r="D777" s="2">
        <f>IFERROR(__xludf.DUMMYFUNCTION("""COMPUTED_VALUE"""),308.0)</f>
        <v>308</v>
      </c>
      <c r="E777" s="2">
        <f>IFERROR(__xludf.DUMMYFUNCTION("""COMPUTED_VALUE"""),308.0)</f>
        <v>308</v>
      </c>
      <c r="F777" s="2">
        <f>IFERROR(__xludf.DUMMYFUNCTION("""COMPUTED_VALUE"""),3.37971E7)</f>
        <v>33797100</v>
      </c>
      <c r="G777" s="2">
        <f t="shared" si="1"/>
        <v>8</v>
      </c>
    </row>
    <row r="778" ht="15.75" customHeight="1">
      <c r="A778" s="1">
        <f>IFERROR(__xludf.DUMMYFUNCTION("""COMPUTED_VALUE"""),44986.66666666667)</f>
        <v>44986.66667</v>
      </c>
      <c r="B778" s="2">
        <f>IFERROR(__xludf.DUMMYFUNCTION("""COMPUTED_VALUE"""),308.0)</f>
        <v>308</v>
      </c>
      <c r="C778" s="2">
        <f>IFERROR(__xludf.DUMMYFUNCTION("""COMPUTED_VALUE"""),312.0)</f>
        <v>312</v>
      </c>
      <c r="D778" s="2">
        <f>IFERROR(__xludf.DUMMYFUNCTION("""COMPUTED_VALUE"""),306.0)</f>
        <v>306</v>
      </c>
      <c r="E778" s="2">
        <f>IFERROR(__xludf.DUMMYFUNCTION("""COMPUTED_VALUE"""),310.0)</f>
        <v>310</v>
      </c>
      <c r="F778" s="2">
        <f>IFERROR(__xludf.DUMMYFUNCTION("""COMPUTED_VALUE"""),1.92878E7)</f>
        <v>19287800</v>
      </c>
      <c r="G778" s="2">
        <f t="shared" si="1"/>
        <v>6</v>
      </c>
    </row>
    <row r="779" ht="15.75" customHeight="1">
      <c r="A779" s="1">
        <f>IFERROR(__xludf.DUMMYFUNCTION("""COMPUTED_VALUE"""),44987.66666666667)</f>
        <v>44987.66667</v>
      </c>
      <c r="B779" s="2">
        <f>IFERROR(__xludf.DUMMYFUNCTION("""COMPUTED_VALUE"""),320.0)</f>
        <v>320</v>
      </c>
      <c r="C779" s="2">
        <f>IFERROR(__xludf.DUMMYFUNCTION("""COMPUTED_VALUE"""),334.0)</f>
        <v>334</v>
      </c>
      <c r="D779" s="2">
        <f>IFERROR(__xludf.DUMMYFUNCTION("""COMPUTED_VALUE"""),310.0)</f>
        <v>310</v>
      </c>
      <c r="E779" s="2">
        <f>IFERROR(__xludf.DUMMYFUNCTION("""COMPUTED_VALUE"""),332.0)</f>
        <v>332</v>
      </c>
      <c r="F779" s="2">
        <f>IFERROR(__xludf.DUMMYFUNCTION("""COMPUTED_VALUE"""),1.660394E8)</f>
        <v>166039400</v>
      </c>
      <c r="G779" s="2">
        <f t="shared" si="1"/>
        <v>24</v>
      </c>
    </row>
    <row r="780" ht="15.75" customHeight="1">
      <c r="A780" s="1">
        <f>IFERROR(__xludf.DUMMYFUNCTION("""COMPUTED_VALUE"""),44988.66666666667)</f>
        <v>44988.66667</v>
      </c>
      <c r="B780" s="2">
        <f>IFERROR(__xludf.DUMMYFUNCTION("""COMPUTED_VALUE"""),340.0)</f>
        <v>340</v>
      </c>
      <c r="C780" s="2">
        <f>IFERROR(__xludf.DUMMYFUNCTION("""COMPUTED_VALUE"""),340.0)</f>
        <v>340</v>
      </c>
      <c r="D780" s="2">
        <f>IFERROR(__xludf.DUMMYFUNCTION("""COMPUTED_VALUE"""),328.0)</f>
        <v>328</v>
      </c>
      <c r="E780" s="2">
        <f>IFERROR(__xludf.DUMMYFUNCTION("""COMPUTED_VALUE"""),332.0)</f>
        <v>332</v>
      </c>
      <c r="F780" s="2">
        <f>IFERROR(__xludf.DUMMYFUNCTION("""COMPUTED_VALUE"""),8.16362E7)</f>
        <v>81636200</v>
      </c>
      <c r="G780" s="2">
        <f t="shared" si="1"/>
        <v>12</v>
      </c>
    </row>
    <row r="781" ht="15.75" customHeight="1">
      <c r="A781" s="1">
        <f>IFERROR(__xludf.DUMMYFUNCTION("""COMPUTED_VALUE"""),44991.66666666667)</f>
        <v>44991.66667</v>
      </c>
      <c r="B781" s="2">
        <f>IFERROR(__xludf.DUMMYFUNCTION("""COMPUTED_VALUE"""),332.0)</f>
        <v>332</v>
      </c>
      <c r="C781" s="2">
        <f>IFERROR(__xludf.DUMMYFUNCTION("""COMPUTED_VALUE"""),340.0)</f>
        <v>340</v>
      </c>
      <c r="D781" s="2">
        <f>IFERROR(__xludf.DUMMYFUNCTION("""COMPUTED_VALUE"""),332.0)</f>
        <v>332</v>
      </c>
      <c r="E781" s="2">
        <f>IFERROR(__xludf.DUMMYFUNCTION("""COMPUTED_VALUE"""),338.0)</f>
        <v>338</v>
      </c>
      <c r="F781" s="2">
        <f>IFERROR(__xludf.DUMMYFUNCTION("""COMPUTED_VALUE"""),5.20253E7)</f>
        <v>52025300</v>
      </c>
      <c r="G781" s="2">
        <f t="shared" si="1"/>
        <v>8</v>
      </c>
    </row>
    <row r="782" ht="15.75" customHeight="1">
      <c r="A782" s="1">
        <f>IFERROR(__xludf.DUMMYFUNCTION("""COMPUTED_VALUE"""),44992.66666666667)</f>
        <v>44992.66667</v>
      </c>
      <c r="B782" s="2">
        <f>IFERROR(__xludf.DUMMYFUNCTION("""COMPUTED_VALUE"""),338.0)</f>
        <v>338</v>
      </c>
      <c r="C782" s="2">
        <f>IFERROR(__xludf.DUMMYFUNCTION("""COMPUTED_VALUE"""),340.0)</f>
        <v>340</v>
      </c>
      <c r="D782" s="2">
        <f>IFERROR(__xludf.DUMMYFUNCTION("""COMPUTED_VALUE"""),328.0)</f>
        <v>328</v>
      </c>
      <c r="E782" s="2">
        <f>IFERROR(__xludf.DUMMYFUNCTION("""COMPUTED_VALUE"""),332.0)</f>
        <v>332</v>
      </c>
      <c r="F782" s="2">
        <f>IFERROR(__xludf.DUMMYFUNCTION("""COMPUTED_VALUE"""),4.01572E7)</f>
        <v>40157200</v>
      </c>
      <c r="G782" s="2">
        <f t="shared" si="1"/>
        <v>12</v>
      </c>
    </row>
    <row r="783" ht="15.75" customHeight="1">
      <c r="A783" s="1">
        <f>IFERROR(__xludf.DUMMYFUNCTION("""COMPUTED_VALUE"""),44993.66666666667)</f>
        <v>44993.66667</v>
      </c>
      <c r="B783" s="2">
        <f>IFERROR(__xludf.DUMMYFUNCTION("""COMPUTED_VALUE"""),320.0)</f>
        <v>320</v>
      </c>
      <c r="C783" s="2">
        <f>IFERROR(__xludf.DUMMYFUNCTION("""COMPUTED_VALUE"""),334.0)</f>
        <v>334</v>
      </c>
      <c r="D783" s="2">
        <f>IFERROR(__xludf.DUMMYFUNCTION("""COMPUTED_VALUE"""),320.0)</f>
        <v>320</v>
      </c>
      <c r="E783" s="2">
        <f>IFERROR(__xludf.DUMMYFUNCTION("""COMPUTED_VALUE"""),328.0)</f>
        <v>328</v>
      </c>
      <c r="F783" s="2">
        <f>IFERROR(__xludf.DUMMYFUNCTION("""COMPUTED_VALUE"""),2.36841E7)</f>
        <v>23684100</v>
      </c>
      <c r="G783" s="2">
        <f t="shared" si="1"/>
        <v>14</v>
      </c>
    </row>
    <row r="784" ht="15.75" customHeight="1">
      <c r="A784" s="1">
        <f>IFERROR(__xludf.DUMMYFUNCTION("""COMPUTED_VALUE"""),44994.66666666667)</f>
        <v>44994.66667</v>
      </c>
      <c r="B784" s="2">
        <f>IFERROR(__xludf.DUMMYFUNCTION("""COMPUTED_VALUE"""),330.0)</f>
        <v>330</v>
      </c>
      <c r="C784" s="2">
        <f>IFERROR(__xludf.DUMMYFUNCTION("""COMPUTED_VALUE"""),338.0)</f>
        <v>338</v>
      </c>
      <c r="D784" s="2">
        <f>IFERROR(__xludf.DUMMYFUNCTION("""COMPUTED_VALUE"""),328.0)</f>
        <v>328</v>
      </c>
      <c r="E784" s="2">
        <f>IFERROR(__xludf.DUMMYFUNCTION("""COMPUTED_VALUE"""),336.0)</f>
        <v>336</v>
      </c>
      <c r="F784" s="2">
        <f>IFERROR(__xludf.DUMMYFUNCTION("""COMPUTED_VALUE"""),2.64028E7)</f>
        <v>26402800</v>
      </c>
      <c r="G784" s="2">
        <f t="shared" si="1"/>
        <v>10</v>
      </c>
    </row>
    <row r="785" ht="15.75" customHeight="1">
      <c r="A785" s="1">
        <f>IFERROR(__xludf.DUMMYFUNCTION("""COMPUTED_VALUE"""),44995.66666666667)</f>
        <v>44995.66667</v>
      </c>
      <c r="B785" s="2">
        <f>IFERROR(__xludf.DUMMYFUNCTION("""COMPUTED_VALUE"""),338.0)</f>
        <v>338</v>
      </c>
      <c r="C785" s="2">
        <f>IFERROR(__xludf.DUMMYFUNCTION("""COMPUTED_VALUE"""),338.0)</f>
        <v>338</v>
      </c>
      <c r="D785" s="2">
        <f>IFERROR(__xludf.DUMMYFUNCTION("""COMPUTED_VALUE"""),322.0)</f>
        <v>322</v>
      </c>
      <c r="E785" s="2">
        <f>IFERROR(__xludf.DUMMYFUNCTION("""COMPUTED_VALUE"""),324.0)</f>
        <v>324</v>
      </c>
      <c r="F785" s="2">
        <f>IFERROR(__xludf.DUMMYFUNCTION("""COMPUTED_VALUE"""),3.05831E7)</f>
        <v>30583100</v>
      </c>
      <c r="G785" s="2">
        <f t="shared" si="1"/>
        <v>16</v>
      </c>
    </row>
    <row r="786" ht="15.75" customHeight="1">
      <c r="A786" s="1">
        <f>IFERROR(__xludf.DUMMYFUNCTION("""COMPUTED_VALUE"""),44998.66666666667)</f>
        <v>44998.66667</v>
      </c>
      <c r="B786" s="2">
        <f>IFERROR(__xludf.DUMMYFUNCTION("""COMPUTED_VALUE"""),324.0)</f>
        <v>324</v>
      </c>
      <c r="C786" s="2">
        <f>IFERROR(__xludf.DUMMYFUNCTION("""COMPUTED_VALUE"""),330.0)</f>
        <v>330</v>
      </c>
      <c r="D786" s="2">
        <f>IFERROR(__xludf.DUMMYFUNCTION("""COMPUTED_VALUE"""),320.0)</f>
        <v>320</v>
      </c>
      <c r="E786" s="2">
        <f>IFERROR(__xludf.DUMMYFUNCTION("""COMPUTED_VALUE"""),328.0)</f>
        <v>328</v>
      </c>
      <c r="F786" s="2">
        <f>IFERROR(__xludf.DUMMYFUNCTION("""COMPUTED_VALUE"""),2.05619E7)</f>
        <v>20561900</v>
      </c>
      <c r="G786" s="2">
        <f t="shared" si="1"/>
        <v>10</v>
      </c>
    </row>
    <row r="787" ht="15.75" customHeight="1">
      <c r="A787" s="1">
        <f>IFERROR(__xludf.DUMMYFUNCTION("""COMPUTED_VALUE"""),44999.66666666667)</f>
        <v>44999.66667</v>
      </c>
      <c r="B787" s="2">
        <f>IFERROR(__xludf.DUMMYFUNCTION("""COMPUTED_VALUE"""),326.0)</f>
        <v>326</v>
      </c>
      <c r="C787" s="2">
        <f>IFERROR(__xludf.DUMMYFUNCTION("""COMPUTED_VALUE"""),328.0)</f>
        <v>328</v>
      </c>
      <c r="D787" s="2">
        <f>IFERROR(__xludf.DUMMYFUNCTION("""COMPUTED_VALUE"""),310.0)</f>
        <v>310</v>
      </c>
      <c r="E787" s="2">
        <f>IFERROR(__xludf.DUMMYFUNCTION("""COMPUTED_VALUE"""),312.0)</f>
        <v>312</v>
      </c>
      <c r="F787" s="2">
        <f>IFERROR(__xludf.DUMMYFUNCTION("""COMPUTED_VALUE"""),4.40799E7)</f>
        <v>44079900</v>
      </c>
      <c r="G787" s="2">
        <f t="shared" si="1"/>
        <v>18</v>
      </c>
    </row>
    <row r="788" ht="15.75" customHeight="1">
      <c r="A788" s="1">
        <f>IFERROR(__xludf.DUMMYFUNCTION("""COMPUTED_VALUE"""),45000.66666666667)</f>
        <v>45000.66667</v>
      </c>
      <c r="B788" s="2">
        <f>IFERROR(__xludf.DUMMYFUNCTION("""COMPUTED_VALUE"""),312.0)</f>
        <v>312</v>
      </c>
      <c r="C788" s="2">
        <f>IFERROR(__xludf.DUMMYFUNCTION("""COMPUTED_VALUE"""),316.0)</f>
        <v>316</v>
      </c>
      <c r="D788" s="2">
        <f>IFERROR(__xludf.DUMMYFUNCTION("""COMPUTED_VALUE"""),308.0)</f>
        <v>308</v>
      </c>
      <c r="E788" s="2">
        <f>IFERROR(__xludf.DUMMYFUNCTION("""COMPUTED_VALUE"""),310.0)</f>
        <v>310</v>
      </c>
      <c r="F788" s="2">
        <f>IFERROR(__xludf.DUMMYFUNCTION("""COMPUTED_VALUE"""),1.60158E7)</f>
        <v>16015800</v>
      </c>
      <c r="G788" s="2">
        <f t="shared" si="1"/>
        <v>8</v>
      </c>
    </row>
    <row r="789" ht="15.75" customHeight="1">
      <c r="A789" s="1">
        <f>IFERROR(__xludf.DUMMYFUNCTION("""COMPUTED_VALUE"""),45001.66666666667)</f>
        <v>45001.66667</v>
      </c>
      <c r="B789" s="2">
        <f>IFERROR(__xludf.DUMMYFUNCTION("""COMPUTED_VALUE"""),310.0)</f>
        <v>310</v>
      </c>
      <c r="C789" s="2">
        <f>IFERROR(__xludf.DUMMYFUNCTION("""COMPUTED_VALUE"""),312.0)</f>
        <v>312</v>
      </c>
      <c r="D789" s="2">
        <f>IFERROR(__xludf.DUMMYFUNCTION("""COMPUTED_VALUE"""),292.0)</f>
        <v>292</v>
      </c>
      <c r="E789" s="2">
        <f>IFERROR(__xludf.DUMMYFUNCTION("""COMPUTED_VALUE"""),294.0)</f>
        <v>294</v>
      </c>
      <c r="F789" s="2">
        <f>IFERROR(__xludf.DUMMYFUNCTION("""COMPUTED_VALUE"""),5.86783E7)</f>
        <v>58678300</v>
      </c>
      <c r="G789" s="2">
        <f t="shared" si="1"/>
        <v>20</v>
      </c>
    </row>
    <row r="790" ht="15.75" customHeight="1">
      <c r="A790" s="1">
        <f>IFERROR(__xludf.DUMMYFUNCTION("""COMPUTED_VALUE"""),45002.66666666667)</f>
        <v>45002.66667</v>
      </c>
      <c r="B790" s="2">
        <f>IFERROR(__xludf.DUMMYFUNCTION("""COMPUTED_VALUE"""),294.0)</f>
        <v>294</v>
      </c>
      <c r="C790" s="2">
        <f>IFERROR(__xludf.DUMMYFUNCTION("""COMPUTED_VALUE"""),306.0)</f>
        <v>306</v>
      </c>
      <c r="D790" s="2">
        <f>IFERROR(__xludf.DUMMYFUNCTION("""COMPUTED_VALUE"""),292.0)</f>
        <v>292</v>
      </c>
      <c r="E790" s="2">
        <f>IFERROR(__xludf.DUMMYFUNCTION("""COMPUTED_VALUE"""),304.0)</f>
        <v>304</v>
      </c>
      <c r="F790" s="2">
        <f>IFERROR(__xludf.DUMMYFUNCTION("""COMPUTED_VALUE"""),1.70141E7)</f>
        <v>17014100</v>
      </c>
      <c r="G790" s="2">
        <f t="shared" si="1"/>
        <v>14</v>
      </c>
    </row>
    <row r="791" ht="15.75" customHeight="1">
      <c r="A791" s="1">
        <f>IFERROR(__xludf.DUMMYFUNCTION("""COMPUTED_VALUE"""),45005.66666666667)</f>
        <v>45005.66667</v>
      </c>
      <c r="B791" s="2">
        <f>IFERROR(__xludf.DUMMYFUNCTION("""COMPUTED_VALUE"""),306.0)</f>
        <v>306</v>
      </c>
      <c r="C791" s="2">
        <f>IFERROR(__xludf.DUMMYFUNCTION("""COMPUTED_VALUE"""),306.0)</f>
        <v>306</v>
      </c>
      <c r="D791" s="2">
        <f>IFERROR(__xludf.DUMMYFUNCTION("""COMPUTED_VALUE"""),298.0)</f>
        <v>298</v>
      </c>
      <c r="E791" s="2">
        <f>IFERROR(__xludf.DUMMYFUNCTION("""COMPUTED_VALUE"""),300.0)</f>
        <v>300</v>
      </c>
      <c r="F791" s="2">
        <f>IFERROR(__xludf.DUMMYFUNCTION("""COMPUTED_VALUE"""),1.38685E7)</f>
        <v>13868500</v>
      </c>
      <c r="G791" s="2">
        <f t="shared" si="1"/>
        <v>8</v>
      </c>
    </row>
    <row r="792" ht="15.75" customHeight="1">
      <c r="A792" s="1">
        <f>IFERROR(__xludf.DUMMYFUNCTION("""COMPUTED_VALUE"""),45006.66666666667)</f>
        <v>45006.66667</v>
      </c>
      <c r="B792" s="2">
        <f>IFERROR(__xludf.DUMMYFUNCTION("""COMPUTED_VALUE"""),302.0)</f>
        <v>302</v>
      </c>
      <c r="C792" s="2">
        <f>IFERROR(__xludf.DUMMYFUNCTION("""COMPUTED_VALUE"""),306.0)</f>
        <v>306</v>
      </c>
      <c r="D792" s="2">
        <f>IFERROR(__xludf.DUMMYFUNCTION("""COMPUTED_VALUE"""),298.0)</f>
        <v>298</v>
      </c>
      <c r="E792" s="2">
        <f>IFERROR(__xludf.DUMMYFUNCTION("""COMPUTED_VALUE"""),300.0)</f>
        <v>300</v>
      </c>
      <c r="F792" s="2">
        <f>IFERROR(__xludf.DUMMYFUNCTION("""COMPUTED_VALUE"""),1.9197E7)</f>
        <v>19197000</v>
      </c>
      <c r="G792" s="2">
        <f t="shared" si="1"/>
        <v>8</v>
      </c>
    </row>
    <row r="793" ht="15.75" customHeight="1">
      <c r="A793" s="1">
        <f>IFERROR(__xludf.DUMMYFUNCTION("""COMPUTED_VALUE"""),45009.66666666667)</f>
        <v>45009.66667</v>
      </c>
      <c r="B793" s="2">
        <f>IFERROR(__xludf.DUMMYFUNCTION("""COMPUTED_VALUE"""),300.0)</f>
        <v>300</v>
      </c>
      <c r="C793" s="2">
        <f>IFERROR(__xludf.DUMMYFUNCTION("""COMPUTED_VALUE"""),310.0)</f>
        <v>310</v>
      </c>
      <c r="D793" s="2">
        <f>IFERROR(__xludf.DUMMYFUNCTION("""COMPUTED_VALUE"""),298.0)</f>
        <v>298</v>
      </c>
      <c r="E793" s="2">
        <f>IFERROR(__xludf.DUMMYFUNCTION("""COMPUTED_VALUE"""),308.0)</f>
        <v>308</v>
      </c>
      <c r="F793" s="2">
        <f>IFERROR(__xludf.DUMMYFUNCTION("""COMPUTED_VALUE"""),3.00389E7)</f>
        <v>30038900</v>
      </c>
      <c r="G793" s="2">
        <f t="shared" si="1"/>
        <v>12</v>
      </c>
    </row>
    <row r="794" ht="15.75" customHeight="1">
      <c r="A794" s="1">
        <f>IFERROR(__xludf.DUMMYFUNCTION("""COMPUTED_VALUE"""),45012.66666666667)</f>
        <v>45012.66667</v>
      </c>
      <c r="B794" s="2">
        <f>IFERROR(__xludf.DUMMYFUNCTION("""COMPUTED_VALUE"""),306.0)</f>
        <v>306</v>
      </c>
      <c r="C794" s="2">
        <f>IFERROR(__xludf.DUMMYFUNCTION("""COMPUTED_VALUE"""),312.0)</f>
        <v>312</v>
      </c>
      <c r="D794" s="2">
        <f>IFERROR(__xludf.DUMMYFUNCTION("""COMPUTED_VALUE"""),306.0)</f>
        <v>306</v>
      </c>
      <c r="E794" s="2">
        <f>IFERROR(__xludf.DUMMYFUNCTION("""COMPUTED_VALUE"""),308.0)</f>
        <v>308</v>
      </c>
      <c r="F794" s="2">
        <f>IFERROR(__xludf.DUMMYFUNCTION("""COMPUTED_VALUE"""),8580400.0)</f>
        <v>8580400</v>
      </c>
      <c r="G794" s="2">
        <f t="shared" si="1"/>
        <v>6</v>
      </c>
    </row>
    <row r="795" ht="15.75" customHeight="1">
      <c r="A795" s="1">
        <f>IFERROR(__xludf.DUMMYFUNCTION("""COMPUTED_VALUE"""),45013.66666666667)</f>
        <v>45013.66667</v>
      </c>
      <c r="B795" s="2">
        <f>IFERROR(__xludf.DUMMYFUNCTION("""COMPUTED_VALUE"""),312.0)</f>
        <v>312</v>
      </c>
      <c r="C795" s="2">
        <f>IFERROR(__xludf.DUMMYFUNCTION("""COMPUTED_VALUE"""),318.0)</f>
        <v>318</v>
      </c>
      <c r="D795" s="2">
        <f>IFERROR(__xludf.DUMMYFUNCTION("""COMPUTED_VALUE"""),310.0)</f>
        <v>310</v>
      </c>
      <c r="E795" s="2">
        <f>IFERROR(__xludf.DUMMYFUNCTION("""COMPUTED_VALUE"""),310.0)</f>
        <v>310</v>
      </c>
      <c r="F795" s="2">
        <f>IFERROR(__xludf.DUMMYFUNCTION("""COMPUTED_VALUE"""),1.47839E7)</f>
        <v>14783900</v>
      </c>
      <c r="G795" s="2">
        <f t="shared" si="1"/>
        <v>10</v>
      </c>
    </row>
    <row r="796" ht="15.75" customHeight="1">
      <c r="A796" s="1">
        <f>IFERROR(__xludf.DUMMYFUNCTION("""COMPUTED_VALUE"""),45014.66666666667)</f>
        <v>45014.66667</v>
      </c>
      <c r="B796" s="2">
        <f>IFERROR(__xludf.DUMMYFUNCTION("""COMPUTED_VALUE"""),312.0)</f>
        <v>312</v>
      </c>
      <c r="C796" s="2">
        <f>IFERROR(__xludf.DUMMYFUNCTION("""COMPUTED_VALUE"""),318.0)</f>
        <v>318</v>
      </c>
      <c r="D796" s="2">
        <f>IFERROR(__xludf.DUMMYFUNCTION("""COMPUTED_VALUE"""),310.0)</f>
        <v>310</v>
      </c>
      <c r="E796" s="2">
        <f>IFERROR(__xludf.DUMMYFUNCTION("""COMPUTED_VALUE"""),314.0)</f>
        <v>314</v>
      </c>
      <c r="F796" s="2">
        <f>IFERROR(__xludf.DUMMYFUNCTION("""COMPUTED_VALUE"""),1.92283E7)</f>
        <v>19228300</v>
      </c>
      <c r="G796" s="2">
        <f t="shared" si="1"/>
        <v>8</v>
      </c>
    </row>
    <row r="797" ht="15.75" customHeight="1">
      <c r="A797" s="1">
        <f>IFERROR(__xludf.DUMMYFUNCTION("""COMPUTED_VALUE"""),45015.66666666667)</f>
        <v>45015.66667</v>
      </c>
      <c r="B797" s="2">
        <f>IFERROR(__xludf.DUMMYFUNCTION("""COMPUTED_VALUE"""),316.0)</f>
        <v>316</v>
      </c>
      <c r="C797" s="2">
        <f>IFERROR(__xludf.DUMMYFUNCTION("""COMPUTED_VALUE"""),318.0)</f>
        <v>318</v>
      </c>
      <c r="D797" s="2">
        <f>IFERROR(__xludf.DUMMYFUNCTION("""COMPUTED_VALUE"""),312.0)</f>
        <v>312</v>
      </c>
      <c r="E797" s="2">
        <f>IFERROR(__xludf.DUMMYFUNCTION("""COMPUTED_VALUE"""),312.0)</f>
        <v>312</v>
      </c>
      <c r="F797" s="2">
        <f>IFERROR(__xludf.DUMMYFUNCTION("""COMPUTED_VALUE"""),1.40341E7)</f>
        <v>14034100</v>
      </c>
      <c r="G797" s="2">
        <f t="shared" si="1"/>
        <v>6</v>
      </c>
    </row>
    <row r="798" ht="15.75" customHeight="1">
      <c r="A798" s="1">
        <f>IFERROR(__xludf.DUMMYFUNCTION("""COMPUTED_VALUE"""),45016.66666666667)</f>
        <v>45016.66667</v>
      </c>
      <c r="B798" s="2">
        <f>IFERROR(__xludf.DUMMYFUNCTION("""COMPUTED_VALUE"""),314.0)</f>
        <v>314</v>
      </c>
      <c r="C798" s="2">
        <f>IFERROR(__xludf.DUMMYFUNCTION("""COMPUTED_VALUE"""),316.0)</f>
        <v>316</v>
      </c>
      <c r="D798" s="2">
        <f>IFERROR(__xludf.DUMMYFUNCTION("""COMPUTED_VALUE"""),312.0)</f>
        <v>312</v>
      </c>
      <c r="E798" s="2">
        <f>IFERROR(__xludf.DUMMYFUNCTION("""COMPUTED_VALUE"""),312.0)</f>
        <v>312</v>
      </c>
      <c r="F798" s="2">
        <f>IFERROR(__xludf.DUMMYFUNCTION("""COMPUTED_VALUE"""),1.40971E7)</f>
        <v>14097100</v>
      </c>
      <c r="G798" s="2">
        <f t="shared" si="1"/>
        <v>4</v>
      </c>
    </row>
    <row r="799" ht="15.75" customHeight="1">
      <c r="A799" s="1">
        <f>IFERROR(__xludf.DUMMYFUNCTION("""COMPUTED_VALUE"""),45019.66666666667)</f>
        <v>45019.66667</v>
      </c>
      <c r="B799" s="2">
        <f>IFERROR(__xludf.DUMMYFUNCTION("""COMPUTED_VALUE"""),322.0)</f>
        <v>322</v>
      </c>
      <c r="C799" s="2">
        <f>IFERROR(__xludf.DUMMYFUNCTION("""COMPUTED_VALUE"""),328.0)</f>
        <v>328</v>
      </c>
      <c r="D799" s="2">
        <f>IFERROR(__xludf.DUMMYFUNCTION("""COMPUTED_VALUE"""),318.0)</f>
        <v>318</v>
      </c>
      <c r="E799" s="2">
        <f>IFERROR(__xludf.DUMMYFUNCTION("""COMPUTED_VALUE"""),320.0)</f>
        <v>320</v>
      </c>
      <c r="F799" s="2">
        <f>IFERROR(__xludf.DUMMYFUNCTION("""COMPUTED_VALUE"""),5.03148E7)</f>
        <v>50314800</v>
      </c>
      <c r="G799" s="2">
        <f t="shared" si="1"/>
        <v>16</v>
      </c>
    </row>
    <row r="800" ht="15.75" customHeight="1">
      <c r="A800" s="1">
        <f>IFERROR(__xludf.DUMMYFUNCTION("""COMPUTED_VALUE"""),45020.66666666667)</f>
        <v>45020.66667</v>
      </c>
      <c r="B800" s="2">
        <f>IFERROR(__xludf.DUMMYFUNCTION("""COMPUTED_VALUE"""),326.0)</f>
        <v>326</v>
      </c>
      <c r="C800" s="2">
        <f>IFERROR(__xludf.DUMMYFUNCTION("""COMPUTED_VALUE"""),330.0)</f>
        <v>330</v>
      </c>
      <c r="D800" s="2">
        <f>IFERROR(__xludf.DUMMYFUNCTION("""COMPUTED_VALUE"""),320.0)</f>
        <v>320</v>
      </c>
      <c r="E800" s="2">
        <f>IFERROR(__xludf.DUMMYFUNCTION("""COMPUTED_VALUE"""),328.0)</f>
        <v>328</v>
      </c>
      <c r="F800" s="2">
        <f>IFERROR(__xludf.DUMMYFUNCTION("""COMPUTED_VALUE"""),4.29383E7)</f>
        <v>42938300</v>
      </c>
      <c r="G800" s="2">
        <f t="shared" si="1"/>
        <v>10</v>
      </c>
    </row>
    <row r="801" ht="15.75" customHeight="1">
      <c r="A801" s="1">
        <f>IFERROR(__xludf.DUMMYFUNCTION("""COMPUTED_VALUE"""),45021.66666666667)</f>
        <v>45021.66667</v>
      </c>
      <c r="B801" s="2">
        <f>IFERROR(__xludf.DUMMYFUNCTION("""COMPUTED_VALUE"""),328.0)</f>
        <v>328</v>
      </c>
      <c r="C801" s="2">
        <f>IFERROR(__xludf.DUMMYFUNCTION("""COMPUTED_VALUE"""),334.0)</f>
        <v>334</v>
      </c>
      <c r="D801" s="2">
        <f>IFERROR(__xludf.DUMMYFUNCTION("""COMPUTED_VALUE"""),314.0)</f>
        <v>314</v>
      </c>
      <c r="E801" s="2">
        <f>IFERROR(__xludf.DUMMYFUNCTION("""COMPUTED_VALUE"""),314.0)</f>
        <v>314</v>
      </c>
      <c r="F801" s="2">
        <f>IFERROR(__xludf.DUMMYFUNCTION("""COMPUTED_VALUE"""),6.80025E7)</f>
        <v>68002500</v>
      </c>
      <c r="G801" s="2">
        <f t="shared" si="1"/>
        <v>20</v>
      </c>
    </row>
    <row r="802" ht="15.75" customHeight="1">
      <c r="A802" s="1">
        <f>IFERROR(__xludf.DUMMYFUNCTION("""COMPUTED_VALUE"""),45022.66666666667)</f>
        <v>45022.66667</v>
      </c>
      <c r="B802" s="2">
        <f>IFERROR(__xludf.DUMMYFUNCTION("""COMPUTED_VALUE"""),316.0)</f>
        <v>316</v>
      </c>
      <c r="C802" s="2">
        <f>IFERROR(__xludf.DUMMYFUNCTION("""COMPUTED_VALUE"""),316.0)</f>
        <v>316</v>
      </c>
      <c r="D802" s="2">
        <f>IFERROR(__xludf.DUMMYFUNCTION("""COMPUTED_VALUE"""),306.0)</f>
        <v>306</v>
      </c>
      <c r="E802" s="2">
        <f>IFERROR(__xludf.DUMMYFUNCTION("""COMPUTED_VALUE"""),308.0)</f>
        <v>308</v>
      </c>
      <c r="F802" s="2">
        <f>IFERROR(__xludf.DUMMYFUNCTION("""COMPUTED_VALUE"""),5.77273E7)</f>
        <v>57727300</v>
      </c>
      <c r="G802" s="2">
        <f t="shared" si="1"/>
        <v>10</v>
      </c>
    </row>
    <row r="803" ht="15.75" customHeight="1">
      <c r="A803" s="1">
        <f>IFERROR(__xludf.DUMMYFUNCTION("""COMPUTED_VALUE"""),45026.66666666667)</f>
        <v>45026.66667</v>
      </c>
      <c r="B803" s="2">
        <f>IFERROR(__xludf.DUMMYFUNCTION("""COMPUTED_VALUE"""),310.0)</f>
        <v>310</v>
      </c>
      <c r="C803" s="2">
        <f>IFERROR(__xludf.DUMMYFUNCTION("""COMPUTED_VALUE"""),312.0)</f>
        <v>312</v>
      </c>
      <c r="D803" s="2">
        <f>IFERROR(__xludf.DUMMYFUNCTION("""COMPUTED_VALUE"""),306.0)</f>
        <v>306</v>
      </c>
      <c r="E803" s="2">
        <f>IFERROR(__xludf.DUMMYFUNCTION("""COMPUTED_VALUE"""),308.0)</f>
        <v>308</v>
      </c>
      <c r="F803" s="2">
        <f>IFERROR(__xludf.DUMMYFUNCTION("""COMPUTED_VALUE"""),3.38938E7)</f>
        <v>33893800</v>
      </c>
      <c r="G803" s="2">
        <f t="shared" si="1"/>
        <v>6</v>
      </c>
    </row>
    <row r="804" ht="15.75" customHeight="1">
      <c r="A804" s="1">
        <f>IFERROR(__xludf.DUMMYFUNCTION("""COMPUTED_VALUE"""),45027.66666666667)</f>
        <v>45027.66667</v>
      </c>
      <c r="B804" s="2">
        <f>IFERROR(__xludf.DUMMYFUNCTION("""COMPUTED_VALUE"""),308.0)</f>
        <v>308</v>
      </c>
      <c r="C804" s="2">
        <f>IFERROR(__xludf.DUMMYFUNCTION("""COMPUTED_VALUE"""),312.0)</f>
        <v>312</v>
      </c>
      <c r="D804" s="2">
        <f>IFERROR(__xludf.DUMMYFUNCTION("""COMPUTED_VALUE"""),304.0)</f>
        <v>304</v>
      </c>
      <c r="E804" s="2">
        <f>IFERROR(__xludf.DUMMYFUNCTION("""COMPUTED_VALUE"""),310.0)</f>
        <v>310</v>
      </c>
      <c r="F804" s="2">
        <f>IFERROR(__xludf.DUMMYFUNCTION("""COMPUTED_VALUE"""),3.31933E7)</f>
        <v>33193300</v>
      </c>
      <c r="G804" s="2">
        <f t="shared" si="1"/>
        <v>8</v>
      </c>
    </row>
    <row r="805" ht="15.75" customHeight="1">
      <c r="A805" s="1">
        <f>IFERROR(__xludf.DUMMYFUNCTION("""COMPUTED_VALUE"""),45028.66666666667)</f>
        <v>45028.66667</v>
      </c>
      <c r="B805" s="2">
        <f>IFERROR(__xludf.DUMMYFUNCTION("""COMPUTED_VALUE"""),310.0)</f>
        <v>310</v>
      </c>
      <c r="C805" s="2">
        <f>IFERROR(__xludf.DUMMYFUNCTION("""COMPUTED_VALUE"""),314.0)</f>
        <v>314</v>
      </c>
      <c r="D805" s="2">
        <f>IFERROR(__xludf.DUMMYFUNCTION("""COMPUTED_VALUE"""),308.0)</f>
        <v>308</v>
      </c>
      <c r="E805" s="2">
        <f>IFERROR(__xludf.DUMMYFUNCTION("""COMPUTED_VALUE"""),310.0)</f>
        <v>310</v>
      </c>
      <c r="F805" s="2">
        <f>IFERROR(__xludf.DUMMYFUNCTION("""COMPUTED_VALUE"""),1.69013E7)</f>
        <v>16901300</v>
      </c>
      <c r="G805" s="2">
        <f t="shared" si="1"/>
        <v>6</v>
      </c>
    </row>
    <row r="806" ht="15.75" customHeight="1">
      <c r="A806" s="1">
        <f>IFERROR(__xludf.DUMMYFUNCTION("""COMPUTED_VALUE"""),45029.66666666667)</f>
        <v>45029.66667</v>
      </c>
      <c r="B806" s="2">
        <f>IFERROR(__xludf.DUMMYFUNCTION("""COMPUTED_VALUE"""),310.0)</f>
        <v>310</v>
      </c>
      <c r="C806" s="2">
        <f>IFERROR(__xludf.DUMMYFUNCTION("""COMPUTED_VALUE"""),314.0)</f>
        <v>314</v>
      </c>
      <c r="D806" s="2">
        <f>IFERROR(__xludf.DUMMYFUNCTION("""COMPUTED_VALUE"""),310.0)</f>
        <v>310</v>
      </c>
      <c r="E806" s="2">
        <f>IFERROR(__xludf.DUMMYFUNCTION("""COMPUTED_VALUE"""),312.0)</f>
        <v>312</v>
      </c>
      <c r="F806" s="2">
        <f>IFERROR(__xludf.DUMMYFUNCTION("""COMPUTED_VALUE"""),2.08995E7)</f>
        <v>20899500</v>
      </c>
      <c r="G806" s="2">
        <f t="shared" si="1"/>
        <v>4</v>
      </c>
    </row>
    <row r="807" ht="15.75" customHeight="1">
      <c r="A807" s="1">
        <f>IFERROR(__xludf.DUMMYFUNCTION("""COMPUTED_VALUE"""),45030.66666666667)</f>
        <v>45030.66667</v>
      </c>
      <c r="B807" s="2">
        <f>IFERROR(__xludf.DUMMYFUNCTION("""COMPUTED_VALUE"""),312.0)</f>
        <v>312</v>
      </c>
      <c r="C807" s="2">
        <f>IFERROR(__xludf.DUMMYFUNCTION("""COMPUTED_VALUE"""),320.0)</f>
        <v>320</v>
      </c>
      <c r="D807" s="2">
        <f>IFERROR(__xludf.DUMMYFUNCTION("""COMPUTED_VALUE"""),310.0)</f>
        <v>310</v>
      </c>
      <c r="E807" s="2">
        <f>IFERROR(__xludf.DUMMYFUNCTION("""COMPUTED_VALUE"""),316.0)</f>
        <v>316</v>
      </c>
      <c r="F807" s="2">
        <f>IFERROR(__xludf.DUMMYFUNCTION("""COMPUTED_VALUE"""),2.48594E7)</f>
        <v>24859400</v>
      </c>
      <c r="G807" s="2">
        <f t="shared" si="1"/>
        <v>10</v>
      </c>
    </row>
    <row r="808" ht="15.75" customHeight="1">
      <c r="A808" s="1">
        <f>IFERROR(__xludf.DUMMYFUNCTION("""COMPUTED_VALUE"""),45033.66666666667)</f>
        <v>45033.66667</v>
      </c>
      <c r="B808" s="2">
        <f>IFERROR(__xludf.DUMMYFUNCTION("""COMPUTED_VALUE"""),316.0)</f>
        <v>316</v>
      </c>
      <c r="C808" s="2">
        <f>IFERROR(__xludf.DUMMYFUNCTION("""COMPUTED_VALUE"""),322.0)</f>
        <v>322</v>
      </c>
      <c r="D808" s="2">
        <f>IFERROR(__xludf.DUMMYFUNCTION("""COMPUTED_VALUE"""),312.0)</f>
        <v>312</v>
      </c>
      <c r="E808" s="2">
        <f>IFERROR(__xludf.DUMMYFUNCTION("""COMPUTED_VALUE"""),312.0)</f>
        <v>312</v>
      </c>
      <c r="F808" s="2">
        <f>IFERROR(__xludf.DUMMYFUNCTION("""COMPUTED_VALUE"""),2.26253E7)</f>
        <v>22625300</v>
      </c>
      <c r="G808" s="2">
        <f t="shared" si="1"/>
        <v>10</v>
      </c>
    </row>
    <row r="809" ht="15.75" customHeight="1">
      <c r="A809" s="1">
        <f>IFERROR(__xludf.DUMMYFUNCTION("""COMPUTED_VALUE"""),45034.66666666667)</f>
        <v>45034.66667</v>
      </c>
      <c r="B809" s="2">
        <f>IFERROR(__xludf.DUMMYFUNCTION("""COMPUTED_VALUE"""),310.0)</f>
        <v>310</v>
      </c>
      <c r="C809" s="2">
        <f>IFERROR(__xludf.DUMMYFUNCTION("""COMPUTED_VALUE"""),316.0)</f>
        <v>316</v>
      </c>
      <c r="D809" s="2">
        <f>IFERROR(__xludf.DUMMYFUNCTION("""COMPUTED_VALUE"""),308.0)</f>
        <v>308</v>
      </c>
      <c r="E809" s="2">
        <f>IFERROR(__xludf.DUMMYFUNCTION("""COMPUTED_VALUE"""),314.0)</f>
        <v>314</v>
      </c>
      <c r="F809" s="2">
        <f>IFERROR(__xludf.DUMMYFUNCTION("""COMPUTED_VALUE"""),1.57727E7)</f>
        <v>15772700</v>
      </c>
      <c r="G809" s="2">
        <f t="shared" si="1"/>
        <v>8</v>
      </c>
    </row>
    <row r="810" ht="15.75" customHeight="1">
      <c r="A810" s="1">
        <f>IFERROR(__xludf.DUMMYFUNCTION("""COMPUTED_VALUE"""),45042.66666666667)</f>
        <v>45042.66667</v>
      </c>
      <c r="B810" s="2">
        <f>IFERROR(__xludf.DUMMYFUNCTION("""COMPUTED_VALUE"""),314.0)</f>
        <v>314</v>
      </c>
      <c r="C810" s="2">
        <f>IFERROR(__xludf.DUMMYFUNCTION("""COMPUTED_VALUE"""),318.0)</f>
        <v>318</v>
      </c>
      <c r="D810" s="2">
        <f>IFERROR(__xludf.DUMMYFUNCTION("""COMPUTED_VALUE"""),312.0)</f>
        <v>312</v>
      </c>
      <c r="E810" s="2">
        <f>IFERROR(__xludf.DUMMYFUNCTION("""COMPUTED_VALUE"""),316.0)</f>
        <v>316</v>
      </c>
      <c r="F810" s="2">
        <f>IFERROR(__xludf.DUMMYFUNCTION("""COMPUTED_VALUE"""),2.64256E7)</f>
        <v>26425600</v>
      </c>
      <c r="G810" s="2">
        <f t="shared" si="1"/>
        <v>6</v>
      </c>
    </row>
    <row r="811" ht="15.75" customHeight="1">
      <c r="A811" s="1">
        <f>IFERROR(__xludf.DUMMYFUNCTION("""COMPUTED_VALUE"""),45043.66666666667)</f>
        <v>45043.66667</v>
      </c>
      <c r="B811" s="2">
        <f>IFERROR(__xludf.DUMMYFUNCTION("""COMPUTED_VALUE"""),316.0)</f>
        <v>316</v>
      </c>
      <c r="C811" s="2">
        <f>IFERROR(__xludf.DUMMYFUNCTION("""COMPUTED_VALUE"""),316.0)</f>
        <v>316</v>
      </c>
      <c r="D811" s="2">
        <f>IFERROR(__xludf.DUMMYFUNCTION("""COMPUTED_VALUE"""),312.0)</f>
        <v>312</v>
      </c>
      <c r="E811" s="2">
        <f>IFERROR(__xludf.DUMMYFUNCTION("""COMPUTED_VALUE"""),314.0)</f>
        <v>314</v>
      </c>
      <c r="F811" s="2">
        <f>IFERROR(__xludf.DUMMYFUNCTION("""COMPUTED_VALUE"""),2.32934E7)</f>
        <v>23293400</v>
      </c>
      <c r="G811" s="2">
        <f t="shared" si="1"/>
        <v>4</v>
      </c>
    </row>
    <row r="812" ht="15.75" customHeight="1">
      <c r="A812" s="1">
        <f>IFERROR(__xludf.DUMMYFUNCTION("""COMPUTED_VALUE"""),45044.66666666667)</f>
        <v>45044.66667</v>
      </c>
      <c r="B812" s="2">
        <f>IFERROR(__xludf.DUMMYFUNCTION("""COMPUTED_VALUE"""),314.0)</f>
        <v>314</v>
      </c>
      <c r="C812" s="2">
        <f>IFERROR(__xludf.DUMMYFUNCTION("""COMPUTED_VALUE"""),326.0)</f>
        <v>326</v>
      </c>
      <c r="D812" s="2">
        <f>IFERROR(__xludf.DUMMYFUNCTION("""COMPUTED_VALUE"""),312.0)</f>
        <v>312</v>
      </c>
      <c r="E812" s="2">
        <f>IFERROR(__xludf.DUMMYFUNCTION("""COMPUTED_VALUE"""),322.0)</f>
        <v>322</v>
      </c>
      <c r="F812" s="2">
        <f>IFERROR(__xludf.DUMMYFUNCTION("""COMPUTED_VALUE"""),6.76239E7)</f>
        <v>67623900</v>
      </c>
      <c r="G812" s="2">
        <f t="shared" si="1"/>
        <v>14</v>
      </c>
    </row>
    <row r="813" ht="15.75" customHeight="1">
      <c r="A813" s="1">
        <f>IFERROR(__xludf.DUMMYFUNCTION("""COMPUTED_VALUE"""),45048.66666666667)</f>
        <v>45048.66667</v>
      </c>
      <c r="B813" s="2">
        <f>IFERROR(__xludf.DUMMYFUNCTION("""COMPUTED_VALUE"""),326.0)</f>
        <v>326</v>
      </c>
      <c r="C813" s="2">
        <f>IFERROR(__xludf.DUMMYFUNCTION("""COMPUTED_VALUE"""),336.0)</f>
        <v>336</v>
      </c>
      <c r="D813" s="2">
        <f>IFERROR(__xludf.DUMMYFUNCTION("""COMPUTED_VALUE"""),322.0)</f>
        <v>322</v>
      </c>
      <c r="E813" s="2">
        <f>IFERROR(__xludf.DUMMYFUNCTION("""COMPUTED_VALUE"""),324.0)</f>
        <v>324</v>
      </c>
      <c r="F813" s="2">
        <f>IFERROR(__xludf.DUMMYFUNCTION("""COMPUTED_VALUE"""),7.08409E7)</f>
        <v>70840900</v>
      </c>
      <c r="G813" s="2">
        <f t="shared" si="1"/>
        <v>14</v>
      </c>
    </row>
    <row r="814" ht="15.75" customHeight="1">
      <c r="A814" s="1">
        <f>IFERROR(__xludf.DUMMYFUNCTION("""COMPUTED_VALUE"""),45049.66666666667)</f>
        <v>45049.66667</v>
      </c>
      <c r="B814" s="2">
        <f>IFERROR(__xludf.DUMMYFUNCTION("""COMPUTED_VALUE"""),326.0)</f>
        <v>326</v>
      </c>
      <c r="C814" s="2">
        <f>IFERROR(__xludf.DUMMYFUNCTION("""COMPUTED_VALUE"""),326.0)</f>
        <v>326</v>
      </c>
      <c r="D814" s="2">
        <f>IFERROR(__xludf.DUMMYFUNCTION("""COMPUTED_VALUE"""),316.0)</f>
        <v>316</v>
      </c>
      <c r="E814" s="2">
        <f>IFERROR(__xludf.DUMMYFUNCTION("""COMPUTED_VALUE"""),322.0)</f>
        <v>322</v>
      </c>
      <c r="F814" s="2">
        <f>IFERROR(__xludf.DUMMYFUNCTION("""COMPUTED_VALUE"""),3.1425E7)</f>
        <v>31425000</v>
      </c>
      <c r="G814" s="2">
        <f t="shared" si="1"/>
        <v>10</v>
      </c>
    </row>
    <row r="815" ht="15.75" customHeight="1">
      <c r="A815" s="1">
        <f>IFERROR(__xludf.DUMMYFUNCTION("""COMPUTED_VALUE"""),45050.66666666667)</f>
        <v>45050.66667</v>
      </c>
      <c r="B815" s="2">
        <f>IFERROR(__xludf.DUMMYFUNCTION("""COMPUTED_VALUE"""),320.0)</f>
        <v>320</v>
      </c>
      <c r="C815" s="2">
        <f>IFERROR(__xludf.DUMMYFUNCTION("""COMPUTED_VALUE"""),322.0)</f>
        <v>322</v>
      </c>
      <c r="D815" s="2">
        <f>IFERROR(__xludf.DUMMYFUNCTION("""COMPUTED_VALUE"""),316.0)</f>
        <v>316</v>
      </c>
      <c r="E815" s="2">
        <f>IFERROR(__xludf.DUMMYFUNCTION("""COMPUTED_VALUE"""),318.0)</f>
        <v>318</v>
      </c>
      <c r="F815" s="2">
        <f>IFERROR(__xludf.DUMMYFUNCTION("""COMPUTED_VALUE"""),3.931E7)</f>
        <v>39310000</v>
      </c>
      <c r="G815" s="2">
        <f t="shared" si="1"/>
        <v>6</v>
      </c>
    </row>
    <row r="816" ht="15.75" customHeight="1">
      <c r="A816" s="1">
        <f>IFERROR(__xludf.DUMMYFUNCTION("""COMPUTED_VALUE"""),45051.66666666667)</f>
        <v>45051.66667</v>
      </c>
      <c r="B816" s="2">
        <f>IFERROR(__xludf.DUMMYFUNCTION("""COMPUTED_VALUE"""),316.0)</f>
        <v>316</v>
      </c>
      <c r="C816" s="2">
        <f>IFERROR(__xludf.DUMMYFUNCTION("""COMPUTED_VALUE"""),324.0)</f>
        <v>324</v>
      </c>
      <c r="D816" s="2">
        <f>IFERROR(__xludf.DUMMYFUNCTION("""COMPUTED_VALUE"""),316.0)</f>
        <v>316</v>
      </c>
      <c r="E816" s="2">
        <f>IFERROR(__xludf.DUMMYFUNCTION("""COMPUTED_VALUE"""),320.0)</f>
        <v>320</v>
      </c>
      <c r="F816" s="2">
        <f>IFERROR(__xludf.DUMMYFUNCTION("""COMPUTED_VALUE"""),2.92093E7)</f>
        <v>29209300</v>
      </c>
      <c r="G816" s="2">
        <f t="shared" si="1"/>
        <v>8</v>
      </c>
    </row>
    <row r="817" ht="15.75" customHeight="1">
      <c r="A817" s="1">
        <f>IFERROR(__xludf.DUMMYFUNCTION("""COMPUTED_VALUE"""),45054.66666666667)</f>
        <v>45054.66667</v>
      </c>
      <c r="B817" s="2">
        <f>IFERROR(__xludf.DUMMYFUNCTION("""COMPUTED_VALUE"""),316.0)</f>
        <v>316</v>
      </c>
      <c r="C817" s="2">
        <f>IFERROR(__xludf.DUMMYFUNCTION("""COMPUTED_VALUE"""),326.0)</f>
        <v>326</v>
      </c>
      <c r="D817" s="2">
        <f>IFERROR(__xludf.DUMMYFUNCTION("""COMPUTED_VALUE"""),316.0)</f>
        <v>316</v>
      </c>
      <c r="E817" s="2">
        <f>IFERROR(__xludf.DUMMYFUNCTION("""COMPUTED_VALUE"""),322.0)</f>
        <v>322</v>
      </c>
      <c r="F817" s="2">
        <f>IFERROR(__xludf.DUMMYFUNCTION("""COMPUTED_VALUE"""),2.57802E7)</f>
        <v>25780200</v>
      </c>
      <c r="G817" s="2">
        <f t="shared" si="1"/>
        <v>10</v>
      </c>
    </row>
    <row r="818" ht="15.75" customHeight="1">
      <c r="A818" s="1">
        <f>IFERROR(__xludf.DUMMYFUNCTION("""COMPUTED_VALUE"""),45055.66666666667)</f>
        <v>45055.66667</v>
      </c>
      <c r="B818" s="2">
        <f>IFERROR(__xludf.DUMMYFUNCTION("""COMPUTED_VALUE"""),322.0)</f>
        <v>322</v>
      </c>
      <c r="C818" s="2">
        <f>IFERROR(__xludf.DUMMYFUNCTION("""COMPUTED_VALUE"""),328.0)</f>
        <v>328</v>
      </c>
      <c r="D818" s="2">
        <f>IFERROR(__xludf.DUMMYFUNCTION("""COMPUTED_VALUE"""),322.0)</f>
        <v>322</v>
      </c>
      <c r="E818" s="2">
        <f>IFERROR(__xludf.DUMMYFUNCTION("""COMPUTED_VALUE"""),326.0)</f>
        <v>326</v>
      </c>
      <c r="F818" s="2">
        <f>IFERROR(__xludf.DUMMYFUNCTION("""COMPUTED_VALUE"""),2.5327E7)</f>
        <v>25327000</v>
      </c>
      <c r="G818" s="2">
        <f t="shared" si="1"/>
        <v>6</v>
      </c>
    </row>
    <row r="819" ht="15.75" customHeight="1">
      <c r="A819" s="1">
        <f>IFERROR(__xludf.DUMMYFUNCTION("""COMPUTED_VALUE"""),45056.66666666667)</f>
        <v>45056.66667</v>
      </c>
      <c r="B819" s="2">
        <f>IFERROR(__xludf.DUMMYFUNCTION("""COMPUTED_VALUE"""),326.0)</f>
        <v>326</v>
      </c>
      <c r="C819" s="2">
        <f>IFERROR(__xludf.DUMMYFUNCTION("""COMPUTED_VALUE"""),334.0)</f>
        <v>334</v>
      </c>
      <c r="D819" s="2">
        <f>IFERROR(__xludf.DUMMYFUNCTION("""COMPUTED_VALUE"""),326.0)</f>
        <v>326</v>
      </c>
      <c r="E819" s="2">
        <f>IFERROR(__xludf.DUMMYFUNCTION("""COMPUTED_VALUE"""),328.0)</f>
        <v>328</v>
      </c>
      <c r="F819" s="2">
        <f>IFERROR(__xludf.DUMMYFUNCTION("""COMPUTED_VALUE"""),3.80686E7)</f>
        <v>38068600</v>
      </c>
      <c r="G819" s="2">
        <f t="shared" si="1"/>
        <v>8</v>
      </c>
    </row>
    <row r="820" ht="15.75" customHeight="1">
      <c r="A820" s="1">
        <f>IFERROR(__xludf.DUMMYFUNCTION("""COMPUTED_VALUE"""),45057.66666666667)</f>
        <v>45057.66667</v>
      </c>
      <c r="B820" s="2">
        <f>IFERROR(__xludf.DUMMYFUNCTION("""COMPUTED_VALUE"""),328.0)</f>
        <v>328</v>
      </c>
      <c r="C820" s="2">
        <f>IFERROR(__xludf.DUMMYFUNCTION("""COMPUTED_VALUE"""),332.0)</f>
        <v>332</v>
      </c>
      <c r="D820" s="2">
        <f>IFERROR(__xludf.DUMMYFUNCTION("""COMPUTED_VALUE"""),324.0)</f>
        <v>324</v>
      </c>
      <c r="E820" s="2">
        <f>IFERROR(__xludf.DUMMYFUNCTION("""COMPUTED_VALUE"""),324.0)</f>
        <v>324</v>
      </c>
      <c r="F820" s="2">
        <f>IFERROR(__xludf.DUMMYFUNCTION("""COMPUTED_VALUE"""),2.67005E7)</f>
        <v>26700500</v>
      </c>
      <c r="G820" s="2">
        <f t="shared" si="1"/>
        <v>8</v>
      </c>
    </row>
    <row r="821" ht="15.75" customHeight="1">
      <c r="A821" s="1">
        <f>IFERROR(__xludf.DUMMYFUNCTION("""COMPUTED_VALUE"""),45058.66666666667)</f>
        <v>45058.66667</v>
      </c>
      <c r="B821" s="2">
        <f>IFERROR(__xludf.DUMMYFUNCTION("""COMPUTED_VALUE"""),324.0)</f>
        <v>324</v>
      </c>
      <c r="C821" s="2">
        <f>IFERROR(__xludf.DUMMYFUNCTION("""COMPUTED_VALUE"""),330.0)</f>
        <v>330</v>
      </c>
      <c r="D821" s="2">
        <f>IFERROR(__xludf.DUMMYFUNCTION("""COMPUTED_VALUE"""),322.0)</f>
        <v>322</v>
      </c>
      <c r="E821" s="2">
        <f>IFERROR(__xludf.DUMMYFUNCTION("""COMPUTED_VALUE"""),322.0)</f>
        <v>322</v>
      </c>
      <c r="F821" s="2">
        <f>IFERROR(__xludf.DUMMYFUNCTION("""COMPUTED_VALUE"""),2.80807E7)</f>
        <v>28080700</v>
      </c>
      <c r="G821" s="2">
        <f t="shared" si="1"/>
        <v>8</v>
      </c>
    </row>
    <row r="822" ht="15.75" customHeight="1">
      <c r="A822" s="1">
        <f>IFERROR(__xludf.DUMMYFUNCTION("""COMPUTED_VALUE"""),45061.66666666667)</f>
        <v>45061.66667</v>
      </c>
      <c r="B822" s="2">
        <f>IFERROR(__xludf.DUMMYFUNCTION("""COMPUTED_VALUE"""),322.0)</f>
        <v>322</v>
      </c>
      <c r="C822" s="2">
        <f>IFERROR(__xludf.DUMMYFUNCTION("""COMPUTED_VALUE"""),324.0)</f>
        <v>324</v>
      </c>
      <c r="D822" s="2">
        <f>IFERROR(__xludf.DUMMYFUNCTION("""COMPUTED_VALUE"""),316.0)</f>
        <v>316</v>
      </c>
      <c r="E822" s="2">
        <f>IFERROR(__xludf.DUMMYFUNCTION("""COMPUTED_VALUE"""),318.0)</f>
        <v>318</v>
      </c>
      <c r="F822" s="2">
        <f>IFERROR(__xludf.DUMMYFUNCTION("""COMPUTED_VALUE"""),2.99082E7)</f>
        <v>29908200</v>
      </c>
      <c r="G822" s="2">
        <f t="shared" si="1"/>
        <v>8</v>
      </c>
    </row>
    <row r="823" ht="15.75" customHeight="1">
      <c r="A823" s="1">
        <f>IFERROR(__xludf.DUMMYFUNCTION("""COMPUTED_VALUE"""),45062.66666666667)</f>
        <v>45062.66667</v>
      </c>
      <c r="B823" s="2">
        <f>IFERROR(__xludf.DUMMYFUNCTION("""COMPUTED_VALUE"""),318.0)</f>
        <v>318</v>
      </c>
      <c r="C823" s="2">
        <f>IFERROR(__xludf.DUMMYFUNCTION("""COMPUTED_VALUE"""),324.0)</f>
        <v>324</v>
      </c>
      <c r="D823" s="2">
        <f>IFERROR(__xludf.DUMMYFUNCTION("""COMPUTED_VALUE"""),318.0)</f>
        <v>318</v>
      </c>
      <c r="E823" s="2">
        <f>IFERROR(__xludf.DUMMYFUNCTION("""COMPUTED_VALUE"""),318.0)</f>
        <v>318</v>
      </c>
      <c r="F823" s="2">
        <f>IFERROR(__xludf.DUMMYFUNCTION("""COMPUTED_VALUE"""),1.19961E7)</f>
        <v>11996100</v>
      </c>
      <c r="G823" s="2">
        <f t="shared" si="1"/>
        <v>6</v>
      </c>
    </row>
    <row r="824" ht="15.75" customHeight="1">
      <c r="A824" s="1">
        <f>IFERROR(__xludf.DUMMYFUNCTION("""COMPUTED_VALUE"""),45063.66666666667)</f>
        <v>45063.66667</v>
      </c>
      <c r="B824" s="2">
        <f>IFERROR(__xludf.DUMMYFUNCTION("""COMPUTED_VALUE"""),316.0)</f>
        <v>316</v>
      </c>
      <c r="C824" s="2">
        <f>IFERROR(__xludf.DUMMYFUNCTION("""COMPUTED_VALUE"""),320.0)</f>
        <v>320</v>
      </c>
      <c r="D824" s="2">
        <f>IFERROR(__xludf.DUMMYFUNCTION("""COMPUTED_VALUE"""),312.0)</f>
        <v>312</v>
      </c>
      <c r="E824" s="2">
        <f>IFERROR(__xludf.DUMMYFUNCTION("""COMPUTED_VALUE"""),314.0)</f>
        <v>314</v>
      </c>
      <c r="F824" s="2">
        <f>IFERROR(__xludf.DUMMYFUNCTION("""COMPUTED_VALUE"""),3.17456E7)</f>
        <v>31745600</v>
      </c>
      <c r="G824" s="2">
        <f t="shared" si="1"/>
        <v>8</v>
      </c>
    </row>
    <row r="825" ht="15.75" customHeight="1">
      <c r="A825" s="1">
        <f>IFERROR(__xludf.DUMMYFUNCTION("""COMPUTED_VALUE"""),45065.66666666667)</f>
        <v>45065.66667</v>
      </c>
      <c r="B825" s="2">
        <f>IFERROR(__xludf.DUMMYFUNCTION("""COMPUTED_VALUE"""),314.0)</f>
        <v>314</v>
      </c>
      <c r="C825" s="2">
        <f>IFERROR(__xludf.DUMMYFUNCTION("""COMPUTED_VALUE"""),318.0)</f>
        <v>318</v>
      </c>
      <c r="D825" s="2">
        <f>IFERROR(__xludf.DUMMYFUNCTION("""COMPUTED_VALUE"""),314.0)</f>
        <v>314</v>
      </c>
      <c r="E825" s="2">
        <f>IFERROR(__xludf.DUMMYFUNCTION("""COMPUTED_VALUE"""),316.0)</f>
        <v>316</v>
      </c>
      <c r="F825" s="2">
        <f>IFERROR(__xludf.DUMMYFUNCTION("""COMPUTED_VALUE"""),1.49265E7)</f>
        <v>14926500</v>
      </c>
      <c r="G825" s="2">
        <f t="shared" si="1"/>
        <v>4</v>
      </c>
    </row>
    <row r="826" ht="15.75" customHeight="1">
      <c r="A826" s="1">
        <f>IFERROR(__xludf.DUMMYFUNCTION("""COMPUTED_VALUE"""),45068.66666666667)</f>
        <v>45068.66667</v>
      </c>
      <c r="B826" s="2">
        <f>IFERROR(__xludf.DUMMYFUNCTION("""COMPUTED_VALUE"""),316.0)</f>
        <v>316</v>
      </c>
      <c r="C826" s="2">
        <f>IFERROR(__xludf.DUMMYFUNCTION("""COMPUTED_VALUE"""),322.0)</f>
        <v>322</v>
      </c>
      <c r="D826" s="2">
        <f>IFERROR(__xludf.DUMMYFUNCTION("""COMPUTED_VALUE"""),314.0)</f>
        <v>314</v>
      </c>
      <c r="E826" s="2">
        <f>IFERROR(__xludf.DUMMYFUNCTION("""COMPUTED_VALUE"""),322.0)</f>
        <v>322</v>
      </c>
      <c r="F826" s="2">
        <f>IFERROR(__xludf.DUMMYFUNCTION("""COMPUTED_VALUE"""),1.56538E7)</f>
        <v>15653800</v>
      </c>
      <c r="G826" s="2">
        <f t="shared" si="1"/>
        <v>8</v>
      </c>
    </row>
    <row r="827" ht="15.75" customHeight="1">
      <c r="A827" s="1">
        <f>IFERROR(__xludf.DUMMYFUNCTION("""COMPUTED_VALUE"""),45069.66666666667)</f>
        <v>45069.66667</v>
      </c>
      <c r="B827" s="2">
        <f>IFERROR(__xludf.DUMMYFUNCTION("""COMPUTED_VALUE"""),322.0)</f>
        <v>322</v>
      </c>
      <c r="C827" s="2">
        <f>IFERROR(__xludf.DUMMYFUNCTION("""COMPUTED_VALUE"""),328.0)</f>
        <v>328</v>
      </c>
      <c r="D827" s="2">
        <f>IFERROR(__xludf.DUMMYFUNCTION("""COMPUTED_VALUE"""),322.0)</f>
        <v>322</v>
      </c>
      <c r="E827" s="2">
        <f>IFERROR(__xludf.DUMMYFUNCTION("""COMPUTED_VALUE"""),324.0)</f>
        <v>324</v>
      </c>
      <c r="F827" s="2">
        <f>IFERROR(__xludf.DUMMYFUNCTION("""COMPUTED_VALUE"""),1.71534E7)</f>
        <v>17153400</v>
      </c>
      <c r="G827" s="2">
        <f t="shared" si="1"/>
        <v>6</v>
      </c>
    </row>
    <row r="828" ht="15.75" customHeight="1">
      <c r="A828" s="1">
        <f>IFERROR(__xludf.DUMMYFUNCTION("""COMPUTED_VALUE"""),45070.66666666667)</f>
        <v>45070.66667</v>
      </c>
      <c r="B828" s="2">
        <f>IFERROR(__xludf.DUMMYFUNCTION("""COMPUTED_VALUE"""),326.0)</f>
        <v>326</v>
      </c>
      <c r="C828" s="2">
        <f>IFERROR(__xludf.DUMMYFUNCTION("""COMPUTED_VALUE"""),338.0)</f>
        <v>338</v>
      </c>
      <c r="D828" s="2">
        <f>IFERROR(__xludf.DUMMYFUNCTION("""COMPUTED_VALUE"""),324.0)</f>
        <v>324</v>
      </c>
      <c r="E828" s="2">
        <f>IFERROR(__xludf.DUMMYFUNCTION("""COMPUTED_VALUE"""),336.0)</f>
        <v>336</v>
      </c>
      <c r="F828" s="2">
        <f>IFERROR(__xludf.DUMMYFUNCTION("""COMPUTED_VALUE"""),7.77829E7)</f>
        <v>77782900</v>
      </c>
      <c r="G828" s="2">
        <f t="shared" si="1"/>
        <v>14</v>
      </c>
    </row>
    <row r="829" ht="15.75" customHeight="1">
      <c r="A829" s="1">
        <f>IFERROR(__xludf.DUMMYFUNCTION("""COMPUTED_VALUE"""),45071.66666666667)</f>
        <v>45071.66667</v>
      </c>
      <c r="B829" s="2">
        <f>IFERROR(__xludf.DUMMYFUNCTION("""COMPUTED_VALUE"""),338.0)</f>
        <v>338</v>
      </c>
      <c r="C829" s="2">
        <f>IFERROR(__xludf.DUMMYFUNCTION("""COMPUTED_VALUE"""),338.0)</f>
        <v>338</v>
      </c>
      <c r="D829" s="2">
        <f>IFERROR(__xludf.DUMMYFUNCTION("""COMPUTED_VALUE"""),332.0)</f>
        <v>332</v>
      </c>
      <c r="E829" s="2">
        <f>IFERROR(__xludf.DUMMYFUNCTION("""COMPUTED_VALUE"""),332.0)</f>
        <v>332</v>
      </c>
      <c r="F829" s="2">
        <f>IFERROR(__xludf.DUMMYFUNCTION("""COMPUTED_VALUE"""),2.84499E7)</f>
        <v>28449900</v>
      </c>
      <c r="G829" s="2">
        <f t="shared" si="1"/>
        <v>6</v>
      </c>
    </row>
    <row r="830" ht="15.75" customHeight="1">
      <c r="A830" s="1">
        <f>IFERROR(__xludf.DUMMYFUNCTION("""COMPUTED_VALUE"""),45072.66666666667)</f>
        <v>45072.66667</v>
      </c>
      <c r="B830" s="2">
        <f>IFERROR(__xludf.DUMMYFUNCTION("""COMPUTED_VALUE"""),332.0)</f>
        <v>332</v>
      </c>
      <c r="C830" s="2">
        <f>IFERROR(__xludf.DUMMYFUNCTION("""COMPUTED_VALUE"""),332.0)</f>
        <v>332</v>
      </c>
      <c r="D830" s="2">
        <f>IFERROR(__xludf.DUMMYFUNCTION("""COMPUTED_VALUE"""),326.0)</f>
        <v>326</v>
      </c>
      <c r="E830" s="2">
        <f>IFERROR(__xludf.DUMMYFUNCTION("""COMPUTED_VALUE"""),328.0)</f>
        <v>328</v>
      </c>
      <c r="F830" s="2">
        <f>IFERROR(__xludf.DUMMYFUNCTION("""COMPUTED_VALUE"""),1.57014E7)</f>
        <v>15701400</v>
      </c>
      <c r="G830" s="2">
        <f t="shared" si="1"/>
        <v>6</v>
      </c>
    </row>
    <row r="831" ht="15.75" customHeight="1">
      <c r="A831" s="1">
        <f>IFERROR(__xludf.DUMMYFUNCTION("""COMPUTED_VALUE"""),45075.66666666667)</f>
        <v>45075.66667</v>
      </c>
      <c r="B831" s="2">
        <f>IFERROR(__xludf.DUMMYFUNCTION("""COMPUTED_VALUE"""),328.0)</f>
        <v>328</v>
      </c>
      <c r="C831" s="2">
        <f>IFERROR(__xludf.DUMMYFUNCTION("""COMPUTED_VALUE"""),334.0)</f>
        <v>334</v>
      </c>
      <c r="D831" s="2">
        <f>IFERROR(__xludf.DUMMYFUNCTION("""COMPUTED_VALUE"""),326.0)</f>
        <v>326</v>
      </c>
      <c r="E831" s="2">
        <f>IFERROR(__xludf.DUMMYFUNCTION("""COMPUTED_VALUE"""),330.0)</f>
        <v>330</v>
      </c>
      <c r="F831" s="2">
        <f>IFERROR(__xludf.DUMMYFUNCTION("""COMPUTED_VALUE"""),2.13245E7)</f>
        <v>21324500</v>
      </c>
      <c r="G831" s="2">
        <f t="shared" si="1"/>
        <v>8</v>
      </c>
    </row>
    <row r="832" ht="15.75" customHeight="1">
      <c r="A832" s="1">
        <f>IFERROR(__xludf.DUMMYFUNCTION("""COMPUTED_VALUE"""),45076.66666666667)</f>
        <v>45076.66667</v>
      </c>
      <c r="B832" s="2">
        <f>IFERROR(__xludf.DUMMYFUNCTION("""COMPUTED_VALUE"""),330.0)</f>
        <v>330</v>
      </c>
      <c r="C832" s="2">
        <f>IFERROR(__xludf.DUMMYFUNCTION("""COMPUTED_VALUE"""),338.0)</f>
        <v>338</v>
      </c>
      <c r="D832" s="2">
        <f>IFERROR(__xludf.DUMMYFUNCTION("""COMPUTED_VALUE"""),330.0)</f>
        <v>330</v>
      </c>
      <c r="E832" s="2">
        <f>IFERROR(__xludf.DUMMYFUNCTION("""COMPUTED_VALUE"""),334.0)</f>
        <v>334</v>
      </c>
      <c r="F832" s="2">
        <f>IFERROR(__xludf.DUMMYFUNCTION("""COMPUTED_VALUE"""),1.83829E7)</f>
        <v>18382900</v>
      </c>
      <c r="G832" s="2">
        <f t="shared" si="1"/>
        <v>8</v>
      </c>
    </row>
    <row r="833" ht="15.75" customHeight="1">
      <c r="A833" s="1">
        <f>IFERROR(__xludf.DUMMYFUNCTION("""COMPUTED_VALUE"""),45077.66666666667)</f>
        <v>45077.66667</v>
      </c>
      <c r="B833" s="2">
        <f>IFERROR(__xludf.DUMMYFUNCTION("""COMPUTED_VALUE"""),336.0)</f>
        <v>336</v>
      </c>
      <c r="C833" s="2">
        <f>IFERROR(__xludf.DUMMYFUNCTION("""COMPUTED_VALUE"""),336.0)</f>
        <v>336</v>
      </c>
      <c r="D833" s="2">
        <f>IFERROR(__xludf.DUMMYFUNCTION("""COMPUTED_VALUE"""),326.0)</f>
        <v>326</v>
      </c>
      <c r="E833" s="2">
        <f>IFERROR(__xludf.DUMMYFUNCTION("""COMPUTED_VALUE"""),330.0)</f>
        <v>330</v>
      </c>
      <c r="F833" s="2">
        <f>IFERROR(__xludf.DUMMYFUNCTION("""COMPUTED_VALUE"""),1.81635E7)</f>
        <v>18163500</v>
      </c>
      <c r="G833" s="2">
        <f t="shared" si="1"/>
        <v>10</v>
      </c>
    </row>
    <row r="834" ht="15.75" customHeight="1">
      <c r="A834" s="1">
        <f>IFERROR(__xludf.DUMMYFUNCTION("""COMPUTED_VALUE"""),45082.66666666667)</f>
        <v>45082.66667</v>
      </c>
      <c r="B834" s="2">
        <f>IFERROR(__xludf.DUMMYFUNCTION("""COMPUTED_VALUE"""),338.0)</f>
        <v>338</v>
      </c>
      <c r="C834" s="2">
        <f>IFERROR(__xludf.DUMMYFUNCTION("""COMPUTED_VALUE"""),342.0)</f>
        <v>342</v>
      </c>
      <c r="D834" s="2">
        <f>IFERROR(__xludf.DUMMYFUNCTION("""COMPUTED_VALUE"""),330.0)</f>
        <v>330</v>
      </c>
      <c r="E834" s="2">
        <f>IFERROR(__xludf.DUMMYFUNCTION("""COMPUTED_VALUE"""),336.0)</f>
        <v>336</v>
      </c>
      <c r="F834" s="2">
        <f>IFERROR(__xludf.DUMMYFUNCTION("""COMPUTED_VALUE"""),5.17992E7)</f>
        <v>51799200</v>
      </c>
      <c r="G834" s="2">
        <f t="shared" si="1"/>
        <v>12</v>
      </c>
    </row>
    <row r="835" ht="15.75" customHeight="1">
      <c r="A835" s="1">
        <f>IFERROR(__xludf.DUMMYFUNCTION("""COMPUTED_VALUE"""),45083.66666666667)</f>
        <v>45083.66667</v>
      </c>
      <c r="B835" s="2">
        <f>IFERROR(__xludf.DUMMYFUNCTION("""COMPUTED_VALUE"""),338.0)</f>
        <v>338</v>
      </c>
      <c r="C835" s="2">
        <f>IFERROR(__xludf.DUMMYFUNCTION("""COMPUTED_VALUE"""),346.0)</f>
        <v>346</v>
      </c>
      <c r="D835" s="2">
        <f>IFERROR(__xludf.DUMMYFUNCTION("""COMPUTED_VALUE"""),336.0)</f>
        <v>336</v>
      </c>
      <c r="E835" s="2">
        <f>IFERROR(__xludf.DUMMYFUNCTION("""COMPUTED_VALUE"""),336.0)</f>
        <v>336</v>
      </c>
      <c r="F835" s="2">
        <f>IFERROR(__xludf.DUMMYFUNCTION("""COMPUTED_VALUE"""),1.097817E8)</f>
        <v>109781700</v>
      </c>
      <c r="G835" s="2">
        <f t="shared" si="1"/>
        <v>10</v>
      </c>
    </row>
    <row r="836" ht="15.75" customHeight="1">
      <c r="A836" s="1">
        <f>IFERROR(__xludf.DUMMYFUNCTION("""COMPUTED_VALUE"""),45084.66666666667)</f>
        <v>45084.66667</v>
      </c>
      <c r="B836" s="2">
        <f>IFERROR(__xludf.DUMMYFUNCTION("""COMPUTED_VALUE"""),338.0)</f>
        <v>338</v>
      </c>
      <c r="C836" s="2">
        <f>IFERROR(__xludf.DUMMYFUNCTION("""COMPUTED_VALUE"""),342.0)</f>
        <v>342</v>
      </c>
      <c r="D836" s="2">
        <f>IFERROR(__xludf.DUMMYFUNCTION("""COMPUTED_VALUE"""),334.0)</f>
        <v>334</v>
      </c>
      <c r="E836" s="2">
        <f>IFERROR(__xludf.DUMMYFUNCTION("""COMPUTED_VALUE"""),338.0)</f>
        <v>338</v>
      </c>
      <c r="F836" s="2">
        <f>IFERROR(__xludf.DUMMYFUNCTION("""COMPUTED_VALUE"""),3.50431E7)</f>
        <v>35043100</v>
      </c>
      <c r="G836" s="2">
        <f t="shared" si="1"/>
        <v>8</v>
      </c>
    </row>
    <row r="837" ht="15.75" customHeight="1">
      <c r="A837" s="1">
        <f>IFERROR(__xludf.DUMMYFUNCTION("""COMPUTED_VALUE"""),45085.66666666667)</f>
        <v>45085.66667</v>
      </c>
      <c r="B837" s="2">
        <f>IFERROR(__xludf.DUMMYFUNCTION("""COMPUTED_VALUE"""),338.0)</f>
        <v>338</v>
      </c>
      <c r="C837" s="2">
        <f>IFERROR(__xludf.DUMMYFUNCTION("""COMPUTED_VALUE"""),346.0)</f>
        <v>346</v>
      </c>
      <c r="D837" s="2">
        <f>IFERROR(__xludf.DUMMYFUNCTION("""COMPUTED_VALUE"""),338.0)</f>
        <v>338</v>
      </c>
      <c r="E837" s="2">
        <f>IFERROR(__xludf.DUMMYFUNCTION("""COMPUTED_VALUE"""),344.0)</f>
        <v>344</v>
      </c>
      <c r="F837" s="2">
        <f>IFERROR(__xludf.DUMMYFUNCTION("""COMPUTED_VALUE"""),4.69095E7)</f>
        <v>46909500</v>
      </c>
      <c r="G837" s="2">
        <f t="shared" si="1"/>
        <v>8</v>
      </c>
    </row>
    <row r="838" ht="15.75" customHeight="1">
      <c r="A838" s="1">
        <f>IFERROR(__xludf.DUMMYFUNCTION("""COMPUTED_VALUE"""),45086.66666666667)</f>
        <v>45086.66667</v>
      </c>
      <c r="B838" s="2">
        <f>IFERROR(__xludf.DUMMYFUNCTION("""COMPUTED_VALUE"""),344.0)</f>
        <v>344</v>
      </c>
      <c r="C838" s="2">
        <f>IFERROR(__xludf.DUMMYFUNCTION("""COMPUTED_VALUE"""),346.0)</f>
        <v>346</v>
      </c>
      <c r="D838" s="2">
        <f>IFERROR(__xludf.DUMMYFUNCTION("""COMPUTED_VALUE"""),340.0)</f>
        <v>340</v>
      </c>
      <c r="E838" s="2">
        <f>IFERROR(__xludf.DUMMYFUNCTION("""COMPUTED_VALUE"""),344.0)</f>
        <v>344</v>
      </c>
      <c r="F838" s="2">
        <f>IFERROR(__xludf.DUMMYFUNCTION("""COMPUTED_VALUE"""),1.61941E7)</f>
        <v>16194100</v>
      </c>
      <c r="G838" s="2">
        <f t="shared" si="1"/>
        <v>6</v>
      </c>
    </row>
    <row r="839" ht="15.75" customHeight="1">
      <c r="A839" s="1">
        <f>IFERROR(__xludf.DUMMYFUNCTION("""COMPUTED_VALUE"""),45089.66666666667)</f>
        <v>45089.66667</v>
      </c>
      <c r="B839" s="2">
        <f>IFERROR(__xludf.DUMMYFUNCTION("""COMPUTED_VALUE"""),346.0)</f>
        <v>346</v>
      </c>
      <c r="C839" s="2">
        <f>IFERROR(__xludf.DUMMYFUNCTION("""COMPUTED_VALUE"""),346.0)</f>
        <v>346</v>
      </c>
      <c r="D839" s="2">
        <f>IFERROR(__xludf.DUMMYFUNCTION("""COMPUTED_VALUE"""),340.0)</f>
        <v>340</v>
      </c>
      <c r="E839" s="2">
        <f>IFERROR(__xludf.DUMMYFUNCTION("""COMPUTED_VALUE"""),344.0)</f>
        <v>344</v>
      </c>
      <c r="F839" s="2">
        <f>IFERROR(__xludf.DUMMYFUNCTION("""COMPUTED_VALUE"""),3.62038E7)</f>
        <v>36203800</v>
      </c>
      <c r="G839" s="2">
        <f t="shared" si="1"/>
        <v>6</v>
      </c>
    </row>
    <row r="840" ht="15.75" customHeight="1">
      <c r="A840" s="1">
        <f>IFERROR(__xludf.DUMMYFUNCTION("""COMPUTED_VALUE"""),45090.66666666667)</f>
        <v>45090.66667</v>
      </c>
      <c r="B840" s="2">
        <f>IFERROR(__xludf.DUMMYFUNCTION("""COMPUTED_VALUE"""),344.0)</f>
        <v>344</v>
      </c>
      <c r="C840" s="2">
        <f>IFERROR(__xludf.DUMMYFUNCTION("""COMPUTED_VALUE"""),346.0)</f>
        <v>346</v>
      </c>
      <c r="D840" s="2">
        <f>IFERROR(__xludf.DUMMYFUNCTION("""COMPUTED_VALUE"""),342.0)</f>
        <v>342</v>
      </c>
      <c r="E840" s="2">
        <f>IFERROR(__xludf.DUMMYFUNCTION("""COMPUTED_VALUE"""),344.0)</f>
        <v>344</v>
      </c>
      <c r="F840" s="2">
        <f>IFERROR(__xludf.DUMMYFUNCTION("""COMPUTED_VALUE"""),3.61391E7)</f>
        <v>36139100</v>
      </c>
      <c r="G840" s="2">
        <f t="shared" si="1"/>
        <v>4</v>
      </c>
    </row>
    <row r="841" ht="15.75" customHeight="1">
      <c r="A841" s="1">
        <f>IFERROR(__xludf.DUMMYFUNCTION("""COMPUTED_VALUE"""),45091.66666666667)</f>
        <v>45091.66667</v>
      </c>
      <c r="B841" s="2">
        <f>IFERROR(__xludf.DUMMYFUNCTION("""COMPUTED_VALUE"""),348.0)</f>
        <v>348</v>
      </c>
      <c r="C841" s="2">
        <f>IFERROR(__xludf.DUMMYFUNCTION("""COMPUTED_VALUE"""),348.0)</f>
        <v>348</v>
      </c>
      <c r="D841" s="2">
        <f>IFERROR(__xludf.DUMMYFUNCTION("""COMPUTED_VALUE"""),340.0)</f>
        <v>340</v>
      </c>
      <c r="E841" s="2">
        <f>IFERROR(__xludf.DUMMYFUNCTION("""COMPUTED_VALUE"""),344.0)</f>
        <v>344</v>
      </c>
      <c r="F841" s="2">
        <f>IFERROR(__xludf.DUMMYFUNCTION("""COMPUTED_VALUE"""),6.59321E7)</f>
        <v>65932100</v>
      </c>
      <c r="G841" s="2">
        <f t="shared" si="1"/>
        <v>8</v>
      </c>
    </row>
    <row r="842" ht="15.75" customHeight="1">
      <c r="A842" s="1">
        <f>IFERROR(__xludf.DUMMYFUNCTION("""COMPUTED_VALUE"""),45092.66666666667)</f>
        <v>45092.66667</v>
      </c>
      <c r="B842" s="2">
        <f>IFERROR(__xludf.DUMMYFUNCTION("""COMPUTED_VALUE"""),334.0)</f>
        <v>334</v>
      </c>
      <c r="C842" s="2">
        <f>IFERROR(__xludf.DUMMYFUNCTION("""COMPUTED_VALUE"""),334.0)</f>
        <v>334</v>
      </c>
      <c r="D842" s="2">
        <f>IFERROR(__xludf.DUMMYFUNCTION("""COMPUTED_VALUE"""),320.0)</f>
        <v>320</v>
      </c>
      <c r="E842" s="2">
        <f>IFERROR(__xludf.DUMMYFUNCTION("""COMPUTED_VALUE"""),322.0)</f>
        <v>322</v>
      </c>
      <c r="F842" s="2">
        <f>IFERROR(__xludf.DUMMYFUNCTION("""COMPUTED_VALUE"""),6.05202E7)</f>
        <v>60520200</v>
      </c>
      <c r="G842" s="2">
        <f t="shared" si="1"/>
        <v>24</v>
      </c>
    </row>
    <row r="843" ht="15.75" customHeight="1">
      <c r="A843" s="1">
        <f>IFERROR(__xludf.DUMMYFUNCTION("""COMPUTED_VALUE"""),45093.66666666667)</f>
        <v>45093.66667</v>
      </c>
      <c r="B843" s="2">
        <f>IFERROR(__xludf.DUMMYFUNCTION("""COMPUTED_VALUE"""),326.0)</f>
        <v>326</v>
      </c>
      <c r="C843" s="2">
        <f>IFERROR(__xludf.DUMMYFUNCTION("""COMPUTED_VALUE"""),326.0)</f>
        <v>326</v>
      </c>
      <c r="D843" s="2">
        <f>IFERROR(__xludf.DUMMYFUNCTION("""COMPUTED_VALUE"""),322.0)</f>
        <v>322</v>
      </c>
      <c r="E843" s="2">
        <f>IFERROR(__xludf.DUMMYFUNCTION("""COMPUTED_VALUE"""),322.0)</f>
        <v>322</v>
      </c>
      <c r="F843" s="2">
        <f>IFERROR(__xludf.DUMMYFUNCTION("""COMPUTED_VALUE"""),2.57206E7)</f>
        <v>25720600</v>
      </c>
      <c r="G843" s="2">
        <f t="shared" si="1"/>
        <v>4</v>
      </c>
    </row>
    <row r="844" ht="15.75" customHeight="1">
      <c r="A844" s="1">
        <f>IFERROR(__xludf.DUMMYFUNCTION("""COMPUTED_VALUE"""),45096.66666666667)</f>
        <v>45096.66667</v>
      </c>
      <c r="B844" s="2">
        <f>IFERROR(__xludf.DUMMYFUNCTION("""COMPUTED_VALUE"""),322.0)</f>
        <v>322</v>
      </c>
      <c r="C844" s="2">
        <f>IFERROR(__xludf.DUMMYFUNCTION("""COMPUTED_VALUE"""),328.0)</f>
        <v>328</v>
      </c>
      <c r="D844" s="2">
        <f>IFERROR(__xludf.DUMMYFUNCTION("""COMPUTED_VALUE"""),322.0)</f>
        <v>322</v>
      </c>
      <c r="E844" s="2">
        <f>IFERROR(__xludf.DUMMYFUNCTION("""COMPUTED_VALUE"""),324.0)</f>
        <v>324</v>
      </c>
      <c r="F844" s="2">
        <f>IFERROR(__xludf.DUMMYFUNCTION("""COMPUTED_VALUE"""),4.07899E7)</f>
        <v>40789900</v>
      </c>
      <c r="G844" s="2">
        <f t="shared" si="1"/>
        <v>6</v>
      </c>
    </row>
    <row r="845" ht="15.75" customHeight="1">
      <c r="A845" s="1">
        <f>IFERROR(__xludf.DUMMYFUNCTION("""COMPUTED_VALUE"""),45097.66666666667)</f>
        <v>45097.66667</v>
      </c>
      <c r="B845" s="2">
        <f>IFERROR(__xludf.DUMMYFUNCTION("""COMPUTED_VALUE"""),326.0)</f>
        <v>326</v>
      </c>
      <c r="C845" s="2">
        <f>IFERROR(__xludf.DUMMYFUNCTION("""COMPUTED_VALUE"""),328.0)</f>
        <v>328</v>
      </c>
      <c r="D845" s="2">
        <f>IFERROR(__xludf.DUMMYFUNCTION("""COMPUTED_VALUE"""),322.0)</f>
        <v>322</v>
      </c>
      <c r="E845" s="2">
        <f>IFERROR(__xludf.DUMMYFUNCTION("""COMPUTED_VALUE"""),326.0)</f>
        <v>326</v>
      </c>
      <c r="F845" s="2">
        <f>IFERROR(__xludf.DUMMYFUNCTION("""COMPUTED_VALUE"""),1.1681E7)</f>
        <v>11681000</v>
      </c>
      <c r="G845" s="2">
        <f t="shared" si="1"/>
        <v>6</v>
      </c>
    </row>
    <row r="846" ht="15.75" customHeight="1">
      <c r="A846" s="1">
        <f>IFERROR(__xludf.DUMMYFUNCTION("""COMPUTED_VALUE"""),45098.66666666667)</f>
        <v>45098.66667</v>
      </c>
      <c r="B846" s="2">
        <f>IFERROR(__xludf.DUMMYFUNCTION("""COMPUTED_VALUE"""),328.0)</f>
        <v>328</v>
      </c>
      <c r="C846" s="2">
        <f>IFERROR(__xludf.DUMMYFUNCTION("""COMPUTED_VALUE"""),328.0)</f>
        <v>328</v>
      </c>
      <c r="D846" s="2">
        <f>IFERROR(__xludf.DUMMYFUNCTION("""COMPUTED_VALUE"""),322.0)</f>
        <v>322</v>
      </c>
      <c r="E846" s="2">
        <f>IFERROR(__xludf.DUMMYFUNCTION("""COMPUTED_VALUE"""),324.0)</f>
        <v>324</v>
      </c>
      <c r="F846" s="2">
        <f>IFERROR(__xludf.DUMMYFUNCTION("""COMPUTED_VALUE"""),1.58407E7)</f>
        <v>15840700</v>
      </c>
      <c r="G846" s="2">
        <f t="shared" si="1"/>
        <v>6</v>
      </c>
    </row>
    <row r="847" ht="15.75" customHeight="1">
      <c r="A847" s="1">
        <f>IFERROR(__xludf.DUMMYFUNCTION("""COMPUTED_VALUE"""),45099.66666666667)</f>
        <v>45099.66667</v>
      </c>
      <c r="B847" s="2">
        <f>IFERROR(__xludf.DUMMYFUNCTION("""COMPUTED_VALUE"""),326.0)</f>
        <v>326</v>
      </c>
      <c r="C847" s="2">
        <f>IFERROR(__xludf.DUMMYFUNCTION("""COMPUTED_VALUE"""),332.0)</f>
        <v>332</v>
      </c>
      <c r="D847" s="2">
        <f>IFERROR(__xludf.DUMMYFUNCTION("""COMPUTED_VALUE"""),324.0)</f>
        <v>324</v>
      </c>
      <c r="E847" s="2">
        <f>IFERROR(__xludf.DUMMYFUNCTION("""COMPUTED_VALUE"""),330.0)</f>
        <v>330</v>
      </c>
      <c r="F847" s="2">
        <f>IFERROR(__xludf.DUMMYFUNCTION("""COMPUTED_VALUE"""),2.99002E7)</f>
        <v>29900200</v>
      </c>
      <c r="G847" s="2">
        <f t="shared" si="1"/>
        <v>8</v>
      </c>
    </row>
    <row r="848" ht="15.75" customHeight="1">
      <c r="A848" s="1">
        <f>IFERROR(__xludf.DUMMYFUNCTION("""COMPUTED_VALUE"""),45100.66666666667)</f>
        <v>45100.66667</v>
      </c>
      <c r="B848" s="2">
        <f>IFERROR(__xludf.DUMMYFUNCTION("""COMPUTED_VALUE"""),334.0)</f>
        <v>334</v>
      </c>
      <c r="C848" s="2">
        <f>IFERROR(__xludf.DUMMYFUNCTION("""COMPUTED_VALUE"""),334.0)</f>
        <v>334</v>
      </c>
      <c r="D848" s="2">
        <f>IFERROR(__xludf.DUMMYFUNCTION("""COMPUTED_VALUE"""),324.0)</f>
        <v>324</v>
      </c>
      <c r="E848" s="2">
        <f>IFERROR(__xludf.DUMMYFUNCTION("""COMPUTED_VALUE"""),326.0)</f>
        <v>326</v>
      </c>
      <c r="F848" s="2">
        <f>IFERROR(__xludf.DUMMYFUNCTION("""COMPUTED_VALUE"""),3.10335E7)</f>
        <v>31033500</v>
      </c>
      <c r="G848" s="2">
        <f t="shared" si="1"/>
        <v>10</v>
      </c>
    </row>
    <row r="849" ht="15.75" customHeight="1">
      <c r="A849" s="1">
        <f>IFERROR(__xludf.DUMMYFUNCTION("""COMPUTED_VALUE"""),45103.66666666667)</f>
        <v>45103.66667</v>
      </c>
      <c r="B849" s="2">
        <f>IFERROR(__xludf.DUMMYFUNCTION("""COMPUTED_VALUE"""),328.0)</f>
        <v>328</v>
      </c>
      <c r="C849" s="2">
        <f>IFERROR(__xludf.DUMMYFUNCTION("""COMPUTED_VALUE"""),336.0)</f>
        <v>336</v>
      </c>
      <c r="D849" s="2">
        <f>IFERROR(__xludf.DUMMYFUNCTION("""COMPUTED_VALUE"""),326.0)</f>
        <v>326</v>
      </c>
      <c r="E849" s="2">
        <f>IFERROR(__xludf.DUMMYFUNCTION("""COMPUTED_VALUE"""),336.0)</f>
        <v>336</v>
      </c>
      <c r="F849" s="2">
        <f>IFERROR(__xludf.DUMMYFUNCTION("""COMPUTED_VALUE"""),3.35713E7)</f>
        <v>33571300</v>
      </c>
      <c r="G849" s="2">
        <f t="shared" si="1"/>
        <v>10</v>
      </c>
    </row>
    <row r="850" ht="15.75" customHeight="1">
      <c r="A850" s="1">
        <f>IFERROR(__xludf.DUMMYFUNCTION("""COMPUTED_VALUE"""),45104.66666666667)</f>
        <v>45104.66667</v>
      </c>
      <c r="B850" s="2">
        <f>IFERROR(__xludf.DUMMYFUNCTION("""COMPUTED_VALUE"""),338.0)</f>
        <v>338</v>
      </c>
      <c r="C850" s="2">
        <f>IFERROR(__xludf.DUMMYFUNCTION("""COMPUTED_VALUE"""),340.0)</f>
        <v>340</v>
      </c>
      <c r="D850" s="2">
        <f>IFERROR(__xludf.DUMMYFUNCTION("""COMPUTED_VALUE"""),332.0)</f>
        <v>332</v>
      </c>
      <c r="E850" s="2">
        <f>IFERROR(__xludf.DUMMYFUNCTION("""COMPUTED_VALUE"""),334.0)</f>
        <v>334</v>
      </c>
      <c r="F850" s="2">
        <f>IFERROR(__xludf.DUMMYFUNCTION("""COMPUTED_VALUE"""),2.94204E7)</f>
        <v>29420400</v>
      </c>
      <c r="G850" s="2">
        <f t="shared" si="1"/>
        <v>8</v>
      </c>
    </row>
    <row r="851" ht="15.75" customHeight="1">
      <c r="A851" s="1">
        <f>IFERROR(__xludf.DUMMYFUNCTION("""COMPUTED_VALUE"""),45110.66666666667)</f>
        <v>45110.66667</v>
      </c>
      <c r="B851" s="2">
        <f>IFERROR(__xludf.DUMMYFUNCTION("""COMPUTED_VALUE"""),334.0)</f>
        <v>334</v>
      </c>
      <c r="C851" s="2">
        <f>IFERROR(__xludf.DUMMYFUNCTION("""COMPUTED_VALUE"""),340.0)</f>
        <v>340</v>
      </c>
      <c r="D851" s="2">
        <f>IFERROR(__xludf.DUMMYFUNCTION("""COMPUTED_VALUE"""),334.0)</f>
        <v>334</v>
      </c>
      <c r="E851" s="2">
        <f>IFERROR(__xludf.DUMMYFUNCTION("""COMPUTED_VALUE"""),338.0)</f>
        <v>338</v>
      </c>
      <c r="F851" s="2">
        <f>IFERROR(__xludf.DUMMYFUNCTION("""COMPUTED_VALUE"""),1.59393E7)</f>
        <v>15939300</v>
      </c>
      <c r="G851" s="2">
        <f t="shared" si="1"/>
        <v>6</v>
      </c>
    </row>
    <row r="852" ht="15.75" customHeight="1">
      <c r="A852" s="1">
        <f>IFERROR(__xludf.DUMMYFUNCTION("""COMPUTED_VALUE"""),45111.66666666667)</f>
        <v>45111.66667</v>
      </c>
      <c r="B852" s="2">
        <f>IFERROR(__xludf.DUMMYFUNCTION("""COMPUTED_VALUE"""),340.0)</f>
        <v>340</v>
      </c>
      <c r="C852" s="2">
        <f>IFERROR(__xludf.DUMMYFUNCTION("""COMPUTED_VALUE"""),348.0)</f>
        <v>348</v>
      </c>
      <c r="D852" s="2">
        <f>IFERROR(__xludf.DUMMYFUNCTION("""COMPUTED_VALUE"""),338.0)</f>
        <v>338</v>
      </c>
      <c r="E852" s="2">
        <f>IFERROR(__xludf.DUMMYFUNCTION("""COMPUTED_VALUE"""),342.0)</f>
        <v>342</v>
      </c>
      <c r="F852" s="2">
        <f>IFERROR(__xludf.DUMMYFUNCTION("""COMPUTED_VALUE"""),4.69942E7)</f>
        <v>46994200</v>
      </c>
      <c r="G852" s="2">
        <f t="shared" si="1"/>
        <v>10</v>
      </c>
    </row>
    <row r="853" ht="15.75" customHeight="1">
      <c r="A853" s="1">
        <f>IFERROR(__xludf.DUMMYFUNCTION("""COMPUTED_VALUE"""),45112.66666666667)</f>
        <v>45112.66667</v>
      </c>
      <c r="B853" s="2">
        <f>IFERROR(__xludf.DUMMYFUNCTION("""COMPUTED_VALUE"""),344.0)</f>
        <v>344</v>
      </c>
      <c r="C853" s="2">
        <f>IFERROR(__xludf.DUMMYFUNCTION("""COMPUTED_VALUE"""),348.0)</f>
        <v>348</v>
      </c>
      <c r="D853" s="2">
        <f>IFERROR(__xludf.DUMMYFUNCTION("""COMPUTED_VALUE"""),340.0)</f>
        <v>340</v>
      </c>
      <c r="E853" s="2">
        <f>IFERROR(__xludf.DUMMYFUNCTION("""COMPUTED_VALUE"""),344.0)</f>
        <v>344</v>
      </c>
      <c r="F853" s="2">
        <f>IFERROR(__xludf.DUMMYFUNCTION("""COMPUTED_VALUE"""),3.69624E7)</f>
        <v>36962400</v>
      </c>
      <c r="G853" s="2">
        <f t="shared" si="1"/>
        <v>8</v>
      </c>
    </row>
    <row r="854" ht="15.75" customHeight="1">
      <c r="A854" s="1">
        <f>IFERROR(__xludf.DUMMYFUNCTION("""COMPUTED_VALUE"""),45113.66666666667)</f>
        <v>45113.66667</v>
      </c>
      <c r="B854" s="2">
        <f>IFERROR(__xludf.DUMMYFUNCTION("""COMPUTED_VALUE"""),346.0)</f>
        <v>346</v>
      </c>
      <c r="C854" s="2">
        <f>IFERROR(__xludf.DUMMYFUNCTION("""COMPUTED_VALUE"""),370.0)</f>
        <v>370</v>
      </c>
      <c r="D854" s="2">
        <f>IFERROR(__xludf.DUMMYFUNCTION("""COMPUTED_VALUE"""),344.0)</f>
        <v>344</v>
      </c>
      <c r="E854" s="2">
        <f>IFERROR(__xludf.DUMMYFUNCTION("""COMPUTED_VALUE"""),368.0)</f>
        <v>368</v>
      </c>
      <c r="F854" s="2">
        <f>IFERROR(__xludf.DUMMYFUNCTION("""COMPUTED_VALUE"""),1.179993E8)</f>
        <v>117999300</v>
      </c>
      <c r="G854" s="2">
        <f t="shared" si="1"/>
        <v>26</v>
      </c>
    </row>
    <row r="855" ht="15.75" customHeight="1">
      <c r="A855" s="1">
        <f>IFERROR(__xludf.DUMMYFUNCTION("""COMPUTED_VALUE"""),45114.66666666667)</f>
        <v>45114.66667</v>
      </c>
      <c r="B855" s="2">
        <f>IFERROR(__xludf.DUMMYFUNCTION("""COMPUTED_VALUE"""),370.0)</f>
        <v>370</v>
      </c>
      <c r="C855" s="2">
        <f>IFERROR(__xludf.DUMMYFUNCTION("""COMPUTED_VALUE"""),380.0)</f>
        <v>380</v>
      </c>
      <c r="D855" s="2">
        <f>IFERROR(__xludf.DUMMYFUNCTION("""COMPUTED_VALUE"""),362.0)</f>
        <v>362</v>
      </c>
      <c r="E855" s="2">
        <f>IFERROR(__xludf.DUMMYFUNCTION("""COMPUTED_VALUE"""),372.0)</f>
        <v>372</v>
      </c>
      <c r="F855" s="2">
        <f>IFERROR(__xludf.DUMMYFUNCTION("""COMPUTED_VALUE"""),7.57136E7)</f>
        <v>75713600</v>
      </c>
      <c r="G855" s="2">
        <f t="shared" si="1"/>
        <v>18</v>
      </c>
    </row>
    <row r="856" ht="15.75" customHeight="1">
      <c r="A856" s="1">
        <f>IFERROR(__xludf.DUMMYFUNCTION("""COMPUTED_VALUE"""),45117.66666666667)</f>
        <v>45117.66667</v>
      </c>
      <c r="B856" s="2">
        <f>IFERROR(__xludf.DUMMYFUNCTION("""COMPUTED_VALUE"""),372.0)</f>
        <v>372</v>
      </c>
      <c r="C856" s="2">
        <f>IFERROR(__xludf.DUMMYFUNCTION("""COMPUTED_VALUE"""),384.0)</f>
        <v>384</v>
      </c>
      <c r="D856" s="2">
        <f>IFERROR(__xludf.DUMMYFUNCTION("""COMPUTED_VALUE"""),366.0)</f>
        <v>366</v>
      </c>
      <c r="E856" s="2">
        <f>IFERROR(__xludf.DUMMYFUNCTION("""COMPUTED_VALUE"""),366.0)</f>
        <v>366</v>
      </c>
      <c r="F856" s="2">
        <f>IFERROR(__xludf.DUMMYFUNCTION("""COMPUTED_VALUE"""),5.99661E7)</f>
        <v>59966100</v>
      </c>
      <c r="G856" s="2">
        <f t="shared" si="1"/>
        <v>18</v>
      </c>
    </row>
    <row r="857" ht="15.75" customHeight="1">
      <c r="A857" s="1">
        <f>IFERROR(__xludf.DUMMYFUNCTION("""COMPUTED_VALUE"""),45118.66666666667)</f>
        <v>45118.66667</v>
      </c>
      <c r="B857" s="2">
        <f>IFERROR(__xludf.DUMMYFUNCTION("""COMPUTED_VALUE"""),366.0)</f>
        <v>366</v>
      </c>
      <c r="C857" s="2">
        <f>IFERROR(__xludf.DUMMYFUNCTION("""COMPUTED_VALUE"""),374.0)</f>
        <v>374</v>
      </c>
      <c r="D857" s="2">
        <f>IFERROR(__xludf.DUMMYFUNCTION("""COMPUTED_VALUE"""),364.0)</f>
        <v>364</v>
      </c>
      <c r="E857" s="2">
        <f>IFERROR(__xludf.DUMMYFUNCTION("""COMPUTED_VALUE"""),372.0)</f>
        <v>372</v>
      </c>
      <c r="F857" s="2">
        <f>IFERROR(__xludf.DUMMYFUNCTION("""COMPUTED_VALUE"""),3.99409E7)</f>
        <v>39940900</v>
      </c>
      <c r="G857" s="2">
        <f t="shared" si="1"/>
        <v>10</v>
      </c>
    </row>
    <row r="858" ht="15.75" customHeight="1">
      <c r="A858" s="1">
        <f>IFERROR(__xludf.DUMMYFUNCTION("""COMPUTED_VALUE"""),45119.66666666667)</f>
        <v>45119.66667</v>
      </c>
      <c r="B858" s="2">
        <f>IFERROR(__xludf.DUMMYFUNCTION("""COMPUTED_VALUE"""),374.0)</f>
        <v>374</v>
      </c>
      <c r="C858" s="2">
        <f>IFERROR(__xludf.DUMMYFUNCTION("""COMPUTED_VALUE"""),380.0)</f>
        <v>380</v>
      </c>
      <c r="D858" s="2">
        <f>IFERROR(__xludf.DUMMYFUNCTION("""COMPUTED_VALUE"""),368.0)</f>
        <v>368</v>
      </c>
      <c r="E858" s="2">
        <f>IFERROR(__xludf.DUMMYFUNCTION("""COMPUTED_VALUE"""),370.0)</f>
        <v>370</v>
      </c>
      <c r="F858" s="2">
        <f>IFERROR(__xludf.DUMMYFUNCTION("""COMPUTED_VALUE"""),3.19076E7)</f>
        <v>31907600</v>
      </c>
      <c r="G858" s="2">
        <f t="shared" si="1"/>
        <v>12</v>
      </c>
    </row>
    <row r="859" ht="15.75" customHeight="1">
      <c r="A859" s="1">
        <f>IFERROR(__xludf.DUMMYFUNCTION("""COMPUTED_VALUE"""),45120.66666666667)</f>
        <v>45120.66667</v>
      </c>
      <c r="B859" s="2">
        <f>IFERROR(__xludf.DUMMYFUNCTION("""COMPUTED_VALUE"""),370.0)</f>
        <v>370</v>
      </c>
      <c r="C859" s="2">
        <f>IFERROR(__xludf.DUMMYFUNCTION("""COMPUTED_VALUE"""),376.0)</f>
        <v>376</v>
      </c>
      <c r="D859" s="2">
        <f>IFERROR(__xludf.DUMMYFUNCTION("""COMPUTED_VALUE"""),366.0)</f>
        <v>366</v>
      </c>
      <c r="E859" s="2">
        <f>IFERROR(__xludf.DUMMYFUNCTION("""COMPUTED_VALUE"""),374.0)</f>
        <v>374</v>
      </c>
      <c r="F859" s="2">
        <f>IFERROR(__xludf.DUMMYFUNCTION("""COMPUTED_VALUE"""),3.06347E7)</f>
        <v>30634700</v>
      </c>
      <c r="G859" s="2">
        <f t="shared" si="1"/>
        <v>10</v>
      </c>
    </row>
    <row r="860" ht="15.75" customHeight="1">
      <c r="A860" s="1">
        <f>IFERROR(__xludf.DUMMYFUNCTION("""COMPUTED_VALUE"""),45121.66666666667)</f>
        <v>45121.66667</v>
      </c>
      <c r="B860" s="2">
        <f>IFERROR(__xludf.DUMMYFUNCTION("""COMPUTED_VALUE"""),374.0)</f>
        <v>374</v>
      </c>
      <c r="C860" s="2">
        <f>IFERROR(__xludf.DUMMYFUNCTION("""COMPUTED_VALUE"""),380.0)</f>
        <v>380</v>
      </c>
      <c r="D860" s="2">
        <f>IFERROR(__xludf.DUMMYFUNCTION("""COMPUTED_VALUE"""),368.0)</f>
        <v>368</v>
      </c>
      <c r="E860" s="2">
        <f>IFERROR(__xludf.DUMMYFUNCTION("""COMPUTED_VALUE"""),372.0)</f>
        <v>372</v>
      </c>
      <c r="F860" s="2">
        <f>IFERROR(__xludf.DUMMYFUNCTION("""COMPUTED_VALUE"""),3.80832E7)</f>
        <v>38083200</v>
      </c>
      <c r="G860" s="2">
        <f t="shared" si="1"/>
        <v>12</v>
      </c>
    </row>
    <row r="861" ht="15.75" customHeight="1">
      <c r="A861" s="1">
        <f>IFERROR(__xludf.DUMMYFUNCTION("""COMPUTED_VALUE"""),45124.66666666667)</f>
        <v>45124.66667</v>
      </c>
      <c r="B861" s="2">
        <f>IFERROR(__xludf.DUMMYFUNCTION("""COMPUTED_VALUE"""),372.0)</f>
        <v>372</v>
      </c>
      <c r="C861" s="2">
        <f>IFERROR(__xludf.DUMMYFUNCTION("""COMPUTED_VALUE"""),376.0)</f>
        <v>376</v>
      </c>
      <c r="D861" s="2">
        <f>IFERROR(__xludf.DUMMYFUNCTION("""COMPUTED_VALUE"""),370.0)</f>
        <v>370</v>
      </c>
      <c r="E861" s="2">
        <f>IFERROR(__xludf.DUMMYFUNCTION("""COMPUTED_VALUE"""),376.0)</f>
        <v>376</v>
      </c>
      <c r="F861" s="2">
        <f>IFERROR(__xludf.DUMMYFUNCTION("""COMPUTED_VALUE"""),1.68615E7)</f>
        <v>16861500</v>
      </c>
      <c r="G861" s="2">
        <f t="shared" si="1"/>
        <v>6</v>
      </c>
    </row>
    <row r="862" ht="15.75" customHeight="1">
      <c r="A862" s="1">
        <f>IFERROR(__xludf.DUMMYFUNCTION("""COMPUTED_VALUE"""),45125.66666666667)</f>
        <v>45125.66667</v>
      </c>
      <c r="B862" s="2">
        <f>IFERROR(__xludf.DUMMYFUNCTION("""COMPUTED_VALUE"""),376.0)</f>
        <v>376</v>
      </c>
      <c r="C862" s="2">
        <f>IFERROR(__xludf.DUMMYFUNCTION("""COMPUTED_VALUE"""),380.0)</f>
        <v>380</v>
      </c>
      <c r="D862" s="2">
        <f>IFERROR(__xludf.DUMMYFUNCTION("""COMPUTED_VALUE"""),374.0)</f>
        <v>374</v>
      </c>
      <c r="E862" s="2">
        <f>IFERROR(__xludf.DUMMYFUNCTION("""COMPUTED_VALUE"""),376.0)</f>
        <v>376</v>
      </c>
      <c r="F862" s="2">
        <f>IFERROR(__xludf.DUMMYFUNCTION("""COMPUTED_VALUE"""),1.63209E7)</f>
        <v>16320900</v>
      </c>
      <c r="G862" s="2">
        <f t="shared" si="1"/>
        <v>6</v>
      </c>
    </row>
    <row r="863" ht="15.75" customHeight="1">
      <c r="A863" s="1">
        <f>IFERROR(__xludf.DUMMYFUNCTION("""COMPUTED_VALUE"""),45127.66666666667)</f>
        <v>45127.66667</v>
      </c>
      <c r="B863" s="2">
        <f>IFERROR(__xludf.DUMMYFUNCTION("""COMPUTED_VALUE"""),378.0)</f>
        <v>378</v>
      </c>
      <c r="C863" s="2">
        <f>IFERROR(__xludf.DUMMYFUNCTION("""COMPUTED_VALUE"""),380.0)</f>
        <v>380</v>
      </c>
      <c r="D863" s="2">
        <f>IFERROR(__xludf.DUMMYFUNCTION("""COMPUTED_VALUE"""),372.0)</f>
        <v>372</v>
      </c>
      <c r="E863" s="2">
        <f>IFERROR(__xludf.DUMMYFUNCTION("""COMPUTED_VALUE"""),372.0)</f>
        <v>372</v>
      </c>
      <c r="F863" s="2">
        <f>IFERROR(__xludf.DUMMYFUNCTION("""COMPUTED_VALUE"""),3.11703E7)</f>
        <v>31170300</v>
      </c>
      <c r="G863" s="2">
        <f t="shared" si="1"/>
        <v>8</v>
      </c>
    </row>
    <row r="864" ht="15.75" customHeight="1">
      <c r="A864" s="1">
        <f>IFERROR(__xludf.DUMMYFUNCTION("""COMPUTED_VALUE"""),45128.66666666667)</f>
        <v>45128.66667</v>
      </c>
      <c r="B864" s="2">
        <f>IFERROR(__xludf.DUMMYFUNCTION("""COMPUTED_VALUE"""),374.0)</f>
        <v>374</v>
      </c>
      <c r="C864" s="2">
        <f>IFERROR(__xludf.DUMMYFUNCTION("""COMPUTED_VALUE"""),392.0)</f>
        <v>392</v>
      </c>
      <c r="D864" s="2">
        <f>IFERROR(__xludf.DUMMYFUNCTION("""COMPUTED_VALUE"""),372.0)</f>
        <v>372</v>
      </c>
      <c r="E864" s="2">
        <f>IFERROR(__xludf.DUMMYFUNCTION("""COMPUTED_VALUE"""),386.0)</f>
        <v>386</v>
      </c>
      <c r="F864" s="2">
        <f>IFERROR(__xludf.DUMMYFUNCTION("""COMPUTED_VALUE"""),9.68837E7)</f>
        <v>96883700</v>
      </c>
      <c r="G864" s="2">
        <f t="shared" si="1"/>
        <v>20</v>
      </c>
    </row>
    <row r="865" ht="15.75" customHeight="1">
      <c r="A865" s="1">
        <f>IFERROR(__xludf.DUMMYFUNCTION("""COMPUTED_VALUE"""),45131.66666666667)</f>
        <v>45131.66667</v>
      </c>
      <c r="B865" s="2">
        <f>IFERROR(__xludf.DUMMYFUNCTION("""COMPUTED_VALUE"""),390.0)</f>
        <v>390</v>
      </c>
      <c r="C865" s="2">
        <f>IFERROR(__xludf.DUMMYFUNCTION("""COMPUTED_VALUE"""),392.0)</f>
        <v>392</v>
      </c>
      <c r="D865" s="2">
        <f>IFERROR(__xludf.DUMMYFUNCTION("""COMPUTED_VALUE"""),382.0)</f>
        <v>382</v>
      </c>
      <c r="E865" s="2">
        <f>IFERROR(__xludf.DUMMYFUNCTION("""COMPUTED_VALUE"""),388.0)</f>
        <v>388</v>
      </c>
      <c r="F865" s="2">
        <f>IFERROR(__xludf.DUMMYFUNCTION("""COMPUTED_VALUE"""),4.09533E7)</f>
        <v>40953300</v>
      </c>
      <c r="G865" s="2">
        <f t="shared" si="1"/>
        <v>10</v>
      </c>
    </row>
    <row r="866" ht="15.75" customHeight="1">
      <c r="A866" s="1">
        <f>IFERROR(__xludf.DUMMYFUNCTION("""COMPUTED_VALUE"""),45132.66666666667)</f>
        <v>45132.66667</v>
      </c>
      <c r="B866" s="2">
        <f>IFERROR(__xludf.DUMMYFUNCTION("""COMPUTED_VALUE"""),390.0)</f>
        <v>390</v>
      </c>
      <c r="C866" s="2">
        <f>IFERROR(__xludf.DUMMYFUNCTION("""COMPUTED_VALUE"""),394.0)</f>
        <v>394</v>
      </c>
      <c r="D866" s="2">
        <f>IFERROR(__xludf.DUMMYFUNCTION("""COMPUTED_VALUE"""),378.0)</f>
        <v>378</v>
      </c>
      <c r="E866" s="2">
        <f>IFERROR(__xludf.DUMMYFUNCTION("""COMPUTED_VALUE"""),378.0)</f>
        <v>378</v>
      </c>
      <c r="F866" s="2">
        <f>IFERROR(__xludf.DUMMYFUNCTION("""COMPUTED_VALUE"""),5.93175E7)</f>
        <v>59317500</v>
      </c>
      <c r="G866" s="2">
        <f t="shared" si="1"/>
        <v>16</v>
      </c>
    </row>
    <row r="867" ht="15.75" customHeight="1">
      <c r="A867" s="1">
        <f>IFERROR(__xludf.DUMMYFUNCTION("""COMPUTED_VALUE"""),45133.66666666667)</f>
        <v>45133.66667</v>
      </c>
      <c r="B867" s="2">
        <f>IFERROR(__xludf.DUMMYFUNCTION("""COMPUTED_VALUE"""),380.0)</f>
        <v>380</v>
      </c>
      <c r="C867" s="2">
        <f>IFERROR(__xludf.DUMMYFUNCTION("""COMPUTED_VALUE"""),386.0)</f>
        <v>386</v>
      </c>
      <c r="D867" s="2">
        <f>IFERROR(__xludf.DUMMYFUNCTION("""COMPUTED_VALUE"""),376.0)</f>
        <v>376</v>
      </c>
      <c r="E867" s="2">
        <f>IFERROR(__xludf.DUMMYFUNCTION("""COMPUTED_VALUE"""),382.0)</f>
        <v>382</v>
      </c>
      <c r="F867" s="2">
        <f>IFERROR(__xludf.DUMMYFUNCTION("""COMPUTED_VALUE"""),3.57756E7)</f>
        <v>35775600</v>
      </c>
      <c r="G867" s="2">
        <f t="shared" si="1"/>
        <v>10</v>
      </c>
    </row>
    <row r="868" ht="15.75" customHeight="1">
      <c r="A868" s="1">
        <f>IFERROR(__xludf.DUMMYFUNCTION("""COMPUTED_VALUE"""),45134.66666666667)</f>
        <v>45134.66667</v>
      </c>
      <c r="B868" s="2">
        <f>IFERROR(__xludf.DUMMYFUNCTION("""COMPUTED_VALUE"""),384.0)</f>
        <v>384</v>
      </c>
      <c r="C868" s="2">
        <f>IFERROR(__xludf.DUMMYFUNCTION("""COMPUTED_VALUE"""),388.0)</f>
        <v>388</v>
      </c>
      <c r="D868" s="2">
        <f>IFERROR(__xludf.DUMMYFUNCTION("""COMPUTED_VALUE"""),376.0)</f>
        <v>376</v>
      </c>
      <c r="E868" s="2">
        <f>IFERROR(__xludf.DUMMYFUNCTION("""COMPUTED_VALUE"""),378.0)</f>
        <v>378</v>
      </c>
      <c r="F868" s="2">
        <f>IFERROR(__xludf.DUMMYFUNCTION("""COMPUTED_VALUE"""),2.82318E7)</f>
        <v>28231800</v>
      </c>
      <c r="G868" s="2">
        <f t="shared" si="1"/>
        <v>12</v>
      </c>
    </row>
    <row r="869" ht="15.75" customHeight="1">
      <c r="A869" s="1">
        <f>IFERROR(__xludf.DUMMYFUNCTION("""COMPUTED_VALUE"""),45135.66666666667)</f>
        <v>45135.66667</v>
      </c>
      <c r="B869" s="2">
        <f>IFERROR(__xludf.DUMMYFUNCTION("""COMPUTED_VALUE"""),378.0)</f>
        <v>378</v>
      </c>
      <c r="C869" s="2">
        <f>IFERROR(__xludf.DUMMYFUNCTION("""COMPUTED_VALUE"""),382.0)</f>
        <v>382</v>
      </c>
      <c r="D869" s="2">
        <f>IFERROR(__xludf.DUMMYFUNCTION("""COMPUTED_VALUE"""),370.0)</f>
        <v>370</v>
      </c>
      <c r="E869" s="2">
        <f>IFERROR(__xludf.DUMMYFUNCTION("""COMPUTED_VALUE"""),374.0)</f>
        <v>374</v>
      </c>
      <c r="F869" s="2">
        <f>IFERROR(__xludf.DUMMYFUNCTION("""COMPUTED_VALUE"""),6.60646E7)</f>
        <v>66064600</v>
      </c>
      <c r="G869" s="2">
        <f t="shared" si="1"/>
        <v>12</v>
      </c>
    </row>
    <row r="870" ht="15.75" customHeight="1">
      <c r="A870" s="1">
        <f>IFERROR(__xludf.DUMMYFUNCTION("""COMPUTED_VALUE"""),45138.66666666667)</f>
        <v>45138.66667</v>
      </c>
      <c r="B870" s="2">
        <f>IFERROR(__xludf.DUMMYFUNCTION("""COMPUTED_VALUE"""),374.0)</f>
        <v>374</v>
      </c>
      <c r="C870" s="2">
        <f>IFERROR(__xludf.DUMMYFUNCTION("""COMPUTED_VALUE"""),394.0)</f>
        <v>394</v>
      </c>
      <c r="D870" s="2">
        <f>IFERROR(__xludf.DUMMYFUNCTION("""COMPUTED_VALUE"""),370.0)</f>
        <v>370</v>
      </c>
      <c r="E870" s="2">
        <f>IFERROR(__xludf.DUMMYFUNCTION("""COMPUTED_VALUE"""),390.0)</f>
        <v>390</v>
      </c>
      <c r="F870" s="2">
        <f>IFERROR(__xludf.DUMMYFUNCTION("""COMPUTED_VALUE"""),9.01632E7)</f>
        <v>90163200</v>
      </c>
      <c r="G870" s="2">
        <f t="shared" si="1"/>
        <v>24</v>
      </c>
    </row>
    <row r="871" ht="15.75" customHeight="1">
      <c r="A871" s="1">
        <f>IFERROR(__xludf.DUMMYFUNCTION("""COMPUTED_VALUE"""),45139.66666666667)</f>
        <v>45139.66667</v>
      </c>
      <c r="B871" s="2">
        <f>IFERROR(__xludf.DUMMYFUNCTION("""COMPUTED_VALUE"""),390.0)</f>
        <v>390</v>
      </c>
      <c r="C871" s="2">
        <f>IFERROR(__xludf.DUMMYFUNCTION("""COMPUTED_VALUE"""),396.0)</f>
        <v>396</v>
      </c>
      <c r="D871" s="2">
        <f>IFERROR(__xludf.DUMMYFUNCTION("""COMPUTED_VALUE"""),382.0)</f>
        <v>382</v>
      </c>
      <c r="E871" s="2">
        <f>IFERROR(__xludf.DUMMYFUNCTION("""COMPUTED_VALUE"""),382.0)</f>
        <v>382</v>
      </c>
      <c r="F871" s="2">
        <f>IFERROR(__xludf.DUMMYFUNCTION("""COMPUTED_VALUE"""),4.16095E7)</f>
        <v>41609500</v>
      </c>
      <c r="G871" s="2">
        <f t="shared" si="1"/>
        <v>14</v>
      </c>
    </row>
    <row r="872" ht="15.75" customHeight="1">
      <c r="A872" s="1">
        <f>IFERROR(__xludf.DUMMYFUNCTION("""COMPUTED_VALUE"""),45140.66666666667)</f>
        <v>45140.66667</v>
      </c>
      <c r="B872" s="2">
        <f>IFERROR(__xludf.DUMMYFUNCTION("""COMPUTED_VALUE"""),384.0)</f>
        <v>384</v>
      </c>
      <c r="C872" s="2">
        <f>IFERROR(__xludf.DUMMYFUNCTION("""COMPUTED_VALUE"""),386.0)</f>
        <v>386</v>
      </c>
      <c r="D872" s="2">
        <f>IFERROR(__xludf.DUMMYFUNCTION("""COMPUTED_VALUE"""),374.0)</f>
        <v>374</v>
      </c>
      <c r="E872" s="2">
        <f>IFERROR(__xludf.DUMMYFUNCTION("""COMPUTED_VALUE"""),380.0)</f>
        <v>380</v>
      </c>
      <c r="F872" s="2">
        <f>IFERROR(__xludf.DUMMYFUNCTION("""COMPUTED_VALUE"""),3.89697E7)</f>
        <v>38969700</v>
      </c>
      <c r="G872" s="2">
        <f t="shared" si="1"/>
        <v>12</v>
      </c>
    </row>
    <row r="873" ht="15.75" customHeight="1">
      <c r="A873" s="1">
        <f>IFERROR(__xludf.DUMMYFUNCTION("""COMPUTED_VALUE"""),45141.66666666667)</f>
        <v>45141.66667</v>
      </c>
      <c r="B873" s="2">
        <f>IFERROR(__xludf.DUMMYFUNCTION("""COMPUTED_VALUE"""),380.0)</f>
        <v>380</v>
      </c>
      <c r="C873" s="2">
        <f>IFERROR(__xludf.DUMMYFUNCTION("""COMPUTED_VALUE"""),382.0)</f>
        <v>382</v>
      </c>
      <c r="D873" s="2">
        <f>IFERROR(__xludf.DUMMYFUNCTION("""COMPUTED_VALUE"""),376.0)</f>
        <v>376</v>
      </c>
      <c r="E873" s="2">
        <f>IFERROR(__xludf.DUMMYFUNCTION("""COMPUTED_VALUE"""),382.0)</f>
        <v>382</v>
      </c>
      <c r="F873" s="2">
        <f>IFERROR(__xludf.DUMMYFUNCTION("""COMPUTED_VALUE"""),1.22991E7)</f>
        <v>12299100</v>
      </c>
      <c r="G873" s="2">
        <f t="shared" si="1"/>
        <v>6</v>
      </c>
    </row>
    <row r="874" ht="15.75" customHeight="1">
      <c r="A874" s="1">
        <f>IFERROR(__xludf.DUMMYFUNCTION("""COMPUTED_VALUE"""),45142.66666666667)</f>
        <v>45142.66667</v>
      </c>
      <c r="B874" s="2">
        <f>IFERROR(__xludf.DUMMYFUNCTION("""COMPUTED_VALUE"""),382.0)</f>
        <v>382</v>
      </c>
      <c r="C874" s="2">
        <f>IFERROR(__xludf.DUMMYFUNCTION("""COMPUTED_VALUE"""),396.0)</f>
        <v>396</v>
      </c>
      <c r="D874" s="2">
        <f>IFERROR(__xludf.DUMMYFUNCTION("""COMPUTED_VALUE"""),382.0)</f>
        <v>382</v>
      </c>
      <c r="E874" s="2">
        <f>IFERROR(__xludf.DUMMYFUNCTION("""COMPUTED_VALUE"""),394.0)</f>
        <v>394</v>
      </c>
      <c r="F874" s="2">
        <f>IFERROR(__xludf.DUMMYFUNCTION("""COMPUTED_VALUE"""),8.23679E7)</f>
        <v>82367900</v>
      </c>
      <c r="G874" s="2">
        <f t="shared" si="1"/>
        <v>14</v>
      </c>
    </row>
    <row r="875" ht="15.75" customHeight="1">
      <c r="A875" s="1">
        <f>IFERROR(__xludf.DUMMYFUNCTION("""COMPUTED_VALUE"""),45145.66666666667)</f>
        <v>45145.66667</v>
      </c>
      <c r="B875" s="2">
        <f>IFERROR(__xludf.DUMMYFUNCTION("""COMPUTED_VALUE"""),396.0)</f>
        <v>396</v>
      </c>
      <c r="C875" s="2">
        <f>IFERROR(__xludf.DUMMYFUNCTION("""COMPUTED_VALUE"""),416.0)</f>
        <v>416</v>
      </c>
      <c r="D875" s="2">
        <f>IFERROR(__xludf.DUMMYFUNCTION("""COMPUTED_VALUE"""),394.0)</f>
        <v>394</v>
      </c>
      <c r="E875" s="2">
        <f>IFERROR(__xludf.DUMMYFUNCTION("""COMPUTED_VALUE"""),406.0)</f>
        <v>406</v>
      </c>
      <c r="F875" s="2">
        <f>IFERROR(__xludf.DUMMYFUNCTION("""COMPUTED_VALUE"""),1.238481E8)</f>
        <v>123848100</v>
      </c>
      <c r="G875" s="2">
        <f t="shared" si="1"/>
        <v>22</v>
      </c>
    </row>
    <row r="876" ht="15.75" customHeight="1">
      <c r="A876" s="1">
        <f>IFERROR(__xludf.DUMMYFUNCTION("""COMPUTED_VALUE"""),45146.66666666667)</f>
        <v>45146.66667</v>
      </c>
      <c r="B876" s="2">
        <f>IFERROR(__xludf.DUMMYFUNCTION("""COMPUTED_VALUE"""),408.0)</f>
        <v>408</v>
      </c>
      <c r="C876" s="2">
        <f>IFERROR(__xludf.DUMMYFUNCTION("""COMPUTED_VALUE"""),410.0)</f>
        <v>410</v>
      </c>
      <c r="D876" s="2">
        <f>IFERROR(__xludf.DUMMYFUNCTION("""COMPUTED_VALUE"""),400.0)</f>
        <v>400</v>
      </c>
      <c r="E876" s="2">
        <f>IFERROR(__xludf.DUMMYFUNCTION("""COMPUTED_VALUE"""),402.0)</f>
        <v>402</v>
      </c>
      <c r="F876" s="2">
        <f>IFERROR(__xludf.DUMMYFUNCTION("""COMPUTED_VALUE"""),3.65352E7)</f>
        <v>36535200</v>
      </c>
      <c r="G876" s="2">
        <f t="shared" si="1"/>
        <v>10</v>
      </c>
    </row>
    <row r="877" ht="15.75" customHeight="1">
      <c r="A877" s="1">
        <f>IFERROR(__xludf.DUMMYFUNCTION("""COMPUTED_VALUE"""),45147.66666666667)</f>
        <v>45147.66667</v>
      </c>
      <c r="B877" s="2">
        <f>IFERROR(__xludf.DUMMYFUNCTION("""COMPUTED_VALUE"""),402.0)</f>
        <v>402</v>
      </c>
      <c r="C877" s="2">
        <f>IFERROR(__xludf.DUMMYFUNCTION("""COMPUTED_VALUE"""),408.0)</f>
        <v>408</v>
      </c>
      <c r="D877" s="2">
        <f>IFERROR(__xludf.DUMMYFUNCTION("""COMPUTED_VALUE"""),400.0)</f>
        <v>400</v>
      </c>
      <c r="E877" s="2">
        <f>IFERROR(__xludf.DUMMYFUNCTION("""COMPUTED_VALUE"""),408.0)</f>
        <v>408</v>
      </c>
      <c r="F877" s="2">
        <f>IFERROR(__xludf.DUMMYFUNCTION("""COMPUTED_VALUE"""),3.21607E7)</f>
        <v>32160700</v>
      </c>
      <c r="G877" s="2">
        <f t="shared" si="1"/>
        <v>8</v>
      </c>
    </row>
    <row r="878" ht="15.75" customHeight="1">
      <c r="A878" s="1">
        <f>IFERROR(__xludf.DUMMYFUNCTION("""COMPUTED_VALUE"""),45148.66666666667)</f>
        <v>45148.66667</v>
      </c>
      <c r="B878" s="2">
        <f>IFERROR(__xludf.DUMMYFUNCTION("""COMPUTED_VALUE"""),410.0)</f>
        <v>410</v>
      </c>
      <c r="C878" s="2">
        <f>IFERROR(__xludf.DUMMYFUNCTION("""COMPUTED_VALUE"""),416.0)</f>
        <v>416</v>
      </c>
      <c r="D878" s="2">
        <f>IFERROR(__xludf.DUMMYFUNCTION("""COMPUTED_VALUE"""),404.0)</f>
        <v>404</v>
      </c>
      <c r="E878" s="2">
        <f>IFERROR(__xludf.DUMMYFUNCTION("""COMPUTED_VALUE"""),410.0)</f>
        <v>410</v>
      </c>
      <c r="F878" s="2">
        <f>IFERROR(__xludf.DUMMYFUNCTION("""COMPUTED_VALUE"""),4.08145E7)</f>
        <v>40814500</v>
      </c>
      <c r="G878" s="2">
        <f t="shared" si="1"/>
        <v>12</v>
      </c>
    </row>
    <row r="879" ht="15.75" customHeight="1">
      <c r="A879" s="1">
        <f>IFERROR(__xludf.DUMMYFUNCTION("""COMPUTED_VALUE"""),45149.66666666667)</f>
        <v>45149.66667</v>
      </c>
      <c r="B879" s="2">
        <f>IFERROR(__xludf.DUMMYFUNCTION("""COMPUTED_VALUE"""),410.0)</f>
        <v>410</v>
      </c>
      <c r="C879" s="2">
        <f>IFERROR(__xludf.DUMMYFUNCTION("""COMPUTED_VALUE"""),416.0)</f>
        <v>416</v>
      </c>
      <c r="D879" s="2">
        <f>IFERROR(__xludf.DUMMYFUNCTION("""COMPUTED_VALUE"""),408.0)</f>
        <v>408</v>
      </c>
      <c r="E879" s="2">
        <f>IFERROR(__xludf.DUMMYFUNCTION("""COMPUTED_VALUE"""),410.0)</f>
        <v>410</v>
      </c>
      <c r="F879" s="2">
        <f>IFERROR(__xludf.DUMMYFUNCTION("""COMPUTED_VALUE"""),4.01135E7)</f>
        <v>40113500</v>
      </c>
      <c r="G879" s="2">
        <f t="shared" si="1"/>
        <v>8</v>
      </c>
    </row>
    <row r="880" ht="15.75" customHeight="1">
      <c r="A880" s="1">
        <f>IFERROR(__xludf.DUMMYFUNCTION("""COMPUTED_VALUE"""),45152.66666666667)</f>
        <v>45152.66667</v>
      </c>
      <c r="B880" s="2">
        <f>IFERROR(__xludf.DUMMYFUNCTION("""COMPUTED_VALUE"""),412.0)</f>
        <v>412</v>
      </c>
      <c r="C880" s="2">
        <f>IFERROR(__xludf.DUMMYFUNCTION("""COMPUTED_VALUE"""),414.0)</f>
        <v>414</v>
      </c>
      <c r="D880" s="2">
        <f>IFERROR(__xludf.DUMMYFUNCTION("""COMPUTED_VALUE"""),400.0)</f>
        <v>400</v>
      </c>
      <c r="E880" s="2">
        <f>IFERROR(__xludf.DUMMYFUNCTION("""COMPUTED_VALUE"""),400.0)</f>
        <v>400</v>
      </c>
      <c r="F880" s="2">
        <f>IFERROR(__xludf.DUMMYFUNCTION("""COMPUTED_VALUE"""),4.40772E7)</f>
        <v>44077200</v>
      </c>
      <c r="G880" s="2">
        <f t="shared" si="1"/>
        <v>14</v>
      </c>
    </row>
    <row r="881" ht="15.75" customHeight="1">
      <c r="A881" s="1">
        <f>IFERROR(__xludf.DUMMYFUNCTION("""COMPUTED_VALUE"""),45153.66666666667)</f>
        <v>45153.66667</v>
      </c>
      <c r="B881" s="2">
        <f>IFERROR(__xludf.DUMMYFUNCTION("""COMPUTED_VALUE"""),402.0)</f>
        <v>402</v>
      </c>
      <c r="C881" s="2">
        <f>IFERROR(__xludf.DUMMYFUNCTION("""COMPUTED_VALUE"""),410.0)</f>
        <v>410</v>
      </c>
      <c r="D881" s="2">
        <f>IFERROR(__xludf.DUMMYFUNCTION("""COMPUTED_VALUE"""),398.0)</f>
        <v>398</v>
      </c>
      <c r="E881" s="2">
        <f>IFERROR(__xludf.DUMMYFUNCTION("""COMPUTED_VALUE"""),402.0)</f>
        <v>402</v>
      </c>
      <c r="F881" s="2">
        <f>IFERROR(__xludf.DUMMYFUNCTION("""COMPUTED_VALUE"""),4.19951E7)</f>
        <v>41995100</v>
      </c>
      <c r="G881" s="2">
        <f t="shared" si="1"/>
        <v>12</v>
      </c>
    </row>
    <row r="882" ht="15.75" customHeight="1">
      <c r="A882" s="1">
        <f>IFERROR(__xludf.DUMMYFUNCTION("""COMPUTED_VALUE"""),45154.66666666667)</f>
        <v>45154.66667</v>
      </c>
      <c r="B882" s="2">
        <f>IFERROR(__xludf.DUMMYFUNCTION("""COMPUTED_VALUE"""),402.0)</f>
        <v>402</v>
      </c>
      <c r="C882" s="2">
        <f>IFERROR(__xludf.DUMMYFUNCTION("""COMPUTED_VALUE"""),404.0)</f>
        <v>404</v>
      </c>
      <c r="D882" s="2">
        <f>IFERROR(__xludf.DUMMYFUNCTION("""COMPUTED_VALUE"""),392.0)</f>
        <v>392</v>
      </c>
      <c r="E882" s="2">
        <f>IFERROR(__xludf.DUMMYFUNCTION("""COMPUTED_VALUE"""),398.0)</f>
        <v>398</v>
      </c>
      <c r="F882" s="2">
        <f>IFERROR(__xludf.DUMMYFUNCTION("""COMPUTED_VALUE"""),4.57325E7)</f>
        <v>45732500</v>
      </c>
      <c r="G882" s="2">
        <f t="shared" si="1"/>
        <v>12</v>
      </c>
    </row>
    <row r="883" ht="15.75" customHeight="1">
      <c r="A883" s="1">
        <f>IFERROR(__xludf.DUMMYFUNCTION("""COMPUTED_VALUE"""),45156.66666666667)</f>
        <v>45156.66667</v>
      </c>
      <c r="B883" s="2">
        <f>IFERROR(__xludf.DUMMYFUNCTION("""COMPUTED_VALUE"""),398.0)</f>
        <v>398</v>
      </c>
      <c r="C883" s="2">
        <f>IFERROR(__xludf.DUMMYFUNCTION("""COMPUTED_VALUE"""),398.0)</f>
        <v>398</v>
      </c>
      <c r="D883" s="2">
        <f>IFERROR(__xludf.DUMMYFUNCTION("""COMPUTED_VALUE"""),384.0)</f>
        <v>384</v>
      </c>
      <c r="E883" s="2">
        <f>IFERROR(__xludf.DUMMYFUNCTION("""COMPUTED_VALUE"""),390.0)</f>
        <v>390</v>
      </c>
      <c r="F883" s="2">
        <f>IFERROR(__xludf.DUMMYFUNCTION("""COMPUTED_VALUE"""),7.94883E7)</f>
        <v>79488300</v>
      </c>
      <c r="G883" s="2">
        <f t="shared" si="1"/>
        <v>14</v>
      </c>
    </row>
    <row r="884" ht="15.75" customHeight="1">
      <c r="A884" s="1">
        <f>IFERROR(__xludf.DUMMYFUNCTION("""COMPUTED_VALUE"""),45159.66666666667)</f>
        <v>45159.66667</v>
      </c>
      <c r="B884" s="2">
        <f>IFERROR(__xludf.DUMMYFUNCTION("""COMPUTED_VALUE"""),390.0)</f>
        <v>390</v>
      </c>
      <c r="C884" s="2">
        <f>IFERROR(__xludf.DUMMYFUNCTION("""COMPUTED_VALUE"""),390.0)</f>
        <v>390</v>
      </c>
      <c r="D884" s="2">
        <f>IFERROR(__xludf.DUMMYFUNCTION("""COMPUTED_VALUE"""),380.0)</f>
        <v>380</v>
      </c>
      <c r="E884" s="2">
        <f>IFERROR(__xludf.DUMMYFUNCTION("""COMPUTED_VALUE"""),386.0)</f>
        <v>386</v>
      </c>
      <c r="F884" s="2">
        <f>IFERROR(__xludf.DUMMYFUNCTION("""COMPUTED_VALUE"""),4.92597E7)</f>
        <v>49259700</v>
      </c>
      <c r="G884" s="2">
        <f t="shared" si="1"/>
        <v>10</v>
      </c>
    </row>
    <row r="885" ht="15.75" customHeight="1">
      <c r="A885" s="1">
        <f>IFERROR(__xludf.DUMMYFUNCTION("""COMPUTED_VALUE"""),45160.66666666667)</f>
        <v>45160.66667</v>
      </c>
      <c r="B885" s="2">
        <f>IFERROR(__xludf.DUMMYFUNCTION("""COMPUTED_VALUE"""),386.0)</f>
        <v>386</v>
      </c>
      <c r="C885" s="2">
        <f>IFERROR(__xludf.DUMMYFUNCTION("""COMPUTED_VALUE"""),400.0)</f>
        <v>400</v>
      </c>
      <c r="D885" s="2">
        <f>IFERROR(__xludf.DUMMYFUNCTION("""COMPUTED_VALUE"""),386.0)</f>
        <v>386</v>
      </c>
      <c r="E885" s="2">
        <f>IFERROR(__xludf.DUMMYFUNCTION("""COMPUTED_VALUE"""),390.0)</f>
        <v>390</v>
      </c>
      <c r="F885" s="2">
        <f>IFERROR(__xludf.DUMMYFUNCTION("""COMPUTED_VALUE"""),1.78127E7)</f>
        <v>17812700</v>
      </c>
      <c r="G885" s="2">
        <f t="shared" si="1"/>
        <v>14</v>
      </c>
    </row>
    <row r="886" ht="15.75" customHeight="1">
      <c r="A886" s="1">
        <f>IFERROR(__xludf.DUMMYFUNCTION("""COMPUTED_VALUE"""),45161.66666666667)</f>
        <v>45161.66667</v>
      </c>
      <c r="B886" s="2">
        <f>IFERROR(__xludf.DUMMYFUNCTION("""COMPUTED_VALUE"""),390.0)</f>
        <v>390</v>
      </c>
      <c r="C886" s="2">
        <f>IFERROR(__xludf.DUMMYFUNCTION("""COMPUTED_VALUE"""),396.0)</f>
        <v>396</v>
      </c>
      <c r="D886" s="2">
        <f>IFERROR(__xludf.DUMMYFUNCTION("""COMPUTED_VALUE"""),388.0)</f>
        <v>388</v>
      </c>
      <c r="E886" s="2">
        <f>IFERROR(__xludf.DUMMYFUNCTION("""COMPUTED_VALUE"""),392.0)</f>
        <v>392</v>
      </c>
      <c r="F886" s="2">
        <f>IFERROR(__xludf.DUMMYFUNCTION("""COMPUTED_VALUE"""),2.9244E7)</f>
        <v>29244000</v>
      </c>
      <c r="G886" s="2">
        <f t="shared" si="1"/>
        <v>8</v>
      </c>
    </row>
    <row r="887" ht="15.75" customHeight="1">
      <c r="A887" s="1">
        <f>IFERROR(__xludf.DUMMYFUNCTION("""COMPUTED_VALUE"""),45162.66666666667)</f>
        <v>45162.66667</v>
      </c>
      <c r="B887" s="2">
        <f>IFERROR(__xludf.DUMMYFUNCTION("""COMPUTED_VALUE"""),392.0)</f>
        <v>392</v>
      </c>
      <c r="C887" s="2">
        <f>IFERROR(__xludf.DUMMYFUNCTION("""COMPUTED_VALUE"""),394.0)</f>
        <v>394</v>
      </c>
      <c r="D887" s="2">
        <f>IFERROR(__xludf.DUMMYFUNCTION("""COMPUTED_VALUE"""),388.0)</f>
        <v>388</v>
      </c>
      <c r="E887" s="2">
        <f>IFERROR(__xludf.DUMMYFUNCTION("""COMPUTED_VALUE"""),394.0)</f>
        <v>394</v>
      </c>
      <c r="F887" s="2">
        <f>IFERROR(__xludf.DUMMYFUNCTION("""COMPUTED_VALUE"""),3.02524E7)</f>
        <v>30252400</v>
      </c>
      <c r="G887" s="2">
        <f t="shared" si="1"/>
        <v>6</v>
      </c>
    </row>
    <row r="888" ht="15.75" customHeight="1">
      <c r="A888" s="1">
        <f>IFERROR(__xludf.DUMMYFUNCTION("""COMPUTED_VALUE"""),45163.66666666667)</f>
        <v>45163.66667</v>
      </c>
      <c r="B888" s="2">
        <f>IFERROR(__xludf.DUMMYFUNCTION("""COMPUTED_VALUE"""),394.0)</f>
        <v>394</v>
      </c>
      <c r="C888" s="2">
        <f>IFERROR(__xludf.DUMMYFUNCTION("""COMPUTED_VALUE"""),394.0)</f>
        <v>394</v>
      </c>
      <c r="D888" s="2">
        <f>IFERROR(__xludf.DUMMYFUNCTION("""COMPUTED_VALUE"""),386.0)</f>
        <v>386</v>
      </c>
      <c r="E888" s="2">
        <f>IFERROR(__xludf.DUMMYFUNCTION("""COMPUTED_VALUE"""),390.0)</f>
        <v>390</v>
      </c>
      <c r="F888" s="2">
        <f>IFERROR(__xludf.DUMMYFUNCTION("""COMPUTED_VALUE"""),2.46121E7)</f>
        <v>24612100</v>
      </c>
      <c r="G888" s="2">
        <f t="shared" si="1"/>
        <v>8</v>
      </c>
    </row>
    <row r="889" ht="15.75" customHeight="1">
      <c r="A889" s="1">
        <f>IFERROR(__xludf.DUMMYFUNCTION("""COMPUTED_VALUE"""),45166.66666666667)</f>
        <v>45166.66667</v>
      </c>
      <c r="B889" s="2">
        <f>IFERROR(__xludf.DUMMYFUNCTION("""COMPUTED_VALUE"""),390.0)</f>
        <v>390</v>
      </c>
      <c r="C889" s="2">
        <f>IFERROR(__xludf.DUMMYFUNCTION("""COMPUTED_VALUE"""),392.0)</f>
        <v>392</v>
      </c>
      <c r="D889" s="2">
        <f>IFERROR(__xludf.DUMMYFUNCTION("""COMPUTED_VALUE"""),386.0)</f>
        <v>386</v>
      </c>
      <c r="E889" s="2">
        <f>IFERROR(__xludf.DUMMYFUNCTION("""COMPUTED_VALUE"""),392.0)</f>
        <v>392</v>
      </c>
      <c r="F889" s="2">
        <f>IFERROR(__xludf.DUMMYFUNCTION("""COMPUTED_VALUE"""),1.46977E7)</f>
        <v>14697700</v>
      </c>
      <c r="G889" s="2">
        <f t="shared" si="1"/>
        <v>6</v>
      </c>
    </row>
    <row r="890" ht="15.75" customHeight="1">
      <c r="A890" s="1">
        <f>IFERROR(__xludf.DUMMYFUNCTION("""COMPUTED_VALUE"""),45167.66666666667)</f>
        <v>45167.66667</v>
      </c>
      <c r="B890" s="2">
        <f>IFERROR(__xludf.DUMMYFUNCTION("""COMPUTED_VALUE"""),394.0)</f>
        <v>394</v>
      </c>
      <c r="C890" s="2">
        <f>IFERROR(__xludf.DUMMYFUNCTION("""COMPUTED_VALUE"""),396.0)</f>
        <v>396</v>
      </c>
      <c r="D890" s="2">
        <f>IFERROR(__xludf.DUMMYFUNCTION("""COMPUTED_VALUE"""),388.0)</f>
        <v>388</v>
      </c>
      <c r="E890" s="2">
        <f>IFERROR(__xludf.DUMMYFUNCTION("""COMPUTED_VALUE"""),390.0)</f>
        <v>390</v>
      </c>
      <c r="F890" s="2">
        <f>IFERROR(__xludf.DUMMYFUNCTION("""COMPUTED_VALUE"""),1.18087E7)</f>
        <v>11808700</v>
      </c>
      <c r="G890" s="2">
        <f t="shared" si="1"/>
        <v>8</v>
      </c>
    </row>
    <row r="891" ht="15.75" customHeight="1">
      <c r="A891" s="1">
        <f>IFERROR(__xludf.DUMMYFUNCTION("""COMPUTED_VALUE"""),45168.66666666667)</f>
        <v>45168.66667</v>
      </c>
      <c r="B891" s="2">
        <f>IFERROR(__xludf.DUMMYFUNCTION("""COMPUTED_VALUE"""),390.0)</f>
        <v>390</v>
      </c>
      <c r="C891" s="2">
        <f>IFERROR(__xludf.DUMMYFUNCTION("""COMPUTED_VALUE"""),394.0)</f>
        <v>394</v>
      </c>
      <c r="D891" s="2">
        <f>IFERROR(__xludf.DUMMYFUNCTION("""COMPUTED_VALUE"""),388.0)</f>
        <v>388</v>
      </c>
      <c r="E891" s="2">
        <f>IFERROR(__xludf.DUMMYFUNCTION("""COMPUTED_VALUE"""),388.0)</f>
        <v>388</v>
      </c>
      <c r="F891" s="2">
        <f>IFERROR(__xludf.DUMMYFUNCTION("""COMPUTED_VALUE"""),1.55869E7)</f>
        <v>15586900</v>
      </c>
      <c r="G891" s="2">
        <f t="shared" si="1"/>
        <v>6</v>
      </c>
    </row>
    <row r="892" ht="15.75" customHeight="1">
      <c r="A892" s="1">
        <f>IFERROR(__xludf.DUMMYFUNCTION("""COMPUTED_VALUE"""),45169.66666666667)</f>
        <v>45169.66667</v>
      </c>
      <c r="B892" s="2">
        <f>IFERROR(__xludf.DUMMYFUNCTION("""COMPUTED_VALUE"""),388.0)</f>
        <v>388</v>
      </c>
      <c r="C892" s="2">
        <f>IFERROR(__xludf.DUMMYFUNCTION("""COMPUTED_VALUE"""),392.0)</f>
        <v>392</v>
      </c>
      <c r="D892" s="2">
        <f>IFERROR(__xludf.DUMMYFUNCTION("""COMPUTED_VALUE"""),388.0)</f>
        <v>388</v>
      </c>
      <c r="E892" s="2">
        <f>IFERROR(__xludf.DUMMYFUNCTION("""COMPUTED_VALUE"""),390.0)</f>
        <v>390</v>
      </c>
      <c r="F892" s="2">
        <f>IFERROR(__xludf.DUMMYFUNCTION("""COMPUTED_VALUE"""),1.15026E7)</f>
        <v>11502600</v>
      </c>
      <c r="G892" s="2">
        <f t="shared" si="1"/>
        <v>4</v>
      </c>
    </row>
    <row r="893" ht="15.75" customHeight="1">
      <c r="A893" s="1">
        <f>IFERROR(__xludf.DUMMYFUNCTION("""COMPUTED_VALUE"""),45170.66666666667)</f>
        <v>45170.66667</v>
      </c>
      <c r="B893" s="2">
        <f>IFERROR(__xludf.DUMMYFUNCTION("""COMPUTED_VALUE"""),392.0)</f>
        <v>392</v>
      </c>
      <c r="C893" s="2">
        <f>IFERROR(__xludf.DUMMYFUNCTION("""COMPUTED_VALUE"""),424.0)</f>
        <v>424</v>
      </c>
      <c r="D893" s="2">
        <f>IFERROR(__xludf.DUMMYFUNCTION("""COMPUTED_VALUE"""),392.0)</f>
        <v>392</v>
      </c>
      <c r="E893" s="2">
        <f>IFERROR(__xludf.DUMMYFUNCTION("""COMPUTED_VALUE"""),410.0)</f>
        <v>410</v>
      </c>
      <c r="F893" s="2">
        <f>IFERROR(__xludf.DUMMYFUNCTION("""COMPUTED_VALUE"""),2.659425E8)</f>
        <v>265942500</v>
      </c>
      <c r="G893" s="2">
        <f t="shared" si="1"/>
        <v>34</v>
      </c>
    </row>
    <row r="894" ht="15.75" customHeight="1">
      <c r="A894" s="1">
        <f>IFERROR(__xludf.DUMMYFUNCTION("""COMPUTED_VALUE"""),45173.66666666667)</f>
        <v>45173.66667</v>
      </c>
      <c r="B894" s="2">
        <f>IFERROR(__xludf.DUMMYFUNCTION("""COMPUTED_VALUE"""),414.0)</f>
        <v>414</v>
      </c>
      <c r="C894" s="2">
        <f>IFERROR(__xludf.DUMMYFUNCTION("""COMPUTED_VALUE"""),420.0)</f>
        <v>420</v>
      </c>
      <c r="D894" s="2">
        <f>IFERROR(__xludf.DUMMYFUNCTION("""COMPUTED_VALUE"""),406.0)</f>
        <v>406</v>
      </c>
      <c r="E894" s="2">
        <f>IFERROR(__xludf.DUMMYFUNCTION("""COMPUTED_VALUE"""),414.0)</f>
        <v>414</v>
      </c>
      <c r="F894" s="2">
        <f>IFERROR(__xludf.DUMMYFUNCTION("""COMPUTED_VALUE"""),8.25976E7)</f>
        <v>82597600</v>
      </c>
      <c r="G894" s="2">
        <f t="shared" si="1"/>
        <v>14</v>
      </c>
    </row>
    <row r="895" ht="15.75" customHeight="1">
      <c r="A895" s="1">
        <f>IFERROR(__xludf.DUMMYFUNCTION("""COMPUTED_VALUE"""),45174.66666666667)</f>
        <v>45174.66667</v>
      </c>
      <c r="B895" s="2">
        <f>IFERROR(__xludf.DUMMYFUNCTION("""COMPUTED_VALUE"""),416.0)</f>
        <v>416</v>
      </c>
      <c r="C895" s="2">
        <f>IFERROR(__xludf.DUMMYFUNCTION("""COMPUTED_VALUE"""),418.0)</f>
        <v>418</v>
      </c>
      <c r="D895" s="2">
        <f>IFERROR(__xludf.DUMMYFUNCTION("""COMPUTED_VALUE"""),406.0)</f>
        <v>406</v>
      </c>
      <c r="E895" s="2">
        <f>IFERROR(__xludf.DUMMYFUNCTION("""COMPUTED_VALUE"""),408.0)</f>
        <v>408</v>
      </c>
      <c r="F895" s="2">
        <f>IFERROR(__xludf.DUMMYFUNCTION("""COMPUTED_VALUE"""),4.01121E7)</f>
        <v>40112100</v>
      </c>
      <c r="G895" s="2">
        <f t="shared" si="1"/>
        <v>12</v>
      </c>
    </row>
    <row r="896" ht="15.75" customHeight="1">
      <c r="A896" s="1">
        <f>IFERROR(__xludf.DUMMYFUNCTION("""COMPUTED_VALUE"""),45175.66666666667)</f>
        <v>45175.66667</v>
      </c>
      <c r="B896" s="2">
        <f>IFERROR(__xludf.DUMMYFUNCTION("""COMPUTED_VALUE"""),420.0)</f>
        <v>420</v>
      </c>
      <c r="C896" s="2">
        <f>IFERROR(__xludf.DUMMYFUNCTION("""COMPUTED_VALUE"""),426.0)</f>
        <v>426</v>
      </c>
      <c r="D896" s="2">
        <f>IFERROR(__xludf.DUMMYFUNCTION("""COMPUTED_VALUE"""),412.0)</f>
        <v>412</v>
      </c>
      <c r="E896" s="2">
        <f>IFERROR(__xludf.DUMMYFUNCTION("""COMPUTED_VALUE"""),416.0)</f>
        <v>416</v>
      </c>
      <c r="F896" s="2">
        <f>IFERROR(__xludf.DUMMYFUNCTION("""COMPUTED_VALUE"""),1.051555E8)</f>
        <v>105155500</v>
      </c>
      <c r="G896" s="2">
        <f t="shared" si="1"/>
        <v>18</v>
      </c>
    </row>
    <row r="897" ht="15.75" customHeight="1">
      <c r="A897" s="1">
        <f>IFERROR(__xludf.DUMMYFUNCTION("""COMPUTED_VALUE"""),45176.66666666667)</f>
        <v>45176.66667</v>
      </c>
      <c r="B897" s="2">
        <f>IFERROR(__xludf.DUMMYFUNCTION("""COMPUTED_VALUE"""),414.0)</f>
        <v>414</v>
      </c>
      <c r="C897" s="2">
        <f>IFERROR(__xludf.DUMMYFUNCTION("""COMPUTED_VALUE"""),424.0)</f>
        <v>424</v>
      </c>
      <c r="D897" s="2">
        <f>IFERROR(__xludf.DUMMYFUNCTION("""COMPUTED_VALUE"""),412.0)</f>
        <v>412</v>
      </c>
      <c r="E897" s="2">
        <f>IFERROR(__xludf.DUMMYFUNCTION("""COMPUTED_VALUE"""),412.0)</f>
        <v>412</v>
      </c>
      <c r="F897" s="2">
        <f>IFERROR(__xludf.DUMMYFUNCTION("""COMPUTED_VALUE"""),2.95862E7)</f>
        <v>29586200</v>
      </c>
      <c r="G897" s="2">
        <f t="shared" si="1"/>
        <v>12</v>
      </c>
    </row>
    <row r="898" ht="15.75" customHeight="1">
      <c r="A898" s="1">
        <f>IFERROR(__xludf.DUMMYFUNCTION("""COMPUTED_VALUE"""),45177.66666666667)</f>
        <v>45177.66667</v>
      </c>
      <c r="B898" s="2">
        <f>IFERROR(__xludf.DUMMYFUNCTION("""COMPUTED_VALUE"""),412.0)</f>
        <v>412</v>
      </c>
      <c r="C898" s="2">
        <f>IFERROR(__xludf.DUMMYFUNCTION("""COMPUTED_VALUE"""),416.0)</f>
        <v>416</v>
      </c>
      <c r="D898" s="2">
        <f>IFERROR(__xludf.DUMMYFUNCTION("""COMPUTED_VALUE"""),406.0)</f>
        <v>406</v>
      </c>
      <c r="E898" s="2">
        <f>IFERROR(__xludf.DUMMYFUNCTION("""COMPUTED_VALUE"""),416.0)</f>
        <v>416</v>
      </c>
      <c r="F898" s="2">
        <f>IFERROR(__xludf.DUMMYFUNCTION("""COMPUTED_VALUE"""),3.7607E7)</f>
        <v>37607000</v>
      </c>
      <c r="G898" s="2">
        <f t="shared" si="1"/>
        <v>10</v>
      </c>
    </row>
    <row r="899" ht="15.75" customHeight="1">
      <c r="A899" s="1">
        <f>IFERROR(__xludf.DUMMYFUNCTION("""COMPUTED_VALUE"""),45180.66666666667)</f>
        <v>45180.66667</v>
      </c>
      <c r="B899" s="2">
        <f>IFERROR(__xludf.DUMMYFUNCTION("""COMPUTED_VALUE"""),420.0)</f>
        <v>420</v>
      </c>
      <c r="C899" s="2">
        <f>IFERROR(__xludf.DUMMYFUNCTION("""COMPUTED_VALUE"""),420.0)</f>
        <v>420</v>
      </c>
      <c r="D899" s="2">
        <f>IFERROR(__xludf.DUMMYFUNCTION("""COMPUTED_VALUE"""),410.0)</f>
        <v>410</v>
      </c>
      <c r="E899" s="2">
        <f>IFERROR(__xludf.DUMMYFUNCTION("""COMPUTED_VALUE"""),416.0)</f>
        <v>416</v>
      </c>
      <c r="F899" s="2">
        <f>IFERROR(__xludf.DUMMYFUNCTION("""COMPUTED_VALUE"""),2.12819E7)</f>
        <v>21281900</v>
      </c>
      <c r="G899" s="2">
        <f t="shared" si="1"/>
        <v>10</v>
      </c>
    </row>
    <row r="900" ht="15.75" customHeight="1">
      <c r="A900" s="1">
        <f>IFERROR(__xludf.DUMMYFUNCTION("""COMPUTED_VALUE"""),45181.66666666667)</f>
        <v>45181.66667</v>
      </c>
      <c r="B900" s="2">
        <f>IFERROR(__xludf.DUMMYFUNCTION("""COMPUTED_VALUE"""),414.0)</f>
        <v>414</v>
      </c>
      <c r="C900" s="2">
        <f>IFERROR(__xludf.DUMMYFUNCTION("""COMPUTED_VALUE"""),434.0)</f>
        <v>434</v>
      </c>
      <c r="D900" s="2">
        <f>IFERROR(__xludf.DUMMYFUNCTION("""COMPUTED_VALUE"""),414.0)</f>
        <v>414</v>
      </c>
      <c r="E900" s="2">
        <f>IFERROR(__xludf.DUMMYFUNCTION("""COMPUTED_VALUE"""),424.0)</f>
        <v>424</v>
      </c>
      <c r="F900" s="2">
        <f>IFERROR(__xludf.DUMMYFUNCTION("""COMPUTED_VALUE"""),1.02838E8)</f>
        <v>102838000</v>
      </c>
      <c r="G900" s="2">
        <f t="shared" si="1"/>
        <v>20</v>
      </c>
    </row>
    <row r="901" ht="15.75" customHeight="1">
      <c r="A901" s="1">
        <f>IFERROR(__xludf.DUMMYFUNCTION("""COMPUTED_VALUE"""),45182.66666666667)</f>
        <v>45182.66667</v>
      </c>
      <c r="B901" s="2">
        <f>IFERROR(__xludf.DUMMYFUNCTION("""COMPUTED_VALUE"""),428.0)</f>
        <v>428</v>
      </c>
      <c r="C901" s="2">
        <f>IFERROR(__xludf.DUMMYFUNCTION("""COMPUTED_VALUE"""),438.0)</f>
        <v>438</v>
      </c>
      <c r="D901" s="2">
        <f>IFERROR(__xludf.DUMMYFUNCTION("""COMPUTED_VALUE"""),426.0)</f>
        <v>426</v>
      </c>
      <c r="E901" s="2">
        <f>IFERROR(__xludf.DUMMYFUNCTION("""COMPUTED_VALUE"""),432.0)</f>
        <v>432</v>
      </c>
      <c r="F901" s="2">
        <f>IFERROR(__xludf.DUMMYFUNCTION("""COMPUTED_VALUE"""),7.08073E7)</f>
        <v>70807300</v>
      </c>
      <c r="G901" s="2">
        <f t="shared" si="1"/>
        <v>14</v>
      </c>
    </row>
    <row r="902" ht="15.75" customHeight="1">
      <c r="A902" s="1">
        <f>IFERROR(__xludf.DUMMYFUNCTION("""COMPUTED_VALUE"""),45183.66666666667)</f>
        <v>45183.66667</v>
      </c>
      <c r="B902" s="2">
        <f>IFERROR(__xludf.DUMMYFUNCTION("""COMPUTED_VALUE"""),434.0)</f>
        <v>434</v>
      </c>
      <c r="C902" s="2">
        <f>IFERROR(__xludf.DUMMYFUNCTION("""COMPUTED_VALUE"""),436.0)</f>
        <v>436</v>
      </c>
      <c r="D902" s="2">
        <f>IFERROR(__xludf.DUMMYFUNCTION("""COMPUTED_VALUE"""),420.0)</f>
        <v>420</v>
      </c>
      <c r="E902" s="2">
        <f>IFERROR(__xludf.DUMMYFUNCTION("""COMPUTED_VALUE"""),426.0)</f>
        <v>426</v>
      </c>
      <c r="F902" s="2">
        <f>IFERROR(__xludf.DUMMYFUNCTION("""COMPUTED_VALUE"""),3.62715E7)</f>
        <v>36271500</v>
      </c>
      <c r="G902" s="2">
        <f t="shared" si="1"/>
        <v>16</v>
      </c>
    </row>
    <row r="903" ht="15.75" customHeight="1">
      <c r="A903" s="1">
        <f>IFERROR(__xludf.DUMMYFUNCTION("""COMPUTED_VALUE"""),45184.66666666667)</f>
        <v>45184.66667</v>
      </c>
      <c r="B903" s="2">
        <f>IFERROR(__xludf.DUMMYFUNCTION("""COMPUTED_VALUE"""),424.0)</f>
        <v>424</v>
      </c>
      <c r="C903" s="2">
        <f>IFERROR(__xludf.DUMMYFUNCTION("""COMPUTED_VALUE"""),438.0)</f>
        <v>438</v>
      </c>
      <c r="D903" s="2">
        <f>IFERROR(__xludf.DUMMYFUNCTION("""COMPUTED_VALUE"""),424.0)</f>
        <v>424</v>
      </c>
      <c r="E903" s="2">
        <f>IFERROR(__xludf.DUMMYFUNCTION("""COMPUTED_VALUE"""),430.0)</f>
        <v>430</v>
      </c>
      <c r="F903" s="2">
        <f>IFERROR(__xludf.DUMMYFUNCTION("""COMPUTED_VALUE"""),3.14489E7)</f>
        <v>31448900</v>
      </c>
      <c r="G903" s="2">
        <f t="shared" si="1"/>
        <v>14</v>
      </c>
    </row>
    <row r="904" ht="15.75" customHeight="1">
      <c r="A904" s="1">
        <f>IFERROR(__xludf.DUMMYFUNCTION("""COMPUTED_VALUE"""),45187.66666666667)</f>
        <v>45187.66667</v>
      </c>
      <c r="B904" s="2">
        <f>IFERROR(__xludf.DUMMYFUNCTION("""COMPUTED_VALUE"""),432.0)</f>
        <v>432</v>
      </c>
      <c r="C904" s="2">
        <f>IFERROR(__xludf.DUMMYFUNCTION("""COMPUTED_VALUE"""),436.0)</f>
        <v>436</v>
      </c>
      <c r="D904" s="2">
        <f>IFERROR(__xludf.DUMMYFUNCTION("""COMPUTED_VALUE"""),428.0)</f>
        <v>428</v>
      </c>
      <c r="E904" s="2">
        <f>IFERROR(__xludf.DUMMYFUNCTION("""COMPUTED_VALUE"""),428.0)</f>
        <v>428</v>
      </c>
      <c r="F904" s="2">
        <f>IFERROR(__xludf.DUMMYFUNCTION("""COMPUTED_VALUE"""),3.72104E7)</f>
        <v>37210400</v>
      </c>
      <c r="G904" s="2">
        <f t="shared" si="1"/>
        <v>8</v>
      </c>
    </row>
    <row r="905" ht="15.75" customHeight="1">
      <c r="A905" s="1">
        <f>IFERROR(__xludf.DUMMYFUNCTION("""COMPUTED_VALUE"""),45188.66666666667)</f>
        <v>45188.66667</v>
      </c>
      <c r="B905" s="2">
        <f>IFERROR(__xludf.DUMMYFUNCTION("""COMPUTED_VALUE"""),430.0)</f>
        <v>430</v>
      </c>
      <c r="C905" s="2">
        <f>IFERROR(__xludf.DUMMYFUNCTION("""COMPUTED_VALUE"""),436.0)</f>
        <v>436</v>
      </c>
      <c r="D905" s="2">
        <f>IFERROR(__xludf.DUMMYFUNCTION("""COMPUTED_VALUE"""),428.0)</f>
        <v>428</v>
      </c>
      <c r="E905" s="2">
        <f>IFERROR(__xludf.DUMMYFUNCTION("""COMPUTED_VALUE"""),432.0)</f>
        <v>432</v>
      </c>
      <c r="F905" s="2">
        <f>IFERROR(__xludf.DUMMYFUNCTION("""COMPUTED_VALUE"""),2.47044E7)</f>
        <v>24704400</v>
      </c>
      <c r="G905" s="2">
        <f t="shared" si="1"/>
        <v>8</v>
      </c>
    </row>
    <row r="906" ht="15.75" customHeight="1">
      <c r="A906" s="1">
        <f>IFERROR(__xludf.DUMMYFUNCTION("""COMPUTED_VALUE"""),45189.66666666667)</f>
        <v>45189.66667</v>
      </c>
      <c r="B906" s="2">
        <f>IFERROR(__xludf.DUMMYFUNCTION("""COMPUTED_VALUE"""),432.0)</f>
        <v>432</v>
      </c>
      <c r="C906" s="2">
        <f>IFERROR(__xludf.DUMMYFUNCTION("""COMPUTED_VALUE"""),432.0)</f>
        <v>432</v>
      </c>
      <c r="D906" s="2">
        <f>IFERROR(__xludf.DUMMYFUNCTION("""COMPUTED_VALUE"""),414.0)</f>
        <v>414</v>
      </c>
      <c r="E906" s="2">
        <f>IFERROR(__xludf.DUMMYFUNCTION("""COMPUTED_VALUE"""),418.0)</f>
        <v>418</v>
      </c>
      <c r="F906" s="2">
        <f>IFERROR(__xludf.DUMMYFUNCTION("""COMPUTED_VALUE"""),4.89093E7)</f>
        <v>48909300</v>
      </c>
      <c r="G906" s="2">
        <f t="shared" si="1"/>
        <v>18</v>
      </c>
    </row>
    <row r="907" ht="15.75" customHeight="1">
      <c r="A907" s="1">
        <f>IFERROR(__xludf.DUMMYFUNCTION("""COMPUTED_VALUE"""),45190.66666666667)</f>
        <v>45190.66667</v>
      </c>
      <c r="B907" s="2">
        <f>IFERROR(__xludf.DUMMYFUNCTION("""COMPUTED_VALUE"""),420.0)</f>
        <v>420</v>
      </c>
      <c r="C907" s="2">
        <f>IFERROR(__xludf.DUMMYFUNCTION("""COMPUTED_VALUE"""),420.0)</f>
        <v>420</v>
      </c>
      <c r="D907" s="2">
        <f>IFERROR(__xludf.DUMMYFUNCTION("""COMPUTED_VALUE"""),410.0)</f>
        <v>410</v>
      </c>
      <c r="E907" s="2">
        <f>IFERROR(__xludf.DUMMYFUNCTION("""COMPUTED_VALUE"""),416.0)</f>
        <v>416</v>
      </c>
      <c r="F907" s="2">
        <f>IFERROR(__xludf.DUMMYFUNCTION("""COMPUTED_VALUE"""),3.31049E7)</f>
        <v>33104900</v>
      </c>
      <c r="G907" s="2">
        <f t="shared" si="1"/>
        <v>10</v>
      </c>
    </row>
    <row r="908" ht="15.75" customHeight="1">
      <c r="A908" s="1">
        <f>IFERROR(__xludf.DUMMYFUNCTION("""COMPUTED_VALUE"""),45191.66666666667)</f>
        <v>45191.66667</v>
      </c>
      <c r="B908" s="2">
        <f>IFERROR(__xludf.DUMMYFUNCTION("""COMPUTED_VALUE"""),420.0)</f>
        <v>420</v>
      </c>
      <c r="C908" s="2">
        <f>IFERROR(__xludf.DUMMYFUNCTION("""COMPUTED_VALUE"""),422.0)</f>
        <v>422</v>
      </c>
      <c r="D908" s="2">
        <f>IFERROR(__xludf.DUMMYFUNCTION("""COMPUTED_VALUE"""),410.0)</f>
        <v>410</v>
      </c>
      <c r="E908" s="2">
        <f>IFERROR(__xludf.DUMMYFUNCTION("""COMPUTED_VALUE"""),412.0)</f>
        <v>412</v>
      </c>
      <c r="F908" s="2">
        <f>IFERROR(__xludf.DUMMYFUNCTION("""COMPUTED_VALUE"""),4.74163E7)</f>
        <v>47416300</v>
      </c>
      <c r="G908" s="2">
        <f t="shared" si="1"/>
        <v>12</v>
      </c>
    </row>
    <row r="909" ht="15.75" customHeight="1">
      <c r="A909" s="1">
        <f>IFERROR(__xludf.DUMMYFUNCTION("""COMPUTED_VALUE"""),45194.66666666667)</f>
        <v>45194.66667</v>
      </c>
      <c r="B909" s="2">
        <f>IFERROR(__xludf.DUMMYFUNCTION("""COMPUTED_VALUE"""),412.0)</f>
        <v>412</v>
      </c>
      <c r="C909" s="2">
        <f>IFERROR(__xludf.DUMMYFUNCTION("""COMPUTED_VALUE"""),420.0)</f>
        <v>420</v>
      </c>
      <c r="D909" s="2">
        <f>IFERROR(__xludf.DUMMYFUNCTION("""COMPUTED_VALUE"""),412.0)</f>
        <v>412</v>
      </c>
      <c r="E909" s="2">
        <f>IFERROR(__xludf.DUMMYFUNCTION("""COMPUTED_VALUE"""),418.0)</f>
        <v>418</v>
      </c>
      <c r="F909" s="2">
        <f>IFERROR(__xludf.DUMMYFUNCTION("""COMPUTED_VALUE"""),2.74634E7)</f>
        <v>27463400</v>
      </c>
      <c r="G909" s="2">
        <f t="shared" si="1"/>
        <v>8</v>
      </c>
    </row>
    <row r="910" ht="15.75" customHeight="1">
      <c r="A910" s="1">
        <f>IFERROR(__xludf.DUMMYFUNCTION("""COMPUTED_VALUE"""),45195.66666666667)</f>
        <v>45195.66667</v>
      </c>
      <c r="B910" s="2">
        <f>IFERROR(__xludf.DUMMYFUNCTION("""COMPUTED_VALUE"""),418.0)</f>
        <v>418</v>
      </c>
      <c r="C910" s="2">
        <f>IFERROR(__xludf.DUMMYFUNCTION("""COMPUTED_VALUE"""),422.0)</f>
        <v>422</v>
      </c>
      <c r="D910" s="2">
        <f>IFERROR(__xludf.DUMMYFUNCTION("""COMPUTED_VALUE"""),392.0)</f>
        <v>392</v>
      </c>
      <c r="E910" s="2">
        <f>IFERROR(__xludf.DUMMYFUNCTION("""COMPUTED_VALUE"""),404.0)</f>
        <v>404</v>
      </c>
      <c r="F910" s="2">
        <f>IFERROR(__xludf.DUMMYFUNCTION("""COMPUTED_VALUE"""),6.62612E7)</f>
        <v>66261200</v>
      </c>
      <c r="G910" s="2">
        <f t="shared" si="1"/>
        <v>30</v>
      </c>
    </row>
    <row r="911" ht="15.75" customHeight="1">
      <c r="A911" s="1">
        <f>IFERROR(__xludf.DUMMYFUNCTION("""COMPUTED_VALUE"""),45196.66666666667)</f>
        <v>45196.66667</v>
      </c>
      <c r="B911" s="2">
        <f>IFERROR(__xludf.DUMMYFUNCTION("""COMPUTED_VALUE"""),404.0)</f>
        <v>404</v>
      </c>
      <c r="C911" s="2">
        <f>IFERROR(__xludf.DUMMYFUNCTION("""COMPUTED_VALUE"""),414.0)</f>
        <v>414</v>
      </c>
      <c r="D911" s="2">
        <f>IFERROR(__xludf.DUMMYFUNCTION("""COMPUTED_VALUE"""),404.0)</f>
        <v>404</v>
      </c>
      <c r="E911" s="2">
        <f>IFERROR(__xludf.DUMMYFUNCTION("""COMPUTED_VALUE"""),410.0)</f>
        <v>410</v>
      </c>
      <c r="F911" s="2">
        <f>IFERROR(__xludf.DUMMYFUNCTION("""COMPUTED_VALUE"""),3.90337E7)</f>
        <v>39033700</v>
      </c>
      <c r="G911" s="2">
        <f t="shared" si="1"/>
        <v>10</v>
      </c>
    </row>
    <row r="912" ht="15.75" customHeight="1">
      <c r="A912" s="1">
        <f>IFERROR(__xludf.DUMMYFUNCTION("""COMPUTED_VALUE"""),45198.66666666667)</f>
        <v>45198.66667</v>
      </c>
      <c r="B912" s="2">
        <f>IFERROR(__xludf.DUMMYFUNCTION("""COMPUTED_VALUE"""),412.0)</f>
        <v>412</v>
      </c>
      <c r="C912" s="2">
        <f>IFERROR(__xludf.DUMMYFUNCTION("""COMPUTED_VALUE"""),422.0)</f>
        <v>422</v>
      </c>
      <c r="D912" s="2">
        <f>IFERROR(__xludf.DUMMYFUNCTION("""COMPUTED_VALUE"""),410.0)</f>
        <v>410</v>
      </c>
      <c r="E912" s="2">
        <f>IFERROR(__xludf.DUMMYFUNCTION("""COMPUTED_VALUE"""),418.0)</f>
        <v>418</v>
      </c>
      <c r="F912" s="2">
        <f>IFERROR(__xludf.DUMMYFUNCTION("""COMPUTED_VALUE"""),4.06249E7)</f>
        <v>40624900</v>
      </c>
      <c r="G912" s="2">
        <f t="shared" si="1"/>
        <v>12</v>
      </c>
    </row>
    <row r="913" ht="15.75" customHeight="1">
      <c r="A913" s="1">
        <f>IFERROR(__xludf.DUMMYFUNCTION("""COMPUTED_VALUE"""),45201.66666666667)</f>
        <v>45201.66667</v>
      </c>
      <c r="B913" s="2">
        <f>IFERROR(__xludf.DUMMYFUNCTION("""COMPUTED_VALUE"""),418.0)</f>
        <v>418</v>
      </c>
      <c r="C913" s="2">
        <f>IFERROR(__xludf.DUMMYFUNCTION("""COMPUTED_VALUE"""),420.0)</f>
        <v>420</v>
      </c>
      <c r="D913" s="2">
        <f>IFERROR(__xludf.DUMMYFUNCTION("""COMPUTED_VALUE"""),410.0)</f>
        <v>410</v>
      </c>
      <c r="E913" s="2">
        <f>IFERROR(__xludf.DUMMYFUNCTION("""COMPUTED_VALUE"""),414.0)</f>
        <v>414</v>
      </c>
      <c r="F913" s="2">
        <f>IFERROR(__xludf.DUMMYFUNCTION("""COMPUTED_VALUE"""),2.53747E7)</f>
        <v>25374700</v>
      </c>
      <c r="G913" s="2">
        <f t="shared" si="1"/>
        <v>10</v>
      </c>
    </row>
    <row r="914" ht="15.75" customHeight="1">
      <c r="A914" s="1">
        <f>IFERROR(__xludf.DUMMYFUNCTION("""COMPUTED_VALUE"""),45202.66666666667)</f>
        <v>45202.66667</v>
      </c>
      <c r="B914" s="2">
        <f>IFERROR(__xludf.DUMMYFUNCTION("""COMPUTED_VALUE"""),410.0)</f>
        <v>410</v>
      </c>
      <c r="C914" s="2">
        <f>IFERROR(__xludf.DUMMYFUNCTION("""COMPUTED_VALUE"""),412.0)</f>
        <v>412</v>
      </c>
      <c r="D914" s="2">
        <f>IFERROR(__xludf.DUMMYFUNCTION("""COMPUTED_VALUE"""),398.0)</f>
        <v>398</v>
      </c>
      <c r="E914" s="2">
        <f>IFERROR(__xludf.DUMMYFUNCTION("""COMPUTED_VALUE"""),398.0)</f>
        <v>398</v>
      </c>
      <c r="F914" s="2">
        <f>IFERROR(__xludf.DUMMYFUNCTION("""COMPUTED_VALUE"""),6.27448E7)</f>
        <v>62744800</v>
      </c>
      <c r="G914" s="2">
        <f t="shared" si="1"/>
        <v>16</v>
      </c>
    </row>
    <row r="915" ht="15.75" customHeight="1">
      <c r="A915" s="1">
        <f>IFERROR(__xludf.DUMMYFUNCTION("""COMPUTED_VALUE"""),45203.66666666667)</f>
        <v>45203.66667</v>
      </c>
      <c r="B915" s="2">
        <f>IFERROR(__xludf.DUMMYFUNCTION("""COMPUTED_VALUE"""),400.0)</f>
        <v>400</v>
      </c>
      <c r="C915" s="2">
        <f>IFERROR(__xludf.DUMMYFUNCTION("""COMPUTED_VALUE"""),406.0)</f>
        <v>406</v>
      </c>
      <c r="D915" s="2">
        <f>IFERROR(__xludf.DUMMYFUNCTION("""COMPUTED_VALUE"""),394.0)</f>
        <v>394</v>
      </c>
      <c r="E915" s="2">
        <f>IFERROR(__xludf.DUMMYFUNCTION("""COMPUTED_VALUE"""),394.0)</f>
        <v>394</v>
      </c>
      <c r="F915" s="2">
        <f>IFERROR(__xludf.DUMMYFUNCTION("""COMPUTED_VALUE"""),4.33864E7)</f>
        <v>43386400</v>
      </c>
      <c r="G915" s="2">
        <f t="shared" si="1"/>
        <v>12</v>
      </c>
    </row>
    <row r="916" ht="15.75" customHeight="1">
      <c r="A916" s="1">
        <f>IFERROR(__xludf.DUMMYFUNCTION("""COMPUTED_VALUE"""),45204.66666666667)</f>
        <v>45204.66667</v>
      </c>
      <c r="B916" s="2">
        <f>IFERROR(__xludf.DUMMYFUNCTION("""COMPUTED_VALUE"""),392.0)</f>
        <v>392</v>
      </c>
      <c r="C916" s="2">
        <f>IFERROR(__xludf.DUMMYFUNCTION("""COMPUTED_VALUE"""),400.0)</f>
        <v>400</v>
      </c>
      <c r="D916" s="2">
        <f>IFERROR(__xludf.DUMMYFUNCTION("""COMPUTED_VALUE"""),386.0)</f>
        <v>386</v>
      </c>
      <c r="E916" s="2">
        <f>IFERROR(__xludf.DUMMYFUNCTION("""COMPUTED_VALUE"""),386.0)</f>
        <v>386</v>
      </c>
      <c r="F916" s="2">
        <f>IFERROR(__xludf.DUMMYFUNCTION("""COMPUTED_VALUE"""),3.98499E7)</f>
        <v>39849900</v>
      </c>
      <c r="G916" s="2">
        <f t="shared" si="1"/>
        <v>14</v>
      </c>
    </row>
    <row r="917" ht="15.75" customHeight="1">
      <c r="A917" s="1">
        <f>IFERROR(__xludf.DUMMYFUNCTION("""COMPUTED_VALUE"""),45205.66666666667)</f>
        <v>45205.66667</v>
      </c>
      <c r="B917" s="2">
        <f>IFERROR(__xludf.DUMMYFUNCTION("""COMPUTED_VALUE"""),386.0)</f>
        <v>386</v>
      </c>
      <c r="C917" s="2">
        <f>IFERROR(__xludf.DUMMYFUNCTION("""COMPUTED_VALUE"""),396.0)</f>
        <v>396</v>
      </c>
      <c r="D917" s="2">
        <f>IFERROR(__xludf.DUMMYFUNCTION("""COMPUTED_VALUE"""),382.0)</f>
        <v>382</v>
      </c>
      <c r="E917" s="2">
        <f>IFERROR(__xludf.DUMMYFUNCTION("""COMPUTED_VALUE"""),390.0)</f>
        <v>390</v>
      </c>
      <c r="F917" s="2">
        <f>IFERROR(__xludf.DUMMYFUNCTION("""COMPUTED_VALUE"""),3.58996E7)</f>
        <v>35899600</v>
      </c>
      <c r="G917" s="2">
        <f t="shared" si="1"/>
        <v>14</v>
      </c>
    </row>
    <row r="918" ht="15.75" customHeight="1">
      <c r="A918" s="1">
        <f>IFERROR(__xludf.DUMMYFUNCTION("""COMPUTED_VALUE"""),45208.66666666667)</f>
        <v>45208.66667</v>
      </c>
      <c r="B918" s="2">
        <f>IFERROR(__xludf.DUMMYFUNCTION("""COMPUTED_VALUE"""),400.0)</f>
        <v>400</v>
      </c>
      <c r="C918" s="2">
        <f>IFERROR(__xludf.DUMMYFUNCTION("""COMPUTED_VALUE"""),412.0)</f>
        <v>412</v>
      </c>
      <c r="D918" s="2">
        <f>IFERROR(__xludf.DUMMYFUNCTION("""COMPUTED_VALUE"""),400.0)</f>
        <v>400</v>
      </c>
      <c r="E918" s="2">
        <f>IFERROR(__xludf.DUMMYFUNCTION("""COMPUTED_VALUE"""),406.0)</f>
        <v>406</v>
      </c>
      <c r="F918" s="2">
        <f>IFERROR(__xludf.DUMMYFUNCTION("""COMPUTED_VALUE"""),5.02858E7)</f>
        <v>50285800</v>
      </c>
      <c r="G918" s="2">
        <f t="shared" si="1"/>
        <v>22</v>
      </c>
    </row>
    <row r="919" ht="15.75" customHeight="1">
      <c r="A919" s="1">
        <f>IFERROR(__xludf.DUMMYFUNCTION("""COMPUTED_VALUE"""),45209.66666666667)</f>
        <v>45209.66667</v>
      </c>
      <c r="B919" s="2">
        <f>IFERROR(__xludf.DUMMYFUNCTION("""COMPUTED_VALUE"""),410.0)</f>
        <v>410</v>
      </c>
      <c r="C919" s="2">
        <f>IFERROR(__xludf.DUMMYFUNCTION("""COMPUTED_VALUE"""),414.0)</f>
        <v>414</v>
      </c>
      <c r="D919" s="2">
        <f>IFERROR(__xludf.DUMMYFUNCTION("""COMPUTED_VALUE"""),402.0)</f>
        <v>402</v>
      </c>
      <c r="E919" s="2">
        <f>IFERROR(__xludf.DUMMYFUNCTION("""COMPUTED_VALUE"""),404.0)</f>
        <v>404</v>
      </c>
      <c r="F919" s="2">
        <f>IFERROR(__xludf.DUMMYFUNCTION("""COMPUTED_VALUE"""),3.13136E7)</f>
        <v>31313600</v>
      </c>
      <c r="G919" s="2">
        <f t="shared" si="1"/>
        <v>12</v>
      </c>
    </row>
    <row r="920" ht="15.75" customHeight="1">
      <c r="A920" s="1">
        <f>IFERROR(__xludf.DUMMYFUNCTION("""COMPUTED_VALUE"""),45210.66666666667)</f>
        <v>45210.66667</v>
      </c>
      <c r="B920" s="2">
        <f>IFERROR(__xludf.DUMMYFUNCTION("""COMPUTED_VALUE"""),404.0)</f>
        <v>404</v>
      </c>
      <c r="C920" s="2">
        <f>IFERROR(__xludf.DUMMYFUNCTION("""COMPUTED_VALUE"""),408.0)</f>
        <v>408</v>
      </c>
      <c r="D920" s="2">
        <f>IFERROR(__xludf.DUMMYFUNCTION("""COMPUTED_VALUE"""),402.0)</f>
        <v>402</v>
      </c>
      <c r="E920" s="2">
        <f>IFERROR(__xludf.DUMMYFUNCTION("""COMPUTED_VALUE"""),404.0)</f>
        <v>404</v>
      </c>
      <c r="F920" s="2">
        <f>IFERROR(__xludf.DUMMYFUNCTION("""COMPUTED_VALUE"""),1.10737E7)</f>
        <v>11073700</v>
      </c>
      <c r="G920" s="2">
        <f t="shared" si="1"/>
        <v>6</v>
      </c>
    </row>
    <row r="921" ht="15.75" customHeight="1">
      <c r="A921" s="1">
        <f>IFERROR(__xludf.DUMMYFUNCTION("""COMPUTED_VALUE"""),45211.66666666667)</f>
        <v>45211.66667</v>
      </c>
      <c r="B921" s="2">
        <f>IFERROR(__xludf.DUMMYFUNCTION("""COMPUTED_VALUE"""),404.0)</f>
        <v>404</v>
      </c>
      <c r="C921" s="2">
        <f>IFERROR(__xludf.DUMMYFUNCTION("""COMPUTED_VALUE"""),408.0)</f>
        <v>408</v>
      </c>
      <c r="D921" s="2">
        <f>IFERROR(__xludf.DUMMYFUNCTION("""COMPUTED_VALUE"""),396.0)</f>
        <v>396</v>
      </c>
      <c r="E921" s="2">
        <f>IFERROR(__xludf.DUMMYFUNCTION("""COMPUTED_VALUE"""),406.0)</f>
        <v>406</v>
      </c>
      <c r="F921" s="2">
        <f>IFERROR(__xludf.DUMMYFUNCTION("""COMPUTED_VALUE"""),2.58484E7)</f>
        <v>25848400</v>
      </c>
      <c r="G921" s="2">
        <f t="shared" si="1"/>
        <v>12</v>
      </c>
    </row>
    <row r="922" ht="15.75" customHeight="1">
      <c r="A922" s="1">
        <f>IFERROR(__xludf.DUMMYFUNCTION("""COMPUTED_VALUE"""),45212.66666666667)</f>
        <v>45212.66667</v>
      </c>
      <c r="B922" s="2">
        <f>IFERROR(__xludf.DUMMYFUNCTION("""COMPUTED_VALUE"""),406.0)</f>
        <v>406</v>
      </c>
      <c r="C922" s="2">
        <f>IFERROR(__xludf.DUMMYFUNCTION("""COMPUTED_VALUE"""),414.0)</f>
        <v>414</v>
      </c>
      <c r="D922" s="2">
        <f>IFERROR(__xludf.DUMMYFUNCTION("""COMPUTED_VALUE"""),404.0)</f>
        <v>404</v>
      </c>
      <c r="E922" s="2">
        <f>IFERROR(__xludf.DUMMYFUNCTION("""COMPUTED_VALUE"""),414.0)</f>
        <v>414</v>
      </c>
      <c r="F922" s="2">
        <f>IFERROR(__xludf.DUMMYFUNCTION("""COMPUTED_VALUE"""),2.40152E7)</f>
        <v>24015200</v>
      </c>
      <c r="G922" s="2">
        <f t="shared" si="1"/>
        <v>10</v>
      </c>
    </row>
    <row r="923" ht="15.75" customHeight="1">
      <c r="A923" s="1">
        <f>IFERROR(__xludf.DUMMYFUNCTION("""COMPUTED_VALUE"""),45215.66666666667)</f>
        <v>45215.66667</v>
      </c>
      <c r="B923" s="2">
        <f>IFERROR(__xludf.DUMMYFUNCTION("""COMPUTED_VALUE"""),418.0)</f>
        <v>418</v>
      </c>
      <c r="C923" s="2">
        <f>IFERROR(__xludf.DUMMYFUNCTION("""COMPUTED_VALUE"""),426.0)</f>
        <v>426</v>
      </c>
      <c r="D923" s="2">
        <f>IFERROR(__xludf.DUMMYFUNCTION("""COMPUTED_VALUE"""),414.0)</f>
        <v>414</v>
      </c>
      <c r="E923" s="2">
        <f>IFERROR(__xludf.DUMMYFUNCTION("""COMPUTED_VALUE"""),420.0)</f>
        <v>420</v>
      </c>
      <c r="F923" s="2">
        <f>IFERROR(__xludf.DUMMYFUNCTION("""COMPUTED_VALUE"""),6.93941E7)</f>
        <v>69394100</v>
      </c>
      <c r="G923" s="2">
        <f t="shared" si="1"/>
        <v>12</v>
      </c>
    </row>
    <row r="924" ht="15.75" customHeight="1">
      <c r="A924" s="1">
        <f>IFERROR(__xludf.DUMMYFUNCTION("""COMPUTED_VALUE"""),45216.66666666667)</f>
        <v>45216.66667</v>
      </c>
      <c r="B924" s="2">
        <f>IFERROR(__xludf.DUMMYFUNCTION("""COMPUTED_VALUE"""),422.0)</f>
        <v>422</v>
      </c>
      <c r="C924" s="2">
        <f>IFERROR(__xludf.DUMMYFUNCTION("""COMPUTED_VALUE"""),422.0)</f>
        <v>422</v>
      </c>
      <c r="D924" s="2">
        <f>IFERROR(__xludf.DUMMYFUNCTION("""COMPUTED_VALUE"""),416.0)</f>
        <v>416</v>
      </c>
      <c r="E924" s="2">
        <f>IFERROR(__xludf.DUMMYFUNCTION("""COMPUTED_VALUE"""),420.0)</f>
        <v>420</v>
      </c>
      <c r="F924" s="2">
        <f>IFERROR(__xludf.DUMMYFUNCTION("""COMPUTED_VALUE"""),2.96634E7)</f>
        <v>29663400</v>
      </c>
      <c r="G924" s="2">
        <f t="shared" si="1"/>
        <v>6</v>
      </c>
    </row>
    <row r="925" ht="15.75" customHeight="1">
      <c r="A925" s="1">
        <f>IFERROR(__xludf.DUMMYFUNCTION("""COMPUTED_VALUE"""),45217.66666666667)</f>
        <v>45217.66667</v>
      </c>
      <c r="B925" s="2">
        <f>IFERROR(__xludf.DUMMYFUNCTION("""COMPUTED_VALUE"""),420.0)</f>
        <v>420</v>
      </c>
      <c r="C925" s="2">
        <f>IFERROR(__xludf.DUMMYFUNCTION("""COMPUTED_VALUE"""),428.0)</f>
        <v>428</v>
      </c>
      <c r="D925" s="2">
        <f>IFERROR(__xludf.DUMMYFUNCTION("""COMPUTED_VALUE"""),420.0)</f>
        <v>420</v>
      </c>
      <c r="E925" s="2">
        <f>IFERROR(__xludf.DUMMYFUNCTION("""COMPUTED_VALUE"""),422.0)</f>
        <v>422</v>
      </c>
      <c r="F925" s="2">
        <f>IFERROR(__xludf.DUMMYFUNCTION("""COMPUTED_VALUE"""),3.45311E7)</f>
        <v>34531100</v>
      </c>
      <c r="G925" s="2">
        <f t="shared" si="1"/>
        <v>8</v>
      </c>
    </row>
    <row r="926" ht="15.75" customHeight="1">
      <c r="A926" s="1">
        <f>IFERROR(__xludf.DUMMYFUNCTION("""COMPUTED_VALUE"""),45218.66666666667)</f>
        <v>45218.66667</v>
      </c>
      <c r="B926" s="2">
        <f>IFERROR(__xludf.DUMMYFUNCTION("""COMPUTED_VALUE"""),428.0)</f>
        <v>428</v>
      </c>
      <c r="C926" s="2">
        <f>IFERROR(__xludf.DUMMYFUNCTION("""COMPUTED_VALUE"""),428.0)</f>
        <v>428</v>
      </c>
      <c r="D926" s="2">
        <f>IFERROR(__xludf.DUMMYFUNCTION("""COMPUTED_VALUE"""),408.0)</f>
        <v>408</v>
      </c>
      <c r="E926" s="2">
        <f>IFERROR(__xludf.DUMMYFUNCTION("""COMPUTED_VALUE"""),408.0)</f>
        <v>408</v>
      </c>
      <c r="F926" s="2">
        <f>IFERROR(__xludf.DUMMYFUNCTION("""COMPUTED_VALUE"""),4.04567E7)</f>
        <v>40456700</v>
      </c>
      <c r="G926" s="2">
        <f t="shared" si="1"/>
        <v>20</v>
      </c>
    </row>
    <row r="927" ht="15.75" customHeight="1">
      <c r="A927" s="1">
        <f>IFERROR(__xludf.DUMMYFUNCTION("""COMPUTED_VALUE"""),45219.66666666667)</f>
        <v>45219.66667</v>
      </c>
      <c r="B927" s="2">
        <f>IFERROR(__xludf.DUMMYFUNCTION("""COMPUTED_VALUE"""),408.0)</f>
        <v>408</v>
      </c>
      <c r="C927" s="2">
        <f>IFERROR(__xludf.DUMMYFUNCTION("""COMPUTED_VALUE"""),420.0)</f>
        <v>420</v>
      </c>
      <c r="D927" s="2">
        <f>IFERROR(__xludf.DUMMYFUNCTION("""COMPUTED_VALUE"""),408.0)</f>
        <v>408</v>
      </c>
      <c r="E927" s="2">
        <f>IFERROR(__xludf.DUMMYFUNCTION("""COMPUTED_VALUE"""),414.0)</f>
        <v>414</v>
      </c>
      <c r="F927" s="2">
        <f>IFERROR(__xludf.DUMMYFUNCTION("""COMPUTED_VALUE"""),1.98353E7)</f>
        <v>19835300</v>
      </c>
      <c r="G927" s="2">
        <f t="shared" si="1"/>
        <v>12</v>
      </c>
    </row>
    <row r="928" ht="15.75" customHeight="1">
      <c r="A928" s="1">
        <f>IFERROR(__xludf.DUMMYFUNCTION("""COMPUTED_VALUE"""),45222.66666666667)</f>
        <v>45222.66667</v>
      </c>
      <c r="B928" s="2">
        <f>IFERROR(__xludf.DUMMYFUNCTION("""COMPUTED_VALUE"""),414.0)</f>
        <v>414</v>
      </c>
      <c r="C928" s="2">
        <f>IFERROR(__xludf.DUMMYFUNCTION("""COMPUTED_VALUE"""),418.0)</f>
        <v>418</v>
      </c>
      <c r="D928" s="2">
        <f>IFERROR(__xludf.DUMMYFUNCTION("""COMPUTED_VALUE"""),398.0)</f>
        <v>398</v>
      </c>
      <c r="E928" s="2">
        <f>IFERROR(__xludf.DUMMYFUNCTION("""COMPUTED_VALUE"""),410.0)</f>
        <v>410</v>
      </c>
      <c r="F928" s="2">
        <f>IFERROR(__xludf.DUMMYFUNCTION("""COMPUTED_VALUE"""),4.28096E7)</f>
        <v>42809600</v>
      </c>
      <c r="G928" s="2">
        <f t="shared" si="1"/>
        <v>20</v>
      </c>
    </row>
    <row r="929" ht="15.75" customHeight="1">
      <c r="A929" s="1">
        <f>IFERROR(__xludf.DUMMYFUNCTION("""COMPUTED_VALUE"""),45223.66666666667)</f>
        <v>45223.66667</v>
      </c>
      <c r="B929" s="2">
        <f>IFERROR(__xludf.DUMMYFUNCTION("""COMPUTED_VALUE"""),410.0)</f>
        <v>410</v>
      </c>
      <c r="C929" s="2">
        <f>IFERROR(__xludf.DUMMYFUNCTION("""COMPUTED_VALUE"""),412.0)</f>
        <v>412</v>
      </c>
      <c r="D929" s="2">
        <f>IFERROR(__xludf.DUMMYFUNCTION("""COMPUTED_VALUE"""),404.0)</f>
        <v>404</v>
      </c>
      <c r="E929" s="2">
        <f>IFERROR(__xludf.DUMMYFUNCTION("""COMPUTED_VALUE"""),408.0)</f>
        <v>408</v>
      </c>
      <c r="F929" s="2">
        <f>IFERROR(__xludf.DUMMYFUNCTION("""COMPUTED_VALUE"""),1.41455E7)</f>
        <v>14145500</v>
      </c>
      <c r="G929" s="2">
        <f t="shared" si="1"/>
        <v>8</v>
      </c>
    </row>
    <row r="930" ht="15.75" customHeight="1">
      <c r="A930" s="1">
        <f>IFERROR(__xludf.DUMMYFUNCTION("""COMPUTED_VALUE"""),45224.66666666667)</f>
        <v>45224.66667</v>
      </c>
      <c r="B930" s="2">
        <f>IFERROR(__xludf.DUMMYFUNCTION("""COMPUTED_VALUE"""),410.0)</f>
        <v>410</v>
      </c>
      <c r="C930" s="2">
        <f>IFERROR(__xludf.DUMMYFUNCTION("""COMPUTED_VALUE"""),422.0)</f>
        <v>422</v>
      </c>
      <c r="D930" s="2">
        <f>IFERROR(__xludf.DUMMYFUNCTION("""COMPUTED_VALUE"""),406.0)</f>
        <v>406</v>
      </c>
      <c r="E930" s="2">
        <f>IFERROR(__xludf.DUMMYFUNCTION("""COMPUTED_VALUE"""),418.0)</f>
        <v>418</v>
      </c>
      <c r="F930" s="2">
        <f>IFERROR(__xludf.DUMMYFUNCTION("""COMPUTED_VALUE"""),3.29299E7)</f>
        <v>32929900</v>
      </c>
      <c r="G930" s="2">
        <f t="shared" si="1"/>
        <v>16</v>
      </c>
    </row>
    <row r="931" ht="15.75" customHeight="1">
      <c r="A931" s="1">
        <f>IFERROR(__xludf.DUMMYFUNCTION("""COMPUTED_VALUE"""),45225.66666666667)</f>
        <v>45225.66667</v>
      </c>
      <c r="B931" s="2">
        <f>IFERROR(__xludf.DUMMYFUNCTION("""COMPUTED_VALUE"""),418.0)</f>
        <v>418</v>
      </c>
      <c r="C931" s="2">
        <f>IFERROR(__xludf.DUMMYFUNCTION("""COMPUTED_VALUE"""),422.0)</f>
        <v>422</v>
      </c>
      <c r="D931" s="2">
        <f>IFERROR(__xludf.DUMMYFUNCTION("""COMPUTED_VALUE"""),408.0)</f>
        <v>408</v>
      </c>
      <c r="E931" s="2">
        <f>IFERROR(__xludf.DUMMYFUNCTION("""COMPUTED_VALUE"""),412.0)</f>
        <v>412</v>
      </c>
      <c r="F931" s="2">
        <f>IFERROR(__xludf.DUMMYFUNCTION("""COMPUTED_VALUE"""),2.09171E7)</f>
        <v>20917100</v>
      </c>
      <c r="G931" s="2">
        <f t="shared" si="1"/>
        <v>14</v>
      </c>
    </row>
    <row r="932" ht="15.75" customHeight="1">
      <c r="A932" s="1">
        <f>IFERROR(__xludf.DUMMYFUNCTION("""COMPUTED_VALUE"""),45226.66666666667)</f>
        <v>45226.66667</v>
      </c>
      <c r="B932" s="2">
        <f>IFERROR(__xludf.DUMMYFUNCTION("""COMPUTED_VALUE"""),412.0)</f>
        <v>412</v>
      </c>
      <c r="C932" s="2">
        <f>IFERROR(__xludf.DUMMYFUNCTION("""COMPUTED_VALUE"""),446.0)</f>
        <v>446</v>
      </c>
      <c r="D932" s="2">
        <f>IFERROR(__xludf.DUMMYFUNCTION("""COMPUTED_VALUE"""),412.0)</f>
        <v>412</v>
      </c>
      <c r="E932" s="2">
        <f>IFERROR(__xludf.DUMMYFUNCTION("""COMPUTED_VALUE"""),446.0)</f>
        <v>446</v>
      </c>
      <c r="F932" s="2">
        <f>IFERROR(__xludf.DUMMYFUNCTION("""COMPUTED_VALUE"""),1.577687E8)</f>
        <v>157768700</v>
      </c>
      <c r="G932" s="2">
        <f t="shared" si="1"/>
        <v>34</v>
      </c>
    </row>
    <row r="933" ht="15.75" customHeight="1">
      <c r="A933" s="1">
        <f>IFERROR(__xludf.DUMMYFUNCTION("""COMPUTED_VALUE"""),45229.66666666667)</f>
        <v>45229.66667</v>
      </c>
      <c r="B933" s="2">
        <f>IFERROR(__xludf.DUMMYFUNCTION("""COMPUTED_VALUE"""),450.0)</f>
        <v>450</v>
      </c>
      <c r="C933" s="2">
        <f>IFERROR(__xludf.DUMMYFUNCTION("""COMPUTED_VALUE"""),460.0)</f>
        <v>460</v>
      </c>
      <c r="D933" s="2">
        <f>IFERROR(__xludf.DUMMYFUNCTION("""COMPUTED_VALUE"""),424.0)</f>
        <v>424</v>
      </c>
      <c r="E933" s="2">
        <f>IFERROR(__xludf.DUMMYFUNCTION("""COMPUTED_VALUE"""),424.0)</f>
        <v>424</v>
      </c>
      <c r="F933" s="2">
        <f>IFERROR(__xludf.DUMMYFUNCTION("""COMPUTED_VALUE"""),1.140486E8)</f>
        <v>114048600</v>
      </c>
      <c r="G933" s="2">
        <f t="shared" si="1"/>
        <v>36</v>
      </c>
    </row>
    <row r="934" ht="15.75" customHeight="1">
      <c r="A934" s="1">
        <f>IFERROR(__xludf.DUMMYFUNCTION("""COMPUTED_VALUE"""),45230.66666666667)</f>
        <v>45230.66667</v>
      </c>
      <c r="B934" s="2">
        <f>IFERROR(__xludf.DUMMYFUNCTION("""COMPUTED_VALUE"""),426.0)</f>
        <v>426</v>
      </c>
      <c r="C934" s="2">
        <f>IFERROR(__xludf.DUMMYFUNCTION("""COMPUTED_VALUE"""),432.0)</f>
        <v>432</v>
      </c>
      <c r="D934" s="2">
        <f>IFERROR(__xludf.DUMMYFUNCTION("""COMPUTED_VALUE"""),414.0)</f>
        <v>414</v>
      </c>
      <c r="E934" s="2">
        <f>IFERROR(__xludf.DUMMYFUNCTION("""COMPUTED_VALUE"""),432.0)</f>
        <v>432</v>
      </c>
      <c r="F934" s="2">
        <f>IFERROR(__xludf.DUMMYFUNCTION("""COMPUTED_VALUE"""),3.90419E7)</f>
        <v>39041900</v>
      </c>
      <c r="G934" s="2">
        <f t="shared" si="1"/>
        <v>18</v>
      </c>
    </row>
    <row r="935" ht="15.75" customHeight="1">
      <c r="A935" s="1">
        <f>IFERROR(__xludf.DUMMYFUNCTION("""COMPUTED_VALUE"""),45231.66666666667)</f>
        <v>45231.66667</v>
      </c>
      <c r="B935" s="2">
        <f>IFERROR(__xludf.DUMMYFUNCTION("""COMPUTED_VALUE"""),434.0)</f>
        <v>434</v>
      </c>
      <c r="C935" s="2">
        <f>IFERROR(__xludf.DUMMYFUNCTION("""COMPUTED_VALUE"""),434.0)</f>
        <v>434</v>
      </c>
      <c r="D935" s="2">
        <f>IFERROR(__xludf.DUMMYFUNCTION("""COMPUTED_VALUE"""),410.0)</f>
        <v>410</v>
      </c>
      <c r="E935" s="2">
        <f>IFERROR(__xludf.DUMMYFUNCTION("""COMPUTED_VALUE"""),412.0)</f>
        <v>412</v>
      </c>
      <c r="F935" s="2">
        <f>IFERROR(__xludf.DUMMYFUNCTION("""COMPUTED_VALUE"""),6.07222E7)</f>
        <v>60722200</v>
      </c>
      <c r="G935" s="2">
        <f t="shared" si="1"/>
        <v>24</v>
      </c>
    </row>
    <row r="936" ht="15.75" customHeight="1">
      <c r="A936" s="1">
        <f>IFERROR(__xludf.DUMMYFUNCTION("""COMPUTED_VALUE"""),45232.66666666667)</f>
        <v>45232.66667</v>
      </c>
      <c r="B936" s="2">
        <f>IFERROR(__xludf.DUMMYFUNCTION("""COMPUTED_VALUE"""),412.0)</f>
        <v>412</v>
      </c>
      <c r="C936" s="2">
        <f>IFERROR(__xludf.DUMMYFUNCTION("""COMPUTED_VALUE"""),422.0)</f>
        <v>422</v>
      </c>
      <c r="D936" s="2">
        <f>IFERROR(__xludf.DUMMYFUNCTION("""COMPUTED_VALUE"""),412.0)</f>
        <v>412</v>
      </c>
      <c r="E936" s="2">
        <f>IFERROR(__xludf.DUMMYFUNCTION("""COMPUTED_VALUE"""),418.0)</f>
        <v>418</v>
      </c>
      <c r="F936" s="2">
        <f>IFERROR(__xludf.DUMMYFUNCTION("""COMPUTED_VALUE"""),2.35736E7)</f>
        <v>23573600</v>
      </c>
      <c r="G936" s="2">
        <f t="shared" si="1"/>
        <v>10</v>
      </c>
    </row>
    <row r="937" ht="15.75" customHeight="1">
      <c r="A937" s="1">
        <f>IFERROR(__xludf.DUMMYFUNCTION("""COMPUTED_VALUE"""),45233.66666666667)</f>
        <v>45233.66667</v>
      </c>
      <c r="B937" s="2">
        <f>IFERROR(__xludf.DUMMYFUNCTION("""COMPUTED_VALUE"""),420.0)</f>
        <v>420</v>
      </c>
      <c r="C937" s="2">
        <f>IFERROR(__xludf.DUMMYFUNCTION("""COMPUTED_VALUE"""),432.0)</f>
        <v>432</v>
      </c>
      <c r="D937" s="2">
        <f>IFERROR(__xludf.DUMMYFUNCTION("""COMPUTED_VALUE"""),420.0)</f>
        <v>420</v>
      </c>
      <c r="E937" s="2">
        <f>IFERROR(__xludf.DUMMYFUNCTION("""COMPUTED_VALUE"""),424.0)</f>
        <v>424</v>
      </c>
      <c r="F937" s="2">
        <f>IFERROR(__xludf.DUMMYFUNCTION("""COMPUTED_VALUE"""),2.64975E7)</f>
        <v>26497500</v>
      </c>
      <c r="G937" s="2">
        <f t="shared" si="1"/>
        <v>14</v>
      </c>
    </row>
    <row r="938" ht="15.75" customHeight="1">
      <c r="A938" s="1">
        <f>IFERROR(__xludf.DUMMYFUNCTION("""COMPUTED_VALUE"""),45236.66666666667)</f>
        <v>45236.66667</v>
      </c>
      <c r="B938" s="2">
        <f>IFERROR(__xludf.DUMMYFUNCTION("""COMPUTED_VALUE"""),422.0)</f>
        <v>422</v>
      </c>
      <c r="C938" s="2">
        <f>IFERROR(__xludf.DUMMYFUNCTION("""COMPUTED_VALUE"""),430.0)</f>
        <v>430</v>
      </c>
      <c r="D938" s="2">
        <f>IFERROR(__xludf.DUMMYFUNCTION("""COMPUTED_VALUE"""),420.0)</f>
        <v>420</v>
      </c>
      <c r="E938" s="2">
        <f>IFERROR(__xludf.DUMMYFUNCTION("""COMPUTED_VALUE"""),426.0)</f>
        <v>426</v>
      </c>
      <c r="F938" s="2">
        <f>IFERROR(__xludf.DUMMYFUNCTION("""COMPUTED_VALUE"""),2.05478E7)</f>
        <v>20547800</v>
      </c>
      <c r="G938" s="2">
        <f t="shared" si="1"/>
        <v>10</v>
      </c>
    </row>
    <row r="939" ht="15.75" customHeight="1">
      <c r="A939" s="1">
        <f>IFERROR(__xludf.DUMMYFUNCTION("""COMPUTED_VALUE"""),45237.66666666667)</f>
        <v>45237.66667</v>
      </c>
      <c r="B939" s="2">
        <f>IFERROR(__xludf.DUMMYFUNCTION("""COMPUTED_VALUE"""),426.0)</f>
        <v>426</v>
      </c>
      <c r="C939" s="2">
        <f>IFERROR(__xludf.DUMMYFUNCTION("""COMPUTED_VALUE"""),430.0)</f>
        <v>430</v>
      </c>
      <c r="D939" s="2">
        <f>IFERROR(__xludf.DUMMYFUNCTION("""COMPUTED_VALUE"""),418.0)</f>
        <v>418</v>
      </c>
      <c r="E939" s="2">
        <f>IFERROR(__xludf.DUMMYFUNCTION("""COMPUTED_VALUE"""),418.0)</f>
        <v>418</v>
      </c>
      <c r="F939" s="2">
        <f>IFERROR(__xludf.DUMMYFUNCTION("""COMPUTED_VALUE"""),1.94288E7)</f>
        <v>19428800</v>
      </c>
      <c r="G939" s="2">
        <f t="shared" si="1"/>
        <v>12</v>
      </c>
    </row>
    <row r="940" ht="15.75" customHeight="1">
      <c r="A940" s="1">
        <f>IFERROR(__xludf.DUMMYFUNCTION("""COMPUTED_VALUE"""),45238.66666666667)</f>
        <v>45238.66667</v>
      </c>
      <c r="B940" s="2">
        <f>IFERROR(__xludf.DUMMYFUNCTION("""COMPUTED_VALUE"""),416.0)</f>
        <v>416</v>
      </c>
      <c r="C940" s="2">
        <f>IFERROR(__xludf.DUMMYFUNCTION("""COMPUTED_VALUE"""),420.0)</f>
        <v>420</v>
      </c>
      <c r="D940" s="2">
        <f>IFERROR(__xludf.DUMMYFUNCTION("""COMPUTED_VALUE"""),402.0)</f>
        <v>402</v>
      </c>
      <c r="E940" s="2">
        <f>IFERROR(__xludf.DUMMYFUNCTION("""COMPUTED_VALUE"""),418.0)</f>
        <v>418</v>
      </c>
      <c r="F940" s="2">
        <f>IFERROR(__xludf.DUMMYFUNCTION("""COMPUTED_VALUE"""),5.12758E7)</f>
        <v>51275800</v>
      </c>
      <c r="G940" s="2">
        <f t="shared" si="1"/>
        <v>18</v>
      </c>
    </row>
    <row r="941" ht="15.75" customHeight="1">
      <c r="A941" s="1">
        <f>IFERROR(__xludf.DUMMYFUNCTION("""COMPUTED_VALUE"""),45239.66666666667)</f>
        <v>45239.66667</v>
      </c>
      <c r="B941" s="2">
        <f>IFERROR(__xludf.DUMMYFUNCTION("""COMPUTED_VALUE"""),416.0)</f>
        <v>416</v>
      </c>
      <c r="C941" s="2">
        <f>IFERROR(__xludf.DUMMYFUNCTION("""COMPUTED_VALUE"""),420.0)</f>
        <v>420</v>
      </c>
      <c r="D941" s="2">
        <f>IFERROR(__xludf.DUMMYFUNCTION("""COMPUTED_VALUE"""),410.0)</f>
        <v>410</v>
      </c>
      <c r="E941" s="2">
        <f>IFERROR(__xludf.DUMMYFUNCTION("""COMPUTED_VALUE"""),414.0)</f>
        <v>414</v>
      </c>
      <c r="F941" s="2">
        <f>IFERROR(__xludf.DUMMYFUNCTION("""COMPUTED_VALUE"""),1.92009E7)</f>
        <v>19200900</v>
      </c>
      <c r="G941" s="2">
        <f t="shared" si="1"/>
        <v>10</v>
      </c>
    </row>
    <row r="942" ht="15.75" customHeight="1">
      <c r="A942" s="1">
        <f>IFERROR(__xludf.DUMMYFUNCTION("""COMPUTED_VALUE"""),45240.66666666667)</f>
        <v>45240.66667</v>
      </c>
      <c r="B942" s="2">
        <f>IFERROR(__xludf.DUMMYFUNCTION("""COMPUTED_VALUE"""),412.0)</f>
        <v>412</v>
      </c>
      <c r="C942" s="2">
        <f>IFERROR(__xludf.DUMMYFUNCTION("""COMPUTED_VALUE"""),418.0)</f>
        <v>418</v>
      </c>
      <c r="D942" s="2">
        <f>IFERROR(__xludf.DUMMYFUNCTION("""COMPUTED_VALUE"""),410.0)</f>
        <v>410</v>
      </c>
      <c r="E942" s="2">
        <f>IFERROR(__xludf.DUMMYFUNCTION("""COMPUTED_VALUE"""),410.0)</f>
        <v>410</v>
      </c>
      <c r="F942" s="2">
        <f>IFERROR(__xludf.DUMMYFUNCTION("""COMPUTED_VALUE"""),1.79214E7)</f>
        <v>17921400</v>
      </c>
      <c r="G942" s="2">
        <f t="shared" si="1"/>
        <v>8</v>
      </c>
    </row>
    <row r="943" ht="15.75" customHeight="1">
      <c r="A943" s="1">
        <f>IFERROR(__xludf.DUMMYFUNCTION("""COMPUTED_VALUE"""),45243.66666666667)</f>
        <v>45243.66667</v>
      </c>
      <c r="B943" s="2">
        <f>IFERROR(__xludf.DUMMYFUNCTION("""COMPUTED_VALUE"""),412.0)</f>
        <v>412</v>
      </c>
      <c r="C943" s="2">
        <f>IFERROR(__xludf.DUMMYFUNCTION("""COMPUTED_VALUE"""),418.0)</f>
        <v>418</v>
      </c>
      <c r="D943" s="2">
        <f>IFERROR(__xludf.DUMMYFUNCTION("""COMPUTED_VALUE"""),410.0)</f>
        <v>410</v>
      </c>
      <c r="E943" s="2">
        <f>IFERROR(__xludf.DUMMYFUNCTION("""COMPUTED_VALUE"""),410.0)</f>
        <v>410</v>
      </c>
      <c r="F943" s="2">
        <f>IFERROR(__xludf.DUMMYFUNCTION("""COMPUTED_VALUE"""),1.3041E7)</f>
        <v>13041000</v>
      </c>
      <c r="G943" s="2">
        <f t="shared" si="1"/>
        <v>8</v>
      </c>
    </row>
    <row r="944" ht="15.75" customHeight="1">
      <c r="A944" s="1">
        <f>IFERROR(__xludf.DUMMYFUNCTION("""COMPUTED_VALUE"""),45244.66666666667)</f>
        <v>45244.66667</v>
      </c>
      <c r="B944" s="2">
        <f>IFERROR(__xludf.DUMMYFUNCTION("""COMPUTED_VALUE"""),412.0)</f>
        <v>412</v>
      </c>
      <c r="C944" s="2">
        <f>IFERROR(__xludf.DUMMYFUNCTION("""COMPUTED_VALUE"""),420.0)</f>
        <v>420</v>
      </c>
      <c r="D944" s="2">
        <f>IFERROR(__xludf.DUMMYFUNCTION("""COMPUTED_VALUE"""),410.0)</f>
        <v>410</v>
      </c>
      <c r="E944" s="2">
        <f>IFERROR(__xludf.DUMMYFUNCTION("""COMPUTED_VALUE"""),418.0)</f>
        <v>418</v>
      </c>
      <c r="F944" s="2">
        <f>IFERROR(__xludf.DUMMYFUNCTION("""COMPUTED_VALUE"""),1.67905E7)</f>
        <v>16790500</v>
      </c>
      <c r="G944" s="2">
        <f t="shared" si="1"/>
        <v>10</v>
      </c>
    </row>
    <row r="945" ht="15.75" customHeight="1">
      <c r="A945" s="1">
        <f>IFERROR(__xludf.DUMMYFUNCTION("""COMPUTED_VALUE"""),45245.66666666667)</f>
        <v>45245.66667</v>
      </c>
      <c r="B945" s="2">
        <f>IFERROR(__xludf.DUMMYFUNCTION("""COMPUTED_VALUE"""),418.0)</f>
        <v>418</v>
      </c>
      <c r="C945" s="2">
        <f>IFERROR(__xludf.DUMMYFUNCTION("""COMPUTED_VALUE"""),428.0)</f>
        <v>428</v>
      </c>
      <c r="D945" s="2">
        <f>IFERROR(__xludf.DUMMYFUNCTION("""COMPUTED_VALUE"""),418.0)</f>
        <v>418</v>
      </c>
      <c r="E945" s="2">
        <f>IFERROR(__xludf.DUMMYFUNCTION("""COMPUTED_VALUE"""),422.0)</f>
        <v>422</v>
      </c>
      <c r="F945" s="2">
        <f>IFERROR(__xludf.DUMMYFUNCTION("""COMPUTED_VALUE"""),2.83092E7)</f>
        <v>28309200</v>
      </c>
      <c r="G945" s="2">
        <f t="shared" si="1"/>
        <v>10</v>
      </c>
    </row>
    <row r="946" ht="15.75" customHeight="1">
      <c r="A946" s="1">
        <f>IFERROR(__xludf.DUMMYFUNCTION("""COMPUTED_VALUE"""),45246.66666666667)</f>
        <v>45246.66667</v>
      </c>
      <c r="B946" s="2">
        <f>IFERROR(__xludf.DUMMYFUNCTION("""COMPUTED_VALUE"""),422.0)</f>
        <v>422</v>
      </c>
      <c r="C946" s="2">
        <f>IFERROR(__xludf.DUMMYFUNCTION("""COMPUTED_VALUE"""),422.0)</f>
        <v>422</v>
      </c>
      <c r="D946" s="2">
        <f>IFERROR(__xludf.DUMMYFUNCTION("""COMPUTED_VALUE"""),416.0)</f>
        <v>416</v>
      </c>
      <c r="E946" s="2">
        <f>IFERROR(__xludf.DUMMYFUNCTION("""COMPUTED_VALUE"""),416.0)</f>
        <v>416</v>
      </c>
      <c r="F946" s="2">
        <f>IFERROR(__xludf.DUMMYFUNCTION("""COMPUTED_VALUE"""),1.44284E7)</f>
        <v>14428400</v>
      </c>
      <c r="G946" s="2">
        <f t="shared" si="1"/>
        <v>6</v>
      </c>
    </row>
    <row r="947" ht="15.75" customHeight="1">
      <c r="A947" s="1">
        <f>IFERROR(__xludf.DUMMYFUNCTION("""COMPUTED_VALUE"""),45247.66666666667)</f>
        <v>45247.66667</v>
      </c>
      <c r="B947" s="2">
        <f>IFERROR(__xludf.DUMMYFUNCTION("""COMPUTED_VALUE"""),418.0)</f>
        <v>418</v>
      </c>
      <c r="C947" s="2">
        <f>IFERROR(__xludf.DUMMYFUNCTION("""COMPUTED_VALUE"""),418.0)</f>
        <v>418</v>
      </c>
      <c r="D947" s="2">
        <f>IFERROR(__xludf.DUMMYFUNCTION("""COMPUTED_VALUE"""),406.0)</f>
        <v>406</v>
      </c>
      <c r="E947" s="2">
        <f>IFERROR(__xludf.DUMMYFUNCTION("""COMPUTED_VALUE"""),410.0)</f>
        <v>410</v>
      </c>
      <c r="F947" s="2">
        <f>IFERROR(__xludf.DUMMYFUNCTION("""COMPUTED_VALUE"""),2.89732E7)</f>
        <v>28973200</v>
      </c>
      <c r="G947" s="2">
        <f t="shared" si="1"/>
        <v>12</v>
      </c>
    </row>
    <row r="948" ht="15.75" customHeight="1">
      <c r="A948" s="1">
        <f>IFERROR(__xludf.DUMMYFUNCTION("""COMPUTED_VALUE"""),45250.66666666667)</f>
        <v>45250.66667</v>
      </c>
      <c r="B948" s="2">
        <f>IFERROR(__xludf.DUMMYFUNCTION("""COMPUTED_VALUE"""),412.0)</f>
        <v>412</v>
      </c>
      <c r="C948" s="2">
        <f>IFERROR(__xludf.DUMMYFUNCTION("""COMPUTED_VALUE"""),418.0)</f>
        <v>418</v>
      </c>
      <c r="D948" s="2">
        <f>IFERROR(__xludf.DUMMYFUNCTION("""COMPUTED_VALUE"""),412.0)</f>
        <v>412</v>
      </c>
      <c r="E948" s="2">
        <f>IFERROR(__xludf.DUMMYFUNCTION("""COMPUTED_VALUE"""),414.0)</f>
        <v>414</v>
      </c>
      <c r="F948" s="2">
        <f>IFERROR(__xludf.DUMMYFUNCTION("""COMPUTED_VALUE"""),1.00376E7)</f>
        <v>10037600</v>
      </c>
      <c r="G948" s="2">
        <f t="shared" si="1"/>
        <v>8</v>
      </c>
    </row>
    <row r="949" ht="15.75" customHeight="1">
      <c r="A949" s="1">
        <f>IFERROR(__xludf.DUMMYFUNCTION("""COMPUTED_VALUE"""),45251.66666666667)</f>
        <v>45251.66667</v>
      </c>
      <c r="B949" s="2">
        <f>IFERROR(__xludf.DUMMYFUNCTION("""COMPUTED_VALUE"""),418.0)</f>
        <v>418</v>
      </c>
      <c r="C949" s="2">
        <f>IFERROR(__xludf.DUMMYFUNCTION("""COMPUTED_VALUE"""),420.0)</f>
        <v>420</v>
      </c>
      <c r="D949" s="2">
        <f>IFERROR(__xludf.DUMMYFUNCTION("""COMPUTED_VALUE"""),410.0)</f>
        <v>410</v>
      </c>
      <c r="E949" s="2">
        <f>IFERROR(__xludf.DUMMYFUNCTION("""COMPUTED_VALUE"""),410.0)</f>
        <v>410</v>
      </c>
      <c r="F949" s="2">
        <f>IFERROR(__xludf.DUMMYFUNCTION("""COMPUTED_VALUE"""),1.05591E7)</f>
        <v>10559100</v>
      </c>
      <c r="G949" s="2">
        <f t="shared" si="1"/>
        <v>10</v>
      </c>
    </row>
    <row r="950" ht="15.75" customHeight="1">
      <c r="A950" s="1">
        <f>IFERROR(__xludf.DUMMYFUNCTION("""COMPUTED_VALUE"""),45252.66666666667)</f>
        <v>45252.66667</v>
      </c>
      <c r="B950" s="2">
        <f>IFERROR(__xludf.DUMMYFUNCTION("""COMPUTED_VALUE"""),412.0)</f>
        <v>412</v>
      </c>
      <c r="C950" s="2">
        <f>IFERROR(__xludf.DUMMYFUNCTION("""COMPUTED_VALUE"""),414.0)</f>
        <v>414</v>
      </c>
      <c r="D950" s="2">
        <f>IFERROR(__xludf.DUMMYFUNCTION("""COMPUTED_VALUE"""),406.0)</f>
        <v>406</v>
      </c>
      <c r="E950" s="2">
        <f>IFERROR(__xludf.DUMMYFUNCTION("""COMPUTED_VALUE"""),408.0)</f>
        <v>408</v>
      </c>
      <c r="F950" s="2">
        <f>IFERROR(__xludf.DUMMYFUNCTION("""COMPUTED_VALUE"""),1.46532E7)</f>
        <v>14653200</v>
      </c>
      <c r="G950" s="2">
        <f t="shared" si="1"/>
        <v>8</v>
      </c>
    </row>
    <row r="951" ht="15.75" customHeight="1">
      <c r="A951" s="1">
        <f>IFERROR(__xludf.DUMMYFUNCTION("""COMPUTED_VALUE"""),45253.66666666667)</f>
        <v>45253.66667</v>
      </c>
      <c r="B951" s="2">
        <f>IFERROR(__xludf.DUMMYFUNCTION("""COMPUTED_VALUE"""),408.0)</f>
        <v>408</v>
      </c>
      <c r="C951" s="2">
        <f>IFERROR(__xludf.DUMMYFUNCTION("""COMPUTED_VALUE"""),414.0)</f>
        <v>414</v>
      </c>
      <c r="D951" s="2">
        <f>IFERROR(__xludf.DUMMYFUNCTION("""COMPUTED_VALUE"""),402.0)</f>
        <v>402</v>
      </c>
      <c r="E951" s="2">
        <f>IFERROR(__xludf.DUMMYFUNCTION("""COMPUTED_VALUE"""),410.0)</f>
        <v>410</v>
      </c>
      <c r="F951" s="2">
        <f>IFERROR(__xludf.DUMMYFUNCTION("""COMPUTED_VALUE"""),1.95549E7)</f>
        <v>19554900</v>
      </c>
      <c r="G951" s="2">
        <f t="shared" si="1"/>
        <v>12</v>
      </c>
    </row>
    <row r="952" ht="15.75" customHeight="1">
      <c r="A952" s="1">
        <f>IFERROR(__xludf.DUMMYFUNCTION("""COMPUTED_VALUE"""),45254.66666666667)</f>
        <v>45254.66667</v>
      </c>
      <c r="B952" s="2">
        <f>IFERROR(__xludf.DUMMYFUNCTION("""COMPUTED_VALUE"""),410.0)</f>
        <v>410</v>
      </c>
      <c r="C952" s="2">
        <f>IFERROR(__xludf.DUMMYFUNCTION("""COMPUTED_VALUE"""),412.0)</f>
        <v>412</v>
      </c>
      <c r="D952" s="2">
        <f>IFERROR(__xludf.DUMMYFUNCTION("""COMPUTED_VALUE"""),406.0)</f>
        <v>406</v>
      </c>
      <c r="E952" s="2">
        <f>IFERROR(__xludf.DUMMYFUNCTION("""COMPUTED_VALUE"""),408.0)</f>
        <v>408</v>
      </c>
      <c r="F952" s="2">
        <f>IFERROR(__xludf.DUMMYFUNCTION("""COMPUTED_VALUE"""),5711800.0)</f>
        <v>5711800</v>
      </c>
      <c r="G952" s="2">
        <f t="shared" si="1"/>
        <v>6</v>
      </c>
    </row>
    <row r="953" ht="15.75" customHeight="1">
      <c r="A953" s="1">
        <f>IFERROR(__xludf.DUMMYFUNCTION("""COMPUTED_VALUE"""),45257.66666666667)</f>
        <v>45257.66667</v>
      </c>
      <c r="B953" s="2">
        <f>IFERROR(__xludf.DUMMYFUNCTION("""COMPUTED_VALUE"""),410.0)</f>
        <v>410</v>
      </c>
      <c r="C953" s="2">
        <f>IFERROR(__xludf.DUMMYFUNCTION("""COMPUTED_VALUE"""),416.0)</f>
        <v>416</v>
      </c>
      <c r="D953" s="2">
        <f>IFERROR(__xludf.DUMMYFUNCTION("""COMPUTED_VALUE"""),408.0)</f>
        <v>408</v>
      </c>
      <c r="E953" s="2">
        <f>IFERROR(__xludf.DUMMYFUNCTION("""COMPUTED_VALUE"""),408.0)</f>
        <v>408</v>
      </c>
      <c r="F953" s="2">
        <f>IFERROR(__xludf.DUMMYFUNCTION("""COMPUTED_VALUE"""),1.20304E7)</f>
        <v>12030400</v>
      </c>
      <c r="G953" s="2">
        <f t="shared" si="1"/>
        <v>8</v>
      </c>
    </row>
    <row r="954" ht="15.75" customHeight="1">
      <c r="A954" s="1">
        <f>IFERROR(__xludf.DUMMYFUNCTION("""COMPUTED_VALUE"""),45258.66666666667)</f>
        <v>45258.66667</v>
      </c>
      <c r="B954" s="2">
        <f>IFERROR(__xludf.DUMMYFUNCTION("""COMPUTED_VALUE"""),408.0)</f>
        <v>408</v>
      </c>
      <c r="C954" s="2">
        <f>IFERROR(__xludf.DUMMYFUNCTION("""COMPUTED_VALUE"""),414.0)</f>
        <v>414</v>
      </c>
      <c r="D954" s="2">
        <f>IFERROR(__xludf.DUMMYFUNCTION("""COMPUTED_VALUE"""),408.0)</f>
        <v>408</v>
      </c>
      <c r="E954" s="2">
        <f>IFERROR(__xludf.DUMMYFUNCTION("""COMPUTED_VALUE"""),412.0)</f>
        <v>412</v>
      </c>
      <c r="F954" s="2">
        <f>IFERROR(__xludf.DUMMYFUNCTION("""COMPUTED_VALUE"""),6830400.0)</f>
        <v>6830400</v>
      </c>
      <c r="G954" s="2">
        <f t="shared" si="1"/>
        <v>6</v>
      </c>
    </row>
    <row r="955" ht="15.75" customHeight="1">
      <c r="A955" s="1">
        <f>IFERROR(__xludf.DUMMYFUNCTION("""COMPUTED_VALUE"""),45259.66666666667)</f>
        <v>45259.66667</v>
      </c>
      <c r="B955" s="2">
        <f>IFERROR(__xludf.DUMMYFUNCTION("""COMPUTED_VALUE"""),416.0)</f>
        <v>416</v>
      </c>
      <c r="C955" s="2">
        <f>IFERROR(__xludf.DUMMYFUNCTION("""COMPUTED_VALUE"""),420.0)</f>
        <v>420</v>
      </c>
      <c r="D955" s="2">
        <f>IFERROR(__xludf.DUMMYFUNCTION("""COMPUTED_VALUE"""),410.0)</f>
        <v>410</v>
      </c>
      <c r="E955" s="2">
        <f>IFERROR(__xludf.DUMMYFUNCTION("""COMPUTED_VALUE"""),414.0)</f>
        <v>414</v>
      </c>
      <c r="F955" s="2">
        <f>IFERROR(__xludf.DUMMYFUNCTION("""COMPUTED_VALUE"""),1.23905E7)</f>
        <v>12390500</v>
      </c>
      <c r="G955" s="2">
        <f t="shared" si="1"/>
        <v>10</v>
      </c>
    </row>
    <row r="956" ht="15.75" customHeight="1">
      <c r="A956" s="1">
        <f>IFERROR(__xludf.DUMMYFUNCTION("""COMPUTED_VALUE"""),45260.66666666667)</f>
        <v>45260.66667</v>
      </c>
      <c r="B956" s="2">
        <f>IFERROR(__xludf.DUMMYFUNCTION("""COMPUTED_VALUE"""),418.0)</f>
        <v>418</v>
      </c>
      <c r="C956" s="2">
        <f>IFERROR(__xludf.DUMMYFUNCTION("""COMPUTED_VALUE"""),418.0)</f>
        <v>418</v>
      </c>
      <c r="D956" s="2">
        <f>IFERROR(__xludf.DUMMYFUNCTION("""COMPUTED_VALUE"""),412.0)</f>
        <v>412</v>
      </c>
      <c r="E956" s="2">
        <f>IFERROR(__xludf.DUMMYFUNCTION("""COMPUTED_VALUE"""),416.0)</f>
        <v>416</v>
      </c>
      <c r="F956" s="2">
        <f>IFERROR(__xludf.DUMMYFUNCTION("""COMPUTED_VALUE"""),7935000.0)</f>
        <v>7935000</v>
      </c>
      <c r="G956" s="2">
        <f t="shared" si="1"/>
        <v>6</v>
      </c>
    </row>
    <row r="957" ht="15.75" customHeight="1">
      <c r="A957" s="1">
        <f>IFERROR(__xludf.DUMMYFUNCTION("""COMPUTED_VALUE"""),45261.66666666667)</f>
        <v>45261.66667</v>
      </c>
      <c r="B957" s="2">
        <f>IFERROR(__xludf.DUMMYFUNCTION("""COMPUTED_VALUE"""),416.0)</f>
        <v>416</v>
      </c>
      <c r="C957" s="2">
        <f>IFERROR(__xludf.DUMMYFUNCTION("""COMPUTED_VALUE"""),416.0)</f>
        <v>416</v>
      </c>
      <c r="D957" s="2">
        <f>IFERROR(__xludf.DUMMYFUNCTION("""COMPUTED_VALUE"""),408.0)</f>
        <v>408</v>
      </c>
      <c r="E957" s="2">
        <f>IFERROR(__xludf.DUMMYFUNCTION("""COMPUTED_VALUE"""),410.0)</f>
        <v>410</v>
      </c>
      <c r="F957" s="2">
        <f>IFERROR(__xludf.DUMMYFUNCTION("""COMPUTED_VALUE"""),7682800.0)</f>
        <v>7682800</v>
      </c>
      <c r="G957" s="2">
        <f t="shared" si="1"/>
        <v>8</v>
      </c>
    </row>
    <row r="958" ht="15.75" customHeight="1">
      <c r="A958" s="1">
        <f>IFERROR(__xludf.DUMMYFUNCTION("""COMPUTED_VALUE"""),45264.66666666667)</f>
        <v>45264.66667</v>
      </c>
      <c r="B958" s="2">
        <f>IFERROR(__xludf.DUMMYFUNCTION("""COMPUTED_VALUE"""),410.0)</f>
        <v>410</v>
      </c>
      <c r="C958" s="2">
        <f>IFERROR(__xludf.DUMMYFUNCTION("""COMPUTED_VALUE"""),410.0)</f>
        <v>410</v>
      </c>
      <c r="D958" s="2">
        <f>IFERROR(__xludf.DUMMYFUNCTION("""COMPUTED_VALUE"""),402.0)</f>
        <v>402</v>
      </c>
      <c r="E958" s="2">
        <f>IFERROR(__xludf.DUMMYFUNCTION("""COMPUTED_VALUE"""),404.0)</f>
        <v>404</v>
      </c>
      <c r="F958" s="2">
        <f>IFERROR(__xludf.DUMMYFUNCTION("""COMPUTED_VALUE"""),4.24236E7)</f>
        <v>42423600</v>
      </c>
      <c r="G958" s="2">
        <f t="shared" si="1"/>
        <v>8</v>
      </c>
    </row>
    <row r="959" ht="15.75" customHeight="1">
      <c r="A959" s="1">
        <f>IFERROR(__xludf.DUMMYFUNCTION("""COMPUTED_VALUE"""),45265.66666666667)</f>
        <v>45265.66667</v>
      </c>
      <c r="B959" s="2">
        <f>IFERROR(__xludf.DUMMYFUNCTION("""COMPUTED_VALUE"""),404.0)</f>
        <v>404</v>
      </c>
      <c r="C959" s="2">
        <f>IFERROR(__xludf.DUMMYFUNCTION("""COMPUTED_VALUE"""),408.0)</f>
        <v>408</v>
      </c>
      <c r="D959" s="2">
        <f>IFERROR(__xludf.DUMMYFUNCTION("""COMPUTED_VALUE"""),400.0)</f>
        <v>400</v>
      </c>
      <c r="E959" s="2">
        <f>IFERROR(__xludf.DUMMYFUNCTION("""COMPUTED_VALUE"""),404.0)</f>
        <v>404</v>
      </c>
      <c r="F959" s="2">
        <f>IFERROR(__xludf.DUMMYFUNCTION("""COMPUTED_VALUE"""),2.17843E7)</f>
        <v>21784300</v>
      </c>
      <c r="G959" s="2">
        <f t="shared" si="1"/>
        <v>8</v>
      </c>
    </row>
    <row r="960" ht="15.75" customHeight="1">
      <c r="A960" s="1">
        <f>IFERROR(__xludf.DUMMYFUNCTION("""COMPUTED_VALUE"""),45266.66666666667)</f>
        <v>45266.66667</v>
      </c>
      <c r="B960" s="2">
        <f>IFERROR(__xludf.DUMMYFUNCTION("""COMPUTED_VALUE"""),404.0)</f>
        <v>404</v>
      </c>
      <c r="C960" s="2">
        <f>IFERROR(__xludf.DUMMYFUNCTION("""COMPUTED_VALUE"""),406.0)</f>
        <v>406</v>
      </c>
      <c r="D960" s="2">
        <f>IFERROR(__xludf.DUMMYFUNCTION("""COMPUTED_VALUE"""),402.0)</f>
        <v>402</v>
      </c>
      <c r="E960" s="2">
        <f>IFERROR(__xludf.DUMMYFUNCTION("""COMPUTED_VALUE"""),402.0)</f>
        <v>402</v>
      </c>
      <c r="F960" s="2">
        <f>IFERROR(__xludf.DUMMYFUNCTION("""COMPUTED_VALUE"""),1.04352E7)</f>
        <v>10435200</v>
      </c>
      <c r="G960" s="2">
        <f t="shared" si="1"/>
        <v>4</v>
      </c>
    </row>
    <row r="961" ht="15.75" customHeight="1">
      <c r="A961" s="1">
        <f>IFERROR(__xludf.DUMMYFUNCTION("""COMPUTED_VALUE"""),45267.66666666667)</f>
        <v>45267.66667</v>
      </c>
      <c r="B961" s="2">
        <f>IFERROR(__xludf.DUMMYFUNCTION("""COMPUTED_VALUE"""),400.0)</f>
        <v>400</v>
      </c>
      <c r="C961" s="2">
        <f>IFERROR(__xludf.DUMMYFUNCTION("""COMPUTED_VALUE"""),402.0)</f>
        <v>402</v>
      </c>
      <c r="D961" s="2">
        <f>IFERROR(__xludf.DUMMYFUNCTION("""COMPUTED_VALUE"""),390.0)</f>
        <v>390</v>
      </c>
      <c r="E961" s="2">
        <f>IFERROR(__xludf.DUMMYFUNCTION("""COMPUTED_VALUE"""),392.0)</f>
        <v>392</v>
      </c>
      <c r="F961" s="2">
        <f>IFERROR(__xludf.DUMMYFUNCTION("""COMPUTED_VALUE"""),4.1573E7)</f>
        <v>41573000</v>
      </c>
      <c r="G961" s="2">
        <f t="shared" si="1"/>
        <v>12</v>
      </c>
    </row>
    <row r="962" ht="15.75" customHeight="1">
      <c r="A962" s="1">
        <f>IFERROR(__xludf.DUMMYFUNCTION("""COMPUTED_VALUE"""),45268.66666666667)</f>
        <v>45268.66667</v>
      </c>
      <c r="B962" s="2">
        <f>IFERROR(__xludf.DUMMYFUNCTION("""COMPUTED_VALUE"""),394.0)</f>
        <v>394</v>
      </c>
      <c r="C962" s="2">
        <f>IFERROR(__xludf.DUMMYFUNCTION("""COMPUTED_VALUE"""),400.0)</f>
        <v>400</v>
      </c>
      <c r="D962" s="2">
        <f>IFERROR(__xludf.DUMMYFUNCTION("""COMPUTED_VALUE"""),388.0)</f>
        <v>388</v>
      </c>
      <c r="E962" s="2">
        <f>IFERROR(__xludf.DUMMYFUNCTION("""COMPUTED_VALUE"""),390.0)</f>
        <v>390</v>
      </c>
      <c r="F962" s="2">
        <f>IFERROR(__xludf.DUMMYFUNCTION("""COMPUTED_VALUE"""),3.38714E7)</f>
        <v>33871400</v>
      </c>
      <c r="G962" s="2">
        <f t="shared" si="1"/>
        <v>12</v>
      </c>
    </row>
    <row r="963" ht="15.75" customHeight="1">
      <c r="A963" s="1">
        <f>IFERROR(__xludf.DUMMYFUNCTION("""COMPUTED_VALUE"""),45271.66666666667)</f>
        <v>45271.66667</v>
      </c>
      <c r="B963" s="2">
        <f>IFERROR(__xludf.DUMMYFUNCTION("""COMPUTED_VALUE"""),392.0)</f>
        <v>392</v>
      </c>
      <c r="C963" s="2">
        <f>IFERROR(__xludf.DUMMYFUNCTION("""COMPUTED_VALUE"""),396.0)</f>
        <v>396</v>
      </c>
      <c r="D963" s="2">
        <f>IFERROR(__xludf.DUMMYFUNCTION("""COMPUTED_VALUE"""),386.0)</f>
        <v>386</v>
      </c>
      <c r="E963" s="2">
        <f>IFERROR(__xludf.DUMMYFUNCTION("""COMPUTED_VALUE"""),388.0)</f>
        <v>388</v>
      </c>
      <c r="F963" s="2">
        <f>IFERROR(__xludf.DUMMYFUNCTION("""COMPUTED_VALUE"""),2.82219E7)</f>
        <v>28221900</v>
      </c>
      <c r="G963" s="2">
        <f t="shared" si="1"/>
        <v>10</v>
      </c>
    </row>
    <row r="964" ht="15.75" customHeight="1">
      <c r="A964" s="1">
        <f>IFERROR(__xludf.DUMMYFUNCTION("""COMPUTED_VALUE"""),45272.66666666667)</f>
        <v>45272.66667</v>
      </c>
      <c r="B964" s="2">
        <f>IFERROR(__xludf.DUMMYFUNCTION("""COMPUTED_VALUE"""),388.0)</f>
        <v>388</v>
      </c>
      <c r="C964" s="2">
        <f>IFERROR(__xludf.DUMMYFUNCTION("""COMPUTED_VALUE"""),388.0)</f>
        <v>388</v>
      </c>
      <c r="D964" s="2">
        <f>IFERROR(__xludf.DUMMYFUNCTION("""COMPUTED_VALUE"""),374.0)</f>
        <v>374</v>
      </c>
      <c r="E964" s="2">
        <f>IFERROR(__xludf.DUMMYFUNCTION("""COMPUTED_VALUE"""),380.0)</f>
        <v>380</v>
      </c>
      <c r="F964" s="2">
        <f>IFERROR(__xludf.DUMMYFUNCTION("""COMPUTED_VALUE"""),4.97408E7)</f>
        <v>49740800</v>
      </c>
      <c r="G964" s="2">
        <f t="shared" si="1"/>
        <v>14</v>
      </c>
    </row>
    <row r="965" ht="15.75" customHeight="1">
      <c r="A965" s="1">
        <f>IFERROR(__xludf.DUMMYFUNCTION("""COMPUTED_VALUE"""),45273.66666666667)</f>
        <v>45273.66667</v>
      </c>
      <c r="B965" s="2">
        <f>IFERROR(__xludf.DUMMYFUNCTION("""COMPUTED_VALUE"""),378.0)</f>
        <v>378</v>
      </c>
      <c r="C965" s="2">
        <f>IFERROR(__xludf.DUMMYFUNCTION("""COMPUTED_VALUE"""),378.0)</f>
        <v>378</v>
      </c>
      <c r="D965" s="2">
        <f>IFERROR(__xludf.DUMMYFUNCTION("""COMPUTED_VALUE"""),370.0)</f>
        <v>370</v>
      </c>
      <c r="E965" s="2">
        <f>IFERROR(__xludf.DUMMYFUNCTION("""COMPUTED_VALUE"""),372.0)</f>
        <v>372</v>
      </c>
      <c r="F965" s="2">
        <f>IFERROR(__xludf.DUMMYFUNCTION("""COMPUTED_VALUE"""),4.4751E7)</f>
        <v>44751000</v>
      </c>
      <c r="G965" s="2">
        <f t="shared" si="1"/>
        <v>10</v>
      </c>
    </row>
    <row r="966" ht="15.75" customHeight="1">
      <c r="A966" s="1">
        <f>IFERROR(__xludf.DUMMYFUNCTION("""COMPUTED_VALUE"""),45274.66666666667)</f>
        <v>45274.66667</v>
      </c>
      <c r="B966" s="2">
        <f>IFERROR(__xludf.DUMMYFUNCTION("""COMPUTED_VALUE"""),374.0)</f>
        <v>374</v>
      </c>
      <c r="C966" s="2">
        <f>IFERROR(__xludf.DUMMYFUNCTION("""COMPUTED_VALUE"""),382.0)</f>
        <v>382</v>
      </c>
      <c r="D966" s="2">
        <f>IFERROR(__xludf.DUMMYFUNCTION("""COMPUTED_VALUE"""),372.0)</f>
        <v>372</v>
      </c>
      <c r="E966" s="2">
        <f>IFERROR(__xludf.DUMMYFUNCTION("""COMPUTED_VALUE"""),378.0)</f>
        <v>378</v>
      </c>
      <c r="F966" s="2">
        <f>IFERROR(__xludf.DUMMYFUNCTION("""COMPUTED_VALUE"""),1.4446E7)</f>
        <v>14446000</v>
      </c>
      <c r="G966" s="2">
        <f t="shared" si="1"/>
        <v>10</v>
      </c>
    </row>
    <row r="967" ht="15.75" customHeight="1">
      <c r="A967" s="1">
        <f>IFERROR(__xludf.DUMMYFUNCTION("""COMPUTED_VALUE"""),45275.66666666667)</f>
        <v>45275.66667</v>
      </c>
      <c r="B967" s="2">
        <f>IFERROR(__xludf.DUMMYFUNCTION("""COMPUTED_VALUE"""),382.0)</f>
        <v>382</v>
      </c>
      <c r="C967" s="2">
        <f>IFERROR(__xludf.DUMMYFUNCTION("""COMPUTED_VALUE"""),386.0)</f>
        <v>386</v>
      </c>
      <c r="D967" s="2">
        <f>IFERROR(__xludf.DUMMYFUNCTION("""COMPUTED_VALUE"""),378.0)</f>
        <v>378</v>
      </c>
      <c r="E967" s="2">
        <f>IFERROR(__xludf.DUMMYFUNCTION("""COMPUTED_VALUE"""),378.0)</f>
        <v>378</v>
      </c>
      <c r="F967" s="2">
        <f>IFERROR(__xludf.DUMMYFUNCTION("""COMPUTED_VALUE"""),1.52323E7)</f>
        <v>15232300</v>
      </c>
      <c r="G967" s="2">
        <f t="shared" si="1"/>
        <v>8</v>
      </c>
    </row>
    <row r="968" ht="15.75" customHeight="1">
      <c r="A968" s="1">
        <f>IFERROR(__xludf.DUMMYFUNCTION("""COMPUTED_VALUE"""),45278.66666666667)</f>
        <v>45278.66667</v>
      </c>
      <c r="B968" s="2">
        <f>IFERROR(__xludf.DUMMYFUNCTION("""COMPUTED_VALUE"""),380.0)</f>
        <v>380</v>
      </c>
      <c r="C968" s="2">
        <f>IFERROR(__xludf.DUMMYFUNCTION("""COMPUTED_VALUE"""),386.0)</f>
        <v>386</v>
      </c>
      <c r="D968" s="2">
        <f>IFERROR(__xludf.DUMMYFUNCTION("""COMPUTED_VALUE"""),378.0)</f>
        <v>378</v>
      </c>
      <c r="E968" s="2">
        <f>IFERROR(__xludf.DUMMYFUNCTION("""COMPUTED_VALUE"""),378.0)</f>
        <v>378</v>
      </c>
      <c r="F968" s="2">
        <f>IFERROR(__xludf.DUMMYFUNCTION("""COMPUTED_VALUE"""),2.00463E7)</f>
        <v>20046300</v>
      </c>
      <c r="G968" s="2">
        <f t="shared" si="1"/>
        <v>8</v>
      </c>
    </row>
    <row r="969" ht="15.75" customHeight="1">
      <c r="A969" s="1">
        <f>IFERROR(__xludf.DUMMYFUNCTION("""COMPUTED_VALUE"""),45279.66666666667)</f>
        <v>45279.66667</v>
      </c>
      <c r="B969" s="2">
        <f>IFERROR(__xludf.DUMMYFUNCTION("""COMPUTED_VALUE"""),380.0)</f>
        <v>380</v>
      </c>
      <c r="C969" s="2">
        <f>IFERROR(__xludf.DUMMYFUNCTION("""COMPUTED_VALUE"""),386.0)</f>
        <v>386</v>
      </c>
      <c r="D969" s="2">
        <f>IFERROR(__xludf.DUMMYFUNCTION("""COMPUTED_VALUE"""),380.0)</f>
        <v>380</v>
      </c>
      <c r="E969" s="2">
        <f>IFERROR(__xludf.DUMMYFUNCTION("""COMPUTED_VALUE"""),384.0)</f>
        <v>384</v>
      </c>
      <c r="F969" s="2">
        <f>IFERROR(__xludf.DUMMYFUNCTION("""COMPUTED_VALUE"""),1.11726E7)</f>
        <v>11172600</v>
      </c>
      <c r="G969" s="2">
        <f t="shared" si="1"/>
        <v>8</v>
      </c>
    </row>
    <row r="970" ht="15.75" customHeight="1">
      <c r="A970" s="1">
        <f>IFERROR(__xludf.DUMMYFUNCTION("""COMPUTED_VALUE"""),45280.66666666667)</f>
        <v>45280.66667</v>
      </c>
      <c r="B970" s="2">
        <f>IFERROR(__xludf.DUMMYFUNCTION("""COMPUTED_VALUE"""),386.0)</f>
        <v>386</v>
      </c>
      <c r="C970" s="2">
        <f>IFERROR(__xludf.DUMMYFUNCTION("""COMPUTED_VALUE"""),394.0)</f>
        <v>394</v>
      </c>
      <c r="D970" s="2">
        <f>IFERROR(__xludf.DUMMYFUNCTION("""COMPUTED_VALUE"""),384.0)</f>
        <v>384</v>
      </c>
      <c r="E970" s="2">
        <f>IFERROR(__xludf.DUMMYFUNCTION("""COMPUTED_VALUE"""),386.0)</f>
        <v>386</v>
      </c>
      <c r="F970" s="2">
        <f>IFERROR(__xludf.DUMMYFUNCTION("""COMPUTED_VALUE"""),1.97132E7)</f>
        <v>19713200</v>
      </c>
      <c r="G970" s="2">
        <f t="shared" si="1"/>
        <v>10</v>
      </c>
    </row>
    <row r="971" ht="15.75" customHeight="1">
      <c r="A971" s="1">
        <f>IFERROR(__xludf.DUMMYFUNCTION("""COMPUTED_VALUE"""),45281.66666666667)</f>
        <v>45281.66667</v>
      </c>
      <c r="B971" s="2">
        <f>IFERROR(__xludf.DUMMYFUNCTION("""COMPUTED_VALUE"""),390.0)</f>
        <v>390</v>
      </c>
      <c r="C971" s="2">
        <f>IFERROR(__xludf.DUMMYFUNCTION("""COMPUTED_VALUE"""),390.0)</f>
        <v>390</v>
      </c>
      <c r="D971" s="2">
        <f>IFERROR(__xludf.DUMMYFUNCTION("""COMPUTED_VALUE"""),382.0)</f>
        <v>382</v>
      </c>
      <c r="E971" s="2">
        <f>IFERROR(__xludf.DUMMYFUNCTION("""COMPUTED_VALUE"""),388.0)</f>
        <v>388</v>
      </c>
      <c r="F971" s="2">
        <f>IFERROR(__xludf.DUMMYFUNCTION("""COMPUTED_VALUE"""),1.13901E7)</f>
        <v>11390100</v>
      </c>
      <c r="G971" s="2">
        <f t="shared" si="1"/>
        <v>8</v>
      </c>
    </row>
    <row r="972" ht="15.75" customHeight="1">
      <c r="A972" s="1">
        <f>IFERROR(__xludf.DUMMYFUNCTION("""COMPUTED_VALUE"""),45282.66666666667)</f>
        <v>45282.66667</v>
      </c>
      <c r="B972" s="2">
        <f>IFERROR(__xludf.DUMMYFUNCTION("""COMPUTED_VALUE"""),390.0)</f>
        <v>390</v>
      </c>
      <c r="C972" s="2">
        <f>IFERROR(__xludf.DUMMYFUNCTION("""COMPUTED_VALUE"""),396.0)</f>
        <v>396</v>
      </c>
      <c r="D972" s="2">
        <f>IFERROR(__xludf.DUMMYFUNCTION("""COMPUTED_VALUE"""),388.0)</f>
        <v>388</v>
      </c>
      <c r="E972" s="2">
        <f>IFERROR(__xludf.DUMMYFUNCTION("""COMPUTED_VALUE"""),390.0)</f>
        <v>390</v>
      </c>
      <c r="F972" s="2">
        <f>IFERROR(__xludf.DUMMYFUNCTION("""COMPUTED_VALUE"""),1.73209E7)</f>
        <v>17320900</v>
      </c>
      <c r="G972" s="2">
        <f t="shared" si="1"/>
        <v>8</v>
      </c>
    </row>
    <row r="973" ht="15.75" customHeight="1">
      <c r="A973" s="1">
        <f>IFERROR(__xludf.DUMMYFUNCTION("""COMPUTED_VALUE"""),45287.66666666667)</f>
        <v>45287.66667</v>
      </c>
      <c r="B973" s="2">
        <f>IFERROR(__xludf.DUMMYFUNCTION("""COMPUTED_VALUE"""),390.0)</f>
        <v>390</v>
      </c>
      <c r="C973" s="2">
        <f>IFERROR(__xludf.DUMMYFUNCTION("""COMPUTED_VALUE"""),404.0)</f>
        <v>404</v>
      </c>
      <c r="D973" s="2">
        <f>IFERROR(__xludf.DUMMYFUNCTION("""COMPUTED_VALUE"""),390.0)</f>
        <v>390</v>
      </c>
      <c r="E973" s="2">
        <f>IFERROR(__xludf.DUMMYFUNCTION("""COMPUTED_VALUE"""),400.0)</f>
        <v>400</v>
      </c>
      <c r="F973" s="2">
        <f>IFERROR(__xludf.DUMMYFUNCTION("""COMPUTED_VALUE"""),3.46752E7)</f>
        <v>34675200</v>
      </c>
      <c r="G973" s="2">
        <f t="shared" si="1"/>
        <v>14</v>
      </c>
    </row>
    <row r="974" ht="15.75" customHeight="1">
      <c r="A974" s="1">
        <f>IFERROR(__xludf.DUMMYFUNCTION("""COMPUTED_VALUE"""),45288.66666666667)</f>
        <v>45288.66667</v>
      </c>
      <c r="B974" s="2">
        <f>IFERROR(__xludf.DUMMYFUNCTION("""COMPUTED_VALUE"""),400.0)</f>
        <v>400</v>
      </c>
      <c r="C974" s="2">
        <f>IFERROR(__xludf.DUMMYFUNCTION("""COMPUTED_VALUE"""),400.0)</f>
        <v>400</v>
      </c>
      <c r="D974" s="2">
        <f>IFERROR(__xludf.DUMMYFUNCTION("""COMPUTED_VALUE"""),396.0)</f>
        <v>396</v>
      </c>
      <c r="E974" s="2">
        <f>IFERROR(__xludf.DUMMYFUNCTION("""COMPUTED_VALUE"""),396.0)</f>
        <v>396</v>
      </c>
      <c r="F974" s="2">
        <f>IFERROR(__xludf.DUMMYFUNCTION("""COMPUTED_VALUE"""),1.58038E7)</f>
        <v>15803800</v>
      </c>
      <c r="G974" s="2">
        <f t="shared" si="1"/>
        <v>4</v>
      </c>
    </row>
    <row r="975" ht="15.75" customHeight="1">
      <c r="A975" s="1">
        <f>IFERROR(__xludf.DUMMYFUNCTION("""COMPUTED_VALUE"""),45289.66666666667)</f>
        <v>45289.66667</v>
      </c>
      <c r="B975" s="2">
        <f>IFERROR(__xludf.DUMMYFUNCTION("""COMPUTED_VALUE"""),398.0)</f>
        <v>398</v>
      </c>
      <c r="C975" s="2">
        <f>IFERROR(__xludf.DUMMYFUNCTION("""COMPUTED_VALUE"""),398.0)</f>
        <v>398</v>
      </c>
      <c r="D975" s="2">
        <f>IFERROR(__xludf.DUMMYFUNCTION("""COMPUTED_VALUE"""),386.0)</f>
        <v>386</v>
      </c>
      <c r="E975" s="2">
        <f>IFERROR(__xludf.DUMMYFUNCTION("""COMPUTED_VALUE"""),388.0)</f>
        <v>388</v>
      </c>
      <c r="F975" s="2">
        <f>IFERROR(__xludf.DUMMYFUNCTION("""COMPUTED_VALUE"""),2.15872E7)</f>
        <v>21587200</v>
      </c>
      <c r="G975" s="2">
        <f t="shared" si="1"/>
        <v>12</v>
      </c>
    </row>
    <row r="976" ht="15.75" customHeight="1">
      <c r="A976" s="1">
        <f>IFERROR(__xludf.DUMMYFUNCTION("""COMPUTED_VALUE"""),45293.66666666667)</f>
        <v>45293.66667</v>
      </c>
      <c r="B976" s="2">
        <f>IFERROR(__xludf.DUMMYFUNCTION("""COMPUTED_VALUE"""),388.0)</f>
        <v>388</v>
      </c>
      <c r="C976" s="2">
        <f>IFERROR(__xludf.DUMMYFUNCTION("""COMPUTED_VALUE"""),396.0)</f>
        <v>396</v>
      </c>
      <c r="D976" s="2">
        <f>IFERROR(__xludf.DUMMYFUNCTION("""COMPUTED_VALUE"""),388.0)</f>
        <v>388</v>
      </c>
      <c r="E976" s="2">
        <f>IFERROR(__xludf.DUMMYFUNCTION("""COMPUTED_VALUE"""),394.0)</f>
        <v>394</v>
      </c>
      <c r="F976" s="2">
        <f>IFERROR(__xludf.DUMMYFUNCTION("""COMPUTED_VALUE"""),1.06668E7)</f>
        <v>10666800</v>
      </c>
      <c r="G976" s="2">
        <f t="shared" si="1"/>
        <v>8</v>
      </c>
    </row>
    <row r="977" ht="15.75" customHeight="1">
      <c r="A977" s="1">
        <f>IFERROR(__xludf.DUMMYFUNCTION("""COMPUTED_VALUE"""),45294.66666666667)</f>
        <v>45294.66667</v>
      </c>
      <c r="B977" s="2">
        <f>IFERROR(__xludf.DUMMYFUNCTION("""COMPUTED_VALUE"""),394.0)</f>
        <v>394</v>
      </c>
      <c r="C977" s="2">
        <f>IFERROR(__xludf.DUMMYFUNCTION("""COMPUTED_VALUE"""),398.0)</f>
        <v>398</v>
      </c>
      <c r="D977" s="2">
        <f>IFERROR(__xludf.DUMMYFUNCTION("""COMPUTED_VALUE"""),392.0)</f>
        <v>392</v>
      </c>
      <c r="E977" s="2">
        <f>IFERROR(__xludf.DUMMYFUNCTION("""COMPUTED_VALUE"""),394.0)</f>
        <v>394</v>
      </c>
      <c r="F977" s="2">
        <f>IFERROR(__xludf.DUMMYFUNCTION("""COMPUTED_VALUE"""),1.15611E7)</f>
        <v>11561100</v>
      </c>
      <c r="G977" s="2">
        <f t="shared" si="1"/>
        <v>6</v>
      </c>
    </row>
    <row r="978" ht="15.75" customHeight="1">
      <c r="A978" s="1">
        <f>IFERROR(__xludf.DUMMYFUNCTION("""COMPUTED_VALUE"""),45295.66666666667)</f>
        <v>45295.66667</v>
      </c>
      <c r="B978" s="2">
        <f>IFERROR(__xludf.DUMMYFUNCTION("""COMPUTED_VALUE"""),398.0)</f>
        <v>398</v>
      </c>
      <c r="C978" s="2">
        <f>IFERROR(__xludf.DUMMYFUNCTION("""COMPUTED_VALUE"""),408.0)</f>
        <v>408</v>
      </c>
      <c r="D978" s="2">
        <f>IFERROR(__xludf.DUMMYFUNCTION("""COMPUTED_VALUE"""),398.0)</f>
        <v>398</v>
      </c>
      <c r="E978" s="2">
        <f>IFERROR(__xludf.DUMMYFUNCTION("""COMPUTED_VALUE"""),408.0)</f>
        <v>408</v>
      </c>
      <c r="F978" s="2">
        <f>IFERROR(__xludf.DUMMYFUNCTION("""COMPUTED_VALUE"""),3.6494E7)</f>
        <v>36494000</v>
      </c>
      <c r="G978" s="2">
        <f t="shared" si="1"/>
        <v>14</v>
      </c>
    </row>
    <row r="979" ht="15.75" customHeight="1">
      <c r="A979" s="1">
        <f>IFERROR(__xludf.DUMMYFUNCTION("""COMPUTED_VALUE"""),45296.66666666667)</f>
        <v>45296.66667</v>
      </c>
      <c r="B979" s="2">
        <f>IFERROR(__xludf.DUMMYFUNCTION("""COMPUTED_VALUE"""),408.0)</f>
        <v>408</v>
      </c>
      <c r="C979" s="2">
        <f>IFERROR(__xludf.DUMMYFUNCTION("""COMPUTED_VALUE"""),410.0)</f>
        <v>410</v>
      </c>
      <c r="D979" s="2">
        <f>IFERROR(__xludf.DUMMYFUNCTION("""COMPUTED_VALUE"""),400.0)</f>
        <v>400</v>
      </c>
      <c r="E979" s="2">
        <f>IFERROR(__xludf.DUMMYFUNCTION("""COMPUTED_VALUE"""),402.0)</f>
        <v>402</v>
      </c>
      <c r="F979" s="2">
        <f>IFERROR(__xludf.DUMMYFUNCTION("""COMPUTED_VALUE"""),1.75935E7)</f>
        <v>17593500</v>
      </c>
      <c r="G979" s="2">
        <f t="shared" si="1"/>
        <v>10</v>
      </c>
    </row>
    <row r="980" ht="15.75" customHeight="1">
      <c r="A980" s="1">
        <f>IFERROR(__xludf.DUMMYFUNCTION("""COMPUTED_VALUE"""),45299.66666666667)</f>
        <v>45299.66667</v>
      </c>
      <c r="B980" s="2">
        <f>IFERROR(__xludf.DUMMYFUNCTION("""COMPUTED_VALUE"""),402.0)</f>
        <v>402</v>
      </c>
      <c r="C980" s="2">
        <f>IFERROR(__xludf.DUMMYFUNCTION("""COMPUTED_VALUE"""),412.0)</f>
        <v>412</v>
      </c>
      <c r="D980" s="2">
        <f>IFERROR(__xludf.DUMMYFUNCTION("""COMPUTED_VALUE"""),394.0)</f>
        <v>394</v>
      </c>
      <c r="E980" s="2">
        <f>IFERROR(__xludf.DUMMYFUNCTION("""COMPUTED_VALUE"""),398.0)</f>
        <v>398</v>
      </c>
      <c r="F980" s="2">
        <f>IFERROR(__xludf.DUMMYFUNCTION("""COMPUTED_VALUE"""),3.79664E7)</f>
        <v>37966400</v>
      </c>
      <c r="G980" s="2">
        <f t="shared" si="1"/>
        <v>18</v>
      </c>
    </row>
    <row r="981" ht="15.75" customHeight="1">
      <c r="A981" s="1">
        <f>IFERROR(__xludf.DUMMYFUNCTION("""COMPUTED_VALUE"""),45300.66666666667)</f>
        <v>45300.66667</v>
      </c>
      <c r="B981" s="2">
        <f>IFERROR(__xludf.DUMMYFUNCTION("""COMPUTED_VALUE"""),398.0)</f>
        <v>398</v>
      </c>
      <c r="C981" s="2">
        <f>IFERROR(__xludf.DUMMYFUNCTION("""COMPUTED_VALUE"""),398.0)</f>
        <v>398</v>
      </c>
      <c r="D981" s="2">
        <f>IFERROR(__xludf.DUMMYFUNCTION("""COMPUTED_VALUE"""),388.0)</f>
        <v>388</v>
      </c>
      <c r="E981" s="2">
        <f>IFERROR(__xludf.DUMMYFUNCTION("""COMPUTED_VALUE"""),388.0)</f>
        <v>388</v>
      </c>
      <c r="F981" s="2">
        <f>IFERROR(__xludf.DUMMYFUNCTION("""COMPUTED_VALUE"""),3.02295E7)</f>
        <v>30229500</v>
      </c>
      <c r="G981" s="2">
        <f t="shared" si="1"/>
        <v>10</v>
      </c>
    </row>
    <row r="982" ht="15.75" customHeight="1">
      <c r="A982" s="1">
        <f>IFERROR(__xludf.DUMMYFUNCTION("""COMPUTED_VALUE"""),45301.66666666667)</f>
        <v>45301.66667</v>
      </c>
      <c r="B982" s="2">
        <f>IFERROR(__xludf.DUMMYFUNCTION("""COMPUTED_VALUE"""),390.0)</f>
        <v>390</v>
      </c>
      <c r="C982" s="2">
        <f>IFERROR(__xludf.DUMMYFUNCTION("""COMPUTED_VALUE"""),394.0)</f>
        <v>394</v>
      </c>
      <c r="D982" s="2">
        <f>IFERROR(__xludf.DUMMYFUNCTION("""COMPUTED_VALUE"""),386.0)</f>
        <v>386</v>
      </c>
      <c r="E982" s="2">
        <f>IFERROR(__xludf.DUMMYFUNCTION("""COMPUTED_VALUE"""),390.0)</f>
        <v>390</v>
      </c>
      <c r="F982" s="2">
        <f>IFERROR(__xludf.DUMMYFUNCTION("""COMPUTED_VALUE"""),1.48788E7)</f>
        <v>14878800</v>
      </c>
      <c r="G982" s="2">
        <f t="shared" si="1"/>
        <v>8</v>
      </c>
    </row>
    <row r="983" ht="15.75" customHeight="1">
      <c r="A983" s="1">
        <f>IFERROR(__xludf.DUMMYFUNCTION("""COMPUTED_VALUE"""),45302.66666666667)</f>
        <v>45302.66667</v>
      </c>
      <c r="B983" s="2">
        <f>IFERROR(__xludf.DUMMYFUNCTION("""COMPUTED_VALUE"""),392.0)</f>
        <v>392</v>
      </c>
      <c r="C983" s="2">
        <f>IFERROR(__xludf.DUMMYFUNCTION("""COMPUTED_VALUE"""),394.0)</f>
        <v>394</v>
      </c>
      <c r="D983" s="2">
        <f>IFERROR(__xludf.DUMMYFUNCTION("""COMPUTED_VALUE"""),390.0)</f>
        <v>390</v>
      </c>
      <c r="E983" s="2">
        <f>IFERROR(__xludf.DUMMYFUNCTION("""COMPUTED_VALUE"""),392.0)</f>
        <v>392</v>
      </c>
      <c r="F983" s="2">
        <f>IFERROR(__xludf.DUMMYFUNCTION("""COMPUTED_VALUE"""),1.02068E7)</f>
        <v>10206800</v>
      </c>
      <c r="G983" s="2">
        <f t="shared" si="1"/>
        <v>4</v>
      </c>
    </row>
    <row r="984" ht="15.75" customHeight="1">
      <c r="A984" s="1">
        <f>IFERROR(__xludf.DUMMYFUNCTION("""COMPUTED_VALUE"""),45303.66666666667)</f>
        <v>45303.66667</v>
      </c>
      <c r="B984" s="2">
        <f>IFERROR(__xludf.DUMMYFUNCTION("""COMPUTED_VALUE"""),394.0)</f>
        <v>394</v>
      </c>
      <c r="C984" s="2">
        <f>IFERROR(__xludf.DUMMYFUNCTION("""COMPUTED_VALUE"""),412.0)</f>
        <v>412</v>
      </c>
      <c r="D984" s="2">
        <f>IFERROR(__xludf.DUMMYFUNCTION("""COMPUTED_VALUE"""),392.0)</f>
        <v>392</v>
      </c>
      <c r="E984" s="2">
        <f>IFERROR(__xludf.DUMMYFUNCTION("""COMPUTED_VALUE"""),412.0)</f>
        <v>412</v>
      </c>
      <c r="F984" s="2">
        <f>IFERROR(__xludf.DUMMYFUNCTION("""COMPUTED_VALUE"""),7.18569E7)</f>
        <v>71856900</v>
      </c>
      <c r="G984" s="2">
        <f t="shared" si="1"/>
        <v>20</v>
      </c>
    </row>
    <row r="985" ht="15.75" customHeight="1">
      <c r="A985" s="1">
        <f>IFERROR(__xludf.DUMMYFUNCTION("""COMPUTED_VALUE"""),45306.66666666667)</f>
        <v>45306.66667</v>
      </c>
      <c r="B985" s="2">
        <f>IFERROR(__xludf.DUMMYFUNCTION("""COMPUTED_VALUE"""),416.0)</f>
        <v>416</v>
      </c>
      <c r="C985" s="2">
        <f>IFERROR(__xludf.DUMMYFUNCTION("""COMPUTED_VALUE"""),418.0)</f>
        <v>418</v>
      </c>
      <c r="D985" s="2">
        <f>IFERROR(__xludf.DUMMYFUNCTION("""COMPUTED_VALUE"""),408.0)</f>
        <v>408</v>
      </c>
      <c r="E985" s="2">
        <f>IFERROR(__xludf.DUMMYFUNCTION("""COMPUTED_VALUE"""),410.0)</f>
        <v>410</v>
      </c>
      <c r="F985" s="2">
        <f>IFERROR(__xludf.DUMMYFUNCTION("""COMPUTED_VALUE"""),3.33371E7)</f>
        <v>33337100</v>
      </c>
      <c r="G985" s="2">
        <f t="shared" si="1"/>
        <v>10</v>
      </c>
    </row>
    <row r="986" ht="15.75" customHeight="1">
      <c r="A986" s="1">
        <f>IFERROR(__xludf.DUMMYFUNCTION("""COMPUTED_VALUE"""),45307.66666666667)</f>
        <v>45307.66667</v>
      </c>
      <c r="B986" s="2">
        <f>IFERROR(__xludf.DUMMYFUNCTION("""COMPUTED_VALUE"""),410.0)</f>
        <v>410</v>
      </c>
      <c r="C986" s="2">
        <f>IFERROR(__xludf.DUMMYFUNCTION("""COMPUTED_VALUE"""),420.0)</f>
        <v>420</v>
      </c>
      <c r="D986" s="2">
        <f>IFERROR(__xludf.DUMMYFUNCTION("""COMPUTED_VALUE"""),410.0)</f>
        <v>410</v>
      </c>
      <c r="E986" s="2">
        <f>IFERROR(__xludf.DUMMYFUNCTION("""COMPUTED_VALUE"""),418.0)</f>
        <v>418</v>
      </c>
      <c r="F986" s="2">
        <f>IFERROR(__xludf.DUMMYFUNCTION("""COMPUTED_VALUE"""),6.62577E7)</f>
        <v>66257700</v>
      </c>
      <c r="G986" s="2">
        <f t="shared" si="1"/>
        <v>10</v>
      </c>
    </row>
    <row r="987" ht="15.75" customHeight="1">
      <c r="A987" s="1">
        <f>IFERROR(__xludf.DUMMYFUNCTION("""COMPUTED_VALUE"""),45308.66666666667)</f>
        <v>45308.66667</v>
      </c>
      <c r="B987" s="2">
        <f>IFERROR(__xludf.DUMMYFUNCTION("""COMPUTED_VALUE"""),416.0)</f>
        <v>416</v>
      </c>
      <c r="C987" s="2">
        <f>IFERROR(__xludf.DUMMYFUNCTION("""COMPUTED_VALUE"""),422.0)</f>
        <v>422</v>
      </c>
      <c r="D987" s="2">
        <f>IFERROR(__xludf.DUMMYFUNCTION("""COMPUTED_VALUE"""),408.0)</f>
        <v>408</v>
      </c>
      <c r="E987" s="2">
        <f>IFERROR(__xludf.DUMMYFUNCTION("""COMPUTED_VALUE"""),408.0)</f>
        <v>408</v>
      </c>
      <c r="F987" s="2">
        <f>IFERROR(__xludf.DUMMYFUNCTION("""COMPUTED_VALUE"""),2.23138E7)</f>
        <v>22313800</v>
      </c>
      <c r="G987" s="2">
        <f t="shared" si="1"/>
        <v>14</v>
      </c>
    </row>
    <row r="988" ht="15.75" customHeight="1">
      <c r="A988" s="1">
        <f>IFERROR(__xludf.DUMMYFUNCTION("""COMPUTED_VALUE"""),45309.66666666667)</f>
        <v>45309.66667</v>
      </c>
      <c r="B988" s="2">
        <f>IFERROR(__xludf.DUMMYFUNCTION("""COMPUTED_VALUE"""),410.0)</f>
        <v>410</v>
      </c>
      <c r="C988" s="2">
        <f>IFERROR(__xludf.DUMMYFUNCTION("""COMPUTED_VALUE"""),414.0)</f>
        <v>414</v>
      </c>
      <c r="D988" s="2">
        <f>IFERROR(__xludf.DUMMYFUNCTION("""COMPUTED_VALUE"""),402.0)</f>
        <v>402</v>
      </c>
      <c r="E988" s="2">
        <f>IFERROR(__xludf.DUMMYFUNCTION("""COMPUTED_VALUE"""),410.0)</f>
        <v>410</v>
      </c>
      <c r="F988" s="2">
        <f>IFERROR(__xludf.DUMMYFUNCTION("""COMPUTED_VALUE"""),1.56944E7)</f>
        <v>15694400</v>
      </c>
      <c r="G988" s="2">
        <f t="shared" si="1"/>
        <v>12</v>
      </c>
    </row>
    <row r="989" ht="15.75" customHeight="1">
      <c r="A989" s="1">
        <f>IFERROR(__xludf.DUMMYFUNCTION("""COMPUTED_VALUE"""),45310.66666666667)</f>
        <v>45310.66667</v>
      </c>
      <c r="B989" s="2">
        <f>IFERROR(__xludf.DUMMYFUNCTION("""COMPUTED_VALUE"""),410.0)</f>
        <v>410</v>
      </c>
      <c r="C989" s="2">
        <f>IFERROR(__xludf.DUMMYFUNCTION("""COMPUTED_VALUE"""),416.0)</f>
        <v>416</v>
      </c>
      <c r="D989" s="2">
        <f>IFERROR(__xludf.DUMMYFUNCTION("""COMPUTED_VALUE"""),408.0)</f>
        <v>408</v>
      </c>
      <c r="E989" s="2">
        <f>IFERROR(__xludf.DUMMYFUNCTION("""COMPUTED_VALUE"""),408.0)</f>
        <v>408</v>
      </c>
      <c r="F989" s="2">
        <f>IFERROR(__xludf.DUMMYFUNCTION("""COMPUTED_VALUE"""),9778400.0)</f>
        <v>9778400</v>
      </c>
      <c r="G989" s="2">
        <f t="shared" si="1"/>
        <v>8</v>
      </c>
    </row>
    <row r="990" ht="15.75" customHeight="1">
      <c r="A990" s="1">
        <f>IFERROR(__xludf.DUMMYFUNCTION("""COMPUTED_VALUE"""),45313.66666666667)</f>
        <v>45313.66667</v>
      </c>
      <c r="B990" s="2">
        <f>IFERROR(__xludf.DUMMYFUNCTION("""COMPUTED_VALUE"""),408.0)</f>
        <v>408</v>
      </c>
      <c r="C990" s="2">
        <f>IFERROR(__xludf.DUMMYFUNCTION("""COMPUTED_VALUE"""),410.0)</f>
        <v>410</v>
      </c>
      <c r="D990" s="2">
        <f>IFERROR(__xludf.DUMMYFUNCTION("""COMPUTED_VALUE"""),398.0)</f>
        <v>398</v>
      </c>
      <c r="E990" s="2">
        <f>IFERROR(__xludf.DUMMYFUNCTION("""COMPUTED_VALUE"""),400.0)</f>
        <v>400</v>
      </c>
      <c r="F990" s="2">
        <f>IFERROR(__xludf.DUMMYFUNCTION("""COMPUTED_VALUE"""),2.1376E7)</f>
        <v>21376000</v>
      </c>
      <c r="G990" s="2">
        <f t="shared" si="1"/>
        <v>12</v>
      </c>
    </row>
    <row r="991" ht="15.75" customHeight="1">
      <c r="A991" s="1">
        <f>IFERROR(__xludf.DUMMYFUNCTION("""COMPUTED_VALUE"""),45314.66666666667)</f>
        <v>45314.66667</v>
      </c>
      <c r="B991" s="2">
        <f>IFERROR(__xludf.DUMMYFUNCTION("""COMPUTED_VALUE"""),404.0)</f>
        <v>404</v>
      </c>
      <c r="C991" s="2">
        <f>IFERROR(__xludf.DUMMYFUNCTION("""COMPUTED_VALUE"""),412.0)</f>
        <v>412</v>
      </c>
      <c r="D991" s="2">
        <f>IFERROR(__xludf.DUMMYFUNCTION("""COMPUTED_VALUE"""),396.0)</f>
        <v>396</v>
      </c>
      <c r="E991" s="2">
        <f>IFERROR(__xludf.DUMMYFUNCTION("""COMPUTED_VALUE"""),402.0)</f>
        <v>402</v>
      </c>
      <c r="F991" s="2">
        <f>IFERROR(__xludf.DUMMYFUNCTION("""COMPUTED_VALUE"""),3.87551E7)</f>
        <v>38755100</v>
      </c>
      <c r="G991" s="2">
        <f t="shared" si="1"/>
        <v>16</v>
      </c>
    </row>
    <row r="992" ht="15.75" customHeight="1">
      <c r="A992" s="1">
        <f>IFERROR(__xludf.DUMMYFUNCTION("""COMPUTED_VALUE"""),45315.66666666667)</f>
        <v>45315.66667</v>
      </c>
      <c r="B992" s="2">
        <f>IFERROR(__xludf.DUMMYFUNCTION("""COMPUTED_VALUE"""),402.0)</f>
        <v>402</v>
      </c>
      <c r="C992" s="2">
        <f>IFERROR(__xludf.DUMMYFUNCTION("""COMPUTED_VALUE"""),406.0)</f>
        <v>406</v>
      </c>
      <c r="D992" s="2">
        <f>IFERROR(__xludf.DUMMYFUNCTION("""COMPUTED_VALUE"""),394.0)</f>
        <v>394</v>
      </c>
      <c r="E992" s="2">
        <f>IFERROR(__xludf.DUMMYFUNCTION("""COMPUTED_VALUE"""),394.0)</f>
        <v>394</v>
      </c>
      <c r="F992" s="2">
        <f>IFERROR(__xludf.DUMMYFUNCTION("""COMPUTED_VALUE"""),2.076E7)</f>
        <v>20760000</v>
      </c>
      <c r="G992" s="2">
        <f t="shared" si="1"/>
        <v>12</v>
      </c>
    </row>
    <row r="993" ht="15.75" customHeight="1">
      <c r="A993" s="1">
        <f>IFERROR(__xludf.DUMMYFUNCTION("""COMPUTED_VALUE"""),45316.66666666667)</f>
        <v>45316.66667</v>
      </c>
      <c r="B993" s="2">
        <f>IFERROR(__xludf.DUMMYFUNCTION("""COMPUTED_VALUE"""),394.0)</f>
        <v>394</v>
      </c>
      <c r="C993" s="2">
        <f>IFERROR(__xludf.DUMMYFUNCTION("""COMPUTED_VALUE"""),406.0)</f>
        <v>406</v>
      </c>
      <c r="D993" s="2">
        <f>IFERROR(__xludf.DUMMYFUNCTION("""COMPUTED_VALUE"""),394.0)</f>
        <v>394</v>
      </c>
      <c r="E993" s="2">
        <f>IFERROR(__xludf.DUMMYFUNCTION("""COMPUTED_VALUE"""),402.0)</f>
        <v>402</v>
      </c>
      <c r="F993" s="2">
        <f>IFERROR(__xludf.DUMMYFUNCTION("""COMPUTED_VALUE"""),1.70514E7)</f>
        <v>17051400</v>
      </c>
      <c r="G993" s="2">
        <f t="shared" si="1"/>
        <v>12</v>
      </c>
    </row>
    <row r="994" ht="15.75" customHeight="1">
      <c r="A994" s="1">
        <f>IFERROR(__xludf.DUMMYFUNCTION("""COMPUTED_VALUE"""),45317.66666666667)</f>
        <v>45317.66667</v>
      </c>
      <c r="B994" s="2">
        <f>IFERROR(__xludf.DUMMYFUNCTION("""COMPUTED_VALUE"""),406.0)</f>
        <v>406</v>
      </c>
      <c r="C994" s="2">
        <f>IFERROR(__xludf.DUMMYFUNCTION("""COMPUTED_VALUE"""),410.0)</f>
        <v>410</v>
      </c>
      <c r="D994" s="2">
        <f>IFERROR(__xludf.DUMMYFUNCTION("""COMPUTED_VALUE"""),400.0)</f>
        <v>400</v>
      </c>
      <c r="E994" s="2">
        <f>IFERROR(__xludf.DUMMYFUNCTION("""COMPUTED_VALUE"""),402.0)</f>
        <v>402</v>
      </c>
      <c r="F994" s="2">
        <f>IFERROR(__xludf.DUMMYFUNCTION("""COMPUTED_VALUE"""),1.34027E7)</f>
        <v>13402700</v>
      </c>
      <c r="G994" s="2">
        <f t="shared" si="1"/>
        <v>10</v>
      </c>
    </row>
    <row r="995" ht="15.75" customHeight="1">
      <c r="A995" s="1">
        <f>IFERROR(__xludf.DUMMYFUNCTION("""COMPUTED_VALUE"""),45320.66666666667)</f>
        <v>45320.66667</v>
      </c>
      <c r="B995" s="2">
        <f>IFERROR(__xludf.DUMMYFUNCTION("""COMPUTED_VALUE"""),406.0)</f>
        <v>406</v>
      </c>
      <c r="C995" s="2">
        <f>IFERROR(__xludf.DUMMYFUNCTION("""COMPUTED_VALUE"""),410.0)</f>
        <v>410</v>
      </c>
      <c r="D995" s="2">
        <f>IFERROR(__xludf.DUMMYFUNCTION("""COMPUTED_VALUE"""),402.0)</f>
        <v>402</v>
      </c>
      <c r="E995" s="2">
        <f>IFERROR(__xludf.DUMMYFUNCTION("""COMPUTED_VALUE"""),402.0)</f>
        <v>402</v>
      </c>
      <c r="F995" s="2">
        <f>IFERROR(__xludf.DUMMYFUNCTION("""COMPUTED_VALUE"""),1.8807E7)</f>
        <v>18807000</v>
      </c>
      <c r="G995" s="2">
        <f t="shared" si="1"/>
        <v>8</v>
      </c>
    </row>
    <row r="996" ht="15.75" customHeight="1">
      <c r="A996" s="1">
        <f>IFERROR(__xludf.DUMMYFUNCTION("""COMPUTED_VALUE"""),45321.66666666667)</f>
        <v>45321.66667</v>
      </c>
      <c r="B996" s="2">
        <f>IFERROR(__xludf.DUMMYFUNCTION("""COMPUTED_VALUE"""),402.0)</f>
        <v>402</v>
      </c>
      <c r="C996" s="2">
        <f>IFERROR(__xludf.DUMMYFUNCTION("""COMPUTED_VALUE"""),406.0)</f>
        <v>406</v>
      </c>
      <c r="D996" s="2">
        <f>IFERROR(__xludf.DUMMYFUNCTION("""COMPUTED_VALUE"""),396.0)</f>
        <v>396</v>
      </c>
      <c r="E996" s="2">
        <f>IFERROR(__xludf.DUMMYFUNCTION("""COMPUTED_VALUE"""),402.0)</f>
        <v>402</v>
      </c>
      <c r="F996" s="2">
        <f>IFERROR(__xludf.DUMMYFUNCTION("""COMPUTED_VALUE"""),1.53487E7)</f>
        <v>15348700</v>
      </c>
      <c r="G996" s="2">
        <f t="shared" si="1"/>
        <v>10</v>
      </c>
    </row>
    <row r="997" ht="15.75" customHeight="1">
      <c r="A997" s="1">
        <f>IFERROR(__xludf.DUMMYFUNCTION("""COMPUTED_VALUE"""),45322.66666666667)</f>
        <v>45322.66667</v>
      </c>
      <c r="B997" s="2">
        <f>IFERROR(__xludf.DUMMYFUNCTION("""COMPUTED_VALUE"""),402.0)</f>
        <v>402</v>
      </c>
      <c r="C997" s="2">
        <f>IFERROR(__xludf.DUMMYFUNCTION("""COMPUTED_VALUE"""),408.0)</f>
        <v>408</v>
      </c>
      <c r="D997" s="2">
        <f>IFERROR(__xludf.DUMMYFUNCTION("""COMPUTED_VALUE"""),402.0)</f>
        <v>402</v>
      </c>
      <c r="E997" s="2">
        <f>IFERROR(__xludf.DUMMYFUNCTION("""COMPUTED_VALUE"""),402.0)</f>
        <v>402</v>
      </c>
      <c r="F997" s="2">
        <f>IFERROR(__xludf.DUMMYFUNCTION("""COMPUTED_VALUE"""),1.16435E7)</f>
        <v>11643500</v>
      </c>
      <c r="G997" s="2">
        <f t="shared" si="1"/>
        <v>6</v>
      </c>
    </row>
    <row r="998" ht="15.75" customHeight="1">
      <c r="A998" s="1">
        <f>IFERROR(__xludf.DUMMYFUNCTION("""COMPUTED_VALUE"""),45323.66666666667)</f>
        <v>45323.66667</v>
      </c>
      <c r="B998" s="2">
        <f>IFERROR(__xludf.DUMMYFUNCTION("""COMPUTED_VALUE"""),404.0)</f>
        <v>404</v>
      </c>
      <c r="C998" s="2">
        <f>IFERROR(__xludf.DUMMYFUNCTION("""COMPUTED_VALUE"""),404.0)</f>
        <v>404</v>
      </c>
      <c r="D998" s="2">
        <f>IFERROR(__xludf.DUMMYFUNCTION("""COMPUTED_VALUE"""),396.0)</f>
        <v>396</v>
      </c>
      <c r="E998" s="2">
        <f>IFERROR(__xludf.DUMMYFUNCTION("""COMPUTED_VALUE"""),400.0)</f>
        <v>400</v>
      </c>
      <c r="F998" s="2">
        <f>IFERROR(__xludf.DUMMYFUNCTION("""COMPUTED_VALUE"""),1.60016E7)</f>
        <v>16001600</v>
      </c>
      <c r="G998" s="2">
        <f t="shared" si="1"/>
        <v>8</v>
      </c>
    </row>
    <row r="999" ht="15.75" customHeight="1">
      <c r="A999" s="1">
        <f>IFERROR(__xludf.DUMMYFUNCTION("""COMPUTED_VALUE"""),45324.66666666667)</f>
        <v>45324.66667</v>
      </c>
      <c r="B999" s="2">
        <f>IFERROR(__xludf.DUMMYFUNCTION("""COMPUTED_VALUE"""),402.0)</f>
        <v>402</v>
      </c>
      <c r="C999" s="2">
        <f>IFERROR(__xludf.DUMMYFUNCTION("""COMPUTED_VALUE"""),402.0)</f>
        <v>402</v>
      </c>
      <c r="D999" s="2">
        <f>IFERROR(__xludf.DUMMYFUNCTION("""COMPUTED_VALUE"""),398.0)</f>
        <v>398</v>
      </c>
      <c r="E999" s="2">
        <f>IFERROR(__xludf.DUMMYFUNCTION("""COMPUTED_VALUE"""),398.0)</f>
        <v>398</v>
      </c>
      <c r="F999" s="2">
        <f>IFERROR(__xludf.DUMMYFUNCTION("""COMPUTED_VALUE"""),7938000.0)</f>
        <v>7938000</v>
      </c>
      <c r="G999" s="2">
        <f t="shared" si="1"/>
        <v>4</v>
      </c>
    </row>
    <row r="1000" ht="15.75" customHeight="1">
      <c r="A1000" s="1">
        <f>IFERROR(__xludf.DUMMYFUNCTION("""COMPUTED_VALUE"""),45327.66666666667)</f>
        <v>45327.66667</v>
      </c>
      <c r="B1000" s="2">
        <f>IFERROR(__xludf.DUMMYFUNCTION("""COMPUTED_VALUE"""),398.0)</f>
        <v>398</v>
      </c>
      <c r="C1000" s="2">
        <f>IFERROR(__xludf.DUMMYFUNCTION("""COMPUTED_VALUE"""),400.0)</f>
        <v>400</v>
      </c>
      <c r="D1000" s="2">
        <f>IFERROR(__xludf.DUMMYFUNCTION("""COMPUTED_VALUE"""),394.0)</f>
        <v>394</v>
      </c>
      <c r="E1000" s="2">
        <f>IFERROR(__xludf.DUMMYFUNCTION("""COMPUTED_VALUE"""),396.0)</f>
        <v>396</v>
      </c>
      <c r="F1000" s="2">
        <f>IFERROR(__xludf.DUMMYFUNCTION("""COMPUTED_VALUE"""),1.02678E7)</f>
        <v>10267800</v>
      </c>
      <c r="G1000" s="2">
        <f t="shared" si="1"/>
        <v>6</v>
      </c>
    </row>
    <row r="1001" ht="15.75" customHeight="1">
      <c r="A1001" s="1">
        <f>IFERROR(__xludf.DUMMYFUNCTION("""COMPUTED_VALUE"""),45328.66666666667)</f>
        <v>45328.66667</v>
      </c>
      <c r="B1001" s="2">
        <f>IFERROR(__xludf.DUMMYFUNCTION("""COMPUTED_VALUE"""),398.0)</f>
        <v>398</v>
      </c>
      <c r="C1001" s="2">
        <f>IFERROR(__xludf.DUMMYFUNCTION("""COMPUTED_VALUE"""),402.0)</f>
        <v>402</v>
      </c>
      <c r="D1001" s="2">
        <f>IFERROR(__xludf.DUMMYFUNCTION("""COMPUTED_VALUE"""),394.0)</f>
        <v>394</v>
      </c>
      <c r="E1001" s="2">
        <f>IFERROR(__xludf.DUMMYFUNCTION("""COMPUTED_VALUE"""),398.0)</f>
        <v>398</v>
      </c>
      <c r="F1001" s="2">
        <f>IFERROR(__xludf.DUMMYFUNCTION("""COMPUTED_VALUE"""),8616400.0)</f>
        <v>8616400</v>
      </c>
      <c r="G1001" s="2">
        <f t="shared" si="1"/>
        <v>8</v>
      </c>
    </row>
    <row r="1002" ht="15.75" customHeight="1">
      <c r="A1002" s="1">
        <f>IFERROR(__xludf.DUMMYFUNCTION("""COMPUTED_VALUE"""),45329.66666666667)</f>
        <v>45329.66667</v>
      </c>
      <c r="B1002" s="2">
        <f>IFERROR(__xludf.DUMMYFUNCTION("""COMPUTED_VALUE"""),404.0)</f>
        <v>404</v>
      </c>
      <c r="C1002" s="2">
        <f>IFERROR(__xludf.DUMMYFUNCTION("""COMPUTED_VALUE"""),404.0)</f>
        <v>404</v>
      </c>
      <c r="D1002" s="2">
        <f>IFERROR(__xludf.DUMMYFUNCTION("""COMPUTED_VALUE"""),394.0)</f>
        <v>394</v>
      </c>
      <c r="E1002" s="2">
        <f>IFERROR(__xludf.DUMMYFUNCTION("""COMPUTED_VALUE"""),398.0)</f>
        <v>398</v>
      </c>
      <c r="F1002" s="2">
        <f>IFERROR(__xludf.DUMMYFUNCTION("""COMPUTED_VALUE"""),9835500.0)</f>
        <v>9835500</v>
      </c>
      <c r="G1002" s="2">
        <f t="shared" si="1"/>
        <v>10</v>
      </c>
    </row>
    <row r="1003" ht="15.75" customHeight="1">
      <c r="A1003" s="1">
        <f>IFERROR(__xludf.DUMMYFUNCTION("""COMPUTED_VALUE"""),45334.66666666667)</f>
        <v>45334.66667</v>
      </c>
      <c r="B1003" s="2">
        <f>IFERROR(__xludf.DUMMYFUNCTION("""COMPUTED_VALUE"""),398.0)</f>
        <v>398</v>
      </c>
      <c r="C1003" s="2">
        <f>IFERROR(__xludf.DUMMYFUNCTION("""COMPUTED_VALUE"""),402.0)</f>
        <v>402</v>
      </c>
      <c r="D1003" s="2">
        <f>IFERROR(__xludf.DUMMYFUNCTION("""COMPUTED_VALUE"""),394.0)</f>
        <v>394</v>
      </c>
      <c r="E1003" s="2">
        <f>IFERROR(__xludf.DUMMYFUNCTION("""COMPUTED_VALUE"""),396.0)</f>
        <v>396</v>
      </c>
      <c r="F1003" s="2">
        <f>IFERROR(__xludf.DUMMYFUNCTION("""COMPUTED_VALUE"""),1.07715E7)</f>
        <v>10771500</v>
      </c>
      <c r="G1003" s="2">
        <f t="shared" si="1"/>
        <v>8</v>
      </c>
    </row>
    <row r="1004" ht="15.75" customHeight="1">
      <c r="A1004" s="1">
        <f>IFERROR(__xludf.DUMMYFUNCTION("""COMPUTED_VALUE"""),45335.66666666667)</f>
        <v>45335.66667</v>
      </c>
      <c r="B1004" s="2">
        <f>IFERROR(__xludf.DUMMYFUNCTION("""COMPUTED_VALUE"""),396.0)</f>
        <v>396</v>
      </c>
      <c r="C1004" s="2">
        <f>IFERROR(__xludf.DUMMYFUNCTION("""COMPUTED_VALUE"""),402.0)</f>
        <v>402</v>
      </c>
      <c r="D1004" s="2">
        <f>IFERROR(__xludf.DUMMYFUNCTION("""COMPUTED_VALUE"""),396.0)</f>
        <v>396</v>
      </c>
      <c r="E1004" s="2">
        <f>IFERROR(__xludf.DUMMYFUNCTION("""COMPUTED_VALUE"""),400.0)</f>
        <v>400</v>
      </c>
      <c r="F1004" s="2">
        <f>IFERROR(__xludf.DUMMYFUNCTION("""COMPUTED_VALUE"""),1.02971E7)</f>
        <v>10297100</v>
      </c>
      <c r="G1004" s="2">
        <f t="shared" si="1"/>
        <v>6</v>
      </c>
    </row>
    <row r="1005" ht="15.75" customHeight="1">
      <c r="A1005" s="1">
        <f>IFERROR(__xludf.DUMMYFUNCTION("""COMPUTED_VALUE"""),45337.66666666667)</f>
        <v>45337.66667</v>
      </c>
      <c r="B1005" s="2">
        <f>IFERROR(__xludf.DUMMYFUNCTION("""COMPUTED_VALUE"""),400.0)</f>
        <v>400</v>
      </c>
      <c r="C1005" s="2">
        <f>IFERROR(__xludf.DUMMYFUNCTION("""COMPUTED_VALUE"""),408.0)</f>
        <v>408</v>
      </c>
      <c r="D1005" s="2">
        <f>IFERROR(__xludf.DUMMYFUNCTION("""COMPUTED_VALUE"""),398.0)</f>
        <v>398</v>
      </c>
      <c r="E1005" s="2">
        <f>IFERROR(__xludf.DUMMYFUNCTION("""COMPUTED_VALUE"""),402.0)</f>
        <v>402</v>
      </c>
      <c r="F1005" s="2">
        <f>IFERROR(__xludf.DUMMYFUNCTION("""COMPUTED_VALUE"""),2.47562E7)</f>
        <v>24756200</v>
      </c>
      <c r="G1005" s="2">
        <f t="shared" si="1"/>
        <v>10</v>
      </c>
    </row>
    <row r="1006" ht="15.75" customHeight="1">
      <c r="A1006" s="1">
        <f>IFERROR(__xludf.DUMMYFUNCTION("""COMPUTED_VALUE"""),45338.66666666667)</f>
        <v>45338.66667</v>
      </c>
      <c r="B1006" s="2">
        <f>IFERROR(__xludf.DUMMYFUNCTION("""COMPUTED_VALUE"""),404.0)</f>
        <v>404</v>
      </c>
      <c r="C1006" s="2">
        <f>IFERROR(__xludf.DUMMYFUNCTION("""COMPUTED_VALUE"""),406.0)</f>
        <v>406</v>
      </c>
      <c r="D1006" s="2">
        <f>IFERROR(__xludf.DUMMYFUNCTION("""COMPUTED_VALUE"""),400.0)</f>
        <v>400</v>
      </c>
      <c r="E1006" s="2">
        <f>IFERROR(__xludf.DUMMYFUNCTION("""COMPUTED_VALUE"""),402.0)</f>
        <v>402</v>
      </c>
      <c r="F1006" s="2">
        <f>IFERROR(__xludf.DUMMYFUNCTION("""COMPUTED_VALUE"""),8323000.0)</f>
        <v>8323000</v>
      </c>
      <c r="G1006" s="2">
        <f t="shared" si="1"/>
        <v>6</v>
      </c>
    </row>
    <row r="1007" ht="15.75" customHeight="1">
      <c r="A1007" s="1">
        <f>IFERROR(__xludf.DUMMYFUNCTION("""COMPUTED_VALUE"""),45341.66666666667)</f>
        <v>45341.66667</v>
      </c>
      <c r="B1007" s="2">
        <f>IFERROR(__xludf.DUMMYFUNCTION("""COMPUTED_VALUE"""),402.0)</f>
        <v>402</v>
      </c>
      <c r="C1007" s="2">
        <f>IFERROR(__xludf.DUMMYFUNCTION("""COMPUTED_VALUE"""),406.0)</f>
        <v>406</v>
      </c>
      <c r="D1007" s="2">
        <f>IFERROR(__xludf.DUMMYFUNCTION("""COMPUTED_VALUE"""),398.0)</f>
        <v>398</v>
      </c>
      <c r="E1007" s="2">
        <f>IFERROR(__xludf.DUMMYFUNCTION("""COMPUTED_VALUE"""),398.0)</f>
        <v>398</v>
      </c>
      <c r="F1007" s="2">
        <f>IFERROR(__xludf.DUMMYFUNCTION("""COMPUTED_VALUE"""),1.29204E7)</f>
        <v>12920400</v>
      </c>
      <c r="G1007" s="2">
        <f t="shared" si="1"/>
        <v>8</v>
      </c>
    </row>
    <row r="1008" ht="15.75" customHeight="1">
      <c r="A1008" s="1">
        <f>IFERROR(__xludf.DUMMYFUNCTION("""COMPUTED_VALUE"""),45342.66666666667)</f>
        <v>45342.66667</v>
      </c>
      <c r="B1008" s="2">
        <f>IFERROR(__xludf.DUMMYFUNCTION("""COMPUTED_VALUE"""),398.0)</f>
        <v>398</v>
      </c>
      <c r="C1008" s="2">
        <f>IFERROR(__xludf.DUMMYFUNCTION("""COMPUTED_VALUE"""),402.0)</f>
        <v>402</v>
      </c>
      <c r="D1008" s="2">
        <f>IFERROR(__xludf.DUMMYFUNCTION("""COMPUTED_VALUE"""),396.0)</f>
        <v>396</v>
      </c>
      <c r="E1008" s="2">
        <f>IFERROR(__xludf.DUMMYFUNCTION("""COMPUTED_VALUE"""),402.0)</f>
        <v>402</v>
      </c>
      <c r="F1008" s="2">
        <f>IFERROR(__xludf.DUMMYFUNCTION("""COMPUTED_VALUE"""),1.12076E7)</f>
        <v>11207600</v>
      </c>
      <c r="G1008" s="2">
        <f t="shared" si="1"/>
        <v>6</v>
      </c>
    </row>
    <row r="1009" ht="15.75" customHeight="1">
      <c r="A1009" s="1">
        <f>IFERROR(__xludf.DUMMYFUNCTION("""COMPUTED_VALUE"""),45343.66666666667)</f>
        <v>45343.66667</v>
      </c>
      <c r="B1009" s="2">
        <f>IFERROR(__xludf.DUMMYFUNCTION("""COMPUTED_VALUE"""),402.0)</f>
        <v>402</v>
      </c>
      <c r="C1009" s="2">
        <f>IFERROR(__xludf.DUMMYFUNCTION("""COMPUTED_VALUE"""),402.0)</f>
        <v>402</v>
      </c>
      <c r="D1009" s="2">
        <f>IFERROR(__xludf.DUMMYFUNCTION("""COMPUTED_VALUE"""),396.0)</f>
        <v>396</v>
      </c>
      <c r="E1009" s="2">
        <f>IFERROR(__xludf.DUMMYFUNCTION("""COMPUTED_VALUE"""),398.0)</f>
        <v>398</v>
      </c>
      <c r="F1009" s="2">
        <f>IFERROR(__xludf.DUMMYFUNCTION("""COMPUTED_VALUE"""),1.19137E7)</f>
        <v>11913700</v>
      </c>
      <c r="G1009" s="2">
        <f t="shared" si="1"/>
        <v>6</v>
      </c>
    </row>
    <row r="1010" ht="15.75" customHeight="1">
      <c r="A1010" s="1">
        <f>IFERROR(__xludf.DUMMYFUNCTION("""COMPUTED_VALUE"""),45344.66666666667)</f>
        <v>45344.66667</v>
      </c>
      <c r="B1010" s="2">
        <f>IFERROR(__xludf.DUMMYFUNCTION("""COMPUTED_VALUE"""),400.0)</f>
        <v>400</v>
      </c>
      <c r="C1010" s="2">
        <f>IFERROR(__xludf.DUMMYFUNCTION("""COMPUTED_VALUE"""),410.0)</f>
        <v>410</v>
      </c>
      <c r="D1010" s="2">
        <f>IFERROR(__xludf.DUMMYFUNCTION("""COMPUTED_VALUE"""),396.0)</f>
        <v>396</v>
      </c>
      <c r="E1010" s="2">
        <f>IFERROR(__xludf.DUMMYFUNCTION("""COMPUTED_VALUE"""),410.0)</f>
        <v>410</v>
      </c>
      <c r="F1010" s="2">
        <f>IFERROR(__xludf.DUMMYFUNCTION("""COMPUTED_VALUE"""),3.98349E7)</f>
        <v>39834900</v>
      </c>
      <c r="G1010" s="2">
        <f t="shared" si="1"/>
        <v>14</v>
      </c>
    </row>
    <row r="1011" ht="15.75" customHeight="1">
      <c r="A1011" s="1">
        <f>IFERROR(__xludf.DUMMYFUNCTION("""COMPUTED_VALUE"""),45345.66666666667)</f>
        <v>45345.66667</v>
      </c>
      <c r="B1011" s="2">
        <f>IFERROR(__xludf.DUMMYFUNCTION("""COMPUTED_VALUE"""),410.0)</f>
        <v>410</v>
      </c>
      <c r="C1011" s="2">
        <f>IFERROR(__xludf.DUMMYFUNCTION("""COMPUTED_VALUE"""),416.0)</f>
        <v>416</v>
      </c>
      <c r="D1011" s="2">
        <f>IFERROR(__xludf.DUMMYFUNCTION("""COMPUTED_VALUE"""),406.0)</f>
        <v>406</v>
      </c>
      <c r="E1011" s="2">
        <f>IFERROR(__xludf.DUMMYFUNCTION("""COMPUTED_VALUE"""),406.0)</f>
        <v>406</v>
      </c>
      <c r="F1011" s="2">
        <f>IFERROR(__xludf.DUMMYFUNCTION("""COMPUTED_VALUE"""),4.55255E7)</f>
        <v>45525500</v>
      </c>
      <c r="G1011" s="2">
        <f t="shared" si="1"/>
        <v>10</v>
      </c>
    </row>
    <row r="1012" ht="15.75" customHeight="1">
      <c r="A1012" s="1">
        <f>IFERROR(__xludf.DUMMYFUNCTION("""COMPUTED_VALUE"""),45348.66666666667)</f>
        <v>45348.66667</v>
      </c>
      <c r="B1012" s="2">
        <f>IFERROR(__xludf.DUMMYFUNCTION("""COMPUTED_VALUE"""),406.0)</f>
        <v>406</v>
      </c>
      <c r="C1012" s="2">
        <f>IFERROR(__xludf.DUMMYFUNCTION("""COMPUTED_VALUE"""),408.0)</f>
        <v>408</v>
      </c>
      <c r="D1012" s="2">
        <f>IFERROR(__xludf.DUMMYFUNCTION("""COMPUTED_VALUE"""),400.0)</f>
        <v>400</v>
      </c>
      <c r="E1012" s="2">
        <f>IFERROR(__xludf.DUMMYFUNCTION("""COMPUTED_VALUE"""),402.0)</f>
        <v>402</v>
      </c>
      <c r="F1012" s="2">
        <f>IFERROR(__xludf.DUMMYFUNCTION("""COMPUTED_VALUE"""),1.58707E7)</f>
        <v>15870700</v>
      </c>
      <c r="G1012" s="2">
        <f t="shared" si="1"/>
        <v>8</v>
      </c>
    </row>
    <row r="1013" ht="15.75" customHeight="1">
      <c r="A1013" s="1">
        <f>IFERROR(__xludf.DUMMYFUNCTION("""COMPUTED_VALUE"""),45349.66666666667)</f>
        <v>45349.66667</v>
      </c>
      <c r="B1013" s="2">
        <f>IFERROR(__xludf.DUMMYFUNCTION("""COMPUTED_VALUE"""),402.0)</f>
        <v>402</v>
      </c>
      <c r="C1013" s="2">
        <f>IFERROR(__xludf.DUMMYFUNCTION("""COMPUTED_VALUE"""),404.0)</f>
        <v>404</v>
      </c>
      <c r="D1013" s="2">
        <f>IFERROR(__xludf.DUMMYFUNCTION("""COMPUTED_VALUE"""),398.0)</f>
        <v>398</v>
      </c>
      <c r="E1013" s="2">
        <f>IFERROR(__xludf.DUMMYFUNCTION("""COMPUTED_VALUE"""),402.0)</f>
        <v>402</v>
      </c>
      <c r="F1013" s="2">
        <f>IFERROR(__xludf.DUMMYFUNCTION("""COMPUTED_VALUE"""),1.61458E7)</f>
        <v>16145800</v>
      </c>
      <c r="G1013" s="2">
        <f t="shared" si="1"/>
        <v>6</v>
      </c>
    </row>
    <row r="1014" ht="15.75" customHeight="1">
      <c r="A1014" s="1">
        <f>IFERROR(__xludf.DUMMYFUNCTION("""COMPUTED_VALUE"""),45350.66666666667)</f>
        <v>45350.66667</v>
      </c>
      <c r="B1014" s="2">
        <f>IFERROR(__xludf.DUMMYFUNCTION("""COMPUTED_VALUE"""),402.0)</f>
        <v>402</v>
      </c>
      <c r="C1014" s="2">
        <f>IFERROR(__xludf.DUMMYFUNCTION("""COMPUTED_VALUE"""),406.0)</f>
        <v>406</v>
      </c>
      <c r="D1014" s="2">
        <f>IFERROR(__xludf.DUMMYFUNCTION("""COMPUTED_VALUE"""),400.0)</f>
        <v>400</v>
      </c>
      <c r="E1014" s="2">
        <f>IFERROR(__xludf.DUMMYFUNCTION("""COMPUTED_VALUE"""),402.0)</f>
        <v>402</v>
      </c>
      <c r="F1014" s="2">
        <f>IFERROR(__xludf.DUMMYFUNCTION("""COMPUTED_VALUE"""),1.09282E7)</f>
        <v>10928200</v>
      </c>
      <c r="G1014" s="2">
        <f t="shared" si="1"/>
        <v>6</v>
      </c>
    </row>
    <row r="1015" ht="15.75" customHeight="1">
      <c r="A1015" s="1">
        <f>IFERROR(__xludf.DUMMYFUNCTION("""COMPUTED_VALUE"""),45351.66666666667)</f>
        <v>45351.66667</v>
      </c>
      <c r="B1015" s="2">
        <f>IFERROR(__xludf.DUMMYFUNCTION("""COMPUTED_VALUE"""),404.0)</f>
        <v>404</v>
      </c>
      <c r="C1015" s="2">
        <f>IFERROR(__xludf.DUMMYFUNCTION("""COMPUTED_VALUE"""),410.0)</f>
        <v>410</v>
      </c>
      <c r="D1015" s="2">
        <f>IFERROR(__xludf.DUMMYFUNCTION("""COMPUTED_VALUE"""),400.0)</f>
        <v>400</v>
      </c>
      <c r="E1015" s="2">
        <f>IFERROR(__xludf.DUMMYFUNCTION("""COMPUTED_VALUE"""),406.0)</f>
        <v>406</v>
      </c>
      <c r="F1015" s="2">
        <f>IFERROR(__xludf.DUMMYFUNCTION("""COMPUTED_VALUE"""),4.72655E7)</f>
        <v>47265500</v>
      </c>
      <c r="G1015" s="2">
        <f t="shared" si="1"/>
        <v>10</v>
      </c>
    </row>
    <row r="1016" ht="15.75" customHeight="1">
      <c r="A1016" s="1">
        <f>IFERROR(__xludf.DUMMYFUNCTION("""COMPUTED_VALUE"""),45352.66666666667)</f>
        <v>45352.66667</v>
      </c>
      <c r="B1016" s="2">
        <f>IFERROR(__xludf.DUMMYFUNCTION("""COMPUTED_VALUE"""),410.0)</f>
        <v>410</v>
      </c>
      <c r="C1016" s="2">
        <f>IFERROR(__xludf.DUMMYFUNCTION("""COMPUTED_VALUE"""),410.0)</f>
        <v>410</v>
      </c>
      <c r="D1016" s="2">
        <f>IFERROR(__xludf.DUMMYFUNCTION("""COMPUTED_VALUE"""),378.0)</f>
        <v>378</v>
      </c>
      <c r="E1016" s="2">
        <f>IFERROR(__xludf.DUMMYFUNCTION("""COMPUTED_VALUE"""),386.0)</f>
        <v>386</v>
      </c>
      <c r="F1016" s="2">
        <f>IFERROR(__xludf.DUMMYFUNCTION("""COMPUTED_VALUE"""),1.681681E8)</f>
        <v>168168100</v>
      </c>
      <c r="G1016" s="2">
        <f t="shared" si="1"/>
        <v>32</v>
      </c>
    </row>
    <row r="1017" ht="15.75" customHeight="1">
      <c r="A1017" s="1">
        <f>IFERROR(__xludf.DUMMYFUNCTION("""COMPUTED_VALUE"""),45355.66666666667)</f>
        <v>45355.66667</v>
      </c>
      <c r="B1017" s="2">
        <f>IFERROR(__xludf.DUMMYFUNCTION("""COMPUTED_VALUE"""),384.0)</f>
        <v>384</v>
      </c>
      <c r="C1017" s="2">
        <f>IFERROR(__xludf.DUMMYFUNCTION("""COMPUTED_VALUE"""),394.0)</f>
        <v>394</v>
      </c>
      <c r="D1017" s="2">
        <f>IFERROR(__xludf.DUMMYFUNCTION("""COMPUTED_VALUE"""),384.0)</f>
        <v>384</v>
      </c>
      <c r="E1017" s="2">
        <f>IFERROR(__xludf.DUMMYFUNCTION("""COMPUTED_VALUE"""),388.0)</f>
        <v>388</v>
      </c>
      <c r="F1017" s="2">
        <f>IFERROR(__xludf.DUMMYFUNCTION("""COMPUTED_VALUE"""),3.457E7)</f>
        <v>34570000</v>
      </c>
      <c r="G1017" s="2">
        <f t="shared" si="1"/>
        <v>10</v>
      </c>
    </row>
    <row r="1018" ht="15.75" customHeight="1">
      <c r="A1018" s="1">
        <f>IFERROR(__xludf.DUMMYFUNCTION("""COMPUTED_VALUE"""),45356.66666666667)</f>
        <v>45356.66667</v>
      </c>
      <c r="B1018" s="2">
        <f>IFERROR(__xludf.DUMMYFUNCTION("""COMPUTED_VALUE"""),388.0)</f>
        <v>388</v>
      </c>
      <c r="C1018" s="2">
        <f>IFERROR(__xludf.DUMMYFUNCTION("""COMPUTED_VALUE"""),392.0)</f>
        <v>392</v>
      </c>
      <c r="D1018" s="2">
        <f>IFERROR(__xludf.DUMMYFUNCTION("""COMPUTED_VALUE"""),380.0)</f>
        <v>380</v>
      </c>
      <c r="E1018" s="2">
        <f>IFERROR(__xludf.DUMMYFUNCTION("""COMPUTED_VALUE"""),382.0)</f>
        <v>382</v>
      </c>
      <c r="F1018" s="2">
        <f>IFERROR(__xludf.DUMMYFUNCTION("""COMPUTED_VALUE"""),4.79573E7)</f>
        <v>47957300</v>
      </c>
      <c r="G1018" s="2">
        <f t="shared" si="1"/>
        <v>12</v>
      </c>
    </row>
    <row r="1019" ht="15.75" customHeight="1">
      <c r="A1019" s="1">
        <f>IFERROR(__xludf.DUMMYFUNCTION("""COMPUTED_VALUE"""),45357.66666666667)</f>
        <v>45357.66667</v>
      </c>
      <c r="B1019" s="2">
        <f>IFERROR(__xludf.DUMMYFUNCTION("""COMPUTED_VALUE"""),382.0)</f>
        <v>382</v>
      </c>
      <c r="C1019" s="2">
        <f>IFERROR(__xludf.DUMMYFUNCTION("""COMPUTED_VALUE"""),384.0)</f>
        <v>384</v>
      </c>
      <c r="D1019" s="2">
        <f>IFERROR(__xludf.DUMMYFUNCTION("""COMPUTED_VALUE"""),374.0)</f>
        <v>374</v>
      </c>
      <c r="E1019" s="2">
        <f>IFERROR(__xludf.DUMMYFUNCTION("""COMPUTED_VALUE"""),378.0)</f>
        <v>378</v>
      </c>
      <c r="F1019" s="2">
        <f>IFERROR(__xludf.DUMMYFUNCTION("""COMPUTED_VALUE"""),4.93621E7)</f>
        <v>49362100</v>
      </c>
      <c r="G1019" s="2">
        <f t="shared" si="1"/>
        <v>10</v>
      </c>
    </row>
    <row r="1020" ht="15.75" customHeight="1">
      <c r="A1020" s="1">
        <f>IFERROR(__xludf.DUMMYFUNCTION("""COMPUTED_VALUE"""),45358.66666666667)</f>
        <v>45358.66667</v>
      </c>
      <c r="B1020" s="2">
        <f>IFERROR(__xludf.DUMMYFUNCTION("""COMPUTED_VALUE"""),378.0)</f>
        <v>378</v>
      </c>
      <c r="C1020" s="2">
        <f>IFERROR(__xludf.DUMMYFUNCTION("""COMPUTED_VALUE"""),384.0)</f>
        <v>384</v>
      </c>
      <c r="D1020" s="2">
        <f>IFERROR(__xludf.DUMMYFUNCTION("""COMPUTED_VALUE"""),378.0)</f>
        <v>378</v>
      </c>
      <c r="E1020" s="2">
        <f>IFERROR(__xludf.DUMMYFUNCTION("""COMPUTED_VALUE"""),382.0)</f>
        <v>382</v>
      </c>
      <c r="F1020" s="2">
        <f>IFERROR(__xludf.DUMMYFUNCTION("""COMPUTED_VALUE"""),2.03632E7)</f>
        <v>20363200</v>
      </c>
      <c r="G1020" s="2">
        <f t="shared" si="1"/>
        <v>6</v>
      </c>
    </row>
    <row r="1021" ht="15.75" customHeight="1">
      <c r="A1021" s="1">
        <f>IFERROR(__xludf.DUMMYFUNCTION("""COMPUTED_VALUE"""),45359.66666666667)</f>
        <v>45359.66667</v>
      </c>
      <c r="B1021" s="2">
        <f>IFERROR(__xludf.DUMMYFUNCTION("""COMPUTED_VALUE"""),382.0)</f>
        <v>382</v>
      </c>
      <c r="C1021" s="2">
        <f>IFERROR(__xludf.DUMMYFUNCTION("""COMPUTED_VALUE"""),384.0)</f>
        <v>384</v>
      </c>
      <c r="D1021" s="2">
        <f>IFERROR(__xludf.DUMMYFUNCTION("""COMPUTED_VALUE"""),380.0)</f>
        <v>380</v>
      </c>
      <c r="E1021" s="2">
        <f>IFERROR(__xludf.DUMMYFUNCTION("""COMPUTED_VALUE"""),382.0)</f>
        <v>382</v>
      </c>
      <c r="F1021" s="2">
        <f>IFERROR(__xludf.DUMMYFUNCTION("""COMPUTED_VALUE"""),1.54428E7)</f>
        <v>15442800</v>
      </c>
      <c r="G1021" s="2">
        <f t="shared" si="1"/>
        <v>4</v>
      </c>
    </row>
    <row r="1022" ht="15.75" customHeight="1">
      <c r="A1022" s="1">
        <f>IFERROR(__xludf.DUMMYFUNCTION("""COMPUTED_VALUE"""),45364.66666666667)</f>
        <v>45364.66667</v>
      </c>
      <c r="B1022" s="2">
        <f>IFERROR(__xludf.DUMMYFUNCTION("""COMPUTED_VALUE"""),382.0)</f>
        <v>382</v>
      </c>
      <c r="C1022" s="2">
        <f>IFERROR(__xludf.DUMMYFUNCTION("""COMPUTED_VALUE"""),384.0)</f>
        <v>384</v>
      </c>
      <c r="D1022" s="2">
        <f>IFERROR(__xludf.DUMMYFUNCTION("""COMPUTED_VALUE"""),376.0)</f>
        <v>376</v>
      </c>
      <c r="E1022" s="2">
        <f>IFERROR(__xludf.DUMMYFUNCTION("""COMPUTED_VALUE"""),378.0)</f>
        <v>378</v>
      </c>
      <c r="F1022" s="2">
        <f>IFERROR(__xludf.DUMMYFUNCTION("""COMPUTED_VALUE"""),2.5584E7)</f>
        <v>25584000</v>
      </c>
      <c r="G1022" s="2">
        <f t="shared" si="1"/>
        <v>8</v>
      </c>
    </row>
    <row r="1023" ht="15.75" customHeight="1">
      <c r="A1023" s="1">
        <f>IFERROR(__xludf.DUMMYFUNCTION("""COMPUTED_VALUE"""),45365.66666666667)</f>
        <v>45365.66667</v>
      </c>
      <c r="B1023" s="2">
        <f>IFERROR(__xludf.DUMMYFUNCTION("""COMPUTED_VALUE"""),382.0)</f>
        <v>382</v>
      </c>
      <c r="C1023" s="2">
        <f>IFERROR(__xludf.DUMMYFUNCTION("""COMPUTED_VALUE"""),390.0)</f>
        <v>390</v>
      </c>
      <c r="D1023" s="2">
        <f>IFERROR(__xludf.DUMMYFUNCTION("""COMPUTED_VALUE"""),380.0)</f>
        <v>380</v>
      </c>
      <c r="E1023" s="2">
        <f>IFERROR(__xludf.DUMMYFUNCTION("""COMPUTED_VALUE"""),388.0)</f>
        <v>388</v>
      </c>
      <c r="F1023" s="2">
        <f>IFERROR(__xludf.DUMMYFUNCTION("""COMPUTED_VALUE"""),3.98471E7)</f>
        <v>39847100</v>
      </c>
      <c r="G1023" s="2">
        <f t="shared" si="1"/>
        <v>12</v>
      </c>
    </row>
    <row r="1024" ht="15.75" customHeight="1">
      <c r="A1024" s="1">
        <f>IFERROR(__xludf.DUMMYFUNCTION("""COMPUTED_VALUE"""),45366.66666666667)</f>
        <v>45366.66667</v>
      </c>
      <c r="B1024" s="2">
        <f>IFERROR(__xludf.DUMMYFUNCTION("""COMPUTED_VALUE"""),392.0)</f>
        <v>392</v>
      </c>
      <c r="C1024" s="2">
        <f>IFERROR(__xludf.DUMMYFUNCTION("""COMPUTED_VALUE"""),398.0)</f>
        <v>398</v>
      </c>
      <c r="D1024" s="2">
        <f>IFERROR(__xludf.DUMMYFUNCTION("""COMPUTED_VALUE"""),390.0)</f>
        <v>390</v>
      </c>
      <c r="E1024" s="2">
        <f>IFERROR(__xludf.DUMMYFUNCTION("""COMPUTED_VALUE"""),396.0)</f>
        <v>396</v>
      </c>
      <c r="F1024" s="2">
        <f>IFERROR(__xludf.DUMMYFUNCTION("""COMPUTED_VALUE"""),5.31944E7)</f>
        <v>53194400</v>
      </c>
      <c r="G1024" s="2">
        <f t="shared" si="1"/>
        <v>10</v>
      </c>
    </row>
    <row r="1025" ht="15.75" customHeight="1">
      <c r="A1025" s="1">
        <f>IFERROR(__xludf.DUMMYFUNCTION("""COMPUTED_VALUE"""),45369.66666666667)</f>
        <v>45369.66667</v>
      </c>
      <c r="B1025" s="2">
        <f>IFERROR(__xludf.DUMMYFUNCTION("""COMPUTED_VALUE"""),396.0)</f>
        <v>396</v>
      </c>
      <c r="C1025" s="2">
        <f>IFERROR(__xludf.DUMMYFUNCTION("""COMPUTED_VALUE"""),396.0)</f>
        <v>396</v>
      </c>
      <c r="D1025" s="2">
        <f>IFERROR(__xludf.DUMMYFUNCTION("""COMPUTED_VALUE"""),390.0)</f>
        <v>390</v>
      </c>
      <c r="E1025" s="2">
        <f>IFERROR(__xludf.DUMMYFUNCTION("""COMPUTED_VALUE"""),390.0)</f>
        <v>390</v>
      </c>
      <c r="F1025" s="2">
        <f>IFERROR(__xludf.DUMMYFUNCTION("""COMPUTED_VALUE"""),3.2183E7)</f>
        <v>32183000</v>
      </c>
      <c r="G1025" s="2">
        <f t="shared" si="1"/>
        <v>6</v>
      </c>
    </row>
    <row r="1026" ht="15.75" customHeight="1">
      <c r="A1026" s="1">
        <f>IFERROR(__xludf.DUMMYFUNCTION("""COMPUTED_VALUE"""),45370.66666666667)</f>
        <v>45370.66667</v>
      </c>
      <c r="B1026" s="2">
        <f>IFERROR(__xludf.DUMMYFUNCTION("""COMPUTED_VALUE"""),392.0)</f>
        <v>392</v>
      </c>
      <c r="C1026" s="2">
        <f>IFERROR(__xludf.DUMMYFUNCTION("""COMPUTED_VALUE"""),396.0)</f>
        <v>396</v>
      </c>
      <c r="D1026" s="2">
        <f>IFERROR(__xludf.DUMMYFUNCTION("""COMPUTED_VALUE"""),392.0)</f>
        <v>392</v>
      </c>
      <c r="E1026" s="2">
        <f>IFERROR(__xludf.DUMMYFUNCTION("""COMPUTED_VALUE"""),392.0)</f>
        <v>392</v>
      </c>
      <c r="F1026" s="2">
        <f>IFERROR(__xludf.DUMMYFUNCTION("""COMPUTED_VALUE"""),1.6706E7)</f>
        <v>16706000</v>
      </c>
      <c r="G1026" s="2">
        <f t="shared" si="1"/>
        <v>6</v>
      </c>
    </row>
    <row r="1027" ht="15.75" customHeight="1">
      <c r="A1027" s="1">
        <f>IFERROR(__xludf.DUMMYFUNCTION("""COMPUTED_VALUE"""),45371.66666666667)</f>
        <v>45371.66667</v>
      </c>
      <c r="B1027" s="2">
        <f>IFERROR(__xludf.DUMMYFUNCTION("""COMPUTED_VALUE"""),392.0)</f>
        <v>392</v>
      </c>
      <c r="C1027" s="2">
        <f>IFERROR(__xludf.DUMMYFUNCTION("""COMPUTED_VALUE"""),396.0)</f>
        <v>396</v>
      </c>
      <c r="D1027" s="2">
        <f>IFERROR(__xludf.DUMMYFUNCTION("""COMPUTED_VALUE"""),390.0)</f>
        <v>390</v>
      </c>
      <c r="E1027" s="2">
        <f>IFERROR(__xludf.DUMMYFUNCTION("""COMPUTED_VALUE"""),392.0)</f>
        <v>392</v>
      </c>
      <c r="F1027" s="2">
        <f>IFERROR(__xludf.DUMMYFUNCTION("""COMPUTED_VALUE"""),1.8155E7)</f>
        <v>18155000</v>
      </c>
      <c r="G1027" s="2">
        <f t="shared" si="1"/>
        <v>6</v>
      </c>
    </row>
    <row r="1028" ht="15.75" customHeight="1">
      <c r="A1028" s="1">
        <f>IFERROR(__xludf.DUMMYFUNCTION("""COMPUTED_VALUE"""),45372.66666666667)</f>
        <v>45372.66667</v>
      </c>
      <c r="B1028" s="2">
        <f>IFERROR(__xludf.DUMMYFUNCTION("""COMPUTED_VALUE"""),392.0)</f>
        <v>392</v>
      </c>
      <c r="C1028" s="2">
        <f>IFERROR(__xludf.DUMMYFUNCTION("""COMPUTED_VALUE"""),394.0)</f>
        <v>394</v>
      </c>
      <c r="D1028" s="2">
        <f>IFERROR(__xludf.DUMMYFUNCTION("""COMPUTED_VALUE"""),390.0)</f>
        <v>390</v>
      </c>
      <c r="E1028" s="2">
        <f>IFERROR(__xludf.DUMMYFUNCTION("""COMPUTED_VALUE"""),390.0)</f>
        <v>390</v>
      </c>
      <c r="F1028" s="2">
        <f>IFERROR(__xludf.DUMMYFUNCTION("""COMPUTED_VALUE"""),1.48919E7)</f>
        <v>14891900</v>
      </c>
      <c r="G1028" s="2">
        <f t="shared" si="1"/>
        <v>4</v>
      </c>
    </row>
    <row r="1029" ht="15.75" customHeight="1">
      <c r="A1029" s="1">
        <f>IFERROR(__xludf.DUMMYFUNCTION("""COMPUTED_VALUE"""),45373.66666666667)</f>
        <v>45373.66667</v>
      </c>
      <c r="B1029" s="2">
        <f>IFERROR(__xludf.DUMMYFUNCTION("""COMPUTED_VALUE"""),392.0)</f>
        <v>392</v>
      </c>
      <c r="C1029" s="2">
        <f>IFERROR(__xludf.DUMMYFUNCTION("""COMPUTED_VALUE"""),392.0)</f>
        <v>392</v>
      </c>
      <c r="D1029" s="2">
        <f>IFERROR(__xludf.DUMMYFUNCTION("""COMPUTED_VALUE"""),388.0)</f>
        <v>388</v>
      </c>
      <c r="E1029" s="2">
        <f>IFERROR(__xludf.DUMMYFUNCTION("""COMPUTED_VALUE"""),388.0)</f>
        <v>388</v>
      </c>
      <c r="F1029" s="2">
        <f>IFERROR(__xludf.DUMMYFUNCTION("""COMPUTED_VALUE"""),2.22785E7)</f>
        <v>22278500</v>
      </c>
      <c r="G1029" s="2">
        <f t="shared" si="1"/>
        <v>4</v>
      </c>
    </row>
    <row r="1030" ht="15.75" customHeight="1">
      <c r="A1030" s="1">
        <f>IFERROR(__xludf.DUMMYFUNCTION("""COMPUTED_VALUE"""),45376.66666666667)</f>
        <v>45376.66667</v>
      </c>
      <c r="B1030" s="2">
        <f>IFERROR(__xludf.DUMMYFUNCTION("""COMPUTED_VALUE"""),392.0)</f>
        <v>392</v>
      </c>
      <c r="C1030" s="2">
        <f>IFERROR(__xludf.DUMMYFUNCTION("""COMPUTED_VALUE"""),392.0)</f>
        <v>392</v>
      </c>
      <c r="D1030" s="2">
        <f>IFERROR(__xludf.DUMMYFUNCTION("""COMPUTED_VALUE"""),386.0)</f>
        <v>386</v>
      </c>
      <c r="E1030" s="2">
        <f>IFERROR(__xludf.DUMMYFUNCTION("""COMPUTED_VALUE"""),392.0)</f>
        <v>392</v>
      </c>
      <c r="F1030" s="2">
        <f>IFERROR(__xludf.DUMMYFUNCTION("""COMPUTED_VALUE"""),1.40242E7)</f>
        <v>14024200</v>
      </c>
      <c r="G1030" s="2">
        <f t="shared" si="1"/>
        <v>6</v>
      </c>
    </row>
    <row r="1031" ht="15.75" customHeight="1">
      <c r="A1031" s="1">
        <f>IFERROR(__xludf.DUMMYFUNCTION("""COMPUTED_VALUE"""),45377.66666666667)</f>
        <v>45377.66667</v>
      </c>
      <c r="B1031" s="2">
        <f>IFERROR(__xludf.DUMMYFUNCTION("""COMPUTED_VALUE"""),396.0)</f>
        <v>396</v>
      </c>
      <c r="C1031" s="2">
        <f>IFERROR(__xludf.DUMMYFUNCTION("""COMPUTED_VALUE"""),396.0)</f>
        <v>396</v>
      </c>
      <c r="D1031" s="2">
        <f>IFERROR(__xludf.DUMMYFUNCTION("""COMPUTED_VALUE"""),390.0)</f>
        <v>390</v>
      </c>
      <c r="E1031" s="2">
        <f>IFERROR(__xludf.DUMMYFUNCTION("""COMPUTED_VALUE"""),392.0)</f>
        <v>392</v>
      </c>
      <c r="F1031" s="2">
        <f>IFERROR(__xludf.DUMMYFUNCTION("""COMPUTED_VALUE"""),1.27842E7)</f>
        <v>12784200</v>
      </c>
      <c r="G1031" s="2">
        <f t="shared" si="1"/>
        <v>6</v>
      </c>
    </row>
    <row r="1032" ht="15.75" customHeight="1">
      <c r="A1032" s="1">
        <f>IFERROR(__xludf.DUMMYFUNCTION("""COMPUTED_VALUE"""),45378.66666666667)</f>
        <v>45378.66667</v>
      </c>
      <c r="B1032" s="2">
        <f>IFERROR(__xludf.DUMMYFUNCTION("""COMPUTED_VALUE"""),392.0)</f>
        <v>392</v>
      </c>
      <c r="C1032" s="2">
        <f>IFERROR(__xludf.DUMMYFUNCTION("""COMPUTED_VALUE"""),394.0)</f>
        <v>394</v>
      </c>
      <c r="D1032" s="2">
        <f>IFERROR(__xludf.DUMMYFUNCTION("""COMPUTED_VALUE"""),390.0)</f>
        <v>390</v>
      </c>
      <c r="E1032" s="2">
        <f>IFERROR(__xludf.DUMMYFUNCTION("""COMPUTED_VALUE"""),390.0)</f>
        <v>390</v>
      </c>
      <c r="F1032" s="2">
        <f>IFERROR(__xludf.DUMMYFUNCTION("""COMPUTED_VALUE"""),9743300.0)</f>
        <v>9743300</v>
      </c>
      <c r="G1032" s="2">
        <f t="shared" si="1"/>
        <v>4</v>
      </c>
    </row>
    <row r="1033" ht="15.75" customHeight="1">
      <c r="A1033" s="1">
        <f>IFERROR(__xludf.DUMMYFUNCTION("""COMPUTED_VALUE"""),45379.66666666667)</f>
        <v>45379.66667</v>
      </c>
      <c r="B1033" s="2">
        <f>IFERROR(__xludf.DUMMYFUNCTION("""COMPUTED_VALUE"""),390.0)</f>
        <v>390</v>
      </c>
      <c r="C1033" s="2">
        <f>IFERROR(__xludf.DUMMYFUNCTION("""COMPUTED_VALUE"""),392.0)</f>
        <v>392</v>
      </c>
      <c r="D1033" s="2">
        <f>IFERROR(__xludf.DUMMYFUNCTION("""COMPUTED_VALUE"""),386.0)</f>
        <v>386</v>
      </c>
      <c r="E1033" s="2">
        <f>IFERROR(__xludf.DUMMYFUNCTION("""COMPUTED_VALUE"""),386.0)</f>
        <v>386</v>
      </c>
      <c r="F1033" s="2">
        <f>IFERROR(__xludf.DUMMYFUNCTION("""COMPUTED_VALUE"""),1.47286E7)</f>
        <v>14728600</v>
      </c>
      <c r="G1033" s="2">
        <f t="shared" si="1"/>
        <v>6</v>
      </c>
    </row>
    <row r="1034" ht="15.75" customHeight="1">
      <c r="A1034" s="1">
        <f>IFERROR(__xludf.DUMMYFUNCTION("""COMPUTED_VALUE"""),45383.66666666667)</f>
        <v>45383.66667</v>
      </c>
      <c r="B1034" s="2">
        <f>IFERROR(__xludf.DUMMYFUNCTION("""COMPUTED_VALUE"""),388.0)</f>
        <v>388</v>
      </c>
      <c r="C1034" s="2">
        <f>IFERROR(__xludf.DUMMYFUNCTION("""COMPUTED_VALUE"""),390.0)</f>
        <v>390</v>
      </c>
      <c r="D1034" s="2">
        <f>IFERROR(__xludf.DUMMYFUNCTION("""COMPUTED_VALUE"""),380.0)</f>
        <v>380</v>
      </c>
      <c r="E1034" s="2">
        <f>IFERROR(__xludf.DUMMYFUNCTION("""COMPUTED_VALUE"""),380.0)</f>
        <v>380</v>
      </c>
      <c r="F1034" s="2">
        <f>IFERROR(__xludf.DUMMYFUNCTION("""COMPUTED_VALUE"""),3.28432E7)</f>
        <v>32843200</v>
      </c>
      <c r="G1034" s="2">
        <f t="shared" si="1"/>
        <v>10</v>
      </c>
    </row>
    <row r="1035" ht="15.75" customHeight="1">
      <c r="A1035" s="1">
        <f>IFERROR(__xludf.DUMMYFUNCTION("""COMPUTED_VALUE"""),45384.66666666667)</f>
        <v>45384.66667</v>
      </c>
      <c r="B1035" s="2">
        <f>IFERROR(__xludf.DUMMYFUNCTION("""COMPUTED_VALUE"""),382.0)</f>
        <v>382</v>
      </c>
      <c r="C1035" s="2">
        <f>IFERROR(__xludf.DUMMYFUNCTION("""COMPUTED_VALUE"""),390.0)</f>
        <v>390</v>
      </c>
      <c r="D1035" s="2">
        <f>IFERROR(__xludf.DUMMYFUNCTION("""COMPUTED_VALUE"""),382.0)</f>
        <v>382</v>
      </c>
      <c r="E1035" s="2">
        <f>IFERROR(__xludf.DUMMYFUNCTION("""COMPUTED_VALUE"""),388.0)</f>
        <v>388</v>
      </c>
      <c r="F1035" s="2">
        <f>IFERROR(__xludf.DUMMYFUNCTION("""COMPUTED_VALUE"""),1.77047E7)</f>
        <v>17704700</v>
      </c>
      <c r="G1035" s="2">
        <f t="shared" si="1"/>
        <v>10</v>
      </c>
    </row>
    <row r="1036" ht="15.75" customHeight="1">
      <c r="A1036" s="1">
        <f>IFERROR(__xludf.DUMMYFUNCTION("""COMPUTED_VALUE"""),45385.66666666667)</f>
        <v>45385.66667</v>
      </c>
      <c r="B1036" s="2">
        <f>IFERROR(__xludf.DUMMYFUNCTION("""COMPUTED_VALUE"""),388.0)</f>
        <v>388</v>
      </c>
      <c r="C1036" s="2">
        <f>IFERROR(__xludf.DUMMYFUNCTION("""COMPUTED_VALUE"""),404.0)</f>
        <v>404</v>
      </c>
      <c r="D1036" s="2">
        <f>IFERROR(__xludf.DUMMYFUNCTION("""COMPUTED_VALUE"""),388.0)</f>
        <v>388</v>
      </c>
      <c r="E1036" s="2">
        <f>IFERROR(__xludf.DUMMYFUNCTION("""COMPUTED_VALUE"""),396.0)</f>
        <v>396</v>
      </c>
      <c r="F1036" s="2">
        <f>IFERROR(__xludf.DUMMYFUNCTION("""COMPUTED_VALUE"""),6.88466E7)</f>
        <v>68846600</v>
      </c>
      <c r="G1036" s="2">
        <f t="shared" si="1"/>
        <v>16</v>
      </c>
    </row>
    <row r="1037" ht="15.75" customHeight="1">
      <c r="A1037" s="1">
        <f>IFERROR(__xludf.DUMMYFUNCTION("""COMPUTED_VALUE"""),45386.66666666667)</f>
        <v>45386.66667</v>
      </c>
      <c r="B1037" s="2">
        <f>IFERROR(__xludf.DUMMYFUNCTION("""COMPUTED_VALUE"""),398.0)</f>
        <v>398</v>
      </c>
      <c r="C1037" s="2">
        <f>IFERROR(__xludf.DUMMYFUNCTION("""COMPUTED_VALUE"""),404.0)</f>
        <v>404</v>
      </c>
      <c r="D1037" s="2">
        <f>IFERROR(__xludf.DUMMYFUNCTION("""COMPUTED_VALUE"""),398.0)</f>
        <v>398</v>
      </c>
      <c r="E1037" s="2">
        <f>IFERROR(__xludf.DUMMYFUNCTION("""COMPUTED_VALUE"""),400.0)</f>
        <v>400</v>
      </c>
      <c r="F1037" s="2">
        <f>IFERROR(__xludf.DUMMYFUNCTION("""COMPUTED_VALUE"""),3.13158E7)</f>
        <v>31315800</v>
      </c>
      <c r="G1037" s="2">
        <f t="shared" si="1"/>
        <v>8</v>
      </c>
    </row>
    <row r="1038" ht="15.75" customHeight="1">
      <c r="A1038" s="1">
        <f>IFERROR(__xludf.DUMMYFUNCTION("""COMPUTED_VALUE"""),45387.66666666667)</f>
        <v>45387.66667</v>
      </c>
      <c r="B1038" s="2">
        <f>IFERROR(__xludf.DUMMYFUNCTION("""COMPUTED_VALUE"""),400.0)</f>
        <v>400</v>
      </c>
      <c r="C1038" s="2">
        <f>IFERROR(__xludf.DUMMYFUNCTION("""COMPUTED_VALUE"""),404.0)</f>
        <v>404</v>
      </c>
      <c r="D1038" s="2">
        <f>IFERROR(__xludf.DUMMYFUNCTION("""COMPUTED_VALUE"""),400.0)</f>
        <v>400</v>
      </c>
      <c r="E1038" s="2">
        <f>IFERROR(__xludf.DUMMYFUNCTION("""COMPUTED_VALUE"""),400.0)</f>
        <v>400</v>
      </c>
      <c r="F1038" s="2">
        <f>IFERROR(__xludf.DUMMYFUNCTION("""COMPUTED_VALUE"""),1.43638E7)</f>
        <v>14363800</v>
      </c>
      <c r="G1038" s="2">
        <f t="shared" si="1"/>
        <v>4</v>
      </c>
    </row>
    <row r="1039" ht="15.75" customHeight="1">
      <c r="A1039" s="1">
        <f>IFERROR(__xludf.DUMMYFUNCTION("""COMPUTED_VALUE"""),45398.66666666667)</f>
        <v>45398.66667</v>
      </c>
      <c r="B1039" s="2">
        <f>IFERROR(__xludf.DUMMYFUNCTION("""COMPUTED_VALUE"""),408.0)</f>
        <v>408</v>
      </c>
      <c r="C1039" s="2">
        <f>IFERROR(__xludf.DUMMYFUNCTION("""COMPUTED_VALUE"""),414.0)</f>
        <v>414</v>
      </c>
      <c r="D1039" s="2">
        <f>IFERROR(__xludf.DUMMYFUNCTION("""COMPUTED_VALUE"""),404.0)</f>
        <v>404</v>
      </c>
      <c r="E1039" s="2">
        <f>IFERROR(__xludf.DUMMYFUNCTION("""COMPUTED_VALUE"""),408.0)</f>
        <v>408</v>
      </c>
      <c r="F1039" s="2">
        <f>IFERROR(__xludf.DUMMYFUNCTION("""COMPUTED_VALUE"""),7.2368E7)</f>
        <v>72368000</v>
      </c>
      <c r="G1039" s="2">
        <f t="shared" si="1"/>
        <v>14</v>
      </c>
    </row>
    <row r="1040" ht="15.75" customHeight="1">
      <c r="A1040" s="1">
        <f>IFERROR(__xludf.DUMMYFUNCTION("""COMPUTED_VALUE"""),45399.66666666667)</f>
        <v>45399.66667</v>
      </c>
      <c r="B1040" s="2">
        <f>IFERROR(__xludf.DUMMYFUNCTION("""COMPUTED_VALUE"""),408.0)</f>
        <v>408</v>
      </c>
      <c r="C1040" s="2">
        <f>IFERROR(__xludf.DUMMYFUNCTION("""COMPUTED_VALUE"""),412.0)</f>
        <v>412</v>
      </c>
      <c r="D1040" s="2">
        <f>IFERROR(__xludf.DUMMYFUNCTION("""COMPUTED_VALUE"""),400.0)</f>
        <v>400</v>
      </c>
      <c r="E1040" s="2">
        <f>IFERROR(__xludf.DUMMYFUNCTION("""COMPUTED_VALUE"""),402.0)</f>
        <v>402</v>
      </c>
      <c r="F1040" s="2">
        <f>IFERROR(__xludf.DUMMYFUNCTION("""COMPUTED_VALUE"""),2.86096E7)</f>
        <v>28609600</v>
      </c>
      <c r="G1040" s="2">
        <f t="shared" si="1"/>
        <v>12</v>
      </c>
    </row>
    <row r="1041" ht="15.75" customHeight="1">
      <c r="A1041" s="1">
        <f>IFERROR(__xludf.DUMMYFUNCTION("""COMPUTED_VALUE"""),45400.66666666667)</f>
        <v>45400.66667</v>
      </c>
      <c r="B1041" s="2">
        <f>IFERROR(__xludf.DUMMYFUNCTION("""COMPUTED_VALUE"""),402.0)</f>
        <v>402</v>
      </c>
      <c r="C1041" s="2">
        <f>IFERROR(__xludf.DUMMYFUNCTION("""COMPUTED_VALUE"""),402.0)</f>
        <v>402</v>
      </c>
      <c r="D1041" s="2">
        <f>IFERROR(__xludf.DUMMYFUNCTION("""COMPUTED_VALUE"""),394.0)</f>
        <v>394</v>
      </c>
      <c r="E1041" s="2">
        <f>IFERROR(__xludf.DUMMYFUNCTION("""COMPUTED_VALUE"""),396.0)</f>
        <v>396</v>
      </c>
      <c r="F1041" s="2">
        <f>IFERROR(__xludf.DUMMYFUNCTION("""COMPUTED_VALUE"""),3.0886E7)</f>
        <v>30886000</v>
      </c>
      <c r="G1041" s="2">
        <f t="shared" si="1"/>
        <v>8</v>
      </c>
    </row>
    <row r="1042" ht="15.75" customHeight="1">
      <c r="A1042" s="1">
        <f>IFERROR(__xludf.DUMMYFUNCTION("""COMPUTED_VALUE"""),45401.66666666667)</f>
        <v>45401.66667</v>
      </c>
      <c r="B1042" s="2">
        <f>IFERROR(__xludf.DUMMYFUNCTION("""COMPUTED_VALUE"""),400.0)</f>
        <v>400</v>
      </c>
      <c r="C1042" s="2">
        <f>IFERROR(__xludf.DUMMYFUNCTION("""COMPUTED_VALUE"""),412.0)</f>
        <v>412</v>
      </c>
      <c r="D1042" s="2">
        <f>IFERROR(__xludf.DUMMYFUNCTION("""COMPUTED_VALUE"""),400.0)</f>
        <v>400</v>
      </c>
      <c r="E1042" s="2">
        <f>IFERROR(__xludf.DUMMYFUNCTION("""COMPUTED_VALUE"""),406.0)</f>
        <v>406</v>
      </c>
      <c r="F1042" s="2">
        <f>IFERROR(__xludf.DUMMYFUNCTION("""COMPUTED_VALUE"""),7.8353E7)</f>
        <v>78353000</v>
      </c>
      <c r="G1042" s="2">
        <f t="shared" si="1"/>
        <v>16</v>
      </c>
    </row>
    <row r="1043" ht="15.75" customHeight="1">
      <c r="A1043" s="1">
        <f>IFERROR(__xludf.DUMMYFUNCTION("""COMPUTED_VALUE"""),45404.66666666667)</f>
        <v>45404.66667</v>
      </c>
      <c r="B1043" s="2">
        <f>IFERROR(__xludf.DUMMYFUNCTION("""COMPUTED_VALUE"""),406.0)</f>
        <v>406</v>
      </c>
      <c r="C1043" s="2">
        <f>IFERROR(__xludf.DUMMYFUNCTION("""COMPUTED_VALUE"""),410.0)</f>
        <v>410</v>
      </c>
      <c r="D1043" s="2">
        <f>IFERROR(__xludf.DUMMYFUNCTION("""COMPUTED_VALUE"""),396.0)</f>
        <v>396</v>
      </c>
      <c r="E1043" s="2">
        <f>IFERROR(__xludf.DUMMYFUNCTION("""COMPUTED_VALUE"""),398.0)</f>
        <v>398</v>
      </c>
      <c r="F1043" s="2">
        <f>IFERROR(__xludf.DUMMYFUNCTION("""COMPUTED_VALUE"""),4.001E7)</f>
        <v>40010000</v>
      </c>
      <c r="G1043" s="2">
        <f t="shared" si="1"/>
        <v>14</v>
      </c>
    </row>
    <row r="1044" ht="15.75" customHeight="1">
      <c r="A1044" s="1">
        <f>IFERROR(__xludf.DUMMYFUNCTION("""COMPUTED_VALUE"""),45405.66666666667)</f>
        <v>45405.66667</v>
      </c>
      <c r="B1044" s="2">
        <f>IFERROR(__xludf.DUMMYFUNCTION("""COMPUTED_VALUE"""),398.0)</f>
        <v>398</v>
      </c>
      <c r="C1044" s="2">
        <f>IFERROR(__xludf.DUMMYFUNCTION("""COMPUTED_VALUE"""),408.0)</f>
        <v>408</v>
      </c>
      <c r="D1044" s="2">
        <f>IFERROR(__xludf.DUMMYFUNCTION("""COMPUTED_VALUE"""),398.0)</f>
        <v>398</v>
      </c>
      <c r="E1044" s="2">
        <f>IFERROR(__xludf.DUMMYFUNCTION("""COMPUTED_VALUE"""),404.0)</f>
        <v>404</v>
      </c>
      <c r="F1044" s="2">
        <f>IFERROR(__xludf.DUMMYFUNCTION("""COMPUTED_VALUE"""),3.07416E7)</f>
        <v>30741600</v>
      </c>
      <c r="G1044" s="2">
        <f t="shared" si="1"/>
        <v>10</v>
      </c>
    </row>
    <row r="1045" ht="15.75" customHeight="1">
      <c r="A1045" s="1">
        <f>IFERROR(__xludf.DUMMYFUNCTION("""COMPUTED_VALUE"""),45406.66666666667)</f>
        <v>45406.66667</v>
      </c>
      <c r="B1045" s="2">
        <f>IFERROR(__xludf.DUMMYFUNCTION("""COMPUTED_VALUE"""),406.0)</f>
        <v>406</v>
      </c>
      <c r="C1045" s="2">
        <f>IFERROR(__xludf.DUMMYFUNCTION("""COMPUTED_VALUE"""),424.0)</f>
        <v>424</v>
      </c>
      <c r="D1045" s="2">
        <f>IFERROR(__xludf.DUMMYFUNCTION("""COMPUTED_VALUE"""),404.0)</f>
        <v>404</v>
      </c>
      <c r="E1045" s="2">
        <f>IFERROR(__xludf.DUMMYFUNCTION("""COMPUTED_VALUE"""),422.0)</f>
        <v>422</v>
      </c>
      <c r="F1045" s="2">
        <f>IFERROR(__xludf.DUMMYFUNCTION("""COMPUTED_VALUE"""),1.119393E8)</f>
        <v>111939300</v>
      </c>
      <c r="G1045" s="2">
        <f t="shared" si="1"/>
        <v>20</v>
      </c>
    </row>
    <row r="1046" ht="15.75" customHeight="1">
      <c r="A1046" s="1">
        <f>IFERROR(__xludf.DUMMYFUNCTION("""COMPUTED_VALUE"""),45407.66666666667)</f>
        <v>45407.66667</v>
      </c>
      <c r="B1046" s="2">
        <f>IFERROR(__xludf.DUMMYFUNCTION("""COMPUTED_VALUE"""),422.0)</f>
        <v>422</v>
      </c>
      <c r="C1046" s="2">
        <f>IFERROR(__xludf.DUMMYFUNCTION("""COMPUTED_VALUE"""),424.0)</f>
        <v>424</v>
      </c>
      <c r="D1046" s="2">
        <f>IFERROR(__xludf.DUMMYFUNCTION("""COMPUTED_VALUE"""),414.0)</f>
        <v>414</v>
      </c>
      <c r="E1046" s="2">
        <f>IFERROR(__xludf.DUMMYFUNCTION("""COMPUTED_VALUE"""),416.0)</f>
        <v>416</v>
      </c>
      <c r="F1046" s="2">
        <f>IFERROR(__xludf.DUMMYFUNCTION("""COMPUTED_VALUE"""),3.69424E7)</f>
        <v>36942400</v>
      </c>
      <c r="G1046" s="2">
        <f t="shared" si="1"/>
        <v>10</v>
      </c>
    </row>
    <row r="1047" ht="15.75" customHeight="1">
      <c r="A1047" s="1">
        <f>IFERROR(__xludf.DUMMYFUNCTION("""COMPUTED_VALUE"""),45408.66666666667)</f>
        <v>45408.66667</v>
      </c>
      <c r="B1047" s="2">
        <f>IFERROR(__xludf.DUMMYFUNCTION("""COMPUTED_VALUE"""),414.0)</f>
        <v>414</v>
      </c>
      <c r="C1047" s="2">
        <f>IFERROR(__xludf.DUMMYFUNCTION("""COMPUTED_VALUE"""),422.0)</f>
        <v>422</v>
      </c>
      <c r="D1047" s="2">
        <f>IFERROR(__xludf.DUMMYFUNCTION("""COMPUTED_VALUE"""),402.0)</f>
        <v>402</v>
      </c>
      <c r="E1047" s="2">
        <f>IFERROR(__xludf.DUMMYFUNCTION("""COMPUTED_VALUE"""),404.0)</f>
        <v>404</v>
      </c>
      <c r="F1047" s="2">
        <f>IFERROR(__xludf.DUMMYFUNCTION("""COMPUTED_VALUE"""),4.82807E7)</f>
        <v>48280700</v>
      </c>
      <c r="G1047" s="2">
        <f t="shared" si="1"/>
        <v>20</v>
      </c>
    </row>
    <row r="1048" ht="15.75" customHeight="1">
      <c r="A1048" s="1">
        <f>IFERROR(__xludf.DUMMYFUNCTION("""COMPUTED_VALUE"""),45411.66666666667)</f>
        <v>45411.66667</v>
      </c>
      <c r="B1048" s="2">
        <f>IFERROR(__xludf.DUMMYFUNCTION("""COMPUTED_VALUE"""),404.0)</f>
        <v>404</v>
      </c>
      <c r="C1048" s="2">
        <f>IFERROR(__xludf.DUMMYFUNCTION("""COMPUTED_VALUE"""),408.0)</f>
        <v>408</v>
      </c>
      <c r="D1048" s="2">
        <f>IFERROR(__xludf.DUMMYFUNCTION("""COMPUTED_VALUE"""),398.0)</f>
        <v>398</v>
      </c>
      <c r="E1048" s="2">
        <f>IFERROR(__xludf.DUMMYFUNCTION("""COMPUTED_VALUE"""),404.0)</f>
        <v>404</v>
      </c>
      <c r="F1048" s="2">
        <f>IFERROR(__xludf.DUMMYFUNCTION("""COMPUTED_VALUE"""),2.48721E7)</f>
        <v>24872100</v>
      </c>
      <c r="G1048" s="2">
        <f t="shared" si="1"/>
        <v>10</v>
      </c>
    </row>
    <row r="1049" ht="15.75" customHeight="1">
      <c r="A1049" s="1">
        <f>IFERROR(__xludf.DUMMYFUNCTION("""COMPUTED_VALUE"""),45412.66666666667)</f>
        <v>45412.66667</v>
      </c>
      <c r="B1049" s="2">
        <f>IFERROR(__xludf.DUMMYFUNCTION("""COMPUTED_VALUE"""),406.0)</f>
        <v>406</v>
      </c>
      <c r="C1049" s="2">
        <f>IFERROR(__xludf.DUMMYFUNCTION("""COMPUTED_VALUE"""),428.0)</f>
        <v>428</v>
      </c>
      <c r="D1049" s="2">
        <f>IFERROR(__xludf.DUMMYFUNCTION("""COMPUTED_VALUE"""),404.0)</f>
        <v>404</v>
      </c>
      <c r="E1049" s="2">
        <f>IFERROR(__xludf.DUMMYFUNCTION("""COMPUTED_VALUE"""),428.0)</f>
        <v>428</v>
      </c>
      <c r="F1049" s="2">
        <f>IFERROR(__xludf.DUMMYFUNCTION("""COMPUTED_VALUE"""),1.239738E8)</f>
        <v>123973800</v>
      </c>
      <c r="G1049" s="2">
        <f t="shared" si="1"/>
        <v>24</v>
      </c>
    </row>
    <row r="1050" ht="15.75" customHeight="1">
      <c r="A1050" s="1">
        <f>IFERROR(__xludf.DUMMYFUNCTION("""COMPUTED_VALUE"""),45414.66666666667)</f>
        <v>45414.66667</v>
      </c>
      <c r="B1050" s="2">
        <f>IFERROR(__xludf.DUMMYFUNCTION("""COMPUTED_VALUE"""),428.0)</f>
        <v>428</v>
      </c>
      <c r="C1050" s="2">
        <f>IFERROR(__xludf.DUMMYFUNCTION("""COMPUTED_VALUE"""),436.0)</f>
        <v>436</v>
      </c>
      <c r="D1050" s="2">
        <f>IFERROR(__xludf.DUMMYFUNCTION("""COMPUTED_VALUE"""),420.0)</f>
        <v>420</v>
      </c>
      <c r="E1050" s="2">
        <f>IFERROR(__xludf.DUMMYFUNCTION("""COMPUTED_VALUE"""),434.0)</f>
        <v>434</v>
      </c>
      <c r="F1050" s="2">
        <f>IFERROR(__xludf.DUMMYFUNCTION("""COMPUTED_VALUE"""),8.17614E7)</f>
        <v>81761400</v>
      </c>
      <c r="G1050" s="2">
        <f t="shared" si="1"/>
        <v>16</v>
      </c>
    </row>
    <row r="1051" ht="15.75" customHeight="1">
      <c r="A1051" s="1">
        <f>IFERROR(__xludf.DUMMYFUNCTION("""COMPUTED_VALUE"""),45415.66666666667)</f>
        <v>45415.66667</v>
      </c>
      <c r="B1051" s="2">
        <f>IFERROR(__xludf.DUMMYFUNCTION("""COMPUTED_VALUE"""),434.0)</f>
        <v>434</v>
      </c>
      <c r="C1051" s="2">
        <f>IFERROR(__xludf.DUMMYFUNCTION("""COMPUTED_VALUE"""),438.0)</f>
        <v>438</v>
      </c>
      <c r="D1051" s="2">
        <f>IFERROR(__xludf.DUMMYFUNCTION("""COMPUTED_VALUE"""),424.0)</f>
        <v>424</v>
      </c>
      <c r="E1051" s="2">
        <f>IFERROR(__xludf.DUMMYFUNCTION("""COMPUTED_VALUE"""),428.0)</f>
        <v>428</v>
      </c>
      <c r="F1051" s="2">
        <f>IFERROR(__xludf.DUMMYFUNCTION("""COMPUTED_VALUE"""),2.86514E7)</f>
        <v>28651400</v>
      </c>
      <c r="G1051" s="2">
        <f t="shared" si="1"/>
        <v>14</v>
      </c>
    </row>
    <row r="1052" ht="15.75" customHeight="1">
      <c r="A1052" s="1">
        <f>IFERROR(__xludf.DUMMYFUNCTION("""COMPUTED_VALUE"""),45418.66666666667)</f>
        <v>45418.66667</v>
      </c>
      <c r="B1052" s="2">
        <f>IFERROR(__xludf.DUMMYFUNCTION("""COMPUTED_VALUE"""),424.0)</f>
        <v>424</v>
      </c>
      <c r="C1052" s="2">
        <f>IFERROR(__xludf.DUMMYFUNCTION("""COMPUTED_VALUE"""),430.0)</f>
        <v>430</v>
      </c>
      <c r="D1052" s="2">
        <f>IFERROR(__xludf.DUMMYFUNCTION("""COMPUTED_VALUE"""),420.0)</f>
        <v>420</v>
      </c>
      <c r="E1052" s="2">
        <f>IFERROR(__xludf.DUMMYFUNCTION("""COMPUTED_VALUE"""),422.0)</f>
        <v>422</v>
      </c>
      <c r="F1052" s="2">
        <f>IFERROR(__xludf.DUMMYFUNCTION("""COMPUTED_VALUE"""),2.55782E7)</f>
        <v>25578200</v>
      </c>
      <c r="G1052" s="2">
        <f t="shared" si="1"/>
        <v>10</v>
      </c>
    </row>
    <row r="1053" ht="15.75" customHeight="1">
      <c r="A1053" s="1">
        <f>IFERROR(__xludf.DUMMYFUNCTION("""COMPUTED_VALUE"""),45419.66666666667)</f>
        <v>45419.66667</v>
      </c>
      <c r="B1053" s="2">
        <f>IFERROR(__xludf.DUMMYFUNCTION("""COMPUTED_VALUE"""),422.0)</f>
        <v>422</v>
      </c>
      <c r="C1053" s="2">
        <f>IFERROR(__xludf.DUMMYFUNCTION("""COMPUTED_VALUE"""),430.0)</f>
        <v>430</v>
      </c>
      <c r="D1053" s="2">
        <f>IFERROR(__xludf.DUMMYFUNCTION("""COMPUTED_VALUE"""),420.0)</f>
        <v>420</v>
      </c>
      <c r="E1053" s="2">
        <f>IFERROR(__xludf.DUMMYFUNCTION("""COMPUTED_VALUE"""),426.0)</f>
        <v>426</v>
      </c>
      <c r="F1053" s="2">
        <f>IFERROR(__xludf.DUMMYFUNCTION("""COMPUTED_VALUE"""),2.8423E7)</f>
        <v>28423000</v>
      </c>
      <c r="G1053" s="2">
        <f t="shared" si="1"/>
        <v>10</v>
      </c>
    </row>
    <row r="1054" ht="15.75" customHeight="1">
      <c r="A1054" s="1">
        <f>IFERROR(__xludf.DUMMYFUNCTION("""COMPUTED_VALUE"""),45420.66666666667)</f>
        <v>45420.66667</v>
      </c>
      <c r="B1054" s="2">
        <f>IFERROR(__xludf.DUMMYFUNCTION("""COMPUTED_VALUE"""),426.0)</f>
        <v>426</v>
      </c>
      <c r="C1054" s="2">
        <f>IFERROR(__xludf.DUMMYFUNCTION("""COMPUTED_VALUE"""),426.0)</f>
        <v>426</v>
      </c>
      <c r="D1054" s="2">
        <f>IFERROR(__xludf.DUMMYFUNCTION("""COMPUTED_VALUE"""),420.0)</f>
        <v>420</v>
      </c>
      <c r="E1054" s="2">
        <f>IFERROR(__xludf.DUMMYFUNCTION("""COMPUTED_VALUE"""),422.0)</f>
        <v>422</v>
      </c>
      <c r="F1054" s="2">
        <f>IFERROR(__xludf.DUMMYFUNCTION("""COMPUTED_VALUE"""),2.40761E7)</f>
        <v>24076100</v>
      </c>
      <c r="G1054" s="2">
        <f t="shared" si="1"/>
        <v>6</v>
      </c>
    </row>
    <row r="1055" ht="15.75" customHeight="1">
      <c r="A1055" s="1">
        <f>IFERROR(__xludf.DUMMYFUNCTION("""COMPUTED_VALUE"""),45425.66666666667)</f>
        <v>45425.66667</v>
      </c>
      <c r="B1055" s="2">
        <f>IFERROR(__xludf.DUMMYFUNCTION("""COMPUTED_VALUE"""),420.0)</f>
        <v>420</v>
      </c>
      <c r="C1055" s="2">
        <f>IFERROR(__xludf.DUMMYFUNCTION("""COMPUTED_VALUE"""),442.0)</f>
        <v>442</v>
      </c>
      <c r="D1055" s="2">
        <f>IFERROR(__xludf.DUMMYFUNCTION("""COMPUTED_VALUE"""),420.0)</f>
        <v>420</v>
      </c>
      <c r="E1055" s="2">
        <f>IFERROR(__xludf.DUMMYFUNCTION("""COMPUTED_VALUE"""),438.0)</f>
        <v>438</v>
      </c>
      <c r="F1055" s="2">
        <f>IFERROR(__xludf.DUMMYFUNCTION("""COMPUTED_VALUE"""),5.8695E7)</f>
        <v>58695000</v>
      </c>
      <c r="G1055" s="2">
        <f t="shared" si="1"/>
        <v>22</v>
      </c>
    </row>
    <row r="1056" ht="15.75" customHeight="1">
      <c r="A1056" s="1">
        <f>IFERROR(__xludf.DUMMYFUNCTION("""COMPUTED_VALUE"""),45426.66666666667)</f>
        <v>45426.66667</v>
      </c>
      <c r="B1056" s="2">
        <f>IFERROR(__xludf.DUMMYFUNCTION("""COMPUTED_VALUE"""),444.0)</f>
        <v>444</v>
      </c>
      <c r="C1056" s="2">
        <f>IFERROR(__xludf.DUMMYFUNCTION("""COMPUTED_VALUE"""),460.0)</f>
        <v>460</v>
      </c>
      <c r="D1056" s="2">
        <f>IFERROR(__xludf.DUMMYFUNCTION("""COMPUTED_VALUE"""),438.0)</f>
        <v>438</v>
      </c>
      <c r="E1056" s="2">
        <f>IFERROR(__xludf.DUMMYFUNCTION("""COMPUTED_VALUE"""),456.0)</f>
        <v>456</v>
      </c>
      <c r="F1056" s="2">
        <f>IFERROR(__xludf.DUMMYFUNCTION("""COMPUTED_VALUE"""),8.74048E7)</f>
        <v>87404800</v>
      </c>
      <c r="G1056" s="2">
        <f t="shared" si="1"/>
        <v>22</v>
      </c>
    </row>
    <row r="1057" ht="15.75" customHeight="1">
      <c r="A1057" s="1">
        <f>IFERROR(__xludf.DUMMYFUNCTION("""COMPUTED_VALUE"""),45427.66666666667)</f>
        <v>45427.66667</v>
      </c>
      <c r="B1057" s="2">
        <f>IFERROR(__xludf.DUMMYFUNCTION("""COMPUTED_VALUE"""),456.0)</f>
        <v>456</v>
      </c>
      <c r="C1057" s="2">
        <f>IFERROR(__xludf.DUMMYFUNCTION("""COMPUTED_VALUE"""),460.0)</f>
        <v>460</v>
      </c>
      <c r="D1057" s="2">
        <f>IFERROR(__xludf.DUMMYFUNCTION("""COMPUTED_VALUE"""),436.0)</f>
        <v>436</v>
      </c>
      <c r="E1057" s="2">
        <f>IFERROR(__xludf.DUMMYFUNCTION("""COMPUTED_VALUE"""),440.0)</f>
        <v>440</v>
      </c>
      <c r="F1057" s="2">
        <f>IFERROR(__xludf.DUMMYFUNCTION("""COMPUTED_VALUE"""),8.33263E7)</f>
        <v>83326300</v>
      </c>
      <c r="G1057" s="2">
        <f t="shared" si="1"/>
        <v>24</v>
      </c>
    </row>
    <row r="1058" ht="15.75" customHeight="1">
      <c r="A1058" s="1">
        <f>IFERROR(__xludf.DUMMYFUNCTION("""COMPUTED_VALUE"""),45428.66666666667)</f>
        <v>45428.66667</v>
      </c>
      <c r="B1058" s="2">
        <f>IFERROR(__xludf.DUMMYFUNCTION("""COMPUTED_VALUE"""),438.0)</f>
        <v>438</v>
      </c>
      <c r="C1058" s="2">
        <f>IFERROR(__xludf.DUMMYFUNCTION("""COMPUTED_VALUE"""),444.0)</f>
        <v>444</v>
      </c>
      <c r="D1058" s="2">
        <f>IFERROR(__xludf.DUMMYFUNCTION("""COMPUTED_VALUE"""),430.0)</f>
        <v>430</v>
      </c>
      <c r="E1058" s="2">
        <f>IFERROR(__xludf.DUMMYFUNCTION("""COMPUTED_VALUE"""),434.0)</f>
        <v>434</v>
      </c>
      <c r="F1058" s="2">
        <f>IFERROR(__xludf.DUMMYFUNCTION("""COMPUTED_VALUE"""),3.53921E7)</f>
        <v>35392100</v>
      </c>
      <c r="G1058" s="2">
        <f t="shared" si="1"/>
        <v>14</v>
      </c>
    </row>
    <row r="1059" ht="15.75" customHeight="1">
      <c r="A1059" s="1">
        <f>IFERROR(__xludf.DUMMYFUNCTION("""COMPUTED_VALUE"""),45429.66666666667)</f>
        <v>45429.66667</v>
      </c>
      <c r="B1059" s="2">
        <f>IFERROR(__xludf.DUMMYFUNCTION("""COMPUTED_VALUE"""),434.0)</f>
        <v>434</v>
      </c>
      <c r="C1059" s="2">
        <f>IFERROR(__xludf.DUMMYFUNCTION("""COMPUTED_VALUE"""),444.0)</f>
        <v>444</v>
      </c>
      <c r="D1059" s="2">
        <f>IFERROR(__xludf.DUMMYFUNCTION("""COMPUTED_VALUE"""),432.0)</f>
        <v>432</v>
      </c>
      <c r="E1059" s="2">
        <f>IFERROR(__xludf.DUMMYFUNCTION("""COMPUTED_VALUE"""),442.0)</f>
        <v>442</v>
      </c>
      <c r="F1059" s="2">
        <f>IFERROR(__xludf.DUMMYFUNCTION("""COMPUTED_VALUE"""),2.42089E7)</f>
        <v>24208900</v>
      </c>
      <c r="G1059" s="2">
        <f t="shared" si="1"/>
        <v>12</v>
      </c>
    </row>
    <row r="1060" ht="15.75" customHeight="1">
      <c r="A1060" s="1">
        <f>IFERROR(__xludf.DUMMYFUNCTION("""COMPUTED_VALUE"""),45432.66666666667)</f>
        <v>45432.66667</v>
      </c>
      <c r="B1060" s="2">
        <f>IFERROR(__xludf.DUMMYFUNCTION("""COMPUTED_VALUE"""),442.0)</f>
        <v>442</v>
      </c>
      <c r="C1060" s="2">
        <f>IFERROR(__xludf.DUMMYFUNCTION("""COMPUTED_VALUE"""),464.0)</f>
        <v>464</v>
      </c>
      <c r="D1060" s="2">
        <f>IFERROR(__xludf.DUMMYFUNCTION("""COMPUTED_VALUE"""),442.0)</f>
        <v>442</v>
      </c>
      <c r="E1060" s="2">
        <f>IFERROR(__xludf.DUMMYFUNCTION("""COMPUTED_VALUE"""),456.0)</f>
        <v>456</v>
      </c>
      <c r="F1060" s="2">
        <f>IFERROR(__xludf.DUMMYFUNCTION("""COMPUTED_VALUE"""),6.4682E7)</f>
        <v>64682000</v>
      </c>
      <c r="G1060" s="2">
        <f t="shared" si="1"/>
        <v>22</v>
      </c>
    </row>
    <row r="1061" ht="15.75" customHeight="1">
      <c r="A1061" s="1">
        <f>IFERROR(__xludf.DUMMYFUNCTION("""COMPUTED_VALUE"""),45433.66666666667)</f>
        <v>45433.66667</v>
      </c>
      <c r="B1061" s="2">
        <f>IFERROR(__xludf.DUMMYFUNCTION("""COMPUTED_VALUE"""),456.0)</f>
        <v>456</v>
      </c>
      <c r="C1061" s="2">
        <f>IFERROR(__xludf.DUMMYFUNCTION("""COMPUTED_VALUE"""),456.0)</f>
        <v>456</v>
      </c>
      <c r="D1061" s="2">
        <f>IFERROR(__xludf.DUMMYFUNCTION("""COMPUTED_VALUE"""),440.0)</f>
        <v>440</v>
      </c>
      <c r="E1061" s="2">
        <f>IFERROR(__xludf.DUMMYFUNCTION("""COMPUTED_VALUE"""),442.0)</f>
        <v>442</v>
      </c>
      <c r="F1061" s="2">
        <f>IFERROR(__xludf.DUMMYFUNCTION("""COMPUTED_VALUE"""),2.55242E7)</f>
        <v>25524200</v>
      </c>
      <c r="G1061" s="2">
        <f t="shared" si="1"/>
        <v>16</v>
      </c>
    </row>
    <row r="1062" ht="15.75" customHeight="1">
      <c r="A1062" s="1">
        <f>IFERROR(__xludf.DUMMYFUNCTION("""COMPUTED_VALUE"""),45434.66666666667)</f>
        <v>45434.66667</v>
      </c>
      <c r="B1062" s="2">
        <f>IFERROR(__xludf.DUMMYFUNCTION("""COMPUTED_VALUE"""),450.0)</f>
        <v>450</v>
      </c>
      <c r="C1062" s="2">
        <f>IFERROR(__xludf.DUMMYFUNCTION("""COMPUTED_VALUE"""),454.0)</f>
        <v>454</v>
      </c>
      <c r="D1062" s="2">
        <f>IFERROR(__xludf.DUMMYFUNCTION("""COMPUTED_VALUE"""),438.0)</f>
        <v>438</v>
      </c>
      <c r="E1062" s="2">
        <f>IFERROR(__xludf.DUMMYFUNCTION("""COMPUTED_VALUE"""),440.0)</f>
        <v>440</v>
      </c>
      <c r="F1062" s="2">
        <f>IFERROR(__xludf.DUMMYFUNCTION("""COMPUTED_VALUE"""),2.31676E7)</f>
        <v>23167600</v>
      </c>
      <c r="G1062" s="2">
        <f t="shared" si="1"/>
        <v>16</v>
      </c>
    </row>
    <row r="1063" ht="15.75" customHeight="1">
      <c r="A1063" s="1">
        <f>IFERROR(__xludf.DUMMYFUNCTION("""COMPUTED_VALUE"""),45439.66666666667)</f>
        <v>45439.66667</v>
      </c>
      <c r="B1063" s="2">
        <f>IFERROR(__xludf.DUMMYFUNCTION("""COMPUTED_VALUE"""),448.0)</f>
        <v>448</v>
      </c>
      <c r="C1063" s="2">
        <f>IFERROR(__xludf.DUMMYFUNCTION("""COMPUTED_VALUE"""),448.0)</f>
        <v>448</v>
      </c>
      <c r="D1063" s="2">
        <f>IFERROR(__xludf.DUMMYFUNCTION("""COMPUTED_VALUE"""),430.0)</f>
        <v>430</v>
      </c>
      <c r="E1063" s="2">
        <f>IFERROR(__xludf.DUMMYFUNCTION("""COMPUTED_VALUE"""),432.0)</f>
        <v>432</v>
      </c>
      <c r="F1063" s="2">
        <f>IFERROR(__xludf.DUMMYFUNCTION("""COMPUTED_VALUE"""),4.7417E7)</f>
        <v>47417000</v>
      </c>
      <c r="G1063" s="2">
        <f t="shared" si="1"/>
        <v>18</v>
      </c>
    </row>
    <row r="1064" ht="15.75" customHeight="1">
      <c r="A1064" s="1">
        <f>IFERROR(__xludf.DUMMYFUNCTION("""COMPUTED_VALUE"""),45440.66666666667)</f>
        <v>45440.66667</v>
      </c>
      <c r="B1064" s="2">
        <f>IFERROR(__xludf.DUMMYFUNCTION("""COMPUTED_VALUE"""),408.0)</f>
        <v>408</v>
      </c>
      <c r="C1064" s="2">
        <f>IFERROR(__xludf.DUMMYFUNCTION("""COMPUTED_VALUE"""),418.0)</f>
        <v>418</v>
      </c>
      <c r="D1064" s="2">
        <f>IFERROR(__xludf.DUMMYFUNCTION("""COMPUTED_VALUE"""),404.0)</f>
        <v>404</v>
      </c>
      <c r="E1064" s="2">
        <f>IFERROR(__xludf.DUMMYFUNCTION("""COMPUTED_VALUE"""),416.0)</f>
        <v>416</v>
      </c>
      <c r="F1064" s="2">
        <f>IFERROR(__xludf.DUMMYFUNCTION("""COMPUTED_VALUE"""),4.42422E7)</f>
        <v>44242200</v>
      </c>
      <c r="G1064" s="2">
        <f t="shared" si="1"/>
        <v>28</v>
      </c>
    </row>
    <row r="1065" ht="15.75" customHeight="1">
      <c r="A1065" s="1">
        <f>IFERROR(__xludf.DUMMYFUNCTION("""COMPUTED_VALUE"""),45441.66666666667)</f>
        <v>45441.66667</v>
      </c>
      <c r="B1065" s="2">
        <f>IFERROR(__xludf.DUMMYFUNCTION("""COMPUTED_VALUE"""),416.0)</f>
        <v>416</v>
      </c>
      <c r="C1065" s="2">
        <f>IFERROR(__xludf.DUMMYFUNCTION("""COMPUTED_VALUE"""),424.0)</f>
        <v>424</v>
      </c>
      <c r="D1065" s="2">
        <f>IFERROR(__xludf.DUMMYFUNCTION("""COMPUTED_VALUE"""),410.0)</f>
        <v>410</v>
      </c>
      <c r="E1065" s="2">
        <f>IFERROR(__xludf.DUMMYFUNCTION("""COMPUTED_VALUE"""),412.0)</f>
        <v>412</v>
      </c>
      <c r="F1065" s="2">
        <f>IFERROR(__xludf.DUMMYFUNCTION("""COMPUTED_VALUE"""),3.72767E7)</f>
        <v>37276700</v>
      </c>
      <c r="G1065" s="2">
        <f t="shared" si="1"/>
        <v>14</v>
      </c>
    </row>
    <row r="1066" ht="15.75" customHeight="1">
      <c r="A1066" s="1">
        <f>IFERROR(__xludf.DUMMYFUNCTION("""COMPUTED_VALUE"""),45442.66666666667)</f>
        <v>45442.66667</v>
      </c>
      <c r="B1066" s="2">
        <f>IFERROR(__xludf.DUMMYFUNCTION("""COMPUTED_VALUE"""),412.0)</f>
        <v>412</v>
      </c>
      <c r="C1066" s="2">
        <f>IFERROR(__xludf.DUMMYFUNCTION("""COMPUTED_VALUE"""),414.0)</f>
        <v>414</v>
      </c>
      <c r="D1066" s="2">
        <f>IFERROR(__xludf.DUMMYFUNCTION("""COMPUTED_VALUE"""),404.0)</f>
        <v>404</v>
      </c>
      <c r="E1066" s="2">
        <f>IFERROR(__xludf.DUMMYFUNCTION("""COMPUTED_VALUE"""),412.0)</f>
        <v>412</v>
      </c>
      <c r="F1066" s="2">
        <f>IFERROR(__xludf.DUMMYFUNCTION("""COMPUTED_VALUE"""),1.88274E7)</f>
        <v>18827400</v>
      </c>
      <c r="G1066" s="2">
        <f t="shared" si="1"/>
        <v>10</v>
      </c>
    </row>
    <row r="1067" ht="15.75" customHeight="1">
      <c r="A1067" s="1">
        <f>IFERROR(__xludf.DUMMYFUNCTION("""COMPUTED_VALUE"""),45443.66666666667)</f>
        <v>45443.66667</v>
      </c>
      <c r="B1067" s="2">
        <f>IFERROR(__xludf.DUMMYFUNCTION("""COMPUTED_VALUE"""),410.0)</f>
        <v>410</v>
      </c>
      <c r="C1067" s="2">
        <f>IFERROR(__xludf.DUMMYFUNCTION("""COMPUTED_VALUE"""),412.0)</f>
        <v>412</v>
      </c>
      <c r="D1067" s="2">
        <f>IFERROR(__xludf.DUMMYFUNCTION("""COMPUTED_VALUE"""),406.0)</f>
        <v>406</v>
      </c>
      <c r="E1067" s="2">
        <f>IFERROR(__xludf.DUMMYFUNCTION("""COMPUTED_VALUE"""),406.0)</f>
        <v>406</v>
      </c>
      <c r="F1067" s="2">
        <f>IFERROR(__xludf.DUMMYFUNCTION("""COMPUTED_VALUE"""),1.84675E7)</f>
        <v>18467500</v>
      </c>
      <c r="G1067" s="2">
        <f t="shared" si="1"/>
        <v>6</v>
      </c>
    </row>
    <row r="1068" ht="15.75" customHeight="1">
      <c r="A1068" s="1">
        <f>IFERROR(__xludf.DUMMYFUNCTION("""COMPUTED_VALUE"""),45446.66666666667)</f>
        <v>45446.66667</v>
      </c>
      <c r="B1068" s="2">
        <f>IFERROR(__xludf.DUMMYFUNCTION("""COMPUTED_VALUE"""),406.0)</f>
        <v>406</v>
      </c>
      <c r="C1068" s="2">
        <f>IFERROR(__xludf.DUMMYFUNCTION("""COMPUTED_VALUE"""),422.0)</f>
        <v>422</v>
      </c>
      <c r="D1068" s="2">
        <f>IFERROR(__xludf.DUMMYFUNCTION("""COMPUTED_VALUE"""),404.0)</f>
        <v>404</v>
      </c>
      <c r="E1068" s="2">
        <f>IFERROR(__xludf.DUMMYFUNCTION("""COMPUTED_VALUE"""),422.0)</f>
        <v>422</v>
      </c>
      <c r="F1068" s="2">
        <f>IFERROR(__xludf.DUMMYFUNCTION("""COMPUTED_VALUE"""),2.36468E7)</f>
        <v>23646800</v>
      </c>
      <c r="G1068" s="2">
        <f t="shared" si="1"/>
        <v>18</v>
      </c>
    </row>
    <row r="1069" ht="15.75" customHeight="1">
      <c r="A1069" s="1">
        <f>IFERROR(__xludf.DUMMYFUNCTION("""COMPUTED_VALUE"""),45447.66666666667)</f>
        <v>45447.66667</v>
      </c>
      <c r="B1069" s="2">
        <f>IFERROR(__xludf.DUMMYFUNCTION("""COMPUTED_VALUE"""),420.0)</f>
        <v>420</v>
      </c>
      <c r="C1069" s="2">
        <f>IFERROR(__xludf.DUMMYFUNCTION("""COMPUTED_VALUE"""),426.0)</f>
        <v>426</v>
      </c>
      <c r="D1069" s="2">
        <f>IFERROR(__xludf.DUMMYFUNCTION("""COMPUTED_VALUE"""),414.0)</f>
        <v>414</v>
      </c>
      <c r="E1069" s="2">
        <f>IFERROR(__xludf.DUMMYFUNCTION("""COMPUTED_VALUE"""),426.0)</f>
        <v>426</v>
      </c>
      <c r="F1069" s="2">
        <f>IFERROR(__xludf.DUMMYFUNCTION("""COMPUTED_VALUE"""),3.58867E7)</f>
        <v>35886700</v>
      </c>
      <c r="G1069" s="2">
        <f t="shared" si="1"/>
        <v>12</v>
      </c>
    </row>
    <row r="1070" ht="15.75" customHeight="1">
      <c r="A1070" s="1">
        <f>IFERROR(__xludf.DUMMYFUNCTION("""COMPUTED_VALUE"""),45448.66666666667)</f>
        <v>45448.66667</v>
      </c>
      <c r="B1070" s="2">
        <f>IFERROR(__xludf.DUMMYFUNCTION("""COMPUTED_VALUE"""),424.0)</f>
        <v>424</v>
      </c>
      <c r="C1070" s="2">
        <f>IFERROR(__xludf.DUMMYFUNCTION("""COMPUTED_VALUE"""),426.0)</f>
        <v>426</v>
      </c>
      <c r="D1070" s="2">
        <f>IFERROR(__xludf.DUMMYFUNCTION("""COMPUTED_VALUE"""),412.0)</f>
        <v>412</v>
      </c>
      <c r="E1070" s="2">
        <f>IFERROR(__xludf.DUMMYFUNCTION("""COMPUTED_VALUE"""),414.0)</f>
        <v>414</v>
      </c>
      <c r="F1070" s="2">
        <f>IFERROR(__xludf.DUMMYFUNCTION("""COMPUTED_VALUE"""),1.16281E7)</f>
        <v>11628100</v>
      </c>
      <c r="G1070" s="2">
        <f t="shared" si="1"/>
        <v>14</v>
      </c>
    </row>
    <row r="1071" ht="15.75" customHeight="1">
      <c r="A1071" s="1">
        <f>IFERROR(__xludf.DUMMYFUNCTION("""COMPUTED_VALUE"""),45449.66666666667)</f>
        <v>45449.66667</v>
      </c>
      <c r="B1071" s="2">
        <f>IFERROR(__xludf.DUMMYFUNCTION("""COMPUTED_VALUE"""),416.0)</f>
        <v>416</v>
      </c>
      <c r="C1071" s="2">
        <f>IFERROR(__xludf.DUMMYFUNCTION("""COMPUTED_VALUE"""),420.0)</f>
        <v>420</v>
      </c>
      <c r="D1071" s="2">
        <f>IFERROR(__xludf.DUMMYFUNCTION("""COMPUTED_VALUE"""),412.0)</f>
        <v>412</v>
      </c>
      <c r="E1071" s="2">
        <f>IFERROR(__xludf.DUMMYFUNCTION("""COMPUTED_VALUE"""),412.0)</f>
        <v>412</v>
      </c>
      <c r="F1071" s="2">
        <f>IFERROR(__xludf.DUMMYFUNCTION("""COMPUTED_VALUE"""),1.25832E7)</f>
        <v>12583200</v>
      </c>
      <c r="G1071" s="2">
        <f t="shared" si="1"/>
        <v>8</v>
      </c>
    </row>
    <row r="1072" ht="15.75" customHeight="1">
      <c r="A1072" s="1">
        <f>IFERROR(__xludf.DUMMYFUNCTION("""COMPUTED_VALUE"""),45450.66666666667)</f>
        <v>45450.66667</v>
      </c>
      <c r="B1072" s="2">
        <f>IFERROR(__xludf.DUMMYFUNCTION("""COMPUTED_VALUE"""),416.0)</f>
        <v>416</v>
      </c>
      <c r="C1072" s="2">
        <f>IFERROR(__xludf.DUMMYFUNCTION("""COMPUTED_VALUE"""),422.0)</f>
        <v>422</v>
      </c>
      <c r="D1072" s="2">
        <f>IFERROR(__xludf.DUMMYFUNCTION("""COMPUTED_VALUE"""),414.0)</f>
        <v>414</v>
      </c>
      <c r="E1072" s="2">
        <f>IFERROR(__xludf.DUMMYFUNCTION("""COMPUTED_VALUE"""),414.0)</f>
        <v>414</v>
      </c>
      <c r="F1072" s="2">
        <f>IFERROR(__xludf.DUMMYFUNCTION("""COMPUTED_VALUE"""),1.48256E7)</f>
        <v>14825600</v>
      </c>
      <c r="G1072" s="2">
        <f t="shared" si="1"/>
        <v>10</v>
      </c>
    </row>
    <row r="1073" ht="15.75" customHeight="1">
      <c r="A1073" s="1">
        <f>IFERROR(__xludf.DUMMYFUNCTION("""COMPUTED_VALUE"""),45453.66666666667)</f>
        <v>45453.66667</v>
      </c>
      <c r="B1073" s="2">
        <f>IFERROR(__xludf.DUMMYFUNCTION("""COMPUTED_VALUE"""),414.0)</f>
        <v>414</v>
      </c>
      <c r="C1073" s="2">
        <f>IFERROR(__xludf.DUMMYFUNCTION("""COMPUTED_VALUE"""),416.0)</f>
        <v>416</v>
      </c>
      <c r="D1073" s="2">
        <f>IFERROR(__xludf.DUMMYFUNCTION("""COMPUTED_VALUE"""),408.0)</f>
        <v>408</v>
      </c>
      <c r="E1073" s="2">
        <f>IFERROR(__xludf.DUMMYFUNCTION("""COMPUTED_VALUE"""),410.0)</f>
        <v>410</v>
      </c>
      <c r="F1073" s="2">
        <f>IFERROR(__xludf.DUMMYFUNCTION("""COMPUTED_VALUE"""),1.34441E7)</f>
        <v>13444100</v>
      </c>
      <c r="G1073" s="2">
        <f t="shared" si="1"/>
        <v>8</v>
      </c>
    </row>
    <row r="1074" ht="15.75" customHeight="1">
      <c r="A1074" s="1">
        <f>IFERROR(__xludf.DUMMYFUNCTION("""COMPUTED_VALUE"""),45454.66666666667)</f>
        <v>45454.66667</v>
      </c>
      <c r="B1074" s="2">
        <f>IFERROR(__xludf.DUMMYFUNCTION("""COMPUTED_VALUE"""),414.0)</f>
        <v>414</v>
      </c>
      <c r="C1074" s="2">
        <f>IFERROR(__xludf.DUMMYFUNCTION("""COMPUTED_VALUE"""),418.0)</f>
        <v>418</v>
      </c>
      <c r="D1074" s="2">
        <f>IFERROR(__xludf.DUMMYFUNCTION("""COMPUTED_VALUE"""),410.0)</f>
        <v>410</v>
      </c>
      <c r="E1074" s="2">
        <f>IFERROR(__xludf.DUMMYFUNCTION("""COMPUTED_VALUE"""),412.0)</f>
        <v>412</v>
      </c>
      <c r="F1074" s="2">
        <f>IFERROR(__xludf.DUMMYFUNCTION("""COMPUTED_VALUE"""),1.25504E7)</f>
        <v>12550400</v>
      </c>
      <c r="G1074" s="2">
        <f t="shared" si="1"/>
        <v>8</v>
      </c>
    </row>
    <row r="1075" ht="15.75" customHeight="1">
      <c r="A1075" s="1">
        <f>IFERROR(__xludf.DUMMYFUNCTION("""COMPUTED_VALUE"""),45455.66666666667)</f>
        <v>45455.66667</v>
      </c>
      <c r="B1075" s="2">
        <f>IFERROR(__xludf.DUMMYFUNCTION("""COMPUTED_VALUE"""),410.0)</f>
        <v>410</v>
      </c>
      <c r="C1075" s="2">
        <f>IFERROR(__xludf.DUMMYFUNCTION("""COMPUTED_VALUE"""),416.0)</f>
        <v>416</v>
      </c>
      <c r="D1075" s="2">
        <f>IFERROR(__xludf.DUMMYFUNCTION("""COMPUTED_VALUE"""),404.0)</f>
        <v>404</v>
      </c>
      <c r="E1075" s="2">
        <f>IFERROR(__xludf.DUMMYFUNCTION("""COMPUTED_VALUE"""),406.0)</f>
        <v>406</v>
      </c>
      <c r="F1075" s="2">
        <f>IFERROR(__xludf.DUMMYFUNCTION("""COMPUTED_VALUE"""),2.07583E7)</f>
        <v>20758300</v>
      </c>
      <c r="G1075" s="2">
        <f t="shared" si="1"/>
        <v>12</v>
      </c>
    </row>
    <row r="1076" ht="15.75" customHeight="1">
      <c r="A1076" s="1">
        <f>IFERROR(__xludf.DUMMYFUNCTION("""COMPUTED_VALUE"""),45456.66666666667)</f>
        <v>45456.66667</v>
      </c>
      <c r="B1076" s="2">
        <f>IFERROR(__xludf.DUMMYFUNCTION("""COMPUTED_VALUE"""),406.0)</f>
        <v>406</v>
      </c>
      <c r="C1076" s="2">
        <f>IFERROR(__xludf.DUMMYFUNCTION("""COMPUTED_VALUE"""),410.0)</f>
        <v>410</v>
      </c>
      <c r="D1076" s="2">
        <f>IFERROR(__xludf.DUMMYFUNCTION("""COMPUTED_VALUE"""),402.0)</f>
        <v>402</v>
      </c>
      <c r="E1076" s="2">
        <f>IFERROR(__xludf.DUMMYFUNCTION("""COMPUTED_VALUE"""),404.0)</f>
        <v>404</v>
      </c>
      <c r="F1076" s="2">
        <f>IFERROR(__xludf.DUMMYFUNCTION("""COMPUTED_VALUE"""),1.25511E7)</f>
        <v>12551100</v>
      </c>
      <c r="G1076" s="2">
        <f t="shared" si="1"/>
        <v>8</v>
      </c>
    </row>
    <row r="1077" ht="15.75" customHeight="1">
      <c r="A1077" s="1">
        <f>IFERROR(__xludf.DUMMYFUNCTION("""COMPUTED_VALUE"""),45457.66666666667)</f>
        <v>45457.66667</v>
      </c>
      <c r="B1077" s="2">
        <f>IFERROR(__xludf.DUMMYFUNCTION("""COMPUTED_VALUE"""),404.0)</f>
        <v>404</v>
      </c>
      <c r="C1077" s="2">
        <f>IFERROR(__xludf.DUMMYFUNCTION("""COMPUTED_VALUE"""),408.0)</f>
        <v>408</v>
      </c>
      <c r="D1077" s="2">
        <f>IFERROR(__xludf.DUMMYFUNCTION("""COMPUTED_VALUE"""),392.0)</f>
        <v>392</v>
      </c>
      <c r="E1077" s="2">
        <f>IFERROR(__xludf.DUMMYFUNCTION("""COMPUTED_VALUE"""),398.0)</f>
        <v>398</v>
      </c>
      <c r="F1077" s="2">
        <f>IFERROR(__xludf.DUMMYFUNCTION("""COMPUTED_VALUE"""),3.98789E7)</f>
        <v>39878900</v>
      </c>
      <c r="G1077" s="2">
        <f t="shared" si="1"/>
        <v>16</v>
      </c>
    </row>
    <row r="1078" ht="15.75" customHeight="1">
      <c r="A1078" s="1">
        <f>IFERROR(__xludf.DUMMYFUNCTION("""COMPUTED_VALUE"""),45462.66666666667)</f>
        <v>45462.66667</v>
      </c>
      <c r="B1078" s="2">
        <f>IFERROR(__xludf.DUMMYFUNCTION("""COMPUTED_VALUE"""),398.0)</f>
        <v>398</v>
      </c>
      <c r="C1078" s="2">
        <f>IFERROR(__xludf.DUMMYFUNCTION("""COMPUTED_VALUE"""),408.0)</f>
        <v>408</v>
      </c>
      <c r="D1078" s="2">
        <f>IFERROR(__xludf.DUMMYFUNCTION("""COMPUTED_VALUE"""),394.0)</f>
        <v>394</v>
      </c>
      <c r="E1078" s="2">
        <f>IFERROR(__xludf.DUMMYFUNCTION("""COMPUTED_VALUE"""),406.0)</f>
        <v>406</v>
      </c>
      <c r="F1078" s="2">
        <f>IFERROR(__xludf.DUMMYFUNCTION("""COMPUTED_VALUE"""),2.85988E7)</f>
        <v>28598800</v>
      </c>
      <c r="G1078" s="2">
        <f t="shared" si="1"/>
        <v>14</v>
      </c>
    </row>
    <row r="1079" ht="15.75" customHeight="1">
      <c r="A1079" s="1">
        <f>IFERROR(__xludf.DUMMYFUNCTION("""COMPUTED_VALUE"""),45463.66666666667)</f>
        <v>45463.66667</v>
      </c>
      <c r="B1079" s="2">
        <f>IFERROR(__xludf.DUMMYFUNCTION("""COMPUTED_VALUE"""),406.0)</f>
        <v>406</v>
      </c>
      <c r="C1079" s="2">
        <f>IFERROR(__xludf.DUMMYFUNCTION("""COMPUTED_VALUE"""),420.0)</f>
        <v>420</v>
      </c>
      <c r="D1079" s="2">
        <f>IFERROR(__xludf.DUMMYFUNCTION("""COMPUTED_VALUE"""),406.0)</f>
        <v>406</v>
      </c>
      <c r="E1079" s="2">
        <f>IFERROR(__xludf.DUMMYFUNCTION("""COMPUTED_VALUE"""),418.0)</f>
        <v>418</v>
      </c>
      <c r="F1079" s="2">
        <f>IFERROR(__xludf.DUMMYFUNCTION("""COMPUTED_VALUE"""),4.12375E7)</f>
        <v>41237500</v>
      </c>
      <c r="G1079" s="2">
        <f t="shared" si="1"/>
        <v>14</v>
      </c>
    </row>
    <row r="1080" ht="15.75" customHeight="1">
      <c r="A1080" s="1">
        <f>IFERROR(__xludf.DUMMYFUNCTION("""COMPUTED_VALUE"""),45464.66666666667)</f>
        <v>45464.66667</v>
      </c>
      <c r="B1080" s="2">
        <f>IFERROR(__xludf.DUMMYFUNCTION("""COMPUTED_VALUE"""),418.0)</f>
        <v>418</v>
      </c>
      <c r="C1080" s="2">
        <f>IFERROR(__xludf.DUMMYFUNCTION("""COMPUTED_VALUE"""),438.0)</f>
        <v>438</v>
      </c>
      <c r="D1080" s="2">
        <f>IFERROR(__xludf.DUMMYFUNCTION("""COMPUTED_VALUE"""),418.0)</f>
        <v>418</v>
      </c>
      <c r="E1080" s="2">
        <f>IFERROR(__xludf.DUMMYFUNCTION("""COMPUTED_VALUE"""),432.0)</f>
        <v>432</v>
      </c>
      <c r="F1080" s="2">
        <f>IFERROR(__xludf.DUMMYFUNCTION("""COMPUTED_VALUE"""),5.84301E7)</f>
        <v>58430100</v>
      </c>
      <c r="G1080" s="2">
        <f t="shared" si="1"/>
        <v>20</v>
      </c>
    </row>
    <row r="1081" ht="15.75" customHeight="1">
      <c r="A1081" s="1">
        <f>IFERROR(__xludf.DUMMYFUNCTION("""COMPUTED_VALUE"""),45467.66666666667)</f>
        <v>45467.66667</v>
      </c>
      <c r="B1081" s="2">
        <f>IFERROR(__xludf.DUMMYFUNCTION("""COMPUTED_VALUE"""),432.0)</f>
        <v>432</v>
      </c>
      <c r="C1081" s="2">
        <f>IFERROR(__xludf.DUMMYFUNCTION("""COMPUTED_VALUE"""),438.0)</f>
        <v>438</v>
      </c>
      <c r="D1081" s="2">
        <f>IFERROR(__xludf.DUMMYFUNCTION("""COMPUTED_VALUE"""),432.0)</f>
        <v>432</v>
      </c>
      <c r="E1081" s="2">
        <f>IFERROR(__xludf.DUMMYFUNCTION("""COMPUTED_VALUE"""),434.0)</f>
        <v>434</v>
      </c>
      <c r="F1081" s="2">
        <f>IFERROR(__xludf.DUMMYFUNCTION("""COMPUTED_VALUE"""),1.54101E7)</f>
        <v>15410100</v>
      </c>
      <c r="G1081" s="2">
        <f t="shared" si="1"/>
        <v>6</v>
      </c>
    </row>
    <row r="1082" ht="15.75" customHeight="1">
      <c r="A1082" s="1">
        <f>IFERROR(__xludf.DUMMYFUNCTION("""COMPUTED_VALUE"""),45468.66666666667)</f>
        <v>45468.66667</v>
      </c>
      <c r="B1082" s="2">
        <f>IFERROR(__xludf.DUMMYFUNCTION("""COMPUTED_VALUE"""),434.0)</f>
        <v>434</v>
      </c>
      <c r="C1082" s="2">
        <f>IFERROR(__xludf.DUMMYFUNCTION("""COMPUTED_VALUE"""),450.0)</f>
        <v>450</v>
      </c>
      <c r="D1082" s="2">
        <f>IFERROR(__xludf.DUMMYFUNCTION("""COMPUTED_VALUE"""),432.0)</f>
        <v>432</v>
      </c>
      <c r="E1082" s="2">
        <f>IFERROR(__xludf.DUMMYFUNCTION("""COMPUTED_VALUE"""),448.0)</f>
        <v>448</v>
      </c>
      <c r="F1082" s="2">
        <f>IFERROR(__xludf.DUMMYFUNCTION("""COMPUTED_VALUE"""),3.87058E7)</f>
        <v>38705800</v>
      </c>
      <c r="G1082" s="2">
        <f t="shared" si="1"/>
        <v>18</v>
      </c>
    </row>
    <row r="1083" ht="15.75" customHeight="1">
      <c r="A1083" s="1">
        <f>IFERROR(__xludf.DUMMYFUNCTION("""COMPUTED_VALUE"""),45469.66666666667)</f>
        <v>45469.66667</v>
      </c>
      <c r="B1083" s="2">
        <f>IFERROR(__xludf.DUMMYFUNCTION("""COMPUTED_VALUE"""),452.0)</f>
        <v>452</v>
      </c>
      <c r="C1083" s="2">
        <f>IFERROR(__xludf.DUMMYFUNCTION("""COMPUTED_VALUE"""),452.0)</f>
        <v>452</v>
      </c>
      <c r="D1083" s="2">
        <f>IFERROR(__xludf.DUMMYFUNCTION("""COMPUTED_VALUE"""),438.0)</f>
        <v>438</v>
      </c>
      <c r="E1083" s="2">
        <f>IFERROR(__xludf.DUMMYFUNCTION("""COMPUTED_VALUE"""),442.0)</f>
        <v>442</v>
      </c>
      <c r="F1083" s="2">
        <f>IFERROR(__xludf.DUMMYFUNCTION("""COMPUTED_VALUE"""),1.70421E7)</f>
        <v>17042100</v>
      </c>
      <c r="G1083" s="2">
        <f t="shared" si="1"/>
        <v>14</v>
      </c>
    </row>
    <row r="1084" ht="15.75" customHeight="1">
      <c r="A1084" s="1">
        <f>IFERROR(__xludf.DUMMYFUNCTION("""COMPUTED_VALUE"""),45470.66666666667)</f>
        <v>45470.66667</v>
      </c>
      <c r="B1084" s="2">
        <f>IFERROR(__xludf.DUMMYFUNCTION("""COMPUTED_VALUE"""),442.0)</f>
        <v>442</v>
      </c>
      <c r="C1084" s="2">
        <f>IFERROR(__xludf.DUMMYFUNCTION("""COMPUTED_VALUE"""),442.0)</f>
        <v>442</v>
      </c>
      <c r="D1084" s="2">
        <f>IFERROR(__xludf.DUMMYFUNCTION("""COMPUTED_VALUE"""),436.0)</f>
        <v>436</v>
      </c>
      <c r="E1084" s="2">
        <f>IFERROR(__xludf.DUMMYFUNCTION("""COMPUTED_VALUE"""),442.0)</f>
        <v>442</v>
      </c>
      <c r="F1084" s="2">
        <f>IFERROR(__xludf.DUMMYFUNCTION("""COMPUTED_VALUE"""),1.2131E7)</f>
        <v>12131000</v>
      </c>
      <c r="G1084" s="2">
        <f t="shared" si="1"/>
        <v>6</v>
      </c>
    </row>
    <row r="1085" ht="15.75" customHeight="1">
      <c r="A1085" s="1">
        <f>IFERROR(__xludf.DUMMYFUNCTION("""COMPUTED_VALUE"""),45471.66666666667)</f>
        <v>45471.66667</v>
      </c>
      <c r="B1085" s="2">
        <f>IFERROR(__xludf.DUMMYFUNCTION("""COMPUTED_VALUE"""),442.0)</f>
        <v>442</v>
      </c>
      <c r="C1085" s="2">
        <f>IFERROR(__xludf.DUMMYFUNCTION("""COMPUTED_VALUE"""),450.0)</f>
        <v>450</v>
      </c>
      <c r="D1085" s="2">
        <f>IFERROR(__xludf.DUMMYFUNCTION("""COMPUTED_VALUE"""),440.0)</f>
        <v>440</v>
      </c>
      <c r="E1085" s="2">
        <f>IFERROR(__xludf.DUMMYFUNCTION("""COMPUTED_VALUE"""),444.0)</f>
        <v>444</v>
      </c>
      <c r="F1085" s="2">
        <f>IFERROR(__xludf.DUMMYFUNCTION("""COMPUTED_VALUE"""),1.65441E7)</f>
        <v>16544100</v>
      </c>
      <c r="G1085" s="2">
        <f t="shared" si="1"/>
        <v>10</v>
      </c>
    </row>
    <row r="1086" ht="15.75" customHeight="1">
      <c r="A1086" s="1">
        <f>IFERROR(__xludf.DUMMYFUNCTION("""COMPUTED_VALUE"""),45474.66666666667)</f>
        <v>45474.66667</v>
      </c>
      <c r="B1086" s="2">
        <f>IFERROR(__xludf.DUMMYFUNCTION("""COMPUTED_VALUE"""),444.0)</f>
        <v>444</v>
      </c>
      <c r="C1086" s="2">
        <f>IFERROR(__xludf.DUMMYFUNCTION("""COMPUTED_VALUE"""),444.0)</f>
        <v>444</v>
      </c>
      <c r="D1086" s="2">
        <f>IFERROR(__xludf.DUMMYFUNCTION("""COMPUTED_VALUE"""),430.0)</f>
        <v>430</v>
      </c>
      <c r="E1086" s="2">
        <f>IFERROR(__xludf.DUMMYFUNCTION("""COMPUTED_VALUE"""),434.0)</f>
        <v>434</v>
      </c>
      <c r="F1086" s="2">
        <f>IFERROR(__xludf.DUMMYFUNCTION("""COMPUTED_VALUE"""),5.73274E7)</f>
        <v>57327400</v>
      </c>
      <c r="G1086" s="2">
        <f t="shared" si="1"/>
        <v>14</v>
      </c>
    </row>
    <row r="1087" ht="15.75" customHeight="1">
      <c r="A1087" s="1">
        <f>IFERROR(__xludf.DUMMYFUNCTION("""COMPUTED_VALUE"""),45475.66666666667)</f>
        <v>45475.66667</v>
      </c>
      <c r="B1087" s="2">
        <f>IFERROR(__xludf.DUMMYFUNCTION("""COMPUTED_VALUE"""),436.0)</f>
        <v>436</v>
      </c>
      <c r="C1087" s="2">
        <f>IFERROR(__xludf.DUMMYFUNCTION("""COMPUTED_VALUE"""),442.0)</f>
        <v>442</v>
      </c>
      <c r="D1087" s="2">
        <f>IFERROR(__xludf.DUMMYFUNCTION("""COMPUTED_VALUE"""),434.0)</f>
        <v>434</v>
      </c>
      <c r="E1087" s="2">
        <f>IFERROR(__xludf.DUMMYFUNCTION("""COMPUTED_VALUE"""),438.0)</f>
        <v>438</v>
      </c>
      <c r="F1087" s="2">
        <f>IFERROR(__xludf.DUMMYFUNCTION("""COMPUTED_VALUE"""),2.11919E7)</f>
        <v>21191900</v>
      </c>
      <c r="G1087" s="2">
        <f t="shared" si="1"/>
        <v>8</v>
      </c>
    </row>
    <row r="1088" ht="15.75" customHeight="1">
      <c r="A1088" s="1">
        <f>IFERROR(__xludf.DUMMYFUNCTION("""COMPUTED_VALUE"""),45476.66666666667)</f>
        <v>45476.66667</v>
      </c>
      <c r="B1088" s="2">
        <f>IFERROR(__xludf.DUMMYFUNCTION("""COMPUTED_VALUE"""),438.0)</f>
        <v>438</v>
      </c>
      <c r="C1088" s="2">
        <f>IFERROR(__xludf.DUMMYFUNCTION("""COMPUTED_VALUE"""),440.0)</f>
        <v>440</v>
      </c>
      <c r="D1088" s="2">
        <f>IFERROR(__xludf.DUMMYFUNCTION("""COMPUTED_VALUE"""),434.0)</f>
        <v>434</v>
      </c>
      <c r="E1088" s="2">
        <f>IFERROR(__xludf.DUMMYFUNCTION("""COMPUTED_VALUE"""),436.0)</f>
        <v>436</v>
      </c>
      <c r="F1088" s="2">
        <f>IFERROR(__xludf.DUMMYFUNCTION("""COMPUTED_VALUE"""),9235100.0)</f>
        <v>9235100</v>
      </c>
      <c r="G1088" s="2">
        <f t="shared" si="1"/>
        <v>6</v>
      </c>
    </row>
    <row r="1089" ht="15.75" customHeight="1">
      <c r="A1089" s="1">
        <f>IFERROR(__xludf.DUMMYFUNCTION("""COMPUTED_VALUE"""),45477.66666666667)</f>
        <v>45477.66667</v>
      </c>
      <c r="B1089" s="2">
        <f>IFERROR(__xludf.DUMMYFUNCTION("""COMPUTED_VALUE"""),436.0)</f>
        <v>436</v>
      </c>
      <c r="C1089" s="2">
        <f>IFERROR(__xludf.DUMMYFUNCTION("""COMPUTED_VALUE"""),444.0)</f>
        <v>444</v>
      </c>
      <c r="D1089" s="2">
        <f>IFERROR(__xludf.DUMMYFUNCTION("""COMPUTED_VALUE"""),436.0)</f>
        <v>436</v>
      </c>
      <c r="E1089" s="2">
        <f>IFERROR(__xludf.DUMMYFUNCTION("""COMPUTED_VALUE"""),442.0)</f>
        <v>442</v>
      </c>
      <c r="F1089" s="2">
        <f>IFERROR(__xludf.DUMMYFUNCTION("""COMPUTED_VALUE"""),1.62325E7)</f>
        <v>16232500</v>
      </c>
      <c r="G1089" s="2">
        <f t="shared" si="1"/>
        <v>8</v>
      </c>
    </row>
    <row r="1090" ht="15.75" customHeight="1">
      <c r="A1090" s="1">
        <f>IFERROR(__xludf.DUMMYFUNCTION("""COMPUTED_VALUE"""),45478.66666666667)</f>
        <v>45478.66667</v>
      </c>
      <c r="B1090" s="2">
        <f>IFERROR(__xludf.DUMMYFUNCTION("""COMPUTED_VALUE"""),442.0)</f>
        <v>442</v>
      </c>
      <c r="C1090" s="2">
        <f>IFERROR(__xludf.DUMMYFUNCTION("""COMPUTED_VALUE"""),450.0)</f>
        <v>450</v>
      </c>
      <c r="D1090" s="2">
        <f>IFERROR(__xludf.DUMMYFUNCTION("""COMPUTED_VALUE"""),436.0)</f>
        <v>436</v>
      </c>
      <c r="E1090" s="2">
        <f>IFERROR(__xludf.DUMMYFUNCTION("""COMPUTED_VALUE"""),448.0)</f>
        <v>448</v>
      </c>
      <c r="F1090" s="2">
        <f>IFERROR(__xludf.DUMMYFUNCTION("""COMPUTED_VALUE"""),2.03458E7)</f>
        <v>20345800</v>
      </c>
      <c r="G1090" s="2">
        <f t="shared" si="1"/>
        <v>14</v>
      </c>
    </row>
    <row r="1091" ht="15.75" customHeight="1">
      <c r="A1091" s="1">
        <f>IFERROR(__xludf.DUMMYFUNCTION("""COMPUTED_VALUE"""),45481.66666666667)</f>
        <v>45481.66667</v>
      </c>
      <c r="B1091" s="2">
        <f>IFERROR(__xludf.DUMMYFUNCTION("""COMPUTED_VALUE"""),448.0)</f>
        <v>448</v>
      </c>
      <c r="C1091" s="2">
        <f>IFERROR(__xludf.DUMMYFUNCTION("""COMPUTED_VALUE"""),450.0)</f>
        <v>450</v>
      </c>
      <c r="D1091" s="2">
        <f>IFERROR(__xludf.DUMMYFUNCTION("""COMPUTED_VALUE"""),444.0)</f>
        <v>444</v>
      </c>
      <c r="E1091" s="2">
        <f>IFERROR(__xludf.DUMMYFUNCTION("""COMPUTED_VALUE"""),446.0)</f>
        <v>446</v>
      </c>
      <c r="F1091" s="2">
        <f>IFERROR(__xludf.DUMMYFUNCTION("""COMPUTED_VALUE"""),8992900.0)</f>
        <v>8992900</v>
      </c>
      <c r="G1091" s="2">
        <f t="shared" si="1"/>
        <v>6</v>
      </c>
    </row>
    <row r="1092" ht="15.75" customHeight="1">
      <c r="A1092" s="1">
        <f>IFERROR(__xludf.DUMMYFUNCTION("""COMPUTED_VALUE"""),45482.66666666667)</f>
        <v>45482.66667</v>
      </c>
      <c r="B1092" s="2">
        <f>IFERROR(__xludf.DUMMYFUNCTION("""COMPUTED_VALUE"""),446.0)</f>
        <v>446</v>
      </c>
      <c r="C1092" s="2">
        <f>IFERROR(__xludf.DUMMYFUNCTION("""COMPUTED_VALUE"""),468.0)</f>
        <v>468</v>
      </c>
      <c r="D1092" s="2">
        <f>IFERROR(__xludf.DUMMYFUNCTION("""COMPUTED_VALUE"""),436.0)</f>
        <v>436</v>
      </c>
      <c r="E1092" s="2">
        <f>IFERROR(__xludf.DUMMYFUNCTION("""COMPUTED_VALUE"""),462.0)</f>
        <v>462</v>
      </c>
      <c r="F1092" s="2">
        <f>IFERROR(__xludf.DUMMYFUNCTION("""COMPUTED_VALUE"""),6.28318E7)</f>
        <v>62831800</v>
      </c>
      <c r="G1092" s="2">
        <f t="shared" si="1"/>
        <v>32</v>
      </c>
    </row>
    <row r="1093" ht="15.75" customHeight="1">
      <c r="A1093" s="1">
        <f>IFERROR(__xludf.DUMMYFUNCTION("""COMPUTED_VALUE"""),45483.66666666667)</f>
        <v>45483.66667</v>
      </c>
      <c r="B1093" s="2">
        <f>IFERROR(__xludf.DUMMYFUNCTION("""COMPUTED_VALUE"""),464.0)</f>
        <v>464</v>
      </c>
      <c r="C1093" s="2">
        <f>IFERROR(__xludf.DUMMYFUNCTION("""COMPUTED_VALUE"""),468.0)</f>
        <v>468</v>
      </c>
      <c r="D1093" s="2">
        <f>IFERROR(__xludf.DUMMYFUNCTION("""COMPUTED_VALUE"""),456.0)</f>
        <v>456</v>
      </c>
      <c r="E1093" s="2">
        <f>IFERROR(__xludf.DUMMYFUNCTION("""COMPUTED_VALUE"""),460.0)</f>
        <v>460</v>
      </c>
      <c r="F1093" s="2">
        <f>IFERROR(__xludf.DUMMYFUNCTION("""COMPUTED_VALUE"""),4.03395E7)</f>
        <v>40339500</v>
      </c>
      <c r="G1093" s="2">
        <f t="shared" si="1"/>
        <v>12</v>
      </c>
    </row>
    <row r="1094" ht="15.75" customHeight="1">
      <c r="A1094" s="1">
        <f>IFERROR(__xludf.DUMMYFUNCTION("""COMPUTED_VALUE"""),45484.66666666667)</f>
        <v>45484.66667</v>
      </c>
      <c r="B1094" s="2">
        <f>IFERROR(__xludf.DUMMYFUNCTION("""COMPUTED_VALUE"""),460.0)</f>
        <v>460</v>
      </c>
      <c r="C1094" s="2">
        <f>IFERROR(__xludf.DUMMYFUNCTION("""COMPUTED_VALUE"""),480.0)</f>
        <v>480</v>
      </c>
      <c r="D1094" s="2">
        <f>IFERROR(__xludf.DUMMYFUNCTION("""COMPUTED_VALUE"""),454.0)</f>
        <v>454</v>
      </c>
      <c r="E1094" s="2">
        <f>IFERROR(__xludf.DUMMYFUNCTION("""COMPUTED_VALUE"""),468.0)</f>
        <v>468</v>
      </c>
      <c r="F1094" s="2">
        <f>IFERROR(__xludf.DUMMYFUNCTION("""COMPUTED_VALUE"""),3.62299E7)</f>
        <v>36229900</v>
      </c>
      <c r="G1094" s="2">
        <f t="shared" si="1"/>
        <v>26</v>
      </c>
    </row>
    <row r="1095" ht="15.75" customHeight="1">
      <c r="A1095" s="1">
        <f>IFERROR(__xludf.DUMMYFUNCTION("""COMPUTED_VALUE"""),45485.66666666667)</f>
        <v>45485.66667</v>
      </c>
      <c r="B1095" s="2">
        <f>IFERROR(__xludf.DUMMYFUNCTION("""COMPUTED_VALUE"""),470.0)</f>
        <v>470</v>
      </c>
      <c r="C1095" s="2">
        <f>IFERROR(__xludf.DUMMYFUNCTION("""COMPUTED_VALUE"""),482.0)</f>
        <v>482</v>
      </c>
      <c r="D1095" s="2">
        <f>IFERROR(__xludf.DUMMYFUNCTION("""COMPUTED_VALUE"""),466.0)</f>
        <v>466</v>
      </c>
      <c r="E1095" s="2">
        <f>IFERROR(__xludf.DUMMYFUNCTION("""COMPUTED_VALUE"""),466.0)</f>
        <v>466</v>
      </c>
      <c r="F1095" s="2">
        <f>IFERROR(__xludf.DUMMYFUNCTION("""COMPUTED_VALUE"""),3.05967E7)</f>
        <v>30596700</v>
      </c>
      <c r="G1095" s="2">
        <f t="shared" si="1"/>
        <v>16</v>
      </c>
    </row>
    <row r="1096" ht="15.75" customHeight="1">
      <c r="A1096" s="1">
        <f>IFERROR(__xludf.DUMMYFUNCTION("""COMPUTED_VALUE"""),45488.66666666667)</f>
        <v>45488.66667</v>
      </c>
      <c r="B1096" s="2">
        <f>IFERROR(__xludf.DUMMYFUNCTION("""COMPUTED_VALUE"""),470.0)</f>
        <v>470</v>
      </c>
      <c r="C1096" s="2">
        <f>IFERROR(__xludf.DUMMYFUNCTION("""COMPUTED_VALUE"""),515.0)</f>
        <v>515</v>
      </c>
      <c r="D1096" s="2">
        <f>IFERROR(__xludf.DUMMYFUNCTION("""COMPUTED_VALUE"""),470.0)</f>
        <v>470</v>
      </c>
      <c r="E1096" s="2">
        <f>IFERROR(__xludf.DUMMYFUNCTION("""COMPUTED_VALUE"""),505.0)</f>
        <v>505</v>
      </c>
      <c r="F1096" s="2">
        <f>IFERROR(__xludf.DUMMYFUNCTION("""COMPUTED_VALUE"""),1.589632E8)</f>
        <v>158963200</v>
      </c>
      <c r="G1096" s="2">
        <f t="shared" si="1"/>
        <v>49</v>
      </c>
    </row>
    <row r="1097" ht="15.75" customHeight="1">
      <c r="A1097" s="1">
        <f>IFERROR(__xludf.DUMMYFUNCTION("""COMPUTED_VALUE"""),45489.66666666667)</f>
        <v>45489.66667</v>
      </c>
      <c r="B1097" s="2">
        <f>IFERROR(__xludf.DUMMYFUNCTION("""COMPUTED_VALUE"""),505.0)</f>
        <v>505</v>
      </c>
      <c r="C1097" s="2">
        <f>IFERROR(__xludf.DUMMYFUNCTION("""COMPUTED_VALUE"""),525.0)</f>
        <v>525</v>
      </c>
      <c r="D1097" s="2">
        <f>IFERROR(__xludf.DUMMYFUNCTION("""COMPUTED_VALUE"""),498.0)</f>
        <v>498</v>
      </c>
      <c r="E1097" s="2">
        <f>IFERROR(__xludf.DUMMYFUNCTION("""COMPUTED_VALUE"""),520.0)</f>
        <v>520</v>
      </c>
      <c r="F1097" s="2">
        <f>IFERROR(__xludf.DUMMYFUNCTION("""COMPUTED_VALUE"""),6.23665E7)</f>
        <v>62366500</v>
      </c>
      <c r="G1097" s="2">
        <f t="shared" si="1"/>
        <v>27</v>
      </c>
    </row>
    <row r="1098" ht="15.75" customHeight="1">
      <c r="A1098" s="1">
        <f>IFERROR(__xludf.DUMMYFUNCTION("""COMPUTED_VALUE"""),45490.66666666667)</f>
        <v>45490.66667</v>
      </c>
      <c r="B1098" s="2">
        <f>IFERROR(__xludf.DUMMYFUNCTION("""COMPUTED_VALUE"""),520.0)</f>
        <v>520</v>
      </c>
      <c r="C1098" s="2">
        <f>IFERROR(__xludf.DUMMYFUNCTION("""COMPUTED_VALUE"""),525.0)</f>
        <v>525</v>
      </c>
      <c r="D1098" s="2">
        <f>IFERROR(__xludf.DUMMYFUNCTION("""COMPUTED_VALUE"""),505.0)</f>
        <v>505</v>
      </c>
      <c r="E1098" s="2">
        <f>IFERROR(__xludf.DUMMYFUNCTION("""COMPUTED_VALUE"""),505.0)</f>
        <v>505</v>
      </c>
      <c r="F1098" s="2">
        <f>IFERROR(__xludf.DUMMYFUNCTION("""COMPUTED_VALUE"""),2.85223E7)</f>
        <v>28522300</v>
      </c>
      <c r="G1098" s="2">
        <f t="shared" si="1"/>
        <v>20</v>
      </c>
    </row>
    <row r="1099" ht="15.75" customHeight="1">
      <c r="A1099" s="1">
        <f>IFERROR(__xludf.DUMMYFUNCTION("""COMPUTED_VALUE"""),45491.66666666667)</f>
        <v>45491.66667</v>
      </c>
      <c r="B1099" s="2">
        <f>IFERROR(__xludf.DUMMYFUNCTION("""COMPUTED_VALUE"""),510.0)</f>
        <v>510</v>
      </c>
      <c r="C1099" s="2">
        <f>IFERROR(__xludf.DUMMYFUNCTION("""COMPUTED_VALUE"""),545.0)</f>
        <v>545</v>
      </c>
      <c r="D1099" s="2">
        <f>IFERROR(__xludf.DUMMYFUNCTION("""COMPUTED_VALUE"""),505.0)</f>
        <v>505</v>
      </c>
      <c r="E1099" s="2">
        <f>IFERROR(__xludf.DUMMYFUNCTION("""COMPUTED_VALUE"""),540.0)</f>
        <v>540</v>
      </c>
      <c r="F1099" s="2">
        <f>IFERROR(__xludf.DUMMYFUNCTION("""COMPUTED_VALUE"""),6.76324E7)</f>
        <v>67632400</v>
      </c>
      <c r="G1099" s="2">
        <f t="shared" si="1"/>
        <v>40</v>
      </c>
    </row>
    <row r="1100" ht="15.75" customHeight="1">
      <c r="A1100" s="1">
        <f>IFERROR(__xludf.DUMMYFUNCTION("""COMPUTED_VALUE"""),45492.66666666667)</f>
        <v>45492.66667</v>
      </c>
      <c r="B1100" s="2">
        <f>IFERROR(__xludf.DUMMYFUNCTION("""COMPUTED_VALUE"""),540.0)</f>
        <v>540</v>
      </c>
      <c r="C1100" s="2">
        <f>IFERROR(__xludf.DUMMYFUNCTION("""COMPUTED_VALUE"""),540.0)</f>
        <v>540</v>
      </c>
      <c r="D1100" s="2">
        <f>IFERROR(__xludf.DUMMYFUNCTION("""COMPUTED_VALUE"""),525.0)</f>
        <v>525</v>
      </c>
      <c r="E1100" s="2">
        <f>IFERROR(__xludf.DUMMYFUNCTION("""COMPUTED_VALUE"""),535.0)</f>
        <v>535</v>
      </c>
      <c r="F1100" s="2">
        <f>IFERROR(__xludf.DUMMYFUNCTION("""COMPUTED_VALUE"""),2.24551E7)</f>
        <v>22455100</v>
      </c>
      <c r="G1100" s="2">
        <f t="shared" si="1"/>
        <v>15</v>
      </c>
    </row>
    <row r="1101" ht="15.75" customHeight="1">
      <c r="A1101" s="1">
        <f>IFERROR(__xludf.DUMMYFUNCTION("""COMPUTED_VALUE"""),45495.66666666667)</f>
        <v>45495.66667</v>
      </c>
      <c r="B1101" s="2">
        <f>IFERROR(__xludf.DUMMYFUNCTION("""COMPUTED_VALUE"""),535.0)</f>
        <v>535</v>
      </c>
      <c r="C1101" s="2">
        <f>IFERROR(__xludf.DUMMYFUNCTION("""COMPUTED_VALUE"""),540.0)</f>
        <v>540</v>
      </c>
      <c r="D1101" s="2">
        <f>IFERROR(__xludf.DUMMYFUNCTION("""COMPUTED_VALUE"""),515.0)</f>
        <v>515</v>
      </c>
      <c r="E1101" s="2">
        <f>IFERROR(__xludf.DUMMYFUNCTION("""COMPUTED_VALUE"""),530.0)</f>
        <v>530</v>
      </c>
      <c r="F1101" s="2">
        <f>IFERROR(__xludf.DUMMYFUNCTION("""COMPUTED_VALUE"""),1.99577E7)</f>
        <v>19957700</v>
      </c>
      <c r="G1101" s="2">
        <f t="shared" si="1"/>
        <v>25</v>
      </c>
    </row>
    <row r="1102" ht="15.75" customHeight="1">
      <c r="A1102" s="1">
        <f>IFERROR(__xludf.DUMMYFUNCTION("""COMPUTED_VALUE"""),45496.66666666667)</f>
        <v>45496.66667</v>
      </c>
      <c r="B1102" s="2">
        <f>IFERROR(__xludf.DUMMYFUNCTION("""COMPUTED_VALUE"""),525.0)</f>
        <v>525</v>
      </c>
      <c r="C1102" s="2">
        <f>IFERROR(__xludf.DUMMYFUNCTION("""COMPUTED_VALUE"""),540.0)</f>
        <v>540</v>
      </c>
      <c r="D1102" s="2">
        <f>IFERROR(__xludf.DUMMYFUNCTION("""COMPUTED_VALUE"""),520.0)</f>
        <v>520</v>
      </c>
      <c r="E1102" s="2">
        <f>IFERROR(__xludf.DUMMYFUNCTION("""COMPUTED_VALUE"""),530.0)</f>
        <v>530</v>
      </c>
      <c r="F1102" s="2">
        <f>IFERROR(__xludf.DUMMYFUNCTION("""COMPUTED_VALUE"""),1.88263E7)</f>
        <v>18826300</v>
      </c>
      <c r="G1102" s="2">
        <f t="shared" si="1"/>
        <v>20</v>
      </c>
    </row>
    <row r="1103" ht="15.75" customHeight="1">
      <c r="A1103" s="1">
        <f>IFERROR(__xludf.DUMMYFUNCTION("""COMPUTED_VALUE"""),45497.66666666667)</f>
        <v>45497.66667</v>
      </c>
      <c r="B1103" s="2">
        <f>IFERROR(__xludf.DUMMYFUNCTION("""COMPUTED_VALUE"""),525.0)</f>
        <v>525</v>
      </c>
      <c r="C1103" s="2">
        <f>IFERROR(__xludf.DUMMYFUNCTION("""COMPUTED_VALUE"""),535.0)</f>
        <v>535</v>
      </c>
      <c r="D1103" s="2">
        <f>IFERROR(__xludf.DUMMYFUNCTION("""COMPUTED_VALUE"""),510.0)</f>
        <v>510</v>
      </c>
      <c r="E1103" s="2">
        <f>IFERROR(__xludf.DUMMYFUNCTION("""COMPUTED_VALUE"""),510.0)</f>
        <v>510</v>
      </c>
      <c r="F1103" s="2">
        <f>IFERROR(__xludf.DUMMYFUNCTION("""COMPUTED_VALUE"""),3.11034E7)</f>
        <v>31103400</v>
      </c>
      <c r="G1103" s="2">
        <f t="shared" si="1"/>
        <v>25</v>
      </c>
    </row>
    <row r="1104" ht="15.75" customHeight="1">
      <c r="A1104" s="1">
        <f>IFERROR(__xludf.DUMMYFUNCTION("""COMPUTED_VALUE"""),45498.66666666667)</f>
        <v>45498.66667</v>
      </c>
      <c r="B1104" s="2">
        <f>IFERROR(__xludf.DUMMYFUNCTION("""COMPUTED_VALUE"""),510.0)</f>
        <v>510</v>
      </c>
      <c r="C1104" s="2">
        <f>IFERROR(__xludf.DUMMYFUNCTION("""COMPUTED_VALUE"""),520.0)</f>
        <v>520</v>
      </c>
      <c r="D1104" s="2">
        <f>IFERROR(__xludf.DUMMYFUNCTION("""COMPUTED_VALUE"""),490.0)</f>
        <v>490</v>
      </c>
      <c r="E1104" s="2">
        <f>IFERROR(__xludf.DUMMYFUNCTION("""COMPUTED_VALUE"""),505.0)</f>
        <v>505</v>
      </c>
      <c r="F1104" s="2">
        <f>IFERROR(__xludf.DUMMYFUNCTION("""COMPUTED_VALUE"""),4.36043E7)</f>
        <v>43604300</v>
      </c>
      <c r="G1104" s="2">
        <f t="shared" si="1"/>
        <v>30</v>
      </c>
    </row>
    <row r="1105" ht="15.75" customHeight="1">
      <c r="A1105" s="1">
        <f>IFERROR(__xludf.DUMMYFUNCTION("""COMPUTED_VALUE"""),45499.66666666667)</f>
        <v>45499.66667</v>
      </c>
      <c r="B1105" s="2">
        <f>IFERROR(__xludf.DUMMYFUNCTION("""COMPUTED_VALUE"""),510.0)</f>
        <v>510</v>
      </c>
      <c r="C1105" s="2">
        <f>IFERROR(__xludf.DUMMYFUNCTION("""COMPUTED_VALUE"""),525.0)</f>
        <v>525</v>
      </c>
      <c r="D1105" s="2">
        <f>IFERROR(__xludf.DUMMYFUNCTION("""COMPUTED_VALUE"""),505.0)</f>
        <v>505</v>
      </c>
      <c r="E1105" s="2">
        <f>IFERROR(__xludf.DUMMYFUNCTION("""COMPUTED_VALUE"""),520.0)</f>
        <v>520</v>
      </c>
      <c r="F1105" s="2">
        <f>IFERROR(__xludf.DUMMYFUNCTION("""COMPUTED_VALUE"""),1.97806E7)</f>
        <v>19780600</v>
      </c>
      <c r="G1105" s="2">
        <f t="shared" si="1"/>
        <v>20</v>
      </c>
    </row>
    <row r="1106" ht="15.75" customHeight="1">
      <c r="A1106" s="1">
        <f>IFERROR(__xludf.DUMMYFUNCTION("""COMPUTED_VALUE"""),45502.66666666667)</f>
        <v>45502.66667</v>
      </c>
      <c r="B1106" s="2">
        <f>IFERROR(__xludf.DUMMYFUNCTION("""COMPUTED_VALUE"""),520.0)</f>
        <v>520</v>
      </c>
      <c r="C1106" s="2">
        <f>IFERROR(__xludf.DUMMYFUNCTION("""COMPUTED_VALUE"""),535.0)</f>
        <v>535</v>
      </c>
      <c r="D1106" s="2">
        <f>IFERROR(__xludf.DUMMYFUNCTION("""COMPUTED_VALUE"""),515.0)</f>
        <v>515</v>
      </c>
      <c r="E1106" s="2">
        <f>IFERROR(__xludf.DUMMYFUNCTION("""COMPUTED_VALUE"""),525.0)</f>
        <v>525</v>
      </c>
      <c r="F1106" s="2">
        <f>IFERROR(__xludf.DUMMYFUNCTION("""COMPUTED_VALUE"""),3.76114E7)</f>
        <v>37611400</v>
      </c>
      <c r="G1106" s="2">
        <f t="shared" si="1"/>
        <v>20</v>
      </c>
    </row>
    <row r="1107" ht="15.75" customHeight="1">
      <c r="A1107" s="1">
        <f>IFERROR(__xludf.DUMMYFUNCTION("""COMPUTED_VALUE"""),45503.66666666667)</f>
        <v>45503.66667</v>
      </c>
      <c r="B1107" s="2">
        <f>IFERROR(__xludf.DUMMYFUNCTION("""COMPUTED_VALUE"""),525.0)</f>
        <v>525</v>
      </c>
      <c r="C1107" s="2">
        <f>IFERROR(__xludf.DUMMYFUNCTION("""COMPUTED_VALUE"""),525.0)</f>
        <v>525</v>
      </c>
      <c r="D1107" s="2">
        <f>IFERROR(__xludf.DUMMYFUNCTION("""COMPUTED_VALUE"""),496.0)</f>
        <v>496</v>
      </c>
      <c r="E1107" s="2">
        <f>IFERROR(__xludf.DUMMYFUNCTION("""COMPUTED_VALUE"""),505.0)</f>
        <v>505</v>
      </c>
      <c r="F1107" s="2">
        <f>IFERROR(__xludf.DUMMYFUNCTION("""COMPUTED_VALUE"""),5.648E7)</f>
        <v>56480000</v>
      </c>
      <c r="G1107" s="2">
        <f t="shared" si="1"/>
        <v>29</v>
      </c>
    </row>
    <row r="1108" ht="15.75" customHeight="1">
      <c r="A1108" s="1">
        <f>IFERROR(__xludf.DUMMYFUNCTION("""COMPUTED_VALUE"""),45504.66666666667)</f>
        <v>45504.66667</v>
      </c>
      <c r="B1108" s="2">
        <f>IFERROR(__xludf.DUMMYFUNCTION("""COMPUTED_VALUE"""),498.0)</f>
        <v>498</v>
      </c>
      <c r="C1108" s="2">
        <f>IFERROR(__xludf.DUMMYFUNCTION("""COMPUTED_VALUE"""),520.0)</f>
        <v>520</v>
      </c>
      <c r="D1108" s="2">
        <f>IFERROR(__xludf.DUMMYFUNCTION("""COMPUTED_VALUE"""),480.0)</f>
        <v>480</v>
      </c>
      <c r="E1108" s="2">
        <f>IFERROR(__xludf.DUMMYFUNCTION("""COMPUTED_VALUE"""),510.0)</f>
        <v>510</v>
      </c>
      <c r="F1108" s="2">
        <f>IFERROR(__xludf.DUMMYFUNCTION("""COMPUTED_VALUE"""),2.070586E8)</f>
        <v>207058600</v>
      </c>
      <c r="G1108" s="2">
        <f t="shared" si="1"/>
        <v>40</v>
      </c>
    </row>
    <row r="1109" ht="15.75" customHeight="1">
      <c r="A1109" s="1">
        <f>IFERROR(__xludf.DUMMYFUNCTION("""COMPUTED_VALUE"""),45505.66666666667)</f>
        <v>45505.66667</v>
      </c>
      <c r="B1109" s="2">
        <f>IFERROR(__xludf.DUMMYFUNCTION("""COMPUTED_VALUE"""),515.0)</f>
        <v>515</v>
      </c>
      <c r="C1109" s="2">
        <f>IFERROR(__xludf.DUMMYFUNCTION("""COMPUTED_VALUE"""),525.0)</f>
        <v>525</v>
      </c>
      <c r="D1109" s="2">
        <f>IFERROR(__xludf.DUMMYFUNCTION("""COMPUTED_VALUE"""),500.0)</f>
        <v>500</v>
      </c>
      <c r="E1109" s="2">
        <f>IFERROR(__xludf.DUMMYFUNCTION("""COMPUTED_VALUE"""),505.0)</f>
        <v>505</v>
      </c>
      <c r="F1109" s="2">
        <f>IFERROR(__xludf.DUMMYFUNCTION("""COMPUTED_VALUE"""),6.9067E7)</f>
        <v>69067000</v>
      </c>
      <c r="G1109" s="2">
        <f t="shared" si="1"/>
        <v>25</v>
      </c>
    </row>
    <row r="1110" ht="15.75" customHeight="1">
      <c r="A1110" s="1">
        <f>IFERROR(__xludf.DUMMYFUNCTION("""COMPUTED_VALUE"""),45506.66666666667)</f>
        <v>45506.66667</v>
      </c>
      <c r="B1110" s="2">
        <f>IFERROR(__xludf.DUMMYFUNCTION("""COMPUTED_VALUE"""),505.0)</f>
        <v>505</v>
      </c>
      <c r="C1110" s="2">
        <f>IFERROR(__xludf.DUMMYFUNCTION("""COMPUTED_VALUE"""),505.0)</f>
        <v>505</v>
      </c>
      <c r="D1110" s="2">
        <f>IFERROR(__xludf.DUMMYFUNCTION("""COMPUTED_VALUE"""),494.0)</f>
        <v>494</v>
      </c>
      <c r="E1110" s="2">
        <f>IFERROR(__xludf.DUMMYFUNCTION("""COMPUTED_VALUE"""),494.0)</f>
        <v>494</v>
      </c>
      <c r="F1110" s="2">
        <f>IFERROR(__xludf.DUMMYFUNCTION("""COMPUTED_VALUE"""),4.78152E7)</f>
        <v>47815200</v>
      </c>
      <c r="G1110" s="2">
        <f t="shared" si="1"/>
        <v>11</v>
      </c>
    </row>
    <row r="1111" ht="15.75" customHeight="1">
      <c r="A1111" s="1">
        <f>IFERROR(__xludf.DUMMYFUNCTION("""COMPUTED_VALUE"""),45509.66666666667)</f>
        <v>45509.66667</v>
      </c>
      <c r="B1111" s="2">
        <f>IFERROR(__xludf.DUMMYFUNCTION("""COMPUTED_VALUE"""),486.0)</f>
        <v>486</v>
      </c>
      <c r="C1111" s="2">
        <f>IFERROR(__xludf.DUMMYFUNCTION("""COMPUTED_VALUE"""),486.0)</f>
        <v>486</v>
      </c>
      <c r="D1111" s="2">
        <f>IFERROR(__xludf.DUMMYFUNCTION("""COMPUTED_VALUE"""),460.0)</f>
        <v>460</v>
      </c>
      <c r="E1111" s="2">
        <f>IFERROR(__xludf.DUMMYFUNCTION("""COMPUTED_VALUE"""),466.0)</f>
        <v>466</v>
      </c>
      <c r="F1111" s="2">
        <f>IFERROR(__xludf.DUMMYFUNCTION("""COMPUTED_VALUE"""),1.611213E8)</f>
        <v>161121300</v>
      </c>
      <c r="G1111" s="2">
        <f t="shared" si="1"/>
        <v>34</v>
      </c>
    </row>
    <row r="1112" ht="15.75" customHeight="1">
      <c r="A1112" s="1">
        <f>IFERROR(__xludf.DUMMYFUNCTION("""COMPUTED_VALUE"""),45510.66666666667)</f>
        <v>45510.66667</v>
      </c>
      <c r="B1112" s="2">
        <f>IFERROR(__xludf.DUMMYFUNCTION("""COMPUTED_VALUE"""),468.0)</f>
        <v>468</v>
      </c>
      <c r="C1112" s="2">
        <f>IFERROR(__xludf.DUMMYFUNCTION("""COMPUTED_VALUE"""),480.0)</f>
        <v>480</v>
      </c>
      <c r="D1112" s="2">
        <f>IFERROR(__xludf.DUMMYFUNCTION("""COMPUTED_VALUE"""),462.0)</f>
        <v>462</v>
      </c>
      <c r="E1112" s="2">
        <f>IFERROR(__xludf.DUMMYFUNCTION("""COMPUTED_VALUE"""),472.0)</f>
        <v>472</v>
      </c>
      <c r="F1112" s="2">
        <f>IFERROR(__xludf.DUMMYFUNCTION("""COMPUTED_VALUE"""),1.187849E8)</f>
        <v>118784900</v>
      </c>
      <c r="G1112" s="2">
        <f t="shared" si="1"/>
        <v>18</v>
      </c>
    </row>
    <row r="1113" ht="15.75" customHeight="1">
      <c r="A1113" s="1">
        <f>IFERROR(__xludf.DUMMYFUNCTION("""COMPUTED_VALUE"""),45511.66666666667)</f>
        <v>45511.66667</v>
      </c>
      <c r="B1113" s="2">
        <f>IFERROR(__xludf.DUMMYFUNCTION("""COMPUTED_VALUE"""),474.0)</f>
        <v>474</v>
      </c>
      <c r="C1113" s="2">
        <f>IFERROR(__xludf.DUMMYFUNCTION("""COMPUTED_VALUE"""),482.0)</f>
        <v>482</v>
      </c>
      <c r="D1113" s="2">
        <f>IFERROR(__xludf.DUMMYFUNCTION("""COMPUTED_VALUE"""),472.0)</f>
        <v>472</v>
      </c>
      <c r="E1113" s="2">
        <f>IFERROR(__xludf.DUMMYFUNCTION("""COMPUTED_VALUE"""),480.0)</f>
        <v>480</v>
      </c>
      <c r="F1113" s="2">
        <f>IFERROR(__xludf.DUMMYFUNCTION("""COMPUTED_VALUE"""),4.56721E7)</f>
        <v>45672100</v>
      </c>
      <c r="G1113" s="2">
        <f t="shared" si="1"/>
        <v>10</v>
      </c>
    </row>
    <row r="1114" ht="15.75" customHeight="1">
      <c r="A1114" s="1">
        <f>IFERROR(__xludf.DUMMYFUNCTION("""COMPUTED_VALUE"""),45512.66666666667)</f>
        <v>45512.66667</v>
      </c>
      <c r="B1114" s="2">
        <f>IFERROR(__xludf.DUMMYFUNCTION("""COMPUTED_VALUE"""),480.0)</f>
        <v>480</v>
      </c>
      <c r="C1114" s="2">
        <f>IFERROR(__xludf.DUMMYFUNCTION("""COMPUTED_VALUE"""),492.0)</f>
        <v>492</v>
      </c>
      <c r="D1114" s="2">
        <f>IFERROR(__xludf.DUMMYFUNCTION("""COMPUTED_VALUE"""),478.0)</f>
        <v>478</v>
      </c>
      <c r="E1114" s="2">
        <f>IFERROR(__xludf.DUMMYFUNCTION("""COMPUTED_VALUE"""),488.0)</f>
        <v>488</v>
      </c>
      <c r="F1114" s="2">
        <f>IFERROR(__xludf.DUMMYFUNCTION("""COMPUTED_VALUE"""),7.27862E7)</f>
        <v>72786200</v>
      </c>
      <c r="G1114" s="2">
        <f t="shared" si="1"/>
        <v>14</v>
      </c>
    </row>
    <row r="1115" ht="15.75" customHeight="1">
      <c r="A1115" s="1">
        <f>IFERROR(__xludf.DUMMYFUNCTION("""COMPUTED_VALUE"""),45513.66666666667)</f>
        <v>45513.66667</v>
      </c>
      <c r="B1115" s="2">
        <f>IFERROR(__xludf.DUMMYFUNCTION("""COMPUTED_VALUE"""),488.0)</f>
        <v>488</v>
      </c>
      <c r="C1115" s="2">
        <f>IFERROR(__xludf.DUMMYFUNCTION("""COMPUTED_VALUE"""),494.0)</f>
        <v>494</v>
      </c>
      <c r="D1115" s="2">
        <f>IFERROR(__xludf.DUMMYFUNCTION("""COMPUTED_VALUE"""),484.0)</f>
        <v>484</v>
      </c>
      <c r="E1115" s="2">
        <f>IFERROR(__xludf.DUMMYFUNCTION("""COMPUTED_VALUE"""),486.0)</f>
        <v>486</v>
      </c>
      <c r="F1115" s="2">
        <f>IFERROR(__xludf.DUMMYFUNCTION("""COMPUTED_VALUE"""),3.1811E7)</f>
        <v>31811000</v>
      </c>
      <c r="G1115" s="2">
        <f t="shared" si="1"/>
        <v>10</v>
      </c>
    </row>
    <row r="1116" ht="15.75" customHeight="1">
      <c r="A1116" s="1">
        <f>IFERROR(__xludf.DUMMYFUNCTION("""COMPUTED_VALUE"""),45516.66666666667)</f>
        <v>45516.66667</v>
      </c>
      <c r="B1116" s="2">
        <f>IFERROR(__xludf.DUMMYFUNCTION("""COMPUTED_VALUE"""),488.0)</f>
        <v>488</v>
      </c>
      <c r="C1116" s="2">
        <f>IFERROR(__xludf.DUMMYFUNCTION("""COMPUTED_VALUE"""),490.0)</f>
        <v>490</v>
      </c>
      <c r="D1116" s="2">
        <f>IFERROR(__xludf.DUMMYFUNCTION("""COMPUTED_VALUE"""),478.0)</f>
        <v>478</v>
      </c>
      <c r="E1116" s="2">
        <f>IFERROR(__xludf.DUMMYFUNCTION("""COMPUTED_VALUE"""),490.0)</f>
        <v>490</v>
      </c>
      <c r="F1116" s="2">
        <f>IFERROR(__xludf.DUMMYFUNCTION("""COMPUTED_VALUE"""),3.67369E7)</f>
        <v>36736900</v>
      </c>
      <c r="G1116" s="2">
        <f t="shared" si="1"/>
        <v>12</v>
      </c>
    </row>
    <row r="1117" ht="15.75" customHeight="1">
      <c r="A1117" s="1">
        <f>IFERROR(__xludf.DUMMYFUNCTION("""COMPUTED_VALUE"""),45517.66666666667)</f>
        <v>45517.66667</v>
      </c>
      <c r="B1117" s="2">
        <f>IFERROR(__xludf.DUMMYFUNCTION("""COMPUTED_VALUE"""),496.0)</f>
        <v>496</v>
      </c>
      <c r="C1117" s="2">
        <f>IFERROR(__xludf.DUMMYFUNCTION("""COMPUTED_VALUE"""),510.0)</f>
        <v>510</v>
      </c>
      <c r="D1117" s="2">
        <f>IFERROR(__xludf.DUMMYFUNCTION("""COMPUTED_VALUE"""),492.0)</f>
        <v>492</v>
      </c>
      <c r="E1117" s="2">
        <f>IFERROR(__xludf.DUMMYFUNCTION("""COMPUTED_VALUE"""),494.0)</f>
        <v>494</v>
      </c>
      <c r="F1117" s="2">
        <f>IFERROR(__xludf.DUMMYFUNCTION("""COMPUTED_VALUE"""),8.83328E7)</f>
        <v>88332800</v>
      </c>
      <c r="G1117" s="2">
        <f t="shared" si="1"/>
        <v>20</v>
      </c>
    </row>
    <row r="1118" ht="15.75" customHeight="1">
      <c r="A1118" s="1">
        <f>IFERROR(__xludf.DUMMYFUNCTION("""COMPUTED_VALUE"""),45518.66666666667)</f>
        <v>45518.66667</v>
      </c>
      <c r="B1118" s="2">
        <f>IFERROR(__xludf.DUMMYFUNCTION("""COMPUTED_VALUE"""),496.0)</f>
        <v>496</v>
      </c>
      <c r="C1118" s="2">
        <f>IFERROR(__xludf.DUMMYFUNCTION("""COMPUTED_VALUE"""),498.0)</f>
        <v>498</v>
      </c>
      <c r="D1118" s="2">
        <f>IFERROR(__xludf.DUMMYFUNCTION("""COMPUTED_VALUE"""),490.0)</f>
        <v>490</v>
      </c>
      <c r="E1118" s="2">
        <f>IFERROR(__xludf.DUMMYFUNCTION("""COMPUTED_VALUE"""),492.0)</f>
        <v>492</v>
      </c>
      <c r="F1118" s="2">
        <f>IFERROR(__xludf.DUMMYFUNCTION("""COMPUTED_VALUE"""),2.43191E7)</f>
        <v>24319100</v>
      </c>
      <c r="G1118" s="2">
        <f t="shared" si="1"/>
        <v>8</v>
      </c>
    </row>
    <row r="1119" ht="15.75" customHeight="1">
      <c r="A1119" s="1">
        <f>IFERROR(__xludf.DUMMYFUNCTION("""COMPUTED_VALUE"""),45519.66666666667)</f>
        <v>45519.66667</v>
      </c>
      <c r="B1119" s="2">
        <f>IFERROR(__xludf.DUMMYFUNCTION("""COMPUTED_VALUE"""),492.0)</f>
        <v>492</v>
      </c>
      <c r="C1119" s="2">
        <f>IFERROR(__xludf.DUMMYFUNCTION("""COMPUTED_VALUE"""),494.0)</f>
        <v>494</v>
      </c>
      <c r="D1119" s="2">
        <f>IFERROR(__xludf.DUMMYFUNCTION("""COMPUTED_VALUE"""),486.0)</f>
        <v>486</v>
      </c>
      <c r="E1119" s="2">
        <f>IFERROR(__xludf.DUMMYFUNCTION("""COMPUTED_VALUE"""),490.0)</f>
        <v>490</v>
      </c>
      <c r="F1119" s="2">
        <f>IFERROR(__xludf.DUMMYFUNCTION("""COMPUTED_VALUE"""),2.5036E7)</f>
        <v>25036000</v>
      </c>
      <c r="G1119" s="2">
        <f t="shared" si="1"/>
        <v>8</v>
      </c>
    </row>
    <row r="1120" ht="15.75" customHeight="1">
      <c r="A1120" s="1">
        <f>IFERROR(__xludf.DUMMYFUNCTION("""COMPUTED_VALUE"""),45520.66666666667)</f>
        <v>45520.66667</v>
      </c>
      <c r="B1120" s="2">
        <f>IFERROR(__xludf.DUMMYFUNCTION("""COMPUTED_VALUE"""),492.0)</f>
        <v>492</v>
      </c>
      <c r="C1120" s="2">
        <f>IFERROR(__xludf.DUMMYFUNCTION("""COMPUTED_VALUE"""),496.0)</f>
        <v>496</v>
      </c>
      <c r="D1120" s="2">
        <f>IFERROR(__xludf.DUMMYFUNCTION("""COMPUTED_VALUE"""),488.0)</f>
        <v>488</v>
      </c>
      <c r="E1120" s="2">
        <f>IFERROR(__xludf.DUMMYFUNCTION("""COMPUTED_VALUE"""),492.0)</f>
        <v>492</v>
      </c>
      <c r="F1120" s="2">
        <f>IFERROR(__xludf.DUMMYFUNCTION("""COMPUTED_VALUE"""),3.04248E7)</f>
        <v>30424800</v>
      </c>
      <c r="G1120" s="2">
        <f t="shared" si="1"/>
        <v>8</v>
      </c>
    </row>
    <row r="1121" ht="15.75" customHeight="1">
      <c r="A1121" s="1">
        <f>IFERROR(__xludf.DUMMYFUNCTION("""COMPUTED_VALUE"""),45523.66666666667)</f>
        <v>45523.66667</v>
      </c>
      <c r="B1121" s="2">
        <f>IFERROR(__xludf.DUMMYFUNCTION("""COMPUTED_VALUE"""),494.0)</f>
        <v>494</v>
      </c>
      <c r="C1121" s="2">
        <f>IFERROR(__xludf.DUMMYFUNCTION("""COMPUTED_VALUE"""),498.0)</f>
        <v>498</v>
      </c>
      <c r="D1121" s="2">
        <f>IFERROR(__xludf.DUMMYFUNCTION("""COMPUTED_VALUE"""),488.0)</f>
        <v>488</v>
      </c>
      <c r="E1121" s="2">
        <f>IFERROR(__xludf.DUMMYFUNCTION("""COMPUTED_VALUE"""),490.0)</f>
        <v>490</v>
      </c>
      <c r="F1121" s="2">
        <f>IFERROR(__xludf.DUMMYFUNCTION("""COMPUTED_VALUE"""),3.98806E7)</f>
        <v>39880600</v>
      </c>
      <c r="G1121" s="2">
        <f t="shared" si="1"/>
        <v>10</v>
      </c>
    </row>
    <row r="1122" ht="15.75" customHeight="1">
      <c r="A1122" s="1">
        <f>IFERROR(__xludf.DUMMYFUNCTION("""COMPUTED_VALUE"""),45524.66666666667)</f>
        <v>45524.66667</v>
      </c>
      <c r="B1122" s="2">
        <f>IFERROR(__xludf.DUMMYFUNCTION("""COMPUTED_VALUE"""),490.0)</f>
        <v>490</v>
      </c>
      <c r="C1122" s="2">
        <f>IFERROR(__xludf.DUMMYFUNCTION("""COMPUTED_VALUE"""),494.0)</f>
        <v>494</v>
      </c>
      <c r="D1122" s="2">
        <f>IFERROR(__xludf.DUMMYFUNCTION("""COMPUTED_VALUE"""),486.0)</f>
        <v>486</v>
      </c>
      <c r="E1122" s="2">
        <f>IFERROR(__xludf.DUMMYFUNCTION("""COMPUTED_VALUE"""),490.0)</f>
        <v>490</v>
      </c>
      <c r="F1122" s="2">
        <f>IFERROR(__xludf.DUMMYFUNCTION("""COMPUTED_VALUE"""),3.62565E7)</f>
        <v>36256500</v>
      </c>
      <c r="G1122" s="2">
        <f t="shared" si="1"/>
        <v>8</v>
      </c>
    </row>
    <row r="1123" ht="15.75" customHeight="1">
      <c r="A1123" s="1">
        <f>IFERROR(__xludf.DUMMYFUNCTION("""COMPUTED_VALUE"""),45525.66666666667)</f>
        <v>45525.66667</v>
      </c>
      <c r="B1123" s="2">
        <f>IFERROR(__xludf.DUMMYFUNCTION("""COMPUTED_VALUE"""),492.0)</f>
        <v>492</v>
      </c>
      <c r="C1123" s="2">
        <f>IFERROR(__xludf.DUMMYFUNCTION("""COMPUTED_VALUE"""),494.0)</f>
        <v>494</v>
      </c>
      <c r="D1123" s="2">
        <f>IFERROR(__xludf.DUMMYFUNCTION("""COMPUTED_VALUE"""),480.0)</f>
        <v>480</v>
      </c>
      <c r="E1123" s="2">
        <f>IFERROR(__xludf.DUMMYFUNCTION("""COMPUTED_VALUE"""),484.0)</f>
        <v>484</v>
      </c>
      <c r="F1123" s="2">
        <f>IFERROR(__xludf.DUMMYFUNCTION("""COMPUTED_VALUE"""),4.86649E7)</f>
        <v>48664900</v>
      </c>
      <c r="G1123" s="2">
        <f t="shared" si="1"/>
        <v>14</v>
      </c>
    </row>
    <row r="1124" ht="15.75" customHeight="1">
      <c r="A1124" s="1">
        <f>IFERROR(__xludf.DUMMYFUNCTION("""COMPUTED_VALUE"""),45526.66666666667)</f>
        <v>45526.66667</v>
      </c>
      <c r="B1124" s="2">
        <f>IFERROR(__xludf.DUMMYFUNCTION("""COMPUTED_VALUE"""),484.0)</f>
        <v>484</v>
      </c>
      <c r="C1124" s="2">
        <f>IFERROR(__xludf.DUMMYFUNCTION("""COMPUTED_VALUE"""),484.0)</f>
        <v>484</v>
      </c>
      <c r="D1124" s="2">
        <f>IFERROR(__xludf.DUMMYFUNCTION("""COMPUTED_VALUE"""),478.0)</f>
        <v>478</v>
      </c>
      <c r="E1124" s="2">
        <f>IFERROR(__xludf.DUMMYFUNCTION("""COMPUTED_VALUE"""),480.0)</f>
        <v>480</v>
      </c>
      <c r="F1124" s="2">
        <f>IFERROR(__xludf.DUMMYFUNCTION("""COMPUTED_VALUE"""),3.99344E7)</f>
        <v>39934400</v>
      </c>
      <c r="G1124" s="2">
        <f t="shared" si="1"/>
        <v>6</v>
      </c>
    </row>
    <row r="1125" ht="15.75" customHeight="1">
      <c r="A1125" s="1">
        <f>IFERROR(__xludf.DUMMYFUNCTION("""COMPUTED_VALUE"""),45527.66666666667)</f>
        <v>45527.66667</v>
      </c>
      <c r="B1125" s="2">
        <f>IFERROR(__xludf.DUMMYFUNCTION("""COMPUTED_VALUE"""),482.0)</f>
        <v>482</v>
      </c>
      <c r="C1125" s="2">
        <f>IFERROR(__xludf.DUMMYFUNCTION("""COMPUTED_VALUE"""),486.0)</f>
        <v>486</v>
      </c>
      <c r="D1125" s="2">
        <f>IFERROR(__xludf.DUMMYFUNCTION("""COMPUTED_VALUE"""),480.0)</f>
        <v>480</v>
      </c>
      <c r="E1125" s="2">
        <f>IFERROR(__xludf.DUMMYFUNCTION("""COMPUTED_VALUE"""),482.0)</f>
        <v>482</v>
      </c>
      <c r="F1125" s="2">
        <f>IFERROR(__xludf.DUMMYFUNCTION("""COMPUTED_VALUE"""),1.9174E7)</f>
        <v>19174000</v>
      </c>
      <c r="G1125" s="2">
        <f t="shared" si="1"/>
        <v>6</v>
      </c>
    </row>
    <row r="1126" ht="15.75" customHeight="1">
      <c r="A1126" s="1">
        <f>IFERROR(__xludf.DUMMYFUNCTION("""COMPUTED_VALUE"""),45530.66666666667)</f>
        <v>45530.66667</v>
      </c>
      <c r="B1126" s="2">
        <f>IFERROR(__xludf.DUMMYFUNCTION("""COMPUTED_VALUE"""),484.0)</f>
        <v>484</v>
      </c>
      <c r="C1126" s="2">
        <f>IFERROR(__xludf.DUMMYFUNCTION("""COMPUTED_VALUE"""),492.0)</f>
        <v>492</v>
      </c>
      <c r="D1126" s="2">
        <f>IFERROR(__xludf.DUMMYFUNCTION("""COMPUTED_VALUE"""),482.0)</f>
        <v>482</v>
      </c>
      <c r="E1126" s="2">
        <f>IFERROR(__xludf.DUMMYFUNCTION("""COMPUTED_VALUE"""),492.0)</f>
        <v>492</v>
      </c>
      <c r="F1126" s="2">
        <f>IFERROR(__xludf.DUMMYFUNCTION("""COMPUTED_VALUE"""),3.96433E7)</f>
        <v>39643300</v>
      </c>
      <c r="G1126" s="2">
        <f t="shared" si="1"/>
        <v>10</v>
      </c>
    </row>
    <row r="1127" ht="15.75" customHeight="1">
      <c r="A1127" s="1">
        <f>IFERROR(__xludf.DUMMYFUNCTION("""COMPUTED_VALUE"""),45531.66666666667)</f>
        <v>45531.66667</v>
      </c>
      <c r="B1127" s="2">
        <f>IFERROR(__xludf.DUMMYFUNCTION("""COMPUTED_VALUE"""),494.0)</f>
        <v>494</v>
      </c>
      <c r="C1127" s="2">
        <f>IFERROR(__xludf.DUMMYFUNCTION("""COMPUTED_VALUE"""),500.0)</f>
        <v>500</v>
      </c>
      <c r="D1127" s="2">
        <f>IFERROR(__xludf.DUMMYFUNCTION("""COMPUTED_VALUE"""),486.0)</f>
        <v>486</v>
      </c>
      <c r="E1127" s="2">
        <f>IFERROR(__xludf.DUMMYFUNCTION("""COMPUTED_VALUE"""),488.0)</f>
        <v>488</v>
      </c>
      <c r="F1127" s="2">
        <f>IFERROR(__xludf.DUMMYFUNCTION("""COMPUTED_VALUE"""),5.54099E7)</f>
        <v>55409900</v>
      </c>
      <c r="G1127" s="2">
        <f t="shared" si="1"/>
        <v>14</v>
      </c>
    </row>
    <row r="1128" ht="15.75" customHeight="1">
      <c r="A1128" s="1">
        <f>IFERROR(__xludf.DUMMYFUNCTION("""COMPUTED_VALUE"""),45532.66666666667)</f>
        <v>45532.66667</v>
      </c>
      <c r="B1128" s="2">
        <f>IFERROR(__xludf.DUMMYFUNCTION("""COMPUTED_VALUE"""),488.0)</f>
        <v>488</v>
      </c>
      <c r="C1128" s="2">
        <f>IFERROR(__xludf.DUMMYFUNCTION("""COMPUTED_VALUE"""),490.0)</f>
        <v>490</v>
      </c>
      <c r="D1128" s="2">
        <f>IFERROR(__xludf.DUMMYFUNCTION("""COMPUTED_VALUE"""),482.0)</f>
        <v>482</v>
      </c>
      <c r="E1128" s="2">
        <f>IFERROR(__xludf.DUMMYFUNCTION("""COMPUTED_VALUE"""),482.0)</f>
        <v>482</v>
      </c>
      <c r="F1128" s="2">
        <f>IFERROR(__xludf.DUMMYFUNCTION("""COMPUTED_VALUE"""),4.52166E7)</f>
        <v>45216600</v>
      </c>
      <c r="G1128" s="2">
        <f t="shared" si="1"/>
        <v>8</v>
      </c>
    </row>
    <row r="1129" ht="15.75" customHeight="1">
      <c r="A1129" s="1">
        <f>IFERROR(__xludf.DUMMYFUNCTION("""COMPUTED_VALUE"""),45533.66666666667)</f>
        <v>45533.66667</v>
      </c>
      <c r="B1129" s="2">
        <f>IFERROR(__xludf.DUMMYFUNCTION("""COMPUTED_VALUE"""),484.0)</f>
        <v>484</v>
      </c>
      <c r="C1129" s="2">
        <f>IFERROR(__xludf.DUMMYFUNCTION("""COMPUTED_VALUE"""),484.0)</f>
        <v>484</v>
      </c>
      <c r="D1129" s="2">
        <f>IFERROR(__xludf.DUMMYFUNCTION("""COMPUTED_VALUE"""),474.0)</f>
        <v>474</v>
      </c>
      <c r="E1129" s="2">
        <f>IFERROR(__xludf.DUMMYFUNCTION("""COMPUTED_VALUE"""),474.0)</f>
        <v>474</v>
      </c>
      <c r="F1129" s="2">
        <f>IFERROR(__xludf.DUMMYFUNCTION("""COMPUTED_VALUE"""),6.69913E7)</f>
        <v>66991300</v>
      </c>
      <c r="G1129" s="2">
        <f t="shared" si="1"/>
        <v>10</v>
      </c>
    </row>
    <row r="1130" ht="15.75" customHeight="1">
      <c r="A1130" s="1">
        <f>IFERROR(__xludf.DUMMYFUNCTION("""COMPUTED_VALUE"""),45534.66666666667)</f>
        <v>45534.66667</v>
      </c>
      <c r="B1130" s="2">
        <f>IFERROR(__xludf.DUMMYFUNCTION("""COMPUTED_VALUE"""),478.0)</f>
        <v>478</v>
      </c>
      <c r="C1130" s="2">
        <f>IFERROR(__xludf.DUMMYFUNCTION("""COMPUTED_VALUE"""),484.0)</f>
        <v>484</v>
      </c>
      <c r="D1130" s="2">
        <f>IFERROR(__xludf.DUMMYFUNCTION("""COMPUTED_VALUE"""),476.0)</f>
        <v>476</v>
      </c>
      <c r="E1130" s="2">
        <f>IFERROR(__xludf.DUMMYFUNCTION("""COMPUTED_VALUE"""),480.0)</f>
        <v>480</v>
      </c>
      <c r="F1130" s="2">
        <f>IFERROR(__xludf.DUMMYFUNCTION("""COMPUTED_VALUE"""),3.55698E7)</f>
        <v>35569800</v>
      </c>
      <c r="G1130" s="2">
        <f t="shared" si="1"/>
        <v>10</v>
      </c>
    </row>
    <row r="1131" ht="15.75" customHeight="1">
      <c r="A1131" s="1">
        <f>IFERROR(__xludf.DUMMYFUNCTION("""COMPUTED_VALUE"""),45537.66666666667)</f>
        <v>45537.66667</v>
      </c>
      <c r="B1131" s="2">
        <f>IFERROR(__xludf.DUMMYFUNCTION("""COMPUTED_VALUE"""),480.0)</f>
        <v>480</v>
      </c>
      <c r="C1131" s="2">
        <f>IFERROR(__xludf.DUMMYFUNCTION("""COMPUTED_VALUE"""),480.0)</f>
        <v>480</v>
      </c>
      <c r="D1131" s="2">
        <f>IFERROR(__xludf.DUMMYFUNCTION("""COMPUTED_VALUE"""),474.0)</f>
        <v>474</v>
      </c>
      <c r="E1131" s="2">
        <f>IFERROR(__xludf.DUMMYFUNCTION("""COMPUTED_VALUE"""),478.0)</f>
        <v>478</v>
      </c>
      <c r="F1131" s="2">
        <f>IFERROR(__xludf.DUMMYFUNCTION("""COMPUTED_VALUE"""),2.88116E7)</f>
        <v>28811600</v>
      </c>
      <c r="G1131" s="2">
        <f t="shared" si="1"/>
        <v>6</v>
      </c>
    </row>
    <row r="1132" ht="15.75" customHeight="1">
      <c r="A1132" s="1">
        <f>IFERROR(__xludf.DUMMYFUNCTION("""COMPUTED_VALUE"""),45538.66666666667)</f>
        <v>45538.66667</v>
      </c>
      <c r="B1132" s="2">
        <f>IFERROR(__xludf.DUMMYFUNCTION("""COMPUTED_VALUE"""),480.0)</f>
        <v>480</v>
      </c>
      <c r="C1132" s="2">
        <f>IFERROR(__xludf.DUMMYFUNCTION("""COMPUTED_VALUE"""),480.0)</f>
        <v>480</v>
      </c>
      <c r="D1132" s="2">
        <f>IFERROR(__xludf.DUMMYFUNCTION("""COMPUTED_VALUE"""),474.0)</f>
        <v>474</v>
      </c>
      <c r="E1132" s="2">
        <f>IFERROR(__xludf.DUMMYFUNCTION("""COMPUTED_VALUE"""),474.0)</f>
        <v>474</v>
      </c>
      <c r="F1132" s="2">
        <f>IFERROR(__xludf.DUMMYFUNCTION("""COMPUTED_VALUE"""),2.20874E7)</f>
        <v>22087400</v>
      </c>
      <c r="G1132" s="2">
        <f t="shared" si="1"/>
        <v>6</v>
      </c>
    </row>
    <row r="1133" ht="15.75" customHeight="1">
      <c r="A1133" s="1">
        <f>IFERROR(__xludf.DUMMYFUNCTION("""COMPUTED_VALUE"""),45539.66666666667)</f>
        <v>45539.66667</v>
      </c>
      <c r="B1133" s="2">
        <f>IFERROR(__xludf.DUMMYFUNCTION("""COMPUTED_VALUE"""),470.0)</f>
        <v>470</v>
      </c>
      <c r="C1133" s="2">
        <f>IFERROR(__xludf.DUMMYFUNCTION("""COMPUTED_VALUE"""),474.0)</f>
        <v>474</v>
      </c>
      <c r="D1133" s="2">
        <f>IFERROR(__xludf.DUMMYFUNCTION("""COMPUTED_VALUE"""),462.0)</f>
        <v>462</v>
      </c>
      <c r="E1133" s="2">
        <f>IFERROR(__xludf.DUMMYFUNCTION("""COMPUTED_VALUE"""),466.0)</f>
        <v>466</v>
      </c>
      <c r="F1133" s="2">
        <f>IFERROR(__xludf.DUMMYFUNCTION("""COMPUTED_VALUE"""),4.75395E7)</f>
        <v>47539500</v>
      </c>
      <c r="G1133" s="2">
        <f t="shared" si="1"/>
        <v>12</v>
      </c>
    </row>
    <row r="1134" ht="15.75" customHeight="1">
      <c r="A1134" s="1">
        <f>IFERROR(__xludf.DUMMYFUNCTION("""COMPUTED_VALUE"""),45540.66666666667)</f>
        <v>45540.66667</v>
      </c>
      <c r="B1134" s="2">
        <f>IFERROR(__xludf.DUMMYFUNCTION("""COMPUTED_VALUE"""),466.0)</f>
        <v>466</v>
      </c>
      <c r="C1134" s="2">
        <f>IFERROR(__xludf.DUMMYFUNCTION("""COMPUTED_VALUE"""),472.0)</f>
        <v>472</v>
      </c>
      <c r="D1134" s="2">
        <f>IFERROR(__xludf.DUMMYFUNCTION("""COMPUTED_VALUE"""),462.0)</f>
        <v>462</v>
      </c>
      <c r="E1134" s="2">
        <f>IFERROR(__xludf.DUMMYFUNCTION("""COMPUTED_VALUE"""),472.0)</f>
        <v>472</v>
      </c>
      <c r="F1134" s="2">
        <f>IFERROR(__xludf.DUMMYFUNCTION("""COMPUTED_VALUE"""),2.16957E7)</f>
        <v>21695700</v>
      </c>
      <c r="G1134" s="2">
        <f t="shared" si="1"/>
        <v>10</v>
      </c>
    </row>
    <row r="1135" ht="15.75" customHeight="1">
      <c r="A1135" s="1">
        <f>IFERROR(__xludf.DUMMYFUNCTION("""COMPUTED_VALUE"""),45541.66666666667)</f>
        <v>45541.66667</v>
      </c>
      <c r="B1135" s="2">
        <f>IFERROR(__xludf.DUMMYFUNCTION("""COMPUTED_VALUE"""),472.0)</f>
        <v>472</v>
      </c>
      <c r="C1135" s="2">
        <f>IFERROR(__xludf.DUMMYFUNCTION("""COMPUTED_VALUE"""),488.0)</f>
        <v>488</v>
      </c>
      <c r="D1135" s="2">
        <f>IFERROR(__xludf.DUMMYFUNCTION("""COMPUTED_VALUE"""),472.0)</f>
        <v>472</v>
      </c>
      <c r="E1135" s="2">
        <f>IFERROR(__xludf.DUMMYFUNCTION("""COMPUTED_VALUE"""),478.0)</f>
        <v>478</v>
      </c>
      <c r="F1135" s="2">
        <f>IFERROR(__xludf.DUMMYFUNCTION("""COMPUTED_VALUE"""),6.26163E7)</f>
        <v>62616300</v>
      </c>
      <c r="G1135" s="2">
        <f t="shared" si="1"/>
        <v>16</v>
      </c>
    </row>
    <row r="1136" ht="15.75" customHeight="1">
      <c r="A1136" s="1">
        <f>IFERROR(__xludf.DUMMYFUNCTION("""COMPUTED_VALUE"""),45544.66666666667)</f>
        <v>45544.66667</v>
      </c>
      <c r="B1136" s="2">
        <f>IFERROR(__xludf.DUMMYFUNCTION("""COMPUTED_VALUE"""),478.0)</f>
        <v>478</v>
      </c>
      <c r="C1136" s="2">
        <f>IFERROR(__xludf.DUMMYFUNCTION("""COMPUTED_VALUE"""),484.0)</f>
        <v>484</v>
      </c>
      <c r="D1136" s="2">
        <f>IFERROR(__xludf.DUMMYFUNCTION("""COMPUTED_VALUE"""),466.0)</f>
        <v>466</v>
      </c>
      <c r="E1136" s="2">
        <f>IFERROR(__xludf.DUMMYFUNCTION("""COMPUTED_VALUE"""),472.0)</f>
        <v>472</v>
      </c>
      <c r="F1136" s="2">
        <f>IFERROR(__xludf.DUMMYFUNCTION("""COMPUTED_VALUE"""),4.68508E7)</f>
        <v>46850800</v>
      </c>
      <c r="G1136" s="2">
        <f t="shared" si="1"/>
        <v>18</v>
      </c>
    </row>
    <row r="1137" ht="15.75" customHeight="1">
      <c r="A1137" s="1">
        <f>IFERROR(__xludf.DUMMYFUNCTION("""COMPUTED_VALUE"""),45545.66666666667)</f>
        <v>45545.66667</v>
      </c>
      <c r="B1137" s="2">
        <f>IFERROR(__xludf.DUMMYFUNCTION("""COMPUTED_VALUE"""),474.0)</f>
        <v>474</v>
      </c>
      <c r="C1137" s="2">
        <f>IFERROR(__xludf.DUMMYFUNCTION("""COMPUTED_VALUE"""),476.0)</f>
        <v>476</v>
      </c>
      <c r="D1137" s="2">
        <f>IFERROR(__xludf.DUMMYFUNCTION("""COMPUTED_VALUE"""),472.0)</f>
        <v>472</v>
      </c>
      <c r="E1137" s="2">
        <f>IFERROR(__xludf.DUMMYFUNCTION("""COMPUTED_VALUE"""),472.0)</f>
        <v>472</v>
      </c>
      <c r="F1137" s="2">
        <f>IFERROR(__xludf.DUMMYFUNCTION("""COMPUTED_VALUE"""),1.53337E7)</f>
        <v>15333700</v>
      </c>
      <c r="G1137" s="2">
        <f t="shared" si="1"/>
        <v>4</v>
      </c>
    </row>
    <row r="1138" ht="15.75" customHeight="1">
      <c r="A1138" s="1">
        <f>IFERROR(__xludf.DUMMYFUNCTION("""COMPUTED_VALUE"""),45546.66666666667)</f>
        <v>45546.66667</v>
      </c>
      <c r="B1138" s="2">
        <f>IFERROR(__xludf.DUMMYFUNCTION("""COMPUTED_VALUE"""),472.0)</f>
        <v>472</v>
      </c>
      <c r="C1138" s="2">
        <f>IFERROR(__xludf.DUMMYFUNCTION("""COMPUTED_VALUE"""),472.0)</f>
        <v>472</v>
      </c>
      <c r="D1138" s="2">
        <f>IFERROR(__xludf.DUMMYFUNCTION("""COMPUTED_VALUE"""),464.0)</f>
        <v>464</v>
      </c>
      <c r="E1138" s="2">
        <f>IFERROR(__xludf.DUMMYFUNCTION("""COMPUTED_VALUE"""),470.0)</f>
        <v>470</v>
      </c>
      <c r="F1138" s="2">
        <f>IFERROR(__xludf.DUMMYFUNCTION("""COMPUTED_VALUE"""),3.04669E7)</f>
        <v>30466900</v>
      </c>
      <c r="G1138" s="2">
        <f t="shared" si="1"/>
        <v>8</v>
      </c>
    </row>
    <row r="1139" ht="15.75" customHeight="1">
      <c r="A1139" s="1">
        <f>IFERROR(__xludf.DUMMYFUNCTION("""COMPUTED_VALUE"""),45547.66666666667)</f>
        <v>45547.66667</v>
      </c>
      <c r="B1139" s="2">
        <f>IFERROR(__xludf.DUMMYFUNCTION("""COMPUTED_VALUE"""),472.0)</f>
        <v>472</v>
      </c>
      <c r="C1139" s="2">
        <f>IFERROR(__xludf.DUMMYFUNCTION("""COMPUTED_VALUE"""),484.0)</f>
        <v>484</v>
      </c>
      <c r="D1139" s="2">
        <f>IFERROR(__xludf.DUMMYFUNCTION("""COMPUTED_VALUE"""),472.0)</f>
        <v>472</v>
      </c>
      <c r="E1139" s="2">
        <f>IFERROR(__xludf.DUMMYFUNCTION("""COMPUTED_VALUE"""),480.0)</f>
        <v>480</v>
      </c>
      <c r="F1139" s="2">
        <f>IFERROR(__xludf.DUMMYFUNCTION("""COMPUTED_VALUE"""),5.01935E7)</f>
        <v>50193500</v>
      </c>
      <c r="G1139" s="2">
        <f t="shared" si="1"/>
        <v>14</v>
      </c>
    </row>
    <row r="1140" ht="15.75" customHeight="1">
      <c r="A1140" s="1">
        <f>IFERROR(__xludf.DUMMYFUNCTION("""COMPUTED_VALUE"""),45548.66666666667)</f>
        <v>45548.66667</v>
      </c>
      <c r="B1140" s="2">
        <f>IFERROR(__xludf.DUMMYFUNCTION("""COMPUTED_VALUE"""),482.0)</f>
        <v>482</v>
      </c>
      <c r="C1140" s="2">
        <f>IFERROR(__xludf.DUMMYFUNCTION("""COMPUTED_VALUE"""),486.0)</f>
        <v>486</v>
      </c>
      <c r="D1140" s="2">
        <f>IFERROR(__xludf.DUMMYFUNCTION("""COMPUTED_VALUE"""),474.0)</f>
        <v>474</v>
      </c>
      <c r="E1140" s="2">
        <f>IFERROR(__xludf.DUMMYFUNCTION("""COMPUTED_VALUE"""),480.0)</f>
        <v>480</v>
      </c>
      <c r="F1140" s="2">
        <f>IFERROR(__xludf.DUMMYFUNCTION("""COMPUTED_VALUE"""),2.26277E7)</f>
        <v>22627700</v>
      </c>
      <c r="G1140" s="2">
        <f t="shared" si="1"/>
        <v>12</v>
      </c>
    </row>
    <row r="1141" ht="15.75" customHeight="1">
      <c r="A1141" s="1">
        <f>IFERROR(__xludf.DUMMYFUNCTION("""COMPUTED_VALUE"""),45552.66666666667)</f>
        <v>45552.66667</v>
      </c>
      <c r="B1141" s="2">
        <f>IFERROR(__xludf.DUMMYFUNCTION("""COMPUTED_VALUE"""),480.0)</f>
        <v>480</v>
      </c>
      <c r="C1141" s="2">
        <f>IFERROR(__xludf.DUMMYFUNCTION("""COMPUTED_VALUE"""),484.0)</f>
        <v>484</v>
      </c>
      <c r="D1141" s="2">
        <f>IFERROR(__xludf.DUMMYFUNCTION("""COMPUTED_VALUE"""),476.0)</f>
        <v>476</v>
      </c>
      <c r="E1141" s="2">
        <f>IFERROR(__xludf.DUMMYFUNCTION("""COMPUTED_VALUE"""),480.0)</f>
        <v>480</v>
      </c>
      <c r="F1141" s="2">
        <f>IFERROR(__xludf.DUMMYFUNCTION("""COMPUTED_VALUE"""),2.04442E7)</f>
        <v>20444200</v>
      </c>
      <c r="G1141" s="2">
        <f t="shared" si="1"/>
        <v>8</v>
      </c>
    </row>
    <row r="1142" ht="15.75" customHeight="1">
      <c r="A1142" s="1">
        <f>IFERROR(__xludf.DUMMYFUNCTION("""COMPUTED_VALUE"""),45553.66666666667)</f>
        <v>45553.66667</v>
      </c>
      <c r="B1142" s="2">
        <f>IFERROR(__xludf.DUMMYFUNCTION("""COMPUTED_VALUE"""),480.0)</f>
        <v>480</v>
      </c>
      <c r="C1142" s="2">
        <f>IFERROR(__xludf.DUMMYFUNCTION("""COMPUTED_VALUE"""),486.0)</f>
        <v>486</v>
      </c>
      <c r="D1142" s="2">
        <f>IFERROR(__xludf.DUMMYFUNCTION("""COMPUTED_VALUE"""),480.0)</f>
        <v>480</v>
      </c>
      <c r="E1142" s="2">
        <f>IFERROR(__xludf.DUMMYFUNCTION("""COMPUTED_VALUE"""),480.0)</f>
        <v>480</v>
      </c>
      <c r="F1142" s="2">
        <f>IFERROR(__xludf.DUMMYFUNCTION("""COMPUTED_VALUE"""),2.23814E7)</f>
        <v>22381400</v>
      </c>
      <c r="G1142" s="2">
        <f t="shared" si="1"/>
        <v>6</v>
      </c>
    </row>
    <row r="1143" ht="15.75" customHeight="1">
      <c r="A1143" s="1">
        <f>IFERROR(__xludf.DUMMYFUNCTION("""COMPUTED_VALUE"""),45554.66666666667)</f>
        <v>45554.66667</v>
      </c>
      <c r="B1143" s="2">
        <f>IFERROR(__xludf.DUMMYFUNCTION("""COMPUTED_VALUE"""),480.0)</f>
        <v>480</v>
      </c>
      <c r="C1143" s="2">
        <f>IFERROR(__xludf.DUMMYFUNCTION("""COMPUTED_VALUE"""),488.0)</f>
        <v>488</v>
      </c>
      <c r="D1143" s="2">
        <f>IFERROR(__xludf.DUMMYFUNCTION("""COMPUTED_VALUE"""),476.0)</f>
        <v>476</v>
      </c>
      <c r="E1143" s="2">
        <f>IFERROR(__xludf.DUMMYFUNCTION("""COMPUTED_VALUE"""),488.0)</f>
        <v>488</v>
      </c>
      <c r="F1143" s="2">
        <f>IFERROR(__xludf.DUMMYFUNCTION("""COMPUTED_VALUE"""),3.04236E7)</f>
        <v>30423600</v>
      </c>
      <c r="G1143" s="2">
        <f t="shared" si="1"/>
        <v>12</v>
      </c>
    </row>
    <row r="1144" ht="15.75" customHeight="1">
      <c r="A1144" s="1">
        <f>IFERROR(__xludf.DUMMYFUNCTION("""COMPUTED_VALUE"""),45555.66666666667)</f>
        <v>45555.66667</v>
      </c>
      <c r="B1144" s="2">
        <f>IFERROR(__xludf.DUMMYFUNCTION("""COMPUTED_VALUE"""),490.0)</f>
        <v>490</v>
      </c>
      <c r="C1144" s="2">
        <f>IFERROR(__xludf.DUMMYFUNCTION("""COMPUTED_VALUE"""),494.0)</f>
        <v>494</v>
      </c>
      <c r="D1144" s="2">
        <f>IFERROR(__xludf.DUMMYFUNCTION("""COMPUTED_VALUE"""),482.0)</f>
        <v>482</v>
      </c>
      <c r="E1144" s="2">
        <f>IFERROR(__xludf.DUMMYFUNCTION("""COMPUTED_VALUE"""),482.0)</f>
        <v>482</v>
      </c>
      <c r="F1144" s="2">
        <f>IFERROR(__xludf.DUMMYFUNCTION("""COMPUTED_VALUE"""),3.45602E7)</f>
        <v>34560200</v>
      </c>
      <c r="G1144" s="2">
        <f t="shared" si="1"/>
        <v>12</v>
      </c>
    </row>
    <row r="1145" ht="15.75" customHeight="1">
      <c r="A1145" s="1">
        <f>IFERROR(__xludf.DUMMYFUNCTION("""COMPUTED_VALUE"""),45558.66666666667)</f>
        <v>45558.66667</v>
      </c>
      <c r="B1145" s="2">
        <f>IFERROR(__xludf.DUMMYFUNCTION("""COMPUTED_VALUE"""),482.0)</f>
        <v>482</v>
      </c>
      <c r="C1145" s="2">
        <f>IFERROR(__xludf.DUMMYFUNCTION("""COMPUTED_VALUE"""),488.0)</f>
        <v>488</v>
      </c>
      <c r="D1145" s="2">
        <f>IFERROR(__xludf.DUMMYFUNCTION("""COMPUTED_VALUE"""),480.0)</f>
        <v>480</v>
      </c>
      <c r="E1145" s="2">
        <f>IFERROR(__xludf.DUMMYFUNCTION("""COMPUTED_VALUE"""),482.0)</f>
        <v>482</v>
      </c>
      <c r="F1145" s="2">
        <f>IFERROR(__xludf.DUMMYFUNCTION("""COMPUTED_VALUE"""),1.75086E7)</f>
        <v>17508600</v>
      </c>
      <c r="G1145" s="2">
        <f t="shared" si="1"/>
        <v>8</v>
      </c>
    </row>
    <row r="1146" ht="15.75" customHeight="1">
      <c r="A1146" s="1">
        <f>IFERROR(__xludf.DUMMYFUNCTION("""COMPUTED_VALUE"""),45559.66666666667)</f>
        <v>45559.66667</v>
      </c>
      <c r="B1146" s="2">
        <f>IFERROR(__xludf.DUMMYFUNCTION("""COMPUTED_VALUE"""),484.0)</f>
        <v>484</v>
      </c>
      <c r="C1146" s="2">
        <f>IFERROR(__xludf.DUMMYFUNCTION("""COMPUTED_VALUE"""),488.0)</f>
        <v>488</v>
      </c>
      <c r="D1146" s="2">
        <f>IFERROR(__xludf.DUMMYFUNCTION("""COMPUTED_VALUE"""),480.0)</f>
        <v>480</v>
      </c>
      <c r="E1146" s="2">
        <f>IFERROR(__xludf.DUMMYFUNCTION("""COMPUTED_VALUE"""),488.0)</f>
        <v>488</v>
      </c>
      <c r="F1146" s="2">
        <f>IFERROR(__xludf.DUMMYFUNCTION("""COMPUTED_VALUE"""),2.87402E7)</f>
        <v>28740200</v>
      </c>
      <c r="G1146" s="2">
        <f t="shared" si="1"/>
        <v>8</v>
      </c>
    </row>
    <row r="1147" ht="15.75" customHeight="1">
      <c r="A1147" s="1">
        <f>IFERROR(__xludf.DUMMYFUNCTION("""COMPUTED_VALUE"""),45560.66666666667)</f>
        <v>45560.66667</v>
      </c>
      <c r="B1147" s="2">
        <f>IFERROR(__xludf.DUMMYFUNCTION("""COMPUTED_VALUE"""),492.0)</f>
        <v>492</v>
      </c>
      <c r="C1147" s="2">
        <f>IFERROR(__xludf.DUMMYFUNCTION("""COMPUTED_VALUE"""),492.0)</f>
        <v>492</v>
      </c>
      <c r="D1147" s="2">
        <f>IFERROR(__xludf.DUMMYFUNCTION("""COMPUTED_VALUE"""),480.0)</f>
        <v>480</v>
      </c>
      <c r="E1147" s="2">
        <f>IFERROR(__xludf.DUMMYFUNCTION("""COMPUTED_VALUE"""),484.0)</f>
        <v>484</v>
      </c>
      <c r="F1147" s="2">
        <f>IFERROR(__xludf.DUMMYFUNCTION("""COMPUTED_VALUE"""),3.50792E7)</f>
        <v>35079200</v>
      </c>
      <c r="G1147" s="2">
        <f t="shared" si="1"/>
        <v>12</v>
      </c>
    </row>
    <row r="1148" ht="15.75" customHeight="1">
      <c r="A1148" s="1">
        <f>IFERROR(__xludf.DUMMYFUNCTION("""COMPUTED_VALUE"""),45561.66666666667)</f>
        <v>45561.66667</v>
      </c>
      <c r="B1148" s="2">
        <f>IFERROR(__xludf.DUMMYFUNCTION("""COMPUTED_VALUE"""),484.0)</f>
        <v>484</v>
      </c>
      <c r="C1148" s="2">
        <f>IFERROR(__xludf.DUMMYFUNCTION("""COMPUTED_VALUE"""),484.0)</f>
        <v>484</v>
      </c>
      <c r="D1148" s="2">
        <f>IFERROR(__xludf.DUMMYFUNCTION("""COMPUTED_VALUE"""),476.0)</f>
        <v>476</v>
      </c>
      <c r="E1148" s="2">
        <f>IFERROR(__xludf.DUMMYFUNCTION("""COMPUTED_VALUE"""),478.0)</f>
        <v>478</v>
      </c>
      <c r="F1148" s="2">
        <f>IFERROR(__xludf.DUMMYFUNCTION("""COMPUTED_VALUE"""),2.92803E7)</f>
        <v>29280300</v>
      </c>
      <c r="G1148" s="2">
        <f t="shared" si="1"/>
        <v>8</v>
      </c>
    </row>
    <row r="1149" ht="15.75" customHeight="1">
      <c r="A1149" s="1">
        <f>IFERROR(__xludf.DUMMYFUNCTION("""COMPUTED_VALUE"""),45562.66666666667)</f>
        <v>45562.66667</v>
      </c>
      <c r="B1149" s="2">
        <f>IFERROR(__xludf.DUMMYFUNCTION("""COMPUTED_VALUE"""),478.0)</f>
        <v>478</v>
      </c>
      <c r="C1149" s="2">
        <f>IFERROR(__xludf.DUMMYFUNCTION("""COMPUTED_VALUE"""),480.0)</f>
        <v>480</v>
      </c>
      <c r="D1149" s="2">
        <f>IFERROR(__xludf.DUMMYFUNCTION("""COMPUTED_VALUE"""),474.0)</f>
        <v>474</v>
      </c>
      <c r="E1149" s="2">
        <f>IFERROR(__xludf.DUMMYFUNCTION("""COMPUTED_VALUE"""),478.0)</f>
        <v>478</v>
      </c>
      <c r="F1149" s="2">
        <f>IFERROR(__xludf.DUMMYFUNCTION("""COMPUTED_VALUE"""),1.99677E7)</f>
        <v>19967700</v>
      </c>
      <c r="G1149" s="2">
        <f t="shared" si="1"/>
        <v>6</v>
      </c>
    </row>
    <row r="1150" ht="15.75" customHeight="1">
      <c r="A1150" s="1">
        <f>IFERROR(__xludf.DUMMYFUNCTION("""COMPUTED_VALUE"""),45565.66666666667)</f>
        <v>45565.66667</v>
      </c>
      <c r="B1150" s="2">
        <f>IFERROR(__xludf.DUMMYFUNCTION("""COMPUTED_VALUE"""),478.0)</f>
        <v>478</v>
      </c>
      <c r="C1150" s="2">
        <f>IFERROR(__xludf.DUMMYFUNCTION("""COMPUTED_VALUE"""),480.0)</f>
        <v>480</v>
      </c>
      <c r="D1150" s="2">
        <f>IFERROR(__xludf.DUMMYFUNCTION("""COMPUTED_VALUE"""),474.0)</f>
        <v>474</v>
      </c>
      <c r="E1150" s="2">
        <f>IFERROR(__xludf.DUMMYFUNCTION("""COMPUTED_VALUE"""),474.0)</f>
        <v>474</v>
      </c>
      <c r="F1150" s="2">
        <f>IFERROR(__xludf.DUMMYFUNCTION("""COMPUTED_VALUE"""),2.39063E7)</f>
        <v>23906300</v>
      </c>
      <c r="G1150" s="2">
        <f t="shared" si="1"/>
        <v>6</v>
      </c>
    </row>
    <row r="1151" ht="15.75" customHeight="1">
      <c r="A1151" s="1">
        <f>IFERROR(__xludf.DUMMYFUNCTION("""COMPUTED_VALUE"""),45566.66666666667)</f>
        <v>45566.66667</v>
      </c>
      <c r="B1151" s="2">
        <f>IFERROR(__xludf.DUMMYFUNCTION("""COMPUTED_VALUE"""),476.0)</f>
        <v>476</v>
      </c>
      <c r="C1151" s="2">
        <f>IFERROR(__xludf.DUMMYFUNCTION("""COMPUTED_VALUE"""),476.0)</f>
        <v>476</v>
      </c>
      <c r="D1151" s="2">
        <f>IFERROR(__xludf.DUMMYFUNCTION("""COMPUTED_VALUE"""),468.0)</f>
        <v>468</v>
      </c>
      <c r="E1151" s="2">
        <f>IFERROR(__xludf.DUMMYFUNCTION("""COMPUTED_VALUE"""),472.0)</f>
        <v>472</v>
      </c>
      <c r="F1151" s="2">
        <f>IFERROR(__xludf.DUMMYFUNCTION("""COMPUTED_VALUE"""),2.33316E7)</f>
        <v>23331600</v>
      </c>
      <c r="G1151" s="2">
        <f t="shared" si="1"/>
        <v>8</v>
      </c>
    </row>
    <row r="1152" ht="15.75" customHeight="1">
      <c r="A1152" s="1">
        <f>IFERROR(__xludf.DUMMYFUNCTION("""COMPUTED_VALUE"""),45567.66666666667)</f>
        <v>45567.66667</v>
      </c>
      <c r="B1152" s="2">
        <f>IFERROR(__xludf.DUMMYFUNCTION("""COMPUTED_VALUE"""),480.0)</f>
        <v>480</v>
      </c>
      <c r="C1152" s="2">
        <f>IFERROR(__xludf.DUMMYFUNCTION("""COMPUTED_VALUE"""),510.0)</f>
        <v>510</v>
      </c>
      <c r="D1152" s="2">
        <f>IFERROR(__xludf.DUMMYFUNCTION("""COMPUTED_VALUE"""),480.0)</f>
        <v>480</v>
      </c>
      <c r="E1152" s="2">
        <f>IFERROR(__xludf.DUMMYFUNCTION("""COMPUTED_VALUE"""),505.0)</f>
        <v>505</v>
      </c>
      <c r="F1152" s="2">
        <f>IFERROR(__xludf.DUMMYFUNCTION("""COMPUTED_VALUE"""),3.869361E8)</f>
        <v>386936100</v>
      </c>
      <c r="G1152" s="2">
        <f t="shared" si="1"/>
        <v>38</v>
      </c>
    </row>
    <row r="1153" ht="15.75" customHeight="1">
      <c r="A1153" s="1">
        <f>IFERROR(__xludf.DUMMYFUNCTION("""COMPUTED_VALUE"""),45568.66666666667)</f>
        <v>45568.66667</v>
      </c>
      <c r="B1153" s="2">
        <f>IFERROR(__xludf.DUMMYFUNCTION("""COMPUTED_VALUE"""),510.0)</f>
        <v>510</v>
      </c>
      <c r="C1153" s="2">
        <f>IFERROR(__xludf.DUMMYFUNCTION("""COMPUTED_VALUE"""),520.0)</f>
        <v>520</v>
      </c>
      <c r="D1153" s="2">
        <f>IFERROR(__xludf.DUMMYFUNCTION("""COMPUTED_VALUE"""),492.0)</f>
        <v>492</v>
      </c>
      <c r="E1153" s="2">
        <f>IFERROR(__xludf.DUMMYFUNCTION("""COMPUTED_VALUE"""),494.0)</f>
        <v>494</v>
      </c>
      <c r="F1153" s="2">
        <f>IFERROR(__xludf.DUMMYFUNCTION("""COMPUTED_VALUE"""),1.684987E8)</f>
        <v>168498700</v>
      </c>
      <c r="G1153" s="2">
        <f t="shared" si="1"/>
        <v>28</v>
      </c>
    </row>
    <row r="1154" ht="15.75" customHeight="1">
      <c r="A1154" s="1">
        <f>IFERROR(__xludf.DUMMYFUNCTION("""COMPUTED_VALUE"""),45569.66666666667)</f>
        <v>45569.66667</v>
      </c>
      <c r="B1154" s="2">
        <f>IFERROR(__xludf.DUMMYFUNCTION("""COMPUTED_VALUE"""),510.0)</f>
        <v>510</v>
      </c>
      <c r="C1154" s="2">
        <f>IFERROR(__xludf.DUMMYFUNCTION("""COMPUTED_VALUE"""),520.0)</f>
        <v>520</v>
      </c>
      <c r="D1154" s="2">
        <f>IFERROR(__xludf.DUMMYFUNCTION("""COMPUTED_VALUE"""),505.0)</f>
        <v>505</v>
      </c>
      <c r="E1154" s="2">
        <f>IFERROR(__xludf.DUMMYFUNCTION("""COMPUTED_VALUE"""),510.0)</f>
        <v>510</v>
      </c>
      <c r="F1154" s="2">
        <f>IFERROR(__xludf.DUMMYFUNCTION("""COMPUTED_VALUE"""),1.496983E8)</f>
        <v>149698300</v>
      </c>
      <c r="G1154" s="2">
        <f t="shared" si="1"/>
        <v>26</v>
      </c>
    </row>
    <row r="1155" ht="15.75" customHeight="1">
      <c r="A1155" s="1">
        <f>IFERROR(__xludf.DUMMYFUNCTION("""COMPUTED_VALUE"""),45572.66666666667)</f>
        <v>45572.66667</v>
      </c>
      <c r="B1155" s="2">
        <f>IFERROR(__xludf.DUMMYFUNCTION("""COMPUTED_VALUE"""),515.0)</f>
        <v>515</v>
      </c>
      <c r="C1155" s="2">
        <f>IFERROR(__xludf.DUMMYFUNCTION("""COMPUTED_VALUE"""),525.0)</f>
        <v>525</v>
      </c>
      <c r="D1155" s="2">
        <f>IFERROR(__xludf.DUMMYFUNCTION("""COMPUTED_VALUE"""),505.0)</f>
        <v>505</v>
      </c>
      <c r="E1155" s="2">
        <f>IFERROR(__xludf.DUMMYFUNCTION("""COMPUTED_VALUE"""),520.0)</f>
        <v>520</v>
      </c>
      <c r="F1155" s="2">
        <f>IFERROR(__xludf.DUMMYFUNCTION("""COMPUTED_VALUE"""),1.002439E8)</f>
        <v>100243900</v>
      </c>
      <c r="G1155" s="2">
        <f t="shared" si="1"/>
        <v>20</v>
      </c>
    </row>
    <row r="1156" ht="15.75" customHeight="1">
      <c r="A1156" s="1">
        <f>IFERROR(__xludf.DUMMYFUNCTION("""COMPUTED_VALUE"""),45573.66666666667)</f>
        <v>45573.66667</v>
      </c>
      <c r="B1156" s="2">
        <f>IFERROR(__xludf.DUMMYFUNCTION("""COMPUTED_VALUE"""),530.0)</f>
        <v>530</v>
      </c>
      <c r="C1156" s="2">
        <f>IFERROR(__xludf.DUMMYFUNCTION("""COMPUTED_VALUE"""),535.0)</f>
        <v>535</v>
      </c>
      <c r="D1156" s="2">
        <f>IFERROR(__xludf.DUMMYFUNCTION("""COMPUTED_VALUE"""),492.0)</f>
        <v>492</v>
      </c>
      <c r="E1156" s="2">
        <f>IFERROR(__xludf.DUMMYFUNCTION("""COMPUTED_VALUE"""),492.0)</f>
        <v>492</v>
      </c>
      <c r="F1156" s="2">
        <f>IFERROR(__xludf.DUMMYFUNCTION("""COMPUTED_VALUE"""),1.391329E8)</f>
        <v>139132900</v>
      </c>
      <c r="G1156" s="2">
        <f t="shared" si="1"/>
        <v>43</v>
      </c>
    </row>
    <row r="1157" ht="15.75" customHeight="1">
      <c r="A1157" s="1">
        <f>IFERROR(__xludf.DUMMYFUNCTION("""COMPUTED_VALUE"""),45574.66666666667)</f>
        <v>45574.66667</v>
      </c>
      <c r="B1157" s="2">
        <f>IFERROR(__xludf.DUMMYFUNCTION("""COMPUTED_VALUE"""),488.0)</f>
        <v>488</v>
      </c>
      <c r="C1157" s="2">
        <f>IFERROR(__xludf.DUMMYFUNCTION("""COMPUTED_VALUE"""),492.0)</f>
        <v>492</v>
      </c>
      <c r="D1157" s="2">
        <f>IFERROR(__xludf.DUMMYFUNCTION("""COMPUTED_VALUE"""),480.0)</f>
        <v>480</v>
      </c>
      <c r="E1157" s="2">
        <f>IFERROR(__xludf.DUMMYFUNCTION("""COMPUTED_VALUE"""),482.0)</f>
        <v>482</v>
      </c>
      <c r="F1157" s="2">
        <f>IFERROR(__xludf.DUMMYFUNCTION("""COMPUTED_VALUE"""),1.276224E8)</f>
        <v>127622400</v>
      </c>
      <c r="G1157" s="2">
        <f t="shared" si="1"/>
        <v>12</v>
      </c>
    </row>
    <row r="1158" ht="15.75" customHeight="1">
      <c r="A1158" s="1">
        <f>IFERROR(__xludf.DUMMYFUNCTION("""COMPUTED_VALUE"""),45575.66666666667)</f>
        <v>45575.66667</v>
      </c>
      <c r="B1158" s="2">
        <f>IFERROR(__xludf.DUMMYFUNCTION("""COMPUTED_VALUE"""),480.0)</f>
        <v>480</v>
      </c>
      <c r="C1158" s="2">
        <f>IFERROR(__xludf.DUMMYFUNCTION("""COMPUTED_VALUE"""),484.0)</f>
        <v>484</v>
      </c>
      <c r="D1158" s="2">
        <f>IFERROR(__xludf.DUMMYFUNCTION("""COMPUTED_VALUE"""),478.0)</f>
        <v>478</v>
      </c>
      <c r="E1158" s="2">
        <f>IFERROR(__xludf.DUMMYFUNCTION("""COMPUTED_VALUE"""),482.0)</f>
        <v>482</v>
      </c>
      <c r="F1158" s="2">
        <f>IFERROR(__xludf.DUMMYFUNCTION("""COMPUTED_VALUE"""),7.931E7)</f>
        <v>79310000</v>
      </c>
      <c r="G1158" s="2">
        <f t="shared" si="1"/>
        <v>6</v>
      </c>
    </row>
    <row r="1159" ht="15.75" customHeight="1">
      <c r="A1159" s="1">
        <f>IFERROR(__xludf.DUMMYFUNCTION("""COMPUTED_VALUE"""),45576.66666666667)</f>
        <v>45576.66667</v>
      </c>
      <c r="B1159" s="2">
        <f>IFERROR(__xludf.DUMMYFUNCTION("""COMPUTED_VALUE"""),494.0)</f>
        <v>494</v>
      </c>
      <c r="C1159" s="2">
        <f>IFERROR(__xludf.DUMMYFUNCTION("""COMPUTED_VALUE"""),494.0)</f>
        <v>494</v>
      </c>
      <c r="D1159" s="2">
        <f>IFERROR(__xludf.DUMMYFUNCTION("""COMPUTED_VALUE"""),486.0)</f>
        <v>486</v>
      </c>
      <c r="E1159" s="2">
        <f>IFERROR(__xludf.DUMMYFUNCTION("""COMPUTED_VALUE"""),486.0)</f>
        <v>486</v>
      </c>
      <c r="F1159" s="2">
        <f>IFERROR(__xludf.DUMMYFUNCTION("""COMPUTED_VALUE"""),4.58822E7)</f>
        <v>45882200</v>
      </c>
      <c r="G1159" s="2">
        <f t="shared" si="1"/>
        <v>12</v>
      </c>
    </row>
    <row r="1160" ht="15.75" customHeight="1">
      <c r="A1160" s="1">
        <f>IFERROR(__xludf.DUMMYFUNCTION("""COMPUTED_VALUE"""),45579.66666666667)</f>
        <v>45579.66667</v>
      </c>
      <c r="B1160" s="2">
        <f>IFERROR(__xludf.DUMMYFUNCTION("""COMPUTED_VALUE"""),488.0)</f>
        <v>488</v>
      </c>
      <c r="C1160" s="2">
        <f>IFERROR(__xludf.DUMMYFUNCTION("""COMPUTED_VALUE"""),488.0)</f>
        <v>488</v>
      </c>
      <c r="D1160" s="2">
        <f>IFERROR(__xludf.DUMMYFUNCTION("""COMPUTED_VALUE"""),480.0)</f>
        <v>480</v>
      </c>
      <c r="E1160" s="2">
        <f>IFERROR(__xludf.DUMMYFUNCTION("""COMPUTED_VALUE"""),482.0)</f>
        <v>482</v>
      </c>
      <c r="F1160" s="2">
        <f>IFERROR(__xludf.DUMMYFUNCTION("""COMPUTED_VALUE"""),3.77114E7)</f>
        <v>37711400</v>
      </c>
      <c r="G1160" s="2">
        <f t="shared" si="1"/>
        <v>8</v>
      </c>
    </row>
    <row r="1161" ht="15.75" customHeight="1">
      <c r="A1161" s="1">
        <f>IFERROR(__xludf.DUMMYFUNCTION("""COMPUTED_VALUE"""),45580.66666666667)</f>
        <v>45580.66667</v>
      </c>
      <c r="B1161" s="2">
        <f>IFERROR(__xludf.DUMMYFUNCTION("""COMPUTED_VALUE"""),482.0)</f>
        <v>482</v>
      </c>
      <c r="C1161" s="2">
        <f>IFERROR(__xludf.DUMMYFUNCTION("""COMPUTED_VALUE"""),488.0)</f>
        <v>488</v>
      </c>
      <c r="D1161" s="2">
        <f>IFERROR(__xludf.DUMMYFUNCTION("""COMPUTED_VALUE"""),480.0)</f>
        <v>480</v>
      </c>
      <c r="E1161" s="2">
        <f>IFERROR(__xludf.DUMMYFUNCTION("""COMPUTED_VALUE"""),484.0)</f>
        <v>484</v>
      </c>
      <c r="F1161" s="2">
        <f>IFERROR(__xludf.DUMMYFUNCTION("""COMPUTED_VALUE"""),3.72165E7)</f>
        <v>37216500</v>
      </c>
      <c r="G1161" s="2">
        <f t="shared" si="1"/>
        <v>8</v>
      </c>
    </row>
    <row r="1162" ht="15.75" customHeight="1">
      <c r="A1162" s="1">
        <f>IFERROR(__xludf.DUMMYFUNCTION("""COMPUTED_VALUE"""),45581.66666666667)</f>
        <v>45581.66667</v>
      </c>
      <c r="B1162" s="2">
        <f>IFERROR(__xludf.DUMMYFUNCTION("""COMPUTED_VALUE"""),482.0)</f>
        <v>482</v>
      </c>
      <c r="C1162" s="2">
        <f>IFERROR(__xludf.DUMMYFUNCTION("""COMPUTED_VALUE"""),494.0)</f>
        <v>494</v>
      </c>
      <c r="D1162" s="2">
        <f>IFERROR(__xludf.DUMMYFUNCTION("""COMPUTED_VALUE"""),480.0)</f>
        <v>480</v>
      </c>
      <c r="E1162" s="2">
        <f>IFERROR(__xludf.DUMMYFUNCTION("""COMPUTED_VALUE"""),494.0)</f>
        <v>494</v>
      </c>
      <c r="F1162" s="2">
        <f>IFERROR(__xludf.DUMMYFUNCTION("""COMPUTED_VALUE"""),1.30595E8)</f>
        <v>130595000</v>
      </c>
      <c r="G1162" s="2">
        <f t="shared" si="1"/>
        <v>14</v>
      </c>
    </row>
    <row r="1163" ht="15.75" customHeight="1">
      <c r="A1163" s="1">
        <f>IFERROR(__xludf.DUMMYFUNCTION("""COMPUTED_VALUE"""),45582.66666666667)</f>
        <v>45582.66667</v>
      </c>
      <c r="B1163" s="2">
        <f>IFERROR(__xludf.DUMMYFUNCTION("""COMPUTED_VALUE"""),492.0)</f>
        <v>492</v>
      </c>
      <c r="C1163" s="2">
        <f>IFERROR(__xludf.DUMMYFUNCTION("""COMPUTED_VALUE"""),492.0)</f>
        <v>492</v>
      </c>
      <c r="D1163" s="2">
        <f>IFERROR(__xludf.DUMMYFUNCTION("""COMPUTED_VALUE"""),484.0)</f>
        <v>484</v>
      </c>
      <c r="E1163" s="2">
        <f>IFERROR(__xludf.DUMMYFUNCTION("""COMPUTED_VALUE"""),484.0)</f>
        <v>484</v>
      </c>
      <c r="F1163" s="2">
        <f>IFERROR(__xludf.DUMMYFUNCTION("""COMPUTED_VALUE"""),5.84182E7)</f>
        <v>58418200</v>
      </c>
      <c r="G1163" s="2">
        <f t="shared" si="1"/>
        <v>10</v>
      </c>
    </row>
    <row r="1164" ht="15.75" customHeight="1">
      <c r="A1164" s="1">
        <f>IFERROR(__xludf.DUMMYFUNCTION("""COMPUTED_VALUE"""),45583.66666666667)</f>
        <v>45583.66667</v>
      </c>
      <c r="B1164" s="2">
        <f>IFERROR(__xludf.DUMMYFUNCTION("""COMPUTED_VALUE"""),486.0)</f>
        <v>486</v>
      </c>
      <c r="C1164" s="2">
        <f>IFERROR(__xludf.DUMMYFUNCTION("""COMPUTED_VALUE"""),488.0)</f>
        <v>488</v>
      </c>
      <c r="D1164" s="2">
        <f>IFERROR(__xludf.DUMMYFUNCTION("""COMPUTED_VALUE"""),482.0)</f>
        <v>482</v>
      </c>
      <c r="E1164" s="2">
        <f>IFERROR(__xludf.DUMMYFUNCTION("""COMPUTED_VALUE"""),484.0)</f>
        <v>484</v>
      </c>
      <c r="F1164" s="2">
        <f>IFERROR(__xludf.DUMMYFUNCTION("""COMPUTED_VALUE"""),2.59353E7)</f>
        <v>25935300</v>
      </c>
      <c r="G1164" s="2">
        <f t="shared" si="1"/>
        <v>6</v>
      </c>
    </row>
    <row r="1165" ht="15.75" customHeight="1">
      <c r="A1165" s="1">
        <f>IFERROR(__xludf.DUMMYFUNCTION("""COMPUTED_VALUE"""),45586.66666666667)</f>
        <v>45586.66667</v>
      </c>
      <c r="B1165" s="2">
        <f>IFERROR(__xludf.DUMMYFUNCTION("""COMPUTED_VALUE"""),484.0)</f>
        <v>484</v>
      </c>
      <c r="C1165" s="2">
        <f>IFERROR(__xludf.DUMMYFUNCTION("""COMPUTED_VALUE"""),490.0)</f>
        <v>490</v>
      </c>
      <c r="D1165" s="2">
        <f>IFERROR(__xludf.DUMMYFUNCTION("""COMPUTED_VALUE"""),476.0)</f>
        <v>476</v>
      </c>
      <c r="E1165" s="2">
        <f>IFERROR(__xludf.DUMMYFUNCTION("""COMPUTED_VALUE"""),486.0)</f>
        <v>486</v>
      </c>
      <c r="F1165" s="2">
        <f>IFERROR(__xludf.DUMMYFUNCTION("""COMPUTED_VALUE"""),7.13706E7)</f>
        <v>71370600</v>
      </c>
      <c r="G1165" s="2">
        <f t="shared" si="1"/>
        <v>14</v>
      </c>
    </row>
    <row r="1166" ht="15.75" customHeight="1">
      <c r="A1166" s="1">
        <f>IFERROR(__xludf.DUMMYFUNCTION("""COMPUTED_VALUE"""),45587.66666666667)</f>
        <v>45587.66667</v>
      </c>
      <c r="B1166" s="2">
        <f>IFERROR(__xludf.DUMMYFUNCTION("""COMPUTED_VALUE"""),490.0)</f>
        <v>490</v>
      </c>
      <c r="C1166" s="2">
        <f>IFERROR(__xludf.DUMMYFUNCTION("""COMPUTED_VALUE"""),490.0)</f>
        <v>490</v>
      </c>
      <c r="D1166" s="2">
        <f>IFERROR(__xludf.DUMMYFUNCTION("""COMPUTED_VALUE"""),484.0)</f>
        <v>484</v>
      </c>
      <c r="E1166" s="2">
        <f>IFERROR(__xludf.DUMMYFUNCTION("""COMPUTED_VALUE"""),490.0)</f>
        <v>490</v>
      </c>
      <c r="F1166" s="2">
        <f>IFERROR(__xludf.DUMMYFUNCTION("""COMPUTED_VALUE"""),6.76576E7)</f>
        <v>67657600</v>
      </c>
      <c r="G1166" s="2">
        <f t="shared" si="1"/>
        <v>6</v>
      </c>
    </row>
    <row r="1167" ht="15.75" customHeight="1">
      <c r="A1167" s="1">
        <f>IFERROR(__xludf.DUMMYFUNCTION("""COMPUTED_VALUE"""),45588.66666666667)</f>
        <v>45588.66667</v>
      </c>
      <c r="B1167" s="2">
        <f>IFERROR(__xludf.DUMMYFUNCTION("""COMPUTED_VALUE"""),496.0)</f>
        <v>496</v>
      </c>
      <c r="C1167" s="2">
        <f>IFERROR(__xludf.DUMMYFUNCTION("""COMPUTED_VALUE"""),496.0)</f>
        <v>496</v>
      </c>
      <c r="D1167" s="2">
        <f>IFERROR(__xludf.DUMMYFUNCTION("""COMPUTED_VALUE"""),488.0)</f>
        <v>488</v>
      </c>
      <c r="E1167" s="2">
        <f>IFERROR(__xludf.DUMMYFUNCTION("""COMPUTED_VALUE"""),490.0)</f>
        <v>490</v>
      </c>
      <c r="F1167" s="2">
        <f>IFERROR(__xludf.DUMMYFUNCTION("""COMPUTED_VALUE"""),6.057E7)</f>
        <v>60570000</v>
      </c>
      <c r="G1167" s="2">
        <f t="shared" si="1"/>
        <v>8</v>
      </c>
    </row>
    <row r="1168" ht="15.75" customHeight="1">
      <c r="A1168" s="1">
        <f>IFERROR(__xludf.DUMMYFUNCTION("""COMPUTED_VALUE"""),45589.66666666667)</f>
        <v>45589.66667</v>
      </c>
      <c r="B1168" s="2">
        <f>IFERROR(__xludf.DUMMYFUNCTION("""COMPUTED_VALUE"""),490.0)</f>
        <v>490</v>
      </c>
      <c r="C1168" s="2">
        <f>IFERROR(__xludf.DUMMYFUNCTION("""COMPUTED_VALUE"""),490.0)</f>
        <v>490</v>
      </c>
      <c r="D1168" s="2">
        <f>IFERROR(__xludf.DUMMYFUNCTION("""COMPUTED_VALUE"""),486.0)</f>
        <v>486</v>
      </c>
      <c r="E1168" s="2">
        <f>IFERROR(__xludf.DUMMYFUNCTION("""COMPUTED_VALUE"""),486.0)</f>
        <v>486</v>
      </c>
      <c r="F1168" s="2">
        <f>IFERROR(__xludf.DUMMYFUNCTION("""COMPUTED_VALUE"""),2.10544E7)</f>
        <v>21054400</v>
      </c>
      <c r="G1168" s="2">
        <f t="shared" si="1"/>
        <v>4</v>
      </c>
    </row>
    <row r="1169" ht="15.75" customHeight="1">
      <c r="A1169" s="1">
        <f>IFERROR(__xludf.DUMMYFUNCTION("""COMPUTED_VALUE"""),45590.66666666667)</f>
        <v>45590.66667</v>
      </c>
      <c r="B1169" s="2">
        <f>IFERROR(__xludf.DUMMYFUNCTION("""COMPUTED_VALUE"""),484.0)</f>
        <v>484</v>
      </c>
      <c r="C1169" s="2">
        <f>IFERROR(__xludf.DUMMYFUNCTION("""COMPUTED_VALUE"""),488.0)</f>
        <v>488</v>
      </c>
      <c r="D1169" s="2">
        <f>IFERROR(__xludf.DUMMYFUNCTION("""COMPUTED_VALUE"""),476.0)</f>
        <v>476</v>
      </c>
      <c r="E1169" s="2">
        <f>IFERROR(__xludf.DUMMYFUNCTION("""COMPUTED_VALUE"""),478.0)</f>
        <v>478</v>
      </c>
      <c r="F1169" s="2">
        <f>IFERROR(__xludf.DUMMYFUNCTION("""COMPUTED_VALUE"""),5.63496E7)</f>
        <v>56349600</v>
      </c>
      <c r="G1169" s="2">
        <f t="shared" si="1"/>
        <v>12</v>
      </c>
    </row>
    <row r="1170" ht="15.75" customHeight="1">
      <c r="A1170" s="1">
        <f>IFERROR(__xludf.DUMMYFUNCTION("""COMPUTED_VALUE"""),45593.66666666667)</f>
        <v>45593.66667</v>
      </c>
      <c r="B1170" s="2">
        <f>IFERROR(__xludf.DUMMYFUNCTION("""COMPUTED_VALUE"""),478.0)</f>
        <v>478</v>
      </c>
      <c r="C1170" s="2">
        <f>IFERROR(__xludf.DUMMYFUNCTION("""COMPUTED_VALUE"""),478.0)</f>
        <v>478</v>
      </c>
      <c r="D1170" s="2">
        <f>IFERROR(__xludf.DUMMYFUNCTION("""COMPUTED_VALUE"""),466.0)</f>
        <v>466</v>
      </c>
      <c r="E1170" s="2">
        <f>IFERROR(__xludf.DUMMYFUNCTION("""COMPUTED_VALUE"""),470.0)</f>
        <v>470</v>
      </c>
      <c r="F1170" s="2">
        <f>IFERROR(__xludf.DUMMYFUNCTION("""COMPUTED_VALUE"""),3.97576E7)</f>
        <v>39757600</v>
      </c>
      <c r="G1170" s="2">
        <f t="shared" si="1"/>
        <v>12</v>
      </c>
    </row>
    <row r="1171" ht="15.75" customHeight="1">
      <c r="A1171" s="1">
        <f>IFERROR(__xludf.DUMMYFUNCTION("""COMPUTED_VALUE"""),45594.66666666667)</f>
        <v>45594.66667</v>
      </c>
      <c r="B1171" s="2">
        <f>IFERROR(__xludf.DUMMYFUNCTION("""COMPUTED_VALUE"""),468.0)</f>
        <v>468</v>
      </c>
      <c r="C1171" s="2">
        <f>IFERROR(__xludf.DUMMYFUNCTION("""COMPUTED_VALUE"""),476.0)</f>
        <v>476</v>
      </c>
      <c r="D1171" s="2">
        <f>IFERROR(__xludf.DUMMYFUNCTION("""COMPUTED_VALUE"""),468.0)</f>
        <v>468</v>
      </c>
      <c r="E1171" s="2">
        <f>IFERROR(__xludf.DUMMYFUNCTION("""COMPUTED_VALUE"""),470.0)</f>
        <v>470</v>
      </c>
      <c r="F1171" s="2">
        <f>IFERROR(__xludf.DUMMYFUNCTION("""COMPUTED_VALUE"""),3.53261E7)</f>
        <v>35326100</v>
      </c>
      <c r="G1171" s="2">
        <f t="shared" si="1"/>
        <v>8</v>
      </c>
    </row>
    <row r="1172" ht="15.75" customHeight="1">
      <c r="A1172" s="1">
        <f>IFERROR(__xludf.DUMMYFUNCTION("""COMPUTED_VALUE"""),45595.66666666667)</f>
        <v>45595.66667</v>
      </c>
      <c r="B1172" s="2">
        <f>IFERROR(__xludf.DUMMYFUNCTION("""COMPUTED_VALUE"""),472.0)</f>
        <v>472</v>
      </c>
      <c r="C1172" s="2">
        <f>IFERROR(__xludf.DUMMYFUNCTION("""COMPUTED_VALUE"""),476.0)</f>
        <v>476</v>
      </c>
      <c r="D1172" s="2">
        <f>IFERROR(__xludf.DUMMYFUNCTION("""COMPUTED_VALUE"""),460.0)</f>
        <v>460</v>
      </c>
      <c r="E1172" s="2">
        <f>IFERROR(__xludf.DUMMYFUNCTION("""COMPUTED_VALUE"""),472.0)</f>
        <v>472</v>
      </c>
      <c r="F1172" s="2">
        <f>IFERROR(__xludf.DUMMYFUNCTION("""COMPUTED_VALUE"""),1.010696E8)</f>
        <v>101069600</v>
      </c>
      <c r="G1172" s="2">
        <f t="shared" si="1"/>
        <v>16</v>
      </c>
    </row>
    <row r="1173" ht="15.75" customHeight="1">
      <c r="A1173" s="1">
        <f>IFERROR(__xludf.DUMMYFUNCTION("""COMPUTED_VALUE"""),45596.66666666667)</f>
        <v>45596.66667</v>
      </c>
      <c r="B1173" s="2">
        <f>IFERROR(__xludf.DUMMYFUNCTION("""COMPUTED_VALUE"""),472.0)</f>
        <v>472</v>
      </c>
      <c r="C1173" s="2">
        <f>IFERROR(__xludf.DUMMYFUNCTION("""COMPUTED_VALUE"""),482.0)</f>
        <v>482</v>
      </c>
      <c r="D1173" s="2">
        <f>IFERROR(__xludf.DUMMYFUNCTION("""COMPUTED_VALUE"""),470.0)</f>
        <v>470</v>
      </c>
      <c r="E1173" s="2">
        <f>IFERROR(__xludf.DUMMYFUNCTION("""COMPUTED_VALUE"""),478.0)</f>
        <v>478</v>
      </c>
      <c r="F1173" s="2">
        <f>IFERROR(__xludf.DUMMYFUNCTION("""COMPUTED_VALUE"""),3.20617E7)</f>
        <v>32061700</v>
      </c>
      <c r="G1173" s="2">
        <f t="shared" si="1"/>
        <v>12</v>
      </c>
    </row>
    <row r="1174" ht="15.75" customHeight="1">
      <c r="A1174" s="1">
        <f>IFERROR(__xludf.DUMMYFUNCTION("""COMPUTED_VALUE"""),45597.66666666667)</f>
        <v>45597.66667</v>
      </c>
      <c r="B1174" s="2">
        <f>IFERROR(__xludf.DUMMYFUNCTION("""COMPUTED_VALUE"""),478.0)</f>
        <v>478</v>
      </c>
      <c r="C1174" s="2">
        <f>IFERROR(__xludf.DUMMYFUNCTION("""COMPUTED_VALUE"""),480.0)</f>
        <v>480</v>
      </c>
      <c r="D1174" s="2">
        <f>IFERROR(__xludf.DUMMYFUNCTION("""COMPUTED_VALUE"""),470.0)</f>
        <v>470</v>
      </c>
      <c r="E1174" s="2">
        <f>IFERROR(__xludf.DUMMYFUNCTION("""COMPUTED_VALUE"""),470.0)</f>
        <v>470</v>
      </c>
      <c r="F1174" s="2">
        <f>IFERROR(__xludf.DUMMYFUNCTION("""COMPUTED_VALUE"""),2.81197E7)</f>
        <v>28119700</v>
      </c>
      <c r="G1174" s="2">
        <f t="shared" si="1"/>
        <v>10</v>
      </c>
    </row>
    <row r="1175" ht="15.75" customHeight="1">
      <c r="A1175" s="1">
        <f>IFERROR(__xludf.DUMMYFUNCTION("""COMPUTED_VALUE"""),45600.66666666667)</f>
        <v>45600.66667</v>
      </c>
      <c r="B1175" s="2">
        <f>IFERROR(__xludf.DUMMYFUNCTION("""COMPUTED_VALUE"""),470.0)</f>
        <v>470</v>
      </c>
      <c r="C1175" s="2">
        <f>IFERROR(__xludf.DUMMYFUNCTION("""COMPUTED_VALUE"""),474.0)</f>
        <v>474</v>
      </c>
      <c r="D1175" s="2">
        <f>IFERROR(__xludf.DUMMYFUNCTION("""COMPUTED_VALUE"""),464.0)</f>
        <v>464</v>
      </c>
      <c r="E1175" s="2">
        <f>IFERROR(__xludf.DUMMYFUNCTION("""COMPUTED_VALUE"""),470.0)</f>
        <v>470</v>
      </c>
      <c r="F1175" s="2">
        <f>IFERROR(__xludf.DUMMYFUNCTION("""COMPUTED_VALUE"""),2.97771E7)</f>
        <v>29777100</v>
      </c>
      <c r="G1175" s="2">
        <f t="shared" si="1"/>
        <v>10</v>
      </c>
    </row>
    <row r="1176" ht="15.75" customHeight="1">
      <c r="A1176" s="1">
        <f>IFERROR(__xludf.DUMMYFUNCTION("""COMPUTED_VALUE"""),45601.66666666667)</f>
        <v>45601.66667</v>
      </c>
      <c r="B1176" s="2">
        <f>IFERROR(__xludf.DUMMYFUNCTION("""COMPUTED_VALUE"""),470.0)</f>
        <v>470</v>
      </c>
      <c r="C1176" s="2">
        <f>IFERROR(__xludf.DUMMYFUNCTION("""COMPUTED_VALUE"""),474.0)</f>
        <v>474</v>
      </c>
      <c r="D1176" s="2">
        <f>IFERROR(__xludf.DUMMYFUNCTION("""COMPUTED_VALUE"""),464.0)</f>
        <v>464</v>
      </c>
      <c r="E1176" s="2">
        <f>IFERROR(__xludf.DUMMYFUNCTION("""COMPUTED_VALUE"""),466.0)</f>
        <v>466</v>
      </c>
      <c r="F1176" s="2">
        <f>IFERROR(__xludf.DUMMYFUNCTION("""COMPUTED_VALUE"""),1.52846E7)</f>
        <v>15284600</v>
      </c>
      <c r="G1176" s="2">
        <f t="shared" si="1"/>
        <v>10</v>
      </c>
    </row>
    <row r="1177" ht="15.75" customHeight="1">
      <c r="A1177" s="1">
        <f>IFERROR(__xludf.DUMMYFUNCTION("""COMPUTED_VALUE"""),45602.66666666667)</f>
        <v>45602.66667</v>
      </c>
      <c r="B1177" s="2">
        <f>IFERROR(__xludf.DUMMYFUNCTION("""COMPUTED_VALUE"""),466.0)</f>
        <v>466</v>
      </c>
      <c r="C1177" s="2">
        <f>IFERROR(__xludf.DUMMYFUNCTION("""COMPUTED_VALUE"""),470.0)</f>
        <v>470</v>
      </c>
      <c r="D1177" s="2">
        <f>IFERROR(__xludf.DUMMYFUNCTION("""COMPUTED_VALUE"""),450.0)</f>
        <v>450</v>
      </c>
      <c r="E1177" s="2">
        <f>IFERROR(__xludf.DUMMYFUNCTION("""COMPUTED_VALUE"""),452.0)</f>
        <v>452</v>
      </c>
      <c r="F1177" s="2">
        <f>IFERROR(__xludf.DUMMYFUNCTION("""COMPUTED_VALUE"""),6.33384E7)</f>
        <v>63338400</v>
      </c>
      <c r="G1177" s="2">
        <f t="shared" si="1"/>
        <v>20</v>
      </c>
    </row>
    <row r="1178" ht="15.75" customHeight="1">
      <c r="A1178" s="1">
        <f>IFERROR(__xludf.DUMMYFUNCTION("""COMPUTED_VALUE"""),45603.66666666667)</f>
        <v>45603.66667</v>
      </c>
      <c r="B1178" s="2">
        <f>IFERROR(__xludf.DUMMYFUNCTION("""COMPUTED_VALUE"""),452.0)</f>
        <v>452</v>
      </c>
      <c r="C1178" s="2">
        <f>IFERROR(__xludf.DUMMYFUNCTION("""COMPUTED_VALUE"""),464.0)</f>
        <v>464</v>
      </c>
      <c r="D1178" s="2">
        <f>IFERROR(__xludf.DUMMYFUNCTION("""COMPUTED_VALUE"""),448.0)</f>
        <v>448</v>
      </c>
      <c r="E1178" s="2">
        <f>IFERROR(__xludf.DUMMYFUNCTION("""COMPUTED_VALUE"""),458.0)</f>
        <v>458</v>
      </c>
      <c r="F1178" s="2">
        <f>IFERROR(__xludf.DUMMYFUNCTION("""COMPUTED_VALUE"""),3.24211E7)</f>
        <v>32421100</v>
      </c>
      <c r="G1178" s="2">
        <f t="shared" si="1"/>
        <v>16</v>
      </c>
    </row>
    <row r="1179" ht="15.75" customHeight="1">
      <c r="A1179" s="1">
        <f>IFERROR(__xludf.DUMMYFUNCTION("""COMPUTED_VALUE"""),45604.66666666667)</f>
        <v>45604.66667</v>
      </c>
      <c r="B1179" s="2">
        <f>IFERROR(__xludf.DUMMYFUNCTION("""COMPUTED_VALUE"""),460.0)</f>
        <v>460</v>
      </c>
      <c r="C1179" s="2">
        <f>IFERROR(__xludf.DUMMYFUNCTION("""COMPUTED_VALUE"""),462.0)</f>
        <v>462</v>
      </c>
      <c r="D1179" s="2">
        <f>IFERROR(__xludf.DUMMYFUNCTION("""COMPUTED_VALUE"""),454.0)</f>
        <v>454</v>
      </c>
      <c r="E1179" s="2">
        <f>IFERROR(__xludf.DUMMYFUNCTION("""COMPUTED_VALUE"""),454.0)</f>
        <v>454</v>
      </c>
      <c r="F1179" s="2">
        <f>IFERROR(__xludf.DUMMYFUNCTION("""COMPUTED_VALUE"""),1.53942E7)</f>
        <v>15394200</v>
      </c>
      <c r="G1179" s="2">
        <f t="shared" si="1"/>
        <v>8</v>
      </c>
    </row>
    <row r="1180" ht="15.75" customHeight="1">
      <c r="A1180" s="1">
        <f>IFERROR(__xludf.DUMMYFUNCTION("""COMPUTED_VALUE"""),45607.66666666667)</f>
        <v>45607.66667</v>
      </c>
      <c r="B1180" s="2">
        <f>IFERROR(__xludf.DUMMYFUNCTION("""COMPUTED_VALUE"""),452.0)</f>
        <v>452</v>
      </c>
      <c r="C1180" s="2">
        <f>IFERROR(__xludf.DUMMYFUNCTION("""COMPUTED_VALUE"""),460.0)</f>
        <v>460</v>
      </c>
      <c r="D1180" s="2">
        <f>IFERROR(__xludf.DUMMYFUNCTION("""COMPUTED_VALUE"""),440.0)</f>
        <v>440</v>
      </c>
      <c r="E1180" s="2">
        <f>IFERROR(__xludf.DUMMYFUNCTION("""COMPUTED_VALUE"""),444.0)</f>
        <v>444</v>
      </c>
      <c r="F1180" s="2">
        <f>IFERROR(__xludf.DUMMYFUNCTION("""COMPUTED_VALUE"""),3.12764E7)</f>
        <v>31276400</v>
      </c>
      <c r="G1180" s="2">
        <f t="shared" si="1"/>
        <v>20</v>
      </c>
    </row>
    <row r="1181" ht="15.75" customHeight="1">
      <c r="A1181" s="1">
        <f>IFERROR(__xludf.DUMMYFUNCTION("""COMPUTED_VALUE"""),45608.66666666667)</f>
        <v>45608.66667</v>
      </c>
      <c r="B1181" s="2">
        <f>IFERROR(__xludf.DUMMYFUNCTION("""COMPUTED_VALUE"""),444.0)</f>
        <v>444</v>
      </c>
      <c r="C1181" s="2">
        <f>IFERROR(__xludf.DUMMYFUNCTION("""COMPUTED_VALUE"""),446.0)</f>
        <v>446</v>
      </c>
      <c r="D1181" s="2">
        <f>IFERROR(__xludf.DUMMYFUNCTION("""COMPUTED_VALUE"""),436.0)</f>
        <v>436</v>
      </c>
      <c r="E1181" s="2">
        <f>IFERROR(__xludf.DUMMYFUNCTION("""COMPUTED_VALUE"""),444.0)</f>
        <v>444</v>
      </c>
      <c r="F1181" s="2">
        <f>IFERROR(__xludf.DUMMYFUNCTION("""COMPUTED_VALUE"""),3.72503E7)</f>
        <v>37250300</v>
      </c>
      <c r="G1181" s="2">
        <f t="shared" si="1"/>
        <v>10</v>
      </c>
    </row>
    <row r="1182" ht="15.75" customHeight="1">
      <c r="A1182" s="1">
        <f>IFERROR(__xludf.DUMMYFUNCTION("""COMPUTED_VALUE"""),45609.66666666667)</f>
        <v>45609.66667</v>
      </c>
      <c r="B1182" s="2">
        <f>IFERROR(__xludf.DUMMYFUNCTION("""COMPUTED_VALUE"""),446.0)</f>
        <v>446</v>
      </c>
      <c r="C1182" s="2">
        <f>IFERROR(__xludf.DUMMYFUNCTION("""COMPUTED_VALUE"""),452.0)</f>
        <v>452</v>
      </c>
      <c r="D1182" s="2">
        <f>IFERROR(__xludf.DUMMYFUNCTION("""COMPUTED_VALUE"""),444.0)</f>
        <v>444</v>
      </c>
      <c r="E1182" s="2">
        <f>IFERROR(__xludf.DUMMYFUNCTION("""COMPUTED_VALUE"""),448.0)</f>
        <v>448</v>
      </c>
      <c r="F1182" s="2">
        <f>IFERROR(__xludf.DUMMYFUNCTION("""COMPUTED_VALUE"""),1.5549E7)</f>
        <v>15549000</v>
      </c>
      <c r="G1182" s="2">
        <f t="shared" si="1"/>
        <v>8</v>
      </c>
    </row>
    <row r="1183" ht="15.75" customHeight="1">
      <c r="A1183" s="1">
        <f>IFERROR(__xludf.DUMMYFUNCTION("""COMPUTED_VALUE"""),45610.66666666667)</f>
        <v>45610.66667</v>
      </c>
      <c r="B1183" s="2">
        <f>IFERROR(__xludf.DUMMYFUNCTION("""COMPUTED_VALUE"""),448.0)</f>
        <v>448</v>
      </c>
      <c r="C1183" s="2">
        <f>IFERROR(__xludf.DUMMYFUNCTION("""COMPUTED_VALUE"""),450.0)</f>
        <v>450</v>
      </c>
      <c r="D1183" s="2">
        <f>IFERROR(__xludf.DUMMYFUNCTION("""COMPUTED_VALUE"""),438.0)</f>
        <v>438</v>
      </c>
      <c r="E1183" s="2">
        <f>IFERROR(__xludf.DUMMYFUNCTION("""COMPUTED_VALUE"""),438.0)</f>
        <v>438</v>
      </c>
      <c r="F1183" s="2">
        <f>IFERROR(__xludf.DUMMYFUNCTION("""COMPUTED_VALUE"""),2.3168E7)</f>
        <v>23168000</v>
      </c>
      <c r="G1183" s="2">
        <f t="shared" si="1"/>
        <v>12</v>
      </c>
    </row>
    <row r="1184" ht="15.75" customHeight="1">
      <c r="A1184" s="1">
        <f>IFERROR(__xludf.DUMMYFUNCTION("""COMPUTED_VALUE"""),45611.66666666667)</f>
        <v>45611.66667</v>
      </c>
      <c r="B1184" s="2">
        <f>IFERROR(__xludf.DUMMYFUNCTION("""COMPUTED_VALUE"""),442.0)</f>
        <v>442</v>
      </c>
      <c r="C1184" s="2">
        <f>IFERROR(__xludf.DUMMYFUNCTION("""COMPUTED_VALUE"""),444.0)</f>
        <v>444</v>
      </c>
      <c r="D1184" s="2">
        <f>IFERROR(__xludf.DUMMYFUNCTION("""COMPUTED_VALUE"""),436.0)</f>
        <v>436</v>
      </c>
      <c r="E1184" s="2">
        <f>IFERROR(__xludf.DUMMYFUNCTION("""COMPUTED_VALUE"""),438.0)</f>
        <v>438</v>
      </c>
      <c r="F1184" s="2">
        <f>IFERROR(__xludf.DUMMYFUNCTION("""COMPUTED_VALUE"""),1.20132E7)</f>
        <v>12013200</v>
      </c>
      <c r="G1184" s="2">
        <f t="shared" si="1"/>
        <v>8</v>
      </c>
    </row>
    <row r="1185" ht="15.75" customHeight="1">
      <c r="A1185" s="1">
        <f>IFERROR(__xludf.DUMMYFUNCTION("""COMPUTED_VALUE"""),45614.66666666667)</f>
        <v>45614.66667</v>
      </c>
      <c r="B1185" s="2">
        <f>IFERROR(__xludf.DUMMYFUNCTION("""COMPUTED_VALUE"""),438.0)</f>
        <v>438</v>
      </c>
      <c r="C1185" s="2">
        <f>IFERROR(__xludf.DUMMYFUNCTION("""COMPUTED_VALUE"""),446.0)</f>
        <v>446</v>
      </c>
      <c r="D1185" s="2">
        <f>IFERROR(__xludf.DUMMYFUNCTION("""COMPUTED_VALUE"""),436.0)</f>
        <v>436</v>
      </c>
      <c r="E1185" s="2">
        <f>IFERROR(__xludf.DUMMYFUNCTION("""COMPUTED_VALUE"""),438.0)</f>
        <v>438</v>
      </c>
      <c r="F1185" s="2">
        <f>IFERROR(__xludf.DUMMYFUNCTION("""COMPUTED_VALUE"""),1.58589E7)</f>
        <v>15858900</v>
      </c>
      <c r="G1185" s="2">
        <f t="shared" si="1"/>
        <v>10</v>
      </c>
    </row>
    <row r="1186" ht="15.75" customHeight="1">
      <c r="A1186" s="1">
        <f>IFERROR(__xludf.DUMMYFUNCTION("""COMPUTED_VALUE"""),45615.66666666667)</f>
        <v>45615.66667</v>
      </c>
      <c r="B1186" s="2">
        <f>IFERROR(__xludf.DUMMYFUNCTION("""COMPUTED_VALUE"""),442.0)</f>
        <v>442</v>
      </c>
      <c r="C1186" s="2">
        <f>IFERROR(__xludf.DUMMYFUNCTION("""COMPUTED_VALUE"""),452.0)</f>
        <v>452</v>
      </c>
      <c r="D1186" s="2">
        <f>IFERROR(__xludf.DUMMYFUNCTION("""COMPUTED_VALUE"""),442.0)</f>
        <v>442</v>
      </c>
      <c r="E1186" s="2">
        <f>IFERROR(__xludf.DUMMYFUNCTION("""COMPUTED_VALUE"""),448.0)</f>
        <v>448</v>
      </c>
      <c r="F1186" s="2">
        <f>IFERROR(__xludf.DUMMYFUNCTION("""COMPUTED_VALUE"""),2.6219E7)</f>
        <v>26219000</v>
      </c>
      <c r="G1186" s="2">
        <f t="shared" si="1"/>
        <v>14</v>
      </c>
    </row>
    <row r="1187" ht="15.75" customHeight="1">
      <c r="A1187" s="1">
        <f>IFERROR(__xludf.DUMMYFUNCTION("""COMPUTED_VALUE"""),45616.66666666667)</f>
        <v>45616.66667</v>
      </c>
      <c r="B1187" s="2">
        <f>IFERROR(__xludf.DUMMYFUNCTION("""COMPUTED_VALUE"""),450.0)</f>
        <v>450</v>
      </c>
      <c r="C1187" s="2">
        <f>IFERROR(__xludf.DUMMYFUNCTION("""COMPUTED_VALUE"""),456.0)</f>
        <v>456</v>
      </c>
      <c r="D1187" s="2">
        <f>IFERROR(__xludf.DUMMYFUNCTION("""COMPUTED_VALUE"""),448.0)</f>
        <v>448</v>
      </c>
      <c r="E1187" s="2">
        <f>IFERROR(__xludf.DUMMYFUNCTION("""COMPUTED_VALUE"""),454.0)</f>
        <v>454</v>
      </c>
      <c r="F1187" s="2">
        <f>IFERROR(__xludf.DUMMYFUNCTION("""COMPUTED_VALUE"""),1.36404E7)</f>
        <v>13640400</v>
      </c>
      <c r="G1187" s="2">
        <f t="shared" si="1"/>
        <v>8</v>
      </c>
    </row>
    <row r="1188" ht="15.75" customHeight="1">
      <c r="A1188" s="1">
        <f>IFERROR(__xludf.DUMMYFUNCTION("""COMPUTED_VALUE"""),45617.66666666667)</f>
        <v>45617.66667</v>
      </c>
      <c r="B1188" s="2">
        <f>IFERROR(__xludf.DUMMYFUNCTION("""COMPUTED_VALUE"""),454.0)</f>
        <v>454</v>
      </c>
      <c r="C1188" s="2">
        <f>IFERROR(__xludf.DUMMYFUNCTION("""COMPUTED_VALUE"""),458.0)</f>
        <v>458</v>
      </c>
      <c r="D1188" s="2">
        <f>IFERROR(__xludf.DUMMYFUNCTION("""COMPUTED_VALUE"""),450.0)</f>
        <v>450</v>
      </c>
      <c r="E1188" s="2">
        <f>IFERROR(__xludf.DUMMYFUNCTION("""COMPUTED_VALUE"""),454.0)</f>
        <v>454</v>
      </c>
      <c r="F1188" s="2">
        <f>IFERROR(__xludf.DUMMYFUNCTION("""COMPUTED_VALUE"""),1.25024E7)</f>
        <v>12502400</v>
      </c>
      <c r="G1188" s="2">
        <f t="shared" si="1"/>
        <v>8</v>
      </c>
    </row>
    <row r="1189" ht="15.75" customHeight="1">
      <c r="A1189" s="1">
        <f>IFERROR(__xludf.DUMMYFUNCTION("""COMPUTED_VALUE"""),45618.66666666667)</f>
        <v>45618.66667</v>
      </c>
      <c r="B1189" s="2">
        <f>IFERROR(__xludf.DUMMYFUNCTION("""COMPUTED_VALUE"""),456.0)</f>
        <v>456</v>
      </c>
      <c r="C1189" s="2">
        <f>IFERROR(__xludf.DUMMYFUNCTION("""COMPUTED_VALUE"""),458.0)</f>
        <v>458</v>
      </c>
      <c r="D1189" s="2">
        <f>IFERROR(__xludf.DUMMYFUNCTION("""COMPUTED_VALUE"""),452.0)</f>
        <v>452</v>
      </c>
      <c r="E1189" s="2">
        <f>IFERROR(__xludf.DUMMYFUNCTION("""COMPUTED_VALUE"""),454.0)</f>
        <v>454</v>
      </c>
      <c r="F1189" s="2">
        <f>IFERROR(__xludf.DUMMYFUNCTION("""COMPUTED_VALUE"""),1.4957E7)</f>
        <v>14957000</v>
      </c>
      <c r="G1189" s="2">
        <f t="shared" si="1"/>
        <v>6</v>
      </c>
    </row>
    <row r="1190" ht="15.75" customHeight="1">
      <c r="A1190" s="1">
        <f>IFERROR(__xludf.DUMMYFUNCTION("""COMPUTED_VALUE"""),45621.66666666667)</f>
        <v>45621.66667</v>
      </c>
      <c r="B1190" s="2">
        <f>IFERROR(__xludf.DUMMYFUNCTION("""COMPUTED_VALUE"""),458.0)</f>
        <v>458</v>
      </c>
      <c r="C1190" s="2">
        <f>IFERROR(__xludf.DUMMYFUNCTION("""COMPUTED_VALUE"""),462.0)</f>
        <v>462</v>
      </c>
      <c r="D1190" s="2">
        <f>IFERROR(__xludf.DUMMYFUNCTION("""COMPUTED_VALUE"""),452.0)</f>
        <v>452</v>
      </c>
      <c r="E1190" s="2">
        <f>IFERROR(__xludf.DUMMYFUNCTION("""COMPUTED_VALUE"""),456.0)</f>
        <v>456</v>
      </c>
      <c r="F1190" s="2">
        <f>IFERROR(__xludf.DUMMYFUNCTION("""COMPUTED_VALUE"""),1.42998E7)</f>
        <v>14299800</v>
      </c>
      <c r="G1190" s="2">
        <f t="shared" si="1"/>
        <v>10</v>
      </c>
    </row>
    <row r="1191" ht="15.75" customHeight="1">
      <c r="A1191" s="1">
        <f>IFERROR(__xludf.DUMMYFUNCTION("""COMPUTED_VALUE"""),45622.66666666667)</f>
        <v>45622.66667</v>
      </c>
      <c r="B1191" s="2">
        <f>IFERROR(__xludf.DUMMYFUNCTION("""COMPUTED_VALUE"""),454.0)</f>
        <v>454</v>
      </c>
      <c r="C1191" s="2">
        <f>IFERROR(__xludf.DUMMYFUNCTION("""COMPUTED_VALUE"""),456.0)</f>
        <v>456</v>
      </c>
      <c r="D1191" s="2">
        <f>IFERROR(__xludf.DUMMYFUNCTION("""COMPUTED_VALUE"""),444.0)</f>
        <v>444</v>
      </c>
      <c r="E1191" s="2">
        <f>IFERROR(__xludf.DUMMYFUNCTION("""COMPUTED_VALUE"""),448.0)</f>
        <v>448</v>
      </c>
      <c r="F1191" s="2">
        <f>IFERROR(__xludf.DUMMYFUNCTION("""COMPUTED_VALUE"""),1.49219E7)</f>
        <v>14921900</v>
      </c>
      <c r="G1191" s="2">
        <f t="shared" si="1"/>
        <v>12</v>
      </c>
    </row>
    <row r="1192" ht="15.75" customHeight="1">
      <c r="A1192" s="1">
        <f>IFERROR(__xludf.DUMMYFUNCTION("""COMPUTED_VALUE"""),45624.66666666667)</f>
        <v>45624.66667</v>
      </c>
      <c r="B1192" s="2">
        <f>IFERROR(__xludf.DUMMYFUNCTION("""COMPUTED_VALUE"""),450.0)</f>
        <v>450</v>
      </c>
      <c r="C1192" s="2">
        <f>IFERROR(__xludf.DUMMYFUNCTION("""COMPUTED_VALUE"""),450.0)</f>
        <v>450</v>
      </c>
      <c r="D1192" s="2">
        <f>IFERROR(__xludf.DUMMYFUNCTION("""COMPUTED_VALUE"""),442.0)</f>
        <v>442</v>
      </c>
      <c r="E1192" s="2">
        <f>IFERROR(__xludf.DUMMYFUNCTION("""COMPUTED_VALUE"""),444.0)</f>
        <v>444</v>
      </c>
      <c r="F1192" s="2">
        <f>IFERROR(__xludf.DUMMYFUNCTION("""COMPUTED_VALUE"""),7822900.0)</f>
        <v>7822900</v>
      </c>
      <c r="G1192" s="2">
        <f t="shared" si="1"/>
        <v>8</v>
      </c>
    </row>
    <row r="1193" ht="15.75" customHeight="1">
      <c r="A1193" s="1">
        <f>IFERROR(__xludf.DUMMYFUNCTION("""COMPUTED_VALUE"""),45625.66666666667)</f>
        <v>45625.66667</v>
      </c>
      <c r="B1193" s="2">
        <f>IFERROR(__xludf.DUMMYFUNCTION("""COMPUTED_VALUE"""),442.0)</f>
        <v>442</v>
      </c>
      <c r="C1193" s="2">
        <f>IFERROR(__xludf.DUMMYFUNCTION("""COMPUTED_VALUE"""),446.0)</f>
        <v>446</v>
      </c>
      <c r="D1193" s="2">
        <f>IFERROR(__xludf.DUMMYFUNCTION("""COMPUTED_VALUE"""),438.0)</f>
        <v>438</v>
      </c>
      <c r="E1193" s="2">
        <f>IFERROR(__xludf.DUMMYFUNCTION("""COMPUTED_VALUE"""),442.0)</f>
        <v>442</v>
      </c>
      <c r="F1193" s="2">
        <f>IFERROR(__xludf.DUMMYFUNCTION("""COMPUTED_VALUE"""),1.47659E7)</f>
        <v>14765900</v>
      </c>
      <c r="G1193" s="2">
        <f t="shared" si="1"/>
        <v>8</v>
      </c>
    </row>
    <row r="1194" ht="15.75" customHeight="1">
      <c r="A1194" s="1">
        <f>IFERROR(__xludf.DUMMYFUNCTION("""COMPUTED_VALUE"""),45628.66666666667)</f>
        <v>45628.66667</v>
      </c>
      <c r="B1194" s="2">
        <f>IFERROR(__xludf.DUMMYFUNCTION("""COMPUTED_VALUE"""),442.0)</f>
        <v>442</v>
      </c>
      <c r="C1194" s="2">
        <f>IFERROR(__xludf.DUMMYFUNCTION("""COMPUTED_VALUE"""),448.0)</f>
        <v>448</v>
      </c>
      <c r="D1194" s="2">
        <f>IFERROR(__xludf.DUMMYFUNCTION("""COMPUTED_VALUE"""),440.0)</f>
        <v>440</v>
      </c>
      <c r="E1194" s="2">
        <f>IFERROR(__xludf.DUMMYFUNCTION("""COMPUTED_VALUE"""),442.0)</f>
        <v>442</v>
      </c>
      <c r="F1194" s="2">
        <f>IFERROR(__xludf.DUMMYFUNCTION("""COMPUTED_VALUE"""),8965900.0)</f>
        <v>8965900</v>
      </c>
      <c r="G1194" s="2">
        <f t="shared" si="1"/>
        <v>8</v>
      </c>
    </row>
    <row r="1195" ht="15.75" customHeight="1">
      <c r="A1195" s="1">
        <f>IFERROR(__xludf.DUMMYFUNCTION("""COMPUTED_VALUE"""),45629.66666666667)</f>
        <v>45629.66667</v>
      </c>
      <c r="B1195" s="2">
        <f>IFERROR(__xludf.DUMMYFUNCTION("""COMPUTED_VALUE"""),444.0)</f>
        <v>444</v>
      </c>
      <c r="C1195" s="2">
        <f>IFERROR(__xludf.DUMMYFUNCTION("""COMPUTED_VALUE"""),446.0)</f>
        <v>446</v>
      </c>
      <c r="D1195" s="2">
        <f>IFERROR(__xludf.DUMMYFUNCTION("""COMPUTED_VALUE"""),440.0)</f>
        <v>440</v>
      </c>
      <c r="E1195" s="2">
        <f>IFERROR(__xludf.DUMMYFUNCTION("""COMPUTED_VALUE"""),444.0)</f>
        <v>444</v>
      </c>
      <c r="F1195" s="2">
        <f>IFERROR(__xludf.DUMMYFUNCTION("""COMPUTED_VALUE"""),8416100.0)</f>
        <v>8416100</v>
      </c>
      <c r="G1195" s="2">
        <f t="shared" si="1"/>
        <v>6</v>
      </c>
    </row>
    <row r="1196" ht="15.75" customHeight="1">
      <c r="A1196" s="1">
        <f>IFERROR(__xludf.DUMMYFUNCTION("""COMPUTED_VALUE"""),45630.66666666667)</f>
        <v>45630.66667</v>
      </c>
      <c r="B1196" s="2">
        <f>IFERROR(__xludf.DUMMYFUNCTION("""COMPUTED_VALUE"""),446.0)</f>
        <v>446</v>
      </c>
      <c r="C1196" s="2">
        <f>IFERROR(__xludf.DUMMYFUNCTION("""COMPUTED_VALUE"""),454.0)</f>
        <v>454</v>
      </c>
      <c r="D1196" s="2">
        <f>IFERROR(__xludf.DUMMYFUNCTION("""COMPUTED_VALUE"""),446.0)</f>
        <v>446</v>
      </c>
      <c r="E1196" s="2">
        <f>IFERROR(__xludf.DUMMYFUNCTION("""COMPUTED_VALUE"""),450.0)</f>
        <v>450</v>
      </c>
      <c r="F1196" s="2">
        <f>IFERROR(__xludf.DUMMYFUNCTION("""COMPUTED_VALUE"""),1.83244E7)</f>
        <v>18324400</v>
      </c>
      <c r="G1196" s="2">
        <f t="shared" si="1"/>
        <v>10</v>
      </c>
    </row>
    <row r="1197" ht="15.75" customHeight="1">
      <c r="A1197" s="1">
        <f>IFERROR(__xludf.DUMMYFUNCTION("""COMPUTED_VALUE"""),45631.66666666667)</f>
        <v>45631.66667</v>
      </c>
      <c r="B1197" s="2">
        <f>IFERROR(__xludf.DUMMYFUNCTION("""COMPUTED_VALUE"""),452.0)</f>
        <v>452</v>
      </c>
      <c r="C1197" s="2">
        <f>IFERROR(__xludf.DUMMYFUNCTION("""COMPUTED_VALUE"""),462.0)</f>
        <v>462</v>
      </c>
      <c r="D1197" s="2">
        <f>IFERROR(__xludf.DUMMYFUNCTION("""COMPUTED_VALUE"""),446.0)</f>
        <v>446</v>
      </c>
      <c r="E1197" s="2">
        <f>IFERROR(__xludf.DUMMYFUNCTION("""COMPUTED_VALUE"""),456.0)</f>
        <v>456</v>
      </c>
      <c r="F1197" s="2">
        <f>IFERROR(__xludf.DUMMYFUNCTION("""COMPUTED_VALUE"""),2.28207E7)</f>
        <v>22820700</v>
      </c>
      <c r="G1197" s="2">
        <f t="shared" si="1"/>
        <v>16</v>
      </c>
    </row>
    <row r="1198" ht="15.75" customHeight="1">
      <c r="A1198" s="1">
        <f>IFERROR(__xludf.DUMMYFUNCTION("""COMPUTED_VALUE"""),45632.66666666667)</f>
        <v>45632.66667</v>
      </c>
      <c r="B1198" s="2">
        <f>IFERROR(__xludf.DUMMYFUNCTION("""COMPUTED_VALUE"""),460.0)</f>
        <v>460</v>
      </c>
      <c r="C1198" s="2">
        <f>IFERROR(__xludf.DUMMYFUNCTION("""COMPUTED_VALUE"""),468.0)</f>
        <v>468</v>
      </c>
      <c r="D1198" s="2">
        <f>IFERROR(__xludf.DUMMYFUNCTION("""COMPUTED_VALUE"""),456.0)</f>
        <v>456</v>
      </c>
      <c r="E1198" s="2">
        <f>IFERROR(__xludf.DUMMYFUNCTION("""COMPUTED_VALUE"""),466.0)</f>
        <v>466</v>
      </c>
      <c r="F1198" s="2">
        <f>IFERROR(__xludf.DUMMYFUNCTION("""COMPUTED_VALUE"""),2.1931E7)</f>
        <v>21931000</v>
      </c>
      <c r="G1198" s="2">
        <f t="shared" si="1"/>
        <v>12</v>
      </c>
    </row>
    <row r="1199" ht="15.75" customHeight="1">
      <c r="A1199" s="1">
        <f>IFERROR(__xludf.DUMMYFUNCTION("""COMPUTED_VALUE"""),45635.66666666667)</f>
        <v>45635.66667</v>
      </c>
      <c r="B1199" s="2">
        <f>IFERROR(__xludf.DUMMYFUNCTION("""COMPUTED_VALUE"""),466.0)</f>
        <v>466</v>
      </c>
      <c r="C1199" s="2">
        <f>IFERROR(__xludf.DUMMYFUNCTION("""COMPUTED_VALUE"""),474.0)</f>
        <v>474</v>
      </c>
      <c r="D1199" s="2">
        <f>IFERROR(__xludf.DUMMYFUNCTION("""COMPUTED_VALUE"""),466.0)</f>
        <v>466</v>
      </c>
      <c r="E1199" s="2">
        <f>IFERROR(__xludf.DUMMYFUNCTION("""COMPUTED_VALUE"""),472.0)</f>
        <v>472</v>
      </c>
      <c r="F1199" s="2">
        <f>IFERROR(__xludf.DUMMYFUNCTION("""COMPUTED_VALUE"""),2.49261E7)</f>
        <v>24926100</v>
      </c>
      <c r="G1199" s="2">
        <f t="shared" si="1"/>
        <v>8</v>
      </c>
    </row>
    <row r="1200" ht="15.75" customHeight="1">
      <c r="A1200" s="1">
        <f>IFERROR(__xludf.DUMMYFUNCTION("""COMPUTED_VALUE"""),45636.66666666667)</f>
        <v>45636.66667</v>
      </c>
      <c r="B1200" s="2">
        <f>IFERROR(__xludf.DUMMYFUNCTION("""COMPUTED_VALUE"""),474.0)</f>
        <v>474</v>
      </c>
      <c r="C1200" s="2">
        <f>IFERROR(__xludf.DUMMYFUNCTION("""COMPUTED_VALUE"""),474.0)</f>
        <v>474</v>
      </c>
      <c r="D1200" s="2">
        <f>IFERROR(__xludf.DUMMYFUNCTION("""COMPUTED_VALUE"""),464.0)</f>
        <v>464</v>
      </c>
      <c r="E1200" s="2">
        <f>IFERROR(__xludf.DUMMYFUNCTION("""COMPUTED_VALUE"""),470.0)</f>
        <v>470</v>
      </c>
      <c r="F1200" s="2">
        <f>IFERROR(__xludf.DUMMYFUNCTION("""COMPUTED_VALUE"""),1.45796E7)</f>
        <v>14579600</v>
      </c>
      <c r="G1200" s="2">
        <f t="shared" si="1"/>
        <v>10</v>
      </c>
    </row>
    <row r="1201" ht="15.75" customHeight="1">
      <c r="A1201" s="1">
        <f>IFERROR(__xludf.DUMMYFUNCTION("""COMPUTED_VALUE"""),45637.66666666667)</f>
        <v>45637.66667</v>
      </c>
      <c r="B1201" s="2">
        <f>IFERROR(__xludf.DUMMYFUNCTION("""COMPUTED_VALUE"""),470.0)</f>
        <v>470</v>
      </c>
      <c r="C1201" s="2">
        <f>IFERROR(__xludf.DUMMYFUNCTION("""COMPUTED_VALUE"""),476.0)</f>
        <v>476</v>
      </c>
      <c r="D1201" s="2">
        <f>IFERROR(__xludf.DUMMYFUNCTION("""COMPUTED_VALUE"""),468.0)</f>
        <v>468</v>
      </c>
      <c r="E1201" s="2">
        <f>IFERROR(__xludf.DUMMYFUNCTION("""COMPUTED_VALUE"""),472.0)</f>
        <v>472</v>
      </c>
      <c r="F1201" s="2">
        <f>IFERROR(__xludf.DUMMYFUNCTION("""COMPUTED_VALUE"""),1.91774E7)</f>
        <v>19177400</v>
      </c>
      <c r="G1201" s="2">
        <f t="shared" si="1"/>
        <v>8</v>
      </c>
    </row>
    <row r="1202" ht="15.75" customHeight="1">
      <c r="A1202" s="1">
        <f>IFERROR(__xludf.DUMMYFUNCTION("""COMPUTED_VALUE"""),45638.66666666667)</f>
        <v>45638.66667</v>
      </c>
      <c r="B1202" s="2">
        <f>IFERROR(__xludf.DUMMYFUNCTION("""COMPUTED_VALUE"""),474.0)</f>
        <v>474</v>
      </c>
      <c r="C1202" s="2">
        <f>IFERROR(__xludf.DUMMYFUNCTION("""COMPUTED_VALUE"""),476.0)</f>
        <v>476</v>
      </c>
      <c r="D1202" s="2">
        <f>IFERROR(__xludf.DUMMYFUNCTION("""COMPUTED_VALUE"""),464.0)</f>
        <v>464</v>
      </c>
      <c r="E1202" s="2">
        <f>IFERROR(__xludf.DUMMYFUNCTION("""COMPUTED_VALUE"""),464.0)</f>
        <v>464</v>
      </c>
      <c r="F1202" s="2">
        <f>IFERROR(__xludf.DUMMYFUNCTION("""COMPUTED_VALUE"""),7740800.0)</f>
        <v>7740800</v>
      </c>
      <c r="G1202" s="2">
        <f t="shared" si="1"/>
        <v>12</v>
      </c>
    </row>
    <row r="1203" ht="15.75" customHeight="1">
      <c r="A1203" s="1">
        <f>IFERROR(__xludf.DUMMYFUNCTION("""COMPUTED_VALUE"""),45639.66666666667)</f>
        <v>45639.66667</v>
      </c>
      <c r="B1203" s="2">
        <f>IFERROR(__xludf.DUMMYFUNCTION("""COMPUTED_VALUE"""),468.0)</f>
        <v>468</v>
      </c>
      <c r="C1203" s="2">
        <f>IFERROR(__xludf.DUMMYFUNCTION("""COMPUTED_VALUE"""),468.0)</f>
        <v>468</v>
      </c>
      <c r="D1203" s="2">
        <f>IFERROR(__xludf.DUMMYFUNCTION("""COMPUTED_VALUE"""),460.0)</f>
        <v>460</v>
      </c>
      <c r="E1203" s="2">
        <f>IFERROR(__xludf.DUMMYFUNCTION("""COMPUTED_VALUE"""),462.0)</f>
        <v>462</v>
      </c>
      <c r="F1203" s="2">
        <f>IFERROR(__xludf.DUMMYFUNCTION("""COMPUTED_VALUE"""),6169400.0)</f>
        <v>6169400</v>
      </c>
      <c r="G1203" s="2">
        <f t="shared" si="1"/>
        <v>8</v>
      </c>
    </row>
    <row r="1204" ht="15.75" customHeight="1">
      <c r="A1204" s="1">
        <f>IFERROR(__xludf.DUMMYFUNCTION("""COMPUTED_VALUE"""),45642.66666666667)</f>
        <v>45642.66667</v>
      </c>
      <c r="B1204" s="2">
        <f>IFERROR(__xludf.DUMMYFUNCTION("""COMPUTED_VALUE"""),462.0)</f>
        <v>462</v>
      </c>
      <c r="C1204" s="2">
        <f>IFERROR(__xludf.DUMMYFUNCTION("""COMPUTED_VALUE"""),464.0)</f>
        <v>464</v>
      </c>
      <c r="D1204" s="2">
        <f>IFERROR(__xludf.DUMMYFUNCTION("""COMPUTED_VALUE"""),450.0)</f>
        <v>450</v>
      </c>
      <c r="E1204" s="2">
        <f>IFERROR(__xludf.DUMMYFUNCTION("""COMPUTED_VALUE"""),452.0)</f>
        <v>452</v>
      </c>
      <c r="F1204" s="2">
        <f>IFERROR(__xludf.DUMMYFUNCTION("""COMPUTED_VALUE"""),1.54377E7)</f>
        <v>15437700</v>
      </c>
      <c r="G1204" s="2">
        <f t="shared" si="1"/>
        <v>14</v>
      </c>
    </row>
    <row r="1205" ht="15.75" customHeight="1">
      <c r="A1205" s="1">
        <f>IFERROR(__xludf.DUMMYFUNCTION("""COMPUTED_VALUE"""),45643.66666666667)</f>
        <v>45643.66667</v>
      </c>
      <c r="B1205" s="2">
        <f>IFERROR(__xludf.DUMMYFUNCTION("""COMPUTED_VALUE"""),452.0)</f>
        <v>452</v>
      </c>
      <c r="C1205" s="2">
        <f>IFERROR(__xludf.DUMMYFUNCTION("""COMPUTED_VALUE"""),458.0)</f>
        <v>458</v>
      </c>
      <c r="D1205" s="2">
        <f>IFERROR(__xludf.DUMMYFUNCTION("""COMPUTED_VALUE"""),442.0)</f>
        <v>442</v>
      </c>
      <c r="E1205" s="2">
        <f>IFERROR(__xludf.DUMMYFUNCTION("""COMPUTED_VALUE"""),442.0)</f>
        <v>442</v>
      </c>
      <c r="F1205" s="2">
        <f>IFERROR(__xludf.DUMMYFUNCTION("""COMPUTED_VALUE"""),9489600.0)</f>
        <v>9489600</v>
      </c>
      <c r="G1205" s="2">
        <f t="shared" si="1"/>
        <v>16</v>
      </c>
    </row>
    <row r="1206" ht="15.75" customHeight="1">
      <c r="A1206" s="1">
        <f>IFERROR(__xludf.DUMMYFUNCTION("""COMPUTED_VALUE"""),45644.66666666667)</f>
        <v>45644.66667</v>
      </c>
      <c r="B1206" s="2">
        <f>IFERROR(__xludf.DUMMYFUNCTION("""COMPUTED_VALUE"""),442.0)</f>
        <v>442</v>
      </c>
      <c r="C1206" s="2">
        <f>IFERROR(__xludf.DUMMYFUNCTION("""COMPUTED_VALUE"""),446.0)</f>
        <v>446</v>
      </c>
      <c r="D1206" s="2">
        <f>IFERROR(__xludf.DUMMYFUNCTION("""COMPUTED_VALUE"""),440.0)</f>
        <v>440</v>
      </c>
      <c r="E1206" s="2">
        <f>IFERROR(__xludf.DUMMYFUNCTION("""COMPUTED_VALUE"""),440.0)</f>
        <v>440</v>
      </c>
      <c r="F1206" s="2">
        <f>IFERROR(__xludf.DUMMYFUNCTION("""COMPUTED_VALUE"""),5572600.0)</f>
        <v>5572600</v>
      </c>
      <c r="G1206" s="2">
        <f t="shared" si="1"/>
        <v>6</v>
      </c>
    </row>
    <row r="1207" ht="15.75" customHeight="1">
      <c r="A1207" s="1">
        <f>IFERROR(__xludf.DUMMYFUNCTION("""COMPUTED_VALUE"""),45645.66666666667)</f>
        <v>45645.66667</v>
      </c>
      <c r="B1207" s="2">
        <f>IFERROR(__xludf.DUMMYFUNCTION("""COMPUTED_VALUE"""),438.0)</f>
        <v>438</v>
      </c>
      <c r="C1207" s="2">
        <f>IFERROR(__xludf.DUMMYFUNCTION("""COMPUTED_VALUE"""),438.0)</f>
        <v>438</v>
      </c>
      <c r="D1207" s="2">
        <f>IFERROR(__xludf.DUMMYFUNCTION("""COMPUTED_VALUE"""),424.0)</f>
        <v>424</v>
      </c>
      <c r="E1207" s="2">
        <f>IFERROR(__xludf.DUMMYFUNCTION("""COMPUTED_VALUE"""),428.0)</f>
        <v>428</v>
      </c>
      <c r="F1207" s="2">
        <f>IFERROR(__xludf.DUMMYFUNCTION("""COMPUTED_VALUE"""),1.87346E7)</f>
        <v>18734600</v>
      </c>
      <c r="G1207" s="2">
        <f t="shared" si="1"/>
        <v>16</v>
      </c>
    </row>
    <row r="1208" ht="15.75" customHeight="1">
      <c r="A1208" s="1">
        <f>IFERROR(__xludf.DUMMYFUNCTION("""COMPUTED_VALUE"""),45646.66666666667)</f>
        <v>45646.66667</v>
      </c>
      <c r="B1208" s="2">
        <f>IFERROR(__xludf.DUMMYFUNCTION("""COMPUTED_VALUE"""),428.0)</f>
        <v>428</v>
      </c>
      <c r="C1208" s="2">
        <f>IFERROR(__xludf.DUMMYFUNCTION("""COMPUTED_VALUE"""),438.0)</f>
        <v>438</v>
      </c>
      <c r="D1208" s="2">
        <f>IFERROR(__xludf.DUMMYFUNCTION("""COMPUTED_VALUE"""),426.0)</f>
        <v>426</v>
      </c>
      <c r="E1208" s="2">
        <f>IFERROR(__xludf.DUMMYFUNCTION("""COMPUTED_VALUE"""),434.0)</f>
        <v>434</v>
      </c>
      <c r="F1208" s="2">
        <f>IFERROR(__xludf.DUMMYFUNCTION("""COMPUTED_VALUE"""),8088800.0)</f>
        <v>8088800</v>
      </c>
      <c r="G1208" s="2">
        <f t="shared" si="1"/>
        <v>12</v>
      </c>
    </row>
    <row r="1209" ht="15.75" customHeight="1">
      <c r="A1209" s="1">
        <f>IFERROR(__xludf.DUMMYFUNCTION("""COMPUTED_VALUE"""),45649.66666666667)</f>
        <v>45649.66667</v>
      </c>
      <c r="B1209" s="2">
        <f>IFERROR(__xludf.DUMMYFUNCTION("""COMPUTED_VALUE"""),434.0)</f>
        <v>434</v>
      </c>
      <c r="C1209" s="2">
        <f>IFERROR(__xludf.DUMMYFUNCTION("""COMPUTED_VALUE"""),438.0)</f>
        <v>438</v>
      </c>
      <c r="D1209" s="2">
        <f>IFERROR(__xludf.DUMMYFUNCTION("""COMPUTED_VALUE"""),430.0)</f>
        <v>430</v>
      </c>
      <c r="E1209" s="2">
        <f>IFERROR(__xludf.DUMMYFUNCTION("""COMPUTED_VALUE"""),432.0)</f>
        <v>432</v>
      </c>
      <c r="F1209" s="2">
        <f>IFERROR(__xludf.DUMMYFUNCTION("""COMPUTED_VALUE"""),6559000.0)</f>
        <v>6559000</v>
      </c>
      <c r="G1209" s="2">
        <f t="shared" si="1"/>
        <v>8</v>
      </c>
    </row>
    <row r="1210" ht="15.75" customHeight="1">
      <c r="A1210" s="1">
        <f>IFERROR(__xludf.DUMMYFUNCTION("""COMPUTED_VALUE"""),45650.66666666667)</f>
        <v>45650.66667</v>
      </c>
      <c r="B1210" s="2">
        <f>IFERROR(__xludf.DUMMYFUNCTION("""COMPUTED_VALUE"""),432.0)</f>
        <v>432</v>
      </c>
      <c r="C1210" s="2">
        <f>IFERROR(__xludf.DUMMYFUNCTION("""COMPUTED_VALUE"""),434.0)</f>
        <v>434</v>
      </c>
      <c r="D1210" s="2">
        <f>IFERROR(__xludf.DUMMYFUNCTION("""COMPUTED_VALUE"""),428.0)</f>
        <v>428</v>
      </c>
      <c r="E1210" s="2">
        <f>IFERROR(__xludf.DUMMYFUNCTION("""COMPUTED_VALUE"""),430.0)</f>
        <v>430</v>
      </c>
      <c r="F1210" s="2">
        <f>IFERROR(__xludf.DUMMYFUNCTION("""COMPUTED_VALUE"""),8960700.0)</f>
        <v>8960700</v>
      </c>
      <c r="G1210" s="2">
        <f t="shared" si="1"/>
        <v>6</v>
      </c>
    </row>
    <row r="1211" ht="15.75" customHeight="1">
      <c r="A1211" s="1">
        <f>IFERROR(__xludf.DUMMYFUNCTION("""COMPUTED_VALUE"""),45653.66666666667)</f>
        <v>45653.66667</v>
      </c>
      <c r="B1211" s="2">
        <f>IFERROR(__xludf.DUMMYFUNCTION("""COMPUTED_VALUE"""),430.0)</f>
        <v>430</v>
      </c>
      <c r="C1211" s="2">
        <f>IFERROR(__xludf.DUMMYFUNCTION("""COMPUTED_VALUE"""),438.0)</f>
        <v>438</v>
      </c>
      <c r="D1211" s="2">
        <f>IFERROR(__xludf.DUMMYFUNCTION("""COMPUTED_VALUE"""),428.0)</f>
        <v>428</v>
      </c>
      <c r="E1211" s="2">
        <f>IFERROR(__xludf.DUMMYFUNCTION("""COMPUTED_VALUE"""),434.0)</f>
        <v>434</v>
      </c>
      <c r="F1211" s="2">
        <f>IFERROR(__xludf.DUMMYFUNCTION("""COMPUTED_VALUE"""),6523300.0)</f>
        <v>6523300</v>
      </c>
      <c r="G1211" s="2">
        <f t="shared" si="1"/>
        <v>10</v>
      </c>
    </row>
    <row r="1212" ht="15.75" customHeight="1">
      <c r="A1212" s="1">
        <f>IFERROR(__xludf.DUMMYFUNCTION("""COMPUTED_VALUE"""),45656.66666666667)</f>
        <v>45656.66667</v>
      </c>
      <c r="B1212" s="2">
        <f>IFERROR(__xludf.DUMMYFUNCTION("""COMPUTED_VALUE"""),432.0)</f>
        <v>432</v>
      </c>
      <c r="C1212" s="2">
        <f>IFERROR(__xludf.DUMMYFUNCTION("""COMPUTED_VALUE"""),442.0)</f>
        <v>442</v>
      </c>
      <c r="D1212" s="2">
        <f>IFERROR(__xludf.DUMMYFUNCTION("""COMPUTED_VALUE"""),432.0)</f>
        <v>432</v>
      </c>
      <c r="E1212" s="2">
        <f>IFERROR(__xludf.DUMMYFUNCTION("""COMPUTED_VALUE"""),432.0)</f>
        <v>432</v>
      </c>
      <c r="F1212" s="2">
        <f>IFERROR(__xludf.DUMMYFUNCTION("""COMPUTED_VALUE"""),9207400.0)</f>
        <v>9207400</v>
      </c>
      <c r="G1212" s="2">
        <f t="shared" si="1"/>
        <v>10</v>
      </c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7" width="12.63"/>
  </cols>
  <sheetData>
    <row r="1" ht="15.75" customHeight="1">
      <c r="A1" s="1" t="str">
        <f>IFERROR(__xludf.DUMMYFUNCTION("GOOGLEFINANCE(""IDX:JSMR"", ""all"", DATE(2020,1,1), DATE(2025,1,1), ""DAILY"")
"),"Date")</f>
        <v>Date</v>
      </c>
      <c r="B1" s="2" t="str">
        <f>IFERROR(__xludf.DUMMYFUNCTION("""COMPUTED_VALUE"""),"Open")</f>
        <v>Open</v>
      </c>
      <c r="C1" s="2" t="str">
        <f>IFERROR(__xludf.DUMMYFUNCTION("""COMPUTED_VALUE"""),"High")</f>
        <v>High</v>
      </c>
      <c r="D1" s="2" t="str">
        <f>IFERROR(__xludf.DUMMYFUNCTION("""COMPUTED_VALUE"""),"Low")</f>
        <v>Low</v>
      </c>
      <c r="E1" s="2" t="str">
        <f>IFERROR(__xludf.DUMMYFUNCTION("""COMPUTED_VALUE"""),"Close")</f>
        <v>Close</v>
      </c>
      <c r="F1" s="2" t="str">
        <f>IFERROR(__xludf.DUMMYFUNCTION("""COMPUTED_VALUE"""),"Volume")</f>
        <v>Volume</v>
      </c>
      <c r="G1" s="3" t="s">
        <v>0</v>
      </c>
    </row>
    <row r="2" ht="15.75" customHeight="1">
      <c r="A2" s="1">
        <f>IFERROR(__xludf.DUMMYFUNCTION("""COMPUTED_VALUE"""),43832.66666666667)</f>
        <v>43832.66667</v>
      </c>
      <c r="B2" s="2">
        <f>IFERROR(__xludf.DUMMYFUNCTION("""COMPUTED_VALUE"""),5225.0)</f>
        <v>5225</v>
      </c>
      <c r="C2" s="2">
        <f>IFERROR(__xludf.DUMMYFUNCTION("""COMPUTED_VALUE"""),5250.0)</f>
        <v>5250</v>
      </c>
      <c r="D2" s="2">
        <f>IFERROR(__xludf.DUMMYFUNCTION("""COMPUTED_VALUE"""),5175.0)</f>
        <v>5175</v>
      </c>
      <c r="E2" s="2">
        <f>IFERROR(__xludf.DUMMYFUNCTION("""COMPUTED_VALUE"""),5175.0)</f>
        <v>5175</v>
      </c>
      <c r="F2" s="2">
        <f>IFERROR(__xludf.DUMMYFUNCTION("""COMPUTED_VALUE"""),816700.0)</f>
        <v>816700</v>
      </c>
      <c r="G2" s="2"/>
    </row>
    <row r="3" ht="15.75" customHeight="1">
      <c r="A3" s="1">
        <f>IFERROR(__xludf.DUMMYFUNCTION("""COMPUTED_VALUE"""),43833.66666666667)</f>
        <v>43833.66667</v>
      </c>
      <c r="B3" s="2">
        <f>IFERROR(__xludf.DUMMYFUNCTION("""COMPUTED_VALUE"""),5175.0)</f>
        <v>5175</v>
      </c>
      <c r="C3" s="2">
        <f>IFERROR(__xludf.DUMMYFUNCTION("""COMPUTED_VALUE"""),5275.0)</f>
        <v>5275</v>
      </c>
      <c r="D3" s="2">
        <f>IFERROR(__xludf.DUMMYFUNCTION("""COMPUTED_VALUE"""),5175.0)</f>
        <v>5175</v>
      </c>
      <c r="E3" s="2">
        <f>IFERROR(__xludf.DUMMYFUNCTION("""COMPUTED_VALUE"""),5250.0)</f>
        <v>5250</v>
      </c>
      <c r="F3" s="2">
        <f>IFERROR(__xludf.DUMMYFUNCTION("""COMPUTED_VALUE"""),1525900.0)</f>
        <v>1525900</v>
      </c>
      <c r="G3" s="2">
        <f t="shared" ref="G3:G1212" si="1">MAX(C3-D3, ABS(C3-E2), ABS(D3-E2))</f>
        <v>100</v>
      </c>
    </row>
    <row r="4" ht="15.75" customHeight="1">
      <c r="A4" s="1">
        <f>IFERROR(__xludf.DUMMYFUNCTION("""COMPUTED_VALUE"""),43836.66666666667)</f>
        <v>43836.66667</v>
      </c>
      <c r="B4" s="2">
        <f>IFERROR(__xludf.DUMMYFUNCTION("""COMPUTED_VALUE"""),5250.0)</f>
        <v>5250</v>
      </c>
      <c r="C4" s="2">
        <f>IFERROR(__xludf.DUMMYFUNCTION("""COMPUTED_VALUE"""),5250.0)</f>
        <v>5250</v>
      </c>
      <c r="D4" s="2">
        <f>IFERROR(__xludf.DUMMYFUNCTION("""COMPUTED_VALUE"""),5175.0)</f>
        <v>5175</v>
      </c>
      <c r="E4" s="2">
        <f>IFERROR(__xludf.DUMMYFUNCTION("""COMPUTED_VALUE"""),5175.0)</f>
        <v>5175</v>
      </c>
      <c r="F4" s="2">
        <f>IFERROR(__xludf.DUMMYFUNCTION("""COMPUTED_VALUE"""),1855300.0)</f>
        <v>1855300</v>
      </c>
      <c r="G4" s="2">
        <f t="shared" si="1"/>
        <v>75</v>
      </c>
    </row>
    <row r="5" ht="15.75" customHeight="1">
      <c r="A5" s="1">
        <f>IFERROR(__xludf.DUMMYFUNCTION("""COMPUTED_VALUE"""),43837.66666666667)</f>
        <v>43837.66667</v>
      </c>
      <c r="B5" s="2">
        <f>IFERROR(__xludf.DUMMYFUNCTION("""COMPUTED_VALUE"""),5175.0)</f>
        <v>5175</v>
      </c>
      <c r="C5" s="2">
        <f>IFERROR(__xludf.DUMMYFUNCTION("""COMPUTED_VALUE"""),5275.0)</f>
        <v>5275</v>
      </c>
      <c r="D5" s="2">
        <f>IFERROR(__xludf.DUMMYFUNCTION("""COMPUTED_VALUE"""),5025.0)</f>
        <v>5025</v>
      </c>
      <c r="E5" s="2">
        <f>IFERROR(__xludf.DUMMYFUNCTION("""COMPUTED_VALUE"""),5075.0)</f>
        <v>5075</v>
      </c>
      <c r="F5" s="2">
        <f>IFERROR(__xludf.DUMMYFUNCTION("""COMPUTED_VALUE"""),3912800.0)</f>
        <v>3912800</v>
      </c>
      <c r="G5" s="2">
        <f t="shared" si="1"/>
        <v>250</v>
      </c>
    </row>
    <row r="6" ht="15.75" customHeight="1">
      <c r="A6" s="1">
        <f>IFERROR(__xludf.DUMMYFUNCTION("""COMPUTED_VALUE"""),43838.66666666667)</f>
        <v>43838.66667</v>
      </c>
      <c r="B6" s="2">
        <f>IFERROR(__xludf.DUMMYFUNCTION("""COMPUTED_VALUE"""),5025.0)</f>
        <v>5025</v>
      </c>
      <c r="C6" s="2">
        <f>IFERROR(__xludf.DUMMYFUNCTION("""COMPUTED_VALUE"""),5125.0)</f>
        <v>5125</v>
      </c>
      <c r="D6" s="2">
        <f>IFERROR(__xludf.DUMMYFUNCTION("""COMPUTED_VALUE"""),5025.0)</f>
        <v>5025</v>
      </c>
      <c r="E6" s="2">
        <f>IFERROR(__xludf.DUMMYFUNCTION("""COMPUTED_VALUE"""),5075.0)</f>
        <v>5075</v>
      </c>
      <c r="F6" s="2">
        <f>IFERROR(__xludf.DUMMYFUNCTION("""COMPUTED_VALUE"""),1432800.0)</f>
        <v>1432800</v>
      </c>
      <c r="G6" s="2">
        <f t="shared" si="1"/>
        <v>100</v>
      </c>
    </row>
    <row r="7" ht="15.75" customHeight="1">
      <c r="A7" s="1">
        <f>IFERROR(__xludf.DUMMYFUNCTION("""COMPUTED_VALUE"""),43839.66666666667)</f>
        <v>43839.66667</v>
      </c>
      <c r="B7" s="2">
        <f>IFERROR(__xludf.DUMMYFUNCTION("""COMPUTED_VALUE"""),5100.0)</f>
        <v>5100</v>
      </c>
      <c r="C7" s="2">
        <f>IFERROR(__xludf.DUMMYFUNCTION("""COMPUTED_VALUE"""),5150.0)</f>
        <v>5150</v>
      </c>
      <c r="D7" s="2">
        <f>IFERROR(__xludf.DUMMYFUNCTION("""COMPUTED_VALUE"""),5025.0)</f>
        <v>5025</v>
      </c>
      <c r="E7" s="2">
        <f>IFERROR(__xludf.DUMMYFUNCTION("""COMPUTED_VALUE"""),5100.0)</f>
        <v>5100</v>
      </c>
      <c r="F7" s="2">
        <f>IFERROR(__xludf.DUMMYFUNCTION("""COMPUTED_VALUE"""),2404600.0)</f>
        <v>2404600</v>
      </c>
      <c r="G7" s="2">
        <f t="shared" si="1"/>
        <v>125</v>
      </c>
    </row>
    <row r="8" ht="15.75" customHeight="1">
      <c r="A8" s="1">
        <f>IFERROR(__xludf.DUMMYFUNCTION("""COMPUTED_VALUE"""),43840.66666666667)</f>
        <v>43840.66667</v>
      </c>
      <c r="B8" s="2">
        <f>IFERROR(__xludf.DUMMYFUNCTION("""COMPUTED_VALUE"""),5100.0)</f>
        <v>5100</v>
      </c>
      <c r="C8" s="2">
        <f>IFERROR(__xludf.DUMMYFUNCTION("""COMPUTED_VALUE"""),5225.0)</f>
        <v>5225</v>
      </c>
      <c r="D8" s="2">
        <f>IFERROR(__xludf.DUMMYFUNCTION("""COMPUTED_VALUE"""),5075.0)</f>
        <v>5075</v>
      </c>
      <c r="E8" s="2">
        <f>IFERROR(__xludf.DUMMYFUNCTION("""COMPUTED_VALUE"""),5200.0)</f>
        <v>5200</v>
      </c>
      <c r="F8" s="2">
        <f>IFERROR(__xludf.DUMMYFUNCTION("""COMPUTED_VALUE"""),3507200.0)</f>
        <v>3507200</v>
      </c>
      <c r="G8" s="2">
        <f t="shared" si="1"/>
        <v>150</v>
      </c>
    </row>
    <row r="9" ht="15.75" customHeight="1">
      <c r="A9" s="1">
        <f>IFERROR(__xludf.DUMMYFUNCTION("""COMPUTED_VALUE"""),43843.66666666667)</f>
        <v>43843.66667</v>
      </c>
      <c r="B9" s="2">
        <f>IFERROR(__xludf.DUMMYFUNCTION("""COMPUTED_VALUE"""),5200.0)</f>
        <v>5200</v>
      </c>
      <c r="C9" s="2">
        <f>IFERROR(__xludf.DUMMYFUNCTION("""COMPUTED_VALUE"""),5250.0)</f>
        <v>5250</v>
      </c>
      <c r="D9" s="2">
        <f>IFERROR(__xludf.DUMMYFUNCTION("""COMPUTED_VALUE"""),5200.0)</f>
        <v>5200</v>
      </c>
      <c r="E9" s="2">
        <f>IFERROR(__xludf.DUMMYFUNCTION("""COMPUTED_VALUE"""),5225.0)</f>
        <v>5225</v>
      </c>
      <c r="F9" s="2">
        <f>IFERROR(__xludf.DUMMYFUNCTION("""COMPUTED_VALUE"""),3552200.0)</f>
        <v>3552200</v>
      </c>
      <c r="G9" s="2">
        <f t="shared" si="1"/>
        <v>50</v>
      </c>
    </row>
    <row r="10" ht="15.75" customHeight="1">
      <c r="A10" s="1">
        <f>IFERROR(__xludf.DUMMYFUNCTION("""COMPUTED_VALUE"""),43844.66666666667)</f>
        <v>43844.66667</v>
      </c>
      <c r="B10" s="2">
        <f>IFERROR(__xludf.DUMMYFUNCTION("""COMPUTED_VALUE"""),5200.0)</f>
        <v>5200</v>
      </c>
      <c r="C10" s="2">
        <f>IFERROR(__xludf.DUMMYFUNCTION("""COMPUTED_VALUE"""),5250.0)</f>
        <v>5250</v>
      </c>
      <c r="D10" s="2">
        <f>IFERROR(__xludf.DUMMYFUNCTION("""COMPUTED_VALUE"""),5150.0)</f>
        <v>5150</v>
      </c>
      <c r="E10" s="2">
        <f>IFERROR(__xludf.DUMMYFUNCTION("""COMPUTED_VALUE"""),5250.0)</f>
        <v>5250</v>
      </c>
      <c r="F10" s="2">
        <f>IFERROR(__xludf.DUMMYFUNCTION("""COMPUTED_VALUE"""),2939800.0)</f>
        <v>2939800</v>
      </c>
      <c r="G10" s="2">
        <f t="shared" si="1"/>
        <v>100</v>
      </c>
    </row>
    <row r="11" ht="15.75" customHeight="1">
      <c r="A11" s="1">
        <f>IFERROR(__xludf.DUMMYFUNCTION("""COMPUTED_VALUE"""),43845.66666666667)</f>
        <v>43845.66667</v>
      </c>
      <c r="B11" s="2">
        <f>IFERROR(__xludf.DUMMYFUNCTION("""COMPUTED_VALUE"""),5225.0)</f>
        <v>5225</v>
      </c>
      <c r="C11" s="2">
        <f>IFERROR(__xludf.DUMMYFUNCTION("""COMPUTED_VALUE"""),5225.0)</f>
        <v>5225</v>
      </c>
      <c r="D11" s="2">
        <f>IFERROR(__xludf.DUMMYFUNCTION("""COMPUTED_VALUE"""),5100.0)</f>
        <v>5100</v>
      </c>
      <c r="E11" s="2">
        <f>IFERROR(__xludf.DUMMYFUNCTION("""COMPUTED_VALUE"""),5175.0)</f>
        <v>5175</v>
      </c>
      <c r="F11" s="2">
        <f>IFERROR(__xludf.DUMMYFUNCTION("""COMPUTED_VALUE"""),3343500.0)</f>
        <v>3343500</v>
      </c>
      <c r="G11" s="2">
        <f t="shared" si="1"/>
        <v>150</v>
      </c>
    </row>
    <row r="12" ht="15.75" customHeight="1">
      <c r="A12" s="1">
        <f>IFERROR(__xludf.DUMMYFUNCTION("""COMPUTED_VALUE"""),43846.66666666667)</f>
        <v>43846.66667</v>
      </c>
      <c r="B12" s="2">
        <f>IFERROR(__xludf.DUMMYFUNCTION("""COMPUTED_VALUE"""),5175.0)</f>
        <v>5175</v>
      </c>
      <c r="C12" s="2">
        <f>IFERROR(__xludf.DUMMYFUNCTION("""COMPUTED_VALUE"""),5225.0)</f>
        <v>5225</v>
      </c>
      <c r="D12" s="2">
        <f>IFERROR(__xludf.DUMMYFUNCTION("""COMPUTED_VALUE"""),5150.0)</f>
        <v>5150</v>
      </c>
      <c r="E12" s="2">
        <f>IFERROR(__xludf.DUMMYFUNCTION("""COMPUTED_VALUE"""),5225.0)</f>
        <v>5225</v>
      </c>
      <c r="F12" s="2">
        <f>IFERROR(__xludf.DUMMYFUNCTION("""COMPUTED_VALUE"""),3145900.0)</f>
        <v>3145900</v>
      </c>
      <c r="G12" s="2">
        <f t="shared" si="1"/>
        <v>75</v>
      </c>
    </row>
    <row r="13" ht="15.75" customHeight="1">
      <c r="A13" s="1">
        <f>IFERROR(__xludf.DUMMYFUNCTION("""COMPUTED_VALUE"""),43847.66666666667)</f>
        <v>43847.66667</v>
      </c>
      <c r="B13" s="2">
        <f>IFERROR(__xludf.DUMMYFUNCTION("""COMPUTED_VALUE"""),5225.0)</f>
        <v>5225</v>
      </c>
      <c r="C13" s="2">
        <f>IFERROR(__xludf.DUMMYFUNCTION("""COMPUTED_VALUE"""),5225.0)</f>
        <v>5225</v>
      </c>
      <c r="D13" s="2">
        <f>IFERROR(__xludf.DUMMYFUNCTION("""COMPUTED_VALUE"""),5125.0)</f>
        <v>5125</v>
      </c>
      <c r="E13" s="2">
        <f>IFERROR(__xludf.DUMMYFUNCTION("""COMPUTED_VALUE"""),5175.0)</f>
        <v>5175</v>
      </c>
      <c r="F13" s="2">
        <f>IFERROR(__xludf.DUMMYFUNCTION("""COMPUTED_VALUE"""),3100700.0)</f>
        <v>3100700</v>
      </c>
      <c r="G13" s="2">
        <f t="shared" si="1"/>
        <v>100</v>
      </c>
    </row>
    <row r="14" ht="15.75" customHeight="1">
      <c r="A14" s="1">
        <f>IFERROR(__xludf.DUMMYFUNCTION("""COMPUTED_VALUE"""),43850.66666666667)</f>
        <v>43850.66667</v>
      </c>
      <c r="B14" s="2">
        <f>IFERROR(__xludf.DUMMYFUNCTION("""COMPUTED_VALUE"""),5200.0)</f>
        <v>5200</v>
      </c>
      <c r="C14" s="2">
        <f>IFERROR(__xludf.DUMMYFUNCTION("""COMPUTED_VALUE"""),5200.0)</f>
        <v>5200</v>
      </c>
      <c r="D14" s="2">
        <f>IFERROR(__xludf.DUMMYFUNCTION("""COMPUTED_VALUE"""),4920.0)</f>
        <v>4920</v>
      </c>
      <c r="E14" s="2">
        <f>IFERROR(__xludf.DUMMYFUNCTION("""COMPUTED_VALUE"""),5050.0)</f>
        <v>5050</v>
      </c>
      <c r="F14" s="2">
        <f>IFERROR(__xludf.DUMMYFUNCTION("""COMPUTED_VALUE"""),6970900.0)</f>
        <v>6970900</v>
      </c>
      <c r="G14" s="2">
        <f t="shared" si="1"/>
        <v>280</v>
      </c>
    </row>
    <row r="15" ht="15.75" customHeight="1">
      <c r="A15" s="1">
        <f>IFERROR(__xludf.DUMMYFUNCTION("""COMPUTED_VALUE"""),43851.66666666667)</f>
        <v>43851.66667</v>
      </c>
      <c r="B15" s="2">
        <f>IFERROR(__xludf.DUMMYFUNCTION("""COMPUTED_VALUE"""),5000.0)</f>
        <v>5000</v>
      </c>
      <c r="C15" s="2">
        <f>IFERROR(__xludf.DUMMYFUNCTION("""COMPUTED_VALUE"""),5075.0)</f>
        <v>5075</v>
      </c>
      <c r="D15" s="2">
        <f>IFERROR(__xludf.DUMMYFUNCTION("""COMPUTED_VALUE"""),4960.0)</f>
        <v>4960</v>
      </c>
      <c r="E15" s="2">
        <f>IFERROR(__xludf.DUMMYFUNCTION("""COMPUTED_VALUE"""),5075.0)</f>
        <v>5075</v>
      </c>
      <c r="F15" s="2">
        <f>IFERROR(__xludf.DUMMYFUNCTION("""COMPUTED_VALUE"""),2220500.0)</f>
        <v>2220500</v>
      </c>
      <c r="G15" s="2">
        <f t="shared" si="1"/>
        <v>115</v>
      </c>
    </row>
    <row r="16" ht="15.75" customHeight="1">
      <c r="A16" s="1">
        <f>IFERROR(__xludf.DUMMYFUNCTION("""COMPUTED_VALUE"""),43852.66666666667)</f>
        <v>43852.66667</v>
      </c>
      <c r="B16" s="2">
        <f>IFERROR(__xludf.DUMMYFUNCTION("""COMPUTED_VALUE"""),5000.0)</f>
        <v>5000</v>
      </c>
      <c r="C16" s="2">
        <f>IFERROR(__xludf.DUMMYFUNCTION("""COMPUTED_VALUE"""),5075.0)</f>
        <v>5075</v>
      </c>
      <c r="D16" s="2">
        <f>IFERROR(__xludf.DUMMYFUNCTION("""COMPUTED_VALUE"""),4880.0)</f>
        <v>4880</v>
      </c>
      <c r="E16" s="2">
        <f>IFERROR(__xludf.DUMMYFUNCTION("""COMPUTED_VALUE"""),4970.0)</f>
        <v>4970</v>
      </c>
      <c r="F16" s="2">
        <f>IFERROR(__xludf.DUMMYFUNCTION("""COMPUTED_VALUE"""),4971600.0)</f>
        <v>4971600</v>
      </c>
      <c r="G16" s="2">
        <f t="shared" si="1"/>
        <v>195</v>
      </c>
    </row>
    <row r="17" ht="15.75" customHeight="1">
      <c r="A17" s="1">
        <f>IFERROR(__xludf.DUMMYFUNCTION("""COMPUTED_VALUE"""),43853.66666666667)</f>
        <v>43853.66667</v>
      </c>
      <c r="B17" s="2">
        <f>IFERROR(__xludf.DUMMYFUNCTION("""COMPUTED_VALUE"""),4970.0)</f>
        <v>4970</v>
      </c>
      <c r="C17" s="2">
        <f>IFERROR(__xludf.DUMMYFUNCTION("""COMPUTED_VALUE"""),5050.0)</f>
        <v>5050</v>
      </c>
      <c r="D17" s="2">
        <f>IFERROR(__xludf.DUMMYFUNCTION("""COMPUTED_VALUE"""),4890.0)</f>
        <v>4890</v>
      </c>
      <c r="E17" s="2">
        <f>IFERROR(__xludf.DUMMYFUNCTION("""COMPUTED_VALUE"""),5050.0)</f>
        <v>5050</v>
      </c>
      <c r="F17" s="2">
        <f>IFERROR(__xludf.DUMMYFUNCTION("""COMPUTED_VALUE"""),2552000.0)</f>
        <v>2552000</v>
      </c>
      <c r="G17" s="2">
        <f t="shared" si="1"/>
        <v>160</v>
      </c>
    </row>
    <row r="18" ht="15.75" customHeight="1">
      <c r="A18" s="1">
        <f>IFERROR(__xludf.DUMMYFUNCTION("""COMPUTED_VALUE"""),43854.66666666667)</f>
        <v>43854.66667</v>
      </c>
      <c r="B18" s="2">
        <f>IFERROR(__xludf.DUMMYFUNCTION("""COMPUTED_VALUE"""),4930.0)</f>
        <v>4930</v>
      </c>
      <c r="C18" s="2">
        <f>IFERROR(__xludf.DUMMYFUNCTION("""COMPUTED_VALUE"""),5100.0)</f>
        <v>5100</v>
      </c>
      <c r="D18" s="2">
        <f>IFERROR(__xludf.DUMMYFUNCTION("""COMPUTED_VALUE"""),4930.0)</f>
        <v>4930</v>
      </c>
      <c r="E18" s="2">
        <f>IFERROR(__xludf.DUMMYFUNCTION("""COMPUTED_VALUE"""),5075.0)</f>
        <v>5075</v>
      </c>
      <c r="F18" s="2">
        <f>IFERROR(__xludf.DUMMYFUNCTION("""COMPUTED_VALUE"""),1580600.0)</f>
        <v>1580600</v>
      </c>
      <c r="G18" s="2">
        <f t="shared" si="1"/>
        <v>170</v>
      </c>
    </row>
    <row r="19" ht="15.75" customHeight="1">
      <c r="A19" s="1">
        <f>IFERROR(__xludf.DUMMYFUNCTION("""COMPUTED_VALUE"""),43857.66666666667)</f>
        <v>43857.66667</v>
      </c>
      <c r="B19" s="2">
        <f>IFERROR(__xludf.DUMMYFUNCTION("""COMPUTED_VALUE"""),5075.0)</f>
        <v>5075</v>
      </c>
      <c r="C19" s="2">
        <f>IFERROR(__xludf.DUMMYFUNCTION("""COMPUTED_VALUE"""),5075.0)</f>
        <v>5075</v>
      </c>
      <c r="D19" s="2">
        <f>IFERROR(__xludf.DUMMYFUNCTION("""COMPUTED_VALUE"""),4860.0)</f>
        <v>4860</v>
      </c>
      <c r="E19" s="2">
        <f>IFERROR(__xludf.DUMMYFUNCTION("""COMPUTED_VALUE"""),4860.0)</f>
        <v>4860</v>
      </c>
      <c r="F19" s="2">
        <f>IFERROR(__xludf.DUMMYFUNCTION("""COMPUTED_VALUE"""),2540300.0)</f>
        <v>2540300</v>
      </c>
      <c r="G19" s="2">
        <f t="shared" si="1"/>
        <v>215</v>
      </c>
    </row>
    <row r="20" ht="15.75" customHeight="1">
      <c r="A20" s="1">
        <f>IFERROR(__xludf.DUMMYFUNCTION("""COMPUTED_VALUE"""),43858.66666666667)</f>
        <v>43858.66667</v>
      </c>
      <c r="B20" s="2">
        <f>IFERROR(__xludf.DUMMYFUNCTION("""COMPUTED_VALUE"""),4850.0)</f>
        <v>4850</v>
      </c>
      <c r="C20" s="2">
        <f>IFERROR(__xludf.DUMMYFUNCTION("""COMPUTED_VALUE"""),4870.0)</f>
        <v>4870</v>
      </c>
      <c r="D20" s="2">
        <f>IFERROR(__xludf.DUMMYFUNCTION("""COMPUTED_VALUE"""),4790.0)</f>
        <v>4790</v>
      </c>
      <c r="E20" s="2">
        <f>IFERROR(__xludf.DUMMYFUNCTION("""COMPUTED_VALUE"""),4820.0)</f>
        <v>4820</v>
      </c>
      <c r="F20" s="2">
        <f>IFERROR(__xludf.DUMMYFUNCTION("""COMPUTED_VALUE"""),6055200.0)</f>
        <v>6055200</v>
      </c>
      <c r="G20" s="2">
        <f t="shared" si="1"/>
        <v>80</v>
      </c>
    </row>
    <row r="21" ht="15.75" customHeight="1">
      <c r="A21" s="1">
        <f>IFERROR(__xludf.DUMMYFUNCTION("""COMPUTED_VALUE"""),43859.66666666667)</f>
        <v>43859.66667</v>
      </c>
      <c r="B21" s="2">
        <f>IFERROR(__xludf.DUMMYFUNCTION("""COMPUTED_VALUE"""),4850.0)</f>
        <v>4850</v>
      </c>
      <c r="C21" s="2">
        <f>IFERROR(__xludf.DUMMYFUNCTION("""COMPUTED_VALUE"""),4950.0)</f>
        <v>4950</v>
      </c>
      <c r="D21" s="2">
        <f>IFERROR(__xludf.DUMMYFUNCTION("""COMPUTED_VALUE"""),4810.0)</f>
        <v>4810</v>
      </c>
      <c r="E21" s="2">
        <f>IFERROR(__xludf.DUMMYFUNCTION("""COMPUTED_VALUE"""),4900.0)</f>
        <v>4900</v>
      </c>
      <c r="F21" s="2">
        <f>IFERROR(__xludf.DUMMYFUNCTION("""COMPUTED_VALUE"""),6377300.0)</f>
        <v>6377300</v>
      </c>
      <c r="G21" s="2">
        <f t="shared" si="1"/>
        <v>140</v>
      </c>
    </row>
    <row r="22" ht="15.75" customHeight="1">
      <c r="A22" s="1">
        <f>IFERROR(__xludf.DUMMYFUNCTION("""COMPUTED_VALUE"""),43860.66666666667)</f>
        <v>43860.66667</v>
      </c>
      <c r="B22" s="2">
        <f>IFERROR(__xludf.DUMMYFUNCTION("""COMPUTED_VALUE"""),4900.0)</f>
        <v>4900</v>
      </c>
      <c r="C22" s="2">
        <f>IFERROR(__xludf.DUMMYFUNCTION("""COMPUTED_VALUE"""),4900.0)</f>
        <v>4900</v>
      </c>
      <c r="D22" s="2">
        <f>IFERROR(__xludf.DUMMYFUNCTION("""COMPUTED_VALUE"""),4780.0)</f>
        <v>4780</v>
      </c>
      <c r="E22" s="2">
        <f>IFERROR(__xludf.DUMMYFUNCTION("""COMPUTED_VALUE"""),4800.0)</f>
        <v>4800</v>
      </c>
      <c r="F22" s="2">
        <f>IFERROR(__xludf.DUMMYFUNCTION("""COMPUTED_VALUE"""),5864300.0)</f>
        <v>5864300</v>
      </c>
      <c r="G22" s="2">
        <f t="shared" si="1"/>
        <v>120</v>
      </c>
    </row>
    <row r="23" ht="15.75" customHeight="1">
      <c r="A23" s="1">
        <f>IFERROR(__xludf.DUMMYFUNCTION("""COMPUTED_VALUE"""),43861.66666666667)</f>
        <v>43861.66667</v>
      </c>
      <c r="B23" s="2">
        <f>IFERROR(__xludf.DUMMYFUNCTION("""COMPUTED_VALUE"""),4810.0)</f>
        <v>4810</v>
      </c>
      <c r="C23" s="2">
        <f>IFERROR(__xludf.DUMMYFUNCTION("""COMPUTED_VALUE"""),4820.0)</f>
        <v>4820</v>
      </c>
      <c r="D23" s="2">
        <f>IFERROR(__xludf.DUMMYFUNCTION("""COMPUTED_VALUE"""),4590.0)</f>
        <v>4590</v>
      </c>
      <c r="E23" s="2">
        <f>IFERROR(__xludf.DUMMYFUNCTION("""COMPUTED_VALUE"""),4600.0)</f>
        <v>4600</v>
      </c>
      <c r="F23" s="2">
        <f>IFERROR(__xludf.DUMMYFUNCTION("""COMPUTED_VALUE"""),1.34763E7)</f>
        <v>13476300</v>
      </c>
      <c r="G23" s="2">
        <f t="shared" si="1"/>
        <v>230</v>
      </c>
    </row>
    <row r="24" ht="15.75" customHeight="1">
      <c r="A24" s="1">
        <f>IFERROR(__xludf.DUMMYFUNCTION("""COMPUTED_VALUE"""),43864.66666666667)</f>
        <v>43864.66667</v>
      </c>
      <c r="B24" s="2">
        <f>IFERROR(__xludf.DUMMYFUNCTION("""COMPUTED_VALUE"""),4580.0)</f>
        <v>4580</v>
      </c>
      <c r="C24" s="2">
        <f>IFERROR(__xludf.DUMMYFUNCTION("""COMPUTED_VALUE"""),4640.0)</f>
        <v>4640</v>
      </c>
      <c r="D24" s="2">
        <f>IFERROR(__xludf.DUMMYFUNCTION("""COMPUTED_VALUE"""),4500.0)</f>
        <v>4500</v>
      </c>
      <c r="E24" s="2">
        <f>IFERROR(__xludf.DUMMYFUNCTION("""COMPUTED_VALUE"""),4520.0)</f>
        <v>4520</v>
      </c>
      <c r="F24" s="2">
        <f>IFERROR(__xludf.DUMMYFUNCTION("""COMPUTED_VALUE"""),5758300.0)</f>
        <v>5758300</v>
      </c>
      <c r="G24" s="2">
        <f t="shared" si="1"/>
        <v>140</v>
      </c>
    </row>
    <row r="25" ht="15.75" customHeight="1">
      <c r="A25" s="1">
        <f>IFERROR(__xludf.DUMMYFUNCTION("""COMPUTED_VALUE"""),43865.66666666667)</f>
        <v>43865.66667</v>
      </c>
      <c r="B25" s="2">
        <f>IFERROR(__xludf.DUMMYFUNCTION("""COMPUTED_VALUE"""),4600.0)</f>
        <v>4600</v>
      </c>
      <c r="C25" s="2">
        <f>IFERROR(__xludf.DUMMYFUNCTION("""COMPUTED_VALUE"""),4670.0)</f>
        <v>4670</v>
      </c>
      <c r="D25" s="2">
        <f>IFERROR(__xludf.DUMMYFUNCTION("""COMPUTED_VALUE"""),4590.0)</f>
        <v>4590</v>
      </c>
      <c r="E25" s="2">
        <f>IFERROR(__xludf.DUMMYFUNCTION("""COMPUTED_VALUE"""),4640.0)</f>
        <v>4640</v>
      </c>
      <c r="F25" s="2">
        <f>IFERROR(__xludf.DUMMYFUNCTION("""COMPUTED_VALUE"""),6151500.0)</f>
        <v>6151500</v>
      </c>
      <c r="G25" s="2">
        <f t="shared" si="1"/>
        <v>150</v>
      </c>
    </row>
    <row r="26" ht="15.75" customHeight="1">
      <c r="A26" s="1">
        <f>IFERROR(__xludf.DUMMYFUNCTION("""COMPUTED_VALUE"""),43866.66666666667)</f>
        <v>43866.66667</v>
      </c>
      <c r="B26" s="2">
        <f>IFERROR(__xludf.DUMMYFUNCTION("""COMPUTED_VALUE"""),4690.0)</f>
        <v>4690</v>
      </c>
      <c r="C26" s="2">
        <f>IFERROR(__xludf.DUMMYFUNCTION("""COMPUTED_VALUE"""),4720.0)</f>
        <v>4720</v>
      </c>
      <c r="D26" s="2">
        <f>IFERROR(__xludf.DUMMYFUNCTION("""COMPUTED_VALUE"""),4630.0)</f>
        <v>4630</v>
      </c>
      <c r="E26" s="2">
        <f>IFERROR(__xludf.DUMMYFUNCTION("""COMPUTED_VALUE"""),4650.0)</f>
        <v>4650</v>
      </c>
      <c r="F26" s="2">
        <f>IFERROR(__xludf.DUMMYFUNCTION("""COMPUTED_VALUE"""),4105300.0)</f>
        <v>4105300</v>
      </c>
      <c r="G26" s="2">
        <f t="shared" si="1"/>
        <v>90</v>
      </c>
    </row>
    <row r="27" ht="15.75" customHeight="1">
      <c r="A27" s="1">
        <f>IFERROR(__xludf.DUMMYFUNCTION("""COMPUTED_VALUE"""),43867.66666666667)</f>
        <v>43867.66667</v>
      </c>
      <c r="B27" s="2">
        <f>IFERROR(__xludf.DUMMYFUNCTION("""COMPUTED_VALUE"""),4700.0)</f>
        <v>4700</v>
      </c>
      <c r="C27" s="2">
        <f>IFERROR(__xludf.DUMMYFUNCTION("""COMPUTED_VALUE"""),4820.0)</f>
        <v>4820</v>
      </c>
      <c r="D27" s="2">
        <f>IFERROR(__xludf.DUMMYFUNCTION("""COMPUTED_VALUE"""),4650.0)</f>
        <v>4650</v>
      </c>
      <c r="E27" s="2">
        <f>IFERROR(__xludf.DUMMYFUNCTION("""COMPUTED_VALUE"""),4800.0)</f>
        <v>4800</v>
      </c>
      <c r="F27" s="2">
        <f>IFERROR(__xludf.DUMMYFUNCTION("""COMPUTED_VALUE"""),6727700.0)</f>
        <v>6727700</v>
      </c>
      <c r="G27" s="2">
        <f t="shared" si="1"/>
        <v>170</v>
      </c>
    </row>
    <row r="28" ht="15.75" customHeight="1">
      <c r="A28" s="1">
        <f>IFERROR(__xludf.DUMMYFUNCTION("""COMPUTED_VALUE"""),43868.66666666667)</f>
        <v>43868.66667</v>
      </c>
      <c r="B28" s="2">
        <f>IFERROR(__xludf.DUMMYFUNCTION("""COMPUTED_VALUE"""),4800.0)</f>
        <v>4800</v>
      </c>
      <c r="C28" s="2">
        <f>IFERROR(__xludf.DUMMYFUNCTION("""COMPUTED_VALUE"""),4930.0)</f>
        <v>4930</v>
      </c>
      <c r="D28" s="2">
        <f>IFERROR(__xludf.DUMMYFUNCTION("""COMPUTED_VALUE"""),4780.0)</f>
        <v>4780</v>
      </c>
      <c r="E28" s="2">
        <f>IFERROR(__xludf.DUMMYFUNCTION("""COMPUTED_VALUE"""),4900.0)</f>
        <v>4900</v>
      </c>
      <c r="F28" s="2">
        <f>IFERROR(__xludf.DUMMYFUNCTION("""COMPUTED_VALUE"""),5126200.0)</f>
        <v>5126200</v>
      </c>
      <c r="G28" s="2">
        <f t="shared" si="1"/>
        <v>150</v>
      </c>
    </row>
    <row r="29" ht="15.75" customHeight="1">
      <c r="A29" s="1">
        <f>IFERROR(__xludf.DUMMYFUNCTION("""COMPUTED_VALUE"""),43871.66666666667)</f>
        <v>43871.66667</v>
      </c>
      <c r="B29" s="2">
        <f>IFERROR(__xludf.DUMMYFUNCTION("""COMPUTED_VALUE"""),4900.0)</f>
        <v>4900</v>
      </c>
      <c r="C29" s="2">
        <f>IFERROR(__xludf.DUMMYFUNCTION("""COMPUTED_VALUE"""),4930.0)</f>
        <v>4930</v>
      </c>
      <c r="D29" s="2">
        <f>IFERROR(__xludf.DUMMYFUNCTION("""COMPUTED_VALUE"""),4790.0)</f>
        <v>4790</v>
      </c>
      <c r="E29" s="2">
        <f>IFERROR(__xludf.DUMMYFUNCTION("""COMPUTED_VALUE"""),4930.0)</f>
        <v>4930</v>
      </c>
      <c r="F29" s="2">
        <f>IFERROR(__xludf.DUMMYFUNCTION("""COMPUTED_VALUE"""),4969800.0)</f>
        <v>4969800</v>
      </c>
      <c r="G29" s="2">
        <f t="shared" si="1"/>
        <v>140</v>
      </c>
    </row>
    <row r="30" ht="15.75" customHeight="1">
      <c r="A30" s="1">
        <f>IFERROR(__xludf.DUMMYFUNCTION("""COMPUTED_VALUE"""),43872.66666666667)</f>
        <v>43872.66667</v>
      </c>
      <c r="B30" s="2">
        <f>IFERROR(__xludf.DUMMYFUNCTION("""COMPUTED_VALUE"""),4930.0)</f>
        <v>4930</v>
      </c>
      <c r="C30" s="2">
        <f>IFERROR(__xludf.DUMMYFUNCTION("""COMPUTED_VALUE"""),4960.0)</f>
        <v>4960</v>
      </c>
      <c r="D30" s="2">
        <f>IFERROR(__xludf.DUMMYFUNCTION("""COMPUTED_VALUE"""),4890.0)</f>
        <v>4890</v>
      </c>
      <c r="E30" s="2">
        <f>IFERROR(__xludf.DUMMYFUNCTION("""COMPUTED_VALUE"""),4900.0)</f>
        <v>4900</v>
      </c>
      <c r="F30" s="2">
        <f>IFERROR(__xludf.DUMMYFUNCTION("""COMPUTED_VALUE"""),6063100.0)</f>
        <v>6063100</v>
      </c>
      <c r="G30" s="2">
        <f t="shared" si="1"/>
        <v>70</v>
      </c>
    </row>
    <row r="31" ht="15.75" customHeight="1">
      <c r="A31" s="1">
        <f>IFERROR(__xludf.DUMMYFUNCTION("""COMPUTED_VALUE"""),43873.66666666667)</f>
        <v>43873.66667</v>
      </c>
      <c r="B31" s="2">
        <f>IFERROR(__xludf.DUMMYFUNCTION("""COMPUTED_VALUE"""),4860.0)</f>
        <v>4860</v>
      </c>
      <c r="C31" s="2">
        <f>IFERROR(__xludf.DUMMYFUNCTION("""COMPUTED_VALUE"""),4900.0)</f>
        <v>4900</v>
      </c>
      <c r="D31" s="2">
        <f>IFERROR(__xludf.DUMMYFUNCTION("""COMPUTED_VALUE"""),4800.0)</f>
        <v>4800</v>
      </c>
      <c r="E31" s="2">
        <f>IFERROR(__xludf.DUMMYFUNCTION("""COMPUTED_VALUE"""),4850.0)</f>
        <v>4850</v>
      </c>
      <c r="F31" s="2">
        <f>IFERROR(__xludf.DUMMYFUNCTION("""COMPUTED_VALUE"""),3998100.0)</f>
        <v>3998100</v>
      </c>
      <c r="G31" s="2">
        <f t="shared" si="1"/>
        <v>100</v>
      </c>
    </row>
    <row r="32" ht="15.75" customHeight="1">
      <c r="A32" s="1">
        <f>IFERROR(__xludf.DUMMYFUNCTION("""COMPUTED_VALUE"""),43874.66666666667)</f>
        <v>43874.66667</v>
      </c>
      <c r="B32" s="2">
        <f>IFERROR(__xludf.DUMMYFUNCTION("""COMPUTED_VALUE"""),4890.0)</f>
        <v>4890</v>
      </c>
      <c r="C32" s="2">
        <f>IFERROR(__xludf.DUMMYFUNCTION("""COMPUTED_VALUE"""),4890.0)</f>
        <v>4890</v>
      </c>
      <c r="D32" s="2">
        <f>IFERROR(__xludf.DUMMYFUNCTION("""COMPUTED_VALUE"""),4820.0)</f>
        <v>4820</v>
      </c>
      <c r="E32" s="2">
        <f>IFERROR(__xludf.DUMMYFUNCTION("""COMPUTED_VALUE"""),4860.0)</f>
        <v>4860</v>
      </c>
      <c r="F32" s="2">
        <f>IFERROR(__xludf.DUMMYFUNCTION("""COMPUTED_VALUE"""),4768700.0)</f>
        <v>4768700</v>
      </c>
      <c r="G32" s="2">
        <f t="shared" si="1"/>
        <v>70</v>
      </c>
    </row>
    <row r="33" ht="15.75" customHeight="1">
      <c r="A33" s="1">
        <f>IFERROR(__xludf.DUMMYFUNCTION("""COMPUTED_VALUE"""),43875.66666666667)</f>
        <v>43875.66667</v>
      </c>
      <c r="B33" s="2">
        <f>IFERROR(__xludf.DUMMYFUNCTION("""COMPUTED_VALUE"""),4860.0)</f>
        <v>4860</v>
      </c>
      <c r="C33" s="2">
        <f>IFERROR(__xludf.DUMMYFUNCTION("""COMPUTED_VALUE"""),4930.0)</f>
        <v>4930</v>
      </c>
      <c r="D33" s="2">
        <f>IFERROR(__xludf.DUMMYFUNCTION("""COMPUTED_VALUE"""),4850.0)</f>
        <v>4850</v>
      </c>
      <c r="E33" s="2">
        <f>IFERROR(__xludf.DUMMYFUNCTION("""COMPUTED_VALUE"""),4900.0)</f>
        <v>4900</v>
      </c>
      <c r="F33" s="2">
        <f>IFERROR(__xludf.DUMMYFUNCTION("""COMPUTED_VALUE"""),2063200.0)</f>
        <v>2063200</v>
      </c>
      <c r="G33" s="2">
        <f t="shared" si="1"/>
        <v>80</v>
      </c>
    </row>
    <row r="34" ht="15.75" customHeight="1">
      <c r="A34" s="1">
        <f>IFERROR(__xludf.DUMMYFUNCTION("""COMPUTED_VALUE"""),43878.66666666667)</f>
        <v>43878.66667</v>
      </c>
      <c r="B34" s="2">
        <f>IFERROR(__xludf.DUMMYFUNCTION("""COMPUTED_VALUE"""),4900.0)</f>
        <v>4900</v>
      </c>
      <c r="C34" s="2">
        <f>IFERROR(__xludf.DUMMYFUNCTION("""COMPUTED_VALUE"""),4930.0)</f>
        <v>4930</v>
      </c>
      <c r="D34" s="2">
        <f>IFERROR(__xludf.DUMMYFUNCTION("""COMPUTED_VALUE"""),4800.0)</f>
        <v>4800</v>
      </c>
      <c r="E34" s="2">
        <f>IFERROR(__xludf.DUMMYFUNCTION("""COMPUTED_VALUE"""),4860.0)</f>
        <v>4860</v>
      </c>
      <c r="F34" s="2">
        <f>IFERROR(__xludf.DUMMYFUNCTION("""COMPUTED_VALUE"""),2694100.0)</f>
        <v>2694100</v>
      </c>
      <c r="G34" s="2">
        <f t="shared" si="1"/>
        <v>130</v>
      </c>
    </row>
    <row r="35" ht="15.75" customHeight="1">
      <c r="A35" s="1">
        <f>IFERROR(__xludf.DUMMYFUNCTION("""COMPUTED_VALUE"""),43879.66666666667)</f>
        <v>43879.66667</v>
      </c>
      <c r="B35" s="2">
        <f>IFERROR(__xludf.DUMMYFUNCTION("""COMPUTED_VALUE"""),4860.0)</f>
        <v>4860</v>
      </c>
      <c r="C35" s="2">
        <f>IFERROR(__xludf.DUMMYFUNCTION("""COMPUTED_VALUE"""),4960.0)</f>
        <v>4960</v>
      </c>
      <c r="D35" s="2">
        <f>IFERROR(__xludf.DUMMYFUNCTION("""COMPUTED_VALUE"""),4860.0)</f>
        <v>4860</v>
      </c>
      <c r="E35" s="2">
        <f>IFERROR(__xludf.DUMMYFUNCTION("""COMPUTED_VALUE"""),4910.0)</f>
        <v>4910</v>
      </c>
      <c r="F35" s="2">
        <f>IFERROR(__xludf.DUMMYFUNCTION("""COMPUTED_VALUE"""),2751400.0)</f>
        <v>2751400</v>
      </c>
      <c r="G35" s="2">
        <f t="shared" si="1"/>
        <v>100</v>
      </c>
    </row>
    <row r="36" ht="15.75" customHeight="1">
      <c r="A36" s="1">
        <f>IFERROR(__xludf.DUMMYFUNCTION("""COMPUTED_VALUE"""),43880.66666666667)</f>
        <v>43880.66667</v>
      </c>
      <c r="B36" s="2">
        <f>IFERROR(__xludf.DUMMYFUNCTION("""COMPUTED_VALUE"""),4910.0)</f>
        <v>4910</v>
      </c>
      <c r="C36" s="2">
        <f>IFERROR(__xludf.DUMMYFUNCTION("""COMPUTED_VALUE"""),5050.0)</f>
        <v>5050</v>
      </c>
      <c r="D36" s="2">
        <f>IFERROR(__xludf.DUMMYFUNCTION("""COMPUTED_VALUE"""),4910.0)</f>
        <v>4910</v>
      </c>
      <c r="E36" s="2">
        <f>IFERROR(__xludf.DUMMYFUNCTION("""COMPUTED_VALUE"""),5000.0)</f>
        <v>5000</v>
      </c>
      <c r="F36" s="2">
        <f>IFERROR(__xludf.DUMMYFUNCTION("""COMPUTED_VALUE"""),3903800.0)</f>
        <v>3903800</v>
      </c>
      <c r="G36" s="2">
        <f t="shared" si="1"/>
        <v>140</v>
      </c>
    </row>
    <row r="37" ht="15.75" customHeight="1">
      <c r="A37" s="1">
        <f>IFERROR(__xludf.DUMMYFUNCTION("""COMPUTED_VALUE"""),43881.66666666667)</f>
        <v>43881.66667</v>
      </c>
      <c r="B37" s="2">
        <f>IFERROR(__xludf.DUMMYFUNCTION("""COMPUTED_VALUE"""),5025.0)</f>
        <v>5025</v>
      </c>
      <c r="C37" s="2">
        <f>IFERROR(__xludf.DUMMYFUNCTION("""COMPUTED_VALUE"""),5075.0)</f>
        <v>5075</v>
      </c>
      <c r="D37" s="2">
        <f>IFERROR(__xludf.DUMMYFUNCTION("""COMPUTED_VALUE"""),5000.0)</f>
        <v>5000</v>
      </c>
      <c r="E37" s="2">
        <f>IFERROR(__xludf.DUMMYFUNCTION("""COMPUTED_VALUE"""),5050.0)</f>
        <v>5050</v>
      </c>
      <c r="F37" s="2">
        <f>IFERROR(__xludf.DUMMYFUNCTION("""COMPUTED_VALUE"""),3483500.0)</f>
        <v>3483500</v>
      </c>
      <c r="G37" s="2">
        <f t="shared" si="1"/>
        <v>75</v>
      </c>
    </row>
    <row r="38" ht="15.75" customHeight="1">
      <c r="A38" s="1">
        <f>IFERROR(__xludf.DUMMYFUNCTION("""COMPUTED_VALUE"""),43882.66666666667)</f>
        <v>43882.66667</v>
      </c>
      <c r="B38" s="2">
        <f>IFERROR(__xludf.DUMMYFUNCTION("""COMPUTED_VALUE"""),5050.0)</f>
        <v>5050</v>
      </c>
      <c r="C38" s="2">
        <f>IFERROR(__xludf.DUMMYFUNCTION("""COMPUTED_VALUE"""),5050.0)</f>
        <v>5050</v>
      </c>
      <c r="D38" s="2">
        <f>IFERROR(__xludf.DUMMYFUNCTION("""COMPUTED_VALUE"""),5000.0)</f>
        <v>5000</v>
      </c>
      <c r="E38" s="2">
        <f>IFERROR(__xludf.DUMMYFUNCTION("""COMPUTED_VALUE"""),5000.0)</f>
        <v>5000</v>
      </c>
      <c r="F38" s="2">
        <f>IFERROR(__xludf.DUMMYFUNCTION("""COMPUTED_VALUE"""),3182900.0)</f>
        <v>3182900</v>
      </c>
      <c r="G38" s="2">
        <f t="shared" si="1"/>
        <v>50</v>
      </c>
    </row>
    <row r="39" ht="15.75" customHeight="1">
      <c r="A39" s="1">
        <f>IFERROR(__xludf.DUMMYFUNCTION("""COMPUTED_VALUE"""),43885.66666666667)</f>
        <v>43885.66667</v>
      </c>
      <c r="B39" s="2">
        <f>IFERROR(__xludf.DUMMYFUNCTION("""COMPUTED_VALUE"""),4990.0)</f>
        <v>4990</v>
      </c>
      <c r="C39" s="2">
        <f>IFERROR(__xludf.DUMMYFUNCTION("""COMPUTED_VALUE"""),4990.0)</f>
        <v>4990</v>
      </c>
      <c r="D39" s="2">
        <f>IFERROR(__xludf.DUMMYFUNCTION("""COMPUTED_VALUE"""),4900.0)</f>
        <v>4900</v>
      </c>
      <c r="E39" s="2">
        <f>IFERROR(__xludf.DUMMYFUNCTION("""COMPUTED_VALUE"""),4960.0)</f>
        <v>4960</v>
      </c>
      <c r="F39" s="2">
        <f>IFERROR(__xludf.DUMMYFUNCTION("""COMPUTED_VALUE"""),4171100.0)</f>
        <v>4171100</v>
      </c>
      <c r="G39" s="2">
        <f t="shared" si="1"/>
        <v>100</v>
      </c>
    </row>
    <row r="40" ht="15.75" customHeight="1">
      <c r="A40" s="1">
        <f>IFERROR(__xludf.DUMMYFUNCTION("""COMPUTED_VALUE"""),43886.66666666667)</f>
        <v>43886.66667</v>
      </c>
      <c r="B40" s="2">
        <f>IFERROR(__xludf.DUMMYFUNCTION("""COMPUTED_VALUE"""),4910.0)</f>
        <v>4910</v>
      </c>
      <c r="C40" s="2">
        <f>IFERROR(__xludf.DUMMYFUNCTION("""COMPUTED_VALUE"""),5000.0)</f>
        <v>5000</v>
      </c>
      <c r="D40" s="2">
        <f>IFERROR(__xludf.DUMMYFUNCTION("""COMPUTED_VALUE"""),4910.0)</f>
        <v>4910</v>
      </c>
      <c r="E40" s="2">
        <f>IFERROR(__xludf.DUMMYFUNCTION("""COMPUTED_VALUE"""),5000.0)</f>
        <v>5000</v>
      </c>
      <c r="F40" s="2">
        <f>IFERROR(__xludf.DUMMYFUNCTION("""COMPUTED_VALUE"""),5452200.0)</f>
        <v>5452200</v>
      </c>
      <c r="G40" s="2">
        <f t="shared" si="1"/>
        <v>90</v>
      </c>
    </row>
    <row r="41" ht="15.75" customHeight="1">
      <c r="A41" s="1">
        <f>IFERROR(__xludf.DUMMYFUNCTION("""COMPUTED_VALUE"""),43887.66666666667)</f>
        <v>43887.66667</v>
      </c>
      <c r="B41" s="2">
        <f>IFERROR(__xludf.DUMMYFUNCTION("""COMPUTED_VALUE"""),4990.0)</f>
        <v>4990</v>
      </c>
      <c r="C41" s="2">
        <f>IFERROR(__xludf.DUMMYFUNCTION("""COMPUTED_VALUE"""),4990.0)</f>
        <v>4990</v>
      </c>
      <c r="D41" s="2">
        <f>IFERROR(__xludf.DUMMYFUNCTION("""COMPUTED_VALUE"""),4730.0)</f>
        <v>4730</v>
      </c>
      <c r="E41" s="2">
        <f>IFERROR(__xludf.DUMMYFUNCTION("""COMPUTED_VALUE"""),4770.0)</f>
        <v>4770</v>
      </c>
      <c r="F41" s="2">
        <f>IFERROR(__xludf.DUMMYFUNCTION("""COMPUTED_VALUE"""),4633000.0)</f>
        <v>4633000</v>
      </c>
      <c r="G41" s="2">
        <f t="shared" si="1"/>
        <v>270</v>
      </c>
    </row>
    <row r="42" ht="15.75" customHeight="1">
      <c r="A42" s="1">
        <f>IFERROR(__xludf.DUMMYFUNCTION("""COMPUTED_VALUE"""),43888.66666666667)</f>
        <v>43888.66667</v>
      </c>
      <c r="B42" s="2">
        <f>IFERROR(__xludf.DUMMYFUNCTION("""COMPUTED_VALUE"""),4730.0)</f>
        <v>4730</v>
      </c>
      <c r="C42" s="2">
        <f>IFERROR(__xludf.DUMMYFUNCTION("""COMPUTED_VALUE"""),4830.0)</f>
        <v>4830</v>
      </c>
      <c r="D42" s="2">
        <f>IFERROR(__xludf.DUMMYFUNCTION("""COMPUTED_VALUE"""),4630.0)</f>
        <v>4630</v>
      </c>
      <c r="E42" s="2">
        <f>IFERROR(__xludf.DUMMYFUNCTION("""COMPUTED_VALUE"""),4800.0)</f>
        <v>4800</v>
      </c>
      <c r="F42" s="2">
        <f>IFERROR(__xludf.DUMMYFUNCTION("""COMPUTED_VALUE"""),5382400.0)</f>
        <v>5382400</v>
      </c>
      <c r="G42" s="2">
        <f t="shared" si="1"/>
        <v>200</v>
      </c>
    </row>
    <row r="43" ht="15.75" customHeight="1">
      <c r="A43" s="1">
        <f>IFERROR(__xludf.DUMMYFUNCTION("""COMPUTED_VALUE"""),43889.66666666667)</f>
        <v>43889.66667</v>
      </c>
      <c r="B43" s="2">
        <f>IFERROR(__xludf.DUMMYFUNCTION("""COMPUTED_VALUE"""),4710.0)</f>
        <v>4710</v>
      </c>
      <c r="C43" s="2">
        <f>IFERROR(__xludf.DUMMYFUNCTION("""COMPUTED_VALUE"""),4730.0)</f>
        <v>4730</v>
      </c>
      <c r="D43" s="2">
        <f>IFERROR(__xludf.DUMMYFUNCTION("""COMPUTED_VALUE"""),4570.0)</f>
        <v>4570</v>
      </c>
      <c r="E43" s="2">
        <f>IFERROR(__xludf.DUMMYFUNCTION("""COMPUTED_VALUE"""),4680.0)</f>
        <v>4680</v>
      </c>
      <c r="F43" s="2">
        <f>IFERROR(__xludf.DUMMYFUNCTION("""COMPUTED_VALUE"""),4772200.0)</f>
        <v>4772200</v>
      </c>
      <c r="G43" s="2">
        <f t="shared" si="1"/>
        <v>230</v>
      </c>
    </row>
    <row r="44" ht="15.75" customHeight="1">
      <c r="A44" s="1">
        <f>IFERROR(__xludf.DUMMYFUNCTION("""COMPUTED_VALUE"""),43892.66666666667)</f>
        <v>43892.66667</v>
      </c>
      <c r="B44" s="2">
        <f>IFERROR(__xludf.DUMMYFUNCTION("""COMPUTED_VALUE"""),4600.0)</f>
        <v>4600</v>
      </c>
      <c r="C44" s="2">
        <f>IFERROR(__xludf.DUMMYFUNCTION("""COMPUTED_VALUE"""),4740.0)</f>
        <v>4740</v>
      </c>
      <c r="D44" s="2">
        <f>IFERROR(__xludf.DUMMYFUNCTION("""COMPUTED_VALUE"""),4560.0)</f>
        <v>4560</v>
      </c>
      <c r="E44" s="2">
        <f>IFERROR(__xludf.DUMMYFUNCTION("""COMPUTED_VALUE"""),4620.0)</f>
        <v>4620</v>
      </c>
      <c r="F44" s="2">
        <f>IFERROR(__xludf.DUMMYFUNCTION("""COMPUTED_VALUE"""),5167000.0)</f>
        <v>5167000</v>
      </c>
      <c r="G44" s="2">
        <f t="shared" si="1"/>
        <v>180</v>
      </c>
    </row>
    <row r="45" ht="15.75" customHeight="1">
      <c r="A45" s="1">
        <f>IFERROR(__xludf.DUMMYFUNCTION("""COMPUTED_VALUE"""),43893.66666666667)</f>
        <v>43893.66667</v>
      </c>
      <c r="B45" s="2">
        <f>IFERROR(__xludf.DUMMYFUNCTION("""COMPUTED_VALUE"""),4650.0)</f>
        <v>4650</v>
      </c>
      <c r="C45" s="2">
        <f>IFERROR(__xludf.DUMMYFUNCTION("""COMPUTED_VALUE"""),4900.0)</f>
        <v>4900</v>
      </c>
      <c r="D45" s="2">
        <f>IFERROR(__xludf.DUMMYFUNCTION("""COMPUTED_VALUE"""),4650.0)</f>
        <v>4650</v>
      </c>
      <c r="E45" s="2">
        <f>IFERROR(__xludf.DUMMYFUNCTION("""COMPUTED_VALUE"""),4760.0)</f>
        <v>4760</v>
      </c>
      <c r="F45" s="2">
        <f>IFERROR(__xludf.DUMMYFUNCTION("""COMPUTED_VALUE"""),5895600.0)</f>
        <v>5895600</v>
      </c>
      <c r="G45" s="2">
        <f t="shared" si="1"/>
        <v>280</v>
      </c>
    </row>
    <row r="46" ht="15.75" customHeight="1">
      <c r="A46" s="1">
        <f>IFERROR(__xludf.DUMMYFUNCTION("""COMPUTED_VALUE"""),43894.66666666667)</f>
        <v>43894.66667</v>
      </c>
      <c r="B46" s="2">
        <f>IFERROR(__xludf.DUMMYFUNCTION("""COMPUTED_VALUE"""),4770.0)</f>
        <v>4770</v>
      </c>
      <c r="C46" s="2">
        <f>IFERROR(__xludf.DUMMYFUNCTION("""COMPUTED_VALUE"""),4900.0)</f>
        <v>4900</v>
      </c>
      <c r="D46" s="2">
        <f>IFERROR(__xludf.DUMMYFUNCTION("""COMPUTED_VALUE"""),4770.0)</f>
        <v>4770</v>
      </c>
      <c r="E46" s="2">
        <f>IFERROR(__xludf.DUMMYFUNCTION("""COMPUTED_VALUE"""),4820.0)</f>
        <v>4820</v>
      </c>
      <c r="F46" s="2">
        <f>IFERROR(__xludf.DUMMYFUNCTION("""COMPUTED_VALUE"""),3556800.0)</f>
        <v>3556800</v>
      </c>
      <c r="G46" s="2">
        <f t="shared" si="1"/>
        <v>140</v>
      </c>
    </row>
    <row r="47" ht="15.75" customHeight="1">
      <c r="A47" s="1">
        <f>IFERROR(__xludf.DUMMYFUNCTION("""COMPUTED_VALUE"""),43895.66666666667)</f>
        <v>43895.66667</v>
      </c>
      <c r="B47" s="2">
        <f>IFERROR(__xludf.DUMMYFUNCTION("""COMPUTED_VALUE"""),4870.0)</f>
        <v>4870</v>
      </c>
      <c r="C47" s="2">
        <f>IFERROR(__xludf.DUMMYFUNCTION("""COMPUTED_VALUE"""),4920.0)</f>
        <v>4920</v>
      </c>
      <c r="D47" s="2">
        <f>IFERROR(__xludf.DUMMYFUNCTION("""COMPUTED_VALUE"""),4840.0)</f>
        <v>4840</v>
      </c>
      <c r="E47" s="2">
        <f>IFERROR(__xludf.DUMMYFUNCTION("""COMPUTED_VALUE"""),4890.0)</f>
        <v>4890</v>
      </c>
      <c r="F47" s="2">
        <f>IFERROR(__xludf.DUMMYFUNCTION("""COMPUTED_VALUE"""),6140600.0)</f>
        <v>6140600</v>
      </c>
      <c r="G47" s="2">
        <f t="shared" si="1"/>
        <v>100</v>
      </c>
    </row>
    <row r="48" ht="15.75" customHeight="1">
      <c r="A48" s="1">
        <f>IFERROR(__xludf.DUMMYFUNCTION("""COMPUTED_VALUE"""),43896.66666666667)</f>
        <v>43896.66667</v>
      </c>
      <c r="B48" s="2">
        <f>IFERROR(__xludf.DUMMYFUNCTION("""COMPUTED_VALUE"""),4850.0)</f>
        <v>4850</v>
      </c>
      <c r="C48" s="2">
        <f>IFERROR(__xludf.DUMMYFUNCTION("""COMPUTED_VALUE"""),4850.0)</f>
        <v>4850</v>
      </c>
      <c r="D48" s="2">
        <f>IFERROR(__xludf.DUMMYFUNCTION("""COMPUTED_VALUE"""),4710.0)</f>
        <v>4710</v>
      </c>
      <c r="E48" s="2">
        <f>IFERROR(__xludf.DUMMYFUNCTION("""COMPUTED_VALUE"""),4740.0)</f>
        <v>4740</v>
      </c>
      <c r="F48" s="2">
        <f>IFERROR(__xludf.DUMMYFUNCTION("""COMPUTED_VALUE"""),5842400.0)</f>
        <v>5842400</v>
      </c>
      <c r="G48" s="2">
        <f t="shared" si="1"/>
        <v>180</v>
      </c>
    </row>
    <row r="49" ht="15.75" customHeight="1">
      <c r="A49" s="1">
        <f>IFERROR(__xludf.DUMMYFUNCTION("""COMPUTED_VALUE"""),43899.66666666667)</f>
        <v>43899.66667</v>
      </c>
      <c r="B49" s="2">
        <f>IFERROR(__xludf.DUMMYFUNCTION("""COMPUTED_VALUE"""),4680.0)</f>
        <v>4680</v>
      </c>
      <c r="C49" s="2">
        <f>IFERROR(__xludf.DUMMYFUNCTION("""COMPUTED_VALUE"""),4680.0)</f>
        <v>4680</v>
      </c>
      <c r="D49" s="2">
        <f>IFERROR(__xludf.DUMMYFUNCTION("""COMPUTED_VALUE"""),4390.0)</f>
        <v>4390</v>
      </c>
      <c r="E49" s="2">
        <f>IFERROR(__xludf.DUMMYFUNCTION("""COMPUTED_VALUE"""),4410.0)</f>
        <v>4410</v>
      </c>
      <c r="F49" s="2">
        <f>IFERROR(__xludf.DUMMYFUNCTION("""COMPUTED_VALUE"""),5376600.0)</f>
        <v>5376600</v>
      </c>
      <c r="G49" s="2">
        <f t="shared" si="1"/>
        <v>350</v>
      </c>
    </row>
    <row r="50" ht="15.75" customHeight="1">
      <c r="A50" s="1">
        <f>IFERROR(__xludf.DUMMYFUNCTION("""COMPUTED_VALUE"""),43900.66666666667)</f>
        <v>43900.66667</v>
      </c>
      <c r="B50" s="2">
        <f>IFERROR(__xludf.DUMMYFUNCTION("""COMPUTED_VALUE"""),4450.0)</f>
        <v>4450</v>
      </c>
      <c r="C50" s="2">
        <f>IFERROR(__xludf.DUMMYFUNCTION("""COMPUTED_VALUE"""),4700.0)</f>
        <v>4700</v>
      </c>
      <c r="D50" s="2">
        <f>IFERROR(__xludf.DUMMYFUNCTION("""COMPUTED_VALUE"""),4420.0)</f>
        <v>4420</v>
      </c>
      <c r="E50" s="2">
        <f>IFERROR(__xludf.DUMMYFUNCTION("""COMPUTED_VALUE"""),4500.0)</f>
        <v>4500</v>
      </c>
      <c r="F50" s="2">
        <f>IFERROR(__xludf.DUMMYFUNCTION("""COMPUTED_VALUE"""),5337900.0)</f>
        <v>5337900</v>
      </c>
      <c r="G50" s="2">
        <f t="shared" si="1"/>
        <v>290</v>
      </c>
    </row>
    <row r="51" ht="15.75" customHeight="1">
      <c r="A51" s="1">
        <f>IFERROR(__xludf.DUMMYFUNCTION("""COMPUTED_VALUE"""),43901.66666666667)</f>
        <v>43901.66667</v>
      </c>
      <c r="B51" s="2">
        <f>IFERROR(__xludf.DUMMYFUNCTION("""COMPUTED_VALUE"""),4510.0)</f>
        <v>4510</v>
      </c>
      <c r="C51" s="2">
        <f>IFERROR(__xludf.DUMMYFUNCTION("""COMPUTED_VALUE"""),4510.0)</f>
        <v>4510</v>
      </c>
      <c r="D51" s="2">
        <f>IFERROR(__xludf.DUMMYFUNCTION("""COMPUTED_VALUE"""),4310.0)</f>
        <v>4310</v>
      </c>
      <c r="E51" s="2">
        <f>IFERROR(__xludf.DUMMYFUNCTION("""COMPUTED_VALUE"""),4350.0)</f>
        <v>4350</v>
      </c>
      <c r="F51" s="2">
        <f>IFERROR(__xludf.DUMMYFUNCTION("""COMPUTED_VALUE"""),5958000.0)</f>
        <v>5958000</v>
      </c>
      <c r="G51" s="2">
        <f t="shared" si="1"/>
        <v>200</v>
      </c>
    </row>
    <row r="52" ht="15.75" customHeight="1">
      <c r="A52" s="1">
        <f>IFERROR(__xludf.DUMMYFUNCTION("""COMPUTED_VALUE"""),43902.66666666667)</f>
        <v>43902.66667</v>
      </c>
      <c r="B52" s="2">
        <f>IFERROR(__xludf.DUMMYFUNCTION("""COMPUTED_VALUE"""),4000.0)</f>
        <v>4000</v>
      </c>
      <c r="C52" s="2">
        <f>IFERROR(__xludf.DUMMYFUNCTION("""COMPUTED_VALUE"""),4150.0)</f>
        <v>4150</v>
      </c>
      <c r="D52" s="2">
        <f>IFERROR(__xludf.DUMMYFUNCTION("""COMPUTED_VALUE"""),3900.0)</f>
        <v>3900</v>
      </c>
      <c r="E52" s="2">
        <f>IFERROR(__xludf.DUMMYFUNCTION("""COMPUTED_VALUE"""),3900.0)</f>
        <v>3900</v>
      </c>
      <c r="F52" s="2">
        <f>IFERROR(__xludf.DUMMYFUNCTION("""COMPUTED_VALUE"""),6147100.0)</f>
        <v>6147100</v>
      </c>
      <c r="G52" s="2">
        <f t="shared" si="1"/>
        <v>450</v>
      </c>
    </row>
    <row r="53" ht="15.75" customHeight="1">
      <c r="A53" s="1">
        <f>IFERROR(__xludf.DUMMYFUNCTION("""COMPUTED_VALUE"""),43903.66666666667)</f>
        <v>43903.66667</v>
      </c>
      <c r="B53" s="2">
        <f>IFERROR(__xludf.DUMMYFUNCTION("""COMPUTED_VALUE"""),3900.0)</f>
        <v>3900</v>
      </c>
      <c r="C53" s="2">
        <f>IFERROR(__xludf.DUMMYFUNCTION("""COMPUTED_VALUE"""),3900.0)</f>
        <v>3900</v>
      </c>
      <c r="D53" s="2">
        <f>IFERROR(__xludf.DUMMYFUNCTION("""COMPUTED_VALUE"""),3630.0)</f>
        <v>3630</v>
      </c>
      <c r="E53" s="2">
        <f>IFERROR(__xludf.DUMMYFUNCTION("""COMPUTED_VALUE"""),3700.0)</f>
        <v>3700</v>
      </c>
      <c r="F53" s="2">
        <f>IFERROR(__xludf.DUMMYFUNCTION("""COMPUTED_VALUE"""),1.66492E7)</f>
        <v>16649200</v>
      </c>
      <c r="G53" s="2">
        <f t="shared" si="1"/>
        <v>270</v>
      </c>
    </row>
    <row r="54" ht="15.75" customHeight="1">
      <c r="A54" s="1">
        <f>IFERROR(__xludf.DUMMYFUNCTION("""COMPUTED_VALUE"""),43906.66666666667)</f>
        <v>43906.66667</v>
      </c>
      <c r="B54" s="2">
        <f>IFERROR(__xludf.DUMMYFUNCTION("""COMPUTED_VALUE"""),3620.0)</f>
        <v>3620</v>
      </c>
      <c r="C54" s="2">
        <f>IFERROR(__xludf.DUMMYFUNCTION("""COMPUTED_VALUE"""),3690.0)</f>
        <v>3690</v>
      </c>
      <c r="D54" s="2">
        <f>IFERROR(__xludf.DUMMYFUNCTION("""COMPUTED_VALUE"""),3450.0)</f>
        <v>3450</v>
      </c>
      <c r="E54" s="2">
        <f>IFERROR(__xludf.DUMMYFUNCTION("""COMPUTED_VALUE"""),3450.0)</f>
        <v>3450</v>
      </c>
      <c r="F54" s="2">
        <f>IFERROR(__xludf.DUMMYFUNCTION("""COMPUTED_VALUE"""),3686900.0)</f>
        <v>3686900</v>
      </c>
      <c r="G54" s="2">
        <f t="shared" si="1"/>
        <v>250</v>
      </c>
    </row>
    <row r="55" ht="15.75" customHeight="1">
      <c r="A55" s="1">
        <f>IFERROR(__xludf.DUMMYFUNCTION("""COMPUTED_VALUE"""),43907.66666666667)</f>
        <v>43907.66667</v>
      </c>
      <c r="B55" s="2">
        <f>IFERROR(__xludf.DUMMYFUNCTION("""COMPUTED_VALUE"""),3390.0)</f>
        <v>3390</v>
      </c>
      <c r="C55" s="2">
        <f>IFERROR(__xludf.DUMMYFUNCTION("""COMPUTED_VALUE"""),3400.0)</f>
        <v>3400</v>
      </c>
      <c r="D55" s="2">
        <f>IFERROR(__xludf.DUMMYFUNCTION("""COMPUTED_VALUE"""),3210.0)</f>
        <v>3210</v>
      </c>
      <c r="E55" s="2">
        <f>IFERROR(__xludf.DUMMYFUNCTION("""COMPUTED_VALUE"""),3210.0)</f>
        <v>3210</v>
      </c>
      <c r="F55" s="2">
        <f>IFERROR(__xludf.DUMMYFUNCTION("""COMPUTED_VALUE"""),2071100.0)</f>
        <v>2071100</v>
      </c>
      <c r="G55" s="2">
        <f t="shared" si="1"/>
        <v>240</v>
      </c>
    </row>
    <row r="56" ht="15.75" customHeight="1">
      <c r="A56" s="1">
        <f>IFERROR(__xludf.DUMMYFUNCTION("""COMPUTED_VALUE"""),43908.66666666667)</f>
        <v>43908.66667</v>
      </c>
      <c r="B56" s="2">
        <f>IFERROR(__xludf.DUMMYFUNCTION("""COMPUTED_VALUE"""),3210.0)</f>
        <v>3210</v>
      </c>
      <c r="C56" s="2">
        <f>IFERROR(__xludf.DUMMYFUNCTION("""COMPUTED_VALUE"""),3210.0)</f>
        <v>3210</v>
      </c>
      <c r="D56" s="2">
        <f>IFERROR(__xludf.DUMMYFUNCTION("""COMPUTED_VALUE"""),2990.0)</f>
        <v>2990</v>
      </c>
      <c r="E56" s="2">
        <f>IFERROR(__xludf.DUMMYFUNCTION("""COMPUTED_VALUE"""),2990.0)</f>
        <v>2990</v>
      </c>
      <c r="F56" s="2">
        <f>IFERROR(__xludf.DUMMYFUNCTION("""COMPUTED_VALUE"""),6069400.0)</f>
        <v>6069400</v>
      </c>
      <c r="G56" s="2">
        <f t="shared" si="1"/>
        <v>220</v>
      </c>
    </row>
    <row r="57" ht="15.75" customHeight="1">
      <c r="A57" s="1">
        <f>IFERROR(__xludf.DUMMYFUNCTION("""COMPUTED_VALUE"""),43909.66666666667)</f>
        <v>43909.66667</v>
      </c>
      <c r="B57" s="2">
        <f>IFERROR(__xludf.DUMMYFUNCTION("""COMPUTED_VALUE"""),2900.0)</f>
        <v>2900</v>
      </c>
      <c r="C57" s="2">
        <f>IFERROR(__xludf.DUMMYFUNCTION("""COMPUTED_VALUE"""),2900.0)</f>
        <v>2900</v>
      </c>
      <c r="D57" s="2">
        <f>IFERROR(__xludf.DUMMYFUNCTION("""COMPUTED_VALUE"""),2790.0)</f>
        <v>2790</v>
      </c>
      <c r="E57" s="2">
        <f>IFERROR(__xludf.DUMMYFUNCTION("""COMPUTED_VALUE"""),2790.0)</f>
        <v>2790</v>
      </c>
      <c r="F57" s="2">
        <f>IFERROR(__xludf.DUMMYFUNCTION("""COMPUTED_VALUE"""),2731200.0)</f>
        <v>2731200</v>
      </c>
      <c r="G57" s="2">
        <f t="shared" si="1"/>
        <v>200</v>
      </c>
    </row>
    <row r="58" ht="15.75" customHeight="1">
      <c r="A58" s="1">
        <f>IFERROR(__xludf.DUMMYFUNCTION("""COMPUTED_VALUE"""),43910.66666666667)</f>
        <v>43910.66667</v>
      </c>
      <c r="B58" s="2">
        <f>IFERROR(__xludf.DUMMYFUNCTION("""COMPUTED_VALUE"""),2690.0)</f>
        <v>2690</v>
      </c>
      <c r="C58" s="2">
        <f>IFERROR(__xludf.DUMMYFUNCTION("""COMPUTED_VALUE"""),2790.0)</f>
        <v>2790</v>
      </c>
      <c r="D58" s="2">
        <f>IFERROR(__xludf.DUMMYFUNCTION("""COMPUTED_VALUE"""),2600.0)</f>
        <v>2600</v>
      </c>
      <c r="E58" s="2">
        <f>IFERROR(__xludf.DUMMYFUNCTION("""COMPUTED_VALUE"""),2690.0)</f>
        <v>2690</v>
      </c>
      <c r="F58" s="2">
        <f>IFERROR(__xludf.DUMMYFUNCTION("""COMPUTED_VALUE"""),1.30073E7)</f>
        <v>13007300</v>
      </c>
      <c r="G58" s="2">
        <f t="shared" si="1"/>
        <v>190</v>
      </c>
    </row>
    <row r="59" ht="15.75" customHeight="1">
      <c r="A59" s="1">
        <f>IFERROR(__xludf.DUMMYFUNCTION("""COMPUTED_VALUE"""),43913.66666666667)</f>
        <v>43913.66667</v>
      </c>
      <c r="B59" s="2">
        <f>IFERROR(__xludf.DUMMYFUNCTION("""COMPUTED_VALUE"""),2660.0)</f>
        <v>2660</v>
      </c>
      <c r="C59" s="2">
        <f>IFERROR(__xludf.DUMMYFUNCTION("""COMPUTED_VALUE"""),2660.0)</f>
        <v>2660</v>
      </c>
      <c r="D59" s="2">
        <f>IFERROR(__xludf.DUMMYFUNCTION("""COMPUTED_VALUE"""),2510.0)</f>
        <v>2510</v>
      </c>
      <c r="E59" s="2">
        <f>IFERROR(__xludf.DUMMYFUNCTION("""COMPUTED_VALUE"""),2510.0)</f>
        <v>2510</v>
      </c>
      <c r="F59" s="2">
        <f>IFERROR(__xludf.DUMMYFUNCTION("""COMPUTED_VALUE"""),3207200.0)</f>
        <v>3207200</v>
      </c>
      <c r="G59" s="2">
        <f t="shared" si="1"/>
        <v>180</v>
      </c>
    </row>
    <row r="60" ht="15.75" customHeight="1">
      <c r="A60" s="1">
        <f>IFERROR(__xludf.DUMMYFUNCTION("""COMPUTED_VALUE"""),43914.66666666667)</f>
        <v>43914.66667</v>
      </c>
      <c r="B60" s="2">
        <f>IFERROR(__xludf.DUMMYFUNCTION("""COMPUTED_VALUE"""),2510.0)</f>
        <v>2510</v>
      </c>
      <c r="C60" s="2">
        <f>IFERROR(__xludf.DUMMYFUNCTION("""COMPUTED_VALUE"""),2580.0)</f>
        <v>2580</v>
      </c>
      <c r="D60" s="2">
        <f>IFERROR(__xludf.DUMMYFUNCTION("""COMPUTED_VALUE"""),2340.0)</f>
        <v>2340</v>
      </c>
      <c r="E60" s="2">
        <f>IFERROR(__xludf.DUMMYFUNCTION("""COMPUTED_VALUE"""),2340.0)</f>
        <v>2340</v>
      </c>
      <c r="F60" s="2">
        <f>IFERROR(__xludf.DUMMYFUNCTION("""COMPUTED_VALUE"""),8329900.0)</f>
        <v>8329900</v>
      </c>
      <c r="G60" s="2">
        <f t="shared" si="1"/>
        <v>240</v>
      </c>
    </row>
    <row r="61" ht="15.75" customHeight="1">
      <c r="A61" s="1">
        <f>IFERROR(__xludf.DUMMYFUNCTION("""COMPUTED_VALUE"""),43916.66666666667)</f>
        <v>43916.66667</v>
      </c>
      <c r="B61" s="2">
        <f>IFERROR(__xludf.DUMMYFUNCTION("""COMPUTED_VALUE"""),2360.0)</f>
        <v>2360</v>
      </c>
      <c r="C61" s="2">
        <f>IFERROR(__xludf.DUMMYFUNCTION("""COMPUTED_VALUE"""),2630.0)</f>
        <v>2630</v>
      </c>
      <c r="D61" s="2">
        <f>IFERROR(__xludf.DUMMYFUNCTION("""COMPUTED_VALUE"""),2230.0)</f>
        <v>2230</v>
      </c>
      <c r="E61" s="2">
        <f>IFERROR(__xludf.DUMMYFUNCTION("""COMPUTED_VALUE"""),2460.0)</f>
        <v>2460</v>
      </c>
      <c r="F61" s="2">
        <f>IFERROR(__xludf.DUMMYFUNCTION("""COMPUTED_VALUE"""),2.60217E7)</f>
        <v>26021700</v>
      </c>
      <c r="G61" s="2">
        <f t="shared" si="1"/>
        <v>400</v>
      </c>
    </row>
    <row r="62" ht="15.75" customHeight="1">
      <c r="A62" s="1">
        <f>IFERROR(__xludf.DUMMYFUNCTION("""COMPUTED_VALUE"""),43917.66666666667)</f>
        <v>43917.66667</v>
      </c>
      <c r="B62" s="2">
        <f>IFERROR(__xludf.DUMMYFUNCTION("""COMPUTED_VALUE"""),2510.0)</f>
        <v>2510</v>
      </c>
      <c r="C62" s="2">
        <f>IFERROR(__xludf.DUMMYFUNCTION("""COMPUTED_VALUE"""),2850.0)</f>
        <v>2850</v>
      </c>
      <c r="D62" s="2">
        <f>IFERROR(__xludf.DUMMYFUNCTION("""COMPUTED_VALUE"""),2510.0)</f>
        <v>2510</v>
      </c>
      <c r="E62" s="2">
        <f>IFERROR(__xludf.DUMMYFUNCTION("""COMPUTED_VALUE"""),2600.0)</f>
        <v>2600</v>
      </c>
      <c r="F62" s="2">
        <f>IFERROR(__xludf.DUMMYFUNCTION("""COMPUTED_VALUE"""),1.88788E7)</f>
        <v>18878800</v>
      </c>
      <c r="G62" s="2">
        <f t="shared" si="1"/>
        <v>390</v>
      </c>
    </row>
    <row r="63" ht="15.75" customHeight="1">
      <c r="A63" s="1">
        <f>IFERROR(__xludf.DUMMYFUNCTION("""COMPUTED_VALUE"""),43920.66666666667)</f>
        <v>43920.66667</v>
      </c>
      <c r="B63" s="2">
        <f>IFERROR(__xludf.DUMMYFUNCTION("""COMPUTED_VALUE"""),2500.0)</f>
        <v>2500</v>
      </c>
      <c r="C63" s="2">
        <f>IFERROR(__xludf.DUMMYFUNCTION("""COMPUTED_VALUE"""),2530.0)</f>
        <v>2530</v>
      </c>
      <c r="D63" s="2">
        <f>IFERROR(__xludf.DUMMYFUNCTION("""COMPUTED_VALUE"""),2420.0)</f>
        <v>2420</v>
      </c>
      <c r="E63" s="2">
        <f>IFERROR(__xludf.DUMMYFUNCTION("""COMPUTED_VALUE"""),2420.0)</f>
        <v>2420</v>
      </c>
      <c r="F63" s="2">
        <f>IFERROR(__xludf.DUMMYFUNCTION("""COMPUTED_VALUE"""),6374200.0)</f>
        <v>6374200</v>
      </c>
      <c r="G63" s="2">
        <f t="shared" si="1"/>
        <v>180</v>
      </c>
    </row>
    <row r="64" ht="15.75" customHeight="1">
      <c r="A64" s="1">
        <f>IFERROR(__xludf.DUMMYFUNCTION("""COMPUTED_VALUE"""),43921.66666666667)</f>
        <v>43921.66667</v>
      </c>
      <c r="B64" s="2">
        <f>IFERROR(__xludf.DUMMYFUNCTION("""COMPUTED_VALUE"""),2480.0)</f>
        <v>2480</v>
      </c>
      <c r="C64" s="2">
        <f>IFERROR(__xludf.DUMMYFUNCTION("""COMPUTED_VALUE"""),2620.0)</f>
        <v>2620</v>
      </c>
      <c r="D64" s="2">
        <f>IFERROR(__xludf.DUMMYFUNCTION("""COMPUTED_VALUE"""),2460.0)</f>
        <v>2460</v>
      </c>
      <c r="E64" s="2">
        <f>IFERROR(__xludf.DUMMYFUNCTION("""COMPUTED_VALUE"""),2540.0)</f>
        <v>2540</v>
      </c>
      <c r="F64" s="2">
        <f>IFERROR(__xludf.DUMMYFUNCTION("""COMPUTED_VALUE"""),1.09023E7)</f>
        <v>10902300</v>
      </c>
      <c r="G64" s="2">
        <f t="shared" si="1"/>
        <v>200</v>
      </c>
    </row>
    <row r="65" ht="15.75" customHeight="1">
      <c r="A65" s="1">
        <f>IFERROR(__xludf.DUMMYFUNCTION("""COMPUTED_VALUE"""),43922.66666666667)</f>
        <v>43922.66667</v>
      </c>
      <c r="B65" s="2">
        <f>IFERROR(__xludf.DUMMYFUNCTION("""COMPUTED_VALUE"""),2540.0)</f>
        <v>2540</v>
      </c>
      <c r="C65" s="2">
        <f>IFERROR(__xludf.DUMMYFUNCTION("""COMPUTED_VALUE"""),2710.0)</f>
        <v>2710</v>
      </c>
      <c r="D65" s="2">
        <f>IFERROR(__xludf.DUMMYFUNCTION("""COMPUTED_VALUE"""),2410.0)</f>
        <v>2410</v>
      </c>
      <c r="E65" s="2">
        <f>IFERROR(__xludf.DUMMYFUNCTION("""COMPUTED_VALUE"""),2500.0)</f>
        <v>2500</v>
      </c>
      <c r="F65" s="2">
        <f>IFERROR(__xludf.DUMMYFUNCTION("""COMPUTED_VALUE"""),1.32044E7)</f>
        <v>13204400</v>
      </c>
      <c r="G65" s="2">
        <f t="shared" si="1"/>
        <v>300</v>
      </c>
    </row>
    <row r="66" ht="15.75" customHeight="1">
      <c r="A66" s="1">
        <f>IFERROR(__xludf.DUMMYFUNCTION("""COMPUTED_VALUE"""),43923.66666666667)</f>
        <v>43923.66667</v>
      </c>
      <c r="B66" s="2">
        <f>IFERROR(__xludf.DUMMYFUNCTION("""COMPUTED_VALUE"""),2490.0)</f>
        <v>2490</v>
      </c>
      <c r="C66" s="2">
        <f>IFERROR(__xludf.DUMMYFUNCTION("""COMPUTED_VALUE"""),2600.0)</f>
        <v>2600</v>
      </c>
      <c r="D66" s="2">
        <f>IFERROR(__xludf.DUMMYFUNCTION("""COMPUTED_VALUE"""),2420.0)</f>
        <v>2420</v>
      </c>
      <c r="E66" s="2">
        <f>IFERROR(__xludf.DUMMYFUNCTION("""COMPUTED_VALUE"""),2600.0)</f>
        <v>2600</v>
      </c>
      <c r="F66" s="2">
        <f>IFERROR(__xludf.DUMMYFUNCTION("""COMPUTED_VALUE"""),7541100.0)</f>
        <v>7541100</v>
      </c>
      <c r="G66" s="2">
        <f t="shared" si="1"/>
        <v>180</v>
      </c>
    </row>
    <row r="67" ht="15.75" customHeight="1">
      <c r="A67" s="1">
        <f>IFERROR(__xludf.DUMMYFUNCTION("""COMPUTED_VALUE"""),43924.66666666667)</f>
        <v>43924.66667</v>
      </c>
      <c r="B67" s="2">
        <f>IFERROR(__xludf.DUMMYFUNCTION("""COMPUTED_VALUE"""),2680.0)</f>
        <v>2680</v>
      </c>
      <c r="C67" s="2">
        <f>IFERROR(__xludf.DUMMYFUNCTION("""COMPUTED_VALUE"""),2880.0)</f>
        <v>2880</v>
      </c>
      <c r="D67" s="2">
        <f>IFERROR(__xludf.DUMMYFUNCTION("""COMPUTED_VALUE"""),2600.0)</f>
        <v>2600</v>
      </c>
      <c r="E67" s="2">
        <f>IFERROR(__xludf.DUMMYFUNCTION("""COMPUTED_VALUE"""),2880.0)</f>
        <v>2880</v>
      </c>
      <c r="F67" s="2">
        <f>IFERROR(__xludf.DUMMYFUNCTION("""COMPUTED_VALUE"""),9769300.0)</f>
        <v>9769300</v>
      </c>
      <c r="G67" s="2">
        <f t="shared" si="1"/>
        <v>280</v>
      </c>
    </row>
    <row r="68" ht="15.75" customHeight="1">
      <c r="A68" s="1">
        <f>IFERROR(__xludf.DUMMYFUNCTION("""COMPUTED_VALUE"""),43927.66666666667)</f>
        <v>43927.66667</v>
      </c>
      <c r="B68" s="2">
        <f>IFERROR(__xludf.DUMMYFUNCTION("""COMPUTED_VALUE"""),2870.0)</f>
        <v>2870</v>
      </c>
      <c r="C68" s="2">
        <f>IFERROR(__xludf.DUMMYFUNCTION("""COMPUTED_VALUE"""),3390.0)</f>
        <v>3390</v>
      </c>
      <c r="D68" s="2">
        <f>IFERROR(__xludf.DUMMYFUNCTION("""COMPUTED_VALUE"""),2870.0)</f>
        <v>2870</v>
      </c>
      <c r="E68" s="2">
        <f>IFERROR(__xludf.DUMMYFUNCTION("""COMPUTED_VALUE"""),3300.0)</f>
        <v>3300</v>
      </c>
      <c r="F68" s="2">
        <f>IFERROR(__xludf.DUMMYFUNCTION("""COMPUTED_VALUE"""),1.39248E7)</f>
        <v>13924800</v>
      </c>
      <c r="G68" s="2">
        <f t="shared" si="1"/>
        <v>520</v>
      </c>
    </row>
    <row r="69" ht="15.75" customHeight="1">
      <c r="A69" s="1">
        <f>IFERROR(__xludf.DUMMYFUNCTION("""COMPUTED_VALUE"""),43928.66666666667)</f>
        <v>43928.66667</v>
      </c>
      <c r="B69" s="2">
        <f>IFERROR(__xludf.DUMMYFUNCTION("""COMPUTED_VALUE"""),3400.0)</f>
        <v>3400</v>
      </c>
      <c r="C69" s="2">
        <f>IFERROR(__xludf.DUMMYFUNCTION("""COMPUTED_VALUE"""),3660.0)</f>
        <v>3660</v>
      </c>
      <c r="D69" s="2">
        <f>IFERROR(__xludf.DUMMYFUNCTION("""COMPUTED_VALUE"""),3120.0)</f>
        <v>3120</v>
      </c>
      <c r="E69" s="2">
        <f>IFERROR(__xludf.DUMMYFUNCTION("""COMPUTED_VALUE"""),3200.0)</f>
        <v>3200</v>
      </c>
      <c r="F69" s="2">
        <f>IFERROR(__xludf.DUMMYFUNCTION("""COMPUTED_VALUE"""),1.79062E7)</f>
        <v>17906200</v>
      </c>
      <c r="G69" s="2">
        <f t="shared" si="1"/>
        <v>540</v>
      </c>
    </row>
    <row r="70" ht="15.75" customHeight="1">
      <c r="A70" s="1">
        <f>IFERROR(__xludf.DUMMYFUNCTION("""COMPUTED_VALUE"""),43929.66666666667)</f>
        <v>43929.66667</v>
      </c>
      <c r="B70" s="2">
        <f>IFERROR(__xludf.DUMMYFUNCTION("""COMPUTED_VALUE"""),3200.0)</f>
        <v>3200</v>
      </c>
      <c r="C70" s="2">
        <f>IFERROR(__xludf.DUMMYFUNCTION("""COMPUTED_VALUE"""),3200.0)</f>
        <v>3200</v>
      </c>
      <c r="D70" s="2">
        <f>IFERROR(__xludf.DUMMYFUNCTION("""COMPUTED_VALUE"""),2980.0)</f>
        <v>2980</v>
      </c>
      <c r="E70" s="2">
        <f>IFERROR(__xludf.DUMMYFUNCTION("""COMPUTED_VALUE"""),2980.0)</f>
        <v>2980</v>
      </c>
      <c r="F70" s="2">
        <f>IFERROR(__xludf.DUMMYFUNCTION("""COMPUTED_VALUE"""),9535800.0)</f>
        <v>9535800</v>
      </c>
      <c r="G70" s="2">
        <f t="shared" si="1"/>
        <v>220</v>
      </c>
    </row>
    <row r="71" ht="15.75" customHeight="1">
      <c r="A71" s="1">
        <f>IFERROR(__xludf.DUMMYFUNCTION("""COMPUTED_VALUE"""),43930.66666666667)</f>
        <v>43930.66667</v>
      </c>
      <c r="B71" s="2">
        <f>IFERROR(__xludf.DUMMYFUNCTION("""COMPUTED_VALUE"""),3020.0)</f>
        <v>3020</v>
      </c>
      <c r="C71" s="2">
        <f>IFERROR(__xludf.DUMMYFUNCTION("""COMPUTED_VALUE"""),3020.0)</f>
        <v>3020</v>
      </c>
      <c r="D71" s="2">
        <f>IFERROR(__xludf.DUMMYFUNCTION("""COMPUTED_VALUE"""),2780.0)</f>
        <v>2780</v>
      </c>
      <c r="E71" s="2">
        <f>IFERROR(__xludf.DUMMYFUNCTION("""COMPUTED_VALUE"""),2840.0)</f>
        <v>2840</v>
      </c>
      <c r="F71" s="2">
        <f>IFERROR(__xludf.DUMMYFUNCTION("""COMPUTED_VALUE"""),1.65402E7)</f>
        <v>16540200</v>
      </c>
      <c r="G71" s="2">
        <f t="shared" si="1"/>
        <v>240</v>
      </c>
    </row>
    <row r="72" ht="15.75" customHeight="1">
      <c r="A72" s="1">
        <f>IFERROR(__xludf.DUMMYFUNCTION("""COMPUTED_VALUE"""),43934.66666666667)</f>
        <v>43934.66667</v>
      </c>
      <c r="B72" s="2">
        <f>IFERROR(__xludf.DUMMYFUNCTION("""COMPUTED_VALUE"""),2800.0)</f>
        <v>2800</v>
      </c>
      <c r="C72" s="2">
        <f>IFERROR(__xludf.DUMMYFUNCTION("""COMPUTED_VALUE"""),3090.0)</f>
        <v>3090</v>
      </c>
      <c r="D72" s="2">
        <f>IFERROR(__xludf.DUMMYFUNCTION("""COMPUTED_VALUE"""),2760.0)</f>
        <v>2760</v>
      </c>
      <c r="E72" s="2">
        <f>IFERROR(__xludf.DUMMYFUNCTION("""COMPUTED_VALUE"""),3050.0)</f>
        <v>3050</v>
      </c>
      <c r="F72" s="2">
        <f>IFERROR(__xludf.DUMMYFUNCTION("""COMPUTED_VALUE"""),1.22769E7)</f>
        <v>12276900</v>
      </c>
      <c r="G72" s="2">
        <f t="shared" si="1"/>
        <v>330</v>
      </c>
    </row>
    <row r="73" ht="15.75" customHeight="1">
      <c r="A73" s="1">
        <f>IFERROR(__xludf.DUMMYFUNCTION("""COMPUTED_VALUE"""),43935.66666666667)</f>
        <v>43935.66667</v>
      </c>
      <c r="B73" s="2">
        <f>IFERROR(__xludf.DUMMYFUNCTION("""COMPUTED_VALUE"""),3050.0)</f>
        <v>3050</v>
      </c>
      <c r="C73" s="2">
        <f>IFERROR(__xludf.DUMMYFUNCTION("""COMPUTED_VALUE"""),3130.0)</f>
        <v>3130</v>
      </c>
      <c r="D73" s="2">
        <f>IFERROR(__xludf.DUMMYFUNCTION("""COMPUTED_VALUE"""),2980.0)</f>
        <v>2980</v>
      </c>
      <c r="E73" s="2">
        <f>IFERROR(__xludf.DUMMYFUNCTION("""COMPUTED_VALUE"""),3120.0)</f>
        <v>3120</v>
      </c>
      <c r="F73" s="2">
        <f>IFERROR(__xludf.DUMMYFUNCTION("""COMPUTED_VALUE"""),1.19634E7)</f>
        <v>11963400</v>
      </c>
      <c r="G73" s="2">
        <f t="shared" si="1"/>
        <v>150</v>
      </c>
    </row>
    <row r="74" ht="15.75" customHeight="1">
      <c r="A74" s="1">
        <f>IFERROR(__xludf.DUMMYFUNCTION("""COMPUTED_VALUE"""),43936.66666666667)</f>
        <v>43936.66667</v>
      </c>
      <c r="B74" s="2">
        <f>IFERROR(__xludf.DUMMYFUNCTION("""COMPUTED_VALUE"""),3140.0)</f>
        <v>3140</v>
      </c>
      <c r="C74" s="2">
        <f>IFERROR(__xludf.DUMMYFUNCTION("""COMPUTED_VALUE"""),3220.0)</f>
        <v>3220</v>
      </c>
      <c r="D74" s="2">
        <f>IFERROR(__xludf.DUMMYFUNCTION("""COMPUTED_VALUE"""),2950.0)</f>
        <v>2950</v>
      </c>
      <c r="E74" s="2">
        <f>IFERROR(__xludf.DUMMYFUNCTION("""COMPUTED_VALUE"""),2980.0)</f>
        <v>2980</v>
      </c>
      <c r="F74" s="2">
        <f>IFERROR(__xludf.DUMMYFUNCTION("""COMPUTED_VALUE"""),1.14092E7)</f>
        <v>11409200</v>
      </c>
      <c r="G74" s="2">
        <f t="shared" si="1"/>
        <v>270</v>
      </c>
    </row>
    <row r="75" ht="15.75" customHeight="1">
      <c r="A75" s="1">
        <f>IFERROR(__xludf.DUMMYFUNCTION("""COMPUTED_VALUE"""),43937.66666666667)</f>
        <v>43937.66667</v>
      </c>
      <c r="B75" s="2">
        <f>IFERROR(__xludf.DUMMYFUNCTION("""COMPUTED_VALUE"""),2930.0)</f>
        <v>2930</v>
      </c>
      <c r="C75" s="2">
        <f>IFERROR(__xludf.DUMMYFUNCTION("""COMPUTED_VALUE"""),2970.0)</f>
        <v>2970</v>
      </c>
      <c r="D75" s="2">
        <f>IFERROR(__xludf.DUMMYFUNCTION("""COMPUTED_VALUE"""),2820.0)</f>
        <v>2820</v>
      </c>
      <c r="E75" s="2">
        <f>IFERROR(__xludf.DUMMYFUNCTION("""COMPUTED_VALUE"""),2870.0)</f>
        <v>2870</v>
      </c>
      <c r="F75" s="2">
        <f>IFERROR(__xludf.DUMMYFUNCTION("""COMPUTED_VALUE"""),7559500.0)</f>
        <v>7559500</v>
      </c>
      <c r="G75" s="2">
        <f t="shared" si="1"/>
        <v>160</v>
      </c>
    </row>
    <row r="76" ht="15.75" customHeight="1">
      <c r="A76" s="1">
        <f>IFERROR(__xludf.DUMMYFUNCTION("""COMPUTED_VALUE"""),43938.66666666667)</f>
        <v>43938.66667</v>
      </c>
      <c r="B76" s="2">
        <f>IFERROR(__xludf.DUMMYFUNCTION("""COMPUTED_VALUE"""),2940.0)</f>
        <v>2940</v>
      </c>
      <c r="C76" s="2">
        <f>IFERROR(__xludf.DUMMYFUNCTION("""COMPUTED_VALUE"""),3000.0)</f>
        <v>3000</v>
      </c>
      <c r="D76" s="2">
        <f>IFERROR(__xludf.DUMMYFUNCTION("""COMPUTED_VALUE"""),2900.0)</f>
        <v>2900</v>
      </c>
      <c r="E76" s="2">
        <f>IFERROR(__xludf.DUMMYFUNCTION("""COMPUTED_VALUE"""),2920.0)</f>
        <v>2920</v>
      </c>
      <c r="F76" s="2">
        <f>IFERROR(__xludf.DUMMYFUNCTION("""COMPUTED_VALUE"""),1.17481E7)</f>
        <v>11748100</v>
      </c>
      <c r="G76" s="2">
        <f t="shared" si="1"/>
        <v>130</v>
      </c>
    </row>
    <row r="77" ht="15.75" customHeight="1">
      <c r="A77" s="1">
        <f>IFERROR(__xludf.DUMMYFUNCTION("""COMPUTED_VALUE"""),43941.66666666667)</f>
        <v>43941.66667</v>
      </c>
      <c r="B77" s="2">
        <f>IFERROR(__xludf.DUMMYFUNCTION("""COMPUTED_VALUE"""),2920.0)</f>
        <v>2920</v>
      </c>
      <c r="C77" s="2">
        <f>IFERROR(__xludf.DUMMYFUNCTION("""COMPUTED_VALUE"""),2950.0)</f>
        <v>2950</v>
      </c>
      <c r="D77" s="2">
        <f>IFERROR(__xludf.DUMMYFUNCTION("""COMPUTED_VALUE"""),2800.0)</f>
        <v>2800</v>
      </c>
      <c r="E77" s="2">
        <f>IFERROR(__xludf.DUMMYFUNCTION("""COMPUTED_VALUE"""),2800.0)</f>
        <v>2800</v>
      </c>
      <c r="F77" s="2">
        <f>IFERROR(__xludf.DUMMYFUNCTION("""COMPUTED_VALUE"""),8280400.0)</f>
        <v>8280400</v>
      </c>
      <c r="G77" s="2">
        <f t="shared" si="1"/>
        <v>150</v>
      </c>
    </row>
    <row r="78" ht="15.75" customHeight="1">
      <c r="A78" s="1">
        <f>IFERROR(__xludf.DUMMYFUNCTION("""COMPUTED_VALUE"""),43942.66666666667)</f>
        <v>43942.66667</v>
      </c>
      <c r="B78" s="2">
        <f>IFERROR(__xludf.DUMMYFUNCTION("""COMPUTED_VALUE"""),2810.0)</f>
        <v>2810</v>
      </c>
      <c r="C78" s="2">
        <f>IFERROR(__xludf.DUMMYFUNCTION("""COMPUTED_VALUE"""),2840.0)</f>
        <v>2840</v>
      </c>
      <c r="D78" s="2">
        <f>IFERROR(__xludf.DUMMYFUNCTION("""COMPUTED_VALUE"""),2610.0)</f>
        <v>2610</v>
      </c>
      <c r="E78" s="2">
        <f>IFERROR(__xludf.DUMMYFUNCTION("""COMPUTED_VALUE"""),2640.0)</f>
        <v>2640</v>
      </c>
      <c r="F78" s="2">
        <f>IFERROR(__xludf.DUMMYFUNCTION("""COMPUTED_VALUE"""),1.19562E7)</f>
        <v>11956200</v>
      </c>
      <c r="G78" s="2">
        <f t="shared" si="1"/>
        <v>230</v>
      </c>
    </row>
    <row r="79" ht="15.75" customHeight="1">
      <c r="A79" s="1">
        <f>IFERROR(__xludf.DUMMYFUNCTION("""COMPUTED_VALUE"""),43943.66666666667)</f>
        <v>43943.66667</v>
      </c>
      <c r="B79" s="2">
        <f>IFERROR(__xludf.DUMMYFUNCTION("""COMPUTED_VALUE"""),2600.0)</f>
        <v>2600</v>
      </c>
      <c r="C79" s="2">
        <f>IFERROR(__xludf.DUMMYFUNCTION("""COMPUTED_VALUE"""),2690.0)</f>
        <v>2690</v>
      </c>
      <c r="D79" s="2">
        <f>IFERROR(__xludf.DUMMYFUNCTION("""COMPUTED_VALUE"""),2550.0)</f>
        <v>2550</v>
      </c>
      <c r="E79" s="2">
        <f>IFERROR(__xludf.DUMMYFUNCTION("""COMPUTED_VALUE"""),2640.0)</f>
        <v>2640</v>
      </c>
      <c r="F79" s="2">
        <f>IFERROR(__xludf.DUMMYFUNCTION("""COMPUTED_VALUE"""),1.44307E7)</f>
        <v>14430700</v>
      </c>
      <c r="G79" s="2">
        <f t="shared" si="1"/>
        <v>140</v>
      </c>
    </row>
    <row r="80" ht="15.75" customHeight="1">
      <c r="A80" s="1">
        <f>IFERROR(__xludf.DUMMYFUNCTION("""COMPUTED_VALUE"""),43944.66666666667)</f>
        <v>43944.66667</v>
      </c>
      <c r="B80" s="2">
        <f>IFERROR(__xludf.DUMMYFUNCTION("""COMPUTED_VALUE"""),2650.0)</f>
        <v>2650</v>
      </c>
      <c r="C80" s="2">
        <f>IFERROR(__xludf.DUMMYFUNCTION("""COMPUTED_VALUE"""),2680.0)</f>
        <v>2680</v>
      </c>
      <c r="D80" s="2">
        <f>IFERROR(__xludf.DUMMYFUNCTION("""COMPUTED_VALUE"""),2580.0)</f>
        <v>2580</v>
      </c>
      <c r="E80" s="2">
        <f>IFERROR(__xludf.DUMMYFUNCTION("""COMPUTED_VALUE"""),2580.0)</f>
        <v>2580</v>
      </c>
      <c r="F80" s="2">
        <f>IFERROR(__xludf.DUMMYFUNCTION("""COMPUTED_VALUE"""),1.26671E7)</f>
        <v>12667100</v>
      </c>
      <c r="G80" s="2">
        <f t="shared" si="1"/>
        <v>100</v>
      </c>
    </row>
    <row r="81" ht="15.75" customHeight="1">
      <c r="A81" s="1">
        <f>IFERROR(__xludf.DUMMYFUNCTION("""COMPUTED_VALUE"""),43945.66666666667)</f>
        <v>43945.66667</v>
      </c>
      <c r="B81" s="2">
        <f>IFERROR(__xludf.DUMMYFUNCTION("""COMPUTED_VALUE"""),2580.0)</f>
        <v>2580</v>
      </c>
      <c r="C81" s="2">
        <f>IFERROR(__xludf.DUMMYFUNCTION("""COMPUTED_VALUE"""),2580.0)</f>
        <v>2580</v>
      </c>
      <c r="D81" s="2">
        <f>IFERROR(__xludf.DUMMYFUNCTION("""COMPUTED_VALUE"""),2520.0)</f>
        <v>2520</v>
      </c>
      <c r="E81" s="2">
        <f>IFERROR(__xludf.DUMMYFUNCTION("""COMPUTED_VALUE"""),2550.0)</f>
        <v>2550</v>
      </c>
      <c r="F81" s="2">
        <f>IFERROR(__xludf.DUMMYFUNCTION("""COMPUTED_VALUE"""),1.07733E7)</f>
        <v>10773300</v>
      </c>
      <c r="G81" s="2">
        <f t="shared" si="1"/>
        <v>60</v>
      </c>
    </row>
    <row r="82" ht="15.75" customHeight="1">
      <c r="A82" s="1">
        <f>IFERROR(__xludf.DUMMYFUNCTION("""COMPUTED_VALUE"""),43948.66666666667)</f>
        <v>43948.66667</v>
      </c>
      <c r="B82" s="2">
        <f>IFERROR(__xludf.DUMMYFUNCTION("""COMPUTED_VALUE"""),2580.0)</f>
        <v>2580</v>
      </c>
      <c r="C82" s="2">
        <f>IFERROR(__xludf.DUMMYFUNCTION("""COMPUTED_VALUE"""),2590.0)</f>
        <v>2590</v>
      </c>
      <c r="D82" s="2">
        <f>IFERROR(__xludf.DUMMYFUNCTION("""COMPUTED_VALUE"""),2450.0)</f>
        <v>2450</v>
      </c>
      <c r="E82" s="2">
        <f>IFERROR(__xludf.DUMMYFUNCTION("""COMPUTED_VALUE"""),2560.0)</f>
        <v>2560</v>
      </c>
      <c r="F82" s="2">
        <f>IFERROR(__xludf.DUMMYFUNCTION("""COMPUTED_VALUE"""),1.37593E7)</f>
        <v>13759300</v>
      </c>
      <c r="G82" s="2">
        <f t="shared" si="1"/>
        <v>140</v>
      </c>
    </row>
    <row r="83" ht="15.75" customHeight="1">
      <c r="A83" s="1">
        <f>IFERROR(__xludf.DUMMYFUNCTION("""COMPUTED_VALUE"""),43949.66666666667)</f>
        <v>43949.66667</v>
      </c>
      <c r="B83" s="2">
        <f>IFERROR(__xludf.DUMMYFUNCTION("""COMPUTED_VALUE"""),2540.0)</f>
        <v>2540</v>
      </c>
      <c r="C83" s="2">
        <f>IFERROR(__xludf.DUMMYFUNCTION("""COMPUTED_VALUE"""),2760.0)</f>
        <v>2760</v>
      </c>
      <c r="D83" s="2">
        <f>IFERROR(__xludf.DUMMYFUNCTION("""COMPUTED_VALUE"""),2520.0)</f>
        <v>2520</v>
      </c>
      <c r="E83" s="2">
        <f>IFERROR(__xludf.DUMMYFUNCTION("""COMPUTED_VALUE"""),2700.0)</f>
        <v>2700</v>
      </c>
      <c r="F83" s="2">
        <f>IFERROR(__xludf.DUMMYFUNCTION("""COMPUTED_VALUE"""),2.2862E7)</f>
        <v>22862000</v>
      </c>
      <c r="G83" s="2">
        <f t="shared" si="1"/>
        <v>240</v>
      </c>
    </row>
    <row r="84" ht="15.75" customHeight="1">
      <c r="A84" s="1">
        <f>IFERROR(__xludf.DUMMYFUNCTION("""COMPUTED_VALUE"""),43950.66666666667)</f>
        <v>43950.66667</v>
      </c>
      <c r="B84" s="2">
        <f>IFERROR(__xludf.DUMMYFUNCTION("""COMPUTED_VALUE"""),2730.0)</f>
        <v>2730</v>
      </c>
      <c r="C84" s="2">
        <f>IFERROR(__xludf.DUMMYFUNCTION("""COMPUTED_VALUE"""),2880.0)</f>
        <v>2880</v>
      </c>
      <c r="D84" s="2">
        <f>IFERROR(__xludf.DUMMYFUNCTION("""COMPUTED_VALUE"""),2670.0)</f>
        <v>2670</v>
      </c>
      <c r="E84" s="2">
        <f>IFERROR(__xludf.DUMMYFUNCTION("""COMPUTED_VALUE"""),2850.0)</f>
        <v>2850</v>
      </c>
      <c r="F84" s="2">
        <f>IFERROR(__xludf.DUMMYFUNCTION("""COMPUTED_VALUE"""),1.79682E7)</f>
        <v>17968200</v>
      </c>
      <c r="G84" s="2">
        <f t="shared" si="1"/>
        <v>210</v>
      </c>
    </row>
    <row r="85" ht="15.75" customHeight="1">
      <c r="A85" s="1">
        <f>IFERROR(__xludf.DUMMYFUNCTION("""COMPUTED_VALUE"""),43951.66666666667)</f>
        <v>43951.66667</v>
      </c>
      <c r="B85" s="2">
        <f>IFERROR(__xludf.DUMMYFUNCTION("""COMPUTED_VALUE"""),2900.0)</f>
        <v>2900</v>
      </c>
      <c r="C85" s="2">
        <f>IFERROR(__xludf.DUMMYFUNCTION("""COMPUTED_VALUE"""),3240.0)</f>
        <v>3240</v>
      </c>
      <c r="D85" s="2">
        <f>IFERROR(__xludf.DUMMYFUNCTION("""COMPUTED_VALUE"""),2890.0)</f>
        <v>2890</v>
      </c>
      <c r="E85" s="2">
        <f>IFERROR(__xludf.DUMMYFUNCTION("""COMPUTED_VALUE"""),3150.0)</f>
        <v>3150</v>
      </c>
      <c r="F85" s="2">
        <f>IFERROR(__xludf.DUMMYFUNCTION("""COMPUTED_VALUE"""),3.77867E7)</f>
        <v>37786700</v>
      </c>
      <c r="G85" s="2">
        <f t="shared" si="1"/>
        <v>390</v>
      </c>
    </row>
    <row r="86" ht="15.75" customHeight="1">
      <c r="A86" s="1">
        <f>IFERROR(__xludf.DUMMYFUNCTION("""COMPUTED_VALUE"""),43955.66666666667)</f>
        <v>43955.66667</v>
      </c>
      <c r="B86" s="2">
        <f>IFERROR(__xludf.DUMMYFUNCTION("""COMPUTED_VALUE"""),3120.0)</f>
        <v>3120</v>
      </c>
      <c r="C86" s="2">
        <f>IFERROR(__xludf.DUMMYFUNCTION("""COMPUTED_VALUE"""),3120.0)</f>
        <v>3120</v>
      </c>
      <c r="D86" s="2">
        <f>IFERROR(__xludf.DUMMYFUNCTION("""COMPUTED_VALUE"""),2950.0)</f>
        <v>2950</v>
      </c>
      <c r="E86" s="2">
        <f>IFERROR(__xludf.DUMMYFUNCTION("""COMPUTED_VALUE"""),3040.0)</f>
        <v>3040</v>
      </c>
      <c r="F86" s="2">
        <f>IFERROR(__xludf.DUMMYFUNCTION("""COMPUTED_VALUE"""),2.15949E7)</f>
        <v>21594900</v>
      </c>
      <c r="G86" s="2">
        <f t="shared" si="1"/>
        <v>200</v>
      </c>
    </row>
    <row r="87" ht="15.75" customHeight="1">
      <c r="A87" s="1">
        <f>IFERROR(__xludf.DUMMYFUNCTION("""COMPUTED_VALUE"""),43956.66666666667)</f>
        <v>43956.66667</v>
      </c>
      <c r="B87" s="2">
        <f>IFERROR(__xludf.DUMMYFUNCTION("""COMPUTED_VALUE"""),3060.0)</f>
        <v>3060</v>
      </c>
      <c r="C87" s="2">
        <f>IFERROR(__xludf.DUMMYFUNCTION("""COMPUTED_VALUE"""),3200.0)</f>
        <v>3200</v>
      </c>
      <c r="D87" s="2">
        <f>IFERROR(__xludf.DUMMYFUNCTION("""COMPUTED_VALUE"""),3060.0)</f>
        <v>3060</v>
      </c>
      <c r="E87" s="2">
        <f>IFERROR(__xludf.DUMMYFUNCTION("""COMPUTED_VALUE"""),3180.0)</f>
        <v>3180</v>
      </c>
      <c r="F87" s="2">
        <f>IFERROR(__xludf.DUMMYFUNCTION("""COMPUTED_VALUE"""),1.92918E7)</f>
        <v>19291800</v>
      </c>
      <c r="G87" s="2">
        <f t="shared" si="1"/>
        <v>160</v>
      </c>
    </row>
    <row r="88" ht="15.75" customHeight="1">
      <c r="A88" s="1">
        <f>IFERROR(__xludf.DUMMYFUNCTION("""COMPUTED_VALUE"""),43957.66666666667)</f>
        <v>43957.66667</v>
      </c>
      <c r="B88" s="2">
        <f>IFERROR(__xludf.DUMMYFUNCTION("""COMPUTED_VALUE"""),3220.0)</f>
        <v>3220</v>
      </c>
      <c r="C88" s="2">
        <f>IFERROR(__xludf.DUMMYFUNCTION("""COMPUTED_VALUE"""),3590.0)</f>
        <v>3590</v>
      </c>
      <c r="D88" s="2">
        <f>IFERROR(__xludf.DUMMYFUNCTION("""COMPUTED_VALUE"""),3190.0)</f>
        <v>3190</v>
      </c>
      <c r="E88" s="2">
        <f>IFERROR(__xludf.DUMMYFUNCTION("""COMPUTED_VALUE"""),3510.0)</f>
        <v>3510</v>
      </c>
      <c r="F88" s="2">
        <f>IFERROR(__xludf.DUMMYFUNCTION("""COMPUTED_VALUE"""),4.95984E7)</f>
        <v>49598400</v>
      </c>
      <c r="G88" s="2">
        <f t="shared" si="1"/>
        <v>410</v>
      </c>
    </row>
    <row r="89" ht="15.75" customHeight="1">
      <c r="A89" s="1">
        <f>IFERROR(__xludf.DUMMYFUNCTION("""COMPUTED_VALUE"""),43959.66666666667)</f>
        <v>43959.66667</v>
      </c>
      <c r="B89" s="2">
        <f>IFERROR(__xludf.DUMMYFUNCTION("""COMPUTED_VALUE"""),3550.0)</f>
        <v>3550</v>
      </c>
      <c r="C89" s="2">
        <f>IFERROR(__xludf.DUMMYFUNCTION("""COMPUTED_VALUE"""),3640.0)</f>
        <v>3640</v>
      </c>
      <c r="D89" s="2">
        <f>IFERROR(__xludf.DUMMYFUNCTION("""COMPUTED_VALUE"""),3400.0)</f>
        <v>3400</v>
      </c>
      <c r="E89" s="2">
        <f>IFERROR(__xludf.DUMMYFUNCTION("""COMPUTED_VALUE"""),3640.0)</f>
        <v>3640</v>
      </c>
      <c r="F89" s="2">
        <f>IFERROR(__xludf.DUMMYFUNCTION("""COMPUTED_VALUE"""),2.72926E7)</f>
        <v>27292600</v>
      </c>
      <c r="G89" s="2">
        <f t="shared" si="1"/>
        <v>240</v>
      </c>
    </row>
    <row r="90" ht="15.75" customHeight="1">
      <c r="A90" s="1">
        <f>IFERROR(__xludf.DUMMYFUNCTION("""COMPUTED_VALUE"""),43962.66666666667)</f>
        <v>43962.66667</v>
      </c>
      <c r="B90" s="2">
        <f>IFERROR(__xludf.DUMMYFUNCTION("""COMPUTED_VALUE"""),3650.0)</f>
        <v>3650</v>
      </c>
      <c r="C90" s="2">
        <f>IFERROR(__xludf.DUMMYFUNCTION("""COMPUTED_VALUE"""),3800.0)</f>
        <v>3800</v>
      </c>
      <c r="D90" s="2">
        <f>IFERROR(__xludf.DUMMYFUNCTION("""COMPUTED_VALUE"""),3610.0)</f>
        <v>3610</v>
      </c>
      <c r="E90" s="2">
        <f>IFERROR(__xludf.DUMMYFUNCTION("""COMPUTED_VALUE"""),3800.0)</f>
        <v>3800</v>
      </c>
      <c r="F90" s="2">
        <f>IFERROR(__xludf.DUMMYFUNCTION("""COMPUTED_VALUE"""),2.42012E7)</f>
        <v>24201200</v>
      </c>
      <c r="G90" s="2">
        <f t="shared" si="1"/>
        <v>190</v>
      </c>
    </row>
    <row r="91" ht="15.75" customHeight="1">
      <c r="A91" s="1">
        <f>IFERROR(__xludf.DUMMYFUNCTION("""COMPUTED_VALUE"""),43963.66666666667)</f>
        <v>43963.66667</v>
      </c>
      <c r="B91" s="2">
        <f>IFERROR(__xludf.DUMMYFUNCTION("""COMPUTED_VALUE"""),3800.0)</f>
        <v>3800</v>
      </c>
      <c r="C91" s="2">
        <f>IFERROR(__xludf.DUMMYFUNCTION("""COMPUTED_VALUE"""),3880.0)</f>
        <v>3880</v>
      </c>
      <c r="D91" s="2">
        <f>IFERROR(__xludf.DUMMYFUNCTION("""COMPUTED_VALUE"""),3680.0)</f>
        <v>3680</v>
      </c>
      <c r="E91" s="2">
        <f>IFERROR(__xludf.DUMMYFUNCTION("""COMPUTED_VALUE"""),3680.0)</f>
        <v>3680</v>
      </c>
      <c r="F91" s="2">
        <f>IFERROR(__xludf.DUMMYFUNCTION("""COMPUTED_VALUE"""),1.87493E7)</f>
        <v>18749300</v>
      </c>
      <c r="G91" s="2">
        <f t="shared" si="1"/>
        <v>200</v>
      </c>
    </row>
    <row r="92" ht="15.75" customHeight="1">
      <c r="A92" s="1">
        <f>IFERROR(__xludf.DUMMYFUNCTION("""COMPUTED_VALUE"""),43964.66666666667)</f>
        <v>43964.66667</v>
      </c>
      <c r="B92" s="2">
        <f>IFERROR(__xludf.DUMMYFUNCTION("""COMPUTED_VALUE"""),3600.0)</f>
        <v>3600</v>
      </c>
      <c r="C92" s="2">
        <f>IFERROR(__xludf.DUMMYFUNCTION("""COMPUTED_VALUE"""),3600.0)</f>
        <v>3600</v>
      </c>
      <c r="D92" s="2">
        <f>IFERROR(__xludf.DUMMYFUNCTION("""COMPUTED_VALUE"""),3430.0)</f>
        <v>3430</v>
      </c>
      <c r="E92" s="2">
        <f>IFERROR(__xludf.DUMMYFUNCTION("""COMPUTED_VALUE"""),3430.0)</f>
        <v>3430</v>
      </c>
      <c r="F92" s="2">
        <f>IFERROR(__xludf.DUMMYFUNCTION("""COMPUTED_VALUE"""),5.87017E7)</f>
        <v>58701700</v>
      </c>
      <c r="G92" s="2">
        <f t="shared" si="1"/>
        <v>250</v>
      </c>
    </row>
    <row r="93" ht="15.75" customHeight="1">
      <c r="A93" s="1">
        <f>IFERROR(__xludf.DUMMYFUNCTION("""COMPUTED_VALUE"""),43965.66666666667)</f>
        <v>43965.66667</v>
      </c>
      <c r="B93" s="2">
        <f>IFERROR(__xludf.DUMMYFUNCTION("""COMPUTED_VALUE"""),3430.0)</f>
        <v>3430</v>
      </c>
      <c r="C93" s="2">
        <f>IFERROR(__xludf.DUMMYFUNCTION("""COMPUTED_VALUE"""),3620.0)</f>
        <v>3620</v>
      </c>
      <c r="D93" s="2">
        <f>IFERROR(__xludf.DUMMYFUNCTION("""COMPUTED_VALUE"""),3260.0)</f>
        <v>3260</v>
      </c>
      <c r="E93" s="2">
        <f>IFERROR(__xludf.DUMMYFUNCTION("""COMPUTED_VALUE"""),3530.0)</f>
        <v>3530</v>
      </c>
      <c r="F93" s="2">
        <f>IFERROR(__xludf.DUMMYFUNCTION("""COMPUTED_VALUE"""),2.68187E7)</f>
        <v>26818700</v>
      </c>
      <c r="G93" s="2">
        <f t="shared" si="1"/>
        <v>360</v>
      </c>
    </row>
    <row r="94" ht="15.75" customHeight="1">
      <c r="A94" s="1">
        <f>IFERROR(__xludf.DUMMYFUNCTION("""COMPUTED_VALUE"""),43966.66666666667)</f>
        <v>43966.66667</v>
      </c>
      <c r="B94" s="2">
        <f>IFERROR(__xludf.DUMMYFUNCTION("""COMPUTED_VALUE"""),3560.0)</f>
        <v>3560</v>
      </c>
      <c r="C94" s="2">
        <f>IFERROR(__xludf.DUMMYFUNCTION("""COMPUTED_VALUE"""),3620.0)</f>
        <v>3620</v>
      </c>
      <c r="D94" s="2">
        <f>IFERROR(__xludf.DUMMYFUNCTION("""COMPUTED_VALUE"""),3500.0)</f>
        <v>3500</v>
      </c>
      <c r="E94" s="2">
        <f>IFERROR(__xludf.DUMMYFUNCTION("""COMPUTED_VALUE"""),3530.0)</f>
        <v>3530</v>
      </c>
      <c r="F94" s="2">
        <f>IFERROR(__xludf.DUMMYFUNCTION("""COMPUTED_VALUE"""),8462800.0)</f>
        <v>8462800</v>
      </c>
      <c r="G94" s="2">
        <f t="shared" si="1"/>
        <v>120</v>
      </c>
    </row>
    <row r="95" ht="15.75" customHeight="1">
      <c r="A95" s="1">
        <f>IFERROR(__xludf.DUMMYFUNCTION("""COMPUTED_VALUE"""),43969.66666666667)</f>
        <v>43969.66667</v>
      </c>
      <c r="B95" s="2">
        <f>IFERROR(__xludf.DUMMYFUNCTION("""COMPUTED_VALUE"""),3530.0)</f>
        <v>3530</v>
      </c>
      <c r="C95" s="2">
        <f>IFERROR(__xludf.DUMMYFUNCTION("""COMPUTED_VALUE"""),3750.0)</f>
        <v>3750</v>
      </c>
      <c r="D95" s="2">
        <f>IFERROR(__xludf.DUMMYFUNCTION("""COMPUTED_VALUE"""),3520.0)</f>
        <v>3520</v>
      </c>
      <c r="E95" s="2">
        <f>IFERROR(__xludf.DUMMYFUNCTION("""COMPUTED_VALUE"""),3670.0)</f>
        <v>3670</v>
      </c>
      <c r="F95" s="2">
        <f>IFERROR(__xludf.DUMMYFUNCTION("""COMPUTED_VALUE"""),1.71201E7)</f>
        <v>17120100</v>
      </c>
      <c r="G95" s="2">
        <f t="shared" si="1"/>
        <v>230</v>
      </c>
    </row>
    <row r="96" ht="15.75" customHeight="1">
      <c r="A96" s="1">
        <f>IFERROR(__xludf.DUMMYFUNCTION("""COMPUTED_VALUE"""),43970.66666666667)</f>
        <v>43970.66667</v>
      </c>
      <c r="B96" s="2">
        <f>IFERROR(__xludf.DUMMYFUNCTION("""COMPUTED_VALUE"""),3770.0)</f>
        <v>3770</v>
      </c>
      <c r="C96" s="2">
        <f>IFERROR(__xludf.DUMMYFUNCTION("""COMPUTED_VALUE"""),3800.0)</f>
        <v>3800</v>
      </c>
      <c r="D96" s="2">
        <f>IFERROR(__xludf.DUMMYFUNCTION("""COMPUTED_VALUE"""),3680.0)</f>
        <v>3680</v>
      </c>
      <c r="E96" s="2">
        <f>IFERROR(__xludf.DUMMYFUNCTION("""COMPUTED_VALUE"""),3700.0)</f>
        <v>3700</v>
      </c>
      <c r="F96" s="2">
        <f>IFERROR(__xludf.DUMMYFUNCTION("""COMPUTED_VALUE"""),1.50837E7)</f>
        <v>15083700</v>
      </c>
      <c r="G96" s="2">
        <f t="shared" si="1"/>
        <v>130</v>
      </c>
    </row>
    <row r="97" ht="15.75" customHeight="1">
      <c r="A97" s="1">
        <f>IFERROR(__xludf.DUMMYFUNCTION("""COMPUTED_VALUE"""),43971.66666666667)</f>
        <v>43971.66667</v>
      </c>
      <c r="B97" s="2">
        <f>IFERROR(__xludf.DUMMYFUNCTION("""COMPUTED_VALUE"""),3700.0)</f>
        <v>3700</v>
      </c>
      <c r="C97" s="2">
        <f>IFERROR(__xludf.DUMMYFUNCTION("""COMPUTED_VALUE"""),3700.0)</f>
        <v>3700</v>
      </c>
      <c r="D97" s="2">
        <f>IFERROR(__xludf.DUMMYFUNCTION("""COMPUTED_VALUE"""),3550.0)</f>
        <v>3550</v>
      </c>
      <c r="E97" s="2">
        <f>IFERROR(__xludf.DUMMYFUNCTION("""COMPUTED_VALUE"""),3700.0)</f>
        <v>3700</v>
      </c>
      <c r="F97" s="2">
        <f>IFERROR(__xludf.DUMMYFUNCTION("""COMPUTED_VALUE"""),1.07482E7)</f>
        <v>10748200</v>
      </c>
      <c r="G97" s="2">
        <f t="shared" si="1"/>
        <v>150</v>
      </c>
    </row>
    <row r="98" ht="15.75" customHeight="1">
      <c r="A98" s="1">
        <f>IFERROR(__xludf.DUMMYFUNCTION("""COMPUTED_VALUE"""),43977.66666666667)</f>
        <v>43977.66667</v>
      </c>
      <c r="B98" s="2">
        <f>IFERROR(__xludf.DUMMYFUNCTION("""COMPUTED_VALUE"""),3730.0)</f>
        <v>3730</v>
      </c>
      <c r="C98" s="2">
        <f>IFERROR(__xludf.DUMMYFUNCTION("""COMPUTED_VALUE"""),4050.0)</f>
        <v>4050</v>
      </c>
      <c r="D98" s="2">
        <f>IFERROR(__xludf.DUMMYFUNCTION("""COMPUTED_VALUE"""),3700.0)</f>
        <v>3700</v>
      </c>
      <c r="E98" s="2">
        <f>IFERROR(__xludf.DUMMYFUNCTION("""COMPUTED_VALUE"""),3940.0)</f>
        <v>3940</v>
      </c>
      <c r="F98" s="2">
        <f>IFERROR(__xludf.DUMMYFUNCTION("""COMPUTED_VALUE"""),2.31614E7)</f>
        <v>23161400</v>
      </c>
      <c r="G98" s="2">
        <f t="shared" si="1"/>
        <v>350</v>
      </c>
    </row>
    <row r="99" ht="15.75" customHeight="1">
      <c r="A99" s="1">
        <f>IFERROR(__xludf.DUMMYFUNCTION("""COMPUTED_VALUE"""),43978.66666666667)</f>
        <v>43978.66667</v>
      </c>
      <c r="B99" s="2">
        <f>IFERROR(__xludf.DUMMYFUNCTION("""COMPUTED_VALUE"""),3980.0)</f>
        <v>3980</v>
      </c>
      <c r="C99" s="2">
        <f>IFERROR(__xludf.DUMMYFUNCTION("""COMPUTED_VALUE"""),4150.0)</f>
        <v>4150</v>
      </c>
      <c r="D99" s="2">
        <f>IFERROR(__xludf.DUMMYFUNCTION("""COMPUTED_VALUE"""),3890.0)</f>
        <v>3890</v>
      </c>
      <c r="E99" s="2">
        <f>IFERROR(__xludf.DUMMYFUNCTION("""COMPUTED_VALUE"""),3910.0)</f>
        <v>3910</v>
      </c>
      <c r="F99" s="2">
        <f>IFERROR(__xludf.DUMMYFUNCTION("""COMPUTED_VALUE"""),2.84706E7)</f>
        <v>28470600</v>
      </c>
      <c r="G99" s="2">
        <f t="shared" si="1"/>
        <v>260</v>
      </c>
    </row>
    <row r="100" ht="15.75" customHeight="1">
      <c r="A100" s="1">
        <f>IFERROR(__xludf.DUMMYFUNCTION("""COMPUTED_VALUE"""),43979.66666666667)</f>
        <v>43979.66667</v>
      </c>
      <c r="B100" s="2">
        <f>IFERROR(__xludf.DUMMYFUNCTION("""COMPUTED_VALUE"""),3940.0)</f>
        <v>3940</v>
      </c>
      <c r="C100" s="2">
        <f>IFERROR(__xludf.DUMMYFUNCTION("""COMPUTED_VALUE"""),4000.0)</f>
        <v>4000</v>
      </c>
      <c r="D100" s="2">
        <f>IFERROR(__xludf.DUMMYFUNCTION("""COMPUTED_VALUE"""),3810.0)</f>
        <v>3810</v>
      </c>
      <c r="E100" s="2">
        <f>IFERROR(__xludf.DUMMYFUNCTION("""COMPUTED_VALUE"""),3810.0)</f>
        <v>3810</v>
      </c>
      <c r="F100" s="2">
        <f>IFERROR(__xludf.DUMMYFUNCTION("""COMPUTED_VALUE"""),1.63529E7)</f>
        <v>16352900</v>
      </c>
      <c r="G100" s="2">
        <f t="shared" si="1"/>
        <v>190</v>
      </c>
    </row>
    <row r="101" ht="15.75" customHeight="1">
      <c r="A101" s="1">
        <f>IFERROR(__xludf.DUMMYFUNCTION("""COMPUTED_VALUE"""),43980.66666666667)</f>
        <v>43980.66667</v>
      </c>
      <c r="B101" s="2">
        <f>IFERROR(__xludf.DUMMYFUNCTION("""COMPUTED_VALUE"""),3850.0)</f>
        <v>3850</v>
      </c>
      <c r="C101" s="2">
        <f>IFERROR(__xludf.DUMMYFUNCTION("""COMPUTED_VALUE"""),3870.0)</f>
        <v>3870</v>
      </c>
      <c r="D101" s="2">
        <f>IFERROR(__xludf.DUMMYFUNCTION("""COMPUTED_VALUE"""),3550.0)</f>
        <v>3550</v>
      </c>
      <c r="E101" s="2">
        <f>IFERROR(__xludf.DUMMYFUNCTION("""COMPUTED_VALUE"""),3550.0)</f>
        <v>3550</v>
      </c>
      <c r="F101" s="2">
        <f>IFERROR(__xludf.DUMMYFUNCTION("""COMPUTED_VALUE"""),1.888923E8)</f>
        <v>188892300</v>
      </c>
      <c r="G101" s="2">
        <f t="shared" si="1"/>
        <v>320</v>
      </c>
    </row>
    <row r="102" ht="15.75" customHeight="1">
      <c r="A102" s="1">
        <f>IFERROR(__xludf.DUMMYFUNCTION("""COMPUTED_VALUE"""),43984.66666666667)</f>
        <v>43984.66667</v>
      </c>
      <c r="B102" s="2">
        <f>IFERROR(__xludf.DUMMYFUNCTION("""COMPUTED_VALUE"""),3620.0)</f>
        <v>3620</v>
      </c>
      <c r="C102" s="2">
        <f>IFERROR(__xludf.DUMMYFUNCTION("""COMPUTED_VALUE"""),3840.0)</f>
        <v>3840</v>
      </c>
      <c r="D102" s="2">
        <f>IFERROR(__xludf.DUMMYFUNCTION("""COMPUTED_VALUE"""),3590.0)</f>
        <v>3590</v>
      </c>
      <c r="E102" s="2">
        <f>IFERROR(__xludf.DUMMYFUNCTION("""COMPUTED_VALUE"""),3820.0)</f>
        <v>3820</v>
      </c>
      <c r="F102" s="2">
        <f>IFERROR(__xludf.DUMMYFUNCTION("""COMPUTED_VALUE"""),5.88423E7)</f>
        <v>58842300</v>
      </c>
      <c r="G102" s="2">
        <f t="shared" si="1"/>
        <v>290</v>
      </c>
    </row>
    <row r="103" ht="15.75" customHeight="1">
      <c r="A103" s="1">
        <f>IFERROR(__xludf.DUMMYFUNCTION("""COMPUTED_VALUE"""),43985.66666666667)</f>
        <v>43985.66667</v>
      </c>
      <c r="B103" s="2">
        <f>IFERROR(__xludf.DUMMYFUNCTION("""COMPUTED_VALUE"""),3840.0)</f>
        <v>3840</v>
      </c>
      <c r="C103" s="2">
        <f>IFERROR(__xludf.DUMMYFUNCTION("""COMPUTED_VALUE"""),3980.0)</f>
        <v>3980</v>
      </c>
      <c r="D103" s="2">
        <f>IFERROR(__xludf.DUMMYFUNCTION("""COMPUTED_VALUE"""),3840.0)</f>
        <v>3840</v>
      </c>
      <c r="E103" s="2">
        <f>IFERROR(__xludf.DUMMYFUNCTION("""COMPUTED_VALUE"""),3940.0)</f>
        <v>3940</v>
      </c>
      <c r="F103" s="2">
        <f>IFERROR(__xludf.DUMMYFUNCTION("""COMPUTED_VALUE"""),2.96698E7)</f>
        <v>29669800</v>
      </c>
      <c r="G103" s="2">
        <f t="shared" si="1"/>
        <v>160</v>
      </c>
    </row>
    <row r="104" ht="15.75" customHeight="1">
      <c r="A104" s="1">
        <f>IFERROR(__xludf.DUMMYFUNCTION("""COMPUTED_VALUE"""),43986.66666666667)</f>
        <v>43986.66667</v>
      </c>
      <c r="B104" s="2">
        <f>IFERROR(__xludf.DUMMYFUNCTION("""COMPUTED_VALUE"""),3950.0)</f>
        <v>3950</v>
      </c>
      <c r="C104" s="2">
        <f>IFERROR(__xludf.DUMMYFUNCTION("""COMPUTED_VALUE"""),4050.0)</f>
        <v>4050</v>
      </c>
      <c r="D104" s="2">
        <f>IFERROR(__xludf.DUMMYFUNCTION("""COMPUTED_VALUE"""),3830.0)</f>
        <v>3830</v>
      </c>
      <c r="E104" s="2">
        <f>IFERROR(__xludf.DUMMYFUNCTION("""COMPUTED_VALUE"""),3870.0)</f>
        <v>3870</v>
      </c>
      <c r="F104" s="2">
        <f>IFERROR(__xludf.DUMMYFUNCTION("""COMPUTED_VALUE"""),3.82537E7)</f>
        <v>38253700</v>
      </c>
      <c r="G104" s="2">
        <f t="shared" si="1"/>
        <v>220</v>
      </c>
    </row>
    <row r="105" ht="15.75" customHeight="1">
      <c r="A105" s="1">
        <f>IFERROR(__xludf.DUMMYFUNCTION("""COMPUTED_VALUE"""),43987.66666666667)</f>
        <v>43987.66667</v>
      </c>
      <c r="B105" s="2">
        <f>IFERROR(__xludf.DUMMYFUNCTION("""COMPUTED_VALUE"""),3850.0)</f>
        <v>3850</v>
      </c>
      <c r="C105" s="2">
        <f>IFERROR(__xludf.DUMMYFUNCTION("""COMPUTED_VALUE"""),3930.0)</f>
        <v>3930</v>
      </c>
      <c r="D105" s="2">
        <f>IFERROR(__xludf.DUMMYFUNCTION("""COMPUTED_VALUE"""),3760.0)</f>
        <v>3760</v>
      </c>
      <c r="E105" s="2">
        <f>IFERROR(__xludf.DUMMYFUNCTION("""COMPUTED_VALUE"""),3890.0)</f>
        <v>3890</v>
      </c>
      <c r="F105" s="2">
        <f>IFERROR(__xludf.DUMMYFUNCTION("""COMPUTED_VALUE"""),1.23296E7)</f>
        <v>12329600</v>
      </c>
      <c r="G105" s="2">
        <f t="shared" si="1"/>
        <v>170</v>
      </c>
    </row>
    <row r="106" ht="15.75" customHeight="1">
      <c r="A106" s="1">
        <f>IFERROR(__xludf.DUMMYFUNCTION("""COMPUTED_VALUE"""),43990.66666666667)</f>
        <v>43990.66667</v>
      </c>
      <c r="B106" s="2">
        <f>IFERROR(__xludf.DUMMYFUNCTION("""COMPUTED_VALUE"""),3990.0)</f>
        <v>3990</v>
      </c>
      <c r="C106" s="2">
        <f>IFERROR(__xludf.DUMMYFUNCTION("""COMPUTED_VALUE"""),4150.0)</f>
        <v>4150</v>
      </c>
      <c r="D106" s="2">
        <f>IFERROR(__xludf.DUMMYFUNCTION("""COMPUTED_VALUE"""),3920.0)</f>
        <v>3920</v>
      </c>
      <c r="E106" s="2">
        <f>IFERROR(__xludf.DUMMYFUNCTION("""COMPUTED_VALUE"""),4130.0)</f>
        <v>4130</v>
      </c>
      <c r="F106" s="2">
        <f>IFERROR(__xludf.DUMMYFUNCTION("""COMPUTED_VALUE"""),2.58915E7)</f>
        <v>25891500</v>
      </c>
      <c r="G106" s="2">
        <f t="shared" si="1"/>
        <v>260</v>
      </c>
    </row>
    <row r="107" ht="15.75" customHeight="1">
      <c r="A107" s="1">
        <f>IFERROR(__xludf.DUMMYFUNCTION("""COMPUTED_VALUE"""),43991.66666666667)</f>
        <v>43991.66667</v>
      </c>
      <c r="B107" s="2">
        <f>IFERROR(__xludf.DUMMYFUNCTION("""COMPUTED_VALUE"""),4180.0)</f>
        <v>4180</v>
      </c>
      <c r="C107" s="2">
        <f>IFERROR(__xludf.DUMMYFUNCTION("""COMPUTED_VALUE"""),4260.0)</f>
        <v>4260</v>
      </c>
      <c r="D107" s="2">
        <f>IFERROR(__xludf.DUMMYFUNCTION("""COMPUTED_VALUE"""),4030.0)</f>
        <v>4030</v>
      </c>
      <c r="E107" s="2">
        <f>IFERROR(__xludf.DUMMYFUNCTION("""COMPUTED_VALUE"""),4070.0)</f>
        <v>4070</v>
      </c>
      <c r="F107" s="2">
        <f>IFERROR(__xludf.DUMMYFUNCTION("""COMPUTED_VALUE"""),1.67972E7)</f>
        <v>16797200</v>
      </c>
      <c r="G107" s="2">
        <f t="shared" si="1"/>
        <v>230</v>
      </c>
    </row>
    <row r="108" ht="15.75" customHeight="1">
      <c r="A108" s="1">
        <f>IFERROR(__xludf.DUMMYFUNCTION("""COMPUTED_VALUE"""),43992.66666666667)</f>
        <v>43992.66667</v>
      </c>
      <c r="B108" s="2">
        <f>IFERROR(__xludf.DUMMYFUNCTION("""COMPUTED_VALUE"""),4060.0)</f>
        <v>4060</v>
      </c>
      <c r="C108" s="2">
        <f>IFERROR(__xludf.DUMMYFUNCTION("""COMPUTED_VALUE"""),4060.0)</f>
        <v>4060</v>
      </c>
      <c r="D108" s="2">
        <f>IFERROR(__xludf.DUMMYFUNCTION("""COMPUTED_VALUE"""),3810.0)</f>
        <v>3810</v>
      </c>
      <c r="E108" s="2">
        <f>IFERROR(__xludf.DUMMYFUNCTION("""COMPUTED_VALUE"""),3900.0)</f>
        <v>3900</v>
      </c>
      <c r="F108" s="2">
        <f>IFERROR(__xludf.DUMMYFUNCTION("""COMPUTED_VALUE"""),1.42996E7)</f>
        <v>14299600</v>
      </c>
      <c r="G108" s="2">
        <f t="shared" si="1"/>
        <v>260</v>
      </c>
    </row>
    <row r="109" ht="15.75" customHeight="1">
      <c r="A109" s="1">
        <f>IFERROR(__xludf.DUMMYFUNCTION("""COMPUTED_VALUE"""),43993.66666666667)</f>
        <v>43993.66667</v>
      </c>
      <c r="B109" s="2">
        <f>IFERROR(__xludf.DUMMYFUNCTION("""COMPUTED_VALUE"""),3840.0)</f>
        <v>3840</v>
      </c>
      <c r="C109" s="2">
        <f>IFERROR(__xludf.DUMMYFUNCTION("""COMPUTED_VALUE"""),3950.0)</f>
        <v>3950</v>
      </c>
      <c r="D109" s="2">
        <f>IFERROR(__xludf.DUMMYFUNCTION("""COMPUTED_VALUE"""),3760.0)</f>
        <v>3760</v>
      </c>
      <c r="E109" s="2">
        <f>IFERROR(__xludf.DUMMYFUNCTION("""COMPUTED_VALUE"""),3760.0)</f>
        <v>3760</v>
      </c>
      <c r="F109" s="2">
        <f>IFERROR(__xludf.DUMMYFUNCTION("""COMPUTED_VALUE"""),1.71719E7)</f>
        <v>17171900</v>
      </c>
      <c r="G109" s="2">
        <f t="shared" si="1"/>
        <v>190</v>
      </c>
    </row>
    <row r="110" ht="15.75" customHeight="1">
      <c r="A110" s="1">
        <f>IFERROR(__xludf.DUMMYFUNCTION("""COMPUTED_VALUE"""),43994.66666666667)</f>
        <v>43994.66667</v>
      </c>
      <c r="B110" s="2">
        <f>IFERROR(__xludf.DUMMYFUNCTION("""COMPUTED_VALUE"""),3680.0)</f>
        <v>3680</v>
      </c>
      <c r="C110" s="2">
        <f>IFERROR(__xludf.DUMMYFUNCTION("""COMPUTED_VALUE"""),4000.0)</f>
        <v>4000</v>
      </c>
      <c r="D110" s="2">
        <f>IFERROR(__xludf.DUMMYFUNCTION("""COMPUTED_VALUE"""),3550.0)</f>
        <v>3550</v>
      </c>
      <c r="E110" s="2">
        <f>IFERROR(__xludf.DUMMYFUNCTION("""COMPUTED_VALUE"""),3980.0)</f>
        <v>3980</v>
      </c>
      <c r="F110" s="2">
        <f>IFERROR(__xludf.DUMMYFUNCTION("""COMPUTED_VALUE"""),1.69376E7)</f>
        <v>16937600</v>
      </c>
      <c r="G110" s="2">
        <f t="shared" si="1"/>
        <v>450</v>
      </c>
    </row>
    <row r="111" ht="15.75" customHeight="1">
      <c r="A111" s="1">
        <f>IFERROR(__xludf.DUMMYFUNCTION("""COMPUTED_VALUE"""),43997.66666666667)</f>
        <v>43997.66667</v>
      </c>
      <c r="B111" s="2">
        <f>IFERROR(__xludf.DUMMYFUNCTION("""COMPUTED_VALUE"""),3990.0)</f>
        <v>3990</v>
      </c>
      <c r="C111" s="2">
        <f>IFERROR(__xludf.DUMMYFUNCTION("""COMPUTED_VALUE"""),4070.0)</f>
        <v>4070</v>
      </c>
      <c r="D111" s="2">
        <f>IFERROR(__xludf.DUMMYFUNCTION("""COMPUTED_VALUE"""),3840.0)</f>
        <v>3840</v>
      </c>
      <c r="E111" s="2">
        <f>IFERROR(__xludf.DUMMYFUNCTION("""COMPUTED_VALUE"""),3890.0)</f>
        <v>3890</v>
      </c>
      <c r="F111" s="2">
        <f>IFERROR(__xludf.DUMMYFUNCTION("""COMPUTED_VALUE"""),8622600.0)</f>
        <v>8622600</v>
      </c>
      <c r="G111" s="2">
        <f t="shared" si="1"/>
        <v>230</v>
      </c>
    </row>
    <row r="112" ht="15.75" customHeight="1">
      <c r="A112" s="1">
        <f>IFERROR(__xludf.DUMMYFUNCTION("""COMPUTED_VALUE"""),43998.66666666667)</f>
        <v>43998.66667</v>
      </c>
      <c r="B112" s="2">
        <f>IFERROR(__xludf.DUMMYFUNCTION("""COMPUTED_VALUE"""),3920.0)</f>
        <v>3920</v>
      </c>
      <c r="C112" s="2">
        <f>IFERROR(__xludf.DUMMYFUNCTION("""COMPUTED_VALUE"""),4160.0)</f>
        <v>4160</v>
      </c>
      <c r="D112" s="2">
        <f>IFERROR(__xludf.DUMMYFUNCTION("""COMPUTED_VALUE"""),3910.0)</f>
        <v>3910</v>
      </c>
      <c r="E112" s="2">
        <f>IFERROR(__xludf.DUMMYFUNCTION("""COMPUTED_VALUE"""),4150.0)</f>
        <v>4150</v>
      </c>
      <c r="F112" s="2">
        <f>IFERROR(__xludf.DUMMYFUNCTION("""COMPUTED_VALUE"""),1.82754E7)</f>
        <v>18275400</v>
      </c>
      <c r="G112" s="2">
        <f t="shared" si="1"/>
        <v>270</v>
      </c>
    </row>
    <row r="113" ht="15.75" customHeight="1">
      <c r="A113" s="1">
        <f>IFERROR(__xludf.DUMMYFUNCTION("""COMPUTED_VALUE"""),43999.66666666667)</f>
        <v>43999.66667</v>
      </c>
      <c r="B113" s="2">
        <f>IFERROR(__xludf.DUMMYFUNCTION("""COMPUTED_VALUE"""),4150.0)</f>
        <v>4150</v>
      </c>
      <c r="C113" s="2">
        <f>IFERROR(__xludf.DUMMYFUNCTION("""COMPUTED_VALUE"""),4210.0)</f>
        <v>4210</v>
      </c>
      <c r="D113" s="2">
        <f>IFERROR(__xludf.DUMMYFUNCTION("""COMPUTED_VALUE"""),4070.0)</f>
        <v>4070</v>
      </c>
      <c r="E113" s="2">
        <f>IFERROR(__xludf.DUMMYFUNCTION("""COMPUTED_VALUE"""),4150.0)</f>
        <v>4150</v>
      </c>
      <c r="F113" s="2">
        <f>IFERROR(__xludf.DUMMYFUNCTION("""COMPUTED_VALUE"""),9313400.0)</f>
        <v>9313400</v>
      </c>
      <c r="G113" s="2">
        <f t="shared" si="1"/>
        <v>140</v>
      </c>
    </row>
    <row r="114" ht="15.75" customHeight="1">
      <c r="A114" s="1">
        <f>IFERROR(__xludf.DUMMYFUNCTION("""COMPUTED_VALUE"""),44000.66666666667)</f>
        <v>44000.66667</v>
      </c>
      <c r="B114" s="2">
        <f>IFERROR(__xludf.DUMMYFUNCTION("""COMPUTED_VALUE"""),4130.0)</f>
        <v>4130</v>
      </c>
      <c r="C114" s="2">
        <f>IFERROR(__xludf.DUMMYFUNCTION("""COMPUTED_VALUE"""),4180.0)</f>
        <v>4180</v>
      </c>
      <c r="D114" s="2">
        <f>IFERROR(__xludf.DUMMYFUNCTION("""COMPUTED_VALUE"""),4100.0)</f>
        <v>4100</v>
      </c>
      <c r="E114" s="2">
        <f>IFERROR(__xludf.DUMMYFUNCTION("""COMPUTED_VALUE"""),4170.0)</f>
        <v>4170</v>
      </c>
      <c r="F114" s="2">
        <f>IFERROR(__xludf.DUMMYFUNCTION("""COMPUTED_VALUE"""),6226800.0)</f>
        <v>6226800</v>
      </c>
      <c r="G114" s="2">
        <f t="shared" si="1"/>
        <v>80</v>
      </c>
    </row>
    <row r="115" ht="15.75" customHeight="1">
      <c r="A115" s="1">
        <f>IFERROR(__xludf.DUMMYFUNCTION("""COMPUTED_VALUE"""),44001.66666666667)</f>
        <v>44001.66667</v>
      </c>
      <c r="B115" s="2">
        <f>IFERROR(__xludf.DUMMYFUNCTION("""COMPUTED_VALUE"""),4190.0)</f>
        <v>4190</v>
      </c>
      <c r="C115" s="2">
        <f>IFERROR(__xludf.DUMMYFUNCTION("""COMPUTED_VALUE"""),4200.0)</f>
        <v>4200</v>
      </c>
      <c r="D115" s="2">
        <f>IFERROR(__xludf.DUMMYFUNCTION("""COMPUTED_VALUE"""),4120.0)</f>
        <v>4120</v>
      </c>
      <c r="E115" s="2">
        <f>IFERROR(__xludf.DUMMYFUNCTION("""COMPUTED_VALUE"""),4130.0)</f>
        <v>4130</v>
      </c>
      <c r="F115" s="2">
        <f>IFERROR(__xludf.DUMMYFUNCTION("""COMPUTED_VALUE"""),1.05213E7)</f>
        <v>10521300</v>
      </c>
      <c r="G115" s="2">
        <f t="shared" si="1"/>
        <v>80</v>
      </c>
    </row>
    <row r="116" ht="15.75" customHeight="1">
      <c r="A116" s="1">
        <f>IFERROR(__xludf.DUMMYFUNCTION("""COMPUTED_VALUE"""),44004.66666666667)</f>
        <v>44004.66667</v>
      </c>
      <c r="B116" s="2">
        <f>IFERROR(__xludf.DUMMYFUNCTION("""COMPUTED_VALUE"""),4130.0)</f>
        <v>4130</v>
      </c>
      <c r="C116" s="2">
        <f>IFERROR(__xludf.DUMMYFUNCTION("""COMPUTED_VALUE"""),4200.0)</f>
        <v>4200</v>
      </c>
      <c r="D116" s="2">
        <f>IFERROR(__xludf.DUMMYFUNCTION("""COMPUTED_VALUE"""),4100.0)</f>
        <v>4100</v>
      </c>
      <c r="E116" s="2">
        <f>IFERROR(__xludf.DUMMYFUNCTION("""COMPUTED_VALUE"""),4200.0)</f>
        <v>4200</v>
      </c>
      <c r="F116" s="2">
        <f>IFERROR(__xludf.DUMMYFUNCTION("""COMPUTED_VALUE"""),6213100.0)</f>
        <v>6213100</v>
      </c>
      <c r="G116" s="2">
        <f t="shared" si="1"/>
        <v>100</v>
      </c>
    </row>
    <row r="117" ht="15.75" customHeight="1">
      <c r="A117" s="1">
        <f>IFERROR(__xludf.DUMMYFUNCTION("""COMPUTED_VALUE"""),44005.66666666667)</f>
        <v>44005.66667</v>
      </c>
      <c r="B117" s="2">
        <f>IFERROR(__xludf.DUMMYFUNCTION("""COMPUTED_VALUE"""),4220.0)</f>
        <v>4220</v>
      </c>
      <c r="C117" s="2">
        <f>IFERROR(__xludf.DUMMYFUNCTION("""COMPUTED_VALUE"""),4290.0)</f>
        <v>4290</v>
      </c>
      <c r="D117" s="2">
        <f>IFERROR(__xludf.DUMMYFUNCTION("""COMPUTED_VALUE"""),4170.0)</f>
        <v>4170</v>
      </c>
      <c r="E117" s="2">
        <f>IFERROR(__xludf.DUMMYFUNCTION("""COMPUTED_VALUE"""),4280.0)</f>
        <v>4280</v>
      </c>
      <c r="F117" s="2">
        <f>IFERROR(__xludf.DUMMYFUNCTION("""COMPUTED_VALUE"""),5504500.0)</f>
        <v>5504500</v>
      </c>
      <c r="G117" s="2">
        <f t="shared" si="1"/>
        <v>120</v>
      </c>
    </row>
    <row r="118" ht="15.75" customHeight="1">
      <c r="A118" s="1">
        <f>IFERROR(__xludf.DUMMYFUNCTION("""COMPUTED_VALUE"""),44006.66666666667)</f>
        <v>44006.66667</v>
      </c>
      <c r="B118" s="2">
        <f>IFERROR(__xludf.DUMMYFUNCTION("""COMPUTED_VALUE"""),4280.0)</f>
        <v>4280</v>
      </c>
      <c r="C118" s="2">
        <f>IFERROR(__xludf.DUMMYFUNCTION("""COMPUTED_VALUE"""),4500.0)</f>
        <v>4500</v>
      </c>
      <c r="D118" s="2">
        <f>IFERROR(__xludf.DUMMYFUNCTION("""COMPUTED_VALUE"""),4250.0)</f>
        <v>4250</v>
      </c>
      <c r="E118" s="2">
        <f>IFERROR(__xludf.DUMMYFUNCTION("""COMPUTED_VALUE"""),4500.0)</f>
        <v>4500</v>
      </c>
      <c r="F118" s="2">
        <f>IFERROR(__xludf.DUMMYFUNCTION("""COMPUTED_VALUE"""),1.70679E7)</f>
        <v>17067900</v>
      </c>
      <c r="G118" s="2">
        <f t="shared" si="1"/>
        <v>250</v>
      </c>
    </row>
    <row r="119" ht="15.75" customHeight="1">
      <c r="A119" s="1">
        <f>IFERROR(__xludf.DUMMYFUNCTION("""COMPUTED_VALUE"""),44007.66666666667)</f>
        <v>44007.66667</v>
      </c>
      <c r="B119" s="2">
        <f>IFERROR(__xludf.DUMMYFUNCTION("""COMPUTED_VALUE"""),4500.0)</f>
        <v>4500</v>
      </c>
      <c r="C119" s="2">
        <f>IFERROR(__xludf.DUMMYFUNCTION("""COMPUTED_VALUE"""),4500.0)</f>
        <v>4500</v>
      </c>
      <c r="D119" s="2">
        <f>IFERROR(__xludf.DUMMYFUNCTION("""COMPUTED_VALUE"""),4370.0)</f>
        <v>4370</v>
      </c>
      <c r="E119" s="2">
        <f>IFERROR(__xludf.DUMMYFUNCTION("""COMPUTED_VALUE"""),4410.0)</f>
        <v>4410</v>
      </c>
      <c r="F119" s="2">
        <f>IFERROR(__xludf.DUMMYFUNCTION("""COMPUTED_VALUE"""),9793000.0)</f>
        <v>9793000</v>
      </c>
      <c r="G119" s="2">
        <f t="shared" si="1"/>
        <v>130</v>
      </c>
    </row>
    <row r="120" ht="15.75" customHeight="1">
      <c r="A120" s="1">
        <f>IFERROR(__xludf.DUMMYFUNCTION("""COMPUTED_VALUE"""),44008.66666666667)</f>
        <v>44008.66667</v>
      </c>
      <c r="B120" s="2">
        <f>IFERROR(__xludf.DUMMYFUNCTION("""COMPUTED_VALUE"""),4450.0)</f>
        <v>4450</v>
      </c>
      <c r="C120" s="2">
        <f>IFERROR(__xludf.DUMMYFUNCTION("""COMPUTED_VALUE"""),4480.0)</f>
        <v>4480</v>
      </c>
      <c r="D120" s="2">
        <f>IFERROR(__xludf.DUMMYFUNCTION("""COMPUTED_VALUE"""),4360.0)</f>
        <v>4360</v>
      </c>
      <c r="E120" s="2">
        <f>IFERROR(__xludf.DUMMYFUNCTION("""COMPUTED_VALUE"""),4400.0)</f>
        <v>4400</v>
      </c>
      <c r="F120" s="2">
        <f>IFERROR(__xludf.DUMMYFUNCTION("""COMPUTED_VALUE"""),5491500.0)</f>
        <v>5491500</v>
      </c>
      <c r="G120" s="2">
        <f t="shared" si="1"/>
        <v>120</v>
      </c>
    </row>
    <row r="121" ht="15.75" customHeight="1">
      <c r="A121" s="1">
        <f>IFERROR(__xludf.DUMMYFUNCTION("""COMPUTED_VALUE"""),44011.66666666667)</f>
        <v>44011.66667</v>
      </c>
      <c r="B121" s="2">
        <f>IFERROR(__xludf.DUMMYFUNCTION("""COMPUTED_VALUE"""),4400.0)</f>
        <v>4400</v>
      </c>
      <c r="C121" s="2">
        <f>IFERROR(__xludf.DUMMYFUNCTION("""COMPUTED_VALUE"""),4440.0)</f>
        <v>4440</v>
      </c>
      <c r="D121" s="2">
        <f>IFERROR(__xludf.DUMMYFUNCTION("""COMPUTED_VALUE"""),4350.0)</f>
        <v>4350</v>
      </c>
      <c r="E121" s="2">
        <f>IFERROR(__xludf.DUMMYFUNCTION("""COMPUTED_VALUE"""),4400.0)</f>
        <v>4400</v>
      </c>
      <c r="F121" s="2">
        <f>IFERROR(__xludf.DUMMYFUNCTION("""COMPUTED_VALUE"""),3533000.0)</f>
        <v>3533000</v>
      </c>
      <c r="G121" s="2">
        <f t="shared" si="1"/>
        <v>90</v>
      </c>
    </row>
    <row r="122" ht="15.75" customHeight="1">
      <c r="A122" s="1">
        <f>IFERROR(__xludf.DUMMYFUNCTION("""COMPUTED_VALUE"""),44012.66666666667)</f>
        <v>44012.66667</v>
      </c>
      <c r="B122" s="2">
        <f>IFERROR(__xludf.DUMMYFUNCTION("""COMPUTED_VALUE"""),4420.0)</f>
        <v>4420</v>
      </c>
      <c r="C122" s="2">
        <f>IFERROR(__xludf.DUMMYFUNCTION("""COMPUTED_VALUE"""),4550.0)</f>
        <v>4550</v>
      </c>
      <c r="D122" s="2">
        <f>IFERROR(__xludf.DUMMYFUNCTION("""COMPUTED_VALUE"""),4400.0)</f>
        <v>4400</v>
      </c>
      <c r="E122" s="2">
        <f>IFERROR(__xludf.DUMMYFUNCTION("""COMPUTED_VALUE"""),4400.0)</f>
        <v>4400</v>
      </c>
      <c r="F122" s="2">
        <f>IFERROR(__xludf.DUMMYFUNCTION("""COMPUTED_VALUE"""),7558900.0)</f>
        <v>7558900</v>
      </c>
      <c r="G122" s="2">
        <f t="shared" si="1"/>
        <v>150</v>
      </c>
    </row>
    <row r="123" ht="15.75" customHeight="1">
      <c r="A123" s="1">
        <f>IFERROR(__xludf.DUMMYFUNCTION("""COMPUTED_VALUE"""),44013.66666666667)</f>
        <v>44013.66667</v>
      </c>
      <c r="B123" s="2">
        <f>IFERROR(__xludf.DUMMYFUNCTION("""COMPUTED_VALUE"""),4410.0)</f>
        <v>4410</v>
      </c>
      <c r="C123" s="2">
        <f>IFERROR(__xludf.DUMMYFUNCTION("""COMPUTED_VALUE"""),4420.0)</f>
        <v>4420</v>
      </c>
      <c r="D123" s="2">
        <f>IFERROR(__xludf.DUMMYFUNCTION("""COMPUTED_VALUE"""),4300.0)</f>
        <v>4300</v>
      </c>
      <c r="E123" s="2">
        <f>IFERROR(__xludf.DUMMYFUNCTION("""COMPUTED_VALUE"""),4400.0)</f>
        <v>4400</v>
      </c>
      <c r="F123" s="2">
        <f>IFERROR(__xludf.DUMMYFUNCTION("""COMPUTED_VALUE"""),6597900.0)</f>
        <v>6597900</v>
      </c>
      <c r="G123" s="2">
        <f t="shared" si="1"/>
        <v>120</v>
      </c>
    </row>
    <row r="124" ht="15.75" customHeight="1">
      <c r="A124" s="1">
        <f>IFERROR(__xludf.DUMMYFUNCTION("""COMPUTED_VALUE"""),44014.66666666667)</f>
        <v>44014.66667</v>
      </c>
      <c r="B124" s="2">
        <f>IFERROR(__xludf.DUMMYFUNCTION("""COMPUTED_VALUE"""),4410.0)</f>
        <v>4410</v>
      </c>
      <c r="C124" s="2">
        <f>IFERROR(__xludf.DUMMYFUNCTION("""COMPUTED_VALUE"""),4530.0)</f>
        <v>4530</v>
      </c>
      <c r="D124" s="2">
        <f>IFERROR(__xludf.DUMMYFUNCTION("""COMPUTED_VALUE"""),4400.0)</f>
        <v>4400</v>
      </c>
      <c r="E124" s="2">
        <f>IFERROR(__xludf.DUMMYFUNCTION("""COMPUTED_VALUE"""),4490.0)</f>
        <v>4490</v>
      </c>
      <c r="F124" s="2">
        <f>IFERROR(__xludf.DUMMYFUNCTION("""COMPUTED_VALUE"""),5546900.0)</f>
        <v>5546900</v>
      </c>
      <c r="G124" s="2">
        <f t="shared" si="1"/>
        <v>130</v>
      </c>
    </row>
    <row r="125" ht="15.75" customHeight="1">
      <c r="A125" s="1">
        <f>IFERROR(__xludf.DUMMYFUNCTION("""COMPUTED_VALUE"""),44015.66666666667)</f>
        <v>44015.66667</v>
      </c>
      <c r="B125" s="2">
        <f>IFERROR(__xludf.DUMMYFUNCTION("""COMPUTED_VALUE"""),4510.0)</f>
        <v>4510</v>
      </c>
      <c r="C125" s="2">
        <f>IFERROR(__xludf.DUMMYFUNCTION("""COMPUTED_VALUE"""),4570.0)</f>
        <v>4570</v>
      </c>
      <c r="D125" s="2">
        <f>IFERROR(__xludf.DUMMYFUNCTION("""COMPUTED_VALUE"""),4480.0)</f>
        <v>4480</v>
      </c>
      <c r="E125" s="2">
        <f>IFERROR(__xludf.DUMMYFUNCTION("""COMPUTED_VALUE"""),4490.0)</f>
        <v>4490</v>
      </c>
      <c r="F125" s="2">
        <f>IFERROR(__xludf.DUMMYFUNCTION("""COMPUTED_VALUE"""),3088000.0)</f>
        <v>3088000</v>
      </c>
      <c r="G125" s="2">
        <f t="shared" si="1"/>
        <v>90</v>
      </c>
    </row>
    <row r="126" ht="15.75" customHeight="1">
      <c r="A126" s="1">
        <f>IFERROR(__xludf.DUMMYFUNCTION("""COMPUTED_VALUE"""),44018.66666666667)</f>
        <v>44018.66667</v>
      </c>
      <c r="B126" s="2">
        <f>IFERROR(__xludf.DUMMYFUNCTION("""COMPUTED_VALUE"""),4490.0)</f>
        <v>4490</v>
      </c>
      <c r="C126" s="2">
        <f>IFERROR(__xludf.DUMMYFUNCTION("""COMPUTED_VALUE"""),4520.0)</f>
        <v>4520</v>
      </c>
      <c r="D126" s="2">
        <f>IFERROR(__xludf.DUMMYFUNCTION("""COMPUTED_VALUE"""),4420.0)</f>
        <v>4420</v>
      </c>
      <c r="E126" s="2">
        <f>IFERROR(__xludf.DUMMYFUNCTION("""COMPUTED_VALUE"""),4460.0)</f>
        <v>4460</v>
      </c>
      <c r="F126" s="2">
        <f>IFERROR(__xludf.DUMMYFUNCTION("""COMPUTED_VALUE"""),9331000.0)</f>
        <v>9331000</v>
      </c>
      <c r="G126" s="2">
        <f t="shared" si="1"/>
        <v>100</v>
      </c>
    </row>
    <row r="127" ht="15.75" customHeight="1">
      <c r="A127" s="1">
        <f>IFERROR(__xludf.DUMMYFUNCTION("""COMPUTED_VALUE"""),44019.66666666667)</f>
        <v>44019.66667</v>
      </c>
      <c r="B127" s="2">
        <f>IFERROR(__xludf.DUMMYFUNCTION("""COMPUTED_VALUE"""),4470.0)</f>
        <v>4470</v>
      </c>
      <c r="C127" s="2">
        <f>IFERROR(__xludf.DUMMYFUNCTION("""COMPUTED_VALUE"""),4490.0)</f>
        <v>4490</v>
      </c>
      <c r="D127" s="2">
        <f>IFERROR(__xludf.DUMMYFUNCTION("""COMPUTED_VALUE"""),4380.0)</f>
        <v>4380</v>
      </c>
      <c r="E127" s="2">
        <f>IFERROR(__xludf.DUMMYFUNCTION("""COMPUTED_VALUE"""),4390.0)</f>
        <v>4390</v>
      </c>
      <c r="F127" s="2">
        <f>IFERROR(__xludf.DUMMYFUNCTION("""COMPUTED_VALUE"""),1.06178E7)</f>
        <v>10617800</v>
      </c>
      <c r="G127" s="2">
        <f t="shared" si="1"/>
        <v>110</v>
      </c>
    </row>
    <row r="128" ht="15.75" customHeight="1">
      <c r="A128" s="1">
        <f>IFERROR(__xludf.DUMMYFUNCTION("""COMPUTED_VALUE"""),44020.66666666667)</f>
        <v>44020.66667</v>
      </c>
      <c r="B128" s="2">
        <f>IFERROR(__xludf.DUMMYFUNCTION("""COMPUTED_VALUE"""),4390.0)</f>
        <v>4390</v>
      </c>
      <c r="C128" s="2">
        <f>IFERROR(__xludf.DUMMYFUNCTION("""COMPUTED_VALUE"""),4480.0)</f>
        <v>4480</v>
      </c>
      <c r="D128" s="2">
        <f>IFERROR(__xludf.DUMMYFUNCTION("""COMPUTED_VALUE"""),4390.0)</f>
        <v>4390</v>
      </c>
      <c r="E128" s="2">
        <f>IFERROR(__xludf.DUMMYFUNCTION("""COMPUTED_VALUE"""),4440.0)</f>
        <v>4440</v>
      </c>
      <c r="F128" s="2">
        <f>IFERROR(__xludf.DUMMYFUNCTION("""COMPUTED_VALUE"""),7744200.0)</f>
        <v>7744200</v>
      </c>
      <c r="G128" s="2">
        <f t="shared" si="1"/>
        <v>90</v>
      </c>
    </row>
    <row r="129" ht="15.75" customHeight="1">
      <c r="A129" s="1">
        <f>IFERROR(__xludf.DUMMYFUNCTION("""COMPUTED_VALUE"""),44021.66666666667)</f>
        <v>44021.66667</v>
      </c>
      <c r="B129" s="2">
        <f>IFERROR(__xludf.DUMMYFUNCTION("""COMPUTED_VALUE"""),4470.0)</f>
        <v>4470</v>
      </c>
      <c r="C129" s="2">
        <f>IFERROR(__xludf.DUMMYFUNCTION("""COMPUTED_VALUE"""),4500.0)</f>
        <v>4500</v>
      </c>
      <c r="D129" s="2">
        <f>IFERROR(__xludf.DUMMYFUNCTION("""COMPUTED_VALUE"""),4390.0)</f>
        <v>4390</v>
      </c>
      <c r="E129" s="2">
        <f>IFERROR(__xludf.DUMMYFUNCTION("""COMPUTED_VALUE"""),4430.0)</f>
        <v>4430</v>
      </c>
      <c r="F129" s="2">
        <f>IFERROR(__xludf.DUMMYFUNCTION("""COMPUTED_VALUE"""),5648500.0)</f>
        <v>5648500</v>
      </c>
      <c r="G129" s="2">
        <f t="shared" si="1"/>
        <v>110</v>
      </c>
    </row>
    <row r="130" ht="15.75" customHeight="1">
      <c r="A130" s="1">
        <f>IFERROR(__xludf.DUMMYFUNCTION("""COMPUTED_VALUE"""),44022.66666666667)</f>
        <v>44022.66667</v>
      </c>
      <c r="B130" s="2">
        <f>IFERROR(__xludf.DUMMYFUNCTION("""COMPUTED_VALUE"""),4430.0)</f>
        <v>4430</v>
      </c>
      <c r="C130" s="2">
        <f>IFERROR(__xludf.DUMMYFUNCTION("""COMPUTED_VALUE"""),4450.0)</f>
        <v>4450</v>
      </c>
      <c r="D130" s="2">
        <f>IFERROR(__xludf.DUMMYFUNCTION("""COMPUTED_VALUE"""),4390.0)</f>
        <v>4390</v>
      </c>
      <c r="E130" s="2">
        <f>IFERROR(__xludf.DUMMYFUNCTION("""COMPUTED_VALUE"""),4410.0)</f>
        <v>4410</v>
      </c>
      <c r="F130" s="2">
        <f>IFERROR(__xludf.DUMMYFUNCTION("""COMPUTED_VALUE"""),3195300.0)</f>
        <v>3195300</v>
      </c>
      <c r="G130" s="2">
        <f t="shared" si="1"/>
        <v>60</v>
      </c>
    </row>
    <row r="131" ht="15.75" customHeight="1">
      <c r="A131" s="1">
        <f>IFERROR(__xludf.DUMMYFUNCTION("""COMPUTED_VALUE"""),44025.66666666667)</f>
        <v>44025.66667</v>
      </c>
      <c r="B131" s="2">
        <f>IFERROR(__xludf.DUMMYFUNCTION("""COMPUTED_VALUE"""),4430.0)</f>
        <v>4430</v>
      </c>
      <c r="C131" s="2">
        <f>IFERROR(__xludf.DUMMYFUNCTION("""COMPUTED_VALUE"""),4470.0)</f>
        <v>4470</v>
      </c>
      <c r="D131" s="2">
        <f>IFERROR(__xludf.DUMMYFUNCTION("""COMPUTED_VALUE"""),4400.0)</f>
        <v>4400</v>
      </c>
      <c r="E131" s="2">
        <f>IFERROR(__xludf.DUMMYFUNCTION("""COMPUTED_VALUE"""),4450.0)</f>
        <v>4450</v>
      </c>
      <c r="F131" s="2">
        <f>IFERROR(__xludf.DUMMYFUNCTION("""COMPUTED_VALUE"""),3095500.0)</f>
        <v>3095500</v>
      </c>
      <c r="G131" s="2">
        <f t="shared" si="1"/>
        <v>70</v>
      </c>
    </row>
    <row r="132" ht="15.75" customHeight="1">
      <c r="A132" s="1">
        <f>IFERROR(__xludf.DUMMYFUNCTION("""COMPUTED_VALUE"""),44026.66666666667)</f>
        <v>44026.66667</v>
      </c>
      <c r="B132" s="2">
        <f>IFERROR(__xludf.DUMMYFUNCTION("""COMPUTED_VALUE"""),4450.0)</f>
        <v>4450</v>
      </c>
      <c r="C132" s="2">
        <f>IFERROR(__xludf.DUMMYFUNCTION("""COMPUTED_VALUE"""),4450.0)</f>
        <v>4450</v>
      </c>
      <c r="D132" s="2">
        <f>IFERROR(__xludf.DUMMYFUNCTION("""COMPUTED_VALUE"""),4400.0)</f>
        <v>4400</v>
      </c>
      <c r="E132" s="2">
        <f>IFERROR(__xludf.DUMMYFUNCTION("""COMPUTED_VALUE"""),4400.0)</f>
        <v>4400</v>
      </c>
      <c r="F132" s="2">
        <f>IFERROR(__xludf.DUMMYFUNCTION("""COMPUTED_VALUE"""),3779200.0)</f>
        <v>3779200</v>
      </c>
      <c r="G132" s="2">
        <f t="shared" si="1"/>
        <v>50</v>
      </c>
    </row>
    <row r="133" ht="15.75" customHeight="1">
      <c r="A133" s="1">
        <f>IFERROR(__xludf.DUMMYFUNCTION("""COMPUTED_VALUE"""),44027.66666666667)</f>
        <v>44027.66667</v>
      </c>
      <c r="B133" s="2">
        <f>IFERROR(__xludf.DUMMYFUNCTION("""COMPUTED_VALUE"""),4400.0)</f>
        <v>4400</v>
      </c>
      <c r="C133" s="2">
        <f>IFERROR(__xludf.DUMMYFUNCTION("""COMPUTED_VALUE"""),4440.0)</f>
        <v>4440</v>
      </c>
      <c r="D133" s="2">
        <f>IFERROR(__xludf.DUMMYFUNCTION("""COMPUTED_VALUE"""),4360.0)</f>
        <v>4360</v>
      </c>
      <c r="E133" s="2">
        <f>IFERROR(__xludf.DUMMYFUNCTION("""COMPUTED_VALUE"""),4400.0)</f>
        <v>4400</v>
      </c>
      <c r="F133" s="2">
        <f>IFERROR(__xludf.DUMMYFUNCTION("""COMPUTED_VALUE"""),6599700.0)</f>
        <v>6599700</v>
      </c>
      <c r="G133" s="2">
        <f t="shared" si="1"/>
        <v>80</v>
      </c>
    </row>
    <row r="134" ht="15.75" customHeight="1">
      <c r="A134" s="1">
        <f>IFERROR(__xludf.DUMMYFUNCTION("""COMPUTED_VALUE"""),44028.66666666667)</f>
        <v>44028.66667</v>
      </c>
      <c r="B134" s="2">
        <f>IFERROR(__xludf.DUMMYFUNCTION("""COMPUTED_VALUE"""),4400.0)</f>
        <v>4400</v>
      </c>
      <c r="C134" s="2">
        <f>IFERROR(__xludf.DUMMYFUNCTION("""COMPUTED_VALUE"""),4440.0)</f>
        <v>4440</v>
      </c>
      <c r="D134" s="2">
        <f>IFERROR(__xludf.DUMMYFUNCTION("""COMPUTED_VALUE"""),4380.0)</f>
        <v>4380</v>
      </c>
      <c r="E134" s="2">
        <f>IFERROR(__xludf.DUMMYFUNCTION("""COMPUTED_VALUE"""),4390.0)</f>
        <v>4390</v>
      </c>
      <c r="F134" s="2">
        <f>IFERROR(__xludf.DUMMYFUNCTION("""COMPUTED_VALUE"""),6596200.0)</f>
        <v>6596200</v>
      </c>
      <c r="G134" s="2">
        <f t="shared" si="1"/>
        <v>60</v>
      </c>
    </row>
    <row r="135" ht="15.75" customHeight="1">
      <c r="A135" s="1">
        <f>IFERROR(__xludf.DUMMYFUNCTION("""COMPUTED_VALUE"""),44029.66666666667)</f>
        <v>44029.66667</v>
      </c>
      <c r="B135" s="2">
        <f>IFERROR(__xludf.DUMMYFUNCTION("""COMPUTED_VALUE"""),4310.0)</f>
        <v>4310</v>
      </c>
      <c r="C135" s="2">
        <f>IFERROR(__xludf.DUMMYFUNCTION("""COMPUTED_VALUE"""),4450.0)</f>
        <v>4450</v>
      </c>
      <c r="D135" s="2">
        <f>IFERROR(__xludf.DUMMYFUNCTION("""COMPUTED_VALUE"""),4310.0)</f>
        <v>4310</v>
      </c>
      <c r="E135" s="2">
        <f>IFERROR(__xludf.DUMMYFUNCTION("""COMPUTED_VALUE"""),4400.0)</f>
        <v>4400</v>
      </c>
      <c r="F135" s="2">
        <f>IFERROR(__xludf.DUMMYFUNCTION("""COMPUTED_VALUE"""),5019100.0)</f>
        <v>5019100</v>
      </c>
      <c r="G135" s="2">
        <f t="shared" si="1"/>
        <v>140</v>
      </c>
    </row>
    <row r="136" ht="15.75" customHeight="1">
      <c r="A136" s="1">
        <f>IFERROR(__xludf.DUMMYFUNCTION("""COMPUTED_VALUE"""),44032.66666666667)</f>
        <v>44032.66667</v>
      </c>
      <c r="B136" s="2">
        <f>IFERROR(__xludf.DUMMYFUNCTION("""COMPUTED_VALUE"""),4420.0)</f>
        <v>4420</v>
      </c>
      <c r="C136" s="2">
        <f>IFERROR(__xludf.DUMMYFUNCTION("""COMPUTED_VALUE"""),4430.0)</f>
        <v>4430</v>
      </c>
      <c r="D136" s="2">
        <f>IFERROR(__xludf.DUMMYFUNCTION("""COMPUTED_VALUE"""),4230.0)</f>
        <v>4230</v>
      </c>
      <c r="E136" s="2">
        <f>IFERROR(__xludf.DUMMYFUNCTION("""COMPUTED_VALUE"""),4240.0)</f>
        <v>4240</v>
      </c>
      <c r="F136" s="2">
        <f>IFERROR(__xludf.DUMMYFUNCTION("""COMPUTED_VALUE"""),8460600.0)</f>
        <v>8460600</v>
      </c>
      <c r="G136" s="2">
        <f t="shared" si="1"/>
        <v>200</v>
      </c>
    </row>
    <row r="137" ht="15.75" customHeight="1">
      <c r="A137" s="1">
        <f>IFERROR(__xludf.DUMMYFUNCTION("""COMPUTED_VALUE"""),44033.66666666667)</f>
        <v>44033.66667</v>
      </c>
      <c r="B137" s="2">
        <f>IFERROR(__xludf.DUMMYFUNCTION("""COMPUTED_VALUE"""),4260.0)</f>
        <v>4260</v>
      </c>
      <c r="C137" s="2">
        <f>IFERROR(__xludf.DUMMYFUNCTION("""COMPUTED_VALUE"""),4310.0)</f>
        <v>4310</v>
      </c>
      <c r="D137" s="2">
        <f>IFERROR(__xludf.DUMMYFUNCTION("""COMPUTED_VALUE"""),4160.0)</f>
        <v>4160</v>
      </c>
      <c r="E137" s="2">
        <f>IFERROR(__xludf.DUMMYFUNCTION("""COMPUTED_VALUE"""),4270.0)</f>
        <v>4270</v>
      </c>
      <c r="F137" s="2">
        <f>IFERROR(__xludf.DUMMYFUNCTION("""COMPUTED_VALUE"""),5943900.0)</f>
        <v>5943900</v>
      </c>
      <c r="G137" s="2">
        <f t="shared" si="1"/>
        <v>150</v>
      </c>
    </row>
    <row r="138" ht="15.75" customHeight="1">
      <c r="A138" s="1">
        <f>IFERROR(__xludf.DUMMYFUNCTION("""COMPUTED_VALUE"""),44034.66666666667)</f>
        <v>44034.66667</v>
      </c>
      <c r="B138" s="2">
        <f>IFERROR(__xludf.DUMMYFUNCTION("""COMPUTED_VALUE"""),4330.0)</f>
        <v>4330</v>
      </c>
      <c r="C138" s="2">
        <f>IFERROR(__xludf.DUMMYFUNCTION("""COMPUTED_VALUE"""),4330.0)</f>
        <v>4330</v>
      </c>
      <c r="D138" s="2">
        <f>IFERROR(__xludf.DUMMYFUNCTION("""COMPUTED_VALUE"""),4220.0)</f>
        <v>4220</v>
      </c>
      <c r="E138" s="2">
        <f>IFERROR(__xludf.DUMMYFUNCTION("""COMPUTED_VALUE"""),4230.0)</f>
        <v>4230</v>
      </c>
      <c r="F138" s="2">
        <f>IFERROR(__xludf.DUMMYFUNCTION("""COMPUTED_VALUE"""),3951000.0)</f>
        <v>3951000</v>
      </c>
      <c r="G138" s="2">
        <f t="shared" si="1"/>
        <v>110</v>
      </c>
    </row>
    <row r="139" ht="15.75" customHeight="1">
      <c r="A139" s="1">
        <f>IFERROR(__xludf.DUMMYFUNCTION("""COMPUTED_VALUE"""),44035.66666666667)</f>
        <v>44035.66667</v>
      </c>
      <c r="B139" s="2">
        <f>IFERROR(__xludf.DUMMYFUNCTION("""COMPUTED_VALUE"""),4240.0)</f>
        <v>4240</v>
      </c>
      <c r="C139" s="2">
        <f>IFERROR(__xludf.DUMMYFUNCTION("""COMPUTED_VALUE"""),4250.0)</f>
        <v>4250</v>
      </c>
      <c r="D139" s="2">
        <f>IFERROR(__xludf.DUMMYFUNCTION("""COMPUTED_VALUE"""),4160.0)</f>
        <v>4160</v>
      </c>
      <c r="E139" s="2">
        <f>IFERROR(__xludf.DUMMYFUNCTION("""COMPUTED_VALUE"""),4190.0)</f>
        <v>4190</v>
      </c>
      <c r="F139" s="2">
        <f>IFERROR(__xludf.DUMMYFUNCTION("""COMPUTED_VALUE"""),1.21251E7)</f>
        <v>12125100</v>
      </c>
      <c r="G139" s="2">
        <f t="shared" si="1"/>
        <v>90</v>
      </c>
    </row>
    <row r="140" ht="15.75" customHeight="1">
      <c r="A140" s="1">
        <f>IFERROR(__xludf.DUMMYFUNCTION("""COMPUTED_VALUE"""),44036.66666666667)</f>
        <v>44036.66667</v>
      </c>
      <c r="B140" s="2">
        <f>IFERROR(__xludf.DUMMYFUNCTION("""COMPUTED_VALUE"""),4180.0)</f>
        <v>4180</v>
      </c>
      <c r="C140" s="2">
        <f>IFERROR(__xludf.DUMMYFUNCTION("""COMPUTED_VALUE"""),4180.0)</f>
        <v>4180</v>
      </c>
      <c r="D140" s="2">
        <f>IFERROR(__xludf.DUMMYFUNCTION("""COMPUTED_VALUE"""),4010.0)</f>
        <v>4010</v>
      </c>
      <c r="E140" s="2">
        <f>IFERROR(__xludf.DUMMYFUNCTION("""COMPUTED_VALUE"""),4040.0)</f>
        <v>4040</v>
      </c>
      <c r="F140" s="2">
        <f>IFERROR(__xludf.DUMMYFUNCTION("""COMPUTED_VALUE"""),1.5587E7)</f>
        <v>15587000</v>
      </c>
      <c r="G140" s="2">
        <f t="shared" si="1"/>
        <v>180</v>
      </c>
    </row>
    <row r="141" ht="15.75" customHeight="1">
      <c r="A141" s="1">
        <f>IFERROR(__xludf.DUMMYFUNCTION("""COMPUTED_VALUE"""),44039.66666666667)</f>
        <v>44039.66667</v>
      </c>
      <c r="B141" s="2">
        <f>IFERROR(__xludf.DUMMYFUNCTION("""COMPUTED_VALUE"""),4100.0)</f>
        <v>4100</v>
      </c>
      <c r="C141" s="2">
        <f>IFERROR(__xludf.DUMMYFUNCTION("""COMPUTED_VALUE"""),4100.0)</f>
        <v>4100</v>
      </c>
      <c r="D141" s="2">
        <f>IFERROR(__xludf.DUMMYFUNCTION("""COMPUTED_VALUE"""),4020.0)</f>
        <v>4020</v>
      </c>
      <c r="E141" s="2">
        <f>IFERROR(__xludf.DUMMYFUNCTION("""COMPUTED_VALUE"""),4070.0)</f>
        <v>4070</v>
      </c>
      <c r="F141" s="2">
        <f>IFERROR(__xludf.DUMMYFUNCTION("""COMPUTED_VALUE"""),5359300.0)</f>
        <v>5359300</v>
      </c>
      <c r="G141" s="2">
        <f t="shared" si="1"/>
        <v>80</v>
      </c>
    </row>
    <row r="142" ht="15.75" customHeight="1">
      <c r="A142" s="1">
        <f>IFERROR(__xludf.DUMMYFUNCTION("""COMPUTED_VALUE"""),44040.66666666667)</f>
        <v>44040.66667</v>
      </c>
      <c r="B142" s="2">
        <f>IFERROR(__xludf.DUMMYFUNCTION("""COMPUTED_VALUE"""),4070.0)</f>
        <v>4070</v>
      </c>
      <c r="C142" s="2">
        <f>IFERROR(__xludf.DUMMYFUNCTION("""COMPUTED_VALUE"""),4120.0)</f>
        <v>4120</v>
      </c>
      <c r="D142" s="2">
        <f>IFERROR(__xludf.DUMMYFUNCTION("""COMPUTED_VALUE"""),4020.0)</f>
        <v>4020</v>
      </c>
      <c r="E142" s="2">
        <f>IFERROR(__xludf.DUMMYFUNCTION("""COMPUTED_VALUE"""),4030.0)</f>
        <v>4030</v>
      </c>
      <c r="F142" s="2">
        <f>IFERROR(__xludf.DUMMYFUNCTION("""COMPUTED_VALUE"""),6841500.0)</f>
        <v>6841500</v>
      </c>
      <c r="G142" s="2">
        <f t="shared" si="1"/>
        <v>100</v>
      </c>
    </row>
    <row r="143" ht="15.75" customHeight="1">
      <c r="A143" s="1">
        <f>IFERROR(__xludf.DUMMYFUNCTION("""COMPUTED_VALUE"""),44041.66666666667)</f>
        <v>44041.66667</v>
      </c>
      <c r="B143" s="2">
        <f>IFERROR(__xludf.DUMMYFUNCTION("""COMPUTED_VALUE"""),4030.0)</f>
        <v>4030</v>
      </c>
      <c r="C143" s="2">
        <f>IFERROR(__xludf.DUMMYFUNCTION("""COMPUTED_VALUE"""),4060.0)</f>
        <v>4060</v>
      </c>
      <c r="D143" s="2">
        <f>IFERROR(__xludf.DUMMYFUNCTION("""COMPUTED_VALUE"""),3960.0)</f>
        <v>3960</v>
      </c>
      <c r="E143" s="2">
        <f>IFERROR(__xludf.DUMMYFUNCTION("""COMPUTED_VALUE"""),3990.0)</f>
        <v>3990</v>
      </c>
      <c r="F143" s="2">
        <f>IFERROR(__xludf.DUMMYFUNCTION("""COMPUTED_VALUE"""),5734800.0)</f>
        <v>5734800</v>
      </c>
      <c r="G143" s="2">
        <f t="shared" si="1"/>
        <v>100</v>
      </c>
    </row>
    <row r="144" ht="15.75" customHeight="1">
      <c r="A144" s="1">
        <f>IFERROR(__xludf.DUMMYFUNCTION("""COMPUTED_VALUE"""),44042.66666666667)</f>
        <v>44042.66667</v>
      </c>
      <c r="B144" s="2">
        <f>IFERROR(__xludf.DUMMYFUNCTION("""COMPUTED_VALUE"""),4010.0)</f>
        <v>4010</v>
      </c>
      <c r="C144" s="2">
        <f>IFERROR(__xludf.DUMMYFUNCTION("""COMPUTED_VALUE"""),4020.0)</f>
        <v>4020</v>
      </c>
      <c r="D144" s="2">
        <f>IFERROR(__xludf.DUMMYFUNCTION("""COMPUTED_VALUE"""),3900.0)</f>
        <v>3900</v>
      </c>
      <c r="E144" s="2">
        <f>IFERROR(__xludf.DUMMYFUNCTION("""COMPUTED_VALUE"""),3930.0)</f>
        <v>3930</v>
      </c>
      <c r="F144" s="2">
        <f>IFERROR(__xludf.DUMMYFUNCTION("""COMPUTED_VALUE"""),1.01675E7)</f>
        <v>10167500</v>
      </c>
      <c r="G144" s="2">
        <f t="shared" si="1"/>
        <v>120</v>
      </c>
    </row>
    <row r="145" ht="15.75" customHeight="1">
      <c r="A145" s="1">
        <f>IFERROR(__xludf.DUMMYFUNCTION("""COMPUTED_VALUE"""),44046.66666666667)</f>
        <v>44046.66667</v>
      </c>
      <c r="B145" s="2">
        <f>IFERROR(__xludf.DUMMYFUNCTION("""COMPUTED_VALUE"""),3960.0)</f>
        <v>3960</v>
      </c>
      <c r="C145" s="2">
        <f>IFERROR(__xludf.DUMMYFUNCTION("""COMPUTED_VALUE"""),3960.0)</f>
        <v>3960</v>
      </c>
      <c r="D145" s="2">
        <f>IFERROR(__xludf.DUMMYFUNCTION("""COMPUTED_VALUE"""),3680.0)</f>
        <v>3680</v>
      </c>
      <c r="E145" s="2">
        <f>IFERROR(__xludf.DUMMYFUNCTION("""COMPUTED_VALUE"""),3860.0)</f>
        <v>3860</v>
      </c>
      <c r="F145" s="2">
        <f>IFERROR(__xludf.DUMMYFUNCTION("""COMPUTED_VALUE"""),1.07162E7)</f>
        <v>10716200</v>
      </c>
      <c r="G145" s="2">
        <f t="shared" si="1"/>
        <v>280</v>
      </c>
    </row>
    <row r="146" ht="15.75" customHeight="1">
      <c r="A146" s="1">
        <f>IFERROR(__xludf.DUMMYFUNCTION("""COMPUTED_VALUE"""),44047.66666666667)</f>
        <v>44047.66667</v>
      </c>
      <c r="B146" s="2">
        <f>IFERROR(__xludf.DUMMYFUNCTION("""COMPUTED_VALUE"""),3880.0)</f>
        <v>3880</v>
      </c>
      <c r="C146" s="2">
        <f>IFERROR(__xludf.DUMMYFUNCTION("""COMPUTED_VALUE"""),4080.0)</f>
        <v>4080</v>
      </c>
      <c r="D146" s="2">
        <f>IFERROR(__xludf.DUMMYFUNCTION("""COMPUTED_VALUE"""),3860.0)</f>
        <v>3860</v>
      </c>
      <c r="E146" s="2">
        <f>IFERROR(__xludf.DUMMYFUNCTION("""COMPUTED_VALUE"""),4050.0)</f>
        <v>4050</v>
      </c>
      <c r="F146" s="2">
        <f>IFERROR(__xludf.DUMMYFUNCTION("""COMPUTED_VALUE"""),6876300.0)</f>
        <v>6876300</v>
      </c>
      <c r="G146" s="2">
        <f t="shared" si="1"/>
        <v>220</v>
      </c>
    </row>
    <row r="147" ht="15.75" customHeight="1">
      <c r="A147" s="1">
        <f>IFERROR(__xludf.DUMMYFUNCTION("""COMPUTED_VALUE"""),44048.66666666667)</f>
        <v>44048.66667</v>
      </c>
      <c r="B147" s="2">
        <f>IFERROR(__xludf.DUMMYFUNCTION("""COMPUTED_VALUE"""),4070.0)</f>
        <v>4070</v>
      </c>
      <c r="C147" s="2">
        <f>IFERROR(__xludf.DUMMYFUNCTION("""COMPUTED_VALUE"""),4210.0)</f>
        <v>4210</v>
      </c>
      <c r="D147" s="2">
        <f>IFERROR(__xludf.DUMMYFUNCTION("""COMPUTED_VALUE"""),4040.0)</f>
        <v>4040</v>
      </c>
      <c r="E147" s="2">
        <f>IFERROR(__xludf.DUMMYFUNCTION("""COMPUTED_VALUE"""),4210.0)</f>
        <v>4210</v>
      </c>
      <c r="F147" s="2">
        <f>IFERROR(__xludf.DUMMYFUNCTION("""COMPUTED_VALUE"""),1.57727E7)</f>
        <v>15772700</v>
      </c>
      <c r="G147" s="2">
        <f t="shared" si="1"/>
        <v>170</v>
      </c>
    </row>
    <row r="148" ht="15.75" customHeight="1">
      <c r="A148" s="1">
        <f>IFERROR(__xludf.DUMMYFUNCTION("""COMPUTED_VALUE"""),44049.66666666667)</f>
        <v>44049.66667</v>
      </c>
      <c r="B148" s="2">
        <f>IFERROR(__xludf.DUMMYFUNCTION("""COMPUTED_VALUE"""),4230.0)</f>
        <v>4230</v>
      </c>
      <c r="C148" s="2">
        <f>IFERROR(__xludf.DUMMYFUNCTION("""COMPUTED_VALUE"""),4240.0)</f>
        <v>4240</v>
      </c>
      <c r="D148" s="2">
        <f>IFERROR(__xludf.DUMMYFUNCTION("""COMPUTED_VALUE"""),4060.0)</f>
        <v>4060</v>
      </c>
      <c r="E148" s="2">
        <f>IFERROR(__xludf.DUMMYFUNCTION("""COMPUTED_VALUE"""),4070.0)</f>
        <v>4070</v>
      </c>
      <c r="F148" s="2">
        <f>IFERROR(__xludf.DUMMYFUNCTION("""COMPUTED_VALUE"""),8086400.0)</f>
        <v>8086400</v>
      </c>
      <c r="G148" s="2">
        <f t="shared" si="1"/>
        <v>180</v>
      </c>
    </row>
    <row r="149" ht="15.75" customHeight="1">
      <c r="A149" s="1">
        <f>IFERROR(__xludf.DUMMYFUNCTION("""COMPUTED_VALUE"""),44050.66666666667)</f>
        <v>44050.66667</v>
      </c>
      <c r="B149" s="2">
        <f>IFERROR(__xludf.DUMMYFUNCTION("""COMPUTED_VALUE"""),4120.0)</f>
        <v>4120</v>
      </c>
      <c r="C149" s="2">
        <f>IFERROR(__xludf.DUMMYFUNCTION("""COMPUTED_VALUE"""),4120.0)</f>
        <v>4120</v>
      </c>
      <c r="D149" s="2">
        <f>IFERROR(__xludf.DUMMYFUNCTION("""COMPUTED_VALUE"""),3970.0)</f>
        <v>3970</v>
      </c>
      <c r="E149" s="2">
        <f>IFERROR(__xludf.DUMMYFUNCTION("""COMPUTED_VALUE"""),4030.0)</f>
        <v>4030</v>
      </c>
      <c r="F149" s="2">
        <f>IFERROR(__xludf.DUMMYFUNCTION("""COMPUTED_VALUE"""),7705200.0)</f>
        <v>7705200</v>
      </c>
      <c r="G149" s="2">
        <f t="shared" si="1"/>
        <v>150</v>
      </c>
    </row>
    <row r="150" ht="15.75" customHeight="1">
      <c r="A150" s="1">
        <f>IFERROR(__xludf.DUMMYFUNCTION("""COMPUTED_VALUE"""),44053.66666666667)</f>
        <v>44053.66667</v>
      </c>
      <c r="B150" s="2">
        <f>IFERROR(__xludf.DUMMYFUNCTION("""COMPUTED_VALUE"""),4050.0)</f>
        <v>4050</v>
      </c>
      <c r="C150" s="2">
        <f>IFERROR(__xludf.DUMMYFUNCTION("""COMPUTED_VALUE"""),4050.0)</f>
        <v>4050</v>
      </c>
      <c r="D150" s="2">
        <f>IFERROR(__xludf.DUMMYFUNCTION("""COMPUTED_VALUE"""),3970.0)</f>
        <v>3970</v>
      </c>
      <c r="E150" s="2">
        <f>IFERROR(__xludf.DUMMYFUNCTION("""COMPUTED_VALUE"""),4010.0)</f>
        <v>4010</v>
      </c>
      <c r="F150" s="2">
        <f>IFERROR(__xludf.DUMMYFUNCTION("""COMPUTED_VALUE"""),3594800.0)</f>
        <v>3594800</v>
      </c>
      <c r="G150" s="2">
        <f t="shared" si="1"/>
        <v>80</v>
      </c>
    </row>
    <row r="151" ht="15.75" customHeight="1">
      <c r="A151" s="1">
        <f>IFERROR(__xludf.DUMMYFUNCTION("""COMPUTED_VALUE"""),44054.66666666667)</f>
        <v>44054.66667</v>
      </c>
      <c r="B151" s="2">
        <f>IFERROR(__xludf.DUMMYFUNCTION("""COMPUTED_VALUE"""),4020.0)</f>
        <v>4020</v>
      </c>
      <c r="C151" s="2">
        <f>IFERROR(__xludf.DUMMYFUNCTION("""COMPUTED_VALUE"""),4070.0)</f>
        <v>4070</v>
      </c>
      <c r="D151" s="2">
        <f>IFERROR(__xludf.DUMMYFUNCTION("""COMPUTED_VALUE"""),4010.0)</f>
        <v>4010</v>
      </c>
      <c r="E151" s="2">
        <f>IFERROR(__xludf.DUMMYFUNCTION("""COMPUTED_VALUE"""),4050.0)</f>
        <v>4050</v>
      </c>
      <c r="F151" s="2">
        <f>IFERROR(__xludf.DUMMYFUNCTION("""COMPUTED_VALUE"""),5855300.0)</f>
        <v>5855300</v>
      </c>
      <c r="G151" s="2">
        <f t="shared" si="1"/>
        <v>60</v>
      </c>
    </row>
    <row r="152" ht="15.75" customHeight="1">
      <c r="A152" s="1">
        <f>IFERROR(__xludf.DUMMYFUNCTION("""COMPUTED_VALUE"""),44055.66666666667)</f>
        <v>44055.66667</v>
      </c>
      <c r="B152" s="2">
        <f>IFERROR(__xludf.DUMMYFUNCTION("""COMPUTED_VALUE"""),4060.0)</f>
        <v>4060</v>
      </c>
      <c r="C152" s="2">
        <f>IFERROR(__xludf.DUMMYFUNCTION("""COMPUTED_VALUE"""),4140.0)</f>
        <v>4140</v>
      </c>
      <c r="D152" s="2">
        <f>IFERROR(__xludf.DUMMYFUNCTION("""COMPUTED_VALUE"""),4060.0)</f>
        <v>4060</v>
      </c>
      <c r="E152" s="2">
        <f>IFERROR(__xludf.DUMMYFUNCTION("""COMPUTED_VALUE"""),4120.0)</f>
        <v>4120</v>
      </c>
      <c r="F152" s="2">
        <f>IFERROR(__xludf.DUMMYFUNCTION("""COMPUTED_VALUE"""),5327000.0)</f>
        <v>5327000</v>
      </c>
      <c r="G152" s="2">
        <f t="shared" si="1"/>
        <v>90</v>
      </c>
    </row>
    <row r="153" ht="15.75" customHeight="1">
      <c r="A153" s="1">
        <f>IFERROR(__xludf.DUMMYFUNCTION("""COMPUTED_VALUE"""),44056.66666666667)</f>
        <v>44056.66667</v>
      </c>
      <c r="B153" s="2">
        <f>IFERROR(__xludf.DUMMYFUNCTION("""COMPUTED_VALUE"""),4140.0)</f>
        <v>4140</v>
      </c>
      <c r="C153" s="2">
        <f>IFERROR(__xludf.DUMMYFUNCTION("""COMPUTED_VALUE"""),4190.0)</f>
        <v>4190</v>
      </c>
      <c r="D153" s="2">
        <f>IFERROR(__xludf.DUMMYFUNCTION("""COMPUTED_VALUE"""),4110.0)</f>
        <v>4110</v>
      </c>
      <c r="E153" s="2">
        <f>IFERROR(__xludf.DUMMYFUNCTION("""COMPUTED_VALUE"""),4140.0)</f>
        <v>4140</v>
      </c>
      <c r="F153" s="2">
        <f>IFERROR(__xludf.DUMMYFUNCTION("""COMPUTED_VALUE"""),7242500.0)</f>
        <v>7242500</v>
      </c>
      <c r="G153" s="2">
        <f t="shared" si="1"/>
        <v>80</v>
      </c>
    </row>
    <row r="154" ht="15.75" customHeight="1">
      <c r="A154" s="1">
        <f>IFERROR(__xludf.DUMMYFUNCTION("""COMPUTED_VALUE"""),44057.66666666667)</f>
        <v>44057.66667</v>
      </c>
      <c r="B154" s="2">
        <f>IFERROR(__xludf.DUMMYFUNCTION("""COMPUTED_VALUE"""),4140.0)</f>
        <v>4140</v>
      </c>
      <c r="C154" s="2">
        <f>IFERROR(__xludf.DUMMYFUNCTION("""COMPUTED_VALUE"""),4150.0)</f>
        <v>4150</v>
      </c>
      <c r="D154" s="2">
        <f>IFERROR(__xludf.DUMMYFUNCTION("""COMPUTED_VALUE"""),4060.0)</f>
        <v>4060</v>
      </c>
      <c r="E154" s="2">
        <f>IFERROR(__xludf.DUMMYFUNCTION("""COMPUTED_VALUE"""),4060.0)</f>
        <v>4060</v>
      </c>
      <c r="F154" s="2">
        <f>IFERROR(__xludf.DUMMYFUNCTION("""COMPUTED_VALUE"""),4136600.0)</f>
        <v>4136600</v>
      </c>
      <c r="G154" s="2">
        <f t="shared" si="1"/>
        <v>90</v>
      </c>
    </row>
    <row r="155" ht="15.75" customHeight="1">
      <c r="A155" s="1">
        <f>IFERROR(__xludf.DUMMYFUNCTION("""COMPUTED_VALUE"""),44061.66666666667)</f>
        <v>44061.66667</v>
      </c>
      <c r="B155" s="2">
        <f>IFERROR(__xludf.DUMMYFUNCTION("""COMPUTED_VALUE"""),4100.0)</f>
        <v>4100</v>
      </c>
      <c r="C155" s="2">
        <f>IFERROR(__xludf.DUMMYFUNCTION("""COMPUTED_VALUE"""),4130.0)</f>
        <v>4130</v>
      </c>
      <c r="D155" s="2">
        <f>IFERROR(__xludf.DUMMYFUNCTION("""COMPUTED_VALUE"""),4030.0)</f>
        <v>4030</v>
      </c>
      <c r="E155" s="2">
        <f>IFERROR(__xludf.DUMMYFUNCTION("""COMPUTED_VALUE"""),4050.0)</f>
        <v>4050</v>
      </c>
      <c r="F155" s="2">
        <f>IFERROR(__xludf.DUMMYFUNCTION("""COMPUTED_VALUE"""),6441600.0)</f>
        <v>6441600</v>
      </c>
      <c r="G155" s="2">
        <f t="shared" si="1"/>
        <v>100</v>
      </c>
    </row>
    <row r="156" ht="15.75" customHeight="1">
      <c r="A156" s="1">
        <f>IFERROR(__xludf.DUMMYFUNCTION("""COMPUTED_VALUE"""),44062.66666666667)</f>
        <v>44062.66667</v>
      </c>
      <c r="B156" s="2">
        <f>IFERROR(__xludf.DUMMYFUNCTION("""COMPUTED_VALUE"""),4070.0)</f>
        <v>4070</v>
      </c>
      <c r="C156" s="2">
        <f>IFERROR(__xludf.DUMMYFUNCTION("""COMPUTED_VALUE"""),4080.0)</f>
        <v>4080</v>
      </c>
      <c r="D156" s="2">
        <f>IFERROR(__xludf.DUMMYFUNCTION("""COMPUTED_VALUE"""),3980.0)</f>
        <v>3980</v>
      </c>
      <c r="E156" s="2">
        <f>IFERROR(__xludf.DUMMYFUNCTION("""COMPUTED_VALUE"""),3980.0)</f>
        <v>3980</v>
      </c>
      <c r="F156" s="2">
        <f>IFERROR(__xludf.DUMMYFUNCTION("""COMPUTED_VALUE"""),1.72849E7)</f>
        <v>17284900</v>
      </c>
      <c r="G156" s="2">
        <f t="shared" si="1"/>
        <v>100</v>
      </c>
    </row>
    <row r="157" ht="15.75" customHeight="1">
      <c r="A157" s="1">
        <f>IFERROR(__xludf.DUMMYFUNCTION("""COMPUTED_VALUE"""),44067.66666666667)</f>
        <v>44067.66667</v>
      </c>
      <c r="B157" s="2">
        <f>IFERROR(__xludf.DUMMYFUNCTION("""COMPUTED_VALUE"""),4000.0)</f>
        <v>4000</v>
      </c>
      <c r="C157" s="2">
        <f>IFERROR(__xludf.DUMMYFUNCTION("""COMPUTED_VALUE"""),4020.0)</f>
        <v>4020</v>
      </c>
      <c r="D157" s="2">
        <f>IFERROR(__xludf.DUMMYFUNCTION("""COMPUTED_VALUE"""),3940.0)</f>
        <v>3940</v>
      </c>
      <c r="E157" s="2">
        <f>IFERROR(__xludf.DUMMYFUNCTION("""COMPUTED_VALUE"""),3950.0)</f>
        <v>3950</v>
      </c>
      <c r="F157" s="2">
        <f>IFERROR(__xludf.DUMMYFUNCTION("""COMPUTED_VALUE"""),7813600.0)</f>
        <v>7813600</v>
      </c>
      <c r="G157" s="2">
        <f t="shared" si="1"/>
        <v>80</v>
      </c>
    </row>
    <row r="158" ht="15.75" customHeight="1">
      <c r="A158" s="1">
        <f>IFERROR(__xludf.DUMMYFUNCTION("""COMPUTED_VALUE"""),44068.66666666667)</f>
        <v>44068.66667</v>
      </c>
      <c r="B158" s="2">
        <f>IFERROR(__xludf.DUMMYFUNCTION("""COMPUTED_VALUE"""),3980.0)</f>
        <v>3980</v>
      </c>
      <c r="C158" s="2">
        <f>IFERROR(__xludf.DUMMYFUNCTION("""COMPUTED_VALUE"""),3980.0)</f>
        <v>3980</v>
      </c>
      <c r="D158" s="2">
        <f>IFERROR(__xludf.DUMMYFUNCTION("""COMPUTED_VALUE"""),3950.0)</f>
        <v>3950</v>
      </c>
      <c r="E158" s="2">
        <f>IFERROR(__xludf.DUMMYFUNCTION("""COMPUTED_VALUE"""),3960.0)</f>
        <v>3960</v>
      </c>
      <c r="F158" s="2">
        <f>IFERROR(__xludf.DUMMYFUNCTION("""COMPUTED_VALUE"""),6206400.0)</f>
        <v>6206400</v>
      </c>
      <c r="G158" s="2">
        <f t="shared" si="1"/>
        <v>30</v>
      </c>
    </row>
    <row r="159" ht="15.75" customHeight="1">
      <c r="A159" s="1">
        <f>IFERROR(__xludf.DUMMYFUNCTION("""COMPUTED_VALUE"""),44069.66666666667)</f>
        <v>44069.66667</v>
      </c>
      <c r="B159" s="2">
        <f>IFERROR(__xludf.DUMMYFUNCTION("""COMPUTED_VALUE"""),4000.0)</f>
        <v>4000</v>
      </c>
      <c r="C159" s="2">
        <f>IFERROR(__xludf.DUMMYFUNCTION("""COMPUTED_VALUE"""),4030.0)</f>
        <v>4030</v>
      </c>
      <c r="D159" s="2">
        <f>IFERROR(__xludf.DUMMYFUNCTION("""COMPUTED_VALUE"""),3930.0)</f>
        <v>3930</v>
      </c>
      <c r="E159" s="2">
        <f>IFERROR(__xludf.DUMMYFUNCTION("""COMPUTED_VALUE"""),3940.0)</f>
        <v>3940</v>
      </c>
      <c r="F159" s="2">
        <f>IFERROR(__xludf.DUMMYFUNCTION("""COMPUTED_VALUE"""),1.14832E7)</f>
        <v>11483200</v>
      </c>
      <c r="G159" s="2">
        <f t="shared" si="1"/>
        <v>100</v>
      </c>
    </row>
    <row r="160" ht="15.75" customHeight="1">
      <c r="A160" s="1">
        <f>IFERROR(__xludf.DUMMYFUNCTION("""COMPUTED_VALUE"""),44070.66666666667)</f>
        <v>44070.66667</v>
      </c>
      <c r="B160" s="2">
        <f>IFERROR(__xludf.DUMMYFUNCTION("""COMPUTED_VALUE"""),3950.0)</f>
        <v>3950</v>
      </c>
      <c r="C160" s="2">
        <f>IFERROR(__xludf.DUMMYFUNCTION("""COMPUTED_VALUE"""),3970.0)</f>
        <v>3970</v>
      </c>
      <c r="D160" s="2">
        <f>IFERROR(__xludf.DUMMYFUNCTION("""COMPUTED_VALUE"""),3930.0)</f>
        <v>3930</v>
      </c>
      <c r="E160" s="2">
        <f>IFERROR(__xludf.DUMMYFUNCTION("""COMPUTED_VALUE"""),3940.0)</f>
        <v>3940</v>
      </c>
      <c r="F160" s="2">
        <f>IFERROR(__xludf.DUMMYFUNCTION("""COMPUTED_VALUE"""),6258800.0)</f>
        <v>6258800</v>
      </c>
      <c r="G160" s="2">
        <f t="shared" si="1"/>
        <v>40</v>
      </c>
    </row>
    <row r="161" ht="15.75" customHeight="1">
      <c r="A161" s="1">
        <f>IFERROR(__xludf.DUMMYFUNCTION("""COMPUTED_VALUE"""),44071.66666666667)</f>
        <v>44071.66667</v>
      </c>
      <c r="B161" s="2">
        <f>IFERROR(__xludf.DUMMYFUNCTION("""COMPUTED_VALUE"""),3970.0)</f>
        <v>3970</v>
      </c>
      <c r="C161" s="2">
        <f>IFERROR(__xludf.DUMMYFUNCTION("""COMPUTED_VALUE"""),3980.0)</f>
        <v>3980</v>
      </c>
      <c r="D161" s="2">
        <f>IFERROR(__xludf.DUMMYFUNCTION("""COMPUTED_VALUE"""),3940.0)</f>
        <v>3940</v>
      </c>
      <c r="E161" s="2">
        <f>IFERROR(__xludf.DUMMYFUNCTION("""COMPUTED_VALUE"""),3980.0)</f>
        <v>3980</v>
      </c>
      <c r="F161" s="2">
        <f>IFERROR(__xludf.DUMMYFUNCTION("""COMPUTED_VALUE"""),4891400.0)</f>
        <v>4891400</v>
      </c>
      <c r="G161" s="2">
        <f t="shared" si="1"/>
        <v>40</v>
      </c>
    </row>
    <row r="162" ht="15.75" customHeight="1">
      <c r="A162" s="1">
        <f>IFERROR(__xludf.DUMMYFUNCTION("""COMPUTED_VALUE"""),44074.66666666667)</f>
        <v>44074.66667</v>
      </c>
      <c r="B162" s="2">
        <f>IFERROR(__xludf.DUMMYFUNCTION("""COMPUTED_VALUE"""),3980.0)</f>
        <v>3980</v>
      </c>
      <c r="C162" s="2">
        <f>IFERROR(__xludf.DUMMYFUNCTION("""COMPUTED_VALUE"""),4000.0)</f>
        <v>4000</v>
      </c>
      <c r="D162" s="2">
        <f>IFERROR(__xludf.DUMMYFUNCTION("""COMPUTED_VALUE"""),3880.0)</f>
        <v>3880</v>
      </c>
      <c r="E162" s="2">
        <f>IFERROR(__xludf.DUMMYFUNCTION("""COMPUTED_VALUE"""),3910.0)</f>
        <v>3910</v>
      </c>
      <c r="F162" s="2">
        <f>IFERROR(__xludf.DUMMYFUNCTION("""COMPUTED_VALUE"""),1.26967E7)</f>
        <v>12696700</v>
      </c>
      <c r="G162" s="2">
        <f t="shared" si="1"/>
        <v>120</v>
      </c>
    </row>
    <row r="163" ht="15.75" customHeight="1">
      <c r="A163" s="1">
        <f>IFERROR(__xludf.DUMMYFUNCTION("""COMPUTED_VALUE"""),44075.66666666667)</f>
        <v>44075.66667</v>
      </c>
      <c r="B163" s="2">
        <f>IFERROR(__xludf.DUMMYFUNCTION("""COMPUTED_VALUE"""),3910.0)</f>
        <v>3910</v>
      </c>
      <c r="C163" s="2">
        <f>IFERROR(__xludf.DUMMYFUNCTION("""COMPUTED_VALUE"""),3950.0)</f>
        <v>3950</v>
      </c>
      <c r="D163" s="2">
        <f>IFERROR(__xludf.DUMMYFUNCTION("""COMPUTED_VALUE"""),3850.0)</f>
        <v>3850</v>
      </c>
      <c r="E163" s="2">
        <f>IFERROR(__xludf.DUMMYFUNCTION("""COMPUTED_VALUE"""),3890.0)</f>
        <v>3890</v>
      </c>
      <c r="F163" s="2">
        <f>IFERROR(__xludf.DUMMYFUNCTION("""COMPUTED_VALUE"""),6199200.0)</f>
        <v>6199200</v>
      </c>
      <c r="G163" s="2">
        <f t="shared" si="1"/>
        <v>100</v>
      </c>
    </row>
    <row r="164" ht="15.75" customHeight="1">
      <c r="A164" s="1">
        <f>IFERROR(__xludf.DUMMYFUNCTION("""COMPUTED_VALUE"""),44076.66666666667)</f>
        <v>44076.66667</v>
      </c>
      <c r="B164" s="2">
        <f>IFERROR(__xludf.DUMMYFUNCTION("""COMPUTED_VALUE"""),3920.0)</f>
        <v>3920</v>
      </c>
      <c r="C164" s="2">
        <f>IFERROR(__xludf.DUMMYFUNCTION("""COMPUTED_VALUE"""),3920.0)</f>
        <v>3920</v>
      </c>
      <c r="D164" s="2">
        <f>IFERROR(__xludf.DUMMYFUNCTION("""COMPUTED_VALUE"""),3850.0)</f>
        <v>3850</v>
      </c>
      <c r="E164" s="2">
        <f>IFERROR(__xludf.DUMMYFUNCTION("""COMPUTED_VALUE"""),3910.0)</f>
        <v>3910</v>
      </c>
      <c r="F164" s="2">
        <f>IFERROR(__xludf.DUMMYFUNCTION("""COMPUTED_VALUE"""),9732900.0)</f>
        <v>9732900</v>
      </c>
      <c r="G164" s="2">
        <f t="shared" si="1"/>
        <v>70</v>
      </c>
    </row>
    <row r="165" ht="15.75" customHeight="1">
      <c r="A165" s="1">
        <f>IFERROR(__xludf.DUMMYFUNCTION("""COMPUTED_VALUE"""),44077.66666666667)</f>
        <v>44077.66667</v>
      </c>
      <c r="B165" s="2">
        <f>IFERROR(__xludf.DUMMYFUNCTION("""COMPUTED_VALUE"""),3920.0)</f>
        <v>3920</v>
      </c>
      <c r="C165" s="2">
        <f>IFERROR(__xludf.DUMMYFUNCTION("""COMPUTED_VALUE"""),3950.0)</f>
        <v>3950</v>
      </c>
      <c r="D165" s="2">
        <f>IFERROR(__xludf.DUMMYFUNCTION("""COMPUTED_VALUE"""),3850.0)</f>
        <v>3850</v>
      </c>
      <c r="E165" s="2">
        <f>IFERROR(__xludf.DUMMYFUNCTION("""COMPUTED_VALUE"""),3860.0)</f>
        <v>3860</v>
      </c>
      <c r="F165" s="2">
        <f>IFERROR(__xludf.DUMMYFUNCTION("""COMPUTED_VALUE"""),6341100.0)</f>
        <v>6341100</v>
      </c>
      <c r="G165" s="2">
        <f t="shared" si="1"/>
        <v>100</v>
      </c>
    </row>
    <row r="166" ht="15.75" customHeight="1">
      <c r="A166" s="1">
        <f>IFERROR(__xludf.DUMMYFUNCTION("""COMPUTED_VALUE"""),44078.66666666667)</f>
        <v>44078.66667</v>
      </c>
      <c r="B166" s="2">
        <f>IFERROR(__xludf.DUMMYFUNCTION("""COMPUTED_VALUE"""),3820.0)</f>
        <v>3820</v>
      </c>
      <c r="C166" s="2">
        <f>IFERROR(__xludf.DUMMYFUNCTION("""COMPUTED_VALUE"""),3890.0)</f>
        <v>3890</v>
      </c>
      <c r="D166" s="2">
        <f>IFERROR(__xludf.DUMMYFUNCTION("""COMPUTED_VALUE"""),3770.0)</f>
        <v>3770</v>
      </c>
      <c r="E166" s="2">
        <f>IFERROR(__xludf.DUMMYFUNCTION("""COMPUTED_VALUE"""),3880.0)</f>
        <v>3880</v>
      </c>
      <c r="F166" s="2">
        <f>IFERROR(__xludf.DUMMYFUNCTION("""COMPUTED_VALUE"""),8143000.0)</f>
        <v>8143000</v>
      </c>
      <c r="G166" s="2">
        <f t="shared" si="1"/>
        <v>120</v>
      </c>
    </row>
    <row r="167" ht="15.75" customHeight="1">
      <c r="A167" s="1">
        <f>IFERROR(__xludf.DUMMYFUNCTION("""COMPUTED_VALUE"""),44081.66666666667)</f>
        <v>44081.66667</v>
      </c>
      <c r="B167" s="2">
        <f>IFERROR(__xludf.DUMMYFUNCTION("""COMPUTED_VALUE"""),3800.0)</f>
        <v>3800</v>
      </c>
      <c r="C167" s="2">
        <f>IFERROR(__xludf.DUMMYFUNCTION("""COMPUTED_VALUE"""),3840.0)</f>
        <v>3840</v>
      </c>
      <c r="D167" s="2">
        <f>IFERROR(__xludf.DUMMYFUNCTION("""COMPUTED_VALUE"""),3750.0)</f>
        <v>3750</v>
      </c>
      <c r="E167" s="2">
        <f>IFERROR(__xludf.DUMMYFUNCTION("""COMPUTED_VALUE"""),3760.0)</f>
        <v>3760</v>
      </c>
      <c r="F167" s="2">
        <f>IFERROR(__xludf.DUMMYFUNCTION("""COMPUTED_VALUE"""),1.40288E7)</f>
        <v>14028800</v>
      </c>
      <c r="G167" s="2">
        <f t="shared" si="1"/>
        <v>130</v>
      </c>
    </row>
    <row r="168" ht="15.75" customHeight="1">
      <c r="A168" s="1">
        <f>IFERROR(__xludf.DUMMYFUNCTION("""COMPUTED_VALUE"""),44082.66666666667)</f>
        <v>44082.66667</v>
      </c>
      <c r="B168" s="2">
        <f>IFERROR(__xludf.DUMMYFUNCTION("""COMPUTED_VALUE"""),3770.0)</f>
        <v>3770</v>
      </c>
      <c r="C168" s="2">
        <f>IFERROR(__xludf.DUMMYFUNCTION("""COMPUTED_VALUE"""),3800.0)</f>
        <v>3800</v>
      </c>
      <c r="D168" s="2">
        <f>IFERROR(__xludf.DUMMYFUNCTION("""COMPUTED_VALUE"""),3630.0)</f>
        <v>3630</v>
      </c>
      <c r="E168" s="2">
        <f>IFERROR(__xludf.DUMMYFUNCTION("""COMPUTED_VALUE"""),3660.0)</f>
        <v>3660</v>
      </c>
      <c r="F168" s="2">
        <f>IFERROR(__xludf.DUMMYFUNCTION("""COMPUTED_VALUE"""),1.46761E7)</f>
        <v>14676100</v>
      </c>
      <c r="G168" s="2">
        <f t="shared" si="1"/>
        <v>170</v>
      </c>
    </row>
    <row r="169" ht="15.75" customHeight="1">
      <c r="A169" s="1">
        <f>IFERROR(__xludf.DUMMYFUNCTION("""COMPUTED_VALUE"""),44083.66666666667)</f>
        <v>44083.66667</v>
      </c>
      <c r="B169" s="2">
        <f>IFERROR(__xludf.DUMMYFUNCTION("""COMPUTED_VALUE"""),3610.0)</f>
        <v>3610</v>
      </c>
      <c r="C169" s="2">
        <f>IFERROR(__xludf.DUMMYFUNCTION("""COMPUTED_VALUE"""),3620.0)</f>
        <v>3620</v>
      </c>
      <c r="D169" s="2">
        <f>IFERROR(__xludf.DUMMYFUNCTION("""COMPUTED_VALUE"""),3460.0)</f>
        <v>3460</v>
      </c>
      <c r="E169" s="2">
        <f>IFERROR(__xludf.DUMMYFUNCTION("""COMPUTED_VALUE"""),3500.0)</f>
        <v>3500</v>
      </c>
      <c r="F169" s="2">
        <f>IFERROR(__xludf.DUMMYFUNCTION("""COMPUTED_VALUE"""),1.7502E7)</f>
        <v>17502000</v>
      </c>
      <c r="G169" s="2">
        <f t="shared" si="1"/>
        <v>200</v>
      </c>
    </row>
    <row r="170" ht="15.75" customHeight="1">
      <c r="A170" s="1">
        <f>IFERROR(__xludf.DUMMYFUNCTION("""COMPUTED_VALUE"""),44084.66666666667)</f>
        <v>44084.66667</v>
      </c>
      <c r="B170" s="2">
        <f>IFERROR(__xludf.DUMMYFUNCTION("""COMPUTED_VALUE"""),3330.0)</f>
        <v>3330</v>
      </c>
      <c r="C170" s="2">
        <f>IFERROR(__xludf.DUMMYFUNCTION("""COMPUTED_VALUE"""),3330.0)</f>
        <v>3330</v>
      </c>
      <c r="D170" s="2">
        <f>IFERROR(__xludf.DUMMYFUNCTION("""COMPUTED_VALUE"""),3260.0)</f>
        <v>3260</v>
      </c>
      <c r="E170" s="2">
        <f>IFERROR(__xludf.DUMMYFUNCTION("""COMPUTED_VALUE"""),3260.0)</f>
        <v>3260</v>
      </c>
      <c r="F170" s="2">
        <f>IFERROR(__xludf.DUMMYFUNCTION("""COMPUTED_VALUE"""),1.54358E7)</f>
        <v>15435800</v>
      </c>
      <c r="G170" s="2">
        <f t="shared" si="1"/>
        <v>240</v>
      </c>
    </row>
    <row r="171" ht="15.75" customHeight="1">
      <c r="A171" s="1">
        <f>IFERROR(__xludf.DUMMYFUNCTION("""COMPUTED_VALUE"""),44085.66666666667)</f>
        <v>44085.66667</v>
      </c>
      <c r="B171" s="2">
        <f>IFERROR(__xludf.DUMMYFUNCTION("""COMPUTED_VALUE"""),3100.0)</f>
        <v>3100</v>
      </c>
      <c r="C171" s="2">
        <f>IFERROR(__xludf.DUMMYFUNCTION("""COMPUTED_VALUE"""),3430.0)</f>
        <v>3430</v>
      </c>
      <c r="D171" s="2">
        <f>IFERROR(__xludf.DUMMYFUNCTION("""COMPUTED_VALUE"""),3050.0)</f>
        <v>3050</v>
      </c>
      <c r="E171" s="2">
        <f>IFERROR(__xludf.DUMMYFUNCTION("""COMPUTED_VALUE"""),3320.0)</f>
        <v>3320</v>
      </c>
      <c r="F171" s="2">
        <f>IFERROR(__xludf.DUMMYFUNCTION("""COMPUTED_VALUE"""),3.54781E7)</f>
        <v>35478100</v>
      </c>
      <c r="G171" s="2">
        <f t="shared" si="1"/>
        <v>380</v>
      </c>
    </row>
    <row r="172" ht="15.75" customHeight="1">
      <c r="A172" s="1">
        <f>IFERROR(__xludf.DUMMYFUNCTION("""COMPUTED_VALUE"""),44088.66666666667)</f>
        <v>44088.66667</v>
      </c>
      <c r="B172" s="2">
        <f>IFERROR(__xludf.DUMMYFUNCTION("""COMPUTED_VALUE"""),3390.0)</f>
        <v>3390</v>
      </c>
      <c r="C172" s="2">
        <f>IFERROR(__xludf.DUMMYFUNCTION("""COMPUTED_VALUE"""),3600.0)</f>
        <v>3600</v>
      </c>
      <c r="D172" s="2">
        <f>IFERROR(__xludf.DUMMYFUNCTION("""COMPUTED_VALUE"""),3390.0)</f>
        <v>3390</v>
      </c>
      <c r="E172" s="2">
        <f>IFERROR(__xludf.DUMMYFUNCTION("""COMPUTED_VALUE"""),3600.0)</f>
        <v>3600</v>
      </c>
      <c r="F172" s="2">
        <f>IFERROR(__xludf.DUMMYFUNCTION("""COMPUTED_VALUE"""),2.42529E7)</f>
        <v>24252900</v>
      </c>
      <c r="G172" s="2">
        <f t="shared" si="1"/>
        <v>280</v>
      </c>
    </row>
    <row r="173" ht="15.75" customHeight="1">
      <c r="A173" s="1">
        <f>IFERROR(__xludf.DUMMYFUNCTION("""COMPUTED_VALUE"""),44089.66666666667)</f>
        <v>44089.66667</v>
      </c>
      <c r="B173" s="2">
        <f>IFERROR(__xludf.DUMMYFUNCTION("""COMPUTED_VALUE"""),3630.0)</f>
        <v>3630</v>
      </c>
      <c r="C173" s="2">
        <f>IFERROR(__xludf.DUMMYFUNCTION("""COMPUTED_VALUE"""),3650.0)</f>
        <v>3650</v>
      </c>
      <c r="D173" s="2">
        <f>IFERROR(__xludf.DUMMYFUNCTION("""COMPUTED_VALUE"""),3440.0)</f>
        <v>3440</v>
      </c>
      <c r="E173" s="2">
        <f>IFERROR(__xludf.DUMMYFUNCTION("""COMPUTED_VALUE"""),3460.0)</f>
        <v>3460</v>
      </c>
      <c r="F173" s="2">
        <f>IFERROR(__xludf.DUMMYFUNCTION("""COMPUTED_VALUE"""),2.07586E7)</f>
        <v>20758600</v>
      </c>
      <c r="G173" s="2">
        <f t="shared" si="1"/>
        <v>210</v>
      </c>
    </row>
    <row r="174" ht="15.75" customHeight="1">
      <c r="A174" s="1">
        <f>IFERROR(__xludf.DUMMYFUNCTION("""COMPUTED_VALUE"""),44090.66666666667)</f>
        <v>44090.66667</v>
      </c>
      <c r="B174" s="2">
        <f>IFERROR(__xludf.DUMMYFUNCTION("""COMPUTED_VALUE"""),3450.0)</f>
        <v>3450</v>
      </c>
      <c r="C174" s="2">
        <f>IFERROR(__xludf.DUMMYFUNCTION("""COMPUTED_VALUE"""),3450.0)</f>
        <v>3450</v>
      </c>
      <c r="D174" s="2">
        <f>IFERROR(__xludf.DUMMYFUNCTION("""COMPUTED_VALUE"""),3350.0)</f>
        <v>3350</v>
      </c>
      <c r="E174" s="2">
        <f>IFERROR(__xludf.DUMMYFUNCTION("""COMPUTED_VALUE"""),3360.0)</f>
        <v>3360</v>
      </c>
      <c r="F174" s="2">
        <f>IFERROR(__xludf.DUMMYFUNCTION("""COMPUTED_VALUE"""),1.22464E7)</f>
        <v>12246400</v>
      </c>
      <c r="G174" s="2">
        <f t="shared" si="1"/>
        <v>110</v>
      </c>
    </row>
    <row r="175" ht="15.75" customHeight="1">
      <c r="A175" s="1">
        <f>IFERROR(__xludf.DUMMYFUNCTION("""COMPUTED_VALUE"""),44091.66666666667)</f>
        <v>44091.66667</v>
      </c>
      <c r="B175" s="2">
        <f>IFERROR(__xludf.DUMMYFUNCTION("""COMPUTED_VALUE"""),3340.0)</f>
        <v>3340</v>
      </c>
      <c r="C175" s="2">
        <f>IFERROR(__xludf.DUMMYFUNCTION("""COMPUTED_VALUE"""),3370.0)</f>
        <v>3370</v>
      </c>
      <c r="D175" s="2">
        <f>IFERROR(__xludf.DUMMYFUNCTION("""COMPUTED_VALUE"""),3240.0)</f>
        <v>3240</v>
      </c>
      <c r="E175" s="2">
        <f>IFERROR(__xludf.DUMMYFUNCTION("""COMPUTED_VALUE"""),3290.0)</f>
        <v>3290</v>
      </c>
      <c r="F175" s="2">
        <f>IFERROR(__xludf.DUMMYFUNCTION("""COMPUTED_VALUE"""),1.34117E7)</f>
        <v>13411700</v>
      </c>
      <c r="G175" s="2">
        <f t="shared" si="1"/>
        <v>130</v>
      </c>
    </row>
    <row r="176" ht="15.75" customHeight="1">
      <c r="A176" s="1">
        <f>IFERROR(__xludf.DUMMYFUNCTION("""COMPUTED_VALUE"""),44092.66666666667)</f>
        <v>44092.66667</v>
      </c>
      <c r="B176" s="2">
        <f>IFERROR(__xludf.DUMMYFUNCTION("""COMPUTED_VALUE"""),3300.0)</f>
        <v>3300</v>
      </c>
      <c r="C176" s="2">
        <f>IFERROR(__xludf.DUMMYFUNCTION("""COMPUTED_VALUE"""),3340.0)</f>
        <v>3340</v>
      </c>
      <c r="D176" s="2">
        <f>IFERROR(__xludf.DUMMYFUNCTION("""COMPUTED_VALUE"""),3230.0)</f>
        <v>3230</v>
      </c>
      <c r="E176" s="2">
        <f>IFERROR(__xludf.DUMMYFUNCTION("""COMPUTED_VALUE"""),3320.0)</f>
        <v>3320</v>
      </c>
      <c r="F176" s="2">
        <f>IFERROR(__xludf.DUMMYFUNCTION("""COMPUTED_VALUE"""),1.43176E7)</f>
        <v>14317600</v>
      </c>
      <c r="G176" s="2">
        <f t="shared" si="1"/>
        <v>110</v>
      </c>
    </row>
    <row r="177" ht="15.75" customHeight="1">
      <c r="A177" s="1">
        <f>IFERROR(__xludf.DUMMYFUNCTION("""COMPUTED_VALUE"""),44095.66666666667)</f>
        <v>44095.66667</v>
      </c>
      <c r="B177" s="2">
        <f>IFERROR(__xludf.DUMMYFUNCTION("""COMPUTED_VALUE"""),3320.0)</f>
        <v>3320</v>
      </c>
      <c r="C177" s="2">
        <f>IFERROR(__xludf.DUMMYFUNCTION("""COMPUTED_VALUE"""),3360.0)</f>
        <v>3360</v>
      </c>
      <c r="D177" s="2">
        <f>IFERROR(__xludf.DUMMYFUNCTION("""COMPUTED_VALUE"""),3210.0)</f>
        <v>3210</v>
      </c>
      <c r="E177" s="2">
        <f>IFERROR(__xludf.DUMMYFUNCTION("""COMPUTED_VALUE"""),3220.0)</f>
        <v>3220</v>
      </c>
      <c r="F177" s="2">
        <f>IFERROR(__xludf.DUMMYFUNCTION("""COMPUTED_VALUE"""),7013300.0)</f>
        <v>7013300</v>
      </c>
      <c r="G177" s="2">
        <f t="shared" si="1"/>
        <v>150</v>
      </c>
    </row>
    <row r="178" ht="15.75" customHeight="1">
      <c r="A178" s="1">
        <f>IFERROR(__xludf.DUMMYFUNCTION("""COMPUTED_VALUE"""),44096.66666666667)</f>
        <v>44096.66667</v>
      </c>
      <c r="B178" s="2">
        <f>IFERROR(__xludf.DUMMYFUNCTION("""COMPUTED_VALUE"""),3160.0)</f>
        <v>3160</v>
      </c>
      <c r="C178" s="2">
        <f>IFERROR(__xludf.DUMMYFUNCTION("""COMPUTED_VALUE"""),3200.0)</f>
        <v>3200</v>
      </c>
      <c r="D178" s="2">
        <f>IFERROR(__xludf.DUMMYFUNCTION("""COMPUTED_VALUE"""),3120.0)</f>
        <v>3120</v>
      </c>
      <c r="E178" s="2">
        <f>IFERROR(__xludf.DUMMYFUNCTION("""COMPUTED_VALUE"""),3130.0)</f>
        <v>3130</v>
      </c>
      <c r="F178" s="2">
        <f>IFERROR(__xludf.DUMMYFUNCTION("""COMPUTED_VALUE"""),1.74164E7)</f>
        <v>17416400</v>
      </c>
      <c r="G178" s="2">
        <f t="shared" si="1"/>
        <v>100</v>
      </c>
    </row>
    <row r="179" ht="15.75" customHeight="1">
      <c r="A179" s="1">
        <f>IFERROR(__xludf.DUMMYFUNCTION("""COMPUTED_VALUE"""),44097.66666666667)</f>
        <v>44097.66667</v>
      </c>
      <c r="B179" s="2">
        <f>IFERROR(__xludf.DUMMYFUNCTION("""COMPUTED_VALUE"""),3150.0)</f>
        <v>3150</v>
      </c>
      <c r="C179" s="2">
        <f>IFERROR(__xludf.DUMMYFUNCTION("""COMPUTED_VALUE"""),3220.0)</f>
        <v>3220</v>
      </c>
      <c r="D179" s="2">
        <f>IFERROR(__xludf.DUMMYFUNCTION("""COMPUTED_VALUE"""),3080.0)</f>
        <v>3080</v>
      </c>
      <c r="E179" s="2">
        <f>IFERROR(__xludf.DUMMYFUNCTION("""COMPUTED_VALUE"""),3190.0)</f>
        <v>3190</v>
      </c>
      <c r="F179" s="2">
        <f>IFERROR(__xludf.DUMMYFUNCTION("""COMPUTED_VALUE"""),8612600.0)</f>
        <v>8612600</v>
      </c>
      <c r="G179" s="2">
        <f t="shared" si="1"/>
        <v>140</v>
      </c>
    </row>
    <row r="180" ht="15.75" customHeight="1">
      <c r="A180" s="1">
        <f>IFERROR(__xludf.DUMMYFUNCTION("""COMPUTED_VALUE"""),44098.66666666667)</f>
        <v>44098.66667</v>
      </c>
      <c r="B180" s="2">
        <f>IFERROR(__xludf.DUMMYFUNCTION("""COMPUTED_VALUE"""),3150.0)</f>
        <v>3150</v>
      </c>
      <c r="C180" s="2">
        <f>IFERROR(__xludf.DUMMYFUNCTION("""COMPUTED_VALUE"""),3260.0)</f>
        <v>3260</v>
      </c>
      <c r="D180" s="2">
        <f>IFERROR(__xludf.DUMMYFUNCTION("""COMPUTED_VALUE"""),3110.0)</f>
        <v>3110</v>
      </c>
      <c r="E180" s="2">
        <f>IFERROR(__xludf.DUMMYFUNCTION("""COMPUTED_VALUE"""),3250.0)</f>
        <v>3250</v>
      </c>
      <c r="F180" s="2">
        <f>IFERROR(__xludf.DUMMYFUNCTION("""COMPUTED_VALUE"""),1.15812E7)</f>
        <v>11581200</v>
      </c>
      <c r="G180" s="2">
        <f t="shared" si="1"/>
        <v>150</v>
      </c>
    </row>
    <row r="181" ht="15.75" customHeight="1">
      <c r="A181" s="1">
        <f>IFERROR(__xludf.DUMMYFUNCTION("""COMPUTED_VALUE"""),44099.66666666667)</f>
        <v>44099.66667</v>
      </c>
      <c r="B181" s="2">
        <f>IFERROR(__xludf.DUMMYFUNCTION("""COMPUTED_VALUE"""),3300.0)</f>
        <v>3300</v>
      </c>
      <c r="C181" s="2">
        <f>IFERROR(__xludf.DUMMYFUNCTION("""COMPUTED_VALUE"""),3440.0)</f>
        <v>3440</v>
      </c>
      <c r="D181" s="2">
        <f>IFERROR(__xludf.DUMMYFUNCTION("""COMPUTED_VALUE"""),3240.0)</f>
        <v>3240</v>
      </c>
      <c r="E181" s="2">
        <f>IFERROR(__xludf.DUMMYFUNCTION("""COMPUTED_VALUE"""),3430.0)</f>
        <v>3430</v>
      </c>
      <c r="F181" s="2">
        <f>IFERROR(__xludf.DUMMYFUNCTION("""COMPUTED_VALUE"""),1.57375E7)</f>
        <v>15737500</v>
      </c>
      <c r="G181" s="2">
        <f t="shared" si="1"/>
        <v>200</v>
      </c>
    </row>
    <row r="182" ht="15.75" customHeight="1">
      <c r="A182" s="1">
        <f>IFERROR(__xludf.DUMMYFUNCTION("""COMPUTED_VALUE"""),44102.66666666667)</f>
        <v>44102.66667</v>
      </c>
      <c r="B182" s="2">
        <f>IFERROR(__xludf.DUMMYFUNCTION("""COMPUTED_VALUE"""),3470.0)</f>
        <v>3470</v>
      </c>
      <c r="C182" s="2">
        <f>IFERROR(__xludf.DUMMYFUNCTION("""COMPUTED_VALUE"""),3590.0)</f>
        <v>3590</v>
      </c>
      <c r="D182" s="2">
        <f>IFERROR(__xludf.DUMMYFUNCTION("""COMPUTED_VALUE"""),3420.0)</f>
        <v>3420</v>
      </c>
      <c r="E182" s="2">
        <f>IFERROR(__xludf.DUMMYFUNCTION("""COMPUTED_VALUE"""),3580.0)</f>
        <v>3580</v>
      </c>
      <c r="F182" s="2">
        <f>IFERROR(__xludf.DUMMYFUNCTION("""COMPUTED_VALUE"""),2.14622E7)</f>
        <v>21462200</v>
      </c>
      <c r="G182" s="2">
        <f t="shared" si="1"/>
        <v>170</v>
      </c>
    </row>
    <row r="183" ht="15.75" customHeight="1">
      <c r="A183" s="1">
        <f>IFERROR(__xludf.DUMMYFUNCTION("""COMPUTED_VALUE"""),44103.66666666667)</f>
        <v>44103.66667</v>
      </c>
      <c r="B183" s="2">
        <f>IFERROR(__xludf.DUMMYFUNCTION("""COMPUTED_VALUE"""),3600.0)</f>
        <v>3600</v>
      </c>
      <c r="C183" s="2">
        <f>IFERROR(__xludf.DUMMYFUNCTION("""COMPUTED_VALUE"""),3620.0)</f>
        <v>3620</v>
      </c>
      <c r="D183" s="2">
        <f>IFERROR(__xludf.DUMMYFUNCTION("""COMPUTED_VALUE"""),3480.0)</f>
        <v>3480</v>
      </c>
      <c r="E183" s="2">
        <f>IFERROR(__xludf.DUMMYFUNCTION("""COMPUTED_VALUE"""),3530.0)</f>
        <v>3530</v>
      </c>
      <c r="F183" s="2">
        <f>IFERROR(__xludf.DUMMYFUNCTION("""COMPUTED_VALUE"""),1.00926E7)</f>
        <v>10092600</v>
      </c>
      <c r="G183" s="2">
        <f t="shared" si="1"/>
        <v>140</v>
      </c>
    </row>
    <row r="184" ht="15.75" customHeight="1">
      <c r="A184" s="1">
        <f>IFERROR(__xludf.DUMMYFUNCTION("""COMPUTED_VALUE"""),44104.66666666667)</f>
        <v>44104.66667</v>
      </c>
      <c r="B184" s="2">
        <f>IFERROR(__xludf.DUMMYFUNCTION("""COMPUTED_VALUE"""),3500.0)</f>
        <v>3500</v>
      </c>
      <c r="C184" s="2">
        <f>IFERROR(__xludf.DUMMYFUNCTION("""COMPUTED_VALUE"""),3620.0)</f>
        <v>3620</v>
      </c>
      <c r="D184" s="2">
        <f>IFERROR(__xludf.DUMMYFUNCTION("""COMPUTED_VALUE"""),3430.0)</f>
        <v>3430</v>
      </c>
      <c r="E184" s="2">
        <f>IFERROR(__xludf.DUMMYFUNCTION("""COMPUTED_VALUE"""),3610.0)</f>
        <v>3610</v>
      </c>
      <c r="F184" s="2">
        <f>IFERROR(__xludf.DUMMYFUNCTION("""COMPUTED_VALUE"""),7427600.0)</f>
        <v>7427600</v>
      </c>
      <c r="G184" s="2">
        <f t="shared" si="1"/>
        <v>190</v>
      </c>
    </row>
    <row r="185" ht="15.75" customHeight="1">
      <c r="A185" s="1">
        <f>IFERROR(__xludf.DUMMYFUNCTION("""COMPUTED_VALUE"""),44105.66666666667)</f>
        <v>44105.66667</v>
      </c>
      <c r="B185" s="2">
        <f>IFERROR(__xludf.DUMMYFUNCTION("""COMPUTED_VALUE"""),3610.0)</f>
        <v>3610</v>
      </c>
      <c r="C185" s="2">
        <f>IFERROR(__xludf.DUMMYFUNCTION("""COMPUTED_VALUE"""),3640.0)</f>
        <v>3640</v>
      </c>
      <c r="D185" s="2">
        <f>IFERROR(__xludf.DUMMYFUNCTION("""COMPUTED_VALUE"""),3530.0)</f>
        <v>3530</v>
      </c>
      <c r="E185" s="2">
        <f>IFERROR(__xludf.DUMMYFUNCTION("""COMPUTED_VALUE"""),3630.0)</f>
        <v>3630</v>
      </c>
      <c r="F185" s="2">
        <f>IFERROR(__xludf.DUMMYFUNCTION("""COMPUTED_VALUE"""),5859200.0)</f>
        <v>5859200</v>
      </c>
      <c r="G185" s="2">
        <f t="shared" si="1"/>
        <v>110</v>
      </c>
    </row>
    <row r="186" ht="15.75" customHeight="1">
      <c r="A186" s="1">
        <f>IFERROR(__xludf.DUMMYFUNCTION("""COMPUTED_VALUE"""),44106.66666666667)</f>
        <v>44106.66667</v>
      </c>
      <c r="B186" s="2">
        <f>IFERROR(__xludf.DUMMYFUNCTION("""COMPUTED_VALUE"""),3630.0)</f>
        <v>3630</v>
      </c>
      <c r="C186" s="2">
        <f>IFERROR(__xludf.DUMMYFUNCTION("""COMPUTED_VALUE"""),3630.0)</f>
        <v>3630</v>
      </c>
      <c r="D186" s="2">
        <f>IFERROR(__xludf.DUMMYFUNCTION("""COMPUTED_VALUE"""),3480.0)</f>
        <v>3480</v>
      </c>
      <c r="E186" s="2">
        <f>IFERROR(__xludf.DUMMYFUNCTION("""COMPUTED_VALUE"""),3500.0)</f>
        <v>3500</v>
      </c>
      <c r="F186" s="2">
        <f>IFERROR(__xludf.DUMMYFUNCTION("""COMPUTED_VALUE"""),4708300.0)</f>
        <v>4708300</v>
      </c>
      <c r="G186" s="2">
        <f t="shared" si="1"/>
        <v>150</v>
      </c>
    </row>
    <row r="187" ht="15.75" customHeight="1">
      <c r="A187" s="1">
        <f>IFERROR(__xludf.DUMMYFUNCTION("""COMPUTED_VALUE"""),44109.66666666667)</f>
        <v>44109.66667</v>
      </c>
      <c r="B187" s="2">
        <f>IFERROR(__xludf.DUMMYFUNCTION("""COMPUTED_VALUE"""),3500.0)</f>
        <v>3500</v>
      </c>
      <c r="C187" s="2">
        <f>IFERROR(__xludf.DUMMYFUNCTION("""COMPUTED_VALUE"""),3600.0)</f>
        <v>3600</v>
      </c>
      <c r="D187" s="2">
        <f>IFERROR(__xludf.DUMMYFUNCTION("""COMPUTED_VALUE"""),3450.0)</f>
        <v>3450</v>
      </c>
      <c r="E187" s="2">
        <f>IFERROR(__xludf.DUMMYFUNCTION("""COMPUTED_VALUE"""),3580.0)</f>
        <v>3580</v>
      </c>
      <c r="F187" s="2">
        <f>IFERROR(__xludf.DUMMYFUNCTION("""COMPUTED_VALUE"""),5474600.0)</f>
        <v>5474600</v>
      </c>
      <c r="G187" s="2">
        <f t="shared" si="1"/>
        <v>150</v>
      </c>
    </row>
    <row r="188" ht="15.75" customHeight="1">
      <c r="A188" s="1">
        <f>IFERROR(__xludf.DUMMYFUNCTION("""COMPUTED_VALUE"""),44110.66666666667)</f>
        <v>44110.66667</v>
      </c>
      <c r="B188" s="2">
        <f>IFERROR(__xludf.DUMMYFUNCTION("""COMPUTED_VALUE"""),3610.0)</f>
        <v>3610</v>
      </c>
      <c r="C188" s="2">
        <f>IFERROR(__xludf.DUMMYFUNCTION("""COMPUTED_VALUE"""),3740.0)</f>
        <v>3740</v>
      </c>
      <c r="D188" s="2">
        <f>IFERROR(__xludf.DUMMYFUNCTION("""COMPUTED_VALUE"""),3600.0)</f>
        <v>3600</v>
      </c>
      <c r="E188" s="2">
        <f>IFERROR(__xludf.DUMMYFUNCTION("""COMPUTED_VALUE"""),3720.0)</f>
        <v>3720</v>
      </c>
      <c r="F188" s="2">
        <f>IFERROR(__xludf.DUMMYFUNCTION("""COMPUTED_VALUE"""),1.54188E7)</f>
        <v>15418800</v>
      </c>
      <c r="G188" s="2">
        <f t="shared" si="1"/>
        <v>160</v>
      </c>
    </row>
    <row r="189" ht="15.75" customHeight="1">
      <c r="A189" s="1">
        <f>IFERROR(__xludf.DUMMYFUNCTION("""COMPUTED_VALUE"""),44111.66666666667)</f>
        <v>44111.66667</v>
      </c>
      <c r="B189" s="2">
        <f>IFERROR(__xludf.DUMMYFUNCTION("""COMPUTED_VALUE"""),3720.0)</f>
        <v>3720</v>
      </c>
      <c r="C189" s="2">
        <f>IFERROR(__xludf.DUMMYFUNCTION("""COMPUTED_VALUE"""),3730.0)</f>
        <v>3730</v>
      </c>
      <c r="D189" s="2">
        <f>IFERROR(__xludf.DUMMYFUNCTION("""COMPUTED_VALUE"""),3660.0)</f>
        <v>3660</v>
      </c>
      <c r="E189" s="2">
        <f>IFERROR(__xludf.DUMMYFUNCTION("""COMPUTED_VALUE"""),3710.0)</f>
        <v>3710</v>
      </c>
      <c r="F189" s="2">
        <f>IFERROR(__xludf.DUMMYFUNCTION("""COMPUTED_VALUE"""),4554800.0)</f>
        <v>4554800</v>
      </c>
      <c r="G189" s="2">
        <f t="shared" si="1"/>
        <v>70</v>
      </c>
    </row>
    <row r="190" ht="15.75" customHeight="1">
      <c r="A190" s="1">
        <f>IFERROR(__xludf.DUMMYFUNCTION("""COMPUTED_VALUE"""),44112.66666666667)</f>
        <v>44112.66667</v>
      </c>
      <c r="B190" s="2">
        <f>IFERROR(__xludf.DUMMYFUNCTION("""COMPUTED_VALUE"""),3710.0)</f>
        <v>3710</v>
      </c>
      <c r="C190" s="2">
        <f>IFERROR(__xludf.DUMMYFUNCTION("""COMPUTED_VALUE"""),3840.0)</f>
        <v>3840</v>
      </c>
      <c r="D190" s="2">
        <f>IFERROR(__xludf.DUMMYFUNCTION("""COMPUTED_VALUE"""),3690.0)</f>
        <v>3690</v>
      </c>
      <c r="E190" s="2">
        <f>IFERROR(__xludf.DUMMYFUNCTION("""COMPUTED_VALUE"""),3830.0)</f>
        <v>3830</v>
      </c>
      <c r="F190" s="2">
        <f>IFERROR(__xludf.DUMMYFUNCTION("""COMPUTED_VALUE"""),8745200.0)</f>
        <v>8745200</v>
      </c>
      <c r="G190" s="2">
        <f t="shared" si="1"/>
        <v>150</v>
      </c>
    </row>
    <row r="191" ht="15.75" customHeight="1">
      <c r="A191" s="1">
        <f>IFERROR(__xludf.DUMMYFUNCTION("""COMPUTED_VALUE"""),44113.66666666667)</f>
        <v>44113.66667</v>
      </c>
      <c r="B191" s="2">
        <f>IFERROR(__xludf.DUMMYFUNCTION("""COMPUTED_VALUE"""),3830.0)</f>
        <v>3830</v>
      </c>
      <c r="C191" s="2">
        <f>IFERROR(__xludf.DUMMYFUNCTION("""COMPUTED_VALUE"""),3830.0)</f>
        <v>3830</v>
      </c>
      <c r="D191" s="2">
        <f>IFERROR(__xludf.DUMMYFUNCTION("""COMPUTED_VALUE"""),3750.0)</f>
        <v>3750</v>
      </c>
      <c r="E191" s="2">
        <f>IFERROR(__xludf.DUMMYFUNCTION("""COMPUTED_VALUE"""),3780.0)</f>
        <v>3780</v>
      </c>
      <c r="F191" s="2">
        <f>IFERROR(__xludf.DUMMYFUNCTION("""COMPUTED_VALUE"""),6356900.0)</f>
        <v>6356900</v>
      </c>
      <c r="G191" s="2">
        <f t="shared" si="1"/>
        <v>80</v>
      </c>
    </row>
    <row r="192" ht="15.75" customHeight="1">
      <c r="A192" s="1">
        <f>IFERROR(__xludf.DUMMYFUNCTION("""COMPUTED_VALUE"""),44116.66666666667)</f>
        <v>44116.66667</v>
      </c>
      <c r="B192" s="2">
        <f>IFERROR(__xludf.DUMMYFUNCTION("""COMPUTED_VALUE"""),3810.0)</f>
        <v>3810</v>
      </c>
      <c r="C192" s="2">
        <f>IFERROR(__xludf.DUMMYFUNCTION("""COMPUTED_VALUE"""),3840.0)</f>
        <v>3840</v>
      </c>
      <c r="D192" s="2">
        <f>IFERROR(__xludf.DUMMYFUNCTION("""COMPUTED_VALUE"""),3760.0)</f>
        <v>3760</v>
      </c>
      <c r="E192" s="2">
        <f>IFERROR(__xludf.DUMMYFUNCTION("""COMPUTED_VALUE"""),3800.0)</f>
        <v>3800</v>
      </c>
      <c r="F192" s="2">
        <f>IFERROR(__xludf.DUMMYFUNCTION("""COMPUTED_VALUE"""),5781900.0)</f>
        <v>5781900</v>
      </c>
      <c r="G192" s="2">
        <f t="shared" si="1"/>
        <v>80</v>
      </c>
    </row>
    <row r="193" ht="15.75" customHeight="1">
      <c r="A193" s="1">
        <f>IFERROR(__xludf.DUMMYFUNCTION("""COMPUTED_VALUE"""),44117.66666666667)</f>
        <v>44117.66667</v>
      </c>
      <c r="B193" s="2">
        <f>IFERROR(__xludf.DUMMYFUNCTION("""COMPUTED_VALUE"""),3800.0)</f>
        <v>3800</v>
      </c>
      <c r="C193" s="2">
        <f>IFERROR(__xludf.DUMMYFUNCTION("""COMPUTED_VALUE"""),3840.0)</f>
        <v>3840</v>
      </c>
      <c r="D193" s="2">
        <f>IFERROR(__xludf.DUMMYFUNCTION("""COMPUTED_VALUE"""),3740.0)</f>
        <v>3740</v>
      </c>
      <c r="E193" s="2">
        <f>IFERROR(__xludf.DUMMYFUNCTION("""COMPUTED_VALUE"""),3830.0)</f>
        <v>3830</v>
      </c>
      <c r="F193" s="2">
        <f>IFERROR(__xludf.DUMMYFUNCTION("""COMPUTED_VALUE"""),9459200.0)</f>
        <v>9459200</v>
      </c>
      <c r="G193" s="2">
        <f t="shared" si="1"/>
        <v>100</v>
      </c>
    </row>
    <row r="194" ht="15.75" customHeight="1">
      <c r="A194" s="1">
        <f>IFERROR(__xludf.DUMMYFUNCTION("""COMPUTED_VALUE"""),44118.66666666667)</f>
        <v>44118.66667</v>
      </c>
      <c r="B194" s="2">
        <f>IFERROR(__xludf.DUMMYFUNCTION("""COMPUTED_VALUE"""),3830.0)</f>
        <v>3830</v>
      </c>
      <c r="C194" s="2">
        <f>IFERROR(__xludf.DUMMYFUNCTION("""COMPUTED_VALUE"""),3830.0)</f>
        <v>3830</v>
      </c>
      <c r="D194" s="2">
        <f>IFERROR(__xludf.DUMMYFUNCTION("""COMPUTED_VALUE"""),3770.0)</f>
        <v>3770</v>
      </c>
      <c r="E194" s="2">
        <f>IFERROR(__xludf.DUMMYFUNCTION("""COMPUTED_VALUE"""),3790.0)</f>
        <v>3790</v>
      </c>
      <c r="F194" s="2">
        <f>IFERROR(__xludf.DUMMYFUNCTION("""COMPUTED_VALUE"""),7969100.0)</f>
        <v>7969100</v>
      </c>
      <c r="G194" s="2">
        <f t="shared" si="1"/>
        <v>60</v>
      </c>
    </row>
    <row r="195" ht="15.75" customHeight="1">
      <c r="A195" s="1">
        <f>IFERROR(__xludf.DUMMYFUNCTION("""COMPUTED_VALUE"""),44119.66666666667)</f>
        <v>44119.66667</v>
      </c>
      <c r="B195" s="2">
        <f>IFERROR(__xludf.DUMMYFUNCTION("""COMPUTED_VALUE"""),3800.0)</f>
        <v>3800</v>
      </c>
      <c r="C195" s="2">
        <f>IFERROR(__xludf.DUMMYFUNCTION("""COMPUTED_VALUE"""),3800.0)</f>
        <v>3800</v>
      </c>
      <c r="D195" s="2">
        <f>IFERROR(__xludf.DUMMYFUNCTION("""COMPUTED_VALUE"""),3660.0)</f>
        <v>3660</v>
      </c>
      <c r="E195" s="2">
        <f>IFERROR(__xludf.DUMMYFUNCTION("""COMPUTED_VALUE"""),3770.0)</f>
        <v>3770</v>
      </c>
      <c r="F195" s="2">
        <f>IFERROR(__xludf.DUMMYFUNCTION("""COMPUTED_VALUE"""),5728700.0)</f>
        <v>5728700</v>
      </c>
      <c r="G195" s="2">
        <f t="shared" si="1"/>
        <v>140</v>
      </c>
    </row>
    <row r="196" ht="15.75" customHeight="1">
      <c r="A196" s="1">
        <f>IFERROR(__xludf.DUMMYFUNCTION("""COMPUTED_VALUE"""),44120.66666666667)</f>
        <v>44120.66667</v>
      </c>
      <c r="B196" s="2">
        <f>IFERROR(__xludf.DUMMYFUNCTION("""COMPUTED_VALUE"""),3750.0)</f>
        <v>3750</v>
      </c>
      <c r="C196" s="2">
        <f>IFERROR(__xludf.DUMMYFUNCTION("""COMPUTED_VALUE"""),3750.0)</f>
        <v>3750</v>
      </c>
      <c r="D196" s="2">
        <f>IFERROR(__xludf.DUMMYFUNCTION("""COMPUTED_VALUE"""),3600.0)</f>
        <v>3600</v>
      </c>
      <c r="E196" s="2">
        <f>IFERROR(__xludf.DUMMYFUNCTION("""COMPUTED_VALUE"""),3740.0)</f>
        <v>3740</v>
      </c>
      <c r="F196" s="2">
        <f>IFERROR(__xludf.DUMMYFUNCTION("""COMPUTED_VALUE"""),8011300.0)</f>
        <v>8011300</v>
      </c>
      <c r="G196" s="2">
        <f t="shared" si="1"/>
        <v>170</v>
      </c>
    </row>
    <row r="197" ht="15.75" customHeight="1">
      <c r="A197" s="1">
        <f>IFERROR(__xludf.DUMMYFUNCTION("""COMPUTED_VALUE"""),44123.66666666667)</f>
        <v>44123.66667</v>
      </c>
      <c r="B197" s="2">
        <f>IFERROR(__xludf.DUMMYFUNCTION("""COMPUTED_VALUE"""),3750.0)</f>
        <v>3750</v>
      </c>
      <c r="C197" s="2">
        <f>IFERROR(__xludf.DUMMYFUNCTION("""COMPUTED_VALUE"""),3770.0)</f>
        <v>3770</v>
      </c>
      <c r="D197" s="2">
        <f>IFERROR(__xludf.DUMMYFUNCTION("""COMPUTED_VALUE"""),3690.0)</f>
        <v>3690</v>
      </c>
      <c r="E197" s="2">
        <f>IFERROR(__xludf.DUMMYFUNCTION("""COMPUTED_VALUE"""),3690.0)</f>
        <v>3690</v>
      </c>
      <c r="F197" s="2">
        <f>IFERROR(__xludf.DUMMYFUNCTION("""COMPUTED_VALUE"""),4941800.0)</f>
        <v>4941800</v>
      </c>
      <c r="G197" s="2">
        <f t="shared" si="1"/>
        <v>80</v>
      </c>
    </row>
    <row r="198" ht="15.75" customHeight="1">
      <c r="A198" s="1">
        <f>IFERROR(__xludf.DUMMYFUNCTION("""COMPUTED_VALUE"""),44124.66666666667)</f>
        <v>44124.66667</v>
      </c>
      <c r="B198" s="2">
        <f>IFERROR(__xludf.DUMMYFUNCTION("""COMPUTED_VALUE"""),3690.0)</f>
        <v>3690</v>
      </c>
      <c r="C198" s="2">
        <f>IFERROR(__xludf.DUMMYFUNCTION("""COMPUTED_VALUE"""),3690.0)</f>
        <v>3690</v>
      </c>
      <c r="D198" s="2">
        <f>IFERROR(__xludf.DUMMYFUNCTION("""COMPUTED_VALUE"""),3620.0)</f>
        <v>3620</v>
      </c>
      <c r="E198" s="2">
        <f>IFERROR(__xludf.DUMMYFUNCTION("""COMPUTED_VALUE"""),3650.0)</f>
        <v>3650</v>
      </c>
      <c r="F198" s="2">
        <f>IFERROR(__xludf.DUMMYFUNCTION("""COMPUTED_VALUE"""),4760600.0)</f>
        <v>4760600</v>
      </c>
      <c r="G198" s="2">
        <f t="shared" si="1"/>
        <v>70</v>
      </c>
    </row>
    <row r="199" ht="15.75" customHeight="1">
      <c r="A199" s="1">
        <f>IFERROR(__xludf.DUMMYFUNCTION("""COMPUTED_VALUE"""),44125.66666666667)</f>
        <v>44125.66667</v>
      </c>
      <c r="B199" s="2">
        <f>IFERROR(__xludf.DUMMYFUNCTION("""COMPUTED_VALUE"""),3650.0)</f>
        <v>3650</v>
      </c>
      <c r="C199" s="2">
        <f>IFERROR(__xludf.DUMMYFUNCTION("""COMPUTED_VALUE"""),3720.0)</f>
        <v>3720</v>
      </c>
      <c r="D199" s="2">
        <f>IFERROR(__xludf.DUMMYFUNCTION("""COMPUTED_VALUE"""),3650.0)</f>
        <v>3650</v>
      </c>
      <c r="E199" s="2">
        <f>IFERROR(__xludf.DUMMYFUNCTION("""COMPUTED_VALUE"""),3680.0)</f>
        <v>3680</v>
      </c>
      <c r="F199" s="2">
        <f>IFERROR(__xludf.DUMMYFUNCTION("""COMPUTED_VALUE"""),5376600.0)</f>
        <v>5376600</v>
      </c>
      <c r="G199" s="2">
        <f t="shared" si="1"/>
        <v>70</v>
      </c>
    </row>
    <row r="200" ht="15.75" customHeight="1">
      <c r="A200" s="1">
        <f>IFERROR(__xludf.DUMMYFUNCTION("""COMPUTED_VALUE"""),44126.66666666667)</f>
        <v>44126.66667</v>
      </c>
      <c r="B200" s="2">
        <f>IFERROR(__xludf.DUMMYFUNCTION("""COMPUTED_VALUE"""),3680.0)</f>
        <v>3680</v>
      </c>
      <c r="C200" s="2">
        <f>IFERROR(__xludf.DUMMYFUNCTION("""COMPUTED_VALUE"""),3690.0)</f>
        <v>3690</v>
      </c>
      <c r="D200" s="2">
        <f>IFERROR(__xludf.DUMMYFUNCTION("""COMPUTED_VALUE"""),3620.0)</f>
        <v>3620</v>
      </c>
      <c r="E200" s="2">
        <f>IFERROR(__xludf.DUMMYFUNCTION("""COMPUTED_VALUE"""),3640.0)</f>
        <v>3640</v>
      </c>
      <c r="F200" s="2">
        <f>IFERROR(__xludf.DUMMYFUNCTION("""COMPUTED_VALUE"""),4012600.0)</f>
        <v>4012600</v>
      </c>
      <c r="G200" s="2">
        <f t="shared" si="1"/>
        <v>70</v>
      </c>
    </row>
    <row r="201" ht="15.75" customHeight="1">
      <c r="A201" s="1">
        <f>IFERROR(__xludf.DUMMYFUNCTION("""COMPUTED_VALUE"""),44127.66666666667)</f>
        <v>44127.66667</v>
      </c>
      <c r="B201" s="2">
        <f>IFERROR(__xludf.DUMMYFUNCTION("""COMPUTED_VALUE"""),3650.0)</f>
        <v>3650</v>
      </c>
      <c r="C201" s="2">
        <f>IFERROR(__xludf.DUMMYFUNCTION("""COMPUTED_VALUE"""),3680.0)</f>
        <v>3680</v>
      </c>
      <c r="D201" s="2">
        <f>IFERROR(__xludf.DUMMYFUNCTION("""COMPUTED_VALUE"""),3630.0)</f>
        <v>3630</v>
      </c>
      <c r="E201" s="2">
        <f>IFERROR(__xludf.DUMMYFUNCTION("""COMPUTED_VALUE"""),3670.0)</f>
        <v>3670</v>
      </c>
      <c r="F201" s="2">
        <f>IFERROR(__xludf.DUMMYFUNCTION("""COMPUTED_VALUE"""),4925300.0)</f>
        <v>4925300</v>
      </c>
      <c r="G201" s="2">
        <f t="shared" si="1"/>
        <v>50</v>
      </c>
    </row>
    <row r="202" ht="15.75" customHeight="1">
      <c r="A202" s="1">
        <f>IFERROR(__xludf.DUMMYFUNCTION("""COMPUTED_VALUE"""),44130.66666666667)</f>
        <v>44130.66667</v>
      </c>
      <c r="B202" s="2">
        <f>IFERROR(__xludf.DUMMYFUNCTION("""COMPUTED_VALUE"""),3670.0)</f>
        <v>3670</v>
      </c>
      <c r="C202" s="2">
        <f>IFERROR(__xludf.DUMMYFUNCTION("""COMPUTED_VALUE"""),3680.0)</f>
        <v>3680</v>
      </c>
      <c r="D202" s="2">
        <f>IFERROR(__xludf.DUMMYFUNCTION("""COMPUTED_VALUE"""),3550.0)</f>
        <v>3550</v>
      </c>
      <c r="E202" s="2">
        <f>IFERROR(__xludf.DUMMYFUNCTION("""COMPUTED_VALUE"""),3590.0)</f>
        <v>3590</v>
      </c>
      <c r="F202" s="2">
        <f>IFERROR(__xludf.DUMMYFUNCTION("""COMPUTED_VALUE"""),1.25118E7)</f>
        <v>12511800</v>
      </c>
      <c r="G202" s="2">
        <f t="shared" si="1"/>
        <v>130</v>
      </c>
    </row>
    <row r="203" ht="15.75" customHeight="1">
      <c r="A203" s="1">
        <f>IFERROR(__xludf.DUMMYFUNCTION("""COMPUTED_VALUE"""),44131.66666666667)</f>
        <v>44131.66667</v>
      </c>
      <c r="B203" s="2">
        <f>IFERROR(__xludf.DUMMYFUNCTION("""COMPUTED_VALUE"""),3580.0)</f>
        <v>3580</v>
      </c>
      <c r="C203" s="2">
        <f>IFERROR(__xludf.DUMMYFUNCTION("""COMPUTED_VALUE"""),3630.0)</f>
        <v>3630</v>
      </c>
      <c r="D203" s="2">
        <f>IFERROR(__xludf.DUMMYFUNCTION("""COMPUTED_VALUE"""),3540.0)</f>
        <v>3540</v>
      </c>
      <c r="E203" s="2">
        <f>IFERROR(__xludf.DUMMYFUNCTION("""COMPUTED_VALUE"""),3560.0)</f>
        <v>3560</v>
      </c>
      <c r="F203" s="2">
        <f>IFERROR(__xludf.DUMMYFUNCTION("""COMPUTED_VALUE"""),7166000.0)</f>
        <v>7166000</v>
      </c>
      <c r="G203" s="2">
        <f t="shared" si="1"/>
        <v>90</v>
      </c>
    </row>
    <row r="204" ht="15.75" customHeight="1">
      <c r="A204" s="1">
        <f>IFERROR(__xludf.DUMMYFUNCTION("""COMPUTED_VALUE"""),44137.66666666667)</f>
        <v>44137.66667</v>
      </c>
      <c r="B204" s="2">
        <f>IFERROR(__xludf.DUMMYFUNCTION("""COMPUTED_VALUE"""),3560.0)</f>
        <v>3560</v>
      </c>
      <c r="C204" s="2">
        <f>IFERROR(__xludf.DUMMYFUNCTION("""COMPUTED_VALUE"""),3590.0)</f>
        <v>3590</v>
      </c>
      <c r="D204" s="2">
        <f>IFERROR(__xludf.DUMMYFUNCTION("""COMPUTED_VALUE"""),3560.0)</f>
        <v>3560</v>
      </c>
      <c r="E204" s="2">
        <f>IFERROR(__xludf.DUMMYFUNCTION("""COMPUTED_VALUE"""),3570.0)</f>
        <v>3570</v>
      </c>
      <c r="F204" s="2">
        <f>IFERROR(__xludf.DUMMYFUNCTION("""COMPUTED_VALUE"""),2149300.0)</f>
        <v>2149300</v>
      </c>
      <c r="G204" s="2">
        <f t="shared" si="1"/>
        <v>30</v>
      </c>
    </row>
    <row r="205" ht="15.75" customHeight="1">
      <c r="A205" s="1">
        <f>IFERROR(__xludf.DUMMYFUNCTION("""COMPUTED_VALUE"""),44138.66666666667)</f>
        <v>44138.66667</v>
      </c>
      <c r="B205" s="2">
        <f>IFERROR(__xludf.DUMMYFUNCTION("""COMPUTED_VALUE"""),3620.0)</f>
        <v>3620</v>
      </c>
      <c r="C205" s="2">
        <f>IFERROR(__xludf.DUMMYFUNCTION("""COMPUTED_VALUE"""),3800.0)</f>
        <v>3800</v>
      </c>
      <c r="D205" s="2">
        <f>IFERROR(__xludf.DUMMYFUNCTION("""COMPUTED_VALUE"""),3620.0)</f>
        <v>3620</v>
      </c>
      <c r="E205" s="2">
        <f>IFERROR(__xludf.DUMMYFUNCTION("""COMPUTED_VALUE"""),3780.0)</f>
        <v>3780</v>
      </c>
      <c r="F205" s="2">
        <f>IFERROR(__xludf.DUMMYFUNCTION("""COMPUTED_VALUE"""),2.12236E7)</f>
        <v>21223600</v>
      </c>
      <c r="G205" s="2">
        <f t="shared" si="1"/>
        <v>230</v>
      </c>
    </row>
    <row r="206" ht="15.75" customHeight="1">
      <c r="A206" s="1">
        <f>IFERROR(__xludf.DUMMYFUNCTION("""COMPUTED_VALUE"""),44139.66666666667)</f>
        <v>44139.66667</v>
      </c>
      <c r="B206" s="2">
        <f>IFERROR(__xludf.DUMMYFUNCTION("""COMPUTED_VALUE"""),3840.0)</f>
        <v>3840</v>
      </c>
      <c r="C206" s="2">
        <f>IFERROR(__xludf.DUMMYFUNCTION("""COMPUTED_VALUE"""),3860.0)</f>
        <v>3860</v>
      </c>
      <c r="D206" s="2">
        <f>IFERROR(__xludf.DUMMYFUNCTION("""COMPUTED_VALUE"""),3690.0)</f>
        <v>3690</v>
      </c>
      <c r="E206" s="2">
        <f>IFERROR(__xludf.DUMMYFUNCTION("""COMPUTED_VALUE"""),3700.0)</f>
        <v>3700</v>
      </c>
      <c r="F206" s="2">
        <f>IFERROR(__xludf.DUMMYFUNCTION("""COMPUTED_VALUE"""),1.48933E7)</f>
        <v>14893300</v>
      </c>
      <c r="G206" s="2">
        <f t="shared" si="1"/>
        <v>170</v>
      </c>
    </row>
    <row r="207" ht="15.75" customHeight="1">
      <c r="A207" s="1">
        <f>IFERROR(__xludf.DUMMYFUNCTION("""COMPUTED_VALUE"""),44140.66666666667)</f>
        <v>44140.66667</v>
      </c>
      <c r="B207" s="2">
        <f>IFERROR(__xludf.DUMMYFUNCTION("""COMPUTED_VALUE"""),3800.0)</f>
        <v>3800</v>
      </c>
      <c r="C207" s="2">
        <f>IFERROR(__xludf.DUMMYFUNCTION("""COMPUTED_VALUE"""),3820.0)</f>
        <v>3820</v>
      </c>
      <c r="D207" s="2">
        <f>IFERROR(__xludf.DUMMYFUNCTION("""COMPUTED_VALUE"""),3760.0)</f>
        <v>3760</v>
      </c>
      <c r="E207" s="2">
        <f>IFERROR(__xludf.DUMMYFUNCTION("""COMPUTED_VALUE"""),3810.0)</f>
        <v>3810</v>
      </c>
      <c r="F207" s="2">
        <f>IFERROR(__xludf.DUMMYFUNCTION("""COMPUTED_VALUE"""),9123700.0)</f>
        <v>9123700</v>
      </c>
      <c r="G207" s="2">
        <f t="shared" si="1"/>
        <v>120</v>
      </c>
    </row>
    <row r="208" ht="15.75" customHeight="1">
      <c r="A208" s="1">
        <f>IFERROR(__xludf.DUMMYFUNCTION("""COMPUTED_VALUE"""),44141.66666666667)</f>
        <v>44141.66667</v>
      </c>
      <c r="B208" s="2">
        <f>IFERROR(__xludf.DUMMYFUNCTION("""COMPUTED_VALUE"""),3830.0)</f>
        <v>3830</v>
      </c>
      <c r="C208" s="2">
        <f>IFERROR(__xludf.DUMMYFUNCTION("""COMPUTED_VALUE"""),3920.0)</f>
        <v>3920</v>
      </c>
      <c r="D208" s="2">
        <f>IFERROR(__xludf.DUMMYFUNCTION("""COMPUTED_VALUE"""),3780.0)</f>
        <v>3780</v>
      </c>
      <c r="E208" s="2">
        <f>IFERROR(__xludf.DUMMYFUNCTION("""COMPUTED_VALUE"""),3900.0)</f>
        <v>3900</v>
      </c>
      <c r="F208" s="2">
        <f>IFERROR(__xludf.DUMMYFUNCTION("""COMPUTED_VALUE"""),2.12359E7)</f>
        <v>21235900</v>
      </c>
      <c r="G208" s="2">
        <f t="shared" si="1"/>
        <v>140</v>
      </c>
    </row>
    <row r="209" ht="15.75" customHeight="1">
      <c r="A209" s="1">
        <f>IFERROR(__xludf.DUMMYFUNCTION("""COMPUTED_VALUE"""),44144.66666666667)</f>
        <v>44144.66667</v>
      </c>
      <c r="B209" s="2">
        <f>IFERROR(__xludf.DUMMYFUNCTION("""COMPUTED_VALUE"""),3960.0)</f>
        <v>3960</v>
      </c>
      <c r="C209" s="2">
        <f>IFERROR(__xludf.DUMMYFUNCTION("""COMPUTED_VALUE"""),3980.0)</f>
        <v>3980</v>
      </c>
      <c r="D209" s="2">
        <f>IFERROR(__xludf.DUMMYFUNCTION("""COMPUTED_VALUE"""),3870.0)</f>
        <v>3870</v>
      </c>
      <c r="E209" s="2">
        <f>IFERROR(__xludf.DUMMYFUNCTION("""COMPUTED_VALUE"""),3940.0)</f>
        <v>3940</v>
      </c>
      <c r="F209" s="2">
        <f>IFERROR(__xludf.DUMMYFUNCTION("""COMPUTED_VALUE"""),1.12433E7)</f>
        <v>11243300</v>
      </c>
      <c r="G209" s="2">
        <f t="shared" si="1"/>
        <v>110</v>
      </c>
    </row>
    <row r="210" ht="15.75" customHeight="1">
      <c r="A210" s="1">
        <f>IFERROR(__xludf.DUMMYFUNCTION("""COMPUTED_VALUE"""),44145.66666666667)</f>
        <v>44145.66667</v>
      </c>
      <c r="B210" s="2">
        <f>IFERROR(__xludf.DUMMYFUNCTION("""COMPUTED_VALUE"""),4000.0)</f>
        <v>4000</v>
      </c>
      <c r="C210" s="2">
        <f>IFERROR(__xludf.DUMMYFUNCTION("""COMPUTED_VALUE"""),4200.0)</f>
        <v>4200</v>
      </c>
      <c r="D210" s="2">
        <f>IFERROR(__xludf.DUMMYFUNCTION("""COMPUTED_VALUE"""),3970.0)</f>
        <v>3970</v>
      </c>
      <c r="E210" s="2">
        <f>IFERROR(__xludf.DUMMYFUNCTION("""COMPUTED_VALUE"""),4180.0)</f>
        <v>4180</v>
      </c>
      <c r="F210" s="2">
        <f>IFERROR(__xludf.DUMMYFUNCTION("""COMPUTED_VALUE"""),3.63766E7)</f>
        <v>36376600</v>
      </c>
      <c r="G210" s="2">
        <f t="shared" si="1"/>
        <v>260</v>
      </c>
    </row>
    <row r="211" ht="15.75" customHeight="1">
      <c r="A211" s="1">
        <f>IFERROR(__xludf.DUMMYFUNCTION("""COMPUTED_VALUE"""),44146.66666666667)</f>
        <v>44146.66667</v>
      </c>
      <c r="B211" s="2">
        <f>IFERROR(__xludf.DUMMYFUNCTION("""COMPUTED_VALUE"""),4180.0)</f>
        <v>4180</v>
      </c>
      <c r="C211" s="2">
        <f>IFERROR(__xludf.DUMMYFUNCTION("""COMPUTED_VALUE"""),4200.0)</f>
        <v>4200</v>
      </c>
      <c r="D211" s="2">
        <f>IFERROR(__xludf.DUMMYFUNCTION("""COMPUTED_VALUE"""),4100.0)</f>
        <v>4100</v>
      </c>
      <c r="E211" s="2">
        <f>IFERROR(__xludf.DUMMYFUNCTION("""COMPUTED_VALUE"""),4120.0)</f>
        <v>4120</v>
      </c>
      <c r="F211" s="2">
        <f>IFERROR(__xludf.DUMMYFUNCTION("""COMPUTED_VALUE"""),1.61168E7)</f>
        <v>16116800</v>
      </c>
      <c r="G211" s="2">
        <f t="shared" si="1"/>
        <v>100</v>
      </c>
    </row>
    <row r="212" ht="15.75" customHeight="1">
      <c r="A212" s="1">
        <f>IFERROR(__xludf.DUMMYFUNCTION("""COMPUTED_VALUE"""),44147.66666666667)</f>
        <v>44147.66667</v>
      </c>
      <c r="B212" s="2">
        <f>IFERROR(__xludf.DUMMYFUNCTION("""COMPUTED_VALUE"""),4160.0)</f>
        <v>4160</v>
      </c>
      <c r="C212" s="2">
        <f>IFERROR(__xludf.DUMMYFUNCTION("""COMPUTED_VALUE"""),4240.0)</f>
        <v>4240</v>
      </c>
      <c r="D212" s="2">
        <f>IFERROR(__xludf.DUMMYFUNCTION("""COMPUTED_VALUE"""),4140.0)</f>
        <v>4140</v>
      </c>
      <c r="E212" s="2">
        <f>IFERROR(__xludf.DUMMYFUNCTION("""COMPUTED_VALUE"""),4160.0)</f>
        <v>4160</v>
      </c>
      <c r="F212" s="2">
        <f>IFERROR(__xludf.DUMMYFUNCTION("""COMPUTED_VALUE"""),1.61166E7)</f>
        <v>16116600</v>
      </c>
      <c r="G212" s="2">
        <f t="shared" si="1"/>
        <v>120</v>
      </c>
    </row>
    <row r="213" ht="15.75" customHeight="1">
      <c r="A213" s="1">
        <f>IFERROR(__xludf.DUMMYFUNCTION("""COMPUTED_VALUE"""),44148.66666666667)</f>
        <v>44148.66667</v>
      </c>
      <c r="B213" s="2">
        <f>IFERROR(__xludf.DUMMYFUNCTION("""COMPUTED_VALUE"""),4160.0)</f>
        <v>4160</v>
      </c>
      <c r="C213" s="2">
        <f>IFERROR(__xludf.DUMMYFUNCTION("""COMPUTED_VALUE"""),4170.0)</f>
        <v>4170</v>
      </c>
      <c r="D213" s="2">
        <f>IFERROR(__xludf.DUMMYFUNCTION("""COMPUTED_VALUE"""),4100.0)</f>
        <v>4100</v>
      </c>
      <c r="E213" s="2">
        <f>IFERROR(__xludf.DUMMYFUNCTION("""COMPUTED_VALUE"""),4130.0)</f>
        <v>4130</v>
      </c>
      <c r="F213" s="2">
        <f>IFERROR(__xludf.DUMMYFUNCTION("""COMPUTED_VALUE"""),5315100.0)</f>
        <v>5315100</v>
      </c>
      <c r="G213" s="2">
        <f t="shared" si="1"/>
        <v>70</v>
      </c>
    </row>
    <row r="214" ht="15.75" customHeight="1">
      <c r="A214" s="1">
        <f>IFERROR(__xludf.DUMMYFUNCTION("""COMPUTED_VALUE"""),44151.66666666667)</f>
        <v>44151.66667</v>
      </c>
      <c r="B214" s="2">
        <f>IFERROR(__xludf.DUMMYFUNCTION("""COMPUTED_VALUE"""),4200.0)</f>
        <v>4200</v>
      </c>
      <c r="C214" s="2">
        <f>IFERROR(__xludf.DUMMYFUNCTION("""COMPUTED_VALUE"""),4350.0)</f>
        <v>4350</v>
      </c>
      <c r="D214" s="2">
        <f>IFERROR(__xludf.DUMMYFUNCTION("""COMPUTED_VALUE"""),4190.0)</f>
        <v>4190</v>
      </c>
      <c r="E214" s="2">
        <f>IFERROR(__xludf.DUMMYFUNCTION("""COMPUTED_VALUE"""),4330.0)</f>
        <v>4330</v>
      </c>
      <c r="F214" s="2">
        <f>IFERROR(__xludf.DUMMYFUNCTION("""COMPUTED_VALUE"""),2.43617E7)</f>
        <v>24361700</v>
      </c>
      <c r="G214" s="2">
        <f t="shared" si="1"/>
        <v>220</v>
      </c>
    </row>
    <row r="215" ht="15.75" customHeight="1">
      <c r="A215" s="1">
        <f>IFERROR(__xludf.DUMMYFUNCTION("""COMPUTED_VALUE"""),44152.66666666667)</f>
        <v>44152.66667</v>
      </c>
      <c r="B215" s="2">
        <f>IFERROR(__xludf.DUMMYFUNCTION("""COMPUTED_VALUE"""),4350.0)</f>
        <v>4350</v>
      </c>
      <c r="C215" s="2">
        <f>IFERROR(__xludf.DUMMYFUNCTION("""COMPUTED_VALUE"""),4430.0)</f>
        <v>4430</v>
      </c>
      <c r="D215" s="2">
        <f>IFERROR(__xludf.DUMMYFUNCTION("""COMPUTED_VALUE"""),4320.0)</f>
        <v>4320</v>
      </c>
      <c r="E215" s="2">
        <f>IFERROR(__xludf.DUMMYFUNCTION("""COMPUTED_VALUE"""),4400.0)</f>
        <v>4400</v>
      </c>
      <c r="F215" s="2">
        <f>IFERROR(__xludf.DUMMYFUNCTION("""COMPUTED_VALUE"""),2.13576E7)</f>
        <v>21357600</v>
      </c>
      <c r="G215" s="2">
        <f t="shared" si="1"/>
        <v>110</v>
      </c>
    </row>
    <row r="216" ht="15.75" customHeight="1">
      <c r="A216" s="1">
        <f>IFERROR(__xludf.DUMMYFUNCTION("""COMPUTED_VALUE"""),44153.66666666667)</f>
        <v>44153.66667</v>
      </c>
      <c r="B216" s="2">
        <f>IFERROR(__xludf.DUMMYFUNCTION("""COMPUTED_VALUE"""),4400.0)</f>
        <v>4400</v>
      </c>
      <c r="C216" s="2">
        <f>IFERROR(__xludf.DUMMYFUNCTION("""COMPUTED_VALUE"""),4440.0)</f>
        <v>4440</v>
      </c>
      <c r="D216" s="2">
        <f>IFERROR(__xludf.DUMMYFUNCTION("""COMPUTED_VALUE"""),4360.0)</f>
        <v>4360</v>
      </c>
      <c r="E216" s="2">
        <f>IFERROR(__xludf.DUMMYFUNCTION("""COMPUTED_VALUE"""),4410.0)</f>
        <v>4410</v>
      </c>
      <c r="F216" s="2">
        <f>IFERROR(__xludf.DUMMYFUNCTION("""COMPUTED_VALUE"""),8564000.0)</f>
        <v>8564000</v>
      </c>
      <c r="G216" s="2">
        <f t="shared" si="1"/>
        <v>80</v>
      </c>
    </row>
    <row r="217" ht="15.75" customHeight="1">
      <c r="A217" s="1">
        <f>IFERROR(__xludf.DUMMYFUNCTION("""COMPUTED_VALUE"""),44154.66666666667)</f>
        <v>44154.66667</v>
      </c>
      <c r="B217" s="2">
        <f>IFERROR(__xludf.DUMMYFUNCTION("""COMPUTED_VALUE"""),4390.0)</f>
        <v>4390</v>
      </c>
      <c r="C217" s="2">
        <f>IFERROR(__xludf.DUMMYFUNCTION("""COMPUTED_VALUE"""),4400.0)</f>
        <v>4400</v>
      </c>
      <c r="D217" s="2">
        <f>IFERROR(__xludf.DUMMYFUNCTION("""COMPUTED_VALUE"""),4370.0)</f>
        <v>4370</v>
      </c>
      <c r="E217" s="2">
        <f>IFERROR(__xludf.DUMMYFUNCTION("""COMPUTED_VALUE"""),4380.0)</f>
        <v>4380</v>
      </c>
      <c r="F217" s="2">
        <f>IFERROR(__xludf.DUMMYFUNCTION("""COMPUTED_VALUE"""),7566100.0)</f>
        <v>7566100</v>
      </c>
      <c r="G217" s="2">
        <f t="shared" si="1"/>
        <v>40</v>
      </c>
    </row>
    <row r="218" ht="15.75" customHeight="1">
      <c r="A218" s="1">
        <f>IFERROR(__xludf.DUMMYFUNCTION("""COMPUTED_VALUE"""),44155.66666666667)</f>
        <v>44155.66667</v>
      </c>
      <c r="B218" s="2">
        <f>IFERROR(__xludf.DUMMYFUNCTION("""COMPUTED_VALUE"""),4400.0)</f>
        <v>4400</v>
      </c>
      <c r="C218" s="2">
        <f>IFERROR(__xludf.DUMMYFUNCTION("""COMPUTED_VALUE"""),4420.0)</f>
        <v>4420</v>
      </c>
      <c r="D218" s="2">
        <f>IFERROR(__xludf.DUMMYFUNCTION("""COMPUTED_VALUE"""),4320.0)</f>
        <v>4320</v>
      </c>
      <c r="E218" s="2">
        <f>IFERROR(__xludf.DUMMYFUNCTION("""COMPUTED_VALUE"""),4350.0)</f>
        <v>4350</v>
      </c>
      <c r="F218" s="2">
        <f>IFERROR(__xludf.DUMMYFUNCTION("""COMPUTED_VALUE"""),8637100.0)</f>
        <v>8637100</v>
      </c>
      <c r="G218" s="2">
        <f t="shared" si="1"/>
        <v>100</v>
      </c>
    </row>
    <row r="219" ht="15.75" customHeight="1">
      <c r="A219" s="1">
        <f>IFERROR(__xludf.DUMMYFUNCTION("""COMPUTED_VALUE"""),44158.66666666667)</f>
        <v>44158.66667</v>
      </c>
      <c r="B219" s="2">
        <f>IFERROR(__xludf.DUMMYFUNCTION("""COMPUTED_VALUE"""),4350.0)</f>
        <v>4350</v>
      </c>
      <c r="C219" s="2">
        <f>IFERROR(__xludf.DUMMYFUNCTION("""COMPUTED_VALUE"""),4430.0)</f>
        <v>4430</v>
      </c>
      <c r="D219" s="2">
        <f>IFERROR(__xludf.DUMMYFUNCTION("""COMPUTED_VALUE"""),4350.0)</f>
        <v>4350</v>
      </c>
      <c r="E219" s="2">
        <f>IFERROR(__xludf.DUMMYFUNCTION("""COMPUTED_VALUE"""),4350.0)</f>
        <v>4350</v>
      </c>
      <c r="F219" s="2">
        <f>IFERROR(__xludf.DUMMYFUNCTION("""COMPUTED_VALUE"""),1.03353E7)</f>
        <v>10335300</v>
      </c>
      <c r="G219" s="2">
        <f t="shared" si="1"/>
        <v>80</v>
      </c>
    </row>
    <row r="220" ht="15.75" customHeight="1">
      <c r="A220" s="1">
        <f>IFERROR(__xludf.DUMMYFUNCTION("""COMPUTED_VALUE"""),44159.66666666667)</f>
        <v>44159.66667</v>
      </c>
      <c r="B220" s="2">
        <f>IFERROR(__xludf.DUMMYFUNCTION("""COMPUTED_VALUE"""),4500.0)</f>
        <v>4500</v>
      </c>
      <c r="C220" s="2">
        <f>IFERROR(__xludf.DUMMYFUNCTION("""COMPUTED_VALUE"""),4590.0)</f>
        <v>4590</v>
      </c>
      <c r="D220" s="2">
        <f>IFERROR(__xludf.DUMMYFUNCTION("""COMPUTED_VALUE"""),4480.0)</f>
        <v>4480</v>
      </c>
      <c r="E220" s="2">
        <f>IFERROR(__xludf.DUMMYFUNCTION("""COMPUTED_VALUE"""),4520.0)</f>
        <v>4520</v>
      </c>
      <c r="F220" s="2">
        <f>IFERROR(__xludf.DUMMYFUNCTION("""COMPUTED_VALUE"""),1.92838E7)</f>
        <v>19283800</v>
      </c>
      <c r="G220" s="2">
        <f t="shared" si="1"/>
        <v>240</v>
      </c>
    </row>
    <row r="221" ht="15.75" customHeight="1">
      <c r="A221" s="1">
        <f>IFERROR(__xludf.DUMMYFUNCTION("""COMPUTED_VALUE"""),44160.66666666667)</f>
        <v>44160.66667</v>
      </c>
      <c r="B221" s="2">
        <f>IFERROR(__xludf.DUMMYFUNCTION("""COMPUTED_VALUE"""),4580.0)</f>
        <v>4580</v>
      </c>
      <c r="C221" s="2">
        <f>IFERROR(__xludf.DUMMYFUNCTION("""COMPUTED_VALUE"""),4640.0)</f>
        <v>4640</v>
      </c>
      <c r="D221" s="2">
        <f>IFERROR(__xludf.DUMMYFUNCTION("""COMPUTED_VALUE"""),4310.0)</f>
        <v>4310</v>
      </c>
      <c r="E221" s="2">
        <f>IFERROR(__xludf.DUMMYFUNCTION("""COMPUTED_VALUE"""),4320.0)</f>
        <v>4320</v>
      </c>
      <c r="F221" s="2">
        <f>IFERROR(__xludf.DUMMYFUNCTION("""COMPUTED_VALUE"""),3.04443E7)</f>
        <v>30444300</v>
      </c>
      <c r="G221" s="2">
        <f t="shared" si="1"/>
        <v>330</v>
      </c>
    </row>
    <row r="222" ht="15.75" customHeight="1">
      <c r="A222" s="1">
        <f>IFERROR(__xludf.DUMMYFUNCTION("""COMPUTED_VALUE"""),44161.66666666667)</f>
        <v>44161.66667</v>
      </c>
      <c r="B222" s="2">
        <f>IFERROR(__xludf.DUMMYFUNCTION("""COMPUTED_VALUE"""),4320.0)</f>
        <v>4320</v>
      </c>
      <c r="C222" s="2">
        <f>IFERROR(__xludf.DUMMYFUNCTION("""COMPUTED_VALUE"""),4420.0)</f>
        <v>4420</v>
      </c>
      <c r="D222" s="2">
        <f>IFERROR(__xludf.DUMMYFUNCTION("""COMPUTED_VALUE"""),4260.0)</f>
        <v>4260</v>
      </c>
      <c r="E222" s="2">
        <f>IFERROR(__xludf.DUMMYFUNCTION("""COMPUTED_VALUE"""),4380.0)</f>
        <v>4380</v>
      </c>
      <c r="F222" s="2">
        <f>IFERROR(__xludf.DUMMYFUNCTION("""COMPUTED_VALUE"""),1.83065E7)</f>
        <v>18306500</v>
      </c>
      <c r="G222" s="2">
        <f t="shared" si="1"/>
        <v>160</v>
      </c>
    </row>
    <row r="223" ht="15.75" customHeight="1">
      <c r="A223" s="1">
        <f>IFERROR(__xludf.DUMMYFUNCTION("""COMPUTED_VALUE"""),44162.66666666667)</f>
        <v>44162.66667</v>
      </c>
      <c r="B223" s="2">
        <f>IFERROR(__xludf.DUMMYFUNCTION("""COMPUTED_VALUE"""),4380.0)</f>
        <v>4380</v>
      </c>
      <c r="C223" s="2">
        <f>IFERROR(__xludf.DUMMYFUNCTION("""COMPUTED_VALUE"""),4430.0)</f>
        <v>4430</v>
      </c>
      <c r="D223" s="2">
        <f>IFERROR(__xludf.DUMMYFUNCTION("""COMPUTED_VALUE"""),4310.0)</f>
        <v>4310</v>
      </c>
      <c r="E223" s="2">
        <f>IFERROR(__xludf.DUMMYFUNCTION("""COMPUTED_VALUE"""),4400.0)</f>
        <v>4400</v>
      </c>
      <c r="F223" s="2">
        <f>IFERROR(__xludf.DUMMYFUNCTION("""COMPUTED_VALUE"""),1.20347E7)</f>
        <v>12034700</v>
      </c>
      <c r="G223" s="2">
        <f t="shared" si="1"/>
        <v>120</v>
      </c>
    </row>
    <row r="224" ht="15.75" customHeight="1">
      <c r="A224" s="1">
        <f>IFERROR(__xludf.DUMMYFUNCTION("""COMPUTED_VALUE"""),44165.66666666667)</f>
        <v>44165.66667</v>
      </c>
      <c r="B224" s="2">
        <f>IFERROR(__xludf.DUMMYFUNCTION("""COMPUTED_VALUE"""),4400.0)</f>
        <v>4400</v>
      </c>
      <c r="C224" s="2">
        <f>IFERROR(__xludf.DUMMYFUNCTION("""COMPUTED_VALUE"""),4420.0)</f>
        <v>4420</v>
      </c>
      <c r="D224" s="2">
        <f>IFERROR(__xludf.DUMMYFUNCTION("""COMPUTED_VALUE"""),4100.0)</f>
        <v>4100</v>
      </c>
      <c r="E224" s="2">
        <f>IFERROR(__xludf.DUMMYFUNCTION("""COMPUTED_VALUE"""),4190.0)</f>
        <v>4190</v>
      </c>
      <c r="F224" s="2">
        <f>IFERROR(__xludf.DUMMYFUNCTION("""COMPUTED_VALUE"""),3.13408E7)</f>
        <v>31340800</v>
      </c>
      <c r="G224" s="2">
        <f t="shared" si="1"/>
        <v>320</v>
      </c>
    </row>
    <row r="225" ht="15.75" customHeight="1">
      <c r="A225" s="1">
        <f>IFERROR(__xludf.DUMMYFUNCTION("""COMPUTED_VALUE"""),44166.66666666667)</f>
        <v>44166.66667</v>
      </c>
      <c r="B225" s="2">
        <f>IFERROR(__xludf.DUMMYFUNCTION("""COMPUTED_VALUE"""),4270.0)</f>
        <v>4270</v>
      </c>
      <c r="C225" s="2">
        <f>IFERROR(__xludf.DUMMYFUNCTION("""COMPUTED_VALUE"""),4320.0)</f>
        <v>4320</v>
      </c>
      <c r="D225" s="2">
        <f>IFERROR(__xludf.DUMMYFUNCTION("""COMPUTED_VALUE"""),4160.0)</f>
        <v>4160</v>
      </c>
      <c r="E225" s="2">
        <f>IFERROR(__xludf.DUMMYFUNCTION("""COMPUTED_VALUE"""),4240.0)</f>
        <v>4240</v>
      </c>
      <c r="F225" s="2">
        <f>IFERROR(__xludf.DUMMYFUNCTION("""COMPUTED_VALUE"""),1.67601E7)</f>
        <v>16760100</v>
      </c>
      <c r="G225" s="2">
        <f t="shared" si="1"/>
        <v>160</v>
      </c>
    </row>
    <row r="226" ht="15.75" customHeight="1">
      <c r="A226" s="1">
        <f>IFERROR(__xludf.DUMMYFUNCTION("""COMPUTED_VALUE"""),44167.66666666667)</f>
        <v>44167.66667</v>
      </c>
      <c r="B226" s="2">
        <f>IFERROR(__xludf.DUMMYFUNCTION("""COMPUTED_VALUE"""),4240.0)</f>
        <v>4240</v>
      </c>
      <c r="C226" s="2">
        <f>IFERROR(__xludf.DUMMYFUNCTION("""COMPUTED_VALUE"""),4340.0)</f>
        <v>4340</v>
      </c>
      <c r="D226" s="2">
        <f>IFERROR(__xludf.DUMMYFUNCTION("""COMPUTED_VALUE"""),4220.0)</f>
        <v>4220</v>
      </c>
      <c r="E226" s="2">
        <f>IFERROR(__xludf.DUMMYFUNCTION("""COMPUTED_VALUE"""),4340.0)</f>
        <v>4340</v>
      </c>
      <c r="F226" s="2">
        <f>IFERROR(__xludf.DUMMYFUNCTION("""COMPUTED_VALUE"""),1.04856E7)</f>
        <v>10485600</v>
      </c>
      <c r="G226" s="2">
        <f t="shared" si="1"/>
        <v>120</v>
      </c>
    </row>
    <row r="227" ht="15.75" customHeight="1">
      <c r="A227" s="1">
        <f>IFERROR(__xludf.DUMMYFUNCTION("""COMPUTED_VALUE"""),44168.66666666667)</f>
        <v>44168.66667</v>
      </c>
      <c r="B227" s="2">
        <f>IFERROR(__xludf.DUMMYFUNCTION("""COMPUTED_VALUE"""),4390.0)</f>
        <v>4390</v>
      </c>
      <c r="C227" s="2">
        <f>IFERROR(__xludf.DUMMYFUNCTION("""COMPUTED_VALUE"""),4430.0)</f>
        <v>4430</v>
      </c>
      <c r="D227" s="2">
        <f>IFERROR(__xludf.DUMMYFUNCTION("""COMPUTED_VALUE"""),4350.0)</f>
        <v>4350</v>
      </c>
      <c r="E227" s="2">
        <f>IFERROR(__xludf.DUMMYFUNCTION("""COMPUTED_VALUE"""),4380.0)</f>
        <v>4380</v>
      </c>
      <c r="F227" s="2">
        <f>IFERROR(__xludf.DUMMYFUNCTION("""COMPUTED_VALUE"""),1.67146E7)</f>
        <v>16714600</v>
      </c>
      <c r="G227" s="2">
        <f t="shared" si="1"/>
        <v>90</v>
      </c>
    </row>
    <row r="228" ht="15.75" customHeight="1">
      <c r="A228" s="1">
        <f>IFERROR(__xludf.DUMMYFUNCTION("""COMPUTED_VALUE"""),44169.66666666667)</f>
        <v>44169.66667</v>
      </c>
      <c r="B228" s="2">
        <f>IFERROR(__xludf.DUMMYFUNCTION("""COMPUTED_VALUE"""),4400.0)</f>
        <v>4400</v>
      </c>
      <c r="C228" s="2">
        <f>IFERROR(__xludf.DUMMYFUNCTION("""COMPUTED_VALUE"""),4400.0)</f>
        <v>4400</v>
      </c>
      <c r="D228" s="2">
        <f>IFERROR(__xludf.DUMMYFUNCTION("""COMPUTED_VALUE"""),4310.0)</f>
        <v>4310</v>
      </c>
      <c r="E228" s="2">
        <f>IFERROR(__xludf.DUMMYFUNCTION("""COMPUTED_VALUE"""),4360.0)</f>
        <v>4360</v>
      </c>
      <c r="F228" s="2">
        <f>IFERROR(__xludf.DUMMYFUNCTION("""COMPUTED_VALUE"""),8007900.0)</f>
        <v>8007900</v>
      </c>
      <c r="G228" s="2">
        <f t="shared" si="1"/>
        <v>90</v>
      </c>
    </row>
    <row r="229" ht="15.75" customHeight="1">
      <c r="A229" s="1">
        <f>IFERROR(__xludf.DUMMYFUNCTION("""COMPUTED_VALUE"""),44172.66666666667)</f>
        <v>44172.66667</v>
      </c>
      <c r="B229" s="2">
        <f>IFERROR(__xludf.DUMMYFUNCTION("""COMPUTED_VALUE"""),4420.0)</f>
        <v>4420</v>
      </c>
      <c r="C229" s="2">
        <f>IFERROR(__xludf.DUMMYFUNCTION("""COMPUTED_VALUE"""),4500.0)</f>
        <v>4500</v>
      </c>
      <c r="D229" s="2">
        <f>IFERROR(__xludf.DUMMYFUNCTION("""COMPUTED_VALUE"""),4380.0)</f>
        <v>4380</v>
      </c>
      <c r="E229" s="2">
        <f>IFERROR(__xludf.DUMMYFUNCTION("""COMPUTED_VALUE"""),4490.0)</f>
        <v>4490</v>
      </c>
      <c r="F229" s="2">
        <f>IFERROR(__xludf.DUMMYFUNCTION("""COMPUTED_VALUE"""),1.53251E7)</f>
        <v>15325100</v>
      </c>
      <c r="G229" s="2">
        <f t="shared" si="1"/>
        <v>140</v>
      </c>
    </row>
    <row r="230" ht="15.75" customHeight="1">
      <c r="A230" s="1">
        <f>IFERROR(__xludf.DUMMYFUNCTION("""COMPUTED_VALUE"""),44173.66666666667)</f>
        <v>44173.66667</v>
      </c>
      <c r="B230" s="2">
        <f>IFERROR(__xludf.DUMMYFUNCTION("""COMPUTED_VALUE"""),4500.0)</f>
        <v>4500</v>
      </c>
      <c r="C230" s="2">
        <f>IFERROR(__xludf.DUMMYFUNCTION("""COMPUTED_VALUE"""),4560.0)</f>
        <v>4560</v>
      </c>
      <c r="D230" s="2">
        <f>IFERROR(__xludf.DUMMYFUNCTION("""COMPUTED_VALUE"""),4400.0)</f>
        <v>4400</v>
      </c>
      <c r="E230" s="2">
        <f>IFERROR(__xludf.DUMMYFUNCTION("""COMPUTED_VALUE"""),4410.0)</f>
        <v>4410</v>
      </c>
      <c r="F230" s="2">
        <f>IFERROR(__xludf.DUMMYFUNCTION("""COMPUTED_VALUE"""),1.47026E7)</f>
        <v>14702600</v>
      </c>
      <c r="G230" s="2">
        <f t="shared" si="1"/>
        <v>160</v>
      </c>
    </row>
    <row r="231" ht="15.75" customHeight="1">
      <c r="A231" s="1">
        <f>IFERROR(__xludf.DUMMYFUNCTION("""COMPUTED_VALUE"""),44175.66666666667)</f>
        <v>44175.66667</v>
      </c>
      <c r="B231" s="2">
        <f>IFERROR(__xludf.DUMMYFUNCTION("""COMPUTED_VALUE"""),4450.0)</f>
        <v>4450</v>
      </c>
      <c r="C231" s="2">
        <f>IFERROR(__xludf.DUMMYFUNCTION("""COMPUTED_VALUE"""),4710.0)</f>
        <v>4710</v>
      </c>
      <c r="D231" s="2">
        <f>IFERROR(__xludf.DUMMYFUNCTION("""COMPUTED_VALUE"""),4450.0)</f>
        <v>4450</v>
      </c>
      <c r="E231" s="2">
        <f>IFERROR(__xludf.DUMMYFUNCTION("""COMPUTED_VALUE"""),4590.0)</f>
        <v>4590</v>
      </c>
      <c r="F231" s="2">
        <f>IFERROR(__xludf.DUMMYFUNCTION("""COMPUTED_VALUE"""),3.30277E7)</f>
        <v>33027700</v>
      </c>
      <c r="G231" s="2">
        <f t="shared" si="1"/>
        <v>300</v>
      </c>
    </row>
    <row r="232" ht="15.75" customHeight="1">
      <c r="A232" s="1">
        <f>IFERROR(__xludf.DUMMYFUNCTION("""COMPUTED_VALUE"""),44176.66666666667)</f>
        <v>44176.66667</v>
      </c>
      <c r="B232" s="2">
        <f>IFERROR(__xludf.DUMMYFUNCTION("""COMPUTED_VALUE"""),4600.0)</f>
        <v>4600</v>
      </c>
      <c r="C232" s="2">
        <f>IFERROR(__xludf.DUMMYFUNCTION("""COMPUTED_VALUE"""),4680.0)</f>
        <v>4680</v>
      </c>
      <c r="D232" s="2">
        <f>IFERROR(__xludf.DUMMYFUNCTION("""COMPUTED_VALUE"""),4460.0)</f>
        <v>4460</v>
      </c>
      <c r="E232" s="2">
        <f>IFERROR(__xludf.DUMMYFUNCTION("""COMPUTED_VALUE"""),4480.0)</f>
        <v>4480</v>
      </c>
      <c r="F232" s="2">
        <f>IFERROR(__xludf.DUMMYFUNCTION("""COMPUTED_VALUE"""),1.31415E7)</f>
        <v>13141500</v>
      </c>
      <c r="G232" s="2">
        <f t="shared" si="1"/>
        <v>220</v>
      </c>
    </row>
    <row r="233" ht="15.75" customHeight="1">
      <c r="A233" s="1">
        <f>IFERROR(__xludf.DUMMYFUNCTION("""COMPUTED_VALUE"""),44179.66666666667)</f>
        <v>44179.66667</v>
      </c>
      <c r="B233" s="2">
        <f>IFERROR(__xludf.DUMMYFUNCTION("""COMPUTED_VALUE"""),4500.0)</f>
        <v>4500</v>
      </c>
      <c r="C233" s="2">
        <f>IFERROR(__xludf.DUMMYFUNCTION("""COMPUTED_VALUE"""),4590.0)</f>
        <v>4590</v>
      </c>
      <c r="D233" s="2">
        <f>IFERROR(__xludf.DUMMYFUNCTION("""COMPUTED_VALUE"""),4480.0)</f>
        <v>4480</v>
      </c>
      <c r="E233" s="2">
        <f>IFERROR(__xludf.DUMMYFUNCTION("""COMPUTED_VALUE"""),4560.0)</f>
        <v>4560</v>
      </c>
      <c r="F233" s="2">
        <f>IFERROR(__xludf.DUMMYFUNCTION("""COMPUTED_VALUE"""),8967900.0)</f>
        <v>8967900</v>
      </c>
      <c r="G233" s="2">
        <f t="shared" si="1"/>
        <v>110</v>
      </c>
    </row>
    <row r="234" ht="15.75" customHeight="1">
      <c r="A234" s="1">
        <f>IFERROR(__xludf.DUMMYFUNCTION("""COMPUTED_VALUE"""),44180.66666666667)</f>
        <v>44180.66667</v>
      </c>
      <c r="B234" s="2">
        <f>IFERROR(__xludf.DUMMYFUNCTION("""COMPUTED_VALUE"""),4560.0)</f>
        <v>4560</v>
      </c>
      <c r="C234" s="2">
        <f>IFERROR(__xludf.DUMMYFUNCTION("""COMPUTED_VALUE"""),4570.0)</f>
        <v>4570</v>
      </c>
      <c r="D234" s="2">
        <f>IFERROR(__xludf.DUMMYFUNCTION("""COMPUTED_VALUE"""),4420.0)</f>
        <v>4420</v>
      </c>
      <c r="E234" s="2">
        <f>IFERROR(__xludf.DUMMYFUNCTION("""COMPUTED_VALUE"""),4460.0)</f>
        <v>4460</v>
      </c>
      <c r="F234" s="2">
        <f>IFERROR(__xludf.DUMMYFUNCTION("""COMPUTED_VALUE"""),1.6914E7)</f>
        <v>16914000</v>
      </c>
      <c r="G234" s="2">
        <f t="shared" si="1"/>
        <v>150</v>
      </c>
    </row>
    <row r="235" ht="15.75" customHeight="1">
      <c r="A235" s="1">
        <f>IFERROR(__xludf.DUMMYFUNCTION("""COMPUTED_VALUE"""),44181.66666666667)</f>
        <v>44181.66667</v>
      </c>
      <c r="B235" s="2">
        <f>IFERROR(__xludf.DUMMYFUNCTION("""COMPUTED_VALUE"""),4470.0)</f>
        <v>4470</v>
      </c>
      <c r="C235" s="2">
        <f>IFERROR(__xludf.DUMMYFUNCTION("""COMPUTED_VALUE"""),4550.0)</f>
        <v>4550</v>
      </c>
      <c r="D235" s="2">
        <f>IFERROR(__xludf.DUMMYFUNCTION("""COMPUTED_VALUE"""),4470.0)</f>
        <v>4470</v>
      </c>
      <c r="E235" s="2">
        <f>IFERROR(__xludf.DUMMYFUNCTION("""COMPUTED_VALUE"""),4490.0)</f>
        <v>4490</v>
      </c>
      <c r="F235" s="2">
        <f>IFERROR(__xludf.DUMMYFUNCTION("""COMPUTED_VALUE"""),1.33195E7)</f>
        <v>13319500</v>
      </c>
      <c r="G235" s="2">
        <f t="shared" si="1"/>
        <v>90</v>
      </c>
    </row>
    <row r="236" ht="15.75" customHeight="1">
      <c r="A236" s="1">
        <f>IFERROR(__xludf.DUMMYFUNCTION("""COMPUTED_VALUE"""),44182.66666666667)</f>
        <v>44182.66667</v>
      </c>
      <c r="B236" s="2">
        <f>IFERROR(__xludf.DUMMYFUNCTION("""COMPUTED_VALUE"""),4510.0)</f>
        <v>4510</v>
      </c>
      <c r="C236" s="2">
        <f>IFERROR(__xludf.DUMMYFUNCTION("""COMPUTED_VALUE"""),4730.0)</f>
        <v>4730</v>
      </c>
      <c r="D236" s="2">
        <f>IFERROR(__xludf.DUMMYFUNCTION("""COMPUTED_VALUE"""),4500.0)</f>
        <v>4500</v>
      </c>
      <c r="E236" s="2">
        <f>IFERROR(__xludf.DUMMYFUNCTION("""COMPUTED_VALUE"""),4700.0)</f>
        <v>4700</v>
      </c>
      <c r="F236" s="2">
        <f>IFERROR(__xludf.DUMMYFUNCTION("""COMPUTED_VALUE"""),3.65386E7)</f>
        <v>36538600</v>
      </c>
      <c r="G236" s="2">
        <f t="shared" si="1"/>
        <v>240</v>
      </c>
    </row>
    <row r="237" ht="15.75" customHeight="1">
      <c r="A237" s="1">
        <f>IFERROR(__xludf.DUMMYFUNCTION("""COMPUTED_VALUE"""),44183.66666666667)</f>
        <v>44183.66667</v>
      </c>
      <c r="B237" s="2">
        <f>IFERROR(__xludf.DUMMYFUNCTION("""COMPUTED_VALUE"""),4720.0)</f>
        <v>4720</v>
      </c>
      <c r="C237" s="2">
        <f>IFERROR(__xludf.DUMMYFUNCTION("""COMPUTED_VALUE"""),4860.0)</f>
        <v>4860</v>
      </c>
      <c r="D237" s="2">
        <f>IFERROR(__xludf.DUMMYFUNCTION("""COMPUTED_VALUE"""),4710.0)</f>
        <v>4710</v>
      </c>
      <c r="E237" s="2">
        <f>IFERROR(__xludf.DUMMYFUNCTION("""COMPUTED_VALUE"""),4710.0)</f>
        <v>4710</v>
      </c>
      <c r="F237" s="2">
        <f>IFERROR(__xludf.DUMMYFUNCTION("""COMPUTED_VALUE"""),2.31608E7)</f>
        <v>23160800</v>
      </c>
      <c r="G237" s="2">
        <f t="shared" si="1"/>
        <v>160</v>
      </c>
    </row>
    <row r="238" ht="15.75" customHeight="1">
      <c r="A238" s="1">
        <f>IFERROR(__xludf.DUMMYFUNCTION("""COMPUTED_VALUE"""),44186.66666666667)</f>
        <v>44186.66667</v>
      </c>
      <c r="B238" s="2">
        <f>IFERROR(__xludf.DUMMYFUNCTION("""COMPUTED_VALUE"""),4730.0)</f>
        <v>4730</v>
      </c>
      <c r="C238" s="2">
        <f>IFERROR(__xludf.DUMMYFUNCTION("""COMPUTED_VALUE"""),4800.0)</f>
        <v>4800</v>
      </c>
      <c r="D238" s="2">
        <f>IFERROR(__xludf.DUMMYFUNCTION("""COMPUTED_VALUE"""),4670.0)</f>
        <v>4670</v>
      </c>
      <c r="E238" s="2">
        <f>IFERROR(__xludf.DUMMYFUNCTION("""COMPUTED_VALUE"""),4750.0)</f>
        <v>4750</v>
      </c>
      <c r="F238" s="2">
        <f>IFERROR(__xludf.DUMMYFUNCTION("""COMPUTED_VALUE"""),1.28072E7)</f>
        <v>12807200</v>
      </c>
      <c r="G238" s="2">
        <f t="shared" si="1"/>
        <v>130</v>
      </c>
    </row>
    <row r="239" ht="15.75" customHeight="1">
      <c r="A239" s="1">
        <f>IFERROR(__xludf.DUMMYFUNCTION("""COMPUTED_VALUE"""),44187.66666666667)</f>
        <v>44187.66667</v>
      </c>
      <c r="B239" s="2">
        <f>IFERROR(__xludf.DUMMYFUNCTION("""COMPUTED_VALUE"""),4750.0)</f>
        <v>4750</v>
      </c>
      <c r="C239" s="2">
        <f>IFERROR(__xludf.DUMMYFUNCTION("""COMPUTED_VALUE"""),4760.0)</f>
        <v>4760</v>
      </c>
      <c r="D239" s="2">
        <f>IFERROR(__xludf.DUMMYFUNCTION("""COMPUTED_VALUE"""),4620.0)</f>
        <v>4620</v>
      </c>
      <c r="E239" s="2">
        <f>IFERROR(__xludf.DUMMYFUNCTION("""COMPUTED_VALUE"""),4700.0)</f>
        <v>4700</v>
      </c>
      <c r="F239" s="2">
        <f>IFERROR(__xludf.DUMMYFUNCTION("""COMPUTED_VALUE"""),2.17671E7)</f>
        <v>21767100</v>
      </c>
      <c r="G239" s="2">
        <f t="shared" si="1"/>
        <v>140</v>
      </c>
    </row>
    <row r="240" ht="15.75" customHeight="1">
      <c r="A240" s="1">
        <f>IFERROR(__xludf.DUMMYFUNCTION("""COMPUTED_VALUE"""),44188.66666666667)</f>
        <v>44188.66667</v>
      </c>
      <c r="B240" s="2">
        <f>IFERROR(__xludf.DUMMYFUNCTION("""COMPUTED_VALUE"""),4710.0)</f>
        <v>4710</v>
      </c>
      <c r="C240" s="2">
        <f>IFERROR(__xludf.DUMMYFUNCTION("""COMPUTED_VALUE"""),4800.0)</f>
        <v>4800</v>
      </c>
      <c r="D240" s="2">
        <f>IFERROR(__xludf.DUMMYFUNCTION("""COMPUTED_VALUE"""),4550.0)</f>
        <v>4550</v>
      </c>
      <c r="E240" s="2">
        <f>IFERROR(__xludf.DUMMYFUNCTION("""COMPUTED_VALUE"""),4710.0)</f>
        <v>4710</v>
      </c>
      <c r="F240" s="2">
        <f>IFERROR(__xludf.DUMMYFUNCTION("""COMPUTED_VALUE"""),1.67196E7)</f>
        <v>16719600</v>
      </c>
      <c r="G240" s="2">
        <f t="shared" si="1"/>
        <v>250</v>
      </c>
    </row>
    <row r="241" ht="15.75" customHeight="1">
      <c r="A241" s="1">
        <f>IFERROR(__xludf.DUMMYFUNCTION("""COMPUTED_VALUE"""),44193.66666666667)</f>
        <v>44193.66667</v>
      </c>
      <c r="B241" s="2">
        <f>IFERROR(__xludf.DUMMYFUNCTION("""COMPUTED_VALUE"""),4800.0)</f>
        <v>4800</v>
      </c>
      <c r="C241" s="2">
        <f>IFERROR(__xludf.DUMMYFUNCTION("""COMPUTED_VALUE"""),4800.0)</f>
        <v>4800</v>
      </c>
      <c r="D241" s="2">
        <f>IFERROR(__xludf.DUMMYFUNCTION("""COMPUTED_VALUE"""),4650.0)</f>
        <v>4650</v>
      </c>
      <c r="E241" s="2">
        <f>IFERROR(__xludf.DUMMYFUNCTION("""COMPUTED_VALUE"""),4720.0)</f>
        <v>4720</v>
      </c>
      <c r="F241" s="2">
        <f>IFERROR(__xludf.DUMMYFUNCTION("""COMPUTED_VALUE"""),1.23924E7)</f>
        <v>12392400</v>
      </c>
      <c r="G241" s="2">
        <f t="shared" si="1"/>
        <v>150</v>
      </c>
    </row>
    <row r="242" ht="15.75" customHeight="1">
      <c r="A242" s="1">
        <f>IFERROR(__xludf.DUMMYFUNCTION("""COMPUTED_VALUE"""),44194.66666666667)</f>
        <v>44194.66667</v>
      </c>
      <c r="B242" s="2">
        <f>IFERROR(__xludf.DUMMYFUNCTION("""COMPUTED_VALUE"""),4730.0)</f>
        <v>4730</v>
      </c>
      <c r="C242" s="2">
        <f>IFERROR(__xludf.DUMMYFUNCTION("""COMPUTED_VALUE"""),4780.0)</f>
        <v>4780</v>
      </c>
      <c r="D242" s="2">
        <f>IFERROR(__xludf.DUMMYFUNCTION("""COMPUTED_VALUE"""),4670.0)</f>
        <v>4670</v>
      </c>
      <c r="E242" s="2">
        <f>IFERROR(__xludf.DUMMYFUNCTION("""COMPUTED_VALUE"""),4700.0)</f>
        <v>4700</v>
      </c>
      <c r="F242" s="2">
        <f>IFERROR(__xludf.DUMMYFUNCTION("""COMPUTED_VALUE"""),1.30099E7)</f>
        <v>13009900</v>
      </c>
      <c r="G242" s="2">
        <f t="shared" si="1"/>
        <v>110</v>
      </c>
    </row>
    <row r="243" ht="15.75" customHeight="1">
      <c r="A243" s="1">
        <f>IFERROR(__xludf.DUMMYFUNCTION("""COMPUTED_VALUE"""),44195.66666666667)</f>
        <v>44195.66667</v>
      </c>
      <c r="B243" s="2">
        <f>IFERROR(__xludf.DUMMYFUNCTION("""COMPUTED_VALUE"""),4720.0)</f>
        <v>4720</v>
      </c>
      <c r="C243" s="2">
        <f>IFERROR(__xludf.DUMMYFUNCTION("""COMPUTED_VALUE"""),4750.0)</f>
        <v>4750</v>
      </c>
      <c r="D243" s="2">
        <f>IFERROR(__xludf.DUMMYFUNCTION("""COMPUTED_VALUE"""),4620.0)</f>
        <v>4620</v>
      </c>
      <c r="E243" s="2">
        <f>IFERROR(__xludf.DUMMYFUNCTION("""COMPUTED_VALUE"""),4630.0)</f>
        <v>4630</v>
      </c>
      <c r="F243" s="2">
        <f>IFERROR(__xludf.DUMMYFUNCTION("""COMPUTED_VALUE"""),6976500.0)</f>
        <v>6976500</v>
      </c>
      <c r="G243" s="2">
        <f t="shared" si="1"/>
        <v>130</v>
      </c>
    </row>
    <row r="244" ht="15.75" customHeight="1">
      <c r="A244" s="1">
        <f>IFERROR(__xludf.DUMMYFUNCTION("""COMPUTED_VALUE"""),44200.625)</f>
        <v>44200.625</v>
      </c>
      <c r="B244" s="2">
        <f>IFERROR(__xludf.DUMMYFUNCTION("""COMPUTED_VALUE"""),4650.0)</f>
        <v>4650</v>
      </c>
      <c r="C244" s="2">
        <f>IFERROR(__xludf.DUMMYFUNCTION("""COMPUTED_VALUE"""),4680.0)</f>
        <v>4680</v>
      </c>
      <c r="D244" s="2">
        <f>IFERROR(__xludf.DUMMYFUNCTION("""COMPUTED_VALUE"""),4370.0)</f>
        <v>4370</v>
      </c>
      <c r="E244" s="2">
        <f>IFERROR(__xludf.DUMMYFUNCTION("""COMPUTED_VALUE"""),4650.0)</f>
        <v>4650</v>
      </c>
      <c r="F244" s="2">
        <f>IFERROR(__xludf.DUMMYFUNCTION("""COMPUTED_VALUE"""),1.23988E7)</f>
        <v>12398800</v>
      </c>
      <c r="G244" s="2">
        <f t="shared" si="1"/>
        <v>310</v>
      </c>
    </row>
    <row r="245" ht="15.75" customHeight="1">
      <c r="A245" s="1">
        <f>IFERROR(__xludf.DUMMYFUNCTION("""COMPUTED_VALUE"""),44201.625)</f>
        <v>44201.625</v>
      </c>
      <c r="B245" s="2">
        <f>IFERROR(__xludf.DUMMYFUNCTION("""COMPUTED_VALUE"""),4620.0)</f>
        <v>4620</v>
      </c>
      <c r="C245" s="2">
        <f>IFERROR(__xludf.DUMMYFUNCTION("""COMPUTED_VALUE"""),4650.0)</f>
        <v>4650</v>
      </c>
      <c r="D245" s="2">
        <f>IFERROR(__xludf.DUMMYFUNCTION("""COMPUTED_VALUE"""),4570.0)</f>
        <v>4570</v>
      </c>
      <c r="E245" s="2">
        <f>IFERROR(__xludf.DUMMYFUNCTION("""COMPUTED_VALUE"""),4580.0)</f>
        <v>4580</v>
      </c>
      <c r="F245" s="2">
        <f>IFERROR(__xludf.DUMMYFUNCTION("""COMPUTED_VALUE"""),1.34115E7)</f>
        <v>13411500</v>
      </c>
      <c r="G245" s="2">
        <f t="shared" si="1"/>
        <v>80</v>
      </c>
    </row>
    <row r="246" ht="15.75" customHeight="1">
      <c r="A246" s="1">
        <f>IFERROR(__xludf.DUMMYFUNCTION("""COMPUTED_VALUE"""),44202.625)</f>
        <v>44202.625</v>
      </c>
      <c r="B246" s="2">
        <f>IFERROR(__xludf.DUMMYFUNCTION("""COMPUTED_VALUE"""),4580.0)</f>
        <v>4580</v>
      </c>
      <c r="C246" s="2">
        <f>IFERROR(__xludf.DUMMYFUNCTION("""COMPUTED_VALUE"""),4590.0)</f>
        <v>4590</v>
      </c>
      <c r="D246" s="2">
        <f>IFERROR(__xludf.DUMMYFUNCTION("""COMPUTED_VALUE"""),4320.0)</f>
        <v>4320</v>
      </c>
      <c r="E246" s="2">
        <f>IFERROR(__xludf.DUMMYFUNCTION("""COMPUTED_VALUE"""),4350.0)</f>
        <v>4350</v>
      </c>
      <c r="F246" s="2">
        <f>IFERROR(__xludf.DUMMYFUNCTION("""COMPUTED_VALUE"""),2.47447E7)</f>
        <v>24744700</v>
      </c>
      <c r="G246" s="2">
        <f t="shared" si="1"/>
        <v>270</v>
      </c>
    </row>
    <row r="247" ht="15.75" customHeight="1">
      <c r="A247" s="1">
        <f>IFERROR(__xludf.DUMMYFUNCTION("""COMPUTED_VALUE"""),44203.66666666667)</f>
        <v>44203.66667</v>
      </c>
      <c r="B247" s="2">
        <f>IFERROR(__xludf.DUMMYFUNCTION("""COMPUTED_VALUE"""),4400.0)</f>
        <v>4400</v>
      </c>
      <c r="C247" s="2">
        <f>IFERROR(__xludf.DUMMYFUNCTION("""COMPUTED_VALUE"""),4450.0)</f>
        <v>4450</v>
      </c>
      <c r="D247" s="2">
        <f>IFERROR(__xludf.DUMMYFUNCTION("""COMPUTED_VALUE"""),4360.0)</f>
        <v>4360</v>
      </c>
      <c r="E247" s="2">
        <f>IFERROR(__xludf.DUMMYFUNCTION("""COMPUTED_VALUE"""),4400.0)</f>
        <v>4400</v>
      </c>
      <c r="F247" s="2">
        <f>IFERROR(__xludf.DUMMYFUNCTION("""COMPUTED_VALUE"""),1.35435E7)</f>
        <v>13543500</v>
      </c>
      <c r="G247" s="2">
        <f t="shared" si="1"/>
        <v>100</v>
      </c>
    </row>
    <row r="248" ht="15.75" customHeight="1">
      <c r="A248" s="1">
        <f>IFERROR(__xludf.DUMMYFUNCTION("""COMPUTED_VALUE"""),44204.66666666667)</f>
        <v>44204.66667</v>
      </c>
      <c r="B248" s="2">
        <f>IFERROR(__xludf.DUMMYFUNCTION("""COMPUTED_VALUE"""),4410.0)</f>
        <v>4410</v>
      </c>
      <c r="C248" s="2">
        <f>IFERROR(__xludf.DUMMYFUNCTION("""COMPUTED_VALUE"""),4490.0)</f>
        <v>4490</v>
      </c>
      <c r="D248" s="2">
        <f>IFERROR(__xludf.DUMMYFUNCTION("""COMPUTED_VALUE"""),4350.0)</f>
        <v>4350</v>
      </c>
      <c r="E248" s="2">
        <f>IFERROR(__xludf.DUMMYFUNCTION("""COMPUTED_VALUE"""),4430.0)</f>
        <v>4430</v>
      </c>
      <c r="F248" s="2">
        <f>IFERROR(__xludf.DUMMYFUNCTION("""COMPUTED_VALUE"""),1.46458E7)</f>
        <v>14645800</v>
      </c>
      <c r="G248" s="2">
        <f t="shared" si="1"/>
        <v>140</v>
      </c>
    </row>
    <row r="249" ht="15.75" customHeight="1">
      <c r="A249" s="1">
        <f>IFERROR(__xludf.DUMMYFUNCTION("""COMPUTED_VALUE"""),44207.625)</f>
        <v>44207.625</v>
      </c>
      <c r="B249" s="2">
        <f>IFERROR(__xludf.DUMMYFUNCTION("""COMPUTED_VALUE"""),4460.0)</f>
        <v>4460</v>
      </c>
      <c r="C249" s="2">
        <f>IFERROR(__xludf.DUMMYFUNCTION("""COMPUTED_VALUE"""),4550.0)</f>
        <v>4550</v>
      </c>
      <c r="D249" s="2">
        <f>IFERROR(__xludf.DUMMYFUNCTION("""COMPUTED_VALUE"""),4430.0)</f>
        <v>4430</v>
      </c>
      <c r="E249" s="2">
        <f>IFERROR(__xludf.DUMMYFUNCTION("""COMPUTED_VALUE"""),4480.0)</f>
        <v>4480</v>
      </c>
      <c r="F249" s="2">
        <f>IFERROR(__xludf.DUMMYFUNCTION("""COMPUTED_VALUE"""),1.76386E7)</f>
        <v>17638600</v>
      </c>
      <c r="G249" s="2">
        <f t="shared" si="1"/>
        <v>120</v>
      </c>
    </row>
    <row r="250" ht="15.75" customHeight="1">
      <c r="A250" s="1">
        <f>IFERROR(__xludf.DUMMYFUNCTION("""COMPUTED_VALUE"""),44208.625)</f>
        <v>44208.625</v>
      </c>
      <c r="B250" s="2">
        <f>IFERROR(__xludf.DUMMYFUNCTION("""COMPUTED_VALUE"""),4480.0)</f>
        <v>4480</v>
      </c>
      <c r="C250" s="2">
        <f>IFERROR(__xludf.DUMMYFUNCTION("""COMPUTED_VALUE"""),4530.0)</f>
        <v>4530</v>
      </c>
      <c r="D250" s="2">
        <f>IFERROR(__xludf.DUMMYFUNCTION("""COMPUTED_VALUE"""),4460.0)</f>
        <v>4460</v>
      </c>
      <c r="E250" s="2">
        <f>IFERROR(__xludf.DUMMYFUNCTION("""COMPUTED_VALUE"""),4500.0)</f>
        <v>4500</v>
      </c>
      <c r="F250" s="2">
        <f>IFERROR(__xludf.DUMMYFUNCTION("""COMPUTED_VALUE"""),1.42643E7)</f>
        <v>14264300</v>
      </c>
      <c r="G250" s="2">
        <f t="shared" si="1"/>
        <v>70</v>
      </c>
    </row>
    <row r="251" ht="15.75" customHeight="1">
      <c r="A251" s="1">
        <f>IFERROR(__xludf.DUMMYFUNCTION("""COMPUTED_VALUE"""),44209.625)</f>
        <v>44209.625</v>
      </c>
      <c r="B251" s="2">
        <f>IFERROR(__xludf.DUMMYFUNCTION("""COMPUTED_VALUE"""),4570.0)</f>
        <v>4570</v>
      </c>
      <c r="C251" s="2">
        <f>IFERROR(__xludf.DUMMYFUNCTION("""COMPUTED_VALUE"""),4590.0)</f>
        <v>4590</v>
      </c>
      <c r="D251" s="2">
        <f>IFERROR(__xludf.DUMMYFUNCTION("""COMPUTED_VALUE"""),4500.0)</f>
        <v>4500</v>
      </c>
      <c r="E251" s="2">
        <f>IFERROR(__xludf.DUMMYFUNCTION("""COMPUTED_VALUE"""),4570.0)</f>
        <v>4570</v>
      </c>
      <c r="F251" s="2">
        <f>IFERROR(__xludf.DUMMYFUNCTION("""COMPUTED_VALUE"""),1.89562E7)</f>
        <v>18956200</v>
      </c>
      <c r="G251" s="2">
        <f t="shared" si="1"/>
        <v>90</v>
      </c>
    </row>
    <row r="252" ht="15.75" customHeight="1">
      <c r="A252" s="1">
        <f>IFERROR(__xludf.DUMMYFUNCTION("""COMPUTED_VALUE"""),44210.625)</f>
        <v>44210.625</v>
      </c>
      <c r="B252" s="2">
        <f>IFERROR(__xludf.DUMMYFUNCTION("""COMPUTED_VALUE"""),4550.0)</f>
        <v>4550</v>
      </c>
      <c r="C252" s="2">
        <f>IFERROR(__xludf.DUMMYFUNCTION("""COMPUTED_VALUE"""),4740.0)</f>
        <v>4740</v>
      </c>
      <c r="D252" s="2">
        <f>IFERROR(__xludf.DUMMYFUNCTION("""COMPUTED_VALUE"""),4500.0)</f>
        <v>4500</v>
      </c>
      <c r="E252" s="2">
        <f>IFERROR(__xludf.DUMMYFUNCTION("""COMPUTED_VALUE"""),4680.0)</f>
        <v>4680</v>
      </c>
      <c r="F252" s="2">
        <f>IFERROR(__xludf.DUMMYFUNCTION("""COMPUTED_VALUE"""),2.88872E7)</f>
        <v>28887200</v>
      </c>
      <c r="G252" s="2">
        <f t="shared" si="1"/>
        <v>240</v>
      </c>
    </row>
    <row r="253" ht="15.75" customHeight="1">
      <c r="A253" s="1">
        <f>IFERROR(__xludf.DUMMYFUNCTION("""COMPUTED_VALUE"""),44211.625)</f>
        <v>44211.625</v>
      </c>
      <c r="B253" s="2">
        <f>IFERROR(__xludf.DUMMYFUNCTION("""COMPUTED_VALUE"""),4720.0)</f>
        <v>4720</v>
      </c>
      <c r="C253" s="2">
        <f>IFERROR(__xludf.DUMMYFUNCTION("""COMPUTED_VALUE"""),4940.0)</f>
        <v>4940</v>
      </c>
      <c r="D253" s="2">
        <f>IFERROR(__xludf.DUMMYFUNCTION("""COMPUTED_VALUE"""),4680.0)</f>
        <v>4680</v>
      </c>
      <c r="E253" s="2">
        <f>IFERROR(__xludf.DUMMYFUNCTION("""COMPUTED_VALUE"""),4860.0)</f>
        <v>4860</v>
      </c>
      <c r="F253" s="2">
        <f>IFERROR(__xludf.DUMMYFUNCTION("""COMPUTED_VALUE"""),5.5265E7)</f>
        <v>55265000</v>
      </c>
      <c r="G253" s="2">
        <f t="shared" si="1"/>
        <v>260</v>
      </c>
    </row>
    <row r="254" ht="15.75" customHeight="1">
      <c r="A254" s="1">
        <f>IFERROR(__xludf.DUMMYFUNCTION("""COMPUTED_VALUE"""),44214.625)</f>
        <v>44214.625</v>
      </c>
      <c r="B254" s="2">
        <f>IFERROR(__xludf.DUMMYFUNCTION("""COMPUTED_VALUE"""),4860.0)</f>
        <v>4860</v>
      </c>
      <c r="C254" s="2">
        <f>IFERROR(__xludf.DUMMYFUNCTION("""COMPUTED_VALUE"""),4990.0)</f>
        <v>4990</v>
      </c>
      <c r="D254" s="2">
        <f>IFERROR(__xludf.DUMMYFUNCTION("""COMPUTED_VALUE"""),4800.0)</f>
        <v>4800</v>
      </c>
      <c r="E254" s="2">
        <f>IFERROR(__xludf.DUMMYFUNCTION("""COMPUTED_VALUE"""),4920.0)</f>
        <v>4920</v>
      </c>
      <c r="F254" s="2">
        <f>IFERROR(__xludf.DUMMYFUNCTION("""COMPUTED_VALUE"""),3.14004E7)</f>
        <v>31400400</v>
      </c>
      <c r="G254" s="2">
        <f t="shared" si="1"/>
        <v>190</v>
      </c>
    </row>
    <row r="255" ht="15.75" customHeight="1">
      <c r="A255" s="1">
        <f>IFERROR(__xludf.DUMMYFUNCTION("""COMPUTED_VALUE"""),44215.625)</f>
        <v>44215.625</v>
      </c>
      <c r="B255" s="2">
        <f>IFERROR(__xludf.DUMMYFUNCTION("""COMPUTED_VALUE"""),4950.0)</f>
        <v>4950</v>
      </c>
      <c r="C255" s="2">
        <f>IFERROR(__xludf.DUMMYFUNCTION("""COMPUTED_VALUE"""),4960.0)</f>
        <v>4960</v>
      </c>
      <c r="D255" s="2">
        <f>IFERROR(__xludf.DUMMYFUNCTION("""COMPUTED_VALUE"""),4710.0)</f>
        <v>4710</v>
      </c>
      <c r="E255" s="2">
        <f>IFERROR(__xludf.DUMMYFUNCTION("""COMPUTED_VALUE"""),4830.0)</f>
        <v>4830</v>
      </c>
      <c r="F255" s="2">
        <f>IFERROR(__xludf.DUMMYFUNCTION("""COMPUTED_VALUE"""),1.37582E7)</f>
        <v>13758200</v>
      </c>
      <c r="G255" s="2">
        <f t="shared" si="1"/>
        <v>250</v>
      </c>
    </row>
    <row r="256" ht="15.75" customHeight="1">
      <c r="A256" s="1">
        <f>IFERROR(__xludf.DUMMYFUNCTION("""COMPUTED_VALUE"""),44216.625)</f>
        <v>44216.625</v>
      </c>
      <c r="B256" s="2">
        <f>IFERROR(__xludf.DUMMYFUNCTION("""COMPUTED_VALUE"""),4830.0)</f>
        <v>4830</v>
      </c>
      <c r="C256" s="2">
        <f>IFERROR(__xludf.DUMMYFUNCTION("""COMPUTED_VALUE"""),4840.0)</f>
        <v>4840</v>
      </c>
      <c r="D256" s="2">
        <f>IFERROR(__xludf.DUMMYFUNCTION("""COMPUTED_VALUE"""),4700.0)</f>
        <v>4700</v>
      </c>
      <c r="E256" s="2">
        <f>IFERROR(__xludf.DUMMYFUNCTION("""COMPUTED_VALUE"""),4830.0)</f>
        <v>4830</v>
      </c>
      <c r="F256" s="2">
        <f>IFERROR(__xludf.DUMMYFUNCTION("""COMPUTED_VALUE"""),1.43308E7)</f>
        <v>14330800</v>
      </c>
      <c r="G256" s="2">
        <f t="shared" si="1"/>
        <v>140</v>
      </c>
    </row>
    <row r="257" ht="15.75" customHeight="1">
      <c r="A257" s="1">
        <f>IFERROR(__xludf.DUMMYFUNCTION("""COMPUTED_VALUE"""),44217.625)</f>
        <v>44217.625</v>
      </c>
      <c r="B257" s="2">
        <f>IFERROR(__xludf.DUMMYFUNCTION("""COMPUTED_VALUE"""),4880.0)</f>
        <v>4880</v>
      </c>
      <c r="C257" s="2">
        <f>IFERROR(__xludf.DUMMYFUNCTION("""COMPUTED_VALUE"""),4900.0)</f>
        <v>4900</v>
      </c>
      <c r="D257" s="2">
        <f>IFERROR(__xludf.DUMMYFUNCTION("""COMPUTED_VALUE"""),4740.0)</f>
        <v>4740</v>
      </c>
      <c r="E257" s="2">
        <f>IFERROR(__xludf.DUMMYFUNCTION("""COMPUTED_VALUE"""),4780.0)</f>
        <v>4780</v>
      </c>
      <c r="F257" s="2">
        <f>IFERROR(__xludf.DUMMYFUNCTION("""COMPUTED_VALUE"""),6387500.0)</f>
        <v>6387500</v>
      </c>
      <c r="G257" s="2">
        <f t="shared" si="1"/>
        <v>160</v>
      </c>
    </row>
    <row r="258" ht="15.75" customHeight="1">
      <c r="A258" s="1">
        <f>IFERROR(__xludf.DUMMYFUNCTION("""COMPUTED_VALUE"""),44218.625)</f>
        <v>44218.625</v>
      </c>
      <c r="B258" s="2">
        <f>IFERROR(__xludf.DUMMYFUNCTION("""COMPUTED_VALUE"""),4790.0)</f>
        <v>4790</v>
      </c>
      <c r="C258" s="2">
        <f>IFERROR(__xludf.DUMMYFUNCTION("""COMPUTED_VALUE"""),4800.0)</f>
        <v>4800</v>
      </c>
      <c r="D258" s="2">
        <f>IFERROR(__xludf.DUMMYFUNCTION("""COMPUTED_VALUE"""),4600.0)</f>
        <v>4600</v>
      </c>
      <c r="E258" s="2">
        <f>IFERROR(__xludf.DUMMYFUNCTION("""COMPUTED_VALUE"""),4690.0)</f>
        <v>4690</v>
      </c>
      <c r="F258" s="2">
        <f>IFERROR(__xludf.DUMMYFUNCTION("""COMPUTED_VALUE"""),8974000.0)</f>
        <v>8974000</v>
      </c>
      <c r="G258" s="2">
        <f t="shared" si="1"/>
        <v>200</v>
      </c>
    </row>
    <row r="259" ht="15.75" customHeight="1">
      <c r="A259" s="1">
        <f>IFERROR(__xludf.DUMMYFUNCTION("""COMPUTED_VALUE"""),44221.625)</f>
        <v>44221.625</v>
      </c>
      <c r="B259" s="2">
        <f>IFERROR(__xludf.DUMMYFUNCTION("""COMPUTED_VALUE"""),4690.0)</f>
        <v>4690</v>
      </c>
      <c r="C259" s="2">
        <f>IFERROR(__xludf.DUMMYFUNCTION("""COMPUTED_VALUE"""),4690.0)</f>
        <v>4690</v>
      </c>
      <c r="D259" s="2">
        <f>IFERROR(__xludf.DUMMYFUNCTION("""COMPUTED_VALUE"""),4430.0)</f>
        <v>4430</v>
      </c>
      <c r="E259" s="2">
        <f>IFERROR(__xludf.DUMMYFUNCTION("""COMPUTED_VALUE"""),4600.0)</f>
        <v>4600</v>
      </c>
      <c r="F259" s="2">
        <f>IFERROR(__xludf.DUMMYFUNCTION("""COMPUTED_VALUE"""),1.06993E7)</f>
        <v>10699300</v>
      </c>
      <c r="G259" s="2">
        <f t="shared" si="1"/>
        <v>260</v>
      </c>
    </row>
    <row r="260" ht="15.75" customHeight="1">
      <c r="A260" s="1">
        <f>IFERROR(__xludf.DUMMYFUNCTION("""COMPUTED_VALUE"""),44222.625)</f>
        <v>44222.625</v>
      </c>
      <c r="B260" s="2">
        <f>IFERROR(__xludf.DUMMYFUNCTION("""COMPUTED_VALUE"""),4600.0)</f>
        <v>4600</v>
      </c>
      <c r="C260" s="2">
        <f>IFERROR(__xludf.DUMMYFUNCTION("""COMPUTED_VALUE"""),4740.0)</f>
        <v>4740</v>
      </c>
      <c r="D260" s="2">
        <f>IFERROR(__xludf.DUMMYFUNCTION("""COMPUTED_VALUE"""),4500.0)</f>
        <v>4500</v>
      </c>
      <c r="E260" s="2">
        <f>IFERROR(__xludf.DUMMYFUNCTION("""COMPUTED_VALUE"""),4580.0)</f>
        <v>4580</v>
      </c>
      <c r="F260" s="2">
        <f>IFERROR(__xludf.DUMMYFUNCTION("""COMPUTED_VALUE"""),1.44289E7)</f>
        <v>14428900</v>
      </c>
      <c r="G260" s="2">
        <f t="shared" si="1"/>
        <v>240</v>
      </c>
    </row>
    <row r="261" ht="15.75" customHeight="1">
      <c r="A261" s="1">
        <f>IFERROR(__xludf.DUMMYFUNCTION("""COMPUTED_VALUE"""),44223.625)</f>
        <v>44223.625</v>
      </c>
      <c r="B261" s="2">
        <f>IFERROR(__xludf.DUMMYFUNCTION("""COMPUTED_VALUE"""),4580.0)</f>
        <v>4580</v>
      </c>
      <c r="C261" s="2">
        <f>IFERROR(__xludf.DUMMYFUNCTION("""COMPUTED_VALUE"""),4620.0)</f>
        <v>4620</v>
      </c>
      <c r="D261" s="2">
        <f>IFERROR(__xludf.DUMMYFUNCTION("""COMPUTED_VALUE"""),4400.0)</f>
        <v>4400</v>
      </c>
      <c r="E261" s="2">
        <f>IFERROR(__xludf.DUMMYFUNCTION("""COMPUTED_VALUE"""),4580.0)</f>
        <v>4580</v>
      </c>
      <c r="F261" s="2">
        <f>IFERROR(__xludf.DUMMYFUNCTION("""COMPUTED_VALUE"""),8490200.0)</f>
        <v>8490200</v>
      </c>
      <c r="G261" s="2">
        <f t="shared" si="1"/>
        <v>220</v>
      </c>
    </row>
    <row r="262" ht="15.75" customHeight="1">
      <c r="A262" s="1">
        <f>IFERROR(__xludf.DUMMYFUNCTION("""COMPUTED_VALUE"""),44224.625)</f>
        <v>44224.625</v>
      </c>
      <c r="B262" s="2">
        <f>IFERROR(__xludf.DUMMYFUNCTION("""COMPUTED_VALUE"""),4500.0)</f>
        <v>4500</v>
      </c>
      <c r="C262" s="2">
        <f>IFERROR(__xludf.DUMMYFUNCTION("""COMPUTED_VALUE"""),4590.0)</f>
        <v>4590</v>
      </c>
      <c r="D262" s="2">
        <f>IFERROR(__xludf.DUMMYFUNCTION("""COMPUTED_VALUE"""),4460.0)</f>
        <v>4460</v>
      </c>
      <c r="E262" s="2">
        <f>IFERROR(__xludf.DUMMYFUNCTION("""COMPUTED_VALUE"""),4480.0)</f>
        <v>4480</v>
      </c>
      <c r="F262" s="2">
        <f>IFERROR(__xludf.DUMMYFUNCTION("""COMPUTED_VALUE"""),6813900.0)</f>
        <v>6813900</v>
      </c>
      <c r="G262" s="2">
        <f t="shared" si="1"/>
        <v>130</v>
      </c>
    </row>
    <row r="263" ht="15.75" customHeight="1">
      <c r="A263" s="1">
        <f>IFERROR(__xludf.DUMMYFUNCTION("""COMPUTED_VALUE"""),44225.625)</f>
        <v>44225.625</v>
      </c>
      <c r="B263" s="2">
        <f>IFERROR(__xludf.DUMMYFUNCTION("""COMPUTED_VALUE"""),4490.0)</f>
        <v>4490</v>
      </c>
      <c r="C263" s="2">
        <f>IFERROR(__xludf.DUMMYFUNCTION("""COMPUTED_VALUE"""),4570.0)</f>
        <v>4570</v>
      </c>
      <c r="D263" s="2">
        <f>IFERROR(__xludf.DUMMYFUNCTION("""COMPUTED_VALUE"""),4260.0)</f>
        <v>4260</v>
      </c>
      <c r="E263" s="2">
        <f>IFERROR(__xludf.DUMMYFUNCTION("""COMPUTED_VALUE"""),4320.0)</f>
        <v>4320</v>
      </c>
      <c r="F263" s="2">
        <f>IFERROR(__xludf.DUMMYFUNCTION("""COMPUTED_VALUE"""),9144300.0)</f>
        <v>9144300</v>
      </c>
      <c r="G263" s="2">
        <f t="shared" si="1"/>
        <v>310</v>
      </c>
    </row>
    <row r="264" ht="15.75" customHeight="1">
      <c r="A264" s="1">
        <f>IFERROR(__xludf.DUMMYFUNCTION("""COMPUTED_VALUE"""),44228.625)</f>
        <v>44228.625</v>
      </c>
      <c r="B264" s="2">
        <f>IFERROR(__xludf.DUMMYFUNCTION("""COMPUTED_VALUE"""),4290.0)</f>
        <v>4290</v>
      </c>
      <c r="C264" s="2">
        <f>IFERROR(__xludf.DUMMYFUNCTION("""COMPUTED_VALUE"""),4600.0)</f>
        <v>4600</v>
      </c>
      <c r="D264" s="2">
        <f>IFERROR(__xludf.DUMMYFUNCTION("""COMPUTED_VALUE"""),4120.0)</f>
        <v>4120</v>
      </c>
      <c r="E264" s="2">
        <f>IFERROR(__xludf.DUMMYFUNCTION("""COMPUTED_VALUE"""),4590.0)</f>
        <v>4590</v>
      </c>
      <c r="F264" s="2">
        <f>IFERROR(__xludf.DUMMYFUNCTION("""COMPUTED_VALUE"""),8505300.0)</f>
        <v>8505300</v>
      </c>
      <c r="G264" s="2">
        <f t="shared" si="1"/>
        <v>480</v>
      </c>
    </row>
    <row r="265" ht="15.75" customHeight="1">
      <c r="A265" s="1">
        <f>IFERROR(__xludf.DUMMYFUNCTION("""COMPUTED_VALUE"""),44229.625)</f>
        <v>44229.625</v>
      </c>
      <c r="B265" s="2">
        <f>IFERROR(__xludf.DUMMYFUNCTION("""COMPUTED_VALUE"""),4590.0)</f>
        <v>4590</v>
      </c>
      <c r="C265" s="2">
        <f>IFERROR(__xludf.DUMMYFUNCTION("""COMPUTED_VALUE"""),4600.0)</f>
        <v>4600</v>
      </c>
      <c r="D265" s="2">
        <f>IFERROR(__xludf.DUMMYFUNCTION("""COMPUTED_VALUE"""),4400.0)</f>
        <v>4400</v>
      </c>
      <c r="E265" s="2">
        <f>IFERROR(__xludf.DUMMYFUNCTION("""COMPUTED_VALUE"""),4460.0)</f>
        <v>4460</v>
      </c>
      <c r="F265" s="2">
        <f>IFERROR(__xludf.DUMMYFUNCTION("""COMPUTED_VALUE"""),4336600.0)</f>
        <v>4336600</v>
      </c>
      <c r="G265" s="2">
        <f t="shared" si="1"/>
        <v>200</v>
      </c>
    </row>
    <row r="266" ht="15.75" customHeight="1">
      <c r="A266" s="1">
        <f>IFERROR(__xludf.DUMMYFUNCTION("""COMPUTED_VALUE"""),44230.625)</f>
        <v>44230.625</v>
      </c>
      <c r="B266" s="2">
        <f>IFERROR(__xludf.DUMMYFUNCTION("""COMPUTED_VALUE"""),4480.0)</f>
        <v>4480</v>
      </c>
      <c r="C266" s="2">
        <f>IFERROR(__xludf.DUMMYFUNCTION("""COMPUTED_VALUE"""),4530.0)</f>
        <v>4530</v>
      </c>
      <c r="D266" s="2">
        <f>IFERROR(__xludf.DUMMYFUNCTION("""COMPUTED_VALUE"""),4410.0)</f>
        <v>4410</v>
      </c>
      <c r="E266" s="2">
        <f>IFERROR(__xludf.DUMMYFUNCTION("""COMPUTED_VALUE"""),4460.0)</f>
        <v>4460</v>
      </c>
      <c r="F266" s="2">
        <f>IFERROR(__xludf.DUMMYFUNCTION("""COMPUTED_VALUE"""),3638600.0)</f>
        <v>3638600</v>
      </c>
      <c r="G266" s="2">
        <f t="shared" si="1"/>
        <v>120</v>
      </c>
    </row>
    <row r="267" ht="15.75" customHeight="1">
      <c r="A267" s="1">
        <f>IFERROR(__xludf.DUMMYFUNCTION("""COMPUTED_VALUE"""),44231.625)</f>
        <v>44231.625</v>
      </c>
      <c r="B267" s="2">
        <f>IFERROR(__xludf.DUMMYFUNCTION("""COMPUTED_VALUE"""),4490.0)</f>
        <v>4490</v>
      </c>
      <c r="C267" s="2">
        <f>IFERROR(__xludf.DUMMYFUNCTION("""COMPUTED_VALUE"""),4590.0)</f>
        <v>4590</v>
      </c>
      <c r="D267" s="2">
        <f>IFERROR(__xludf.DUMMYFUNCTION("""COMPUTED_VALUE"""),4460.0)</f>
        <v>4460</v>
      </c>
      <c r="E267" s="2">
        <f>IFERROR(__xludf.DUMMYFUNCTION("""COMPUTED_VALUE"""),4540.0)</f>
        <v>4540</v>
      </c>
      <c r="F267" s="2">
        <f>IFERROR(__xludf.DUMMYFUNCTION("""COMPUTED_VALUE"""),4025600.0)</f>
        <v>4025600</v>
      </c>
      <c r="G267" s="2">
        <f t="shared" si="1"/>
        <v>130</v>
      </c>
    </row>
    <row r="268" ht="15.75" customHeight="1">
      <c r="A268" s="1">
        <f>IFERROR(__xludf.DUMMYFUNCTION("""COMPUTED_VALUE"""),44232.625)</f>
        <v>44232.625</v>
      </c>
      <c r="B268" s="2">
        <f>IFERROR(__xludf.DUMMYFUNCTION("""COMPUTED_VALUE"""),4600.0)</f>
        <v>4600</v>
      </c>
      <c r="C268" s="2">
        <f>IFERROR(__xludf.DUMMYFUNCTION("""COMPUTED_VALUE"""),4600.0)</f>
        <v>4600</v>
      </c>
      <c r="D268" s="2">
        <f>IFERROR(__xludf.DUMMYFUNCTION("""COMPUTED_VALUE"""),4470.0)</f>
        <v>4470</v>
      </c>
      <c r="E268" s="2">
        <f>IFERROR(__xludf.DUMMYFUNCTION("""COMPUTED_VALUE"""),4500.0)</f>
        <v>4500</v>
      </c>
      <c r="F268" s="2">
        <f>IFERROR(__xludf.DUMMYFUNCTION("""COMPUTED_VALUE"""),2369100.0)</f>
        <v>2369100</v>
      </c>
      <c r="G268" s="2">
        <f t="shared" si="1"/>
        <v>130</v>
      </c>
    </row>
    <row r="269" ht="15.75" customHeight="1">
      <c r="A269" s="1">
        <f>IFERROR(__xludf.DUMMYFUNCTION("""COMPUTED_VALUE"""),44235.625)</f>
        <v>44235.625</v>
      </c>
      <c r="B269" s="2">
        <f>IFERROR(__xludf.DUMMYFUNCTION("""COMPUTED_VALUE"""),4520.0)</f>
        <v>4520</v>
      </c>
      <c r="C269" s="2">
        <f>IFERROR(__xludf.DUMMYFUNCTION("""COMPUTED_VALUE"""),4600.0)</f>
        <v>4600</v>
      </c>
      <c r="D269" s="2">
        <f>IFERROR(__xludf.DUMMYFUNCTION("""COMPUTED_VALUE"""),4520.0)</f>
        <v>4520</v>
      </c>
      <c r="E269" s="2">
        <f>IFERROR(__xludf.DUMMYFUNCTION("""COMPUTED_VALUE"""),4600.0)</f>
        <v>4600</v>
      </c>
      <c r="F269" s="2">
        <f>IFERROR(__xludf.DUMMYFUNCTION("""COMPUTED_VALUE"""),1802500.0)</f>
        <v>1802500</v>
      </c>
      <c r="G269" s="2">
        <f t="shared" si="1"/>
        <v>100</v>
      </c>
    </row>
    <row r="270" ht="15.75" customHeight="1">
      <c r="A270" s="1">
        <f>IFERROR(__xludf.DUMMYFUNCTION("""COMPUTED_VALUE"""),44236.625)</f>
        <v>44236.625</v>
      </c>
      <c r="B270" s="2">
        <f>IFERROR(__xludf.DUMMYFUNCTION("""COMPUTED_VALUE"""),4640.0)</f>
        <v>4640</v>
      </c>
      <c r="C270" s="2">
        <f>IFERROR(__xludf.DUMMYFUNCTION("""COMPUTED_VALUE"""),4650.0)</f>
        <v>4650</v>
      </c>
      <c r="D270" s="2">
        <f>IFERROR(__xludf.DUMMYFUNCTION("""COMPUTED_VALUE"""),4480.0)</f>
        <v>4480</v>
      </c>
      <c r="E270" s="2">
        <f>IFERROR(__xludf.DUMMYFUNCTION("""COMPUTED_VALUE"""),4520.0)</f>
        <v>4520</v>
      </c>
      <c r="F270" s="2">
        <f>IFERROR(__xludf.DUMMYFUNCTION("""COMPUTED_VALUE"""),5097900.0)</f>
        <v>5097900</v>
      </c>
      <c r="G270" s="2">
        <f t="shared" si="1"/>
        <v>170</v>
      </c>
    </row>
    <row r="271" ht="15.75" customHeight="1">
      <c r="A271" s="1">
        <f>IFERROR(__xludf.DUMMYFUNCTION("""COMPUTED_VALUE"""),44237.625)</f>
        <v>44237.625</v>
      </c>
      <c r="B271" s="2">
        <f>IFERROR(__xludf.DUMMYFUNCTION("""COMPUTED_VALUE"""),4520.0)</f>
        <v>4520</v>
      </c>
      <c r="C271" s="2">
        <f>IFERROR(__xludf.DUMMYFUNCTION("""COMPUTED_VALUE"""),4540.0)</f>
        <v>4540</v>
      </c>
      <c r="D271" s="2">
        <f>IFERROR(__xludf.DUMMYFUNCTION("""COMPUTED_VALUE"""),4420.0)</f>
        <v>4420</v>
      </c>
      <c r="E271" s="2">
        <f>IFERROR(__xludf.DUMMYFUNCTION("""COMPUTED_VALUE"""),4450.0)</f>
        <v>4450</v>
      </c>
      <c r="F271" s="2">
        <f>IFERROR(__xludf.DUMMYFUNCTION("""COMPUTED_VALUE"""),4032400.0)</f>
        <v>4032400</v>
      </c>
      <c r="G271" s="2">
        <f t="shared" si="1"/>
        <v>120</v>
      </c>
    </row>
    <row r="272" ht="15.75" customHeight="1">
      <c r="A272" s="1">
        <f>IFERROR(__xludf.DUMMYFUNCTION("""COMPUTED_VALUE"""),44238.625)</f>
        <v>44238.625</v>
      </c>
      <c r="B272" s="2">
        <f>IFERROR(__xludf.DUMMYFUNCTION("""COMPUTED_VALUE"""),4480.0)</f>
        <v>4480</v>
      </c>
      <c r="C272" s="2">
        <f>IFERROR(__xludf.DUMMYFUNCTION("""COMPUTED_VALUE"""),4480.0)</f>
        <v>4480</v>
      </c>
      <c r="D272" s="2">
        <f>IFERROR(__xludf.DUMMYFUNCTION("""COMPUTED_VALUE"""),4380.0)</f>
        <v>4380</v>
      </c>
      <c r="E272" s="2">
        <f>IFERROR(__xludf.DUMMYFUNCTION("""COMPUTED_VALUE"""),4390.0)</f>
        <v>4390</v>
      </c>
      <c r="F272" s="2">
        <f>IFERROR(__xludf.DUMMYFUNCTION("""COMPUTED_VALUE"""),2926900.0)</f>
        <v>2926900</v>
      </c>
      <c r="G272" s="2">
        <f t="shared" si="1"/>
        <v>100</v>
      </c>
    </row>
    <row r="273" ht="15.75" customHeight="1">
      <c r="A273" s="1">
        <f>IFERROR(__xludf.DUMMYFUNCTION("""COMPUTED_VALUE"""),44242.625)</f>
        <v>44242.625</v>
      </c>
      <c r="B273" s="2">
        <f>IFERROR(__xludf.DUMMYFUNCTION("""COMPUTED_VALUE"""),4390.0)</f>
        <v>4390</v>
      </c>
      <c r="C273" s="2">
        <f>IFERROR(__xludf.DUMMYFUNCTION("""COMPUTED_VALUE"""),4490.0)</f>
        <v>4490</v>
      </c>
      <c r="D273" s="2">
        <f>IFERROR(__xludf.DUMMYFUNCTION("""COMPUTED_VALUE"""),4370.0)</f>
        <v>4370</v>
      </c>
      <c r="E273" s="2">
        <f>IFERROR(__xludf.DUMMYFUNCTION("""COMPUTED_VALUE"""),4470.0)</f>
        <v>4470</v>
      </c>
      <c r="F273" s="2">
        <f>IFERROR(__xludf.DUMMYFUNCTION("""COMPUTED_VALUE"""),3999500.0)</f>
        <v>3999500</v>
      </c>
      <c r="G273" s="2">
        <f t="shared" si="1"/>
        <v>120</v>
      </c>
    </row>
    <row r="274" ht="15.75" customHeight="1">
      <c r="A274" s="1">
        <f>IFERROR(__xludf.DUMMYFUNCTION("""COMPUTED_VALUE"""),44243.625)</f>
        <v>44243.625</v>
      </c>
      <c r="B274" s="2">
        <f>IFERROR(__xludf.DUMMYFUNCTION("""COMPUTED_VALUE"""),4510.0)</f>
        <v>4510</v>
      </c>
      <c r="C274" s="2">
        <f>IFERROR(__xludf.DUMMYFUNCTION("""COMPUTED_VALUE"""),4570.0)</f>
        <v>4570</v>
      </c>
      <c r="D274" s="2">
        <f>IFERROR(__xludf.DUMMYFUNCTION("""COMPUTED_VALUE"""),4450.0)</f>
        <v>4450</v>
      </c>
      <c r="E274" s="2">
        <f>IFERROR(__xludf.DUMMYFUNCTION("""COMPUTED_VALUE"""),4550.0)</f>
        <v>4550</v>
      </c>
      <c r="F274" s="2">
        <f>IFERROR(__xludf.DUMMYFUNCTION("""COMPUTED_VALUE"""),4532200.0)</f>
        <v>4532200</v>
      </c>
      <c r="G274" s="2">
        <f t="shared" si="1"/>
        <v>120</v>
      </c>
    </row>
    <row r="275" ht="15.75" customHeight="1">
      <c r="A275" s="1">
        <f>IFERROR(__xludf.DUMMYFUNCTION("""COMPUTED_VALUE"""),44244.625)</f>
        <v>44244.625</v>
      </c>
      <c r="B275" s="2">
        <f>IFERROR(__xludf.DUMMYFUNCTION("""COMPUTED_VALUE"""),4560.0)</f>
        <v>4560</v>
      </c>
      <c r="C275" s="2">
        <f>IFERROR(__xludf.DUMMYFUNCTION("""COMPUTED_VALUE"""),4580.0)</f>
        <v>4580</v>
      </c>
      <c r="D275" s="2">
        <f>IFERROR(__xludf.DUMMYFUNCTION("""COMPUTED_VALUE"""),4410.0)</f>
        <v>4410</v>
      </c>
      <c r="E275" s="2">
        <f>IFERROR(__xludf.DUMMYFUNCTION("""COMPUTED_VALUE"""),4420.0)</f>
        <v>4420</v>
      </c>
      <c r="F275" s="2">
        <f>IFERROR(__xludf.DUMMYFUNCTION("""COMPUTED_VALUE"""),3077400.0)</f>
        <v>3077400</v>
      </c>
      <c r="G275" s="2">
        <f t="shared" si="1"/>
        <v>170</v>
      </c>
    </row>
    <row r="276" ht="15.75" customHeight="1">
      <c r="A276" s="1">
        <f>IFERROR(__xludf.DUMMYFUNCTION("""COMPUTED_VALUE"""),44245.625)</f>
        <v>44245.625</v>
      </c>
      <c r="B276" s="2">
        <f>IFERROR(__xludf.DUMMYFUNCTION("""COMPUTED_VALUE"""),4420.0)</f>
        <v>4420</v>
      </c>
      <c r="C276" s="2">
        <f>IFERROR(__xludf.DUMMYFUNCTION("""COMPUTED_VALUE"""),4470.0)</f>
        <v>4470</v>
      </c>
      <c r="D276" s="2">
        <f>IFERROR(__xludf.DUMMYFUNCTION("""COMPUTED_VALUE"""),4360.0)</f>
        <v>4360</v>
      </c>
      <c r="E276" s="2">
        <f>IFERROR(__xludf.DUMMYFUNCTION("""COMPUTED_VALUE"""),4370.0)</f>
        <v>4370</v>
      </c>
      <c r="F276" s="2">
        <f>IFERROR(__xludf.DUMMYFUNCTION("""COMPUTED_VALUE"""),3011600.0)</f>
        <v>3011600</v>
      </c>
      <c r="G276" s="2">
        <f t="shared" si="1"/>
        <v>110</v>
      </c>
    </row>
    <row r="277" ht="15.75" customHeight="1">
      <c r="A277" s="1">
        <f>IFERROR(__xludf.DUMMYFUNCTION("""COMPUTED_VALUE"""),44246.625)</f>
        <v>44246.625</v>
      </c>
      <c r="B277" s="2">
        <f>IFERROR(__xludf.DUMMYFUNCTION("""COMPUTED_VALUE"""),4370.0)</f>
        <v>4370</v>
      </c>
      <c r="C277" s="2">
        <f>IFERROR(__xludf.DUMMYFUNCTION("""COMPUTED_VALUE"""),4420.0)</f>
        <v>4420</v>
      </c>
      <c r="D277" s="2">
        <f>IFERROR(__xludf.DUMMYFUNCTION("""COMPUTED_VALUE"""),4350.0)</f>
        <v>4350</v>
      </c>
      <c r="E277" s="2">
        <f>IFERROR(__xludf.DUMMYFUNCTION("""COMPUTED_VALUE"""),4410.0)</f>
        <v>4410</v>
      </c>
      <c r="F277" s="2">
        <f>IFERROR(__xludf.DUMMYFUNCTION("""COMPUTED_VALUE"""),2163000.0)</f>
        <v>2163000</v>
      </c>
      <c r="G277" s="2">
        <f t="shared" si="1"/>
        <v>70</v>
      </c>
    </row>
    <row r="278" ht="15.75" customHeight="1">
      <c r="A278" s="1">
        <f>IFERROR(__xludf.DUMMYFUNCTION("""COMPUTED_VALUE"""),44249.625)</f>
        <v>44249.625</v>
      </c>
      <c r="B278" s="2">
        <f>IFERROR(__xludf.DUMMYFUNCTION("""COMPUTED_VALUE"""),4420.0)</f>
        <v>4420</v>
      </c>
      <c r="C278" s="2">
        <f>IFERROR(__xludf.DUMMYFUNCTION("""COMPUTED_VALUE"""),4450.0)</f>
        <v>4450</v>
      </c>
      <c r="D278" s="2">
        <f>IFERROR(__xludf.DUMMYFUNCTION("""COMPUTED_VALUE"""),4300.0)</f>
        <v>4300</v>
      </c>
      <c r="E278" s="2">
        <f>IFERROR(__xludf.DUMMYFUNCTION("""COMPUTED_VALUE"""),4340.0)</f>
        <v>4340</v>
      </c>
      <c r="F278" s="2">
        <f>IFERROR(__xludf.DUMMYFUNCTION("""COMPUTED_VALUE"""),4193400.0)</f>
        <v>4193400</v>
      </c>
      <c r="G278" s="2">
        <f t="shared" si="1"/>
        <v>150</v>
      </c>
    </row>
    <row r="279" ht="15.75" customHeight="1">
      <c r="A279" s="1">
        <f>IFERROR(__xludf.DUMMYFUNCTION("""COMPUTED_VALUE"""),44250.66666666667)</f>
        <v>44250.66667</v>
      </c>
      <c r="B279" s="2">
        <f>IFERROR(__xludf.DUMMYFUNCTION("""COMPUTED_VALUE"""),4340.0)</f>
        <v>4340</v>
      </c>
      <c r="C279" s="2">
        <f>IFERROR(__xludf.DUMMYFUNCTION("""COMPUTED_VALUE"""),4400.0)</f>
        <v>4400</v>
      </c>
      <c r="D279" s="2">
        <f>IFERROR(__xludf.DUMMYFUNCTION("""COMPUTED_VALUE"""),4320.0)</f>
        <v>4320</v>
      </c>
      <c r="E279" s="2">
        <f>IFERROR(__xludf.DUMMYFUNCTION("""COMPUTED_VALUE"""),4370.0)</f>
        <v>4370</v>
      </c>
      <c r="F279" s="2">
        <f>IFERROR(__xludf.DUMMYFUNCTION("""COMPUTED_VALUE"""),3107000.0)</f>
        <v>3107000</v>
      </c>
      <c r="G279" s="2">
        <f t="shared" si="1"/>
        <v>80</v>
      </c>
    </row>
    <row r="280" ht="15.75" customHeight="1">
      <c r="A280" s="1">
        <f>IFERROR(__xludf.DUMMYFUNCTION("""COMPUTED_VALUE"""),44251.625)</f>
        <v>44251.625</v>
      </c>
      <c r="B280" s="2">
        <f>IFERROR(__xludf.DUMMYFUNCTION("""COMPUTED_VALUE"""),4370.0)</f>
        <v>4370</v>
      </c>
      <c r="C280" s="2">
        <f>IFERROR(__xludf.DUMMYFUNCTION("""COMPUTED_VALUE"""),4390.0)</f>
        <v>4390</v>
      </c>
      <c r="D280" s="2">
        <f>IFERROR(__xludf.DUMMYFUNCTION("""COMPUTED_VALUE"""),4280.0)</f>
        <v>4280</v>
      </c>
      <c r="E280" s="2">
        <f>IFERROR(__xludf.DUMMYFUNCTION("""COMPUTED_VALUE"""),4300.0)</f>
        <v>4300</v>
      </c>
      <c r="F280" s="2">
        <f>IFERROR(__xludf.DUMMYFUNCTION("""COMPUTED_VALUE"""),7039000.0)</f>
        <v>7039000</v>
      </c>
      <c r="G280" s="2">
        <f t="shared" si="1"/>
        <v>110</v>
      </c>
    </row>
    <row r="281" ht="15.75" customHeight="1">
      <c r="A281" s="1">
        <f>IFERROR(__xludf.DUMMYFUNCTION("""COMPUTED_VALUE"""),44252.625)</f>
        <v>44252.625</v>
      </c>
      <c r="B281" s="2">
        <f>IFERROR(__xludf.DUMMYFUNCTION("""COMPUTED_VALUE"""),4330.0)</f>
        <v>4330</v>
      </c>
      <c r="C281" s="2">
        <f>IFERROR(__xludf.DUMMYFUNCTION("""COMPUTED_VALUE"""),4340.0)</f>
        <v>4340</v>
      </c>
      <c r="D281" s="2">
        <f>IFERROR(__xludf.DUMMYFUNCTION("""COMPUTED_VALUE"""),4220.0)</f>
        <v>4220</v>
      </c>
      <c r="E281" s="2">
        <f>IFERROR(__xludf.DUMMYFUNCTION("""COMPUTED_VALUE"""),4220.0)</f>
        <v>4220</v>
      </c>
      <c r="F281" s="2">
        <f>IFERROR(__xludf.DUMMYFUNCTION("""COMPUTED_VALUE"""),6539000.0)</f>
        <v>6539000</v>
      </c>
      <c r="G281" s="2">
        <f t="shared" si="1"/>
        <v>120</v>
      </c>
    </row>
    <row r="282" ht="15.75" customHeight="1">
      <c r="A282" s="1">
        <f>IFERROR(__xludf.DUMMYFUNCTION("""COMPUTED_VALUE"""),44253.625)</f>
        <v>44253.625</v>
      </c>
      <c r="B282" s="2">
        <f>IFERROR(__xludf.DUMMYFUNCTION("""COMPUTED_VALUE"""),4200.0)</f>
        <v>4200</v>
      </c>
      <c r="C282" s="2">
        <f>IFERROR(__xludf.DUMMYFUNCTION("""COMPUTED_VALUE"""),4220.0)</f>
        <v>4220</v>
      </c>
      <c r="D282" s="2">
        <f>IFERROR(__xludf.DUMMYFUNCTION("""COMPUTED_VALUE"""),4090.0)</f>
        <v>4090</v>
      </c>
      <c r="E282" s="2">
        <f>IFERROR(__xludf.DUMMYFUNCTION("""COMPUTED_VALUE"""),4170.0)</f>
        <v>4170</v>
      </c>
      <c r="F282" s="2">
        <f>IFERROR(__xludf.DUMMYFUNCTION("""COMPUTED_VALUE"""),8956000.0)</f>
        <v>8956000</v>
      </c>
      <c r="G282" s="2">
        <f t="shared" si="1"/>
        <v>130</v>
      </c>
    </row>
    <row r="283" ht="15.75" customHeight="1">
      <c r="A283" s="1">
        <f>IFERROR(__xludf.DUMMYFUNCTION("""COMPUTED_VALUE"""),44256.625)</f>
        <v>44256.625</v>
      </c>
      <c r="B283" s="2">
        <f>IFERROR(__xludf.DUMMYFUNCTION("""COMPUTED_VALUE"""),4220.0)</f>
        <v>4220</v>
      </c>
      <c r="C283" s="2">
        <f>IFERROR(__xludf.DUMMYFUNCTION("""COMPUTED_VALUE"""),4290.0)</f>
        <v>4290</v>
      </c>
      <c r="D283" s="2">
        <f>IFERROR(__xludf.DUMMYFUNCTION("""COMPUTED_VALUE"""),4180.0)</f>
        <v>4180</v>
      </c>
      <c r="E283" s="2">
        <f>IFERROR(__xludf.DUMMYFUNCTION("""COMPUTED_VALUE"""),4210.0)</f>
        <v>4210</v>
      </c>
      <c r="F283" s="2">
        <f>IFERROR(__xludf.DUMMYFUNCTION("""COMPUTED_VALUE"""),8911500.0)</f>
        <v>8911500</v>
      </c>
      <c r="G283" s="2">
        <f t="shared" si="1"/>
        <v>120</v>
      </c>
    </row>
    <row r="284" ht="15.75" customHeight="1">
      <c r="A284" s="1">
        <f>IFERROR(__xludf.DUMMYFUNCTION("""COMPUTED_VALUE"""),44257.625)</f>
        <v>44257.625</v>
      </c>
      <c r="B284" s="2">
        <f>IFERROR(__xludf.DUMMYFUNCTION("""COMPUTED_VALUE"""),4230.0)</f>
        <v>4230</v>
      </c>
      <c r="C284" s="2">
        <f>IFERROR(__xludf.DUMMYFUNCTION("""COMPUTED_VALUE"""),4260.0)</f>
        <v>4260</v>
      </c>
      <c r="D284" s="2">
        <f>IFERROR(__xludf.DUMMYFUNCTION("""COMPUTED_VALUE"""),4130.0)</f>
        <v>4130</v>
      </c>
      <c r="E284" s="2">
        <f>IFERROR(__xludf.DUMMYFUNCTION("""COMPUTED_VALUE"""),4160.0)</f>
        <v>4160</v>
      </c>
      <c r="F284" s="2">
        <f>IFERROR(__xludf.DUMMYFUNCTION("""COMPUTED_VALUE"""),8368300.0)</f>
        <v>8368300</v>
      </c>
      <c r="G284" s="2">
        <f t="shared" si="1"/>
        <v>130</v>
      </c>
    </row>
    <row r="285" ht="15.75" customHeight="1">
      <c r="A285" s="1">
        <f>IFERROR(__xludf.DUMMYFUNCTION("""COMPUTED_VALUE"""),44258.625)</f>
        <v>44258.625</v>
      </c>
      <c r="B285" s="2">
        <f>IFERROR(__xludf.DUMMYFUNCTION("""COMPUTED_VALUE"""),4170.0)</f>
        <v>4170</v>
      </c>
      <c r="C285" s="2">
        <f>IFERROR(__xludf.DUMMYFUNCTION("""COMPUTED_VALUE"""),4190.0)</f>
        <v>4190</v>
      </c>
      <c r="D285" s="2">
        <f>IFERROR(__xludf.DUMMYFUNCTION("""COMPUTED_VALUE"""),4120.0)</f>
        <v>4120</v>
      </c>
      <c r="E285" s="2">
        <f>IFERROR(__xludf.DUMMYFUNCTION("""COMPUTED_VALUE"""),4130.0)</f>
        <v>4130</v>
      </c>
      <c r="F285" s="2">
        <f>IFERROR(__xludf.DUMMYFUNCTION("""COMPUTED_VALUE"""),5228800.0)</f>
        <v>5228800</v>
      </c>
      <c r="G285" s="2">
        <f t="shared" si="1"/>
        <v>70</v>
      </c>
    </row>
    <row r="286" ht="15.75" customHeight="1">
      <c r="A286" s="1">
        <f>IFERROR(__xludf.DUMMYFUNCTION("""COMPUTED_VALUE"""),44259.625)</f>
        <v>44259.625</v>
      </c>
      <c r="B286" s="2">
        <f>IFERROR(__xludf.DUMMYFUNCTION("""COMPUTED_VALUE"""),4120.0)</f>
        <v>4120</v>
      </c>
      <c r="C286" s="2">
        <f>IFERROR(__xludf.DUMMYFUNCTION("""COMPUTED_VALUE"""),4140.0)</f>
        <v>4140</v>
      </c>
      <c r="D286" s="2">
        <f>IFERROR(__xludf.DUMMYFUNCTION("""COMPUTED_VALUE"""),4050.0)</f>
        <v>4050</v>
      </c>
      <c r="E286" s="2">
        <f>IFERROR(__xludf.DUMMYFUNCTION("""COMPUTED_VALUE"""),4070.0)</f>
        <v>4070</v>
      </c>
      <c r="F286" s="2">
        <f>IFERROR(__xludf.DUMMYFUNCTION("""COMPUTED_VALUE"""),6744900.0)</f>
        <v>6744900</v>
      </c>
      <c r="G286" s="2">
        <f t="shared" si="1"/>
        <v>90</v>
      </c>
    </row>
    <row r="287" ht="15.75" customHeight="1">
      <c r="A287" s="1">
        <f>IFERROR(__xludf.DUMMYFUNCTION("""COMPUTED_VALUE"""),44260.625)</f>
        <v>44260.625</v>
      </c>
      <c r="B287" s="2">
        <f>IFERROR(__xludf.DUMMYFUNCTION("""COMPUTED_VALUE"""),4060.0)</f>
        <v>4060</v>
      </c>
      <c r="C287" s="2">
        <f>IFERROR(__xludf.DUMMYFUNCTION("""COMPUTED_VALUE"""),4090.0)</f>
        <v>4090</v>
      </c>
      <c r="D287" s="2">
        <f>IFERROR(__xludf.DUMMYFUNCTION("""COMPUTED_VALUE"""),4010.0)</f>
        <v>4010</v>
      </c>
      <c r="E287" s="2">
        <f>IFERROR(__xludf.DUMMYFUNCTION("""COMPUTED_VALUE"""),4050.0)</f>
        <v>4050</v>
      </c>
      <c r="F287" s="2">
        <f>IFERROR(__xludf.DUMMYFUNCTION("""COMPUTED_VALUE"""),4021700.0)</f>
        <v>4021700</v>
      </c>
      <c r="G287" s="2">
        <f t="shared" si="1"/>
        <v>80</v>
      </c>
    </row>
    <row r="288" ht="15.75" customHeight="1">
      <c r="A288" s="1">
        <f>IFERROR(__xludf.DUMMYFUNCTION("""COMPUTED_VALUE"""),44263.66666666667)</f>
        <v>44263.66667</v>
      </c>
      <c r="B288" s="2">
        <f>IFERROR(__xludf.DUMMYFUNCTION("""COMPUTED_VALUE"""),4120.0)</f>
        <v>4120</v>
      </c>
      <c r="C288" s="2">
        <f>IFERROR(__xludf.DUMMYFUNCTION("""COMPUTED_VALUE"""),4340.0)</f>
        <v>4340</v>
      </c>
      <c r="D288" s="2">
        <f>IFERROR(__xludf.DUMMYFUNCTION("""COMPUTED_VALUE"""),4070.0)</f>
        <v>4070</v>
      </c>
      <c r="E288" s="2">
        <f>IFERROR(__xludf.DUMMYFUNCTION("""COMPUTED_VALUE"""),4300.0)</f>
        <v>4300</v>
      </c>
      <c r="F288" s="2">
        <f>IFERROR(__xludf.DUMMYFUNCTION("""COMPUTED_VALUE"""),1.7813E7)</f>
        <v>17813000</v>
      </c>
      <c r="G288" s="2">
        <f t="shared" si="1"/>
        <v>290</v>
      </c>
    </row>
    <row r="289" ht="15.75" customHeight="1">
      <c r="A289" s="1">
        <f>IFERROR(__xludf.DUMMYFUNCTION("""COMPUTED_VALUE"""),44264.625)</f>
        <v>44264.625</v>
      </c>
      <c r="B289" s="2">
        <f>IFERROR(__xludf.DUMMYFUNCTION("""COMPUTED_VALUE"""),4330.0)</f>
        <v>4330</v>
      </c>
      <c r="C289" s="2">
        <f>IFERROR(__xludf.DUMMYFUNCTION("""COMPUTED_VALUE"""),4400.0)</f>
        <v>4400</v>
      </c>
      <c r="D289" s="2">
        <f>IFERROR(__xludf.DUMMYFUNCTION("""COMPUTED_VALUE"""),4260.0)</f>
        <v>4260</v>
      </c>
      <c r="E289" s="2">
        <f>IFERROR(__xludf.DUMMYFUNCTION("""COMPUTED_VALUE"""),4320.0)</f>
        <v>4320</v>
      </c>
      <c r="F289" s="2">
        <f>IFERROR(__xludf.DUMMYFUNCTION("""COMPUTED_VALUE"""),1.80539E7)</f>
        <v>18053900</v>
      </c>
      <c r="G289" s="2">
        <f t="shared" si="1"/>
        <v>140</v>
      </c>
    </row>
    <row r="290" ht="15.75" customHeight="1">
      <c r="A290" s="1">
        <f>IFERROR(__xludf.DUMMYFUNCTION("""COMPUTED_VALUE"""),44265.625)</f>
        <v>44265.625</v>
      </c>
      <c r="B290" s="2">
        <f>IFERROR(__xludf.DUMMYFUNCTION("""COMPUTED_VALUE"""),4330.0)</f>
        <v>4330</v>
      </c>
      <c r="C290" s="2">
        <f>IFERROR(__xludf.DUMMYFUNCTION("""COMPUTED_VALUE"""),4390.0)</f>
        <v>4390</v>
      </c>
      <c r="D290" s="2">
        <f>IFERROR(__xludf.DUMMYFUNCTION("""COMPUTED_VALUE"""),4330.0)</f>
        <v>4330</v>
      </c>
      <c r="E290" s="2">
        <f>IFERROR(__xludf.DUMMYFUNCTION("""COMPUTED_VALUE"""),4380.0)</f>
        <v>4380</v>
      </c>
      <c r="F290" s="2">
        <f>IFERROR(__xludf.DUMMYFUNCTION("""COMPUTED_VALUE"""),5803600.0)</f>
        <v>5803600</v>
      </c>
      <c r="G290" s="2">
        <f t="shared" si="1"/>
        <v>70</v>
      </c>
    </row>
    <row r="291" ht="15.75" customHeight="1">
      <c r="A291" s="1">
        <f>IFERROR(__xludf.DUMMYFUNCTION("""COMPUTED_VALUE"""),44267.625)</f>
        <v>44267.625</v>
      </c>
      <c r="B291" s="2">
        <f>IFERROR(__xludf.DUMMYFUNCTION("""COMPUTED_VALUE"""),4400.0)</f>
        <v>4400</v>
      </c>
      <c r="C291" s="2">
        <f>IFERROR(__xludf.DUMMYFUNCTION("""COMPUTED_VALUE"""),4480.0)</f>
        <v>4480</v>
      </c>
      <c r="D291" s="2">
        <f>IFERROR(__xludf.DUMMYFUNCTION("""COMPUTED_VALUE"""),4400.0)</f>
        <v>4400</v>
      </c>
      <c r="E291" s="2">
        <f>IFERROR(__xludf.DUMMYFUNCTION("""COMPUTED_VALUE"""),4470.0)</f>
        <v>4470</v>
      </c>
      <c r="F291" s="2">
        <f>IFERROR(__xludf.DUMMYFUNCTION("""COMPUTED_VALUE"""),6218300.0)</f>
        <v>6218300</v>
      </c>
      <c r="G291" s="2">
        <f t="shared" si="1"/>
        <v>100</v>
      </c>
    </row>
    <row r="292" ht="15.75" customHeight="1">
      <c r="A292" s="1">
        <f>IFERROR(__xludf.DUMMYFUNCTION("""COMPUTED_VALUE"""),44270.625)</f>
        <v>44270.625</v>
      </c>
      <c r="B292" s="2">
        <f>IFERROR(__xludf.DUMMYFUNCTION("""COMPUTED_VALUE"""),4470.0)</f>
        <v>4470</v>
      </c>
      <c r="C292" s="2">
        <f>IFERROR(__xludf.DUMMYFUNCTION("""COMPUTED_VALUE"""),4490.0)</f>
        <v>4490</v>
      </c>
      <c r="D292" s="2">
        <f>IFERROR(__xludf.DUMMYFUNCTION("""COMPUTED_VALUE"""),4270.0)</f>
        <v>4270</v>
      </c>
      <c r="E292" s="2">
        <f>IFERROR(__xludf.DUMMYFUNCTION("""COMPUTED_VALUE"""),4310.0)</f>
        <v>4310</v>
      </c>
      <c r="F292" s="2">
        <f>IFERROR(__xludf.DUMMYFUNCTION("""COMPUTED_VALUE"""),5855300.0)</f>
        <v>5855300</v>
      </c>
      <c r="G292" s="2">
        <f t="shared" si="1"/>
        <v>220</v>
      </c>
    </row>
    <row r="293" ht="15.75" customHeight="1">
      <c r="A293" s="1">
        <f>IFERROR(__xludf.DUMMYFUNCTION("""COMPUTED_VALUE"""),44271.625)</f>
        <v>44271.625</v>
      </c>
      <c r="B293" s="2">
        <f>IFERROR(__xludf.DUMMYFUNCTION("""COMPUTED_VALUE"""),4350.0)</f>
        <v>4350</v>
      </c>
      <c r="C293" s="2">
        <f>IFERROR(__xludf.DUMMYFUNCTION("""COMPUTED_VALUE"""),4400.0)</f>
        <v>4400</v>
      </c>
      <c r="D293" s="2">
        <f>IFERROR(__xludf.DUMMYFUNCTION("""COMPUTED_VALUE"""),4270.0)</f>
        <v>4270</v>
      </c>
      <c r="E293" s="2">
        <f>IFERROR(__xludf.DUMMYFUNCTION("""COMPUTED_VALUE"""),4360.0)</f>
        <v>4360</v>
      </c>
      <c r="F293" s="2">
        <f>IFERROR(__xludf.DUMMYFUNCTION("""COMPUTED_VALUE"""),3509400.0)</f>
        <v>3509400</v>
      </c>
      <c r="G293" s="2">
        <f t="shared" si="1"/>
        <v>130</v>
      </c>
    </row>
    <row r="294" ht="15.75" customHeight="1">
      <c r="A294" s="1">
        <f>IFERROR(__xludf.DUMMYFUNCTION("""COMPUTED_VALUE"""),44272.625)</f>
        <v>44272.625</v>
      </c>
      <c r="B294" s="2">
        <f>IFERROR(__xludf.DUMMYFUNCTION("""COMPUTED_VALUE"""),4360.0)</f>
        <v>4360</v>
      </c>
      <c r="C294" s="2">
        <f>IFERROR(__xludf.DUMMYFUNCTION("""COMPUTED_VALUE"""),4380.0)</f>
        <v>4380</v>
      </c>
      <c r="D294" s="2">
        <f>IFERROR(__xludf.DUMMYFUNCTION("""COMPUTED_VALUE"""),4290.0)</f>
        <v>4290</v>
      </c>
      <c r="E294" s="2">
        <f>IFERROR(__xludf.DUMMYFUNCTION("""COMPUTED_VALUE"""),4370.0)</f>
        <v>4370</v>
      </c>
      <c r="F294" s="2">
        <f>IFERROR(__xludf.DUMMYFUNCTION("""COMPUTED_VALUE"""),3038700.0)</f>
        <v>3038700</v>
      </c>
      <c r="G294" s="2">
        <f t="shared" si="1"/>
        <v>90</v>
      </c>
    </row>
    <row r="295" ht="15.75" customHeight="1">
      <c r="A295" s="1">
        <f>IFERROR(__xludf.DUMMYFUNCTION("""COMPUTED_VALUE"""),44273.625)</f>
        <v>44273.625</v>
      </c>
      <c r="B295" s="2">
        <f>IFERROR(__xludf.DUMMYFUNCTION("""COMPUTED_VALUE"""),4370.0)</f>
        <v>4370</v>
      </c>
      <c r="C295" s="2">
        <f>IFERROR(__xludf.DUMMYFUNCTION("""COMPUTED_VALUE"""),4450.0)</f>
        <v>4450</v>
      </c>
      <c r="D295" s="2">
        <f>IFERROR(__xludf.DUMMYFUNCTION("""COMPUTED_VALUE"""),4350.0)</f>
        <v>4350</v>
      </c>
      <c r="E295" s="2">
        <f>IFERROR(__xludf.DUMMYFUNCTION("""COMPUTED_VALUE"""),4450.0)</f>
        <v>4450</v>
      </c>
      <c r="F295" s="2">
        <f>IFERROR(__xludf.DUMMYFUNCTION("""COMPUTED_VALUE"""),4138900.0)</f>
        <v>4138900</v>
      </c>
      <c r="G295" s="2">
        <f t="shared" si="1"/>
        <v>100</v>
      </c>
    </row>
    <row r="296" ht="15.75" customHeight="1">
      <c r="A296" s="1">
        <f>IFERROR(__xludf.DUMMYFUNCTION("""COMPUTED_VALUE"""),44274.625)</f>
        <v>44274.625</v>
      </c>
      <c r="B296" s="2">
        <f>IFERROR(__xludf.DUMMYFUNCTION("""COMPUTED_VALUE"""),4450.0)</f>
        <v>4450</v>
      </c>
      <c r="C296" s="2">
        <f>IFERROR(__xludf.DUMMYFUNCTION("""COMPUTED_VALUE"""),4550.0)</f>
        <v>4550</v>
      </c>
      <c r="D296" s="2">
        <f>IFERROR(__xludf.DUMMYFUNCTION("""COMPUTED_VALUE"""),4390.0)</f>
        <v>4390</v>
      </c>
      <c r="E296" s="2">
        <f>IFERROR(__xludf.DUMMYFUNCTION("""COMPUTED_VALUE"""),4480.0)</f>
        <v>4480</v>
      </c>
      <c r="F296" s="2">
        <f>IFERROR(__xludf.DUMMYFUNCTION("""COMPUTED_VALUE"""),8364500.0)</f>
        <v>8364500</v>
      </c>
      <c r="G296" s="2">
        <f t="shared" si="1"/>
        <v>160</v>
      </c>
    </row>
    <row r="297" ht="15.75" customHeight="1">
      <c r="A297" s="1">
        <f>IFERROR(__xludf.DUMMYFUNCTION("""COMPUTED_VALUE"""),44277.625)</f>
        <v>44277.625</v>
      </c>
      <c r="B297" s="2">
        <f>IFERROR(__xludf.DUMMYFUNCTION("""COMPUTED_VALUE"""),4480.0)</f>
        <v>4480</v>
      </c>
      <c r="C297" s="2">
        <f>IFERROR(__xludf.DUMMYFUNCTION("""COMPUTED_VALUE"""),4490.0)</f>
        <v>4490</v>
      </c>
      <c r="D297" s="2">
        <f>IFERROR(__xludf.DUMMYFUNCTION("""COMPUTED_VALUE"""),4330.0)</f>
        <v>4330</v>
      </c>
      <c r="E297" s="2">
        <f>IFERROR(__xludf.DUMMYFUNCTION("""COMPUTED_VALUE"""),4360.0)</f>
        <v>4360</v>
      </c>
      <c r="F297" s="2">
        <f>IFERROR(__xludf.DUMMYFUNCTION("""COMPUTED_VALUE"""),2892200.0)</f>
        <v>2892200</v>
      </c>
      <c r="G297" s="2">
        <f t="shared" si="1"/>
        <v>160</v>
      </c>
    </row>
    <row r="298" ht="15.75" customHeight="1">
      <c r="A298" s="1">
        <f>IFERROR(__xludf.DUMMYFUNCTION("""COMPUTED_VALUE"""),44278.625)</f>
        <v>44278.625</v>
      </c>
      <c r="B298" s="2">
        <f>IFERROR(__xludf.DUMMYFUNCTION("""COMPUTED_VALUE"""),4320.0)</f>
        <v>4320</v>
      </c>
      <c r="C298" s="2">
        <f>IFERROR(__xludf.DUMMYFUNCTION("""COMPUTED_VALUE"""),4360.0)</f>
        <v>4360</v>
      </c>
      <c r="D298" s="2">
        <f>IFERROR(__xludf.DUMMYFUNCTION("""COMPUTED_VALUE"""),4300.0)</f>
        <v>4300</v>
      </c>
      <c r="E298" s="2">
        <f>IFERROR(__xludf.DUMMYFUNCTION("""COMPUTED_VALUE"""),4300.0)</f>
        <v>4300</v>
      </c>
      <c r="F298" s="2">
        <f>IFERROR(__xludf.DUMMYFUNCTION("""COMPUTED_VALUE"""),2651200.0)</f>
        <v>2651200</v>
      </c>
      <c r="G298" s="2">
        <f t="shared" si="1"/>
        <v>60</v>
      </c>
    </row>
    <row r="299" ht="15.75" customHeight="1">
      <c r="A299" s="1">
        <f>IFERROR(__xludf.DUMMYFUNCTION("""COMPUTED_VALUE"""),44279.625)</f>
        <v>44279.625</v>
      </c>
      <c r="B299" s="2">
        <f>IFERROR(__xludf.DUMMYFUNCTION("""COMPUTED_VALUE"""),4300.0)</f>
        <v>4300</v>
      </c>
      <c r="C299" s="2">
        <f>IFERROR(__xludf.DUMMYFUNCTION("""COMPUTED_VALUE"""),4310.0)</f>
        <v>4310</v>
      </c>
      <c r="D299" s="2">
        <f>IFERROR(__xludf.DUMMYFUNCTION("""COMPUTED_VALUE"""),4170.0)</f>
        <v>4170</v>
      </c>
      <c r="E299" s="2">
        <f>IFERROR(__xludf.DUMMYFUNCTION("""COMPUTED_VALUE"""),4190.0)</f>
        <v>4190</v>
      </c>
      <c r="F299" s="2">
        <f>IFERROR(__xludf.DUMMYFUNCTION("""COMPUTED_VALUE"""),3103800.0)</f>
        <v>3103800</v>
      </c>
      <c r="G299" s="2">
        <f t="shared" si="1"/>
        <v>140</v>
      </c>
    </row>
    <row r="300" ht="15.75" customHeight="1">
      <c r="A300" s="1">
        <f>IFERROR(__xludf.DUMMYFUNCTION("""COMPUTED_VALUE"""),44280.625)</f>
        <v>44280.625</v>
      </c>
      <c r="B300" s="2">
        <f>IFERROR(__xludf.DUMMYFUNCTION("""COMPUTED_VALUE"""),4190.0)</f>
        <v>4190</v>
      </c>
      <c r="C300" s="2">
        <f>IFERROR(__xludf.DUMMYFUNCTION("""COMPUTED_VALUE"""),4230.0)</f>
        <v>4230</v>
      </c>
      <c r="D300" s="2">
        <f>IFERROR(__xludf.DUMMYFUNCTION("""COMPUTED_VALUE"""),4130.0)</f>
        <v>4130</v>
      </c>
      <c r="E300" s="2">
        <f>IFERROR(__xludf.DUMMYFUNCTION("""COMPUTED_VALUE"""),4230.0)</f>
        <v>4230</v>
      </c>
      <c r="F300" s="2">
        <f>IFERROR(__xludf.DUMMYFUNCTION("""COMPUTED_VALUE"""),4302500.0)</f>
        <v>4302500</v>
      </c>
      <c r="G300" s="2">
        <f t="shared" si="1"/>
        <v>100</v>
      </c>
    </row>
    <row r="301" ht="15.75" customHeight="1">
      <c r="A301" s="1">
        <f>IFERROR(__xludf.DUMMYFUNCTION("""COMPUTED_VALUE"""),44281.625)</f>
        <v>44281.625</v>
      </c>
      <c r="B301" s="2">
        <f>IFERROR(__xludf.DUMMYFUNCTION("""COMPUTED_VALUE"""),4300.0)</f>
        <v>4300</v>
      </c>
      <c r="C301" s="2">
        <f>IFERROR(__xludf.DUMMYFUNCTION("""COMPUTED_VALUE"""),4300.0)</f>
        <v>4300</v>
      </c>
      <c r="D301" s="2">
        <f>IFERROR(__xludf.DUMMYFUNCTION("""COMPUTED_VALUE"""),4150.0)</f>
        <v>4150</v>
      </c>
      <c r="E301" s="2">
        <f>IFERROR(__xludf.DUMMYFUNCTION("""COMPUTED_VALUE"""),4180.0)</f>
        <v>4180</v>
      </c>
      <c r="F301" s="2">
        <f>IFERROR(__xludf.DUMMYFUNCTION("""COMPUTED_VALUE"""),3786400.0)</f>
        <v>3786400</v>
      </c>
      <c r="G301" s="2">
        <f t="shared" si="1"/>
        <v>150</v>
      </c>
    </row>
    <row r="302" ht="15.75" customHeight="1">
      <c r="A302" s="1">
        <f>IFERROR(__xludf.DUMMYFUNCTION("""COMPUTED_VALUE"""),44284.625)</f>
        <v>44284.625</v>
      </c>
      <c r="B302" s="2">
        <f>IFERROR(__xludf.DUMMYFUNCTION("""COMPUTED_VALUE"""),4180.0)</f>
        <v>4180</v>
      </c>
      <c r="C302" s="2">
        <f>IFERROR(__xludf.DUMMYFUNCTION("""COMPUTED_VALUE"""),4230.0)</f>
        <v>4230</v>
      </c>
      <c r="D302" s="2">
        <f>IFERROR(__xludf.DUMMYFUNCTION("""COMPUTED_VALUE"""),4170.0)</f>
        <v>4170</v>
      </c>
      <c r="E302" s="2">
        <f>IFERROR(__xludf.DUMMYFUNCTION("""COMPUTED_VALUE"""),4170.0)</f>
        <v>4170</v>
      </c>
      <c r="F302" s="2">
        <f>IFERROR(__xludf.DUMMYFUNCTION("""COMPUTED_VALUE"""),1788700.0)</f>
        <v>1788700</v>
      </c>
      <c r="G302" s="2">
        <f t="shared" si="1"/>
        <v>60</v>
      </c>
    </row>
    <row r="303" ht="15.75" customHeight="1">
      <c r="A303" s="1">
        <f>IFERROR(__xludf.DUMMYFUNCTION("""COMPUTED_VALUE"""),44285.625)</f>
        <v>44285.625</v>
      </c>
      <c r="B303" s="2">
        <f>IFERROR(__xludf.DUMMYFUNCTION("""COMPUTED_VALUE"""),4150.0)</f>
        <v>4150</v>
      </c>
      <c r="C303" s="2">
        <f>IFERROR(__xludf.DUMMYFUNCTION("""COMPUTED_VALUE"""),4190.0)</f>
        <v>4190</v>
      </c>
      <c r="D303" s="2">
        <f>IFERROR(__xludf.DUMMYFUNCTION("""COMPUTED_VALUE"""),4100.0)</f>
        <v>4100</v>
      </c>
      <c r="E303" s="2">
        <f>IFERROR(__xludf.DUMMYFUNCTION("""COMPUTED_VALUE"""),4130.0)</f>
        <v>4130</v>
      </c>
      <c r="F303" s="2">
        <f>IFERROR(__xludf.DUMMYFUNCTION("""COMPUTED_VALUE"""),3690000.0)</f>
        <v>3690000</v>
      </c>
      <c r="G303" s="2">
        <f t="shared" si="1"/>
        <v>90</v>
      </c>
    </row>
    <row r="304" ht="15.75" customHeight="1">
      <c r="A304" s="1">
        <f>IFERROR(__xludf.DUMMYFUNCTION("""COMPUTED_VALUE"""),44286.625)</f>
        <v>44286.625</v>
      </c>
      <c r="B304" s="2">
        <f>IFERROR(__xludf.DUMMYFUNCTION("""COMPUTED_VALUE"""),4110.0)</f>
        <v>4110</v>
      </c>
      <c r="C304" s="2">
        <f>IFERROR(__xludf.DUMMYFUNCTION("""COMPUTED_VALUE"""),4140.0)</f>
        <v>4140</v>
      </c>
      <c r="D304" s="2">
        <f>IFERROR(__xludf.DUMMYFUNCTION("""COMPUTED_VALUE"""),4020.0)</f>
        <v>4020</v>
      </c>
      <c r="E304" s="2">
        <f>IFERROR(__xludf.DUMMYFUNCTION("""COMPUTED_VALUE"""),4040.0)</f>
        <v>4040</v>
      </c>
      <c r="F304" s="2">
        <f>IFERROR(__xludf.DUMMYFUNCTION("""COMPUTED_VALUE"""),4981100.0)</f>
        <v>4981100</v>
      </c>
      <c r="G304" s="2">
        <f t="shared" si="1"/>
        <v>120</v>
      </c>
    </row>
    <row r="305" ht="15.75" customHeight="1">
      <c r="A305" s="1">
        <f>IFERROR(__xludf.DUMMYFUNCTION("""COMPUTED_VALUE"""),44287.625)</f>
        <v>44287.625</v>
      </c>
      <c r="B305" s="2">
        <f>IFERROR(__xludf.DUMMYFUNCTION("""COMPUTED_VALUE"""),4040.0)</f>
        <v>4040</v>
      </c>
      <c r="C305" s="2">
        <f>IFERROR(__xludf.DUMMYFUNCTION("""COMPUTED_VALUE"""),4150.0)</f>
        <v>4150</v>
      </c>
      <c r="D305" s="2">
        <f>IFERROR(__xludf.DUMMYFUNCTION("""COMPUTED_VALUE"""),4040.0)</f>
        <v>4040</v>
      </c>
      <c r="E305" s="2">
        <f>IFERROR(__xludf.DUMMYFUNCTION("""COMPUTED_VALUE"""),4130.0)</f>
        <v>4130</v>
      </c>
      <c r="F305" s="2">
        <f>IFERROR(__xludf.DUMMYFUNCTION("""COMPUTED_VALUE"""),3229900.0)</f>
        <v>3229900</v>
      </c>
      <c r="G305" s="2">
        <f t="shared" si="1"/>
        <v>110</v>
      </c>
    </row>
    <row r="306" ht="15.75" customHeight="1">
      <c r="A306" s="1">
        <f>IFERROR(__xludf.DUMMYFUNCTION("""COMPUTED_VALUE"""),44291.625)</f>
        <v>44291.625</v>
      </c>
      <c r="B306" s="2">
        <f>IFERROR(__xludf.DUMMYFUNCTION("""COMPUTED_VALUE"""),4130.0)</f>
        <v>4130</v>
      </c>
      <c r="C306" s="2">
        <f>IFERROR(__xludf.DUMMYFUNCTION("""COMPUTED_VALUE"""),4160.0)</f>
        <v>4160</v>
      </c>
      <c r="D306" s="2">
        <f>IFERROR(__xludf.DUMMYFUNCTION("""COMPUTED_VALUE"""),4070.0)</f>
        <v>4070</v>
      </c>
      <c r="E306" s="2">
        <f>IFERROR(__xludf.DUMMYFUNCTION("""COMPUTED_VALUE"""),4110.0)</f>
        <v>4110</v>
      </c>
      <c r="F306" s="2">
        <f>IFERROR(__xludf.DUMMYFUNCTION("""COMPUTED_VALUE"""),3113100.0)</f>
        <v>3113100</v>
      </c>
      <c r="G306" s="2">
        <f t="shared" si="1"/>
        <v>90</v>
      </c>
    </row>
    <row r="307" ht="15.75" customHeight="1">
      <c r="A307" s="1">
        <f>IFERROR(__xludf.DUMMYFUNCTION("""COMPUTED_VALUE"""),44292.625)</f>
        <v>44292.625</v>
      </c>
      <c r="B307" s="2">
        <f>IFERROR(__xludf.DUMMYFUNCTION("""COMPUTED_VALUE"""),4110.0)</f>
        <v>4110</v>
      </c>
      <c r="C307" s="2">
        <f>IFERROR(__xludf.DUMMYFUNCTION("""COMPUTED_VALUE"""),4300.0)</f>
        <v>4300</v>
      </c>
      <c r="D307" s="2">
        <f>IFERROR(__xludf.DUMMYFUNCTION("""COMPUTED_VALUE"""),4080.0)</f>
        <v>4080</v>
      </c>
      <c r="E307" s="2">
        <f>IFERROR(__xludf.DUMMYFUNCTION("""COMPUTED_VALUE"""),4270.0)</f>
        <v>4270</v>
      </c>
      <c r="F307" s="2">
        <f>IFERROR(__xludf.DUMMYFUNCTION("""COMPUTED_VALUE"""),4961000.0)</f>
        <v>4961000</v>
      </c>
      <c r="G307" s="2">
        <f t="shared" si="1"/>
        <v>220</v>
      </c>
    </row>
    <row r="308" ht="15.75" customHeight="1">
      <c r="A308" s="1">
        <f>IFERROR(__xludf.DUMMYFUNCTION("""COMPUTED_VALUE"""),44293.625)</f>
        <v>44293.625</v>
      </c>
      <c r="B308" s="2">
        <f>IFERROR(__xludf.DUMMYFUNCTION("""COMPUTED_VALUE"""),4270.0)</f>
        <v>4270</v>
      </c>
      <c r="C308" s="2">
        <f>IFERROR(__xludf.DUMMYFUNCTION("""COMPUTED_VALUE"""),4280.0)</f>
        <v>4280</v>
      </c>
      <c r="D308" s="2">
        <f>IFERROR(__xludf.DUMMYFUNCTION("""COMPUTED_VALUE"""),4180.0)</f>
        <v>4180</v>
      </c>
      <c r="E308" s="2">
        <f>IFERROR(__xludf.DUMMYFUNCTION("""COMPUTED_VALUE"""),4220.0)</f>
        <v>4220</v>
      </c>
      <c r="F308" s="2">
        <f>IFERROR(__xludf.DUMMYFUNCTION("""COMPUTED_VALUE"""),2270000.0)</f>
        <v>2270000</v>
      </c>
      <c r="G308" s="2">
        <f t="shared" si="1"/>
        <v>100</v>
      </c>
    </row>
    <row r="309" ht="15.75" customHeight="1">
      <c r="A309" s="1">
        <f>IFERROR(__xludf.DUMMYFUNCTION("""COMPUTED_VALUE"""),44294.625)</f>
        <v>44294.625</v>
      </c>
      <c r="B309" s="2">
        <f>IFERROR(__xludf.DUMMYFUNCTION("""COMPUTED_VALUE"""),4180.0)</f>
        <v>4180</v>
      </c>
      <c r="C309" s="2">
        <f>IFERROR(__xludf.DUMMYFUNCTION("""COMPUTED_VALUE"""),4280.0)</f>
        <v>4280</v>
      </c>
      <c r="D309" s="2">
        <f>IFERROR(__xludf.DUMMYFUNCTION("""COMPUTED_VALUE"""),4180.0)</f>
        <v>4180</v>
      </c>
      <c r="E309" s="2">
        <f>IFERROR(__xludf.DUMMYFUNCTION("""COMPUTED_VALUE"""),4280.0)</f>
        <v>4280</v>
      </c>
      <c r="F309" s="2">
        <f>IFERROR(__xludf.DUMMYFUNCTION("""COMPUTED_VALUE"""),1801600.0)</f>
        <v>1801600</v>
      </c>
      <c r="G309" s="2">
        <f t="shared" si="1"/>
        <v>100</v>
      </c>
    </row>
    <row r="310" ht="15.75" customHeight="1">
      <c r="A310" s="1">
        <f>IFERROR(__xludf.DUMMYFUNCTION("""COMPUTED_VALUE"""),44295.625)</f>
        <v>44295.625</v>
      </c>
      <c r="B310" s="2">
        <f>IFERROR(__xludf.DUMMYFUNCTION("""COMPUTED_VALUE"""),4280.0)</f>
        <v>4280</v>
      </c>
      <c r="C310" s="2">
        <f>IFERROR(__xludf.DUMMYFUNCTION("""COMPUTED_VALUE"""),4290.0)</f>
        <v>4290</v>
      </c>
      <c r="D310" s="2">
        <f>IFERROR(__xludf.DUMMYFUNCTION("""COMPUTED_VALUE"""),4250.0)</f>
        <v>4250</v>
      </c>
      <c r="E310" s="2">
        <f>IFERROR(__xludf.DUMMYFUNCTION("""COMPUTED_VALUE"""),4270.0)</f>
        <v>4270</v>
      </c>
      <c r="F310" s="2">
        <f>IFERROR(__xludf.DUMMYFUNCTION("""COMPUTED_VALUE"""),2326800.0)</f>
        <v>2326800</v>
      </c>
      <c r="G310" s="2">
        <f t="shared" si="1"/>
        <v>40</v>
      </c>
    </row>
    <row r="311" ht="15.75" customHeight="1">
      <c r="A311" s="1">
        <f>IFERROR(__xludf.DUMMYFUNCTION("""COMPUTED_VALUE"""),44298.625)</f>
        <v>44298.625</v>
      </c>
      <c r="B311" s="2">
        <f>IFERROR(__xludf.DUMMYFUNCTION("""COMPUTED_VALUE"""),4270.0)</f>
        <v>4270</v>
      </c>
      <c r="C311" s="2">
        <f>IFERROR(__xludf.DUMMYFUNCTION("""COMPUTED_VALUE"""),4280.0)</f>
        <v>4280</v>
      </c>
      <c r="D311" s="2">
        <f>IFERROR(__xludf.DUMMYFUNCTION("""COMPUTED_VALUE"""),4110.0)</f>
        <v>4110</v>
      </c>
      <c r="E311" s="2">
        <f>IFERROR(__xludf.DUMMYFUNCTION("""COMPUTED_VALUE"""),4170.0)</f>
        <v>4170</v>
      </c>
      <c r="F311" s="2">
        <f>IFERROR(__xludf.DUMMYFUNCTION("""COMPUTED_VALUE"""),2807300.0)</f>
        <v>2807300</v>
      </c>
      <c r="G311" s="2">
        <f t="shared" si="1"/>
        <v>170</v>
      </c>
    </row>
    <row r="312" ht="15.75" customHeight="1">
      <c r="A312" s="1">
        <f>IFERROR(__xludf.DUMMYFUNCTION("""COMPUTED_VALUE"""),44299.625)</f>
        <v>44299.625</v>
      </c>
      <c r="B312" s="2">
        <f>IFERROR(__xludf.DUMMYFUNCTION("""COMPUTED_VALUE"""),4170.0)</f>
        <v>4170</v>
      </c>
      <c r="C312" s="2">
        <f>IFERROR(__xludf.DUMMYFUNCTION("""COMPUTED_VALUE"""),4170.0)</f>
        <v>4170</v>
      </c>
      <c r="D312" s="2">
        <f>IFERROR(__xludf.DUMMYFUNCTION("""COMPUTED_VALUE"""),4070.0)</f>
        <v>4070</v>
      </c>
      <c r="E312" s="2">
        <f>IFERROR(__xludf.DUMMYFUNCTION("""COMPUTED_VALUE"""),4110.0)</f>
        <v>4110</v>
      </c>
      <c r="F312" s="2">
        <f>IFERROR(__xludf.DUMMYFUNCTION("""COMPUTED_VALUE"""),1316600.0)</f>
        <v>1316600</v>
      </c>
      <c r="G312" s="2">
        <f t="shared" si="1"/>
        <v>100</v>
      </c>
    </row>
    <row r="313" ht="15.75" customHeight="1">
      <c r="A313" s="1">
        <f>IFERROR(__xludf.DUMMYFUNCTION("""COMPUTED_VALUE"""),44300.625)</f>
        <v>44300.625</v>
      </c>
      <c r="B313" s="2">
        <f>IFERROR(__xludf.DUMMYFUNCTION("""COMPUTED_VALUE"""),4160.0)</f>
        <v>4160</v>
      </c>
      <c r="C313" s="2">
        <f>IFERROR(__xludf.DUMMYFUNCTION("""COMPUTED_VALUE"""),4250.0)</f>
        <v>4250</v>
      </c>
      <c r="D313" s="2">
        <f>IFERROR(__xludf.DUMMYFUNCTION("""COMPUTED_VALUE"""),4120.0)</f>
        <v>4120</v>
      </c>
      <c r="E313" s="2">
        <f>IFERROR(__xludf.DUMMYFUNCTION("""COMPUTED_VALUE"""),4200.0)</f>
        <v>4200</v>
      </c>
      <c r="F313" s="2">
        <f>IFERROR(__xludf.DUMMYFUNCTION("""COMPUTED_VALUE"""),2168600.0)</f>
        <v>2168600</v>
      </c>
      <c r="G313" s="2">
        <f t="shared" si="1"/>
        <v>140</v>
      </c>
    </row>
    <row r="314" ht="15.75" customHeight="1">
      <c r="A314" s="1">
        <f>IFERROR(__xludf.DUMMYFUNCTION("""COMPUTED_VALUE"""),44301.625)</f>
        <v>44301.625</v>
      </c>
      <c r="B314" s="2">
        <f>IFERROR(__xludf.DUMMYFUNCTION("""COMPUTED_VALUE"""),4200.0)</f>
        <v>4200</v>
      </c>
      <c r="C314" s="2">
        <f>IFERROR(__xludf.DUMMYFUNCTION("""COMPUTED_VALUE"""),4200.0)</f>
        <v>4200</v>
      </c>
      <c r="D314" s="2">
        <f>IFERROR(__xludf.DUMMYFUNCTION("""COMPUTED_VALUE"""),4160.0)</f>
        <v>4160</v>
      </c>
      <c r="E314" s="2">
        <f>IFERROR(__xludf.DUMMYFUNCTION("""COMPUTED_VALUE"""),4160.0)</f>
        <v>4160</v>
      </c>
      <c r="F314" s="2">
        <f>IFERROR(__xludf.DUMMYFUNCTION("""COMPUTED_VALUE"""),802800.0)</f>
        <v>802800</v>
      </c>
      <c r="G314" s="2">
        <f t="shared" si="1"/>
        <v>40</v>
      </c>
    </row>
    <row r="315" ht="15.75" customHeight="1">
      <c r="A315" s="1">
        <f>IFERROR(__xludf.DUMMYFUNCTION("""COMPUTED_VALUE"""),44302.625)</f>
        <v>44302.625</v>
      </c>
      <c r="B315" s="2">
        <f>IFERROR(__xludf.DUMMYFUNCTION("""COMPUTED_VALUE"""),4160.0)</f>
        <v>4160</v>
      </c>
      <c r="C315" s="2">
        <f>IFERROR(__xludf.DUMMYFUNCTION("""COMPUTED_VALUE"""),4190.0)</f>
        <v>4190</v>
      </c>
      <c r="D315" s="2">
        <f>IFERROR(__xludf.DUMMYFUNCTION("""COMPUTED_VALUE"""),4130.0)</f>
        <v>4130</v>
      </c>
      <c r="E315" s="2">
        <f>IFERROR(__xludf.DUMMYFUNCTION("""COMPUTED_VALUE"""),4160.0)</f>
        <v>4160</v>
      </c>
      <c r="F315" s="2">
        <f>IFERROR(__xludf.DUMMYFUNCTION("""COMPUTED_VALUE"""),2437300.0)</f>
        <v>2437300</v>
      </c>
      <c r="G315" s="2">
        <f t="shared" si="1"/>
        <v>60</v>
      </c>
    </row>
    <row r="316" ht="15.75" customHeight="1">
      <c r="A316" s="1">
        <f>IFERROR(__xludf.DUMMYFUNCTION("""COMPUTED_VALUE"""),44305.625)</f>
        <v>44305.625</v>
      </c>
      <c r="B316" s="2">
        <f>IFERROR(__xludf.DUMMYFUNCTION("""COMPUTED_VALUE"""),4160.0)</f>
        <v>4160</v>
      </c>
      <c r="C316" s="2">
        <f>IFERROR(__xludf.DUMMYFUNCTION("""COMPUTED_VALUE"""),4270.0)</f>
        <v>4270</v>
      </c>
      <c r="D316" s="2">
        <f>IFERROR(__xludf.DUMMYFUNCTION("""COMPUTED_VALUE"""),4160.0)</f>
        <v>4160</v>
      </c>
      <c r="E316" s="2">
        <f>IFERROR(__xludf.DUMMYFUNCTION("""COMPUTED_VALUE"""),4250.0)</f>
        <v>4250</v>
      </c>
      <c r="F316" s="2">
        <f>IFERROR(__xludf.DUMMYFUNCTION("""COMPUTED_VALUE"""),2229000.0)</f>
        <v>2229000</v>
      </c>
      <c r="G316" s="2">
        <f t="shared" si="1"/>
        <v>110</v>
      </c>
    </row>
    <row r="317" ht="15.75" customHeight="1">
      <c r="A317" s="1">
        <f>IFERROR(__xludf.DUMMYFUNCTION("""COMPUTED_VALUE"""),44306.625)</f>
        <v>44306.625</v>
      </c>
      <c r="B317" s="2">
        <f>IFERROR(__xludf.DUMMYFUNCTION("""COMPUTED_VALUE"""),4250.0)</f>
        <v>4250</v>
      </c>
      <c r="C317" s="2">
        <f>IFERROR(__xludf.DUMMYFUNCTION("""COMPUTED_VALUE"""),4250.0)</f>
        <v>4250</v>
      </c>
      <c r="D317" s="2">
        <f>IFERROR(__xludf.DUMMYFUNCTION("""COMPUTED_VALUE"""),4190.0)</f>
        <v>4190</v>
      </c>
      <c r="E317" s="2">
        <f>IFERROR(__xludf.DUMMYFUNCTION("""COMPUTED_VALUE"""),4240.0)</f>
        <v>4240</v>
      </c>
      <c r="F317" s="2">
        <f>IFERROR(__xludf.DUMMYFUNCTION("""COMPUTED_VALUE"""),1010800.0)</f>
        <v>1010800</v>
      </c>
      <c r="G317" s="2">
        <f t="shared" si="1"/>
        <v>60</v>
      </c>
    </row>
    <row r="318" ht="15.75" customHeight="1">
      <c r="A318" s="1">
        <f>IFERROR(__xludf.DUMMYFUNCTION("""COMPUTED_VALUE"""),44307.625)</f>
        <v>44307.625</v>
      </c>
      <c r="B318" s="2">
        <f>IFERROR(__xludf.DUMMYFUNCTION("""COMPUTED_VALUE"""),4230.0)</f>
        <v>4230</v>
      </c>
      <c r="C318" s="2">
        <f>IFERROR(__xludf.DUMMYFUNCTION("""COMPUTED_VALUE"""),4230.0)</f>
        <v>4230</v>
      </c>
      <c r="D318" s="2">
        <f>IFERROR(__xludf.DUMMYFUNCTION("""COMPUTED_VALUE"""),4150.0)</f>
        <v>4150</v>
      </c>
      <c r="E318" s="2">
        <f>IFERROR(__xludf.DUMMYFUNCTION("""COMPUTED_VALUE"""),4170.0)</f>
        <v>4170</v>
      </c>
      <c r="F318" s="2">
        <f>IFERROR(__xludf.DUMMYFUNCTION("""COMPUTED_VALUE"""),952100.0)</f>
        <v>952100</v>
      </c>
      <c r="G318" s="2">
        <f t="shared" si="1"/>
        <v>90</v>
      </c>
    </row>
    <row r="319" ht="15.75" customHeight="1">
      <c r="A319" s="1">
        <f>IFERROR(__xludf.DUMMYFUNCTION("""COMPUTED_VALUE"""),44308.625)</f>
        <v>44308.625</v>
      </c>
      <c r="B319" s="2">
        <f>IFERROR(__xludf.DUMMYFUNCTION("""COMPUTED_VALUE"""),4140.0)</f>
        <v>4140</v>
      </c>
      <c r="C319" s="2">
        <f>IFERROR(__xludf.DUMMYFUNCTION("""COMPUTED_VALUE"""),4180.0)</f>
        <v>4180</v>
      </c>
      <c r="D319" s="2">
        <f>IFERROR(__xludf.DUMMYFUNCTION("""COMPUTED_VALUE"""),4070.0)</f>
        <v>4070</v>
      </c>
      <c r="E319" s="2">
        <f>IFERROR(__xludf.DUMMYFUNCTION("""COMPUTED_VALUE"""),4130.0)</f>
        <v>4130</v>
      </c>
      <c r="F319" s="2">
        <f>IFERROR(__xludf.DUMMYFUNCTION("""COMPUTED_VALUE"""),4391500.0)</f>
        <v>4391500</v>
      </c>
      <c r="G319" s="2">
        <f t="shared" si="1"/>
        <v>110</v>
      </c>
    </row>
    <row r="320" ht="15.75" customHeight="1">
      <c r="A320" s="1">
        <f>IFERROR(__xludf.DUMMYFUNCTION("""COMPUTED_VALUE"""),44309.625)</f>
        <v>44309.625</v>
      </c>
      <c r="B320" s="2">
        <f>IFERROR(__xludf.DUMMYFUNCTION("""COMPUTED_VALUE"""),4100.0)</f>
        <v>4100</v>
      </c>
      <c r="C320" s="2">
        <f>IFERROR(__xludf.DUMMYFUNCTION("""COMPUTED_VALUE"""),4130.0)</f>
        <v>4130</v>
      </c>
      <c r="D320" s="2">
        <f>IFERROR(__xludf.DUMMYFUNCTION("""COMPUTED_VALUE"""),4070.0)</f>
        <v>4070</v>
      </c>
      <c r="E320" s="2">
        <f>IFERROR(__xludf.DUMMYFUNCTION("""COMPUTED_VALUE"""),4080.0)</f>
        <v>4080</v>
      </c>
      <c r="F320" s="2">
        <f>IFERROR(__xludf.DUMMYFUNCTION("""COMPUTED_VALUE"""),1988400.0)</f>
        <v>1988400</v>
      </c>
      <c r="G320" s="2">
        <f t="shared" si="1"/>
        <v>60</v>
      </c>
    </row>
    <row r="321" ht="15.75" customHeight="1">
      <c r="A321" s="1">
        <f>IFERROR(__xludf.DUMMYFUNCTION("""COMPUTED_VALUE"""),44312.625)</f>
        <v>44312.625</v>
      </c>
      <c r="B321" s="2">
        <f>IFERROR(__xludf.DUMMYFUNCTION("""COMPUTED_VALUE"""),4120.0)</f>
        <v>4120</v>
      </c>
      <c r="C321" s="2">
        <f>IFERROR(__xludf.DUMMYFUNCTION("""COMPUTED_VALUE"""),4150.0)</f>
        <v>4150</v>
      </c>
      <c r="D321" s="2">
        <f>IFERROR(__xludf.DUMMYFUNCTION("""COMPUTED_VALUE"""),4100.0)</f>
        <v>4100</v>
      </c>
      <c r="E321" s="2">
        <f>IFERROR(__xludf.DUMMYFUNCTION("""COMPUTED_VALUE"""),4120.0)</f>
        <v>4120</v>
      </c>
      <c r="F321" s="2">
        <f>IFERROR(__xludf.DUMMYFUNCTION("""COMPUTED_VALUE"""),2482700.0)</f>
        <v>2482700</v>
      </c>
      <c r="G321" s="2">
        <f t="shared" si="1"/>
        <v>70</v>
      </c>
    </row>
    <row r="322" ht="15.75" customHeight="1">
      <c r="A322" s="1">
        <f>IFERROR(__xludf.DUMMYFUNCTION("""COMPUTED_VALUE"""),44313.625)</f>
        <v>44313.625</v>
      </c>
      <c r="B322" s="2">
        <f>IFERROR(__xludf.DUMMYFUNCTION("""COMPUTED_VALUE"""),4120.0)</f>
        <v>4120</v>
      </c>
      <c r="C322" s="2">
        <f>IFERROR(__xludf.DUMMYFUNCTION("""COMPUTED_VALUE"""),4130.0)</f>
        <v>4130</v>
      </c>
      <c r="D322" s="2">
        <f>IFERROR(__xludf.DUMMYFUNCTION("""COMPUTED_VALUE"""),4100.0)</f>
        <v>4100</v>
      </c>
      <c r="E322" s="2">
        <f>IFERROR(__xludf.DUMMYFUNCTION("""COMPUTED_VALUE"""),4120.0)</f>
        <v>4120</v>
      </c>
      <c r="F322" s="2">
        <f>IFERROR(__xludf.DUMMYFUNCTION("""COMPUTED_VALUE"""),1037400.0)</f>
        <v>1037400</v>
      </c>
      <c r="G322" s="2">
        <f t="shared" si="1"/>
        <v>30</v>
      </c>
    </row>
    <row r="323" ht="15.75" customHeight="1">
      <c r="A323" s="1">
        <f>IFERROR(__xludf.DUMMYFUNCTION("""COMPUTED_VALUE"""),44314.625)</f>
        <v>44314.625</v>
      </c>
      <c r="B323" s="2">
        <f>IFERROR(__xludf.DUMMYFUNCTION("""COMPUTED_VALUE"""),4130.0)</f>
        <v>4130</v>
      </c>
      <c r="C323" s="2">
        <f>IFERROR(__xludf.DUMMYFUNCTION("""COMPUTED_VALUE"""),4140.0)</f>
        <v>4140</v>
      </c>
      <c r="D323" s="2">
        <f>IFERROR(__xludf.DUMMYFUNCTION("""COMPUTED_VALUE"""),4100.0)</f>
        <v>4100</v>
      </c>
      <c r="E323" s="2">
        <f>IFERROR(__xludf.DUMMYFUNCTION("""COMPUTED_VALUE"""),4130.0)</f>
        <v>4130</v>
      </c>
      <c r="F323" s="2">
        <f>IFERROR(__xludf.DUMMYFUNCTION("""COMPUTED_VALUE"""),456200.0)</f>
        <v>456200</v>
      </c>
      <c r="G323" s="2">
        <f t="shared" si="1"/>
        <v>40</v>
      </c>
    </row>
    <row r="324" ht="15.75" customHeight="1">
      <c r="A324" s="1">
        <f>IFERROR(__xludf.DUMMYFUNCTION("""COMPUTED_VALUE"""),44315.625)</f>
        <v>44315.625</v>
      </c>
      <c r="B324" s="2">
        <f>IFERROR(__xludf.DUMMYFUNCTION("""COMPUTED_VALUE"""),4130.0)</f>
        <v>4130</v>
      </c>
      <c r="C324" s="2">
        <f>IFERROR(__xludf.DUMMYFUNCTION("""COMPUTED_VALUE"""),4150.0)</f>
        <v>4150</v>
      </c>
      <c r="D324" s="2">
        <f>IFERROR(__xludf.DUMMYFUNCTION("""COMPUTED_VALUE"""),4120.0)</f>
        <v>4120</v>
      </c>
      <c r="E324" s="2">
        <f>IFERROR(__xludf.DUMMYFUNCTION("""COMPUTED_VALUE"""),4130.0)</f>
        <v>4130</v>
      </c>
      <c r="F324" s="2">
        <f>IFERROR(__xludf.DUMMYFUNCTION("""COMPUTED_VALUE"""),1524500.0)</f>
        <v>1524500</v>
      </c>
      <c r="G324" s="2">
        <f t="shared" si="1"/>
        <v>30</v>
      </c>
    </row>
    <row r="325" ht="15.75" customHeight="1">
      <c r="A325" s="1">
        <f>IFERROR(__xludf.DUMMYFUNCTION("""COMPUTED_VALUE"""),44316.625)</f>
        <v>44316.625</v>
      </c>
      <c r="B325" s="2">
        <f>IFERROR(__xludf.DUMMYFUNCTION("""COMPUTED_VALUE"""),4130.0)</f>
        <v>4130</v>
      </c>
      <c r="C325" s="2">
        <f>IFERROR(__xludf.DUMMYFUNCTION("""COMPUTED_VALUE"""),4150.0)</f>
        <v>4150</v>
      </c>
      <c r="D325" s="2">
        <f>IFERROR(__xludf.DUMMYFUNCTION("""COMPUTED_VALUE"""),4100.0)</f>
        <v>4100</v>
      </c>
      <c r="E325" s="2">
        <f>IFERROR(__xludf.DUMMYFUNCTION("""COMPUTED_VALUE"""),4150.0)</f>
        <v>4150</v>
      </c>
      <c r="F325" s="2">
        <f>IFERROR(__xludf.DUMMYFUNCTION("""COMPUTED_VALUE"""),612200.0)</f>
        <v>612200</v>
      </c>
      <c r="G325" s="2">
        <f t="shared" si="1"/>
        <v>50</v>
      </c>
    </row>
    <row r="326" ht="15.75" customHeight="1">
      <c r="A326" s="1">
        <f>IFERROR(__xludf.DUMMYFUNCTION("""COMPUTED_VALUE"""),44319.66666666667)</f>
        <v>44319.66667</v>
      </c>
      <c r="B326" s="2">
        <f>IFERROR(__xludf.DUMMYFUNCTION("""COMPUTED_VALUE"""),4150.0)</f>
        <v>4150</v>
      </c>
      <c r="C326" s="2">
        <f>IFERROR(__xludf.DUMMYFUNCTION("""COMPUTED_VALUE"""),4150.0)</f>
        <v>4150</v>
      </c>
      <c r="D326" s="2">
        <f>IFERROR(__xludf.DUMMYFUNCTION("""COMPUTED_VALUE"""),4090.0)</f>
        <v>4090</v>
      </c>
      <c r="E326" s="2">
        <f>IFERROR(__xludf.DUMMYFUNCTION("""COMPUTED_VALUE"""),4100.0)</f>
        <v>4100</v>
      </c>
      <c r="F326" s="2">
        <f>IFERROR(__xludf.DUMMYFUNCTION("""COMPUTED_VALUE"""),790500.0)</f>
        <v>790500</v>
      </c>
      <c r="G326" s="2">
        <f t="shared" si="1"/>
        <v>60</v>
      </c>
    </row>
    <row r="327" ht="15.75" customHeight="1">
      <c r="A327" s="1">
        <f>IFERROR(__xludf.DUMMYFUNCTION("""COMPUTED_VALUE"""),44320.66666666667)</f>
        <v>44320.66667</v>
      </c>
      <c r="B327" s="2">
        <f>IFERROR(__xludf.DUMMYFUNCTION("""COMPUTED_VALUE"""),4090.0)</f>
        <v>4090</v>
      </c>
      <c r="C327" s="2">
        <f>IFERROR(__xludf.DUMMYFUNCTION("""COMPUTED_VALUE"""),4160.0)</f>
        <v>4160</v>
      </c>
      <c r="D327" s="2">
        <f>IFERROR(__xludf.DUMMYFUNCTION("""COMPUTED_VALUE"""),4060.0)</f>
        <v>4060</v>
      </c>
      <c r="E327" s="2">
        <f>IFERROR(__xludf.DUMMYFUNCTION("""COMPUTED_VALUE"""),4120.0)</f>
        <v>4120</v>
      </c>
      <c r="F327" s="2">
        <f>IFERROR(__xludf.DUMMYFUNCTION("""COMPUTED_VALUE"""),2796800.0)</f>
        <v>2796800</v>
      </c>
      <c r="G327" s="2">
        <f t="shared" si="1"/>
        <v>100</v>
      </c>
    </row>
    <row r="328" ht="15.75" customHeight="1">
      <c r="A328" s="1">
        <f>IFERROR(__xludf.DUMMYFUNCTION("""COMPUTED_VALUE"""),44321.625)</f>
        <v>44321.625</v>
      </c>
      <c r="B328" s="2">
        <f>IFERROR(__xludf.DUMMYFUNCTION("""COMPUTED_VALUE"""),4130.0)</f>
        <v>4130</v>
      </c>
      <c r="C328" s="2">
        <f>IFERROR(__xludf.DUMMYFUNCTION("""COMPUTED_VALUE"""),4140.0)</f>
        <v>4140</v>
      </c>
      <c r="D328" s="2">
        <f>IFERROR(__xludf.DUMMYFUNCTION("""COMPUTED_VALUE"""),4050.0)</f>
        <v>4050</v>
      </c>
      <c r="E328" s="2">
        <f>IFERROR(__xludf.DUMMYFUNCTION("""COMPUTED_VALUE"""),4110.0)</f>
        <v>4110</v>
      </c>
      <c r="F328" s="2">
        <f>IFERROR(__xludf.DUMMYFUNCTION("""COMPUTED_VALUE"""),3083000.0)</f>
        <v>3083000</v>
      </c>
      <c r="G328" s="2">
        <f t="shared" si="1"/>
        <v>90</v>
      </c>
    </row>
    <row r="329" ht="15.75" customHeight="1">
      <c r="A329" s="1">
        <f>IFERROR(__xludf.DUMMYFUNCTION("""COMPUTED_VALUE"""),44322.625)</f>
        <v>44322.625</v>
      </c>
      <c r="B329" s="2">
        <f>IFERROR(__xludf.DUMMYFUNCTION("""COMPUTED_VALUE"""),4120.0)</f>
        <v>4120</v>
      </c>
      <c r="C329" s="2">
        <f>IFERROR(__xludf.DUMMYFUNCTION("""COMPUTED_VALUE"""),4130.0)</f>
        <v>4130</v>
      </c>
      <c r="D329" s="2">
        <f>IFERROR(__xludf.DUMMYFUNCTION("""COMPUTED_VALUE"""),4100.0)</f>
        <v>4100</v>
      </c>
      <c r="E329" s="2">
        <f>IFERROR(__xludf.DUMMYFUNCTION("""COMPUTED_VALUE"""),4100.0)</f>
        <v>4100</v>
      </c>
      <c r="F329" s="2">
        <f>IFERROR(__xludf.DUMMYFUNCTION("""COMPUTED_VALUE"""),754100.0)</f>
        <v>754100</v>
      </c>
      <c r="G329" s="2">
        <f t="shared" si="1"/>
        <v>30</v>
      </c>
    </row>
    <row r="330" ht="15.75" customHeight="1">
      <c r="A330" s="1">
        <f>IFERROR(__xludf.DUMMYFUNCTION("""COMPUTED_VALUE"""),44323.625)</f>
        <v>44323.625</v>
      </c>
      <c r="B330" s="2">
        <f>IFERROR(__xludf.DUMMYFUNCTION("""COMPUTED_VALUE"""),4100.0)</f>
        <v>4100</v>
      </c>
      <c r="C330" s="2">
        <f>IFERROR(__xludf.DUMMYFUNCTION("""COMPUTED_VALUE"""),4100.0)</f>
        <v>4100</v>
      </c>
      <c r="D330" s="2">
        <f>IFERROR(__xludf.DUMMYFUNCTION("""COMPUTED_VALUE"""),4010.0)</f>
        <v>4010</v>
      </c>
      <c r="E330" s="2">
        <f>IFERROR(__xludf.DUMMYFUNCTION("""COMPUTED_VALUE"""),4020.0)</f>
        <v>4020</v>
      </c>
      <c r="F330" s="2">
        <f>IFERROR(__xludf.DUMMYFUNCTION("""COMPUTED_VALUE"""),3963100.0)</f>
        <v>3963100</v>
      </c>
      <c r="G330" s="2">
        <f t="shared" si="1"/>
        <v>90</v>
      </c>
    </row>
    <row r="331" ht="15.75" customHeight="1">
      <c r="A331" s="1">
        <f>IFERROR(__xludf.DUMMYFUNCTION("""COMPUTED_VALUE"""),44326.66666666667)</f>
        <v>44326.66667</v>
      </c>
      <c r="B331" s="2">
        <f>IFERROR(__xludf.DUMMYFUNCTION("""COMPUTED_VALUE"""),4040.0)</f>
        <v>4040</v>
      </c>
      <c r="C331" s="2">
        <f>IFERROR(__xludf.DUMMYFUNCTION("""COMPUTED_VALUE"""),4080.0)</f>
        <v>4080</v>
      </c>
      <c r="D331" s="2">
        <f>IFERROR(__xludf.DUMMYFUNCTION("""COMPUTED_VALUE"""),4020.0)</f>
        <v>4020</v>
      </c>
      <c r="E331" s="2">
        <f>IFERROR(__xludf.DUMMYFUNCTION("""COMPUTED_VALUE"""),4080.0)</f>
        <v>4080</v>
      </c>
      <c r="F331" s="2">
        <f>IFERROR(__xludf.DUMMYFUNCTION("""COMPUTED_VALUE"""),1490600.0)</f>
        <v>1490600</v>
      </c>
      <c r="G331" s="2">
        <f t="shared" si="1"/>
        <v>60</v>
      </c>
    </row>
    <row r="332" ht="15.75" customHeight="1">
      <c r="A332" s="1">
        <f>IFERROR(__xludf.DUMMYFUNCTION("""COMPUTED_VALUE"""),44327.66666666667)</f>
        <v>44327.66667</v>
      </c>
      <c r="B332" s="2">
        <f>IFERROR(__xludf.DUMMYFUNCTION("""COMPUTED_VALUE"""),4080.0)</f>
        <v>4080</v>
      </c>
      <c r="C332" s="2">
        <f>IFERROR(__xludf.DUMMYFUNCTION("""COMPUTED_VALUE"""),4080.0)</f>
        <v>4080</v>
      </c>
      <c r="D332" s="2">
        <f>IFERROR(__xludf.DUMMYFUNCTION("""COMPUTED_VALUE"""),4020.0)</f>
        <v>4020</v>
      </c>
      <c r="E332" s="2">
        <f>IFERROR(__xludf.DUMMYFUNCTION("""COMPUTED_VALUE"""),4070.0)</f>
        <v>4070</v>
      </c>
      <c r="F332" s="2">
        <f>IFERROR(__xludf.DUMMYFUNCTION("""COMPUTED_VALUE"""),1660600.0)</f>
        <v>1660600</v>
      </c>
      <c r="G332" s="2">
        <f t="shared" si="1"/>
        <v>60</v>
      </c>
    </row>
    <row r="333" ht="15.75" customHeight="1">
      <c r="A333" s="1">
        <f>IFERROR(__xludf.DUMMYFUNCTION("""COMPUTED_VALUE"""),44333.625)</f>
        <v>44333.625</v>
      </c>
      <c r="B333" s="2">
        <f>IFERROR(__xludf.DUMMYFUNCTION("""COMPUTED_VALUE"""),4070.0)</f>
        <v>4070</v>
      </c>
      <c r="C333" s="2">
        <f>IFERROR(__xludf.DUMMYFUNCTION("""COMPUTED_VALUE"""),4090.0)</f>
        <v>4090</v>
      </c>
      <c r="D333" s="2">
        <f>IFERROR(__xludf.DUMMYFUNCTION("""COMPUTED_VALUE"""),4020.0)</f>
        <v>4020</v>
      </c>
      <c r="E333" s="2">
        <f>IFERROR(__xludf.DUMMYFUNCTION("""COMPUTED_VALUE"""),4020.0)</f>
        <v>4020</v>
      </c>
      <c r="F333" s="2">
        <f>IFERROR(__xludf.DUMMYFUNCTION("""COMPUTED_VALUE"""),2558800.0)</f>
        <v>2558800</v>
      </c>
      <c r="G333" s="2">
        <f t="shared" si="1"/>
        <v>70</v>
      </c>
    </row>
    <row r="334" ht="15.75" customHeight="1">
      <c r="A334" s="1">
        <f>IFERROR(__xludf.DUMMYFUNCTION("""COMPUTED_VALUE"""),44334.625)</f>
        <v>44334.625</v>
      </c>
      <c r="B334" s="2">
        <f>IFERROR(__xludf.DUMMYFUNCTION("""COMPUTED_VALUE"""),4030.0)</f>
        <v>4030</v>
      </c>
      <c r="C334" s="2">
        <f>IFERROR(__xludf.DUMMYFUNCTION("""COMPUTED_VALUE"""),4150.0)</f>
        <v>4150</v>
      </c>
      <c r="D334" s="2">
        <f>IFERROR(__xludf.DUMMYFUNCTION("""COMPUTED_VALUE"""),4020.0)</f>
        <v>4020</v>
      </c>
      <c r="E334" s="2">
        <f>IFERROR(__xludf.DUMMYFUNCTION("""COMPUTED_VALUE"""),4130.0)</f>
        <v>4130</v>
      </c>
      <c r="F334" s="2">
        <f>IFERROR(__xludf.DUMMYFUNCTION("""COMPUTED_VALUE"""),2878600.0)</f>
        <v>2878600</v>
      </c>
      <c r="G334" s="2">
        <f t="shared" si="1"/>
        <v>130</v>
      </c>
    </row>
    <row r="335" ht="15.75" customHeight="1">
      <c r="A335" s="1">
        <f>IFERROR(__xludf.DUMMYFUNCTION("""COMPUTED_VALUE"""),44335.625)</f>
        <v>44335.625</v>
      </c>
      <c r="B335" s="2">
        <f>IFERROR(__xludf.DUMMYFUNCTION("""COMPUTED_VALUE"""),4130.0)</f>
        <v>4130</v>
      </c>
      <c r="C335" s="2">
        <f>IFERROR(__xludf.DUMMYFUNCTION("""COMPUTED_VALUE"""),4130.0)</f>
        <v>4130</v>
      </c>
      <c r="D335" s="2">
        <f>IFERROR(__xludf.DUMMYFUNCTION("""COMPUTED_VALUE"""),4000.0)</f>
        <v>4000</v>
      </c>
      <c r="E335" s="2">
        <f>IFERROR(__xludf.DUMMYFUNCTION("""COMPUTED_VALUE"""),4010.0)</f>
        <v>4010</v>
      </c>
      <c r="F335" s="2">
        <f>IFERROR(__xludf.DUMMYFUNCTION("""COMPUTED_VALUE"""),2537300.0)</f>
        <v>2537300</v>
      </c>
      <c r="G335" s="2">
        <f t="shared" si="1"/>
        <v>130</v>
      </c>
    </row>
    <row r="336" ht="15.75" customHeight="1">
      <c r="A336" s="1">
        <f>IFERROR(__xludf.DUMMYFUNCTION("""COMPUTED_VALUE"""),44336.625)</f>
        <v>44336.625</v>
      </c>
      <c r="B336" s="2">
        <f>IFERROR(__xludf.DUMMYFUNCTION("""COMPUTED_VALUE"""),4020.0)</f>
        <v>4020</v>
      </c>
      <c r="C336" s="2">
        <f>IFERROR(__xludf.DUMMYFUNCTION("""COMPUTED_VALUE"""),4020.0)</f>
        <v>4020</v>
      </c>
      <c r="D336" s="2">
        <f>IFERROR(__xludf.DUMMYFUNCTION("""COMPUTED_VALUE"""),3910.0)</f>
        <v>3910</v>
      </c>
      <c r="E336" s="2">
        <f>IFERROR(__xludf.DUMMYFUNCTION("""COMPUTED_VALUE"""),3950.0)</f>
        <v>3950</v>
      </c>
      <c r="F336" s="2">
        <f>IFERROR(__xludf.DUMMYFUNCTION("""COMPUTED_VALUE"""),9111000.0)</f>
        <v>9111000</v>
      </c>
      <c r="G336" s="2">
        <f t="shared" si="1"/>
        <v>110</v>
      </c>
    </row>
    <row r="337" ht="15.75" customHeight="1">
      <c r="A337" s="1">
        <f>IFERROR(__xludf.DUMMYFUNCTION("""COMPUTED_VALUE"""),44337.625)</f>
        <v>44337.625</v>
      </c>
      <c r="B337" s="2">
        <f>IFERROR(__xludf.DUMMYFUNCTION("""COMPUTED_VALUE"""),3950.0)</f>
        <v>3950</v>
      </c>
      <c r="C337" s="2">
        <f>IFERROR(__xludf.DUMMYFUNCTION("""COMPUTED_VALUE"""),3970.0)</f>
        <v>3970</v>
      </c>
      <c r="D337" s="2">
        <f>IFERROR(__xludf.DUMMYFUNCTION("""COMPUTED_VALUE"""),3860.0)</f>
        <v>3860</v>
      </c>
      <c r="E337" s="2">
        <f>IFERROR(__xludf.DUMMYFUNCTION("""COMPUTED_VALUE"""),3870.0)</f>
        <v>3870</v>
      </c>
      <c r="F337" s="2">
        <f>IFERROR(__xludf.DUMMYFUNCTION("""COMPUTED_VALUE"""),3310700.0)</f>
        <v>3310700</v>
      </c>
      <c r="G337" s="2">
        <f t="shared" si="1"/>
        <v>110</v>
      </c>
    </row>
    <row r="338" ht="15.75" customHeight="1">
      <c r="A338" s="1">
        <f>IFERROR(__xludf.DUMMYFUNCTION("""COMPUTED_VALUE"""),44340.625)</f>
        <v>44340.625</v>
      </c>
      <c r="B338" s="2">
        <f>IFERROR(__xludf.DUMMYFUNCTION("""COMPUTED_VALUE"""),3870.0)</f>
        <v>3870</v>
      </c>
      <c r="C338" s="2">
        <f>IFERROR(__xludf.DUMMYFUNCTION("""COMPUTED_VALUE"""),3880.0)</f>
        <v>3880</v>
      </c>
      <c r="D338" s="2">
        <f>IFERROR(__xludf.DUMMYFUNCTION("""COMPUTED_VALUE"""),3800.0)</f>
        <v>3800</v>
      </c>
      <c r="E338" s="2">
        <f>IFERROR(__xludf.DUMMYFUNCTION("""COMPUTED_VALUE"""),3820.0)</f>
        <v>3820</v>
      </c>
      <c r="F338" s="2">
        <f>IFERROR(__xludf.DUMMYFUNCTION("""COMPUTED_VALUE"""),2205200.0)</f>
        <v>2205200</v>
      </c>
      <c r="G338" s="2">
        <f t="shared" si="1"/>
        <v>80</v>
      </c>
    </row>
    <row r="339" ht="15.75" customHeight="1">
      <c r="A339" s="1">
        <f>IFERROR(__xludf.DUMMYFUNCTION("""COMPUTED_VALUE"""),44341.625)</f>
        <v>44341.625</v>
      </c>
      <c r="B339" s="2">
        <f>IFERROR(__xludf.DUMMYFUNCTION("""COMPUTED_VALUE"""),3820.0)</f>
        <v>3820</v>
      </c>
      <c r="C339" s="2">
        <f>IFERROR(__xludf.DUMMYFUNCTION("""COMPUTED_VALUE"""),3920.0)</f>
        <v>3920</v>
      </c>
      <c r="D339" s="2">
        <f>IFERROR(__xludf.DUMMYFUNCTION("""COMPUTED_VALUE"""),3820.0)</f>
        <v>3820</v>
      </c>
      <c r="E339" s="2">
        <f>IFERROR(__xludf.DUMMYFUNCTION("""COMPUTED_VALUE"""),3900.0)</f>
        <v>3900</v>
      </c>
      <c r="F339" s="2">
        <f>IFERROR(__xludf.DUMMYFUNCTION("""COMPUTED_VALUE"""),1485500.0)</f>
        <v>1485500</v>
      </c>
      <c r="G339" s="2">
        <f t="shared" si="1"/>
        <v>100</v>
      </c>
    </row>
    <row r="340" ht="15.75" customHeight="1">
      <c r="A340" s="1">
        <f>IFERROR(__xludf.DUMMYFUNCTION("""COMPUTED_VALUE"""),44343.625)</f>
        <v>44343.625</v>
      </c>
      <c r="B340" s="2">
        <f>IFERROR(__xludf.DUMMYFUNCTION("""COMPUTED_VALUE"""),3900.0)</f>
        <v>3900</v>
      </c>
      <c r="C340" s="2">
        <f>IFERROR(__xludf.DUMMYFUNCTION("""COMPUTED_VALUE"""),3950.0)</f>
        <v>3950</v>
      </c>
      <c r="D340" s="2">
        <f>IFERROR(__xludf.DUMMYFUNCTION("""COMPUTED_VALUE"""),3850.0)</f>
        <v>3850</v>
      </c>
      <c r="E340" s="2">
        <f>IFERROR(__xludf.DUMMYFUNCTION("""COMPUTED_VALUE"""),3850.0)</f>
        <v>3850</v>
      </c>
      <c r="F340" s="2">
        <f>IFERROR(__xludf.DUMMYFUNCTION("""COMPUTED_VALUE"""),3818200.0)</f>
        <v>3818200</v>
      </c>
      <c r="G340" s="2">
        <f t="shared" si="1"/>
        <v>100</v>
      </c>
    </row>
    <row r="341" ht="15.75" customHeight="1">
      <c r="A341" s="1">
        <f>IFERROR(__xludf.DUMMYFUNCTION("""COMPUTED_VALUE"""),44344.625)</f>
        <v>44344.625</v>
      </c>
      <c r="B341" s="2">
        <f>IFERROR(__xludf.DUMMYFUNCTION("""COMPUTED_VALUE"""),3890.0)</f>
        <v>3890</v>
      </c>
      <c r="C341" s="2">
        <f>IFERROR(__xludf.DUMMYFUNCTION("""COMPUTED_VALUE"""),3890.0)</f>
        <v>3890</v>
      </c>
      <c r="D341" s="2">
        <f>IFERROR(__xludf.DUMMYFUNCTION("""COMPUTED_VALUE"""),3850.0)</f>
        <v>3850</v>
      </c>
      <c r="E341" s="2">
        <f>IFERROR(__xludf.DUMMYFUNCTION("""COMPUTED_VALUE"""),3880.0)</f>
        <v>3880</v>
      </c>
      <c r="F341" s="2">
        <f>IFERROR(__xludf.DUMMYFUNCTION("""COMPUTED_VALUE"""),1876900.0)</f>
        <v>1876900</v>
      </c>
      <c r="G341" s="2">
        <f t="shared" si="1"/>
        <v>40</v>
      </c>
    </row>
    <row r="342" ht="15.75" customHeight="1">
      <c r="A342" s="1">
        <f>IFERROR(__xludf.DUMMYFUNCTION("""COMPUTED_VALUE"""),44347.625)</f>
        <v>44347.625</v>
      </c>
      <c r="B342" s="2">
        <f>IFERROR(__xludf.DUMMYFUNCTION("""COMPUTED_VALUE"""),3900.0)</f>
        <v>3900</v>
      </c>
      <c r="C342" s="2">
        <f>IFERROR(__xludf.DUMMYFUNCTION("""COMPUTED_VALUE"""),3970.0)</f>
        <v>3970</v>
      </c>
      <c r="D342" s="2">
        <f>IFERROR(__xludf.DUMMYFUNCTION("""COMPUTED_VALUE"""),3900.0)</f>
        <v>3900</v>
      </c>
      <c r="E342" s="2">
        <f>IFERROR(__xludf.DUMMYFUNCTION("""COMPUTED_VALUE"""),3950.0)</f>
        <v>3950</v>
      </c>
      <c r="F342" s="2">
        <f>IFERROR(__xludf.DUMMYFUNCTION("""COMPUTED_VALUE"""),2348000.0)</f>
        <v>2348000</v>
      </c>
      <c r="G342" s="2">
        <f t="shared" si="1"/>
        <v>90</v>
      </c>
    </row>
    <row r="343" ht="15.75" customHeight="1">
      <c r="A343" s="1">
        <f>IFERROR(__xludf.DUMMYFUNCTION("""COMPUTED_VALUE"""),44349.625)</f>
        <v>44349.625</v>
      </c>
      <c r="B343" s="2">
        <f>IFERROR(__xludf.DUMMYFUNCTION("""COMPUTED_VALUE"""),4090.0)</f>
        <v>4090</v>
      </c>
      <c r="C343" s="2">
        <f>IFERROR(__xludf.DUMMYFUNCTION("""COMPUTED_VALUE"""),4090.0)</f>
        <v>4090</v>
      </c>
      <c r="D343" s="2">
        <f>IFERROR(__xludf.DUMMYFUNCTION("""COMPUTED_VALUE"""),3950.0)</f>
        <v>3950</v>
      </c>
      <c r="E343" s="2">
        <f>IFERROR(__xludf.DUMMYFUNCTION("""COMPUTED_VALUE"""),4040.0)</f>
        <v>4040</v>
      </c>
      <c r="F343" s="2">
        <f>IFERROR(__xludf.DUMMYFUNCTION("""COMPUTED_VALUE"""),4811200.0)</f>
        <v>4811200</v>
      </c>
      <c r="G343" s="2">
        <f t="shared" si="1"/>
        <v>140</v>
      </c>
    </row>
    <row r="344" ht="15.75" customHeight="1">
      <c r="A344" s="1">
        <f>IFERROR(__xludf.DUMMYFUNCTION("""COMPUTED_VALUE"""),44350.625)</f>
        <v>44350.625</v>
      </c>
      <c r="B344" s="2">
        <f>IFERROR(__xludf.DUMMYFUNCTION("""COMPUTED_VALUE"""),4050.0)</f>
        <v>4050</v>
      </c>
      <c r="C344" s="2">
        <f>IFERROR(__xludf.DUMMYFUNCTION("""COMPUTED_VALUE"""),4070.0)</f>
        <v>4070</v>
      </c>
      <c r="D344" s="2">
        <f>IFERROR(__xludf.DUMMYFUNCTION("""COMPUTED_VALUE"""),4000.0)</f>
        <v>4000</v>
      </c>
      <c r="E344" s="2">
        <f>IFERROR(__xludf.DUMMYFUNCTION("""COMPUTED_VALUE"""),4030.0)</f>
        <v>4030</v>
      </c>
      <c r="F344" s="2">
        <f>IFERROR(__xludf.DUMMYFUNCTION("""COMPUTED_VALUE"""),3477600.0)</f>
        <v>3477600</v>
      </c>
      <c r="G344" s="2">
        <f t="shared" si="1"/>
        <v>70</v>
      </c>
    </row>
    <row r="345" ht="15.75" customHeight="1">
      <c r="A345" s="1">
        <f>IFERROR(__xludf.DUMMYFUNCTION("""COMPUTED_VALUE"""),44351.625)</f>
        <v>44351.625</v>
      </c>
      <c r="B345" s="2">
        <f>IFERROR(__xludf.DUMMYFUNCTION("""COMPUTED_VALUE"""),4020.0)</f>
        <v>4020</v>
      </c>
      <c r="C345" s="2">
        <f>IFERROR(__xludf.DUMMYFUNCTION("""COMPUTED_VALUE"""),4020.0)</f>
        <v>4020</v>
      </c>
      <c r="D345" s="2">
        <f>IFERROR(__xludf.DUMMYFUNCTION("""COMPUTED_VALUE"""),3950.0)</f>
        <v>3950</v>
      </c>
      <c r="E345" s="2">
        <f>IFERROR(__xludf.DUMMYFUNCTION("""COMPUTED_VALUE"""),3950.0)</f>
        <v>3950</v>
      </c>
      <c r="F345" s="2">
        <f>IFERROR(__xludf.DUMMYFUNCTION("""COMPUTED_VALUE"""),3455800.0)</f>
        <v>3455800</v>
      </c>
      <c r="G345" s="2">
        <f t="shared" si="1"/>
        <v>80</v>
      </c>
    </row>
    <row r="346" ht="15.75" customHeight="1">
      <c r="A346" s="1">
        <f>IFERROR(__xludf.DUMMYFUNCTION("""COMPUTED_VALUE"""),44354.625)</f>
        <v>44354.625</v>
      </c>
      <c r="B346" s="2">
        <f>IFERROR(__xludf.DUMMYFUNCTION("""COMPUTED_VALUE"""),3950.0)</f>
        <v>3950</v>
      </c>
      <c r="C346" s="2">
        <f>IFERROR(__xludf.DUMMYFUNCTION("""COMPUTED_VALUE"""),3990.0)</f>
        <v>3990</v>
      </c>
      <c r="D346" s="2">
        <f>IFERROR(__xludf.DUMMYFUNCTION("""COMPUTED_VALUE"""),3910.0)</f>
        <v>3910</v>
      </c>
      <c r="E346" s="2">
        <f>IFERROR(__xludf.DUMMYFUNCTION("""COMPUTED_VALUE"""),3960.0)</f>
        <v>3960</v>
      </c>
      <c r="F346" s="2">
        <f>IFERROR(__xludf.DUMMYFUNCTION("""COMPUTED_VALUE"""),1177300.0)</f>
        <v>1177300</v>
      </c>
      <c r="G346" s="2">
        <f t="shared" si="1"/>
        <v>80</v>
      </c>
    </row>
    <row r="347" ht="15.75" customHeight="1">
      <c r="A347" s="1">
        <f>IFERROR(__xludf.DUMMYFUNCTION("""COMPUTED_VALUE"""),44355.625)</f>
        <v>44355.625</v>
      </c>
      <c r="B347" s="2">
        <f>IFERROR(__xludf.DUMMYFUNCTION("""COMPUTED_VALUE"""),3950.0)</f>
        <v>3950</v>
      </c>
      <c r="C347" s="2">
        <f>IFERROR(__xludf.DUMMYFUNCTION("""COMPUTED_VALUE"""),3960.0)</f>
        <v>3960</v>
      </c>
      <c r="D347" s="2">
        <f>IFERROR(__xludf.DUMMYFUNCTION("""COMPUTED_VALUE"""),3900.0)</f>
        <v>3900</v>
      </c>
      <c r="E347" s="2">
        <f>IFERROR(__xludf.DUMMYFUNCTION("""COMPUTED_VALUE"""),3920.0)</f>
        <v>3920</v>
      </c>
      <c r="F347" s="2">
        <f>IFERROR(__xludf.DUMMYFUNCTION("""COMPUTED_VALUE"""),1260800.0)</f>
        <v>1260800</v>
      </c>
      <c r="G347" s="2">
        <f t="shared" si="1"/>
        <v>60</v>
      </c>
    </row>
    <row r="348" ht="15.75" customHeight="1">
      <c r="A348" s="1">
        <f>IFERROR(__xludf.DUMMYFUNCTION("""COMPUTED_VALUE"""),44356.625)</f>
        <v>44356.625</v>
      </c>
      <c r="B348" s="2">
        <f>IFERROR(__xludf.DUMMYFUNCTION("""COMPUTED_VALUE"""),3900.0)</f>
        <v>3900</v>
      </c>
      <c r="C348" s="2">
        <f>IFERROR(__xludf.DUMMYFUNCTION("""COMPUTED_VALUE"""),3930.0)</f>
        <v>3930</v>
      </c>
      <c r="D348" s="2">
        <f>IFERROR(__xludf.DUMMYFUNCTION("""COMPUTED_VALUE"""),3880.0)</f>
        <v>3880</v>
      </c>
      <c r="E348" s="2">
        <f>IFERROR(__xludf.DUMMYFUNCTION("""COMPUTED_VALUE"""),3920.0)</f>
        <v>3920</v>
      </c>
      <c r="F348" s="2">
        <f>IFERROR(__xludf.DUMMYFUNCTION("""COMPUTED_VALUE"""),1260300.0)</f>
        <v>1260300</v>
      </c>
      <c r="G348" s="2">
        <f t="shared" si="1"/>
        <v>50</v>
      </c>
    </row>
    <row r="349" ht="15.75" customHeight="1">
      <c r="A349" s="1">
        <f>IFERROR(__xludf.DUMMYFUNCTION("""COMPUTED_VALUE"""),44357.625)</f>
        <v>44357.625</v>
      </c>
      <c r="B349" s="2">
        <f>IFERROR(__xludf.DUMMYFUNCTION("""COMPUTED_VALUE"""),3920.0)</f>
        <v>3920</v>
      </c>
      <c r="C349" s="2">
        <f>IFERROR(__xludf.DUMMYFUNCTION("""COMPUTED_VALUE"""),3930.0)</f>
        <v>3930</v>
      </c>
      <c r="D349" s="2">
        <f>IFERROR(__xludf.DUMMYFUNCTION("""COMPUTED_VALUE"""),3870.0)</f>
        <v>3870</v>
      </c>
      <c r="E349" s="2">
        <f>IFERROR(__xludf.DUMMYFUNCTION("""COMPUTED_VALUE"""),3880.0)</f>
        <v>3880</v>
      </c>
      <c r="F349" s="2">
        <f>IFERROR(__xludf.DUMMYFUNCTION("""COMPUTED_VALUE"""),3682000.0)</f>
        <v>3682000</v>
      </c>
      <c r="G349" s="2">
        <f t="shared" si="1"/>
        <v>60</v>
      </c>
    </row>
    <row r="350" ht="15.75" customHeight="1">
      <c r="A350" s="1">
        <f>IFERROR(__xludf.DUMMYFUNCTION("""COMPUTED_VALUE"""),44358.625)</f>
        <v>44358.625</v>
      </c>
      <c r="B350" s="2">
        <f>IFERROR(__xludf.DUMMYFUNCTION("""COMPUTED_VALUE"""),3880.0)</f>
        <v>3880</v>
      </c>
      <c r="C350" s="2">
        <f>IFERROR(__xludf.DUMMYFUNCTION("""COMPUTED_VALUE"""),3910.0)</f>
        <v>3910</v>
      </c>
      <c r="D350" s="2">
        <f>IFERROR(__xludf.DUMMYFUNCTION("""COMPUTED_VALUE"""),3800.0)</f>
        <v>3800</v>
      </c>
      <c r="E350" s="2">
        <f>IFERROR(__xludf.DUMMYFUNCTION("""COMPUTED_VALUE"""),3810.0)</f>
        <v>3810</v>
      </c>
      <c r="F350" s="2">
        <f>IFERROR(__xludf.DUMMYFUNCTION("""COMPUTED_VALUE"""),6210100.0)</f>
        <v>6210100</v>
      </c>
      <c r="G350" s="2">
        <f t="shared" si="1"/>
        <v>110</v>
      </c>
    </row>
    <row r="351" ht="15.75" customHeight="1">
      <c r="A351" s="1">
        <f>IFERROR(__xludf.DUMMYFUNCTION("""COMPUTED_VALUE"""),44361.66666666667)</f>
        <v>44361.66667</v>
      </c>
      <c r="B351" s="2">
        <f>IFERROR(__xludf.DUMMYFUNCTION("""COMPUTED_VALUE"""),3840.0)</f>
        <v>3840</v>
      </c>
      <c r="C351" s="2">
        <f>IFERROR(__xludf.DUMMYFUNCTION("""COMPUTED_VALUE"""),3840.0)</f>
        <v>3840</v>
      </c>
      <c r="D351" s="2">
        <f>IFERROR(__xludf.DUMMYFUNCTION("""COMPUTED_VALUE"""),3810.0)</f>
        <v>3810</v>
      </c>
      <c r="E351" s="2">
        <f>IFERROR(__xludf.DUMMYFUNCTION("""COMPUTED_VALUE"""),3820.0)</f>
        <v>3820</v>
      </c>
      <c r="F351" s="2">
        <f>IFERROR(__xludf.DUMMYFUNCTION("""COMPUTED_VALUE"""),1323800.0)</f>
        <v>1323800</v>
      </c>
      <c r="G351" s="2">
        <f t="shared" si="1"/>
        <v>30</v>
      </c>
    </row>
    <row r="352" ht="15.75" customHeight="1">
      <c r="A352" s="1">
        <f>IFERROR(__xludf.DUMMYFUNCTION("""COMPUTED_VALUE"""),44362.625)</f>
        <v>44362.625</v>
      </c>
      <c r="B352" s="2">
        <f>IFERROR(__xludf.DUMMYFUNCTION("""COMPUTED_VALUE"""),3820.0)</f>
        <v>3820</v>
      </c>
      <c r="C352" s="2">
        <f>IFERROR(__xludf.DUMMYFUNCTION("""COMPUTED_VALUE"""),3840.0)</f>
        <v>3840</v>
      </c>
      <c r="D352" s="2">
        <f>IFERROR(__xludf.DUMMYFUNCTION("""COMPUTED_VALUE"""),3760.0)</f>
        <v>3760</v>
      </c>
      <c r="E352" s="2">
        <f>IFERROR(__xludf.DUMMYFUNCTION("""COMPUTED_VALUE"""),3830.0)</f>
        <v>3830</v>
      </c>
      <c r="F352" s="2">
        <f>IFERROR(__xludf.DUMMYFUNCTION("""COMPUTED_VALUE"""),6230800.0)</f>
        <v>6230800</v>
      </c>
      <c r="G352" s="2">
        <f t="shared" si="1"/>
        <v>80</v>
      </c>
    </row>
    <row r="353" ht="15.75" customHeight="1">
      <c r="A353" s="1">
        <f>IFERROR(__xludf.DUMMYFUNCTION("""COMPUTED_VALUE"""),44363.625)</f>
        <v>44363.625</v>
      </c>
      <c r="B353" s="2">
        <f>IFERROR(__xludf.DUMMYFUNCTION("""COMPUTED_VALUE"""),3830.0)</f>
        <v>3830</v>
      </c>
      <c r="C353" s="2">
        <f>IFERROR(__xludf.DUMMYFUNCTION("""COMPUTED_VALUE"""),3840.0)</f>
        <v>3840</v>
      </c>
      <c r="D353" s="2">
        <f>IFERROR(__xludf.DUMMYFUNCTION("""COMPUTED_VALUE"""),3790.0)</f>
        <v>3790</v>
      </c>
      <c r="E353" s="2">
        <f>IFERROR(__xludf.DUMMYFUNCTION("""COMPUTED_VALUE"""),3800.0)</f>
        <v>3800</v>
      </c>
      <c r="F353" s="2">
        <f>IFERROR(__xludf.DUMMYFUNCTION("""COMPUTED_VALUE"""),3092500.0)</f>
        <v>3092500</v>
      </c>
      <c r="G353" s="2">
        <f t="shared" si="1"/>
        <v>50</v>
      </c>
    </row>
    <row r="354" ht="15.75" customHeight="1">
      <c r="A354" s="1">
        <f>IFERROR(__xludf.DUMMYFUNCTION("""COMPUTED_VALUE"""),44364.625)</f>
        <v>44364.625</v>
      </c>
      <c r="B354" s="2">
        <f>IFERROR(__xludf.DUMMYFUNCTION("""COMPUTED_VALUE"""),3820.0)</f>
        <v>3820</v>
      </c>
      <c r="C354" s="2">
        <f>IFERROR(__xludf.DUMMYFUNCTION("""COMPUTED_VALUE"""),3920.0)</f>
        <v>3920</v>
      </c>
      <c r="D354" s="2">
        <f>IFERROR(__xludf.DUMMYFUNCTION("""COMPUTED_VALUE"""),3760.0)</f>
        <v>3760</v>
      </c>
      <c r="E354" s="2">
        <f>IFERROR(__xludf.DUMMYFUNCTION("""COMPUTED_VALUE"""),3900.0)</f>
        <v>3900</v>
      </c>
      <c r="F354" s="2">
        <f>IFERROR(__xludf.DUMMYFUNCTION("""COMPUTED_VALUE"""),5239000.0)</f>
        <v>5239000</v>
      </c>
      <c r="G354" s="2">
        <f t="shared" si="1"/>
        <v>160</v>
      </c>
    </row>
    <row r="355" ht="15.75" customHeight="1">
      <c r="A355" s="1">
        <f>IFERROR(__xludf.DUMMYFUNCTION("""COMPUTED_VALUE"""),44365.625)</f>
        <v>44365.625</v>
      </c>
      <c r="B355" s="2">
        <f>IFERROR(__xludf.DUMMYFUNCTION("""COMPUTED_VALUE"""),3930.0)</f>
        <v>3930</v>
      </c>
      <c r="C355" s="2">
        <f>IFERROR(__xludf.DUMMYFUNCTION("""COMPUTED_VALUE"""),3940.0)</f>
        <v>3940</v>
      </c>
      <c r="D355" s="2">
        <f>IFERROR(__xludf.DUMMYFUNCTION("""COMPUTED_VALUE"""),3760.0)</f>
        <v>3760</v>
      </c>
      <c r="E355" s="2">
        <f>IFERROR(__xludf.DUMMYFUNCTION("""COMPUTED_VALUE"""),3900.0)</f>
        <v>3900</v>
      </c>
      <c r="F355" s="2">
        <f>IFERROR(__xludf.DUMMYFUNCTION("""COMPUTED_VALUE"""),1.08549E7)</f>
        <v>10854900</v>
      </c>
      <c r="G355" s="2">
        <f t="shared" si="1"/>
        <v>180</v>
      </c>
    </row>
    <row r="356" ht="15.75" customHeight="1">
      <c r="A356" s="1">
        <f>IFERROR(__xludf.DUMMYFUNCTION("""COMPUTED_VALUE"""),44368.66666666667)</f>
        <v>44368.66667</v>
      </c>
      <c r="B356" s="2">
        <f>IFERROR(__xludf.DUMMYFUNCTION("""COMPUTED_VALUE"""),3870.0)</f>
        <v>3870</v>
      </c>
      <c r="C356" s="2">
        <f>IFERROR(__xludf.DUMMYFUNCTION("""COMPUTED_VALUE"""),3870.0)</f>
        <v>3870</v>
      </c>
      <c r="D356" s="2">
        <f>IFERROR(__xludf.DUMMYFUNCTION("""COMPUTED_VALUE"""),3660.0)</f>
        <v>3660</v>
      </c>
      <c r="E356" s="2">
        <f>IFERROR(__xludf.DUMMYFUNCTION("""COMPUTED_VALUE"""),3710.0)</f>
        <v>3710</v>
      </c>
      <c r="F356" s="2">
        <f>IFERROR(__xludf.DUMMYFUNCTION("""COMPUTED_VALUE"""),1.54221E7)</f>
        <v>15422100</v>
      </c>
      <c r="G356" s="2">
        <f t="shared" si="1"/>
        <v>240</v>
      </c>
    </row>
    <row r="357" ht="15.75" customHeight="1">
      <c r="A357" s="1">
        <f>IFERROR(__xludf.DUMMYFUNCTION("""COMPUTED_VALUE"""),44369.625)</f>
        <v>44369.625</v>
      </c>
      <c r="B357" s="2">
        <f>IFERROR(__xludf.DUMMYFUNCTION("""COMPUTED_VALUE"""),3730.0)</f>
        <v>3730</v>
      </c>
      <c r="C357" s="2">
        <f>IFERROR(__xludf.DUMMYFUNCTION("""COMPUTED_VALUE"""),3780.0)</f>
        <v>3780</v>
      </c>
      <c r="D357" s="2">
        <f>IFERROR(__xludf.DUMMYFUNCTION("""COMPUTED_VALUE"""),3690.0)</f>
        <v>3690</v>
      </c>
      <c r="E357" s="2">
        <f>IFERROR(__xludf.DUMMYFUNCTION("""COMPUTED_VALUE"""),3740.0)</f>
        <v>3740</v>
      </c>
      <c r="F357" s="2">
        <f>IFERROR(__xludf.DUMMYFUNCTION("""COMPUTED_VALUE"""),6513800.0)</f>
        <v>6513800</v>
      </c>
      <c r="G357" s="2">
        <f t="shared" si="1"/>
        <v>90</v>
      </c>
    </row>
    <row r="358" ht="15.75" customHeight="1">
      <c r="A358" s="1">
        <f>IFERROR(__xludf.DUMMYFUNCTION("""COMPUTED_VALUE"""),44370.625)</f>
        <v>44370.625</v>
      </c>
      <c r="B358" s="2">
        <f>IFERROR(__xludf.DUMMYFUNCTION("""COMPUTED_VALUE"""),3760.0)</f>
        <v>3760</v>
      </c>
      <c r="C358" s="2">
        <f>IFERROR(__xludf.DUMMYFUNCTION("""COMPUTED_VALUE"""),3760.0)</f>
        <v>3760</v>
      </c>
      <c r="D358" s="2">
        <f>IFERROR(__xludf.DUMMYFUNCTION("""COMPUTED_VALUE"""),3680.0)</f>
        <v>3680</v>
      </c>
      <c r="E358" s="2">
        <f>IFERROR(__xludf.DUMMYFUNCTION("""COMPUTED_VALUE"""),3710.0)</f>
        <v>3710</v>
      </c>
      <c r="F358" s="2">
        <f>IFERROR(__xludf.DUMMYFUNCTION("""COMPUTED_VALUE"""),2346300.0)</f>
        <v>2346300</v>
      </c>
      <c r="G358" s="2">
        <f t="shared" si="1"/>
        <v>80</v>
      </c>
    </row>
    <row r="359" ht="15.75" customHeight="1">
      <c r="A359" s="1">
        <f>IFERROR(__xludf.DUMMYFUNCTION("""COMPUTED_VALUE"""),44371.625)</f>
        <v>44371.625</v>
      </c>
      <c r="B359" s="2">
        <f>IFERROR(__xludf.DUMMYFUNCTION("""COMPUTED_VALUE"""),3730.0)</f>
        <v>3730</v>
      </c>
      <c r="C359" s="2">
        <f>IFERROR(__xludf.DUMMYFUNCTION("""COMPUTED_VALUE"""),3730.0)</f>
        <v>3730</v>
      </c>
      <c r="D359" s="2">
        <f>IFERROR(__xludf.DUMMYFUNCTION("""COMPUTED_VALUE"""),3600.0)</f>
        <v>3600</v>
      </c>
      <c r="E359" s="2">
        <f>IFERROR(__xludf.DUMMYFUNCTION("""COMPUTED_VALUE"""),3620.0)</f>
        <v>3620</v>
      </c>
      <c r="F359" s="2">
        <f>IFERROR(__xludf.DUMMYFUNCTION("""COMPUTED_VALUE"""),5974800.0)</f>
        <v>5974800</v>
      </c>
      <c r="G359" s="2">
        <f t="shared" si="1"/>
        <v>130</v>
      </c>
    </row>
    <row r="360" ht="15.75" customHeight="1">
      <c r="A360" s="1">
        <f>IFERROR(__xludf.DUMMYFUNCTION("""COMPUTED_VALUE"""),44372.625)</f>
        <v>44372.625</v>
      </c>
      <c r="B360" s="2">
        <f>IFERROR(__xludf.DUMMYFUNCTION("""COMPUTED_VALUE"""),3640.0)</f>
        <v>3640</v>
      </c>
      <c r="C360" s="2">
        <f>IFERROR(__xludf.DUMMYFUNCTION("""COMPUTED_VALUE"""),3660.0)</f>
        <v>3660</v>
      </c>
      <c r="D360" s="2">
        <f>IFERROR(__xludf.DUMMYFUNCTION("""COMPUTED_VALUE"""),3500.0)</f>
        <v>3500</v>
      </c>
      <c r="E360" s="2">
        <f>IFERROR(__xludf.DUMMYFUNCTION("""COMPUTED_VALUE"""),3510.0)</f>
        <v>3510</v>
      </c>
      <c r="F360" s="2">
        <f>IFERROR(__xludf.DUMMYFUNCTION("""COMPUTED_VALUE"""),5547200.0)</f>
        <v>5547200</v>
      </c>
      <c r="G360" s="2">
        <f t="shared" si="1"/>
        <v>160</v>
      </c>
    </row>
    <row r="361" ht="15.75" customHeight="1">
      <c r="A361" s="1">
        <f>IFERROR(__xludf.DUMMYFUNCTION("""COMPUTED_VALUE"""),44375.66666666667)</f>
        <v>44375.66667</v>
      </c>
      <c r="B361" s="2">
        <f>IFERROR(__xludf.DUMMYFUNCTION("""COMPUTED_VALUE"""),3510.0)</f>
        <v>3510</v>
      </c>
      <c r="C361" s="2">
        <f>IFERROR(__xludf.DUMMYFUNCTION("""COMPUTED_VALUE"""),3510.0)</f>
        <v>3510</v>
      </c>
      <c r="D361" s="2">
        <f>IFERROR(__xludf.DUMMYFUNCTION("""COMPUTED_VALUE"""),3300.0)</f>
        <v>3300</v>
      </c>
      <c r="E361" s="2">
        <f>IFERROR(__xludf.DUMMYFUNCTION("""COMPUTED_VALUE"""),3300.0)</f>
        <v>3300</v>
      </c>
      <c r="F361" s="2">
        <f>IFERROR(__xludf.DUMMYFUNCTION("""COMPUTED_VALUE"""),7587400.0)</f>
        <v>7587400</v>
      </c>
      <c r="G361" s="2">
        <f t="shared" si="1"/>
        <v>210</v>
      </c>
    </row>
    <row r="362" ht="15.75" customHeight="1">
      <c r="A362" s="1">
        <f>IFERROR(__xludf.DUMMYFUNCTION("""COMPUTED_VALUE"""),44376.625)</f>
        <v>44376.625</v>
      </c>
      <c r="B362" s="2">
        <f>IFERROR(__xludf.DUMMYFUNCTION("""COMPUTED_VALUE"""),3320.0)</f>
        <v>3320</v>
      </c>
      <c r="C362" s="2">
        <f>IFERROR(__xludf.DUMMYFUNCTION("""COMPUTED_VALUE"""),3530.0)</f>
        <v>3530</v>
      </c>
      <c r="D362" s="2">
        <f>IFERROR(__xludf.DUMMYFUNCTION("""COMPUTED_VALUE"""),3300.0)</f>
        <v>3300</v>
      </c>
      <c r="E362" s="2">
        <f>IFERROR(__xludf.DUMMYFUNCTION("""COMPUTED_VALUE"""),3300.0)</f>
        <v>3300</v>
      </c>
      <c r="F362" s="2">
        <f>IFERROR(__xludf.DUMMYFUNCTION("""COMPUTED_VALUE"""),1.13572E7)</f>
        <v>11357200</v>
      </c>
      <c r="G362" s="2">
        <f t="shared" si="1"/>
        <v>230</v>
      </c>
    </row>
    <row r="363" ht="15.75" customHeight="1">
      <c r="A363" s="1">
        <f>IFERROR(__xludf.DUMMYFUNCTION("""COMPUTED_VALUE"""),44377.625)</f>
        <v>44377.625</v>
      </c>
      <c r="B363" s="2">
        <f>IFERROR(__xludf.DUMMYFUNCTION("""COMPUTED_VALUE"""),3320.0)</f>
        <v>3320</v>
      </c>
      <c r="C363" s="2">
        <f>IFERROR(__xludf.DUMMYFUNCTION("""COMPUTED_VALUE"""),3580.0)</f>
        <v>3580</v>
      </c>
      <c r="D363" s="2">
        <f>IFERROR(__xludf.DUMMYFUNCTION("""COMPUTED_VALUE"""),3320.0)</f>
        <v>3320</v>
      </c>
      <c r="E363" s="2">
        <f>IFERROR(__xludf.DUMMYFUNCTION("""COMPUTED_VALUE"""),3520.0)</f>
        <v>3520</v>
      </c>
      <c r="F363" s="2">
        <f>IFERROR(__xludf.DUMMYFUNCTION("""COMPUTED_VALUE"""),7959900.0)</f>
        <v>7959900</v>
      </c>
      <c r="G363" s="2">
        <f t="shared" si="1"/>
        <v>280</v>
      </c>
    </row>
    <row r="364" ht="15.75" customHeight="1">
      <c r="A364" s="1">
        <f>IFERROR(__xludf.DUMMYFUNCTION("""COMPUTED_VALUE"""),44378.625)</f>
        <v>44378.625</v>
      </c>
      <c r="B364" s="2">
        <f>IFERROR(__xludf.DUMMYFUNCTION("""COMPUTED_VALUE"""),3520.0)</f>
        <v>3520</v>
      </c>
      <c r="C364" s="2">
        <f>IFERROR(__xludf.DUMMYFUNCTION("""COMPUTED_VALUE"""),3550.0)</f>
        <v>3550</v>
      </c>
      <c r="D364" s="2">
        <f>IFERROR(__xludf.DUMMYFUNCTION("""COMPUTED_VALUE"""),3460.0)</f>
        <v>3460</v>
      </c>
      <c r="E364" s="2">
        <f>IFERROR(__xludf.DUMMYFUNCTION("""COMPUTED_VALUE"""),3540.0)</f>
        <v>3540</v>
      </c>
      <c r="F364" s="2">
        <f>IFERROR(__xludf.DUMMYFUNCTION("""COMPUTED_VALUE"""),2843900.0)</f>
        <v>2843900</v>
      </c>
      <c r="G364" s="2">
        <f t="shared" si="1"/>
        <v>90</v>
      </c>
    </row>
    <row r="365" ht="15.75" customHeight="1">
      <c r="A365" s="1">
        <f>IFERROR(__xludf.DUMMYFUNCTION("""COMPUTED_VALUE"""),44379.625)</f>
        <v>44379.625</v>
      </c>
      <c r="B365" s="2">
        <f>IFERROR(__xludf.DUMMYFUNCTION("""COMPUTED_VALUE"""),3540.0)</f>
        <v>3540</v>
      </c>
      <c r="C365" s="2">
        <f>IFERROR(__xludf.DUMMYFUNCTION("""COMPUTED_VALUE"""),3560.0)</f>
        <v>3560</v>
      </c>
      <c r="D365" s="2">
        <f>IFERROR(__xludf.DUMMYFUNCTION("""COMPUTED_VALUE"""),3460.0)</f>
        <v>3460</v>
      </c>
      <c r="E365" s="2">
        <f>IFERROR(__xludf.DUMMYFUNCTION("""COMPUTED_VALUE"""),3490.0)</f>
        <v>3490</v>
      </c>
      <c r="F365" s="2">
        <f>IFERROR(__xludf.DUMMYFUNCTION("""COMPUTED_VALUE"""),2221400.0)</f>
        <v>2221400</v>
      </c>
      <c r="G365" s="2">
        <f t="shared" si="1"/>
        <v>100</v>
      </c>
    </row>
    <row r="366" ht="15.75" customHeight="1">
      <c r="A366" s="1">
        <f>IFERROR(__xludf.DUMMYFUNCTION("""COMPUTED_VALUE"""),44382.625)</f>
        <v>44382.625</v>
      </c>
      <c r="B366" s="2">
        <f>IFERROR(__xludf.DUMMYFUNCTION("""COMPUTED_VALUE"""),3510.0)</f>
        <v>3510</v>
      </c>
      <c r="C366" s="2">
        <f>IFERROR(__xludf.DUMMYFUNCTION("""COMPUTED_VALUE"""),3510.0)</f>
        <v>3510</v>
      </c>
      <c r="D366" s="2">
        <f>IFERROR(__xludf.DUMMYFUNCTION("""COMPUTED_VALUE"""),3400.0)</f>
        <v>3400</v>
      </c>
      <c r="E366" s="2">
        <f>IFERROR(__xludf.DUMMYFUNCTION("""COMPUTED_VALUE"""),3400.0)</f>
        <v>3400</v>
      </c>
      <c r="F366" s="2">
        <f>IFERROR(__xludf.DUMMYFUNCTION("""COMPUTED_VALUE"""),2190300.0)</f>
        <v>2190300</v>
      </c>
      <c r="G366" s="2">
        <f t="shared" si="1"/>
        <v>110</v>
      </c>
    </row>
    <row r="367" ht="15.75" customHeight="1">
      <c r="A367" s="1">
        <f>IFERROR(__xludf.DUMMYFUNCTION("""COMPUTED_VALUE"""),44383.625)</f>
        <v>44383.625</v>
      </c>
      <c r="B367" s="2">
        <f>IFERROR(__xludf.DUMMYFUNCTION("""COMPUTED_VALUE"""),3400.0)</f>
        <v>3400</v>
      </c>
      <c r="C367" s="2">
        <f>IFERROR(__xludf.DUMMYFUNCTION("""COMPUTED_VALUE"""),3450.0)</f>
        <v>3450</v>
      </c>
      <c r="D367" s="2">
        <f>IFERROR(__xludf.DUMMYFUNCTION("""COMPUTED_VALUE"""),3390.0)</f>
        <v>3390</v>
      </c>
      <c r="E367" s="2">
        <f>IFERROR(__xludf.DUMMYFUNCTION("""COMPUTED_VALUE"""),3450.0)</f>
        <v>3450</v>
      </c>
      <c r="F367" s="2">
        <f>IFERROR(__xludf.DUMMYFUNCTION("""COMPUTED_VALUE"""),3257300.0)</f>
        <v>3257300</v>
      </c>
      <c r="G367" s="2">
        <f t="shared" si="1"/>
        <v>60</v>
      </c>
    </row>
    <row r="368" ht="15.75" customHeight="1">
      <c r="A368" s="1">
        <f>IFERROR(__xludf.DUMMYFUNCTION("""COMPUTED_VALUE"""),44384.625)</f>
        <v>44384.625</v>
      </c>
      <c r="B368" s="2">
        <f>IFERROR(__xludf.DUMMYFUNCTION("""COMPUTED_VALUE"""),3450.0)</f>
        <v>3450</v>
      </c>
      <c r="C368" s="2">
        <f>IFERROR(__xludf.DUMMYFUNCTION("""COMPUTED_VALUE"""),3450.0)</f>
        <v>3450</v>
      </c>
      <c r="D368" s="2">
        <f>IFERROR(__xludf.DUMMYFUNCTION("""COMPUTED_VALUE"""),3350.0)</f>
        <v>3350</v>
      </c>
      <c r="E368" s="2">
        <f>IFERROR(__xludf.DUMMYFUNCTION("""COMPUTED_VALUE"""),3400.0)</f>
        <v>3400</v>
      </c>
      <c r="F368" s="2">
        <f>IFERROR(__xludf.DUMMYFUNCTION("""COMPUTED_VALUE"""),5958200.0)</f>
        <v>5958200</v>
      </c>
      <c r="G368" s="2">
        <f t="shared" si="1"/>
        <v>100</v>
      </c>
    </row>
    <row r="369" ht="15.75" customHeight="1">
      <c r="A369" s="1">
        <f>IFERROR(__xludf.DUMMYFUNCTION("""COMPUTED_VALUE"""),44385.625)</f>
        <v>44385.625</v>
      </c>
      <c r="B369" s="2">
        <f>IFERROR(__xludf.DUMMYFUNCTION("""COMPUTED_VALUE"""),3410.0)</f>
        <v>3410</v>
      </c>
      <c r="C369" s="2">
        <f>IFERROR(__xludf.DUMMYFUNCTION("""COMPUTED_VALUE"""),3430.0)</f>
        <v>3430</v>
      </c>
      <c r="D369" s="2">
        <f>IFERROR(__xludf.DUMMYFUNCTION("""COMPUTED_VALUE"""),3350.0)</f>
        <v>3350</v>
      </c>
      <c r="E369" s="2">
        <f>IFERROR(__xludf.DUMMYFUNCTION("""COMPUTED_VALUE"""),3370.0)</f>
        <v>3370</v>
      </c>
      <c r="F369" s="2">
        <f>IFERROR(__xludf.DUMMYFUNCTION("""COMPUTED_VALUE"""),3069000.0)</f>
        <v>3069000</v>
      </c>
      <c r="G369" s="2">
        <f t="shared" si="1"/>
        <v>80</v>
      </c>
    </row>
    <row r="370" ht="15.75" customHeight="1">
      <c r="A370" s="1">
        <f>IFERROR(__xludf.DUMMYFUNCTION("""COMPUTED_VALUE"""),44386.625)</f>
        <v>44386.625</v>
      </c>
      <c r="B370" s="2">
        <f>IFERROR(__xludf.DUMMYFUNCTION("""COMPUTED_VALUE"""),3350.0)</f>
        <v>3350</v>
      </c>
      <c r="C370" s="2">
        <f>IFERROR(__xludf.DUMMYFUNCTION("""COMPUTED_VALUE"""),3360.0)</f>
        <v>3360</v>
      </c>
      <c r="D370" s="2">
        <f>IFERROR(__xludf.DUMMYFUNCTION("""COMPUTED_VALUE"""),3300.0)</f>
        <v>3300</v>
      </c>
      <c r="E370" s="2">
        <f>IFERROR(__xludf.DUMMYFUNCTION("""COMPUTED_VALUE"""),3320.0)</f>
        <v>3320</v>
      </c>
      <c r="F370" s="2">
        <f>IFERROR(__xludf.DUMMYFUNCTION("""COMPUTED_VALUE"""),3497700.0)</f>
        <v>3497700</v>
      </c>
      <c r="G370" s="2">
        <f t="shared" si="1"/>
        <v>70</v>
      </c>
    </row>
    <row r="371" ht="15.75" customHeight="1">
      <c r="A371" s="1">
        <f>IFERROR(__xludf.DUMMYFUNCTION("""COMPUTED_VALUE"""),44389.625)</f>
        <v>44389.625</v>
      </c>
      <c r="B371" s="2">
        <f>IFERROR(__xludf.DUMMYFUNCTION("""COMPUTED_VALUE"""),3330.0)</f>
        <v>3330</v>
      </c>
      <c r="C371" s="2">
        <f>IFERROR(__xludf.DUMMYFUNCTION("""COMPUTED_VALUE"""),3340.0)</f>
        <v>3340</v>
      </c>
      <c r="D371" s="2">
        <f>IFERROR(__xludf.DUMMYFUNCTION("""COMPUTED_VALUE"""),3250.0)</f>
        <v>3250</v>
      </c>
      <c r="E371" s="2">
        <f>IFERROR(__xludf.DUMMYFUNCTION("""COMPUTED_VALUE"""),3300.0)</f>
        <v>3300</v>
      </c>
      <c r="F371" s="2">
        <f>IFERROR(__xludf.DUMMYFUNCTION("""COMPUTED_VALUE"""),7727400.0)</f>
        <v>7727400</v>
      </c>
      <c r="G371" s="2">
        <f t="shared" si="1"/>
        <v>90</v>
      </c>
    </row>
    <row r="372" ht="15.75" customHeight="1">
      <c r="A372" s="1">
        <f>IFERROR(__xludf.DUMMYFUNCTION("""COMPUTED_VALUE"""),44390.625)</f>
        <v>44390.625</v>
      </c>
      <c r="B372" s="2">
        <f>IFERROR(__xludf.DUMMYFUNCTION("""COMPUTED_VALUE"""),3320.0)</f>
        <v>3320</v>
      </c>
      <c r="C372" s="2">
        <f>IFERROR(__xludf.DUMMYFUNCTION("""COMPUTED_VALUE"""),3410.0)</f>
        <v>3410</v>
      </c>
      <c r="D372" s="2">
        <f>IFERROR(__xludf.DUMMYFUNCTION("""COMPUTED_VALUE"""),3310.0)</f>
        <v>3310</v>
      </c>
      <c r="E372" s="2">
        <f>IFERROR(__xludf.DUMMYFUNCTION("""COMPUTED_VALUE"""),3390.0)</f>
        <v>3390</v>
      </c>
      <c r="F372" s="2">
        <f>IFERROR(__xludf.DUMMYFUNCTION("""COMPUTED_VALUE"""),4393300.0)</f>
        <v>4393300</v>
      </c>
      <c r="G372" s="2">
        <f t="shared" si="1"/>
        <v>110</v>
      </c>
    </row>
    <row r="373" ht="15.75" customHeight="1">
      <c r="A373" s="1">
        <f>IFERROR(__xludf.DUMMYFUNCTION("""COMPUTED_VALUE"""),44391.625)</f>
        <v>44391.625</v>
      </c>
      <c r="B373" s="2">
        <f>IFERROR(__xludf.DUMMYFUNCTION("""COMPUTED_VALUE"""),3430.0)</f>
        <v>3430</v>
      </c>
      <c r="C373" s="2">
        <f>IFERROR(__xludf.DUMMYFUNCTION("""COMPUTED_VALUE"""),3530.0)</f>
        <v>3530</v>
      </c>
      <c r="D373" s="2">
        <f>IFERROR(__xludf.DUMMYFUNCTION("""COMPUTED_VALUE"""),3390.0)</f>
        <v>3390</v>
      </c>
      <c r="E373" s="2">
        <f>IFERROR(__xludf.DUMMYFUNCTION("""COMPUTED_VALUE"""),3500.0)</f>
        <v>3500</v>
      </c>
      <c r="F373" s="2">
        <f>IFERROR(__xludf.DUMMYFUNCTION("""COMPUTED_VALUE"""),4786100.0)</f>
        <v>4786100</v>
      </c>
      <c r="G373" s="2">
        <f t="shared" si="1"/>
        <v>140</v>
      </c>
    </row>
    <row r="374" ht="15.75" customHeight="1">
      <c r="A374" s="1">
        <f>IFERROR(__xludf.DUMMYFUNCTION("""COMPUTED_VALUE"""),44392.625)</f>
        <v>44392.625</v>
      </c>
      <c r="B374" s="2">
        <f>IFERROR(__xludf.DUMMYFUNCTION("""COMPUTED_VALUE"""),3510.0)</f>
        <v>3510</v>
      </c>
      <c r="C374" s="2">
        <f>IFERROR(__xludf.DUMMYFUNCTION("""COMPUTED_VALUE"""),3650.0)</f>
        <v>3650</v>
      </c>
      <c r="D374" s="2">
        <f>IFERROR(__xludf.DUMMYFUNCTION("""COMPUTED_VALUE"""),3480.0)</f>
        <v>3480</v>
      </c>
      <c r="E374" s="2">
        <f>IFERROR(__xludf.DUMMYFUNCTION("""COMPUTED_VALUE"""),3650.0)</f>
        <v>3650</v>
      </c>
      <c r="F374" s="2">
        <f>IFERROR(__xludf.DUMMYFUNCTION("""COMPUTED_VALUE"""),5023300.0)</f>
        <v>5023300</v>
      </c>
      <c r="G374" s="2">
        <f t="shared" si="1"/>
        <v>170</v>
      </c>
    </row>
    <row r="375" ht="15.75" customHeight="1">
      <c r="A375" s="1">
        <f>IFERROR(__xludf.DUMMYFUNCTION("""COMPUTED_VALUE"""),44393.625)</f>
        <v>44393.625</v>
      </c>
      <c r="B375" s="2">
        <f>IFERROR(__xludf.DUMMYFUNCTION("""COMPUTED_VALUE"""),3650.0)</f>
        <v>3650</v>
      </c>
      <c r="C375" s="2">
        <f>IFERROR(__xludf.DUMMYFUNCTION("""COMPUTED_VALUE"""),3700.0)</f>
        <v>3700</v>
      </c>
      <c r="D375" s="2">
        <f>IFERROR(__xludf.DUMMYFUNCTION("""COMPUTED_VALUE"""),3580.0)</f>
        <v>3580</v>
      </c>
      <c r="E375" s="2">
        <f>IFERROR(__xludf.DUMMYFUNCTION("""COMPUTED_VALUE"""),3690.0)</f>
        <v>3690</v>
      </c>
      <c r="F375" s="2">
        <f>IFERROR(__xludf.DUMMYFUNCTION("""COMPUTED_VALUE"""),3073200.0)</f>
        <v>3073200</v>
      </c>
      <c r="G375" s="2">
        <f t="shared" si="1"/>
        <v>120</v>
      </c>
    </row>
    <row r="376" ht="15.75" customHeight="1">
      <c r="A376" s="1">
        <f>IFERROR(__xludf.DUMMYFUNCTION("""COMPUTED_VALUE"""),44396.625)</f>
        <v>44396.625</v>
      </c>
      <c r="B376" s="2">
        <f>IFERROR(__xludf.DUMMYFUNCTION("""COMPUTED_VALUE"""),3680.0)</f>
        <v>3680</v>
      </c>
      <c r="C376" s="2">
        <f>IFERROR(__xludf.DUMMYFUNCTION("""COMPUTED_VALUE"""),3680.0)</f>
        <v>3680</v>
      </c>
      <c r="D376" s="2">
        <f>IFERROR(__xludf.DUMMYFUNCTION("""COMPUTED_VALUE"""),3600.0)</f>
        <v>3600</v>
      </c>
      <c r="E376" s="2">
        <f>IFERROR(__xludf.DUMMYFUNCTION("""COMPUTED_VALUE"""),3620.0)</f>
        <v>3620</v>
      </c>
      <c r="F376" s="2">
        <f>IFERROR(__xludf.DUMMYFUNCTION("""COMPUTED_VALUE"""),843500.0)</f>
        <v>843500</v>
      </c>
      <c r="G376" s="2">
        <f t="shared" si="1"/>
        <v>90</v>
      </c>
    </row>
    <row r="377" ht="15.75" customHeight="1">
      <c r="A377" s="1">
        <f>IFERROR(__xludf.DUMMYFUNCTION("""COMPUTED_VALUE"""),44398.625)</f>
        <v>44398.625</v>
      </c>
      <c r="B377" s="2">
        <f>IFERROR(__xludf.DUMMYFUNCTION("""COMPUTED_VALUE"""),3620.0)</f>
        <v>3620</v>
      </c>
      <c r="C377" s="2">
        <f>IFERROR(__xludf.DUMMYFUNCTION("""COMPUTED_VALUE"""),3760.0)</f>
        <v>3760</v>
      </c>
      <c r="D377" s="2">
        <f>IFERROR(__xludf.DUMMYFUNCTION("""COMPUTED_VALUE"""),3620.0)</f>
        <v>3620</v>
      </c>
      <c r="E377" s="2">
        <f>IFERROR(__xludf.DUMMYFUNCTION("""COMPUTED_VALUE"""),3720.0)</f>
        <v>3720</v>
      </c>
      <c r="F377" s="2">
        <f>IFERROR(__xludf.DUMMYFUNCTION("""COMPUTED_VALUE"""),5651400.0)</f>
        <v>5651400</v>
      </c>
      <c r="G377" s="2">
        <f t="shared" si="1"/>
        <v>140</v>
      </c>
    </row>
    <row r="378" ht="15.75" customHeight="1">
      <c r="A378" s="1">
        <f>IFERROR(__xludf.DUMMYFUNCTION("""COMPUTED_VALUE"""),44399.625)</f>
        <v>44399.625</v>
      </c>
      <c r="B378" s="2">
        <f>IFERROR(__xludf.DUMMYFUNCTION("""COMPUTED_VALUE"""),3740.0)</f>
        <v>3740</v>
      </c>
      <c r="C378" s="2">
        <f>IFERROR(__xludf.DUMMYFUNCTION("""COMPUTED_VALUE"""),3890.0)</f>
        <v>3890</v>
      </c>
      <c r="D378" s="2">
        <f>IFERROR(__xludf.DUMMYFUNCTION("""COMPUTED_VALUE"""),3730.0)</f>
        <v>3730</v>
      </c>
      <c r="E378" s="2">
        <f>IFERROR(__xludf.DUMMYFUNCTION("""COMPUTED_VALUE"""),3880.0)</f>
        <v>3880</v>
      </c>
      <c r="F378" s="2">
        <f>IFERROR(__xludf.DUMMYFUNCTION("""COMPUTED_VALUE"""),4696300.0)</f>
        <v>4696300</v>
      </c>
      <c r="G378" s="2">
        <f t="shared" si="1"/>
        <v>170</v>
      </c>
    </row>
    <row r="379" ht="15.75" customHeight="1">
      <c r="A379" s="1">
        <f>IFERROR(__xludf.DUMMYFUNCTION("""COMPUTED_VALUE"""),44400.625)</f>
        <v>44400.625</v>
      </c>
      <c r="B379" s="2">
        <f>IFERROR(__xludf.DUMMYFUNCTION("""COMPUTED_VALUE"""),3890.0)</f>
        <v>3890</v>
      </c>
      <c r="C379" s="2">
        <f>IFERROR(__xludf.DUMMYFUNCTION("""COMPUTED_VALUE"""),4000.0)</f>
        <v>4000</v>
      </c>
      <c r="D379" s="2">
        <f>IFERROR(__xludf.DUMMYFUNCTION("""COMPUTED_VALUE"""),3810.0)</f>
        <v>3810</v>
      </c>
      <c r="E379" s="2">
        <f>IFERROR(__xludf.DUMMYFUNCTION("""COMPUTED_VALUE"""),3980.0)</f>
        <v>3980</v>
      </c>
      <c r="F379" s="2">
        <f>IFERROR(__xludf.DUMMYFUNCTION("""COMPUTED_VALUE"""),9424200.0)</f>
        <v>9424200</v>
      </c>
      <c r="G379" s="2">
        <f t="shared" si="1"/>
        <v>190</v>
      </c>
    </row>
    <row r="380" ht="15.75" customHeight="1">
      <c r="A380" s="1">
        <f>IFERROR(__xludf.DUMMYFUNCTION("""COMPUTED_VALUE"""),44403.625)</f>
        <v>44403.625</v>
      </c>
      <c r="B380" s="2">
        <f>IFERROR(__xludf.DUMMYFUNCTION("""COMPUTED_VALUE"""),3980.0)</f>
        <v>3980</v>
      </c>
      <c r="C380" s="2">
        <f>IFERROR(__xludf.DUMMYFUNCTION("""COMPUTED_VALUE"""),4080.0)</f>
        <v>4080</v>
      </c>
      <c r="D380" s="2">
        <f>IFERROR(__xludf.DUMMYFUNCTION("""COMPUTED_VALUE"""),3940.0)</f>
        <v>3940</v>
      </c>
      <c r="E380" s="2">
        <f>IFERROR(__xludf.DUMMYFUNCTION("""COMPUTED_VALUE"""),4050.0)</f>
        <v>4050</v>
      </c>
      <c r="F380" s="2">
        <f>IFERROR(__xludf.DUMMYFUNCTION("""COMPUTED_VALUE"""),6400700.0)</f>
        <v>6400700</v>
      </c>
      <c r="G380" s="2">
        <f t="shared" si="1"/>
        <v>140</v>
      </c>
    </row>
    <row r="381" ht="15.75" customHeight="1">
      <c r="A381" s="1">
        <f>IFERROR(__xludf.DUMMYFUNCTION("""COMPUTED_VALUE"""),44404.625)</f>
        <v>44404.625</v>
      </c>
      <c r="B381" s="2">
        <f>IFERROR(__xludf.DUMMYFUNCTION("""COMPUTED_VALUE"""),4050.0)</f>
        <v>4050</v>
      </c>
      <c r="C381" s="2">
        <f>IFERROR(__xludf.DUMMYFUNCTION("""COMPUTED_VALUE"""),4080.0)</f>
        <v>4080</v>
      </c>
      <c r="D381" s="2">
        <f>IFERROR(__xludf.DUMMYFUNCTION("""COMPUTED_VALUE"""),3850.0)</f>
        <v>3850</v>
      </c>
      <c r="E381" s="2">
        <f>IFERROR(__xludf.DUMMYFUNCTION("""COMPUTED_VALUE"""),3890.0)</f>
        <v>3890</v>
      </c>
      <c r="F381" s="2">
        <f>IFERROR(__xludf.DUMMYFUNCTION("""COMPUTED_VALUE"""),5672300.0)</f>
        <v>5672300</v>
      </c>
      <c r="G381" s="2">
        <f t="shared" si="1"/>
        <v>230</v>
      </c>
    </row>
    <row r="382" ht="15.75" customHeight="1">
      <c r="A382" s="1">
        <f>IFERROR(__xludf.DUMMYFUNCTION("""COMPUTED_VALUE"""),44405.625)</f>
        <v>44405.625</v>
      </c>
      <c r="B382" s="2">
        <f>IFERROR(__xludf.DUMMYFUNCTION("""COMPUTED_VALUE"""),3890.0)</f>
        <v>3890</v>
      </c>
      <c r="C382" s="2">
        <f>IFERROR(__xludf.DUMMYFUNCTION("""COMPUTED_VALUE"""),3910.0)</f>
        <v>3910</v>
      </c>
      <c r="D382" s="2">
        <f>IFERROR(__xludf.DUMMYFUNCTION("""COMPUTED_VALUE"""),3800.0)</f>
        <v>3800</v>
      </c>
      <c r="E382" s="2">
        <f>IFERROR(__xludf.DUMMYFUNCTION("""COMPUTED_VALUE"""),3840.0)</f>
        <v>3840</v>
      </c>
      <c r="F382" s="2">
        <f>IFERROR(__xludf.DUMMYFUNCTION("""COMPUTED_VALUE"""),4537000.0)</f>
        <v>4537000</v>
      </c>
      <c r="G382" s="2">
        <f t="shared" si="1"/>
        <v>110</v>
      </c>
    </row>
    <row r="383" ht="15.75" customHeight="1">
      <c r="A383" s="1">
        <f>IFERROR(__xludf.DUMMYFUNCTION("""COMPUTED_VALUE"""),44406.625)</f>
        <v>44406.625</v>
      </c>
      <c r="B383" s="2">
        <f>IFERROR(__xludf.DUMMYFUNCTION("""COMPUTED_VALUE"""),3880.0)</f>
        <v>3880</v>
      </c>
      <c r="C383" s="2">
        <f>IFERROR(__xludf.DUMMYFUNCTION("""COMPUTED_VALUE"""),4040.0)</f>
        <v>4040</v>
      </c>
      <c r="D383" s="2">
        <f>IFERROR(__xludf.DUMMYFUNCTION("""COMPUTED_VALUE"""),3800.0)</f>
        <v>3800</v>
      </c>
      <c r="E383" s="2">
        <f>IFERROR(__xludf.DUMMYFUNCTION("""COMPUTED_VALUE"""),3850.0)</f>
        <v>3850</v>
      </c>
      <c r="F383" s="2">
        <f>IFERROR(__xludf.DUMMYFUNCTION("""COMPUTED_VALUE"""),1.20185E7)</f>
        <v>12018500</v>
      </c>
      <c r="G383" s="2">
        <f t="shared" si="1"/>
        <v>240</v>
      </c>
    </row>
    <row r="384" ht="15.75" customHeight="1">
      <c r="A384" s="1">
        <f>IFERROR(__xludf.DUMMYFUNCTION("""COMPUTED_VALUE"""),44407.625)</f>
        <v>44407.625</v>
      </c>
      <c r="B384" s="2">
        <f>IFERROR(__xludf.DUMMYFUNCTION("""COMPUTED_VALUE"""),3800.0)</f>
        <v>3800</v>
      </c>
      <c r="C384" s="2">
        <f>IFERROR(__xludf.DUMMYFUNCTION("""COMPUTED_VALUE"""),3960.0)</f>
        <v>3960</v>
      </c>
      <c r="D384" s="2">
        <f>IFERROR(__xludf.DUMMYFUNCTION("""COMPUTED_VALUE"""),3800.0)</f>
        <v>3800</v>
      </c>
      <c r="E384" s="2">
        <f>IFERROR(__xludf.DUMMYFUNCTION("""COMPUTED_VALUE"""),3940.0)</f>
        <v>3940</v>
      </c>
      <c r="F384" s="2">
        <f>IFERROR(__xludf.DUMMYFUNCTION("""COMPUTED_VALUE"""),5323900.0)</f>
        <v>5323900</v>
      </c>
      <c r="G384" s="2">
        <f t="shared" si="1"/>
        <v>160</v>
      </c>
    </row>
    <row r="385" ht="15.75" customHeight="1">
      <c r="A385" s="1">
        <f>IFERROR(__xludf.DUMMYFUNCTION("""COMPUTED_VALUE"""),44410.625)</f>
        <v>44410.625</v>
      </c>
      <c r="B385" s="2">
        <f>IFERROR(__xludf.DUMMYFUNCTION("""COMPUTED_VALUE"""),3940.0)</f>
        <v>3940</v>
      </c>
      <c r="C385" s="2">
        <f>IFERROR(__xludf.DUMMYFUNCTION("""COMPUTED_VALUE"""),4030.0)</f>
        <v>4030</v>
      </c>
      <c r="D385" s="2">
        <f>IFERROR(__xludf.DUMMYFUNCTION("""COMPUTED_VALUE"""),3860.0)</f>
        <v>3860</v>
      </c>
      <c r="E385" s="2">
        <f>IFERROR(__xludf.DUMMYFUNCTION("""COMPUTED_VALUE"""),4020.0)</f>
        <v>4020</v>
      </c>
      <c r="F385" s="2">
        <f>IFERROR(__xludf.DUMMYFUNCTION("""COMPUTED_VALUE"""),2899600.0)</f>
        <v>2899600</v>
      </c>
      <c r="G385" s="2">
        <f t="shared" si="1"/>
        <v>170</v>
      </c>
    </row>
    <row r="386" ht="15.75" customHeight="1">
      <c r="A386" s="1">
        <f>IFERROR(__xludf.DUMMYFUNCTION("""COMPUTED_VALUE"""),44411.625)</f>
        <v>44411.625</v>
      </c>
      <c r="B386" s="2">
        <f>IFERROR(__xludf.DUMMYFUNCTION("""COMPUTED_VALUE"""),4040.0)</f>
        <v>4040</v>
      </c>
      <c r="C386" s="2">
        <f>IFERROR(__xludf.DUMMYFUNCTION("""COMPUTED_VALUE"""),4060.0)</f>
        <v>4060</v>
      </c>
      <c r="D386" s="2">
        <f>IFERROR(__xludf.DUMMYFUNCTION("""COMPUTED_VALUE"""),3890.0)</f>
        <v>3890</v>
      </c>
      <c r="E386" s="2">
        <f>IFERROR(__xludf.DUMMYFUNCTION("""COMPUTED_VALUE"""),3890.0)</f>
        <v>3890</v>
      </c>
      <c r="F386" s="2">
        <f>IFERROR(__xludf.DUMMYFUNCTION("""COMPUTED_VALUE"""),3804000.0)</f>
        <v>3804000</v>
      </c>
      <c r="G386" s="2">
        <f t="shared" si="1"/>
        <v>170</v>
      </c>
    </row>
    <row r="387" ht="15.75" customHeight="1">
      <c r="A387" s="1">
        <f>IFERROR(__xludf.DUMMYFUNCTION("""COMPUTED_VALUE"""),44412.625)</f>
        <v>44412.625</v>
      </c>
      <c r="B387" s="2">
        <f>IFERROR(__xludf.DUMMYFUNCTION("""COMPUTED_VALUE"""),3900.0)</f>
        <v>3900</v>
      </c>
      <c r="C387" s="2">
        <f>IFERROR(__xludf.DUMMYFUNCTION("""COMPUTED_VALUE"""),3950.0)</f>
        <v>3950</v>
      </c>
      <c r="D387" s="2">
        <f>IFERROR(__xludf.DUMMYFUNCTION("""COMPUTED_VALUE"""),3700.0)</f>
        <v>3700</v>
      </c>
      <c r="E387" s="2">
        <f>IFERROR(__xludf.DUMMYFUNCTION("""COMPUTED_VALUE"""),3820.0)</f>
        <v>3820</v>
      </c>
      <c r="F387" s="2">
        <f>IFERROR(__xludf.DUMMYFUNCTION("""COMPUTED_VALUE"""),6658900.0)</f>
        <v>6658900</v>
      </c>
      <c r="G387" s="2">
        <f t="shared" si="1"/>
        <v>250</v>
      </c>
    </row>
    <row r="388" ht="15.75" customHeight="1">
      <c r="A388" s="1">
        <f>IFERROR(__xludf.DUMMYFUNCTION("""COMPUTED_VALUE"""),44413.625)</f>
        <v>44413.625</v>
      </c>
      <c r="B388" s="2">
        <f>IFERROR(__xludf.DUMMYFUNCTION("""COMPUTED_VALUE"""),3800.0)</f>
        <v>3800</v>
      </c>
      <c r="C388" s="2">
        <f>IFERROR(__xludf.DUMMYFUNCTION("""COMPUTED_VALUE"""),3810.0)</f>
        <v>3810</v>
      </c>
      <c r="D388" s="2">
        <f>IFERROR(__xludf.DUMMYFUNCTION("""COMPUTED_VALUE"""),3760.0)</f>
        <v>3760</v>
      </c>
      <c r="E388" s="2">
        <f>IFERROR(__xludf.DUMMYFUNCTION("""COMPUTED_VALUE"""),3810.0)</f>
        <v>3810</v>
      </c>
      <c r="F388" s="2">
        <f>IFERROR(__xludf.DUMMYFUNCTION("""COMPUTED_VALUE"""),1775100.0)</f>
        <v>1775100</v>
      </c>
      <c r="G388" s="2">
        <f t="shared" si="1"/>
        <v>60</v>
      </c>
    </row>
    <row r="389" ht="15.75" customHeight="1">
      <c r="A389" s="1">
        <f>IFERROR(__xludf.DUMMYFUNCTION("""COMPUTED_VALUE"""),44414.625)</f>
        <v>44414.625</v>
      </c>
      <c r="B389" s="2">
        <f>IFERROR(__xludf.DUMMYFUNCTION("""COMPUTED_VALUE"""),3820.0)</f>
        <v>3820</v>
      </c>
      <c r="C389" s="2">
        <f>IFERROR(__xludf.DUMMYFUNCTION("""COMPUTED_VALUE"""),3840.0)</f>
        <v>3840</v>
      </c>
      <c r="D389" s="2">
        <f>IFERROR(__xludf.DUMMYFUNCTION("""COMPUTED_VALUE"""),3750.0)</f>
        <v>3750</v>
      </c>
      <c r="E389" s="2">
        <f>IFERROR(__xludf.DUMMYFUNCTION("""COMPUTED_VALUE"""),3750.0)</f>
        <v>3750</v>
      </c>
      <c r="F389" s="2">
        <f>IFERROR(__xludf.DUMMYFUNCTION("""COMPUTED_VALUE"""),2610100.0)</f>
        <v>2610100</v>
      </c>
      <c r="G389" s="2">
        <f t="shared" si="1"/>
        <v>90</v>
      </c>
    </row>
    <row r="390" ht="15.75" customHeight="1">
      <c r="A390" s="1">
        <f>IFERROR(__xludf.DUMMYFUNCTION("""COMPUTED_VALUE"""),44417.625)</f>
        <v>44417.625</v>
      </c>
      <c r="B390" s="2">
        <f>IFERROR(__xludf.DUMMYFUNCTION("""COMPUTED_VALUE"""),3780.0)</f>
        <v>3780</v>
      </c>
      <c r="C390" s="2">
        <f>IFERROR(__xludf.DUMMYFUNCTION("""COMPUTED_VALUE"""),3790.0)</f>
        <v>3790</v>
      </c>
      <c r="D390" s="2">
        <f>IFERROR(__xludf.DUMMYFUNCTION("""COMPUTED_VALUE"""),3710.0)</f>
        <v>3710</v>
      </c>
      <c r="E390" s="2">
        <f>IFERROR(__xludf.DUMMYFUNCTION("""COMPUTED_VALUE"""),3710.0)</f>
        <v>3710</v>
      </c>
      <c r="F390" s="2">
        <f>IFERROR(__xludf.DUMMYFUNCTION("""COMPUTED_VALUE"""),2015600.0)</f>
        <v>2015600</v>
      </c>
      <c r="G390" s="2">
        <f t="shared" si="1"/>
        <v>80</v>
      </c>
    </row>
    <row r="391" ht="15.75" customHeight="1">
      <c r="A391" s="1">
        <f>IFERROR(__xludf.DUMMYFUNCTION("""COMPUTED_VALUE"""),44418.625)</f>
        <v>44418.625</v>
      </c>
      <c r="B391" s="2">
        <f>IFERROR(__xludf.DUMMYFUNCTION("""COMPUTED_VALUE"""),3710.0)</f>
        <v>3710</v>
      </c>
      <c r="C391" s="2">
        <f>IFERROR(__xludf.DUMMYFUNCTION("""COMPUTED_VALUE"""),3740.0)</f>
        <v>3740</v>
      </c>
      <c r="D391" s="2">
        <f>IFERROR(__xludf.DUMMYFUNCTION("""COMPUTED_VALUE"""),3650.0)</f>
        <v>3650</v>
      </c>
      <c r="E391" s="2">
        <f>IFERROR(__xludf.DUMMYFUNCTION("""COMPUTED_VALUE"""),3740.0)</f>
        <v>3740</v>
      </c>
      <c r="F391" s="2">
        <f>IFERROR(__xludf.DUMMYFUNCTION("""COMPUTED_VALUE"""),2080700.0)</f>
        <v>2080700</v>
      </c>
      <c r="G391" s="2">
        <f t="shared" si="1"/>
        <v>90</v>
      </c>
    </row>
    <row r="392" ht="15.75" customHeight="1">
      <c r="A392" s="1">
        <f>IFERROR(__xludf.DUMMYFUNCTION("""COMPUTED_VALUE"""),44420.625)</f>
        <v>44420.625</v>
      </c>
      <c r="B392" s="2">
        <f>IFERROR(__xludf.DUMMYFUNCTION("""COMPUTED_VALUE"""),3750.0)</f>
        <v>3750</v>
      </c>
      <c r="C392" s="2">
        <f>IFERROR(__xludf.DUMMYFUNCTION("""COMPUTED_VALUE"""),3940.0)</f>
        <v>3940</v>
      </c>
      <c r="D392" s="2">
        <f>IFERROR(__xludf.DUMMYFUNCTION("""COMPUTED_VALUE"""),3730.0)</f>
        <v>3730</v>
      </c>
      <c r="E392" s="2">
        <f>IFERROR(__xludf.DUMMYFUNCTION("""COMPUTED_VALUE"""),3930.0)</f>
        <v>3930</v>
      </c>
      <c r="F392" s="2">
        <f>IFERROR(__xludf.DUMMYFUNCTION("""COMPUTED_VALUE"""),4000900.0)</f>
        <v>4000900</v>
      </c>
      <c r="G392" s="2">
        <f t="shared" si="1"/>
        <v>210</v>
      </c>
    </row>
    <row r="393" ht="15.75" customHeight="1">
      <c r="A393" s="1">
        <f>IFERROR(__xludf.DUMMYFUNCTION("""COMPUTED_VALUE"""),44421.625)</f>
        <v>44421.625</v>
      </c>
      <c r="B393" s="2">
        <f>IFERROR(__xludf.DUMMYFUNCTION("""COMPUTED_VALUE"""),3940.0)</f>
        <v>3940</v>
      </c>
      <c r="C393" s="2">
        <f>IFERROR(__xludf.DUMMYFUNCTION("""COMPUTED_VALUE"""),3950.0)</f>
        <v>3950</v>
      </c>
      <c r="D393" s="2">
        <f>IFERROR(__xludf.DUMMYFUNCTION("""COMPUTED_VALUE"""),3850.0)</f>
        <v>3850</v>
      </c>
      <c r="E393" s="2">
        <f>IFERROR(__xludf.DUMMYFUNCTION("""COMPUTED_VALUE"""),3910.0)</f>
        <v>3910</v>
      </c>
      <c r="F393" s="2">
        <f>IFERROR(__xludf.DUMMYFUNCTION("""COMPUTED_VALUE"""),3249800.0)</f>
        <v>3249800</v>
      </c>
      <c r="G393" s="2">
        <f t="shared" si="1"/>
        <v>100</v>
      </c>
    </row>
    <row r="394" ht="15.75" customHeight="1">
      <c r="A394" s="1">
        <f>IFERROR(__xludf.DUMMYFUNCTION("""COMPUTED_VALUE"""),44424.625)</f>
        <v>44424.625</v>
      </c>
      <c r="B394" s="2">
        <f>IFERROR(__xludf.DUMMYFUNCTION("""COMPUTED_VALUE"""),3920.0)</f>
        <v>3920</v>
      </c>
      <c r="C394" s="2">
        <f>IFERROR(__xludf.DUMMYFUNCTION("""COMPUTED_VALUE"""),3920.0)</f>
        <v>3920</v>
      </c>
      <c r="D394" s="2">
        <f>IFERROR(__xludf.DUMMYFUNCTION("""COMPUTED_VALUE"""),3800.0)</f>
        <v>3800</v>
      </c>
      <c r="E394" s="2">
        <f>IFERROR(__xludf.DUMMYFUNCTION("""COMPUTED_VALUE"""),3810.0)</f>
        <v>3810</v>
      </c>
      <c r="F394" s="2">
        <f>IFERROR(__xludf.DUMMYFUNCTION("""COMPUTED_VALUE"""),4407200.0)</f>
        <v>4407200</v>
      </c>
      <c r="G394" s="2">
        <f t="shared" si="1"/>
        <v>120</v>
      </c>
    </row>
    <row r="395" ht="15.75" customHeight="1">
      <c r="A395" s="1">
        <f>IFERROR(__xludf.DUMMYFUNCTION("""COMPUTED_VALUE"""),44426.625)</f>
        <v>44426.625</v>
      </c>
      <c r="B395" s="2">
        <f>IFERROR(__xludf.DUMMYFUNCTION("""COMPUTED_VALUE"""),3840.0)</f>
        <v>3840</v>
      </c>
      <c r="C395" s="2">
        <f>IFERROR(__xludf.DUMMYFUNCTION("""COMPUTED_VALUE"""),4020.0)</f>
        <v>4020</v>
      </c>
      <c r="D395" s="2">
        <f>IFERROR(__xludf.DUMMYFUNCTION("""COMPUTED_VALUE"""),3800.0)</f>
        <v>3800</v>
      </c>
      <c r="E395" s="2">
        <f>IFERROR(__xludf.DUMMYFUNCTION("""COMPUTED_VALUE"""),4000.0)</f>
        <v>4000</v>
      </c>
      <c r="F395" s="2">
        <f>IFERROR(__xludf.DUMMYFUNCTION("""COMPUTED_VALUE"""),6364700.0)</f>
        <v>6364700</v>
      </c>
      <c r="G395" s="2">
        <f t="shared" si="1"/>
        <v>220</v>
      </c>
    </row>
    <row r="396" ht="15.75" customHeight="1">
      <c r="A396" s="1">
        <f>IFERROR(__xludf.DUMMYFUNCTION("""COMPUTED_VALUE"""),44427.625)</f>
        <v>44427.625</v>
      </c>
      <c r="B396" s="2">
        <f>IFERROR(__xludf.DUMMYFUNCTION("""COMPUTED_VALUE"""),4000.0)</f>
        <v>4000</v>
      </c>
      <c r="C396" s="2">
        <f>IFERROR(__xludf.DUMMYFUNCTION("""COMPUTED_VALUE"""),4020.0)</f>
        <v>4020</v>
      </c>
      <c r="D396" s="2">
        <f>IFERROR(__xludf.DUMMYFUNCTION("""COMPUTED_VALUE"""),3880.0)</f>
        <v>3880</v>
      </c>
      <c r="E396" s="2">
        <f>IFERROR(__xludf.DUMMYFUNCTION("""COMPUTED_VALUE"""),3970.0)</f>
        <v>3970</v>
      </c>
      <c r="F396" s="2">
        <f>IFERROR(__xludf.DUMMYFUNCTION("""COMPUTED_VALUE"""),3128800.0)</f>
        <v>3128800</v>
      </c>
      <c r="G396" s="2">
        <f t="shared" si="1"/>
        <v>140</v>
      </c>
    </row>
    <row r="397" ht="15.75" customHeight="1">
      <c r="A397" s="1">
        <f>IFERROR(__xludf.DUMMYFUNCTION("""COMPUTED_VALUE"""),44428.625)</f>
        <v>44428.625</v>
      </c>
      <c r="B397" s="2">
        <f>IFERROR(__xludf.DUMMYFUNCTION("""COMPUTED_VALUE"""),3980.0)</f>
        <v>3980</v>
      </c>
      <c r="C397" s="2">
        <f>IFERROR(__xludf.DUMMYFUNCTION("""COMPUTED_VALUE"""),4050.0)</f>
        <v>4050</v>
      </c>
      <c r="D397" s="2">
        <f>IFERROR(__xludf.DUMMYFUNCTION("""COMPUTED_VALUE"""),3910.0)</f>
        <v>3910</v>
      </c>
      <c r="E397" s="2">
        <f>IFERROR(__xludf.DUMMYFUNCTION("""COMPUTED_VALUE"""),3970.0)</f>
        <v>3970</v>
      </c>
      <c r="F397" s="2">
        <f>IFERROR(__xludf.DUMMYFUNCTION("""COMPUTED_VALUE"""),6324500.0)</f>
        <v>6324500</v>
      </c>
      <c r="G397" s="2">
        <f t="shared" si="1"/>
        <v>140</v>
      </c>
    </row>
    <row r="398" ht="15.75" customHeight="1">
      <c r="A398" s="1">
        <f>IFERROR(__xludf.DUMMYFUNCTION("""COMPUTED_VALUE"""),44431.66666666667)</f>
        <v>44431.66667</v>
      </c>
      <c r="B398" s="2">
        <f>IFERROR(__xludf.DUMMYFUNCTION("""COMPUTED_VALUE"""),3990.0)</f>
        <v>3990</v>
      </c>
      <c r="C398" s="2">
        <f>IFERROR(__xludf.DUMMYFUNCTION("""COMPUTED_VALUE"""),4040.0)</f>
        <v>4040</v>
      </c>
      <c r="D398" s="2">
        <f>IFERROR(__xludf.DUMMYFUNCTION("""COMPUTED_VALUE"""),3980.0)</f>
        <v>3980</v>
      </c>
      <c r="E398" s="2">
        <f>IFERROR(__xludf.DUMMYFUNCTION("""COMPUTED_VALUE"""),4020.0)</f>
        <v>4020</v>
      </c>
      <c r="F398" s="2">
        <f>IFERROR(__xludf.DUMMYFUNCTION("""COMPUTED_VALUE"""),3213500.0)</f>
        <v>3213500</v>
      </c>
      <c r="G398" s="2">
        <f t="shared" si="1"/>
        <v>70</v>
      </c>
    </row>
    <row r="399" ht="15.75" customHeight="1">
      <c r="A399" s="1">
        <f>IFERROR(__xludf.DUMMYFUNCTION("""COMPUTED_VALUE"""),44432.66666666667)</f>
        <v>44432.66667</v>
      </c>
      <c r="B399" s="2">
        <f>IFERROR(__xludf.DUMMYFUNCTION("""COMPUTED_VALUE"""),4020.0)</f>
        <v>4020</v>
      </c>
      <c r="C399" s="2">
        <f>IFERROR(__xludf.DUMMYFUNCTION("""COMPUTED_VALUE"""),4030.0)</f>
        <v>4030</v>
      </c>
      <c r="D399" s="2">
        <f>IFERROR(__xludf.DUMMYFUNCTION("""COMPUTED_VALUE"""),3860.0)</f>
        <v>3860</v>
      </c>
      <c r="E399" s="2">
        <f>IFERROR(__xludf.DUMMYFUNCTION("""COMPUTED_VALUE"""),3940.0)</f>
        <v>3940</v>
      </c>
      <c r="F399" s="2">
        <f>IFERROR(__xludf.DUMMYFUNCTION("""COMPUTED_VALUE"""),3108700.0)</f>
        <v>3108700</v>
      </c>
      <c r="G399" s="2">
        <f t="shared" si="1"/>
        <v>170</v>
      </c>
    </row>
    <row r="400" ht="15.75" customHeight="1">
      <c r="A400" s="1">
        <f>IFERROR(__xludf.DUMMYFUNCTION("""COMPUTED_VALUE"""),44433.625)</f>
        <v>44433.625</v>
      </c>
      <c r="B400" s="2">
        <f>IFERROR(__xludf.DUMMYFUNCTION("""COMPUTED_VALUE"""),3940.0)</f>
        <v>3940</v>
      </c>
      <c r="C400" s="2">
        <f>IFERROR(__xludf.DUMMYFUNCTION("""COMPUTED_VALUE"""),3950.0)</f>
        <v>3950</v>
      </c>
      <c r="D400" s="2">
        <f>IFERROR(__xludf.DUMMYFUNCTION("""COMPUTED_VALUE"""),3900.0)</f>
        <v>3900</v>
      </c>
      <c r="E400" s="2">
        <f>IFERROR(__xludf.DUMMYFUNCTION("""COMPUTED_VALUE"""),3940.0)</f>
        <v>3940</v>
      </c>
      <c r="F400" s="2">
        <f>IFERROR(__xludf.DUMMYFUNCTION("""COMPUTED_VALUE"""),651200.0)</f>
        <v>651200</v>
      </c>
      <c r="G400" s="2">
        <f t="shared" si="1"/>
        <v>50</v>
      </c>
    </row>
    <row r="401" ht="15.75" customHeight="1">
      <c r="A401" s="1">
        <f>IFERROR(__xludf.DUMMYFUNCTION("""COMPUTED_VALUE"""),44434.625)</f>
        <v>44434.625</v>
      </c>
      <c r="B401" s="2">
        <f>IFERROR(__xludf.DUMMYFUNCTION("""COMPUTED_VALUE"""),3940.0)</f>
        <v>3940</v>
      </c>
      <c r="C401" s="2">
        <f>IFERROR(__xludf.DUMMYFUNCTION("""COMPUTED_VALUE"""),3940.0)</f>
        <v>3940</v>
      </c>
      <c r="D401" s="2">
        <f>IFERROR(__xludf.DUMMYFUNCTION("""COMPUTED_VALUE"""),3860.0)</f>
        <v>3860</v>
      </c>
      <c r="E401" s="2">
        <f>IFERROR(__xludf.DUMMYFUNCTION("""COMPUTED_VALUE"""),3860.0)</f>
        <v>3860</v>
      </c>
      <c r="F401" s="2">
        <f>IFERROR(__xludf.DUMMYFUNCTION("""COMPUTED_VALUE"""),2974700.0)</f>
        <v>2974700</v>
      </c>
      <c r="G401" s="2">
        <f t="shared" si="1"/>
        <v>80</v>
      </c>
    </row>
    <row r="402" ht="15.75" customHeight="1">
      <c r="A402" s="1">
        <f>IFERROR(__xludf.DUMMYFUNCTION("""COMPUTED_VALUE"""),44435.625)</f>
        <v>44435.625</v>
      </c>
      <c r="B402" s="2">
        <f>IFERROR(__xludf.DUMMYFUNCTION("""COMPUTED_VALUE"""),3860.0)</f>
        <v>3860</v>
      </c>
      <c r="C402" s="2">
        <f>IFERROR(__xludf.DUMMYFUNCTION("""COMPUTED_VALUE"""),3900.0)</f>
        <v>3900</v>
      </c>
      <c r="D402" s="2">
        <f>IFERROR(__xludf.DUMMYFUNCTION("""COMPUTED_VALUE"""),3770.0)</f>
        <v>3770</v>
      </c>
      <c r="E402" s="2">
        <f>IFERROR(__xludf.DUMMYFUNCTION("""COMPUTED_VALUE"""),3770.0)</f>
        <v>3770</v>
      </c>
      <c r="F402" s="2">
        <f>IFERROR(__xludf.DUMMYFUNCTION("""COMPUTED_VALUE"""),2095700.0)</f>
        <v>2095700</v>
      </c>
      <c r="G402" s="2">
        <f t="shared" si="1"/>
        <v>130</v>
      </c>
    </row>
    <row r="403" ht="15.75" customHeight="1">
      <c r="A403" s="1">
        <f>IFERROR(__xludf.DUMMYFUNCTION("""COMPUTED_VALUE"""),44438.625)</f>
        <v>44438.625</v>
      </c>
      <c r="B403" s="2">
        <f>IFERROR(__xludf.DUMMYFUNCTION("""COMPUTED_VALUE"""),3810.0)</f>
        <v>3810</v>
      </c>
      <c r="C403" s="2">
        <f>IFERROR(__xludf.DUMMYFUNCTION("""COMPUTED_VALUE"""),3860.0)</f>
        <v>3860</v>
      </c>
      <c r="D403" s="2">
        <f>IFERROR(__xludf.DUMMYFUNCTION("""COMPUTED_VALUE"""),3790.0)</f>
        <v>3790</v>
      </c>
      <c r="E403" s="2">
        <f>IFERROR(__xludf.DUMMYFUNCTION("""COMPUTED_VALUE"""),3830.0)</f>
        <v>3830</v>
      </c>
      <c r="F403" s="2">
        <f>IFERROR(__xludf.DUMMYFUNCTION("""COMPUTED_VALUE"""),3127700.0)</f>
        <v>3127700</v>
      </c>
      <c r="G403" s="2">
        <f t="shared" si="1"/>
        <v>90</v>
      </c>
    </row>
    <row r="404" ht="15.75" customHeight="1">
      <c r="A404" s="1">
        <f>IFERROR(__xludf.DUMMYFUNCTION("""COMPUTED_VALUE"""),44439.625)</f>
        <v>44439.625</v>
      </c>
      <c r="B404" s="2">
        <f>IFERROR(__xludf.DUMMYFUNCTION("""COMPUTED_VALUE"""),3840.0)</f>
        <v>3840</v>
      </c>
      <c r="C404" s="2">
        <f>IFERROR(__xludf.DUMMYFUNCTION("""COMPUTED_VALUE"""),3980.0)</f>
        <v>3980</v>
      </c>
      <c r="D404" s="2">
        <f>IFERROR(__xludf.DUMMYFUNCTION("""COMPUTED_VALUE"""),3820.0)</f>
        <v>3820</v>
      </c>
      <c r="E404" s="2">
        <f>IFERROR(__xludf.DUMMYFUNCTION("""COMPUTED_VALUE"""),3960.0)</f>
        <v>3960</v>
      </c>
      <c r="F404" s="2">
        <f>IFERROR(__xludf.DUMMYFUNCTION("""COMPUTED_VALUE"""),5458800.0)</f>
        <v>5458800</v>
      </c>
      <c r="G404" s="2">
        <f t="shared" si="1"/>
        <v>160</v>
      </c>
    </row>
    <row r="405" ht="15.75" customHeight="1">
      <c r="A405" s="1">
        <f>IFERROR(__xludf.DUMMYFUNCTION("""COMPUTED_VALUE"""),44440.625)</f>
        <v>44440.625</v>
      </c>
      <c r="B405" s="2">
        <f>IFERROR(__xludf.DUMMYFUNCTION("""COMPUTED_VALUE"""),3950.0)</f>
        <v>3950</v>
      </c>
      <c r="C405" s="2">
        <f>IFERROR(__xludf.DUMMYFUNCTION("""COMPUTED_VALUE"""),3950.0)</f>
        <v>3950</v>
      </c>
      <c r="D405" s="2">
        <f>IFERROR(__xludf.DUMMYFUNCTION("""COMPUTED_VALUE"""),3870.0)</f>
        <v>3870</v>
      </c>
      <c r="E405" s="2">
        <f>IFERROR(__xludf.DUMMYFUNCTION("""COMPUTED_VALUE"""),3910.0)</f>
        <v>3910</v>
      </c>
      <c r="F405" s="2">
        <f>IFERROR(__xludf.DUMMYFUNCTION("""COMPUTED_VALUE"""),1496200.0)</f>
        <v>1496200</v>
      </c>
      <c r="G405" s="2">
        <f t="shared" si="1"/>
        <v>90</v>
      </c>
    </row>
    <row r="406" ht="15.75" customHeight="1">
      <c r="A406" s="1">
        <f>IFERROR(__xludf.DUMMYFUNCTION("""COMPUTED_VALUE"""),44441.625)</f>
        <v>44441.625</v>
      </c>
      <c r="B406" s="2">
        <f>IFERROR(__xludf.DUMMYFUNCTION("""COMPUTED_VALUE"""),3910.0)</f>
        <v>3910</v>
      </c>
      <c r="C406" s="2">
        <f>IFERROR(__xludf.DUMMYFUNCTION("""COMPUTED_VALUE"""),3970.0)</f>
        <v>3970</v>
      </c>
      <c r="D406" s="2">
        <f>IFERROR(__xludf.DUMMYFUNCTION("""COMPUTED_VALUE"""),3900.0)</f>
        <v>3900</v>
      </c>
      <c r="E406" s="2">
        <f>IFERROR(__xludf.DUMMYFUNCTION("""COMPUTED_VALUE"""),3950.0)</f>
        <v>3950</v>
      </c>
      <c r="F406" s="2">
        <f>IFERROR(__xludf.DUMMYFUNCTION("""COMPUTED_VALUE"""),805500.0)</f>
        <v>805500</v>
      </c>
      <c r="G406" s="2">
        <f t="shared" si="1"/>
        <v>70</v>
      </c>
    </row>
    <row r="407" ht="15.75" customHeight="1">
      <c r="A407" s="1">
        <f>IFERROR(__xludf.DUMMYFUNCTION("""COMPUTED_VALUE"""),44442.625)</f>
        <v>44442.625</v>
      </c>
      <c r="B407" s="2">
        <f>IFERROR(__xludf.DUMMYFUNCTION("""COMPUTED_VALUE"""),3950.0)</f>
        <v>3950</v>
      </c>
      <c r="C407" s="2">
        <f>IFERROR(__xludf.DUMMYFUNCTION("""COMPUTED_VALUE"""),3990.0)</f>
        <v>3990</v>
      </c>
      <c r="D407" s="2">
        <f>IFERROR(__xludf.DUMMYFUNCTION("""COMPUTED_VALUE"""),3940.0)</f>
        <v>3940</v>
      </c>
      <c r="E407" s="2">
        <f>IFERROR(__xludf.DUMMYFUNCTION("""COMPUTED_VALUE"""),3980.0)</f>
        <v>3980</v>
      </c>
      <c r="F407" s="2">
        <f>IFERROR(__xludf.DUMMYFUNCTION("""COMPUTED_VALUE"""),1495500.0)</f>
        <v>1495500</v>
      </c>
      <c r="G407" s="2">
        <f t="shared" si="1"/>
        <v>50</v>
      </c>
    </row>
    <row r="408" ht="15.75" customHeight="1">
      <c r="A408" s="1">
        <f>IFERROR(__xludf.DUMMYFUNCTION("""COMPUTED_VALUE"""),44445.625)</f>
        <v>44445.625</v>
      </c>
      <c r="B408" s="2">
        <f>IFERROR(__xludf.DUMMYFUNCTION("""COMPUTED_VALUE"""),3990.0)</f>
        <v>3990</v>
      </c>
      <c r="C408" s="2">
        <f>IFERROR(__xludf.DUMMYFUNCTION("""COMPUTED_VALUE"""),4110.0)</f>
        <v>4110</v>
      </c>
      <c r="D408" s="2">
        <f>IFERROR(__xludf.DUMMYFUNCTION("""COMPUTED_VALUE"""),3980.0)</f>
        <v>3980</v>
      </c>
      <c r="E408" s="2">
        <f>IFERROR(__xludf.DUMMYFUNCTION("""COMPUTED_VALUE"""),4090.0)</f>
        <v>4090</v>
      </c>
      <c r="F408" s="2">
        <f>IFERROR(__xludf.DUMMYFUNCTION("""COMPUTED_VALUE"""),8418000.0)</f>
        <v>8418000</v>
      </c>
      <c r="G408" s="2">
        <f t="shared" si="1"/>
        <v>130</v>
      </c>
    </row>
    <row r="409" ht="15.75" customHeight="1">
      <c r="A409" s="1">
        <f>IFERROR(__xludf.DUMMYFUNCTION("""COMPUTED_VALUE"""),44446.625)</f>
        <v>44446.625</v>
      </c>
      <c r="B409" s="2">
        <f>IFERROR(__xludf.DUMMYFUNCTION("""COMPUTED_VALUE"""),4090.0)</f>
        <v>4090</v>
      </c>
      <c r="C409" s="2">
        <f>IFERROR(__xludf.DUMMYFUNCTION("""COMPUTED_VALUE"""),4130.0)</f>
        <v>4130</v>
      </c>
      <c r="D409" s="2">
        <f>IFERROR(__xludf.DUMMYFUNCTION("""COMPUTED_VALUE"""),4020.0)</f>
        <v>4020</v>
      </c>
      <c r="E409" s="2">
        <f>IFERROR(__xludf.DUMMYFUNCTION("""COMPUTED_VALUE"""),4060.0)</f>
        <v>4060</v>
      </c>
      <c r="F409" s="2">
        <f>IFERROR(__xludf.DUMMYFUNCTION("""COMPUTED_VALUE"""),3304200.0)</f>
        <v>3304200</v>
      </c>
      <c r="G409" s="2">
        <f t="shared" si="1"/>
        <v>110</v>
      </c>
    </row>
    <row r="410" ht="15.75" customHeight="1">
      <c r="A410" s="1">
        <f>IFERROR(__xludf.DUMMYFUNCTION("""COMPUTED_VALUE"""),44447.625)</f>
        <v>44447.625</v>
      </c>
      <c r="B410" s="2">
        <f>IFERROR(__xludf.DUMMYFUNCTION("""COMPUTED_VALUE"""),4050.0)</f>
        <v>4050</v>
      </c>
      <c r="C410" s="2">
        <f>IFERROR(__xludf.DUMMYFUNCTION("""COMPUTED_VALUE"""),4050.0)</f>
        <v>4050</v>
      </c>
      <c r="D410" s="2">
        <f>IFERROR(__xludf.DUMMYFUNCTION("""COMPUTED_VALUE"""),3920.0)</f>
        <v>3920</v>
      </c>
      <c r="E410" s="2">
        <f>IFERROR(__xludf.DUMMYFUNCTION("""COMPUTED_VALUE"""),3920.0)</f>
        <v>3920</v>
      </c>
      <c r="F410" s="2">
        <f>IFERROR(__xludf.DUMMYFUNCTION("""COMPUTED_VALUE"""),3651500.0)</f>
        <v>3651500</v>
      </c>
      <c r="G410" s="2">
        <f t="shared" si="1"/>
        <v>140</v>
      </c>
    </row>
    <row r="411" ht="15.75" customHeight="1">
      <c r="A411" s="1">
        <f>IFERROR(__xludf.DUMMYFUNCTION("""COMPUTED_VALUE"""),44448.625)</f>
        <v>44448.625</v>
      </c>
      <c r="B411" s="2">
        <f>IFERROR(__xludf.DUMMYFUNCTION("""COMPUTED_VALUE"""),3950.0)</f>
        <v>3950</v>
      </c>
      <c r="C411" s="2">
        <f>IFERROR(__xludf.DUMMYFUNCTION("""COMPUTED_VALUE"""),4040.0)</f>
        <v>4040</v>
      </c>
      <c r="D411" s="2">
        <f>IFERROR(__xludf.DUMMYFUNCTION("""COMPUTED_VALUE"""),3940.0)</f>
        <v>3940</v>
      </c>
      <c r="E411" s="2">
        <f>IFERROR(__xludf.DUMMYFUNCTION("""COMPUTED_VALUE"""),4000.0)</f>
        <v>4000</v>
      </c>
      <c r="F411" s="2">
        <f>IFERROR(__xludf.DUMMYFUNCTION("""COMPUTED_VALUE"""),6675400.0)</f>
        <v>6675400</v>
      </c>
      <c r="G411" s="2">
        <f t="shared" si="1"/>
        <v>120</v>
      </c>
    </row>
    <row r="412" ht="15.75" customHeight="1">
      <c r="A412" s="1">
        <f>IFERROR(__xludf.DUMMYFUNCTION("""COMPUTED_VALUE"""),44449.625)</f>
        <v>44449.625</v>
      </c>
      <c r="B412" s="2">
        <f>IFERROR(__xludf.DUMMYFUNCTION("""COMPUTED_VALUE"""),4000.0)</f>
        <v>4000</v>
      </c>
      <c r="C412" s="2">
        <f>IFERROR(__xludf.DUMMYFUNCTION("""COMPUTED_VALUE"""),4050.0)</f>
        <v>4050</v>
      </c>
      <c r="D412" s="2">
        <f>IFERROR(__xludf.DUMMYFUNCTION("""COMPUTED_VALUE"""),4000.0)</f>
        <v>4000</v>
      </c>
      <c r="E412" s="2">
        <f>IFERROR(__xludf.DUMMYFUNCTION("""COMPUTED_VALUE"""),4000.0)</f>
        <v>4000</v>
      </c>
      <c r="F412" s="2">
        <f>IFERROR(__xludf.DUMMYFUNCTION("""COMPUTED_VALUE"""),1230300.0)</f>
        <v>1230300</v>
      </c>
      <c r="G412" s="2">
        <f t="shared" si="1"/>
        <v>50</v>
      </c>
    </row>
    <row r="413" ht="15.75" customHeight="1">
      <c r="A413" s="1">
        <f>IFERROR(__xludf.DUMMYFUNCTION("""COMPUTED_VALUE"""),44452.625)</f>
        <v>44452.625</v>
      </c>
      <c r="B413" s="2">
        <f>IFERROR(__xludf.DUMMYFUNCTION("""COMPUTED_VALUE"""),4000.0)</f>
        <v>4000</v>
      </c>
      <c r="C413" s="2">
        <f>IFERROR(__xludf.DUMMYFUNCTION("""COMPUTED_VALUE"""),4000.0)</f>
        <v>4000</v>
      </c>
      <c r="D413" s="2">
        <f>IFERROR(__xludf.DUMMYFUNCTION("""COMPUTED_VALUE"""),3880.0)</f>
        <v>3880</v>
      </c>
      <c r="E413" s="2">
        <f>IFERROR(__xludf.DUMMYFUNCTION("""COMPUTED_VALUE"""),3900.0)</f>
        <v>3900</v>
      </c>
      <c r="F413" s="2">
        <f>IFERROR(__xludf.DUMMYFUNCTION("""COMPUTED_VALUE"""),3175900.0)</f>
        <v>3175900</v>
      </c>
      <c r="G413" s="2">
        <f t="shared" si="1"/>
        <v>120</v>
      </c>
    </row>
    <row r="414" ht="15.75" customHeight="1">
      <c r="A414" s="1">
        <f>IFERROR(__xludf.DUMMYFUNCTION("""COMPUTED_VALUE"""),44453.625)</f>
        <v>44453.625</v>
      </c>
      <c r="B414" s="2">
        <f>IFERROR(__xludf.DUMMYFUNCTION("""COMPUTED_VALUE"""),3910.0)</f>
        <v>3910</v>
      </c>
      <c r="C414" s="2">
        <f>IFERROR(__xludf.DUMMYFUNCTION("""COMPUTED_VALUE"""),3990.0)</f>
        <v>3990</v>
      </c>
      <c r="D414" s="2">
        <f>IFERROR(__xludf.DUMMYFUNCTION("""COMPUTED_VALUE"""),3900.0)</f>
        <v>3900</v>
      </c>
      <c r="E414" s="2">
        <f>IFERROR(__xludf.DUMMYFUNCTION("""COMPUTED_VALUE"""),3930.0)</f>
        <v>3930</v>
      </c>
      <c r="F414" s="2">
        <f>IFERROR(__xludf.DUMMYFUNCTION("""COMPUTED_VALUE"""),3359500.0)</f>
        <v>3359500</v>
      </c>
      <c r="G414" s="2">
        <f t="shared" si="1"/>
        <v>90</v>
      </c>
    </row>
    <row r="415" ht="15.75" customHeight="1">
      <c r="A415" s="1">
        <f>IFERROR(__xludf.DUMMYFUNCTION("""COMPUTED_VALUE"""),44454.625)</f>
        <v>44454.625</v>
      </c>
      <c r="B415" s="2">
        <f>IFERROR(__xludf.DUMMYFUNCTION("""COMPUTED_VALUE"""),3940.0)</f>
        <v>3940</v>
      </c>
      <c r="C415" s="2">
        <f>IFERROR(__xludf.DUMMYFUNCTION("""COMPUTED_VALUE"""),3970.0)</f>
        <v>3970</v>
      </c>
      <c r="D415" s="2">
        <f>IFERROR(__xludf.DUMMYFUNCTION("""COMPUTED_VALUE"""),3910.0)</f>
        <v>3910</v>
      </c>
      <c r="E415" s="2">
        <f>IFERROR(__xludf.DUMMYFUNCTION("""COMPUTED_VALUE"""),3910.0)</f>
        <v>3910</v>
      </c>
      <c r="F415" s="2">
        <f>IFERROR(__xludf.DUMMYFUNCTION("""COMPUTED_VALUE"""),3531000.0)</f>
        <v>3531000</v>
      </c>
      <c r="G415" s="2">
        <f t="shared" si="1"/>
        <v>60</v>
      </c>
    </row>
    <row r="416" ht="15.75" customHeight="1">
      <c r="A416" s="1">
        <f>IFERROR(__xludf.DUMMYFUNCTION("""COMPUTED_VALUE"""),44455.625)</f>
        <v>44455.625</v>
      </c>
      <c r="B416" s="2">
        <f>IFERROR(__xludf.DUMMYFUNCTION("""COMPUTED_VALUE"""),3930.0)</f>
        <v>3930</v>
      </c>
      <c r="C416" s="2">
        <f>IFERROR(__xludf.DUMMYFUNCTION("""COMPUTED_VALUE"""),3970.0)</f>
        <v>3970</v>
      </c>
      <c r="D416" s="2">
        <f>IFERROR(__xludf.DUMMYFUNCTION("""COMPUTED_VALUE"""),3890.0)</f>
        <v>3890</v>
      </c>
      <c r="E416" s="2">
        <f>IFERROR(__xludf.DUMMYFUNCTION("""COMPUTED_VALUE"""),3930.0)</f>
        <v>3930</v>
      </c>
      <c r="F416" s="2">
        <f>IFERROR(__xludf.DUMMYFUNCTION("""COMPUTED_VALUE"""),3391700.0)</f>
        <v>3391700</v>
      </c>
      <c r="G416" s="2">
        <f t="shared" si="1"/>
        <v>80</v>
      </c>
    </row>
    <row r="417" ht="15.75" customHeight="1">
      <c r="A417" s="1">
        <f>IFERROR(__xludf.DUMMYFUNCTION("""COMPUTED_VALUE"""),44456.625)</f>
        <v>44456.625</v>
      </c>
      <c r="B417" s="2">
        <f>IFERROR(__xludf.DUMMYFUNCTION("""COMPUTED_VALUE"""),3930.0)</f>
        <v>3930</v>
      </c>
      <c r="C417" s="2">
        <f>IFERROR(__xludf.DUMMYFUNCTION("""COMPUTED_VALUE"""),3930.0)</f>
        <v>3930</v>
      </c>
      <c r="D417" s="2">
        <f>IFERROR(__xludf.DUMMYFUNCTION("""COMPUTED_VALUE"""),3880.0)</f>
        <v>3880</v>
      </c>
      <c r="E417" s="2">
        <f>IFERROR(__xludf.DUMMYFUNCTION("""COMPUTED_VALUE"""),3880.0)</f>
        <v>3880</v>
      </c>
      <c r="F417" s="2">
        <f>IFERROR(__xludf.DUMMYFUNCTION("""COMPUTED_VALUE"""),2922900.0)</f>
        <v>2922900</v>
      </c>
      <c r="G417" s="2">
        <f t="shared" si="1"/>
        <v>50</v>
      </c>
    </row>
    <row r="418" ht="15.75" customHeight="1">
      <c r="A418" s="1">
        <f>IFERROR(__xludf.DUMMYFUNCTION("""COMPUTED_VALUE"""),44459.625)</f>
        <v>44459.625</v>
      </c>
      <c r="B418" s="2">
        <f>IFERROR(__xludf.DUMMYFUNCTION("""COMPUTED_VALUE"""),3920.0)</f>
        <v>3920</v>
      </c>
      <c r="C418" s="2">
        <f>IFERROR(__xludf.DUMMYFUNCTION("""COMPUTED_VALUE"""),3930.0)</f>
        <v>3930</v>
      </c>
      <c r="D418" s="2">
        <f>IFERROR(__xludf.DUMMYFUNCTION("""COMPUTED_VALUE"""),3800.0)</f>
        <v>3800</v>
      </c>
      <c r="E418" s="2">
        <f>IFERROR(__xludf.DUMMYFUNCTION("""COMPUTED_VALUE"""),3800.0)</f>
        <v>3800</v>
      </c>
      <c r="F418" s="2">
        <f>IFERROR(__xludf.DUMMYFUNCTION("""COMPUTED_VALUE"""),5313300.0)</f>
        <v>5313300</v>
      </c>
      <c r="G418" s="2">
        <f t="shared" si="1"/>
        <v>130</v>
      </c>
    </row>
    <row r="419" ht="15.75" customHeight="1">
      <c r="A419" s="1">
        <f>IFERROR(__xludf.DUMMYFUNCTION("""COMPUTED_VALUE"""),44460.625)</f>
        <v>44460.625</v>
      </c>
      <c r="B419" s="2">
        <f>IFERROR(__xludf.DUMMYFUNCTION("""COMPUTED_VALUE"""),3800.0)</f>
        <v>3800</v>
      </c>
      <c r="C419" s="2">
        <f>IFERROR(__xludf.DUMMYFUNCTION("""COMPUTED_VALUE"""),3920.0)</f>
        <v>3920</v>
      </c>
      <c r="D419" s="2">
        <f>IFERROR(__xludf.DUMMYFUNCTION("""COMPUTED_VALUE"""),3770.0)</f>
        <v>3770</v>
      </c>
      <c r="E419" s="2">
        <f>IFERROR(__xludf.DUMMYFUNCTION("""COMPUTED_VALUE"""),3830.0)</f>
        <v>3830</v>
      </c>
      <c r="F419" s="2">
        <f>IFERROR(__xludf.DUMMYFUNCTION("""COMPUTED_VALUE"""),7130500.0)</f>
        <v>7130500</v>
      </c>
      <c r="G419" s="2">
        <f t="shared" si="1"/>
        <v>150</v>
      </c>
    </row>
    <row r="420" ht="15.75" customHeight="1">
      <c r="A420" s="1">
        <f>IFERROR(__xludf.DUMMYFUNCTION("""COMPUTED_VALUE"""),44461.625)</f>
        <v>44461.625</v>
      </c>
      <c r="B420" s="2">
        <f>IFERROR(__xludf.DUMMYFUNCTION("""COMPUTED_VALUE"""),3830.0)</f>
        <v>3830</v>
      </c>
      <c r="C420" s="2">
        <f>IFERROR(__xludf.DUMMYFUNCTION("""COMPUTED_VALUE"""),3970.0)</f>
        <v>3970</v>
      </c>
      <c r="D420" s="2">
        <f>IFERROR(__xludf.DUMMYFUNCTION("""COMPUTED_VALUE"""),3830.0)</f>
        <v>3830</v>
      </c>
      <c r="E420" s="2">
        <f>IFERROR(__xludf.DUMMYFUNCTION("""COMPUTED_VALUE"""),3920.0)</f>
        <v>3920</v>
      </c>
      <c r="F420" s="2">
        <f>IFERROR(__xludf.DUMMYFUNCTION("""COMPUTED_VALUE"""),5463900.0)</f>
        <v>5463900</v>
      </c>
      <c r="G420" s="2">
        <f t="shared" si="1"/>
        <v>140</v>
      </c>
    </row>
    <row r="421" ht="15.75" customHeight="1">
      <c r="A421" s="1">
        <f>IFERROR(__xludf.DUMMYFUNCTION("""COMPUTED_VALUE"""),44462.625)</f>
        <v>44462.625</v>
      </c>
      <c r="B421" s="2">
        <f>IFERROR(__xludf.DUMMYFUNCTION("""COMPUTED_VALUE"""),3930.0)</f>
        <v>3930</v>
      </c>
      <c r="C421" s="2">
        <f>IFERROR(__xludf.DUMMYFUNCTION("""COMPUTED_VALUE"""),3960.0)</f>
        <v>3960</v>
      </c>
      <c r="D421" s="2">
        <f>IFERROR(__xludf.DUMMYFUNCTION("""COMPUTED_VALUE"""),3860.0)</f>
        <v>3860</v>
      </c>
      <c r="E421" s="2">
        <f>IFERROR(__xludf.DUMMYFUNCTION("""COMPUTED_VALUE"""),3870.0)</f>
        <v>3870</v>
      </c>
      <c r="F421" s="2">
        <f>IFERROR(__xludf.DUMMYFUNCTION("""COMPUTED_VALUE"""),2520700.0)</f>
        <v>2520700</v>
      </c>
      <c r="G421" s="2">
        <f t="shared" si="1"/>
        <v>100</v>
      </c>
    </row>
    <row r="422" ht="15.75" customHeight="1">
      <c r="A422" s="1">
        <f>IFERROR(__xludf.DUMMYFUNCTION("""COMPUTED_VALUE"""),44463.625)</f>
        <v>44463.625</v>
      </c>
      <c r="B422" s="2">
        <f>IFERROR(__xludf.DUMMYFUNCTION("""COMPUTED_VALUE"""),3870.0)</f>
        <v>3870</v>
      </c>
      <c r="C422" s="2">
        <f>IFERROR(__xludf.DUMMYFUNCTION("""COMPUTED_VALUE"""),3880.0)</f>
        <v>3880</v>
      </c>
      <c r="D422" s="2">
        <f>IFERROR(__xludf.DUMMYFUNCTION("""COMPUTED_VALUE"""),3800.0)</f>
        <v>3800</v>
      </c>
      <c r="E422" s="2">
        <f>IFERROR(__xludf.DUMMYFUNCTION("""COMPUTED_VALUE"""),3800.0)</f>
        <v>3800</v>
      </c>
      <c r="F422" s="2">
        <f>IFERROR(__xludf.DUMMYFUNCTION("""COMPUTED_VALUE"""),6362200.0)</f>
        <v>6362200</v>
      </c>
      <c r="G422" s="2">
        <f t="shared" si="1"/>
        <v>80</v>
      </c>
    </row>
    <row r="423" ht="15.75" customHeight="1">
      <c r="A423" s="1">
        <f>IFERROR(__xludf.DUMMYFUNCTION("""COMPUTED_VALUE"""),44466.625)</f>
        <v>44466.625</v>
      </c>
      <c r="B423" s="2">
        <f>IFERROR(__xludf.DUMMYFUNCTION("""COMPUTED_VALUE"""),3800.0)</f>
        <v>3800</v>
      </c>
      <c r="C423" s="2">
        <f>IFERROR(__xludf.DUMMYFUNCTION("""COMPUTED_VALUE"""),3840.0)</f>
        <v>3840</v>
      </c>
      <c r="D423" s="2">
        <f>IFERROR(__xludf.DUMMYFUNCTION("""COMPUTED_VALUE"""),3760.0)</f>
        <v>3760</v>
      </c>
      <c r="E423" s="2">
        <f>IFERROR(__xludf.DUMMYFUNCTION("""COMPUTED_VALUE"""),3770.0)</f>
        <v>3770</v>
      </c>
      <c r="F423" s="2">
        <f>IFERROR(__xludf.DUMMYFUNCTION("""COMPUTED_VALUE"""),3073800.0)</f>
        <v>3073800</v>
      </c>
      <c r="G423" s="2">
        <f t="shared" si="1"/>
        <v>80</v>
      </c>
    </row>
    <row r="424" ht="15.75" customHeight="1">
      <c r="A424" s="1">
        <f>IFERROR(__xludf.DUMMYFUNCTION("""COMPUTED_VALUE"""),44467.625)</f>
        <v>44467.625</v>
      </c>
      <c r="B424" s="2">
        <f>IFERROR(__xludf.DUMMYFUNCTION("""COMPUTED_VALUE"""),3770.0)</f>
        <v>3770</v>
      </c>
      <c r="C424" s="2">
        <f>IFERROR(__xludf.DUMMYFUNCTION("""COMPUTED_VALUE"""),3810.0)</f>
        <v>3810</v>
      </c>
      <c r="D424" s="2">
        <f>IFERROR(__xludf.DUMMYFUNCTION("""COMPUTED_VALUE"""),3770.0)</f>
        <v>3770</v>
      </c>
      <c r="E424" s="2">
        <f>IFERROR(__xludf.DUMMYFUNCTION("""COMPUTED_VALUE"""),3800.0)</f>
        <v>3800</v>
      </c>
      <c r="F424" s="2">
        <f>IFERROR(__xludf.DUMMYFUNCTION("""COMPUTED_VALUE"""),2276700.0)</f>
        <v>2276700</v>
      </c>
      <c r="G424" s="2">
        <f t="shared" si="1"/>
        <v>40</v>
      </c>
    </row>
    <row r="425" ht="15.75" customHeight="1">
      <c r="A425" s="1">
        <f>IFERROR(__xludf.DUMMYFUNCTION("""COMPUTED_VALUE"""),44468.625)</f>
        <v>44468.625</v>
      </c>
      <c r="B425" s="2">
        <f>IFERROR(__xludf.DUMMYFUNCTION("""COMPUTED_VALUE"""),3800.0)</f>
        <v>3800</v>
      </c>
      <c r="C425" s="2">
        <f>IFERROR(__xludf.DUMMYFUNCTION("""COMPUTED_VALUE"""),3860.0)</f>
        <v>3860</v>
      </c>
      <c r="D425" s="2">
        <f>IFERROR(__xludf.DUMMYFUNCTION("""COMPUTED_VALUE"""),3800.0)</f>
        <v>3800</v>
      </c>
      <c r="E425" s="2">
        <f>IFERROR(__xludf.DUMMYFUNCTION("""COMPUTED_VALUE"""),3850.0)</f>
        <v>3850</v>
      </c>
      <c r="F425" s="2">
        <f>IFERROR(__xludf.DUMMYFUNCTION("""COMPUTED_VALUE"""),3437400.0)</f>
        <v>3437400</v>
      </c>
      <c r="G425" s="2">
        <f t="shared" si="1"/>
        <v>60</v>
      </c>
    </row>
    <row r="426" ht="15.75" customHeight="1">
      <c r="A426" s="1">
        <f>IFERROR(__xludf.DUMMYFUNCTION("""COMPUTED_VALUE"""),44469.625)</f>
        <v>44469.625</v>
      </c>
      <c r="B426" s="2">
        <f>IFERROR(__xludf.DUMMYFUNCTION("""COMPUTED_VALUE"""),3870.0)</f>
        <v>3870</v>
      </c>
      <c r="C426" s="2">
        <f>IFERROR(__xludf.DUMMYFUNCTION("""COMPUTED_VALUE"""),3890.0)</f>
        <v>3890</v>
      </c>
      <c r="D426" s="2">
        <f>IFERROR(__xludf.DUMMYFUNCTION("""COMPUTED_VALUE"""),3830.0)</f>
        <v>3830</v>
      </c>
      <c r="E426" s="2">
        <f>IFERROR(__xludf.DUMMYFUNCTION("""COMPUTED_VALUE"""),3880.0)</f>
        <v>3880</v>
      </c>
      <c r="F426" s="2">
        <f>IFERROR(__xludf.DUMMYFUNCTION("""COMPUTED_VALUE"""),6658200.0)</f>
        <v>6658200</v>
      </c>
      <c r="G426" s="2">
        <f t="shared" si="1"/>
        <v>60</v>
      </c>
    </row>
    <row r="427" ht="15.75" customHeight="1">
      <c r="A427" s="1">
        <f>IFERROR(__xludf.DUMMYFUNCTION("""COMPUTED_VALUE"""),44470.625)</f>
        <v>44470.625</v>
      </c>
      <c r="B427" s="2">
        <f>IFERROR(__xludf.DUMMYFUNCTION("""COMPUTED_VALUE"""),3870.0)</f>
        <v>3870</v>
      </c>
      <c r="C427" s="2">
        <f>IFERROR(__xludf.DUMMYFUNCTION("""COMPUTED_VALUE"""),3960.0)</f>
        <v>3960</v>
      </c>
      <c r="D427" s="2">
        <f>IFERROR(__xludf.DUMMYFUNCTION("""COMPUTED_VALUE"""),3850.0)</f>
        <v>3850</v>
      </c>
      <c r="E427" s="2">
        <f>IFERROR(__xludf.DUMMYFUNCTION("""COMPUTED_VALUE"""),3930.0)</f>
        <v>3930</v>
      </c>
      <c r="F427" s="2">
        <f>IFERROR(__xludf.DUMMYFUNCTION("""COMPUTED_VALUE"""),5839400.0)</f>
        <v>5839400</v>
      </c>
      <c r="G427" s="2">
        <f t="shared" si="1"/>
        <v>110</v>
      </c>
    </row>
    <row r="428" ht="15.75" customHeight="1">
      <c r="A428" s="1">
        <f>IFERROR(__xludf.DUMMYFUNCTION("""COMPUTED_VALUE"""),44473.625)</f>
        <v>44473.625</v>
      </c>
      <c r="B428" s="2">
        <f>IFERROR(__xludf.DUMMYFUNCTION("""COMPUTED_VALUE"""),3940.0)</f>
        <v>3940</v>
      </c>
      <c r="C428" s="2">
        <f>IFERROR(__xludf.DUMMYFUNCTION("""COMPUTED_VALUE"""),4090.0)</f>
        <v>4090</v>
      </c>
      <c r="D428" s="2">
        <f>IFERROR(__xludf.DUMMYFUNCTION("""COMPUTED_VALUE"""),3940.0)</f>
        <v>3940</v>
      </c>
      <c r="E428" s="2">
        <f>IFERROR(__xludf.DUMMYFUNCTION("""COMPUTED_VALUE"""),4070.0)</f>
        <v>4070</v>
      </c>
      <c r="F428" s="2">
        <f>IFERROR(__xludf.DUMMYFUNCTION("""COMPUTED_VALUE"""),8212800.0)</f>
        <v>8212800</v>
      </c>
      <c r="G428" s="2">
        <f t="shared" si="1"/>
        <v>160</v>
      </c>
    </row>
    <row r="429" ht="15.75" customHeight="1">
      <c r="A429" s="1">
        <f>IFERROR(__xludf.DUMMYFUNCTION("""COMPUTED_VALUE"""),44474.625)</f>
        <v>44474.625</v>
      </c>
      <c r="B429" s="2">
        <f>IFERROR(__xludf.DUMMYFUNCTION("""COMPUTED_VALUE"""),4070.0)</f>
        <v>4070</v>
      </c>
      <c r="C429" s="2">
        <f>IFERROR(__xludf.DUMMYFUNCTION("""COMPUTED_VALUE"""),4080.0)</f>
        <v>4080</v>
      </c>
      <c r="D429" s="2">
        <f>IFERROR(__xludf.DUMMYFUNCTION("""COMPUTED_VALUE"""),3910.0)</f>
        <v>3910</v>
      </c>
      <c r="E429" s="2">
        <f>IFERROR(__xludf.DUMMYFUNCTION("""COMPUTED_VALUE"""),3930.0)</f>
        <v>3930</v>
      </c>
      <c r="F429" s="2">
        <f>IFERROR(__xludf.DUMMYFUNCTION("""COMPUTED_VALUE"""),5494500.0)</f>
        <v>5494500</v>
      </c>
      <c r="G429" s="2">
        <f t="shared" si="1"/>
        <v>170</v>
      </c>
    </row>
    <row r="430" ht="15.75" customHeight="1">
      <c r="A430" s="1">
        <f>IFERROR(__xludf.DUMMYFUNCTION("""COMPUTED_VALUE"""),44475.625)</f>
        <v>44475.625</v>
      </c>
      <c r="B430" s="2">
        <f>IFERROR(__xludf.DUMMYFUNCTION("""COMPUTED_VALUE"""),3930.0)</f>
        <v>3930</v>
      </c>
      <c r="C430" s="2">
        <f>IFERROR(__xludf.DUMMYFUNCTION("""COMPUTED_VALUE"""),4090.0)</f>
        <v>4090</v>
      </c>
      <c r="D430" s="2">
        <f>IFERROR(__xludf.DUMMYFUNCTION("""COMPUTED_VALUE"""),3930.0)</f>
        <v>3930</v>
      </c>
      <c r="E430" s="2">
        <f>IFERROR(__xludf.DUMMYFUNCTION("""COMPUTED_VALUE"""),4030.0)</f>
        <v>4030</v>
      </c>
      <c r="F430" s="2">
        <f>IFERROR(__xludf.DUMMYFUNCTION("""COMPUTED_VALUE"""),7006600.0)</f>
        <v>7006600</v>
      </c>
      <c r="G430" s="2">
        <f t="shared" si="1"/>
        <v>160</v>
      </c>
    </row>
    <row r="431" ht="15.75" customHeight="1">
      <c r="A431" s="1">
        <f>IFERROR(__xludf.DUMMYFUNCTION("""COMPUTED_VALUE"""),44476.625)</f>
        <v>44476.625</v>
      </c>
      <c r="B431" s="2">
        <f>IFERROR(__xludf.DUMMYFUNCTION("""COMPUTED_VALUE"""),4030.0)</f>
        <v>4030</v>
      </c>
      <c r="C431" s="2">
        <f>IFERROR(__xludf.DUMMYFUNCTION("""COMPUTED_VALUE"""),4130.0)</f>
        <v>4130</v>
      </c>
      <c r="D431" s="2">
        <f>IFERROR(__xludf.DUMMYFUNCTION("""COMPUTED_VALUE"""),4000.0)</f>
        <v>4000</v>
      </c>
      <c r="E431" s="2">
        <f>IFERROR(__xludf.DUMMYFUNCTION("""COMPUTED_VALUE"""),4000.0)</f>
        <v>4000</v>
      </c>
      <c r="F431" s="2">
        <f>IFERROR(__xludf.DUMMYFUNCTION("""COMPUTED_VALUE"""),7604900.0)</f>
        <v>7604900</v>
      </c>
      <c r="G431" s="2">
        <f t="shared" si="1"/>
        <v>130</v>
      </c>
    </row>
    <row r="432" ht="15.75" customHeight="1">
      <c r="A432" s="1">
        <f>IFERROR(__xludf.DUMMYFUNCTION("""COMPUTED_VALUE"""),44477.625)</f>
        <v>44477.625</v>
      </c>
      <c r="B432" s="2">
        <f>IFERROR(__xludf.DUMMYFUNCTION("""COMPUTED_VALUE"""),4010.0)</f>
        <v>4010</v>
      </c>
      <c r="C432" s="2">
        <f>IFERROR(__xludf.DUMMYFUNCTION("""COMPUTED_VALUE"""),4060.0)</f>
        <v>4060</v>
      </c>
      <c r="D432" s="2">
        <f>IFERROR(__xludf.DUMMYFUNCTION("""COMPUTED_VALUE"""),3950.0)</f>
        <v>3950</v>
      </c>
      <c r="E432" s="2">
        <f>IFERROR(__xludf.DUMMYFUNCTION("""COMPUTED_VALUE"""),3970.0)</f>
        <v>3970</v>
      </c>
      <c r="F432" s="2">
        <f>IFERROR(__xludf.DUMMYFUNCTION("""COMPUTED_VALUE"""),4908600.0)</f>
        <v>4908600</v>
      </c>
      <c r="G432" s="2">
        <f t="shared" si="1"/>
        <v>110</v>
      </c>
    </row>
    <row r="433" ht="15.75" customHeight="1">
      <c r="A433" s="1">
        <f>IFERROR(__xludf.DUMMYFUNCTION("""COMPUTED_VALUE"""),44480.625)</f>
        <v>44480.625</v>
      </c>
      <c r="B433" s="2">
        <f>IFERROR(__xludf.DUMMYFUNCTION("""COMPUTED_VALUE"""),3980.0)</f>
        <v>3980</v>
      </c>
      <c r="C433" s="2">
        <f>IFERROR(__xludf.DUMMYFUNCTION("""COMPUTED_VALUE"""),4030.0)</f>
        <v>4030</v>
      </c>
      <c r="D433" s="2">
        <f>IFERROR(__xludf.DUMMYFUNCTION("""COMPUTED_VALUE"""),3970.0)</f>
        <v>3970</v>
      </c>
      <c r="E433" s="2">
        <f>IFERROR(__xludf.DUMMYFUNCTION("""COMPUTED_VALUE"""),3970.0)</f>
        <v>3970</v>
      </c>
      <c r="F433" s="2">
        <f>IFERROR(__xludf.DUMMYFUNCTION("""COMPUTED_VALUE"""),2575900.0)</f>
        <v>2575900</v>
      </c>
      <c r="G433" s="2">
        <f t="shared" si="1"/>
        <v>60</v>
      </c>
    </row>
    <row r="434" ht="15.75" customHeight="1">
      <c r="A434" s="1">
        <f>IFERROR(__xludf.DUMMYFUNCTION("""COMPUTED_VALUE"""),44481.66666666667)</f>
        <v>44481.66667</v>
      </c>
      <c r="B434" s="2">
        <f>IFERROR(__xludf.DUMMYFUNCTION("""COMPUTED_VALUE"""),3970.0)</f>
        <v>3970</v>
      </c>
      <c r="C434" s="2">
        <f>IFERROR(__xludf.DUMMYFUNCTION("""COMPUTED_VALUE"""),4170.0)</f>
        <v>4170</v>
      </c>
      <c r="D434" s="2">
        <f>IFERROR(__xludf.DUMMYFUNCTION("""COMPUTED_VALUE"""),3970.0)</f>
        <v>3970</v>
      </c>
      <c r="E434" s="2">
        <f>IFERROR(__xludf.DUMMYFUNCTION("""COMPUTED_VALUE"""),4150.0)</f>
        <v>4150</v>
      </c>
      <c r="F434" s="2">
        <f>IFERROR(__xludf.DUMMYFUNCTION("""COMPUTED_VALUE"""),1.32042E7)</f>
        <v>13204200</v>
      </c>
      <c r="G434" s="2">
        <f t="shared" si="1"/>
        <v>200</v>
      </c>
    </row>
    <row r="435" ht="15.75" customHeight="1">
      <c r="A435" s="1">
        <f>IFERROR(__xludf.DUMMYFUNCTION("""COMPUTED_VALUE"""),44482.625)</f>
        <v>44482.625</v>
      </c>
      <c r="B435" s="2">
        <f>IFERROR(__xludf.DUMMYFUNCTION("""COMPUTED_VALUE"""),4180.0)</f>
        <v>4180</v>
      </c>
      <c r="C435" s="2">
        <f>IFERROR(__xludf.DUMMYFUNCTION("""COMPUTED_VALUE"""),4350.0)</f>
        <v>4350</v>
      </c>
      <c r="D435" s="2">
        <f>IFERROR(__xludf.DUMMYFUNCTION("""COMPUTED_VALUE"""),4180.0)</f>
        <v>4180</v>
      </c>
      <c r="E435" s="2">
        <f>IFERROR(__xludf.DUMMYFUNCTION("""COMPUTED_VALUE"""),4340.0)</f>
        <v>4340</v>
      </c>
      <c r="F435" s="2">
        <f>IFERROR(__xludf.DUMMYFUNCTION("""COMPUTED_VALUE"""),1.33563E7)</f>
        <v>13356300</v>
      </c>
      <c r="G435" s="2">
        <f t="shared" si="1"/>
        <v>200</v>
      </c>
    </row>
    <row r="436" ht="15.75" customHeight="1">
      <c r="A436" s="1">
        <f>IFERROR(__xludf.DUMMYFUNCTION("""COMPUTED_VALUE"""),44483.66666666667)</f>
        <v>44483.66667</v>
      </c>
      <c r="B436" s="2">
        <f>IFERROR(__xludf.DUMMYFUNCTION("""COMPUTED_VALUE"""),4360.0)</f>
        <v>4360</v>
      </c>
      <c r="C436" s="2">
        <f>IFERROR(__xludf.DUMMYFUNCTION("""COMPUTED_VALUE"""),4440.0)</f>
        <v>4440</v>
      </c>
      <c r="D436" s="2">
        <f>IFERROR(__xludf.DUMMYFUNCTION("""COMPUTED_VALUE"""),4350.0)</f>
        <v>4350</v>
      </c>
      <c r="E436" s="2">
        <f>IFERROR(__xludf.DUMMYFUNCTION("""COMPUTED_VALUE"""),4390.0)</f>
        <v>4390</v>
      </c>
      <c r="F436" s="2">
        <f>IFERROR(__xludf.DUMMYFUNCTION("""COMPUTED_VALUE"""),1.16533E7)</f>
        <v>11653300</v>
      </c>
      <c r="G436" s="2">
        <f t="shared" si="1"/>
        <v>100</v>
      </c>
    </row>
    <row r="437" ht="15.75" customHeight="1">
      <c r="A437" s="1">
        <f>IFERROR(__xludf.DUMMYFUNCTION("""COMPUTED_VALUE"""),44484.66666666667)</f>
        <v>44484.66667</v>
      </c>
      <c r="B437" s="2">
        <f>IFERROR(__xludf.DUMMYFUNCTION("""COMPUTED_VALUE"""),4460.0)</f>
        <v>4460</v>
      </c>
      <c r="C437" s="2">
        <f>IFERROR(__xludf.DUMMYFUNCTION("""COMPUTED_VALUE"""),4460.0)</f>
        <v>4460</v>
      </c>
      <c r="D437" s="2">
        <f>IFERROR(__xludf.DUMMYFUNCTION("""COMPUTED_VALUE"""),4350.0)</f>
        <v>4350</v>
      </c>
      <c r="E437" s="2">
        <f>IFERROR(__xludf.DUMMYFUNCTION("""COMPUTED_VALUE"""),4430.0)</f>
        <v>4430</v>
      </c>
      <c r="F437" s="2">
        <f>IFERROR(__xludf.DUMMYFUNCTION("""COMPUTED_VALUE"""),7521400.0)</f>
        <v>7521400</v>
      </c>
      <c r="G437" s="2">
        <f t="shared" si="1"/>
        <v>110</v>
      </c>
    </row>
    <row r="438" ht="15.75" customHeight="1">
      <c r="A438" s="1">
        <f>IFERROR(__xludf.DUMMYFUNCTION("""COMPUTED_VALUE"""),44487.625)</f>
        <v>44487.625</v>
      </c>
      <c r="B438" s="2">
        <f>IFERROR(__xludf.DUMMYFUNCTION("""COMPUTED_VALUE"""),4430.0)</f>
        <v>4430</v>
      </c>
      <c r="C438" s="2">
        <f>IFERROR(__xludf.DUMMYFUNCTION("""COMPUTED_VALUE"""),4550.0)</f>
        <v>4550</v>
      </c>
      <c r="D438" s="2">
        <f>IFERROR(__xludf.DUMMYFUNCTION("""COMPUTED_VALUE"""),4390.0)</f>
        <v>4390</v>
      </c>
      <c r="E438" s="2">
        <f>IFERROR(__xludf.DUMMYFUNCTION("""COMPUTED_VALUE"""),4450.0)</f>
        <v>4450</v>
      </c>
      <c r="F438" s="2">
        <f>IFERROR(__xludf.DUMMYFUNCTION("""COMPUTED_VALUE"""),1.47563E7)</f>
        <v>14756300</v>
      </c>
      <c r="G438" s="2">
        <f t="shared" si="1"/>
        <v>160</v>
      </c>
    </row>
    <row r="439" ht="15.75" customHeight="1">
      <c r="A439" s="1">
        <f>IFERROR(__xludf.DUMMYFUNCTION("""COMPUTED_VALUE"""),44488.625)</f>
        <v>44488.625</v>
      </c>
      <c r="B439" s="2">
        <f>IFERROR(__xludf.DUMMYFUNCTION("""COMPUTED_VALUE"""),4470.0)</f>
        <v>4470</v>
      </c>
      <c r="C439" s="2">
        <f>IFERROR(__xludf.DUMMYFUNCTION("""COMPUTED_VALUE"""),4480.0)</f>
        <v>4480</v>
      </c>
      <c r="D439" s="2">
        <f>IFERROR(__xludf.DUMMYFUNCTION("""COMPUTED_VALUE"""),4360.0)</f>
        <v>4360</v>
      </c>
      <c r="E439" s="2">
        <f>IFERROR(__xludf.DUMMYFUNCTION("""COMPUTED_VALUE"""),4400.0)</f>
        <v>4400</v>
      </c>
      <c r="F439" s="2">
        <f>IFERROR(__xludf.DUMMYFUNCTION("""COMPUTED_VALUE"""),2950300.0)</f>
        <v>2950300</v>
      </c>
      <c r="G439" s="2">
        <f t="shared" si="1"/>
        <v>120</v>
      </c>
    </row>
    <row r="440" ht="15.75" customHeight="1">
      <c r="A440" s="1">
        <f>IFERROR(__xludf.DUMMYFUNCTION("""COMPUTED_VALUE"""),44490.625)</f>
        <v>44490.625</v>
      </c>
      <c r="B440" s="2">
        <f>IFERROR(__xludf.DUMMYFUNCTION("""COMPUTED_VALUE"""),4400.0)</f>
        <v>4400</v>
      </c>
      <c r="C440" s="2">
        <f>IFERROR(__xludf.DUMMYFUNCTION("""COMPUTED_VALUE"""),4460.0)</f>
        <v>4460</v>
      </c>
      <c r="D440" s="2">
        <f>IFERROR(__xludf.DUMMYFUNCTION("""COMPUTED_VALUE"""),4370.0)</f>
        <v>4370</v>
      </c>
      <c r="E440" s="2">
        <f>IFERROR(__xludf.DUMMYFUNCTION("""COMPUTED_VALUE"""),4410.0)</f>
        <v>4410</v>
      </c>
      <c r="F440" s="2">
        <f>IFERROR(__xludf.DUMMYFUNCTION("""COMPUTED_VALUE"""),1.03827E7)</f>
        <v>10382700</v>
      </c>
      <c r="G440" s="2">
        <f t="shared" si="1"/>
        <v>90</v>
      </c>
    </row>
    <row r="441" ht="15.75" customHeight="1">
      <c r="A441" s="1">
        <f>IFERROR(__xludf.DUMMYFUNCTION("""COMPUTED_VALUE"""),44491.625)</f>
        <v>44491.625</v>
      </c>
      <c r="B441" s="2">
        <f>IFERROR(__xludf.DUMMYFUNCTION("""COMPUTED_VALUE"""),4410.0)</f>
        <v>4410</v>
      </c>
      <c r="C441" s="2">
        <f>IFERROR(__xludf.DUMMYFUNCTION("""COMPUTED_VALUE"""),4440.0)</f>
        <v>4440</v>
      </c>
      <c r="D441" s="2">
        <f>IFERROR(__xludf.DUMMYFUNCTION("""COMPUTED_VALUE"""),4370.0)</f>
        <v>4370</v>
      </c>
      <c r="E441" s="2">
        <f>IFERROR(__xludf.DUMMYFUNCTION("""COMPUTED_VALUE"""),4400.0)</f>
        <v>4400</v>
      </c>
      <c r="F441" s="2">
        <f>IFERROR(__xludf.DUMMYFUNCTION("""COMPUTED_VALUE"""),6276400.0)</f>
        <v>6276400</v>
      </c>
      <c r="G441" s="2">
        <f t="shared" si="1"/>
        <v>70</v>
      </c>
    </row>
    <row r="442" ht="15.75" customHeight="1">
      <c r="A442" s="1">
        <f>IFERROR(__xludf.DUMMYFUNCTION("""COMPUTED_VALUE"""),44494.625)</f>
        <v>44494.625</v>
      </c>
      <c r="B442" s="2">
        <f>IFERROR(__xludf.DUMMYFUNCTION("""COMPUTED_VALUE"""),4400.0)</f>
        <v>4400</v>
      </c>
      <c r="C442" s="2">
        <f>IFERROR(__xludf.DUMMYFUNCTION("""COMPUTED_VALUE"""),4500.0)</f>
        <v>4500</v>
      </c>
      <c r="D442" s="2">
        <f>IFERROR(__xludf.DUMMYFUNCTION("""COMPUTED_VALUE"""),4400.0)</f>
        <v>4400</v>
      </c>
      <c r="E442" s="2">
        <f>IFERROR(__xludf.DUMMYFUNCTION("""COMPUTED_VALUE"""),4500.0)</f>
        <v>4500</v>
      </c>
      <c r="F442" s="2">
        <f>IFERROR(__xludf.DUMMYFUNCTION("""COMPUTED_VALUE"""),8608700.0)</f>
        <v>8608700</v>
      </c>
      <c r="G442" s="2">
        <f t="shared" si="1"/>
        <v>100</v>
      </c>
    </row>
    <row r="443" ht="15.75" customHeight="1">
      <c r="A443" s="1">
        <f>IFERROR(__xludf.DUMMYFUNCTION("""COMPUTED_VALUE"""),44495.625)</f>
        <v>44495.625</v>
      </c>
      <c r="B443" s="2">
        <f>IFERROR(__xludf.DUMMYFUNCTION("""COMPUTED_VALUE"""),4500.0)</f>
        <v>4500</v>
      </c>
      <c r="C443" s="2">
        <f>IFERROR(__xludf.DUMMYFUNCTION("""COMPUTED_VALUE"""),4520.0)</f>
        <v>4520</v>
      </c>
      <c r="D443" s="2">
        <f>IFERROR(__xludf.DUMMYFUNCTION("""COMPUTED_VALUE"""),4320.0)</f>
        <v>4320</v>
      </c>
      <c r="E443" s="2">
        <f>IFERROR(__xludf.DUMMYFUNCTION("""COMPUTED_VALUE"""),4350.0)</f>
        <v>4350</v>
      </c>
      <c r="F443" s="2">
        <f>IFERROR(__xludf.DUMMYFUNCTION("""COMPUTED_VALUE"""),4093700.0)</f>
        <v>4093700</v>
      </c>
      <c r="G443" s="2">
        <f t="shared" si="1"/>
        <v>200</v>
      </c>
    </row>
    <row r="444" ht="15.75" customHeight="1">
      <c r="A444" s="1">
        <f>IFERROR(__xludf.DUMMYFUNCTION("""COMPUTED_VALUE"""),44496.625)</f>
        <v>44496.625</v>
      </c>
      <c r="B444" s="2">
        <f>IFERROR(__xludf.DUMMYFUNCTION("""COMPUTED_VALUE"""),4320.0)</f>
        <v>4320</v>
      </c>
      <c r="C444" s="2">
        <f>IFERROR(__xludf.DUMMYFUNCTION("""COMPUTED_VALUE"""),4340.0)</f>
        <v>4340</v>
      </c>
      <c r="D444" s="2">
        <f>IFERROR(__xludf.DUMMYFUNCTION("""COMPUTED_VALUE"""),4170.0)</f>
        <v>4170</v>
      </c>
      <c r="E444" s="2">
        <f>IFERROR(__xludf.DUMMYFUNCTION("""COMPUTED_VALUE"""),4210.0)</f>
        <v>4210</v>
      </c>
      <c r="F444" s="2">
        <f>IFERROR(__xludf.DUMMYFUNCTION("""COMPUTED_VALUE"""),7487400.0)</f>
        <v>7487400</v>
      </c>
      <c r="G444" s="2">
        <f t="shared" si="1"/>
        <v>180</v>
      </c>
    </row>
    <row r="445" ht="15.75" customHeight="1">
      <c r="A445" s="1">
        <f>IFERROR(__xludf.DUMMYFUNCTION("""COMPUTED_VALUE"""),44497.625)</f>
        <v>44497.625</v>
      </c>
      <c r="B445" s="2">
        <f>IFERROR(__xludf.DUMMYFUNCTION("""COMPUTED_VALUE"""),4210.0)</f>
        <v>4210</v>
      </c>
      <c r="C445" s="2">
        <f>IFERROR(__xludf.DUMMYFUNCTION("""COMPUTED_VALUE"""),4240.0)</f>
        <v>4240</v>
      </c>
      <c r="D445" s="2">
        <f>IFERROR(__xludf.DUMMYFUNCTION("""COMPUTED_VALUE"""),4100.0)</f>
        <v>4100</v>
      </c>
      <c r="E445" s="2">
        <f>IFERROR(__xludf.DUMMYFUNCTION("""COMPUTED_VALUE"""),4190.0)</f>
        <v>4190</v>
      </c>
      <c r="F445" s="2">
        <f>IFERROR(__xludf.DUMMYFUNCTION("""COMPUTED_VALUE"""),3641700.0)</f>
        <v>3641700</v>
      </c>
      <c r="G445" s="2">
        <f t="shared" si="1"/>
        <v>140</v>
      </c>
    </row>
    <row r="446" ht="15.75" customHeight="1">
      <c r="A446" s="1">
        <f>IFERROR(__xludf.DUMMYFUNCTION("""COMPUTED_VALUE"""),44498.625)</f>
        <v>44498.625</v>
      </c>
      <c r="B446" s="2">
        <f>IFERROR(__xludf.DUMMYFUNCTION("""COMPUTED_VALUE"""),4220.0)</f>
        <v>4220</v>
      </c>
      <c r="C446" s="2">
        <f>IFERROR(__xludf.DUMMYFUNCTION("""COMPUTED_VALUE"""),4250.0)</f>
        <v>4250</v>
      </c>
      <c r="D446" s="2">
        <f>IFERROR(__xludf.DUMMYFUNCTION("""COMPUTED_VALUE"""),4170.0)</f>
        <v>4170</v>
      </c>
      <c r="E446" s="2">
        <f>IFERROR(__xludf.DUMMYFUNCTION("""COMPUTED_VALUE"""),4200.0)</f>
        <v>4200</v>
      </c>
      <c r="F446" s="2">
        <f>IFERROR(__xludf.DUMMYFUNCTION("""COMPUTED_VALUE"""),4827000.0)</f>
        <v>4827000</v>
      </c>
      <c r="G446" s="2">
        <f t="shared" si="1"/>
        <v>80</v>
      </c>
    </row>
    <row r="447" ht="15.75" customHeight="1">
      <c r="A447" s="1">
        <f>IFERROR(__xludf.DUMMYFUNCTION("""COMPUTED_VALUE"""),44501.625)</f>
        <v>44501.625</v>
      </c>
      <c r="B447" s="2">
        <f>IFERROR(__xludf.DUMMYFUNCTION("""COMPUTED_VALUE"""),4240.0)</f>
        <v>4240</v>
      </c>
      <c r="C447" s="2">
        <f>IFERROR(__xludf.DUMMYFUNCTION("""COMPUTED_VALUE"""),4240.0)</f>
        <v>4240</v>
      </c>
      <c r="D447" s="2">
        <f>IFERROR(__xludf.DUMMYFUNCTION("""COMPUTED_VALUE"""),4110.0)</f>
        <v>4110</v>
      </c>
      <c r="E447" s="2">
        <f>IFERROR(__xludf.DUMMYFUNCTION("""COMPUTED_VALUE"""),4120.0)</f>
        <v>4120</v>
      </c>
      <c r="F447" s="2">
        <f>IFERROR(__xludf.DUMMYFUNCTION("""COMPUTED_VALUE"""),3753400.0)</f>
        <v>3753400</v>
      </c>
      <c r="G447" s="2">
        <f t="shared" si="1"/>
        <v>130</v>
      </c>
    </row>
    <row r="448" ht="15.75" customHeight="1">
      <c r="A448" s="1">
        <f>IFERROR(__xludf.DUMMYFUNCTION("""COMPUTED_VALUE"""),44502.625)</f>
        <v>44502.625</v>
      </c>
      <c r="B448" s="2">
        <f>IFERROR(__xludf.DUMMYFUNCTION("""COMPUTED_VALUE"""),4120.0)</f>
        <v>4120</v>
      </c>
      <c r="C448" s="2">
        <f>IFERROR(__xludf.DUMMYFUNCTION("""COMPUTED_VALUE"""),4150.0)</f>
        <v>4150</v>
      </c>
      <c r="D448" s="2">
        <f>IFERROR(__xludf.DUMMYFUNCTION("""COMPUTED_VALUE"""),4050.0)</f>
        <v>4050</v>
      </c>
      <c r="E448" s="2">
        <f>IFERROR(__xludf.DUMMYFUNCTION("""COMPUTED_VALUE"""),4120.0)</f>
        <v>4120</v>
      </c>
      <c r="F448" s="2">
        <f>IFERROR(__xludf.DUMMYFUNCTION("""COMPUTED_VALUE"""),2774300.0)</f>
        <v>2774300</v>
      </c>
      <c r="G448" s="2">
        <f t="shared" si="1"/>
        <v>100</v>
      </c>
    </row>
    <row r="449" ht="15.75" customHeight="1">
      <c r="A449" s="1">
        <f>IFERROR(__xludf.DUMMYFUNCTION("""COMPUTED_VALUE"""),44503.625)</f>
        <v>44503.625</v>
      </c>
      <c r="B449" s="2">
        <f>IFERROR(__xludf.DUMMYFUNCTION("""COMPUTED_VALUE"""),4150.0)</f>
        <v>4150</v>
      </c>
      <c r="C449" s="2">
        <f>IFERROR(__xludf.DUMMYFUNCTION("""COMPUTED_VALUE"""),4230.0)</f>
        <v>4230</v>
      </c>
      <c r="D449" s="2">
        <f>IFERROR(__xludf.DUMMYFUNCTION("""COMPUTED_VALUE"""),4080.0)</f>
        <v>4080</v>
      </c>
      <c r="E449" s="2">
        <f>IFERROR(__xludf.DUMMYFUNCTION("""COMPUTED_VALUE"""),4190.0)</f>
        <v>4190</v>
      </c>
      <c r="F449" s="2">
        <f>IFERROR(__xludf.DUMMYFUNCTION("""COMPUTED_VALUE"""),6051800.0)</f>
        <v>6051800</v>
      </c>
      <c r="G449" s="2">
        <f t="shared" si="1"/>
        <v>150</v>
      </c>
    </row>
    <row r="450" ht="15.75" customHeight="1">
      <c r="A450" s="1">
        <f>IFERROR(__xludf.DUMMYFUNCTION("""COMPUTED_VALUE"""),44504.66666666667)</f>
        <v>44504.66667</v>
      </c>
      <c r="B450" s="2">
        <f>IFERROR(__xludf.DUMMYFUNCTION("""COMPUTED_VALUE"""),4230.0)</f>
        <v>4230</v>
      </c>
      <c r="C450" s="2">
        <f>IFERROR(__xludf.DUMMYFUNCTION("""COMPUTED_VALUE"""),4310.0)</f>
        <v>4310</v>
      </c>
      <c r="D450" s="2">
        <f>IFERROR(__xludf.DUMMYFUNCTION("""COMPUTED_VALUE"""),4200.0)</f>
        <v>4200</v>
      </c>
      <c r="E450" s="2">
        <f>IFERROR(__xludf.DUMMYFUNCTION("""COMPUTED_VALUE"""),4300.0)</f>
        <v>4300</v>
      </c>
      <c r="F450" s="2">
        <f>IFERROR(__xludf.DUMMYFUNCTION("""COMPUTED_VALUE"""),8899700.0)</f>
        <v>8899700</v>
      </c>
      <c r="G450" s="2">
        <f t="shared" si="1"/>
        <v>120</v>
      </c>
    </row>
    <row r="451" ht="15.75" customHeight="1">
      <c r="A451" s="1">
        <f>IFERROR(__xludf.DUMMYFUNCTION("""COMPUTED_VALUE"""),44505.625)</f>
        <v>44505.625</v>
      </c>
      <c r="B451" s="2">
        <f>IFERROR(__xludf.DUMMYFUNCTION("""COMPUTED_VALUE"""),4330.0)</f>
        <v>4330</v>
      </c>
      <c r="C451" s="2">
        <f>IFERROR(__xludf.DUMMYFUNCTION("""COMPUTED_VALUE"""),4330.0)</f>
        <v>4330</v>
      </c>
      <c r="D451" s="2">
        <f>IFERROR(__xludf.DUMMYFUNCTION("""COMPUTED_VALUE"""),4200.0)</f>
        <v>4200</v>
      </c>
      <c r="E451" s="2">
        <f>IFERROR(__xludf.DUMMYFUNCTION("""COMPUTED_VALUE"""),4300.0)</f>
        <v>4300</v>
      </c>
      <c r="F451" s="2">
        <f>IFERROR(__xludf.DUMMYFUNCTION("""COMPUTED_VALUE"""),3549700.0)</f>
        <v>3549700</v>
      </c>
      <c r="G451" s="2">
        <f t="shared" si="1"/>
        <v>130</v>
      </c>
    </row>
    <row r="452" ht="15.75" customHeight="1">
      <c r="A452" s="1">
        <f>IFERROR(__xludf.DUMMYFUNCTION("""COMPUTED_VALUE"""),44508.625)</f>
        <v>44508.625</v>
      </c>
      <c r="B452" s="2">
        <f>IFERROR(__xludf.DUMMYFUNCTION("""COMPUTED_VALUE"""),4310.0)</f>
        <v>4310</v>
      </c>
      <c r="C452" s="2">
        <f>IFERROR(__xludf.DUMMYFUNCTION("""COMPUTED_VALUE"""),4320.0)</f>
        <v>4320</v>
      </c>
      <c r="D452" s="2">
        <f>IFERROR(__xludf.DUMMYFUNCTION("""COMPUTED_VALUE"""),4230.0)</f>
        <v>4230</v>
      </c>
      <c r="E452" s="2">
        <f>IFERROR(__xludf.DUMMYFUNCTION("""COMPUTED_VALUE"""),4280.0)</f>
        <v>4280</v>
      </c>
      <c r="F452" s="2">
        <f>IFERROR(__xludf.DUMMYFUNCTION("""COMPUTED_VALUE"""),4458800.0)</f>
        <v>4458800</v>
      </c>
      <c r="G452" s="2">
        <f t="shared" si="1"/>
        <v>90</v>
      </c>
    </row>
    <row r="453" ht="15.75" customHeight="1">
      <c r="A453" s="1">
        <f>IFERROR(__xludf.DUMMYFUNCTION("""COMPUTED_VALUE"""),44509.625)</f>
        <v>44509.625</v>
      </c>
      <c r="B453" s="2">
        <f>IFERROR(__xludf.DUMMYFUNCTION("""COMPUTED_VALUE"""),4300.0)</f>
        <v>4300</v>
      </c>
      <c r="C453" s="2">
        <f>IFERROR(__xludf.DUMMYFUNCTION("""COMPUTED_VALUE"""),4320.0)</f>
        <v>4320</v>
      </c>
      <c r="D453" s="2">
        <f>IFERROR(__xludf.DUMMYFUNCTION("""COMPUTED_VALUE"""),4250.0)</f>
        <v>4250</v>
      </c>
      <c r="E453" s="2">
        <f>IFERROR(__xludf.DUMMYFUNCTION("""COMPUTED_VALUE"""),4260.0)</f>
        <v>4260</v>
      </c>
      <c r="F453" s="2">
        <f>IFERROR(__xludf.DUMMYFUNCTION("""COMPUTED_VALUE"""),3414800.0)</f>
        <v>3414800</v>
      </c>
      <c r="G453" s="2">
        <f t="shared" si="1"/>
        <v>70</v>
      </c>
    </row>
    <row r="454" ht="15.75" customHeight="1">
      <c r="A454" s="1">
        <f>IFERROR(__xludf.DUMMYFUNCTION("""COMPUTED_VALUE"""),44510.625)</f>
        <v>44510.625</v>
      </c>
      <c r="B454" s="2">
        <f>IFERROR(__xludf.DUMMYFUNCTION("""COMPUTED_VALUE"""),4260.0)</f>
        <v>4260</v>
      </c>
      <c r="C454" s="2">
        <f>IFERROR(__xludf.DUMMYFUNCTION("""COMPUTED_VALUE"""),4260.0)</f>
        <v>4260</v>
      </c>
      <c r="D454" s="2">
        <f>IFERROR(__xludf.DUMMYFUNCTION("""COMPUTED_VALUE"""),4150.0)</f>
        <v>4150</v>
      </c>
      <c r="E454" s="2">
        <f>IFERROR(__xludf.DUMMYFUNCTION("""COMPUTED_VALUE"""),4160.0)</f>
        <v>4160</v>
      </c>
      <c r="F454" s="2">
        <f>IFERROR(__xludf.DUMMYFUNCTION("""COMPUTED_VALUE"""),5617900.0)</f>
        <v>5617900</v>
      </c>
      <c r="G454" s="2">
        <f t="shared" si="1"/>
        <v>110</v>
      </c>
    </row>
    <row r="455" ht="15.75" customHeight="1">
      <c r="A455" s="1">
        <f>IFERROR(__xludf.DUMMYFUNCTION("""COMPUTED_VALUE"""),44511.625)</f>
        <v>44511.625</v>
      </c>
      <c r="B455" s="2">
        <f>IFERROR(__xludf.DUMMYFUNCTION("""COMPUTED_VALUE"""),4160.0)</f>
        <v>4160</v>
      </c>
      <c r="C455" s="2">
        <f>IFERROR(__xludf.DUMMYFUNCTION("""COMPUTED_VALUE"""),4190.0)</f>
        <v>4190</v>
      </c>
      <c r="D455" s="2">
        <f>IFERROR(__xludf.DUMMYFUNCTION("""COMPUTED_VALUE"""),4100.0)</f>
        <v>4100</v>
      </c>
      <c r="E455" s="2">
        <f>IFERROR(__xludf.DUMMYFUNCTION("""COMPUTED_VALUE"""),4180.0)</f>
        <v>4180</v>
      </c>
      <c r="F455" s="2">
        <f>IFERROR(__xludf.DUMMYFUNCTION("""COMPUTED_VALUE"""),6480900.0)</f>
        <v>6480900</v>
      </c>
      <c r="G455" s="2">
        <f t="shared" si="1"/>
        <v>90</v>
      </c>
    </row>
    <row r="456" ht="15.75" customHeight="1">
      <c r="A456" s="1">
        <f>IFERROR(__xludf.DUMMYFUNCTION("""COMPUTED_VALUE"""),44512.625)</f>
        <v>44512.625</v>
      </c>
      <c r="B456" s="2">
        <f>IFERROR(__xludf.DUMMYFUNCTION("""COMPUTED_VALUE"""),4180.0)</f>
        <v>4180</v>
      </c>
      <c r="C456" s="2">
        <f>IFERROR(__xludf.DUMMYFUNCTION("""COMPUTED_VALUE"""),4280.0)</f>
        <v>4280</v>
      </c>
      <c r="D456" s="2">
        <f>IFERROR(__xludf.DUMMYFUNCTION("""COMPUTED_VALUE"""),4170.0)</f>
        <v>4170</v>
      </c>
      <c r="E456" s="2">
        <f>IFERROR(__xludf.DUMMYFUNCTION("""COMPUTED_VALUE"""),4270.0)</f>
        <v>4270</v>
      </c>
      <c r="F456" s="2">
        <f>IFERROR(__xludf.DUMMYFUNCTION("""COMPUTED_VALUE"""),6095600.0)</f>
        <v>6095600</v>
      </c>
      <c r="G456" s="2">
        <f t="shared" si="1"/>
        <v>110</v>
      </c>
    </row>
    <row r="457" ht="15.75" customHeight="1">
      <c r="A457" s="1">
        <f>IFERROR(__xludf.DUMMYFUNCTION("""COMPUTED_VALUE"""),44515.625)</f>
        <v>44515.625</v>
      </c>
      <c r="B457" s="2">
        <f>IFERROR(__xludf.DUMMYFUNCTION("""COMPUTED_VALUE"""),4270.0)</f>
        <v>4270</v>
      </c>
      <c r="C457" s="2">
        <f>IFERROR(__xludf.DUMMYFUNCTION("""COMPUTED_VALUE"""),4280.0)</f>
        <v>4280</v>
      </c>
      <c r="D457" s="2">
        <f>IFERROR(__xludf.DUMMYFUNCTION("""COMPUTED_VALUE"""),4160.0)</f>
        <v>4160</v>
      </c>
      <c r="E457" s="2">
        <f>IFERROR(__xludf.DUMMYFUNCTION("""COMPUTED_VALUE"""),4210.0)</f>
        <v>4210</v>
      </c>
      <c r="F457" s="2">
        <f>IFERROR(__xludf.DUMMYFUNCTION("""COMPUTED_VALUE"""),2931900.0)</f>
        <v>2931900</v>
      </c>
      <c r="G457" s="2">
        <f t="shared" si="1"/>
        <v>120</v>
      </c>
    </row>
    <row r="458" ht="15.75" customHeight="1">
      <c r="A458" s="1">
        <f>IFERROR(__xludf.DUMMYFUNCTION("""COMPUTED_VALUE"""),44516.625)</f>
        <v>44516.625</v>
      </c>
      <c r="B458" s="2">
        <f>IFERROR(__xludf.DUMMYFUNCTION("""COMPUTED_VALUE"""),4210.0)</f>
        <v>4210</v>
      </c>
      <c r="C458" s="2">
        <f>IFERROR(__xludf.DUMMYFUNCTION("""COMPUTED_VALUE"""),4220.0)</f>
        <v>4220</v>
      </c>
      <c r="D458" s="2">
        <f>IFERROR(__xludf.DUMMYFUNCTION("""COMPUTED_VALUE"""),4170.0)</f>
        <v>4170</v>
      </c>
      <c r="E458" s="2">
        <f>IFERROR(__xludf.DUMMYFUNCTION("""COMPUTED_VALUE"""),4180.0)</f>
        <v>4180</v>
      </c>
      <c r="F458" s="2">
        <f>IFERROR(__xludf.DUMMYFUNCTION("""COMPUTED_VALUE"""),1420600.0)</f>
        <v>1420600</v>
      </c>
      <c r="G458" s="2">
        <f t="shared" si="1"/>
        <v>50</v>
      </c>
    </row>
    <row r="459" ht="15.75" customHeight="1">
      <c r="A459" s="1">
        <f>IFERROR(__xludf.DUMMYFUNCTION("""COMPUTED_VALUE"""),44517.625)</f>
        <v>44517.625</v>
      </c>
      <c r="B459" s="2">
        <f>IFERROR(__xludf.DUMMYFUNCTION("""COMPUTED_VALUE"""),4170.0)</f>
        <v>4170</v>
      </c>
      <c r="C459" s="2">
        <f>IFERROR(__xludf.DUMMYFUNCTION("""COMPUTED_VALUE"""),4210.0)</f>
        <v>4210</v>
      </c>
      <c r="D459" s="2">
        <f>IFERROR(__xludf.DUMMYFUNCTION("""COMPUTED_VALUE"""),4150.0)</f>
        <v>4150</v>
      </c>
      <c r="E459" s="2">
        <f>IFERROR(__xludf.DUMMYFUNCTION("""COMPUTED_VALUE"""),4160.0)</f>
        <v>4160</v>
      </c>
      <c r="F459" s="2">
        <f>IFERROR(__xludf.DUMMYFUNCTION("""COMPUTED_VALUE"""),3878800.0)</f>
        <v>3878800</v>
      </c>
      <c r="G459" s="2">
        <f t="shared" si="1"/>
        <v>60</v>
      </c>
    </row>
    <row r="460" ht="15.75" customHeight="1">
      <c r="A460" s="1">
        <f>IFERROR(__xludf.DUMMYFUNCTION("""COMPUTED_VALUE"""),44518.625)</f>
        <v>44518.625</v>
      </c>
      <c r="B460" s="2">
        <f>IFERROR(__xludf.DUMMYFUNCTION("""COMPUTED_VALUE"""),4160.0)</f>
        <v>4160</v>
      </c>
      <c r="C460" s="2">
        <f>IFERROR(__xludf.DUMMYFUNCTION("""COMPUTED_VALUE"""),4190.0)</f>
        <v>4190</v>
      </c>
      <c r="D460" s="2">
        <f>IFERROR(__xludf.DUMMYFUNCTION("""COMPUTED_VALUE"""),4150.0)</f>
        <v>4150</v>
      </c>
      <c r="E460" s="2">
        <f>IFERROR(__xludf.DUMMYFUNCTION("""COMPUTED_VALUE"""),4150.0)</f>
        <v>4150</v>
      </c>
      <c r="F460" s="2">
        <f>IFERROR(__xludf.DUMMYFUNCTION("""COMPUTED_VALUE"""),1576400.0)</f>
        <v>1576400</v>
      </c>
      <c r="G460" s="2">
        <f t="shared" si="1"/>
        <v>40</v>
      </c>
    </row>
    <row r="461" ht="15.75" customHeight="1">
      <c r="A461" s="1">
        <f>IFERROR(__xludf.DUMMYFUNCTION("""COMPUTED_VALUE"""),44519.625)</f>
        <v>44519.625</v>
      </c>
      <c r="B461" s="2">
        <f>IFERROR(__xludf.DUMMYFUNCTION("""COMPUTED_VALUE"""),4150.0)</f>
        <v>4150</v>
      </c>
      <c r="C461" s="2">
        <f>IFERROR(__xludf.DUMMYFUNCTION("""COMPUTED_VALUE"""),4250.0)</f>
        <v>4250</v>
      </c>
      <c r="D461" s="2">
        <f>IFERROR(__xludf.DUMMYFUNCTION("""COMPUTED_VALUE"""),4140.0)</f>
        <v>4140</v>
      </c>
      <c r="E461" s="2">
        <f>IFERROR(__xludf.DUMMYFUNCTION("""COMPUTED_VALUE"""),4200.0)</f>
        <v>4200</v>
      </c>
      <c r="F461" s="2">
        <f>IFERROR(__xludf.DUMMYFUNCTION("""COMPUTED_VALUE"""),4995400.0)</f>
        <v>4995400</v>
      </c>
      <c r="G461" s="2">
        <f t="shared" si="1"/>
        <v>110</v>
      </c>
    </row>
    <row r="462" ht="15.75" customHeight="1">
      <c r="A462" s="1">
        <f>IFERROR(__xludf.DUMMYFUNCTION("""COMPUTED_VALUE"""),44522.625)</f>
        <v>44522.625</v>
      </c>
      <c r="B462" s="2">
        <f>IFERROR(__xludf.DUMMYFUNCTION("""COMPUTED_VALUE"""),4200.0)</f>
        <v>4200</v>
      </c>
      <c r="C462" s="2">
        <f>IFERROR(__xludf.DUMMYFUNCTION("""COMPUTED_VALUE"""),4250.0)</f>
        <v>4250</v>
      </c>
      <c r="D462" s="2">
        <f>IFERROR(__xludf.DUMMYFUNCTION("""COMPUTED_VALUE"""),4190.0)</f>
        <v>4190</v>
      </c>
      <c r="E462" s="2">
        <f>IFERROR(__xludf.DUMMYFUNCTION("""COMPUTED_VALUE"""),4200.0)</f>
        <v>4200</v>
      </c>
      <c r="F462" s="2">
        <f>IFERROR(__xludf.DUMMYFUNCTION("""COMPUTED_VALUE"""),4347900.0)</f>
        <v>4347900</v>
      </c>
      <c r="G462" s="2">
        <f t="shared" si="1"/>
        <v>60</v>
      </c>
    </row>
    <row r="463" ht="15.75" customHeight="1">
      <c r="A463" s="1">
        <f>IFERROR(__xludf.DUMMYFUNCTION("""COMPUTED_VALUE"""),44523.625)</f>
        <v>44523.625</v>
      </c>
      <c r="B463" s="2">
        <f>IFERROR(__xludf.DUMMYFUNCTION("""COMPUTED_VALUE"""),4200.0)</f>
        <v>4200</v>
      </c>
      <c r="C463" s="2">
        <f>IFERROR(__xludf.DUMMYFUNCTION("""COMPUTED_VALUE"""),4220.0)</f>
        <v>4220</v>
      </c>
      <c r="D463" s="2">
        <f>IFERROR(__xludf.DUMMYFUNCTION("""COMPUTED_VALUE"""),4170.0)</f>
        <v>4170</v>
      </c>
      <c r="E463" s="2">
        <f>IFERROR(__xludf.DUMMYFUNCTION("""COMPUTED_VALUE"""),4190.0)</f>
        <v>4190</v>
      </c>
      <c r="F463" s="2">
        <f>IFERROR(__xludf.DUMMYFUNCTION("""COMPUTED_VALUE"""),2031400.0)</f>
        <v>2031400</v>
      </c>
      <c r="G463" s="2">
        <f t="shared" si="1"/>
        <v>50</v>
      </c>
    </row>
    <row r="464" ht="15.75" customHeight="1">
      <c r="A464" s="1">
        <f>IFERROR(__xludf.DUMMYFUNCTION("""COMPUTED_VALUE"""),44524.625)</f>
        <v>44524.625</v>
      </c>
      <c r="B464" s="2">
        <f>IFERROR(__xludf.DUMMYFUNCTION("""COMPUTED_VALUE"""),4170.0)</f>
        <v>4170</v>
      </c>
      <c r="C464" s="2">
        <f>IFERROR(__xludf.DUMMYFUNCTION("""COMPUTED_VALUE"""),4220.0)</f>
        <v>4220</v>
      </c>
      <c r="D464" s="2">
        <f>IFERROR(__xludf.DUMMYFUNCTION("""COMPUTED_VALUE"""),4170.0)</f>
        <v>4170</v>
      </c>
      <c r="E464" s="2">
        <f>IFERROR(__xludf.DUMMYFUNCTION("""COMPUTED_VALUE"""),4180.0)</f>
        <v>4180</v>
      </c>
      <c r="F464" s="2">
        <f>IFERROR(__xludf.DUMMYFUNCTION("""COMPUTED_VALUE"""),6023700.0)</f>
        <v>6023700</v>
      </c>
      <c r="G464" s="2">
        <f t="shared" si="1"/>
        <v>50</v>
      </c>
    </row>
    <row r="465" ht="15.75" customHeight="1">
      <c r="A465" s="1">
        <f>IFERROR(__xludf.DUMMYFUNCTION("""COMPUTED_VALUE"""),44525.625)</f>
        <v>44525.625</v>
      </c>
      <c r="B465" s="2">
        <f>IFERROR(__xludf.DUMMYFUNCTION("""COMPUTED_VALUE"""),4190.0)</f>
        <v>4190</v>
      </c>
      <c r="C465" s="2">
        <f>IFERROR(__xludf.DUMMYFUNCTION("""COMPUTED_VALUE"""),4220.0)</f>
        <v>4220</v>
      </c>
      <c r="D465" s="2">
        <f>IFERROR(__xludf.DUMMYFUNCTION("""COMPUTED_VALUE"""),4170.0)</f>
        <v>4170</v>
      </c>
      <c r="E465" s="2">
        <f>IFERROR(__xludf.DUMMYFUNCTION("""COMPUTED_VALUE"""),4180.0)</f>
        <v>4180</v>
      </c>
      <c r="F465" s="2">
        <f>IFERROR(__xludf.DUMMYFUNCTION("""COMPUTED_VALUE"""),4881400.0)</f>
        <v>4881400</v>
      </c>
      <c r="G465" s="2">
        <f t="shared" si="1"/>
        <v>50</v>
      </c>
    </row>
    <row r="466" ht="15.75" customHeight="1">
      <c r="A466" s="1">
        <f>IFERROR(__xludf.DUMMYFUNCTION("""COMPUTED_VALUE"""),44526.625)</f>
        <v>44526.625</v>
      </c>
      <c r="B466" s="2">
        <f>IFERROR(__xludf.DUMMYFUNCTION("""COMPUTED_VALUE"""),4180.0)</f>
        <v>4180</v>
      </c>
      <c r="C466" s="2">
        <f>IFERROR(__xludf.DUMMYFUNCTION("""COMPUTED_VALUE"""),4180.0)</f>
        <v>4180</v>
      </c>
      <c r="D466" s="2">
        <f>IFERROR(__xludf.DUMMYFUNCTION("""COMPUTED_VALUE"""),4060.0)</f>
        <v>4060</v>
      </c>
      <c r="E466" s="2">
        <f>IFERROR(__xludf.DUMMYFUNCTION("""COMPUTED_VALUE"""),4070.0)</f>
        <v>4070</v>
      </c>
      <c r="F466" s="2">
        <f>IFERROR(__xludf.DUMMYFUNCTION("""COMPUTED_VALUE"""),5441700.0)</f>
        <v>5441700</v>
      </c>
      <c r="G466" s="2">
        <f t="shared" si="1"/>
        <v>120</v>
      </c>
    </row>
    <row r="467" ht="15.75" customHeight="1">
      <c r="A467" s="1">
        <f>IFERROR(__xludf.DUMMYFUNCTION("""COMPUTED_VALUE"""),44529.625)</f>
        <v>44529.625</v>
      </c>
      <c r="B467" s="2">
        <f>IFERROR(__xludf.DUMMYFUNCTION("""COMPUTED_VALUE"""),4070.0)</f>
        <v>4070</v>
      </c>
      <c r="C467" s="2">
        <f>IFERROR(__xludf.DUMMYFUNCTION("""COMPUTED_VALUE"""),4210.0)</f>
        <v>4210</v>
      </c>
      <c r="D467" s="2">
        <f>IFERROR(__xludf.DUMMYFUNCTION("""COMPUTED_VALUE"""),4050.0)</f>
        <v>4050</v>
      </c>
      <c r="E467" s="2">
        <f>IFERROR(__xludf.DUMMYFUNCTION("""COMPUTED_VALUE"""),4150.0)</f>
        <v>4150</v>
      </c>
      <c r="F467" s="2">
        <f>IFERROR(__xludf.DUMMYFUNCTION("""COMPUTED_VALUE"""),5666600.0)</f>
        <v>5666600</v>
      </c>
      <c r="G467" s="2">
        <f t="shared" si="1"/>
        <v>160</v>
      </c>
    </row>
    <row r="468" ht="15.75" customHeight="1">
      <c r="A468" s="1">
        <f>IFERROR(__xludf.DUMMYFUNCTION("""COMPUTED_VALUE"""),44530.625)</f>
        <v>44530.625</v>
      </c>
      <c r="B468" s="2">
        <f>IFERROR(__xludf.DUMMYFUNCTION("""COMPUTED_VALUE"""),4200.0)</f>
        <v>4200</v>
      </c>
      <c r="C468" s="2">
        <f>IFERROR(__xludf.DUMMYFUNCTION("""COMPUTED_VALUE"""),4200.0)</f>
        <v>4200</v>
      </c>
      <c r="D468" s="2">
        <f>IFERROR(__xludf.DUMMYFUNCTION("""COMPUTED_VALUE"""),4070.0)</f>
        <v>4070</v>
      </c>
      <c r="E468" s="2">
        <f>IFERROR(__xludf.DUMMYFUNCTION("""COMPUTED_VALUE"""),4070.0)</f>
        <v>4070</v>
      </c>
      <c r="F468" s="2">
        <f>IFERROR(__xludf.DUMMYFUNCTION("""COMPUTED_VALUE"""),4110500.0)</f>
        <v>4110500</v>
      </c>
      <c r="G468" s="2">
        <f t="shared" si="1"/>
        <v>130</v>
      </c>
    </row>
    <row r="469" ht="15.75" customHeight="1">
      <c r="A469" s="1">
        <f>IFERROR(__xludf.DUMMYFUNCTION("""COMPUTED_VALUE"""),44531.66666666667)</f>
        <v>44531.66667</v>
      </c>
      <c r="B469" s="2">
        <f>IFERROR(__xludf.DUMMYFUNCTION("""COMPUTED_VALUE"""),4070.0)</f>
        <v>4070</v>
      </c>
      <c r="C469" s="2">
        <f>IFERROR(__xludf.DUMMYFUNCTION("""COMPUTED_VALUE"""),4100.0)</f>
        <v>4100</v>
      </c>
      <c r="D469" s="2">
        <f>IFERROR(__xludf.DUMMYFUNCTION("""COMPUTED_VALUE"""),3940.0)</f>
        <v>3940</v>
      </c>
      <c r="E469" s="2">
        <f>IFERROR(__xludf.DUMMYFUNCTION("""COMPUTED_VALUE"""),3950.0)</f>
        <v>3950</v>
      </c>
      <c r="F469" s="2">
        <f>IFERROR(__xludf.DUMMYFUNCTION("""COMPUTED_VALUE"""),5237100.0)</f>
        <v>5237100</v>
      </c>
      <c r="G469" s="2">
        <f t="shared" si="1"/>
        <v>160</v>
      </c>
    </row>
    <row r="470" ht="15.75" customHeight="1">
      <c r="A470" s="1">
        <f>IFERROR(__xludf.DUMMYFUNCTION("""COMPUTED_VALUE"""),44532.66666666667)</f>
        <v>44532.66667</v>
      </c>
      <c r="B470" s="2">
        <f>IFERROR(__xludf.DUMMYFUNCTION("""COMPUTED_VALUE"""),3950.0)</f>
        <v>3950</v>
      </c>
      <c r="C470" s="2">
        <f>IFERROR(__xludf.DUMMYFUNCTION("""COMPUTED_VALUE"""),3980.0)</f>
        <v>3980</v>
      </c>
      <c r="D470" s="2">
        <f>IFERROR(__xludf.DUMMYFUNCTION("""COMPUTED_VALUE"""),3930.0)</f>
        <v>3930</v>
      </c>
      <c r="E470" s="2">
        <f>IFERROR(__xludf.DUMMYFUNCTION("""COMPUTED_VALUE"""),3950.0)</f>
        <v>3950</v>
      </c>
      <c r="F470" s="2">
        <f>IFERROR(__xludf.DUMMYFUNCTION("""COMPUTED_VALUE"""),4099700.0)</f>
        <v>4099700</v>
      </c>
      <c r="G470" s="2">
        <f t="shared" si="1"/>
        <v>50</v>
      </c>
    </row>
    <row r="471" ht="15.75" customHeight="1">
      <c r="A471" s="1">
        <f>IFERROR(__xludf.DUMMYFUNCTION("""COMPUTED_VALUE"""),44533.66666666667)</f>
        <v>44533.66667</v>
      </c>
      <c r="B471" s="2">
        <f>IFERROR(__xludf.DUMMYFUNCTION("""COMPUTED_VALUE"""),3950.0)</f>
        <v>3950</v>
      </c>
      <c r="C471" s="2">
        <f>IFERROR(__xludf.DUMMYFUNCTION("""COMPUTED_VALUE"""),4000.0)</f>
        <v>4000</v>
      </c>
      <c r="D471" s="2">
        <f>IFERROR(__xludf.DUMMYFUNCTION("""COMPUTED_VALUE"""),3940.0)</f>
        <v>3940</v>
      </c>
      <c r="E471" s="2">
        <f>IFERROR(__xludf.DUMMYFUNCTION("""COMPUTED_VALUE"""),3980.0)</f>
        <v>3980</v>
      </c>
      <c r="F471" s="2">
        <f>IFERROR(__xludf.DUMMYFUNCTION("""COMPUTED_VALUE"""),2119400.0)</f>
        <v>2119400</v>
      </c>
      <c r="G471" s="2">
        <f t="shared" si="1"/>
        <v>60</v>
      </c>
    </row>
    <row r="472" ht="15.75" customHeight="1">
      <c r="A472" s="1">
        <f>IFERROR(__xludf.DUMMYFUNCTION("""COMPUTED_VALUE"""),44536.66666666667)</f>
        <v>44536.66667</v>
      </c>
      <c r="B472" s="2">
        <f>IFERROR(__xludf.DUMMYFUNCTION("""COMPUTED_VALUE"""),3980.0)</f>
        <v>3980</v>
      </c>
      <c r="C472" s="2">
        <f>IFERROR(__xludf.DUMMYFUNCTION("""COMPUTED_VALUE"""),3980.0)</f>
        <v>3980</v>
      </c>
      <c r="D472" s="2">
        <f>IFERROR(__xludf.DUMMYFUNCTION("""COMPUTED_VALUE"""),3950.0)</f>
        <v>3950</v>
      </c>
      <c r="E472" s="2">
        <f>IFERROR(__xludf.DUMMYFUNCTION("""COMPUTED_VALUE"""),3970.0)</f>
        <v>3970</v>
      </c>
      <c r="F472" s="2">
        <f>IFERROR(__xludf.DUMMYFUNCTION("""COMPUTED_VALUE"""),2350800.0)</f>
        <v>2350800</v>
      </c>
      <c r="G472" s="2">
        <f t="shared" si="1"/>
        <v>30</v>
      </c>
    </row>
    <row r="473" ht="15.75" customHeight="1">
      <c r="A473" s="1">
        <f>IFERROR(__xludf.DUMMYFUNCTION("""COMPUTED_VALUE"""),44537.66666666667)</f>
        <v>44537.66667</v>
      </c>
      <c r="B473" s="2">
        <f>IFERROR(__xludf.DUMMYFUNCTION("""COMPUTED_VALUE"""),3980.0)</f>
        <v>3980</v>
      </c>
      <c r="C473" s="2">
        <f>IFERROR(__xludf.DUMMYFUNCTION("""COMPUTED_VALUE"""),4050.0)</f>
        <v>4050</v>
      </c>
      <c r="D473" s="2">
        <f>IFERROR(__xludf.DUMMYFUNCTION("""COMPUTED_VALUE"""),3980.0)</f>
        <v>3980</v>
      </c>
      <c r="E473" s="2">
        <f>IFERROR(__xludf.DUMMYFUNCTION("""COMPUTED_VALUE"""),4010.0)</f>
        <v>4010</v>
      </c>
      <c r="F473" s="2">
        <f>IFERROR(__xludf.DUMMYFUNCTION("""COMPUTED_VALUE"""),2062400.0)</f>
        <v>2062400</v>
      </c>
      <c r="G473" s="2">
        <f t="shared" si="1"/>
        <v>80</v>
      </c>
    </row>
    <row r="474" ht="15.75" customHeight="1">
      <c r="A474" s="1">
        <f>IFERROR(__xludf.DUMMYFUNCTION("""COMPUTED_VALUE"""),44538.66666666667)</f>
        <v>44538.66667</v>
      </c>
      <c r="B474" s="2">
        <f>IFERROR(__xludf.DUMMYFUNCTION("""COMPUTED_VALUE"""),4030.0)</f>
        <v>4030</v>
      </c>
      <c r="C474" s="2">
        <f>IFERROR(__xludf.DUMMYFUNCTION("""COMPUTED_VALUE"""),4060.0)</f>
        <v>4060</v>
      </c>
      <c r="D474" s="2">
        <f>IFERROR(__xludf.DUMMYFUNCTION("""COMPUTED_VALUE"""),3950.0)</f>
        <v>3950</v>
      </c>
      <c r="E474" s="2">
        <f>IFERROR(__xludf.DUMMYFUNCTION("""COMPUTED_VALUE"""),3960.0)</f>
        <v>3960</v>
      </c>
      <c r="F474" s="2">
        <f>IFERROR(__xludf.DUMMYFUNCTION("""COMPUTED_VALUE"""),5387300.0)</f>
        <v>5387300</v>
      </c>
      <c r="G474" s="2">
        <f t="shared" si="1"/>
        <v>110</v>
      </c>
    </row>
    <row r="475" ht="15.75" customHeight="1">
      <c r="A475" s="1">
        <f>IFERROR(__xludf.DUMMYFUNCTION("""COMPUTED_VALUE"""),44539.66666666667)</f>
        <v>44539.66667</v>
      </c>
      <c r="B475" s="2">
        <f>IFERROR(__xludf.DUMMYFUNCTION("""COMPUTED_VALUE"""),3970.0)</f>
        <v>3970</v>
      </c>
      <c r="C475" s="2">
        <f>IFERROR(__xludf.DUMMYFUNCTION("""COMPUTED_VALUE"""),3990.0)</f>
        <v>3990</v>
      </c>
      <c r="D475" s="2">
        <f>IFERROR(__xludf.DUMMYFUNCTION("""COMPUTED_VALUE"""),3960.0)</f>
        <v>3960</v>
      </c>
      <c r="E475" s="2">
        <f>IFERROR(__xludf.DUMMYFUNCTION("""COMPUTED_VALUE"""),3970.0)</f>
        <v>3970</v>
      </c>
      <c r="F475" s="2">
        <f>IFERROR(__xludf.DUMMYFUNCTION("""COMPUTED_VALUE"""),2020800.0)</f>
        <v>2020800</v>
      </c>
      <c r="G475" s="2">
        <f t="shared" si="1"/>
        <v>30</v>
      </c>
    </row>
    <row r="476" ht="15.75" customHeight="1">
      <c r="A476" s="1">
        <f>IFERROR(__xludf.DUMMYFUNCTION("""COMPUTED_VALUE"""),44540.66666666667)</f>
        <v>44540.66667</v>
      </c>
      <c r="B476" s="2">
        <f>IFERROR(__xludf.DUMMYFUNCTION("""COMPUTED_VALUE"""),3970.0)</f>
        <v>3970</v>
      </c>
      <c r="C476" s="2">
        <f>IFERROR(__xludf.DUMMYFUNCTION("""COMPUTED_VALUE"""),3980.0)</f>
        <v>3980</v>
      </c>
      <c r="D476" s="2">
        <f>IFERROR(__xludf.DUMMYFUNCTION("""COMPUTED_VALUE"""),3950.0)</f>
        <v>3950</v>
      </c>
      <c r="E476" s="2">
        <f>IFERROR(__xludf.DUMMYFUNCTION("""COMPUTED_VALUE"""),3980.0)</f>
        <v>3980</v>
      </c>
      <c r="F476" s="2">
        <f>IFERROR(__xludf.DUMMYFUNCTION("""COMPUTED_VALUE"""),2263300.0)</f>
        <v>2263300</v>
      </c>
      <c r="G476" s="2">
        <f t="shared" si="1"/>
        <v>30</v>
      </c>
    </row>
    <row r="477" ht="15.75" customHeight="1">
      <c r="A477" s="1">
        <f>IFERROR(__xludf.DUMMYFUNCTION("""COMPUTED_VALUE"""),44543.66666666667)</f>
        <v>44543.66667</v>
      </c>
      <c r="B477" s="2">
        <f>IFERROR(__xludf.DUMMYFUNCTION("""COMPUTED_VALUE"""),3980.0)</f>
        <v>3980</v>
      </c>
      <c r="C477" s="2">
        <f>IFERROR(__xludf.DUMMYFUNCTION("""COMPUTED_VALUE"""),4030.0)</f>
        <v>4030</v>
      </c>
      <c r="D477" s="2">
        <f>IFERROR(__xludf.DUMMYFUNCTION("""COMPUTED_VALUE"""),3960.0)</f>
        <v>3960</v>
      </c>
      <c r="E477" s="2">
        <f>IFERROR(__xludf.DUMMYFUNCTION("""COMPUTED_VALUE"""),3960.0)</f>
        <v>3960</v>
      </c>
      <c r="F477" s="2">
        <f>IFERROR(__xludf.DUMMYFUNCTION("""COMPUTED_VALUE"""),1603600.0)</f>
        <v>1603600</v>
      </c>
      <c r="G477" s="2">
        <f t="shared" si="1"/>
        <v>70</v>
      </c>
    </row>
    <row r="478" ht="15.75" customHeight="1">
      <c r="A478" s="1">
        <f>IFERROR(__xludf.DUMMYFUNCTION("""COMPUTED_VALUE"""),44544.66666666667)</f>
        <v>44544.66667</v>
      </c>
      <c r="B478" s="2">
        <f>IFERROR(__xludf.DUMMYFUNCTION("""COMPUTED_VALUE"""),3950.0)</f>
        <v>3950</v>
      </c>
      <c r="C478" s="2">
        <f>IFERROR(__xludf.DUMMYFUNCTION("""COMPUTED_VALUE"""),3970.0)</f>
        <v>3970</v>
      </c>
      <c r="D478" s="2">
        <f>IFERROR(__xludf.DUMMYFUNCTION("""COMPUTED_VALUE"""),3910.0)</f>
        <v>3910</v>
      </c>
      <c r="E478" s="2">
        <f>IFERROR(__xludf.DUMMYFUNCTION("""COMPUTED_VALUE"""),3920.0)</f>
        <v>3920</v>
      </c>
      <c r="F478" s="2">
        <f>IFERROR(__xludf.DUMMYFUNCTION("""COMPUTED_VALUE"""),3316300.0)</f>
        <v>3316300</v>
      </c>
      <c r="G478" s="2">
        <f t="shared" si="1"/>
        <v>60</v>
      </c>
    </row>
    <row r="479" ht="15.75" customHeight="1">
      <c r="A479" s="1">
        <f>IFERROR(__xludf.DUMMYFUNCTION("""COMPUTED_VALUE"""),44545.66666666667)</f>
        <v>44545.66667</v>
      </c>
      <c r="B479" s="2">
        <f>IFERROR(__xludf.DUMMYFUNCTION("""COMPUTED_VALUE"""),3930.0)</f>
        <v>3930</v>
      </c>
      <c r="C479" s="2">
        <f>IFERROR(__xludf.DUMMYFUNCTION("""COMPUTED_VALUE"""),4000.0)</f>
        <v>4000</v>
      </c>
      <c r="D479" s="2">
        <f>IFERROR(__xludf.DUMMYFUNCTION("""COMPUTED_VALUE"""),3930.0)</f>
        <v>3930</v>
      </c>
      <c r="E479" s="2">
        <f>IFERROR(__xludf.DUMMYFUNCTION("""COMPUTED_VALUE"""),3930.0)</f>
        <v>3930</v>
      </c>
      <c r="F479" s="2">
        <f>IFERROR(__xludf.DUMMYFUNCTION("""COMPUTED_VALUE"""),2048800.0)</f>
        <v>2048800</v>
      </c>
      <c r="G479" s="2">
        <f t="shared" si="1"/>
        <v>80</v>
      </c>
    </row>
    <row r="480" ht="15.75" customHeight="1">
      <c r="A480" s="1">
        <f>IFERROR(__xludf.DUMMYFUNCTION("""COMPUTED_VALUE"""),44546.66666666667)</f>
        <v>44546.66667</v>
      </c>
      <c r="B480" s="2">
        <f>IFERROR(__xludf.DUMMYFUNCTION("""COMPUTED_VALUE"""),3950.0)</f>
        <v>3950</v>
      </c>
      <c r="C480" s="2">
        <f>IFERROR(__xludf.DUMMYFUNCTION("""COMPUTED_VALUE"""),3970.0)</f>
        <v>3970</v>
      </c>
      <c r="D480" s="2">
        <f>IFERROR(__xludf.DUMMYFUNCTION("""COMPUTED_VALUE"""),3850.0)</f>
        <v>3850</v>
      </c>
      <c r="E480" s="2">
        <f>IFERROR(__xludf.DUMMYFUNCTION("""COMPUTED_VALUE"""),3850.0)</f>
        <v>3850</v>
      </c>
      <c r="F480" s="2">
        <f>IFERROR(__xludf.DUMMYFUNCTION("""COMPUTED_VALUE"""),2548700.0)</f>
        <v>2548700</v>
      </c>
      <c r="G480" s="2">
        <f t="shared" si="1"/>
        <v>120</v>
      </c>
    </row>
    <row r="481" ht="15.75" customHeight="1">
      <c r="A481" s="1">
        <f>IFERROR(__xludf.DUMMYFUNCTION("""COMPUTED_VALUE"""),44547.66666666667)</f>
        <v>44547.66667</v>
      </c>
      <c r="B481" s="2">
        <f>IFERROR(__xludf.DUMMYFUNCTION("""COMPUTED_VALUE"""),3850.0)</f>
        <v>3850</v>
      </c>
      <c r="C481" s="2">
        <f>IFERROR(__xludf.DUMMYFUNCTION("""COMPUTED_VALUE"""),4070.0)</f>
        <v>4070</v>
      </c>
      <c r="D481" s="2">
        <f>IFERROR(__xludf.DUMMYFUNCTION("""COMPUTED_VALUE"""),3800.0)</f>
        <v>3800</v>
      </c>
      <c r="E481" s="2">
        <f>IFERROR(__xludf.DUMMYFUNCTION("""COMPUTED_VALUE"""),4070.0)</f>
        <v>4070</v>
      </c>
      <c r="F481" s="2">
        <f>IFERROR(__xludf.DUMMYFUNCTION("""COMPUTED_VALUE"""),5111100.0)</f>
        <v>5111100</v>
      </c>
      <c r="G481" s="2">
        <f t="shared" si="1"/>
        <v>270</v>
      </c>
    </row>
    <row r="482" ht="15.75" customHeight="1">
      <c r="A482" s="1">
        <f>IFERROR(__xludf.DUMMYFUNCTION("""COMPUTED_VALUE"""),44550.66666666667)</f>
        <v>44550.66667</v>
      </c>
      <c r="B482" s="2">
        <f>IFERROR(__xludf.DUMMYFUNCTION("""COMPUTED_VALUE"""),4020.0)</f>
        <v>4020</v>
      </c>
      <c r="C482" s="2">
        <f>IFERROR(__xludf.DUMMYFUNCTION("""COMPUTED_VALUE"""),4020.0)</f>
        <v>4020</v>
      </c>
      <c r="D482" s="2">
        <f>IFERROR(__xludf.DUMMYFUNCTION("""COMPUTED_VALUE"""),3920.0)</f>
        <v>3920</v>
      </c>
      <c r="E482" s="2">
        <f>IFERROR(__xludf.DUMMYFUNCTION("""COMPUTED_VALUE"""),3920.0)</f>
        <v>3920</v>
      </c>
      <c r="F482" s="2">
        <f>IFERROR(__xludf.DUMMYFUNCTION("""COMPUTED_VALUE"""),2130700.0)</f>
        <v>2130700</v>
      </c>
      <c r="G482" s="2">
        <f t="shared" si="1"/>
        <v>150</v>
      </c>
    </row>
    <row r="483" ht="15.75" customHeight="1">
      <c r="A483" s="1">
        <f>IFERROR(__xludf.DUMMYFUNCTION("""COMPUTED_VALUE"""),44551.66666666667)</f>
        <v>44551.66667</v>
      </c>
      <c r="B483" s="2">
        <f>IFERROR(__xludf.DUMMYFUNCTION("""COMPUTED_VALUE"""),3920.0)</f>
        <v>3920</v>
      </c>
      <c r="C483" s="2">
        <f>IFERROR(__xludf.DUMMYFUNCTION("""COMPUTED_VALUE"""),3970.0)</f>
        <v>3970</v>
      </c>
      <c r="D483" s="2">
        <f>IFERROR(__xludf.DUMMYFUNCTION("""COMPUTED_VALUE"""),3920.0)</f>
        <v>3920</v>
      </c>
      <c r="E483" s="2">
        <f>IFERROR(__xludf.DUMMYFUNCTION("""COMPUTED_VALUE"""),3930.0)</f>
        <v>3930</v>
      </c>
      <c r="F483" s="2">
        <f>IFERROR(__xludf.DUMMYFUNCTION("""COMPUTED_VALUE"""),2887900.0)</f>
        <v>2887900</v>
      </c>
      <c r="G483" s="2">
        <f t="shared" si="1"/>
        <v>50</v>
      </c>
    </row>
    <row r="484" ht="15.75" customHeight="1">
      <c r="A484" s="1">
        <f>IFERROR(__xludf.DUMMYFUNCTION("""COMPUTED_VALUE"""),44552.66666666667)</f>
        <v>44552.66667</v>
      </c>
      <c r="B484" s="2">
        <f>IFERROR(__xludf.DUMMYFUNCTION("""COMPUTED_VALUE"""),3950.0)</f>
        <v>3950</v>
      </c>
      <c r="C484" s="2">
        <f>IFERROR(__xludf.DUMMYFUNCTION("""COMPUTED_VALUE"""),3960.0)</f>
        <v>3960</v>
      </c>
      <c r="D484" s="2">
        <f>IFERROR(__xludf.DUMMYFUNCTION("""COMPUTED_VALUE"""),3890.0)</f>
        <v>3890</v>
      </c>
      <c r="E484" s="2">
        <f>IFERROR(__xludf.DUMMYFUNCTION("""COMPUTED_VALUE"""),3890.0)</f>
        <v>3890</v>
      </c>
      <c r="F484" s="2">
        <f>IFERROR(__xludf.DUMMYFUNCTION("""COMPUTED_VALUE"""),1646700.0)</f>
        <v>1646700</v>
      </c>
      <c r="G484" s="2">
        <f t="shared" si="1"/>
        <v>70</v>
      </c>
    </row>
    <row r="485" ht="15.75" customHeight="1">
      <c r="A485" s="1">
        <f>IFERROR(__xludf.DUMMYFUNCTION("""COMPUTED_VALUE"""),44553.66666666667)</f>
        <v>44553.66667</v>
      </c>
      <c r="B485" s="2">
        <f>IFERROR(__xludf.DUMMYFUNCTION("""COMPUTED_VALUE"""),3910.0)</f>
        <v>3910</v>
      </c>
      <c r="C485" s="2">
        <f>IFERROR(__xludf.DUMMYFUNCTION("""COMPUTED_VALUE"""),3930.0)</f>
        <v>3930</v>
      </c>
      <c r="D485" s="2">
        <f>IFERROR(__xludf.DUMMYFUNCTION("""COMPUTED_VALUE"""),3870.0)</f>
        <v>3870</v>
      </c>
      <c r="E485" s="2">
        <f>IFERROR(__xludf.DUMMYFUNCTION("""COMPUTED_VALUE"""),3890.0)</f>
        <v>3890</v>
      </c>
      <c r="F485" s="2">
        <f>IFERROR(__xludf.DUMMYFUNCTION("""COMPUTED_VALUE"""),1866000.0)</f>
        <v>1866000</v>
      </c>
      <c r="G485" s="2">
        <f t="shared" si="1"/>
        <v>60</v>
      </c>
    </row>
    <row r="486" ht="15.75" customHeight="1">
      <c r="A486" s="1">
        <f>IFERROR(__xludf.DUMMYFUNCTION("""COMPUTED_VALUE"""),44554.66666666667)</f>
        <v>44554.66667</v>
      </c>
      <c r="B486" s="2">
        <f>IFERROR(__xludf.DUMMYFUNCTION("""COMPUTED_VALUE"""),3890.0)</f>
        <v>3890</v>
      </c>
      <c r="C486" s="2">
        <f>IFERROR(__xludf.DUMMYFUNCTION("""COMPUTED_VALUE"""),3900.0)</f>
        <v>3900</v>
      </c>
      <c r="D486" s="2">
        <f>IFERROR(__xludf.DUMMYFUNCTION("""COMPUTED_VALUE"""),3860.0)</f>
        <v>3860</v>
      </c>
      <c r="E486" s="2">
        <f>IFERROR(__xludf.DUMMYFUNCTION("""COMPUTED_VALUE"""),3880.0)</f>
        <v>3880</v>
      </c>
      <c r="F486" s="2">
        <f>IFERROR(__xludf.DUMMYFUNCTION("""COMPUTED_VALUE"""),1161300.0)</f>
        <v>1161300</v>
      </c>
      <c r="G486" s="2">
        <f t="shared" si="1"/>
        <v>40</v>
      </c>
    </row>
    <row r="487" ht="15.75" customHeight="1">
      <c r="A487" s="1">
        <f>IFERROR(__xludf.DUMMYFUNCTION("""COMPUTED_VALUE"""),44557.66666666667)</f>
        <v>44557.66667</v>
      </c>
      <c r="B487" s="2">
        <f>IFERROR(__xludf.DUMMYFUNCTION("""COMPUTED_VALUE"""),3890.0)</f>
        <v>3890</v>
      </c>
      <c r="C487" s="2">
        <f>IFERROR(__xludf.DUMMYFUNCTION("""COMPUTED_VALUE"""),3900.0)</f>
        <v>3900</v>
      </c>
      <c r="D487" s="2">
        <f>IFERROR(__xludf.DUMMYFUNCTION("""COMPUTED_VALUE"""),3850.0)</f>
        <v>3850</v>
      </c>
      <c r="E487" s="2">
        <f>IFERROR(__xludf.DUMMYFUNCTION("""COMPUTED_VALUE"""),3860.0)</f>
        <v>3860</v>
      </c>
      <c r="F487" s="2">
        <f>IFERROR(__xludf.DUMMYFUNCTION("""COMPUTED_VALUE"""),1430700.0)</f>
        <v>1430700</v>
      </c>
      <c r="G487" s="2">
        <f t="shared" si="1"/>
        <v>50</v>
      </c>
    </row>
    <row r="488" ht="15.75" customHeight="1">
      <c r="A488" s="1">
        <f>IFERROR(__xludf.DUMMYFUNCTION("""COMPUTED_VALUE"""),44558.66666666667)</f>
        <v>44558.66667</v>
      </c>
      <c r="B488" s="2">
        <f>IFERROR(__xludf.DUMMYFUNCTION("""COMPUTED_VALUE"""),3880.0)</f>
        <v>3880</v>
      </c>
      <c r="C488" s="2">
        <f>IFERROR(__xludf.DUMMYFUNCTION("""COMPUTED_VALUE"""),3890.0)</f>
        <v>3890</v>
      </c>
      <c r="D488" s="2">
        <f>IFERROR(__xludf.DUMMYFUNCTION("""COMPUTED_VALUE"""),3860.0)</f>
        <v>3860</v>
      </c>
      <c r="E488" s="2">
        <f>IFERROR(__xludf.DUMMYFUNCTION("""COMPUTED_VALUE"""),3860.0)</f>
        <v>3860</v>
      </c>
      <c r="F488" s="2">
        <f>IFERROR(__xludf.DUMMYFUNCTION("""COMPUTED_VALUE"""),1239600.0)</f>
        <v>1239600</v>
      </c>
      <c r="G488" s="2">
        <f t="shared" si="1"/>
        <v>30</v>
      </c>
    </row>
    <row r="489" ht="15.75" customHeight="1">
      <c r="A489" s="1">
        <f>IFERROR(__xludf.DUMMYFUNCTION("""COMPUTED_VALUE"""),44559.66666666667)</f>
        <v>44559.66667</v>
      </c>
      <c r="B489" s="2">
        <f>IFERROR(__xludf.DUMMYFUNCTION("""COMPUTED_VALUE"""),3880.0)</f>
        <v>3880</v>
      </c>
      <c r="C489" s="2">
        <f>IFERROR(__xludf.DUMMYFUNCTION("""COMPUTED_VALUE"""),3880.0)</f>
        <v>3880</v>
      </c>
      <c r="D489" s="2">
        <f>IFERROR(__xludf.DUMMYFUNCTION("""COMPUTED_VALUE"""),3840.0)</f>
        <v>3840</v>
      </c>
      <c r="E489" s="2">
        <f>IFERROR(__xludf.DUMMYFUNCTION("""COMPUTED_VALUE"""),3880.0)</f>
        <v>3880</v>
      </c>
      <c r="F489" s="2">
        <f>IFERROR(__xludf.DUMMYFUNCTION("""COMPUTED_VALUE"""),1078100.0)</f>
        <v>1078100</v>
      </c>
      <c r="G489" s="2">
        <f t="shared" si="1"/>
        <v>40</v>
      </c>
    </row>
    <row r="490" ht="15.75" customHeight="1">
      <c r="A490" s="1">
        <f>IFERROR(__xludf.DUMMYFUNCTION("""COMPUTED_VALUE"""),44560.66666666667)</f>
        <v>44560.66667</v>
      </c>
      <c r="B490" s="2">
        <f>IFERROR(__xludf.DUMMYFUNCTION("""COMPUTED_VALUE"""),3900.0)</f>
        <v>3900</v>
      </c>
      <c r="C490" s="2">
        <f>IFERROR(__xludf.DUMMYFUNCTION("""COMPUTED_VALUE"""),3920.0)</f>
        <v>3920</v>
      </c>
      <c r="D490" s="2">
        <f>IFERROR(__xludf.DUMMYFUNCTION("""COMPUTED_VALUE"""),3870.0)</f>
        <v>3870</v>
      </c>
      <c r="E490" s="2">
        <f>IFERROR(__xludf.DUMMYFUNCTION("""COMPUTED_VALUE"""),3890.0)</f>
        <v>3890</v>
      </c>
      <c r="F490" s="2">
        <f>IFERROR(__xludf.DUMMYFUNCTION("""COMPUTED_VALUE"""),4497600.0)</f>
        <v>4497600</v>
      </c>
      <c r="G490" s="2">
        <f t="shared" si="1"/>
        <v>50</v>
      </c>
    </row>
    <row r="491" ht="15.75" customHeight="1">
      <c r="A491" s="1">
        <f>IFERROR(__xludf.DUMMYFUNCTION("""COMPUTED_VALUE"""),44564.66666666667)</f>
        <v>44564.66667</v>
      </c>
      <c r="B491" s="2">
        <f>IFERROR(__xludf.DUMMYFUNCTION("""COMPUTED_VALUE"""),3900.0)</f>
        <v>3900</v>
      </c>
      <c r="C491" s="2">
        <f>IFERROR(__xludf.DUMMYFUNCTION("""COMPUTED_VALUE"""),4020.0)</f>
        <v>4020</v>
      </c>
      <c r="D491" s="2">
        <f>IFERROR(__xludf.DUMMYFUNCTION("""COMPUTED_VALUE"""),3900.0)</f>
        <v>3900</v>
      </c>
      <c r="E491" s="2">
        <f>IFERROR(__xludf.DUMMYFUNCTION("""COMPUTED_VALUE"""),3980.0)</f>
        <v>3980</v>
      </c>
      <c r="F491" s="2">
        <f>IFERROR(__xludf.DUMMYFUNCTION("""COMPUTED_VALUE"""),4699900.0)</f>
        <v>4699900</v>
      </c>
      <c r="G491" s="2">
        <f t="shared" si="1"/>
        <v>130</v>
      </c>
    </row>
    <row r="492" ht="15.75" customHeight="1">
      <c r="A492" s="1">
        <f>IFERROR(__xludf.DUMMYFUNCTION("""COMPUTED_VALUE"""),44565.66666666667)</f>
        <v>44565.66667</v>
      </c>
      <c r="B492" s="2">
        <f>IFERROR(__xludf.DUMMYFUNCTION("""COMPUTED_VALUE"""),4000.0)</f>
        <v>4000</v>
      </c>
      <c r="C492" s="2">
        <f>IFERROR(__xludf.DUMMYFUNCTION("""COMPUTED_VALUE"""),4020.0)</f>
        <v>4020</v>
      </c>
      <c r="D492" s="2">
        <f>IFERROR(__xludf.DUMMYFUNCTION("""COMPUTED_VALUE"""),3940.0)</f>
        <v>3940</v>
      </c>
      <c r="E492" s="2">
        <f>IFERROR(__xludf.DUMMYFUNCTION("""COMPUTED_VALUE"""),3940.0)</f>
        <v>3940</v>
      </c>
      <c r="F492" s="2">
        <f>IFERROR(__xludf.DUMMYFUNCTION("""COMPUTED_VALUE"""),2067900.0)</f>
        <v>2067900</v>
      </c>
      <c r="G492" s="2">
        <f t="shared" si="1"/>
        <v>80</v>
      </c>
    </row>
    <row r="493" ht="15.75" customHeight="1">
      <c r="A493" s="1">
        <f>IFERROR(__xludf.DUMMYFUNCTION("""COMPUTED_VALUE"""),44566.66666666667)</f>
        <v>44566.66667</v>
      </c>
      <c r="B493" s="2">
        <f>IFERROR(__xludf.DUMMYFUNCTION("""COMPUTED_VALUE"""),3940.0)</f>
        <v>3940</v>
      </c>
      <c r="C493" s="2">
        <f>IFERROR(__xludf.DUMMYFUNCTION("""COMPUTED_VALUE"""),3950.0)</f>
        <v>3950</v>
      </c>
      <c r="D493" s="2">
        <f>IFERROR(__xludf.DUMMYFUNCTION("""COMPUTED_VALUE"""),3890.0)</f>
        <v>3890</v>
      </c>
      <c r="E493" s="2">
        <f>IFERROR(__xludf.DUMMYFUNCTION("""COMPUTED_VALUE"""),3900.0)</f>
        <v>3900</v>
      </c>
      <c r="F493" s="2">
        <f>IFERROR(__xludf.DUMMYFUNCTION("""COMPUTED_VALUE"""),4228000.0)</f>
        <v>4228000</v>
      </c>
      <c r="G493" s="2">
        <f t="shared" si="1"/>
        <v>60</v>
      </c>
    </row>
    <row r="494" ht="15.75" customHeight="1">
      <c r="A494" s="1">
        <f>IFERROR(__xludf.DUMMYFUNCTION("""COMPUTED_VALUE"""),44567.66666666667)</f>
        <v>44567.66667</v>
      </c>
      <c r="B494" s="2">
        <f>IFERROR(__xludf.DUMMYFUNCTION("""COMPUTED_VALUE"""),3900.0)</f>
        <v>3900</v>
      </c>
      <c r="C494" s="2">
        <f>IFERROR(__xludf.DUMMYFUNCTION("""COMPUTED_VALUE"""),3910.0)</f>
        <v>3910</v>
      </c>
      <c r="D494" s="2">
        <f>IFERROR(__xludf.DUMMYFUNCTION("""COMPUTED_VALUE"""),3850.0)</f>
        <v>3850</v>
      </c>
      <c r="E494" s="2">
        <f>IFERROR(__xludf.DUMMYFUNCTION("""COMPUTED_VALUE"""),3890.0)</f>
        <v>3890</v>
      </c>
      <c r="F494" s="2">
        <f>IFERROR(__xludf.DUMMYFUNCTION("""COMPUTED_VALUE"""),1484100.0)</f>
        <v>1484100</v>
      </c>
      <c r="G494" s="2">
        <f t="shared" si="1"/>
        <v>60</v>
      </c>
    </row>
    <row r="495" ht="15.75" customHeight="1">
      <c r="A495" s="1">
        <f>IFERROR(__xludf.DUMMYFUNCTION("""COMPUTED_VALUE"""),44568.66666666667)</f>
        <v>44568.66667</v>
      </c>
      <c r="B495" s="2">
        <f>IFERROR(__xludf.DUMMYFUNCTION("""COMPUTED_VALUE"""),3910.0)</f>
        <v>3910</v>
      </c>
      <c r="C495" s="2">
        <f>IFERROR(__xludf.DUMMYFUNCTION("""COMPUTED_VALUE"""),4020.0)</f>
        <v>4020</v>
      </c>
      <c r="D495" s="2">
        <f>IFERROR(__xludf.DUMMYFUNCTION("""COMPUTED_VALUE"""),3890.0)</f>
        <v>3890</v>
      </c>
      <c r="E495" s="2">
        <f>IFERROR(__xludf.DUMMYFUNCTION("""COMPUTED_VALUE"""),3950.0)</f>
        <v>3950</v>
      </c>
      <c r="F495" s="2">
        <f>IFERROR(__xludf.DUMMYFUNCTION("""COMPUTED_VALUE"""),5772300.0)</f>
        <v>5772300</v>
      </c>
      <c r="G495" s="2">
        <f t="shared" si="1"/>
        <v>130</v>
      </c>
    </row>
    <row r="496" ht="15.75" customHeight="1">
      <c r="A496" s="1">
        <f>IFERROR(__xludf.DUMMYFUNCTION("""COMPUTED_VALUE"""),44571.66666666667)</f>
        <v>44571.66667</v>
      </c>
      <c r="B496" s="2">
        <f>IFERROR(__xludf.DUMMYFUNCTION("""COMPUTED_VALUE"""),3970.0)</f>
        <v>3970</v>
      </c>
      <c r="C496" s="2">
        <f>IFERROR(__xludf.DUMMYFUNCTION("""COMPUTED_VALUE"""),3980.0)</f>
        <v>3980</v>
      </c>
      <c r="D496" s="2">
        <f>IFERROR(__xludf.DUMMYFUNCTION("""COMPUTED_VALUE"""),3910.0)</f>
        <v>3910</v>
      </c>
      <c r="E496" s="2">
        <f>IFERROR(__xludf.DUMMYFUNCTION("""COMPUTED_VALUE"""),3930.0)</f>
        <v>3930</v>
      </c>
      <c r="F496" s="2">
        <f>IFERROR(__xludf.DUMMYFUNCTION("""COMPUTED_VALUE"""),2028000.0)</f>
        <v>2028000</v>
      </c>
      <c r="G496" s="2">
        <f t="shared" si="1"/>
        <v>70</v>
      </c>
    </row>
    <row r="497" ht="15.75" customHeight="1">
      <c r="A497" s="1">
        <f>IFERROR(__xludf.DUMMYFUNCTION("""COMPUTED_VALUE"""),44572.66666666667)</f>
        <v>44572.66667</v>
      </c>
      <c r="B497" s="2">
        <f>IFERROR(__xludf.DUMMYFUNCTION("""COMPUTED_VALUE"""),3930.0)</f>
        <v>3930</v>
      </c>
      <c r="C497" s="2">
        <f>IFERROR(__xludf.DUMMYFUNCTION("""COMPUTED_VALUE"""),3930.0)</f>
        <v>3930</v>
      </c>
      <c r="D497" s="2">
        <f>IFERROR(__xludf.DUMMYFUNCTION("""COMPUTED_VALUE"""),3810.0)</f>
        <v>3810</v>
      </c>
      <c r="E497" s="2">
        <f>IFERROR(__xludf.DUMMYFUNCTION("""COMPUTED_VALUE"""),3810.0)</f>
        <v>3810</v>
      </c>
      <c r="F497" s="2">
        <f>IFERROR(__xludf.DUMMYFUNCTION("""COMPUTED_VALUE"""),5838000.0)</f>
        <v>5838000</v>
      </c>
      <c r="G497" s="2">
        <f t="shared" si="1"/>
        <v>120</v>
      </c>
    </row>
    <row r="498" ht="15.75" customHeight="1">
      <c r="A498" s="1">
        <f>IFERROR(__xludf.DUMMYFUNCTION("""COMPUTED_VALUE"""),44573.66666666667)</f>
        <v>44573.66667</v>
      </c>
      <c r="B498" s="2">
        <f>IFERROR(__xludf.DUMMYFUNCTION("""COMPUTED_VALUE"""),3820.0)</f>
        <v>3820</v>
      </c>
      <c r="C498" s="2">
        <f>IFERROR(__xludf.DUMMYFUNCTION("""COMPUTED_VALUE"""),3840.0)</f>
        <v>3840</v>
      </c>
      <c r="D498" s="2">
        <f>IFERROR(__xludf.DUMMYFUNCTION("""COMPUTED_VALUE"""),3730.0)</f>
        <v>3730</v>
      </c>
      <c r="E498" s="2">
        <f>IFERROR(__xludf.DUMMYFUNCTION("""COMPUTED_VALUE"""),3740.0)</f>
        <v>3740</v>
      </c>
      <c r="F498" s="2">
        <f>IFERROR(__xludf.DUMMYFUNCTION("""COMPUTED_VALUE"""),6375500.0)</f>
        <v>6375500</v>
      </c>
      <c r="G498" s="2">
        <f t="shared" si="1"/>
        <v>110</v>
      </c>
    </row>
    <row r="499" ht="15.75" customHeight="1">
      <c r="A499" s="1">
        <f>IFERROR(__xludf.DUMMYFUNCTION("""COMPUTED_VALUE"""),44574.66666666667)</f>
        <v>44574.66667</v>
      </c>
      <c r="B499" s="2">
        <f>IFERROR(__xludf.DUMMYFUNCTION("""COMPUTED_VALUE"""),3740.0)</f>
        <v>3740</v>
      </c>
      <c r="C499" s="2">
        <f>IFERROR(__xludf.DUMMYFUNCTION("""COMPUTED_VALUE"""),3780.0)</f>
        <v>3780</v>
      </c>
      <c r="D499" s="2">
        <f>IFERROR(__xludf.DUMMYFUNCTION("""COMPUTED_VALUE"""),3730.0)</f>
        <v>3730</v>
      </c>
      <c r="E499" s="2">
        <f>IFERROR(__xludf.DUMMYFUNCTION("""COMPUTED_VALUE"""),3750.0)</f>
        <v>3750</v>
      </c>
      <c r="F499" s="2">
        <f>IFERROR(__xludf.DUMMYFUNCTION("""COMPUTED_VALUE"""),5285800.0)</f>
        <v>5285800</v>
      </c>
      <c r="G499" s="2">
        <f t="shared" si="1"/>
        <v>50</v>
      </c>
    </row>
    <row r="500" ht="15.75" customHeight="1">
      <c r="A500" s="1">
        <f>IFERROR(__xludf.DUMMYFUNCTION("""COMPUTED_VALUE"""),44575.66666666667)</f>
        <v>44575.66667</v>
      </c>
      <c r="B500" s="2">
        <f>IFERROR(__xludf.DUMMYFUNCTION("""COMPUTED_VALUE"""),3750.0)</f>
        <v>3750</v>
      </c>
      <c r="C500" s="2">
        <f>IFERROR(__xludf.DUMMYFUNCTION("""COMPUTED_VALUE"""),3780.0)</f>
        <v>3780</v>
      </c>
      <c r="D500" s="2">
        <f>IFERROR(__xludf.DUMMYFUNCTION("""COMPUTED_VALUE"""),3730.0)</f>
        <v>3730</v>
      </c>
      <c r="E500" s="2">
        <f>IFERROR(__xludf.DUMMYFUNCTION("""COMPUTED_VALUE"""),3750.0)</f>
        <v>3750</v>
      </c>
      <c r="F500" s="2">
        <f>IFERROR(__xludf.DUMMYFUNCTION("""COMPUTED_VALUE"""),3726800.0)</f>
        <v>3726800</v>
      </c>
      <c r="G500" s="2">
        <f t="shared" si="1"/>
        <v>50</v>
      </c>
    </row>
    <row r="501" ht="15.75" customHeight="1">
      <c r="A501" s="1">
        <f>IFERROR(__xludf.DUMMYFUNCTION("""COMPUTED_VALUE"""),44578.66666666667)</f>
        <v>44578.66667</v>
      </c>
      <c r="B501" s="2">
        <f>IFERROR(__xludf.DUMMYFUNCTION("""COMPUTED_VALUE"""),3750.0)</f>
        <v>3750</v>
      </c>
      <c r="C501" s="2">
        <f>IFERROR(__xludf.DUMMYFUNCTION("""COMPUTED_VALUE"""),3760.0)</f>
        <v>3760</v>
      </c>
      <c r="D501" s="2">
        <f>IFERROR(__xludf.DUMMYFUNCTION("""COMPUTED_VALUE"""),3700.0)</f>
        <v>3700</v>
      </c>
      <c r="E501" s="2">
        <f>IFERROR(__xludf.DUMMYFUNCTION("""COMPUTED_VALUE"""),3730.0)</f>
        <v>3730</v>
      </c>
      <c r="F501" s="2">
        <f>IFERROR(__xludf.DUMMYFUNCTION("""COMPUTED_VALUE"""),5601700.0)</f>
        <v>5601700</v>
      </c>
      <c r="G501" s="2">
        <f t="shared" si="1"/>
        <v>60</v>
      </c>
    </row>
    <row r="502" ht="15.75" customHeight="1">
      <c r="A502" s="1">
        <f>IFERROR(__xludf.DUMMYFUNCTION("""COMPUTED_VALUE"""),44579.66666666667)</f>
        <v>44579.66667</v>
      </c>
      <c r="B502" s="2">
        <f>IFERROR(__xludf.DUMMYFUNCTION("""COMPUTED_VALUE"""),3730.0)</f>
        <v>3730</v>
      </c>
      <c r="C502" s="2">
        <f>IFERROR(__xludf.DUMMYFUNCTION("""COMPUTED_VALUE"""),3730.0)</f>
        <v>3730</v>
      </c>
      <c r="D502" s="2">
        <f>IFERROR(__xludf.DUMMYFUNCTION("""COMPUTED_VALUE"""),3590.0)</f>
        <v>3590</v>
      </c>
      <c r="E502" s="2">
        <f>IFERROR(__xludf.DUMMYFUNCTION("""COMPUTED_VALUE"""),3600.0)</f>
        <v>3600</v>
      </c>
      <c r="F502" s="2">
        <f>IFERROR(__xludf.DUMMYFUNCTION("""COMPUTED_VALUE"""),9111700.0)</f>
        <v>9111700</v>
      </c>
      <c r="G502" s="2">
        <f t="shared" si="1"/>
        <v>140</v>
      </c>
    </row>
    <row r="503" ht="15.75" customHeight="1">
      <c r="A503" s="1">
        <f>IFERROR(__xludf.DUMMYFUNCTION("""COMPUTED_VALUE"""),44580.66666666667)</f>
        <v>44580.66667</v>
      </c>
      <c r="B503" s="2">
        <f>IFERROR(__xludf.DUMMYFUNCTION("""COMPUTED_VALUE"""),3580.0)</f>
        <v>3580</v>
      </c>
      <c r="C503" s="2">
        <f>IFERROR(__xludf.DUMMYFUNCTION("""COMPUTED_VALUE"""),3620.0)</f>
        <v>3620</v>
      </c>
      <c r="D503" s="2">
        <f>IFERROR(__xludf.DUMMYFUNCTION("""COMPUTED_VALUE"""),3460.0)</f>
        <v>3460</v>
      </c>
      <c r="E503" s="2">
        <f>IFERROR(__xludf.DUMMYFUNCTION("""COMPUTED_VALUE"""),3470.0)</f>
        <v>3470</v>
      </c>
      <c r="F503" s="2">
        <f>IFERROR(__xludf.DUMMYFUNCTION("""COMPUTED_VALUE"""),8260100.0)</f>
        <v>8260100</v>
      </c>
      <c r="G503" s="2">
        <f t="shared" si="1"/>
        <v>160</v>
      </c>
    </row>
    <row r="504" ht="15.75" customHeight="1">
      <c r="A504" s="1">
        <f>IFERROR(__xludf.DUMMYFUNCTION("""COMPUTED_VALUE"""),44581.66666666667)</f>
        <v>44581.66667</v>
      </c>
      <c r="B504" s="2">
        <f>IFERROR(__xludf.DUMMYFUNCTION("""COMPUTED_VALUE"""),3450.0)</f>
        <v>3450</v>
      </c>
      <c r="C504" s="2">
        <f>IFERROR(__xludf.DUMMYFUNCTION("""COMPUTED_VALUE"""),3520.0)</f>
        <v>3520</v>
      </c>
      <c r="D504" s="2">
        <f>IFERROR(__xludf.DUMMYFUNCTION("""COMPUTED_VALUE"""),3430.0)</f>
        <v>3430</v>
      </c>
      <c r="E504" s="2">
        <f>IFERROR(__xludf.DUMMYFUNCTION("""COMPUTED_VALUE"""),3470.0)</f>
        <v>3470</v>
      </c>
      <c r="F504" s="2">
        <f>IFERROR(__xludf.DUMMYFUNCTION("""COMPUTED_VALUE"""),6100800.0)</f>
        <v>6100800</v>
      </c>
      <c r="G504" s="2">
        <f t="shared" si="1"/>
        <v>90</v>
      </c>
    </row>
    <row r="505" ht="15.75" customHeight="1">
      <c r="A505" s="1">
        <f>IFERROR(__xludf.DUMMYFUNCTION("""COMPUTED_VALUE"""),44582.66666666667)</f>
        <v>44582.66667</v>
      </c>
      <c r="B505" s="2">
        <f>IFERROR(__xludf.DUMMYFUNCTION("""COMPUTED_VALUE"""),3470.0)</f>
        <v>3470</v>
      </c>
      <c r="C505" s="2">
        <f>IFERROR(__xludf.DUMMYFUNCTION("""COMPUTED_VALUE"""),3630.0)</f>
        <v>3630</v>
      </c>
      <c r="D505" s="2">
        <f>IFERROR(__xludf.DUMMYFUNCTION("""COMPUTED_VALUE"""),3470.0)</f>
        <v>3470</v>
      </c>
      <c r="E505" s="2">
        <f>IFERROR(__xludf.DUMMYFUNCTION("""COMPUTED_VALUE"""),3620.0)</f>
        <v>3620</v>
      </c>
      <c r="F505" s="2">
        <f>IFERROR(__xludf.DUMMYFUNCTION("""COMPUTED_VALUE"""),2941700.0)</f>
        <v>2941700</v>
      </c>
      <c r="G505" s="2">
        <f t="shared" si="1"/>
        <v>160</v>
      </c>
    </row>
    <row r="506" ht="15.75" customHeight="1">
      <c r="A506" s="1">
        <f>IFERROR(__xludf.DUMMYFUNCTION("""COMPUTED_VALUE"""),44585.66666666667)</f>
        <v>44585.66667</v>
      </c>
      <c r="B506" s="2">
        <f>IFERROR(__xludf.DUMMYFUNCTION("""COMPUTED_VALUE"""),3620.0)</f>
        <v>3620</v>
      </c>
      <c r="C506" s="2">
        <f>IFERROR(__xludf.DUMMYFUNCTION("""COMPUTED_VALUE"""),3620.0)</f>
        <v>3620</v>
      </c>
      <c r="D506" s="2">
        <f>IFERROR(__xludf.DUMMYFUNCTION("""COMPUTED_VALUE"""),3500.0)</f>
        <v>3500</v>
      </c>
      <c r="E506" s="2">
        <f>IFERROR(__xludf.DUMMYFUNCTION("""COMPUTED_VALUE"""),3550.0)</f>
        <v>3550</v>
      </c>
      <c r="F506" s="2">
        <f>IFERROR(__xludf.DUMMYFUNCTION("""COMPUTED_VALUE"""),5633700.0)</f>
        <v>5633700</v>
      </c>
      <c r="G506" s="2">
        <f t="shared" si="1"/>
        <v>120</v>
      </c>
    </row>
    <row r="507" ht="15.75" customHeight="1">
      <c r="A507" s="1">
        <f>IFERROR(__xludf.DUMMYFUNCTION("""COMPUTED_VALUE"""),44586.66666666667)</f>
        <v>44586.66667</v>
      </c>
      <c r="B507" s="2">
        <f>IFERROR(__xludf.DUMMYFUNCTION("""COMPUTED_VALUE"""),3530.0)</f>
        <v>3530</v>
      </c>
      <c r="C507" s="2">
        <f>IFERROR(__xludf.DUMMYFUNCTION("""COMPUTED_VALUE"""),3530.0)</f>
        <v>3530</v>
      </c>
      <c r="D507" s="2">
        <f>IFERROR(__xludf.DUMMYFUNCTION("""COMPUTED_VALUE"""),3420.0)</f>
        <v>3420</v>
      </c>
      <c r="E507" s="2">
        <f>IFERROR(__xludf.DUMMYFUNCTION("""COMPUTED_VALUE"""),3440.0)</f>
        <v>3440</v>
      </c>
      <c r="F507" s="2">
        <f>IFERROR(__xludf.DUMMYFUNCTION("""COMPUTED_VALUE"""),5035900.0)</f>
        <v>5035900</v>
      </c>
      <c r="G507" s="2">
        <f t="shared" si="1"/>
        <v>130</v>
      </c>
    </row>
    <row r="508" ht="15.75" customHeight="1">
      <c r="A508" s="1">
        <f>IFERROR(__xludf.DUMMYFUNCTION("""COMPUTED_VALUE"""),44587.66666666667)</f>
        <v>44587.66667</v>
      </c>
      <c r="B508" s="2">
        <f>IFERROR(__xludf.DUMMYFUNCTION("""COMPUTED_VALUE"""),3430.0)</f>
        <v>3430</v>
      </c>
      <c r="C508" s="2">
        <f>IFERROR(__xludf.DUMMYFUNCTION("""COMPUTED_VALUE"""),3430.0)</f>
        <v>3430</v>
      </c>
      <c r="D508" s="2">
        <f>IFERROR(__xludf.DUMMYFUNCTION("""COMPUTED_VALUE"""),3310.0)</f>
        <v>3310</v>
      </c>
      <c r="E508" s="2">
        <f>IFERROR(__xludf.DUMMYFUNCTION("""COMPUTED_VALUE"""),3330.0)</f>
        <v>3330</v>
      </c>
      <c r="F508" s="2">
        <f>IFERROR(__xludf.DUMMYFUNCTION("""COMPUTED_VALUE"""),1.41287E7)</f>
        <v>14128700</v>
      </c>
      <c r="G508" s="2">
        <f t="shared" si="1"/>
        <v>130</v>
      </c>
    </row>
    <row r="509" ht="15.75" customHeight="1">
      <c r="A509" s="1">
        <f>IFERROR(__xludf.DUMMYFUNCTION("""COMPUTED_VALUE"""),44588.66666666667)</f>
        <v>44588.66667</v>
      </c>
      <c r="B509" s="2">
        <f>IFERROR(__xludf.DUMMYFUNCTION("""COMPUTED_VALUE"""),3370.0)</f>
        <v>3370</v>
      </c>
      <c r="C509" s="2">
        <f>IFERROR(__xludf.DUMMYFUNCTION("""COMPUTED_VALUE"""),3370.0)</f>
        <v>3370</v>
      </c>
      <c r="D509" s="2">
        <f>IFERROR(__xludf.DUMMYFUNCTION("""COMPUTED_VALUE"""),3220.0)</f>
        <v>3220</v>
      </c>
      <c r="E509" s="2">
        <f>IFERROR(__xludf.DUMMYFUNCTION("""COMPUTED_VALUE"""),3240.0)</f>
        <v>3240</v>
      </c>
      <c r="F509" s="2">
        <f>IFERROR(__xludf.DUMMYFUNCTION("""COMPUTED_VALUE"""),1.01814E7)</f>
        <v>10181400</v>
      </c>
      <c r="G509" s="2">
        <f t="shared" si="1"/>
        <v>150</v>
      </c>
    </row>
    <row r="510" ht="15.75" customHeight="1">
      <c r="A510" s="1">
        <f>IFERROR(__xludf.DUMMYFUNCTION("""COMPUTED_VALUE"""),44589.66666666667)</f>
        <v>44589.66667</v>
      </c>
      <c r="B510" s="2">
        <f>IFERROR(__xludf.DUMMYFUNCTION("""COMPUTED_VALUE"""),3250.0)</f>
        <v>3250</v>
      </c>
      <c r="C510" s="2">
        <f>IFERROR(__xludf.DUMMYFUNCTION("""COMPUTED_VALUE"""),3300.0)</f>
        <v>3300</v>
      </c>
      <c r="D510" s="2">
        <f>IFERROR(__xludf.DUMMYFUNCTION("""COMPUTED_VALUE"""),3240.0)</f>
        <v>3240</v>
      </c>
      <c r="E510" s="2">
        <f>IFERROR(__xludf.DUMMYFUNCTION("""COMPUTED_VALUE"""),3260.0)</f>
        <v>3260</v>
      </c>
      <c r="F510" s="2">
        <f>IFERROR(__xludf.DUMMYFUNCTION("""COMPUTED_VALUE"""),4974000.0)</f>
        <v>4974000</v>
      </c>
      <c r="G510" s="2">
        <f t="shared" si="1"/>
        <v>60</v>
      </c>
    </row>
    <row r="511" ht="15.75" customHeight="1">
      <c r="A511" s="1">
        <f>IFERROR(__xludf.DUMMYFUNCTION("""COMPUTED_VALUE"""),44592.66666666667)</f>
        <v>44592.66667</v>
      </c>
      <c r="B511" s="2">
        <f>IFERROR(__xludf.DUMMYFUNCTION("""COMPUTED_VALUE"""),3290.0)</f>
        <v>3290</v>
      </c>
      <c r="C511" s="2">
        <f>IFERROR(__xludf.DUMMYFUNCTION("""COMPUTED_VALUE"""),3320.0)</f>
        <v>3320</v>
      </c>
      <c r="D511" s="2">
        <f>IFERROR(__xludf.DUMMYFUNCTION("""COMPUTED_VALUE"""),3260.0)</f>
        <v>3260</v>
      </c>
      <c r="E511" s="2">
        <f>IFERROR(__xludf.DUMMYFUNCTION("""COMPUTED_VALUE"""),3290.0)</f>
        <v>3290</v>
      </c>
      <c r="F511" s="2">
        <f>IFERROR(__xludf.DUMMYFUNCTION("""COMPUTED_VALUE"""),7692400.0)</f>
        <v>7692400</v>
      </c>
      <c r="G511" s="2">
        <f t="shared" si="1"/>
        <v>60</v>
      </c>
    </row>
    <row r="512" ht="15.75" customHeight="1">
      <c r="A512" s="1">
        <f>IFERROR(__xludf.DUMMYFUNCTION("""COMPUTED_VALUE"""),44594.66666666667)</f>
        <v>44594.66667</v>
      </c>
      <c r="B512" s="2">
        <f>IFERROR(__xludf.DUMMYFUNCTION("""COMPUTED_VALUE"""),3300.0)</f>
        <v>3300</v>
      </c>
      <c r="C512" s="2">
        <f>IFERROR(__xludf.DUMMYFUNCTION("""COMPUTED_VALUE"""),3340.0)</f>
        <v>3340</v>
      </c>
      <c r="D512" s="2">
        <f>IFERROR(__xludf.DUMMYFUNCTION("""COMPUTED_VALUE"""),3280.0)</f>
        <v>3280</v>
      </c>
      <c r="E512" s="2">
        <f>IFERROR(__xludf.DUMMYFUNCTION("""COMPUTED_VALUE"""),3290.0)</f>
        <v>3290</v>
      </c>
      <c r="F512" s="2">
        <f>IFERROR(__xludf.DUMMYFUNCTION("""COMPUTED_VALUE"""),7793700.0)</f>
        <v>7793700</v>
      </c>
      <c r="G512" s="2">
        <f t="shared" si="1"/>
        <v>60</v>
      </c>
    </row>
    <row r="513" ht="15.75" customHeight="1">
      <c r="A513" s="1">
        <f>IFERROR(__xludf.DUMMYFUNCTION("""COMPUTED_VALUE"""),44595.66666666667)</f>
        <v>44595.66667</v>
      </c>
      <c r="B513" s="2">
        <f>IFERROR(__xludf.DUMMYFUNCTION("""COMPUTED_VALUE"""),3300.0)</f>
        <v>3300</v>
      </c>
      <c r="C513" s="2">
        <f>IFERROR(__xludf.DUMMYFUNCTION("""COMPUTED_VALUE"""),3450.0)</f>
        <v>3450</v>
      </c>
      <c r="D513" s="2">
        <f>IFERROR(__xludf.DUMMYFUNCTION("""COMPUTED_VALUE"""),3250.0)</f>
        <v>3250</v>
      </c>
      <c r="E513" s="2">
        <f>IFERROR(__xludf.DUMMYFUNCTION("""COMPUTED_VALUE"""),3450.0)</f>
        <v>3450</v>
      </c>
      <c r="F513" s="2">
        <f>IFERROR(__xludf.DUMMYFUNCTION("""COMPUTED_VALUE"""),1.11738E7)</f>
        <v>11173800</v>
      </c>
      <c r="G513" s="2">
        <f t="shared" si="1"/>
        <v>200</v>
      </c>
    </row>
    <row r="514" ht="15.75" customHeight="1">
      <c r="A514" s="1">
        <f>IFERROR(__xludf.DUMMYFUNCTION("""COMPUTED_VALUE"""),44596.66666666667)</f>
        <v>44596.66667</v>
      </c>
      <c r="B514" s="2">
        <f>IFERROR(__xludf.DUMMYFUNCTION("""COMPUTED_VALUE"""),3500.0)</f>
        <v>3500</v>
      </c>
      <c r="C514" s="2">
        <f>IFERROR(__xludf.DUMMYFUNCTION("""COMPUTED_VALUE"""),3500.0)</f>
        <v>3500</v>
      </c>
      <c r="D514" s="2">
        <f>IFERROR(__xludf.DUMMYFUNCTION("""COMPUTED_VALUE"""),3380.0)</f>
        <v>3380</v>
      </c>
      <c r="E514" s="2">
        <f>IFERROR(__xludf.DUMMYFUNCTION("""COMPUTED_VALUE"""),3410.0)</f>
        <v>3410</v>
      </c>
      <c r="F514" s="2">
        <f>IFERROR(__xludf.DUMMYFUNCTION("""COMPUTED_VALUE"""),5396400.0)</f>
        <v>5396400</v>
      </c>
      <c r="G514" s="2">
        <f t="shared" si="1"/>
        <v>120</v>
      </c>
    </row>
    <row r="515" ht="15.75" customHeight="1">
      <c r="A515" s="1">
        <f>IFERROR(__xludf.DUMMYFUNCTION("""COMPUTED_VALUE"""),44599.66666666667)</f>
        <v>44599.66667</v>
      </c>
      <c r="B515" s="2">
        <f>IFERROR(__xludf.DUMMYFUNCTION("""COMPUTED_VALUE"""),3410.0)</f>
        <v>3410</v>
      </c>
      <c r="C515" s="2">
        <f>IFERROR(__xludf.DUMMYFUNCTION("""COMPUTED_VALUE"""),3470.0)</f>
        <v>3470</v>
      </c>
      <c r="D515" s="2">
        <f>IFERROR(__xludf.DUMMYFUNCTION("""COMPUTED_VALUE"""),3350.0)</f>
        <v>3350</v>
      </c>
      <c r="E515" s="2">
        <f>IFERROR(__xludf.DUMMYFUNCTION("""COMPUTED_VALUE"""),3370.0)</f>
        <v>3370</v>
      </c>
      <c r="F515" s="2">
        <f>IFERROR(__xludf.DUMMYFUNCTION("""COMPUTED_VALUE"""),5132700.0)</f>
        <v>5132700</v>
      </c>
      <c r="G515" s="2">
        <f t="shared" si="1"/>
        <v>120</v>
      </c>
    </row>
    <row r="516" ht="15.75" customHeight="1">
      <c r="A516" s="1">
        <f>IFERROR(__xludf.DUMMYFUNCTION("""COMPUTED_VALUE"""),44600.66666666667)</f>
        <v>44600.66667</v>
      </c>
      <c r="B516" s="2">
        <f>IFERROR(__xludf.DUMMYFUNCTION("""COMPUTED_VALUE"""),3370.0)</f>
        <v>3370</v>
      </c>
      <c r="C516" s="2">
        <f>IFERROR(__xludf.DUMMYFUNCTION("""COMPUTED_VALUE"""),3410.0)</f>
        <v>3410</v>
      </c>
      <c r="D516" s="2">
        <f>IFERROR(__xludf.DUMMYFUNCTION("""COMPUTED_VALUE"""),3320.0)</f>
        <v>3320</v>
      </c>
      <c r="E516" s="2">
        <f>IFERROR(__xludf.DUMMYFUNCTION("""COMPUTED_VALUE"""),3330.0)</f>
        <v>3330</v>
      </c>
      <c r="F516" s="2">
        <f>IFERROR(__xludf.DUMMYFUNCTION("""COMPUTED_VALUE"""),6779600.0)</f>
        <v>6779600</v>
      </c>
      <c r="G516" s="2">
        <f t="shared" si="1"/>
        <v>90</v>
      </c>
    </row>
    <row r="517" ht="15.75" customHeight="1">
      <c r="A517" s="1">
        <f>IFERROR(__xludf.DUMMYFUNCTION("""COMPUTED_VALUE"""),44601.66666666667)</f>
        <v>44601.66667</v>
      </c>
      <c r="B517" s="2">
        <f>IFERROR(__xludf.DUMMYFUNCTION("""COMPUTED_VALUE"""),3350.0)</f>
        <v>3350</v>
      </c>
      <c r="C517" s="2">
        <f>IFERROR(__xludf.DUMMYFUNCTION("""COMPUTED_VALUE"""),3400.0)</f>
        <v>3400</v>
      </c>
      <c r="D517" s="2">
        <f>IFERROR(__xludf.DUMMYFUNCTION("""COMPUTED_VALUE"""),3340.0)</f>
        <v>3340</v>
      </c>
      <c r="E517" s="2">
        <f>IFERROR(__xludf.DUMMYFUNCTION("""COMPUTED_VALUE"""),3390.0)</f>
        <v>3390</v>
      </c>
      <c r="F517" s="2">
        <f>IFERROR(__xludf.DUMMYFUNCTION("""COMPUTED_VALUE"""),4858000.0)</f>
        <v>4858000</v>
      </c>
      <c r="G517" s="2">
        <f t="shared" si="1"/>
        <v>70</v>
      </c>
    </row>
    <row r="518" ht="15.75" customHeight="1">
      <c r="A518" s="1">
        <f>IFERROR(__xludf.DUMMYFUNCTION("""COMPUTED_VALUE"""),44602.66666666667)</f>
        <v>44602.66667</v>
      </c>
      <c r="B518" s="2">
        <f>IFERROR(__xludf.DUMMYFUNCTION("""COMPUTED_VALUE"""),3400.0)</f>
        <v>3400</v>
      </c>
      <c r="C518" s="2">
        <f>IFERROR(__xludf.DUMMYFUNCTION("""COMPUTED_VALUE"""),3420.0)</f>
        <v>3420</v>
      </c>
      <c r="D518" s="2">
        <f>IFERROR(__xludf.DUMMYFUNCTION("""COMPUTED_VALUE"""),3340.0)</f>
        <v>3340</v>
      </c>
      <c r="E518" s="2">
        <f>IFERROR(__xludf.DUMMYFUNCTION("""COMPUTED_VALUE"""),3340.0)</f>
        <v>3340</v>
      </c>
      <c r="F518" s="2">
        <f>IFERROR(__xludf.DUMMYFUNCTION("""COMPUTED_VALUE"""),5839800.0)</f>
        <v>5839800</v>
      </c>
      <c r="G518" s="2">
        <f t="shared" si="1"/>
        <v>80</v>
      </c>
    </row>
    <row r="519" ht="15.75" customHeight="1">
      <c r="A519" s="1">
        <f>IFERROR(__xludf.DUMMYFUNCTION("""COMPUTED_VALUE"""),44603.66666666667)</f>
        <v>44603.66667</v>
      </c>
      <c r="B519" s="2">
        <f>IFERROR(__xludf.DUMMYFUNCTION("""COMPUTED_VALUE"""),3340.0)</f>
        <v>3340</v>
      </c>
      <c r="C519" s="2">
        <f>IFERROR(__xludf.DUMMYFUNCTION("""COMPUTED_VALUE"""),3370.0)</f>
        <v>3370</v>
      </c>
      <c r="D519" s="2">
        <f>IFERROR(__xludf.DUMMYFUNCTION("""COMPUTED_VALUE"""),3300.0)</f>
        <v>3300</v>
      </c>
      <c r="E519" s="2">
        <f>IFERROR(__xludf.DUMMYFUNCTION("""COMPUTED_VALUE"""),3350.0)</f>
        <v>3350</v>
      </c>
      <c r="F519" s="2">
        <f>IFERROR(__xludf.DUMMYFUNCTION("""COMPUTED_VALUE"""),1.04622E7)</f>
        <v>10462200</v>
      </c>
      <c r="G519" s="2">
        <f t="shared" si="1"/>
        <v>70</v>
      </c>
    </row>
    <row r="520" ht="15.75" customHeight="1">
      <c r="A520" s="1">
        <f>IFERROR(__xludf.DUMMYFUNCTION("""COMPUTED_VALUE"""),44606.66666666667)</f>
        <v>44606.66667</v>
      </c>
      <c r="B520" s="2">
        <f>IFERROR(__xludf.DUMMYFUNCTION("""COMPUTED_VALUE"""),3350.0)</f>
        <v>3350</v>
      </c>
      <c r="C520" s="2">
        <f>IFERROR(__xludf.DUMMYFUNCTION("""COMPUTED_VALUE"""),3350.0)</f>
        <v>3350</v>
      </c>
      <c r="D520" s="2">
        <f>IFERROR(__xludf.DUMMYFUNCTION("""COMPUTED_VALUE"""),3280.0)</f>
        <v>3280</v>
      </c>
      <c r="E520" s="2">
        <f>IFERROR(__xludf.DUMMYFUNCTION("""COMPUTED_VALUE"""),3320.0)</f>
        <v>3320</v>
      </c>
      <c r="F520" s="2">
        <f>IFERROR(__xludf.DUMMYFUNCTION("""COMPUTED_VALUE"""),5839600.0)</f>
        <v>5839600</v>
      </c>
      <c r="G520" s="2">
        <f t="shared" si="1"/>
        <v>70</v>
      </c>
    </row>
    <row r="521" ht="15.75" customHeight="1">
      <c r="A521" s="1">
        <f>IFERROR(__xludf.DUMMYFUNCTION("""COMPUTED_VALUE"""),44607.66666666667)</f>
        <v>44607.66667</v>
      </c>
      <c r="B521" s="2">
        <f>IFERROR(__xludf.DUMMYFUNCTION("""COMPUTED_VALUE"""),3340.0)</f>
        <v>3340</v>
      </c>
      <c r="C521" s="2">
        <f>IFERROR(__xludf.DUMMYFUNCTION("""COMPUTED_VALUE"""),3340.0)</f>
        <v>3340</v>
      </c>
      <c r="D521" s="2">
        <f>IFERROR(__xludf.DUMMYFUNCTION("""COMPUTED_VALUE"""),3270.0)</f>
        <v>3270</v>
      </c>
      <c r="E521" s="2">
        <f>IFERROR(__xludf.DUMMYFUNCTION("""COMPUTED_VALUE"""),3320.0)</f>
        <v>3320</v>
      </c>
      <c r="F521" s="2">
        <f>IFERROR(__xludf.DUMMYFUNCTION("""COMPUTED_VALUE"""),7866700.0)</f>
        <v>7866700</v>
      </c>
      <c r="G521" s="2">
        <f t="shared" si="1"/>
        <v>70</v>
      </c>
    </row>
    <row r="522" ht="15.75" customHeight="1">
      <c r="A522" s="1">
        <f>IFERROR(__xludf.DUMMYFUNCTION("""COMPUTED_VALUE"""),44608.66666666667)</f>
        <v>44608.66667</v>
      </c>
      <c r="B522" s="2">
        <f>IFERROR(__xludf.DUMMYFUNCTION("""COMPUTED_VALUE"""),3350.0)</f>
        <v>3350</v>
      </c>
      <c r="C522" s="2">
        <f>IFERROR(__xludf.DUMMYFUNCTION("""COMPUTED_VALUE"""),3480.0)</f>
        <v>3480</v>
      </c>
      <c r="D522" s="2">
        <f>IFERROR(__xludf.DUMMYFUNCTION("""COMPUTED_VALUE"""),3320.0)</f>
        <v>3320</v>
      </c>
      <c r="E522" s="2">
        <f>IFERROR(__xludf.DUMMYFUNCTION("""COMPUTED_VALUE"""),3420.0)</f>
        <v>3420</v>
      </c>
      <c r="F522" s="2">
        <f>IFERROR(__xludf.DUMMYFUNCTION("""COMPUTED_VALUE"""),1.55977E7)</f>
        <v>15597700</v>
      </c>
      <c r="G522" s="2">
        <f t="shared" si="1"/>
        <v>160</v>
      </c>
    </row>
    <row r="523" ht="15.75" customHeight="1">
      <c r="A523" s="1">
        <f>IFERROR(__xludf.DUMMYFUNCTION("""COMPUTED_VALUE"""),44609.66666666667)</f>
        <v>44609.66667</v>
      </c>
      <c r="B523" s="2">
        <f>IFERROR(__xludf.DUMMYFUNCTION("""COMPUTED_VALUE"""),3430.0)</f>
        <v>3430</v>
      </c>
      <c r="C523" s="2">
        <f>IFERROR(__xludf.DUMMYFUNCTION("""COMPUTED_VALUE"""),3580.0)</f>
        <v>3580</v>
      </c>
      <c r="D523" s="2">
        <f>IFERROR(__xludf.DUMMYFUNCTION("""COMPUTED_VALUE"""),3420.0)</f>
        <v>3420</v>
      </c>
      <c r="E523" s="2">
        <f>IFERROR(__xludf.DUMMYFUNCTION("""COMPUTED_VALUE"""),3580.0)</f>
        <v>3580</v>
      </c>
      <c r="F523" s="2">
        <f>IFERROR(__xludf.DUMMYFUNCTION("""COMPUTED_VALUE"""),1.45565E7)</f>
        <v>14556500</v>
      </c>
      <c r="G523" s="2">
        <f t="shared" si="1"/>
        <v>160</v>
      </c>
    </row>
    <row r="524" ht="15.75" customHeight="1">
      <c r="A524" s="1">
        <f>IFERROR(__xludf.DUMMYFUNCTION("""COMPUTED_VALUE"""),44610.66666666667)</f>
        <v>44610.66667</v>
      </c>
      <c r="B524" s="2">
        <f>IFERROR(__xludf.DUMMYFUNCTION("""COMPUTED_VALUE"""),3600.0)</f>
        <v>3600</v>
      </c>
      <c r="C524" s="2">
        <f>IFERROR(__xludf.DUMMYFUNCTION("""COMPUTED_VALUE"""),3600.0)</f>
        <v>3600</v>
      </c>
      <c r="D524" s="2">
        <f>IFERROR(__xludf.DUMMYFUNCTION("""COMPUTED_VALUE"""),3530.0)</f>
        <v>3530</v>
      </c>
      <c r="E524" s="2">
        <f>IFERROR(__xludf.DUMMYFUNCTION("""COMPUTED_VALUE"""),3560.0)</f>
        <v>3560</v>
      </c>
      <c r="F524" s="2">
        <f>IFERROR(__xludf.DUMMYFUNCTION("""COMPUTED_VALUE"""),5109200.0)</f>
        <v>5109200</v>
      </c>
      <c r="G524" s="2">
        <f t="shared" si="1"/>
        <v>70</v>
      </c>
    </row>
    <row r="525" ht="15.75" customHeight="1">
      <c r="A525" s="1">
        <f>IFERROR(__xludf.DUMMYFUNCTION("""COMPUTED_VALUE"""),44613.66666666667)</f>
        <v>44613.66667</v>
      </c>
      <c r="B525" s="2">
        <f>IFERROR(__xludf.DUMMYFUNCTION("""COMPUTED_VALUE"""),3560.0)</f>
        <v>3560</v>
      </c>
      <c r="C525" s="2">
        <f>IFERROR(__xludf.DUMMYFUNCTION("""COMPUTED_VALUE"""),3580.0)</f>
        <v>3580</v>
      </c>
      <c r="D525" s="2">
        <f>IFERROR(__xludf.DUMMYFUNCTION("""COMPUTED_VALUE"""),3420.0)</f>
        <v>3420</v>
      </c>
      <c r="E525" s="2">
        <f>IFERROR(__xludf.DUMMYFUNCTION("""COMPUTED_VALUE"""),3420.0)</f>
        <v>3420</v>
      </c>
      <c r="F525" s="2">
        <f>IFERROR(__xludf.DUMMYFUNCTION("""COMPUTED_VALUE"""),1.07798E7)</f>
        <v>10779800</v>
      </c>
      <c r="G525" s="2">
        <f t="shared" si="1"/>
        <v>160</v>
      </c>
    </row>
    <row r="526" ht="15.75" customHeight="1">
      <c r="A526" s="1">
        <f>IFERROR(__xludf.DUMMYFUNCTION("""COMPUTED_VALUE"""),44614.66666666667)</f>
        <v>44614.66667</v>
      </c>
      <c r="B526" s="2">
        <f>IFERROR(__xludf.DUMMYFUNCTION("""COMPUTED_VALUE"""),3420.0)</f>
        <v>3420</v>
      </c>
      <c r="C526" s="2">
        <f>IFERROR(__xludf.DUMMYFUNCTION("""COMPUTED_VALUE"""),3470.0)</f>
        <v>3470</v>
      </c>
      <c r="D526" s="2">
        <f>IFERROR(__xludf.DUMMYFUNCTION("""COMPUTED_VALUE"""),3370.0)</f>
        <v>3370</v>
      </c>
      <c r="E526" s="2">
        <f>IFERROR(__xludf.DUMMYFUNCTION("""COMPUTED_VALUE"""),3450.0)</f>
        <v>3450</v>
      </c>
      <c r="F526" s="2">
        <f>IFERROR(__xludf.DUMMYFUNCTION("""COMPUTED_VALUE"""),5639200.0)</f>
        <v>5639200</v>
      </c>
      <c r="G526" s="2">
        <f t="shared" si="1"/>
        <v>100</v>
      </c>
    </row>
    <row r="527" ht="15.75" customHeight="1">
      <c r="A527" s="1">
        <f>IFERROR(__xludf.DUMMYFUNCTION("""COMPUTED_VALUE"""),44615.66666666667)</f>
        <v>44615.66667</v>
      </c>
      <c r="B527" s="2">
        <f>IFERROR(__xludf.DUMMYFUNCTION("""COMPUTED_VALUE"""),3450.0)</f>
        <v>3450</v>
      </c>
      <c r="C527" s="2">
        <f>IFERROR(__xludf.DUMMYFUNCTION("""COMPUTED_VALUE"""),3590.0)</f>
        <v>3590</v>
      </c>
      <c r="D527" s="2">
        <f>IFERROR(__xludf.DUMMYFUNCTION("""COMPUTED_VALUE"""),3410.0)</f>
        <v>3410</v>
      </c>
      <c r="E527" s="2">
        <f>IFERROR(__xludf.DUMMYFUNCTION("""COMPUTED_VALUE"""),3560.0)</f>
        <v>3560</v>
      </c>
      <c r="F527" s="2">
        <f>IFERROR(__xludf.DUMMYFUNCTION("""COMPUTED_VALUE"""),1.06871E7)</f>
        <v>10687100</v>
      </c>
      <c r="G527" s="2">
        <f t="shared" si="1"/>
        <v>180</v>
      </c>
    </row>
    <row r="528" ht="15.75" customHeight="1">
      <c r="A528" s="1">
        <f>IFERROR(__xludf.DUMMYFUNCTION("""COMPUTED_VALUE"""),44616.66666666667)</f>
        <v>44616.66667</v>
      </c>
      <c r="B528" s="2">
        <f>IFERROR(__xludf.DUMMYFUNCTION("""COMPUTED_VALUE"""),3560.0)</f>
        <v>3560</v>
      </c>
      <c r="C528" s="2">
        <f>IFERROR(__xludf.DUMMYFUNCTION("""COMPUTED_VALUE"""),3570.0)</f>
        <v>3570</v>
      </c>
      <c r="D528" s="2">
        <f>IFERROR(__xludf.DUMMYFUNCTION("""COMPUTED_VALUE"""),3410.0)</f>
        <v>3410</v>
      </c>
      <c r="E528" s="2">
        <f>IFERROR(__xludf.DUMMYFUNCTION("""COMPUTED_VALUE"""),3410.0)</f>
        <v>3410</v>
      </c>
      <c r="F528" s="2">
        <f>IFERROR(__xludf.DUMMYFUNCTION("""COMPUTED_VALUE"""),1.15637E7)</f>
        <v>11563700</v>
      </c>
      <c r="G528" s="2">
        <f t="shared" si="1"/>
        <v>160</v>
      </c>
    </row>
    <row r="529" ht="15.75" customHeight="1">
      <c r="A529" s="1">
        <f>IFERROR(__xludf.DUMMYFUNCTION("""COMPUTED_VALUE"""),44617.66666666667)</f>
        <v>44617.66667</v>
      </c>
      <c r="B529" s="2">
        <f>IFERROR(__xludf.DUMMYFUNCTION("""COMPUTED_VALUE"""),3410.0)</f>
        <v>3410</v>
      </c>
      <c r="C529" s="2">
        <f>IFERROR(__xludf.DUMMYFUNCTION("""COMPUTED_VALUE"""),3500.0)</f>
        <v>3500</v>
      </c>
      <c r="D529" s="2">
        <f>IFERROR(__xludf.DUMMYFUNCTION("""COMPUTED_VALUE"""),3250.0)</f>
        <v>3250</v>
      </c>
      <c r="E529" s="2">
        <f>IFERROR(__xludf.DUMMYFUNCTION("""COMPUTED_VALUE"""),3380.0)</f>
        <v>3380</v>
      </c>
      <c r="F529" s="2">
        <f>IFERROR(__xludf.DUMMYFUNCTION("""COMPUTED_VALUE"""),2.1323E7)</f>
        <v>21323000</v>
      </c>
      <c r="G529" s="2">
        <f t="shared" si="1"/>
        <v>250</v>
      </c>
    </row>
    <row r="530" ht="15.75" customHeight="1">
      <c r="A530" s="1">
        <f>IFERROR(__xludf.DUMMYFUNCTION("""COMPUTED_VALUE"""),44621.66666666667)</f>
        <v>44621.66667</v>
      </c>
      <c r="B530" s="2">
        <f>IFERROR(__xludf.DUMMYFUNCTION("""COMPUTED_VALUE"""),3380.0)</f>
        <v>3380</v>
      </c>
      <c r="C530" s="2">
        <f>IFERROR(__xludf.DUMMYFUNCTION("""COMPUTED_VALUE"""),3450.0)</f>
        <v>3450</v>
      </c>
      <c r="D530" s="2">
        <f>IFERROR(__xludf.DUMMYFUNCTION("""COMPUTED_VALUE"""),3350.0)</f>
        <v>3350</v>
      </c>
      <c r="E530" s="2">
        <f>IFERROR(__xludf.DUMMYFUNCTION("""COMPUTED_VALUE"""),3350.0)</f>
        <v>3350</v>
      </c>
      <c r="F530" s="2">
        <f>IFERROR(__xludf.DUMMYFUNCTION("""COMPUTED_VALUE"""),6763600.0)</f>
        <v>6763600</v>
      </c>
      <c r="G530" s="2">
        <f t="shared" si="1"/>
        <v>100</v>
      </c>
    </row>
    <row r="531" ht="15.75" customHeight="1">
      <c r="A531" s="1">
        <f>IFERROR(__xludf.DUMMYFUNCTION("""COMPUTED_VALUE"""),44622.66666666667)</f>
        <v>44622.66667</v>
      </c>
      <c r="B531" s="2">
        <f>IFERROR(__xludf.DUMMYFUNCTION("""COMPUTED_VALUE"""),3350.0)</f>
        <v>3350</v>
      </c>
      <c r="C531" s="2">
        <f>IFERROR(__xludf.DUMMYFUNCTION("""COMPUTED_VALUE"""),3390.0)</f>
        <v>3390</v>
      </c>
      <c r="D531" s="2">
        <f>IFERROR(__xludf.DUMMYFUNCTION("""COMPUTED_VALUE"""),3300.0)</f>
        <v>3300</v>
      </c>
      <c r="E531" s="2">
        <f>IFERROR(__xludf.DUMMYFUNCTION("""COMPUTED_VALUE"""),3380.0)</f>
        <v>3380</v>
      </c>
      <c r="F531" s="2">
        <f>IFERROR(__xludf.DUMMYFUNCTION("""COMPUTED_VALUE"""),4435700.0)</f>
        <v>4435700</v>
      </c>
      <c r="G531" s="2">
        <f t="shared" si="1"/>
        <v>90</v>
      </c>
    </row>
    <row r="532" ht="15.75" customHeight="1">
      <c r="A532" s="1">
        <f>IFERROR(__xludf.DUMMYFUNCTION("""COMPUTED_VALUE"""),44624.66666666667)</f>
        <v>44624.66667</v>
      </c>
      <c r="B532" s="2">
        <f>IFERROR(__xludf.DUMMYFUNCTION("""COMPUTED_VALUE"""),3410.0)</f>
        <v>3410</v>
      </c>
      <c r="C532" s="2">
        <f>IFERROR(__xludf.DUMMYFUNCTION("""COMPUTED_VALUE"""),3430.0)</f>
        <v>3430</v>
      </c>
      <c r="D532" s="2">
        <f>IFERROR(__xludf.DUMMYFUNCTION("""COMPUTED_VALUE"""),3360.0)</f>
        <v>3360</v>
      </c>
      <c r="E532" s="2">
        <f>IFERROR(__xludf.DUMMYFUNCTION("""COMPUTED_VALUE"""),3400.0)</f>
        <v>3400</v>
      </c>
      <c r="F532" s="2">
        <f>IFERROR(__xludf.DUMMYFUNCTION("""COMPUTED_VALUE"""),5278300.0)</f>
        <v>5278300</v>
      </c>
      <c r="G532" s="2">
        <f t="shared" si="1"/>
        <v>70</v>
      </c>
    </row>
    <row r="533" ht="15.75" customHeight="1">
      <c r="A533" s="1">
        <f>IFERROR(__xludf.DUMMYFUNCTION("""COMPUTED_VALUE"""),44627.66666666667)</f>
        <v>44627.66667</v>
      </c>
      <c r="B533" s="2">
        <f>IFERROR(__xludf.DUMMYFUNCTION("""COMPUTED_VALUE"""),3400.0)</f>
        <v>3400</v>
      </c>
      <c r="C533" s="2">
        <f>IFERROR(__xludf.DUMMYFUNCTION("""COMPUTED_VALUE"""),3400.0)</f>
        <v>3400</v>
      </c>
      <c r="D533" s="2">
        <f>IFERROR(__xludf.DUMMYFUNCTION("""COMPUTED_VALUE"""),3290.0)</f>
        <v>3290</v>
      </c>
      <c r="E533" s="2">
        <f>IFERROR(__xludf.DUMMYFUNCTION("""COMPUTED_VALUE"""),3330.0)</f>
        <v>3330</v>
      </c>
      <c r="F533" s="2">
        <f>IFERROR(__xludf.DUMMYFUNCTION("""COMPUTED_VALUE"""),7405200.0)</f>
        <v>7405200</v>
      </c>
      <c r="G533" s="2">
        <f t="shared" si="1"/>
        <v>110</v>
      </c>
    </row>
    <row r="534" ht="15.75" customHeight="1">
      <c r="A534" s="1">
        <f>IFERROR(__xludf.DUMMYFUNCTION("""COMPUTED_VALUE"""),44628.66666666667)</f>
        <v>44628.66667</v>
      </c>
      <c r="B534" s="2">
        <f>IFERROR(__xludf.DUMMYFUNCTION("""COMPUTED_VALUE"""),3360.0)</f>
        <v>3360</v>
      </c>
      <c r="C534" s="2">
        <f>IFERROR(__xludf.DUMMYFUNCTION("""COMPUTED_VALUE"""),3470.0)</f>
        <v>3470</v>
      </c>
      <c r="D534" s="2">
        <f>IFERROR(__xludf.DUMMYFUNCTION("""COMPUTED_VALUE"""),3290.0)</f>
        <v>3290</v>
      </c>
      <c r="E534" s="2">
        <f>IFERROR(__xludf.DUMMYFUNCTION("""COMPUTED_VALUE"""),3400.0)</f>
        <v>3400</v>
      </c>
      <c r="F534" s="2">
        <f>IFERROR(__xludf.DUMMYFUNCTION("""COMPUTED_VALUE"""),8028500.0)</f>
        <v>8028500</v>
      </c>
      <c r="G534" s="2">
        <f t="shared" si="1"/>
        <v>180</v>
      </c>
    </row>
    <row r="535" ht="15.75" customHeight="1">
      <c r="A535" s="1">
        <f>IFERROR(__xludf.DUMMYFUNCTION("""COMPUTED_VALUE"""),44629.66666666667)</f>
        <v>44629.66667</v>
      </c>
      <c r="B535" s="2">
        <f>IFERROR(__xludf.DUMMYFUNCTION("""COMPUTED_VALUE"""),3410.0)</f>
        <v>3410</v>
      </c>
      <c r="C535" s="2">
        <f>IFERROR(__xludf.DUMMYFUNCTION("""COMPUTED_VALUE"""),3670.0)</f>
        <v>3670</v>
      </c>
      <c r="D535" s="2">
        <f>IFERROR(__xludf.DUMMYFUNCTION("""COMPUTED_VALUE"""),3400.0)</f>
        <v>3400</v>
      </c>
      <c r="E535" s="2">
        <f>IFERROR(__xludf.DUMMYFUNCTION("""COMPUTED_VALUE"""),3600.0)</f>
        <v>3600</v>
      </c>
      <c r="F535" s="2">
        <f>IFERROR(__xludf.DUMMYFUNCTION("""COMPUTED_VALUE"""),1.87232E7)</f>
        <v>18723200</v>
      </c>
      <c r="G535" s="2">
        <f t="shared" si="1"/>
        <v>270</v>
      </c>
    </row>
    <row r="536" ht="15.75" customHeight="1">
      <c r="A536" s="1">
        <f>IFERROR(__xludf.DUMMYFUNCTION("""COMPUTED_VALUE"""),44630.66666666667)</f>
        <v>44630.66667</v>
      </c>
      <c r="B536" s="2">
        <f>IFERROR(__xludf.DUMMYFUNCTION("""COMPUTED_VALUE"""),3640.0)</f>
        <v>3640</v>
      </c>
      <c r="C536" s="2">
        <f>IFERROR(__xludf.DUMMYFUNCTION("""COMPUTED_VALUE"""),3710.0)</f>
        <v>3710</v>
      </c>
      <c r="D536" s="2">
        <f>IFERROR(__xludf.DUMMYFUNCTION("""COMPUTED_VALUE"""),3570.0)</f>
        <v>3570</v>
      </c>
      <c r="E536" s="2">
        <f>IFERROR(__xludf.DUMMYFUNCTION("""COMPUTED_VALUE"""),3700.0)</f>
        <v>3700</v>
      </c>
      <c r="F536" s="2">
        <f>IFERROR(__xludf.DUMMYFUNCTION("""COMPUTED_VALUE"""),1.58839E7)</f>
        <v>15883900</v>
      </c>
      <c r="G536" s="2">
        <f t="shared" si="1"/>
        <v>140</v>
      </c>
    </row>
    <row r="537" ht="15.75" customHeight="1">
      <c r="A537" s="1">
        <f>IFERROR(__xludf.DUMMYFUNCTION("""COMPUTED_VALUE"""),44631.66666666667)</f>
        <v>44631.66667</v>
      </c>
      <c r="B537" s="2">
        <f>IFERROR(__xludf.DUMMYFUNCTION("""COMPUTED_VALUE"""),3750.0)</f>
        <v>3750</v>
      </c>
      <c r="C537" s="2">
        <f>IFERROR(__xludf.DUMMYFUNCTION("""COMPUTED_VALUE"""),3750.0)</f>
        <v>3750</v>
      </c>
      <c r="D537" s="2">
        <f>IFERROR(__xludf.DUMMYFUNCTION("""COMPUTED_VALUE"""),3640.0)</f>
        <v>3640</v>
      </c>
      <c r="E537" s="2">
        <f>IFERROR(__xludf.DUMMYFUNCTION("""COMPUTED_VALUE"""),3700.0)</f>
        <v>3700</v>
      </c>
      <c r="F537" s="2">
        <f>IFERROR(__xludf.DUMMYFUNCTION("""COMPUTED_VALUE"""),4987300.0)</f>
        <v>4987300</v>
      </c>
      <c r="G537" s="2">
        <f t="shared" si="1"/>
        <v>110</v>
      </c>
    </row>
    <row r="538" ht="15.75" customHeight="1">
      <c r="A538" s="1">
        <f>IFERROR(__xludf.DUMMYFUNCTION("""COMPUTED_VALUE"""),44634.66666666667)</f>
        <v>44634.66667</v>
      </c>
      <c r="B538" s="2">
        <f>IFERROR(__xludf.DUMMYFUNCTION("""COMPUTED_VALUE"""),3700.0)</f>
        <v>3700</v>
      </c>
      <c r="C538" s="2">
        <f>IFERROR(__xludf.DUMMYFUNCTION("""COMPUTED_VALUE"""),3800.0)</f>
        <v>3800</v>
      </c>
      <c r="D538" s="2">
        <f>IFERROR(__xludf.DUMMYFUNCTION("""COMPUTED_VALUE"""),3650.0)</f>
        <v>3650</v>
      </c>
      <c r="E538" s="2">
        <f>IFERROR(__xludf.DUMMYFUNCTION("""COMPUTED_VALUE"""),3700.0)</f>
        <v>3700</v>
      </c>
      <c r="F538" s="2">
        <f>IFERROR(__xludf.DUMMYFUNCTION("""COMPUTED_VALUE"""),1.40206E7)</f>
        <v>14020600</v>
      </c>
      <c r="G538" s="2">
        <f t="shared" si="1"/>
        <v>150</v>
      </c>
    </row>
    <row r="539" ht="15.75" customHeight="1">
      <c r="A539" s="1">
        <f>IFERROR(__xludf.DUMMYFUNCTION("""COMPUTED_VALUE"""),44635.66666666667)</f>
        <v>44635.66667</v>
      </c>
      <c r="B539" s="2">
        <f>IFERROR(__xludf.DUMMYFUNCTION("""COMPUTED_VALUE"""),3690.0)</f>
        <v>3690</v>
      </c>
      <c r="C539" s="2">
        <f>IFERROR(__xludf.DUMMYFUNCTION("""COMPUTED_VALUE"""),3720.0)</f>
        <v>3720</v>
      </c>
      <c r="D539" s="2">
        <f>IFERROR(__xludf.DUMMYFUNCTION("""COMPUTED_VALUE"""),3550.0)</f>
        <v>3550</v>
      </c>
      <c r="E539" s="2">
        <f>IFERROR(__xludf.DUMMYFUNCTION("""COMPUTED_VALUE"""),3550.0)</f>
        <v>3550</v>
      </c>
      <c r="F539" s="2">
        <f>IFERROR(__xludf.DUMMYFUNCTION("""COMPUTED_VALUE"""),1.05147E7)</f>
        <v>10514700</v>
      </c>
      <c r="G539" s="2">
        <f t="shared" si="1"/>
        <v>170</v>
      </c>
    </row>
    <row r="540" ht="15.75" customHeight="1">
      <c r="A540" s="1">
        <f>IFERROR(__xludf.DUMMYFUNCTION("""COMPUTED_VALUE"""),44636.66666666667)</f>
        <v>44636.66667</v>
      </c>
      <c r="B540" s="2">
        <f>IFERROR(__xludf.DUMMYFUNCTION("""COMPUTED_VALUE"""),3550.0)</f>
        <v>3550</v>
      </c>
      <c r="C540" s="2">
        <f>IFERROR(__xludf.DUMMYFUNCTION("""COMPUTED_VALUE"""),3590.0)</f>
        <v>3590</v>
      </c>
      <c r="D540" s="2">
        <f>IFERROR(__xludf.DUMMYFUNCTION("""COMPUTED_VALUE"""),3500.0)</f>
        <v>3500</v>
      </c>
      <c r="E540" s="2">
        <f>IFERROR(__xludf.DUMMYFUNCTION("""COMPUTED_VALUE"""),3520.0)</f>
        <v>3520</v>
      </c>
      <c r="F540" s="2">
        <f>IFERROR(__xludf.DUMMYFUNCTION("""COMPUTED_VALUE"""),2935400.0)</f>
        <v>2935400</v>
      </c>
      <c r="G540" s="2">
        <f t="shared" si="1"/>
        <v>90</v>
      </c>
    </row>
    <row r="541" ht="15.75" customHeight="1">
      <c r="A541" s="1">
        <f>IFERROR(__xludf.DUMMYFUNCTION("""COMPUTED_VALUE"""),44637.66666666667)</f>
        <v>44637.66667</v>
      </c>
      <c r="B541" s="2">
        <f>IFERROR(__xludf.DUMMYFUNCTION("""COMPUTED_VALUE"""),3520.0)</f>
        <v>3520</v>
      </c>
      <c r="C541" s="2">
        <f>IFERROR(__xludf.DUMMYFUNCTION("""COMPUTED_VALUE"""),3630.0)</f>
        <v>3630</v>
      </c>
      <c r="D541" s="2">
        <f>IFERROR(__xludf.DUMMYFUNCTION("""COMPUTED_VALUE"""),3520.0)</f>
        <v>3520</v>
      </c>
      <c r="E541" s="2">
        <f>IFERROR(__xludf.DUMMYFUNCTION("""COMPUTED_VALUE"""),3580.0)</f>
        <v>3580</v>
      </c>
      <c r="F541" s="2">
        <f>IFERROR(__xludf.DUMMYFUNCTION("""COMPUTED_VALUE"""),4248100.0)</f>
        <v>4248100</v>
      </c>
      <c r="G541" s="2">
        <f t="shared" si="1"/>
        <v>110</v>
      </c>
    </row>
    <row r="542" ht="15.75" customHeight="1">
      <c r="A542" s="1">
        <f>IFERROR(__xludf.DUMMYFUNCTION("""COMPUTED_VALUE"""),44638.66666666667)</f>
        <v>44638.66667</v>
      </c>
      <c r="B542" s="2">
        <f>IFERROR(__xludf.DUMMYFUNCTION("""COMPUTED_VALUE"""),3580.0)</f>
        <v>3580</v>
      </c>
      <c r="C542" s="2">
        <f>IFERROR(__xludf.DUMMYFUNCTION("""COMPUTED_VALUE"""),3610.0)</f>
        <v>3610</v>
      </c>
      <c r="D542" s="2">
        <f>IFERROR(__xludf.DUMMYFUNCTION("""COMPUTED_VALUE"""),3540.0)</f>
        <v>3540</v>
      </c>
      <c r="E542" s="2">
        <f>IFERROR(__xludf.DUMMYFUNCTION("""COMPUTED_VALUE"""),3600.0)</f>
        <v>3600</v>
      </c>
      <c r="F542" s="2">
        <f>IFERROR(__xludf.DUMMYFUNCTION("""COMPUTED_VALUE"""),3878800.0)</f>
        <v>3878800</v>
      </c>
      <c r="G542" s="2">
        <f t="shared" si="1"/>
        <v>70</v>
      </c>
    </row>
    <row r="543" ht="15.75" customHeight="1">
      <c r="A543" s="1">
        <f>IFERROR(__xludf.DUMMYFUNCTION("""COMPUTED_VALUE"""),44641.66666666667)</f>
        <v>44641.66667</v>
      </c>
      <c r="B543" s="2">
        <f>IFERROR(__xludf.DUMMYFUNCTION("""COMPUTED_VALUE"""),3610.0)</f>
        <v>3610</v>
      </c>
      <c r="C543" s="2">
        <f>IFERROR(__xludf.DUMMYFUNCTION("""COMPUTED_VALUE"""),3650.0)</f>
        <v>3650</v>
      </c>
      <c r="D543" s="2">
        <f>IFERROR(__xludf.DUMMYFUNCTION("""COMPUTED_VALUE"""),3600.0)</f>
        <v>3600</v>
      </c>
      <c r="E543" s="2">
        <f>IFERROR(__xludf.DUMMYFUNCTION("""COMPUTED_VALUE"""),3610.0)</f>
        <v>3610</v>
      </c>
      <c r="F543" s="2">
        <f>IFERROR(__xludf.DUMMYFUNCTION("""COMPUTED_VALUE"""),6523300.0)</f>
        <v>6523300</v>
      </c>
      <c r="G543" s="2">
        <f t="shared" si="1"/>
        <v>50</v>
      </c>
    </row>
    <row r="544" ht="15.75" customHeight="1">
      <c r="A544" s="1">
        <f>IFERROR(__xludf.DUMMYFUNCTION("""COMPUTED_VALUE"""),44642.66666666667)</f>
        <v>44642.66667</v>
      </c>
      <c r="B544" s="2">
        <f>IFERROR(__xludf.DUMMYFUNCTION("""COMPUTED_VALUE"""),3630.0)</f>
        <v>3630</v>
      </c>
      <c r="C544" s="2">
        <f>IFERROR(__xludf.DUMMYFUNCTION("""COMPUTED_VALUE"""),3750.0)</f>
        <v>3750</v>
      </c>
      <c r="D544" s="2">
        <f>IFERROR(__xludf.DUMMYFUNCTION("""COMPUTED_VALUE"""),3610.0)</f>
        <v>3610</v>
      </c>
      <c r="E544" s="2">
        <f>IFERROR(__xludf.DUMMYFUNCTION("""COMPUTED_VALUE"""),3720.0)</f>
        <v>3720</v>
      </c>
      <c r="F544" s="2">
        <f>IFERROR(__xludf.DUMMYFUNCTION("""COMPUTED_VALUE"""),1.18616E7)</f>
        <v>11861600</v>
      </c>
      <c r="G544" s="2">
        <f t="shared" si="1"/>
        <v>140</v>
      </c>
    </row>
    <row r="545" ht="15.75" customHeight="1">
      <c r="A545" s="1">
        <f>IFERROR(__xludf.DUMMYFUNCTION("""COMPUTED_VALUE"""),44643.66666666667)</f>
        <v>44643.66667</v>
      </c>
      <c r="B545" s="2">
        <f>IFERROR(__xludf.DUMMYFUNCTION("""COMPUTED_VALUE"""),3720.0)</f>
        <v>3720</v>
      </c>
      <c r="C545" s="2">
        <f>IFERROR(__xludf.DUMMYFUNCTION("""COMPUTED_VALUE"""),3820.0)</f>
        <v>3820</v>
      </c>
      <c r="D545" s="2">
        <f>IFERROR(__xludf.DUMMYFUNCTION("""COMPUTED_VALUE"""),3720.0)</f>
        <v>3720</v>
      </c>
      <c r="E545" s="2">
        <f>IFERROR(__xludf.DUMMYFUNCTION("""COMPUTED_VALUE"""),3820.0)</f>
        <v>3820</v>
      </c>
      <c r="F545" s="2">
        <f>IFERROR(__xludf.DUMMYFUNCTION("""COMPUTED_VALUE"""),9522300.0)</f>
        <v>9522300</v>
      </c>
      <c r="G545" s="2">
        <f t="shared" si="1"/>
        <v>100</v>
      </c>
    </row>
    <row r="546" ht="15.75" customHeight="1">
      <c r="A546" s="1">
        <f>IFERROR(__xludf.DUMMYFUNCTION("""COMPUTED_VALUE"""),44644.66666666667)</f>
        <v>44644.66667</v>
      </c>
      <c r="B546" s="2">
        <f>IFERROR(__xludf.DUMMYFUNCTION("""COMPUTED_VALUE"""),3820.0)</f>
        <v>3820</v>
      </c>
      <c r="C546" s="2">
        <f>IFERROR(__xludf.DUMMYFUNCTION("""COMPUTED_VALUE"""),3890.0)</f>
        <v>3890</v>
      </c>
      <c r="D546" s="2">
        <f>IFERROR(__xludf.DUMMYFUNCTION("""COMPUTED_VALUE"""),3800.0)</f>
        <v>3800</v>
      </c>
      <c r="E546" s="2">
        <f>IFERROR(__xludf.DUMMYFUNCTION("""COMPUTED_VALUE"""),3810.0)</f>
        <v>3810</v>
      </c>
      <c r="F546" s="2">
        <f>IFERROR(__xludf.DUMMYFUNCTION("""COMPUTED_VALUE"""),1.23553E7)</f>
        <v>12355300</v>
      </c>
      <c r="G546" s="2">
        <f t="shared" si="1"/>
        <v>90</v>
      </c>
    </row>
    <row r="547" ht="15.75" customHeight="1">
      <c r="A547" s="1">
        <f>IFERROR(__xludf.DUMMYFUNCTION("""COMPUTED_VALUE"""),44645.66666666667)</f>
        <v>44645.66667</v>
      </c>
      <c r="B547" s="2">
        <f>IFERROR(__xludf.DUMMYFUNCTION("""COMPUTED_VALUE"""),3860.0)</f>
        <v>3860</v>
      </c>
      <c r="C547" s="2">
        <f>IFERROR(__xludf.DUMMYFUNCTION("""COMPUTED_VALUE"""),3860.0)</f>
        <v>3860</v>
      </c>
      <c r="D547" s="2">
        <f>IFERROR(__xludf.DUMMYFUNCTION("""COMPUTED_VALUE"""),3770.0)</f>
        <v>3770</v>
      </c>
      <c r="E547" s="2">
        <f>IFERROR(__xludf.DUMMYFUNCTION("""COMPUTED_VALUE"""),3840.0)</f>
        <v>3840</v>
      </c>
      <c r="F547" s="2">
        <f>IFERROR(__xludf.DUMMYFUNCTION("""COMPUTED_VALUE"""),4959200.0)</f>
        <v>4959200</v>
      </c>
      <c r="G547" s="2">
        <f t="shared" si="1"/>
        <v>90</v>
      </c>
    </row>
    <row r="548" ht="15.75" customHeight="1">
      <c r="A548" s="1">
        <f>IFERROR(__xludf.DUMMYFUNCTION("""COMPUTED_VALUE"""),44648.66666666667)</f>
        <v>44648.66667</v>
      </c>
      <c r="B548" s="2">
        <f>IFERROR(__xludf.DUMMYFUNCTION("""COMPUTED_VALUE"""),3840.0)</f>
        <v>3840</v>
      </c>
      <c r="C548" s="2">
        <f>IFERROR(__xludf.DUMMYFUNCTION("""COMPUTED_VALUE"""),3890.0)</f>
        <v>3890</v>
      </c>
      <c r="D548" s="2">
        <f>IFERROR(__xludf.DUMMYFUNCTION("""COMPUTED_VALUE"""),3820.0)</f>
        <v>3820</v>
      </c>
      <c r="E548" s="2">
        <f>IFERROR(__xludf.DUMMYFUNCTION("""COMPUTED_VALUE"""),3830.0)</f>
        <v>3830</v>
      </c>
      <c r="F548" s="2">
        <f>IFERROR(__xludf.DUMMYFUNCTION("""COMPUTED_VALUE"""),4569100.0)</f>
        <v>4569100</v>
      </c>
      <c r="G548" s="2">
        <f t="shared" si="1"/>
        <v>70</v>
      </c>
    </row>
    <row r="549" ht="15.75" customHeight="1">
      <c r="A549" s="1">
        <f>IFERROR(__xludf.DUMMYFUNCTION("""COMPUTED_VALUE"""),44649.66666666667)</f>
        <v>44649.66667</v>
      </c>
      <c r="B549" s="2">
        <f>IFERROR(__xludf.DUMMYFUNCTION("""COMPUTED_VALUE"""),3830.0)</f>
        <v>3830</v>
      </c>
      <c r="C549" s="2">
        <f>IFERROR(__xludf.DUMMYFUNCTION("""COMPUTED_VALUE"""),3850.0)</f>
        <v>3850</v>
      </c>
      <c r="D549" s="2">
        <f>IFERROR(__xludf.DUMMYFUNCTION("""COMPUTED_VALUE"""),3800.0)</f>
        <v>3800</v>
      </c>
      <c r="E549" s="2">
        <f>IFERROR(__xludf.DUMMYFUNCTION("""COMPUTED_VALUE"""),3830.0)</f>
        <v>3830</v>
      </c>
      <c r="F549" s="2">
        <f>IFERROR(__xludf.DUMMYFUNCTION("""COMPUTED_VALUE"""),4206100.0)</f>
        <v>4206100</v>
      </c>
      <c r="G549" s="2">
        <f t="shared" si="1"/>
        <v>50</v>
      </c>
    </row>
    <row r="550" ht="15.75" customHeight="1">
      <c r="A550" s="1">
        <f>IFERROR(__xludf.DUMMYFUNCTION("""COMPUTED_VALUE"""),44650.66666666667)</f>
        <v>44650.66667</v>
      </c>
      <c r="B550" s="2">
        <f>IFERROR(__xludf.DUMMYFUNCTION("""COMPUTED_VALUE"""),3840.0)</f>
        <v>3840</v>
      </c>
      <c r="C550" s="2">
        <f>IFERROR(__xludf.DUMMYFUNCTION("""COMPUTED_VALUE"""),3860.0)</f>
        <v>3860</v>
      </c>
      <c r="D550" s="2">
        <f>IFERROR(__xludf.DUMMYFUNCTION("""COMPUTED_VALUE"""),3790.0)</f>
        <v>3790</v>
      </c>
      <c r="E550" s="2">
        <f>IFERROR(__xludf.DUMMYFUNCTION("""COMPUTED_VALUE"""),3830.0)</f>
        <v>3830</v>
      </c>
      <c r="F550" s="2">
        <f>IFERROR(__xludf.DUMMYFUNCTION("""COMPUTED_VALUE"""),3602100.0)</f>
        <v>3602100</v>
      </c>
      <c r="G550" s="2">
        <f t="shared" si="1"/>
        <v>70</v>
      </c>
    </row>
    <row r="551" ht="15.75" customHeight="1">
      <c r="A551" s="1">
        <f>IFERROR(__xludf.DUMMYFUNCTION("""COMPUTED_VALUE"""),44651.66666666667)</f>
        <v>44651.66667</v>
      </c>
      <c r="B551" s="2">
        <f>IFERROR(__xludf.DUMMYFUNCTION("""COMPUTED_VALUE"""),3830.0)</f>
        <v>3830</v>
      </c>
      <c r="C551" s="2">
        <f>IFERROR(__xludf.DUMMYFUNCTION("""COMPUTED_VALUE"""),3890.0)</f>
        <v>3890</v>
      </c>
      <c r="D551" s="2">
        <f>IFERROR(__xludf.DUMMYFUNCTION("""COMPUTED_VALUE"""),3830.0)</f>
        <v>3830</v>
      </c>
      <c r="E551" s="2">
        <f>IFERROR(__xludf.DUMMYFUNCTION("""COMPUTED_VALUE"""),3850.0)</f>
        <v>3850</v>
      </c>
      <c r="F551" s="2">
        <f>IFERROR(__xludf.DUMMYFUNCTION("""COMPUTED_VALUE"""),5244300.0)</f>
        <v>5244300</v>
      </c>
      <c r="G551" s="2">
        <f t="shared" si="1"/>
        <v>60</v>
      </c>
    </row>
    <row r="552" ht="15.75" customHeight="1">
      <c r="A552" s="1">
        <f>IFERROR(__xludf.DUMMYFUNCTION("""COMPUTED_VALUE"""),44652.66666666667)</f>
        <v>44652.66667</v>
      </c>
      <c r="B552" s="2">
        <f>IFERROR(__xludf.DUMMYFUNCTION("""COMPUTED_VALUE"""),3880.0)</f>
        <v>3880</v>
      </c>
      <c r="C552" s="2">
        <f>IFERROR(__xludf.DUMMYFUNCTION("""COMPUTED_VALUE"""),3890.0)</f>
        <v>3890</v>
      </c>
      <c r="D552" s="2">
        <f>IFERROR(__xludf.DUMMYFUNCTION("""COMPUTED_VALUE"""),3800.0)</f>
        <v>3800</v>
      </c>
      <c r="E552" s="2">
        <f>IFERROR(__xludf.DUMMYFUNCTION("""COMPUTED_VALUE"""),3880.0)</f>
        <v>3880</v>
      </c>
      <c r="F552" s="2">
        <f>IFERROR(__xludf.DUMMYFUNCTION("""COMPUTED_VALUE"""),5139200.0)</f>
        <v>5139200</v>
      </c>
      <c r="G552" s="2">
        <f t="shared" si="1"/>
        <v>90</v>
      </c>
    </row>
    <row r="553" ht="15.75" customHeight="1">
      <c r="A553" s="1">
        <f>IFERROR(__xludf.DUMMYFUNCTION("""COMPUTED_VALUE"""),44655.66666666667)</f>
        <v>44655.66667</v>
      </c>
      <c r="B553" s="2">
        <f>IFERROR(__xludf.DUMMYFUNCTION("""COMPUTED_VALUE"""),3890.0)</f>
        <v>3890</v>
      </c>
      <c r="C553" s="2">
        <f>IFERROR(__xludf.DUMMYFUNCTION("""COMPUTED_VALUE"""),3920.0)</f>
        <v>3920</v>
      </c>
      <c r="D553" s="2">
        <f>IFERROR(__xludf.DUMMYFUNCTION("""COMPUTED_VALUE"""),3800.0)</f>
        <v>3800</v>
      </c>
      <c r="E553" s="2">
        <f>IFERROR(__xludf.DUMMYFUNCTION("""COMPUTED_VALUE"""),3840.0)</f>
        <v>3840</v>
      </c>
      <c r="F553" s="2">
        <f>IFERROR(__xludf.DUMMYFUNCTION("""COMPUTED_VALUE"""),5190400.0)</f>
        <v>5190400</v>
      </c>
      <c r="G553" s="2">
        <f t="shared" si="1"/>
        <v>120</v>
      </c>
    </row>
    <row r="554" ht="15.75" customHeight="1">
      <c r="A554" s="1">
        <f>IFERROR(__xludf.DUMMYFUNCTION("""COMPUTED_VALUE"""),44656.66666666667)</f>
        <v>44656.66667</v>
      </c>
      <c r="B554" s="2">
        <f>IFERROR(__xludf.DUMMYFUNCTION("""COMPUTED_VALUE"""),3840.0)</f>
        <v>3840</v>
      </c>
      <c r="C554" s="2">
        <f>IFERROR(__xludf.DUMMYFUNCTION("""COMPUTED_VALUE"""),3870.0)</f>
        <v>3870</v>
      </c>
      <c r="D554" s="2">
        <f>IFERROR(__xludf.DUMMYFUNCTION("""COMPUTED_VALUE"""),3830.0)</f>
        <v>3830</v>
      </c>
      <c r="E554" s="2">
        <f>IFERROR(__xludf.DUMMYFUNCTION("""COMPUTED_VALUE"""),3850.0)</f>
        <v>3850</v>
      </c>
      <c r="F554" s="2">
        <f>IFERROR(__xludf.DUMMYFUNCTION("""COMPUTED_VALUE"""),4109300.0)</f>
        <v>4109300</v>
      </c>
      <c r="G554" s="2">
        <f t="shared" si="1"/>
        <v>40</v>
      </c>
    </row>
    <row r="555" ht="15.75" customHeight="1">
      <c r="A555" s="1">
        <f>IFERROR(__xludf.DUMMYFUNCTION("""COMPUTED_VALUE"""),44657.66666666667)</f>
        <v>44657.66667</v>
      </c>
      <c r="B555" s="2">
        <f>IFERROR(__xludf.DUMMYFUNCTION("""COMPUTED_VALUE"""),3850.0)</f>
        <v>3850</v>
      </c>
      <c r="C555" s="2">
        <f>IFERROR(__xludf.DUMMYFUNCTION("""COMPUTED_VALUE"""),3870.0)</f>
        <v>3870</v>
      </c>
      <c r="D555" s="2">
        <f>IFERROR(__xludf.DUMMYFUNCTION("""COMPUTED_VALUE"""),3670.0)</f>
        <v>3670</v>
      </c>
      <c r="E555" s="2">
        <f>IFERROR(__xludf.DUMMYFUNCTION("""COMPUTED_VALUE"""),3770.0)</f>
        <v>3770</v>
      </c>
      <c r="F555" s="2">
        <f>IFERROR(__xludf.DUMMYFUNCTION("""COMPUTED_VALUE"""),1.58407E7)</f>
        <v>15840700</v>
      </c>
      <c r="G555" s="2">
        <f t="shared" si="1"/>
        <v>200</v>
      </c>
    </row>
    <row r="556" ht="15.75" customHeight="1">
      <c r="A556" s="1">
        <f>IFERROR(__xludf.DUMMYFUNCTION("""COMPUTED_VALUE"""),44658.66666666667)</f>
        <v>44658.66667</v>
      </c>
      <c r="B556" s="2">
        <f>IFERROR(__xludf.DUMMYFUNCTION("""COMPUTED_VALUE"""),3750.0)</f>
        <v>3750</v>
      </c>
      <c r="C556" s="2">
        <f>IFERROR(__xludf.DUMMYFUNCTION("""COMPUTED_VALUE"""),3800.0)</f>
        <v>3800</v>
      </c>
      <c r="D556" s="2">
        <f>IFERROR(__xludf.DUMMYFUNCTION("""COMPUTED_VALUE"""),3740.0)</f>
        <v>3740</v>
      </c>
      <c r="E556" s="2">
        <f>IFERROR(__xludf.DUMMYFUNCTION("""COMPUTED_VALUE"""),3780.0)</f>
        <v>3780</v>
      </c>
      <c r="F556" s="2">
        <f>IFERROR(__xludf.DUMMYFUNCTION("""COMPUTED_VALUE"""),7940000.0)</f>
        <v>7940000</v>
      </c>
      <c r="G556" s="2">
        <f t="shared" si="1"/>
        <v>60</v>
      </c>
    </row>
    <row r="557" ht="15.75" customHeight="1">
      <c r="A557" s="1">
        <f>IFERROR(__xludf.DUMMYFUNCTION("""COMPUTED_VALUE"""),44659.66666666667)</f>
        <v>44659.66667</v>
      </c>
      <c r="B557" s="2">
        <f>IFERROR(__xludf.DUMMYFUNCTION("""COMPUTED_VALUE"""),3770.0)</f>
        <v>3770</v>
      </c>
      <c r="C557" s="2">
        <f>IFERROR(__xludf.DUMMYFUNCTION("""COMPUTED_VALUE"""),3800.0)</f>
        <v>3800</v>
      </c>
      <c r="D557" s="2">
        <f>IFERROR(__xludf.DUMMYFUNCTION("""COMPUTED_VALUE"""),3700.0)</f>
        <v>3700</v>
      </c>
      <c r="E557" s="2">
        <f>IFERROR(__xludf.DUMMYFUNCTION("""COMPUTED_VALUE"""),3710.0)</f>
        <v>3710</v>
      </c>
      <c r="F557" s="2">
        <f>IFERROR(__xludf.DUMMYFUNCTION("""COMPUTED_VALUE"""),7968900.0)</f>
        <v>7968900</v>
      </c>
      <c r="G557" s="2">
        <f t="shared" si="1"/>
        <v>100</v>
      </c>
    </row>
    <row r="558" ht="15.75" customHeight="1">
      <c r="A558" s="1">
        <f>IFERROR(__xludf.DUMMYFUNCTION("""COMPUTED_VALUE"""),44662.66666666667)</f>
        <v>44662.66667</v>
      </c>
      <c r="B558" s="2">
        <f>IFERROR(__xludf.DUMMYFUNCTION("""COMPUTED_VALUE"""),3710.0)</f>
        <v>3710</v>
      </c>
      <c r="C558" s="2">
        <f>IFERROR(__xludf.DUMMYFUNCTION("""COMPUTED_VALUE"""),3710.0)</f>
        <v>3710</v>
      </c>
      <c r="D558" s="2">
        <f>IFERROR(__xludf.DUMMYFUNCTION("""COMPUTED_VALUE"""),3560.0)</f>
        <v>3560</v>
      </c>
      <c r="E558" s="2">
        <f>IFERROR(__xludf.DUMMYFUNCTION("""COMPUTED_VALUE"""),3570.0)</f>
        <v>3570</v>
      </c>
      <c r="F558" s="2">
        <f>IFERROR(__xludf.DUMMYFUNCTION("""COMPUTED_VALUE"""),1.24862E7)</f>
        <v>12486200</v>
      </c>
      <c r="G558" s="2">
        <f t="shared" si="1"/>
        <v>150</v>
      </c>
    </row>
    <row r="559" ht="15.75" customHeight="1">
      <c r="A559" s="1">
        <f>IFERROR(__xludf.DUMMYFUNCTION("""COMPUTED_VALUE"""),44663.66666666667)</f>
        <v>44663.66667</v>
      </c>
      <c r="B559" s="2">
        <f>IFERROR(__xludf.DUMMYFUNCTION("""COMPUTED_VALUE"""),3570.0)</f>
        <v>3570</v>
      </c>
      <c r="C559" s="2">
        <f>IFERROR(__xludf.DUMMYFUNCTION("""COMPUTED_VALUE"""),3630.0)</f>
        <v>3630</v>
      </c>
      <c r="D559" s="2">
        <f>IFERROR(__xludf.DUMMYFUNCTION("""COMPUTED_VALUE"""),3510.0)</f>
        <v>3510</v>
      </c>
      <c r="E559" s="2">
        <f>IFERROR(__xludf.DUMMYFUNCTION("""COMPUTED_VALUE"""),3620.0)</f>
        <v>3620</v>
      </c>
      <c r="F559" s="2">
        <f>IFERROR(__xludf.DUMMYFUNCTION("""COMPUTED_VALUE"""),1.34748E7)</f>
        <v>13474800</v>
      </c>
      <c r="G559" s="2">
        <f t="shared" si="1"/>
        <v>120</v>
      </c>
    </row>
    <row r="560" ht="15.75" customHeight="1">
      <c r="A560" s="1">
        <f>IFERROR(__xludf.DUMMYFUNCTION("""COMPUTED_VALUE"""),44664.66666666667)</f>
        <v>44664.66667</v>
      </c>
      <c r="B560" s="2">
        <f>IFERROR(__xludf.DUMMYFUNCTION("""COMPUTED_VALUE"""),3620.0)</f>
        <v>3620</v>
      </c>
      <c r="C560" s="2">
        <f>IFERROR(__xludf.DUMMYFUNCTION("""COMPUTED_VALUE"""),3770.0)</f>
        <v>3770</v>
      </c>
      <c r="D560" s="2">
        <f>IFERROR(__xludf.DUMMYFUNCTION("""COMPUTED_VALUE"""),3620.0)</f>
        <v>3620</v>
      </c>
      <c r="E560" s="2">
        <f>IFERROR(__xludf.DUMMYFUNCTION("""COMPUTED_VALUE"""),3770.0)</f>
        <v>3770</v>
      </c>
      <c r="F560" s="2">
        <f>IFERROR(__xludf.DUMMYFUNCTION("""COMPUTED_VALUE"""),1.24284E7)</f>
        <v>12428400</v>
      </c>
      <c r="G560" s="2">
        <f t="shared" si="1"/>
        <v>150</v>
      </c>
    </row>
    <row r="561" ht="15.75" customHeight="1">
      <c r="A561" s="1">
        <f>IFERROR(__xludf.DUMMYFUNCTION("""COMPUTED_VALUE"""),44665.66666666667)</f>
        <v>44665.66667</v>
      </c>
      <c r="B561" s="2">
        <f>IFERROR(__xludf.DUMMYFUNCTION("""COMPUTED_VALUE"""),3770.0)</f>
        <v>3770</v>
      </c>
      <c r="C561" s="2">
        <f>IFERROR(__xludf.DUMMYFUNCTION("""COMPUTED_VALUE"""),3780.0)</f>
        <v>3780</v>
      </c>
      <c r="D561" s="2">
        <f>IFERROR(__xludf.DUMMYFUNCTION("""COMPUTED_VALUE"""),3680.0)</f>
        <v>3680</v>
      </c>
      <c r="E561" s="2">
        <f>IFERROR(__xludf.DUMMYFUNCTION("""COMPUTED_VALUE"""),3680.0)</f>
        <v>3680</v>
      </c>
      <c r="F561" s="2">
        <f>IFERROR(__xludf.DUMMYFUNCTION("""COMPUTED_VALUE"""),7350400.0)</f>
        <v>7350400</v>
      </c>
      <c r="G561" s="2">
        <f t="shared" si="1"/>
        <v>100</v>
      </c>
    </row>
    <row r="562" ht="15.75" customHeight="1">
      <c r="A562" s="1">
        <f>IFERROR(__xludf.DUMMYFUNCTION("""COMPUTED_VALUE"""),44669.66666666667)</f>
        <v>44669.66667</v>
      </c>
      <c r="B562" s="2">
        <f>IFERROR(__xludf.DUMMYFUNCTION("""COMPUTED_VALUE"""),3730.0)</f>
        <v>3730</v>
      </c>
      <c r="C562" s="2">
        <f>IFERROR(__xludf.DUMMYFUNCTION("""COMPUTED_VALUE"""),3730.0)</f>
        <v>3730</v>
      </c>
      <c r="D562" s="2">
        <f>IFERROR(__xludf.DUMMYFUNCTION("""COMPUTED_VALUE"""),3660.0)</f>
        <v>3660</v>
      </c>
      <c r="E562" s="2">
        <f>IFERROR(__xludf.DUMMYFUNCTION("""COMPUTED_VALUE"""),3700.0)</f>
        <v>3700</v>
      </c>
      <c r="F562" s="2">
        <f>IFERROR(__xludf.DUMMYFUNCTION("""COMPUTED_VALUE"""),4070900.0)</f>
        <v>4070900</v>
      </c>
      <c r="G562" s="2">
        <f t="shared" si="1"/>
        <v>70</v>
      </c>
    </row>
    <row r="563" ht="15.75" customHeight="1">
      <c r="A563" s="1">
        <f>IFERROR(__xludf.DUMMYFUNCTION("""COMPUTED_VALUE"""),44670.66666666667)</f>
        <v>44670.66667</v>
      </c>
      <c r="B563" s="2">
        <f>IFERROR(__xludf.DUMMYFUNCTION("""COMPUTED_VALUE"""),3700.0)</f>
        <v>3700</v>
      </c>
      <c r="C563" s="2">
        <f>IFERROR(__xludf.DUMMYFUNCTION("""COMPUTED_VALUE"""),3720.0)</f>
        <v>3720</v>
      </c>
      <c r="D563" s="2">
        <f>IFERROR(__xludf.DUMMYFUNCTION("""COMPUTED_VALUE"""),3620.0)</f>
        <v>3620</v>
      </c>
      <c r="E563" s="2">
        <f>IFERROR(__xludf.DUMMYFUNCTION("""COMPUTED_VALUE"""),3640.0)</f>
        <v>3640</v>
      </c>
      <c r="F563" s="2">
        <f>IFERROR(__xludf.DUMMYFUNCTION("""COMPUTED_VALUE"""),6463700.0)</f>
        <v>6463700</v>
      </c>
      <c r="G563" s="2">
        <f t="shared" si="1"/>
        <v>100</v>
      </c>
    </row>
    <row r="564" ht="15.75" customHeight="1">
      <c r="A564" s="1">
        <f>IFERROR(__xludf.DUMMYFUNCTION("""COMPUTED_VALUE"""),44671.66666666667)</f>
        <v>44671.66667</v>
      </c>
      <c r="B564" s="2">
        <f>IFERROR(__xludf.DUMMYFUNCTION("""COMPUTED_VALUE"""),3640.0)</f>
        <v>3640</v>
      </c>
      <c r="C564" s="2">
        <f>IFERROR(__xludf.DUMMYFUNCTION("""COMPUTED_VALUE"""),3830.0)</f>
        <v>3830</v>
      </c>
      <c r="D564" s="2">
        <f>IFERROR(__xludf.DUMMYFUNCTION("""COMPUTED_VALUE"""),3640.0)</f>
        <v>3640</v>
      </c>
      <c r="E564" s="2">
        <f>IFERROR(__xludf.DUMMYFUNCTION("""COMPUTED_VALUE"""),3810.0)</f>
        <v>3810</v>
      </c>
      <c r="F564" s="2">
        <f>IFERROR(__xludf.DUMMYFUNCTION("""COMPUTED_VALUE"""),8946300.0)</f>
        <v>8946300</v>
      </c>
      <c r="G564" s="2">
        <f t="shared" si="1"/>
        <v>190</v>
      </c>
    </row>
    <row r="565" ht="15.75" customHeight="1">
      <c r="A565" s="1">
        <f>IFERROR(__xludf.DUMMYFUNCTION("""COMPUTED_VALUE"""),44672.66666666667)</f>
        <v>44672.66667</v>
      </c>
      <c r="B565" s="2">
        <f>IFERROR(__xludf.DUMMYFUNCTION("""COMPUTED_VALUE"""),3820.0)</f>
        <v>3820</v>
      </c>
      <c r="C565" s="2">
        <f>IFERROR(__xludf.DUMMYFUNCTION("""COMPUTED_VALUE"""),3840.0)</f>
        <v>3840</v>
      </c>
      <c r="D565" s="2">
        <f>IFERROR(__xludf.DUMMYFUNCTION("""COMPUTED_VALUE"""),3710.0)</f>
        <v>3710</v>
      </c>
      <c r="E565" s="2">
        <f>IFERROR(__xludf.DUMMYFUNCTION("""COMPUTED_VALUE"""),3710.0)</f>
        <v>3710</v>
      </c>
      <c r="F565" s="2">
        <f>IFERROR(__xludf.DUMMYFUNCTION("""COMPUTED_VALUE"""),8997200.0)</f>
        <v>8997200</v>
      </c>
      <c r="G565" s="2">
        <f t="shared" si="1"/>
        <v>130</v>
      </c>
    </row>
    <row r="566" ht="15.75" customHeight="1">
      <c r="A566" s="1">
        <f>IFERROR(__xludf.DUMMYFUNCTION("""COMPUTED_VALUE"""),44673.66666666667)</f>
        <v>44673.66667</v>
      </c>
      <c r="B566" s="2">
        <f>IFERROR(__xludf.DUMMYFUNCTION("""COMPUTED_VALUE"""),3720.0)</f>
        <v>3720</v>
      </c>
      <c r="C566" s="2">
        <f>IFERROR(__xludf.DUMMYFUNCTION("""COMPUTED_VALUE"""),3780.0)</f>
        <v>3780</v>
      </c>
      <c r="D566" s="2">
        <f>IFERROR(__xludf.DUMMYFUNCTION("""COMPUTED_VALUE"""),3700.0)</f>
        <v>3700</v>
      </c>
      <c r="E566" s="2">
        <f>IFERROR(__xludf.DUMMYFUNCTION("""COMPUTED_VALUE"""),3780.0)</f>
        <v>3780</v>
      </c>
      <c r="F566" s="2">
        <f>IFERROR(__xludf.DUMMYFUNCTION("""COMPUTED_VALUE"""),5954500.0)</f>
        <v>5954500</v>
      </c>
      <c r="G566" s="2">
        <f t="shared" si="1"/>
        <v>80</v>
      </c>
    </row>
    <row r="567" ht="15.75" customHeight="1">
      <c r="A567" s="1">
        <f>IFERROR(__xludf.DUMMYFUNCTION("""COMPUTED_VALUE"""),44676.66666666667)</f>
        <v>44676.66667</v>
      </c>
      <c r="B567" s="2">
        <f>IFERROR(__xludf.DUMMYFUNCTION("""COMPUTED_VALUE"""),3780.0)</f>
        <v>3780</v>
      </c>
      <c r="C567" s="2">
        <f>IFERROR(__xludf.DUMMYFUNCTION("""COMPUTED_VALUE"""),3950.0)</f>
        <v>3950</v>
      </c>
      <c r="D567" s="2">
        <f>IFERROR(__xludf.DUMMYFUNCTION("""COMPUTED_VALUE"""),3760.0)</f>
        <v>3760</v>
      </c>
      <c r="E567" s="2">
        <f>IFERROR(__xludf.DUMMYFUNCTION("""COMPUTED_VALUE"""),3900.0)</f>
        <v>3900</v>
      </c>
      <c r="F567" s="2">
        <f>IFERROR(__xludf.DUMMYFUNCTION("""COMPUTED_VALUE"""),2.00753E7)</f>
        <v>20075300</v>
      </c>
      <c r="G567" s="2">
        <f t="shared" si="1"/>
        <v>190</v>
      </c>
    </row>
    <row r="568" ht="15.75" customHeight="1">
      <c r="A568" s="1">
        <f>IFERROR(__xludf.DUMMYFUNCTION("""COMPUTED_VALUE"""),44677.66666666667)</f>
        <v>44677.66667</v>
      </c>
      <c r="B568" s="2">
        <f>IFERROR(__xludf.DUMMYFUNCTION("""COMPUTED_VALUE"""),3930.0)</f>
        <v>3930</v>
      </c>
      <c r="C568" s="2">
        <f>IFERROR(__xludf.DUMMYFUNCTION("""COMPUTED_VALUE"""),4050.0)</f>
        <v>4050</v>
      </c>
      <c r="D568" s="2">
        <f>IFERROR(__xludf.DUMMYFUNCTION("""COMPUTED_VALUE"""),3910.0)</f>
        <v>3910</v>
      </c>
      <c r="E568" s="2">
        <f>IFERROR(__xludf.DUMMYFUNCTION("""COMPUTED_VALUE"""),4020.0)</f>
        <v>4020</v>
      </c>
      <c r="F568" s="2">
        <f>IFERROR(__xludf.DUMMYFUNCTION("""COMPUTED_VALUE"""),1.70109E7)</f>
        <v>17010900</v>
      </c>
      <c r="G568" s="2">
        <f t="shared" si="1"/>
        <v>150</v>
      </c>
    </row>
    <row r="569" ht="15.75" customHeight="1">
      <c r="A569" s="1">
        <f>IFERROR(__xludf.DUMMYFUNCTION("""COMPUTED_VALUE"""),44678.66666666667)</f>
        <v>44678.66667</v>
      </c>
      <c r="B569" s="2">
        <f>IFERROR(__xludf.DUMMYFUNCTION("""COMPUTED_VALUE"""),4020.0)</f>
        <v>4020</v>
      </c>
      <c r="C569" s="2">
        <f>IFERROR(__xludf.DUMMYFUNCTION("""COMPUTED_VALUE"""),4050.0)</f>
        <v>4050</v>
      </c>
      <c r="D569" s="2">
        <f>IFERROR(__xludf.DUMMYFUNCTION("""COMPUTED_VALUE"""),3920.0)</f>
        <v>3920</v>
      </c>
      <c r="E569" s="2">
        <f>IFERROR(__xludf.DUMMYFUNCTION("""COMPUTED_VALUE"""),4000.0)</f>
        <v>4000</v>
      </c>
      <c r="F569" s="2">
        <f>IFERROR(__xludf.DUMMYFUNCTION("""COMPUTED_VALUE"""),8073600.0)</f>
        <v>8073600</v>
      </c>
      <c r="G569" s="2">
        <f t="shared" si="1"/>
        <v>130</v>
      </c>
    </row>
    <row r="570" ht="15.75" customHeight="1">
      <c r="A570" s="1">
        <f>IFERROR(__xludf.DUMMYFUNCTION("""COMPUTED_VALUE"""),44679.66666666667)</f>
        <v>44679.66667</v>
      </c>
      <c r="B570" s="2">
        <f>IFERROR(__xludf.DUMMYFUNCTION("""COMPUTED_VALUE"""),4000.0)</f>
        <v>4000</v>
      </c>
      <c r="C570" s="2">
        <f>IFERROR(__xludf.DUMMYFUNCTION("""COMPUTED_VALUE"""),4050.0)</f>
        <v>4050</v>
      </c>
      <c r="D570" s="2">
        <f>IFERROR(__xludf.DUMMYFUNCTION("""COMPUTED_VALUE"""),3920.0)</f>
        <v>3920</v>
      </c>
      <c r="E570" s="2">
        <f>IFERROR(__xludf.DUMMYFUNCTION("""COMPUTED_VALUE"""),4030.0)</f>
        <v>4030</v>
      </c>
      <c r="F570" s="2">
        <f>IFERROR(__xludf.DUMMYFUNCTION("""COMPUTED_VALUE"""),1.31477E7)</f>
        <v>13147700</v>
      </c>
      <c r="G570" s="2">
        <f t="shared" si="1"/>
        <v>130</v>
      </c>
    </row>
    <row r="571" ht="15.75" customHeight="1">
      <c r="A571" s="1">
        <f>IFERROR(__xludf.DUMMYFUNCTION("""COMPUTED_VALUE"""),44690.66666666667)</f>
        <v>44690.66667</v>
      </c>
      <c r="B571" s="2">
        <f>IFERROR(__xludf.DUMMYFUNCTION("""COMPUTED_VALUE"""),4030.0)</f>
        <v>4030</v>
      </c>
      <c r="C571" s="2">
        <f>IFERROR(__xludf.DUMMYFUNCTION("""COMPUTED_VALUE"""),4040.0)</f>
        <v>4040</v>
      </c>
      <c r="D571" s="2">
        <f>IFERROR(__xludf.DUMMYFUNCTION("""COMPUTED_VALUE"""),3780.0)</f>
        <v>3780</v>
      </c>
      <c r="E571" s="2">
        <f>IFERROR(__xludf.DUMMYFUNCTION("""COMPUTED_VALUE"""),3880.0)</f>
        <v>3880</v>
      </c>
      <c r="F571" s="2">
        <f>IFERROR(__xludf.DUMMYFUNCTION("""COMPUTED_VALUE"""),1.06887E7)</f>
        <v>10688700</v>
      </c>
      <c r="G571" s="2">
        <f t="shared" si="1"/>
        <v>260</v>
      </c>
    </row>
    <row r="572" ht="15.75" customHeight="1">
      <c r="A572" s="1">
        <f>IFERROR(__xludf.DUMMYFUNCTION("""COMPUTED_VALUE"""),44691.66666666667)</f>
        <v>44691.66667</v>
      </c>
      <c r="B572" s="2">
        <f>IFERROR(__xludf.DUMMYFUNCTION("""COMPUTED_VALUE"""),3880.0)</f>
        <v>3880</v>
      </c>
      <c r="C572" s="2">
        <f>IFERROR(__xludf.DUMMYFUNCTION("""COMPUTED_VALUE"""),3900.0)</f>
        <v>3900</v>
      </c>
      <c r="D572" s="2">
        <f>IFERROR(__xludf.DUMMYFUNCTION("""COMPUTED_VALUE"""),3730.0)</f>
        <v>3730</v>
      </c>
      <c r="E572" s="2">
        <f>IFERROR(__xludf.DUMMYFUNCTION("""COMPUTED_VALUE"""),3820.0)</f>
        <v>3820</v>
      </c>
      <c r="F572" s="2">
        <f>IFERROR(__xludf.DUMMYFUNCTION("""COMPUTED_VALUE"""),6509700.0)</f>
        <v>6509700</v>
      </c>
      <c r="G572" s="2">
        <f t="shared" si="1"/>
        <v>170</v>
      </c>
    </row>
    <row r="573" ht="15.75" customHeight="1">
      <c r="A573" s="1">
        <f>IFERROR(__xludf.DUMMYFUNCTION("""COMPUTED_VALUE"""),44692.66666666667)</f>
        <v>44692.66667</v>
      </c>
      <c r="B573" s="2">
        <f>IFERROR(__xludf.DUMMYFUNCTION("""COMPUTED_VALUE"""),3820.0)</f>
        <v>3820</v>
      </c>
      <c r="C573" s="2">
        <f>IFERROR(__xludf.DUMMYFUNCTION("""COMPUTED_VALUE"""),3890.0)</f>
        <v>3890</v>
      </c>
      <c r="D573" s="2">
        <f>IFERROR(__xludf.DUMMYFUNCTION("""COMPUTED_VALUE"""),3820.0)</f>
        <v>3820</v>
      </c>
      <c r="E573" s="2">
        <f>IFERROR(__xludf.DUMMYFUNCTION("""COMPUTED_VALUE"""),3860.0)</f>
        <v>3860</v>
      </c>
      <c r="F573" s="2">
        <f>IFERROR(__xludf.DUMMYFUNCTION("""COMPUTED_VALUE"""),6427800.0)</f>
        <v>6427800</v>
      </c>
      <c r="G573" s="2">
        <f t="shared" si="1"/>
        <v>70</v>
      </c>
    </row>
    <row r="574" ht="15.75" customHeight="1">
      <c r="A574" s="1">
        <f>IFERROR(__xludf.DUMMYFUNCTION("""COMPUTED_VALUE"""),44693.66666666667)</f>
        <v>44693.66667</v>
      </c>
      <c r="B574" s="2">
        <f>IFERROR(__xludf.DUMMYFUNCTION("""COMPUTED_VALUE"""),3880.0)</f>
        <v>3880</v>
      </c>
      <c r="C574" s="2">
        <f>IFERROR(__xludf.DUMMYFUNCTION("""COMPUTED_VALUE"""),3880.0)</f>
        <v>3880</v>
      </c>
      <c r="D574" s="2">
        <f>IFERROR(__xludf.DUMMYFUNCTION("""COMPUTED_VALUE"""),3730.0)</f>
        <v>3730</v>
      </c>
      <c r="E574" s="2">
        <f>IFERROR(__xludf.DUMMYFUNCTION("""COMPUTED_VALUE"""),3750.0)</f>
        <v>3750</v>
      </c>
      <c r="F574" s="2">
        <f>IFERROR(__xludf.DUMMYFUNCTION("""COMPUTED_VALUE"""),6216800.0)</f>
        <v>6216800</v>
      </c>
      <c r="G574" s="2">
        <f t="shared" si="1"/>
        <v>150</v>
      </c>
    </row>
    <row r="575" ht="15.75" customHeight="1">
      <c r="A575" s="1">
        <f>IFERROR(__xludf.DUMMYFUNCTION("""COMPUTED_VALUE"""),44694.66666666667)</f>
        <v>44694.66667</v>
      </c>
      <c r="B575" s="2">
        <f>IFERROR(__xludf.DUMMYFUNCTION("""COMPUTED_VALUE"""),3800.0)</f>
        <v>3800</v>
      </c>
      <c r="C575" s="2">
        <f>IFERROR(__xludf.DUMMYFUNCTION("""COMPUTED_VALUE"""),3800.0)</f>
        <v>3800</v>
      </c>
      <c r="D575" s="2">
        <f>IFERROR(__xludf.DUMMYFUNCTION("""COMPUTED_VALUE"""),3690.0)</f>
        <v>3690</v>
      </c>
      <c r="E575" s="2">
        <f>IFERROR(__xludf.DUMMYFUNCTION("""COMPUTED_VALUE"""),3730.0)</f>
        <v>3730</v>
      </c>
      <c r="F575" s="2">
        <f>IFERROR(__xludf.DUMMYFUNCTION("""COMPUTED_VALUE"""),4134600.0)</f>
        <v>4134600</v>
      </c>
      <c r="G575" s="2">
        <f t="shared" si="1"/>
        <v>110</v>
      </c>
    </row>
    <row r="576" ht="15.75" customHeight="1">
      <c r="A576" s="1">
        <f>IFERROR(__xludf.DUMMYFUNCTION("""COMPUTED_VALUE"""),44698.66666666667)</f>
        <v>44698.66667</v>
      </c>
      <c r="B576" s="2">
        <f>IFERROR(__xludf.DUMMYFUNCTION("""COMPUTED_VALUE"""),3740.0)</f>
        <v>3740</v>
      </c>
      <c r="C576" s="2">
        <f>IFERROR(__xludf.DUMMYFUNCTION("""COMPUTED_VALUE"""),3850.0)</f>
        <v>3850</v>
      </c>
      <c r="D576" s="2">
        <f>IFERROR(__xludf.DUMMYFUNCTION("""COMPUTED_VALUE"""),3730.0)</f>
        <v>3730</v>
      </c>
      <c r="E576" s="2">
        <f>IFERROR(__xludf.DUMMYFUNCTION("""COMPUTED_VALUE"""),3780.0)</f>
        <v>3780</v>
      </c>
      <c r="F576" s="2">
        <f>IFERROR(__xludf.DUMMYFUNCTION("""COMPUTED_VALUE"""),4005400.0)</f>
        <v>4005400</v>
      </c>
      <c r="G576" s="2">
        <f t="shared" si="1"/>
        <v>120</v>
      </c>
    </row>
    <row r="577" ht="15.75" customHeight="1">
      <c r="A577" s="1">
        <f>IFERROR(__xludf.DUMMYFUNCTION("""COMPUTED_VALUE"""),44699.66666666667)</f>
        <v>44699.66667</v>
      </c>
      <c r="B577" s="2">
        <f>IFERROR(__xludf.DUMMYFUNCTION("""COMPUTED_VALUE"""),3780.0)</f>
        <v>3780</v>
      </c>
      <c r="C577" s="2">
        <f>IFERROR(__xludf.DUMMYFUNCTION("""COMPUTED_VALUE"""),3830.0)</f>
        <v>3830</v>
      </c>
      <c r="D577" s="2">
        <f>IFERROR(__xludf.DUMMYFUNCTION("""COMPUTED_VALUE"""),3780.0)</f>
        <v>3780</v>
      </c>
      <c r="E577" s="2">
        <f>IFERROR(__xludf.DUMMYFUNCTION("""COMPUTED_VALUE"""),3820.0)</f>
        <v>3820</v>
      </c>
      <c r="F577" s="2">
        <f>IFERROR(__xludf.DUMMYFUNCTION("""COMPUTED_VALUE"""),1894700.0)</f>
        <v>1894700</v>
      </c>
      <c r="G577" s="2">
        <f t="shared" si="1"/>
        <v>50</v>
      </c>
    </row>
    <row r="578" ht="15.75" customHeight="1">
      <c r="A578" s="1">
        <f>IFERROR(__xludf.DUMMYFUNCTION("""COMPUTED_VALUE"""),44700.66666666667)</f>
        <v>44700.66667</v>
      </c>
      <c r="B578" s="2">
        <f>IFERROR(__xludf.DUMMYFUNCTION("""COMPUTED_VALUE"""),3780.0)</f>
        <v>3780</v>
      </c>
      <c r="C578" s="2">
        <f>IFERROR(__xludf.DUMMYFUNCTION("""COMPUTED_VALUE"""),3840.0)</f>
        <v>3840</v>
      </c>
      <c r="D578" s="2">
        <f>IFERROR(__xludf.DUMMYFUNCTION("""COMPUTED_VALUE"""),3720.0)</f>
        <v>3720</v>
      </c>
      <c r="E578" s="2">
        <f>IFERROR(__xludf.DUMMYFUNCTION("""COMPUTED_VALUE"""),3740.0)</f>
        <v>3740</v>
      </c>
      <c r="F578" s="2">
        <f>IFERROR(__xludf.DUMMYFUNCTION("""COMPUTED_VALUE"""),2557200.0)</f>
        <v>2557200</v>
      </c>
      <c r="G578" s="2">
        <f t="shared" si="1"/>
        <v>120</v>
      </c>
    </row>
    <row r="579" ht="15.75" customHeight="1">
      <c r="A579" s="1">
        <f>IFERROR(__xludf.DUMMYFUNCTION("""COMPUTED_VALUE"""),44701.66666666667)</f>
        <v>44701.66667</v>
      </c>
      <c r="B579" s="2">
        <f>IFERROR(__xludf.DUMMYFUNCTION("""COMPUTED_VALUE"""),3790.0)</f>
        <v>3790</v>
      </c>
      <c r="C579" s="2">
        <f>IFERROR(__xludf.DUMMYFUNCTION("""COMPUTED_VALUE"""),3790.0)</f>
        <v>3790</v>
      </c>
      <c r="D579" s="2">
        <f>IFERROR(__xludf.DUMMYFUNCTION("""COMPUTED_VALUE"""),3670.0)</f>
        <v>3670</v>
      </c>
      <c r="E579" s="2">
        <f>IFERROR(__xludf.DUMMYFUNCTION("""COMPUTED_VALUE"""),3670.0)</f>
        <v>3670</v>
      </c>
      <c r="F579" s="2">
        <f>IFERROR(__xludf.DUMMYFUNCTION("""COMPUTED_VALUE"""),7687000.0)</f>
        <v>7687000</v>
      </c>
      <c r="G579" s="2">
        <f t="shared" si="1"/>
        <v>120</v>
      </c>
    </row>
    <row r="580" ht="15.75" customHeight="1">
      <c r="A580" s="1">
        <f>IFERROR(__xludf.DUMMYFUNCTION("""COMPUTED_VALUE"""),44704.66666666667)</f>
        <v>44704.66667</v>
      </c>
      <c r="B580" s="2">
        <f>IFERROR(__xludf.DUMMYFUNCTION("""COMPUTED_VALUE"""),3680.0)</f>
        <v>3680</v>
      </c>
      <c r="C580" s="2">
        <f>IFERROR(__xludf.DUMMYFUNCTION("""COMPUTED_VALUE"""),3710.0)</f>
        <v>3710</v>
      </c>
      <c r="D580" s="2">
        <f>IFERROR(__xludf.DUMMYFUNCTION("""COMPUTED_VALUE"""),3660.0)</f>
        <v>3660</v>
      </c>
      <c r="E580" s="2">
        <f>IFERROR(__xludf.DUMMYFUNCTION("""COMPUTED_VALUE"""),3680.0)</f>
        <v>3680</v>
      </c>
      <c r="F580" s="2">
        <f>IFERROR(__xludf.DUMMYFUNCTION("""COMPUTED_VALUE"""),3968800.0)</f>
        <v>3968800</v>
      </c>
      <c r="G580" s="2">
        <f t="shared" si="1"/>
        <v>50</v>
      </c>
    </row>
    <row r="581" ht="15.75" customHeight="1">
      <c r="A581" s="1">
        <f>IFERROR(__xludf.DUMMYFUNCTION("""COMPUTED_VALUE"""),44705.66666666667)</f>
        <v>44705.66667</v>
      </c>
      <c r="B581" s="2">
        <f>IFERROR(__xludf.DUMMYFUNCTION("""COMPUTED_VALUE"""),3700.0)</f>
        <v>3700</v>
      </c>
      <c r="C581" s="2">
        <f>IFERROR(__xludf.DUMMYFUNCTION("""COMPUTED_VALUE"""),3760.0)</f>
        <v>3760</v>
      </c>
      <c r="D581" s="2">
        <f>IFERROR(__xludf.DUMMYFUNCTION("""COMPUTED_VALUE"""),3680.0)</f>
        <v>3680</v>
      </c>
      <c r="E581" s="2">
        <f>IFERROR(__xludf.DUMMYFUNCTION("""COMPUTED_VALUE"""),3720.0)</f>
        <v>3720</v>
      </c>
      <c r="F581" s="2">
        <f>IFERROR(__xludf.DUMMYFUNCTION("""COMPUTED_VALUE"""),4040400.0)</f>
        <v>4040400</v>
      </c>
      <c r="G581" s="2">
        <f t="shared" si="1"/>
        <v>80</v>
      </c>
    </row>
    <row r="582" ht="15.75" customHeight="1">
      <c r="A582" s="1">
        <f>IFERROR(__xludf.DUMMYFUNCTION("""COMPUTED_VALUE"""),44706.66666666667)</f>
        <v>44706.66667</v>
      </c>
      <c r="B582" s="2">
        <f>IFERROR(__xludf.DUMMYFUNCTION("""COMPUTED_VALUE"""),3720.0)</f>
        <v>3720</v>
      </c>
      <c r="C582" s="2">
        <f>IFERROR(__xludf.DUMMYFUNCTION("""COMPUTED_VALUE"""),3840.0)</f>
        <v>3840</v>
      </c>
      <c r="D582" s="2">
        <f>IFERROR(__xludf.DUMMYFUNCTION("""COMPUTED_VALUE"""),3710.0)</f>
        <v>3710</v>
      </c>
      <c r="E582" s="2">
        <f>IFERROR(__xludf.DUMMYFUNCTION("""COMPUTED_VALUE"""),3800.0)</f>
        <v>3800</v>
      </c>
      <c r="F582" s="2">
        <f>IFERROR(__xludf.DUMMYFUNCTION("""COMPUTED_VALUE"""),7303900.0)</f>
        <v>7303900</v>
      </c>
      <c r="G582" s="2">
        <f t="shared" si="1"/>
        <v>130</v>
      </c>
    </row>
    <row r="583" ht="15.75" customHeight="1">
      <c r="A583" s="1">
        <f>IFERROR(__xludf.DUMMYFUNCTION("""COMPUTED_VALUE"""),44708.66666666667)</f>
        <v>44708.66667</v>
      </c>
      <c r="B583" s="2">
        <f>IFERROR(__xludf.DUMMYFUNCTION("""COMPUTED_VALUE"""),3840.0)</f>
        <v>3840</v>
      </c>
      <c r="C583" s="2">
        <f>IFERROR(__xludf.DUMMYFUNCTION("""COMPUTED_VALUE"""),3870.0)</f>
        <v>3870</v>
      </c>
      <c r="D583" s="2">
        <f>IFERROR(__xludf.DUMMYFUNCTION("""COMPUTED_VALUE"""),3810.0)</f>
        <v>3810</v>
      </c>
      <c r="E583" s="2">
        <f>IFERROR(__xludf.DUMMYFUNCTION("""COMPUTED_VALUE"""),3850.0)</f>
        <v>3850</v>
      </c>
      <c r="F583" s="2">
        <f>IFERROR(__xludf.DUMMYFUNCTION("""COMPUTED_VALUE"""),4615500.0)</f>
        <v>4615500</v>
      </c>
      <c r="G583" s="2">
        <f t="shared" si="1"/>
        <v>70</v>
      </c>
    </row>
    <row r="584" ht="15.75" customHeight="1">
      <c r="A584" s="1">
        <f>IFERROR(__xludf.DUMMYFUNCTION("""COMPUTED_VALUE"""),44711.66666666667)</f>
        <v>44711.66667</v>
      </c>
      <c r="B584" s="2">
        <f>IFERROR(__xludf.DUMMYFUNCTION("""COMPUTED_VALUE"""),3870.0)</f>
        <v>3870</v>
      </c>
      <c r="C584" s="2">
        <f>IFERROR(__xludf.DUMMYFUNCTION("""COMPUTED_VALUE"""),4020.0)</f>
        <v>4020</v>
      </c>
      <c r="D584" s="2">
        <f>IFERROR(__xludf.DUMMYFUNCTION("""COMPUTED_VALUE"""),3850.0)</f>
        <v>3850</v>
      </c>
      <c r="E584" s="2">
        <f>IFERROR(__xludf.DUMMYFUNCTION("""COMPUTED_VALUE"""),4010.0)</f>
        <v>4010</v>
      </c>
      <c r="F584" s="2">
        <f>IFERROR(__xludf.DUMMYFUNCTION("""COMPUTED_VALUE"""),1.30029E7)</f>
        <v>13002900</v>
      </c>
      <c r="G584" s="2">
        <f t="shared" si="1"/>
        <v>170</v>
      </c>
    </row>
    <row r="585" ht="15.75" customHeight="1">
      <c r="A585" s="1">
        <f>IFERROR(__xludf.DUMMYFUNCTION("""COMPUTED_VALUE"""),44712.66666666667)</f>
        <v>44712.66667</v>
      </c>
      <c r="B585" s="2">
        <f>IFERROR(__xludf.DUMMYFUNCTION("""COMPUTED_VALUE"""),4040.0)</f>
        <v>4040</v>
      </c>
      <c r="C585" s="2">
        <f>IFERROR(__xludf.DUMMYFUNCTION("""COMPUTED_VALUE"""),4090.0)</f>
        <v>4090</v>
      </c>
      <c r="D585" s="2">
        <f>IFERROR(__xludf.DUMMYFUNCTION("""COMPUTED_VALUE"""),3940.0)</f>
        <v>3940</v>
      </c>
      <c r="E585" s="2">
        <f>IFERROR(__xludf.DUMMYFUNCTION("""COMPUTED_VALUE"""),4000.0)</f>
        <v>4000</v>
      </c>
      <c r="F585" s="2">
        <f>IFERROR(__xludf.DUMMYFUNCTION("""COMPUTED_VALUE"""),1.50523E7)</f>
        <v>15052300</v>
      </c>
      <c r="G585" s="2">
        <f t="shared" si="1"/>
        <v>150</v>
      </c>
    </row>
    <row r="586" ht="15.75" customHeight="1">
      <c r="A586" s="1">
        <f>IFERROR(__xludf.DUMMYFUNCTION("""COMPUTED_VALUE"""),44714.66666666667)</f>
        <v>44714.66667</v>
      </c>
      <c r="B586" s="2">
        <f>IFERROR(__xludf.DUMMYFUNCTION("""COMPUTED_VALUE"""),4010.0)</f>
        <v>4010</v>
      </c>
      <c r="C586" s="2">
        <f>IFERROR(__xludf.DUMMYFUNCTION("""COMPUTED_VALUE"""),4050.0)</f>
        <v>4050</v>
      </c>
      <c r="D586" s="2">
        <f>IFERROR(__xludf.DUMMYFUNCTION("""COMPUTED_VALUE"""),3920.0)</f>
        <v>3920</v>
      </c>
      <c r="E586" s="2">
        <f>IFERROR(__xludf.DUMMYFUNCTION("""COMPUTED_VALUE"""),3970.0)</f>
        <v>3970</v>
      </c>
      <c r="F586" s="2">
        <f>IFERROR(__xludf.DUMMYFUNCTION("""COMPUTED_VALUE"""),5679300.0)</f>
        <v>5679300</v>
      </c>
      <c r="G586" s="2">
        <f t="shared" si="1"/>
        <v>130</v>
      </c>
    </row>
    <row r="587" ht="15.75" customHeight="1">
      <c r="A587" s="1">
        <f>IFERROR(__xludf.DUMMYFUNCTION("""COMPUTED_VALUE"""),44715.66666666667)</f>
        <v>44715.66667</v>
      </c>
      <c r="B587" s="2">
        <f>IFERROR(__xludf.DUMMYFUNCTION("""COMPUTED_VALUE"""),4000.0)</f>
        <v>4000</v>
      </c>
      <c r="C587" s="2">
        <f>IFERROR(__xludf.DUMMYFUNCTION("""COMPUTED_VALUE"""),4020.0)</f>
        <v>4020</v>
      </c>
      <c r="D587" s="2">
        <f>IFERROR(__xludf.DUMMYFUNCTION("""COMPUTED_VALUE"""),3920.0)</f>
        <v>3920</v>
      </c>
      <c r="E587" s="2">
        <f>IFERROR(__xludf.DUMMYFUNCTION("""COMPUTED_VALUE"""),3920.0)</f>
        <v>3920</v>
      </c>
      <c r="F587" s="2">
        <f>IFERROR(__xludf.DUMMYFUNCTION("""COMPUTED_VALUE"""),1768200.0)</f>
        <v>1768200</v>
      </c>
      <c r="G587" s="2">
        <f t="shared" si="1"/>
        <v>100</v>
      </c>
    </row>
    <row r="588" ht="15.75" customHeight="1">
      <c r="A588" s="1">
        <f>IFERROR(__xludf.DUMMYFUNCTION("""COMPUTED_VALUE"""),44718.66666666667)</f>
        <v>44718.66667</v>
      </c>
      <c r="B588" s="2">
        <f>IFERROR(__xludf.DUMMYFUNCTION("""COMPUTED_VALUE"""),3910.0)</f>
        <v>3910</v>
      </c>
      <c r="C588" s="2">
        <f>IFERROR(__xludf.DUMMYFUNCTION("""COMPUTED_VALUE"""),3940.0)</f>
        <v>3940</v>
      </c>
      <c r="D588" s="2">
        <f>IFERROR(__xludf.DUMMYFUNCTION("""COMPUTED_VALUE"""),3830.0)</f>
        <v>3830</v>
      </c>
      <c r="E588" s="2">
        <f>IFERROR(__xludf.DUMMYFUNCTION("""COMPUTED_VALUE"""),3900.0)</f>
        <v>3900</v>
      </c>
      <c r="F588" s="2">
        <f>IFERROR(__xludf.DUMMYFUNCTION("""COMPUTED_VALUE"""),3253200.0)</f>
        <v>3253200</v>
      </c>
      <c r="G588" s="2">
        <f t="shared" si="1"/>
        <v>110</v>
      </c>
    </row>
    <row r="589" ht="15.75" customHeight="1">
      <c r="A589" s="1">
        <f>IFERROR(__xludf.DUMMYFUNCTION("""COMPUTED_VALUE"""),44719.66666666667)</f>
        <v>44719.66667</v>
      </c>
      <c r="B589" s="2">
        <f>IFERROR(__xludf.DUMMYFUNCTION("""COMPUTED_VALUE"""),3900.0)</f>
        <v>3900</v>
      </c>
      <c r="C589" s="2">
        <f>IFERROR(__xludf.DUMMYFUNCTION("""COMPUTED_VALUE"""),3910.0)</f>
        <v>3910</v>
      </c>
      <c r="D589" s="2">
        <f>IFERROR(__xludf.DUMMYFUNCTION("""COMPUTED_VALUE"""),3870.0)</f>
        <v>3870</v>
      </c>
      <c r="E589" s="2">
        <f>IFERROR(__xludf.DUMMYFUNCTION("""COMPUTED_VALUE"""),3870.0)</f>
        <v>3870</v>
      </c>
      <c r="F589" s="2">
        <f>IFERROR(__xludf.DUMMYFUNCTION("""COMPUTED_VALUE"""),1013500.0)</f>
        <v>1013500</v>
      </c>
      <c r="G589" s="2">
        <f t="shared" si="1"/>
        <v>40</v>
      </c>
    </row>
    <row r="590" ht="15.75" customHeight="1">
      <c r="A590" s="1">
        <f>IFERROR(__xludf.DUMMYFUNCTION("""COMPUTED_VALUE"""),44720.66666666667)</f>
        <v>44720.66667</v>
      </c>
      <c r="B590" s="2">
        <f>IFERROR(__xludf.DUMMYFUNCTION("""COMPUTED_VALUE"""),3870.0)</f>
        <v>3870</v>
      </c>
      <c r="C590" s="2">
        <f>IFERROR(__xludf.DUMMYFUNCTION("""COMPUTED_VALUE"""),3950.0)</f>
        <v>3950</v>
      </c>
      <c r="D590" s="2">
        <f>IFERROR(__xludf.DUMMYFUNCTION("""COMPUTED_VALUE"""),3870.0)</f>
        <v>3870</v>
      </c>
      <c r="E590" s="2">
        <f>IFERROR(__xludf.DUMMYFUNCTION("""COMPUTED_VALUE"""),3930.0)</f>
        <v>3930</v>
      </c>
      <c r="F590" s="2">
        <f>IFERROR(__xludf.DUMMYFUNCTION("""COMPUTED_VALUE"""),2332800.0)</f>
        <v>2332800</v>
      </c>
      <c r="G590" s="2">
        <f t="shared" si="1"/>
        <v>80</v>
      </c>
    </row>
    <row r="591" ht="15.75" customHeight="1">
      <c r="A591" s="1">
        <f>IFERROR(__xludf.DUMMYFUNCTION("""COMPUTED_VALUE"""),44721.66666666667)</f>
        <v>44721.66667</v>
      </c>
      <c r="B591" s="2">
        <f>IFERROR(__xludf.DUMMYFUNCTION("""COMPUTED_VALUE"""),3940.0)</f>
        <v>3940</v>
      </c>
      <c r="C591" s="2">
        <f>IFERROR(__xludf.DUMMYFUNCTION("""COMPUTED_VALUE"""),4030.0)</f>
        <v>4030</v>
      </c>
      <c r="D591" s="2">
        <f>IFERROR(__xludf.DUMMYFUNCTION("""COMPUTED_VALUE"""),3930.0)</f>
        <v>3930</v>
      </c>
      <c r="E591" s="2">
        <f>IFERROR(__xludf.DUMMYFUNCTION("""COMPUTED_VALUE"""),3950.0)</f>
        <v>3950</v>
      </c>
      <c r="F591" s="2">
        <f>IFERROR(__xludf.DUMMYFUNCTION("""COMPUTED_VALUE"""),8493000.0)</f>
        <v>8493000</v>
      </c>
      <c r="G591" s="2">
        <f t="shared" si="1"/>
        <v>100</v>
      </c>
    </row>
    <row r="592" ht="15.75" customHeight="1">
      <c r="A592" s="1">
        <f>IFERROR(__xludf.DUMMYFUNCTION("""COMPUTED_VALUE"""),44722.66666666667)</f>
        <v>44722.66667</v>
      </c>
      <c r="B592" s="2">
        <f>IFERROR(__xludf.DUMMYFUNCTION("""COMPUTED_VALUE"""),3950.0)</f>
        <v>3950</v>
      </c>
      <c r="C592" s="2">
        <f>IFERROR(__xludf.DUMMYFUNCTION("""COMPUTED_VALUE"""),3970.0)</f>
        <v>3970</v>
      </c>
      <c r="D592" s="2">
        <f>IFERROR(__xludf.DUMMYFUNCTION("""COMPUTED_VALUE"""),3850.0)</f>
        <v>3850</v>
      </c>
      <c r="E592" s="2">
        <f>IFERROR(__xludf.DUMMYFUNCTION("""COMPUTED_VALUE"""),3930.0)</f>
        <v>3930</v>
      </c>
      <c r="F592" s="2">
        <f>IFERROR(__xludf.DUMMYFUNCTION("""COMPUTED_VALUE"""),5957100.0)</f>
        <v>5957100</v>
      </c>
      <c r="G592" s="2">
        <f t="shared" si="1"/>
        <v>120</v>
      </c>
    </row>
    <row r="593" ht="15.75" customHeight="1">
      <c r="A593" s="1">
        <f>IFERROR(__xludf.DUMMYFUNCTION("""COMPUTED_VALUE"""),44725.66666666667)</f>
        <v>44725.66667</v>
      </c>
      <c r="B593" s="2">
        <f>IFERROR(__xludf.DUMMYFUNCTION("""COMPUTED_VALUE"""),3900.0)</f>
        <v>3900</v>
      </c>
      <c r="C593" s="2">
        <f>IFERROR(__xludf.DUMMYFUNCTION("""COMPUTED_VALUE"""),3900.0)</f>
        <v>3900</v>
      </c>
      <c r="D593" s="2">
        <f>IFERROR(__xludf.DUMMYFUNCTION("""COMPUTED_VALUE"""),3770.0)</f>
        <v>3770</v>
      </c>
      <c r="E593" s="2">
        <f>IFERROR(__xludf.DUMMYFUNCTION("""COMPUTED_VALUE"""),3810.0)</f>
        <v>3810</v>
      </c>
      <c r="F593" s="2">
        <f>IFERROR(__xludf.DUMMYFUNCTION("""COMPUTED_VALUE"""),3623100.0)</f>
        <v>3623100</v>
      </c>
      <c r="G593" s="2">
        <f t="shared" si="1"/>
        <v>160</v>
      </c>
    </row>
    <row r="594" ht="15.75" customHeight="1">
      <c r="A594" s="1">
        <f>IFERROR(__xludf.DUMMYFUNCTION("""COMPUTED_VALUE"""),44726.66666666667)</f>
        <v>44726.66667</v>
      </c>
      <c r="B594" s="2">
        <f>IFERROR(__xludf.DUMMYFUNCTION("""COMPUTED_VALUE"""),3810.0)</f>
        <v>3810</v>
      </c>
      <c r="C594" s="2">
        <f>IFERROR(__xludf.DUMMYFUNCTION("""COMPUTED_VALUE"""),3880.0)</f>
        <v>3880</v>
      </c>
      <c r="D594" s="2">
        <f>IFERROR(__xludf.DUMMYFUNCTION("""COMPUTED_VALUE"""),3750.0)</f>
        <v>3750</v>
      </c>
      <c r="E594" s="2">
        <f>IFERROR(__xludf.DUMMYFUNCTION("""COMPUTED_VALUE"""),3880.0)</f>
        <v>3880</v>
      </c>
      <c r="F594" s="2">
        <f>IFERROR(__xludf.DUMMYFUNCTION("""COMPUTED_VALUE"""),4400600.0)</f>
        <v>4400600</v>
      </c>
      <c r="G594" s="2">
        <f t="shared" si="1"/>
        <v>130</v>
      </c>
    </row>
    <row r="595" ht="15.75" customHeight="1">
      <c r="A595" s="1">
        <f>IFERROR(__xludf.DUMMYFUNCTION("""COMPUTED_VALUE"""),44727.66666666667)</f>
        <v>44727.66667</v>
      </c>
      <c r="B595" s="2">
        <f>IFERROR(__xludf.DUMMYFUNCTION("""COMPUTED_VALUE"""),3900.0)</f>
        <v>3900</v>
      </c>
      <c r="C595" s="2">
        <f>IFERROR(__xludf.DUMMYFUNCTION("""COMPUTED_VALUE"""),3900.0)</f>
        <v>3900</v>
      </c>
      <c r="D595" s="2">
        <f>IFERROR(__xludf.DUMMYFUNCTION("""COMPUTED_VALUE"""),3750.0)</f>
        <v>3750</v>
      </c>
      <c r="E595" s="2">
        <f>IFERROR(__xludf.DUMMYFUNCTION("""COMPUTED_VALUE"""),3750.0)</f>
        <v>3750</v>
      </c>
      <c r="F595" s="2">
        <f>IFERROR(__xludf.DUMMYFUNCTION("""COMPUTED_VALUE"""),4168900.0)</f>
        <v>4168900</v>
      </c>
      <c r="G595" s="2">
        <f t="shared" si="1"/>
        <v>150</v>
      </c>
    </row>
    <row r="596" ht="15.75" customHeight="1">
      <c r="A596" s="1">
        <f>IFERROR(__xludf.DUMMYFUNCTION("""COMPUTED_VALUE"""),44728.66666666667)</f>
        <v>44728.66667</v>
      </c>
      <c r="B596" s="2">
        <f>IFERROR(__xludf.DUMMYFUNCTION("""COMPUTED_VALUE"""),3800.0)</f>
        <v>3800</v>
      </c>
      <c r="C596" s="2">
        <f>IFERROR(__xludf.DUMMYFUNCTION("""COMPUTED_VALUE"""),3840.0)</f>
        <v>3840</v>
      </c>
      <c r="D596" s="2">
        <f>IFERROR(__xludf.DUMMYFUNCTION("""COMPUTED_VALUE"""),3700.0)</f>
        <v>3700</v>
      </c>
      <c r="E596" s="2">
        <f>IFERROR(__xludf.DUMMYFUNCTION("""COMPUTED_VALUE"""),3700.0)</f>
        <v>3700</v>
      </c>
      <c r="F596" s="2">
        <f>IFERROR(__xludf.DUMMYFUNCTION("""COMPUTED_VALUE"""),7697700.0)</f>
        <v>7697700</v>
      </c>
      <c r="G596" s="2">
        <f t="shared" si="1"/>
        <v>140</v>
      </c>
    </row>
    <row r="597" ht="15.75" customHeight="1">
      <c r="A597" s="1">
        <f>IFERROR(__xludf.DUMMYFUNCTION("""COMPUTED_VALUE"""),44729.66666666667)</f>
        <v>44729.66667</v>
      </c>
      <c r="B597" s="2">
        <f>IFERROR(__xludf.DUMMYFUNCTION("""COMPUTED_VALUE"""),3750.0)</f>
        <v>3750</v>
      </c>
      <c r="C597" s="2">
        <f>IFERROR(__xludf.DUMMYFUNCTION("""COMPUTED_VALUE"""),3790.0)</f>
        <v>3790</v>
      </c>
      <c r="D597" s="2">
        <f>IFERROR(__xludf.DUMMYFUNCTION("""COMPUTED_VALUE"""),3650.0)</f>
        <v>3650</v>
      </c>
      <c r="E597" s="2">
        <f>IFERROR(__xludf.DUMMYFUNCTION("""COMPUTED_VALUE"""),3790.0)</f>
        <v>3790</v>
      </c>
      <c r="F597" s="2">
        <f>IFERROR(__xludf.DUMMYFUNCTION("""COMPUTED_VALUE"""),5785600.0)</f>
        <v>5785600</v>
      </c>
      <c r="G597" s="2">
        <f t="shared" si="1"/>
        <v>140</v>
      </c>
    </row>
    <row r="598" ht="15.75" customHeight="1">
      <c r="A598" s="1">
        <f>IFERROR(__xludf.DUMMYFUNCTION("""COMPUTED_VALUE"""),44732.66666666667)</f>
        <v>44732.66667</v>
      </c>
      <c r="B598" s="2">
        <f>IFERROR(__xludf.DUMMYFUNCTION("""COMPUTED_VALUE"""),3790.0)</f>
        <v>3790</v>
      </c>
      <c r="C598" s="2">
        <f>IFERROR(__xludf.DUMMYFUNCTION("""COMPUTED_VALUE"""),3800.0)</f>
        <v>3800</v>
      </c>
      <c r="D598" s="2">
        <f>IFERROR(__xludf.DUMMYFUNCTION("""COMPUTED_VALUE"""),3650.0)</f>
        <v>3650</v>
      </c>
      <c r="E598" s="2">
        <f>IFERROR(__xludf.DUMMYFUNCTION("""COMPUTED_VALUE"""),3690.0)</f>
        <v>3690</v>
      </c>
      <c r="F598" s="2">
        <f>IFERROR(__xludf.DUMMYFUNCTION("""COMPUTED_VALUE"""),5446800.0)</f>
        <v>5446800</v>
      </c>
      <c r="G598" s="2">
        <f t="shared" si="1"/>
        <v>150</v>
      </c>
    </row>
    <row r="599" ht="15.75" customHeight="1">
      <c r="A599" s="1">
        <f>IFERROR(__xludf.DUMMYFUNCTION("""COMPUTED_VALUE"""),44733.66666666667)</f>
        <v>44733.66667</v>
      </c>
      <c r="B599" s="2">
        <f>IFERROR(__xludf.DUMMYFUNCTION("""COMPUTED_VALUE"""),3690.0)</f>
        <v>3690</v>
      </c>
      <c r="C599" s="2">
        <f>IFERROR(__xludf.DUMMYFUNCTION("""COMPUTED_VALUE"""),3720.0)</f>
        <v>3720</v>
      </c>
      <c r="D599" s="2">
        <f>IFERROR(__xludf.DUMMYFUNCTION("""COMPUTED_VALUE"""),3650.0)</f>
        <v>3650</v>
      </c>
      <c r="E599" s="2">
        <f>IFERROR(__xludf.DUMMYFUNCTION("""COMPUTED_VALUE"""),3690.0)</f>
        <v>3690</v>
      </c>
      <c r="F599" s="2">
        <f>IFERROR(__xludf.DUMMYFUNCTION("""COMPUTED_VALUE"""),6860700.0)</f>
        <v>6860700</v>
      </c>
      <c r="G599" s="2">
        <f t="shared" si="1"/>
        <v>70</v>
      </c>
    </row>
    <row r="600" ht="15.75" customHeight="1">
      <c r="A600" s="1">
        <f>IFERROR(__xludf.DUMMYFUNCTION("""COMPUTED_VALUE"""),44734.66666666667)</f>
        <v>44734.66667</v>
      </c>
      <c r="B600" s="2">
        <f>IFERROR(__xludf.DUMMYFUNCTION("""COMPUTED_VALUE"""),3690.0)</f>
        <v>3690</v>
      </c>
      <c r="C600" s="2">
        <f>IFERROR(__xludf.DUMMYFUNCTION("""COMPUTED_VALUE"""),3710.0)</f>
        <v>3710</v>
      </c>
      <c r="D600" s="2">
        <f>IFERROR(__xludf.DUMMYFUNCTION("""COMPUTED_VALUE"""),3660.0)</f>
        <v>3660</v>
      </c>
      <c r="E600" s="2">
        <f>IFERROR(__xludf.DUMMYFUNCTION("""COMPUTED_VALUE"""),3670.0)</f>
        <v>3670</v>
      </c>
      <c r="F600" s="2">
        <f>IFERROR(__xludf.DUMMYFUNCTION("""COMPUTED_VALUE"""),1876600.0)</f>
        <v>1876600</v>
      </c>
      <c r="G600" s="2">
        <f t="shared" si="1"/>
        <v>50</v>
      </c>
    </row>
    <row r="601" ht="15.75" customHeight="1">
      <c r="A601" s="1">
        <f>IFERROR(__xludf.DUMMYFUNCTION("""COMPUTED_VALUE"""),44735.66666666667)</f>
        <v>44735.66667</v>
      </c>
      <c r="B601" s="2">
        <f>IFERROR(__xludf.DUMMYFUNCTION("""COMPUTED_VALUE"""),3680.0)</f>
        <v>3680</v>
      </c>
      <c r="C601" s="2">
        <f>IFERROR(__xludf.DUMMYFUNCTION("""COMPUTED_VALUE"""),3700.0)</f>
        <v>3700</v>
      </c>
      <c r="D601" s="2">
        <f>IFERROR(__xludf.DUMMYFUNCTION("""COMPUTED_VALUE"""),3610.0)</f>
        <v>3610</v>
      </c>
      <c r="E601" s="2">
        <f>IFERROR(__xludf.DUMMYFUNCTION("""COMPUTED_VALUE"""),3660.0)</f>
        <v>3660</v>
      </c>
      <c r="F601" s="2">
        <f>IFERROR(__xludf.DUMMYFUNCTION("""COMPUTED_VALUE"""),3078300.0)</f>
        <v>3078300</v>
      </c>
      <c r="G601" s="2">
        <f t="shared" si="1"/>
        <v>90</v>
      </c>
    </row>
    <row r="602" ht="15.75" customHeight="1">
      <c r="A602" s="1">
        <f>IFERROR(__xludf.DUMMYFUNCTION("""COMPUTED_VALUE"""),44736.66666666667)</f>
        <v>44736.66667</v>
      </c>
      <c r="B602" s="2">
        <f>IFERROR(__xludf.DUMMYFUNCTION("""COMPUTED_VALUE"""),3660.0)</f>
        <v>3660</v>
      </c>
      <c r="C602" s="2">
        <f>IFERROR(__xludf.DUMMYFUNCTION("""COMPUTED_VALUE"""),3720.0)</f>
        <v>3720</v>
      </c>
      <c r="D602" s="2">
        <f>IFERROR(__xludf.DUMMYFUNCTION("""COMPUTED_VALUE"""),3660.0)</f>
        <v>3660</v>
      </c>
      <c r="E602" s="2">
        <f>IFERROR(__xludf.DUMMYFUNCTION("""COMPUTED_VALUE"""),3700.0)</f>
        <v>3700</v>
      </c>
      <c r="F602" s="2">
        <f>IFERROR(__xludf.DUMMYFUNCTION("""COMPUTED_VALUE"""),4231100.0)</f>
        <v>4231100</v>
      </c>
      <c r="G602" s="2">
        <f t="shared" si="1"/>
        <v>60</v>
      </c>
    </row>
    <row r="603" ht="15.75" customHeight="1">
      <c r="A603" s="1">
        <f>IFERROR(__xludf.DUMMYFUNCTION("""COMPUTED_VALUE"""),44739.66666666667)</f>
        <v>44739.66667</v>
      </c>
      <c r="B603" s="2">
        <f>IFERROR(__xludf.DUMMYFUNCTION("""COMPUTED_VALUE"""),3720.0)</f>
        <v>3720</v>
      </c>
      <c r="C603" s="2">
        <f>IFERROR(__xludf.DUMMYFUNCTION("""COMPUTED_VALUE"""),3740.0)</f>
        <v>3740</v>
      </c>
      <c r="D603" s="2">
        <f>IFERROR(__xludf.DUMMYFUNCTION("""COMPUTED_VALUE"""),3690.0)</f>
        <v>3690</v>
      </c>
      <c r="E603" s="2">
        <f>IFERROR(__xludf.DUMMYFUNCTION("""COMPUTED_VALUE"""),3740.0)</f>
        <v>3740</v>
      </c>
      <c r="F603" s="2">
        <f>IFERROR(__xludf.DUMMYFUNCTION("""COMPUTED_VALUE"""),3375900.0)</f>
        <v>3375900</v>
      </c>
      <c r="G603" s="2">
        <f t="shared" si="1"/>
        <v>50</v>
      </c>
    </row>
    <row r="604" ht="15.75" customHeight="1">
      <c r="A604" s="1">
        <f>IFERROR(__xludf.DUMMYFUNCTION("""COMPUTED_VALUE"""),44740.66666666667)</f>
        <v>44740.66667</v>
      </c>
      <c r="B604" s="2">
        <f>IFERROR(__xludf.DUMMYFUNCTION("""COMPUTED_VALUE"""),3750.0)</f>
        <v>3750</v>
      </c>
      <c r="C604" s="2">
        <f>IFERROR(__xludf.DUMMYFUNCTION("""COMPUTED_VALUE"""),3750.0)</f>
        <v>3750</v>
      </c>
      <c r="D604" s="2">
        <f>IFERROR(__xludf.DUMMYFUNCTION("""COMPUTED_VALUE"""),3690.0)</f>
        <v>3690</v>
      </c>
      <c r="E604" s="2">
        <f>IFERROR(__xludf.DUMMYFUNCTION("""COMPUTED_VALUE"""),3710.0)</f>
        <v>3710</v>
      </c>
      <c r="F604" s="2">
        <f>IFERROR(__xludf.DUMMYFUNCTION("""COMPUTED_VALUE"""),1848400.0)</f>
        <v>1848400</v>
      </c>
      <c r="G604" s="2">
        <f t="shared" si="1"/>
        <v>60</v>
      </c>
    </row>
    <row r="605" ht="15.75" customHeight="1">
      <c r="A605" s="1">
        <f>IFERROR(__xludf.DUMMYFUNCTION("""COMPUTED_VALUE"""),44741.66666666667)</f>
        <v>44741.66667</v>
      </c>
      <c r="B605" s="2">
        <f>IFERROR(__xludf.DUMMYFUNCTION("""COMPUTED_VALUE"""),3710.0)</f>
        <v>3710</v>
      </c>
      <c r="C605" s="2">
        <f>IFERROR(__xludf.DUMMYFUNCTION("""COMPUTED_VALUE"""),3710.0)</f>
        <v>3710</v>
      </c>
      <c r="D605" s="2">
        <f>IFERROR(__xludf.DUMMYFUNCTION("""COMPUTED_VALUE"""),3620.0)</f>
        <v>3620</v>
      </c>
      <c r="E605" s="2">
        <f>IFERROR(__xludf.DUMMYFUNCTION("""COMPUTED_VALUE"""),3620.0)</f>
        <v>3620</v>
      </c>
      <c r="F605" s="2">
        <f>IFERROR(__xludf.DUMMYFUNCTION("""COMPUTED_VALUE"""),4630200.0)</f>
        <v>4630200</v>
      </c>
      <c r="G605" s="2">
        <f t="shared" si="1"/>
        <v>90</v>
      </c>
    </row>
    <row r="606" ht="15.75" customHeight="1">
      <c r="A606" s="1">
        <f>IFERROR(__xludf.DUMMYFUNCTION("""COMPUTED_VALUE"""),44742.66666666667)</f>
        <v>44742.66667</v>
      </c>
      <c r="B606" s="2">
        <f>IFERROR(__xludf.DUMMYFUNCTION("""COMPUTED_VALUE"""),3610.0)</f>
        <v>3610</v>
      </c>
      <c r="C606" s="2">
        <f>IFERROR(__xludf.DUMMYFUNCTION("""COMPUTED_VALUE"""),3660.0)</f>
        <v>3660</v>
      </c>
      <c r="D606" s="2">
        <f>IFERROR(__xludf.DUMMYFUNCTION("""COMPUTED_VALUE"""),3540.0)</f>
        <v>3540</v>
      </c>
      <c r="E606" s="2">
        <f>IFERROR(__xludf.DUMMYFUNCTION("""COMPUTED_VALUE"""),3540.0)</f>
        <v>3540</v>
      </c>
      <c r="F606" s="2">
        <f>IFERROR(__xludf.DUMMYFUNCTION("""COMPUTED_VALUE"""),5838600.0)</f>
        <v>5838600</v>
      </c>
      <c r="G606" s="2">
        <f t="shared" si="1"/>
        <v>120</v>
      </c>
    </row>
    <row r="607" ht="15.75" customHeight="1">
      <c r="A607" s="1">
        <f>IFERROR(__xludf.DUMMYFUNCTION("""COMPUTED_VALUE"""),44743.66666666667)</f>
        <v>44743.66667</v>
      </c>
      <c r="B607" s="2">
        <f>IFERROR(__xludf.DUMMYFUNCTION("""COMPUTED_VALUE"""),3540.0)</f>
        <v>3540</v>
      </c>
      <c r="C607" s="2">
        <f>IFERROR(__xludf.DUMMYFUNCTION("""COMPUTED_VALUE"""),3580.0)</f>
        <v>3580</v>
      </c>
      <c r="D607" s="2">
        <f>IFERROR(__xludf.DUMMYFUNCTION("""COMPUTED_VALUE"""),3500.0)</f>
        <v>3500</v>
      </c>
      <c r="E607" s="2">
        <f>IFERROR(__xludf.DUMMYFUNCTION("""COMPUTED_VALUE"""),3500.0)</f>
        <v>3500</v>
      </c>
      <c r="F607" s="2">
        <f>IFERROR(__xludf.DUMMYFUNCTION("""COMPUTED_VALUE"""),2973300.0)</f>
        <v>2973300</v>
      </c>
      <c r="G607" s="2">
        <f t="shared" si="1"/>
        <v>80</v>
      </c>
    </row>
    <row r="608" ht="15.75" customHeight="1">
      <c r="A608" s="1">
        <f>IFERROR(__xludf.DUMMYFUNCTION("""COMPUTED_VALUE"""),44746.66666666667)</f>
        <v>44746.66667</v>
      </c>
      <c r="B608" s="2">
        <f>IFERROR(__xludf.DUMMYFUNCTION("""COMPUTED_VALUE"""),3500.0)</f>
        <v>3500</v>
      </c>
      <c r="C608" s="2">
        <f>IFERROR(__xludf.DUMMYFUNCTION("""COMPUTED_VALUE"""),3550.0)</f>
        <v>3550</v>
      </c>
      <c r="D608" s="2">
        <f>IFERROR(__xludf.DUMMYFUNCTION("""COMPUTED_VALUE"""),3440.0)</f>
        <v>3440</v>
      </c>
      <c r="E608" s="2">
        <f>IFERROR(__xludf.DUMMYFUNCTION("""COMPUTED_VALUE"""),3500.0)</f>
        <v>3500</v>
      </c>
      <c r="F608" s="2">
        <f>IFERROR(__xludf.DUMMYFUNCTION("""COMPUTED_VALUE"""),2412100.0)</f>
        <v>2412100</v>
      </c>
      <c r="G608" s="2">
        <f t="shared" si="1"/>
        <v>110</v>
      </c>
    </row>
    <row r="609" ht="15.75" customHeight="1">
      <c r="A609" s="1">
        <f>IFERROR(__xludf.DUMMYFUNCTION("""COMPUTED_VALUE"""),44747.66666666667)</f>
        <v>44747.66667</v>
      </c>
      <c r="B609" s="2">
        <f>IFERROR(__xludf.DUMMYFUNCTION("""COMPUTED_VALUE"""),3530.0)</f>
        <v>3530</v>
      </c>
      <c r="C609" s="2">
        <f>IFERROR(__xludf.DUMMYFUNCTION("""COMPUTED_VALUE"""),3700.0)</f>
        <v>3700</v>
      </c>
      <c r="D609" s="2">
        <f>IFERROR(__xludf.DUMMYFUNCTION("""COMPUTED_VALUE"""),3530.0)</f>
        <v>3530</v>
      </c>
      <c r="E609" s="2">
        <f>IFERROR(__xludf.DUMMYFUNCTION("""COMPUTED_VALUE"""),3690.0)</f>
        <v>3690</v>
      </c>
      <c r="F609" s="2">
        <f>IFERROR(__xludf.DUMMYFUNCTION("""COMPUTED_VALUE"""),6526000.0)</f>
        <v>6526000</v>
      </c>
      <c r="G609" s="2">
        <f t="shared" si="1"/>
        <v>200</v>
      </c>
    </row>
    <row r="610" ht="15.75" customHeight="1">
      <c r="A610" s="1">
        <f>IFERROR(__xludf.DUMMYFUNCTION("""COMPUTED_VALUE"""),44748.66666666667)</f>
        <v>44748.66667</v>
      </c>
      <c r="B610" s="2">
        <f>IFERROR(__xludf.DUMMYFUNCTION("""COMPUTED_VALUE"""),3690.0)</f>
        <v>3690</v>
      </c>
      <c r="C610" s="2">
        <f>IFERROR(__xludf.DUMMYFUNCTION("""COMPUTED_VALUE"""),3700.0)</f>
        <v>3700</v>
      </c>
      <c r="D610" s="2">
        <f>IFERROR(__xludf.DUMMYFUNCTION("""COMPUTED_VALUE"""),3590.0)</f>
        <v>3590</v>
      </c>
      <c r="E610" s="2">
        <f>IFERROR(__xludf.DUMMYFUNCTION("""COMPUTED_VALUE"""),3600.0)</f>
        <v>3600</v>
      </c>
      <c r="F610" s="2">
        <f>IFERROR(__xludf.DUMMYFUNCTION("""COMPUTED_VALUE"""),3153200.0)</f>
        <v>3153200</v>
      </c>
      <c r="G610" s="2">
        <f t="shared" si="1"/>
        <v>110</v>
      </c>
    </row>
    <row r="611" ht="15.75" customHeight="1">
      <c r="A611" s="1">
        <f>IFERROR(__xludf.DUMMYFUNCTION("""COMPUTED_VALUE"""),44749.66666666667)</f>
        <v>44749.66667</v>
      </c>
      <c r="B611" s="2">
        <f>IFERROR(__xludf.DUMMYFUNCTION("""COMPUTED_VALUE"""),3620.0)</f>
        <v>3620</v>
      </c>
      <c r="C611" s="2">
        <f>IFERROR(__xludf.DUMMYFUNCTION("""COMPUTED_VALUE"""),3660.0)</f>
        <v>3660</v>
      </c>
      <c r="D611" s="2">
        <f>IFERROR(__xludf.DUMMYFUNCTION("""COMPUTED_VALUE"""),3550.0)</f>
        <v>3550</v>
      </c>
      <c r="E611" s="2">
        <f>IFERROR(__xludf.DUMMYFUNCTION("""COMPUTED_VALUE"""),3600.0)</f>
        <v>3600</v>
      </c>
      <c r="F611" s="2">
        <f>IFERROR(__xludf.DUMMYFUNCTION("""COMPUTED_VALUE"""),2525300.0)</f>
        <v>2525300</v>
      </c>
      <c r="G611" s="2">
        <f t="shared" si="1"/>
        <v>110</v>
      </c>
    </row>
    <row r="612" ht="15.75" customHeight="1">
      <c r="A612" s="1">
        <f>IFERROR(__xludf.DUMMYFUNCTION("""COMPUTED_VALUE"""),44750.66666666667)</f>
        <v>44750.66667</v>
      </c>
      <c r="B612" s="2">
        <f>IFERROR(__xludf.DUMMYFUNCTION("""COMPUTED_VALUE"""),3620.0)</f>
        <v>3620</v>
      </c>
      <c r="C612" s="2">
        <f>IFERROR(__xludf.DUMMYFUNCTION("""COMPUTED_VALUE"""),3630.0)</f>
        <v>3630</v>
      </c>
      <c r="D612" s="2">
        <f>IFERROR(__xludf.DUMMYFUNCTION("""COMPUTED_VALUE"""),3520.0)</f>
        <v>3520</v>
      </c>
      <c r="E612" s="2">
        <f>IFERROR(__xludf.DUMMYFUNCTION("""COMPUTED_VALUE"""),3520.0)</f>
        <v>3520</v>
      </c>
      <c r="F612" s="2">
        <f>IFERROR(__xludf.DUMMYFUNCTION("""COMPUTED_VALUE"""),2450700.0)</f>
        <v>2450700</v>
      </c>
      <c r="G612" s="2">
        <f t="shared" si="1"/>
        <v>110</v>
      </c>
    </row>
    <row r="613" ht="15.75" customHeight="1">
      <c r="A613" s="1">
        <f>IFERROR(__xludf.DUMMYFUNCTION("""COMPUTED_VALUE"""),44753.66666666667)</f>
        <v>44753.66667</v>
      </c>
      <c r="B613" s="2">
        <f>IFERROR(__xludf.DUMMYFUNCTION("""COMPUTED_VALUE"""),3560.0)</f>
        <v>3560</v>
      </c>
      <c r="C613" s="2">
        <f>IFERROR(__xludf.DUMMYFUNCTION("""COMPUTED_VALUE"""),3560.0)</f>
        <v>3560</v>
      </c>
      <c r="D613" s="2">
        <f>IFERROR(__xludf.DUMMYFUNCTION("""COMPUTED_VALUE"""),3510.0)</f>
        <v>3510</v>
      </c>
      <c r="E613" s="2">
        <f>IFERROR(__xludf.DUMMYFUNCTION("""COMPUTED_VALUE"""),3540.0)</f>
        <v>3540</v>
      </c>
      <c r="F613" s="2">
        <f>IFERROR(__xludf.DUMMYFUNCTION("""COMPUTED_VALUE"""),873600.0)</f>
        <v>873600</v>
      </c>
      <c r="G613" s="2">
        <f t="shared" si="1"/>
        <v>50</v>
      </c>
    </row>
    <row r="614" ht="15.75" customHeight="1">
      <c r="A614" s="1">
        <f>IFERROR(__xludf.DUMMYFUNCTION("""COMPUTED_VALUE"""),44754.66666666667)</f>
        <v>44754.66667</v>
      </c>
      <c r="B614" s="2">
        <f>IFERROR(__xludf.DUMMYFUNCTION("""COMPUTED_VALUE"""),3540.0)</f>
        <v>3540</v>
      </c>
      <c r="C614" s="2">
        <f>IFERROR(__xludf.DUMMYFUNCTION("""COMPUTED_VALUE"""),3590.0)</f>
        <v>3590</v>
      </c>
      <c r="D614" s="2">
        <f>IFERROR(__xludf.DUMMYFUNCTION("""COMPUTED_VALUE"""),3520.0)</f>
        <v>3520</v>
      </c>
      <c r="E614" s="2">
        <f>IFERROR(__xludf.DUMMYFUNCTION("""COMPUTED_VALUE"""),3580.0)</f>
        <v>3580</v>
      </c>
      <c r="F614" s="2">
        <f>IFERROR(__xludf.DUMMYFUNCTION("""COMPUTED_VALUE"""),984100.0)</f>
        <v>984100</v>
      </c>
      <c r="G614" s="2">
        <f t="shared" si="1"/>
        <v>70</v>
      </c>
    </row>
    <row r="615" ht="15.75" customHeight="1">
      <c r="A615" s="1">
        <f>IFERROR(__xludf.DUMMYFUNCTION("""COMPUTED_VALUE"""),44755.66666666667)</f>
        <v>44755.66667</v>
      </c>
      <c r="B615" s="2">
        <f>IFERROR(__xludf.DUMMYFUNCTION("""COMPUTED_VALUE"""),3580.0)</f>
        <v>3580</v>
      </c>
      <c r="C615" s="2">
        <f>IFERROR(__xludf.DUMMYFUNCTION("""COMPUTED_VALUE"""),3610.0)</f>
        <v>3610</v>
      </c>
      <c r="D615" s="2">
        <f>IFERROR(__xludf.DUMMYFUNCTION("""COMPUTED_VALUE"""),3450.0)</f>
        <v>3450</v>
      </c>
      <c r="E615" s="2">
        <f>IFERROR(__xludf.DUMMYFUNCTION("""COMPUTED_VALUE"""),3470.0)</f>
        <v>3470</v>
      </c>
      <c r="F615" s="2">
        <f>IFERROR(__xludf.DUMMYFUNCTION("""COMPUTED_VALUE"""),3464200.0)</f>
        <v>3464200</v>
      </c>
      <c r="G615" s="2">
        <f t="shared" si="1"/>
        <v>160</v>
      </c>
    </row>
    <row r="616" ht="15.75" customHeight="1">
      <c r="A616" s="1">
        <f>IFERROR(__xludf.DUMMYFUNCTION("""COMPUTED_VALUE"""),44756.66666666667)</f>
        <v>44756.66667</v>
      </c>
      <c r="B616" s="2">
        <f>IFERROR(__xludf.DUMMYFUNCTION("""COMPUTED_VALUE"""),3470.0)</f>
        <v>3470</v>
      </c>
      <c r="C616" s="2">
        <f>IFERROR(__xludf.DUMMYFUNCTION("""COMPUTED_VALUE"""),3540.0)</f>
        <v>3540</v>
      </c>
      <c r="D616" s="2">
        <f>IFERROR(__xludf.DUMMYFUNCTION("""COMPUTED_VALUE"""),3450.0)</f>
        <v>3450</v>
      </c>
      <c r="E616" s="2">
        <f>IFERROR(__xludf.DUMMYFUNCTION("""COMPUTED_VALUE"""),3530.0)</f>
        <v>3530</v>
      </c>
      <c r="F616" s="2">
        <f>IFERROR(__xludf.DUMMYFUNCTION("""COMPUTED_VALUE"""),1254600.0)</f>
        <v>1254600</v>
      </c>
      <c r="G616" s="2">
        <f t="shared" si="1"/>
        <v>90</v>
      </c>
    </row>
    <row r="617" ht="15.75" customHeight="1">
      <c r="A617" s="1">
        <f>IFERROR(__xludf.DUMMYFUNCTION("""COMPUTED_VALUE"""),44757.66666666667)</f>
        <v>44757.66667</v>
      </c>
      <c r="B617" s="2">
        <f>IFERROR(__xludf.DUMMYFUNCTION("""COMPUTED_VALUE"""),3570.0)</f>
        <v>3570</v>
      </c>
      <c r="C617" s="2">
        <f>IFERROR(__xludf.DUMMYFUNCTION("""COMPUTED_VALUE"""),3570.0)</f>
        <v>3570</v>
      </c>
      <c r="D617" s="2">
        <f>IFERROR(__xludf.DUMMYFUNCTION("""COMPUTED_VALUE"""),3500.0)</f>
        <v>3500</v>
      </c>
      <c r="E617" s="2">
        <f>IFERROR(__xludf.DUMMYFUNCTION("""COMPUTED_VALUE"""),3500.0)</f>
        <v>3500</v>
      </c>
      <c r="F617" s="2">
        <f>IFERROR(__xludf.DUMMYFUNCTION("""COMPUTED_VALUE"""),1193700.0)</f>
        <v>1193700</v>
      </c>
      <c r="G617" s="2">
        <f t="shared" si="1"/>
        <v>70</v>
      </c>
    </row>
    <row r="618" ht="15.75" customHeight="1">
      <c r="A618" s="1">
        <f>IFERROR(__xludf.DUMMYFUNCTION("""COMPUTED_VALUE"""),44760.66666666667)</f>
        <v>44760.66667</v>
      </c>
      <c r="B618" s="2">
        <f>IFERROR(__xludf.DUMMYFUNCTION("""COMPUTED_VALUE"""),3500.0)</f>
        <v>3500</v>
      </c>
      <c r="C618" s="2">
        <f>IFERROR(__xludf.DUMMYFUNCTION("""COMPUTED_VALUE"""),3540.0)</f>
        <v>3540</v>
      </c>
      <c r="D618" s="2">
        <f>IFERROR(__xludf.DUMMYFUNCTION("""COMPUTED_VALUE"""),3500.0)</f>
        <v>3500</v>
      </c>
      <c r="E618" s="2">
        <f>IFERROR(__xludf.DUMMYFUNCTION("""COMPUTED_VALUE"""),3520.0)</f>
        <v>3520</v>
      </c>
      <c r="F618" s="2">
        <f>IFERROR(__xludf.DUMMYFUNCTION("""COMPUTED_VALUE"""),444600.0)</f>
        <v>444600</v>
      </c>
      <c r="G618" s="2">
        <f t="shared" si="1"/>
        <v>40</v>
      </c>
    </row>
    <row r="619" ht="15.75" customHeight="1">
      <c r="A619" s="1">
        <f>IFERROR(__xludf.DUMMYFUNCTION("""COMPUTED_VALUE"""),44761.66666666667)</f>
        <v>44761.66667</v>
      </c>
      <c r="B619" s="2">
        <f>IFERROR(__xludf.DUMMYFUNCTION("""COMPUTED_VALUE"""),3520.0)</f>
        <v>3520</v>
      </c>
      <c r="C619" s="2">
        <f>IFERROR(__xludf.DUMMYFUNCTION("""COMPUTED_VALUE"""),3600.0)</f>
        <v>3600</v>
      </c>
      <c r="D619" s="2">
        <f>IFERROR(__xludf.DUMMYFUNCTION("""COMPUTED_VALUE"""),3520.0)</f>
        <v>3520</v>
      </c>
      <c r="E619" s="2">
        <f>IFERROR(__xludf.DUMMYFUNCTION("""COMPUTED_VALUE"""),3580.0)</f>
        <v>3580</v>
      </c>
      <c r="F619" s="2">
        <f>IFERROR(__xludf.DUMMYFUNCTION("""COMPUTED_VALUE"""),3176700.0)</f>
        <v>3176700</v>
      </c>
      <c r="G619" s="2">
        <f t="shared" si="1"/>
        <v>80</v>
      </c>
    </row>
    <row r="620" ht="15.75" customHeight="1">
      <c r="A620" s="1">
        <f>IFERROR(__xludf.DUMMYFUNCTION("""COMPUTED_VALUE"""),44762.66666666667)</f>
        <v>44762.66667</v>
      </c>
      <c r="B620" s="2">
        <f>IFERROR(__xludf.DUMMYFUNCTION("""COMPUTED_VALUE"""),3590.0)</f>
        <v>3590</v>
      </c>
      <c r="C620" s="2">
        <f>IFERROR(__xludf.DUMMYFUNCTION("""COMPUTED_VALUE"""),3640.0)</f>
        <v>3640</v>
      </c>
      <c r="D620" s="2">
        <f>IFERROR(__xludf.DUMMYFUNCTION("""COMPUTED_VALUE"""),3500.0)</f>
        <v>3500</v>
      </c>
      <c r="E620" s="2">
        <f>IFERROR(__xludf.DUMMYFUNCTION("""COMPUTED_VALUE"""),3540.0)</f>
        <v>3540</v>
      </c>
      <c r="F620" s="2">
        <f>IFERROR(__xludf.DUMMYFUNCTION("""COMPUTED_VALUE"""),1.39294E7)</f>
        <v>13929400</v>
      </c>
      <c r="G620" s="2">
        <f t="shared" si="1"/>
        <v>140</v>
      </c>
    </row>
    <row r="621" ht="15.75" customHeight="1">
      <c r="A621" s="1">
        <f>IFERROR(__xludf.DUMMYFUNCTION("""COMPUTED_VALUE"""),44763.66666666667)</f>
        <v>44763.66667</v>
      </c>
      <c r="B621" s="2">
        <f>IFERROR(__xludf.DUMMYFUNCTION("""COMPUTED_VALUE"""),3540.0)</f>
        <v>3540</v>
      </c>
      <c r="C621" s="2">
        <f>IFERROR(__xludf.DUMMYFUNCTION("""COMPUTED_VALUE"""),3550.0)</f>
        <v>3550</v>
      </c>
      <c r="D621" s="2">
        <f>IFERROR(__xludf.DUMMYFUNCTION("""COMPUTED_VALUE"""),3490.0)</f>
        <v>3490</v>
      </c>
      <c r="E621" s="2">
        <f>IFERROR(__xludf.DUMMYFUNCTION("""COMPUTED_VALUE"""),3520.0)</f>
        <v>3520</v>
      </c>
      <c r="F621" s="2">
        <f>IFERROR(__xludf.DUMMYFUNCTION("""COMPUTED_VALUE"""),3168400.0)</f>
        <v>3168400</v>
      </c>
      <c r="G621" s="2">
        <f t="shared" si="1"/>
        <v>60</v>
      </c>
    </row>
    <row r="622" ht="15.75" customHeight="1">
      <c r="A622" s="1">
        <f>IFERROR(__xludf.DUMMYFUNCTION("""COMPUTED_VALUE"""),44764.66666666667)</f>
        <v>44764.66667</v>
      </c>
      <c r="B622" s="2">
        <f>IFERROR(__xludf.DUMMYFUNCTION("""COMPUTED_VALUE"""),3560.0)</f>
        <v>3560</v>
      </c>
      <c r="C622" s="2">
        <f>IFERROR(__xludf.DUMMYFUNCTION("""COMPUTED_VALUE"""),3560.0)</f>
        <v>3560</v>
      </c>
      <c r="D622" s="2">
        <f>IFERROR(__xludf.DUMMYFUNCTION("""COMPUTED_VALUE"""),3500.0)</f>
        <v>3500</v>
      </c>
      <c r="E622" s="2">
        <f>IFERROR(__xludf.DUMMYFUNCTION("""COMPUTED_VALUE"""),3510.0)</f>
        <v>3510</v>
      </c>
      <c r="F622" s="2">
        <f>IFERROR(__xludf.DUMMYFUNCTION("""COMPUTED_VALUE"""),2481300.0)</f>
        <v>2481300</v>
      </c>
      <c r="G622" s="2">
        <f t="shared" si="1"/>
        <v>60</v>
      </c>
    </row>
    <row r="623" ht="15.75" customHeight="1">
      <c r="A623" s="1">
        <f>IFERROR(__xludf.DUMMYFUNCTION("""COMPUTED_VALUE"""),44767.66666666667)</f>
        <v>44767.66667</v>
      </c>
      <c r="B623" s="2">
        <f>IFERROR(__xludf.DUMMYFUNCTION("""COMPUTED_VALUE"""),3510.0)</f>
        <v>3510</v>
      </c>
      <c r="C623" s="2">
        <f>IFERROR(__xludf.DUMMYFUNCTION("""COMPUTED_VALUE"""),3530.0)</f>
        <v>3530</v>
      </c>
      <c r="D623" s="2">
        <f>IFERROR(__xludf.DUMMYFUNCTION("""COMPUTED_VALUE"""),3500.0)</f>
        <v>3500</v>
      </c>
      <c r="E623" s="2">
        <f>IFERROR(__xludf.DUMMYFUNCTION("""COMPUTED_VALUE"""),3520.0)</f>
        <v>3520</v>
      </c>
      <c r="F623" s="2">
        <f>IFERROR(__xludf.DUMMYFUNCTION("""COMPUTED_VALUE"""),2354100.0)</f>
        <v>2354100</v>
      </c>
      <c r="G623" s="2">
        <f t="shared" si="1"/>
        <v>30</v>
      </c>
    </row>
    <row r="624" ht="15.75" customHeight="1">
      <c r="A624" s="1">
        <f>IFERROR(__xludf.DUMMYFUNCTION("""COMPUTED_VALUE"""),44768.66666666667)</f>
        <v>44768.66667</v>
      </c>
      <c r="B624" s="2">
        <f>IFERROR(__xludf.DUMMYFUNCTION("""COMPUTED_VALUE"""),3540.0)</f>
        <v>3540</v>
      </c>
      <c r="C624" s="2">
        <f>IFERROR(__xludf.DUMMYFUNCTION("""COMPUTED_VALUE"""),3540.0)</f>
        <v>3540</v>
      </c>
      <c r="D624" s="2">
        <f>IFERROR(__xludf.DUMMYFUNCTION("""COMPUTED_VALUE"""),3500.0)</f>
        <v>3500</v>
      </c>
      <c r="E624" s="2">
        <f>IFERROR(__xludf.DUMMYFUNCTION("""COMPUTED_VALUE"""),3510.0)</f>
        <v>3510</v>
      </c>
      <c r="F624" s="2">
        <f>IFERROR(__xludf.DUMMYFUNCTION("""COMPUTED_VALUE"""),2036400.0)</f>
        <v>2036400</v>
      </c>
      <c r="G624" s="2">
        <f t="shared" si="1"/>
        <v>40</v>
      </c>
    </row>
    <row r="625" ht="15.75" customHeight="1">
      <c r="A625" s="1">
        <f>IFERROR(__xludf.DUMMYFUNCTION("""COMPUTED_VALUE"""),44769.66666666667)</f>
        <v>44769.66667</v>
      </c>
      <c r="B625" s="2">
        <f>IFERROR(__xludf.DUMMYFUNCTION("""COMPUTED_VALUE"""),3510.0)</f>
        <v>3510</v>
      </c>
      <c r="C625" s="2">
        <f>IFERROR(__xludf.DUMMYFUNCTION("""COMPUTED_VALUE"""),3530.0)</f>
        <v>3530</v>
      </c>
      <c r="D625" s="2">
        <f>IFERROR(__xludf.DUMMYFUNCTION("""COMPUTED_VALUE"""),3490.0)</f>
        <v>3490</v>
      </c>
      <c r="E625" s="2">
        <f>IFERROR(__xludf.DUMMYFUNCTION("""COMPUTED_VALUE"""),3510.0)</f>
        <v>3510</v>
      </c>
      <c r="F625" s="2">
        <f>IFERROR(__xludf.DUMMYFUNCTION("""COMPUTED_VALUE"""),2258100.0)</f>
        <v>2258100</v>
      </c>
      <c r="G625" s="2">
        <f t="shared" si="1"/>
        <v>40</v>
      </c>
    </row>
    <row r="626" ht="15.75" customHeight="1">
      <c r="A626" s="1">
        <f>IFERROR(__xludf.DUMMYFUNCTION("""COMPUTED_VALUE"""),44770.66666666667)</f>
        <v>44770.66667</v>
      </c>
      <c r="B626" s="2">
        <f>IFERROR(__xludf.DUMMYFUNCTION("""COMPUTED_VALUE"""),3520.0)</f>
        <v>3520</v>
      </c>
      <c r="C626" s="2">
        <f>IFERROR(__xludf.DUMMYFUNCTION("""COMPUTED_VALUE"""),3620.0)</f>
        <v>3620</v>
      </c>
      <c r="D626" s="2">
        <f>IFERROR(__xludf.DUMMYFUNCTION("""COMPUTED_VALUE"""),3510.0)</f>
        <v>3510</v>
      </c>
      <c r="E626" s="2">
        <f>IFERROR(__xludf.DUMMYFUNCTION("""COMPUTED_VALUE"""),3580.0)</f>
        <v>3580</v>
      </c>
      <c r="F626" s="2">
        <f>IFERROR(__xludf.DUMMYFUNCTION("""COMPUTED_VALUE"""),5221500.0)</f>
        <v>5221500</v>
      </c>
      <c r="G626" s="2">
        <f t="shared" si="1"/>
        <v>110</v>
      </c>
    </row>
    <row r="627" ht="15.75" customHeight="1">
      <c r="A627" s="1">
        <f>IFERROR(__xludf.DUMMYFUNCTION("""COMPUTED_VALUE"""),44771.66666666667)</f>
        <v>44771.66667</v>
      </c>
      <c r="B627" s="2">
        <f>IFERROR(__xludf.DUMMYFUNCTION("""COMPUTED_VALUE"""),3620.0)</f>
        <v>3620</v>
      </c>
      <c r="C627" s="2">
        <f>IFERROR(__xludf.DUMMYFUNCTION("""COMPUTED_VALUE"""),3640.0)</f>
        <v>3640</v>
      </c>
      <c r="D627" s="2">
        <f>IFERROR(__xludf.DUMMYFUNCTION("""COMPUTED_VALUE"""),3550.0)</f>
        <v>3550</v>
      </c>
      <c r="E627" s="2">
        <f>IFERROR(__xludf.DUMMYFUNCTION("""COMPUTED_VALUE"""),3560.0)</f>
        <v>3560</v>
      </c>
      <c r="F627" s="2">
        <f>IFERROR(__xludf.DUMMYFUNCTION("""COMPUTED_VALUE"""),4022500.0)</f>
        <v>4022500</v>
      </c>
      <c r="G627" s="2">
        <f t="shared" si="1"/>
        <v>90</v>
      </c>
    </row>
    <row r="628" ht="15.75" customHeight="1">
      <c r="A628" s="1">
        <f>IFERROR(__xludf.DUMMYFUNCTION("""COMPUTED_VALUE"""),44774.66666666667)</f>
        <v>44774.66667</v>
      </c>
      <c r="B628" s="2">
        <f>IFERROR(__xludf.DUMMYFUNCTION("""COMPUTED_VALUE"""),3550.0)</f>
        <v>3550</v>
      </c>
      <c r="C628" s="2">
        <f>IFERROR(__xludf.DUMMYFUNCTION("""COMPUTED_VALUE"""),3590.0)</f>
        <v>3590</v>
      </c>
      <c r="D628" s="2">
        <f>IFERROR(__xludf.DUMMYFUNCTION("""COMPUTED_VALUE"""),3520.0)</f>
        <v>3520</v>
      </c>
      <c r="E628" s="2">
        <f>IFERROR(__xludf.DUMMYFUNCTION("""COMPUTED_VALUE"""),3520.0)</f>
        <v>3520</v>
      </c>
      <c r="F628" s="2">
        <f>IFERROR(__xludf.DUMMYFUNCTION("""COMPUTED_VALUE"""),2857800.0)</f>
        <v>2857800</v>
      </c>
      <c r="G628" s="2">
        <f t="shared" si="1"/>
        <v>70</v>
      </c>
    </row>
    <row r="629" ht="15.75" customHeight="1">
      <c r="A629" s="1">
        <f>IFERROR(__xludf.DUMMYFUNCTION("""COMPUTED_VALUE"""),44775.66666666667)</f>
        <v>44775.66667</v>
      </c>
      <c r="B629" s="2">
        <f>IFERROR(__xludf.DUMMYFUNCTION("""COMPUTED_VALUE"""),3530.0)</f>
        <v>3530</v>
      </c>
      <c r="C629" s="2">
        <f>IFERROR(__xludf.DUMMYFUNCTION("""COMPUTED_VALUE"""),3540.0)</f>
        <v>3540</v>
      </c>
      <c r="D629" s="2">
        <f>IFERROR(__xludf.DUMMYFUNCTION("""COMPUTED_VALUE"""),3450.0)</f>
        <v>3450</v>
      </c>
      <c r="E629" s="2">
        <f>IFERROR(__xludf.DUMMYFUNCTION("""COMPUTED_VALUE"""),3450.0)</f>
        <v>3450</v>
      </c>
      <c r="F629" s="2">
        <f>IFERROR(__xludf.DUMMYFUNCTION("""COMPUTED_VALUE"""),6012800.0)</f>
        <v>6012800</v>
      </c>
      <c r="G629" s="2">
        <f t="shared" si="1"/>
        <v>90</v>
      </c>
    </row>
    <row r="630" ht="15.75" customHeight="1">
      <c r="A630" s="1">
        <f>IFERROR(__xludf.DUMMYFUNCTION("""COMPUTED_VALUE"""),44776.66666666667)</f>
        <v>44776.66667</v>
      </c>
      <c r="B630" s="2">
        <f>IFERROR(__xludf.DUMMYFUNCTION("""COMPUTED_VALUE"""),3470.0)</f>
        <v>3470</v>
      </c>
      <c r="C630" s="2">
        <f>IFERROR(__xludf.DUMMYFUNCTION("""COMPUTED_VALUE"""),3520.0)</f>
        <v>3520</v>
      </c>
      <c r="D630" s="2">
        <f>IFERROR(__xludf.DUMMYFUNCTION("""COMPUTED_VALUE"""),3470.0)</f>
        <v>3470</v>
      </c>
      <c r="E630" s="2">
        <f>IFERROR(__xludf.DUMMYFUNCTION("""COMPUTED_VALUE"""),3480.0)</f>
        <v>3480</v>
      </c>
      <c r="F630" s="2">
        <f>IFERROR(__xludf.DUMMYFUNCTION("""COMPUTED_VALUE"""),1235300.0)</f>
        <v>1235300</v>
      </c>
      <c r="G630" s="2">
        <f t="shared" si="1"/>
        <v>70</v>
      </c>
    </row>
    <row r="631" ht="15.75" customHeight="1">
      <c r="A631" s="1">
        <f>IFERROR(__xludf.DUMMYFUNCTION("""COMPUTED_VALUE"""),44777.66666666667)</f>
        <v>44777.66667</v>
      </c>
      <c r="B631" s="2">
        <f>IFERROR(__xludf.DUMMYFUNCTION("""COMPUTED_VALUE"""),3490.0)</f>
        <v>3490</v>
      </c>
      <c r="C631" s="2">
        <f>IFERROR(__xludf.DUMMYFUNCTION("""COMPUTED_VALUE"""),3510.0)</f>
        <v>3510</v>
      </c>
      <c r="D631" s="2">
        <f>IFERROR(__xludf.DUMMYFUNCTION("""COMPUTED_VALUE"""),3440.0)</f>
        <v>3440</v>
      </c>
      <c r="E631" s="2">
        <f>IFERROR(__xludf.DUMMYFUNCTION("""COMPUTED_VALUE"""),3450.0)</f>
        <v>3450</v>
      </c>
      <c r="F631" s="2">
        <f>IFERROR(__xludf.DUMMYFUNCTION("""COMPUTED_VALUE"""),6218300.0)</f>
        <v>6218300</v>
      </c>
      <c r="G631" s="2">
        <f t="shared" si="1"/>
        <v>70</v>
      </c>
    </row>
    <row r="632" ht="15.75" customHeight="1">
      <c r="A632" s="1">
        <f>IFERROR(__xludf.DUMMYFUNCTION("""COMPUTED_VALUE"""),44778.66666666667)</f>
        <v>44778.66667</v>
      </c>
      <c r="B632" s="2">
        <f>IFERROR(__xludf.DUMMYFUNCTION("""COMPUTED_VALUE"""),3450.0)</f>
        <v>3450</v>
      </c>
      <c r="C632" s="2">
        <f>IFERROR(__xludf.DUMMYFUNCTION("""COMPUTED_VALUE"""),3500.0)</f>
        <v>3500</v>
      </c>
      <c r="D632" s="2">
        <f>IFERROR(__xludf.DUMMYFUNCTION("""COMPUTED_VALUE"""),3440.0)</f>
        <v>3440</v>
      </c>
      <c r="E632" s="2">
        <f>IFERROR(__xludf.DUMMYFUNCTION("""COMPUTED_VALUE"""),3460.0)</f>
        <v>3460</v>
      </c>
      <c r="F632" s="2">
        <f>IFERROR(__xludf.DUMMYFUNCTION("""COMPUTED_VALUE"""),8067500.0)</f>
        <v>8067500</v>
      </c>
      <c r="G632" s="2">
        <f t="shared" si="1"/>
        <v>60</v>
      </c>
    </row>
    <row r="633" ht="15.75" customHeight="1">
      <c r="A633" s="1">
        <f>IFERROR(__xludf.DUMMYFUNCTION("""COMPUTED_VALUE"""),44781.66666666667)</f>
        <v>44781.66667</v>
      </c>
      <c r="B633" s="2">
        <f>IFERROR(__xludf.DUMMYFUNCTION("""COMPUTED_VALUE"""),3470.0)</f>
        <v>3470</v>
      </c>
      <c r="C633" s="2">
        <f>IFERROR(__xludf.DUMMYFUNCTION("""COMPUTED_VALUE"""),3490.0)</f>
        <v>3490</v>
      </c>
      <c r="D633" s="2">
        <f>IFERROR(__xludf.DUMMYFUNCTION("""COMPUTED_VALUE"""),3410.0)</f>
        <v>3410</v>
      </c>
      <c r="E633" s="2">
        <f>IFERROR(__xludf.DUMMYFUNCTION("""COMPUTED_VALUE"""),3420.0)</f>
        <v>3420</v>
      </c>
      <c r="F633" s="2">
        <f>IFERROR(__xludf.DUMMYFUNCTION("""COMPUTED_VALUE"""),8163800.0)</f>
        <v>8163800</v>
      </c>
      <c r="G633" s="2">
        <f t="shared" si="1"/>
        <v>80</v>
      </c>
    </row>
    <row r="634" ht="15.75" customHeight="1">
      <c r="A634" s="1">
        <f>IFERROR(__xludf.DUMMYFUNCTION("""COMPUTED_VALUE"""),44782.66666666667)</f>
        <v>44782.66667</v>
      </c>
      <c r="B634" s="2">
        <f>IFERROR(__xludf.DUMMYFUNCTION("""COMPUTED_VALUE"""),3430.0)</f>
        <v>3430</v>
      </c>
      <c r="C634" s="2">
        <f>IFERROR(__xludf.DUMMYFUNCTION("""COMPUTED_VALUE"""),3450.0)</f>
        <v>3450</v>
      </c>
      <c r="D634" s="2">
        <f>IFERROR(__xludf.DUMMYFUNCTION("""COMPUTED_VALUE"""),3410.0)</f>
        <v>3410</v>
      </c>
      <c r="E634" s="2">
        <f>IFERROR(__xludf.DUMMYFUNCTION("""COMPUTED_VALUE"""),3420.0)</f>
        <v>3420</v>
      </c>
      <c r="F634" s="2">
        <f>IFERROR(__xludf.DUMMYFUNCTION("""COMPUTED_VALUE"""),6581400.0)</f>
        <v>6581400</v>
      </c>
      <c r="G634" s="2">
        <f t="shared" si="1"/>
        <v>40</v>
      </c>
    </row>
    <row r="635" ht="15.75" customHeight="1">
      <c r="A635" s="1">
        <f>IFERROR(__xludf.DUMMYFUNCTION("""COMPUTED_VALUE"""),44783.66666666667)</f>
        <v>44783.66667</v>
      </c>
      <c r="B635" s="2">
        <f>IFERROR(__xludf.DUMMYFUNCTION("""COMPUTED_VALUE"""),3420.0)</f>
        <v>3420</v>
      </c>
      <c r="C635" s="2">
        <f>IFERROR(__xludf.DUMMYFUNCTION("""COMPUTED_VALUE"""),3450.0)</f>
        <v>3450</v>
      </c>
      <c r="D635" s="2">
        <f>IFERROR(__xludf.DUMMYFUNCTION("""COMPUTED_VALUE"""),3400.0)</f>
        <v>3400</v>
      </c>
      <c r="E635" s="2">
        <f>IFERROR(__xludf.DUMMYFUNCTION("""COMPUTED_VALUE"""),3450.0)</f>
        <v>3450</v>
      </c>
      <c r="F635" s="2">
        <f>IFERROR(__xludf.DUMMYFUNCTION("""COMPUTED_VALUE"""),6646100.0)</f>
        <v>6646100</v>
      </c>
      <c r="G635" s="2">
        <f t="shared" si="1"/>
        <v>50</v>
      </c>
    </row>
    <row r="636" ht="15.75" customHeight="1">
      <c r="A636" s="1">
        <f>IFERROR(__xludf.DUMMYFUNCTION("""COMPUTED_VALUE"""),44784.66666666667)</f>
        <v>44784.66667</v>
      </c>
      <c r="B636" s="2">
        <f>IFERROR(__xludf.DUMMYFUNCTION("""COMPUTED_VALUE"""),3460.0)</f>
        <v>3460</v>
      </c>
      <c r="C636" s="2">
        <f>IFERROR(__xludf.DUMMYFUNCTION("""COMPUTED_VALUE"""),3570.0)</f>
        <v>3570</v>
      </c>
      <c r="D636" s="2">
        <f>IFERROR(__xludf.DUMMYFUNCTION("""COMPUTED_VALUE"""),3450.0)</f>
        <v>3450</v>
      </c>
      <c r="E636" s="2">
        <f>IFERROR(__xludf.DUMMYFUNCTION("""COMPUTED_VALUE"""),3550.0)</f>
        <v>3550</v>
      </c>
      <c r="F636" s="2">
        <f>IFERROR(__xludf.DUMMYFUNCTION("""COMPUTED_VALUE"""),1.53296E7)</f>
        <v>15329600</v>
      </c>
      <c r="G636" s="2">
        <f t="shared" si="1"/>
        <v>120</v>
      </c>
    </row>
    <row r="637" ht="15.75" customHeight="1">
      <c r="A637" s="1">
        <f>IFERROR(__xludf.DUMMYFUNCTION("""COMPUTED_VALUE"""),44785.66666666667)</f>
        <v>44785.66667</v>
      </c>
      <c r="B637" s="2">
        <f>IFERROR(__xludf.DUMMYFUNCTION("""COMPUTED_VALUE"""),3590.0)</f>
        <v>3590</v>
      </c>
      <c r="C637" s="2">
        <f>IFERROR(__xludf.DUMMYFUNCTION("""COMPUTED_VALUE"""),3590.0)</f>
        <v>3590</v>
      </c>
      <c r="D637" s="2">
        <f>IFERROR(__xludf.DUMMYFUNCTION("""COMPUTED_VALUE"""),3490.0)</f>
        <v>3490</v>
      </c>
      <c r="E637" s="2">
        <f>IFERROR(__xludf.DUMMYFUNCTION("""COMPUTED_VALUE"""),3490.0)</f>
        <v>3490</v>
      </c>
      <c r="F637" s="2">
        <f>IFERROR(__xludf.DUMMYFUNCTION("""COMPUTED_VALUE"""),8513700.0)</f>
        <v>8513700</v>
      </c>
      <c r="G637" s="2">
        <f t="shared" si="1"/>
        <v>100</v>
      </c>
    </row>
    <row r="638" ht="15.75" customHeight="1">
      <c r="A638" s="1">
        <f>IFERROR(__xludf.DUMMYFUNCTION("""COMPUTED_VALUE"""),44788.66666666667)</f>
        <v>44788.66667</v>
      </c>
      <c r="B638" s="2">
        <f>IFERROR(__xludf.DUMMYFUNCTION("""COMPUTED_VALUE"""),3520.0)</f>
        <v>3520</v>
      </c>
      <c r="C638" s="2">
        <f>IFERROR(__xludf.DUMMYFUNCTION("""COMPUTED_VALUE"""),3540.0)</f>
        <v>3540</v>
      </c>
      <c r="D638" s="2">
        <f>IFERROR(__xludf.DUMMYFUNCTION("""COMPUTED_VALUE"""),3450.0)</f>
        <v>3450</v>
      </c>
      <c r="E638" s="2">
        <f>IFERROR(__xludf.DUMMYFUNCTION("""COMPUTED_VALUE"""),3460.0)</f>
        <v>3460</v>
      </c>
      <c r="F638" s="2">
        <f>IFERROR(__xludf.DUMMYFUNCTION("""COMPUTED_VALUE"""),5873400.0)</f>
        <v>5873400</v>
      </c>
      <c r="G638" s="2">
        <f t="shared" si="1"/>
        <v>90</v>
      </c>
    </row>
    <row r="639" ht="15.75" customHeight="1">
      <c r="A639" s="1">
        <f>IFERROR(__xludf.DUMMYFUNCTION("""COMPUTED_VALUE"""),44789.66666666667)</f>
        <v>44789.66667</v>
      </c>
      <c r="B639" s="2">
        <f>IFERROR(__xludf.DUMMYFUNCTION("""COMPUTED_VALUE"""),3470.0)</f>
        <v>3470</v>
      </c>
      <c r="C639" s="2">
        <f>IFERROR(__xludf.DUMMYFUNCTION("""COMPUTED_VALUE"""),3510.0)</f>
        <v>3510</v>
      </c>
      <c r="D639" s="2">
        <f>IFERROR(__xludf.DUMMYFUNCTION("""COMPUTED_VALUE"""),3470.0)</f>
        <v>3470</v>
      </c>
      <c r="E639" s="2">
        <f>IFERROR(__xludf.DUMMYFUNCTION("""COMPUTED_VALUE"""),3500.0)</f>
        <v>3500</v>
      </c>
      <c r="F639" s="2">
        <f>IFERROR(__xludf.DUMMYFUNCTION("""COMPUTED_VALUE"""),2918000.0)</f>
        <v>2918000</v>
      </c>
      <c r="G639" s="2">
        <f t="shared" si="1"/>
        <v>50</v>
      </c>
    </row>
    <row r="640" ht="15.75" customHeight="1">
      <c r="A640" s="1">
        <f>IFERROR(__xludf.DUMMYFUNCTION("""COMPUTED_VALUE"""),44791.66666666667)</f>
        <v>44791.66667</v>
      </c>
      <c r="B640" s="2">
        <f>IFERROR(__xludf.DUMMYFUNCTION("""COMPUTED_VALUE"""),3500.0)</f>
        <v>3500</v>
      </c>
      <c r="C640" s="2">
        <f>IFERROR(__xludf.DUMMYFUNCTION("""COMPUTED_VALUE"""),3530.0)</f>
        <v>3530</v>
      </c>
      <c r="D640" s="2">
        <f>IFERROR(__xludf.DUMMYFUNCTION("""COMPUTED_VALUE"""),3470.0)</f>
        <v>3470</v>
      </c>
      <c r="E640" s="2">
        <f>IFERROR(__xludf.DUMMYFUNCTION("""COMPUTED_VALUE"""),3500.0)</f>
        <v>3500</v>
      </c>
      <c r="F640" s="2">
        <f>IFERROR(__xludf.DUMMYFUNCTION("""COMPUTED_VALUE"""),2907700.0)</f>
        <v>2907700</v>
      </c>
      <c r="G640" s="2">
        <f t="shared" si="1"/>
        <v>60</v>
      </c>
    </row>
    <row r="641" ht="15.75" customHeight="1">
      <c r="A641" s="1">
        <f>IFERROR(__xludf.DUMMYFUNCTION("""COMPUTED_VALUE"""),44792.66666666667)</f>
        <v>44792.66667</v>
      </c>
      <c r="B641" s="2">
        <f>IFERROR(__xludf.DUMMYFUNCTION("""COMPUTED_VALUE"""),3500.0)</f>
        <v>3500</v>
      </c>
      <c r="C641" s="2">
        <f>IFERROR(__xludf.DUMMYFUNCTION("""COMPUTED_VALUE"""),3530.0)</f>
        <v>3530</v>
      </c>
      <c r="D641" s="2">
        <f>IFERROR(__xludf.DUMMYFUNCTION("""COMPUTED_VALUE"""),3480.0)</f>
        <v>3480</v>
      </c>
      <c r="E641" s="2">
        <f>IFERROR(__xludf.DUMMYFUNCTION("""COMPUTED_VALUE"""),3500.0)</f>
        <v>3500</v>
      </c>
      <c r="F641" s="2">
        <f>IFERROR(__xludf.DUMMYFUNCTION("""COMPUTED_VALUE"""),5002800.0)</f>
        <v>5002800</v>
      </c>
      <c r="G641" s="2">
        <f t="shared" si="1"/>
        <v>50</v>
      </c>
    </row>
    <row r="642" ht="15.75" customHeight="1">
      <c r="A642" s="1">
        <f>IFERROR(__xludf.DUMMYFUNCTION("""COMPUTED_VALUE"""),44795.66666666667)</f>
        <v>44795.66667</v>
      </c>
      <c r="B642" s="2">
        <f>IFERROR(__xludf.DUMMYFUNCTION("""COMPUTED_VALUE"""),3500.0)</f>
        <v>3500</v>
      </c>
      <c r="C642" s="2">
        <f>IFERROR(__xludf.DUMMYFUNCTION("""COMPUTED_VALUE"""),3520.0)</f>
        <v>3520</v>
      </c>
      <c r="D642" s="2">
        <f>IFERROR(__xludf.DUMMYFUNCTION("""COMPUTED_VALUE"""),3450.0)</f>
        <v>3450</v>
      </c>
      <c r="E642" s="2">
        <f>IFERROR(__xludf.DUMMYFUNCTION("""COMPUTED_VALUE"""),3500.0)</f>
        <v>3500</v>
      </c>
      <c r="F642" s="2">
        <f>IFERROR(__xludf.DUMMYFUNCTION("""COMPUTED_VALUE"""),3800300.0)</f>
        <v>3800300</v>
      </c>
      <c r="G642" s="2">
        <f t="shared" si="1"/>
        <v>70</v>
      </c>
    </row>
    <row r="643" ht="15.75" customHeight="1">
      <c r="A643" s="1">
        <f>IFERROR(__xludf.DUMMYFUNCTION("""COMPUTED_VALUE"""),44796.66666666667)</f>
        <v>44796.66667</v>
      </c>
      <c r="B643" s="2">
        <f>IFERROR(__xludf.DUMMYFUNCTION("""COMPUTED_VALUE"""),3500.0)</f>
        <v>3500</v>
      </c>
      <c r="C643" s="2">
        <f>IFERROR(__xludf.DUMMYFUNCTION("""COMPUTED_VALUE"""),3540.0)</f>
        <v>3540</v>
      </c>
      <c r="D643" s="2">
        <f>IFERROR(__xludf.DUMMYFUNCTION("""COMPUTED_VALUE"""),3480.0)</f>
        <v>3480</v>
      </c>
      <c r="E643" s="2">
        <f>IFERROR(__xludf.DUMMYFUNCTION("""COMPUTED_VALUE"""),3490.0)</f>
        <v>3490</v>
      </c>
      <c r="F643" s="2">
        <f>IFERROR(__xludf.DUMMYFUNCTION("""COMPUTED_VALUE"""),3639400.0)</f>
        <v>3639400</v>
      </c>
      <c r="G643" s="2">
        <f t="shared" si="1"/>
        <v>60</v>
      </c>
    </row>
    <row r="644" ht="15.75" customHeight="1">
      <c r="A644" s="1">
        <f>IFERROR(__xludf.DUMMYFUNCTION("""COMPUTED_VALUE"""),44797.66666666667)</f>
        <v>44797.66667</v>
      </c>
      <c r="B644" s="2">
        <f>IFERROR(__xludf.DUMMYFUNCTION("""COMPUTED_VALUE"""),3490.0)</f>
        <v>3490</v>
      </c>
      <c r="C644" s="2">
        <f>IFERROR(__xludf.DUMMYFUNCTION("""COMPUTED_VALUE"""),3520.0)</f>
        <v>3520</v>
      </c>
      <c r="D644" s="2">
        <f>IFERROR(__xludf.DUMMYFUNCTION("""COMPUTED_VALUE"""),3460.0)</f>
        <v>3460</v>
      </c>
      <c r="E644" s="2">
        <f>IFERROR(__xludf.DUMMYFUNCTION("""COMPUTED_VALUE"""),3470.0)</f>
        <v>3470</v>
      </c>
      <c r="F644" s="2">
        <f>IFERROR(__xludf.DUMMYFUNCTION("""COMPUTED_VALUE"""),4890500.0)</f>
        <v>4890500</v>
      </c>
      <c r="G644" s="2">
        <f t="shared" si="1"/>
        <v>60</v>
      </c>
    </row>
    <row r="645" ht="15.75" customHeight="1">
      <c r="A645" s="1">
        <f>IFERROR(__xludf.DUMMYFUNCTION("""COMPUTED_VALUE"""),44798.66666666667)</f>
        <v>44798.66667</v>
      </c>
      <c r="B645" s="2">
        <f>IFERROR(__xludf.DUMMYFUNCTION("""COMPUTED_VALUE"""),3490.0)</f>
        <v>3490</v>
      </c>
      <c r="C645" s="2">
        <f>IFERROR(__xludf.DUMMYFUNCTION("""COMPUTED_VALUE"""),3500.0)</f>
        <v>3500</v>
      </c>
      <c r="D645" s="2">
        <f>IFERROR(__xludf.DUMMYFUNCTION("""COMPUTED_VALUE"""),3460.0)</f>
        <v>3460</v>
      </c>
      <c r="E645" s="2">
        <f>IFERROR(__xludf.DUMMYFUNCTION("""COMPUTED_VALUE"""),3480.0)</f>
        <v>3480</v>
      </c>
      <c r="F645" s="2">
        <f>IFERROR(__xludf.DUMMYFUNCTION("""COMPUTED_VALUE"""),3287700.0)</f>
        <v>3287700</v>
      </c>
      <c r="G645" s="2">
        <f t="shared" si="1"/>
        <v>40</v>
      </c>
    </row>
    <row r="646" ht="15.75" customHeight="1">
      <c r="A646" s="1">
        <f>IFERROR(__xludf.DUMMYFUNCTION("""COMPUTED_VALUE"""),44799.66666666667)</f>
        <v>44799.66667</v>
      </c>
      <c r="B646" s="2">
        <f>IFERROR(__xludf.DUMMYFUNCTION("""COMPUTED_VALUE"""),3520.0)</f>
        <v>3520</v>
      </c>
      <c r="C646" s="2">
        <f>IFERROR(__xludf.DUMMYFUNCTION("""COMPUTED_VALUE"""),3520.0)</f>
        <v>3520</v>
      </c>
      <c r="D646" s="2">
        <f>IFERROR(__xludf.DUMMYFUNCTION("""COMPUTED_VALUE"""),3450.0)</f>
        <v>3450</v>
      </c>
      <c r="E646" s="2">
        <f>IFERROR(__xludf.DUMMYFUNCTION("""COMPUTED_VALUE"""),3470.0)</f>
        <v>3470</v>
      </c>
      <c r="F646" s="2">
        <f>IFERROR(__xludf.DUMMYFUNCTION("""COMPUTED_VALUE"""),1891900.0)</f>
        <v>1891900</v>
      </c>
      <c r="G646" s="2">
        <f t="shared" si="1"/>
        <v>70</v>
      </c>
    </row>
    <row r="647" ht="15.75" customHeight="1">
      <c r="A647" s="1">
        <f>IFERROR(__xludf.DUMMYFUNCTION("""COMPUTED_VALUE"""),44802.66666666667)</f>
        <v>44802.66667</v>
      </c>
      <c r="B647" s="2">
        <f>IFERROR(__xludf.DUMMYFUNCTION("""COMPUTED_VALUE"""),3450.0)</f>
        <v>3450</v>
      </c>
      <c r="C647" s="2">
        <f>IFERROR(__xludf.DUMMYFUNCTION("""COMPUTED_VALUE"""),3470.0)</f>
        <v>3470</v>
      </c>
      <c r="D647" s="2">
        <f>IFERROR(__xludf.DUMMYFUNCTION("""COMPUTED_VALUE"""),3430.0)</f>
        <v>3430</v>
      </c>
      <c r="E647" s="2">
        <f>IFERROR(__xludf.DUMMYFUNCTION("""COMPUTED_VALUE"""),3450.0)</f>
        <v>3450</v>
      </c>
      <c r="F647" s="2">
        <f>IFERROR(__xludf.DUMMYFUNCTION("""COMPUTED_VALUE"""),2579300.0)</f>
        <v>2579300</v>
      </c>
      <c r="G647" s="2">
        <f t="shared" si="1"/>
        <v>40</v>
      </c>
    </row>
    <row r="648" ht="15.75" customHeight="1">
      <c r="A648" s="1">
        <f>IFERROR(__xludf.DUMMYFUNCTION("""COMPUTED_VALUE"""),44803.66666666667)</f>
        <v>44803.66667</v>
      </c>
      <c r="B648" s="2">
        <f>IFERROR(__xludf.DUMMYFUNCTION("""COMPUTED_VALUE"""),3480.0)</f>
        <v>3480</v>
      </c>
      <c r="C648" s="2">
        <f>IFERROR(__xludf.DUMMYFUNCTION("""COMPUTED_VALUE"""),3480.0)</f>
        <v>3480</v>
      </c>
      <c r="D648" s="2">
        <f>IFERROR(__xludf.DUMMYFUNCTION("""COMPUTED_VALUE"""),3440.0)</f>
        <v>3440</v>
      </c>
      <c r="E648" s="2">
        <f>IFERROR(__xludf.DUMMYFUNCTION("""COMPUTED_VALUE"""),3440.0)</f>
        <v>3440</v>
      </c>
      <c r="F648" s="2">
        <f>IFERROR(__xludf.DUMMYFUNCTION("""COMPUTED_VALUE"""),2552000.0)</f>
        <v>2552000</v>
      </c>
      <c r="G648" s="2">
        <f t="shared" si="1"/>
        <v>40</v>
      </c>
    </row>
    <row r="649" ht="15.75" customHeight="1">
      <c r="A649" s="1">
        <f>IFERROR(__xludf.DUMMYFUNCTION("""COMPUTED_VALUE"""),44804.66666666667)</f>
        <v>44804.66667</v>
      </c>
      <c r="B649" s="2">
        <f>IFERROR(__xludf.DUMMYFUNCTION("""COMPUTED_VALUE"""),3450.0)</f>
        <v>3450</v>
      </c>
      <c r="C649" s="2">
        <f>IFERROR(__xludf.DUMMYFUNCTION("""COMPUTED_VALUE"""),3460.0)</f>
        <v>3460</v>
      </c>
      <c r="D649" s="2">
        <f>IFERROR(__xludf.DUMMYFUNCTION("""COMPUTED_VALUE"""),3440.0)</f>
        <v>3440</v>
      </c>
      <c r="E649" s="2">
        <f>IFERROR(__xludf.DUMMYFUNCTION("""COMPUTED_VALUE"""),3440.0)</f>
        <v>3440</v>
      </c>
      <c r="F649" s="2">
        <f>IFERROR(__xludf.DUMMYFUNCTION("""COMPUTED_VALUE"""),2456000.0)</f>
        <v>2456000</v>
      </c>
      <c r="G649" s="2">
        <f t="shared" si="1"/>
        <v>20</v>
      </c>
    </row>
    <row r="650" ht="15.75" customHeight="1">
      <c r="A650" s="1">
        <f>IFERROR(__xludf.DUMMYFUNCTION("""COMPUTED_VALUE"""),44805.625)</f>
        <v>44805.625</v>
      </c>
      <c r="B650" s="2">
        <f>IFERROR(__xludf.DUMMYFUNCTION("""COMPUTED_VALUE"""),3440.0)</f>
        <v>3440</v>
      </c>
      <c r="C650" s="2">
        <f>IFERROR(__xludf.DUMMYFUNCTION("""COMPUTED_VALUE"""),3470.0)</f>
        <v>3470</v>
      </c>
      <c r="D650" s="2">
        <f>IFERROR(__xludf.DUMMYFUNCTION("""COMPUTED_VALUE"""),3420.0)</f>
        <v>3420</v>
      </c>
      <c r="E650" s="2">
        <f>IFERROR(__xludf.DUMMYFUNCTION("""COMPUTED_VALUE"""),3460.0)</f>
        <v>3460</v>
      </c>
      <c r="F650" s="2">
        <f>IFERROR(__xludf.DUMMYFUNCTION("""COMPUTED_VALUE"""),1703600.0)</f>
        <v>1703600</v>
      </c>
      <c r="G650" s="2">
        <f t="shared" si="1"/>
        <v>50</v>
      </c>
    </row>
    <row r="651" ht="15.75" customHeight="1">
      <c r="A651" s="1">
        <f>IFERROR(__xludf.DUMMYFUNCTION("""COMPUTED_VALUE"""),44806.625)</f>
        <v>44806.625</v>
      </c>
      <c r="B651" s="2">
        <f>IFERROR(__xludf.DUMMYFUNCTION("""COMPUTED_VALUE"""),3500.0)</f>
        <v>3500</v>
      </c>
      <c r="C651" s="2">
        <f>IFERROR(__xludf.DUMMYFUNCTION("""COMPUTED_VALUE"""),3500.0)</f>
        <v>3500</v>
      </c>
      <c r="D651" s="2">
        <f>IFERROR(__xludf.DUMMYFUNCTION("""COMPUTED_VALUE"""),3440.0)</f>
        <v>3440</v>
      </c>
      <c r="E651" s="2">
        <f>IFERROR(__xludf.DUMMYFUNCTION("""COMPUTED_VALUE"""),3450.0)</f>
        <v>3450</v>
      </c>
      <c r="F651" s="2">
        <f>IFERROR(__xludf.DUMMYFUNCTION("""COMPUTED_VALUE"""),2173700.0)</f>
        <v>2173700</v>
      </c>
      <c r="G651" s="2">
        <f t="shared" si="1"/>
        <v>60</v>
      </c>
    </row>
    <row r="652" ht="15.75" customHeight="1">
      <c r="A652" s="1">
        <f>IFERROR(__xludf.DUMMYFUNCTION("""COMPUTED_VALUE"""),44809.66666666667)</f>
        <v>44809.66667</v>
      </c>
      <c r="B652" s="2">
        <f>IFERROR(__xludf.DUMMYFUNCTION("""COMPUTED_VALUE"""),3450.0)</f>
        <v>3450</v>
      </c>
      <c r="C652" s="2">
        <f>IFERROR(__xludf.DUMMYFUNCTION("""COMPUTED_VALUE"""),3470.0)</f>
        <v>3470</v>
      </c>
      <c r="D652" s="2">
        <f>IFERROR(__xludf.DUMMYFUNCTION("""COMPUTED_VALUE"""),3420.0)</f>
        <v>3420</v>
      </c>
      <c r="E652" s="2">
        <f>IFERROR(__xludf.DUMMYFUNCTION("""COMPUTED_VALUE"""),3450.0)</f>
        <v>3450</v>
      </c>
      <c r="F652" s="2">
        <f>IFERROR(__xludf.DUMMYFUNCTION("""COMPUTED_VALUE"""),3666600.0)</f>
        <v>3666600</v>
      </c>
      <c r="G652" s="2">
        <f t="shared" si="1"/>
        <v>50</v>
      </c>
    </row>
    <row r="653" ht="15.75" customHeight="1">
      <c r="A653" s="1">
        <f>IFERROR(__xludf.DUMMYFUNCTION("""COMPUTED_VALUE"""),44810.66666666667)</f>
        <v>44810.66667</v>
      </c>
      <c r="B653" s="2">
        <f>IFERROR(__xludf.DUMMYFUNCTION("""COMPUTED_VALUE"""),3450.0)</f>
        <v>3450</v>
      </c>
      <c r="C653" s="2">
        <f>IFERROR(__xludf.DUMMYFUNCTION("""COMPUTED_VALUE"""),3470.0)</f>
        <v>3470</v>
      </c>
      <c r="D653" s="2">
        <f>IFERROR(__xludf.DUMMYFUNCTION("""COMPUTED_VALUE"""),3430.0)</f>
        <v>3430</v>
      </c>
      <c r="E653" s="2">
        <f>IFERROR(__xludf.DUMMYFUNCTION("""COMPUTED_VALUE"""),3470.0)</f>
        <v>3470</v>
      </c>
      <c r="F653" s="2">
        <f>IFERROR(__xludf.DUMMYFUNCTION("""COMPUTED_VALUE"""),2713700.0)</f>
        <v>2713700</v>
      </c>
      <c r="G653" s="2">
        <f t="shared" si="1"/>
        <v>40</v>
      </c>
    </row>
    <row r="654" ht="15.75" customHeight="1">
      <c r="A654" s="1">
        <f>IFERROR(__xludf.DUMMYFUNCTION("""COMPUTED_VALUE"""),44811.66666666667)</f>
        <v>44811.66667</v>
      </c>
      <c r="B654" s="2">
        <f>IFERROR(__xludf.DUMMYFUNCTION("""COMPUTED_VALUE"""),3470.0)</f>
        <v>3470</v>
      </c>
      <c r="C654" s="2">
        <f>IFERROR(__xludf.DUMMYFUNCTION("""COMPUTED_VALUE"""),3470.0)</f>
        <v>3470</v>
      </c>
      <c r="D654" s="2">
        <f>IFERROR(__xludf.DUMMYFUNCTION("""COMPUTED_VALUE"""),3390.0)</f>
        <v>3390</v>
      </c>
      <c r="E654" s="2">
        <f>IFERROR(__xludf.DUMMYFUNCTION("""COMPUTED_VALUE"""),3400.0)</f>
        <v>3400</v>
      </c>
      <c r="F654" s="2">
        <f>IFERROR(__xludf.DUMMYFUNCTION("""COMPUTED_VALUE"""),1.36284E7)</f>
        <v>13628400</v>
      </c>
      <c r="G654" s="2">
        <f t="shared" si="1"/>
        <v>80</v>
      </c>
    </row>
    <row r="655" ht="15.75" customHeight="1">
      <c r="A655" s="1">
        <f>IFERROR(__xludf.DUMMYFUNCTION("""COMPUTED_VALUE"""),44812.66666666667)</f>
        <v>44812.66667</v>
      </c>
      <c r="B655" s="2">
        <f>IFERROR(__xludf.DUMMYFUNCTION("""COMPUTED_VALUE"""),3400.0)</f>
        <v>3400</v>
      </c>
      <c r="C655" s="2">
        <f>IFERROR(__xludf.DUMMYFUNCTION("""COMPUTED_VALUE"""),3430.0)</f>
        <v>3430</v>
      </c>
      <c r="D655" s="2">
        <f>IFERROR(__xludf.DUMMYFUNCTION("""COMPUTED_VALUE"""),3400.0)</f>
        <v>3400</v>
      </c>
      <c r="E655" s="2">
        <f>IFERROR(__xludf.DUMMYFUNCTION("""COMPUTED_VALUE"""),3400.0)</f>
        <v>3400</v>
      </c>
      <c r="F655" s="2">
        <f>IFERROR(__xludf.DUMMYFUNCTION("""COMPUTED_VALUE"""),3936000.0)</f>
        <v>3936000</v>
      </c>
      <c r="G655" s="2">
        <f t="shared" si="1"/>
        <v>30</v>
      </c>
    </row>
    <row r="656" ht="15.75" customHeight="1">
      <c r="A656" s="1">
        <f>IFERROR(__xludf.DUMMYFUNCTION("""COMPUTED_VALUE"""),44813.66666666667)</f>
        <v>44813.66667</v>
      </c>
      <c r="B656" s="2">
        <f>IFERROR(__xludf.DUMMYFUNCTION("""COMPUTED_VALUE"""),3450.0)</f>
        <v>3450</v>
      </c>
      <c r="C656" s="2">
        <f>IFERROR(__xludf.DUMMYFUNCTION("""COMPUTED_VALUE"""),3450.0)</f>
        <v>3450</v>
      </c>
      <c r="D656" s="2">
        <f>IFERROR(__xludf.DUMMYFUNCTION("""COMPUTED_VALUE"""),3370.0)</f>
        <v>3370</v>
      </c>
      <c r="E656" s="2">
        <f>IFERROR(__xludf.DUMMYFUNCTION("""COMPUTED_VALUE"""),3370.0)</f>
        <v>3370</v>
      </c>
      <c r="F656" s="2">
        <f>IFERROR(__xludf.DUMMYFUNCTION("""COMPUTED_VALUE"""),5357700.0)</f>
        <v>5357700</v>
      </c>
      <c r="G656" s="2">
        <f t="shared" si="1"/>
        <v>80</v>
      </c>
    </row>
    <row r="657" ht="15.75" customHeight="1">
      <c r="A657" s="1">
        <f>IFERROR(__xludf.DUMMYFUNCTION("""COMPUTED_VALUE"""),44816.66666666667)</f>
        <v>44816.66667</v>
      </c>
      <c r="B657" s="2">
        <f>IFERROR(__xludf.DUMMYFUNCTION("""COMPUTED_VALUE"""),3370.0)</f>
        <v>3370</v>
      </c>
      <c r="C657" s="2">
        <f>IFERROR(__xludf.DUMMYFUNCTION("""COMPUTED_VALUE"""),3400.0)</f>
        <v>3400</v>
      </c>
      <c r="D657" s="2">
        <f>IFERROR(__xludf.DUMMYFUNCTION("""COMPUTED_VALUE"""),3370.0)</f>
        <v>3370</v>
      </c>
      <c r="E657" s="2">
        <f>IFERROR(__xludf.DUMMYFUNCTION("""COMPUTED_VALUE"""),3390.0)</f>
        <v>3390</v>
      </c>
      <c r="F657" s="2">
        <f>IFERROR(__xludf.DUMMYFUNCTION("""COMPUTED_VALUE"""),2651400.0)</f>
        <v>2651400</v>
      </c>
      <c r="G657" s="2">
        <f t="shared" si="1"/>
        <v>30</v>
      </c>
    </row>
    <row r="658" ht="15.75" customHeight="1">
      <c r="A658" s="1">
        <f>IFERROR(__xludf.DUMMYFUNCTION("""COMPUTED_VALUE"""),44817.66666666667)</f>
        <v>44817.66667</v>
      </c>
      <c r="B658" s="2">
        <f>IFERROR(__xludf.DUMMYFUNCTION("""COMPUTED_VALUE"""),3310.0)</f>
        <v>3310</v>
      </c>
      <c r="C658" s="2">
        <f>IFERROR(__xludf.DUMMYFUNCTION("""COMPUTED_VALUE"""),3450.0)</f>
        <v>3450</v>
      </c>
      <c r="D658" s="2">
        <f>IFERROR(__xludf.DUMMYFUNCTION("""COMPUTED_VALUE"""),3310.0)</f>
        <v>3310</v>
      </c>
      <c r="E658" s="2">
        <f>IFERROR(__xludf.DUMMYFUNCTION("""COMPUTED_VALUE"""),3430.0)</f>
        <v>3430</v>
      </c>
      <c r="F658" s="2">
        <f>IFERROR(__xludf.DUMMYFUNCTION("""COMPUTED_VALUE"""),6756800.0)</f>
        <v>6756800</v>
      </c>
      <c r="G658" s="2">
        <f t="shared" si="1"/>
        <v>140</v>
      </c>
    </row>
    <row r="659" ht="15.75" customHeight="1">
      <c r="A659" s="1">
        <f>IFERROR(__xludf.DUMMYFUNCTION("""COMPUTED_VALUE"""),44818.66666666667)</f>
        <v>44818.66667</v>
      </c>
      <c r="B659" s="2">
        <f>IFERROR(__xludf.DUMMYFUNCTION("""COMPUTED_VALUE"""),3430.0)</f>
        <v>3430</v>
      </c>
      <c r="C659" s="2">
        <f>IFERROR(__xludf.DUMMYFUNCTION("""COMPUTED_VALUE"""),3580.0)</f>
        <v>3580</v>
      </c>
      <c r="D659" s="2">
        <f>IFERROR(__xludf.DUMMYFUNCTION("""COMPUTED_VALUE"""),3400.0)</f>
        <v>3400</v>
      </c>
      <c r="E659" s="2">
        <f>IFERROR(__xludf.DUMMYFUNCTION("""COMPUTED_VALUE"""),3570.0)</f>
        <v>3570</v>
      </c>
      <c r="F659" s="2">
        <f>IFERROR(__xludf.DUMMYFUNCTION("""COMPUTED_VALUE"""),1.70772E7)</f>
        <v>17077200</v>
      </c>
      <c r="G659" s="2">
        <f t="shared" si="1"/>
        <v>180</v>
      </c>
    </row>
    <row r="660" ht="15.75" customHeight="1">
      <c r="A660" s="1">
        <f>IFERROR(__xludf.DUMMYFUNCTION("""COMPUTED_VALUE"""),44819.66666666667)</f>
        <v>44819.66667</v>
      </c>
      <c r="B660" s="2">
        <f>IFERROR(__xludf.DUMMYFUNCTION("""COMPUTED_VALUE"""),3570.0)</f>
        <v>3570</v>
      </c>
      <c r="C660" s="2">
        <f>IFERROR(__xludf.DUMMYFUNCTION("""COMPUTED_VALUE"""),3600.0)</f>
        <v>3600</v>
      </c>
      <c r="D660" s="2">
        <f>IFERROR(__xludf.DUMMYFUNCTION("""COMPUTED_VALUE"""),3540.0)</f>
        <v>3540</v>
      </c>
      <c r="E660" s="2">
        <f>IFERROR(__xludf.DUMMYFUNCTION("""COMPUTED_VALUE"""),3550.0)</f>
        <v>3550</v>
      </c>
      <c r="F660" s="2">
        <f>IFERROR(__xludf.DUMMYFUNCTION("""COMPUTED_VALUE"""),1.10581E7)</f>
        <v>11058100</v>
      </c>
      <c r="G660" s="2">
        <f t="shared" si="1"/>
        <v>60</v>
      </c>
    </row>
    <row r="661" ht="15.75" customHeight="1">
      <c r="A661" s="1">
        <f>IFERROR(__xludf.DUMMYFUNCTION("""COMPUTED_VALUE"""),44820.66666666667)</f>
        <v>44820.66667</v>
      </c>
      <c r="B661" s="2">
        <f>IFERROR(__xludf.DUMMYFUNCTION("""COMPUTED_VALUE"""),3600.0)</f>
        <v>3600</v>
      </c>
      <c r="C661" s="2">
        <f>IFERROR(__xludf.DUMMYFUNCTION("""COMPUTED_VALUE"""),3600.0)</f>
        <v>3600</v>
      </c>
      <c r="D661" s="2">
        <f>IFERROR(__xludf.DUMMYFUNCTION("""COMPUTED_VALUE"""),3450.0)</f>
        <v>3450</v>
      </c>
      <c r="E661" s="2">
        <f>IFERROR(__xludf.DUMMYFUNCTION("""COMPUTED_VALUE"""),3550.0)</f>
        <v>3550</v>
      </c>
      <c r="F661" s="2">
        <f>IFERROR(__xludf.DUMMYFUNCTION("""COMPUTED_VALUE"""),1.21869E7)</f>
        <v>12186900</v>
      </c>
      <c r="G661" s="2">
        <f t="shared" si="1"/>
        <v>150</v>
      </c>
    </row>
    <row r="662" ht="15.75" customHeight="1">
      <c r="A662" s="1">
        <f>IFERROR(__xludf.DUMMYFUNCTION("""COMPUTED_VALUE"""),44823.66666666667)</f>
        <v>44823.66667</v>
      </c>
      <c r="B662" s="2">
        <f>IFERROR(__xludf.DUMMYFUNCTION("""COMPUTED_VALUE"""),3540.0)</f>
        <v>3540</v>
      </c>
      <c r="C662" s="2">
        <f>IFERROR(__xludf.DUMMYFUNCTION("""COMPUTED_VALUE"""),3550.0)</f>
        <v>3550</v>
      </c>
      <c r="D662" s="2">
        <f>IFERROR(__xludf.DUMMYFUNCTION("""COMPUTED_VALUE"""),3490.0)</f>
        <v>3490</v>
      </c>
      <c r="E662" s="2">
        <f>IFERROR(__xludf.DUMMYFUNCTION("""COMPUTED_VALUE"""),3530.0)</f>
        <v>3530</v>
      </c>
      <c r="F662" s="2">
        <f>IFERROR(__xludf.DUMMYFUNCTION("""COMPUTED_VALUE"""),3425100.0)</f>
        <v>3425100</v>
      </c>
      <c r="G662" s="2">
        <f t="shared" si="1"/>
        <v>60</v>
      </c>
    </row>
    <row r="663" ht="15.75" customHeight="1">
      <c r="A663" s="1">
        <f>IFERROR(__xludf.DUMMYFUNCTION("""COMPUTED_VALUE"""),44824.66666666667)</f>
        <v>44824.66667</v>
      </c>
      <c r="B663" s="2">
        <f>IFERROR(__xludf.DUMMYFUNCTION("""COMPUTED_VALUE"""),3540.0)</f>
        <v>3540</v>
      </c>
      <c r="C663" s="2">
        <f>IFERROR(__xludf.DUMMYFUNCTION("""COMPUTED_VALUE"""),3550.0)</f>
        <v>3550</v>
      </c>
      <c r="D663" s="2">
        <f>IFERROR(__xludf.DUMMYFUNCTION("""COMPUTED_VALUE"""),3490.0)</f>
        <v>3490</v>
      </c>
      <c r="E663" s="2">
        <f>IFERROR(__xludf.DUMMYFUNCTION("""COMPUTED_VALUE"""),3490.0)</f>
        <v>3490</v>
      </c>
      <c r="F663" s="2">
        <f>IFERROR(__xludf.DUMMYFUNCTION("""COMPUTED_VALUE"""),2565000.0)</f>
        <v>2565000</v>
      </c>
      <c r="G663" s="2">
        <f t="shared" si="1"/>
        <v>60</v>
      </c>
    </row>
    <row r="664" ht="15.75" customHeight="1">
      <c r="A664" s="1">
        <f>IFERROR(__xludf.DUMMYFUNCTION("""COMPUTED_VALUE"""),44825.66666666667)</f>
        <v>44825.66667</v>
      </c>
      <c r="B664" s="2">
        <f>IFERROR(__xludf.DUMMYFUNCTION("""COMPUTED_VALUE"""),3490.0)</f>
        <v>3490</v>
      </c>
      <c r="C664" s="2">
        <f>IFERROR(__xludf.DUMMYFUNCTION("""COMPUTED_VALUE"""),3540.0)</f>
        <v>3540</v>
      </c>
      <c r="D664" s="2">
        <f>IFERROR(__xludf.DUMMYFUNCTION("""COMPUTED_VALUE"""),3470.0)</f>
        <v>3470</v>
      </c>
      <c r="E664" s="2">
        <f>IFERROR(__xludf.DUMMYFUNCTION("""COMPUTED_VALUE"""),3540.0)</f>
        <v>3540</v>
      </c>
      <c r="F664" s="2">
        <f>IFERROR(__xludf.DUMMYFUNCTION("""COMPUTED_VALUE"""),4420900.0)</f>
        <v>4420900</v>
      </c>
      <c r="G664" s="2">
        <f t="shared" si="1"/>
        <v>70</v>
      </c>
    </row>
    <row r="665" ht="15.75" customHeight="1">
      <c r="A665" s="1">
        <f>IFERROR(__xludf.DUMMYFUNCTION("""COMPUTED_VALUE"""),44826.66666666667)</f>
        <v>44826.66667</v>
      </c>
      <c r="B665" s="2">
        <f>IFERROR(__xludf.DUMMYFUNCTION("""COMPUTED_VALUE"""),3540.0)</f>
        <v>3540</v>
      </c>
      <c r="C665" s="2">
        <f>IFERROR(__xludf.DUMMYFUNCTION("""COMPUTED_VALUE"""),3580.0)</f>
        <v>3580</v>
      </c>
      <c r="D665" s="2">
        <f>IFERROR(__xludf.DUMMYFUNCTION("""COMPUTED_VALUE"""),3500.0)</f>
        <v>3500</v>
      </c>
      <c r="E665" s="2">
        <f>IFERROR(__xludf.DUMMYFUNCTION("""COMPUTED_VALUE"""),3510.0)</f>
        <v>3510</v>
      </c>
      <c r="F665" s="2">
        <f>IFERROR(__xludf.DUMMYFUNCTION("""COMPUTED_VALUE"""),4454100.0)</f>
        <v>4454100</v>
      </c>
      <c r="G665" s="2">
        <f t="shared" si="1"/>
        <v>80</v>
      </c>
    </row>
    <row r="666" ht="15.75" customHeight="1">
      <c r="A666" s="1">
        <f>IFERROR(__xludf.DUMMYFUNCTION("""COMPUTED_VALUE"""),44827.66666666667)</f>
        <v>44827.66667</v>
      </c>
      <c r="B666" s="2">
        <f>IFERROR(__xludf.DUMMYFUNCTION("""COMPUTED_VALUE"""),3550.0)</f>
        <v>3550</v>
      </c>
      <c r="C666" s="2">
        <f>IFERROR(__xludf.DUMMYFUNCTION("""COMPUTED_VALUE"""),3550.0)</f>
        <v>3550</v>
      </c>
      <c r="D666" s="2">
        <f>IFERROR(__xludf.DUMMYFUNCTION("""COMPUTED_VALUE"""),3500.0)</f>
        <v>3500</v>
      </c>
      <c r="E666" s="2">
        <f>IFERROR(__xludf.DUMMYFUNCTION("""COMPUTED_VALUE"""),3530.0)</f>
        <v>3530</v>
      </c>
      <c r="F666" s="2">
        <f>IFERROR(__xludf.DUMMYFUNCTION("""COMPUTED_VALUE"""),1769600.0)</f>
        <v>1769600</v>
      </c>
      <c r="G666" s="2">
        <f t="shared" si="1"/>
        <v>50</v>
      </c>
    </row>
    <row r="667" ht="15.75" customHeight="1">
      <c r="A667" s="1">
        <f>IFERROR(__xludf.DUMMYFUNCTION("""COMPUTED_VALUE"""),44830.66666666667)</f>
        <v>44830.66667</v>
      </c>
      <c r="B667" s="2">
        <f>IFERROR(__xludf.DUMMYFUNCTION("""COMPUTED_VALUE"""),3530.0)</f>
        <v>3530</v>
      </c>
      <c r="C667" s="2">
        <f>IFERROR(__xludf.DUMMYFUNCTION("""COMPUTED_VALUE"""),3530.0)</f>
        <v>3530</v>
      </c>
      <c r="D667" s="2">
        <f>IFERROR(__xludf.DUMMYFUNCTION("""COMPUTED_VALUE"""),3400.0)</f>
        <v>3400</v>
      </c>
      <c r="E667" s="2">
        <f>IFERROR(__xludf.DUMMYFUNCTION("""COMPUTED_VALUE"""),3440.0)</f>
        <v>3440</v>
      </c>
      <c r="F667" s="2">
        <f>IFERROR(__xludf.DUMMYFUNCTION("""COMPUTED_VALUE"""),9868600.0)</f>
        <v>9868600</v>
      </c>
      <c r="G667" s="2">
        <f t="shared" si="1"/>
        <v>130</v>
      </c>
    </row>
    <row r="668" ht="15.75" customHeight="1">
      <c r="A668" s="1">
        <f>IFERROR(__xludf.DUMMYFUNCTION("""COMPUTED_VALUE"""),44831.66666666667)</f>
        <v>44831.66667</v>
      </c>
      <c r="B668" s="2">
        <f>IFERROR(__xludf.DUMMYFUNCTION("""COMPUTED_VALUE"""),3440.0)</f>
        <v>3440</v>
      </c>
      <c r="C668" s="2">
        <f>IFERROR(__xludf.DUMMYFUNCTION("""COMPUTED_VALUE"""),3480.0)</f>
        <v>3480</v>
      </c>
      <c r="D668" s="2">
        <f>IFERROR(__xludf.DUMMYFUNCTION("""COMPUTED_VALUE"""),3410.0)</f>
        <v>3410</v>
      </c>
      <c r="E668" s="2">
        <f>IFERROR(__xludf.DUMMYFUNCTION("""COMPUTED_VALUE"""),3470.0)</f>
        <v>3470</v>
      </c>
      <c r="F668" s="2">
        <f>IFERROR(__xludf.DUMMYFUNCTION("""COMPUTED_VALUE"""),4819400.0)</f>
        <v>4819400</v>
      </c>
      <c r="G668" s="2">
        <f t="shared" si="1"/>
        <v>70</v>
      </c>
    </row>
    <row r="669" ht="15.75" customHeight="1">
      <c r="A669" s="1">
        <f>IFERROR(__xludf.DUMMYFUNCTION("""COMPUTED_VALUE"""),44832.66666666667)</f>
        <v>44832.66667</v>
      </c>
      <c r="B669" s="2">
        <f>IFERROR(__xludf.DUMMYFUNCTION("""COMPUTED_VALUE"""),3470.0)</f>
        <v>3470</v>
      </c>
      <c r="C669" s="2">
        <f>IFERROR(__xludf.DUMMYFUNCTION("""COMPUTED_VALUE"""),3470.0)</f>
        <v>3470</v>
      </c>
      <c r="D669" s="2">
        <f>IFERROR(__xludf.DUMMYFUNCTION("""COMPUTED_VALUE"""),3410.0)</f>
        <v>3410</v>
      </c>
      <c r="E669" s="2">
        <f>IFERROR(__xludf.DUMMYFUNCTION("""COMPUTED_VALUE"""),3410.0)</f>
        <v>3410</v>
      </c>
      <c r="F669" s="2">
        <f>IFERROR(__xludf.DUMMYFUNCTION("""COMPUTED_VALUE"""),3068600.0)</f>
        <v>3068600</v>
      </c>
      <c r="G669" s="2">
        <f t="shared" si="1"/>
        <v>60</v>
      </c>
    </row>
    <row r="670" ht="15.75" customHeight="1">
      <c r="A670" s="1">
        <f>IFERROR(__xludf.DUMMYFUNCTION("""COMPUTED_VALUE"""),44833.66666666667)</f>
        <v>44833.66667</v>
      </c>
      <c r="B670" s="2">
        <f>IFERROR(__xludf.DUMMYFUNCTION("""COMPUTED_VALUE"""),3410.0)</f>
        <v>3410</v>
      </c>
      <c r="C670" s="2">
        <f>IFERROR(__xludf.DUMMYFUNCTION("""COMPUTED_VALUE"""),3430.0)</f>
        <v>3430</v>
      </c>
      <c r="D670" s="2">
        <f>IFERROR(__xludf.DUMMYFUNCTION("""COMPUTED_VALUE"""),3350.0)</f>
        <v>3350</v>
      </c>
      <c r="E670" s="2">
        <f>IFERROR(__xludf.DUMMYFUNCTION("""COMPUTED_VALUE"""),3360.0)</f>
        <v>3360</v>
      </c>
      <c r="F670" s="2">
        <f>IFERROR(__xludf.DUMMYFUNCTION("""COMPUTED_VALUE"""),6728600.0)</f>
        <v>6728600</v>
      </c>
      <c r="G670" s="2">
        <f t="shared" si="1"/>
        <v>80</v>
      </c>
    </row>
    <row r="671" ht="15.75" customHeight="1">
      <c r="A671" s="1">
        <f>IFERROR(__xludf.DUMMYFUNCTION("""COMPUTED_VALUE"""),44834.66666666667)</f>
        <v>44834.66667</v>
      </c>
      <c r="B671" s="2">
        <f>IFERROR(__xludf.DUMMYFUNCTION("""COMPUTED_VALUE"""),3330.0)</f>
        <v>3330</v>
      </c>
      <c r="C671" s="2">
        <f>IFERROR(__xludf.DUMMYFUNCTION("""COMPUTED_VALUE"""),3380.0)</f>
        <v>3380</v>
      </c>
      <c r="D671" s="2">
        <f>IFERROR(__xludf.DUMMYFUNCTION("""COMPUTED_VALUE"""),3240.0)</f>
        <v>3240</v>
      </c>
      <c r="E671" s="2">
        <f>IFERROR(__xludf.DUMMYFUNCTION("""COMPUTED_VALUE"""),3240.0)</f>
        <v>3240</v>
      </c>
      <c r="F671" s="2">
        <f>IFERROR(__xludf.DUMMYFUNCTION("""COMPUTED_VALUE"""),1.59115E7)</f>
        <v>15911500</v>
      </c>
      <c r="G671" s="2">
        <f t="shared" si="1"/>
        <v>140</v>
      </c>
    </row>
    <row r="672" ht="15.75" customHeight="1">
      <c r="A672" s="1">
        <f>IFERROR(__xludf.DUMMYFUNCTION("""COMPUTED_VALUE"""),44837.66666666667)</f>
        <v>44837.66667</v>
      </c>
      <c r="B672" s="2">
        <f>IFERROR(__xludf.DUMMYFUNCTION("""COMPUTED_VALUE"""),3260.0)</f>
        <v>3260</v>
      </c>
      <c r="C672" s="2">
        <f>IFERROR(__xludf.DUMMYFUNCTION("""COMPUTED_VALUE"""),3290.0)</f>
        <v>3290</v>
      </c>
      <c r="D672" s="2">
        <f>IFERROR(__xludf.DUMMYFUNCTION("""COMPUTED_VALUE"""),3240.0)</f>
        <v>3240</v>
      </c>
      <c r="E672" s="2">
        <f>IFERROR(__xludf.DUMMYFUNCTION("""COMPUTED_VALUE"""),3260.0)</f>
        <v>3260</v>
      </c>
      <c r="F672" s="2">
        <f>IFERROR(__xludf.DUMMYFUNCTION("""COMPUTED_VALUE"""),3219400.0)</f>
        <v>3219400</v>
      </c>
      <c r="G672" s="2">
        <f t="shared" si="1"/>
        <v>50</v>
      </c>
    </row>
    <row r="673" ht="15.75" customHeight="1">
      <c r="A673" s="1">
        <f>IFERROR(__xludf.DUMMYFUNCTION("""COMPUTED_VALUE"""),44838.66666666667)</f>
        <v>44838.66667</v>
      </c>
      <c r="B673" s="2">
        <f>IFERROR(__xludf.DUMMYFUNCTION("""COMPUTED_VALUE"""),3320.0)</f>
        <v>3320</v>
      </c>
      <c r="C673" s="2">
        <f>IFERROR(__xludf.DUMMYFUNCTION("""COMPUTED_VALUE"""),3330.0)</f>
        <v>3330</v>
      </c>
      <c r="D673" s="2">
        <f>IFERROR(__xludf.DUMMYFUNCTION("""COMPUTED_VALUE"""),3220.0)</f>
        <v>3220</v>
      </c>
      <c r="E673" s="2">
        <f>IFERROR(__xludf.DUMMYFUNCTION("""COMPUTED_VALUE"""),3240.0)</f>
        <v>3240</v>
      </c>
      <c r="F673" s="2">
        <f>IFERROR(__xludf.DUMMYFUNCTION("""COMPUTED_VALUE"""),1.02176E7)</f>
        <v>10217600</v>
      </c>
      <c r="G673" s="2">
        <f t="shared" si="1"/>
        <v>110</v>
      </c>
    </row>
    <row r="674" ht="15.75" customHeight="1">
      <c r="A674" s="1">
        <f>IFERROR(__xludf.DUMMYFUNCTION("""COMPUTED_VALUE"""),44839.66666666667)</f>
        <v>44839.66667</v>
      </c>
      <c r="B674" s="2">
        <f>IFERROR(__xludf.DUMMYFUNCTION("""COMPUTED_VALUE"""),3230.0)</f>
        <v>3230</v>
      </c>
      <c r="C674" s="2">
        <f>IFERROR(__xludf.DUMMYFUNCTION("""COMPUTED_VALUE"""),3270.0)</f>
        <v>3270</v>
      </c>
      <c r="D674" s="2">
        <f>IFERROR(__xludf.DUMMYFUNCTION("""COMPUTED_VALUE"""),3230.0)</f>
        <v>3230</v>
      </c>
      <c r="E674" s="2">
        <f>IFERROR(__xludf.DUMMYFUNCTION("""COMPUTED_VALUE"""),3240.0)</f>
        <v>3240</v>
      </c>
      <c r="F674" s="2">
        <f>IFERROR(__xludf.DUMMYFUNCTION("""COMPUTED_VALUE"""),2867500.0)</f>
        <v>2867500</v>
      </c>
      <c r="G674" s="2">
        <f t="shared" si="1"/>
        <v>40</v>
      </c>
    </row>
    <row r="675" ht="15.75" customHeight="1">
      <c r="A675" s="1">
        <f>IFERROR(__xludf.DUMMYFUNCTION("""COMPUTED_VALUE"""),44840.66666666667)</f>
        <v>44840.66667</v>
      </c>
      <c r="B675" s="2">
        <f>IFERROR(__xludf.DUMMYFUNCTION("""COMPUTED_VALUE"""),3260.0)</f>
        <v>3260</v>
      </c>
      <c r="C675" s="2">
        <f>IFERROR(__xludf.DUMMYFUNCTION("""COMPUTED_VALUE"""),3300.0)</f>
        <v>3300</v>
      </c>
      <c r="D675" s="2">
        <f>IFERROR(__xludf.DUMMYFUNCTION("""COMPUTED_VALUE"""),3250.0)</f>
        <v>3250</v>
      </c>
      <c r="E675" s="2">
        <f>IFERROR(__xludf.DUMMYFUNCTION("""COMPUTED_VALUE"""),3300.0)</f>
        <v>3300</v>
      </c>
      <c r="F675" s="2">
        <f>IFERROR(__xludf.DUMMYFUNCTION("""COMPUTED_VALUE"""),3776300.0)</f>
        <v>3776300</v>
      </c>
      <c r="G675" s="2">
        <f t="shared" si="1"/>
        <v>60</v>
      </c>
    </row>
    <row r="676" ht="15.75" customHeight="1">
      <c r="A676" s="1">
        <f>IFERROR(__xludf.DUMMYFUNCTION("""COMPUTED_VALUE"""),44841.66666666667)</f>
        <v>44841.66667</v>
      </c>
      <c r="B676" s="2">
        <f>IFERROR(__xludf.DUMMYFUNCTION("""COMPUTED_VALUE"""),3330.0)</f>
        <v>3330</v>
      </c>
      <c r="C676" s="2">
        <f>IFERROR(__xludf.DUMMYFUNCTION("""COMPUTED_VALUE"""),3330.0)</f>
        <v>3330</v>
      </c>
      <c r="D676" s="2">
        <f>IFERROR(__xludf.DUMMYFUNCTION("""COMPUTED_VALUE"""),3260.0)</f>
        <v>3260</v>
      </c>
      <c r="E676" s="2">
        <f>IFERROR(__xludf.DUMMYFUNCTION("""COMPUTED_VALUE"""),3290.0)</f>
        <v>3290</v>
      </c>
      <c r="F676" s="2">
        <f>IFERROR(__xludf.DUMMYFUNCTION("""COMPUTED_VALUE"""),4082000.0)</f>
        <v>4082000</v>
      </c>
      <c r="G676" s="2">
        <f t="shared" si="1"/>
        <v>70</v>
      </c>
    </row>
    <row r="677" ht="15.75" customHeight="1">
      <c r="A677" s="1">
        <f>IFERROR(__xludf.DUMMYFUNCTION("""COMPUTED_VALUE"""),44844.66666666667)</f>
        <v>44844.66667</v>
      </c>
      <c r="B677" s="2">
        <f>IFERROR(__xludf.DUMMYFUNCTION("""COMPUTED_VALUE"""),3290.0)</f>
        <v>3290</v>
      </c>
      <c r="C677" s="2">
        <f>IFERROR(__xludf.DUMMYFUNCTION("""COMPUTED_VALUE"""),3350.0)</f>
        <v>3350</v>
      </c>
      <c r="D677" s="2">
        <f>IFERROR(__xludf.DUMMYFUNCTION("""COMPUTED_VALUE"""),3270.0)</f>
        <v>3270</v>
      </c>
      <c r="E677" s="2">
        <f>IFERROR(__xludf.DUMMYFUNCTION("""COMPUTED_VALUE"""),3300.0)</f>
        <v>3300</v>
      </c>
      <c r="F677" s="2">
        <f>IFERROR(__xludf.DUMMYFUNCTION("""COMPUTED_VALUE"""),6523700.0)</f>
        <v>6523700</v>
      </c>
      <c r="G677" s="2">
        <f t="shared" si="1"/>
        <v>80</v>
      </c>
    </row>
    <row r="678" ht="15.75" customHeight="1">
      <c r="A678" s="1">
        <f>IFERROR(__xludf.DUMMYFUNCTION("""COMPUTED_VALUE"""),44845.66666666667)</f>
        <v>44845.66667</v>
      </c>
      <c r="B678" s="2">
        <f>IFERROR(__xludf.DUMMYFUNCTION("""COMPUTED_VALUE"""),3300.0)</f>
        <v>3300</v>
      </c>
      <c r="C678" s="2">
        <f>IFERROR(__xludf.DUMMYFUNCTION("""COMPUTED_VALUE"""),3320.0)</f>
        <v>3320</v>
      </c>
      <c r="D678" s="2">
        <f>IFERROR(__xludf.DUMMYFUNCTION("""COMPUTED_VALUE"""),3270.0)</f>
        <v>3270</v>
      </c>
      <c r="E678" s="2">
        <f>IFERROR(__xludf.DUMMYFUNCTION("""COMPUTED_VALUE"""),3280.0)</f>
        <v>3280</v>
      </c>
      <c r="F678" s="2">
        <f>IFERROR(__xludf.DUMMYFUNCTION("""COMPUTED_VALUE"""),4863200.0)</f>
        <v>4863200</v>
      </c>
      <c r="G678" s="2">
        <f t="shared" si="1"/>
        <v>50</v>
      </c>
    </row>
    <row r="679" ht="15.75" customHeight="1">
      <c r="A679" s="1">
        <f>IFERROR(__xludf.DUMMYFUNCTION("""COMPUTED_VALUE"""),44846.66666666667)</f>
        <v>44846.66667</v>
      </c>
      <c r="B679" s="2">
        <f>IFERROR(__xludf.DUMMYFUNCTION("""COMPUTED_VALUE"""),3290.0)</f>
        <v>3290</v>
      </c>
      <c r="C679" s="2">
        <f>IFERROR(__xludf.DUMMYFUNCTION("""COMPUTED_VALUE"""),3300.0)</f>
        <v>3300</v>
      </c>
      <c r="D679" s="2">
        <f>IFERROR(__xludf.DUMMYFUNCTION("""COMPUTED_VALUE"""),3250.0)</f>
        <v>3250</v>
      </c>
      <c r="E679" s="2">
        <f>IFERROR(__xludf.DUMMYFUNCTION("""COMPUTED_VALUE"""),3260.0)</f>
        <v>3260</v>
      </c>
      <c r="F679" s="2">
        <f>IFERROR(__xludf.DUMMYFUNCTION("""COMPUTED_VALUE"""),2764200.0)</f>
        <v>2764200</v>
      </c>
      <c r="G679" s="2">
        <f t="shared" si="1"/>
        <v>50</v>
      </c>
    </row>
    <row r="680" ht="15.75" customHeight="1">
      <c r="A680" s="1">
        <f>IFERROR(__xludf.DUMMYFUNCTION("""COMPUTED_VALUE"""),44847.66666666667)</f>
        <v>44847.66667</v>
      </c>
      <c r="B680" s="2">
        <f>IFERROR(__xludf.DUMMYFUNCTION("""COMPUTED_VALUE"""),3270.0)</f>
        <v>3270</v>
      </c>
      <c r="C680" s="2">
        <f>IFERROR(__xludf.DUMMYFUNCTION("""COMPUTED_VALUE"""),3300.0)</f>
        <v>3300</v>
      </c>
      <c r="D680" s="2">
        <f>IFERROR(__xludf.DUMMYFUNCTION("""COMPUTED_VALUE"""),3260.0)</f>
        <v>3260</v>
      </c>
      <c r="E680" s="2">
        <f>IFERROR(__xludf.DUMMYFUNCTION("""COMPUTED_VALUE"""),3280.0)</f>
        <v>3280</v>
      </c>
      <c r="F680" s="2">
        <f>IFERROR(__xludf.DUMMYFUNCTION("""COMPUTED_VALUE"""),5203000.0)</f>
        <v>5203000</v>
      </c>
      <c r="G680" s="2">
        <f t="shared" si="1"/>
        <v>40</v>
      </c>
    </row>
    <row r="681" ht="15.75" customHeight="1">
      <c r="A681" s="1">
        <f>IFERROR(__xludf.DUMMYFUNCTION("""COMPUTED_VALUE"""),44848.66666666667)</f>
        <v>44848.66667</v>
      </c>
      <c r="B681" s="2">
        <f>IFERROR(__xludf.DUMMYFUNCTION("""COMPUTED_VALUE"""),3300.0)</f>
        <v>3300</v>
      </c>
      <c r="C681" s="2">
        <f>IFERROR(__xludf.DUMMYFUNCTION("""COMPUTED_VALUE"""),3300.0)</f>
        <v>3300</v>
      </c>
      <c r="D681" s="2">
        <f>IFERROR(__xludf.DUMMYFUNCTION("""COMPUTED_VALUE"""),3270.0)</f>
        <v>3270</v>
      </c>
      <c r="E681" s="2">
        <f>IFERROR(__xludf.DUMMYFUNCTION("""COMPUTED_VALUE"""),3290.0)</f>
        <v>3290</v>
      </c>
      <c r="F681" s="2">
        <f>IFERROR(__xludf.DUMMYFUNCTION("""COMPUTED_VALUE"""),2355000.0)</f>
        <v>2355000</v>
      </c>
      <c r="G681" s="2">
        <f t="shared" si="1"/>
        <v>30</v>
      </c>
    </row>
    <row r="682" ht="15.75" customHeight="1">
      <c r="A682" s="1">
        <f>IFERROR(__xludf.DUMMYFUNCTION("""COMPUTED_VALUE"""),44851.66666666667)</f>
        <v>44851.66667</v>
      </c>
      <c r="B682" s="2">
        <f>IFERROR(__xludf.DUMMYFUNCTION("""COMPUTED_VALUE"""),3290.0)</f>
        <v>3290</v>
      </c>
      <c r="C682" s="2">
        <f>IFERROR(__xludf.DUMMYFUNCTION("""COMPUTED_VALUE"""),3290.0)</f>
        <v>3290</v>
      </c>
      <c r="D682" s="2">
        <f>IFERROR(__xludf.DUMMYFUNCTION("""COMPUTED_VALUE"""),3250.0)</f>
        <v>3250</v>
      </c>
      <c r="E682" s="2">
        <f>IFERROR(__xludf.DUMMYFUNCTION("""COMPUTED_VALUE"""),3270.0)</f>
        <v>3270</v>
      </c>
      <c r="F682" s="2">
        <f>IFERROR(__xludf.DUMMYFUNCTION("""COMPUTED_VALUE"""),2797000.0)</f>
        <v>2797000</v>
      </c>
      <c r="G682" s="2">
        <f t="shared" si="1"/>
        <v>40</v>
      </c>
    </row>
    <row r="683" ht="15.75" customHeight="1">
      <c r="A683" s="1">
        <f>IFERROR(__xludf.DUMMYFUNCTION("""COMPUTED_VALUE"""),44852.66666666667)</f>
        <v>44852.66667</v>
      </c>
      <c r="B683" s="2">
        <f>IFERROR(__xludf.DUMMYFUNCTION("""COMPUTED_VALUE"""),3270.0)</f>
        <v>3270</v>
      </c>
      <c r="C683" s="2">
        <f>IFERROR(__xludf.DUMMYFUNCTION("""COMPUTED_VALUE"""),3370.0)</f>
        <v>3370</v>
      </c>
      <c r="D683" s="2">
        <f>IFERROR(__xludf.DUMMYFUNCTION("""COMPUTED_VALUE"""),3250.0)</f>
        <v>3250</v>
      </c>
      <c r="E683" s="2">
        <f>IFERROR(__xludf.DUMMYFUNCTION("""COMPUTED_VALUE"""),3360.0)</f>
        <v>3360</v>
      </c>
      <c r="F683" s="2">
        <f>IFERROR(__xludf.DUMMYFUNCTION("""COMPUTED_VALUE"""),7054500.0)</f>
        <v>7054500</v>
      </c>
      <c r="G683" s="2">
        <f t="shared" si="1"/>
        <v>120</v>
      </c>
    </row>
    <row r="684" ht="15.75" customHeight="1">
      <c r="A684" s="1">
        <f>IFERROR(__xludf.DUMMYFUNCTION("""COMPUTED_VALUE"""),44853.66666666667)</f>
        <v>44853.66667</v>
      </c>
      <c r="B684" s="2">
        <f>IFERROR(__xludf.DUMMYFUNCTION("""COMPUTED_VALUE"""),3360.0)</f>
        <v>3360</v>
      </c>
      <c r="C684" s="2">
        <f>IFERROR(__xludf.DUMMYFUNCTION("""COMPUTED_VALUE"""),3430.0)</f>
        <v>3430</v>
      </c>
      <c r="D684" s="2">
        <f>IFERROR(__xludf.DUMMYFUNCTION("""COMPUTED_VALUE"""),3340.0)</f>
        <v>3340</v>
      </c>
      <c r="E684" s="2">
        <f>IFERROR(__xludf.DUMMYFUNCTION("""COMPUTED_VALUE"""),3420.0)</f>
        <v>3420</v>
      </c>
      <c r="F684" s="2">
        <f>IFERROR(__xludf.DUMMYFUNCTION("""COMPUTED_VALUE"""),6972400.0)</f>
        <v>6972400</v>
      </c>
      <c r="G684" s="2">
        <f t="shared" si="1"/>
        <v>90</v>
      </c>
    </row>
    <row r="685" ht="15.75" customHeight="1">
      <c r="A685" s="1">
        <f>IFERROR(__xludf.DUMMYFUNCTION("""COMPUTED_VALUE"""),44854.66666666667)</f>
        <v>44854.66667</v>
      </c>
      <c r="B685" s="2">
        <f>IFERROR(__xludf.DUMMYFUNCTION("""COMPUTED_VALUE"""),3430.0)</f>
        <v>3430</v>
      </c>
      <c r="C685" s="2">
        <f>IFERROR(__xludf.DUMMYFUNCTION("""COMPUTED_VALUE"""),3440.0)</f>
        <v>3440</v>
      </c>
      <c r="D685" s="2">
        <f>IFERROR(__xludf.DUMMYFUNCTION("""COMPUTED_VALUE"""),3380.0)</f>
        <v>3380</v>
      </c>
      <c r="E685" s="2">
        <f>IFERROR(__xludf.DUMMYFUNCTION("""COMPUTED_VALUE"""),3390.0)</f>
        <v>3390</v>
      </c>
      <c r="F685" s="2">
        <f>IFERROR(__xludf.DUMMYFUNCTION("""COMPUTED_VALUE"""),2833100.0)</f>
        <v>2833100</v>
      </c>
      <c r="G685" s="2">
        <f t="shared" si="1"/>
        <v>60</v>
      </c>
    </row>
    <row r="686" ht="15.75" customHeight="1">
      <c r="A686" s="1">
        <f>IFERROR(__xludf.DUMMYFUNCTION("""COMPUTED_VALUE"""),44855.66666666667)</f>
        <v>44855.66667</v>
      </c>
      <c r="B686" s="2">
        <f>IFERROR(__xludf.DUMMYFUNCTION("""COMPUTED_VALUE"""),3440.0)</f>
        <v>3440</v>
      </c>
      <c r="C686" s="2">
        <f>IFERROR(__xludf.DUMMYFUNCTION("""COMPUTED_VALUE"""),3500.0)</f>
        <v>3500</v>
      </c>
      <c r="D686" s="2">
        <f>IFERROR(__xludf.DUMMYFUNCTION("""COMPUTED_VALUE"""),3380.0)</f>
        <v>3380</v>
      </c>
      <c r="E686" s="2">
        <f>IFERROR(__xludf.DUMMYFUNCTION("""COMPUTED_VALUE"""),3470.0)</f>
        <v>3470</v>
      </c>
      <c r="F686" s="2">
        <f>IFERROR(__xludf.DUMMYFUNCTION("""COMPUTED_VALUE"""),7985100.0)</f>
        <v>7985100</v>
      </c>
      <c r="G686" s="2">
        <f t="shared" si="1"/>
        <v>120</v>
      </c>
    </row>
    <row r="687" ht="15.75" customHeight="1">
      <c r="A687" s="1">
        <f>IFERROR(__xludf.DUMMYFUNCTION("""COMPUTED_VALUE"""),44858.66666666667)</f>
        <v>44858.66667</v>
      </c>
      <c r="B687" s="2">
        <f>IFERROR(__xludf.DUMMYFUNCTION("""COMPUTED_VALUE"""),3470.0)</f>
        <v>3470</v>
      </c>
      <c r="C687" s="2">
        <f>IFERROR(__xludf.DUMMYFUNCTION("""COMPUTED_VALUE"""),3480.0)</f>
        <v>3480</v>
      </c>
      <c r="D687" s="2">
        <f>IFERROR(__xludf.DUMMYFUNCTION("""COMPUTED_VALUE"""),3420.0)</f>
        <v>3420</v>
      </c>
      <c r="E687" s="2">
        <f>IFERROR(__xludf.DUMMYFUNCTION("""COMPUTED_VALUE"""),3430.0)</f>
        <v>3430</v>
      </c>
      <c r="F687" s="2">
        <f>IFERROR(__xludf.DUMMYFUNCTION("""COMPUTED_VALUE"""),3492900.0)</f>
        <v>3492900</v>
      </c>
      <c r="G687" s="2">
        <f t="shared" si="1"/>
        <v>60</v>
      </c>
    </row>
    <row r="688" ht="15.75" customHeight="1">
      <c r="A688" s="1">
        <f>IFERROR(__xludf.DUMMYFUNCTION("""COMPUTED_VALUE"""),44859.66666666667)</f>
        <v>44859.66667</v>
      </c>
      <c r="B688" s="2">
        <f>IFERROR(__xludf.DUMMYFUNCTION("""COMPUTED_VALUE"""),3450.0)</f>
        <v>3450</v>
      </c>
      <c r="C688" s="2">
        <f>IFERROR(__xludf.DUMMYFUNCTION("""COMPUTED_VALUE"""),3460.0)</f>
        <v>3460</v>
      </c>
      <c r="D688" s="2">
        <f>IFERROR(__xludf.DUMMYFUNCTION("""COMPUTED_VALUE"""),3370.0)</f>
        <v>3370</v>
      </c>
      <c r="E688" s="2">
        <f>IFERROR(__xludf.DUMMYFUNCTION("""COMPUTED_VALUE"""),3420.0)</f>
        <v>3420</v>
      </c>
      <c r="F688" s="2">
        <f>IFERROR(__xludf.DUMMYFUNCTION("""COMPUTED_VALUE"""),4493200.0)</f>
        <v>4493200</v>
      </c>
      <c r="G688" s="2">
        <f t="shared" si="1"/>
        <v>90</v>
      </c>
    </row>
    <row r="689" ht="15.75" customHeight="1">
      <c r="A689" s="1">
        <f>IFERROR(__xludf.DUMMYFUNCTION("""COMPUTED_VALUE"""),44860.66666666667)</f>
        <v>44860.66667</v>
      </c>
      <c r="B689" s="2">
        <f>IFERROR(__xludf.DUMMYFUNCTION("""COMPUTED_VALUE"""),3430.0)</f>
        <v>3430</v>
      </c>
      <c r="C689" s="2">
        <f>IFERROR(__xludf.DUMMYFUNCTION("""COMPUTED_VALUE"""),3480.0)</f>
        <v>3480</v>
      </c>
      <c r="D689" s="2">
        <f>IFERROR(__xludf.DUMMYFUNCTION("""COMPUTED_VALUE"""),3420.0)</f>
        <v>3420</v>
      </c>
      <c r="E689" s="2">
        <f>IFERROR(__xludf.DUMMYFUNCTION("""COMPUTED_VALUE"""),3480.0)</f>
        <v>3480</v>
      </c>
      <c r="F689" s="2">
        <f>IFERROR(__xludf.DUMMYFUNCTION("""COMPUTED_VALUE"""),4399000.0)</f>
        <v>4399000</v>
      </c>
      <c r="G689" s="2">
        <f t="shared" si="1"/>
        <v>60</v>
      </c>
    </row>
    <row r="690" ht="15.75" customHeight="1">
      <c r="A690" s="1">
        <f>IFERROR(__xludf.DUMMYFUNCTION("""COMPUTED_VALUE"""),44861.66666666667)</f>
        <v>44861.66667</v>
      </c>
      <c r="B690" s="2">
        <f>IFERROR(__xludf.DUMMYFUNCTION("""COMPUTED_VALUE"""),3480.0)</f>
        <v>3480</v>
      </c>
      <c r="C690" s="2">
        <f>IFERROR(__xludf.DUMMYFUNCTION("""COMPUTED_VALUE"""),3490.0)</f>
        <v>3490</v>
      </c>
      <c r="D690" s="2">
        <f>IFERROR(__xludf.DUMMYFUNCTION("""COMPUTED_VALUE"""),3410.0)</f>
        <v>3410</v>
      </c>
      <c r="E690" s="2">
        <f>IFERROR(__xludf.DUMMYFUNCTION("""COMPUTED_VALUE"""),3440.0)</f>
        <v>3440</v>
      </c>
      <c r="F690" s="2">
        <f>IFERROR(__xludf.DUMMYFUNCTION("""COMPUTED_VALUE"""),4809900.0)</f>
        <v>4809900</v>
      </c>
      <c r="G690" s="2">
        <f t="shared" si="1"/>
        <v>80</v>
      </c>
    </row>
    <row r="691" ht="15.75" customHeight="1">
      <c r="A691" s="1">
        <f>IFERROR(__xludf.DUMMYFUNCTION("""COMPUTED_VALUE"""),44862.66666666667)</f>
        <v>44862.66667</v>
      </c>
      <c r="B691" s="2">
        <f>IFERROR(__xludf.DUMMYFUNCTION("""COMPUTED_VALUE"""),3450.0)</f>
        <v>3450</v>
      </c>
      <c r="C691" s="2">
        <f>IFERROR(__xludf.DUMMYFUNCTION("""COMPUTED_VALUE"""),3450.0)</f>
        <v>3450</v>
      </c>
      <c r="D691" s="2">
        <f>IFERROR(__xludf.DUMMYFUNCTION("""COMPUTED_VALUE"""),3380.0)</f>
        <v>3380</v>
      </c>
      <c r="E691" s="2">
        <f>IFERROR(__xludf.DUMMYFUNCTION("""COMPUTED_VALUE"""),3390.0)</f>
        <v>3390</v>
      </c>
      <c r="F691" s="2">
        <f>IFERROR(__xludf.DUMMYFUNCTION("""COMPUTED_VALUE"""),3254500.0)</f>
        <v>3254500</v>
      </c>
      <c r="G691" s="2">
        <f t="shared" si="1"/>
        <v>70</v>
      </c>
    </row>
    <row r="692" ht="15.75" customHeight="1">
      <c r="A692" s="1">
        <f>IFERROR(__xludf.DUMMYFUNCTION("""COMPUTED_VALUE"""),44865.66666666667)</f>
        <v>44865.66667</v>
      </c>
      <c r="B692" s="2">
        <f>IFERROR(__xludf.DUMMYFUNCTION("""COMPUTED_VALUE"""),3390.0)</f>
        <v>3390</v>
      </c>
      <c r="C692" s="2">
        <f>IFERROR(__xludf.DUMMYFUNCTION("""COMPUTED_VALUE"""),3480.0)</f>
        <v>3480</v>
      </c>
      <c r="D692" s="2">
        <f>IFERROR(__xludf.DUMMYFUNCTION("""COMPUTED_VALUE"""),3380.0)</f>
        <v>3380</v>
      </c>
      <c r="E692" s="2">
        <f>IFERROR(__xludf.DUMMYFUNCTION("""COMPUTED_VALUE"""),3410.0)</f>
        <v>3410</v>
      </c>
      <c r="F692" s="2">
        <f>IFERROR(__xludf.DUMMYFUNCTION("""COMPUTED_VALUE"""),7509400.0)</f>
        <v>7509400</v>
      </c>
      <c r="G692" s="2">
        <f t="shared" si="1"/>
        <v>100</v>
      </c>
    </row>
    <row r="693" ht="15.75" customHeight="1">
      <c r="A693" s="1">
        <f>IFERROR(__xludf.DUMMYFUNCTION("""COMPUTED_VALUE"""),44866.625)</f>
        <v>44866.625</v>
      </c>
      <c r="B693" s="2">
        <f>IFERROR(__xludf.DUMMYFUNCTION("""COMPUTED_VALUE"""),3410.0)</f>
        <v>3410</v>
      </c>
      <c r="C693" s="2">
        <f>IFERROR(__xludf.DUMMYFUNCTION("""COMPUTED_VALUE"""),3420.0)</f>
        <v>3420</v>
      </c>
      <c r="D693" s="2">
        <f>IFERROR(__xludf.DUMMYFUNCTION("""COMPUTED_VALUE"""),3350.0)</f>
        <v>3350</v>
      </c>
      <c r="E693" s="2">
        <f>IFERROR(__xludf.DUMMYFUNCTION("""COMPUTED_VALUE"""),3400.0)</f>
        <v>3400</v>
      </c>
      <c r="F693" s="2">
        <f>IFERROR(__xludf.DUMMYFUNCTION("""COMPUTED_VALUE"""),5908200.0)</f>
        <v>5908200</v>
      </c>
      <c r="G693" s="2">
        <f t="shared" si="1"/>
        <v>70</v>
      </c>
    </row>
    <row r="694" ht="15.75" customHeight="1">
      <c r="A694" s="1">
        <f>IFERROR(__xludf.DUMMYFUNCTION("""COMPUTED_VALUE"""),44867.625)</f>
        <v>44867.625</v>
      </c>
      <c r="B694" s="2">
        <f>IFERROR(__xludf.DUMMYFUNCTION("""COMPUTED_VALUE"""),3400.0)</f>
        <v>3400</v>
      </c>
      <c r="C694" s="2">
        <f>IFERROR(__xludf.DUMMYFUNCTION("""COMPUTED_VALUE"""),3400.0)</f>
        <v>3400</v>
      </c>
      <c r="D694" s="2">
        <f>IFERROR(__xludf.DUMMYFUNCTION("""COMPUTED_VALUE"""),3310.0)</f>
        <v>3310</v>
      </c>
      <c r="E694" s="2">
        <f>IFERROR(__xludf.DUMMYFUNCTION("""COMPUTED_VALUE"""),3330.0)</f>
        <v>3330</v>
      </c>
      <c r="F694" s="2">
        <f>IFERROR(__xludf.DUMMYFUNCTION("""COMPUTED_VALUE"""),7814200.0)</f>
        <v>7814200</v>
      </c>
      <c r="G694" s="2">
        <f t="shared" si="1"/>
        <v>90</v>
      </c>
    </row>
    <row r="695" ht="15.75" customHeight="1">
      <c r="A695" s="1">
        <f>IFERROR(__xludf.DUMMYFUNCTION("""COMPUTED_VALUE"""),44868.66666666667)</f>
        <v>44868.66667</v>
      </c>
      <c r="B695" s="2">
        <f>IFERROR(__xludf.DUMMYFUNCTION("""COMPUTED_VALUE"""),3330.0)</f>
        <v>3330</v>
      </c>
      <c r="C695" s="2">
        <f>IFERROR(__xludf.DUMMYFUNCTION("""COMPUTED_VALUE"""),3340.0)</f>
        <v>3340</v>
      </c>
      <c r="D695" s="2">
        <f>IFERROR(__xludf.DUMMYFUNCTION("""COMPUTED_VALUE"""),3300.0)</f>
        <v>3300</v>
      </c>
      <c r="E695" s="2">
        <f>IFERROR(__xludf.DUMMYFUNCTION("""COMPUTED_VALUE"""),3330.0)</f>
        <v>3330</v>
      </c>
      <c r="F695" s="2">
        <f>IFERROR(__xludf.DUMMYFUNCTION("""COMPUTED_VALUE"""),3675500.0)</f>
        <v>3675500</v>
      </c>
      <c r="G695" s="2">
        <f t="shared" si="1"/>
        <v>40</v>
      </c>
    </row>
    <row r="696" ht="15.75" customHeight="1">
      <c r="A696" s="1">
        <f>IFERROR(__xludf.DUMMYFUNCTION("""COMPUTED_VALUE"""),44869.66666666667)</f>
        <v>44869.66667</v>
      </c>
      <c r="B696" s="2">
        <f>IFERROR(__xludf.DUMMYFUNCTION("""COMPUTED_VALUE"""),3370.0)</f>
        <v>3370</v>
      </c>
      <c r="C696" s="2">
        <f>IFERROR(__xludf.DUMMYFUNCTION("""COMPUTED_VALUE"""),3370.0)</f>
        <v>3370</v>
      </c>
      <c r="D696" s="2">
        <f>IFERROR(__xludf.DUMMYFUNCTION("""COMPUTED_VALUE"""),3280.0)</f>
        <v>3280</v>
      </c>
      <c r="E696" s="2">
        <f>IFERROR(__xludf.DUMMYFUNCTION("""COMPUTED_VALUE"""),3330.0)</f>
        <v>3330</v>
      </c>
      <c r="F696" s="2">
        <f>IFERROR(__xludf.DUMMYFUNCTION("""COMPUTED_VALUE"""),3917500.0)</f>
        <v>3917500</v>
      </c>
      <c r="G696" s="2">
        <f t="shared" si="1"/>
        <v>90</v>
      </c>
    </row>
    <row r="697" ht="15.75" customHeight="1">
      <c r="A697" s="1">
        <f>IFERROR(__xludf.DUMMYFUNCTION("""COMPUTED_VALUE"""),44872.66666666667)</f>
        <v>44872.66667</v>
      </c>
      <c r="B697" s="2">
        <f>IFERROR(__xludf.DUMMYFUNCTION("""COMPUTED_VALUE"""),3330.0)</f>
        <v>3330</v>
      </c>
      <c r="C697" s="2">
        <f>IFERROR(__xludf.DUMMYFUNCTION("""COMPUTED_VALUE"""),3340.0)</f>
        <v>3340</v>
      </c>
      <c r="D697" s="2">
        <f>IFERROR(__xludf.DUMMYFUNCTION("""COMPUTED_VALUE"""),3290.0)</f>
        <v>3290</v>
      </c>
      <c r="E697" s="2">
        <f>IFERROR(__xludf.DUMMYFUNCTION("""COMPUTED_VALUE"""),3300.0)</f>
        <v>3300</v>
      </c>
      <c r="F697" s="2">
        <f>IFERROR(__xludf.DUMMYFUNCTION("""COMPUTED_VALUE"""),3021000.0)</f>
        <v>3021000</v>
      </c>
      <c r="G697" s="2">
        <f t="shared" si="1"/>
        <v>50</v>
      </c>
    </row>
    <row r="698" ht="15.75" customHeight="1">
      <c r="A698" s="1">
        <f>IFERROR(__xludf.DUMMYFUNCTION("""COMPUTED_VALUE"""),44873.66666666667)</f>
        <v>44873.66667</v>
      </c>
      <c r="B698" s="2">
        <f>IFERROR(__xludf.DUMMYFUNCTION("""COMPUTED_VALUE"""),3320.0)</f>
        <v>3320</v>
      </c>
      <c r="C698" s="2">
        <f>IFERROR(__xludf.DUMMYFUNCTION("""COMPUTED_VALUE"""),3350.0)</f>
        <v>3350</v>
      </c>
      <c r="D698" s="2">
        <f>IFERROR(__xludf.DUMMYFUNCTION("""COMPUTED_VALUE"""),3300.0)</f>
        <v>3300</v>
      </c>
      <c r="E698" s="2">
        <f>IFERROR(__xludf.DUMMYFUNCTION("""COMPUTED_VALUE"""),3300.0)</f>
        <v>3300</v>
      </c>
      <c r="F698" s="2">
        <f>IFERROR(__xludf.DUMMYFUNCTION("""COMPUTED_VALUE"""),4661000.0)</f>
        <v>4661000</v>
      </c>
      <c r="G698" s="2">
        <f t="shared" si="1"/>
        <v>50</v>
      </c>
    </row>
    <row r="699" ht="15.75" customHeight="1">
      <c r="A699" s="1">
        <f>IFERROR(__xludf.DUMMYFUNCTION("""COMPUTED_VALUE"""),44874.66666666667)</f>
        <v>44874.66667</v>
      </c>
      <c r="B699" s="2">
        <f>IFERROR(__xludf.DUMMYFUNCTION("""COMPUTED_VALUE"""),3320.0)</f>
        <v>3320</v>
      </c>
      <c r="C699" s="2">
        <f>IFERROR(__xludf.DUMMYFUNCTION("""COMPUTED_VALUE"""),3330.0)</f>
        <v>3330</v>
      </c>
      <c r="D699" s="2">
        <f>IFERROR(__xludf.DUMMYFUNCTION("""COMPUTED_VALUE"""),3290.0)</f>
        <v>3290</v>
      </c>
      <c r="E699" s="2">
        <f>IFERROR(__xludf.DUMMYFUNCTION("""COMPUTED_VALUE"""),3300.0)</f>
        <v>3300</v>
      </c>
      <c r="F699" s="2">
        <f>IFERROR(__xludf.DUMMYFUNCTION("""COMPUTED_VALUE"""),2924600.0)</f>
        <v>2924600</v>
      </c>
      <c r="G699" s="2">
        <f t="shared" si="1"/>
        <v>40</v>
      </c>
    </row>
    <row r="700" ht="15.75" customHeight="1">
      <c r="A700" s="1">
        <f>IFERROR(__xludf.DUMMYFUNCTION("""COMPUTED_VALUE"""),44875.66666666667)</f>
        <v>44875.66667</v>
      </c>
      <c r="B700" s="2">
        <f>IFERROR(__xludf.DUMMYFUNCTION("""COMPUTED_VALUE"""),3310.0)</f>
        <v>3310</v>
      </c>
      <c r="C700" s="2">
        <f>IFERROR(__xludf.DUMMYFUNCTION("""COMPUTED_VALUE"""),3330.0)</f>
        <v>3330</v>
      </c>
      <c r="D700" s="2">
        <f>IFERROR(__xludf.DUMMYFUNCTION("""COMPUTED_VALUE"""),3300.0)</f>
        <v>3300</v>
      </c>
      <c r="E700" s="2">
        <f>IFERROR(__xludf.DUMMYFUNCTION("""COMPUTED_VALUE"""),3330.0)</f>
        <v>3330</v>
      </c>
      <c r="F700" s="2">
        <f>IFERROR(__xludf.DUMMYFUNCTION("""COMPUTED_VALUE"""),2078500.0)</f>
        <v>2078500</v>
      </c>
      <c r="G700" s="2">
        <f t="shared" si="1"/>
        <v>30</v>
      </c>
    </row>
    <row r="701" ht="15.75" customHeight="1">
      <c r="A701" s="1">
        <f>IFERROR(__xludf.DUMMYFUNCTION("""COMPUTED_VALUE"""),44876.66666666667)</f>
        <v>44876.66667</v>
      </c>
      <c r="B701" s="2">
        <f>IFERROR(__xludf.DUMMYFUNCTION("""COMPUTED_VALUE"""),3370.0)</f>
        <v>3370</v>
      </c>
      <c r="C701" s="2">
        <f>IFERROR(__xludf.DUMMYFUNCTION("""COMPUTED_VALUE"""),3370.0)</f>
        <v>3370</v>
      </c>
      <c r="D701" s="2">
        <f>IFERROR(__xludf.DUMMYFUNCTION("""COMPUTED_VALUE"""),3300.0)</f>
        <v>3300</v>
      </c>
      <c r="E701" s="2">
        <f>IFERROR(__xludf.DUMMYFUNCTION("""COMPUTED_VALUE"""),3330.0)</f>
        <v>3330</v>
      </c>
      <c r="F701" s="2">
        <f>IFERROR(__xludf.DUMMYFUNCTION("""COMPUTED_VALUE"""),5509100.0)</f>
        <v>5509100</v>
      </c>
      <c r="G701" s="2">
        <f t="shared" si="1"/>
        <v>70</v>
      </c>
    </row>
    <row r="702" ht="15.75" customHeight="1">
      <c r="A702" s="1">
        <f>IFERROR(__xludf.DUMMYFUNCTION("""COMPUTED_VALUE"""),44879.66666666667)</f>
        <v>44879.66667</v>
      </c>
      <c r="B702" s="2">
        <f>IFERROR(__xludf.DUMMYFUNCTION("""COMPUTED_VALUE"""),3330.0)</f>
        <v>3330</v>
      </c>
      <c r="C702" s="2">
        <f>IFERROR(__xludf.DUMMYFUNCTION("""COMPUTED_VALUE"""),3330.0)</f>
        <v>3330</v>
      </c>
      <c r="D702" s="2">
        <f>IFERROR(__xludf.DUMMYFUNCTION("""COMPUTED_VALUE"""),3290.0)</f>
        <v>3290</v>
      </c>
      <c r="E702" s="2">
        <f>IFERROR(__xludf.DUMMYFUNCTION("""COMPUTED_VALUE"""),3310.0)</f>
        <v>3310</v>
      </c>
      <c r="F702" s="2">
        <f>IFERROR(__xludf.DUMMYFUNCTION("""COMPUTED_VALUE"""),2763200.0)</f>
        <v>2763200</v>
      </c>
      <c r="G702" s="2">
        <f t="shared" si="1"/>
        <v>40</v>
      </c>
    </row>
    <row r="703" ht="15.75" customHeight="1">
      <c r="A703" s="1">
        <f>IFERROR(__xludf.DUMMYFUNCTION("""COMPUTED_VALUE"""),44880.66666666667)</f>
        <v>44880.66667</v>
      </c>
      <c r="B703" s="2">
        <f>IFERROR(__xludf.DUMMYFUNCTION("""COMPUTED_VALUE"""),3310.0)</f>
        <v>3310</v>
      </c>
      <c r="C703" s="2">
        <f>IFERROR(__xludf.DUMMYFUNCTION("""COMPUTED_VALUE"""),3320.0)</f>
        <v>3320</v>
      </c>
      <c r="D703" s="2">
        <f>IFERROR(__xludf.DUMMYFUNCTION("""COMPUTED_VALUE"""),3270.0)</f>
        <v>3270</v>
      </c>
      <c r="E703" s="2">
        <f>IFERROR(__xludf.DUMMYFUNCTION("""COMPUTED_VALUE"""),3280.0)</f>
        <v>3280</v>
      </c>
      <c r="F703" s="2">
        <f>IFERROR(__xludf.DUMMYFUNCTION("""COMPUTED_VALUE"""),4348400.0)</f>
        <v>4348400</v>
      </c>
      <c r="G703" s="2">
        <f t="shared" si="1"/>
        <v>50</v>
      </c>
    </row>
    <row r="704" ht="15.75" customHeight="1">
      <c r="A704" s="1">
        <f>IFERROR(__xludf.DUMMYFUNCTION("""COMPUTED_VALUE"""),44881.66666666667)</f>
        <v>44881.66667</v>
      </c>
      <c r="B704" s="2">
        <f>IFERROR(__xludf.DUMMYFUNCTION("""COMPUTED_VALUE"""),3280.0)</f>
        <v>3280</v>
      </c>
      <c r="C704" s="2">
        <f>IFERROR(__xludf.DUMMYFUNCTION("""COMPUTED_VALUE"""),3310.0)</f>
        <v>3310</v>
      </c>
      <c r="D704" s="2">
        <f>IFERROR(__xludf.DUMMYFUNCTION("""COMPUTED_VALUE"""),3250.0)</f>
        <v>3250</v>
      </c>
      <c r="E704" s="2">
        <f>IFERROR(__xludf.DUMMYFUNCTION("""COMPUTED_VALUE"""),3270.0)</f>
        <v>3270</v>
      </c>
      <c r="F704" s="2">
        <f>IFERROR(__xludf.DUMMYFUNCTION("""COMPUTED_VALUE"""),2951400.0)</f>
        <v>2951400</v>
      </c>
      <c r="G704" s="2">
        <f t="shared" si="1"/>
        <v>60</v>
      </c>
    </row>
    <row r="705" ht="15.75" customHeight="1">
      <c r="A705" s="1">
        <f>IFERROR(__xludf.DUMMYFUNCTION("""COMPUTED_VALUE"""),44882.66666666667)</f>
        <v>44882.66667</v>
      </c>
      <c r="B705" s="2">
        <f>IFERROR(__xludf.DUMMYFUNCTION("""COMPUTED_VALUE"""),3270.0)</f>
        <v>3270</v>
      </c>
      <c r="C705" s="2">
        <f>IFERROR(__xludf.DUMMYFUNCTION("""COMPUTED_VALUE"""),3280.0)</f>
        <v>3280</v>
      </c>
      <c r="D705" s="2">
        <f>IFERROR(__xludf.DUMMYFUNCTION("""COMPUTED_VALUE"""),3260.0)</f>
        <v>3260</v>
      </c>
      <c r="E705" s="2">
        <f>IFERROR(__xludf.DUMMYFUNCTION("""COMPUTED_VALUE"""),3260.0)</f>
        <v>3260</v>
      </c>
      <c r="F705" s="2">
        <f>IFERROR(__xludf.DUMMYFUNCTION("""COMPUTED_VALUE"""),2950200.0)</f>
        <v>2950200</v>
      </c>
      <c r="G705" s="2">
        <f t="shared" si="1"/>
        <v>20</v>
      </c>
    </row>
    <row r="706" ht="15.75" customHeight="1">
      <c r="A706" s="1">
        <f>IFERROR(__xludf.DUMMYFUNCTION("""COMPUTED_VALUE"""),44883.66666666667)</f>
        <v>44883.66667</v>
      </c>
      <c r="B706" s="2">
        <f>IFERROR(__xludf.DUMMYFUNCTION("""COMPUTED_VALUE"""),3260.0)</f>
        <v>3260</v>
      </c>
      <c r="C706" s="2">
        <f>IFERROR(__xludf.DUMMYFUNCTION("""COMPUTED_VALUE"""),3310.0)</f>
        <v>3310</v>
      </c>
      <c r="D706" s="2">
        <f>IFERROR(__xludf.DUMMYFUNCTION("""COMPUTED_VALUE"""),3260.0)</f>
        <v>3260</v>
      </c>
      <c r="E706" s="2">
        <f>IFERROR(__xludf.DUMMYFUNCTION("""COMPUTED_VALUE"""),3260.0)</f>
        <v>3260</v>
      </c>
      <c r="F706" s="2">
        <f>IFERROR(__xludf.DUMMYFUNCTION("""COMPUTED_VALUE"""),2238000.0)</f>
        <v>2238000</v>
      </c>
      <c r="G706" s="2">
        <f t="shared" si="1"/>
        <v>50</v>
      </c>
    </row>
    <row r="707" ht="15.75" customHeight="1">
      <c r="A707" s="1">
        <f>IFERROR(__xludf.DUMMYFUNCTION("""COMPUTED_VALUE"""),44886.66666666667)</f>
        <v>44886.66667</v>
      </c>
      <c r="B707" s="2">
        <f>IFERROR(__xludf.DUMMYFUNCTION("""COMPUTED_VALUE"""),3270.0)</f>
        <v>3270</v>
      </c>
      <c r="C707" s="2">
        <f>IFERROR(__xludf.DUMMYFUNCTION("""COMPUTED_VALUE"""),3300.0)</f>
        <v>3300</v>
      </c>
      <c r="D707" s="2">
        <f>IFERROR(__xludf.DUMMYFUNCTION("""COMPUTED_VALUE"""),3260.0)</f>
        <v>3260</v>
      </c>
      <c r="E707" s="2">
        <f>IFERROR(__xludf.DUMMYFUNCTION("""COMPUTED_VALUE"""),3270.0)</f>
        <v>3270</v>
      </c>
      <c r="F707" s="2">
        <f>IFERROR(__xludf.DUMMYFUNCTION("""COMPUTED_VALUE"""),1972300.0)</f>
        <v>1972300</v>
      </c>
      <c r="G707" s="2">
        <f t="shared" si="1"/>
        <v>40</v>
      </c>
    </row>
    <row r="708" ht="15.75" customHeight="1">
      <c r="A708" s="1">
        <f>IFERROR(__xludf.DUMMYFUNCTION("""COMPUTED_VALUE"""),44887.66666666667)</f>
        <v>44887.66667</v>
      </c>
      <c r="B708" s="2">
        <f>IFERROR(__xludf.DUMMYFUNCTION("""COMPUTED_VALUE"""),3280.0)</f>
        <v>3280</v>
      </c>
      <c r="C708" s="2">
        <f>IFERROR(__xludf.DUMMYFUNCTION("""COMPUTED_VALUE"""),3300.0)</f>
        <v>3300</v>
      </c>
      <c r="D708" s="2">
        <f>IFERROR(__xludf.DUMMYFUNCTION("""COMPUTED_VALUE"""),3270.0)</f>
        <v>3270</v>
      </c>
      <c r="E708" s="2">
        <f>IFERROR(__xludf.DUMMYFUNCTION("""COMPUTED_VALUE"""),3270.0)</f>
        <v>3270</v>
      </c>
      <c r="F708" s="2">
        <f>IFERROR(__xludf.DUMMYFUNCTION("""COMPUTED_VALUE"""),1468100.0)</f>
        <v>1468100</v>
      </c>
      <c r="G708" s="2">
        <f t="shared" si="1"/>
        <v>30</v>
      </c>
    </row>
    <row r="709" ht="15.75" customHeight="1">
      <c r="A709" s="1">
        <f>IFERROR(__xludf.DUMMYFUNCTION("""COMPUTED_VALUE"""),44888.66666666667)</f>
        <v>44888.66667</v>
      </c>
      <c r="B709" s="2">
        <f>IFERROR(__xludf.DUMMYFUNCTION("""COMPUTED_VALUE"""),3280.0)</f>
        <v>3280</v>
      </c>
      <c r="C709" s="2">
        <f>IFERROR(__xludf.DUMMYFUNCTION("""COMPUTED_VALUE"""),3300.0)</f>
        <v>3300</v>
      </c>
      <c r="D709" s="2">
        <f>IFERROR(__xludf.DUMMYFUNCTION("""COMPUTED_VALUE"""),3220.0)</f>
        <v>3220</v>
      </c>
      <c r="E709" s="2">
        <f>IFERROR(__xludf.DUMMYFUNCTION("""COMPUTED_VALUE"""),3220.0)</f>
        <v>3220</v>
      </c>
      <c r="F709" s="2">
        <f>IFERROR(__xludf.DUMMYFUNCTION("""COMPUTED_VALUE"""),8637300.0)</f>
        <v>8637300</v>
      </c>
      <c r="G709" s="2">
        <f t="shared" si="1"/>
        <v>80</v>
      </c>
    </row>
    <row r="710" ht="15.75" customHeight="1">
      <c r="A710" s="1">
        <f>IFERROR(__xludf.DUMMYFUNCTION("""COMPUTED_VALUE"""),44889.66666666667)</f>
        <v>44889.66667</v>
      </c>
      <c r="B710" s="2">
        <f>IFERROR(__xludf.DUMMYFUNCTION("""COMPUTED_VALUE"""),3220.0)</f>
        <v>3220</v>
      </c>
      <c r="C710" s="2">
        <f>IFERROR(__xludf.DUMMYFUNCTION("""COMPUTED_VALUE"""),3250.0)</f>
        <v>3250</v>
      </c>
      <c r="D710" s="2">
        <f>IFERROR(__xludf.DUMMYFUNCTION("""COMPUTED_VALUE"""),3220.0)</f>
        <v>3220</v>
      </c>
      <c r="E710" s="2">
        <f>IFERROR(__xludf.DUMMYFUNCTION("""COMPUTED_VALUE"""),3220.0)</f>
        <v>3220</v>
      </c>
      <c r="F710" s="2">
        <f>IFERROR(__xludf.DUMMYFUNCTION("""COMPUTED_VALUE"""),4626600.0)</f>
        <v>4626600</v>
      </c>
      <c r="G710" s="2">
        <f t="shared" si="1"/>
        <v>30</v>
      </c>
    </row>
    <row r="711" ht="15.75" customHeight="1">
      <c r="A711" s="1">
        <f>IFERROR(__xludf.DUMMYFUNCTION("""COMPUTED_VALUE"""),44890.66666666667)</f>
        <v>44890.66667</v>
      </c>
      <c r="B711" s="2">
        <f>IFERROR(__xludf.DUMMYFUNCTION("""COMPUTED_VALUE"""),3250.0)</f>
        <v>3250</v>
      </c>
      <c r="C711" s="2">
        <f>IFERROR(__xludf.DUMMYFUNCTION("""COMPUTED_VALUE"""),3270.0)</f>
        <v>3270</v>
      </c>
      <c r="D711" s="2">
        <f>IFERROR(__xludf.DUMMYFUNCTION("""COMPUTED_VALUE"""),3230.0)</f>
        <v>3230</v>
      </c>
      <c r="E711" s="2">
        <f>IFERROR(__xludf.DUMMYFUNCTION("""COMPUTED_VALUE"""),3250.0)</f>
        <v>3250</v>
      </c>
      <c r="F711" s="2">
        <f>IFERROR(__xludf.DUMMYFUNCTION("""COMPUTED_VALUE"""),3524300.0)</f>
        <v>3524300</v>
      </c>
      <c r="G711" s="2">
        <f t="shared" si="1"/>
        <v>50</v>
      </c>
    </row>
    <row r="712" ht="15.75" customHeight="1">
      <c r="A712" s="1">
        <f>IFERROR(__xludf.DUMMYFUNCTION("""COMPUTED_VALUE"""),44893.66666666667)</f>
        <v>44893.66667</v>
      </c>
      <c r="B712" s="2">
        <f>IFERROR(__xludf.DUMMYFUNCTION("""COMPUTED_VALUE"""),3250.0)</f>
        <v>3250</v>
      </c>
      <c r="C712" s="2">
        <f>IFERROR(__xludf.DUMMYFUNCTION("""COMPUTED_VALUE"""),3260.0)</f>
        <v>3260</v>
      </c>
      <c r="D712" s="2">
        <f>IFERROR(__xludf.DUMMYFUNCTION("""COMPUTED_VALUE"""),3220.0)</f>
        <v>3220</v>
      </c>
      <c r="E712" s="2">
        <f>IFERROR(__xludf.DUMMYFUNCTION("""COMPUTED_VALUE"""),3220.0)</f>
        <v>3220</v>
      </c>
      <c r="F712" s="2">
        <f>IFERROR(__xludf.DUMMYFUNCTION("""COMPUTED_VALUE"""),3964800.0)</f>
        <v>3964800</v>
      </c>
      <c r="G712" s="2">
        <f t="shared" si="1"/>
        <v>40</v>
      </c>
    </row>
    <row r="713" ht="15.75" customHeight="1">
      <c r="A713" s="1">
        <f>IFERROR(__xludf.DUMMYFUNCTION("""COMPUTED_VALUE"""),44894.66666666667)</f>
        <v>44894.66667</v>
      </c>
      <c r="B713" s="2">
        <f>IFERROR(__xludf.DUMMYFUNCTION("""COMPUTED_VALUE"""),3220.0)</f>
        <v>3220</v>
      </c>
      <c r="C713" s="2">
        <f>IFERROR(__xludf.DUMMYFUNCTION("""COMPUTED_VALUE"""),3240.0)</f>
        <v>3240</v>
      </c>
      <c r="D713" s="2">
        <f>IFERROR(__xludf.DUMMYFUNCTION("""COMPUTED_VALUE"""),3190.0)</f>
        <v>3190</v>
      </c>
      <c r="E713" s="2">
        <f>IFERROR(__xludf.DUMMYFUNCTION("""COMPUTED_VALUE"""),3190.0)</f>
        <v>3190</v>
      </c>
      <c r="F713" s="2">
        <f>IFERROR(__xludf.DUMMYFUNCTION("""COMPUTED_VALUE"""),7812300.0)</f>
        <v>7812300</v>
      </c>
      <c r="G713" s="2">
        <f t="shared" si="1"/>
        <v>50</v>
      </c>
    </row>
    <row r="714" ht="15.75" customHeight="1">
      <c r="A714" s="1">
        <f>IFERROR(__xludf.DUMMYFUNCTION("""COMPUTED_VALUE"""),44895.66666666667)</f>
        <v>44895.66667</v>
      </c>
      <c r="B714" s="2">
        <f>IFERROR(__xludf.DUMMYFUNCTION("""COMPUTED_VALUE"""),3190.0)</f>
        <v>3190</v>
      </c>
      <c r="C714" s="2">
        <f>IFERROR(__xludf.DUMMYFUNCTION("""COMPUTED_VALUE"""),3200.0)</f>
        <v>3200</v>
      </c>
      <c r="D714" s="2">
        <f>IFERROR(__xludf.DUMMYFUNCTION("""COMPUTED_VALUE"""),3090.0)</f>
        <v>3090</v>
      </c>
      <c r="E714" s="2">
        <f>IFERROR(__xludf.DUMMYFUNCTION("""COMPUTED_VALUE"""),3110.0)</f>
        <v>3110</v>
      </c>
      <c r="F714" s="2">
        <f>IFERROR(__xludf.DUMMYFUNCTION("""COMPUTED_VALUE"""),1.16595E7)</f>
        <v>11659500</v>
      </c>
      <c r="G714" s="2">
        <f t="shared" si="1"/>
        <v>110</v>
      </c>
    </row>
    <row r="715" ht="15.75" customHeight="1">
      <c r="A715" s="1">
        <f>IFERROR(__xludf.DUMMYFUNCTION("""COMPUTED_VALUE"""),44896.66666666667)</f>
        <v>44896.66667</v>
      </c>
      <c r="B715" s="2">
        <f>IFERROR(__xludf.DUMMYFUNCTION("""COMPUTED_VALUE"""),3110.0)</f>
        <v>3110</v>
      </c>
      <c r="C715" s="2">
        <f>IFERROR(__xludf.DUMMYFUNCTION("""COMPUTED_VALUE"""),3130.0)</f>
        <v>3130</v>
      </c>
      <c r="D715" s="2">
        <f>IFERROR(__xludf.DUMMYFUNCTION("""COMPUTED_VALUE"""),3080.0)</f>
        <v>3080</v>
      </c>
      <c r="E715" s="2">
        <f>IFERROR(__xludf.DUMMYFUNCTION("""COMPUTED_VALUE"""),3100.0)</f>
        <v>3100</v>
      </c>
      <c r="F715" s="2">
        <f>IFERROR(__xludf.DUMMYFUNCTION("""COMPUTED_VALUE"""),7413900.0)</f>
        <v>7413900</v>
      </c>
      <c r="G715" s="2">
        <f t="shared" si="1"/>
        <v>50</v>
      </c>
    </row>
    <row r="716" ht="15.75" customHeight="1">
      <c r="A716" s="1">
        <f>IFERROR(__xludf.DUMMYFUNCTION("""COMPUTED_VALUE"""),44897.66666666667)</f>
        <v>44897.66667</v>
      </c>
      <c r="B716" s="2">
        <f>IFERROR(__xludf.DUMMYFUNCTION("""COMPUTED_VALUE"""),3100.0)</f>
        <v>3100</v>
      </c>
      <c r="C716" s="2">
        <f>IFERROR(__xludf.DUMMYFUNCTION("""COMPUTED_VALUE"""),3110.0)</f>
        <v>3110</v>
      </c>
      <c r="D716" s="2">
        <f>IFERROR(__xludf.DUMMYFUNCTION("""COMPUTED_VALUE"""),3000.0)</f>
        <v>3000</v>
      </c>
      <c r="E716" s="2">
        <f>IFERROR(__xludf.DUMMYFUNCTION("""COMPUTED_VALUE"""),3020.0)</f>
        <v>3020</v>
      </c>
      <c r="F716" s="2">
        <f>IFERROR(__xludf.DUMMYFUNCTION("""COMPUTED_VALUE"""),1.28523E7)</f>
        <v>12852300</v>
      </c>
      <c r="G716" s="2">
        <f t="shared" si="1"/>
        <v>110</v>
      </c>
    </row>
    <row r="717" ht="15.75" customHeight="1">
      <c r="A717" s="1">
        <f>IFERROR(__xludf.DUMMYFUNCTION("""COMPUTED_VALUE"""),44900.66666666667)</f>
        <v>44900.66667</v>
      </c>
      <c r="B717" s="2">
        <f>IFERROR(__xludf.DUMMYFUNCTION("""COMPUTED_VALUE"""),3030.0)</f>
        <v>3030</v>
      </c>
      <c r="C717" s="2">
        <f>IFERROR(__xludf.DUMMYFUNCTION("""COMPUTED_VALUE"""),3060.0)</f>
        <v>3060</v>
      </c>
      <c r="D717" s="2">
        <f>IFERROR(__xludf.DUMMYFUNCTION("""COMPUTED_VALUE"""),3010.0)</f>
        <v>3010</v>
      </c>
      <c r="E717" s="2">
        <f>IFERROR(__xludf.DUMMYFUNCTION("""COMPUTED_VALUE"""),3010.0)</f>
        <v>3010</v>
      </c>
      <c r="F717" s="2">
        <f>IFERROR(__xludf.DUMMYFUNCTION("""COMPUTED_VALUE"""),7170000.0)</f>
        <v>7170000</v>
      </c>
      <c r="G717" s="2">
        <f t="shared" si="1"/>
        <v>50</v>
      </c>
    </row>
    <row r="718" ht="15.75" customHeight="1">
      <c r="A718" s="1">
        <f>IFERROR(__xludf.DUMMYFUNCTION("""COMPUTED_VALUE"""),44901.66666666667)</f>
        <v>44901.66667</v>
      </c>
      <c r="B718" s="2">
        <f>IFERROR(__xludf.DUMMYFUNCTION("""COMPUTED_VALUE"""),3010.0)</f>
        <v>3010</v>
      </c>
      <c r="C718" s="2">
        <f>IFERROR(__xludf.DUMMYFUNCTION("""COMPUTED_VALUE"""),3020.0)</f>
        <v>3020</v>
      </c>
      <c r="D718" s="2">
        <f>IFERROR(__xludf.DUMMYFUNCTION("""COMPUTED_VALUE"""),2820.0)</f>
        <v>2820</v>
      </c>
      <c r="E718" s="2">
        <f>IFERROR(__xludf.DUMMYFUNCTION("""COMPUTED_VALUE"""),2840.0)</f>
        <v>2840</v>
      </c>
      <c r="F718" s="2">
        <f>IFERROR(__xludf.DUMMYFUNCTION("""COMPUTED_VALUE"""),1.40157E7)</f>
        <v>14015700</v>
      </c>
      <c r="G718" s="2">
        <f t="shared" si="1"/>
        <v>200</v>
      </c>
    </row>
    <row r="719" ht="15.75" customHeight="1">
      <c r="A719" s="1">
        <f>IFERROR(__xludf.DUMMYFUNCTION("""COMPUTED_VALUE"""),44902.66666666667)</f>
        <v>44902.66667</v>
      </c>
      <c r="B719" s="2">
        <f>IFERROR(__xludf.DUMMYFUNCTION("""COMPUTED_VALUE"""),2840.0)</f>
        <v>2840</v>
      </c>
      <c r="C719" s="2">
        <f>IFERROR(__xludf.DUMMYFUNCTION("""COMPUTED_VALUE"""),2890.0)</f>
        <v>2890</v>
      </c>
      <c r="D719" s="2">
        <f>IFERROR(__xludf.DUMMYFUNCTION("""COMPUTED_VALUE"""),2770.0)</f>
        <v>2770</v>
      </c>
      <c r="E719" s="2">
        <f>IFERROR(__xludf.DUMMYFUNCTION("""COMPUTED_VALUE"""),2880.0)</f>
        <v>2880</v>
      </c>
      <c r="F719" s="2">
        <f>IFERROR(__xludf.DUMMYFUNCTION("""COMPUTED_VALUE"""),9688400.0)</f>
        <v>9688400</v>
      </c>
      <c r="G719" s="2">
        <f t="shared" si="1"/>
        <v>120</v>
      </c>
    </row>
    <row r="720" ht="15.75" customHeight="1">
      <c r="A720" s="1">
        <f>IFERROR(__xludf.DUMMYFUNCTION("""COMPUTED_VALUE"""),44903.66666666667)</f>
        <v>44903.66667</v>
      </c>
      <c r="B720" s="2">
        <f>IFERROR(__xludf.DUMMYFUNCTION("""COMPUTED_VALUE"""),2880.0)</f>
        <v>2880</v>
      </c>
      <c r="C720" s="2">
        <f>IFERROR(__xludf.DUMMYFUNCTION("""COMPUTED_VALUE"""),2940.0)</f>
        <v>2940</v>
      </c>
      <c r="D720" s="2">
        <f>IFERROR(__xludf.DUMMYFUNCTION("""COMPUTED_VALUE"""),2840.0)</f>
        <v>2840</v>
      </c>
      <c r="E720" s="2">
        <f>IFERROR(__xludf.DUMMYFUNCTION("""COMPUTED_VALUE"""),2880.0)</f>
        <v>2880</v>
      </c>
      <c r="F720" s="2">
        <f>IFERROR(__xludf.DUMMYFUNCTION("""COMPUTED_VALUE"""),8055800.0)</f>
        <v>8055800</v>
      </c>
      <c r="G720" s="2">
        <f t="shared" si="1"/>
        <v>100</v>
      </c>
    </row>
    <row r="721" ht="15.75" customHeight="1">
      <c r="A721" s="1">
        <f>IFERROR(__xludf.DUMMYFUNCTION("""COMPUTED_VALUE"""),44904.66666666667)</f>
        <v>44904.66667</v>
      </c>
      <c r="B721" s="2">
        <f>IFERROR(__xludf.DUMMYFUNCTION("""COMPUTED_VALUE"""),2930.0)</f>
        <v>2930</v>
      </c>
      <c r="C721" s="2">
        <f>IFERROR(__xludf.DUMMYFUNCTION("""COMPUTED_VALUE"""),2930.0)</f>
        <v>2930</v>
      </c>
      <c r="D721" s="2">
        <f>IFERROR(__xludf.DUMMYFUNCTION("""COMPUTED_VALUE"""),2860.0)</f>
        <v>2860</v>
      </c>
      <c r="E721" s="2">
        <f>IFERROR(__xludf.DUMMYFUNCTION("""COMPUTED_VALUE"""),2900.0)</f>
        <v>2900</v>
      </c>
      <c r="F721" s="2">
        <f>IFERROR(__xludf.DUMMYFUNCTION("""COMPUTED_VALUE"""),5311800.0)</f>
        <v>5311800</v>
      </c>
      <c r="G721" s="2">
        <f t="shared" si="1"/>
        <v>70</v>
      </c>
    </row>
    <row r="722" ht="15.75" customHeight="1">
      <c r="A722" s="1">
        <f>IFERROR(__xludf.DUMMYFUNCTION("""COMPUTED_VALUE"""),44907.66666666667)</f>
        <v>44907.66667</v>
      </c>
      <c r="B722" s="2">
        <f>IFERROR(__xludf.DUMMYFUNCTION("""COMPUTED_VALUE"""),2910.0)</f>
        <v>2910</v>
      </c>
      <c r="C722" s="2">
        <f>IFERROR(__xludf.DUMMYFUNCTION("""COMPUTED_VALUE"""),2920.0)</f>
        <v>2920</v>
      </c>
      <c r="D722" s="2">
        <f>IFERROR(__xludf.DUMMYFUNCTION("""COMPUTED_VALUE"""),2860.0)</f>
        <v>2860</v>
      </c>
      <c r="E722" s="2">
        <f>IFERROR(__xludf.DUMMYFUNCTION("""COMPUTED_VALUE"""),2880.0)</f>
        <v>2880</v>
      </c>
      <c r="F722" s="2">
        <f>IFERROR(__xludf.DUMMYFUNCTION("""COMPUTED_VALUE"""),5905200.0)</f>
        <v>5905200</v>
      </c>
      <c r="G722" s="2">
        <f t="shared" si="1"/>
        <v>60</v>
      </c>
    </row>
    <row r="723" ht="15.75" customHeight="1">
      <c r="A723" s="1">
        <f>IFERROR(__xludf.DUMMYFUNCTION("""COMPUTED_VALUE"""),44908.66666666667)</f>
        <v>44908.66667</v>
      </c>
      <c r="B723" s="2">
        <f>IFERROR(__xludf.DUMMYFUNCTION("""COMPUTED_VALUE"""),2900.0)</f>
        <v>2900</v>
      </c>
      <c r="C723" s="2">
        <f>IFERROR(__xludf.DUMMYFUNCTION("""COMPUTED_VALUE"""),2930.0)</f>
        <v>2930</v>
      </c>
      <c r="D723" s="2">
        <f>IFERROR(__xludf.DUMMYFUNCTION("""COMPUTED_VALUE"""),2890.0)</f>
        <v>2890</v>
      </c>
      <c r="E723" s="2">
        <f>IFERROR(__xludf.DUMMYFUNCTION("""COMPUTED_VALUE"""),2910.0)</f>
        <v>2910</v>
      </c>
      <c r="F723" s="2">
        <f>IFERROR(__xludf.DUMMYFUNCTION("""COMPUTED_VALUE"""),5191500.0)</f>
        <v>5191500</v>
      </c>
      <c r="G723" s="2">
        <f t="shared" si="1"/>
        <v>50</v>
      </c>
    </row>
    <row r="724" ht="15.75" customHeight="1">
      <c r="A724" s="1">
        <f>IFERROR(__xludf.DUMMYFUNCTION("""COMPUTED_VALUE"""),44909.66666666667)</f>
        <v>44909.66667</v>
      </c>
      <c r="B724" s="2">
        <f>IFERROR(__xludf.DUMMYFUNCTION("""COMPUTED_VALUE"""),2950.0)</f>
        <v>2950</v>
      </c>
      <c r="C724" s="2">
        <f>IFERROR(__xludf.DUMMYFUNCTION("""COMPUTED_VALUE"""),3010.0)</f>
        <v>3010</v>
      </c>
      <c r="D724" s="2">
        <f>IFERROR(__xludf.DUMMYFUNCTION("""COMPUTED_VALUE"""),2950.0)</f>
        <v>2950</v>
      </c>
      <c r="E724" s="2">
        <f>IFERROR(__xludf.DUMMYFUNCTION("""COMPUTED_VALUE"""),2990.0)</f>
        <v>2990</v>
      </c>
      <c r="F724" s="2">
        <f>IFERROR(__xludf.DUMMYFUNCTION("""COMPUTED_VALUE"""),5985400.0)</f>
        <v>5985400</v>
      </c>
      <c r="G724" s="2">
        <f t="shared" si="1"/>
        <v>100</v>
      </c>
    </row>
    <row r="725" ht="15.75" customHeight="1">
      <c r="A725" s="1">
        <f>IFERROR(__xludf.DUMMYFUNCTION("""COMPUTED_VALUE"""),44910.66666666667)</f>
        <v>44910.66667</v>
      </c>
      <c r="B725" s="2">
        <f>IFERROR(__xludf.DUMMYFUNCTION("""COMPUTED_VALUE"""),2990.0)</f>
        <v>2990</v>
      </c>
      <c r="C725" s="2">
        <f>IFERROR(__xludf.DUMMYFUNCTION("""COMPUTED_VALUE"""),3060.0)</f>
        <v>3060</v>
      </c>
      <c r="D725" s="2">
        <f>IFERROR(__xludf.DUMMYFUNCTION("""COMPUTED_VALUE"""),2990.0)</f>
        <v>2990</v>
      </c>
      <c r="E725" s="2">
        <f>IFERROR(__xludf.DUMMYFUNCTION("""COMPUTED_VALUE"""),3040.0)</f>
        <v>3040</v>
      </c>
      <c r="F725" s="2">
        <f>IFERROR(__xludf.DUMMYFUNCTION("""COMPUTED_VALUE"""),4091100.0)</f>
        <v>4091100</v>
      </c>
      <c r="G725" s="2">
        <f t="shared" si="1"/>
        <v>70</v>
      </c>
    </row>
    <row r="726" ht="15.75" customHeight="1">
      <c r="A726" s="1">
        <f>IFERROR(__xludf.DUMMYFUNCTION("""COMPUTED_VALUE"""),44911.66666666667)</f>
        <v>44911.66667</v>
      </c>
      <c r="B726" s="2">
        <f>IFERROR(__xludf.DUMMYFUNCTION("""COMPUTED_VALUE"""),3050.0)</f>
        <v>3050</v>
      </c>
      <c r="C726" s="2">
        <f>IFERROR(__xludf.DUMMYFUNCTION("""COMPUTED_VALUE"""),3050.0)</f>
        <v>3050</v>
      </c>
      <c r="D726" s="2">
        <f>IFERROR(__xludf.DUMMYFUNCTION("""COMPUTED_VALUE"""),2960.0)</f>
        <v>2960</v>
      </c>
      <c r="E726" s="2">
        <f>IFERROR(__xludf.DUMMYFUNCTION("""COMPUTED_VALUE"""),2960.0)</f>
        <v>2960</v>
      </c>
      <c r="F726" s="2">
        <f>IFERROR(__xludf.DUMMYFUNCTION("""COMPUTED_VALUE"""),3969200.0)</f>
        <v>3969200</v>
      </c>
      <c r="G726" s="2">
        <f t="shared" si="1"/>
        <v>90</v>
      </c>
    </row>
    <row r="727" ht="15.75" customHeight="1">
      <c r="A727" s="1">
        <f>IFERROR(__xludf.DUMMYFUNCTION("""COMPUTED_VALUE"""),44914.66666666667)</f>
        <v>44914.66667</v>
      </c>
      <c r="B727" s="2">
        <f>IFERROR(__xludf.DUMMYFUNCTION("""COMPUTED_VALUE"""),3000.0)</f>
        <v>3000</v>
      </c>
      <c r="C727" s="2">
        <f>IFERROR(__xludf.DUMMYFUNCTION("""COMPUTED_VALUE"""),3000.0)</f>
        <v>3000</v>
      </c>
      <c r="D727" s="2">
        <f>IFERROR(__xludf.DUMMYFUNCTION("""COMPUTED_VALUE"""),2970.0)</f>
        <v>2970</v>
      </c>
      <c r="E727" s="2">
        <f>IFERROR(__xludf.DUMMYFUNCTION("""COMPUTED_VALUE"""),2990.0)</f>
        <v>2990</v>
      </c>
      <c r="F727" s="2">
        <f>IFERROR(__xludf.DUMMYFUNCTION("""COMPUTED_VALUE"""),1735600.0)</f>
        <v>1735600</v>
      </c>
      <c r="G727" s="2">
        <f t="shared" si="1"/>
        <v>40</v>
      </c>
    </row>
    <row r="728" ht="15.75" customHeight="1">
      <c r="A728" s="1">
        <f>IFERROR(__xludf.DUMMYFUNCTION("""COMPUTED_VALUE"""),44915.66666666667)</f>
        <v>44915.66667</v>
      </c>
      <c r="B728" s="2">
        <f>IFERROR(__xludf.DUMMYFUNCTION("""COMPUTED_VALUE"""),2990.0)</f>
        <v>2990</v>
      </c>
      <c r="C728" s="2">
        <f>IFERROR(__xludf.DUMMYFUNCTION("""COMPUTED_VALUE"""),3000.0)</f>
        <v>3000</v>
      </c>
      <c r="D728" s="2">
        <f>IFERROR(__xludf.DUMMYFUNCTION("""COMPUTED_VALUE"""),2950.0)</f>
        <v>2950</v>
      </c>
      <c r="E728" s="2">
        <f>IFERROR(__xludf.DUMMYFUNCTION("""COMPUTED_VALUE"""),2970.0)</f>
        <v>2970</v>
      </c>
      <c r="F728" s="2">
        <f>IFERROR(__xludf.DUMMYFUNCTION("""COMPUTED_VALUE"""),736400.0)</f>
        <v>736400</v>
      </c>
      <c r="G728" s="2">
        <f t="shared" si="1"/>
        <v>50</v>
      </c>
    </row>
    <row r="729" ht="15.75" customHeight="1">
      <c r="A729" s="1">
        <f>IFERROR(__xludf.DUMMYFUNCTION("""COMPUTED_VALUE"""),44916.66666666667)</f>
        <v>44916.66667</v>
      </c>
      <c r="B729" s="2">
        <f>IFERROR(__xludf.DUMMYFUNCTION("""COMPUTED_VALUE"""),2970.0)</f>
        <v>2970</v>
      </c>
      <c r="C729" s="2">
        <f>IFERROR(__xludf.DUMMYFUNCTION("""COMPUTED_VALUE"""),2990.0)</f>
        <v>2990</v>
      </c>
      <c r="D729" s="2">
        <f>IFERROR(__xludf.DUMMYFUNCTION("""COMPUTED_VALUE"""),2950.0)</f>
        <v>2950</v>
      </c>
      <c r="E729" s="2">
        <f>IFERROR(__xludf.DUMMYFUNCTION("""COMPUTED_VALUE"""),2960.0)</f>
        <v>2960</v>
      </c>
      <c r="F729" s="2">
        <f>IFERROR(__xludf.DUMMYFUNCTION("""COMPUTED_VALUE"""),1660900.0)</f>
        <v>1660900</v>
      </c>
      <c r="G729" s="2">
        <f t="shared" si="1"/>
        <v>40</v>
      </c>
    </row>
    <row r="730" ht="15.75" customHeight="1">
      <c r="A730" s="1">
        <f>IFERROR(__xludf.DUMMYFUNCTION("""COMPUTED_VALUE"""),44917.66666666667)</f>
        <v>44917.66667</v>
      </c>
      <c r="B730" s="2">
        <f>IFERROR(__xludf.DUMMYFUNCTION("""COMPUTED_VALUE"""),2950.0)</f>
        <v>2950</v>
      </c>
      <c r="C730" s="2">
        <f>IFERROR(__xludf.DUMMYFUNCTION("""COMPUTED_VALUE"""),2980.0)</f>
        <v>2980</v>
      </c>
      <c r="D730" s="2">
        <f>IFERROR(__xludf.DUMMYFUNCTION("""COMPUTED_VALUE"""),2940.0)</f>
        <v>2940</v>
      </c>
      <c r="E730" s="2">
        <f>IFERROR(__xludf.DUMMYFUNCTION("""COMPUTED_VALUE"""),2960.0)</f>
        <v>2960</v>
      </c>
      <c r="F730" s="2">
        <f>IFERROR(__xludf.DUMMYFUNCTION("""COMPUTED_VALUE"""),1845500.0)</f>
        <v>1845500</v>
      </c>
      <c r="G730" s="2">
        <f t="shared" si="1"/>
        <v>40</v>
      </c>
    </row>
    <row r="731" ht="15.75" customHeight="1">
      <c r="A731" s="1">
        <f>IFERROR(__xludf.DUMMYFUNCTION("""COMPUTED_VALUE"""),44918.66666666667)</f>
        <v>44918.66667</v>
      </c>
      <c r="B731" s="2">
        <f>IFERROR(__xludf.DUMMYFUNCTION("""COMPUTED_VALUE"""),3000.0)</f>
        <v>3000</v>
      </c>
      <c r="C731" s="2">
        <f>IFERROR(__xludf.DUMMYFUNCTION("""COMPUTED_VALUE"""),3000.0)</f>
        <v>3000</v>
      </c>
      <c r="D731" s="2">
        <f>IFERROR(__xludf.DUMMYFUNCTION("""COMPUTED_VALUE"""),2950.0)</f>
        <v>2950</v>
      </c>
      <c r="E731" s="2">
        <f>IFERROR(__xludf.DUMMYFUNCTION("""COMPUTED_VALUE"""),2980.0)</f>
        <v>2980</v>
      </c>
      <c r="F731" s="2">
        <f>IFERROR(__xludf.DUMMYFUNCTION("""COMPUTED_VALUE"""),1658800.0)</f>
        <v>1658800</v>
      </c>
      <c r="G731" s="2">
        <f t="shared" si="1"/>
        <v>50</v>
      </c>
    </row>
    <row r="732" ht="15.75" customHeight="1">
      <c r="A732" s="1">
        <f>IFERROR(__xludf.DUMMYFUNCTION("""COMPUTED_VALUE"""),44921.66666666667)</f>
        <v>44921.66667</v>
      </c>
      <c r="B732" s="2">
        <f>IFERROR(__xludf.DUMMYFUNCTION("""COMPUTED_VALUE"""),2980.0)</f>
        <v>2980</v>
      </c>
      <c r="C732" s="2">
        <f>IFERROR(__xludf.DUMMYFUNCTION("""COMPUTED_VALUE"""),3010.0)</f>
        <v>3010</v>
      </c>
      <c r="D732" s="2">
        <f>IFERROR(__xludf.DUMMYFUNCTION("""COMPUTED_VALUE"""),2970.0)</f>
        <v>2970</v>
      </c>
      <c r="E732" s="2">
        <f>IFERROR(__xludf.DUMMYFUNCTION("""COMPUTED_VALUE"""),2990.0)</f>
        <v>2990</v>
      </c>
      <c r="F732" s="2">
        <f>IFERROR(__xludf.DUMMYFUNCTION("""COMPUTED_VALUE"""),1523100.0)</f>
        <v>1523100</v>
      </c>
      <c r="G732" s="2">
        <f t="shared" si="1"/>
        <v>40</v>
      </c>
    </row>
    <row r="733" ht="15.75" customHeight="1">
      <c r="A733" s="1">
        <f>IFERROR(__xludf.DUMMYFUNCTION("""COMPUTED_VALUE"""),44922.66666666667)</f>
        <v>44922.66667</v>
      </c>
      <c r="B733" s="2">
        <f>IFERROR(__xludf.DUMMYFUNCTION("""COMPUTED_VALUE"""),2990.0)</f>
        <v>2990</v>
      </c>
      <c r="C733" s="2">
        <f>IFERROR(__xludf.DUMMYFUNCTION("""COMPUTED_VALUE"""),3030.0)</f>
        <v>3030</v>
      </c>
      <c r="D733" s="2">
        <f>IFERROR(__xludf.DUMMYFUNCTION("""COMPUTED_VALUE"""),2990.0)</f>
        <v>2990</v>
      </c>
      <c r="E733" s="2">
        <f>IFERROR(__xludf.DUMMYFUNCTION("""COMPUTED_VALUE"""),3000.0)</f>
        <v>3000</v>
      </c>
      <c r="F733" s="2">
        <f>IFERROR(__xludf.DUMMYFUNCTION("""COMPUTED_VALUE"""),2337500.0)</f>
        <v>2337500</v>
      </c>
      <c r="G733" s="2">
        <f t="shared" si="1"/>
        <v>40</v>
      </c>
    </row>
    <row r="734" ht="15.75" customHeight="1">
      <c r="A734" s="1">
        <f>IFERROR(__xludf.DUMMYFUNCTION("""COMPUTED_VALUE"""),44923.66666666667)</f>
        <v>44923.66667</v>
      </c>
      <c r="B734" s="2">
        <f>IFERROR(__xludf.DUMMYFUNCTION("""COMPUTED_VALUE"""),3010.0)</f>
        <v>3010</v>
      </c>
      <c r="C734" s="2">
        <f>IFERROR(__xludf.DUMMYFUNCTION("""COMPUTED_VALUE"""),3010.0)</f>
        <v>3010</v>
      </c>
      <c r="D734" s="2">
        <f>IFERROR(__xludf.DUMMYFUNCTION("""COMPUTED_VALUE"""),2960.0)</f>
        <v>2960</v>
      </c>
      <c r="E734" s="2">
        <f>IFERROR(__xludf.DUMMYFUNCTION("""COMPUTED_VALUE"""),2990.0)</f>
        <v>2990</v>
      </c>
      <c r="F734" s="2">
        <f>IFERROR(__xludf.DUMMYFUNCTION("""COMPUTED_VALUE"""),1328900.0)</f>
        <v>1328900</v>
      </c>
      <c r="G734" s="2">
        <f t="shared" si="1"/>
        <v>50</v>
      </c>
    </row>
    <row r="735" ht="15.75" customHeight="1">
      <c r="A735" s="1">
        <f>IFERROR(__xludf.DUMMYFUNCTION("""COMPUTED_VALUE"""),44924.66666666667)</f>
        <v>44924.66667</v>
      </c>
      <c r="B735" s="2">
        <f>IFERROR(__xludf.DUMMYFUNCTION("""COMPUTED_VALUE"""),2990.0)</f>
        <v>2990</v>
      </c>
      <c r="C735" s="2">
        <f>IFERROR(__xludf.DUMMYFUNCTION("""COMPUTED_VALUE"""),3000.0)</f>
        <v>3000</v>
      </c>
      <c r="D735" s="2">
        <f>IFERROR(__xludf.DUMMYFUNCTION("""COMPUTED_VALUE"""),2960.0)</f>
        <v>2960</v>
      </c>
      <c r="E735" s="2">
        <f>IFERROR(__xludf.DUMMYFUNCTION("""COMPUTED_VALUE"""),2980.0)</f>
        <v>2980</v>
      </c>
      <c r="F735" s="2">
        <f>IFERROR(__xludf.DUMMYFUNCTION("""COMPUTED_VALUE"""),569100.0)</f>
        <v>569100</v>
      </c>
      <c r="G735" s="2">
        <f t="shared" si="1"/>
        <v>40</v>
      </c>
    </row>
    <row r="736" ht="15.75" customHeight="1">
      <c r="A736" s="1">
        <f>IFERROR(__xludf.DUMMYFUNCTION("""COMPUTED_VALUE"""),44925.66666666667)</f>
        <v>44925.66667</v>
      </c>
      <c r="B736" s="2">
        <f>IFERROR(__xludf.DUMMYFUNCTION("""COMPUTED_VALUE"""),2980.0)</f>
        <v>2980</v>
      </c>
      <c r="C736" s="2">
        <f>IFERROR(__xludf.DUMMYFUNCTION("""COMPUTED_VALUE"""),3000.0)</f>
        <v>3000</v>
      </c>
      <c r="D736" s="2">
        <f>IFERROR(__xludf.DUMMYFUNCTION("""COMPUTED_VALUE"""),2960.0)</f>
        <v>2960</v>
      </c>
      <c r="E736" s="2">
        <f>IFERROR(__xludf.DUMMYFUNCTION("""COMPUTED_VALUE"""),2980.0)</f>
        <v>2980</v>
      </c>
      <c r="F736" s="2">
        <f>IFERROR(__xludf.DUMMYFUNCTION("""COMPUTED_VALUE"""),778900.0)</f>
        <v>778900</v>
      </c>
      <c r="G736" s="2">
        <f t="shared" si="1"/>
        <v>40</v>
      </c>
    </row>
    <row r="737" ht="15.75" customHeight="1">
      <c r="A737" s="1">
        <f>IFERROR(__xludf.DUMMYFUNCTION("""COMPUTED_VALUE"""),44928.66666666667)</f>
        <v>44928.66667</v>
      </c>
      <c r="B737" s="2">
        <f>IFERROR(__xludf.DUMMYFUNCTION("""COMPUTED_VALUE"""),2980.0)</f>
        <v>2980</v>
      </c>
      <c r="C737" s="2">
        <f>IFERROR(__xludf.DUMMYFUNCTION("""COMPUTED_VALUE"""),3110.0)</f>
        <v>3110</v>
      </c>
      <c r="D737" s="2">
        <f>IFERROR(__xludf.DUMMYFUNCTION("""COMPUTED_VALUE"""),2980.0)</f>
        <v>2980</v>
      </c>
      <c r="E737" s="2">
        <f>IFERROR(__xludf.DUMMYFUNCTION("""COMPUTED_VALUE"""),3110.0)</f>
        <v>3110</v>
      </c>
      <c r="F737" s="2">
        <f>IFERROR(__xludf.DUMMYFUNCTION("""COMPUTED_VALUE"""),2778400.0)</f>
        <v>2778400</v>
      </c>
      <c r="G737" s="2">
        <f t="shared" si="1"/>
        <v>130</v>
      </c>
    </row>
    <row r="738" ht="15.75" customHeight="1">
      <c r="A738" s="1">
        <f>IFERROR(__xludf.DUMMYFUNCTION("""COMPUTED_VALUE"""),44929.66666666667)</f>
        <v>44929.66667</v>
      </c>
      <c r="B738" s="2">
        <f>IFERROR(__xludf.DUMMYFUNCTION("""COMPUTED_VALUE"""),3110.0)</f>
        <v>3110</v>
      </c>
      <c r="C738" s="2">
        <f>IFERROR(__xludf.DUMMYFUNCTION("""COMPUTED_VALUE"""),3190.0)</f>
        <v>3190</v>
      </c>
      <c r="D738" s="2">
        <f>IFERROR(__xludf.DUMMYFUNCTION("""COMPUTED_VALUE"""),3050.0)</f>
        <v>3050</v>
      </c>
      <c r="E738" s="2">
        <f>IFERROR(__xludf.DUMMYFUNCTION("""COMPUTED_VALUE"""),3170.0)</f>
        <v>3170</v>
      </c>
      <c r="F738" s="2">
        <f>IFERROR(__xludf.DUMMYFUNCTION("""COMPUTED_VALUE"""),1.11848E7)</f>
        <v>11184800</v>
      </c>
      <c r="G738" s="2">
        <f t="shared" si="1"/>
        <v>140</v>
      </c>
    </row>
    <row r="739" ht="15.75" customHeight="1">
      <c r="A739" s="1">
        <f>IFERROR(__xludf.DUMMYFUNCTION("""COMPUTED_VALUE"""),44930.66666666667)</f>
        <v>44930.66667</v>
      </c>
      <c r="B739" s="2">
        <f>IFERROR(__xludf.DUMMYFUNCTION("""COMPUTED_VALUE"""),3180.0)</f>
        <v>3180</v>
      </c>
      <c r="C739" s="2">
        <f>IFERROR(__xludf.DUMMYFUNCTION("""COMPUTED_VALUE"""),3190.0)</f>
        <v>3190</v>
      </c>
      <c r="D739" s="2">
        <f>IFERROR(__xludf.DUMMYFUNCTION("""COMPUTED_VALUE"""),3090.0)</f>
        <v>3090</v>
      </c>
      <c r="E739" s="2">
        <f>IFERROR(__xludf.DUMMYFUNCTION("""COMPUTED_VALUE"""),3120.0)</f>
        <v>3120</v>
      </c>
      <c r="F739" s="2">
        <f>IFERROR(__xludf.DUMMYFUNCTION("""COMPUTED_VALUE"""),4556100.0)</f>
        <v>4556100</v>
      </c>
      <c r="G739" s="2">
        <f t="shared" si="1"/>
        <v>100</v>
      </c>
    </row>
    <row r="740" ht="15.75" customHeight="1">
      <c r="A740" s="1">
        <f>IFERROR(__xludf.DUMMYFUNCTION("""COMPUTED_VALUE"""),44931.66666666667)</f>
        <v>44931.66667</v>
      </c>
      <c r="B740" s="2">
        <f>IFERROR(__xludf.DUMMYFUNCTION("""COMPUTED_VALUE"""),3120.0)</f>
        <v>3120</v>
      </c>
      <c r="C740" s="2">
        <f>IFERROR(__xludf.DUMMYFUNCTION("""COMPUTED_VALUE"""),3120.0)</f>
        <v>3120</v>
      </c>
      <c r="D740" s="2">
        <f>IFERROR(__xludf.DUMMYFUNCTION("""COMPUTED_VALUE"""),3010.0)</f>
        <v>3010</v>
      </c>
      <c r="E740" s="2">
        <f>IFERROR(__xludf.DUMMYFUNCTION("""COMPUTED_VALUE"""),3070.0)</f>
        <v>3070</v>
      </c>
      <c r="F740" s="2">
        <f>IFERROR(__xludf.DUMMYFUNCTION("""COMPUTED_VALUE"""),4572700.0)</f>
        <v>4572700</v>
      </c>
      <c r="G740" s="2">
        <f t="shared" si="1"/>
        <v>110</v>
      </c>
    </row>
    <row r="741" ht="15.75" customHeight="1">
      <c r="A741" s="1">
        <f>IFERROR(__xludf.DUMMYFUNCTION("""COMPUTED_VALUE"""),44932.66666666667)</f>
        <v>44932.66667</v>
      </c>
      <c r="B741" s="2">
        <f>IFERROR(__xludf.DUMMYFUNCTION("""COMPUTED_VALUE"""),3070.0)</f>
        <v>3070</v>
      </c>
      <c r="C741" s="2">
        <f>IFERROR(__xludf.DUMMYFUNCTION("""COMPUTED_VALUE"""),3080.0)</f>
        <v>3080</v>
      </c>
      <c r="D741" s="2">
        <f>IFERROR(__xludf.DUMMYFUNCTION("""COMPUTED_VALUE"""),3030.0)</f>
        <v>3030</v>
      </c>
      <c r="E741" s="2">
        <f>IFERROR(__xludf.DUMMYFUNCTION("""COMPUTED_VALUE"""),3050.0)</f>
        <v>3050</v>
      </c>
      <c r="F741" s="2">
        <f>IFERROR(__xludf.DUMMYFUNCTION("""COMPUTED_VALUE"""),2059800.0)</f>
        <v>2059800</v>
      </c>
      <c r="G741" s="2">
        <f t="shared" si="1"/>
        <v>50</v>
      </c>
    </row>
    <row r="742" ht="15.75" customHeight="1">
      <c r="A742" s="1">
        <f>IFERROR(__xludf.DUMMYFUNCTION("""COMPUTED_VALUE"""),44935.66666666667)</f>
        <v>44935.66667</v>
      </c>
      <c r="B742" s="2">
        <f>IFERROR(__xludf.DUMMYFUNCTION("""COMPUTED_VALUE"""),3070.0)</f>
        <v>3070</v>
      </c>
      <c r="C742" s="2">
        <f>IFERROR(__xludf.DUMMYFUNCTION("""COMPUTED_VALUE"""),3180.0)</f>
        <v>3180</v>
      </c>
      <c r="D742" s="2">
        <f>IFERROR(__xludf.DUMMYFUNCTION("""COMPUTED_VALUE"""),3060.0)</f>
        <v>3060</v>
      </c>
      <c r="E742" s="2">
        <f>IFERROR(__xludf.DUMMYFUNCTION("""COMPUTED_VALUE"""),3160.0)</f>
        <v>3160</v>
      </c>
      <c r="F742" s="2">
        <f>IFERROR(__xludf.DUMMYFUNCTION("""COMPUTED_VALUE"""),7131800.0)</f>
        <v>7131800</v>
      </c>
      <c r="G742" s="2">
        <f t="shared" si="1"/>
        <v>130</v>
      </c>
    </row>
    <row r="743" ht="15.75" customHeight="1">
      <c r="A743" s="1">
        <f>IFERROR(__xludf.DUMMYFUNCTION("""COMPUTED_VALUE"""),44936.66666666667)</f>
        <v>44936.66667</v>
      </c>
      <c r="B743" s="2">
        <f>IFERROR(__xludf.DUMMYFUNCTION("""COMPUTED_VALUE"""),3160.0)</f>
        <v>3160</v>
      </c>
      <c r="C743" s="2">
        <f>IFERROR(__xludf.DUMMYFUNCTION("""COMPUTED_VALUE"""),3180.0)</f>
        <v>3180</v>
      </c>
      <c r="D743" s="2">
        <f>IFERROR(__xludf.DUMMYFUNCTION("""COMPUTED_VALUE"""),3110.0)</f>
        <v>3110</v>
      </c>
      <c r="E743" s="2">
        <f>IFERROR(__xludf.DUMMYFUNCTION("""COMPUTED_VALUE"""),3170.0)</f>
        <v>3170</v>
      </c>
      <c r="F743" s="2">
        <f>IFERROR(__xludf.DUMMYFUNCTION("""COMPUTED_VALUE"""),4310000.0)</f>
        <v>4310000</v>
      </c>
      <c r="G743" s="2">
        <f t="shared" si="1"/>
        <v>70</v>
      </c>
    </row>
    <row r="744" ht="15.75" customHeight="1">
      <c r="A744" s="1">
        <f>IFERROR(__xludf.DUMMYFUNCTION("""COMPUTED_VALUE"""),44937.66666666667)</f>
        <v>44937.66667</v>
      </c>
      <c r="B744" s="2">
        <f>IFERROR(__xludf.DUMMYFUNCTION("""COMPUTED_VALUE"""),3180.0)</f>
        <v>3180</v>
      </c>
      <c r="C744" s="2">
        <f>IFERROR(__xludf.DUMMYFUNCTION("""COMPUTED_VALUE"""),3190.0)</f>
        <v>3190</v>
      </c>
      <c r="D744" s="2">
        <f>IFERROR(__xludf.DUMMYFUNCTION("""COMPUTED_VALUE"""),3130.0)</f>
        <v>3130</v>
      </c>
      <c r="E744" s="2">
        <f>IFERROR(__xludf.DUMMYFUNCTION("""COMPUTED_VALUE"""),3190.0)</f>
        <v>3190</v>
      </c>
      <c r="F744" s="2">
        <f>IFERROR(__xludf.DUMMYFUNCTION("""COMPUTED_VALUE"""),3655000.0)</f>
        <v>3655000</v>
      </c>
      <c r="G744" s="2">
        <f t="shared" si="1"/>
        <v>60</v>
      </c>
    </row>
    <row r="745" ht="15.75" customHeight="1">
      <c r="A745" s="1">
        <f>IFERROR(__xludf.DUMMYFUNCTION("""COMPUTED_VALUE"""),44938.66666666667)</f>
        <v>44938.66667</v>
      </c>
      <c r="B745" s="2">
        <f>IFERROR(__xludf.DUMMYFUNCTION("""COMPUTED_VALUE"""),3190.0)</f>
        <v>3190</v>
      </c>
      <c r="C745" s="2">
        <f>IFERROR(__xludf.DUMMYFUNCTION("""COMPUTED_VALUE"""),3190.0)</f>
        <v>3190</v>
      </c>
      <c r="D745" s="2">
        <f>IFERROR(__xludf.DUMMYFUNCTION("""COMPUTED_VALUE"""),3140.0)</f>
        <v>3140</v>
      </c>
      <c r="E745" s="2">
        <f>IFERROR(__xludf.DUMMYFUNCTION("""COMPUTED_VALUE"""),3170.0)</f>
        <v>3170</v>
      </c>
      <c r="F745" s="2">
        <f>IFERROR(__xludf.DUMMYFUNCTION("""COMPUTED_VALUE"""),2179100.0)</f>
        <v>2179100</v>
      </c>
      <c r="G745" s="2">
        <f t="shared" si="1"/>
        <v>50</v>
      </c>
    </row>
    <row r="746" ht="15.75" customHeight="1">
      <c r="A746" s="1">
        <f>IFERROR(__xludf.DUMMYFUNCTION("""COMPUTED_VALUE"""),44939.66666666667)</f>
        <v>44939.66667</v>
      </c>
      <c r="B746" s="2">
        <f>IFERROR(__xludf.DUMMYFUNCTION("""COMPUTED_VALUE"""),3200.0)</f>
        <v>3200</v>
      </c>
      <c r="C746" s="2">
        <f>IFERROR(__xludf.DUMMYFUNCTION("""COMPUTED_VALUE"""),3200.0)</f>
        <v>3200</v>
      </c>
      <c r="D746" s="2">
        <f>IFERROR(__xludf.DUMMYFUNCTION("""COMPUTED_VALUE"""),3130.0)</f>
        <v>3130</v>
      </c>
      <c r="E746" s="2">
        <f>IFERROR(__xludf.DUMMYFUNCTION("""COMPUTED_VALUE"""),3170.0)</f>
        <v>3170</v>
      </c>
      <c r="F746" s="2">
        <f>IFERROR(__xludf.DUMMYFUNCTION("""COMPUTED_VALUE"""),1456400.0)</f>
        <v>1456400</v>
      </c>
      <c r="G746" s="2">
        <f t="shared" si="1"/>
        <v>70</v>
      </c>
    </row>
    <row r="747" ht="15.75" customHeight="1">
      <c r="A747" s="1">
        <f>IFERROR(__xludf.DUMMYFUNCTION("""COMPUTED_VALUE"""),44942.66666666667)</f>
        <v>44942.66667</v>
      </c>
      <c r="B747" s="2">
        <f>IFERROR(__xludf.DUMMYFUNCTION("""COMPUTED_VALUE"""),3170.0)</f>
        <v>3170</v>
      </c>
      <c r="C747" s="2">
        <f>IFERROR(__xludf.DUMMYFUNCTION("""COMPUTED_VALUE"""),3180.0)</f>
        <v>3180</v>
      </c>
      <c r="D747" s="2">
        <f>IFERROR(__xludf.DUMMYFUNCTION("""COMPUTED_VALUE"""),3130.0)</f>
        <v>3130</v>
      </c>
      <c r="E747" s="2">
        <f>IFERROR(__xludf.DUMMYFUNCTION("""COMPUTED_VALUE"""),3170.0)</f>
        <v>3170</v>
      </c>
      <c r="F747" s="2">
        <f>IFERROR(__xludf.DUMMYFUNCTION("""COMPUTED_VALUE"""),1181100.0)</f>
        <v>1181100</v>
      </c>
      <c r="G747" s="2">
        <f t="shared" si="1"/>
        <v>50</v>
      </c>
    </row>
    <row r="748" ht="15.75" customHeight="1">
      <c r="A748" s="1">
        <f>IFERROR(__xludf.DUMMYFUNCTION("""COMPUTED_VALUE"""),44943.66666666667)</f>
        <v>44943.66667</v>
      </c>
      <c r="B748" s="2">
        <f>IFERROR(__xludf.DUMMYFUNCTION("""COMPUTED_VALUE"""),3170.0)</f>
        <v>3170</v>
      </c>
      <c r="C748" s="2">
        <f>IFERROR(__xludf.DUMMYFUNCTION("""COMPUTED_VALUE"""),3190.0)</f>
        <v>3190</v>
      </c>
      <c r="D748" s="2">
        <f>IFERROR(__xludf.DUMMYFUNCTION("""COMPUTED_VALUE"""),3140.0)</f>
        <v>3140</v>
      </c>
      <c r="E748" s="2">
        <f>IFERROR(__xludf.DUMMYFUNCTION("""COMPUTED_VALUE"""),3160.0)</f>
        <v>3160</v>
      </c>
      <c r="F748" s="2">
        <f>IFERROR(__xludf.DUMMYFUNCTION("""COMPUTED_VALUE"""),1730200.0)</f>
        <v>1730200</v>
      </c>
      <c r="G748" s="2">
        <f t="shared" si="1"/>
        <v>50</v>
      </c>
    </row>
    <row r="749" ht="15.75" customHeight="1">
      <c r="A749" s="1">
        <f>IFERROR(__xludf.DUMMYFUNCTION("""COMPUTED_VALUE"""),44944.66666666667)</f>
        <v>44944.66667</v>
      </c>
      <c r="B749" s="2">
        <f>IFERROR(__xludf.DUMMYFUNCTION("""COMPUTED_VALUE"""),3160.0)</f>
        <v>3160</v>
      </c>
      <c r="C749" s="2">
        <f>IFERROR(__xludf.DUMMYFUNCTION("""COMPUTED_VALUE"""),3180.0)</f>
        <v>3180</v>
      </c>
      <c r="D749" s="2">
        <f>IFERROR(__xludf.DUMMYFUNCTION("""COMPUTED_VALUE"""),3150.0)</f>
        <v>3150</v>
      </c>
      <c r="E749" s="2">
        <f>IFERROR(__xludf.DUMMYFUNCTION("""COMPUTED_VALUE"""),3170.0)</f>
        <v>3170</v>
      </c>
      <c r="F749" s="2">
        <f>IFERROR(__xludf.DUMMYFUNCTION("""COMPUTED_VALUE"""),1457300.0)</f>
        <v>1457300</v>
      </c>
      <c r="G749" s="2">
        <f t="shared" si="1"/>
        <v>30</v>
      </c>
    </row>
    <row r="750" ht="15.75" customHeight="1">
      <c r="A750" s="1">
        <f>IFERROR(__xludf.DUMMYFUNCTION("""COMPUTED_VALUE"""),44945.66666666667)</f>
        <v>44945.66667</v>
      </c>
      <c r="B750" s="2">
        <f>IFERROR(__xludf.DUMMYFUNCTION("""COMPUTED_VALUE"""),3170.0)</f>
        <v>3170</v>
      </c>
      <c r="C750" s="2">
        <f>IFERROR(__xludf.DUMMYFUNCTION("""COMPUTED_VALUE"""),3200.0)</f>
        <v>3200</v>
      </c>
      <c r="D750" s="2">
        <f>IFERROR(__xludf.DUMMYFUNCTION("""COMPUTED_VALUE"""),3150.0)</f>
        <v>3150</v>
      </c>
      <c r="E750" s="2">
        <f>IFERROR(__xludf.DUMMYFUNCTION("""COMPUTED_VALUE"""),3170.0)</f>
        <v>3170</v>
      </c>
      <c r="F750" s="2">
        <f>IFERROR(__xludf.DUMMYFUNCTION("""COMPUTED_VALUE"""),1739900.0)</f>
        <v>1739900</v>
      </c>
      <c r="G750" s="2">
        <f t="shared" si="1"/>
        <v>50</v>
      </c>
    </row>
    <row r="751" ht="15.75" customHeight="1">
      <c r="A751" s="1">
        <f>IFERROR(__xludf.DUMMYFUNCTION("""COMPUTED_VALUE"""),44946.66666666667)</f>
        <v>44946.66667</v>
      </c>
      <c r="B751" s="2">
        <f>IFERROR(__xludf.DUMMYFUNCTION("""COMPUTED_VALUE"""),3200.0)</f>
        <v>3200</v>
      </c>
      <c r="C751" s="2">
        <f>IFERROR(__xludf.DUMMYFUNCTION("""COMPUTED_VALUE"""),3200.0)</f>
        <v>3200</v>
      </c>
      <c r="D751" s="2">
        <f>IFERROR(__xludf.DUMMYFUNCTION("""COMPUTED_VALUE"""),3160.0)</f>
        <v>3160</v>
      </c>
      <c r="E751" s="2">
        <f>IFERROR(__xludf.DUMMYFUNCTION("""COMPUTED_VALUE"""),3170.0)</f>
        <v>3170</v>
      </c>
      <c r="F751" s="2">
        <f>IFERROR(__xludf.DUMMYFUNCTION("""COMPUTED_VALUE"""),981900.0)</f>
        <v>981900</v>
      </c>
      <c r="G751" s="2">
        <f t="shared" si="1"/>
        <v>40</v>
      </c>
    </row>
    <row r="752" ht="15.75" customHeight="1">
      <c r="A752" s="1">
        <f>IFERROR(__xludf.DUMMYFUNCTION("""COMPUTED_VALUE"""),44950.66666666667)</f>
        <v>44950.66667</v>
      </c>
      <c r="B752" s="2">
        <f>IFERROR(__xludf.DUMMYFUNCTION("""COMPUTED_VALUE"""),3180.0)</f>
        <v>3180</v>
      </c>
      <c r="C752" s="2">
        <f>IFERROR(__xludf.DUMMYFUNCTION("""COMPUTED_VALUE"""),3180.0)</f>
        <v>3180</v>
      </c>
      <c r="D752" s="2">
        <f>IFERROR(__xludf.DUMMYFUNCTION("""COMPUTED_VALUE"""),3080.0)</f>
        <v>3080</v>
      </c>
      <c r="E752" s="2">
        <f>IFERROR(__xludf.DUMMYFUNCTION("""COMPUTED_VALUE"""),3090.0)</f>
        <v>3090</v>
      </c>
      <c r="F752" s="2">
        <f>IFERROR(__xludf.DUMMYFUNCTION("""COMPUTED_VALUE"""),4935400.0)</f>
        <v>4935400</v>
      </c>
      <c r="G752" s="2">
        <f t="shared" si="1"/>
        <v>100</v>
      </c>
    </row>
    <row r="753" ht="15.75" customHeight="1">
      <c r="A753" s="1">
        <f>IFERROR(__xludf.DUMMYFUNCTION("""COMPUTED_VALUE"""),44951.66666666667)</f>
        <v>44951.66667</v>
      </c>
      <c r="B753" s="2">
        <f>IFERROR(__xludf.DUMMYFUNCTION("""COMPUTED_VALUE"""),3100.0)</f>
        <v>3100</v>
      </c>
      <c r="C753" s="2">
        <f>IFERROR(__xludf.DUMMYFUNCTION("""COMPUTED_VALUE"""),3120.0)</f>
        <v>3120</v>
      </c>
      <c r="D753" s="2">
        <f>IFERROR(__xludf.DUMMYFUNCTION("""COMPUTED_VALUE"""),3070.0)</f>
        <v>3070</v>
      </c>
      <c r="E753" s="2">
        <f>IFERROR(__xludf.DUMMYFUNCTION("""COMPUTED_VALUE"""),3090.0)</f>
        <v>3090</v>
      </c>
      <c r="F753" s="2">
        <f>IFERROR(__xludf.DUMMYFUNCTION("""COMPUTED_VALUE"""),2702400.0)</f>
        <v>2702400</v>
      </c>
      <c r="G753" s="2">
        <f t="shared" si="1"/>
        <v>50</v>
      </c>
    </row>
    <row r="754" ht="15.75" customHeight="1">
      <c r="A754" s="1">
        <f>IFERROR(__xludf.DUMMYFUNCTION("""COMPUTED_VALUE"""),44952.66666666667)</f>
        <v>44952.66667</v>
      </c>
      <c r="B754" s="2">
        <f>IFERROR(__xludf.DUMMYFUNCTION("""COMPUTED_VALUE"""),3090.0)</f>
        <v>3090</v>
      </c>
      <c r="C754" s="2">
        <f>IFERROR(__xludf.DUMMYFUNCTION("""COMPUTED_VALUE"""),3150.0)</f>
        <v>3150</v>
      </c>
      <c r="D754" s="2">
        <f>IFERROR(__xludf.DUMMYFUNCTION("""COMPUTED_VALUE"""),3090.0)</f>
        <v>3090</v>
      </c>
      <c r="E754" s="2">
        <f>IFERROR(__xludf.DUMMYFUNCTION("""COMPUTED_VALUE"""),3140.0)</f>
        <v>3140</v>
      </c>
      <c r="F754" s="2">
        <f>IFERROR(__xludf.DUMMYFUNCTION("""COMPUTED_VALUE"""),1894300.0)</f>
        <v>1894300</v>
      </c>
      <c r="G754" s="2">
        <f t="shared" si="1"/>
        <v>60</v>
      </c>
    </row>
    <row r="755" ht="15.75" customHeight="1">
      <c r="A755" s="1">
        <f>IFERROR(__xludf.DUMMYFUNCTION("""COMPUTED_VALUE"""),44953.66666666667)</f>
        <v>44953.66667</v>
      </c>
      <c r="B755" s="2">
        <f>IFERROR(__xludf.DUMMYFUNCTION("""COMPUTED_VALUE"""),3190.0)</f>
        <v>3190</v>
      </c>
      <c r="C755" s="2">
        <f>IFERROR(__xludf.DUMMYFUNCTION("""COMPUTED_VALUE"""),3190.0)</f>
        <v>3190</v>
      </c>
      <c r="D755" s="2">
        <f>IFERROR(__xludf.DUMMYFUNCTION("""COMPUTED_VALUE"""),3130.0)</f>
        <v>3130</v>
      </c>
      <c r="E755" s="2">
        <f>IFERROR(__xludf.DUMMYFUNCTION("""COMPUTED_VALUE"""),3150.0)</f>
        <v>3150</v>
      </c>
      <c r="F755" s="2">
        <f>IFERROR(__xludf.DUMMYFUNCTION("""COMPUTED_VALUE"""),1750700.0)</f>
        <v>1750700</v>
      </c>
      <c r="G755" s="2">
        <f t="shared" si="1"/>
        <v>60</v>
      </c>
    </row>
    <row r="756" ht="15.75" customHeight="1">
      <c r="A756" s="1">
        <f>IFERROR(__xludf.DUMMYFUNCTION("""COMPUTED_VALUE"""),44956.66666666667)</f>
        <v>44956.66667</v>
      </c>
      <c r="B756" s="2">
        <f>IFERROR(__xludf.DUMMYFUNCTION("""COMPUTED_VALUE"""),3140.0)</f>
        <v>3140</v>
      </c>
      <c r="C756" s="2">
        <f>IFERROR(__xludf.DUMMYFUNCTION("""COMPUTED_VALUE"""),3170.0)</f>
        <v>3170</v>
      </c>
      <c r="D756" s="2">
        <f>IFERROR(__xludf.DUMMYFUNCTION("""COMPUTED_VALUE"""),3110.0)</f>
        <v>3110</v>
      </c>
      <c r="E756" s="2">
        <f>IFERROR(__xludf.DUMMYFUNCTION("""COMPUTED_VALUE"""),3150.0)</f>
        <v>3150</v>
      </c>
      <c r="F756" s="2">
        <f>IFERROR(__xludf.DUMMYFUNCTION("""COMPUTED_VALUE"""),1665700.0)</f>
        <v>1665700</v>
      </c>
      <c r="G756" s="2">
        <f t="shared" si="1"/>
        <v>60</v>
      </c>
    </row>
    <row r="757" ht="15.75" customHeight="1">
      <c r="A757" s="1">
        <f>IFERROR(__xludf.DUMMYFUNCTION("""COMPUTED_VALUE"""),44957.66666666667)</f>
        <v>44957.66667</v>
      </c>
      <c r="B757" s="2">
        <f>IFERROR(__xludf.DUMMYFUNCTION("""COMPUTED_VALUE"""),3200.0)</f>
        <v>3200</v>
      </c>
      <c r="C757" s="2">
        <f>IFERROR(__xludf.DUMMYFUNCTION("""COMPUTED_VALUE"""),3230.0)</f>
        <v>3230</v>
      </c>
      <c r="D757" s="2">
        <f>IFERROR(__xludf.DUMMYFUNCTION("""COMPUTED_VALUE"""),3120.0)</f>
        <v>3120</v>
      </c>
      <c r="E757" s="2">
        <f>IFERROR(__xludf.DUMMYFUNCTION("""COMPUTED_VALUE"""),3160.0)</f>
        <v>3160</v>
      </c>
      <c r="F757" s="2">
        <f>IFERROR(__xludf.DUMMYFUNCTION("""COMPUTED_VALUE"""),5800600.0)</f>
        <v>5800600</v>
      </c>
      <c r="G757" s="2">
        <f t="shared" si="1"/>
        <v>110</v>
      </c>
    </row>
    <row r="758" ht="15.75" customHeight="1">
      <c r="A758" s="1">
        <f>IFERROR(__xludf.DUMMYFUNCTION("""COMPUTED_VALUE"""),44958.66666666667)</f>
        <v>44958.66667</v>
      </c>
      <c r="B758" s="2">
        <f>IFERROR(__xludf.DUMMYFUNCTION("""COMPUTED_VALUE"""),3160.0)</f>
        <v>3160</v>
      </c>
      <c r="C758" s="2">
        <f>IFERROR(__xludf.DUMMYFUNCTION("""COMPUTED_VALUE"""),3340.0)</f>
        <v>3340</v>
      </c>
      <c r="D758" s="2">
        <f>IFERROR(__xludf.DUMMYFUNCTION("""COMPUTED_VALUE"""),3160.0)</f>
        <v>3160</v>
      </c>
      <c r="E758" s="2">
        <f>IFERROR(__xludf.DUMMYFUNCTION("""COMPUTED_VALUE"""),3340.0)</f>
        <v>3340</v>
      </c>
      <c r="F758" s="2">
        <f>IFERROR(__xludf.DUMMYFUNCTION("""COMPUTED_VALUE"""),2.07393E7)</f>
        <v>20739300</v>
      </c>
      <c r="G758" s="2">
        <f t="shared" si="1"/>
        <v>180</v>
      </c>
    </row>
    <row r="759" ht="15.75" customHeight="1">
      <c r="A759" s="1">
        <f>IFERROR(__xludf.DUMMYFUNCTION("""COMPUTED_VALUE"""),44959.66666666667)</f>
        <v>44959.66667</v>
      </c>
      <c r="B759" s="2">
        <f>IFERROR(__xludf.DUMMYFUNCTION("""COMPUTED_VALUE"""),3340.0)</f>
        <v>3340</v>
      </c>
      <c r="C759" s="2">
        <f>IFERROR(__xludf.DUMMYFUNCTION("""COMPUTED_VALUE"""),3360.0)</f>
        <v>3360</v>
      </c>
      <c r="D759" s="2">
        <f>IFERROR(__xludf.DUMMYFUNCTION("""COMPUTED_VALUE"""),3300.0)</f>
        <v>3300</v>
      </c>
      <c r="E759" s="2">
        <f>IFERROR(__xludf.DUMMYFUNCTION("""COMPUTED_VALUE"""),3330.0)</f>
        <v>3330</v>
      </c>
      <c r="F759" s="2">
        <f>IFERROR(__xludf.DUMMYFUNCTION("""COMPUTED_VALUE"""),3731900.0)</f>
        <v>3731900</v>
      </c>
      <c r="G759" s="2">
        <f t="shared" si="1"/>
        <v>60</v>
      </c>
    </row>
    <row r="760" ht="15.75" customHeight="1">
      <c r="A760" s="1">
        <f>IFERROR(__xludf.DUMMYFUNCTION("""COMPUTED_VALUE"""),44960.66666666667)</f>
        <v>44960.66667</v>
      </c>
      <c r="B760" s="2">
        <f>IFERROR(__xludf.DUMMYFUNCTION("""COMPUTED_VALUE"""),3370.0)</f>
        <v>3370</v>
      </c>
      <c r="C760" s="2">
        <f>IFERROR(__xludf.DUMMYFUNCTION("""COMPUTED_VALUE"""),3480.0)</f>
        <v>3480</v>
      </c>
      <c r="D760" s="2">
        <f>IFERROR(__xludf.DUMMYFUNCTION("""COMPUTED_VALUE"""),3320.0)</f>
        <v>3320</v>
      </c>
      <c r="E760" s="2">
        <f>IFERROR(__xludf.DUMMYFUNCTION("""COMPUTED_VALUE"""),3450.0)</f>
        <v>3450</v>
      </c>
      <c r="F760" s="2">
        <f>IFERROR(__xludf.DUMMYFUNCTION("""COMPUTED_VALUE"""),1.57416E7)</f>
        <v>15741600</v>
      </c>
      <c r="G760" s="2">
        <f t="shared" si="1"/>
        <v>160</v>
      </c>
    </row>
    <row r="761" ht="15.75" customHeight="1">
      <c r="A761" s="1">
        <f>IFERROR(__xludf.DUMMYFUNCTION("""COMPUTED_VALUE"""),44963.66666666667)</f>
        <v>44963.66667</v>
      </c>
      <c r="B761" s="2">
        <f>IFERROR(__xludf.DUMMYFUNCTION("""COMPUTED_VALUE"""),3450.0)</f>
        <v>3450</v>
      </c>
      <c r="C761" s="2">
        <f>IFERROR(__xludf.DUMMYFUNCTION("""COMPUTED_VALUE"""),3460.0)</f>
        <v>3460</v>
      </c>
      <c r="D761" s="2">
        <f>IFERROR(__xludf.DUMMYFUNCTION("""COMPUTED_VALUE"""),3370.0)</f>
        <v>3370</v>
      </c>
      <c r="E761" s="2">
        <f>IFERROR(__xludf.DUMMYFUNCTION("""COMPUTED_VALUE"""),3370.0)</f>
        <v>3370</v>
      </c>
      <c r="F761" s="2">
        <f>IFERROR(__xludf.DUMMYFUNCTION("""COMPUTED_VALUE"""),4409400.0)</f>
        <v>4409400</v>
      </c>
      <c r="G761" s="2">
        <f t="shared" si="1"/>
        <v>90</v>
      </c>
    </row>
    <row r="762" ht="15.75" customHeight="1">
      <c r="A762" s="1">
        <f>IFERROR(__xludf.DUMMYFUNCTION("""COMPUTED_VALUE"""),44964.66666666667)</f>
        <v>44964.66667</v>
      </c>
      <c r="B762" s="2">
        <f>IFERROR(__xludf.DUMMYFUNCTION("""COMPUTED_VALUE"""),3370.0)</f>
        <v>3370</v>
      </c>
      <c r="C762" s="2">
        <f>IFERROR(__xludf.DUMMYFUNCTION("""COMPUTED_VALUE"""),3450.0)</f>
        <v>3450</v>
      </c>
      <c r="D762" s="2">
        <f>IFERROR(__xludf.DUMMYFUNCTION("""COMPUTED_VALUE"""),3370.0)</f>
        <v>3370</v>
      </c>
      <c r="E762" s="2">
        <f>IFERROR(__xludf.DUMMYFUNCTION("""COMPUTED_VALUE"""),3440.0)</f>
        <v>3440</v>
      </c>
      <c r="F762" s="2">
        <f>IFERROR(__xludf.DUMMYFUNCTION("""COMPUTED_VALUE"""),5870500.0)</f>
        <v>5870500</v>
      </c>
      <c r="G762" s="2">
        <f t="shared" si="1"/>
        <v>80</v>
      </c>
    </row>
    <row r="763" ht="15.75" customHeight="1">
      <c r="A763" s="1">
        <f>IFERROR(__xludf.DUMMYFUNCTION("""COMPUTED_VALUE"""),44965.66666666667)</f>
        <v>44965.66667</v>
      </c>
      <c r="B763" s="2">
        <f>IFERROR(__xludf.DUMMYFUNCTION("""COMPUTED_VALUE"""),3440.0)</f>
        <v>3440</v>
      </c>
      <c r="C763" s="2">
        <f>IFERROR(__xludf.DUMMYFUNCTION("""COMPUTED_VALUE"""),3440.0)</f>
        <v>3440</v>
      </c>
      <c r="D763" s="2">
        <f>IFERROR(__xludf.DUMMYFUNCTION("""COMPUTED_VALUE"""),3390.0)</f>
        <v>3390</v>
      </c>
      <c r="E763" s="2">
        <f>IFERROR(__xludf.DUMMYFUNCTION("""COMPUTED_VALUE"""),3400.0)</f>
        <v>3400</v>
      </c>
      <c r="F763" s="2">
        <f>IFERROR(__xludf.DUMMYFUNCTION("""COMPUTED_VALUE"""),3402200.0)</f>
        <v>3402200</v>
      </c>
      <c r="G763" s="2">
        <f t="shared" si="1"/>
        <v>50</v>
      </c>
    </row>
    <row r="764" ht="15.75" customHeight="1">
      <c r="A764" s="1">
        <f>IFERROR(__xludf.DUMMYFUNCTION("""COMPUTED_VALUE"""),44966.66666666667)</f>
        <v>44966.66667</v>
      </c>
      <c r="B764" s="2">
        <f>IFERROR(__xludf.DUMMYFUNCTION("""COMPUTED_VALUE"""),3410.0)</f>
        <v>3410</v>
      </c>
      <c r="C764" s="2">
        <f>IFERROR(__xludf.DUMMYFUNCTION("""COMPUTED_VALUE"""),3420.0)</f>
        <v>3420</v>
      </c>
      <c r="D764" s="2">
        <f>IFERROR(__xludf.DUMMYFUNCTION("""COMPUTED_VALUE"""),3330.0)</f>
        <v>3330</v>
      </c>
      <c r="E764" s="2">
        <f>IFERROR(__xludf.DUMMYFUNCTION("""COMPUTED_VALUE"""),3340.0)</f>
        <v>3340</v>
      </c>
      <c r="F764" s="2">
        <f>IFERROR(__xludf.DUMMYFUNCTION("""COMPUTED_VALUE"""),2804500.0)</f>
        <v>2804500</v>
      </c>
      <c r="G764" s="2">
        <f t="shared" si="1"/>
        <v>90</v>
      </c>
    </row>
    <row r="765" ht="15.75" customHeight="1">
      <c r="A765" s="1">
        <f>IFERROR(__xludf.DUMMYFUNCTION("""COMPUTED_VALUE"""),44967.66666666667)</f>
        <v>44967.66667</v>
      </c>
      <c r="B765" s="2">
        <f>IFERROR(__xludf.DUMMYFUNCTION("""COMPUTED_VALUE"""),3380.0)</f>
        <v>3380</v>
      </c>
      <c r="C765" s="2">
        <f>IFERROR(__xludf.DUMMYFUNCTION("""COMPUTED_VALUE"""),3430.0)</f>
        <v>3430</v>
      </c>
      <c r="D765" s="2">
        <f>IFERROR(__xludf.DUMMYFUNCTION("""COMPUTED_VALUE"""),3340.0)</f>
        <v>3340</v>
      </c>
      <c r="E765" s="2">
        <f>IFERROR(__xludf.DUMMYFUNCTION("""COMPUTED_VALUE"""),3420.0)</f>
        <v>3420</v>
      </c>
      <c r="F765" s="2">
        <f>IFERROR(__xludf.DUMMYFUNCTION("""COMPUTED_VALUE"""),6616400.0)</f>
        <v>6616400</v>
      </c>
      <c r="G765" s="2">
        <f t="shared" si="1"/>
        <v>90</v>
      </c>
    </row>
    <row r="766" ht="15.75" customHeight="1">
      <c r="A766" s="1">
        <f>IFERROR(__xludf.DUMMYFUNCTION("""COMPUTED_VALUE"""),44970.66666666667)</f>
        <v>44970.66667</v>
      </c>
      <c r="B766" s="2">
        <f>IFERROR(__xludf.DUMMYFUNCTION("""COMPUTED_VALUE"""),3430.0)</f>
        <v>3430</v>
      </c>
      <c r="C766" s="2">
        <f>IFERROR(__xludf.DUMMYFUNCTION("""COMPUTED_VALUE"""),3430.0)</f>
        <v>3430</v>
      </c>
      <c r="D766" s="2">
        <f>IFERROR(__xludf.DUMMYFUNCTION("""COMPUTED_VALUE"""),3370.0)</f>
        <v>3370</v>
      </c>
      <c r="E766" s="2">
        <f>IFERROR(__xludf.DUMMYFUNCTION("""COMPUTED_VALUE"""),3400.0)</f>
        <v>3400</v>
      </c>
      <c r="F766" s="2">
        <f>IFERROR(__xludf.DUMMYFUNCTION("""COMPUTED_VALUE"""),2730200.0)</f>
        <v>2730200</v>
      </c>
      <c r="G766" s="2">
        <f t="shared" si="1"/>
        <v>60</v>
      </c>
    </row>
    <row r="767" ht="15.75" customHeight="1">
      <c r="A767" s="1">
        <f>IFERROR(__xludf.DUMMYFUNCTION("""COMPUTED_VALUE"""),44971.66666666667)</f>
        <v>44971.66667</v>
      </c>
      <c r="B767" s="2">
        <f>IFERROR(__xludf.DUMMYFUNCTION("""COMPUTED_VALUE"""),3410.0)</f>
        <v>3410</v>
      </c>
      <c r="C767" s="2">
        <f>IFERROR(__xludf.DUMMYFUNCTION("""COMPUTED_VALUE"""),3420.0)</f>
        <v>3420</v>
      </c>
      <c r="D767" s="2">
        <f>IFERROR(__xludf.DUMMYFUNCTION("""COMPUTED_VALUE"""),3380.0)</f>
        <v>3380</v>
      </c>
      <c r="E767" s="2">
        <f>IFERROR(__xludf.DUMMYFUNCTION("""COMPUTED_VALUE"""),3420.0)</f>
        <v>3420</v>
      </c>
      <c r="F767" s="2">
        <f>IFERROR(__xludf.DUMMYFUNCTION("""COMPUTED_VALUE"""),1071400.0)</f>
        <v>1071400</v>
      </c>
      <c r="G767" s="2">
        <f t="shared" si="1"/>
        <v>40</v>
      </c>
    </row>
    <row r="768" ht="15.75" customHeight="1">
      <c r="A768" s="1">
        <f>IFERROR(__xludf.DUMMYFUNCTION("""COMPUTED_VALUE"""),44972.66666666667)</f>
        <v>44972.66667</v>
      </c>
      <c r="B768" s="2">
        <f>IFERROR(__xludf.DUMMYFUNCTION("""COMPUTED_VALUE"""),3420.0)</f>
        <v>3420</v>
      </c>
      <c r="C768" s="2">
        <f>IFERROR(__xludf.DUMMYFUNCTION("""COMPUTED_VALUE"""),3450.0)</f>
        <v>3450</v>
      </c>
      <c r="D768" s="2">
        <f>IFERROR(__xludf.DUMMYFUNCTION("""COMPUTED_VALUE"""),3380.0)</f>
        <v>3380</v>
      </c>
      <c r="E768" s="2">
        <f>IFERROR(__xludf.DUMMYFUNCTION("""COMPUTED_VALUE"""),3410.0)</f>
        <v>3410</v>
      </c>
      <c r="F768" s="2">
        <f>IFERROR(__xludf.DUMMYFUNCTION("""COMPUTED_VALUE"""),3136000.0)</f>
        <v>3136000</v>
      </c>
      <c r="G768" s="2">
        <f t="shared" si="1"/>
        <v>70</v>
      </c>
    </row>
    <row r="769" ht="15.75" customHeight="1">
      <c r="A769" s="1">
        <f>IFERROR(__xludf.DUMMYFUNCTION("""COMPUTED_VALUE"""),44973.66666666667)</f>
        <v>44973.66667</v>
      </c>
      <c r="B769" s="2">
        <f>IFERROR(__xludf.DUMMYFUNCTION("""COMPUTED_VALUE"""),3420.0)</f>
        <v>3420</v>
      </c>
      <c r="C769" s="2">
        <f>IFERROR(__xludf.DUMMYFUNCTION("""COMPUTED_VALUE"""),3530.0)</f>
        <v>3530</v>
      </c>
      <c r="D769" s="2">
        <f>IFERROR(__xludf.DUMMYFUNCTION("""COMPUTED_VALUE"""),3390.0)</f>
        <v>3390</v>
      </c>
      <c r="E769" s="2">
        <f>IFERROR(__xludf.DUMMYFUNCTION("""COMPUTED_VALUE"""),3530.0)</f>
        <v>3530</v>
      </c>
      <c r="F769" s="2">
        <f>IFERROR(__xludf.DUMMYFUNCTION("""COMPUTED_VALUE"""),1.41604E7)</f>
        <v>14160400</v>
      </c>
      <c r="G769" s="2">
        <f t="shared" si="1"/>
        <v>140</v>
      </c>
    </row>
    <row r="770" ht="15.75" customHeight="1">
      <c r="A770" s="1">
        <f>IFERROR(__xludf.DUMMYFUNCTION("""COMPUTED_VALUE"""),44974.66666666667)</f>
        <v>44974.66667</v>
      </c>
      <c r="B770" s="2">
        <f>IFERROR(__xludf.DUMMYFUNCTION("""COMPUTED_VALUE"""),3550.0)</f>
        <v>3550</v>
      </c>
      <c r="C770" s="2">
        <f>IFERROR(__xludf.DUMMYFUNCTION("""COMPUTED_VALUE"""),3550.0)</f>
        <v>3550</v>
      </c>
      <c r="D770" s="2">
        <f>IFERROR(__xludf.DUMMYFUNCTION("""COMPUTED_VALUE"""),3500.0)</f>
        <v>3500</v>
      </c>
      <c r="E770" s="2">
        <f>IFERROR(__xludf.DUMMYFUNCTION("""COMPUTED_VALUE"""),3540.0)</f>
        <v>3540</v>
      </c>
      <c r="F770" s="2">
        <f>IFERROR(__xludf.DUMMYFUNCTION("""COMPUTED_VALUE"""),6021800.0)</f>
        <v>6021800</v>
      </c>
      <c r="G770" s="2">
        <f t="shared" si="1"/>
        <v>50</v>
      </c>
    </row>
    <row r="771" ht="15.75" customHeight="1">
      <c r="A771" s="1">
        <f>IFERROR(__xludf.DUMMYFUNCTION("""COMPUTED_VALUE"""),44977.66666666667)</f>
        <v>44977.66667</v>
      </c>
      <c r="B771" s="2">
        <f>IFERROR(__xludf.DUMMYFUNCTION("""COMPUTED_VALUE"""),3540.0)</f>
        <v>3540</v>
      </c>
      <c r="C771" s="2">
        <f>IFERROR(__xludf.DUMMYFUNCTION("""COMPUTED_VALUE"""),3570.0)</f>
        <v>3570</v>
      </c>
      <c r="D771" s="2">
        <f>IFERROR(__xludf.DUMMYFUNCTION("""COMPUTED_VALUE"""),3500.0)</f>
        <v>3500</v>
      </c>
      <c r="E771" s="2">
        <f>IFERROR(__xludf.DUMMYFUNCTION("""COMPUTED_VALUE"""),3540.0)</f>
        <v>3540</v>
      </c>
      <c r="F771" s="2">
        <f>IFERROR(__xludf.DUMMYFUNCTION("""COMPUTED_VALUE"""),4707200.0)</f>
        <v>4707200</v>
      </c>
      <c r="G771" s="2">
        <f t="shared" si="1"/>
        <v>70</v>
      </c>
    </row>
    <row r="772" ht="15.75" customHeight="1">
      <c r="A772" s="1">
        <f>IFERROR(__xludf.DUMMYFUNCTION("""COMPUTED_VALUE"""),44978.66666666667)</f>
        <v>44978.66667</v>
      </c>
      <c r="B772" s="2">
        <f>IFERROR(__xludf.DUMMYFUNCTION("""COMPUTED_VALUE"""),3550.0)</f>
        <v>3550</v>
      </c>
      <c r="C772" s="2">
        <f>IFERROR(__xludf.DUMMYFUNCTION("""COMPUTED_VALUE"""),3550.0)</f>
        <v>3550</v>
      </c>
      <c r="D772" s="2">
        <f>IFERROR(__xludf.DUMMYFUNCTION("""COMPUTED_VALUE"""),3500.0)</f>
        <v>3500</v>
      </c>
      <c r="E772" s="2">
        <f>IFERROR(__xludf.DUMMYFUNCTION("""COMPUTED_VALUE"""),3510.0)</f>
        <v>3510</v>
      </c>
      <c r="F772" s="2">
        <f>IFERROR(__xludf.DUMMYFUNCTION("""COMPUTED_VALUE"""),3973000.0)</f>
        <v>3973000</v>
      </c>
      <c r="G772" s="2">
        <f t="shared" si="1"/>
        <v>50</v>
      </c>
    </row>
    <row r="773" ht="15.75" customHeight="1">
      <c r="A773" s="1">
        <f>IFERROR(__xludf.DUMMYFUNCTION("""COMPUTED_VALUE"""),44979.66666666667)</f>
        <v>44979.66667</v>
      </c>
      <c r="B773" s="2">
        <f>IFERROR(__xludf.DUMMYFUNCTION("""COMPUTED_VALUE"""),3510.0)</f>
        <v>3510</v>
      </c>
      <c r="C773" s="2">
        <f>IFERROR(__xludf.DUMMYFUNCTION("""COMPUTED_VALUE"""),3510.0)</f>
        <v>3510</v>
      </c>
      <c r="D773" s="2">
        <f>IFERROR(__xludf.DUMMYFUNCTION("""COMPUTED_VALUE"""),3420.0)</f>
        <v>3420</v>
      </c>
      <c r="E773" s="2">
        <f>IFERROR(__xludf.DUMMYFUNCTION("""COMPUTED_VALUE"""),3460.0)</f>
        <v>3460</v>
      </c>
      <c r="F773" s="2">
        <f>IFERROR(__xludf.DUMMYFUNCTION("""COMPUTED_VALUE"""),6645100.0)</f>
        <v>6645100</v>
      </c>
      <c r="G773" s="2">
        <f t="shared" si="1"/>
        <v>90</v>
      </c>
    </row>
    <row r="774" ht="15.75" customHeight="1">
      <c r="A774" s="1">
        <f>IFERROR(__xludf.DUMMYFUNCTION("""COMPUTED_VALUE"""),44980.66666666667)</f>
        <v>44980.66667</v>
      </c>
      <c r="B774" s="2">
        <f>IFERROR(__xludf.DUMMYFUNCTION("""COMPUTED_VALUE"""),3460.0)</f>
        <v>3460</v>
      </c>
      <c r="C774" s="2">
        <f>IFERROR(__xludf.DUMMYFUNCTION("""COMPUTED_VALUE"""),3520.0)</f>
        <v>3520</v>
      </c>
      <c r="D774" s="2">
        <f>IFERROR(__xludf.DUMMYFUNCTION("""COMPUTED_VALUE"""),3440.0)</f>
        <v>3440</v>
      </c>
      <c r="E774" s="2">
        <f>IFERROR(__xludf.DUMMYFUNCTION("""COMPUTED_VALUE"""),3470.0)</f>
        <v>3470</v>
      </c>
      <c r="F774" s="2">
        <f>IFERROR(__xludf.DUMMYFUNCTION("""COMPUTED_VALUE"""),2265600.0)</f>
        <v>2265600</v>
      </c>
      <c r="G774" s="2">
        <f t="shared" si="1"/>
        <v>80</v>
      </c>
    </row>
    <row r="775" ht="15.75" customHeight="1">
      <c r="A775" s="1">
        <f>IFERROR(__xludf.DUMMYFUNCTION("""COMPUTED_VALUE"""),44981.66666666667)</f>
        <v>44981.66667</v>
      </c>
      <c r="B775" s="2">
        <f>IFERROR(__xludf.DUMMYFUNCTION("""COMPUTED_VALUE"""),3520.0)</f>
        <v>3520</v>
      </c>
      <c r="C775" s="2">
        <f>IFERROR(__xludf.DUMMYFUNCTION("""COMPUTED_VALUE"""),3520.0)</f>
        <v>3520</v>
      </c>
      <c r="D775" s="2">
        <f>IFERROR(__xludf.DUMMYFUNCTION("""COMPUTED_VALUE"""),3440.0)</f>
        <v>3440</v>
      </c>
      <c r="E775" s="2">
        <f>IFERROR(__xludf.DUMMYFUNCTION("""COMPUTED_VALUE"""),3450.0)</f>
        <v>3450</v>
      </c>
      <c r="F775" s="2">
        <f>IFERROR(__xludf.DUMMYFUNCTION("""COMPUTED_VALUE"""),1987200.0)</f>
        <v>1987200</v>
      </c>
      <c r="G775" s="2">
        <f t="shared" si="1"/>
        <v>80</v>
      </c>
    </row>
    <row r="776" ht="15.75" customHeight="1">
      <c r="A776" s="1">
        <f>IFERROR(__xludf.DUMMYFUNCTION("""COMPUTED_VALUE"""),44984.66666666667)</f>
        <v>44984.66667</v>
      </c>
      <c r="B776" s="2">
        <f>IFERROR(__xludf.DUMMYFUNCTION("""COMPUTED_VALUE"""),3460.0)</f>
        <v>3460</v>
      </c>
      <c r="C776" s="2">
        <f>IFERROR(__xludf.DUMMYFUNCTION("""COMPUTED_VALUE"""),3460.0)</f>
        <v>3460</v>
      </c>
      <c r="D776" s="2">
        <f>IFERROR(__xludf.DUMMYFUNCTION("""COMPUTED_VALUE"""),3300.0)</f>
        <v>3300</v>
      </c>
      <c r="E776" s="2">
        <f>IFERROR(__xludf.DUMMYFUNCTION("""COMPUTED_VALUE"""),3310.0)</f>
        <v>3310</v>
      </c>
      <c r="F776" s="2">
        <f>IFERROR(__xludf.DUMMYFUNCTION("""COMPUTED_VALUE"""),8198500.0)</f>
        <v>8198500</v>
      </c>
      <c r="G776" s="2">
        <f t="shared" si="1"/>
        <v>160</v>
      </c>
    </row>
    <row r="777" ht="15.75" customHeight="1">
      <c r="A777" s="1">
        <f>IFERROR(__xludf.DUMMYFUNCTION("""COMPUTED_VALUE"""),44985.66666666667)</f>
        <v>44985.66667</v>
      </c>
      <c r="B777" s="2">
        <f>IFERROR(__xludf.DUMMYFUNCTION("""COMPUTED_VALUE"""),3320.0)</f>
        <v>3320</v>
      </c>
      <c r="C777" s="2">
        <f>IFERROR(__xludf.DUMMYFUNCTION("""COMPUTED_VALUE"""),3400.0)</f>
        <v>3400</v>
      </c>
      <c r="D777" s="2">
        <f>IFERROR(__xludf.DUMMYFUNCTION("""COMPUTED_VALUE"""),3250.0)</f>
        <v>3250</v>
      </c>
      <c r="E777" s="2">
        <f>IFERROR(__xludf.DUMMYFUNCTION("""COMPUTED_VALUE"""),3250.0)</f>
        <v>3250</v>
      </c>
      <c r="F777" s="2">
        <f>IFERROR(__xludf.DUMMYFUNCTION("""COMPUTED_VALUE"""),4744900.0)</f>
        <v>4744900</v>
      </c>
      <c r="G777" s="2">
        <f t="shared" si="1"/>
        <v>150</v>
      </c>
    </row>
    <row r="778" ht="15.75" customHeight="1">
      <c r="A778" s="1">
        <f>IFERROR(__xludf.DUMMYFUNCTION("""COMPUTED_VALUE"""),44986.66666666667)</f>
        <v>44986.66667</v>
      </c>
      <c r="B778" s="2">
        <f>IFERROR(__xludf.DUMMYFUNCTION("""COMPUTED_VALUE"""),3300.0)</f>
        <v>3300</v>
      </c>
      <c r="C778" s="2">
        <f>IFERROR(__xludf.DUMMYFUNCTION("""COMPUTED_VALUE"""),3330.0)</f>
        <v>3330</v>
      </c>
      <c r="D778" s="2">
        <f>IFERROR(__xludf.DUMMYFUNCTION("""COMPUTED_VALUE"""),3250.0)</f>
        <v>3250</v>
      </c>
      <c r="E778" s="2">
        <f>IFERROR(__xludf.DUMMYFUNCTION("""COMPUTED_VALUE"""),3250.0)</f>
        <v>3250</v>
      </c>
      <c r="F778" s="2">
        <f>IFERROR(__xludf.DUMMYFUNCTION("""COMPUTED_VALUE"""),3020700.0)</f>
        <v>3020700</v>
      </c>
      <c r="G778" s="2">
        <f t="shared" si="1"/>
        <v>80</v>
      </c>
    </row>
    <row r="779" ht="15.75" customHeight="1">
      <c r="A779" s="1">
        <f>IFERROR(__xludf.DUMMYFUNCTION("""COMPUTED_VALUE"""),44987.66666666667)</f>
        <v>44987.66667</v>
      </c>
      <c r="B779" s="2">
        <f>IFERROR(__xludf.DUMMYFUNCTION("""COMPUTED_VALUE"""),3250.0)</f>
        <v>3250</v>
      </c>
      <c r="C779" s="2">
        <f>IFERROR(__xludf.DUMMYFUNCTION("""COMPUTED_VALUE"""),3300.0)</f>
        <v>3300</v>
      </c>
      <c r="D779" s="2">
        <f>IFERROR(__xludf.DUMMYFUNCTION("""COMPUTED_VALUE"""),3210.0)</f>
        <v>3210</v>
      </c>
      <c r="E779" s="2">
        <f>IFERROR(__xludf.DUMMYFUNCTION("""COMPUTED_VALUE"""),3250.0)</f>
        <v>3250</v>
      </c>
      <c r="F779" s="2">
        <f>IFERROR(__xludf.DUMMYFUNCTION("""COMPUTED_VALUE"""),7267000.0)</f>
        <v>7267000</v>
      </c>
      <c r="G779" s="2">
        <f t="shared" si="1"/>
        <v>90</v>
      </c>
    </row>
    <row r="780" ht="15.75" customHeight="1">
      <c r="A780" s="1">
        <f>IFERROR(__xludf.DUMMYFUNCTION("""COMPUTED_VALUE"""),44988.66666666667)</f>
        <v>44988.66667</v>
      </c>
      <c r="B780" s="2">
        <f>IFERROR(__xludf.DUMMYFUNCTION("""COMPUTED_VALUE"""),3340.0)</f>
        <v>3340</v>
      </c>
      <c r="C780" s="2">
        <f>IFERROR(__xludf.DUMMYFUNCTION("""COMPUTED_VALUE"""),3400.0)</f>
        <v>3400</v>
      </c>
      <c r="D780" s="2">
        <f>IFERROR(__xludf.DUMMYFUNCTION("""COMPUTED_VALUE"""),3310.0)</f>
        <v>3310</v>
      </c>
      <c r="E780" s="2">
        <f>IFERROR(__xludf.DUMMYFUNCTION("""COMPUTED_VALUE"""),3340.0)</f>
        <v>3340</v>
      </c>
      <c r="F780" s="2">
        <f>IFERROR(__xludf.DUMMYFUNCTION("""COMPUTED_VALUE"""),1.26039E7)</f>
        <v>12603900</v>
      </c>
      <c r="G780" s="2">
        <f t="shared" si="1"/>
        <v>150</v>
      </c>
    </row>
    <row r="781" ht="15.75" customHeight="1">
      <c r="A781" s="1">
        <f>IFERROR(__xludf.DUMMYFUNCTION("""COMPUTED_VALUE"""),44991.66666666667)</f>
        <v>44991.66667</v>
      </c>
      <c r="B781" s="2">
        <f>IFERROR(__xludf.DUMMYFUNCTION("""COMPUTED_VALUE"""),3340.0)</f>
        <v>3340</v>
      </c>
      <c r="C781" s="2">
        <f>IFERROR(__xludf.DUMMYFUNCTION("""COMPUTED_VALUE"""),3370.0)</f>
        <v>3370</v>
      </c>
      <c r="D781" s="2">
        <f>IFERROR(__xludf.DUMMYFUNCTION("""COMPUTED_VALUE"""),3270.0)</f>
        <v>3270</v>
      </c>
      <c r="E781" s="2">
        <f>IFERROR(__xludf.DUMMYFUNCTION("""COMPUTED_VALUE"""),3290.0)</f>
        <v>3290</v>
      </c>
      <c r="F781" s="2">
        <f>IFERROR(__xludf.DUMMYFUNCTION("""COMPUTED_VALUE"""),5263600.0)</f>
        <v>5263600</v>
      </c>
      <c r="G781" s="2">
        <f t="shared" si="1"/>
        <v>100</v>
      </c>
    </row>
    <row r="782" ht="15.75" customHeight="1">
      <c r="A782" s="1">
        <f>IFERROR(__xludf.DUMMYFUNCTION("""COMPUTED_VALUE"""),44992.66666666667)</f>
        <v>44992.66667</v>
      </c>
      <c r="B782" s="2">
        <f>IFERROR(__xludf.DUMMYFUNCTION("""COMPUTED_VALUE"""),3290.0)</f>
        <v>3290</v>
      </c>
      <c r="C782" s="2">
        <f>IFERROR(__xludf.DUMMYFUNCTION("""COMPUTED_VALUE"""),3330.0)</f>
        <v>3330</v>
      </c>
      <c r="D782" s="2">
        <f>IFERROR(__xludf.DUMMYFUNCTION("""COMPUTED_VALUE"""),3240.0)</f>
        <v>3240</v>
      </c>
      <c r="E782" s="2">
        <f>IFERROR(__xludf.DUMMYFUNCTION("""COMPUTED_VALUE"""),3240.0)</f>
        <v>3240</v>
      </c>
      <c r="F782" s="2">
        <f>IFERROR(__xludf.DUMMYFUNCTION("""COMPUTED_VALUE"""),4476900.0)</f>
        <v>4476900</v>
      </c>
      <c r="G782" s="2">
        <f t="shared" si="1"/>
        <v>90</v>
      </c>
    </row>
    <row r="783" ht="15.75" customHeight="1">
      <c r="A783" s="1">
        <f>IFERROR(__xludf.DUMMYFUNCTION("""COMPUTED_VALUE"""),44993.66666666667)</f>
        <v>44993.66667</v>
      </c>
      <c r="B783" s="2">
        <f>IFERROR(__xludf.DUMMYFUNCTION("""COMPUTED_VALUE"""),3250.0)</f>
        <v>3250</v>
      </c>
      <c r="C783" s="2">
        <f>IFERROR(__xludf.DUMMYFUNCTION("""COMPUTED_VALUE"""),3280.0)</f>
        <v>3280</v>
      </c>
      <c r="D783" s="2">
        <f>IFERROR(__xludf.DUMMYFUNCTION("""COMPUTED_VALUE"""),3220.0)</f>
        <v>3220</v>
      </c>
      <c r="E783" s="2">
        <f>IFERROR(__xludf.DUMMYFUNCTION("""COMPUTED_VALUE"""),3270.0)</f>
        <v>3270</v>
      </c>
      <c r="F783" s="2">
        <f>IFERROR(__xludf.DUMMYFUNCTION("""COMPUTED_VALUE"""),2791100.0)</f>
        <v>2791100</v>
      </c>
      <c r="G783" s="2">
        <f t="shared" si="1"/>
        <v>60</v>
      </c>
    </row>
    <row r="784" ht="15.75" customHeight="1">
      <c r="A784" s="1">
        <f>IFERROR(__xludf.DUMMYFUNCTION("""COMPUTED_VALUE"""),44994.66666666667)</f>
        <v>44994.66667</v>
      </c>
      <c r="B784" s="2">
        <f>IFERROR(__xludf.DUMMYFUNCTION("""COMPUTED_VALUE"""),3270.0)</f>
        <v>3270</v>
      </c>
      <c r="C784" s="2">
        <f>IFERROR(__xludf.DUMMYFUNCTION("""COMPUTED_VALUE"""),3320.0)</f>
        <v>3320</v>
      </c>
      <c r="D784" s="2">
        <f>IFERROR(__xludf.DUMMYFUNCTION("""COMPUTED_VALUE"""),3250.0)</f>
        <v>3250</v>
      </c>
      <c r="E784" s="2">
        <f>IFERROR(__xludf.DUMMYFUNCTION("""COMPUTED_VALUE"""),3250.0)</f>
        <v>3250</v>
      </c>
      <c r="F784" s="2">
        <f>IFERROR(__xludf.DUMMYFUNCTION("""COMPUTED_VALUE"""),2881500.0)</f>
        <v>2881500</v>
      </c>
      <c r="G784" s="2">
        <f t="shared" si="1"/>
        <v>70</v>
      </c>
    </row>
    <row r="785" ht="15.75" customHeight="1">
      <c r="A785" s="1">
        <f>IFERROR(__xludf.DUMMYFUNCTION("""COMPUTED_VALUE"""),44995.66666666667)</f>
        <v>44995.66667</v>
      </c>
      <c r="B785" s="2">
        <f>IFERROR(__xludf.DUMMYFUNCTION("""COMPUTED_VALUE"""),3300.0)</f>
        <v>3300</v>
      </c>
      <c r="C785" s="2">
        <f>IFERROR(__xludf.DUMMYFUNCTION("""COMPUTED_VALUE"""),3300.0)</f>
        <v>3300</v>
      </c>
      <c r="D785" s="2">
        <f>IFERROR(__xludf.DUMMYFUNCTION("""COMPUTED_VALUE"""),3210.0)</f>
        <v>3210</v>
      </c>
      <c r="E785" s="2">
        <f>IFERROR(__xludf.DUMMYFUNCTION("""COMPUTED_VALUE"""),3280.0)</f>
        <v>3280</v>
      </c>
      <c r="F785" s="2">
        <f>IFERROR(__xludf.DUMMYFUNCTION("""COMPUTED_VALUE"""),3550300.0)</f>
        <v>3550300</v>
      </c>
      <c r="G785" s="2">
        <f t="shared" si="1"/>
        <v>90</v>
      </c>
    </row>
    <row r="786" ht="15.75" customHeight="1">
      <c r="A786" s="1">
        <f>IFERROR(__xludf.DUMMYFUNCTION("""COMPUTED_VALUE"""),44998.66666666667)</f>
        <v>44998.66667</v>
      </c>
      <c r="B786" s="2">
        <f>IFERROR(__xludf.DUMMYFUNCTION("""COMPUTED_VALUE"""),3280.0)</f>
        <v>3280</v>
      </c>
      <c r="C786" s="2">
        <f>IFERROR(__xludf.DUMMYFUNCTION("""COMPUTED_VALUE"""),3280.0)</f>
        <v>3280</v>
      </c>
      <c r="D786" s="2">
        <f>IFERROR(__xludf.DUMMYFUNCTION("""COMPUTED_VALUE"""),3200.0)</f>
        <v>3200</v>
      </c>
      <c r="E786" s="2">
        <f>IFERROR(__xludf.DUMMYFUNCTION("""COMPUTED_VALUE"""),3220.0)</f>
        <v>3220</v>
      </c>
      <c r="F786" s="2">
        <f>IFERROR(__xludf.DUMMYFUNCTION("""COMPUTED_VALUE"""),4369800.0)</f>
        <v>4369800</v>
      </c>
      <c r="G786" s="2">
        <f t="shared" si="1"/>
        <v>80</v>
      </c>
    </row>
    <row r="787" ht="15.75" customHeight="1">
      <c r="A787" s="1">
        <f>IFERROR(__xludf.DUMMYFUNCTION("""COMPUTED_VALUE"""),44999.66666666667)</f>
        <v>44999.66667</v>
      </c>
      <c r="B787" s="2">
        <f>IFERROR(__xludf.DUMMYFUNCTION("""COMPUTED_VALUE"""),3180.0)</f>
        <v>3180</v>
      </c>
      <c r="C787" s="2">
        <f>IFERROR(__xludf.DUMMYFUNCTION("""COMPUTED_VALUE"""),3190.0)</f>
        <v>3190</v>
      </c>
      <c r="D787" s="2">
        <f>IFERROR(__xludf.DUMMYFUNCTION("""COMPUTED_VALUE"""),3090.0)</f>
        <v>3090</v>
      </c>
      <c r="E787" s="2">
        <f>IFERROR(__xludf.DUMMYFUNCTION("""COMPUTED_VALUE"""),3170.0)</f>
        <v>3170</v>
      </c>
      <c r="F787" s="2">
        <f>IFERROR(__xludf.DUMMYFUNCTION("""COMPUTED_VALUE"""),5588600.0)</f>
        <v>5588600</v>
      </c>
      <c r="G787" s="2">
        <f t="shared" si="1"/>
        <v>130</v>
      </c>
    </row>
    <row r="788" ht="15.75" customHeight="1">
      <c r="A788" s="1">
        <f>IFERROR(__xludf.DUMMYFUNCTION("""COMPUTED_VALUE"""),45000.66666666667)</f>
        <v>45000.66667</v>
      </c>
      <c r="B788" s="2">
        <f>IFERROR(__xludf.DUMMYFUNCTION("""COMPUTED_VALUE"""),3170.0)</f>
        <v>3170</v>
      </c>
      <c r="C788" s="2">
        <f>IFERROR(__xludf.DUMMYFUNCTION("""COMPUTED_VALUE"""),3180.0)</f>
        <v>3180</v>
      </c>
      <c r="D788" s="2">
        <f>IFERROR(__xludf.DUMMYFUNCTION("""COMPUTED_VALUE"""),3060.0)</f>
        <v>3060</v>
      </c>
      <c r="E788" s="2">
        <f>IFERROR(__xludf.DUMMYFUNCTION("""COMPUTED_VALUE"""),3060.0)</f>
        <v>3060</v>
      </c>
      <c r="F788" s="2">
        <f>IFERROR(__xludf.DUMMYFUNCTION("""COMPUTED_VALUE"""),4201700.0)</f>
        <v>4201700</v>
      </c>
      <c r="G788" s="2">
        <f t="shared" si="1"/>
        <v>120</v>
      </c>
    </row>
    <row r="789" ht="15.75" customHeight="1">
      <c r="A789" s="1">
        <f>IFERROR(__xludf.DUMMYFUNCTION("""COMPUTED_VALUE"""),45001.66666666667)</f>
        <v>45001.66667</v>
      </c>
      <c r="B789" s="2">
        <f>IFERROR(__xludf.DUMMYFUNCTION("""COMPUTED_VALUE"""),3070.0)</f>
        <v>3070</v>
      </c>
      <c r="C789" s="2">
        <f>IFERROR(__xludf.DUMMYFUNCTION("""COMPUTED_VALUE"""),3130.0)</f>
        <v>3130</v>
      </c>
      <c r="D789" s="2">
        <f>IFERROR(__xludf.DUMMYFUNCTION("""COMPUTED_VALUE"""),3030.0)</f>
        <v>3030</v>
      </c>
      <c r="E789" s="2">
        <f>IFERROR(__xludf.DUMMYFUNCTION("""COMPUTED_VALUE"""),3070.0)</f>
        <v>3070</v>
      </c>
      <c r="F789" s="2">
        <f>IFERROR(__xludf.DUMMYFUNCTION("""COMPUTED_VALUE"""),2356700.0)</f>
        <v>2356700</v>
      </c>
      <c r="G789" s="2">
        <f t="shared" si="1"/>
        <v>100</v>
      </c>
    </row>
    <row r="790" ht="15.75" customHeight="1">
      <c r="A790" s="1">
        <f>IFERROR(__xludf.DUMMYFUNCTION("""COMPUTED_VALUE"""),45002.66666666667)</f>
        <v>45002.66667</v>
      </c>
      <c r="B790" s="2">
        <f>IFERROR(__xludf.DUMMYFUNCTION("""COMPUTED_VALUE"""),3100.0)</f>
        <v>3100</v>
      </c>
      <c r="C790" s="2">
        <f>IFERROR(__xludf.DUMMYFUNCTION("""COMPUTED_VALUE"""),3150.0)</f>
        <v>3150</v>
      </c>
      <c r="D790" s="2">
        <f>IFERROR(__xludf.DUMMYFUNCTION("""COMPUTED_VALUE"""),3080.0)</f>
        <v>3080</v>
      </c>
      <c r="E790" s="2">
        <f>IFERROR(__xludf.DUMMYFUNCTION("""COMPUTED_VALUE"""),3150.0)</f>
        <v>3150</v>
      </c>
      <c r="F790" s="2">
        <f>IFERROR(__xludf.DUMMYFUNCTION("""COMPUTED_VALUE"""),2243700.0)</f>
        <v>2243700</v>
      </c>
      <c r="G790" s="2">
        <f t="shared" si="1"/>
        <v>80</v>
      </c>
    </row>
    <row r="791" ht="15.75" customHeight="1">
      <c r="A791" s="1">
        <f>IFERROR(__xludf.DUMMYFUNCTION("""COMPUTED_VALUE"""),45005.66666666667)</f>
        <v>45005.66667</v>
      </c>
      <c r="B791" s="2">
        <f>IFERROR(__xludf.DUMMYFUNCTION("""COMPUTED_VALUE"""),3150.0)</f>
        <v>3150</v>
      </c>
      <c r="C791" s="2">
        <f>IFERROR(__xludf.DUMMYFUNCTION("""COMPUTED_VALUE"""),3160.0)</f>
        <v>3160</v>
      </c>
      <c r="D791" s="2">
        <f>IFERROR(__xludf.DUMMYFUNCTION("""COMPUTED_VALUE"""),3090.0)</f>
        <v>3090</v>
      </c>
      <c r="E791" s="2">
        <f>IFERROR(__xludf.DUMMYFUNCTION("""COMPUTED_VALUE"""),3140.0)</f>
        <v>3140</v>
      </c>
      <c r="F791" s="2">
        <f>IFERROR(__xludf.DUMMYFUNCTION("""COMPUTED_VALUE"""),1575200.0)</f>
        <v>1575200</v>
      </c>
      <c r="G791" s="2">
        <f t="shared" si="1"/>
        <v>70</v>
      </c>
    </row>
    <row r="792" ht="15.75" customHeight="1">
      <c r="A792" s="1">
        <f>IFERROR(__xludf.DUMMYFUNCTION("""COMPUTED_VALUE"""),45006.66666666667)</f>
        <v>45006.66667</v>
      </c>
      <c r="B792" s="2">
        <f>IFERROR(__xludf.DUMMYFUNCTION("""COMPUTED_VALUE"""),3160.0)</f>
        <v>3160</v>
      </c>
      <c r="C792" s="2">
        <f>IFERROR(__xludf.DUMMYFUNCTION("""COMPUTED_VALUE"""),3190.0)</f>
        <v>3190</v>
      </c>
      <c r="D792" s="2">
        <f>IFERROR(__xludf.DUMMYFUNCTION("""COMPUTED_VALUE"""),3120.0)</f>
        <v>3120</v>
      </c>
      <c r="E792" s="2">
        <f>IFERROR(__xludf.DUMMYFUNCTION("""COMPUTED_VALUE"""),3170.0)</f>
        <v>3170</v>
      </c>
      <c r="F792" s="2">
        <f>IFERROR(__xludf.DUMMYFUNCTION("""COMPUTED_VALUE"""),1434600.0)</f>
        <v>1434600</v>
      </c>
      <c r="G792" s="2">
        <f t="shared" si="1"/>
        <v>70</v>
      </c>
    </row>
    <row r="793" ht="15.75" customHeight="1">
      <c r="A793" s="1">
        <f>IFERROR(__xludf.DUMMYFUNCTION("""COMPUTED_VALUE"""),45009.66666666667)</f>
        <v>45009.66667</v>
      </c>
      <c r="B793" s="2">
        <f>IFERROR(__xludf.DUMMYFUNCTION("""COMPUTED_VALUE"""),3170.0)</f>
        <v>3170</v>
      </c>
      <c r="C793" s="2">
        <f>IFERROR(__xludf.DUMMYFUNCTION("""COMPUTED_VALUE"""),3220.0)</f>
        <v>3220</v>
      </c>
      <c r="D793" s="2">
        <f>IFERROR(__xludf.DUMMYFUNCTION("""COMPUTED_VALUE"""),3170.0)</f>
        <v>3170</v>
      </c>
      <c r="E793" s="2">
        <f>IFERROR(__xludf.DUMMYFUNCTION("""COMPUTED_VALUE"""),3170.0)</f>
        <v>3170</v>
      </c>
      <c r="F793" s="2">
        <f>IFERROR(__xludf.DUMMYFUNCTION("""COMPUTED_VALUE"""),2593800.0)</f>
        <v>2593800</v>
      </c>
      <c r="G793" s="2">
        <f t="shared" si="1"/>
        <v>50</v>
      </c>
    </row>
    <row r="794" ht="15.75" customHeight="1">
      <c r="A794" s="1">
        <f>IFERROR(__xludf.DUMMYFUNCTION("""COMPUTED_VALUE"""),45012.66666666667)</f>
        <v>45012.66667</v>
      </c>
      <c r="B794" s="2">
        <f>IFERROR(__xludf.DUMMYFUNCTION("""COMPUTED_VALUE"""),3170.0)</f>
        <v>3170</v>
      </c>
      <c r="C794" s="2">
        <f>IFERROR(__xludf.DUMMYFUNCTION("""COMPUTED_VALUE"""),3210.0)</f>
        <v>3210</v>
      </c>
      <c r="D794" s="2">
        <f>IFERROR(__xludf.DUMMYFUNCTION("""COMPUTED_VALUE"""),3150.0)</f>
        <v>3150</v>
      </c>
      <c r="E794" s="2">
        <f>IFERROR(__xludf.DUMMYFUNCTION("""COMPUTED_VALUE"""),3170.0)</f>
        <v>3170</v>
      </c>
      <c r="F794" s="2">
        <f>IFERROR(__xludf.DUMMYFUNCTION("""COMPUTED_VALUE"""),1413700.0)</f>
        <v>1413700</v>
      </c>
      <c r="G794" s="2">
        <f t="shared" si="1"/>
        <v>60</v>
      </c>
    </row>
    <row r="795" ht="15.75" customHeight="1">
      <c r="A795" s="1">
        <f>IFERROR(__xludf.DUMMYFUNCTION("""COMPUTED_VALUE"""),45013.66666666667)</f>
        <v>45013.66667</v>
      </c>
      <c r="B795" s="2">
        <f>IFERROR(__xludf.DUMMYFUNCTION("""COMPUTED_VALUE"""),3190.0)</f>
        <v>3190</v>
      </c>
      <c r="C795" s="2">
        <f>IFERROR(__xludf.DUMMYFUNCTION("""COMPUTED_VALUE"""),3190.0)</f>
        <v>3190</v>
      </c>
      <c r="D795" s="2">
        <f>IFERROR(__xludf.DUMMYFUNCTION("""COMPUTED_VALUE"""),3150.0)</f>
        <v>3150</v>
      </c>
      <c r="E795" s="2">
        <f>IFERROR(__xludf.DUMMYFUNCTION("""COMPUTED_VALUE"""),3160.0)</f>
        <v>3160</v>
      </c>
      <c r="F795" s="2">
        <f>IFERROR(__xludf.DUMMYFUNCTION("""COMPUTED_VALUE"""),1880700.0)</f>
        <v>1880700</v>
      </c>
      <c r="G795" s="2">
        <f t="shared" si="1"/>
        <v>40</v>
      </c>
    </row>
    <row r="796" ht="15.75" customHeight="1">
      <c r="A796" s="1">
        <f>IFERROR(__xludf.DUMMYFUNCTION("""COMPUTED_VALUE"""),45014.66666666667)</f>
        <v>45014.66667</v>
      </c>
      <c r="B796" s="2">
        <f>IFERROR(__xludf.DUMMYFUNCTION("""COMPUTED_VALUE"""),3160.0)</f>
        <v>3160</v>
      </c>
      <c r="C796" s="2">
        <f>IFERROR(__xludf.DUMMYFUNCTION("""COMPUTED_VALUE"""),3250.0)</f>
        <v>3250</v>
      </c>
      <c r="D796" s="2">
        <f>IFERROR(__xludf.DUMMYFUNCTION("""COMPUTED_VALUE"""),3150.0)</f>
        <v>3150</v>
      </c>
      <c r="E796" s="2">
        <f>IFERROR(__xludf.DUMMYFUNCTION("""COMPUTED_VALUE"""),3230.0)</f>
        <v>3230</v>
      </c>
      <c r="F796" s="2">
        <f>IFERROR(__xludf.DUMMYFUNCTION("""COMPUTED_VALUE"""),3135600.0)</f>
        <v>3135600</v>
      </c>
      <c r="G796" s="2">
        <f t="shared" si="1"/>
        <v>100</v>
      </c>
    </row>
    <row r="797" ht="15.75" customHeight="1">
      <c r="A797" s="1">
        <f>IFERROR(__xludf.DUMMYFUNCTION("""COMPUTED_VALUE"""),45015.66666666667)</f>
        <v>45015.66667</v>
      </c>
      <c r="B797" s="2">
        <f>IFERROR(__xludf.DUMMYFUNCTION("""COMPUTED_VALUE"""),3230.0)</f>
        <v>3230</v>
      </c>
      <c r="C797" s="2">
        <f>IFERROR(__xludf.DUMMYFUNCTION("""COMPUTED_VALUE"""),3250.0)</f>
        <v>3250</v>
      </c>
      <c r="D797" s="2">
        <f>IFERROR(__xludf.DUMMYFUNCTION("""COMPUTED_VALUE"""),3190.0)</f>
        <v>3190</v>
      </c>
      <c r="E797" s="2">
        <f>IFERROR(__xludf.DUMMYFUNCTION("""COMPUTED_VALUE"""),3210.0)</f>
        <v>3210</v>
      </c>
      <c r="F797" s="2">
        <f>IFERROR(__xludf.DUMMYFUNCTION("""COMPUTED_VALUE"""),3625100.0)</f>
        <v>3625100</v>
      </c>
      <c r="G797" s="2">
        <f t="shared" si="1"/>
        <v>60</v>
      </c>
    </row>
    <row r="798" ht="15.75" customHeight="1">
      <c r="A798" s="1">
        <f>IFERROR(__xludf.DUMMYFUNCTION("""COMPUTED_VALUE"""),45016.66666666667)</f>
        <v>45016.66667</v>
      </c>
      <c r="B798" s="2">
        <f>IFERROR(__xludf.DUMMYFUNCTION("""COMPUTED_VALUE"""),3260.0)</f>
        <v>3260</v>
      </c>
      <c r="C798" s="2">
        <f>IFERROR(__xludf.DUMMYFUNCTION("""COMPUTED_VALUE"""),3260.0)</f>
        <v>3260</v>
      </c>
      <c r="D798" s="2">
        <f>IFERROR(__xludf.DUMMYFUNCTION("""COMPUTED_VALUE"""),3200.0)</f>
        <v>3200</v>
      </c>
      <c r="E798" s="2">
        <f>IFERROR(__xludf.DUMMYFUNCTION("""COMPUTED_VALUE"""),3220.0)</f>
        <v>3220</v>
      </c>
      <c r="F798" s="2">
        <f>IFERROR(__xludf.DUMMYFUNCTION("""COMPUTED_VALUE"""),2224800.0)</f>
        <v>2224800</v>
      </c>
      <c r="G798" s="2">
        <f t="shared" si="1"/>
        <v>60</v>
      </c>
    </row>
    <row r="799" ht="15.75" customHeight="1">
      <c r="A799" s="1">
        <f>IFERROR(__xludf.DUMMYFUNCTION("""COMPUTED_VALUE"""),45019.66666666667)</f>
        <v>45019.66667</v>
      </c>
      <c r="B799" s="2">
        <f>IFERROR(__xludf.DUMMYFUNCTION("""COMPUTED_VALUE"""),3260.0)</f>
        <v>3260</v>
      </c>
      <c r="C799" s="2">
        <f>IFERROR(__xludf.DUMMYFUNCTION("""COMPUTED_VALUE"""),3290.0)</f>
        <v>3290</v>
      </c>
      <c r="D799" s="2">
        <f>IFERROR(__xludf.DUMMYFUNCTION("""COMPUTED_VALUE"""),3220.0)</f>
        <v>3220</v>
      </c>
      <c r="E799" s="2">
        <f>IFERROR(__xludf.DUMMYFUNCTION("""COMPUTED_VALUE"""),3280.0)</f>
        <v>3280</v>
      </c>
      <c r="F799" s="2">
        <f>IFERROR(__xludf.DUMMYFUNCTION("""COMPUTED_VALUE"""),2626200.0)</f>
        <v>2626200</v>
      </c>
      <c r="G799" s="2">
        <f t="shared" si="1"/>
        <v>70</v>
      </c>
    </row>
    <row r="800" ht="15.75" customHeight="1">
      <c r="A800" s="1">
        <f>IFERROR(__xludf.DUMMYFUNCTION("""COMPUTED_VALUE"""),45020.66666666667)</f>
        <v>45020.66667</v>
      </c>
      <c r="B800" s="2">
        <f>IFERROR(__xludf.DUMMYFUNCTION("""COMPUTED_VALUE"""),3280.0)</f>
        <v>3280</v>
      </c>
      <c r="C800" s="2">
        <f>IFERROR(__xludf.DUMMYFUNCTION("""COMPUTED_VALUE"""),3300.0)</f>
        <v>3300</v>
      </c>
      <c r="D800" s="2">
        <f>IFERROR(__xludf.DUMMYFUNCTION("""COMPUTED_VALUE"""),3230.0)</f>
        <v>3230</v>
      </c>
      <c r="E800" s="2">
        <f>IFERROR(__xludf.DUMMYFUNCTION("""COMPUTED_VALUE"""),3290.0)</f>
        <v>3290</v>
      </c>
      <c r="F800" s="2">
        <f>IFERROR(__xludf.DUMMYFUNCTION("""COMPUTED_VALUE"""),2429400.0)</f>
        <v>2429400</v>
      </c>
      <c r="G800" s="2">
        <f t="shared" si="1"/>
        <v>70</v>
      </c>
    </row>
    <row r="801" ht="15.75" customHeight="1">
      <c r="A801" s="1">
        <f>IFERROR(__xludf.DUMMYFUNCTION("""COMPUTED_VALUE"""),45021.66666666667)</f>
        <v>45021.66667</v>
      </c>
      <c r="B801" s="2">
        <f>IFERROR(__xludf.DUMMYFUNCTION("""COMPUTED_VALUE"""),3290.0)</f>
        <v>3290</v>
      </c>
      <c r="C801" s="2">
        <f>IFERROR(__xludf.DUMMYFUNCTION("""COMPUTED_VALUE"""),3370.0)</f>
        <v>3370</v>
      </c>
      <c r="D801" s="2">
        <f>IFERROR(__xludf.DUMMYFUNCTION("""COMPUTED_VALUE"""),3260.0)</f>
        <v>3260</v>
      </c>
      <c r="E801" s="2">
        <f>IFERROR(__xludf.DUMMYFUNCTION("""COMPUTED_VALUE"""),3330.0)</f>
        <v>3330</v>
      </c>
      <c r="F801" s="2">
        <f>IFERROR(__xludf.DUMMYFUNCTION("""COMPUTED_VALUE"""),5802500.0)</f>
        <v>5802500</v>
      </c>
      <c r="G801" s="2">
        <f t="shared" si="1"/>
        <v>110</v>
      </c>
    </row>
    <row r="802" ht="15.75" customHeight="1">
      <c r="A802" s="1">
        <f>IFERROR(__xludf.DUMMYFUNCTION("""COMPUTED_VALUE"""),45022.66666666667)</f>
        <v>45022.66667</v>
      </c>
      <c r="B802" s="2">
        <f>IFERROR(__xludf.DUMMYFUNCTION("""COMPUTED_VALUE"""),3370.0)</f>
        <v>3370</v>
      </c>
      <c r="C802" s="2">
        <f>IFERROR(__xludf.DUMMYFUNCTION("""COMPUTED_VALUE"""),3380.0)</f>
        <v>3380</v>
      </c>
      <c r="D802" s="2">
        <f>IFERROR(__xludf.DUMMYFUNCTION("""COMPUTED_VALUE"""),3320.0)</f>
        <v>3320</v>
      </c>
      <c r="E802" s="2">
        <f>IFERROR(__xludf.DUMMYFUNCTION("""COMPUTED_VALUE"""),3380.0)</f>
        <v>3380</v>
      </c>
      <c r="F802" s="2">
        <f>IFERROR(__xludf.DUMMYFUNCTION("""COMPUTED_VALUE"""),3891400.0)</f>
        <v>3891400</v>
      </c>
      <c r="G802" s="2">
        <f t="shared" si="1"/>
        <v>60</v>
      </c>
    </row>
    <row r="803" ht="15.75" customHeight="1">
      <c r="A803" s="1">
        <f>IFERROR(__xludf.DUMMYFUNCTION("""COMPUTED_VALUE"""),45026.66666666667)</f>
        <v>45026.66667</v>
      </c>
      <c r="B803" s="2">
        <f>IFERROR(__xludf.DUMMYFUNCTION("""COMPUTED_VALUE"""),3430.0)</f>
        <v>3430</v>
      </c>
      <c r="C803" s="2">
        <f>IFERROR(__xludf.DUMMYFUNCTION("""COMPUTED_VALUE"""),3430.0)</f>
        <v>3430</v>
      </c>
      <c r="D803" s="2">
        <f>IFERROR(__xludf.DUMMYFUNCTION("""COMPUTED_VALUE"""),3350.0)</f>
        <v>3350</v>
      </c>
      <c r="E803" s="2">
        <f>IFERROR(__xludf.DUMMYFUNCTION("""COMPUTED_VALUE"""),3410.0)</f>
        <v>3410</v>
      </c>
      <c r="F803" s="2">
        <f>IFERROR(__xludf.DUMMYFUNCTION("""COMPUTED_VALUE"""),5353000.0)</f>
        <v>5353000</v>
      </c>
      <c r="G803" s="2">
        <f t="shared" si="1"/>
        <v>80</v>
      </c>
    </row>
    <row r="804" ht="15.75" customHeight="1">
      <c r="A804" s="1">
        <f>IFERROR(__xludf.DUMMYFUNCTION("""COMPUTED_VALUE"""),45027.66666666667)</f>
        <v>45027.66667</v>
      </c>
      <c r="B804" s="2">
        <f>IFERROR(__xludf.DUMMYFUNCTION("""COMPUTED_VALUE"""),3410.0)</f>
        <v>3410</v>
      </c>
      <c r="C804" s="2">
        <f>IFERROR(__xludf.DUMMYFUNCTION("""COMPUTED_VALUE"""),3420.0)</f>
        <v>3420</v>
      </c>
      <c r="D804" s="2">
        <f>IFERROR(__xludf.DUMMYFUNCTION("""COMPUTED_VALUE"""),3370.0)</f>
        <v>3370</v>
      </c>
      <c r="E804" s="2">
        <f>IFERROR(__xludf.DUMMYFUNCTION("""COMPUTED_VALUE"""),3390.0)</f>
        <v>3390</v>
      </c>
      <c r="F804" s="2">
        <f>IFERROR(__xludf.DUMMYFUNCTION("""COMPUTED_VALUE"""),2970100.0)</f>
        <v>2970100</v>
      </c>
      <c r="G804" s="2">
        <f t="shared" si="1"/>
        <v>50</v>
      </c>
    </row>
    <row r="805" ht="15.75" customHeight="1">
      <c r="A805" s="1">
        <f>IFERROR(__xludf.DUMMYFUNCTION("""COMPUTED_VALUE"""),45028.66666666667)</f>
        <v>45028.66667</v>
      </c>
      <c r="B805" s="2">
        <f>IFERROR(__xludf.DUMMYFUNCTION("""COMPUTED_VALUE"""),3370.0)</f>
        <v>3370</v>
      </c>
      <c r="C805" s="2">
        <f>IFERROR(__xludf.DUMMYFUNCTION("""COMPUTED_VALUE"""),3400.0)</f>
        <v>3400</v>
      </c>
      <c r="D805" s="2">
        <f>IFERROR(__xludf.DUMMYFUNCTION("""COMPUTED_VALUE"""),3310.0)</f>
        <v>3310</v>
      </c>
      <c r="E805" s="2">
        <f>IFERROR(__xludf.DUMMYFUNCTION("""COMPUTED_VALUE"""),3310.0)</f>
        <v>3310</v>
      </c>
      <c r="F805" s="2">
        <f>IFERROR(__xludf.DUMMYFUNCTION("""COMPUTED_VALUE"""),3725000.0)</f>
        <v>3725000</v>
      </c>
      <c r="G805" s="2">
        <f t="shared" si="1"/>
        <v>90</v>
      </c>
    </row>
    <row r="806" ht="15.75" customHeight="1">
      <c r="A806" s="1">
        <f>IFERROR(__xludf.DUMMYFUNCTION("""COMPUTED_VALUE"""),45029.66666666667)</f>
        <v>45029.66667</v>
      </c>
      <c r="B806" s="2">
        <f>IFERROR(__xludf.DUMMYFUNCTION("""COMPUTED_VALUE"""),3320.0)</f>
        <v>3320</v>
      </c>
      <c r="C806" s="2">
        <f>IFERROR(__xludf.DUMMYFUNCTION("""COMPUTED_VALUE"""),3380.0)</f>
        <v>3380</v>
      </c>
      <c r="D806" s="2">
        <f>IFERROR(__xludf.DUMMYFUNCTION("""COMPUTED_VALUE"""),3300.0)</f>
        <v>3300</v>
      </c>
      <c r="E806" s="2">
        <f>IFERROR(__xludf.DUMMYFUNCTION("""COMPUTED_VALUE"""),3300.0)</f>
        <v>3300</v>
      </c>
      <c r="F806" s="2">
        <f>IFERROR(__xludf.DUMMYFUNCTION("""COMPUTED_VALUE"""),2328600.0)</f>
        <v>2328600</v>
      </c>
      <c r="G806" s="2">
        <f t="shared" si="1"/>
        <v>80</v>
      </c>
    </row>
    <row r="807" ht="15.75" customHeight="1">
      <c r="A807" s="1">
        <f>IFERROR(__xludf.DUMMYFUNCTION("""COMPUTED_VALUE"""),45030.66666666667)</f>
        <v>45030.66667</v>
      </c>
      <c r="B807" s="2">
        <f>IFERROR(__xludf.DUMMYFUNCTION("""COMPUTED_VALUE"""),3350.0)</f>
        <v>3350</v>
      </c>
      <c r="C807" s="2">
        <f>IFERROR(__xludf.DUMMYFUNCTION("""COMPUTED_VALUE"""),3420.0)</f>
        <v>3420</v>
      </c>
      <c r="D807" s="2">
        <f>IFERROR(__xludf.DUMMYFUNCTION("""COMPUTED_VALUE"""),3320.0)</f>
        <v>3320</v>
      </c>
      <c r="E807" s="2">
        <f>IFERROR(__xludf.DUMMYFUNCTION("""COMPUTED_VALUE"""),3390.0)</f>
        <v>3390</v>
      </c>
      <c r="F807" s="2">
        <f>IFERROR(__xludf.DUMMYFUNCTION("""COMPUTED_VALUE"""),9502600.0)</f>
        <v>9502600</v>
      </c>
      <c r="G807" s="2">
        <f t="shared" si="1"/>
        <v>120</v>
      </c>
    </row>
    <row r="808" ht="15.75" customHeight="1">
      <c r="A808" s="1">
        <f>IFERROR(__xludf.DUMMYFUNCTION("""COMPUTED_VALUE"""),45033.66666666667)</f>
        <v>45033.66667</v>
      </c>
      <c r="B808" s="2">
        <f>IFERROR(__xludf.DUMMYFUNCTION("""COMPUTED_VALUE"""),3390.0)</f>
        <v>3390</v>
      </c>
      <c r="C808" s="2">
        <f>IFERROR(__xludf.DUMMYFUNCTION("""COMPUTED_VALUE"""),3430.0)</f>
        <v>3430</v>
      </c>
      <c r="D808" s="2">
        <f>IFERROR(__xludf.DUMMYFUNCTION("""COMPUTED_VALUE"""),3240.0)</f>
        <v>3240</v>
      </c>
      <c r="E808" s="2">
        <f>IFERROR(__xludf.DUMMYFUNCTION("""COMPUTED_VALUE"""),3290.0)</f>
        <v>3290</v>
      </c>
      <c r="F808" s="2">
        <f>IFERROR(__xludf.DUMMYFUNCTION("""COMPUTED_VALUE"""),5933300.0)</f>
        <v>5933300</v>
      </c>
      <c r="G808" s="2">
        <f t="shared" si="1"/>
        <v>190</v>
      </c>
    </row>
    <row r="809" ht="15.75" customHeight="1">
      <c r="A809" s="1">
        <f>IFERROR(__xludf.DUMMYFUNCTION("""COMPUTED_VALUE"""),45034.66666666667)</f>
        <v>45034.66667</v>
      </c>
      <c r="B809" s="2">
        <f>IFERROR(__xludf.DUMMYFUNCTION("""COMPUTED_VALUE"""),3300.0)</f>
        <v>3300</v>
      </c>
      <c r="C809" s="2">
        <f>IFERROR(__xludf.DUMMYFUNCTION("""COMPUTED_VALUE"""),3320.0)</f>
        <v>3320</v>
      </c>
      <c r="D809" s="2">
        <f>IFERROR(__xludf.DUMMYFUNCTION("""COMPUTED_VALUE"""),3220.0)</f>
        <v>3220</v>
      </c>
      <c r="E809" s="2">
        <f>IFERROR(__xludf.DUMMYFUNCTION("""COMPUTED_VALUE"""),3230.0)</f>
        <v>3230</v>
      </c>
      <c r="F809" s="2">
        <f>IFERROR(__xludf.DUMMYFUNCTION("""COMPUTED_VALUE"""),6612200.0)</f>
        <v>6612200</v>
      </c>
      <c r="G809" s="2">
        <f t="shared" si="1"/>
        <v>100</v>
      </c>
    </row>
    <row r="810" ht="15.75" customHeight="1">
      <c r="A810" s="1">
        <f>IFERROR(__xludf.DUMMYFUNCTION("""COMPUTED_VALUE"""),45042.66666666667)</f>
        <v>45042.66667</v>
      </c>
      <c r="B810" s="2">
        <f>IFERROR(__xludf.DUMMYFUNCTION("""COMPUTED_VALUE"""),3280.0)</f>
        <v>3280</v>
      </c>
      <c r="C810" s="2">
        <f>IFERROR(__xludf.DUMMYFUNCTION("""COMPUTED_VALUE"""),3280.0)</f>
        <v>3280</v>
      </c>
      <c r="D810" s="2">
        <f>IFERROR(__xludf.DUMMYFUNCTION("""COMPUTED_VALUE"""),3160.0)</f>
        <v>3160</v>
      </c>
      <c r="E810" s="2">
        <f>IFERROR(__xludf.DUMMYFUNCTION("""COMPUTED_VALUE"""),3250.0)</f>
        <v>3250</v>
      </c>
      <c r="F810" s="2">
        <f>IFERROR(__xludf.DUMMYFUNCTION("""COMPUTED_VALUE"""),7754700.0)</f>
        <v>7754700</v>
      </c>
      <c r="G810" s="2">
        <f t="shared" si="1"/>
        <v>120</v>
      </c>
    </row>
    <row r="811" ht="15.75" customHeight="1">
      <c r="A811" s="1">
        <f>IFERROR(__xludf.DUMMYFUNCTION("""COMPUTED_VALUE"""),45043.66666666667)</f>
        <v>45043.66667</v>
      </c>
      <c r="B811" s="2">
        <f>IFERROR(__xludf.DUMMYFUNCTION("""COMPUTED_VALUE"""),3240.0)</f>
        <v>3240</v>
      </c>
      <c r="C811" s="2">
        <f>IFERROR(__xludf.DUMMYFUNCTION("""COMPUTED_VALUE"""),3270.0)</f>
        <v>3270</v>
      </c>
      <c r="D811" s="2">
        <f>IFERROR(__xludf.DUMMYFUNCTION("""COMPUTED_VALUE"""),3190.0)</f>
        <v>3190</v>
      </c>
      <c r="E811" s="2">
        <f>IFERROR(__xludf.DUMMYFUNCTION("""COMPUTED_VALUE"""),3230.0)</f>
        <v>3230</v>
      </c>
      <c r="F811" s="2">
        <f>IFERROR(__xludf.DUMMYFUNCTION("""COMPUTED_VALUE"""),3543800.0)</f>
        <v>3543800</v>
      </c>
      <c r="G811" s="2">
        <f t="shared" si="1"/>
        <v>80</v>
      </c>
    </row>
    <row r="812" ht="15.75" customHeight="1">
      <c r="A812" s="1">
        <f>IFERROR(__xludf.DUMMYFUNCTION("""COMPUTED_VALUE"""),45044.66666666667)</f>
        <v>45044.66667</v>
      </c>
      <c r="B812" s="2">
        <f>IFERROR(__xludf.DUMMYFUNCTION("""COMPUTED_VALUE"""),3280.0)</f>
        <v>3280</v>
      </c>
      <c r="C812" s="2">
        <f>IFERROR(__xludf.DUMMYFUNCTION("""COMPUTED_VALUE"""),3290.0)</f>
        <v>3290</v>
      </c>
      <c r="D812" s="2">
        <f>IFERROR(__xludf.DUMMYFUNCTION("""COMPUTED_VALUE"""),3220.0)</f>
        <v>3220</v>
      </c>
      <c r="E812" s="2">
        <f>IFERROR(__xludf.DUMMYFUNCTION("""COMPUTED_VALUE"""),3290.0)</f>
        <v>3290</v>
      </c>
      <c r="F812" s="2">
        <f>IFERROR(__xludf.DUMMYFUNCTION("""COMPUTED_VALUE"""),2666500.0)</f>
        <v>2666500</v>
      </c>
      <c r="G812" s="2">
        <f t="shared" si="1"/>
        <v>70</v>
      </c>
    </row>
    <row r="813" ht="15.75" customHeight="1">
      <c r="A813" s="1">
        <f>IFERROR(__xludf.DUMMYFUNCTION("""COMPUTED_VALUE"""),45048.66666666667)</f>
        <v>45048.66667</v>
      </c>
      <c r="B813" s="2">
        <f>IFERROR(__xludf.DUMMYFUNCTION("""COMPUTED_VALUE"""),3310.0)</f>
        <v>3310</v>
      </c>
      <c r="C813" s="2">
        <f>IFERROR(__xludf.DUMMYFUNCTION("""COMPUTED_VALUE"""),3340.0)</f>
        <v>3340</v>
      </c>
      <c r="D813" s="2">
        <f>IFERROR(__xludf.DUMMYFUNCTION("""COMPUTED_VALUE"""),3260.0)</f>
        <v>3260</v>
      </c>
      <c r="E813" s="2">
        <f>IFERROR(__xludf.DUMMYFUNCTION("""COMPUTED_VALUE"""),3340.0)</f>
        <v>3340</v>
      </c>
      <c r="F813" s="2">
        <f>IFERROR(__xludf.DUMMYFUNCTION("""COMPUTED_VALUE"""),4118900.0)</f>
        <v>4118900</v>
      </c>
      <c r="G813" s="2">
        <f t="shared" si="1"/>
        <v>80</v>
      </c>
    </row>
    <row r="814" ht="15.75" customHeight="1">
      <c r="A814" s="1">
        <f>IFERROR(__xludf.DUMMYFUNCTION("""COMPUTED_VALUE"""),45049.66666666667)</f>
        <v>45049.66667</v>
      </c>
      <c r="B814" s="2">
        <f>IFERROR(__xludf.DUMMYFUNCTION("""COMPUTED_VALUE"""),3340.0)</f>
        <v>3340</v>
      </c>
      <c r="C814" s="2">
        <f>IFERROR(__xludf.DUMMYFUNCTION("""COMPUTED_VALUE"""),3340.0)</f>
        <v>3340</v>
      </c>
      <c r="D814" s="2">
        <f>IFERROR(__xludf.DUMMYFUNCTION("""COMPUTED_VALUE"""),3280.0)</f>
        <v>3280</v>
      </c>
      <c r="E814" s="2">
        <f>IFERROR(__xludf.DUMMYFUNCTION("""COMPUTED_VALUE"""),3330.0)</f>
        <v>3330</v>
      </c>
      <c r="F814" s="2">
        <f>IFERROR(__xludf.DUMMYFUNCTION("""COMPUTED_VALUE"""),2893400.0)</f>
        <v>2893400</v>
      </c>
      <c r="G814" s="2">
        <f t="shared" si="1"/>
        <v>60</v>
      </c>
    </row>
    <row r="815" ht="15.75" customHeight="1">
      <c r="A815" s="1">
        <f>IFERROR(__xludf.DUMMYFUNCTION("""COMPUTED_VALUE"""),45050.66666666667)</f>
        <v>45050.66667</v>
      </c>
      <c r="B815" s="2">
        <f>IFERROR(__xludf.DUMMYFUNCTION("""COMPUTED_VALUE"""),3320.0)</f>
        <v>3320</v>
      </c>
      <c r="C815" s="2">
        <f>IFERROR(__xludf.DUMMYFUNCTION("""COMPUTED_VALUE"""),3340.0)</f>
        <v>3340</v>
      </c>
      <c r="D815" s="2">
        <f>IFERROR(__xludf.DUMMYFUNCTION("""COMPUTED_VALUE"""),3300.0)</f>
        <v>3300</v>
      </c>
      <c r="E815" s="2">
        <f>IFERROR(__xludf.DUMMYFUNCTION("""COMPUTED_VALUE"""),3330.0)</f>
        <v>3330</v>
      </c>
      <c r="F815" s="2">
        <f>IFERROR(__xludf.DUMMYFUNCTION("""COMPUTED_VALUE"""),1601300.0)</f>
        <v>1601300</v>
      </c>
      <c r="G815" s="2">
        <f t="shared" si="1"/>
        <v>40</v>
      </c>
    </row>
    <row r="816" ht="15.75" customHeight="1">
      <c r="A816" s="1">
        <f>IFERROR(__xludf.DUMMYFUNCTION("""COMPUTED_VALUE"""),45051.66666666667)</f>
        <v>45051.66667</v>
      </c>
      <c r="B816" s="2">
        <f>IFERROR(__xludf.DUMMYFUNCTION("""COMPUTED_VALUE"""),3350.0)</f>
        <v>3350</v>
      </c>
      <c r="C816" s="2">
        <f>IFERROR(__xludf.DUMMYFUNCTION("""COMPUTED_VALUE"""),3360.0)</f>
        <v>3360</v>
      </c>
      <c r="D816" s="2">
        <f>IFERROR(__xludf.DUMMYFUNCTION("""COMPUTED_VALUE"""),3270.0)</f>
        <v>3270</v>
      </c>
      <c r="E816" s="2">
        <f>IFERROR(__xludf.DUMMYFUNCTION("""COMPUTED_VALUE"""),3320.0)</f>
        <v>3320</v>
      </c>
      <c r="F816" s="2">
        <f>IFERROR(__xludf.DUMMYFUNCTION("""COMPUTED_VALUE"""),2887900.0)</f>
        <v>2887900</v>
      </c>
      <c r="G816" s="2">
        <f t="shared" si="1"/>
        <v>90</v>
      </c>
    </row>
    <row r="817" ht="15.75" customHeight="1">
      <c r="A817" s="1">
        <f>IFERROR(__xludf.DUMMYFUNCTION("""COMPUTED_VALUE"""),45054.66666666667)</f>
        <v>45054.66667</v>
      </c>
      <c r="B817" s="2">
        <f>IFERROR(__xludf.DUMMYFUNCTION("""COMPUTED_VALUE"""),3320.0)</f>
        <v>3320</v>
      </c>
      <c r="C817" s="2">
        <f>IFERROR(__xludf.DUMMYFUNCTION("""COMPUTED_VALUE"""),3340.0)</f>
        <v>3340</v>
      </c>
      <c r="D817" s="2">
        <f>IFERROR(__xludf.DUMMYFUNCTION("""COMPUTED_VALUE"""),3290.0)</f>
        <v>3290</v>
      </c>
      <c r="E817" s="2">
        <f>IFERROR(__xludf.DUMMYFUNCTION("""COMPUTED_VALUE"""),3330.0)</f>
        <v>3330</v>
      </c>
      <c r="F817" s="2">
        <f>IFERROR(__xludf.DUMMYFUNCTION("""COMPUTED_VALUE"""),1603900.0)</f>
        <v>1603900</v>
      </c>
      <c r="G817" s="2">
        <f t="shared" si="1"/>
        <v>50</v>
      </c>
    </row>
    <row r="818" ht="15.75" customHeight="1">
      <c r="A818" s="1">
        <f>IFERROR(__xludf.DUMMYFUNCTION("""COMPUTED_VALUE"""),45055.66666666667)</f>
        <v>45055.66667</v>
      </c>
      <c r="B818" s="2">
        <f>IFERROR(__xludf.DUMMYFUNCTION("""COMPUTED_VALUE"""),3330.0)</f>
        <v>3330</v>
      </c>
      <c r="C818" s="2">
        <f>IFERROR(__xludf.DUMMYFUNCTION("""COMPUTED_VALUE"""),3510.0)</f>
        <v>3510</v>
      </c>
      <c r="D818" s="2">
        <f>IFERROR(__xludf.DUMMYFUNCTION("""COMPUTED_VALUE"""),3310.0)</f>
        <v>3310</v>
      </c>
      <c r="E818" s="2">
        <f>IFERROR(__xludf.DUMMYFUNCTION("""COMPUTED_VALUE"""),3500.0)</f>
        <v>3500</v>
      </c>
      <c r="F818" s="2">
        <f>IFERROR(__xludf.DUMMYFUNCTION("""COMPUTED_VALUE"""),1.60033E7)</f>
        <v>16003300</v>
      </c>
      <c r="G818" s="2">
        <f t="shared" si="1"/>
        <v>200</v>
      </c>
    </row>
    <row r="819" ht="15.75" customHeight="1">
      <c r="A819" s="1">
        <f>IFERROR(__xludf.DUMMYFUNCTION("""COMPUTED_VALUE"""),45056.66666666667)</f>
        <v>45056.66667</v>
      </c>
      <c r="B819" s="2">
        <f>IFERROR(__xludf.DUMMYFUNCTION("""COMPUTED_VALUE"""),3520.0)</f>
        <v>3520</v>
      </c>
      <c r="C819" s="2">
        <f>IFERROR(__xludf.DUMMYFUNCTION("""COMPUTED_VALUE"""),3520.0)</f>
        <v>3520</v>
      </c>
      <c r="D819" s="2">
        <f>IFERROR(__xludf.DUMMYFUNCTION("""COMPUTED_VALUE"""),3450.0)</f>
        <v>3450</v>
      </c>
      <c r="E819" s="2">
        <f>IFERROR(__xludf.DUMMYFUNCTION("""COMPUTED_VALUE"""),3460.0)</f>
        <v>3460</v>
      </c>
      <c r="F819" s="2">
        <f>IFERROR(__xludf.DUMMYFUNCTION("""COMPUTED_VALUE"""),3409800.0)</f>
        <v>3409800</v>
      </c>
      <c r="G819" s="2">
        <f t="shared" si="1"/>
        <v>70</v>
      </c>
    </row>
    <row r="820" ht="15.75" customHeight="1">
      <c r="A820" s="1">
        <f>IFERROR(__xludf.DUMMYFUNCTION("""COMPUTED_VALUE"""),45057.66666666667)</f>
        <v>45057.66667</v>
      </c>
      <c r="B820" s="2">
        <f>IFERROR(__xludf.DUMMYFUNCTION("""COMPUTED_VALUE"""),3460.0)</f>
        <v>3460</v>
      </c>
      <c r="C820" s="2">
        <f>IFERROR(__xludf.DUMMYFUNCTION("""COMPUTED_VALUE"""),3500.0)</f>
        <v>3500</v>
      </c>
      <c r="D820" s="2">
        <f>IFERROR(__xludf.DUMMYFUNCTION("""COMPUTED_VALUE"""),3440.0)</f>
        <v>3440</v>
      </c>
      <c r="E820" s="2">
        <f>IFERROR(__xludf.DUMMYFUNCTION("""COMPUTED_VALUE"""),3480.0)</f>
        <v>3480</v>
      </c>
      <c r="F820" s="2">
        <f>IFERROR(__xludf.DUMMYFUNCTION("""COMPUTED_VALUE"""),4950800.0)</f>
        <v>4950800</v>
      </c>
      <c r="G820" s="2">
        <f t="shared" si="1"/>
        <v>60</v>
      </c>
    </row>
    <row r="821" ht="15.75" customHeight="1">
      <c r="A821" s="1">
        <f>IFERROR(__xludf.DUMMYFUNCTION("""COMPUTED_VALUE"""),45058.66666666667)</f>
        <v>45058.66667</v>
      </c>
      <c r="B821" s="2">
        <f>IFERROR(__xludf.DUMMYFUNCTION("""COMPUTED_VALUE"""),3520.0)</f>
        <v>3520</v>
      </c>
      <c r="C821" s="2">
        <f>IFERROR(__xludf.DUMMYFUNCTION("""COMPUTED_VALUE"""),3520.0)</f>
        <v>3520</v>
      </c>
      <c r="D821" s="2">
        <f>IFERROR(__xludf.DUMMYFUNCTION("""COMPUTED_VALUE"""),3450.0)</f>
        <v>3450</v>
      </c>
      <c r="E821" s="2">
        <f>IFERROR(__xludf.DUMMYFUNCTION("""COMPUTED_VALUE"""),3470.0)</f>
        <v>3470</v>
      </c>
      <c r="F821" s="2">
        <f>IFERROR(__xludf.DUMMYFUNCTION("""COMPUTED_VALUE"""),3438500.0)</f>
        <v>3438500</v>
      </c>
      <c r="G821" s="2">
        <f t="shared" si="1"/>
        <v>70</v>
      </c>
    </row>
    <row r="822" ht="15.75" customHeight="1">
      <c r="A822" s="1">
        <f>IFERROR(__xludf.DUMMYFUNCTION("""COMPUTED_VALUE"""),45061.66666666667)</f>
        <v>45061.66667</v>
      </c>
      <c r="B822" s="2">
        <f>IFERROR(__xludf.DUMMYFUNCTION("""COMPUTED_VALUE"""),3500.0)</f>
        <v>3500</v>
      </c>
      <c r="C822" s="2">
        <f>IFERROR(__xludf.DUMMYFUNCTION("""COMPUTED_VALUE"""),3500.0)</f>
        <v>3500</v>
      </c>
      <c r="D822" s="2">
        <f>IFERROR(__xludf.DUMMYFUNCTION("""COMPUTED_VALUE"""),3320.0)</f>
        <v>3320</v>
      </c>
      <c r="E822" s="2">
        <f>IFERROR(__xludf.DUMMYFUNCTION("""COMPUTED_VALUE"""),3370.0)</f>
        <v>3370</v>
      </c>
      <c r="F822" s="2">
        <f>IFERROR(__xludf.DUMMYFUNCTION("""COMPUTED_VALUE"""),3739600.0)</f>
        <v>3739600</v>
      </c>
      <c r="G822" s="2">
        <f t="shared" si="1"/>
        <v>180</v>
      </c>
    </row>
    <row r="823" ht="15.75" customHeight="1">
      <c r="A823" s="1">
        <f>IFERROR(__xludf.DUMMYFUNCTION("""COMPUTED_VALUE"""),45062.66666666667)</f>
        <v>45062.66667</v>
      </c>
      <c r="B823" s="2">
        <f>IFERROR(__xludf.DUMMYFUNCTION("""COMPUTED_VALUE"""),3370.0)</f>
        <v>3370</v>
      </c>
      <c r="C823" s="2">
        <f>IFERROR(__xludf.DUMMYFUNCTION("""COMPUTED_VALUE"""),3480.0)</f>
        <v>3480</v>
      </c>
      <c r="D823" s="2">
        <f>IFERROR(__xludf.DUMMYFUNCTION("""COMPUTED_VALUE"""),3370.0)</f>
        <v>3370</v>
      </c>
      <c r="E823" s="2">
        <f>IFERROR(__xludf.DUMMYFUNCTION("""COMPUTED_VALUE"""),3450.0)</f>
        <v>3450</v>
      </c>
      <c r="F823" s="2">
        <f>IFERROR(__xludf.DUMMYFUNCTION("""COMPUTED_VALUE"""),4707100.0)</f>
        <v>4707100</v>
      </c>
      <c r="G823" s="2">
        <f t="shared" si="1"/>
        <v>110</v>
      </c>
    </row>
    <row r="824" ht="15.75" customHeight="1">
      <c r="A824" s="1">
        <f>IFERROR(__xludf.DUMMYFUNCTION("""COMPUTED_VALUE"""),45063.66666666667)</f>
        <v>45063.66667</v>
      </c>
      <c r="B824" s="2">
        <f>IFERROR(__xludf.DUMMYFUNCTION("""COMPUTED_VALUE"""),3460.0)</f>
        <v>3460</v>
      </c>
      <c r="C824" s="2">
        <f>IFERROR(__xludf.DUMMYFUNCTION("""COMPUTED_VALUE"""),3590.0)</f>
        <v>3590</v>
      </c>
      <c r="D824" s="2">
        <f>IFERROR(__xludf.DUMMYFUNCTION("""COMPUTED_VALUE"""),3430.0)</f>
        <v>3430</v>
      </c>
      <c r="E824" s="2">
        <f>IFERROR(__xludf.DUMMYFUNCTION("""COMPUTED_VALUE"""),3510.0)</f>
        <v>3510</v>
      </c>
      <c r="F824" s="2">
        <f>IFERROR(__xludf.DUMMYFUNCTION("""COMPUTED_VALUE"""),1.48668E7)</f>
        <v>14866800</v>
      </c>
      <c r="G824" s="2">
        <f t="shared" si="1"/>
        <v>160</v>
      </c>
    </row>
    <row r="825" ht="15.75" customHeight="1">
      <c r="A825" s="1">
        <f>IFERROR(__xludf.DUMMYFUNCTION("""COMPUTED_VALUE"""),45065.66666666667)</f>
        <v>45065.66667</v>
      </c>
      <c r="B825" s="2">
        <f>IFERROR(__xludf.DUMMYFUNCTION("""COMPUTED_VALUE"""),3600.0)</f>
        <v>3600</v>
      </c>
      <c r="C825" s="2">
        <f>IFERROR(__xludf.DUMMYFUNCTION("""COMPUTED_VALUE"""),3600.0)</f>
        <v>3600</v>
      </c>
      <c r="D825" s="2">
        <f>IFERROR(__xludf.DUMMYFUNCTION("""COMPUTED_VALUE"""),3460.0)</f>
        <v>3460</v>
      </c>
      <c r="E825" s="2">
        <f>IFERROR(__xludf.DUMMYFUNCTION("""COMPUTED_VALUE"""),3500.0)</f>
        <v>3500</v>
      </c>
      <c r="F825" s="2">
        <f>IFERROR(__xludf.DUMMYFUNCTION("""COMPUTED_VALUE"""),6336000.0)</f>
        <v>6336000</v>
      </c>
      <c r="G825" s="2">
        <f t="shared" si="1"/>
        <v>140</v>
      </c>
    </row>
    <row r="826" ht="15.75" customHeight="1">
      <c r="A826" s="1">
        <f>IFERROR(__xludf.DUMMYFUNCTION("""COMPUTED_VALUE"""),45068.66666666667)</f>
        <v>45068.66667</v>
      </c>
      <c r="B826" s="2">
        <f>IFERROR(__xludf.DUMMYFUNCTION("""COMPUTED_VALUE"""),3360.0)</f>
        <v>3360</v>
      </c>
      <c r="C826" s="2">
        <f>IFERROR(__xludf.DUMMYFUNCTION("""COMPUTED_VALUE"""),3550.0)</f>
        <v>3550</v>
      </c>
      <c r="D826" s="2">
        <f>IFERROR(__xludf.DUMMYFUNCTION("""COMPUTED_VALUE"""),3300.0)</f>
        <v>3300</v>
      </c>
      <c r="E826" s="2">
        <f>IFERROR(__xludf.DUMMYFUNCTION("""COMPUTED_VALUE"""),3480.0)</f>
        <v>3480</v>
      </c>
      <c r="F826" s="2">
        <f>IFERROR(__xludf.DUMMYFUNCTION("""COMPUTED_VALUE"""),6080400.0)</f>
        <v>6080400</v>
      </c>
      <c r="G826" s="2">
        <f t="shared" si="1"/>
        <v>250</v>
      </c>
    </row>
    <row r="827" ht="15.75" customHeight="1">
      <c r="A827" s="1">
        <f>IFERROR(__xludf.DUMMYFUNCTION("""COMPUTED_VALUE"""),45069.66666666667)</f>
        <v>45069.66667</v>
      </c>
      <c r="B827" s="2">
        <f>IFERROR(__xludf.DUMMYFUNCTION("""COMPUTED_VALUE"""),3480.0)</f>
        <v>3480</v>
      </c>
      <c r="C827" s="2">
        <f>IFERROR(__xludf.DUMMYFUNCTION("""COMPUTED_VALUE"""),3520.0)</f>
        <v>3520</v>
      </c>
      <c r="D827" s="2">
        <f>IFERROR(__xludf.DUMMYFUNCTION("""COMPUTED_VALUE"""),3420.0)</f>
        <v>3420</v>
      </c>
      <c r="E827" s="2">
        <f>IFERROR(__xludf.DUMMYFUNCTION("""COMPUTED_VALUE"""),3460.0)</f>
        <v>3460</v>
      </c>
      <c r="F827" s="2">
        <f>IFERROR(__xludf.DUMMYFUNCTION("""COMPUTED_VALUE"""),5234100.0)</f>
        <v>5234100</v>
      </c>
      <c r="G827" s="2">
        <f t="shared" si="1"/>
        <v>100</v>
      </c>
    </row>
    <row r="828" ht="15.75" customHeight="1">
      <c r="A828" s="1">
        <f>IFERROR(__xludf.DUMMYFUNCTION("""COMPUTED_VALUE"""),45070.66666666667)</f>
        <v>45070.66667</v>
      </c>
      <c r="B828" s="2">
        <f>IFERROR(__xludf.DUMMYFUNCTION("""COMPUTED_VALUE"""),3460.0)</f>
        <v>3460</v>
      </c>
      <c r="C828" s="2">
        <f>IFERROR(__xludf.DUMMYFUNCTION("""COMPUTED_VALUE"""),3540.0)</f>
        <v>3540</v>
      </c>
      <c r="D828" s="2">
        <f>IFERROR(__xludf.DUMMYFUNCTION("""COMPUTED_VALUE"""),3460.0)</f>
        <v>3460</v>
      </c>
      <c r="E828" s="2">
        <f>IFERROR(__xludf.DUMMYFUNCTION("""COMPUTED_VALUE"""),3530.0)</f>
        <v>3530</v>
      </c>
      <c r="F828" s="2">
        <f>IFERROR(__xludf.DUMMYFUNCTION("""COMPUTED_VALUE"""),8491200.0)</f>
        <v>8491200</v>
      </c>
      <c r="G828" s="2">
        <f t="shared" si="1"/>
        <v>80</v>
      </c>
    </row>
    <row r="829" ht="15.75" customHeight="1">
      <c r="A829" s="1">
        <f>IFERROR(__xludf.DUMMYFUNCTION("""COMPUTED_VALUE"""),45071.66666666667)</f>
        <v>45071.66667</v>
      </c>
      <c r="B829" s="2">
        <f>IFERROR(__xludf.DUMMYFUNCTION("""COMPUTED_VALUE"""),3530.0)</f>
        <v>3530</v>
      </c>
      <c r="C829" s="2">
        <f>IFERROR(__xludf.DUMMYFUNCTION("""COMPUTED_VALUE"""),3540.0)</f>
        <v>3540</v>
      </c>
      <c r="D829" s="2">
        <f>IFERROR(__xludf.DUMMYFUNCTION("""COMPUTED_VALUE"""),3470.0)</f>
        <v>3470</v>
      </c>
      <c r="E829" s="2">
        <f>IFERROR(__xludf.DUMMYFUNCTION("""COMPUTED_VALUE"""),3500.0)</f>
        <v>3500</v>
      </c>
      <c r="F829" s="2">
        <f>IFERROR(__xludf.DUMMYFUNCTION("""COMPUTED_VALUE"""),1835900.0)</f>
        <v>1835900</v>
      </c>
      <c r="G829" s="2">
        <f t="shared" si="1"/>
        <v>70</v>
      </c>
    </row>
    <row r="830" ht="15.75" customHeight="1">
      <c r="A830" s="1">
        <f>IFERROR(__xludf.DUMMYFUNCTION("""COMPUTED_VALUE"""),45072.66666666667)</f>
        <v>45072.66667</v>
      </c>
      <c r="B830" s="2">
        <f>IFERROR(__xludf.DUMMYFUNCTION("""COMPUTED_VALUE"""),3520.0)</f>
        <v>3520</v>
      </c>
      <c r="C830" s="2">
        <f>IFERROR(__xludf.DUMMYFUNCTION("""COMPUTED_VALUE"""),3520.0)</f>
        <v>3520</v>
      </c>
      <c r="D830" s="2">
        <f>IFERROR(__xludf.DUMMYFUNCTION("""COMPUTED_VALUE"""),3460.0)</f>
        <v>3460</v>
      </c>
      <c r="E830" s="2">
        <f>IFERROR(__xludf.DUMMYFUNCTION("""COMPUTED_VALUE"""),3490.0)</f>
        <v>3490</v>
      </c>
      <c r="F830" s="2">
        <f>IFERROR(__xludf.DUMMYFUNCTION("""COMPUTED_VALUE"""),1485000.0)</f>
        <v>1485000</v>
      </c>
      <c r="G830" s="2">
        <f t="shared" si="1"/>
        <v>60</v>
      </c>
    </row>
    <row r="831" ht="15.75" customHeight="1">
      <c r="A831" s="1">
        <f>IFERROR(__xludf.DUMMYFUNCTION("""COMPUTED_VALUE"""),45075.66666666667)</f>
        <v>45075.66667</v>
      </c>
      <c r="B831" s="2">
        <f>IFERROR(__xludf.DUMMYFUNCTION("""COMPUTED_VALUE"""),3490.0)</f>
        <v>3490</v>
      </c>
      <c r="C831" s="2">
        <f>IFERROR(__xludf.DUMMYFUNCTION("""COMPUTED_VALUE"""),3510.0)</f>
        <v>3510</v>
      </c>
      <c r="D831" s="2">
        <f>IFERROR(__xludf.DUMMYFUNCTION("""COMPUTED_VALUE"""),3390.0)</f>
        <v>3390</v>
      </c>
      <c r="E831" s="2">
        <f>IFERROR(__xludf.DUMMYFUNCTION("""COMPUTED_VALUE"""),3420.0)</f>
        <v>3420</v>
      </c>
      <c r="F831" s="2">
        <f>IFERROR(__xludf.DUMMYFUNCTION("""COMPUTED_VALUE"""),2176200.0)</f>
        <v>2176200</v>
      </c>
      <c r="G831" s="2">
        <f t="shared" si="1"/>
        <v>120</v>
      </c>
    </row>
    <row r="832" ht="15.75" customHeight="1">
      <c r="A832" s="1">
        <f>IFERROR(__xludf.DUMMYFUNCTION("""COMPUTED_VALUE"""),45076.66666666667)</f>
        <v>45076.66667</v>
      </c>
      <c r="B832" s="2">
        <f>IFERROR(__xludf.DUMMYFUNCTION("""COMPUTED_VALUE"""),3420.0)</f>
        <v>3420</v>
      </c>
      <c r="C832" s="2">
        <f>IFERROR(__xludf.DUMMYFUNCTION("""COMPUTED_VALUE"""),3440.0)</f>
        <v>3440</v>
      </c>
      <c r="D832" s="2">
        <f>IFERROR(__xludf.DUMMYFUNCTION("""COMPUTED_VALUE"""),3360.0)</f>
        <v>3360</v>
      </c>
      <c r="E832" s="2">
        <f>IFERROR(__xludf.DUMMYFUNCTION("""COMPUTED_VALUE"""),3360.0)</f>
        <v>3360</v>
      </c>
      <c r="F832" s="2">
        <f>IFERROR(__xludf.DUMMYFUNCTION("""COMPUTED_VALUE"""),3543800.0)</f>
        <v>3543800</v>
      </c>
      <c r="G832" s="2">
        <f t="shared" si="1"/>
        <v>80</v>
      </c>
    </row>
    <row r="833" ht="15.75" customHeight="1">
      <c r="A833" s="1">
        <f>IFERROR(__xludf.DUMMYFUNCTION("""COMPUTED_VALUE"""),45077.66666666667)</f>
        <v>45077.66667</v>
      </c>
      <c r="B833" s="2">
        <f>IFERROR(__xludf.DUMMYFUNCTION("""COMPUTED_VALUE"""),3360.0)</f>
        <v>3360</v>
      </c>
      <c r="C833" s="2">
        <f>IFERROR(__xludf.DUMMYFUNCTION("""COMPUTED_VALUE"""),3390.0)</f>
        <v>3390</v>
      </c>
      <c r="D833" s="2">
        <f>IFERROR(__xludf.DUMMYFUNCTION("""COMPUTED_VALUE"""),3330.0)</f>
        <v>3330</v>
      </c>
      <c r="E833" s="2">
        <f>IFERROR(__xludf.DUMMYFUNCTION("""COMPUTED_VALUE"""),3330.0)</f>
        <v>3330</v>
      </c>
      <c r="F833" s="2">
        <f>IFERROR(__xludf.DUMMYFUNCTION("""COMPUTED_VALUE"""),3377300.0)</f>
        <v>3377300</v>
      </c>
      <c r="G833" s="2">
        <f t="shared" si="1"/>
        <v>60</v>
      </c>
    </row>
    <row r="834" ht="15.75" customHeight="1">
      <c r="A834" s="1">
        <f>IFERROR(__xludf.DUMMYFUNCTION("""COMPUTED_VALUE"""),45082.66666666667)</f>
        <v>45082.66667</v>
      </c>
      <c r="B834" s="2">
        <f>IFERROR(__xludf.DUMMYFUNCTION("""COMPUTED_VALUE"""),3380.0)</f>
        <v>3380</v>
      </c>
      <c r="C834" s="2">
        <f>IFERROR(__xludf.DUMMYFUNCTION("""COMPUTED_VALUE"""),3380.0)</f>
        <v>3380</v>
      </c>
      <c r="D834" s="2">
        <f>IFERROR(__xludf.DUMMYFUNCTION("""COMPUTED_VALUE"""),3330.0)</f>
        <v>3330</v>
      </c>
      <c r="E834" s="2">
        <f>IFERROR(__xludf.DUMMYFUNCTION("""COMPUTED_VALUE"""),3350.0)</f>
        <v>3350</v>
      </c>
      <c r="F834" s="2">
        <f>IFERROR(__xludf.DUMMYFUNCTION("""COMPUTED_VALUE"""),4457500.0)</f>
        <v>4457500</v>
      </c>
      <c r="G834" s="2">
        <f t="shared" si="1"/>
        <v>50</v>
      </c>
    </row>
    <row r="835" ht="15.75" customHeight="1">
      <c r="A835" s="1">
        <f>IFERROR(__xludf.DUMMYFUNCTION("""COMPUTED_VALUE"""),45083.66666666667)</f>
        <v>45083.66667</v>
      </c>
      <c r="B835" s="2">
        <f>IFERROR(__xludf.DUMMYFUNCTION("""COMPUTED_VALUE"""),3370.0)</f>
        <v>3370</v>
      </c>
      <c r="C835" s="2">
        <f>IFERROR(__xludf.DUMMYFUNCTION("""COMPUTED_VALUE"""),3430.0)</f>
        <v>3430</v>
      </c>
      <c r="D835" s="2">
        <f>IFERROR(__xludf.DUMMYFUNCTION("""COMPUTED_VALUE"""),3350.0)</f>
        <v>3350</v>
      </c>
      <c r="E835" s="2">
        <f>IFERROR(__xludf.DUMMYFUNCTION("""COMPUTED_VALUE"""),3400.0)</f>
        <v>3400</v>
      </c>
      <c r="F835" s="2">
        <f>IFERROR(__xludf.DUMMYFUNCTION("""COMPUTED_VALUE"""),2896900.0)</f>
        <v>2896900</v>
      </c>
      <c r="G835" s="2">
        <f t="shared" si="1"/>
        <v>80</v>
      </c>
    </row>
    <row r="836" ht="15.75" customHeight="1">
      <c r="A836" s="1">
        <f>IFERROR(__xludf.DUMMYFUNCTION("""COMPUTED_VALUE"""),45084.66666666667)</f>
        <v>45084.66667</v>
      </c>
      <c r="B836" s="2">
        <f>IFERROR(__xludf.DUMMYFUNCTION("""COMPUTED_VALUE"""),3430.0)</f>
        <v>3430</v>
      </c>
      <c r="C836" s="2">
        <f>IFERROR(__xludf.DUMMYFUNCTION("""COMPUTED_VALUE"""),3510.0)</f>
        <v>3510</v>
      </c>
      <c r="D836" s="2">
        <f>IFERROR(__xludf.DUMMYFUNCTION("""COMPUTED_VALUE"""),3410.0)</f>
        <v>3410</v>
      </c>
      <c r="E836" s="2">
        <f>IFERROR(__xludf.DUMMYFUNCTION("""COMPUTED_VALUE"""),3510.0)</f>
        <v>3510</v>
      </c>
      <c r="F836" s="2">
        <f>IFERROR(__xludf.DUMMYFUNCTION("""COMPUTED_VALUE"""),5032200.0)</f>
        <v>5032200</v>
      </c>
      <c r="G836" s="2">
        <f t="shared" si="1"/>
        <v>110</v>
      </c>
    </row>
    <row r="837" ht="15.75" customHeight="1">
      <c r="A837" s="1">
        <f>IFERROR(__xludf.DUMMYFUNCTION("""COMPUTED_VALUE"""),45085.66666666667)</f>
        <v>45085.66667</v>
      </c>
      <c r="B837" s="2">
        <f>IFERROR(__xludf.DUMMYFUNCTION("""COMPUTED_VALUE"""),3510.0)</f>
        <v>3510</v>
      </c>
      <c r="C837" s="2">
        <f>IFERROR(__xludf.DUMMYFUNCTION("""COMPUTED_VALUE"""),3630.0)</f>
        <v>3630</v>
      </c>
      <c r="D837" s="2">
        <f>IFERROR(__xludf.DUMMYFUNCTION("""COMPUTED_VALUE"""),3490.0)</f>
        <v>3490</v>
      </c>
      <c r="E837" s="2">
        <f>IFERROR(__xludf.DUMMYFUNCTION("""COMPUTED_VALUE"""),3620.0)</f>
        <v>3620</v>
      </c>
      <c r="F837" s="2">
        <f>IFERROR(__xludf.DUMMYFUNCTION("""COMPUTED_VALUE"""),1.47737E7)</f>
        <v>14773700</v>
      </c>
      <c r="G837" s="2">
        <f t="shared" si="1"/>
        <v>140</v>
      </c>
    </row>
    <row r="838" ht="15.75" customHeight="1">
      <c r="A838" s="1">
        <f>IFERROR(__xludf.DUMMYFUNCTION("""COMPUTED_VALUE"""),45086.66666666667)</f>
        <v>45086.66667</v>
      </c>
      <c r="B838" s="2">
        <f>IFERROR(__xludf.DUMMYFUNCTION("""COMPUTED_VALUE"""),3670.0)</f>
        <v>3670</v>
      </c>
      <c r="C838" s="2">
        <f>IFERROR(__xludf.DUMMYFUNCTION("""COMPUTED_VALUE"""),3780.0)</f>
        <v>3780</v>
      </c>
      <c r="D838" s="2">
        <f>IFERROR(__xludf.DUMMYFUNCTION("""COMPUTED_VALUE"""),3620.0)</f>
        <v>3620</v>
      </c>
      <c r="E838" s="2">
        <f>IFERROR(__xludf.DUMMYFUNCTION("""COMPUTED_VALUE"""),3770.0)</f>
        <v>3770</v>
      </c>
      <c r="F838" s="2">
        <f>IFERROR(__xludf.DUMMYFUNCTION("""COMPUTED_VALUE"""),1.84736E7)</f>
        <v>18473600</v>
      </c>
      <c r="G838" s="2">
        <f t="shared" si="1"/>
        <v>160</v>
      </c>
    </row>
    <row r="839" ht="15.75" customHeight="1">
      <c r="A839" s="1">
        <f>IFERROR(__xludf.DUMMYFUNCTION("""COMPUTED_VALUE"""),45089.66666666667)</f>
        <v>45089.66667</v>
      </c>
      <c r="B839" s="2">
        <f>IFERROR(__xludf.DUMMYFUNCTION("""COMPUTED_VALUE"""),3770.0)</f>
        <v>3770</v>
      </c>
      <c r="C839" s="2">
        <f>IFERROR(__xludf.DUMMYFUNCTION("""COMPUTED_VALUE"""),3780.0)</f>
        <v>3780</v>
      </c>
      <c r="D839" s="2">
        <f>IFERROR(__xludf.DUMMYFUNCTION("""COMPUTED_VALUE"""),3670.0)</f>
        <v>3670</v>
      </c>
      <c r="E839" s="2">
        <f>IFERROR(__xludf.DUMMYFUNCTION("""COMPUTED_VALUE"""),3770.0)</f>
        <v>3770</v>
      </c>
      <c r="F839" s="2">
        <f>IFERROR(__xludf.DUMMYFUNCTION("""COMPUTED_VALUE"""),4078800.0)</f>
        <v>4078800</v>
      </c>
      <c r="G839" s="2">
        <f t="shared" si="1"/>
        <v>110</v>
      </c>
    </row>
    <row r="840" ht="15.75" customHeight="1">
      <c r="A840" s="1">
        <f>IFERROR(__xludf.DUMMYFUNCTION("""COMPUTED_VALUE"""),45090.66666666667)</f>
        <v>45090.66667</v>
      </c>
      <c r="B840" s="2">
        <f>IFERROR(__xludf.DUMMYFUNCTION("""COMPUTED_VALUE"""),3770.0)</f>
        <v>3770</v>
      </c>
      <c r="C840" s="2">
        <f>IFERROR(__xludf.DUMMYFUNCTION("""COMPUTED_VALUE"""),3890.0)</f>
        <v>3890</v>
      </c>
      <c r="D840" s="2">
        <f>IFERROR(__xludf.DUMMYFUNCTION("""COMPUTED_VALUE"""),3710.0)</f>
        <v>3710</v>
      </c>
      <c r="E840" s="2">
        <f>IFERROR(__xludf.DUMMYFUNCTION("""COMPUTED_VALUE"""),3850.0)</f>
        <v>3850</v>
      </c>
      <c r="F840" s="2">
        <f>IFERROR(__xludf.DUMMYFUNCTION("""COMPUTED_VALUE"""),1.3856E7)</f>
        <v>13856000</v>
      </c>
      <c r="G840" s="2">
        <f t="shared" si="1"/>
        <v>180</v>
      </c>
    </row>
    <row r="841" ht="15.75" customHeight="1">
      <c r="A841" s="1">
        <f>IFERROR(__xludf.DUMMYFUNCTION("""COMPUTED_VALUE"""),45091.66666666667)</f>
        <v>45091.66667</v>
      </c>
      <c r="B841" s="2">
        <f>IFERROR(__xludf.DUMMYFUNCTION("""COMPUTED_VALUE"""),3850.0)</f>
        <v>3850</v>
      </c>
      <c r="C841" s="2">
        <f>IFERROR(__xludf.DUMMYFUNCTION("""COMPUTED_VALUE"""),3960.0)</f>
        <v>3960</v>
      </c>
      <c r="D841" s="2">
        <f>IFERROR(__xludf.DUMMYFUNCTION("""COMPUTED_VALUE"""),3830.0)</f>
        <v>3830</v>
      </c>
      <c r="E841" s="2">
        <f>IFERROR(__xludf.DUMMYFUNCTION("""COMPUTED_VALUE"""),3900.0)</f>
        <v>3900</v>
      </c>
      <c r="F841" s="2">
        <f>IFERROR(__xludf.DUMMYFUNCTION("""COMPUTED_VALUE"""),1.47903E7)</f>
        <v>14790300</v>
      </c>
      <c r="G841" s="2">
        <f t="shared" si="1"/>
        <v>130</v>
      </c>
    </row>
    <row r="842" ht="15.75" customHeight="1">
      <c r="A842" s="1">
        <f>IFERROR(__xludf.DUMMYFUNCTION("""COMPUTED_VALUE"""),45092.66666666667)</f>
        <v>45092.66667</v>
      </c>
      <c r="B842" s="2">
        <f>IFERROR(__xludf.DUMMYFUNCTION("""COMPUTED_VALUE"""),3900.0)</f>
        <v>3900</v>
      </c>
      <c r="C842" s="2">
        <f>IFERROR(__xludf.DUMMYFUNCTION("""COMPUTED_VALUE"""),3950.0)</f>
        <v>3950</v>
      </c>
      <c r="D842" s="2">
        <f>IFERROR(__xludf.DUMMYFUNCTION("""COMPUTED_VALUE"""),3890.0)</f>
        <v>3890</v>
      </c>
      <c r="E842" s="2">
        <f>IFERROR(__xludf.DUMMYFUNCTION("""COMPUTED_VALUE"""),3910.0)</f>
        <v>3910</v>
      </c>
      <c r="F842" s="2">
        <f>IFERROR(__xludf.DUMMYFUNCTION("""COMPUTED_VALUE"""),3380000.0)</f>
        <v>3380000</v>
      </c>
      <c r="G842" s="2">
        <f t="shared" si="1"/>
        <v>60</v>
      </c>
    </row>
    <row r="843" ht="15.75" customHeight="1">
      <c r="A843" s="1">
        <f>IFERROR(__xludf.DUMMYFUNCTION("""COMPUTED_VALUE"""),45093.66666666667)</f>
        <v>45093.66667</v>
      </c>
      <c r="B843" s="2">
        <f>IFERROR(__xludf.DUMMYFUNCTION("""COMPUTED_VALUE"""),3910.0)</f>
        <v>3910</v>
      </c>
      <c r="C843" s="2">
        <f>IFERROR(__xludf.DUMMYFUNCTION("""COMPUTED_VALUE"""),3940.0)</f>
        <v>3940</v>
      </c>
      <c r="D843" s="2">
        <f>IFERROR(__xludf.DUMMYFUNCTION("""COMPUTED_VALUE"""),3780.0)</f>
        <v>3780</v>
      </c>
      <c r="E843" s="2">
        <f>IFERROR(__xludf.DUMMYFUNCTION("""COMPUTED_VALUE"""),3940.0)</f>
        <v>3940</v>
      </c>
      <c r="F843" s="2">
        <f>IFERROR(__xludf.DUMMYFUNCTION("""COMPUTED_VALUE"""),5988400.0)</f>
        <v>5988400</v>
      </c>
      <c r="G843" s="2">
        <f t="shared" si="1"/>
        <v>160</v>
      </c>
    </row>
    <row r="844" ht="15.75" customHeight="1">
      <c r="A844" s="1">
        <f>IFERROR(__xludf.DUMMYFUNCTION("""COMPUTED_VALUE"""),45096.66666666667)</f>
        <v>45096.66667</v>
      </c>
      <c r="B844" s="2">
        <f>IFERROR(__xludf.DUMMYFUNCTION("""COMPUTED_VALUE"""),3940.0)</f>
        <v>3940</v>
      </c>
      <c r="C844" s="2">
        <f>IFERROR(__xludf.DUMMYFUNCTION("""COMPUTED_VALUE"""),3940.0)</f>
        <v>3940</v>
      </c>
      <c r="D844" s="2">
        <f>IFERROR(__xludf.DUMMYFUNCTION("""COMPUTED_VALUE"""),3810.0)</f>
        <v>3810</v>
      </c>
      <c r="E844" s="2">
        <f>IFERROR(__xludf.DUMMYFUNCTION("""COMPUTED_VALUE"""),3840.0)</f>
        <v>3840</v>
      </c>
      <c r="F844" s="2">
        <f>IFERROR(__xludf.DUMMYFUNCTION("""COMPUTED_VALUE"""),2221500.0)</f>
        <v>2221500</v>
      </c>
      <c r="G844" s="2">
        <f t="shared" si="1"/>
        <v>130</v>
      </c>
    </row>
    <row r="845" ht="15.75" customHeight="1">
      <c r="A845" s="1">
        <f>IFERROR(__xludf.DUMMYFUNCTION("""COMPUTED_VALUE"""),45097.66666666667)</f>
        <v>45097.66667</v>
      </c>
      <c r="B845" s="2">
        <f>IFERROR(__xludf.DUMMYFUNCTION("""COMPUTED_VALUE"""),3900.0)</f>
        <v>3900</v>
      </c>
      <c r="C845" s="2">
        <f>IFERROR(__xludf.DUMMYFUNCTION("""COMPUTED_VALUE"""),3900.0)</f>
        <v>3900</v>
      </c>
      <c r="D845" s="2">
        <f>IFERROR(__xludf.DUMMYFUNCTION("""COMPUTED_VALUE"""),3630.0)</f>
        <v>3630</v>
      </c>
      <c r="E845" s="2">
        <f>IFERROR(__xludf.DUMMYFUNCTION("""COMPUTED_VALUE"""),3690.0)</f>
        <v>3690</v>
      </c>
      <c r="F845" s="2">
        <f>IFERROR(__xludf.DUMMYFUNCTION("""COMPUTED_VALUE"""),1.26474E7)</f>
        <v>12647400</v>
      </c>
      <c r="G845" s="2">
        <f t="shared" si="1"/>
        <v>270</v>
      </c>
    </row>
    <row r="846" ht="15.75" customHeight="1">
      <c r="A846" s="1">
        <f>IFERROR(__xludf.DUMMYFUNCTION("""COMPUTED_VALUE"""),45098.66666666667)</f>
        <v>45098.66667</v>
      </c>
      <c r="B846" s="2">
        <f>IFERROR(__xludf.DUMMYFUNCTION("""COMPUTED_VALUE"""),3690.0)</f>
        <v>3690</v>
      </c>
      <c r="C846" s="2">
        <f>IFERROR(__xludf.DUMMYFUNCTION("""COMPUTED_VALUE"""),3720.0)</f>
        <v>3720</v>
      </c>
      <c r="D846" s="2">
        <f>IFERROR(__xludf.DUMMYFUNCTION("""COMPUTED_VALUE"""),3630.0)</f>
        <v>3630</v>
      </c>
      <c r="E846" s="2">
        <f>IFERROR(__xludf.DUMMYFUNCTION("""COMPUTED_VALUE"""),3690.0)</f>
        <v>3690</v>
      </c>
      <c r="F846" s="2">
        <f>IFERROR(__xludf.DUMMYFUNCTION("""COMPUTED_VALUE"""),5616300.0)</f>
        <v>5616300</v>
      </c>
      <c r="G846" s="2">
        <f t="shared" si="1"/>
        <v>90</v>
      </c>
    </row>
    <row r="847" ht="15.75" customHeight="1">
      <c r="A847" s="1">
        <f>IFERROR(__xludf.DUMMYFUNCTION("""COMPUTED_VALUE"""),45099.66666666667)</f>
        <v>45099.66667</v>
      </c>
      <c r="B847" s="2">
        <f>IFERROR(__xludf.DUMMYFUNCTION("""COMPUTED_VALUE"""),3690.0)</f>
        <v>3690</v>
      </c>
      <c r="C847" s="2">
        <f>IFERROR(__xludf.DUMMYFUNCTION("""COMPUTED_VALUE"""),3720.0)</f>
        <v>3720</v>
      </c>
      <c r="D847" s="2">
        <f>IFERROR(__xludf.DUMMYFUNCTION("""COMPUTED_VALUE"""),3650.0)</f>
        <v>3650</v>
      </c>
      <c r="E847" s="2">
        <f>IFERROR(__xludf.DUMMYFUNCTION("""COMPUTED_VALUE"""),3680.0)</f>
        <v>3680</v>
      </c>
      <c r="F847" s="2">
        <f>IFERROR(__xludf.DUMMYFUNCTION("""COMPUTED_VALUE"""),3721400.0)</f>
        <v>3721400</v>
      </c>
      <c r="G847" s="2">
        <f t="shared" si="1"/>
        <v>70</v>
      </c>
    </row>
    <row r="848" ht="15.75" customHeight="1">
      <c r="A848" s="1">
        <f>IFERROR(__xludf.DUMMYFUNCTION("""COMPUTED_VALUE"""),45100.66666666667)</f>
        <v>45100.66667</v>
      </c>
      <c r="B848" s="2">
        <f>IFERROR(__xludf.DUMMYFUNCTION("""COMPUTED_VALUE"""),3680.0)</f>
        <v>3680</v>
      </c>
      <c r="C848" s="2">
        <f>IFERROR(__xludf.DUMMYFUNCTION("""COMPUTED_VALUE"""),3680.0)</f>
        <v>3680</v>
      </c>
      <c r="D848" s="2">
        <f>IFERROR(__xludf.DUMMYFUNCTION("""COMPUTED_VALUE"""),3630.0)</f>
        <v>3630</v>
      </c>
      <c r="E848" s="2">
        <f>IFERROR(__xludf.DUMMYFUNCTION("""COMPUTED_VALUE"""),3640.0)</f>
        <v>3640</v>
      </c>
      <c r="F848" s="2">
        <f>IFERROR(__xludf.DUMMYFUNCTION("""COMPUTED_VALUE"""),2599200.0)</f>
        <v>2599200</v>
      </c>
      <c r="G848" s="2">
        <f t="shared" si="1"/>
        <v>50</v>
      </c>
    </row>
    <row r="849" ht="15.75" customHeight="1">
      <c r="A849" s="1">
        <f>IFERROR(__xludf.DUMMYFUNCTION("""COMPUTED_VALUE"""),45103.66666666667)</f>
        <v>45103.66667</v>
      </c>
      <c r="B849" s="2">
        <f>IFERROR(__xludf.DUMMYFUNCTION("""COMPUTED_VALUE"""),3640.0)</f>
        <v>3640</v>
      </c>
      <c r="C849" s="2">
        <f>IFERROR(__xludf.DUMMYFUNCTION("""COMPUTED_VALUE"""),3760.0)</f>
        <v>3760</v>
      </c>
      <c r="D849" s="2">
        <f>IFERROR(__xludf.DUMMYFUNCTION("""COMPUTED_VALUE"""),3630.0)</f>
        <v>3630</v>
      </c>
      <c r="E849" s="2">
        <f>IFERROR(__xludf.DUMMYFUNCTION("""COMPUTED_VALUE"""),3720.0)</f>
        <v>3720</v>
      </c>
      <c r="F849" s="2">
        <f>IFERROR(__xludf.DUMMYFUNCTION("""COMPUTED_VALUE"""),5903000.0)</f>
        <v>5903000</v>
      </c>
      <c r="G849" s="2">
        <f t="shared" si="1"/>
        <v>130</v>
      </c>
    </row>
    <row r="850" ht="15.75" customHeight="1">
      <c r="A850" s="1">
        <f>IFERROR(__xludf.DUMMYFUNCTION("""COMPUTED_VALUE"""),45104.66666666667)</f>
        <v>45104.66667</v>
      </c>
      <c r="B850" s="2">
        <f>IFERROR(__xludf.DUMMYFUNCTION("""COMPUTED_VALUE"""),3720.0)</f>
        <v>3720</v>
      </c>
      <c r="C850" s="2">
        <f>IFERROR(__xludf.DUMMYFUNCTION("""COMPUTED_VALUE"""),3840.0)</f>
        <v>3840</v>
      </c>
      <c r="D850" s="2">
        <f>IFERROR(__xludf.DUMMYFUNCTION("""COMPUTED_VALUE"""),3720.0)</f>
        <v>3720</v>
      </c>
      <c r="E850" s="2">
        <f>IFERROR(__xludf.DUMMYFUNCTION("""COMPUTED_VALUE"""),3800.0)</f>
        <v>3800</v>
      </c>
      <c r="F850" s="2">
        <f>IFERROR(__xludf.DUMMYFUNCTION("""COMPUTED_VALUE"""),9793600.0)</f>
        <v>9793600</v>
      </c>
      <c r="G850" s="2">
        <f t="shared" si="1"/>
        <v>120</v>
      </c>
    </row>
    <row r="851" ht="15.75" customHeight="1">
      <c r="A851" s="1">
        <f>IFERROR(__xludf.DUMMYFUNCTION("""COMPUTED_VALUE"""),45110.66666666667)</f>
        <v>45110.66667</v>
      </c>
      <c r="B851" s="2">
        <f>IFERROR(__xludf.DUMMYFUNCTION("""COMPUTED_VALUE"""),3820.0)</f>
        <v>3820</v>
      </c>
      <c r="C851" s="2">
        <f>IFERROR(__xludf.DUMMYFUNCTION("""COMPUTED_VALUE"""),3880.0)</f>
        <v>3880</v>
      </c>
      <c r="D851" s="2">
        <f>IFERROR(__xludf.DUMMYFUNCTION("""COMPUTED_VALUE"""),3740.0)</f>
        <v>3740</v>
      </c>
      <c r="E851" s="2">
        <f>IFERROR(__xludf.DUMMYFUNCTION("""COMPUTED_VALUE"""),3810.0)</f>
        <v>3810</v>
      </c>
      <c r="F851" s="2">
        <f>IFERROR(__xludf.DUMMYFUNCTION("""COMPUTED_VALUE"""),4915700.0)</f>
        <v>4915700</v>
      </c>
      <c r="G851" s="2">
        <f t="shared" si="1"/>
        <v>140</v>
      </c>
    </row>
    <row r="852" ht="15.75" customHeight="1">
      <c r="A852" s="1">
        <f>IFERROR(__xludf.DUMMYFUNCTION("""COMPUTED_VALUE"""),45111.66666666667)</f>
        <v>45111.66667</v>
      </c>
      <c r="B852" s="2">
        <f>IFERROR(__xludf.DUMMYFUNCTION("""COMPUTED_VALUE"""),3820.0)</f>
        <v>3820</v>
      </c>
      <c r="C852" s="2">
        <f>IFERROR(__xludf.DUMMYFUNCTION("""COMPUTED_VALUE"""),3870.0)</f>
        <v>3870</v>
      </c>
      <c r="D852" s="2">
        <f>IFERROR(__xludf.DUMMYFUNCTION("""COMPUTED_VALUE"""),3760.0)</f>
        <v>3760</v>
      </c>
      <c r="E852" s="2">
        <f>IFERROR(__xludf.DUMMYFUNCTION("""COMPUTED_VALUE"""),3830.0)</f>
        <v>3830</v>
      </c>
      <c r="F852" s="2">
        <f>IFERROR(__xludf.DUMMYFUNCTION("""COMPUTED_VALUE"""),6498800.0)</f>
        <v>6498800</v>
      </c>
      <c r="G852" s="2">
        <f t="shared" si="1"/>
        <v>110</v>
      </c>
    </row>
    <row r="853" ht="15.75" customHeight="1">
      <c r="A853" s="1">
        <f>IFERROR(__xludf.DUMMYFUNCTION("""COMPUTED_VALUE"""),45112.66666666667)</f>
        <v>45112.66667</v>
      </c>
      <c r="B853" s="2">
        <f>IFERROR(__xludf.DUMMYFUNCTION("""COMPUTED_VALUE"""),3830.0)</f>
        <v>3830</v>
      </c>
      <c r="C853" s="2">
        <f>IFERROR(__xludf.DUMMYFUNCTION("""COMPUTED_VALUE"""),3940.0)</f>
        <v>3940</v>
      </c>
      <c r="D853" s="2">
        <f>IFERROR(__xludf.DUMMYFUNCTION("""COMPUTED_VALUE"""),3810.0)</f>
        <v>3810</v>
      </c>
      <c r="E853" s="2">
        <f>IFERROR(__xludf.DUMMYFUNCTION("""COMPUTED_VALUE"""),3940.0)</f>
        <v>3940</v>
      </c>
      <c r="F853" s="2">
        <f>IFERROR(__xludf.DUMMYFUNCTION("""COMPUTED_VALUE"""),1.18443E7)</f>
        <v>11844300</v>
      </c>
      <c r="G853" s="2">
        <f t="shared" si="1"/>
        <v>130</v>
      </c>
    </row>
    <row r="854" ht="15.75" customHeight="1">
      <c r="A854" s="1">
        <f>IFERROR(__xludf.DUMMYFUNCTION("""COMPUTED_VALUE"""),45113.66666666667)</f>
        <v>45113.66667</v>
      </c>
      <c r="B854" s="2">
        <f>IFERROR(__xludf.DUMMYFUNCTION("""COMPUTED_VALUE"""),3930.0)</f>
        <v>3930</v>
      </c>
      <c r="C854" s="2">
        <f>IFERROR(__xludf.DUMMYFUNCTION("""COMPUTED_VALUE"""),3990.0)</f>
        <v>3990</v>
      </c>
      <c r="D854" s="2">
        <f>IFERROR(__xludf.DUMMYFUNCTION("""COMPUTED_VALUE"""),3880.0)</f>
        <v>3880</v>
      </c>
      <c r="E854" s="2">
        <f>IFERROR(__xludf.DUMMYFUNCTION("""COMPUTED_VALUE"""),3980.0)</f>
        <v>3980</v>
      </c>
      <c r="F854" s="2">
        <f>IFERROR(__xludf.DUMMYFUNCTION("""COMPUTED_VALUE"""),9723400.0)</f>
        <v>9723400</v>
      </c>
      <c r="G854" s="2">
        <f t="shared" si="1"/>
        <v>110</v>
      </c>
    </row>
    <row r="855" ht="15.75" customHeight="1">
      <c r="A855" s="1">
        <f>IFERROR(__xludf.DUMMYFUNCTION("""COMPUTED_VALUE"""),45114.66666666667)</f>
        <v>45114.66667</v>
      </c>
      <c r="B855" s="2">
        <f>IFERROR(__xludf.DUMMYFUNCTION("""COMPUTED_VALUE"""),3940.0)</f>
        <v>3940</v>
      </c>
      <c r="C855" s="2">
        <f>IFERROR(__xludf.DUMMYFUNCTION("""COMPUTED_VALUE"""),3980.0)</f>
        <v>3980</v>
      </c>
      <c r="D855" s="2">
        <f>IFERROR(__xludf.DUMMYFUNCTION("""COMPUTED_VALUE"""),3880.0)</f>
        <v>3880</v>
      </c>
      <c r="E855" s="2">
        <f>IFERROR(__xludf.DUMMYFUNCTION("""COMPUTED_VALUE"""),3940.0)</f>
        <v>3940</v>
      </c>
      <c r="F855" s="2">
        <f>IFERROR(__xludf.DUMMYFUNCTION("""COMPUTED_VALUE"""),5767100.0)</f>
        <v>5767100</v>
      </c>
      <c r="G855" s="2">
        <f t="shared" si="1"/>
        <v>100</v>
      </c>
    </row>
    <row r="856" ht="15.75" customHeight="1">
      <c r="A856" s="1">
        <f>IFERROR(__xludf.DUMMYFUNCTION("""COMPUTED_VALUE"""),45117.66666666667)</f>
        <v>45117.66667</v>
      </c>
      <c r="B856" s="2">
        <f>IFERROR(__xludf.DUMMYFUNCTION("""COMPUTED_VALUE"""),3940.0)</f>
        <v>3940</v>
      </c>
      <c r="C856" s="2">
        <f>IFERROR(__xludf.DUMMYFUNCTION("""COMPUTED_VALUE"""),3950.0)</f>
        <v>3950</v>
      </c>
      <c r="D856" s="2">
        <f>IFERROR(__xludf.DUMMYFUNCTION("""COMPUTED_VALUE"""),3860.0)</f>
        <v>3860</v>
      </c>
      <c r="E856" s="2">
        <f>IFERROR(__xludf.DUMMYFUNCTION("""COMPUTED_VALUE"""),3860.0)</f>
        <v>3860</v>
      </c>
      <c r="F856" s="2">
        <f>IFERROR(__xludf.DUMMYFUNCTION("""COMPUTED_VALUE"""),6361200.0)</f>
        <v>6361200</v>
      </c>
      <c r="G856" s="2">
        <f t="shared" si="1"/>
        <v>90</v>
      </c>
    </row>
    <row r="857" ht="15.75" customHeight="1">
      <c r="A857" s="1">
        <f>IFERROR(__xludf.DUMMYFUNCTION("""COMPUTED_VALUE"""),45118.66666666667)</f>
        <v>45118.66667</v>
      </c>
      <c r="B857" s="2">
        <f>IFERROR(__xludf.DUMMYFUNCTION("""COMPUTED_VALUE"""),3860.0)</f>
        <v>3860</v>
      </c>
      <c r="C857" s="2">
        <f>IFERROR(__xludf.DUMMYFUNCTION("""COMPUTED_VALUE"""),3930.0)</f>
        <v>3930</v>
      </c>
      <c r="D857" s="2">
        <f>IFERROR(__xludf.DUMMYFUNCTION("""COMPUTED_VALUE"""),3850.0)</f>
        <v>3850</v>
      </c>
      <c r="E857" s="2">
        <f>IFERROR(__xludf.DUMMYFUNCTION("""COMPUTED_VALUE"""),3900.0)</f>
        <v>3900</v>
      </c>
      <c r="F857" s="2">
        <f>IFERROR(__xludf.DUMMYFUNCTION("""COMPUTED_VALUE"""),8501100.0)</f>
        <v>8501100</v>
      </c>
      <c r="G857" s="2">
        <f t="shared" si="1"/>
        <v>80</v>
      </c>
    </row>
    <row r="858" ht="15.75" customHeight="1">
      <c r="A858" s="1">
        <f>IFERROR(__xludf.DUMMYFUNCTION("""COMPUTED_VALUE"""),45119.66666666667)</f>
        <v>45119.66667</v>
      </c>
      <c r="B858" s="2">
        <f>IFERROR(__xludf.DUMMYFUNCTION("""COMPUTED_VALUE"""),3940.0)</f>
        <v>3940</v>
      </c>
      <c r="C858" s="2">
        <f>IFERROR(__xludf.DUMMYFUNCTION("""COMPUTED_VALUE"""),3940.0)</f>
        <v>3940</v>
      </c>
      <c r="D858" s="2">
        <f>IFERROR(__xludf.DUMMYFUNCTION("""COMPUTED_VALUE"""),3820.0)</f>
        <v>3820</v>
      </c>
      <c r="E858" s="2">
        <f>IFERROR(__xludf.DUMMYFUNCTION("""COMPUTED_VALUE"""),3840.0)</f>
        <v>3840</v>
      </c>
      <c r="F858" s="2">
        <f>IFERROR(__xludf.DUMMYFUNCTION("""COMPUTED_VALUE"""),7280300.0)</f>
        <v>7280300</v>
      </c>
      <c r="G858" s="2">
        <f t="shared" si="1"/>
        <v>120</v>
      </c>
    </row>
    <row r="859" ht="15.75" customHeight="1">
      <c r="A859" s="1">
        <f>IFERROR(__xludf.DUMMYFUNCTION("""COMPUTED_VALUE"""),45120.66666666667)</f>
        <v>45120.66667</v>
      </c>
      <c r="B859" s="2">
        <f>IFERROR(__xludf.DUMMYFUNCTION("""COMPUTED_VALUE"""),3840.0)</f>
        <v>3840</v>
      </c>
      <c r="C859" s="2">
        <f>IFERROR(__xludf.DUMMYFUNCTION("""COMPUTED_VALUE"""),3910.0)</f>
        <v>3910</v>
      </c>
      <c r="D859" s="2">
        <f>IFERROR(__xludf.DUMMYFUNCTION("""COMPUTED_VALUE"""),3740.0)</f>
        <v>3740</v>
      </c>
      <c r="E859" s="2">
        <f>IFERROR(__xludf.DUMMYFUNCTION("""COMPUTED_VALUE"""),3780.0)</f>
        <v>3780</v>
      </c>
      <c r="F859" s="2">
        <f>IFERROR(__xludf.DUMMYFUNCTION("""COMPUTED_VALUE"""),1.43019E7)</f>
        <v>14301900</v>
      </c>
      <c r="G859" s="2">
        <f t="shared" si="1"/>
        <v>170</v>
      </c>
    </row>
    <row r="860" ht="15.75" customHeight="1">
      <c r="A860" s="1">
        <f>IFERROR(__xludf.DUMMYFUNCTION("""COMPUTED_VALUE"""),45121.66666666667)</f>
        <v>45121.66667</v>
      </c>
      <c r="B860" s="2">
        <f>IFERROR(__xludf.DUMMYFUNCTION("""COMPUTED_VALUE"""),3800.0)</f>
        <v>3800</v>
      </c>
      <c r="C860" s="2">
        <f>IFERROR(__xludf.DUMMYFUNCTION("""COMPUTED_VALUE"""),3970.0)</f>
        <v>3970</v>
      </c>
      <c r="D860" s="2">
        <f>IFERROR(__xludf.DUMMYFUNCTION("""COMPUTED_VALUE"""),3780.0)</f>
        <v>3780</v>
      </c>
      <c r="E860" s="2">
        <f>IFERROR(__xludf.DUMMYFUNCTION("""COMPUTED_VALUE"""),3890.0)</f>
        <v>3890</v>
      </c>
      <c r="F860" s="2">
        <f>IFERROR(__xludf.DUMMYFUNCTION("""COMPUTED_VALUE"""),9801200.0)</f>
        <v>9801200</v>
      </c>
      <c r="G860" s="2">
        <f t="shared" si="1"/>
        <v>190</v>
      </c>
    </row>
    <row r="861" ht="15.75" customHeight="1">
      <c r="A861" s="1">
        <f>IFERROR(__xludf.DUMMYFUNCTION("""COMPUTED_VALUE"""),45124.66666666667)</f>
        <v>45124.66667</v>
      </c>
      <c r="B861" s="2">
        <f>IFERROR(__xludf.DUMMYFUNCTION("""COMPUTED_VALUE"""),3900.0)</f>
        <v>3900</v>
      </c>
      <c r="C861" s="2">
        <f>IFERROR(__xludf.DUMMYFUNCTION("""COMPUTED_VALUE"""),3930.0)</f>
        <v>3930</v>
      </c>
      <c r="D861" s="2">
        <f>IFERROR(__xludf.DUMMYFUNCTION("""COMPUTED_VALUE"""),3810.0)</f>
        <v>3810</v>
      </c>
      <c r="E861" s="2">
        <f>IFERROR(__xludf.DUMMYFUNCTION("""COMPUTED_VALUE"""),3810.0)</f>
        <v>3810</v>
      </c>
      <c r="F861" s="2">
        <f>IFERROR(__xludf.DUMMYFUNCTION("""COMPUTED_VALUE"""),4496300.0)</f>
        <v>4496300</v>
      </c>
      <c r="G861" s="2">
        <f t="shared" si="1"/>
        <v>120</v>
      </c>
    </row>
    <row r="862" ht="15.75" customHeight="1">
      <c r="A862" s="1">
        <f>IFERROR(__xludf.DUMMYFUNCTION("""COMPUTED_VALUE"""),45125.66666666667)</f>
        <v>45125.66667</v>
      </c>
      <c r="B862" s="2">
        <f>IFERROR(__xludf.DUMMYFUNCTION("""COMPUTED_VALUE"""),3850.0)</f>
        <v>3850</v>
      </c>
      <c r="C862" s="2">
        <f>IFERROR(__xludf.DUMMYFUNCTION("""COMPUTED_VALUE"""),3850.0)</f>
        <v>3850</v>
      </c>
      <c r="D862" s="2">
        <f>IFERROR(__xludf.DUMMYFUNCTION("""COMPUTED_VALUE"""),3750.0)</f>
        <v>3750</v>
      </c>
      <c r="E862" s="2">
        <f>IFERROR(__xludf.DUMMYFUNCTION("""COMPUTED_VALUE"""),3820.0)</f>
        <v>3820</v>
      </c>
      <c r="F862" s="2">
        <f>IFERROR(__xludf.DUMMYFUNCTION("""COMPUTED_VALUE"""),6770000.0)</f>
        <v>6770000</v>
      </c>
      <c r="G862" s="2">
        <f t="shared" si="1"/>
        <v>100</v>
      </c>
    </row>
    <row r="863" ht="15.75" customHeight="1">
      <c r="A863" s="1">
        <f>IFERROR(__xludf.DUMMYFUNCTION("""COMPUTED_VALUE"""),45127.66666666667)</f>
        <v>45127.66667</v>
      </c>
      <c r="B863" s="2">
        <f>IFERROR(__xludf.DUMMYFUNCTION("""COMPUTED_VALUE"""),3820.0)</f>
        <v>3820</v>
      </c>
      <c r="C863" s="2">
        <f>IFERROR(__xludf.DUMMYFUNCTION("""COMPUTED_VALUE"""),3880.0)</f>
        <v>3880</v>
      </c>
      <c r="D863" s="2">
        <f>IFERROR(__xludf.DUMMYFUNCTION("""COMPUTED_VALUE"""),3760.0)</f>
        <v>3760</v>
      </c>
      <c r="E863" s="2">
        <f>IFERROR(__xludf.DUMMYFUNCTION("""COMPUTED_VALUE"""),3820.0)</f>
        <v>3820</v>
      </c>
      <c r="F863" s="2">
        <f>IFERROR(__xludf.DUMMYFUNCTION("""COMPUTED_VALUE"""),5441100.0)</f>
        <v>5441100</v>
      </c>
      <c r="G863" s="2">
        <f t="shared" si="1"/>
        <v>120</v>
      </c>
    </row>
    <row r="864" ht="15.75" customHeight="1">
      <c r="A864" s="1">
        <f>IFERROR(__xludf.DUMMYFUNCTION("""COMPUTED_VALUE"""),45128.66666666667)</f>
        <v>45128.66667</v>
      </c>
      <c r="B864" s="2">
        <f>IFERROR(__xludf.DUMMYFUNCTION("""COMPUTED_VALUE"""),3840.0)</f>
        <v>3840</v>
      </c>
      <c r="C864" s="2">
        <f>IFERROR(__xludf.DUMMYFUNCTION("""COMPUTED_VALUE"""),3910.0)</f>
        <v>3910</v>
      </c>
      <c r="D864" s="2">
        <f>IFERROR(__xludf.DUMMYFUNCTION("""COMPUTED_VALUE"""),3820.0)</f>
        <v>3820</v>
      </c>
      <c r="E864" s="2">
        <f>IFERROR(__xludf.DUMMYFUNCTION("""COMPUTED_VALUE"""),3910.0)</f>
        <v>3910</v>
      </c>
      <c r="F864" s="2">
        <f>IFERROR(__xludf.DUMMYFUNCTION("""COMPUTED_VALUE"""),5130800.0)</f>
        <v>5130800</v>
      </c>
      <c r="G864" s="2">
        <f t="shared" si="1"/>
        <v>90</v>
      </c>
    </row>
    <row r="865" ht="15.75" customHeight="1">
      <c r="A865" s="1">
        <f>IFERROR(__xludf.DUMMYFUNCTION("""COMPUTED_VALUE"""),45131.66666666667)</f>
        <v>45131.66667</v>
      </c>
      <c r="B865" s="2">
        <f>IFERROR(__xludf.DUMMYFUNCTION("""COMPUTED_VALUE"""),3910.0)</f>
        <v>3910</v>
      </c>
      <c r="C865" s="2">
        <f>IFERROR(__xludf.DUMMYFUNCTION("""COMPUTED_VALUE"""),3910.0)</f>
        <v>3910</v>
      </c>
      <c r="D865" s="2">
        <f>IFERROR(__xludf.DUMMYFUNCTION("""COMPUTED_VALUE"""),3840.0)</f>
        <v>3840</v>
      </c>
      <c r="E865" s="2">
        <f>IFERROR(__xludf.DUMMYFUNCTION("""COMPUTED_VALUE"""),3840.0)</f>
        <v>3840</v>
      </c>
      <c r="F865" s="2">
        <f>IFERROR(__xludf.DUMMYFUNCTION("""COMPUTED_VALUE"""),2596700.0)</f>
        <v>2596700</v>
      </c>
      <c r="G865" s="2">
        <f t="shared" si="1"/>
        <v>70</v>
      </c>
    </row>
    <row r="866" ht="15.75" customHeight="1">
      <c r="A866" s="1">
        <f>IFERROR(__xludf.DUMMYFUNCTION("""COMPUTED_VALUE"""),45132.66666666667)</f>
        <v>45132.66667</v>
      </c>
      <c r="B866" s="2">
        <f>IFERROR(__xludf.DUMMYFUNCTION("""COMPUTED_VALUE"""),3850.0)</f>
        <v>3850</v>
      </c>
      <c r="C866" s="2">
        <f>IFERROR(__xludf.DUMMYFUNCTION("""COMPUTED_VALUE"""),3880.0)</f>
        <v>3880</v>
      </c>
      <c r="D866" s="2">
        <f>IFERROR(__xludf.DUMMYFUNCTION("""COMPUTED_VALUE"""),3810.0)</f>
        <v>3810</v>
      </c>
      <c r="E866" s="2">
        <f>IFERROR(__xludf.DUMMYFUNCTION("""COMPUTED_VALUE"""),3860.0)</f>
        <v>3860</v>
      </c>
      <c r="F866" s="2">
        <f>IFERROR(__xludf.DUMMYFUNCTION("""COMPUTED_VALUE"""),5537800.0)</f>
        <v>5537800</v>
      </c>
      <c r="G866" s="2">
        <f t="shared" si="1"/>
        <v>70</v>
      </c>
    </row>
    <row r="867" ht="15.75" customHeight="1">
      <c r="A867" s="1">
        <f>IFERROR(__xludf.DUMMYFUNCTION("""COMPUTED_VALUE"""),45133.66666666667)</f>
        <v>45133.66667</v>
      </c>
      <c r="B867" s="2">
        <f>IFERROR(__xludf.DUMMYFUNCTION("""COMPUTED_VALUE"""),3860.0)</f>
        <v>3860</v>
      </c>
      <c r="C867" s="2">
        <f>IFERROR(__xludf.DUMMYFUNCTION("""COMPUTED_VALUE"""),3870.0)</f>
        <v>3870</v>
      </c>
      <c r="D867" s="2">
        <f>IFERROR(__xludf.DUMMYFUNCTION("""COMPUTED_VALUE"""),3800.0)</f>
        <v>3800</v>
      </c>
      <c r="E867" s="2">
        <f>IFERROR(__xludf.DUMMYFUNCTION("""COMPUTED_VALUE"""),3820.0)</f>
        <v>3820</v>
      </c>
      <c r="F867" s="2">
        <f>IFERROR(__xludf.DUMMYFUNCTION("""COMPUTED_VALUE"""),3656600.0)</f>
        <v>3656600</v>
      </c>
      <c r="G867" s="2">
        <f t="shared" si="1"/>
        <v>70</v>
      </c>
    </row>
    <row r="868" ht="15.75" customHeight="1">
      <c r="A868" s="1">
        <f>IFERROR(__xludf.DUMMYFUNCTION("""COMPUTED_VALUE"""),45134.66666666667)</f>
        <v>45134.66667</v>
      </c>
      <c r="B868" s="2">
        <f>IFERROR(__xludf.DUMMYFUNCTION("""COMPUTED_VALUE"""),3820.0)</f>
        <v>3820</v>
      </c>
      <c r="C868" s="2">
        <f>IFERROR(__xludf.DUMMYFUNCTION("""COMPUTED_VALUE"""),3870.0)</f>
        <v>3870</v>
      </c>
      <c r="D868" s="2">
        <f>IFERROR(__xludf.DUMMYFUNCTION("""COMPUTED_VALUE"""),3750.0)</f>
        <v>3750</v>
      </c>
      <c r="E868" s="2">
        <f>IFERROR(__xludf.DUMMYFUNCTION("""COMPUTED_VALUE"""),3750.0)</f>
        <v>3750</v>
      </c>
      <c r="F868" s="2">
        <f>IFERROR(__xludf.DUMMYFUNCTION("""COMPUTED_VALUE"""),2860900.0)</f>
        <v>2860900</v>
      </c>
      <c r="G868" s="2">
        <f t="shared" si="1"/>
        <v>120</v>
      </c>
    </row>
    <row r="869" ht="15.75" customHeight="1">
      <c r="A869" s="1">
        <f>IFERROR(__xludf.DUMMYFUNCTION("""COMPUTED_VALUE"""),45135.66666666667)</f>
        <v>45135.66667</v>
      </c>
      <c r="B869" s="2">
        <f>IFERROR(__xludf.DUMMYFUNCTION("""COMPUTED_VALUE"""),3750.0)</f>
        <v>3750</v>
      </c>
      <c r="C869" s="2">
        <f>IFERROR(__xludf.DUMMYFUNCTION("""COMPUTED_VALUE"""),3830.0)</f>
        <v>3830</v>
      </c>
      <c r="D869" s="2">
        <f>IFERROR(__xludf.DUMMYFUNCTION("""COMPUTED_VALUE"""),3740.0)</f>
        <v>3740</v>
      </c>
      <c r="E869" s="2">
        <f>IFERROR(__xludf.DUMMYFUNCTION("""COMPUTED_VALUE"""),3830.0)</f>
        <v>3830</v>
      </c>
      <c r="F869" s="2">
        <f>IFERROR(__xludf.DUMMYFUNCTION("""COMPUTED_VALUE"""),2664600.0)</f>
        <v>2664600</v>
      </c>
      <c r="G869" s="2">
        <f t="shared" si="1"/>
        <v>90</v>
      </c>
    </row>
    <row r="870" ht="15.75" customHeight="1">
      <c r="A870" s="1">
        <f>IFERROR(__xludf.DUMMYFUNCTION("""COMPUTED_VALUE"""),45138.66666666667)</f>
        <v>45138.66667</v>
      </c>
      <c r="B870" s="2">
        <f>IFERROR(__xludf.DUMMYFUNCTION("""COMPUTED_VALUE"""),3830.0)</f>
        <v>3830</v>
      </c>
      <c r="C870" s="2">
        <f>IFERROR(__xludf.DUMMYFUNCTION("""COMPUTED_VALUE"""),3920.0)</f>
        <v>3920</v>
      </c>
      <c r="D870" s="2">
        <f>IFERROR(__xludf.DUMMYFUNCTION("""COMPUTED_VALUE"""),3830.0)</f>
        <v>3830</v>
      </c>
      <c r="E870" s="2">
        <f>IFERROR(__xludf.DUMMYFUNCTION("""COMPUTED_VALUE"""),3870.0)</f>
        <v>3870</v>
      </c>
      <c r="F870" s="2">
        <f>IFERROR(__xludf.DUMMYFUNCTION("""COMPUTED_VALUE"""),1.08409E7)</f>
        <v>10840900</v>
      </c>
      <c r="G870" s="2">
        <f t="shared" si="1"/>
        <v>90</v>
      </c>
    </row>
    <row r="871" ht="15.75" customHeight="1">
      <c r="A871" s="1">
        <f>IFERROR(__xludf.DUMMYFUNCTION("""COMPUTED_VALUE"""),45139.66666666667)</f>
        <v>45139.66667</v>
      </c>
      <c r="B871" s="2">
        <f>IFERROR(__xludf.DUMMYFUNCTION("""COMPUTED_VALUE"""),3870.0)</f>
        <v>3870</v>
      </c>
      <c r="C871" s="2">
        <f>IFERROR(__xludf.DUMMYFUNCTION("""COMPUTED_VALUE"""),3880.0)</f>
        <v>3880</v>
      </c>
      <c r="D871" s="2">
        <f>IFERROR(__xludf.DUMMYFUNCTION("""COMPUTED_VALUE"""),3800.0)</f>
        <v>3800</v>
      </c>
      <c r="E871" s="2">
        <f>IFERROR(__xludf.DUMMYFUNCTION("""COMPUTED_VALUE"""),3850.0)</f>
        <v>3850</v>
      </c>
      <c r="F871" s="2">
        <f>IFERROR(__xludf.DUMMYFUNCTION("""COMPUTED_VALUE"""),2053700.0)</f>
        <v>2053700</v>
      </c>
      <c r="G871" s="2">
        <f t="shared" si="1"/>
        <v>80</v>
      </c>
    </row>
    <row r="872" ht="15.75" customHeight="1">
      <c r="A872" s="1">
        <f>IFERROR(__xludf.DUMMYFUNCTION("""COMPUTED_VALUE"""),45140.66666666667)</f>
        <v>45140.66667</v>
      </c>
      <c r="B872" s="2">
        <f>IFERROR(__xludf.DUMMYFUNCTION("""COMPUTED_VALUE"""),3840.0)</f>
        <v>3840</v>
      </c>
      <c r="C872" s="2">
        <f>IFERROR(__xludf.DUMMYFUNCTION("""COMPUTED_VALUE"""),3870.0)</f>
        <v>3870</v>
      </c>
      <c r="D872" s="2">
        <f>IFERROR(__xludf.DUMMYFUNCTION("""COMPUTED_VALUE"""),3750.0)</f>
        <v>3750</v>
      </c>
      <c r="E872" s="2">
        <f>IFERROR(__xludf.DUMMYFUNCTION("""COMPUTED_VALUE"""),3800.0)</f>
        <v>3800</v>
      </c>
      <c r="F872" s="2">
        <f>IFERROR(__xludf.DUMMYFUNCTION("""COMPUTED_VALUE"""),5816700.0)</f>
        <v>5816700</v>
      </c>
      <c r="G872" s="2">
        <f t="shared" si="1"/>
        <v>120</v>
      </c>
    </row>
    <row r="873" ht="15.75" customHeight="1">
      <c r="A873" s="1">
        <f>IFERROR(__xludf.DUMMYFUNCTION("""COMPUTED_VALUE"""),45141.66666666667)</f>
        <v>45141.66667</v>
      </c>
      <c r="B873" s="2">
        <f>IFERROR(__xludf.DUMMYFUNCTION("""COMPUTED_VALUE"""),3800.0)</f>
        <v>3800</v>
      </c>
      <c r="C873" s="2">
        <f>IFERROR(__xludf.DUMMYFUNCTION("""COMPUTED_VALUE"""),3850.0)</f>
        <v>3850</v>
      </c>
      <c r="D873" s="2">
        <f>IFERROR(__xludf.DUMMYFUNCTION("""COMPUTED_VALUE"""),3780.0)</f>
        <v>3780</v>
      </c>
      <c r="E873" s="2">
        <f>IFERROR(__xludf.DUMMYFUNCTION("""COMPUTED_VALUE"""),3810.0)</f>
        <v>3810</v>
      </c>
      <c r="F873" s="2">
        <f>IFERROR(__xludf.DUMMYFUNCTION("""COMPUTED_VALUE"""),3929900.0)</f>
        <v>3929900</v>
      </c>
      <c r="G873" s="2">
        <f t="shared" si="1"/>
        <v>70</v>
      </c>
    </row>
    <row r="874" ht="15.75" customHeight="1">
      <c r="A874" s="1">
        <f>IFERROR(__xludf.DUMMYFUNCTION("""COMPUTED_VALUE"""),45142.66666666667)</f>
        <v>45142.66667</v>
      </c>
      <c r="B874" s="2">
        <f>IFERROR(__xludf.DUMMYFUNCTION("""COMPUTED_VALUE"""),3810.0)</f>
        <v>3810</v>
      </c>
      <c r="C874" s="2">
        <f>IFERROR(__xludf.DUMMYFUNCTION("""COMPUTED_VALUE"""),3860.0)</f>
        <v>3860</v>
      </c>
      <c r="D874" s="2">
        <f>IFERROR(__xludf.DUMMYFUNCTION("""COMPUTED_VALUE"""),3740.0)</f>
        <v>3740</v>
      </c>
      <c r="E874" s="2">
        <f>IFERROR(__xludf.DUMMYFUNCTION("""COMPUTED_VALUE"""),3750.0)</f>
        <v>3750</v>
      </c>
      <c r="F874" s="2">
        <f>IFERROR(__xludf.DUMMYFUNCTION("""COMPUTED_VALUE"""),3852600.0)</f>
        <v>3852600</v>
      </c>
      <c r="G874" s="2">
        <f t="shared" si="1"/>
        <v>120</v>
      </c>
    </row>
    <row r="875" ht="15.75" customHeight="1">
      <c r="A875" s="1">
        <f>IFERROR(__xludf.DUMMYFUNCTION("""COMPUTED_VALUE"""),45145.66666666667)</f>
        <v>45145.66667</v>
      </c>
      <c r="B875" s="2">
        <f>IFERROR(__xludf.DUMMYFUNCTION("""COMPUTED_VALUE"""),3750.0)</f>
        <v>3750</v>
      </c>
      <c r="C875" s="2">
        <f>IFERROR(__xludf.DUMMYFUNCTION("""COMPUTED_VALUE"""),3780.0)</f>
        <v>3780</v>
      </c>
      <c r="D875" s="2">
        <f>IFERROR(__xludf.DUMMYFUNCTION("""COMPUTED_VALUE"""),3710.0)</f>
        <v>3710</v>
      </c>
      <c r="E875" s="2">
        <f>IFERROR(__xludf.DUMMYFUNCTION("""COMPUTED_VALUE"""),3710.0)</f>
        <v>3710</v>
      </c>
      <c r="F875" s="2">
        <f>IFERROR(__xludf.DUMMYFUNCTION("""COMPUTED_VALUE"""),2837100.0)</f>
        <v>2837100</v>
      </c>
      <c r="G875" s="2">
        <f t="shared" si="1"/>
        <v>70</v>
      </c>
    </row>
    <row r="876" ht="15.75" customHeight="1">
      <c r="A876" s="1">
        <f>IFERROR(__xludf.DUMMYFUNCTION("""COMPUTED_VALUE"""),45146.66666666667)</f>
        <v>45146.66667</v>
      </c>
      <c r="B876" s="2">
        <f>IFERROR(__xludf.DUMMYFUNCTION("""COMPUTED_VALUE"""),3710.0)</f>
        <v>3710</v>
      </c>
      <c r="C876" s="2">
        <f>IFERROR(__xludf.DUMMYFUNCTION("""COMPUTED_VALUE"""),3750.0)</f>
        <v>3750</v>
      </c>
      <c r="D876" s="2">
        <f>IFERROR(__xludf.DUMMYFUNCTION("""COMPUTED_VALUE"""),3700.0)</f>
        <v>3700</v>
      </c>
      <c r="E876" s="2">
        <f>IFERROR(__xludf.DUMMYFUNCTION("""COMPUTED_VALUE"""),3730.0)</f>
        <v>3730</v>
      </c>
      <c r="F876" s="2">
        <f>IFERROR(__xludf.DUMMYFUNCTION("""COMPUTED_VALUE"""),2765200.0)</f>
        <v>2765200</v>
      </c>
      <c r="G876" s="2">
        <f t="shared" si="1"/>
        <v>50</v>
      </c>
    </row>
    <row r="877" ht="15.75" customHeight="1">
      <c r="A877" s="1">
        <f>IFERROR(__xludf.DUMMYFUNCTION("""COMPUTED_VALUE"""),45147.66666666667)</f>
        <v>45147.66667</v>
      </c>
      <c r="B877" s="2">
        <f>IFERROR(__xludf.DUMMYFUNCTION("""COMPUTED_VALUE"""),3730.0)</f>
        <v>3730</v>
      </c>
      <c r="C877" s="2">
        <f>IFERROR(__xludf.DUMMYFUNCTION("""COMPUTED_VALUE"""),3740.0)</f>
        <v>3740</v>
      </c>
      <c r="D877" s="2">
        <f>IFERROR(__xludf.DUMMYFUNCTION("""COMPUTED_VALUE"""),3650.0)</f>
        <v>3650</v>
      </c>
      <c r="E877" s="2">
        <f>IFERROR(__xludf.DUMMYFUNCTION("""COMPUTED_VALUE"""),3650.0)</f>
        <v>3650</v>
      </c>
      <c r="F877" s="2">
        <f>IFERROR(__xludf.DUMMYFUNCTION("""COMPUTED_VALUE"""),3372000.0)</f>
        <v>3372000</v>
      </c>
      <c r="G877" s="2">
        <f t="shared" si="1"/>
        <v>90</v>
      </c>
    </row>
    <row r="878" ht="15.75" customHeight="1">
      <c r="A878" s="1">
        <f>IFERROR(__xludf.DUMMYFUNCTION("""COMPUTED_VALUE"""),45148.66666666667)</f>
        <v>45148.66667</v>
      </c>
      <c r="B878" s="2">
        <f>IFERROR(__xludf.DUMMYFUNCTION("""COMPUTED_VALUE"""),3650.0)</f>
        <v>3650</v>
      </c>
      <c r="C878" s="2">
        <f>IFERROR(__xludf.DUMMYFUNCTION("""COMPUTED_VALUE"""),3720.0)</f>
        <v>3720</v>
      </c>
      <c r="D878" s="2">
        <f>IFERROR(__xludf.DUMMYFUNCTION("""COMPUTED_VALUE"""),3650.0)</f>
        <v>3650</v>
      </c>
      <c r="E878" s="2">
        <f>IFERROR(__xludf.DUMMYFUNCTION("""COMPUTED_VALUE"""),3720.0)</f>
        <v>3720</v>
      </c>
      <c r="F878" s="2">
        <f>IFERROR(__xludf.DUMMYFUNCTION("""COMPUTED_VALUE"""),3327100.0)</f>
        <v>3327100</v>
      </c>
      <c r="G878" s="2">
        <f t="shared" si="1"/>
        <v>70</v>
      </c>
    </row>
    <row r="879" ht="15.75" customHeight="1">
      <c r="A879" s="1">
        <f>IFERROR(__xludf.DUMMYFUNCTION("""COMPUTED_VALUE"""),45149.66666666667)</f>
        <v>45149.66667</v>
      </c>
      <c r="B879" s="2">
        <f>IFERROR(__xludf.DUMMYFUNCTION("""COMPUTED_VALUE"""),3770.0)</f>
        <v>3770</v>
      </c>
      <c r="C879" s="2">
        <f>IFERROR(__xludf.DUMMYFUNCTION("""COMPUTED_VALUE"""),3770.0)</f>
        <v>3770</v>
      </c>
      <c r="D879" s="2">
        <f>IFERROR(__xludf.DUMMYFUNCTION("""COMPUTED_VALUE"""),3670.0)</f>
        <v>3670</v>
      </c>
      <c r="E879" s="2">
        <f>IFERROR(__xludf.DUMMYFUNCTION("""COMPUTED_VALUE"""),3740.0)</f>
        <v>3740</v>
      </c>
      <c r="F879" s="2">
        <f>IFERROR(__xludf.DUMMYFUNCTION("""COMPUTED_VALUE"""),1715600.0)</f>
        <v>1715600</v>
      </c>
      <c r="G879" s="2">
        <f t="shared" si="1"/>
        <v>100</v>
      </c>
    </row>
    <row r="880" ht="15.75" customHeight="1">
      <c r="A880" s="1">
        <f>IFERROR(__xludf.DUMMYFUNCTION("""COMPUTED_VALUE"""),45152.66666666667)</f>
        <v>45152.66667</v>
      </c>
      <c r="B880" s="2">
        <f>IFERROR(__xludf.DUMMYFUNCTION("""COMPUTED_VALUE"""),3750.0)</f>
        <v>3750</v>
      </c>
      <c r="C880" s="2">
        <f>IFERROR(__xludf.DUMMYFUNCTION("""COMPUTED_VALUE"""),3750.0)</f>
        <v>3750</v>
      </c>
      <c r="D880" s="2">
        <f>IFERROR(__xludf.DUMMYFUNCTION("""COMPUTED_VALUE"""),3650.0)</f>
        <v>3650</v>
      </c>
      <c r="E880" s="2">
        <f>IFERROR(__xludf.DUMMYFUNCTION("""COMPUTED_VALUE"""),3750.0)</f>
        <v>3750</v>
      </c>
      <c r="F880" s="2">
        <f>IFERROR(__xludf.DUMMYFUNCTION("""COMPUTED_VALUE"""),4965300.0)</f>
        <v>4965300</v>
      </c>
      <c r="G880" s="2">
        <f t="shared" si="1"/>
        <v>100</v>
      </c>
    </row>
    <row r="881" ht="15.75" customHeight="1">
      <c r="A881" s="1">
        <f>IFERROR(__xludf.DUMMYFUNCTION("""COMPUTED_VALUE"""),45153.66666666667)</f>
        <v>45153.66667</v>
      </c>
      <c r="B881" s="2">
        <f>IFERROR(__xludf.DUMMYFUNCTION("""COMPUTED_VALUE"""),3740.0)</f>
        <v>3740</v>
      </c>
      <c r="C881" s="2">
        <f>IFERROR(__xludf.DUMMYFUNCTION("""COMPUTED_VALUE"""),3750.0)</f>
        <v>3750</v>
      </c>
      <c r="D881" s="2">
        <f>IFERROR(__xludf.DUMMYFUNCTION("""COMPUTED_VALUE"""),3650.0)</f>
        <v>3650</v>
      </c>
      <c r="E881" s="2">
        <f>IFERROR(__xludf.DUMMYFUNCTION("""COMPUTED_VALUE"""),3670.0)</f>
        <v>3670</v>
      </c>
      <c r="F881" s="2">
        <f>IFERROR(__xludf.DUMMYFUNCTION("""COMPUTED_VALUE"""),6360900.0)</f>
        <v>6360900</v>
      </c>
      <c r="G881" s="2">
        <f t="shared" si="1"/>
        <v>100</v>
      </c>
    </row>
    <row r="882" ht="15.75" customHeight="1">
      <c r="A882" s="1">
        <f>IFERROR(__xludf.DUMMYFUNCTION("""COMPUTED_VALUE"""),45154.66666666667)</f>
        <v>45154.66667</v>
      </c>
      <c r="B882" s="2">
        <f>IFERROR(__xludf.DUMMYFUNCTION("""COMPUTED_VALUE"""),3660.0)</f>
        <v>3660</v>
      </c>
      <c r="C882" s="2">
        <f>IFERROR(__xludf.DUMMYFUNCTION("""COMPUTED_VALUE"""),3680.0)</f>
        <v>3680</v>
      </c>
      <c r="D882" s="2">
        <f>IFERROR(__xludf.DUMMYFUNCTION("""COMPUTED_VALUE"""),3650.0)</f>
        <v>3650</v>
      </c>
      <c r="E882" s="2">
        <f>IFERROR(__xludf.DUMMYFUNCTION("""COMPUTED_VALUE"""),3680.0)</f>
        <v>3680</v>
      </c>
      <c r="F882" s="2">
        <f>IFERROR(__xludf.DUMMYFUNCTION("""COMPUTED_VALUE"""),2106100.0)</f>
        <v>2106100</v>
      </c>
      <c r="G882" s="2">
        <f t="shared" si="1"/>
        <v>30</v>
      </c>
    </row>
    <row r="883" ht="15.75" customHeight="1">
      <c r="A883" s="1">
        <f>IFERROR(__xludf.DUMMYFUNCTION("""COMPUTED_VALUE"""),45156.66666666667)</f>
        <v>45156.66667</v>
      </c>
      <c r="B883" s="2">
        <f>IFERROR(__xludf.DUMMYFUNCTION("""COMPUTED_VALUE"""),3720.0)</f>
        <v>3720</v>
      </c>
      <c r="C883" s="2">
        <f>IFERROR(__xludf.DUMMYFUNCTION("""COMPUTED_VALUE"""),3720.0)</f>
        <v>3720</v>
      </c>
      <c r="D883" s="2">
        <f>IFERROR(__xludf.DUMMYFUNCTION("""COMPUTED_VALUE"""),3670.0)</f>
        <v>3670</v>
      </c>
      <c r="E883" s="2">
        <f>IFERROR(__xludf.DUMMYFUNCTION("""COMPUTED_VALUE"""),3700.0)</f>
        <v>3700</v>
      </c>
      <c r="F883" s="2">
        <f>IFERROR(__xludf.DUMMYFUNCTION("""COMPUTED_VALUE"""),1825900.0)</f>
        <v>1825900</v>
      </c>
      <c r="G883" s="2">
        <f t="shared" si="1"/>
        <v>50</v>
      </c>
    </row>
    <row r="884" ht="15.75" customHeight="1">
      <c r="A884" s="1">
        <f>IFERROR(__xludf.DUMMYFUNCTION("""COMPUTED_VALUE"""),45159.66666666667)</f>
        <v>45159.66667</v>
      </c>
      <c r="B884" s="2">
        <f>IFERROR(__xludf.DUMMYFUNCTION("""COMPUTED_VALUE"""),3700.0)</f>
        <v>3700</v>
      </c>
      <c r="C884" s="2">
        <f>IFERROR(__xludf.DUMMYFUNCTION("""COMPUTED_VALUE"""),3700.0)</f>
        <v>3700</v>
      </c>
      <c r="D884" s="2">
        <f>IFERROR(__xludf.DUMMYFUNCTION("""COMPUTED_VALUE"""),3630.0)</f>
        <v>3630</v>
      </c>
      <c r="E884" s="2">
        <f>IFERROR(__xludf.DUMMYFUNCTION("""COMPUTED_VALUE"""),3630.0)</f>
        <v>3630</v>
      </c>
      <c r="F884" s="2">
        <f>IFERROR(__xludf.DUMMYFUNCTION("""COMPUTED_VALUE"""),2400100.0)</f>
        <v>2400100</v>
      </c>
      <c r="G884" s="2">
        <f t="shared" si="1"/>
        <v>70</v>
      </c>
    </row>
    <row r="885" ht="15.75" customHeight="1">
      <c r="A885" s="1">
        <f>IFERROR(__xludf.DUMMYFUNCTION("""COMPUTED_VALUE"""),45160.66666666667)</f>
        <v>45160.66667</v>
      </c>
      <c r="B885" s="2">
        <f>IFERROR(__xludf.DUMMYFUNCTION("""COMPUTED_VALUE"""),3640.0)</f>
        <v>3640</v>
      </c>
      <c r="C885" s="2">
        <f>IFERROR(__xludf.DUMMYFUNCTION("""COMPUTED_VALUE"""),3660.0)</f>
        <v>3660</v>
      </c>
      <c r="D885" s="2">
        <f>IFERROR(__xludf.DUMMYFUNCTION("""COMPUTED_VALUE"""),3600.0)</f>
        <v>3600</v>
      </c>
      <c r="E885" s="2">
        <f>IFERROR(__xludf.DUMMYFUNCTION("""COMPUTED_VALUE"""),3610.0)</f>
        <v>3610</v>
      </c>
      <c r="F885" s="2">
        <f>IFERROR(__xludf.DUMMYFUNCTION("""COMPUTED_VALUE"""),2179100.0)</f>
        <v>2179100</v>
      </c>
      <c r="G885" s="2">
        <f t="shared" si="1"/>
        <v>60</v>
      </c>
    </row>
    <row r="886" ht="15.75" customHeight="1">
      <c r="A886" s="1">
        <f>IFERROR(__xludf.DUMMYFUNCTION("""COMPUTED_VALUE"""),45161.66666666667)</f>
        <v>45161.66667</v>
      </c>
      <c r="B886" s="2">
        <f>IFERROR(__xludf.DUMMYFUNCTION("""COMPUTED_VALUE"""),3610.0)</f>
        <v>3610</v>
      </c>
      <c r="C886" s="2">
        <f>IFERROR(__xludf.DUMMYFUNCTION("""COMPUTED_VALUE"""),3630.0)</f>
        <v>3630</v>
      </c>
      <c r="D886" s="2">
        <f>IFERROR(__xludf.DUMMYFUNCTION("""COMPUTED_VALUE"""),3600.0)</f>
        <v>3600</v>
      </c>
      <c r="E886" s="2">
        <f>IFERROR(__xludf.DUMMYFUNCTION("""COMPUTED_VALUE"""),3600.0)</f>
        <v>3600</v>
      </c>
      <c r="F886" s="2">
        <f>IFERROR(__xludf.DUMMYFUNCTION("""COMPUTED_VALUE"""),1989000.0)</f>
        <v>1989000</v>
      </c>
      <c r="G886" s="2">
        <f t="shared" si="1"/>
        <v>30</v>
      </c>
    </row>
    <row r="887" ht="15.75" customHeight="1">
      <c r="A887" s="1">
        <f>IFERROR(__xludf.DUMMYFUNCTION("""COMPUTED_VALUE"""),45162.66666666667)</f>
        <v>45162.66667</v>
      </c>
      <c r="B887" s="2">
        <f>IFERROR(__xludf.DUMMYFUNCTION("""COMPUTED_VALUE"""),3600.0)</f>
        <v>3600</v>
      </c>
      <c r="C887" s="2">
        <f>IFERROR(__xludf.DUMMYFUNCTION("""COMPUTED_VALUE"""),3690.0)</f>
        <v>3690</v>
      </c>
      <c r="D887" s="2">
        <f>IFERROR(__xludf.DUMMYFUNCTION("""COMPUTED_VALUE"""),3560.0)</f>
        <v>3560</v>
      </c>
      <c r="E887" s="2">
        <f>IFERROR(__xludf.DUMMYFUNCTION("""COMPUTED_VALUE"""),3560.0)</f>
        <v>3560</v>
      </c>
      <c r="F887" s="2">
        <f>IFERROR(__xludf.DUMMYFUNCTION("""COMPUTED_VALUE"""),8670600.0)</f>
        <v>8670600</v>
      </c>
      <c r="G887" s="2">
        <f t="shared" si="1"/>
        <v>130</v>
      </c>
    </row>
    <row r="888" ht="15.75" customHeight="1">
      <c r="A888" s="1">
        <f>IFERROR(__xludf.DUMMYFUNCTION("""COMPUTED_VALUE"""),45163.66666666667)</f>
        <v>45163.66667</v>
      </c>
      <c r="B888" s="2">
        <f>IFERROR(__xludf.DUMMYFUNCTION("""COMPUTED_VALUE"""),3610.0)</f>
        <v>3610</v>
      </c>
      <c r="C888" s="2">
        <f>IFERROR(__xludf.DUMMYFUNCTION("""COMPUTED_VALUE"""),3660.0)</f>
        <v>3660</v>
      </c>
      <c r="D888" s="2">
        <f>IFERROR(__xludf.DUMMYFUNCTION("""COMPUTED_VALUE"""),3560.0)</f>
        <v>3560</v>
      </c>
      <c r="E888" s="2">
        <f>IFERROR(__xludf.DUMMYFUNCTION("""COMPUTED_VALUE"""),3650.0)</f>
        <v>3650</v>
      </c>
      <c r="F888" s="2">
        <f>IFERROR(__xludf.DUMMYFUNCTION("""COMPUTED_VALUE"""),7754800.0)</f>
        <v>7754800</v>
      </c>
      <c r="G888" s="2">
        <f t="shared" si="1"/>
        <v>100</v>
      </c>
    </row>
    <row r="889" ht="15.75" customHeight="1">
      <c r="A889" s="1">
        <f>IFERROR(__xludf.DUMMYFUNCTION("""COMPUTED_VALUE"""),45166.66666666667)</f>
        <v>45166.66667</v>
      </c>
      <c r="B889" s="2">
        <f>IFERROR(__xludf.DUMMYFUNCTION("""COMPUTED_VALUE"""),3670.0)</f>
        <v>3670</v>
      </c>
      <c r="C889" s="2">
        <f>IFERROR(__xludf.DUMMYFUNCTION("""COMPUTED_VALUE"""),3700.0)</f>
        <v>3700</v>
      </c>
      <c r="D889" s="2">
        <f>IFERROR(__xludf.DUMMYFUNCTION("""COMPUTED_VALUE"""),3650.0)</f>
        <v>3650</v>
      </c>
      <c r="E889" s="2">
        <f>IFERROR(__xludf.DUMMYFUNCTION("""COMPUTED_VALUE"""),3690.0)</f>
        <v>3690</v>
      </c>
      <c r="F889" s="2">
        <f>IFERROR(__xludf.DUMMYFUNCTION("""COMPUTED_VALUE"""),3168800.0)</f>
        <v>3168800</v>
      </c>
      <c r="G889" s="2">
        <f t="shared" si="1"/>
        <v>50</v>
      </c>
    </row>
    <row r="890" ht="15.75" customHeight="1">
      <c r="A890" s="1">
        <f>IFERROR(__xludf.DUMMYFUNCTION("""COMPUTED_VALUE"""),45167.66666666667)</f>
        <v>45167.66667</v>
      </c>
      <c r="B890" s="2">
        <f>IFERROR(__xludf.DUMMYFUNCTION("""COMPUTED_VALUE"""),3690.0)</f>
        <v>3690</v>
      </c>
      <c r="C890" s="2">
        <f>IFERROR(__xludf.DUMMYFUNCTION("""COMPUTED_VALUE"""),4050.0)</f>
        <v>4050</v>
      </c>
      <c r="D890" s="2">
        <f>IFERROR(__xludf.DUMMYFUNCTION("""COMPUTED_VALUE"""),3690.0)</f>
        <v>3690</v>
      </c>
      <c r="E890" s="2">
        <f>IFERROR(__xludf.DUMMYFUNCTION("""COMPUTED_VALUE"""),4010.0)</f>
        <v>4010</v>
      </c>
      <c r="F890" s="2">
        <f>IFERROR(__xludf.DUMMYFUNCTION("""COMPUTED_VALUE"""),4.4074E7)</f>
        <v>44074000</v>
      </c>
      <c r="G890" s="2">
        <f t="shared" si="1"/>
        <v>360</v>
      </c>
    </row>
    <row r="891" ht="15.75" customHeight="1">
      <c r="A891" s="1">
        <f>IFERROR(__xludf.DUMMYFUNCTION("""COMPUTED_VALUE"""),45168.66666666667)</f>
        <v>45168.66667</v>
      </c>
      <c r="B891" s="2">
        <f>IFERROR(__xludf.DUMMYFUNCTION("""COMPUTED_VALUE"""),4050.0)</f>
        <v>4050</v>
      </c>
      <c r="C891" s="2">
        <f>IFERROR(__xludf.DUMMYFUNCTION("""COMPUTED_VALUE"""),4460.0)</f>
        <v>4460</v>
      </c>
      <c r="D891" s="2">
        <f>IFERROR(__xludf.DUMMYFUNCTION("""COMPUTED_VALUE"""),4010.0)</f>
        <v>4010</v>
      </c>
      <c r="E891" s="2">
        <f>IFERROR(__xludf.DUMMYFUNCTION("""COMPUTED_VALUE"""),4410.0)</f>
        <v>4410</v>
      </c>
      <c r="F891" s="2">
        <f>IFERROR(__xludf.DUMMYFUNCTION("""COMPUTED_VALUE"""),6.47696E7)</f>
        <v>64769600</v>
      </c>
      <c r="G891" s="2">
        <f t="shared" si="1"/>
        <v>450</v>
      </c>
    </row>
    <row r="892" ht="15.75" customHeight="1">
      <c r="A892" s="1">
        <f>IFERROR(__xludf.DUMMYFUNCTION("""COMPUTED_VALUE"""),45169.66666666667)</f>
        <v>45169.66667</v>
      </c>
      <c r="B892" s="2">
        <f>IFERROR(__xludf.DUMMYFUNCTION("""COMPUTED_VALUE"""),4450.0)</f>
        <v>4450</v>
      </c>
      <c r="C892" s="2">
        <f>IFERROR(__xludf.DUMMYFUNCTION("""COMPUTED_VALUE"""),4460.0)</f>
        <v>4460</v>
      </c>
      <c r="D892" s="2">
        <f>IFERROR(__xludf.DUMMYFUNCTION("""COMPUTED_VALUE"""),4270.0)</f>
        <v>4270</v>
      </c>
      <c r="E892" s="2">
        <f>IFERROR(__xludf.DUMMYFUNCTION("""COMPUTED_VALUE"""),4300.0)</f>
        <v>4300</v>
      </c>
      <c r="F892" s="2">
        <f>IFERROR(__xludf.DUMMYFUNCTION("""COMPUTED_VALUE"""),3.11689E7)</f>
        <v>31168900</v>
      </c>
      <c r="G892" s="2">
        <f t="shared" si="1"/>
        <v>190</v>
      </c>
    </row>
    <row r="893" ht="15.75" customHeight="1">
      <c r="A893" s="1">
        <f>IFERROR(__xludf.DUMMYFUNCTION("""COMPUTED_VALUE"""),45170.66666666667)</f>
        <v>45170.66667</v>
      </c>
      <c r="B893" s="2">
        <f>IFERROR(__xludf.DUMMYFUNCTION("""COMPUTED_VALUE"""),4350.0)</f>
        <v>4350</v>
      </c>
      <c r="C893" s="2">
        <f>IFERROR(__xludf.DUMMYFUNCTION("""COMPUTED_VALUE"""),4430.0)</f>
        <v>4430</v>
      </c>
      <c r="D893" s="2">
        <f>IFERROR(__xludf.DUMMYFUNCTION("""COMPUTED_VALUE"""),4270.0)</f>
        <v>4270</v>
      </c>
      <c r="E893" s="2">
        <f>IFERROR(__xludf.DUMMYFUNCTION("""COMPUTED_VALUE"""),4410.0)</f>
        <v>4410</v>
      </c>
      <c r="F893" s="2">
        <f>IFERROR(__xludf.DUMMYFUNCTION("""COMPUTED_VALUE"""),1.50657E7)</f>
        <v>15065700</v>
      </c>
      <c r="G893" s="2">
        <f t="shared" si="1"/>
        <v>160</v>
      </c>
    </row>
    <row r="894" ht="15.75" customHeight="1">
      <c r="A894" s="1">
        <f>IFERROR(__xludf.DUMMYFUNCTION("""COMPUTED_VALUE"""),45173.66666666667)</f>
        <v>45173.66667</v>
      </c>
      <c r="B894" s="2">
        <f>IFERROR(__xludf.DUMMYFUNCTION("""COMPUTED_VALUE"""),4410.0)</f>
        <v>4410</v>
      </c>
      <c r="C894" s="2">
        <f>IFERROR(__xludf.DUMMYFUNCTION("""COMPUTED_VALUE"""),4450.0)</f>
        <v>4450</v>
      </c>
      <c r="D894" s="2">
        <f>IFERROR(__xludf.DUMMYFUNCTION("""COMPUTED_VALUE"""),4290.0)</f>
        <v>4290</v>
      </c>
      <c r="E894" s="2">
        <f>IFERROR(__xludf.DUMMYFUNCTION("""COMPUTED_VALUE"""),4370.0)</f>
        <v>4370</v>
      </c>
      <c r="F894" s="2">
        <f>IFERROR(__xludf.DUMMYFUNCTION("""COMPUTED_VALUE"""),1.48616E7)</f>
        <v>14861600</v>
      </c>
      <c r="G894" s="2">
        <f t="shared" si="1"/>
        <v>160</v>
      </c>
    </row>
    <row r="895" ht="15.75" customHeight="1">
      <c r="A895" s="1">
        <f>IFERROR(__xludf.DUMMYFUNCTION("""COMPUTED_VALUE"""),45174.66666666667)</f>
        <v>45174.66667</v>
      </c>
      <c r="B895" s="2">
        <f>IFERROR(__xludf.DUMMYFUNCTION("""COMPUTED_VALUE"""),4380.0)</f>
        <v>4380</v>
      </c>
      <c r="C895" s="2">
        <f>IFERROR(__xludf.DUMMYFUNCTION("""COMPUTED_VALUE"""),4520.0)</f>
        <v>4520</v>
      </c>
      <c r="D895" s="2">
        <f>IFERROR(__xludf.DUMMYFUNCTION("""COMPUTED_VALUE"""),4370.0)</f>
        <v>4370</v>
      </c>
      <c r="E895" s="2">
        <f>IFERROR(__xludf.DUMMYFUNCTION("""COMPUTED_VALUE"""),4460.0)</f>
        <v>4460</v>
      </c>
      <c r="F895" s="2">
        <f>IFERROR(__xludf.DUMMYFUNCTION("""COMPUTED_VALUE"""),2.01589E7)</f>
        <v>20158900</v>
      </c>
      <c r="G895" s="2">
        <f t="shared" si="1"/>
        <v>150</v>
      </c>
    </row>
    <row r="896" ht="15.75" customHeight="1">
      <c r="A896" s="1">
        <f>IFERROR(__xludf.DUMMYFUNCTION("""COMPUTED_VALUE"""),45175.66666666667)</f>
        <v>45175.66667</v>
      </c>
      <c r="B896" s="2">
        <f>IFERROR(__xludf.DUMMYFUNCTION("""COMPUTED_VALUE"""),4460.0)</f>
        <v>4460</v>
      </c>
      <c r="C896" s="2">
        <f>IFERROR(__xludf.DUMMYFUNCTION("""COMPUTED_VALUE"""),4470.0)</f>
        <v>4470</v>
      </c>
      <c r="D896" s="2">
        <f>IFERROR(__xludf.DUMMYFUNCTION("""COMPUTED_VALUE"""),4360.0)</f>
        <v>4360</v>
      </c>
      <c r="E896" s="2">
        <f>IFERROR(__xludf.DUMMYFUNCTION("""COMPUTED_VALUE"""),4410.0)</f>
        <v>4410</v>
      </c>
      <c r="F896" s="2">
        <f>IFERROR(__xludf.DUMMYFUNCTION("""COMPUTED_VALUE"""),1.97618E7)</f>
        <v>19761800</v>
      </c>
      <c r="G896" s="2">
        <f t="shared" si="1"/>
        <v>110</v>
      </c>
    </row>
    <row r="897" ht="15.75" customHeight="1">
      <c r="A897" s="1">
        <f>IFERROR(__xludf.DUMMYFUNCTION("""COMPUTED_VALUE"""),45176.66666666667)</f>
        <v>45176.66667</v>
      </c>
      <c r="B897" s="2">
        <f>IFERROR(__xludf.DUMMYFUNCTION("""COMPUTED_VALUE"""),4460.0)</f>
        <v>4460</v>
      </c>
      <c r="C897" s="2">
        <f>IFERROR(__xludf.DUMMYFUNCTION("""COMPUTED_VALUE"""),4660.0)</f>
        <v>4660</v>
      </c>
      <c r="D897" s="2">
        <f>IFERROR(__xludf.DUMMYFUNCTION("""COMPUTED_VALUE"""),4380.0)</f>
        <v>4380</v>
      </c>
      <c r="E897" s="2">
        <f>IFERROR(__xludf.DUMMYFUNCTION("""COMPUTED_VALUE"""),4430.0)</f>
        <v>4430</v>
      </c>
      <c r="F897" s="2">
        <f>IFERROR(__xludf.DUMMYFUNCTION("""COMPUTED_VALUE"""),2.3043E7)</f>
        <v>23043000</v>
      </c>
      <c r="G897" s="2">
        <f t="shared" si="1"/>
        <v>280</v>
      </c>
    </row>
    <row r="898" ht="15.75" customHeight="1">
      <c r="A898" s="1">
        <f>IFERROR(__xludf.DUMMYFUNCTION("""COMPUTED_VALUE"""),45177.66666666667)</f>
        <v>45177.66667</v>
      </c>
      <c r="B898" s="2">
        <f>IFERROR(__xludf.DUMMYFUNCTION("""COMPUTED_VALUE"""),4480.0)</f>
        <v>4480</v>
      </c>
      <c r="C898" s="2">
        <f>IFERROR(__xludf.DUMMYFUNCTION("""COMPUTED_VALUE"""),4480.0)</f>
        <v>4480</v>
      </c>
      <c r="D898" s="2">
        <f>IFERROR(__xludf.DUMMYFUNCTION("""COMPUTED_VALUE"""),4330.0)</f>
        <v>4330</v>
      </c>
      <c r="E898" s="2">
        <f>IFERROR(__xludf.DUMMYFUNCTION("""COMPUTED_VALUE"""),4400.0)</f>
        <v>4400</v>
      </c>
      <c r="F898" s="2">
        <f>IFERROR(__xludf.DUMMYFUNCTION("""COMPUTED_VALUE"""),1.46149E7)</f>
        <v>14614900</v>
      </c>
      <c r="G898" s="2">
        <f t="shared" si="1"/>
        <v>150</v>
      </c>
    </row>
    <row r="899" ht="15.75" customHeight="1">
      <c r="A899" s="1">
        <f>IFERROR(__xludf.DUMMYFUNCTION("""COMPUTED_VALUE"""),45180.66666666667)</f>
        <v>45180.66667</v>
      </c>
      <c r="B899" s="2">
        <f>IFERROR(__xludf.DUMMYFUNCTION("""COMPUTED_VALUE"""),4400.0)</f>
        <v>4400</v>
      </c>
      <c r="C899" s="2">
        <f>IFERROR(__xludf.DUMMYFUNCTION("""COMPUTED_VALUE"""),4540.0)</f>
        <v>4540</v>
      </c>
      <c r="D899" s="2">
        <f>IFERROR(__xludf.DUMMYFUNCTION("""COMPUTED_VALUE"""),4370.0)</f>
        <v>4370</v>
      </c>
      <c r="E899" s="2">
        <f>IFERROR(__xludf.DUMMYFUNCTION("""COMPUTED_VALUE"""),4510.0)</f>
        <v>4510</v>
      </c>
      <c r="F899" s="2">
        <f>IFERROR(__xludf.DUMMYFUNCTION("""COMPUTED_VALUE"""),1.76308E7)</f>
        <v>17630800</v>
      </c>
      <c r="G899" s="2">
        <f t="shared" si="1"/>
        <v>170</v>
      </c>
    </row>
    <row r="900" ht="15.75" customHeight="1">
      <c r="A900" s="1">
        <f>IFERROR(__xludf.DUMMYFUNCTION("""COMPUTED_VALUE"""),45181.66666666667)</f>
        <v>45181.66667</v>
      </c>
      <c r="B900" s="2">
        <f>IFERROR(__xludf.DUMMYFUNCTION("""COMPUTED_VALUE"""),4510.0)</f>
        <v>4510</v>
      </c>
      <c r="C900" s="2">
        <f>IFERROR(__xludf.DUMMYFUNCTION("""COMPUTED_VALUE"""),4510.0)</f>
        <v>4510</v>
      </c>
      <c r="D900" s="2">
        <f>IFERROR(__xludf.DUMMYFUNCTION("""COMPUTED_VALUE"""),4400.0)</f>
        <v>4400</v>
      </c>
      <c r="E900" s="2">
        <f>IFERROR(__xludf.DUMMYFUNCTION("""COMPUTED_VALUE"""),4480.0)</f>
        <v>4480</v>
      </c>
      <c r="F900" s="2">
        <f>IFERROR(__xludf.DUMMYFUNCTION("""COMPUTED_VALUE"""),3934100.0)</f>
        <v>3934100</v>
      </c>
      <c r="G900" s="2">
        <f t="shared" si="1"/>
        <v>110</v>
      </c>
    </row>
    <row r="901" ht="15.75" customHeight="1">
      <c r="A901" s="1">
        <f>IFERROR(__xludf.DUMMYFUNCTION("""COMPUTED_VALUE"""),45182.66666666667)</f>
        <v>45182.66667</v>
      </c>
      <c r="B901" s="2">
        <f>IFERROR(__xludf.DUMMYFUNCTION("""COMPUTED_VALUE"""),4480.0)</f>
        <v>4480</v>
      </c>
      <c r="C901" s="2">
        <f>IFERROR(__xludf.DUMMYFUNCTION("""COMPUTED_VALUE"""),4500.0)</f>
        <v>4500</v>
      </c>
      <c r="D901" s="2">
        <f>IFERROR(__xludf.DUMMYFUNCTION("""COMPUTED_VALUE"""),4410.0)</f>
        <v>4410</v>
      </c>
      <c r="E901" s="2">
        <f>IFERROR(__xludf.DUMMYFUNCTION("""COMPUTED_VALUE"""),4500.0)</f>
        <v>4500</v>
      </c>
      <c r="F901" s="2">
        <f>IFERROR(__xludf.DUMMYFUNCTION("""COMPUTED_VALUE"""),8173900.0)</f>
        <v>8173900</v>
      </c>
      <c r="G901" s="2">
        <f t="shared" si="1"/>
        <v>90</v>
      </c>
    </row>
    <row r="902" ht="15.75" customHeight="1">
      <c r="A902" s="1">
        <f>IFERROR(__xludf.DUMMYFUNCTION("""COMPUTED_VALUE"""),45183.66666666667)</f>
        <v>45183.66667</v>
      </c>
      <c r="B902" s="2">
        <f>IFERROR(__xludf.DUMMYFUNCTION("""COMPUTED_VALUE"""),4500.0)</f>
        <v>4500</v>
      </c>
      <c r="C902" s="2">
        <f>IFERROR(__xludf.DUMMYFUNCTION("""COMPUTED_VALUE"""),4500.0)</f>
        <v>4500</v>
      </c>
      <c r="D902" s="2">
        <f>IFERROR(__xludf.DUMMYFUNCTION("""COMPUTED_VALUE"""),4390.0)</f>
        <v>4390</v>
      </c>
      <c r="E902" s="2">
        <f>IFERROR(__xludf.DUMMYFUNCTION("""COMPUTED_VALUE"""),4450.0)</f>
        <v>4450</v>
      </c>
      <c r="F902" s="2">
        <f>IFERROR(__xludf.DUMMYFUNCTION("""COMPUTED_VALUE"""),9283800.0)</f>
        <v>9283800</v>
      </c>
      <c r="G902" s="2">
        <f t="shared" si="1"/>
        <v>110</v>
      </c>
    </row>
    <row r="903" ht="15.75" customHeight="1">
      <c r="A903" s="1">
        <f>IFERROR(__xludf.DUMMYFUNCTION("""COMPUTED_VALUE"""),45184.66666666667)</f>
        <v>45184.66667</v>
      </c>
      <c r="B903" s="2">
        <f>IFERROR(__xludf.DUMMYFUNCTION("""COMPUTED_VALUE"""),4500.0)</f>
        <v>4500</v>
      </c>
      <c r="C903" s="2">
        <f>IFERROR(__xludf.DUMMYFUNCTION("""COMPUTED_VALUE"""),4500.0)</f>
        <v>4500</v>
      </c>
      <c r="D903" s="2">
        <f>IFERROR(__xludf.DUMMYFUNCTION("""COMPUTED_VALUE"""),4340.0)</f>
        <v>4340</v>
      </c>
      <c r="E903" s="2">
        <f>IFERROR(__xludf.DUMMYFUNCTION("""COMPUTED_VALUE"""),4440.0)</f>
        <v>4440</v>
      </c>
      <c r="F903" s="2">
        <f>IFERROR(__xludf.DUMMYFUNCTION("""COMPUTED_VALUE"""),1.15978E7)</f>
        <v>11597800</v>
      </c>
      <c r="G903" s="2">
        <f t="shared" si="1"/>
        <v>160</v>
      </c>
    </row>
    <row r="904" ht="15.75" customHeight="1">
      <c r="A904" s="1">
        <f>IFERROR(__xludf.DUMMYFUNCTION("""COMPUTED_VALUE"""),45187.66666666667)</f>
        <v>45187.66667</v>
      </c>
      <c r="B904" s="2">
        <f>IFERROR(__xludf.DUMMYFUNCTION("""COMPUTED_VALUE"""),4430.0)</f>
        <v>4430</v>
      </c>
      <c r="C904" s="2">
        <f>IFERROR(__xludf.DUMMYFUNCTION("""COMPUTED_VALUE"""),4450.0)</f>
        <v>4450</v>
      </c>
      <c r="D904" s="2">
        <f>IFERROR(__xludf.DUMMYFUNCTION("""COMPUTED_VALUE"""),4380.0)</f>
        <v>4380</v>
      </c>
      <c r="E904" s="2">
        <f>IFERROR(__xludf.DUMMYFUNCTION("""COMPUTED_VALUE"""),4430.0)</f>
        <v>4430</v>
      </c>
      <c r="F904" s="2">
        <f>IFERROR(__xludf.DUMMYFUNCTION("""COMPUTED_VALUE"""),5425800.0)</f>
        <v>5425800</v>
      </c>
      <c r="G904" s="2">
        <f t="shared" si="1"/>
        <v>70</v>
      </c>
    </row>
    <row r="905" ht="15.75" customHeight="1">
      <c r="A905" s="1">
        <f>IFERROR(__xludf.DUMMYFUNCTION("""COMPUTED_VALUE"""),45188.66666666667)</f>
        <v>45188.66667</v>
      </c>
      <c r="B905" s="2">
        <f>IFERROR(__xludf.DUMMYFUNCTION("""COMPUTED_VALUE"""),4420.0)</f>
        <v>4420</v>
      </c>
      <c r="C905" s="2">
        <f>IFERROR(__xludf.DUMMYFUNCTION("""COMPUTED_VALUE"""),4470.0)</f>
        <v>4470</v>
      </c>
      <c r="D905" s="2">
        <f>IFERROR(__xludf.DUMMYFUNCTION("""COMPUTED_VALUE"""),4390.0)</f>
        <v>4390</v>
      </c>
      <c r="E905" s="2">
        <f>IFERROR(__xludf.DUMMYFUNCTION("""COMPUTED_VALUE"""),4440.0)</f>
        <v>4440</v>
      </c>
      <c r="F905" s="2">
        <f>IFERROR(__xludf.DUMMYFUNCTION("""COMPUTED_VALUE"""),6683800.0)</f>
        <v>6683800</v>
      </c>
      <c r="G905" s="2">
        <f t="shared" si="1"/>
        <v>80</v>
      </c>
    </row>
    <row r="906" ht="15.75" customHeight="1">
      <c r="A906" s="1">
        <f>IFERROR(__xludf.DUMMYFUNCTION("""COMPUTED_VALUE"""),45189.66666666667)</f>
        <v>45189.66667</v>
      </c>
      <c r="B906" s="2">
        <f>IFERROR(__xludf.DUMMYFUNCTION("""COMPUTED_VALUE"""),4430.0)</f>
        <v>4430</v>
      </c>
      <c r="C906" s="2">
        <f>IFERROR(__xludf.DUMMYFUNCTION("""COMPUTED_VALUE"""),4450.0)</f>
        <v>4450</v>
      </c>
      <c r="D906" s="2">
        <f>IFERROR(__xludf.DUMMYFUNCTION("""COMPUTED_VALUE"""),4360.0)</f>
        <v>4360</v>
      </c>
      <c r="E906" s="2">
        <f>IFERROR(__xludf.DUMMYFUNCTION("""COMPUTED_VALUE"""),4400.0)</f>
        <v>4400</v>
      </c>
      <c r="F906" s="2">
        <f>IFERROR(__xludf.DUMMYFUNCTION("""COMPUTED_VALUE"""),3791500.0)</f>
        <v>3791500</v>
      </c>
      <c r="G906" s="2">
        <f t="shared" si="1"/>
        <v>90</v>
      </c>
    </row>
    <row r="907" ht="15.75" customHeight="1">
      <c r="A907" s="1">
        <f>IFERROR(__xludf.DUMMYFUNCTION("""COMPUTED_VALUE"""),45190.66666666667)</f>
        <v>45190.66667</v>
      </c>
      <c r="B907" s="2">
        <f>IFERROR(__xludf.DUMMYFUNCTION("""COMPUTED_VALUE"""),4400.0)</f>
        <v>4400</v>
      </c>
      <c r="C907" s="2">
        <f>IFERROR(__xludf.DUMMYFUNCTION("""COMPUTED_VALUE"""),4430.0)</f>
        <v>4430</v>
      </c>
      <c r="D907" s="2">
        <f>IFERROR(__xludf.DUMMYFUNCTION("""COMPUTED_VALUE"""),4360.0)</f>
        <v>4360</v>
      </c>
      <c r="E907" s="2">
        <f>IFERROR(__xludf.DUMMYFUNCTION("""COMPUTED_VALUE"""),4400.0)</f>
        <v>4400</v>
      </c>
      <c r="F907" s="2">
        <f>IFERROR(__xludf.DUMMYFUNCTION("""COMPUTED_VALUE"""),4908800.0)</f>
        <v>4908800</v>
      </c>
      <c r="G907" s="2">
        <f t="shared" si="1"/>
        <v>70</v>
      </c>
    </row>
    <row r="908" ht="15.75" customHeight="1">
      <c r="A908" s="1">
        <f>IFERROR(__xludf.DUMMYFUNCTION("""COMPUTED_VALUE"""),45191.66666666667)</f>
        <v>45191.66667</v>
      </c>
      <c r="B908" s="2">
        <f>IFERROR(__xludf.DUMMYFUNCTION("""COMPUTED_VALUE"""),4410.0)</f>
        <v>4410</v>
      </c>
      <c r="C908" s="2">
        <f>IFERROR(__xludf.DUMMYFUNCTION("""COMPUTED_VALUE"""),4410.0)</f>
        <v>4410</v>
      </c>
      <c r="D908" s="2">
        <f>IFERROR(__xludf.DUMMYFUNCTION("""COMPUTED_VALUE"""),4310.0)</f>
        <v>4310</v>
      </c>
      <c r="E908" s="2">
        <f>IFERROR(__xludf.DUMMYFUNCTION("""COMPUTED_VALUE"""),4350.0)</f>
        <v>4350</v>
      </c>
      <c r="F908" s="2">
        <f>IFERROR(__xludf.DUMMYFUNCTION("""COMPUTED_VALUE"""),6610000.0)</f>
        <v>6610000</v>
      </c>
      <c r="G908" s="2">
        <f t="shared" si="1"/>
        <v>100</v>
      </c>
    </row>
    <row r="909" ht="15.75" customHeight="1">
      <c r="A909" s="1">
        <f>IFERROR(__xludf.DUMMYFUNCTION("""COMPUTED_VALUE"""),45194.66666666667)</f>
        <v>45194.66667</v>
      </c>
      <c r="B909" s="2">
        <f>IFERROR(__xludf.DUMMYFUNCTION("""COMPUTED_VALUE"""),4360.0)</f>
        <v>4360</v>
      </c>
      <c r="C909" s="2">
        <f>IFERROR(__xludf.DUMMYFUNCTION("""COMPUTED_VALUE"""),4390.0)</f>
        <v>4390</v>
      </c>
      <c r="D909" s="2">
        <f>IFERROR(__xludf.DUMMYFUNCTION("""COMPUTED_VALUE"""),4310.0)</f>
        <v>4310</v>
      </c>
      <c r="E909" s="2">
        <f>IFERROR(__xludf.DUMMYFUNCTION("""COMPUTED_VALUE"""),4320.0)</f>
        <v>4320</v>
      </c>
      <c r="F909" s="2">
        <f>IFERROR(__xludf.DUMMYFUNCTION("""COMPUTED_VALUE"""),4055800.0)</f>
        <v>4055800</v>
      </c>
      <c r="G909" s="2">
        <f t="shared" si="1"/>
        <v>80</v>
      </c>
    </row>
    <row r="910" ht="15.75" customHeight="1">
      <c r="A910" s="1">
        <f>IFERROR(__xludf.DUMMYFUNCTION("""COMPUTED_VALUE"""),45195.66666666667)</f>
        <v>45195.66667</v>
      </c>
      <c r="B910" s="2">
        <f>IFERROR(__xludf.DUMMYFUNCTION("""COMPUTED_VALUE"""),4350.0)</f>
        <v>4350</v>
      </c>
      <c r="C910" s="2">
        <f>IFERROR(__xludf.DUMMYFUNCTION("""COMPUTED_VALUE"""),4370.0)</f>
        <v>4370</v>
      </c>
      <c r="D910" s="2">
        <f>IFERROR(__xludf.DUMMYFUNCTION("""COMPUTED_VALUE"""),4320.0)</f>
        <v>4320</v>
      </c>
      <c r="E910" s="2">
        <f>IFERROR(__xludf.DUMMYFUNCTION("""COMPUTED_VALUE"""),4340.0)</f>
        <v>4340</v>
      </c>
      <c r="F910" s="2">
        <f>IFERROR(__xludf.DUMMYFUNCTION("""COMPUTED_VALUE"""),6576600.0)</f>
        <v>6576600</v>
      </c>
      <c r="G910" s="2">
        <f t="shared" si="1"/>
        <v>50</v>
      </c>
    </row>
    <row r="911" ht="15.75" customHeight="1">
      <c r="A911" s="1">
        <f>IFERROR(__xludf.DUMMYFUNCTION("""COMPUTED_VALUE"""),45196.66666666667)</f>
        <v>45196.66667</v>
      </c>
      <c r="B911" s="2">
        <f>IFERROR(__xludf.DUMMYFUNCTION("""COMPUTED_VALUE"""),4370.0)</f>
        <v>4370</v>
      </c>
      <c r="C911" s="2">
        <f>IFERROR(__xludf.DUMMYFUNCTION("""COMPUTED_VALUE"""),4440.0)</f>
        <v>4440</v>
      </c>
      <c r="D911" s="2">
        <f>IFERROR(__xludf.DUMMYFUNCTION("""COMPUTED_VALUE"""),4340.0)</f>
        <v>4340</v>
      </c>
      <c r="E911" s="2">
        <f>IFERROR(__xludf.DUMMYFUNCTION("""COMPUTED_VALUE"""),4350.0)</f>
        <v>4350</v>
      </c>
      <c r="F911" s="2">
        <f>IFERROR(__xludf.DUMMYFUNCTION("""COMPUTED_VALUE"""),6250200.0)</f>
        <v>6250200</v>
      </c>
      <c r="G911" s="2">
        <f t="shared" si="1"/>
        <v>100</v>
      </c>
    </row>
    <row r="912" ht="15.75" customHeight="1">
      <c r="A912" s="1">
        <f>IFERROR(__xludf.DUMMYFUNCTION("""COMPUTED_VALUE"""),45198.66666666667)</f>
        <v>45198.66667</v>
      </c>
      <c r="B912" s="2">
        <f>IFERROR(__xludf.DUMMYFUNCTION("""COMPUTED_VALUE"""),4400.0)</f>
        <v>4400</v>
      </c>
      <c r="C912" s="2">
        <f>IFERROR(__xludf.DUMMYFUNCTION("""COMPUTED_VALUE"""),4400.0)</f>
        <v>4400</v>
      </c>
      <c r="D912" s="2">
        <f>IFERROR(__xludf.DUMMYFUNCTION("""COMPUTED_VALUE"""),4200.0)</f>
        <v>4200</v>
      </c>
      <c r="E912" s="2">
        <f>IFERROR(__xludf.DUMMYFUNCTION("""COMPUTED_VALUE"""),4290.0)</f>
        <v>4290</v>
      </c>
      <c r="F912" s="2">
        <f>IFERROR(__xludf.DUMMYFUNCTION("""COMPUTED_VALUE"""),7921300.0)</f>
        <v>7921300</v>
      </c>
      <c r="G912" s="2">
        <f t="shared" si="1"/>
        <v>200</v>
      </c>
    </row>
    <row r="913" ht="15.75" customHeight="1">
      <c r="A913" s="1">
        <f>IFERROR(__xludf.DUMMYFUNCTION("""COMPUTED_VALUE"""),45201.66666666667)</f>
        <v>45201.66667</v>
      </c>
      <c r="B913" s="2">
        <f>IFERROR(__xludf.DUMMYFUNCTION("""COMPUTED_VALUE"""),4370.0)</f>
        <v>4370</v>
      </c>
      <c r="C913" s="2">
        <f>IFERROR(__xludf.DUMMYFUNCTION("""COMPUTED_VALUE"""),4370.0)</f>
        <v>4370</v>
      </c>
      <c r="D913" s="2">
        <f>IFERROR(__xludf.DUMMYFUNCTION("""COMPUTED_VALUE"""),4260.0)</f>
        <v>4260</v>
      </c>
      <c r="E913" s="2">
        <f>IFERROR(__xludf.DUMMYFUNCTION("""COMPUTED_VALUE"""),4280.0)</f>
        <v>4280</v>
      </c>
      <c r="F913" s="2">
        <f>IFERROR(__xludf.DUMMYFUNCTION("""COMPUTED_VALUE"""),2489100.0)</f>
        <v>2489100</v>
      </c>
      <c r="G913" s="2">
        <f t="shared" si="1"/>
        <v>110</v>
      </c>
    </row>
    <row r="914" ht="15.75" customHeight="1">
      <c r="A914" s="1">
        <f>IFERROR(__xludf.DUMMYFUNCTION("""COMPUTED_VALUE"""),45202.66666666667)</f>
        <v>45202.66667</v>
      </c>
      <c r="B914" s="2">
        <f>IFERROR(__xludf.DUMMYFUNCTION("""COMPUTED_VALUE"""),4280.0)</f>
        <v>4280</v>
      </c>
      <c r="C914" s="2">
        <f>IFERROR(__xludf.DUMMYFUNCTION("""COMPUTED_VALUE"""),4280.0)</f>
        <v>4280</v>
      </c>
      <c r="D914" s="2">
        <f>IFERROR(__xludf.DUMMYFUNCTION("""COMPUTED_VALUE"""),4050.0)</f>
        <v>4050</v>
      </c>
      <c r="E914" s="2">
        <f>IFERROR(__xludf.DUMMYFUNCTION("""COMPUTED_VALUE"""),4100.0)</f>
        <v>4100</v>
      </c>
      <c r="F914" s="2">
        <f>IFERROR(__xludf.DUMMYFUNCTION("""COMPUTED_VALUE"""),8245400.0)</f>
        <v>8245400</v>
      </c>
      <c r="G914" s="2">
        <f t="shared" si="1"/>
        <v>230</v>
      </c>
    </row>
    <row r="915" ht="15.75" customHeight="1">
      <c r="A915" s="1">
        <f>IFERROR(__xludf.DUMMYFUNCTION("""COMPUTED_VALUE"""),45203.66666666667)</f>
        <v>45203.66667</v>
      </c>
      <c r="B915" s="2">
        <f>IFERROR(__xludf.DUMMYFUNCTION("""COMPUTED_VALUE"""),4100.0)</f>
        <v>4100</v>
      </c>
      <c r="C915" s="2">
        <f>IFERROR(__xludf.DUMMYFUNCTION("""COMPUTED_VALUE"""),4100.0)</f>
        <v>4100</v>
      </c>
      <c r="D915" s="2">
        <f>IFERROR(__xludf.DUMMYFUNCTION("""COMPUTED_VALUE"""),3980.0)</f>
        <v>3980</v>
      </c>
      <c r="E915" s="2">
        <f>IFERROR(__xludf.DUMMYFUNCTION("""COMPUTED_VALUE"""),4090.0)</f>
        <v>4090</v>
      </c>
      <c r="F915" s="2">
        <f>IFERROR(__xludf.DUMMYFUNCTION("""COMPUTED_VALUE"""),1.14008E7)</f>
        <v>11400800</v>
      </c>
      <c r="G915" s="2">
        <f t="shared" si="1"/>
        <v>120</v>
      </c>
    </row>
    <row r="916" ht="15.75" customHeight="1">
      <c r="A916" s="1">
        <f>IFERROR(__xludf.DUMMYFUNCTION("""COMPUTED_VALUE"""),45204.66666666667)</f>
        <v>45204.66667</v>
      </c>
      <c r="B916" s="2">
        <f>IFERROR(__xludf.DUMMYFUNCTION("""COMPUTED_VALUE"""),4080.0)</f>
        <v>4080</v>
      </c>
      <c r="C916" s="2">
        <f>IFERROR(__xludf.DUMMYFUNCTION("""COMPUTED_VALUE"""),4230.0)</f>
        <v>4230</v>
      </c>
      <c r="D916" s="2">
        <f>IFERROR(__xludf.DUMMYFUNCTION("""COMPUTED_VALUE"""),4070.0)</f>
        <v>4070</v>
      </c>
      <c r="E916" s="2">
        <f>IFERROR(__xludf.DUMMYFUNCTION("""COMPUTED_VALUE"""),4220.0)</f>
        <v>4220</v>
      </c>
      <c r="F916" s="2">
        <f>IFERROR(__xludf.DUMMYFUNCTION("""COMPUTED_VALUE"""),5936300.0)</f>
        <v>5936300</v>
      </c>
      <c r="G916" s="2">
        <f t="shared" si="1"/>
        <v>160</v>
      </c>
    </row>
    <row r="917" ht="15.75" customHeight="1">
      <c r="A917" s="1">
        <f>IFERROR(__xludf.DUMMYFUNCTION("""COMPUTED_VALUE"""),45205.66666666667)</f>
        <v>45205.66667</v>
      </c>
      <c r="B917" s="2">
        <f>IFERROR(__xludf.DUMMYFUNCTION("""COMPUTED_VALUE"""),4270.0)</f>
        <v>4270</v>
      </c>
      <c r="C917" s="2">
        <f>IFERROR(__xludf.DUMMYFUNCTION("""COMPUTED_VALUE"""),4270.0)</f>
        <v>4270</v>
      </c>
      <c r="D917" s="2">
        <f>IFERROR(__xludf.DUMMYFUNCTION("""COMPUTED_VALUE"""),4120.0)</f>
        <v>4120</v>
      </c>
      <c r="E917" s="2">
        <f>IFERROR(__xludf.DUMMYFUNCTION("""COMPUTED_VALUE"""),4140.0)</f>
        <v>4140</v>
      </c>
      <c r="F917" s="2">
        <f>IFERROR(__xludf.DUMMYFUNCTION("""COMPUTED_VALUE"""),4140300.0)</f>
        <v>4140300</v>
      </c>
      <c r="G917" s="2">
        <f t="shared" si="1"/>
        <v>150</v>
      </c>
    </row>
    <row r="918" ht="15.75" customHeight="1">
      <c r="A918" s="1">
        <f>IFERROR(__xludf.DUMMYFUNCTION("""COMPUTED_VALUE"""),45208.66666666667)</f>
        <v>45208.66667</v>
      </c>
      <c r="B918" s="2">
        <f>IFERROR(__xludf.DUMMYFUNCTION("""COMPUTED_VALUE"""),4140.0)</f>
        <v>4140</v>
      </c>
      <c r="C918" s="2">
        <f>IFERROR(__xludf.DUMMYFUNCTION("""COMPUTED_VALUE"""),4320.0)</f>
        <v>4320</v>
      </c>
      <c r="D918" s="2">
        <f>IFERROR(__xludf.DUMMYFUNCTION("""COMPUTED_VALUE"""),4130.0)</f>
        <v>4130</v>
      </c>
      <c r="E918" s="2">
        <f>IFERROR(__xludf.DUMMYFUNCTION("""COMPUTED_VALUE"""),4310.0)</f>
        <v>4310</v>
      </c>
      <c r="F918" s="2">
        <f>IFERROR(__xludf.DUMMYFUNCTION("""COMPUTED_VALUE"""),8048300.0)</f>
        <v>8048300</v>
      </c>
      <c r="G918" s="2">
        <f t="shared" si="1"/>
        <v>190</v>
      </c>
    </row>
    <row r="919" ht="15.75" customHeight="1">
      <c r="A919" s="1">
        <f>IFERROR(__xludf.DUMMYFUNCTION("""COMPUTED_VALUE"""),45209.66666666667)</f>
        <v>45209.66667</v>
      </c>
      <c r="B919" s="2">
        <f>IFERROR(__xludf.DUMMYFUNCTION("""COMPUTED_VALUE"""),4310.0)</f>
        <v>4310</v>
      </c>
      <c r="C919" s="2">
        <f>IFERROR(__xludf.DUMMYFUNCTION("""COMPUTED_VALUE"""),4430.0)</f>
        <v>4430</v>
      </c>
      <c r="D919" s="2">
        <f>IFERROR(__xludf.DUMMYFUNCTION("""COMPUTED_VALUE"""),4310.0)</f>
        <v>4310</v>
      </c>
      <c r="E919" s="2">
        <f>IFERROR(__xludf.DUMMYFUNCTION("""COMPUTED_VALUE"""),4400.0)</f>
        <v>4400</v>
      </c>
      <c r="F919" s="2">
        <f>IFERROR(__xludf.DUMMYFUNCTION("""COMPUTED_VALUE"""),1.16803E7)</f>
        <v>11680300</v>
      </c>
      <c r="G919" s="2">
        <f t="shared" si="1"/>
        <v>120</v>
      </c>
    </row>
    <row r="920" ht="15.75" customHeight="1">
      <c r="A920" s="1">
        <f>IFERROR(__xludf.DUMMYFUNCTION("""COMPUTED_VALUE"""),45210.66666666667)</f>
        <v>45210.66667</v>
      </c>
      <c r="B920" s="2">
        <f>IFERROR(__xludf.DUMMYFUNCTION("""COMPUTED_VALUE"""),4400.0)</f>
        <v>4400</v>
      </c>
      <c r="C920" s="2">
        <f>IFERROR(__xludf.DUMMYFUNCTION("""COMPUTED_VALUE"""),4540.0)</f>
        <v>4540</v>
      </c>
      <c r="D920" s="2">
        <f>IFERROR(__xludf.DUMMYFUNCTION("""COMPUTED_VALUE"""),4370.0)</f>
        <v>4370</v>
      </c>
      <c r="E920" s="2">
        <f>IFERROR(__xludf.DUMMYFUNCTION("""COMPUTED_VALUE"""),4420.0)</f>
        <v>4420</v>
      </c>
      <c r="F920" s="2">
        <f>IFERROR(__xludf.DUMMYFUNCTION("""COMPUTED_VALUE"""),1.05156E7)</f>
        <v>10515600</v>
      </c>
      <c r="G920" s="2">
        <f t="shared" si="1"/>
        <v>170</v>
      </c>
    </row>
    <row r="921" ht="15.75" customHeight="1">
      <c r="A921" s="1">
        <f>IFERROR(__xludf.DUMMYFUNCTION("""COMPUTED_VALUE"""),45211.66666666667)</f>
        <v>45211.66667</v>
      </c>
      <c r="B921" s="2">
        <f>IFERROR(__xludf.DUMMYFUNCTION("""COMPUTED_VALUE"""),4420.0)</f>
        <v>4420</v>
      </c>
      <c r="C921" s="2">
        <f>IFERROR(__xludf.DUMMYFUNCTION("""COMPUTED_VALUE"""),4570.0)</f>
        <v>4570</v>
      </c>
      <c r="D921" s="2">
        <f>IFERROR(__xludf.DUMMYFUNCTION("""COMPUTED_VALUE"""),4400.0)</f>
        <v>4400</v>
      </c>
      <c r="E921" s="2">
        <f>IFERROR(__xludf.DUMMYFUNCTION("""COMPUTED_VALUE"""),4540.0)</f>
        <v>4540</v>
      </c>
      <c r="F921" s="2">
        <f>IFERROR(__xludf.DUMMYFUNCTION("""COMPUTED_VALUE"""),9658700.0)</f>
        <v>9658700</v>
      </c>
      <c r="G921" s="2">
        <f t="shared" si="1"/>
        <v>170</v>
      </c>
    </row>
    <row r="922" ht="15.75" customHeight="1">
      <c r="A922" s="1">
        <f>IFERROR(__xludf.DUMMYFUNCTION("""COMPUTED_VALUE"""),45212.66666666667)</f>
        <v>45212.66667</v>
      </c>
      <c r="B922" s="2">
        <f>IFERROR(__xludf.DUMMYFUNCTION("""COMPUTED_VALUE"""),4590.0)</f>
        <v>4590</v>
      </c>
      <c r="C922" s="2">
        <f>IFERROR(__xludf.DUMMYFUNCTION("""COMPUTED_VALUE"""),4590.0)</f>
        <v>4590</v>
      </c>
      <c r="D922" s="2">
        <f>IFERROR(__xludf.DUMMYFUNCTION("""COMPUTED_VALUE"""),4520.0)</f>
        <v>4520</v>
      </c>
      <c r="E922" s="2">
        <f>IFERROR(__xludf.DUMMYFUNCTION("""COMPUTED_VALUE"""),4560.0)</f>
        <v>4560</v>
      </c>
      <c r="F922" s="2">
        <f>IFERROR(__xludf.DUMMYFUNCTION("""COMPUTED_VALUE"""),4688500.0)</f>
        <v>4688500</v>
      </c>
      <c r="G922" s="2">
        <f t="shared" si="1"/>
        <v>70</v>
      </c>
    </row>
    <row r="923" ht="15.75" customHeight="1">
      <c r="A923" s="1">
        <f>IFERROR(__xludf.DUMMYFUNCTION("""COMPUTED_VALUE"""),45215.66666666667)</f>
        <v>45215.66667</v>
      </c>
      <c r="B923" s="2">
        <f>IFERROR(__xludf.DUMMYFUNCTION("""COMPUTED_VALUE"""),4570.0)</f>
        <v>4570</v>
      </c>
      <c r="C923" s="2">
        <f>IFERROR(__xludf.DUMMYFUNCTION("""COMPUTED_VALUE"""),4600.0)</f>
        <v>4600</v>
      </c>
      <c r="D923" s="2">
        <f>IFERROR(__xludf.DUMMYFUNCTION("""COMPUTED_VALUE"""),4450.0)</f>
        <v>4450</v>
      </c>
      <c r="E923" s="2">
        <f>IFERROR(__xludf.DUMMYFUNCTION("""COMPUTED_VALUE"""),4500.0)</f>
        <v>4500</v>
      </c>
      <c r="F923" s="2">
        <f>IFERROR(__xludf.DUMMYFUNCTION("""COMPUTED_VALUE"""),9533700.0)</f>
        <v>9533700</v>
      </c>
      <c r="G923" s="2">
        <f t="shared" si="1"/>
        <v>150</v>
      </c>
    </row>
    <row r="924" ht="15.75" customHeight="1">
      <c r="A924" s="1">
        <f>IFERROR(__xludf.DUMMYFUNCTION("""COMPUTED_VALUE"""),45216.66666666667)</f>
        <v>45216.66667</v>
      </c>
      <c r="B924" s="2">
        <f>IFERROR(__xludf.DUMMYFUNCTION("""COMPUTED_VALUE"""),4500.0)</f>
        <v>4500</v>
      </c>
      <c r="C924" s="2">
        <f>IFERROR(__xludf.DUMMYFUNCTION("""COMPUTED_VALUE"""),4790.0)</f>
        <v>4790</v>
      </c>
      <c r="D924" s="2">
        <f>IFERROR(__xludf.DUMMYFUNCTION("""COMPUTED_VALUE"""),4500.0)</f>
        <v>4500</v>
      </c>
      <c r="E924" s="2">
        <f>IFERROR(__xludf.DUMMYFUNCTION("""COMPUTED_VALUE"""),4730.0)</f>
        <v>4730</v>
      </c>
      <c r="F924" s="2">
        <f>IFERROR(__xludf.DUMMYFUNCTION("""COMPUTED_VALUE"""),1.36608E7)</f>
        <v>13660800</v>
      </c>
      <c r="G924" s="2">
        <f t="shared" si="1"/>
        <v>290</v>
      </c>
    </row>
    <row r="925" ht="15.75" customHeight="1">
      <c r="A925" s="1">
        <f>IFERROR(__xludf.DUMMYFUNCTION("""COMPUTED_VALUE"""),45217.66666666667)</f>
        <v>45217.66667</v>
      </c>
      <c r="B925" s="2">
        <f>IFERROR(__xludf.DUMMYFUNCTION("""COMPUTED_VALUE"""),4730.0)</f>
        <v>4730</v>
      </c>
      <c r="C925" s="2">
        <f>IFERROR(__xludf.DUMMYFUNCTION("""COMPUTED_VALUE"""),4800.0)</f>
        <v>4800</v>
      </c>
      <c r="D925" s="2">
        <f>IFERROR(__xludf.DUMMYFUNCTION("""COMPUTED_VALUE"""),4450.0)</f>
        <v>4450</v>
      </c>
      <c r="E925" s="2">
        <f>IFERROR(__xludf.DUMMYFUNCTION("""COMPUTED_VALUE"""),4600.0)</f>
        <v>4600</v>
      </c>
      <c r="F925" s="2">
        <f>IFERROR(__xludf.DUMMYFUNCTION("""COMPUTED_VALUE"""),1.4084E7)</f>
        <v>14084000</v>
      </c>
      <c r="G925" s="2">
        <f t="shared" si="1"/>
        <v>350</v>
      </c>
    </row>
    <row r="926" ht="15.75" customHeight="1">
      <c r="A926" s="1">
        <f>IFERROR(__xludf.DUMMYFUNCTION("""COMPUTED_VALUE"""),45218.66666666667)</f>
        <v>45218.66667</v>
      </c>
      <c r="B926" s="2">
        <f>IFERROR(__xludf.DUMMYFUNCTION("""COMPUTED_VALUE"""),4600.0)</f>
        <v>4600</v>
      </c>
      <c r="C926" s="2">
        <f>IFERROR(__xludf.DUMMYFUNCTION("""COMPUTED_VALUE"""),4600.0)</f>
        <v>4600</v>
      </c>
      <c r="D926" s="2">
        <f>IFERROR(__xludf.DUMMYFUNCTION("""COMPUTED_VALUE"""),4380.0)</f>
        <v>4380</v>
      </c>
      <c r="E926" s="2">
        <f>IFERROR(__xludf.DUMMYFUNCTION("""COMPUTED_VALUE"""),4400.0)</f>
        <v>4400</v>
      </c>
      <c r="F926" s="2">
        <f>IFERROR(__xludf.DUMMYFUNCTION("""COMPUTED_VALUE"""),4826600.0)</f>
        <v>4826600</v>
      </c>
      <c r="G926" s="2">
        <f t="shared" si="1"/>
        <v>220</v>
      </c>
    </row>
    <row r="927" ht="15.75" customHeight="1">
      <c r="A927" s="1">
        <f>IFERROR(__xludf.DUMMYFUNCTION("""COMPUTED_VALUE"""),45219.66666666667)</f>
        <v>45219.66667</v>
      </c>
      <c r="B927" s="2">
        <f>IFERROR(__xludf.DUMMYFUNCTION("""COMPUTED_VALUE"""),4400.0)</f>
        <v>4400</v>
      </c>
      <c r="C927" s="2">
        <f>IFERROR(__xludf.DUMMYFUNCTION("""COMPUTED_VALUE"""),4520.0)</f>
        <v>4520</v>
      </c>
      <c r="D927" s="2">
        <f>IFERROR(__xludf.DUMMYFUNCTION("""COMPUTED_VALUE"""),4400.0)</f>
        <v>4400</v>
      </c>
      <c r="E927" s="2">
        <f>IFERROR(__xludf.DUMMYFUNCTION("""COMPUTED_VALUE"""),4460.0)</f>
        <v>4460</v>
      </c>
      <c r="F927" s="2">
        <f>IFERROR(__xludf.DUMMYFUNCTION("""COMPUTED_VALUE"""),7284700.0)</f>
        <v>7284700</v>
      </c>
      <c r="G927" s="2">
        <f t="shared" si="1"/>
        <v>120</v>
      </c>
    </row>
    <row r="928" ht="15.75" customHeight="1">
      <c r="A928" s="1">
        <f>IFERROR(__xludf.DUMMYFUNCTION("""COMPUTED_VALUE"""),45222.66666666667)</f>
        <v>45222.66667</v>
      </c>
      <c r="B928" s="2">
        <f>IFERROR(__xludf.DUMMYFUNCTION("""COMPUTED_VALUE"""),4470.0)</f>
        <v>4470</v>
      </c>
      <c r="C928" s="2">
        <f>IFERROR(__xludf.DUMMYFUNCTION("""COMPUTED_VALUE"""),4500.0)</f>
        <v>4500</v>
      </c>
      <c r="D928" s="2">
        <f>IFERROR(__xludf.DUMMYFUNCTION("""COMPUTED_VALUE"""),4160.0)</f>
        <v>4160</v>
      </c>
      <c r="E928" s="2">
        <f>IFERROR(__xludf.DUMMYFUNCTION("""COMPUTED_VALUE"""),4210.0)</f>
        <v>4210</v>
      </c>
      <c r="F928" s="2">
        <f>IFERROR(__xludf.DUMMYFUNCTION("""COMPUTED_VALUE"""),9233700.0)</f>
        <v>9233700</v>
      </c>
      <c r="G928" s="2">
        <f t="shared" si="1"/>
        <v>340</v>
      </c>
    </row>
    <row r="929" ht="15.75" customHeight="1">
      <c r="A929" s="1">
        <f>IFERROR(__xludf.DUMMYFUNCTION("""COMPUTED_VALUE"""),45223.66666666667)</f>
        <v>45223.66667</v>
      </c>
      <c r="B929" s="2">
        <f>IFERROR(__xludf.DUMMYFUNCTION("""COMPUTED_VALUE"""),4210.0)</f>
        <v>4210</v>
      </c>
      <c r="C929" s="2">
        <f>IFERROR(__xludf.DUMMYFUNCTION("""COMPUTED_VALUE"""),4320.0)</f>
        <v>4320</v>
      </c>
      <c r="D929" s="2">
        <f>IFERROR(__xludf.DUMMYFUNCTION("""COMPUTED_VALUE"""),4160.0)</f>
        <v>4160</v>
      </c>
      <c r="E929" s="2">
        <f>IFERROR(__xludf.DUMMYFUNCTION("""COMPUTED_VALUE"""),4300.0)</f>
        <v>4300</v>
      </c>
      <c r="F929" s="2">
        <f>IFERROR(__xludf.DUMMYFUNCTION("""COMPUTED_VALUE"""),4424500.0)</f>
        <v>4424500</v>
      </c>
      <c r="G929" s="2">
        <f t="shared" si="1"/>
        <v>160</v>
      </c>
    </row>
    <row r="930" ht="15.75" customHeight="1">
      <c r="A930" s="1">
        <f>IFERROR(__xludf.DUMMYFUNCTION("""COMPUTED_VALUE"""),45224.66666666667)</f>
        <v>45224.66667</v>
      </c>
      <c r="B930" s="2">
        <f>IFERROR(__xludf.DUMMYFUNCTION("""COMPUTED_VALUE"""),4300.0)</f>
        <v>4300</v>
      </c>
      <c r="C930" s="2">
        <f>IFERROR(__xludf.DUMMYFUNCTION("""COMPUTED_VALUE"""),4440.0)</f>
        <v>4440</v>
      </c>
      <c r="D930" s="2">
        <f>IFERROR(__xludf.DUMMYFUNCTION("""COMPUTED_VALUE"""),4290.0)</f>
        <v>4290</v>
      </c>
      <c r="E930" s="2">
        <f>IFERROR(__xludf.DUMMYFUNCTION("""COMPUTED_VALUE"""),4380.0)</f>
        <v>4380</v>
      </c>
      <c r="F930" s="2">
        <f>IFERROR(__xludf.DUMMYFUNCTION("""COMPUTED_VALUE"""),4933300.0)</f>
        <v>4933300</v>
      </c>
      <c r="G930" s="2">
        <f t="shared" si="1"/>
        <v>150</v>
      </c>
    </row>
    <row r="931" ht="15.75" customHeight="1">
      <c r="A931" s="1">
        <f>IFERROR(__xludf.DUMMYFUNCTION("""COMPUTED_VALUE"""),45225.66666666667)</f>
        <v>45225.66667</v>
      </c>
      <c r="B931" s="2">
        <f>IFERROR(__xludf.DUMMYFUNCTION("""COMPUTED_VALUE"""),4380.0)</f>
        <v>4380</v>
      </c>
      <c r="C931" s="2">
        <f>IFERROR(__xludf.DUMMYFUNCTION("""COMPUTED_VALUE"""),4390.0)</f>
        <v>4390</v>
      </c>
      <c r="D931" s="2">
        <f>IFERROR(__xludf.DUMMYFUNCTION("""COMPUTED_VALUE"""),4240.0)</f>
        <v>4240</v>
      </c>
      <c r="E931" s="2">
        <f>IFERROR(__xludf.DUMMYFUNCTION("""COMPUTED_VALUE"""),4250.0)</f>
        <v>4250</v>
      </c>
      <c r="F931" s="2">
        <f>IFERROR(__xludf.DUMMYFUNCTION("""COMPUTED_VALUE"""),3141300.0)</f>
        <v>3141300</v>
      </c>
      <c r="G931" s="2">
        <f t="shared" si="1"/>
        <v>150</v>
      </c>
    </row>
    <row r="932" ht="15.75" customHeight="1">
      <c r="A932" s="1">
        <f>IFERROR(__xludf.DUMMYFUNCTION("""COMPUTED_VALUE"""),45226.66666666667)</f>
        <v>45226.66667</v>
      </c>
      <c r="B932" s="2">
        <f>IFERROR(__xludf.DUMMYFUNCTION("""COMPUTED_VALUE"""),4300.0)</f>
        <v>4300</v>
      </c>
      <c r="C932" s="2">
        <f>IFERROR(__xludf.DUMMYFUNCTION("""COMPUTED_VALUE"""),4400.0)</f>
        <v>4400</v>
      </c>
      <c r="D932" s="2">
        <f>IFERROR(__xludf.DUMMYFUNCTION("""COMPUTED_VALUE"""),4230.0)</f>
        <v>4230</v>
      </c>
      <c r="E932" s="2">
        <f>IFERROR(__xludf.DUMMYFUNCTION("""COMPUTED_VALUE"""),4250.0)</f>
        <v>4250</v>
      </c>
      <c r="F932" s="2">
        <f>IFERROR(__xludf.DUMMYFUNCTION("""COMPUTED_VALUE"""),4057100.0)</f>
        <v>4057100</v>
      </c>
      <c r="G932" s="2">
        <f t="shared" si="1"/>
        <v>170</v>
      </c>
    </row>
    <row r="933" ht="15.75" customHeight="1">
      <c r="A933" s="1">
        <f>IFERROR(__xludf.DUMMYFUNCTION("""COMPUTED_VALUE"""),45229.66666666667)</f>
        <v>45229.66667</v>
      </c>
      <c r="B933" s="2">
        <f>IFERROR(__xludf.DUMMYFUNCTION("""COMPUTED_VALUE"""),4250.0)</f>
        <v>4250</v>
      </c>
      <c r="C933" s="2">
        <f>IFERROR(__xludf.DUMMYFUNCTION("""COMPUTED_VALUE"""),4300.0)</f>
        <v>4300</v>
      </c>
      <c r="D933" s="2">
        <f>IFERROR(__xludf.DUMMYFUNCTION("""COMPUTED_VALUE"""),4000.0)</f>
        <v>4000</v>
      </c>
      <c r="E933" s="2">
        <f>IFERROR(__xludf.DUMMYFUNCTION("""COMPUTED_VALUE"""),4160.0)</f>
        <v>4160</v>
      </c>
      <c r="F933" s="2">
        <f>IFERROR(__xludf.DUMMYFUNCTION("""COMPUTED_VALUE"""),6308000.0)</f>
        <v>6308000</v>
      </c>
      <c r="G933" s="2">
        <f t="shared" si="1"/>
        <v>300</v>
      </c>
    </row>
    <row r="934" ht="15.75" customHeight="1">
      <c r="A934" s="1">
        <f>IFERROR(__xludf.DUMMYFUNCTION("""COMPUTED_VALUE"""),45230.66666666667)</f>
        <v>45230.66667</v>
      </c>
      <c r="B934" s="2">
        <f>IFERROR(__xludf.DUMMYFUNCTION("""COMPUTED_VALUE"""),4160.0)</f>
        <v>4160</v>
      </c>
      <c r="C934" s="2">
        <f>IFERROR(__xludf.DUMMYFUNCTION("""COMPUTED_VALUE"""),4260.0)</f>
        <v>4260</v>
      </c>
      <c r="D934" s="2">
        <f>IFERROR(__xludf.DUMMYFUNCTION("""COMPUTED_VALUE"""),4060.0)</f>
        <v>4060</v>
      </c>
      <c r="E934" s="2">
        <f>IFERROR(__xludf.DUMMYFUNCTION("""COMPUTED_VALUE"""),4260.0)</f>
        <v>4260</v>
      </c>
      <c r="F934" s="2">
        <f>IFERROR(__xludf.DUMMYFUNCTION("""COMPUTED_VALUE"""),4662100.0)</f>
        <v>4662100</v>
      </c>
      <c r="G934" s="2">
        <f t="shared" si="1"/>
        <v>200</v>
      </c>
    </row>
    <row r="935" ht="15.75" customHeight="1">
      <c r="A935" s="1">
        <f>IFERROR(__xludf.DUMMYFUNCTION("""COMPUTED_VALUE"""),45231.66666666667)</f>
        <v>45231.66667</v>
      </c>
      <c r="B935" s="2">
        <f>IFERROR(__xludf.DUMMYFUNCTION("""COMPUTED_VALUE"""),4260.0)</f>
        <v>4260</v>
      </c>
      <c r="C935" s="2">
        <f>IFERROR(__xludf.DUMMYFUNCTION("""COMPUTED_VALUE"""),4270.0)</f>
        <v>4270</v>
      </c>
      <c r="D935" s="2">
        <f>IFERROR(__xludf.DUMMYFUNCTION("""COMPUTED_VALUE"""),4150.0)</f>
        <v>4150</v>
      </c>
      <c r="E935" s="2">
        <f>IFERROR(__xludf.DUMMYFUNCTION("""COMPUTED_VALUE"""),4170.0)</f>
        <v>4170</v>
      </c>
      <c r="F935" s="2">
        <f>IFERROR(__xludf.DUMMYFUNCTION("""COMPUTED_VALUE"""),4156100.0)</f>
        <v>4156100</v>
      </c>
      <c r="G935" s="2">
        <f t="shared" si="1"/>
        <v>120</v>
      </c>
    </row>
    <row r="936" ht="15.75" customHeight="1">
      <c r="A936" s="1">
        <f>IFERROR(__xludf.DUMMYFUNCTION("""COMPUTED_VALUE"""),45232.66666666667)</f>
        <v>45232.66667</v>
      </c>
      <c r="B936" s="2">
        <f>IFERROR(__xludf.DUMMYFUNCTION("""COMPUTED_VALUE"""),4230.0)</f>
        <v>4230</v>
      </c>
      <c r="C936" s="2">
        <f>IFERROR(__xludf.DUMMYFUNCTION("""COMPUTED_VALUE"""),4400.0)</f>
        <v>4400</v>
      </c>
      <c r="D936" s="2">
        <f>IFERROR(__xludf.DUMMYFUNCTION("""COMPUTED_VALUE"""),4150.0)</f>
        <v>4150</v>
      </c>
      <c r="E936" s="2">
        <f>IFERROR(__xludf.DUMMYFUNCTION("""COMPUTED_VALUE"""),4290.0)</f>
        <v>4290</v>
      </c>
      <c r="F936" s="2">
        <f>IFERROR(__xludf.DUMMYFUNCTION("""COMPUTED_VALUE"""),1.36944E7)</f>
        <v>13694400</v>
      </c>
      <c r="G936" s="2">
        <f t="shared" si="1"/>
        <v>250</v>
      </c>
    </row>
    <row r="937" ht="15.75" customHeight="1">
      <c r="A937" s="1">
        <f>IFERROR(__xludf.DUMMYFUNCTION("""COMPUTED_VALUE"""),45233.66666666667)</f>
        <v>45233.66667</v>
      </c>
      <c r="B937" s="2">
        <f>IFERROR(__xludf.DUMMYFUNCTION("""COMPUTED_VALUE"""),4350.0)</f>
        <v>4350</v>
      </c>
      <c r="C937" s="2">
        <f>IFERROR(__xludf.DUMMYFUNCTION("""COMPUTED_VALUE"""),4540.0)</f>
        <v>4540</v>
      </c>
      <c r="D937" s="2">
        <f>IFERROR(__xludf.DUMMYFUNCTION("""COMPUTED_VALUE"""),4310.0)</f>
        <v>4310</v>
      </c>
      <c r="E937" s="2">
        <f>IFERROR(__xludf.DUMMYFUNCTION("""COMPUTED_VALUE"""),4360.0)</f>
        <v>4360</v>
      </c>
      <c r="F937" s="2">
        <f>IFERROR(__xludf.DUMMYFUNCTION("""COMPUTED_VALUE"""),1.0852E7)</f>
        <v>10852000</v>
      </c>
      <c r="G937" s="2">
        <f t="shared" si="1"/>
        <v>250</v>
      </c>
    </row>
    <row r="938" ht="15.75" customHeight="1">
      <c r="A938" s="1">
        <f>IFERROR(__xludf.DUMMYFUNCTION("""COMPUTED_VALUE"""),45236.66666666667)</f>
        <v>45236.66667</v>
      </c>
      <c r="B938" s="2">
        <f>IFERROR(__xludf.DUMMYFUNCTION("""COMPUTED_VALUE"""),4400.0)</f>
        <v>4400</v>
      </c>
      <c r="C938" s="2">
        <f>IFERROR(__xludf.DUMMYFUNCTION("""COMPUTED_VALUE"""),4530.0)</f>
        <v>4530</v>
      </c>
      <c r="D938" s="2">
        <f>IFERROR(__xludf.DUMMYFUNCTION("""COMPUTED_VALUE"""),4400.0)</f>
        <v>4400</v>
      </c>
      <c r="E938" s="2">
        <f>IFERROR(__xludf.DUMMYFUNCTION("""COMPUTED_VALUE"""),4450.0)</f>
        <v>4450</v>
      </c>
      <c r="F938" s="2">
        <f>IFERROR(__xludf.DUMMYFUNCTION("""COMPUTED_VALUE"""),9717100.0)</f>
        <v>9717100</v>
      </c>
      <c r="G938" s="2">
        <f t="shared" si="1"/>
        <v>170</v>
      </c>
    </row>
    <row r="939" ht="15.75" customHeight="1">
      <c r="A939" s="1">
        <f>IFERROR(__xludf.DUMMYFUNCTION("""COMPUTED_VALUE"""),45237.66666666667)</f>
        <v>45237.66667</v>
      </c>
      <c r="B939" s="2">
        <f>IFERROR(__xludf.DUMMYFUNCTION("""COMPUTED_VALUE"""),4450.0)</f>
        <v>4450</v>
      </c>
      <c r="C939" s="2">
        <f>IFERROR(__xludf.DUMMYFUNCTION("""COMPUTED_VALUE"""),4630.0)</f>
        <v>4630</v>
      </c>
      <c r="D939" s="2">
        <f>IFERROR(__xludf.DUMMYFUNCTION("""COMPUTED_VALUE"""),4340.0)</f>
        <v>4340</v>
      </c>
      <c r="E939" s="2">
        <f>IFERROR(__xludf.DUMMYFUNCTION("""COMPUTED_VALUE"""),4420.0)</f>
        <v>4420</v>
      </c>
      <c r="F939" s="2">
        <f>IFERROR(__xludf.DUMMYFUNCTION("""COMPUTED_VALUE"""),1.24529E7)</f>
        <v>12452900</v>
      </c>
      <c r="G939" s="2">
        <f t="shared" si="1"/>
        <v>290</v>
      </c>
    </row>
    <row r="940" ht="15.75" customHeight="1">
      <c r="A940" s="1">
        <f>IFERROR(__xludf.DUMMYFUNCTION("""COMPUTED_VALUE"""),45238.66666666667)</f>
        <v>45238.66667</v>
      </c>
      <c r="B940" s="2">
        <f>IFERROR(__xludf.DUMMYFUNCTION("""COMPUTED_VALUE"""),4420.0)</f>
        <v>4420</v>
      </c>
      <c r="C940" s="2">
        <f>IFERROR(__xludf.DUMMYFUNCTION("""COMPUTED_VALUE"""),4440.0)</f>
        <v>4440</v>
      </c>
      <c r="D940" s="2">
        <f>IFERROR(__xludf.DUMMYFUNCTION("""COMPUTED_VALUE"""),4290.0)</f>
        <v>4290</v>
      </c>
      <c r="E940" s="2">
        <f>IFERROR(__xludf.DUMMYFUNCTION("""COMPUTED_VALUE"""),4410.0)</f>
        <v>4410</v>
      </c>
      <c r="F940" s="2">
        <f>IFERROR(__xludf.DUMMYFUNCTION("""COMPUTED_VALUE"""),7259000.0)</f>
        <v>7259000</v>
      </c>
      <c r="G940" s="2">
        <f t="shared" si="1"/>
        <v>150</v>
      </c>
    </row>
    <row r="941" ht="15.75" customHeight="1">
      <c r="A941" s="1">
        <f>IFERROR(__xludf.DUMMYFUNCTION("""COMPUTED_VALUE"""),45239.66666666667)</f>
        <v>45239.66667</v>
      </c>
      <c r="B941" s="2">
        <f>IFERROR(__xludf.DUMMYFUNCTION("""COMPUTED_VALUE"""),4420.0)</f>
        <v>4420</v>
      </c>
      <c r="C941" s="2">
        <f>IFERROR(__xludf.DUMMYFUNCTION("""COMPUTED_VALUE"""),4530.0)</f>
        <v>4530</v>
      </c>
      <c r="D941" s="2">
        <f>IFERROR(__xludf.DUMMYFUNCTION("""COMPUTED_VALUE"""),4420.0)</f>
        <v>4420</v>
      </c>
      <c r="E941" s="2">
        <f>IFERROR(__xludf.DUMMYFUNCTION("""COMPUTED_VALUE"""),4470.0)</f>
        <v>4470</v>
      </c>
      <c r="F941" s="2">
        <f>IFERROR(__xludf.DUMMYFUNCTION("""COMPUTED_VALUE"""),2855100.0)</f>
        <v>2855100</v>
      </c>
      <c r="G941" s="2">
        <f t="shared" si="1"/>
        <v>120</v>
      </c>
    </row>
    <row r="942" ht="15.75" customHeight="1">
      <c r="A942" s="1">
        <f>IFERROR(__xludf.DUMMYFUNCTION("""COMPUTED_VALUE"""),45240.66666666667)</f>
        <v>45240.66667</v>
      </c>
      <c r="B942" s="2">
        <f>IFERROR(__xludf.DUMMYFUNCTION("""COMPUTED_VALUE"""),4520.0)</f>
        <v>4520</v>
      </c>
      <c r="C942" s="2">
        <f>IFERROR(__xludf.DUMMYFUNCTION("""COMPUTED_VALUE"""),4520.0)</f>
        <v>4520</v>
      </c>
      <c r="D942" s="2">
        <f>IFERROR(__xludf.DUMMYFUNCTION("""COMPUTED_VALUE"""),4340.0)</f>
        <v>4340</v>
      </c>
      <c r="E942" s="2">
        <f>IFERROR(__xludf.DUMMYFUNCTION("""COMPUTED_VALUE"""),4350.0)</f>
        <v>4350</v>
      </c>
      <c r="F942" s="2">
        <f>IFERROR(__xludf.DUMMYFUNCTION("""COMPUTED_VALUE"""),2316000.0)</f>
        <v>2316000</v>
      </c>
      <c r="G942" s="2">
        <f t="shared" si="1"/>
        <v>180</v>
      </c>
    </row>
    <row r="943" ht="15.75" customHeight="1">
      <c r="A943" s="1">
        <f>IFERROR(__xludf.DUMMYFUNCTION("""COMPUTED_VALUE"""),45243.66666666667)</f>
        <v>45243.66667</v>
      </c>
      <c r="B943" s="2">
        <f>IFERROR(__xludf.DUMMYFUNCTION("""COMPUTED_VALUE"""),4370.0)</f>
        <v>4370</v>
      </c>
      <c r="C943" s="2">
        <f>IFERROR(__xludf.DUMMYFUNCTION("""COMPUTED_VALUE"""),4450.0)</f>
        <v>4450</v>
      </c>
      <c r="D943" s="2">
        <f>IFERROR(__xludf.DUMMYFUNCTION("""COMPUTED_VALUE"""),4360.0)</f>
        <v>4360</v>
      </c>
      <c r="E943" s="2">
        <f>IFERROR(__xludf.DUMMYFUNCTION("""COMPUTED_VALUE"""),4420.0)</f>
        <v>4420</v>
      </c>
      <c r="F943" s="2">
        <f>IFERROR(__xludf.DUMMYFUNCTION("""COMPUTED_VALUE"""),3750500.0)</f>
        <v>3750500</v>
      </c>
      <c r="G943" s="2">
        <f t="shared" si="1"/>
        <v>100</v>
      </c>
    </row>
    <row r="944" ht="15.75" customHeight="1">
      <c r="A944" s="1">
        <f>IFERROR(__xludf.DUMMYFUNCTION("""COMPUTED_VALUE"""),45244.66666666667)</f>
        <v>45244.66667</v>
      </c>
      <c r="B944" s="2">
        <f>IFERROR(__xludf.DUMMYFUNCTION("""COMPUTED_VALUE"""),4420.0)</f>
        <v>4420</v>
      </c>
      <c r="C944" s="2">
        <f>IFERROR(__xludf.DUMMYFUNCTION("""COMPUTED_VALUE"""),4550.0)</f>
        <v>4550</v>
      </c>
      <c r="D944" s="2">
        <f>IFERROR(__xludf.DUMMYFUNCTION("""COMPUTED_VALUE"""),4420.0)</f>
        <v>4420</v>
      </c>
      <c r="E944" s="2">
        <f>IFERROR(__xludf.DUMMYFUNCTION("""COMPUTED_VALUE"""),4550.0)</f>
        <v>4550</v>
      </c>
      <c r="F944" s="2">
        <f>IFERROR(__xludf.DUMMYFUNCTION("""COMPUTED_VALUE"""),2996100.0)</f>
        <v>2996100</v>
      </c>
      <c r="G944" s="2">
        <f t="shared" si="1"/>
        <v>130</v>
      </c>
    </row>
    <row r="945" ht="15.75" customHeight="1">
      <c r="A945" s="1">
        <f>IFERROR(__xludf.DUMMYFUNCTION("""COMPUTED_VALUE"""),45245.66666666667)</f>
        <v>45245.66667</v>
      </c>
      <c r="B945" s="2">
        <f>IFERROR(__xludf.DUMMYFUNCTION("""COMPUTED_VALUE"""),4570.0)</f>
        <v>4570</v>
      </c>
      <c r="C945" s="2">
        <f>IFERROR(__xludf.DUMMYFUNCTION("""COMPUTED_VALUE"""),4790.0)</f>
        <v>4790</v>
      </c>
      <c r="D945" s="2">
        <f>IFERROR(__xludf.DUMMYFUNCTION("""COMPUTED_VALUE"""),4550.0)</f>
        <v>4550</v>
      </c>
      <c r="E945" s="2">
        <f>IFERROR(__xludf.DUMMYFUNCTION("""COMPUTED_VALUE"""),4720.0)</f>
        <v>4720</v>
      </c>
      <c r="F945" s="2">
        <f>IFERROR(__xludf.DUMMYFUNCTION("""COMPUTED_VALUE"""),1.40205E7)</f>
        <v>14020500</v>
      </c>
      <c r="G945" s="2">
        <f t="shared" si="1"/>
        <v>240</v>
      </c>
    </row>
    <row r="946" ht="15.75" customHeight="1">
      <c r="A946" s="1">
        <f>IFERROR(__xludf.DUMMYFUNCTION("""COMPUTED_VALUE"""),45246.66666666667)</f>
        <v>45246.66667</v>
      </c>
      <c r="B946" s="2">
        <f>IFERROR(__xludf.DUMMYFUNCTION("""COMPUTED_VALUE"""),4720.0)</f>
        <v>4720</v>
      </c>
      <c r="C946" s="2">
        <f>IFERROR(__xludf.DUMMYFUNCTION("""COMPUTED_VALUE"""),4750.0)</f>
        <v>4750</v>
      </c>
      <c r="D946" s="2">
        <f>IFERROR(__xludf.DUMMYFUNCTION("""COMPUTED_VALUE"""),4550.0)</f>
        <v>4550</v>
      </c>
      <c r="E946" s="2">
        <f>IFERROR(__xludf.DUMMYFUNCTION("""COMPUTED_VALUE"""),4750.0)</f>
        <v>4750</v>
      </c>
      <c r="F946" s="2">
        <f>IFERROR(__xludf.DUMMYFUNCTION("""COMPUTED_VALUE"""),8452700.0)</f>
        <v>8452700</v>
      </c>
      <c r="G946" s="2">
        <f t="shared" si="1"/>
        <v>200</v>
      </c>
    </row>
    <row r="947" ht="15.75" customHeight="1">
      <c r="A947" s="1">
        <f>IFERROR(__xludf.DUMMYFUNCTION("""COMPUTED_VALUE"""),45247.66666666667)</f>
        <v>45247.66667</v>
      </c>
      <c r="B947" s="2">
        <f>IFERROR(__xludf.DUMMYFUNCTION("""COMPUTED_VALUE"""),4800.0)</f>
        <v>4800</v>
      </c>
      <c r="C947" s="2">
        <f>IFERROR(__xludf.DUMMYFUNCTION("""COMPUTED_VALUE"""),4800.0)</f>
        <v>4800</v>
      </c>
      <c r="D947" s="2">
        <f>IFERROR(__xludf.DUMMYFUNCTION("""COMPUTED_VALUE"""),4660.0)</f>
        <v>4660</v>
      </c>
      <c r="E947" s="2">
        <f>IFERROR(__xludf.DUMMYFUNCTION("""COMPUTED_VALUE"""),4700.0)</f>
        <v>4700</v>
      </c>
      <c r="F947" s="2">
        <f>IFERROR(__xludf.DUMMYFUNCTION("""COMPUTED_VALUE"""),4525900.0)</f>
        <v>4525900</v>
      </c>
      <c r="G947" s="2">
        <f t="shared" si="1"/>
        <v>140</v>
      </c>
    </row>
    <row r="948" ht="15.75" customHeight="1">
      <c r="A948" s="1">
        <f>IFERROR(__xludf.DUMMYFUNCTION("""COMPUTED_VALUE"""),45250.66666666667)</f>
        <v>45250.66667</v>
      </c>
      <c r="B948" s="2">
        <f>IFERROR(__xludf.DUMMYFUNCTION("""COMPUTED_VALUE"""),4700.0)</f>
        <v>4700</v>
      </c>
      <c r="C948" s="2">
        <f>IFERROR(__xludf.DUMMYFUNCTION("""COMPUTED_VALUE"""),4720.0)</f>
        <v>4720</v>
      </c>
      <c r="D948" s="2">
        <f>IFERROR(__xludf.DUMMYFUNCTION("""COMPUTED_VALUE"""),4620.0)</f>
        <v>4620</v>
      </c>
      <c r="E948" s="2">
        <f>IFERROR(__xludf.DUMMYFUNCTION("""COMPUTED_VALUE"""),4660.0)</f>
        <v>4660</v>
      </c>
      <c r="F948" s="2">
        <f>IFERROR(__xludf.DUMMYFUNCTION("""COMPUTED_VALUE"""),1913900.0)</f>
        <v>1913900</v>
      </c>
      <c r="G948" s="2">
        <f t="shared" si="1"/>
        <v>100</v>
      </c>
    </row>
    <row r="949" ht="15.75" customHeight="1">
      <c r="A949" s="1">
        <f>IFERROR(__xludf.DUMMYFUNCTION("""COMPUTED_VALUE"""),45251.66666666667)</f>
        <v>45251.66667</v>
      </c>
      <c r="B949" s="2">
        <f>IFERROR(__xludf.DUMMYFUNCTION("""COMPUTED_VALUE"""),4680.0)</f>
        <v>4680</v>
      </c>
      <c r="C949" s="2">
        <f>IFERROR(__xludf.DUMMYFUNCTION("""COMPUTED_VALUE"""),4720.0)</f>
        <v>4720</v>
      </c>
      <c r="D949" s="2">
        <f>IFERROR(__xludf.DUMMYFUNCTION("""COMPUTED_VALUE"""),4640.0)</f>
        <v>4640</v>
      </c>
      <c r="E949" s="2">
        <f>IFERROR(__xludf.DUMMYFUNCTION("""COMPUTED_VALUE"""),4680.0)</f>
        <v>4680</v>
      </c>
      <c r="F949" s="2">
        <f>IFERROR(__xludf.DUMMYFUNCTION("""COMPUTED_VALUE"""),1820600.0)</f>
        <v>1820600</v>
      </c>
      <c r="G949" s="2">
        <f t="shared" si="1"/>
        <v>80</v>
      </c>
    </row>
    <row r="950" ht="15.75" customHeight="1">
      <c r="A950" s="1">
        <f>IFERROR(__xludf.DUMMYFUNCTION("""COMPUTED_VALUE"""),45252.66666666667)</f>
        <v>45252.66667</v>
      </c>
      <c r="B950" s="2">
        <f>IFERROR(__xludf.DUMMYFUNCTION("""COMPUTED_VALUE"""),4680.0)</f>
        <v>4680</v>
      </c>
      <c r="C950" s="2">
        <f>IFERROR(__xludf.DUMMYFUNCTION("""COMPUTED_VALUE"""),4680.0)</f>
        <v>4680</v>
      </c>
      <c r="D950" s="2">
        <f>IFERROR(__xludf.DUMMYFUNCTION("""COMPUTED_VALUE"""),4450.0)</f>
        <v>4450</v>
      </c>
      <c r="E950" s="2">
        <f>IFERROR(__xludf.DUMMYFUNCTION("""COMPUTED_VALUE"""),4500.0)</f>
        <v>4500</v>
      </c>
      <c r="F950" s="2">
        <f>IFERROR(__xludf.DUMMYFUNCTION("""COMPUTED_VALUE"""),1.25129E7)</f>
        <v>12512900</v>
      </c>
      <c r="G950" s="2">
        <f t="shared" si="1"/>
        <v>230</v>
      </c>
    </row>
    <row r="951" ht="15.75" customHeight="1">
      <c r="A951" s="1">
        <f>IFERROR(__xludf.DUMMYFUNCTION("""COMPUTED_VALUE"""),45253.66666666667)</f>
        <v>45253.66667</v>
      </c>
      <c r="B951" s="2">
        <f>IFERROR(__xludf.DUMMYFUNCTION("""COMPUTED_VALUE"""),4500.0)</f>
        <v>4500</v>
      </c>
      <c r="C951" s="2">
        <f>IFERROR(__xludf.DUMMYFUNCTION("""COMPUTED_VALUE"""),4620.0)</f>
        <v>4620</v>
      </c>
      <c r="D951" s="2">
        <f>IFERROR(__xludf.DUMMYFUNCTION("""COMPUTED_VALUE"""),4480.0)</f>
        <v>4480</v>
      </c>
      <c r="E951" s="2">
        <f>IFERROR(__xludf.DUMMYFUNCTION("""COMPUTED_VALUE"""),4570.0)</f>
        <v>4570</v>
      </c>
      <c r="F951" s="2">
        <f>IFERROR(__xludf.DUMMYFUNCTION("""COMPUTED_VALUE"""),4277000.0)</f>
        <v>4277000</v>
      </c>
      <c r="G951" s="2">
        <f t="shared" si="1"/>
        <v>140</v>
      </c>
    </row>
    <row r="952" ht="15.75" customHeight="1">
      <c r="A952" s="1">
        <f>IFERROR(__xludf.DUMMYFUNCTION("""COMPUTED_VALUE"""),45254.66666666667)</f>
        <v>45254.66667</v>
      </c>
      <c r="B952" s="2">
        <f>IFERROR(__xludf.DUMMYFUNCTION("""COMPUTED_VALUE"""),4620.0)</f>
        <v>4620</v>
      </c>
      <c r="C952" s="2">
        <f>IFERROR(__xludf.DUMMYFUNCTION("""COMPUTED_VALUE"""),4620.0)</f>
        <v>4620</v>
      </c>
      <c r="D952" s="2">
        <f>IFERROR(__xludf.DUMMYFUNCTION("""COMPUTED_VALUE"""),4390.0)</f>
        <v>4390</v>
      </c>
      <c r="E952" s="2">
        <f>IFERROR(__xludf.DUMMYFUNCTION("""COMPUTED_VALUE"""),4570.0)</f>
        <v>4570</v>
      </c>
      <c r="F952" s="2">
        <f>IFERROR(__xludf.DUMMYFUNCTION("""COMPUTED_VALUE"""),3586800.0)</f>
        <v>3586800</v>
      </c>
      <c r="G952" s="2">
        <f t="shared" si="1"/>
        <v>230</v>
      </c>
    </row>
    <row r="953" ht="15.75" customHeight="1">
      <c r="A953" s="1">
        <f>IFERROR(__xludf.DUMMYFUNCTION("""COMPUTED_VALUE"""),45257.66666666667)</f>
        <v>45257.66667</v>
      </c>
      <c r="B953" s="2">
        <f>IFERROR(__xludf.DUMMYFUNCTION("""COMPUTED_VALUE"""),4570.0)</f>
        <v>4570</v>
      </c>
      <c r="C953" s="2">
        <f>IFERROR(__xludf.DUMMYFUNCTION("""COMPUTED_VALUE"""),4630.0)</f>
        <v>4630</v>
      </c>
      <c r="D953" s="2">
        <f>IFERROR(__xludf.DUMMYFUNCTION("""COMPUTED_VALUE"""),4530.0)</f>
        <v>4530</v>
      </c>
      <c r="E953" s="2">
        <f>IFERROR(__xludf.DUMMYFUNCTION("""COMPUTED_VALUE"""),4560.0)</f>
        <v>4560</v>
      </c>
      <c r="F953" s="2">
        <f>IFERROR(__xludf.DUMMYFUNCTION("""COMPUTED_VALUE"""),9682700.0)</f>
        <v>9682700</v>
      </c>
      <c r="G953" s="2">
        <f t="shared" si="1"/>
        <v>100</v>
      </c>
    </row>
    <row r="954" ht="15.75" customHeight="1">
      <c r="A954" s="1">
        <f>IFERROR(__xludf.DUMMYFUNCTION("""COMPUTED_VALUE"""),45258.66666666667)</f>
        <v>45258.66667</v>
      </c>
      <c r="B954" s="2">
        <f>IFERROR(__xludf.DUMMYFUNCTION("""COMPUTED_VALUE"""),4560.0)</f>
        <v>4560</v>
      </c>
      <c r="C954" s="2">
        <f>IFERROR(__xludf.DUMMYFUNCTION("""COMPUTED_VALUE"""),4720.0)</f>
        <v>4720</v>
      </c>
      <c r="D954" s="2">
        <f>IFERROR(__xludf.DUMMYFUNCTION("""COMPUTED_VALUE"""),4560.0)</f>
        <v>4560</v>
      </c>
      <c r="E954" s="2">
        <f>IFERROR(__xludf.DUMMYFUNCTION("""COMPUTED_VALUE"""),4670.0)</f>
        <v>4670</v>
      </c>
      <c r="F954" s="2">
        <f>IFERROR(__xludf.DUMMYFUNCTION("""COMPUTED_VALUE"""),4010900.0)</f>
        <v>4010900</v>
      </c>
      <c r="G954" s="2">
        <f t="shared" si="1"/>
        <v>160</v>
      </c>
    </row>
    <row r="955" ht="15.75" customHeight="1">
      <c r="A955" s="1">
        <f>IFERROR(__xludf.DUMMYFUNCTION("""COMPUTED_VALUE"""),45259.66666666667)</f>
        <v>45259.66667</v>
      </c>
      <c r="B955" s="2">
        <f>IFERROR(__xludf.DUMMYFUNCTION("""COMPUTED_VALUE"""),4670.0)</f>
        <v>4670</v>
      </c>
      <c r="C955" s="2">
        <f>IFERROR(__xludf.DUMMYFUNCTION("""COMPUTED_VALUE"""),4700.0)</f>
        <v>4700</v>
      </c>
      <c r="D955" s="2">
        <f>IFERROR(__xludf.DUMMYFUNCTION("""COMPUTED_VALUE"""),4540.0)</f>
        <v>4540</v>
      </c>
      <c r="E955" s="2">
        <f>IFERROR(__xludf.DUMMYFUNCTION("""COMPUTED_VALUE"""),4570.0)</f>
        <v>4570</v>
      </c>
      <c r="F955" s="2">
        <f>IFERROR(__xludf.DUMMYFUNCTION("""COMPUTED_VALUE"""),2803600.0)</f>
        <v>2803600</v>
      </c>
      <c r="G955" s="2">
        <f t="shared" si="1"/>
        <v>160</v>
      </c>
    </row>
    <row r="956" ht="15.75" customHeight="1">
      <c r="A956" s="1">
        <f>IFERROR(__xludf.DUMMYFUNCTION("""COMPUTED_VALUE"""),45260.66666666667)</f>
        <v>45260.66667</v>
      </c>
      <c r="B956" s="2">
        <f>IFERROR(__xludf.DUMMYFUNCTION("""COMPUTED_VALUE"""),4580.0)</f>
        <v>4580</v>
      </c>
      <c r="C956" s="2">
        <f>IFERROR(__xludf.DUMMYFUNCTION("""COMPUTED_VALUE"""),4800.0)</f>
        <v>4800</v>
      </c>
      <c r="D956" s="2">
        <f>IFERROR(__xludf.DUMMYFUNCTION("""COMPUTED_VALUE"""),4540.0)</f>
        <v>4540</v>
      </c>
      <c r="E956" s="2">
        <f>IFERROR(__xludf.DUMMYFUNCTION("""COMPUTED_VALUE"""),4650.0)</f>
        <v>4650</v>
      </c>
      <c r="F956" s="2">
        <f>IFERROR(__xludf.DUMMYFUNCTION("""COMPUTED_VALUE"""),1.94951E7)</f>
        <v>19495100</v>
      </c>
      <c r="G956" s="2">
        <f t="shared" si="1"/>
        <v>260</v>
      </c>
    </row>
    <row r="957" ht="15.75" customHeight="1">
      <c r="A957" s="1">
        <f>IFERROR(__xludf.DUMMYFUNCTION("""COMPUTED_VALUE"""),45261.66666666667)</f>
        <v>45261.66667</v>
      </c>
      <c r="B957" s="2">
        <f>IFERROR(__xludf.DUMMYFUNCTION("""COMPUTED_VALUE"""),4700.0)</f>
        <v>4700</v>
      </c>
      <c r="C957" s="2">
        <f>IFERROR(__xludf.DUMMYFUNCTION("""COMPUTED_VALUE"""),4900.0)</f>
        <v>4900</v>
      </c>
      <c r="D957" s="2">
        <f>IFERROR(__xludf.DUMMYFUNCTION("""COMPUTED_VALUE"""),4600.0)</f>
        <v>4600</v>
      </c>
      <c r="E957" s="2">
        <f>IFERROR(__xludf.DUMMYFUNCTION("""COMPUTED_VALUE"""),4720.0)</f>
        <v>4720</v>
      </c>
      <c r="F957" s="2">
        <f>IFERROR(__xludf.DUMMYFUNCTION("""COMPUTED_VALUE"""),1.83597E7)</f>
        <v>18359700</v>
      </c>
      <c r="G957" s="2">
        <f t="shared" si="1"/>
        <v>300</v>
      </c>
    </row>
    <row r="958" ht="15.75" customHeight="1">
      <c r="A958" s="1">
        <f>IFERROR(__xludf.DUMMYFUNCTION("""COMPUTED_VALUE"""),45264.66666666667)</f>
        <v>45264.66667</v>
      </c>
      <c r="B958" s="2">
        <f>IFERROR(__xludf.DUMMYFUNCTION("""COMPUTED_VALUE"""),4800.0)</f>
        <v>4800</v>
      </c>
      <c r="C958" s="2">
        <f>IFERROR(__xludf.DUMMYFUNCTION("""COMPUTED_VALUE"""),4800.0)</f>
        <v>4800</v>
      </c>
      <c r="D958" s="2">
        <f>IFERROR(__xludf.DUMMYFUNCTION("""COMPUTED_VALUE"""),4670.0)</f>
        <v>4670</v>
      </c>
      <c r="E958" s="2">
        <f>IFERROR(__xludf.DUMMYFUNCTION("""COMPUTED_VALUE"""),4670.0)</f>
        <v>4670</v>
      </c>
      <c r="F958" s="2">
        <f>IFERROR(__xludf.DUMMYFUNCTION("""COMPUTED_VALUE"""),7180300.0)</f>
        <v>7180300</v>
      </c>
      <c r="G958" s="2">
        <f t="shared" si="1"/>
        <v>130</v>
      </c>
    </row>
    <row r="959" ht="15.75" customHeight="1">
      <c r="A959" s="1">
        <f>IFERROR(__xludf.DUMMYFUNCTION("""COMPUTED_VALUE"""),45265.66666666667)</f>
        <v>45265.66667</v>
      </c>
      <c r="B959" s="2">
        <f>IFERROR(__xludf.DUMMYFUNCTION("""COMPUTED_VALUE"""),4710.0)</f>
        <v>4710</v>
      </c>
      <c r="C959" s="2">
        <f>IFERROR(__xludf.DUMMYFUNCTION("""COMPUTED_VALUE"""),4860.0)</f>
        <v>4860</v>
      </c>
      <c r="D959" s="2">
        <f>IFERROR(__xludf.DUMMYFUNCTION("""COMPUTED_VALUE"""),4670.0)</f>
        <v>4670</v>
      </c>
      <c r="E959" s="2">
        <f>IFERROR(__xludf.DUMMYFUNCTION("""COMPUTED_VALUE"""),4840.0)</f>
        <v>4840</v>
      </c>
      <c r="F959" s="2">
        <f>IFERROR(__xludf.DUMMYFUNCTION("""COMPUTED_VALUE"""),8303000.0)</f>
        <v>8303000</v>
      </c>
      <c r="G959" s="2">
        <f t="shared" si="1"/>
        <v>190</v>
      </c>
    </row>
    <row r="960" ht="15.75" customHeight="1">
      <c r="A960" s="1">
        <f>IFERROR(__xludf.DUMMYFUNCTION("""COMPUTED_VALUE"""),45266.66666666667)</f>
        <v>45266.66667</v>
      </c>
      <c r="B960" s="2">
        <f>IFERROR(__xludf.DUMMYFUNCTION("""COMPUTED_VALUE"""),4850.0)</f>
        <v>4850</v>
      </c>
      <c r="C960" s="2">
        <f>IFERROR(__xludf.DUMMYFUNCTION("""COMPUTED_VALUE"""),4980.0)</f>
        <v>4980</v>
      </c>
      <c r="D960" s="2">
        <f>IFERROR(__xludf.DUMMYFUNCTION("""COMPUTED_VALUE"""),4850.0)</f>
        <v>4850</v>
      </c>
      <c r="E960" s="2">
        <f>IFERROR(__xludf.DUMMYFUNCTION("""COMPUTED_VALUE"""),4940.0)</f>
        <v>4940</v>
      </c>
      <c r="F960" s="2">
        <f>IFERROR(__xludf.DUMMYFUNCTION("""COMPUTED_VALUE"""),1.20133E7)</f>
        <v>12013300</v>
      </c>
      <c r="G960" s="2">
        <f t="shared" si="1"/>
        <v>140</v>
      </c>
    </row>
    <row r="961" ht="15.75" customHeight="1">
      <c r="A961" s="1">
        <f>IFERROR(__xludf.DUMMYFUNCTION("""COMPUTED_VALUE"""),45267.66666666667)</f>
        <v>45267.66667</v>
      </c>
      <c r="B961" s="2">
        <f>IFERROR(__xludf.DUMMYFUNCTION("""COMPUTED_VALUE"""),4940.0)</f>
        <v>4940</v>
      </c>
      <c r="C961" s="2">
        <f>IFERROR(__xludf.DUMMYFUNCTION("""COMPUTED_VALUE"""),4950.0)</f>
        <v>4950</v>
      </c>
      <c r="D961" s="2">
        <f>IFERROR(__xludf.DUMMYFUNCTION("""COMPUTED_VALUE"""),4780.0)</f>
        <v>4780</v>
      </c>
      <c r="E961" s="2">
        <f>IFERROR(__xludf.DUMMYFUNCTION("""COMPUTED_VALUE"""),4800.0)</f>
        <v>4800</v>
      </c>
      <c r="F961" s="2">
        <f>IFERROR(__xludf.DUMMYFUNCTION("""COMPUTED_VALUE"""),4670400.0)</f>
        <v>4670400</v>
      </c>
      <c r="G961" s="2">
        <f t="shared" si="1"/>
        <v>170</v>
      </c>
    </row>
    <row r="962" ht="15.75" customHeight="1">
      <c r="A962" s="1">
        <f>IFERROR(__xludf.DUMMYFUNCTION("""COMPUTED_VALUE"""),45268.66666666667)</f>
        <v>45268.66667</v>
      </c>
      <c r="B962" s="2">
        <f>IFERROR(__xludf.DUMMYFUNCTION("""COMPUTED_VALUE"""),4850.0)</f>
        <v>4850</v>
      </c>
      <c r="C962" s="2">
        <f>IFERROR(__xludf.DUMMYFUNCTION("""COMPUTED_VALUE"""),4860.0)</f>
        <v>4860</v>
      </c>
      <c r="D962" s="2">
        <f>IFERROR(__xludf.DUMMYFUNCTION("""COMPUTED_VALUE"""),4730.0)</f>
        <v>4730</v>
      </c>
      <c r="E962" s="2">
        <f>IFERROR(__xludf.DUMMYFUNCTION("""COMPUTED_VALUE"""),4850.0)</f>
        <v>4850</v>
      </c>
      <c r="F962" s="2">
        <f>IFERROR(__xludf.DUMMYFUNCTION("""COMPUTED_VALUE"""),4011700.0)</f>
        <v>4011700</v>
      </c>
      <c r="G962" s="2">
        <f t="shared" si="1"/>
        <v>130</v>
      </c>
    </row>
    <row r="963" ht="15.75" customHeight="1">
      <c r="A963" s="1">
        <f>IFERROR(__xludf.DUMMYFUNCTION("""COMPUTED_VALUE"""),45271.66666666667)</f>
        <v>45271.66667</v>
      </c>
      <c r="B963" s="2">
        <f>IFERROR(__xludf.DUMMYFUNCTION("""COMPUTED_VALUE"""),4800.0)</f>
        <v>4800</v>
      </c>
      <c r="C963" s="2">
        <f>IFERROR(__xludf.DUMMYFUNCTION("""COMPUTED_VALUE"""),4870.0)</f>
        <v>4870</v>
      </c>
      <c r="D963" s="2">
        <f>IFERROR(__xludf.DUMMYFUNCTION("""COMPUTED_VALUE"""),4770.0)</f>
        <v>4770</v>
      </c>
      <c r="E963" s="2">
        <f>IFERROR(__xludf.DUMMYFUNCTION("""COMPUTED_VALUE"""),4800.0)</f>
        <v>4800</v>
      </c>
      <c r="F963" s="2">
        <f>IFERROR(__xludf.DUMMYFUNCTION("""COMPUTED_VALUE"""),5336800.0)</f>
        <v>5336800</v>
      </c>
      <c r="G963" s="2">
        <f t="shared" si="1"/>
        <v>100</v>
      </c>
    </row>
    <row r="964" ht="15.75" customHeight="1">
      <c r="A964" s="1">
        <f>IFERROR(__xludf.DUMMYFUNCTION("""COMPUTED_VALUE"""),45272.66666666667)</f>
        <v>45272.66667</v>
      </c>
      <c r="B964" s="2">
        <f>IFERROR(__xludf.DUMMYFUNCTION("""COMPUTED_VALUE"""),4840.0)</f>
        <v>4840</v>
      </c>
      <c r="C964" s="2">
        <f>IFERROR(__xludf.DUMMYFUNCTION("""COMPUTED_VALUE"""),4950.0)</f>
        <v>4950</v>
      </c>
      <c r="D964" s="2">
        <f>IFERROR(__xludf.DUMMYFUNCTION("""COMPUTED_VALUE"""),4810.0)</f>
        <v>4810</v>
      </c>
      <c r="E964" s="2">
        <f>IFERROR(__xludf.DUMMYFUNCTION("""COMPUTED_VALUE"""),4910.0)</f>
        <v>4910</v>
      </c>
      <c r="F964" s="2">
        <f>IFERROR(__xludf.DUMMYFUNCTION("""COMPUTED_VALUE"""),6712200.0)</f>
        <v>6712200</v>
      </c>
      <c r="G964" s="2">
        <f t="shared" si="1"/>
        <v>150</v>
      </c>
    </row>
    <row r="965" ht="15.75" customHeight="1">
      <c r="A965" s="1">
        <f>IFERROR(__xludf.DUMMYFUNCTION("""COMPUTED_VALUE"""),45273.66666666667)</f>
        <v>45273.66667</v>
      </c>
      <c r="B965" s="2">
        <f>IFERROR(__xludf.DUMMYFUNCTION("""COMPUTED_VALUE"""),4920.0)</f>
        <v>4920</v>
      </c>
      <c r="C965" s="2">
        <f>IFERROR(__xludf.DUMMYFUNCTION("""COMPUTED_VALUE"""),4920.0)</f>
        <v>4920</v>
      </c>
      <c r="D965" s="2">
        <f>IFERROR(__xludf.DUMMYFUNCTION("""COMPUTED_VALUE"""),4640.0)</f>
        <v>4640</v>
      </c>
      <c r="E965" s="2">
        <f>IFERROR(__xludf.DUMMYFUNCTION("""COMPUTED_VALUE"""),4680.0)</f>
        <v>4680</v>
      </c>
      <c r="F965" s="2">
        <f>IFERROR(__xludf.DUMMYFUNCTION("""COMPUTED_VALUE"""),1.04823E7)</f>
        <v>10482300</v>
      </c>
      <c r="G965" s="2">
        <f t="shared" si="1"/>
        <v>280</v>
      </c>
    </row>
    <row r="966" ht="15.75" customHeight="1">
      <c r="A966" s="1">
        <f>IFERROR(__xludf.DUMMYFUNCTION("""COMPUTED_VALUE"""),45274.66666666667)</f>
        <v>45274.66667</v>
      </c>
      <c r="B966" s="2">
        <f>IFERROR(__xludf.DUMMYFUNCTION("""COMPUTED_VALUE"""),4710.0)</f>
        <v>4710</v>
      </c>
      <c r="C966" s="2">
        <f>IFERROR(__xludf.DUMMYFUNCTION("""COMPUTED_VALUE"""),4830.0)</f>
        <v>4830</v>
      </c>
      <c r="D966" s="2">
        <f>IFERROR(__xludf.DUMMYFUNCTION("""COMPUTED_VALUE"""),4690.0)</f>
        <v>4690</v>
      </c>
      <c r="E966" s="2">
        <f>IFERROR(__xludf.DUMMYFUNCTION("""COMPUTED_VALUE"""),4800.0)</f>
        <v>4800</v>
      </c>
      <c r="F966" s="2">
        <f>IFERROR(__xludf.DUMMYFUNCTION("""COMPUTED_VALUE"""),8042100.0)</f>
        <v>8042100</v>
      </c>
      <c r="G966" s="2">
        <f t="shared" si="1"/>
        <v>150</v>
      </c>
    </row>
    <row r="967" ht="15.75" customHeight="1">
      <c r="A967" s="1">
        <f>IFERROR(__xludf.DUMMYFUNCTION("""COMPUTED_VALUE"""),45275.66666666667)</f>
        <v>45275.66667</v>
      </c>
      <c r="B967" s="2">
        <f>IFERROR(__xludf.DUMMYFUNCTION("""COMPUTED_VALUE"""),4840.0)</f>
        <v>4840</v>
      </c>
      <c r="C967" s="2">
        <f>IFERROR(__xludf.DUMMYFUNCTION("""COMPUTED_VALUE"""),4920.0)</f>
        <v>4920</v>
      </c>
      <c r="D967" s="2">
        <f>IFERROR(__xludf.DUMMYFUNCTION("""COMPUTED_VALUE"""),4770.0)</f>
        <v>4770</v>
      </c>
      <c r="E967" s="2">
        <f>IFERROR(__xludf.DUMMYFUNCTION("""COMPUTED_VALUE"""),4820.0)</f>
        <v>4820</v>
      </c>
      <c r="F967" s="2">
        <f>IFERROR(__xludf.DUMMYFUNCTION("""COMPUTED_VALUE"""),9341600.0)</f>
        <v>9341600</v>
      </c>
      <c r="G967" s="2">
        <f t="shared" si="1"/>
        <v>150</v>
      </c>
    </row>
    <row r="968" ht="15.75" customHeight="1">
      <c r="A968" s="1">
        <f>IFERROR(__xludf.DUMMYFUNCTION("""COMPUTED_VALUE"""),45278.66666666667)</f>
        <v>45278.66667</v>
      </c>
      <c r="B968" s="2">
        <f>IFERROR(__xludf.DUMMYFUNCTION("""COMPUTED_VALUE"""),4820.0)</f>
        <v>4820</v>
      </c>
      <c r="C968" s="2">
        <f>IFERROR(__xludf.DUMMYFUNCTION("""COMPUTED_VALUE"""),4820.0)</f>
        <v>4820</v>
      </c>
      <c r="D968" s="2">
        <f>IFERROR(__xludf.DUMMYFUNCTION("""COMPUTED_VALUE"""),4750.0)</f>
        <v>4750</v>
      </c>
      <c r="E968" s="2">
        <f>IFERROR(__xludf.DUMMYFUNCTION("""COMPUTED_VALUE"""),4780.0)</f>
        <v>4780</v>
      </c>
      <c r="F968" s="2">
        <f>IFERROR(__xludf.DUMMYFUNCTION("""COMPUTED_VALUE"""),3978500.0)</f>
        <v>3978500</v>
      </c>
      <c r="G968" s="2">
        <f t="shared" si="1"/>
        <v>70</v>
      </c>
    </row>
    <row r="969" ht="15.75" customHeight="1">
      <c r="A969" s="1">
        <f>IFERROR(__xludf.DUMMYFUNCTION("""COMPUTED_VALUE"""),45279.66666666667)</f>
        <v>45279.66667</v>
      </c>
      <c r="B969" s="2">
        <f>IFERROR(__xludf.DUMMYFUNCTION("""COMPUTED_VALUE"""),4790.0)</f>
        <v>4790</v>
      </c>
      <c r="C969" s="2">
        <f>IFERROR(__xludf.DUMMYFUNCTION("""COMPUTED_VALUE"""),4890.0)</f>
        <v>4890</v>
      </c>
      <c r="D969" s="2">
        <f>IFERROR(__xludf.DUMMYFUNCTION("""COMPUTED_VALUE"""),4790.0)</f>
        <v>4790</v>
      </c>
      <c r="E969" s="2">
        <f>IFERROR(__xludf.DUMMYFUNCTION("""COMPUTED_VALUE"""),4880.0)</f>
        <v>4880</v>
      </c>
      <c r="F969" s="2">
        <f>IFERROR(__xludf.DUMMYFUNCTION("""COMPUTED_VALUE"""),3479500.0)</f>
        <v>3479500</v>
      </c>
      <c r="G969" s="2">
        <f t="shared" si="1"/>
        <v>110</v>
      </c>
    </row>
    <row r="970" ht="15.75" customHeight="1">
      <c r="A970" s="1">
        <f>IFERROR(__xludf.DUMMYFUNCTION("""COMPUTED_VALUE"""),45280.66666666667)</f>
        <v>45280.66667</v>
      </c>
      <c r="B970" s="2">
        <f>IFERROR(__xludf.DUMMYFUNCTION("""COMPUTED_VALUE"""),4880.0)</f>
        <v>4880</v>
      </c>
      <c r="C970" s="2">
        <f>IFERROR(__xludf.DUMMYFUNCTION("""COMPUTED_VALUE"""),4890.0)</f>
        <v>4890</v>
      </c>
      <c r="D970" s="2">
        <f>IFERROR(__xludf.DUMMYFUNCTION("""COMPUTED_VALUE"""),4800.0)</f>
        <v>4800</v>
      </c>
      <c r="E970" s="2">
        <f>IFERROR(__xludf.DUMMYFUNCTION("""COMPUTED_VALUE"""),4800.0)</f>
        <v>4800</v>
      </c>
      <c r="F970" s="2">
        <f>IFERROR(__xludf.DUMMYFUNCTION("""COMPUTED_VALUE"""),1593400.0)</f>
        <v>1593400</v>
      </c>
      <c r="G970" s="2">
        <f t="shared" si="1"/>
        <v>90</v>
      </c>
    </row>
    <row r="971" ht="15.75" customHeight="1">
      <c r="A971" s="1">
        <f>IFERROR(__xludf.DUMMYFUNCTION("""COMPUTED_VALUE"""),45281.66666666667)</f>
        <v>45281.66667</v>
      </c>
      <c r="B971" s="2">
        <f>IFERROR(__xludf.DUMMYFUNCTION("""COMPUTED_VALUE"""),4800.0)</f>
        <v>4800</v>
      </c>
      <c r="C971" s="2">
        <f>IFERROR(__xludf.DUMMYFUNCTION("""COMPUTED_VALUE"""),4830.0)</f>
        <v>4830</v>
      </c>
      <c r="D971" s="2">
        <f>IFERROR(__xludf.DUMMYFUNCTION("""COMPUTED_VALUE"""),4720.0)</f>
        <v>4720</v>
      </c>
      <c r="E971" s="2">
        <f>IFERROR(__xludf.DUMMYFUNCTION("""COMPUTED_VALUE"""),4760.0)</f>
        <v>4760</v>
      </c>
      <c r="F971" s="2">
        <f>IFERROR(__xludf.DUMMYFUNCTION("""COMPUTED_VALUE"""),2105000.0)</f>
        <v>2105000</v>
      </c>
      <c r="G971" s="2">
        <f t="shared" si="1"/>
        <v>110</v>
      </c>
    </row>
    <row r="972" ht="15.75" customHeight="1">
      <c r="A972" s="1">
        <f>IFERROR(__xludf.DUMMYFUNCTION("""COMPUTED_VALUE"""),45282.66666666667)</f>
        <v>45282.66667</v>
      </c>
      <c r="B972" s="2">
        <f>IFERROR(__xludf.DUMMYFUNCTION("""COMPUTED_VALUE"""),4770.0)</f>
        <v>4770</v>
      </c>
      <c r="C972" s="2">
        <f>IFERROR(__xludf.DUMMYFUNCTION("""COMPUTED_VALUE"""),4800.0)</f>
        <v>4800</v>
      </c>
      <c r="D972" s="2">
        <f>IFERROR(__xludf.DUMMYFUNCTION("""COMPUTED_VALUE"""),4730.0)</f>
        <v>4730</v>
      </c>
      <c r="E972" s="2">
        <f>IFERROR(__xludf.DUMMYFUNCTION("""COMPUTED_VALUE"""),4790.0)</f>
        <v>4790</v>
      </c>
      <c r="F972" s="2">
        <f>IFERROR(__xludf.DUMMYFUNCTION("""COMPUTED_VALUE"""),1348900.0)</f>
        <v>1348900</v>
      </c>
      <c r="G972" s="2">
        <f t="shared" si="1"/>
        <v>70</v>
      </c>
    </row>
    <row r="973" ht="15.75" customHeight="1">
      <c r="A973" s="1">
        <f>IFERROR(__xludf.DUMMYFUNCTION("""COMPUTED_VALUE"""),45287.66666666667)</f>
        <v>45287.66667</v>
      </c>
      <c r="B973" s="2">
        <f>IFERROR(__xludf.DUMMYFUNCTION("""COMPUTED_VALUE"""),4790.0)</f>
        <v>4790</v>
      </c>
      <c r="C973" s="2">
        <f>IFERROR(__xludf.DUMMYFUNCTION("""COMPUTED_VALUE"""),4820.0)</f>
        <v>4820</v>
      </c>
      <c r="D973" s="2">
        <f>IFERROR(__xludf.DUMMYFUNCTION("""COMPUTED_VALUE"""),4740.0)</f>
        <v>4740</v>
      </c>
      <c r="E973" s="2">
        <f>IFERROR(__xludf.DUMMYFUNCTION("""COMPUTED_VALUE"""),4760.0)</f>
        <v>4760</v>
      </c>
      <c r="F973" s="2">
        <f>IFERROR(__xludf.DUMMYFUNCTION("""COMPUTED_VALUE"""),1445600.0)</f>
        <v>1445600</v>
      </c>
      <c r="G973" s="2">
        <f t="shared" si="1"/>
        <v>80</v>
      </c>
    </row>
    <row r="974" ht="15.75" customHeight="1">
      <c r="A974" s="1">
        <f>IFERROR(__xludf.DUMMYFUNCTION("""COMPUTED_VALUE"""),45288.66666666667)</f>
        <v>45288.66667</v>
      </c>
      <c r="B974" s="2">
        <f>IFERROR(__xludf.DUMMYFUNCTION("""COMPUTED_VALUE"""),4760.0)</f>
        <v>4760</v>
      </c>
      <c r="C974" s="2">
        <f>IFERROR(__xludf.DUMMYFUNCTION("""COMPUTED_VALUE"""),4780.0)</f>
        <v>4780</v>
      </c>
      <c r="D974" s="2">
        <f>IFERROR(__xludf.DUMMYFUNCTION("""COMPUTED_VALUE"""),4740.0)</f>
        <v>4740</v>
      </c>
      <c r="E974" s="2">
        <f>IFERROR(__xludf.DUMMYFUNCTION("""COMPUTED_VALUE"""),4750.0)</f>
        <v>4750</v>
      </c>
      <c r="F974" s="2">
        <f>IFERROR(__xludf.DUMMYFUNCTION("""COMPUTED_VALUE"""),1667500.0)</f>
        <v>1667500</v>
      </c>
      <c r="G974" s="2">
        <f t="shared" si="1"/>
        <v>40</v>
      </c>
    </row>
    <row r="975" ht="15.75" customHeight="1">
      <c r="A975" s="1">
        <f>IFERROR(__xludf.DUMMYFUNCTION("""COMPUTED_VALUE"""),45289.66666666667)</f>
        <v>45289.66667</v>
      </c>
      <c r="B975" s="2">
        <f>IFERROR(__xludf.DUMMYFUNCTION("""COMPUTED_VALUE"""),4800.0)</f>
        <v>4800</v>
      </c>
      <c r="C975" s="2">
        <f>IFERROR(__xludf.DUMMYFUNCTION("""COMPUTED_VALUE"""),4890.0)</f>
        <v>4890</v>
      </c>
      <c r="D975" s="2">
        <f>IFERROR(__xludf.DUMMYFUNCTION("""COMPUTED_VALUE"""),4740.0)</f>
        <v>4740</v>
      </c>
      <c r="E975" s="2">
        <f>IFERROR(__xludf.DUMMYFUNCTION("""COMPUTED_VALUE"""),4870.0)</f>
        <v>4870</v>
      </c>
      <c r="F975" s="2">
        <f>IFERROR(__xludf.DUMMYFUNCTION("""COMPUTED_VALUE"""),5976800.0)</f>
        <v>5976800</v>
      </c>
      <c r="G975" s="2">
        <f t="shared" si="1"/>
        <v>150</v>
      </c>
    </row>
    <row r="976" ht="15.75" customHeight="1">
      <c r="A976" s="1">
        <f>IFERROR(__xludf.DUMMYFUNCTION("""COMPUTED_VALUE"""),45293.66666666667)</f>
        <v>45293.66667</v>
      </c>
      <c r="B976" s="2">
        <f>IFERROR(__xludf.DUMMYFUNCTION("""COMPUTED_VALUE"""),4870.0)</f>
        <v>4870</v>
      </c>
      <c r="C976" s="2">
        <f>IFERROR(__xludf.DUMMYFUNCTION("""COMPUTED_VALUE"""),4940.0)</f>
        <v>4940</v>
      </c>
      <c r="D976" s="2">
        <f>IFERROR(__xludf.DUMMYFUNCTION("""COMPUTED_VALUE"""),4810.0)</f>
        <v>4810</v>
      </c>
      <c r="E976" s="2">
        <f>IFERROR(__xludf.DUMMYFUNCTION("""COMPUTED_VALUE"""),4850.0)</f>
        <v>4850</v>
      </c>
      <c r="F976" s="2">
        <f>IFERROR(__xludf.DUMMYFUNCTION("""COMPUTED_VALUE"""),2735800.0)</f>
        <v>2735800</v>
      </c>
      <c r="G976" s="2">
        <f t="shared" si="1"/>
        <v>130</v>
      </c>
    </row>
    <row r="977" ht="15.75" customHeight="1">
      <c r="A977" s="1">
        <f>IFERROR(__xludf.DUMMYFUNCTION("""COMPUTED_VALUE"""),45294.66666666667)</f>
        <v>45294.66667</v>
      </c>
      <c r="B977" s="2">
        <f>IFERROR(__xludf.DUMMYFUNCTION("""COMPUTED_VALUE"""),4850.0)</f>
        <v>4850</v>
      </c>
      <c r="C977" s="2">
        <f>IFERROR(__xludf.DUMMYFUNCTION("""COMPUTED_VALUE"""),4910.0)</f>
        <v>4910</v>
      </c>
      <c r="D977" s="2">
        <f>IFERROR(__xludf.DUMMYFUNCTION("""COMPUTED_VALUE"""),4810.0)</f>
        <v>4810</v>
      </c>
      <c r="E977" s="2">
        <f>IFERROR(__xludf.DUMMYFUNCTION("""COMPUTED_VALUE"""),4850.0)</f>
        <v>4850</v>
      </c>
      <c r="F977" s="2">
        <f>IFERROR(__xludf.DUMMYFUNCTION("""COMPUTED_VALUE"""),2441300.0)</f>
        <v>2441300</v>
      </c>
      <c r="G977" s="2">
        <f t="shared" si="1"/>
        <v>100</v>
      </c>
    </row>
    <row r="978" ht="15.75" customHeight="1">
      <c r="A978" s="1">
        <f>IFERROR(__xludf.DUMMYFUNCTION("""COMPUTED_VALUE"""),45295.66666666667)</f>
        <v>45295.66667</v>
      </c>
      <c r="B978" s="2">
        <f>IFERROR(__xludf.DUMMYFUNCTION("""COMPUTED_VALUE"""),4850.0)</f>
        <v>4850</v>
      </c>
      <c r="C978" s="2">
        <f>IFERROR(__xludf.DUMMYFUNCTION("""COMPUTED_VALUE"""),4850.0)</f>
        <v>4850</v>
      </c>
      <c r="D978" s="2">
        <f>IFERROR(__xludf.DUMMYFUNCTION("""COMPUTED_VALUE"""),4750.0)</f>
        <v>4750</v>
      </c>
      <c r="E978" s="2">
        <f>IFERROR(__xludf.DUMMYFUNCTION("""COMPUTED_VALUE"""),4760.0)</f>
        <v>4760</v>
      </c>
      <c r="F978" s="2">
        <f>IFERROR(__xludf.DUMMYFUNCTION("""COMPUTED_VALUE"""),5836700.0)</f>
        <v>5836700</v>
      </c>
      <c r="G978" s="2">
        <f t="shared" si="1"/>
        <v>100</v>
      </c>
    </row>
    <row r="979" ht="15.75" customHeight="1">
      <c r="A979" s="1">
        <f>IFERROR(__xludf.DUMMYFUNCTION("""COMPUTED_VALUE"""),45296.66666666667)</f>
        <v>45296.66667</v>
      </c>
      <c r="B979" s="2">
        <f>IFERROR(__xludf.DUMMYFUNCTION("""COMPUTED_VALUE"""),4780.0)</f>
        <v>4780</v>
      </c>
      <c r="C979" s="2">
        <f>IFERROR(__xludf.DUMMYFUNCTION("""COMPUTED_VALUE"""),4780.0)</f>
        <v>4780</v>
      </c>
      <c r="D979" s="2">
        <f>IFERROR(__xludf.DUMMYFUNCTION("""COMPUTED_VALUE"""),4670.0)</f>
        <v>4670</v>
      </c>
      <c r="E979" s="2">
        <f>IFERROR(__xludf.DUMMYFUNCTION("""COMPUTED_VALUE"""),4690.0)</f>
        <v>4690</v>
      </c>
      <c r="F979" s="2">
        <f>IFERROR(__xludf.DUMMYFUNCTION("""COMPUTED_VALUE"""),5805600.0)</f>
        <v>5805600</v>
      </c>
      <c r="G979" s="2">
        <f t="shared" si="1"/>
        <v>110</v>
      </c>
    </row>
    <row r="980" ht="15.75" customHeight="1">
      <c r="A980" s="1">
        <f>IFERROR(__xludf.DUMMYFUNCTION("""COMPUTED_VALUE"""),45299.66666666667)</f>
        <v>45299.66667</v>
      </c>
      <c r="B980" s="2">
        <f>IFERROR(__xludf.DUMMYFUNCTION("""COMPUTED_VALUE"""),4690.0)</f>
        <v>4690</v>
      </c>
      <c r="C980" s="2">
        <f>IFERROR(__xludf.DUMMYFUNCTION("""COMPUTED_VALUE"""),4710.0)</f>
        <v>4710</v>
      </c>
      <c r="D980" s="2">
        <f>IFERROR(__xludf.DUMMYFUNCTION("""COMPUTED_VALUE"""),4610.0)</f>
        <v>4610</v>
      </c>
      <c r="E980" s="2">
        <f>IFERROR(__xludf.DUMMYFUNCTION("""COMPUTED_VALUE"""),4690.0)</f>
        <v>4690</v>
      </c>
      <c r="F980" s="2">
        <f>IFERROR(__xludf.DUMMYFUNCTION("""COMPUTED_VALUE"""),4462900.0)</f>
        <v>4462900</v>
      </c>
      <c r="G980" s="2">
        <f t="shared" si="1"/>
        <v>100</v>
      </c>
    </row>
    <row r="981" ht="15.75" customHeight="1">
      <c r="A981" s="1">
        <f>IFERROR(__xludf.DUMMYFUNCTION("""COMPUTED_VALUE"""),45300.66666666667)</f>
        <v>45300.66667</v>
      </c>
      <c r="B981" s="2">
        <f>IFERROR(__xludf.DUMMYFUNCTION("""COMPUTED_VALUE"""),4700.0)</f>
        <v>4700</v>
      </c>
      <c r="C981" s="2">
        <f>IFERROR(__xludf.DUMMYFUNCTION("""COMPUTED_VALUE"""),4800.0)</f>
        <v>4800</v>
      </c>
      <c r="D981" s="2">
        <f>IFERROR(__xludf.DUMMYFUNCTION("""COMPUTED_VALUE"""),4700.0)</f>
        <v>4700</v>
      </c>
      <c r="E981" s="2">
        <f>IFERROR(__xludf.DUMMYFUNCTION("""COMPUTED_VALUE"""),4790.0)</f>
        <v>4790</v>
      </c>
      <c r="F981" s="2">
        <f>IFERROR(__xludf.DUMMYFUNCTION("""COMPUTED_VALUE"""),8791400.0)</f>
        <v>8791400</v>
      </c>
      <c r="G981" s="2">
        <f t="shared" si="1"/>
        <v>110</v>
      </c>
    </row>
    <row r="982" ht="15.75" customHeight="1">
      <c r="A982" s="1">
        <f>IFERROR(__xludf.DUMMYFUNCTION("""COMPUTED_VALUE"""),45301.66666666667)</f>
        <v>45301.66667</v>
      </c>
      <c r="B982" s="2">
        <f>IFERROR(__xludf.DUMMYFUNCTION("""COMPUTED_VALUE"""),4790.0)</f>
        <v>4790</v>
      </c>
      <c r="C982" s="2">
        <f>IFERROR(__xludf.DUMMYFUNCTION("""COMPUTED_VALUE"""),4890.0)</f>
        <v>4890</v>
      </c>
      <c r="D982" s="2">
        <f>IFERROR(__xludf.DUMMYFUNCTION("""COMPUTED_VALUE"""),4780.0)</f>
        <v>4780</v>
      </c>
      <c r="E982" s="2">
        <f>IFERROR(__xludf.DUMMYFUNCTION("""COMPUTED_VALUE"""),4840.0)</f>
        <v>4840</v>
      </c>
      <c r="F982" s="2">
        <f>IFERROR(__xludf.DUMMYFUNCTION("""COMPUTED_VALUE"""),8262800.0)</f>
        <v>8262800</v>
      </c>
      <c r="G982" s="2">
        <f t="shared" si="1"/>
        <v>110</v>
      </c>
    </row>
    <row r="983" ht="15.75" customHeight="1">
      <c r="A983" s="1">
        <f>IFERROR(__xludf.DUMMYFUNCTION("""COMPUTED_VALUE"""),45302.66666666667)</f>
        <v>45302.66667</v>
      </c>
      <c r="B983" s="2">
        <f>IFERROR(__xludf.DUMMYFUNCTION("""COMPUTED_VALUE"""),4830.0)</f>
        <v>4830</v>
      </c>
      <c r="C983" s="2">
        <f>IFERROR(__xludf.DUMMYFUNCTION("""COMPUTED_VALUE"""),4900.0)</f>
        <v>4900</v>
      </c>
      <c r="D983" s="2">
        <f>IFERROR(__xludf.DUMMYFUNCTION("""COMPUTED_VALUE"""),4830.0)</f>
        <v>4830</v>
      </c>
      <c r="E983" s="2">
        <f>IFERROR(__xludf.DUMMYFUNCTION("""COMPUTED_VALUE"""),4840.0)</f>
        <v>4840</v>
      </c>
      <c r="F983" s="2">
        <f>IFERROR(__xludf.DUMMYFUNCTION("""COMPUTED_VALUE"""),3161600.0)</f>
        <v>3161600</v>
      </c>
      <c r="G983" s="2">
        <f t="shared" si="1"/>
        <v>70</v>
      </c>
    </row>
    <row r="984" ht="15.75" customHeight="1">
      <c r="A984" s="1">
        <f>IFERROR(__xludf.DUMMYFUNCTION("""COMPUTED_VALUE"""),45303.66666666667)</f>
        <v>45303.66667</v>
      </c>
      <c r="B984" s="2">
        <f>IFERROR(__xludf.DUMMYFUNCTION("""COMPUTED_VALUE"""),4850.0)</f>
        <v>4850</v>
      </c>
      <c r="C984" s="2">
        <f>IFERROR(__xludf.DUMMYFUNCTION("""COMPUTED_VALUE"""),4920.0)</f>
        <v>4920</v>
      </c>
      <c r="D984" s="2">
        <f>IFERROR(__xludf.DUMMYFUNCTION("""COMPUTED_VALUE"""),4820.0)</f>
        <v>4820</v>
      </c>
      <c r="E984" s="2">
        <f>IFERROR(__xludf.DUMMYFUNCTION("""COMPUTED_VALUE"""),4820.0)</f>
        <v>4820</v>
      </c>
      <c r="F984" s="2">
        <f>IFERROR(__xludf.DUMMYFUNCTION("""COMPUTED_VALUE"""),4171100.0)</f>
        <v>4171100</v>
      </c>
      <c r="G984" s="2">
        <f t="shared" si="1"/>
        <v>100</v>
      </c>
    </row>
    <row r="985" ht="15.75" customHeight="1">
      <c r="A985" s="1">
        <f>IFERROR(__xludf.DUMMYFUNCTION("""COMPUTED_VALUE"""),45306.66666666667)</f>
        <v>45306.66667</v>
      </c>
      <c r="B985" s="2">
        <f>IFERROR(__xludf.DUMMYFUNCTION("""COMPUTED_VALUE"""),4820.0)</f>
        <v>4820</v>
      </c>
      <c r="C985" s="2">
        <f>IFERROR(__xludf.DUMMYFUNCTION("""COMPUTED_VALUE"""),4850.0)</f>
        <v>4850</v>
      </c>
      <c r="D985" s="2">
        <f>IFERROR(__xludf.DUMMYFUNCTION("""COMPUTED_VALUE"""),4720.0)</f>
        <v>4720</v>
      </c>
      <c r="E985" s="2">
        <f>IFERROR(__xludf.DUMMYFUNCTION("""COMPUTED_VALUE"""),4730.0)</f>
        <v>4730</v>
      </c>
      <c r="F985" s="2">
        <f>IFERROR(__xludf.DUMMYFUNCTION("""COMPUTED_VALUE"""),3657400.0)</f>
        <v>3657400</v>
      </c>
      <c r="G985" s="2">
        <f t="shared" si="1"/>
        <v>130</v>
      </c>
    </row>
    <row r="986" ht="15.75" customHeight="1">
      <c r="A986" s="1">
        <f>IFERROR(__xludf.DUMMYFUNCTION("""COMPUTED_VALUE"""),45307.66666666667)</f>
        <v>45307.66667</v>
      </c>
      <c r="B986" s="2">
        <f>IFERROR(__xludf.DUMMYFUNCTION("""COMPUTED_VALUE"""),4730.0)</f>
        <v>4730</v>
      </c>
      <c r="C986" s="2">
        <f>IFERROR(__xludf.DUMMYFUNCTION("""COMPUTED_VALUE"""),4790.0)</f>
        <v>4790</v>
      </c>
      <c r="D986" s="2">
        <f>IFERROR(__xludf.DUMMYFUNCTION("""COMPUTED_VALUE"""),4710.0)</f>
        <v>4710</v>
      </c>
      <c r="E986" s="2">
        <f>IFERROR(__xludf.DUMMYFUNCTION("""COMPUTED_VALUE"""),4710.0)</f>
        <v>4710</v>
      </c>
      <c r="F986" s="2">
        <f>IFERROR(__xludf.DUMMYFUNCTION("""COMPUTED_VALUE"""),3379900.0)</f>
        <v>3379900</v>
      </c>
      <c r="G986" s="2">
        <f t="shared" si="1"/>
        <v>80</v>
      </c>
    </row>
    <row r="987" ht="15.75" customHeight="1">
      <c r="A987" s="1">
        <f>IFERROR(__xludf.DUMMYFUNCTION("""COMPUTED_VALUE"""),45308.66666666667)</f>
        <v>45308.66667</v>
      </c>
      <c r="B987" s="2">
        <f>IFERROR(__xludf.DUMMYFUNCTION("""COMPUTED_VALUE"""),4720.0)</f>
        <v>4720</v>
      </c>
      <c r="C987" s="2">
        <f>IFERROR(__xludf.DUMMYFUNCTION("""COMPUTED_VALUE"""),4740.0)</f>
        <v>4740</v>
      </c>
      <c r="D987" s="2">
        <f>IFERROR(__xludf.DUMMYFUNCTION("""COMPUTED_VALUE"""),4660.0)</f>
        <v>4660</v>
      </c>
      <c r="E987" s="2">
        <f>IFERROR(__xludf.DUMMYFUNCTION("""COMPUTED_VALUE"""),4700.0)</f>
        <v>4700</v>
      </c>
      <c r="F987" s="2">
        <f>IFERROR(__xludf.DUMMYFUNCTION("""COMPUTED_VALUE"""),5565000.0)</f>
        <v>5565000</v>
      </c>
      <c r="G987" s="2">
        <f t="shared" si="1"/>
        <v>80</v>
      </c>
    </row>
    <row r="988" ht="15.75" customHeight="1">
      <c r="A988" s="1">
        <f>IFERROR(__xludf.DUMMYFUNCTION("""COMPUTED_VALUE"""),45309.66666666667)</f>
        <v>45309.66667</v>
      </c>
      <c r="B988" s="2">
        <f>IFERROR(__xludf.DUMMYFUNCTION("""COMPUTED_VALUE"""),4700.0)</f>
        <v>4700</v>
      </c>
      <c r="C988" s="2">
        <f>IFERROR(__xludf.DUMMYFUNCTION("""COMPUTED_VALUE"""),4750.0)</f>
        <v>4750</v>
      </c>
      <c r="D988" s="2">
        <f>IFERROR(__xludf.DUMMYFUNCTION("""COMPUTED_VALUE"""),4670.0)</f>
        <v>4670</v>
      </c>
      <c r="E988" s="2">
        <f>IFERROR(__xludf.DUMMYFUNCTION("""COMPUTED_VALUE"""),4680.0)</f>
        <v>4680</v>
      </c>
      <c r="F988" s="2">
        <f>IFERROR(__xludf.DUMMYFUNCTION("""COMPUTED_VALUE"""),3298300.0)</f>
        <v>3298300</v>
      </c>
      <c r="G988" s="2">
        <f t="shared" si="1"/>
        <v>80</v>
      </c>
    </row>
    <row r="989" ht="15.75" customHeight="1">
      <c r="A989" s="1">
        <f>IFERROR(__xludf.DUMMYFUNCTION("""COMPUTED_VALUE"""),45310.66666666667)</f>
        <v>45310.66667</v>
      </c>
      <c r="B989" s="2">
        <f>IFERROR(__xludf.DUMMYFUNCTION("""COMPUTED_VALUE"""),4680.0)</f>
        <v>4680</v>
      </c>
      <c r="C989" s="2">
        <f>IFERROR(__xludf.DUMMYFUNCTION("""COMPUTED_VALUE"""),4770.0)</f>
        <v>4770</v>
      </c>
      <c r="D989" s="2">
        <f>IFERROR(__xludf.DUMMYFUNCTION("""COMPUTED_VALUE"""),4660.0)</f>
        <v>4660</v>
      </c>
      <c r="E989" s="2">
        <f>IFERROR(__xludf.DUMMYFUNCTION("""COMPUTED_VALUE"""),4750.0)</f>
        <v>4750</v>
      </c>
      <c r="F989" s="2">
        <f>IFERROR(__xludf.DUMMYFUNCTION("""COMPUTED_VALUE"""),3127900.0)</f>
        <v>3127900</v>
      </c>
      <c r="G989" s="2">
        <f t="shared" si="1"/>
        <v>110</v>
      </c>
    </row>
    <row r="990" ht="15.75" customHeight="1">
      <c r="A990" s="1">
        <f>IFERROR(__xludf.DUMMYFUNCTION("""COMPUTED_VALUE"""),45313.66666666667)</f>
        <v>45313.66667</v>
      </c>
      <c r="B990" s="2">
        <f>IFERROR(__xludf.DUMMYFUNCTION("""COMPUTED_VALUE"""),4700.0)</f>
        <v>4700</v>
      </c>
      <c r="C990" s="2">
        <f>IFERROR(__xludf.DUMMYFUNCTION("""COMPUTED_VALUE"""),4780.0)</f>
        <v>4780</v>
      </c>
      <c r="D990" s="2">
        <f>IFERROR(__xludf.DUMMYFUNCTION("""COMPUTED_VALUE"""),4700.0)</f>
        <v>4700</v>
      </c>
      <c r="E990" s="2">
        <f>IFERROR(__xludf.DUMMYFUNCTION("""COMPUTED_VALUE"""),4770.0)</f>
        <v>4770</v>
      </c>
      <c r="F990" s="2">
        <f>IFERROR(__xludf.DUMMYFUNCTION("""COMPUTED_VALUE"""),2859800.0)</f>
        <v>2859800</v>
      </c>
      <c r="G990" s="2">
        <f t="shared" si="1"/>
        <v>80</v>
      </c>
    </row>
    <row r="991" ht="15.75" customHeight="1">
      <c r="A991" s="1">
        <f>IFERROR(__xludf.DUMMYFUNCTION("""COMPUTED_VALUE"""),45314.66666666667)</f>
        <v>45314.66667</v>
      </c>
      <c r="B991" s="2">
        <f>IFERROR(__xludf.DUMMYFUNCTION("""COMPUTED_VALUE"""),4770.0)</f>
        <v>4770</v>
      </c>
      <c r="C991" s="2">
        <f>IFERROR(__xludf.DUMMYFUNCTION("""COMPUTED_VALUE"""),4770.0)</f>
        <v>4770</v>
      </c>
      <c r="D991" s="2">
        <f>IFERROR(__xludf.DUMMYFUNCTION("""COMPUTED_VALUE"""),4710.0)</f>
        <v>4710</v>
      </c>
      <c r="E991" s="2">
        <f>IFERROR(__xludf.DUMMYFUNCTION("""COMPUTED_VALUE"""),4760.0)</f>
        <v>4760</v>
      </c>
      <c r="F991" s="2">
        <f>IFERROR(__xludf.DUMMYFUNCTION("""COMPUTED_VALUE"""),2763500.0)</f>
        <v>2763500</v>
      </c>
      <c r="G991" s="2">
        <f t="shared" si="1"/>
        <v>60</v>
      </c>
    </row>
    <row r="992" ht="15.75" customHeight="1">
      <c r="A992" s="1">
        <f>IFERROR(__xludf.DUMMYFUNCTION("""COMPUTED_VALUE"""),45315.66666666667)</f>
        <v>45315.66667</v>
      </c>
      <c r="B992" s="2">
        <f>IFERROR(__xludf.DUMMYFUNCTION("""COMPUTED_VALUE"""),4760.0)</f>
        <v>4760</v>
      </c>
      <c r="C992" s="2">
        <f>IFERROR(__xludf.DUMMYFUNCTION("""COMPUTED_VALUE"""),4820.0)</f>
        <v>4820</v>
      </c>
      <c r="D992" s="2">
        <f>IFERROR(__xludf.DUMMYFUNCTION("""COMPUTED_VALUE"""),4690.0)</f>
        <v>4690</v>
      </c>
      <c r="E992" s="2">
        <f>IFERROR(__xludf.DUMMYFUNCTION("""COMPUTED_VALUE"""),4820.0)</f>
        <v>4820</v>
      </c>
      <c r="F992" s="2">
        <f>IFERROR(__xludf.DUMMYFUNCTION("""COMPUTED_VALUE"""),4062500.0)</f>
        <v>4062500</v>
      </c>
      <c r="G992" s="2">
        <f t="shared" si="1"/>
        <v>130</v>
      </c>
    </row>
    <row r="993" ht="15.75" customHeight="1">
      <c r="A993" s="1">
        <f>IFERROR(__xludf.DUMMYFUNCTION("""COMPUTED_VALUE"""),45316.66666666667)</f>
        <v>45316.66667</v>
      </c>
      <c r="B993" s="2">
        <f>IFERROR(__xludf.DUMMYFUNCTION("""COMPUTED_VALUE"""),4820.0)</f>
        <v>4820</v>
      </c>
      <c r="C993" s="2">
        <f>IFERROR(__xludf.DUMMYFUNCTION("""COMPUTED_VALUE"""),4830.0)</f>
        <v>4830</v>
      </c>
      <c r="D993" s="2">
        <f>IFERROR(__xludf.DUMMYFUNCTION("""COMPUTED_VALUE"""),4670.0)</f>
        <v>4670</v>
      </c>
      <c r="E993" s="2">
        <f>IFERROR(__xludf.DUMMYFUNCTION("""COMPUTED_VALUE"""),4700.0)</f>
        <v>4700</v>
      </c>
      <c r="F993" s="2">
        <f>IFERROR(__xludf.DUMMYFUNCTION("""COMPUTED_VALUE"""),6331400.0)</f>
        <v>6331400</v>
      </c>
      <c r="G993" s="2">
        <f t="shared" si="1"/>
        <v>160</v>
      </c>
    </row>
    <row r="994" ht="15.75" customHeight="1">
      <c r="A994" s="1">
        <f>IFERROR(__xludf.DUMMYFUNCTION("""COMPUTED_VALUE"""),45317.66666666667)</f>
        <v>45317.66667</v>
      </c>
      <c r="B994" s="2">
        <f>IFERROR(__xludf.DUMMYFUNCTION("""COMPUTED_VALUE"""),4700.0)</f>
        <v>4700</v>
      </c>
      <c r="C994" s="2">
        <f>IFERROR(__xludf.DUMMYFUNCTION("""COMPUTED_VALUE"""),4740.0)</f>
        <v>4740</v>
      </c>
      <c r="D994" s="2">
        <f>IFERROR(__xludf.DUMMYFUNCTION("""COMPUTED_VALUE"""),4670.0)</f>
        <v>4670</v>
      </c>
      <c r="E994" s="2">
        <f>IFERROR(__xludf.DUMMYFUNCTION("""COMPUTED_VALUE"""),4740.0)</f>
        <v>4740</v>
      </c>
      <c r="F994" s="2">
        <f>IFERROR(__xludf.DUMMYFUNCTION("""COMPUTED_VALUE"""),2362700.0)</f>
        <v>2362700</v>
      </c>
      <c r="G994" s="2">
        <f t="shared" si="1"/>
        <v>70</v>
      </c>
    </row>
    <row r="995" ht="15.75" customHeight="1">
      <c r="A995" s="1">
        <f>IFERROR(__xludf.DUMMYFUNCTION("""COMPUTED_VALUE"""),45320.66666666667)</f>
        <v>45320.66667</v>
      </c>
      <c r="B995" s="2">
        <f>IFERROR(__xludf.DUMMYFUNCTION("""COMPUTED_VALUE"""),4750.0)</f>
        <v>4750</v>
      </c>
      <c r="C995" s="2">
        <f>IFERROR(__xludf.DUMMYFUNCTION("""COMPUTED_VALUE"""),4810.0)</f>
        <v>4810</v>
      </c>
      <c r="D995" s="2">
        <f>IFERROR(__xludf.DUMMYFUNCTION("""COMPUTED_VALUE"""),4710.0)</f>
        <v>4710</v>
      </c>
      <c r="E995" s="2">
        <f>IFERROR(__xludf.DUMMYFUNCTION("""COMPUTED_VALUE"""),4750.0)</f>
        <v>4750</v>
      </c>
      <c r="F995" s="2">
        <f>IFERROR(__xludf.DUMMYFUNCTION("""COMPUTED_VALUE"""),3073300.0)</f>
        <v>3073300</v>
      </c>
      <c r="G995" s="2">
        <f t="shared" si="1"/>
        <v>100</v>
      </c>
    </row>
    <row r="996" ht="15.75" customHeight="1">
      <c r="A996" s="1">
        <f>IFERROR(__xludf.DUMMYFUNCTION("""COMPUTED_VALUE"""),45321.66666666667)</f>
        <v>45321.66667</v>
      </c>
      <c r="B996" s="2">
        <f>IFERROR(__xludf.DUMMYFUNCTION("""COMPUTED_VALUE"""),4730.0)</f>
        <v>4730</v>
      </c>
      <c r="C996" s="2">
        <f>IFERROR(__xludf.DUMMYFUNCTION("""COMPUTED_VALUE"""),4910.0)</f>
        <v>4910</v>
      </c>
      <c r="D996" s="2">
        <f>IFERROR(__xludf.DUMMYFUNCTION("""COMPUTED_VALUE"""),4720.0)</f>
        <v>4720</v>
      </c>
      <c r="E996" s="2">
        <f>IFERROR(__xludf.DUMMYFUNCTION("""COMPUTED_VALUE"""),4900.0)</f>
        <v>4900</v>
      </c>
      <c r="F996" s="2">
        <f>IFERROR(__xludf.DUMMYFUNCTION("""COMPUTED_VALUE"""),1.36285E7)</f>
        <v>13628500</v>
      </c>
      <c r="G996" s="2">
        <f t="shared" si="1"/>
        <v>190</v>
      </c>
    </row>
    <row r="997" ht="15.75" customHeight="1">
      <c r="A997" s="1">
        <f>IFERROR(__xludf.DUMMYFUNCTION("""COMPUTED_VALUE"""),45322.66666666667)</f>
        <v>45322.66667</v>
      </c>
      <c r="B997" s="2">
        <f>IFERROR(__xludf.DUMMYFUNCTION("""COMPUTED_VALUE"""),4900.0)</f>
        <v>4900</v>
      </c>
      <c r="C997" s="2">
        <f>IFERROR(__xludf.DUMMYFUNCTION("""COMPUTED_VALUE"""),5200.0)</f>
        <v>5200</v>
      </c>
      <c r="D997" s="2">
        <f>IFERROR(__xludf.DUMMYFUNCTION("""COMPUTED_VALUE"""),4900.0)</f>
        <v>4900</v>
      </c>
      <c r="E997" s="2">
        <f>IFERROR(__xludf.DUMMYFUNCTION("""COMPUTED_VALUE"""),5000.0)</f>
        <v>5000</v>
      </c>
      <c r="F997" s="2">
        <f>IFERROR(__xludf.DUMMYFUNCTION("""COMPUTED_VALUE"""),2.88372E7)</f>
        <v>28837200</v>
      </c>
      <c r="G997" s="2">
        <f t="shared" si="1"/>
        <v>300</v>
      </c>
    </row>
    <row r="998" ht="15.75" customHeight="1">
      <c r="A998" s="1">
        <f>IFERROR(__xludf.DUMMYFUNCTION("""COMPUTED_VALUE"""),45323.66666666667)</f>
        <v>45323.66667</v>
      </c>
      <c r="B998" s="2">
        <f>IFERROR(__xludf.DUMMYFUNCTION("""COMPUTED_VALUE"""),4910.0)</f>
        <v>4910</v>
      </c>
      <c r="C998" s="2">
        <f>IFERROR(__xludf.DUMMYFUNCTION("""COMPUTED_VALUE"""),5075.0)</f>
        <v>5075</v>
      </c>
      <c r="D998" s="2">
        <f>IFERROR(__xludf.DUMMYFUNCTION("""COMPUTED_VALUE"""),4910.0)</f>
        <v>4910</v>
      </c>
      <c r="E998" s="2">
        <f>IFERROR(__xludf.DUMMYFUNCTION("""COMPUTED_VALUE"""),5025.0)</f>
        <v>5025</v>
      </c>
      <c r="F998" s="2">
        <f>IFERROR(__xludf.DUMMYFUNCTION("""COMPUTED_VALUE"""),7663000.0)</f>
        <v>7663000</v>
      </c>
      <c r="G998" s="2">
        <f t="shared" si="1"/>
        <v>165</v>
      </c>
    </row>
    <row r="999" ht="15.75" customHeight="1">
      <c r="A999" s="1">
        <f>IFERROR(__xludf.DUMMYFUNCTION("""COMPUTED_VALUE"""),45324.66666666667)</f>
        <v>45324.66667</v>
      </c>
      <c r="B999" s="2">
        <f>IFERROR(__xludf.DUMMYFUNCTION("""COMPUTED_VALUE"""),5025.0)</f>
        <v>5025</v>
      </c>
      <c r="C999" s="2">
        <f>IFERROR(__xludf.DUMMYFUNCTION("""COMPUTED_VALUE"""),5025.0)</f>
        <v>5025</v>
      </c>
      <c r="D999" s="2">
        <f>IFERROR(__xludf.DUMMYFUNCTION("""COMPUTED_VALUE"""),4850.0)</f>
        <v>4850</v>
      </c>
      <c r="E999" s="2">
        <f>IFERROR(__xludf.DUMMYFUNCTION("""COMPUTED_VALUE"""),4950.0)</f>
        <v>4950</v>
      </c>
      <c r="F999" s="2">
        <f>IFERROR(__xludf.DUMMYFUNCTION("""COMPUTED_VALUE"""),1.19129E7)</f>
        <v>11912900</v>
      </c>
      <c r="G999" s="2">
        <f t="shared" si="1"/>
        <v>175</v>
      </c>
    </row>
    <row r="1000" ht="15.75" customHeight="1">
      <c r="A1000" s="1">
        <f>IFERROR(__xludf.DUMMYFUNCTION("""COMPUTED_VALUE"""),45327.66666666667)</f>
        <v>45327.66667</v>
      </c>
      <c r="B1000" s="2">
        <f>IFERROR(__xludf.DUMMYFUNCTION("""COMPUTED_VALUE"""),4950.0)</f>
        <v>4950</v>
      </c>
      <c r="C1000" s="2">
        <f>IFERROR(__xludf.DUMMYFUNCTION("""COMPUTED_VALUE"""),4980.0)</f>
        <v>4980</v>
      </c>
      <c r="D1000" s="2">
        <f>IFERROR(__xludf.DUMMYFUNCTION("""COMPUTED_VALUE"""),4820.0)</f>
        <v>4820</v>
      </c>
      <c r="E1000" s="2">
        <f>IFERROR(__xludf.DUMMYFUNCTION("""COMPUTED_VALUE"""),4870.0)</f>
        <v>4870</v>
      </c>
      <c r="F1000" s="2">
        <f>IFERROR(__xludf.DUMMYFUNCTION("""COMPUTED_VALUE"""),7480600.0)</f>
        <v>7480600</v>
      </c>
      <c r="G1000" s="2">
        <f t="shared" si="1"/>
        <v>160</v>
      </c>
    </row>
    <row r="1001" ht="15.75" customHeight="1">
      <c r="A1001" s="1">
        <f>IFERROR(__xludf.DUMMYFUNCTION("""COMPUTED_VALUE"""),45328.66666666667)</f>
        <v>45328.66667</v>
      </c>
      <c r="B1001" s="2">
        <f>IFERROR(__xludf.DUMMYFUNCTION("""COMPUTED_VALUE"""),4870.0)</f>
        <v>4870</v>
      </c>
      <c r="C1001" s="2">
        <f>IFERROR(__xludf.DUMMYFUNCTION("""COMPUTED_VALUE"""),4930.0)</f>
        <v>4930</v>
      </c>
      <c r="D1001" s="2">
        <f>IFERROR(__xludf.DUMMYFUNCTION("""COMPUTED_VALUE"""),4860.0)</f>
        <v>4860</v>
      </c>
      <c r="E1001" s="2">
        <f>IFERROR(__xludf.DUMMYFUNCTION("""COMPUTED_VALUE"""),4930.0)</f>
        <v>4930</v>
      </c>
      <c r="F1001" s="2">
        <f>IFERROR(__xludf.DUMMYFUNCTION("""COMPUTED_VALUE"""),5803100.0)</f>
        <v>5803100</v>
      </c>
      <c r="G1001" s="2">
        <f t="shared" si="1"/>
        <v>70</v>
      </c>
    </row>
    <row r="1002" ht="15.75" customHeight="1">
      <c r="A1002" s="1">
        <f>IFERROR(__xludf.DUMMYFUNCTION("""COMPUTED_VALUE"""),45329.66666666667)</f>
        <v>45329.66667</v>
      </c>
      <c r="B1002" s="2">
        <f>IFERROR(__xludf.DUMMYFUNCTION("""COMPUTED_VALUE"""),4930.0)</f>
        <v>4930</v>
      </c>
      <c r="C1002" s="2">
        <f>IFERROR(__xludf.DUMMYFUNCTION("""COMPUTED_VALUE"""),5025.0)</f>
        <v>5025</v>
      </c>
      <c r="D1002" s="2">
        <f>IFERROR(__xludf.DUMMYFUNCTION("""COMPUTED_VALUE"""),4900.0)</f>
        <v>4900</v>
      </c>
      <c r="E1002" s="2">
        <f>IFERROR(__xludf.DUMMYFUNCTION("""COMPUTED_VALUE"""),4900.0)</f>
        <v>4900</v>
      </c>
      <c r="F1002" s="2">
        <f>IFERROR(__xludf.DUMMYFUNCTION("""COMPUTED_VALUE"""),5030400.0)</f>
        <v>5030400</v>
      </c>
      <c r="G1002" s="2">
        <f t="shared" si="1"/>
        <v>125</v>
      </c>
    </row>
    <row r="1003" ht="15.75" customHeight="1">
      <c r="A1003" s="1">
        <f>IFERROR(__xludf.DUMMYFUNCTION("""COMPUTED_VALUE"""),45334.66666666667)</f>
        <v>45334.66667</v>
      </c>
      <c r="B1003" s="2">
        <f>IFERROR(__xludf.DUMMYFUNCTION("""COMPUTED_VALUE"""),4900.0)</f>
        <v>4900</v>
      </c>
      <c r="C1003" s="2">
        <f>IFERROR(__xludf.DUMMYFUNCTION("""COMPUTED_VALUE"""),5025.0)</f>
        <v>5025</v>
      </c>
      <c r="D1003" s="2">
        <f>IFERROR(__xludf.DUMMYFUNCTION("""COMPUTED_VALUE"""),4900.0)</f>
        <v>4900</v>
      </c>
      <c r="E1003" s="2">
        <f>IFERROR(__xludf.DUMMYFUNCTION("""COMPUTED_VALUE"""),4950.0)</f>
        <v>4950</v>
      </c>
      <c r="F1003" s="2">
        <f>IFERROR(__xludf.DUMMYFUNCTION("""COMPUTED_VALUE"""),2827700.0)</f>
        <v>2827700</v>
      </c>
      <c r="G1003" s="2">
        <f t="shared" si="1"/>
        <v>125</v>
      </c>
    </row>
    <row r="1004" ht="15.75" customHeight="1">
      <c r="A1004" s="1">
        <f>IFERROR(__xludf.DUMMYFUNCTION("""COMPUTED_VALUE"""),45335.66666666667)</f>
        <v>45335.66667</v>
      </c>
      <c r="B1004" s="2">
        <f>IFERROR(__xludf.DUMMYFUNCTION("""COMPUTED_VALUE"""),4930.0)</f>
        <v>4930</v>
      </c>
      <c r="C1004" s="2">
        <f>IFERROR(__xludf.DUMMYFUNCTION("""COMPUTED_VALUE"""),4950.0)</f>
        <v>4950</v>
      </c>
      <c r="D1004" s="2">
        <f>IFERROR(__xludf.DUMMYFUNCTION("""COMPUTED_VALUE"""),4820.0)</f>
        <v>4820</v>
      </c>
      <c r="E1004" s="2">
        <f>IFERROR(__xludf.DUMMYFUNCTION("""COMPUTED_VALUE"""),4820.0)</f>
        <v>4820</v>
      </c>
      <c r="F1004" s="2">
        <f>IFERROR(__xludf.DUMMYFUNCTION("""COMPUTED_VALUE"""),9441600.0)</f>
        <v>9441600</v>
      </c>
      <c r="G1004" s="2">
        <f t="shared" si="1"/>
        <v>130</v>
      </c>
    </row>
    <row r="1005" ht="15.75" customHeight="1">
      <c r="A1005" s="1">
        <f>IFERROR(__xludf.DUMMYFUNCTION("""COMPUTED_VALUE"""),45337.66666666667)</f>
        <v>45337.66667</v>
      </c>
      <c r="B1005" s="2">
        <f>IFERROR(__xludf.DUMMYFUNCTION("""COMPUTED_VALUE"""),4900.0)</f>
        <v>4900</v>
      </c>
      <c r="C1005" s="2">
        <f>IFERROR(__xludf.DUMMYFUNCTION("""COMPUTED_VALUE"""),4940.0)</f>
        <v>4940</v>
      </c>
      <c r="D1005" s="2">
        <f>IFERROR(__xludf.DUMMYFUNCTION("""COMPUTED_VALUE"""),4830.0)</f>
        <v>4830</v>
      </c>
      <c r="E1005" s="2">
        <f>IFERROR(__xludf.DUMMYFUNCTION("""COMPUTED_VALUE"""),4850.0)</f>
        <v>4850</v>
      </c>
      <c r="F1005" s="2">
        <f>IFERROR(__xludf.DUMMYFUNCTION("""COMPUTED_VALUE"""),1.08874E7)</f>
        <v>10887400</v>
      </c>
      <c r="G1005" s="2">
        <f t="shared" si="1"/>
        <v>120</v>
      </c>
    </row>
    <row r="1006" ht="15.75" customHeight="1">
      <c r="A1006" s="1">
        <f>IFERROR(__xludf.DUMMYFUNCTION("""COMPUTED_VALUE"""),45338.66666666667)</f>
        <v>45338.66667</v>
      </c>
      <c r="B1006" s="2">
        <f>IFERROR(__xludf.DUMMYFUNCTION("""COMPUTED_VALUE"""),4850.0)</f>
        <v>4850</v>
      </c>
      <c r="C1006" s="2">
        <f>IFERROR(__xludf.DUMMYFUNCTION("""COMPUTED_VALUE"""),4860.0)</f>
        <v>4860</v>
      </c>
      <c r="D1006" s="2">
        <f>IFERROR(__xludf.DUMMYFUNCTION("""COMPUTED_VALUE"""),4720.0)</f>
        <v>4720</v>
      </c>
      <c r="E1006" s="2">
        <f>IFERROR(__xludf.DUMMYFUNCTION("""COMPUTED_VALUE"""),4730.0)</f>
        <v>4730</v>
      </c>
      <c r="F1006" s="2">
        <f>IFERROR(__xludf.DUMMYFUNCTION("""COMPUTED_VALUE"""),8908400.0)</f>
        <v>8908400</v>
      </c>
      <c r="G1006" s="2">
        <f t="shared" si="1"/>
        <v>140</v>
      </c>
    </row>
    <row r="1007" ht="15.75" customHeight="1">
      <c r="A1007" s="1">
        <f>IFERROR(__xludf.DUMMYFUNCTION("""COMPUTED_VALUE"""),45341.66666666667)</f>
        <v>45341.66667</v>
      </c>
      <c r="B1007" s="2">
        <f>IFERROR(__xludf.DUMMYFUNCTION("""COMPUTED_VALUE"""),4730.0)</f>
        <v>4730</v>
      </c>
      <c r="C1007" s="2">
        <f>IFERROR(__xludf.DUMMYFUNCTION("""COMPUTED_VALUE"""),4830.0)</f>
        <v>4830</v>
      </c>
      <c r="D1007" s="2">
        <f>IFERROR(__xludf.DUMMYFUNCTION("""COMPUTED_VALUE"""),4720.0)</f>
        <v>4720</v>
      </c>
      <c r="E1007" s="2">
        <f>IFERROR(__xludf.DUMMYFUNCTION("""COMPUTED_VALUE"""),4740.0)</f>
        <v>4740</v>
      </c>
      <c r="F1007" s="2">
        <f>IFERROR(__xludf.DUMMYFUNCTION("""COMPUTED_VALUE"""),5174200.0)</f>
        <v>5174200</v>
      </c>
      <c r="G1007" s="2">
        <f t="shared" si="1"/>
        <v>110</v>
      </c>
    </row>
    <row r="1008" ht="15.75" customHeight="1">
      <c r="A1008" s="1">
        <f>IFERROR(__xludf.DUMMYFUNCTION("""COMPUTED_VALUE"""),45342.66666666667)</f>
        <v>45342.66667</v>
      </c>
      <c r="B1008" s="2">
        <f>IFERROR(__xludf.DUMMYFUNCTION("""COMPUTED_VALUE"""),4730.0)</f>
        <v>4730</v>
      </c>
      <c r="C1008" s="2">
        <f>IFERROR(__xludf.DUMMYFUNCTION("""COMPUTED_VALUE"""),4850.0)</f>
        <v>4850</v>
      </c>
      <c r="D1008" s="2">
        <f>IFERROR(__xludf.DUMMYFUNCTION("""COMPUTED_VALUE"""),4730.0)</f>
        <v>4730</v>
      </c>
      <c r="E1008" s="2">
        <f>IFERROR(__xludf.DUMMYFUNCTION("""COMPUTED_VALUE"""),4800.0)</f>
        <v>4800</v>
      </c>
      <c r="F1008" s="2">
        <f>IFERROR(__xludf.DUMMYFUNCTION("""COMPUTED_VALUE"""),4924200.0)</f>
        <v>4924200</v>
      </c>
      <c r="G1008" s="2">
        <f t="shared" si="1"/>
        <v>120</v>
      </c>
    </row>
    <row r="1009" ht="15.75" customHeight="1">
      <c r="A1009" s="1">
        <f>IFERROR(__xludf.DUMMYFUNCTION("""COMPUTED_VALUE"""),45343.66666666667)</f>
        <v>45343.66667</v>
      </c>
      <c r="B1009" s="2">
        <f>IFERROR(__xludf.DUMMYFUNCTION("""COMPUTED_VALUE"""),4820.0)</f>
        <v>4820</v>
      </c>
      <c r="C1009" s="2">
        <f>IFERROR(__xludf.DUMMYFUNCTION("""COMPUTED_VALUE"""),4830.0)</f>
        <v>4830</v>
      </c>
      <c r="D1009" s="2">
        <f>IFERROR(__xludf.DUMMYFUNCTION("""COMPUTED_VALUE"""),4740.0)</f>
        <v>4740</v>
      </c>
      <c r="E1009" s="2">
        <f>IFERROR(__xludf.DUMMYFUNCTION("""COMPUTED_VALUE"""),4830.0)</f>
        <v>4830</v>
      </c>
      <c r="F1009" s="2">
        <f>IFERROR(__xludf.DUMMYFUNCTION("""COMPUTED_VALUE"""),4756400.0)</f>
        <v>4756400</v>
      </c>
      <c r="G1009" s="2">
        <f t="shared" si="1"/>
        <v>90</v>
      </c>
    </row>
    <row r="1010" ht="15.75" customHeight="1">
      <c r="A1010" s="1">
        <f>IFERROR(__xludf.DUMMYFUNCTION("""COMPUTED_VALUE"""),45344.66666666667)</f>
        <v>45344.66667</v>
      </c>
      <c r="B1010" s="2">
        <f>IFERROR(__xludf.DUMMYFUNCTION("""COMPUTED_VALUE"""),4820.0)</f>
        <v>4820</v>
      </c>
      <c r="C1010" s="2">
        <f>IFERROR(__xludf.DUMMYFUNCTION("""COMPUTED_VALUE"""),4990.0)</f>
        <v>4990</v>
      </c>
      <c r="D1010" s="2">
        <f>IFERROR(__xludf.DUMMYFUNCTION("""COMPUTED_VALUE"""),4820.0)</f>
        <v>4820</v>
      </c>
      <c r="E1010" s="2">
        <f>IFERROR(__xludf.DUMMYFUNCTION("""COMPUTED_VALUE"""),4960.0)</f>
        <v>4960</v>
      </c>
      <c r="F1010" s="2">
        <f>IFERROR(__xludf.DUMMYFUNCTION("""COMPUTED_VALUE"""),1.19998E7)</f>
        <v>11999800</v>
      </c>
      <c r="G1010" s="2">
        <f t="shared" si="1"/>
        <v>170</v>
      </c>
    </row>
    <row r="1011" ht="15.75" customHeight="1">
      <c r="A1011" s="1">
        <f>IFERROR(__xludf.DUMMYFUNCTION("""COMPUTED_VALUE"""),45345.66666666667)</f>
        <v>45345.66667</v>
      </c>
      <c r="B1011" s="2">
        <f>IFERROR(__xludf.DUMMYFUNCTION("""COMPUTED_VALUE"""),4960.0)</f>
        <v>4960</v>
      </c>
      <c r="C1011" s="2">
        <f>IFERROR(__xludf.DUMMYFUNCTION("""COMPUTED_VALUE"""),5150.0)</f>
        <v>5150</v>
      </c>
      <c r="D1011" s="2">
        <f>IFERROR(__xludf.DUMMYFUNCTION("""COMPUTED_VALUE"""),4890.0)</f>
        <v>4890</v>
      </c>
      <c r="E1011" s="2">
        <f>IFERROR(__xludf.DUMMYFUNCTION("""COMPUTED_VALUE"""),5050.0)</f>
        <v>5050</v>
      </c>
      <c r="F1011" s="2">
        <f>IFERROR(__xludf.DUMMYFUNCTION("""COMPUTED_VALUE"""),1.02132E7)</f>
        <v>10213200</v>
      </c>
      <c r="G1011" s="2">
        <f t="shared" si="1"/>
        <v>260</v>
      </c>
    </row>
    <row r="1012" ht="15.75" customHeight="1">
      <c r="A1012" s="1">
        <f>IFERROR(__xludf.DUMMYFUNCTION("""COMPUTED_VALUE"""),45348.66666666667)</f>
        <v>45348.66667</v>
      </c>
      <c r="B1012" s="2">
        <f>IFERROR(__xludf.DUMMYFUNCTION("""COMPUTED_VALUE"""),5050.0)</f>
        <v>5050</v>
      </c>
      <c r="C1012" s="2">
        <f>IFERROR(__xludf.DUMMYFUNCTION("""COMPUTED_VALUE"""),5350.0)</f>
        <v>5350</v>
      </c>
      <c r="D1012" s="2">
        <f>IFERROR(__xludf.DUMMYFUNCTION("""COMPUTED_VALUE"""),5050.0)</f>
        <v>5050</v>
      </c>
      <c r="E1012" s="2">
        <f>IFERROR(__xludf.DUMMYFUNCTION("""COMPUTED_VALUE"""),5250.0)</f>
        <v>5250</v>
      </c>
      <c r="F1012" s="2">
        <f>IFERROR(__xludf.DUMMYFUNCTION("""COMPUTED_VALUE"""),1.83221E7)</f>
        <v>18322100</v>
      </c>
      <c r="G1012" s="2">
        <f t="shared" si="1"/>
        <v>300</v>
      </c>
    </row>
    <row r="1013" ht="15.75" customHeight="1">
      <c r="A1013" s="1">
        <f>IFERROR(__xludf.DUMMYFUNCTION("""COMPUTED_VALUE"""),45349.66666666667)</f>
        <v>45349.66667</v>
      </c>
      <c r="B1013" s="2">
        <f>IFERROR(__xludf.DUMMYFUNCTION("""COMPUTED_VALUE"""),5250.0)</f>
        <v>5250</v>
      </c>
      <c r="C1013" s="2">
        <f>IFERROR(__xludf.DUMMYFUNCTION("""COMPUTED_VALUE"""),5475.0)</f>
        <v>5475</v>
      </c>
      <c r="D1013" s="2">
        <f>IFERROR(__xludf.DUMMYFUNCTION("""COMPUTED_VALUE"""),5250.0)</f>
        <v>5250</v>
      </c>
      <c r="E1013" s="2">
        <f>IFERROR(__xludf.DUMMYFUNCTION("""COMPUTED_VALUE"""),5450.0)</f>
        <v>5450</v>
      </c>
      <c r="F1013" s="2">
        <f>IFERROR(__xludf.DUMMYFUNCTION("""COMPUTED_VALUE"""),2.42421E7)</f>
        <v>24242100</v>
      </c>
      <c r="G1013" s="2">
        <f t="shared" si="1"/>
        <v>225</v>
      </c>
    </row>
    <row r="1014" ht="15.75" customHeight="1">
      <c r="A1014" s="1">
        <f>IFERROR(__xludf.DUMMYFUNCTION("""COMPUTED_VALUE"""),45350.66666666667)</f>
        <v>45350.66667</v>
      </c>
      <c r="B1014" s="2">
        <f>IFERROR(__xludf.DUMMYFUNCTION("""COMPUTED_VALUE"""),5475.0)</f>
        <v>5475</v>
      </c>
      <c r="C1014" s="2">
        <f>IFERROR(__xludf.DUMMYFUNCTION("""COMPUTED_VALUE"""),5500.0)</f>
        <v>5500</v>
      </c>
      <c r="D1014" s="2">
        <f>IFERROR(__xludf.DUMMYFUNCTION("""COMPUTED_VALUE"""),5325.0)</f>
        <v>5325</v>
      </c>
      <c r="E1014" s="2">
        <f>IFERROR(__xludf.DUMMYFUNCTION("""COMPUTED_VALUE"""),5375.0)</f>
        <v>5375</v>
      </c>
      <c r="F1014" s="2">
        <f>IFERROR(__xludf.DUMMYFUNCTION("""COMPUTED_VALUE"""),1.13488E7)</f>
        <v>11348800</v>
      </c>
      <c r="G1014" s="2">
        <f t="shared" si="1"/>
        <v>175</v>
      </c>
    </row>
    <row r="1015" ht="15.75" customHeight="1">
      <c r="A1015" s="1">
        <f>IFERROR(__xludf.DUMMYFUNCTION("""COMPUTED_VALUE"""),45351.66666666667)</f>
        <v>45351.66667</v>
      </c>
      <c r="B1015" s="2">
        <f>IFERROR(__xludf.DUMMYFUNCTION("""COMPUTED_VALUE"""),5375.0)</f>
        <v>5375</v>
      </c>
      <c r="C1015" s="2">
        <f>IFERROR(__xludf.DUMMYFUNCTION("""COMPUTED_VALUE"""),5500.0)</f>
        <v>5500</v>
      </c>
      <c r="D1015" s="2">
        <f>IFERROR(__xludf.DUMMYFUNCTION("""COMPUTED_VALUE"""),5375.0)</f>
        <v>5375</v>
      </c>
      <c r="E1015" s="2">
        <f>IFERROR(__xludf.DUMMYFUNCTION("""COMPUTED_VALUE"""),5425.0)</f>
        <v>5425</v>
      </c>
      <c r="F1015" s="2">
        <f>IFERROR(__xludf.DUMMYFUNCTION("""COMPUTED_VALUE"""),1.0657E7)</f>
        <v>10657000</v>
      </c>
      <c r="G1015" s="2">
        <f t="shared" si="1"/>
        <v>125</v>
      </c>
    </row>
    <row r="1016" ht="15.75" customHeight="1">
      <c r="A1016" s="1">
        <f>IFERROR(__xludf.DUMMYFUNCTION("""COMPUTED_VALUE"""),45352.66666666667)</f>
        <v>45352.66667</v>
      </c>
      <c r="B1016" s="2">
        <f>IFERROR(__xludf.DUMMYFUNCTION("""COMPUTED_VALUE"""),5175.0)</f>
        <v>5175</v>
      </c>
      <c r="C1016" s="2">
        <f>IFERROR(__xludf.DUMMYFUNCTION("""COMPUTED_VALUE"""),5500.0)</f>
        <v>5500</v>
      </c>
      <c r="D1016" s="2">
        <f>IFERROR(__xludf.DUMMYFUNCTION("""COMPUTED_VALUE"""),5175.0)</f>
        <v>5175</v>
      </c>
      <c r="E1016" s="2">
        <f>IFERROR(__xludf.DUMMYFUNCTION("""COMPUTED_VALUE"""),5500.0)</f>
        <v>5500</v>
      </c>
      <c r="F1016" s="2">
        <f>IFERROR(__xludf.DUMMYFUNCTION("""COMPUTED_VALUE"""),3848800.0)</f>
        <v>3848800</v>
      </c>
      <c r="G1016" s="2">
        <f t="shared" si="1"/>
        <v>325</v>
      </c>
    </row>
    <row r="1017" ht="15.75" customHeight="1">
      <c r="A1017" s="1">
        <f>IFERROR(__xludf.DUMMYFUNCTION("""COMPUTED_VALUE"""),45355.66666666667)</f>
        <v>45355.66667</v>
      </c>
      <c r="B1017" s="2">
        <f>IFERROR(__xludf.DUMMYFUNCTION("""COMPUTED_VALUE"""),5500.0)</f>
        <v>5500</v>
      </c>
      <c r="C1017" s="2">
        <f>IFERROR(__xludf.DUMMYFUNCTION("""COMPUTED_VALUE"""),5525.0)</f>
        <v>5525</v>
      </c>
      <c r="D1017" s="2">
        <f>IFERROR(__xludf.DUMMYFUNCTION("""COMPUTED_VALUE"""),5225.0)</f>
        <v>5225</v>
      </c>
      <c r="E1017" s="2">
        <f>IFERROR(__xludf.DUMMYFUNCTION("""COMPUTED_VALUE"""),5400.0)</f>
        <v>5400</v>
      </c>
      <c r="F1017" s="2">
        <f>IFERROR(__xludf.DUMMYFUNCTION("""COMPUTED_VALUE"""),9034200.0)</f>
        <v>9034200</v>
      </c>
      <c r="G1017" s="2">
        <f t="shared" si="1"/>
        <v>300</v>
      </c>
    </row>
    <row r="1018" ht="15.75" customHeight="1">
      <c r="A1018" s="1">
        <f>IFERROR(__xludf.DUMMYFUNCTION("""COMPUTED_VALUE"""),45356.66666666667)</f>
        <v>45356.66667</v>
      </c>
      <c r="B1018" s="2">
        <f>IFERROR(__xludf.DUMMYFUNCTION("""COMPUTED_VALUE"""),5500.0)</f>
        <v>5500</v>
      </c>
      <c r="C1018" s="2">
        <f>IFERROR(__xludf.DUMMYFUNCTION("""COMPUTED_VALUE"""),5500.0)</f>
        <v>5500</v>
      </c>
      <c r="D1018" s="2">
        <f>IFERROR(__xludf.DUMMYFUNCTION("""COMPUTED_VALUE"""),5275.0)</f>
        <v>5275</v>
      </c>
      <c r="E1018" s="2">
        <f>IFERROR(__xludf.DUMMYFUNCTION("""COMPUTED_VALUE"""),5325.0)</f>
        <v>5325</v>
      </c>
      <c r="F1018" s="2">
        <f>IFERROR(__xludf.DUMMYFUNCTION("""COMPUTED_VALUE"""),6732800.0)</f>
        <v>6732800</v>
      </c>
      <c r="G1018" s="2">
        <f t="shared" si="1"/>
        <v>225</v>
      </c>
    </row>
    <row r="1019" ht="15.75" customHeight="1">
      <c r="A1019" s="1">
        <f>IFERROR(__xludf.DUMMYFUNCTION("""COMPUTED_VALUE"""),45357.66666666667)</f>
        <v>45357.66667</v>
      </c>
      <c r="B1019" s="2">
        <f>IFERROR(__xludf.DUMMYFUNCTION("""COMPUTED_VALUE"""),5350.0)</f>
        <v>5350</v>
      </c>
      <c r="C1019" s="2">
        <f>IFERROR(__xludf.DUMMYFUNCTION("""COMPUTED_VALUE"""),5350.0)</f>
        <v>5350</v>
      </c>
      <c r="D1019" s="2">
        <f>IFERROR(__xludf.DUMMYFUNCTION("""COMPUTED_VALUE"""),5125.0)</f>
        <v>5125</v>
      </c>
      <c r="E1019" s="2">
        <f>IFERROR(__xludf.DUMMYFUNCTION("""COMPUTED_VALUE"""),5150.0)</f>
        <v>5150</v>
      </c>
      <c r="F1019" s="2">
        <f>IFERROR(__xludf.DUMMYFUNCTION("""COMPUTED_VALUE"""),8091400.0)</f>
        <v>8091400</v>
      </c>
      <c r="G1019" s="2">
        <f t="shared" si="1"/>
        <v>225</v>
      </c>
    </row>
    <row r="1020" ht="15.75" customHeight="1">
      <c r="A1020" s="1">
        <f>IFERROR(__xludf.DUMMYFUNCTION("""COMPUTED_VALUE"""),45358.66666666667)</f>
        <v>45358.66667</v>
      </c>
      <c r="B1020" s="2">
        <f>IFERROR(__xludf.DUMMYFUNCTION("""COMPUTED_VALUE"""),5150.0)</f>
        <v>5150</v>
      </c>
      <c r="C1020" s="2">
        <f>IFERROR(__xludf.DUMMYFUNCTION("""COMPUTED_VALUE"""),5300.0)</f>
        <v>5300</v>
      </c>
      <c r="D1020" s="2">
        <f>IFERROR(__xludf.DUMMYFUNCTION("""COMPUTED_VALUE"""),5100.0)</f>
        <v>5100</v>
      </c>
      <c r="E1020" s="2">
        <f>IFERROR(__xludf.DUMMYFUNCTION("""COMPUTED_VALUE"""),5250.0)</f>
        <v>5250</v>
      </c>
      <c r="F1020" s="2">
        <f>IFERROR(__xludf.DUMMYFUNCTION("""COMPUTED_VALUE"""),1.28584E7)</f>
        <v>12858400</v>
      </c>
      <c r="G1020" s="2">
        <f t="shared" si="1"/>
        <v>200</v>
      </c>
    </row>
    <row r="1021" ht="15.75" customHeight="1">
      <c r="A1021" s="1">
        <f>IFERROR(__xludf.DUMMYFUNCTION("""COMPUTED_VALUE"""),45359.66666666667)</f>
        <v>45359.66667</v>
      </c>
      <c r="B1021" s="2">
        <f>IFERROR(__xludf.DUMMYFUNCTION("""COMPUTED_VALUE"""),5250.0)</f>
        <v>5250</v>
      </c>
      <c r="C1021" s="2">
        <f>IFERROR(__xludf.DUMMYFUNCTION("""COMPUTED_VALUE"""),5375.0)</f>
        <v>5375</v>
      </c>
      <c r="D1021" s="2">
        <f>IFERROR(__xludf.DUMMYFUNCTION("""COMPUTED_VALUE"""),5200.0)</f>
        <v>5200</v>
      </c>
      <c r="E1021" s="2">
        <f>IFERROR(__xludf.DUMMYFUNCTION("""COMPUTED_VALUE"""),5250.0)</f>
        <v>5250</v>
      </c>
      <c r="F1021" s="2">
        <f>IFERROR(__xludf.DUMMYFUNCTION("""COMPUTED_VALUE"""),4386300.0)</f>
        <v>4386300</v>
      </c>
      <c r="G1021" s="2">
        <f t="shared" si="1"/>
        <v>175</v>
      </c>
    </row>
    <row r="1022" ht="15.75" customHeight="1">
      <c r="A1022" s="1">
        <f>IFERROR(__xludf.DUMMYFUNCTION("""COMPUTED_VALUE"""),45364.66666666667)</f>
        <v>45364.66667</v>
      </c>
      <c r="B1022" s="2">
        <f>IFERROR(__xludf.DUMMYFUNCTION("""COMPUTED_VALUE"""),5275.0)</f>
        <v>5275</v>
      </c>
      <c r="C1022" s="2">
        <f>IFERROR(__xludf.DUMMYFUNCTION("""COMPUTED_VALUE"""),5375.0)</f>
        <v>5375</v>
      </c>
      <c r="D1022" s="2">
        <f>IFERROR(__xludf.DUMMYFUNCTION("""COMPUTED_VALUE"""),5125.0)</f>
        <v>5125</v>
      </c>
      <c r="E1022" s="2">
        <f>IFERROR(__xludf.DUMMYFUNCTION("""COMPUTED_VALUE"""),5250.0)</f>
        <v>5250</v>
      </c>
      <c r="F1022" s="2">
        <f>IFERROR(__xludf.DUMMYFUNCTION("""COMPUTED_VALUE"""),7221400.0)</f>
        <v>7221400</v>
      </c>
      <c r="G1022" s="2">
        <f t="shared" si="1"/>
        <v>250</v>
      </c>
    </row>
    <row r="1023" ht="15.75" customHeight="1">
      <c r="A1023" s="1">
        <f>IFERROR(__xludf.DUMMYFUNCTION("""COMPUTED_VALUE"""),45365.66666666667)</f>
        <v>45365.66667</v>
      </c>
      <c r="B1023" s="2">
        <f>IFERROR(__xludf.DUMMYFUNCTION("""COMPUTED_VALUE"""),5250.0)</f>
        <v>5250</v>
      </c>
      <c r="C1023" s="2">
        <f>IFERROR(__xludf.DUMMYFUNCTION("""COMPUTED_VALUE"""),5375.0)</f>
        <v>5375</v>
      </c>
      <c r="D1023" s="2">
        <f>IFERROR(__xludf.DUMMYFUNCTION("""COMPUTED_VALUE"""),5150.0)</f>
        <v>5150</v>
      </c>
      <c r="E1023" s="2">
        <f>IFERROR(__xludf.DUMMYFUNCTION("""COMPUTED_VALUE"""),5250.0)</f>
        <v>5250</v>
      </c>
      <c r="F1023" s="2">
        <f>IFERROR(__xludf.DUMMYFUNCTION("""COMPUTED_VALUE"""),9032400.0)</f>
        <v>9032400</v>
      </c>
      <c r="G1023" s="2">
        <f t="shared" si="1"/>
        <v>225</v>
      </c>
    </row>
    <row r="1024" ht="15.75" customHeight="1">
      <c r="A1024" s="1">
        <f>IFERROR(__xludf.DUMMYFUNCTION("""COMPUTED_VALUE"""),45366.66666666667)</f>
        <v>45366.66667</v>
      </c>
      <c r="B1024" s="2">
        <f>IFERROR(__xludf.DUMMYFUNCTION("""COMPUTED_VALUE"""),5250.0)</f>
        <v>5250</v>
      </c>
      <c r="C1024" s="2">
        <f>IFERROR(__xludf.DUMMYFUNCTION("""COMPUTED_VALUE"""),5350.0)</f>
        <v>5350</v>
      </c>
      <c r="D1024" s="2">
        <f>IFERROR(__xludf.DUMMYFUNCTION("""COMPUTED_VALUE"""),5150.0)</f>
        <v>5150</v>
      </c>
      <c r="E1024" s="2">
        <f>IFERROR(__xludf.DUMMYFUNCTION("""COMPUTED_VALUE"""),5150.0)</f>
        <v>5150</v>
      </c>
      <c r="F1024" s="2">
        <f>IFERROR(__xludf.DUMMYFUNCTION("""COMPUTED_VALUE"""),7020400.0)</f>
        <v>7020400</v>
      </c>
      <c r="G1024" s="2">
        <f t="shared" si="1"/>
        <v>200</v>
      </c>
    </row>
    <row r="1025" ht="15.75" customHeight="1">
      <c r="A1025" s="1">
        <f>IFERROR(__xludf.DUMMYFUNCTION("""COMPUTED_VALUE"""),45369.66666666667)</f>
        <v>45369.66667</v>
      </c>
      <c r="B1025" s="2">
        <f>IFERROR(__xludf.DUMMYFUNCTION("""COMPUTED_VALUE"""),5150.0)</f>
        <v>5150</v>
      </c>
      <c r="C1025" s="2">
        <f>IFERROR(__xludf.DUMMYFUNCTION("""COMPUTED_VALUE"""),5375.0)</f>
        <v>5375</v>
      </c>
      <c r="D1025" s="2">
        <f>IFERROR(__xludf.DUMMYFUNCTION("""COMPUTED_VALUE"""),5150.0)</f>
        <v>5150</v>
      </c>
      <c r="E1025" s="2">
        <f>IFERROR(__xludf.DUMMYFUNCTION("""COMPUTED_VALUE"""),5275.0)</f>
        <v>5275</v>
      </c>
      <c r="F1025" s="2">
        <f>IFERROR(__xludf.DUMMYFUNCTION("""COMPUTED_VALUE"""),7721600.0)</f>
        <v>7721600</v>
      </c>
      <c r="G1025" s="2">
        <f t="shared" si="1"/>
        <v>225</v>
      </c>
    </row>
    <row r="1026" ht="15.75" customHeight="1">
      <c r="A1026" s="1">
        <f>IFERROR(__xludf.DUMMYFUNCTION("""COMPUTED_VALUE"""),45370.66666666667)</f>
        <v>45370.66667</v>
      </c>
      <c r="B1026" s="2">
        <f>IFERROR(__xludf.DUMMYFUNCTION("""COMPUTED_VALUE"""),5275.0)</f>
        <v>5275</v>
      </c>
      <c r="C1026" s="2">
        <f>IFERROR(__xludf.DUMMYFUNCTION("""COMPUTED_VALUE"""),5350.0)</f>
        <v>5350</v>
      </c>
      <c r="D1026" s="2">
        <f>IFERROR(__xludf.DUMMYFUNCTION("""COMPUTED_VALUE"""),5250.0)</f>
        <v>5250</v>
      </c>
      <c r="E1026" s="2">
        <f>IFERROR(__xludf.DUMMYFUNCTION("""COMPUTED_VALUE"""),5250.0)</f>
        <v>5250</v>
      </c>
      <c r="F1026" s="2">
        <f>IFERROR(__xludf.DUMMYFUNCTION("""COMPUTED_VALUE"""),5090700.0)</f>
        <v>5090700</v>
      </c>
      <c r="G1026" s="2">
        <f t="shared" si="1"/>
        <v>100</v>
      </c>
    </row>
    <row r="1027" ht="15.75" customHeight="1">
      <c r="A1027" s="1">
        <f>IFERROR(__xludf.DUMMYFUNCTION("""COMPUTED_VALUE"""),45371.66666666667)</f>
        <v>45371.66667</v>
      </c>
      <c r="B1027" s="2">
        <f>IFERROR(__xludf.DUMMYFUNCTION("""COMPUTED_VALUE"""),5300.0)</f>
        <v>5300</v>
      </c>
      <c r="C1027" s="2">
        <f>IFERROR(__xludf.DUMMYFUNCTION("""COMPUTED_VALUE"""),5525.0)</f>
        <v>5525</v>
      </c>
      <c r="D1027" s="2">
        <f>IFERROR(__xludf.DUMMYFUNCTION("""COMPUTED_VALUE"""),5275.0)</f>
        <v>5275</v>
      </c>
      <c r="E1027" s="2">
        <f>IFERROR(__xludf.DUMMYFUNCTION("""COMPUTED_VALUE"""),5475.0)</f>
        <v>5475</v>
      </c>
      <c r="F1027" s="2">
        <f>IFERROR(__xludf.DUMMYFUNCTION("""COMPUTED_VALUE"""),7697700.0)</f>
        <v>7697700</v>
      </c>
      <c r="G1027" s="2">
        <f t="shared" si="1"/>
        <v>275</v>
      </c>
    </row>
    <row r="1028" ht="15.75" customHeight="1">
      <c r="A1028" s="1">
        <f>IFERROR(__xludf.DUMMYFUNCTION("""COMPUTED_VALUE"""),45372.66666666667)</f>
        <v>45372.66667</v>
      </c>
      <c r="B1028" s="2">
        <f>IFERROR(__xludf.DUMMYFUNCTION("""COMPUTED_VALUE"""),5475.0)</f>
        <v>5475</v>
      </c>
      <c r="C1028" s="2">
        <f>IFERROR(__xludf.DUMMYFUNCTION("""COMPUTED_VALUE"""),5650.0)</f>
        <v>5650</v>
      </c>
      <c r="D1028" s="2">
        <f>IFERROR(__xludf.DUMMYFUNCTION("""COMPUTED_VALUE"""),5450.0)</f>
        <v>5450</v>
      </c>
      <c r="E1028" s="2">
        <f>IFERROR(__xludf.DUMMYFUNCTION("""COMPUTED_VALUE"""),5500.0)</f>
        <v>5500</v>
      </c>
      <c r="F1028" s="2">
        <f>IFERROR(__xludf.DUMMYFUNCTION("""COMPUTED_VALUE"""),1.67231E7)</f>
        <v>16723100</v>
      </c>
      <c r="G1028" s="2">
        <f t="shared" si="1"/>
        <v>200</v>
      </c>
    </row>
    <row r="1029" ht="15.75" customHeight="1">
      <c r="A1029" s="1">
        <f>IFERROR(__xludf.DUMMYFUNCTION("""COMPUTED_VALUE"""),45373.66666666667)</f>
        <v>45373.66667</v>
      </c>
      <c r="B1029" s="2">
        <f>IFERROR(__xludf.DUMMYFUNCTION("""COMPUTED_VALUE"""),5475.0)</f>
        <v>5475</v>
      </c>
      <c r="C1029" s="2">
        <f>IFERROR(__xludf.DUMMYFUNCTION("""COMPUTED_VALUE"""),5525.0)</f>
        <v>5525</v>
      </c>
      <c r="D1029" s="2">
        <f>IFERROR(__xludf.DUMMYFUNCTION("""COMPUTED_VALUE"""),5375.0)</f>
        <v>5375</v>
      </c>
      <c r="E1029" s="2">
        <f>IFERROR(__xludf.DUMMYFUNCTION("""COMPUTED_VALUE"""),5450.0)</f>
        <v>5450</v>
      </c>
      <c r="F1029" s="2">
        <f>IFERROR(__xludf.DUMMYFUNCTION("""COMPUTED_VALUE"""),3155600.0)</f>
        <v>3155600</v>
      </c>
      <c r="G1029" s="2">
        <f t="shared" si="1"/>
        <v>150</v>
      </c>
    </row>
    <row r="1030" ht="15.75" customHeight="1">
      <c r="A1030" s="1">
        <f>IFERROR(__xludf.DUMMYFUNCTION("""COMPUTED_VALUE"""),45376.66666666667)</f>
        <v>45376.66667</v>
      </c>
      <c r="B1030" s="2">
        <f>IFERROR(__xludf.DUMMYFUNCTION("""COMPUTED_VALUE"""),5450.0)</f>
        <v>5450</v>
      </c>
      <c r="C1030" s="2">
        <f>IFERROR(__xludf.DUMMYFUNCTION("""COMPUTED_VALUE"""),5450.0)</f>
        <v>5450</v>
      </c>
      <c r="D1030" s="2">
        <f>IFERROR(__xludf.DUMMYFUNCTION("""COMPUTED_VALUE"""),5350.0)</f>
        <v>5350</v>
      </c>
      <c r="E1030" s="2">
        <f>IFERROR(__xludf.DUMMYFUNCTION("""COMPUTED_VALUE"""),5425.0)</f>
        <v>5425</v>
      </c>
      <c r="F1030" s="2">
        <f>IFERROR(__xludf.DUMMYFUNCTION("""COMPUTED_VALUE"""),5969400.0)</f>
        <v>5969400</v>
      </c>
      <c r="G1030" s="2">
        <f t="shared" si="1"/>
        <v>100</v>
      </c>
    </row>
    <row r="1031" ht="15.75" customHeight="1">
      <c r="A1031" s="1">
        <f>IFERROR(__xludf.DUMMYFUNCTION("""COMPUTED_VALUE"""),45377.66666666667)</f>
        <v>45377.66667</v>
      </c>
      <c r="B1031" s="2">
        <f>IFERROR(__xludf.DUMMYFUNCTION("""COMPUTED_VALUE"""),5500.0)</f>
        <v>5500</v>
      </c>
      <c r="C1031" s="2">
        <f>IFERROR(__xludf.DUMMYFUNCTION("""COMPUTED_VALUE"""),5500.0)</f>
        <v>5500</v>
      </c>
      <c r="D1031" s="2">
        <f>IFERROR(__xludf.DUMMYFUNCTION("""COMPUTED_VALUE"""),5275.0)</f>
        <v>5275</v>
      </c>
      <c r="E1031" s="2">
        <f>IFERROR(__xludf.DUMMYFUNCTION("""COMPUTED_VALUE"""),5400.0)</f>
        <v>5400</v>
      </c>
      <c r="F1031" s="2">
        <f>IFERROR(__xludf.DUMMYFUNCTION("""COMPUTED_VALUE"""),1.0259E7)</f>
        <v>10259000</v>
      </c>
      <c r="G1031" s="2">
        <f t="shared" si="1"/>
        <v>225</v>
      </c>
    </row>
    <row r="1032" ht="15.75" customHeight="1">
      <c r="A1032" s="1">
        <f>IFERROR(__xludf.DUMMYFUNCTION("""COMPUTED_VALUE"""),45378.66666666667)</f>
        <v>45378.66667</v>
      </c>
      <c r="B1032" s="2">
        <f>IFERROR(__xludf.DUMMYFUNCTION("""COMPUTED_VALUE"""),5400.0)</f>
        <v>5400</v>
      </c>
      <c r="C1032" s="2">
        <f>IFERROR(__xludf.DUMMYFUNCTION("""COMPUTED_VALUE"""),5700.0)</f>
        <v>5700</v>
      </c>
      <c r="D1032" s="2">
        <f>IFERROR(__xludf.DUMMYFUNCTION("""COMPUTED_VALUE"""),5400.0)</f>
        <v>5400</v>
      </c>
      <c r="E1032" s="2">
        <f>IFERROR(__xludf.DUMMYFUNCTION("""COMPUTED_VALUE"""),5675.0)</f>
        <v>5675</v>
      </c>
      <c r="F1032" s="2">
        <f>IFERROR(__xludf.DUMMYFUNCTION("""COMPUTED_VALUE"""),1.07736E7)</f>
        <v>10773600</v>
      </c>
      <c r="G1032" s="2">
        <f t="shared" si="1"/>
        <v>300</v>
      </c>
    </row>
    <row r="1033" ht="15.75" customHeight="1">
      <c r="A1033" s="1">
        <f>IFERROR(__xludf.DUMMYFUNCTION("""COMPUTED_VALUE"""),45379.66666666667)</f>
        <v>45379.66667</v>
      </c>
      <c r="B1033" s="2">
        <f>IFERROR(__xludf.DUMMYFUNCTION("""COMPUTED_VALUE"""),5675.0)</f>
        <v>5675</v>
      </c>
      <c r="C1033" s="2">
        <f>IFERROR(__xludf.DUMMYFUNCTION("""COMPUTED_VALUE"""),5700.0)</f>
        <v>5700</v>
      </c>
      <c r="D1033" s="2">
        <f>IFERROR(__xludf.DUMMYFUNCTION("""COMPUTED_VALUE"""),5525.0)</f>
        <v>5525</v>
      </c>
      <c r="E1033" s="2">
        <f>IFERROR(__xludf.DUMMYFUNCTION("""COMPUTED_VALUE"""),5550.0)</f>
        <v>5550</v>
      </c>
      <c r="F1033" s="2">
        <f>IFERROR(__xludf.DUMMYFUNCTION("""COMPUTED_VALUE"""),6583600.0)</f>
        <v>6583600</v>
      </c>
      <c r="G1033" s="2">
        <f t="shared" si="1"/>
        <v>175</v>
      </c>
    </row>
    <row r="1034" ht="15.75" customHeight="1">
      <c r="A1034" s="1">
        <f>IFERROR(__xludf.DUMMYFUNCTION("""COMPUTED_VALUE"""),45383.66666666667)</f>
        <v>45383.66667</v>
      </c>
      <c r="B1034" s="2">
        <f>IFERROR(__xludf.DUMMYFUNCTION("""COMPUTED_VALUE"""),5600.0)</f>
        <v>5600</v>
      </c>
      <c r="C1034" s="2">
        <f>IFERROR(__xludf.DUMMYFUNCTION("""COMPUTED_VALUE"""),5650.0)</f>
        <v>5650</v>
      </c>
      <c r="D1034" s="2">
        <f>IFERROR(__xludf.DUMMYFUNCTION("""COMPUTED_VALUE"""),5450.0)</f>
        <v>5450</v>
      </c>
      <c r="E1034" s="2">
        <f>IFERROR(__xludf.DUMMYFUNCTION("""COMPUTED_VALUE"""),5650.0)</f>
        <v>5650</v>
      </c>
      <c r="F1034" s="2">
        <f>IFERROR(__xludf.DUMMYFUNCTION("""COMPUTED_VALUE"""),6562800.0)</f>
        <v>6562800</v>
      </c>
      <c r="G1034" s="2">
        <f t="shared" si="1"/>
        <v>200</v>
      </c>
    </row>
    <row r="1035" ht="15.75" customHeight="1">
      <c r="A1035" s="1">
        <f>IFERROR(__xludf.DUMMYFUNCTION("""COMPUTED_VALUE"""),45384.66666666667)</f>
        <v>45384.66667</v>
      </c>
      <c r="B1035" s="2">
        <f>IFERROR(__xludf.DUMMYFUNCTION("""COMPUTED_VALUE"""),5650.0)</f>
        <v>5650</v>
      </c>
      <c r="C1035" s="2">
        <f>IFERROR(__xludf.DUMMYFUNCTION("""COMPUTED_VALUE"""),5700.0)</f>
        <v>5700</v>
      </c>
      <c r="D1035" s="2">
        <f>IFERROR(__xludf.DUMMYFUNCTION("""COMPUTED_VALUE"""),5550.0)</f>
        <v>5550</v>
      </c>
      <c r="E1035" s="2">
        <f>IFERROR(__xludf.DUMMYFUNCTION("""COMPUTED_VALUE"""),5650.0)</f>
        <v>5650</v>
      </c>
      <c r="F1035" s="2">
        <f>IFERROR(__xludf.DUMMYFUNCTION("""COMPUTED_VALUE"""),6717000.0)</f>
        <v>6717000</v>
      </c>
      <c r="G1035" s="2">
        <f t="shared" si="1"/>
        <v>150</v>
      </c>
    </row>
    <row r="1036" ht="15.75" customHeight="1">
      <c r="A1036" s="1">
        <f>IFERROR(__xludf.DUMMYFUNCTION("""COMPUTED_VALUE"""),45385.66666666667)</f>
        <v>45385.66667</v>
      </c>
      <c r="B1036" s="2">
        <f>IFERROR(__xludf.DUMMYFUNCTION("""COMPUTED_VALUE"""),5650.0)</f>
        <v>5650</v>
      </c>
      <c r="C1036" s="2">
        <f>IFERROR(__xludf.DUMMYFUNCTION("""COMPUTED_VALUE"""),5650.0)</f>
        <v>5650</v>
      </c>
      <c r="D1036" s="2">
        <f>IFERROR(__xludf.DUMMYFUNCTION("""COMPUTED_VALUE"""),5475.0)</f>
        <v>5475</v>
      </c>
      <c r="E1036" s="2">
        <f>IFERROR(__xludf.DUMMYFUNCTION("""COMPUTED_VALUE"""),5525.0)</f>
        <v>5525</v>
      </c>
      <c r="F1036" s="2">
        <f>IFERROR(__xludf.DUMMYFUNCTION("""COMPUTED_VALUE"""),4519200.0)</f>
        <v>4519200</v>
      </c>
      <c r="G1036" s="2">
        <f t="shared" si="1"/>
        <v>175</v>
      </c>
    </row>
    <row r="1037" ht="15.75" customHeight="1">
      <c r="A1037" s="1">
        <f>IFERROR(__xludf.DUMMYFUNCTION("""COMPUTED_VALUE"""),45386.66666666667)</f>
        <v>45386.66667</v>
      </c>
      <c r="B1037" s="2">
        <f>IFERROR(__xludf.DUMMYFUNCTION("""COMPUTED_VALUE"""),5550.0)</f>
        <v>5550</v>
      </c>
      <c r="C1037" s="2">
        <f>IFERROR(__xludf.DUMMYFUNCTION("""COMPUTED_VALUE"""),5550.0)</f>
        <v>5550</v>
      </c>
      <c r="D1037" s="2">
        <f>IFERROR(__xludf.DUMMYFUNCTION("""COMPUTED_VALUE"""),5400.0)</f>
        <v>5400</v>
      </c>
      <c r="E1037" s="2">
        <f>IFERROR(__xludf.DUMMYFUNCTION("""COMPUTED_VALUE"""),5500.0)</f>
        <v>5500</v>
      </c>
      <c r="F1037" s="2">
        <f>IFERROR(__xludf.DUMMYFUNCTION("""COMPUTED_VALUE"""),7472000.0)</f>
        <v>7472000</v>
      </c>
      <c r="G1037" s="2">
        <f t="shared" si="1"/>
        <v>150</v>
      </c>
    </row>
    <row r="1038" ht="15.75" customHeight="1">
      <c r="A1038" s="1">
        <f>IFERROR(__xludf.DUMMYFUNCTION("""COMPUTED_VALUE"""),45387.66666666667)</f>
        <v>45387.66667</v>
      </c>
      <c r="B1038" s="2">
        <f>IFERROR(__xludf.DUMMYFUNCTION("""COMPUTED_VALUE"""),5500.0)</f>
        <v>5500</v>
      </c>
      <c r="C1038" s="2">
        <f>IFERROR(__xludf.DUMMYFUNCTION("""COMPUTED_VALUE"""),5550.0)</f>
        <v>5550</v>
      </c>
      <c r="D1038" s="2">
        <f>IFERROR(__xludf.DUMMYFUNCTION("""COMPUTED_VALUE"""),5475.0)</f>
        <v>5475</v>
      </c>
      <c r="E1038" s="2">
        <f>IFERROR(__xludf.DUMMYFUNCTION("""COMPUTED_VALUE"""),5500.0)</f>
        <v>5500</v>
      </c>
      <c r="F1038" s="2">
        <f>IFERROR(__xludf.DUMMYFUNCTION("""COMPUTED_VALUE"""),3310300.0)</f>
        <v>3310300</v>
      </c>
      <c r="G1038" s="2">
        <f t="shared" si="1"/>
        <v>75</v>
      </c>
    </row>
    <row r="1039" ht="15.75" customHeight="1">
      <c r="A1039" s="1">
        <f>IFERROR(__xludf.DUMMYFUNCTION("""COMPUTED_VALUE"""),45398.66666666667)</f>
        <v>45398.66667</v>
      </c>
      <c r="B1039" s="2">
        <f>IFERROR(__xludf.DUMMYFUNCTION("""COMPUTED_VALUE"""),5500.0)</f>
        <v>5500</v>
      </c>
      <c r="C1039" s="2">
        <f>IFERROR(__xludf.DUMMYFUNCTION("""COMPUTED_VALUE"""),5500.0)</f>
        <v>5500</v>
      </c>
      <c r="D1039" s="2">
        <f>IFERROR(__xludf.DUMMYFUNCTION("""COMPUTED_VALUE"""),5100.0)</f>
        <v>5100</v>
      </c>
      <c r="E1039" s="2">
        <f>IFERROR(__xludf.DUMMYFUNCTION("""COMPUTED_VALUE"""),5450.0)</f>
        <v>5450</v>
      </c>
      <c r="F1039" s="2">
        <f>IFERROR(__xludf.DUMMYFUNCTION("""COMPUTED_VALUE"""),1.86756E7)</f>
        <v>18675600</v>
      </c>
      <c r="G1039" s="2">
        <f t="shared" si="1"/>
        <v>400</v>
      </c>
    </row>
    <row r="1040" ht="15.75" customHeight="1">
      <c r="A1040" s="1">
        <f>IFERROR(__xludf.DUMMYFUNCTION("""COMPUTED_VALUE"""),45399.66666666667)</f>
        <v>45399.66667</v>
      </c>
      <c r="B1040" s="2">
        <f>IFERROR(__xludf.DUMMYFUNCTION("""COMPUTED_VALUE"""),5475.0)</f>
        <v>5475</v>
      </c>
      <c r="C1040" s="2">
        <f>IFERROR(__xludf.DUMMYFUNCTION("""COMPUTED_VALUE"""),5475.0)</f>
        <v>5475</v>
      </c>
      <c r="D1040" s="2">
        <f>IFERROR(__xludf.DUMMYFUNCTION("""COMPUTED_VALUE"""),5300.0)</f>
        <v>5300</v>
      </c>
      <c r="E1040" s="2">
        <f>IFERROR(__xludf.DUMMYFUNCTION("""COMPUTED_VALUE"""),5325.0)</f>
        <v>5325</v>
      </c>
      <c r="F1040" s="2">
        <f>IFERROR(__xludf.DUMMYFUNCTION("""COMPUTED_VALUE"""),7093500.0)</f>
        <v>7093500</v>
      </c>
      <c r="G1040" s="2">
        <f t="shared" si="1"/>
        <v>175</v>
      </c>
    </row>
    <row r="1041" ht="15.75" customHeight="1">
      <c r="A1041" s="1">
        <f>IFERROR(__xludf.DUMMYFUNCTION("""COMPUTED_VALUE"""),45400.66666666667)</f>
        <v>45400.66667</v>
      </c>
      <c r="B1041" s="2">
        <f>IFERROR(__xludf.DUMMYFUNCTION("""COMPUTED_VALUE"""),5300.0)</f>
        <v>5300</v>
      </c>
      <c r="C1041" s="2">
        <f>IFERROR(__xludf.DUMMYFUNCTION("""COMPUTED_VALUE"""),5350.0)</f>
        <v>5350</v>
      </c>
      <c r="D1041" s="2">
        <f>IFERROR(__xludf.DUMMYFUNCTION("""COMPUTED_VALUE"""),5200.0)</f>
        <v>5200</v>
      </c>
      <c r="E1041" s="2">
        <f>IFERROR(__xludf.DUMMYFUNCTION("""COMPUTED_VALUE"""),5250.0)</f>
        <v>5250</v>
      </c>
      <c r="F1041" s="2">
        <f>IFERROR(__xludf.DUMMYFUNCTION("""COMPUTED_VALUE"""),6656800.0)</f>
        <v>6656800</v>
      </c>
      <c r="G1041" s="2">
        <f t="shared" si="1"/>
        <v>150</v>
      </c>
    </row>
    <row r="1042" ht="15.75" customHeight="1">
      <c r="A1042" s="1">
        <f>IFERROR(__xludf.DUMMYFUNCTION("""COMPUTED_VALUE"""),45401.66666666667)</f>
        <v>45401.66667</v>
      </c>
      <c r="B1042" s="2">
        <f>IFERROR(__xludf.DUMMYFUNCTION("""COMPUTED_VALUE"""),5250.0)</f>
        <v>5250</v>
      </c>
      <c r="C1042" s="2">
        <f>IFERROR(__xludf.DUMMYFUNCTION("""COMPUTED_VALUE"""),5425.0)</f>
        <v>5425</v>
      </c>
      <c r="D1042" s="2">
        <f>IFERROR(__xludf.DUMMYFUNCTION("""COMPUTED_VALUE"""),5100.0)</f>
        <v>5100</v>
      </c>
      <c r="E1042" s="2">
        <f>IFERROR(__xludf.DUMMYFUNCTION("""COMPUTED_VALUE"""),5425.0)</f>
        <v>5425</v>
      </c>
      <c r="F1042" s="2">
        <f>IFERROR(__xludf.DUMMYFUNCTION("""COMPUTED_VALUE"""),7453300.0)</f>
        <v>7453300</v>
      </c>
      <c r="G1042" s="2">
        <f t="shared" si="1"/>
        <v>325</v>
      </c>
    </row>
    <row r="1043" ht="15.75" customHeight="1">
      <c r="A1043" s="1">
        <f>IFERROR(__xludf.DUMMYFUNCTION("""COMPUTED_VALUE"""),45404.66666666667)</f>
        <v>45404.66667</v>
      </c>
      <c r="B1043" s="2">
        <f>IFERROR(__xludf.DUMMYFUNCTION("""COMPUTED_VALUE"""),5400.0)</f>
        <v>5400</v>
      </c>
      <c r="C1043" s="2">
        <f>IFERROR(__xludf.DUMMYFUNCTION("""COMPUTED_VALUE"""),5475.0)</f>
        <v>5475</v>
      </c>
      <c r="D1043" s="2">
        <f>IFERROR(__xludf.DUMMYFUNCTION("""COMPUTED_VALUE"""),5300.0)</f>
        <v>5300</v>
      </c>
      <c r="E1043" s="2">
        <f>IFERROR(__xludf.DUMMYFUNCTION("""COMPUTED_VALUE"""),5400.0)</f>
        <v>5400</v>
      </c>
      <c r="F1043" s="2">
        <f>IFERROR(__xludf.DUMMYFUNCTION("""COMPUTED_VALUE"""),2746200.0)</f>
        <v>2746200</v>
      </c>
      <c r="G1043" s="2">
        <f t="shared" si="1"/>
        <v>175</v>
      </c>
    </row>
    <row r="1044" ht="15.75" customHeight="1">
      <c r="A1044" s="1">
        <f>IFERROR(__xludf.DUMMYFUNCTION("""COMPUTED_VALUE"""),45405.66666666667)</f>
        <v>45405.66667</v>
      </c>
      <c r="B1044" s="2">
        <f>IFERROR(__xludf.DUMMYFUNCTION("""COMPUTED_VALUE"""),5425.0)</f>
        <v>5425</v>
      </c>
      <c r="C1044" s="2">
        <f>IFERROR(__xludf.DUMMYFUNCTION("""COMPUTED_VALUE"""),5425.0)</f>
        <v>5425</v>
      </c>
      <c r="D1044" s="2">
        <f>IFERROR(__xludf.DUMMYFUNCTION("""COMPUTED_VALUE"""),5300.0)</f>
        <v>5300</v>
      </c>
      <c r="E1044" s="2">
        <f>IFERROR(__xludf.DUMMYFUNCTION("""COMPUTED_VALUE"""),5325.0)</f>
        <v>5325</v>
      </c>
      <c r="F1044" s="2">
        <f>IFERROR(__xludf.DUMMYFUNCTION("""COMPUTED_VALUE"""),1510800.0)</f>
        <v>1510800</v>
      </c>
      <c r="G1044" s="2">
        <f t="shared" si="1"/>
        <v>125</v>
      </c>
    </row>
    <row r="1045" ht="15.75" customHeight="1">
      <c r="A1045" s="1">
        <f>IFERROR(__xludf.DUMMYFUNCTION("""COMPUTED_VALUE"""),45406.66666666667)</f>
        <v>45406.66667</v>
      </c>
      <c r="B1045" s="2">
        <f>IFERROR(__xludf.DUMMYFUNCTION("""COMPUTED_VALUE"""),5325.0)</f>
        <v>5325</v>
      </c>
      <c r="C1045" s="2">
        <f>IFERROR(__xludf.DUMMYFUNCTION("""COMPUTED_VALUE"""),5375.0)</f>
        <v>5375</v>
      </c>
      <c r="D1045" s="2">
        <f>IFERROR(__xludf.DUMMYFUNCTION("""COMPUTED_VALUE"""),5225.0)</f>
        <v>5225</v>
      </c>
      <c r="E1045" s="2">
        <f>IFERROR(__xludf.DUMMYFUNCTION("""COMPUTED_VALUE"""),5250.0)</f>
        <v>5250</v>
      </c>
      <c r="F1045" s="2">
        <f>IFERROR(__xludf.DUMMYFUNCTION("""COMPUTED_VALUE"""),4185900.0)</f>
        <v>4185900</v>
      </c>
      <c r="G1045" s="2">
        <f t="shared" si="1"/>
        <v>150</v>
      </c>
    </row>
    <row r="1046" ht="15.75" customHeight="1">
      <c r="A1046" s="1">
        <f>IFERROR(__xludf.DUMMYFUNCTION("""COMPUTED_VALUE"""),45407.66666666667)</f>
        <v>45407.66667</v>
      </c>
      <c r="B1046" s="2">
        <f>IFERROR(__xludf.DUMMYFUNCTION("""COMPUTED_VALUE"""),5300.0)</f>
        <v>5300</v>
      </c>
      <c r="C1046" s="2">
        <f>IFERROR(__xludf.DUMMYFUNCTION("""COMPUTED_VALUE"""),5325.0)</f>
        <v>5325</v>
      </c>
      <c r="D1046" s="2">
        <f>IFERROR(__xludf.DUMMYFUNCTION("""COMPUTED_VALUE"""),5225.0)</f>
        <v>5225</v>
      </c>
      <c r="E1046" s="2">
        <f>IFERROR(__xludf.DUMMYFUNCTION("""COMPUTED_VALUE"""),5250.0)</f>
        <v>5250</v>
      </c>
      <c r="F1046" s="2">
        <f>IFERROR(__xludf.DUMMYFUNCTION("""COMPUTED_VALUE"""),4750700.0)</f>
        <v>4750700</v>
      </c>
      <c r="G1046" s="2">
        <f t="shared" si="1"/>
        <v>100</v>
      </c>
    </row>
    <row r="1047" ht="15.75" customHeight="1">
      <c r="A1047" s="1">
        <f>IFERROR(__xludf.DUMMYFUNCTION("""COMPUTED_VALUE"""),45408.66666666667)</f>
        <v>45408.66667</v>
      </c>
      <c r="B1047" s="2">
        <f>IFERROR(__xludf.DUMMYFUNCTION("""COMPUTED_VALUE"""),5275.0)</f>
        <v>5275</v>
      </c>
      <c r="C1047" s="2">
        <f>IFERROR(__xludf.DUMMYFUNCTION("""COMPUTED_VALUE"""),5300.0)</f>
        <v>5300</v>
      </c>
      <c r="D1047" s="2">
        <f>IFERROR(__xludf.DUMMYFUNCTION("""COMPUTED_VALUE"""),5000.0)</f>
        <v>5000</v>
      </c>
      <c r="E1047" s="2">
        <f>IFERROR(__xludf.DUMMYFUNCTION("""COMPUTED_VALUE"""),5050.0)</f>
        <v>5050</v>
      </c>
      <c r="F1047" s="2">
        <f>IFERROR(__xludf.DUMMYFUNCTION("""COMPUTED_VALUE"""),4310000.0)</f>
        <v>4310000</v>
      </c>
      <c r="G1047" s="2">
        <f t="shared" si="1"/>
        <v>300</v>
      </c>
    </row>
    <row r="1048" ht="15.75" customHeight="1">
      <c r="A1048" s="1">
        <f>IFERROR(__xludf.DUMMYFUNCTION("""COMPUTED_VALUE"""),45411.66666666667)</f>
        <v>45411.66667</v>
      </c>
      <c r="B1048" s="2">
        <f>IFERROR(__xludf.DUMMYFUNCTION("""COMPUTED_VALUE"""),5075.0)</f>
        <v>5075</v>
      </c>
      <c r="C1048" s="2">
        <f>IFERROR(__xludf.DUMMYFUNCTION("""COMPUTED_VALUE"""),5350.0)</f>
        <v>5350</v>
      </c>
      <c r="D1048" s="2">
        <f>IFERROR(__xludf.DUMMYFUNCTION("""COMPUTED_VALUE"""),4930.0)</f>
        <v>4930</v>
      </c>
      <c r="E1048" s="2">
        <f>IFERROR(__xludf.DUMMYFUNCTION("""COMPUTED_VALUE"""),5300.0)</f>
        <v>5300</v>
      </c>
      <c r="F1048" s="2">
        <f>IFERROR(__xludf.DUMMYFUNCTION("""COMPUTED_VALUE"""),5375100.0)</f>
        <v>5375100</v>
      </c>
      <c r="G1048" s="2">
        <f t="shared" si="1"/>
        <v>420</v>
      </c>
    </row>
    <row r="1049" ht="15.75" customHeight="1">
      <c r="A1049" s="1">
        <f>IFERROR(__xludf.DUMMYFUNCTION("""COMPUTED_VALUE"""),45412.66666666667)</f>
        <v>45412.66667</v>
      </c>
      <c r="B1049" s="2">
        <f>IFERROR(__xludf.DUMMYFUNCTION("""COMPUTED_VALUE"""),5200.0)</f>
        <v>5200</v>
      </c>
      <c r="C1049" s="2">
        <f>IFERROR(__xludf.DUMMYFUNCTION("""COMPUTED_VALUE"""),5400.0)</f>
        <v>5400</v>
      </c>
      <c r="D1049" s="2">
        <f>IFERROR(__xludf.DUMMYFUNCTION("""COMPUTED_VALUE"""),5150.0)</f>
        <v>5150</v>
      </c>
      <c r="E1049" s="2">
        <f>IFERROR(__xludf.DUMMYFUNCTION("""COMPUTED_VALUE"""),5400.0)</f>
        <v>5400</v>
      </c>
      <c r="F1049" s="2">
        <f>IFERROR(__xludf.DUMMYFUNCTION("""COMPUTED_VALUE"""),3712000.0)</f>
        <v>3712000</v>
      </c>
      <c r="G1049" s="2">
        <f t="shared" si="1"/>
        <v>250</v>
      </c>
    </row>
    <row r="1050" ht="15.75" customHeight="1">
      <c r="A1050" s="1">
        <f>IFERROR(__xludf.DUMMYFUNCTION("""COMPUTED_VALUE"""),45414.66666666667)</f>
        <v>45414.66667</v>
      </c>
      <c r="B1050" s="2">
        <f>IFERROR(__xludf.DUMMYFUNCTION("""COMPUTED_VALUE"""),5400.0)</f>
        <v>5400</v>
      </c>
      <c r="C1050" s="2">
        <f>IFERROR(__xludf.DUMMYFUNCTION("""COMPUTED_VALUE"""),5400.0)</f>
        <v>5400</v>
      </c>
      <c r="D1050" s="2">
        <f>IFERROR(__xludf.DUMMYFUNCTION("""COMPUTED_VALUE"""),5025.0)</f>
        <v>5025</v>
      </c>
      <c r="E1050" s="2">
        <f>IFERROR(__xludf.DUMMYFUNCTION("""COMPUTED_VALUE"""),5125.0)</f>
        <v>5125</v>
      </c>
      <c r="F1050" s="2">
        <f>IFERROR(__xludf.DUMMYFUNCTION("""COMPUTED_VALUE"""),5140300.0)</f>
        <v>5140300</v>
      </c>
      <c r="G1050" s="2">
        <f t="shared" si="1"/>
        <v>375</v>
      </c>
    </row>
    <row r="1051" ht="15.75" customHeight="1">
      <c r="A1051" s="1">
        <f>IFERROR(__xludf.DUMMYFUNCTION("""COMPUTED_VALUE"""),45415.66666666667)</f>
        <v>45415.66667</v>
      </c>
      <c r="B1051" s="2">
        <f>IFERROR(__xludf.DUMMYFUNCTION("""COMPUTED_VALUE"""),5150.0)</f>
        <v>5150</v>
      </c>
      <c r="C1051" s="2">
        <f>IFERROR(__xludf.DUMMYFUNCTION("""COMPUTED_VALUE"""),5225.0)</f>
        <v>5225</v>
      </c>
      <c r="D1051" s="2">
        <f>IFERROR(__xludf.DUMMYFUNCTION("""COMPUTED_VALUE"""),4990.0)</f>
        <v>4990</v>
      </c>
      <c r="E1051" s="2">
        <f>IFERROR(__xludf.DUMMYFUNCTION("""COMPUTED_VALUE"""),5025.0)</f>
        <v>5025</v>
      </c>
      <c r="F1051" s="2">
        <f>IFERROR(__xludf.DUMMYFUNCTION("""COMPUTED_VALUE"""),3461700.0)</f>
        <v>3461700</v>
      </c>
      <c r="G1051" s="2">
        <f t="shared" si="1"/>
        <v>235</v>
      </c>
    </row>
    <row r="1052" ht="15.75" customHeight="1">
      <c r="A1052" s="1">
        <f>IFERROR(__xludf.DUMMYFUNCTION("""COMPUTED_VALUE"""),45418.66666666667)</f>
        <v>45418.66667</v>
      </c>
      <c r="B1052" s="2">
        <f>IFERROR(__xludf.DUMMYFUNCTION("""COMPUTED_VALUE"""),5000.0)</f>
        <v>5000</v>
      </c>
      <c r="C1052" s="2">
        <f>IFERROR(__xludf.DUMMYFUNCTION("""COMPUTED_VALUE"""),5425.0)</f>
        <v>5425</v>
      </c>
      <c r="D1052" s="2">
        <f>IFERROR(__xludf.DUMMYFUNCTION("""COMPUTED_VALUE"""),5000.0)</f>
        <v>5000</v>
      </c>
      <c r="E1052" s="2">
        <f>IFERROR(__xludf.DUMMYFUNCTION("""COMPUTED_VALUE"""),5425.0)</f>
        <v>5425</v>
      </c>
      <c r="F1052" s="2">
        <f>IFERROR(__xludf.DUMMYFUNCTION("""COMPUTED_VALUE"""),7939000.0)</f>
        <v>7939000</v>
      </c>
      <c r="G1052" s="2">
        <f t="shared" si="1"/>
        <v>425</v>
      </c>
    </row>
    <row r="1053" ht="15.75" customHeight="1">
      <c r="A1053" s="1">
        <f>IFERROR(__xludf.DUMMYFUNCTION("""COMPUTED_VALUE"""),45419.66666666667)</f>
        <v>45419.66667</v>
      </c>
      <c r="B1053" s="2">
        <f>IFERROR(__xludf.DUMMYFUNCTION("""COMPUTED_VALUE"""),5400.0)</f>
        <v>5400</v>
      </c>
      <c r="C1053" s="2">
        <f>IFERROR(__xludf.DUMMYFUNCTION("""COMPUTED_VALUE"""),5400.0)</f>
        <v>5400</v>
      </c>
      <c r="D1053" s="2">
        <f>IFERROR(__xludf.DUMMYFUNCTION("""COMPUTED_VALUE"""),5150.0)</f>
        <v>5150</v>
      </c>
      <c r="E1053" s="2">
        <f>IFERROR(__xludf.DUMMYFUNCTION("""COMPUTED_VALUE"""),5175.0)</f>
        <v>5175</v>
      </c>
      <c r="F1053" s="2">
        <f>IFERROR(__xludf.DUMMYFUNCTION("""COMPUTED_VALUE"""),9408100.0)</f>
        <v>9408100</v>
      </c>
      <c r="G1053" s="2">
        <f t="shared" si="1"/>
        <v>275</v>
      </c>
    </row>
    <row r="1054" ht="15.75" customHeight="1">
      <c r="A1054" s="1">
        <f>IFERROR(__xludf.DUMMYFUNCTION("""COMPUTED_VALUE"""),45420.66666666667)</f>
        <v>45420.66667</v>
      </c>
      <c r="B1054" s="2">
        <f>IFERROR(__xludf.DUMMYFUNCTION("""COMPUTED_VALUE"""),5200.0)</f>
        <v>5200</v>
      </c>
      <c r="C1054" s="2">
        <f>IFERROR(__xludf.DUMMYFUNCTION("""COMPUTED_VALUE"""),5225.0)</f>
        <v>5225</v>
      </c>
      <c r="D1054" s="2">
        <f>IFERROR(__xludf.DUMMYFUNCTION("""COMPUTED_VALUE"""),5100.0)</f>
        <v>5100</v>
      </c>
      <c r="E1054" s="2">
        <f>IFERROR(__xludf.DUMMYFUNCTION("""COMPUTED_VALUE"""),5200.0)</f>
        <v>5200</v>
      </c>
      <c r="F1054" s="2">
        <f>IFERROR(__xludf.DUMMYFUNCTION("""COMPUTED_VALUE"""),7892600.0)</f>
        <v>7892600</v>
      </c>
      <c r="G1054" s="2">
        <f t="shared" si="1"/>
        <v>125</v>
      </c>
    </row>
    <row r="1055" ht="15.75" customHeight="1">
      <c r="A1055" s="1">
        <f>IFERROR(__xludf.DUMMYFUNCTION("""COMPUTED_VALUE"""),45425.66666666667)</f>
        <v>45425.66667</v>
      </c>
      <c r="B1055" s="2">
        <f>IFERROR(__xludf.DUMMYFUNCTION("""COMPUTED_VALUE"""),5225.0)</f>
        <v>5225</v>
      </c>
      <c r="C1055" s="2">
        <f>IFERROR(__xludf.DUMMYFUNCTION("""COMPUTED_VALUE"""),5250.0)</f>
        <v>5250</v>
      </c>
      <c r="D1055" s="2">
        <f>IFERROR(__xludf.DUMMYFUNCTION("""COMPUTED_VALUE"""),5050.0)</f>
        <v>5050</v>
      </c>
      <c r="E1055" s="2">
        <f>IFERROR(__xludf.DUMMYFUNCTION("""COMPUTED_VALUE"""),5150.0)</f>
        <v>5150</v>
      </c>
      <c r="F1055" s="2">
        <f>IFERROR(__xludf.DUMMYFUNCTION("""COMPUTED_VALUE"""),6876900.0)</f>
        <v>6876900</v>
      </c>
      <c r="G1055" s="2">
        <f t="shared" si="1"/>
        <v>200</v>
      </c>
    </row>
    <row r="1056" ht="15.75" customHeight="1">
      <c r="A1056" s="1">
        <f>IFERROR(__xludf.DUMMYFUNCTION("""COMPUTED_VALUE"""),45426.66666666667)</f>
        <v>45426.66667</v>
      </c>
      <c r="B1056" s="2">
        <f>IFERROR(__xludf.DUMMYFUNCTION("""COMPUTED_VALUE"""),5175.0)</f>
        <v>5175</v>
      </c>
      <c r="C1056" s="2">
        <f>IFERROR(__xludf.DUMMYFUNCTION("""COMPUTED_VALUE"""),5200.0)</f>
        <v>5200</v>
      </c>
      <c r="D1056" s="2">
        <f>IFERROR(__xludf.DUMMYFUNCTION("""COMPUTED_VALUE"""),4990.0)</f>
        <v>4990</v>
      </c>
      <c r="E1056" s="2">
        <f>IFERROR(__xludf.DUMMYFUNCTION("""COMPUTED_VALUE"""),5025.0)</f>
        <v>5025</v>
      </c>
      <c r="F1056" s="2">
        <f>IFERROR(__xludf.DUMMYFUNCTION("""COMPUTED_VALUE"""),4844800.0)</f>
        <v>4844800</v>
      </c>
      <c r="G1056" s="2">
        <f t="shared" si="1"/>
        <v>210</v>
      </c>
    </row>
    <row r="1057" ht="15.75" customHeight="1">
      <c r="A1057" s="1">
        <f>IFERROR(__xludf.DUMMYFUNCTION("""COMPUTED_VALUE"""),45427.66666666667)</f>
        <v>45427.66667</v>
      </c>
      <c r="B1057" s="2">
        <f>IFERROR(__xludf.DUMMYFUNCTION("""COMPUTED_VALUE"""),5100.0)</f>
        <v>5100</v>
      </c>
      <c r="C1057" s="2">
        <f>IFERROR(__xludf.DUMMYFUNCTION("""COMPUTED_VALUE"""),5150.0)</f>
        <v>5150</v>
      </c>
      <c r="D1057" s="2">
        <f>IFERROR(__xludf.DUMMYFUNCTION("""COMPUTED_VALUE"""),5000.0)</f>
        <v>5000</v>
      </c>
      <c r="E1057" s="2">
        <f>IFERROR(__xludf.DUMMYFUNCTION("""COMPUTED_VALUE"""),5075.0)</f>
        <v>5075</v>
      </c>
      <c r="F1057" s="2">
        <f>IFERROR(__xludf.DUMMYFUNCTION("""COMPUTED_VALUE"""),7329400.0)</f>
        <v>7329400</v>
      </c>
      <c r="G1057" s="2">
        <f t="shared" si="1"/>
        <v>150</v>
      </c>
    </row>
    <row r="1058" ht="15.75" customHeight="1">
      <c r="A1058" s="1">
        <f>IFERROR(__xludf.DUMMYFUNCTION("""COMPUTED_VALUE"""),45428.66666666667)</f>
        <v>45428.66667</v>
      </c>
      <c r="B1058" s="2">
        <f>IFERROR(__xludf.DUMMYFUNCTION("""COMPUTED_VALUE"""),5150.0)</f>
        <v>5150</v>
      </c>
      <c r="C1058" s="2">
        <f>IFERROR(__xludf.DUMMYFUNCTION("""COMPUTED_VALUE"""),5175.0)</f>
        <v>5175</v>
      </c>
      <c r="D1058" s="2">
        <f>IFERROR(__xludf.DUMMYFUNCTION("""COMPUTED_VALUE"""),5050.0)</f>
        <v>5050</v>
      </c>
      <c r="E1058" s="2">
        <f>IFERROR(__xludf.DUMMYFUNCTION("""COMPUTED_VALUE"""),5050.0)</f>
        <v>5050</v>
      </c>
      <c r="F1058" s="2">
        <f>IFERROR(__xludf.DUMMYFUNCTION("""COMPUTED_VALUE"""),7912700.0)</f>
        <v>7912700</v>
      </c>
      <c r="G1058" s="2">
        <f t="shared" si="1"/>
        <v>125</v>
      </c>
    </row>
    <row r="1059" ht="15.75" customHeight="1">
      <c r="A1059" s="1">
        <f>IFERROR(__xludf.DUMMYFUNCTION("""COMPUTED_VALUE"""),45429.66666666667)</f>
        <v>45429.66667</v>
      </c>
      <c r="B1059" s="2">
        <f>IFERROR(__xludf.DUMMYFUNCTION("""COMPUTED_VALUE"""),5050.0)</f>
        <v>5050</v>
      </c>
      <c r="C1059" s="2">
        <f>IFERROR(__xludf.DUMMYFUNCTION("""COMPUTED_VALUE"""),5100.0)</f>
        <v>5100</v>
      </c>
      <c r="D1059" s="2">
        <f>IFERROR(__xludf.DUMMYFUNCTION("""COMPUTED_VALUE"""),4970.0)</f>
        <v>4970</v>
      </c>
      <c r="E1059" s="2">
        <f>IFERROR(__xludf.DUMMYFUNCTION("""COMPUTED_VALUE"""),5000.0)</f>
        <v>5000</v>
      </c>
      <c r="F1059" s="2">
        <f>IFERROR(__xludf.DUMMYFUNCTION("""COMPUTED_VALUE"""),7744800.0)</f>
        <v>7744800</v>
      </c>
      <c r="G1059" s="2">
        <f t="shared" si="1"/>
        <v>130</v>
      </c>
    </row>
    <row r="1060" ht="15.75" customHeight="1">
      <c r="A1060" s="1">
        <f>IFERROR(__xludf.DUMMYFUNCTION("""COMPUTED_VALUE"""),45432.66666666667)</f>
        <v>45432.66667</v>
      </c>
      <c r="B1060" s="2">
        <f>IFERROR(__xludf.DUMMYFUNCTION("""COMPUTED_VALUE"""),5000.0)</f>
        <v>5000</v>
      </c>
      <c r="C1060" s="2">
        <f>IFERROR(__xludf.DUMMYFUNCTION("""COMPUTED_VALUE"""),5075.0)</f>
        <v>5075</v>
      </c>
      <c r="D1060" s="2">
        <f>IFERROR(__xludf.DUMMYFUNCTION("""COMPUTED_VALUE"""),4990.0)</f>
        <v>4990</v>
      </c>
      <c r="E1060" s="2">
        <f>IFERROR(__xludf.DUMMYFUNCTION("""COMPUTED_VALUE"""),5000.0)</f>
        <v>5000</v>
      </c>
      <c r="F1060" s="2">
        <f>IFERROR(__xludf.DUMMYFUNCTION("""COMPUTED_VALUE"""),6096000.0)</f>
        <v>6096000</v>
      </c>
      <c r="G1060" s="2">
        <f t="shared" si="1"/>
        <v>85</v>
      </c>
    </row>
    <row r="1061" ht="15.75" customHeight="1">
      <c r="A1061" s="1">
        <f>IFERROR(__xludf.DUMMYFUNCTION("""COMPUTED_VALUE"""),45433.66666666667)</f>
        <v>45433.66667</v>
      </c>
      <c r="B1061" s="2">
        <f>IFERROR(__xludf.DUMMYFUNCTION("""COMPUTED_VALUE"""),5000.0)</f>
        <v>5000</v>
      </c>
      <c r="C1061" s="2">
        <f>IFERROR(__xludf.DUMMYFUNCTION("""COMPUTED_VALUE"""),5000.0)</f>
        <v>5000</v>
      </c>
      <c r="D1061" s="2">
        <f>IFERROR(__xludf.DUMMYFUNCTION("""COMPUTED_VALUE"""),4840.0)</f>
        <v>4840</v>
      </c>
      <c r="E1061" s="2">
        <f>IFERROR(__xludf.DUMMYFUNCTION("""COMPUTED_VALUE"""),4900.0)</f>
        <v>4900</v>
      </c>
      <c r="F1061" s="2">
        <f>IFERROR(__xludf.DUMMYFUNCTION("""COMPUTED_VALUE"""),6492200.0)</f>
        <v>6492200</v>
      </c>
      <c r="G1061" s="2">
        <f t="shared" si="1"/>
        <v>160</v>
      </c>
    </row>
    <row r="1062" ht="15.75" customHeight="1">
      <c r="A1062" s="1">
        <f>IFERROR(__xludf.DUMMYFUNCTION("""COMPUTED_VALUE"""),45434.66666666667)</f>
        <v>45434.66667</v>
      </c>
      <c r="B1062" s="2">
        <f>IFERROR(__xludf.DUMMYFUNCTION("""COMPUTED_VALUE"""),4920.0)</f>
        <v>4920</v>
      </c>
      <c r="C1062" s="2">
        <f>IFERROR(__xludf.DUMMYFUNCTION("""COMPUTED_VALUE"""),5000.0)</f>
        <v>5000</v>
      </c>
      <c r="D1062" s="2">
        <f>IFERROR(__xludf.DUMMYFUNCTION("""COMPUTED_VALUE"""),4900.0)</f>
        <v>4900</v>
      </c>
      <c r="E1062" s="2">
        <f>IFERROR(__xludf.DUMMYFUNCTION("""COMPUTED_VALUE"""),5000.0)</f>
        <v>5000</v>
      </c>
      <c r="F1062" s="2">
        <f>IFERROR(__xludf.DUMMYFUNCTION("""COMPUTED_VALUE"""),4947700.0)</f>
        <v>4947700</v>
      </c>
      <c r="G1062" s="2">
        <f t="shared" si="1"/>
        <v>100</v>
      </c>
    </row>
    <row r="1063" ht="15.75" customHeight="1">
      <c r="A1063" s="1">
        <f>IFERROR(__xludf.DUMMYFUNCTION("""COMPUTED_VALUE"""),45439.66666666667)</f>
        <v>45439.66667</v>
      </c>
      <c r="B1063" s="2">
        <f>IFERROR(__xludf.DUMMYFUNCTION("""COMPUTED_VALUE"""),5000.0)</f>
        <v>5000</v>
      </c>
      <c r="C1063" s="2">
        <f>IFERROR(__xludf.DUMMYFUNCTION("""COMPUTED_VALUE"""),5000.0)</f>
        <v>5000</v>
      </c>
      <c r="D1063" s="2">
        <f>IFERROR(__xludf.DUMMYFUNCTION("""COMPUTED_VALUE"""),4840.0)</f>
        <v>4840</v>
      </c>
      <c r="E1063" s="2">
        <f>IFERROR(__xludf.DUMMYFUNCTION("""COMPUTED_VALUE"""),4950.0)</f>
        <v>4950</v>
      </c>
      <c r="F1063" s="2">
        <f>IFERROR(__xludf.DUMMYFUNCTION("""COMPUTED_VALUE"""),5149100.0)</f>
        <v>5149100</v>
      </c>
      <c r="G1063" s="2">
        <f t="shared" si="1"/>
        <v>160</v>
      </c>
    </row>
    <row r="1064" ht="15.75" customHeight="1">
      <c r="A1064" s="1">
        <f>IFERROR(__xludf.DUMMYFUNCTION("""COMPUTED_VALUE"""),45440.66666666667)</f>
        <v>45440.66667</v>
      </c>
      <c r="B1064" s="2">
        <f>IFERROR(__xludf.DUMMYFUNCTION("""COMPUTED_VALUE"""),4950.0)</f>
        <v>4950</v>
      </c>
      <c r="C1064" s="2">
        <f>IFERROR(__xludf.DUMMYFUNCTION("""COMPUTED_VALUE"""),4960.0)</f>
        <v>4960</v>
      </c>
      <c r="D1064" s="2">
        <f>IFERROR(__xludf.DUMMYFUNCTION("""COMPUTED_VALUE"""),4860.0)</f>
        <v>4860</v>
      </c>
      <c r="E1064" s="2">
        <f>IFERROR(__xludf.DUMMYFUNCTION("""COMPUTED_VALUE"""),4880.0)</f>
        <v>4880</v>
      </c>
      <c r="F1064" s="2">
        <f>IFERROR(__xludf.DUMMYFUNCTION("""COMPUTED_VALUE"""),5910400.0)</f>
        <v>5910400</v>
      </c>
      <c r="G1064" s="2">
        <f t="shared" si="1"/>
        <v>100</v>
      </c>
    </row>
    <row r="1065" ht="15.75" customHeight="1">
      <c r="A1065" s="1">
        <f>IFERROR(__xludf.DUMMYFUNCTION("""COMPUTED_VALUE"""),45441.66666666667)</f>
        <v>45441.66667</v>
      </c>
      <c r="B1065" s="2">
        <f>IFERROR(__xludf.DUMMYFUNCTION("""COMPUTED_VALUE"""),4890.0)</f>
        <v>4890</v>
      </c>
      <c r="C1065" s="2">
        <f>IFERROR(__xludf.DUMMYFUNCTION("""COMPUTED_VALUE"""),4930.0)</f>
        <v>4930</v>
      </c>
      <c r="D1065" s="2">
        <f>IFERROR(__xludf.DUMMYFUNCTION("""COMPUTED_VALUE"""),4840.0)</f>
        <v>4840</v>
      </c>
      <c r="E1065" s="2">
        <f>IFERROR(__xludf.DUMMYFUNCTION("""COMPUTED_VALUE"""),4910.0)</f>
        <v>4910</v>
      </c>
      <c r="F1065" s="2">
        <f>IFERROR(__xludf.DUMMYFUNCTION("""COMPUTED_VALUE"""),1698700.0)</f>
        <v>1698700</v>
      </c>
      <c r="G1065" s="2">
        <f t="shared" si="1"/>
        <v>90</v>
      </c>
    </row>
    <row r="1066" ht="15.75" customHeight="1">
      <c r="A1066" s="1">
        <f>IFERROR(__xludf.DUMMYFUNCTION("""COMPUTED_VALUE"""),45442.66666666667)</f>
        <v>45442.66667</v>
      </c>
      <c r="B1066" s="2">
        <f>IFERROR(__xludf.DUMMYFUNCTION("""COMPUTED_VALUE"""),4910.0)</f>
        <v>4910</v>
      </c>
      <c r="C1066" s="2">
        <f>IFERROR(__xludf.DUMMYFUNCTION("""COMPUTED_VALUE"""),4920.0)</f>
        <v>4920</v>
      </c>
      <c r="D1066" s="2">
        <f>IFERROR(__xludf.DUMMYFUNCTION("""COMPUTED_VALUE"""),4850.0)</f>
        <v>4850</v>
      </c>
      <c r="E1066" s="2">
        <f>IFERROR(__xludf.DUMMYFUNCTION("""COMPUTED_VALUE"""),4890.0)</f>
        <v>4890</v>
      </c>
      <c r="F1066" s="2">
        <f>IFERROR(__xludf.DUMMYFUNCTION("""COMPUTED_VALUE"""),2451700.0)</f>
        <v>2451700</v>
      </c>
      <c r="G1066" s="2">
        <f t="shared" si="1"/>
        <v>70</v>
      </c>
    </row>
    <row r="1067" ht="15.75" customHeight="1">
      <c r="A1067" s="1">
        <f>IFERROR(__xludf.DUMMYFUNCTION("""COMPUTED_VALUE"""),45443.66666666667)</f>
        <v>45443.66667</v>
      </c>
      <c r="B1067" s="2">
        <f>IFERROR(__xludf.DUMMYFUNCTION("""COMPUTED_VALUE"""),4890.0)</f>
        <v>4890</v>
      </c>
      <c r="C1067" s="2">
        <f>IFERROR(__xludf.DUMMYFUNCTION("""COMPUTED_VALUE"""),4890.0)</f>
        <v>4890</v>
      </c>
      <c r="D1067" s="2">
        <f>IFERROR(__xludf.DUMMYFUNCTION("""COMPUTED_VALUE"""),4780.0)</f>
        <v>4780</v>
      </c>
      <c r="E1067" s="2">
        <f>IFERROR(__xludf.DUMMYFUNCTION("""COMPUTED_VALUE"""),4780.0)</f>
        <v>4780</v>
      </c>
      <c r="F1067" s="2">
        <f>IFERROR(__xludf.DUMMYFUNCTION("""COMPUTED_VALUE"""),8751400.0)</f>
        <v>8751400</v>
      </c>
      <c r="G1067" s="2">
        <f t="shared" si="1"/>
        <v>110</v>
      </c>
    </row>
    <row r="1068" ht="15.75" customHeight="1">
      <c r="A1068" s="1">
        <f>IFERROR(__xludf.DUMMYFUNCTION("""COMPUTED_VALUE"""),45446.66666666667)</f>
        <v>45446.66667</v>
      </c>
      <c r="B1068" s="2">
        <f>IFERROR(__xludf.DUMMYFUNCTION("""COMPUTED_VALUE"""),4780.0)</f>
        <v>4780</v>
      </c>
      <c r="C1068" s="2">
        <f>IFERROR(__xludf.DUMMYFUNCTION("""COMPUTED_VALUE"""),4840.0)</f>
        <v>4840</v>
      </c>
      <c r="D1068" s="2">
        <f>IFERROR(__xludf.DUMMYFUNCTION("""COMPUTED_VALUE"""),4750.0)</f>
        <v>4750</v>
      </c>
      <c r="E1068" s="2">
        <f>IFERROR(__xludf.DUMMYFUNCTION("""COMPUTED_VALUE"""),4760.0)</f>
        <v>4760</v>
      </c>
      <c r="F1068" s="2">
        <f>IFERROR(__xludf.DUMMYFUNCTION("""COMPUTED_VALUE"""),7516700.0)</f>
        <v>7516700</v>
      </c>
      <c r="G1068" s="2">
        <f t="shared" si="1"/>
        <v>90</v>
      </c>
    </row>
    <row r="1069" ht="15.75" customHeight="1">
      <c r="A1069" s="1">
        <f>IFERROR(__xludf.DUMMYFUNCTION("""COMPUTED_VALUE"""),45447.66666666667)</f>
        <v>45447.66667</v>
      </c>
      <c r="B1069" s="2">
        <f>IFERROR(__xludf.DUMMYFUNCTION("""COMPUTED_VALUE"""),4760.0)</f>
        <v>4760</v>
      </c>
      <c r="C1069" s="2">
        <f>IFERROR(__xludf.DUMMYFUNCTION("""COMPUTED_VALUE"""),5025.0)</f>
        <v>5025</v>
      </c>
      <c r="D1069" s="2">
        <f>IFERROR(__xludf.DUMMYFUNCTION("""COMPUTED_VALUE"""),4760.0)</f>
        <v>4760</v>
      </c>
      <c r="E1069" s="2">
        <f>IFERROR(__xludf.DUMMYFUNCTION("""COMPUTED_VALUE"""),4930.0)</f>
        <v>4930</v>
      </c>
      <c r="F1069" s="2">
        <f>IFERROR(__xludf.DUMMYFUNCTION("""COMPUTED_VALUE"""),7426400.0)</f>
        <v>7426400</v>
      </c>
      <c r="G1069" s="2">
        <f t="shared" si="1"/>
        <v>265</v>
      </c>
    </row>
    <row r="1070" ht="15.75" customHeight="1">
      <c r="A1070" s="1">
        <f>IFERROR(__xludf.DUMMYFUNCTION("""COMPUTED_VALUE"""),45448.66666666667)</f>
        <v>45448.66667</v>
      </c>
      <c r="B1070" s="2">
        <f>IFERROR(__xludf.DUMMYFUNCTION("""COMPUTED_VALUE"""),4930.0)</f>
        <v>4930</v>
      </c>
      <c r="C1070" s="2">
        <f>IFERROR(__xludf.DUMMYFUNCTION("""COMPUTED_VALUE"""),5000.0)</f>
        <v>5000</v>
      </c>
      <c r="D1070" s="2">
        <f>IFERROR(__xludf.DUMMYFUNCTION("""COMPUTED_VALUE"""),4910.0)</f>
        <v>4910</v>
      </c>
      <c r="E1070" s="2">
        <f>IFERROR(__xludf.DUMMYFUNCTION("""COMPUTED_VALUE"""),5000.0)</f>
        <v>5000</v>
      </c>
      <c r="F1070" s="2">
        <f>IFERROR(__xludf.DUMMYFUNCTION("""COMPUTED_VALUE"""),4273300.0)</f>
        <v>4273300</v>
      </c>
      <c r="G1070" s="2">
        <f t="shared" si="1"/>
        <v>90</v>
      </c>
    </row>
    <row r="1071" ht="15.75" customHeight="1">
      <c r="A1071" s="1">
        <f>IFERROR(__xludf.DUMMYFUNCTION("""COMPUTED_VALUE"""),45449.66666666667)</f>
        <v>45449.66667</v>
      </c>
      <c r="B1071" s="2">
        <f>IFERROR(__xludf.DUMMYFUNCTION("""COMPUTED_VALUE"""),5000.0)</f>
        <v>5000</v>
      </c>
      <c r="C1071" s="2">
        <f>IFERROR(__xludf.DUMMYFUNCTION("""COMPUTED_VALUE"""),5175.0)</f>
        <v>5175</v>
      </c>
      <c r="D1071" s="2">
        <f>IFERROR(__xludf.DUMMYFUNCTION("""COMPUTED_VALUE"""),5000.0)</f>
        <v>5000</v>
      </c>
      <c r="E1071" s="2">
        <f>IFERROR(__xludf.DUMMYFUNCTION("""COMPUTED_VALUE"""),5075.0)</f>
        <v>5075</v>
      </c>
      <c r="F1071" s="2">
        <f>IFERROR(__xludf.DUMMYFUNCTION("""COMPUTED_VALUE"""),1.22432E7)</f>
        <v>12243200</v>
      </c>
      <c r="G1071" s="2">
        <f t="shared" si="1"/>
        <v>175</v>
      </c>
    </row>
    <row r="1072" ht="15.75" customHeight="1">
      <c r="A1072" s="1">
        <f>IFERROR(__xludf.DUMMYFUNCTION("""COMPUTED_VALUE"""),45450.66666666667)</f>
        <v>45450.66667</v>
      </c>
      <c r="B1072" s="2">
        <f>IFERROR(__xludf.DUMMYFUNCTION("""COMPUTED_VALUE"""),5075.0)</f>
        <v>5075</v>
      </c>
      <c r="C1072" s="2">
        <f>IFERROR(__xludf.DUMMYFUNCTION("""COMPUTED_VALUE"""),5200.0)</f>
        <v>5200</v>
      </c>
      <c r="D1072" s="2">
        <f>IFERROR(__xludf.DUMMYFUNCTION("""COMPUTED_VALUE"""),5075.0)</f>
        <v>5075</v>
      </c>
      <c r="E1072" s="2">
        <f>IFERROR(__xludf.DUMMYFUNCTION("""COMPUTED_VALUE"""),5175.0)</f>
        <v>5175</v>
      </c>
      <c r="F1072" s="2">
        <f>IFERROR(__xludf.DUMMYFUNCTION("""COMPUTED_VALUE"""),3592600.0)</f>
        <v>3592600</v>
      </c>
      <c r="G1072" s="2">
        <f t="shared" si="1"/>
        <v>125</v>
      </c>
    </row>
    <row r="1073" ht="15.75" customHeight="1">
      <c r="A1073" s="1">
        <f>IFERROR(__xludf.DUMMYFUNCTION("""COMPUTED_VALUE"""),45453.66666666667)</f>
        <v>45453.66667</v>
      </c>
      <c r="B1073" s="2">
        <f>IFERROR(__xludf.DUMMYFUNCTION("""COMPUTED_VALUE"""),5175.0)</f>
        <v>5175</v>
      </c>
      <c r="C1073" s="2">
        <f>IFERROR(__xludf.DUMMYFUNCTION("""COMPUTED_VALUE"""),5200.0)</f>
        <v>5200</v>
      </c>
      <c r="D1073" s="2">
        <f>IFERROR(__xludf.DUMMYFUNCTION("""COMPUTED_VALUE"""),5050.0)</f>
        <v>5050</v>
      </c>
      <c r="E1073" s="2">
        <f>IFERROR(__xludf.DUMMYFUNCTION("""COMPUTED_VALUE"""),5050.0)</f>
        <v>5050</v>
      </c>
      <c r="F1073" s="2">
        <f>IFERROR(__xludf.DUMMYFUNCTION("""COMPUTED_VALUE"""),2927700.0)</f>
        <v>2927700</v>
      </c>
      <c r="G1073" s="2">
        <f t="shared" si="1"/>
        <v>150</v>
      </c>
    </row>
    <row r="1074" ht="15.75" customHeight="1">
      <c r="A1074" s="1">
        <f>IFERROR(__xludf.DUMMYFUNCTION("""COMPUTED_VALUE"""),45454.66666666667)</f>
        <v>45454.66667</v>
      </c>
      <c r="B1074" s="2">
        <f>IFERROR(__xludf.DUMMYFUNCTION("""COMPUTED_VALUE"""),5050.0)</f>
        <v>5050</v>
      </c>
      <c r="C1074" s="2">
        <f>IFERROR(__xludf.DUMMYFUNCTION("""COMPUTED_VALUE"""),5150.0)</f>
        <v>5150</v>
      </c>
      <c r="D1074" s="2">
        <f>IFERROR(__xludf.DUMMYFUNCTION("""COMPUTED_VALUE"""),5050.0)</f>
        <v>5050</v>
      </c>
      <c r="E1074" s="2">
        <f>IFERROR(__xludf.DUMMYFUNCTION("""COMPUTED_VALUE"""),5050.0)</f>
        <v>5050</v>
      </c>
      <c r="F1074" s="2">
        <f>IFERROR(__xludf.DUMMYFUNCTION("""COMPUTED_VALUE"""),3326700.0)</f>
        <v>3326700</v>
      </c>
      <c r="G1074" s="2">
        <f t="shared" si="1"/>
        <v>100</v>
      </c>
    </row>
    <row r="1075" ht="15.75" customHeight="1">
      <c r="A1075" s="1">
        <f>IFERROR(__xludf.DUMMYFUNCTION("""COMPUTED_VALUE"""),45455.66666666667)</f>
        <v>45455.66667</v>
      </c>
      <c r="B1075" s="2">
        <f>IFERROR(__xludf.DUMMYFUNCTION("""COMPUTED_VALUE"""),5050.0)</f>
        <v>5050</v>
      </c>
      <c r="C1075" s="2">
        <f>IFERROR(__xludf.DUMMYFUNCTION("""COMPUTED_VALUE"""),5125.0)</f>
        <v>5125</v>
      </c>
      <c r="D1075" s="2">
        <f>IFERROR(__xludf.DUMMYFUNCTION("""COMPUTED_VALUE"""),4970.0)</f>
        <v>4970</v>
      </c>
      <c r="E1075" s="2">
        <f>IFERROR(__xludf.DUMMYFUNCTION("""COMPUTED_VALUE"""),5025.0)</f>
        <v>5025</v>
      </c>
      <c r="F1075" s="2">
        <f>IFERROR(__xludf.DUMMYFUNCTION("""COMPUTED_VALUE"""),2393000.0)</f>
        <v>2393000</v>
      </c>
      <c r="G1075" s="2">
        <f t="shared" si="1"/>
        <v>155</v>
      </c>
    </row>
    <row r="1076" ht="15.75" customHeight="1">
      <c r="A1076" s="1">
        <f>IFERROR(__xludf.DUMMYFUNCTION("""COMPUTED_VALUE"""),45456.66666666667)</f>
        <v>45456.66667</v>
      </c>
      <c r="B1076" s="2">
        <f>IFERROR(__xludf.DUMMYFUNCTION("""COMPUTED_VALUE"""),5050.0)</f>
        <v>5050</v>
      </c>
      <c r="C1076" s="2">
        <f>IFERROR(__xludf.DUMMYFUNCTION("""COMPUTED_VALUE"""),5100.0)</f>
        <v>5100</v>
      </c>
      <c r="D1076" s="2">
        <f>IFERROR(__xludf.DUMMYFUNCTION("""COMPUTED_VALUE"""),4900.0)</f>
        <v>4900</v>
      </c>
      <c r="E1076" s="2">
        <f>IFERROR(__xludf.DUMMYFUNCTION("""COMPUTED_VALUE"""),4950.0)</f>
        <v>4950</v>
      </c>
      <c r="F1076" s="2">
        <f>IFERROR(__xludf.DUMMYFUNCTION("""COMPUTED_VALUE"""),1494700.0)</f>
        <v>1494700</v>
      </c>
      <c r="G1076" s="2">
        <f t="shared" si="1"/>
        <v>200</v>
      </c>
    </row>
    <row r="1077" ht="15.75" customHeight="1">
      <c r="A1077" s="1">
        <f>IFERROR(__xludf.DUMMYFUNCTION("""COMPUTED_VALUE"""),45457.66666666667)</f>
        <v>45457.66667</v>
      </c>
      <c r="B1077" s="2">
        <f>IFERROR(__xludf.DUMMYFUNCTION("""COMPUTED_VALUE"""),4930.0)</f>
        <v>4930</v>
      </c>
      <c r="C1077" s="2">
        <f>IFERROR(__xludf.DUMMYFUNCTION("""COMPUTED_VALUE"""),4950.0)</f>
        <v>4950</v>
      </c>
      <c r="D1077" s="2">
        <f>IFERROR(__xludf.DUMMYFUNCTION("""COMPUTED_VALUE"""),4710.0)</f>
        <v>4710</v>
      </c>
      <c r="E1077" s="2">
        <f>IFERROR(__xludf.DUMMYFUNCTION("""COMPUTED_VALUE"""),4740.0)</f>
        <v>4740</v>
      </c>
      <c r="F1077" s="2">
        <f>IFERROR(__xludf.DUMMYFUNCTION("""COMPUTED_VALUE"""),4020800.0)</f>
        <v>4020800</v>
      </c>
      <c r="G1077" s="2">
        <f t="shared" si="1"/>
        <v>240</v>
      </c>
    </row>
    <row r="1078" ht="15.75" customHeight="1">
      <c r="A1078" s="1">
        <f>IFERROR(__xludf.DUMMYFUNCTION("""COMPUTED_VALUE"""),45462.66666666667)</f>
        <v>45462.66667</v>
      </c>
      <c r="B1078" s="2">
        <f>IFERROR(__xludf.DUMMYFUNCTION("""COMPUTED_VALUE"""),4740.0)</f>
        <v>4740</v>
      </c>
      <c r="C1078" s="2">
        <f>IFERROR(__xludf.DUMMYFUNCTION("""COMPUTED_VALUE"""),4760.0)</f>
        <v>4760</v>
      </c>
      <c r="D1078" s="2">
        <f>IFERROR(__xludf.DUMMYFUNCTION("""COMPUTED_VALUE"""),4680.0)</f>
        <v>4680</v>
      </c>
      <c r="E1078" s="2">
        <f>IFERROR(__xludf.DUMMYFUNCTION("""COMPUTED_VALUE"""),4690.0)</f>
        <v>4690</v>
      </c>
      <c r="F1078" s="2">
        <f>IFERROR(__xludf.DUMMYFUNCTION("""COMPUTED_VALUE"""),5631200.0)</f>
        <v>5631200</v>
      </c>
      <c r="G1078" s="2">
        <f t="shared" si="1"/>
        <v>80</v>
      </c>
    </row>
    <row r="1079" ht="15.75" customHeight="1">
      <c r="A1079" s="1">
        <f>IFERROR(__xludf.DUMMYFUNCTION("""COMPUTED_VALUE"""),45463.66666666667)</f>
        <v>45463.66667</v>
      </c>
      <c r="B1079" s="2">
        <f>IFERROR(__xludf.DUMMYFUNCTION("""COMPUTED_VALUE"""),4700.0)</f>
        <v>4700</v>
      </c>
      <c r="C1079" s="2">
        <f>IFERROR(__xludf.DUMMYFUNCTION("""COMPUTED_VALUE"""),4830.0)</f>
        <v>4830</v>
      </c>
      <c r="D1079" s="2">
        <f>IFERROR(__xludf.DUMMYFUNCTION("""COMPUTED_VALUE"""),4630.0)</f>
        <v>4630</v>
      </c>
      <c r="E1079" s="2">
        <f>IFERROR(__xludf.DUMMYFUNCTION("""COMPUTED_VALUE"""),4780.0)</f>
        <v>4780</v>
      </c>
      <c r="F1079" s="2">
        <f>IFERROR(__xludf.DUMMYFUNCTION("""COMPUTED_VALUE"""),3073400.0)</f>
        <v>3073400</v>
      </c>
      <c r="G1079" s="2">
        <f t="shared" si="1"/>
        <v>200</v>
      </c>
    </row>
    <row r="1080" ht="15.75" customHeight="1">
      <c r="A1080" s="1">
        <f>IFERROR(__xludf.DUMMYFUNCTION("""COMPUTED_VALUE"""),45464.66666666667)</f>
        <v>45464.66667</v>
      </c>
      <c r="B1080" s="2">
        <f>IFERROR(__xludf.DUMMYFUNCTION("""COMPUTED_VALUE"""),4780.0)</f>
        <v>4780</v>
      </c>
      <c r="C1080" s="2">
        <f>IFERROR(__xludf.DUMMYFUNCTION("""COMPUTED_VALUE"""),5025.0)</f>
        <v>5025</v>
      </c>
      <c r="D1080" s="2">
        <f>IFERROR(__xludf.DUMMYFUNCTION("""COMPUTED_VALUE"""),4780.0)</f>
        <v>4780</v>
      </c>
      <c r="E1080" s="2">
        <f>IFERROR(__xludf.DUMMYFUNCTION("""COMPUTED_VALUE"""),4990.0)</f>
        <v>4990</v>
      </c>
      <c r="F1080" s="2">
        <f>IFERROR(__xludf.DUMMYFUNCTION("""COMPUTED_VALUE"""),5342500.0)</f>
        <v>5342500</v>
      </c>
      <c r="G1080" s="2">
        <f t="shared" si="1"/>
        <v>245</v>
      </c>
    </row>
    <row r="1081" ht="15.75" customHeight="1">
      <c r="A1081" s="1">
        <f>IFERROR(__xludf.DUMMYFUNCTION("""COMPUTED_VALUE"""),45467.66666666667)</f>
        <v>45467.66667</v>
      </c>
      <c r="B1081" s="2">
        <f>IFERROR(__xludf.DUMMYFUNCTION("""COMPUTED_VALUE"""),4980.0)</f>
        <v>4980</v>
      </c>
      <c r="C1081" s="2">
        <f>IFERROR(__xludf.DUMMYFUNCTION("""COMPUTED_VALUE"""),5100.0)</f>
        <v>5100</v>
      </c>
      <c r="D1081" s="2">
        <f>IFERROR(__xludf.DUMMYFUNCTION("""COMPUTED_VALUE"""),4980.0)</f>
        <v>4980</v>
      </c>
      <c r="E1081" s="2">
        <f>IFERROR(__xludf.DUMMYFUNCTION("""COMPUTED_VALUE"""),5025.0)</f>
        <v>5025</v>
      </c>
      <c r="F1081" s="2">
        <f>IFERROR(__xludf.DUMMYFUNCTION("""COMPUTED_VALUE"""),5726800.0)</f>
        <v>5726800</v>
      </c>
      <c r="G1081" s="2">
        <f t="shared" si="1"/>
        <v>120</v>
      </c>
    </row>
    <row r="1082" ht="15.75" customHeight="1">
      <c r="A1082" s="1">
        <f>IFERROR(__xludf.DUMMYFUNCTION("""COMPUTED_VALUE"""),45468.66666666667)</f>
        <v>45468.66667</v>
      </c>
      <c r="B1082" s="2">
        <f>IFERROR(__xludf.DUMMYFUNCTION("""COMPUTED_VALUE"""),5025.0)</f>
        <v>5025</v>
      </c>
      <c r="C1082" s="2">
        <f>IFERROR(__xludf.DUMMYFUNCTION("""COMPUTED_VALUE"""),5075.0)</f>
        <v>5075</v>
      </c>
      <c r="D1082" s="2">
        <f>IFERROR(__xludf.DUMMYFUNCTION("""COMPUTED_VALUE"""),4950.0)</f>
        <v>4950</v>
      </c>
      <c r="E1082" s="2">
        <f>IFERROR(__xludf.DUMMYFUNCTION("""COMPUTED_VALUE"""),5000.0)</f>
        <v>5000</v>
      </c>
      <c r="F1082" s="2">
        <f>IFERROR(__xludf.DUMMYFUNCTION("""COMPUTED_VALUE"""),3312800.0)</f>
        <v>3312800</v>
      </c>
      <c r="G1082" s="2">
        <f t="shared" si="1"/>
        <v>125</v>
      </c>
    </row>
    <row r="1083" ht="15.75" customHeight="1">
      <c r="A1083" s="1">
        <f>IFERROR(__xludf.DUMMYFUNCTION("""COMPUTED_VALUE"""),45469.66666666667)</f>
        <v>45469.66667</v>
      </c>
      <c r="B1083" s="2">
        <f>IFERROR(__xludf.DUMMYFUNCTION("""COMPUTED_VALUE"""),5000.0)</f>
        <v>5000</v>
      </c>
      <c r="C1083" s="2">
        <f>IFERROR(__xludf.DUMMYFUNCTION("""COMPUTED_VALUE"""),5100.0)</f>
        <v>5100</v>
      </c>
      <c r="D1083" s="2">
        <f>IFERROR(__xludf.DUMMYFUNCTION("""COMPUTED_VALUE"""),4910.0)</f>
        <v>4910</v>
      </c>
      <c r="E1083" s="2">
        <f>IFERROR(__xludf.DUMMYFUNCTION("""COMPUTED_VALUE"""),4960.0)</f>
        <v>4960</v>
      </c>
      <c r="F1083" s="2">
        <f>IFERROR(__xludf.DUMMYFUNCTION("""COMPUTED_VALUE"""),3945800.0)</f>
        <v>3945800</v>
      </c>
      <c r="G1083" s="2">
        <f t="shared" si="1"/>
        <v>190</v>
      </c>
    </row>
    <row r="1084" ht="15.75" customHeight="1">
      <c r="A1084" s="1">
        <f>IFERROR(__xludf.DUMMYFUNCTION("""COMPUTED_VALUE"""),45470.66666666667)</f>
        <v>45470.66667</v>
      </c>
      <c r="B1084" s="2">
        <f>IFERROR(__xludf.DUMMYFUNCTION("""COMPUTED_VALUE"""),4970.0)</f>
        <v>4970</v>
      </c>
      <c r="C1084" s="2">
        <f>IFERROR(__xludf.DUMMYFUNCTION("""COMPUTED_VALUE"""),4990.0)</f>
        <v>4990</v>
      </c>
      <c r="D1084" s="2">
        <f>IFERROR(__xludf.DUMMYFUNCTION("""COMPUTED_VALUE"""),4930.0)</f>
        <v>4930</v>
      </c>
      <c r="E1084" s="2">
        <f>IFERROR(__xludf.DUMMYFUNCTION("""COMPUTED_VALUE"""),4930.0)</f>
        <v>4930</v>
      </c>
      <c r="F1084" s="2">
        <f>IFERROR(__xludf.DUMMYFUNCTION("""COMPUTED_VALUE"""),1022900.0)</f>
        <v>1022900</v>
      </c>
      <c r="G1084" s="2">
        <f t="shared" si="1"/>
        <v>60</v>
      </c>
    </row>
    <row r="1085" ht="15.75" customHeight="1">
      <c r="A1085" s="1">
        <f>IFERROR(__xludf.DUMMYFUNCTION("""COMPUTED_VALUE"""),45471.66666666667)</f>
        <v>45471.66667</v>
      </c>
      <c r="B1085" s="2">
        <f>IFERROR(__xludf.DUMMYFUNCTION("""COMPUTED_VALUE"""),4950.0)</f>
        <v>4950</v>
      </c>
      <c r="C1085" s="2">
        <f>IFERROR(__xludf.DUMMYFUNCTION("""COMPUTED_VALUE"""),5050.0)</f>
        <v>5050</v>
      </c>
      <c r="D1085" s="2">
        <f>IFERROR(__xludf.DUMMYFUNCTION("""COMPUTED_VALUE"""),4950.0)</f>
        <v>4950</v>
      </c>
      <c r="E1085" s="2">
        <f>IFERROR(__xludf.DUMMYFUNCTION("""COMPUTED_VALUE"""),4980.0)</f>
        <v>4980</v>
      </c>
      <c r="F1085" s="2">
        <f>IFERROR(__xludf.DUMMYFUNCTION("""COMPUTED_VALUE"""),7217700.0)</f>
        <v>7217700</v>
      </c>
      <c r="G1085" s="2">
        <f t="shared" si="1"/>
        <v>120</v>
      </c>
    </row>
    <row r="1086" ht="15.75" customHeight="1">
      <c r="A1086" s="1">
        <f>IFERROR(__xludf.DUMMYFUNCTION("""COMPUTED_VALUE"""),45474.66666666667)</f>
        <v>45474.66667</v>
      </c>
      <c r="B1086" s="2">
        <f>IFERROR(__xludf.DUMMYFUNCTION("""COMPUTED_VALUE"""),4980.0)</f>
        <v>4980</v>
      </c>
      <c r="C1086" s="2">
        <f>IFERROR(__xludf.DUMMYFUNCTION("""COMPUTED_VALUE"""),5025.0)</f>
        <v>5025</v>
      </c>
      <c r="D1086" s="2">
        <f>IFERROR(__xludf.DUMMYFUNCTION("""COMPUTED_VALUE"""),4920.0)</f>
        <v>4920</v>
      </c>
      <c r="E1086" s="2">
        <f>IFERROR(__xludf.DUMMYFUNCTION("""COMPUTED_VALUE"""),4950.0)</f>
        <v>4950</v>
      </c>
      <c r="F1086" s="2">
        <f>IFERROR(__xludf.DUMMYFUNCTION("""COMPUTED_VALUE"""),6328700.0)</f>
        <v>6328700</v>
      </c>
      <c r="G1086" s="2">
        <f t="shared" si="1"/>
        <v>105</v>
      </c>
    </row>
    <row r="1087" ht="15.75" customHeight="1">
      <c r="A1087" s="1">
        <f>IFERROR(__xludf.DUMMYFUNCTION("""COMPUTED_VALUE"""),45475.66666666667)</f>
        <v>45475.66667</v>
      </c>
      <c r="B1087" s="2">
        <f>IFERROR(__xludf.DUMMYFUNCTION("""COMPUTED_VALUE"""),4990.0)</f>
        <v>4990</v>
      </c>
      <c r="C1087" s="2">
        <f>IFERROR(__xludf.DUMMYFUNCTION("""COMPUTED_VALUE"""),5250.0)</f>
        <v>5250</v>
      </c>
      <c r="D1087" s="2">
        <f>IFERROR(__xludf.DUMMYFUNCTION("""COMPUTED_VALUE"""),4960.0)</f>
        <v>4960</v>
      </c>
      <c r="E1087" s="2">
        <f>IFERROR(__xludf.DUMMYFUNCTION("""COMPUTED_VALUE"""),5150.0)</f>
        <v>5150</v>
      </c>
      <c r="F1087" s="2">
        <f>IFERROR(__xludf.DUMMYFUNCTION("""COMPUTED_VALUE"""),2.3405E7)</f>
        <v>23405000</v>
      </c>
      <c r="G1087" s="2">
        <f t="shared" si="1"/>
        <v>300</v>
      </c>
    </row>
    <row r="1088" ht="15.75" customHeight="1">
      <c r="A1088" s="1">
        <f>IFERROR(__xludf.DUMMYFUNCTION("""COMPUTED_VALUE"""),45476.66666666667)</f>
        <v>45476.66667</v>
      </c>
      <c r="B1088" s="2">
        <f>IFERROR(__xludf.DUMMYFUNCTION("""COMPUTED_VALUE"""),5200.0)</f>
        <v>5200</v>
      </c>
      <c r="C1088" s="2">
        <f>IFERROR(__xludf.DUMMYFUNCTION("""COMPUTED_VALUE"""),5375.0)</f>
        <v>5375</v>
      </c>
      <c r="D1088" s="2">
        <f>IFERROR(__xludf.DUMMYFUNCTION("""COMPUTED_VALUE"""),5175.0)</f>
        <v>5175</v>
      </c>
      <c r="E1088" s="2">
        <f>IFERROR(__xludf.DUMMYFUNCTION("""COMPUTED_VALUE"""),5250.0)</f>
        <v>5250</v>
      </c>
      <c r="F1088" s="2">
        <f>IFERROR(__xludf.DUMMYFUNCTION("""COMPUTED_VALUE"""),1.5435E7)</f>
        <v>15435000</v>
      </c>
      <c r="G1088" s="2">
        <f t="shared" si="1"/>
        <v>225</v>
      </c>
    </row>
    <row r="1089" ht="15.75" customHeight="1">
      <c r="A1089" s="1">
        <f>IFERROR(__xludf.DUMMYFUNCTION("""COMPUTED_VALUE"""),45477.66666666667)</f>
        <v>45477.66667</v>
      </c>
      <c r="B1089" s="2">
        <f>IFERROR(__xludf.DUMMYFUNCTION("""COMPUTED_VALUE"""),5250.0)</f>
        <v>5250</v>
      </c>
      <c r="C1089" s="2">
        <f>IFERROR(__xludf.DUMMYFUNCTION("""COMPUTED_VALUE"""),5400.0)</f>
        <v>5400</v>
      </c>
      <c r="D1089" s="2">
        <f>IFERROR(__xludf.DUMMYFUNCTION("""COMPUTED_VALUE"""),5100.0)</f>
        <v>5100</v>
      </c>
      <c r="E1089" s="2">
        <f>IFERROR(__xludf.DUMMYFUNCTION("""COMPUTED_VALUE"""),5250.0)</f>
        <v>5250</v>
      </c>
      <c r="F1089" s="2">
        <f>IFERROR(__xludf.DUMMYFUNCTION("""COMPUTED_VALUE"""),9838800.0)</f>
        <v>9838800</v>
      </c>
      <c r="G1089" s="2">
        <f t="shared" si="1"/>
        <v>300</v>
      </c>
    </row>
    <row r="1090" ht="15.75" customHeight="1">
      <c r="A1090" s="1">
        <f>IFERROR(__xludf.DUMMYFUNCTION("""COMPUTED_VALUE"""),45478.66666666667)</f>
        <v>45478.66667</v>
      </c>
      <c r="B1090" s="2">
        <f>IFERROR(__xludf.DUMMYFUNCTION("""COMPUTED_VALUE"""),5250.0)</f>
        <v>5250</v>
      </c>
      <c r="C1090" s="2">
        <f>IFERROR(__xludf.DUMMYFUNCTION("""COMPUTED_VALUE"""),5425.0)</f>
        <v>5425</v>
      </c>
      <c r="D1090" s="2">
        <f>IFERROR(__xludf.DUMMYFUNCTION("""COMPUTED_VALUE"""),5200.0)</f>
        <v>5200</v>
      </c>
      <c r="E1090" s="2">
        <f>IFERROR(__xludf.DUMMYFUNCTION("""COMPUTED_VALUE"""),5275.0)</f>
        <v>5275</v>
      </c>
      <c r="F1090" s="2">
        <f>IFERROR(__xludf.DUMMYFUNCTION("""COMPUTED_VALUE"""),1.93463E7)</f>
        <v>19346300</v>
      </c>
      <c r="G1090" s="2">
        <f t="shared" si="1"/>
        <v>225</v>
      </c>
    </row>
    <row r="1091" ht="15.75" customHeight="1">
      <c r="A1091" s="1">
        <f>IFERROR(__xludf.DUMMYFUNCTION("""COMPUTED_VALUE"""),45481.66666666667)</f>
        <v>45481.66667</v>
      </c>
      <c r="B1091" s="2">
        <f>IFERROR(__xludf.DUMMYFUNCTION("""COMPUTED_VALUE"""),5275.0)</f>
        <v>5275</v>
      </c>
      <c r="C1091" s="2">
        <f>IFERROR(__xludf.DUMMYFUNCTION("""COMPUTED_VALUE"""),5400.0)</f>
        <v>5400</v>
      </c>
      <c r="D1091" s="2">
        <f>IFERROR(__xludf.DUMMYFUNCTION("""COMPUTED_VALUE"""),5250.0)</f>
        <v>5250</v>
      </c>
      <c r="E1091" s="2">
        <f>IFERROR(__xludf.DUMMYFUNCTION("""COMPUTED_VALUE"""),5250.0)</f>
        <v>5250</v>
      </c>
      <c r="F1091" s="2">
        <f>IFERROR(__xludf.DUMMYFUNCTION("""COMPUTED_VALUE"""),8088700.0)</f>
        <v>8088700</v>
      </c>
      <c r="G1091" s="2">
        <f t="shared" si="1"/>
        <v>150</v>
      </c>
    </row>
    <row r="1092" ht="15.75" customHeight="1">
      <c r="A1092" s="1">
        <f>IFERROR(__xludf.DUMMYFUNCTION("""COMPUTED_VALUE"""),45482.66666666667)</f>
        <v>45482.66667</v>
      </c>
      <c r="B1092" s="2">
        <f>IFERROR(__xludf.DUMMYFUNCTION("""COMPUTED_VALUE"""),5250.0)</f>
        <v>5250</v>
      </c>
      <c r="C1092" s="2">
        <f>IFERROR(__xludf.DUMMYFUNCTION("""COMPUTED_VALUE"""),5475.0)</f>
        <v>5475</v>
      </c>
      <c r="D1092" s="2">
        <f>IFERROR(__xludf.DUMMYFUNCTION("""COMPUTED_VALUE"""),5200.0)</f>
        <v>5200</v>
      </c>
      <c r="E1092" s="2">
        <f>IFERROR(__xludf.DUMMYFUNCTION("""COMPUTED_VALUE"""),5250.0)</f>
        <v>5250</v>
      </c>
      <c r="F1092" s="2">
        <f>IFERROR(__xludf.DUMMYFUNCTION("""COMPUTED_VALUE"""),8588200.0)</f>
        <v>8588200</v>
      </c>
      <c r="G1092" s="2">
        <f t="shared" si="1"/>
        <v>275</v>
      </c>
    </row>
    <row r="1093" ht="15.75" customHeight="1">
      <c r="A1093" s="1">
        <f>IFERROR(__xludf.DUMMYFUNCTION("""COMPUTED_VALUE"""),45483.66666666667)</f>
        <v>45483.66667</v>
      </c>
      <c r="B1093" s="2">
        <f>IFERROR(__xludf.DUMMYFUNCTION("""COMPUTED_VALUE"""),5275.0)</f>
        <v>5275</v>
      </c>
      <c r="C1093" s="2">
        <f>IFERROR(__xludf.DUMMYFUNCTION("""COMPUTED_VALUE"""),5300.0)</f>
        <v>5300</v>
      </c>
      <c r="D1093" s="2">
        <f>IFERROR(__xludf.DUMMYFUNCTION("""COMPUTED_VALUE"""),5125.0)</f>
        <v>5125</v>
      </c>
      <c r="E1093" s="2">
        <f>IFERROR(__xludf.DUMMYFUNCTION("""COMPUTED_VALUE"""),5125.0)</f>
        <v>5125</v>
      </c>
      <c r="F1093" s="2">
        <f>IFERROR(__xludf.DUMMYFUNCTION("""COMPUTED_VALUE"""),2107500.0)</f>
        <v>2107500</v>
      </c>
      <c r="G1093" s="2">
        <f t="shared" si="1"/>
        <v>175</v>
      </c>
    </row>
    <row r="1094" ht="15.75" customHeight="1">
      <c r="A1094" s="1">
        <f>IFERROR(__xludf.DUMMYFUNCTION("""COMPUTED_VALUE"""),45484.66666666667)</f>
        <v>45484.66667</v>
      </c>
      <c r="B1094" s="2">
        <f>IFERROR(__xludf.DUMMYFUNCTION("""COMPUTED_VALUE"""),5150.0)</f>
        <v>5150</v>
      </c>
      <c r="C1094" s="2">
        <f>IFERROR(__xludf.DUMMYFUNCTION("""COMPUTED_VALUE"""),5375.0)</f>
        <v>5375</v>
      </c>
      <c r="D1094" s="2">
        <f>IFERROR(__xludf.DUMMYFUNCTION("""COMPUTED_VALUE"""),5150.0)</f>
        <v>5150</v>
      </c>
      <c r="E1094" s="2">
        <f>IFERROR(__xludf.DUMMYFUNCTION("""COMPUTED_VALUE"""),5300.0)</f>
        <v>5300</v>
      </c>
      <c r="F1094" s="2">
        <f>IFERROR(__xludf.DUMMYFUNCTION("""COMPUTED_VALUE"""),6528200.0)</f>
        <v>6528200</v>
      </c>
      <c r="G1094" s="2">
        <f t="shared" si="1"/>
        <v>250</v>
      </c>
    </row>
    <row r="1095" ht="15.75" customHeight="1">
      <c r="A1095" s="1">
        <f>IFERROR(__xludf.DUMMYFUNCTION("""COMPUTED_VALUE"""),45485.66666666667)</f>
        <v>45485.66667</v>
      </c>
      <c r="B1095" s="2">
        <f>IFERROR(__xludf.DUMMYFUNCTION("""COMPUTED_VALUE"""),5325.0)</f>
        <v>5325</v>
      </c>
      <c r="C1095" s="2">
        <f>IFERROR(__xludf.DUMMYFUNCTION("""COMPUTED_VALUE"""),5450.0)</f>
        <v>5450</v>
      </c>
      <c r="D1095" s="2">
        <f>IFERROR(__xludf.DUMMYFUNCTION("""COMPUTED_VALUE"""),5250.0)</f>
        <v>5250</v>
      </c>
      <c r="E1095" s="2">
        <f>IFERROR(__xludf.DUMMYFUNCTION("""COMPUTED_VALUE"""),5375.0)</f>
        <v>5375</v>
      </c>
      <c r="F1095" s="2">
        <f>IFERROR(__xludf.DUMMYFUNCTION("""COMPUTED_VALUE"""),4198900.0)</f>
        <v>4198900</v>
      </c>
      <c r="G1095" s="2">
        <f t="shared" si="1"/>
        <v>200</v>
      </c>
    </row>
    <row r="1096" ht="15.75" customHeight="1">
      <c r="A1096" s="1">
        <f>IFERROR(__xludf.DUMMYFUNCTION("""COMPUTED_VALUE"""),45488.66666666667)</f>
        <v>45488.66667</v>
      </c>
      <c r="B1096" s="2">
        <f>IFERROR(__xludf.DUMMYFUNCTION("""COMPUTED_VALUE"""),5375.0)</f>
        <v>5375</v>
      </c>
      <c r="C1096" s="2">
        <f>IFERROR(__xludf.DUMMYFUNCTION("""COMPUTED_VALUE"""),5400.0)</f>
        <v>5400</v>
      </c>
      <c r="D1096" s="2">
        <f>IFERROR(__xludf.DUMMYFUNCTION("""COMPUTED_VALUE"""),5175.0)</f>
        <v>5175</v>
      </c>
      <c r="E1096" s="2">
        <f>IFERROR(__xludf.DUMMYFUNCTION("""COMPUTED_VALUE"""),5300.0)</f>
        <v>5300</v>
      </c>
      <c r="F1096" s="2">
        <f>IFERROR(__xludf.DUMMYFUNCTION("""COMPUTED_VALUE"""),5487100.0)</f>
        <v>5487100</v>
      </c>
      <c r="G1096" s="2">
        <f t="shared" si="1"/>
        <v>225</v>
      </c>
    </row>
    <row r="1097" ht="15.75" customHeight="1">
      <c r="A1097" s="1">
        <f>IFERROR(__xludf.DUMMYFUNCTION("""COMPUTED_VALUE"""),45489.66666666667)</f>
        <v>45489.66667</v>
      </c>
      <c r="B1097" s="2">
        <f>IFERROR(__xludf.DUMMYFUNCTION("""COMPUTED_VALUE"""),5325.0)</f>
        <v>5325</v>
      </c>
      <c r="C1097" s="2">
        <f>IFERROR(__xludf.DUMMYFUNCTION("""COMPUTED_VALUE"""),5325.0)</f>
        <v>5325</v>
      </c>
      <c r="D1097" s="2">
        <f>IFERROR(__xludf.DUMMYFUNCTION("""COMPUTED_VALUE"""),5200.0)</f>
        <v>5200</v>
      </c>
      <c r="E1097" s="2">
        <f>IFERROR(__xludf.DUMMYFUNCTION("""COMPUTED_VALUE"""),5325.0)</f>
        <v>5325</v>
      </c>
      <c r="F1097" s="2">
        <f>IFERROR(__xludf.DUMMYFUNCTION("""COMPUTED_VALUE"""),2877300.0)</f>
        <v>2877300</v>
      </c>
      <c r="G1097" s="2">
        <f t="shared" si="1"/>
        <v>125</v>
      </c>
    </row>
    <row r="1098" ht="15.75" customHeight="1">
      <c r="A1098" s="1">
        <f>IFERROR(__xludf.DUMMYFUNCTION("""COMPUTED_VALUE"""),45490.66666666667)</f>
        <v>45490.66667</v>
      </c>
      <c r="B1098" s="2">
        <f>IFERROR(__xludf.DUMMYFUNCTION("""COMPUTED_VALUE"""),5325.0)</f>
        <v>5325</v>
      </c>
      <c r="C1098" s="2">
        <f>IFERROR(__xludf.DUMMYFUNCTION("""COMPUTED_VALUE"""),5350.0)</f>
        <v>5350</v>
      </c>
      <c r="D1098" s="2">
        <f>IFERROR(__xludf.DUMMYFUNCTION("""COMPUTED_VALUE"""),5200.0)</f>
        <v>5200</v>
      </c>
      <c r="E1098" s="2">
        <f>IFERROR(__xludf.DUMMYFUNCTION("""COMPUTED_VALUE"""),5200.0)</f>
        <v>5200</v>
      </c>
      <c r="F1098" s="2">
        <f>IFERROR(__xludf.DUMMYFUNCTION("""COMPUTED_VALUE"""),1982800.0)</f>
        <v>1982800</v>
      </c>
      <c r="G1098" s="2">
        <f t="shared" si="1"/>
        <v>150</v>
      </c>
    </row>
    <row r="1099" ht="15.75" customHeight="1">
      <c r="A1099" s="1">
        <f>IFERROR(__xludf.DUMMYFUNCTION("""COMPUTED_VALUE"""),45491.66666666667)</f>
        <v>45491.66667</v>
      </c>
      <c r="B1099" s="2">
        <f>IFERROR(__xludf.DUMMYFUNCTION("""COMPUTED_VALUE"""),5200.0)</f>
        <v>5200</v>
      </c>
      <c r="C1099" s="2">
        <f>IFERROR(__xludf.DUMMYFUNCTION("""COMPUTED_VALUE"""),5275.0)</f>
        <v>5275</v>
      </c>
      <c r="D1099" s="2">
        <f>IFERROR(__xludf.DUMMYFUNCTION("""COMPUTED_VALUE"""),5125.0)</f>
        <v>5125</v>
      </c>
      <c r="E1099" s="2">
        <f>IFERROR(__xludf.DUMMYFUNCTION("""COMPUTED_VALUE"""),5125.0)</f>
        <v>5125</v>
      </c>
      <c r="F1099" s="2">
        <f>IFERROR(__xludf.DUMMYFUNCTION("""COMPUTED_VALUE"""),3580400.0)</f>
        <v>3580400</v>
      </c>
      <c r="G1099" s="2">
        <f t="shared" si="1"/>
        <v>150</v>
      </c>
    </row>
    <row r="1100" ht="15.75" customHeight="1">
      <c r="A1100" s="1">
        <f>IFERROR(__xludf.DUMMYFUNCTION("""COMPUTED_VALUE"""),45492.66666666667)</f>
        <v>45492.66667</v>
      </c>
      <c r="B1100" s="2">
        <f>IFERROR(__xludf.DUMMYFUNCTION("""COMPUTED_VALUE"""),5175.0)</f>
        <v>5175</v>
      </c>
      <c r="C1100" s="2">
        <f>IFERROR(__xludf.DUMMYFUNCTION("""COMPUTED_VALUE"""),5350.0)</f>
        <v>5350</v>
      </c>
      <c r="D1100" s="2">
        <f>IFERROR(__xludf.DUMMYFUNCTION("""COMPUTED_VALUE"""),5100.0)</f>
        <v>5100</v>
      </c>
      <c r="E1100" s="2">
        <f>IFERROR(__xludf.DUMMYFUNCTION("""COMPUTED_VALUE"""),5350.0)</f>
        <v>5350</v>
      </c>
      <c r="F1100" s="2">
        <f>IFERROR(__xludf.DUMMYFUNCTION("""COMPUTED_VALUE"""),7087700.0)</f>
        <v>7087700</v>
      </c>
      <c r="G1100" s="2">
        <f t="shared" si="1"/>
        <v>250</v>
      </c>
    </row>
    <row r="1101" ht="15.75" customHeight="1">
      <c r="A1101" s="1">
        <f>IFERROR(__xludf.DUMMYFUNCTION("""COMPUTED_VALUE"""),45495.66666666667)</f>
        <v>45495.66667</v>
      </c>
      <c r="B1101" s="2">
        <f>IFERROR(__xludf.DUMMYFUNCTION("""COMPUTED_VALUE"""),5375.0)</f>
        <v>5375</v>
      </c>
      <c r="C1101" s="2">
        <f>IFERROR(__xludf.DUMMYFUNCTION("""COMPUTED_VALUE"""),5400.0)</f>
        <v>5400</v>
      </c>
      <c r="D1101" s="2">
        <f>IFERROR(__xludf.DUMMYFUNCTION("""COMPUTED_VALUE"""),5300.0)</f>
        <v>5300</v>
      </c>
      <c r="E1101" s="2">
        <f>IFERROR(__xludf.DUMMYFUNCTION("""COMPUTED_VALUE"""),5350.0)</f>
        <v>5350</v>
      </c>
      <c r="F1101" s="2">
        <f>IFERROR(__xludf.DUMMYFUNCTION("""COMPUTED_VALUE"""),2652100.0)</f>
        <v>2652100</v>
      </c>
      <c r="G1101" s="2">
        <f t="shared" si="1"/>
        <v>100</v>
      </c>
    </row>
    <row r="1102" ht="15.75" customHeight="1">
      <c r="A1102" s="1">
        <f>IFERROR(__xludf.DUMMYFUNCTION("""COMPUTED_VALUE"""),45496.66666666667)</f>
        <v>45496.66667</v>
      </c>
      <c r="B1102" s="2">
        <f>IFERROR(__xludf.DUMMYFUNCTION("""COMPUTED_VALUE"""),5325.0)</f>
        <v>5325</v>
      </c>
      <c r="C1102" s="2">
        <f>IFERROR(__xludf.DUMMYFUNCTION("""COMPUTED_VALUE"""),5475.0)</f>
        <v>5475</v>
      </c>
      <c r="D1102" s="2">
        <f>IFERROR(__xludf.DUMMYFUNCTION("""COMPUTED_VALUE"""),5300.0)</f>
        <v>5300</v>
      </c>
      <c r="E1102" s="2">
        <f>IFERROR(__xludf.DUMMYFUNCTION("""COMPUTED_VALUE"""),5450.0)</f>
        <v>5450</v>
      </c>
      <c r="F1102" s="2">
        <f>IFERROR(__xludf.DUMMYFUNCTION("""COMPUTED_VALUE"""),7592600.0)</f>
        <v>7592600</v>
      </c>
      <c r="G1102" s="2">
        <f t="shared" si="1"/>
        <v>175</v>
      </c>
    </row>
    <row r="1103" ht="15.75" customHeight="1">
      <c r="A1103" s="1">
        <f>IFERROR(__xludf.DUMMYFUNCTION("""COMPUTED_VALUE"""),45497.66666666667)</f>
        <v>45497.66667</v>
      </c>
      <c r="B1103" s="2">
        <f>IFERROR(__xludf.DUMMYFUNCTION("""COMPUTED_VALUE"""),5450.0)</f>
        <v>5450</v>
      </c>
      <c r="C1103" s="2">
        <f>IFERROR(__xludf.DUMMYFUNCTION("""COMPUTED_VALUE"""),5475.0)</f>
        <v>5475</v>
      </c>
      <c r="D1103" s="2">
        <f>IFERROR(__xludf.DUMMYFUNCTION("""COMPUTED_VALUE"""),5300.0)</f>
        <v>5300</v>
      </c>
      <c r="E1103" s="2">
        <f>IFERROR(__xludf.DUMMYFUNCTION("""COMPUTED_VALUE"""),5450.0)</f>
        <v>5450</v>
      </c>
      <c r="F1103" s="2">
        <f>IFERROR(__xludf.DUMMYFUNCTION("""COMPUTED_VALUE"""),2780400.0)</f>
        <v>2780400</v>
      </c>
      <c r="G1103" s="2">
        <f t="shared" si="1"/>
        <v>175</v>
      </c>
    </row>
    <row r="1104" ht="15.75" customHeight="1">
      <c r="A1104" s="1">
        <f>IFERROR(__xludf.DUMMYFUNCTION("""COMPUTED_VALUE"""),45498.66666666667)</f>
        <v>45498.66667</v>
      </c>
      <c r="B1104" s="2">
        <f>IFERROR(__xludf.DUMMYFUNCTION("""COMPUTED_VALUE"""),5450.0)</f>
        <v>5450</v>
      </c>
      <c r="C1104" s="2">
        <f>IFERROR(__xludf.DUMMYFUNCTION("""COMPUTED_VALUE"""),5600.0)</f>
        <v>5600</v>
      </c>
      <c r="D1104" s="2">
        <f>IFERROR(__xludf.DUMMYFUNCTION("""COMPUTED_VALUE"""),5375.0)</f>
        <v>5375</v>
      </c>
      <c r="E1104" s="2">
        <f>IFERROR(__xludf.DUMMYFUNCTION("""COMPUTED_VALUE"""),5475.0)</f>
        <v>5475</v>
      </c>
      <c r="F1104" s="2">
        <f>IFERROR(__xludf.DUMMYFUNCTION("""COMPUTED_VALUE"""),7953000.0)</f>
        <v>7953000</v>
      </c>
      <c r="G1104" s="2">
        <f t="shared" si="1"/>
        <v>225</v>
      </c>
    </row>
    <row r="1105" ht="15.75" customHeight="1">
      <c r="A1105" s="1">
        <f>IFERROR(__xludf.DUMMYFUNCTION("""COMPUTED_VALUE"""),45499.66666666667)</f>
        <v>45499.66667</v>
      </c>
      <c r="B1105" s="2">
        <f>IFERROR(__xludf.DUMMYFUNCTION("""COMPUTED_VALUE"""),5500.0)</f>
        <v>5500</v>
      </c>
      <c r="C1105" s="2">
        <f>IFERROR(__xludf.DUMMYFUNCTION("""COMPUTED_VALUE"""),5550.0)</f>
        <v>5550</v>
      </c>
      <c r="D1105" s="2">
        <f>IFERROR(__xludf.DUMMYFUNCTION("""COMPUTED_VALUE"""),5400.0)</f>
        <v>5400</v>
      </c>
      <c r="E1105" s="2">
        <f>IFERROR(__xludf.DUMMYFUNCTION("""COMPUTED_VALUE"""),5400.0)</f>
        <v>5400</v>
      </c>
      <c r="F1105" s="2">
        <f>IFERROR(__xludf.DUMMYFUNCTION("""COMPUTED_VALUE"""),1.12559E7)</f>
        <v>11255900</v>
      </c>
      <c r="G1105" s="2">
        <f t="shared" si="1"/>
        <v>150</v>
      </c>
    </row>
    <row r="1106" ht="15.75" customHeight="1">
      <c r="A1106" s="1">
        <f>IFERROR(__xludf.DUMMYFUNCTION("""COMPUTED_VALUE"""),45502.66666666667)</f>
        <v>45502.66667</v>
      </c>
      <c r="B1106" s="2">
        <f>IFERROR(__xludf.DUMMYFUNCTION("""COMPUTED_VALUE"""),5450.0)</f>
        <v>5450</v>
      </c>
      <c r="C1106" s="2">
        <f>IFERROR(__xludf.DUMMYFUNCTION("""COMPUTED_VALUE"""),5450.0)</f>
        <v>5450</v>
      </c>
      <c r="D1106" s="2">
        <f>IFERROR(__xludf.DUMMYFUNCTION("""COMPUTED_VALUE"""),5300.0)</f>
        <v>5300</v>
      </c>
      <c r="E1106" s="2">
        <f>IFERROR(__xludf.DUMMYFUNCTION("""COMPUTED_VALUE"""),5400.0)</f>
        <v>5400</v>
      </c>
      <c r="F1106" s="2">
        <f>IFERROR(__xludf.DUMMYFUNCTION("""COMPUTED_VALUE"""),4282500.0)</f>
        <v>4282500</v>
      </c>
      <c r="G1106" s="2">
        <f t="shared" si="1"/>
        <v>150</v>
      </c>
    </row>
    <row r="1107" ht="15.75" customHeight="1">
      <c r="A1107" s="1">
        <f>IFERROR(__xludf.DUMMYFUNCTION("""COMPUTED_VALUE"""),45503.66666666667)</f>
        <v>45503.66667</v>
      </c>
      <c r="B1107" s="2">
        <f>IFERROR(__xludf.DUMMYFUNCTION("""COMPUTED_VALUE"""),5425.0)</f>
        <v>5425</v>
      </c>
      <c r="C1107" s="2">
        <f>IFERROR(__xludf.DUMMYFUNCTION("""COMPUTED_VALUE"""),5425.0)</f>
        <v>5425</v>
      </c>
      <c r="D1107" s="2">
        <f>IFERROR(__xludf.DUMMYFUNCTION("""COMPUTED_VALUE"""),5200.0)</f>
        <v>5200</v>
      </c>
      <c r="E1107" s="2">
        <f>IFERROR(__xludf.DUMMYFUNCTION("""COMPUTED_VALUE"""),5325.0)</f>
        <v>5325</v>
      </c>
      <c r="F1107" s="2">
        <f>IFERROR(__xludf.DUMMYFUNCTION("""COMPUTED_VALUE"""),5455400.0)</f>
        <v>5455400</v>
      </c>
      <c r="G1107" s="2">
        <f t="shared" si="1"/>
        <v>225</v>
      </c>
    </row>
    <row r="1108" ht="15.75" customHeight="1">
      <c r="A1108" s="1">
        <f>IFERROR(__xludf.DUMMYFUNCTION("""COMPUTED_VALUE"""),45504.66666666667)</f>
        <v>45504.66667</v>
      </c>
      <c r="B1108" s="2">
        <f>IFERROR(__xludf.DUMMYFUNCTION("""COMPUTED_VALUE"""),5350.0)</f>
        <v>5350</v>
      </c>
      <c r="C1108" s="2">
        <f>IFERROR(__xludf.DUMMYFUNCTION("""COMPUTED_VALUE"""),5575.0)</f>
        <v>5575</v>
      </c>
      <c r="D1108" s="2">
        <f>IFERROR(__xludf.DUMMYFUNCTION("""COMPUTED_VALUE"""),5325.0)</f>
        <v>5325</v>
      </c>
      <c r="E1108" s="2">
        <f>IFERROR(__xludf.DUMMYFUNCTION("""COMPUTED_VALUE"""),5550.0)</f>
        <v>5550</v>
      </c>
      <c r="F1108" s="2">
        <f>IFERROR(__xludf.DUMMYFUNCTION("""COMPUTED_VALUE"""),1.01884E7)</f>
        <v>10188400</v>
      </c>
      <c r="G1108" s="2">
        <f t="shared" si="1"/>
        <v>250</v>
      </c>
    </row>
    <row r="1109" ht="15.75" customHeight="1">
      <c r="A1109" s="1">
        <f>IFERROR(__xludf.DUMMYFUNCTION("""COMPUTED_VALUE"""),45505.66666666667)</f>
        <v>45505.66667</v>
      </c>
      <c r="B1109" s="2">
        <f>IFERROR(__xludf.DUMMYFUNCTION("""COMPUTED_VALUE"""),5600.0)</f>
        <v>5600</v>
      </c>
      <c r="C1109" s="2">
        <f>IFERROR(__xludf.DUMMYFUNCTION("""COMPUTED_VALUE"""),5600.0)</f>
        <v>5600</v>
      </c>
      <c r="D1109" s="2">
        <f>IFERROR(__xludf.DUMMYFUNCTION("""COMPUTED_VALUE"""),5250.0)</f>
        <v>5250</v>
      </c>
      <c r="E1109" s="2">
        <f>IFERROR(__xludf.DUMMYFUNCTION("""COMPUTED_VALUE"""),5400.0)</f>
        <v>5400</v>
      </c>
      <c r="F1109" s="2">
        <f>IFERROR(__xludf.DUMMYFUNCTION("""COMPUTED_VALUE"""),9778700.0)</f>
        <v>9778700</v>
      </c>
      <c r="G1109" s="2">
        <f t="shared" si="1"/>
        <v>350</v>
      </c>
    </row>
    <row r="1110" ht="15.75" customHeight="1">
      <c r="A1110" s="1">
        <f>IFERROR(__xludf.DUMMYFUNCTION("""COMPUTED_VALUE"""),45506.66666666667)</f>
        <v>45506.66667</v>
      </c>
      <c r="B1110" s="2">
        <f>IFERROR(__xludf.DUMMYFUNCTION("""COMPUTED_VALUE"""),5375.0)</f>
        <v>5375</v>
      </c>
      <c r="C1110" s="2">
        <f>IFERROR(__xludf.DUMMYFUNCTION("""COMPUTED_VALUE"""),5400.0)</f>
        <v>5400</v>
      </c>
      <c r="D1110" s="2">
        <f>IFERROR(__xludf.DUMMYFUNCTION("""COMPUTED_VALUE"""),5325.0)</f>
        <v>5325</v>
      </c>
      <c r="E1110" s="2">
        <f>IFERROR(__xludf.DUMMYFUNCTION("""COMPUTED_VALUE"""),5350.0)</f>
        <v>5350</v>
      </c>
      <c r="F1110" s="2">
        <f>IFERROR(__xludf.DUMMYFUNCTION("""COMPUTED_VALUE"""),6587900.0)</f>
        <v>6587900</v>
      </c>
      <c r="G1110" s="2">
        <f t="shared" si="1"/>
        <v>75</v>
      </c>
    </row>
    <row r="1111" ht="15.75" customHeight="1">
      <c r="A1111" s="1">
        <f>IFERROR(__xludf.DUMMYFUNCTION("""COMPUTED_VALUE"""),45509.66666666667)</f>
        <v>45509.66667</v>
      </c>
      <c r="B1111" s="2">
        <f>IFERROR(__xludf.DUMMYFUNCTION("""COMPUTED_VALUE"""),5300.0)</f>
        <v>5300</v>
      </c>
      <c r="C1111" s="2">
        <f>IFERROR(__xludf.DUMMYFUNCTION("""COMPUTED_VALUE"""),5350.0)</f>
        <v>5350</v>
      </c>
      <c r="D1111" s="2">
        <f>IFERROR(__xludf.DUMMYFUNCTION("""COMPUTED_VALUE"""),5150.0)</f>
        <v>5150</v>
      </c>
      <c r="E1111" s="2">
        <f>IFERROR(__xludf.DUMMYFUNCTION("""COMPUTED_VALUE"""),5300.0)</f>
        <v>5300</v>
      </c>
      <c r="F1111" s="2">
        <f>IFERROR(__xludf.DUMMYFUNCTION("""COMPUTED_VALUE"""),6585200.0)</f>
        <v>6585200</v>
      </c>
      <c r="G1111" s="2">
        <f t="shared" si="1"/>
        <v>200</v>
      </c>
    </row>
    <row r="1112" ht="15.75" customHeight="1">
      <c r="A1112" s="1">
        <f>IFERROR(__xludf.DUMMYFUNCTION("""COMPUTED_VALUE"""),45510.66666666667)</f>
        <v>45510.66667</v>
      </c>
      <c r="B1112" s="2">
        <f>IFERROR(__xludf.DUMMYFUNCTION("""COMPUTED_VALUE"""),5300.0)</f>
        <v>5300</v>
      </c>
      <c r="C1112" s="2">
        <f>IFERROR(__xludf.DUMMYFUNCTION("""COMPUTED_VALUE"""),5450.0)</f>
        <v>5450</v>
      </c>
      <c r="D1112" s="2">
        <f>IFERROR(__xludf.DUMMYFUNCTION("""COMPUTED_VALUE"""),5250.0)</f>
        <v>5250</v>
      </c>
      <c r="E1112" s="2">
        <f>IFERROR(__xludf.DUMMYFUNCTION("""COMPUTED_VALUE"""),5425.0)</f>
        <v>5425</v>
      </c>
      <c r="F1112" s="2">
        <f>IFERROR(__xludf.DUMMYFUNCTION("""COMPUTED_VALUE"""),5007600.0)</f>
        <v>5007600</v>
      </c>
      <c r="G1112" s="2">
        <f t="shared" si="1"/>
        <v>200</v>
      </c>
    </row>
    <row r="1113" ht="15.75" customHeight="1">
      <c r="A1113" s="1">
        <f>IFERROR(__xludf.DUMMYFUNCTION("""COMPUTED_VALUE"""),45511.66666666667)</f>
        <v>45511.66667</v>
      </c>
      <c r="B1113" s="2">
        <f>IFERROR(__xludf.DUMMYFUNCTION("""COMPUTED_VALUE"""),5425.0)</f>
        <v>5425</v>
      </c>
      <c r="C1113" s="2">
        <f>IFERROR(__xludf.DUMMYFUNCTION("""COMPUTED_VALUE"""),5450.0)</f>
        <v>5450</v>
      </c>
      <c r="D1113" s="2">
        <f>IFERROR(__xludf.DUMMYFUNCTION("""COMPUTED_VALUE"""),5400.0)</f>
        <v>5400</v>
      </c>
      <c r="E1113" s="2">
        <f>IFERROR(__xludf.DUMMYFUNCTION("""COMPUTED_VALUE"""),5400.0)</f>
        <v>5400</v>
      </c>
      <c r="F1113" s="2">
        <f>IFERROR(__xludf.DUMMYFUNCTION("""COMPUTED_VALUE"""),1691000.0)</f>
        <v>1691000</v>
      </c>
      <c r="G1113" s="2">
        <f t="shared" si="1"/>
        <v>50</v>
      </c>
    </row>
    <row r="1114" ht="15.75" customHeight="1">
      <c r="A1114" s="1">
        <f>IFERROR(__xludf.DUMMYFUNCTION("""COMPUTED_VALUE"""),45512.66666666667)</f>
        <v>45512.66667</v>
      </c>
      <c r="B1114" s="2">
        <f>IFERROR(__xludf.DUMMYFUNCTION("""COMPUTED_VALUE"""),5400.0)</f>
        <v>5400</v>
      </c>
      <c r="C1114" s="2">
        <f>IFERROR(__xludf.DUMMYFUNCTION("""COMPUTED_VALUE"""),5450.0)</f>
        <v>5450</v>
      </c>
      <c r="D1114" s="2">
        <f>IFERROR(__xludf.DUMMYFUNCTION("""COMPUTED_VALUE"""),5325.0)</f>
        <v>5325</v>
      </c>
      <c r="E1114" s="2">
        <f>IFERROR(__xludf.DUMMYFUNCTION("""COMPUTED_VALUE"""),5350.0)</f>
        <v>5350</v>
      </c>
      <c r="F1114" s="2">
        <f>IFERROR(__xludf.DUMMYFUNCTION("""COMPUTED_VALUE"""),1901500.0)</f>
        <v>1901500</v>
      </c>
      <c r="G1114" s="2">
        <f t="shared" si="1"/>
        <v>125</v>
      </c>
    </row>
    <row r="1115" ht="15.75" customHeight="1">
      <c r="A1115" s="1">
        <f>IFERROR(__xludf.DUMMYFUNCTION("""COMPUTED_VALUE"""),45513.66666666667)</f>
        <v>45513.66667</v>
      </c>
      <c r="B1115" s="2">
        <f>IFERROR(__xludf.DUMMYFUNCTION("""COMPUTED_VALUE"""),5400.0)</f>
        <v>5400</v>
      </c>
      <c r="C1115" s="2">
        <f>IFERROR(__xludf.DUMMYFUNCTION("""COMPUTED_VALUE"""),5525.0)</f>
        <v>5525</v>
      </c>
      <c r="D1115" s="2">
        <f>IFERROR(__xludf.DUMMYFUNCTION("""COMPUTED_VALUE"""),5400.0)</f>
        <v>5400</v>
      </c>
      <c r="E1115" s="2">
        <f>IFERROR(__xludf.DUMMYFUNCTION("""COMPUTED_VALUE"""),5475.0)</f>
        <v>5475</v>
      </c>
      <c r="F1115" s="2">
        <f>IFERROR(__xludf.DUMMYFUNCTION("""COMPUTED_VALUE"""),4563800.0)</f>
        <v>4563800</v>
      </c>
      <c r="G1115" s="2">
        <f t="shared" si="1"/>
        <v>175</v>
      </c>
    </row>
    <row r="1116" ht="15.75" customHeight="1">
      <c r="A1116" s="1">
        <f>IFERROR(__xludf.DUMMYFUNCTION("""COMPUTED_VALUE"""),45516.66666666667)</f>
        <v>45516.66667</v>
      </c>
      <c r="B1116" s="2">
        <f>IFERROR(__xludf.DUMMYFUNCTION("""COMPUTED_VALUE"""),5475.0)</f>
        <v>5475</v>
      </c>
      <c r="C1116" s="2">
        <f>IFERROR(__xludf.DUMMYFUNCTION("""COMPUTED_VALUE"""),5600.0)</f>
        <v>5600</v>
      </c>
      <c r="D1116" s="2">
        <f>IFERROR(__xludf.DUMMYFUNCTION("""COMPUTED_VALUE"""),5475.0)</f>
        <v>5475</v>
      </c>
      <c r="E1116" s="2">
        <f>IFERROR(__xludf.DUMMYFUNCTION("""COMPUTED_VALUE"""),5500.0)</f>
        <v>5500</v>
      </c>
      <c r="F1116" s="2">
        <f>IFERROR(__xludf.DUMMYFUNCTION("""COMPUTED_VALUE"""),5071500.0)</f>
        <v>5071500</v>
      </c>
      <c r="G1116" s="2">
        <f t="shared" si="1"/>
        <v>125</v>
      </c>
    </row>
    <row r="1117" ht="15.75" customHeight="1">
      <c r="A1117" s="1">
        <f>IFERROR(__xludf.DUMMYFUNCTION("""COMPUTED_VALUE"""),45517.66666666667)</f>
        <v>45517.66667</v>
      </c>
      <c r="B1117" s="2">
        <f>IFERROR(__xludf.DUMMYFUNCTION("""COMPUTED_VALUE"""),5575.0)</f>
        <v>5575</v>
      </c>
      <c r="C1117" s="2">
        <f>IFERROR(__xludf.DUMMYFUNCTION("""COMPUTED_VALUE"""),5575.0)</f>
        <v>5575</v>
      </c>
      <c r="D1117" s="2">
        <f>IFERROR(__xludf.DUMMYFUNCTION("""COMPUTED_VALUE"""),5500.0)</f>
        <v>5500</v>
      </c>
      <c r="E1117" s="2">
        <f>IFERROR(__xludf.DUMMYFUNCTION("""COMPUTED_VALUE"""),5500.0)</f>
        <v>5500</v>
      </c>
      <c r="F1117" s="2">
        <f>IFERROR(__xludf.DUMMYFUNCTION("""COMPUTED_VALUE"""),4125500.0)</f>
        <v>4125500</v>
      </c>
      <c r="G1117" s="2">
        <f t="shared" si="1"/>
        <v>75</v>
      </c>
    </row>
    <row r="1118" ht="15.75" customHeight="1">
      <c r="A1118" s="1">
        <f>IFERROR(__xludf.DUMMYFUNCTION("""COMPUTED_VALUE"""),45518.66666666667)</f>
        <v>45518.66667</v>
      </c>
      <c r="B1118" s="2">
        <f>IFERROR(__xludf.DUMMYFUNCTION("""COMPUTED_VALUE"""),5500.0)</f>
        <v>5500</v>
      </c>
      <c r="C1118" s="2">
        <f>IFERROR(__xludf.DUMMYFUNCTION("""COMPUTED_VALUE"""),5550.0)</f>
        <v>5550</v>
      </c>
      <c r="D1118" s="2">
        <f>IFERROR(__xludf.DUMMYFUNCTION("""COMPUTED_VALUE"""),5450.0)</f>
        <v>5450</v>
      </c>
      <c r="E1118" s="2">
        <f>IFERROR(__xludf.DUMMYFUNCTION("""COMPUTED_VALUE"""),5500.0)</f>
        <v>5500</v>
      </c>
      <c r="F1118" s="2">
        <f>IFERROR(__xludf.DUMMYFUNCTION("""COMPUTED_VALUE"""),5153500.0)</f>
        <v>5153500</v>
      </c>
      <c r="G1118" s="2">
        <f t="shared" si="1"/>
        <v>100</v>
      </c>
    </row>
    <row r="1119" ht="15.75" customHeight="1">
      <c r="A1119" s="1">
        <f>IFERROR(__xludf.DUMMYFUNCTION("""COMPUTED_VALUE"""),45519.66666666667)</f>
        <v>45519.66667</v>
      </c>
      <c r="B1119" s="2">
        <f>IFERROR(__xludf.DUMMYFUNCTION("""COMPUTED_VALUE"""),5500.0)</f>
        <v>5500</v>
      </c>
      <c r="C1119" s="2">
        <f>IFERROR(__xludf.DUMMYFUNCTION("""COMPUTED_VALUE"""),5500.0)</f>
        <v>5500</v>
      </c>
      <c r="D1119" s="2">
        <f>IFERROR(__xludf.DUMMYFUNCTION("""COMPUTED_VALUE"""),5300.0)</f>
        <v>5300</v>
      </c>
      <c r="E1119" s="2">
        <f>IFERROR(__xludf.DUMMYFUNCTION("""COMPUTED_VALUE"""),5400.0)</f>
        <v>5400</v>
      </c>
      <c r="F1119" s="2">
        <f>IFERROR(__xludf.DUMMYFUNCTION("""COMPUTED_VALUE"""),5308800.0)</f>
        <v>5308800</v>
      </c>
      <c r="G1119" s="2">
        <f t="shared" si="1"/>
        <v>200</v>
      </c>
    </row>
    <row r="1120" ht="15.75" customHeight="1">
      <c r="A1120" s="1">
        <f>IFERROR(__xludf.DUMMYFUNCTION("""COMPUTED_VALUE"""),45520.66666666667)</f>
        <v>45520.66667</v>
      </c>
      <c r="B1120" s="2">
        <f>IFERROR(__xludf.DUMMYFUNCTION("""COMPUTED_VALUE"""),5425.0)</f>
        <v>5425</v>
      </c>
      <c r="C1120" s="2">
        <f>IFERROR(__xludf.DUMMYFUNCTION("""COMPUTED_VALUE"""),5425.0)</f>
        <v>5425</v>
      </c>
      <c r="D1120" s="2">
        <f>IFERROR(__xludf.DUMMYFUNCTION("""COMPUTED_VALUE"""),5350.0)</f>
        <v>5350</v>
      </c>
      <c r="E1120" s="2">
        <f>IFERROR(__xludf.DUMMYFUNCTION("""COMPUTED_VALUE"""),5400.0)</f>
        <v>5400</v>
      </c>
      <c r="F1120" s="2">
        <f>IFERROR(__xludf.DUMMYFUNCTION("""COMPUTED_VALUE"""),3047200.0)</f>
        <v>3047200</v>
      </c>
      <c r="G1120" s="2">
        <f t="shared" si="1"/>
        <v>75</v>
      </c>
    </row>
    <row r="1121" ht="15.75" customHeight="1">
      <c r="A1121" s="1">
        <f>IFERROR(__xludf.DUMMYFUNCTION("""COMPUTED_VALUE"""),45523.66666666667)</f>
        <v>45523.66667</v>
      </c>
      <c r="B1121" s="2">
        <f>IFERROR(__xludf.DUMMYFUNCTION("""COMPUTED_VALUE"""),5400.0)</f>
        <v>5400</v>
      </c>
      <c r="C1121" s="2">
        <f>IFERROR(__xludf.DUMMYFUNCTION("""COMPUTED_VALUE"""),5425.0)</f>
        <v>5425</v>
      </c>
      <c r="D1121" s="2">
        <f>IFERROR(__xludf.DUMMYFUNCTION("""COMPUTED_VALUE"""),5375.0)</f>
        <v>5375</v>
      </c>
      <c r="E1121" s="2">
        <f>IFERROR(__xludf.DUMMYFUNCTION("""COMPUTED_VALUE"""),5425.0)</f>
        <v>5425</v>
      </c>
      <c r="F1121" s="2">
        <f>IFERROR(__xludf.DUMMYFUNCTION("""COMPUTED_VALUE"""),1152400.0)</f>
        <v>1152400</v>
      </c>
      <c r="G1121" s="2">
        <f t="shared" si="1"/>
        <v>50</v>
      </c>
    </row>
    <row r="1122" ht="15.75" customHeight="1">
      <c r="A1122" s="1">
        <f>IFERROR(__xludf.DUMMYFUNCTION("""COMPUTED_VALUE"""),45524.66666666667)</f>
        <v>45524.66667</v>
      </c>
      <c r="B1122" s="2">
        <f>IFERROR(__xludf.DUMMYFUNCTION("""COMPUTED_VALUE"""),5450.0)</f>
        <v>5450</v>
      </c>
      <c r="C1122" s="2">
        <f>IFERROR(__xludf.DUMMYFUNCTION("""COMPUTED_VALUE"""),5500.0)</f>
        <v>5500</v>
      </c>
      <c r="D1122" s="2">
        <f>IFERROR(__xludf.DUMMYFUNCTION("""COMPUTED_VALUE"""),5400.0)</f>
        <v>5400</v>
      </c>
      <c r="E1122" s="2">
        <f>IFERROR(__xludf.DUMMYFUNCTION("""COMPUTED_VALUE"""),5450.0)</f>
        <v>5450</v>
      </c>
      <c r="F1122" s="2">
        <f>IFERROR(__xludf.DUMMYFUNCTION("""COMPUTED_VALUE"""),2990900.0)</f>
        <v>2990900</v>
      </c>
      <c r="G1122" s="2">
        <f t="shared" si="1"/>
        <v>100</v>
      </c>
    </row>
    <row r="1123" ht="15.75" customHeight="1">
      <c r="A1123" s="1">
        <f>IFERROR(__xludf.DUMMYFUNCTION("""COMPUTED_VALUE"""),45525.66666666667)</f>
        <v>45525.66667</v>
      </c>
      <c r="B1123" s="2">
        <f>IFERROR(__xludf.DUMMYFUNCTION("""COMPUTED_VALUE"""),5475.0)</f>
        <v>5475</v>
      </c>
      <c r="C1123" s="2">
        <f>IFERROR(__xludf.DUMMYFUNCTION("""COMPUTED_VALUE"""),5525.0)</f>
        <v>5525</v>
      </c>
      <c r="D1123" s="2">
        <f>IFERROR(__xludf.DUMMYFUNCTION("""COMPUTED_VALUE"""),5450.0)</f>
        <v>5450</v>
      </c>
      <c r="E1123" s="2">
        <f>IFERROR(__xludf.DUMMYFUNCTION("""COMPUTED_VALUE"""),5450.0)</f>
        <v>5450</v>
      </c>
      <c r="F1123" s="2">
        <f>IFERROR(__xludf.DUMMYFUNCTION("""COMPUTED_VALUE"""),3629100.0)</f>
        <v>3629100</v>
      </c>
      <c r="G1123" s="2">
        <f t="shared" si="1"/>
        <v>75</v>
      </c>
    </row>
    <row r="1124" ht="15.75" customHeight="1">
      <c r="A1124" s="1">
        <f>IFERROR(__xludf.DUMMYFUNCTION("""COMPUTED_VALUE"""),45526.66666666667)</f>
        <v>45526.66667</v>
      </c>
      <c r="B1124" s="2">
        <f>IFERROR(__xludf.DUMMYFUNCTION("""COMPUTED_VALUE"""),5400.0)</f>
        <v>5400</v>
      </c>
      <c r="C1124" s="2">
        <f>IFERROR(__xludf.DUMMYFUNCTION("""COMPUTED_VALUE"""),5475.0)</f>
        <v>5475</v>
      </c>
      <c r="D1124" s="2">
        <f>IFERROR(__xludf.DUMMYFUNCTION("""COMPUTED_VALUE"""),5375.0)</f>
        <v>5375</v>
      </c>
      <c r="E1124" s="2">
        <f>IFERROR(__xludf.DUMMYFUNCTION("""COMPUTED_VALUE"""),5475.0)</f>
        <v>5475</v>
      </c>
      <c r="F1124" s="2">
        <f>IFERROR(__xludf.DUMMYFUNCTION("""COMPUTED_VALUE"""),2466900.0)</f>
        <v>2466900</v>
      </c>
      <c r="G1124" s="2">
        <f t="shared" si="1"/>
        <v>100</v>
      </c>
    </row>
    <row r="1125" ht="15.75" customHeight="1">
      <c r="A1125" s="1">
        <f>IFERROR(__xludf.DUMMYFUNCTION("""COMPUTED_VALUE"""),45527.66666666667)</f>
        <v>45527.66667</v>
      </c>
      <c r="B1125" s="2">
        <f>IFERROR(__xludf.DUMMYFUNCTION("""COMPUTED_VALUE"""),5500.0)</f>
        <v>5500</v>
      </c>
      <c r="C1125" s="2">
        <f>IFERROR(__xludf.DUMMYFUNCTION("""COMPUTED_VALUE"""),5500.0)</f>
        <v>5500</v>
      </c>
      <c r="D1125" s="2">
        <f>IFERROR(__xludf.DUMMYFUNCTION("""COMPUTED_VALUE"""),5400.0)</f>
        <v>5400</v>
      </c>
      <c r="E1125" s="2">
        <f>IFERROR(__xludf.DUMMYFUNCTION("""COMPUTED_VALUE"""),5400.0)</f>
        <v>5400</v>
      </c>
      <c r="F1125" s="2">
        <f>IFERROR(__xludf.DUMMYFUNCTION("""COMPUTED_VALUE"""),2731900.0)</f>
        <v>2731900</v>
      </c>
      <c r="G1125" s="2">
        <f t="shared" si="1"/>
        <v>100</v>
      </c>
    </row>
    <row r="1126" ht="15.75" customHeight="1">
      <c r="A1126" s="1">
        <f>IFERROR(__xludf.DUMMYFUNCTION("""COMPUTED_VALUE"""),45530.66666666667)</f>
        <v>45530.66667</v>
      </c>
      <c r="B1126" s="2">
        <f>IFERROR(__xludf.DUMMYFUNCTION("""COMPUTED_VALUE"""),5400.0)</f>
        <v>5400</v>
      </c>
      <c r="C1126" s="2">
        <f>IFERROR(__xludf.DUMMYFUNCTION("""COMPUTED_VALUE"""),5475.0)</f>
        <v>5475</v>
      </c>
      <c r="D1126" s="2">
        <f>IFERROR(__xludf.DUMMYFUNCTION("""COMPUTED_VALUE"""),5375.0)</f>
        <v>5375</v>
      </c>
      <c r="E1126" s="2">
        <f>IFERROR(__xludf.DUMMYFUNCTION("""COMPUTED_VALUE"""),5425.0)</f>
        <v>5425</v>
      </c>
      <c r="F1126" s="2">
        <f>IFERROR(__xludf.DUMMYFUNCTION("""COMPUTED_VALUE"""),3800100.0)</f>
        <v>3800100</v>
      </c>
      <c r="G1126" s="2">
        <f t="shared" si="1"/>
        <v>100</v>
      </c>
    </row>
    <row r="1127" ht="15.75" customHeight="1">
      <c r="A1127" s="1">
        <f>IFERROR(__xludf.DUMMYFUNCTION("""COMPUTED_VALUE"""),45531.66666666667)</f>
        <v>45531.66667</v>
      </c>
      <c r="B1127" s="2">
        <f>IFERROR(__xludf.DUMMYFUNCTION("""COMPUTED_VALUE"""),5425.0)</f>
        <v>5425</v>
      </c>
      <c r="C1127" s="2">
        <f>IFERROR(__xludf.DUMMYFUNCTION("""COMPUTED_VALUE"""),5425.0)</f>
        <v>5425</v>
      </c>
      <c r="D1127" s="2">
        <f>IFERROR(__xludf.DUMMYFUNCTION("""COMPUTED_VALUE"""),5375.0)</f>
        <v>5375</v>
      </c>
      <c r="E1127" s="2">
        <f>IFERROR(__xludf.DUMMYFUNCTION("""COMPUTED_VALUE"""),5425.0)</f>
        <v>5425</v>
      </c>
      <c r="F1127" s="2">
        <f>IFERROR(__xludf.DUMMYFUNCTION("""COMPUTED_VALUE"""),3597700.0)</f>
        <v>3597700</v>
      </c>
      <c r="G1127" s="2">
        <f t="shared" si="1"/>
        <v>50</v>
      </c>
    </row>
    <row r="1128" ht="15.75" customHeight="1">
      <c r="A1128" s="1">
        <f>IFERROR(__xludf.DUMMYFUNCTION("""COMPUTED_VALUE"""),45532.66666666667)</f>
        <v>45532.66667</v>
      </c>
      <c r="B1128" s="2">
        <f>IFERROR(__xludf.DUMMYFUNCTION("""COMPUTED_VALUE"""),5500.0)</f>
        <v>5500</v>
      </c>
      <c r="C1128" s="2">
        <f>IFERROR(__xludf.DUMMYFUNCTION("""COMPUTED_VALUE"""),5500.0)</f>
        <v>5500</v>
      </c>
      <c r="D1128" s="2">
        <f>IFERROR(__xludf.DUMMYFUNCTION("""COMPUTED_VALUE"""),5425.0)</f>
        <v>5425</v>
      </c>
      <c r="E1128" s="2">
        <f>IFERROR(__xludf.DUMMYFUNCTION("""COMPUTED_VALUE"""),5425.0)</f>
        <v>5425</v>
      </c>
      <c r="F1128" s="2">
        <f>IFERROR(__xludf.DUMMYFUNCTION("""COMPUTED_VALUE"""),2391700.0)</f>
        <v>2391700</v>
      </c>
      <c r="G1128" s="2">
        <f t="shared" si="1"/>
        <v>75</v>
      </c>
    </row>
    <row r="1129" ht="15.75" customHeight="1">
      <c r="A1129" s="1">
        <f>IFERROR(__xludf.DUMMYFUNCTION("""COMPUTED_VALUE"""),45533.66666666667)</f>
        <v>45533.66667</v>
      </c>
      <c r="B1129" s="2">
        <f>IFERROR(__xludf.DUMMYFUNCTION("""COMPUTED_VALUE"""),5450.0)</f>
        <v>5450</v>
      </c>
      <c r="C1129" s="2">
        <f>IFERROR(__xludf.DUMMYFUNCTION("""COMPUTED_VALUE"""),5450.0)</f>
        <v>5450</v>
      </c>
      <c r="D1129" s="2">
        <f>IFERROR(__xludf.DUMMYFUNCTION("""COMPUTED_VALUE"""),5300.0)</f>
        <v>5300</v>
      </c>
      <c r="E1129" s="2">
        <f>IFERROR(__xludf.DUMMYFUNCTION("""COMPUTED_VALUE"""),5300.0)</f>
        <v>5300</v>
      </c>
      <c r="F1129" s="2">
        <f>IFERROR(__xludf.DUMMYFUNCTION("""COMPUTED_VALUE"""),5090500.0)</f>
        <v>5090500</v>
      </c>
      <c r="G1129" s="2">
        <f t="shared" si="1"/>
        <v>150</v>
      </c>
    </row>
    <row r="1130" ht="15.75" customHeight="1">
      <c r="A1130" s="1">
        <f>IFERROR(__xludf.DUMMYFUNCTION("""COMPUTED_VALUE"""),45534.66666666667)</f>
        <v>45534.66667</v>
      </c>
      <c r="B1130" s="2">
        <f>IFERROR(__xludf.DUMMYFUNCTION("""COMPUTED_VALUE"""),5300.0)</f>
        <v>5300</v>
      </c>
      <c r="C1130" s="2">
        <f>IFERROR(__xludf.DUMMYFUNCTION("""COMPUTED_VALUE"""),5350.0)</f>
        <v>5350</v>
      </c>
      <c r="D1130" s="2">
        <f>IFERROR(__xludf.DUMMYFUNCTION("""COMPUTED_VALUE"""),5250.0)</f>
        <v>5250</v>
      </c>
      <c r="E1130" s="2">
        <f>IFERROR(__xludf.DUMMYFUNCTION("""COMPUTED_VALUE"""),5350.0)</f>
        <v>5350</v>
      </c>
      <c r="F1130" s="2">
        <f>IFERROR(__xludf.DUMMYFUNCTION("""COMPUTED_VALUE"""),6363200.0)</f>
        <v>6363200</v>
      </c>
      <c r="G1130" s="2">
        <f t="shared" si="1"/>
        <v>100</v>
      </c>
    </row>
    <row r="1131" ht="15.75" customHeight="1">
      <c r="A1131" s="1">
        <f>IFERROR(__xludf.DUMMYFUNCTION("""COMPUTED_VALUE"""),45537.66666666667)</f>
        <v>45537.66667</v>
      </c>
      <c r="B1131" s="2">
        <f>IFERROR(__xludf.DUMMYFUNCTION("""COMPUTED_VALUE"""),5325.0)</f>
        <v>5325</v>
      </c>
      <c r="C1131" s="2">
        <f>IFERROR(__xludf.DUMMYFUNCTION("""COMPUTED_VALUE"""),5400.0)</f>
        <v>5400</v>
      </c>
      <c r="D1131" s="2">
        <f>IFERROR(__xludf.DUMMYFUNCTION("""COMPUTED_VALUE"""),5275.0)</f>
        <v>5275</v>
      </c>
      <c r="E1131" s="2">
        <f>IFERROR(__xludf.DUMMYFUNCTION("""COMPUTED_VALUE"""),5275.0)</f>
        <v>5275</v>
      </c>
      <c r="F1131" s="2">
        <f>IFERROR(__xludf.DUMMYFUNCTION("""COMPUTED_VALUE"""),5696100.0)</f>
        <v>5696100</v>
      </c>
      <c r="G1131" s="2">
        <f t="shared" si="1"/>
        <v>125</v>
      </c>
    </row>
    <row r="1132" ht="15.75" customHeight="1">
      <c r="A1132" s="1">
        <f>IFERROR(__xludf.DUMMYFUNCTION("""COMPUTED_VALUE"""),45538.66666666667)</f>
        <v>45538.66667</v>
      </c>
      <c r="B1132" s="2">
        <f>IFERROR(__xludf.DUMMYFUNCTION("""COMPUTED_VALUE"""),5300.0)</f>
        <v>5300</v>
      </c>
      <c r="C1132" s="2">
        <f>IFERROR(__xludf.DUMMYFUNCTION("""COMPUTED_VALUE"""),5350.0)</f>
        <v>5350</v>
      </c>
      <c r="D1132" s="2">
        <f>IFERROR(__xludf.DUMMYFUNCTION("""COMPUTED_VALUE"""),5175.0)</f>
        <v>5175</v>
      </c>
      <c r="E1132" s="2">
        <f>IFERROR(__xludf.DUMMYFUNCTION("""COMPUTED_VALUE"""),5250.0)</f>
        <v>5250</v>
      </c>
      <c r="F1132" s="2">
        <f>IFERROR(__xludf.DUMMYFUNCTION("""COMPUTED_VALUE"""),3086700.0)</f>
        <v>3086700</v>
      </c>
      <c r="G1132" s="2">
        <f t="shared" si="1"/>
        <v>175</v>
      </c>
    </row>
    <row r="1133" ht="15.75" customHeight="1">
      <c r="A1133" s="1">
        <f>IFERROR(__xludf.DUMMYFUNCTION("""COMPUTED_VALUE"""),45539.66666666667)</f>
        <v>45539.66667</v>
      </c>
      <c r="B1133" s="2">
        <f>IFERROR(__xludf.DUMMYFUNCTION("""COMPUTED_VALUE"""),5225.0)</f>
        <v>5225</v>
      </c>
      <c r="C1133" s="2">
        <f>IFERROR(__xludf.DUMMYFUNCTION("""COMPUTED_VALUE"""),5275.0)</f>
        <v>5275</v>
      </c>
      <c r="D1133" s="2">
        <f>IFERROR(__xludf.DUMMYFUNCTION("""COMPUTED_VALUE"""),5175.0)</f>
        <v>5175</v>
      </c>
      <c r="E1133" s="2">
        <f>IFERROR(__xludf.DUMMYFUNCTION("""COMPUTED_VALUE"""),5225.0)</f>
        <v>5225</v>
      </c>
      <c r="F1133" s="2">
        <f>IFERROR(__xludf.DUMMYFUNCTION("""COMPUTED_VALUE"""),2522500.0)</f>
        <v>2522500</v>
      </c>
      <c r="G1133" s="2">
        <f t="shared" si="1"/>
        <v>100</v>
      </c>
    </row>
    <row r="1134" ht="15.75" customHeight="1">
      <c r="A1134" s="1">
        <f>IFERROR(__xludf.DUMMYFUNCTION("""COMPUTED_VALUE"""),45540.66666666667)</f>
        <v>45540.66667</v>
      </c>
      <c r="B1134" s="2">
        <f>IFERROR(__xludf.DUMMYFUNCTION("""COMPUTED_VALUE"""),5225.0)</f>
        <v>5225</v>
      </c>
      <c r="C1134" s="2">
        <f>IFERROR(__xludf.DUMMYFUNCTION("""COMPUTED_VALUE"""),5400.0)</f>
        <v>5400</v>
      </c>
      <c r="D1134" s="2">
        <f>IFERROR(__xludf.DUMMYFUNCTION("""COMPUTED_VALUE"""),5225.0)</f>
        <v>5225</v>
      </c>
      <c r="E1134" s="2">
        <f>IFERROR(__xludf.DUMMYFUNCTION("""COMPUTED_VALUE"""),5350.0)</f>
        <v>5350</v>
      </c>
      <c r="F1134" s="2">
        <f>IFERROR(__xludf.DUMMYFUNCTION("""COMPUTED_VALUE"""),9095200.0)</f>
        <v>9095200</v>
      </c>
      <c r="G1134" s="2">
        <f t="shared" si="1"/>
        <v>175</v>
      </c>
    </row>
    <row r="1135" ht="15.75" customHeight="1">
      <c r="A1135" s="1">
        <f>IFERROR(__xludf.DUMMYFUNCTION("""COMPUTED_VALUE"""),45541.66666666667)</f>
        <v>45541.66667</v>
      </c>
      <c r="B1135" s="2">
        <f>IFERROR(__xludf.DUMMYFUNCTION("""COMPUTED_VALUE"""),5350.0)</f>
        <v>5350</v>
      </c>
      <c r="C1135" s="2">
        <f>IFERROR(__xludf.DUMMYFUNCTION("""COMPUTED_VALUE"""),5350.0)</f>
        <v>5350</v>
      </c>
      <c r="D1135" s="2">
        <f>IFERROR(__xludf.DUMMYFUNCTION("""COMPUTED_VALUE"""),5200.0)</f>
        <v>5200</v>
      </c>
      <c r="E1135" s="2">
        <f>IFERROR(__xludf.DUMMYFUNCTION("""COMPUTED_VALUE"""),5225.0)</f>
        <v>5225</v>
      </c>
      <c r="F1135" s="2">
        <f>IFERROR(__xludf.DUMMYFUNCTION("""COMPUTED_VALUE"""),4743300.0)</f>
        <v>4743300</v>
      </c>
      <c r="G1135" s="2">
        <f t="shared" si="1"/>
        <v>150</v>
      </c>
    </row>
    <row r="1136" ht="15.75" customHeight="1">
      <c r="A1136" s="1">
        <f>IFERROR(__xludf.DUMMYFUNCTION("""COMPUTED_VALUE"""),45544.66666666667)</f>
        <v>45544.66667</v>
      </c>
      <c r="B1136" s="2">
        <f>IFERROR(__xludf.DUMMYFUNCTION("""COMPUTED_VALUE"""),5200.0)</f>
        <v>5200</v>
      </c>
      <c r="C1136" s="2">
        <f>IFERROR(__xludf.DUMMYFUNCTION("""COMPUTED_VALUE"""),5200.0)</f>
        <v>5200</v>
      </c>
      <c r="D1136" s="2">
        <f>IFERROR(__xludf.DUMMYFUNCTION("""COMPUTED_VALUE"""),4980.0)</f>
        <v>4980</v>
      </c>
      <c r="E1136" s="2">
        <f>IFERROR(__xludf.DUMMYFUNCTION("""COMPUTED_VALUE"""),5050.0)</f>
        <v>5050</v>
      </c>
      <c r="F1136" s="2">
        <f>IFERROR(__xludf.DUMMYFUNCTION("""COMPUTED_VALUE"""),2.31877E7)</f>
        <v>23187700</v>
      </c>
      <c r="G1136" s="2">
        <f t="shared" si="1"/>
        <v>245</v>
      </c>
    </row>
    <row r="1137" ht="15.75" customHeight="1">
      <c r="A1137" s="1">
        <f>IFERROR(__xludf.DUMMYFUNCTION("""COMPUTED_VALUE"""),45545.66666666667)</f>
        <v>45545.66667</v>
      </c>
      <c r="B1137" s="2">
        <f>IFERROR(__xludf.DUMMYFUNCTION("""COMPUTED_VALUE"""),5100.0)</f>
        <v>5100</v>
      </c>
      <c r="C1137" s="2">
        <f>IFERROR(__xludf.DUMMYFUNCTION("""COMPUTED_VALUE"""),5100.0)</f>
        <v>5100</v>
      </c>
      <c r="D1137" s="2">
        <f>IFERROR(__xludf.DUMMYFUNCTION("""COMPUTED_VALUE"""),4770.0)</f>
        <v>4770</v>
      </c>
      <c r="E1137" s="2">
        <f>IFERROR(__xludf.DUMMYFUNCTION("""COMPUTED_VALUE"""),4920.0)</f>
        <v>4920</v>
      </c>
      <c r="F1137" s="2">
        <f>IFERROR(__xludf.DUMMYFUNCTION("""COMPUTED_VALUE"""),3.06239E7)</f>
        <v>30623900</v>
      </c>
      <c r="G1137" s="2">
        <f t="shared" si="1"/>
        <v>330</v>
      </c>
    </row>
    <row r="1138" ht="15.75" customHeight="1">
      <c r="A1138" s="1">
        <f>IFERROR(__xludf.DUMMYFUNCTION("""COMPUTED_VALUE"""),45546.66666666667)</f>
        <v>45546.66667</v>
      </c>
      <c r="B1138" s="2">
        <f>IFERROR(__xludf.DUMMYFUNCTION("""COMPUTED_VALUE"""),4920.0)</f>
        <v>4920</v>
      </c>
      <c r="C1138" s="2">
        <f>IFERROR(__xludf.DUMMYFUNCTION("""COMPUTED_VALUE"""),4960.0)</f>
        <v>4960</v>
      </c>
      <c r="D1138" s="2">
        <f>IFERROR(__xludf.DUMMYFUNCTION("""COMPUTED_VALUE"""),4820.0)</f>
        <v>4820</v>
      </c>
      <c r="E1138" s="2">
        <f>IFERROR(__xludf.DUMMYFUNCTION("""COMPUTED_VALUE"""),4860.0)</f>
        <v>4860</v>
      </c>
      <c r="F1138" s="2">
        <f>IFERROR(__xludf.DUMMYFUNCTION("""COMPUTED_VALUE"""),1.1258E7)</f>
        <v>11258000</v>
      </c>
      <c r="G1138" s="2">
        <f t="shared" si="1"/>
        <v>140</v>
      </c>
    </row>
    <row r="1139" ht="15.75" customHeight="1">
      <c r="A1139" s="1">
        <f>IFERROR(__xludf.DUMMYFUNCTION("""COMPUTED_VALUE"""),45547.66666666667)</f>
        <v>45547.66667</v>
      </c>
      <c r="B1139" s="2">
        <f>IFERROR(__xludf.DUMMYFUNCTION("""COMPUTED_VALUE"""),4850.0)</f>
        <v>4850</v>
      </c>
      <c r="C1139" s="2">
        <f>IFERROR(__xludf.DUMMYFUNCTION("""COMPUTED_VALUE"""),4910.0)</f>
        <v>4910</v>
      </c>
      <c r="D1139" s="2">
        <f>IFERROR(__xludf.DUMMYFUNCTION("""COMPUTED_VALUE"""),4810.0)</f>
        <v>4810</v>
      </c>
      <c r="E1139" s="2">
        <f>IFERROR(__xludf.DUMMYFUNCTION("""COMPUTED_VALUE"""),4900.0)</f>
        <v>4900</v>
      </c>
      <c r="F1139" s="2">
        <f>IFERROR(__xludf.DUMMYFUNCTION("""COMPUTED_VALUE"""),1.23727E7)</f>
        <v>12372700</v>
      </c>
      <c r="G1139" s="2">
        <f t="shared" si="1"/>
        <v>100</v>
      </c>
    </row>
    <row r="1140" ht="15.75" customHeight="1">
      <c r="A1140" s="1">
        <f>IFERROR(__xludf.DUMMYFUNCTION("""COMPUTED_VALUE"""),45548.66666666667)</f>
        <v>45548.66667</v>
      </c>
      <c r="B1140" s="2">
        <f>IFERROR(__xludf.DUMMYFUNCTION("""COMPUTED_VALUE"""),4900.0)</f>
        <v>4900</v>
      </c>
      <c r="C1140" s="2">
        <f>IFERROR(__xludf.DUMMYFUNCTION("""COMPUTED_VALUE"""),4960.0)</f>
        <v>4960</v>
      </c>
      <c r="D1140" s="2">
        <f>IFERROR(__xludf.DUMMYFUNCTION("""COMPUTED_VALUE"""),4880.0)</f>
        <v>4880</v>
      </c>
      <c r="E1140" s="2">
        <f>IFERROR(__xludf.DUMMYFUNCTION("""COMPUTED_VALUE"""),4930.0)</f>
        <v>4930</v>
      </c>
      <c r="F1140" s="2">
        <f>IFERROR(__xludf.DUMMYFUNCTION("""COMPUTED_VALUE"""),7280900.0)</f>
        <v>7280900</v>
      </c>
      <c r="G1140" s="2">
        <f t="shared" si="1"/>
        <v>80</v>
      </c>
    </row>
    <row r="1141" ht="15.75" customHeight="1">
      <c r="A1141" s="1">
        <f>IFERROR(__xludf.DUMMYFUNCTION("""COMPUTED_VALUE"""),45552.66666666667)</f>
        <v>45552.66667</v>
      </c>
      <c r="B1141" s="2">
        <f>IFERROR(__xludf.DUMMYFUNCTION("""COMPUTED_VALUE"""),4950.0)</f>
        <v>4950</v>
      </c>
      <c r="C1141" s="2">
        <f>IFERROR(__xludf.DUMMYFUNCTION("""COMPUTED_VALUE"""),5150.0)</f>
        <v>5150</v>
      </c>
      <c r="D1141" s="2">
        <f>IFERROR(__xludf.DUMMYFUNCTION("""COMPUTED_VALUE"""),4940.0)</f>
        <v>4940</v>
      </c>
      <c r="E1141" s="2">
        <f>IFERROR(__xludf.DUMMYFUNCTION("""COMPUTED_VALUE"""),5100.0)</f>
        <v>5100</v>
      </c>
      <c r="F1141" s="2">
        <f>IFERROR(__xludf.DUMMYFUNCTION("""COMPUTED_VALUE"""),1.29845E7)</f>
        <v>12984500</v>
      </c>
      <c r="G1141" s="2">
        <f t="shared" si="1"/>
        <v>220</v>
      </c>
    </row>
    <row r="1142" ht="15.75" customHeight="1">
      <c r="A1142" s="1">
        <f>IFERROR(__xludf.DUMMYFUNCTION("""COMPUTED_VALUE"""),45553.66666666667)</f>
        <v>45553.66667</v>
      </c>
      <c r="B1142" s="2">
        <f>IFERROR(__xludf.DUMMYFUNCTION("""COMPUTED_VALUE"""),5100.0)</f>
        <v>5100</v>
      </c>
      <c r="C1142" s="2">
        <f>IFERROR(__xludf.DUMMYFUNCTION("""COMPUTED_VALUE"""),5125.0)</f>
        <v>5125</v>
      </c>
      <c r="D1142" s="2">
        <f>IFERROR(__xludf.DUMMYFUNCTION("""COMPUTED_VALUE"""),5025.0)</f>
        <v>5025</v>
      </c>
      <c r="E1142" s="2">
        <f>IFERROR(__xludf.DUMMYFUNCTION("""COMPUTED_VALUE"""),5050.0)</f>
        <v>5050</v>
      </c>
      <c r="F1142" s="2">
        <f>IFERROR(__xludf.DUMMYFUNCTION("""COMPUTED_VALUE"""),6403600.0)</f>
        <v>6403600</v>
      </c>
      <c r="G1142" s="2">
        <f t="shared" si="1"/>
        <v>100</v>
      </c>
    </row>
    <row r="1143" ht="15.75" customHeight="1">
      <c r="A1143" s="1">
        <f>IFERROR(__xludf.DUMMYFUNCTION("""COMPUTED_VALUE"""),45554.66666666667)</f>
        <v>45554.66667</v>
      </c>
      <c r="B1143" s="2">
        <f>IFERROR(__xludf.DUMMYFUNCTION("""COMPUTED_VALUE"""),5150.0)</f>
        <v>5150</v>
      </c>
      <c r="C1143" s="2">
        <f>IFERROR(__xludf.DUMMYFUNCTION("""COMPUTED_VALUE"""),5150.0)</f>
        <v>5150</v>
      </c>
      <c r="D1143" s="2">
        <f>IFERROR(__xludf.DUMMYFUNCTION("""COMPUTED_VALUE"""),5000.0)</f>
        <v>5000</v>
      </c>
      <c r="E1143" s="2">
        <f>IFERROR(__xludf.DUMMYFUNCTION("""COMPUTED_VALUE"""),5025.0)</f>
        <v>5025</v>
      </c>
      <c r="F1143" s="2">
        <f>IFERROR(__xludf.DUMMYFUNCTION("""COMPUTED_VALUE"""),7856100.0)</f>
        <v>7856100</v>
      </c>
      <c r="G1143" s="2">
        <f t="shared" si="1"/>
        <v>150</v>
      </c>
    </row>
    <row r="1144" ht="15.75" customHeight="1">
      <c r="A1144" s="1">
        <f>IFERROR(__xludf.DUMMYFUNCTION("""COMPUTED_VALUE"""),45555.66666666667)</f>
        <v>45555.66667</v>
      </c>
      <c r="B1144" s="2">
        <f>IFERROR(__xludf.DUMMYFUNCTION("""COMPUTED_VALUE"""),5025.0)</f>
        <v>5025</v>
      </c>
      <c r="C1144" s="2">
        <f>IFERROR(__xludf.DUMMYFUNCTION("""COMPUTED_VALUE"""),5025.0)</f>
        <v>5025</v>
      </c>
      <c r="D1144" s="2">
        <f>IFERROR(__xludf.DUMMYFUNCTION("""COMPUTED_VALUE"""),4890.0)</f>
        <v>4890</v>
      </c>
      <c r="E1144" s="2">
        <f>IFERROR(__xludf.DUMMYFUNCTION("""COMPUTED_VALUE"""),4940.0)</f>
        <v>4940</v>
      </c>
      <c r="F1144" s="2">
        <f>IFERROR(__xludf.DUMMYFUNCTION("""COMPUTED_VALUE"""),1.08311E7)</f>
        <v>10831100</v>
      </c>
      <c r="G1144" s="2">
        <f t="shared" si="1"/>
        <v>135</v>
      </c>
    </row>
    <row r="1145" ht="15.75" customHeight="1">
      <c r="A1145" s="1">
        <f>IFERROR(__xludf.DUMMYFUNCTION("""COMPUTED_VALUE"""),45558.66666666667)</f>
        <v>45558.66667</v>
      </c>
      <c r="B1145" s="2">
        <f>IFERROR(__xludf.DUMMYFUNCTION("""COMPUTED_VALUE"""),4940.0)</f>
        <v>4940</v>
      </c>
      <c r="C1145" s="2">
        <f>IFERROR(__xludf.DUMMYFUNCTION("""COMPUTED_VALUE"""),5025.0)</f>
        <v>5025</v>
      </c>
      <c r="D1145" s="2">
        <f>IFERROR(__xludf.DUMMYFUNCTION("""COMPUTED_VALUE"""),4920.0)</f>
        <v>4920</v>
      </c>
      <c r="E1145" s="2">
        <f>IFERROR(__xludf.DUMMYFUNCTION("""COMPUTED_VALUE"""),4970.0)</f>
        <v>4970</v>
      </c>
      <c r="F1145" s="2">
        <f>IFERROR(__xludf.DUMMYFUNCTION("""COMPUTED_VALUE"""),3558200.0)</f>
        <v>3558200</v>
      </c>
      <c r="G1145" s="2">
        <f t="shared" si="1"/>
        <v>105</v>
      </c>
    </row>
    <row r="1146" ht="15.75" customHeight="1">
      <c r="A1146" s="1">
        <f>IFERROR(__xludf.DUMMYFUNCTION("""COMPUTED_VALUE"""),45559.66666666667)</f>
        <v>45559.66667</v>
      </c>
      <c r="B1146" s="2">
        <f>IFERROR(__xludf.DUMMYFUNCTION("""COMPUTED_VALUE"""),4980.0)</f>
        <v>4980</v>
      </c>
      <c r="C1146" s="2">
        <f>IFERROR(__xludf.DUMMYFUNCTION("""COMPUTED_VALUE"""),4990.0)</f>
        <v>4990</v>
      </c>
      <c r="D1146" s="2">
        <f>IFERROR(__xludf.DUMMYFUNCTION("""COMPUTED_VALUE"""),4920.0)</f>
        <v>4920</v>
      </c>
      <c r="E1146" s="2">
        <f>IFERROR(__xludf.DUMMYFUNCTION("""COMPUTED_VALUE"""),4960.0)</f>
        <v>4960</v>
      </c>
      <c r="F1146" s="2">
        <f>IFERROR(__xludf.DUMMYFUNCTION("""COMPUTED_VALUE"""),4481700.0)</f>
        <v>4481700</v>
      </c>
      <c r="G1146" s="2">
        <f t="shared" si="1"/>
        <v>70</v>
      </c>
    </row>
    <row r="1147" ht="15.75" customHeight="1">
      <c r="A1147" s="1">
        <f>IFERROR(__xludf.DUMMYFUNCTION("""COMPUTED_VALUE"""),45560.66666666667)</f>
        <v>45560.66667</v>
      </c>
      <c r="B1147" s="2">
        <f>IFERROR(__xludf.DUMMYFUNCTION("""COMPUTED_VALUE"""),4960.0)</f>
        <v>4960</v>
      </c>
      <c r="C1147" s="2">
        <f>IFERROR(__xludf.DUMMYFUNCTION("""COMPUTED_VALUE"""),4960.0)</f>
        <v>4960</v>
      </c>
      <c r="D1147" s="2">
        <f>IFERROR(__xludf.DUMMYFUNCTION("""COMPUTED_VALUE"""),4820.0)</f>
        <v>4820</v>
      </c>
      <c r="E1147" s="2">
        <f>IFERROR(__xludf.DUMMYFUNCTION("""COMPUTED_VALUE"""),4930.0)</f>
        <v>4930</v>
      </c>
      <c r="F1147" s="2">
        <f>IFERROR(__xludf.DUMMYFUNCTION("""COMPUTED_VALUE"""),1.05434E7)</f>
        <v>10543400</v>
      </c>
      <c r="G1147" s="2">
        <f t="shared" si="1"/>
        <v>140</v>
      </c>
    </row>
    <row r="1148" ht="15.75" customHeight="1">
      <c r="A1148" s="1">
        <f>IFERROR(__xludf.DUMMYFUNCTION("""COMPUTED_VALUE"""),45561.66666666667)</f>
        <v>45561.66667</v>
      </c>
      <c r="B1148" s="2">
        <f>IFERROR(__xludf.DUMMYFUNCTION("""COMPUTED_VALUE"""),4920.0)</f>
        <v>4920</v>
      </c>
      <c r="C1148" s="2">
        <f>IFERROR(__xludf.DUMMYFUNCTION("""COMPUTED_VALUE"""),4970.0)</f>
        <v>4970</v>
      </c>
      <c r="D1148" s="2">
        <f>IFERROR(__xludf.DUMMYFUNCTION("""COMPUTED_VALUE"""),4880.0)</f>
        <v>4880</v>
      </c>
      <c r="E1148" s="2">
        <f>IFERROR(__xludf.DUMMYFUNCTION("""COMPUTED_VALUE"""),4970.0)</f>
        <v>4970</v>
      </c>
      <c r="F1148" s="2">
        <f>IFERROR(__xludf.DUMMYFUNCTION("""COMPUTED_VALUE"""),6183000.0)</f>
        <v>6183000</v>
      </c>
      <c r="G1148" s="2">
        <f t="shared" si="1"/>
        <v>90</v>
      </c>
    </row>
    <row r="1149" ht="15.75" customHeight="1">
      <c r="A1149" s="1">
        <f>IFERROR(__xludf.DUMMYFUNCTION("""COMPUTED_VALUE"""),45562.66666666667)</f>
        <v>45562.66667</v>
      </c>
      <c r="B1149" s="2">
        <f>IFERROR(__xludf.DUMMYFUNCTION("""COMPUTED_VALUE"""),4990.0)</f>
        <v>4990</v>
      </c>
      <c r="C1149" s="2">
        <f>IFERROR(__xludf.DUMMYFUNCTION("""COMPUTED_VALUE"""),4990.0)</f>
        <v>4990</v>
      </c>
      <c r="D1149" s="2">
        <f>IFERROR(__xludf.DUMMYFUNCTION("""COMPUTED_VALUE"""),4860.0)</f>
        <v>4860</v>
      </c>
      <c r="E1149" s="2">
        <f>IFERROR(__xludf.DUMMYFUNCTION("""COMPUTED_VALUE"""),4930.0)</f>
        <v>4930</v>
      </c>
      <c r="F1149" s="2">
        <f>IFERROR(__xludf.DUMMYFUNCTION("""COMPUTED_VALUE"""),8404900.0)</f>
        <v>8404900</v>
      </c>
      <c r="G1149" s="2">
        <f t="shared" si="1"/>
        <v>130</v>
      </c>
    </row>
    <row r="1150" ht="15.75" customHeight="1">
      <c r="A1150" s="1">
        <f>IFERROR(__xludf.DUMMYFUNCTION("""COMPUTED_VALUE"""),45565.66666666667)</f>
        <v>45565.66667</v>
      </c>
      <c r="B1150" s="2">
        <f>IFERROR(__xludf.DUMMYFUNCTION("""COMPUTED_VALUE"""),4930.0)</f>
        <v>4930</v>
      </c>
      <c r="C1150" s="2">
        <f>IFERROR(__xludf.DUMMYFUNCTION("""COMPUTED_VALUE"""),4960.0)</f>
        <v>4960</v>
      </c>
      <c r="D1150" s="2">
        <f>IFERROR(__xludf.DUMMYFUNCTION("""COMPUTED_VALUE"""),4840.0)</f>
        <v>4840</v>
      </c>
      <c r="E1150" s="2">
        <f>IFERROR(__xludf.DUMMYFUNCTION("""COMPUTED_VALUE"""),4930.0)</f>
        <v>4930</v>
      </c>
      <c r="F1150" s="2">
        <f>IFERROR(__xludf.DUMMYFUNCTION("""COMPUTED_VALUE"""),8699000.0)</f>
        <v>8699000</v>
      </c>
      <c r="G1150" s="2">
        <f t="shared" si="1"/>
        <v>120</v>
      </c>
    </row>
    <row r="1151" ht="15.75" customHeight="1">
      <c r="A1151" s="1">
        <f>IFERROR(__xludf.DUMMYFUNCTION("""COMPUTED_VALUE"""),45566.66666666667)</f>
        <v>45566.66667</v>
      </c>
      <c r="B1151" s="2">
        <f>IFERROR(__xludf.DUMMYFUNCTION("""COMPUTED_VALUE"""),4960.0)</f>
        <v>4960</v>
      </c>
      <c r="C1151" s="2">
        <f>IFERROR(__xludf.DUMMYFUNCTION("""COMPUTED_VALUE"""),4960.0)</f>
        <v>4960</v>
      </c>
      <c r="D1151" s="2">
        <f>IFERROR(__xludf.DUMMYFUNCTION("""COMPUTED_VALUE"""),4890.0)</f>
        <v>4890</v>
      </c>
      <c r="E1151" s="2">
        <f>IFERROR(__xludf.DUMMYFUNCTION("""COMPUTED_VALUE"""),4900.0)</f>
        <v>4900</v>
      </c>
      <c r="F1151" s="2">
        <f>IFERROR(__xludf.DUMMYFUNCTION("""COMPUTED_VALUE"""),4447400.0)</f>
        <v>4447400</v>
      </c>
      <c r="G1151" s="2">
        <f t="shared" si="1"/>
        <v>70</v>
      </c>
    </row>
    <row r="1152" ht="15.75" customHeight="1">
      <c r="A1152" s="1">
        <f>IFERROR(__xludf.DUMMYFUNCTION("""COMPUTED_VALUE"""),45567.66666666667)</f>
        <v>45567.66667</v>
      </c>
      <c r="B1152" s="2">
        <f>IFERROR(__xludf.DUMMYFUNCTION("""COMPUTED_VALUE"""),4900.0)</f>
        <v>4900</v>
      </c>
      <c r="C1152" s="2">
        <f>IFERROR(__xludf.DUMMYFUNCTION("""COMPUTED_VALUE"""),4910.0)</f>
        <v>4910</v>
      </c>
      <c r="D1152" s="2">
        <f>IFERROR(__xludf.DUMMYFUNCTION("""COMPUTED_VALUE"""),4850.0)</f>
        <v>4850</v>
      </c>
      <c r="E1152" s="2">
        <f>IFERROR(__xludf.DUMMYFUNCTION("""COMPUTED_VALUE"""),4880.0)</f>
        <v>4880</v>
      </c>
      <c r="F1152" s="2">
        <f>IFERROR(__xludf.DUMMYFUNCTION("""COMPUTED_VALUE"""),5797600.0)</f>
        <v>5797600</v>
      </c>
      <c r="G1152" s="2">
        <f t="shared" si="1"/>
        <v>60</v>
      </c>
    </row>
    <row r="1153" ht="15.75" customHeight="1">
      <c r="A1153" s="1">
        <f>IFERROR(__xludf.DUMMYFUNCTION("""COMPUTED_VALUE"""),45568.66666666667)</f>
        <v>45568.66667</v>
      </c>
      <c r="B1153" s="2">
        <f>IFERROR(__xludf.DUMMYFUNCTION("""COMPUTED_VALUE"""),4880.0)</f>
        <v>4880</v>
      </c>
      <c r="C1153" s="2">
        <f>IFERROR(__xludf.DUMMYFUNCTION("""COMPUTED_VALUE"""),4930.0)</f>
        <v>4930</v>
      </c>
      <c r="D1153" s="2">
        <f>IFERROR(__xludf.DUMMYFUNCTION("""COMPUTED_VALUE"""),4840.0)</f>
        <v>4840</v>
      </c>
      <c r="E1153" s="2">
        <f>IFERROR(__xludf.DUMMYFUNCTION("""COMPUTED_VALUE"""),4900.0)</f>
        <v>4900</v>
      </c>
      <c r="F1153" s="2">
        <f>IFERROR(__xludf.DUMMYFUNCTION("""COMPUTED_VALUE"""),3838700.0)</f>
        <v>3838700</v>
      </c>
      <c r="G1153" s="2">
        <f t="shared" si="1"/>
        <v>90</v>
      </c>
    </row>
    <row r="1154" ht="15.75" customHeight="1">
      <c r="A1154" s="1">
        <f>IFERROR(__xludf.DUMMYFUNCTION("""COMPUTED_VALUE"""),45569.66666666667)</f>
        <v>45569.66667</v>
      </c>
      <c r="B1154" s="2">
        <f>IFERROR(__xludf.DUMMYFUNCTION("""COMPUTED_VALUE"""),4910.0)</f>
        <v>4910</v>
      </c>
      <c r="C1154" s="2">
        <f>IFERROR(__xludf.DUMMYFUNCTION("""COMPUTED_VALUE"""),4910.0)</f>
        <v>4910</v>
      </c>
      <c r="D1154" s="2">
        <f>IFERROR(__xludf.DUMMYFUNCTION("""COMPUTED_VALUE"""),4860.0)</f>
        <v>4860</v>
      </c>
      <c r="E1154" s="2">
        <f>IFERROR(__xludf.DUMMYFUNCTION("""COMPUTED_VALUE"""),4880.0)</f>
        <v>4880</v>
      </c>
      <c r="F1154" s="2">
        <f>IFERROR(__xludf.DUMMYFUNCTION("""COMPUTED_VALUE"""),2235700.0)</f>
        <v>2235700</v>
      </c>
      <c r="G1154" s="2">
        <f t="shared" si="1"/>
        <v>50</v>
      </c>
    </row>
    <row r="1155" ht="15.75" customHeight="1">
      <c r="A1155" s="1">
        <f>IFERROR(__xludf.DUMMYFUNCTION("""COMPUTED_VALUE"""),45572.66666666667)</f>
        <v>45572.66667</v>
      </c>
      <c r="B1155" s="2">
        <f>IFERROR(__xludf.DUMMYFUNCTION("""COMPUTED_VALUE"""),4890.0)</f>
        <v>4890</v>
      </c>
      <c r="C1155" s="2">
        <f>IFERROR(__xludf.DUMMYFUNCTION("""COMPUTED_VALUE"""),4960.0)</f>
        <v>4960</v>
      </c>
      <c r="D1155" s="2">
        <f>IFERROR(__xludf.DUMMYFUNCTION("""COMPUTED_VALUE"""),4880.0)</f>
        <v>4880</v>
      </c>
      <c r="E1155" s="2">
        <f>IFERROR(__xludf.DUMMYFUNCTION("""COMPUTED_VALUE"""),4930.0)</f>
        <v>4930</v>
      </c>
      <c r="F1155" s="2">
        <f>IFERROR(__xludf.DUMMYFUNCTION("""COMPUTED_VALUE"""),4226900.0)</f>
        <v>4226900</v>
      </c>
      <c r="G1155" s="2">
        <f t="shared" si="1"/>
        <v>80</v>
      </c>
    </row>
    <row r="1156" ht="15.75" customHeight="1">
      <c r="A1156" s="1">
        <f>IFERROR(__xludf.DUMMYFUNCTION("""COMPUTED_VALUE"""),45573.66666666667)</f>
        <v>45573.66667</v>
      </c>
      <c r="B1156" s="2">
        <f>IFERROR(__xludf.DUMMYFUNCTION("""COMPUTED_VALUE"""),4930.0)</f>
        <v>4930</v>
      </c>
      <c r="C1156" s="2">
        <f>IFERROR(__xludf.DUMMYFUNCTION("""COMPUTED_VALUE"""),4930.0)</f>
        <v>4930</v>
      </c>
      <c r="D1156" s="2">
        <f>IFERROR(__xludf.DUMMYFUNCTION("""COMPUTED_VALUE"""),4860.0)</f>
        <v>4860</v>
      </c>
      <c r="E1156" s="2">
        <f>IFERROR(__xludf.DUMMYFUNCTION("""COMPUTED_VALUE"""),4920.0)</f>
        <v>4920</v>
      </c>
      <c r="F1156" s="2">
        <f>IFERROR(__xludf.DUMMYFUNCTION("""COMPUTED_VALUE"""),4057700.0)</f>
        <v>4057700</v>
      </c>
      <c r="G1156" s="2">
        <f t="shared" si="1"/>
        <v>70</v>
      </c>
    </row>
    <row r="1157" ht="15.75" customHeight="1">
      <c r="A1157" s="1">
        <f>IFERROR(__xludf.DUMMYFUNCTION("""COMPUTED_VALUE"""),45574.66666666667)</f>
        <v>45574.66667</v>
      </c>
      <c r="B1157" s="2">
        <f>IFERROR(__xludf.DUMMYFUNCTION("""COMPUTED_VALUE"""),4900.0)</f>
        <v>4900</v>
      </c>
      <c r="C1157" s="2">
        <f>IFERROR(__xludf.DUMMYFUNCTION("""COMPUTED_VALUE"""),4930.0)</f>
        <v>4930</v>
      </c>
      <c r="D1157" s="2">
        <f>IFERROR(__xludf.DUMMYFUNCTION("""COMPUTED_VALUE"""),4890.0)</f>
        <v>4890</v>
      </c>
      <c r="E1157" s="2">
        <f>IFERROR(__xludf.DUMMYFUNCTION("""COMPUTED_VALUE"""),4890.0)</f>
        <v>4890</v>
      </c>
      <c r="F1157" s="2">
        <f>IFERROR(__xludf.DUMMYFUNCTION("""COMPUTED_VALUE"""),2721500.0)</f>
        <v>2721500</v>
      </c>
      <c r="G1157" s="2">
        <f t="shared" si="1"/>
        <v>40</v>
      </c>
    </row>
    <row r="1158" ht="15.75" customHeight="1">
      <c r="A1158" s="1">
        <f>IFERROR(__xludf.DUMMYFUNCTION("""COMPUTED_VALUE"""),45575.66666666667)</f>
        <v>45575.66667</v>
      </c>
      <c r="B1158" s="2">
        <f>IFERROR(__xludf.DUMMYFUNCTION("""COMPUTED_VALUE"""),4920.0)</f>
        <v>4920</v>
      </c>
      <c r="C1158" s="2">
        <f>IFERROR(__xludf.DUMMYFUNCTION("""COMPUTED_VALUE"""),4940.0)</f>
        <v>4940</v>
      </c>
      <c r="D1158" s="2">
        <f>IFERROR(__xludf.DUMMYFUNCTION("""COMPUTED_VALUE"""),4880.0)</f>
        <v>4880</v>
      </c>
      <c r="E1158" s="2">
        <f>IFERROR(__xludf.DUMMYFUNCTION("""COMPUTED_VALUE"""),4940.0)</f>
        <v>4940</v>
      </c>
      <c r="F1158" s="2">
        <f>IFERROR(__xludf.DUMMYFUNCTION("""COMPUTED_VALUE"""),2818300.0)</f>
        <v>2818300</v>
      </c>
      <c r="G1158" s="2">
        <f t="shared" si="1"/>
        <v>60</v>
      </c>
    </row>
    <row r="1159" ht="15.75" customHeight="1">
      <c r="A1159" s="1">
        <f>IFERROR(__xludf.DUMMYFUNCTION("""COMPUTED_VALUE"""),45576.66666666667)</f>
        <v>45576.66667</v>
      </c>
      <c r="B1159" s="2">
        <f>IFERROR(__xludf.DUMMYFUNCTION("""COMPUTED_VALUE"""),4990.0)</f>
        <v>4990</v>
      </c>
      <c r="C1159" s="2">
        <f>IFERROR(__xludf.DUMMYFUNCTION("""COMPUTED_VALUE"""),4990.0)</f>
        <v>4990</v>
      </c>
      <c r="D1159" s="2">
        <f>IFERROR(__xludf.DUMMYFUNCTION("""COMPUTED_VALUE"""),4920.0)</f>
        <v>4920</v>
      </c>
      <c r="E1159" s="2">
        <f>IFERROR(__xludf.DUMMYFUNCTION("""COMPUTED_VALUE"""),4930.0)</f>
        <v>4930</v>
      </c>
      <c r="F1159" s="2">
        <f>IFERROR(__xludf.DUMMYFUNCTION("""COMPUTED_VALUE"""),1863000.0)</f>
        <v>1863000</v>
      </c>
      <c r="G1159" s="2">
        <f t="shared" si="1"/>
        <v>70</v>
      </c>
    </row>
    <row r="1160" ht="15.75" customHeight="1">
      <c r="A1160" s="1">
        <f>IFERROR(__xludf.DUMMYFUNCTION("""COMPUTED_VALUE"""),45579.66666666667)</f>
        <v>45579.66667</v>
      </c>
      <c r="B1160" s="2">
        <f>IFERROR(__xludf.DUMMYFUNCTION("""COMPUTED_VALUE"""),4930.0)</f>
        <v>4930</v>
      </c>
      <c r="C1160" s="2">
        <f>IFERROR(__xludf.DUMMYFUNCTION("""COMPUTED_VALUE"""),4930.0)</f>
        <v>4930</v>
      </c>
      <c r="D1160" s="2">
        <f>IFERROR(__xludf.DUMMYFUNCTION("""COMPUTED_VALUE"""),4880.0)</f>
        <v>4880</v>
      </c>
      <c r="E1160" s="2">
        <f>IFERROR(__xludf.DUMMYFUNCTION("""COMPUTED_VALUE"""),4880.0)</f>
        <v>4880</v>
      </c>
      <c r="F1160" s="2">
        <f>IFERROR(__xludf.DUMMYFUNCTION("""COMPUTED_VALUE"""),1938500.0)</f>
        <v>1938500</v>
      </c>
      <c r="G1160" s="2">
        <f t="shared" si="1"/>
        <v>50</v>
      </c>
    </row>
    <row r="1161" ht="15.75" customHeight="1">
      <c r="A1161" s="1">
        <f>IFERROR(__xludf.DUMMYFUNCTION("""COMPUTED_VALUE"""),45580.66666666667)</f>
        <v>45580.66667</v>
      </c>
      <c r="B1161" s="2">
        <f>IFERROR(__xludf.DUMMYFUNCTION("""COMPUTED_VALUE"""),4880.0)</f>
        <v>4880</v>
      </c>
      <c r="C1161" s="2">
        <f>IFERROR(__xludf.DUMMYFUNCTION("""COMPUTED_VALUE"""),4920.0)</f>
        <v>4920</v>
      </c>
      <c r="D1161" s="2">
        <f>IFERROR(__xludf.DUMMYFUNCTION("""COMPUTED_VALUE"""),4870.0)</f>
        <v>4870</v>
      </c>
      <c r="E1161" s="2">
        <f>IFERROR(__xludf.DUMMYFUNCTION("""COMPUTED_VALUE"""),4870.0)</f>
        <v>4870</v>
      </c>
      <c r="F1161" s="2">
        <f>IFERROR(__xludf.DUMMYFUNCTION("""COMPUTED_VALUE"""),3646500.0)</f>
        <v>3646500</v>
      </c>
      <c r="G1161" s="2">
        <f t="shared" si="1"/>
        <v>50</v>
      </c>
    </row>
    <row r="1162" ht="15.75" customHeight="1">
      <c r="A1162" s="1">
        <f>IFERROR(__xludf.DUMMYFUNCTION("""COMPUTED_VALUE"""),45581.66666666667)</f>
        <v>45581.66667</v>
      </c>
      <c r="B1162" s="2">
        <f>IFERROR(__xludf.DUMMYFUNCTION("""COMPUTED_VALUE"""),4870.0)</f>
        <v>4870</v>
      </c>
      <c r="C1162" s="2">
        <f>IFERROR(__xludf.DUMMYFUNCTION("""COMPUTED_VALUE"""),4900.0)</f>
        <v>4900</v>
      </c>
      <c r="D1162" s="2">
        <f>IFERROR(__xludf.DUMMYFUNCTION("""COMPUTED_VALUE"""),4830.0)</f>
        <v>4830</v>
      </c>
      <c r="E1162" s="2">
        <f>IFERROR(__xludf.DUMMYFUNCTION("""COMPUTED_VALUE"""),4900.0)</f>
        <v>4900</v>
      </c>
      <c r="F1162" s="2">
        <f>IFERROR(__xludf.DUMMYFUNCTION("""COMPUTED_VALUE"""),8602700.0)</f>
        <v>8602700</v>
      </c>
      <c r="G1162" s="2">
        <f t="shared" si="1"/>
        <v>70</v>
      </c>
    </row>
    <row r="1163" ht="15.75" customHeight="1">
      <c r="A1163" s="1">
        <f>IFERROR(__xludf.DUMMYFUNCTION("""COMPUTED_VALUE"""),45582.66666666667)</f>
        <v>45582.66667</v>
      </c>
      <c r="B1163" s="2">
        <f>IFERROR(__xludf.DUMMYFUNCTION("""COMPUTED_VALUE"""),4870.0)</f>
        <v>4870</v>
      </c>
      <c r="C1163" s="2">
        <f>IFERROR(__xludf.DUMMYFUNCTION("""COMPUTED_VALUE"""),4880.0)</f>
        <v>4880</v>
      </c>
      <c r="D1163" s="2">
        <f>IFERROR(__xludf.DUMMYFUNCTION("""COMPUTED_VALUE"""),4830.0)</f>
        <v>4830</v>
      </c>
      <c r="E1163" s="2">
        <f>IFERROR(__xludf.DUMMYFUNCTION("""COMPUTED_VALUE"""),4830.0)</f>
        <v>4830</v>
      </c>
      <c r="F1163" s="2">
        <f>IFERROR(__xludf.DUMMYFUNCTION("""COMPUTED_VALUE"""),1.04372E7)</f>
        <v>10437200</v>
      </c>
      <c r="G1163" s="2">
        <f t="shared" si="1"/>
        <v>70</v>
      </c>
    </row>
    <row r="1164" ht="15.75" customHeight="1">
      <c r="A1164" s="1">
        <f>IFERROR(__xludf.DUMMYFUNCTION("""COMPUTED_VALUE"""),45583.66666666667)</f>
        <v>45583.66667</v>
      </c>
      <c r="B1164" s="2">
        <f>IFERROR(__xludf.DUMMYFUNCTION("""COMPUTED_VALUE"""),4840.0)</f>
        <v>4840</v>
      </c>
      <c r="C1164" s="2">
        <f>IFERROR(__xludf.DUMMYFUNCTION("""COMPUTED_VALUE"""),4890.0)</f>
        <v>4890</v>
      </c>
      <c r="D1164" s="2">
        <f>IFERROR(__xludf.DUMMYFUNCTION("""COMPUTED_VALUE"""),4830.0)</f>
        <v>4830</v>
      </c>
      <c r="E1164" s="2">
        <f>IFERROR(__xludf.DUMMYFUNCTION("""COMPUTED_VALUE"""),4830.0)</f>
        <v>4830</v>
      </c>
      <c r="F1164" s="2">
        <f>IFERROR(__xludf.DUMMYFUNCTION("""COMPUTED_VALUE"""),8588900.0)</f>
        <v>8588900</v>
      </c>
      <c r="G1164" s="2">
        <f t="shared" si="1"/>
        <v>60</v>
      </c>
    </row>
    <row r="1165" ht="15.75" customHeight="1">
      <c r="A1165" s="1">
        <f>IFERROR(__xludf.DUMMYFUNCTION("""COMPUTED_VALUE"""),45586.66666666667)</f>
        <v>45586.66667</v>
      </c>
      <c r="B1165" s="2">
        <f>IFERROR(__xludf.DUMMYFUNCTION("""COMPUTED_VALUE"""),4850.0)</f>
        <v>4850</v>
      </c>
      <c r="C1165" s="2">
        <f>IFERROR(__xludf.DUMMYFUNCTION("""COMPUTED_VALUE"""),4860.0)</f>
        <v>4860</v>
      </c>
      <c r="D1165" s="2">
        <f>IFERROR(__xludf.DUMMYFUNCTION("""COMPUTED_VALUE"""),4820.0)</f>
        <v>4820</v>
      </c>
      <c r="E1165" s="2">
        <f>IFERROR(__xludf.DUMMYFUNCTION("""COMPUTED_VALUE"""),4830.0)</f>
        <v>4830</v>
      </c>
      <c r="F1165" s="2">
        <f>IFERROR(__xludf.DUMMYFUNCTION("""COMPUTED_VALUE"""),4175700.0)</f>
        <v>4175700</v>
      </c>
      <c r="G1165" s="2">
        <f t="shared" si="1"/>
        <v>40</v>
      </c>
    </row>
    <row r="1166" ht="15.75" customHeight="1">
      <c r="A1166" s="1">
        <f>IFERROR(__xludf.DUMMYFUNCTION("""COMPUTED_VALUE"""),45587.66666666667)</f>
        <v>45587.66667</v>
      </c>
      <c r="B1166" s="2">
        <f>IFERROR(__xludf.DUMMYFUNCTION("""COMPUTED_VALUE"""),4840.0)</f>
        <v>4840</v>
      </c>
      <c r="C1166" s="2">
        <f>IFERROR(__xludf.DUMMYFUNCTION("""COMPUTED_VALUE"""),4840.0)</f>
        <v>4840</v>
      </c>
      <c r="D1166" s="2">
        <f>IFERROR(__xludf.DUMMYFUNCTION("""COMPUTED_VALUE"""),4790.0)</f>
        <v>4790</v>
      </c>
      <c r="E1166" s="2">
        <f>IFERROR(__xludf.DUMMYFUNCTION("""COMPUTED_VALUE"""),4840.0)</f>
        <v>4840</v>
      </c>
      <c r="F1166" s="2">
        <f>IFERROR(__xludf.DUMMYFUNCTION("""COMPUTED_VALUE"""),6432500.0)</f>
        <v>6432500</v>
      </c>
      <c r="G1166" s="2">
        <f t="shared" si="1"/>
        <v>50</v>
      </c>
    </row>
    <row r="1167" ht="15.75" customHeight="1">
      <c r="A1167" s="1">
        <f>IFERROR(__xludf.DUMMYFUNCTION("""COMPUTED_VALUE"""),45588.66666666667)</f>
        <v>45588.66667</v>
      </c>
      <c r="B1167" s="2">
        <f>IFERROR(__xludf.DUMMYFUNCTION("""COMPUTED_VALUE"""),4840.0)</f>
        <v>4840</v>
      </c>
      <c r="C1167" s="2">
        <f>IFERROR(__xludf.DUMMYFUNCTION("""COMPUTED_VALUE"""),4850.0)</f>
        <v>4850</v>
      </c>
      <c r="D1167" s="2">
        <f>IFERROR(__xludf.DUMMYFUNCTION("""COMPUTED_VALUE"""),4800.0)</f>
        <v>4800</v>
      </c>
      <c r="E1167" s="2">
        <f>IFERROR(__xludf.DUMMYFUNCTION("""COMPUTED_VALUE"""),4830.0)</f>
        <v>4830</v>
      </c>
      <c r="F1167" s="2">
        <f>IFERROR(__xludf.DUMMYFUNCTION("""COMPUTED_VALUE"""),4026600.0)</f>
        <v>4026600</v>
      </c>
      <c r="G1167" s="2">
        <f t="shared" si="1"/>
        <v>50</v>
      </c>
    </row>
    <row r="1168" ht="15.75" customHeight="1">
      <c r="A1168" s="1">
        <f>IFERROR(__xludf.DUMMYFUNCTION("""COMPUTED_VALUE"""),45589.66666666667)</f>
        <v>45589.66667</v>
      </c>
      <c r="B1168" s="2">
        <f>IFERROR(__xludf.DUMMYFUNCTION("""COMPUTED_VALUE"""),4830.0)</f>
        <v>4830</v>
      </c>
      <c r="C1168" s="2">
        <f>IFERROR(__xludf.DUMMYFUNCTION("""COMPUTED_VALUE"""),4840.0)</f>
        <v>4840</v>
      </c>
      <c r="D1168" s="2">
        <f>IFERROR(__xludf.DUMMYFUNCTION("""COMPUTED_VALUE"""),4800.0)</f>
        <v>4800</v>
      </c>
      <c r="E1168" s="2">
        <f>IFERROR(__xludf.DUMMYFUNCTION("""COMPUTED_VALUE"""),4800.0)</f>
        <v>4800</v>
      </c>
      <c r="F1168" s="2">
        <f>IFERROR(__xludf.DUMMYFUNCTION("""COMPUTED_VALUE"""),1470100.0)</f>
        <v>1470100</v>
      </c>
      <c r="G1168" s="2">
        <f t="shared" si="1"/>
        <v>40</v>
      </c>
    </row>
    <row r="1169" ht="15.75" customHeight="1">
      <c r="A1169" s="1">
        <f>IFERROR(__xludf.DUMMYFUNCTION("""COMPUTED_VALUE"""),45590.66666666667)</f>
        <v>45590.66667</v>
      </c>
      <c r="B1169" s="2">
        <f>IFERROR(__xludf.DUMMYFUNCTION("""COMPUTED_VALUE"""),4810.0)</f>
        <v>4810</v>
      </c>
      <c r="C1169" s="2">
        <f>IFERROR(__xludf.DUMMYFUNCTION("""COMPUTED_VALUE"""),4820.0)</f>
        <v>4820</v>
      </c>
      <c r="D1169" s="2">
        <f>IFERROR(__xludf.DUMMYFUNCTION("""COMPUTED_VALUE"""),4720.0)</f>
        <v>4720</v>
      </c>
      <c r="E1169" s="2">
        <f>IFERROR(__xludf.DUMMYFUNCTION("""COMPUTED_VALUE"""),4720.0)</f>
        <v>4720</v>
      </c>
      <c r="F1169" s="2">
        <f>IFERROR(__xludf.DUMMYFUNCTION("""COMPUTED_VALUE"""),6308900.0)</f>
        <v>6308900</v>
      </c>
      <c r="G1169" s="2">
        <f t="shared" si="1"/>
        <v>100</v>
      </c>
    </row>
    <row r="1170" ht="15.75" customHeight="1">
      <c r="A1170" s="1">
        <f>IFERROR(__xludf.DUMMYFUNCTION("""COMPUTED_VALUE"""),45593.66666666667)</f>
        <v>45593.66667</v>
      </c>
      <c r="B1170" s="2">
        <f>IFERROR(__xludf.DUMMYFUNCTION("""COMPUTED_VALUE"""),4720.0)</f>
        <v>4720</v>
      </c>
      <c r="C1170" s="2">
        <f>IFERROR(__xludf.DUMMYFUNCTION("""COMPUTED_VALUE"""),4720.0)</f>
        <v>4720</v>
      </c>
      <c r="D1170" s="2">
        <f>IFERROR(__xludf.DUMMYFUNCTION("""COMPUTED_VALUE"""),4640.0)</f>
        <v>4640</v>
      </c>
      <c r="E1170" s="2">
        <f>IFERROR(__xludf.DUMMYFUNCTION("""COMPUTED_VALUE"""),4680.0)</f>
        <v>4680</v>
      </c>
      <c r="F1170" s="2">
        <f>IFERROR(__xludf.DUMMYFUNCTION("""COMPUTED_VALUE"""),6016100.0)</f>
        <v>6016100</v>
      </c>
      <c r="G1170" s="2">
        <f t="shared" si="1"/>
        <v>80</v>
      </c>
    </row>
    <row r="1171" ht="15.75" customHeight="1">
      <c r="A1171" s="1">
        <f>IFERROR(__xludf.DUMMYFUNCTION("""COMPUTED_VALUE"""),45594.66666666667)</f>
        <v>45594.66667</v>
      </c>
      <c r="B1171" s="2">
        <f>IFERROR(__xludf.DUMMYFUNCTION("""COMPUTED_VALUE"""),4710.0)</f>
        <v>4710</v>
      </c>
      <c r="C1171" s="2">
        <f>IFERROR(__xludf.DUMMYFUNCTION("""COMPUTED_VALUE"""),4830.0)</f>
        <v>4830</v>
      </c>
      <c r="D1171" s="2">
        <f>IFERROR(__xludf.DUMMYFUNCTION("""COMPUTED_VALUE"""),4690.0)</f>
        <v>4690</v>
      </c>
      <c r="E1171" s="2">
        <f>IFERROR(__xludf.DUMMYFUNCTION("""COMPUTED_VALUE"""),4810.0)</f>
        <v>4810</v>
      </c>
      <c r="F1171" s="2">
        <f>IFERROR(__xludf.DUMMYFUNCTION("""COMPUTED_VALUE"""),6422100.0)</f>
        <v>6422100</v>
      </c>
      <c r="G1171" s="2">
        <f t="shared" si="1"/>
        <v>150</v>
      </c>
    </row>
    <row r="1172" ht="15.75" customHeight="1">
      <c r="A1172" s="1">
        <f>IFERROR(__xludf.DUMMYFUNCTION("""COMPUTED_VALUE"""),45595.66666666667)</f>
        <v>45595.66667</v>
      </c>
      <c r="B1172" s="2">
        <f>IFERROR(__xludf.DUMMYFUNCTION("""COMPUTED_VALUE"""),4840.0)</f>
        <v>4840</v>
      </c>
      <c r="C1172" s="2">
        <f>IFERROR(__xludf.DUMMYFUNCTION("""COMPUTED_VALUE"""),4850.0)</f>
        <v>4850</v>
      </c>
      <c r="D1172" s="2">
        <f>IFERROR(__xludf.DUMMYFUNCTION("""COMPUTED_VALUE"""),4760.0)</f>
        <v>4760</v>
      </c>
      <c r="E1172" s="2">
        <f>IFERROR(__xludf.DUMMYFUNCTION("""COMPUTED_VALUE"""),4850.0)</f>
        <v>4850</v>
      </c>
      <c r="F1172" s="2">
        <f>IFERROR(__xludf.DUMMYFUNCTION("""COMPUTED_VALUE"""),3176900.0)</f>
        <v>3176900</v>
      </c>
      <c r="G1172" s="2">
        <f t="shared" si="1"/>
        <v>90</v>
      </c>
    </row>
    <row r="1173" ht="15.75" customHeight="1">
      <c r="A1173" s="1">
        <f>IFERROR(__xludf.DUMMYFUNCTION("""COMPUTED_VALUE"""),45596.66666666667)</f>
        <v>45596.66667</v>
      </c>
      <c r="B1173" s="2">
        <f>IFERROR(__xludf.DUMMYFUNCTION("""COMPUTED_VALUE"""),4840.0)</f>
        <v>4840</v>
      </c>
      <c r="C1173" s="2">
        <f>IFERROR(__xludf.DUMMYFUNCTION("""COMPUTED_VALUE"""),4860.0)</f>
        <v>4860</v>
      </c>
      <c r="D1173" s="2">
        <f>IFERROR(__xludf.DUMMYFUNCTION("""COMPUTED_VALUE"""),4810.0)</f>
        <v>4810</v>
      </c>
      <c r="E1173" s="2">
        <f>IFERROR(__xludf.DUMMYFUNCTION("""COMPUTED_VALUE"""),4850.0)</f>
        <v>4850</v>
      </c>
      <c r="F1173" s="2">
        <f>IFERROR(__xludf.DUMMYFUNCTION("""COMPUTED_VALUE"""),8842000.0)</f>
        <v>8842000</v>
      </c>
      <c r="G1173" s="2">
        <f t="shared" si="1"/>
        <v>50</v>
      </c>
    </row>
    <row r="1174" ht="15.75" customHeight="1">
      <c r="A1174" s="1">
        <f>IFERROR(__xludf.DUMMYFUNCTION("""COMPUTED_VALUE"""),45597.66666666667)</f>
        <v>45597.66667</v>
      </c>
      <c r="B1174" s="2">
        <f>IFERROR(__xludf.DUMMYFUNCTION("""COMPUTED_VALUE"""),4850.0)</f>
        <v>4850</v>
      </c>
      <c r="C1174" s="2">
        <f>IFERROR(__xludf.DUMMYFUNCTION("""COMPUTED_VALUE"""),4870.0)</f>
        <v>4870</v>
      </c>
      <c r="D1174" s="2">
        <f>IFERROR(__xludf.DUMMYFUNCTION("""COMPUTED_VALUE"""),4770.0)</f>
        <v>4770</v>
      </c>
      <c r="E1174" s="2">
        <f>IFERROR(__xludf.DUMMYFUNCTION("""COMPUTED_VALUE"""),4780.0)</f>
        <v>4780</v>
      </c>
      <c r="F1174" s="2">
        <f>IFERROR(__xludf.DUMMYFUNCTION("""COMPUTED_VALUE"""),5541900.0)</f>
        <v>5541900</v>
      </c>
      <c r="G1174" s="2">
        <f t="shared" si="1"/>
        <v>100</v>
      </c>
    </row>
    <row r="1175" ht="15.75" customHeight="1">
      <c r="A1175" s="1">
        <f>IFERROR(__xludf.DUMMYFUNCTION("""COMPUTED_VALUE"""),45600.66666666667)</f>
        <v>45600.66667</v>
      </c>
      <c r="B1175" s="2">
        <f>IFERROR(__xludf.DUMMYFUNCTION("""COMPUTED_VALUE"""),4780.0)</f>
        <v>4780</v>
      </c>
      <c r="C1175" s="2">
        <f>IFERROR(__xludf.DUMMYFUNCTION("""COMPUTED_VALUE"""),4780.0)</f>
        <v>4780</v>
      </c>
      <c r="D1175" s="2">
        <f>IFERROR(__xludf.DUMMYFUNCTION("""COMPUTED_VALUE"""),4570.0)</f>
        <v>4570</v>
      </c>
      <c r="E1175" s="2">
        <f>IFERROR(__xludf.DUMMYFUNCTION("""COMPUTED_VALUE"""),4700.0)</f>
        <v>4700</v>
      </c>
      <c r="F1175" s="2">
        <f>IFERROR(__xludf.DUMMYFUNCTION("""COMPUTED_VALUE"""),6426800.0)</f>
        <v>6426800</v>
      </c>
      <c r="G1175" s="2">
        <f t="shared" si="1"/>
        <v>210</v>
      </c>
    </row>
    <row r="1176" ht="15.75" customHeight="1">
      <c r="A1176" s="1">
        <f>IFERROR(__xludf.DUMMYFUNCTION("""COMPUTED_VALUE"""),45601.66666666667)</f>
        <v>45601.66667</v>
      </c>
      <c r="B1176" s="2">
        <f>IFERROR(__xludf.DUMMYFUNCTION("""COMPUTED_VALUE"""),4700.0)</f>
        <v>4700</v>
      </c>
      <c r="C1176" s="2">
        <f>IFERROR(__xludf.DUMMYFUNCTION("""COMPUTED_VALUE"""),4740.0)</f>
        <v>4740</v>
      </c>
      <c r="D1176" s="2">
        <f>IFERROR(__xludf.DUMMYFUNCTION("""COMPUTED_VALUE"""),4660.0)</f>
        <v>4660</v>
      </c>
      <c r="E1176" s="2">
        <f>IFERROR(__xludf.DUMMYFUNCTION("""COMPUTED_VALUE"""),4710.0)</f>
        <v>4710</v>
      </c>
      <c r="F1176" s="2">
        <f>IFERROR(__xludf.DUMMYFUNCTION("""COMPUTED_VALUE"""),4021900.0)</f>
        <v>4021900</v>
      </c>
      <c r="G1176" s="2">
        <f t="shared" si="1"/>
        <v>80</v>
      </c>
    </row>
    <row r="1177" ht="15.75" customHeight="1">
      <c r="A1177" s="1">
        <f>IFERROR(__xludf.DUMMYFUNCTION("""COMPUTED_VALUE"""),45602.66666666667)</f>
        <v>45602.66667</v>
      </c>
      <c r="B1177" s="2">
        <f>IFERROR(__xludf.DUMMYFUNCTION("""COMPUTED_VALUE"""),4730.0)</f>
        <v>4730</v>
      </c>
      <c r="C1177" s="2">
        <f>IFERROR(__xludf.DUMMYFUNCTION("""COMPUTED_VALUE"""),4740.0)</f>
        <v>4740</v>
      </c>
      <c r="D1177" s="2">
        <f>IFERROR(__xludf.DUMMYFUNCTION("""COMPUTED_VALUE"""),4670.0)</f>
        <v>4670</v>
      </c>
      <c r="E1177" s="2">
        <f>IFERROR(__xludf.DUMMYFUNCTION("""COMPUTED_VALUE"""),4720.0)</f>
        <v>4720</v>
      </c>
      <c r="F1177" s="2">
        <f>IFERROR(__xludf.DUMMYFUNCTION("""COMPUTED_VALUE"""),4157500.0)</f>
        <v>4157500</v>
      </c>
      <c r="G1177" s="2">
        <f t="shared" si="1"/>
        <v>70</v>
      </c>
    </row>
    <row r="1178" ht="15.75" customHeight="1">
      <c r="A1178" s="1">
        <f>IFERROR(__xludf.DUMMYFUNCTION("""COMPUTED_VALUE"""),45603.66666666667)</f>
        <v>45603.66667</v>
      </c>
      <c r="B1178" s="2">
        <f>IFERROR(__xludf.DUMMYFUNCTION("""COMPUTED_VALUE"""),4720.0)</f>
        <v>4720</v>
      </c>
      <c r="C1178" s="2">
        <f>IFERROR(__xludf.DUMMYFUNCTION("""COMPUTED_VALUE"""),4770.0)</f>
        <v>4770</v>
      </c>
      <c r="D1178" s="2">
        <f>IFERROR(__xludf.DUMMYFUNCTION("""COMPUTED_VALUE"""),4620.0)</f>
        <v>4620</v>
      </c>
      <c r="E1178" s="2">
        <f>IFERROR(__xludf.DUMMYFUNCTION("""COMPUTED_VALUE"""),4760.0)</f>
        <v>4760</v>
      </c>
      <c r="F1178" s="2">
        <f>IFERROR(__xludf.DUMMYFUNCTION("""COMPUTED_VALUE"""),3757500.0)</f>
        <v>3757500</v>
      </c>
      <c r="G1178" s="2">
        <f t="shared" si="1"/>
        <v>150</v>
      </c>
    </row>
    <row r="1179" ht="15.75" customHeight="1">
      <c r="A1179" s="1">
        <f>IFERROR(__xludf.DUMMYFUNCTION("""COMPUTED_VALUE"""),45604.66666666667)</f>
        <v>45604.66667</v>
      </c>
      <c r="B1179" s="2">
        <f>IFERROR(__xludf.DUMMYFUNCTION("""COMPUTED_VALUE"""),4770.0)</f>
        <v>4770</v>
      </c>
      <c r="C1179" s="2">
        <f>IFERROR(__xludf.DUMMYFUNCTION("""COMPUTED_VALUE"""),4830.0)</f>
        <v>4830</v>
      </c>
      <c r="D1179" s="2">
        <f>IFERROR(__xludf.DUMMYFUNCTION("""COMPUTED_VALUE"""),4730.0)</f>
        <v>4730</v>
      </c>
      <c r="E1179" s="2">
        <f>IFERROR(__xludf.DUMMYFUNCTION("""COMPUTED_VALUE"""),4780.0)</f>
        <v>4780</v>
      </c>
      <c r="F1179" s="2">
        <f>IFERROR(__xludf.DUMMYFUNCTION("""COMPUTED_VALUE"""),3999500.0)</f>
        <v>3999500</v>
      </c>
      <c r="G1179" s="2">
        <f t="shared" si="1"/>
        <v>100</v>
      </c>
    </row>
    <row r="1180" ht="15.75" customHeight="1">
      <c r="A1180" s="1">
        <f>IFERROR(__xludf.DUMMYFUNCTION("""COMPUTED_VALUE"""),45607.66666666667)</f>
        <v>45607.66667</v>
      </c>
      <c r="B1180" s="2">
        <f>IFERROR(__xludf.DUMMYFUNCTION("""COMPUTED_VALUE"""),4740.0)</f>
        <v>4740</v>
      </c>
      <c r="C1180" s="2">
        <f>IFERROR(__xludf.DUMMYFUNCTION("""COMPUTED_VALUE"""),4750.0)</f>
        <v>4750</v>
      </c>
      <c r="D1180" s="2">
        <f>IFERROR(__xludf.DUMMYFUNCTION("""COMPUTED_VALUE"""),4650.0)</f>
        <v>4650</v>
      </c>
      <c r="E1180" s="2">
        <f>IFERROR(__xludf.DUMMYFUNCTION("""COMPUTED_VALUE"""),4700.0)</f>
        <v>4700</v>
      </c>
      <c r="F1180" s="2">
        <f>IFERROR(__xludf.DUMMYFUNCTION("""COMPUTED_VALUE"""),2801600.0)</f>
        <v>2801600</v>
      </c>
      <c r="G1180" s="2">
        <f t="shared" si="1"/>
        <v>130</v>
      </c>
    </row>
    <row r="1181" ht="15.75" customHeight="1">
      <c r="A1181" s="1">
        <f>IFERROR(__xludf.DUMMYFUNCTION("""COMPUTED_VALUE"""),45608.66666666667)</f>
        <v>45608.66667</v>
      </c>
      <c r="B1181" s="2">
        <f>IFERROR(__xludf.DUMMYFUNCTION("""COMPUTED_VALUE"""),4690.0)</f>
        <v>4690</v>
      </c>
      <c r="C1181" s="2">
        <f>IFERROR(__xludf.DUMMYFUNCTION("""COMPUTED_VALUE"""),4750.0)</f>
        <v>4750</v>
      </c>
      <c r="D1181" s="2">
        <f>IFERROR(__xludf.DUMMYFUNCTION("""COMPUTED_VALUE"""),4680.0)</f>
        <v>4680</v>
      </c>
      <c r="E1181" s="2">
        <f>IFERROR(__xludf.DUMMYFUNCTION("""COMPUTED_VALUE"""),4710.0)</f>
        <v>4710</v>
      </c>
      <c r="F1181" s="2">
        <f>IFERROR(__xludf.DUMMYFUNCTION("""COMPUTED_VALUE"""),2828400.0)</f>
        <v>2828400</v>
      </c>
      <c r="G1181" s="2">
        <f t="shared" si="1"/>
        <v>70</v>
      </c>
    </row>
    <row r="1182" ht="15.75" customHeight="1">
      <c r="A1182" s="1">
        <f>IFERROR(__xludf.DUMMYFUNCTION("""COMPUTED_VALUE"""),45609.66666666667)</f>
        <v>45609.66667</v>
      </c>
      <c r="B1182" s="2">
        <f>IFERROR(__xludf.DUMMYFUNCTION("""COMPUTED_VALUE"""),4690.0)</f>
        <v>4690</v>
      </c>
      <c r="C1182" s="2">
        <f>IFERROR(__xludf.DUMMYFUNCTION("""COMPUTED_VALUE"""),4700.0)</f>
        <v>4700</v>
      </c>
      <c r="D1182" s="2">
        <f>IFERROR(__xludf.DUMMYFUNCTION("""COMPUTED_VALUE"""),4560.0)</f>
        <v>4560</v>
      </c>
      <c r="E1182" s="2">
        <f>IFERROR(__xludf.DUMMYFUNCTION("""COMPUTED_VALUE"""),4580.0)</f>
        <v>4580</v>
      </c>
      <c r="F1182" s="2">
        <f>IFERROR(__xludf.DUMMYFUNCTION("""COMPUTED_VALUE"""),5460800.0)</f>
        <v>5460800</v>
      </c>
      <c r="G1182" s="2">
        <f t="shared" si="1"/>
        <v>150</v>
      </c>
    </row>
    <row r="1183" ht="15.75" customHeight="1">
      <c r="A1183" s="1">
        <f>IFERROR(__xludf.DUMMYFUNCTION("""COMPUTED_VALUE"""),45610.66666666667)</f>
        <v>45610.66667</v>
      </c>
      <c r="B1183" s="2">
        <f>IFERROR(__xludf.DUMMYFUNCTION("""COMPUTED_VALUE"""),4590.0)</f>
        <v>4590</v>
      </c>
      <c r="C1183" s="2">
        <f>IFERROR(__xludf.DUMMYFUNCTION("""COMPUTED_VALUE"""),4590.0)</f>
        <v>4590</v>
      </c>
      <c r="D1183" s="2">
        <f>IFERROR(__xludf.DUMMYFUNCTION("""COMPUTED_VALUE"""),4410.0)</f>
        <v>4410</v>
      </c>
      <c r="E1183" s="2">
        <f>IFERROR(__xludf.DUMMYFUNCTION("""COMPUTED_VALUE"""),4570.0)</f>
        <v>4570</v>
      </c>
      <c r="F1183" s="2">
        <f>IFERROR(__xludf.DUMMYFUNCTION("""COMPUTED_VALUE"""),1.02503E7)</f>
        <v>10250300</v>
      </c>
      <c r="G1183" s="2">
        <f t="shared" si="1"/>
        <v>180</v>
      </c>
    </row>
    <row r="1184" ht="15.75" customHeight="1">
      <c r="A1184" s="1">
        <f>IFERROR(__xludf.DUMMYFUNCTION("""COMPUTED_VALUE"""),45611.66666666667)</f>
        <v>45611.66667</v>
      </c>
      <c r="B1184" s="2">
        <f>IFERROR(__xludf.DUMMYFUNCTION("""COMPUTED_VALUE"""),4570.0)</f>
        <v>4570</v>
      </c>
      <c r="C1184" s="2">
        <f>IFERROR(__xludf.DUMMYFUNCTION("""COMPUTED_VALUE"""),4610.0)</f>
        <v>4610</v>
      </c>
      <c r="D1184" s="2">
        <f>IFERROR(__xludf.DUMMYFUNCTION("""COMPUTED_VALUE"""),4510.0)</f>
        <v>4510</v>
      </c>
      <c r="E1184" s="2">
        <f>IFERROR(__xludf.DUMMYFUNCTION("""COMPUTED_VALUE"""),4560.0)</f>
        <v>4560</v>
      </c>
      <c r="F1184" s="2">
        <f>IFERROR(__xludf.DUMMYFUNCTION("""COMPUTED_VALUE"""),2683800.0)</f>
        <v>2683800</v>
      </c>
      <c r="G1184" s="2">
        <f t="shared" si="1"/>
        <v>100</v>
      </c>
    </row>
    <row r="1185" ht="15.75" customHeight="1">
      <c r="A1185" s="1">
        <f>IFERROR(__xludf.DUMMYFUNCTION("""COMPUTED_VALUE"""),45614.66666666667)</f>
        <v>45614.66667</v>
      </c>
      <c r="B1185" s="2">
        <f>IFERROR(__xludf.DUMMYFUNCTION("""COMPUTED_VALUE"""),4560.0)</f>
        <v>4560</v>
      </c>
      <c r="C1185" s="2">
        <f>IFERROR(__xludf.DUMMYFUNCTION("""COMPUTED_VALUE"""),4600.0)</f>
        <v>4600</v>
      </c>
      <c r="D1185" s="2">
        <f>IFERROR(__xludf.DUMMYFUNCTION("""COMPUTED_VALUE"""),4520.0)</f>
        <v>4520</v>
      </c>
      <c r="E1185" s="2">
        <f>IFERROR(__xludf.DUMMYFUNCTION("""COMPUTED_VALUE"""),4540.0)</f>
        <v>4540</v>
      </c>
      <c r="F1185" s="2">
        <f>IFERROR(__xludf.DUMMYFUNCTION("""COMPUTED_VALUE"""),1117400.0)</f>
        <v>1117400</v>
      </c>
      <c r="G1185" s="2">
        <f t="shared" si="1"/>
        <v>80</v>
      </c>
    </row>
    <row r="1186" ht="15.75" customHeight="1">
      <c r="A1186" s="1">
        <f>IFERROR(__xludf.DUMMYFUNCTION("""COMPUTED_VALUE"""),45615.66666666667)</f>
        <v>45615.66667</v>
      </c>
      <c r="B1186" s="2">
        <f>IFERROR(__xludf.DUMMYFUNCTION("""COMPUTED_VALUE"""),4510.0)</f>
        <v>4510</v>
      </c>
      <c r="C1186" s="2">
        <f>IFERROR(__xludf.DUMMYFUNCTION("""COMPUTED_VALUE"""),4560.0)</f>
        <v>4560</v>
      </c>
      <c r="D1186" s="2">
        <f>IFERROR(__xludf.DUMMYFUNCTION("""COMPUTED_VALUE"""),4490.0)</f>
        <v>4490</v>
      </c>
      <c r="E1186" s="2">
        <f>IFERROR(__xludf.DUMMYFUNCTION("""COMPUTED_VALUE"""),4520.0)</f>
        <v>4520</v>
      </c>
      <c r="F1186" s="2">
        <f>IFERROR(__xludf.DUMMYFUNCTION("""COMPUTED_VALUE"""),5271200.0)</f>
        <v>5271200</v>
      </c>
      <c r="G1186" s="2">
        <f t="shared" si="1"/>
        <v>70</v>
      </c>
    </row>
    <row r="1187" ht="15.75" customHeight="1">
      <c r="A1187" s="1">
        <f>IFERROR(__xludf.DUMMYFUNCTION("""COMPUTED_VALUE"""),45616.66666666667)</f>
        <v>45616.66667</v>
      </c>
      <c r="B1187" s="2">
        <f>IFERROR(__xludf.DUMMYFUNCTION("""COMPUTED_VALUE"""),4560.0)</f>
        <v>4560</v>
      </c>
      <c r="C1187" s="2">
        <f>IFERROR(__xludf.DUMMYFUNCTION("""COMPUTED_VALUE"""),4580.0)</f>
        <v>4580</v>
      </c>
      <c r="D1187" s="2">
        <f>IFERROR(__xludf.DUMMYFUNCTION("""COMPUTED_VALUE"""),4530.0)</f>
        <v>4530</v>
      </c>
      <c r="E1187" s="2">
        <f>IFERROR(__xludf.DUMMYFUNCTION("""COMPUTED_VALUE"""),4560.0)</f>
        <v>4560</v>
      </c>
      <c r="F1187" s="2">
        <f>IFERROR(__xludf.DUMMYFUNCTION("""COMPUTED_VALUE"""),1238400.0)</f>
        <v>1238400</v>
      </c>
      <c r="G1187" s="2">
        <f t="shared" si="1"/>
        <v>60</v>
      </c>
    </row>
    <row r="1188" ht="15.75" customHeight="1">
      <c r="A1188" s="1">
        <f>IFERROR(__xludf.DUMMYFUNCTION("""COMPUTED_VALUE"""),45617.66666666667)</f>
        <v>45617.66667</v>
      </c>
      <c r="B1188" s="2">
        <f>IFERROR(__xludf.DUMMYFUNCTION("""COMPUTED_VALUE"""),4560.0)</f>
        <v>4560</v>
      </c>
      <c r="C1188" s="2">
        <f>IFERROR(__xludf.DUMMYFUNCTION("""COMPUTED_VALUE"""),4630.0)</f>
        <v>4630</v>
      </c>
      <c r="D1188" s="2">
        <f>IFERROR(__xludf.DUMMYFUNCTION("""COMPUTED_VALUE"""),4520.0)</f>
        <v>4520</v>
      </c>
      <c r="E1188" s="2">
        <f>IFERROR(__xludf.DUMMYFUNCTION("""COMPUTED_VALUE"""),4580.0)</f>
        <v>4580</v>
      </c>
      <c r="F1188" s="2">
        <f>IFERROR(__xludf.DUMMYFUNCTION("""COMPUTED_VALUE"""),6386200.0)</f>
        <v>6386200</v>
      </c>
      <c r="G1188" s="2">
        <f t="shared" si="1"/>
        <v>110</v>
      </c>
    </row>
    <row r="1189" ht="15.75" customHeight="1">
      <c r="A1189" s="1">
        <f>IFERROR(__xludf.DUMMYFUNCTION("""COMPUTED_VALUE"""),45618.66666666667)</f>
        <v>45618.66667</v>
      </c>
      <c r="B1189" s="2">
        <f>IFERROR(__xludf.DUMMYFUNCTION("""COMPUTED_VALUE"""),4580.0)</f>
        <v>4580</v>
      </c>
      <c r="C1189" s="2">
        <f>IFERROR(__xludf.DUMMYFUNCTION("""COMPUTED_VALUE"""),4620.0)</f>
        <v>4620</v>
      </c>
      <c r="D1189" s="2">
        <f>IFERROR(__xludf.DUMMYFUNCTION("""COMPUTED_VALUE"""),4560.0)</f>
        <v>4560</v>
      </c>
      <c r="E1189" s="2">
        <f>IFERROR(__xludf.DUMMYFUNCTION("""COMPUTED_VALUE"""),4600.0)</f>
        <v>4600</v>
      </c>
      <c r="F1189" s="2">
        <f>IFERROR(__xludf.DUMMYFUNCTION("""COMPUTED_VALUE"""),3486500.0)</f>
        <v>3486500</v>
      </c>
      <c r="G1189" s="2">
        <f t="shared" si="1"/>
        <v>60</v>
      </c>
    </row>
    <row r="1190" ht="15.75" customHeight="1">
      <c r="A1190" s="1">
        <f>IFERROR(__xludf.DUMMYFUNCTION("""COMPUTED_VALUE"""),45621.66666666667)</f>
        <v>45621.66667</v>
      </c>
      <c r="B1190" s="2">
        <f>IFERROR(__xludf.DUMMYFUNCTION("""COMPUTED_VALUE"""),4590.0)</f>
        <v>4590</v>
      </c>
      <c r="C1190" s="2">
        <f>IFERROR(__xludf.DUMMYFUNCTION("""COMPUTED_VALUE"""),4630.0)</f>
        <v>4630</v>
      </c>
      <c r="D1190" s="2">
        <f>IFERROR(__xludf.DUMMYFUNCTION("""COMPUTED_VALUE"""),4560.0)</f>
        <v>4560</v>
      </c>
      <c r="E1190" s="2">
        <f>IFERROR(__xludf.DUMMYFUNCTION("""COMPUTED_VALUE"""),4600.0)</f>
        <v>4600</v>
      </c>
      <c r="F1190" s="2">
        <f>IFERROR(__xludf.DUMMYFUNCTION("""COMPUTED_VALUE"""),6221600.0)</f>
        <v>6221600</v>
      </c>
      <c r="G1190" s="2">
        <f t="shared" si="1"/>
        <v>70</v>
      </c>
    </row>
    <row r="1191" ht="15.75" customHeight="1">
      <c r="A1191" s="1">
        <f>IFERROR(__xludf.DUMMYFUNCTION("""COMPUTED_VALUE"""),45622.66666666667)</f>
        <v>45622.66667</v>
      </c>
      <c r="B1191" s="2">
        <f>IFERROR(__xludf.DUMMYFUNCTION("""COMPUTED_VALUE"""),4610.0)</f>
        <v>4610</v>
      </c>
      <c r="C1191" s="2">
        <f>IFERROR(__xludf.DUMMYFUNCTION("""COMPUTED_VALUE"""),4700.0)</f>
        <v>4700</v>
      </c>
      <c r="D1191" s="2">
        <f>IFERROR(__xludf.DUMMYFUNCTION("""COMPUTED_VALUE"""),4580.0)</f>
        <v>4580</v>
      </c>
      <c r="E1191" s="2">
        <f>IFERROR(__xludf.DUMMYFUNCTION("""COMPUTED_VALUE"""),4700.0)</f>
        <v>4700</v>
      </c>
      <c r="F1191" s="2">
        <f>IFERROR(__xludf.DUMMYFUNCTION("""COMPUTED_VALUE"""),2354600.0)</f>
        <v>2354600</v>
      </c>
      <c r="G1191" s="2">
        <f t="shared" si="1"/>
        <v>120</v>
      </c>
    </row>
    <row r="1192" ht="15.75" customHeight="1">
      <c r="A1192" s="1">
        <f>IFERROR(__xludf.DUMMYFUNCTION("""COMPUTED_VALUE"""),45624.66666666667)</f>
        <v>45624.66667</v>
      </c>
      <c r="B1192" s="2">
        <f>IFERROR(__xludf.DUMMYFUNCTION("""COMPUTED_VALUE"""),4680.0)</f>
        <v>4680</v>
      </c>
      <c r="C1192" s="2">
        <f>IFERROR(__xludf.DUMMYFUNCTION("""COMPUTED_VALUE"""),4690.0)</f>
        <v>4690</v>
      </c>
      <c r="D1192" s="2">
        <f>IFERROR(__xludf.DUMMYFUNCTION("""COMPUTED_VALUE"""),4570.0)</f>
        <v>4570</v>
      </c>
      <c r="E1192" s="2">
        <f>IFERROR(__xludf.DUMMYFUNCTION("""COMPUTED_VALUE"""),4600.0)</f>
        <v>4600</v>
      </c>
      <c r="F1192" s="2">
        <f>IFERROR(__xludf.DUMMYFUNCTION("""COMPUTED_VALUE"""),3572800.0)</f>
        <v>3572800</v>
      </c>
      <c r="G1192" s="2">
        <f t="shared" si="1"/>
        <v>130</v>
      </c>
    </row>
    <row r="1193" ht="15.75" customHeight="1">
      <c r="A1193" s="1">
        <f>IFERROR(__xludf.DUMMYFUNCTION("""COMPUTED_VALUE"""),45625.66666666667)</f>
        <v>45625.66667</v>
      </c>
      <c r="B1193" s="2">
        <f>IFERROR(__xludf.DUMMYFUNCTION("""COMPUTED_VALUE"""),4610.0)</f>
        <v>4610</v>
      </c>
      <c r="C1193" s="2">
        <f>IFERROR(__xludf.DUMMYFUNCTION("""COMPUTED_VALUE"""),4610.0)</f>
        <v>4610</v>
      </c>
      <c r="D1193" s="2">
        <f>IFERROR(__xludf.DUMMYFUNCTION("""COMPUTED_VALUE"""),4450.0)</f>
        <v>4450</v>
      </c>
      <c r="E1193" s="2">
        <f>IFERROR(__xludf.DUMMYFUNCTION("""COMPUTED_VALUE"""),4450.0)</f>
        <v>4450</v>
      </c>
      <c r="F1193" s="2">
        <f>IFERROR(__xludf.DUMMYFUNCTION("""COMPUTED_VALUE"""),3716000.0)</f>
        <v>3716000</v>
      </c>
      <c r="G1193" s="2">
        <f t="shared" si="1"/>
        <v>160</v>
      </c>
    </row>
    <row r="1194" ht="15.75" customHeight="1">
      <c r="A1194" s="1">
        <f>IFERROR(__xludf.DUMMYFUNCTION("""COMPUTED_VALUE"""),45628.66666666667)</f>
        <v>45628.66667</v>
      </c>
      <c r="B1194" s="2">
        <f>IFERROR(__xludf.DUMMYFUNCTION("""COMPUTED_VALUE"""),4430.0)</f>
        <v>4430</v>
      </c>
      <c r="C1194" s="2">
        <f>IFERROR(__xludf.DUMMYFUNCTION("""COMPUTED_VALUE"""),4530.0)</f>
        <v>4530</v>
      </c>
      <c r="D1194" s="2">
        <f>IFERROR(__xludf.DUMMYFUNCTION("""COMPUTED_VALUE"""),4360.0)</f>
        <v>4360</v>
      </c>
      <c r="E1194" s="2">
        <f>IFERROR(__xludf.DUMMYFUNCTION("""COMPUTED_VALUE"""),4420.0)</f>
        <v>4420</v>
      </c>
      <c r="F1194" s="2">
        <f>IFERROR(__xludf.DUMMYFUNCTION("""COMPUTED_VALUE"""),4840400.0)</f>
        <v>4840400</v>
      </c>
      <c r="G1194" s="2">
        <f t="shared" si="1"/>
        <v>170</v>
      </c>
    </row>
    <row r="1195" ht="15.75" customHeight="1">
      <c r="A1195" s="1">
        <f>IFERROR(__xludf.DUMMYFUNCTION("""COMPUTED_VALUE"""),45629.66666666667)</f>
        <v>45629.66667</v>
      </c>
      <c r="B1195" s="2">
        <f>IFERROR(__xludf.DUMMYFUNCTION("""COMPUTED_VALUE"""),4420.0)</f>
        <v>4420</v>
      </c>
      <c r="C1195" s="2">
        <f>IFERROR(__xludf.DUMMYFUNCTION("""COMPUTED_VALUE"""),4470.0)</f>
        <v>4470</v>
      </c>
      <c r="D1195" s="2">
        <f>IFERROR(__xludf.DUMMYFUNCTION("""COMPUTED_VALUE"""),4380.0)</f>
        <v>4380</v>
      </c>
      <c r="E1195" s="2">
        <f>IFERROR(__xludf.DUMMYFUNCTION("""COMPUTED_VALUE"""),4460.0)</f>
        <v>4460</v>
      </c>
      <c r="F1195" s="2">
        <f>IFERROR(__xludf.DUMMYFUNCTION("""COMPUTED_VALUE"""),2645000.0)</f>
        <v>2645000</v>
      </c>
      <c r="G1195" s="2">
        <f t="shared" si="1"/>
        <v>90</v>
      </c>
    </row>
    <row r="1196" ht="15.75" customHeight="1">
      <c r="A1196" s="1">
        <f>IFERROR(__xludf.DUMMYFUNCTION("""COMPUTED_VALUE"""),45630.66666666667)</f>
        <v>45630.66667</v>
      </c>
      <c r="B1196" s="2">
        <f>IFERROR(__xludf.DUMMYFUNCTION("""COMPUTED_VALUE"""),4460.0)</f>
        <v>4460</v>
      </c>
      <c r="C1196" s="2">
        <f>IFERROR(__xludf.DUMMYFUNCTION("""COMPUTED_VALUE"""),4580.0)</f>
        <v>4580</v>
      </c>
      <c r="D1196" s="2">
        <f>IFERROR(__xludf.DUMMYFUNCTION("""COMPUTED_VALUE"""),4430.0)</f>
        <v>4430</v>
      </c>
      <c r="E1196" s="2">
        <f>IFERROR(__xludf.DUMMYFUNCTION("""COMPUTED_VALUE"""),4580.0)</f>
        <v>4580</v>
      </c>
      <c r="F1196" s="2">
        <f>IFERROR(__xludf.DUMMYFUNCTION("""COMPUTED_VALUE"""),2184100.0)</f>
        <v>2184100</v>
      </c>
      <c r="G1196" s="2">
        <f t="shared" si="1"/>
        <v>150</v>
      </c>
    </row>
    <row r="1197" ht="15.75" customHeight="1">
      <c r="A1197" s="1">
        <f>IFERROR(__xludf.DUMMYFUNCTION("""COMPUTED_VALUE"""),45631.66666666667)</f>
        <v>45631.66667</v>
      </c>
      <c r="B1197" s="2">
        <f>IFERROR(__xludf.DUMMYFUNCTION("""COMPUTED_VALUE"""),4560.0)</f>
        <v>4560</v>
      </c>
      <c r="C1197" s="2">
        <f>IFERROR(__xludf.DUMMYFUNCTION("""COMPUTED_VALUE"""),4580.0)</f>
        <v>4580</v>
      </c>
      <c r="D1197" s="2">
        <f>IFERROR(__xludf.DUMMYFUNCTION("""COMPUTED_VALUE"""),4550.0)</f>
        <v>4550</v>
      </c>
      <c r="E1197" s="2">
        <f>IFERROR(__xludf.DUMMYFUNCTION("""COMPUTED_VALUE"""),4570.0)</f>
        <v>4570</v>
      </c>
      <c r="F1197" s="2">
        <f>IFERROR(__xludf.DUMMYFUNCTION("""COMPUTED_VALUE"""),841600.0)</f>
        <v>841600</v>
      </c>
      <c r="G1197" s="2">
        <f t="shared" si="1"/>
        <v>30</v>
      </c>
    </row>
    <row r="1198" ht="15.75" customHeight="1">
      <c r="A1198" s="1">
        <f>IFERROR(__xludf.DUMMYFUNCTION("""COMPUTED_VALUE"""),45632.66666666667)</f>
        <v>45632.66667</v>
      </c>
      <c r="B1198" s="2">
        <f>IFERROR(__xludf.DUMMYFUNCTION("""COMPUTED_VALUE"""),4570.0)</f>
        <v>4570</v>
      </c>
      <c r="C1198" s="2">
        <f>IFERROR(__xludf.DUMMYFUNCTION("""COMPUTED_VALUE"""),4630.0)</f>
        <v>4630</v>
      </c>
      <c r="D1198" s="2">
        <f>IFERROR(__xludf.DUMMYFUNCTION("""COMPUTED_VALUE"""),4520.0)</f>
        <v>4520</v>
      </c>
      <c r="E1198" s="2">
        <f>IFERROR(__xludf.DUMMYFUNCTION("""COMPUTED_VALUE"""),4580.0)</f>
        <v>4580</v>
      </c>
      <c r="F1198" s="2">
        <f>IFERROR(__xludf.DUMMYFUNCTION("""COMPUTED_VALUE"""),2215700.0)</f>
        <v>2215700</v>
      </c>
      <c r="G1198" s="2">
        <f t="shared" si="1"/>
        <v>110</v>
      </c>
    </row>
    <row r="1199" ht="15.75" customHeight="1">
      <c r="A1199" s="1">
        <f>IFERROR(__xludf.DUMMYFUNCTION("""COMPUTED_VALUE"""),45635.66666666667)</f>
        <v>45635.66667</v>
      </c>
      <c r="B1199" s="2">
        <f>IFERROR(__xludf.DUMMYFUNCTION("""COMPUTED_VALUE"""),4580.0)</f>
        <v>4580</v>
      </c>
      <c r="C1199" s="2">
        <f>IFERROR(__xludf.DUMMYFUNCTION("""COMPUTED_VALUE"""),4590.0)</f>
        <v>4590</v>
      </c>
      <c r="D1199" s="2">
        <f>IFERROR(__xludf.DUMMYFUNCTION("""COMPUTED_VALUE"""),4520.0)</f>
        <v>4520</v>
      </c>
      <c r="E1199" s="2">
        <f>IFERROR(__xludf.DUMMYFUNCTION("""COMPUTED_VALUE"""),4520.0)</f>
        <v>4520</v>
      </c>
      <c r="F1199" s="2">
        <f>IFERROR(__xludf.DUMMYFUNCTION("""COMPUTED_VALUE"""),3550700.0)</f>
        <v>3550700</v>
      </c>
      <c r="G1199" s="2">
        <f t="shared" si="1"/>
        <v>70</v>
      </c>
    </row>
    <row r="1200" ht="15.75" customHeight="1">
      <c r="A1200" s="1">
        <f>IFERROR(__xludf.DUMMYFUNCTION("""COMPUTED_VALUE"""),45636.66666666667)</f>
        <v>45636.66667</v>
      </c>
      <c r="B1200" s="2">
        <f>IFERROR(__xludf.DUMMYFUNCTION("""COMPUTED_VALUE"""),4550.0)</f>
        <v>4550</v>
      </c>
      <c r="C1200" s="2">
        <f>IFERROR(__xludf.DUMMYFUNCTION("""COMPUTED_VALUE"""),4570.0)</f>
        <v>4570</v>
      </c>
      <c r="D1200" s="2">
        <f>IFERROR(__xludf.DUMMYFUNCTION("""COMPUTED_VALUE"""),4440.0)</f>
        <v>4440</v>
      </c>
      <c r="E1200" s="2">
        <f>IFERROR(__xludf.DUMMYFUNCTION("""COMPUTED_VALUE"""),4450.0)</f>
        <v>4450</v>
      </c>
      <c r="F1200" s="2">
        <f>IFERROR(__xludf.DUMMYFUNCTION("""COMPUTED_VALUE"""),4633200.0)</f>
        <v>4633200</v>
      </c>
      <c r="G1200" s="2">
        <f t="shared" si="1"/>
        <v>130</v>
      </c>
    </row>
    <row r="1201" ht="15.75" customHeight="1">
      <c r="A1201" s="1">
        <f>IFERROR(__xludf.DUMMYFUNCTION("""COMPUTED_VALUE"""),45637.66666666667)</f>
        <v>45637.66667</v>
      </c>
      <c r="B1201" s="2">
        <f>IFERROR(__xludf.DUMMYFUNCTION("""COMPUTED_VALUE"""),4500.0)</f>
        <v>4500</v>
      </c>
      <c r="C1201" s="2">
        <f>IFERROR(__xludf.DUMMYFUNCTION("""COMPUTED_VALUE"""),4570.0)</f>
        <v>4570</v>
      </c>
      <c r="D1201" s="2">
        <f>IFERROR(__xludf.DUMMYFUNCTION("""COMPUTED_VALUE"""),4500.0)</f>
        <v>4500</v>
      </c>
      <c r="E1201" s="2">
        <f>IFERROR(__xludf.DUMMYFUNCTION("""COMPUTED_VALUE"""),4540.0)</f>
        <v>4540</v>
      </c>
      <c r="F1201" s="2">
        <f>IFERROR(__xludf.DUMMYFUNCTION("""COMPUTED_VALUE"""),2597000.0)</f>
        <v>2597000</v>
      </c>
      <c r="G1201" s="2">
        <f t="shared" si="1"/>
        <v>120</v>
      </c>
    </row>
    <row r="1202" ht="15.75" customHeight="1">
      <c r="A1202" s="1">
        <f>IFERROR(__xludf.DUMMYFUNCTION("""COMPUTED_VALUE"""),45638.66666666667)</f>
        <v>45638.66667</v>
      </c>
      <c r="B1202" s="2">
        <f>IFERROR(__xludf.DUMMYFUNCTION("""COMPUTED_VALUE"""),4570.0)</f>
        <v>4570</v>
      </c>
      <c r="C1202" s="2">
        <f>IFERROR(__xludf.DUMMYFUNCTION("""COMPUTED_VALUE"""),4570.0)</f>
        <v>4570</v>
      </c>
      <c r="D1202" s="2">
        <f>IFERROR(__xludf.DUMMYFUNCTION("""COMPUTED_VALUE"""),4470.0)</f>
        <v>4470</v>
      </c>
      <c r="E1202" s="2">
        <f>IFERROR(__xludf.DUMMYFUNCTION("""COMPUTED_VALUE"""),4500.0)</f>
        <v>4500</v>
      </c>
      <c r="F1202" s="2">
        <f>IFERROR(__xludf.DUMMYFUNCTION("""COMPUTED_VALUE"""),1101500.0)</f>
        <v>1101500</v>
      </c>
      <c r="G1202" s="2">
        <f t="shared" si="1"/>
        <v>100</v>
      </c>
    </row>
    <row r="1203" ht="15.75" customHeight="1">
      <c r="A1203" s="1">
        <f>IFERROR(__xludf.DUMMYFUNCTION("""COMPUTED_VALUE"""),45639.66666666667)</f>
        <v>45639.66667</v>
      </c>
      <c r="B1203" s="2">
        <f>IFERROR(__xludf.DUMMYFUNCTION("""COMPUTED_VALUE"""),4510.0)</f>
        <v>4510</v>
      </c>
      <c r="C1203" s="2">
        <f>IFERROR(__xludf.DUMMYFUNCTION("""COMPUTED_VALUE"""),4510.0)</f>
        <v>4510</v>
      </c>
      <c r="D1203" s="2">
        <f>IFERROR(__xludf.DUMMYFUNCTION("""COMPUTED_VALUE"""),4410.0)</f>
        <v>4410</v>
      </c>
      <c r="E1203" s="2">
        <f>IFERROR(__xludf.DUMMYFUNCTION("""COMPUTED_VALUE"""),4460.0)</f>
        <v>4460</v>
      </c>
      <c r="F1203" s="2">
        <f>IFERROR(__xludf.DUMMYFUNCTION("""COMPUTED_VALUE"""),3170000.0)</f>
        <v>3170000</v>
      </c>
      <c r="G1203" s="2">
        <f t="shared" si="1"/>
        <v>100</v>
      </c>
    </row>
    <row r="1204" ht="15.75" customHeight="1">
      <c r="A1204" s="1">
        <f>IFERROR(__xludf.DUMMYFUNCTION("""COMPUTED_VALUE"""),45642.66666666667)</f>
        <v>45642.66667</v>
      </c>
      <c r="B1204" s="2">
        <f>IFERROR(__xludf.DUMMYFUNCTION("""COMPUTED_VALUE"""),4490.0)</f>
        <v>4490</v>
      </c>
      <c r="C1204" s="2">
        <f>IFERROR(__xludf.DUMMYFUNCTION("""COMPUTED_VALUE"""),4490.0)</f>
        <v>4490</v>
      </c>
      <c r="D1204" s="2">
        <f>IFERROR(__xludf.DUMMYFUNCTION("""COMPUTED_VALUE"""),4350.0)</f>
        <v>4350</v>
      </c>
      <c r="E1204" s="2">
        <f>IFERROR(__xludf.DUMMYFUNCTION("""COMPUTED_VALUE"""),4370.0)</f>
        <v>4370</v>
      </c>
      <c r="F1204" s="2">
        <f>IFERROR(__xludf.DUMMYFUNCTION("""COMPUTED_VALUE"""),2778000.0)</f>
        <v>2778000</v>
      </c>
      <c r="G1204" s="2">
        <f t="shared" si="1"/>
        <v>140</v>
      </c>
    </row>
    <row r="1205" ht="15.75" customHeight="1">
      <c r="A1205" s="1">
        <f>IFERROR(__xludf.DUMMYFUNCTION("""COMPUTED_VALUE"""),45643.66666666667)</f>
        <v>45643.66667</v>
      </c>
      <c r="B1205" s="2">
        <f>IFERROR(__xludf.DUMMYFUNCTION("""COMPUTED_VALUE"""),4350.0)</f>
        <v>4350</v>
      </c>
      <c r="C1205" s="2">
        <f>IFERROR(__xludf.DUMMYFUNCTION("""COMPUTED_VALUE"""),4360.0)</f>
        <v>4360</v>
      </c>
      <c r="D1205" s="2">
        <f>IFERROR(__xludf.DUMMYFUNCTION("""COMPUTED_VALUE"""),4290.0)</f>
        <v>4290</v>
      </c>
      <c r="E1205" s="2">
        <f>IFERROR(__xludf.DUMMYFUNCTION("""COMPUTED_VALUE"""),4300.0)</f>
        <v>4300</v>
      </c>
      <c r="F1205" s="2">
        <f>IFERROR(__xludf.DUMMYFUNCTION("""COMPUTED_VALUE"""),3513300.0)</f>
        <v>3513300</v>
      </c>
      <c r="G1205" s="2">
        <f t="shared" si="1"/>
        <v>80</v>
      </c>
    </row>
    <row r="1206" ht="15.75" customHeight="1">
      <c r="A1206" s="1">
        <f>IFERROR(__xludf.DUMMYFUNCTION("""COMPUTED_VALUE"""),45644.66666666667)</f>
        <v>45644.66667</v>
      </c>
      <c r="B1206" s="2">
        <f>IFERROR(__xludf.DUMMYFUNCTION("""COMPUTED_VALUE"""),4300.0)</f>
        <v>4300</v>
      </c>
      <c r="C1206" s="2">
        <f>IFERROR(__xludf.DUMMYFUNCTION("""COMPUTED_VALUE"""),4320.0)</f>
        <v>4320</v>
      </c>
      <c r="D1206" s="2">
        <f>IFERROR(__xludf.DUMMYFUNCTION("""COMPUTED_VALUE"""),4130.0)</f>
        <v>4130</v>
      </c>
      <c r="E1206" s="2">
        <f>IFERROR(__xludf.DUMMYFUNCTION("""COMPUTED_VALUE"""),4180.0)</f>
        <v>4180</v>
      </c>
      <c r="F1206" s="2">
        <f>IFERROR(__xludf.DUMMYFUNCTION("""COMPUTED_VALUE"""),4527700.0)</f>
        <v>4527700</v>
      </c>
      <c r="G1206" s="2">
        <f t="shared" si="1"/>
        <v>190</v>
      </c>
    </row>
    <row r="1207" ht="15.75" customHeight="1">
      <c r="A1207" s="1">
        <f>IFERROR(__xludf.DUMMYFUNCTION("""COMPUTED_VALUE"""),45645.66666666667)</f>
        <v>45645.66667</v>
      </c>
      <c r="B1207" s="2">
        <f>IFERROR(__xludf.DUMMYFUNCTION("""COMPUTED_VALUE"""),4150.0)</f>
        <v>4150</v>
      </c>
      <c r="C1207" s="2">
        <f>IFERROR(__xludf.DUMMYFUNCTION("""COMPUTED_VALUE"""),4200.0)</f>
        <v>4200</v>
      </c>
      <c r="D1207" s="2">
        <f>IFERROR(__xludf.DUMMYFUNCTION("""COMPUTED_VALUE"""),3980.0)</f>
        <v>3980</v>
      </c>
      <c r="E1207" s="2">
        <f>IFERROR(__xludf.DUMMYFUNCTION("""COMPUTED_VALUE"""),4030.0)</f>
        <v>4030</v>
      </c>
      <c r="F1207" s="2">
        <f>IFERROR(__xludf.DUMMYFUNCTION("""COMPUTED_VALUE"""),8633400.0)</f>
        <v>8633400</v>
      </c>
      <c r="G1207" s="2">
        <f t="shared" si="1"/>
        <v>220</v>
      </c>
    </row>
    <row r="1208" ht="15.75" customHeight="1">
      <c r="A1208" s="1">
        <f>IFERROR(__xludf.DUMMYFUNCTION("""COMPUTED_VALUE"""),45646.66666666667)</f>
        <v>45646.66667</v>
      </c>
      <c r="B1208" s="2">
        <f>IFERROR(__xludf.DUMMYFUNCTION("""COMPUTED_VALUE"""),4030.0)</f>
        <v>4030</v>
      </c>
      <c r="C1208" s="2">
        <f>IFERROR(__xludf.DUMMYFUNCTION("""COMPUTED_VALUE"""),4130.0)</f>
        <v>4130</v>
      </c>
      <c r="D1208" s="2">
        <f>IFERROR(__xludf.DUMMYFUNCTION("""COMPUTED_VALUE"""),3940.0)</f>
        <v>3940</v>
      </c>
      <c r="E1208" s="2">
        <f>IFERROR(__xludf.DUMMYFUNCTION("""COMPUTED_VALUE"""),4090.0)</f>
        <v>4090</v>
      </c>
      <c r="F1208" s="2">
        <f>IFERROR(__xludf.DUMMYFUNCTION("""COMPUTED_VALUE"""),4292200.0)</f>
        <v>4292200</v>
      </c>
      <c r="G1208" s="2">
        <f t="shared" si="1"/>
        <v>190</v>
      </c>
    </row>
    <row r="1209" ht="15.75" customHeight="1">
      <c r="A1209" s="1">
        <f>IFERROR(__xludf.DUMMYFUNCTION("""COMPUTED_VALUE"""),45649.66666666667)</f>
        <v>45649.66667</v>
      </c>
      <c r="B1209" s="2">
        <f>IFERROR(__xludf.DUMMYFUNCTION("""COMPUTED_VALUE"""),4100.0)</f>
        <v>4100</v>
      </c>
      <c r="C1209" s="2">
        <f>IFERROR(__xludf.DUMMYFUNCTION("""COMPUTED_VALUE"""),4410.0)</f>
        <v>4410</v>
      </c>
      <c r="D1209" s="2">
        <f>IFERROR(__xludf.DUMMYFUNCTION("""COMPUTED_VALUE"""),4100.0)</f>
        <v>4100</v>
      </c>
      <c r="E1209" s="2">
        <f>IFERROR(__xludf.DUMMYFUNCTION("""COMPUTED_VALUE"""),4350.0)</f>
        <v>4350</v>
      </c>
      <c r="F1209" s="2">
        <f>IFERROR(__xludf.DUMMYFUNCTION("""COMPUTED_VALUE"""),5979300.0)</f>
        <v>5979300</v>
      </c>
      <c r="G1209" s="2">
        <f t="shared" si="1"/>
        <v>320</v>
      </c>
    </row>
    <row r="1210" ht="15.75" customHeight="1">
      <c r="A1210" s="1">
        <f>IFERROR(__xludf.DUMMYFUNCTION("""COMPUTED_VALUE"""),45650.66666666667)</f>
        <v>45650.66667</v>
      </c>
      <c r="B1210" s="2">
        <f>IFERROR(__xludf.DUMMYFUNCTION("""COMPUTED_VALUE"""),4350.0)</f>
        <v>4350</v>
      </c>
      <c r="C1210" s="2">
        <f>IFERROR(__xludf.DUMMYFUNCTION("""COMPUTED_VALUE"""),4390.0)</f>
        <v>4390</v>
      </c>
      <c r="D1210" s="2">
        <f>IFERROR(__xludf.DUMMYFUNCTION("""COMPUTED_VALUE"""),4300.0)</f>
        <v>4300</v>
      </c>
      <c r="E1210" s="2">
        <f>IFERROR(__xludf.DUMMYFUNCTION("""COMPUTED_VALUE"""),4310.0)</f>
        <v>4310</v>
      </c>
      <c r="F1210" s="2">
        <f>IFERROR(__xludf.DUMMYFUNCTION("""COMPUTED_VALUE"""),1410900.0)</f>
        <v>1410900</v>
      </c>
      <c r="G1210" s="2">
        <f t="shared" si="1"/>
        <v>90</v>
      </c>
    </row>
    <row r="1211" ht="15.75" customHeight="1">
      <c r="A1211" s="1">
        <f>IFERROR(__xludf.DUMMYFUNCTION("""COMPUTED_VALUE"""),45653.66666666667)</f>
        <v>45653.66667</v>
      </c>
      <c r="B1211" s="2">
        <f>IFERROR(__xludf.DUMMYFUNCTION("""COMPUTED_VALUE"""),4310.0)</f>
        <v>4310</v>
      </c>
      <c r="C1211" s="2">
        <f>IFERROR(__xludf.DUMMYFUNCTION("""COMPUTED_VALUE"""),4350.0)</f>
        <v>4350</v>
      </c>
      <c r="D1211" s="2">
        <f>IFERROR(__xludf.DUMMYFUNCTION("""COMPUTED_VALUE"""),4300.0)</f>
        <v>4300</v>
      </c>
      <c r="E1211" s="2">
        <f>IFERROR(__xludf.DUMMYFUNCTION("""COMPUTED_VALUE"""),4330.0)</f>
        <v>4330</v>
      </c>
      <c r="F1211" s="2">
        <f>IFERROR(__xludf.DUMMYFUNCTION("""COMPUTED_VALUE"""),970000.0)</f>
        <v>970000</v>
      </c>
      <c r="G1211" s="2">
        <f t="shared" si="1"/>
        <v>50</v>
      </c>
    </row>
    <row r="1212" ht="15.75" customHeight="1">
      <c r="A1212" s="1">
        <f>IFERROR(__xludf.DUMMYFUNCTION("""COMPUTED_VALUE"""),45656.66666666667)</f>
        <v>45656.66667</v>
      </c>
      <c r="B1212" s="2">
        <f>IFERROR(__xludf.DUMMYFUNCTION("""COMPUTED_VALUE"""),4330.0)</f>
        <v>4330</v>
      </c>
      <c r="C1212" s="2">
        <f>IFERROR(__xludf.DUMMYFUNCTION("""COMPUTED_VALUE"""),4450.0)</f>
        <v>4450</v>
      </c>
      <c r="D1212" s="2">
        <f>IFERROR(__xludf.DUMMYFUNCTION("""COMPUTED_VALUE"""),4320.0)</f>
        <v>4320</v>
      </c>
      <c r="E1212" s="2">
        <f>IFERROR(__xludf.DUMMYFUNCTION("""COMPUTED_VALUE"""),4330.0)</f>
        <v>4330</v>
      </c>
      <c r="F1212" s="2">
        <f>IFERROR(__xludf.DUMMYFUNCTION("""COMPUTED_VALUE"""),2977700.0)</f>
        <v>2977700</v>
      </c>
      <c r="G1212" s="2">
        <f t="shared" si="1"/>
        <v>130</v>
      </c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7" width="12.63"/>
  </cols>
  <sheetData>
    <row r="1" ht="15.75" customHeight="1">
      <c r="A1" s="1" t="str">
        <f>IFERROR(__xludf.DUMMYFUNCTION("GOOGLEFINANCE(""IDX:MTEL"", ""all"", DATE(2020,1,1), DATE(2025,1,1), ""DAILY"")
"),"Date")</f>
        <v>Date</v>
      </c>
      <c r="B1" s="2" t="str">
        <f>IFERROR(__xludf.DUMMYFUNCTION("""COMPUTED_VALUE"""),"Open")</f>
        <v>Open</v>
      </c>
      <c r="C1" s="2" t="str">
        <f>IFERROR(__xludf.DUMMYFUNCTION("""COMPUTED_VALUE"""),"High")</f>
        <v>High</v>
      </c>
      <c r="D1" s="2" t="str">
        <f>IFERROR(__xludf.DUMMYFUNCTION("""COMPUTED_VALUE"""),"Low")</f>
        <v>Low</v>
      </c>
      <c r="E1" s="2" t="str">
        <f>IFERROR(__xludf.DUMMYFUNCTION("""COMPUTED_VALUE"""),"Close")</f>
        <v>Close</v>
      </c>
      <c r="F1" s="2" t="str">
        <f>IFERROR(__xludf.DUMMYFUNCTION("""COMPUTED_VALUE"""),"Volume")</f>
        <v>Volume</v>
      </c>
      <c r="G1" s="3" t="s">
        <v>0</v>
      </c>
    </row>
    <row r="2" ht="15.75" customHeight="1">
      <c r="A2" s="1">
        <f>IFERROR(__xludf.DUMMYFUNCTION("""COMPUTED_VALUE"""),44522.625)</f>
        <v>44522.625</v>
      </c>
      <c r="B2" s="2">
        <f>IFERROR(__xludf.DUMMYFUNCTION("""COMPUTED_VALUE"""),850.0)</f>
        <v>850</v>
      </c>
      <c r="C2" s="2">
        <f>IFERROR(__xludf.DUMMYFUNCTION("""COMPUTED_VALUE"""),890.0)</f>
        <v>890</v>
      </c>
      <c r="D2" s="2">
        <f>IFERROR(__xludf.DUMMYFUNCTION("""COMPUTED_VALUE"""),765.0)</f>
        <v>765</v>
      </c>
      <c r="E2" s="2">
        <f>IFERROR(__xludf.DUMMYFUNCTION("""COMPUTED_VALUE"""),765.0)</f>
        <v>765</v>
      </c>
      <c r="F2" s="2">
        <f>IFERROR(__xludf.DUMMYFUNCTION("""COMPUTED_VALUE"""),1.3794103E9)</f>
        <v>1379410300</v>
      </c>
      <c r="G2" s="2"/>
    </row>
    <row r="3" ht="15.75" customHeight="1">
      <c r="A3" s="1">
        <f>IFERROR(__xludf.DUMMYFUNCTION("""COMPUTED_VALUE"""),44523.625)</f>
        <v>44523.625</v>
      </c>
      <c r="B3" s="2">
        <f>IFERROR(__xludf.DUMMYFUNCTION("""COMPUTED_VALUE"""),765.0)</f>
        <v>765</v>
      </c>
      <c r="C3" s="2">
        <f>IFERROR(__xludf.DUMMYFUNCTION("""COMPUTED_VALUE"""),790.0)</f>
        <v>790</v>
      </c>
      <c r="D3" s="2">
        <f>IFERROR(__xludf.DUMMYFUNCTION("""COMPUTED_VALUE"""),760.0)</f>
        <v>760</v>
      </c>
      <c r="E3" s="2">
        <f>IFERROR(__xludf.DUMMYFUNCTION("""COMPUTED_VALUE"""),775.0)</f>
        <v>775</v>
      </c>
      <c r="F3" s="2">
        <f>IFERROR(__xludf.DUMMYFUNCTION("""COMPUTED_VALUE"""),4.9726E8)</f>
        <v>497260000</v>
      </c>
      <c r="G3" s="2">
        <f t="shared" ref="G3:G752" si="1">MAX(C3-D3, ABS(C3-E2), ABS(D3-E2))</f>
        <v>30</v>
      </c>
    </row>
    <row r="4" ht="15.75" customHeight="1">
      <c r="A4" s="1">
        <f>IFERROR(__xludf.DUMMYFUNCTION("""COMPUTED_VALUE"""),44524.625)</f>
        <v>44524.625</v>
      </c>
      <c r="B4" s="2">
        <f>IFERROR(__xludf.DUMMYFUNCTION("""COMPUTED_VALUE"""),780.0)</f>
        <v>780</v>
      </c>
      <c r="C4" s="2">
        <f>IFERROR(__xludf.DUMMYFUNCTION("""COMPUTED_VALUE"""),785.0)</f>
        <v>785</v>
      </c>
      <c r="D4" s="2">
        <f>IFERROR(__xludf.DUMMYFUNCTION("""COMPUTED_VALUE"""),765.0)</f>
        <v>765</v>
      </c>
      <c r="E4" s="2">
        <f>IFERROR(__xludf.DUMMYFUNCTION("""COMPUTED_VALUE"""),775.0)</f>
        <v>775</v>
      </c>
      <c r="F4" s="2">
        <f>IFERROR(__xludf.DUMMYFUNCTION("""COMPUTED_VALUE"""),2.697604E8)</f>
        <v>269760400</v>
      </c>
      <c r="G4" s="2">
        <f t="shared" si="1"/>
        <v>20</v>
      </c>
    </row>
    <row r="5" ht="15.75" customHeight="1">
      <c r="A5" s="1">
        <f>IFERROR(__xludf.DUMMYFUNCTION("""COMPUTED_VALUE"""),44525.625)</f>
        <v>44525.625</v>
      </c>
      <c r="B5" s="2">
        <f>IFERROR(__xludf.DUMMYFUNCTION("""COMPUTED_VALUE"""),775.0)</f>
        <v>775</v>
      </c>
      <c r="C5" s="2">
        <f>IFERROR(__xludf.DUMMYFUNCTION("""COMPUTED_VALUE"""),780.0)</f>
        <v>780</v>
      </c>
      <c r="D5" s="2">
        <f>IFERROR(__xludf.DUMMYFUNCTION("""COMPUTED_VALUE"""),770.0)</f>
        <v>770</v>
      </c>
      <c r="E5" s="2">
        <f>IFERROR(__xludf.DUMMYFUNCTION("""COMPUTED_VALUE"""),775.0)</f>
        <v>775</v>
      </c>
      <c r="F5" s="2">
        <f>IFERROR(__xludf.DUMMYFUNCTION("""COMPUTED_VALUE"""),1.319428E8)</f>
        <v>131942800</v>
      </c>
      <c r="G5" s="2">
        <f t="shared" si="1"/>
        <v>10</v>
      </c>
    </row>
    <row r="6" ht="15.75" customHeight="1">
      <c r="A6" s="1">
        <f>IFERROR(__xludf.DUMMYFUNCTION("""COMPUTED_VALUE"""),44526.625)</f>
        <v>44526.625</v>
      </c>
      <c r="B6" s="2">
        <f>IFERROR(__xludf.DUMMYFUNCTION("""COMPUTED_VALUE"""),775.0)</f>
        <v>775</v>
      </c>
      <c r="C6" s="2">
        <f>IFERROR(__xludf.DUMMYFUNCTION("""COMPUTED_VALUE"""),775.0)</f>
        <v>775</v>
      </c>
      <c r="D6" s="2">
        <f>IFERROR(__xludf.DUMMYFUNCTION("""COMPUTED_VALUE"""),765.0)</f>
        <v>765</v>
      </c>
      <c r="E6" s="2">
        <f>IFERROR(__xludf.DUMMYFUNCTION("""COMPUTED_VALUE"""),770.0)</f>
        <v>770</v>
      </c>
      <c r="F6" s="2">
        <f>IFERROR(__xludf.DUMMYFUNCTION("""COMPUTED_VALUE"""),9.83463E7)</f>
        <v>98346300</v>
      </c>
      <c r="G6" s="2">
        <f t="shared" si="1"/>
        <v>10</v>
      </c>
    </row>
    <row r="7" ht="15.75" customHeight="1">
      <c r="A7" s="1">
        <f>IFERROR(__xludf.DUMMYFUNCTION("""COMPUTED_VALUE"""),44529.625)</f>
        <v>44529.625</v>
      </c>
      <c r="B7" s="2">
        <f>IFERROR(__xludf.DUMMYFUNCTION("""COMPUTED_VALUE"""),765.0)</f>
        <v>765</v>
      </c>
      <c r="C7" s="2">
        <f>IFERROR(__xludf.DUMMYFUNCTION("""COMPUTED_VALUE"""),770.0)</f>
        <v>770</v>
      </c>
      <c r="D7" s="2">
        <f>IFERROR(__xludf.DUMMYFUNCTION("""COMPUTED_VALUE"""),750.0)</f>
        <v>750</v>
      </c>
      <c r="E7" s="2">
        <f>IFERROR(__xludf.DUMMYFUNCTION("""COMPUTED_VALUE"""),760.0)</f>
        <v>760</v>
      </c>
      <c r="F7" s="2">
        <f>IFERROR(__xludf.DUMMYFUNCTION("""COMPUTED_VALUE"""),1.265032E8)</f>
        <v>126503200</v>
      </c>
      <c r="G7" s="2">
        <f t="shared" si="1"/>
        <v>20</v>
      </c>
    </row>
    <row r="8" ht="15.75" customHeight="1">
      <c r="A8" s="1">
        <f>IFERROR(__xludf.DUMMYFUNCTION("""COMPUTED_VALUE"""),44530.625)</f>
        <v>44530.625</v>
      </c>
      <c r="B8" s="2">
        <f>IFERROR(__xludf.DUMMYFUNCTION("""COMPUTED_VALUE"""),760.0)</f>
        <v>760</v>
      </c>
      <c r="C8" s="2">
        <f>IFERROR(__xludf.DUMMYFUNCTION("""COMPUTED_VALUE"""),805.0)</f>
        <v>805</v>
      </c>
      <c r="D8" s="2">
        <f>IFERROR(__xludf.DUMMYFUNCTION("""COMPUTED_VALUE"""),755.0)</f>
        <v>755</v>
      </c>
      <c r="E8" s="2">
        <f>IFERROR(__xludf.DUMMYFUNCTION("""COMPUTED_VALUE"""),780.0)</f>
        <v>780</v>
      </c>
      <c r="F8" s="2">
        <f>IFERROR(__xludf.DUMMYFUNCTION("""COMPUTED_VALUE"""),3.060162E8)</f>
        <v>306016200</v>
      </c>
      <c r="G8" s="2">
        <f t="shared" si="1"/>
        <v>50</v>
      </c>
    </row>
    <row r="9" ht="15.75" customHeight="1">
      <c r="A9" s="1">
        <f>IFERROR(__xludf.DUMMYFUNCTION("""COMPUTED_VALUE"""),44531.66666666667)</f>
        <v>44531.66667</v>
      </c>
      <c r="B9" s="2">
        <f>IFERROR(__xludf.DUMMYFUNCTION("""COMPUTED_VALUE"""),785.0)</f>
        <v>785</v>
      </c>
      <c r="C9" s="2">
        <f>IFERROR(__xludf.DUMMYFUNCTION("""COMPUTED_VALUE"""),790.0)</f>
        <v>790</v>
      </c>
      <c r="D9" s="2">
        <f>IFERROR(__xludf.DUMMYFUNCTION("""COMPUTED_VALUE"""),770.0)</f>
        <v>770</v>
      </c>
      <c r="E9" s="2">
        <f>IFERROR(__xludf.DUMMYFUNCTION("""COMPUTED_VALUE"""),780.0)</f>
        <v>780</v>
      </c>
      <c r="F9" s="2">
        <f>IFERROR(__xludf.DUMMYFUNCTION("""COMPUTED_VALUE"""),5.08832E7)</f>
        <v>50883200</v>
      </c>
      <c r="G9" s="2">
        <f t="shared" si="1"/>
        <v>20</v>
      </c>
    </row>
    <row r="10" ht="15.75" customHeight="1">
      <c r="A10" s="1">
        <f>IFERROR(__xludf.DUMMYFUNCTION("""COMPUTED_VALUE"""),44532.66666666667)</f>
        <v>44532.66667</v>
      </c>
      <c r="B10" s="2">
        <f>IFERROR(__xludf.DUMMYFUNCTION("""COMPUTED_VALUE"""),780.0)</f>
        <v>780</v>
      </c>
      <c r="C10" s="2">
        <f>IFERROR(__xludf.DUMMYFUNCTION("""COMPUTED_VALUE"""),790.0)</f>
        <v>790</v>
      </c>
      <c r="D10" s="2">
        <f>IFERROR(__xludf.DUMMYFUNCTION("""COMPUTED_VALUE"""),770.0)</f>
        <v>770</v>
      </c>
      <c r="E10" s="2">
        <f>IFERROR(__xludf.DUMMYFUNCTION("""COMPUTED_VALUE"""),785.0)</f>
        <v>785</v>
      </c>
      <c r="F10" s="2">
        <f>IFERROR(__xludf.DUMMYFUNCTION("""COMPUTED_VALUE"""),4.95697E7)</f>
        <v>49569700</v>
      </c>
      <c r="G10" s="2">
        <f t="shared" si="1"/>
        <v>20</v>
      </c>
    </row>
    <row r="11" ht="15.75" customHeight="1">
      <c r="A11" s="1">
        <f>IFERROR(__xludf.DUMMYFUNCTION("""COMPUTED_VALUE"""),44533.66666666667)</f>
        <v>44533.66667</v>
      </c>
      <c r="B11" s="2">
        <f>IFERROR(__xludf.DUMMYFUNCTION("""COMPUTED_VALUE"""),785.0)</f>
        <v>785</v>
      </c>
      <c r="C11" s="2">
        <f>IFERROR(__xludf.DUMMYFUNCTION("""COMPUTED_VALUE"""),795.0)</f>
        <v>795</v>
      </c>
      <c r="D11" s="2">
        <f>IFERROR(__xludf.DUMMYFUNCTION("""COMPUTED_VALUE"""),775.0)</f>
        <v>775</v>
      </c>
      <c r="E11" s="2">
        <f>IFERROR(__xludf.DUMMYFUNCTION("""COMPUTED_VALUE"""),785.0)</f>
        <v>785</v>
      </c>
      <c r="F11" s="2">
        <f>IFERROR(__xludf.DUMMYFUNCTION("""COMPUTED_VALUE"""),5.4024E7)</f>
        <v>54024000</v>
      </c>
      <c r="G11" s="2">
        <f t="shared" si="1"/>
        <v>20</v>
      </c>
    </row>
    <row r="12" ht="15.75" customHeight="1">
      <c r="A12" s="1">
        <f>IFERROR(__xludf.DUMMYFUNCTION("""COMPUTED_VALUE"""),44536.66666666667)</f>
        <v>44536.66667</v>
      </c>
      <c r="B12" s="2">
        <f>IFERROR(__xludf.DUMMYFUNCTION("""COMPUTED_VALUE"""),785.0)</f>
        <v>785</v>
      </c>
      <c r="C12" s="2">
        <f>IFERROR(__xludf.DUMMYFUNCTION("""COMPUTED_VALUE"""),785.0)</f>
        <v>785</v>
      </c>
      <c r="D12" s="2">
        <f>IFERROR(__xludf.DUMMYFUNCTION("""COMPUTED_VALUE"""),775.0)</f>
        <v>775</v>
      </c>
      <c r="E12" s="2">
        <f>IFERROR(__xludf.DUMMYFUNCTION("""COMPUTED_VALUE"""),785.0)</f>
        <v>785</v>
      </c>
      <c r="F12" s="2">
        <f>IFERROR(__xludf.DUMMYFUNCTION("""COMPUTED_VALUE"""),2.58628E7)</f>
        <v>25862800</v>
      </c>
      <c r="G12" s="2">
        <f t="shared" si="1"/>
        <v>10</v>
      </c>
    </row>
    <row r="13" ht="15.75" customHeight="1">
      <c r="A13" s="1">
        <f>IFERROR(__xludf.DUMMYFUNCTION("""COMPUTED_VALUE"""),44537.66666666667)</f>
        <v>44537.66667</v>
      </c>
      <c r="B13" s="2">
        <f>IFERROR(__xludf.DUMMYFUNCTION("""COMPUTED_VALUE"""),785.0)</f>
        <v>785</v>
      </c>
      <c r="C13" s="2">
        <f>IFERROR(__xludf.DUMMYFUNCTION("""COMPUTED_VALUE"""),795.0)</f>
        <v>795</v>
      </c>
      <c r="D13" s="2">
        <f>IFERROR(__xludf.DUMMYFUNCTION("""COMPUTED_VALUE"""),780.0)</f>
        <v>780</v>
      </c>
      <c r="E13" s="2">
        <f>IFERROR(__xludf.DUMMYFUNCTION("""COMPUTED_VALUE"""),795.0)</f>
        <v>795</v>
      </c>
      <c r="F13" s="2">
        <f>IFERROR(__xludf.DUMMYFUNCTION("""COMPUTED_VALUE"""),9.97772E7)</f>
        <v>99777200</v>
      </c>
      <c r="G13" s="2">
        <f t="shared" si="1"/>
        <v>15</v>
      </c>
    </row>
    <row r="14" ht="15.75" customHeight="1">
      <c r="A14" s="1">
        <f>IFERROR(__xludf.DUMMYFUNCTION("""COMPUTED_VALUE"""),44538.66666666667)</f>
        <v>44538.66667</v>
      </c>
      <c r="B14" s="2">
        <f>IFERROR(__xludf.DUMMYFUNCTION("""COMPUTED_VALUE"""),795.0)</f>
        <v>795</v>
      </c>
      <c r="C14" s="2">
        <f>IFERROR(__xludf.DUMMYFUNCTION("""COMPUTED_VALUE"""),795.0)</f>
        <v>795</v>
      </c>
      <c r="D14" s="2">
        <f>IFERROR(__xludf.DUMMYFUNCTION("""COMPUTED_VALUE"""),785.0)</f>
        <v>785</v>
      </c>
      <c r="E14" s="2">
        <f>IFERROR(__xludf.DUMMYFUNCTION("""COMPUTED_VALUE"""),795.0)</f>
        <v>795</v>
      </c>
      <c r="F14" s="2">
        <f>IFERROR(__xludf.DUMMYFUNCTION("""COMPUTED_VALUE"""),4.29151E7)</f>
        <v>42915100</v>
      </c>
      <c r="G14" s="2">
        <f t="shared" si="1"/>
        <v>10</v>
      </c>
    </row>
    <row r="15" ht="15.75" customHeight="1">
      <c r="A15" s="1">
        <f>IFERROR(__xludf.DUMMYFUNCTION("""COMPUTED_VALUE"""),44539.66666666667)</f>
        <v>44539.66667</v>
      </c>
      <c r="B15" s="2">
        <f>IFERROR(__xludf.DUMMYFUNCTION("""COMPUTED_VALUE"""),795.0)</f>
        <v>795</v>
      </c>
      <c r="C15" s="2">
        <f>IFERROR(__xludf.DUMMYFUNCTION("""COMPUTED_VALUE"""),795.0)</f>
        <v>795</v>
      </c>
      <c r="D15" s="2">
        <f>IFERROR(__xludf.DUMMYFUNCTION("""COMPUTED_VALUE"""),785.0)</f>
        <v>785</v>
      </c>
      <c r="E15" s="2">
        <f>IFERROR(__xludf.DUMMYFUNCTION("""COMPUTED_VALUE"""),795.0)</f>
        <v>795</v>
      </c>
      <c r="F15" s="2">
        <f>IFERROR(__xludf.DUMMYFUNCTION("""COMPUTED_VALUE"""),3.03575E7)</f>
        <v>30357500</v>
      </c>
      <c r="G15" s="2">
        <f t="shared" si="1"/>
        <v>10</v>
      </c>
    </row>
    <row r="16" ht="15.75" customHeight="1">
      <c r="A16" s="1">
        <f>IFERROR(__xludf.DUMMYFUNCTION("""COMPUTED_VALUE"""),44540.66666666667)</f>
        <v>44540.66667</v>
      </c>
      <c r="B16" s="2">
        <f>IFERROR(__xludf.DUMMYFUNCTION("""COMPUTED_VALUE"""),795.0)</f>
        <v>795</v>
      </c>
      <c r="C16" s="2">
        <f>IFERROR(__xludf.DUMMYFUNCTION("""COMPUTED_VALUE"""),795.0)</f>
        <v>795</v>
      </c>
      <c r="D16" s="2">
        <f>IFERROR(__xludf.DUMMYFUNCTION("""COMPUTED_VALUE"""),780.0)</f>
        <v>780</v>
      </c>
      <c r="E16" s="2">
        <f>IFERROR(__xludf.DUMMYFUNCTION("""COMPUTED_VALUE"""),785.0)</f>
        <v>785</v>
      </c>
      <c r="F16" s="2">
        <f>IFERROR(__xludf.DUMMYFUNCTION("""COMPUTED_VALUE"""),8.27272E7)</f>
        <v>82727200</v>
      </c>
      <c r="G16" s="2">
        <f t="shared" si="1"/>
        <v>15</v>
      </c>
    </row>
    <row r="17" ht="15.75" customHeight="1">
      <c r="A17" s="1">
        <f>IFERROR(__xludf.DUMMYFUNCTION("""COMPUTED_VALUE"""),44543.66666666667)</f>
        <v>44543.66667</v>
      </c>
      <c r="B17" s="2">
        <f>IFERROR(__xludf.DUMMYFUNCTION("""COMPUTED_VALUE"""),785.0)</f>
        <v>785</v>
      </c>
      <c r="C17" s="2">
        <f>IFERROR(__xludf.DUMMYFUNCTION("""COMPUTED_VALUE"""),790.0)</f>
        <v>790</v>
      </c>
      <c r="D17" s="2">
        <f>IFERROR(__xludf.DUMMYFUNCTION("""COMPUTED_VALUE"""),780.0)</f>
        <v>780</v>
      </c>
      <c r="E17" s="2">
        <f>IFERROR(__xludf.DUMMYFUNCTION("""COMPUTED_VALUE"""),785.0)</f>
        <v>785</v>
      </c>
      <c r="F17" s="2">
        <f>IFERROR(__xludf.DUMMYFUNCTION("""COMPUTED_VALUE"""),4.28019E7)</f>
        <v>42801900</v>
      </c>
      <c r="G17" s="2">
        <f t="shared" si="1"/>
        <v>10</v>
      </c>
    </row>
    <row r="18" ht="15.75" customHeight="1">
      <c r="A18" s="1">
        <f>IFERROR(__xludf.DUMMYFUNCTION("""COMPUTED_VALUE"""),44544.66666666667)</f>
        <v>44544.66667</v>
      </c>
      <c r="B18" s="2">
        <f>IFERROR(__xludf.DUMMYFUNCTION("""COMPUTED_VALUE"""),780.0)</f>
        <v>780</v>
      </c>
      <c r="C18" s="2">
        <f>IFERROR(__xludf.DUMMYFUNCTION("""COMPUTED_VALUE"""),790.0)</f>
        <v>790</v>
      </c>
      <c r="D18" s="2">
        <f>IFERROR(__xludf.DUMMYFUNCTION("""COMPUTED_VALUE"""),770.0)</f>
        <v>770</v>
      </c>
      <c r="E18" s="2">
        <f>IFERROR(__xludf.DUMMYFUNCTION("""COMPUTED_VALUE"""),775.0)</f>
        <v>775</v>
      </c>
      <c r="F18" s="2">
        <f>IFERROR(__xludf.DUMMYFUNCTION("""COMPUTED_VALUE"""),6.79068E7)</f>
        <v>67906800</v>
      </c>
      <c r="G18" s="2">
        <f t="shared" si="1"/>
        <v>20</v>
      </c>
    </row>
    <row r="19" ht="15.75" customHeight="1">
      <c r="A19" s="1">
        <f>IFERROR(__xludf.DUMMYFUNCTION("""COMPUTED_VALUE"""),44545.66666666667)</f>
        <v>44545.66667</v>
      </c>
      <c r="B19" s="2">
        <f>IFERROR(__xludf.DUMMYFUNCTION("""COMPUTED_VALUE"""),770.0)</f>
        <v>770</v>
      </c>
      <c r="C19" s="2">
        <f>IFERROR(__xludf.DUMMYFUNCTION("""COMPUTED_VALUE"""),785.0)</f>
        <v>785</v>
      </c>
      <c r="D19" s="2">
        <f>IFERROR(__xludf.DUMMYFUNCTION("""COMPUTED_VALUE"""),765.0)</f>
        <v>765</v>
      </c>
      <c r="E19" s="2">
        <f>IFERROR(__xludf.DUMMYFUNCTION("""COMPUTED_VALUE"""),775.0)</f>
        <v>775</v>
      </c>
      <c r="F19" s="2">
        <f>IFERROR(__xludf.DUMMYFUNCTION("""COMPUTED_VALUE"""),7.29061E7)</f>
        <v>72906100</v>
      </c>
      <c r="G19" s="2">
        <f t="shared" si="1"/>
        <v>20</v>
      </c>
    </row>
    <row r="20" ht="15.75" customHeight="1">
      <c r="A20" s="1">
        <f>IFERROR(__xludf.DUMMYFUNCTION("""COMPUTED_VALUE"""),44546.66666666667)</f>
        <v>44546.66667</v>
      </c>
      <c r="B20" s="2">
        <f>IFERROR(__xludf.DUMMYFUNCTION("""COMPUTED_VALUE"""),775.0)</f>
        <v>775</v>
      </c>
      <c r="C20" s="2">
        <f>IFERROR(__xludf.DUMMYFUNCTION("""COMPUTED_VALUE"""),780.0)</f>
        <v>780</v>
      </c>
      <c r="D20" s="2">
        <f>IFERROR(__xludf.DUMMYFUNCTION("""COMPUTED_VALUE"""),760.0)</f>
        <v>760</v>
      </c>
      <c r="E20" s="2">
        <f>IFERROR(__xludf.DUMMYFUNCTION("""COMPUTED_VALUE"""),765.0)</f>
        <v>765</v>
      </c>
      <c r="F20" s="2">
        <f>IFERROR(__xludf.DUMMYFUNCTION("""COMPUTED_VALUE"""),7.60734E7)</f>
        <v>76073400</v>
      </c>
      <c r="G20" s="2">
        <f t="shared" si="1"/>
        <v>20</v>
      </c>
    </row>
    <row r="21" ht="15.75" customHeight="1">
      <c r="A21" s="1">
        <f>IFERROR(__xludf.DUMMYFUNCTION("""COMPUTED_VALUE"""),44547.66666666667)</f>
        <v>44547.66667</v>
      </c>
      <c r="B21" s="2">
        <f>IFERROR(__xludf.DUMMYFUNCTION("""COMPUTED_VALUE"""),765.0)</f>
        <v>765</v>
      </c>
      <c r="C21" s="2">
        <f>IFERROR(__xludf.DUMMYFUNCTION("""COMPUTED_VALUE"""),785.0)</f>
        <v>785</v>
      </c>
      <c r="D21" s="2">
        <f>IFERROR(__xludf.DUMMYFUNCTION("""COMPUTED_VALUE"""),755.0)</f>
        <v>755</v>
      </c>
      <c r="E21" s="2">
        <f>IFERROR(__xludf.DUMMYFUNCTION("""COMPUTED_VALUE"""),785.0)</f>
        <v>785</v>
      </c>
      <c r="F21" s="2">
        <f>IFERROR(__xludf.DUMMYFUNCTION("""COMPUTED_VALUE"""),8.74262E7)</f>
        <v>87426200</v>
      </c>
      <c r="G21" s="2">
        <f t="shared" si="1"/>
        <v>30</v>
      </c>
    </row>
    <row r="22" ht="15.75" customHeight="1">
      <c r="A22" s="1">
        <f>IFERROR(__xludf.DUMMYFUNCTION("""COMPUTED_VALUE"""),44550.66666666667)</f>
        <v>44550.66667</v>
      </c>
      <c r="B22" s="2">
        <f>IFERROR(__xludf.DUMMYFUNCTION("""COMPUTED_VALUE"""),780.0)</f>
        <v>780</v>
      </c>
      <c r="C22" s="2">
        <f>IFERROR(__xludf.DUMMYFUNCTION("""COMPUTED_VALUE"""),780.0)</f>
        <v>780</v>
      </c>
      <c r="D22" s="2">
        <f>IFERROR(__xludf.DUMMYFUNCTION("""COMPUTED_VALUE"""),765.0)</f>
        <v>765</v>
      </c>
      <c r="E22" s="2">
        <f>IFERROR(__xludf.DUMMYFUNCTION("""COMPUTED_VALUE"""),770.0)</f>
        <v>770</v>
      </c>
      <c r="F22" s="2">
        <f>IFERROR(__xludf.DUMMYFUNCTION("""COMPUTED_VALUE"""),3.96156E7)</f>
        <v>39615600</v>
      </c>
      <c r="G22" s="2">
        <f t="shared" si="1"/>
        <v>20</v>
      </c>
    </row>
    <row r="23" ht="15.75" customHeight="1">
      <c r="A23" s="1">
        <f>IFERROR(__xludf.DUMMYFUNCTION("""COMPUTED_VALUE"""),44551.66666666667)</f>
        <v>44551.66667</v>
      </c>
      <c r="B23" s="2">
        <f>IFERROR(__xludf.DUMMYFUNCTION("""COMPUTED_VALUE"""),770.0)</f>
        <v>770</v>
      </c>
      <c r="C23" s="2">
        <f>IFERROR(__xludf.DUMMYFUNCTION("""COMPUTED_VALUE"""),775.0)</f>
        <v>775</v>
      </c>
      <c r="D23" s="2">
        <f>IFERROR(__xludf.DUMMYFUNCTION("""COMPUTED_VALUE"""),765.0)</f>
        <v>765</v>
      </c>
      <c r="E23" s="2">
        <f>IFERROR(__xludf.DUMMYFUNCTION("""COMPUTED_VALUE"""),770.0)</f>
        <v>770</v>
      </c>
      <c r="F23" s="2">
        <f>IFERROR(__xludf.DUMMYFUNCTION("""COMPUTED_VALUE"""),4.74089E7)</f>
        <v>47408900</v>
      </c>
      <c r="G23" s="2">
        <f t="shared" si="1"/>
        <v>10</v>
      </c>
    </row>
    <row r="24" ht="15.75" customHeight="1">
      <c r="A24" s="1">
        <f>IFERROR(__xludf.DUMMYFUNCTION("""COMPUTED_VALUE"""),44552.66666666667)</f>
        <v>44552.66667</v>
      </c>
      <c r="B24" s="2">
        <f>IFERROR(__xludf.DUMMYFUNCTION("""COMPUTED_VALUE"""),770.0)</f>
        <v>770</v>
      </c>
      <c r="C24" s="2">
        <f>IFERROR(__xludf.DUMMYFUNCTION("""COMPUTED_VALUE"""),780.0)</f>
        <v>780</v>
      </c>
      <c r="D24" s="2">
        <f>IFERROR(__xludf.DUMMYFUNCTION("""COMPUTED_VALUE"""),765.0)</f>
        <v>765</v>
      </c>
      <c r="E24" s="2">
        <f>IFERROR(__xludf.DUMMYFUNCTION("""COMPUTED_VALUE"""),775.0)</f>
        <v>775</v>
      </c>
      <c r="F24" s="2">
        <f>IFERROR(__xludf.DUMMYFUNCTION("""COMPUTED_VALUE"""),7.00013E7)</f>
        <v>70001300</v>
      </c>
      <c r="G24" s="2">
        <f t="shared" si="1"/>
        <v>15</v>
      </c>
    </row>
    <row r="25" ht="15.75" customHeight="1">
      <c r="A25" s="1">
        <f>IFERROR(__xludf.DUMMYFUNCTION("""COMPUTED_VALUE"""),44553.66666666667)</f>
        <v>44553.66667</v>
      </c>
      <c r="B25" s="2">
        <f>IFERROR(__xludf.DUMMYFUNCTION("""COMPUTED_VALUE"""),775.0)</f>
        <v>775</v>
      </c>
      <c r="C25" s="2">
        <f>IFERROR(__xludf.DUMMYFUNCTION("""COMPUTED_VALUE"""),780.0)</f>
        <v>780</v>
      </c>
      <c r="D25" s="2">
        <f>IFERROR(__xludf.DUMMYFUNCTION("""COMPUTED_VALUE"""),770.0)</f>
        <v>770</v>
      </c>
      <c r="E25" s="2">
        <f>IFERROR(__xludf.DUMMYFUNCTION("""COMPUTED_VALUE"""),775.0)</f>
        <v>775</v>
      </c>
      <c r="F25" s="2">
        <f>IFERROR(__xludf.DUMMYFUNCTION("""COMPUTED_VALUE"""),8.57861E7)</f>
        <v>85786100</v>
      </c>
      <c r="G25" s="2">
        <f t="shared" si="1"/>
        <v>10</v>
      </c>
    </row>
    <row r="26" ht="15.75" customHeight="1">
      <c r="A26" s="1">
        <f>IFERROR(__xludf.DUMMYFUNCTION("""COMPUTED_VALUE"""),44554.66666666667)</f>
        <v>44554.66667</v>
      </c>
      <c r="B26" s="2">
        <f>IFERROR(__xludf.DUMMYFUNCTION("""COMPUTED_VALUE"""),775.0)</f>
        <v>775</v>
      </c>
      <c r="C26" s="2">
        <f>IFERROR(__xludf.DUMMYFUNCTION("""COMPUTED_VALUE"""),785.0)</f>
        <v>785</v>
      </c>
      <c r="D26" s="2">
        <f>IFERROR(__xludf.DUMMYFUNCTION("""COMPUTED_VALUE"""),775.0)</f>
        <v>775</v>
      </c>
      <c r="E26" s="2">
        <f>IFERROR(__xludf.DUMMYFUNCTION("""COMPUTED_VALUE"""),785.0)</f>
        <v>785</v>
      </c>
      <c r="F26" s="2">
        <f>IFERROR(__xludf.DUMMYFUNCTION("""COMPUTED_VALUE"""),4.57236E7)</f>
        <v>45723600</v>
      </c>
      <c r="G26" s="2">
        <f t="shared" si="1"/>
        <v>10</v>
      </c>
    </row>
    <row r="27" ht="15.75" customHeight="1">
      <c r="A27" s="1">
        <f>IFERROR(__xludf.DUMMYFUNCTION("""COMPUTED_VALUE"""),44557.66666666667)</f>
        <v>44557.66667</v>
      </c>
      <c r="B27" s="2">
        <f>IFERROR(__xludf.DUMMYFUNCTION("""COMPUTED_VALUE"""),785.0)</f>
        <v>785</v>
      </c>
      <c r="C27" s="2">
        <f>IFERROR(__xludf.DUMMYFUNCTION("""COMPUTED_VALUE"""),795.0)</f>
        <v>795</v>
      </c>
      <c r="D27" s="2">
        <f>IFERROR(__xludf.DUMMYFUNCTION("""COMPUTED_VALUE"""),785.0)</f>
        <v>785</v>
      </c>
      <c r="E27" s="2">
        <f>IFERROR(__xludf.DUMMYFUNCTION("""COMPUTED_VALUE"""),795.0)</f>
        <v>795</v>
      </c>
      <c r="F27" s="2">
        <f>IFERROR(__xludf.DUMMYFUNCTION("""COMPUTED_VALUE"""),1.062965E8)</f>
        <v>106296500</v>
      </c>
      <c r="G27" s="2">
        <f t="shared" si="1"/>
        <v>10</v>
      </c>
    </row>
    <row r="28" ht="15.75" customHeight="1">
      <c r="A28" s="1">
        <f>IFERROR(__xludf.DUMMYFUNCTION("""COMPUTED_VALUE"""),44558.66666666667)</f>
        <v>44558.66667</v>
      </c>
      <c r="B28" s="2">
        <f>IFERROR(__xludf.DUMMYFUNCTION("""COMPUTED_VALUE"""),800.0)</f>
        <v>800</v>
      </c>
      <c r="C28" s="2">
        <f>IFERROR(__xludf.DUMMYFUNCTION("""COMPUTED_VALUE"""),810.0)</f>
        <v>810</v>
      </c>
      <c r="D28" s="2">
        <f>IFERROR(__xludf.DUMMYFUNCTION("""COMPUTED_VALUE"""),795.0)</f>
        <v>795</v>
      </c>
      <c r="E28" s="2">
        <f>IFERROR(__xludf.DUMMYFUNCTION("""COMPUTED_VALUE"""),805.0)</f>
        <v>805</v>
      </c>
      <c r="F28" s="2">
        <f>IFERROR(__xludf.DUMMYFUNCTION("""COMPUTED_VALUE"""),2.196721E8)</f>
        <v>219672100</v>
      </c>
      <c r="G28" s="2">
        <f t="shared" si="1"/>
        <v>15</v>
      </c>
    </row>
    <row r="29" ht="15.75" customHeight="1">
      <c r="A29" s="1">
        <f>IFERROR(__xludf.DUMMYFUNCTION("""COMPUTED_VALUE"""),44559.66666666667)</f>
        <v>44559.66667</v>
      </c>
      <c r="B29" s="2">
        <f>IFERROR(__xludf.DUMMYFUNCTION("""COMPUTED_VALUE"""),805.0)</f>
        <v>805</v>
      </c>
      <c r="C29" s="2">
        <f>IFERROR(__xludf.DUMMYFUNCTION("""COMPUTED_VALUE"""),825.0)</f>
        <v>825</v>
      </c>
      <c r="D29" s="2">
        <f>IFERROR(__xludf.DUMMYFUNCTION("""COMPUTED_VALUE"""),800.0)</f>
        <v>800</v>
      </c>
      <c r="E29" s="2">
        <f>IFERROR(__xludf.DUMMYFUNCTION("""COMPUTED_VALUE"""),820.0)</f>
        <v>820</v>
      </c>
      <c r="F29" s="2">
        <f>IFERROR(__xludf.DUMMYFUNCTION("""COMPUTED_VALUE"""),2.223675E8)</f>
        <v>222367500</v>
      </c>
      <c r="G29" s="2">
        <f t="shared" si="1"/>
        <v>25</v>
      </c>
    </row>
    <row r="30" ht="15.75" customHeight="1">
      <c r="A30" s="1">
        <f>IFERROR(__xludf.DUMMYFUNCTION("""COMPUTED_VALUE"""),44560.66666666667)</f>
        <v>44560.66667</v>
      </c>
      <c r="B30" s="2">
        <f>IFERROR(__xludf.DUMMYFUNCTION("""COMPUTED_VALUE"""),820.0)</f>
        <v>820</v>
      </c>
      <c r="C30" s="2">
        <f>IFERROR(__xludf.DUMMYFUNCTION("""COMPUTED_VALUE"""),835.0)</f>
        <v>835</v>
      </c>
      <c r="D30" s="2">
        <f>IFERROR(__xludf.DUMMYFUNCTION("""COMPUTED_VALUE"""),820.0)</f>
        <v>820</v>
      </c>
      <c r="E30" s="2">
        <f>IFERROR(__xludf.DUMMYFUNCTION("""COMPUTED_VALUE"""),830.0)</f>
        <v>830</v>
      </c>
      <c r="F30" s="2">
        <f>IFERROR(__xludf.DUMMYFUNCTION("""COMPUTED_VALUE"""),3.403316E8)</f>
        <v>340331600</v>
      </c>
      <c r="G30" s="2">
        <f t="shared" si="1"/>
        <v>15</v>
      </c>
    </row>
    <row r="31" ht="15.75" customHeight="1">
      <c r="A31" s="1">
        <f>IFERROR(__xludf.DUMMYFUNCTION("""COMPUTED_VALUE"""),44564.66666666667)</f>
        <v>44564.66667</v>
      </c>
      <c r="B31" s="2">
        <f>IFERROR(__xludf.DUMMYFUNCTION("""COMPUTED_VALUE"""),835.0)</f>
        <v>835</v>
      </c>
      <c r="C31" s="2">
        <f>IFERROR(__xludf.DUMMYFUNCTION("""COMPUTED_VALUE"""),835.0)</f>
        <v>835</v>
      </c>
      <c r="D31" s="2">
        <f>IFERROR(__xludf.DUMMYFUNCTION("""COMPUTED_VALUE"""),810.0)</f>
        <v>810</v>
      </c>
      <c r="E31" s="2">
        <f>IFERROR(__xludf.DUMMYFUNCTION("""COMPUTED_VALUE"""),820.0)</f>
        <v>820</v>
      </c>
      <c r="F31" s="2">
        <f>IFERROR(__xludf.DUMMYFUNCTION("""COMPUTED_VALUE"""),6.47502E7)</f>
        <v>64750200</v>
      </c>
      <c r="G31" s="2">
        <f t="shared" si="1"/>
        <v>25</v>
      </c>
    </row>
    <row r="32" ht="15.75" customHeight="1">
      <c r="A32" s="1">
        <f>IFERROR(__xludf.DUMMYFUNCTION("""COMPUTED_VALUE"""),44565.66666666667)</f>
        <v>44565.66667</v>
      </c>
      <c r="B32" s="2">
        <f>IFERROR(__xludf.DUMMYFUNCTION("""COMPUTED_VALUE"""),820.0)</f>
        <v>820</v>
      </c>
      <c r="C32" s="2">
        <f>IFERROR(__xludf.DUMMYFUNCTION("""COMPUTED_VALUE"""),820.0)</f>
        <v>820</v>
      </c>
      <c r="D32" s="2">
        <f>IFERROR(__xludf.DUMMYFUNCTION("""COMPUTED_VALUE"""),810.0)</f>
        <v>810</v>
      </c>
      <c r="E32" s="2">
        <f>IFERROR(__xludf.DUMMYFUNCTION("""COMPUTED_VALUE"""),820.0)</f>
        <v>820</v>
      </c>
      <c r="F32" s="2">
        <f>IFERROR(__xludf.DUMMYFUNCTION("""COMPUTED_VALUE"""),5.4034E7)</f>
        <v>54034000</v>
      </c>
      <c r="G32" s="2">
        <f t="shared" si="1"/>
        <v>10</v>
      </c>
    </row>
    <row r="33" ht="15.75" customHeight="1">
      <c r="A33" s="1">
        <f>IFERROR(__xludf.DUMMYFUNCTION("""COMPUTED_VALUE"""),44566.66666666667)</f>
        <v>44566.66667</v>
      </c>
      <c r="B33" s="2">
        <f>IFERROR(__xludf.DUMMYFUNCTION("""COMPUTED_VALUE"""),820.0)</f>
        <v>820</v>
      </c>
      <c r="C33" s="2">
        <f>IFERROR(__xludf.DUMMYFUNCTION("""COMPUTED_VALUE"""),830.0)</f>
        <v>830</v>
      </c>
      <c r="D33" s="2">
        <f>IFERROR(__xludf.DUMMYFUNCTION("""COMPUTED_VALUE"""),815.0)</f>
        <v>815</v>
      </c>
      <c r="E33" s="2">
        <f>IFERROR(__xludf.DUMMYFUNCTION("""COMPUTED_VALUE"""),820.0)</f>
        <v>820</v>
      </c>
      <c r="F33" s="2">
        <f>IFERROR(__xludf.DUMMYFUNCTION("""COMPUTED_VALUE"""),7.95207E7)</f>
        <v>79520700</v>
      </c>
      <c r="G33" s="2">
        <f t="shared" si="1"/>
        <v>15</v>
      </c>
    </row>
    <row r="34" ht="15.75" customHeight="1">
      <c r="A34" s="1">
        <f>IFERROR(__xludf.DUMMYFUNCTION("""COMPUTED_VALUE"""),44567.66666666667)</f>
        <v>44567.66667</v>
      </c>
      <c r="B34" s="2">
        <f>IFERROR(__xludf.DUMMYFUNCTION("""COMPUTED_VALUE"""),815.0)</f>
        <v>815</v>
      </c>
      <c r="C34" s="2">
        <f>IFERROR(__xludf.DUMMYFUNCTION("""COMPUTED_VALUE"""),820.0)</f>
        <v>820</v>
      </c>
      <c r="D34" s="2">
        <f>IFERROR(__xludf.DUMMYFUNCTION("""COMPUTED_VALUE"""),805.0)</f>
        <v>805</v>
      </c>
      <c r="E34" s="2">
        <f>IFERROR(__xludf.DUMMYFUNCTION("""COMPUTED_VALUE"""),815.0)</f>
        <v>815</v>
      </c>
      <c r="F34" s="2">
        <f>IFERROR(__xludf.DUMMYFUNCTION("""COMPUTED_VALUE"""),5.63917E7)</f>
        <v>56391700</v>
      </c>
      <c r="G34" s="2">
        <f t="shared" si="1"/>
        <v>15</v>
      </c>
    </row>
    <row r="35" ht="15.75" customHeight="1">
      <c r="A35" s="1">
        <f>IFERROR(__xludf.DUMMYFUNCTION("""COMPUTED_VALUE"""),44568.66666666667)</f>
        <v>44568.66667</v>
      </c>
      <c r="B35" s="2">
        <f>IFERROR(__xludf.DUMMYFUNCTION("""COMPUTED_VALUE"""),815.0)</f>
        <v>815</v>
      </c>
      <c r="C35" s="2">
        <f>IFERROR(__xludf.DUMMYFUNCTION("""COMPUTED_VALUE"""),820.0)</f>
        <v>820</v>
      </c>
      <c r="D35" s="2">
        <f>IFERROR(__xludf.DUMMYFUNCTION("""COMPUTED_VALUE"""),810.0)</f>
        <v>810</v>
      </c>
      <c r="E35" s="2">
        <f>IFERROR(__xludf.DUMMYFUNCTION("""COMPUTED_VALUE"""),815.0)</f>
        <v>815</v>
      </c>
      <c r="F35" s="2">
        <f>IFERROR(__xludf.DUMMYFUNCTION("""COMPUTED_VALUE"""),3.51383E7)</f>
        <v>35138300</v>
      </c>
      <c r="G35" s="2">
        <f t="shared" si="1"/>
        <v>10</v>
      </c>
    </row>
    <row r="36" ht="15.75" customHeight="1">
      <c r="A36" s="1">
        <f>IFERROR(__xludf.DUMMYFUNCTION("""COMPUTED_VALUE"""),44571.66666666667)</f>
        <v>44571.66667</v>
      </c>
      <c r="B36" s="2">
        <f>IFERROR(__xludf.DUMMYFUNCTION("""COMPUTED_VALUE"""),815.0)</f>
        <v>815</v>
      </c>
      <c r="C36" s="2">
        <f>IFERROR(__xludf.DUMMYFUNCTION("""COMPUTED_VALUE"""),820.0)</f>
        <v>820</v>
      </c>
      <c r="D36" s="2">
        <f>IFERROR(__xludf.DUMMYFUNCTION("""COMPUTED_VALUE"""),800.0)</f>
        <v>800</v>
      </c>
      <c r="E36" s="2">
        <f>IFERROR(__xludf.DUMMYFUNCTION("""COMPUTED_VALUE"""),810.0)</f>
        <v>810</v>
      </c>
      <c r="F36" s="2">
        <f>IFERROR(__xludf.DUMMYFUNCTION("""COMPUTED_VALUE"""),4.90616E7)</f>
        <v>49061600</v>
      </c>
      <c r="G36" s="2">
        <f t="shared" si="1"/>
        <v>20</v>
      </c>
    </row>
    <row r="37" ht="15.75" customHeight="1">
      <c r="A37" s="1">
        <f>IFERROR(__xludf.DUMMYFUNCTION("""COMPUTED_VALUE"""),44572.66666666667)</f>
        <v>44572.66667</v>
      </c>
      <c r="B37" s="2">
        <f>IFERROR(__xludf.DUMMYFUNCTION("""COMPUTED_VALUE"""),810.0)</f>
        <v>810</v>
      </c>
      <c r="C37" s="2">
        <f>IFERROR(__xludf.DUMMYFUNCTION("""COMPUTED_VALUE"""),815.0)</f>
        <v>815</v>
      </c>
      <c r="D37" s="2">
        <f>IFERROR(__xludf.DUMMYFUNCTION("""COMPUTED_VALUE"""),800.0)</f>
        <v>800</v>
      </c>
      <c r="E37" s="2">
        <f>IFERROR(__xludf.DUMMYFUNCTION("""COMPUTED_VALUE"""),800.0)</f>
        <v>800</v>
      </c>
      <c r="F37" s="2">
        <f>IFERROR(__xludf.DUMMYFUNCTION("""COMPUTED_VALUE"""),6.20839E7)</f>
        <v>62083900</v>
      </c>
      <c r="G37" s="2">
        <f t="shared" si="1"/>
        <v>15</v>
      </c>
    </row>
    <row r="38" ht="15.75" customHeight="1">
      <c r="A38" s="1">
        <f>IFERROR(__xludf.DUMMYFUNCTION("""COMPUTED_VALUE"""),44573.66666666667)</f>
        <v>44573.66667</v>
      </c>
      <c r="B38" s="2">
        <f>IFERROR(__xludf.DUMMYFUNCTION("""COMPUTED_VALUE"""),795.0)</f>
        <v>795</v>
      </c>
      <c r="C38" s="2">
        <f>IFERROR(__xludf.DUMMYFUNCTION("""COMPUTED_VALUE"""),810.0)</f>
        <v>810</v>
      </c>
      <c r="D38" s="2">
        <f>IFERROR(__xludf.DUMMYFUNCTION("""COMPUTED_VALUE"""),790.0)</f>
        <v>790</v>
      </c>
      <c r="E38" s="2">
        <f>IFERROR(__xludf.DUMMYFUNCTION("""COMPUTED_VALUE"""),795.0)</f>
        <v>795</v>
      </c>
      <c r="F38" s="2">
        <f>IFERROR(__xludf.DUMMYFUNCTION("""COMPUTED_VALUE"""),5.795E7)</f>
        <v>57950000</v>
      </c>
      <c r="G38" s="2">
        <f t="shared" si="1"/>
        <v>20</v>
      </c>
    </row>
    <row r="39" ht="15.75" customHeight="1">
      <c r="A39" s="1">
        <f>IFERROR(__xludf.DUMMYFUNCTION("""COMPUTED_VALUE"""),44574.66666666667)</f>
        <v>44574.66667</v>
      </c>
      <c r="B39" s="2">
        <f>IFERROR(__xludf.DUMMYFUNCTION("""COMPUTED_VALUE"""),795.0)</f>
        <v>795</v>
      </c>
      <c r="C39" s="2">
        <f>IFERROR(__xludf.DUMMYFUNCTION("""COMPUTED_VALUE"""),810.0)</f>
        <v>810</v>
      </c>
      <c r="D39" s="2">
        <f>IFERROR(__xludf.DUMMYFUNCTION("""COMPUTED_VALUE"""),795.0)</f>
        <v>795</v>
      </c>
      <c r="E39" s="2">
        <f>IFERROR(__xludf.DUMMYFUNCTION("""COMPUTED_VALUE"""),800.0)</f>
        <v>800</v>
      </c>
      <c r="F39" s="2">
        <f>IFERROR(__xludf.DUMMYFUNCTION("""COMPUTED_VALUE"""),2.64174E7)</f>
        <v>26417400</v>
      </c>
      <c r="G39" s="2">
        <f t="shared" si="1"/>
        <v>15</v>
      </c>
    </row>
    <row r="40" ht="15.75" customHeight="1">
      <c r="A40" s="1">
        <f>IFERROR(__xludf.DUMMYFUNCTION("""COMPUTED_VALUE"""),44575.66666666667)</f>
        <v>44575.66667</v>
      </c>
      <c r="B40" s="2">
        <f>IFERROR(__xludf.DUMMYFUNCTION("""COMPUTED_VALUE"""),800.0)</f>
        <v>800</v>
      </c>
      <c r="C40" s="2">
        <f>IFERROR(__xludf.DUMMYFUNCTION("""COMPUTED_VALUE"""),805.0)</f>
        <v>805</v>
      </c>
      <c r="D40" s="2">
        <f>IFERROR(__xludf.DUMMYFUNCTION("""COMPUTED_VALUE"""),800.0)</f>
        <v>800</v>
      </c>
      <c r="E40" s="2">
        <f>IFERROR(__xludf.DUMMYFUNCTION("""COMPUTED_VALUE"""),800.0)</f>
        <v>800</v>
      </c>
      <c r="F40" s="2">
        <f>IFERROR(__xludf.DUMMYFUNCTION("""COMPUTED_VALUE"""),1.58415E7)</f>
        <v>15841500</v>
      </c>
      <c r="G40" s="2">
        <f t="shared" si="1"/>
        <v>5</v>
      </c>
    </row>
    <row r="41" ht="15.75" customHeight="1">
      <c r="A41" s="1">
        <f>IFERROR(__xludf.DUMMYFUNCTION("""COMPUTED_VALUE"""),44578.66666666667)</f>
        <v>44578.66667</v>
      </c>
      <c r="B41" s="2">
        <f>IFERROR(__xludf.DUMMYFUNCTION("""COMPUTED_VALUE"""),805.0)</f>
        <v>805</v>
      </c>
      <c r="C41" s="2">
        <f>IFERROR(__xludf.DUMMYFUNCTION("""COMPUTED_VALUE"""),805.0)</f>
        <v>805</v>
      </c>
      <c r="D41" s="2">
        <f>IFERROR(__xludf.DUMMYFUNCTION("""COMPUTED_VALUE"""),790.0)</f>
        <v>790</v>
      </c>
      <c r="E41" s="2">
        <f>IFERROR(__xludf.DUMMYFUNCTION("""COMPUTED_VALUE"""),795.0)</f>
        <v>795</v>
      </c>
      <c r="F41" s="2">
        <f>IFERROR(__xludf.DUMMYFUNCTION("""COMPUTED_VALUE"""),1.66262E7)</f>
        <v>16626200</v>
      </c>
      <c r="G41" s="2">
        <f t="shared" si="1"/>
        <v>15</v>
      </c>
    </row>
    <row r="42" ht="15.75" customHeight="1">
      <c r="A42" s="1">
        <f>IFERROR(__xludf.DUMMYFUNCTION("""COMPUTED_VALUE"""),44579.66666666667)</f>
        <v>44579.66667</v>
      </c>
      <c r="B42" s="2">
        <f>IFERROR(__xludf.DUMMYFUNCTION("""COMPUTED_VALUE"""),795.0)</f>
        <v>795</v>
      </c>
      <c r="C42" s="2">
        <f>IFERROR(__xludf.DUMMYFUNCTION("""COMPUTED_VALUE"""),795.0)</f>
        <v>795</v>
      </c>
      <c r="D42" s="2">
        <f>IFERROR(__xludf.DUMMYFUNCTION("""COMPUTED_VALUE"""),780.0)</f>
        <v>780</v>
      </c>
      <c r="E42" s="2">
        <f>IFERROR(__xludf.DUMMYFUNCTION("""COMPUTED_VALUE"""),790.0)</f>
        <v>790</v>
      </c>
      <c r="F42" s="2">
        <f>IFERROR(__xludf.DUMMYFUNCTION("""COMPUTED_VALUE"""),3.76102E7)</f>
        <v>37610200</v>
      </c>
      <c r="G42" s="2">
        <f t="shared" si="1"/>
        <v>15</v>
      </c>
    </row>
    <row r="43" ht="15.75" customHeight="1">
      <c r="A43" s="1">
        <f>IFERROR(__xludf.DUMMYFUNCTION("""COMPUTED_VALUE"""),44580.66666666667)</f>
        <v>44580.66667</v>
      </c>
      <c r="B43" s="2">
        <f>IFERROR(__xludf.DUMMYFUNCTION("""COMPUTED_VALUE"""),790.0)</f>
        <v>790</v>
      </c>
      <c r="C43" s="2">
        <f>IFERROR(__xludf.DUMMYFUNCTION("""COMPUTED_VALUE"""),790.0)</f>
        <v>790</v>
      </c>
      <c r="D43" s="2">
        <f>IFERROR(__xludf.DUMMYFUNCTION("""COMPUTED_VALUE"""),775.0)</f>
        <v>775</v>
      </c>
      <c r="E43" s="2">
        <f>IFERROR(__xludf.DUMMYFUNCTION("""COMPUTED_VALUE"""),785.0)</f>
        <v>785</v>
      </c>
      <c r="F43" s="2">
        <f>IFERROR(__xludf.DUMMYFUNCTION("""COMPUTED_VALUE"""),5.81912E7)</f>
        <v>58191200</v>
      </c>
      <c r="G43" s="2">
        <f t="shared" si="1"/>
        <v>15</v>
      </c>
    </row>
    <row r="44" ht="15.75" customHeight="1">
      <c r="A44" s="1">
        <f>IFERROR(__xludf.DUMMYFUNCTION("""COMPUTED_VALUE"""),44581.66666666667)</f>
        <v>44581.66667</v>
      </c>
      <c r="B44" s="2">
        <f>IFERROR(__xludf.DUMMYFUNCTION("""COMPUTED_VALUE"""),785.0)</f>
        <v>785</v>
      </c>
      <c r="C44" s="2">
        <f>IFERROR(__xludf.DUMMYFUNCTION("""COMPUTED_VALUE"""),790.0)</f>
        <v>790</v>
      </c>
      <c r="D44" s="2">
        <f>IFERROR(__xludf.DUMMYFUNCTION("""COMPUTED_VALUE"""),780.0)</f>
        <v>780</v>
      </c>
      <c r="E44" s="2">
        <f>IFERROR(__xludf.DUMMYFUNCTION("""COMPUTED_VALUE"""),785.0)</f>
        <v>785</v>
      </c>
      <c r="F44" s="2">
        <f>IFERROR(__xludf.DUMMYFUNCTION("""COMPUTED_VALUE"""),1.32435E7)</f>
        <v>13243500</v>
      </c>
      <c r="G44" s="2">
        <f t="shared" si="1"/>
        <v>10</v>
      </c>
    </row>
    <row r="45" ht="15.75" customHeight="1">
      <c r="A45" s="1">
        <f>IFERROR(__xludf.DUMMYFUNCTION("""COMPUTED_VALUE"""),44582.66666666667)</f>
        <v>44582.66667</v>
      </c>
      <c r="B45" s="2">
        <f>IFERROR(__xludf.DUMMYFUNCTION("""COMPUTED_VALUE"""),790.0)</f>
        <v>790</v>
      </c>
      <c r="C45" s="2">
        <f>IFERROR(__xludf.DUMMYFUNCTION("""COMPUTED_VALUE"""),795.0)</f>
        <v>795</v>
      </c>
      <c r="D45" s="2">
        <f>IFERROR(__xludf.DUMMYFUNCTION("""COMPUTED_VALUE"""),780.0)</f>
        <v>780</v>
      </c>
      <c r="E45" s="2">
        <f>IFERROR(__xludf.DUMMYFUNCTION("""COMPUTED_VALUE"""),795.0)</f>
        <v>795</v>
      </c>
      <c r="F45" s="2">
        <f>IFERROR(__xludf.DUMMYFUNCTION("""COMPUTED_VALUE"""),1.81049E7)</f>
        <v>18104900</v>
      </c>
      <c r="G45" s="2">
        <f t="shared" si="1"/>
        <v>15</v>
      </c>
    </row>
    <row r="46" ht="15.75" customHeight="1">
      <c r="A46" s="1">
        <f>IFERROR(__xludf.DUMMYFUNCTION("""COMPUTED_VALUE"""),44585.66666666667)</f>
        <v>44585.66667</v>
      </c>
      <c r="B46" s="2">
        <f>IFERROR(__xludf.DUMMYFUNCTION("""COMPUTED_VALUE"""),795.0)</f>
        <v>795</v>
      </c>
      <c r="C46" s="2">
        <f>IFERROR(__xludf.DUMMYFUNCTION("""COMPUTED_VALUE"""),800.0)</f>
        <v>800</v>
      </c>
      <c r="D46" s="2">
        <f>IFERROR(__xludf.DUMMYFUNCTION("""COMPUTED_VALUE"""),775.0)</f>
        <v>775</v>
      </c>
      <c r="E46" s="2">
        <f>IFERROR(__xludf.DUMMYFUNCTION("""COMPUTED_VALUE"""),775.0)</f>
        <v>775</v>
      </c>
      <c r="F46" s="2">
        <f>IFERROR(__xludf.DUMMYFUNCTION("""COMPUTED_VALUE"""),4.72957E7)</f>
        <v>47295700</v>
      </c>
      <c r="G46" s="2">
        <f t="shared" si="1"/>
        <v>25</v>
      </c>
    </row>
    <row r="47" ht="15.75" customHeight="1">
      <c r="A47" s="1">
        <f>IFERROR(__xludf.DUMMYFUNCTION("""COMPUTED_VALUE"""),44586.66666666667)</f>
        <v>44586.66667</v>
      </c>
      <c r="B47" s="2">
        <f>IFERROR(__xludf.DUMMYFUNCTION("""COMPUTED_VALUE"""),775.0)</f>
        <v>775</v>
      </c>
      <c r="C47" s="2">
        <f>IFERROR(__xludf.DUMMYFUNCTION("""COMPUTED_VALUE"""),795.0)</f>
        <v>795</v>
      </c>
      <c r="D47" s="2">
        <f>IFERROR(__xludf.DUMMYFUNCTION("""COMPUTED_VALUE"""),775.0)</f>
        <v>775</v>
      </c>
      <c r="E47" s="2">
        <f>IFERROR(__xludf.DUMMYFUNCTION("""COMPUTED_VALUE"""),790.0)</f>
        <v>790</v>
      </c>
      <c r="F47" s="2">
        <f>IFERROR(__xludf.DUMMYFUNCTION("""COMPUTED_VALUE"""),3.06036E7)</f>
        <v>30603600</v>
      </c>
      <c r="G47" s="2">
        <f t="shared" si="1"/>
        <v>20</v>
      </c>
    </row>
    <row r="48" ht="15.75" customHeight="1">
      <c r="A48" s="1">
        <f>IFERROR(__xludf.DUMMYFUNCTION("""COMPUTED_VALUE"""),44587.66666666667)</f>
        <v>44587.66667</v>
      </c>
      <c r="B48" s="2">
        <f>IFERROR(__xludf.DUMMYFUNCTION("""COMPUTED_VALUE"""),790.0)</f>
        <v>790</v>
      </c>
      <c r="C48" s="2">
        <f>IFERROR(__xludf.DUMMYFUNCTION("""COMPUTED_VALUE"""),805.0)</f>
        <v>805</v>
      </c>
      <c r="D48" s="2">
        <f>IFERROR(__xludf.DUMMYFUNCTION("""COMPUTED_VALUE"""),780.0)</f>
        <v>780</v>
      </c>
      <c r="E48" s="2">
        <f>IFERROR(__xludf.DUMMYFUNCTION("""COMPUTED_VALUE"""),805.0)</f>
        <v>805</v>
      </c>
      <c r="F48" s="2">
        <f>IFERROR(__xludf.DUMMYFUNCTION("""COMPUTED_VALUE"""),4.43279E7)</f>
        <v>44327900</v>
      </c>
      <c r="G48" s="2">
        <f t="shared" si="1"/>
        <v>25</v>
      </c>
    </row>
    <row r="49" ht="15.75" customHeight="1">
      <c r="A49" s="1">
        <f>IFERROR(__xludf.DUMMYFUNCTION("""COMPUTED_VALUE"""),44588.66666666667)</f>
        <v>44588.66667</v>
      </c>
      <c r="B49" s="2">
        <f>IFERROR(__xludf.DUMMYFUNCTION("""COMPUTED_VALUE"""),805.0)</f>
        <v>805</v>
      </c>
      <c r="C49" s="2">
        <f>IFERROR(__xludf.DUMMYFUNCTION("""COMPUTED_VALUE"""),805.0)</f>
        <v>805</v>
      </c>
      <c r="D49" s="2">
        <f>IFERROR(__xludf.DUMMYFUNCTION("""COMPUTED_VALUE"""),790.0)</f>
        <v>790</v>
      </c>
      <c r="E49" s="2">
        <f>IFERROR(__xludf.DUMMYFUNCTION("""COMPUTED_VALUE"""),790.0)</f>
        <v>790</v>
      </c>
      <c r="F49" s="2">
        <f>IFERROR(__xludf.DUMMYFUNCTION("""COMPUTED_VALUE"""),1.51544E7)</f>
        <v>15154400</v>
      </c>
      <c r="G49" s="2">
        <f t="shared" si="1"/>
        <v>15</v>
      </c>
    </row>
    <row r="50" ht="15.75" customHeight="1">
      <c r="A50" s="1">
        <f>IFERROR(__xludf.DUMMYFUNCTION("""COMPUTED_VALUE"""),44589.66666666667)</f>
        <v>44589.66667</v>
      </c>
      <c r="B50" s="2">
        <f>IFERROR(__xludf.DUMMYFUNCTION("""COMPUTED_VALUE"""),790.0)</f>
        <v>790</v>
      </c>
      <c r="C50" s="2">
        <f>IFERROR(__xludf.DUMMYFUNCTION("""COMPUTED_VALUE"""),800.0)</f>
        <v>800</v>
      </c>
      <c r="D50" s="2">
        <f>IFERROR(__xludf.DUMMYFUNCTION("""COMPUTED_VALUE"""),790.0)</f>
        <v>790</v>
      </c>
      <c r="E50" s="2">
        <f>IFERROR(__xludf.DUMMYFUNCTION("""COMPUTED_VALUE"""),790.0)</f>
        <v>790</v>
      </c>
      <c r="F50" s="2">
        <f>IFERROR(__xludf.DUMMYFUNCTION("""COMPUTED_VALUE"""),6566300.0)</f>
        <v>6566300</v>
      </c>
      <c r="G50" s="2">
        <f t="shared" si="1"/>
        <v>10</v>
      </c>
    </row>
    <row r="51" ht="15.75" customHeight="1">
      <c r="A51" s="1">
        <f>IFERROR(__xludf.DUMMYFUNCTION("""COMPUTED_VALUE"""),44592.66666666667)</f>
        <v>44592.66667</v>
      </c>
      <c r="B51" s="2">
        <f>IFERROR(__xludf.DUMMYFUNCTION("""COMPUTED_VALUE"""),790.0)</f>
        <v>790</v>
      </c>
      <c r="C51" s="2">
        <f>IFERROR(__xludf.DUMMYFUNCTION("""COMPUTED_VALUE"""),795.0)</f>
        <v>795</v>
      </c>
      <c r="D51" s="2">
        <f>IFERROR(__xludf.DUMMYFUNCTION("""COMPUTED_VALUE"""),785.0)</f>
        <v>785</v>
      </c>
      <c r="E51" s="2">
        <f>IFERROR(__xludf.DUMMYFUNCTION("""COMPUTED_VALUE"""),790.0)</f>
        <v>790</v>
      </c>
      <c r="F51" s="2">
        <f>IFERROR(__xludf.DUMMYFUNCTION("""COMPUTED_VALUE"""),9362000.0)</f>
        <v>9362000</v>
      </c>
      <c r="G51" s="2">
        <f t="shared" si="1"/>
        <v>10</v>
      </c>
    </row>
    <row r="52" ht="15.75" customHeight="1">
      <c r="A52" s="1">
        <f>IFERROR(__xludf.DUMMYFUNCTION("""COMPUTED_VALUE"""),44594.66666666667)</f>
        <v>44594.66667</v>
      </c>
      <c r="B52" s="2">
        <f>IFERROR(__xludf.DUMMYFUNCTION("""COMPUTED_VALUE"""),790.0)</f>
        <v>790</v>
      </c>
      <c r="C52" s="2">
        <f>IFERROR(__xludf.DUMMYFUNCTION("""COMPUTED_VALUE"""),800.0)</f>
        <v>800</v>
      </c>
      <c r="D52" s="2">
        <f>IFERROR(__xludf.DUMMYFUNCTION("""COMPUTED_VALUE"""),790.0)</f>
        <v>790</v>
      </c>
      <c r="E52" s="2">
        <f>IFERROR(__xludf.DUMMYFUNCTION("""COMPUTED_VALUE"""),790.0)</f>
        <v>790</v>
      </c>
      <c r="F52" s="2">
        <f>IFERROR(__xludf.DUMMYFUNCTION("""COMPUTED_VALUE"""),2.77498E7)</f>
        <v>27749800</v>
      </c>
      <c r="G52" s="2">
        <f t="shared" si="1"/>
        <v>10</v>
      </c>
    </row>
    <row r="53" ht="15.75" customHeight="1">
      <c r="A53" s="1">
        <f>IFERROR(__xludf.DUMMYFUNCTION("""COMPUTED_VALUE"""),44595.66666666667)</f>
        <v>44595.66667</v>
      </c>
      <c r="B53" s="2">
        <f>IFERROR(__xludf.DUMMYFUNCTION("""COMPUTED_VALUE"""),790.0)</f>
        <v>790</v>
      </c>
      <c r="C53" s="2">
        <f>IFERROR(__xludf.DUMMYFUNCTION("""COMPUTED_VALUE"""),795.0)</f>
        <v>795</v>
      </c>
      <c r="D53" s="2">
        <f>IFERROR(__xludf.DUMMYFUNCTION("""COMPUTED_VALUE"""),780.0)</f>
        <v>780</v>
      </c>
      <c r="E53" s="2">
        <f>IFERROR(__xludf.DUMMYFUNCTION("""COMPUTED_VALUE"""),790.0)</f>
        <v>790</v>
      </c>
      <c r="F53" s="2">
        <f>IFERROR(__xludf.DUMMYFUNCTION("""COMPUTED_VALUE"""),1.64211E7)</f>
        <v>16421100</v>
      </c>
      <c r="G53" s="2">
        <f t="shared" si="1"/>
        <v>15</v>
      </c>
    </row>
    <row r="54" ht="15.75" customHeight="1">
      <c r="A54" s="1">
        <f>IFERROR(__xludf.DUMMYFUNCTION("""COMPUTED_VALUE"""),44596.66666666667)</f>
        <v>44596.66667</v>
      </c>
      <c r="B54" s="2">
        <f>IFERROR(__xludf.DUMMYFUNCTION("""COMPUTED_VALUE"""),790.0)</f>
        <v>790</v>
      </c>
      <c r="C54" s="2">
        <f>IFERROR(__xludf.DUMMYFUNCTION("""COMPUTED_VALUE"""),800.0)</f>
        <v>800</v>
      </c>
      <c r="D54" s="2">
        <f>IFERROR(__xludf.DUMMYFUNCTION("""COMPUTED_VALUE"""),785.0)</f>
        <v>785</v>
      </c>
      <c r="E54" s="2">
        <f>IFERROR(__xludf.DUMMYFUNCTION("""COMPUTED_VALUE"""),790.0)</f>
        <v>790</v>
      </c>
      <c r="F54" s="2">
        <f>IFERROR(__xludf.DUMMYFUNCTION("""COMPUTED_VALUE"""),2.25556E7)</f>
        <v>22555600</v>
      </c>
      <c r="G54" s="2">
        <f t="shared" si="1"/>
        <v>15</v>
      </c>
    </row>
    <row r="55" ht="15.75" customHeight="1">
      <c r="A55" s="1">
        <f>IFERROR(__xludf.DUMMYFUNCTION("""COMPUTED_VALUE"""),44599.66666666667)</f>
        <v>44599.66667</v>
      </c>
      <c r="B55" s="2">
        <f>IFERROR(__xludf.DUMMYFUNCTION("""COMPUTED_VALUE"""),790.0)</f>
        <v>790</v>
      </c>
      <c r="C55" s="2">
        <f>IFERROR(__xludf.DUMMYFUNCTION("""COMPUTED_VALUE"""),795.0)</f>
        <v>795</v>
      </c>
      <c r="D55" s="2">
        <f>IFERROR(__xludf.DUMMYFUNCTION("""COMPUTED_VALUE"""),780.0)</f>
        <v>780</v>
      </c>
      <c r="E55" s="2">
        <f>IFERROR(__xludf.DUMMYFUNCTION("""COMPUTED_VALUE"""),780.0)</f>
        <v>780</v>
      </c>
      <c r="F55" s="2">
        <f>IFERROR(__xludf.DUMMYFUNCTION("""COMPUTED_VALUE"""),2.32076E7)</f>
        <v>23207600</v>
      </c>
      <c r="G55" s="2">
        <f t="shared" si="1"/>
        <v>15</v>
      </c>
    </row>
    <row r="56" ht="15.75" customHeight="1">
      <c r="A56" s="1">
        <f>IFERROR(__xludf.DUMMYFUNCTION("""COMPUTED_VALUE"""),44600.66666666667)</f>
        <v>44600.66667</v>
      </c>
      <c r="B56" s="2">
        <f>IFERROR(__xludf.DUMMYFUNCTION("""COMPUTED_VALUE"""),780.0)</f>
        <v>780</v>
      </c>
      <c r="C56" s="2">
        <f>IFERROR(__xludf.DUMMYFUNCTION("""COMPUTED_VALUE"""),795.0)</f>
        <v>795</v>
      </c>
      <c r="D56" s="2">
        <f>IFERROR(__xludf.DUMMYFUNCTION("""COMPUTED_VALUE"""),780.0)</f>
        <v>780</v>
      </c>
      <c r="E56" s="2">
        <f>IFERROR(__xludf.DUMMYFUNCTION("""COMPUTED_VALUE"""),780.0)</f>
        <v>780</v>
      </c>
      <c r="F56" s="2">
        <f>IFERROR(__xludf.DUMMYFUNCTION("""COMPUTED_VALUE"""),2.34468E7)</f>
        <v>23446800</v>
      </c>
      <c r="G56" s="2">
        <f t="shared" si="1"/>
        <v>15</v>
      </c>
    </row>
    <row r="57" ht="15.75" customHeight="1">
      <c r="A57" s="1">
        <f>IFERROR(__xludf.DUMMYFUNCTION("""COMPUTED_VALUE"""),44601.66666666667)</f>
        <v>44601.66667</v>
      </c>
      <c r="B57" s="2">
        <f>IFERROR(__xludf.DUMMYFUNCTION("""COMPUTED_VALUE"""),785.0)</f>
        <v>785</v>
      </c>
      <c r="C57" s="2">
        <f>IFERROR(__xludf.DUMMYFUNCTION("""COMPUTED_VALUE"""),790.0)</f>
        <v>790</v>
      </c>
      <c r="D57" s="2">
        <f>IFERROR(__xludf.DUMMYFUNCTION("""COMPUTED_VALUE"""),780.0)</f>
        <v>780</v>
      </c>
      <c r="E57" s="2">
        <f>IFERROR(__xludf.DUMMYFUNCTION("""COMPUTED_VALUE"""),785.0)</f>
        <v>785</v>
      </c>
      <c r="F57" s="2">
        <f>IFERROR(__xludf.DUMMYFUNCTION("""COMPUTED_VALUE"""),2.09916E7)</f>
        <v>20991600</v>
      </c>
      <c r="G57" s="2">
        <f t="shared" si="1"/>
        <v>10</v>
      </c>
    </row>
    <row r="58" ht="15.75" customHeight="1">
      <c r="A58" s="1">
        <f>IFERROR(__xludf.DUMMYFUNCTION("""COMPUTED_VALUE"""),44602.66666666667)</f>
        <v>44602.66667</v>
      </c>
      <c r="B58" s="2">
        <f>IFERROR(__xludf.DUMMYFUNCTION("""COMPUTED_VALUE"""),785.0)</f>
        <v>785</v>
      </c>
      <c r="C58" s="2">
        <f>IFERROR(__xludf.DUMMYFUNCTION("""COMPUTED_VALUE"""),795.0)</f>
        <v>795</v>
      </c>
      <c r="D58" s="2">
        <f>IFERROR(__xludf.DUMMYFUNCTION("""COMPUTED_VALUE"""),780.0)</f>
        <v>780</v>
      </c>
      <c r="E58" s="2">
        <f>IFERROR(__xludf.DUMMYFUNCTION("""COMPUTED_VALUE"""),780.0)</f>
        <v>780</v>
      </c>
      <c r="F58" s="2">
        <f>IFERROR(__xludf.DUMMYFUNCTION("""COMPUTED_VALUE"""),5.30196E7)</f>
        <v>53019600</v>
      </c>
      <c r="G58" s="2">
        <f t="shared" si="1"/>
        <v>15</v>
      </c>
    </row>
    <row r="59" ht="15.75" customHeight="1">
      <c r="A59" s="1">
        <f>IFERROR(__xludf.DUMMYFUNCTION("""COMPUTED_VALUE"""),44603.66666666667)</f>
        <v>44603.66667</v>
      </c>
      <c r="B59" s="2">
        <f>IFERROR(__xludf.DUMMYFUNCTION("""COMPUTED_VALUE"""),780.0)</f>
        <v>780</v>
      </c>
      <c r="C59" s="2">
        <f>IFERROR(__xludf.DUMMYFUNCTION("""COMPUTED_VALUE"""),790.0)</f>
        <v>790</v>
      </c>
      <c r="D59" s="2">
        <f>IFERROR(__xludf.DUMMYFUNCTION("""COMPUTED_VALUE"""),780.0)</f>
        <v>780</v>
      </c>
      <c r="E59" s="2">
        <f>IFERROR(__xludf.DUMMYFUNCTION("""COMPUTED_VALUE"""),785.0)</f>
        <v>785</v>
      </c>
      <c r="F59" s="2">
        <f>IFERROR(__xludf.DUMMYFUNCTION("""COMPUTED_VALUE"""),2.63707E7)</f>
        <v>26370700</v>
      </c>
      <c r="G59" s="2">
        <f t="shared" si="1"/>
        <v>10</v>
      </c>
    </row>
    <row r="60" ht="15.75" customHeight="1">
      <c r="A60" s="1">
        <f>IFERROR(__xludf.DUMMYFUNCTION("""COMPUTED_VALUE"""),44606.66666666667)</f>
        <v>44606.66667</v>
      </c>
      <c r="B60" s="2">
        <f>IFERROR(__xludf.DUMMYFUNCTION("""COMPUTED_VALUE"""),790.0)</f>
        <v>790</v>
      </c>
      <c r="C60" s="2">
        <f>IFERROR(__xludf.DUMMYFUNCTION("""COMPUTED_VALUE"""),790.0)</f>
        <v>790</v>
      </c>
      <c r="D60" s="2">
        <f>IFERROR(__xludf.DUMMYFUNCTION("""COMPUTED_VALUE"""),775.0)</f>
        <v>775</v>
      </c>
      <c r="E60" s="2">
        <f>IFERROR(__xludf.DUMMYFUNCTION("""COMPUTED_VALUE"""),780.0)</f>
        <v>780</v>
      </c>
      <c r="F60" s="2">
        <f>IFERROR(__xludf.DUMMYFUNCTION("""COMPUTED_VALUE"""),1.7537E7)</f>
        <v>17537000</v>
      </c>
      <c r="G60" s="2">
        <f t="shared" si="1"/>
        <v>15</v>
      </c>
    </row>
    <row r="61" ht="15.75" customHeight="1">
      <c r="A61" s="1">
        <f>IFERROR(__xludf.DUMMYFUNCTION("""COMPUTED_VALUE"""),44607.66666666667)</f>
        <v>44607.66667</v>
      </c>
      <c r="B61" s="2">
        <f>IFERROR(__xludf.DUMMYFUNCTION("""COMPUTED_VALUE"""),780.0)</f>
        <v>780</v>
      </c>
      <c r="C61" s="2">
        <f>IFERROR(__xludf.DUMMYFUNCTION("""COMPUTED_VALUE"""),785.0)</f>
        <v>785</v>
      </c>
      <c r="D61" s="2">
        <f>IFERROR(__xludf.DUMMYFUNCTION("""COMPUTED_VALUE"""),775.0)</f>
        <v>775</v>
      </c>
      <c r="E61" s="2">
        <f>IFERROR(__xludf.DUMMYFUNCTION("""COMPUTED_VALUE"""),780.0)</f>
        <v>780</v>
      </c>
      <c r="F61" s="2">
        <f>IFERROR(__xludf.DUMMYFUNCTION("""COMPUTED_VALUE"""),3.13758E7)</f>
        <v>31375800</v>
      </c>
      <c r="G61" s="2">
        <f t="shared" si="1"/>
        <v>10</v>
      </c>
    </row>
    <row r="62" ht="15.75" customHeight="1">
      <c r="A62" s="1">
        <f>IFERROR(__xludf.DUMMYFUNCTION("""COMPUTED_VALUE"""),44608.66666666667)</f>
        <v>44608.66667</v>
      </c>
      <c r="B62" s="2">
        <f>IFERROR(__xludf.DUMMYFUNCTION("""COMPUTED_VALUE"""),780.0)</f>
        <v>780</v>
      </c>
      <c r="C62" s="2">
        <f>IFERROR(__xludf.DUMMYFUNCTION("""COMPUTED_VALUE"""),780.0)</f>
        <v>780</v>
      </c>
      <c r="D62" s="2">
        <f>IFERROR(__xludf.DUMMYFUNCTION("""COMPUTED_VALUE"""),775.0)</f>
        <v>775</v>
      </c>
      <c r="E62" s="2">
        <f>IFERROR(__xludf.DUMMYFUNCTION("""COMPUTED_VALUE"""),775.0)</f>
        <v>775</v>
      </c>
      <c r="F62" s="2">
        <f>IFERROR(__xludf.DUMMYFUNCTION("""COMPUTED_VALUE"""),2.80894E7)</f>
        <v>28089400</v>
      </c>
      <c r="G62" s="2">
        <f t="shared" si="1"/>
        <v>5</v>
      </c>
    </row>
    <row r="63" ht="15.75" customHeight="1">
      <c r="A63" s="1">
        <f>IFERROR(__xludf.DUMMYFUNCTION("""COMPUTED_VALUE"""),44609.66666666667)</f>
        <v>44609.66667</v>
      </c>
      <c r="B63" s="2">
        <f>IFERROR(__xludf.DUMMYFUNCTION("""COMPUTED_VALUE"""),775.0)</f>
        <v>775</v>
      </c>
      <c r="C63" s="2">
        <f>IFERROR(__xludf.DUMMYFUNCTION("""COMPUTED_VALUE"""),780.0)</f>
        <v>780</v>
      </c>
      <c r="D63" s="2">
        <f>IFERROR(__xludf.DUMMYFUNCTION("""COMPUTED_VALUE"""),765.0)</f>
        <v>765</v>
      </c>
      <c r="E63" s="2">
        <f>IFERROR(__xludf.DUMMYFUNCTION("""COMPUTED_VALUE"""),765.0)</f>
        <v>765</v>
      </c>
      <c r="F63" s="2">
        <f>IFERROR(__xludf.DUMMYFUNCTION("""COMPUTED_VALUE"""),3.02879E7)</f>
        <v>30287900</v>
      </c>
      <c r="G63" s="2">
        <f t="shared" si="1"/>
        <v>15</v>
      </c>
    </row>
    <row r="64" ht="15.75" customHeight="1">
      <c r="A64" s="1">
        <f>IFERROR(__xludf.DUMMYFUNCTION("""COMPUTED_VALUE"""),44610.66666666667)</f>
        <v>44610.66667</v>
      </c>
      <c r="B64" s="2">
        <f>IFERROR(__xludf.DUMMYFUNCTION("""COMPUTED_VALUE"""),765.0)</f>
        <v>765</v>
      </c>
      <c r="C64" s="2">
        <f>IFERROR(__xludf.DUMMYFUNCTION("""COMPUTED_VALUE"""),770.0)</f>
        <v>770</v>
      </c>
      <c r="D64" s="2">
        <f>IFERROR(__xludf.DUMMYFUNCTION("""COMPUTED_VALUE"""),760.0)</f>
        <v>760</v>
      </c>
      <c r="E64" s="2">
        <f>IFERROR(__xludf.DUMMYFUNCTION("""COMPUTED_VALUE"""),770.0)</f>
        <v>770</v>
      </c>
      <c r="F64" s="2">
        <f>IFERROR(__xludf.DUMMYFUNCTION("""COMPUTED_VALUE"""),3.14602E7)</f>
        <v>31460200</v>
      </c>
      <c r="G64" s="2">
        <f t="shared" si="1"/>
        <v>10</v>
      </c>
    </row>
    <row r="65" ht="15.75" customHeight="1">
      <c r="A65" s="1">
        <f>IFERROR(__xludf.DUMMYFUNCTION("""COMPUTED_VALUE"""),44613.66666666667)</f>
        <v>44613.66667</v>
      </c>
      <c r="B65" s="2">
        <f>IFERROR(__xludf.DUMMYFUNCTION("""COMPUTED_VALUE"""),770.0)</f>
        <v>770</v>
      </c>
      <c r="C65" s="2">
        <f>IFERROR(__xludf.DUMMYFUNCTION("""COMPUTED_VALUE"""),775.0)</f>
        <v>775</v>
      </c>
      <c r="D65" s="2">
        <f>IFERROR(__xludf.DUMMYFUNCTION("""COMPUTED_VALUE"""),760.0)</f>
        <v>760</v>
      </c>
      <c r="E65" s="2">
        <f>IFERROR(__xludf.DUMMYFUNCTION("""COMPUTED_VALUE"""),760.0)</f>
        <v>760</v>
      </c>
      <c r="F65" s="2">
        <f>IFERROR(__xludf.DUMMYFUNCTION("""COMPUTED_VALUE"""),2.83491E7)</f>
        <v>28349100</v>
      </c>
      <c r="G65" s="2">
        <f t="shared" si="1"/>
        <v>15</v>
      </c>
    </row>
    <row r="66" ht="15.75" customHeight="1">
      <c r="A66" s="1">
        <f>IFERROR(__xludf.DUMMYFUNCTION("""COMPUTED_VALUE"""),44614.66666666667)</f>
        <v>44614.66667</v>
      </c>
      <c r="B66" s="2">
        <f>IFERROR(__xludf.DUMMYFUNCTION("""COMPUTED_VALUE"""),760.0)</f>
        <v>760</v>
      </c>
      <c r="C66" s="2">
        <f>IFERROR(__xludf.DUMMYFUNCTION("""COMPUTED_VALUE"""),765.0)</f>
        <v>765</v>
      </c>
      <c r="D66" s="2">
        <f>IFERROR(__xludf.DUMMYFUNCTION("""COMPUTED_VALUE"""),760.0)</f>
        <v>760</v>
      </c>
      <c r="E66" s="2">
        <f>IFERROR(__xludf.DUMMYFUNCTION("""COMPUTED_VALUE"""),765.0)</f>
        <v>765</v>
      </c>
      <c r="F66" s="2">
        <f>IFERROR(__xludf.DUMMYFUNCTION("""COMPUTED_VALUE"""),3.08233E7)</f>
        <v>30823300</v>
      </c>
      <c r="G66" s="2">
        <f t="shared" si="1"/>
        <v>5</v>
      </c>
    </row>
    <row r="67" ht="15.75" customHeight="1">
      <c r="A67" s="1">
        <f>IFERROR(__xludf.DUMMYFUNCTION("""COMPUTED_VALUE"""),44615.66666666667)</f>
        <v>44615.66667</v>
      </c>
      <c r="B67" s="2">
        <f>IFERROR(__xludf.DUMMYFUNCTION("""COMPUTED_VALUE"""),765.0)</f>
        <v>765</v>
      </c>
      <c r="C67" s="2">
        <f>IFERROR(__xludf.DUMMYFUNCTION("""COMPUTED_VALUE"""),775.0)</f>
        <v>775</v>
      </c>
      <c r="D67" s="2">
        <f>IFERROR(__xludf.DUMMYFUNCTION("""COMPUTED_VALUE"""),760.0)</f>
        <v>760</v>
      </c>
      <c r="E67" s="2">
        <f>IFERROR(__xludf.DUMMYFUNCTION("""COMPUTED_VALUE"""),770.0)</f>
        <v>770</v>
      </c>
      <c r="F67" s="2">
        <f>IFERROR(__xludf.DUMMYFUNCTION("""COMPUTED_VALUE"""),2.6574E7)</f>
        <v>26574000</v>
      </c>
      <c r="G67" s="2">
        <f t="shared" si="1"/>
        <v>15</v>
      </c>
    </row>
    <row r="68" ht="15.75" customHeight="1">
      <c r="A68" s="1">
        <f>IFERROR(__xludf.DUMMYFUNCTION("""COMPUTED_VALUE"""),44616.66666666667)</f>
        <v>44616.66667</v>
      </c>
      <c r="B68" s="2">
        <f>IFERROR(__xludf.DUMMYFUNCTION("""COMPUTED_VALUE"""),770.0)</f>
        <v>770</v>
      </c>
      <c r="C68" s="2">
        <f>IFERROR(__xludf.DUMMYFUNCTION("""COMPUTED_VALUE"""),775.0)</f>
        <v>775</v>
      </c>
      <c r="D68" s="2">
        <f>IFERROR(__xludf.DUMMYFUNCTION("""COMPUTED_VALUE"""),760.0)</f>
        <v>760</v>
      </c>
      <c r="E68" s="2">
        <f>IFERROR(__xludf.DUMMYFUNCTION("""COMPUTED_VALUE"""),765.0)</f>
        <v>765</v>
      </c>
      <c r="F68" s="2">
        <f>IFERROR(__xludf.DUMMYFUNCTION("""COMPUTED_VALUE"""),4.49111E7)</f>
        <v>44911100</v>
      </c>
      <c r="G68" s="2">
        <f t="shared" si="1"/>
        <v>15</v>
      </c>
    </row>
    <row r="69" ht="15.75" customHeight="1">
      <c r="A69" s="1">
        <f>IFERROR(__xludf.DUMMYFUNCTION("""COMPUTED_VALUE"""),44617.66666666667)</f>
        <v>44617.66667</v>
      </c>
      <c r="B69" s="2">
        <f>IFERROR(__xludf.DUMMYFUNCTION("""COMPUTED_VALUE"""),765.0)</f>
        <v>765</v>
      </c>
      <c r="C69" s="2">
        <f>IFERROR(__xludf.DUMMYFUNCTION("""COMPUTED_VALUE"""),775.0)</f>
        <v>775</v>
      </c>
      <c r="D69" s="2">
        <f>IFERROR(__xludf.DUMMYFUNCTION("""COMPUTED_VALUE"""),760.0)</f>
        <v>760</v>
      </c>
      <c r="E69" s="2">
        <f>IFERROR(__xludf.DUMMYFUNCTION("""COMPUTED_VALUE"""),775.0)</f>
        <v>775</v>
      </c>
      <c r="F69" s="2">
        <f>IFERROR(__xludf.DUMMYFUNCTION("""COMPUTED_VALUE"""),2.86637E7)</f>
        <v>28663700</v>
      </c>
      <c r="G69" s="2">
        <f t="shared" si="1"/>
        <v>15</v>
      </c>
    </row>
    <row r="70" ht="15.75" customHeight="1">
      <c r="A70" s="1">
        <f>IFERROR(__xludf.DUMMYFUNCTION("""COMPUTED_VALUE"""),44621.66666666667)</f>
        <v>44621.66667</v>
      </c>
      <c r="B70" s="2">
        <f>IFERROR(__xludf.DUMMYFUNCTION("""COMPUTED_VALUE"""),775.0)</f>
        <v>775</v>
      </c>
      <c r="C70" s="2">
        <f>IFERROR(__xludf.DUMMYFUNCTION("""COMPUTED_VALUE"""),780.0)</f>
        <v>780</v>
      </c>
      <c r="D70" s="2">
        <f>IFERROR(__xludf.DUMMYFUNCTION("""COMPUTED_VALUE"""),770.0)</f>
        <v>770</v>
      </c>
      <c r="E70" s="2">
        <f>IFERROR(__xludf.DUMMYFUNCTION("""COMPUTED_VALUE"""),780.0)</f>
        <v>780</v>
      </c>
      <c r="F70" s="2">
        <f>IFERROR(__xludf.DUMMYFUNCTION("""COMPUTED_VALUE"""),1.52567E7)</f>
        <v>15256700</v>
      </c>
      <c r="G70" s="2">
        <f t="shared" si="1"/>
        <v>10</v>
      </c>
    </row>
    <row r="71" ht="15.75" customHeight="1">
      <c r="A71" s="1">
        <f>IFERROR(__xludf.DUMMYFUNCTION("""COMPUTED_VALUE"""),44622.66666666667)</f>
        <v>44622.66667</v>
      </c>
      <c r="B71" s="2">
        <f>IFERROR(__xludf.DUMMYFUNCTION("""COMPUTED_VALUE"""),790.0)</f>
        <v>790</v>
      </c>
      <c r="C71" s="2">
        <f>IFERROR(__xludf.DUMMYFUNCTION("""COMPUTED_VALUE"""),790.0)</f>
        <v>790</v>
      </c>
      <c r="D71" s="2">
        <f>IFERROR(__xludf.DUMMYFUNCTION("""COMPUTED_VALUE"""),770.0)</f>
        <v>770</v>
      </c>
      <c r="E71" s="2">
        <f>IFERROR(__xludf.DUMMYFUNCTION("""COMPUTED_VALUE"""),780.0)</f>
        <v>780</v>
      </c>
      <c r="F71" s="2">
        <f>IFERROR(__xludf.DUMMYFUNCTION("""COMPUTED_VALUE"""),2.29947E7)</f>
        <v>22994700</v>
      </c>
      <c r="G71" s="2">
        <f t="shared" si="1"/>
        <v>20</v>
      </c>
    </row>
    <row r="72" ht="15.75" customHeight="1">
      <c r="A72" s="1">
        <f>IFERROR(__xludf.DUMMYFUNCTION("""COMPUTED_VALUE"""),44624.66666666667)</f>
        <v>44624.66667</v>
      </c>
      <c r="B72" s="2">
        <f>IFERROR(__xludf.DUMMYFUNCTION("""COMPUTED_VALUE"""),780.0)</f>
        <v>780</v>
      </c>
      <c r="C72" s="2">
        <f>IFERROR(__xludf.DUMMYFUNCTION("""COMPUTED_VALUE"""),785.0)</f>
        <v>785</v>
      </c>
      <c r="D72" s="2">
        <f>IFERROR(__xludf.DUMMYFUNCTION("""COMPUTED_VALUE"""),770.0)</f>
        <v>770</v>
      </c>
      <c r="E72" s="2">
        <f>IFERROR(__xludf.DUMMYFUNCTION("""COMPUTED_VALUE"""),770.0)</f>
        <v>770</v>
      </c>
      <c r="F72" s="2">
        <f>IFERROR(__xludf.DUMMYFUNCTION("""COMPUTED_VALUE"""),1.37339E7)</f>
        <v>13733900</v>
      </c>
      <c r="G72" s="2">
        <f t="shared" si="1"/>
        <v>15</v>
      </c>
    </row>
    <row r="73" ht="15.75" customHeight="1">
      <c r="A73" s="1">
        <f>IFERROR(__xludf.DUMMYFUNCTION("""COMPUTED_VALUE"""),44627.66666666667)</f>
        <v>44627.66667</v>
      </c>
      <c r="B73" s="2">
        <f>IFERROR(__xludf.DUMMYFUNCTION("""COMPUTED_VALUE"""),790.0)</f>
        <v>790</v>
      </c>
      <c r="C73" s="2">
        <f>IFERROR(__xludf.DUMMYFUNCTION("""COMPUTED_VALUE"""),790.0)</f>
        <v>790</v>
      </c>
      <c r="D73" s="2">
        <f>IFERROR(__xludf.DUMMYFUNCTION("""COMPUTED_VALUE"""),760.0)</f>
        <v>760</v>
      </c>
      <c r="E73" s="2">
        <f>IFERROR(__xludf.DUMMYFUNCTION("""COMPUTED_VALUE"""),775.0)</f>
        <v>775</v>
      </c>
      <c r="F73" s="2">
        <f>IFERROR(__xludf.DUMMYFUNCTION("""COMPUTED_VALUE"""),3.62591E7)</f>
        <v>36259100</v>
      </c>
      <c r="G73" s="2">
        <f t="shared" si="1"/>
        <v>30</v>
      </c>
    </row>
    <row r="74" ht="15.75" customHeight="1">
      <c r="A74" s="1">
        <f>IFERROR(__xludf.DUMMYFUNCTION("""COMPUTED_VALUE"""),44628.66666666667)</f>
        <v>44628.66667</v>
      </c>
      <c r="B74" s="2">
        <f>IFERROR(__xludf.DUMMYFUNCTION("""COMPUTED_VALUE"""),800.0)</f>
        <v>800</v>
      </c>
      <c r="C74" s="2">
        <f>IFERROR(__xludf.DUMMYFUNCTION("""COMPUTED_VALUE"""),800.0)</f>
        <v>800</v>
      </c>
      <c r="D74" s="2">
        <f>IFERROR(__xludf.DUMMYFUNCTION("""COMPUTED_VALUE"""),765.0)</f>
        <v>765</v>
      </c>
      <c r="E74" s="2">
        <f>IFERROR(__xludf.DUMMYFUNCTION("""COMPUTED_VALUE"""),775.0)</f>
        <v>775</v>
      </c>
      <c r="F74" s="2">
        <f>IFERROR(__xludf.DUMMYFUNCTION("""COMPUTED_VALUE"""),2.72079E7)</f>
        <v>27207900</v>
      </c>
      <c r="G74" s="2">
        <f t="shared" si="1"/>
        <v>35</v>
      </c>
    </row>
    <row r="75" ht="15.75" customHeight="1">
      <c r="A75" s="1">
        <f>IFERROR(__xludf.DUMMYFUNCTION("""COMPUTED_VALUE"""),44629.66666666667)</f>
        <v>44629.66667</v>
      </c>
      <c r="B75" s="2">
        <f>IFERROR(__xludf.DUMMYFUNCTION("""COMPUTED_VALUE"""),765.0)</f>
        <v>765</v>
      </c>
      <c r="C75" s="2">
        <f>IFERROR(__xludf.DUMMYFUNCTION("""COMPUTED_VALUE"""),780.0)</f>
        <v>780</v>
      </c>
      <c r="D75" s="2">
        <f>IFERROR(__xludf.DUMMYFUNCTION("""COMPUTED_VALUE"""),765.0)</f>
        <v>765</v>
      </c>
      <c r="E75" s="2">
        <f>IFERROR(__xludf.DUMMYFUNCTION("""COMPUTED_VALUE"""),780.0)</f>
        <v>780</v>
      </c>
      <c r="F75" s="2">
        <f>IFERROR(__xludf.DUMMYFUNCTION("""COMPUTED_VALUE"""),2.27462E7)</f>
        <v>22746200</v>
      </c>
      <c r="G75" s="2">
        <f t="shared" si="1"/>
        <v>15</v>
      </c>
    </row>
    <row r="76" ht="15.75" customHeight="1">
      <c r="A76" s="1">
        <f>IFERROR(__xludf.DUMMYFUNCTION("""COMPUTED_VALUE"""),44630.66666666667)</f>
        <v>44630.66667</v>
      </c>
      <c r="B76" s="2">
        <f>IFERROR(__xludf.DUMMYFUNCTION("""COMPUTED_VALUE"""),790.0)</f>
        <v>790</v>
      </c>
      <c r="C76" s="2">
        <f>IFERROR(__xludf.DUMMYFUNCTION("""COMPUTED_VALUE"""),790.0)</f>
        <v>790</v>
      </c>
      <c r="D76" s="2">
        <f>IFERROR(__xludf.DUMMYFUNCTION("""COMPUTED_VALUE"""),770.0)</f>
        <v>770</v>
      </c>
      <c r="E76" s="2">
        <f>IFERROR(__xludf.DUMMYFUNCTION("""COMPUTED_VALUE"""),785.0)</f>
        <v>785</v>
      </c>
      <c r="F76" s="2">
        <f>IFERROR(__xludf.DUMMYFUNCTION("""COMPUTED_VALUE"""),2.57203E7)</f>
        <v>25720300</v>
      </c>
      <c r="G76" s="2">
        <f t="shared" si="1"/>
        <v>20</v>
      </c>
    </row>
    <row r="77" ht="15.75" customHeight="1">
      <c r="A77" s="1">
        <f>IFERROR(__xludf.DUMMYFUNCTION("""COMPUTED_VALUE"""),44631.66666666667)</f>
        <v>44631.66667</v>
      </c>
      <c r="B77" s="2">
        <f>IFERROR(__xludf.DUMMYFUNCTION("""COMPUTED_VALUE"""),785.0)</f>
        <v>785</v>
      </c>
      <c r="C77" s="2">
        <f>IFERROR(__xludf.DUMMYFUNCTION("""COMPUTED_VALUE"""),830.0)</f>
        <v>830</v>
      </c>
      <c r="D77" s="2">
        <f>IFERROR(__xludf.DUMMYFUNCTION("""COMPUTED_VALUE"""),775.0)</f>
        <v>775</v>
      </c>
      <c r="E77" s="2">
        <f>IFERROR(__xludf.DUMMYFUNCTION("""COMPUTED_VALUE"""),800.0)</f>
        <v>800</v>
      </c>
      <c r="F77" s="2">
        <f>IFERROR(__xludf.DUMMYFUNCTION("""COMPUTED_VALUE"""),1.447601E8)</f>
        <v>144760100</v>
      </c>
      <c r="G77" s="2">
        <f t="shared" si="1"/>
        <v>55</v>
      </c>
    </row>
    <row r="78" ht="15.75" customHeight="1">
      <c r="A78" s="1">
        <f>IFERROR(__xludf.DUMMYFUNCTION("""COMPUTED_VALUE"""),44634.66666666667)</f>
        <v>44634.66667</v>
      </c>
      <c r="B78" s="2">
        <f>IFERROR(__xludf.DUMMYFUNCTION("""COMPUTED_VALUE"""),815.0)</f>
        <v>815</v>
      </c>
      <c r="C78" s="2">
        <f>IFERROR(__xludf.DUMMYFUNCTION("""COMPUTED_VALUE"""),815.0)</f>
        <v>815</v>
      </c>
      <c r="D78" s="2">
        <f>IFERROR(__xludf.DUMMYFUNCTION("""COMPUTED_VALUE"""),800.0)</f>
        <v>800</v>
      </c>
      <c r="E78" s="2">
        <f>IFERROR(__xludf.DUMMYFUNCTION("""COMPUTED_VALUE"""),815.0)</f>
        <v>815</v>
      </c>
      <c r="F78" s="2">
        <f>IFERROR(__xludf.DUMMYFUNCTION("""COMPUTED_VALUE"""),9.80483E7)</f>
        <v>98048300</v>
      </c>
      <c r="G78" s="2">
        <f t="shared" si="1"/>
        <v>15</v>
      </c>
    </row>
    <row r="79" ht="15.75" customHeight="1">
      <c r="A79" s="1">
        <f>IFERROR(__xludf.DUMMYFUNCTION("""COMPUTED_VALUE"""),44635.66666666667)</f>
        <v>44635.66667</v>
      </c>
      <c r="B79" s="2">
        <f>IFERROR(__xludf.DUMMYFUNCTION("""COMPUTED_VALUE"""),825.0)</f>
        <v>825</v>
      </c>
      <c r="C79" s="2">
        <f>IFERROR(__xludf.DUMMYFUNCTION("""COMPUTED_VALUE"""),825.0)</f>
        <v>825</v>
      </c>
      <c r="D79" s="2">
        <f>IFERROR(__xludf.DUMMYFUNCTION("""COMPUTED_VALUE"""),805.0)</f>
        <v>805</v>
      </c>
      <c r="E79" s="2">
        <f>IFERROR(__xludf.DUMMYFUNCTION("""COMPUTED_VALUE"""),810.0)</f>
        <v>810</v>
      </c>
      <c r="F79" s="2">
        <f>IFERROR(__xludf.DUMMYFUNCTION("""COMPUTED_VALUE"""),7.92989E7)</f>
        <v>79298900</v>
      </c>
      <c r="G79" s="2">
        <f t="shared" si="1"/>
        <v>20</v>
      </c>
    </row>
    <row r="80" ht="15.75" customHeight="1">
      <c r="A80" s="1">
        <f>IFERROR(__xludf.DUMMYFUNCTION("""COMPUTED_VALUE"""),44636.66666666667)</f>
        <v>44636.66667</v>
      </c>
      <c r="B80" s="2">
        <f>IFERROR(__xludf.DUMMYFUNCTION("""COMPUTED_VALUE"""),810.0)</f>
        <v>810</v>
      </c>
      <c r="C80" s="2">
        <f>IFERROR(__xludf.DUMMYFUNCTION("""COMPUTED_VALUE"""),825.0)</f>
        <v>825</v>
      </c>
      <c r="D80" s="2">
        <f>IFERROR(__xludf.DUMMYFUNCTION("""COMPUTED_VALUE"""),795.0)</f>
        <v>795</v>
      </c>
      <c r="E80" s="2">
        <f>IFERROR(__xludf.DUMMYFUNCTION("""COMPUTED_VALUE"""),800.0)</f>
        <v>800</v>
      </c>
      <c r="F80" s="2">
        <f>IFERROR(__xludf.DUMMYFUNCTION("""COMPUTED_VALUE"""),6.59508E7)</f>
        <v>65950800</v>
      </c>
      <c r="G80" s="2">
        <f t="shared" si="1"/>
        <v>30</v>
      </c>
    </row>
    <row r="81" ht="15.75" customHeight="1">
      <c r="A81" s="1">
        <f>IFERROR(__xludf.DUMMYFUNCTION("""COMPUTED_VALUE"""),44637.66666666667)</f>
        <v>44637.66667</v>
      </c>
      <c r="B81" s="2">
        <f>IFERROR(__xludf.DUMMYFUNCTION("""COMPUTED_VALUE"""),795.0)</f>
        <v>795</v>
      </c>
      <c r="C81" s="2">
        <f>IFERROR(__xludf.DUMMYFUNCTION("""COMPUTED_VALUE"""),805.0)</f>
        <v>805</v>
      </c>
      <c r="D81" s="2">
        <f>IFERROR(__xludf.DUMMYFUNCTION("""COMPUTED_VALUE"""),790.0)</f>
        <v>790</v>
      </c>
      <c r="E81" s="2">
        <f>IFERROR(__xludf.DUMMYFUNCTION("""COMPUTED_VALUE"""),795.0)</f>
        <v>795</v>
      </c>
      <c r="F81" s="2">
        <f>IFERROR(__xludf.DUMMYFUNCTION("""COMPUTED_VALUE"""),2.38054E7)</f>
        <v>23805400</v>
      </c>
      <c r="G81" s="2">
        <f t="shared" si="1"/>
        <v>15</v>
      </c>
    </row>
    <row r="82" ht="15.75" customHeight="1">
      <c r="A82" s="1">
        <f>IFERROR(__xludf.DUMMYFUNCTION("""COMPUTED_VALUE"""),44638.66666666667)</f>
        <v>44638.66667</v>
      </c>
      <c r="B82" s="2">
        <f>IFERROR(__xludf.DUMMYFUNCTION("""COMPUTED_VALUE"""),740.0)</f>
        <v>740</v>
      </c>
      <c r="C82" s="2">
        <f>IFERROR(__xludf.DUMMYFUNCTION("""COMPUTED_VALUE"""),800.0)</f>
        <v>800</v>
      </c>
      <c r="D82" s="2">
        <f>IFERROR(__xludf.DUMMYFUNCTION("""COMPUTED_VALUE"""),740.0)</f>
        <v>740</v>
      </c>
      <c r="E82" s="2">
        <f>IFERROR(__xludf.DUMMYFUNCTION("""COMPUTED_VALUE"""),800.0)</f>
        <v>800</v>
      </c>
      <c r="F82" s="2">
        <f>IFERROR(__xludf.DUMMYFUNCTION("""COMPUTED_VALUE"""),1.808831E8)</f>
        <v>180883100</v>
      </c>
      <c r="G82" s="2">
        <f t="shared" si="1"/>
        <v>60</v>
      </c>
    </row>
    <row r="83" ht="15.75" customHeight="1">
      <c r="A83" s="1">
        <f>IFERROR(__xludf.DUMMYFUNCTION("""COMPUTED_VALUE"""),44641.66666666667)</f>
        <v>44641.66667</v>
      </c>
      <c r="B83" s="2">
        <f>IFERROR(__xludf.DUMMYFUNCTION("""COMPUTED_VALUE"""),760.0)</f>
        <v>760</v>
      </c>
      <c r="C83" s="2">
        <f>IFERROR(__xludf.DUMMYFUNCTION("""COMPUTED_VALUE"""),800.0)</f>
        <v>800</v>
      </c>
      <c r="D83" s="2">
        <f>IFERROR(__xludf.DUMMYFUNCTION("""COMPUTED_VALUE"""),760.0)</f>
        <v>760</v>
      </c>
      <c r="E83" s="2">
        <f>IFERROR(__xludf.DUMMYFUNCTION("""COMPUTED_VALUE"""),785.0)</f>
        <v>785</v>
      </c>
      <c r="F83" s="2">
        <f>IFERROR(__xludf.DUMMYFUNCTION("""COMPUTED_VALUE"""),4.38604E7)</f>
        <v>43860400</v>
      </c>
      <c r="G83" s="2">
        <f t="shared" si="1"/>
        <v>40</v>
      </c>
    </row>
    <row r="84" ht="15.75" customHeight="1">
      <c r="A84" s="1">
        <f>IFERROR(__xludf.DUMMYFUNCTION("""COMPUTED_VALUE"""),44642.66666666667)</f>
        <v>44642.66667</v>
      </c>
      <c r="B84" s="2">
        <f>IFERROR(__xludf.DUMMYFUNCTION("""COMPUTED_VALUE"""),795.0)</f>
        <v>795</v>
      </c>
      <c r="C84" s="2">
        <f>IFERROR(__xludf.DUMMYFUNCTION("""COMPUTED_VALUE"""),800.0)</f>
        <v>800</v>
      </c>
      <c r="D84" s="2">
        <f>IFERROR(__xludf.DUMMYFUNCTION("""COMPUTED_VALUE"""),770.0)</f>
        <v>770</v>
      </c>
      <c r="E84" s="2">
        <f>IFERROR(__xludf.DUMMYFUNCTION("""COMPUTED_VALUE"""),795.0)</f>
        <v>795</v>
      </c>
      <c r="F84" s="2">
        <f>IFERROR(__xludf.DUMMYFUNCTION("""COMPUTED_VALUE"""),9.34221E7)</f>
        <v>93422100</v>
      </c>
      <c r="G84" s="2">
        <f t="shared" si="1"/>
        <v>30</v>
      </c>
    </row>
    <row r="85" ht="15.75" customHeight="1">
      <c r="A85" s="1">
        <f>IFERROR(__xludf.DUMMYFUNCTION("""COMPUTED_VALUE"""),44643.66666666667)</f>
        <v>44643.66667</v>
      </c>
      <c r="B85" s="2">
        <f>IFERROR(__xludf.DUMMYFUNCTION("""COMPUTED_VALUE"""),800.0)</f>
        <v>800</v>
      </c>
      <c r="C85" s="2">
        <f>IFERROR(__xludf.DUMMYFUNCTION("""COMPUTED_VALUE"""),800.0)</f>
        <v>800</v>
      </c>
      <c r="D85" s="2">
        <f>IFERROR(__xludf.DUMMYFUNCTION("""COMPUTED_VALUE"""),785.0)</f>
        <v>785</v>
      </c>
      <c r="E85" s="2">
        <f>IFERROR(__xludf.DUMMYFUNCTION("""COMPUTED_VALUE"""),795.0)</f>
        <v>795</v>
      </c>
      <c r="F85" s="2">
        <f>IFERROR(__xludf.DUMMYFUNCTION("""COMPUTED_VALUE"""),2.34291E7)</f>
        <v>23429100</v>
      </c>
      <c r="G85" s="2">
        <f t="shared" si="1"/>
        <v>15</v>
      </c>
    </row>
    <row r="86" ht="15.75" customHeight="1">
      <c r="A86" s="1">
        <f>IFERROR(__xludf.DUMMYFUNCTION("""COMPUTED_VALUE"""),44644.66666666667)</f>
        <v>44644.66667</v>
      </c>
      <c r="B86" s="2">
        <f>IFERROR(__xludf.DUMMYFUNCTION("""COMPUTED_VALUE"""),795.0)</f>
        <v>795</v>
      </c>
      <c r="C86" s="2">
        <f>IFERROR(__xludf.DUMMYFUNCTION("""COMPUTED_VALUE"""),795.0)</f>
        <v>795</v>
      </c>
      <c r="D86" s="2">
        <f>IFERROR(__xludf.DUMMYFUNCTION("""COMPUTED_VALUE"""),755.0)</f>
        <v>755</v>
      </c>
      <c r="E86" s="2">
        <f>IFERROR(__xludf.DUMMYFUNCTION("""COMPUTED_VALUE"""),760.0)</f>
        <v>760</v>
      </c>
      <c r="F86" s="2">
        <f>IFERROR(__xludf.DUMMYFUNCTION("""COMPUTED_VALUE"""),2.013898E8)</f>
        <v>201389800</v>
      </c>
      <c r="G86" s="2">
        <f t="shared" si="1"/>
        <v>40</v>
      </c>
    </row>
    <row r="87" ht="15.75" customHeight="1">
      <c r="A87" s="1">
        <f>IFERROR(__xludf.DUMMYFUNCTION("""COMPUTED_VALUE"""),44645.66666666667)</f>
        <v>44645.66667</v>
      </c>
      <c r="B87" s="2">
        <f>IFERROR(__xludf.DUMMYFUNCTION("""COMPUTED_VALUE"""),765.0)</f>
        <v>765</v>
      </c>
      <c r="C87" s="2">
        <f>IFERROR(__xludf.DUMMYFUNCTION("""COMPUTED_VALUE"""),770.0)</f>
        <v>770</v>
      </c>
      <c r="D87" s="2">
        <f>IFERROR(__xludf.DUMMYFUNCTION("""COMPUTED_VALUE"""),760.0)</f>
        <v>760</v>
      </c>
      <c r="E87" s="2">
        <f>IFERROR(__xludf.DUMMYFUNCTION("""COMPUTED_VALUE"""),760.0)</f>
        <v>760</v>
      </c>
      <c r="F87" s="2">
        <f>IFERROR(__xludf.DUMMYFUNCTION("""COMPUTED_VALUE"""),5.29856E7)</f>
        <v>52985600</v>
      </c>
      <c r="G87" s="2">
        <f t="shared" si="1"/>
        <v>10</v>
      </c>
    </row>
    <row r="88" ht="15.75" customHeight="1">
      <c r="A88" s="1">
        <f>IFERROR(__xludf.DUMMYFUNCTION("""COMPUTED_VALUE"""),44648.66666666667)</f>
        <v>44648.66667</v>
      </c>
      <c r="B88" s="2">
        <f>IFERROR(__xludf.DUMMYFUNCTION("""COMPUTED_VALUE"""),765.0)</f>
        <v>765</v>
      </c>
      <c r="C88" s="2">
        <f>IFERROR(__xludf.DUMMYFUNCTION("""COMPUTED_VALUE"""),775.0)</f>
        <v>775</v>
      </c>
      <c r="D88" s="2">
        <f>IFERROR(__xludf.DUMMYFUNCTION("""COMPUTED_VALUE"""),755.0)</f>
        <v>755</v>
      </c>
      <c r="E88" s="2">
        <f>IFERROR(__xludf.DUMMYFUNCTION("""COMPUTED_VALUE"""),770.0)</f>
        <v>770</v>
      </c>
      <c r="F88" s="2">
        <f>IFERROR(__xludf.DUMMYFUNCTION("""COMPUTED_VALUE"""),5.07209E7)</f>
        <v>50720900</v>
      </c>
      <c r="G88" s="2">
        <f t="shared" si="1"/>
        <v>20</v>
      </c>
    </row>
    <row r="89" ht="15.75" customHeight="1">
      <c r="A89" s="1">
        <f>IFERROR(__xludf.DUMMYFUNCTION("""COMPUTED_VALUE"""),44649.66666666667)</f>
        <v>44649.66667</v>
      </c>
      <c r="B89" s="2">
        <f>IFERROR(__xludf.DUMMYFUNCTION("""COMPUTED_VALUE"""),775.0)</f>
        <v>775</v>
      </c>
      <c r="C89" s="2">
        <f>IFERROR(__xludf.DUMMYFUNCTION("""COMPUTED_VALUE"""),775.0)</f>
        <v>775</v>
      </c>
      <c r="D89" s="2">
        <f>IFERROR(__xludf.DUMMYFUNCTION("""COMPUTED_VALUE"""),765.0)</f>
        <v>765</v>
      </c>
      <c r="E89" s="2">
        <f>IFERROR(__xludf.DUMMYFUNCTION("""COMPUTED_VALUE"""),765.0)</f>
        <v>765</v>
      </c>
      <c r="F89" s="2">
        <f>IFERROR(__xludf.DUMMYFUNCTION("""COMPUTED_VALUE"""),3.07809E7)</f>
        <v>30780900</v>
      </c>
      <c r="G89" s="2">
        <f t="shared" si="1"/>
        <v>10</v>
      </c>
    </row>
    <row r="90" ht="15.75" customHeight="1">
      <c r="A90" s="1">
        <f>IFERROR(__xludf.DUMMYFUNCTION("""COMPUTED_VALUE"""),44650.66666666667)</f>
        <v>44650.66667</v>
      </c>
      <c r="B90" s="2">
        <f>IFERROR(__xludf.DUMMYFUNCTION("""COMPUTED_VALUE"""),765.0)</f>
        <v>765</v>
      </c>
      <c r="C90" s="2">
        <f>IFERROR(__xludf.DUMMYFUNCTION("""COMPUTED_VALUE"""),770.0)</f>
        <v>770</v>
      </c>
      <c r="D90" s="2">
        <f>IFERROR(__xludf.DUMMYFUNCTION("""COMPUTED_VALUE"""),765.0)</f>
        <v>765</v>
      </c>
      <c r="E90" s="2">
        <f>IFERROR(__xludf.DUMMYFUNCTION("""COMPUTED_VALUE"""),770.0)</f>
        <v>770</v>
      </c>
      <c r="F90" s="2">
        <f>IFERROR(__xludf.DUMMYFUNCTION("""COMPUTED_VALUE"""),4.04754E7)</f>
        <v>40475400</v>
      </c>
      <c r="G90" s="2">
        <f t="shared" si="1"/>
        <v>5</v>
      </c>
    </row>
    <row r="91" ht="15.75" customHeight="1">
      <c r="A91" s="1">
        <f>IFERROR(__xludf.DUMMYFUNCTION("""COMPUTED_VALUE"""),44651.66666666667)</f>
        <v>44651.66667</v>
      </c>
      <c r="B91" s="2">
        <f>IFERROR(__xludf.DUMMYFUNCTION("""COMPUTED_VALUE"""),770.0)</f>
        <v>770</v>
      </c>
      <c r="C91" s="2">
        <f>IFERROR(__xludf.DUMMYFUNCTION("""COMPUTED_VALUE"""),775.0)</f>
        <v>775</v>
      </c>
      <c r="D91" s="2">
        <f>IFERROR(__xludf.DUMMYFUNCTION("""COMPUTED_VALUE"""),765.0)</f>
        <v>765</v>
      </c>
      <c r="E91" s="2">
        <f>IFERROR(__xludf.DUMMYFUNCTION("""COMPUTED_VALUE"""),770.0)</f>
        <v>770</v>
      </c>
      <c r="F91" s="2">
        <f>IFERROR(__xludf.DUMMYFUNCTION("""COMPUTED_VALUE"""),1.24313E7)</f>
        <v>12431300</v>
      </c>
      <c r="G91" s="2">
        <f t="shared" si="1"/>
        <v>10</v>
      </c>
    </row>
    <row r="92" ht="15.75" customHeight="1">
      <c r="A92" s="1">
        <f>IFERROR(__xludf.DUMMYFUNCTION("""COMPUTED_VALUE"""),44652.66666666667)</f>
        <v>44652.66667</v>
      </c>
      <c r="B92" s="2">
        <f>IFERROR(__xludf.DUMMYFUNCTION("""COMPUTED_VALUE"""),765.0)</f>
        <v>765</v>
      </c>
      <c r="C92" s="2">
        <f>IFERROR(__xludf.DUMMYFUNCTION("""COMPUTED_VALUE"""),770.0)</f>
        <v>770</v>
      </c>
      <c r="D92" s="2">
        <f>IFERROR(__xludf.DUMMYFUNCTION("""COMPUTED_VALUE"""),760.0)</f>
        <v>760</v>
      </c>
      <c r="E92" s="2">
        <f>IFERROR(__xludf.DUMMYFUNCTION("""COMPUTED_VALUE"""),760.0)</f>
        <v>760</v>
      </c>
      <c r="F92" s="2">
        <f>IFERROR(__xludf.DUMMYFUNCTION("""COMPUTED_VALUE"""),4.61733E7)</f>
        <v>46173300</v>
      </c>
      <c r="G92" s="2">
        <f t="shared" si="1"/>
        <v>10</v>
      </c>
    </row>
    <row r="93" ht="15.75" customHeight="1">
      <c r="A93" s="1">
        <f>IFERROR(__xludf.DUMMYFUNCTION("""COMPUTED_VALUE"""),44655.66666666667)</f>
        <v>44655.66667</v>
      </c>
      <c r="B93" s="2">
        <f>IFERROR(__xludf.DUMMYFUNCTION("""COMPUTED_VALUE"""),765.0)</f>
        <v>765</v>
      </c>
      <c r="C93" s="2">
        <f>IFERROR(__xludf.DUMMYFUNCTION("""COMPUTED_VALUE"""),780.0)</f>
        <v>780</v>
      </c>
      <c r="D93" s="2">
        <f>IFERROR(__xludf.DUMMYFUNCTION("""COMPUTED_VALUE"""),765.0)</f>
        <v>765</v>
      </c>
      <c r="E93" s="2">
        <f>IFERROR(__xludf.DUMMYFUNCTION("""COMPUTED_VALUE"""),775.0)</f>
        <v>775</v>
      </c>
      <c r="F93" s="2">
        <f>IFERROR(__xludf.DUMMYFUNCTION("""COMPUTED_VALUE"""),3.84242E7)</f>
        <v>38424200</v>
      </c>
      <c r="G93" s="2">
        <f t="shared" si="1"/>
        <v>20</v>
      </c>
    </row>
    <row r="94" ht="15.75" customHeight="1">
      <c r="A94" s="1">
        <f>IFERROR(__xludf.DUMMYFUNCTION("""COMPUTED_VALUE"""),44656.66666666667)</f>
        <v>44656.66667</v>
      </c>
      <c r="B94" s="2">
        <f>IFERROR(__xludf.DUMMYFUNCTION("""COMPUTED_VALUE"""),775.0)</f>
        <v>775</v>
      </c>
      <c r="C94" s="2">
        <f>IFERROR(__xludf.DUMMYFUNCTION("""COMPUTED_VALUE"""),780.0)</f>
        <v>780</v>
      </c>
      <c r="D94" s="2">
        <f>IFERROR(__xludf.DUMMYFUNCTION("""COMPUTED_VALUE"""),770.0)</f>
        <v>770</v>
      </c>
      <c r="E94" s="2">
        <f>IFERROR(__xludf.DUMMYFUNCTION("""COMPUTED_VALUE"""),775.0)</f>
        <v>775</v>
      </c>
      <c r="F94" s="2">
        <f>IFERROR(__xludf.DUMMYFUNCTION("""COMPUTED_VALUE"""),4.31761E7)</f>
        <v>43176100</v>
      </c>
      <c r="G94" s="2">
        <f t="shared" si="1"/>
        <v>10</v>
      </c>
    </row>
    <row r="95" ht="15.75" customHeight="1">
      <c r="A95" s="1">
        <f>IFERROR(__xludf.DUMMYFUNCTION("""COMPUTED_VALUE"""),44657.66666666667)</f>
        <v>44657.66667</v>
      </c>
      <c r="B95" s="2">
        <f>IFERROR(__xludf.DUMMYFUNCTION("""COMPUTED_VALUE"""),775.0)</f>
        <v>775</v>
      </c>
      <c r="C95" s="2">
        <f>IFERROR(__xludf.DUMMYFUNCTION("""COMPUTED_VALUE"""),775.0)</f>
        <v>775</v>
      </c>
      <c r="D95" s="2">
        <f>IFERROR(__xludf.DUMMYFUNCTION("""COMPUTED_VALUE"""),760.0)</f>
        <v>760</v>
      </c>
      <c r="E95" s="2">
        <f>IFERROR(__xludf.DUMMYFUNCTION("""COMPUTED_VALUE"""),765.0)</f>
        <v>765</v>
      </c>
      <c r="F95" s="2">
        <f>IFERROR(__xludf.DUMMYFUNCTION("""COMPUTED_VALUE"""),4.65991E7)</f>
        <v>46599100</v>
      </c>
      <c r="G95" s="2">
        <f t="shared" si="1"/>
        <v>15</v>
      </c>
    </row>
    <row r="96" ht="15.75" customHeight="1">
      <c r="A96" s="1">
        <f>IFERROR(__xludf.DUMMYFUNCTION("""COMPUTED_VALUE"""),44658.66666666667)</f>
        <v>44658.66667</v>
      </c>
      <c r="B96" s="2">
        <f>IFERROR(__xludf.DUMMYFUNCTION("""COMPUTED_VALUE"""),765.0)</f>
        <v>765</v>
      </c>
      <c r="C96" s="2">
        <f>IFERROR(__xludf.DUMMYFUNCTION("""COMPUTED_VALUE"""),770.0)</f>
        <v>770</v>
      </c>
      <c r="D96" s="2">
        <f>IFERROR(__xludf.DUMMYFUNCTION("""COMPUTED_VALUE"""),760.0)</f>
        <v>760</v>
      </c>
      <c r="E96" s="2">
        <f>IFERROR(__xludf.DUMMYFUNCTION("""COMPUTED_VALUE"""),760.0)</f>
        <v>760</v>
      </c>
      <c r="F96" s="2">
        <f>IFERROR(__xludf.DUMMYFUNCTION("""COMPUTED_VALUE"""),3.91406E7)</f>
        <v>39140600</v>
      </c>
      <c r="G96" s="2">
        <f t="shared" si="1"/>
        <v>10</v>
      </c>
    </row>
    <row r="97" ht="15.75" customHeight="1">
      <c r="A97" s="1">
        <f>IFERROR(__xludf.DUMMYFUNCTION("""COMPUTED_VALUE"""),44659.66666666667)</f>
        <v>44659.66667</v>
      </c>
      <c r="B97" s="2">
        <f>IFERROR(__xludf.DUMMYFUNCTION("""COMPUTED_VALUE"""),760.0)</f>
        <v>760</v>
      </c>
      <c r="C97" s="2">
        <f>IFERROR(__xludf.DUMMYFUNCTION("""COMPUTED_VALUE"""),765.0)</f>
        <v>765</v>
      </c>
      <c r="D97" s="2">
        <f>IFERROR(__xludf.DUMMYFUNCTION("""COMPUTED_VALUE"""),760.0)</f>
        <v>760</v>
      </c>
      <c r="E97" s="2">
        <f>IFERROR(__xludf.DUMMYFUNCTION("""COMPUTED_VALUE"""),760.0)</f>
        <v>760</v>
      </c>
      <c r="F97" s="2">
        <f>IFERROR(__xludf.DUMMYFUNCTION("""COMPUTED_VALUE"""),4.61961E7)</f>
        <v>46196100</v>
      </c>
      <c r="G97" s="2">
        <f t="shared" si="1"/>
        <v>5</v>
      </c>
    </row>
    <row r="98" ht="15.75" customHeight="1">
      <c r="A98" s="1">
        <f>IFERROR(__xludf.DUMMYFUNCTION("""COMPUTED_VALUE"""),44662.66666666667)</f>
        <v>44662.66667</v>
      </c>
      <c r="B98" s="2">
        <f>IFERROR(__xludf.DUMMYFUNCTION("""COMPUTED_VALUE"""),760.0)</f>
        <v>760</v>
      </c>
      <c r="C98" s="2">
        <f>IFERROR(__xludf.DUMMYFUNCTION("""COMPUTED_VALUE"""),765.0)</f>
        <v>765</v>
      </c>
      <c r="D98" s="2">
        <f>IFERROR(__xludf.DUMMYFUNCTION("""COMPUTED_VALUE"""),750.0)</f>
        <v>750</v>
      </c>
      <c r="E98" s="2">
        <f>IFERROR(__xludf.DUMMYFUNCTION("""COMPUTED_VALUE"""),750.0)</f>
        <v>750</v>
      </c>
      <c r="F98" s="2">
        <f>IFERROR(__xludf.DUMMYFUNCTION("""COMPUTED_VALUE"""),5.36478E7)</f>
        <v>53647800</v>
      </c>
      <c r="G98" s="2">
        <f t="shared" si="1"/>
        <v>15</v>
      </c>
    </row>
    <row r="99" ht="15.75" customHeight="1">
      <c r="A99" s="1">
        <f>IFERROR(__xludf.DUMMYFUNCTION("""COMPUTED_VALUE"""),44663.66666666667)</f>
        <v>44663.66667</v>
      </c>
      <c r="B99" s="2">
        <f>IFERROR(__xludf.DUMMYFUNCTION("""COMPUTED_VALUE"""),755.0)</f>
        <v>755</v>
      </c>
      <c r="C99" s="2">
        <f>IFERROR(__xludf.DUMMYFUNCTION("""COMPUTED_VALUE"""),760.0)</f>
        <v>760</v>
      </c>
      <c r="D99" s="2">
        <f>IFERROR(__xludf.DUMMYFUNCTION("""COMPUTED_VALUE"""),745.0)</f>
        <v>745</v>
      </c>
      <c r="E99" s="2">
        <f>IFERROR(__xludf.DUMMYFUNCTION("""COMPUTED_VALUE"""),745.0)</f>
        <v>745</v>
      </c>
      <c r="F99" s="2">
        <f>IFERROR(__xludf.DUMMYFUNCTION("""COMPUTED_VALUE"""),3.89161E7)</f>
        <v>38916100</v>
      </c>
      <c r="G99" s="2">
        <f t="shared" si="1"/>
        <v>15</v>
      </c>
    </row>
    <row r="100" ht="15.75" customHeight="1">
      <c r="A100" s="1">
        <f>IFERROR(__xludf.DUMMYFUNCTION("""COMPUTED_VALUE"""),44664.66666666667)</f>
        <v>44664.66667</v>
      </c>
      <c r="B100" s="2">
        <f>IFERROR(__xludf.DUMMYFUNCTION("""COMPUTED_VALUE"""),745.0)</f>
        <v>745</v>
      </c>
      <c r="C100" s="2">
        <f>IFERROR(__xludf.DUMMYFUNCTION("""COMPUTED_VALUE"""),755.0)</f>
        <v>755</v>
      </c>
      <c r="D100" s="2">
        <f>IFERROR(__xludf.DUMMYFUNCTION("""COMPUTED_VALUE"""),745.0)</f>
        <v>745</v>
      </c>
      <c r="E100" s="2">
        <f>IFERROR(__xludf.DUMMYFUNCTION("""COMPUTED_VALUE"""),750.0)</f>
        <v>750</v>
      </c>
      <c r="F100" s="2">
        <f>IFERROR(__xludf.DUMMYFUNCTION("""COMPUTED_VALUE"""),3.92269E7)</f>
        <v>39226900</v>
      </c>
      <c r="G100" s="2">
        <f t="shared" si="1"/>
        <v>10</v>
      </c>
    </row>
    <row r="101" ht="15.75" customHeight="1">
      <c r="A101" s="1">
        <f>IFERROR(__xludf.DUMMYFUNCTION("""COMPUTED_VALUE"""),44665.66666666667)</f>
        <v>44665.66667</v>
      </c>
      <c r="B101" s="2">
        <f>IFERROR(__xludf.DUMMYFUNCTION("""COMPUTED_VALUE"""),750.0)</f>
        <v>750</v>
      </c>
      <c r="C101" s="2">
        <f>IFERROR(__xludf.DUMMYFUNCTION("""COMPUTED_VALUE"""),770.0)</f>
        <v>770</v>
      </c>
      <c r="D101" s="2">
        <f>IFERROR(__xludf.DUMMYFUNCTION("""COMPUTED_VALUE"""),745.0)</f>
        <v>745</v>
      </c>
      <c r="E101" s="2">
        <f>IFERROR(__xludf.DUMMYFUNCTION("""COMPUTED_VALUE"""),765.0)</f>
        <v>765</v>
      </c>
      <c r="F101" s="2">
        <f>IFERROR(__xludf.DUMMYFUNCTION("""COMPUTED_VALUE"""),5.52428E7)</f>
        <v>55242800</v>
      </c>
      <c r="G101" s="2">
        <f t="shared" si="1"/>
        <v>25</v>
      </c>
    </row>
    <row r="102" ht="15.75" customHeight="1">
      <c r="A102" s="1">
        <f>IFERROR(__xludf.DUMMYFUNCTION("""COMPUTED_VALUE"""),44669.66666666667)</f>
        <v>44669.66667</v>
      </c>
      <c r="B102" s="2">
        <f>IFERROR(__xludf.DUMMYFUNCTION("""COMPUTED_VALUE"""),765.0)</f>
        <v>765</v>
      </c>
      <c r="C102" s="2">
        <f>IFERROR(__xludf.DUMMYFUNCTION("""COMPUTED_VALUE"""),770.0)</f>
        <v>770</v>
      </c>
      <c r="D102" s="2">
        <f>IFERROR(__xludf.DUMMYFUNCTION("""COMPUTED_VALUE"""),755.0)</f>
        <v>755</v>
      </c>
      <c r="E102" s="2">
        <f>IFERROR(__xludf.DUMMYFUNCTION("""COMPUTED_VALUE"""),765.0)</f>
        <v>765</v>
      </c>
      <c r="F102" s="2">
        <f>IFERROR(__xludf.DUMMYFUNCTION("""COMPUTED_VALUE"""),3.1985E7)</f>
        <v>31985000</v>
      </c>
      <c r="G102" s="2">
        <f t="shared" si="1"/>
        <v>15</v>
      </c>
    </row>
    <row r="103" ht="15.75" customHeight="1">
      <c r="A103" s="1">
        <f>IFERROR(__xludf.DUMMYFUNCTION("""COMPUTED_VALUE"""),44670.66666666667)</f>
        <v>44670.66667</v>
      </c>
      <c r="B103" s="2">
        <f>IFERROR(__xludf.DUMMYFUNCTION("""COMPUTED_VALUE"""),765.0)</f>
        <v>765</v>
      </c>
      <c r="C103" s="2">
        <f>IFERROR(__xludf.DUMMYFUNCTION("""COMPUTED_VALUE"""),775.0)</f>
        <v>775</v>
      </c>
      <c r="D103" s="2">
        <f>IFERROR(__xludf.DUMMYFUNCTION("""COMPUTED_VALUE"""),760.0)</f>
        <v>760</v>
      </c>
      <c r="E103" s="2">
        <f>IFERROR(__xludf.DUMMYFUNCTION("""COMPUTED_VALUE"""),775.0)</f>
        <v>775</v>
      </c>
      <c r="F103" s="2">
        <f>IFERROR(__xludf.DUMMYFUNCTION("""COMPUTED_VALUE"""),2.39202E7)</f>
        <v>23920200</v>
      </c>
      <c r="G103" s="2">
        <f t="shared" si="1"/>
        <v>15</v>
      </c>
    </row>
    <row r="104" ht="15.75" customHeight="1">
      <c r="A104" s="1">
        <f>IFERROR(__xludf.DUMMYFUNCTION("""COMPUTED_VALUE"""),44671.66666666667)</f>
        <v>44671.66667</v>
      </c>
      <c r="B104" s="2">
        <f>IFERROR(__xludf.DUMMYFUNCTION("""COMPUTED_VALUE"""),775.0)</f>
        <v>775</v>
      </c>
      <c r="C104" s="2">
        <f>IFERROR(__xludf.DUMMYFUNCTION("""COMPUTED_VALUE"""),785.0)</f>
        <v>785</v>
      </c>
      <c r="D104" s="2">
        <f>IFERROR(__xludf.DUMMYFUNCTION("""COMPUTED_VALUE"""),765.0)</f>
        <v>765</v>
      </c>
      <c r="E104" s="2">
        <f>IFERROR(__xludf.DUMMYFUNCTION("""COMPUTED_VALUE"""),785.0)</f>
        <v>785</v>
      </c>
      <c r="F104" s="2">
        <f>IFERROR(__xludf.DUMMYFUNCTION("""COMPUTED_VALUE"""),5.68111E7)</f>
        <v>56811100</v>
      </c>
      <c r="G104" s="2">
        <f t="shared" si="1"/>
        <v>20</v>
      </c>
    </row>
    <row r="105" ht="15.75" customHeight="1">
      <c r="A105" s="1">
        <f>IFERROR(__xludf.DUMMYFUNCTION("""COMPUTED_VALUE"""),44672.66666666667)</f>
        <v>44672.66667</v>
      </c>
      <c r="B105" s="2">
        <f>IFERROR(__xludf.DUMMYFUNCTION("""COMPUTED_VALUE"""),785.0)</f>
        <v>785</v>
      </c>
      <c r="C105" s="2">
        <f>IFERROR(__xludf.DUMMYFUNCTION("""COMPUTED_VALUE"""),800.0)</f>
        <v>800</v>
      </c>
      <c r="D105" s="2">
        <f>IFERROR(__xludf.DUMMYFUNCTION("""COMPUTED_VALUE"""),770.0)</f>
        <v>770</v>
      </c>
      <c r="E105" s="2">
        <f>IFERROR(__xludf.DUMMYFUNCTION("""COMPUTED_VALUE"""),800.0)</f>
        <v>800</v>
      </c>
      <c r="F105" s="2">
        <f>IFERROR(__xludf.DUMMYFUNCTION("""COMPUTED_VALUE"""),7.03251E7)</f>
        <v>70325100</v>
      </c>
      <c r="G105" s="2">
        <f t="shared" si="1"/>
        <v>30</v>
      </c>
    </row>
    <row r="106" ht="15.75" customHeight="1">
      <c r="A106" s="1">
        <f>IFERROR(__xludf.DUMMYFUNCTION("""COMPUTED_VALUE"""),44673.66666666667)</f>
        <v>44673.66667</v>
      </c>
      <c r="B106" s="2">
        <f>IFERROR(__xludf.DUMMYFUNCTION("""COMPUTED_VALUE"""),800.0)</f>
        <v>800</v>
      </c>
      <c r="C106" s="2">
        <f>IFERROR(__xludf.DUMMYFUNCTION("""COMPUTED_VALUE"""),805.0)</f>
        <v>805</v>
      </c>
      <c r="D106" s="2">
        <f>IFERROR(__xludf.DUMMYFUNCTION("""COMPUTED_VALUE"""),780.0)</f>
        <v>780</v>
      </c>
      <c r="E106" s="2">
        <f>IFERROR(__xludf.DUMMYFUNCTION("""COMPUTED_VALUE"""),800.0)</f>
        <v>800</v>
      </c>
      <c r="F106" s="2">
        <f>IFERROR(__xludf.DUMMYFUNCTION("""COMPUTED_VALUE"""),6.64226E7)</f>
        <v>66422600</v>
      </c>
      <c r="G106" s="2">
        <f t="shared" si="1"/>
        <v>25</v>
      </c>
    </row>
    <row r="107" ht="15.75" customHeight="1">
      <c r="A107" s="1">
        <f>IFERROR(__xludf.DUMMYFUNCTION("""COMPUTED_VALUE"""),44676.66666666667)</f>
        <v>44676.66667</v>
      </c>
      <c r="B107" s="2">
        <f>IFERROR(__xludf.DUMMYFUNCTION("""COMPUTED_VALUE"""),795.0)</f>
        <v>795</v>
      </c>
      <c r="C107" s="2">
        <f>IFERROR(__xludf.DUMMYFUNCTION("""COMPUTED_VALUE"""),795.0)</f>
        <v>795</v>
      </c>
      <c r="D107" s="2">
        <f>IFERROR(__xludf.DUMMYFUNCTION("""COMPUTED_VALUE"""),775.0)</f>
        <v>775</v>
      </c>
      <c r="E107" s="2">
        <f>IFERROR(__xludf.DUMMYFUNCTION("""COMPUTED_VALUE"""),775.0)</f>
        <v>775</v>
      </c>
      <c r="F107" s="2">
        <f>IFERROR(__xludf.DUMMYFUNCTION("""COMPUTED_VALUE"""),4.19834E7)</f>
        <v>41983400</v>
      </c>
      <c r="G107" s="2">
        <f t="shared" si="1"/>
        <v>25</v>
      </c>
    </row>
    <row r="108" ht="15.75" customHeight="1">
      <c r="A108" s="1">
        <f>IFERROR(__xludf.DUMMYFUNCTION("""COMPUTED_VALUE"""),44677.66666666667)</f>
        <v>44677.66667</v>
      </c>
      <c r="B108" s="2">
        <f>IFERROR(__xludf.DUMMYFUNCTION("""COMPUTED_VALUE"""),775.0)</f>
        <v>775</v>
      </c>
      <c r="C108" s="2">
        <f>IFERROR(__xludf.DUMMYFUNCTION("""COMPUTED_VALUE"""),780.0)</f>
        <v>780</v>
      </c>
      <c r="D108" s="2">
        <f>IFERROR(__xludf.DUMMYFUNCTION("""COMPUTED_VALUE"""),755.0)</f>
        <v>755</v>
      </c>
      <c r="E108" s="2">
        <f>IFERROR(__xludf.DUMMYFUNCTION("""COMPUTED_VALUE"""),760.0)</f>
        <v>760</v>
      </c>
      <c r="F108" s="2">
        <f>IFERROR(__xludf.DUMMYFUNCTION("""COMPUTED_VALUE"""),7.03064E7)</f>
        <v>70306400</v>
      </c>
      <c r="G108" s="2">
        <f t="shared" si="1"/>
        <v>25</v>
      </c>
    </row>
    <row r="109" ht="15.75" customHeight="1">
      <c r="A109" s="1">
        <f>IFERROR(__xludf.DUMMYFUNCTION("""COMPUTED_VALUE"""),44678.66666666667)</f>
        <v>44678.66667</v>
      </c>
      <c r="B109" s="2">
        <f>IFERROR(__xludf.DUMMYFUNCTION("""COMPUTED_VALUE"""),760.0)</f>
        <v>760</v>
      </c>
      <c r="C109" s="2">
        <f>IFERROR(__xludf.DUMMYFUNCTION("""COMPUTED_VALUE"""),765.0)</f>
        <v>765</v>
      </c>
      <c r="D109" s="2">
        <f>IFERROR(__xludf.DUMMYFUNCTION("""COMPUTED_VALUE"""),750.0)</f>
        <v>750</v>
      </c>
      <c r="E109" s="2">
        <f>IFERROR(__xludf.DUMMYFUNCTION("""COMPUTED_VALUE"""),750.0)</f>
        <v>750</v>
      </c>
      <c r="F109" s="2">
        <f>IFERROR(__xludf.DUMMYFUNCTION("""COMPUTED_VALUE"""),5.92621E7)</f>
        <v>59262100</v>
      </c>
      <c r="G109" s="2">
        <f t="shared" si="1"/>
        <v>15</v>
      </c>
    </row>
    <row r="110" ht="15.75" customHeight="1">
      <c r="A110" s="1">
        <f>IFERROR(__xludf.DUMMYFUNCTION("""COMPUTED_VALUE"""),44679.66666666667)</f>
        <v>44679.66667</v>
      </c>
      <c r="B110" s="2">
        <f>IFERROR(__xludf.DUMMYFUNCTION("""COMPUTED_VALUE"""),750.0)</f>
        <v>750</v>
      </c>
      <c r="C110" s="2">
        <f>IFERROR(__xludf.DUMMYFUNCTION("""COMPUTED_VALUE"""),770.0)</f>
        <v>770</v>
      </c>
      <c r="D110" s="2">
        <f>IFERROR(__xludf.DUMMYFUNCTION("""COMPUTED_VALUE"""),750.0)</f>
        <v>750</v>
      </c>
      <c r="E110" s="2">
        <f>IFERROR(__xludf.DUMMYFUNCTION("""COMPUTED_VALUE"""),765.0)</f>
        <v>765</v>
      </c>
      <c r="F110" s="2">
        <f>IFERROR(__xludf.DUMMYFUNCTION("""COMPUTED_VALUE"""),3.835E7)</f>
        <v>38350000</v>
      </c>
      <c r="G110" s="2">
        <f t="shared" si="1"/>
        <v>20</v>
      </c>
    </row>
    <row r="111" ht="15.75" customHeight="1">
      <c r="A111" s="1">
        <f>IFERROR(__xludf.DUMMYFUNCTION("""COMPUTED_VALUE"""),44690.66666666667)</f>
        <v>44690.66667</v>
      </c>
      <c r="B111" s="2">
        <f>IFERROR(__xludf.DUMMYFUNCTION("""COMPUTED_VALUE"""),770.0)</f>
        <v>770</v>
      </c>
      <c r="C111" s="2">
        <f>IFERROR(__xludf.DUMMYFUNCTION("""COMPUTED_VALUE"""),770.0)</f>
        <v>770</v>
      </c>
      <c r="D111" s="2">
        <f>IFERROR(__xludf.DUMMYFUNCTION("""COMPUTED_VALUE"""),750.0)</f>
        <v>750</v>
      </c>
      <c r="E111" s="2">
        <f>IFERROR(__xludf.DUMMYFUNCTION("""COMPUTED_VALUE"""),755.0)</f>
        <v>755</v>
      </c>
      <c r="F111" s="2">
        <f>IFERROR(__xludf.DUMMYFUNCTION("""COMPUTED_VALUE"""),4.23275E7)</f>
        <v>42327500</v>
      </c>
      <c r="G111" s="2">
        <f t="shared" si="1"/>
        <v>20</v>
      </c>
    </row>
    <row r="112" ht="15.75" customHeight="1">
      <c r="A112" s="1">
        <f>IFERROR(__xludf.DUMMYFUNCTION("""COMPUTED_VALUE"""),44691.66666666667)</f>
        <v>44691.66667</v>
      </c>
      <c r="B112" s="2">
        <f>IFERROR(__xludf.DUMMYFUNCTION("""COMPUTED_VALUE"""),755.0)</f>
        <v>755</v>
      </c>
      <c r="C112" s="2">
        <f>IFERROR(__xludf.DUMMYFUNCTION("""COMPUTED_VALUE"""),765.0)</f>
        <v>765</v>
      </c>
      <c r="D112" s="2">
        <f>IFERROR(__xludf.DUMMYFUNCTION("""COMPUTED_VALUE"""),745.0)</f>
        <v>745</v>
      </c>
      <c r="E112" s="2">
        <f>IFERROR(__xludf.DUMMYFUNCTION("""COMPUTED_VALUE"""),765.0)</f>
        <v>765</v>
      </c>
      <c r="F112" s="2">
        <f>IFERROR(__xludf.DUMMYFUNCTION("""COMPUTED_VALUE"""),6.76345E7)</f>
        <v>67634500</v>
      </c>
      <c r="G112" s="2">
        <f t="shared" si="1"/>
        <v>20</v>
      </c>
    </row>
    <row r="113" ht="15.75" customHeight="1">
      <c r="A113" s="1">
        <f>IFERROR(__xludf.DUMMYFUNCTION("""COMPUTED_VALUE"""),44692.66666666667)</f>
        <v>44692.66667</v>
      </c>
      <c r="B113" s="2">
        <f>IFERROR(__xludf.DUMMYFUNCTION("""COMPUTED_VALUE"""),760.0)</f>
        <v>760</v>
      </c>
      <c r="C113" s="2">
        <f>IFERROR(__xludf.DUMMYFUNCTION("""COMPUTED_VALUE"""),770.0)</f>
        <v>770</v>
      </c>
      <c r="D113" s="2">
        <f>IFERROR(__xludf.DUMMYFUNCTION("""COMPUTED_VALUE"""),750.0)</f>
        <v>750</v>
      </c>
      <c r="E113" s="2">
        <f>IFERROR(__xludf.DUMMYFUNCTION("""COMPUTED_VALUE"""),760.0)</f>
        <v>760</v>
      </c>
      <c r="F113" s="2">
        <f>IFERROR(__xludf.DUMMYFUNCTION("""COMPUTED_VALUE"""),7.33511E7)</f>
        <v>73351100</v>
      </c>
      <c r="G113" s="2">
        <f t="shared" si="1"/>
        <v>20</v>
      </c>
    </row>
    <row r="114" ht="15.75" customHeight="1">
      <c r="A114" s="1">
        <f>IFERROR(__xludf.DUMMYFUNCTION("""COMPUTED_VALUE"""),44693.66666666667)</f>
        <v>44693.66667</v>
      </c>
      <c r="B114" s="2">
        <f>IFERROR(__xludf.DUMMYFUNCTION("""COMPUTED_VALUE"""),760.0)</f>
        <v>760</v>
      </c>
      <c r="C114" s="2">
        <f>IFERROR(__xludf.DUMMYFUNCTION("""COMPUTED_VALUE"""),765.0)</f>
        <v>765</v>
      </c>
      <c r="D114" s="2">
        <f>IFERROR(__xludf.DUMMYFUNCTION("""COMPUTED_VALUE"""),750.0)</f>
        <v>750</v>
      </c>
      <c r="E114" s="2">
        <f>IFERROR(__xludf.DUMMYFUNCTION("""COMPUTED_VALUE"""),750.0)</f>
        <v>750</v>
      </c>
      <c r="F114" s="2">
        <f>IFERROR(__xludf.DUMMYFUNCTION("""COMPUTED_VALUE"""),5.29764E7)</f>
        <v>52976400</v>
      </c>
      <c r="G114" s="2">
        <f t="shared" si="1"/>
        <v>15</v>
      </c>
    </row>
    <row r="115" ht="15.75" customHeight="1">
      <c r="A115" s="1">
        <f>IFERROR(__xludf.DUMMYFUNCTION("""COMPUTED_VALUE"""),44694.66666666667)</f>
        <v>44694.66667</v>
      </c>
      <c r="B115" s="2">
        <f>IFERROR(__xludf.DUMMYFUNCTION("""COMPUTED_VALUE"""),750.0)</f>
        <v>750</v>
      </c>
      <c r="C115" s="2">
        <f>IFERROR(__xludf.DUMMYFUNCTION("""COMPUTED_VALUE"""),750.0)</f>
        <v>750</v>
      </c>
      <c r="D115" s="2">
        <f>IFERROR(__xludf.DUMMYFUNCTION("""COMPUTED_VALUE"""),735.0)</f>
        <v>735</v>
      </c>
      <c r="E115" s="2">
        <f>IFERROR(__xludf.DUMMYFUNCTION("""COMPUTED_VALUE"""),735.0)</f>
        <v>735</v>
      </c>
      <c r="F115" s="2">
        <f>IFERROR(__xludf.DUMMYFUNCTION("""COMPUTED_VALUE"""),4.82627E7)</f>
        <v>48262700</v>
      </c>
      <c r="G115" s="2">
        <f t="shared" si="1"/>
        <v>15</v>
      </c>
    </row>
    <row r="116" ht="15.75" customHeight="1">
      <c r="A116" s="1">
        <f>IFERROR(__xludf.DUMMYFUNCTION("""COMPUTED_VALUE"""),44698.66666666667)</f>
        <v>44698.66667</v>
      </c>
      <c r="B116" s="2">
        <f>IFERROR(__xludf.DUMMYFUNCTION("""COMPUTED_VALUE"""),740.0)</f>
        <v>740</v>
      </c>
      <c r="C116" s="2">
        <f>IFERROR(__xludf.DUMMYFUNCTION("""COMPUTED_VALUE"""),740.0)</f>
        <v>740</v>
      </c>
      <c r="D116" s="2">
        <f>IFERROR(__xludf.DUMMYFUNCTION("""COMPUTED_VALUE"""),685.0)</f>
        <v>685</v>
      </c>
      <c r="E116" s="2">
        <f>IFERROR(__xludf.DUMMYFUNCTION("""COMPUTED_VALUE"""),685.0)</f>
        <v>685</v>
      </c>
      <c r="F116" s="2">
        <f>IFERROR(__xludf.DUMMYFUNCTION("""COMPUTED_VALUE"""),1.228156E8)</f>
        <v>122815600</v>
      </c>
      <c r="G116" s="2">
        <f t="shared" si="1"/>
        <v>55</v>
      </c>
    </row>
    <row r="117" ht="15.75" customHeight="1">
      <c r="A117" s="1">
        <f>IFERROR(__xludf.DUMMYFUNCTION("""COMPUTED_VALUE"""),44699.66666666667)</f>
        <v>44699.66667</v>
      </c>
      <c r="B117" s="2">
        <f>IFERROR(__xludf.DUMMYFUNCTION("""COMPUTED_VALUE"""),690.0)</f>
        <v>690</v>
      </c>
      <c r="C117" s="2">
        <f>IFERROR(__xludf.DUMMYFUNCTION("""COMPUTED_VALUE"""),695.0)</f>
        <v>695</v>
      </c>
      <c r="D117" s="2">
        <f>IFERROR(__xludf.DUMMYFUNCTION("""COMPUTED_VALUE"""),665.0)</f>
        <v>665</v>
      </c>
      <c r="E117" s="2">
        <f>IFERROR(__xludf.DUMMYFUNCTION("""COMPUTED_VALUE"""),665.0)</f>
        <v>665</v>
      </c>
      <c r="F117" s="2">
        <f>IFERROR(__xludf.DUMMYFUNCTION("""COMPUTED_VALUE"""),8.24825E7)</f>
        <v>82482500</v>
      </c>
      <c r="G117" s="2">
        <f t="shared" si="1"/>
        <v>30</v>
      </c>
    </row>
    <row r="118" ht="15.75" customHeight="1">
      <c r="A118" s="1">
        <f>IFERROR(__xludf.DUMMYFUNCTION("""COMPUTED_VALUE"""),44700.66666666667)</f>
        <v>44700.66667</v>
      </c>
      <c r="B118" s="2">
        <f>IFERROR(__xludf.DUMMYFUNCTION("""COMPUTED_VALUE"""),660.0)</f>
        <v>660</v>
      </c>
      <c r="C118" s="2">
        <f>IFERROR(__xludf.DUMMYFUNCTION("""COMPUTED_VALUE"""),665.0)</f>
        <v>665</v>
      </c>
      <c r="D118" s="2">
        <f>IFERROR(__xludf.DUMMYFUNCTION("""COMPUTED_VALUE"""),640.0)</f>
        <v>640</v>
      </c>
      <c r="E118" s="2">
        <f>IFERROR(__xludf.DUMMYFUNCTION("""COMPUTED_VALUE"""),665.0)</f>
        <v>665</v>
      </c>
      <c r="F118" s="2">
        <f>IFERROR(__xludf.DUMMYFUNCTION("""COMPUTED_VALUE"""),1.175232E8)</f>
        <v>117523200</v>
      </c>
      <c r="G118" s="2">
        <f t="shared" si="1"/>
        <v>25</v>
      </c>
    </row>
    <row r="119" ht="15.75" customHeight="1">
      <c r="A119" s="1">
        <f>IFERROR(__xludf.DUMMYFUNCTION("""COMPUTED_VALUE"""),44701.66666666667)</f>
        <v>44701.66667</v>
      </c>
      <c r="B119" s="2">
        <f>IFERROR(__xludf.DUMMYFUNCTION("""COMPUTED_VALUE"""),665.0)</f>
        <v>665</v>
      </c>
      <c r="C119" s="2">
        <f>IFERROR(__xludf.DUMMYFUNCTION("""COMPUTED_VALUE"""),685.0)</f>
        <v>685</v>
      </c>
      <c r="D119" s="2">
        <f>IFERROR(__xludf.DUMMYFUNCTION("""COMPUTED_VALUE"""),660.0)</f>
        <v>660</v>
      </c>
      <c r="E119" s="2">
        <f>IFERROR(__xludf.DUMMYFUNCTION("""COMPUTED_VALUE"""),685.0)</f>
        <v>685</v>
      </c>
      <c r="F119" s="2">
        <f>IFERROR(__xludf.DUMMYFUNCTION("""COMPUTED_VALUE"""),6.17799E7)</f>
        <v>61779900</v>
      </c>
      <c r="G119" s="2">
        <f t="shared" si="1"/>
        <v>25</v>
      </c>
    </row>
    <row r="120" ht="15.75" customHeight="1">
      <c r="A120" s="1">
        <f>IFERROR(__xludf.DUMMYFUNCTION("""COMPUTED_VALUE"""),44704.66666666667)</f>
        <v>44704.66667</v>
      </c>
      <c r="B120" s="2">
        <f>IFERROR(__xludf.DUMMYFUNCTION("""COMPUTED_VALUE"""),685.0)</f>
        <v>685</v>
      </c>
      <c r="C120" s="2">
        <f>IFERROR(__xludf.DUMMYFUNCTION("""COMPUTED_VALUE"""),695.0)</f>
        <v>695</v>
      </c>
      <c r="D120" s="2">
        <f>IFERROR(__xludf.DUMMYFUNCTION("""COMPUTED_VALUE"""),670.0)</f>
        <v>670</v>
      </c>
      <c r="E120" s="2">
        <f>IFERROR(__xludf.DUMMYFUNCTION("""COMPUTED_VALUE"""),680.0)</f>
        <v>680</v>
      </c>
      <c r="F120" s="2">
        <f>IFERROR(__xludf.DUMMYFUNCTION("""COMPUTED_VALUE"""),6.52956E7)</f>
        <v>65295600</v>
      </c>
      <c r="G120" s="2">
        <f t="shared" si="1"/>
        <v>25</v>
      </c>
    </row>
    <row r="121" ht="15.75" customHeight="1">
      <c r="A121" s="1">
        <f>IFERROR(__xludf.DUMMYFUNCTION("""COMPUTED_VALUE"""),44705.66666666667)</f>
        <v>44705.66667</v>
      </c>
      <c r="B121" s="2">
        <f>IFERROR(__xludf.DUMMYFUNCTION("""COMPUTED_VALUE"""),680.0)</f>
        <v>680</v>
      </c>
      <c r="C121" s="2">
        <f>IFERROR(__xludf.DUMMYFUNCTION("""COMPUTED_VALUE"""),680.0)</f>
        <v>680</v>
      </c>
      <c r="D121" s="2">
        <f>IFERROR(__xludf.DUMMYFUNCTION("""COMPUTED_VALUE"""),665.0)</f>
        <v>665</v>
      </c>
      <c r="E121" s="2">
        <f>IFERROR(__xludf.DUMMYFUNCTION("""COMPUTED_VALUE"""),670.0)</f>
        <v>670</v>
      </c>
      <c r="F121" s="2">
        <f>IFERROR(__xludf.DUMMYFUNCTION("""COMPUTED_VALUE"""),4.55065E7)</f>
        <v>45506500</v>
      </c>
      <c r="G121" s="2">
        <f t="shared" si="1"/>
        <v>15</v>
      </c>
    </row>
    <row r="122" ht="15.75" customHeight="1">
      <c r="A122" s="1">
        <f>IFERROR(__xludf.DUMMYFUNCTION("""COMPUTED_VALUE"""),44706.66666666667)</f>
        <v>44706.66667</v>
      </c>
      <c r="B122" s="2">
        <f>IFERROR(__xludf.DUMMYFUNCTION("""COMPUTED_VALUE"""),670.0)</f>
        <v>670</v>
      </c>
      <c r="C122" s="2">
        <f>IFERROR(__xludf.DUMMYFUNCTION("""COMPUTED_VALUE"""),680.0)</f>
        <v>680</v>
      </c>
      <c r="D122" s="2">
        <f>IFERROR(__xludf.DUMMYFUNCTION("""COMPUTED_VALUE"""),660.0)</f>
        <v>660</v>
      </c>
      <c r="E122" s="2">
        <f>IFERROR(__xludf.DUMMYFUNCTION("""COMPUTED_VALUE"""),665.0)</f>
        <v>665</v>
      </c>
      <c r="F122" s="2">
        <f>IFERROR(__xludf.DUMMYFUNCTION("""COMPUTED_VALUE"""),6.2584E7)</f>
        <v>62584000</v>
      </c>
      <c r="G122" s="2">
        <f t="shared" si="1"/>
        <v>20</v>
      </c>
    </row>
    <row r="123" ht="15.75" customHeight="1">
      <c r="A123" s="1">
        <f>IFERROR(__xludf.DUMMYFUNCTION("""COMPUTED_VALUE"""),44708.66666666667)</f>
        <v>44708.66667</v>
      </c>
      <c r="B123" s="2">
        <f>IFERROR(__xludf.DUMMYFUNCTION("""COMPUTED_VALUE"""),670.0)</f>
        <v>670</v>
      </c>
      <c r="C123" s="2">
        <f>IFERROR(__xludf.DUMMYFUNCTION("""COMPUTED_VALUE"""),675.0)</f>
        <v>675</v>
      </c>
      <c r="D123" s="2">
        <f>IFERROR(__xludf.DUMMYFUNCTION("""COMPUTED_VALUE"""),665.0)</f>
        <v>665</v>
      </c>
      <c r="E123" s="2">
        <f>IFERROR(__xludf.DUMMYFUNCTION("""COMPUTED_VALUE"""),665.0)</f>
        <v>665</v>
      </c>
      <c r="F123" s="2">
        <f>IFERROR(__xludf.DUMMYFUNCTION("""COMPUTED_VALUE"""),4.20962E7)</f>
        <v>42096200</v>
      </c>
      <c r="G123" s="2">
        <f t="shared" si="1"/>
        <v>10</v>
      </c>
    </row>
    <row r="124" ht="15.75" customHeight="1">
      <c r="A124" s="1">
        <f>IFERROR(__xludf.DUMMYFUNCTION("""COMPUTED_VALUE"""),44711.66666666667)</f>
        <v>44711.66667</v>
      </c>
      <c r="B124" s="2">
        <f>IFERROR(__xludf.DUMMYFUNCTION("""COMPUTED_VALUE"""),665.0)</f>
        <v>665</v>
      </c>
      <c r="C124" s="2">
        <f>IFERROR(__xludf.DUMMYFUNCTION("""COMPUTED_VALUE"""),685.0)</f>
        <v>685</v>
      </c>
      <c r="D124" s="2">
        <f>IFERROR(__xludf.DUMMYFUNCTION("""COMPUTED_VALUE"""),665.0)</f>
        <v>665</v>
      </c>
      <c r="E124" s="2">
        <f>IFERROR(__xludf.DUMMYFUNCTION("""COMPUTED_VALUE"""),675.0)</f>
        <v>675</v>
      </c>
      <c r="F124" s="2">
        <f>IFERROR(__xludf.DUMMYFUNCTION("""COMPUTED_VALUE"""),4.19818E7)</f>
        <v>41981800</v>
      </c>
      <c r="G124" s="2">
        <f t="shared" si="1"/>
        <v>20</v>
      </c>
    </row>
    <row r="125" ht="15.75" customHeight="1">
      <c r="A125" s="1">
        <f>IFERROR(__xludf.DUMMYFUNCTION("""COMPUTED_VALUE"""),44712.66666666667)</f>
        <v>44712.66667</v>
      </c>
      <c r="B125" s="2">
        <f>IFERROR(__xludf.DUMMYFUNCTION("""COMPUTED_VALUE"""),675.0)</f>
        <v>675</v>
      </c>
      <c r="C125" s="2">
        <f>IFERROR(__xludf.DUMMYFUNCTION("""COMPUTED_VALUE"""),690.0)</f>
        <v>690</v>
      </c>
      <c r="D125" s="2">
        <f>IFERROR(__xludf.DUMMYFUNCTION("""COMPUTED_VALUE"""),675.0)</f>
        <v>675</v>
      </c>
      <c r="E125" s="2">
        <f>IFERROR(__xludf.DUMMYFUNCTION("""COMPUTED_VALUE"""),685.0)</f>
        <v>685</v>
      </c>
      <c r="F125" s="2">
        <f>IFERROR(__xludf.DUMMYFUNCTION("""COMPUTED_VALUE"""),3.82442E7)</f>
        <v>38244200</v>
      </c>
      <c r="G125" s="2">
        <f t="shared" si="1"/>
        <v>15</v>
      </c>
    </row>
    <row r="126" ht="15.75" customHeight="1">
      <c r="A126" s="1">
        <f>IFERROR(__xludf.DUMMYFUNCTION("""COMPUTED_VALUE"""),44714.66666666667)</f>
        <v>44714.66667</v>
      </c>
      <c r="B126" s="2">
        <f>IFERROR(__xludf.DUMMYFUNCTION("""COMPUTED_VALUE"""),690.0)</f>
        <v>690</v>
      </c>
      <c r="C126" s="2">
        <f>IFERROR(__xludf.DUMMYFUNCTION("""COMPUTED_VALUE"""),735.0)</f>
        <v>735</v>
      </c>
      <c r="D126" s="2">
        <f>IFERROR(__xludf.DUMMYFUNCTION("""COMPUTED_VALUE"""),685.0)</f>
        <v>685</v>
      </c>
      <c r="E126" s="2">
        <f>IFERROR(__xludf.DUMMYFUNCTION("""COMPUTED_VALUE"""),710.0)</f>
        <v>710</v>
      </c>
      <c r="F126" s="2">
        <f>IFERROR(__xludf.DUMMYFUNCTION("""COMPUTED_VALUE"""),1.752419E8)</f>
        <v>175241900</v>
      </c>
      <c r="G126" s="2">
        <f t="shared" si="1"/>
        <v>50</v>
      </c>
    </row>
    <row r="127" ht="15.75" customHeight="1">
      <c r="A127" s="1">
        <f>IFERROR(__xludf.DUMMYFUNCTION("""COMPUTED_VALUE"""),44715.66666666667)</f>
        <v>44715.66667</v>
      </c>
      <c r="B127" s="2">
        <f>IFERROR(__xludf.DUMMYFUNCTION("""COMPUTED_VALUE"""),720.0)</f>
        <v>720</v>
      </c>
      <c r="C127" s="2">
        <f>IFERROR(__xludf.DUMMYFUNCTION("""COMPUTED_VALUE"""),735.0)</f>
        <v>735</v>
      </c>
      <c r="D127" s="2">
        <f>IFERROR(__xludf.DUMMYFUNCTION("""COMPUTED_VALUE"""),715.0)</f>
        <v>715</v>
      </c>
      <c r="E127" s="2">
        <f>IFERROR(__xludf.DUMMYFUNCTION("""COMPUTED_VALUE"""),725.0)</f>
        <v>725</v>
      </c>
      <c r="F127" s="2">
        <f>IFERROR(__xludf.DUMMYFUNCTION("""COMPUTED_VALUE"""),9.15043E7)</f>
        <v>91504300</v>
      </c>
      <c r="G127" s="2">
        <f t="shared" si="1"/>
        <v>25</v>
      </c>
    </row>
    <row r="128" ht="15.75" customHeight="1">
      <c r="A128" s="1">
        <f>IFERROR(__xludf.DUMMYFUNCTION("""COMPUTED_VALUE"""),44718.66666666667)</f>
        <v>44718.66667</v>
      </c>
      <c r="B128" s="2">
        <f>IFERROR(__xludf.DUMMYFUNCTION("""COMPUTED_VALUE"""),725.0)</f>
        <v>725</v>
      </c>
      <c r="C128" s="2">
        <f>IFERROR(__xludf.DUMMYFUNCTION("""COMPUTED_VALUE"""),735.0)</f>
        <v>735</v>
      </c>
      <c r="D128" s="2">
        <f>IFERROR(__xludf.DUMMYFUNCTION("""COMPUTED_VALUE"""),725.0)</f>
        <v>725</v>
      </c>
      <c r="E128" s="2">
        <f>IFERROR(__xludf.DUMMYFUNCTION("""COMPUTED_VALUE"""),725.0)</f>
        <v>725</v>
      </c>
      <c r="F128" s="2">
        <f>IFERROR(__xludf.DUMMYFUNCTION("""COMPUTED_VALUE"""),5.18389E7)</f>
        <v>51838900</v>
      </c>
      <c r="G128" s="2">
        <f t="shared" si="1"/>
        <v>10</v>
      </c>
    </row>
    <row r="129" ht="15.75" customHeight="1">
      <c r="A129" s="1">
        <f>IFERROR(__xludf.DUMMYFUNCTION("""COMPUTED_VALUE"""),44719.66666666667)</f>
        <v>44719.66667</v>
      </c>
      <c r="B129" s="2">
        <f>IFERROR(__xludf.DUMMYFUNCTION("""COMPUTED_VALUE"""),725.0)</f>
        <v>725</v>
      </c>
      <c r="C129" s="2">
        <f>IFERROR(__xludf.DUMMYFUNCTION("""COMPUTED_VALUE"""),745.0)</f>
        <v>745</v>
      </c>
      <c r="D129" s="2">
        <f>IFERROR(__xludf.DUMMYFUNCTION("""COMPUTED_VALUE"""),725.0)</f>
        <v>725</v>
      </c>
      <c r="E129" s="2">
        <f>IFERROR(__xludf.DUMMYFUNCTION("""COMPUTED_VALUE"""),735.0)</f>
        <v>735</v>
      </c>
      <c r="F129" s="2">
        <f>IFERROR(__xludf.DUMMYFUNCTION("""COMPUTED_VALUE"""),4.66956E7)</f>
        <v>46695600</v>
      </c>
      <c r="G129" s="2">
        <f t="shared" si="1"/>
        <v>20</v>
      </c>
    </row>
    <row r="130" ht="15.75" customHeight="1">
      <c r="A130" s="1">
        <f>IFERROR(__xludf.DUMMYFUNCTION("""COMPUTED_VALUE"""),44720.66666666667)</f>
        <v>44720.66667</v>
      </c>
      <c r="B130" s="2">
        <f>IFERROR(__xludf.DUMMYFUNCTION("""COMPUTED_VALUE"""),735.0)</f>
        <v>735</v>
      </c>
      <c r="C130" s="2">
        <f>IFERROR(__xludf.DUMMYFUNCTION("""COMPUTED_VALUE"""),745.0)</f>
        <v>745</v>
      </c>
      <c r="D130" s="2">
        <f>IFERROR(__xludf.DUMMYFUNCTION("""COMPUTED_VALUE"""),720.0)</f>
        <v>720</v>
      </c>
      <c r="E130" s="2">
        <f>IFERROR(__xludf.DUMMYFUNCTION("""COMPUTED_VALUE"""),725.0)</f>
        <v>725</v>
      </c>
      <c r="F130" s="2">
        <f>IFERROR(__xludf.DUMMYFUNCTION("""COMPUTED_VALUE"""),5.31625E7)</f>
        <v>53162500</v>
      </c>
      <c r="G130" s="2">
        <f t="shared" si="1"/>
        <v>25</v>
      </c>
    </row>
    <row r="131" ht="15.75" customHeight="1">
      <c r="A131" s="1">
        <f>IFERROR(__xludf.DUMMYFUNCTION("""COMPUTED_VALUE"""),44721.66666666667)</f>
        <v>44721.66667</v>
      </c>
      <c r="B131" s="2">
        <f>IFERROR(__xludf.DUMMYFUNCTION("""COMPUTED_VALUE"""),725.0)</f>
        <v>725</v>
      </c>
      <c r="C131" s="2">
        <f>IFERROR(__xludf.DUMMYFUNCTION("""COMPUTED_VALUE"""),735.0)</f>
        <v>735</v>
      </c>
      <c r="D131" s="2">
        <f>IFERROR(__xludf.DUMMYFUNCTION("""COMPUTED_VALUE"""),710.0)</f>
        <v>710</v>
      </c>
      <c r="E131" s="2">
        <f>IFERROR(__xludf.DUMMYFUNCTION("""COMPUTED_VALUE"""),710.0)</f>
        <v>710</v>
      </c>
      <c r="F131" s="2">
        <f>IFERROR(__xludf.DUMMYFUNCTION("""COMPUTED_VALUE"""),4.78799E7)</f>
        <v>47879900</v>
      </c>
      <c r="G131" s="2">
        <f t="shared" si="1"/>
        <v>25</v>
      </c>
    </row>
    <row r="132" ht="15.75" customHeight="1">
      <c r="A132" s="1">
        <f>IFERROR(__xludf.DUMMYFUNCTION("""COMPUTED_VALUE"""),44722.66666666667)</f>
        <v>44722.66667</v>
      </c>
      <c r="B132" s="2">
        <f>IFERROR(__xludf.DUMMYFUNCTION("""COMPUTED_VALUE"""),710.0)</f>
        <v>710</v>
      </c>
      <c r="C132" s="2">
        <f>IFERROR(__xludf.DUMMYFUNCTION("""COMPUTED_VALUE"""),715.0)</f>
        <v>715</v>
      </c>
      <c r="D132" s="2">
        <f>IFERROR(__xludf.DUMMYFUNCTION("""COMPUTED_VALUE"""),695.0)</f>
        <v>695</v>
      </c>
      <c r="E132" s="2">
        <f>IFERROR(__xludf.DUMMYFUNCTION("""COMPUTED_VALUE"""),705.0)</f>
        <v>705</v>
      </c>
      <c r="F132" s="2">
        <f>IFERROR(__xludf.DUMMYFUNCTION("""COMPUTED_VALUE"""),5.47994E7)</f>
        <v>54799400</v>
      </c>
      <c r="G132" s="2">
        <f t="shared" si="1"/>
        <v>20</v>
      </c>
    </row>
    <row r="133" ht="15.75" customHeight="1">
      <c r="A133" s="1">
        <f>IFERROR(__xludf.DUMMYFUNCTION("""COMPUTED_VALUE"""),44725.66666666667)</f>
        <v>44725.66667</v>
      </c>
      <c r="B133" s="2">
        <f>IFERROR(__xludf.DUMMYFUNCTION("""COMPUTED_VALUE"""),705.0)</f>
        <v>705</v>
      </c>
      <c r="C133" s="2">
        <f>IFERROR(__xludf.DUMMYFUNCTION("""COMPUTED_VALUE"""),705.0)</f>
        <v>705</v>
      </c>
      <c r="D133" s="2">
        <f>IFERROR(__xludf.DUMMYFUNCTION("""COMPUTED_VALUE"""),690.0)</f>
        <v>690</v>
      </c>
      <c r="E133" s="2">
        <f>IFERROR(__xludf.DUMMYFUNCTION("""COMPUTED_VALUE"""),705.0)</f>
        <v>705</v>
      </c>
      <c r="F133" s="2">
        <f>IFERROR(__xludf.DUMMYFUNCTION("""COMPUTED_VALUE"""),6.96593E7)</f>
        <v>69659300</v>
      </c>
      <c r="G133" s="2">
        <f t="shared" si="1"/>
        <v>15</v>
      </c>
    </row>
    <row r="134" ht="15.75" customHeight="1">
      <c r="A134" s="1">
        <f>IFERROR(__xludf.DUMMYFUNCTION("""COMPUTED_VALUE"""),44726.66666666667)</f>
        <v>44726.66667</v>
      </c>
      <c r="B134" s="2">
        <f>IFERROR(__xludf.DUMMYFUNCTION("""COMPUTED_VALUE"""),705.0)</f>
        <v>705</v>
      </c>
      <c r="C134" s="2">
        <f>IFERROR(__xludf.DUMMYFUNCTION("""COMPUTED_VALUE"""),705.0)</f>
        <v>705</v>
      </c>
      <c r="D134" s="2">
        <f>IFERROR(__xludf.DUMMYFUNCTION("""COMPUTED_VALUE"""),690.0)</f>
        <v>690</v>
      </c>
      <c r="E134" s="2">
        <f>IFERROR(__xludf.DUMMYFUNCTION("""COMPUTED_VALUE"""),705.0)</f>
        <v>705</v>
      </c>
      <c r="F134" s="2">
        <f>IFERROR(__xludf.DUMMYFUNCTION("""COMPUTED_VALUE"""),5.49384E7)</f>
        <v>54938400</v>
      </c>
      <c r="G134" s="2">
        <f t="shared" si="1"/>
        <v>15</v>
      </c>
    </row>
    <row r="135" ht="15.75" customHeight="1">
      <c r="A135" s="1">
        <f>IFERROR(__xludf.DUMMYFUNCTION("""COMPUTED_VALUE"""),44727.66666666667)</f>
        <v>44727.66667</v>
      </c>
      <c r="B135" s="2">
        <f>IFERROR(__xludf.DUMMYFUNCTION("""COMPUTED_VALUE"""),700.0)</f>
        <v>700</v>
      </c>
      <c r="C135" s="2">
        <f>IFERROR(__xludf.DUMMYFUNCTION("""COMPUTED_VALUE"""),705.0)</f>
        <v>705</v>
      </c>
      <c r="D135" s="2">
        <f>IFERROR(__xludf.DUMMYFUNCTION("""COMPUTED_VALUE"""),690.0)</f>
        <v>690</v>
      </c>
      <c r="E135" s="2">
        <f>IFERROR(__xludf.DUMMYFUNCTION("""COMPUTED_VALUE"""),700.0)</f>
        <v>700</v>
      </c>
      <c r="F135" s="2">
        <f>IFERROR(__xludf.DUMMYFUNCTION("""COMPUTED_VALUE"""),6.87415E7)</f>
        <v>68741500</v>
      </c>
      <c r="G135" s="2">
        <f t="shared" si="1"/>
        <v>15</v>
      </c>
    </row>
    <row r="136" ht="15.75" customHeight="1">
      <c r="A136" s="1">
        <f>IFERROR(__xludf.DUMMYFUNCTION("""COMPUTED_VALUE"""),44728.66666666667)</f>
        <v>44728.66667</v>
      </c>
      <c r="B136" s="2">
        <f>IFERROR(__xludf.DUMMYFUNCTION("""COMPUTED_VALUE"""),700.0)</f>
        <v>700</v>
      </c>
      <c r="C136" s="2">
        <f>IFERROR(__xludf.DUMMYFUNCTION("""COMPUTED_VALUE"""),720.0)</f>
        <v>720</v>
      </c>
      <c r="D136" s="2">
        <f>IFERROR(__xludf.DUMMYFUNCTION("""COMPUTED_VALUE"""),695.0)</f>
        <v>695</v>
      </c>
      <c r="E136" s="2">
        <f>IFERROR(__xludf.DUMMYFUNCTION("""COMPUTED_VALUE"""),710.0)</f>
        <v>710</v>
      </c>
      <c r="F136" s="2">
        <f>IFERROR(__xludf.DUMMYFUNCTION("""COMPUTED_VALUE"""),1.101487E8)</f>
        <v>110148700</v>
      </c>
      <c r="G136" s="2">
        <f t="shared" si="1"/>
        <v>25</v>
      </c>
    </row>
    <row r="137" ht="15.75" customHeight="1">
      <c r="A137" s="1">
        <f>IFERROR(__xludf.DUMMYFUNCTION("""COMPUTED_VALUE"""),44729.66666666667)</f>
        <v>44729.66667</v>
      </c>
      <c r="B137" s="2">
        <f>IFERROR(__xludf.DUMMYFUNCTION("""COMPUTED_VALUE"""),700.0)</f>
        <v>700</v>
      </c>
      <c r="C137" s="2">
        <f>IFERROR(__xludf.DUMMYFUNCTION("""COMPUTED_VALUE"""),715.0)</f>
        <v>715</v>
      </c>
      <c r="D137" s="2">
        <f>IFERROR(__xludf.DUMMYFUNCTION("""COMPUTED_VALUE"""),690.0)</f>
        <v>690</v>
      </c>
      <c r="E137" s="2">
        <f>IFERROR(__xludf.DUMMYFUNCTION("""COMPUTED_VALUE"""),715.0)</f>
        <v>715</v>
      </c>
      <c r="F137" s="2">
        <f>IFERROR(__xludf.DUMMYFUNCTION("""COMPUTED_VALUE"""),8.192764E8)</f>
        <v>819276400</v>
      </c>
      <c r="G137" s="2">
        <f t="shared" si="1"/>
        <v>25</v>
      </c>
    </row>
    <row r="138" ht="15.75" customHeight="1">
      <c r="A138" s="1">
        <f>IFERROR(__xludf.DUMMYFUNCTION("""COMPUTED_VALUE"""),44732.66666666667)</f>
        <v>44732.66667</v>
      </c>
      <c r="B138" s="2">
        <f>IFERROR(__xludf.DUMMYFUNCTION("""COMPUTED_VALUE"""),720.0)</f>
        <v>720</v>
      </c>
      <c r="C138" s="2">
        <f>IFERROR(__xludf.DUMMYFUNCTION("""COMPUTED_VALUE"""),725.0)</f>
        <v>725</v>
      </c>
      <c r="D138" s="2">
        <f>IFERROR(__xludf.DUMMYFUNCTION("""COMPUTED_VALUE"""),705.0)</f>
        <v>705</v>
      </c>
      <c r="E138" s="2">
        <f>IFERROR(__xludf.DUMMYFUNCTION("""COMPUTED_VALUE"""),715.0)</f>
        <v>715</v>
      </c>
      <c r="F138" s="2">
        <f>IFERROR(__xludf.DUMMYFUNCTION("""COMPUTED_VALUE"""),2.32628E7)</f>
        <v>23262800</v>
      </c>
      <c r="G138" s="2">
        <f t="shared" si="1"/>
        <v>20</v>
      </c>
    </row>
    <row r="139" ht="15.75" customHeight="1">
      <c r="A139" s="1">
        <f>IFERROR(__xludf.DUMMYFUNCTION("""COMPUTED_VALUE"""),44733.66666666667)</f>
        <v>44733.66667</v>
      </c>
      <c r="B139" s="2">
        <f>IFERROR(__xludf.DUMMYFUNCTION("""COMPUTED_VALUE"""),715.0)</f>
        <v>715</v>
      </c>
      <c r="C139" s="2">
        <f>IFERROR(__xludf.DUMMYFUNCTION("""COMPUTED_VALUE"""),715.0)</f>
        <v>715</v>
      </c>
      <c r="D139" s="2">
        <f>IFERROR(__xludf.DUMMYFUNCTION("""COMPUTED_VALUE"""),705.0)</f>
        <v>705</v>
      </c>
      <c r="E139" s="2">
        <f>IFERROR(__xludf.DUMMYFUNCTION("""COMPUTED_VALUE"""),710.0)</f>
        <v>710</v>
      </c>
      <c r="F139" s="2">
        <f>IFERROR(__xludf.DUMMYFUNCTION("""COMPUTED_VALUE"""),1.33303E7)</f>
        <v>13330300</v>
      </c>
      <c r="G139" s="2">
        <f t="shared" si="1"/>
        <v>10</v>
      </c>
    </row>
    <row r="140" ht="15.75" customHeight="1">
      <c r="A140" s="1">
        <f>IFERROR(__xludf.DUMMYFUNCTION("""COMPUTED_VALUE"""),44734.66666666667)</f>
        <v>44734.66667</v>
      </c>
      <c r="B140" s="2">
        <f>IFERROR(__xludf.DUMMYFUNCTION("""COMPUTED_VALUE"""),710.0)</f>
        <v>710</v>
      </c>
      <c r="C140" s="2">
        <f>IFERROR(__xludf.DUMMYFUNCTION("""COMPUTED_VALUE"""),720.0)</f>
        <v>720</v>
      </c>
      <c r="D140" s="2">
        <f>IFERROR(__xludf.DUMMYFUNCTION("""COMPUTED_VALUE"""),700.0)</f>
        <v>700</v>
      </c>
      <c r="E140" s="2">
        <f>IFERROR(__xludf.DUMMYFUNCTION("""COMPUTED_VALUE"""),710.0)</f>
        <v>710</v>
      </c>
      <c r="F140" s="2">
        <f>IFERROR(__xludf.DUMMYFUNCTION("""COMPUTED_VALUE"""),1.89681E7)</f>
        <v>18968100</v>
      </c>
      <c r="G140" s="2">
        <f t="shared" si="1"/>
        <v>20</v>
      </c>
    </row>
    <row r="141" ht="15.75" customHeight="1">
      <c r="A141" s="1">
        <f>IFERROR(__xludf.DUMMYFUNCTION("""COMPUTED_VALUE"""),44735.66666666667)</f>
        <v>44735.66667</v>
      </c>
      <c r="B141" s="2">
        <f>IFERROR(__xludf.DUMMYFUNCTION("""COMPUTED_VALUE"""),710.0)</f>
        <v>710</v>
      </c>
      <c r="C141" s="2">
        <f>IFERROR(__xludf.DUMMYFUNCTION("""COMPUTED_VALUE"""),710.0)</f>
        <v>710</v>
      </c>
      <c r="D141" s="2">
        <f>IFERROR(__xludf.DUMMYFUNCTION("""COMPUTED_VALUE"""),700.0)</f>
        <v>700</v>
      </c>
      <c r="E141" s="2">
        <f>IFERROR(__xludf.DUMMYFUNCTION("""COMPUTED_VALUE"""),705.0)</f>
        <v>705</v>
      </c>
      <c r="F141" s="2">
        <f>IFERROR(__xludf.DUMMYFUNCTION("""COMPUTED_VALUE"""),1.10962E7)</f>
        <v>11096200</v>
      </c>
      <c r="G141" s="2">
        <f t="shared" si="1"/>
        <v>10</v>
      </c>
    </row>
    <row r="142" ht="15.75" customHeight="1">
      <c r="A142" s="1">
        <f>IFERROR(__xludf.DUMMYFUNCTION("""COMPUTED_VALUE"""),44736.66666666667)</f>
        <v>44736.66667</v>
      </c>
      <c r="B142" s="2">
        <f>IFERROR(__xludf.DUMMYFUNCTION("""COMPUTED_VALUE"""),705.0)</f>
        <v>705</v>
      </c>
      <c r="C142" s="2">
        <f>IFERROR(__xludf.DUMMYFUNCTION("""COMPUTED_VALUE"""),710.0)</f>
        <v>710</v>
      </c>
      <c r="D142" s="2">
        <f>IFERROR(__xludf.DUMMYFUNCTION("""COMPUTED_VALUE"""),700.0)</f>
        <v>700</v>
      </c>
      <c r="E142" s="2">
        <f>IFERROR(__xludf.DUMMYFUNCTION("""COMPUTED_VALUE"""),710.0)</f>
        <v>710</v>
      </c>
      <c r="F142" s="2">
        <f>IFERROR(__xludf.DUMMYFUNCTION("""COMPUTED_VALUE"""),6606500.0)</f>
        <v>6606500</v>
      </c>
      <c r="G142" s="2">
        <f t="shared" si="1"/>
        <v>10</v>
      </c>
    </row>
    <row r="143" ht="15.75" customHeight="1">
      <c r="A143" s="1">
        <f>IFERROR(__xludf.DUMMYFUNCTION("""COMPUTED_VALUE"""),44739.66666666667)</f>
        <v>44739.66667</v>
      </c>
      <c r="B143" s="2">
        <f>IFERROR(__xludf.DUMMYFUNCTION("""COMPUTED_VALUE"""),710.0)</f>
        <v>710</v>
      </c>
      <c r="C143" s="2">
        <f>IFERROR(__xludf.DUMMYFUNCTION("""COMPUTED_VALUE"""),710.0)</f>
        <v>710</v>
      </c>
      <c r="D143" s="2">
        <f>IFERROR(__xludf.DUMMYFUNCTION("""COMPUTED_VALUE"""),700.0)</f>
        <v>700</v>
      </c>
      <c r="E143" s="2">
        <f>IFERROR(__xludf.DUMMYFUNCTION("""COMPUTED_VALUE"""),705.0)</f>
        <v>705</v>
      </c>
      <c r="F143" s="2">
        <f>IFERROR(__xludf.DUMMYFUNCTION("""COMPUTED_VALUE"""),1.92486E7)</f>
        <v>19248600</v>
      </c>
      <c r="G143" s="2">
        <f t="shared" si="1"/>
        <v>10</v>
      </c>
    </row>
    <row r="144" ht="15.75" customHeight="1">
      <c r="A144" s="1">
        <f>IFERROR(__xludf.DUMMYFUNCTION("""COMPUTED_VALUE"""),44740.66666666667)</f>
        <v>44740.66667</v>
      </c>
      <c r="B144" s="2">
        <f>IFERROR(__xludf.DUMMYFUNCTION("""COMPUTED_VALUE"""),705.0)</f>
        <v>705</v>
      </c>
      <c r="C144" s="2">
        <f>IFERROR(__xludf.DUMMYFUNCTION("""COMPUTED_VALUE"""),705.0)</f>
        <v>705</v>
      </c>
      <c r="D144" s="2">
        <f>IFERROR(__xludf.DUMMYFUNCTION("""COMPUTED_VALUE"""),695.0)</f>
        <v>695</v>
      </c>
      <c r="E144" s="2">
        <f>IFERROR(__xludf.DUMMYFUNCTION("""COMPUTED_VALUE"""),700.0)</f>
        <v>700</v>
      </c>
      <c r="F144" s="2">
        <f>IFERROR(__xludf.DUMMYFUNCTION("""COMPUTED_VALUE"""),3.67806E7)</f>
        <v>36780600</v>
      </c>
      <c r="G144" s="2">
        <f t="shared" si="1"/>
        <v>10</v>
      </c>
    </row>
    <row r="145" ht="15.75" customHeight="1">
      <c r="A145" s="1">
        <f>IFERROR(__xludf.DUMMYFUNCTION("""COMPUTED_VALUE"""),44741.66666666667)</f>
        <v>44741.66667</v>
      </c>
      <c r="B145" s="2">
        <f>IFERROR(__xludf.DUMMYFUNCTION("""COMPUTED_VALUE"""),700.0)</f>
        <v>700</v>
      </c>
      <c r="C145" s="2">
        <f>IFERROR(__xludf.DUMMYFUNCTION("""COMPUTED_VALUE"""),700.0)</f>
        <v>700</v>
      </c>
      <c r="D145" s="2">
        <f>IFERROR(__xludf.DUMMYFUNCTION("""COMPUTED_VALUE"""),690.0)</f>
        <v>690</v>
      </c>
      <c r="E145" s="2">
        <f>IFERROR(__xludf.DUMMYFUNCTION("""COMPUTED_VALUE"""),695.0)</f>
        <v>695</v>
      </c>
      <c r="F145" s="2">
        <f>IFERROR(__xludf.DUMMYFUNCTION("""COMPUTED_VALUE"""),2.48333E7)</f>
        <v>24833300</v>
      </c>
      <c r="G145" s="2">
        <f t="shared" si="1"/>
        <v>10</v>
      </c>
    </row>
    <row r="146" ht="15.75" customHeight="1">
      <c r="A146" s="1">
        <f>IFERROR(__xludf.DUMMYFUNCTION("""COMPUTED_VALUE"""),44742.66666666667)</f>
        <v>44742.66667</v>
      </c>
      <c r="B146" s="2">
        <f>IFERROR(__xludf.DUMMYFUNCTION("""COMPUTED_VALUE"""),695.0)</f>
        <v>695</v>
      </c>
      <c r="C146" s="2">
        <f>IFERROR(__xludf.DUMMYFUNCTION("""COMPUTED_VALUE"""),700.0)</f>
        <v>700</v>
      </c>
      <c r="D146" s="2">
        <f>IFERROR(__xludf.DUMMYFUNCTION("""COMPUTED_VALUE"""),685.0)</f>
        <v>685</v>
      </c>
      <c r="E146" s="2">
        <f>IFERROR(__xludf.DUMMYFUNCTION("""COMPUTED_VALUE"""),700.0)</f>
        <v>700</v>
      </c>
      <c r="F146" s="2">
        <f>IFERROR(__xludf.DUMMYFUNCTION("""COMPUTED_VALUE"""),4.71616E7)</f>
        <v>47161600</v>
      </c>
      <c r="G146" s="2">
        <f t="shared" si="1"/>
        <v>15</v>
      </c>
    </row>
    <row r="147" ht="15.75" customHeight="1">
      <c r="A147" s="1">
        <f>IFERROR(__xludf.DUMMYFUNCTION("""COMPUTED_VALUE"""),44743.66666666667)</f>
        <v>44743.66667</v>
      </c>
      <c r="B147" s="2">
        <f>IFERROR(__xludf.DUMMYFUNCTION("""COMPUTED_VALUE"""),695.0)</f>
        <v>695</v>
      </c>
      <c r="C147" s="2">
        <f>IFERROR(__xludf.DUMMYFUNCTION("""COMPUTED_VALUE"""),705.0)</f>
        <v>705</v>
      </c>
      <c r="D147" s="2">
        <f>IFERROR(__xludf.DUMMYFUNCTION("""COMPUTED_VALUE"""),690.0)</f>
        <v>690</v>
      </c>
      <c r="E147" s="2">
        <f>IFERROR(__xludf.DUMMYFUNCTION("""COMPUTED_VALUE"""),695.0)</f>
        <v>695</v>
      </c>
      <c r="F147" s="2">
        <f>IFERROR(__xludf.DUMMYFUNCTION("""COMPUTED_VALUE"""),2.5294E7)</f>
        <v>25294000</v>
      </c>
      <c r="G147" s="2">
        <f t="shared" si="1"/>
        <v>15</v>
      </c>
    </row>
    <row r="148" ht="15.75" customHeight="1">
      <c r="A148" s="1">
        <f>IFERROR(__xludf.DUMMYFUNCTION("""COMPUTED_VALUE"""),44746.66666666667)</f>
        <v>44746.66667</v>
      </c>
      <c r="B148" s="2">
        <f>IFERROR(__xludf.DUMMYFUNCTION("""COMPUTED_VALUE"""),695.0)</f>
        <v>695</v>
      </c>
      <c r="C148" s="2">
        <f>IFERROR(__xludf.DUMMYFUNCTION("""COMPUTED_VALUE"""),700.0)</f>
        <v>700</v>
      </c>
      <c r="D148" s="2">
        <f>IFERROR(__xludf.DUMMYFUNCTION("""COMPUTED_VALUE"""),680.0)</f>
        <v>680</v>
      </c>
      <c r="E148" s="2">
        <f>IFERROR(__xludf.DUMMYFUNCTION("""COMPUTED_VALUE"""),695.0)</f>
        <v>695</v>
      </c>
      <c r="F148" s="2">
        <f>IFERROR(__xludf.DUMMYFUNCTION("""COMPUTED_VALUE"""),1.77496E7)</f>
        <v>17749600</v>
      </c>
      <c r="G148" s="2">
        <f t="shared" si="1"/>
        <v>20</v>
      </c>
    </row>
    <row r="149" ht="15.75" customHeight="1">
      <c r="A149" s="1">
        <f>IFERROR(__xludf.DUMMYFUNCTION("""COMPUTED_VALUE"""),44747.66666666667)</f>
        <v>44747.66667</v>
      </c>
      <c r="B149" s="2">
        <f>IFERROR(__xludf.DUMMYFUNCTION("""COMPUTED_VALUE"""),695.0)</f>
        <v>695</v>
      </c>
      <c r="C149" s="2">
        <f>IFERROR(__xludf.DUMMYFUNCTION("""COMPUTED_VALUE"""),700.0)</f>
        <v>700</v>
      </c>
      <c r="D149" s="2">
        <f>IFERROR(__xludf.DUMMYFUNCTION("""COMPUTED_VALUE"""),690.0)</f>
        <v>690</v>
      </c>
      <c r="E149" s="2">
        <f>IFERROR(__xludf.DUMMYFUNCTION("""COMPUTED_VALUE"""),700.0)</f>
        <v>700</v>
      </c>
      <c r="F149" s="2">
        <f>IFERROR(__xludf.DUMMYFUNCTION("""COMPUTED_VALUE"""),9037800.0)</f>
        <v>9037800</v>
      </c>
      <c r="G149" s="2">
        <f t="shared" si="1"/>
        <v>10</v>
      </c>
    </row>
    <row r="150" ht="15.75" customHeight="1">
      <c r="A150" s="1">
        <f>IFERROR(__xludf.DUMMYFUNCTION("""COMPUTED_VALUE"""),44748.66666666667)</f>
        <v>44748.66667</v>
      </c>
      <c r="B150" s="2">
        <f>IFERROR(__xludf.DUMMYFUNCTION("""COMPUTED_VALUE"""),700.0)</f>
        <v>700</v>
      </c>
      <c r="C150" s="2">
        <f>IFERROR(__xludf.DUMMYFUNCTION("""COMPUTED_VALUE"""),730.0)</f>
        <v>730</v>
      </c>
      <c r="D150" s="2">
        <f>IFERROR(__xludf.DUMMYFUNCTION("""COMPUTED_VALUE"""),690.0)</f>
        <v>690</v>
      </c>
      <c r="E150" s="2">
        <f>IFERROR(__xludf.DUMMYFUNCTION("""COMPUTED_VALUE"""),720.0)</f>
        <v>720</v>
      </c>
      <c r="F150" s="2">
        <f>IFERROR(__xludf.DUMMYFUNCTION("""COMPUTED_VALUE"""),1.053499E8)</f>
        <v>105349900</v>
      </c>
      <c r="G150" s="2">
        <f t="shared" si="1"/>
        <v>40</v>
      </c>
    </row>
    <row r="151" ht="15.75" customHeight="1">
      <c r="A151" s="1">
        <f>IFERROR(__xludf.DUMMYFUNCTION("""COMPUTED_VALUE"""),44749.66666666667)</f>
        <v>44749.66667</v>
      </c>
      <c r="B151" s="2">
        <f>IFERROR(__xludf.DUMMYFUNCTION("""COMPUTED_VALUE"""),720.0)</f>
        <v>720</v>
      </c>
      <c r="C151" s="2">
        <f>IFERROR(__xludf.DUMMYFUNCTION("""COMPUTED_VALUE"""),725.0)</f>
        <v>725</v>
      </c>
      <c r="D151" s="2">
        <f>IFERROR(__xludf.DUMMYFUNCTION("""COMPUTED_VALUE"""),705.0)</f>
        <v>705</v>
      </c>
      <c r="E151" s="2">
        <f>IFERROR(__xludf.DUMMYFUNCTION("""COMPUTED_VALUE"""),715.0)</f>
        <v>715</v>
      </c>
      <c r="F151" s="2">
        <f>IFERROR(__xludf.DUMMYFUNCTION("""COMPUTED_VALUE"""),3.20006E7)</f>
        <v>32000600</v>
      </c>
      <c r="G151" s="2">
        <f t="shared" si="1"/>
        <v>20</v>
      </c>
    </row>
    <row r="152" ht="15.75" customHeight="1">
      <c r="A152" s="1">
        <f>IFERROR(__xludf.DUMMYFUNCTION("""COMPUTED_VALUE"""),44750.66666666667)</f>
        <v>44750.66667</v>
      </c>
      <c r="B152" s="2">
        <f>IFERROR(__xludf.DUMMYFUNCTION("""COMPUTED_VALUE"""),715.0)</f>
        <v>715</v>
      </c>
      <c r="C152" s="2">
        <f>IFERROR(__xludf.DUMMYFUNCTION("""COMPUTED_VALUE"""),730.0)</f>
        <v>730</v>
      </c>
      <c r="D152" s="2">
        <f>IFERROR(__xludf.DUMMYFUNCTION("""COMPUTED_VALUE"""),715.0)</f>
        <v>715</v>
      </c>
      <c r="E152" s="2">
        <f>IFERROR(__xludf.DUMMYFUNCTION("""COMPUTED_VALUE"""),725.0)</f>
        <v>725</v>
      </c>
      <c r="F152" s="2">
        <f>IFERROR(__xludf.DUMMYFUNCTION("""COMPUTED_VALUE"""),4.04838E7)</f>
        <v>40483800</v>
      </c>
      <c r="G152" s="2">
        <f t="shared" si="1"/>
        <v>15</v>
      </c>
    </row>
    <row r="153" ht="15.75" customHeight="1">
      <c r="A153" s="1">
        <f>IFERROR(__xludf.DUMMYFUNCTION("""COMPUTED_VALUE"""),44753.66666666667)</f>
        <v>44753.66667</v>
      </c>
      <c r="B153" s="2">
        <f>IFERROR(__xludf.DUMMYFUNCTION("""COMPUTED_VALUE"""),725.0)</f>
        <v>725</v>
      </c>
      <c r="C153" s="2">
        <f>IFERROR(__xludf.DUMMYFUNCTION("""COMPUTED_VALUE"""),730.0)</f>
        <v>730</v>
      </c>
      <c r="D153" s="2">
        <f>IFERROR(__xludf.DUMMYFUNCTION("""COMPUTED_VALUE"""),720.0)</f>
        <v>720</v>
      </c>
      <c r="E153" s="2">
        <f>IFERROR(__xludf.DUMMYFUNCTION("""COMPUTED_VALUE"""),730.0)</f>
        <v>730</v>
      </c>
      <c r="F153" s="2">
        <f>IFERROR(__xludf.DUMMYFUNCTION("""COMPUTED_VALUE"""),1.19405E7)</f>
        <v>11940500</v>
      </c>
      <c r="G153" s="2">
        <f t="shared" si="1"/>
        <v>10</v>
      </c>
    </row>
    <row r="154" ht="15.75" customHeight="1">
      <c r="A154" s="1">
        <f>IFERROR(__xludf.DUMMYFUNCTION("""COMPUTED_VALUE"""),44754.66666666667)</f>
        <v>44754.66667</v>
      </c>
      <c r="B154" s="2">
        <f>IFERROR(__xludf.DUMMYFUNCTION("""COMPUTED_VALUE"""),730.0)</f>
        <v>730</v>
      </c>
      <c r="C154" s="2">
        <f>IFERROR(__xludf.DUMMYFUNCTION("""COMPUTED_VALUE"""),735.0)</f>
        <v>735</v>
      </c>
      <c r="D154" s="2">
        <f>IFERROR(__xludf.DUMMYFUNCTION("""COMPUTED_VALUE"""),715.0)</f>
        <v>715</v>
      </c>
      <c r="E154" s="2">
        <f>IFERROR(__xludf.DUMMYFUNCTION("""COMPUTED_VALUE"""),715.0)</f>
        <v>715</v>
      </c>
      <c r="F154" s="2">
        <f>IFERROR(__xludf.DUMMYFUNCTION("""COMPUTED_VALUE"""),1.34168E7)</f>
        <v>13416800</v>
      </c>
      <c r="G154" s="2">
        <f t="shared" si="1"/>
        <v>20</v>
      </c>
    </row>
    <row r="155" ht="15.75" customHeight="1">
      <c r="A155" s="1">
        <f>IFERROR(__xludf.DUMMYFUNCTION("""COMPUTED_VALUE"""),44755.66666666667)</f>
        <v>44755.66667</v>
      </c>
      <c r="B155" s="2">
        <f>IFERROR(__xludf.DUMMYFUNCTION("""COMPUTED_VALUE"""),720.0)</f>
        <v>720</v>
      </c>
      <c r="C155" s="2">
        <f>IFERROR(__xludf.DUMMYFUNCTION("""COMPUTED_VALUE"""),725.0)</f>
        <v>725</v>
      </c>
      <c r="D155" s="2">
        <f>IFERROR(__xludf.DUMMYFUNCTION("""COMPUTED_VALUE"""),715.0)</f>
        <v>715</v>
      </c>
      <c r="E155" s="2">
        <f>IFERROR(__xludf.DUMMYFUNCTION("""COMPUTED_VALUE"""),720.0)</f>
        <v>720</v>
      </c>
      <c r="F155" s="2">
        <f>IFERROR(__xludf.DUMMYFUNCTION("""COMPUTED_VALUE"""),1.72883E7)</f>
        <v>17288300</v>
      </c>
      <c r="G155" s="2">
        <f t="shared" si="1"/>
        <v>10</v>
      </c>
    </row>
    <row r="156" ht="15.75" customHeight="1">
      <c r="A156" s="1">
        <f>IFERROR(__xludf.DUMMYFUNCTION("""COMPUTED_VALUE"""),44756.66666666667)</f>
        <v>44756.66667</v>
      </c>
      <c r="B156" s="2">
        <f>IFERROR(__xludf.DUMMYFUNCTION("""COMPUTED_VALUE"""),725.0)</f>
        <v>725</v>
      </c>
      <c r="C156" s="2">
        <f>IFERROR(__xludf.DUMMYFUNCTION("""COMPUTED_VALUE"""),725.0)</f>
        <v>725</v>
      </c>
      <c r="D156" s="2">
        <f>IFERROR(__xludf.DUMMYFUNCTION("""COMPUTED_VALUE"""),715.0)</f>
        <v>715</v>
      </c>
      <c r="E156" s="2">
        <f>IFERROR(__xludf.DUMMYFUNCTION("""COMPUTED_VALUE"""),725.0)</f>
        <v>725</v>
      </c>
      <c r="F156" s="2">
        <f>IFERROR(__xludf.DUMMYFUNCTION("""COMPUTED_VALUE"""),1.0389E7)</f>
        <v>10389000</v>
      </c>
      <c r="G156" s="2">
        <f t="shared" si="1"/>
        <v>10</v>
      </c>
    </row>
    <row r="157" ht="15.75" customHeight="1">
      <c r="A157" s="1">
        <f>IFERROR(__xludf.DUMMYFUNCTION("""COMPUTED_VALUE"""),44757.66666666667)</f>
        <v>44757.66667</v>
      </c>
      <c r="B157" s="2">
        <f>IFERROR(__xludf.DUMMYFUNCTION("""COMPUTED_VALUE"""),720.0)</f>
        <v>720</v>
      </c>
      <c r="C157" s="2">
        <f>IFERROR(__xludf.DUMMYFUNCTION("""COMPUTED_VALUE"""),725.0)</f>
        <v>725</v>
      </c>
      <c r="D157" s="2">
        <f>IFERROR(__xludf.DUMMYFUNCTION("""COMPUTED_VALUE"""),715.0)</f>
        <v>715</v>
      </c>
      <c r="E157" s="2">
        <f>IFERROR(__xludf.DUMMYFUNCTION("""COMPUTED_VALUE"""),715.0)</f>
        <v>715</v>
      </c>
      <c r="F157" s="2">
        <f>IFERROR(__xludf.DUMMYFUNCTION("""COMPUTED_VALUE"""),1.21976E7)</f>
        <v>12197600</v>
      </c>
      <c r="G157" s="2">
        <f t="shared" si="1"/>
        <v>10</v>
      </c>
    </row>
    <row r="158" ht="15.75" customHeight="1">
      <c r="A158" s="1">
        <f>IFERROR(__xludf.DUMMYFUNCTION("""COMPUTED_VALUE"""),44760.66666666667)</f>
        <v>44760.66667</v>
      </c>
      <c r="B158" s="2">
        <f>IFERROR(__xludf.DUMMYFUNCTION("""COMPUTED_VALUE"""),715.0)</f>
        <v>715</v>
      </c>
      <c r="C158" s="2">
        <f>IFERROR(__xludf.DUMMYFUNCTION("""COMPUTED_VALUE"""),725.0)</f>
        <v>725</v>
      </c>
      <c r="D158" s="2">
        <f>IFERROR(__xludf.DUMMYFUNCTION("""COMPUTED_VALUE"""),715.0)</f>
        <v>715</v>
      </c>
      <c r="E158" s="2">
        <f>IFERROR(__xludf.DUMMYFUNCTION("""COMPUTED_VALUE"""),715.0)</f>
        <v>715</v>
      </c>
      <c r="F158" s="2">
        <f>IFERROR(__xludf.DUMMYFUNCTION("""COMPUTED_VALUE"""),8903100.0)</f>
        <v>8903100</v>
      </c>
      <c r="G158" s="2">
        <f t="shared" si="1"/>
        <v>10</v>
      </c>
    </row>
    <row r="159" ht="15.75" customHeight="1">
      <c r="A159" s="1">
        <f>IFERROR(__xludf.DUMMYFUNCTION("""COMPUTED_VALUE"""),44761.66666666667)</f>
        <v>44761.66667</v>
      </c>
      <c r="B159" s="2">
        <f>IFERROR(__xludf.DUMMYFUNCTION("""COMPUTED_VALUE"""),715.0)</f>
        <v>715</v>
      </c>
      <c r="C159" s="2">
        <f>IFERROR(__xludf.DUMMYFUNCTION("""COMPUTED_VALUE"""),730.0)</f>
        <v>730</v>
      </c>
      <c r="D159" s="2">
        <f>IFERROR(__xludf.DUMMYFUNCTION("""COMPUTED_VALUE"""),715.0)</f>
        <v>715</v>
      </c>
      <c r="E159" s="2">
        <f>IFERROR(__xludf.DUMMYFUNCTION("""COMPUTED_VALUE"""),725.0)</f>
        <v>725</v>
      </c>
      <c r="F159" s="2">
        <f>IFERROR(__xludf.DUMMYFUNCTION("""COMPUTED_VALUE"""),1.23623E7)</f>
        <v>12362300</v>
      </c>
      <c r="G159" s="2">
        <f t="shared" si="1"/>
        <v>15</v>
      </c>
    </row>
    <row r="160" ht="15.75" customHeight="1">
      <c r="A160" s="1">
        <f>IFERROR(__xludf.DUMMYFUNCTION("""COMPUTED_VALUE"""),44762.66666666667)</f>
        <v>44762.66667</v>
      </c>
      <c r="B160" s="2">
        <f>IFERROR(__xludf.DUMMYFUNCTION("""COMPUTED_VALUE"""),725.0)</f>
        <v>725</v>
      </c>
      <c r="C160" s="2">
        <f>IFERROR(__xludf.DUMMYFUNCTION("""COMPUTED_VALUE"""),730.0)</f>
        <v>730</v>
      </c>
      <c r="D160" s="2">
        <f>IFERROR(__xludf.DUMMYFUNCTION("""COMPUTED_VALUE"""),720.0)</f>
        <v>720</v>
      </c>
      <c r="E160" s="2">
        <f>IFERROR(__xludf.DUMMYFUNCTION("""COMPUTED_VALUE"""),725.0)</f>
        <v>725</v>
      </c>
      <c r="F160" s="2">
        <f>IFERROR(__xludf.DUMMYFUNCTION("""COMPUTED_VALUE"""),2.74279E7)</f>
        <v>27427900</v>
      </c>
      <c r="G160" s="2">
        <f t="shared" si="1"/>
        <v>10</v>
      </c>
    </row>
    <row r="161" ht="15.75" customHeight="1">
      <c r="A161" s="1">
        <f>IFERROR(__xludf.DUMMYFUNCTION("""COMPUTED_VALUE"""),44763.66666666667)</f>
        <v>44763.66667</v>
      </c>
      <c r="B161" s="2">
        <f>IFERROR(__xludf.DUMMYFUNCTION("""COMPUTED_VALUE"""),725.0)</f>
        <v>725</v>
      </c>
      <c r="C161" s="2">
        <f>IFERROR(__xludf.DUMMYFUNCTION("""COMPUTED_VALUE"""),730.0)</f>
        <v>730</v>
      </c>
      <c r="D161" s="2">
        <f>IFERROR(__xludf.DUMMYFUNCTION("""COMPUTED_VALUE"""),725.0)</f>
        <v>725</v>
      </c>
      <c r="E161" s="2">
        <f>IFERROR(__xludf.DUMMYFUNCTION("""COMPUTED_VALUE"""),725.0)</f>
        <v>725</v>
      </c>
      <c r="F161" s="2">
        <f>IFERROR(__xludf.DUMMYFUNCTION("""COMPUTED_VALUE"""),6123900.0)</f>
        <v>6123900</v>
      </c>
      <c r="G161" s="2">
        <f t="shared" si="1"/>
        <v>5</v>
      </c>
    </row>
    <row r="162" ht="15.75" customHeight="1">
      <c r="A162" s="1">
        <f>IFERROR(__xludf.DUMMYFUNCTION("""COMPUTED_VALUE"""),44764.66666666667)</f>
        <v>44764.66667</v>
      </c>
      <c r="B162" s="2">
        <f>IFERROR(__xludf.DUMMYFUNCTION("""COMPUTED_VALUE"""),725.0)</f>
        <v>725</v>
      </c>
      <c r="C162" s="2">
        <f>IFERROR(__xludf.DUMMYFUNCTION("""COMPUTED_VALUE"""),730.0)</f>
        <v>730</v>
      </c>
      <c r="D162" s="2">
        <f>IFERROR(__xludf.DUMMYFUNCTION("""COMPUTED_VALUE"""),720.0)</f>
        <v>720</v>
      </c>
      <c r="E162" s="2">
        <f>IFERROR(__xludf.DUMMYFUNCTION("""COMPUTED_VALUE"""),730.0)</f>
        <v>730</v>
      </c>
      <c r="F162" s="2">
        <f>IFERROR(__xludf.DUMMYFUNCTION("""COMPUTED_VALUE"""),1.49162E7)</f>
        <v>14916200</v>
      </c>
      <c r="G162" s="2">
        <f t="shared" si="1"/>
        <v>10</v>
      </c>
    </row>
    <row r="163" ht="15.75" customHeight="1">
      <c r="A163" s="1">
        <f>IFERROR(__xludf.DUMMYFUNCTION("""COMPUTED_VALUE"""),44767.66666666667)</f>
        <v>44767.66667</v>
      </c>
      <c r="B163" s="2">
        <f>IFERROR(__xludf.DUMMYFUNCTION("""COMPUTED_VALUE"""),725.0)</f>
        <v>725</v>
      </c>
      <c r="C163" s="2">
        <f>IFERROR(__xludf.DUMMYFUNCTION("""COMPUTED_VALUE"""),730.0)</f>
        <v>730</v>
      </c>
      <c r="D163" s="2">
        <f>IFERROR(__xludf.DUMMYFUNCTION("""COMPUTED_VALUE"""),720.0)</f>
        <v>720</v>
      </c>
      <c r="E163" s="2">
        <f>IFERROR(__xludf.DUMMYFUNCTION("""COMPUTED_VALUE"""),725.0)</f>
        <v>725</v>
      </c>
      <c r="F163" s="2">
        <f>IFERROR(__xludf.DUMMYFUNCTION("""COMPUTED_VALUE"""),2.09903E7)</f>
        <v>20990300</v>
      </c>
      <c r="G163" s="2">
        <f t="shared" si="1"/>
        <v>10</v>
      </c>
    </row>
    <row r="164" ht="15.75" customHeight="1">
      <c r="A164" s="1">
        <f>IFERROR(__xludf.DUMMYFUNCTION("""COMPUTED_VALUE"""),44768.66666666667)</f>
        <v>44768.66667</v>
      </c>
      <c r="B164" s="2">
        <f>IFERROR(__xludf.DUMMYFUNCTION("""COMPUTED_VALUE"""),725.0)</f>
        <v>725</v>
      </c>
      <c r="C164" s="2">
        <f>IFERROR(__xludf.DUMMYFUNCTION("""COMPUTED_VALUE"""),730.0)</f>
        <v>730</v>
      </c>
      <c r="D164" s="2">
        <f>IFERROR(__xludf.DUMMYFUNCTION("""COMPUTED_VALUE"""),720.0)</f>
        <v>720</v>
      </c>
      <c r="E164" s="2">
        <f>IFERROR(__xludf.DUMMYFUNCTION("""COMPUTED_VALUE"""),725.0)</f>
        <v>725</v>
      </c>
      <c r="F164" s="2">
        <f>IFERROR(__xludf.DUMMYFUNCTION("""COMPUTED_VALUE"""),1.59678E7)</f>
        <v>15967800</v>
      </c>
      <c r="G164" s="2">
        <f t="shared" si="1"/>
        <v>10</v>
      </c>
    </row>
    <row r="165" ht="15.75" customHeight="1">
      <c r="A165" s="1">
        <f>IFERROR(__xludf.DUMMYFUNCTION("""COMPUTED_VALUE"""),44769.66666666667)</f>
        <v>44769.66667</v>
      </c>
      <c r="B165" s="2">
        <f>IFERROR(__xludf.DUMMYFUNCTION("""COMPUTED_VALUE"""),730.0)</f>
        <v>730</v>
      </c>
      <c r="C165" s="2">
        <f>IFERROR(__xludf.DUMMYFUNCTION("""COMPUTED_VALUE"""),735.0)</f>
        <v>735</v>
      </c>
      <c r="D165" s="2">
        <f>IFERROR(__xludf.DUMMYFUNCTION("""COMPUTED_VALUE"""),720.0)</f>
        <v>720</v>
      </c>
      <c r="E165" s="2">
        <f>IFERROR(__xludf.DUMMYFUNCTION("""COMPUTED_VALUE"""),720.0)</f>
        <v>720</v>
      </c>
      <c r="F165" s="2">
        <f>IFERROR(__xludf.DUMMYFUNCTION("""COMPUTED_VALUE"""),2.22018E7)</f>
        <v>22201800</v>
      </c>
      <c r="G165" s="2">
        <f t="shared" si="1"/>
        <v>15</v>
      </c>
    </row>
    <row r="166" ht="15.75" customHeight="1">
      <c r="A166" s="1">
        <f>IFERROR(__xludf.DUMMYFUNCTION("""COMPUTED_VALUE"""),44770.66666666667)</f>
        <v>44770.66667</v>
      </c>
      <c r="B166" s="2">
        <f>IFERROR(__xludf.DUMMYFUNCTION("""COMPUTED_VALUE"""),720.0)</f>
        <v>720</v>
      </c>
      <c r="C166" s="2">
        <f>IFERROR(__xludf.DUMMYFUNCTION("""COMPUTED_VALUE"""),730.0)</f>
        <v>730</v>
      </c>
      <c r="D166" s="2">
        <f>IFERROR(__xludf.DUMMYFUNCTION("""COMPUTED_VALUE"""),720.0)</f>
        <v>720</v>
      </c>
      <c r="E166" s="2">
        <f>IFERROR(__xludf.DUMMYFUNCTION("""COMPUTED_VALUE"""),730.0)</f>
        <v>730</v>
      </c>
      <c r="F166" s="2">
        <f>IFERROR(__xludf.DUMMYFUNCTION("""COMPUTED_VALUE"""),2.14723E7)</f>
        <v>21472300</v>
      </c>
      <c r="G166" s="2">
        <f t="shared" si="1"/>
        <v>10</v>
      </c>
    </row>
    <row r="167" ht="15.75" customHeight="1">
      <c r="A167" s="1">
        <f>IFERROR(__xludf.DUMMYFUNCTION("""COMPUTED_VALUE"""),44771.66666666667)</f>
        <v>44771.66667</v>
      </c>
      <c r="B167" s="2">
        <f>IFERROR(__xludf.DUMMYFUNCTION("""COMPUTED_VALUE"""),735.0)</f>
        <v>735</v>
      </c>
      <c r="C167" s="2">
        <f>IFERROR(__xludf.DUMMYFUNCTION("""COMPUTED_VALUE"""),740.0)</f>
        <v>740</v>
      </c>
      <c r="D167" s="2">
        <f>IFERROR(__xludf.DUMMYFUNCTION("""COMPUTED_VALUE"""),725.0)</f>
        <v>725</v>
      </c>
      <c r="E167" s="2">
        <f>IFERROR(__xludf.DUMMYFUNCTION("""COMPUTED_VALUE"""),730.0)</f>
        <v>730</v>
      </c>
      <c r="F167" s="2">
        <f>IFERROR(__xludf.DUMMYFUNCTION("""COMPUTED_VALUE"""),2.65573E7)</f>
        <v>26557300</v>
      </c>
      <c r="G167" s="2">
        <f t="shared" si="1"/>
        <v>15</v>
      </c>
    </row>
    <row r="168" ht="15.75" customHeight="1">
      <c r="A168" s="1">
        <f>IFERROR(__xludf.DUMMYFUNCTION("""COMPUTED_VALUE"""),44774.66666666667)</f>
        <v>44774.66667</v>
      </c>
      <c r="B168" s="2">
        <f>IFERROR(__xludf.DUMMYFUNCTION("""COMPUTED_VALUE"""),730.0)</f>
        <v>730</v>
      </c>
      <c r="C168" s="2">
        <f>IFERROR(__xludf.DUMMYFUNCTION("""COMPUTED_VALUE"""),735.0)</f>
        <v>735</v>
      </c>
      <c r="D168" s="2">
        <f>IFERROR(__xludf.DUMMYFUNCTION("""COMPUTED_VALUE"""),725.0)</f>
        <v>725</v>
      </c>
      <c r="E168" s="2">
        <f>IFERROR(__xludf.DUMMYFUNCTION("""COMPUTED_VALUE"""),725.0)</f>
        <v>725</v>
      </c>
      <c r="F168" s="2">
        <f>IFERROR(__xludf.DUMMYFUNCTION("""COMPUTED_VALUE"""),5293800.0)</f>
        <v>5293800</v>
      </c>
      <c r="G168" s="2">
        <f t="shared" si="1"/>
        <v>10</v>
      </c>
    </row>
    <row r="169" ht="15.75" customHeight="1">
      <c r="A169" s="1">
        <f>IFERROR(__xludf.DUMMYFUNCTION("""COMPUTED_VALUE"""),44775.66666666667)</f>
        <v>44775.66667</v>
      </c>
      <c r="B169" s="2">
        <f>IFERROR(__xludf.DUMMYFUNCTION("""COMPUTED_VALUE"""),730.0)</f>
        <v>730</v>
      </c>
      <c r="C169" s="2">
        <f>IFERROR(__xludf.DUMMYFUNCTION("""COMPUTED_VALUE"""),750.0)</f>
        <v>750</v>
      </c>
      <c r="D169" s="2">
        <f>IFERROR(__xludf.DUMMYFUNCTION("""COMPUTED_VALUE"""),725.0)</f>
        <v>725</v>
      </c>
      <c r="E169" s="2">
        <f>IFERROR(__xludf.DUMMYFUNCTION("""COMPUTED_VALUE"""),745.0)</f>
        <v>745</v>
      </c>
      <c r="F169" s="2">
        <f>IFERROR(__xludf.DUMMYFUNCTION("""COMPUTED_VALUE"""),5.40165E7)</f>
        <v>54016500</v>
      </c>
      <c r="G169" s="2">
        <f t="shared" si="1"/>
        <v>25</v>
      </c>
    </row>
    <row r="170" ht="15.75" customHeight="1">
      <c r="A170" s="1">
        <f>IFERROR(__xludf.DUMMYFUNCTION("""COMPUTED_VALUE"""),44776.66666666667)</f>
        <v>44776.66667</v>
      </c>
      <c r="B170" s="2">
        <f>IFERROR(__xludf.DUMMYFUNCTION("""COMPUTED_VALUE"""),750.0)</f>
        <v>750</v>
      </c>
      <c r="C170" s="2">
        <f>IFERROR(__xludf.DUMMYFUNCTION("""COMPUTED_VALUE"""),770.0)</f>
        <v>770</v>
      </c>
      <c r="D170" s="2">
        <f>IFERROR(__xludf.DUMMYFUNCTION("""COMPUTED_VALUE"""),745.0)</f>
        <v>745</v>
      </c>
      <c r="E170" s="2">
        <f>IFERROR(__xludf.DUMMYFUNCTION("""COMPUTED_VALUE"""),770.0)</f>
        <v>770</v>
      </c>
      <c r="F170" s="2">
        <f>IFERROR(__xludf.DUMMYFUNCTION("""COMPUTED_VALUE"""),1.009926E8)</f>
        <v>100992600</v>
      </c>
      <c r="G170" s="2">
        <f t="shared" si="1"/>
        <v>25</v>
      </c>
    </row>
    <row r="171" ht="15.75" customHeight="1">
      <c r="A171" s="1">
        <f>IFERROR(__xludf.DUMMYFUNCTION("""COMPUTED_VALUE"""),44777.66666666667)</f>
        <v>44777.66667</v>
      </c>
      <c r="B171" s="2">
        <f>IFERROR(__xludf.DUMMYFUNCTION("""COMPUTED_VALUE"""),770.0)</f>
        <v>770</v>
      </c>
      <c r="C171" s="2">
        <f>IFERROR(__xludf.DUMMYFUNCTION("""COMPUTED_VALUE"""),770.0)</f>
        <v>770</v>
      </c>
      <c r="D171" s="2">
        <f>IFERROR(__xludf.DUMMYFUNCTION("""COMPUTED_VALUE"""),760.0)</f>
        <v>760</v>
      </c>
      <c r="E171" s="2">
        <f>IFERROR(__xludf.DUMMYFUNCTION("""COMPUTED_VALUE"""),770.0)</f>
        <v>770</v>
      </c>
      <c r="F171" s="2">
        <f>IFERROR(__xludf.DUMMYFUNCTION("""COMPUTED_VALUE"""),3.5778E7)</f>
        <v>35778000</v>
      </c>
      <c r="G171" s="2">
        <f t="shared" si="1"/>
        <v>10</v>
      </c>
    </row>
    <row r="172" ht="15.75" customHeight="1">
      <c r="A172" s="1">
        <f>IFERROR(__xludf.DUMMYFUNCTION("""COMPUTED_VALUE"""),44778.66666666667)</f>
        <v>44778.66667</v>
      </c>
      <c r="B172" s="2">
        <f>IFERROR(__xludf.DUMMYFUNCTION("""COMPUTED_VALUE"""),765.0)</f>
        <v>765</v>
      </c>
      <c r="C172" s="2">
        <f>IFERROR(__xludf.DUMMYFUNCTION("""COMPUTED_VALUE"""),775.0)</f>
        <v>775</v>
      </c>
      <c r="D172" s="2">
        <f>IFERROR(__xludf.DUMMYFUNCTION("""COMPUTED_VALUE"""),760.0)</f>
        <v>760</v>
      </c>
      <c r="E172" s="2">
        <f>IFERROR(__xludf.DUMMYFUNCTION("""COMPUTED_VALUE"""),770.0)</f>
        <v>770</v>
      </c>
      <c r="F172" s="2">
        <f>IFERROR(__xludf.DUMMYFUNCTION("""COMPUTED_VALUE"""),3.07677E7)</f>
        <v>30767700</v>
      </c>
      <c r="G172" s="2">
        <f t="shared" si="1"/>
        <v>15</v>
      </c>
    </row>
    <row r="173" ht="15.75" customHeight="1">
      <c r="A173" s="1">
        <f>IFERROR(__xludf.DUMMYFUNCTION("""COMPUTED_VALUE"""),44781.66666666667)</f>
        <v>44781.66667</v>
      </c>
      <c r="B173" s="2">
        <f>IFERROR(__xludf.DUMMYFUNCTION("""COMPUTED_VALUE"""),770.0)</f>
        <v>770</v>
      </c>
      <c r="C173" s="2">
        <f>IFERROR(__xludf.DUMMYFUNCTION("""COMPUTED_VALUE"""),775.0)</f>
        <v>775</v>
      </c>
      <c r="D173" s="2">
        <f>IFERROR(__xludf.DUMMYFUNCTION("""COMPUTED_VALUE"""),765.0)</f>
        <v>765</v>
      </c>
      <c r="E173" s="2">
        <f>IFERROR(__xludf.DUMMYFUNCTION("""COMPUTED_VALUE"""),770.0)</f>
        <v>770</v>
      </c>
      <c r="F173" s="2">
        <f>IFERROR(__xludf.DUMMYFUNCTION("""COMPUTED_VALUE"""),1.50898E7)</f>
        <v>15089800</v>
      </c>
      <c r="G173" s="2">
        <f t="shared" si="1"/>
        <v>10</v>
      </c>
    </row>
    <row r="174" ht="15.75" customHeight="1">
      <c r="A174" s="1">
        <f>IFERROR(__xludf.DUMMYFUNCTION("""COMPUTED_VALUE"""),44782.66666666667)</f>
        <v>44782.66667</v>
      </c>
      <c r="B174" s="2">
        <f>IFERROR(__xludf.DUMMYFUNCTION("""COMPUTED_VALUE"""),760.0)</f>
        <v>760</v>
      </c>
      <c r="C174" s="2">
        <f>IFERROR(__xludf.DUMMYFUNCTION("""COMPUTED_VALUE"""),770.0)</f>
        <v>770</v>
      </c>
      <c r="D174" s="2">
        <f>IFERROR(__xludf.DUMMYFUNCTION("""COMPUTED_VALUE"""),760.0)</f>
        <v>760</v>
      </c>
      <c r="E174" s="2">
        <f>IFERROR(__xludf.DUMMYFUNCTION("""COMPUTED_VALUE"""),765.0)</f>
        <v>765</v>
      </c>
      <c r="F174" s="2">
        <f>IFERROR(__xludf.DUMMYFUNCTION("""COMPUTED_VALUE"""),2.40347E7)</f>
        <v>24034700</v>
      </c>
      <c r="G174" s="2">
        <f t="shared" si="1"/>
        <v>10</v>
      </c>
    </row>
    <row r="175" ht="15.75" customHeight="1">
      <c r="A175" s="1">
        <f>IFERROR(__xludf.DUMMYFUNCTION("""COMPUTED_VALUE"""),44783.66666666667)</f>
        <v>44783.66667</v>
      </c>
      <c r="B175" s="2">
        <f>IFERROR(__xludf.DUMMYFUNCTION("""COMPUTED_VALUE"""),765.0)</f>
        <v>765</v>
      </c>
      <c r="C175" s="2">
        <f>IFERROR(__xludf.DUMMYFUNCTION("""COMPUTED_VALUE"""),765.0)</f>
        <v>765</v>
      </c>
      <c r="D175" s="2">
        <f>IFERROR(__xludf.DUMMYFUNCTION("""COMPUTED_VALUE"""),755.0)</f>
        <v>755</v>
      </c>
      <c r="E175" s="2">
        <f>IFERROR(__xludf.DUMMYFUNCTION("""COMPUTED_VALUE"""),765.0)</f>
        <v>765</v>
      </c>
      <c r="F175" s="2">
        <f>IFERROR(__xludf.DUMMYFUNCTION("""COMPUTED_VALUE"""),1.76971E7)</f>
        <v>17697100</v>
      </c>
      <c r="G175" s="2">
        <f t="shared" si="1"/>
        <v>10</v>
      </c>
    </row>
    <row r="176" ht="15.75" customHeight="1">
      <c r="A176" s="1">
        <f>IFERROR(__xludf.DUMMYFUNCTION("""COMPUTED_VALUE"""),44784.66666666667)</f>
        <v>44784.66667</v>
      </c>
      <c r="B176" s="2">
        <f>IFERROR(__xludf.DUMMYFUNCTION("""COMPUTED_VALUE"""),765.0)</f>
        <v>765</v>
      </c>
      <c r="C176" s="2">
        <f>IFERROR(__xludf.DUMMYFUNCTION("""COMPUTED_VALUE"""),775.0)</f>
        <v>775</v>
      </c>
      <c r="D176" s="2">
        <f>IFERROR(__xludf.DUMMYFUNCTION("""COMPUTED_VALUE"""),760.0)</f>
        <v>760</v>
      </c>
      <c r="E176" s="2">
        <f>IFERROR(__xludf.DUMMYFUNCTION("""COMPUTED_VALUE"""),775.0)</f>
        <v>775</v>
      </c>
      <c r="F176" s="2">
        <f>IFERROR(__xludf.DUMMYFUNCTION("""COMPUTED_VALUE"""),6.49883E7)</f>
        <v>64988300</v>
      </c>
      <c r="G176" s="2">
        <f t="shared" si="1"/>
        <v>15</v>
      </c>
    </row>
    <row r="177" ht="15.75" customHeight="1">
      <c r="A177" s="1">
        <f>IFERROR(__xludf.DUMMYFUNCTION("""COMPUTED_VALUE"""),44785.66666666667)</f>
        <v>44785.66667</v>
      </c>
      <c r="B177" s="2">
        <f>IFERROR(__xludf.DUMMYFUNCTION("""COMPUTED_VALUE"""),775.0)</f>
        <v>775</v>
      </c>
      <c r="C177" s="2">
        <f>IFERROR(__xludf.DUMMYFUNCTION("""COMPUTED_VALUE"""),785.0)</f>
        <v>785</v>
      </c>
      <c r="D177" s="2">
        <f>IFERROR(__xludf.DUMMYFUNCTION("""COMPUTED_VALUE"""),770.0)</f>
        <v>770</v>
      </c>
      <c r="E177" s="2">
        <f>IFERROR(__xludf.DUMMYFUNCTION("""COMPUTED_VALUE"""),785.0)</f>
        <v>785</v>
      </c>
      <c r="F177" s="2">
        <f>IFERROR(__xludf.DUMMYFUNCTION("""COMPUTED_VALUE"""),9.38947E7)</f>
        <v>93894700</v>
      </c>
      <c r="G177" s="2">
        <f t="shared" si="1"/>
        <v>15</v>
      </c>
    </row>
    <row r="178" ht="15.75" customHeight="1">
      <c r="A178" s="1">
        <f>IFERROR(__xludf.DUMMYFUNCTION("""COMPUTED_VALUE"""),44788.66666666667)</f>
        <v>44788.66667</v>
      </c>
      <c r="B178" s="2">
        <f>IFERROR(__xludf.DUMMYFUNCTION("""COMPUTED_VALUE"""),785.0)</f>
        <v>785</v>
      </c>
      <c r="C178" s="2">
        <f>IFERROR(__xludf.DUMMYFUNCTION("""COMPUTED_VALUE"""),785.0)</f>
        <v>785</v>
      </c>
      <c r="D178" s="2">
        <f>IFERROR(__xludf.DUMMYFUNCTION("""COMPUTED_VALUE"""),775.0)</f>
        <v>775</v>
      </c>
      <c r="E178" s="2">
        <f>IFERROR(__xludf.DUMMYFUNCTION("""COMPUTED_VALUE"""),785.0)</f>
        <v>785</v>
      </c>
      <c r="F178" s="2">
        <f>IFERROR(__xludf.DUMMYFUNCTION("""COMPUTED_VALUE"""),3.06604E7)</f>
        <v>30660400</v>
      </c>
      <c r="G178" s="2">
        <f t="shared" si="1"/>
        <v>10</v>
      </c>
    </row>
    <row r="179" ht="15.75" customHeight="1">
      <c r="A179" s="1">
        <f>IFERROR(__xludf.DUMMYFUNCTION("""COMPUTED_VALUE"""),44789.66666666667)</f>
        <v>44789.66667</v>
      </c>
      <c r="B179" s="2">
        <f>IFERROR(__xludf.DUMMYFUNCTION("""COMPUTED_VALUE"""),785.0)</f>
        <v>785</v>
      </c>
      <c r="C179" s="2">
        <f>IFERROR(__xludf.DUMMYFUNCTION("""COMPUTED_VALUE"""),785.0)</f>
        <v>785</v>
      </c>
      <c r="D179" s="2">
        <f>IFERROR(__xludf.DUMMYFUNCTION("""COMPUTED_VALUE"""),775.0)</f>
        <v>775</v>
      </c>
      <c r="E179" s="2">
        <f>IFERROR(__xludf.DUMMYFUNCTION("""COMPUTED_VALUE"""),785.0)</f>
        <v>785</v>
      </c>
      <c r="F179" s="2">
        <f>IFERROR(__xludf.DUMMYFUNCTION("""COMPUTED_VALUE"""),4.57546E7)</f>
        <v>45754600</v>
      </c>
      <c r="G179" s="2">
        <f t="shared" si="1"/>
        <v>10</v>
      </c>
    </row>
    <row r="180" ht="15.75" customHeight="1">
      <c r="A180" s="1">
        <f>IFERROR(__xludf.DUMMYFUNCTION("""COMPUTED_VALUE"""),44791.66666666667)</f>
        <v>44791.66667</v>
      </c>
      <c r="B180" s="2">
        <f>IFERROR(__xludf.DUMMYFUNCTION("""COMPUTED_VALUE"""),780.0)</f>
        <v>780</v>
      </c>
      <c r="C180" s="2">
        <f>IFERROR(__xludf.DUMMYFUNCTION("""COMPUTED_VALUE"""),785.0)</f>
        <v>785</v>
      </c>
      <c r="D180" s="2">
        <f>IFERROR(__xludf.DUMMYFUNCTION("""COMPUTED_VALUE"""),775.0)</f>
        <v>775</v>
      </c>
      <c r="E180" s="2">
        <f>IFERROR(__xludf.DUMMYFUNCTION("""COMPUTED_VALUE"""),785.0)</f>
        <v>785</v>
      </c>
      <c r="F180" s="2">
        <f>IFERROR(__xludf.DUMMYFUNCTION("""COMPUTED_VALUE"""),2.93499E7)</f>
        <v>29349900</v>
      </c>
      <c r="G180" s="2">
        <f t="shared" si="1"/>
        <v>10</v>
      </c>
    </row>
    <row r="181" ht="15.75" customHeight="1">
      <c r="A181" s="1">
        <f>IFERROR(__xludf.DUMMYFUNCTION("""COMPUTED_VALUE"""),44792.66666666667)</f>
        <v>44792.66667</v>
      </c>
      <c r="B181" s="2">
        <f>IFERROR(__xludf.DUMMYFUNCTION("""COMPUTED_VALUE"""),785.0)</f>
        <v>785</v>
      </c>
      <c r="C181" s="2">
        <f>IFERROR(__xludf.DUMMYFUNCTION("""COMPUTED_VALUE"""),785.0)</f>
        <v>785</v>
      </c>
      <c r="D181" s="2">
        <f>IFERROR(__xludf.DUMMYFUNCTION("""COMPUTED_VALUE"""),780.0)</f>
        <v>780</v>
      </c>
      <c r="E181" s="2">
        <f>IFERROR(__xludf.DUMMYFUNCTION("""COMPUTED_VALUE"""),785.0)</f>
        <v>785</v>
      </c>
      <c r="F181" s="2">
        <f>IFERROR(__xludf.DUMMYFUNCTION("""COMPUTED_VALUE"""),3.36865E7)</f>
        <v>33686500</v>
      </c>
      <c r="G181" s="2">
        <f t="shared" si="1"/>
        <v>5</v>
      </c>
    </row>
    <row r="182" ht="15.75" customHeight="1">
      <c r="A182" s="1">
        <f>IFERROR(__xludf.DUMMYFUNCTION("""COMPUTED_VALUE"""),44795.66666666667)</f>
        <v>44795.66667</v>
      </c>
      <c r="B182" s="2">
        <f>IFERROR(__xludf.DUMMYFUNCTION("""COMPUTED_VALUE"""),780.0)</f>
        <v>780</v>
      </c>
      <c r="C182" s="2">
        <f>IFERROR(__xludf.DUMMYFUNCTION("""COMPUTED_VALUE"""),785.0)</f>
        <v>785</v>
      </c>
      <c r="D182" s="2">
        <f>IFERROR(__xludf.DUMMYFUNCTION("""COMPUTED_VALUE"""),780.0)</f>
        <v>780</v>
      </c>
      <c r="E182" s="2">
        <f>IFERROR(__xludf.DUMMYFUNCTION("""COMPUTED_VALUE"""),785.0)</f>
        <v>785</v>
      </c>
      <c r="F182" s="2">
        <f>IFERROR(__xludf.DUMMYFUNCTION("""COMPUTED_VALUE"""),4.00483E7)</f>
        <v>40048300</v>
      </c>
      <c r="G182" s="2">
        <f t="shared" si="1"/>
        <v>5</v>
      </c>
    </row>
    <row r="183" ht="15.75" customHeight="1">
      <c r="A183" s="1">
        <f>IFERROR(__xludf.DUMMYFUNCTION("""COMPUTED_VALUE"""),44796.66666666667)</f>
        <v>44796.66667</v>
      </c>
      <c r="B183" s="2">
        <f>IFERROR(__xludf.DUMMYFUNCTION("""COMPUTED_VALUE"""),775.0)</f>
        <v>775</v>
      </c>
      <c r="C183" s="2">
        <f>IFERROR(__xludf.DUMMYFUNCTION("""COMPUTED_VALUE"""),785.0)</f>
        <v>785</v>
      </c>
      <c r="D183" s="2">
        <f>IFERROR(__xludf.DUMMYFUNCTION("""COMPUTED_VALUE"""),775.0)</f>
        <v>775</v>
      </c>
      <c r="E183" s="2">
        <f>IFERROR(__xludf.DUMMYFUNCTION("""COMPUTED_VALUE"""),785.0)</f>
        <v>785</v>
      </c>
      <c r="F183" s="2">
        <f>IFERROR(__xludf.DUMMYFUNCTION("""COMPUTED_VALUE"""),5.12544E7)</f>
        <v>51254400</v>
      </c>
      <c r="G183" s="2">
        <f t="shared" si="1"/>
        <v>10</v>
      </c>
    </row>
    <row r="184" ht="15.75" customHeight="1">
      <c r="A184" s="1">
        <f>IFERROR(__xludf.DUMMYFUNCTION("""COMPUTED_VALUE"""),44797.66666666667)</f>
        <v>44797.66667</v>
      </c>
      <c r="B184" s="2">
        <f>IFERROR(__xludf.DUMMYFUNCTION("""COMPUTED_VALUE"""),785.0)</f>
        <v>785</v>
      </c>
      <c r="C184" s="2">
        <f>IFERROR(__xludf.DUMMYFUNCTION("""COMPUTED_VALUE"""),790.0)</f>
        <v>790</v>
      </c>
      <c r="D184" s="2">
        <f>IFERROR(__xludf.DUMMYFUNCTION("""COMPUTED_VALUE"""),780.0)</f>
        <v>780</v>
      </c>
      <c r="E184" s="2">
        <f>IFERROR(__xludf.DUMMYFUNCTION("""COMPUTED_VALUE"""),790.0)</f>
        <v>790</v>
      </c>
      <c r="F184" s="2">
        <f>IFERROR(__xludf.DUMMYFUNCTION("""COMPUTED_VALUE"""),4.6837E7)</f>
        <v>46837000</v>
      </c>
      <c r="G184" s="2">
        <f t="shared" si="1"/>
        <v>10</v>
      </c>
    </row>
    <row r="185" ht="15.75" customHeight="1">
      <c r="A185" s="1">
        <f>IFERROR(__xludf.DUMMYFUNCTION("""COMPUTED_VALUE"""),44798.66666666667)</f>
        <v>44798.66667</v>
      </c>
      <c r="B185" s="2">
        <f>IFERROR(__xludf.DUMMYFUNCTION("""COMPUTED_VALUE"""),790.0)</f>
        <v>790</v>
      </c>
      <c r="C185" s="2">
        <f>IFERROR(__xludf.DUMMYFUNCTION("""COMPUTED_VALUE"""),795.0)</f>
        <v>795</v>
      </c>
      <c r="D185" s="2">
        <f>IFERROR(__xludf.DUMMYFUNCTION("""COMPUTED_VALUE"""),785.0)</f>
        <v>785</v>
      </c>
      <c r="E185" s="2">
        <f>IFERROR(__xludf.DUMMYFUNCTION("""COMPUTED_VALUE"""),795.0)</f>
        <v>795</v>
      </c>
      <c r="F185" s="2">
        <f>IFERROR(__xludf.DUMMYFUNCTION("""COMPUTED_VALUE"""),3.01602E7)</f>
        <v>30160200</v>
      </c>
      <c r="G185" s="2">
        <f t="shared" si="1"/>
        <v>10</v>
      </c>
    </row>
    <row r="186" ht="15.75" customHeight="1">
      <c r="A186" s="1">
        <f>IFERROR(__xludf.DUMMYFUNCTION("""COMPUTED_VALUE"""),44799.66666666667)</f>
        <v>44799.66667</v>
      </c>
      <c r="B186" s="2">
        <f>IFERROR(__xludf.DUMMYFUNCTION("""COMPUTED_VALUE"""),795.0)</f>
        <v>795</v>
      </c>
      <c r="C186" s="2">
        <f>IFERROR(__xludf.DUMMYFUNCTION("""COMPUTED_VALUE"""),800.0)</f>
        <v>800</v>
      </c>
      <c r="D186" s="2">
        <f>IFERROR(__xludf.DUMMYFUNCTION("""COMPUTED_VALUE"""),790.0)</f>
        <v>790</v>
      </c>
      <c r="E186" s="2">
        <f>IFERROR(__xludf.DUMMYFUNCTION("""COMPUTED_VALUE"""),795.0)</f>
        <v>795</v>
      </c>
      <c r="F186" s="2">
        <f>IFERROR(__xludf.DUMMYFUNCTION("""COMPUTED_VALUE"""),5.41708E7)</f>
        <v>54170800</v>
      </c>
      <c r="G186" s="2">
        <f t="shared" si="1"/>
        <v>10</v>
      </c>
    </row>
    <row r="187" ht="15.75" customHeight="1">
      <c r="A187" s="1">
        <f>IFERROR(__xludf.DUMMYFUNCTION("""COMPUTED_VALUE"""),44802.66666666667)</f>
        <v>44802.66667</v>
      </c>
      <c r="B187" s="2">
        <f>IFERROR(__xludf.DUMMYFUNCTION("""COMPUTED_VALUE"""),785.0)</f>
        <v>785</v>
      </c>
      <c r="C187" s="2">
        <f>IFERROR(__xludf.DUMMYFUNCTION("""COMPUTED_VALUE"""),795.0)</f>
        <v>795</v>
      </c>
      <c r="D187" s="2">
        <f>IFERROR(__xludf.DUMMYFUNCTION("""COMPUTED_VALUE"""),775.0)</f>
        <v>775</v>
      </c>
      <c r="E187" s="2">
        <f>IFERROR(__xludf.DUMMYFUNCTION("""COMPUTED_VALUE"""),790.0)</f>
        <v>790</v>
      </c>
      <c r="F187" s="2">
        <f>IFERROR(__xludf.DUMMYFUNCTION("""COMPUTED_VALUE"""),7.03007E7)</f>
        <v>70300700</v>
      </c>
      <c r="G187" s="2">
        <f t="shared" si="1"/>
        <v>20</v>
      </c>
    </row>
    <row r="188" ht="15.75" customHeight="1">
      <c r="A188" s="1">
        <f>IFERROR(__xludf.DUMMYFUNCTION("""COMPUTED_VALUE"""),44803.66666666667)</f>
        <v>44803.66667</v>
      </c>
      <c r="B188" s="2">
        <f>IFERROR(__xludf.DUMMYFUNCTION("""COMPUTED_VALUE"""),790.0)</f>
        <v>790</v>
      </c>
      <c r="C188" s="2">
        <f>IFERROR(__xludf.DUMMYFUNCTION("""COMPUTED_VALUE"""),795.0)</f>
        <v>795</v>
      </c>
      <c r="D188" s="2">
        <f>IFERROR(__xludf.DUMMYFUNCTION("""COMPUTED_VALUE"""),775.0)</f>
        <v>775</v>
      </c>
      <c r="E188" s="2">
        <f>IFERROR(__xludf.DUMMYFUNCTION("""COMPUTED_VALUE"""),795.0)</f>
        <v>795</v>
      </c>
      <c r="F188" s="2">
        <f>IFERROR(__xludf.DUMMYFUNCTION("""COMPUTED_VALUE"""),9.36421E7)</f>
        <v>93642100</v>
      </c>
      <c r="G188" s="2">
        <f t="shared" si="1"/>
        <v>20</v>
      </c>
    </row>
    <row r="189" ht="15.75" customHeight="1">
      <c r="A189" s="1">
        <f>IFERROR(__xludf.DUMMYFUNCTION("""COMPUTED_VALUE"""),44804.66666666667)</f>
        <v>44804.66667</v>
      </c>
      <c r="B189" s="2">
        <f>IFERROR(__xludf.DUMMYFUNCTION("""COMPUTED_VALUE"""),795.0)</f>
        <v>795</v>
      </c>
      <c r="C189" s="2">
        <f>IFERROR(__xludf.DUMMYFUNCTION("""COMPUTED_VALUE"""),795.0)</f>
        <v>795</v>
      </c>
      <c r="D189" s="2">
        <f>IFERROR(__xludf.DUMMYFUNCTION("""COMPUTED_VALUE"""),775.0)</f>
        <v>775</v>
      </c>
      <c r="E189" s="2">
        <f>IFERROR(__xludf.DUMMYFUNCTION("""COMPUTED_VALUE"""),790.0)</f>
        <v>790</v>
      </c>
      <c r="F189" s="2">
        <f>IFERROR(__xludf.DUMMYFUNCTION("""COMPUTED_VALUE"""),6.18084E7)</f>
        <v>61808400</v>
      </c>
      <c r="G189" s="2">
        <f t="shared" si="1"/>
        <v>20</v>
      </c>
    </row>
    <row r="190" ht="15.75" customHeight="1">
      <c r="A190" s="1">
        <f>IFERROR(__xludf.DUMMYFUNCTION("""COMPUTED_VALUE"""),44805.625)</f>
        <v>44805.625</v>
      </c>
      <c r="B190" s="2">
        <f>IFERROR(__xludf.DUMMYFUNCTION("""COMPUTED_VALUE"""),785.0)</f>
        <v>785</v>
      </c>
      <c r="C190" s="2">
        <f>IFERROR(__xludf.DUMMYFUNCTION("""COMPUTED_VALUE"""),795.0)</f>
        <v>795</v>
      </c>
      <c r="D190" s="2">
        <f>IFERROR(__xludf.DUMMYFUNCTION("""COMPUTED_VALUE"""),780.0)</f>
        <v>780</v>
      </c>
      <c r="E190" s="2">
        <f>IFERROR(__xludf.DUMMYFUNCTION("""COMPUTED_VALUE"""),795.0)</f>
        <v>795</v>
      </c>
      <c r="F190" s="2">
        <f>IFERROR(__xludf.DUMMYFUNCTION("""COMPUTED_VALUE"""),8.72094E7)</f>
        <v>87209400</v>
      </c>
      <c r="G190" s="2">
        <f t="shared" si="1"/>
        <v>15</v>
      </c>
    </row>
    <row r="191" ht="15.75" customHeight="1">
      <c r="A191" s="1">
        <f>IFERROR(__xludf.DUMMYFUNCTION("""COMPUTED_VALUE"""),44806.625)</f>
        <v>44806.625</v>
      </c>
      <c r="B191" s="2">
        <f>IFERROR(__xludf.DUMMYFUNCTION("""COMPUTED_VALUE"""),795.0)</f>
        <v>795</v>
      </c>
      <c r="C191" s="2">
        <f>IFERROR(__xludf.DUMMYFUNCTION("""COMPUTED_VALUE"""),805.0)</f>
        <v>805</v>
      </c>
      <c r="D191" s="2">
        <f>IFERROR(__xludf.DUMMYFUNCTION("""COMPUTED_VALUE"""),790.0)</f>
        <v>790</v>
      </c>
      <c r="E191" s="2">
        <f>IFERROR(__xludf.DUMMYFUNCTION("""COMPUTED_VALUE"""),805.0)</f>
        <v>805</v>
      </c>
      <c r="F191" s="2">
        <f>IFERROR(__xludf.DUMMYFUNCTION("""COMPUTED_VALUE"""),1.525019E8)</f>
        <v>152501900</v>
      </c>
      <c r="G191" s="2">
        <f t="shared" si="1"/>
        <v>15</v>
      </c>
    </row>
    <row r="192" ht="15.75" customHeight="1">
      <c r="A192" s="1">
        <f>IFERROR(__xludf.DUMMYFUNCTION("""COMPUTED_VALUE"""),44809.66666666667)</f>
        <v>44809.66667</v>
      </c>
      <c r="B192" s="2">
        <f>IFERROR(__xludf.DUMMYFUNCTION("""COMPUTED_VALUE"""),800.0)</f>
        <v>800</v>
      </c>
      <c r="C192" s="2">
        <f>IFERROR(__xludf.DUMMYFUNCTION("""COMPUTED_VALUE"""),805.0)</f>
        <v>805</v>
      </c>
      <c r="D192" s="2">
        <f>IFERROR(__xludf.DUMMYFUNCTION("""COMPUTED_VALUE"""),790.0)</f>
        <v>790</v>
      </c>
      <c r="E192" s="2">
        <f>IFERROR(__xludf.DUMMYFUNCTION("""COMPUTED_VALUE"""),800.0)</f>
        <v>800</v>
      </c>
      <c r="F192" s="2">
        <f>IFERROR(__xludf.DUMMYFUNCTION("""COMPUTED_VALUE"""),2.39164E7)</f>
        <v>23916400</v>
      </c>
      <c r="G192" s="2">
        <f t="shared" si="1"/>
        <v>15</v>
      </c>
    </row>
    <row r="193" ht="15.75" customHeight="1">
      <c r="A193" s="1">
        <f>IFERROR(__xludf.DUMMYFUNCTION("""COMPUTED_VALUE"""),44810.66666666667)</f>
        <v>44810.66667</v>
      </c>
      <c r="B193" s="2">
        <f>IFERROR(__xludf.DUMMYFUNCTION("""COMPUTED_VALUE"""),795.0)</f>
        <v>795</v>
      </c>
      <c r="C193" s="2">
        <f>IFERROR(__xludf.DUMMYFUNCTION("""COMPUTED_VALUE"""),800.0)</f>
        <v>800</v>
      </c>
      <c r="D193" s="2">
        <f>IFERROR(__xludf.DUMMYFUNCTION("""COMPUTED_VALUE"""),790.0)</f>
        <v>790</v>
      </c>
      <c r="E193" s="2">
        <f>IFERROR(__xludf.DUMMYFUNCTION("""COMPUTED_VALUE"""),790.0)</f>
        <v>790</v>
      </c>
      <c r="F193" s="2">
        <f>IFERROR(__xludf.DUMMYFUNCTION("""COMPUTED_VALUE"""),9180500.0)</f>
        <v>9180500</v>
      </c>
      <c r="G193" s="2">
        <f t="shared" si="1"/>
        <v>10</v>
      </c>
    </row>
    <row r="194" ht="15.75" customHeight="1">
      <c r="A194" s="1">
        <f>IFERROR(__xludf.DUMMYFUNCTION("""COMPUTED_VALUE"""),44811.66666666667)</f>
        <v>44811.66667</v>
      </c>
      <c r="B194" s="2">
        <f>IFERROR(__xludf.DUMMYFUNCTION("""COMPUTED_VALUE"""),790.0)</f>
        <v>790</v>
      </c>
      <c r="C194" s="2">
        <f>IFERROR(__xludf.DUMMYFUNCTION("""COMPUTED_VALUE"""),795.0)</f>
        <v>795</v>
      </c>
      <c r="D194" s="2">
        <f>IFERROR(__xludf.DUMMYFUNCTION("""COMPUTED_VALUE"""),765.0)</f>
        <v>765</v>
      </c>
      <c r="E194" s="2">
        <f>IFERROR(__xludf.DUMMYFUNCTION("""COMPUTED_VALUE"""),770.0)</f>
        <v>770</v>
      </c>
      <c r="F194" s="2">
        <f>IFERROR(__xludf.DUMMYFUNCTION("""COMPUTED_VALUE"""),3.6177E7)</f>
        <v>36177000</v>
      </c>
      <c r="G194" s="2">
        <f t="shared" si="1"/>
        <v>30</v>
      </c>
    </row>
    <row r="195" ht="15.75" customHeight="1">
      <c r="A195" s="1">
        <f>IFERROR(__xludf.DUMMYFUNCTION("""COMPUTED_VALUE"""),44812.66666666667)</f>
        <v>44812.66667</v>
      </c>
      <c r="B195" s="2">
        <f>IFERROR(__xludf.DUMMYFUNCTION("""COMPUTED_VALUE"""),770.0)</f>
        <v>770</v>
      </c>
      <c r="C195" s="2">
        <f>IFERROR(__xludf.DUMMYFUNCTION("""COMPUTED_VALUE"""),775.0)</f>
        <v>775</v>
      </c>
      <c r="D195" s="2">
        <f>IFERROR(__xludf.DUMMYFUNCTION("""COMPUTED_VALUE"""),765.0)</f>
        <v>765</v>
      </c>
      <c r="E195" s="2">
        <f>IFERROR(__xludf.DUMMYFUNCTION("""COMPUTED_VALUE"""),765.0)</f>
        <v>765</v>
      </c>
      <c r="F195" s="2">
        <f>IFERROR(__xludf.DUMMYFUNCTION("""COMPUTED_VALUE"""),2.58447E7)</f>
        <v>25844700</v>
      </c>
      <c r="G195" s="2">
        <f t="shared" si="1"/>
        <v>10</v>
      </c>
    </row>
    <row r="196" ht="15.75" customHeight="1">
      <c r="A196" s="1">
        <f>IFERROR(__xludf.DUMMYFUNCTION("""COMPUTED_VALUE"""),44813.66666666667)</f>
        <v>44813.66667</v>
      </c>
      <c r="B196" s="2">
        <f>IFERROR(__xludf.DUMMYFUNCTION("""COMPUTED_VALUE"""),765.0)</f>
        <v>765</v>
      </c>
      <c r="C196" s="2">
        <f>IFERROR(__xludf.DUMMYFUNCTION("""COMPUTED_VALUE"""),775.0)</f>
        <v>775</v>
      </c>
      <c r="D196" s="2">
        <f>IFERROR(__xludf.DUMMYFUNCTION("""COMPUTED_VALUE"""),765.0)</f>
        <v>765</v>
      </c>
      <c r="E196" s="2">
        <f>IFERROR(__xludf.DUMMYFUNCTION("""COMPUTED_VALUE"""),770.0)</f>
        <v>770</v>
      </c>
      <c r="F196" s="2">
        <f>IFERROR(__xludf.DUMMYFUNCTION("""COMPUTED_VALUE"""),1.73817E7)</f>
        <v>17381700</v>
      </c>
      <c r="G196" s="2">
        <f t="shared" si="1"/>
        <v>10</v>
      </c>
    </row>
    <row r="197" ht="15.75" customHeight="1">
      <c r="A197" s="1">
        <f>IFERROR(__xludf.DUMMYFUNCTION("""COMPUTED_VALUE"""),44816.66666666667)</f>
        <v>44816.66667</v>
      </c>
      <c r="B197" s="2">
        <f>IFERROR(__xludf.DUMMYFUNCTION("""COMPUTED_VALUE"""),775.0)</f>
        <v>775</v>
      </c>
      <c r="C197" s="2">
        <f>IFERROR(__xludf.DUMMYFUNCTION("""COMPUTED_VALUE"""),780.0)</f>
        <v>780</v>
      </c>
      <c r="D197" s="2">
        <f>IFERROR(__xludf.DUMMYFUNCTION("""COMPUTED_VALUE"""),760.0)</f>
        <v>760</v>
      </c>
      <c r="E197" s="2">
        <f>IFERROR(__xludf.DUMMYFUNCTION("""COMPUTED_VALUE"""),775.0)</f>
        <v>775</v>
      </c>
      <c r="F197" s="2">
        <f>IFERROR(__xludf.DUMMYFUNCTION("""COMPUTED_VALUE"""),1.3875E7)</f>
        <v>13875000</v>
      </c>
      <c r="G197" s="2">
        <f t="shared" si="1"/>
        <v>20</v>
      </c>
    </row>
    <row r="198" ht="15.75" customHeight="1">
      <c r="A198" s="1">
        <f>IFERROR(__xludf.DUMMYFUNCTION("""COMPUTED_VALUE"""),44817.66666666667)</f>
        <v>44817.66667</v>
      </c>
      <c r="B198" s="2">
        <f>IFERROR(__xludf.DUMMYFUNCTION("""COMPUTED_VALUE"""),775.0)</f>
        <v>775</v>
      </c>
      <c r="C198" s="2">
        <f>IFERROR(__xludf.DUMMYFUNCTION("""COMPUTED_VALUE"""),780.0)</f>
        <v>780</v>
      </c>
      <c r="D198" s="2">
        <f>IFERROR(__xludf.DUMMYFUNCTION("""COMPUTED_VALUE"""),770.0)</f>
        <v>770</v>
      </c>
      <c r="E198" s="2">
        <f>IFERROR(__xludf.DUMMYFUNCTION("""COMPUTED_VALUE"""),780.0)</f>
        <v>780</v>
      </c>
      <c r="F198" s="2">
        <f>IFERROR(__xludf.DUMMYFUNCTION("""COMPUTED_VALUE"""),1.32436E7)</f>
        <v>13243600</v>
      </c>
      <c r="G198" s="2">
        <f t="shared" si="1"/>
        <v>10</v>
      </c>
    </row>
    <row r="199" ht="15.75" customHeight="1">
      <c r="A199" s="1">
        <f>IFERROR(__xludf.DUMMYFUNCTION("""COMPUTED_VALUE"""),44818.66666666667)</f>
        <v>44818.66667</v>
      </c>
      <c r="B199" s="2">
        <f>IFERROR(__xludf.DUMMYFUNCTION("""COMPUTED_VALUE"""),775.0)</f>
        <v>775</v>
      </c>
      <c r="C199" s="2">
        <f>IFERROR(__xludf.DUMMYFUNCTION("""COMPUTED_VALUE"""),780.0)</f>
        <v>780</v>
      </c>
      <c r="D199" s="2">
        <f>IFERROR(__xludf.DUMMYFUNCTION("""COMPUTED_VALUE"""),770.0)</f>
        <v>770</v>
      </c>
      <c r="E199" s="2">
        <f>IFERROR(__xludf.DUMMYFUNCTION("""COMPUTED_VALUE"""),775.0)</f>
        <v>775</v>
      </c>
      <c r="F199" s="2">
        <f>IFERROR(__xludf.DUMMYFUNCTION("""COMPUTED_VALUE"""),1.57561E7)</f>
        <v>15756100</v>
      </c>
      <c r="G199" s="2">
        <f t="shared" si="1"/>
        <v>10</v>
      </c>
    </row>
    <row r="200" ht="15.75" customHeight="1">
      <c r="A200" s="1">
        <f>IFERROR(__xludf.DUMMYFUNCTION("""COMPUTED_VALUE"""),44819.66666666667)</f>
        <v>44819.66667</v>
      </c>
      <c r="B200" s="2">
        <f>IFERROR(__xludf.DUMMYFUNCTION("""COMPUTED_VALUE"""),775.0)</f>
        <v>775</v>
      </c>
      <c r="C200" s="2">
        <f>IFERROR(__xludf.DUMMYFUNCTION("""COMPUTED_VALUE"""),780.0)</f>
        <v>780</v>
      </c>
      <c r="D200" s="2">
        <f>IFERROR(__xludf.DUMMYFUNCTION("""COMPUTED_VALUE"""),765.0)</f>
        <v>765</v>
      </c>
      <c r="E200" s="2">
        <f>IFERROR(__xludf.DUMMYFUNCTION("""COMPUTED_VALUE"""),765.0)</f>
        <v>765</v>
      </c>
      <c r="F200" s="2">
        <f>IFERROR(__xludf.DUMMYFUNCTION("""COMPUTED_VALUE"""),1.23337E7)</f>
        <v>12333700</v>
      </c>
      <c r="G200" s="2">
        <f t="shared" si="1"/>
        <v>15</v>
      </c>
    </row>
    <row r="201" ht="15.75" customHeight="1">
      <c r="A201" s="1">
        <f>IFERROR(__xludf.DUMMYFUNCTION("""COMPUTED_VALUE"""),44820.66666666667)</f>
        <v>44820.66667</v>
      </c>
      <c r="B201" s="2">
        <f>IFERROR(__xludf.DUMMYFUNCTION("""COMPUTED_VALUE"""),770.0)</f>
        <v>770</v>
      </c>
      <c r="C201" s="2">
        <f>IFERROR(__xludf.DUMMYFUNCTION("""COMPUTED_VALUE"""),785.0)</f>
        <v>785</v>
      </c>
      <c r="D201" s="2">
        <f>IFERROR(__xludf.DUMMYFUNCTION("""COMPUTED_VALUE"""),760.0)</f>
        <v>760</v>
      </c>
      <c r="E201" s="2">
        <f>IFERROR(__xludf.DUMMYFUNCTION("""COMPUTED_VALUE"""),785.0)</f>
        <v>785</v>
      </c>
      <c r="F201" s="2">
        <f>IFERROR(__xludf.DUMMYFUNCTION("""COMPUTED_VALUE"""),8.19379E7)</f>
        <v>81937900</v>
      </c>
      <c r="G201" s="2">
        <f t="shared" si="1"/>
        <v>25</v>
      </c>
    </row>
    <row r="202" ht="15.75" customHeight="1">
      <c r="A202" s="1">
        <f>IFERROR(__xludf.DUMMYFUNCTION("""COMPUTED_VALUE"""),44823.66666666667)</f>
        <v>44823.66667</v>
      </c>
      <c r="B202" s="2">
        <f>IFERROR(__xludf.DUMMYFUNCTION("""COMPUTED_VALUE"""),780.0)</f>
        <v>780</v>
      </c>
      <c r="C202" s="2">
        <f>IFERROR(__xludf.DUMMYFUNCTION("""COMPUTED_VALUE"""),785.0)</f>
        <v>785</v>
      </c>
      <c r="D202" s="2">
        <f>IFERROR(__xludf.DUMMYFUNCTION("""COMPUTED_VALUE"""),770.0)</f>
        <v>770</v>
      </c>
      <c r="E202" s="2">
        <f>IFERROR(__xludf.DUMMYFUNCTION("""COMPUTED_VALUE"""),780.0)</f>
        <v>780</v>
      </c>
      <c r="F202" s="2">
        <f>IFERROR(__xludf.DUMMYFUNCTION("""COMPUTED_VALUE"""),1.10487E7)</f>
        <v>11048700</v>
      </c>
      <c r="G202" s="2">
        <f t="shared" si="1"/>
        <v>15</v>
      </c>
    </row>
    <row r="203" ht="15.75" customHeight="1">
      <c r="A203" s="1">
        <f>IFERROR(__xludf.DUMMYFUNCTION("""COMPUTED_VALUE"""),44824.66666666667)</f>
        <v>44824.66667</v>
      </c>
      <c r="B203" s="2">
        <f>IFERROR(__xludf.DUMMYFUNCTION("""COMPUTED_VALUE"""),780.0)</f>
        <v>780</v>
      </c>
      <c r="C203" s="2">
        <f>IFERROR(__xludf.DUMMYFUNCTION("""COMPUTED_VALUE"""),785.0)</f>
        <v>785</v>
      </c>
      <c r="D203" s="2">
        <f>IFERROR(__xludf.DUMMYFUNCTION("""COMPUTED_VALUE"""),770.0)</f>
        <v>770</v>
      </c>
      <c r="E203" s="2">
        <f>IFERROR(__xludf.DUMMYFUNCTION("""COMPUTED_VALUE"""),775.0)</f>
        <v>775</v>
      </c>
      <c r="F203" s="2">
        <f>IFERROR(__xludf.DUMMYFUNCTION("""COMPUTED_VALUE"""),1.40502E7)</f>
        <v>14050200</v>
      </c>
      <c r="G203" s="2">
        <f t="shared" si="1"/>
        <v>15</v>
      </c>
    </row>
    <row r="204" ht="15.75" customHeight="1">
      <c r="A204" s="1">
        <f>IFERROR(__xludf.DUMMYFUNCTION("""COMPUTED_VALUE"""),44825.66666666667)</f>
        <v>44825.66667</v>
      </c>
      <c r="B204" s="2">
        <f>IFERROR(__xludf.DUMMYFUNCTION("""COMPUTED_VALUE"""),775.0)</f>
        <v>775</v>
      </c>
      <c r="C204" s="2">
        <f>IFERROR(__xludf.DUMMYFUNCTION("""COMPUTED_VALUE"""),780.0)</f>
        <v>780</v>
      </c>
      <c r="D204" s="2">
        <f>IFERROR(__xludf.DUMMYFUNCTION("""COMPUTED_VALUE"""),765.0)</f>
        <v>765</v>
      </c>
      <c r="E204" s="2">
        <f>IFERROR(__xludf.DUMMYFUNCTION("""COMPUTED_VALUE"""),770.0)</f>
        <v>770</v>
      </c>
      <c r="F204" s="2">
        <f>IFERROR(__xludf.DUMMYFUNCTION("""COMPUTED_VALUE"""),9385700.0)</f>
        <v>9385700</v>
      </c>
      <c r="G204" s="2">
        <f t="shared" si="1"/>
        <v>15</v>
      </c>
    </row>
    <row r="205" ht="15.75" customHeight="1">
      <c r="A205" s="1">
        <f>IFERROR(__xludf.DUMMYFUNCTION("""COMPUTED_VALUE"""),44826.66666666667)</f>
        <v>44826.66667</v>
      </c>
      <c r="B205" s="2">
        <f>IFERROR(__xludf.DUMMYFUNCTION("""COMPUTED_VALUE"""),765.0)</f>
        <v>765</v>
      </c>
      <c r="C205" s="2">
        <f>IFERROR(__xludf.DUMMYFUNCTION("""COMPUTED_VALUE"""),775.0)</f>
        <v>775</v>
      </c>
      <c r="D205" s="2">
        <f>IFERROR(__xludf.DUMMYFUNCTION("""COMPUTED_VALUE"""),760.0)</f>
        <v>760</v>
      </c>
      <c r="E205" s="2">
        <f>IFERROR(__xludf.DUMMYFUNCTION("""COMPUTED_VALUE"""),760.0)</f>
        <v>760</v>
      </c>
      <c r="F205" s="2">
        <f>IFERROR(__xludf.DUMMYFUNCTION("""COMPUTED_VALUE"""),1.64851E7)</f>
        <v>16485100</v>
      </c>
      <c r="G205" s="2">
        <f t="shared" si="1"/>
        <v>15</v>
      </c>
    </row>
    <row r="206" ht="15.75" customHeight="1">
      <c r="A206" s="1">
        <f>IFERROR(__xludf.DUMMYFUNCTION("""COMPUTED_VALUE"""),44827.66666666667)</f>
        <v>44827.66667</v>
      </c>
      <c r="B206" s="2">
        <f>IFERROR(__xludf.DUMMYFUNCTION("""COMPUTED_VALUE"""),760.0)</f>
        <v>760</v>
      </c>
      <c r="C206" s="2">
        <f>IFERROR(__xludf.DUMMYFUNCTION("""COMPUTED_VALUE"""),770.0)</f>
        <v>770</v>
      </c>
      <c r="D206" s="2">
        <f>IFERROR(__xludf.DUMMYFUNCTION("""COMPUTED_VALUE"""),760.0)</f>
        <v>760</v>
      </c>
      <c r="E206" s="2">
        <f>IFERROR(__xludf.DUMMYFUNCTION("""COMPUTED_VALUE"""),760.0)</f>
        <v>760</v>
      </c>
      <c r="F206" s="2">
        <f>IFERROR(__xludf.DUMMYFUNCTION("""COMPUTED_VALUE"""),8963000.0)</f>
        <v>8963000</v>
      </c>
      <c r="G206" s="2">
        <f t="shared" si="1"/>
        <v>10</v>
      </c>
    </row>
    <row r="207" ht="15.75" customHeight="1">
      <c r="A207" s="1">
        <f>IFERROR(__xludf.DUMMYFUNCTION("""COMPUTED_VALUE"""),44830.66666666667)</f>
        <v>44830.66667</v>
      </c>
      <c r="B207" s="2">
        <f>IFERROR(__xludf.DUMMYFUNCTION("""COMPUTED_VALUE"""),760.0)</f>
        <v>760</v>
      </c>
      <c r="C207" s="2">
        <f>IFERROR(__xludf.DUMMYFUNCTION("""COMPUTED_VALUE"""),765.0)</f>
        <v>765</v>
      </c>
      <c r="D207" s="2">
        <f>IFERROR(__xludf.DUMMYFUNCTION("""COMPUTED_VALUE"""),755.0)</f>
        <v>755</v>
      </c>
      <c r="E207" s="2">
        <f>IFERROR(__xludf.DUMMYFUNCTION("""COMPUTED_VALUE"""),760.0)</f>
        <v>760</v>
      </c>
      <c r="F207" s="2">
        <f>IFERROR(__xludf.DUMMYFUNCTION("""COMPUTED_VALUE"""),1.63351E7)</f>
        <v>16335100</v>
      </c>
      <c r="G207" s="2">
        <f t="shared" si="1"/>
        <v>10</v>
      </c>
    </row>
    <row r="208" ht="15.75" customHeight="1">
      <c r="A208" s="1">
        <f>IFERROR(__xludf.DUMMYFUNCTION("""COMPUTED_VALUE"""),44831.66666666667)</f>
        <v>44831.66667</v>
      </c>
      <c r="B208" s="2">
        <f>IFERROR(__xludf.DUMMYFUNCTION("""COMPUTED_VALUE"""),760.0)</f>
        <v>760</v>
      </c>
      <c r="C208" s="2">
        <f>IFERROR(__xludf.DUMMYFUNCTION("""COMPUTED_VALUE"""),765.0)</f>
        <v>765</v>
      </c>
      <c r="D208" s="2">
        <f>IFERROR(__xludf.DUMMYFUNCTION("""COMPUTED_VALUE"""),740.0)</f>
        <v>740</v>
      </c>
      <c r="E208" s="2">
        <f>IFERROR(__xludf.DUMMYFUNCTION("""COMPUTED_VALUE"""),740.0)</f>
        <v>740</v>
      </c>
      <c r="F208" s="2">
        <f>IFERROR(__xludf.DUMMYFUNCTION("""COMPUTED_VALUE"""),4.21211E7)</f>
        <v>42121100</v>
      </c>
      <c r="G208" s="2">
        <f t="shared" si="1"/>
        <v>25</v>
      </c>
    </row>
    <row r="209" ht="15.75" customHeight="1">
      <c r="A209" s="1">
        <f>IFERROR(__xludf.DUMMYFUNCTION("""COMPUTED_VALUE"""),44832.66666666667)</f>
        <v>44832.66667</v>
      </c>
      <c r="B209" s="2">
        <f>IFERROR(__xludf.DUMMYFUNCTION("""COMPUTED_VALUE"""),745.0)</f>
        <v>745</v>
      </c>
      <c r="C209" s="2">
        <f>IFERROR(__xludf.DUMMYFUNCTION("""COMPUTED_VALUE"""),750.0)</f>
        <v>750</v>
      </c>
      <c r="D209" s="2">
        <f>IFERROR(__xludf.DUMMYFUNCTION("""COMPUTED_VALUE"""),740.0)</f>
        <v>740</v>
      </c>
      <c r="E209" s="2">
        <f>IFERROR(__xludf.DUMMYFUNCTION("""COMPUTED_VALUE"""),745.0)</f>
        <v>745</v>
      </c>
      <c r="F209" s="2">
        <f>IFERROR(__xludf.DUMMYFUNCTION("""COMPUTED_VALUE"""),1.63101E7)</f>
        <v>16310100</v>
      </c>
      <c r="G209" s="2">
        <f t="shared" si="1"/>
        <v>10</v>
      </c>
    </row>
    <row r="210" ht="15.75" customHeight="1">
      <c r="A210" s="1">
        <f>IFERROR(__xludf.DUMMYFUNCTION("""COMPUTED_VALUE"""),44833.66666666667)</f>
        <v>44833.66667</v>
      </c>
      <c r="B210" s="2">
        <f>IFERROR(__xludf.DUMMYFUNCTION("""COMPUTED_VALUE"""),745.0)</f>
        <v>745</v>
      </c>
      <c r="C210" s="2">
        <f>IFERROR(__xludf.DUMMYFUNCTION("""COMPUTED_VALUE"""),750.0)</f>
        <v>750</v>
      </c>
      <c r="D210" s="2">
        <f>IFERROR(__xludf.DUMMYFUNCTION("""COMPUTED_VALUE"""),730.0)</f>
        <v>730</v>
      </c>
      <c r="E210" s="2">
        <f>IFERROR(__xludf.DUMMYFUNCTION("""COMPUTED_VALUE"""),735.0)</f>
        <v>735</v>
      </c>
      <c r="F210" s="2">
        <f>IFERROR(__xludf.DUMMYFUNCTION("""COMPUTED_VALUE"""),1.89351E7)</f>
        <v>18935100</v>
      </c>
      <c r="G210" s="2">
        <f t="shared" si="1"/>
        <v>20</v>
      </c>
    </row>
    <row r="211" ht="15.75" customHeight="1">
      <c r="A211" s="1">
        <f>IFERROR(__xludf.DUMMYFUNCTION("""COMPUTED_VALUE"""),44834.66666666667)</f>
        <v>44834.66667</v>
      </c>
      <c r="B211" s="2">
        <f>IFERROR(__xludf.DUMMYFUNCTION("""COMPUTED_VALUE"""),735.0)</f>
        <v>735</v>
      </c>
      <c r="C211" s="2">
        <f>IFERROR(__xludf.DUMMYFUNCTION("""COMPUTED_VALUE"""),735.0)</f>
        <v>735</v>
      </c>
      <c r="D211" s="2">
        <f>IFERROR(__xludf.DUMMYFUNCTION("""COMPUTED_VALUE"""),715.0)</f>
        <v>715</v>
      </c>
      <c r="E211" s="2">
        <f>IFERROR(__xludf.DUMMYFUNCTION("""COMPUTED_VALUE"""),725.0)</f>
        <v>725</v>
      </c>
      <c r="F211" s="2">
        <f>IFERROR(__xludf.DUMMYFUNCTION("""COMPUTED_VALUE"""),2.69538E7)</f>
        <v>26953800</v>
      </c>
      <c r="G211" s="2">
        <f t="shared" si="1"/>
        <v>20</v>
      </c>
    </row>
    <row r="212" ht="15.75" customHeight="1">
      <c r="A212" s="1">
        <f>IFERROR(__xludf.DUMMYFUNCTION("""COMPUTED_VALUE"""),44837.66666666667)</f>
        <v>44837.66667</v>
      </c>
      <c r="B212" s="2">
        <f>IFERROR(__xludf.DUMMYFUNCTION("""COMPUTED_VALUE"""),725.0)</f>
        <v>725</v>
      </c>
      <c r="C212" s="2">
        <f>IFERROR(__xludf.DUMMYFUNCTION("""COMPUTED_VALUE"""),725.0)</f>
        <v>725</v>
      </c>
      <c r="D212" s="2">
        <f>IFERROR(__xludf.DUMMYFUNCTION("""COMPUTED_VALUE"""),710.0)</f>
        <v>710</v>
      </c>
      <c r="E212" s="2">
        <f>IFERROR(__xludf.DUMMYFUNCTION("""COMPUTED_VALUE"""),710.0)</f>
        <v>710</v>
      </c>
      <c r="F212" s="2">
        <f>IFERROR(__xludf.DUMMYFUNCTION("""COMPUTED_VALUE"""),2.01301E7)</f>
        <v>20130100</v>
      </c>
      <c r="G212" s="2">
        <f t="shared" si="1"/>
        <v>15</v>
      </c>
    </row>
    <row r="213" ht="15.75" customHeight="1">
      <c r="A213" s="1">
        <f>IFERROR(__xludf.DUMMYFUNCTION("""COMPUTED_VALUE"""),44838.66666666667)</f>
        <v>44838.66667</v>
      </c>
      <c r="B213" s="2">
        <f>IFERROR(__xludf.DUMMYFUNCTION("""COMPUTED_VALUE"""),715.0)</f>
        <v>715</v>
      </c>
      <c r="C213" s="2">
        <f>IFERROR(__xludf.DUMMYFUNCTION("""COMPUTED_VALUE"""),730.0)</f>
        <v>730</v>
      </c>
      <c r="D213" s="2">
        <f>IFERROR(__xludf.DUMMYFUNCTION("""COMPUTED_VALUE"""),710.0)</f>
        <v>710</v>
      </c>
      <c r="E213" s="2">
        <f>IFERROR(__xludf.DUMMYFUNCTION("""COMPUTED_VALUE"""),730.0)</f>
        <v>730</v>
      </c>
      <c r="F213" s="2">
        <f>IFERROR(__xludf.DUMMYFUNCTION("""COMPUTED_VALUE"""),4.34086E7)</f>
        <v>43408600</v>
      </c>
      <c r="G213" s="2">
        <f t="shared" si="1"/>
        <v>20</v>
      </c>
    </row>
    <row r="214" ht="15.75" customHeight="1">
      <c r="A214" s="1">
        <f>IFERROR(__xludf.DUMMYFUNCTION("""COMPUTED_VALUE"""),44839.66666666667)</f>
        <v>44839.66667</v>
      </c>
      <c r="B214" s="2">
        <f>IFERROR(__xludf.DUMMYFUNCTION("""COMPUTED_VALUE"""),730.0)</f>
        <v>730</v>
      </c>
      <c r="C214" s="2">
        <f>IFERROR(__xludf.DUMMYFUNCTION("""COMPUTED_VALUE"""),735.0)</f>
        <v>735</v>
      </c>
      <c r="D214" s="2">
        <f>IFERROR(__xludf.DUMMYFUNCTION("""COMPUTED_VALUE"""),725.0)</f>
        <v>725</v>
      </c>
      <c r="E214" s="2">
        <f>IFERROR(__xludf.DUMMYFUNCTION("""COMPUTED_VALUE"""),725.0)</f>
        <v>725</v>
      </c>
      <c r="F214" s="2">
        <f>IFERROR(__xludf.DUMMYFUNCTION("""COMPUTED_VALUE"""),1.14374E7)</f>
        <v>11437400</v>
      </c>
      <c r="G214" s="2">
        <f t="shared" si="1"/>
        <v>10</v>
      </c>
    </row>
    <row r="215" ht="15.75" customHeight="1">
      <c r="A215" s="1">
        <f>IFERROR(__xludf.DUMMYFUNCTION("""COMPUTED_VALUE"""),44840.66666666667)</f>
        <v>44840.66667</v>
      </c>
      <c r="B215" s="2">
        <f>IFERROR(__xludf.DUMMYFUNCTION("""COMPUTED_VALUE"""),730.0)</f>
        <v>730</v>
      </c>
      <c r="C215" s="2">
        <f>IFERROR(__xludf.DUMMYFUNCTION("""COMPUTED_VALUE"""),730.0)</f>
        <v>730</v>
      </c>
      <c r="D215" s="2">
        <f>IFERROR(__xludf.DUMMYFUNCTION("""COMPUTED_VALUE"""),720.0)</f>
        <v>720</v>
      </c>
      <c r="E215" s="2">
        <f>IFERROR(__xludf.DUMMYFUNCTION("""COMPUTED_VALUE"""),730.0)</f>
        <v>730</v>
      </c>
      <c r="F215" s="2">
        <f>IFERROR(__xludf.DUMMYFUNCTION("""COMPUTED_VALUE"""),1.44072E7)</f>
        <v>14407200</v>
      </c>
      <c r="G215" s="2">
        <f t="shared" si="1"/>
        <v>10</v>
      </c>
    </row>
    <row r="216" ht="15.75" customHeight="1">
      <c r="A216" s="1">
        <f>IFERROR(__xludf.DUMMYFUNCTION("""COMPUTED_VALUE"""),44841.66666666667)</f>
        <v>44841.66667</v>
      </c>
      <c r="B216" s="2">
        <f>IFERROR(__xludf.DUMMYFUNCTION("""COMPUTED_VALUE"""),730.0)</f>
        <v>730</v>
      </c>
      <c r="C216" s="2">
        <f>IFERROR(__xludf.DUMMYFUNCTION("""COMPUTED_VALUE"""),735.0)</f>
        <v>735</v>
      </c>
      <c r="D216" s="2">
        <f>IFERROR(__xludf.DUMMYFUNCTION("""COMPUTED_VALUE"""),715.0)</f>
        <v>715</v>
      </c>
      <c r="E216" s="2">
        <f>IFERROR(__xludf.DUMMYFUNCTION("""COMPUTED_VALUE"""),725.0)</f>
        <v>725</v>
      </c>
      <c r="F216" s="2">
        <f>IFERROR(__xludf.DUMMYFUNCTION("""COMPUTED_VALUE"""),3.75551E7)</f>
        <v>37555100</v>
      </c>
      <c r="G216" s="2">
        <f t="shared" si="1"/>
        <v>20</v>
      </c>
    </row>
    <row r="217" ht="15.75" customHeight="1">
      <c r="A217" s="1">
        <f>IFERROR(__xludf.DUMMYFUNCTION("""COMPUTED_VALUE"""),44844.66666666667)</f>
        <v>44844.66667</v>
      </c>
      <c r="B217" s="2">
        <f>IFERROR(__xludf.DUMMYFUNCTION("""COMPUTED_VALUE"""),725.0)</f>
        <v>725</v>
      </c>
      <c r="C217" s="2">
        <f>IFERROR(__xludf.DUMMYFUNCTION("""COMPUTED_VALUE"""),725.0)</f>
        <v>725</v>
      </c>
      <c r="D217" s="2">
        <f>IFERROR(__xludf.DUMMYFUNCTION("""COMPUTED_VALUE"""),710.0)</f>
        <v>710</v>
      </c>
      <c r="E217" s="2">
        <f>IFERROR(__xludf.DUMMYFUNCTION("""COMPUTED_VALUE"""),715.0)</f>
        <v>715</v>
      </c>
      <c r="F217" s="2">
        <f>IFERROR(__xludf.DUMMYFUNCTION("""COMPUTED_VALUE"""),3.43143E7)</f>
        <v>34314300</v>
      </c>
      <c r="G217" s="2">
        <f t="shared" si="1"/>
        <v>15</v>
      </c>
    </row>
    <row r="218" ht="15.75" customHeight="1">
      <c r="A218" s="1">
        <f>IFERROR(__xludf.DUMMYFUNCTION("""COMPUTED_VALUE"""),44845.66666666667)</f>
        <v>44845.66667</v>
      </c>
      <c r="B218" s="2">
        <f>IFERROR(__xludf.DUMMYFUNCTION("""COMPUTED_VALUE"""),715.0)</f>
        <v>715</v>
      </c>
      <c r="C218" s="2">
        <f>IFERROR(__xludf.DUMMYFUNCTION("""COMPUTED_VALUE"""),720.0)</f>
        <v>720</v>
      </c>
      <c r="D218" s="2">
        <f>IFERROR(__xludf.DUMMYFUNCTION("""COMPUTED_VALUE"""),710.0)</f>
        <v>710</v>
      </c>
      <c r="E218" s="2">
        <f>IFERROR(__xludf.DUMMYFUNCTION("""COMPUTED_VALUE"""),720.0)</f>
        <v>720</v>
      </c>
      <c r="F218" s="2">
        <f>IFERROR(__xludf.DUMMYFUNCTION("""COMPUTED_VALUE"""),2.36801E7)</f>
        <v>23680100</v>
      </c>
      <c r="G218" s="2">
        <f t="shared" si="1"/>
        <v>10</v>
      </c>
    </row>
    <row r="219" ht="15.75" customHeight="1">
      <c r="A219" s="1">
        <f>IFERROR(__xludf.DUMMYFUNCTION("""COMPUTED_VALUE"""),44846.66666666667)</f>
        <v>44846.66667</v>
      </c>
      <c r="B219" s="2">
        <f>IFERROR(__xludf.DUMMYFUNCTION("""COMPUTED_VALUE"""),720.0)</f>
        <v>720</v>
      </c>
      <c r="C219" s="2">
        <f>IFERROR(__xludf.DUMMYFUNCTION("""COMPUTED_VALUE"""),720.0)</f>
        <v>720</v>
      </c>
      <c r="D219" s="2">
        <f>IFERROR(__xludf.DUMMYFUNCTION("""COMPUTED_VALUE"""),715.0)</f>
        <v>715</v>
      </c>
      <c r="E219" s="2">
        <f>IFERROR(__xludf.DUMMYFUNCTION("""COMPUTED_VALUE"""),720.0)</f>
        <v>720</v>
      </c>
      <c r="F219" s="2">
        <f>IFERROR(__xludf.DUMMYFUNCTION("""COMPUTED_VALUE"""),2.29196E7)</f>
        <v>22919600</v>
      </c>
      <c r="G219" s="2">
        <f t="shared" si="1"/>
        <v>5</v>
      </c>
    </row>
    <row r="220" ht="15.75" customHeight="1">
      <c r="A220" s="1">
        <f>IFERROR(__xludf.DUMMYFUNCTION("""COMPUTED_VALUE"""),44847.66666666667)</f>
        <v>44847.66667</v>
      </c>
      <c r="B220" s="2">
        <f>IFERROR(__xludf.DUMMYFUNCTION("""COMPUTED_VALUE"""),720.0)</f>
        <v>720</v>
      </c>
      <c r="C220" s="2">
        <f>IFERROR(__xludf.DUMMYFUNCTION("""COMPUTED_VALUE"""),720.0)</f>
        <v>720</v>
      </c>
      <c r="D220" s="2">
        <f>IFERROR(__xludf.DUMMYFUNCTION("""COMPUTED_VALUE"""),715.0)</f>
        <v>715</v>
      </c>
      <c r="E220" s="2">
        <f>IFERROR(__xludf.DUMMYFUNCTION("""COMPUTED_VALUE"""),715.0)</f>
        <v>715</v>
      </c>
      <c r="F220" s="2">
        <f>IFERROR(__xludf.DUMMYFUNCTION("""COMPUTED_VALUE"""),1.88085E7)</f>
        <v>18808500</v>
      </c>
      <c r="G220" s="2">
        <f t="shared" si="1"/>
        <v>5</v>
      </c>
    </row>
    <row r="221" ht="15.75" customHeight="1">
      <c r="A221" s="1">
        <f>IFERROR(__xludf.DUMMYFUNCTION("""COMPUTED_VALUE"""),44848.66666666667)</f>
        <v>44848.66667</v>
      </c>
      <c r="B221" s="2">
        <f>IFERROR(__xludf.DUMMYFUNCTION("""COMPUTED_VALUE"""),715.0)</f>
        <v>715</v>
      </c>
      <c r="C221" s="2">
        <f>IFERROR(__xludf.DUMMYFUNCTION("""COMPUTED_VALUE"""),725.0)</f>
        <v>725</v>
      </c>
      <c r="D221" s="2">
        <f>IFERROR(__xludf.DUMMYFUNCTION("""COMPUTED_VALUE"""),710.0)</f>
        <v>710</v>
      </c>
      <c r="E221" s="2">
        <f>IFERROR(__xludf.DUMMYFUNCTION("""COMPUTED_VALUE"""),715.0)</f>
        <v>715</v>
      </c>
      <c r="F221" s="2">
        <f>IFERROR(__xludf.DUMMYFUNCTION("""COMPUTED_VALUE"""),3.34036E7)</f>
        <v>33403600</v>
      </c>
      <c r="G221" s="2">
        <f t="shared" si="1"/>
        <v>15</v>
      </c>
    </row>
    <row r="222" ht="15.75" customHeight="1">
      <c r="A222" s="1">
        <f>IFERROR(__xludf.DUMMYFUNCTION("""COMPUTED_VALUE"""),44851.66666666667)</f>
        <v>44851.66667</v>
      </c>
      <c r="B222" s="2">
        <f>IFERROR(__xludf.DUMMYFUNCTION("""COMPUTED_VALUE"""),715.0)</f>
        <v>715</v>
      </c>
      <c r="C222" s="2">
        <f>IFERROR(__xludf.DUMMYFUNCTION("""COMPUTED_VALUE"""),720.0)</f>
        <v>720</v>
      </c>
      <c r="D222" s="2">
        <f>IFERROR(__xludf.DUMMYFUNCTION("""COMPUTED_VALUE"""),700.0)</f>
        <v>700</v>
      </c>
      <c r="E222" s="2">
        <f>IFERROR(__xludf.DUMMYFUNCTION("""COMPUTED_VALUE"""),700.0)</f>
        <v>700</v>
      </c>
      <c r="F222" s="2">
        <f>IFERROR(__xludf.DUMMYFUNCTION("""COMPUTED_VALUE"""),3.42109E7)</f>
        <v>34210900</v>
      </c>
      <c r="G222" s="2">
        <f t="shared" si="1"/>
        <v>20</v>
      </c>
    </row>
    <row r="223" ht="15.75" customHeight="1">
      <c r="A223" s="1">
        <f>IFERROR(__xludf.DUMMYFUNCTION("""COMPUTED_VALUE"""),44852.66666666667)</f>
        <v>44852.66667</v>
      </c>
      <c r="B223" s="2">
        <f>IFERROR(__xludf.DUMMYFUNCTION("""COMPUTED_VALUE"""),705.0)</f>
        <v>705</v>
      </c>
      <c r="C223" s="2">
        <f>IFERROR(__xludf.DUMMYFUNCTION("""COMPUTED_VALUE"""),705.0)</f>
        <v>705</v>
      </c>
      <c r="D223" s="2">
        <f>IFERROR(__xludf.DUMMYFUNCTION("""COMPUTED_VALUE"""),695.0)</f>
        <v>695</v>
      </c>
      <c r="E223" s="2">
        <f>IFERROR(__xludf.DUMMYFUNCTION("""COMPUTED_VALUE"""),700.0)</f>
        <v>700</v>
      </c>
      <c r="F223" s="2">
        <f>IFERROR(__xludf.DUMMYFUNCTION("""COMPUTED_VALUE"""),1.28749E7)</f>
        <v>12874900</v>
      </c>
      <c r="G223" s="2">
        <f t="shared" si="1"/>
        <v>10</v>
      </c>
    </row>
    <row r="224" ht="15.75" customHeight="1">
      <c r="A224" s="1">
        <f>IFERROR(__xludf.DUMMYFUNCTION("""COMPUTED_VALUE"""),44853.66666666667)</f>
        <v>44853.66667</v>
      </c>
      <c r="B224" s="2">
        <f>IFERROR(__xludf.DUMMYFUNCTION("""COMPUTED_VALUE"""),700.0)</f>
        <v>700</v>
      </c>
      <c r="C224" s="2">
        <f>IFERROR(__xludf.DUMMYFUNCTION("""COMPUTED_VALUE"""),720.0)</f>
        <v>720</v>
      </c>
      <c r="D224" s="2">
        <f>IFERROR(__xludf.DUMMYFUNCTION("""COMPUTED_VALUE"""),695.0)</f>
        <v>695</v>
      </c>
      <c r="E224" s="2">
        <f>IFERROR(__xludf.DUMMYFUNCTION("""COMPUTED_VALUE"""),710.0)</f>
        <v>710</v>
      </c>
      <c r="F224" s="2">
        <f>IFERROR(__xludf.DUMMYFUNCTION("""COMPUTED_VALUE"""),1.32571E7)</f>
        <v>13257100</v>
      </c>
      <c r="G224" s="2">
        <f t="shared" si="1"/>
        <v>25</v>
      </c>
    </row>
    <row r="225" ht="15.75" customHeight="1">
      <c r="A225" s="1">
        <f>IFERROR(__xludf.DUMMYFUNCTION("""COMPUTED_VALUE"""),44854.66666666667)</f>
        <v>44854.66667</v>
      </c>
      <c r="B225" s="2">
        <f>IFERROR(__xludf.DUMMYFUNCTION("""COMPUTED_VALUE"""),710.0)</f>
        <v>710</v>
      </c>
      <c r="C225" s="2">
        <f>IFERROR(__xludf.DUMMYFUNCTION("""COMPUTED_VALUE"""),715.0)</f>
        <v>715</v>
      </c>
      <c r="D225" s="2">
        <f>IFERROR(__xludf.DUMMYFUNCTION("""COMPUTED_VALUE"""),705.0)</f>
        <v>705</v>
      </c>
      <c r="E225" s="2">
        <f>IFERROR(__xludf.DUMMYFUNCTION("""COMPUTED_VALUE"""),705.0)</f>
        <v>705</v>
      </c>
      <c r="F225" s="2">
        <f>IFERROR(__xludf.DUMMYFUNCTION("""COMPUTED_VALUE"""),1.6607E7)</f>
        <v>16607000</v>
      </c>
      <c r="G225" s="2">
        <f t="shared" si="1"/>
        <v>10</v>
      </c>
    </row>
    <row r="226" ht="15.75" customHeight="1">
      <c r="A226" s="1">
        <f>IFERROR(__xludf.DUMMYFUNCTION("""COMPUTED_VALUE"""),44855.66666666667)</f>
        <v>44855.66667</v>
      </c>
      <c r="B226" s="2">
        <f>IFERROR(__xludf.DUMMYFUNCTION("""COMPUTED_VALUE"""),710.0)</f>
        <v>710</v>
      </c>
      <c r="C226" s="2">
        <f>IFERROR(__xludf.DUMMYFUNCTION("""COMPUTED_VALUE"""),720.0)</f>
        <v>720</v>
      </c>
      <c r="D226" s="2">
        <f>IFERROR(__xludf.DUMMYFUNCTION("""COMPUTED_VALUE"""),705.0)</f>
        <v>705</v>
      </c>
      <c r="E226" s="2">
        <f>IFERROR(__xludf.DUMMYFUNCTION("""COMPUTED_VALUE"""),710.0)</f>
        <v>710</v>
      </c>
      <c r="F226" s="2">
        <f>IFERROR(__xludf.DUMMYFUNCTION("""COMPUTED_VALUE"""),1.25463E7)</f>
        <v>12546300</v>
      </c>
      <c r="G226" s="2">
        <f t="shared" si="1"/>
        <v>15</v>
      </c>
    </row>
    <row r="227" ht="15.75" customHeight="1">
      <c r="A227" s="1">
        <f>IFERROR(__xludf.DUMMYFUNCTION("""COMPUTED_VALUE"""),44858.66666666667)</f>
        <v>44858.66667</v>
      </c>
      <c r="B227" s="2">
        <f>IFERROR(__xludf.DUMMYFUNCTION("""COMPUTED_VALUE"""),710.0)</f>
        <v>710</v>
      </c>
      <c r="C227" s="2">
        <f>IFERROR(__xludf.DUMMYFUNCTION("""COMPUTED_VALUE"""),725.0)</f>
        <v>725</v>
      </c>
      <c r="D227" s="2">
        <f>IFERROR(__xludf.DUMMYFUNCTION("""COMPUTED_VALUE"""),710.0)</f>
        <v>710</v>
      </c>
      <c r="E227" s="2">
        <f>IFERROR(__xludf.DUMMYFUNCTION("""COMPUTED_VALUE"""),715.0)</f>
        <v>715</v>
      </c>
      <c r="F227" s="2">
        <f>IFERROR(__xludf.DUMMYFUNCTION("""COMPUTED_VALUE"""),1.38904E7)</f>
        <v>13890400</v>
      </c>
      <c r="G227" s="2">
        <f t="shared" si="1"/>
        <v>15</v>
      </c>
    </row>
    <row r="228" ht="15.75" customHeight="1">
      <c r="A228" s="1">
        <f>IFERROR(__xludf.DUMMYFUNCTION("""COMPUTED_VALUE"""),44859.66666666667)</f>
        <v>44859.66667</v>
      </c>
      <c r="B228" s="2">
        <f>IFERROR(__xludf.DUMMYFUNCTION("""COMPUTED_VALUE"""),720.0)</f>
        <v>720</v>
      </c>
      <c r="C228" s="2">
        <f>IFERROR(__xludf.DUMMYFUNCTION("""COMPUTED_VALUE"""),725.0)</f>
        <v>725</v>
      </c>
      <c r="D228" s="2">
        <f>IFERROR(__xludf.DUMMYFUNCTION("""COMPUTED_VALUE"""),710.0)</f>
        <v>710</v>
      </c>
      <c r="E228" s="2">
        <f>IFERROR(__xludf.DUMMYFUNCTION("""COMPUTED_VALUE"""),715.0)</f>
        <v>715</v>
      </c>
      <c r="F228" s="2">
        <f>IFERROR(__xludf.DUMMYFUNCTION("""COMPUTED_VALUE"""),2.16933E7)</f>
        <v>21693300</v>
      </c>
      <c r="G228" s="2">
        <f t="shared" si="1"/>
        <v>15</v>
      </c>
    </row>
    <row r="229" ht="15.75" customHeight="1">
      <c r="A229" s="1">
        <f>IFERROR(__xludf.DUMMYFUNCTION("""COMPUTED_VALUE"""),44860.66666666667)</f>
        <v>44860.66667</v>
      </c>
      <c r="B229" s="2">
        <f>IFERROR(__xludf.DUMMYFUNCTION("""COMPUTED_VALUE"""),720.0)</f>
        <v>720</v>
      </c>
      <c r="C229" s="2">
        <f>IFERROR(__xludf.DUMMYFUNCTION("""COMPUTED_VALUE"""),725.0)</f>
        <v>725</v>
      </c>
      <c r="D229" s="2">
        <f>IFERROR(__xludf.DUMMYFUNCTION("""COMPUTED_VALUE"""),715.0)</f>
        <v>715</v>
      </c>
      <c r="E229" s="2">
        <f>IFERROR(__xludf.DUMMYFUNCTION("""COMPUTED_VALUE"""),720.0)</f>
        <v>720</v>
      </c>
      <c r="F229" s="2">
        <f>IFERROR(__xludf.DUMMYFUNCTION("""COMPUTED_VALUE"""),1.88649E7)</f>
        <v>18864900</v>
      </c>
      <c r="G229" s="2">
        <f t="shared" si="1"/>
        <v>10</v>
      </c>
    </row>
    <row r="230" ht="15.75" customHeight="1">
      <c r="A230" s="1">
        <f>IFERROR(__xludf.DUMMYFUNCTION("""COMPUTED_VALUE"""),44861.66666666667)</f>
        <v>44861.66667</v>
      </c>
      <c r="B230" s="2">
        <f>IFERROR(__xludf.DUMMYFUNCTION("""COMPUTED_VALUE"""),720.0)</f>
        <v>720</v>
      </c>
      <c r="C230" s="2">
        <f>IFERROR(__xludf.DUMMYFUNCTION("""COMPUTED_VALUE"""),725.0)</f>
        <v>725</v>
      </c>
      <c r="D230" s="2">
        <f>IFERROR(__xludf.DUMMYFUNCTION("""COMPUTED_VALUE"""),715.0)</f>
        <v>715</v>
      </c>
      <c r="E230" s="2">
        <f>IFERROR(__xludf.DUMMYFUNCTION("""COMPUTED_VALUE"""),725.0)</f>
        <v>725</v>
      </c>
      <c r="F230" s="2">
        <f>IFERROR(__xludf.DUMMYFUNCTION("""COMPUTED_VALUE"""),1.24187E7)</f>
        <v>12418700</v>
      </c>
      <c r="G230" s="2">
        <f t="shared" si="1"/>
        <v>10</v>
      </c>
    </row>
    <row r="231" ht="15.75" customHeight="1">
      <c r="A231" s="1">
        <f>IFERROR(__xludf.DUMMYFUNCTION("""COMPUTED_VALUE"""),44862.66666666667)</f>
        <v>44862.66667</v>
      </c>
      <c r="B231" s="2">
        <f>IFERROR(__xludf.DUMMYFUNCTION("""COMPUTED_VALUE"""),725.0)</f>
        <v>725</v>
      </c>
      <c r="C231" s="2">
        <f>IFERROR(__xludf.DUMMYFUNCTION("""COMPUTED_VALUE"""),730.0)</f>
        <v>730</v>
      </c>
      <c r="D231" s="2">
        <f>IFERROR(__xludf.DUMMYFUNCTION("""COMPUTED_VALUE"""),715.0)</f>
        <v>715</v>
      </c>
      <c r="E231" s="2">
        <f>IFERROR(__xludf.DUMMYFUNCTION("""COMPUTED_VALUE"""),720.0)</f>
        <v>720</v>
      </c>
      <c r="F231" s="2">
        <f>IFERROR(__xludf.DUMMYFUNCTION("""COMPUTED_VALUE"""),1.13756E7)</f>
        <v>11375600</v>
      </c>
      <c r="G231" s="2">
        <f t="shared" si="1"/>
        <v>15</v>
      </c>
    </row>
    <row r="232" ht="15.75" customHeight="1">
      <c r="A232" s="1">
        <f>IFERROR(__xludf.DUMMYFUNCTION("""COMPUTED_VALUE"""),44865.66666666667)</f>
        <v>44865.66667</v>
      </c>
      <c r="B232" s="2">
        <f>IFERROR(__xludf.DUMMYFUNCTION("""COMPUTED_VALUE"""),725.0)</f>
        <v>725</v>
      </c>
      <c r="C232" s="2">
        <f>IFERROR(__xludf.DUMMYFUNCTION("""COMPUTED_VALUE"""),740.0)</f>
        <v>740</v>
      </c>
      <c r="D232" s="2">
        <f>IFERROR(__xludf.DUMMYFUNCTION("""COMPUTED_VALUE"""),710.0)</f>
        <v>710</v>
      </c>
      <c r="E232" s="2">
        <f>IFERROR(__xludf.DUMMYFUNCTION("""COMPUTED_VALUE"""),715.0)</f>
        <v>715</v>
      </c>
      <c r="F232" s="2">
        <f>IFERROR(__xludf.DUMMYFUNCTION("""COMPUTED_VALUE"""),2.17186E7)</f>
        <v>21718600</v>
      </c>
      <c r="G232" s="2">
        <f t="shared" si="1"/>
        <v>30</v>
      </c>
    </row>
    <row r="233" ht="15.75" customHeight="1">
      <c r="A233" s="1">
        <f>IFERROR(__xludf.DUMMYFUNCTION("""COMPUTED_VALUE"""),44866.625)</f>
        <v>44866.625</v>
      </c>
      <c r="B233" s="2">
        <f>IFERROR(__xludf.DUMMYFUNCTION("""COMPUTED_VALUE"""),715.0)</f>
        <v>715</v>
      </c>
      <c r="C233" s="2">
        <f>IFERROR(__xludf.DUMMYFUNCTION("""COMPUTED_VALUE"""),720.0)</f>
        <v>720</v>
      </c>
      <c r="D233" s="2">
        <f>IFERROR(__xludf.DUMMYFUNCTION("""COMPUTED_VALUE"""),705.0)</f>
        <v>705</v>
      </c>
      <c r="E233" s="2">
        <f>IFERROR(__xludf.DUMMYFUNCTION("""COMPUTED_VALUE"""),710.0)</f>
        <v>710</v>
      </c>
      <c r="F233" s="2">
        <f>IFERROR(__xludf.DUMMYFUNCTION("""COMPUTED_VALUE"""),1.8674E7)</f>
        <v>18674000</v>
      </c>
      <c r="G233" s="2">
        <f t="shared" si="1"/>
        <v>15</v>
      </c>
    </row>
    <row r="234" ht="15.75" customHeight="1">
      <c r="A234" s="1">
        <f>IFERROR(__xludf.DUMMYFUNCTION("""COMPUTED_VALUE"""),44867.625)</f>
        <v>44867.625</v>
      </c>
      <c r="B234" s="2">
        <f>IFERROR(__xludf.DUMMYFUNCTION("""COMPUTED_VALUE"""),710.0)</f>
        <v>710</v>
      </c>
      <c r="C234" s="2">
        <f>IFERROR(__xludf.DUMMYFUNCTION("""COMPUTED_VALUE"""),710.0)</f>
        <v>710</v>
      </c>
      <c r="D234" s="2">
        <f>IFERROR(__xludf.DUMMYFUNCTION("""COMPUTED_VALUE"""),700.0)</f>
        <v>700</v>
      </c>
      <c r="E234" s="2">
        <f>IFERROR(__xludf.DUMMYFUNCTION("""COMPUTED_VALUE"""),710.0)</f>
        <v>710</v>
      </c>
      <c r="F234" s="2">
        <f>IFERROR(__xludf.DUMMYFUNCTION("""COMPUTED_VALUE"""),1.08702E7)</f>
        <v>10870200</v>
      </c>
      <c r="G234" s="2">
        <f t="shared" si="1"/>
        <v>10</v>
      </c>
    </row>
    <row r="235" ht="15.75" customHeight="1">
      <c r="A235" s="1">
        <f>IFERROR(__xludf.DUMMYFUNCTION("""COMPUTED_VALUE"""),44868.66666666667)</f>
        <v>44868.66667</v>
      </c>
      <c r="B235" s="2">
        <f>IFERROR(__xludf.DUMMYFUNCTION("""COMPUTED_VALUE"""),705.0)</f>
        <v>705</v>
      </c>
      <c r="C235" s="2">
        <f>IFERROR(__xludf.DUMMYFUNCTION("""COMPUTED_VALUE"""),710.0)</f>
        <v>710</v>
      </c>
      <c r="D235" s="2">
        <f>IFERROR(__xludf.DUMMYFUNCTION("""COMPUTED_VALUE"""),700.0)</f>
        <v>700</v>
      </c>
      <c r="E235" s="2">
        <f>IFERROR(__xludf.DUMMYFUNCTION("""COMPUTED_VALUE"""),705.0)</f>
        <v>705</v>
      </c>
      <c r="F235" s="2">
        <f>IFERROR(__xludf.DUMMYFUNCTION("""COMPUTED_VALUE"""),1.40396E7)</f>
        <v>14039600</v>
      </c>
      <c r="G235" s="2">
        <f t="shared" si="1"/>
        <v>10</v>
      </c>
    </row>
    <row r="236" ht="15.75" customHeight="1">
      <c r="A236" s="1">
        <f>IFERROR(__xludf.DUMMYFUNCTION("""COMPUTED_VALUE"""),44869.66666666667)</f>
        <v>44869.66667</v>
      </c>
      <c r="B236" s="2">
        <f>IFERROR(__xludf.DUMMYFUNCTION("""COMPUTED_VALUE"""),705.0)</f>
        <v>705</v>
      </c>
      <c r="C236" s="2">
        <f>IFERROR(__xludf.DUMMYFUNCTION("""COMPUTED_VALUE"""),710.0)</f>
        <v>710</v>
      </c>
      <c r="D236" s="2">
        <f>IFERROR(__xludf.DUMMYFUNCTION("""COMPUTED_VALUE"""),700.0)</f>
        <v>700</v>
      </c>
      <c r="E236" s="2">
        <f>IFERROR(__xludf.DUMMYFUNCTION("""COMPUTED_VALUE"""),710.0)</f>
        <v>710</v>
      </c>
      <c r="F236" s="2">
        <f>IFERROR(__xludf.DUMMYFUNCTION("""COMPUTED_VALUE"""),1.43091E7)</f>
        <v>14309100</v>
      </c>
      <c r="G236" s="2">
        <f t="shared" si="1"/>
        <v>10</v>
      </c>
    </row>
    <row r="237" ht="15.75" customHeight="1">
      <c r="A237" s="1">
        <f>IFERROR(__xludf.DUMMYFUNCTION("""COMPUTED_VALUE"""),44872.66666666667)</f>
        <v>44872.66667</v>
      </c>
      <c r="B237" s="2">
        <f>IFERROR(__xludf.DUMMYFUNCTION("""COMPUTED_VALUE"""),705.0)</f>
        <v>705</v>
      </c>
      <c r="C237" s="2">
        <f>IFERROR(__xludf.DUMMYFUNCTION("""COMPUTED_VALUE"""),710.0)</f>
        <v>710</v>
      </c>
      <c r="D237" s="2">
        <f>IFERROR(__xludf.DUMMYFUNCTION("""COMPUTED_VALUE"""),700.0)</f>
        <v>700</v>
      </c>
      <c r="E237" s="2">
        <f>IFERROR(__xludf.DUMMYFUNCTION("""COMPUTED_VALUE"""),705.0)</f>
        <v>705</v>
      </c>
      <c r="F237" s="2">
        <f>IFERROR(__xludf.DUMMYFUNCTION("""COMPUTED_VALUE"""),1.75695E7)</f>
        <v>17569500</v>
      </c>
      <c r="G237" s="2">
        <f t="shared" si="1"/>
        <v>10</v>
      </c>
    </row>
    <row r="238" ht="15.75" customHeight="1">
      <c r="A238" s="1">
        <f>IFERROR(__xludf.DUMMYFUNCTION("""COMPUTED_VALUE"""),44873.66666666667)</f>
        <v>44873.66667</v>
      </c>
      <c r="B238" s="2">
        <f>IFERROR(__xludf.DUMMYFUNCTION("""COMPUTED_VALUE"""),705.0)</f>
        <v>705</v>
      </c>
      <c r="C238" s="2">
        <f>IFERROR(__xludf.DUMMYFUNCTION("""COMPUTED_VALUE"""),705.0)</f>
        <v>705</v>
      </c>
      <c r="D238" s="2">
        <f>IFERROR(__xludf.DUMMYFUNCTION("""COMPUTED_VALUE"""),695.0)</f>
        <v>695</v>
      </c>
      <c r="E238" s="2">
        <f>IFERROR(__xludf.DUMMYFUNCTION("""COMPUTED_VALUE"""),695.0)</f>
        <v>695</v>
      </c>
      <c r="F238" s="2">
        <f>IFERROR(__xludf.DUMMYFUNCTION("""COMPUTED_VALUE"""),1.54024E7)</f>
        <v>15402400</v>
      </c>
      <c r="G238" s="2">
        <f t="shared" si="1"/>
        <v>10</v>
      </c>
    </row>
    <row r="239" ht="15.75" customHeight="1">
      <c r="A239" s="1">
        <f>IFERROR(__xludf.DUMMYFUNCTION("""COMPUTED_VALUE"""),44874.66666666667)</f>
        <v>44874.66667</v>
      </c>
      <c r="B239" s="2">
        <f>IFERROR(__xludf.DUMMYFUNCTION("""COMPUTED_VALUE"""),700.0)</f>
        <v>700</v>
      </c>
      <c r="C239" s="2">
        <f>IFERROR(__xludf.DUMMYFUNCTION("""COMPUTED_VALUE"""),710.0)</f>
        <v>710</v>
      </c>
      <c r="D239" s="2">
        <f>IFERROR(__xludf.DUMMYFUNCTION("""COMPUTED_VALUE"""),695.0)</f>
        <v>695</v>
      </c>
      <c r="E239" s="2">
        <f>IFERROR(__xludf.DUMMYFUNCTION("""COMPUTED_VALUE"""),700.0)</f>
        <v>700</v>
      </c>
      <c r="F239" s="2">
        <f>IFERROR(__xludf.DUMMYFUNCTION("""COMPUTED_VALUE"""),9211200.0)</f>
        <v>9211200</v>
      </c>
      <c r="G239" s="2">
        <f t="shared" si="1"/>
        <v>15</v>
      </c>
    </row>
    <row r="240" ht="15.75" customHeight="1">
      <c r="A240" s="1">
        <f>IFERROR(__xludf.DUMMYFUNCTION("""COMPUTED_VALUE"""),44875.66666666667)</f>
        <v>44875.66667</v>
      </c>
      <c r="B240" s="2">
        <f>IFERROR(__xludf.DUMMYFUNCTION("""COMPUTED_VALUE"""),705.0)</f>
        <v>705</v>
      </c>
      <c r="C240" s="2">
        <f>IFERROR(__xludf.DUMMYFUNCTION("""COMPUTED_VALUE"""),710.0)</f>
        <v>710</v>
      </c>
      <c r="D240" s="2">
        <f>IFERROR(__xludf.DUMMYFUNCTION("""COMPUTED_VALUE"""),700.0)</f>
        <v>700</v>
      </c>
      <c r="E240" s="2">
        <f>IFERROR(__xludf.DUMMYFUNCTION("""COMPUTED_VALUE"""),705.0)</f>
        <v>705</v>
      </c>
      <c r="F240" s="2">
        <f>IFERROR(__xludf.DUMMYFUNCTION("""COMPUTED_VALUE"""),9263300.0)</f>
        <v>9263300</v>
      </c>
      <c r="G240" s="2">
        <f t="shared" si="1"/>
        <v>10</v>
      </c>
    </row>
    <row r="241" ht="15.75" customHeight="1">
      <c r="A241" s="1">
        <f>IFERROR(__xludf.DUMMYFUNCTION("""COMPUTED_VALUE"""),44876.66666666667)</f>
        <v>44876.66667</v>
      </c>
      <c r="B241" s="2">
        <f>IFERROR(__xludf.DUMMYFUNCTION("""COMPUTED_VALUE"""),705.0)</f>
        <v>705</v>
      </c>
      <c r="C241" s="2">
        <f>IFERROR(__xludf.DUMMYFUNCTION("""COMPUTED_VALUE"""),710.0)</f>
        <v>710</v>
      </c>
      <c r="D241" s="2">
        <f>IFERROR(__xludf.DUMMYFUNCTION("""COMPUTED_VALUE"""),695.0)</f>
        <v>695</v>
      </c>
      <c r="E241" s="2">
        <f>IFERROR(__xludf.DUMMYFUNCTION("""COMPUTED_VALUE"""),705.0)</f>
        <v>705</v>
      </c>
      <c r="F241" s="2">
        <f>IFERROR(__xludf.DUMMYFUNCTION("""COMPUTED_VALUE"""),2.2961E7)</f>
        <v>22961000</v>
      </c>
      <c r="G241" s="2">
        <f t="shared" si="1"/>
        <v>15</v>
      </c>
    </row>
    <row r="242" ht="15.75" customHeight="1">
      <c r="A242" s="1">
        <f>IFERROR(__xludf.DUMMYFUNCTION("""COMPUTED_VALUE"""),44879.66666666667)</f>
        <v>44879.66667</v>
      </c>
      <c r="B242" s="2">
        <f>IFERROR(__xludf.DUMMYFUNCTION("""COMPUTED_VALUE"""),705.0)</f>
        <v>705</v>
      </c>
      <c r="C242" s="2">
        <f>IFERROR(__xludf.DUMMYFUNCTION("""COMPUTED_VALUE"""),705.0)</f>
        <v>705</v>
      </c>
      <c r="D242" s="2">
        <f>IFERROR(__xludf.DUMMYFUNCTION("""COMPUTED_VALUE"""),695.0)</f>
        <v>695</v>
      </c>
      <c r="E242" s="2">
        <f>IFERROR(__xludf.DUMMYFUNCTION("""COMPUTED_VALUE"""),695.0)</f>
        <v>695</v>
      </c>
      <c r="F242" s="2">
        <f>IFERROR(__xludf.DUMMYFUNCTION("""COMPUTED_VALUE"""),2.01332E7)</f>
        <v>20133200</v>
      </c>
      <c r="G242" s="2">
        <f t="shared" si="1"/>
        <v>10</v>
      </c>
    </row>
    <row r="243" ht="15.75" customHeight="1">
      <c r="A243" s="1">
        <f>IFERROR(__xludf.DUMMYFUNCTION("""COMPUTED_VALUE"""),44880.66666666667)</f>
        <v>44880.66667</v>
      </c>
      <c r="B243" s="2">
        <f>IFERROR(__xludf.DUMMYFUNCTION("""COMPUTED_VALUE"""),700.0)</f>
        <v>700</v>
      </c>
      <c r="C243" s="2">
        <f>IFERROR(__xludf.DUMMYFUNCTION("""COMPUTED_VALUE"""),700.0)</f>
        <v>700</v>
      </c>
      <c r="D243" s="2">
        <f>IFERROR(__xludf.DUMMYFUNCTION("""COMPUTED_VALUE"""),690.0)</f>
        <v>690</v>
      </c>
      <c r="E243" s="2">
        <f>IFERROR(__xludf.DUMMYFUNCTION("""COMPUTED_VALUE"""),695.0)</f>
        <v>695</v>
      </c>
      <c r="F243" s="2">
        <f>IFERROR(__xludf.DUMMYFUNCTION("""COMPUTED_VALUE"""),1.86956E7)</f>
        <v>18695600</v>
      </c>
      <c r="G243" s="2">
        <f t="shared" si="1"/>
        <v>10</v>
      </c>
    </row>
    <row r="244" ht="15.75" customHeight="1">
      <c r="A244" s="1">
        <f>IFERROR(__xludf.DUMMYFUNCTION("""COMPUTED_VALUE"""),44881.66666666667)</f>
        <v>44881.66667</v>
      </c>
      <c r="B244" s="2">
        <f>IFERROR(__xludf.DUMMYFUNCTION("""COMPUTED_VALUE"""),695.0)</f>
        <v>695</v>
      </c>
      <c r="C244" s="2">
        <f>IFERROR(__xludf.DUMMYFUNCTION("""COMPUTED_VALUE"""),695.0)</f>
        <v>695</v>
      </c>
      <c r="D244" s="2">
        <f>IFERROR(__xludf.DUMMYFUNCTION("""COMPUTED_VALUE"""),685.0)</f>
        <v>685</v>
      </c>
      <c r="E244" s="2">
        <f>IFERROR(__xludf.DUMMYFUNCTION("""COMPUTED_VALUE"""),690.0)</f>
        <v>690</v>
      </c>
      <c r="F244" s="2">
        <f>IFERROR(__xludf.DUMMYFUNCTION("""COMPUTED_VALUE"""),2.45689E7)</f>
        <v>24568900</v>
      </c>
      <c r="G244" s="2">
        <f t="shared" si="1"/>
        <v>10</v>
      </c>
    </row>
    <row r="245" ht="15.75" customHeight="1">
      <c r="A245" s="1">
        <f>IFERROR(__xludf.DUMMYFUNCTION("""COMPUTED_VALUE"""),44882.66666666667)</f>
        <v>44882.66667</v>
      </c>
      <c r="B245" s="2">
        <f>IFERROR(__xludf.DUMMYFUNCTION("""COMPUTED_VALUE"""),690.0)</f>
        <v>690</v>
      </c>
      <c r="C245" s="2">
        <f>IFERROR(__xludf.DUMMYFUNCTION("""COMPUTED_VALUE"""),690.0)</f>
        <v>690</v>
      </c>
      <c r="D245" s="2">
        <f>IFERROR(__xludf.DUMMYFUNCTION("""COMPUTED_VALUE"""),685.0)</f>
        <v>685</v>
      </c>
      <c r="E245" s="2">
        <f>IFERROR(__xludf.DUMMYFUNCTION("""COMPUTED_VALUE"""),690.0)</f>
        <v>690</v>
      </c>
      <c r="F245" s="2">
        <f>IFERROR(__xludf.DUMMYFUNCTION("""COMPUTED_VALUE"""),9009900.0)</f>
        <v>9009900</v>
      </c>
      <c r="G245" s="2">
        <f t="shared" si="1"/>
        <v>5</v>
      </c>
    </row>
    <row r="246" ht="15.75" customHeight="1">
      <c r="A246" s="1">
        <f>IFERROR(__xludf.DUMMYFUNCTION("""COMPUTED_VALUE"""),44883.66666666667)</f>
        <v>44883.66667</v>
      </c>
      <c r="B246" s="2">
        <f>IFERROR(__xludf.DUMMYFUNCTION("""COMPUTED_VALUE"""),690.0)</f>
        <v>690</v>
      </c>
      <c r="C246" s="2">
        <f>IFERROR(__xludf.DUMMYFUNCTION("""COMPUTED_VALUE"""),695.0)</f>
        <v>695</v>
      </c>
      <c r="D246" s="2">
        <f>IFERROR(__xludf.DUMMYFUNCTION("""COMPUTED_VALUE"""),685.0)</f>
        <v>685</v>
      </c>
      <c r="E246" s="2">
        <f>IFERROR(__xludf.DUMMYFUNCTION("""COMPUTED_VALUE"""),685.0)</f>
        <v>685</v>
      </c>
      <c r="F246" s="2">
        <f>IFERROR(__xludf.DUMMYFUNCTION("""COMPUTED_VALUE"""),1.47934E7)</f>
        <v>14793400</v>
      </c>
      <c r="G246" s="2">
        <f t="shared" si="1"/>
        <v>10</v>
      </c>
    </row>
    <row r="247" ht="15.75" customHeight="1">
      <c r="A247" s="1">
        <f>IFERROR(__xludf.DUMMYFUNCTION("""COMPUTED_VALUE"""),44886.66666666667)</f>
        <v>44886.66667</v>
      </c>
      <c r="B247" s="2">
        <f>IFERROR(__xludf.DUMMYFUNCTION("""COMPUTED_VALUE"""),685.0)</f>
        <v>685</v>
      </c>
      <c r="C247" s="2">
        <f>IFERROR(__xludf.DUMMYFUNCTION("""COMPUTED_VALUE"""),690.0)</f>
        <v>690</v>
      </c>
      <c r="D247" s="2">
        <f>IFERROR(__xludf.DUMMYFUNCTION("""COMPUTED_VALUE"""),680.0)</f>
        <v>680</v>
      </c>
      <c r="E247" s="2">
        <f>IFERROR(__xludf.DUMMYFUNCTION("""COMPUTED_VALUE"""),690.0)</f>
        <v>690</v>
      </c>
      <c r="F247" s="2">
        <f>IFERROR(__xludf.DUMMYFUNCTION("""COMPUTED_VALUE"""),1.97672E7)</f>
        <v>19767200</v>
      </c>
      <c r="G247" s="2">
        <f t="shared" si="1"/>
        <v>10</v>
      </c>
    </row>
    <row r="248" ht="15.75" customHeight="1">
      <c r="A248" s="1">
        <f>IFERROR(__xludf.DUMMYFUNCTION("""COMPUTED_VALUE"""),44887.66666666667)</f>
        <v>44887.66667</v>
      </c>
      <c r="B248" s="2">
        <f>IFERROR(__xludf.DUMMYFUNCTION("""COMPUTED_VALUE"""),690.0)</f>
        <v>690</v>
      </c>
      <c r="C248" s="2">
        <f>IFERROR(__xludf.DUMMYFUNCTION("""COMPUTED_VALUE"""),705.0)</f>
        <v>705</v>
      </c>
      <c r="D248" s="2">
        <f>IFERROR(__xludf.DUMMYFUNCTION("""COMPUTED_VALUE"""),685.0)</f>
        <v>685</v>
      </c>
      <c r="E248" s="2">
        <f>IFERROR(__xludf.DUMMYFUNCTION("""COMPUTED_VALUE"""),705.0)</f>
        <v>705</v>
      </c>
      <c r="F248" s="2">
        <f>IFERROR(__xludf.DUMMYFUNCTION("""COMPUTED_VALUE"""),3.10161E7)</f>
        <v>31016100</v>
      </c>
      <c r="G248" s="2">
        <f t="shared" si="1"/>
        <v>20</v>
      </c>
    </row>
    <row r="249" ht="15.75" customHeight="1">
      <c r="A249" s="1">
        <f>IFERROR(__xludf.DUMMYFUNCTION("""COMPUTED_VALUE"""),44888.66666666667)</f>
        <v>44888.66667</v>
      </c>
      <c r="B249" s="2">
        <f>IFERROR(__xludf.DUMMYFUNCTION("""COMPUTED_VALUE"""),705.0)</f>
        <v>705</v>
      </c>
      <c r="C249" s="2">
        <f>IFERROR(__xludf.DUMMYFUNCTION("""COMPUTED_VALUE"""),715.0)</f>
        <v>715</v>
      </c>
      <c r="D249" s="2">
        <f>IFERROR(__xludf.DUMMYFUNCTION("""COMPUTED_VALUE"""),700.0)</f>
        <v>700</v>
      </c>
      <c r="E249" s="2">
        <f>IFERROR(__xludf.DUMMYFUNCTION("""COMPUTED_VALUE"""),710.0)</f>
        <v>710</v>
      </c>
      <c r="F249" s="2">
        <f>IFERROR(__xludf.DUMMYFUNCTION("""COMPUTED_VALUE"""),3.45935E7)</f>
        <v>34593500</v>
      </c>
      <c r="G249" s="2">
        <f t="shared" si="1"/>
        <v>15</v>
      </c>
    </row>
    <row r="250" ht="15.75" customHeight="1">
      <c r="A250" s="1">
        <f>IFERROR(__xludf.DUMMYFUNCTION("""COMPUTED_VALUE"""),44889.66666666667)</f>
        <v>44889.66667</v>
      </c>
      <c r="B250" s="2">
        <f>IFERROR(__xludf.DUMMYFUNCTION("""COMPUTED_VALUE"""),710.0)</f>
        <v>710</v>
      </c>
      <c r="C250" s="2">
        <f>IFERROR(__xludf.DUMMYFUNCTION("""COMPUTED_VALUE"""),725.0)</f>
        <v>725</v>
      </c>
      <c r="D250" s="2">
        <f>IFERROR(__xludf.DUMMYFUNCTION("""COMPUTED_VALUE"""),710.0)</f>
        <v>710</v>
      </c>
      <c r="E250" s="2">
        <f>IFERROR(__xludf.DUMMYFUNCTION("""COMPUTED_VALUE"""),715.0)</f>
        <v>715</v>
      </c>
      <c r="F250" s="2">
        <f>IFERROR(__xludf.DUMMYFUNCTION("""COMPUTED_VALUE"""),3.67037E7)</f>
        <v>36703700</v>
      </c>
      <c r="G250" s="2">
        <f t="shared" si="1"/>
        <v>15</v>
      </c>
    </row>
    <row r="251" ht="15.75" customHeight="1">
      <c r="A251" s="1">
        <f>IFERROR(__xludf.DUMMYFUNCTION("""COMPUTED_VALUE"""),44890.66666666667)</f>
        <v>44890.66667</v>
      </c>
      <c r="B251" s="2">
        <f>IFERROR(__xludf.DUMMYFUNCTION("""COMPUTED_VALUE"""),715.0)</f>
        <v>715</v>
      </c>
      <c r="C251" s="2">
        <f>IFERROR(__xludf.DUMMYFUNCTION("""COMPUTED_VALUE"""),725.0)</f>
        <v>725</v>
      </c>
      <c r="D251" s="2">
        <f>IFERROR(__xludf.DUMMYFUNCTION("""COMPUTED_VALUE"""),710.0)</f>
        <v>710</v>
      </c>
      <c r="E251" s="2">
        <f>IFERROR(__xludf.DUMMYFUNCTION("""COMPUTED_VALUE"""),720.0)</f>
        <v>720</v>
      </c>
      <c r="F251" s="2">
        <f>IFERROR(__xludf.DUMMYFUNCTION("""COMPUTED_VALUE"""),2.08559E7)</f>
        <v>20855900</v>
      </c>
      <c r="G251" s="2">
        <f t="shared" si="1"/>
        <v>15</v>
      </c>
    </row>
    <row r="252" ht="15.75" customHeight="1">
      <c r="A252" s="1">
        <f>IFERROR(__xludf.DUMMYFUNCTION("""COMPUTED_VALUE"""),44893.66666666667)</f>
        <v>44893.66667</v>
      </c>
      <c r="B252" s="2">
        <f>IFERROR(__xludf.DUMMYFUNCTION("""COMPUTED_VALUE"""),720.0)</f>
        <v>720</v>
      </c>
      <c r="C252" s="2">
        <f>IFERROR(__xludf.DUMMYFUNCTION("""COMPUTED_VALUE"""),730.0)</f>
        <v>730</v>
      </c>
      <c r="D252" s="2">
        <f>IFERROR(__xludf.DUMMYFUNCTION("""COMPUTED_VALUE"""),715.0)</f>
        <v>715</v>
      </c>
      <c r="E252" s="2">
        <f>IFERROR(__xludf.DUMMYFUNCTION("""COMPUTED_VALUE"""),715.0)</f>
        <v>715</v>
      </c>
      <c r="F252" s="2">
        <f>IFERROR(__xludf.DUMMYFUNCTION("""COMPUTED_VALUE"""),7.65385E7)</f>
        <v>76538500</v>
      </c>
      <c r="G252" s="2">
        <f t="shared" si="1"/>
        <v>15</v>
      </c>
    </row>
    <row r="253" ht="15.75" customHeight="1">
      <c r="A253" s="1">
        <f>IFERROR(__xludf.DUMMYFUNCTION("""COMPUTED_VALUE"""),44894.66666666667)</f>
        <v>44894.66667</v>
      </c>
      <c r="B253" s="2">
        <f>IFERROR(__xludf.DUMMYFUNCTION("""COMPUTED_VALUE"""),715.0)</f>
        <v>715</v>
      </c>
      <c r="C253" s="2">
        <f>IFERROR(__xludf.DUMMYFUNCTION("""COMPUTED_VALUE"""),725.0)</f>
        <v>725</v>
      </c>
      <c r="D253" s="2">
        <f>IFERROR(__xludf.DUMMYFUNCTION("""COMPUTED_VALUE"""),715.0)</f>
        <v>715</v>
      </c>
      <c r="E253" s="2">
        <f>IFERROR(__xludf.DUMMYFUNCTION("""COMPUTED_VALUE"""),725.0)</f>
        <v>725</v>
      </c>
      <c r="F253" s="2">
        <f>IFERROR(__xludf.DUMMYFUNCTION("""COMPUTED_VALUE"""),3.02547E7)</f>
        <v>30254700</v>
      </c>
      <c r="G253" s="2">
        <f t="shared" si="1"/>
        <v>10</v>
      </c>
    </row>
    <row r="254" ht="15.75" customHeight="1">
      <c r="A254" s="1">
        <f>IFERROR(__xludf.DUMMYFUNCTION("""COMPUTED_VALUE"""),44895.66666666667)</f>
        <v>44895.66667</v>
      </c>
      <c r="B254" s="2">
        <f>IFERROR(__xludf.DUMMYFUNCTION("""COMPUTED_VALUE"""),725.0)</f>
        <v>725</v>
      </c>
      <c r="C254" s="2">
        <f>IFERROR(__xludf.DUMMYFUNCTION("""COMPUTED_VALUE"""),745.0)</f>
        <v>745</v>
      </c>
      <c r="D254" s="2">
        <f>IFERROR(__xludf.DUMMYFUNCTION("""COMPUTED_VALUE"""),720.0)</f>
        <v>720</v>
      </c>
      <c r="E254" s="2">
        <f>IFERROR(__xludf.DUMMYFUNCTION("""COMPUTED_VALUE"""),740.0)</f>
        <v>740</v>
      </c>
      <c r="F254" s="2">
        <f>IFERROR(__xludf.DUMMYFUNCTION("""COMPUTED_VALUE"""),6.21281E7)</f>
        <v>62128100</v>
      </c>
      <c r="G254" s="2">
        <f t="shared" si="1"/>
        <v>25</v>
      </c>
    </row>
    <row r="255" ht="15.75" customHeight="1">
      <c r="A255" s="1">
        <f>IFERROR(__xludf.DUMMYFUNCTION("""COMPUTED_VALUE"""),44896.66666666667)</f>
        <v>44896.66667</v>
      </c>
      <c r="B255" s="2">
        <f>IFERROR(__xludf.DUMMYFUNCTION("""COMPUTED_VALUE"""),740.0)</f>
        <v>740</v>
      </c>
      <c r="C255" s="2">
        <f>IFERROR(__xludf.DUMMYFUNCTION("""COMPUTED_VALUE"""),760.0)</f>
        <v>760</v>
      </c>
      <c r="D255" s="2">
        <f>IFERROR(__xludf.DUMMYFUNCTION("""COMPUTED_VALUE"""),740.0)</f>
        <v>740</v>
      </c>
      <c r="E255" s="2">
        <f>IFERROR(__xludf.DUMMYFUNCTION("""COMPUTED_VALUE"""),740.0)</f>
        <v>740</v>
      </c>
      <c r="F255" s="2">
        <f>IFERROR(__xludf.DUMMYFUNCTION("""COMPUTED_VALUE"""),8.26793E7)</f>
        <v>82679300</v>
      </c>
      <c r="G255" s="2">
        <f t="shared" si="1"/>
        <v>20</v>
      </c>
    </row>
    <row r="256" ht="15.75" customHeight="1">
      <c r="A256" s="1">
        <f>IFERROR(__xludf.DUMMYFUNCTION("""COMPUTED_VALUE"""),44897.66666666667)</f>
        <v>44897.66667</v>
      </c>
      <c r="B256" s="2">
        <f>IFERROR(__xludf.DUMMYFUNCTION("""COMPUTED_VALUE"""),745.0)</f>
        <v>745</v>
      </c>
      <c r="C256" s="2">
        <f>IFERROR(__xludf.DUMMYFUNCTION("""COMPUTED_VALUE"""),750.0)</f>
        <v>750</v>
      </c>
      <c r="D256" s="2">
        <f>IFERROR(__xludf.DUMMYFUNCTION("""COMPUTED_VALUE"""),740.0)</f>
        <v>740</v>
      </c>
      <c r="E256" s="2">
        <f>IFERROR(__xludf.DUMMYFUNCTION("""COMPUTED_VALUE"""),745.0)</f>
        <v>745</v>
      </c>
      <c r="F256" s="2">
        <f>IFERROR(__xludf.DUMMYFUNCTION("""COMPUTED_VALUE"""),3.686E7)</f>
        <v>36860000</v>
      </c>
      <c r="G256" s="2">
        <f t="shared" si="1"/>
        <v>10</v>
      </c>
    </row>
    <row r="257" ht="15.75" customHeight="1">
      <c r="A257" s="1">
        <f>IFERROR(__xludf.DUMMYFUNCTION("""COMPUTED_VALUE"""),44900.66666666667)</f>
        <v>44900.66667</v>
      </c>
      <c r="B257" s="2">
        <f>IFERROR(__xludf.DUMMYFUNCTION("""COMPUTED_VALUE"""),745.0)</f>
        <v>745</v>
      </c>
      <c r="C257" s="2">
        <f>IFERROR(__xludf.DUMMYFUNCTION("""COMPUTED_VALUE"""),760.0)</f>
        <v>760</v>
      </c>
      <c r="D257" s="2">
        <f>IFERROR(__xludf.DUMMYFUNCTION("""COMPUTED_VALUE"""),745.0)</f>
        <v>745</v>
      </c>
      <c r="E257" s="2">
        <f>IFERROR(__xludf.DUMMYFUNCTION("""COMPUTED_VALUE"""),745.0)</f>
        <v>745</v>
      </c>
      <c r="F257" s="2">
        <f>IFERROR(__xludf.DUMMYFUNCTION("""COMPUTED_VALUE"""),5.68401E7)</f>
        <v>56840100</v>
      </c>
      <c r="G257" s="2">
        <f t="shared" si="1"/>
        <v>15</v>
      </c>
    </row>
    <row r="258" ht="15.75" customHeight="1">
      <c r="A258" s="1">
        <f>IFERROR(__xludf.DUMMYFUNCTION("""COMPUTED_VALUE"""),44901.66666666667)</f>
        <v>44901.66667</v>
      </c>
      <c r="B258" s="2">
        <f>IFERROR(__xludf.DUMMYFUNCTION("""COMPUTED_VALUE"""),745.0)</f>
        <v>745</v>
      </c>
      <c r="C258" s="2">
        <f>IFERROR(__xludf.DUMMYFUNCTION("""COMPUTED_VALUE"""),755.0)</f>
        <v>755</v>
      </c>
      <c r="D258" s="2">
        <f>IFERROR(__xludf.DUMMYFUNCTION("""COMPUTED_VALUE"""),740.0)</f>
        <v>740</v>
      </c>
      <c r="E258" s="2">
        <f>IFERROR(__xludf.DUMMYFUNCTION("""COMPUTED_VALUE"""),740.0)</f>
        <v>740</v>
      </c>
      <c r="F258" s="2">
        <f>IFERROR(__xludf.DUMMYFUNCTION("""COMPUTED_VALUE"""),3.59648E7)</f>
        <v>35964800</v>
      </c>
      <c r="G258" s="2">
        <f t="shared" si="1"/>
        <v>15</v>
      </c>
    </row>
    <row r="259" ht="15.75" customHeight="1">
      <c r="A259" s="1">
        <f>IFERROR(__xludf.DUMMYFUNCTION("""COMPUTED_VALUE"""),44902.66666666667)</f>
        <v>44902.66667</v>
      </c>
      <c r="B259" s="2">
        <f>IFERROR(__xludf.DUMMYFUNCTION("""COMPUTED_VALUE"""),740.0)</f>
        <v>740</v>
      </c>
      <c r="C259" s="2">
        <f>IFERROR(__xludf.DUMMYFUNCTION("""COMPUTED_VALUE"""),750.0)</f>
        <v>750</v>
      </c>
      <c r="D259" s="2">
        <f>IFERROR(__xludf.DUMMYFUNCTION("""COMPUTED_VALUE"""),735.0)</f>
        <v>735</v>
      </c>
      <c r="E259" s="2">
        <f>IFERROR(__xludf.DUMMYFUNCTION("""COMPUTED_VALUE"""),750.0)</f>
        <v>750</v>
      </c>
      <c r="F259" s="2">
        <f>IFERROR(__xludf.DUMMYFUNCTION("""COMPUTED_VALUE"""),1.045837E8)</f>
        <v>104583700</v>
      </c>
      <c r="G259" s="2">
        <f t="shared" si="1"/>
        <v>15</v>
      </c>
    </row>
    <row r="260" ht="15.75" customHeight="1">
      <c r="A260" s="1">
        <f>IFERROR(__xludf.DUMMYFUNCTION("""COMPUTED_VALUE"""),44903.66666666667)</f>
        <v>44903.66667</v>
      </c>
      <c r="B260" s="2">
        <f>IFERROR(__xludf.DUMMYFUNCTION("""COMPUTED_VALUE"""),750.0)</f>
        <v>750</v>
      </c>
      <c r="C260" s="2">
        <f>IFERROR(__xludf.DUMMYFUNCTION("""COMPUTED_VALUE"""),755.0)</f>
        <v>755</v>
      </c>
      <c r="D260" s="2">
        <f>IFERROR(__xludf.DUMMYFUNCTION("""COMPUTED_VALUE"""),740.0)</f>
        <v>740</v>
      </c>
      <c r="E260" s="2">
        <f>IFERROR(__xludf.DUMMYFUNCTION("""COMPUTED_VALUE"""),745.0)</f>
        <v>745</v>
      </c>
      <c r="F260" s="2">
        <f>IFERROR(__xludf.DUMMYFUNCTION("""COMPUTED_VALUE"""),8.22986E7)</f>
        <v>82298600</v>
      </c>
      <c r="G260" s="2">
        <f t="shared" si="1"/>
        <v>15</v>
      </c>
    </row>
    <row r="261" ht="15.75" customHeight="1">
      <c r="A261" s="1">
        <f>IFERROR(__xludf.DUMMYFUNCTION("""COMPUTED_VALUE"""),44904.66666666667)</f>
        <v>44904.66667</v>
      </c>
      <c r="B261" s="2">
        <f>IFERROR(__xludf.DUMMYFUNCTION("""COMPUTED_VALUE"""),745.0)</f>
        <v>745</v>
      </c>
      <c r="C261" s="2">
        <f>IFERROR(__xludf.DUMMYFUNCTION("""COMPUTED_VALUE"""),760.0)</f>
        <v>760</v>
      </c>
      <c r="D261" s="2">
        <f>IFERROR(__xludf.DUMMYFUNCTION("""COMPUTED_VALUE"""),745.0)</f>
        <v>745</v>
      </c>
      <c r="E261" s="2">
        <f>IFERROR(__xludf.DUMMYFUNCTION("""COMPUTED_VALUE"""),755.0)</f>
        <v>755</v>
      </c>
      <c r="F261" s="2">
        <f>IFERROR(__xludf.DUMMYFUNCTION("""COMPUTED_VALUE"""),1.000226E8)</f>
        <v>100022600</v>
      </c>
      <c r="G261" s="2">
        <f t="shared" si="1"/>
        <v>15</v>
      </c>
    </row>
    <row r="262" ht="15.75" customHeight="1">
      <c r="A262" s="1">
        <f>IFERROR(__xludf.DUMMYFUNCTION("""COMPUTED_VALUE"""),44907.66666666667)</f>
        <v>44907.66667</v>
      </c>
      <c r="B262" s="2">
        <f>IFERROR(__xludf.DUMMYFUNCTION("""COMPUTED_VALUE"""),755.0)</f>
        <v>755</v>
      </c>
      <c r="C262" s="2">
        <f>IFERROR(__xludf.DUMMYFUNCTION("""COMPUTED_VALUE"""),775.0)</f>
        <v>775</v>
      </c>
      <c r="D262" s="2">
        <f>IFERROR(__xludf.DUMMYFUNCTION("""COMPUTED_VALUE"""),755.0)</f>
        <v>755</v>
      </c>
      <c r="E262" s="2">
        <f>IFERROR(__xludf.DUMMYFUNCTION("""COMPUTED_VALUE"""),770.0)</f>
        <v>770</v>
      </c>
      <c r="F262" s="2">
        <f>IFERROR(__xludf.DUMMYFUNCTION("""COMPUTED_VALUE"""),7.67612E7)</f>
        <v>76761200</v>
      </c>
      <c r="G262" s="2">
        <f t="shared" si="1"/>
        <v>20</v>
      </c>
    </row>
    <row r="263" ht="15.75" customHeight="1">
      <c r="A263" s="1">
        <f>IFERROR(__xludf.DUMMYFUNCTION("""COMPUTED_VALUE"""),44908.66666666667)</f>
        <v>44908.66667</v>
      </c>
      <c r="B263" s="2">
        <f>IFERROR(__xludf.DUMMYFUNCTION("""COMPUTED_VALUE"""),765.0)</f>
        <v>765</v>
      </c>
      <c r="C263" s="2">
        <f>IFERROR(__xludf.DUMMYFUNCTION("""COMPUTED_VALUE"""),780.0)</f>
        <v>780</v>
      </c>
      <c r="D263" s="2">
        <f>IFERROR(__xludf.DUMMYFUNCTION("""COMPUTED_VALUE"""),760.0)</f>
        <v>760</v>
      </c>
      <c r="E263" s="2">
        <f>IFERROR(__xludf.DUMMYFUNCTION("""COMPUTED_VALUE"""),770.0)</f>
        <v>770</v>
      </c>
      <c r="F263" s="2">
        <f>IFERROR(__xludf.DUMMYFUNCTION("""COMPUTED_VALUE"""),7.15603E7)</f>
        <v>71560300</v>
      </c>
      <c r="G263" s="2">
        <f t="shared" si="1"/>
        <v>20</v>
      </c>
    </row>
    <row r="264" ht="15.75" customHeight="1">
      <c r="A264" s="1">
        <f>IFERROR(__xludf.DUMMYFUNCTION("""COMPUTED_VALUE"""),44909.66666666667)</f>
        <v>44909.66667</v>
      </c>
      <c r="B264" s="2">
        <f>IFERROR(__xludf.DUMMYFUNCTION("""COMPUTED_VALUE"""),770.0)</f>
        <v>770</v>
      </c>
      <c r="C264" s="2">
        <f>IFERROR(__xludf.DUMMYFUNCTION("""COMPUTED_VALUE"""),780.0)</f>
        <v>780</v>
      </c>
      <c r="D264" s="2">
        <f>IFERROR(__xludf.DUMMYFUNCTION("""COMPUTED_VALUE"""),765.0)</f>
        <v>765</v>
      </c>
      <c r="E264" s="2">
        <f>IFERROR(__xludf.DUMMYFUNCTION("""COMPUTED_VALUE"""),770.0)</f>
        <v>770</v>
      </c>
      <c r="F264" s="2">
        <f>IFERROR(__xludf.DUMMYFUNCTION("""COMPUTED_VALUE"""),5.92248E7)</f>
        <v>59224800</v>
      </c>
      <c r="G264" s="2">
        <f t="shared" si="1"/>
        <v>15</v>
      </c>
    </row>
    <row r="265" ht="15.75" customHeight="1">
      <c r="A265" s="1">
        <f>IFERROR(__xludf.DUMMYFUNCTION("""COMPUTED_VALUE"""),44910.66666666667)</f>
        <v>44910.66667</v>
      </c>
      <c r="B265" s="2">
        <f>IFERROR(__xludf.DUMMYFUNCTION("""COMPUTED_VALUE"""),775.0)</f>
        <v>775</v>
      </c>
      <c r="C265" s="2">
        <f>IFERROR(__xludf.DUMMYFUNCTION("""COMPUTED_VALUE"""),775.0)</f>
        <v>775</v>
      </c>
      <c r="D265" s="2">
        <f>IFERROR(__xludf.DUMMYFUNCTION("""COMPUTED_VALUE"""),760.0)</f>
        <v>760</v>
      </c>
      <c r="E265" s="2">
        <f>IFERROR(__xludf.DUMMYFUNCTION("""COMPUTED_VALUE"""),760.0)</f>
        <v>760</v>
      </c>
      <c r="F265" s="2">
        <f>IFERROR(__xludf.DUMMYFUNCTION("""COMPUTED_VALUE"""),3.40586E7)</f>
        <v>34058600</v>
      </c>
      <c r="G265" s="2">
        <f t="shared" si="1"/>
        <v>15</v>
      </c>
    </row>
    <row r="266" ht="15.75" customHeight="1">
      <c r="A266" s="1">
        <f>IFERROR(__xludf.DUMMYFUNCTION("""COMPUTED_VALUE"""),44911.66666666667)</f>
        <v>44911.66667</v>
      </c>
      <c r="B266" s="2">
        <f>IFERROR(__xludf.DUMMYFUNCTION("""COMPUTED_VALUE"""),760.0)</f>
        <v>760</v>
      </c>
      <c r="C266" s="2">
        <f>IFERROR(__xludf.DUMMYFUNCTION("""COMPUTED_VALUE"""),780.0)</f>
        <v>780</v>
      </c>
      <c r="D266" s="2">
        <f>IFERROR(__xludf.DUMMYFUNCTION("""COMPUTED_VALUE"""),760.0)</f>
        <v>760</v>
      </c>
      <c r="E266" s="2">
        <f>IFERROR(__xludf.DUMMYFUNCTION("""COMPUTED_VALUE"""),770.0)</f>
        <v>770</v>
      </c>
      <c r="F266" s="2">
        <f>IFERROR(__xludf.DUMMYFUNCTION("""COMPUTED_VALUE"""),1.19741E8)</f>
        <v>119741000</v>
      </c>
      <c r="G266" s="2">
        <f t="shared" si="1"/>
        <v>20</v>
      </c>
    </row>
    <row r="267" ht="15.75" customHeight="1">
      <c r="A267" s="1">
        <f>IFERROR(__xludf.DUMMYFUNCTION("""COMPUTED_VALUE"""),44914.66666666667)</f>
        <v>44914.66667</v>
      </c>
      <c r="B267" s="2">
        <f>IFERROR(__xludf.DUMMYFUNCTION("""COMPUTED_VALUE"""),770.0)</f>
        <v>770</v>
      </c>
      <c r="C267" s="2">
        <f>IFERROR(__xludf.DUMMYFUNCTION("""COMPUTED_VALUE"""),775.0)</f>
        <v>775</v>
      </c>
      <c r="D267" s="2">
        <f>IFERROR(__xludf.DUMMYFUNCTION("""COMPUTED_VALUE"""),750.0)</f>
        <v>750</v>
      </c>
      <c r="E267" s="2">
        <f>IFERROR(__xludf.DUMMYFUNCTION("""COMPUTED_VALUE"""),765.0)</f>
        <v>765</v>
      </c>
      <c r="F267" s="2">
        <f>IFERROR(__xludf.DUMMYFUNCTION("""COMPUTED_VALUE"""),8.56856E7)</f>
        <v>85685600</v>
      </c>
      <c r="G267" s="2">
        <f t="shared" si="1"/>
        <v>25</v>
      </c>
    </row>
    <row r="268" ht="15.75" customHeight="1">
      <c r="A268" s="1">
        <f>IFERROR(__xludf.DUMMYFUNCTION("""COMPUTED_VALUE"""),44915.66666666667)</f>
        <v>44915.66667</v>
      </c>
      <c r="B268" s="2">
        <f>IFERROR(__xludf.DUMMYFUNCTION("""COMPUTED_VALUE"""),765.0)</f>
        <v>765</v>
      </c>
      <c r="C268" s="2">
        <f>IFERROR(__xludf.DUMMYFUNCTION("""COMPUTED_VALUE"""),770.0)</f>
        <v>770</v>
      </c>
      <c r="D268" s="2">
        <f>IFERROR(__xludf.DUMMYFUNCTION("""COMPUTED_VALUE"""),760.0)</f>
        <v>760</v>
      </c>
      <c r="E268" s="2">
        <f>IFERROR(__xludf.DUMMYFUNCTION("""COMPUTED_VALUE"""),760.0)</f>
        <v>760</v>
      </c>
      <c r="F268" s="2">
        <f>IFERROR(__xludf.DUMMYFUNCTION("""COMPUTED_VALUE"""),2.88714E7)</f>
        <v>28871400</v>
      </c>
      <c r="G268" s="2">
        <f t="shared" si="1"/>
        <v>10</v>
      </c>
    </row>
    <row r="269" ht="15.75" customHeight="1">
      <c r="A269" s="1">
        <f>IFERROR(__xludf.DUMMYFUNCTION("""COMPUTED_VALUE"""),44916.66666666667)</f>
        <v>44916.66667</v>
      </c>
      <c r="B269" s="2">
        <f>IFERROR(__xludf.DUMMYFUNCTION("""COMPUTED_VALUE"""),760.0)</f>
        <v>760</v>
      </c>
      <c r="C269" s="2">
        <f>IFERROR(__xludf.DUMMYFUNCTION("""COMPUTED_VALUE"""),770.0)</f>
        <v>770</v>
      </c>
      <c r="D269" s="2">
        <f>IFERROR(__xludf.DUMMYFUNCTION("""COMPUTED_VALUE"""),745.0)</f>
        <v>745</v>
      </c>
      <c r="E269" s="2">
        <f>IFERROR(__xludf.DUMMYFUNCTION("""COMPUTED_VALUE"""),755.0)</f>
        <v>755</v>
      </c>
      <c r="F269" s="2">
        <f>IFERROR(__xludf.DUMMYFUNCTION("""COMPUTED_VALUE"""),1.216389E8)</f>
        <v>121638900</v>
      </c>
      <c r="G269" s="2">
        <f t="shared" si="1"/>
        <v>25</v>
      </c>
    </row>
    <row r="270" ht="15.75" customHeight="1">
      <c r="A270" s="1">
        <f>IFERROR(__xludf.DUMMYFUNCTION("""COMPUTED_VALUE"""),44917.66666666667)</f>
        <v>44917.66667</v>
      </c>
      <c r="B270" s="2">
        <f>IFERROR(__xludf.DUMMYFUNCTION("""COMPUTED_VALUE"""),755.0)</f>
        <v>755</v>
      </c>
      <c r="C270" s="2">
        <f>IFERROR(__xludf.DUMMYFUNCTION("""COMPUTED_VALUE"""),765.0)</f>
        <v>765</v>
      </c>
      <c r="D270" s="2">
        <f>IFERROR(__xludf.DUMMYFUNCTION("""COMPUTED_VALUE"""),755.0)</f>
        <v>755</v>
      </c>
      <c r="E270" s="2">
        <f>IFERROR(__xludf.DUMMYFUNCTION("""COMPUTED_VALUE"""),765.0)</f>
        <v>765</v>
      </c>
      <c r="F270" s="2">
        <f>IFERROR(__xludf.DUMMYFUNCTION("""COMPUTED_VALUE"""),4.84621E7)</f>
        <v>48462100</v>
      </c>
      <c r="G270" s="2">
        <f t="shared" si="1"/>
        <v>10</v>
      </c>
    </row>
    <row r="271" ht="15.75" customHeight="1">
      <c r="A271" s="1">
        <f>IFERROR(__xludf.DUMMYFUNCTION("""COMPUTED_VALUE"""),44918.66666666667)</f>
        <v>44918.66667</v>
      </c>
      <c r="B271" s="2">
        <f>IFERROR(__xludf.DUMMYFUNCTION("""COMPUTED_VALUE"""),760.0)</f>
        <v>760</v>
      </c>
      <c r="C271" s="2">
        <f>IFERROR(__xludf.DUMMYFUNCTION("""COMPUTED_VALUE"""),770.0)</f>
        <v>770</v>
      </c>
      <c r="D271" s="2">
        <f>IFERROR(__xludf.DUMMYFUNCTION("""COMPUTED_VALUE"""),755.0)</f>
        <v>755</v>
      </c>
      <c r="E271" s="2">
        <f>IFERROR(__xludf.DUMMYFUNCTION("""COMPUTED_VALUE"""),760.0)</f>
        <v>760</v>
      </c>
      <c r="F271" s="2">
        <f>IFERROR(__xludf.DUMMYFUNCTION("""COMPUTED_VALUE"""),4.0238E7)</f>
        <v>40238000</v>
      </c>
      <c r="G271" s="2">
        <f t="shared" si="1"/>
        <v>15</v>
      </c>
    </row>
    <row r="272" ht="15.75" customHeight="1">
      <c r="A272" s="1">
        <f>IFERROR(__xludf.DUMMYFUNCTION("""COMPUTED_VALUE"""),44921.66666666667)</f>
        <v>44921.66667</v>
      </c>
      <c r="B272" s="2">
        <f>IFERROR(__xludf.DUMMYFUNCTION("""COMPUTED_VALUE"""),765.0)</f>
        <v>765</v>
      </c>
      <c r="C272" s="2">
        <f>IFERROR(__xludf.DUMMYFUNCTION("""COMPUTED_VALUE"""),775.0)</f>
        <v>775</v>
      </c>
      <c r="D272" s="2">
        <f>IFERROR(__xludf.DUMMYFUNCTION("""COMPUTED_VALUE"""),760.0)</f>
        <v>760</v>
      </c>
      <c r="E272" s="2">
        <f>IFERROR(__xludf.DUMMYFUNCTION("""COMPUTED_VALUE"""),765.0)</f>
        <v>765</v>
      </c>
      <c r="F272" s="2">
        <f>IFERROR(__xludf.DUMMYFUNCTION("""COMPUTED_VALUE"""),7.23032E7)</f>
        <v>72303200</v>
      </c>
      <c r="G272" s="2">
        <f t="shared" si="1"/>
        <v>15</v>
      </c>
    </row>
    <row r="273" ht="15.75" customHeight="1">
      <c r="A273" s="1">
        <f>IFERROR(__xludf.DUMMYFUNCTION("""COMPUTED_VALUE"""),44922.66666666667)</f>
        <v>44922.66667</v>
      </c>
      <c r="B273" s="2">
        <f>IFERROR(__xludf.DUMMYFUNCTION("""COMPUTED_VALUE"""),770.0)</f>
        <v>770</v>
      </c>
      <c r="C273" s="2">
        <f>IFERROR(__xludf.DUMMYFUNCTION("""COMPUTED_VALUE"""),775.0)</f>
        <v>775</v>
      </c>
      <c r="D273" s="2">
        <f>IFERROR(__xludf.DUMMYFUNCTION("""COMPUTED_VALUE"""),760.0)</f>
        <v>760</v>
      </c>
      <c r="E273" s="2">
        <f>IFERROR(__xludf.DUMMYFUNCTION("""COMPUTED_VALUE"""),770.0)</f>
        <v>770</v>
      </c>
      <c r="F273" s="2">
        <f>IFERROR(__xludf.DUMMYFUNCTION("""COMPUTED_VALUE"""),3.78554E7)</f>
        <v>37855400</v>
      </c>
      <c r="G273" s="2">
        <f t="shared" si="1"/>
        <v>15</v>
      </c>
    </row>
    <row r="274" ht="15.75" customHeight="1">
      <c r="A274" s="1">
        <f>IFERROR(__xludf.DUMMYFUNCTION("""COMPUTED_VALUE"""),44923.66666666667)</f>
        <v>44923.66667</v>
      </c>
      <c r="B274" s="2">
        <f>IFERROR(__xludf.DUMMYFUNCTION("""COMPUTED_VALUE"""),775.0)</f>
        <v>775</v>
      </c>
      <c r="C274" s="2">
        <f>IFERROR(__xludf.DUMMYFUNCTION("""COMPUTED_VALUE"""),775.0)</f>
        <v>775</v>
      </c>
      <c r="D274" s="2">
        <f>IFERROR(__xludf.DUMMYFUNCTION("""COMPUTED_VALUE"""),765.0)</f>
        <v>765</v>
      </c>
      <c r="E274" s="2">
        <f>IFERROR(__xludf.DUMMYFUNCTION("""COMPUTED_VALUE"""),765.0)</f>
        <v>765</v>
      </c>
      <c r="F274" s="2">
        <f>IFERROR(__xludf.DUMMYFUNCTION("""COMPUTED_VALUE"""),1.87596E7)</f>
        <v>18759600</v>
      </c>
      <c r="G274" s="2">
        <f t="shared" si="1"/>
        <v>10</v>
      </c>
    </row>
    <row r="275" ht="15.75" customHeight="1">
      <c r="A275" s="1">
        <f>IFERROR(__xludf.DUMMYFUNCTION("""COMPUTED_VALUE"""),44924.66666666667)</f>
        <v>44924.66667</v>
      </c>
      <c r="B275" s="2">
        <f>IFERROR(__xludf.DUMMYFUNCTION("""COMPUTED_VALUE"""),770.0)</f>
        <v>770</v>
      </c>
      <c r="C275" s="2">
        <f>IFERROR(__xludf.DUMMYFUNCTION("""COMPUTED_VALUE"""),770.0)</f>
        <v>770</v>
      </c>
      <c r="D275" s="2">
        <f>IFERROR(__xludf.DUMMYFUNCTION("""COMPUTED_VALUE"""),760.0)</f>
        <v>760</v>
      </c>
      <c r="E275" s="2">
        <f>IFERROR(__xludf.DUMMYFUNCTION("""COMPUTED_VALUE"""),760.0)</f>
        <v>760</v>
      </c>
      <c r="F275" s="2">
        <f>IFERROR(__xludf.DUMMYFUNCTION("""COMPUTED_VALUE"""),2.59961E7)</f>
        <v>25996100</v>
      </c>
      <c r="G275" s="2">
        <f t="shared" si="1"/>
        <v>10</v>
      </c>
    </row>
    <row r="276" ht="15.75" customHeight="1">
      <c r="A276" s="1">
        <f>IFERROR(__xludf.DUMMYFUNCTION("""COMPUTED_VALUE"""),44925.66666666667)</f>
        <v>44925.66667</v>
      </c>
      <c r="B276" s="2">
        <f>IFERROR(__xludf.DUMMYFUNCTION("""COMPUTED_VALUE"""),765.0)</f>
        <v>765</v>
      </c>
      <c r="C276" s="2">
        <f>IFERROR(__xludf.DUMMYFUNCTION("""COMPUTED_VALUE"""),800.0)</f>
        <v>800</v>
      </c>
      <c r="D276" s="2">
        <f>IFERROR(__xludf.DUMMYFUNCTION("""COMPUTED_VALUE"""),760.0)</f>
        <v>760</v>
      </c>
      <c r="E276" s="2">
        <f>IFERROR(__xludf.DUMMYFUNCTION("""COMPUTED_VALUE"""),800.0)</f>
        <v>800</v>
      </c>
      <c r="F276" s="2">
        <f>IFERROR(__xludf.DUMMYFUNCTION("""COMPUTED_VALUE"""),5.59704E7)</f>
        <v>55970400</v>
      </c>
      <c r="G276" s="2">
        <f t="shared" si="1"/>
        <v>40</v>
      </c>
    </row>
    <row r="277" ht="15.75" customHeight="1">
      <c r="A277" s="1">
        <f>IFERROR(__xludf.DUMMYFUNCTION("""COMPUTED_VALUE"""),44928.66666666667)</f>
        <v>44928.66667</v>
      </c>
      <c r="B277" s="2">
        <f>IFERROR(__xludf.DUMMYFUNCTION("""COMPUTED_VALUE"""),795.0)</f>
        <v>795</v>
      </c>
      <c r="C277" s="2">
        <f>IFERROR(__xludf.DUMMYFUNCTION("""COMPUTED_VALUE"""),800.0)</f>
        <v>800</v>
      </c>
      <c r="D277" s="2">
        <f>IFERROR(__xludf.DUMMYFUNCTION("""COMPUTED_VALUE"""),750.0)</f>
        <v>750</v>
      </c>
      <c r="E277" s="2">
        <f>IFERROR(__xludf.DUMMYFUNCTION("""COMPUTED_VALUE"""),755.0)</f>
        <v>755</v>
      </c>
      <c r="F277" s="2">
        <f>IFERROR(__xludf.DUMMYFUNCTION("""COMPUTED_VALUE"""),2.1458E7)</f>
        <v>21458000</v>
      </c>
      <c r="G277" s="2">
        <f t="shared" si="1"/>
        <v>50</v>
      </c>
    </row>
    <row r="278" ht="15.75" customHeight="1">
      <c r="A278" s="1">
        <f>IFERROR(__xludf.DUMMYFUNCTION("""COMPUTED_VALUE"""),44929.66666666667)</f>
        <v>44929.66667</v>
      </c>
      <c r="B278" s="2">
        <f>IFERROR(__xludf.DUMMYFUNCTION("""COMPUTED_VALUE"""),755.0)</f>
        <v>755</v>
      </c>
      <c r="C278" s="2">
        <f>IFERROR(__xludf.DUMMYFUNCTION("""COMPUTED_VALUE"""),760.0)</f>
        <v>760</v>
      </c>
      <c r="D278" s="2">
        <f>IFERROR(__xludf.DUMMYFUNCTION("""COMPUTED_VALUE"""),745.0)</f>
        <v>745</v>
      </c>
      <c r="E278" s="2">
        <f>IFERROR(__xludf.DUMMYFUNCTION("""COMPUTED_VALUE"""),745.0)</f>
        <v>745</v>
      </c>
      <c r="F278" s="2">
        <f>IFERROR(__xludf.DUMMYFUNCTION("""COMPUTED_VALUE"""),1.26552E7)</f>
        <v>12655200</v>
      </c>
      <c r="G278" s="2">
        <f t="shared" si="1"/>
        <v>15</v>
      </c>
    </row>
    <row r="279" ht="15.75" customHeight="1">
      <c r="A279" s="1">
        <f>IFERROR(__xludf.DUMMYFUNCTION("""COMPUTED_VALUE"""),44930.66666666667)</f>
        <v>44930.66667</v>
      </c>
      <c r="B279" s="2">
        <f>IFERROR(__xludf.DUMMYFUNCTION("""COMPUTED_VALUE"""),745.0)</f>
        <v>745</v>
      </c>
      <c r="C279" s="2">
        <f>IFERROR(__xludf.DUMMYFUNCTION("""COMPUTED_VALUE"""),745.0)</f>
        <v>745</v>
      </c>
      <c r="D279" s="2">
        <f>IFERROR(__xludf.DUMMYFUNCTION("""COMPUTED_VALUE"""),720.0)</f>
        <v>720</v>
      </c>
      <c r="E279" s="2">
        <f>IFERROR(__xludf.DUMMYFUNCTION("""COMPUTED_VALUE"""),720.0)</f>
        <v>720</v>
      </c>
      <c r="F279" s="2">
        <f>IFERROR(__xludf.DUMMYFUNCTION("""COMPUTED_VALUE"""),3.05712E7)</f>
        <v>30571200</v>
      </c>
      <c r="G279" s="2">
        <f t="shared" si="1"/>
        <v>25</v>
      </c>
    </row>
    <row r="280" ht="15.75" customHeight="1">
      <c r="A280" s="1">
        <f>IFERROR(__xludf.DUMMYFUNCTION("""COMPUTED_VALUE"""),44931.66666666667)</f>
        <v>44931.66667</v>
      </c>
      <c r="B280" s="2">
        <f>IFERROR(__xludf.DUMMYFUNCTION("""COMPUTED_VALUE"""),720.0)</f>
        <v>720</v>
      </c>
      <c r="C280" s="2">
        <f>IFERROR(__xludf.DUMMYFUNCTION("""COMPUTED_VALUE"""),725.0)</f>
        <v>725</v>
      </c>
      <c r="D280" s="2">
        <f>IFERROR(__xludf.DUMMYFUNCTION("""COMPUTED_VALUE"""),700.0)</f>
        <v>700</v>
      </c>
      <c r="E280" s="2">
        <f>IFERROR(__xludf.DUMMYFUNCTION("""COMPUTED_VALUE"""),720.0)</f>
        <v>720</v>
      </c>
      <c r="F280" s="2">
        <f>IFERROR(__xludf.DUMMYFUNCTION("""COMPUTED_VALUE"""),2.33349E7)</f>
        <v>23334900</v>
      </c>
      <c r="G280" s="2">
        <f t="shared" si="1"/>
        <v>25</v>
      </c>
    </row>
    <row r="281" ht="15.75" customHeight="1">
      <c r="A281" s="1">
        <f>IFERROR(__xludf.DUMMYFUNCTION("""COMPUTED_VALUE"""),44932.66666666667)</f>
        <v>44932.66667</v>
      </c>
      <c r="B281" s="2">
        <f>IFERROR(__xludf.DUMMYFUNCTION("""COMPUTED_VALUE"""),720.0)</f>
        <v>720</v>
      </c>
      <c r="C281" s="2">
        <f>IFERROR(__xludf.DUMMYFUNCTION("""COMPUTED_VALUE"""),720.0)</f>
        <v>720</v>
      </c>
      <c r="D281" s="2">
        <f>IFERROR(__xludf.DUMMYFUNCTION("""COMPUTED_VALUE"""),705.0)</f>
        <v>705</v>
      </c>
      <c r="E281" s="2">
        <f>IFERROR(__xludf.DUMMYFUNCTION("""COMPUTED_VALUE"""),705.0)</f>
        <v>705</v>
      </c>
      <c r="F281" s="2">
        <f>IFERROR(__xludf.DUMMYFUNCTION("""COMPUTED_VALUE"""),2.7628E7)</f>
        <v>27628000</v>
      </c>
      <c r="G281" s="2">
        <f t="shared" si="1"/>
        <v>15</v>
      </c>
    </row>
    <row r="282" ht="15.75" customHeight="1">
      <c r="A282" s="1">
        <f>IFERROR(__xludf.DUMMYFUNCTION("""COMPUTED_VALUE"""),44935.66666666667)</f>
        <v>44935.66667</v>
      </c>
      <c r="B282" s="2">
        <f>IFERROR(__xludf.DUMMYFUNCTION("""COMPUTED_VALUE"""),705.0)</f>
        <v>705</v>
      </c>
      <c r="C282" s="2">
        <f>IFERROR(__xludf.DUMMYFUNCTION("""COMPUTED_VALUE"""),715.0)</f>
        <v>715</v>
      </c>
      <c r="D282" s="2">
        <f>IFERROR(__xludf.DUMMYFUNCTION("""COMPUTED_VALUE"""),695.0)</f>
        <v>695</v>
      </c>
      <c r="E282" s="2">
        <f>IFERROR(__xludf.DUMMYFUNCTION("""COMPUTED_VALUE"""),695.0)</f>
        <v>695</v>
      </c>
      <c r="F282" s="2">
        <f>IFERROR(__xludf.DUMMYFUNCTION("""COMPUTED_VALUE"""),1.59515E7)</f>
        <v>15951500</v>
      </c>
      <c r="G282" s="2">
        <f t="shared" si="1"/>
        <v>20</v>
      </c>
    </row>
    <row r="283" ht="15.75" customHeight="1">
      <c r="A283" s="1">
        <f>IFERROR(__xludf.DUMMYFUNCTION("""COMPUTED_VALUE"""),44936.66666666667)</f>
        <v>44936.66667</v>
      </c>
      <c r="B283" s="2">
        <f>IFERROR(__xludf.DUMMYFUNCTION("""COMPUTED_VALUE"""),700.0)</f>
        <v>700</v>
      </c>
      <c r="C283" s="2">
        <f>IFERROR(__xludf.DUMMYFUNCTION("""COMPUTED_VALUE"""),700.0)</f>
        <v>700</v>
      </c>
      <c r="D283" s="2">
        <f>IFERROR(__xludf.DUMMYFUNCTION("""COMPUTED_VALUE"""),690.0)</f>
        <v>690</v>
      </c>
      <c r="E283" s="2">
        <f>IFERROR(__xludf.DUMMYFUNCTION("""COMPUTED_VALUE"""),695.0)</f>
        <v>695</v>
      </c>
      <c r="F283" s="2">
        <f>IFERROR(__xludf.DUMMYFUNCTION("""COMPUTED_VALUE"""),1.11582E7)</f>
        <v>11158200</v>
      </c>
      <c r="G283" s="2">
        <f t="shared" si="1"/>
        <v>10</v>
      </c>
    </row>
    <row r="284" ht="15.75" customHeight="1">
      <c r="A284" s="1">
        <f>IFERROR(__xludf.DUMMYFUNCTION("""COMPUTED_VALUE"""),44937.66666666667)</f>
        <v>44937.66667</v>
      </c>
      <c r="B284" s="2">
        <f>IFERROR(__xludf.DUMMYFUNCTION("""COMPUTED_VALUE"""),695.0)</f>
        <v>695</v>
      </c>
      <c r="C284" s="2">
        <f>IFERROR(__xludf.DUMMYFUNCTION("""COMPUTED_VALUE"""),700.0)</f>
        <v>700</v>
      </c>
      <c r="D284" s="2">
        <f>IFERROR(__xludf.DUMMYFUNCTION("""COMPUTED_VALUE"""),685.0)</f>
        <v>685</v>
      </c>
      <c r="E284" s="2">
        <f>IFERROR(__xludf.DUMMYFUNCTION("""COMPUTED_VALUE"""),700.0)</f>
        <v>700</v>
      </c>
      <c r="F284" s="2">
        <f>IFERROR(__xludf.DUMMYFUNCTION("""COMPUTED_VALUE"""),1.66587E7)</f>
        <v>16658700</v>
      </c>
      <c r="G284" s="2">
        <f t="shared" si="1"/>
        <v>15</v>
      </c>
    </row>
    <row r="285" ht="15.75" customHeight="1">
      <c r="A285" s="1">
        <f>IFERROR(__xludf.DUMMYFUNCTION("""COMPUTED_VALUE"""),44938.66666666667)</f>
        <v>44938.66667</v>
      </c>
      <c r="B285" s="2">
        <f>IFERROR(__xludf.DUMMYFUNCTION("""COMPUTED_VALUE"""),700.0)</f>
        <v>700</v>
      </c>
      <c r="C285" s="2">
        <f>IFERROR(__xludf.DUMMYFUNCTION("""COMPUTED_VALUE"""),700.0)</f>
        <v>700</v>
      </c>
      <c r="D285" s="2">
        <f>IFERROR(__xludf.DUMMYFUNCTION("""COMPUTED_VALUE"""),690.0)</f>
        <v>690</v>
      </c>
      <c r="E285" s="2">
        <f>IFERROR(__xludf.DUMMYFUNCTION("""COMPUTED_VALUE"""),700.0)</f>
        <v>700</v>
      </c>
      <c r="F285" s="2">
        <f>IFERROR(__xludf.DUMMYFUNCTION("""COMPUTED_VALUE"""),1.44553E7)</f>
        <v>14455300</v>
      </c>
      <c r="G285" s="2">
        <f t="shared" si="1"/>
        <v>10</v>
      </c>
    </row>
    <row r="286" ht="15.75" customHeight="1">
      <c r="A286" s="1">
        <f>IFERROR(__xludf.DUMMYFUNCTION("""COMPUTED_VALUE"""),44939.66666666667)</f>
        <v>44939.66667</v>
      </c>
      <c r="B286" s="2">
        <f>IFERROR(__xludf.DUMMYFUNCTION("""COMPUTED_VALUE"""),700.0)</f>
        <v>700</v>
      </c>
      <c r="C286" s="2">
        <f>IFERROR(__xludf.DUMMYFUNCTION("""COMPUTED_VALUE"""),700.0)</f>
        <v>700</v>
      </c>
      <c r="D286" s="2">
        <f>IFERROR(__xludf.DUMMYFUNCTION("""COMPUTED_VALUE"""),690.0)</f>
        <v>690</v>
      </c>
      <c r="E286" s="2">
        <f>IFERROR(__xludf.DUMMYFUNCTION("""COMPUTED_VALUE"""),695.0)</f>
        <v>695</v>
      </c>
      <c r="F286" s="2">
        <f>IFERROR(__xludf.DUMMYFUNCTION("""COMPUTED_VALUE"""),1.05064E7)</f>
        <v>10506400</v>
      </c>
      <c r="G286" s="2">
        <f t="shared" si="1"/>
        <v>10</v>
      </c>
    </row>
    <row r="287" ht="15.75" customHeight="1">
      <c r="A287" s="1">
        <f>IFERROR(__xludf.DUMMYFUNCTION("""COMPUTED_VALUE"""),44942.66666666667)</f>
        <v>44942.66667</v>
      </c>
      <c r="B287" s="2">
        <f>IFERROR(__xludf.DUMMYFUNCTION("""COMPUTED_VALUE"""),695.0)</f>
        <v>695</v>
      </c>
      <c r="C287" s="2">
        <f>IFERROR(__xludf.DUMMYFUNCTION("""COMPUTED_VALUE"""),695.0)</f>
        <v>695</v>
      </c>
      <c r="D287" s="2">
        <f>IFERROR(__xludf.DUMMYFUNCTION("""COMPUTED_VALUE"""),685.0)</f>
        <v>685</v>
      </c>
      <c r="E287" s="2">
        <f>IFERROR(__xludf.DUMMYFUNCTION("""COMPUTED_VALUE"""),690.0)</f>
        <v>690</v>
      </c>
      <c r="F287" s="2">
        <f>IFERROR(__xludf.DUMMYFUNCTION("""COMPUTED_VALUE"""),1.82416E7)</f>
        <v>18241600</v>
      </c>
      <c r="G287" s="2">
        <f t="shared" si="1"/>
        <v>10</v>
      </c>
    </row>
    <row r="288" ht="15.75" customHeight="1">
      <c r="A288" s="1">
        <f>IFERROR(__xludf.DUMMYFUNCTION("""COMPUTED_VALUE"""),44943.66666666667)</f>
        <v>44943.66667</v>
      </c>
      <c r="B288" s="2">
        <f>IFERROR(__xludf.DUMMYFUNCTION("""COMPUTED_VALUE"""),690.0)</f>
        <v>690</v>
      </c>
      <c r="C288" s="2">
        <f>IFERROR(__xludf.DUMMYFUNCTION("""COMPUTED_VALUE"""),695.0)</f>
        <v>695</v>
      </c>
      <c r="D288" s="2">
        <f>IFERROR(__xludf.DUMMYFUNCTION("""COMPUTED_VALUE"""),685.0)</f>
        <v>685</v>
      </c>
      <c r="E288" s="2">
        <f>IFERROR(__xludf.DUMMYFUNCTION("""COMPUTED_VALUE"""),690.0)</f>
        <v>690</v>
      </c>
      <c r="F288" s="2">
        <f>IFERROR(__xludf.DUMMYFUNCTION("""COMPUTED_VALUE"""),1.63503E7)</f>
        <v>16350300</v>
      </c>
      <c r="G288" s="2">
        <f t="shared" si="1"/>
        <v>10</v>
      </c>
    </row>
    <row r="289" ht="15.75" customHeight="1">
      <c r="A289" s="1">
        <f>IFERROR(__xludf.DUMMYFUNCTION("""COMPUTED_VALUE"""),44944.66666666667)</f>
        <v>44944.66667</v>
      </c>
      <c r="B289" s="2">
        <f>IFERROR(__xludf.DUMMYFUNCTION("""COMPUTED_VALUE"""),690.0)</f>
        <v>690</v>
      </c>
      <c r="C289" s="2">
        <f>IFERROR(__xludf.DUMMYFUNCTION("""COMPUTED_VALUE"""),695.0)</f>
        <v>695</v>
      </c>
      <c r="D289" s="2">
        <f>IFERROR(__xludf.DUMMYFUNCTION("""COMPUTED_VALUE"""),685.0)</f>
        <v>685</v>
      </c>
      <c r="E289" s="2">
        <f>IFERROR(__xludf.DUMMYFUNCTION("""COMPUTED_VALUE"""),695.0)</f>
        <v>695</v>
      </c>
      <c r="F289" s="2">
        <f>IFERROR(__xludf.DUMMYFUNCTION("""COMPUTED_VALUE"""),1.13813E7)</f>
        <v>11381300</v>
      </c>
      <c r="G289" s="2">
        <f t="shared" si="1"/>
        <v>10</v>
      </c>
    </row>
    <row r="290" ht="15.75" customHeight="1">
      <c r="A290" s="1">
        <f>IFERROR(__xludf.DUMMYFUNCTION("""COMPUTED_VALUE"""),44945.66666666667)</f>
        <v>44945.66667</v>
      </c>
      <c r="B290" s="2">
        <f>IFERROR(__xludf.DUMMYFUNCTION("""COMPUTED_VALUE"""),695.0)</f>
        <v>695</v>
      </c>
      <c r="C290" s="2">
        <f>IFERROR(__xludf.DUMMYFUNCTION("""COMPUTED_VALUE"""),700.0)</f>
        <v>700</v>
      </c>
      <c r="D290" s="2">
        <f>IFERROR(__xludf.DUMMYFUNCTION("""COMPUTED_VALUE"""),690.0)</f>
        <v>690</v>
      </c>
      <c r="E290" s="2">
        <f>IFERROR(__xludf.DUMMYFUNCTION("""COMPUTED_VALUE"""),695.0)</f>
        <v>695</v>
      </c>
      <c r="F290" s="2">
        <f>IFERROR(__xludf.DUMMYFUNCTION("""COMPUTED_VALUE"""),1.69082E7)</f>
        <v>16908200</v>
      </c>
      <c r="G290" s="2">
        <f t="shared" si="1"/>
        <v>10</v>
      </c>
    </row>
    <row r="291" ht="15.75" customHeight="1">
      <c r="A291" s="1">
        <f>IFERROR(__xludf.DUMMYFUNCTION("""COMPUTED_VALUE"""),44946.66666666667)</f>
        <v>44946.66667</v>
      </c>
      <c r="B291" s="2">
        <f>IFERROR(__xludf.DUMMYFUNCTION("""COMPUTED_VALUE"""),695.0)</f>
        <v>695</v>
      </c>
      <c r="C291" s="2">
        <f>IFERROR(__xludf.DUMMYFUNCTION("""COMPUTED_VALUE"""),700.0)</f>
        <v>700</v>
      </c>
      <c r="D291" s="2">
        <f>IFERROR(__xludf.DUMMYFUNCTION("""COMPUTED_VALUE"""),690.0)</f>
        <v>690</v>
      </c>
      <c r="E291" s="2">
        <f>IFERROR(__xludf.DUMMYFUNCTION("""COMPUTED_VALUE"""),700.0)</f>
        <v>700</v>
      </c>
      <c r="F291" s="2">
        <f>IFERROR(__xludf.DUMMYFUNCTION("""COMPUTED_VALUE"""),3.61359E7)</f>
        <v>36135900</v>
      </c>
      <c r="G291" s="2">
        <f t="shared" si="1"/>
        <v>10</v>
      </c>
    </row>
    <row r="292" ht="15.75" customHeight="1">
      <c r="A292" s="1">
        <f>IFERROR(__xludf.DUMMYFUNCTION("""COMPUTED_VALUE"""),44950.66666666667)</f>
        <v>44950.66667</v>
      </c>
      <c r="B292" s="2">
        <f>IFERROR(__xludf.DUMMYFUNCTION("""COMPUTED_VALUE"""),700.0)</f>
        <v>700</v>
      </c>
      <c r="C292" s="2">
        <f>IFERROR(__xludf.DUMMYFUNCTION("""COMPUTED_VALUE"""),700.0)</f>
        <v>700</v>
      </c>
      <c r="D292" s="2">
        <f>IFERROR(__xludf.DUMMYFUNCTION("""COMPUTED_VALUE"""),690.0)</f>
        <v>690</v>
      </c>
      <c r="E292" s="2">
        <f>IFERROR(__xludf.DUMMYFUNCTION("""COMPUTED_VALUE"""),695.0)</f>
        <v>695</v>
      </c>
      <c r="F292" s="2">
        <f>IFERROR(__xludf.DUMMYFUNCTION("""COMPUTED_VALUE"""),1.57926E7)</f>
        <v>15792600</v>
      </c>
      <c r="G292" s="2">
        <f t="shared" si="1"/>
        <v>10</v>
      </c>
    </row>
    <row r="293" ht="15.75" customHeight="1">
      <c r="A293" s="1">
        <f>IFERROR(__xludf.DUMMYFUNCTION("""COMPUTED_VALUE"""),44951.66666666667)</f>
        <v>44951.66667</v>
      </c>
      <c r="B293" s="2">
        <f>IFERROR(__xludf.DUMMYFUNCTION("""COMPUTED_VALUE"""),695.0)</f>
        <v>695</v>
      </c>
      <c r="C293" s="2">
        <f>IFERROR(__xludf.DUMMYFUNCTION("""COMPUTED_VALUE"""),695.0)</f>
        <v>695</v>
      </c>
      <c r="D293" s="2">
        <f>IFERROR(__xludf.DUMMYFUNCTION("""COMPUTED_VALUE"""),685.0)</f>
        <v>685</v>
      </c>
      <c r="E293" s="2">
        <f>IFERROR(__xludf.DUMMYFUNCTION("""COMPUTED_VALUE"""),690.0)</f>
        <v>690</v>
      </c>
      <c r="F293" s="2">
        <f>IFERROR(__xludf.DUMMYFUNCTION("""COMPUTED_VALUE"""),2.43418E7)</f>
        <v>24341800</v>
      </c>
      <c r="G293" s="2">
        <f t="shared" si="1"/>
        <v>10</v>
      </c>
    </row>
    <row r="294" ht="15.75" customHeight="1">
      <c r="A294" s="1">
        <f>IFERROR(__xludf.DUMMYFUNCTION("""COMPUTED_VALUE"""),44952.66666666667)</f>
        <v>44952.66667</v>
      </c>
      <c r="B294" s="2">
        <f>IFERROR(__xludf.DUMMYFUNCTION("""COMPUTED_VALUE"""),690.0)</f>
        <v>690</v>
      </c>
      <c r="C294" s="2">
        <f>IFERROR(__xludf.DUMMYFUNCTION("""COMPUTED_VALUE"""),690.0)</f>
        <v>690</v>
      </c>
      <c r="D294" s="2">
        <f>IFERROR(__xludf.DUMMYFUNCTION("""COMPUTED_VALUE"""),680.0)</f>
        <v>680</v>
      </c>
      <c r="E294" s="2">
        <f>IFERROR(__xludf.DUMMYFUNCTION("""COMPUTED_VALUE"""),680.0)</f>
        <v>680</v>
      </c>
      <c r="F294" s="2">
        <f>IFERROR(__xludf.DUMMYFUNCTION("""COMPUTED_VALUE"""),2.81813E7)</f>
        <v>28181300</v>
      </c>
      <c r="G294" s="2">
        <f t="shared" si="1"/>
        <v>10</v>
      </c>
    </row>
    <row r="295" ht="15.75" customHeight="1">
      <c r="A295" s="1">
        <f>IFERROR(__xludf.DUMMYFUNCTION("""COMPUTED_VALUE"""),44953.66666666667)</f>
        <v>44953.66667</v>
      </c>
      <c r="B295" s="2">
        <f>IFERROR(__xludf.DUMMYFUNCTION("""COMPUTED_VALUE"""),680.0)</f>
        <v>680</v>
      </c>
      <c r="C295" s="2">
        <f>IFERROR(__xludf.DUMMYFUNCTION("""COMPUTED_VALUE"""),690.0)</f>
        <v>690</v>
      </c>
      <c r="D295" s="2">
        <f>IFERROR(__xludf.DUMMYFUNCTION("""COMPUTED_VALUE"""),680.0)</f>
        <v>680</v>
      </c>
      <c r="E295" s="2">
        <f>IFERROR(__xludf.DUMMYFUNCTION("""COMPUTED_VALUE"""),680.0)</f>
        <v>680</v>
      </c>
      <c r="F295" s="2">
        <f>IFERROR(__xludf.DUMMYFUNCTION("""COMPUTED_VALUE"""),4.03212E7)</f>
        <v>40321200</v>
      </c>
      <c r="G295" s="2">
        <f t="shared" si="1"/>
        <v>10</v>
      </c>
    </row>
    <row r="296" ht="15.75" customHeight="1">
      <c r="A296" s="1">
        <f>IFERROR(__xludf.DUMMYFUNCTION("""COMPUTED_VALUE"""),44956.66666666667)</f>
        <v>44956.66667</v>
      </c>
      <c r="B296" s="2">
        <f>IFERROR(__xludf.DUMMYFUNCTION("""COMPUTED_VALUE"""),680.0)</f>
        <v>680</v>
      </c>
      <c r="C296" s="2">
        <f>IFERROR(__xludf.DUMMYFUNCTION("""COMPUTED_VALUE"""),685.0)</f>
        <v>685</v>
      </c>
      <c r="D296" s="2">
        <f>IFERROR(__xludf.DUMMYFUNCTION("""COMPUTED_VALUE"""),675.0)</f>
        <v>675</v>
      </c>
      <c r="E296" s="2">
        <f>IFERROR(__xludf.DUMMYFUNCTION("""COMPUTED_VALUE"""),680.0)</f>
        <v>680</v>
      </c>
      <c r="F296" s="2">
        <f>IFERROR(__xludf.DUMMYFUNCTION("""COMPUTED_VALUE"""),2.06551E7)</f>
        <v>20655100</v>
      </c>
      <c r="G296" s="2">
        <f t="shared" si="1"/>
        <v>10</v>
      </c>
    </row>
    <row r="297" ht="15.75" customHeight="1">
      <c r="A297" s="1">
        <f>IFERROR(__xludf.DUMMYFUNCTION("""COMPUTED_VALUE"""),44957.66666666667)</f>
        <v>44957.66667</v>
      </c>
      <c r="B297" s="2">
        <f>IFERROR(__xludf.DUMMYFUNCTION("""COMPUTED_VALUE"""),680.0)</f>
        <v>680</v>
      </c>
      <c r="C297" s="2">
        <f>IFERROR(__xludf.DUMMYFUNCTION("""COMPUTED_VALUE"""),685.0)</f>
        <v>685</v>
      </c>
      <c r="D297" s="2">
        <f>IFERROR(__xludf.DUMMYFUNCTION("""COMPUTED_VALUE"""),675.0)</f>
        <v>675</v>
      </c>
      <c r="E297" s="2">
        <f>IFERROR(__xludf.DUMMYFUNCTION("""COMPUTED_VALUE"""),675.0)</f>
        <v>675</v>
      </c>
      <c r="F297" s="2">
        <f>IFERROR(__xludf.DUMMYFUNCTION("""COMPUTED_VALUE"""),2.14979E7)</f>
        <v>21497900</v>
      </c>
      <c r="G297" s="2">
        <f t="shared" si="1"/>
        <v>10</v>
      </c>
    </row>
    <row r="298" ht="15.75" customHeight="1">
      <c r="A298" s="1">
        <f>IFERROR(__xludf.DUMMYFUNCTION("""COMPUTED_VALUE"""),44958.66666666667)</f>
        <v>44958.66667</v>
      </c>
      <c r="B298" s="2">
        <f>IFERROR(__xludf.DUMMYFUNCTION("""COMPUTED_VALUE"""),675.0)</f>
        <v>675</v>
      </c>
      <c r="C298" s="2">
        <f>IFERROR(__xludf.DUMMYFUNCTION("""COMPUTED_VALUE"""),680.0)</f>
        <v>680</v>
      </c>
      <c r="D298" s="2">
        <f>IFERROR(__xludf.DUMMYFUNCTION("""COMPUTED_VALUE"""),670.0)</f>
        <v>670</v>
      </c>
      <c r="E298" s="2">
        <f>IFERROR(__xludf.DUMMYFUNCTION("""COMPUTED_VALUE"""),680.0)</f>
        <v>680</v>
      </c>
      <c r="F298" s="2">
        <f>IFERROR(__xludf.DUMMYFUNCTION("""COMPUTED_VALUE"""),1.67824E7)</f>
        <v>16782400</v>
      </c>
      <c r="G298" s="2">
        <f t="shared" si="1"/>
        <v>10</v>
      </c>
    </row>
    <row r="299" ht="15.75" customHeight="1">
      <c r="A299" s="1">
        <f>IFERROR(__xludf.DUMMYFUNCTION("""COMPUTED_VALUE"""),44959.66666666667)</f>
        <v>44959.66667</v>
      </c>
      <c r="B299" s="2">
        <f>IFERROR(__xludf.DUMMYFUNCTION("""COMPUTED_VALUE"""),680.0)</f>
        <v>680</v>
      </c>
      <c r="C299" s="2">
        <f>IFERROR(__xludf.DUMMYFUNCTION("""COMPUTED_VALUE"""),680.0)</f>
        <v>680</v>
      </c>
      <c r="D299" s="2">
        <f>IFERROR(__xludf.DUMMYFUNCTION("""COMPUTED_VALUE"""),670.0)</f>
        <v>670</v>
      </c>
      <c r="E299" s="2">
        <f>IFERROR(__xludf.DUMMYFUNCTION("""COMPUTED_VALUE"""),675.0)</f>
        <v>675</v>
      </c>
      <c r="F299" s="2">
        <f>IFERROR(__xludf.DUMMYFUNCTION("""COMPUTED_VALUE"""),2.4248E7)</f>
        <v>24248000</v>
      </c>
      <c r="G299" s="2">
        <f t="shared" si="1"/>
        <v>10</v>
      </c>
    </row>
    <row r="300" ht="15.75" customHeight="1">
      <c r="A300" s="1">
        <f>IFERROR(__xludf.DUMMYFUNCTION("""COMPUTED_VALUE"""),44960.66666666667)</f>
        <v>44960.66667</v>
      </c>
      <c r="B300" s="2">
        <f>IFERROR(__xludf.DUMMYFUNCTION("""COMPUTED_VALUE"""),675.0)</f>
        <v>675</v>
      </c>
      <c r="C300" s="2">
        <f>IFERROR(__xludf.DUMMYFUNCTION("""COMPUTED_VALUE"""),680.0)</f>
        <v>680</v>
      </c>
      <c r="D300" s="2">
        <f>IFERROR(__xludf.DUMMYFUNCTION("""COMPUTED_VALUE"""),665.0)</f>
        <v>665</v>
      </c>
      <c r="E300" s="2">
        <f>IFERROR(__xludf.DUMMYFUNCTION("""COMPUTED_VALUE"""),675.0)</f>
        <v>675</v>
      </c>
      <c r="F300" s="2">
        <f>IFERROR(__xludf.DUMMYFUNCTION("""COMPUTED_VALUE"""),2.51648E7)</f>
        <v>25164800</v>
      </c>
      <c r="G300" s="2">
        <f t="shared" si="1"/>
        <v>15</v>
      </c>
    </row>
    <row r="301" ht="15.75" customHeight="1">
      <c r="A301" s="1">
        <f>IFERROR(__xludf.DUMMYFUNCTION("""COMPUTED_VALUE"""),44963.66666666667)</f>
        <v>44963.66667</v>
      </c>
      <c r="B301" s="2">
        <f>IFERROR(__xludf.DUMMYFUNCTION("""COMPUTED_VALUE"""),670.0)</f>
        <v>670</v>
      </c>
      <c r="C301" s="2">
        <f>IFERROR(__xludf.DUMMYFUNCTION("""COMPUTED_VALUE"""),675.0)</f>
        <v>675</v>
      </c>
      <c r="D301" s="2">
        <f>IFERROR(__xludf.DUMMYFUNCTION("""COMPUTED_VALUE"""),665.0)</f>
        <v>665</v>
      </c>
      <c r="E301" s="2">
        <f>IFERROR(__xludf.DUMMYFUNCTION("""COMPUTED_VALUE"""),665.0)</f>
        <v>665</v>
      </c>
      <c r="F301" s="2">
        <f>IFERROR(__xludf.DUMMYFUNCTION("""COMPUTED_VALUE"""),2.0112E7)</f>
        <v>20112000</v>
      </c>
      <c r="G301" s="2">
        <f t="shared" si="1"/>
        <v>10</v>
      </c>
    </row>
    <row r="302" ht="15.75" customHeight="1">
      <c r="A302" s="1">
        <f>IFERROR(__xludf.DUMMYFUNCTION("""COMPUTED_VALUE"""),44964.66666666667)</f>
        <v>44964.66667</v>
      </c>
      <c r="B302" s="2">
        <f>IFERROR(__xludf.DUMMYFUNCTION("""COMPUTED_VALUE"""),665.0)</f>
        <v>665</v>
      </c>
      <c r="C302" s="2">
        <f>IFERROR(__xludf.DUMMYFUNCTION("""COMPUTED_VALUE"""),675.0)</f>
        <v>675</v>
      </c>
      <c r="D302" s="2">
        <f>IFERROR(__xludf.DUMMYFUNCTION("""COMPUTED_VALUE"""),665.0)</f>
        <v>665</v>
      </c>
      <c r="E302" s="2">
        <f>IFERROR(__xludf.DUMMYFUNCTION("""COMPUTED_VALUE"""),670.0)</f>
        <v>670</v>
      </c>
      <c r="F302" s="2">
        <f>IFERROR(__xludf.DUMMYFUNCTION("""COMPUTED_VALUE"""),2.42193E7)</f>
        <v>24219300</v>
      </c>
      <c r="G302" s="2">
        <f t="shared" si="1"/>
        <v>10</v>
      </c>
    </row>
    <row r="303" ht="15.75" customHeight="1">
      <c r="A303" s="1">
        <f>IFERROR(__xludf.DUMMYFUNCTION("""COMPUTED_VALUE"""),44965.66666666667)</f>
        <v>44965.66667</v>
      </c>
      <c r="B303" s="2">
        <f>IFERROR(__xludf.DUMMYFUNCTION("""COMPUTED_VALUE"""),670.0)</f>
        <v>670</v>
      </c>
      <c r="C303" s="2">
        <f>IFERROR(__xludf.DUMMYFUNCTION("""COMPUTED_VALUE"""),675.0)</f>
        <v>675</v>
      </c>
      <c r="D303" s="2">
        <f>IFERROR(__xludf.DUMMYFUNCTION("""COMPUTED_VALUE"""),660.0)</f>
        <v>660</v>
      </c>
      <c r="E303" s="2">
        <f>IFERROR(__xludf.DUMMYFUNCTION("""COMPUTED_VALUE"""),665.0)</f>
        <v>665</v>
      </c>
      <c r="F303" s="2">
        <f>IFERROR(__xludf.DUMMYFUNCTION("""COMPUTED_VALUE"""),1.9087E7)</f>
        <v>19087000</v>
      </c>
      <c r="G303" s="2">
        <f t="shared" si="1"/>
        <v>15</v>
      </c>
    </row>
    <row r="304" ht="15.75" customHeight="1">
      <c r="A304" s="1">
        <f>IFERROR(__xludf.DUMMYFUNCTION("""COMPUTED_VALUE"""),44966.66666666667)</f>
        <v>44966.66667</v>
      </c>
      <c r="B304" s="2">
        <f>IFERROR(__xludf.DUMMYFUNCTION("""COMPUTED_VALUE"""),665.0)</f>
        <v>665</v>
      </c>
      <c r="C304" s="2">
        <f>IFERROR(__xludf.DUMMYFUNCTION("""COMPUTED_VALUE"""),675.0)</f>
        <v>675</v>
      </c>
      <c r="D304" s="2">
        <f>IFERROR(__xludf.DUMMYFUNCTION("""COMPUTED_VALUE"""),655.0)</f>
        <v>655</v>
      </c>
      <c r="E304" s="2">
        <f>IFERROR(__xludf.DUMMYFUNCTION("""COMPUTED_VALUE"""),665.0)</f>
        <v>665</v>
      </c>
      <c r="F304" s="2">
        <f>IFERROR(__xludf.DUMMYFUNCTION("""COMPUTED_VALUE"""),2.08975E7)</f>
        <v>20897500</v>
      </c>
      <c r="G304" s="2">
        <f t="shared" si="1"/>
        <v>20</v>
      </c>
    </row>
    <row r="305" ht="15.75" customHeight="1">
      <c r="A305" s="1">
        <f>IFERROR(__xludf.DUMMYFUNCTION("""COMPUTED_VALUE"""),44967.66666666667)</f>
        <v>44967.66667</v>
      </c>
      <c r="B305" s="2">
        <f>IFERROR(__xludf.DUMMYFUNCTION("""COMPUTED_VALUE"""),670.0)</f>
        <v>670</v>
      </c>
      <c r="C305" s="2">
        <f>IFERROR(__xludf.DUMMYFUNCTION("""COMPUTED_VALUE"""),675.0)</f>
        <v>675</v>
      </c>
      <c r="D305" s="2">
        <f>IFERROR(__xludf.DUMMYFUNCTION("""COMPUTED_VALUE"""),665.0)</f>
        <v>665</v>
      </c>
      <c r="E305" s="2">
        <f>IFERROR(__xludf.DUMMYFUNCTION("""COMPUTED_VALUE"""),670.0)</f>
        <v>670</v>
      </c>
      <c r="F305" s="2">
        <f>IFERROR(__xludf.DUMMYFUNCTION("""COMPUTED_VALUE"""),1.3688E7)</f>
        <v>13688000</v>
      </c>
      <c r="G305" s="2">
        <f t="shared" si="1"/>
        <v>10</v>
      </c>
    </row>
    <row r="306" ht="15.75" customHeight="1">
      <c r="A306" s="1">
        <f>IFERROR(__xludf.DUMMYFUNCTION("""COMPUTED_VALUE"""),44970.66666666667)</f>
        <v>44970.66667</v>
      </c>
      <c r="B306" s="2">
        <f>IFERROR(__xludf.DUMMYFUNCTION("""COMPUTED_VALUE"""),670.0)</f>
        <v>670</v>
      </c>
      <c r="C306" s="2">
        <f>IFERROR(__xludf.DUMMYFUNCTION("""COMPUTED_VALUE"""),675.0)</f>
        <v>675</v>
      </c>
      <c r="D306" s="2">
        <f>IFERROR(__xludf.DUMMYFUNCTION("""COMPUTED_VALUE"""),670.0)</f>
        <v>670</v>
      </c>
      <c r="E306" s="2">
        <f>IFERROR(__xludf.DUMMYFUNCTION("""COMPUTED_VALUE"""),675.0)</f>
        <v>675</v>
      </c>
      <c r="F306" s="2">
        <f>IFERROR(__xludf.DUMMYFUNCTION("""COMPUTED_VALUE"""),1.91762E7)</f>
        <v>19176200</v>
      </c>
      <c r="G306" s="2">
        <f t="shared" si="1"/>
        <v>5</v>
      </c>
    </row>
    <row r="307" ht="15.75" customHeight="1">
      <c r="A307" s="1">
        <f>IFERROR(__xludf.DUMMYFUNCTION("""COMPUTED_VALUE"""),44971.66666666667)</f>
        <v>44971.66667</v>
      </c>
      <c r="B307" s="2">
        <f>IFERROR(__xludf.DUMMYFUNCTION("""COMPUTED_VALUE"""),675.0)</f>
        <v>675</v>
      </c>
      <c r="C307" s="2">
        <f>IFERROR(__xludf.DUMMYFUNCTION("""COMPUTED_VALUE"""),700.0)</f>
        <v>700</v>
      </c>
      <c r="D307" s="2">
        <f>IFERROR(__xludf.DUMMYFUNCTION("""COMPUTED_VALUE"""),670.0)</f>
        <v>670</v>
      </c>
      <c r="E307" s="2">
        <f>IFERROR(__xludf.DUMMYFUNCTION("""COMPUTED_VALUE"""),700.0)</f>
        <v>700</v>
      </c>
      <c r="F307" s="2">
        <f>IFERROR(__xludf.DUMMYFUNCTION("""COMPUTED_VALUE"""),4.70393E7)</f>
        <v>47039300</v>
      </c>
      <c r="G307" s="2">
        <f t="shared" si="1"/>
        <v>30</v>
      </c>
    </row>
    <row r="308" ht="15.75" customHeight="1">
      <c r="A308" s="1">
        <f>IFERROR(__xludf.DUMMYFUNCTION("""COMPUTED_VALUE"""),44972.66666666667)</f>
        <v>44972.66667</v>
      </c>
      <c r="B308" s="2">
        <f>IFERROR(__xludf.DUMMYFUNCTION("""COMPUTED_VALUE"""),700.0)</f>
        <v>700</v>
      </c>
      <c r="C308" s="2">
        <f>IFERROR(__xludf.DUMMYFUNCTION("""COMPUTED_VALUE"""),705.0)</f>
        <v>705</v>
      </c>
      <c r="D308" s="2">
        <f>IFERROR(__xludf.DUMMYFUNCTION("""COMPUTED_VALUE"""),690.0)</f>
        <v>690</v>
      </c>
      <c r="E308" s="2">
        <f>IFERROR(__xludf.DUMMYFUNCTION("""COMPUTED_VALUE"""),700.0)</f>
        <v>700</v>
      </c>
      <c r="F308" s="2">
        <f>IFERROR(__xludf.DUMMYFUNCTION("""COMPUTED_VALUE"""),4.29352E7)</f>
        <v>42935200</v>
      </c>
      <c r="G308" s="2">
        <f t="shared" si="1"/>
        <v>15</v>
      </c>
    </row>
    <row r="309" ht="15.75" customHeight="1">
      <c r="A309" s="1">
        <f>IFERROR(__xludf.DUMMYFUNCTION("""COMPUTED_VALUE"""),44973.66666666667)</f>
        <v>44973.66667</v>
      </c>
      <c r="B309" s="2">
        <f>IFERROR(__xludf.DUMMYFUNCTION("""COMPUTED_VALUE"""),700.0)</f>
        <v>700</v>
      </c>
      <c r="C309" s="2">
        <f>IFERROR(__xludf.DUMMYFUNCTION("""COMPUTED_VALUE"""),715.0)</f>
        <v>715</v>
      </c>
      <c r="D309" s="2">
        <f>IFERROR(__xludf.DUMMYFUNCTION("""COMPUTED_VALUE"""),695.0)</f>
        <v>695</v>
      </c>
      <c r="E309" s="2">
        <f>IFERROR(__xludf.DUMMYFUNCTION("""COMPUTED_VALUE"""),710.0)</f>
        <v>710</v>
      </c>
      <c r="F309" s="2">
        <f>IFERROR(__xludf.DUMMYFUNCTION("""COMPUTED_VALUE"""),2.76179E7)</f>
        <v>27617900</v>
      </c>
      <c r="G309" s="2">
        <f t="shared" si="1"/>
        <v>20</v>
      </c>
    </row>
    <row r="310" ht="15.75" customHeight="1">
      <c r="A310" s="1">
        <f>IFERROR(__xludf.DUMMYFUNCTION("""COMPUTED_VALUE"""),44974.66666666667)</f>
        <v>44974.66667</v>
      </c>
      <c r="B310" s="2">
        <f>IFERROR(__xludf.DUMMYFUNCTION("""COMPUTED_VALUE"""),710.0)</f>
        <v>710</v>
      </c>
      <c r="C310" s="2">
        <f>IFERROR(__xludf.DUMMYFUNCTION("""COMPUTED_VALUE"""),715.0)</f>
        <v>715</v>
      </c>
      <c r="D310" s="2">
        <f>IFERROR(__xludf.DUMMYFUNCTION("""COMPUTED_VALUE"""),705.0)</f>
        <v>705</v>
      </c>
      <c r="E310" s="2">
        <f>IFERROR(__xludf.DUMMYFUNCTION("""COMPUTED_VALUE"""),710.0)</f>
        <v>710</v>
      </c>
      <c r="F310" s="2">
        <f>IFERROR(__xludf.DUMMYFUNCTION("""COMPUTED_VALUE"""),2.34952E7)</f>
        <v>23495200</v>
      </c>
      <c r="G310" s="2">
        <f t="shared" si="1"/>
        <v>10</v>
      </c>
    </row>
    <row r="311" ht="15.75" customHeight="1">
      <c r="A311" s="1">
        <f>IFERROR(__xludf.DUMMYFUNCTION("""COMPUTED_VALUE"""),44977.66666666667)</f>
        <v>44977.66667</v>
      </c>
      <c r="B311" s="2">
        <f>IFERROR(__xludf.DUMMYFUNCTION("""COMPUTED_VALUE"""),710.0)</f>
        <v>710</v>
      </c>
      <c r="C311" s="2">
        <f>IFERROR(__xludf.DUMMYFUNCTION("""COMPUTED_VALUE"""),715.0)</f>
        <v>715</v>
      </c>
      <c r="D311" s="2">
        <f>IFERROR(__xludf.DUMMYFUNCTION("""COMPUTED_VALUE"""),710.0)</f>
        <v>710</v>
      </c>
      <c r="E311" s="2">
        <f>IFERROR(__xludf.DUMMYFUNCTION("""COMPUTED_VALUE"""),715.0)</f>
        <v>715</v>
      </c>
      <c r="F311" s="2">
        <f>IFERROR(__xludf.DUMMYFUNCTION("""COMPUTED_VALUE"""),1.25811E7)</f>
        <v>12581100</v>
      </c>
      <c r="G311" s="2">
        <f t="shared" si="1"/>
        <v>5</v>
      </c>
    </row>
    <row r="312" ht="15.75" customHeight="1">
      <c r="A312" s="1">
        <f>IFERROR(__xludf.DUMMYFUNCTION("""COMPUTED_VALUE"""),44978.66666666667)</f>
        <v>44978.66667</v>
      </c>
      <c r="B312" s="2">
        <f>IFERROR(__xludf.DUMMYFUNCTION("""COMPUTED_VALUE"""),715.0)</f>
        <v>715</v>
      </c>
      <c r="C312" s="2">
        <f>IFERROR(__xludf.DUMMYFUNCTION("""COMPUTED_VALUE"""),720.0)</f>
        <v>720</v>
      </c>
      <c r="D312" s="2">
        <f>IFERROR(__xludf.DUMMYFUNCTION("""COMPUTED_VALUE"""),710.0)</f>
        <v>710</v>
      </c>
      <c r="E312" s="2">
        <f>IFERROR(__xludf.DUMMYFUNCTION("""COMPUTED_VALUE"""),715.0)</f>
        <v>715</v>
      </c>
      <c r="F312" s="2">
        <f>IFERROR(__xludf.DUMMYFUNCTION("""COMPUTED_VALUE"""),1.88006E7)</f>
        <v>18800600</v>
      </c>
      <c r="G312" s="2">
        <f t="shared" si="1"/>
        <v>10</v>
      </c>
    </row>
    <row r="313" ht="15.75" customHeight="1">
      <c r="A313" s="1">
        <f>IFERROR(__xludf.DUMMYFUNCTION("""COMPUTED_VALUE"""),44979.66666666667)</f>
        <v>44979.66667</v>
      </c>
      <c r="B313" s="2">
        <f>IFERROR(__xludf.DUMMYFUNCTION("""COMPUTED_VALUE"""),715.0)</f>
        <v>715</v>
      </c>
      <c r="C313" s="2">
        <f>IFERROR(__xludf.DUMMYFUNCTION("""COMPUTED_VALUE"""),715.0)</f>
        <v>715</v>
      </c>
      <c r="D313" s="2">
        <f>IFERROR(__xludf.DUMMYFUNCTION("""COMPUTED_VALUE"""),705.0)</f>
        <v>705</v>
      </c>
      <c r="E313" s="2">
        <f>IFERROR(__xludf.DUMMYFUNCTION("""COMPUTED_VALUE"""),715.0)</f>
        <v>715</v>
      </c>
      <c r="F313" s="2">
        <f>IFERROR(__xludf.DUMMYFUNCTION("""COMPUTED_VALUE"""),2.73684E7)</f>
        <v>27368400</v>
      </c>
      <c r="G313" s="2">
        <f t="shared" si="1"/>
        <v>10</v>
      </c>
    </row>
    <row r="314" ht="15.75" customHeight="1">
      <c r="A314" s="1">
        <f>IFERROR(__xludf.DUMMYFUNCTION("""COMPUTED_VALUE"""),44980.66666666667)</f>
        <v>44980.66667</v>
      </c>
      <c r="B314" s="2">
        <f>IFERROR(__xludf.DUMMYFUNCTION("""COMPUTED_VALUE"""),710.0)</f>
        <v>710</v>
      </c>
      <c r="C314" s="2">
        <f>IFERROR(__xludf.DUMMYFUNCTION("""COMPUTED_VALUE"""),715.0)</f>
        <v>715</v>
      </c>
      <c r="D314" s="2">
        <f>IFERROR(__xludf.DUMMYFUNCTION("""COMPUTED_VALUE"""),700.0)</f>
        <v>700</v>
      </c>
      <c r="E314" s="2">
        <f>IFERROR(__xludf.DUMMYFUNCTION("""COMPUTED_VALUE"""),705.0)</f>
        <v>705</v>
      </c>
      <c r="F314" s="2">
        <f>IFERROR(__xludf.DUMMYFUNCTION("""COMPUTED_VALUE"""),1.33612E7)</f>
        <v>13361200</v>
      </c>
      <c r="G314" s="2">
        <f t="shared" si="1"/>
        <v>15</v>
      </c>
    </row>
    <row r="315" ht="15.75" customHeight="1">
      <c r="A315" s="1">
        <f>IFERROR(__xludf.DUMMYFUNCTION("""COMPUTED_VALUE"""),44981.66666666667)</f>
        <v>44981.66667</v>
      </c>
      <c r="B315" s="2">
        <f>IFERROR(__xludf.DUMMYFUNCTION("""COMPUTED_VALUE"""),705.0)</f>
        <v>705</v>
      </c>
      <c r="C315" s="2">
        <f>IFERROR(__xludf.DUMMYFUNCTION("""COMPUTED_VALUE"""),710.0)</f>
        <v>710</v>
      </c>
      <c r="D315" s="2">
        <f>IFERROR(__xludf.DUMMYFUNCTION("""COMPUTED_VALUE"""),695.0)</f>
        <v>695</v>
      </c>
      <c r="E315" s="2">
        <f>IFERROR(__xludf.DUMMYFUNCTION("""COMPUTED_VALUE"""),700.0)</f>
        <v>700</v>
      </c>
      <c r="F315" s="2">
        <f>IFERROR(__xludf.DUMMYFUNCTION("""COMPUTED_VALUE"""),2.90673E7)</f>
        <v>29067300</v>
      </c>
      <c r="G315" s="2">
        <f t="shared" si="1"/>
        <v>15</v>
      </c>
    </row>
    <row r="316" ht="15.75" customHeight="1">
      <c r="A316" s="1">
        <f>IFERROR(__xludf.DUMMYFUNCTION("""COMPUTED_VALUE"""),44984.66666666667)</f>
        <v>44984.66667</v>
      </c>
      <c r="B316" s="2">
        <f>IFERROR(__xludf.DUMMYFUNCTION("""COMPUTED_VALUE"""),700.0)</f>
        <v>700</v>
      </c>
      <c r="C316" s="2">
        <f>IFERROR(__xludf.DUMMYFUNCTION("""COMPUTED_VALUE"""),700.0)</f>
        <v>700</v>
      </c>
      <c r="D316" s="2">
        <f>IFERROR(__xludf.DUMMYFUNCTION("""COMPUTED_VALUE"""),685.0)</f>
        <v>685</v>
      </c>
      <c r="E316" s="2">
        <f>IFERROR(__xludf.DUMMYFUNCTION("""COMPUTED_VALUE"""),695.0)</f>
        <v>695</v>
      </c>
      <c r="F316" s="2">
        <f>IFERROR(__xludf.DUMMYFUNCTION("""COMPUTED_VALUE"""),1.73438E7)</f>
        <v>17343800</v>
      </c>
      <c r="G316" s="2">
        <f t="shared" si="1"/>
        <v>15</v>
      </c>
    </row>
    <row r="317" ht="15.75" customHeight="1">
      <c r="A317" s="1">
        <f>IFERROR(__xludf.DUMMYFUNCTION("""COMPUTED_VALUE"""),44985.66666666667)</f>
        <v>44985.66667</v>
      </c>
      <c r="B317" s="2">
        <f>IFERROR(__xludf.DUMMYFUNCTION("""COMPUTED_VALUE"""),695.0)</f>
        <v>695</v>
      </c>
      <c r="C317" s="2">
        <f>IFERROR(__xludf.DUMMYFUNCTION("""COMPUTED_VALUE"""),700.0)</f>
        <v>700</v>
      </c>
      <c r="D317" s="2">
        <f>IFERROR(__xludf.DUMMYFUNCTION("""COMPUTED_VALUE"""),685.0)</f>
        <v>685</v>
      </c>
      <c r="E317" s="2">
        <f>IFERROR(__xludf.DUMMYFUNCTION("""COMPUTED_VALUE"""),690.0)</f>
        <v>690</v>
      </c>
      <c r="F317" s="2">
        <f>IFERROR(__xludf.DUMMYFUNCTION("""COMPUTED_VALUE"""),1.80064E7)</f>
        <v>18006400</v>
      </c>
      <c r="G317" s="2">
        <f t="shared" si="1"/>
        <v>15</v>
      </c>
    </row>
    <row r="318" ht="15.75" customHeight="1">
      <c r="A318" s="1">
        <f>IFERROR(__xludf.DUMMYFUNCTION("""COMPUTED_VALUE"""),44986.66666666667)</f>
        <v>44986.66667</v>
      </c>
      <c r="B318" s="2">
        <f>IFERROR(__xludf.DUMMYFUNCTION("""COMPUTED_VALUE"""),695.0)</f>
        <v>695</v>
      </c>
      <c r="C318" s="2">
        <f>IFERROR(__xludf.DUMMYFUNCTION("""COMPUTED_VALUE"""),700.0)</f>
        <v>700</v>
      </c>
      <c r="D318" s="2">
        <f>IFERROR(__xludf.DUMMYFUNCTION("""COMPUTED_VALUE"""),680.0)</f>
        <v>680</v>
      </c>
      <c r="E318" s="2">
        <f>IFERROR(__xludf.DUMMYFUNCTION("""COMPUTED_VALUE"""),700.0)</f>
        <v>700</v>
      </c>
      <c r="F318" s="2">
        <f>IFERROR(__xludf.DUMMYFUNCTION("""COMPUTED_VALUE"""),1.76104E7)</f>
        <v>17610400</v>
      </c>
      <c r="G318" s="2">
        <f t="shared" si="1"/>
        <v>20</v>
      </c>
    </row>
    <row r="319" ht="15.75" customHeight="1">
      <c r="A319" s="1">
        <f>IFERROR(__xludf.DUMMYFUNCTION("""COMPUTED_VALUE"""),44987.66666666667)</f>
        <v>44987.66667</v>
      </c>
      <c r="B319" s="2">
        <f>IFERROR(__xludf.DUMMYFUNCTION("""COMPUTED_VALUE"""),700.0)</f>
        <v>700</v>
      </c>
      <c r="C319" s="2">
        <f>IFERROR(__xludf.DUMMYFUNCTION("""COMPUTED_VALUE"""),705.0)</f>
        <v>705</v>
      </c>
      <c r="D319" s="2">
        <f>IFERROR(__xludf.DUMMYFUNCTION("""COMPUTED_VALUE"""),685.0)</f>
        <v>685</v>
      </c>
      <c r="E319" s="2">
        <f>IFERROR(__xludf.DUMMYFUNCTION("""COMPUTED_VALUE"""),690.0)</f>
        <v>690</v>
      </c>
      <c r="F319" s="2">
        <f>IFERROR(__xludf.DUMMYFUNCTION("""COMPUTED_VALUE"""),1.49089E7)</f>
        <v>14908900</v>
      </c>
      <c r="G319" s="2">
        <f t="shared" si="1"/>
        <v>20</v>
      </c>
    </row>
    <row r="320" ht="15.75" customHeight="1">
      <c r="A320" s="1">
        <f>IFERROR(__xludf.DUMMYFUNCTION("""COMPUTED_VALUE"""),44988.66666666667)</f>
        <v>44988.66667</v>
      </c>
      <c r="B320" s="2">
        <f>IFERROR(__xludf.DUMMYFUNCTION("""COMPUTED_VALUE"""),690.0)</f>
        <v>690</v>
      </c>
      <c r="C320" s="2">
        <f>IFERROR(__xludf.DUMMYFUNCTION("""COMPUTED_VALUE"""),695.0)</f>
        <v>695</v>
      </c>
      <c r="D320" s="2">
        <f>IFERROR(__xludf.DUMMYFUNCTION("""COMPUTED_VALUE"""),680.0)</f>
        <v>680</v>
      </c>
      <c r="E320" s="2">
        <f>IFERROR(__xludf.DUMMYFUNCTION("""COMPUTED_VALUE"""),685.0)</f>
        <v>685</v>
      </c>
      <c r="F320" s="2">
        <f>IFERROR(__xludf.DUMMYFUNCTION("""COMPUTED_VALUE"""),1.5676E7)</f>
        <v>15676000</v>
      </c>
      <c r="G320" s="2">
        <f t="shared" si="1"/>
        <v>15</v>
      </c>
    </row>
    <row r="321" ht="15.75" customHeight="1">
      <c r="A321" s="1">
        <f>IFERROR(__xludf.DUMMYFUNCTION("""COMPUTED_VALUE"""),44991.66666666667)</f>
        <v>44991.66667</v>
      </c>
      <c r="B321" s="2">
        <f>IFERROR(__xludf.DUMMYFUNCTION("""COMPUTED_VALUE"""),685.0)</f>
        <v>685</v>
      </c>
      <c r="C321" s="2">
        <f>IFERROR(__xludf.DUMMYFUNCTION("""COMPUTED_VALUE"""),705.0)</f>
        <v>705</v>
      </c>
      <c r="D321" s="2">
        <f>IFERROR(__xludf.DUMMYFUNCTION("""COMPUTED_VALUE"""),680.0)</f>
        <v>680</v>
      </c>
      <c r="E321" s="2">
        <f>IFERROR(__xludf.DUMMYFUNCTION("""COMPUTED_VALUE"""),695.0)</f>
        <v>695</v>
      </c>
      <c r="F321" s="2">
        <f>IFERROR(__xludf.DUMMYFUNCTION("""COMPUTED_VALUE"""),1.9294E7)</f>
        <v>19294000</v>
      </c>
      <c r="G321" s="2">
        <f t="shared" si="1"/>
        <v>25</v>
      </c>
    </row>
    <row r="322" ht="15.75" customHeight="1">
      <c r="A322" s="1">
        <f>IFERROR(__xludf.DUMMYFUNCTION("""COMPUTED_VALUE"""),44992.66666666667)</f>
        <v>44992.66667</v>
      </c>
      <c r="B322" s="2">
        <f>IFERROR(__xludf.DUMMYFUNCTION("""COMPUTED_VALUE"""),700.0)</f>
        <v>700</v>
      </c>
      <c r="C322" s="2">
        <f>IFERROR(__xludf.DUMMYFUNCTION("""COMPUTED_VALUE"""),720.0)</f>
        <v>720</v>
      </c>
      <c r="D322" s="2">
        <f>IFERROR(__xludf.DUMMYFUNCTION("""COMPUTED_VALUE"""),695.0)</f>
        <v>695</v>
      </c>
      <c r="E322" s="2">
        <f>IFERROR(__xludf.DUMMYFUNCTION("""COMPUTED_VALUE"""),710.0)</f>
        <v>710</v>
      </c>
      <c r="F322" s="2">
        <f>IFERROR(__xludf.DUMMYFUNCTION("""COMPUTED_VALUE"""),4.68129E7)</f>
        <v>46812900</v>
      </c>
      <c r="G322" s="2">
        <f t="shared" si="1"/>
        <v>25</v>
      </c>
    </row>
    <row r="323" ht="15.75" customHeight="1">
      <c r="A323" s="1">
        <f>IFERROR(__xludf.DUMMYFUNCTION("""COMPUTED_VALUE"""),44993.66666666667)</f>
        <v>44993.66667</v>
      </c>
      <c r="B323" s="2">
        <f>IFERROR(__xludf.DUMMYFUNCTION("""COMPUTED_VALUE"""),710.0)</f>
        <v>710</v>
      </c>
      <c r="C323" s="2">
        <f>IFERROR(__xludf.DUMMYFUNCTION("""COMPUTED_VALUE"""),735.0)</f>
        <v>735</v>
      </c>
      <c r="D323" s="2">
        <f>IFERROR(__xludf.DUMMYFUNCTION("""COMPUTED_VALUE"""),705.0)</f>
        <v>705</v>
      </c>
      <c r="E323" s="2">
        <f>IFERROR(__xludf.DUMMYFUNCTION("""COMPUTED_VALUE"""),730.0)</f>
        <v>730</v>
      </c>
      <c r="F323" s="2">
        <f>IFERROR(__xludf.DUMMYFUNCTION("""COMPUTED_VALUE"""),4.61891E7)</f>
        <v>46189100</v>
      </c>
      <c r="G323" s="2">
        <f t="shared" si="1"/>
        <v>30</v>
      </c>
    </row>
    <row r="324" ht="15.75" customHeight="1">
      <c r="A324" s="1">
        <f>IFERROR(__xludf.DUMMYFUNCTION("""COMPUTED_VALUE"""),44994.66666666667)</f>
        <v>44994.66667</v>
      </c>
      <c r="B324" s="2">
        <f>IFERROR(__xludf.DUMMYFUNCTION("""COMPUTED_VALUE"""),730.0)</f>
        <v>730</v>
      </c>
      <c r="C324" s="2">
        <f>IFERROR(__xludf.DUMMYFUNCTION("""COMPUTED_VALUE"""),735.0)</f>
        <v>735</v>
      </c>
      <c r="D324" s="2">
        <f>IFERROR(__xludf.DUMMYFUNCTION("""COMPUTED_VALUE"""),715.0)</f>
        <v>715</v>
      </c>
      <c r="E324" s="2">
        <f>IFERROR(__xludf.DUMMYFUNCTION("""COMPUTED_VALUE"""),720.0)</f>
        <v>720</v>
      </c>
      <c r="F324" s="2">
        <f>IFERROR(__xludf.DUMMYFUNCTION("""COMPUTED_VALUE"""),2.48953E7)</f>
        <v>24895300</v>
      </c>
      <c r="G324" s="2">
        <f t="shared" si="1"/>
        <v>20</v>
      </c>
    </row>
    <row r="325" ht="15.75" customHeight="1">
      <c r="A325" s="1">
        <f>IFERROR(__xludf.DUMMYFUNCTION("""COMPUTED_VALUE"""),44995.66666666667)</f>
        <v>44995.66667</v>
      </c>
      <c r="B325" s="2">
        <f>IFERROR(__xludf.DUMMYFUNCTION("""COMPUTED_VALUE"""),720.0)</f>
        <v>720</v>
      </c>
      <c r="C325" s="2">
        <f>IFERROR(__xludf.DUMMYFUNCTION("""COMPUTED_VALUE"""),725.0)</f>
        <v>725</v>
      </c>
      <c r="D325" s="2">
        <f>IFERROR(__xludf.DUMMYFUNCTION("""COMPUTED_VALUE"""),705.0)</f>
        <v>705</v>
      </c>
      <c r="E325" s="2">
        <f>IFERROR(__xludf.DUMMYFUNCTION("""COMPUTED_VALUE"""),720.0)</f>
        <v>720</v>
      </c>
      <c r="F325" s="2">
        <f>IFERROR(__xludf.DUMMYFUNCTION("""COMPUTED_VALUE"""),2.00098E7)</f>
        <v>20009800</v>
      </c>
      <c r="G325" s="2">
        <f t="shared" si="1"/>
        <v>20</v>
      </c>
    </row>
    <row r="326" ht="15.75" customHeight="1">
      <c r="A326" s="1">
        <f>IFERROR(__xludf.DUMMYFUNCTION("""COMPUTED_VALUE"""),44998.66666666667)</f>
        <v>44998.66667</v>
      </c>
      <c r="B326" s="2">
        <f>IFERROR(__xludf.DUMMYFUNCTION("""COMPUTED_VALUE"""),720.0)</f>
        <v>720</v>
      </c>
      <c r="C326" s="2">
        <f>IFERROR(__xludf.DUMMYFUNCTION("""COMPUTED_VALUE"""),720.0)</f>
        <v>720</v>
      </c>
      <c r="D326" s="2">
        <f>IFERROR(__xludf.DUMMYFUNCTION("""COMPUTED_VALUE"""),705.0)</f>
        <v>705</v>
      </c>
      <c r="E326" s="2">
        <f>IFERROR(__xludf.DUMMYFUNCTION("""COMPUTED_VALUE"""),705.0)</f>
        <v>705</v>
      </c>
      <c r="F326" s="2">
        <f>IFERROR(__xludf.DUMMYFUNCTION("""COMPUTED_VALUE"""),1.42434E7)</f>
        <v>14243400</v>
      </c>
      <c r="G326" s="2">
        <f t="shared" si="1"/>
        <v>15</v>
      </c>
    </row>
    <row r="327" ht="15.75" customHeight="1">
      <c r="A327" s="1">
        <f>IFERROR(__xludf.DUMMYFUNCTION("""COMPUTED_VALUE"""),44999.66666666667)</f>
        <v>44999.66667</v>
      </c>
      <c r="B327" s="2">
        <f>IFERROR(__xludf.DUMMYFUNCTION("""COMPUTED_VALUE"""),710.0)</f>
        <v>710</v>
      </c>
      <c r="C327" s="2">
        <f>IFERROR(__xludf.DUMMYFUNCTION("""COMPUTED_VALUE"""),710.0)</f>
        <v>710</v>
      </c>
      <c r="D327" s="2">
        <f>IFERROR(__xludf.DUMMYFUNCTION("""COMPUTED_VALUE"""),695.0)</f>
        <v>695</v>
      </c>
      <c r="E327" s="2">
        <f>IFERROR(__xludf.DUMMYFUNCTION("""COMPUTED_VALUE"""),695.0)</f>
        <v>695</v>
      </c>
      <c r="F327" s="2">
        <f>IFERROR(__xludf.DUMMYFUNCTION("""COMPUTED_VALUE"""),2.30627E7)</f>
        <v>23062700</v>
      </c>
      <c r="G327" s="2">
        <f t="shared" si="1"/>
        <v>15</v>
      </c>
    </row>
    <row r="328" ht="15.75" customHeight="1">
      <c r="A328" s="1">
        <f>IFERROR(__xludf.DUMMYFUNCTION("""COMPUTED_VALUE"""),45000.66666666667)</f>
        <v>45000.66667</v>
      </c>
      <c r="B328" s="2">
        <f>IFERROR(__xludf.DUMMYFUNCTION("""COMPUTED_VALUE"""),700.0)</f>
        <v>700</v>
      </c>
      <c r="C328" s="2">
        <f>IFERROR(__xludf.DUMMYFUNCTION("""COMPUTED_VALUE"""),720.0)</f>
        <v>720</v>
      </c>
      <c r="D328" s="2">
        <f>IFERROR(__xludf.DUMMYFUNCTION("""COMPUTED_VALUE"""),695.0)</f>
        <v>695</v>
      </c>
      <c r="E328" s="2">
        <f>IFERROR(__xludf.DUMMYFUNCTION("""COMPUTED_VALUE"""),720.0)</f>
        <v>720</v>
      </c>
      <c r="F328" s="2">
        <f>IFERROR(__xludf.DUMMYFUNCTION("""COMPUTED_VALUE"""),3.17341E7)</f>
        <v>31734100</v>
      </c>
      <c r="G328" s="2">
        <f t="shared" si="1"/>
        <v>25</v>
      </c>
    </row>
    <row r="329" ht="15.75" customHeight="1">
      <c r="A329" s="1">
        <f>IFERROR(__xludf.DUMMYFUNCTION("""COMPUTED_VALUE"""),45001.66666666667)</f>
        <v>45001.66667</v>
      </c>
      <c r="B329" s="2">
        <f>IFERROR(__xludf.DUMMYFUNCTION("""COMPUTED_VALUE"""),715.0)</f>
        <v>715</v>
      </c>
      <c r="C329" s="2">
        <f>IFERROR(__xludf.DUMMYFUNCTION("""COMPUTED_VALUE"""),720.0)</f>
        <v>720</v>
      </c>
      <c r="D329" s="2">
        <f>IFERROR(__xludf.DUMMYFUNCTION("""COMPUTED_VALUE"""),705.0)</f>
        <v>705</v>
      </c>
      <c r="E329" s="2">
        <f>IFERROR(__xludf.DUMMYFUNCTION("""COMPUTED_VALUE"""),720.0)</f>
        <v>720</v>
      </c>
      <c r="F329" s="2">
        <f>IFERROR(__xludf.DUMMYFUNCTION("""COMPUTED_VALUE"""),3.11589E7)</f>
        <v>31158900</v>
      </c>
      <c r="G329" s="2">
        <f t="shared" si="1"/>
        <v>15</v>
      </c>
    </row>
    <row r="330" ht="15.75" customHeight="1">
      <c r="A330" s="1">
        <f>IFERROR(__xludf.DUMMYFUNCTION("""COMPUTED_VALUE"""),45002.66666666667)</f>
        <v>45002.66667</v>
      </c>
      <c r="B330" s="2">
        <f>IFERROR(__xludf.DUMMYFUNCTION("""COMPUTED_VALUE"""),720.0)</f>
        <v>720</v>
      </c>
      <c r="C330" s="2">
        <f>IFERROR(__xludf.DUMMYFUNCTION("""COMPUTED_VALUE"""),760.0)</f>
        <v>760</v>
      </c>
      <c r="D330" s="2">
        <f>IFERROR(__xludf.DUMMYFUNCTION("""COMPUTED_VALUE"""),715.0)</f>
        <v>715</v>
      </c>
      <c r="E330" s="2">
        <f>IFERROR(__xludf.DUMMYFUNCTION("""COMPUTED_VALUE"""),760.0)</f>
        <v>760</v>
      </c>
      <c r="F330" s="2">
        <f>IFERROR(__xludf.DUMMYFUNCTION("""COMPUTED_VALUE"""),6.73898E7)</f>
        <v>67389800</v>
      </c>
      <c r="G330" s="2">
        <f t="shared" si="1"/>
        <v>45</v>
      </c>
    </row>
    <row r="331" ht="15.75" customHeight="1">
      <c r="A331" s="1">
        <f>IFERROR(__xludf.DUMMYFUNCTION("""COMPUTED_VALUE"""),45005.66666666667)</f>
        <v>45005.66667</v>
      </c>
      <c r="B331" s="2">
        <f>IFERROR(__xludf.DUMMYFUNCTION("""COMPUTED_VALUE"""),745.0)</f>
        <v>745</v>
      </c>
      <c r="C331" s="2">
        <f>IFERROR(__xludf.DUMMYFUNCTION("""COMPUTED_VALUE"""),750.0)</f>
        <v>750</v>
      </c>
      <c r="D331" s="2">
        <f>IFERROR(__xludf.DUMMYFUNCTION("""COMPUTED_VALUE"""),730.0)</f>
        <v>730</v>
      </c>
      <c r="E331" s="2">
        <f>IFERROR(__xludf.DUMMYFUNCTION("""COMPUTED_VALUE"""),745.0)</f>
        <v>745</v>
      </c>
      <c r="F331" s="2">
        <f>IFERROR(__xludf.DUMMYFUNCTION("""COMPUTED_VALUE"""),3.33945E7)</f>
        <v>33394500</v>
      </c>
      <c r="G331" s="2">
        <f t="shared" si="1"/>
        <v>30</v>
      </c>
    </row>
    <row r="332" ht="15.75" customHeight="1">
      <c r="A332" s="1">
        <f>IFERROR(__xludf.DUMMYFUNCTION("""COMPUTED_VALUE"""),45006.66666666667)</f>
        <v>45006.66667</v>
      </c>
      <c r="B332" s="2">
        <f>IFERROR(__xludf.DUMMYFUNCTION("""COMPUTED_VALUE"""),740.0)</f>
        <v>740</v>
      </c>
      <c r="C332" s="2">
        <f>IFERROR(__xludf.DUMMYFUNCTION("""COMPUTED_VALUE"""),750.0)</f>
        <v>750</v>
      </c>
      <c r="D332" s="2">
        <f>IFERROR(__xludf.DUMMYFUNCTION("""COMPUTED_VALUE"""),730.0)</f>
        <v>730</v>
      </c>
      <c r="E332" s="2">
        <f>IFERROR(__xludf.DUMMYFUNCTION("""COMPUTED_VALUE"""),745.0)</f>
        <v>745</v>
      </c>
      <c r="F332" s="2">
        <f>IFERROR(__xludf.DUMMYFUNCTION("""COMPUTED_VALUE"""),2.64656E7)</f>
        <v>26465600</v>
      </c>
      <c r="G332" s="2">
        <f t="shared" si="1"/>
        <v>20</v>
      </c>
    </row>
    <row r="333" ht="15.75" customHeight="1">
      <c r="A333" s="1">
        <f>IFERROR(__xludf.DUMMYFUNCTION("""COMPUTED_VALUE"""),45009.66666666667)</f>
        <v>45009.66667</v>
      </c>
      <c r="B333" s="2">
        <f>IFERROR(__xludf.DUMMYFUNCTION("""COMPUTED_VALUE"""),745.0)</f>
        <v>745</v>
      </c>
      <c r="C333" s="2">
        <f>IFERROR(__xludf.DUMMYFUNCTION("""COMPUTED_VALUE"""),745.0)</f>
        <v>745</v>
      </c>
      <c r="D333" s="2">
        <f>IFERROR(__xludf.DUMMYFUNCTION("""COMPUTED_VALUE"""),720.0)</f>
        <v>720</v>
      </c>
      <c r="E333" s="2">
        <f>IFERROR(__xludf.DUMMYFUNCTION("""COMPUTED_VALUE"""),725.0)</f>
        <v>725</v>
      </c>
      <c r="F333" s="2">
        <f>IFERROR(__xludf.DUMMYFUNCTION("""COMPUTED_VALUE"""),2.43558E7)</f>
        <v>24355800</v>
      </c>
      <c r="G333" s="2">
        <f t="shared" si="1"/>
        <v>25</v>
      </c>
    </row>
    <row r="334" ht="15.75" customHeight="1">
      <c r="A334" s="1">
        <f>IFERROR(__xludf.DUMMYFUNCTION("""COMPUTED_VALUE"""),45012.66666666667)</f>
        <v>45012.66667</v>
      </c>
      <c r="B334" s="2">
        <f>IFERROR(__xludf.DUMMYFUNCTION("""COMPUTED_VALUE"""),725.0)</f>
        <v>725</v>
      </c>
      <c r="C334" s="2">
        <f>IFERROR(__xludf.DUMMYFUNCTION("""COMPUTED_VALUE"""),725.0)</f>
        <v>725</v>
      </c>
      <c r="D334" s="2">
        <f>IFERROR(__xludf.DUMMYFUNCTION("""COMPUTED_VALUE"""),710.0)</f>
        <v>710</v>
      </c>
      <c r="E334" s="2">
        <f>IFERROR(__xludf.DUMMYFUNCTION("""COMPUTED_VALUE"""),710.0)</f>
        <v>710</v>
      </c>
      <c r="F334" s="2">
        <f>IFERROR(__xludf.DUMMYFUNCTION("""COMPUTED_VALUE"""),2.37777E7)</f>
        <v>23777700</v>
      </c>
      <c r="G334" s="2">
        <f t="shared" si="1"/>
        <v>15</v>
      </c>
    </row>
    <row r="335" ht="15.75" customHeight="1">
      <c r="A335" s="1">
        <f>IFERROR(__xludf.DUMMYFUNCTION("""COMPUTED_VALUE"""),45013.66666666667)</f>
        <v>45013.66667</v>
      </c>
      <c r="B335" s="2">
        <f>IFERROR(__xludf.DUMMYFUNCTION("""COMPUTED_VALUE"""),710.0)</f>
        <v>710</v>
      </c>
      <c r="C335" s="2">
        <f>IFERROR(__xludf.DUMMYFUNCTION("""COMPUTED_VALUE"""),720.0)</f>
        <v>720</v>
      </c>
      <c r="D335" s="2">
        <f>IFERROR(__xludf.DUMMYFUNCTION("""COMPUTED_VALUE"""),705.0)</f>
        <v>705</v>
      </c>
      <c r="E335" s="2">
        <f>IFERROR(__xludf.DUMMYFUNCTION("""COMPUTED_VALUE"""),710.0)</f>
        <v>710</v>
      </c>
      <c r="F335" s="2">
        <f>IFERROR(__xludf.DUMMYFUNCTION("""COMPUTED_VALUE"""),1.71498E7)</f>
        <v>17149800</v>
      </c>
      <c r="G335" s="2">
        <f t="shared" si="1"/>
        <v>15</v>
      </c>
    </row>
    <row r="336" ht="15.75" customHeight="1">
      <c r="A336" s="1">
        <f>IFERROR(__xludf.DUMMYFUNCTION("""COMPUTED_VALUE"""),45014.66666666667)</f>
        <v>45014.66667</v>
      </c>
      <c r="B336" s="2">
        <f>IFERROR(__xludf.DUMMYFUNCTION("""COMPUTED_VALUE"""),710.0)</f>
        <v>710</v>
      </c>
      <c r="C336" s="2">
        <f>IFERROR(__xludf.DUMMYFUNCTION("""COMPUTED_VALUE"""),720.0)</f>
        <v>720</v>
      </c>
      <c r="D336" s="2">
        <f>IFERROR(__xludf.DUMMYFUNCTION("""COMPUTED_VALUE"""),705.0)</f>
        <v>705</v>
      </c>
      <c r="E336" s="2">
        <f>IFERROR(__xludf.DUMMYFUNCTION("""COMPUTED_VALUE"""),715.0)</f>
        <v>715</v>
      </c>
      <c r="F336" s="2">
        <f>IFERROR(__xludf.DUMMYFUNCTION("""COMPUTED_VALUE"""),1.99566E7)</f>
        <v>19956600</v>
      </c>
      <c r="G336" s="2">
        <f t="shared" si="1"/>
        <v>15</v>
      </c>
    </row>
    <row r="337" ht="15.75" customHeight="1">
      <c r="A337" s="1">
        <f>IFERROR(__xludf.DUMMYFUNCTION("""COMPUTED_VALUE"""),45015.66666666667)</f>
        <v>45015.66667</v>
      </c>
      <c r="B337" s="2">
        <f>IFERROR(__xludf.DUMMYFUNCTION("""COMPUTED_VALUE"""),715.0)</f>
        <v>715</v>
      </c>
      <c r="C337" s="2">
        <f>IFERROR(__xludf.DUMMYFUNCTION("""COMPUTED_VALUE"""),720.0)</f>
        <v>720</v>
      </c>
      <c r="D337" s="2">
        <f>IFERROR(__xludf.DUMMYFUNCTION("""COMPUTED_VALUE"""),705.0)</f>
        <v>705</v>
      </c>
      <c r="E337" s="2">
        <f>IFERROR(__xludf.DUMMYFUNCTION("""COMPUTED_VALUE"""),710.0)</f>
        <v>710</v>
      </c>
      <c r="F337" s="2">
        <f>IFERROR(__xludf.DUMMYFUNCTION("""COMPUTED_VALUE"""),2.275E7)</f>
        <v>22750000</v>
      </c>
      <c r="G337" s="2">
        <f t="shared" si="1"/>
        <v>15</v>
      </c>
    </row>
    <row r="338" ht="15.75" customHeight="1">
      <c r="A338" s="1">
        <f>IFERROR(__xludf.DUMMYFUNCTION("""COMPUTED_VALUE"""),45016.66666666667)</f>
        <v>45016.66667</v>
      </c>
      <c r="B338" s="2">
        <f>IFERROR(__xludf.DUMMYFUNCTION("""COMPUTED_VALUE"""),710.0)</f>
        <v>710</v>
      </c>
      <c r="C338" s="2">
        <f>IFERROR(__xludf.DUMMYFUNCTION("""COMPUTED_VALUE"""),710.0)</f>
        <v>710</v>
      </c>
      <c r="D338" s="2">
        <f>IFERROR(__xludf.DUMMYFUNCTION("""COMPUTED_VALUE"""),700.0)</f>
        <v>700</v>
      </c>
      <c r="E338" s="2">
        <f>IFERROR(__xludf.DUMMYFUNCTION("""COMPUTED_VALUE"""),705.0)</f>
        <v>705</v>
      </c>
      <c r="F338" s="2">
        <f>IFERROR(__xludf.DUMMYFUNCTION("""COMPUTED_VALUE"""),2.49262E7)</f>
        <v>24926200</v>
      </c>
      <c r="G338" s="2">
        <f t="shared" si="1"/>
        <v>10</v>
      </c>
    </row>
    <row r="339" ht="15.75" customHeight="1">
      <c r="A339" s="1">
        <f>IFERROR(__xludf.DUMMYFUNCTION("""COMPUTED_VALUE"""),45019.66666666667)</f>
        <v>45019.66667</v>
      </c>
      <c r="B339" s="2">
        <f>IFERROR(__xludf.DUMMYFUNCTION("""COMPUTED_VALUE"""),710.0)</f>
        <v>710</v>
      </c>
      <c r="C339" s="2">
        <f>IFERROR(__xludf.DUMMYFUNCTION("""COMPUTED_VALUE"""),710.0)</f>
        <v>710</v>
      </c>
      <c r="D339" s="2">
        <f>IFERROR(__xludf.DUMMYFUNCTION("""COMPUTED_VALUE"""),700.0)</f>
        <v>700</v>
      </c>
      <c r="E339" s="2">
        <f>IFERROR(__xludf.DUMMYFUNCTION("""COMPUTED_VALUE"""),705.0)</f>
        <v>705</v>
      </c>
      <c r="F339" s="2">
        <f>IFERROR(__xludf.DUMMYFUNCTION("""COMPUTED_VALUE"""),1.86741E7)</f>
        <v>18674100</v>
      </c>
      <c r="G339" s="2">
        <f t="shared" si="1"/>
        <v>10</v>
      </c>
    </row>
    <row r="340" ht="15.75" customHeight="1">
      <c r="A340" s="1">
        <f>IFERROR(__xludf.DUMMYFUNCTION("""COMPUTED_VALUE"""),45020.66666666667)</f>
        <v>45020.66667</v>
      </c>
      <c r="B340" s="2">
        <f>IFERROR(__xludf.DUMMYFUNCTION("""COMPUTED_VALUE"""),705.0)</f>
        <v>705</v>
      </c>
      <c r="C340" s="2">
        <f>IFERROR(__xludf.DUMMYFUNCTION("""COMPUTED_VALUE"""),705.0)</f>
        <v>705</v>
      </c>
      <c r="D340" s="2">
        <f>IFERROR(__xludf.DUMMYFUNCTION("""COMPUTED_VALUE"""),695.0)</f>
        <v>695</v>
      </c>
      <c r="E340" s="2">
        <f>IFERROR(__xludf.DUMMYFUNCTION("""COMPUTED_VALUE"""),700.0)</f>
        <v>700</v>
      </c>
      <c r="F340" s="2">
        <f>IFERROR(__xludf.DUMMYFUNCTION("""COMPUTED_VALUE"""),2.23205E7)</f>
        <v>22320500</v>
      </c>
      <c r="G340" s="2">
        <f t="shared" si="1"/>
        <v>10</v>
      </c>
    </row>
    <row r="341" ht="15.75" customHeight="1">
      <c r="A341" s="1">
        <f>IFERROR(__xludf.DUMMYFUNCTION("""COMPUTED_VALUE"""),45021.66666666667)</f>
        <v>45021.66667</v>
      </c>
      <c r="B341" s="2">
        <f>IFERROR(__xludf.DUMMYFUNCTION("""COMPUTED_VALUE"""),700.0)</f>
        <v>700</v>
      </c>
      <c r="C341" s="2">
        <f>IFERROR(__xludf.DUMMYFUNCTION("""COMPUTED_VALUE"""),700.0)</f>
        <v>700</v>
      </c>
      <c r="D341" s="2">
        <f>IFERROR(__xludf.DUMMYFUNCTION("""COMPUTED_VALUE"""),690.0)</f>
        <v>690</v>
      </c>
      <c r="E341" s="2">
        <f>IFERROR(__xludf.DUMMYFUNCTION("""COMPUTED_VALUE"""),690.0)</f>
        <v>690</v>
      </c>
      <c r="F341" s="2">
        <f>IFERROR(__xludf.DUMMYFUNCTION("""COMPUTED_VALUE"""),2.56541E7)</f>
        <v>25654100</v>
      </c>
      <c r="G341" s="2">
        <f t="shared" si="1"/>
        <v>10</v>
      </c>
    </row>
    <row r="342" ht="15.75" customHeight="1">
      <c r="A342" s="1">
        <f>IFERROR(__xludf.DUMMYFUNCTION("""COMPUTED_VALUE"""),45022.66666666667)</f>
        <v>45022.66667</v>
      </c>
      <c r="B342" s="2">
        <f>IFERROR(__xludf.DUMMYFUNCTION("""COMPUTED_VALUE"""),690.0)</f>
        <v>690</v>
      </c>
      <c r="C342" s="2">
        <f>IFERROR(__xludf.DUMMYFUNCTION("""COMPUTED_VALUE"""),700.0)</f>
        <v>700</v>
      </c>
      <c r="D342" s="2">
        <f>IFERROR(__xludf.DUMMYFUNCTION("""COMPUTED_VALUE"""),690.0)</f>
        <v>690</v>
      </c>
      <c r="E342" s="2">
        <f>IFERROR(__xludf.DUMMYFUNCTION("""COMPUTED_VALUE"""),700.0)</f>
        <v>700</v>
      </c>
      <c r="F342" s="2">
        <f>IFERROR(__xludf.DUMMYFUNCTION("""COMPUTED_VALUE"""),1.66142E7)</f>
        <v>16614200</v>
      </c>
      <c r="G342" s="2">
        <f t="shared" si="1"/>
        <v>10</v>
      </c>
    </row>
    <row r="343" ht="15.75" customHeight="1">
      <c r="A343" s="1">
        <f>IFERROR(__xludf.DUMMYFUNCTION("""COMPUTED_VALUE"""),45026.66666666667)</f>
        <v>45026.66667</v>
      </c>
      <c r="B343" s="2">
        <f>IFERROR(__xludf.DUMMYFUNCTION("""COMPUTED_VALUE"""),700.0)</f>
        <v>700</v>
      </c>
      <c r="C343" s="2">
        <f>IFERROR(__xludf.DUMMYFUNCTION("""COMPUTED_VALUE"""),700.0)</f>
        <v>700</v>
      </c>
      <c r="D343" s="2">
        <f>IFERROR(__xludf.DUMMYFUNCTION("""COMPUTED_VALUE"""),685.0)</f>
        <v>685</v>
      </c>
      <c r="E343" s="2">
        <f>IFERROR(__xludf.DUMMYFUNCTION("""COMPUTED_VALUE"""),695.0)</f>
        <v>695</v>
      </c>
      <c r="F343" s="2">
        <f>IFERROR(__xludf.DUMMYFUNCTION("""COMPUTED_VALUE"""),1.12798E7)</f>
        <v>11279800</v>
      </c>
      <c r="G343" s="2">
        <f t="shared" si="1"/>
        <v>15</v>
      </c>
    </row>
    <row r="344" ht="15.75" customHeight="1">
      <c r="A344" s="1">
        <f>IFERROR(__xludf.DUMMYFUNCTION("""COMPUTED_VALUE"""),45027.66666666667)</f>
        <v>45027.66667</v>
      </c>
      <c r="B344" s="2">
        <f>IFERROR(__xludf.DUMMYFUNCTION("""COMPUTED_VALUE"""),695.0)</f>
        <v>695</v>
      </c>
      <c r="C344" s="2">
        <f>IFERROR(__xludf.DUMMYFUNCTION("""COMPUTED_VALUE"""),700.0)</f>
        <v>700</v>
      </c>
      <c r="D344" s="2">
        <f>IFERROR(__xludf.DUMMYFUNCTION("""COMPUTED_VALUE"""),680.0)</f>
        <v>680</v>
      </c>
      <c r="E344" s="2">
        <f>IFERROR(__xludf.DUMMYFUNCTION("""COMPUTED_VALUE"""),685.0)</f>
        <v>685</v>
      </c>
      <c r="F344" s="2">
        <f>IFERROR(__xludf.DUMMYFUNCTION("""COMPUTED_VALUE"""),2.01674E7)</f>
        <v>20167400</v>
      </c>
      <c r="G344" s="2">
        <f t="shared" si="1"/>
        <v>20</v>
      </c>
    </row>
    <row r="345" ht="15.75" customHeight="1">
      <c r="A345" s="1">
        <f>IFERROR(__xludf.DUMMYFUNCTION("""COMPUTED_VALUE"""),45028.66666666667)</f>
        <v>45028.66667</v>
      </c>
      <c r="B345" s="2">
        <f>IFERROR(__xludf.DUMMYFUNCTION("""COMPUTED_VALUE"""),685.0)</f>
        <v>685</v>
      </c>
      <c r="C345" s="2">
        <f>IFERROR(__xludf.DUMMYFUNCTION("""COMPUTED_VALUE"""),690.0)</f>
        <v>690</v>
      </c>
      <c r="D345" s="2">
        <f>IFERROR(__xludf.DUMMYFUNCTION("""COMPUTED_VALUE"""),680.0)</f>
        <v>680</v>
      </c>
      <c r="E345" s="2">
        <f>IFERROR(__xludf.DUMMYFUNCTION("""COMPUTED_VALUE"""),690.0)</f>
        <v>690</v>
      </c>
      <c r="F345" s="2">
        <f>IFERROR(__xludf.DUMMYFUNCTION("""COMPUTED_VALUE"""),2.62547E7)</f>
        <v>26254700</v>
      </c>
      <c r="G345" s="2">
        <f t="shared" si="1"/>
        <v>10</v>
      </c>
    </row>
    <row r="346" ht="15.75" customHeight="1">
      <c r="A346" s="1">
        <f>IFERROR(__xludf.DUMMYFUNCTION("""COMPUTED_VALUE"""),45029.66666666667)</f>
        <v>45029.66667</v>
      </c>
      <c r="B346" s="2">
        <f>IFERROR(__xludf.DUMMYFUNCTION("""COMPUTED_VALUE"""),690.0)</f>
        <v>690</v>
      </c>
      <c r="C346" s="2">
        <f>IFERROR(__xludf.DUMMYFUNCTION("""COMPUTED_VALUE"""),695.0)</f>
        <v>695</v>
      </c>
      <c r="D346" s="2">
        <f>IFERROR(__xludf.DUMMYFUNCTION("""COMPUTED_VALUE"""),685.0)</f>
        <v>685</v>
      </c>
      <c r="E346" s="2">
        <f>IFERROR(__xludf.DUMMYFUNCTION("""COMPUTED_VALUE"""),690.0)</f>
        <v>690</v>
      </c>
      <c r="F346" s="2">
        <f>IFERROR(__xludf.DUMMYFUNCTION("""COMPUTED_VALUE"""),1.40809E7)</f>
        <v>14080900</v>
      </c>
      <c r="G346" s="2">
        <f t="shared" si="1"/>
        <v>10</v>
      </c>
    </row>
    <row r="347" ht="15.75" customHeight="1">
      <c r="A347" s="1">
        <f>IFERROR(__xludf.DUMMYFUNCTION("""COMPUTED_VALUE"""),45030.66666666667)</f>
        <v>45030.66667</v>
      </c>
      <c r="B347" s="2">
        <f>IFERROR(__xludf.DUMMYFUNCTION("""COMPUTED_VALUE"""),690.0)</f>
        <v>690</v>
      </c>
      <c r="C347" s="2">
        <f>IFERROR(__xludf.DUMMYFUNCTION("""COMPUTED_VALUE"""),700.0)</f>
        <v>700</v>
      </c>
      <c r="D347" s="2">
        <f>IFERROR(__xludf.DUMMYFUNCTION("""COMPUTED_VALUE"""),685.0)</f>
        <v>685</v>
      </c>
      <c r="E347" s="2">
        <f>IFERROR(__xludf.DUMMYFUNCTION("""COMPUTED_VALUE"""),695.0)</f>
        <v>695</v>
      </c>
      <c r="F347" s="2">
        <f>IFERROR(__xludf.DUMMYFUNCTION("""COMPUTED_VALUE"""),1.62424E7)</f>
        <v>16242400</v>
      </c>
      <c r="G347" s="2">
        <f t="shared" si="1"/>
        <v>15</v>
      </c>
    </row>
    <row r="348" ht="15.75" customHeight="1">
      <c r="A348" s="1">
        <f>IFERROR(__xludf.DUMMYFUNCTION("""COMPUTED_VALUE"""),45033.66666666667)</f>
        <v>45033.66667</v>
      </c>
      <c r="B348" s="2">
        <f>IFERROR(__xludf.DUMMYFUNCTION("""COMPUTED_VALUE"""),695.0)</f>
        <v>695</v>
      </c>
      <c r="C348" s="2">
        <f>IFERROR(__xludf.DUMMYFUNCTION("""COMPUTED_VALUE"""),700.0)</f>
        <v>700</v>
      </c>
      <c r="D348" s="2">
        <f>IFERROR(__xludf.DUMMYFUNCTION("""COMPUTED_VALUE"""),690.0)</f>
        <v>690</v>
      </c>
      <c r="E348" s="2">
        <f>IFERROR(__xludf.DUMMYFUNCTION("""COMPUTED_VALUE"""),695.0)</f>
        <v>695</v>
      </c>
      <c r="F348" s="2">
        <f>IFERROR(__xludf.DUMMYFUNCTION("""COMPUTED_VALUE"""),1.53839E7)</f>
        <v>15383900</v>
      </c>
      <c r="G348" s="2">
        <f t="shared" si="1"/>
        <v>10</v>
      </c>
    </row>
    <row r="349" ht="15.75" customHeight="1">
      <c r="A349" s="1">
        <f>IFERROR(__xludf.DUMMYFUNCTION("""COMPUTED_VALUE"""),45034.66666666667)</f>
        <v>45034.66667</v>
      </c>
      <c r="B349" s="2">
        <f>IFERROR(__xludf.DUMMYFUNCTION("""COMPUTED_VALUE"""),695.0)</f>
        <v>695</v>
      </c>
      <c r="C349" s="2">
        <f>IFERROR(__xludf.DUMMYFUNCTION("""COMPUTED_VALUE"""),710.0)</f>
        <v>710</v>
      </c>
      <c r="D349" s="2">
        <f>IFERROR(__xludf.DUMMYFUNCTION("""COMPUTED_VALUE"""),690.0)</f>
        <v>690</v>
      </c>
      <c r="E349" s="2">
        <f>IFERROR(__xludf.DUMMYFUNCTION("""COMPUTED_VALUE"""),700.0)</f>
        <v>700</v>
      </c>
      <c r="F349" s="2">
        <f>IFERROR(__xludf.DUMMYFUNCTION("""COMPUTED_VALUE"""),3.31741E7)</f>
        <v>33174100</v>
      </c>
      <c r="G349" s="2">
        <f t="shared" si="1"/>
        <v>20</v>
      </c>
    </row>
    <row r="350" ht="15.75" customHeight="1">
      <c r="A350" s="1">
        <f>IFERROR(__xludf.DUMMYFUNCTION("""COMPUTED_VALUE"""),45042.66666666667)</f>
        <v>45042.66667</v>
      </c>
      <c r="B350" s="2">
        <f>IFERROR(__xludf.DUMMYFUNCTION("""COMPUTED_VALUE"""),700.0)</f>
        <v>700</v>
      </c>
      <c r="C350" s="2">
        <f>IFERROR(__xludf.DUMMYFUNCTION("""COMPUTED_VALUE"""),700.0)</f>
        <v>700</v>
      </c>
      <c r="D350" s="2">
        <f>IFERROR(__xludf.DUMMYFUNCTION("""COMPUTED_VALUE"""),685.0)</f>
        <v>685</v>
      </c>
      <c r="E350" s="2">
        <f>IFERROR(__xludf.DUMMYFUNCTION("""COMPUTED_VALUE"""),685.0)</f>
        <v>685</v>
      </c>
      <c r="F350" s="2">
        <f>IFERROR(__xludf.DUMMYFUNCTION("""COMPUTED_VALUE"""),2.42616E7)</f>
        <v>24261600</v>
      </c>
      <c r="G350" s="2">
        <f t="shared" si="1"/>
        <v>15</v>
      </c>
    </row>
    <row r="351" ht="15.75" customHeight="1">
      <c r="A351" s="1">
        <f>IFERROR(__xludf.DUMMYFUNCTION("""COMPUTED_VALUE"""),45043.66666666667)</f>
        <v>45043.66667</v>
      </c>
      <c r="B351" s="2">
        <f>IFERROR(__xludf.DUMMYFUNCTION("""COMPUTED_VALUE"""),690.0)</f>
        <v>690</v>
      </c>
      <c r="C351" s="2">
        <f>IFERROR(__xludf.DUMMYFUNCTION("""COMPUTED_VALUE"""),695.0)</f>
        <v>695</v>
      </c>
      <c r="D351" s="2">
        <f>IFERROR(__xludf.DUMMYFUNCTION("""COMPUTED_VALUE"""),685.0)</f>
        <v>685</v>
      </c>
      <c r="E351" s="2">
        <f>IFERROR(__xludf.DUMMYFUNCTION("""COMPUTED_VALUE"""),690.0)</f>
        <v>690</v>
      </c>
      <c r="F351" s="2">
        <f>IFERROR(__xludf.DUMMYFUNCTION("""COMPUTED_VALUE"""),2.04242E7)</f>
        <v>20424200</v>
      </c>
      <c r="G351" s="2">
        <f t="shared" si="1"/>
        <v>10</v>
      </c>
    </row>
    <row r="352" ht="15.75" customHeight="1">
      <c r="A352" s="1">
        <f>IFERROR(__xludf.DUMMYFUNCTION("""COMPUTED_VALUE"""),45044.66666666667)</f>
        <v>45044.66667</v>
      </c>
      <c r="B352" s="2">
        <f>IFERROR(__xludf.DUMMYFUNCTION("""COMPUTED_VALUE"""),690.0)</f>
        <v>690</v>
      </c>
      <c r="C352" s="2">
        <f>IFERROR(__xludf.DUMMYFUNCTION("""COMPUTED_VALUE"""),700.0)</f>
        <v>700</v>
      </c>
      <c r="D352" s="2">
        <f>IFERROR(__xludf.DUMMYFUNCTION("""COMPUTED_VALUE"""),685.0)</f>
        <v>685</v>
      </c>
      <c r="E352" s="2">
        <f>IFERROR(__xludf.DUMMYFUNCTION("""COMPUTED_VALUE"""),700.0)</f>
        <v>700</v>
      </c>
      <c r="F352" s="2">
        <f>IFERROR(__xludf.DUMMYFUNCTION("""COMPUTED_VALUE"""),3.27438E7)</f>
        <v>32743800</v>
      </c>
      <c r="G352" s="2">
        <f t="shared" si="1"/>
        <v>15</v>
      </c>
    </row>
    <row r="353" ht="15.75" customHeight="1">
      <c r="A353" s="1">
        <f>IFERROR(__xludf.DUMMYFUNCTION("""COMPUTED_VALUE"""),45048.66666666667)</f>
        <v>45048.66667</v>
      </c>
      <c r="B353" s="2">
        <f>IFERROR(__xludf.DUMMYFUNCTION("""COMPUTED_VALUE"""),700.0)</f>
        <v>700</v>
      </c>
      <c r="C353" s="2">
        <f>IFERROR(__xludf.DUMMYFUNCTION("""COMPUTED_VALUE"""),700.0)</f>
        <v>700</v>
      </c>
      <c r="D353" s="2">
        <f>IFERROR(__xludf.DUMMYFUNCTION("""COMPUTED_VALUE"""),690.0)</f>
        <v>690</v>
      </c>
      <c r="E353" s="2">
        <f>IFERROR(__xludf.DUMMYFUNCTION("""COMPUTED_VALUE"""),690.0)</f>
        <v>690</v>
      </c>
      <c r="F353" s="2">
        <f>IFERROR(__xludf.DUMMYFUNCTION("""COMPUTED_VALUE"""),4.25456E7)</f>
        <v>42545600</v>
      </c>
      <c r="G353" s="2">
        <f t="shared" si="1"/>
        <v>10</v>
      </c>
    </row>
    <row r="354" ht="15.75" customHeight="1">
      <c r="A354" s="1">
        <f>IFERROR(__xludf.DUMMYFUNCTION("""COMPUTED_VALUE"""),45049.66666666667)</f>
        <v>45049.66667</v>
      </c>
      <c r="B354" s="2">
        <f>IFERROR(__xludf.DUMMYFUNCTION("""COMPUTED_VALUE"""),680.0)</f>
        <v>680</v>
      </c>
      <c r="C354" s="2">
        <f>IFERROR(__xludf.DUMMYFUNCTION("""COMPUTED_VALUE"""),685.0)</f>
        <v>685</v>
      </c>
      <c r="D354" s="2">
        <f>IFERROR(__xludf.DUMMYFUNCTION("""COMPUTED_VALUE"""),670.0)</f>
        <v>670</v>
      </c>
      <c r="E354" s="2">
        <f>IFERROR(__xludf.DUMMYFUNCTION("""COMPUTED_VALUE"""),675.0)</f>
        <v>675</v>
      </c>
      <c r="F354" s="2">
        <f>IFERROR(__xludf.DUMMYFUNCTION("""COMPUTED_VALUE"""),5.4562E7)</f>
        <v>54562000</v>
      </c>
      <c r="G354" s="2">
        <f t="shared" si="1"/>
        <v>20</v>
      </c>
    </row>
    <row r="355" ht="15.75" customHeight="1">
      <c r="A355" s="1">
        <f>IFERROR(__xludf.DUMMYFUNCTION("""COMPUTED_VALUE"""),45050.66666666667)</f>
        <v>45050.66667</v>
      </c>
      <c r="B355" s="2">
        <f>IFERROR(__xludf.DUMMYFUNCTION("""COMPUTED_VALUE"""),680.0)</f>
        <v>680</v>
      </c>
      <c r="C355" s="2">
        <f>IFERROR(__xludf.DUMMYFUNCTION("""COMPUTED_VALUE"""),685.0)</f>
        <v>685</v>
      </c>
      <c r="D355" s="2">
        <f>IFERROR(__xludf.DUMMYFUNCTION("""COMPUTED_VALUE"""),670.0)</f>
        <v>670</v>
      </c>
      <c r="E355" s="2">
        <f>IFERROR(__xludf.DUMMYFUNCTION("""COMPUTED_VALUE"""),680.0)</f>
        <v>680</v>
      </c>
      <c r="F355" s="2">
        <f>IFERROR(__xludf.DUMMYFUNCTION("""COMPUTED_VALUE"""),2.39663E7)</f>
        <v>23966300</v>
      </c>
      <c r="G355" s="2">
        <f t="shared" si="1"/>
        <v>15</v>
      </c>
    </row>
    <row r="356" ht="15.75" customHeight="1">
      <c r="A356" s="1">
        <f>IFERROR(__xludf.DUMMYFUNCTION("""COMPUTED_VALUE"""),45051.66666666667)</f>
        <v>45051.66667</v>
      </c>
      <c r="B356" s="2">
        <f>IFERROR(__xludf.DUMMYFUNCTION("""COMPUTED_VALUE"""),680.0)</f>
        <v>680</v>
      </c>
      <c r="C356" s="2">
        <f>IFERROR(__xludf.DUMMYFUNCTION("""COMPUTED_VALUE"""),685.0)</f>
        <v>685</v>
      </c>
      <c r="D356" s="2">
        <f>IFERROR(__xludf.DUMMYFUNCTION("""COMPUTED_VALUE"""),675.0)</f>
        <v>675</v>
      </c>
      <c r="E356" s="2">
        <f>IFERROR(__xludf.DUMMYFUNCTION("""COMPUTED_VALUE"""),680.0)</f>
        <v>680</v>
      </c>
      <c r="F356" s="2">
        <f>IFERROR(__xludf.DUMMYFUNCTION("""COMPUTED_VALUE"""),3.27361E7)</f>
        <v>32736100</v>
      </c>
      <c r="G356" s="2">
        <f t="shared" si="1"/>
        <v>10</v>
      </c>
    </row>
    <row r="357" ht="15.75" customHeight="1">
      <c r="A357" s="1">
        <f>IFERROR(__xludf.DUMMYFUNCTION("""COMPUTED_VALUE"""),45054.66666666667)</f>
        <v>45054.66667</v>
      </c>
      <c r="B357" s="2">
        <f>IFERROR(__xludf.DUMMYFUNCTION("""COMPUTED_VALUE"""),680.0)</f>
        <v>680</v>
      </c>
      <c r="C357" s="2">
        <f>IFERROR(__xludf.DUMMYFUNCTION("""COMPUTED_VALUE"""),685.0)</f>
        <v>685</v>
      </c>
      <c r="D357" s="2">
        <f>IFERROR(__xludf.DUMMYFUNCTION("""COMPUTED_VALUE"""),670.0)</f>
        <v>670</v>
      </c>
      <c r="E357" s="2">
        <f>IFERROR(__xludf.DUMMYFUNCTION("""COMPUTED_VALUE"""),675.0)</f>
        <v>675</v>
      </c>
      <c r="F357" s="2">
        <f>IFERROR(__xludf.DUMMYFUNCTION("""COMPUTED_VALUE"""),2.98083E7)</f>
        <v>29808300</v>
      </c>
      <c r="G357" s="2">
        <f t="shared" si="1"/>
        <v>15</v>
      </c>
    </row>
    <row r="358" ht="15.75" customHeight="1">
      <c r="A358" s="1">
        <f>IFERROR(__xludf.DUMMYFUNCTION("""COMPUTED_VALUE"""),45055.66666666667)</f>
        <v>45055.66667</v>
      </c>
      <c r="B358" s="2">
        <f>IFERROR(__xludf.DUMMYFUNCTION("""COMPUTED_VALUE"""),675.0)</f>
        <v>675</v>
      </c>
      <c r="C358" s="2">
        <f>IFERROR(__xludf.DUMMYFUNCTION("""COMPUTED_VALUE"""),680.0)</f>
        <v>680</v>
      </c>
      <c r="D358" s="2">
        <f>IFERROR(__xludf.DUMMYFUNCTION("""COMPUTED_VALUE"""),670.0)</f>
        <v>670</v>
      </c>
      <c r="E358" s="2">
        <f>IFERROR(__xludf.DUMMYFUNCTION("""COMPUTED_VALUE"""),675.0)</f>
        <v>675</v>
      </c>
      <c r="F358" s="2">
        <f>IFERROR(__xludf.DUMMYFUNCTION("""COMPUTED_VALUE"""),2.08858E7)</f>
        <v>20885800</v>
      </c>
      <c r="G358" s="2">
        <f t="shared" si="1"/>
        <v>10</v>
      </c>
    </row>
    <row r="359" ht="15.75" customHeight="1">
      <c r="A359" s="1">
        <f>IFERROR(__xludf.DUMMYFUNCTION("""COMPUTED_VALUE"""),45056.66666666667)</f>
        <v>45056.66667</v>
      </c>
      <c r="B359" s="2">
        <f>IFERROR(__xludf.DUMMYFUNCTION("""COMPUTED_VALUE"""),675.0)</f>
        <v>675</v>
      </c>
      <c r="C359" s="2">
        <f>IFERROR(__xludf.DUMMYFUNCTION("""COMPUTED_VALUE"""),685.0)</f>
        <v>685</v>
      </c>
      <c r="D359" s="2">
        <f>IFERROR(__xludf.DUMMYFUNCTION("""COMPUTED_VALUE"""),675.0)</f>
        <v>675</v>
      </c>
      <c r="E359" s="2">
        <f>IFERROR(__xludf.DUMMYFUNCTION("""COMPUTED_VALUE"""),675.0)</f>
        <v>675</v>
      </c>
      <c r="F359" s="2">
        <f>IFERROR(__xludf.DUMMYFUNCTION("""COMPUTED_VALUE"""),3.8271E7)</f>
        <v>38271000</v>
      </c>
      <c r="G359" s="2">
        <f t="shared" si="1"/>
        <v>10</v>
      </c>
    </row>
    <row r="360" ht="15.75" customHeight="1">
      <c r="A360" s="1">
        <f>IFERROR(__xludf.DUMMYFUNCTION("""COMPUTED_VALUE"""),45057.66666666667)</f>
        <v>45057.66667</v>
      </c>
      <c r="B360" s="2">
        <f>IFERROR(__xludf.DUMMYFUNCTION("""COMPUTED_VALUE"""),680.0)</f>
        <v>680</v>
      </c>
      <c r="C360" s="2">
        <f>IFERROR(__xludf.DUMMYFUNCTION("""COMPUTED_VALUE"""),680.0)</f>
        <v>680</v>
      </c>
      <c r="D360" s="2">
        <f>IFERROR(__xludf.DUMMYFUNCTION("""COMPUTED_VALUE"""),670.0)</f>
        <v>670</v>
      </c>
      <c r="E360" s="2">
        <f>IFERROR(__xludf.DUMMYFUNCTION("""COMPUTED_VALUE"""),675.0)</f>
        <v>675</v>
      </c>
      <c r="F360" s="2">
        <f>IFERROR(__xludf.DUMMYFUNCTION("""COMPUTED_VALUE"""),2.11983E7)</f>
        <v>21198300</v>
      </c>
      <c r="G360" s="2">
        <f t="shared" si="1"/>
        <v>10</v>
      </c>
    </row>
    <row r="361" ht="15.75" customHeight="1">
      <c r="A361" s="1">
        <f>IFERROR(__xludf.DUMMYFUNCTION("""COMPUTED_VALUE"""),45058.66666666667)</f>
        <v>45058.66667</v>
      </c>
      <c r="B361" s="2">
        <f>IFERROR(__xludf.DUMMYFUNCTION("""COMPUTED_VALUE"""),675.0)</f>
        <v>675</v>
      </c>
      <c r="C361" s="2">
        <f>IFERROR(__xludf.DUMMYFUNCTION("""COMPUTED_VALUE"""),675.0)</f>
        <v>675</v>
      </c>
      <c r="D361" s="2">
        <f>IFERROR(__xludf.DUMMYFUNCTION("""COMPUTED_VALUE"""),670.0)</f>
        <v>670</v>
      </c>
      <c r="E361" s="2">
        <f>IFERROR(__xludf.DUMMYFUNCTION("""COMPUTED_VALUE"""),670.0)</f>
        <v>670</v>
      </c>
      <c r="F361" s="2">
        <f>IFERROR(__xludf.DUMMYFUNCTION("""COMPUTED_VALUE"""),1.11398E7)</f>
        <v>11139800</v>
      </c>
      <c r="G361" s="2">
        <f t="shared" si="1"/>
        <v>5</v>
      </c>
    </row>
    <row r="362" ht="15.75" customHeight="1">
      <c r="A362" s="1">
        <f>IFERROR(__xludf.DUMMYFUNCTION("""COMPUTED_VALUE"""),45061.66666666667)</f>
        <v>45061.66667</v>
      </c>
      <c r="B362" s="2">
        <f>IFERROR(__xludf.DUMMYFUNCTION("""COMPUTED_VALUE"""),670.0)</f>
        <v>670</v>
      </c>
      <c r="C362" s="2">
        <f>IFERROR(__xludf.DUMMYFUNCTION("""COMPUTED_VALUE"""),675.0)</f>
        <v>675</v>
      </c>
      <c r="D362" s="2">
        <f>IFERROR(__xludf.DUMMYFUNCTION("""COMPUTED_VALUE"""),665.0)</f>
        <v>665</v>
      </c>
      <c r="E362" s="2">
        <f>IFERROR(__xludf.DUMMYFUNCTION("""COMPUTED_VALUE"""),665.0)</f>
        <v>665</v>
      </c>
      <c r="F362" s="2">
        <f>IFERROR(__xludf.DUMMYFUNCTION("""COMPUTED_VALUE"""),2.64951E7)</f>
        <v>26495100</v>
      </c>
      <c r="G362" s="2">
        <f t="shared" si="1"/>
        <v>10</v>
      </c>
    </row>
    <row r="363" ht="15.75" customHeight="1">
      <c r="A363" s="1">
        <f>IFERROR(__xludf.DUMMYFUNCTION("""COMPUTED_VALUE"""),45062.66666666667)</f>
        <v>45062.66667</v>
      </c>
      <c r="B363" s="2">
        <f>IFERROR(__xludf.DUMMYFUNCTION("""COMPUTED_VALUE"""),665.0)</f>
        <v>665</v>
      </c>
      <c r="C363" s="2">
        <f>IFERROR(__xludf.DUMMYFUNCTION("""COMPUTED_VALUE"""),675.0)</f>
        <v>675</v>
      </c>
      <c r="D363" s="2">
        <f>IFERROR(__xludf.DUMMYFUNCTION("""COMPUTED_VALUE"""),665.0)</f>
        <v>665</v>
      </c>
      <c r="E363" s="2">
        <f>IFERROR(__xludf.DUMMYFUNCTION("""COMPUTED_VALUE"""),670.0)</f>
        <v>670</v>
      </c>
      <c r="F363" s="2">
        <f>IFERROR(__xludf.DUMMYFUNCTION("""COMPUTED_VALUE"""),1.90144E7)</f>
        <v>19014400</v>
      </c>
      <c r="G363" s="2">
        <f t="shared" si="1"/>
        <v>10</v>
      </c>
    </row>
    <row r="364" ht="15.75" customHeight="1">
      <c r="A364" s="1">
        <f>IFERROR(__xludf.DUMMYFUNCTION("""COMPUTED_VALUE"""),45063.66666666667)</f>
        <v>45063.66667</v>
      </c>
      <c r="B364" s="2">
        <f>IFERROR(__xludf.DUMMYFUNCTION("""COMPUTED_VALUE"""),670.0)</f>
        <v>670</v>
      </c>
      <c r="C364" s="2">
        <f>IFERROR(__xludf.DUMMYFUNCTION("""COMPUTED_VALUE"""),675.0)</f>
        <v>675</v>
      </c>
      <c r="D364" s="2">
        <f>IFERROR(__xludf.DUMMYFUNCTION("""COMPUTED_VALUE"""),665.0)</f>
        <v>665</v>
      </c>
      <c r="E364" s="2">
        <f>IFERROR(__xludf.DUMMYFUNCTION("""COMPUTED_VALUE"""),675.0)</f>
        <v>675</v>
      </c>
      <c r="F364" s="2">
        <f>IFERROR(__xludf.DUMMYFUNCTION("""COMPUTED_VALUE"""),1.80081E7)</f>
        <v>18008100</v>
      </c>
      <c r="G364" s="2">
        <f t="shared" si="1"/>
        <v>10</v>
      </c>
    </row>
    <row r="365" ht="15.75" customHeight="1">
      <c r="A365" s="1">
        <f>IFERROR(__xludf.DUMMYFUNCTION("""COMPUTED_VALUE"""),45065.66666666667)</f>
        <v>45065.66667</v>
      </c>
      <c r="B365" s="2">
        <f>IFERROR(__xludf.DUMMYFUNCTION("""COMPUTED_VALUE"""),670.0)</f>
        <v>670</v>
      </c>
      <c r="C365" s="2">
        <f>IFERROR(__xludf.DUMMYFUNCTION("""COMPUTED_VALUE"""),675.0)</f>
        <v>675</v>
      </c>
      <c r="D365" s="2">
        <f>IFERROR(__xludf.DUMMYFUNCTION("""COMPUTED_VALUE"""),665.0)</f>
        <v>665</v>
      </c>
      <c r="E365" s="2">
        <f>IFERROR(__xludf.DUMMYFUNCTION("""COMPUTED_VALUE"""),665.0)</f>
        <v>665</v>
      </c>
      <c r="F365" s="2">
        <f>IFERROR(__xludf.DUMMYFUNCTION("""COMPUTED_VALUE"""),2.5491E7)</f>
        <v>25491000</v>
      </c>
      <c r="G365" s="2">
        <f t="shared" si="1"/>
        <v>10</v>
      </c>
    </row>
    <row r="366" ht="15.75" customHeight="1">
      <c r="A366" s="1">
        <f>IFERROR(__xludf.DUMMYFUNCTION("""COMPUTED_VALUE"""),45068.66666666667)</f>
        <v>45068.66667</v>
      </c>
      <c r="B366" s="2">
        <f>IFERROR(__xludf.DUMMYFUNCTION("""COMPUTED_VALUE"""),670.0)</f>
        <v>670</v>
      </c>
      <c r="C366" s="2">
        <f>IFERROR(__xludf.DUMMYFUNCTION("""COMPUTED_VALUE"""),670.0)</f>
        <v>670</v>
      </c>
      <c r="D366" s="2">
        <f>IFERROR(__xludf.DUMMYFUNCTION("""COMPUTED_VALUE"""),660.0)</f>
        <v>660</v>
      </c>
      <c r="E366" s="2">
        <f>IFERROR(__xludf.DUMMYFUNCTION("""COMPUTED_VALUE"""),660.0)</f>
        <v>660</v>
      </c>
      <c r="F366" s="2">
        <f>IFERROR(__xludf.DUMMYFUNCTION("""COMPUTED_VALUE"""),1.6747E7)</f>
        <v>16747000</v>
      </c>
      <c r="G366" s="2">
        <f t="shared" si="1"/>
        <v>10</v>
      </c>
    </row>
    <row r="367" ht="15.75" customHeight="1">
      <c r="A367" s="1">
        <f>IFERROR(__xludf.DUMMYFUNCTION("""COMPUTED_VALUE"""),45069.66666666667)</f>
        <v>45069.66667</v>
      </c>
      <c r="B367" s="2">
        <f>IFERROR(__xludf.DUMMYFUNCTION("""COMPUTED_VALUE"""),660.0)</f>
        <v>660</v>
      </c>
      <c r="C367" s="2">
        <f>IFERROR(__xludf.DUMMYFUNCTION("""COMPUTED_VALUE"""),665.0)</f>
        <v>665</v>
      </c>
      <c r="D367" s="2">
        <f>IFERROR(__xludf.DUMMYFUNCTION("""COMPUTED_VALUE"""),655.0)</f>
        <v>655</v>
      </c>
      <c r="E367" s="2">
        <f>IFERROR(__xludf.DUMMYFUNCTION("""COMPUTED_VALUE"""),665.0)</f>
        <v>665</v>
      </c>
      <c r="F367" s="2">
        <f>IFERROR(__xludf.DUMMYFUNCTION("""COMPUTED_VALUE"""),2.77033E7)</f>
        <v>27703300</v>
      </c>
      <c r="G367" s="2">
        <f t="shared" si="1"/>
        <v>10</v>
      </c>
    </row>
    <row r="368" ht="15.75" customHeight="1">
      <c r="A368" s="1">
        <f>IFERROR(__xludf.DUMMYFUNCTION("""COMPUTED_VALUE"""),45070.66666666667)</f>
        <v>45070.66667</v>
      </c>
      <c r="B368" s="2">
        <f>IFERROR(__xludf.DUMMYFUNCTION("""COMPUTED_VALUE"""),665.0)</f>
        <v>665</v>
      </c>
      <c r="C368" s="2">
        <f>IFERROR(__xludf.DUMMYFUNCTION("""COMPUTED_VALUE"""),670.0)</f>
        <v>670</v>
      </c>
      <c r="D368" s="2">
        <f>IFERROR(__xludf.DUMMYFUNCTION("""COMPUTED_VALUE"""),660.0)</f>
        <v>660</v>
      </c>
      <c r="E368" s="2">
        <f>IFERROR(__xludf.DUMMYFUNCTION("""COMPUTED_VALUE"""),665.0)</f>
        <v>665</v>
      </c>
      <c r="F368" s="2">
        <f>IFERROR(__xludf.DUMMYFUNCTION("""COMPUTED_VALUE"""),2.71122E7)</f>
        <v>27112200</v>
      </c>
      <c r="G368" s="2">
        <f t="shared" si="1"/>
        <v>10</v>
      </c>
    </row>
    <row r="369" ht="15.75" customHeight="1">
      <c r="A369" s="1">
        <f>IFERROR(__xludf.DUMMYFUNCTION("""COMPUTED_VALUE"""),45071.66666666667)</f>
        <v>45071.66667</v>
      </c>
      <c r="B369" s="2">
        <f>IFERROR(__xludf.DUMMYFUNCTION("""COMPUTED_VALUE"""),665.0)</f>
        <v>665</v>
      </c>
      <c r="C369" s="2">
        <f>IFERROR(__xludf.DUMMYFUNCTION("""COMPUTED_VALUE"""),670.0)</f>
        <v>670</v>
      </c>
      <c r="D369" s="2">
        <f>IFERROR(__xludf.DUMMYFUNCTION("""COMPUTED_VALUE"""),655.0)</f>
        <v>655</v>
      </c>
      <c r="E369" s="2">
        <f>IFERROR(__xludf.DUMMYFUNCTION("""COMPUTED_VALUE"""),655.0)</f>
        <v>655</v>
      </c>
      <c r="F369" s="2">
        <f>IFERROR(__xludf.DUMMYFUNCTION("""COMPUTED_VALUE"""),2.15221E7)</f>
        <v>21522100</v>
      </c>
      <c r="G369" s="2">
        <f t="shared" si="1"/>
        <v>15</v>
      </c>
    </row>
    <row r="370" ht="15.75" customHeight="1">
      <c r="A370" s="1">
        <f>IFERROR(__xludf.DUMMYFUNCTION("""COMPUTED_VALUE"""),45072.66666666667)</f>
        <v>45072.66667</v>
      </c>
      <c r="B370" s="2">
        <f>IFERROR(__xludf.DUMMYFUNCTION("""COMPUTED_VALUE"""),655.0)</f>
        <v>655</v>
      </c>
      <c r="C370" s="2">
        <f>IFERROR(__xludf.DUMMYFUNCTION("""COMPUTED_VALUE"""),660.0)</f>
        <v>660</v>
      </c>
      <c r="D370" s="2">
        <f>IFERROR(__xludf.DUMMYFUNCTION("""COMPUTED_VALUE"""),650.0)</f>
        <v>650</v>
      </c>
      <c r="E370" s="2">
        <f>IFERROR(__xludf.DUMMYFUNCTION("""COMPUTED_VALUE"""),655.0)</f>
        <v>655</v>
      </c>
      <c r="F370" s="2">
        <f>IFERROR(__xludf.DUMMYFUNCTION("""COMPUTED_VALUE"""),1.40288E7)</f>
        <v>14028800</v>
      </c>
      <c r="G370" s="2">
        <f t="shared" si="1"/>
        <v>10</v>
      </c>
    </row>
    <row r="371" ht="15.75" customHeight="1">
      <c r="A371" s="1">
        <f>IFERROR(__xludf.DUMMYFUNCTION("""COMPUTED_VALUE"""),45075.66666666667)</f>
        <v>45075.66667</v>
      </c>
      <c r="B371" s="2">
        <f>IFERROR(__xludf.DUMMYFUNCTION("""COMPUTED_VALUE"""),655.0)</f>
        <v>655</v>
      </c>
      <c r="C371" s="2">
        <f>IFERROR(__xludf.DUMMYFUNCTION("""COMPUTED_VALUE"""),665.0)</f>
        <v>665</v>
      </c>
      <c r="D371" s="2">
        <f>IFERROR(__xludf.DUMMYFUNCTION("""COMPUTED_VALUE"""),655.0)</f>
        <v>655</v>
      </c>
      <c r="E371" s="2">
        <f>IFERROR(__xludf.DUMMYFUNCTION("""COMPUTED_VALUE"""),660.0)</f>
        <v>660</v>
      </c>
      <c r="F371" s="2">
        <f>IFERROR(__xludf.DUMMYFUNCTION("""COMPUTED_VALUE"""),1.20737E7)</f>
        <v>12073700</v>
      </c>
      <c r="G371" s="2">
        <f t="shared" si="1"/>
        <v>10</v>
      </c>
    </row>
    <row r="372" ht="15.75" customHeight="1">
      <c r="A372" s="1">
        <f>IFERROR(__xludf.DUMMYFUNCTION("""COMPUTED_VALUE"""),45076.66666666667)</f>
        <v>45076.66667</v>
      </c>
      <c r="B372" s="2">
        <f>IFERROR(__xludf.DUMMYFUNCTION("""COMPUTED_VALUE"""),665.0)</f>
        <v>665</v>
      </c>
      <c r="C372" s="2">
        <f>IFERROR(__xludf.DUMMYFUNCTION("""COMPUTED_VALUE"""),675.0)</f>
        <v>675</v>
      </c>
      <c r="D372" s="2">
        <f>IFERROR(__xludf.DUMMYFUNCTION("""COMPUTED_VALUE"""),660.0)</f>
        <v>660</v>
      </c>
      <c r="E372" s="2">
        <f>IFERROR(__xludf.DUMMYFUNCTION("""COMPUTED_VALUE"""),665.0)</f>
        <v>665</v>
      </c>
      <c r="F372" s="2">
        <f>IFERROR(__xludf.DUMMYFUNCTION("""COMPUTED_VALUE"""),3.27635E7)</f>
        <v>32763500</v>
      </c>
      <c r="G372" s="2">
        <f t="shared" si="1"/>
        <v>15</v>
      </c>
    </row>
    <row r="373" ht="15.75" customHeight="1">
      <c r="A373" s="1">
        <f>IFERROR(__xludf.DUMMYFUNCTION("""COMPUTED_VALUE"""),45077.66666666667)</f>
        <v>45077.66667</v>
      </c>
      <c r="B373" s="2">
        <f>IFERROR(__xludf.DUMMYFUNCTION("""COMPUTED_VALUE"""),665.0)</f>
        <v>665</v>
      </c>
      <c r="C373" s="2">
        <f>IFERROR(__xludf.DUMMYFUNCTION("""COMPUTED_VALUE"""),670.0)</f>
        <v>670</v>
      </c>
      <c r="D373" s="2">
        <f>IFERROR(__xludf.DUMMYFUNCTION("""COMPUTED_VALUE"""),655.0)</f>
        <v>655</v>
      </c>
      <c r="E373" s="2">
        <f>IFERROR(__xludf.DUMMYFUNCTION("""COMPUTED_VALUE"""),655.0)</f>
        <v>655</v>
      </c>
      <c r="F373" s="2">
        <f>IFERROR(__xludf.DUMMYFUNCTION("""COMPUTED_VALUE"""),4.41565E7)</f>
        <v>44156500</v>
      </c>
      <c r="G373" s="2">
        <f t="shared" si="1"/>
        <v>15</v>
      </c>
    </row>
    <row r="374" ht="15.75" customHeight="1">
      <c r="A374" s="1">
        <f>IFERROR(__xludf.DUMMYFUNCTION("""COMPUTED_VALUE"""),45082.66666666667)</f>
        <v>45082.66667</v>
      </c>
      <c r="B374" s="2">
        <f>IFERROR(__xludf.DUMMYFUNCTION("""COMPUTED_VALUE"""),660.0)</f>
        <v>660</v>
      </c>
      <c r="C374" s="2">
        <f>IFERROR(__xludf.DUMMYFUNCTION("""COMPUTED_VALUE"""),660.0)</f>
        <v>660</v>
      </c>
      <c r="D374" s="2">
        <f>IFERROR(__xludf.DUMMYFUNCTION("""COMPUTED_VALUE"""),645.0)</f>
        <v>645</v>
      </c>
      <c r="E374" s="2">
        <f>IFERROR(__xludf.DUMMYFUNCTION("""COMPUTED_VALUE"""),650.0)</f>
        <v>650</v>
      </c>
      <c r="F374" s="2">
        <f>IFERROR(__xludf.DUMMYFUNCTION("""COMPUTED_VALUE"""),3.00808E7)</f>
        <v>30080800</v>
      </c>
      <c r="G374" s="2">
        <f t="shared" si="1"/>
        <v>15</v>
      </c>
    </row>
    <row r="375" ht="15.75" customHeight="1">
      <c r="A375" s="1">
        <f>IFERROR(__xludf.DUMMYFUNCTION("""COMPUTED_VALUE"""),45083.66666666667)</f>
        <v>45083.66667</v>
      </c>
      <c r="B375" s="2">
        <f>IFERROR(__xludf.DUMMYFUNCTION("""COMPUTED_VALUE"""),650.0)</f>
        <v>650</v>
      </c>
      <c r="C375" s="2">
        <f>IFERROR(__xludf.DUMMYFUNCTION("""COMPUTED_VALUE"""),655.0)</f>
        <v>655</v>
      </c>
      <c r="D375" s="2">
        <f>IFERROR(__xludf.DUMMYFUNCTION("""COMPUTED_VALUE"""),640.0)</f>
        <v>640</v>
      </c>
      <c r="E375" s="2">
        <f>IFERROR(__xludf.DUMMYFUNCTION("""COMPUTED_VALUE"""),640.0)</f>
        <v>640</v>
      </c>
      <c r="F375" s="2">
        <f>IFERROR(__xludf.DUMMYFUNCTION("""COMPUTED_VALUE"""),2.7348E7)</f>
        <v>27348000</v>
      </c>
      <c r="G375" s="2">
        <f t="shared" si="1"/>
        <v>15</v>
      </c>
    </row>
    <row r="376" ht="15.75" customHeight="1">
      <c r="A376" s="1">
        <f>IFERROR(__xludf.DUMMYFUNCTION("""COMPUTED_VALUE"""),45084.66666666667)</f>
        <v>45084.66667</v>
      </c>
      <c r="B376" s="2">
        <f>IFERROR(__xludf.DUMMYFUNCTION("""COMPUTED_VALUE"""),640.0)</f>
        <v>640</v>
      </c>
      <c r="C376" s="2">
        <f>IFERROR(__xludf.DUMMYFUNCTION("""COMPUTED_VALUE"""),645.0)</f>
        <v>645</v>
      </c>
      <c r="D376" s="2">
        <f>IFERROR(__xludf.DUMMYFUNCTION("""COMPUTED_VALUE"""),625.0)</f>
        <v>625</v>
      </c>
      <c r="E376" s="2">
        <f>IFERROR(__xludf.DUMMYFUNCTION("""COMPUTED_VALUE"""),630.0)</f>
        <v>630</v>
      </c>
      <c r="F376" s="2">
        <f>IFERROR(__xludf.DUMMYFUNCTION("""COMPUTED_VALUE"""),4.33956E7)</f>
        <v>43395600</v>
      </c>
      <c r="G376" s="2">
        <f t="shared" si="1"/>
        <v>20</v>
      </c>
    </row>
    <row r="377" ht="15.75" customHeight="1">
      <c r="A377" s="1">
        <f>IFERROR(__xludf.DUMMYFUNCTION("""COMPUTED_VALUE"""),45085.66666666667)</f>
        <v>45085.66667</v>
      </c>
      <c r="B377" s="2">
        <f>IFERROR(__xludf.DUMMYFUNCTION("""COMPUTED_VALUE"""),630.0)</f>
        <v>630</v>
      </c>
      <c r="C377" s="2">
        <f>IFERROR(__xludf.DUMMYFUNCTION("""COMPUTED_VALUE"""),660.0)</f>
        <v>660</v>
      </c>
      <c r="D377" s="2">
        <f>IFERROR(__xludf.DUMMYFUNCTION("""COMPUTED_VALUE"""),620.0)</f>
        <v>620</v>
      </c>
      <c r="E377" s="2">
        <f>IFERROR(__xludf.DUMMYFUNCTION("""COMPUTED_VALUE"""),635.0)</f>
        <v>635</v>
      </c>
      <c r="F377" s="2">
        <f>IFERROR(__xludf.DUMMYFUNCTION("""COMPUTED_VALUE"""),9.59176E7)</f>
        <v>95917600</v>
      </c>
      <c r="G377" s="2">
        <f t="shared" si="1"/>
        <v>40</v>
      </c>
    </row>
    <row r="378" ht="15.75" customHeight="1">
      <c r="A378" s="1">
        <f>IFERROR(__xludf.DUMMYFUNCTION("""COMPUTED_VALUE"""),45086.66666666667)</f>
        <v>45086.66667</v>
      </c>
      <c r="B378" s="2">
        <f>IFERROR(__xludf.DUMMYFUNCTION("""COMPUTED_VALUE"""),635.0)</f>
        <v>635</v>
      </c>
      <c r="C378" s="2">
        <f>IFERROR(__xludf.DUMMYFUNCTION("""COMPUTED_VALUE"""),655.0)</f>
        <v>655</v>
      </c>
      <c r="D378" s="2">
        <f>IFERROR(__xludf.DUMMYFUNCTION("""COMPUTED_VALUE"""),625.0)</f>
        <v>625</v>
      </c>
      <c r="E378" s="2">
        <f>IFERROR(__xludf.DUMMYFUNCTION("""COMPUTED_VALUE"""),645.0)</f>
        <v>645</v>
      </c>
      <c r="F378" s="2">
        <f>IFERROR(__xludf.DUMMYFUNCTION("""COMPUTED_VALUE"""),6.50177E7)</f>
        <v>65017700</v>
      </c>
      <c r="G378" s="2">
        <f t="shared" si="1"/>
        <v>30</v>
      </c>
    </row>
    <row r="379" ht="15.75" customHeight="1">
      <c r="A379" s="1">
        <f>IFERROR(__xludf.DUMMYFUNCTION("""COMPUTED_VALUE"""),45089.66666666667)</f>
        <v>45089.66667</v>
      </c>
      <c r="B379" s="2">
        <f>IFERROR(__xludf.DUMMYFUNCTION("""COMPUTED_VALUE"""),645.0)</f>
        <v>645</v>
      </c>
      <c r="C379" s="2">
        <f>IFERROR(__xludf.DUMMYFUNCTION("""COMPUTED_VALUE"""),655.0)</f>
        <v>655</v>
      </c>
      <c r="D379" s="2">
        <f>IFERROR(__xludf.DUMMYFUNCTION("""COMPUTED_VALUE"""),640.0)</f>
        <v>640</v>
      </c>
      <c r="E379" s="2">
        <f>IFERROR(__xludf.DUMMYFUNCTION("""COMPUTED_VALUE"""),645.0)</f>
        <v>645</v>
      </c>
      <c r="F379" s="2">
        <f>IFERROR(__xludf.DUMMYFUNCTION("""COMPUTED_VALUE"""),1.340038E8)</f>
        <v>134003800</v>
      </c>
      <c r="G379" s="2">
        <f t="shared" si="1"/>
        <v>15</v>
      </c>
    </row>
    <row r="380" ht="15.75" customHeight="1">
      <c r="A380" s="1">
        <f>IFERROR(__xludf.DUMMYFUNCTION("""COMPUTED_VALUE"""),45090.66666666667)</f>
        <v>45090.66667</v>
      </c>
      <c r="B380" s="2">
        <f>IFERROR(__xludf.DUMMYFUNCTION("""COMPUTED_VALUE"""),650.0)</f>
        <v>650</v>
      </c>
      <c r="C380" s="2">
        <f>IFERROR(__xludf.DUMMYFUNCTION("""COMPUTED_VALUE"""),655.0)</f>
        <v>655</v>
      </c>
      <c r="D380" s="2">
        <f>IFERROR(__xludf.DUMMYFUNCTION("""COMPUTED_VALUE"""),630.0)</f>
        <v>630</v>
      </c>
      <c r="E380" s="2">
        <f>IFERROR(__xludf.DUMMYFUNCTION("""COMPUTED_VALUE"""),635.0)</f>
        <v>635</v>
      </c>
      <c r="F380" s="2">
        <f>IFERROR(__xludf.DUMMYFUNCTION("""COMPUTED_VALUE"""),6.93574E7)</f>
        <v>69357400</v>
      </c>
      <c r="G380" s="2">
        <f t="shared" si="1"/>
        <v>25</v>
      </c>
    </row>
    <row r="381" ht="15.75" customHeight="1">
      <c r="A381" s="1">
        <f>IFERROR(__xludf.DUMMYFUNCTION("""COMPUTED_VALUE"""),45091.66666666667)</f>
        <v>45091.66667</v>
      </c>
      <c r="B381" s="2">
        <f>IFERROR(__xludf.DUMMYFUNCTION("""COMPUTED_VALUE"""),635.0)</f>
        <v>635</v>
      </c>
      <c r="C381" s="2">
        <f>IFERROR(__xludf.DUMMYFUNCTION("""COMPUTED_VALUE"""),640.0)</f>
        <v>640</v>
      </c>
      <c r="D381" s="2">
        <f>IFERROR(__xludf.DUMMYFUNCTION("""COMPUTED_VALUE"""),625.0)</f>
        <v>625</v>
      </c>
      <c r="E381" s="2">
        <f>IFERROR(__xludf.DUMMYFUNCTION("""COMPUTED_VALUE"""),640.0)</f>
        <v>640</v>
      </c>
      <c r="F381" s="2">
        <f>IFERROR(__xludf.DUMMYFUNCTION("""COMPUTED_VALUE"""),6.51822E7)</f>
        <v>65182200</v>
      </c>
      <c r="G381" s="2">
        <f t="shared" si="1"/>
        <v>15</v>
      </c>
    </row>
    <row r="382" ht="15.75" customHeight="1">
      <c r="A382" s="1">
        <f>IFERROR(__xludf.DUMMYFUNCTION("""COMPUTED_VALUE"""),45092.66666666667)</f>
        <v>45092.66667</v>
      </c>
      <c r="B382" s="2">
        <f>IFERROR(__xludf.DUMMYFUNCTION("""COMPUTED_VALUE"""),640.0)</f>
        <v>640</v>
      </c>
      <c r="C382" s="2">
        <f>IFERROR(__xludf.DUMMYFUNCTION("""COMPUTED_VALUE"""),655.0)</f>
        <v>655</v>
      </c>
      <c r="D382" s="2">
        <f>IFERROR(__xludf.DUMMYFUNCTION("""COMPUTED_VALUE"""),635.0)</f>
        <v>635</v>
      </c>
      <c r="E382" s="2">
        <f>IFERROR(__xludf.DUMMYFUNCTION("""COMPUTED_VALUE"""),650.0)</f>
        <v>650</v>
      </c>
      <c r="F382" s="2">
        <f>IFERROR(__xludf.DUMMYFUNCTION("""COMPUTED_VALUE"""),4.30246E7)</f>
        <v>43024600</v>
      </c>
      <c r="G382" s="2">
        <f t="shared" si="1"/>
        <v>20</v>
      </c>
    </row>
    <row r="383" ht="15.75" customHeight="1">
      <c r="A383" s="1">
        <f>IFERROR(__xludf.DUMMYFUNCTION("""COMPUTED_VALUE"""),45093.66666666667)</f>
        <v>45093.66667</v>
      </c>
      <c r="B383" s="2">
        <f>IFERROR(__xludf.DUMMYFUNCTION("""COMPUTED_VALUE"""),650.0)</f>
        <v>650</v>
      </c>
      <c r="C383" s="2">
        <f>IFERROR(__xludf.DUMMYFUNCTION("""COMPUTED_VALUE"""),680.0)</f>
        <v>680</v>
      </c>
      <c r="D383" s="2">
        <f>IFERROR(__xludf.DUMMYFUNCTION("""COMPUTED_VALUE"""),650.0)</f>
        <v>650</v>
      </c>
      <c r="E383" s="2">
        <f>IFERROR(__xludf.DUMMYFUNCTION("""COMPUTED_VALUE"""),670.0)</f>
        <v>670</v>
      </c>
      <c r="F383" s="2">
        <f>IFERROR(__xludf.DUMMYFUNCTION("""COMPUTED_VALUE"""),2.458115E8)</f>
        <v>245811500</v>
      </c>
      <c r="G383" s="2">
        <f t="shared" si="1"/>
        <v>30</v>
      </c>
    </row>
    <row r="384" ht="15.75" customHeight="1">
      <c r="A384" s="1">
        <f>IFERROR(__xludf.DUMMYFUNCTION("""COMPUTED_VALUE"""),45096.66666666667)</f>
        <v>45096.66667</v>
      </c>
      <c r="B384" s="2">
        <f>IFERROR(__xludf.DUMMYFUNCTION("""COMPUTED_VALUE"""),670.0)</f>
        <v>670</v>
      </c>
      <c r="C384" s="2">
        <f>IFERROR(__xludf.DUMMYFUNCTION("""COMPUTED_VALUE"""),695.0)</f>
        <v>695</v>
      </c>
      <c r="D384" s="2">
        <f>IFERROR(__xludf.DUMMYFUNCTION("""COMPUTED_VALUE"""),670.0)</f>
        <v>670</v>
      </c>
      <c r="E384" s="2">
        <f>IFERROR(__xludf.DUMMYFUNCTION("""COMPUTED_VALUE"""),685.0)</f>
        <v>685</v>
      </c>
      <c r="F384" s="2">
        <f>IFERROR(__xludf.DUMMYFUNCTION("""COMPUTED_VALUE"""),7.67018E7)</f>
        <v>76701800</v>
      </c>
      <c r="G384" s="2">
        <f t="shared" si="1"/>
        <v>25</v>
      </c>
    </row>
    <row r="385" ht="15.75" customHeight="1">
      <c r="A385" s="1">
        <f>IFERROR(__xludf.DUMMYFUNCTION("""COMPUTED_VALUE"""),45097.66666666667)</f>
        <v>45097.66667</v>
      </c>
      <c r="B385" s="2">
        <f>IFERROR(__xludf.DUMMYFUNCTION("""COMPUTED_VALUE"""),685.0)</f>
        <v>685</v>
      </c>
      <c r="C385" s="2">
        <f>IFERROR(__xludf.DUMMYFUNCTION("""COMPUTED_VALUE"""),690.0)</f>
        <v>690</v>
      </c>
      <c r="D385" s="2">
        <f>IFERROR(__xludf.DUMMYFUNCTION("""COMPUTED_VALUE"""),665.0)</f>
        <v>665</v>
      </c>
      <c r="E385" s="2">
        <f>IFERROR(__xludf.DUMMYFUNCTION("""COMPUTED_VALUE"""),670.0)</f>
        <v>670</v>
      </c>
      <c r="F385" s="2">
        <f>IFERROR(__xludf.DUMMYFUNCTION("""COMPUTED_VALUE"""),2.68148E7)</f>
        <v>26814800</v>
      </c>
      <c r="G385" s="2">
        <f t="shared" si="1"/>
        <v>25</v>
      </c>
    </row>
    <row r="386" ht="15.75" customHeight="1">
      <c r="A386" s="1">
        <f>IFERROR(__xludf.DUMMYFUNCTION("""COMPUTED_VALUE"""),45098.66666666667)</f>
        <v>45098.66667</v>
      </c>
      <c r="B386" s="2">
        <f>IFERROR(__xludf.DUMMYFUNCTION("""COMPUTED_VALUE"""),670.0)</f>
        <v>670</v>
      </c>
      <c r="C386" s="2">
        <f>IFERROR(__xludf.DUMMYFUNCTION("""COMPUTED_VALUE"""),685.0)</f>
        <v>685</v>
      </c>
      <c r="D386" s="2">
        <f>IFERROR(__xludf.DUMMYFUNCTION("""COMPUTED_VALUE"""),655.0)</f>
        <v>655</v>
      </c>
      <c r="E386" s="2">
        <f>IFERROR(__xludf.DUMMYFUNCTION("""COMPUTED_VALUE"""),680.0)</f>
        <v>680</v>
      </c>
      <c r="F386" s="2">
        <f>IFERROR(__xludf.DUMMYFUNCTION("""COMPUTED_VALUE"""),4.02771E7)</f>
        <v>40277100</v>
      </c>
      <c r="G386" s="2">
        <f t="shared" si="1"/>
        <v>30</v>
      </c>
    </row>
    <row r="387" ht="15.75" customHeight="1">
      <c r="A387" s="1">
        <f>IFERROR(__xludf.DUMMYFUNCTION("""COMPUTED_VALUE"""),45099.66666666667)</f>
        <v>45099.66667</v>
      </c>
      <c r="B387" s="2">
        <f>IFERROR(__xludf.DUMMYFUNCTION("""COMPUTED_VALUE"""),680.0)</f>
        <v>680</v>
      </c>
      <c r="C387" s="2">
        <f>IFERROR(__xludf.DUMMYFUNCTION("""COMPUTED_VALUE"""),685.0)</f>
        <v>685</v>
      </c>
      <c r="D387" s="2">
        <f>IFERROR(__xludf.DUMMYFUNCTION("""COMPUTED_VALUE"""),670.0)</f>
        <v>670</v>
      </c>
      <c r="E387" s="2">
        <f>IFERROR(__xludf.DUMMYFUNCTION("""COMPUTED_VALUE"""),670.0)</f>
        <v>670</v>
      </c>
      <c r="F387" s="2">
        <f>IFERROR(__xludf.DUMMYFUNCTION("""COMPUTED_VALUE"""),1.8819E7)</f>
        <v>18819000</v>
      </c>
      <c r="G387" s="2">
        <f t="shared" si="1"/>
        <v>15</v>
      </c>
    </row>
    <row r="388" ht="15.75" customHeight="1">
      <c r="A388" s="1">
        <f>IFERROR(__xludf.DUMMYFUNCTION("""COMPUTED_VALUE"""),45100.66666666667)</f>
        <v>45100.66667</v>
      </c>
      <c r="B388" s="2">
        <f>IFERROR(__xludf.DUMMYFUNCTION("""COMPUTED_VALUE"""),670.0)</f>
        <v>670</v>
      </c>
      <c r="C388" s="2">
        <f>IFERROR(__xludf.DUMMYFUNCTION("""COMPUTED_VALUE"""),680.0)</f>
        <v>680</v>
      </c>
      <c r="D388" s="2">
        <f>IFERROR(__xludf.DUMMYFUNCTION("""COMPUTED_VALUE"""),660.0)</f>
        <v>660</v>
      </c>
      <c r="E388" s="2">
        <f>IFERROR(__xludf.DUMMYFUNCTION("""COMPUTED_VALUE"""),670.0)</f>
        <v>670</v>
      </c>
      <c r="F388" s="2">
        <f>IFERROR(__xludf.DUMMYFUNCTION("""COMPUTED_VALUE"""),1.9288E7)</f>
        <v>19288000</v>
      </c>
      <c r="G388" s="2">
        <f t="shared" si="1"/>
        <v>20</v>
      </c>
    </row>
    <row r="389" ht="15.75" customHeight="1">
      <c r="A389" s="1">
        <f>IFERROR(__xludf.DUMMYFUNCTION("""COMPUTED_VALUE"""),45103.66666666667)</f>
        <v>45103.66667</v>
      </c>
      <c r="B389" s="2">
        <f>IFERROR(__xludf.DUMMYFUNCTION("""COMPUTED_VALUE"""),670.0)</f>
        <v>670</v>
      </c>
      <c r="C389" s="2">
        <f>IFERROR(__xludf.DUMMYFUNCTION("""COMPUTED_VALUE"""),680.0)</f>
        <v>680</v>
      </c>
      <c r="D389" s="2">
        <f>IFERROR(__xludf.DUMMYFUNCTION("""COMPUTED_VALUE"""),660.0)</f>
        <v>660</v>
      </c>
      <c r="E389" s="2">
        <f>IFERROR(__xludf.DUMMYFUNCTION("""COMPUTED_VALUE"""),670.0)</f>
        <v>670</v>
      </c>
      <c r="F389" s="2">
        <f>IFERROR(__xludf.DUMMYFUNCTION("""COMPUTED_VALUE"""),1.70313E7)</f>
        <v>17031300</v>
      </c>
      <c r="G389" s="2">
        <f t="shared" si="1"/>
        <v>20</v>
      </c>
    </row>
    <row r="390" ht="15.75" customHeight="1">
      <c r="A390" s="1">
        <f>IFERROR(__xludf.DUMMYFUNCTION("""COMPUTED_VALUE"""),45104.66666666667)</f>
        <v>45104.66667</v>
      </c>
      <c r="B390" s="2">
        <f>IFERROR(__xludf.DUMMYFUNCTION("""COMPUTED_VALUE"""),670.0)</f>
        <v>670</v>
      </c>
      <c r="C390" s="2">
        <f>IFERROR(__xludf.DUMMYFUNCTION("""COMPUTED_VALUE"""),675.0)</f>
        <v>675</v>
      </c>
      <c r="D390" s="2">
        <f>IFERROR(__xludf.DUMMYFUNCTION("""COMPUTED_VALUE"""),660.0)</f>
        <v>660</v>
      </c>
      <c r="E390" s="2">
        <f>IFERROR(__xludf.DUMMYFUNCTION("""COMPUTED_VALUE"""),665.0)</f>
        <v>665</v>
      </c>
      <c r="F390" s="2">
        <f>IFERROR(__xludf.DUMMYFUNCTION("""COMPUTED_VALUE"""),2.29059E7)</f>
        <v>22905900</v>
      </c>
      <c r="G390" s="2">
        <f t="shared" si="1"/>
        <v>15</v>
      </c>
    </row>
    <row r="391" ht="15.75" customHeight="1">
      <c r="A391" s="1">
        <f>IFERROR(__xludf.DUMMYFUNCTION("""COMPUTED_VALUE"""),45110.66666666667)</f>
        <v>45110.66667</v>
      </c>
      <c r="B391" s="2">
        <f>IFERROR(__xludf.DUMMYFUNCTION("""COMPUTED_VALUE"""),665.0)</f>
        <v>665</v>
      </c>
      <c r="C391" s="2">
        <f>IFERROR(__xludf.DUMMYFUNCTION("""COMPUTED_VALUE"""),680.0)</f>
        <v>680</v>
      </c>
      <c r="D391" s="2">
        <f>IFERROR(__xludf.DUMMYFUNCTION("""COMPUTED_VALUE"""),650.0)</f>
        <v>650</v>
      </c>
      <c r="E391" s="2">
        <f>IFERROR(__xludf.DUMMYFUNCTION("""COMPUTED_VALUE"""),670.0)</f>
        <v>670</v>
      </c>
      <c r="F391" s="2">
        <f>IFERROR(__xludf.DUMMYFUNCTION("""COMPUTED_VALUE"""),4.64399E7)</f>
        <v>46439900</v>
      </c>
      <c r="G391" s="2">
        <f t="shared" si="1"/>
        <v>30</v>
      </c>
    </row>
    <row r="392" ht="15.75" customHeight="1">
      <c r="A392" s="1">
        <f>IFERROR(__xludf.DUMMYFUNCTION("""COMPUTED_VALUE"""),45111.66666666667)</f>
        <v>45111.66667</v>
      </c>
      <c r="B392" s="2">
        <f>IFERROR(__xludf.DUMMYFUNCTION("""COMPUTED_VALUE"""),675.0)</f>
        <v>675</v>
      </c>
      <c r="C392" s="2">
        <f>IFERROR(__xludf.DUMMYFUNCTION("""COMPUTED_VALUE"""),690.0)</f>
        <v>690</v>
      </c>
      <c r="D392" s="2">
        <f>IFERROR(__xludf.DUMMYFUNCTION("""COMPUTED_VALUE"""),670.0)</f>
        <v>670</v>
      </c>
      <c r="E392" s="2">
        <f>IFERROR(__xludf.DUMMYFUNCTION("""COMPUTED_VALUE"""),685.0)</f>
        <v>685</v>
      </c>
      <c r="F392" s="2">
        <f>IFERROR(__xludf.DUMMYFUNCTION("""COMPUTED_VALUE"""),4.93594E7)</f>
        <v>49359400</v>
      </c>
      <c r="G392" s="2">
        <f t="shared" si="1"/>
        <v>20</v>
      </c>
    </row>
    <row r="393" ht="15.75" customHeight="1">
      <c r="A393" s="1">
        <f>IFERROR(__xludf.DUMMYFUNCTION("""COMPUTED_VALUE"""),45112.66666666667)</f>
        <v>45112.66667</v>
      </c>
      <c r="B393" s="2">
        <f>IFERROR(__xludf.DUMMYFUNCTION("""COMPUTED_VALUE"""),685.0)</f>
        <v>685</v>
      </c>
      <c r="C393" s="2">
        <f>IFERROR(__xludf.DUMMYFUNCTION("""COMPUTED_VALUE"""),695.0)</f>
        <v>695</v>
      </c>
      <c r="D393" s="2">
        <f>IFERROR(__xludf.DUMMYFUNCTION("""COMPUTED_VALUE"""),680.0)</f>
        <v>680</v>
      </c>
      <c r="E393" s="2">
        <f>IFERROR(__xludf.DUMMYFUNCTION("""COMPUTED_VALUE"""),690.0)</f>
        <v>690</v>
      </c>
      <c r="F393" s="2">
        <f>IFERROR(__xludf.DUMMYFUNCTION("""COMPUTED_VALUE"""),2.51501E7)</f>
        <v>25150100</v>
      </c>
      <c r="G393" s="2">
        <f t="shared" si="1"/>
        <v>15</v>
      </c>
    </row>
    <row r="394" ht="15.75" customHeight="1">
      <c r="A394" s="1">
        <f>IFERROR(__xludf.DUMMYFUNCTION("""COMPUTED_VALUE"""),45113.66666666667)</f>
        <v>45113.66667</v>
      </c>
      <c r="B394" s="2">
        <f>IFERROR(__xludf.DUMMYFUNCTION("""COMPUTED_VALUE"""),690.0)</f>
        <v>690</v>
      </c>
      <c r="C394" s="2">
        <f>IFERROR(__xludf.DUMMYFUNCTION("""COMPUTED_VALUE"""),690.0)</f>
        <v>690</v>
      </c>
      <c r="D394" s="2">
        <f>IFERROR(__xludf.DUMMYFUNCTION("""COMPUTED_VALUE"""),670.0)</f>
        <v>670</v>
      </c>
      <c r="E394" s="2">
        <f>IFERROR(__xludf.DUMMYFUNCTION("""COMPUTED_VALUE"""),675.0)</f>
        <v>675</v>
      </c>
      <c r="F394" s="2">
        <f>IFERROR(__xludf.DUMMYFUNCTION("""COMPUTED_VALUE"""),4.28965E7)</f>
        <v>42896500</v>
      </c>
      <c r="G394" s="2">
        <f t="shared" si="1"/>
        <v>20</v>
      </c>
    </row>
    <row r="395" ht="15.75" customHeight="1">
      <c r="A395" s="1">
        <f>IFERROR(__xludf.DUMMYFUNCTION("""COMPUTED_VALUE"""),45114.66666666667)</f>
        <v>45114.66667</v>
      </c>
      <c r="B395" s="2">
        <f>IFERROR(__xludf.DUMMYFUNCTION("""COMPUTED_VALUE"""),675.0)</f>
        <v>675</v>
      </c>
      <c r="C395" s="2">
        <f>IFERROR(__xludf.DUMMYFUNCTION("""COMPUTED_VALUE"""),685.0)</f>
        <v>685</v>
      </c>
      <c r="D395" s="2">
        <f>IFERROR(__xludf.DUMMYFUNCTION("""COMPUTED_VALUE"""),665.0)</f>
        <v>665</v>
      </c>
      <c r="E395" s="2">
        <f>IFERROR(__xludf.DUMMYFUNCTION("""COMPUTED_VALUE"""),680.0)</f>
        <v>680</v>
      </c>
      <c r="F395" s="2">
        <f>IFERROR(__xludf.DUMMYFUNCTION("""COMPUTED_VALUE"""),1.83959E7)</f>
        <v>18395900</v>
      </c>
      <c r="G395" s="2">
        <f t="shared" si="1"/>
        <v>20</v>
      </c>
    </row>
    <row r="396" ht="15.75" customHeight="1">
      <c r="A396" s="1">
        <f>IFERROR(__xludf.DUMMYFUNCTION("""COMPUTED_VALUE"""),45117.66666666667)</f>
        <v>45117.66667</v>
      </c>
      <c r="B396" s="2">
        <f>IFERROR(__xludf.DUMMYFUNCTION("""COMPUTED_VALUE"""),680.0)</f>
        <v>680</v>
      </c>
      <c r="C396" s="2">
        <f>IFERROR(__xludf.DUMMYFUNCTION("""COMPUTED_VALUE"""),690.0)</f>
        <v>690</v>
      </c>
      <c r="D396" s="2">
        <f>IFERROR(__xludf.DUMMYFUNCTION("""COMPUTED_VALUE"""),675.0)</f>
        <v>675</v>
      </c>
      <c r="E396" s="2">
        <f>IFERROR(__xludf.DUMMYFUNCTION("""COMPUTED_VALUE"""),680.0)</f>
        <v>680</v>
      </c>
      <c r="F396" s="2">
        <f>IFERROR(__xludf.DUMMYFUNCTION("""COMPUTED_VALUE"""),1.48618E7)</f>
        <v>14861800</v>
      </c>
      <c r="G396" s="2">
        <f t="shared" si="1"/>
        <v>15</v>
      </c>
    </row>
    <row r="397" ht="15.75" customHeight="1">
      <c r="A397" s="1">
        <f>IFERROR(__xludf.DUMMYFUNCTION("""COMPUTED_VALUE"""),45118.66666666667)</f>
        <v>45118.66667</v>
      </c>
      <c r="B397" s="2">
        <f>IFERROR(__xludf.DUMMYFUNCTION("""COMPUTED_VALUE"""),680.0)</f>
        <v>680</v>
      </c>
      <c r="C397" s="2">
        <f>IFERROR(__xludf.DUMMYFUNCTION("""COMPUTED_VALUE"""),680.0)</f>
        <v>680</v>
      </c>
      <c r="D397" s="2">
        <f>IFERROR(__xludf.DUMMYFUNCTION("""COMPUTED_VALUE"""),665.0)</f>
        <v>665</v>
      </c>
      <c r="E397" s="2">
        <f>IFERROR(__xludf.DUMMYFUNCTION("""COMPUTED_VALUE"""),670.0)</f>
        <v>670</v>
      </c>
      <c r="F397" s="2">
        <f>IFERROR(__xludf.DUMMYFUNCTION("""COMPUTED_VALUE"""),3.08526E7)</f>
        <v>30852600</v>
      </c>
      <c r="G397" s="2">
        <f t="shared" si="1"/>
        <v>15</v>
      </c>
    </row>
    <row r="398" ht="15.75" customHeight="1">
      <c r="A398" s="1">
        <f>IFERROR(__xludf.DUMMYFUNCTION("""COMPUTED_VALUE"""),45119.66666666667)</f>
        <v>45119.66667</v>
      </c>
      <c r="B398" s="2">
        <f>IFERROR(__xludf.DUMMYFUNCTION("""COMPUTED_VALUE"""),675.0)</f>
        <v>675</v>
      </c>
      <c r="C398" s="2">
        <f>IFERROR(__xludf.DUMMYFUNCTION("""COMPUTED_VALUE"""),675.0)</f>
        <v>675</v>
      </c>
      <c r="D398" s="2">
        <f>IFERROR(__xludf.DUMMYFUNCTION("""COMPUTED_VALUE"""),665.0)</f>
        <v>665</v>
      </c>
      <c r="E398" s="2">
        <f>IFERROR(__xludf.DUMMYFUNCTION("""COMPUTED_VALUE"""),665.0)</f>
        <v>665</v>
      </c>
      <c r="F398" s="2">
        <f>IFERROR(__xludf.DUMMYFUNCTION("""COMPUTED_VALUE"""),1.9131E7)</f>
        <v>19131000</v>
      </c>
      <c r="G398" s="2">
        <f t="shared" si="1"/>
        <v>10</v>
      </c>
    </row>
    <row r="399" ht="15.75" customHeight="1">
      <c r="A399" s="1">
        <f>IFERROR(__xludf.DUMMYFUNCTION("""COMPUTED_VALUE"""),45120.66666666667)</f>
        <v>45120.66667</v>
      </c>
      <c r="B399" s="2">
        <f>IFERROR(__xludf.DUMMYFUNCTION("""COMPUTED_VALUE"""),670.0)</f>
        <v>670</v>
      </c>
      <c r="C399" s="2">
        <f>IFERROR(__xludf.DUMMYFUNCTION("""COMPUTED_VALUE"""),680.0)</f>
        <v>680</v>
      </c>
      <c r="D399" s="2">
        <f>IFERROR(__xludf.DUMMYFUNCTION("""COMPUTED_VALUE"""),650.0)</f>
        <v>650</v>
      </c>
      <c r="E399" s="2">
        <f>IFERROR(__xludf.DUMMYFUNCTION("""COMPUTED_VALUE"""),665.0)</f>
        <v>665</v>
      </c>
      <c r="F399" s="2">
        <f>IFERROR(__xludf.DUMMYFUNCTION("""COMPUTED_VALUE"""),4.94616E7)</f>
        <v>49461600</v>
      </c>
      <c r="G399" s="2">
        <f t="shared" si="1"/>
        <v>30</v>
      </c>
    </row>
    <row r="400" ht="15.75" customHeight="1">
      <c r="A400" s="1">
        <f>IFERROR(__xludf.DUMMYFUNCTION("""COMPUTED_VALUE"""),45121.66666666667)</f>
        <v>45121.66667</v>
      </c>
      <c r="B400" s="2">
        <f>IFERROR(__xludf.DUMMYFUNCTION("""COMPUTED_VALUE"""),660.0)</f>
        <v>660</v>
      </c>
      <c r="C400" s="2">
        <f>IFERROR(__xludf.DUMMYFUNCTION("""COMPUTED_VALUE"""),680.0)</f>
        <v>680</v>
      </c>
      <c r="D400" s="2">
        <f>IFERROR(__xludf.DUMMYFUNCTION("""COMPUTED_VALUE"""),655.0)</f>
        <v>655</v>
      </c>
      <c r="E400" s="2">
        <f>IFERROR(__xludf.DUMMYFUNCTION("""COMPUTED_VALUE"""),665.0)</f>
        <v>665</v>
      </c>
      <c r="F400" s="2">
        <f>IFERROR(__xludf.DUMMYFUNCTION("""COMPUTED_VALUE"""),3.87152E7)</f>
        <v>38715200</v>
      </c>
      <c r="G400" s="2">
        <f t="shared" si="1"/>
        <v>25</v>
      </c>
    </row>
    <row r="401" ht="15.75" customHeight="1">
      <c r="A401" s="1">
        <f>IFERROR(__xludf.DUMMYFUNCTION("""COMPUTED_VALUE"""),45124.66666666667)</f>
        <v>45124.66667</v>
      </c>
      <c r="B401" s="2">
        <f>IFERROR(__xludf.DUMMYFUNCTION("""COMPUTED_VALUE"""),670.0)</f>
        <v>670</v>
      </c>
      <c r="C401" s="2">
        <f>IFERROR(__xludf.DUMMYFUNCTION("""COMPUTED_VALUE"""),675.0)</f>
        <v>675</v>
      </c>
      <c r="D401" s="2">
        <f>IFERROR(__xludf.DUMMYFUNCTION("""COMPUTED_VALUE"""),655.0)</f>
        <v>655</v>
      </c>
      <c r="E401" s="2">
        <f>IFERROR(__xludf.DUMMYFUNCTION("""COMPUTED_VALUE"""),660.0)</f>
        <v>660</v>
      </c>
      <c r="F401" s="2">
        <f>IFERROR(__xludf.DUMMYFUNCTION("""COMPUTED_VALUE"""),2.84588E7)</f>
        <v>28458800</v>
      </c>
      <c r="G401" s="2">
        <f t="shared" si="1"/>
        <v>20</v>
      </c>
    </row>
    <row r="402" ht="15.75" customHeight="1">
      <c r="A402" s="1">
        <f>IFERROR(__xludf.DUMMYFUNCTION("""COMPUTED_VALUE"""),45125.66666666667)</f>
        <v>45125.66667</v>
      </c>
      <c r="B402" s="2">
        <f>IFERROR(__xludf.DUMMYFUNCTION("""COMPUTED_VALUE"""),665.0)</f>
        <v>665</v>
      </c>
      <c r="C402" s="2">
        <f>IFERROR(__xludf.DUMMYFUNCTION("""COMPUTED_VALUE"""),665.0)</f>
        <v>665</v>
      </c>
      <c r="D402" s="2">
        <f>IFERROR(__xludf.DUMMYFUNCTION("""COMPUTED_VALUE"""),650.0)</f>
        <v>650</v>
      </c>
      <c r="E402" s="2">
        <f>IFERROR(__xludf.DUMMYFUNCTION("""COMPUTED_VALUE"""),650.0)</f>
        <v>650</v>
      </c>
      <c r="F402" s="2">
        <f>IFERROR(__xludf.DUMMYFUNCTION("""COMPUTED_VALUE"""),3.25377E7)</f>
        <v>32537700</v>
      </c>
      <c r="G402" s="2">
        <f t="shared" si="1"/>
        <v>15</v>
      </c>
    </row>
    <row r="403" ht="15.75" customHeight="1">
      <c r="A403" s="1">
        <f>IFERROR(__xludf.DUMMYFUNCTION("""COMPUTED_VALUE"""),45127.66666666667)</f>
        <v>45127.66667</v>
      </c>
      <c r="B403" s="2">
        <f>IFERROR(__xludf.DUMMYFUNCTION("""COMPUTED_VALUE"""),650.0)</f>
        <v>650</v>
      </c>
      <c r="C403" s="2">
        <f>IFERROR(__xludf.DUMMYFUNCTION("""COMPUTED_VALUE"""),670.0)</f>
        <v>670</v>
      </c>
      <c r="D403" s="2">
        <f>IFERROR(__xludf.DUMMYFUNCTION("""COMPUTED_VALUE"""),650.0)</f>
        <v>650</v>
      </c>
      <c r="E403" s="2">
        <f>IFERROR(__xludf.DUMMYFUNCTION("""COMPUTED_VALUE"""),665.0)</f>
        <v>665</v>
      </c>
      <c r="F403" s="2">
        <f>IFERROR(__xludf.DUMMYFUNCTION("""COMPUTED_VALUE"""),3.70735E7)</f>
        <v>37073500</v>
      </c>
      <c r="G403" s="2">
        <f t="shared" si="1"/>
        <v>20</v>
      </c>
    </row>
    <row r="404" ht="15.75" customHeight="1">
      <c r="A404" s="1">
        <f>IFERROR(__xludf.DUMMYFUNCTION("""COMPUTED_VALUE"""),45128.66666666667)</f>
        <v>45128.66667</v>
      </c>
      <c r="B404" s="2">
        <f>IFERROR(__xludf.DUMMYFUNCTION("""COMPUTED_VALUE"""),665.0)</f>
        <v>665</v>
      </c>
      <c r="C404" s="2">
        <f>IFERROR(__xludf.DUMMYFUNCTION("""COMPUTED_VALUE"""),670.0)</f>
        <v>670</v>
      </c>
      <c r="D404" s="2">
        <f>IFERROR(__xludf.DUMMYFUNCTION("""COMPUTED_VALUE"""),655.0)</f>
        <v>655</v>
      </c>
      <c r="E404" s="2">
        <f>IFERROR(__xludf.DUMMYFUNCTION("""COMPUTED_VALUE"""),665.0)</f>
        <v>665</v>
      </c>
      <c r="F404" s="2">
        <f>IFERROR(__xludf.DUMMYFUNCTION("""COMPUTED_VALUE"""),2.05795E7)</f>
        <v>20579500</v>
      </c>
      <c r="G404" s="2">
        <f t="shared" si="1"/>
        <v>15</v>
      </c>
    </row>
    <row r="405" ht="15.75" customHeight="1">
      <c r="A405" s="1">
        <f>IFERROR(__xludf.DUMMYFUNCTION("""COMPUTED_VALUE"""),45131.66666666667)</f>
        <v>45131.66667</v>
      </c>
      <c r="B405" s="2">
        <f>IFERROR(__xludf.DUMMYFUNCTION("""COMPUTED_VALUE"""),670.0)</f>
        <v>670</v>
      </c>
      <c r="C405" s="2">
        <f>IFERROR(__xludf.DUMMYFUNCTION("""COMPUTED_VALUE"""),675.0)</f>
        <v>675</v>
      </c>
      <c r="D405" s="2">
        <f>IFERROR(__xludf.DUMMYFUNCTION("""COMPUTED_VALUE"""),660.0)</f>
        <v>660</v>
      </c>
      <c r="E405" s="2">
        <f>IFERROR(__xludf.DUMMYFUNCTION("""COMPUTED_VALUE"""),665.0)</f>
        <v>665</v>
      </c>
      <c r="F405" s="2">
        <f>IFERROR(__xludf.DUMMYFUNCTION("""COMPUTED_VALUE"""),1.6353E7)</f>
        <v>16353000</v>
      </c>
      <c r="G405" s="2">
        <f t="shared" si="1"/>
        <v>15</v>
      </c>
    </row>
    <row r="406" ht="15.75" customHeight="1">
      <c r="A406" s="1">
        <f>IFERROR(__xludf.DUMMYFUNCTION("""COMPUTED_VALUE"""),45132.66666666667)</f>
        <v>45132.66667</v>
      </c>
      <c r="B406" s="2">
        <f>IFERROR(__xludf.DUMMYFUNCTION("""COMPUTED_VALUE"""),665.0)</f>
        <v>665</v>
      </c>
      <c r="C406" s="2">
        <f>IFERROR(__xludf.DUMMYFUNCTION("""COMPUTED_VALUE"""),665.0)</f>
        <v>665</v>
      </c>
      <c r="D406" s="2">
        <f>IFERROR(__xludf.DUMMYFUNCTION("""COMPUTED_VALUE"""),655.0)</f>
        <v>655</v>
      </c>
      <c r="E406" s="2">
        <f>IFERROR(__xludf.DUMMYFUNCTION("""COMPUTED_VALUE"""),665.0)</f>
        <v>665</v>
      </c>
      <c r="F406" s="2">
        <f>IFERROR(__xludf.DUMMYFUNCTION("""COMPUTED_VALUE"""),2.40907E7)</f>
        <v>24090700</v>
      </c>
      <c r="G406" s="2">
        <f t="shared" si="1"/>
        <v>10</v>
      </c>
    </row>
    <row r="407" ht="15.75" customHeight="1">
      <c r="A407" s="1">
        <f>IFERROR(__xludf.DUMMYFUNCTION("""COMPUTED_VALUE"""),45133.66666666667)</f>
        <v>45133.66667</v>
      </c>
      <c r="B407" s="2">
        <f>IFERROR(__xludf.DUMMYFUNCTION("""COMPUTED_VALUE"""),665.0)</f>
        <v>665</v>
      </c>
      <c r="C407" s="2">
        <f>IFERROR(__xludf.DUMMYFUNCTION("""COMPUTED_VALUE"""),670.0)</f>
        <v>670</v>
      </c>
      <c r="D407" s="2">
        <f>IFERROR(__xludf.DUMMYFUNCTION("""COMPUTED_VALUE"""),655.0)</f>
        <v>655</v>
      </c>
      <c r="E407" s="2">
        <f>IFERROR(__xludf.DUMMYFUNCTION("""COMPUTED_VALUE"""),665.0)</f>
        <v>665</v>
      </c>
      <c r="F407" s="2">
        <f>IFERROR(__xludf.DUMMYFUNCTION("""COMPUTED_VALUE"""),2.20728E7)</f>
        <v>22072800</v>
      </c>
      <c r="G407" s="2">
        <f t="shared" si="1"/>
        <v>15</v>
      </c>
    </row>
    <row r="408" ht="15.75" customHeight="1">
      <c r="A408" s="1">
        <f>IFERROR(__xludf.DUMMYFUNCTION("""COMPUTED_VALUE"""),45134.66666666667)</f>
        <v>45134.66667</v>
      </c>
      <c r="B408" s="2">
        <f>IFERROR(__xludf.DUMMYFUNCTION("""COMPUTED_VALUE"""),665.0)</f>
        <v>665</v>
      </c>
      <c r="C408" s="2">
        <f>IFERROR(__xludf.DUMMYFUNCTION("""COMPUTED_VALUE"""),680.0)</f>
        <v>680</v>
      </c>
      <c r="D408" s="2">
        <f>IFERROR(__xludf.DUMMYFUNCTION("""COMPUTED_VALUE"""),660.0)</f>
        <v>660</v>
      </c>
      <c r="E408" s="2">
        <f>IFERROR(__xludf.DUMMYFUNCTION("""COMPUTED_VALUE"""),670.0)</f>
        <v>670</v>
      </c>
      <c r="F408" s="2">
        <f>IFERROR(__xludf.DUMMYFUNCTION("""COMPUTED_VALUE"""),3.66785E7)</f>
        <v>36678500</v>
      </c>
      <c r="G408" s="2">
        <f t="shared" si="1"/>
        <v>20</v>
      </c>
    </row>
    <row r="409" ht="15.75" customHeight="1">
      <c r="A409" s="1">
        <f>IFERROR(__xludf.DUMMYFUNCTION("""COMPUTED_VALUE"""),45135.66666666667)</f>
        <v>45135.66667</v>
      </c>
      <c r="B409" s="2">
        <f>IFERROR(__xludf.DUMMYFUNCTION("""COMPUTED_VALUE"""),670.0)</f>
        <v>670</v>
      </c>
      <c r="C409" s="2">
        <f>IFERROR(__xludf.DUMMYFUNCTION("""COMPUTED_VALUE"""),675.0)</f>
        <v>675</v>
      </c>
      <c r="D409" s="2">
        <f>IFERROR(__xludf.DUMMYFUNCTION("""COMPUTED_VALUE"""),655.0)</f>
        <v>655</v>
      </c>
      <c r="E409" s="2">
        <f>IFERROR(__xludf.DUMMYFUNCTION("""COMPUTED_VALUE"""),655.0)</f>
        <v>655</v>
      </c>
      <c r="F409" s="2">
        <f>IFERROR(__xludf.DUMMYFUNCTION("""COMPUTED_VALUE"""),4.48507E7)</f>
        <v>44850700</v>
      </c>
      <c r="G409" s="2">
        <f t="shared" si="1"/>
        <v>20</v>
      </c>
    </row>
    <row r="410" ht="15.75" customHeight="1">
      <c r="A410" s="1">
        <f>IFERROR(__xludf.DUMMYFUNCTION("""COMPUTED_VALUE"""),45138.66666666667)</f>
        <v>45138.66667</v>
      </c>
      <c r="B410" s="2">
        <f>IFERROR(__xludf.DUMMYFUNCTION("""COMPUTED_VALUE"""),655.0)</f>
        <v>655</v>
      </c>
      <c r="C410" s="2">
        <f>IFERROR(__xludf.DUMMYFUNCTION("""COMPUTED_VALUE"""),660.0)</f>
        <v>660</v>
      </c>
      <c r="D410" s="2">
        <f>IFERROR(__xludf.DUMMYFUNCTION("""COMPUTED_VALUE"""),650.0)</f>
        <v>650</v>
      </c>
      <c r="E410" s="2">
        <f>IFERROR(__xludf.DUMMYFUNCTION("""COMPUTED_VALUE"""),655.0)</f>
        <v>655</v>
      </c>
      <c r="F410" s="2">
        <f>IFERROR(__xludf.DUMMYFUNCTION("""COMPUTED_VALUE"""),3.11986E7)</f>
        <v>31198600</v>
      </c>
      <c r="G410" s="2">
        <f t="shared" si="1"/>
        <v>10</v>
      </c>
    </row>
    <row r="411" ht="15.75" customHeight="1">
      <c r="A411" s="1">
        <f>IFERROR(__xludf.DUMMYFUNCTION("""COMPUTED_VALUE"""),45139.66666666667)</f>
        <v>45139.66667</v>
      </c>
      <c r="B411" s="2">
        <f>IFERROR(__xludf.DUMMYFUNCTION("""COMPUTED_VALUE"""),655.0)</f>
        <v>655</v>
      </c>
      <c r="C411" s="2">
        <f>IFERROR(__xludf.DUMMYFUNCTION("""COMPUTED_VALUE"""),665.0)</f>
        <v>665</v>
      </c>
      <c r="D411" s="2">
        <f>IFERROR(__xludf.DUMMYFUNCTION("""COMPUTED_VALUE"""),650.0)</f>
        <v>650</v>
      </c>
      <c r="E411" s="2">
        <f>IFERROR(__xludf.DUMMYFUNCTION("""COMPUTED_VALUE"""),665.0)</f>
        <v>665</v>
      </c>
      <c r="F411" s="2">
        <f>IFERROR(__xludf.DUMMYFUNCTION("""COMPUTED_VALUE"""),3.72774E7)</f>
        <v>37277400</v>
      </c>
      <c r="G411" s="2">
        <f t="shared" si="1"/>
        <v>15</v>
      </c>
    </row>
    <row r="412" ht="15.75" customHeight="1">
      <c r="A412" s="1">
        <f>IFERROR(__xludf.DUMMYFUNCTION("""COMPUTED_VALUE"""),45140.66666666667)</f>
        <v>45140.66667</v>
      </c>
      <c r="B412" s="2">
        <f>IFERROR(__xludf.DUMMYFUNCTION("""COMPUTED_VALUE"""),665.0)</f>
        <v>665</v>
      </c>
      <c r="C412" s="2">
        <f>IFERROR(__xludf.DUMMYFUNCTION("""COMPUTED_VALUE"""),680.0)</f>
        <v>680</v>
      </c>
      <c r="D412" s="2">
        <f>IFERROR(__xludf.DUMMYFUNCTION("""COMPUTED_VALUE"""),650.0)</f>
        <v>650</v>
      </c>
      <c r="E412" s="2">
        <f>IFERROR(__xludf.DUMMYFUNCTION("""COMPUTED_VALUE"""),675.0)</f>
        <v>675</v>
      </c>
      <c r="F412" s="2">
        <f>IFERROR(__xludf.DUMMYFUNCTION("""COMPUTED_VALUE"""),5.04619E7)</f>
        <v>50461900</v>
      </c>
      <c r="G412" s="2">
        <f t="shared" si="1"/>
        <v>30</v>
      </c>
    </row>
    <row r="413" ht="15.75" customHeight="1">
      <c r="A413" s="1">
        <f>IFERROR(__xludf.DUMMYFUNCTION("""COMPUTED_VALUE"""),45141.66666666667)</f>
        <v>45141.66667</v>
      </c>
      <c r="B413" s="2">
        <f>IFERROR(__xludf.DUMMYFUNCTION("""COMPUTED_VALUE"""),675.0)</f>
        <v>675</v>
      </c>
      <c r="C413" s="2">
        <f>IFERROR(__xludf.DUMMYFUNCTION("""COMPUTED_VALUE"""),685.0)</f>
        <v>685</v>
      </c>
      <c r="D413" s="2">
        <f>IFERROR(__xludf.DUMMYFUNCTION("""COMPUTED_VALUE"""),655.0)</f>
        <v>655</v>
      </c>
      <c r="E413" s="2">
        <f>IFERROR(__xludf.DUMMYFUNCTION("""COMPUTED_VALUE"""),675.0)</f>
        <v>675</v>
      </c>
      <c r="F413" s="2">
        <f>IFERROR(__xludf.DUMMYFUNCTION("""COMPUTED_VALUE"""),8.49576E7)</f>
        <v>84957600</v>
      </c>
      <c r="G413" s="2">
        <f t="shared" si="1"/>
        <v>30</v>
      </c>
    </row>
    <row r="414" ht="15.75" customHeight="1">
      <c r="A414" s="1">
        <f>IFERROR(__xludf.DUMMYFUNCTION("""COMPUTED_VALUE"""),45142.66666666667)</f>
        <v>45142.66667</v>
      </c>
      <c r="B414" s="2">
        <f>IFERROR(__xludf.DUMMYFUNCTION("""COMPUTED_VALUE"""),675.0)</f>
        <v>675</v>
      </c>
      <c r="C414" s="2">
        <f>IFERROR(__xludf.DUMMYFUNCTION("""COMPUTED_VALUE"""),705.0)</f>
        <v>705</v>
      </c>
      <c r="D414" s="2">
        <f>IFERROR(__xludf.DUMMYFUNCTION("""COMPUTED_VALUE"""),675.0)</f>
        <v>675</v>
      </c>
      <c r="E414" s="2">
        <f>IFERROR(__xludf.DUMMYFUNCTION("""COMPUTED_VALUE"""),695.0)</f>
        <v>695</v>
      </c>
      <c r="F414" s="2">
        <f>IFERROR(__xludf.DUMMYFUNCTION("""COMPUTED_VALUE"""),7.922E7)</f>
        <v>79220000</v>
      </c>
      <c r="G414" s="2">
        <f t="shared" si="1"/>
        <v>30</v>
      </c>
    </row>
    <row r="415" ht="15.75" customHeight="1">
      <c r="A415" s="1">
        <f>IFERROR(__xludf.DUMMYFUNCTION("""COMPUTED_VALUE"""),45145.66666666667)</f>
        <v>45145.66667</v>
      </c>
      <c r="B415" s="2">
        <f>IFERROR(__xludf.DUMMYFUNCTION("""COMPUTED_VALUE"""),700.0)</f>
        <v>700</v>
      </c>
      <c r="C415" s="2">
        <f>IFERROR(__xludf.DUMMYFUNCTION("""COMPUTED_VALUE"""),705.0)</f>
        <v>705</v>
      </c>
      <c r="D415" s="2">
        <f>IFERROR(__xludf.DUMMYFUNCTION("""COMPUTED_VALUE"""),690.0)</f>
        <v>690</v>
      </c>
      <c r="E415" s="2">
        <f>IFERROR(__xludf.DUMMYFUNCTION("""COMPUTED_VALUE"""),695.0)</f>
        <v>695</v>
      </c>
      <c r="F415" s="2">
        <f>IFERROR(__xludf.DUMMYFUNCTION("""COMPUTED_VALUE"""),6.29963E7)</f>
        <v>62996300</v>
      </c>
      <c r="G415" s="2">
        <f t="shared" si="1"/>
        <v>15</v>
      </c>
    </row>
    <row r="416" ht="15.75" customHeight="1">
      <c r="A416" s="1">
        <f>IFERROR(__xludf.DUMMYFUNCTION("""COMPUTED_VALUE"""),45146.66666666667)</f>
        <v>45146.66667</v>
      </c>
      <c r="B416" s="2">
        <f>IFERROR(__xludf.DUMMYFUNCTION("""COMPUTED_VALUE"""),695.0)</f>
        <v>695</v>
      </c>
      <c r="C416" s="2">
        <f>IFERROR(__xludf.DUMMYFUNCTION("""COMPUTED_VALUE"""),700.0)</f>
        <v>700</v>
      </c>
      <c r="D416" s="2">
        <f>IFERROR(__xludf.DUMMYFUNCTION("""COMPUTED_VALUE"""),690.0)</f>
        <v>690</v>
      </c>
      <c r="E416" s="2">
        <f>IFERROR(__xludf.DUMMYFUNCTION("""COMPUTED_VALUE"""),700.0)</f>
        <v>700</v>
      </c>
      <c r="F416" s="2">
        <f>IFERROR(__xludf.DUMMYFUNCTION("""COMPUTED_VALUE"""),4.1078E7)</f>
        <v>41078000</v>
      </c>
      <c r="G416" s="2">
        <f t="shared" si="1"/>
        <v>10</v>
      </c>
    </row>
    <row r="417" ht="15.75" customHeight="1">
      <c r="A417" s="1">
        <f>IFERROR(__xludf.DUMMYFUNCTION("""COMPUTED_VALUE"""),45147.66666666667)</f>
        <v>45147.66667</v>
      </c>
      <c r="B417" s="2">
        <f>IFERROR(__xludf.DUMMYFUNCTION("""COMPUTED_VALUE"""),700.0)</f>
        <v>700</v>
      </c>
      <c r="C417" s="2">
        <f>IFERROR(__xludf.DUMMYFUNCTION("""COMPUTED_VALUE"""),710.0)</f>
        <v>710</v>
      </c>
      <c r="D417" s="2">
        <f>IFERROR(__xludf.DUMMYFUNCTION("""COMPUTED_VALUE"""),695.0)</f>
        <v>695</v>
      </c>
      <c r="E417" s="2">
        <f>IFERROR(__xludf.DUMMYFUNCTION("""COMPUTED_VALUE"""),710.0)</f>
        <v>710</v>
      </c>
      <c r="F417" s="2">
        <f>IFERROR(__xludf.DUMMYFUNCTION("""COMPUTED_VALUE"""),3.58669E7)</f>
        <v>35866900</v>
      </c>
      <c r="G417" s="2">
        <f t="shared" si="1"/>
        <v>15</v>
      </c>
    </row>
    <row r="418" ht="15.75" customHeight="1">
      <c r="A418" s="1">
        <f>IFERROR(__xludf.DUMMYFUNCTION("""COMPUTED_VALUE"""),45148.66666666667)</f>
        <v>45148.66667</v>
      </c>
      <c r="B418" s="2">
        <f>IFERROR(__xludf.DUMMYFUNCTION("""COMPUTED_VALUE"""),710.0)</f>
        <v>710</v>
      </c>
      <c r="C418" s="2">
        <f>IFERROR(__xludf.DUMMYFUNCTION("""COMPUTED_VALUE"""),715.0)</f>
        <v>715</v>
      </c>
      <c r="D418" s="2">
        <f>IFERROR(__xludf.DUMMYFUNCTION("""COMPUTED_VALUE"""),705.0)</f>
        <v>705</v>
      </c>
      <c r="E418" s="2">
        <f>IFERROR(__xludf.DUMMYFUNCTION("""COMPUTED_VALUE"""),715.0)</f>
        <v>715</v>
      </c>
      <c r="F418" s="2">
        <f>IFERROR(__xludf.DUMMYFUNCTION("""COMPUTED_VALUE"""),3.05381E7)</f>
        <v>30538100</v>
      </c>
      <c r="G418" s="2">
        <f t="shared" si="1"/>
        <v>10</v>
      </c>
    </row>
    <row r="419" ht="15.75" customHeight="1">
      <c r="A419" s="1">
        <f>IFERROR(__xludf.DUMMYFUNCTION("""COMPUTED_VALUE"""),45149.66666666667)</f>
        <v>45149.66667</v>
      </c>
      <c r="B419" s="2">
        <f>IFERROR(__xludf.DUMMYFUNCTION("""COMPUTED_VALUE"""),715.0)</f>
        <v>715</v>
      </c>
      <c r="C419" s="2">
        <f>IFERROR(__xludf.DUMMYFUNCTION("""COMPUTED_VALUE"""),720.0)</f>
        <v>720</v>
      </c>
      <c r="D419" s="2">
        <f>IFERROR(__xludf.DUMMYFUNCTION("""COMPUTED_VALUE"""),705.0)</f>
        <v>705</v>
      </c>
      <c r="E419" s="2">
        <f>IFERROR(__xludf.DUMMYFUNCTION("""COMPUTED_VALUE"""),705.0)</f>
        <v>705</v>
      </c>
      <c r="F419" s="2">
        <f>IFERROR(__xludf.DUMMYFUNCTION("""COMPUTED_VALUE"""),4.6951E7)</f>
        <v>46951000</v>
      </c>
      <c r="G419" s="2">
        <f t="shared" si="1"/>
        <v>15</v>
      </c>
    </row>
    <row r="420" ht="15.75" customHeight="1">
      <c r="A420" s="1">
        <f>IFERROR(__xludf.DUMMYFUNCTION("""COMPUTED_VALUE"""),45152.66666666667)</f>
        <v>45152.66667</v>
      </c>
      <c r="B420" s="2">
        <f>IFERROR(__xludf.DUMMYFUNCTION("""COMPUTED_VALUE"""),710.0)</f>
        <v>710</v>
      </c>
      <c r="C420" s="2">
        <f>IFERROR(__xludf.DUMMYFUNCTION("""COMPUTED_VALUE"""),720.0)</f>
        <v>720</v>
      </c>
      <c r="D420" s="2">
        <f>IFERROR(__xludf.DUMMYFUNCTION("""COMPUTED_VALUE"""),705.0)</f>
        <v>705</v>
      </c>
      <c r="E420" s="2">
        <f>IFERROR(__xludf.DUMMYFUNCTION("""COMPUTED_VALUE"""),720.0)</f>
        <v>720</v>
      </c>
      <c r="F420" s="2">
        <f>IFERROR(__xludf.DUMMYFUNCTION("""COMPUTED_VALUE"""),4.4828E7)</f>
        <v>44828000</v>
      </c>
      <c r="G420" s="2">
        <f t="shared" si="1"/>
        <v>15</v>
      </c>
    </row>
    <row r="421" ht="15.75" customHeight="1">
      <c r="A421" s="1">
        <f>IFERROR(__xludf.DUMMYFUNCTION("""COMPUTED_VALUE"""),45153.66666666667)</f>
        <v>45153.66667</v>
      </c>
      <c r="B421" s="2">
        <f>IFERROR(__xludf.DUMMYFUNCTION("""COMPUTED_VALUE"""),720.0)</f>
        <v>720</v>
      </c>
      <c r="C421" s="2">
        <f>IFERROR(__xludf.DUMMYFUNCTION("""COMPUTED_VALUE"""),730.0)</f>
        <v>730</v>
      </c>
      <c r="D421" s="2">
        <f>IFERROR(__xludf.DUMMYFUNCTION("""COMPUTED_VALUE"""),710.0)</f>
        <v>710</v>
      </c>
      <c r="E421" s="2">
        <f>IFERROR(__xludf.DUMMYFUNCTION("""COMPUTED_VALUE"""),730.0)</f>
        <v>730</v>
      </c>
      <c r="F421" s="2">
        <f>IFERROR(__xludf.DUMMYFUNCTION("""COMPUTED_VALUE"""),6.22899E7)</f>
        <v>62289900</v>
      </c>
      <c r="G421" s="2">
        <f t="shared" si="1"/>
        <v>20</v>
      </c>
    </row>
    <row r="422" ht="15.75" customHeight="1">
      <c r="A422" s="1">
        <f>IFERROR(__xludf.DUMMYFUNCTION("""COMPUTED_VALUE"""),45154.66666666667)</f>
        <v>45154.66667</v>
      </c>
      <c r="B422" s="2">
        <f>IFERROR(__xludf.DUMMYFUNCTION("""COMPUTED_VALUE"""),730.0)</f>
        <v>730</v>
      </c>
      <c r="C422" s="2">
        <f>IFERROR(__xludf.DUMMYFUNCTION("""COMPUTED_VALUE"""),745.0)</f>
        <v>745</v>
      </c>
      <c r="D422" s="2">
        <f>IFERROR(__xludf.DUMMYFUNCTION("""COMPUTED_VALUE"""),725.0)</f>
        <v>725</v>
      </c>
      <c r="E422" s="2">
        <f>IFERROR(__xludf.DUMMYFUNCTION("""COMPUTED_VALUE"""),745.0)</f>
        <v>745</v>
      </c>
      <c r="F422" s="2">
        <f>IFERROR(__xludf.DUMMYFUNCTION("""COMPUTED_VALUE"""),6.88732E7)</f>
        <v>68873200</v>
      </c>
      <c r="G422" s="2">
        <f t="shared" si="1"/>
        <v>20</v>
      </c>
    </row>
    <row r="423" ht="15.75" customHeight="1">
      <c r="A423" s="1">
        <f>IFERROR(__xludf.DUMMYFUNCTION("""COMPUTED_VALUE"""),45156.66666666667)</f>
        <v>45156.66667</v>
      </c>
      <c r="B423" s="2">
        <f>IFERROR(__xludf.DUMMYFUNCTION("""COMPUTED_VALUE"""),740.0)</f>
        <v>740</v>
      </c>
      <c r="C423" s="2">
        <f>IFERROR(__xludf.DUMMYFUNCTION("""COMPUTED_VALUE"""),750.0)</f>
        <v>750</v>
      </c>
      <c r="D423" s="2">
        <f>IFERROR(__xludf.DUMMYFUNCTION("""COMPUTED_VALUE"""),735.0)</f>
        <v>735</v>
      </c>
      <c r="E423" s="2">
        <f>IFERROR(__xludf.DUMMYFUNCTION("""COMPUTED_VALUE"""),740.0)</f>
        <v>740</v>
      </c>
      <c r="F423" s="2">
        <f>IFERROR(__xludf.DUMMYFUNCTION("""COMPUTED_VALUE"""),8.07882E7)</f>
        <v>80788200</v>
      </c>
      <c r="G423" s="2">
        <f t="shared" si="1"/>
        <v>15</v>
      </c>
    </row>
    <row r="424" ht="15.75" customHeight="1">
      <c r="A424" s="1">
        <f>IFERROR(__xludf.DUMMYFUNCTION("""COMPUTED_VALUE"""),45159.66666666667)</f>
        <v>45159.66667</v>
      </c>
      <c r="B424" s="2">
        <f>IFERROR(__xludf.DUMMYFUNCTION("""COMPUTED_VALUE"""),740.0)</f>
        <v>740</v>
      </c>
      <c r="C424" s="2">
        <f>IFERROR(__xludf.DUMMYFUNCTION("""COMPUTED_VALUE"""),745.0)</f>
        <v>745</v>
      </c>
      <c r="D424" s="2">
        <f>IFERROR(__xludf.DUMMYFUNCTION("""COMPUTED_VALUE"""),715.0)</f>
        <v>715</v>
      </c>
      <c r="E424" s="2">
        <f>IFERROR(__xludf.DUMMYFUNCTION("""COMPUTED_VALUE"""),715.0)</f>
        <v>715</v>
      </c>
      <c r="F424" s="2">
        <f>IFERROR(__xludf.DUMMYFUNCTION("""COMPUTED_VALUE"""),5.20952E7)</f>
        <v>52095200</v>
      </c>
      <c r="G424" s="2">
        <f t="shared" si="1"/>
        <v>30</v>
      </c>
    </row>
    <row r="425" ht="15.75" customHeight="1">
      <c r="A425" s="1">
        <f>IFERROR(__xludf.DUMMYFUNCTION("""COMPUTED_VALUE"""),45160.66666666667)</f>
        <v>45160.66667</v>
      </c>
      <c r="B425" s="2">
        <f>IFERROR(__xludf.DUMMYFUNCTION("""COMPUTED_VALUE"""),720.0)</f>
        <v>720</v>
      </c>
      <c r="C425" s="2">
        <f>IFERROR(__xludf.DUMMYFUNCTION("""COMPUTED_VALUE"""),735.0)</f>
        <v>735</v>
      </c>
      <c r="D425" s="2">
        <f>IFERROR(__xludf.DUMMYFUNCTION("""COMPUTED_VALUE"""),715.0)</f>
        <v>715</v>
      </c>
      <c r="E425" s="2">
        <f>IFERROR(__xludf.DUMMYFUNCTION("""COMPUTED_VALUE"""),725.0)</f>
        <v>725</v>
      </c>
      <c r="F425" s="2">
        <f>IFERROR(__xludf.DUMMYFUNCTION("""COMPUTED_VALUE"""),6.0391E7)</f>
        <v>60391000</v>
      </c>
      <c r="G425" s="2">
        <f t="shared" si="1"/>
        <v>20</v>
      </c>
    </row>
    <row r="426" ht="15.75" customHeight="1">
      <c r="A426" s="1">
        <f>IFERROR(__xludf.DUMMYFUNCTION("""COMPUTED_VALUE"""),45161.66666666667)</f>
        <v>45161.66667</v>
      </c>
      <c r="B426" s="2">
        <f>IFERROR(__xludf.DUMMYFUNCTION("""COMPUTED_VALUE"""),730.0)</f>
        <v>730</v>
      </c>
      <c r="C426" s="2">
        <f>IFERROR(__xludf.DUMMYFUNCTION("""COMPUTED_VALUE"""),730.0)</f>
        <v>730</v>
      </c>
      <c r="D426" s="2">
        <f>IFERROR(__xludf.DUMMYFUNCTION("""COMPUTED_VALUE"""),710.0)</f>
        <v>710</v>
      </c>
      <c r="E426" s="2">
        <f>IFERROR(__xludf.DUMMYFUNCTION("""COMPUTED_VALUE"""),715.0)</f>
        <v>715</v>
      </c>
      <c r="F426" s="2">
        <f>IFERROR(__xludf.DUMMYFUNCTION("""COMPUTED_VALUE"""),4.33163E7)</f>
        <v>43316300</v>
      </c>
      <c r="G426" s="2">
        <f t="shared" si="1"/>
        <v>20</v>
      </c>
    </row>
    <row r="427" ht="15.75" customHeight="1">
      <c r="A427" s="1">
        <f>IFERROR(__xludf.DUMMYFUNCTION("""COMPUTED_VALUE"""),45162.66666666667)</f>
        <v>45162.66667</v>
      </c>
      <c r="B427" s="2">
        <f>IFERROR(__xludf.DUMMYFUNCTION("""COMPUTED_VALUE"""),715.0)</f>
        <v>715</v>
      </c>
      <c r="C427" s="2">
        <f>IFERROR(__xludf.DUMMYFUNCTION("""COMPUTED_VALUE"""),730.0)</f>
        <v>730</v>
      </c>
      <c r="D427" s="2">
        <f>IFERROR(__xludf.DUMMYFUNCTION("""COMPUTED_VALUE"""),710.0)</f>
        <v>710</v>
      </c>
      <c r="E427" s="2">
        <f>IFERROR(__xludf.DUMMYFUNCTION("""COMPUTED_VALUE"""),710.0)</f>
        <v>710</v>
      </c>
      <c r="F427" s="2">
        <f>IFERROR(__xludf.DUMMYFUNCTION("""COMPUTED_VALUE"""),4.58877E7)</f>
        <v>45887700</v>
      </c>
      <c r="G427" s="2">
        <f t="shared" si="1"/>
        <v>20</v>
      </c>
    </row>
    <row r="428" ht="15.75" customHeight="1">
      <c r="A428" s="1">
        <f>IFERROR(__xludf.DUMMYFUNCTION("""COMPUTED_VALUE"""),45163.66666666667)</f>
        <v>45163.66667</v>
      </c>
      <c r="B428" s="2">
        <f>IFERROR(__xludf.DUMMYFUNCTION("""COMPUTED_VALUE"""),715.0)</f>
        <v>715</v>
      </c>
      <c r="C428" s="2">
        <f>IFERROR(__xludf.DUMMYFUNCTION("""COMPUTED_VALUE"""),745.0)</f>
        <v>745</v>
      </c>
      <c r="D428" s="2">
        <f>IFERROR(__xludf.DUMMYFUNCTION("""COMPUTED_VALUE"""),710.0)</f>
        <v>710</v>
      </c>
      <c r="E428" s="2">
        <f>IFERROR(__xludf.DUMMYFUNCTION("""COMPUTED_VALUE"""),745.0)</f>
        <v>745</v>
      </c>
      <c r="F428" s="2">
        <f>IFERROR(__xludf.DUMMYFUNCTION("""COMPUTED_VALUE"""),6.93182E7)</f>
        <v>69318200</v>
      </c>
      <c r="G428" s="2">
        <f t="shared" si="1"/>
        <v>35</v>
      </c>
    </row>
    <row r="429" ht="15.75" customHeight="1">
      <c r="A429" s="1">
        <f>IFERROR(__xludf.DUMMYFUNCTION("""COMPUTED_VALUE"""),45166.66666666667)</f>
        <v>45166.66667</v>
      </c>
      <c r="B429" s="2">
        <f>IFERROR(__xludf.DUMMYFUNCTION("""COMPUTED_VALUE"""),760.0)</f>
        <v>760</v>
      </c>
      <c r="C429" s="2">
        <f>IFERROR(__xludf.DUMMYFUNCTION("""COMPUTED_VALUE"""),760.0)</f>
        <v>760</v>
      </c>
      <c r="D429" s="2">
        <f>IFERROR(__xludf.DUMMYFUNCTION("""COMPUTED_VALUE"""),730.0)</f>
        <v>730</v>
      </c>
      <c r="E429" s="2">
        <f>IFERROR(__xludf.DUMMYFUNCTION("""COMPUTED_VALUE"""),740.0)</f>
        <v>740</v>
      </c>
      <c r="F429" s="2">
        <f>IFERROR(__xludf.DUMMYFUNCTION("""COMPUTED_VALUE"""),4.44187E7)</f>
        <v>44418700</v>
      </c>
      <c r="G429" s="2">
        <f t="shared" si="1"/>
        <v>30</v>
      </c>
    </row>
    <row r="430" ht="15.75" customHeight="1">
      <c r="A430" s="1">
        <f>IFERROR(__xludf.DUMMYFUNCTION("""COMPUTED_VALUE"""),45167.66666666667)</f>
        <v>45167.66667</v>
      </c>
      <c r="B430" s="2">
        <f>IFERROR(__xludf.DUMMYFUNCTION("""COMPUTED_VALUE"""),745.0)</f>
        <v>745</v>
      </c>
      <c r="C430" s="2">
        <f>IFERROR(__xludf.DUMMYFUNCTION("""COMPUTED_VALUE"""),745.0)</f>
        <v>745</v>
      </c>
      <c r="D430" s="2">
        <f>IFERROR(__xludf.DUMMYFUNCTION("""COMPUTED_VALUE"""),730.0)</f>
        <v>730</v>
      </c>
      <c r="E430" s="2">
        <f>IFERROR(__xludf.DUMMYFUNCTION("""COMPUTED_VALUE"""),735.0)</f>
        <v>735</v>
      </c>
      <c r="F430" s="2">
        <f>IFERROR(__xludf.DUMMYFUNCTION("""COMPUTED_VALUE"""),3.03495E7)</f>
        <v>30349500</v>
      </c>
      <c r="G430" s="2">
        <f t="shared" si="1"/>
        <v>15</v>
      </c>
    </row>
    <row r="431" ht="15.75" customHeight="1">
      <c r="A431" s="1">
        <f>IFERROR(__xludf.DUMMYFUNCTION("""COMPUTED_VALUE"""),45168.66666666667)</f>
        <v>45168.66667</v>
      </c>
      <c r="B431" s="2">
        <f>IFERROR(__xludf.DUMMYFUNCTION("""COMPUTED_VALUE"""),735.0)</f>
        <v>735</v>
      </c>
      <c r="C431" s="2">
        <f>IFERROR(__xludf.DUMMYFUNCTION("""COMPUTED_VALUE"""),745.0)</f>
        <v>745</v>
      </c>
      <c r="D431" s="2">
        <f>IFERROR(__xludf.DUMMYFUNCTION("""COMPUTED_VALUE"""),735.0)</f>
        <v>735</v>
      </c>
      <c r="E431" s="2">
        <f>IFERROR(__xludf.DUMMYFUNCTION("""COMPUTED_VALUE"""),735.0)</f>
        <v>735</v>
      </c>
      <c r="F431" s="2">
        <f>IFERROR(__xludf.DUMMYFUNCTION("""COMPUTED_VALUE"""),3.39703E7)</f>
        <v>33970300</v>
      </c>
      <c r="G431" s="2">
        <f t="shared" si="1"/>
        <v>10</v>
      </c>
    </row>
    <row r="432" ht="15.75" customHeight="1">
      <c r="A432" s="1">
        <f>IFERROR(__xludf.DUMMYFUNCTION("""COMPUTED_VALUE"""),45169.66666666667)</f>
        <v>45169.66667</v>
      </c>
      <c r="B432" s="2">
        <f>IFERROR(__xludf.DUMMYFUNCTION("""COMPUTED_VALUE"""),735.0)</f>
        <v>735</v>
      </c>
      <c r="C432" s="2">
        <f>IFERROR(__xludf.DUMMYFUNCTION("""COMPUTED_VALUE"""),765.0)</f>
        <v>765</v>
      </c>
      <c r="D432" s="2">
        <f>IFERROR(__xludf.DUMMYFUNCTION("""COMPUTED_VALUE"""),730.0)</f>
        <v>730</v>
      </c>
      <c r="E432" s="2">
        <f>IFERROR(__xludf.DUMMYFUNCTION("""COMPUTED_VALUE"""),750.0)</f>
        <v>750</v>
      </c>
      <c r="F432" s="2">
        <f>IFERROR(__xludf.DUMMYFUNCTION("""COMPUTED_VALUE"""),7.38434E7)</f>
        <v>73843400</v>
      </c>
      <c r="G432" s="2">
        <f t="shared" si="1"/>
        <v>35</v>
      </c>
    </row>
    <row r="433" ht="15.75" customHeight="1">
      <c r="A433" s="1">
        <f>IFERROR(__xludf.DUMMYFUNCTION("""COMPUTED_VALUE"""),45170.66666666667)</f>
        <v>45170.66667</v>
      </c>
      <c r="B433" s="2">
        <f>IFERROR(__xludf.DUMMYFUNCTION("""COMPUTED_VALUE"""),755.0)</f>
        <v>755</v>
      </c>
      <c r="C433" s="2">
        <f>IFERROR(__xludf.DUMMYFUNCTION("""COMPUTED_VALUE"""),755.0)</f>
        <v>755</v>
      </c>
      <c r="D433" s="2">
        <f>IFERROR(__xludf.DUMMYFUNCTION("""COMPUTED_VALUE"""),730.0)</f>
        <v>730</v>
      </c>
      <c r="E433" s="2">
        <f>IFERROR(__xludf.DUMMYFUNCTION("""COMPUTED_VALUE"""),730.0)</f>
        <v>730</v>
      </c>
      <c r="F433" s="2">
        <f>IFERROR(__xludf.DUMMYFUNCTION("""COMPUTED_VALUE"""),5.74135E7)</f>
        <v>57413500</v>
      </c>
      <c r="G433" s="2">
        <f t="shared" si="1"/>
        <v>25</v>
      </c>
    </row>
    <row r="434" ht="15.75" customHeight="1">
      <c r="A434" s="1">
        <f>IFERROR(__xludf.DUMMYFUNCTION("""COMPUTED_VALUE"""),45173.66666666667)</f>
        <v>45173.66667</v>
      </c>
      <c r="B434" s="2">
        <f>IFERROR(__xludf.DUMMYFUNCTION("""COMPUTED_VALUE"""),735.0)</f>
        <v>735</v>
      </c>
      <c r="C434" s="2">
        <f>IFERROR(__xludf.DUMMYFUNCTION("""COMPUTED_VALUE"""),750.0)</f>
        <v>750</v>
      </c>
      <c r="D434" s="2">
        <f>IFERROR(__xludf.DUMMYFUNCTION("""COMPUTED_VALUE"""),715.0)</f>
        <v>715</v>
      </c>
      <c r="E434" s="2">
        <f>IFERROR(__xludf.DUMMYFUNCTION("""COMPUTED_VALUE"""),745.0)</f>
        <v>745</v>
      </c>
      <c r="F434" s="2">
        <f>IFERROR(__xludf.DUMMYFUNCTION("""COMPUTED_VALUE"""),3.11175E7)</f>
        <v>31117500</v>
      </c>
      <c r="G434" s="2">
        <f t="shared" si="1"/>
        <v>35</v>
      </c>
    </row>
    <row r="435" ht="15.75" customHeight="1">
      <c r="A435" s="1">
        <f>IFERROR(__xludf.DUMMYFUNCTION("""COMPUTED_VALUE"""),45174.66666666667)</f>
        <v>45174.66667</v>
      </c>
      <c r="B435" s="2">
        <f>IFERROR(__xludf.DUMMYFUNCTION("""COMPUTED_VALUE"""),745.0)</f>
        <v>745</v>
      </c>
      <c r="C435" s="2">
        <f>IFERROR(__xludf.DUMMYFUNCTION("""COMPUTED_VALUE"""),750.0)</f>
        <v>750</v>
      </c>
      <c r="D435" s="2">
        <f>IFERROR(__xludf.DUMMYFUNCTION("""COMPUTED_VALUE"""),735.0)</f>
        <v>735</v>
      </c>
      <c r="E435" s="2">
        <f>IFERROR(__xludf.DUMMYFUNCTION("""COMPUTED_VALUE"""),735.0)</f>
        <v>735</v>
      </c>
      <c r="F435" s="2">
        <f>IFERROR(__xludf.DUMMYFUNCTION("""COMPUTED_VALUE"""),2.1639E7)</f>
        <v>21639000</v>
      </c>
      <c r="G435" s="2">
        <f t="shared" si="1"/>
        <v>15</v>
      </c>
    </row>
    <row r="436" ht="15.75" customHeight="1">
      <c r="A436" s="1">
        <f>IFERROR(__xludf.DUMMYFUNCTION("""COMPUTED_VALUE"""),45175.66666666667)</f>
        <v>45175.66667</v>
      </c>
      <c r="B436" s="2">
        <f>IFERROR(__xludf.DUMMYFUNCTION("""COMPUTED_VALUE"""),740.0)</f>
        <v>740</v>
      </c>
      <c r="C436" s="2">
        <f>IFERROR(__xludf.DUMMYFUNCTION("""COMPUTED_VALUE"""),765.0)</f>
        <v>765</v>
      </c>
      <c r="D436" s="2">
        <f>IFERROR(__xludf.DUMMYFUNCTION("""COMPUTED_VALUE"""),735.0)</f>
        <v>735</v>
      </c>
      <c r="E436" s="2">
        <f>IFERROR(__xludf.DUMMYFUNCTION("""COMPUTED_VALUE"""),760.0)</f>
        <v>760</v>
      </c>
      <c r="F436" s="2">
        <f>IFERROR(__xludf.DUMMYFUNCTION("""COMPUTED_VALUE"""),5.79049E7)</f>
        <v>57904900</v>
      </c>
      <c r="G436" s="2">
        <f t="shared" si="1"/>
        <v>30</v>
      </c>
    </row>
    <row r="437" ht="15.75" customHeight="1">
      <c r="A437" s="1">
        <f>IFERROR(__xludf.DUMMYFUNCTION("""COMPUTED_VALUE"""),45176.66666666667)</f>
        <v>45176.66667</v>
      </c>
      <c r="B437" s="2">
        <f>IFERROR(__xludf.DUMMYFUNCTION("""COMPUTED_VALUE"""),765.0)</f>
        <v>765</v>
      </c>
      <c r="C437" s="2">
        <f>IFERROR(__xludf.DUMMYFUNCTION("""COMPUTED_VALUE"""),770.0)</f>
        <v>770</v>
      </c>
      <c r="D437" s="2">
        <f>IFERROR(__xludf.DUMMYFUNCTION("""COMPUTED_VALUE"""),745.0)</f>
        <v>745</v>
      </c>
      <c r="E437" s="2">
        <f>IFERROR(__xludf.DUMMYFUNCTION("""COMPUTED_VALUE"""),745.0)</f>
        <v>745</v>
      </c>
      <c r="F437" s="2">
        <f>IFERROR(__xludf.DUMMYFUNCTION("""COMPUTED_VALUE"""),4.81564E7)</f>
        <v>48156400</v>
      </c>
      <c r="G437" s="2">
        <f t="shared" si="1"/>
        <v>25</v>
      </c>
    </row>
    <row r="438" ht="15.75" customHeight="1">
      <c r="A438" s="1">
        <f>IFERROR(__xludf.DUMMYFUNCTION("""COMPUTED_VALUE"""),45177.66666666667)</f>
        <v>45177.66667</v>
      </c>
      <c r="B438" s="2">
        <f>IFERROR(__xludf.DUMMYFUNCTION("""COMPUTED_VALUE"""),750.0)</f>
        <v>750</v>
      </c>
      <c r="C438" s="2">
        <f>IFERROR(__xludf.DUMMYFUNCTION("""COMPUTED_VALUE"""),755.0)</f>
        <v>755</v>
      </c>
      <c r="D438" s="2">
        <f>IFERROR(__xludf.DUMMYFUNCTION("""COMPUTED_VALUE"""),740.0)</f>
        <v>740</v>
      </c>
      <c r="E438" s="2">
        <f>IFERROR(__xludf.DUMMYFUNCTION("""COMPUTED_VALUE"""),745.0)</f>
        <v>745</v>
      </c>
      <c r="F438" s="2">
        <f>IFERROR(__xludf.DUMMYFUNCTION("""COMPUTED_VALUE"""),2.91156E7)</f>
        <v>29115600</v>
      </c>
      <c r="G438" s="2">
        <f t="shared" si="1"/>
        <v>15</v>
      </c>
    </row>
    <row r="439" ht="15.75" customHeight="1">
      <c r="A439" s="1">
        <f>IFERROR(__xludf.DUMMYFUNCTION("""COMPUTED_VALUE"""),45180.66666666667)</f>
        <v>45180.66667</v>
      </c>
      <c r="B439" s="2">
        <f>IFERROR(__xludf.DUMMYFUNCTION("""COMPUTED_VALUE"""),745.0)</f>
        <v>745</v>
      </c>
      <c r="C439" s="2">
        <f>IFERROR(__xludf.DUMMYFUNCTION("""COMPUTED_VALUE"""),760.0)</f>
        <v>760</v>
      </c>
      <c r="D439" s="2">
        <f>IFERROR(__xludf.DUMMYFUNCTION("""COMPUTED_VALUE"""),740.0)</f>
        <v>740</v>
      </c>
      <c r="E439" s="2">
        <f>IFERROR(__xludf.DUMMYFUNCTION("""COMPUTED_VALUE"""),750.0)</f>
        <v>750</v>
      </c>
      <c r="F439" s="2">
        <f>IFERROR(__xludf.DUMMYFUNCTION("""COMPUTED_VALUE"""),3.30224E7)</f>
        <v>33022400</v>
      </c>
      <c r="G439" s="2">
        <f t="shared" si="1"/>
        <v>20</v>
      </c>
    </row>
    <row r="440" ht="15.75" customHeight="1">
      <c r="A440" s="1">
        <f>IFERROR(__xludf.DUMMYFUNCTION("""COMPUTED_VALUE"""),45181.66666666667)</f>
        <v>45181.66667</v>
      </c>
      <c r="B440" s="2">
        <f>IFERROR(__xludf.DUMMYFUNCTION("""COMPUTED_VALUE"""),750.0)</f>
        <v>750</v>
      </c>
      <c r="C440" s="2">
        <f>IFERROR(__xludf.DUMMYFUNCTION("""COMPUTED_VALUE"""),760.0)</f>
        <v>760</v>
      </c>
      <c r="D440" s="2">
        <f>IFERROR(__xludf.DUMMYFUNCTION("""COMPUTED_VALUE"""),745.0)</f>
        <v>745</v>
      </c>
      <c r="E440" s="2">
        <f>IFERROR(__xludf.DUMMYFUNCTION("""COMPUTED_VALUE"""),755.0)</f>
        <v>755</v>
      </c>
      <c r="F440" s="2">
        <f>IFERROR(__xludf.DUMMYFUNCTION("""COMPUTED_VALUE"""),2.48237E7)</f>
        <v>24823700</v>
      </c>
      <c r="G440" s="2">
        <f t="shared" si="1"/>
        <v>15</v>
      </c>
    </row>
    <row r="441" ht="15.75" customHeight="1">
      <c r="A441" s="1">
        <f>IFERROR(__xludf.DUMMYFUNCTION("""COMPUTED_VALUE"""),45182.66666666667)</f>
        <v>45182.66667</v>
      </c>
      <c r="B441" s="2">
        <f>IFERROR(__xludf.DUMMYFUNCTION("""COMPUTED_VALUE"""),755.0)</f>
        <v>755</v>
      </c>
      <c r="C441" s="2">
        <f>IFERROR(__xludf.DUMMYFUNCTION("""COMPUTED_VALUE"""),770.0)</f>
        <v>770</v>
      </c>
      <c r="D441" s="2">
        <f>IFERROR(__xludf.DUMMYFUNCTION("""COMPUTED_VALUE"""),735.0)</f>
        <v>735</v>
      </c>
      <c r="E441" s="2">
        <f>IFERROR(__xludf.DUMMYFUNCTION("""COMPUTED_VALUE"""),770.0)</f>
        <v>770</v>
      </c>
      <c r="F441" s="2">
        <f>IFERROR(__xludf.DUMMYFUNCTION("""COMPUTED_VALUE"""),6.90203E7)</f>
        <v>69020300</v>
      </c>
      <c r="G441" s="2">
        <f t="shared" si="1"/>
        <v>35</v>
      </c>
    </row>
    <row r="442" ht="15.75" customHeight="1">
      <c r="A442" s="1">
        <f>IFERROR(__xludf.DUMMYFUNCTION("""COMPUTED_VALUE"""),45183.66666666667)</f>
        <v>45183.66667</v>
      </c>
      <c r="B442" s="2">
        <f>IFERROR(__xludf.DUMMYFUNCTION("""COMPUTED_VALUE"""),765.0)</f>
        <v>765</v>
      </c>
      <c r="C442" s="2">
        <f>IFERROR(__xludf.DUMMYFUNCTION("""COMPUTED_VALUE"""),770.0)</f>
        <v>770</v>
      </c>
      <c r="D442" s="2">
        <f>IFERROR(__xludf.DUMMYFUNCTION("""COMPUTED_VALUE"""),730.0)</f>
        <v>730</v>
      </c>
      <c r="E442" s="2">
        <f>IFERROR(__xludf.DUMMYFUNCTION("""COMPUTED_VALUE"""),735.0)</f>
        <v>735</v>
      </c>
      <c r="F442" s="2">
        <f>IFERROR(__xludf.DUMMYFUNCTION("""COMPUTED_VALUE"""),5.24679E7)</f>
        <v>52467900</v>
      </c>
      <c r="G442" s="2">
        <f t="shared" si="1"/>
        <v>40</v>
      </c>
    </row>
    <row r="443" ht="15.75" customHeight="1">
      <c r="A443" s="1">
        <f>IFERROR(__xludf.DUMMYFUNCTION("""COMPUTED_VALUE"""),45184.66666666667)</f>
        <v>45184.66667</v>
      </c>
      <c r="B443" s="2">
        <f>IFERROR(__xludf.DUMMYFUNCTION("""COMPUTED_VALUE"""),735.0)</f>
        <v>735</v>
      </c>
      <c r="C443" s="2">
        <f>IFERROR(__xludf.DUMMYFUNCTION("""COMPUTED_VALUE"""),740.0)</f>
        <v>740</v>
      </c>
      <c r="D443" s="2">
        <f>IFERROR(__xludf.DUMMYFUNCTION("""COMPUTED_VALUE"""),715.0)</f>
        <v>715</v>
      </c>
      <c r="E443" s="2">
        <f>IFERROR(__xludf.DUMMYFUNCTION("""COMPUTED_VALUE"""),715.0)</f>
        <v>715</v>
      </c>
      <c r="F443" s="2">
        <f>IFERROR(__xludf.DUMMYFUNCTION("""COMPUTED_VALUE"""),7.49439E7)</f>
        <v>74943900</v>
      </c>
      <c r="G443" s="2">
        <f t="shared" si="1"/>
        <v>25</v>
      </c>
    </row>
    <row r="444" ht="15.75" customHeight="1">
      <c r="A444" s="1">
        <f>IFERROR(__xludf.DUMMYFUNCTION("""COMPUTED_VALUE"""),45187.66666666667)</f>
        <v>45187.66667</v>
      </c>
      <c r="B444" s="2">
        <f>IFERROR(__xludf.DUMMYFUNCTION("""COMPUTED_VALUE"""),720.0)</f>
        <v>720</v>
      </c>
      <c r="C444" s="2">
        <f>IFERROR(__xludf.DUMMYFUNCTION("""COMPUTED_VALUE"""),725.0)</f>
        <v>725</v>
      </c>
      <c r="D444" s="2">
        <f>IFERROR(__xludf.DUMMYFUNCTION("""COMPUTED_VALUE"""),705.0)</f>
        <v>705</v>
      </c>
      <c r="E444" s="2">
        <f>IFERROR(__xludf.DUMMYFUNCTION("""COMPUTED_VALUE"""),705.0)</f>
        <v>705</v>
      </c>
      <c r="F444" s="2">
        <f>IFERROR(__xludf.DUMMYFUNCTION("""COMPUTED_VALUE"""),3.07954E7)</f>
        <v>30795400</v>
      </c>
      <c r="G444" s="2">
        <f t="shared" si="1"/>
        <v>20</v>
      </c>
    </row>
    <row r="445" ht="15.75" customHeight="1">
      <c r="A445" s="1">
        <f>IFERROR(__xludf.DUMMYFUNCTION("""COMPUTED_VALUE"""),45188.66666666667)</f>
        <v>45188.66667</v>
      </c>
      <c r="B445" s="2">
        <f>IFERROR(__xludf.DUMMYFUNCTION("""COMPUTED_VALUE"""),710.0)</f>
        <v>710</v>
      </c>
      <c r="C445" s="2">
        <f>IFERROR(__xludf.DUMMYFUNCTION("""COMPUTED_VALUE"""),715.0)</f>
        <v>715</v>
      </c>
      <c r="D445" s="2">
        <f>IFERROR(__xludf.DUMMYFUNCTION("""COMPUTED_VALUE"""),695.0)</f>
        <v>695</v>
      </c>
      <c r="E445" s="2">
        <f>IFERROR(__xludf.DUMMYFUNCTION("""COMPUTED_VALUE"""),695.0)</f>
        <v>695</v>
      </c>
      <c r="F445" s="2">
        <f>IFERROR(__xludf.DUMMYFUNCTION("""COMPUTED_VALUE"""),3.13126E7)</f>
        <v>31312600</v>
      </c>
      <c r="G445" s="2">
        <f t="shared" si="1"/>
        <v>20</v>
      </c>
    </row>
    <row r="446" ht="15.75" customHeight="1">
      <c r="A446" s="1">
        <f>IFERROR(__xludf.DUMMYFUNCTION("""COMPUTED_VALUE"""),45189.66666666667)</f>
        <v>45189.66667</v>
      </c>
      <c r="B446" s="2">
        <f>IFERROR(__xludf.DUMMYFUNCTION("""COMPUTED_VALUE"""),700.0)</f>
        <v>700</v>
      </c>
      <c r="C446" s="2">
        <f>IFERROR(__xludf.DUMMYFUNCTION("""COMPUTED_VALUE"""),705.0)</f>
        <v>705</v>
      </c>
      <c r="D446" s="2">
        <f>IFERROR(__xludf.DUMMYFUNCTION("""COMPUTED_VALUE"""),685.0)</f>
        <v>685</v>
      </c>
      <c r="E446" s="2">
        <f>IFERROR(__xludf.DUMMYFUNCTION("""COMPUTED_VALUE"""),690.0)</f>
        <v>690</v>
      </c>
      <c r="F446" s="2">
        <f>IFERROR(__xludf.DUMMYFUNCTION("""COMPUTED_VALUE"""),4.13486E7)</f>
        <v>41348600</v>
      </c>
      <c r="G446" s="2">
        <f t="shared" si="1"/>
        <v>20</v>
      </c>
    </row>
    <row r="447" ht="15.75" customHeight="1">
      <c r="A447" s="1">
        <f>IFERROR(__xludf.DUMMYFUNCTION("""COMPUTED_VALUE"""),45190.66666666667)</f>
        <v>45190.66667</v>
      </c>
      <c r="B447" s="2">
        <f>IFERROR(__xludf.DUMMYFUNCTION("""COMPUTED_VALUE"""),690.0)</f>
        <v>690</v>
      </c>
      <c r="C447" s="2">
        <f>IFERROR(__xludf.DUMMYFUNCTION("""COMPUTED_VALUE"""),695.0)</f>
        <v>695</v>
      </c>
      <c r="D447" s="2">
        <f>IFERROR(__xludf.DUMMYFUNCTION("""COMPUTED_VALUE"""),670.0)</f>
        <v>670</v>
      </c>
      <c r="E447" s="2">
        <f>IFERROR(__xludf.DUMMYFUNCTION("""COMPUTED_VALUE"""),675.0)</f>
        <v>675</v>
      </c>
      <c r="F447" s="2">
        <f>IFERROR(__xludf.DUMMYFUNCTION("""COMPUTED_VALUE"""),8.59462E7)</f>
        <v>85946200</v>
      </c>
      <c r="G447" s="2">
        <f t="shared" si="1"/>
        <v>25</v>
      </c>
    </row>
    <row r="448" ht="15.75" customHeight="1">
      <c r="A448" s="1">
        <f>IFERROR(__xludf.DUMMYFUNCTION("""COMPUTED_VALUE"""),45191.66666666667)</f>
        <v>45191.66667</v>
      </c>
      <c r="B448" s="2">
        <f>IFERROR(__xludf.DUMMYFUNCTION("""COMPUTED_VALUE"""),675.0)</f>
        <v>675</v>
      </c>
      <c r="C448" s="2">
        <f>IFERROR(__xludf.DUMMYFUNCTION("""COMPUTED_VALUE"""),690.0)</f>
        <v>690</v>
      </c>
      <c r="D448" s="2">
        <f>IFERROR(__xludf.DUMMYFUNCTION("""COMPUTED_VALUE"""),670.0)</f>
        <v>670</v>
      </c>
      <c r="E448" s="2">
        <f>IFERROR(__xludf.DUMMYFUNCTION("""COMPUTED_VALUE"""),680.0)</f>
        <v>680</v>
      </c>
      <c r="F448" s="2">
        <f>IFERROR(__xludf.DUMMYFUNCTION("""COMPUTED_VALUE"""),5.89305E7)</f>
        <v>58930500</v>
      </c>
      <c r="G448" s="2">
        <f t="shared" si="1"/>
        <v>20</v>
      </c>
    </row>
    <row r="449" ht="15.75" customHeight="1">
      <c r="A449" s="1">
        <f>IFERROR(__xludf.DUMMYFUNCTION("""COMPUTED_VALUE"""),45194.66666666667)</f>
        <v>45194.66667</v>
      </c>
      <c r="B449" s="2">
        <f>IFERROR(__xludf.DUMMYFUNCTION("""COMPUTED_VALUE"""),680.0)</f>
        <v>680</v>
      </c>
      <c r="C449" s="2">
        <f>IFERROR(__xludf.DUMMYFUNCTION("""COMPUTED_VALUE"""),685.0)</f>
        <v>685</v>
      </c>
      <c r="D449" s="2">
        <f>IFERROR(__xludf.DUMMYFUNCTION("""COMPUTED_VALUE"""),665.0)</f>
        <v>665</v>
      </c>
      <c r="E449" s="2">
        <f>IFERROR(__xludf.DUMMYFUNCTION("""COMPUTED_VALUE"""),670.0)</f>
        <v>670</v>
      </c>
      <c r="F449" s="2">
        <f>IFERROR(__xludf.DUMMYFUNCTION("""COMPUTED_VALUE"""),7.90637E7)</f>
        <v>79063700</v>
      </c>
      <c r="G449" s="2">
        <f t="shared" si="1"/>
        <v>20</v>
      </c>
    </row>
    <row r="450" ht="15.75" customHeight="1">
      <c r="A450" s="1">
        <f>IFERROR(__xludf.DUMMYFUNCTION("""COMPUTED_VALUE"""),45195.66666666667)</f>
        <v>45195.66667</v>
      </c>
      <c r="B450" s="2">
        <f>IFERROR(__xludf.DUMMYFUNCTION("""COMPUTED_VALUE"""),675.0)</f>
        <v>675</v>
      </c>
      <c r="C450" s="2">
        <f>IFERROR(__xludf.DUMMYFUNCTION("""COMPUTED_VALUE"""),680.0)</f>
        <v>680</v>
      </c>
      <c r="D450" s="2">
        <f>IFERROR(__xludf.DUMMYFUNCTION("""COMPUTED_VALUE"""),670.0)</f>
        <v>670</v>
      </c>
      <c r="E450" s="2">
        <f>IFERROR(__xludf.DUMMYFUNCTION("""COMPUTED_VALUE"""),675.0)</f>
        <v>675</v>
      </c>
      <c r="F450" s="2">
        <f>IFERROR(__xludf.DUMMYFUNCTION("""COMPUTED_VALUE"""),4.27859E7)</f>
        <v>42785900</v>
      </c>
      <c r="G450" s="2">
        <f t="shared" si="1"/>
        <v>10</v>
      </c>
    </row>
    <row r="451" ht="15.75" customHeight="1">
      <c r="A451" s="1">
        <f>IFERROR(__xludf.DUMMYFUNCTION("""COMPUTED_VALUE"""),45196.66666666667)</f>
        <v>45196.66667</v>
      </c>
      <c r="B451" s="2">
        <f>IFERROR(__xludf.DUMMYFUNCTION("""COMPUTED_VALUE"""),675.0)</f>
        <v>675</v>
      </c>
      <c r="C451" s="2">
        <f>IFERROR(__xludf.DUMMYFUNCTION("""COMPUTED_VALUE"""),695.0)</f>
        <v>695</v>
      </c>
      <c r="D451" s="2">
        <f>IFERROR(__xludf.DUMMYFUNCTION("""COMPUTED_VALUE"""),675.0)</f>
        <v>675</v>
      </c>
      <c r="E451" s="2">
        <f>IFERROR(__xludf.DUMMYFUNCTION("""COMPUTED_VALUE"""),685.0)</f>
        <v>685</v>
      </c>
      <c r="F451" s="2">
        <f>IFERROR(__xludf.DUMMYFUNCTION("""COMPUTED_VALUE"""),6.17058E7)</f>
        <v>61705800</v>
      </c>
      <c r="G451" s="2">
        <f t="shared" si="1"/>
        <v>20</v>
      </c>
    </row>
    <row r="452" ht="15.75" customHeight="1">
      <c r="A452" s="1">
        <f>IFERROR(__xludf.DUMMYFUNCTION("""COMPUTED_VALUE"""),45198.66666666667)</f>
        <v>45198.66667</v>
      </c>
      <c r="B452" s="2">
        <f>IFERROR(__xludf.DUMMYFUNCTION("""COMPUTED_VALUE"""),685.0)</f>
        <v>685</v>
      </c>
      <c r="C452" s="2">
        <f>IFERROR(__xludf.DUMMYFUNCTION("""COMPUTED_VALUE"""),700.0)</f>
        <v>700</v>
      </c>
      <c r="D452" s="2">
        <f>IFERROR(__xludf.DUMMYFUNCTION("""COMPUTED_VALUE"""),675.0)</f>
        <v>675</v>
      </c>
      <c r="E452" s="2">
        <f>IFERROR(__xludf.DUMMYFUNCTION("""COMPUTED_VALUE"""),680.0)</f>
        <v>680</v>
      </c>
      <c r="F452" s="2">
        <f>IFERROR(__xludf.DUMMYFUNCTION("""COMPUTED_VALUE"""),3.61874E7)</f>
        <v>36187400</v>
      </c>
      <c r="G452" s="2">
        <f t="shared" si="1"/>
        <v>25</v>
      </c>
    </row>
    <row r="453" ht="15.75" customHeight="1">
      <c r="A453" s="1">
        <f>IFERROR(__xludf.DUMMYFUNCTION("""COMPUTED_VALUE"""),45201.66666666667)</f>
        <v>45201.66667</v>
      </c>
      <c r="B453" s="2">
        <f>IFERROR(__xludf.DUMMYFUNCTION("""COMPUTED_VALUE"""),680.0)</f>
        <v>680</v>
      </c>
      <c r="C453" s="2">
        <f>IFERROR(__xludf.DUMMYFUNCTION("""COMPUTED_VALUE"""),685.0)</f>
        <v>685</v>
      </c>
      <c r="D453" s="2">
        <f>IFERROR(__xludf.DUMMYFUNCTION("""COMPUTED_VALUE"""),670.0)</f>
        <v>670</v>
      </c>
      <c r="E453" s="2">
        <f>IFERROR(__xludf.DUMMYFUNCTION("""COMPUTED_VALUE"""),675.0)</f>
        <v>675</v>
      </c>
      <c r="F453" s="2">
        <f>IFERROR(__xludf.DUMMYFUNCTION("""COMPUTED_VALUE"""),2.38877E7)</f>
        <v>23887700</v>
      </c>
      <c r="G453" s="2">
        <f t="shared" si="1"/>
        <v>15</v>
      </c>
    </row>
    <row r="454" ht="15.75" customHeight="1">
      <c r="A454" s="1">
        <f>IFERROR(__xludf.DUMMYFUNCTION("""COMPUTED_VALUE"""),45202.66666666667)</f>
        <v>45202.66667</v>
      </c>
      <c r="B454" s="2">
        <f>IFERROR(__xludf.DUMMYFUNCTION("""COMPUTED_VALUE"""),680.0)</f>
        <v>680</v>
      </c>
      <c r="C454" s="2">
        <f>IFERROR(__xludf.DUMMYFUNCTION("""COMPUTED_VALUE"""),685.0)</f>
        <v>685</v>
      </c>
      <c r="D454" s="2">
        <f>IFERROR(__xludf.DUMMYFUNCTION("""COMPUTED_VALUE"""),670.0)</f>
        <v>670</v>
      </c>
      <c r="E454" s="2">
        <f>IFERROR(__xludf.DUMMYFUNCTION("""COMPUTED_VALUE"""),675.0)</f>
        <v>675</v>
      </c>
      <c r="F454" s="2">
        <f>IFERROR(__xludf.DUMMYFUNCTION("""COMPUTED_VALUE"""),1.48446E7)</f>
        <v>14844600</v>
      </c>
      <c r="G454" s="2">
        <f t="shared" si="1"/>
        <v>15</v>
      </c>
    </row>
    <row r="455" ht="15.75" customHeight="1">
      <c r="A455" s="1">
        <f>IFERROR(__xludf.DUMMYFUNCTION("""COMPUTED_VALUE"""),45203.66666666667)</f>
        <v>45203.66667</v>
      </c>
      <c r="B455" s="2">
        <f>IFERROR(__xludf.DUMMYFUNCTION("""COMPUTED_VALUE"""),675.0)</f>
        <v>675</v>
      </c>
      <c r="C455" s="2">
        <f>IFERROR(__xludf.DUMMYFUNCTION("""COMPUTED_VALUE"""),680.0)</f>
        <v>680</v>
      </c>
      <c r="D455" s="2">
        <f>IFERROR(__xludf.DUMMYFUNCTION("""COMPUTED_VALUE"""),650.0)</f>
        <v>650</v>
      </c>
      <c r="E455" s="2">
        <f>IFERROR(__xludf.DUMMYFUNCTION("""COMPUTED_VALUE"""),660.0)</f>
        <v>660</v>
      </c>
      <c r="F455" s="2">
        <f>IFERROR(__xludf.DUMMYFUNCTION("""COMPUTED_VALUE"""),6.35706E7)</f>
        <v>63570600</v>
      </c>
      <c r="G455" s="2">
        <f t="shared" si="1"/>
        <v>30</v>
      </c>
    </row>
    <row r="456" ht="15.75" customHeight="1">
      <c r="A456" s="1">
        <f>IFERROR(__xludf.DUMMYFUNCTION("""COMPUTED_VALUE"""),45204.66666666667)</f>
        <v>45204.66667</v>
      </c>
      <c r="B456" s="2">
        <f>IFERROR(__xludf.DUMMYFUNCTION("""COMPUTED_VALUE"""),660.0)</f>
        <v>660</v>
      </c>
      <c r="C456" s="2">
        <f>IFERROR(__xludf.DUMMYFUNCTION("""COMPUTED_VALUE"""),670.0)</f>
        <v>670</v>
      </c>
      <c r="D456" s="2">
        <f>IFERROR(__xludf.DUMMYFUNCTION("""COMPUTED_VALUE"""),655.0)</f>
        <v>655</v>
      </c>
      <c r="E456" s="2">
        <f>IFERROR(__xludf.DUMMYFUNCTION("""COMPUTED_VALUE"""),665.0)</f>
        <v>665</v>
      </c>
      <c r="F456" s="2">
        <f>IFERROR(__xludf.DUMMYFUNCTION("""COMPUTED_VALUE"""),2.80559E7)</f>
        <v>28055900</v>
      </c>
      <c r="G456" s="2">
        <f t="shared" si="1"/>
        <v>15</v>
      </c>
    </row>
    <row r="457" ht="15.75" customHeight="1">
      <c r="A457" s="1">
        <f>IFERROR(__xludf.DUMMYFUNCTION("""COMPUTED_VALUE"""),45205.66666666667)</f>
        <v>45205.66667</v>
      </c>
      <c r="B457" s="2">
        <f>IFERROR(__xludf.DUMMYFUNCTION("""COMPUTED_VALUE"""),665.0)</f>
        <v>665</v>
      </c>
      <c r="C457" s="2">
        <f>IFERROR(__xludf.DUMMYFUNCTION("""COMPUTED_VALUE"""),670.0)</f>
        <v>670</v>
      </c>
      <c r="D457" s="2">
        <f>IFERROR(__xludf.DUMMYFUNCTION("""COMPUTED_VALUE"""),655.0)</f>
        <v>655</v>
      </c>
      <c r="E457" s="2">
        <f>IFERROR(__xludf.DUMMYFUNCTION("""COMPUTED_VALUE"""),655.0)</f>
        <v>655</v>
      </c>
      <c r="F457" s="2">
        <f>IFERROR(__xludf.DUMMYFUNCTION("""COMPUTED_VALUE"""),1.58704E7)</f>
        <v>15870400</v>
      </c>
      <c r="G457" s="2">
        <f t="shared" si="1"/>
        <v>15</v>
      </c>
    </row>
    <row r="458" ht="15.75" customHeight="1">
      <c r="A458" s="1">
        <f>IFERROR(__xludf.DUMMYFUNCTION("""COMPUTED_VALUE"""),45208.66666666667)</f>
        <v>45208.66667</v>
      </c>
      <c r="B458" s="2">
        <f>IFERROR(__xludf.DUMMYFUNCTION("""COMPUTED_VALUE"""),655.0)</f>
        <v>655</v>
      </c>
      <c r="C458" s="2">
        <f>IFERROR(__xludf.DUMMYFUNCTION("""COMPUTED_VALUE"""),665.0)</f>
        <v>665</v>
      </c>
      <c r="D458" s="2">
        <f>IFERROR(__xludf.DUMMYFUNCTION("""COMPUTED_VALUE"""),650.0)</f>
        <v>650</v>
      </c>
      <c r="E458" s="2">
        <f>IFERROR(__xludf.DUMMYFUNCTION("""COMPUTED_VALUE"""),660.0)</f>
        <v>660</v>
      </c>
      <c r="F458" s="2">
        <f>IFERROR(__xludf.DUMMYFUNCTION("""COMPUTED_VALUE"""),2.60469E7)</f>
        <v>26046900</v>
      </c>
      <c r="G458" s="2">
        <f t="shared" si="1"/>
        <v>15</v>
      </c>
    </row>
    <row r="459" ht="15.75" customHeight="1">
      <c r="A459" s="1">
        <f>IFERROR(__xludf.DUMMYFUNCTION("""COMPUTED_VALUE"""),45209.66666666667)</f>
        <v>45209.66667</v>
      </c>
      <c r="B459" s="2">
        <f>IFERROR(__xludf.DUMMYFUNCTION("""COMPUTED_VALUE"""),660.0)</f>
        <v>660</v>
      </c>
      <c r="C459" s="2">
        <f>IFERROR(__xludf.DUMMYFUNCTION("""COMPUTED_VALUE"""),665.0)</f>
        <v>665</v>
      </c>
      <c r="D459" s="2">
        <f>IFERROR(__xludf.DUMMYFUNCTION("""COMPUTED_VALUE"""),650.0)</f>
        <v>650</v>
      </c>
      <c r="E459" s="2">
        <f>IFERROR(__xludf.DUMMYFUNCTION("""COMPUTED_VALUE"""),665.0)</f>
        <v>665</v>
      </c>
      <c r="F459" s="2">
        <f>IFERROR(__xludf.DUMMYFUNCTION("""COMPUTED_VALUE"""),2.55022E7)</f>
        <v>25502200</v>
      </c>
      <c r="G459" s="2">
        <f t="shared" si="1"/>
        <v>15</v>
      </c>
    </row>
    <row r="460" ht="15.75" customHeight="1">
      <c r="A460" s="1">
        <f>IFERROR(__xludf.DUMMYFUNCTION("""COMPUTED_VALUE"""),45210.66666666667)</f>
        <v>45210.66667</v>
      </c>
      <c r="B460" s="2">
        <f>IFERROR(__xludf.DUMMYFUNCTION("""COMPUTED_VALUE"""),665.0)</f>
        <v>665</v>
      </c>
      <c r="C460" s="2">
        <f>IFERROR(__xludf.DUMMYFUNCTION("""COMPUTED_VALUE"""),675.0)</f>
        <v>675</v>
      </c>
      <c r="D460" s="2">
        <f>IFERROR(__xludf.DUMMYFUNCTION("""COMPUTED_VALUE"""),660.0)</f>
        <v>660</v>
      </c>
      <c r="E460" s="2">
        <f>IFERROR(__xludf.DUMMYFUNCTION("""COMPUTED_VALUE"""),675.0)</f>
        <v>675</v>
      </c>
      <c r="F460" s="2">
        <f>IFERROR(__xludf.DUMMYFUNCTION("""COMPUTED_VALUE"""),2.51894E7)</f>
        <v>25189400</v>
      </c>
      <c r="G460" s="2">
        <f t="shared" si="1"/>
        <v>15</v>
      </c>
    </row>
    <row r="461" ht="15.75" customHeight="1">
      <c r="A461" s="1">
        <f>IFERROR(__xludf.DUMMYFUNCTION("""COMPUTED_VALUE"""),45211.66666666667)</f>
        <v>45211.66667</v>
      </c>
      <c r="B461" s="2">
        <f>IFERROR(__xludf.DUMMYFUNCTION("""COMPUTED_VALUE"""),675.0)</f>
        <v>675</v>
      </c>
      <c r="C461" s="2">
        <f>IFERROR(__xludf.DUMMYFUNCTION("""COMPUTED_VALUE"""),680.0)</f>
        <v>680</v>
      </c>
      <c r="D461" s="2">
        <f>IFERROR(__xludf.DUMMYFUNCTION("""COMPUTED_VALUE"""),655.0)</f>
        <v>655</v>
      </c>
      <c r="E461" s="2">
        <f>IFERROR(__xludf.DUMMYFUNCTION("""COMPUTED_VALUE"""),655.0)</f>
        <v>655</v>
      </c>
      <c r="F461" s="2">
        <f>IFERROR(__xludf.DUMMYFUNCTION("""COMPUTED_VALUE"""),5.22528E7)</f>
        <v>52252800</v>
      </c>
      <c r="G461" s="2">
        <f t="shared" si="1"/>
        <v>25</v>
      </c>
    </row>
    <row r="462" ht="15.75" customHeight="1">
      <c r="A462" s="1">
        <f>IFERROR(__xludf.DUMMYFUNCTION("""COMPUTED_VALUE"""),45212.66666666667)</f>
        <v>45212.66667</v>
      </c>
      <c r="B462" s="2">
        <f>IFERROR(__xludf.DUMMYFUNCTION("""COMPUTED_VALUE"""),655.0)</f>
        <v>655</v>
      </c>
      <c r="C462" s="2">
        <f>IFERROR(__xludf.DUMMYFUNCTION("""COMPUTED_VALUE"""),660.0)</f>
        <v>660</v>
      </c>
      <c r="D462" s="2">
        <f>IFERROR(__xludf.DUMMYFUNCTION("""COMPUTED_VALUE"""),650.0)</f>
        <v>650</v>
      </c>
      <c r="E462" s="2">
        <f>IFERROR(__xludf.DUMMYFUNCTION("""COMPUTED_VALUE"""),655.0)</f>
        <v>655</v>
      </c>
      <c r="F462" s="2">
        <f>IFERROR(__xludf.DUMMYFUNCTION("""COMPUTED_VALUE"""),2.88415E7)</f>
        <v>28841500</v>
      </c>
      <c r="G462" s="2">
        <f t="shared" si="1"/>
        <v>10</v>
      </c>
    </row>
    <row r="463" ht="15.75" customHeight="1">
      <c r="A463" s="1">
        <f>IFERROR(__xludf.DUMMYFUNCTION("""COMPUTED_VALUE"""),45215.66666666667)</f>
        <v>45215.66667</v>
      </c>
      <c r="B463" s="2">
        <f>IFERROR(__xludf.DUMMYFUNCTION("""COMPUTED_VALUE"""),660.0)</f>
        <v>660</v>
      </c>
      <c r="C463" s="2">
        <f>IFERROR(__xludf.DUMMYFUNCTION("""COMPUTED_VALUE"""),665.0)</f>
        <v>665</v>
      </c>
      <c r="D463" s="2">
        <f>IFERROR(__xludf.DUMMYFUNCTION("""COMPUTED_VALUE"""),640.0)</f>
        <v>640</v>
      </c>
      <c r="E463" s="2">
        <f>IFERROR(__xludf.DUMMYFUNCTION("""COMPUTED_VALUE"""),650.0)</f>
        <v>650</v>
      </c>
      <c r="F463" s="2">
        <f>IFERROR(__xludf.DUMMYFUNCTION("""COMPUTED_VALUE"""),4.57537E7)</f>
        <v>45753700</v>
      </c>
      <c r="G463" s="2">
        <f t="shared" si="1"/>
        <v>25</v>
      </c>
    </row>
    <row r="464" ht="15.75" customHeight="1">
      <c r="A464" s="1">
        <f>IFERROR(__xludf.DUMMYFUNCTION("""COMPUTED_VALUE"""),45216.66666666667)</f>
        <v>45216.66667</v>
      </c>
      <c r="B464" s="2">
        <f>IFERROR(__xludf.DUMMYFUNCTION("""COMPUTED_VALUE"""),655.0)</f>
        <v>655</v>
      </c>
      <c r="C464" s="2">
        <f>IFERROR(__xludf.DUMMYFUNCTION("""COMPUTED_VALUE"""),670.0)</f>
        <v>670</v>
      </c>
      <c r="D464" s="2">
        <f>IFERROR(__xludf.DUMMYFUNCTION("""COMPUTED_VALUE"""),650.0)</f>
        <v>650</v>
      </c>
      <c r="E464" s="2">
        <f>IFERROR(__xludf.DUMMYFUNCTION("""COMPUTED_VALUE"""),665.0)</f>
        <v>665</v>
      </c>
      <c r="F464" s="2">
        <f>IFERROR(__xludf.DUMMYFUNCTION("""COMPUTED_VALUE"""),2.11818E7)</f>
        <v>21181800</v>
      </c>
      <c r="G464" s="2">
        <f t="shared" si="1"/>
        <v>20</v>
      </c>
    </row>
    <row r="465" ht="15.75" customHeight="1">
      <c r="A465" s="1">
        <f>IFERROR(__xludf.DUMMYFUNCTION("""COMPUTED_VALUE"""),45217.66666666667)</f>
        <v>45217.66667</v>
      </c>
      <c r="B465" s="2">
        <f>IFERROR(__xludf.DUMMYFUNCTION("""COMPUTED_VALUE"""),665.0)</f>
        <v>665</v>
      </c>
      <c r="C465" s="2">
        <f>IFERROR(__xludf.DUMMYFUNCTION("""COMPUTED_VALUE"""),665.0)</f>
        <v>665</v>
      </c>
      <c r="D465" s="2">
        <f>IFERROR(__xludf.DUMMYFUNCTION("""COMPUTED_VALUE"""),645.0)</f>
        <v>645</v>
      </c>
      <c r="E465" s="2">
        <f>IFERROR(__xludf.DUMMYFUNCTION("""COMPUTED_VALUE"""),655.0)</f>
        <v>655</v>
      </c>
      <c r="F465" s="2">
        <f>IFERROR(__xludf.DUMMYFUNCTION("""COMPUTED_VALUE"""),1.99731E7)</f>
        <v>19973100</v>
      </c>
      <c r="G465" s="2">
        <f t="shared" si="1"/>
        <v>20</v>
      </c>
    </row>
    <row r="466" ht="15.75" customHeight="1">
      <c r="A466" s="1">
        <f>IFERROR(__xludf.DUMMYFUNCTION("""COMPUTED_VALUE"""),45218.66666666667)</f>
        <v>45218.66667</v>
      </c>
      <c r="B466" s="2">
        <f>IFERROR(__xludf.DUMMYFUNCTION("""COMPUTED_VALUE"""),655.0)</f>
        <v>655</v>
      </c>
      <c r="C466" s="2">
        <f>IFERROR(__xludf.DUMMYFUNCTION("""COMPUTED_VALUE"""),660.0)</f>
        <v>660</v>
      </c>
      <c r="D466" s="2">
        <f>IFERROR(__xludf.DUMMYFUNCTION("""COMPUTED_VALUE"""),645.0)</f>
        <v>645</v>
      </c>
      <c r="E466" s="2">
        <f>IFERROR(__xludf.DUMMYFUNCTION("""COMPUTED_VALUE"""),655.0)</f>
        <v>655</v>
      </c>
      <c r="F466" s="2">
        <f>IFERROR(__xludf.DUMMYFUNCTION("""COMPUTED_VALUE"""),3.2682E7)</f>
        <v>32682000</v>
      </c>
      <c r="G466" s="2">
        <f t="shared" si="1"/>
        <v>15</v>
      </c>
    </row>
    <row r="467" ht="15.75" customHeight="1">
      <c r="A467" s="1">
        <f>IFERROR(__xludf.DUMMYFUNCTION("""COMPUTED_VALUE"""),45219.66666666667)</f>
        <v>45219.66667</v>
      </c>
      <c r="B467" s="2">
        <f>IFERROR(__xludf.DUMMYFUNCTION("""COMPUTED_VALUE"""),655.0)</f>
        <v>655</v>
      </c>
      <c r="C467" s="2">
        <f>IFERROR(__xludf.DUMMYFUNCTION("""COMPUTED_VALUE"""),655.0)</f>
        <v>655</v>
      </c>
      <c r="D467" s="2">
        <f>IFERROR(__xludf.DUMMYFUNCTION("""COMPUTED_VALUE"""),640.0)</f>
        <v>640</v>
      </c>
      <c r="E467" s="2">
        <f>IFERROR(__xludf.DUMMYFUNCTION("""COMPUTED_VALUE"""),640.0)</f>
        <v>640</v>
      </c>
      <c r="F467" s="2">
        <f>IFERROR(__xludf.DUMMYFUNCTION("""COMPUTED_VALUE"""),2.50216E7)</f>
        <v>25021600</v>
      </c>
      <c r="G467" s="2">
        <f t="shared" si="1"/>
        <v>15</v>
      </c>
    </row>
    <row r="468" ht="15.75" customHeight="1">
      <c r="A468" s="1">
        <f>IFERROR(__xludf.DUMMYFUNCTION("""COMPUTED_VALUE"""),45222.66666666667)</f>
        <v>45222.66667</v>
      </c>
      <c r="B468" s="2">
        <f>IFERROR(__xludf.DUMMYFUNCTION("""COMPUTED_VALUE"""),640.0)</f>
        <v>640</v>
      </c>
      <c r="C468" s="2">
        <f>IFERROR(__xludf.DUMMYFUNCTION("""COMPUTED_VALUE"""),645.0)</f>
        <v>645</v>
      </c>
      <c r="D468" s="2">
        <f>IFERROR(__xludf.DUMMYFUNCTION("""COMPUTED_VALUE"""),635.0)</f>
        <v>635</v>
      </c>
      <c r="E468" s="2">
        <f>IFERROR(__xludf.DUMMYFUNCTION("""COMPUTED_VALUE"""),645.0)</f>
        <v>645</v>
      </c>
      <c r="F468" s="2">
        <f>IFERROR(__xludf.DUMMYFUNCTION("""COMPUTED_VALUE"""),1.86815E7)</f>
        <v>18681500</v>
      </c>
      <c r="G468" s="2">
        <f t="shared" si="1"/>
        <v>10</v>
      </c>
    </row>
    <row r="469" ht="15.75" customHeight="1">
      <c r="A469" s="1">
        <f>IFERROR(__xludf.DUMMYFUNCTION("""COMPUTED_VALUE"""),45223.66666666667)</f>
        <v>45223.66667</v>
      </c>
      <c r="B469" s="2">
        <f>IFERROR(__xludf.DUMMYFUNCTION("""COMPUTED_VALUE"""),645.0)</f>
        <v>645</v>
      </c>
      <c r="C469" s="2">
        <f>IFERROR(__xludf.DUMMYFUNCTION("""COMPUTED_VALUE"""),655.0)</f>
        <v>655</v>
      </c>
      <c r="D469" s="2">
        <f>IFERROR(__xludf.DUMMYFUNCTION("""COMPUTED_VALUE"""),635.0)</f>
        <v>635</v>
      </c>
      <c r="E469" s="2">
        <f>IFERROR(__xludf.DUMMYFUNCTION("""COMPUTED_VALUE"""),655.0)</f>
        <v>655</v>
      </c>
      <c r="F469" s="2">
        <f>IFERROR(__xludf.DUMMYFUNCTION("""COMPUTED_VALUE"""),3.33779E7)</f>
        <v>33377900</v>
      </c>
      <c r="G469" s="2">
        <f t="shared" si="1"/>
        <v>20</v>
      </c>
    </row>
    <row r="470" ht="15.75" customHeight="1">
      <c r="A470" s="1">
        <f>IFERROR(__xludf.DUMMYFUNCTION("""COMPUTED_VALUE"""),45224.66666666667)</f>
        <v>45224.66667</v>
      </c>
      <c r="B470" s="2">
        <f>IFERROR(__xludf.DUMMYFUNCTION("""COMPUTED_VALUE"""),655.0)</f>
        <v>655</v>
      </c>
      <c r="C470" s="2">
        <f>IFERROR(__xludf.DUMMYFUNCTION("""COMPUTED_VALUE"""),655.0)</f>
        <v>655</v>
      </c>
      <c r="D470" s="2">
        <f>IFERROR(__xludf.DUMMYFUNCTION("""COMPUTED_VALUE"""),645.0)</f>
        <v>645</v>
      </c>
      <c r="E470" s="2">
        <f>IFERROR(__xludf.DUMMYFUNCTION("""COMPUTED_VALUE"""),650.0)</f>
        <v>650</v>
      </c>
      <c r="F470" s="2">
        <f>IFERROR(__xludf.DUMMYFUNCTION("""COMPUTED_VALUE"""),2.58492E7)</f>
        <v>25849200</v>
      </c>
      <c r="G470" s="2">
        <f t="shared" si="1"/>
        <v>10</v>
      </c>
    </row>
    <row r="471" ht="15.75" customHeight="1">
      <c r="A471" s="1">
        <f>IFERROR(__xludf.DUMMYFUNCTION("""COMPUTED_VALUE"""),45225.66666666667)</f>
        <v>45225.66667</v>
      </c>
      <c r="B471" s="2">
        <f>IFERROR(__xludf.DUMMYFUNCTION("""COMPUTED_VALUE"""),650.0)</f>
        <v>650</v>
      </c>
      <c r="C471" s="2">
        <f>IFERROR(__xludf.DUMMYFUNCTION("""COMPUTED_VALUE"""),655.0)</f>
        <v>655</v>
      </c>
      <c r="D471" s="2">
        <f>IFERROR(__xludf.DUMMYFUNCTION("""COMPUTED_VALUE"""),625.0)</f>
        <v>625</v>
      </c>
      <c r="E471" s="2">
        <f>IFERROR(__xludf.DUMMYFUNCTION("""COMPUTED_VALUE"""),625.0)</f>
        <v>625</v>
      </c>
      <c r="F471" s="2">
        <f>IFERROR(__xludf.DUMMYFUNCTION("""COMPUTED_VALUE"""),6.03865E7)</f>
        <v>60386500</v>
      </c>
      <c r="G471" s="2">
        <f t="shared" si="1"/>
        <v>30</v>
      </c>
    </row>
    <row r="472" ht="15.75" customHeight="1">
      <c r="A472" s="1">
        <f>IFERROR(__xludf.DUMMYFUNCTION("""COMPUTED_VALUE"""),45226.66666666667)</f>
        <v>45226.66667</v>
      </c>
      <c r="B472" s="2">
        <f>IFERROR(__xludf.DUMMYFUNCTION("""COMPUTED_VALUE"""),625.0)</f>
        <v>625</v>
      </c>
      <c r="C472" s="2">
        <f>IFERROR(__xludf.DUMMYFUNCTION("""COMPUTED_VALUE"""),640.0)</f>
        <v>640</v>
      </c>
      <c r="D472" s="2">
        <f>IFERROR(__xludf.DUMMYFUNCTION("""COMPUTED_VALUE"""),620.0)</f>
        <v>620</v>
      </c>
      <c r="E472" s="2">
        <f>IFERROR(__xludf.DUMMYFUNCTION("""COMPUTED_VALUE"""),635.0)</f>
        <v>635</v>
      </c>
      <c r="F472" s="2">
        <f>IFERROR(__xludf.DUMMYFUNCTION("""COMPUTED_VALUE"""),1.19832E7)</f>
        <v>11983200</v>
      </c>
      <c r="G472" s="2">
        <f t="shared" si="1"/>
        <v>20</v>
      </c>
    </row>
    <row r="473" ht="15.75" customHeight="1">
      <c r="A473" s="1">
        <f>IFERROR(__xludf.DUMMYFUNCTION("""COMPUTED_VALUE"""),45229.66666666667)</f>
        <v>45229.66667</v>
      </c>
      <c r="B473" s="2">
        <f>IFERROR(__xludf.DUMMYFUNCTION("""COMPUTED_VALUE"""),635.0)</f>
        <v>635</v>
      </c>
      <c r="C473" s="2">
        <f>IFERROR(__xludf.DUMMYFUNCTION("""COMPUTED_VALUE"""),635.0)</f>
        <v>635</v>
      </c>
      <c r="D473" s="2">
        <f>IFERROR(__xludf.DUMMYFUNCTION("""COMPUTED_VALUE"""),620.0)</f>
        <v>620</v>
      </c>
      <c r="E473" s="2">
        <f>IFERROR(__xludf.DUMMYFUNCTION("""COMPUTED_VALUE"""),620.0)</f>
        <v>620</v>
      </c>
      <c r="F473" s="2">
        <f>IFERROR(__xludf.DUMMYFUNCTION("""COMPUTED_VALUE"""),2.08808E7)</f>
        <v>20880800</v>
      </c>
      <c r="G473" s="2">
        <f t="shared" si="1"/>
        <v>15</v>
      </c>
    </row>
    <row r="474" ht="15.75" customHeight="1">
      <c r="A474" s="1">
        <f>IFERROR(__xludf.DUMMYFUNCTION("""COMPUTED_VALUE"""),45230.66666666667)</f>
        <v>45230.66667</v>
      </c>
      <c r="B474" s="2">
        <f>IFERROR(__xludf.DUMMYFUNCTION("""COMPUTED_VALUE"""),620.0)</f>
        <v>620</v>
      </c>
      <c r="C474" s="2">
        <f>IFERROR(__xludf.DUMMYFUNCTION("""COMPUTED_VALUE"""),635.0)</f>
        <v>635</v>
      </c>
      <c r="D474" s="2">
        <f>IFERROR(__xludf.DUMMYFUNCTION("""COMPUTED_VALUE"""),615.0)</f>
        <v>615</v>
      </c>
      <c r="E474" s="2">
        <f>IFERROR(__xludf.DUMMYFUNCTION("""COMPUTED_VALUE"""),620.0)</f>
        <v>620</v>
      </c>
      <c r="F474" s="2">
        <f>IFERROR(__xludf.DUMMYFUNCTION("""COMPUTED_VALUE"""),2.50624E7)</f>
        <v>25062400</v>
      </c>
      <c r="G474" s="2">
        <f t="shared" si="1"/>
        <v>20</v>
      </c>
    </row>
    <row r="475" ht="15.75" customHeight="1">
      <c r="A475" s="1">
        <f>IFERROR(__xludf.DUMMYFUNCTION("""COMPUTED_VALUE"""),45231.66666666667)</f>
        <v>45231.66667</v>
      </c>
      <c r="B475" s="2">
        <f>IFERROR(__xludf.DUMMYFUNCTION("""COMPUTED_VALUE"""),620.0)</f>
        <v>620</v>
      </c>
      <c r="C475" s="2">
        <f>IFERROR(__xludf.DUMMYFUNCTION("""COMPUTED_VALUE"""),625.0)</f>
        <v>625</v>
      </c>
      <c r="D475" s="2">
        <f>IFERROR(__xludf.DUMMYFUNCTION("""COMPUTED_VALUE"""),605.0)</f>
        <v>605</v>
      </c>
      <c r="E475" s="2">
        <f>IFERROR(__xludf.DUMMYFUNCTION("""COMPUTED_VALUE"""),615.0)</f>
        <v>615</v>
      </c>
      <c r="F475" s="2">
        <f>IFERROR(__xludf.DUMMYFUNCTION("""COMPUTED_VALUE"""),3.40273E7)</f>
        <v>34027300</v>
      </c>
      <c r="G475" s="2">
        <f t="shared" si="1"/>
        <v>20</v>
      </c>
    </row>
    <row r="476" ht="15.75" customHeight="1">
      <c r="A476" s="1">
        <f>IFERROR(__xludf.DUMMYFUNCTION("""COMPUTED_VALUE"""),45232.66666666667)</f>
        <v>45232.66667</v>
      </c>
      <c r="B476" s="2">
        <f>IFERROR(__xludf.DUMMYFUNCTION("""COMPUTED_VALUE"""),615.0)</f>
        <v>615</v>
      </c>
      <c r="C476" s="2">
        <f>IFERROR(__xludf.DUMMYFUNCTION("""COMPUTED_VALUE"""),625.0)</f>
        <v>625</v>
      </c>
      <c r="D476" s="2">
        <f>IFERROR(__xludf.DUMMYFUNCTION("""COMPUTED_VALUE"""),610.0)</f>
        <v>610</v>
      </c>
      <c r="E476" s="2">
        <f>IFERROR(__xludf.DUMMYFUNCTION("""COMPUTED_VALUE"""),620.0)</f>
        <v>620</v>
      </c>
      <c r="F476" s="2">
        <f>IFERROR(__xludf.DUMMYFUNCTION("""COMPUTED_VALUE"""),5.55075E7)</f>
        <v>55507500</v>
      </c>
      <c r="G476" s="2">
        <f t="shared" si="1"/>
        <v>15</v>
      </c>
    </row>
    <row r="477" ht="15.75" customHeight="1">
      <c r="A477" s="1">
        <f>IFERROR(__xludf.DUMMYFUNCTION("""COMPUTED_VALUE"""),45233.66666666667)</f>
        <v>45233.66667</v>
      </c>
      <c r="B477" s="2">
        <f>IFERROR(__xludf.DUMMYFUNCTION("""COMPUTED_VALUE"""),620.0)</f>
        <v>620</v>
      </c>
      <c r="C477" s="2">
        <f>IFERROR(__xludf.DUMMYFUNCTION("""COMPUTED_VALUE"""),630.0)</f>
        <v>630</v>
      </c>
      <c r="D477" s="2">
        <f>IFERROR(__xludf.DUMMYFUNCTION("""COMPUTED_VALUE"""),615.0)</f>
        <v>615</v>
      </c>
      <c r="E477" s="2">
        <f>IFERROR(__xludf.DUMMYFUNCTION("""COMPUTED_VALUE"""),620.0)</f>
        <v>620</v>
      </c>
      <c r="F477" s="2">
        <f>IFERROR(__xludf.DUMMYFUNCTION("""COMPUTED_VALUE"""),4.11425E7)</f>
        <v>41142500</v>
      </c>
      <c r="G477" s="2">
        <f t="shared" si="1"/>
        <v>15</v>
      </c>
    </row>
    <row r="478" ht="15.75" customHeight="1">
      <c r="A478" s="1">
        <f>IFERROR(__xludf.DUMMYFUNCTION("""COMPUTED_VALUE"""),45236.66666666667)</f>
        <v>45236.66667</v>
      </c>
      <c r="B478" s="2">
        <f>IFERROR(__xludf.DUMMYFUNCTION("""COMPUTED_VALUE"""),625.0)</f>
        <v>625</v>
      </c>
      <c r="C478" s="2">
        <f>IFERROR(__xludf.DUMMYFUNCTION("""COMPUTED_VALUE"""),625.0)</f>
        <v>625</v>
      </c>
      <c r="D478" s="2">
        <f>IFERROR(__xludf.DUMMYFUNCTION("""COMPUTED_VALUE"""),605.0)</f>
        <v>605</v>
      </c>
      <c r="E478" s="2">
        <f>IFERROR(__xludf.DUMMYFUNCTION("""COMPUTED_VALUE"""),610.0)</f>
        <v>610</v>
      </c>
      <c r="F478" s="2">
        <f>IFERROR(__xludf.DUMMYFUNCTION("""COMPUTED_VALUE"""),7.30595E7)</f>
        <v>73059500</v>
      </c>
      <c r="G478" s="2">
        <f t="shared" si="1"/>
        <v>20</v>
      </c>
    </row>
    <row r="479" ht="15.75" customHeight="1">
      <c r="A479" s="1">
        <f>IFERROR(__xludf.DUMMYFUNCTION("""COMPUTED_VALUE"""),45237.66666666667)</f>
        <v>45237.66667</v>
      </c>
      <c r="B479" s="2">
        <f>IFERROR(__xludf.DUMMYFUNCTION("""COMPUTED_VALUE"""),610.0)</f>
        <v>610</v>
      </c>
      <c r="C479" s="2">
        <f>IFERROR(__xludf.DUMMYFUNCTION("""COMPUTED_VALUE"""),615.0)</f>
        <v>615</v>
      </c>
      <c r="D479" s="2">
        <f>IFERROR(__xludf.DUMMYFUNCTION("""COMPUTED_VALUE"""),600.0)</f>
        <v>600</v>
      </c>
      <c r="E479" s="2">
        <f>IFERROR(__xludf.DUMMYFUNCTION("""COMPUTED_VALUE"""),610.0)</f>
        <v>610</v>
      </c>
      <c r="F479" s="2">
        <f>IFERROR(__xludf.DUMMYFUNCTION("""COMPUTED_VALUE"""),5.81597E7)</f>
        <v>58159700</v>
      </c>
      <c r="G479" s="2">
        <f t="shared" si="1"/>
        <v>15</v>
      </c>
    </row>
    <row r="480" ht="15.75" customHeight="1">
      <c r="A480" s="1">
        <f>IFERROR(__xludf.DUMMYFUNCTION("""COMPUTED_VALUE"""),45238.66666666667)</f>
        <v>45238.66667</v>
      </c>
      <c r="B480" s="2">
        <f>IFERROR(__xludf.DUMMYFUNCTION("""COMPUTED_VALUE"""),615.0)</f>
        <v>615</v>
      </c>
      <c r="C480" s="2">
        <f>IFERROR(__xludf.DUMMYFUNCTION("""COMPUTED_VALUE"""),620.0)</f>
        <v>620</v>
      </c>
      <c r="D480" s="2">
        <f>IFERROR(__xludf.DUMMYFUNCTION("""COMPUTED_VALUE"""),600.0)</f>
        <v>600</v>
      </c>
      <c r="E480" s="2">
        <f>IFERROR(__xludf.DUMMYFUNCTION("""COMPUTED_VALUE"""),620.0)</f>
        <v>620</v>
      </c>
      <c r="F480" s="2">
        <f>IFERROR(__xludf.DUMMYFUNCTION("""COMPUTED_VALUE"""),7.12607E7)</f>
        <v>71260700</v>
      </c>
      <c r="G480" s="2">
        <f t="shared" si="1"/>
        <v>20</v>
      </c>
    </row>
    <row r="481" ht="15.75" customHeight="1">
      <c r="A481" s="1">
        <f>IFERROR(__xludf.DUMMYFUNCTION("""COMPUTED_VALUE"""),45239.66666666667)</f>
        <v>45239.66667</v>
      </c>
      <c r="B481" s="2">
        <f>IFERROR(__xludf.DUMMYFUNCTION("""COMPUTED_VALUE"""),615.0)</f>
        <v>615</v>
      </c>
      <c r="C481" s="2">
        <f>IFERROR(__xludf.DUMMYFUNCTION("""COMPUTED_VALUE"""),670.0)</f>
        <v>670</v>
      </c>
      <c r="D481" s="2">
        <f>IFERROR(__xludf.DUMMYFUNCTION("""COMPUTED_VALUE"""),610.0)</f>
        <v>610</v>
      </c>
      <c r="E481" s="2">
        <f>IFERROR(__xludf.DUMMYFUNCTION("""COMPUTED_VALUE"""),660.0)</f>
        <v>660</v>
      </c>
      <c r="F481" s="2">
        <f>IFERROR(__xludf.DUMMYFUNCTION("""COMPUTED_VALUE"""),1.429445E8)</f>
        <v>142944500</v>
      </c>
      <c r="G481" s="2">
        <f t="shared" si="1"/>
        <v>60</v>
      </c>
    </row>
    <row r="482" ht="15.75" customHeight="1">
      <c r="A482" s="1">
        <f>IFERROR(__xludf.DUMMYFUNCTION("""COMPUTED_VALUE"""),45240.66666666667)</f>
        <v>45240.66667</v>
      </c>
      <c r="B482" s="2">
        <f>IFERROR(__xludf.DUMMYFUNCTION("""COMPUTED_VALUE"""),660.0)</f>
        <v>660</v>
      </c>
      <c r="C482" s="2">
        <f>IFERROR(__xludf.DUMMYFUNCTION("""COMPUTED_VALUE"""),665.0)</f>
        <v>665</v>
      </c>
      <c r="D482" s="2">
        <f>IFERROR(__xludf.DUMMYFUNCTION("""COMPUTED_VALUE"""),645.0)</f>
        <v>645</v>
      </c>
      <c r="E482" s="2">
        <f>IFERROR(__xludf.DUMMYFUNCTION("""COMPUTED_VALUE"""),660.0)</f>
        <v>660</v>
      </c>
      <c r="F482" s="2">
        <f>IFERROR(__xludf.DUMMYFUNCTION("""COMPUTED_VALUE"""),4.70043E7)</f>
        <v>47004300</v>
      </c>
      <c r="G482" s="2">
        <f t="shared" si="1"/>
        <v>20</v>
      </c>
    </row>
    <row r="483" ht="15.75" customHeight="1">
      <c r="A483" s="1">
        <f>IFERROR(__xludf.DUMMYFUNCTION("""COMPUTED_VALUE"""),45243.66666666667)</f>
        <v>45243.66667</v>
      </c>
      <c r="B483" s="2">
        <f>IFERROR(__xludf.DUMMYFUNCTION("""COMPUTED_VALUE"""),660.0)</f>
        <v>660</v>
      </c>
      <c r="C483" s="2">
        <f>IFERROR(__xludf.DUMMYFUNCTION("""COMPUTED_VALUE"""),670.0)</f>
        <v>670</v>
      </c>
      <c r="D483" s="2">
        <f>IFERROR(__xludf.DUMMYFUNCTION("""COMPUTED_VALUE"""),645.0)</f>
        <v>645</v>
      </c>
      <c r="E483" s="2">
        <f>IFERROR(__xludf.DUMMYFUNCTION("""COMPUTED_VALUE"""),665.0)</f>
        <v>665</v>
      </c>
      <c r="F483" s="2">
        <f>IFERROR(__xludf.DUMMYFUNCTION("""COMPUTED_VALUE"""),9.16643E7)</f>
        <v>91664300</v>
      </c>
      <c r="G483" s="2">
        <f t="shared" si="1"/>
        <v>25</v>
      </c>
    </row>
    <row r="484" ht="15.75" customHeight="1">
      <c r="A484" s="1">
        <f>IFERROR(__xludf.DUMMYFUNCTION("""COMPUTED_VALUE"""),45244.66666666667)</f>
        <v>45244.66667</v>
      </c>
      <c r="B484" s="2">
        <f>IFERROR(__xludf.DUMMYFUNCTION("""COMPUTED_VALUE"""),665.0)</f>
        <v>665</v>
      </c>
      <c r="C484" s="2">
        <f>IFERROR(__xludf.DUMMYFUNCTION("""COMPUTED_VALUE"""),675.0)</f>
        <v>675</v>
      </c>
      <c r="D484" s="2">
        <f>IFERROR(__xludf.DUMMYFUNCTION("""COMPUTED_VALUE"""),650.0)</f>
        <v>650</v>
      </c>
      <c r="E484" s="2">
        <f>IFERROR(__xludf.DUMMYFUNCTION("""COMPUTED_VALUE"""),655.0)</f>
        <v>655</v>
      </c>
      <c r="F484" s="2">
        <f>IFERROR(__xludf.DUMMYFUNCTION("""COMPUTED_VALUE"""),4.28488E7)</f>
        <v>42848800</v>
      </c>
      <c r="G484" s="2">
        <f t="shared" si="1"/>
        <v>25</v>
      </c>
    </row>
    <row r="485" ht="15.75" customHeight="1">
      <c r="A485" s="1">
        <f>IFERROR(__xludf.DUMMYFUNCTION("""COMPUTED_VALUE"""),45245.66666666667)</f>
        <v>45245.66667</v>
      </c>
      <c r="B485" s="2">
        <f>IFERROR(__xludf.DUMMYFUNCTION("""COMPUTED_VALUE"""),660.0)</f>
        <v>660</v>
      </c>
      <c r="C485" s="2">
        <f>IFERROR(__xludf.DUMMYFUNCTION("""COMPUTED_VALUE"""),715.0)</f>
        <v>715</v>
      </c>
      <c r="D485" s="2">
        <f>IFERROR(__xludf.DUMMYFUNCTION("""COMPUTED_VALUE"""),660.0)</f>
        <v>660</v>
      </c>
      <c r="E485" s="2">
        <f>IFERROR(__xludf.DUMMYFUNCTION("""COMPUTED_VALUE"""),690.0)</f>
        <v>690</v>
      </c>
      <c r="F485" s="2">
        <f>IFERROR(__xludf.DUMMYFUNCTION("""COMPUTED_VALUE"""),1.345967E8)</f>
        <v>134596700</v>
      </c>
      <c r="G485" s="2">
        <f t="shared" si="1"/>
        <v>60</v>
      </c>
    </row>
    <row r="486" ht="15.75" customHeight="1">
      <c r="A486" s="1">
        <f>IFERROR(__xludf.DUMMYFUNCTION("""COMPUTED_VALUE"""),45246.66666666667)</f>
        <v>45246.66667</v>
      </c>
      <c r="B486" s="2">
        <f>IFERROR(__xludf.DUMMYFUNCTION("""COMPUTED_VALUE"""),690.0)</f>
        <v>690</v>
      </c>
      <c r="C486" s="2">
        <f>IFERROR(__xludf.DUMMYFUNCTION("""COMPUTED_VALUE"""),695.0)</f>
        <v>695</v>
      </c>
      <c r="D486" s="2">
        <f>IFERROR(__xludf.DUMMYFUNCTION("""COMPUTED_VALUE"""),675.0)</f>
        <v>675</v>
      </c>
      <c r="E486" s="2">
        <f>IFERROR(__xludf.DUMMYFUNCTION("""COMPUTED_VALUE"""),680.0)</f>
        <v>680</v>
      </c>
      <c r="F486" s="2">
        <f>IFERROR(__xludf.DUMMYFUNCTION("""COMPUTED_VALUE"""),4.5183E7)</f>
        <v>45183000</v>
      </c>
      <c r="G486" s="2">
        <f t="shared" si="1"/>
        <v>20</v>
      </c>
    </row>
    <row r="487" ht="15.75" customHeight="1">
      <c r="A487" s="1">
        <f>IFERROR(__xludf.DUMMYFUNCTION("""COMPUTED_VALUE"""),45247.66666666667)</f>
        <v>45247.66667</v>
      </c>
      <c r="B487" s="2">
        <f>IFERROR(__xludf.DUMMYFUNCTION("""COMPUTED_VALUE"""),680.0)</f>
        <v>680</v>
      </c>
      <c r="C487" s="2">
        <f>IFERROR(__xludf.DUMMYFUNCTION("""COMPUTED_VALUE"""),690.0)</f>
        <v>690</v>
      </c>
      <c r="D487" s="2">
        <f>IFERROR(__xludf.DUMMYFUNCTION("""COMPUTED_VALUE"""),670.0)</f>
        <v>670</v>
      </c>
      <c r="E487" s="2">
        <f>IFERROR(__xludf.DUMMYFUNCTION("""COMPUTED_VALUE"""),675.0)</f>
        <v>675</v>
      </c>
      <c r="F487" s="2">
        <f>IFERROR(__xludf.DUMMYFUNCTION("""COMPUTED_VALUE"""),4.11269E7)</f>
        <v>41126900</v>
      </c>
      <c r="G487" s="2">
        <f t="shared" si="1"/>
        <v>20</v>
      </c>
    </row>
    <row r="488" ht="15.75" customHeight="1">
      <c r="A488" s="1">
        <f>IFERROR(__xludf.DUMMYFUNCTION("""COMPUTED_VALUE"""),45250.66666666667)</f>
        <v>45250.66667</v>
      </c>
      <c r="B488" s="2">
        <f>IFERROR(__xludf.DUMMYFUNCTION("""COMPUTED_VALUE"""),680.0)</f>
        <v>680</v>
      </c>
      <c r="C488" s="2">
        <f>IFERROR(__xludf.DUMMYFUNCTION("""COMPUTED_VALUE"""),685.0)</f>
        <v>685</v>
      </c>
      <c r="D488" s="2">
        <f>IFERROR(__xludf.DUMMYFUNCTION("""COMPUTED_VALUE"""),665.0)</f>
        <v>665</v>
      </c>
      <c r="E488" s="2">
        <f>IFERROR(__xludf.DUMMYFUNCTION("""COMPUTED_VALUE"""),680.0)</f>
        <v>680</v>
      </c>
      <c r="F488" s="2">
        <f>IFERROR(__xludf.DUMMYFUNCTION("""COMPUTED_VALUE"""),6.54556E7)</f>
        <v>65455600</v>
      </c>
      <c r="G488" s="2">
        <f t="shared" si="1"/>
        <v>20</v>
      </c>
    </row>
    <row r="489" ht="15.75" customHeight="1">
      <c r="A489" s="1">
        <f>IFERROR(__xludf.DUMMYFUNCTION("""COMPUTED_VALUE"""),45251.66666666667)</f>
        <v>45251.66667</v>
      </c>
      <c r="B489" s="2">
        <f>IFERROR(__xludf.DUMMYFUNCTION("""COMPUTED_VALUE"""),680.0)</f>
        <v>680</v>
      </c>
      <c r="C489" s="2">
        <f>IFERROR(__xludf.DUMMYFUNCTION("""COMPUTED_VALUE"""),695.0)</f>
        <v>695</v>
      </c>
      <c r="D489" s="2">
        <f>IFERROR(__xludf.DUMMYFUNCTION("""COMPUTED_VALUE"""),675.0)</f>
        <v>675</v>
      </c>
      <c r="E489" s="2">
        <f>IFERROR(__xludf.DUMMYFUNCTION("""COMPUTED_VALUE"""),690.0)</f>
        <v>690</v>
      </c>
      <c r="F489" s="2">
        <f>IFERROR(__xludf.DUMMYFUNCTION("""COMPUTED_VALUE"""),4.87673E7)</f>
        <v>48767300</v>
      </c>
      <c r="G489" s="2">
        <f t="shared" si="1"/>
        <v>20</v>
      </c>
    </row>
    <row r="490" ht="15.75" customHeight="1">
      <c r="A490" s="1">
        <f>IFERROR(__xludf.DUMMYFUNCTION("""COMPUTED_VALUE"""),45252.66666666667)</f>
        <v>45252.66667</v>
      </c>
      <c r="B490" s="2">
        <f>IFERROR(__xludf.DUMMYFUNCTION("""COMPUTED_VALUE"""),695.0)</f>
        <v>695</v>
      </c>
      <c r="C490" s="2">
        <f>IFERROR(__xludf.DUMMYFUNCTION("""COMPUTED_VALUE"""),695.0)</f>
        <v>695</v>
      </c>
      <c r="D490" s="2">
        <f>IFERROR(__xludf.DUMMYFUNCTION("""COMPUTED_VALUE"""),680.0)</f>
        <v>680</v>
      </c>
      <c r="E490" s="2">
        <f>IFERROR(__xludf.DUMMYFUNCTION("""COMPUTED_VALUE"""),690.0)</f>
        <v>690</v>
      </c>
      <c r="F490" s="2">
        <f>IFERROR(__xludf.DUMMYFUNCTION("""COMPUTED_VALUE"""),4.58234E7)</f>
        <v>45823400</v>
      </c>
      <c r="G490" s="2">
        <f t="shared" si="1"/>
        <v>15</v>
      </c>
    </row>
    <row r="491" ht="15.75" customHeight="1">
      <c r="A491" s="1">
        <f>IFERROR(__xludf.DUMMYFUNCTION("""COMPUTED_VALUE"""),45253.66666666667)</f>
        <v>45253.66667</v>
      </c>
      <c r="B491" s="2">
        <f>IFERROR(__xludf.DUMMYFUNCTION("""COMPUTED_VALUE"""),690.0)</f>
        <v>690</v>
      </c>
      <c r="C491" s="2">
        <f>IFERROR(__xludf.DUMMYFUNCTION("""COMPUTED_VALUE"""),700.0)</f>
        <v>700</v>
      </c>
      <c r="D491" s="2">
        <f>IFERROR(__xludf.DUMMYFUNCTION("""COMPUTED_VALUE"""),685.0)</f>
        <v>685</v>
      </c>
      <c r="E491" s="2">
        <f>IFERROR(__xludf.DUMMYFUNCTION("""COMPUTED_VALUE"""),700.0)</f>
        <v>700</v>
      </c>
      <c r="F491" s="2">
        <f>IFERROR(__xludf.DUMMYFUNCTION("""COMPUTED_VALUE"""),4.87483E7)</f>
        <v>48748300</v>
      </c>
      <c r="G491" s="2">
        <f t="shared" si="1"/>
        <v>15</v>
      </c>
    </row>
    <row r="492" ht="15.75" customHeight="1">
      <c r="A492" s="1">
        <f>IFERROR(__xludf.DUMMYFUNCTION("""COMPUTED_VALUE"""),45254.66666666667)</f>
        <v>45254.66667</v>
      </c>
      <c r="B492" s="2">
        <f>IFERROR(__xludf.DUMMYFUNCTION("""COMPUTED_VALUE"""),700.0)</f>
        <v>700</v>
      </c>
      <c r="C492" s="2">
        <f>IFERROR(__xludf.DUMMYFUNCTION("""COMPUTED_VALUE"""),705.0)</f>
        <v>705</v>
      </c>
      <c r="D492" s="2">
        <f>IFERROR(__xludf.DUMMYFUNCTION("""COMPUTED_VALUE"""),695.0)</f>
        <v>695</v>
      </c>
      <c r="E492" s="2">
        <f>IFERROR(__xludf.DUMMYFUNCTION("""COMPUTED_VALUE"""),700.0)</f>
        <v>700</v>
      </c>
      <c r="F492" s="2">
        <f>IFERROR(__xludf.DUMMYFUNCTION("""COMPUTED_VALUE"""),3.66025E7)</f>
        <v>36602500</v>
      </c>
      <c r="G492" s="2">
        <f t="shared" si="1"/>
        <v>10</v>
      </c>
    </row>
    <row r="493" ht="15.75" customHeight="1">
      <c r="A493" s="1">
        <f>IFERROR(__xludf.DUMMYFUNCTION("""COMPUTED_VALUE"""),45257.66666666667)</f>
        <v>45257.66667</v>
      </c>
      <c r="B493" s="2">
        <f>IFERROR(__xludf.DUMMYFUNCTION("""COMPUTED_VALUE"""),695.0)</f>
        <v>695</v>
      </c>
      <c r="C493" s="2">
        <f>IFERROR(__xludf.DUMMYFUNCTION("""COMPUTED_VALUE"""),710.0)</f>
        <v>710</v>
      </c>
      <c r="D493" s="2">
        <f>IFERROR(__xludf.DUMMYFUNCTION("""COMPUTED_VALUE"""),695.0)</f>
        <v>695</v>
      </c>
      <c r="E493" s="2">
        <f>IFERROR(__xludf.DUMMYFUNCTION("""COMPUTED_VALUE"""),700.0)</f>
        <v>700</v>
      </c>
      <c r="F493" s="2">
        <f>IFERROR(__xludf.DUMMYFUNCTION("""COMPUTED_VALUE"""),4.35398E7)</f>
        <v>43539800</v>
      </c>
      <c r="G493" s="2">
        <f t="shared" si="1"/>
        <v>15</v>
      </c>
    </row>
    <row r="494" ht="15.75" customHeight="1">
      <c r="A494" s="1">
        <f>IFERROR(__xludf.DUMMYFUNCTION("""COMPUTED_VALUE"""),45258.66666666667)</f>
        <v>45258.66667</v>
      </c>
      <c r="B494" s="2">
        <f>IFERROR(__xludf.DUMMYFUNCTION("""COMPUTED_VALUE"""),700.0)</f>
        <v>700</v>
      </c>
      <c r="C494" s="2">
        <f>IFERROR(__xludf.DUMMYFUNCTION("""COMPUTED_VALUE"""),710.0)</f>
        <v>710</v>
      </c>
      <c r="D494" s="2">
        <f>IFERROR(__xludf.DUMMYFUNCTION("""COMPUTED_VALUE"""),695.0)</f>
        <v>695</v>
      </c>
      <c r="E494" s="2">
        <f>IFERROR(__xludf.DUMMYFUNCTION("""COMPUTED_VALUE"""),695.0)</f>
        <v>695</v>
      </c>
      <c r="F494" s="2">
        <f>IFERROR(__xludf.DUMMYFUNCTION("""COMPUTED_VALUE"""),3.91454E7)</f>
        <v>39145400</v>
      </c>
      <c r="G494" s="2">
        <f t="shared" si="1"/>
        <v>15</v>
      </c>
    </row>
    <row r="495" ht="15.75" customHeight="1">
      <c r="A495" s="1">
        <f>IFERROR(__xludf.DUMMYFUNCTION("""COMPUTED_VALUE"""),45259.66666666667)</f>
        <v>45259.66667</v>
      </c>
      <c r="B495" s="2">
        <f>IFERROR(__xludf.DUMMYFUNCTION("""COMPUTED_VALUE"""),700.0)</f>
        <v>700</v>
      </c>
      <c r="C495" s="2">
        <f>IFERROR(__xludf.DUMMYFUNCTION("""COMPUTED_VALUE"""),745.0)</f>
        <v>745</v>
      </c>
      <c r="D495" s="2">
        <f>IFERROR(__xludf.DUMMYFUNCTION("""COMPUTED_VALUE"""),695.0)</f>
        <v>695</v>
      </c>
      <c r="E495" s="2">
        <f>IFERROR(__xludf.DUMMYFUNCTION("""COMPUTED_VALUE"""),710.0)</f>
        <v>710</v>
      </c>
      <c r="F495" s="2">
        <f>IFERROR(__xludf.DUMMYFUNCTION("""COMPUTED_VALUE"""),1.191455E8)</f>
        <v>119145500</v>
      </c>
      <c r="G495" s="2">
        <f t="shared" si="1"/>
        <v>50</v>
      </c>
    </row>
    <row r="496" ht="15.75" customHeight="1">
      <c r="A496" s="1">
        <f>IFERROR(__xludf.DUMMYFUNCTION("""COMPUTED_VALUE"""),45260.66666666667)</f>
        <v>45260.66667</v>
      </c>
      <c r="B496" s="2">
        <f>IFERROR(__xludf.DUMMYFUNCTION("""COMPUTED_VALUE"""),700.0)</f>
        <v>700</v>
      </c>
      <c r="C496" s="2">
        <f>IFERROR(__xludf.DUMMYFUNCTION("""COMPUTED_VALUE"""),730.0)</f>
        <v>730</v>
      </c>
      <c r="D496" s="2">
        <f>IFERROR(__xludf.DUMMYFUNCTION("""COMPUTED_VALUE"""),700.0)</f>
        <v>700</v>
      </c>
      <c r="E496" s="2">
        <f>IFERROR(__xludf.DUMMYFUNCTION("""COMPUTED_VALUE"""),720.0)</f>
        <v>720</v>
      </c>
      <c r="F496" s="2">
        <f>IFERROR(__xludf.DUMMYFUNCTION("""COMPUTED_VALUE"""),4.58673E7)</f>
        <v>45867300</v>
      </c>
      <c r="G496" s="2">
        <f t="shared" si="1"/>
        <v>30</v>
      </c>
    </row>
    <row r="497" ht="15.75" customHeight="1">
      <c r="A497" s="1">
        <f>IFERROR(__xludf.DUMMYFUNCTION("""COMPUTED_VALUE"""),45261.66666666667)</f>
        <v>45261.66667</v>
      </c>
      <c r="B497" s="2">
        <f>IFERROR(__xludf.DUMMYFUNCTION("""COMPUTED_VALUE"""),720.0)</f>
        <v>720</v>
      </c>
      <c r="C497" s="2">
        <f>IFERROR(__xludf.DUMMYFUNCTION("""COMPUTED_VALUE"""),725.0)</f>
        <v>725</v>
      </c>
      <c r="D497" s="2">
        <f>IFERROR(__xludf.DUMMYFUNCTION("""COMPUTED_VALUE"""),715.0)</f>
        <v>715</v>
      </c>
      <c r="E497" s="2">
        <f>IFERROR(__xludf.DUMMYFUNCTION("""COMPUTED_VALUE"""),715.0)</f>
        <v>715</v>
      </c>
      <c r="F497" s="2">
        <f>IFERROR(__xludf.DUMMYFUNCTION("""COMPUTED_VALUE"""),6.26435E7)</f>
        <v>62643500</v>
      </c>
      <c r="G497" s="2">
        <f t="shared" si="1"/>
        <v>10</v>
      </c>
    </row>
    <row r="498" ht="15.75" customHeight="1">
      <c r="A498" s="1">
        <f>IFERROR(__xludf.DUMMYFUNCTION("""COMPUTED_VALUE"""),45264.66666666667)</f>
        <v>45264.66667</v>
      </c>
      <c r="B498" s="2">
        <f>IFERROR(__xludf.DUMMYFUNCTION("""COMPUTED_VALUE"""),720.0)</f>
        <v>720</v>
      </c>
      <c r="C498" s="2">
        <f>IFERROR(__xludf.DUMMYFUNCTION("""COMPUTED_VALUE"""),730.0)</f>
        <v>730</v>
      </c>
      <c r="D498" s="2">
        <f>IFERROR(__xludf.DUMMYFUNCTION("""COMPUTED_VALUE"""),715.0)</f>
        <v>715</v>
      </c>
      <c r="E498" s="2">
        <f>IFERROR(__xludf.DUMMYFUNCTION("""COMPUTED_VALUE"""),725.0)</f>
        <v>725</v>
      </c>
      <c r="F498" s="2">
        <f>IFERROR(__xludf.DUMMYFUNCTION("""COMPUTED_VALUE"""),4.02908E7)</f>
        <v>40290800</v>
      </c>
      <c r="G498" s="2">
        <f t="shared" si="1"/>
        <v>15</v>
      </c>
    </row>
    <row r="499" ht="15.75" customHeight="1">
      <c r="A499" s="1">
        <f>IFERROR(__xludf.DUMMYFUNCTION("""COMPUTED_VALUE"""),45265.66666666667)</f>
        <v>45265.66667</v>
      </c>
      <c r="B499" s="2">
        <f>IFERROR(__xludf.DUMMYFUNCTION("""COMPUTED_VALUE"""),725.0)</f>
        <v>725</v>
      </c>
      <c r="C499" s="2">
        <f>IFERROR(__xludf.DUMMYFUNCTION("""COMPUTED_VALUE"""),725.0)</f>
        <v>725</v>
      </c>
      <c r="D499" s="2">
        <f>IFERROR(__xludf.DUMMYFUNCTION("""COMPUTED_VALUE"""),715.0)</f>
        <v>715</v>
      </c>
      <c r="E499" s="2">
        <f>IFERROR(__xludf.DUMMYFUNCTION("""COMPUTED_VALUE"""),720.0)</f>
        <v>720</v>
      </c>
      <c r="F499" s="2">
        <f>IFERROR(__xludf.DUMMYFUNCTION("""COMPUTED_VALUE"""),4.86181E7)</f>
        <v>48618100</v>
      </c>
      <c r="G499" s="2">
        <f t="shared" si="1"/>
        <v>10</v>
      </c>
    </row>
    <row r="500" ht="15.75" customHeight="1">
      <c r="A500" s="1">
        <f>IFERROR(__xludf.DUMMYFUNCTION("""COMPUTED_VALUE"""),45266.66666666667)</f>
        <v>45266.66667</v>
      </c>
      <c r="B500" s="2">
        <f>IFERROR(__xludf.DUMMYFUNCTION("""COMPUTED_VALUE"""),725.0)</f>
        <v>725</v>
      </c>
      <c r="C500" s="2">
        <f>IFERROR(__xludf.DUMMYFUNCTION("""COMPUTED_VALUE"""),730.0)</f>
        <v>730</v>
      </c>
      <c r="D500" s="2">
        <f>IFERROR(__xludf.DUMMYFUNCTION("""COMPUTED_VALUE"""),715.0)</f>
        <v>715</v>
      </c>
      <c r="E500" s="2">
        <f>IFERROR(__xludf.DUMMYFUNCTION("""COMPUTED_VALUE"""),720.0)</f>
        <v>720</v>
      </c>
      <c r="F500" s="2">
        <f>IFERROR(__xludf.DUMMYFUNCTION("""COMPUTED_VALUE"""),4.80917E7)</f>
        <v>48091700</v>
      </c>
      <c r="G500" s="2">
        <f t="shared" si="1"/>
        <v>15</v>
      </c>
    </row>
    <row r="501" ht="15.75" customHeight="1">
      <c r="A501" s="1">
        <f>IFERROR(__xludf.DUMMYFUNCTION("""COMPUTED_VALUE"""),45267.66666666667)</f>
        <v>45267.66667</v>
      </c>
      <c r="B501" s="2">
        <f>IFERROR(__xludf.DUMMYFUNCTION("""COMPUTED_VALUE"""),720.0)</f>
        <v>720</v>
      </c>
      <c r="C501" s="2">
        <f>IFERROR(__xludf.DUMMYFUNCTION("""COMPUTED_VALUE"""),730.0)</f>
        <v>730</v>
      </c>
      <c r="D501" s="2">
        <f>IFERROR(__xludf.DUMMYFUNCTION("""COMPUTED_VALUE"""),715.0)</f>
        <v>715</v>
      </c>
      <c r="E501" s="2">
        <f>IFERROR(__xludf.DUMMYFUNCTION("""COMPUTED_VALUE"""),725.0)</f>
        <v>725</v>
      </c>
      <c r="F501" s="2">
        <f>IFERROR(__xludf.DUMMYFUNCTION("""COMPUTED_VALUE"""),3.71222E7)</f>
        <v>37122200</v>
      </c>
      <c r="G501" s="2">
        <f t="shared" si="1"/>
        <v>15</v>
      </c>
    </row>
    <row r="502" ht="15.75" customHeight="1">
      <c r="A502" s="1">
        <f>IFERROR(__xludf.DUMMYFUNCTION("""COMPUTED_VALUE"""),45268.66666666667)</f>
        <v>45268.66667</v>
      </c>
      <c r="B502" s="2">
        <f>IFERROR(__xludf.DUMMYFUNCTION("""COMPUTED_VALUE"""),720.0)</f>
        <v>720</v>
      </c>
      <c r="C502" s="2">
        <f>IFERROR(__xludf.DUMMYFUNCTION("""COMPUTED_VALUE"""),730.0)</f>
        <v>730</v>
      </c>
      <c r="D502" s="2">
        <f>IFERROR(__xludf.DUMMYFUNCTION("""COMPUTED_VALUE"""),715.0)</f>
        <v>715</v>
      </c>
      <c r="E502" s="2">
        <f>IFERROR(__xludf.DUMMYFUNCTION("""COMPUTED_VALUE"""),720.0)</f>
        <v>720</v>
      </c>
      <c r="F502" s="2">
        <f>IFERROR(__xludf.DUMMYFUNCTION("""COMPUTED_VALUE"""),4.32876E7)</f>
        <v>43287600</v>
      </c>
      <c r="G502" s="2">
        <f t="shared" si="1"/>
        <v>15</v>
      </c>
    </row>
    <row r="503" ht="15.75" customHeight="1">
      <c r="A503" s="1">
        <f>IFERROR(__xludf.DUMMYFUNCTION("""COMPUTED_VALUE"""),45271.66666666667)</f>
        <v>45271.66667</v>
      </c>
      <c r="B503" s="2">
        <f>IFERROR(__xludf.DUMMYFUNCTION("""COMPUTED_VALUE"""),715.0)</f>
        <v>715</v>
      </c>
      <c r="C503" s="2">
        <f>IFERROR(__xludf.DUMMYFUNCTION("""COMPUTED_VALUE"""),730.0)</f>
        <v>730</v>
      </c>
      <c r="D503" s="2">
        <f>IFERROR(__xludf.DUMMYFUNCTION("""COMPUTED_VALUE"""),715.0)</f>
        <v>715</v>
      </c>
      <c r="E503" s="2">
        <f>IFERROR(__xludf.DUMMYFUNCTION("""COMPUTED_VALUE"""),730.0)</f>
        <v>730</v>
      </c>
      <c r="F503" s="2">
        <f>IFERROR(__xludf.DUMMYFUNCTION("""COMPUTED_VALUE"""),3.57138E7)</f>
        <v>35713800</v>
      </c>
      <c r="G503" s="2">
        <f t="shared" si="1"/>
        <v>15</v>
      </c>
    </row>
    <row r="504" ht="15.75" customHeight="1">
      <c r="A504" s="1">
        <f>IFERROR(__xludf.DUMMYFUNCTION("""COMPUTED_VALUE"""),45272.66666666667)</f>
        <v>45272.66667</v>
      </c>
      <c r="B504" s="2">
        <f>IFERROR(__xludf.DUMMYFUNCTION("""COMPUTED_VALUE"""),730.0)</f>
        <v>730</v>
      </c>
      <c r="C504" s="2">
        <f>IFERROR(__xludf.DUMMYFUNCTION("""COMPUTED_VALUE"""),735.0)</f>
        <v>735</v>
      </c>
      <c r="D504" s="2">
        <f>IFERROR(__xludf.DUMMYFUNCTION("""COMPUTED_VALUE"""),720.0)</f>
        <v>720</v>
      </c>
      <c r="E504" s="2">
        <f>IFERROR(__xludf.DUMMYFUNCTION("""COMPUTED_VALUE"""),730.0)</f>
        <v>730</v>
      </c>
      <c r="F504" s="2">
        <f>IFERROR(__xludf.DUMMYFUNCTION("""COMPUTED_VALUE"""),2.22286E7)</f>
        <v>22228600</v>
      </c>
      <c r="G504" s="2">
        <f t="shared" si="1"/>
        <v>15</v>
      </c>
    </row>
    <row r="505" ht="15.75" customHeight="1">
      <c r="A505" s="1">
        <f>IFERROR(__xludf.DUMMYFUNCTION("""COMPUTED_VALUE"""),45273.66666666667)</f>
        <v>45273.66667</v>
      </c>
      <c r="B505" s="2">
        <f>IFERROR(__xludf.DUMMYFUNCTION("""COMPUTED_VALUE"""),730.0)</f>
        <v>730</v>
      </c>
      <c r="C505" s="2">
        <f>IFERROR(__xludf.DUMMYFUNCTION("""COMPUTED_VALUE"""),735.0)</f>
        <v>735</v>
      </c>
      <c r="D505" s="2">
        <f>IFERROR(__xludf.DUMMYFUNCTION("""COMPUTED_VALUE"""),715.0)</f>
        <v>715</v>
      </c>
      <c r="E505" s="2">
        <f>IFERROR(__xludf.DUMMYFUNCTION("""COMPUTED_VALUE"""),720.0)</f>
        <v>720</v>
      </c>
      <c r="F505" s="2">
        <f>IFERROR(__xludf.DUMMYFUNCTION("""COMPUTED_VALUE"""),4.28764E7)</f>
        <v>42876400</v>
      </c>
      <c r="G505" s="2">
        <f t="shared" si="1"/>
        <v>20</v>
      </c>
    </row>
    <row r="506" ht="15.75" customHeight="1">
      <c r="A506" s="1">
        <f>IFERROR(__xludf.DUMMYFUNCTION("""COMPUTED_VALUE"""),45274.66666666667)</f>
        <v>45274.66667</v>
      </c>
      <c r="B506" s="2">
        <f>IFERROR(__xludf.DUMMYFUNCTION("""COMPUTED_VALUE"""),725.0)</f>
        <v>725</v>
      </c>
      <c r="C506" s="2">
        <f>IFERROR(__xludf.DUMMYFUNCTION("""COMPUTED_VALUE"""),730.0)</f>
        <v>730</v>
      </c>
      <c r="D506" s="2">
        <f>IFERROR(__xludf.DUMMYFUNCTION("""COMPUTED_VALUE"""),705.0)</f>
        <v>705</v>
      </c>
      <c r="E506" s="2">
        <f>IFERROR(__xludf.DUMMYFUNCTION("""COMPUTED_VALUE"""),725.0)</f>
        <v>725</v>
      </c>
      <c r="F506" s="2">
        <f>IFERROR(__xludf.DUMMYFUNCTION("""COMPUTED_VALUE"""),3.97541E7)</f>
        <v>39754100</v>
      </c>
      <c r="G506" s="2">
        <f t="shared" si="1"/>
        <v>25</v>
      </c>
    </row>
    <row r="507" ht="15.75" customHeight="1">
      <c r="A507" s="1">
        <f>IFERROR(__xludf.DUMMYFUNCTION("""COMPUTED_VALUE"""),45275.66666666667)</f>
        <v>45275.66667</v>
      </c>
      <c r="B507" s="2">
        <f>IFERROR(__xludf.DUMMYFUNCTION("""COMPUTED_VALUE"""),720.0)</f>
        <v>720</v>
      </c>
      <c r="C507" s="2">
        <f>IFERROR(__xludf.DUMMYFUNCTION("""COMPUTED_VALUE"""),735.0)</f>
        <v>735</v>
      </c>
      <c r="D507" s="2">
        <f>IFERROR(__xludf.DUMMYFUNCTION("""COMPUTED_VALUE"""),720.0)</f>
        <v>720</v>
      </c>
      <c r="E507" s="2">
        <f>IFERROR(__xludf.DUMMYFUNCTION("""COMPUTED_VALUE"""),720.0)</f>
        <v>720</v>
      </c>
      <c r="F507" s="2">
        <f>IFERROR(__xludf.DUMMYFUNCTION("""COMPUTED_VALUE"""),4.59679E7)</f>
        <v>45967900</v>
      </c>
      <c r="G507" s="2">
        <f t="shared" si="1"/>
        <v>15</v>
      </c>
    </row>
    <row r="508" ht="15.75" customHeight="1">
      <c r="A508" s="1">
        <f>IFERROR(__xludf.DUMMYFUNCTION("""COMPUTED_VALUE"""),45278.66666666667)</f>
        <v>45278.66667</v>
      </c>
      <c r="B508" s="2">
        <f>IFERROR(__xludf.DUMMYFUNCTION("""COMPUTED_VALUE"""),720.0)</f>
        <v>720</v>
      </c>
      <c r="C508" s="2">
        <f>IFERROR(__xludf.DUMMYFUNCTION("""COMPUTED_VALUE"""),730.0)</f>
        <v>730</v>
      </c>
      <c r="D508" s="2">
        <f>IFERROR(__xludf.DUMMYFUNCTION("""COMPUTED_VALUE"""),695.0)</f>
        <v>695</v>
      </c>
      <c r="E508" s="2">
        <f>IFERROR(__xludf.DUMMYFUNCTION("""COMPUTED_VALUE"""),700.0)</f>
        <v>700</v>
      </c>
      <c r="F508" s="2">
        <f>IFERROR(__xludf.DUMMYFUNCTION("""COMPUTED_VALUE"""),4.09276E7)</f>
        <v>40927600</v>
      </c>
      <c r="G508" s="2">
        <f t="shared" si="1"/>
        <v>35</v>
      </c>
    </row>
    <row r="509" ht="15.75" customHeight="1">
      <c r="A509" s="1">
        <f>IFERROR(__xludf.DUMMYFUNCTION("""COMPUTED_VALUE"""),45279.66666666667)</f>
        <v>45279.66667</v>
      </c>
      <c r="B509" s="2">
        <f>IFERROR(__xludf.DUMMYFUNCTION("""COMPUTED_VALUE"""),705.0)</f>
        <v>705</v>
      </c>
      <c r="C509" s="2">
        <f>IFERROR(__xludf.DUMMYFUNCTION("""COMPUTED_VALUE"""),715.0)</f>
        <v>715</v>
      </c>
      <c r="D509" s="2">
        <f>IFERROR(__xludf.DUMMYFUNCTION("""COMPUTED_VALUE"""),695.0)</f>
        <v>695</v>
      </c>
      <c r="E509" s="2">
        <f>IFERROR(__xludf.DUMMYFUNCTION("""COMPUTED_VALUE"""),710.0)</f>
        <v>710</v>
      </c>
      <c r="F509" s="2">
        <f>IFERROR(__xludf.DUMMYFUNCTION("""COMPUTED_VALUE"""),1.52437E7)</f>
        <v>15243700</v>
      </c>
      <c r="G509" s="2">
        <f t="shared" si="1"/>
        <v>20</v>
      </c>
    </row>
    <row r="510" ht="15.75" customHeight="1">
      <c r="A510" s="1">
        <f>IFERROR(__xludf.DUMMYFUNCTION("""COMPUTED_VALUE"""),45280.66666666667)</f>
        <v>45280.66667</v>
      </c>
      <c r="B510" s="2">
        <f>IFERROR(__xludf.DUMMYFUNCTION("""COMPUTED_VALUE"""),710.0)</f>
        <v>710</v>
      </c>
      <c r="C510" s="2">
        <f>IFERROR(__xludf.DUMMYFUNCTION("""COMPUTED_VALUE"""),725.0)</f>
        <v>725</v>
      </c>
      <c r="D510" s="2">
        <f>IFERROR(__xludf.DUMMYFUNCTION("""COMPUTED_VALUE"""),705.0)</f>
        <v>705</v>
      </c>
      <c r="E510" s="2">
        <f>IFERROR(__xludf.DUMMYFUNCTION("""COMPUTED_VALUE"""),715.0)</f>
        <v>715</v>
      </c>
      <c r="F510" s="2">
        <f>IFERROR(__xludf.DUMMYFUNCTION("""COMPUTED_VALUE"""),1.52723E7)</f>
        <v>15272300</v>
      </c>
      <c r="G510" s="2">
        <f t="shared" si="1"/>
        <v>20</v>
      </c>
    </row>
    <row r="511" ht="15.75" customHeight="1">
      <c r="A511" s="1">
        <f>IFERROR(__xludf.DUMMYFUNCTION("""COMPUTED_VALUE"""),45281.66666666667)</f>
        <v>45281.66667</v>
      </c>
      <c r="B511" s="2">
        <f>IFERROR(__xludf.DUMMYFUNCTION("""COMPUTED_VALUE"""),715.0)</f>
        <v>715</v>
      </c>
      <c r="C511" s="2">
        <f>IFERROR(__xludf.DUMMYFUNCTION("""COMPUTED_VALUE"""),725.0)</f>
        <v>725</v>
      </c>
      <c r="D511" s="2">
        <f>IFERROR(__xludf.DUMMYFUNCTION("""COMPUTED_VALUE"""),715.0)</f>
        <v>715</v>
      </c>
      <c r="E511" s="2">
        <f>IFERROR(__xludf.DUMMYFUNCTION("""COMPUTED_VALUE"""),720.0)</f>
        <v>720</v>
      </c>
      <c r="F511" s="2">
        <f>IFERROR(__xludf.DUMMYFUNCTION("""COMPUTED_VALUE"""),2.00067E7)</f>
        <v>20006700</v>
      </c>
      <c r="G511" s="2">
        <f t="shared" si="1"/>
        <v>10</v>
      </c>
    </row>
    <row r="512" ht="15.75" customHeight="1">
      <c r="A512" s="1">
        <f>IFERROR(__xludf.DUMMYFUNCTION("""COMPUTED_VALUE"""),45282.66666666667)</f>
        <v>45282.66667</v>
      </c>
      <c r="B512" s="2">
        <f>IFERROR(__xludf.DUMMYFUNCTION("""COMPUTED_VALUE"""),725.0)</f>
        <v>725</v>
      </c>
      <c r="C512" s="2">
        <f>IFERROR(__xludf.DUMMYFUNCTION("""COMPUTED_VALUE"""),765.0)</f>
        <v>765</v>
      </c>
      <c r="D512" s="2">
        <f>IFERROR(__xludf.DUMMYFUNCTION("""COMPUTED_VALUE"""),720.0)</f>
        <v>720</v>
      </c>
      <c r="E512" s="2">
        <f>IFERROR(__xludf.DUMMYFUNCTION("""COMPUTED_VALUE"""),750.0)</f>
        <v>750</v>
      </c>
      <c r="F512" s="2">
        <f>IFERROR(__xludf.DUMMYFUNCTION("""COMPUTED_VALUE"""),1.130282E8)</f>
        <v>113028200</v>
      </c>
      <c r="G512" s="2">
        <f t="shared" si="1"/>
        <v>45</v>
      </c>
    </row>
    <row r="513" ht="15.75" customHeight="1">
      <c r="A513" s="1">
        <f>IFERROR(__xludf.DUMMYFUNCTION("""COMPUTED_VALUE"""),45287.66666666667)</f>
        <v>45287.66667</v>
      </c>
      <c r="B513" s="2">
        <f>IFERROR(__xludf.DUMMYFUNCTION("""COMPUTED_VALUE"""),755.0)</f>
        <v>755</v>
      </c>
      <c r="C513" s="2">
        <f>IFERROR(__xludf.DUMMYFUNCTION("""COMPUTED_VALUE"""),765.0)</f>
        <v>765</v>
      </c>
      <c r="D513" s="2">
        <f>IFERROR(__xludf.DUMMYFUNCTION("""COMPUTED_VALUE"""),740.0)</f>
        <v>740</v>
      </c>
      <c r="E513" s="2">
        <f>IFERROR(__xludf.DUMMYFUNCTION("""COMPUTED_VALUE"""),745.0)</f>
        <v>745</v>
      </c>
      <c r="F513" s="2">
        <f>IFERROR(__xludf.DUMMYFUNCTION("""COMPUTED_VALUE"""),4.94114E7)</f>
        <v>49411400</v>
      </c>
      <c r="G513" s="2">
        <f t="shared" si="1"/>
        <v>25</v>
      </c>
    </row>
    <row r="514" ht="15.75" customHeight="1">
      <c r="A514" s="1">
        <f>IFERROR(__xludf.DUMMYFUNCTION("""COMPUTED_VALUE"""),45288.66666666667)</f>
        <v>45288.66667</v>
      </c>
      <c r="B514" s="2">
        <f>IFERROR(__xludf.DUMMYFUNCTION("""COMPUTED_VALUE"""),750.0)</f>
        <v>750</v>
      </c>
      <c r="C514" s="2">
        <f>IFERROR(__xludf.DUMMYFUNCTION("""COMPUTED_VALUE"""),755.0)</f>
        <v>755</v>
      </c>
      <c r="D514" s="2">
        <f>IFERROR(__xludf.DUMMYFUNCTION("""COMPUTED_VALUE"""),740.0)</f>
        <v>740</v>
      </c>
      <c r="E514" s="2">
        <f>IFERROR(__xludf.DUMMYFUNCTION("""COMPUTED_VALUE"""),740.0)</f>
        <v>740</v>
      </c>
      <c r="F514" s="2">
        <f>IFERROR(__xludf.DUMMYFUNCTION("""COMPUTED_VALUE"""),7.39994E7)</f>
        <v>73999400</v>
      </c>
      <c r="G514" s="2">
        <f t="shared" si="1"/>
        <v>15</v>
      </c>
    </row>
    <row r="515" ht="15.75" customHeight="1">
      <c r="A515" s="1">
        <f>IFERROR(__xludf.DUMMYFUNCTION("""COMPUTED_VALUE"""),45289.66666666667)</f>
        <v>45289.66667</v>
      </c>
      <c r="B515" s="2">
        <f>IFERROR(__xludf.DUMMYFUNCTION("""COMPUTED_VALUE"""),740.0)</f>
        <v>740</v>
      </c>
      <c r="C515" s="2">
        <f>IFERROR(__xludf.DUMMYFUNCTION("""COMPUTED_VALUE"""),745.0)</f>
        <v>745</v>
      </c>
      <c r="D515" s="2">
        <f>IFERROR(__xludf.DUMMYFUNCTION("""COMPUTED_VALUE"""),705.0)</f>
        <v>705</v>
      </c>
      <c r="E515" s="2">
        <f>IFERROR(__xludf.DUMMYFUNCTION("""COMPUTED_VALUE"""),705.0)</f>
        <v>705</v>
      </c>
      <c r="F515" s="2">
        <f>IFERROR(__xludf.DUMMYFUNCTION("""COMPUTED_VALUE"""),1.577128E8)</f>
        <v>157712800</v>
      </c>
      <c r="G515" s="2">
        <f t="shared" si="1"/>
        <v>40</v>
      </c>
    </row>
    <row r="516" ht="15.75" customHeight="1">
      <c r="A516" s="1">
        <f>IFERROR(__xludf.DUMMYFUNCTION("""COMPUTED_VALUE"""),45293.66666666667)</f>
        <v>45293.66667</v>
      </c>
      <c r="B516" s="2">
        <f>IFERROR(__xludf.DUMMYFUNCTION("""COMPUTED_VALUE"""),705.0)</f>
        <v>705</v>
      </c>
      <c r="C516" s="2">
        <f>IFERROR(__xludf.DUMMYFUNCTION("""COMPUTED_VALUE"""),710.0)</f>
        <v>710</v>
      </c>
      <c r="D516" s="2">
        <f>IFERROR(__xludf.DUMMYFUNCTION("""COMPUTED_VALUE"""),675.0)</f>
        <v>675</v>
      </c>
      <c r="E516" s="2">
        <f>IFERROR(__xludf.DUMMYFUNCTION("""COMPUTED_VALUE"""),685.0)</f>
        <v>685</v>
      </c>
      <c r="F516" s="2">
        <f>IFERROR(__xludf.DUMMYFUNCTION("""COMPUTED_VALUE"""),4.06415E7)</f>
        <v>40641500</v>
      </c>
      <c r="G516" s="2">
        <f t="shared" si="1"/>
        <v>35</v>
      </c>
    </row>
    <row r="517" ht="15.75" customHeight="1">
      <c r="A517" s="1">
        <f>IFERROR(__xludf.DUMMYFUNCTION("""COMPUTED_VALUE"""),45294.66666666667)</f>
        <v>45294.66667</v>
      </c>
      <c r="B517" s="2">
        <f>IFERROR(__xludf.DUMMYFUNCTION("""COMPUTED_VALUE"""),685.0)</f>
        <v>685</v>
      </c>
      <c r="C517" s="2">
        <f>IFERROR(__xludf.DUMMYFUNCTION("""COMPUTED_VALUE"""),690.0)</f>
        <v>690</v>
      </c>
      <c r="D517" s="2">
        <f>IFERROR(__xludf.DUMMYFUNCTION("""COMPUTED_VALUE"""),675.0)</f>
        <v>675</v>
      </c>
      <c r="E517" s="2">
        <f>IFERROR(__xludf.DUMMYFUNCTION("""COMPUTED_VALUE"""),680.0)</f>
        <v>680</v>
      </c>
      <c r="F517" s="2">
        <f>IFERROR(__xludf.DUMMYFUNCTION("""COMPUTED_VALUE"""),2.35817E7)</f>
        <v>23581700</v>
      </c>
      <c r="G517" s="2">
        <f t="shared" si="1"/>
        <v>15</v>
      </c>
    </row>
    <row r="518" ht="15.75" customHeight="1">
      <c r="A518" s="1">
        <f>IFERROR(__xludf.DUMMYFUNCTION("""COMPUTED_VALUE"""),45295.66666666667)</f>
        <v>45295.66667</v>
      </c>
      <c r="B518" s="2">
        <f>IFERROR(__xludf.DUMMYFUNCTION("""COMPUTED_VALUE"""),680.0)</f>
        <v>680</v>
      </c>
      <c r="C518" s="2">
        <f>IFERROR(__xludf.DUMMYFUNCTION("""COMPUTED_VALUE"""),685.0)</f>
        <v>685</v>
      </c>
      <c r="D518" s="2">
        <f>IFERROR(__xludf.DUMMYFUNCTION("""COMPUTED_VALUE"""),665.0)</f>
        <v>665</v>
      </c>
      <c r="E518" s="2">
        <f>IFERROR(__xludf.DUMMYFUNCTION("""COMPUTED_VALUE"""),665.0)</f>
        <v>665</v>
      </c>
      <c r="F518" s="2">
        <f>IFERROR(__xludf.DUMMYFUNCTION("""COMPUTED_VALUE"""),5.29242E7)</f>
        <v>52924200</v>
      </c>
      <c r="G518" s="2">
        <f t="shared" si="1"/>
        <v>20</v>
      </c>
    </row>
    <row r="519" ht="15.75" customHeight="1">
      <c r="A519" s="1">
        <f>IFERROR(__xludf.DUMMYFUNCTION("""COMPUTED_VALUE"""),45296.66666666667)</f>
        <v>45296.66667</v>
      </c>
      <c r="B519" s="2">
        <f>IFERROR(__xludf.DUMMYFUNCTION("""COMPUTED_VALUE"""),670.0)</f>
        <v>670</v>
      </c>
      <c r="C519" s="2">
        <f>IFERROR(__xludf.DUMMYFUNCTION("""COMPUTED_VALUE"""),690.0)</f>
        <v>690</v>
      </c>
      <c r="D519" s="2">
        <f>IFERROR(__xludf.DUMMYFUNCTION("""COMPUTED_VALUE"""),665.0)</f>
        <v>665</v>
      </c>
      <c r="E519" s="2">
        <f>IFERROR(__xludf.DUMMYFUNCTION("""COMPUTED_VALUE"""),685.0)</f>
        <v>685</v>
      </c>
      <c r="F519" s="2">
        <f>IFERROR(__xludf.DUMMYFUNCTION("""COMPUTED_VALUE"""),5.72693E7)</f>
        <v>57269300</v>
      </c>
      <c r="G519" s="2">
        <f t="shared" si="1"/>
        <v>25</v>
      </c>
    </row>
    <row r="520" ht="15.75" customHeight="1">
      <c r="A520" s="1">
        <f>IFERROR(__xludf.DUMMYFUNCTION("""COMPUTED_VALUE"""),45299.66666666667)</f>
        <v>45299.66667</v>
      </c>
      <c r="B520" s="2">
        <f>IFERROR(__xludf.DUMMYFUNCTION("""COMPUTED_VALUE"""),685.0)</f>
        <v>685</v>
      </c>
      <c r="C520" s="2">
        <f>IFERROR(__xludf.DUMMYFUNCTION("""COMPUTED_VALUE"""),695.0)</f>
        <v>695</v>
      </c>
      <c r="D520" s="2">
        <f>IFERROR(__xludf.DUMMYFUNCTION("""COMPUTED_VALUE"""),680.0)</f>
        <v>680</v>
      </c>
      <c r="E520" s="2">
        <f>IFERROR(__xludf.DUMMYFUNCTION("""COMPUTED_VALUE"""),680.0)</f>
        <v>680</v>
      </c>
      <c r="F520" s="2">
        <f>IFERROR(__xludf.DUMMYFUNCTION("""COMPUTED_VALUE"""),4.36908E7)</f>
        <v>43690800</v>
      </c>
      <c r="G520" s="2">
        <f t="shared" si="1"/>
        <v>15</v>
      </c>
    </row>
    <row r="521" ht="15.75" customHeight="1">
      <c r="A521" s="1">
        <f>IFERROR(__xludf.DUMMYFUNCTION("""COMPUTED_VALUE"""),45300.66666666667)</f>
        <v>45300.66667</v>
      </c>
      <c r="B521" s="2">
        <f>IFERROR(__xludf.DUMMYFUNCTION("""COMPUTED_VALUE"""),685.0)</f>
        <v>685</v>
      </c>
      <c r="C521" s="2">
        <f>IFERROR(__xludf.DUMMYFUNCTION("""COMPUTED_VALUE"""),690.0)</f>
        <v>690</v>
      </c>
      <c r="D521" s="2">
        <f>IFERROR(__xludf.DUMMYFUNCTION("""COMPUTED_VALUE"""),675.0)</f>
        <v>675</v>
      </c>
      <c r="E521" s="2">
        <f>IFERROR(__xludf.DUMMYFUNCTION("""COMPUTED_VALUE"""),675.0)</f>
        <v>675</v>
      </c>
      <c r="F521" s="2">
        <f>IFERROR(__xludf.DUMMYFUNCTION("""COMPUTED_VALUE"""),2.77574E7)</f>
        <v>27757400</v>
      </c>
      <c r="G521" s="2">
        <f t="shared" si="1"/>
        <v>15</v>
      </c>
    </row>
    <row r="522" ht="15.75" customHeight="1">
      <c r="A522" s="1">
        <f>IFERROR(__xludf.DUMMYFUNCTION("""COMPUTED_VALUE"""),45301.66666666667)</f>
        <v>45301.66667</v>
      </c>
      <c r="B522" s="2">
        <f>IFERROR(__xludf.DUMMYFUNCTION("""COMPUTED_VALUE"""),680.0)</f>
        <v>680</v>
      </c>
      <c r="C522" s="2">
        <f>IFERROR(__xludf.DUMMYFUNCTION("""COMPUTED_VALUE"""),700.0)</f>
        <v>700</v>
      </c>
      <c r="D522" s="2">
        <f>IFERROR(__xludf.DUMMYFUNCTION("""COMPUTED_VALUE"""),675.0)</f>
        <v>675</v>
      </c>
      <c r="E522" s="2">
        <f>IFERROR(__xludf.DUMMYFUNCTION("""COMPUTED_VALUE"""),700.0)</f>
        <v>700</v>
      </c>
      <c r="F522" s="2">
        <f>IFERROR(__xludf.DUMMYFUNCTION("""COMPUTED_VALUE"""),3.38952E7)</f>
        <v>33895200</v>
      </c>
      <c r="G522" s="2">
        <f t="shared" si="1"/>
        <v>25</v>
      </c>
    </row>
    <row r="523" ht="15.75" customHeight="1">
      <c r="A523" s="1">
        <f>IFERROR(__xludf.DUMMYFUNCTION("""COMPUTED_VALUE"""),45302.66666666667)</f>
        <v>45302.66667</v>
      </c>
      <c r="B523" s="2">
        <f>IFERROR(__xludf.DUMMYFUNCTION("""COMPUTED_VALUE"""),700.0)</f>
        <v>700</v>
      </c>
      <c r="C523" s="2">
        <f>IFERROR(__xludf.DUMMYFUNCTION("""COMPUTED_VALUE"""),700.0)</f>
        <v>700</v>
      </c>
      <c r="D523" s="2">
        <f>IFERROR(__xludf.DUMMYFUNCTION("""COMPUTED_VALUE"""),680.0)</f>
        <v>680</v>
      </c>
      <c r="E523" s="2">
        <f>IFERROR(__xludf.DUMMYFUNCTION("""COMPUTED_VALUE"""),685.0)</f>
        <v>685</v>
      </c>
      <c r="F523" s="2">
        <f>IFERROR(__xludf.DUMMYFUNCTION("""COMPUTED_VALUE"""),2.39766E7)</f>
        <v>23976600</v>
      </c>
      <c r="G523" s="2">
        <f t="shared" si="1"/>
        <v>20</v>
      </c>
    </row>
    <row r="524" ht="15.75" customHeight="1">
      <c r="A524" s="1">
        <f>IFERROR(__xludf.DUMMYFUNCTION("""COMPUTED_VALUE"""),45303.66666666667)</f>
        <v>45303.66667</v>
      </c>
      <c r="B524" s="2">
        <f>IFERROR(__xludf.DUMMYFUNCTION("""COMPUTED_VALUE"""),685.0)</f>
        <v>685</v>
      </c>
      <c r="C524" s="2">
        <f>IFERROR(__xludf.DUMMYFUNCTION("""COMPUTED_VALUE"""),695.0)</f>
        <v>695</v>
      </c>
      <c r="D524" s="2">
        <f>IFERROR(__xludf.DUMMYFUNCTION("""COMPUTED_VALUE"""),675.0)</f>
        <v>675</v>
      </c>
      <c r="E524" s="2">
        <f>IFERROR(__xludf.DUMMYFUNCTION("""COMPUTED_VALUE"""),685.0)</f>
        <v>685</v>
      </c>
      <c r="F524" s="2">
        <f>IFERROR(__xludf.DUMMYFUNCTION("""COMPUTED_VALUE"""),1.72483E7)</f>
        <v>17248300</v>
      </c>
      <c r="G524" s="2">
        <f t="shared" si="1"/>
        <v>20</v>
      </c>
    </row>
    <row r="525" ht="15.75" customHeight="1">
      <c r="A525" s="1">
        <f>IFERROR(__xludf.DUMMYFUNCTION("""COMPUTED_VALUE"""),45306.66666666667)</f>
        <v>45306.66667</v>
      </c>
      <c r="B525" s="2">
        <f>IFERROR(__xludf.DUMMYFUNCTION("""COMPUTED_VALUE"""),685.0)</f>
        <v>685</v>
      </c>
      <c r="C525" s="2">
        <f>IFERROR(__xludf.DUMMYFUNCTION("""COMPUTED_VALUE"""),695.0)</f>
        <v>695</v>
      </c>
      <c r="D525" s="2">
        <f>IFERROR(__xludf.DUMMYFUNCTION("""COMPUTED_VALUE"""),685.0)</f>
        <v>685</v>
      </c>
      <c r="E525" s="2">
        <f>IFERROR(__xludf.DUMMYFUNCTION("""COMPUTED_VALUE"""),690.0)</f>
        <v>690</v>
      </c>
      <c r="F525" s="2">
        <f>IFERROR(__xludf.DUMMYFUNCTION("""COMPUTED_VALUE"""),1.52674E7)</f>
        <v>15267400</v>
      </c>
      <c r="G525" s="2">
        <f t="shared" si="1"/>
        <v>10</v>
      </c>
    </row>
    <row r="526" ht="15.75" customHeight="1">
      <c r="A526" s="1">
        <f>IFERROR(__xludf.DUMMYFUNCTION("""COMPUTED_VALUE"""),45307.66666666667)</f>
        <v>45307.66667</v>
      </c>
      <c r="B526" s="2">
        <f>IFERROR(__xludf.DUMMYFUNCTION("""COMPUTED_VALUE"""),690.0)</f>
        <v>690</v>
      </c>
      <c r="C526" s="2">
        <f>IFERROR(__xludf.DUMMYFUNCTION("""COMPUTED_VALUE"""),695.0)</f>
        <v>695</v>
      </c>
      <c r="D526" s="2">
        <f>IFERROR(__xludf.DUMMYFUNCTION("""COMPUTED_VALUE"""),680.0)</f>
        <v>680</v>
      </c>
      <c r="E526" s="2">
        <f>IFERROR(__xludf.DUMMYFUNCTION("""COMPUTED_VALUE"""),695.0)</f>
        <v>695</v>
      </c>
      <c r="F526" s="2">
        <f>IFERROR(__xludf.DUMMYFUNCTION("""COMPUTED_VALUE"""),1.1006E7)</f>
        <v>11006000</v>
      </c>
      <c r="G526" s="2">
        <f t="shared" si="1"/>
        <v>15</v>
      </c>
    </row>
    <row r="527" ht="15.75" customHeight="1">
      <c r="A527" s="1">
        <f>IFERROR(__xludf.DUMMYFUNCTION("""COMPUTED_VALUE"""),45308.66666666667)</f>
        <v>45308.66667</v>
      </c>
      <c r="B527" s="2">
        <f>IFERROR(__xludf.DUMMYFUNCTION("""COMPUTED_VALUE"""),690.0)</f>
        <v>690</v>
      </c>
      <c r="C527" s="2">
        <f>IFERROR(__xludf.DUMMYFUNCTION("""COMPUTED_VALUE"""),695.0)</f>
        <v>695</v>
      </c>
      <c r="D527" s="2">
        <f>IFERROR(__xludf.DUMMYFUNCTION("""COMPUTED_VALUE"""),670.0)</f>
        <v>670</v>
      </c>
      <c r="E527" s="2">
        <f>IFERROR(__xludf.DUMMYFUNCTION("""COMPUTED_VALUE"""),680.0)</f>
        <v>680</v>
      </c>
      <c r="F527" s="2">
        <f>IFERROR(__xludf.DUMMYFUNCTION("""COMPUTED_VALUE"""),2.21591E7)</f>
        <v>22159100</v>
      </c>
      <c r="G527" s="2">
        <f t="shared" si="1"/>
        <v>25</v>
      </c>
    </row>
    <row r="528" ht="15.75" customHeight="1">
      <c r="A528" s="1">
        <f>IFERROR(__xludf.DUMMYFUNCTION("""COMPUTED_VALUE"""),45309.66666666667)</f>
        <v>45309.66667</v>
      </c>
      <c r="B528" s="2">
        <f>IFERROR(__xludf.DUMMYFUNCTION("""COMPUTED_VALUE"""),675.0)</f>
        <v>675</v>
      </c>
      <c r="C528" s="2">
        <f>IFERROR(__xludf.DUMMYFUNCTION("""COMPUTED_VALUE"""),680.0)</f>
        <v>680</v>
      </c>
      <c r="D528" s="2">
        <f>IFERROR(__xludf.DUMMYFUNCTION("""COMPUTED_VALUE"""),670.0)</f>
        <v>670</v>
      </c>
      <c r="E528" s="2">
        <f>IFERROR(__xludf.DUMMYFUNCTION("""COMPUTED_VALUE"""),675.0)</f>
        <v>675</v>
      </c>
      <c r="F528" s="2">
        <f>IFERROR(__xludf.DUMMYFUNCTION("""COMPUTED_VALUE"""),1.50164E7)</f>
        <v>15016400</v>
      </c>
      <c r="G528" s="2">
        <f t="shared" si="1"/>
        <v>10</v>
      </c>
    </row>
    <row r="529" ht="15.75" customHeight="1">
      <c r="A529" s="1">
        <f>IFERROR(__xludf.DUMMYFUNCTION("""COMPUTED_VALUE"""),45310.66666666667)</f>
        <v>45310.66667</v>
      </c>
      <c r="B529" s="2">
        <f>IFERROR(__xludf.DUMMYFUNCTION("""COMPUTED_VALUE"""),675.0)</f>
        <v>675</v>
      </c>
      <c r="C529" s="2">
        <f>IFERROR(__xludf.DUMMYFUNCTION("""COMPUTED_VALUE"""),675.0)</f>
        <v>675</v>
      </c>
      <c r="D529" s="2">
        <f>IFERROR(__xludf.DUMMYFUNCTION("""COMPUTED_VALUE"""),660.0)</f>
        <v>660</v>
      </c>
      <c r="E529" s="2">
        <f>IFERROR(__xludf.DUMMYFUNCTION("""COMPUTED_VALUE"""),670.0)</f>
        <v>670</v>
      </c>
      <c r="F529" s="2">
        <f>IFERROR(__xludf.DUMMYFUNCTION("""COMPUTED_VALUE"""),2.69997E7)</f>
        <v>26999700</v>
      </c>
      <c r="G529" s="2">
        <f t="shared" si="1"/>
        <v>15</v>
      </c>
    </row>
    <row r="530" ht="15.75" customHeight="1">
      <c r="A530" s="1">
        <f>IFERROR(__xludf.DUMMYFUNCTION("""COMPUTED_VALUE"""),45313.66666666667)</f>
        <v>45313.66667</v>
      </c>
      <c r="B530" s="2">
        <f>IFERROR(__xludf.DUMMYFUNCTION("""COMPUTED_VALUE"""),675.0)</f>
        <v>675</v>
      </c>
      <c r="C530" s="2">
        <f>IFERROR(__xludf.DUMMYFUNCTION("""COMPUTED_VALUE"""),680.0)</f>
        <v>680</v>
      </c>
      <c r="D530" s="2">
        <f>IFERROR(__xludf.DUMMYFUNCTION("""COMPUTED_VALUE"""),660.0)</f>
        <v>660</v>
      </c>
      <c r="E530" s="2">
        <f>IFERROR(__xludf.DUMMYFUNCTION("""COMPUTED_VALUE"""),675.0)</f>
        <v>675</v>
      </c>
      <c r="F530" s="2">
        <f>IFERROR(__xludf.DUMMYFUNCTION("""COMPUTED_VALUE"""),2.72181E7)</f>
        <v>27218100</v>
      </c>
      <c r="G530" s="2">
        <f t="shared" si="1"/>
        <v>20</v>
      </c>
    </row>
    <row r="531" ht="15.75" customHeight="1">
      <c r="A531" s="1">
        <f>IFERROR(__xludf.DUMMYFUNCTION("""COMPUTED_VALUE"""),45314.66666666667)</f>
        <v>45314.66667</v>
      </c>
      <c r="B531" s="2">
        <f>IFERROR(__xludf.DUMMYFUNCTION("""COMPUTED_VALUE"""),675.0)</f>
        <v>675</v>
      </c>
      <c r="C531" s="2">
        <f>IFERROR(__xludf.DUMMYFUNCTION("""COMPUTED_VALUE"""),675.0)</f>
        <v>675</v>
      </c>
      <c r="D531" s="2">
        <f>IFERROR(__xludf.DUMMYFUNCTION("""COMPUTED_VALUE"""),660.0)</f>
        <v>660</v>
      </c>
      <c r="E531" s="2">
        <f>IFERROR(__xludf.DUMMYFUNCTION("""COMPUTED_VALUE"""),665.0)</f>
        <v>665</v>
      </c>
      <c r="F531" s="2">
        <f>IFERROR(__xludf.DUMMYFUNCTION("""COMPUTED_VALUE"""),2.7747E7)</f>
        <v>27747000</v>
      </c>
      <c r="G531" s="2">
        <f t="shared" si="1"/>
        <v>15</v>
      </c>
    </row>
    <row r="532" ht="15.75" customHeight="1">
      <c r="A532" s="1">
        <f>IFERROR(__xludf.DUMMYFUNCTION("""COMPUTED_VALUE"""),45315.66666666667)</f>
        <v>45315.66667</v>
      </c>
      <c r="B532" s="2">
        <f>IFERROR(__xludf.DUMMYFUNCTION("""COMPUTED_VALUE"""),665.0)</f>
        <v>665</v>
      </c>
      <c r="C532" s="2">
        <f>IFERROR(__xludf.DUMMYFUNCTION("""COMPUTED_VALUE"""),665.0)</f>
        <v>665</v>
      </c>
      <c r="D532" s="2">
        <f>IFERROR(__xludf.DUMMYFUNCTION("""COMPUTED_VALUE"""),645.0)</f>
        <v>645</v>
      </c>
      <c r="E532" s="2">
        <f>IFERROR(__xludf.DUMMYFUNCTION("""COMPUTED_VALUE"""),660.0)</f>
        <v>660</v>
      </c>
      <c r="F532" s="2">
        <f>IFERROR(__xludf.DUMMYFUNCTION("""COMPUTED_VALUE"""),4.96365E7)</f>
        <v>49636500</v>
      </c>
      <c r="G532" s="2">
        <f t="shared" si="1"/>
        <v>20</v>
      </c>
    </row>
    <row r="533" ht="15.75" customHeight="1">
      <c r="A533" s="1">
        <f>IFERROR(__xludf.DUMMYFUNCTION("""COMPUTED_VALUE"""),45316.66666666667)</f>
        <v>45316.66667</v>
      </c>
      <c r="B533" s="2">
        <f>IFERROR(__xludf.DUMMYFUNCTION("""COMPUTED_VALUE"""),660.0)</f>
        <v>660</v>
      </c>
      <c r="C533" s="2">
        <f>IFERROR(__xludf.DUMMYFUNCTION("""COMPUTED_VALUE"""),660.0)</f>
        <v>660</v>
      </c>
      <c r="D533" s="2">
        <f>IFERROR(__xludf.DUMMYFUNCTION("""COMPUTED_VALUE"""),645.0)</f>
        <v>645</v>
      </c>
      <c r="E533" s="2">
        <f>IFERROR(__xludf.DUMMYFUNCTION("""COMPUTED_VALUE"""),650.0)</f>
        <v>650</v>
      </c>
      <c r="F533" s="2">
        <f>IFERROR(__xludf.DUMMYFUNCTION("""COMPUTED_VALUE"""),3.41857E7)</f>
        <v>34185700</v>
      </c>
      <c r="G533" s="2">
        <f t="shared" si="1"/>
        <v>15</v>
      </c>
    </row>
    <row r="534" ht="15.75" customHeight="1">
      <c r="A534" s="1">
        <f>IFERROR(__xludf.DUMMYFUNCTION("""COMPUTED_VALUE"""),45317.66666666667)</f>
        <v>45317.66667</v>
      </c>
      <c r="B534" s="2">
        <f>IFERROR(__xludf.DUMMYFUNCTION("""COMPUTED_VALUE"""),650.0)</f>
        <v>650</v>
      </c>
      <c r="C534" s="2">
        <f>IFERROR(__xludf.DUMMYFUNCTION("""COMPUTED_VALUE"""),680.0)</f>
        <v>680</v>
      </c>
      <c r="D534" s="2">
        <f>IFERROR(__xludf.DUMMYFUNCTION("""COMPUTED_VALUE"""),650.0)</f>
        <v>650</v>
      </c>
      <c r="E534" s="2">
        <f>IFERROR(__xludf.DUMMYFUNCTION("""COMPUTED_VALUE"""),675.0)</f>
        <v>675</v>
      </c>
      <c r="F534" s="2">
        <f>IFERROR(__xludf.DUMMYFUNCTION("""COMPUTED_VALUE"""),5.41584E7)</f>
        <v>54158400</v>
      </c>
      <c r="G534" s="2">
        <f t="shared" si="1"/>
        <v>30</v>
      </c>
    </row>
    <row r="535" ht="15.75" customHeight="1">
      <c r="A535" s="1">
        <f>IFERROR(__xludf.DUMMYFUNCTION("""COMPUTED_VALUE"""),45320.66666666667)</f>
        <v>45320.66667</v>
      </c>
      <c r="B535" s="2">
        <f>IFERROR(__xludf.DUMMYFUNCTION("""COMPUTED_VALUE"""),680.0)</f>
        <v>680</v>
      </c>
      <c r="C535" s="2">
        <f>IFERROR(__xludf.DUMMYFUNCTION("""COMPUTED_VALUE"""),685.0)</f>
        <v>685</v>
      </c>
      <c r="D535" s="2">
        <f>IFERROR(__xludf.DUMMYFUNCTION("""COMPUTED_VALUE"""),660.0)</f>
        <v>660</v>
      </c>
      <c r="E535" s="2">
        <f>IFERROR(__xludf.DUMMYFUNCTION("""COMPUTED_VALUE"""),665.0)</f>
        <v>665</v>
      </c>
      <c r="F535" s="2">
        <f>IFERROR(__xludf.DUMMYFUNCTION("""COMPUTED_VALUE"""),2.68647E7)</f>
        <v>26864700</v>
      </c>
      <c r="G535" s="2">
        <f t="shared" si="1"/>
        <v>25</v>
      </c>
    </row>
    <row r="536" ht="15.75" customHeight="1">
      <c r="A536" s="1">
        <f>IFERROR(__xludf.DUMMYFUNCTION("""COMPUTED_VALUE"""),45321.66666666667)</f>
        <v>45321.66667</v>
      </c>
      <c r="B536" s="2">
        <f>IFERROR(__xludf.DUMMYFUNCTION("""COMPUTED_VALUE"""),665.0)</f>
        <v>665</v>
      </c>
      <c r="C536" s="2">
        <f>IFERROR(__xludf.DUMMYFUNCTION("""COMPUTED_VALUE"""),670.0)</f>
        <v>670</v>
      </c>
      <c r="D536" s="2">
        <f>IFERROR(__xludf.DUMMYFUNCTION("""COMPUTED_VALUE"""),655.0)</f>
        <v>655</v>
      </c>
      <c r="E536" s="2">
        <f>IFERROR(__xludf.DUMMYFUNCTION("""COMPUTED_VALUE"""),660.0)</f>
        <v>660</v>
      </c>
      <c r="F536" s="2">
        <f>IFERROR(__xludf.DUMMYFUNCTION("""COMPUTED_VALUE"""),2.47503E7)</f>
        <v>24750300</v>
      </c>
      <c r="G536" s="2">
        <f t="shared" si="1"/>
        <v>15</v>
      </c>
    </row>
    <row r="537" ht="15.75" customHeight="1">
      <c r="A537" s="1">
        <f>IFERROR(__xludf.DUMMYFUNCTION("""COMPUTED_VALUE"""),45322.66666666667)</f>
        <v>45322.66667</v>
      </c>
      <c r="B537" s="2">
        <f>IFERROR(__xludf.DUMMYFUNCTION("""COMPUTED_VALUE"""),660.0)</f>
        <v>660</v>
      </c>
      <c r="C537" s="2">
        <f>IFERROR(__xludf.DUMMYFUNCTION("""COMPUTED_VALUE"""),680.0)</f>
        <v>680</v>
      </c>
      <c r="D537" s="2">
        <f>IFERROR(__xludf.DUMMYFUNCTION("""COMPUTED_VALUE"""),660.0)</f>
        <v>660</v>
      </c>
      <c r="E537" s="2">
        <f>IFERROR(__xludf.DUMMYFUNCTION("""COMPUTED_VALUE"""),680.0)</f>
        <v>680</v>
      </c>
      <c r="F537" s="2">
        <f>IFERROR(__xludf.DUMMYFUNCTION("""COMPUTED_VALUE"""),5.41082E7)</f>
        <v>54108200</v>
      </c>
      <c r="G537" s="2">
        <f t="shared" si="1"/>
        <v>20</v>
      </c>
    </row>
    <row r="538" ht="15.75" customHeight="1">
      <c r="A538" s="1">
        <f>IFERROR(__xludf.DUMMYFUNCTION("""COMPUTED_VALUE"""),45323.66666666667)</f>
        <v>45323.66667</v>
      </c>
      <c r="B538" s="2">
        <f>IFERROR(__xludf.DUMMYFUNCTION("""COMPUTED_VALUE"""),675.0)</f>
        <v>675</v>
      </c>
      <c r="C538" s="2">
        <f>IFERROR(__xludf.DUMMYFUNCTION("""COMPUTED_VALUE"""),685.0)</f>
        <v>685</v>
      </c>
      <c r="D538" s="2">
        <f>IFERROR(__xludf.DUMMYFUNCTION("""COMPUTED_VALUE"""),665.0)</f>
        <v>665</v>
      </c>
      <c r="E538" s="2">
        <f>IFERROR(__xludf.DUMMYFUNCTION("""COMPUTED_VALUE"""),675.0)</f>
        <v>675</v>
      </c>
      <c r="F538" s="2">
        <f>IFERROR(__xludf.DUMMYFUNCTION("""COMPUTED_VALUE"""),4.6584E7)</f>
        <v>46584000</v>
      </c>
      <c r="G538" s="2">
        <f t="shared" si="1"/>
        <v>20</v>
      </c>
    </row>
    <row r="539" ht="15.75" customHeight="1">
      <c r="A539" s="1">
        <f>IFERROR(__xludf.DUMMYFUNCTION("""COMPUTED_VALUE"""),45324.66666666667)</f>
        <v>45324.66667</v>
      </c>
      <c r="B539" s="2">
        <f>IFERROR(__xludf.DUMMYFUNCTION("""COMPUTED_VALUE"""),675.0)</f>
        <v>675</v>
      </c>
      <c r="C539" s="2">
        <f>IFERROR(__xludf.DUMMYFUNCTION("""COMPUTED_VALUE"""),680.0)</f>
        <v>680</v>
      </c>
      <c r="D539" s="2">
        <f>IFERROR(__xludf.DUMMYFUNCTION("""COMPUTED_VALUE"""),665.0)</f>
        <v>665</v>
      </c>
      <c r="E539" s="2">
        <f>IFERROR(__xludf.DUMMYFUNCTION("""COMPUTED_VALUE"""),680.0)</f>
        <v>680</v>
      </c>
      <c r="F539" s="2">
        <f>IFERROR(__xludf.DUMMYFUNCTION("""COMPUTED_VALUE"""),2.48049E7)</f>
        <v>24804900</v>
      </c>
      <c r="G539" s="2">
        <f t="shared" si="1"/>
        <v>15</v>
      </c>
    </row>
    <row r="540" ht="15.75" customHeight="1">
      <c r="A540" s="1">
        <f>IFERROR(__xludf.DUMMYFUNCTION("""COMPUTED_VALUE"""),45327.66666666667)</f>
        <v>45327.66667</v>
      </c>
      <c r="B540" s="2">
        <f>IFERROR(__xludf.DUMMYFUNCTION("""COMPUTED_VALUE"""),680.0)</f>
        <v>680</v>
      </c>
      <c r="C540" s="2">
        <f>IFERROR(__xludf.DUMMYFUNCTION("""COMPUTED_VALUE"""),685.0)</f>
        <v>685</v>
      </c>
      <c r="D540" s="2">
        <f>IFERROR(__xludf.DUMMYFUNCTION("""COMPUTED_VALUE"""),660.0)</f>
        <v>660</v>
      </c>
      <c r="E540" s="2">
        <f>IFERROR(__xludf.DUMMYFUNCTION("""COMPUTED_VALUE"""),670.0)</f>
        <v>670</v>
      </c>
      <c r="F540" s="2">
        <f>IFERROR(__xludf.DUMMYFUNCTION("""COMPUTED_VALUE"""),3.42953E7)</f>
        <v>34295300</v>
      </c>
      <c r="G540" s="2">
        <f t="shared" si="1"/>
        <v>25</v>
      </c>
    </row>
    <row r="541" ht="15.75" customHeight="1">
      <c r="A541" s="1">
        <f>IFERROR(__xludf.DUMMYFUNCTION("""COMPUTED_VALUE"""),45328.66666666667)</f>
        <v>45328.66667</v>
      </c>
      <c r="B541" s="2">
        <f>IFERROR(__xludf.DUMMYFUNCTION("""COMPUTED_VALUE"""),670.0)</f>
        <v>670</v>
      </c>
      <c r="C541" s="2">
        <f>IFERROR(__xludf.DUMMYFUNCTION("""COMPUTED_VALUE"""),670.0)</f>
        <v>670</v>
      </c>
      <c r="D541" s="2">
        <f>IFERROR(__xludf.DUMMYFUNCTION("""COMPUTED_VALUE"""),660.0)</f>
        <v>660</v>
      </c>
      <c r="E541" s="2">
        <f>IFERROR(__xludf.DUMMYFUNCTION("""COMPUTED_VALUE"""),670.0)</f>
        <v>670</v>
      </c>
      <c r="F541" s="2">
        <f>IFERROR(__xludf.DUMMYFUNCTION("""COMPUTED_VALUE"""),1.0493E7)</f>
        <v>10493000</v>
      </c>
      <c r="G541" s="2">
        <f t="shared" si="1"/>
        <v>10</v>
      </c>
    </row>
    <row r="542" ht="15.75" customHeight="1">
      <c r="A542" s="1">
        <f>IFERROR(__xludf.DUMMYFUNCTION("""COMPUTED_VALUE"""),45329.66666666667)</f>
        <v>45329.66667</v>
      </c>
      <c r="B542" s="2">
        <f>IFERROR(__xludf.DUMMYFUNCTION("""COMPUTED_VALUE"""),670.0)</f>
        <v>670</v>
      </c>
      <c r="C542" s="2">
        <f>IFERROR(__xludf.DUMMYFUNCTION("""COMPUTED_VALUE"""),675.0)</f>
        <v>675</v>
      </c>
      <c r="D542" s="2">
        <f>IFERROR(__xludf.DUMMYFUNCTION("""COMPUTED_VALUE"""),660.0)</f>
        <v>660</v>
      </c>
      <c r="E542" s="2">
        <f>IFERROR(__xludf.DUMMYFUNCTION("""COMPUTED_VALUE"""),670.0)</f>
        <v>670</v>
      </c>
      <c r="F542" s="2">
        <f>IFERROR(__xludf.DUMMYFUNCTION("""COMPUTED_VALUE"""),1.75759E7)</f>
        <v>17575900</v>
      </c>
      <c r="G542" s="2">
        <f t="shared" si="1"/>
        <v>15</v>
      </c>
    </row>
    <row r="543" ht="15.75" customHeight="1">
      <c r="A543" s="1">
        <f>IFERROR(__xludf.DUMMYFUNCTION("""COMPUTED_VALUE"""),45334.66666666667)</f>
        <v>45334.66667</v>
      </c>
      <c r="B543" s="2">
        <f>IFERROR(__xludf.DUMMYFUNCTION("""COMPUTED_VALUE"""),670.0)</f>
        <v>670</v>
      </c>
      <c r="C543" s="2">
        <f>IFERROR(__xludf.DUMMYFUNCTION("""COMPUTED_VALUE"""),670.0)</f>
        <v>670</v>
      </c>
      <c r="D543" s="2">
        <f>IFERROR(__xludf.DUMMYFUNCTION("""COMPUTED_VALUE"""),650.0)</f>
        <v>650</v>
      </c>
      <c r="E543" s="2">
        <f>IFERROR(__xludf.DUMMYFUNCTION("""COMPUTED_VALUE"""),670.0)</f>
        <v>670</v>
      </c>
      <c r="F543" s="2">
        <f>IFERROR(__xludf.DUMMYFUNCTION("""COMPUTED_VALUE"""),3.99276E7)</f>
        <v>39927600</v>
      </c>
      <c r="G543" s="2">
        <f t="shared" si="1"/>
        <v>20</v>
      </c>
    </row>
    <row r="544" ht="15.75" customHeight="1">
      <c r="A544" s="1">
        <f>IFERROR(__xludf.DUMMYFUNCTION("""COMPUTED_VALUE"""),45335.66666666667)</f>
        <v>45335.66667</v>
      </c>
      <c r="B544" s="2">
        <f>IFERROR(__xludf.DUMMYFUNCTION("""COMPUTED_VALUE"""),670.0)</f>
        <v>670</v>
      </c>
      <c r="C544" s="2">
        <f>IFERROR(__xludf.DUMMYFUNCTION("""COMPUTED_VALUE"""),670.0)</f>
        <v>670</v>
      </c>
      <c r="D544" s="2">
        <f>IFERROR(__xludf.DUMMYFUNCTION("""COMPUTED_VALUE"""),655.0)</f>
        <v>655</v>
      </c>
      <c r="E544" s="2">
        <f>IFERROR(__xludf.DUMMYFUNCTION("""COMPUTED_VALUE"""),660.0)</f>
        <v>660</v>
      </c>
      <c r="F544" s="2">
        <f>IFERROR(__xludf.DUMMYFUNCTION("""COMPUTED_VALUE"""),2.12834E7)</f>
        <v>21283400</v>
      </c>
      <c r="G544" s="2">
        <f t="shared" si="1"/>
        <v>15</v>
      </c>
    </row>
    <row r="545" ht="15.75" customHeight="1">
      <c r="A545" s="1">
        <f>IFERROR(__xludf.DUMMYFUNCTION("""COMPUTED_VALUE"""),45337.66666666667)</f>
        <v>45337.66667</v>
      </c>
      <c r="B545" s="2">
        <f>IFERROR(__xludf.DUMMYFUNCTION("""COMPUTED_VALUE"""),665.0)</f>
        <v>665</v>
      </c>
      <c r="C545" s="2">
        <f>IFERROR(__xludf.DUMMYFUNCTION("""COMPUTED_VALUE"""),670.0)</f>
        <v>670</v>
      </c>
      <c r="D545" s="2">
        <f>IFERROR(__xludf.DUMMYFUNCTION("""COMPUTED_VALUE"""),660.0)</f>
        <v>660</v>
      </c>
      <c r="E545" s="2">
        <f>IFERROR(__xludf.DUMMYFUNCTION("""COMPUTED_VALUE"""),665.0)</f>
        <v>665</v>
      </c>
      <c r="F545" s="2">
        <f>IFERROR(__xludf.DUMMYFUNCTION("""COMPUTED_VALUE"""),2.26089E7)</f>
        <v>22608900</v>
      </c>
      <c r="G545" s="2">
        <f t="shared" si="1"/>
        <v>10</v>
      </c>
    </row>
    <row r="546" ht="15.75" customHeight="1">
      <c r="A546" s="1">
        <f>IFERROR(__xludf.DUMMYFUNCTION("""COMPUTED_VALUE"""),45338.66666666667)</f>
        <v>45338.66667</v>
      </c>
      <c r="B546" s="2">
        <f>IFERROR(__xludf.DUMMYFUNCTION("""COMPUTED_VALUE"""),665.0)</f>
        <v>665</v>
      </c>
      <c r="C546" s="2">
        <f>IFERROR(__xludf.DUMMYFUNCTION("""COMPUTED_VALUE"""),670.0)</f>
        <v>670</v>
      </c>
      <c r="D546" s="2">
        <f>IFERROR(__xludf.DUMMYFUNCTION("""COMPUTED_VALUE"""),655.0)</f>
        <v>655</v>
      </c>
      <c r="E546" s="2">
        <f>IFERROR(__xludf.DUMMYFUNCTION("""COMPUTED_VALUE"""),665.0)</f>
        <v>665</v>
      </c>
      <c r="F546" s="2">
        <f>IFERROR(__xludf.DUMMYFUNCTION("""COMPUTED_VALUE"""),2.9025E7)</f>
        <v>29025000</v>
      </c>
      <c r="G546" s="2">
        <f t="shared" si="1"/>
        <v>15</v>
      </c>
    </row>
    <row r="547" ht="15.75" customHeight="1">
      <c r="A547" s="1">
        <f>IFERROR(__xludf.DUMMYFUNCTION("""COMPUTED_VALUE"""),45341.66666666667)</f>
        <v>45341.66667</v>
      </c>
      <c r="B547" s="2">
        <f>IFERROR(__xludf.DUMMYFUNCTION("""COMPUTED_VALUE"""),660.0)</f>
        <v>660</v>
      </c>
      <c r="C547" s="2">
        <f>IFERROR(__xludf.DUMMYFUNCTION("""COMPUTED_VALUE"""),665.0)</f>
        <v>665</v>
      </c>
      <c r="D547" s="2">
        <f>IFERROR(__xludf.DUMMYFUNCTION("""COMPUTED_VALUE"""),650.0)</f>
        <v>650</v>
      </c>
      <c r="E547" s="2">
        <f>IFERROR(__xludf.DUMMYFUNCTION("""COMPUTED_VALUE"""),655.0)</f>
        <v>655</v>
      </c>
      <c r="F547" s="2">
        <f>IFERROR(__xludf.DUMMYFUNCTION("""COMPUTED_VALUE"""),2.51187E7)</f>
        <v>25118700</v>
      </c>
      <c r="G547" s="2">
        <f t="shared" si="1"/>
        <v>15</v>
      </c>
    </row>
    <row r="548" ht="15.75" customHeight="1">
      <c r="A548" s="1">
        <f>IFERROR(__xludf.DUMMYFUNCTION("""COMPUTED_VALUE"""),45342.66666666667)</f>
        <v>45342.66667</v>
      </c>
      <c r="B548" s="2">
        <f>IFERROR(__xludf.DUMMYFUNCTION("""COMPUTED_VALUE"""),655.0)</f>
        <v>655</v>
      </c>
      <c r="C548" s="2">
        <f>IFERROR(__xludf.DUMMYFUNCTION("""COMPUTED_VALUE"""),665.0)</f>
        <v>665</v>
      </c>
      <c r="D548" s="2">
        <f>IFERROR(__xludf.DUMMYFUNCTION("""COMPUTED_VALUE"""),650.0)</f>
        <v>650</v>
      </c>
      <c r="E548" s="2">
        <f>IFERROR(__xludf.DUMMYFUNCTION("""COMPUTED_VALUE"""),655.0)</f>
        <v>655</v>
      </c>
      <c r="F548" s="2">
        <f>IFERROR(__xludf.DUMMYFUNCTION("""COMPUTED_VALUE"""),3.75568E7)</f>
        <v>37556800</v>
      </c>
      <c r="G548" s="2">
        <f t="shared" si="1"/>
        <v>15</v>
      </c>
    </row>
    <row r="549" ht="15.75" customHeight="1">
      <c r="A549" s="1">
        <f>IFERROR(__xludf.DUMMYFUNCTION("""COMPUTED_VALUE"""),45343.66666666667)</f>
        <v>45343.66667</v>
      </c>
      <c r="B549" s="2">
        <f>IFERROR(__xludf.DUMMYFUNCTION("""COMPUTED_VALUE"""),655.0)</f>
        <v>655</v>
      </c>
      <c r="C549" s="2">
        <f>IFERROR(__xludf.DUMMYFUNCTION("""COMPUTED_VALUE"""),655.0)</f>
        <v>655</v>
      </c>
      <c r="D549" s="2">
        <f>IFERROR(__xludf.DUMMYFUNCTION("""COMPUTED_VALUE"""),650.0)</f>
        <v>650</v>
      </c>
      <c r="E549" s="2">
        <f>IFERROR(__xludf.DUMMYFUNCTION("""COMPUTED_VALUE"""),650.0)</f>
        <v>650</v>
      </c>
      <c r="F549" s="2">
        <f>IFERROR(__xludf.DUMMYFUNCTION("""COMPUTED_VALUE"""),3.33003E7)</f>
        <v>33300300</v>
      </c>
      <c r="G549" s="2">
        <f t="shared" si="1"/>
        <v>5</v>
      </c>
    </row>
    <row r="550" ht="15.75" customHeight="1">
      <c r="A550" s="1">
        <f>IFERROR(__xludf.DUMMYFUNCTION("""COMPUTED_VALUE"""),45344.66666666667)</f>
        <v>45344.66667</v>
      </c>
      <c r="B550" s="2">
        <f>IFERROR(__xludf.DUMMYFUNCTION("""COMPUTED_VALUE"""),655.0)</f>
        <v>655</v>
      </c>
      <c r="C550" s="2">
        <f>IFERROR(__xludf.DUMMYFUNCTION("""COMPUTED_VALUE"""),655.0)</f>
        <v>655</v>
      </c>
      <c r="D550" s="2">
        <f>IFERROR(__xludf.DUMMYFUNCTION("""COMPUTED_VALUE"""),645.0)</f>
        <v>645</v>
      </c>
      <c r="E550" s="2">
        <f>IFERROR(__xludf.DUMMYFUNCTION("""COMPUTED_VALUE"""),650.0)</f>
        <v>650</v>
      </c>
      <c r="F550" s="2">
        <f>IFERROR(__xludf.DUMMYFUNCTION("""COMPUTED_VALUE"""),3.85622E7)</f>
        <v>38562200</v>
      </c>
      <c r="G550" s="2">
        <f t="shared" si="1"/>
        <v>10</v>
      </c>
    </row>
    <row r="551" ht="15.75" customHeight="1">
      <c r="A551" s="1">
        <f>IFERROR(__xludf.DUMMYFUNCTION("""COMPUTED_VALUE"""),45345.66666666667)</f>
        <v>45345.66667</v>
      </c>
      <c r="B551" s="2">
        <f>IFERROR(__xludf.DUMMYFUNCTION("""COMPUTED_VALUE"""),650.0)</f>
        <v>650</v>
      </c>
      <c r="C551" s="2">
        <f>IFERROR(__xludf.DUMMYFUNCTION("""COMPUTED_VALUE"""),650.0)</f>
        <v>650</v>
      </c>
      <c r="D551" s="2">
        <f>IFERROR(__xludf.DUMMYFUNCTION("""COMPUTED_VALUE"""),640.0)</f>
        <v>640</v>
      </c>
      <c r="E551" s="2">
        <f>IFERROR(__xludf.DUMMYFUNCTION("""COMPUTED_VALUE"""),650.0)</f>
        <v>650</v>
      </c>
      <c r="F551" s="2">
        <f>IFERROR(__xludf.DUMMYFUNCTION("""COMPUTED_VALUE"""),3.29144E7)</f>
        <v>32914400</v>
      </c>
      <c r="G551" s="2">
        <f t="shared" si="1"/>
        <v>10</v>
      </c>
    </row>
    <row r="552" ht="15.75" customHeight="1">
      <c r="A552" s="1">
        <f>IFERROR(__xludf.DUMMYFUNCTION("""COMPUTED_VALUE"""),45348.66666666667)</f>
        <v>45348.66667</v>
      </c>
      <c r="B552" s="2">
        <f>IFERROR(__xludf.DUMMYFUNCTION("""COMPUTED_VALUE"""),650.0)</f>
        <v>650</v>
      </c>
      <c r="C552" s="2">
        <f>IFERROR(__xludf.DUMMYFUNCTION("""COMPUTED_VALUE"""),650.0)</f>
        <v>650</v>
      </c>
      <c r="D552" s="2">
        <f>IFERROR(__xludf.DUMMYFUNCTION("""COMPUTED_VALUE"""),640.0)</f>
        <v>640</v>
      </c>
      <c r="E552" s="2">
        <f>IFERROR(__xludf.DUMMYFUNCTION("""COMPUTED_VALUE"""),645.0)</f>
        <v>645</v>
      </c>
      <c r="F552" s="2">
        <f>IFERROR(__xludf.DUMMYFUNCTION("""COMPUTED_VALUE"""),3.07976E7)</f>
        <v>30797600</v>
      </c>
      <c r="G552" s="2">
        <f t="shared" si="1"/>
        <v>10</v>
      </c>
    </row>
    <row r="553" ht="15.75" customHeight="1">
      <c r="A553" s="1">
        <f>IFERROR(__xludf.DUMMYFUNCTION("""COMPUTED_VALUE"""),45349.66666666667)</f>
        <v>45349.66667</v>
      </c>
      <c r="B553" s="2">
        <f>IFERROR(__xludf.DUMMYFUNCTION("""COMPUTED_VALUE"""),645.0)</f>
        <v>645</v>
      </c>
      <c r="C553" s="2">
        <f>IFERROR(__xludf.DUMMYFUNCTION("""COMPUTED_VALUE"""),660.0)</f>
        <v>660</v>
      </c>
      <c r="D553" s="2">
        <f>IFERROR(__xludf.DUMMYFUNCTION("""COMPUTED_VALUE"""),635.0)</f>
        <v>635</v>
      </c>
      <c r="E553" s="2">
        <f>IFERROR(__xludf.DUMMYFUNCTION("""COMPUTED_VALUE"""),650.0)</f>
        <v>650</v>
      </c>
      <c r="F553" s="2">
        <f>IFERROR(__xludf.DUMMYFUNCTION("""COMPUTED_VALUE"""),4.05417E7)</f>
        <v>40541700</v>
      </c>
      <c r="G553" s="2">
        <f t="shared" si="1"/>
        <v>25</v>
      </c>
    </row>
    <row r="554" ht="15.75" customHeight="1">
      <c r="A554" s="1">
        <f>IFERROR(__xludf.DUMMYFUNCTION("""COMPUTED_VALUE"""),45350.66666666667)</f>
        <v>45350.66667</v>
      </c>
      <c r="B554" s="2">
        <f>IFERROR(__xludf.DUMMYFUNCTION("""COMPUTED_VALUE"""),650.0)</f>
        <v>650</v>
      </c>
      <c r="C554" s="2">
        <f>IFERROR(__xludf.DUMMYFUNCTION("""COMPUTED_VALUE"""),650.0)</f>
        <v>650</v>
      </c>
      <c r="D554" s="2">
        <f>IFERROR(__xludf.DUMMYFUNCTION("""COMPUTED_VALUE"""),635.0)</f>
        <v>635</v>
      </c>
      <c r="E554" s="2">
        <f>IFERROR(__xludf.DUMMYFUNCTION("""COMPUTED_VALUE"""),640.0)</f>
        <v>640</v>
      </c>
      <c r="F554" s="2">
        <f>IFERROR(__xludf.DUMMYFUNCTION("""COMPUTED_VALUE"""),3.49203E7)</f>
        <v>34920300</v>
      </c>
      <c r="G554" s="2">
        <f t="shared" si="1"/>
        <v>15</v>
      </c>
    </row>
    <row r="555" ht="15.75" customHeight="1">
      <c r="A555" s="1">
        <f>IFERROR(__xludf.DUMMYFUNCTION("""COMPUTED_VALUE"""),45351.66666666667)</f>
        <v>45351.66667</v>
      </c>
      <c r="B555" s="2">
        <f>IFERROR(__xludf.DUMMYFUNCTION("""COMPUTED_VALUE"""),640.0)</f>
        <v>640</v>
      </c>
      <c r="C555" s="2">
        <f>IFERROR(__xludf.DUMMYFUNCTION("""COMPUTED_VALUE"""),645.0)</f>
        <v>645</v>
      </c>
      <c r="D555" s="2">
        <f>IFERROR(__xludf.DUMMYFUNCTION("""COMPUTED_VALUE"""),620.0)</f>
        <v>620</v>
      </c>
      <c r="E555" s="2">
        <f>IFERROR(__xludf.DUMMYFUNCTION("""COMPUTED_VALUE"""),635.0)</f>
        <v>635</v>
      </c>
      <c r="F555" s="2">
        <f>IFERROR(__xludf.DUMMYFUNCTION("""COMPUTED_VALUE"""),6.84596E7)</f>
        <v>68459600</v>
      </c>
      <c r="G555" s="2">
        <f t="shared" si="1"/>
        <v>25</v>
      </c>
    </row>
    <row r="556" ht="15.75" customHeight="1">
      <c r="A556" s="1">
        <f>IFERROR(__xludf.DUMMYFUNCTION("""COMPUTED_VALUE"""),45352.66666666667)</f>
        <v>45352.66667</v>
      </c>
      <c r="B556" s="2">
        <f>IFERROR(__xludf.DUMMYFUNCTION("""COMPUTED_VALUE"""),635.0)</f>
        <v>635</v>
      </c>
      <c r="C556" s="2">
        <f>IFERROR(__xludf.DUMMYFUNCTION("""COMPUTED_VALUE"""),635.0)</f>
        <v>635</v>
      </c>
      <c r="D556" s="2">
        <f>IFERROR(__xludf.DUMMYFUNCTION("""COMPUTED_VALUE"""),620.0)</f>
        <v>620</v>
      </c>
      <c r="E556" s="2">
        <f>IFERROR(__xludf.DUMMYFUNCTION("""COMPUTED_VALUE"""),625.0)</f>
        <v>625</v>
      </c>
      <c r="F556" s="2">
        <f>IFERROR(__xludf.DUMMYFUNCTION("""COMPUTED_VALUE"""),4.66249E7)</f>
        <v>46624900</v>
      </c>
      <c r="G556" s="2">
        <f t="shared" si="1"/>
        <v>15</v>
      </c>
    </row>
    <row r="557" ht="15.75" customHeight="1">
      <c r="A557" s="1">
        <f>IFERROR(__xludf.DUMMYFUNCTION("""COMPUTED_VALUE"""),45355.66666666667)</f>
        <v>45355.66667</v>
      </c>
      <c r="B557" s="2">
        <f>IFERROR(__xludf.DUMMYFUNCTION("""COMPUTED_VALUE"""),625.0)</f>
        <v>625</v>
      </c>
      <c r="C557" s="2">
        <f>IFERROR(__xludf.DUMMYFUNCTION("""COMPUTED_VALUE"""),650.0)</f>
        <v>650</v>
      </c>
      <c r="D557" s="2">
        <f>IFERROR(__xludf.DUMMYFUNCTION("""COMPUTED_VALUE"""),625.0)</f>
        <v>625</v>
      </c>
      <c r="E557" s="2">
        <f>IFERROR(__xludf.DUMMYFUNCTION("""COMPUTED_VALUE"""),635.0)</f>
        <v>635</v>
      </c>
      <c r="F557" s="2">
        <f>IFERROR(__xludf.DUMMYFUNCTION("""COMPUTED_VALUE"""),4.66904E7)</f>
        <v>46690400</v>
      </c>
      <c r="G557" s="2">
        <f t="shared" si="1"/>
        <v>25</v>
      </c>
    </row>
    <row r="558" ht="15.75" customHeight="1">
      <c r="A558" s="1">
        <f>IFERROR(__xludf.DUMMYFUNCTION("""COMPUTED_VALUE"""),45356.66666666667)</f>
        <v>45356.66667</v>
      </c>
      <c r="B558" s="2">
        <f>IFERROR(__xludf.DUMMYFUNCTION("""COMPUTED_VALUE"""),635.0)</f>
        <v>635</v>
      </c>
      <c r="C558" s="2">
        <f>IFERROR(__xludf.DUMMYFUNCTION("""COMPUTED_VALUE"""),640.0)</f>
        <v>640</v>
      </c>
      <c r="D558" s="2">
        <f>IFERROR(__xludf.DUMMYFUNCTION("""COMPUTED_VALUE"""),620.0)</f>
        <v>620</v>
      </c>
      <c r="E558" s="2">
        <f>IFERROR(__xludf.DUMMYFUNCTION("""COMPUTED_VALUE"""),630.0)</f>
        <v>630</v>
      </c>
      <c r="F558" s="2">
        <f>IFERROR(__xludf.DUMMYFUNCTION("""COMPUTED_VALUE"""),4.13091E7)</f>
        <v>41309100</v>
      </c>
      <c r="G558" s="2">
        <f t="shared" si="1"/>
        <v>20</v>
      </c>
    </row>
    <row r="559" ht="15.75" customHeight="1">
      <c r="A559" s="1">
        <f>IFERROR(__xludf.DUMMYFUNCTION("""COMPUTED_VALUE"""),45357.66666666667)</f>
        <v>45357.66667</v>
      </c>
      <c r="B559" s="2">
        <f>IFERROR(__xludf.DUMMYFUNCTION("""COMPUTED_VALUE"""),630.0)</f>
        <v>630</v>
      </c>
      <c r="C559" s="2">
        <f>IFERROR(__xludf.DUMMYFUNCTION("""COMPUTED_VALUE"""),635.0)</f>
        <v>635</v>
      </c>
      <c r="D559" s="2">
        <f>IFERROR(__xludf.DUMMYFUNCTION("""COMPUTED_VALUE"""),620.0)</f>
        <v>620</v>
      </c>
      <c r="E559" s="2">
        <f>IFERROR(__xludf.DUMMYFUNCTION("""COMPUTED_VALUE"""),630.0)</f>
        <v>630</v>
      </c>
      <c r="F559" s="2">
        <f>IFERROR(__xludf.DUMMYFUNCTION("""COMPUTED_VALUE"""),3.43283E7)</f>
        <v>34328300</v>
      </c>
      <c r="G559" s="2">
        <f t="shared" si="1"/>
        <v>15</v>
      </c>
    </row>
    <row r="560" ht="15.75" customHeight="1">
      <c r="A560" s="1">
        <f>IFERROR(__xludf.DUMMYFUNCTION("""COMPUTED_VALUE"""),45358.66666666667)</f>
        <v>45358.66667</v>
      </c>
      <c r="B560" s="2">
        <f>IFERROR(__xludf.DUMMYFUNCTION("""COMPUTED_VALUE"""),635.0)</f>
        <v>635</v>
      </c>
      <c r="C560" s="2">
        <f>IFERROR(__xludf.DUMMYFUNCTION("""COMPUTED_VALUE"""),645.0)</f>
        <v>645</v>
      </c>
      <c r="D560" s="2">
        <f>IFERROR(__xludf.DUMMYFUNCTION("""COMPUTED_VALUE"""),630.0)</f>
        <v>630</v>
      </c>
      <c r="E560" s="2">
        <f>IFERROR(__xludf.DUMMYFUNCTION("""COMPUTED_VALUE"""),635.0)</f>
        <v>635</v>
      </c>
      <c r="F560" s="2">
        <f>IFERROR(__xludf.DUMMYFUNCTION("""COMPUTED_VALUE"""),6.40352E7)</f>
        <v>64035200</v>
      </c>
      <c r="G560" s="2">
        <f t="shared" si="1"/>
        <v>15</v>
      </c>
    </row>
    <row r="561" ht="15.75" customHeight="1">
      <c r="A561" s="1">
        <f>IFERROR(__xludf.DUMMYFUNCTION("""COMPUTED_VALUE"""),45359.66666666667)</f>
        <v>45359.66667</v>
      </c>
      <c r="B561" s="2">
        <f>IFERROR(__xludf.DUMMYFUNCTION("""COMPUTED_VALUE"""),640.0)</f>
        <v>640</v>
      </c>
      <c r="C561" s="2">
        <f>IFERROR(__xludf.DUMMYFUNCTION("""COMPUTED_VALUE"""),645.0)</f>
        <v>645</v>
      </c>
      <c r="D561" s="2">
        <f>IFERROR(__xludf.DUMMYFUNCTION("""COMPUTED_VALUE"""),625.0)</f>
        <v>625</v>
      </c>
      <c r="E561" s="2">
        <f>IFERROR(__xludf.DUMMYFUNCTION("""COMPUTED_VALUE"""),630.0)</f>
        <v>630</v>
      </c>
      <c r="F561" s="2">
        <f>IFERROR(__xludf.DUMMYFUNCTION("""COMPUTED_VALUE"""),3.09561E7)</f>
        <v>30956100</v>
      </c>
      <c r="G561" s="2">
        <f t="shared" si="1"/>
        <v>20</v>
      </c>
    </row>
    <row r="562" ht="15.75" customHeight="1">
      <c r="A562" s="1">
        <f>IFERROR(__xludf.DUMMYFUNCTION("""COMPUTED_VALUE"""),45364.66666666667)</f>
        <v>45364.66667</v>
      </c>
      <c r="B562" s="2">
        <f>IFERROR(__xludf.DUMMYFUNCTION("""COMPUTED_VALUE"""),625.0)</f>
        <v>625</v>
      </c>
      <c r="C562" s="2">
        <f>IFERROR(__xludf.DUMMYFUNCTION("""COMPUTED_VALUE"""),630.0)</f>
        <v>630</v>
      </c>
      <c r="D562" s="2">
        <f>IFERROR(__xludf.DUMMYFUNCTION("""COMPUTED_VALUE"""),615.0)</f>
        <v>615</v>
      </c>
      <c r="E562" s="2">
        <f>IFERROR(__xludf.DUMMYFUNCTION("""COMPUTED_VALUE"""),625.0)</f>
        <v>625</v>
      </c>
      <c r="F562" s="2">
        <f>IFERROR(__xludf.DUMMYFUNCTION("""COMPUTED_VALUE"""),5.82746E7)</f>
        <v>58274600</v>
      </c>
      <c r="G562" s="2">
        <f t="shared" si="1"/>
        <v>15</v>
      </c>
    </row>
    <row r="563" ht="15.75" customHeight="1">
      <c r="A563" s="1">
        <f>IFERROR(__xludf.DUMMYFUNCTION("""COMPUTED_VALUE"""),45365.66666666667)</f>
        <v>45365.66667</v>
      </c>
      <c r="B563" s="2">
        <f>IFERROR(__xludf.DUMMYFUNCTION("""COMPUTED_VALUE"""),625.0)</f>
        <v>625</v>
      </c>
      <c r="C563" s="2">
        <f>IFERROR(__xludf.DUMMYFUNCTION("""COMPUTED_VALUE"""),635.0)</f>
        <v>635</v>
      </c>
      <c r="D563" s="2">
        <f>IFERROR(__xludf.DUMMYFUNCTION("""COMPUTED_VALUE"""),620.0)</f>
        <v>620</v>
      </c>
      <c r="E563" s="2">
        <f>IFERROR(__xludf.DUMMYFUNCTION("""COMPUTED_VALUE"""),620.0)</f>
        <v>620</v>
      </c>
      <c r="F563" s="2">
        <f>IFERROR(__xludf.DUMMYFUNCTION("""COMPUTED_VALUE"""),4.46948E7)</f>
        <v>44694800</v>
      </c>
      <c r="G563" s="2">
        <f t="shared" si="1"/>
        <v>15</v>
      </c>
    </row>
    <row r="564" ht="15.75" customHeight="1">
      <c r="A564" s="1">
        <f>IFERROR(__xludf.DUMMYFUNCTION("""COMPUTED_VALUE"""),45366.66666666667)</f>
        <v>45366.66667</v>
      </c>
      <c r="B564" s="2">
        <f>IFERROR(__xludf.DUMMYFUNCTION("""COMPUTED_VALUE"""),625.0)</f>
        <v>625</v>
      </c>
      <c r="C564" s="2">
        <f>IFERROR(__xludf.DUMMYFUNCTION("""COMPUTED_VALUE"""),625.0)</f>
        <v>625</v>
      </c>
      <c r="D564" s="2">
        <f>IFERROR(__xludf.DUMMYFUNCTION("""COMPUTED_VALUE"""),610.0)</f>
        <v>610</v>
      </c>
      <c r="E564" s="2">
        <f>IFERROR(__xludf.DUMMYFUNCTION("""COMPUTED_VALUE"""),610.0)</f>
        <v>610</v>
      </c>
      <c r="F564" s="2">
        <f>IFERROR(__xludf.DUMMYFUNCTION("""COMPUTED_VALUE"""),7.13031E7)</f>
        <v>71303100</v>
      </c>
      <c r="G564" s="2">
        <f t="shared" si="1"/>
        <v>15</v>
      </c>
    </row>
    <row r="565" ht="15.75" customHeight="1">
      <c r="A565" s="1">
        <f>IFERROR(__xludf.DUMMYFUNCTION("""COMPUTED_VALUE"""),45369.66666666667)</f>
        <v>45369.66667</v>
      </c>
      <c r="B565" s="2">
        <f>IFERROR(__xludf.DUMMYFUNCTION("""COMPUTED_VALUE"""),615.0)</f>
        <v>615</v>
      </c>
      <c r="C565" s="2">
        <f>IFERROR(__xludf.DUMMYFUNCTION("""COMPUTED_VALUE"""),625.0)</f>
        <v>625</v>
      </c>
      <c r="D565" s="2">
        <f>IFERROR(__xludf.DUMMYFUNCTION("""COMPUTED_VALUE"""),610.0)</f>
        <v>610</v>
      </c>
      <c r="E565" s="2">
        <f>IFERROR(__xludf.DUMMYFUNCTION("""COMPUTED_VALUE"""),620.0)</f>
        <v>620</v>
      </c>
      <c r="F565" s="2">
        <f>IFERROR(__xludf.DUMMYFUNCTION("""COMPUTED_VALUE"""),3.63685E7)</f>
        <v>36368500</v>
      </c>
      <c r="G565" s="2">
        <f t="shared" si="1"/>
        <v>15</v>
      </c>
    </row>
    <row r="566" ht="15.75" customHeight="1">
      <c r="A566" s="1">
        <f>IFERROR(__xludf.DUMMYFUNCTION("""COMPUTED_VALUE"""),45370.66666666667)</f>
        <v>45370.66667</v>
      </c>
      <c r="B566" s="2">
        <f>IFERROR(__xludf.DUMMYFUNCTION("""COMPUTED_VALUE"""),620.0)</f>
        <v>620</v>
      </c>
      <c r="C566" s="2">
        <f>IFERROR(__xludf.DUMMYFUNCTION("""COMPUTED_VALUE"""),625.0)</f>
        <v>625</v>
      </c>
      <c r="D566" s="2">
        <f>IFERROR(__xludf.DUMMYFUNCTION("""COMPUTED_VALUE"""),605.0)</f>
        <v>605</v>
      </c>
      <c r="E566" s="2">
        <f>IFERROR(__xludf.DUMMYFUNCTION("""COMPUTED_VALUE"""),615.0)</f>
        <v>615</v>
      </c>
      <c r="F566" s="2">
        <f>IFERROR(__xludf.DUMMYFUNCTION("""COMPUTED_VALUE"""),4.55778E7)</f>
        <v>45577800</v>
      </c>
      <c r="G566" s="2">
        <f t="shared" si="1"/>
        <v>20</v>
      </c>
    </row>
    <row r="567" ht="15.75" customHeight="1">
      <c r="A567" s="1">
        <f>IFERROR(__xludf.DUMMYFUNCTION("""COMPUTED_VALUE"""),45371.66666666667)</f>
        <v>45371.66667</v>
      </c>
      <c r="B567" s="2">
        <f>IFERROR(__xludf.DUMMYFUNCTION("""COMPUTED_VALUE"""),615.0)</f>
        <v>615</v>
      </c>
      <c r="C567" s="2">
        <f>IFERROR(__xludf.DUMMYFUNCTION("""COMPUTED_VALUE"""),620.0)</f>
        <v>620</v>
      </c>
      <c r="D567" s="2">
        <f>IFERROR(__xludf.DUMMYFUNCTION("""COMPUTED_VALUE"""),605.0)</f>
        <v>605</v>
      </c>
      <c r="E567" s="2">
        <f>IFERROR(__xludf.DUMMYFUNCTION("""COMPUTED_VALUE"""),615.0)</f>
        <v>615</v>
      </c>
      <c r="F567" s="2">
        <f>IFERROR(__xludf.DUMMYFUNCTION("""COMPUTED_VALUE"""),2.38883E7)</f>
        <v>23888300</v>
      </c>
      <c r="G567" s="2">
        <f t="shared" si="1"/>
        <v>15</v>
      </c>
    </row>
    <row r="568" ht="15.75" customHeight="1">
      <c r="A568" s="1">
        <f>IFERROR(__xludf.DUMMYFUNCTION("""COMPUTED_VALUE"""),45372.66666666667)</f>
        <v>45372.66667</v>
      </c>
      <c r="B568" s="2">
        <f>IFERROR(__xludf.DUMMYFUNCTION("""COMPUTED_VALUE"""),615.0)</f>
        <v>615</v>
      </c>
      <c r="C568" s="2">
        <f>IFERROR(__xludf.DUMMYFUNCTION("""COMPUTED_VALUE"""),630.0)</f>
        <v>630</v>
      </c>
      <c r="D568" s="2">
        <f>IFERROR(__xludf.DUMMYFUNCTION("""COMPUTED_VALUE"""),610.0)</f>
        <v>610</v>
      </c>
      <c r="E568" s="2">
        <f>IFERROR(__xludf.DUMMYFUNCTION("""COMPUTED_VALUE"""),615.0)</f>
        <v>615</v>
      </c>
      <c r="F568" s="2">
        <f>IFERROR(__xludf.DUMMYFUNCTION("""COMPUTED_VALUE"""),6.88729E7)</f>
        <v>68872900</v>
      </c>
      <c r="G568" s="2">
        <f t="shared" si="1"/>
        <v>20</v>
      </c>
    </row>
    <row r="569" ht="15.75" customHeight="1">
      <c r="A569" s="1">
        <f>IFERROR(__xludf.DUMMYFUNCTION("""COMPUTED_VALUE"""),45373.66666666667)</f>
        <v>45373.66667</v>
      </c>
      <c r="B569" s="2">
        <f>IFERROR(__xludf.DUMMYFUNCTION("""COMPUTED_VALUE"""),615.0)</f>
        <v>615</v>
      </c>
      <c r="C569" s="2">
        <f>IFERROR(__xludf.DUMMYFUNCTION("""COMPUTED_VALUE"""),620.0)</f>
        <v>620</v>
      </c>
      <c r="D569" s="2">
        <f>IFERROR(__xludf.DUMMYFUNCTION("""COMPUTED_VALUE"""),610.0)</f>
        <v>610</v>
      </c>
      <c r="E569" s="2">
        <f>IFERROR(__xludf.DUMMYFUNCTION("""COMPUTED_VALUE"""),615.0)</f>
        <v>615</v>
      </c>
      <c r="F569" s="2">
        <f>IFERROR(__xludf.DUMMYFUNCTION("""COMPUTED_VALUE"""),2.68825E7)</f>
        <v>26882500</v>
      </c>
      <c r="G569" s="2">
        <f t="shared" si="1"/>
        <v>10</v>
      </c>
    </row>
    <row r="570" ht="15.75" customHeight="1">
      <c r="A570" s="1">
        <f>IFERROR(__xludf.DUMMYFUNCTION("""COMPUTED_VALUE"""),45376.66666666667)</f>
        <v>45376.66667</v>
      </c>
      <c r="B570" s="2">
        <f>IFERROR(__xludf.DUMMYFUNCTION("""COMPUTED_VALUE"""),625.0)</f>
        <v>625</v>
      </c>
      <c r="C570" s="2">
        <f>IFERROR(__xludf.DUMMYFUNCTION("""COMPUTED_VALUE"""),625.0)</f>
        <v>625</v>
      </c>
      <c r="D570" s="2">
        <f>IFERROR(__xludf.DUMMYFUNCTION("""COMPUTED_VALUE"""),615.0)</f>
        <v>615</v>
      </c>
      <c r="E570" s="2">
        <f>IFERROR(__xludf.DUMMYFUNCTION("""COMPUTED_VALUE"""),620.0)</f>
        <v>620</v>
      </c>
      <c r="F570" s="2">
        <f>IFERROR(__xludf.DUMMYFUNCTION("""COMPUTED_VALUE"""),2.8263E7)</f>
        <v>28263000</v>
      </c>
      <c r="G570" s="2">
        <f t="shared" si="1"/>
        <v>10</v>
      </c>
    </row>
    <row r="571" ht="15.75" customHeight="1">
      <c r="A571" s="1">
        <f>IFERROR(__xludf.DUMMYFUNCTION("""COMPUTED_VALUE"""),45377.66666666667)</f>
        <v>45377.66667</v>
      </c>
      <c r="B571" s="2">
        <f>IFERROR(__xludf.DUMMYFUNCTION("""COMPUTED_VALUE"""),620.0)</f>
        <v>620</v>
      </c>
      <c r="C571" s="2">
        <f>IFERROR(__xludf.DUMMYFUNCTION("""COMPUTED_VALUE"""),620.0)</f>
        <v>620</v>
      </c>
      <c r="D571" s="2">
        <f>IFERROR(__xludf.DUMMYFUNCTION("""COMPUTED_VALUE"""),610.0)</f>
        <v>610</v>
      </c>
      <c r="E571" s="2">
        <f>IFERROR(__xludf.DUMMYFUNCTION("""COMPUTED_VALUE"""),610.0)</f>
        <v>610</v>
      </c>
      <c r="F571" s="2">
        <f>IFERROR(__xludf.DUMMYFUNCTION("""COMPUTED_VALUE"""),4.06025E7)</f>
        <v>40602500</v>
      </c>
      <c r="G571" s="2">
        <f t="shared" si="1"/>
        <v>10</v>
      </c>
    </row>
    <row r="572" ht="15.75" customHeight="1">
      <c r="A572" s="1">
        <f>IFERROR(__xludf.DUMMYFUNCTION("""COMPUTED_VALUE"""),45378.66666666667)</f>
        <v>45378.66667</v>
      </c>
      <c r="B572" s="2">
        <f>IFERROR(__xludf.DUMMYFUNCTION("""COMPUTED_VALUE"""),615.0)</f>
        <v>615</v>
      </c>
      <c r="C572" s="2">
        <f>IFERROR(__xludf.DUMMYFUNCTION("""COMPUTED_VALUE"""),625.0)</f>
        <v>625</v>
      </c>
      <c r="D572" s="2">
        <f>IFERROR(__xludf.DUMMYFUNCTION("""COMPUTED_VALUE"""),610.0)</f>
        <v>610</v>
      </c>
      <c r="E572" s="2">
        <f>IFERROR(__xludf.DUMMYFUNCTION("""COMPUTED_VALUE"""),615.0)</f>
        <v>615</v>
      </c>
      <c r="F572" s="2">
        <f>IFERROR(__xludf.DUMMYFUNCTION("""COMPUTED_VALUE"""),4.74068E7)</f>
        <v>47406800</v>
      </c>
      <c r="G572" s="2">
        <f t="shared" si="1"/>
        <v>15</v>
      </c>
    </row>
    <row r="573" ht="15.75" customHeight="1">
      <c r="A573" s="1">
        <f>IFERROR(__xludf.DUMMYFUNCTION("""COMPUTED_VALUE"""),45379.66666666667)</f>
        <v>45379.66667</v>
      </c>
      <c r="B573" s="2">
        <f>IFERROR(__xludf.DUMMYFUNCTION("""COMPUTED_VALUE"""),615.0)</f>
        <v>615</v>
      </c>
      <c r="C573" s="2">
        <f>IFERROR(__xludf.DUMMYFUNCTION("""COMPUTED_VALUE"""),620.0)</f>
        <v>620</v>
      </c>
      <c r="D573" s="2">
        <f>IFERROR(__xludf.DUMMYFUNCTION("""COMPUTED_VALUE"""),610.0)</f>
        <v>610</v>
      </c>
      <c r="E573" s="2">
        <f>IFERROR(__xludf.DUMMYFUNCTION("""COMPUTED_VALUE"""),615.0)</f>
        <v>615</v>
      </c>
      <c r="F573" s="2">
        <f>IFERROR(__xludf.DUMMYFUNCTION("""COMPUTED_VALUE"""),4.64528E7)</f>
        <v>46452800</v>
      </c>
      <c r="G573" s="2">
        <f t="shared" si="1"/>
        <v>10</v>
      </c>
    </row>
    <row r="574" ht="15.75" customHeight="1">
      <c r="A574" s="1">
        <f>IFERROR(__xludf.DUMMYFUNCTION("""COMPUTED_VALUE"""),45383.66666666667)</f>
        <v>45383.66667</v>
      </c>
      <c r="B574" s="2">
        <f>IFERROR(__xludf.DUMMYFUNCTION("""COMPUTED_VALUE"""),615.0)</f>
        <v>615</v>
      </c>
      <c r="C574" s="2">
        <f>IFERROR(__xludf.DUMMYFUNCTION("""COMPUTED_VALUE"""),615.0)</f>
        <v>615</v>
      </c>
      <c r="D574" s="2">
        <f>IFERROR(__xludf.DUMMYFUNCTION("""COMPUTED_VALUE"""),605.0)</f>
        <v>605</v>
      </c>
      <c r="E574" s="2">
        <f>IFERROR(__xludf.DUMMYFUNCTION("""COMPUTED_VALUE"""),615.0)</f>
        <v>615</v>
      </c>
      <c r="F574" s="2">
        <f>IFERROR(__xludf.DUMMYFUNCTION("""COMPUTED_VALUE"""),6.5853E7)</f>
        <v>65853000</v>
      </c>
      <c r="G574" s="2">
        <f t="shared" si="1"/>
        <v>10</v>
      </c>
    </row>
    <row r="575" ht="15.75" customHeight="1">
      <c r="A575" s="1">
        <f>IFERROR(__xludf.DUMMYFUNCTION("""COMPUTED_VALUE"""),45384.66666666667)</f>
        <v>45384.66667</v>
      </c>
      <c r="B575" s="2">
        <f>IFERROR(__xludf.DUMMYFUNCTION("""COMPUTED_VALUE"""),615.0)</f>
        <v>615</v>
      </c>
      <c r="C575" s="2">
        <f>IFERROR(__xludf.DUMMYFUNCTION("""COMPUTED_VALUE"""),620.0)</f>
        <v>620</v>
      </c>
      <c r="D575" s="2">
        <f>IFERROR(__xludf.DUMMYFUNCTION("""COMPUTED_VALUE"""),605.0)</f>
        <v>605</v>
      </c>
      <c r="E575" s="2">
        <f>IFERROR(__xludf.DUMMYFUNCTION("""COMPUTED_VALUE"""),620.0)</f>
        <v>620</v>
      </c>
      <c r="F575" s="2">
        <f>IFERROR(__xludf.DUMMYFUNCTION("""COMPUTED_VALUE"""),4.18686E7)</f>
        <v>41868600</v>
      </c>
      <c r="G575" s="2">
        <f t="shared" si="1"/>
        <v>15</v>
      </c>
    </row>
    <row r="576" ht="15.75" customHeight="1">
      <c r="A576" s="1">
        <f>IFERROR(__xludf.DUMMYFUNCTION("""COMPUTED_VALUE"""),45385.66666666667)</f>
        <v>45385.66667</v>
      </c>
      <c r="B576" s="2">
        <f>IFERROR(__xludf.DUMMYFUNCTION("""COMPUTED_VALUE"""),620.0)</f>
        <v>620</v>
      </c>
      <c r="C576" s="2">
        <f>IFERROR(__xludf.DUMMYFUNCTION("""COMPUTED_VALUE"""),625.0)</f>
        <v>625</v>
      </c>
      <c r="D576" s="2">
        <f>IFERROR(__xludf.DUMMYFUNCTION("""COMPUTED_VALUE"""),615.0)</f>
        <v>615</v>
      </c>
      <c r="E576" s="2">
        <f>IFERROR(__xludf.DUMMYFUNCTION("""COMPUTED_VALUE"""),620.0)</f>
        <v>620</v>
      </c>
      <c r="F576" s="2">
        <f>IFERROR(__xludf.DUMMYFUNCTION("""COMPUTED_VALUE"""),2.09576E7)</f>
        <v>20957600</v>
      </c>
      <c r="G576" s="2">
        <f t="shared" si="1"/>
        <v>10</v>
      </c>
    </row>
    <row r="577" ht="15.75" customHeight="1">
      <c r="A577" s="1">
        <f>IFERROR(__xludf.DUMMYFUNCTION("""COMPUTED_VALUE"""),45386.66666666667)</f>
        <v>45386.66667</v>
      </c>
      <c r="B577" s="2">
        <f>IFERROR(__xludf.DUMMYFUNCTION("""COMPUTED_VALUE"""),620.0)</f>
        <v>620</v>
      </c>
      <c r="C577" s="2">
        <f>IFERROR(__xludf.DUMMYFUNCTION("""COMPUTED_VALUE"""),640.0)</f>
        <v>640</v>
      </c>
      <c r="D577" s="2">
        <f>IFERROR(__xludf.DUMMYFUNCTION("""COMPUTED_VALUE"""),615.0)</f>
        <v>615</v>
      </c>
      <c r="E577" s="2">
        <f>IFERROR(__xludf.DUMMYFUNCTION("""COMPUTED_VALUE"""),635.0)</f>
        <v>635</v>
      </c>
      <c r="F577" s="2">
        <f>IFERROR(__xludf.DUMMYFUNCTION("""COMPUTED_VALUE"""),4.13921E7)</f>
        <v>41392100</v>
      </c>
      <c r="G577" s="2">
        <f t="shared" si="1"/>
        <v>25</v>
      </c>
    </row>
    <row r="578" ht="15.75" customHeight="1">
      <c r="A578" s="1">
        <f>IFERROR(__xludf.DUMMYFUNCTION("""COMPUTED_VALUE"""),45387.66666666667)</f>
        <v>45387.66667</v>
      </c>
      <c r="B578" s="2">
        <f>IFERROR(__xludf.DUMMYFUNCTION("""COMPUTED_VALUE"""),635.0)</f>
        <v>635</v>
      </c>
      <c r="C578" s="2">
        <f>IFERROR(__xludf.DUMMYFUNCTION("""COMPUTED_VALUE"""),640.0)</f>
        <v>640</v>
      </c>
      <c r="D578" s="2">
        <f>IFERROR(__xludf.DUMMYFUNCTION("""COMPUTED_VALUE"""),630.0)</f>
        <v>630</v>
      </c>
      <c r="E578" s="2">
        <f>IFERROR(__xludf.DUMMYFUNCTION("""COMPUTED_VALUE"""),630.0)</f>
        <v>630</v>
      </c>
      <c r="F578" s="2">
        <f>IFERROR(__xludf.DUMMYFUNCTION("""COMPUTED_VALUE"""),2.53597E7)</f>
        <v>25359700</v>
      </c>
      <c r="G578" s="2">
        <f t="shared" si="1"/>
        <v>10</v>
      </c>
    </row>
    <row r="579" ht="15.75" customHeight="1">
      <c r="A579" s="1">
        <f>IFERROR(__xludf.DUMMYFUNCTION("""COMPUTED_VALUE"""),45398.66666666667)</f>
        <v>45398.66667</v>
      </c>
      <c r="B579" s="2">
        <f>IFERROR(__xludf.DUMMYFUNCTION("""COMPUTED_VALUE"""),625.0)</f>
        <v>625</v>
      </c>
      <c r="C579" s="2">
        <f>IFERROR(__xludf.DUMMYFUNCTION("""COMPUTED_VALUE"""),630.0)</f>
        <v>630</v>
      </c>
      <c r="D579" s="2">
        <f>IFERROR(__xludf.DUMMYFUNCTION("""COMPUTED_VALUE"""),595.0)</f>
        <v>595</v>
      </c>
      <c r="E579" s="2">
        <f>IFERROR(__xludf.DUMMYFUNCTION("""COMPUTED_VALUE"""),600.0)</f>
        <v>600</v>
      </c>
      <c r="F579" s="2">
        <f>IFERROR(__xludf.DUMMYFUNCTION("""COMPUTED_VALUE"""),7.18626E7)</f>
        <v>71862600</v>
      </c>
      <c r="G579" s="2">
        <f t="shared" si="1"/>
        <v>35</v>
      </c>
    </row>
    <row r="580" ht="15.75" customHeight="1">
      <c r="A580" s="1">
        <f>IFERROR(__xludf.DUMMYFUNCTION("""COMPUTED_VALUE"""),45399.66666666667)</f>
        <v>45399.66667</v>
      </c>
      <c r="B580" s="2">
        <f>IFERROR(__xludf.DUMMYFUNCTION("""COMPUTED_VALUE"""),600.0)</f>
        <v>600</v>
      </c>
      <c r="C580" s="2">
        <f>IFERROR(__xludf.DUMMYFUNCTION("""COMPUTED_VALUE"""),610.0)</f>
        <v>610</v>
      </c>
      <c r="D580" s="2">
        <f>IFERROR(__xludf.DUMMYFUNCTION("""COMPUTED_VALUE"""),595.0)</f>
        <v>595</v>
      </c>
      <c r="E580" s="2">
        <f>IFERROR(__xludf.DUMMYFUNCTION("""COMPUTED_VALUE"""),595.0)</f>
        <v>595</v>
      </c>
      <c r="F580" s="2">
        <f>IFERROR(__xludf.DUMMYFUNCTION("""COMPUTED_VALUE"""),4.64107E7)</f>
        <v>46410700</v>
      </c>
      <c r="G580" s="2">
        <f t="shared" si="1"/>
        <v>15</v>
      </c>
    </row>
    <row r="581" ht="15.75" customHeight="1">
      <c r="A581" s="1">
        <f>IFERROR(__xludf.DUMMYFUNCTION("""COMPUTED_VALUE"""),45400.66666666667)</f>
        <v>45400.66667</v>
      </c>
      <c r="B581" s="2">
        <f>IFERROR(__xludf.DUMMYFUNCTION("""COMPUTED_VALUE"""),600.0)</f>
        <v>600</v>
      </c>
      <c r="C581" s="2">
        <f>IFERROR(__xludf.DUMMYFUNCTION("""COMPUTED_VALUE"""),610.0)</f>
        <v>610</v>
      </c>
      <c r="D581" s="2">
        <f>IFERROR(__xludf.DUMMYFUNCTION("""COMPUTED_VALUE"""),595.0)</f>
        <v>595</v>
      </c>
      <c r="E581" s="2">
        <f>IFERROR(__xludf.DUMMYFUNCTION("""COMPUTED_VALUE"""),595.0)</f>
        <v>595</v>
      </c>
      <c r="F581" s="2">
        <f>IFERROR(__xludf.DUMMYFUNCTION("""COMPUTED_VALUE"""),2.14636E7)</f>
        <v>21463600</v>
      </c>
      <c r="G581" s="2">
        <f t="shared" si="1"/>
        <v>15</v>
      </c>
    </row>
    <row r="582" ht="15.75" customHeight="1">
      <c r="A582" s="1">
        <f>IFERROR(__xludf.DUMMYFUNCTION("""COMPUTED_VALUE"""),45401.66666666667)</f>
        <v>45401.66667</v>
      </c>
      <c r="B582" s="2">
        <f>IFERROR(__xludf.DUMMYFUNCTION("""COMPUTED_VALUE"""),595.0)</f>
        <v>595</v>
      </c>
      <c r="C582" s="2">
        <f>IFERROR(__xludf.DUMMYFUNCTION("""COMPUTED_VALUE"""),595.0)</f>
        <v>595</v>
      </c>
      <c r="D582" s="2">
        <f>IFERROR(__xludf.DUMMYFUNCTION("""COMPUTED_VALUE"""),570.0)</f>
        <v>570</v>
      </c>
      <c r="E582" s="2">
        <f>IFERROR(__xludf.DUMMYFUNCTION("""COMPUTED_VALUE"""),585.0)</f>
        <v>585</v>
      </c>
      <c r="F582" s="2">
        <f>IFERROR(__xludf.DUMMYFUNCTION("""COMPUTED_VALUE"""),5.71203E7)</f>
        <v>57120300</v>
      </c>
      <c r="G582" s="2">
        <f t="shared" si="1"/>
        <v>25</v>
      </c>
    </row>
    <row r="583" ht="15.75" customHeight="1">
      <c r="A583" s="1">
        <f>IFERROR(__xludf.DUMMYFUNCTION("""COMPUTED_VALUE"""),45404.66666666667)</f>
        <v>45404.66667</v>
      </c>
      <c r="B583" s="2">
        <f>IFERROR(__xludf.DUMMYFUNCTION("""COMPUTED_VALUE"""),590.0)</f>
        <v>590</v>
      </c>
      <c r="C583" s="2">
        <f>IFERROR(__xludf.DUMMYFUNCTION("""COMPUTED_VALUE"""),590.0)</f>
        <v>590</v>
      </c>
      <c r="D583" s="2">
        <f>IFERROR(__xludf.DUMMYFUNCTION("""COMPUTED_VALUE"""),575.0)</f>
        <v>575</v>
      </c>
      <c r="E583" s="2">
        <f>IFERROR(__xludf.DUMMYFUNCTION("""COMPUTED_VALUE"""),580.0)</f>
        <v>580</v>
      </c>
      <c r="F583" s="2">
        <f>IFERROR(__xludf.DUMMYFUNCTION("""COMPUTED_VALUE"""),2.63613E7)</f>
        <v>26361300</v>
      </c>
      <c r="G583" s="2">
        <f t="shared" si="1"/>
        <v>15</v>
      </c>
    </row>
    <row r="584" ht="15.75" customHeight="1">
      <c r="A584" s="1">
        <f>IFERROR(__xludf.DUMMYFUNCTION("""COMPUTED_VALUE"""),45405.66666666667)</f>
        <v>45405.66667</v>
      </c>
      <c r="B584" s="2">
        <f>IFERROR(__xludf.DUMMYFUNCTION("""COMPUTED_VALUE"""),585.0)</f>
        <v>585</v>
      </c>
      <c r="C584" s="2">
        <f>IFERROR(__xludf.DUMMYFUNCTION("""COMPUTED_VALUE"""),595.0)</f>
        <v>595</v>
      </c>
      <c r="D584" s="2">
        <f>IFERROR(__xludf.DUMMYFUNCTION("""COMPUTED_VALUE"""),580.0)</f>
        <v>580</v>
      </c>
      <c r="E584" s="2">
        <f>IFERROR(__xludf.DUMMYFUNCTION("""COMPUTED_VALUE"""),585.0)</f>
        <v>585</v>
      </c>
      <c r="F584" s="2">
        <f>IFERROR(__xludf.DUMMYFUNCTION("""COMPUTED_VALUE"""),2.22871E7)</f>
        <v>22287100</v>
      </c>
      <c r="G584" s="2">
        <f t="shared" si="1"/>
        <v>15</v>
      </c>
    </row>
    <row r="585" ht="15.75" customHeight="1">
      <c r="A585" s="1">
        <f>IFERROR(__xludf.DUMMYFUNCTION("""COMPUTED_VALUE"""),45406.66666666667)</f>
        <v>45406.66667</v>
      </c>
      <c r="B585" s="2">
        <f>IFERROR(__xludf.DUMMYFUNCTION("""COMPUTED_VALUE"""),585.0)</f>
        <v>585</v>
      </c>
      <c r="C585" s="2">
        <f>IFERROR(__xludf.DUMMYFUNCTION("""COMPUTED_VALUE"""),590.0)</f>
        <v>590</v>
      </c>
      <c r="D585" s="2">
        <f>IFERROR(__xludf.DUMMYFUNCTION("""COMPUTED_VALUE"""),580.0)</f>
        <v>580</v>
      </c>
      <c r="E585" s="2">
        <f>IFERROR(__xludf.DUMMYFUNCTION("""COMPUTED_VALUE"""),585.0)</f>
        <v>585</v>
      </c>
      <c r="F585" s="2">
        <f>IFERROR(__xludf.DUMMYFUNCTION("""COMPUTED_VALUE"""),2.11089E7)</f>
        <v>21108900</v>
      </c>
      <c r="G585" s="2">
        <f t="shared" si="1"/>
        <v>10</v>
      </c>
    </row>
    <row r="586" ht="15.75" customHeight="1">
      <c r="A586" s="1">
        <f>IFERROR(__xludf.DUMMYFUNCTION("""COMPUTED_VALUE"""),45407.66666666667)</f>
        <v>45407.66667</v>
      </c>
      <c r="B586" s="2">
        <f>IFERROR(__xludf.DUMMYFUNCTION("""COMPUTED_VALUE"""),585.0)</f>
        <v>585</v>
      </c>
      <c r="C586" s="2">
        <f>IFERROR(__xludf.DUMMYFUNCTION("""COMPUTED_VALUE"""),590.0)</f>
        <v>590</v>
      </c>
      <c r="D586" s="2">
        <f>IFERROR(__xludf.DUMMYFUNCTION("""COMPUTED_VALUE"""),575.0)</f>
        <v>575</v>
      </c>
      <c r="E586" s="2">
        <f>IFERROR(__xludf.DUMMYFUNCTION("""COMPUTED_VALUE"""),585.0)</f>
        <v>585</v>
      </c>
      <c r="F586" s="2">
        <f>IFERROR(__xludf.DUMMYFUNCTION("""COMPUTED_VALUE"""),2.0162E7)</f>
        <v>20162000</v>
      </c>
      <c r="G586" s="2">
        <f t="shared" si="1"/>
        <v>15</v>
      </c>
    </row>
    <row r="587" ht="15.75" customHeight="1">
      <c r="A587" s="1">
        <f>IFERROR(__xludf.DUMMYFUNCTION("""COMPUTED_VALUE"""),45408.66666666667)</f>
        <v>45408.66667</v>
      </c>
      <c r="B587" s="2">
        <f>IFERROR(__xludf.DUMMYFUNCTION("""COMPUTED_VALUE"""),585.0)</f>
        <v>585</v>
      </c>
      <c r="C587" s="2">
        <f>IFERROR(__xludf.DUMMYFUNCTION("""COMPUTED_VALUE"""),585.0)</f>
        <v>585</v>
      </c>
      <c r="D587" s="2">
        <f>IFERROR(__xludf.DUMMYFUNCTION("""COMPUTED_VALUE"""),575.0)</f>
        <v>575</v>
      </c>
      <c r="E587" s="2">
        <f>IFERROR(__xludf.DUMMYFUNCTION("""COMPUTED_VALUE"""),580.0)</f>
        <v>580</v>
      </c>
      <c r="F587" s="2">
        <f>IFERROR(__xludf.DUMMYFUNCTION("""COMPUTED_VALUE"""),1.99747E7)</f>
        <v>19974700</v>
      </c>
      <c r="G587" s="2">
        <f t="shared" si="1"/>
        <v>10</v>
      </c>
    </row>
    <row r="588" ht="15.75" customHeight="1">
      <c r="A588" s="1">
        <f>IFERROR(__xludf.DUMMYFUNCTION("""COMPUTED_VALUE"""),45411.66666666667)</f>
        <v>45411.66667</v>
      </c>
      <c r="B588" s="2">
        <f>IFERROR(__xludf.DUMMYFUNCTION("""COMPUTED_VALUE"""),580.0)</f>
        <v>580</v>
      </c>
      <c r="C588" s="2">
        <f>IFERROR(__xludf.DUMMYFUNCTION("""COMPUTED_VALUE"""),580.0)</f>
        <v>580</v>
      </c>
      <c r="D588" s="2">
        <f>IFERROR(__xludf.DUMMYFUNCTION("""COMPUTED_VALUE"""),570.0)</f>
        <v>570</v>
      </c>
      <c r="E588" s="2">
        <f>IFERROR(__xludf.DUMMYFUNCTION("""COMPUTED_VALUE"""),580.0)</f>
        <v>580</v>
      </c>
      <c r="F588" s="2">
        <f>IFERROR(__xludf.DUMMYFUNCTION("""COMPUTED_VALUE"""),2.7706E7)</f>
        <v>27706000</v>
      </c>
      <c r="G588" s="2">
        <f t="shared" si="1"/>
        <v>10</v>
      </c>
    </row>
    <row r="589" ht="15.75" customHeight="1">
      <c r="A589" s="1">
        <f>IFERROR(__xludf.DUMMYFUNCTION("""COMPUTED_VALUE"""),45412.66666666667)</f>
        <v>45412.66667</v>
      </c>
      <c r="B589" s="2">
        <f>IFERROR(__xludf.DUMMYFUNCTION("""COMPUTED_VALUE"""),575.0)</f>
        <v>575</v>
      </c>
      <c r="C589" s="2">
        <f>IFERROR(__xludf.DUMMYFUNCTION("""COMPUTED_VALUE"""),580.0)</f>
        <v>580</v>
      </c>
      <c r="D589" s="2">
        <f>IFERROR(__xludf.DUMMYFUNCTION("""COMPUTED_VALUE"""),570.0)</f>
        <v>570</v>
      </c>
      <c r="E589" s="2">
        <f>IFERROR(__xludf.DUMMYFUNCTION("""COMPUTED_VALUE"""),570.0)</f>
        <v>570</v>
      </c>
      <c r="F589" s="2">
        <f>IFERROR(__xludf.DUMMYFUNCTION("""COMPUTED_VALUE"""),3.82418E7)</f>
        <v>38241800</v>
      </c>
      <c r="G589" s="2">
        <f t="shared" si="1"/>
        <v>10</v>
      </c>
    </row>
    <row r="590" ht="15.75" customHeight="1">
      <c r="A590" s="1">
        <f>IFERROR(__xludf.DUMMYFUNCTION("""COMPUTED_VALUE"""),45414.66666666667)</f>
        <v>45414.66667</v>
      </c>
      <c r="B590" s="2">
        <f>IFERROR(__xludf.DUMMYFUNCTION("""COMPUTED_VALUE"""),570.0)</f>
        <v>570</v>
      </c>
      <c r="C590" s="2">
        <f>IFERROR(__xludf.DUMMYFUNCTION("""COMPUTED_VALUE"""),575.0)</f>
        <v>575</v>
      </c>
      <c r="D590" s="2">
        <f>IFERROR(__xludf.DUMMYFUNCTION("""COMPUTED_VALUE"""),565.0)</f>
        <v>565</v>
      </c>
      <c r="E590" s="2">
        <f>IFERROR(__xludf.DUMMYFUNCTION("""COMPUTED_VALUE"""),570.0)</f>
        <v>570</v>
      </c>
      <c r="F590" s="2">
        <f>IFERROR(__xludf.DUMMYFUNCTION("""COMPUTED_VALUE"""),2.26185E7)</f>
        <v>22618500</v>
      </c>
      <c r="G590" s="2">
        <f t="shared" si="1"/>
        <v>10</v>
      </c>
    </row>
    <row r="591" ht="15.75" customHeight="1">
      <c r="A591" s="1">
        <f>IFERROR(__xludf.DUMMYFUNCTION("""COMPUTED_VALUE"""),45415.66666666667)</f>
        <v>45415.66667</v>
      </c>
      <c r="B591" s="2">
        <f>IFERROR(__xludf.DUMMYFUNCTION("""COMPUTED_VALUE"""),570.0)</f>
        <v>570</v>
      </c>
      <c r="C591" s="2">
        <f>IFERROR(__xludf.DUMMYFUNCTION("""COMPUTED_VALUE"""),575.0)</f>
        <v>575</v>
      </c>
      <c r="D591" s="2">
        <f>IFERROR(__xludf.DUMMYFUNCTION("""COMPUTED_VALUE"""),550.0)</f>
        <v>550</v>
      </c>
      <c r="E591" s="2">
        <f>IFERROR(__xludf.DUMMYFUNCTION("""COMPUTED_VALUE"""),555.0)</f>
        <v>555</v>
      </c>
      <c r="F591" s="2">
        <f>IFERROR(__xludf.DUMMYFUNCTION("""COMPUTED_VALUE"""),4.76347E7)</f>
        <v>47634700</v>
      </c>
      <c r="G591" s="2">
        <f t="shared" si="1"/>
        <v>25</v>
      </c>
    </row>
    <row r="592" ht="15.75" customHeight="1">
      <c r="A592" s="1">
        <f>IFERROR(__xludf.DUMMYFUNCTION("""COMPUTED_VALUE"""),45418.66666666667)</f>
        <v>45418.66667</v>
      </c>
      <c r="B592" s="2">
        <f>IFERROR(__xludf.DUMMYFUNCTION("""COMPUTED_VALUE"""),555.0)</f>
        <v>555</v>
      </c>
      <c r="C592" s="2">
        <f>IFERROR(__xludf.DUMMYFUNCTION("""COMPUTED_VALUE"""),580.0)</f>
        <v>580</v>
      </c>
      <c r="D592" s="2">
        <f>IFERROR(__xludf.DUMMYFUNCTION("""COMPUTED_VALUE"""),555.0)</f>
        <v>555</v>
      </c>
      <c r="E592" s="2">
        <f>IFERROR(__xludf.DUMMYFUNCTION("""COMPUTED_VALUE"""),575.0)</f>
        <v>575</v>
      </c>
      <c r="F592" s="2">
        <f>IFERROR(__xludf.DUMMYFUNCTION("""COMPUTED_VALUE"""),3.70266E7)</f>
        <v>37026600</v>
      </c>
      <c r="G592" s="2">
        <f t="shared" si="1"/>
        <v>25</v>
      </c>
    </row>
    <row r="593" ht="15.75" customHeight="1">
      <c r="A593" s="1">
        <f>IFERROR(__xludf.DUMMYFUNCTION("""COMPUTED_VALUE"""),45419.66666666667)</f>
        <v>45419.66667</v>
      </c>
      <c r="B593" s="2">
        <f>IFERROR(__xludf.DUMMYFUNCTION("""COMPUTED_VALUE"""),575.0)</f>
        <v>575</v>
      </c>
      <c r="C593" s="2">
        <f>IFERROR(__xludf.DUMMYFUNCTION("""COMPUTED_VALUE"""),580.0)</f>
        <v>580</v>
      </c>
      <c r="D593" s="2">
        <f>IFERROR(__xludf.DUMMYFUNCTION("""COMPUTED_VALUE"""),560.0)</f>
        <v>560</v>
      </c>
      <c r="E593" s="2">
        <f>IFERROR(__xludf.DUMMYFUNCTION("""COMPUTED_VALUE"""),575.0)</f>
        <v>575</v>
      </c>
      <c r="F593" s="2">
        <f>IFERROR(__xludf.DUMMYFUNCTION("""COMPUTED_VALUE"""),2.9476E7)</f>
        <v>29476000</v>
      </c>
      <c r="G593" s="2">
        <f t="shared" si="1"/>
        <v>20</v>
      </c>
    </row>
    <row r="594" ht="15.75" customHeight="1">
      <c r="A594" s="1">
        <f>IFERROR(__xludf.DUMMYFUNCTION("""COMPUTED_VALUE"""),45420.66666666667)</f>
        <v>45420.66667</v>
      </c>
      <c r="B594" s="2">
        <f>IFERROR(__xludf.DUMMYFUNCTION("""COMPUTED_VALUE"""),575.0)</f>
        <v>575</v>
      </c>
      <c r="C594" s="2">
        <f>IFERROR(__xludf.DUMMYFUNCTION("""COMPUTED_VALUE"""),580.0)</f>
        <v>580</v>
      </c>
      <c r="D594" s="2">
        <f>IFERROR(__xludf.DUMMYFUNCTION("""COMPUTED_VALUE"""),560.0)</f>
        <v>560</v>
      </c>
      <c r="E594" s="2">
        <f>IFERROR(__xludf.DUMMYFUNCTION("""COMPUTED_VALUE"""),570.0)</f>
        <v>570</v>
      </c>
      <c r="F594" s="2">
        <f>IFERROR(__xludf.DUMMYFUNCTION("""COMPUTED_VALUE"""),2.27165E7)</f>
        <v>22716500</v>
      </c>
      <c r="G594" s="2">
        <f t="shared" si="1"/>
        <v>20</v>
      </c>
    </row>
    <row r="595" ht="15.75" customHeight="1">
      <c r="A595" s="1">
        <f>IFERROR(__xludf.DUMMYFUNCTION("""COMPUTED_VALUE"""),45425.66666666667)</f>
        <v>45425.66667</v>
      </c>
      <c r="B595" s="2">
        <f>IFERROR(__xludf.DUMMYFUNCTION("""COMPUTED_VALUE"""),570.0)</f>
        <v>570</v>
      </c>
      <c r="C595" s="2">
        <f>IFERROR(__xludf.DUMMYFUNCTION("""COMPUTED_VALUE"""),580.0)</f>
        <v>580</v>
      </c>
      <c r="D595" s="2">
        <f>IFERROR(__xludf.DUMMYFUNCTION("""COMPUTED_VALUE"""),560.0)</f>
        <v>560</v>
      </c>
      <c r="E595" s="2">
        <f>IFERROR(__xludf.DUMMYFUNCTION("""COMPUTED_VALUE"""),570.0)</f>
        <v>570</v>
      </c>
      <c r="F595" s="2">
        <f>IFERROR(__xludf.DUMMYFUNCTION("""COMPUTED_VALUE"""),3.19424E7)</f>
        <v>31942400</v>
      </c>
      <c r="G595" s="2">
        <f t="shared" si="1"/>
        <v>20</v>
      </c>
    </row>
    <row r="596" ht="15.75" customHeight="1">
      <c r="A596" s="1">
        <f>IFERROR(__xludf.DUMMYFUNCTION("""COMPUTED_VALUE"""),45426.66666666667)</f>
        <v>45426.66667</v>
      </c>
      <c r="B596" s="2">
        <f>IFERROR(__xludf.DUMMYFUNCTION("""COMPUTED_VALUE"""),575.0)</f>
        <v>575</v>
      </c>
      <c r="C596" s="2">
        <f>IFERROR(__xludf.DUMMYFUNCTION("""COMPUTED_VALUE"""),580.0)</f>
        <v>580</v>
      </c>
      <c r="D596" s="2">
        <f>IFERROR(__xludf.DUMMYFUNCTION("""COMPUTED_VALUE"""),565.0)</f>
        <v>565</v>
      </c>
      <c r="E596" s="2">
        <f>IFERROR(__xludf.DUMMYFUNCTION("""COMPUTED_VALUE"""),570.0)</f>
        <v>570</v>
      </c>
      <c r="F596" s="2">
        <f>IFERROR(__xludf.DUMMYFUNCTION("""COMPUTED_VALUE"""),1.12529E7)</f>
        <v>11252900</v>
      </c>
      <c r="G596" s="2">
        <f t="shared" si="1"/>
        <v>15</v>
      </c>
    </row>
    <row r="597" ht="15.75" customHeight="1">
      <c r="A597" s="1">
        <f>IFERROR(__xludf.DUMMYFUNCTION("""COMPUTED_VALUE"""),45427.66666666667)</f>
        <v>45427.66667</v>
      </c>
      <c r="B597" s="2">
        <f>IFERROR(__xludf.DUMMYFUNCTION("""COMPUTED_VALUE"""),570.0)</f>
        <v>570</v>
      </c>
      <c r="C597" s="2">
        <f>IFERROR(__xludf.DUMMYFUNCTION("""COMPUTED_VALUE"""),590.0)</f>
        <v>590</v>
      </c>
      <c r="D597" s="2">
        <f>IFERROR(__xludf.DUMMYFUNCTION("""COMPUTED_VALUE"""),570.0)</f>
        <v>570</v>
      </c>
      <c r="E597" s="2">
        <f>IFERROR(__xludf.DUMMYFUNCTION("""COMPUTED_VALUE"""),580.0)</f>
        <v>580</v>
      </c>
      <c r="F597" s="2">
        <f>IFERROR(__xludf.DUMMYFUNCTION("""COMPUTED_VALUE"""),1.90518E7)</f>
        <v>19051800</v>
      </c>
      <c r="G597" s="2">
        <f t="shared" si="1"/>
        <v>20</v>
      </c>
    </row>
    <row r="598" ht="15.75" customHeight="1">
      <c r="A598" s="1">
        <f>IFERROR(__xludf.DUMMYFUNCTION("""COMPUTED_VALUE"""),45428.66666666667)</f>
        <v>45428.66667</v>
      </c>
      <c r="B598" s="2">
        <f>IFERROR(__xludf.DUMMYFUNCTION("""COMPUTED_VALUE"""),585.0)</f>
        <v>585</v>
      </c>
      <c r="C598" s="2">
        <f>IFERROR(__xludf.DUMMYFUNCTION("""COMPUTED_VALUE"""),610.0)</f>
        <v>610</v>
      </c>
      <c r="D598" s="2">
        <f>IFERROR(__xludf.DUMMYFUNCTION("""COMPUTED_VALUE"""),580.0)</f>
        <v>580</v>
      </c>
      <c r="E598" s="2">
        <f>IFERROR(__xludf.DUMMYFUNCTION("""COMPUTED_VALUE"""),610.0)</f>
        <v>610</v>
      </c>
      <c r="F598" s="2">
        <f>IFERROR(__xludf.DUMMYFUNCTION("""COMPUTED_VALUE"""),2.25081E7)</f>
        <v>22508100</v>
      </c>
      <c r="G598" s="2">
        <f t="shared" si="1"/>
        <v>30</v>
      </c>
    </row>
    <row r="599" ht="15.75" customHeight="1">
      <c r="A599" s="1">
        <f>IFERROR(__xludf.DUMMYFUNCTION("""COMPUTED_VALUE"""),45429.66666666667)</f>
        <v>45429.66667</v>
      </c>
      <c r="B599" s="2">
        <f>IFERROR(__xludf.DUMMYFUNCTION("""COMPUTED_VALUE"""),610.0)</f>
        <v>610</v>
      </c>
      <c r="C599" s="2">
        <f>IFERROR(__xludf.DUMMYFUNCTION("""COMPUTED_VALUE"""),620.0)</f>
        <v>620</v>
      </c>
      <c r="D599" s="2">
        <f>IFERROR(__xludf.DUMMYFUNCTION("""COMPUTED_VALUE"""),600.0)</f>
        <v>600</v>
      </c>
      <c r="E599" s="2">
        <f>IFERROR(__xludf.DUMMYFUNCTION("""COMPUTED_VALUE"""),610.0)</f>
        <v>610</v>
      </c>
      <c r="F599" s="2">
        <f>IFERROR(__xludf.DUMMYFUNCTION("""COMPUTED_VALUE"""),3.67285E7)</f>
        <v>36728500</v>
      </c>
      <c r="G599" s="2">
        <f t="shared" si="1"/>
        <v>20</v>
      </c>
    </row>
    <row r="600" ht="15.75" customHeight="1">
      <c r="A600" s="1">
        <f>IFERROR(__xludf.DUMMYFUNCTION("""COMPUTED_VALUE"""),45432.66666666667)</f>
        <v>45432.66667</v>
      </c>
      <c r="B600" s="2">
        <f>IFERROR(__xludf.DUMMYFUNCTION("""COMPUTED_VALUE"""),610.0)</f>
        <v>610</v>
      </c>
      <c r="C600" s="2">
        <f>IFERROR(__xludf.DUMMYFUNCTION("""COMPUTED_VALUE"""),615.0)</f>
        <v>615</v>
      </c>
      <c r="D600" s="2">
        <f>IFERROR(__xludf.DUMMYFUNCTION("""COMPUTED_VALUE"""),590.0)</f>
        <v>590</v>
      </c>
      <c r="E600" s="2">
        <f>IFERROR(__xludf.DUMMYFUNCTION("""COMPUTED_VALUE"""),595.0)</f>
        <v>595</v>
      </c>
      <c r="F600" s="2">
        <f>IFERROR(__xludf.DUMMYFUNCTION("""COMPUTED_VALUE"""),2.38606E7)</f>
        <v>23860600</v>
      </c>
      <c r="G600" s="2">
        <f t="shared" si="1"/>
        <v>25</v>
      </c>
    </row>
    <row r="601" ht="15.75" customHeight="1">
      <c r="A601" s="1">
        <f>IFERROR(__xludf.DUMMYFUNCTION("""COMPUTED_VALUE"""),45433.66666666667)</f>
        <v>45433.66667</v>
      </c>
      <c r="B601" s="2">
        <f>IFERROR(__xludf.DUMMYFUNCTION("""COMPUTED_VALUE"""),600.0)</f>
        <v>600</v>
      </c>
      <c r="C601" s="2">
        <f>IFERROR(__xludf.DUMMYFUNCTION("""COMPUTED_VALUE"""),605.0)</f>
        <v>605</v>
      </c>
      <c r="D601" s="2">
        <f>IFERROR(__xludf.DUMMYFUNCTION("""COMPUTED_VALUE"""),585.0)</f>
        <v>585</v>
      </c>
      <c r="E601" s="2">
        <f>IFERROR(__xludf.DUMMYFUNCTION("""COMPUTED_VALUE"""),600.0)</f>
        <v>600</v>
      </c>
      <c r="F601" s="2">
        <f>IFERROR(__xludf.DUMMYFUNCTION("""COMPUTED_VALUE"""),3.30529E7)</f>
        <v>33052900</v>
      </c>
      <c r="G601" s="2">
        <f t="shared" si="1"/>
        <v>20</v>
      </c>
    </row>
    <row r="602" ht="15.75" customHeight="1">
      <c r="A602" s="1">
        <f>IFERROR(__xludf.DUMMYFUNCTION("""COMPUTED_VALUE"""),45434.66666666667)</f>
        <v>45434.66667</v>
      </c>
      <c r="B602" s="2">
        <f>IFERROR(__xludf.DUMMYFUNCTION("""COMPUTED_VALUE"""),605.0)</f>
        <v>605</v>
      </c>
      <c r="C602" s="2">
        <f>IFERROR(__xludf.DUMMYFUNCTION("""COMPUTED_VALUE"""),610.0)</f>
        <v>610</v>
      </c>
      <c r="D602" s="2">
        <f>IFERROR(__xludf.DUMMYFUNCTION("""COMPUTED_VALUE"""),595.0)</f>
        <v>595</v>
      </c>
      <c r="E602" s="2">
        <f>IFERROR(__xludf.DUMMYFUNCTION("""COMPUTED_VALUE"""),605.0)</f>
        <v>605</v>
      </c>
      <c r="F602" s="2">
        <f>IFERROR(__xludf.DUMMYFUNCTION("""COMPUTED_VALUE"""),1.52553E7)</f>
        <v>15255300</v>
      </c>
      <c r="G602" s="2">
        <f t="shared" si="1"/>
        <v>15</v>
      </c>
    </row>
    <row r="603" ht="15.75" customHeight="1">
      <c r="A603" s="1">
        <f>IFERROR(__xludf.DUMMYFUNCTION("""COMPUTED_VALUE"""),45439.66666666667)</f>
        <v>45439.66667</v>
      </c>
      <c r="B603" s="2">
        <f>IFERROR(__xludf.DUMMYFUNCTION("""COMPUTED_VALUE"""),605.0)</f>
        <v>605</v>
      </c>
      <c r="C603" s="2">
        <f>IFERROR(__xludf.DUMMYFUNCTION("""COMPUTED_VALUE"""),605.0)</f>
        <v>605</v>
      </c>
      <c r="D603" s="2">
        <f>IFERROR(__xludf.DUMMYFUNCTION("""COMPUTED_VALUE"""),585.0)</f>
        <v>585</v>
      </c>
      <c r="E603" s="2">
        <f>IFERROR(__xludf.DUMMYFUNCTION("""COMPUTED_VALUE"""),595.0)</f>
        <v>595</v>
      </c>
      <c r="F603" s="2">
        <f>IFERROR(__xludf.DUMMYFUNCTION("""COMPUTED_VALUE"""),2.70547E7)</f>
        <v>27054700</v>
      </c>
      <c r="G603" s="2">
        <f t="shared" si="1"/>
        <v>20</v>
      </c>
    </row>
    <row r="604" ht="15.75" customHeight="1">
      <c r="A604" s="1">
        <f>IFERROR(__xludf.DUMMYFUNCTION("""COMPUTED_VALUE"""),45440.66666666667)</f>
        <v>45440.66667</v>
      </c>
      <c r="B604" s="2">
        <f>IFERROR(__xludf.DUMMYFUNCTION("""COMPUTED_VALUE"""),600.0)</f>
        <v>600</v>
      </c>
      <c r="C604" s="2">
        <f>IFERROR(__xludf.DUMMYFUNCTION("""COMPUTED_VALUE"""),610.0)</f>
        <v>610</v>
      </c>
      <c r="D604" s="2">
        <f>IFERROR(__xludf.DUMMYFUNCTION("""COMPUTED_VALUE"""),595.0)</f>
        <v>595</v>
      </c>
      <c r="E604" s="2">
        <f>IFERROR(__xludf.DUMMYFUNCTION("""COMPUTED_VALUE"""),605.0)</f>
        <v>605</v>
      </c>
      <c r="F604" s="2">
        <f>IFERROR(__xludf.DUMMYFUNCTION("""COMPUTED_VALUE"""),3.02341E7)</f>
        <v>30234100</v>
      </c>
      <c r="G604" s="2">
        <f t="shared" si="1"/>
        <v>15</v>
      </c>
    </row>
    <row r="605" ht="15.75" customHeight="1">
      <c r="A605" s="1">
        <f>IFERROR(__xludf.DUMMYFUNCTION("""COMPUTED_VALUE"""),45441.66666666667)</f>
        <v>45441.66667</v>
      </c>
      <c r="B605" s="2">
        <f>IFERROR(__xludf.DUMMYFUNCTION("""COMPUTED_VALUE"""),605.0)</f>
        <v>605</v>
      </c>
      <c r="C605" s="2">
        <f>IFERROR(__xludf.DUMMYFUNCTION("""COMPUTED_VALUE"""),615.0)</f>
        <v>615</v>
      </c>
      <c r="D605" s="2">
        <f>IFERROR(__xludf.DUMMYFUNCTION("""COMPUTED_VALUE"""),600.0)</f>
        <v>600</v>
      </c>
      <c r="E605" s="2">
        <f>IFERROR(__xludf.DUMMYFUNCTION("""COMPUTED_VALUE"""),610.0)</f>
        <v>610</v>
      </c>
      <c r="F605" s="2">
        <f>IFERROR(__xludf.DUMMYFUNCTION("""COMPUTED_VALUE"""),2.94822E7)</f>
        <v>29482200</v>
      </c>
      <c r="G605" s="2">
        <f t="shared" si="1"/>
        <v>15</v>
      </c>
    </row>
    <row r="606" ht="15.75" customHeight="1">
      <c r="A606" s="1">
        <f>IFERROR(__xludf.DUMMYFUNCTION("""COMPUTED_VALUE"""),45442.66666666667)</f>
        <v>45442.66667</v>
      </c>
      <c r="B606" s="2">
        <f>IFERROR(__xludf.DUMMYFUNCTION("""COMPUTED_VALUE"""),610.0)</f>
        <v>610</v>
      </c>
      <c r="C606" s="2">
        <f>IFERROR(__xludf.DUMMYFUNCTION("""COMPUTED_VALUE"""),615.0)</f>
        <v>615</v>
      </c>
      <c r="D606" s="2">
        <f>IFERROR(__xludf.DUMMYFUNCTION("""COMPUTED_VALUE"""),595.0)</f>
        <v>595</v>
      </c>
      <c r="E606" s="2">
        <f>IFERROR(__xludf.DUMMYFUNCTION("""COMPUTED_VALUE"""),605.0)</f>
        <v>605</v>
      </c>
      <c r="F606" s="2">
        <f>IFERROR(__xludf.DUMMYFUNCTION("""COMPUTED_VALUE"""),5.4329E7)</f>
        <v>54329000</v>
      </c>
      <c r="G606" s="2">
        <f t="shared" si="1"/>
        <v>20</v>
      </c>
    </row>
    <row r="607" ht="15.75" customHeight="1">
      <c r="A607" s="1">
        <f>IFERROR(__xludf.DUMMYFUNCTION("""COMPUTED_VALUE"""),45443.66666666667)</f>
        <v>45443.66667</v>
      </c>
      <c r="B607" s="2">
        <f>IFERROR(__xludf.DUMMYFUNCTION("""COMPUTED_VALUE"""),610.0)</f>
        <v>610</v>
      </c>
      <c r="C607" s="2">
        <f>IFERROR(__xludf.DUMMYFUNCTION("""COMPUTED_VALUE"""),620.0)</f>
        <v>620</v>
      </c>
      <c r="D607" s="2">
        <f>IFERROR(__xludf.DUMMYFUNCTION("""COMPUTED_VALUE"""),600.0)</f>
        <v>600</v>
      </c>
      <c r="E607" s="2">
        <f>IFERROR(__xludf.DUMMYFUNCTION("""COMPUTED_VALUE"""),610.0)</f>
        <v>610</v>
      </c>
      <c r="F607" s="2">
        <f>IFERROR(__xludf.DUMMYFUNCTION("""COMPUTED_VALUE"""),2.87653E7)</f>
        <v>28765300</v>
      </c>
      <c r="G607" s="2">
        <f t="shared" si="1"/>
        <v>20</v>
      </c>
    </row>
    <row r="608" ht="15.75" customHeight="1">
      <c r="A608" s="1">
        <f>IFERROR(__xludf.DUMMYFUNCTION("""COMPUTED_VALUE"""),45446.66666666667)</f>
        <v>45446.66667</v>
      </c>
      <c r="B608" s="2">
        <f>IFERROR(__xludf.DUMMYFUNCTION("""COMPUTED_VALUE"""),610.0)</f>
        <v>610</v>
      </c>
      <c r="C608" s="2">
        <f>IFERROR(__xludf.DUMMYFUNCTION("""COMPUTED_VALUE"""),615.0)</f>
        <v>615</v>
      </c>
      <c r="D608" s="2">
        <f>IFERROR(__xludf.DUMMYFUNCTION("""COMPUTED_VALUE"""),600.0)</f>
        <v>600</v>
      </c>
      <c r="E608" s="2">
        <f>IFERROR(__xludf.DUMMYFUNCTION("""COMPUTED_VALUE"""),615.0)</f>
        <v>615</v>
      </c>
      <c r="F608" s="2">
        <f>IFERROR(__xludf.DUMMYFUNCTION("""COMPUTED_VALUE"""),2.36063E7)</f>
        <v>23606300</v>
      </c>
      <c r="G608" s="2">
        <f t="shared" si="1"/>
        <v>15</v>
      </c>
    </row>
    <row r="609" ht="15.75" customHeight="1">
      <c r="A609" s="1">
        <f>IFERROR(__xludf.DUMMYFUNCTION("""COMPUTED_VALUE"""),45447.66666666667)</f>
        <v>45447.66667</v>
      </c>
      <c r="B609" s="2">
        <f>IFERROR(__xludf.DUMMYFUNCTION("""COMPUTED_VALUE"""),615.0)</f>
        <v>615</v>
      </c>
      <c r="C609" s="2">
        <f>IFERROR(__xludf.DUMMYFUNCTION("""COMPUTED_VALUE"""),630.0)</f>
        <v>630</v>
      </c>
      <c r="D609" s="2">
        <f>IFERROR(__xludf.DUMMYFUNCTION("""COMPUTED_VALUE"""),605.0)</f>
        <v>605</v>
      </c>
      <c r="E609" s="2">
        <f>IFERROR(__xludf.DUMMYFUNCTION("""COMPUTED_VALUE"""),630.0)</f>
        <v>630</v>
      </c>
      <c r="F609" s="2">
        <f>IFERROR(__xludf.DUMMYFUNCTION("""COMPUTED_VALUE"""),3.54603E7)</f>
        <v>35460300</v>
      </c>
      <c r="G609" s="2">
        <f t="shared" si="1"/>
        <v>25</v>
      </c>
    </row>
    <row r="610" ht="15.75" customHeight="1">
      <c r="A610" s="1">
        <f>IFERROR(__xludf.DUMMYFUNCTION("""COMPUTED_VALUE"""),45448.66666666667)</f>
        <v>45448.66667</v>
      </c>
      <c r="B610" s="2">
        <f>IFERROR(__xludf.DUMMYFUNCTION("""COMPUTED_VALUE"""),630.0)</f>
        <v>630</v>
      </c>
      <c r="C610" s="2">
        <f>IFERROR(__xludf.DUMMYFUNCTION("""COMPUTED_VALUE"""),635.0)</f>
        <v>635</v>
      </c>
      <c r="D610" s="2">
        <f>IFERROR(__xludf.DUMMYFUNCTION("""COMPUTED_VALUE"""),615.0)</f>
        <v>615</v>
      </c>
      <c r="E610" s="2">
        <f>IFERROR(__xludf.DUMMYFUNCTION("""COMPUTED_VALUE"""),630.0)</f>
        <v>630</v>
      </c>
      <c r="F610" s="2">
        <f>IFERROR(__xludf.DUMMYFUNCTION("""COMPUTED_VALUE"""),3.99819E7)</f>
        <v>39981900</v>
      </c>
      <c r="G610" s="2">
        <f t="shared" si="1"/>
        <v>20</v>
      </c>
    </row>
    <row r="611" ht="15.75" customHeight="1">
      <c r="A611" s="1">
        <f>IFERROR(__xludf.DUMMYFUNCTION("""COMPUTED_VALUE"""),45449.66666666667)</f>
        <v>45449.66667</v>
      </c>
      <c r="B611" s="2">
        <f>IFERROR(__xludf.DUMMYFUNCTION("""COMPUTED_VALUE"""),635.0)</f>
        <v>635</v>
      </c>
      <c r="C611" s="2">
        <f>IFERROR(__xludf.DUMMYFUNCTION("""COMPUTED_VALUE"""),635.0)</f>
        <v>635</v>
      </c>
      <c r="D611" s="2">
        <f>IFERROR(__xludf.DUMMYFUNCTION("""COMPUTED_VALUE"""),615.0)</f>
        <v>615</v>
      </c>
      <c r="E611" s="2">
        <f>IFERROR(__xludf.DUMMYFUNCTION("""COMPUTED_VALUE"""),630.0)</f>
        <v>630</v>
      </c>
      <c r="F611" s="2">
        <f>IFERROR(__xludf.DUMMYFUNCTION("""COMPUTED_VALUE"""),2.69571E7)</f>
        <v>26957100</v>
      </c>
      <c r="G611" s="2">
        <f t="shared" si="1"/>
        <v>20</v>
      </c>
    </row>
    <row r="612" ht="15.75" customHeight="1">
      <c r="A612" s="1">
        <f>IFERROR(__xludf.DUMMYFUNCTION("""COMPUTED_VALUE"""),45450.66666666667)</f>
        <v>45450.66667</v>
      </c>
      <c r="B612" s="2">
        <f>IFERROR(__xludf.DUMMYFUNCTION("""COMPUTED_VALUE"""),630.0)</f>
        <v>630</v>
      </c>
      <c r="C612" s="2">
        <f>IFERROR(__xludf.DUMMYFUNCTION("""COMPUTED_VALUE"""),640.0)</f>
        <v>640</v>
      </c>
      <c r="D612" s="2">
        <f>IFERROR(__xludf.DUMMYFUNCTION("""COMPUTED_VALUE"""),625.0)</f>
        <v>625</v>
      </c>
      <c r="E612" s="2">
        <f>IFERROR(__xludf.DUMMYFUNCTION("""COMPUTED_VALUE"""),635.0)</f>
        <v>635</v>
      </c>
      <c r="F612" s="2">
        <f>IFERROR(__xludf.DUMMYFUNCTION("""COMPUTED_VALUE"""),5.76939E7)</f>
        <v>57693900</v>
      </c>
      <c r="G612" s="2">
        <f t="shared" si="1"/>
        <v>15</v>
      </c>
    </row>
    <row r="613" ht="15.75" customHeight="1">
      <c r="A613" s="1">
        <f>IFERROR(__xludf.DUMMYFUNCTION("""COMPUTED_VALUE"""),45453.66666666667)</f>
        <v>45453.66667</v>
      </c>
      <c r="B613" s="2">
        <f>IFERROR(__xludf.DUMMYFUNCTION("""COMPUTED_VALUE"""),635.0)</f>
        <v>635</v>
      </c>
      <c r="C613" s="2">
        <f>IFERROR(__xludf.DUMMYFUNCTION("""COMPUTED_VALUE"""),635.0)</f>
        <v>635</v>
      </c>
      <c r="D613" s="2">
        <f>IFERROR(__xludf.DUMMYFUNCTION("""COMPUTED_VALUE"""),610.0)</f>
        <v>610</v>
      </c>
      <c r="E613" s="2">
        <f>IFERROR(__xludf.DUMMYFUNCTION("""COMPUTED_VALUE"""),635.0)</f>
        <v>635</v>
      </c>
      <c r="F613" s="2">
        <f>IFERROR(__xludf.DUMMYFUNCTION("""COMPUTED_VALUE"""),4.33778E7)</f>
        <v>43377800</v>
      </c>
      <c r="G613" s="2">
        <f t="shared" si="1"/>
        <v>25</v>
      </c>
    </row>
    <row r="614" ht="15.75" customHeight="1">
      <c r="A614" s="1">
        <f>IFERROR(__xludf.DUMMYFUNCTION("""COMPUTED_VALUE"""),45454.66666666667)</f>
        <v>45454.66667</v>
      </c>
      <c r="B614" s="2">
        <f>IFERROR(__xludf.DUMMYFUNCTION("""COMPUTED_VALUE"""),620.0)</f>
        <v>620</v>
      </c>
      <c r="C614" s="2">
        <f>IFERROR(__xludf.DUMMYFUNCTION("""COMPUTED_VALUE"""),630.0)</f>
        <v>630</v>
      </c>
      <c r="D614" s="2">
        <f>IFERROR(__xludf.DUMMYFUNCTION("""COMPUTED_VALUE"""),610.0)</f>
        <v>610</v>
      </c>
      <c r="E614" s="2">
        <f>IFERROR(__xludf.DUMMYFUNCTION("""COMPUTED_VALUE"""),625.0)</f>
        <v>625</v>
      </c>
      <c r="F614" s="2">
        <f>IFERROR(__xludf.DUMMYFUNCTION("""COMPUTED_VALUE"""),3.46628E7)</f>
        <v>34662800</v>
      </c>
      <c r="G614" s="2">
        <f t="shared" si="1"/>
        <v>25</v>
      </c>
    </row>
    <row r="615" ht="15.75" customHeight="1">
      <c r="A615" s="1">
        <f>IFERROR(__xludf.DUMMYFUNCTION("""COMPUTED_VALUE"""),45455.66666666667)</f>
        <v>45455.66667</v>
      </c>
      <c r="B615" s="2">
        <f>IFERROR(__xludf.DUMMYFUNCTION("""COMPUTED_VALUE"""),620.0)</f>
        <v>620</v>
      </c>
      <c r="C615" s="2">
        <f>IFERROR(__xludf.DUMMYFUNCTION("""COMPUTED_VALUE"""),630.0)</f>
        <v>630</v>
      </c>
      <c r="D615" s="2">
        <f>IFERROR(__xludf.DUMMYFUNCTION("""COMPUTED_VALUE"""),610.0)</f>
        <v>610</v>
      </c>
      <c r="E615" s="2">
        <f>IFERROR(__xludf.DUMMYFUNCTION("""COMPUTED_VALUE"""),620.0)</f>
        <v>620</v>
      </c>
      <c r="F615" s="2">
        <f>IFERROR(__xludf.DUMMYFUNCTION("""COMPUTED_VALUE"""),3.22035E7)</f>
        <v>32203500</v>
      </c>
      <c r="G615" s="2">
        <f t="shared" si="1"/>
        <v>20</v>
      </c>
    </row>
    <row r="616" ht="15.75" customHeight="1">
      <c r="A616" s="1">
        <f>IFERROR(__xludf.DUMMYFUNCTION("""COMPUTED_VALUE"""),45456.66666666667)</f>
        <v>45456.66667</v>
      </c>
      <c r="B616" s="2">
        <f>IFERROR(__xludf.DUMMYFUNCTION("""COMPUTED_VALUE"""),620.0)</f>
        <v>620</v>
      </c>
      <c r="C616" s="2">
        <f>IFERROR(__xludf.DUMMYFUNCTION("""COMPUTED_VALUE"""),625.0)</f>
        <v>625</v>
      </c>
      <c r="D616" s="2">
        <f>IFERROR(__xludf.DUMMYFUNCTION("""COMPUTED_VALUE"""),610.0)</f>
        <v>610</v>
      </c>
      <c r="E616" s="2">
        <f>IFERROR(__xludf.DUMMYFUNCTION("""COMPUTED_VALUE"""),625.0)</f>
        <v>625</v>
      </c>
      <c r="F616" s="2">
        <f>IFERROR(__xludf.DUMMYFUNCTION("""COMPUTED_VALUE"""),3.13379E7)</f>
        <v>31337900</v>
      </c>
      <c r="G616" s="2">
        <f t="shared" si="1"/>
        <v>15</v>
      </c>
    </row>
    <row r="617" ht="15.75" customHeight="1">
      <c r="A617" s="1">
        <f>IFERROR(__xludf.DUMMYFUNCTION("""COMPUTED_VALUE"""),45457.66666666667)</f>
        <v>45457.66667</v>
      </c>
      <c r="B617" s="2">
        <f>IFERROR(__xludf.DUMMYFUNCTION("""COMPUTED_VALUE"""),625.0)</f>
        <v>625</v>
      </c>
      <c r="C617" s="2">
        <f>IFERROR(__xludf.DUMMYFUNCTION("""COMPUTED_VALUE"""),625.0)</f>
        <v>625</v>
      </c>
      <c r="D617" s="2">
        <f>IFERROR(__xludf.DUMMYFUNCTION("""COMPUTED_VALUE"""),600.0)</f>
        <v>600</v>
      </c>
      <c r="E617" s="2">
        <f>IFERROR(__xludf.DUMMYFUNCTION("""COMPUTED_VALUE"""),605.0)</f>
        <v>605</v>
      </c>
      <c r="F617" s="2">
        <f>IFERROR(__xludf.DUMMYFUNCTION("""COMPUTED_VALUE"""),2.56504E7)</f>
        <v>25650400</v>
      </c>
      <c r="G617" s="2">
        <f t="shared" si="1"/>
        <v>25</v>
      </c>
    </row>
    <row r="618" ht="15.75" customHeight="1">
      <c r="A618" s="1">
        <f>IFERROR(__xludf.DUMMYFUNCTION("""COMPUTED_VALUE"""),45462.66666666667)</f>
        <v>45462.66667</v>
      </c>
      <c r="B618" s="2">
        <f>IFERROR(__xludf.DUMMYFUNCTION("""COMPUTED_VALUE"""),600.0)</f>
        <v>600</v>
      </c>
      <c r="C618" s="2">
        <f>IFERROR(__xludf.DUMMYFUNCTION("""COMPUTED_VALUE"""),610.0)</f>
        <v>610</v>
      </c>
      <c r="D618" s="2">
        <f>IFERROR(__xludf.DUMMYFUNCTION("""COMPUTED_VALUE"""),580.0)</f>
        <v>580</v>
      </c>
      <c r="E618" s="2">
        <f>IFERROR(__xludf.DUMMYFUNCTION("""COMPUTED_VALUE"""),610.0)</f>
        <v>610</v>
      </c>
      <c r="F618" s="2">
        <f>IFERROR(__xludf.DUMMYFUNCTION("""COMPUTED_VALUE"""),3.45044E7)</f>
        <v>34504400</v>
      </c>
      <c r="G618" s="2">
        <f t="shared" si="1"/>
        <v>30</v>
      </c>
    </row>
    <row r="619" ht="15.75" customHeight="1">
      <c r="A619" s="1">
        <f>IFERROR(__xludf.DUMMYFUNCTION("""COMPUTED_VALUE"""),45463.66666666667)</f>
        <v>45463.66667</v>
      </c>
      <c r="B619" s="2">
        <f>IFERROR(__xludf.DUMMYFUNCTION("""COMPUTED_VALUE"""),615.0)</f>
        <v>615</v>
      </c>
      <c r="C619" s="2">
        <f>IFERROR(__xludf.DUMMYFUNCTION("""COMPUTED_VALUE"""),630.0)</f>
        <v>630</v>
      </c>
      <c r="D619" s="2">
        <f>IFERROR(__xludf.DUMMYFUNCTION("""COMPUTED_VALUE"""),595.0)</f>
        <v>595</v>
      </c>
      <c r="E619" s="2">
        <f>IFERROR(__xludf.DUMMYFUNCTION("""COMPUTED_VALUE"""),630.0)</f>
        <v>630</v>
      </c>
      <c r="F619" s="2">
        <f>IFERROR(__xludf.DUMMYFUNCTION("""COMPUTED_VALUE"""),3.74008E7)</f>
        <v>37400800</v>
      </c>
      <c r="G619" s="2">
        <f t="shared" si="1"/>
        <v>35</v>
      </c>
    </row>
    <row r="620" ht="15.75" customHeight="1">
      <c r="A620" s="1">
        <f>IFERROR(__xludf.DUMMYFUNCTION("""COMPUTED_VALUE"""),45464.66666666667)</f>
        <v>45464.66667</v>
      </c>
      <c r="B620" s="2">
        <f>IFERROR(__xludf.DUMMYFUNCTION("""COMPUTED_VALUE"""),630.0)</f>
        <v>630</v>
      </c>
      <c r="C620" s="2">
        <f>IFERROR(__xludf.DUMMYFUNCTION("""COMPUTED_VALUE"""),640.0)</f>
        <v>640</v>
      </c>
      <c r="D620" s="2">
        <f>IFERROR(__xludf.DUMMYFUNCTION("""COMPUTED_VALUE"""),620.0)</f>
        <v>620</v>
      </c>
      <c r="E620" s="2">
        <f>IFERROR(__xludf.DUMMYFUNCTION("""COMPUTED_VALUE"""),640.0)</f>
        <v>640</v>
      </c>
      <c r="F620" s="2">
        <f>IFERROR(__xludf.DUMMYFUNCTION("""COMPUTED_VALUE"""),4.16364E7)</f>
        <v>41636400</v>
      </c>
      <c r="G620" s="2">
        <f t="shared" si="1"/>
        <v>20</v>
      </c>
    </row>
    <row r="621" ht="15.75" customHeight="1">
      <c r="A621" s="1">
        <f>IFERROR(__xludf.DUMMYFUNCTION("""COMPUTED_VALUE"""),45467.66666666667)</f>
        <v>45467.66667</v>
      </c>
      <c r="B621" s="2">
        <f>IFERROR(__xludf.DUMMYFUNCTION("""COMPUTED_VALUE"""),640.0)</f>
        <v>640</v>
      </c>
      <c r="C621" s="2">
        <f>IFERROR(__xludf.DUMMYFUNCTION("""COMPUTED_VALUE"""),650.0)</f>
        <v>650</v>
      </c>
      <c r="D621" s="2">
        <f>IFERROR(__xludf.DUMMYFUNCTION("""COMPUTED_VALUE"""),635.0)</f>
        <v>635</v>
      </c>
      <c r="E621" s="2">
        <f>IFERROR(__xludf.DUMMYFUNCTION("""COMPUTED_VALUE"""),645.0)</f>
        <v>645</v>
      </c>
      <c r="F621" s="2">
        <f>IFERROR(__xludf.DUMMYFUNCTION("""COMPUTED_VALUE"""),5.16281E7)</f>
        <v>51628100</v>
      </c>
      <c r="G621" s="2">
        <f t="shared" si="1"/>
        <v>15</v>
      </c>
    </row>
    <row r="622" ht="15.75" customHeight="1">
      <c r="A622" s="1">
        <f>IFERROR(__xludf.DUMMYFUNCTION("""COMPUTED_VALUE"""),45468.66666666667)</f>
        <v>45468.66667</v>
      </c>
      <c r="B622" s="2">
        <f>IFERROR(__xludf.DUMMYFUNCTION("""COMPUTED_VALUE"""),645.0)</f>
        <v>645</v>
      </c>
      <c r="C622" s="2">
        <f>IFERROR(__xludf.DUMMYFUNCTION("""COMPUTED_VALUE"""),660.0)</f>
        <v>660</v>
      </c>
      <c r="D622" s="2">
        <f>IFERROR(__xludf.DUMMYFUNCTION("""COMPUTED_VALUE"""),640.0)</f>
        <v>640</v>
      </c>
      <c r="E622" s="2">
        <f>IFERROR(__xludf.DUMMYFUNCTION("""COMPUTED_VALUE"""),660.0)</f>
        <v>660</v>
      </c>
      <c r="F622" s="2">
        <f>IFERROR(__xludf.DUMMYFUNCTION("""COMPUTED_VALUE"""),4.0348E7)</f>
        <v>40348000</v>
      </c>
      <c r="G622" s="2">
        <f t="shared" si="1"/>
        <v>20</v>
      </c>
    </row>
    <row r="623" ht="15.75" customHeight="1">
      <c r="A623" s="1">
        <f>IFERROR(__xludf.DUMMYFUNCTION("""COMPUTED_VALUE"""),45469.66666666667)</f>
        <v>45469.66667</v>
      </c>
      <c r="B623" s="2">
        <f>IFERROR(__xludf.DUMMYFUNCTION("""COMPUTED_VALUE"""),660.0)</f>
        <v>660</v>
      </c>
      <c r="C623" s="2">
        <f>IFERROR(__xludf.DUMMYFUNCTION("""COMPUTED_VALUE"""),660.0)</f>
        <v>660</v>
      </c>
      <c r="D623" s="2">
        <f>IFERROR(__xludf.DUMMYFUNCTION("""COMPUTED_VALUE"""),645.0)</f>
        <v>645</v>
      </c>
      <c r="E623" s="2">
        <f>IFERROR(__xludf.DUMMYFUNCTION("""COMPUTED_VALUE"""),660.0)</f>
        <v>660</v>
      </c>
      <c r="F623" s="2">
        <f>IFERROR(__xludf.DUMMYFUNCTION("""COMPUTED_VALUE"""),6.62109E7)</f>
        <v>66210900</v>
      </c>
      <c r="G623" s="2">
        <f t="shared" si="1"/>
        <v>15</v>
      </c>
    </row>
    <row r="624" ht="15.75" customHeight="1">
      <c r="A624" s="1">
        <f>IFERROR(__xludf.DUMMYFUNCTION("""COMPUTED_VALUE"""),45470.66666666667)</f>
        <v>45470.66667</v>
      </c>
      <c r="B624" s="2">
        <f>IFERROR(__xludf.DUMMYFUNCTION("""COMPUTED_VALUE"""),660.0)</f>
        <v>660</v>
      </c>
      <c r="C624" s="2">
        <f>IFERROR(__xludf.DUMMYFUNCTION("""COMPUTED_VALUE"""),660.0)</f>
        <v>660</v>
      </c>
      <c r="D624" s="2">
        <f>IFERROR(__xludf.DUMMYFUNCTION("""COMPUTED_VALUE"""),640.0)</f>
        <v>640</v>
      </c>
      <c r="E624" s="2">
        <f>IFERROR(__xludf.DUMMYFUNCTION("""COMPUTED_VALUE"""),640.0)</f>
        <v>640</v>
      </c>
      <c r="F624" s="2">
        <f>IFERROR(__xludf.DUMMYFUNCTION("""COMPUTED_VALUE"""),2.53189E7)</f>
        <v>25318900</v>
      </c>
      <c r="G624" s="2">
        <f t="shared" si="1"/>
        <v>20</v>
      </c>
    </row>
    <row r="625" ht="15.75" customHeight="1">
      <c r="A625" s="1">
        <f>IFERROR(__xludf.DUMMYFUNCTION("""COMPUTED_VALUE"""),45471.66666666667)</f>
        <v>45471.66667</v>
      </c>
      <c r="B625" s="2">
        <f>IFERROR(__xludf.DUMMYFUNCTION("""COMPUTED_VALUE"""),635.0)</f>
        <v>635</v>
      </c>
      <c r="C625" s="2">
        <f>IFERROR(__xludf.DUMMYFUNCTION("""COMPUTED_VALUE"""),645.0)</f>
        <v>645</v>
      </c>
      <c r="D625" s="2">
        <f>IFERROR(__xludf.DUMMYFUNCTION("""COMPUTED_VALUE"""),630.0)</f>
        <v>630</v>
      </c>
      <c r="E625" s="2">
        <f>IFERROR(__xludf.DUMMYFUNCTION("""COMPUTED_VALUE"""),645.0)</f>
        <v>645</v>
      </c>
      <c r="F625" s="2">
        <f>IFERROR(__xludf.DUMMYFUNCTION("""COMPUTED_VALUE"""),2.76772E7)</f>
        <v>27677200</v>
      </c>
      <c r="G625" s="2">
        <f t="shared" si="1"/>
        <v>15</v>
      </c>
    </row>
    <row r="626" ht="15.75" customHeight="1">
      <c r="A626" s="1">
        <f>IFERROR(__xludf.DUMMYFUNCTION("""COMPUTED_VALUE"""),45474.66666666667)</f>
        <v>45474.66667</v>
      </c>
      <c r="B626" s="2">
        <f>IFERROR(__xludf.DUMMYFUNCTION("""COMPUTED_VALUE"""),645.0)</f>
        <v>645</v>
      </c>
      <c r="C626" s="2">
        <f>IFERROR(__xludf.DUMMYFUNCTION("""COMPUTED_VALUE"""),645.0)</f>
        <v>645</v>
      </c>
      <c r="D626" s="2">
        <f>IFERROR(__xludf.DUMMYFUNCTION("""COMPUTED_VALUE"""),630.0)</f>
        <v>630</v>
      </c>
      <c r="E626" s="2">
        <f>IFERROR(__xludf.DUMMYFUNCTION("""COMPUTED_VALUE"""),645.0)</f>
        <v>645</v>
      </c>
      <c r="F626" s="2">
        <f>IFERROR(__xludf.DUMMYFUNCTION("""COMPUTED_VALUE"""),2.50955E7)</f>
        <v>25095500</v>
      </c>
      <c r="G626" s="2">
        <f t="shared" si="1"/>
        <v>15</v>
      </c>
    </row>
    <row r="627" ht="15.75" customHeight="1">
      <c r="A627" s="1">
        <f>IFERROR(__xludf.DUMMYFUNCTION("""COMPUTED_VALUE"""),45475.66666666667)</f>
        <v>45475.66667</v>
      </c>
      <c r="B627" s="2">
        <f>IFERROR(__xludf.DUMMYFUNCTION("""COMPUTED_VALUE"""),645.0)</f>
        <v>645</v>
      </c>
      <c r="C627" s="2">
        <f>IFERROR(__xludf.DUMMYFUNCTION("""COMPUTED_VALUE"""),645.0)</f>
        <v>645</v>
      </c>
      <c r="D627" s="2">
        <f>IFERROR(__xludf.DUMMYFUNCTION("""COMPUTED_VALUE"""),625.0)</f>
        <v>625</v>
      </c>
      <c r="E627" s="2">
        <f>IFERROR(__xludf.DUMMYFUNCTION("""COMPUTED_VALUE"""),640.0)</f>
        <v>640</v>
      </c>
      <c r="F627" s="2">
        <f>IFERROR(__xludf.DUMMYFUNCTION("""COMPUTED_VALUE"""),2.93414E7)</f>
        <v>29341400</v>
      </c>
      <c r="G627" s="2">
        <f t="shared" si="1"/>
        <v>20</v>
      </c>
    </row>
    <row r="628" ht="15.75" customHeight="1">
      <c r="A628" s="1">
        <f>IFERROR(__xludf.DUMMYFUNCTION("""COMPUTED_VALUE"""),45476.66666666667)</f>
        <v>45476.66667</v>
      </c>
      <c r="B628" s="2">
        <f>IFERROR(__xludf.DUMMYFUNCTION("""COMPUTED_VALUE"""),640.0)</f>
        <v>640</v>
      </c>
      <c r="C628" s="2">
        <f>IFERROR(__xludf.DUMMYFUNCTION("""COMPUTED_VALUE"""),675.0)</f>
        <v>675</v>
      </c>
      <c r="D628" s="2">
        <f>IFERROR(__xludf.DUMMYFUNCTION("""COMPUTED_VALUE"""),625.0)</f>
        <v>625</v>
      </c>
      <c r="E628" s="2">
        <f>IFERROR(__xludf.DUMMYFUNCTION("""COMPUTED_VALUE"""),675.0)</f>
        <v>675</v>
      </c>
      <c r="F628" s="2">
        <f>IFERROR(__xludf.DUMMYFUNCTION("""COMPUTED_VALUE"""),5.61122E7)</f>
        <v>56112200</v>
      </c>
      <c r="G628" s="2">
        <f t="shared" si="1"/>
        <v>50</v>
      </c>
    </row>
    <row r="629" ht="15.75" customHeight="1">
      <c r="A629" s="1">
        <f>IFERROR(__xludf.DUMMYFUNCTION("""COMPUTED_VALUE"""),45477.66666666667)</f>
        <v>45477.66667</v>
      </c>
      <c r="B629" s="2">
        <f>IFERROR(__xludf.DUMMYFUNCTION("""COMPUTED_VALUE"""),675.0)</f>
        <v>675</v>
      </c>
      <c r="C629" s="2">
        <f>IFERROR(__xludf.DUMMYFUNCTION("""COMPUTED_VALUE"""),685.0)</f>
        <v>685</v>
      </c>
      <c r="D629" s="2">
        <f>IFERROR(__xludf.DUMMYFUNCTION("""COMPUTED_VALUE"""),660.0)</f>
        <v>660</v>
      </c>
      <c r="E629" s="2">
        <f>IFERROR(__xludf.DUMMYFUNCTION("""COMPUTED_VALUE"""),675.0)</f>
        <v>675</v>
      </c>
      <c r="F629" s="2">
        <f>IFERROR(__xludf.DUMMYFUNCTION("""COMPUTED_VALUE"""),6.18856E7)</f>
        <v>61885600</v>
      </c>
      <c r="G629" s="2">
        <f t="shared" si="1"/>
        <v>25</v>
      </c>
    </row>
    <row r="630" ht="15.75" customHeight="1">
      <c r="A630" s="1">
        <f>IFERROR(__xludf.DUMMYFUNCTION("""COMPUTED_VALUE"""),45478.66666666667)</f>
        <v>45478.66667</v>
      </c>
      <c r="B630" s="2">
        <f>IFERROR(__xludf.DUMMYFUNCTION("""COMPUTED_VALUE"""),675.0)</f>
        <v>675</v>
      </c>
      <c r="C630" s="2">
        <f>IFERROR(__xludf.DUMMYFUNCTION("""COMPUTED_VALUE"""),675.0)</f>
        <v>675</v>
      </c>
      <c r="D630" s="2">
        <f>IFERROR(__xludf.DUMMYFUNCTION("""COMPUTED_VALUE"""),650.0)</f>
        <v>650</v>
      </c>
      <c r="E630" s="2">
        <f>IFERROR(__xludf.DUMMYFUNCTION("""COMPUTED_VALUE"""),650.0)</f>
        <v>650</v>
      </c>
      <c r="F630" s="2">
        <f>IFERROR(__xludf.DUMMYFUNCTION("""COMPUTED_VALUE"""),1.62881E7)</f>
        <v>16288100</v>
      </c>
      <c r="G630" s="2">
        <f t="shared" si="1"/>
        <v>25</v>
      </c>
    </row>
    <row r="631" ht="15.75" customHeight="1">
      <c r="A631" s="1">
        <f>IFERROR(__xludf.DUMMYFUNCTION("""COMPUTED_VALUE"""),45481.66666666667)</f>
        <v>45481.66667</v>
      </c>
      <c r="B631" s="2">
        <f>IFERROR(__xludf.DUMMYFUNCTION("""COMPUTED_VALUE"""),655.0)</f>
        <v>655</v>
      </c>
      <c r="C631" s="2">
        <f>IFERROR(__xludf.DUMMYFUNCTION("""COMPUTED_VALUE"""),700.0)</f>
        <v>700</v>
      </c>
      <c r="D631" s="2">
        <f>IFERROR(__xludf.DUMMYFUNCTION("""COMPUTED_VALUE"""),645.0)</f>
        <v>645</v>
      </c>
      <c r="E631" s="2">
        <f>IFERROR(__xludf.DUMMYFUNCTION("""COMPUTED_VALUE"""),700.0)</f>
        <v>700</v>
      </c>
      <c r="F631" s="2">
        <f>IFERROR(__xludf.DUMMYFUNCTION("""COMPUTED_VALUE"""),7.5312E7)</f>
        <v>75312000</v>
      </c>
      <c r="G631" s="2">
        <f t="shared" si="1"/>
        <v>55</v>
      </c>
    </row>
    <row r="632" ht="15.75" customHeight="1">
      <c r="A632" s="1">
        <f>IFERROR(__xludf.DUMMYFUNCTION("""COMPUTED_VALUE"""),45482.66666666667)</f>
        <v>45482.66667</v>
      </c>
      <c r="B632" s="2">
        <f>IFERROR(__xludf.DUMMYFUNCTION("""COMPUTED_VALUE"""),700.0)</f>
        <v>700</v>
      </c>
      <c r="C632" s="2">
        <f>IFERROR(__xludf.DUMMYFUNCTION("""COMPUTED_VALUE"""),700.0)</f>
        <v>700</v>
      </c>
      <c r="D632" s="2">
        <f>IFERROR(__xludf.DUMMYFUNCTION("""COMPUTED_VALUE"""),660.0)</f>
        <v>660</v>
      </c>
      <c r="E632" s="2">
        <f>IFERROR(__xludf.DUMMYFUNCTION("""COMPUTED_VALUE"""),680.0)</f>
        <v>680</v>
      </c>
      <c r="F632" s="2">
        <f>IFERROR(__xludf.DUMMYFUNCTION("""COMPUTED_VALUE"""),4.4516E7)</f>
        <v>44516000</v>
      </c>
      <c r="G632" s="2">
        <f t="shared" si="1"/>
        <v>40</v>
      </c>
    </row>
    <row r="633" ht="15.75" customHeight="1">
      <c r="A633" s="1">
        <f>IFERROR(__xludf.DUMMYFUNCTION("""COMPUTED_VALUE"""),45483.66666666667)</f>
        <v>45483.66667</v>
      </c>
      <c r="B633" s="2">
        <f>IFERROR(__xludf.DUMMYFUNCTION("""COMPUTED_VALUE"""),680.0)</f>
        <v>680</v>
      </c>
      <c r="C633" s="2">
        <f>IFERROR(__xludf.DUMMYFUNCTION("""COMPUTED_VALUE"""),685.0)</f>
        <v>685</v>
      </c>
      <c r="D633" s="2">
        <f>IFERROR(__xludf.DUMMYFUNCTION("""COMPUTED_VALUE"""),665.0)</f>
        <v>665</v>
      </c>
      <c r="E633" s="2">
        <f>IFERROR(__xludf.DUMMYFUNCTION("""COMPUTED_VALUE"""),670.0)</f>
        <v>670</v>
      </c>
      <c r="F633" s="2">
        <f>IFERROR(__xludf.DUMMYFUNCTION("""COMPUTED_VALUE"""),9040600.0)</f>
        <v>9040600</v>
      </c>
      <c r="G633" s="2">
        <f t="shared" si="1"/>
        <v>20</v>
      </c>
    </row>
    <row r="634" ht="15.75" customHeight="1">
      <c r="A634" s="1">
        <f>IFERROR(__xludf.DUMMYFUNCTION("""COMPUTED_VALUE"""),45484.66666666667)</f>
        <v>45484.66667</v>
      </c>
      <c r="B634" s="2">
        <f>IFERROR(__xludf.DUMMYFUNCTION("""COMPUTED_VALUE"""),665.0)</f>
        <v>665</v>
      </c>
      <c r="C634" s="2">
        <f>IFERROR(__xludf.DUMMYFUNCTION("""COMPUTED_VALUE"""),685.0)</f>
        <v>685</v>
      </c>
      <c r="D634" s="2">
        <f>IFERROR(__xludf.DUMMYFUNCTION("""COMPUTED_VALUE"""),660.0)</f>
        <v>660</v>
      </c>
      <c r="E634" s="2">
        <f>IFERROR(__xludf.DUMMYFUNCTION("""COMPUTED_VALUE"""),665.0)</f>
        <v>665</v>
      </c>
      <c r="F634" s="2">
        <f>IFERROR(__xludf.DUMMYFUNCTION("""COMPUTED_VALUE"""),1.45151E7)</f>
        <v>14515100</v>
      </c>
      <c r="G634" s="2">
        <f t="shared" si="1"/>
        <v>25</v>
      </c>
    </row>
    <row r="635" ht="15.75" customHeight="1">
      <c r="A635" s="1">
        <f>IFERROR(__xludf.DUMMYFUNCTION("""COMPUTED_VALUE"""),45485.66666666667)</f>
        <v>45485.66667</v>
      </c>
      <c r="B635" s="2">
        <f>IFERROR(__xludf.DUMMYFUNCTION("""COMPUTED_VALUE"""),665.0)</f>
        <v>665</v>
      </c>
      <c r="C635" s="2">
        <f>IFERROR(__xludf.DUMMYFUNCTION("""COMPUTED_VALUE"""),680.0)</f>
        <v>680</v>
      </c>
      <c r="D635" s="2">
        <f>IFERROR(__xludf.DUMMYFUNCTION("""COMPUTED_VALUE"""),665.0)</f>
        <v>665</v>
      </c>
      <c r="E635" s="2">
        <f>IFERROR(__xludf.DUMMYFUNCTION("""COMPUTED_VALUE"""),675.0)</f>
        <v>675</v>
      </c>
      <c r="F635" s="2">
        <f>IFERROR(__xludf.DUMMYFUNCTION("""COMPUTED_VALUE"""),7685500.0)</f>
        <v>7685500</v>
      </c>
      <c r="G635" s="2">
        <f t="shared" si="1"/>
        <v>15</v>
      </c>
    </row>
    <row r="636" ht="15.75" customHeight="1">
      <c r="A636" s="1">
        <f>IFERROR(__xludf.DUMMYFUNCTION("""COMPUTED_VALUE"""),45488.66666666667)</f>
        <v>45488.66667</v>
      </c>
      <c r="B636" s="2">
        <f>IFERROR(__xludf.DUMMYFUNCTION("""COMPUTED_VALUE"""),675.0)</f>
        <v>675</v>
      </c>
      <c r="C636" s="2">
        <f>IFERROR(__xludf.DUMMYFUNCTION("""COMPUTED_VALUE"""),680.0)</f>
        <v>680</v>
      </c>
      <c r="D636" s="2">
        <f>IFERROR(__xludf.DUMMYFUNCTION("""COMPUTED_VALUE"""),660.0)</f>
        <v>660</v>
      </c>
      <c r="E636" s="2">
        <f>IFERROR(__xludf.DUMMYFUNCTION("""COMPUTED_VALUE"""),680.0)</f>
        <v>680</v>
      </c>
      <c r="F636" s="2">
        <f>IFERROR(__xludf.DUMMYFUNCTION("""COMPUTED_VALUE"""),1.29749E7)</f>
        <v>12974900</v>
      </c>
      <c r="G636" s="2">
        <f t="shared" si="1"/>
        <v>20</v>
      </c>
    </row>
    <row r="637" ht="15.75" customHeight="1">
      <c r="A637" s="1">
        <f>IFERROR(__xludf.DUMMYFUNCTION("""COMPUTED_VALUE"""),45489.66666666667)</f>
        <v>45489.66667</v>
      </c>
      <c r="B637" s="2">
        <f>IFERROR(__xludf.DUMMYFUNCTION("""COMPUTED_VALUE"""),680.0)</f>
        <v>680</v>
      </c>
      <c r="C637" s="2">
        <f>IFERROR(__xludf.DUMMYFUNCTION("""COMPUTED_VALUE"""),700.0)</f>
        <v>700</v>
      </c>
      <c r="D637" s="2">
        <f>IFERROR(__xludf.DUMMYFUNCTION("""COMPUTED_VALUE"""),665.0)</f>
        <v>665</v>
      </c>
      <c r="E637" s="2">
        <f>IFERROR(__xludf.DUMMYFUNCTION("""COMPUTED_VALUE"""),685.0)</f>
        <v>685</v>
      </c>
      <c r="F637" s="2">
        <f>IFERROR(__xludf.DUMMYFUNCTION("""COMPUTED_VALUE"""),3.18658E7)</f>
        <v>31865800</v>
      </c>
      <c r="G637" s="2">
        <f t="shared" si="1"/>
        <v>35</v>
      </c>
    </row>
    <row r="638" ht="15.75" customHeight="1">
      <c r="A638" s="1">
        <f>IFERROR(__xludf.DUMMYFUNCTION("""COMPUTED_VALUE"""),45490.66666666667)</f>
        <v>45490.66667</v>
      </c>
      <c r="B638" s="2">
        <f>IFERROR(__xludf.DUMMYFUNCTION("""COMPUTED_VALUE"""),685.0)</f>
        <v>685</v>
      </c>
      <c r="C638" s="2">
        <f>IFERROR(__xludf.DUMMYFUNCTION("""COMPUTED_VALUE"""),700.0)</f>
        <v>700</v>
      </c>
      <c r="D638" s="2">
        <f>IFERROR(__xludf.DUMMYFUNCTION("""COMPUTED_VALUE"""),675.0)</f>
        <v>675</v>
      </c>
      <c r="E638" s="2">
        <f>IFERROR(__xludf.DUMMYFUNCTION("""COMPUTED_VALUE"""),700.0)</f>
        <v>700</v>
      </c>
      <c r="F638" s="2">
        <f>IFERROR(__xludf.DUMMYFUNCTION("""COMPUTED_VALUE"""),2.88537E7)</f>
        <v>28853700</v>
      </c>
      <c r="G638" s="2">
        <f t="shared" si="1"/>
        <v>25</v>
      </c>
    </row>
    <row r="639" ht="15.75" customHeight="1">
      <c r="A639" s="1">
        <f>IFERROR(__xludf.DUMMYFUNCTION("""COMPUTED_VALUE"""),45491.66666666667)</f>
        <v>45491.66667</v>
      </c>
      <c r="B639" s="2">
        <f>IFERROR(__xludf.DUMMYFUNCTION("""COMPUTED_VALUE"""),700.0)</f>
        <v>700</v>
      </c>
      <c r="C639" s="2">
        <f>IFERROR(__xludf.DUMMYFUNCTION("""COMPUTED_VALUE"""),700.0)</f>
        <v>700</v>
      </c>
      <c r="D639" s="2">
        <f>IFERROR(__xludf.DUMMYFUNCTION("""COMPUTED_VALUE"""),685.0)</f>
        <v>685</v>
      </c>
      <c r="E639" s="2">
        <f>IFERROR(__xludf.DUMMYFUNCTION("""COMPUTED_VALUE"""),690.0)</f>
        <v>690</v>
      </c>
      <c r="F639" s="2">
        <f>IFERROR(__xludf.DUMMYFUNCTION("""COMPUTED_VALUE"""),1.99091E7)</f>
        <v>19909100</v>
      </c>
      <c r="G639" s="2">
        <f t="shared" si="1"/>
        <v>15</v>
      </c>
    </row>
    <row r="640" ht="15.75" customHeight="1">
      <c r="A640" s="1">
        <f>IFERROR(__xludf.DUMMYFUNCTION("""COMPUTED_VALUE"""),45492.66666666667)</f>
        <v>45492.66667</v>
      </c>
      <c r="B640" s="2">
        <f>IFERROR(__xludf.DUMMYFUNCTION("""COMPUTED_VALUE"""),680.0)</f>
        <v>680</v>
      </c>
      <c r="C640" s="2">
        <f>IFERROR(__xludf.DUMMYFUNCTION("""COMPUTED_VALUE"""),690.0)</f>
        <v>690</v>
      </c>
      <c r="D640" s="2">
        <f>IFERROR(__xludf.DUMMYFUNCTION("""COMPUTED_VALUE"""),675.0)</f>
        <v>675</v>
      </c>
      <c r="E640" s="2">
        <f>IFERROR(__xludf.DUMMYFUNCTION("""COMPUTED_VALUE"""),685.0)</f>
        <v>685</v>
      </c>
      <c r="F640" s="2">
        <f>IFERROR(__xludf.DUMMYFUNCTION("""COMPUTED_VALUE"""),1.1114E7)</f>
        <v>11114000</v>
      </c>
      <c r="G640" s="2">
        <f t="shared" si="1"/>
        <v>15</v>
      </c>
    </row>
    <row r="641" ht="15.75" customHeight="1">
      <c r="A641" s="1">
        <f>IFERROR(__xludf.DUMMYFUNCTION("""COMPUTED_VALUE"""),45495.66666666667)</f>
        <v>45495.66667</v>
      </c>
      <c r="B641" s="2">
        <f>IFERROR(__xludf.DUMMYFUNCTION("""COMPUTED_VALUE"""),685.0)</f>
        <v>685</v>
      </c>
      <c r="C641" s="2">
        <f>IFERROR(__xludf.DUMMYFUNCTION("""COMPUTED_VALUE"""),690.0)</f>
        <v>690</v>
      </c>
      <c r="D641" s="2">
        <f>IFERROR(__xludf.DUMMYFUNCTION("""COMPUTED_VALUE"""),675.0)</f>
        <v>675</v>
      </c>
      <c r="E641" s="2">
        <f>IFERROR(__xludf.DUMMYFUNCTION("""COMPUTED_VALUE"""),685.0)</f>
        <v>685</v>
      </c>
      <c r="F641" s="2">
        <f>IFERROR(__xludf.DUMMYFUNCTION("""COMPUTED_VALUE"""),1.14861E7)</f>
        <v>11486100</v>
      </c>
      <c r="G641" s="2">
        <f t="shared" si="1"/>
        <v>15</v>
      </c>
    </row>
    <row r="642" ht="15.75" customHeight="1">
      <c r="A642" s="1">
        <f>IFERROR(__xludf.DUMMYFUNCTION("""COMPUTED_VALUE"""),45496.66666666667)</f>
        <v>45496.66667</v>
      </c>
      <c r="B642" s="2">
        <f>IFERROR(__xludf.DUMMYFUNCTION("""COMPUTED_VALUE"""),680.0)</f>
        <v>680</v>
      </c>
      <c r="C642" s="2">
        <f>IFERROR(__xludf.DUMMYFUNCTION("""COMPUTED_VALUE"""),690.0)</f>
        <v>690</v>
      </c>
      <c r="D642" s="2">
        <f>IFERROR(__xludf.DUMMYFUNCTION("""COMPUTED_VALUE"""),680.0)</f>
        <v>680</v>
      </c>
      <c r="E642" s="2">
        <f>IFERROR(__xludf.DUMMYFUNCTION("""COMPUTED_VALUE"""),690.0)</f>
        <v>690</v>
      </c>
      <c r="F642" s="2">
        <f>IFERROR(__xludf.DUMMYFUNCTION("""COMPUTED_VALUE"""),2.5899E7)</f>
        <v>25899000</v>
      </c>
      <c r="G642" s="2">
        <f t="shared" si="1"/>
        <v>10</v>
      </c>
    </row>
    <row r="643" ht="15.75" customHeight="1">
      <c r="A643" s="1">
        <f>IFERROR(__xludf.DUMMYFUNCTION("""COMPUTED_VALUE"""),45497.66666666667)</f>
        <v>45497.66667</v>
      </c>
      <c r="B643" s="2">
        <f>IFERROR(__xludf.DUMMYFUNCTION("""COMPUTED_VALUE"""),690.0)</f>
        <v>690</v>
      </c>
      <c r="C643" s="2">
        <f>IFERROR(__xludf.DUMMYFUNCTION("""COMPUTED_VALUE"""),690.0)</f>
        <v>690</v>
      </c>
      <c r="D643" s="2">
        <f>IFERROR(__xludf.DUMMYFUNCTION("""COMPUTED_VALUE"""),675.0)</f>
        <v>675</v>
      </c>
      <c r="E643" s="2">
        <f>IFERROR(__xludf.DUMMYFUNCTION("""COMPUTED_VALUE"""),690.0)</f>
        <v>690</v>
      </c>
      <c r="F643" s="2">
        <f>IFERROR(__xludf.DUMMYFUNCTION("""COMPUTED_VALUE"""),2.05378E7)</f>
        <v>20537800</v>
      </c>
      <c r="G643" s="2">
        <f t="shared" si="1"/>
        <v>15</v>
      </c>
    </row>
    <row r="644" ht="15.75" customHeight="1">
      <c r="A644" s="1">
        <f>IFERROR(__xludf.DUMMYFUNCTION("""COMPUTED_VALUE"""),45498.66666666667)</f>
        <v>45498.66667</v>
      </c>
      <c r="B644" s="2">
        <f>IFERROR(__xludf.DUMMYFUNCTION("""COMPUTED_VALUE"""),685.0)</f>
        <v>685</v>
      </c>
      <c r="C644" s="2">
        <f>IFERROR(__xludf.DUMMYFUNCTION("""COMPUTED_VALUE"""),685.0)</f>
        <v>685</v>
      </c>
      <c r="D644" s="2">
        <f>IFERROR(__xludf.DUMMYFUNCTION("""COMPUTED_VALUE"""),670.0)</f>
        <v>670</v>
      </c>
      <c r="E644" s="2">
        <f>IFERROR(__xludf.DUMMYFUNCTION("""COMPUTED_VALUE"""),670.0)</f>
        <v>670</v>
      </c>
      <c r="F644" s="2">
        <f>IFERROR(__xludf.DUMMYFUNCTION("""COMPUTED_VALUE"""),1.33901E7)</f>
        <v>13390100</v>
      </c>
      <c r="G644" s="2">
        <f t="shared" si="1"/>
        <v>20</v>
      </c>
    </row>
    <row r="645" ht="15.75" customHeight="1">
      <c r="A645" s="1">
        <f>IFERROR(__xludf.DUMMYFUNCTION("""COMPUTED_VALUE"""),45499.66666666667)</f>
        <v>45499.66667</v>
      </c>
      <c r="B645" s="2">
        <f>IFERROR(__xludf.DUMMYFUNCTION("""COMPUTED_VALUE"""),675.0)</f>
        <v>675</v>
      </c>
      <c r="C645" s="2">
        <f>IFERROR(__xludf.DUMMYFUNCTION("""COMPUTED_VALUE"""),675.0)</f>
        <v>675</v>
      </c>
      <c r="D645" s="2">
        <f>IFERROR(__xludf.DUMMYFUNCTION("""COMPUTED_VALUE"""),655.0)</f>
        <v>655</v>
      </c>
      <c r="E645" s="2">
        <f>IFERROR(__xludf.DUMMYFUNCTION("""COMPUTED_VALUE"""),670.0)</f>
        <v>670</v>
      </c>
      <c r="F645" s="2">
        <f>IFERROR(__xludf.DUMMYFUNCTION("""COMPUTED_VALUE"""),1.24203E7)</f>
        <v>12420300</v>
      </c>
      <c r="G645" s="2">
        <f t="shared" si="1"/>
        <v>20</v>
      </c>
    </row>
    <row r="646" ht="15.75" customHeight="1">
      <c r="A646" s="1">
        <f>IFERROR(__xludf.DUMMYFUNCTION("""COMPUTED_VALUE"""),45502.66666666667)</f>
        <v>45502.66667</v>
      </c>
      <c r="B646" s="2">
        <f>IFERROR(__xludf.DUMMYFUNCTION("""COMPUTED_VALUE"""),660.0)</f>
        <v>660</v>
      </c>
      <c r="C646" s="2">
        <f>IFERROR(__xludf.DUMMYFUNCTION("""COMPUTED_VALUE"""),680.0)</f>
        <v>680</v>
      </c>
      <c r="D646" s="2">
        <f>IFERROR(__xludf.DUMMYFUNCTION("""COMPUTED_VALUE"""),655.0)</f>
        <v>655</v>
      </c>
      <c r="E646" s="2">
        <f>IFERROR(__xludf.DUMMYFUNCTION("""COMPUTED_VALUE"""),655.0)</f>
        <v>655</v>
      </c>
      <c r="F646" s="2">
        <f>IFERROR(__xludf.DUMMYFUNCTION("""COMPUTED_VALUE"""),1.91752E7)</f>
        <v>19175200</v>
      </c>
      <c r="G646" s="2">
        <f t="shared" si="1"/>
        <v>25</v>
      </c>
    </row>
    <row r="647" ht="15.75" customHeight="1">
      <c r="A647" s="1">
        <f>IFERROR(__xludf.DUMMYFUNCTION("""COMPUTED_VALUE"""),45503.66666666667)</f>
        <v>45503.66667</v>
      </c>
      <c r="B647" s="2">
        <f>IFERROR(__xludf.DUMMYFUNCTION("""COMPUTED_VALUE"""),665.0)</f>
        <v>665</v>
      </c>
      <c r="C647" s="2">
        <f>IFERROR(__xludf.DUMMYFUNCTION("""COMPUTED_VALUE"""),670.0)</f>
        <v>670</v>
      </c>
      <c r="D647" s="2">
        <f>IFERROR(__xludf.DUMMYFUNCTION("""COMPUTED_VALUE"""),655.0)</f>
        <v>655</v>
      </c>
      <c r="E647" s="2">
        <f>IFERROR(__xludf.DUMMYFUNCTION("""COMPUTED_VALUE"""),665.0)</f>
        <v>665</v>
      </c>
      <c r="F647" s="2">
        <f>IFERROR(__xludf.DUMMYFUNCTION("""COMPUTED_VALUE"""),8793500.0)</f>
        <v>8793500</v>
      </c>
      <c r="G647" s="2">
        <f t="shared" si="1"/>
        <v>15</v>
      </c>
    </row>
    <row r="648" ht="15.75" customHeight="1">
      <c r="A648" s="1">
        <f>IFERROR(__xludf.DUMMYFUNCTION("""COMPUTED_VALUE"""),45504.66666666667)</f>
        <v>45504.66667</v>
      </c>
      <c r="B648" s="2">
        <f>IFERROR(__xludf.DUMMYFUNCTION("""COMPUTED_VALUE"""),665.0)</f>
        <v>665</v>
      </c>
      <c r="C648" s="2">
        <f>IFERROR(__xludf.DUMMYFUNCTION("""COMPUTED_VALUE"""),695.0)</f>
        <v>695</v>
      </c>
      <c r="D648" s="2">
        <f>IFERROR(__xludf.DUMMYFUNCTION("""COMPUTED_VALUE"""),660.0)</f>
        <v>660</v>
      </c>
      <c r="E648" s="2">
        <f>IFERROR(__xludf.DUMMYFUNCTION("""COMPUTED_VALUE"""),695.0)</f>
        <v>695</v>
      </c>
      <c r="F648" s="2">
        <f>IFERROR(__xludf.DUMMYFUNCTION("""COMPUTED_VALUE"""),2.095E7)</f>
        <v>20950000</v>
      </c>
      <c r="G648" s="2">
        <f t="shared" si="1"/>
        <v>35</v>
      </c>
    </row>
    <row r="649" ht="15.75" customHeight="1">
      <c r="A649" s="1">
        <f>IFERROR(__xludf.DUMMYFUNCTION("""COMPUTED_VALUE"""),45505.66666666667)</f>
        <v>45505.66667</v>
      </c>
      <c r="B649" s="2">
        <f>IFERROR(__xludf.DUMMYFUNCTION("""COMPUTED_VALUE"""),685.0)</f>
        <v>685</v>
      </c>
      <c r="C649" s="2">
        <f>IFERROR(__xludf.DUMMYFUNCTION("""COMPUTED_VALUE"""),690.0)</f>
        <v>690</v>
      </c>
      <c r="D649" s="2">
        <f>IFERROR(__xludf.DUMMYFUNCTION("""COMPUTED_VALUE"""),665.0)</f>
        <v>665</v>
      </c>
      <c r="E649" s="2">
        <f>IFERROR(__xludf.DUMMYFUNCTION("""COMPUTED_VALUE"""),685.0)</f>
        <v>685</v>
      </c>
      <c r="F649" s="2">
        <f>IFERROR(__xludf.DUMMYFUNCTION("""COMPUTED_VALUE"""),1.78596E7)</f>
        <v>17859600</v>
      </c>
      <c r="G649" s="2">
        <f t="shared" si="1"/>
        <v>30</v>
      </c>
    </row>
    <row r="650" ht="15.75" customHeight="1">
      <c r="A650" s="1">
        <f>IFERROR(__xludf.DUMMYFUNCTION("""COMPUTED_VALUE"""),45506.66666666667)</f>
        <v>45506.66667</v>
      </c>
      <c r="B650" s="2">
        <f>IFERROR(__xludf.DUMMYFUNCTION("""COMPUTED_VALUE"""),680.0)</f>
        <v>680</v>
      </c>
      <c r="C650" s="2">
        <f>IFERROR(__xludf.DUMMYFUNCTION("""COMPUTED_VALUE"""),685.0)</f>
        <v>685</v>
      </c>
      <c r="D650" s="2">
        <f>IFERROR(__xludf.DUMMYFUNCTION("""COMPUTED_VALUE"""),670.0)</f>
        <v>670</v>
      </c>
      <c r="E650" s="2">
        <f>IFERROR(__xludf.DUMMYFUNCTION("""COMPUTED_VALUE"""),685.0)</f>
        <v>685</v>
      </c>
      <c r="F650" s="2">
        <f>IFERROR(__xludf.DUMMYFUNCTION("""COMPUTED_VALUE"""),1.40291E7)</f>
        <v>14029100</v>
      </c>
      <c r="G650" s="2">
        <f t="shared" si="1"/>
        <v>15</v>
      </c>
    </row>
    <row r="651" ht="15.75" customHeight="1">
      <c r="A651" s="1">
        <f>IFERROR(__xludf.DUMMYFUNCTION("""COMPUTED_VALUE"""),45509.66666666667)</f>
        <v>45509.66667</v>
      </c>
      <c r="B651" s="2">
        <f>IFERROR(__xludf.DUMMYFUNCTION("""COMPUTED_VALUE"""),675.0)</f>
        <v>675</v>
      </c>
      <c r="C651" s="2">
        <f>IFERROR(__xludf.DUMMYFUNCTION("""COMPUTED_VALUE"""),680.0)</f>
        <v>680</v>
      </c>
      <c r="D651" s="2">
        <f>IFERROR(__xludf.DUMMYFUNCTION("""COMPUTED_VALUE"""),660.0)</f>
        <v>660</v>
      </c>
      <c r="E651" s="2">
        <f>IFERROR(__xludf.DUMMYFUNCTION("""COMPUTED_VALUE"""),675.0)</f>
        <v>675</v>
      </c>
      <c r="F651" s="2">
        <f>IFERROR(__xludf.DUMMYFUNCTION("""COMPUTED_VALUE"""),2.71308E7)</f>
        <v>27130800</v>
      </c>
      <c r="G651" s="2">
        <f t="shared" si="1"/>
        <v>25</v>
      </c>
    </row>
    <row r="652" ht="15.75" customHeight="1">
      <c r="A652" s="1">
        <f>IFERROR(__xludf.DUMMYFUNCTION("""COMPUTED_VALUE"""),45510.66666666667)</f>
        <v>45510.66667</v>
      </c>
      <c r="B652" s="2">
        <f>IFERROR(__xludf.DUMMYFUNCTION("""COMPUTED_VALUE"""),675.0)</f>
        <v>675</v>
      </c>
      <c r="C652" s="2">
        <f>IFERROR(__xludf.DUMMYFUNCTION("""COMPUTED_VALUE"""),680.0)</f>
        <v>680</v>
      </c>
      <c r="D652" s="2">
        <f>IFERROR(__xludf.DUMMYFUNCTION("""COMPUTED_VALUE"""),665.0)</f>
        <v>665</v>
      </c>
      <c r="E652" s="2">
        <f>IFERROR(__xludf.DUMMYFUNCTION("""COMPUTED_VALUE"""),675.0)</f>
        <v>675</v>
      </c>
      <c r="F652" s="2">
        <f>IFERROR(__xludf.DUMMYFUNCTION("""COMPUTED_VALUE"""),1.27842E7)</f>
        <v>12784200</v>
      </c>
      <c r="G652" s="2">
        <f t="shared" si="1"/>
        <v>15</v>
      </c>
    </row>
    <row r="653" ht="15.75" customHeight="1">
      <c r="A653" s="1">
        <f>IFERROR(__xludf.DUMMYFUNCTION("""COMPUTED_VALUE"""),45511.66666666667)</f>
        <v>45511.66667</v>
      </c>
      <c r="B653" s="2">
        <f>IFERROR(__xludf.DUMMYFUNCTION("""COMPUTED_VALUE"""),670.0)</f>
        <v>670</v>
      </c>
      <c r="C653" s="2">
        <f>IFERROR(__xludf.DUMMYFUNCTION("""COMPUTED_VALUE"""),685.0)</f>
        <v>685</v>
      </c>
      <c r="D653" s="2">
        <f>IFERROR(__xludf.DUMMYFUNCTION("""COMPUTED_VALUE"""),665.0)</f>
        <v>665</v>
      </c>
      <c r="E653" s="2">
        <f>IFERROR(__xludf.DUMMYFUNCTION("""COMPUTED_VALUE"""),685.0)</f>
        <v>685</v>
      </c>
      <c r="F653" s="2">
        <f>IFERROR(__xludf.DUMMYFUNCTION("""COMPUTED_VALUE"""),1.53806E7)</f>
        <v>15380600</v>
      </c>
      <c r="G653" s="2">
        <f t="shared" si="1"/>
        <v>20</v>
      </c>
    </row>
    <row r="654" ht="15.75" customHeight="1">
      <c r="A654" s="1">
        <f>IFERROR(__xludf.DUMMYFUNCTION("""COMPUTED_VALUE"""),45512.66666666667)</f>
        <v>45512.66667</v>
      </c>
      <c r="B654" s="2">
        <f>IFERROR(__xludf.DUMMYFUNCTION("""COMPUTED_VALUE"""),685.0)</f>
        <v>685</v>
      </c>
      <c r="C654" s="2">
        <f>IFERROR(__xludf.DUMMYFUNCTION("""COMPUTED_VALUE"""),685.0)</f>
        <v>685</v>
      </c>
      <c r="D654" s="2">
        <f>IFERROR(__xludf.DUMMYFUNCTION("""COMPUTED_VALUE"""),670.0)</f>
        <v>670</v>
      </c>
      <c r="E654" s="2">
        <f>IFERROR(__xludf.DUMMYFUNCTION("""COMPUTED_VALUE"""),680.0)</f>
        <v>680</v>
      </c>
      <c r="F654" s="2">
        <f>IFERROR(__xludf.DUMMYFUNCTION("""COMPUTED_VALUE"""),1.13057E7)</f>
        <v>11305700</v>
      </c>
      <c r="G654" s="2">
        <f t="shared" si="1"/>
        <v>15</v>
      </c>
    </row>
    <row r="655" ht="15.75" customHeight="1">
      <c r="A655" s="1">
        <f>IFERROR(__xludf.DUMMYFUNCTION("""COMPUTED_VALUE"""),45513.66666666667)</f>
        <v>45513.66667</v>
      </c>
      <c r="B655" s="2">
        <f>IFERROR(__xludf.DUMMYFUNCTION("""COMPUTED_VALUE"""),680.0)</f>
        <v>680</v>
      </c>
      <c r="C655" s="2">
        <f>IFERROR(__xludf.DUMMYFUNCTION("""COMPUTED_VALUE"""),680.0)</f>
        <v>680</v>
      </c>
      <c r="D655" s="2">
        <f>IFERROR(__xludf.DUMMYFUNCTION("""COMPUTED_VALUE"""),670.0)</f>
        <v>670</v>
      </c>
      <c r="E655" s="2">
        <f>IFERROR(__xludf.DUMMYFUNCTION("""COMPUTED_VALUE"""),680.0)</f>
        <v>680</v>
      </c>
      <c r="F655" s="2">
        <f>IFERROR(__xludf.DUMMYFUNCTION("""COMPUTED_VALUE"""),8843800.0)</f>
        <v>8843800</v>
      </c>
      <c r="G655" s="2">
        <f t="shared" si="1"/>
        <v>10</v>
      </c>
    </row>
    <row r="656" ht="15.75" customHeight="1">
      <c r="A656" s="1">
        <f>IFERROR(__xludf.DUMMYFUNCTION("""COMPUTED_VALUE"""),45516.66666666667)</f>
        <v>45516.66667</v>
      </c>
      <c r="B656" s="2">
        <f>IFERROR(__xludf.DUMMYFUNCTION("""COMPUTED_VALUE"""),675.0)</f>
        <v>675</v>
      </c>
      <c r="C656" s="2">
        <f>IFERROR(__xludf.DUMMYFUNCTION("""COMPUTED_VALUE"""),680.0)</f>
        <v>680</v>
      </c>
      <c r="D656" s="2">
        <f>IFERROR(__xludf.DUMMYFUNCTION("""COMPUTED_VALUE"""),675.0)</f>
        <v>675</v>
      </c>
      <c r="E656" s="2">
        <f>IFERROR(__xludf.DUMMYFUNCTION("""COMPUTED_VALUE"""),675.0)</f>
        <v>675</v>
      </c>
      <c r="F656" s="2">
        <f>IFERROR(__xludf.DUMMYFUNCTION("""COMPUTED_VALUE"""),1.01285E7)</f>
        <v>10128500</v>
      </c>
      <c r="G656" s="2">
        <f t="shared" si="1"/>
        <v>5</v>
      </c>
    </row>
    <row r="657" ht="15.75" customHeight="1">
      <c r="A657" s="1">
        <f>IFERROR(__xludf.DUMMYFUNCTION("""COMPUTED_VALUE"""),45517.66666666667)</f>
        <v>45517.66667</v>
      </c>
      <c r="B657" s="2">
        <f>IFERROR(__xludf.DUMMYFUNCTION("""COMPUTED_VALUE"""),680.0)</f>
        <v>680</v>
      </c>
      <c r="C657" s="2">
        <f>IFERROR(__xludf.DUMMYFUNCTION("""COMPUTED_VALUE"""),685.0)</f>
        <v>685</v>
      </c>
      <c r="D657" s="2">
        <f>IFERROR(__xludf.DUMMYFUNCTION("""COMPUTED_VALUE"""),670.0)</f>
        <v>670</v>
      </c>
      <c r="E657" s="2">
        <f>IFERROR(__xludf.DUMMYFUNCTION("""COMPUTED_VALUE"""),680.0)</f>
        <v>680</v>
      </c>
      <c r="F657" s="2">
        <f>IFERROR(__xludf.DUMMYFUNCTION("""COMPUTED_VALUE"""),1.08443E7)</f>
        <v>10844300</v>
      </c>
      <c r="G657" s="2">
        <f t="shared" si="1"/>
        <v>15</v>
      </c>
    </row>
    <row r="658" ht="15.75" customHeight="1">
      <c r="A658" s="1">
        <f>IFERROR(__xludf.DUMMYFUNCTION("""COMPUTED_VALUE"""),45518.66666666667)</f>
        <v>45518.66667</v>
      </c>
      <c r="B658" s="2">
        <f>IFERROR(__xludf.DUMMYFUNCTION("""COMPUTED_VALUE"""),675.0)</f>
        <v>675</v>
      </c>
      <c r="C658" s="2">
        <f>IFERROR(__xludf.DUMMYFUNCTION("""COMPUTED_VALUE"""),685.0)</f>
        <v>685</v>
      </c>
      <c r="D658" s="2">
        <f>IFERROR(__xludf.DUMMYFUNCTION("""COMPUTED_VALUE"""),670.0)</f>
        <v>670</v>
      </c>
      <c r="E658" s="2">
        <f>IFERROR(__xludf.DUMMYFUNCTION("""COMPUTED_VALUE"""),680.0)</f>
        <v>680</v>
      </c>
      <c r="F658" s="2">
        <f>IFERROR(__xludf.DUMMYFUNCTION("""COMPUTED_VALUE"""),1.17869E7)</f>
        <v>11786900</v>
      </c>
      <c r="G658" s="2">
        <f t="shared" si="1"/>
        <v>15</v>
      </c>
    </row>
    <row r="659" ht="15.75" customHeight="1">
      <c r="A659" s="1">
        <f>IFERROR(__xludf.DUMMYFUNCTION("""COMPUTED_VALUE"""),45519.66666666667)</f>
        <v>45519.66667</v>
      </c>
      <c r="B659" s="2">
        <f>IFERROR(__xludf.DUMMYFUNCTION("""COMPUTED_VALUE"""),675.0)</f>
        <v>675</v>
      </c>
      <c r="C659" s="2">
        <f>IFERROR(__xludf.DUMMYFUNCTION("""COMPUTED_VALUE"""),680.0)</f>
        <v>680</v>
      </c>
      <c r="D659" s="2">
        <f>IFERROR(__xludf.DUMMYFUNCTION("""COMPUTED_VALUE"""),665.0)</f>
        <v>665</v>
      </c>
      <c r="E659" s="2">
        <f>IFERROR(__xludf.DUMMYFUNCTION("""COMPUTED_VALUE"""),665.0)</f>
        <v>665</v>
      </c>
      <c r="F659" s="2">
        <f>IFERROR(__xludf.DUMMYFUNCTION("""COMPUTED_VALUE"""),1.45742E7)</f>
        <v>14574200</v>
      </c>
      <c r="G659" s="2">
        <f t="shared" si="1"/>
        <v>15</v>
      </c>
    </row>
    <row r="660" ht="15.75" customHeight="1">
      <c r="A660" s="1">
        <f>IFERROR(__xludf.DUMMYFUNCTION("""COMPUTED_VALUE"""),45520.66666666667)</f>
        <v>45520.66667</v>
      </c>
      <c r="B660" s="2">
        <f>IFERROR(__xludf.DUMMYFUNCTION("""COMPUTED_VALUE"""),670.0)</f>
        <v>670</v>
      </c>
      <c r="C660" s="2">
        <f>IFERROR(__xludf.DUMMYFUNCTION("""COMPUTED_VALUE"""),675.0)</f>
        <v>675</v>
      </c>
      <c r="D660" s="2">
        <f>IFERROR(__xludf.DUMMYFUNCTION("""COMPUTED_VALUE"""),660.0)</f>
        <v>660</v>
      </c>
      <c r="E660" s="2">
        <f>IFERROR(__xludf.DUMMYFUNCTION("""COMPUTED_VALUE"""),670.0)</f>
        <v>670</v>
      </c>
      <c r="F660" s="2">
        <f>IFERROR(__xludf.DUMMYFUNCTION("""COMPUTED_VALUE"""),1.21832E7)</f>
        <v>12183200</v>
      </c>
      <c r="G660" s="2">
        <f t="shared" si="1"/>
        <v>15</v>
      </c>
    </row>
    <row r="661" ht="15.75" customHeight="1">
      <c r="A661" s="1">
        <f>IFERROR(__xludf.DUMMYFUNCTION("""COMPUTED_VALUE"""),45523.66666666667)</f>
        <v>45523.66667</v>
      </c>
      <c r="B661" s="2">
        <f>IFERROR(__xludf.DUMMYFUNCTION("""COMPUTED_VALUE"""),665.0)</f>
        <v>665</v>
      </c>
      <c r="C661" s="2">
        <f>IFERROR(__xludf.DUMMYFUNCTION("""COMPUTED_VALUE"""),670.0)</f>
        <v>670</v>
      </c>
      <c r="D661" s="2">
        <f>IFERROR(__xludf.DUMMYFUNCTION("""COMPUTED_VALUE"""),655.0)</f>
        <v>655</v>
      </c>
      <c r="E661" s="2">
        <f>IFERROR(__xludf.DUMMYFUNCTION("""COMPUTED_VALUE"""),655.0)</f>
        <v>655</v>
      </c>
      <c r="F661" s="2">
        <f>IFERROR(__xludf.DUMMYFUNCTION("""COMPUTED_VALUE"""),1.20089E7)</f>
        <v>12008900</v>
      </c>
      <c r="G661" s="2">
        <f t="shared" si="1"/>
        <v>15</v>
      </c>
    </row>
    <row r="662" ht="15.75" customHeight="1">
      <c r="A662" s="1">
        <f>IFERROR(__xludf.DUMMYFUNCTION("""COMPUTED_VALUE"""),45524.66666666667)</f>
        <v>45524.66667</v>
      </c>
      <c r="B662" s="2">
        <f>IFERROR(__xludf.DUMMYFUNCTION("""COMPUTED_VALUE"""),660.0)</f>
        <v>660</v>
      </c>
      <c r="C662" s="2">
        <f>IFERROR(__xludf.DUMMYFUNCTION("""COMPUTED_VALUE"""),665.0)</f>
        <v>665</v>
      </c>
      <c r="D662" s="2">
        <f>IFERROR(__xludf.DUMMYFUNCTION("""COMPUTED_VALUE"""),650.0)</f>
        <v>650</v>
      </c>
      <c r="E662" s="2">
        <f>IFERROR(__xludf.DUMMYFUNCTION("""COMPUTED_VALUE"""),655.0)</f>
        <v>655</v>
      </c>
      <c r="F662" s="2">
        <f>IFERROR(__xludf.DUMMYFUNCTION("""COMPUTED_VALUE"""),1.89404E7)</f>
        <v>18940400</v>
      </c>
      <c r="G662" s="2">
        <f t="shared" si="1"/>
        <v>15</v>
      </c>
    </row>
    <row r="663" ht="15.75" customHeight="1">
      <c r="A663" s="1">
        <f>IFERROR(__xludf.DUMMYFUNCTION("""COMPUTED_VALUE"""),45525.66666666667)</f>
        <v>45525.66667</v>
      </c>
      <c r="B663" s="2">
        <f>IFERROR(__xludf.DUMMYFUNCTION("""COMPUTED_VALUE"""),660.0)</f>
        <v>660</v>
      </c>
      <c r="C663" s="2">
        <f>IFERROR(__xludf.DUMMYFUNCTION("""COMPUTED_VALUE"""),670.0)</f>
        <v>670</v>
      </c>
      <c r="D663" s="2">
        <f>IFERROR(__xludf.DUMMYFUNCTION("""COMPUTED_VALUE"""),650.0)</f>
        <v>650</v>
      </c>
      <c r="E663" s="2">
        <f>IFERROR(__xludf.DUMMYFUNCTION("""COMPUTED_VALUE"""),670.0)</f>
        <v>670</v>
      </c>
      <c r="F663" s="2">
        <f>IFERROR(__xludf.DUMMYFUNCTION("""COMPUTED_VALUE"""),2.58084E7)</f>
        <v>25808400</v>
      </c>
      <c r="G663" s="2">
        <f t="shared" si="1"/>
        <v>20</v>
      </c>
    </row>
    <row r="664" ht="15.75" customHeight="1">
      <c r="A664" s="1">
        <f>IFERROR(__xludf.DUMMYFUNCTION("""COMPUTED_VALUE"""),45526.66666666667)</f>
        <v>45526.66667</v>
      </c>
      <c r="B664" s="2">
        <f>IFERROR(__xludf.DUMMYFUNCTION("""COMPUTED_VALUE"""),670.0)</f>
        <v>670</v>
      </c>
      <c r="C664" s="2">
        <f>IFERROR(__xludf.DUMMYFUNCTION("""COMPUTED_VALUE"""),670.0)</f>
        <v>670</v>
      </c>
      <c r="D664" s="2">
        <f>IFERROR(__xludf.DUMMYFUNCTION("""COMPUTED_VALUE"""),655.0)</f>
        <v>655</v>
      </c>
      <c r="E664" s="2">
        <f>IFERROR(__xludf.DUMMYFUNCTION("""COMPUTED_VALUE"""),665.0)</f>
        <v>665</v>
      </c>
      <c r="F664" s="2">
        <f>IFERROR(__xludf.DUMMYFUNCTION("""COMPUTED_VALUE"""),2.60576E7)</f>
        <v>26057600</v>
      </c>
      <c r="G664" s="2">
        <f t="shared" si="1"/>
        <v>15</v>
      </c>
    </row>
    <row r="665" ht="15.75" customHeight="1">
      <c r="A665" s="1">
        <f>IFERROR(__xludf.DUMMYFUNCTION("""COMPUTED_VALUE"""),45527.66666666667)</f>
        <v>45527.66667</v>
      </c>
      <c r="B665" s="2">
        <f>IFERROR(__xludf.DUMMYFUNCTION("""COMPUTED_VALUE"""),665.0)</f>
        <v>665</v>
      </c>
      <c r="C665" s="2">
        <f>IFERROR(__xludf.DUMMYFUNCTION("""COMPUTED_VALUE"""),680.0)</f>
        <v>680</v>
      </c>
      <c r="D665" s="2">
        <f>IFERROR(__xludf.DUMMYFUNCTION("""COMPUTED_VALUE"""),660.0)</f>
        <v>660</v>
      </c>
      <c r="E665" s="2">
        <f>IFERROR(__xludf.DUMMYFUNCTION("""COMPUTED_VALUE"""),675.0)</f>
        <v>675</v>
      </c>
      <c r="F665" s="2">
        <f>IFERROR(__xludf.DUMMYFUNCTION("""COMPUTED_VALUE"""),1.13486E7)</f>
        <v>11348600</v>
      </c>
      <c r="G665" s="2">
        <f t="shared" si="1"/>
        <v>20</v>
      </c>
    </row>
    <row r="666" ht="15.75" customHeight="1">
      <c r="A666" s="1">
        <f>IFERROR(__xludf.DUMMYFUNCTION("""COMPUTED_VALUE"""),45530.66666666667)</f>
        <v>45530.66667</v>
      </c>
      <c r="B666" s="2">
        <f>IFERROR(__xludf.DUMMYFUNCTION("""COMPUTED_VALUE"""),670.0)</f>
        <v>670</v>
      </c>
      <c r="C666" s="2">
        <f>IFERROR(__xludf.DUMMYFUNCTION("""COMPUTED_VALUE"""),680.0)</f>
        <v>680</v>
      </c>
      <c r="D666" s="2">
        <f>IFERROR(__xludf.DUMMYFUNCTION("""COMPUTED_VALUE"""),670.0)</f>
        <v>670</v>
      </c>
      <c r="E666" s="2">
        <f>IFERROR(__xludf.DUMMYFUNCTION("""COMPUTED_VALUE"""),675.0)</f>
        <v>675</v>
      </c>
      <c r="F666" s="2">
        <f>IFERROR(__xludf.DUMMYFUNCTION("""COMPUTED_VALUE"""),1.95745E7)</f>
        <v>19574500</v>
      </c>
      <c r="G666" s="2">
        <f t="shared" si="1"/>
        <v>10</v>
      </c>
    </row>
    <row r="667" ht="15.75" customHeight="1">
      <c r="A667" s="1">
        <f>IFERROR(__xludf.DUMMYFUNCTION("""COMPUTED_VALUE"""),45531.66666666667)</f>
        <v>45531.66667</v>
      </c>
      <c r="B667" s="2">
        <f>IFERROR(__xludf.DUMMYFUNCTION("""COMPUTED_VALUE"""),675.0)</f>
        <v>675</v>
      </c>
      <c r="C667" s="2">
        <f>IFERROR(__xludf.DUMMYFUNCTION("""COMPUTED_VALUE"""),680.0)</f>
        <v>680</v>
      </c>
      <c r="D667" s="2">
        <f>IFERROR(__xludf.DUMMYFUNCTION("""COMPUTED_VALUE"""),660.0)</f>
        <v>660</v>
      </c>
      <c r="E667" s="2">
        <f>IFERROR(__xludf.DUMMYFUNCTION("""COMPUTED_VALUE"""),670.0)</f>
        <v>670</v>
      </c>
      <c r="F667" s="2">
        <f>IFERROR(__xludf.DUMMYFUNCTION("""COMPUTED_VALUE"""),1.19551E7)</f>
        <v>11955100</v>
      </c>
      <c r="G667" s="2">
        <f t="shared" si="1"/>
        <v>20</v>
      </c>
    </row>
    <row r="668" ht="15.75" customHeight="1">
      <c r="A668" s="1">
        <f>IFERROR(__xludf.DUMMYFUNCTION("""COMPUTED_VALUE"""),45532.66666666667)</f>
        <v>45532.66667</v>
      </c>
      <c r="B668" s="2">
        <f>IFERROR(__xludf.DUMMYFUNCTION("""COMPUTED_VALUE"""),670.0)</f>
        <v>670</v>
      </c>
      <c r="C668" s="2">
        <f>IFERROR(__xludf.DUMMYFUNCTION("""COMPUTED_VALUE"""),675.0)</f>
        <v>675</v>
      </c>
      <c r="D668" s="2">
        <f>IFERROR(__xludf.DUMMYFUNCTION("""COMPUTED_VALUE"""),660.0)</f>
        <v>660</v>
      </c>
      <c r="E668" s="2">
        <f>IFERROR(__xludf.DUMMYFUNCTION("""COMPUTED_VALUE"""),675.0)</f>
        <v>675</v>
      </c>
      <c r="F668" s="2">
        <f>IFERROR(__xludf.DUMMYFUNCTION("""COMPUTED_VALUE"""),1.38425E7)</f>
        <v>13842500</v>
      </c>
      <c r="G668" s="2">
        <f t="shared" si="1"/>
        <v>15</v>
      </c>
    </row>
    <row r="669" ht="15.75" customHeight="1">
      <c r="A669" s="1">
        <f>IFERROR(__xludf.DUMMYFUNCTION("""COMPUTED_VALUE"""),45533.66666666667)</f>
        <v>45533.66667</v>
      </c>
      <c r="B669" s="2">
        <f>IFERROR(__xludf.DUMMYFUNCTION("""COMPUTED_VALUE"""),675.0)</f>
        <v>675</v>
      </c>
      <c r="C669" s="2">
        <f>IFERROR(__xludf.DUMMYFUNCTION("""COMPUTED_VALUE"""),675.0)</f>
        <v>675</v>
      </c>
      <c r="D669" s="2">
        <f>IFERROR(__xludf.DUMMYFUNCTION("""COMPUTED_VALUE"""),660.0)</f>
        <v>660</v>
      </c>
      <c r="E669" s="2">
        <f>IFERROR(__xludf.DUMMYFUNCTION("""COMPUTED_VALUE"""),670.0)</f>
        <v>670</v>
      </c>
      <c r="F669" s="2">
        <f>IFERROR(__xludf.DUMMYFUNCTION("""COMPUTED_VALUE"""),3.21565E7)</f>
        <v>32156500</v>
      </c>
      <c r="G669" s="2">
        <f t="shared" si="1"/>
        <v>15</v>
      </c>
    </row>
    <row r="670" ht="15.75" customHeight="1">
      <c r="A670" s="1">
        <f>IFERROR(__xludf.DUMMYFUNCTION("""COMPUTED_VALUE"""),45534.66666666667)</f>
        <v>45534.66667</v>
      </c>
      <c r="B670" s="2">
        <f>IFERROR(__xludf.DUMMYFUNCTION("""COMPUTED_VALUE"""),670.0)</f>
        <v>670</v>
      </c>
      <c r="C670" s="2">
        <f>IFERROR(__xludf.DUMMYFUNCTION("""COMPUTED_VALUE"""),685.0)</f>
        <v>685</v>
      </c>
      <c r="D670" s="2">
        <f>IFERROR(__xludf.DUMMYFUNCTION("""COMPUTED_VALUE"""),665.0)</f>
        <v>665</v>
      </c>
      <c r="E670" s="2">
        <f>IFERROR(__xludf.DUMMYFUNCTION("""COMPUTED_VALUE"""),665.0)</f>
        <v>665</v>
      </c>
      <c r="F670" s="2">
        <f>IFERROR(__xludf.DUMMYFUNCTION("""COMPUTED_VALUE"""),3.02384E7)</f>
        <v>30238400</v>
      </c>
      <c r="G670" s="2">
        <f t="shared" si="1"/>
        <v>20</v>
      </c>
    </row>
    <row r="671" ht="15.75" customHeight="1">
      <c r="A671" s="1">
        <f>IFERROR(__xludf.DUMMYFUNCTION("""COMPUTED_VALUE"""),45537.66666666667)</f>
        <v>45537.66667</v>
      </c>
      <c r="B671" s="2">
        <f>IFERROR(__xludf.DUMMYFUNCTION("""COMPUTED_VALUE"""),665.0)</f>
        <v>665</v>
      </c>
      <c r="C671" s="2">
        <f>IFERROR(__xludf.DUMMYFUNCTION("""COMPUTED_VALUE"""),680.0)</f>
        <v>680</v>
      </c>
      <c r="D671" s="2">
        <f>IFERROR(__xludf.DUMMYFUNCTION("""COMPUTED_VALUE"""),665.0)</f>
        <v>665</v>
      </c>
      <c r="E671" s="2">
        <f>IFERROR(__xludf.DUMMYFUNCTION("""COMPUTED_VALUE"""),670.0)</f>
        <v>670</v>
      </c>
      <c r="F671" s="2">
        <f>IFERROR(__xludf.DUMMYFUNCTION("""COMPUTED_VALUE"""),2.42496E7)</f>
        <v>24249600</v>
      </c>
      <c r="G671" s="2">
        <f t="shared" si="1"/>
        <v>15</v>
      </c>
    </row>
    <row r="672" ht="15.75" customHeight="1">
      <c r="A672" s="1">
        <f>IFERROR(__xludf.DUMMYFUNCTION("""COMPUTED_VALUE"""),45538.66666666667)</f>
        <v>45538.66667</v>
      </c>
      <c r="B672" s="2">
        <f>IFERROR(__xludf.DUMMYFUNCTION("""COMPUTED_VALUE"""),670.0)</f>
        <v>670</v>
      </c>
      <c r="C672" s="2">
        <f>IFERROR(__xludf.DUMMYFUNCTION("""COMPUTED_VALUE"""),675.0)</f>
        <v>675</v>
      </c>
      <c r="D672" s="2">
        <f>IFERROR(__xludf.DUMMYFUNCTION("""COMPUTED_VALUE"""),650.0)</f>
        <v>650</v>
      </c>
      <c r="E672" s="2">
        <f>IFERROR(__xludf.DUMMYFUNCTION("""COMPUTED_VALUE"""),660.0)</f>
        <v>660</v>
      </c>
      <c r="F672" s="2">
        <f>IFERROR(__xludf.DUMMYFUNCTION("""COMPUTED_VALUE"""),3.13228E7)</f>
        <v>31322800</v>
      </c>
      <c r="G672" s="2">
        <f t="shared" si="1"/>
        <v>25</v>
      </c>
    </row>
    <row r="673" ht="15.75" customHeight="1">
      <c r="A673" s="1">
        <f>IFERROR(__xludf.DUMMYFUNCTION("""COMPUTED_VALUE"""),45539.66666666667)</f>
        <v>45539.66667</v>
      </c>
      <c r="B673" s="2">
        <f>IFERROR(__xludf.DUMMYFUNCTION("""COMPUTED_VALUE"""),660.0)</f>
        <v>660</v>
      </c>
      <c r="C673" s="2">
        <f>IFERROR(__xludf.DUMMYFUNCTION("""COMPUTED_VALUE"""),665.0)</f>
        <v>665</v>
      </c>
      <c r="D673" s="2">
        <f>IFERROR(__xludf.DUMMYFUNCTION("""COMPUTED_VALUE"""),645.0)</f>
        <v>645</v>
      </c>
      <c r="E673" s="2">
        <f>IFERROR(__xludf.DUMMYFUNCTION("""COMPUTED_VALUE"""),645.0)</f>
        <v>645</v>
      </c>
      <c r="F673" s="2">
        <f>IFERROR(__xludf.DUMMYFUNCTION("""COMPUTED_VALUE"""),2.33974E7)</f>
        <v>23397400</v>
      </c>
      <c r="G673" s="2">
        <f t="shared" si="1"/>
        <v>20</v>
      </c>
    </row>
    <row r="674" ht="15.75" customHeight="1">
      <c r="A674" s="1">
        <f>IFERROR(__xludf.DUMMYFUNCTION("""COMPUTED_VALUE"""),45540.66666666667)</f>
        <v>45540.66667</v>
      </c>
      <c r="B674" s="2">
        <f>IFERROR(__xludf.DUMMYFUNCTION("""COMPUTED_VALUE"""),645.0)</f>
        <v>645</v>
      </c>
      <c r="C674" s="2">
        <f>IFERROR(__xludf.DUMMYFUNCTION("""COMPUTED_VALUE"""),665.0)</f>
        <v>665</v>
      </c>
      <c r="D674" s="2">
        <f>IFERROR(__xludf.DUMMYFUNCTION("""COMPUTED_VALUE"""),635.0)</f>
        <v>635</v>
      </c>
      <c r="E674" s="2">
        <f>IFERROR(__xludf.DUMMYFUNCTION("""COMPUTED_VALUE"""),660.0)</f>
        <v>660</v>
      </c>
      <c r="F674" s="2">
        <f>IFERROR(__xludf.DUMMYFUNCTION("""COMPUTED_VALUE"""),2.11325E7)</f>
        <v>21132500</v>
      </c>
      <c r="G674" s="2">
        <f t="shared" si="1"/>
        <v>30</v>
      </c>
    </row>
    <row r="675" ht="15.75" customHeight="1">
      <c r="A675" s="1">
        <f>IFERROR(__xludf.DUMMYFUNCTION("""COMPUTED_VALUE"""),45541.66666666667)</f>
        <v>45541.66667</v>
      </c>
      <c r="B675" s="2">
        <f>IFERROR(__xludf.DUMMYFUNCTION("""COMPUTED_VALUE"""),650.0)</f>
        <v>650</v>
      </c>
      <c r="C675" s="2">
        <f>IFERROR(__xludf.DUMMYFUNCTION("""COMPUTED_VALUE"""),670.0)</f>
        <v>670</v>
      </c>
      <c r="D675" s="2">
        <f>IFERROR(__xludf.DUMMYFUNCTION("""COMPUTED_VALUE"""),650.0)</f>
        <v>650</v>
      </c>
      <c r="E675" s="2">
        <f>IFERROR(__xludf.DUMMYFUNCTION("""COMPUTED_VALUE"""),660.0)</f>
        <v>660</v>
      </c>
      <c r="F675" s="2">
        <f>IFERROR(__xludf.DUMMYFUNCTION("""COMPUTED_VALUE"""),1.47884E7)</f>
        <v>14788400</v>
      </c>
      <c r="G675" s="2">
        <f t="shared" si="1"/>
        <v>20</v>
      </c>
    </row>
    <row r="676" ht="15.75" customHeight="1">
      <c r="A676" s="1">
        <f>IFERROR(__xludf.DUMMYFUNCTION("""COMPUTED_VALUE"""),45544.66666666667)</f>
        <v>45544.66667</v>
      </c>
      <c r="B676" s="2">
        <f>IFERROR(__xludf.DUMMYFUNCTION("""COMPUTED_VALUE"""),660.0)</f>
        <v>660</v>
      </c>
      <c r="C676" s="2">
        <f>IFERROR(__xludf.DUMMYFUNCTION("""COMPUTED_VALUE"""),670.0)</f>
        <v>670</v>
      </c>
      <c r="D676" s="2">
        <f>IFERROR(__xludf.DUMMYFUNCTION("""COMPUTED_VALUE"""),650.0)</f>
        <v>650</v>
      </c>
      <c r="E676" s="2">
        <f>IFERROR(__xludf.DUMMYFUNCTION("""COMPUTED_VALUE"""),655.0)</f>
        <v>655</v>
      </c>
      <c r="F676" s="2">
        <f>IFERROR(__xludf.DUMMYFUNCTION("""COMPUTED_VALUE"""),6594400.0)</f>
        <v>6594400</v>
      </c>
      <c r="G676" s="2">
        <f t="shared" si="1"/>
        <v>20</v>
      </c>
    </row>
    <row r="677" ht="15.75" customHeight="1">
      <c r="A677" s="1">
        <f>IFERROR(__xludf.DUMMYFUNCTION("""COMPUTED_VALUE"""),45545.66666666667)</f>
        <v>45545.66667</v>
      </c>
      <c r="B677" s="2">
        <f>IFERROR(__xludf.DUMMYFUNCTION("""COMPUTED_VALUE"""),660.0)</f>
        <v>660</v>
      </c>
      <c r="C677" s="2">
        <f>IFERROR(__xludf.DUMMYFUNCTION("""COMPUTED_VALUE"""),670.0)</f>
        <v>670</v>
      </c>
      <c r="D677" s="2">
        <f>IFERROR(__xludf.DUMMYFUNCTION("""COMPUTED_VALUE"""),645.0)</f>
        <v>645</v>
      </c>
      <c r="E677" s="2">
        <f>IFERROR(__xludf.DUMMYFUNCTION("""COMPUTED_VALUE"""),665.0)</f>
        <v>665</v>
      </c>
      <c r="F677" s="2">
        <f>IFERROR(__xludf.DUMMYFUNCTION("""COMPUTED_VALUE"""),1.15436E7)</f>
        <v>11543600</v>
      </c>
      <c r="G677" s="2">
        <f t="shared" si="1"/>
        <v>25</v>
      </c>
    </row>
    <row r="678" ht="15.75" customHeight="1">
      <c r="A678" s="1">
        <f>IFERROR(__xludf.DUMMYFUNCTION("""COMPUTED_VALUE"""),45546.66666666667)</f>
        <v>45546.66667</v>
      </c>
      <c r="B678" s="2">
        <f>IFERROR(__xludf.DUMMYFUNCTION("""COMPUTED_VALUE"""),665.0)</f>
        <v>665</v>
      </c>
      <c r="C678" s="2">
        <f>IFERROR(__xludf.DUMMYFUNCTION("""COMPUTED_VALUE"""),675.0)</f>
        <v>675</v>
      </c>
      <c r="D678" s="2">
        <f>IFERROR(__xludf.DUMMYFUNCTION("""COMPUTED_VALUE"""),655.0)</f>
        <v>655</v>
      </c>
      <c r="E678" s="2">
        <f>IFERROR(__xludf.DUMMYFUNCTION("""COMPUTED_VALUE"""),660.0)</f>
        <v>660</v>
      </c>
      <c r="F678" s="2">
        <f>IFERROR(__xludf.DUMMYFUNCTION("""COMPUTED_VALUE"""),1.77762E7)</f>
        <v>17776200</v>
      </c>
      <c r="G678" s="2">
        <f t="shared" si="1"/>
        <v>20</v>
      </c>
    </row>
    <row r="679" ht="15.75" customHeight="1">
      <c r="A679" s="1">
        <f>IFERROR(__xludf.DUMMYFUNCTION("""COMPUTED_VALUE"""),45547.66666666667)</f>
        <v>45547.66667</v>
      </c>
      <c r="B679" s="2">
        <f>IFERROR(__xludf.DUMMYFUNCTION("""COMPUTED_VALUE"""),655.0)</f>
        <v>655</v>
      </c>
      <c r="C679" s="2">
        <f>IFERROR(__xludf.DUMMYFUNCTION("""COMPUTED_VALUE"""),665.0)</f>
        <v>665</v>
      </c>
      <c r="D679" s="2">
        <f>IFERROR(__xludf.DUMMYFUNCTION("""COMPUTED_VALUE"""),650.0)</f>
        <v>650</v>
      </c>
      <c r="E679" s="2">
        <f>IFERROR(__xludf.DUMMYFUNCTION("""COMPUTED_VALUE"""),655.0)</f>
        <v>655</v>
      </c>
      <c r="F679" s="2">
        <f>IFERROR(__xludf.DUMMYFUNCTION("""COMPUTED_VALUE"""),7466500.0)</f>
        <v>7466500</v>
      </c>
      <c r="G679" s="2">
        <f t="shared" si="1"/>
        <v>15</v>
      </c>
    </row>
    <row r="680" ht="15.75" customHeight="1">
      <c r="A680" s="1">
        <f>IFERROR(__xludf.DUMMYFUNCTION("""COMPUTED_VALUE"""),45548.66666666667)</f>
        <v>45548.66667</v>
      </c>
      <c r="B680" s="2">
        <f>IFERROR(__xludf.DUMMYFUNCTION("""COMPUTED_VALUE"""),650.0)</f>
        <v>650</v>
      </c>
      <c r="C680" s="2">
        <f>IFERROR(__xludf.DUMMYFUNCTION("""COMPUTED_VALUE"""),665.0)</f>
        <v>665</v>
      </c>
      <c r="D680" s="2">
        <f>IFERROR(__xludf.DUMMYFUNCTION("""COMPUTED_VALUE"""),650.0)</f>
        <v>650</v>
      </c>
      <c r="E680" s="2">
        <f>IFERROR(__xludf.DUMMYFUNCTION("""COMPUTED_VALUE"""),655.0)</f>
        <v>655</v>
      </c>
      <c r="F680" s="2">
        <f>IFERROR(__xludf.DUMMYFUNCTION("""COMPUTED_VALUE"""),7347900.0)</f>
        <v>7347900</v>
      </c>
      <c r="G680" s="2">
        <f t="shared" si="1"/>
        <v>15</v>
      </c>
    </row>
    <row r="681" ht="15.75" customHeight="1">
      <c r="A681" s="1">
        <f>IFERROR(__xludf.DUMMYFUNCTION("""COMPUTED_VALUE"""),45552.66666666667)</f>
        <v>45552.66667</v>
      </c>
      <c r="B681" s="2">
        <f>IFERROR(__xludf.DUMMYFUNCTION("""COMPUTED_VALUE"""),655.0)</f>
        <v>655</v>
      </c>
      <c r="C681" s="2">
        <f>IFERROR(__xludf.DUMMYFUNCTION("""COMPUTED_VALUE"""),665.0)</f>
        <v>665</v>
      </c>
      <c r="D681" s="2">
        <f>IFERROR(__xludf.DUMMYFUNCTION("""COMPUTED_VALUE"""),650.0)</f>
        <v>650</v>
      </c>
      <c r="E681" s="2">
        <f>IFERROR(__xludf.DUMMYFUNCTION("""COMPUTED_VALUE"""),655.0)</f>
        <v>655</v>
      </c>
      <c r="F681" s="2">
        <f>IFERROR(__xludf.DUMMYFUNCTION("""COMPUTED_VALUE"""),1.04875E7)</f>
        <v>10487500</v>
      </c>
      <c r="G681" s="2">
        <f t="shared" si="1"/>
        <v>15</v>
      </c>
    </row>
    <row r="682" ht="15.75" customHeight="1">
      <c r="A682" s="1">
        <f>IFERROR(__xludf.DUMMYFUNCTION("""COMPUTED_VALUE"""),45553.66666666667)</f>
        <v>45553.66667</v>
      </c>
      <c r="B682" s="2">
        <f>IFERROR(__xludf.DUMMYFUNCTION("""COMPUTED_VALUE"""),650.0)</f>
        <v>650</v>
      </c>
      <c r="C682" s="2">
        <f>IFERROR(__xludf.DUMMYFUNCTION("""COMPUTED_VALUE"""),660.0)</f>
        <v>660</v>
      </c>
      <c r="D682" s="2">
        <f>IFERROR(__xludf.DUMMYFUNCTION("""COMPUTED_VALUE"""),645.0)</f>
        <v>645</v>
      </c>
      <c r="E682" s="2">
        <f>IFERROR(__xludf.DUMMYFUNCTION("""COMPUTED_VALUE"""),650.0)</f>
        <v>650</v>
      </c>
      <c r="F682" s="2">
        <f>IFERROR(__xludf.DUMMYFUNCTION("""COMPUTED_VALUE"""),1.78492E7)</f>
        <v>17849200</v>
      </c>
      <c r="G682" s="2">
        <f t="shared" si="1"/>
        <v>15</v>
      </c>
    </row>
    <row r="683" ht="15.75" customHeight="1">
      <c r="A683" s="1">
        <f>IFERROR(__xludf.DUMMYFUNCTION("""COMPUTED_VALUE"""),45554.66666666667)</f>
        <v>45554.66667</v>
      </c>
      <c r="B683" s="2">
        <f>IFERROR(__xludf.DUMMYFUNCTION("""COMPUTED_VALUE"""),650.0)</f>
        <v>650</v>
      </c>
      <c r="C683" s="2">
        <f>IFERROR(__xludf.DUMMYFUNCTION("""COMPUTED_VALUE"""),660.0)</f>
        <v>660</v>
      </c>
      <c r="D683" s="2">
        <f>IFERROR(__xludf.DUMMYFUNCTION("""COMPUTED_VALUE"""),650.0)</f>
        <v>650</v>
      </c>
      <c r="E683" s="2">
        <f>IFERROR(__xludf.DUMMYFUNCTION("""COMPUTED_VALUE"""),655.0)</f>
        <v>655</v>
      </c>
      <c r="F683" s="2">
        <f>IFERROR(__xludf.DUMMYFUNCTION("""COMPUTED_VALUE"""),8063700.0)</f>
        <v>8063700</v>
      </c>
      <c r="G683" s="2">
        <f t="shared" si="1"/>
        <v>10</v>
      </c>
    </row>
    <row r="684" ht="15.75" customHeight="1">
      <c r="A684" s="1">
        <f>IFERROR(__xludf.DUMMYFUNCTION("""COMPUTED_VALUE"""),45555.66666666667)</f>
        <v>45555.66667</v>
      </c>
      <c r="B684" s="2">
        <f>IFERROR(__xludf.DUMMYFUNCTION("""COMPUTED_VALUE"""),655.0)</f>
        <v>655</v>
      </c>
      <c r="C684" s="2">
        <f>IFERROR(__xludf.DUMMYFUNCTION("""COMPUTED_VALUE"""),660.0)</f>
        <v>660</v>
      </c>
      <c r="D684" s="2">
        <f>IFERROR(__xludf.DUMMYFUNCTION("""COMPUTED_VALUE"""),645.0)</f>
        <v>645</v>
      </c>
      <c r="E684" s="2">
        <f>IFERROR(__xludf.DUMMYFUNCTION("""COMPUTED_VALUE"""),655.0)</f>
        <v>655</v>
      </c>
      <c r="F684" s="2">
        <f>IFERROR(__xludf.DUMMYFUNCTION("""COMPUTED_VALUE"""),1.14681E7)</f>
        <v>11468100</v>
      </c>
      <c r="G684" s="2">
        <f t="shared" si="1"/>
        <v>15</v>
      </c>
    </row>
    <row r="685" ht="15.75" customHeight="1">
      <c r="A685" s="1">
        <f>IFERROR(__xludf.DUMMYFUNCTION("""COMPUTED_VALUE"""),45558.66666666667)</f>
        <v>45558.66667</v>
      </c>
      <c r="B685" s="2">
        <f>IFERROR(__xludf.DUMMYFUNCTION("""COMPUTED_VALUE"""),660.0)</f>
        <v>660</v>
      </c>
      <c r="C685" s="2">
        <f>IFERROR(__xludf.DUMMYFUNCTION("""COMPUTED_VALUE"""),665.0)</f>
        <v>665</v>
      </c>
      <c r="D685" s="2">
        <f>IFERROR(__xludf.DUMMYFUNCTION("""COMPUTED_VALUE"""),650.0)</f>
        <v>650</v>
      </c>
      <c r="E685" s="2">
        <f>IFERROR(__xludf.DUMMYFUNCTION("""COMPUTED_VALUE"""),655.0)</f>
        <v>655</v>
      </c>
      <c r="F685" s="2">
        <f>IFERROR(__xludf.DUMMYFUNCTION("""COMPUTED_VALUE"""),6509200.0)</f>
        <v>6509200</v>
      </c>
      <c r="G685" s="2">
        <f t="shared" si="1"/>
        <v>15</v>
      </c>
    </row>
    <row r="686" ht="15.75" customHeight="1">
      <c r="A686" s="1">
        <f>IFERROR(__xludf.DUMMYFUNCTION("""COMPUTED_VALUE"""),45559.66666666667)</f>
        <v>45559.66667</v>
      </c>
      <c r="B686" s="2">
        <f>IFERROR(__xludf.DUMMYFUNCTION("""COMPUTED_VALUE"""),655.0)</f>
        <v>655</v>
      </c>
      <c r="C686" s="2">
        <f>IFERROR(__xludf.DUMMYFUNCTION("""COMPUTED_VALUE"""),660.0)</f>
        <v>660</v>
      </c>
      <c r="D686" s="2">
        <f>IFERROR(__xludf.DUMMYFUNCTION("""COMPUTED_VALUE"""),645.0)</f>
        <v>645</v>
      </c>
      <c r="E686" s="2">
        <f>IFERROR(__xludf.DUMMYFUNCTION("""COMPUTED_VALUE"""),650.0)</f>
        <v>650</v>
      </c>
      <c r="F686" s="2">
        <f>IFERROR(__xludf.DUMMYFUNCTION("""COMPUTED_VALUE"""),1.0848E7)</f>
        <v>10848000</v>
      </c>
      <c r="G686" s="2">
        <f t="shared" si="1"/>
        <v>15</v>
      </c>
    </row>
    <row r="687" ht="15.75" customHeight="1">
      <c r="A687" s="1">
        <f>IFERROR(__xludf.DUMMYFUNCTION("""COMPUTED_VALUE"""),45560.66666666667)</f>
        <v>45560.66667</v>
      </c>
      <c r="B687" s="2">
        <f>IFERROR(__xludf.DUMMYFUNCTION("""COMPUTED_VALUE"""),650.0)</f>
        <v>650</v>
      </c>
      <c r="C687" s="2">
        <f>IFERROR(__xludf.DUMMYFUNCTION("""COMPUTED_VALUE"""),655.0)</f>
        <v>655</v>
      </c>
      <c r="D687" s="2">
        <f>IFERROR(__xludf.DUMMYFUNCTION("""COMPUTED_VALUE"""),635.0)</f>
        <v>635</v>
      </c>
      <c r="E687" s="2">
        <f>IFERROR(__xludf.DUMMYFUNCTION("""COMPUTED_VALUE"""),650.0)</f>
        <v>650</v>
      </c>
      <c r="F687" s="2">
        <f>IFERROR(__xludf.DUMMYFUNCTION("""COMPUTED_VALUE"""),1.81282E7)</f>
        <v>18128200</v>
      </c>
      <c r="G687" s="2">
        <f t="shared" si="1"/>
        <v>20</v>
      </c>
    </row>
    <row r="688" ht="15.75" customHeight="1">
      <c r="A688" s="1">
        <f>IFERROR(__xludf.DUMMYFUNCTION("""COMPUTED_VALUE"""),45561.66666666667)</f>
        <v>45561.66667</v>
      </c>
      <c r="B688" s="2">
        <f>IFERROR(__xludf.DUMMYFUNCTION("""COMPUTED_VALUE"""),655.0)</f>
        <v>655</v>
      </c>
      <c r="C688" s="2">
        <f>IFERROR(__xludf.DUMMYFUNCTION("""COMPUTED_VALUE"""),655.0)</f>
        <v>655</v>
      </c>
      <c r="D688" s="2">
        <f>IFERROR(__xludf.DUMMYFUNCTION("""COMPUTED_VALUE"""),635.0)</f>
        <v>635</v>
      </c>
      <c r="E688" s="2">
        <f>IFERROR(__xludf.DUMMYFUNCTION("""COMPUTED_VALUE"""),650.0)</f>
        <v>650</v>
      </c>
      <c r="F688" s="2">
        <f>IFERROR(__xludf.DUMMYFUNCTION("""COMPUTED_VALUE"""),2.50428E7)</f>
        <v>25042800</v>
      </c>
      <c r="G688" s="2">
        <f t="shared" si="1"/>
        <v>20</v>
      </c>
    </row>
    <row r="689" ht="15.75" customHeight="1">
      <c r="A689" s="1">
        <f>IFERROR(__xludf.DUMMYFUNCTION("""COMPUTED_VALUE"""),45562.66666666667)</f>
        <v>45562.66667</v>
      </c>
      <c r="B689" s="2">
        <f>IFERROR(__xludf.DUMMYFUNCTION("""COMPUTED_VALUE"""),650.0)</f>
        <v>650</v>
      </c>
      <c r="C689" s="2">
        <f>IFERROR(__xludf.DUMMYFUNCTION("""COMPUTED_VALUE"""),655.0)</f>
        <v>655</v>
      </c>
      <c r="D689" s="2">
        <f>IFERROR(__xludf.DUMMYFUNCTION("""COMPUTED_VALUE"""),640.0)</f>
        <v>640</v>
      </c>
      <c r="E689" s="2">
        <f>IFERROR(__xludf.DUMMYFUNCTION("""COMPUTED_VALUE"""),645.0)</f>
        <v>645</v>
      </c>
      <c r="F689" s="2">
        <f>IFERROR(__xludf.DUMMYFUNCTION("""COMPUTED_VALUE"""),2.20917E7)</f>
        <v>22091700</v>
      </c>
      <c r="G689" s="2">
        <f t="shared" si="1"/>
        <v>15</v>
      </c>
    </row>
    <row r="690" ht="15.75" customHeight="1">
      <c r="A690" s="1">
        <f>IFERROR(__xludf.DUMMYFUNCTION("""COMPUTED_VALUE"""),45565.66666666667)</f>
        <v>45565.66667</v>
      </c>
      <c r="B690" s="2">
        <f>IFERROR(__xludf.DUMMYFUNCTION("""COMPUTED_VALUE"""),650.0)</f>
        <v>650</v>
      </c>
      <c r="C690" s="2">
        <f>IFERROR(__xludf.DUMMYFUNCTION("""COMPUTED_VALUE"""),650.0)</f>
        <v>650</v>
      </c>
      <c r="D690" s="2">
        <f>IFERROR(__xludf.DUMMYFUNCTION("""COMPUTED_VALUE"""),635.0)</f>
        <v>635</v>
      </c>
      <c r="E690" s="2">
        <f>IFERROR(__xludf.DUMMYFUNCTION("""COMPUTED_VALUE"""),640.0)</f>
        <v>640</v>
      </c>
      <c r="F690" s="2">
        <f>IFERROR(__xludf.DUMMYFUNCTION("""COMPUTED_VALUE"""),2.72712E7)</f>
        <v>27271200</v>
      </c>
      <c r="G690" s="2">
        <f t="shared" si="1"/>
        <v>15</v>
      </c>
    </row>
    <row r="691" ht="15.75" customHeight="1">
      <c r="A691" s="1">
        <f>IFERROR(__xludf.DUMMYFUNCTION("""COMPUTED_VALUE"""),45566.66666666667)</f>
        <v>45566.66667</v>
      </c>
      <c r="B691" s="2">
        <f>IFERROR(__xludf.DUMMYFUNCTION("""COMPUTED_VALUE"""),635.0)</f>
        <v>635</v>
      </c>
      <c r="C691" s="2">
        <f>IFERROR(__xludf.DUMMYFUNCTION("""COMPUTED_VALUE"""),645.0)</f>
        <v>645</v>
      </c>
      <c r="D691" s="2">
        <f>IFERROR(__xludf.DUMMYFUNCTION("""COMPUTED_VALUE"""),625.0)</f>
        <v>625</v>
      </c>
      <c r="E691" s="2">
        <f>IFERROR(__xludf.DUMMYFUNCTION("""COMPUTED_VALUE"""),630.0)</f>
        <v>630</v>
      </c>
      <c r="F691" s="2">
        <f>IFERROR(__xludf.DUMMYFUNCTION("""COMPUTED_VALUE"""),2.78575E7)</f>
        <v>27857500</v>
      </c>
      <c r="G691" s="2">
        <f t="shared" si="1"/>
        <v>20</v>
      </c>
    </row>
    <row r="692" ht="15.75" customHeight="1">
      <c r="A692" s="1">
        <f>IFERROR(__xludf.DUMMYFUNCTION("""COMPUTED_VALUE"""),45567.66666666667)</f>
        <v>45567.66667</v>
      </c>
      <c r="B692" s="2">
        <f>IFERROR(__xludf.DUMMYFUNCTION("""COMPUTED_VALUE"""),630.0)</f>
        <v>630</v>
      </c>
      <c r="C692" s="2">
        <f>IFERROR(__xludf.DUMMYFUNCTION("""COMPUTED_VALUE"""),630.0)</f>
        <v>630</v>
      </c>
      <c r="D692" s="2">
        <f>IFERROR(__xludf.DUMMYFUNCTION("""COMPUTED_VALUE"""),600.0)</f>
        <v>600</v>
      </c>
      <c r="E692" s="2">
        <f>IFERROR(__xludf.DUMMYFUNCTION("""COMPUTED_VALUE"""),605.0)</f>
        <v>605</v>
      </c>
      <c r="F692" s="2">
        <f>IFERROR(__xludf.DUMMYFUNCTION("""COMPUTED_VALUE"""),5.98271E7)</f>
        <v>59827100</v>
      </c>
      <c r="G692" s="2">
        <f t="shared" si="1"/>
        <v>30</v>
      </c>
    </row>
    <row r="693" ht="15.75" customHeight="1">
      <c r="A693" s="1">
        <f>IFERROR(__xludf.DUMMYFUNCTION("""COMPUTED_VALUE"""),45568.66666666667)</f>
        <v>45568.66667</v>
      </c>
      <c r="B693" s="2">
        <f>IFERROR(__xludf.DUMMYFUNCTION("""COMPUTED_VALUE"""),605.0)</f>
        <v>605</v>
      </c>
      <c r="C693" s="2">
        <f>IFERROR(__xludf.DUMMYFUNCTION("""COMPUTED_VALUE"""),610.0)</f>
        <v>610</v>
      </c>
      <c r="D693" s="2">
        <f>IFERROR(__xludf.DUMMYFUNCTION("""COMPUTED_VALUE"""),595.0)</f>
        <v>595</v>
      </c>
      <c r="E693" s="2">
        <f>IFERROR(__xludf.DUMMYFUNCTION("""COMPUTED_VALUE"""),600.0)</f>
        <v>600</v>
      </c>
      <c r="F693" s="2">
        <f>IFERROR(__xludf.DUMMYFUNCTION("""COMPUTED_VALUE"""),2.90567E7)</f>
        <v>29056700</v>
      </c>
      <c r="G693" s="2">
        <f t="shared" si="1"/>
        <v>15</v>
      </c>
    </row>
    <row r="694" ht="15.75" customHeight="1">
      <c r="A694" s="1">
        <f>IFERROR(__xludf.DUMMYFUNCTION("""COMPUTED_VALUE"""),45569.66666666667)</f>
        <v>45569.66667</v>
      </c>
      <c r="B694" s="2">
        <f>IFERROR(__xludf.DUMMYFUNCTION("""COMPUTED_VALUE"""),600.0)</f>
        <v>600</v>
      </c>
      <c r="C694" s="2">
        <f>IFERROR(__xludf.DUMMYFUNCTION("""COMPUTED_VALUE"""),605.0)</f>
        <v>605</v>
      </c>
      <c r="D694" s="2">
        <f>IFERROR(__xludf.DUMMYFUNCTION("""COMPUTED_VALUE"""),595.0)</f>
        <v>595</v>
      </c>
      <c r="E694" s="2">
        <f>IFERROR(__xludf.DUMMYFUNCTION("""COMPUTED_VALUE"""),605.0)</f>
        <v>605</v>
      </c>
      <c r="F694" s="2">
        <f>IFERROR(__xludf.DUMMYFUNCTION("""COMPUTED_VALUE"""),4.36663E7)</f>
        <v>43666300</v>
      </c>
      <c r="G694" s="2">
        <f t="shared" si="1"/>
        <v>10</v>
      </c>
    </row>
    <row r="695" ht="15.75" customHeight="1">
      <c r="A695" s="1">
        <f>IFERROR(__xludf.DUMMYFUNCTION("""COMPUTED_VALUE"""),45572.66666666667)</f>
        <v>45572.66667</v>
      </c>
      <c r="B695" s="2">
        <f>IFERROR(__xludf.DUMMYFUNCTION("""COMPUTED_VALUE"""),600.0)</f>
        <v>600</v>
      </c>
      <c r="C695" s="2">
        <f>IFERROR(__xludf.DUMMYFUNCTION("""COMPUTED_VALUE"""),620.0)</f>
        <v>620</v>
      </c>
      <c r="D695" s="2">
        <f>IFERROR(__xludf.DUMMYFUNCTION("""COMPUTED_VALUE"""),595.0)</f>
        <v>595</v>
      </c>
      <c r="E695" s="2">
        <f>IFERROR(__xludf.DUMMYFUNCTION("""COMPUTED_VALUE"""),610.0)</f>
        <v>610</v>
      </c>
      <c r="F695" s="2">
        <f>IFERROR(__xludf.DUMMYFUNCTION("""COMPUTED_VALUE"""),5.48549E7)</f>
        <v>54854900</v>
      </c>
      <c r="G695" s="2">
        <f t="shared" si="1"/>
        <v>25</v>
      </c>
    </row>
    <row r="696" ht="15.75" customHeight="1">
      <c r="A696" s="1">
        <f>IFERROR(__xludf.DUMMYFUNCTION("""COMPUTED_VALUE"""),45573.66666666667)</f>
        <v>45573.66667</v>
      </c>
      <c r="B696" s="2">
        <f>IFERROR(__xludf.DUMMYFUNCTION("""COMPUTED_VALUE"""),605.0)</f>
        <v>605</v>
      </c>
      <c r="C696" s="2">
        <f>IFERROR(__xludf.DUMMYFUNCTION("""COMPUTED_VALUE"""),610.0)</f>
        <v>610</v>
      </c>
      <c r="D696" s="2">
        <f>IFERROR(__xludf.DUMMYFUNCTION("""COMPUTED_VALUE"""),590.0)</f>
        <v>590</v>
      </c>
      <c r="E696" s="2">
        <f>IFERROR(__xludf.DUMMYFUNCTION("""COMPUTED_VALUE"""),610.0)</f>
        <v>610</v>
      </c>
      <c r="F696" s="2">
        <f>IFERROR(__xludf.DUMMYFUNCTION("""COMPUTED_VALUE"""),1.029226E8)</f>
        <v>102922600</v>
      </c>
      <c r="G696" s="2">
        <f t="shared" si="1"/>
        <v>20</v>
      </c>
    </row>
    <row r="697" ht="15.75" customHeight="1">
      <c r="A697" s="1">
        <f>IFERROR(__xludf.DUMMYFUNCTION("""COMPUTED_VALUE"""),45574.66666666667)</f>
        <v>45574.66667</v>
      </c>
      <c r="B697" s="2">
        <f>IFERROR(__xludf.DUMMYFUNCTION("""COMPUTED_VALUE"""),610.0)</f>
        <v>610</v>
      </c>
      <c r="C697" s="2">
        <f>IFERROR(__xludf.DUMMYFUNCTION("""COMPUTED_VALUE"""),615.0)</f>
        <v>615</v>
      </c>
      <c r="D697" s="2">
        <f>IFERROR(__xludf.DUMMYFUNCTION("""COMPUTED_VALUE"""),605.0)</f>
        <v>605</v>
      </c>
      <c r="E697" s="2">
        <f>IFERROR(__xludf.DUMMYFUNCTION("""COMPUTED_VALUE"""),615.0)</f>
        <v>615</v>
      </c>
      <c r="F697" s="2">
        <f>IFERROR(__xludf.DUMMYFUNCTION("""COMPUTED_VALUE"""),4.34677E7)</f>
        <v>43467700</v>
      </c>
      <c r="G697" s="2">
        <f t="shared" si="1"/>
        <v>10</v>
      </c>
    </row>
    <row r="698" ht="15.75" customHeight="1">
      <c r="A698" s="1">
        <f>IFERROR(__xludf.DUMMYFUNCTION("""COMPUTED_VALUE"""),45575.66666666667)</f>
        <v>45575.66667</v>
      </c>
      <c r="B698" s="2">
        <f>IFERROR(__xludf.DUMMYFUNCTION("""COMPUTED_VALUE"""),615.0)</f>
        <v>615</v>
      </c>
      <c r="C698" s="2">
        <f>IFERROR(__xludf.DUMMYFUNCTION("""COMPUTED_VALUE"""),625.0)</f>
        <v>625</v>
      </c>
      <c r="D698" s="2">
        <f>IFERROR(__xludf.DUMMYFUNCTION("""COMPUTED_VALUE"""),605.0)</f>
        <v>605</v>
      </c>
      <c r="E698" s="2">
        <f>IFERROR(__xludf.DUMMYFUNCTION("""COMPUTED_VALUE"""),615.0)</f>
        <v>615</v>
      </c>
      <c r="F698" s="2">
        <f>IFERROR(__xludf.DUMMYFUNCTION("""COMPUTED_VALUE"""),1.331254E8)</f>
        <v>133125400</v>
      </c>
      <c r="G698" s="2">
        <f t="shared" si="1"/>
        <v>20</v>
      </c>
    </row>
    <row r="699" ht="15.75" customHeight="1">
      <c r="A699" s="1">
        <f>IFERROR(__xludf.DUMMYFUNCTION("""COMPUTED_VALUE"""),45576.66666666667)</f>
        <v>45576.66667</v>
      </c>
      <c r="B699" s="2">
        <f>IFERROR(__xludf.DUMMYFUNCTION("""COMPUTED_VALUE"""),620.0)</f>
        <v>620</v>
      </c>
      <c r="C699" s="2">
        <f>IFERROR(__xludf.DUMMYFUNCTION("""COMPUTED_VALUE"""),655.0)</f>
        <v>655</v>
      </c>
      <c r="D699" s="2">
        <f>IFERROR(__xludf.DUMMYFUNCTION("""COMPUTED_VALUE"""),620.0)</f>
        <v>620</v>
      </c>
      <c r="E699" s="2">
        <f>IFERROR(__xludf.DUMMYFUNCTION("""COMPUTED_VALUE"""),645.0)</f>
        <v>645</v>
      </c>
      <c r="F699" s="2">
        <f>IFERROR(__xludf.DUMMYFUNCTION("""COMPUTED_VALUE"""),2.059338E8)</f>
        <v>205933800</v>
      </c>
      <c r="G699" s="2">
        <f t="shared" si="1"/>
        <v>40</v>
      </c>
    </row>
    <row r="700" ht="15.75" customHeight="1">
      <c r="A700" s="1">
        <f>IFERROR(__xludf.DUMMYFUNCTION("""COMPUTED_VALUE"""),45579.66666666667)</f>
        <v>45579.66667</v>
      </c>
      <c r="B700" s="2">
        <f>IFERROR(__xludf.DUMMYFUNCTION("""COMPUTED_VALUE"""),655.0)</f>
        <v>655</v>
      </c>
      <c r="C700" s="2">
        <f>IFERROR(__xludf.DUMMYFUNCTION("""COMPUTED_VALUE"""),655.0)</f>
        <v>655</v>
      </c>
      <c r="D700" s="2">
        <f>IFERROR(__xludf.DUMMYFUNCTION("""COMPUTED_VALUE"""),620.0)</f>
        <v>620</v>
      </c>
      <c r="E700" s="2">
        <f>IFERROR(__xludf.DUMMYFUNCTION("""COMPUTED_VALUE"""),620.0)</f>
        <v>620</v>
      </c>
      <c r="F700" s="2">
        <f>IFERROR(__xludf.DUMMYFUNCTION("""COMPUTED_VALUE"""),2.82753E7)</f>
        <v>28275300</v>
      </c>
      <c r="G700" s="2">
        <f t="shared" si="1"/>
        <v>35</v>
      </c>
    </row>
    <row r="701" ht="15.75" customHeight="1">
      <c r="A701" s="1">
        <f>IFERROR(__xludf.DUMMYFUNCTION("""COMPUTED_VALUE"""),45580.66666666667)</f>
        <v>45580.66667</v>
      </c>
      <c r="B701" s="2">
        <f>IFERROR(__xludf.DUMMYFUNCTION("""COMPUTED_VALUE"""),625.0)</f>
        <v>625</v>
      </c>
      <c r="C701" s="2">
        <f>IFERROR(__xludf.DUMMYFUNCTION("""COMPUTED_VALUE"""),630.0)</f>
        <v>630</v>
      </c>
      <c r="D701" s="2">
        <f>IFERROR(__xludf.DUMMYFUNCTION("""COMPUTED_VALUE"""),615.0)</f>
        <v>615</v>
      </c>
      <c r="E701" s="2">
        <f>IFERROR(__xludf.DUMMYFUNCTION("""COMPUTED_VALUE"""),620.0)</f>
        <v>620</v>
      </c>
      <c r="F701" s="2">
        <f>IFERROR(__xludf.DUMMYFUNCTION("""COMPUTED_VALUE"""),2.30338E7)</f>
        <v>23033800</v>
      </c>
      <c r="G701" s="2">
        <f t="shared" si="1"/>
        <v>15</v>
      </c>
    </row>
    <row r="702" ht="15.75" customHeight="1">
      <c r="A702" s="1">
        <f>IFERROR(__xludf.DUMMYFUNCTION("""COMPUTED_VALUE"""),45581.66666666667)</f>
        <v>45581.66667</v>
      </c>
      <c r="B702" s="2">
        <f>IFERROR(__xludf.DUMMYFUNCTION("""COMPUTED_VALUE"""),620.0)</f>
        <v>620</v>
      </c>
      <c r="C702" s="2">
        <f>IFERROR(__xludf.DUMMYFUNCTION("""COMPUTED_VALUE"""),650.0)</f>
        <v>650</v>
      </c>
      <c r="D702" s="2">
        <f>IFERROR(__xludf.DUMMYFUNCTION("""COMPUTED_VALUE"""),610.0)</f>
        <v>610</v>
      </c>
      <c r="E702" s="2">
        <f>IFERROR(__xludf.DUMMYFUNCTION("""COMPUTED_VALUE"""),650.0)</f>
        <v>650</v>
      </c>
      <c r="F702" s="2">
        <f>IFERROR(__xludf.DUMMYFUNCTION("""COMPUTED_VALUE"""),6.4361E7)</f>
        <v>64361000</v>
      </c>
      <c r="G702" s="2">
        <f t="shared" si="1"/>
        <v>40</v>
      </c>
    </row>
    <row r="703" ht="15.75" customHeight="1">
      <c r="A703" s="1">
        <f>IFERROR(__xludf.DUMMYFUNCTION("""COMPUTED_VALUE"""),45582.66666666667)</f>
        <v>45582.66667</v>
      </c>
      <c r="B703" s="2">
        <f>IFERROR(__xludf.DUMMYFUNCTION("""COMPUTED_VALUE"""),645.0)</f>
        <v>645</v>
      </c>
      <c r="C703" s="2">
        <f>IFERROR(__xludf.DUMMYFUNCTION("""COMPUTED_VALUE"""),650.0)</f>
        <v>650</v>
      </c>
      <c r="D703" s="2">
        <f>IFERROR(__xludf.DUMMYFUNCTION("""COMPUTED_VALUE"""),630.0)</f>
        <v>630</v>
      </c>
      <c r="E703" s="2">
        <f>IFERROR(__xludf.DUMMYFUNCTION("""COMPUTED_VALUE"""),640.0)</f>
        <v>640</v>
      </c>
      <c r="F703" s="2">
        <f>IFERROR(__xludf.DUMMYFUNCTION("""COMPUTED_VALUE"""),1.82145E7)</f>
        <v>18214500</v>
      </c>
      <c r="G703" s="2">
        <f t="shared" si="1"/>
        <v>20</v>
      </c>
    </row>
    <row r="704" ht="15.75" customHeight="1">
      <c r="A704" s="1">
        <f>IFERROR(__xludf.DUMMYFUNCTION("""COMPUTED_VALUE"""),45583.66666666667)</f>
        <v>45583.66667</v>
      </c>
      <c r="B704" s="2">
        <f>IFERROR(__xludf.DUMMYFUNCTION("""COMPUTED_VALUE"""),640.0)</f>
        <v>640</v>
      </c>
      <c r="C704" s="2">
        <f>IFERROR(__xludf.DUMMYFUNCTION("""COMPUTED_VALUE"""),655.0)</f>
        <v>655</v>
      </c>
      <c r="D704" s="2">
        <f>IFERROR(__xludf.DUMMYFUNCTION("""COMPUTED_VALUE"""),635.0)</f>
        <v>635</v>
      </c>
      <c r="E704" s="2">
        <f>IFERROR(__xludf.DUMMYFUNCTION("""COMPUTED_VALUE"""),645.0)</f>
        <v>645</v>
      </c>
      <c r="F704" s="2">
        <f>IFERROR(__xludf.DUMMYFUNCTION("""COMPUTED_VALUE"""),1.13503E7)</f>
        <v>11350300</v>
      </c>
      <c r="G704" s="2">
        <f t="shared" si="1"/>
        <v>20</v>
      </c>
    </row>
    <row r="705" ht="15.75" customHeight="1">
      <c r="A705" s="1">
        <f>IFERROR(__xludf.DUMMYFUNCTION("""COMPUTED_VALUE"""),45586.66666666667)</f>
        <v>45586.66667</v>
      </c>
      <c r="B705" s="2">
        <f>IFERROR(__xludf.DUMMYFUNCTION("""COMPUTED_VALUE"""),645.0)</f>
        <v>645</v>
      </c>
      <c r="C705" s="2">
        <f>IFERROR(__xludf.DUMMYFUNCTION("""COMPUTED_VALUE"""),650.0)</f>
        <v>650</v>
      </c>
      <c r="D705" s="2">
        <f>IFERROR(__xludf.DUMMYFUNCTION("""COMPUTED_VALUE"""),635.0)</f>
        <v>635</v>
      </c>
      <c r="E705" s="2">
        <f>IFERROR(__xludf.DUMMYFUNCTION("""COMPUTED_VALUE"""),635.0)</f>
        <v>635</v>
      </c>
      <c r="F705" s="2">
        <f>IFERROR(__xludf.DUMMYFUNCTION("""COMPUTED_VALUE"""),1.13303E7)</f>
        <v>11330300</v>
      </c>
      <c r="G705" s="2">
        <f t="shared" si="1"/>
        <v>15</v>
      </c>
    </row>
    <row r="706" ht="15.75" customHeight="1">
      <c r="A706" s="1">
        <f>IFERROR(__xludf.DUMMYFUNCTION("""COMPUTED_VALUE"""),45587.66666666667)</f>
        <v>45587.66667</v>
      </c>
      <c r="B706" s="2">
        <f>IFERROR(__xludf.DUMMYFUNCTION("""COMPUTED_VALUE"""),635.0)</f>
        <v>635</v>
      </c>
      <c r="C706" s="2">
        <f>IFERROR(__xludf.DUMMYFUNCTION("""COMPUTED_VALUE"""),645.0)</f>
        <v>645</v>
      </c>
      <c r="D706" s="2">
        <f>IFERROR(__xludf.DUMMYFUNCTION("""COMPUTED_VALUE"""),630.0)</f>
        <v>630</v>
      </c>
      <c r="E706" s="2">
        <f>IFERROR(__xludf.DUMMYFUNCTION("""COMPUTED_VALUE"""),640.0)</f>
        <v>640</v>
      </c>
      <c r="F706" s="2">
        <f>IFERROR(__xludf.DUMMYFUNCTION("""COMPUTED_VALUE"""),1.96984E7)</f>
        <v>19698400</v>
      </c>
      <c r="G706" s="2">
        <f t="shared" si="1"/>
        <v>15</v>
      </c>
    </row>
    <row r="707" ht="15.75" customHeight="1">
      <c r="A707" s="1">
        <f>IFERROR(__xludf.DUMMYFUNCTION("""COMPUTED_VALUE"""),45588.66666666667)</f>
        <v>45588.66667</v>
      </c>
      <c r="B707" s="2">
        <f>IFERROR(__xludf.DUMMYFUNCTION("""COMPUTED_VALUE"""),640.0)</f>
        <v>640</v>
      </c>
      <c r="C707" s="2">
        <f>IFERROR(__xludf.DUMMYFUNCTION("""COMPUTED_VALUE"""),645.0)</f>
        <v>645</v>
      </c>
      <c r="D707" s="2">
        <f>IFERROR(__xludf.DUMMYFUNCTION("""COMPUTED_VALUE"""),630.0)</f>
        <v>630</v>
      </c>
      <c r="E707" s="2">
        <f>IFERROR(__xludf.DUMMYFUNCTION("""COMPUTED_VALUE"""),640.0)</f>
        <v>640</v>
      </c>
      <c r="F707" s="2">
        <f>IFERROR(__xludf.DUMMYFUNCTION("""COMPUTED_VALUE"""),1.11196E7)</f>
        <v>11119600</v>
      </c>
      <c r="G707" s="2">
        <f t="shared" si="1"/>
        <v>15</v>
      </c>
    </row>
    <row r="708" ht="15.75" customHeight="1">
      <c r="A708" s="1">
        <f>IFERROR(__xludf.DUMMYFUNCTION("""COMPUTED_VALUE"""),45589.66666666667)</f>
        <v>45589.66667</v>
      </c>
      <c r="B708" s="2">
        <f>IFERROR(__xludf.DUMMYFUNCTION("""COMPUTED_VALUE"""),640.0)</f>
        <v>640</v>
      </c>
      <c r="C708" s="2">
        <f>IFERROR(__xludf.DUMMYFUNCTION("""COMPUTED_VALUE"""),650.0)</f>
        <v>650</v>
      </c>
      <c r="D708" s="2">
        <f>IFERROR(__xludf.DUMMYFUNCTION("""COMPUTED_VALUE"""),630.0)</f>
        <v>630</v>
      </c>
      <c r="E708" s="2">
        <f>IFERROR(__xludf.DUMMYFUNCTION("""COMPUTED_VALUE"""),640.0)</f>
        <v>640</v>
      </c>
      <c r="F708" s="2">
        <f>IFERROR(__xludf.DUMMYFUNCTION("""COMPUTED_VALUE"""),1.4312E7)</f>
        <v>14312000</v>
      </c>
      <c r="G708" s="2">
        <f t="shared" si="1"/>
        <v>20</v>
      </c>
    </row>
    <row r="709" ht="15.75" customHeight="1">
      <c r="A709" s="1">
        <f>IFERROR(__xludf.DUMMYFUNCTION("""COMPUTED_VALUE"""),45590.66666666667)</f>
        <v>45590.66667</v>
      </c>
      <c r="B709" s="2">
        <f>IFERROR(__xludf.DUMMYFUNCTION("""COMPUTED_VALUE"""),640.0)</f>
        <v>640</v>
      </c>
      <c r="C709" s="2">
        <f>IFERROR(__xludf.DUMMYFUNCTION("""COMPUTED_VALUE"""),650.0)</f>
        <v>650</v>
      </c>
      <c r="D709" s="2">
        <f>IFERROR(__xludf.DUMMYFUNCTION("""COMPUTED_VALUE"""),630.0)</f>
        <v>630</v>
      </c>
      <c r="E709" s="2">
        <f>IFERROR(__xludf.DUMMYFUNCTION("""COMPUTED_VALUE"""),635.0)</f>
        <v>635</v>
      </c>
      <c r="F709" s="2">
        <f>IFERROR(__xludf.DUMMYFUNCTION("""COMPUTED_VALUE"""),1.09548E7)</f>
        <v>10954800</v>
      </c>
      <c r="G709" s="2">
        <f t="shared" si="1"/>
        <v>20</v>
      </c>
    </row>
    <row r="710" ht="15.75" customHeight="1">
      <c r="A710" s="1">
        <f>IFERROR(__xludf.DUMMYFUNCTION("""COMPUTED_VALUE"""),45593.66666666667)</f>
        <v>45593.66667</v>
      </c>
      <c r="B710" s="2">
        <f>IFERROR(__xludf.DUMMYFUNCTION("""COMPUTED_VALUE"""),635.0)</f>
        <v>635</v>
      </c>
      <c r="C710" s="2">
        <f>IFERROR(__xludf.DUMMYFUNCTION("""COMPUTED_VALUE"""),645.0)</f>
        <v>645</v>
      </c>
      <c r="D710" s="2">
        <f>IFERROR(__xludf.DUMMYFUNCTION("""COMPUTED_VALUE"""),630.0)</f>
        <v>630</v>
      </c>
      <c r="E710" s="2">
        <f>IFERROR(__xludf.DUMMYFUNCTION("""COMPUTED_VALUE"""),645.0)</f>
        <v>645</v>
      </c>
      <c r="F710" s="2">
        <f>IFERROR(__xludf.DUMMYFUNCTION("""COMPUTED_VALUE"""),1.73315E7)</f>
        <v>17331500</v>
      </c>
      <c r="G710" s="2">
        <f t="shared" si="1"/>
        <v>15</v>
      </c>
    </row>
    <row r="711" ht="15.75" customHeight="1">
      <c r="A711" s="1">
        <f>IFERROR(__xludf.DUMMYFUNCTION("""COMPUTED_VALUE"""),45594.66666666667)</f>
        <v>45594.66667</v>
      </c>
      <c r="B711" s="2">
        <f>IFERROR(__xludf.DUMMYFUNCTION("""COMPUTED_VALUE"""),650.0)</f>
        <v>650</v>
      </c>
      <c r="C711" s="2">
        <f>IFERROR(__xludf.DUMMYFUNCTION("""COMPUTED_VALUE"""),655.0)</f>
        <v>655</v>
      </c>
      <c r="D711" s="2">
        <f>IFERROR(__xludf.DUMMYFUNCTION("""COMPUTED_VALUE"""),645.0)</f>
        <v>645</v>
      </c>
      <c r="E711" s="2">
        <f>IFERROR(__xludf.DUMMYFUNCTION("""COMPUTED_VALUE"""),650.0)</f>
        <v>650</v>
      </c>
      <c r="F711" s="2">
        <f>IFERROR(__xludf.DUMMYFUNCTION("""COMPUTED_VALUE"""),1.71684E7)</f>
        <v>17168400</v>
      </c>
      <c r="G711" s="2">
        <f t="shared" si="1"/>
        <v>10</v>
      </c>
    </row>
    <row r="712" ht="15.75" customHeight="1">
      <c r="A712" s="1">
        <f>IFERROR(__xludf.DUMMYFUNCTION("""COMPUTED_VALUE"""),45595.66666666667)</f>
        <v>45595.66667</v>
      </c>
      <c r="B712" s="2">
        <f>IFERROR(__xludf.DUMMYFUNCTION("""COMPUTED_VALUE"""),650.0)</f>
        <v>650</v>
      </c>
      <c r="C712" s="2">
        <f>IFERROR(__xludf.DUMMYFUNCTION("""COMPUTED_VALUE"""),655.0)</f>
        <v>655</v>
      </c>
      <c r="D712" s="2">
        <f>IFERROR(__xludf.DUMMYFUNCTION("""COMPUTED_VALUE"""),640.0)</f>
        <v>640</v>
      </c>
      <c r="E712" s="2">
        <f>IFERROR(__xludf.DUMMYFUNCTION("""COMPUTED_VALUE"""),645.0)</f>
        <v>645</v>
      </c>
      <c r="F712" s="2">
        <f>IFERROR(__xludf.DUMMYFUNCTION("""COMPUTED_VALUE"""),1.65461E7)</f>
        <v>16546100</v>
      </c>
      <c r="G712" s="2">
        <f t="shared" si="1"/>
        <v>15</v>
      </c>
    </row>
    <row r="713" ht="15.75" customHeight="1">
      <c r="A713" s="1">
        <f>IFERROR(__xludf.DUMMYFUNCTION("""COMPUTED_VALUE"""),45596.66666666667)</f>
        <v>45596.66667</v>
      </c>
      <c r="B713" s="2">
        <f>IFERROR(__xludf.DUMMYFUNCTION("""COMPUTED_VALUE"""),645.0)</f>
        <v>645</v>
      </c>
      <c r="C713" s="2">
        <f>IFERROR(__xludf.DUMMYFUNCTION("""COMPUTED_VALUE"""),645.0)</f>
        <v>645</v>
      </c>
      <c r="D713" s="2">
        <f>IFERROR(__xludf.DUMMYFUNCTION("""COMPUTED_VALUE"""),630.0)</f>
        <v>630</v>
      </c>
      <c r="E713" s="2">
        <f>IFERROR(__xludf.DUMMYFUNCTION("""COMPUTED_VALUE"""),630.0)</f>
        <v>630</v>
      </c>
      <c r="F713" s="2">
        <f>IFERROR(__xludf.DUMMYFUNCTION("""COMPUTED_VALUE"""),2.02068E7)</f>
        <v>20206800</v>
      </c>
      <c r="G713" s="2">
        <f t="shared" si="1"/>
        <v>15</v>
      </c>
    </row>
    <row r="714" ht="15.75" customHeight="1">
      <c r="A714" s="1">
        <f>IFERROR(__xludf.DUMMYFUNCTION("""COMPUTED_VALUE"""),45597.66666666667)</f>
        <v>45597.66667</v>
      </c>
      <c r="B714" s="2">
        <f>IFERROR(__xludf.DUMMYFUNCTION("""COMPUTED_VALUE"""),630.0)</f>
        <v>630</v>
      </c>
      <c r="C714" s="2">
        <f>IFERROR(__xludf.DUMMYFUNCTION("""COMPUTED_VALUE"""),640.0)</f>
        <v>640</v>
      </c>
      <c r="D714" s="2">
        <f>IFERROR(__xludf.DUMMYFUNCTION("""COMPUTED_VALUE"""),620.0)</f>
        <v>620</v>
      </c>
      <c r="E714" s="2">
        <f>IFERROR(__xludf.DUMMYFUNCTION("""COMPUTED_VALUE"""),625.0)</f>
        <v>625</v>
      </c>
      <c r="F714" s="2">
        <f>IFERROR(__xludf.DUMMYFUNCTION("""COMPUTED_VALUE"""),1.84368E7)</f>
        <v>18436800</v>
      </c>
      <c r="G714" s="2">
        <f t="shared" si="1"/>
        <v>20</v>
      </c>
    </row>
    <row r="715" ht="15.75" customHeight="1">
      <c r="A715" s="1">
        <f>IFERROR(__xludf.DUMMYFUNCTION("""COMPUTED_VALUE"""),45600.66666666667)</f>
        <v>45600.66667</v>
      </c>
      <c r="B715" s="2">
        <f>IFERROR(__xludf.DUMMYFUNCTION("""COMPUTED_VALUE"""),625.0)</f>
        <v>625</v>
      </c>
      <c r="C715" s="2">
        <f>IFERROR(__xludf.DUMMYFUNCTION("""COMPUTED_VALUE"""),630.0)</f>
        <v>630</v>
      </c>
      <c r="D715" s="2">
        <f>IFERROR(__xludf.DUMMYFUNCTION("""COMPUTED_VALUE"""),610.0)</f>
        <v>610</v>
      </c>
      <c r="E715" s="2">
        <f>IFERROR(__xludf.DUMMYFUNCTION("""COMPUTED_VALUE"""),610.0)</f>
        <v>610</v>
      </c>
      <c r="F715" s="2">
        <f>IFERROR(__xludf.DUMMYFUNCTION("""COMPUTED_VALUE"""),1.93738E7)</f>
        <v>19373800</v>
      </c>
      <c r="G715" s="2">
        <f t="shared" si="1"/>
        <v>20</v>
      </c>
    </row>
    <row r="716" ht="15.75" customHeight="1">
      <c r="A716" s="1">
        <f>IFERROR(__xludf.DUMMYFUNCTION("""COMPUTED_VALUE"""),45601.66666666667)</f>
        <v>45601.66667</v>
      </c>
      <c r="B716" s="2">
        <f>IFERROR(__xludf.DUMMYFUNCTION("""COMPUTED_VALUE"""),615.0)</f>
        <v>615</v>
      </c>
      <c r="C716" s="2">
        <f>IFERROR(__xludf.DUMMYFUNCTION("""COMPUTED_VALUE"""),615.0)</f>
        <v>615</v>
      </c>
      <c r="D716" s="2">
        <f>IFERROR(__xludf.DUMMYFUNCTION("""COMPUTED_VALUE"""),595.0)</f>
        <v>595</v>
      </c>
      <c r="E716" s="2">
        <f>IFERROR(__xludf.DUMMYFUNCTION("""COMPUTED_VALUE"""),605.0)</f>
        <v>605</v>
      </c>
      <c r="F716" s="2">
        <f>IFERROR(__xludf.DUMMYFUNCTION("""COMPUTED_VALUE"""),1.99398E7)</f>
        <v>19939800</v>
      </c>
      <c r="G716" s="2">
        <f t="shared" si="1"/>
        <v>20</v>
      </c>
    </row>
    <row r="717" ht="15.75" customHeight="1">
      <c r="A717" s="1">
        <f>IFERROR(__xludf.DUMMYFUNCTION("""COMPUTED_VALUE"""),45602.66666666667)</f>
        <v>45602.66667</v>
      </c>
      <c r="B717" s="2">
        <f>IFERROR(__xludf.DUMMYFUNCTION("""COMPUTED_VALUE"""),605.0)</f>
        <v>605</v>
      </c>
      <c r="C717" s="2">
        <f>IFERROR(__xludf.DUMMYFUNCTION("""COMPUTED_VALUE"""),610.0)</f>
        <v>610</v>
      </c>
      <c r="D717" s="2">
        <f>IFERROR(__xludf.DUMMYFUNCTION("""COMPUTED_VALUE"""),600.0)</f>
        <v>600</v>
      </c>
      <c r="E717" s="2">
        <f>IFERROR(__xludf.DUMMYFUNCTION("""COMPUTED_VALUE"""),600.0)</f>
        <v>600</v>
      </c>
      <c r="F717" s="2">
        <f>IFERROR(__xludf.DUMMYFUNCTION("""COMPUTED_VALUE"""),1.91947E7)</f>
        <v>19194700</v>
      </c>
      <c r="G717" s="2">
        <f t="shared" si="1"/>
        <v>10</v>
      </c>
    </row>
    <row r="718" ht="15.75" customHeight="1">
      <c r="A718" s="1">
        <f>IFERROR(__xludf.DUMMYFUNCTION("""COMPUTED_VALUE"""),45603.66666666667)</f>
        <v>45603.66667</v>
      </c>
      <c r="B718" s="2">
        <f>IFERROR(__xludf.DUMMYFUNCTION("""COMPUTED_VALUE"""),600.0)</f>
        <v>600</v>
      </c>
      <c r="C718" s="2">
        <f>IFERROR(__xludf.DUMMYFUNCTION("""COMPUTED_VALUE"""),605.0)</f>
        <v>605</v>
      </c>
      <c r="D718" s="2">
        <f>IFERROR(__xludf.DUMMYFUNCTION("""COMPUTED_VALUE"""),585.0)</f>
        <v>585</v>
      </c>
      <c r="E718" s="2">
        <f>IFERROR(__xludf.DUMMYFUNCTION("""COMPUTED_VALUE"""),595.0)</f>
        <v>595</v>
      </c>
      <c r="F718" s="2">
        <f>IFERROR(__xludf.DUMMYFUNCTION("""COMPUTED_VALUE"""),1.1929E7)</f>
        <v>11929000</v>
      </c>
      <c r="G718" s="2">
        <f t="shared" si="1"/>
        <v>20</v>
      </c>
    </row>
    <row r="719" ht="15.75" customHeight="1">
      <c r="A719" s="1">
        <f>IFERROR(__xludf.DUMMYFUNCTION("""COMPUTED_VALUE"""),45604.66666666667)</f>
        <v>45604.66667</v>
      </c>
      <c r="B719" s="2">
        <f>IFERROR(__xludf.DUMMYFUNCTION("""COMPUTED_VALUE"""),595.0)</f>
        <v>595</v>
      </c>
      <c r="C719" s="2">
        <f>IFERROR(__xludf.DUMMYFUNCTION("""COMPUTED_VALUE"""),600.0)</f>
        <v>600</v>
      </c>
      <c r="D719" s="2">
        <f>IFERROR(__xludf.DUMMYFUNCTION("""COMPUTED_VALUE"""),580.0)</f>
        <v>580</v>
      </c>
      <c r="E719" s="2">
        <f>IFERROR(__xludf.DUMMYFUNCTION("""COMPUTED_VALUE"""),585.0)</f>
        <v>585</v>
      </c>
      <c r="F719" s="2">
        <f>IFERROR(__xludf.DUMMYFUNCTION("""COMPUTED_VALUE"""),1.60546E7)</f>
        <v>16054600</v>
      </c>
      <c r="G719" s="2">
        <f t="shared" si="1"/>
        <v>20</v>
      </c>
    </row>
    <row r="720" ht="15.75" customHeight="1">
      <c r="A720" s="1">
        <f>IFERROR(__xludf.DUMMYFUNCTION("""COMPUTED_VALUE"""),45607.66666666667)</f>
        <v>45607.66667</v>
      </c>
      <c r="B720" s="2">
        <f>IFERROR(__xludf.DUMMYFUNCTION("""COMPUTED_VALUE"""),590.0)</f>
        <v>590</v>
      </c>
      <c r="C720" s="2">
        <f>IFERROR(__xludf.DUMMYFUNCTION("""COMPUTED_VALUE"""),595.0)</f>
        <v>595</v>
      </c>
      <c r="D720" s="2">
        <f>IFERROR(__xludf.DUMMYFUNCTION("""COMPUTED_VALUE"""),570.0)</f>
        <v>570</v>
      </c>
      <c r="E720" s="2">
        <f>IFERROR(__xludf.DUMMYFUNCTION("""COMPUTED_VALUE"""),575.0)</f>
        <v>575</v>
      </c>
      <c r="F720" s="2">
        <f>IFERROR(__xludf.DUMMYFUNCTION("""COMPUTED_VALUE"""),2.26338E7)</f>
        <v>22633800</v>
      </c>
      <c r="G720" s="2">
        <f t="shared" si="1"/>
        <v>25</v>
      </c>
    </row>
    <row r="721" ht="15.75" customHeight="1">
      <c r="A721" s="1">
        <f>IFERROR(__xludf.DUMMYFUNCTION("""COMPUTED_VALUE"""),45608.66666666667)</f>
        <v>45608.66667</v>
      </c>
      <c r="B721" s="2">
        <f>IFERROR(__xludf.DUMMYFUNCTION("""COMPUTED_VALUE"""),575.0)</f>
        <v>575</v>
      </c>
      <c r="C721" s="2">
        <f>IFERROR(__xludf.DUMMYFUNCTION("""COMPUTED_VALUE"""),580.0)</f>
        <v>580</v>
      </c>
      <c r="D721" s="2">
        <f>IFERROR(__xludf.DUMMYFUNCTION("""COMPUTED_VALUE"""),565.0)</f>
        <v>565</v>
      </c>
      <c r="E721" s="2">
        <f>IFERROR(__xludf.DUMMYFUNCTION("""COMPUTED_VALUE"""),565.0)</f>
        <v>565</v>
      </c>
      <c r="F721" s="2">
        <f>IFERROR(__xludf.DUMMYFUNCTION("""COMPUTED_VALUE"""),1.84583E7)</f>
        <v>18458300</v>
      </c>
      <c r="G721" s="2">
        <f t="shared" si="1"/>
        <v>15</v>
      </c>
    </row>
    <row r="722" ht="15.75" customHeight="1">
      <c r="A722" s="1">
        <f>IFERROR(__xludf.DUMMYFUNCTION("""COMPUTED_VALUE"""),45609.66666666667)</f>
        <v>45609.66667</v>
      </c>
      <c r="B722" s="2">
        <f>IFERROR(__xludf.DUMMYFUNCTION("""COMPUTED_VALUE"""),570.0)</f>
        <v>570</v>
      </c>
      <c r="C722" s="2">
        <f>IFERROR(__xludf.DUMMYFUNCTION("""COMPUTED_VALUE"""),570.0)</f>
        <v>570</v>
      </c>
      <c r="D722" s="2">
        <f>IFERROR(__xludf.DUMMYFUNCTION("""COMPUTED_VALUE"""),555.0)</f>
        <v>555</v>
      </c>
      <c r="E722" s="2">
        <f>IFERROR(__xludf.DUMMYFUNCTION("""COMPUTED_VALUE"""),555.0)</f>
        <v>555</v>
      </c>
      <c r="F722" s="2">
        <f>IFERROR(__xludf.DUMMYFUNCTION("""COMPUTED_VALUE"""),2.87854E7)</f>
        <v>28785400</v>
      </c>
      <c r="G722" s="2">
        <f t="shared" si="1"/>
        <v>15</v>
      </c>
    </row>
    <row r="723" ht="15.75" customHeight="1">
      <c r="A723" s="1">
        <f>IFERROR(__xludf.DUMMYFUNCTION("""COMPUTED_VALUE"""),45610.66666666667)</f>
        <v>45610.66667</v>
      </c>
      <c r="B723" s="2">
        <f>IFERROR(__xludf.DUMMYFUNCTION("""COMPUTED_VALUE"""),560.0)</f>
        <v>560</v>
      </c>
      <c r="C723" s="2">
        <f>IFERROR(__xludf.DUMMYFUNCTION("""COMPUTED_VALUE"""),585.0)</f>
        <v>585</v>
      </c>
      <c r="D723" s="2">
        <f>IFERROR(__xludf.DUMMYFUNCTION("""COMPUTED_VALUE"""),555.0)</f>
        <v>555</v>
      </c>
      <c r="E723" s="2">
        <f>IFERROR(__xludf.DUMMYFUNCTION("""COMPUTED_VALUE"""),575.0)</f>
        <v>575</v>
      </c>
      <c r="F723" s="2">
        <f>IFERROR(__xludf.DUMMYFUNCTION("""COMPUTED_VALUE"""),2.16917E7)</f>
        <v>21691700</v>
      </c>
      <c r="G723" s="2">
        <f t="shared" si="1"/>
        <v>30</v>
      </c>
    </row>
    <row r="724" ht="15.75" customHeight="1">
      <c r="A724" s="1">
        <f>IFERROR(__xludf.DUMMYFUNCTION("""COMPUTED_VALUE"""),45611.66666666667)</f>
        <v>45611.66667</v>
      </c>
      <c r="B724" s="2">
        <f>IFERROR(__xludf.DUMMYFUNCTION("""COMPUTED_VALUE"""),575.0)</f>
        <v>575</v>
      </c>
      <c r="C724" s="2">
        <f>IFERROR(__xludf.DUMMYFUNCTION("""COMPUTED_VALUE"""),590.0)</f>
        <v>590</v>
      </c>
      <c r="D724" s="2">
        <f>IFERROR(__xludf.DUMMYFUNCTION("""COMPUTED_VALUE"""),565.0)</f>
        <v>565</v>
      </c>
      <c r="E724" s="2">
        <f>IFERROR(__xludf.DUMMYFUNCTION("""COMPUTED_VALUE"""),580.0)</f>
        <v>580</v>
      </c>
      <c r="F724" s="2">
        <f>IFERROR(__xludf.DUMMYFUNCTION("""COMPUTED_VALUE"""),1.87132E7)</f>
        <v>18713200</v>
      </c>
      <c r="G724" s="2">
        <f t="shared" si="1"/>
        <v>25</v>
      </c>
    </row>
    <row r="725" ht="15.75" customHeight="1">
      <c r="A725" s="1">
        <f>IFERROR(__xludf.DUMMYFUNCTION("""COMPUTED_VALUE"""),45614.66666666667)</f>
        <v>45614.66667</v>
      </c>
      <c r="B725" s="2">
        <f>IFERROR(__xludf.DUMMYFUNCTION("""COMPUTED_VALUE"""),585.0)</f>
        <v>585</v>
      </c>
      <c r="C725" s="2">
        <f>IFERROR(__xludf.DUMMYFUNCTION("""COMPUTED_VALUE"""),585.0)</f>
        <v>585</v>
      </c>
      <c r="D725" s="2">
        <f>IFERROR(__xludf.DUMMYFUNCTION("""COMPUTED_VALUE"""),565.0)</f>
        <v>565</v>
      </c>
      <c r="E725" s="2">
        <f>IFERROR(__xludf.DUMMYFUNCTION("""COMPUTED_VALUE"""),565.0)</f>
        <v>565</v>
      </c>
      <c r="F725" s="2">
        <f>IFERROR(__xludf.DUMMYFUNCTION("""COMPUTED_VALUE"""),2.40763E7)</f>
        <v>24076300</v>
      </c>
      <c r="G725" s="2">
        <f t="shared" si="1"/>
        <v>20</v>
      </c>
    </row>
    <row r="726" ht="15.75" customHeight="1">
      <c r="A726" s="1">
        <f>IFERROR(__xludf.DUMMYFUNCTION("""COMPUTED_VALUE"""),45615.66666666667)</f>
        <v>45615.66667</v>
      </c>
      <c r="B726" s="2">
        <f>IFERROR(__xludf.DUMMYFUNCTION("""COMPUTED_VALUE"""),565.0)</f>
        <v>565</v>
      </c>
      <c r="C726" s="2">
        <f>IFERROR(__xludf.DUMMYFUNCTION("""COMPUTED_VALUE"""),585.0)</f>
        <v>585</v>
      </c>
      <c r="D726" s="2">
        <f>IFERROR(__xludf.DUMMYFUNCTION("""COMPUTED_VALUE"""),565.0)</f>
        <v>565</v>
      </c>
      <c r="E726" s="2">
        <f>IFERROR(__xludf.DUMMYFUNCTION("""COMPUTED_VALUE"""),580.0)</f>
        <v>580</v>
      </c>
      <c r="F726" s="2">
        <f>IFERROR(__xludf.DUMMYFUNCTION("""COMPUTED_VALUE"""),1.70888E7)</f>
        <v>17088800</v>
      </c>
      <c r="G726" s="2">
        <f t="shared" si="1"/>
        <v>20</v>
      </c>
    </row>
    <row r="727" ht="15.75" customHeight="1">
      <c r="A727" s="1">
        <f>IFERROR(__xludf.DUMMYFUNCTION("""COMPUTED_VALUE"""),45616.66666666667)</f>
        <v>45616.66667</v>
      </c>
      <c r="B727" s="2">
        <f>IFERROR(__xludf.DUMMYFUNCTION("""COMPUTED_VALUE"""),580.0)</f>
        <v>580</v>
      </c>
      <c r="C727" s="2">
        <f>IFERROR(__xludf.DUMMYFUNCTION("""COMPUTED_VALUE"""),585.0)</f>
        <v>585</v>
      </c>
      <c r="D727" s="2">
        <f>IFERROR(__xludf.DUMMYFUNCTION("""COMPUTED_VALUE"""),570.0)</f>
        <v>570</v>
      </c>
      <c r="E727" s="2">
        <f>IFERROR(__xludf.DUMMYFUNCTION("""COMPUTED_VALUE"""),575.0)</f>
        <v>575</v>
      </c>
      <c r="F727" s="2">
        <f>IFERROR(__xludf.DUMMYFUNCTION("""COMPUTED_VALUE"""),1.08391E7)</f>
        <v>10839100</v>
      </c>
      <c r="G727" s="2">
        <f t="shared" si="1"/>
        <v>15</v>
      </c>
    </row>
    <row r="728" ht="15.75" customHeight="1">
      <c r="A728" s="1">
        <f>IFERROR(__xludf.DUMMYFUNCTION("""COMPUTED_VALUE"""),45617.66666666667)</f>
        <v>45617.66667</v>
      </c>
      <c r="B728" s="2">
        <f>IFERROR(__xludf.DUMMYFUNCTION("""COMPUTED_VALUE"""),575.0)</f>
        <v>575</v>
      </c>
      <c r="C728" s="2">
        <f>IFERROR(__xludf.DUMMYFUNCTION("""COMPUTED_VALUE"""),590.0)</f>
        <v>590</v>
      </c>
      <c r="D728" s="2">
        <f>IFERROR(__xludf.DUMMYFUNCTION("""COMPUTED_VALUE"""),570.0)</f>
        <v>570</v>
      </c>
      <c r="E728" s="2">
        <f>IFERROR(__xludf.DUMMYFUNCTION("""COMPUTED_VALUE"""),590.0)</f>
        <v>590</v>
      </c>
      <c r="F728" s="2">
        <f>IFERROR(__xludf.DUMMYFUNCTION("""COMPUTED_VALUE"""),1.49524E7)</f>
        <v>14952400</v>
      </c>
      <c r="G728" s="2">
        <f t="shared" si="1"/>
        <v>20</v>
      </c>
    </row>
    <row r="729" ht="15.75" customHeight="1">
      <c r="A729" s="1">
        <f>IFERROR(__xludf.DUMMYFUNCTION("""COMPUTED_VALUE"""),45618.66666666667)</f>
        <v>45618.66667</v>
      </c>
      <c r="B729" s="2">
        <f>IFERROR(__xludf.DUMMYFUNCTION("""COMPUTED_VALUE"""),590.0)</f>
        <v>590</v>
      </c>
      <c r="C729" s="2">
        <f>IFERROR(__xludf.DUMMYFUNCTION("""COMPUTED_VALUE"""),610.0)</f>
        <v>610</v>
      </c>
      <c r="D729" s="2">
        <f>IFERROR(__xludf.DUMMYFUNCTION("""COMPUTED_VALUE"""),580.0)</f>
        <v>580</v>
      </c>
      <c r="E729" s="2">
        <f>IFERROR(__xludf.DUMMYFUNCTION("""COMPUTED_VALUE"""),605.0)</f>
        <v>605</v>
      </c>
      <c r="F729" s="2">
        <f>IFERROR(__xludf.DUMMYFUNCTION("""COMPUTED_VALUE"""),2.77124E7)</f>
        <v>27712400</v>
      </c>
      <c r="G729" s="2">
        <f t="shared" si="1"/>
        <v>30</v>
      </c>
    </row>
    <row r="730" ht="15.75" customHeight="1">
      <c r="A730" s="1">
        <f>IFERROR(__xludf.DUMMYFUNCTION("""COMPUTED_VALUE"""),45621.66666666667)</f>
        <v>45621.66667</v>
      </c>
      <c r="B730" s="2">
        <f>IFERROR(__xludf.DUMMYFUNCTION("""COMPUTED_VALUE"""),610.0)</f>
        <v>610</v>
      </c>
      <c r="C730" s="2">
        <f>IFERROR(__xludf.DUMMYFUNCTION("""COMPUTED_VALUE"""),620.0)</f>
        <v>620</v>
      </c>
      <c r="D730" s="2">
        <f>IFERROR(__xludf.DUMMYFUNCTION("""COMPUTED_VALUE"""),605.0)</f>
        <v>605</v>
      </c>
      <c r="E730" s="2">
        <f>IFERROR(__xludf.DUMMYFUNCTION("""COMPUTED_VALUE"""),610.0)</f>
        <v>610</v>
      </c>
      <c r="F730" s="2">
        <f>IFERROR(__xludf.DUMMYFUNCTION("""COMPUTED_VALUE"""),2.11312E7)</f>
        <v>21131200</v>
      </c>
      <c r="G730" s="2">
        <f t="shared" si="1"/>
        <v>15</v>
      </c>
    </row>
    <row r="731" ht="15.75" customHeight="1">
      <c r="A731" s="1">
        <f>IFERROR(__xludf.DUMMYFUNCTION("""COMPUTED_VALUE"""),45622.66666666667)</f>
        <v>45622.66667</v>
      </c>
      <c r="B731" s="2">
        <f>IFERROR(__xludf.DUMMYFUNCTION("""COMPUTED_VALUE"""),615.0)</f>
        <v>615</v>
      </c>
      <c r="C731" s="2">
        <f>IFERROR(__xludf.DUMMYFUNCTION("""COMPUTED_VALUE"""),615.0)</f>
        <v>615</v>
      </c>
      <c r="D731" s="2">
        <f>IFERROR(__xludf.DUMMYFUNCTION("""COMPUTED_VALUE"""),600.0)</f>
        <v>600</v>
      </c>
      <c r="E731" s="2">
        <f>IFERROR(__xludf.DUMMYFUNCTION("""COMPUTED_VALUE"""),610.0)</f>
        <v>610</v>
      </c>
      <c r="F731" s="2">
        <f>IFERROR(__xludf.DUMMYFUNCTION("""COMPUTED_VALUE"""),2.30703E7)</f>
        <v>23070300</v>
      </c>
      <c r="G731" s="2">
        <f t="shared" si="1"/>
        <v>15</v>
      </c>
    </row>
    <row r="732" ht="15.75" customHeight="1">
      <c r="A732" s="1">
        <f>IFERROR(__xludf.DUMMYFUNCTION("""COMPUTED_VALUE"""),45624.66666666667)</f>
        <v>45624.66667</v>
      </c>
      <c r="B732" s="2">
        <f>IFERROR(__xludf.DUMMYFUNCTION("""COMPUTED_VALUE"""),610.0)</f>
        <v>610</v>
      </c>
      <c r="C732" s="2">
        <f>IFERROR(__xludf.DUMMYFUNCTION("""COMPUTED_VALUE"""),620.0)</f>
        <v>620</v>
      </c>
      <c r="D732" s="2">
        <f>IFERROR(__xludf.DUMMYFUNCTION("""COMPUTED_VALUE"""),605.0)</f>
        <v>605</v>
      </c>
      <c r="E732" s="2">
        <f>IFERROR(__xludf.DUMMYFUNCTION("""COMPUTED_VALUE"""),605.0)</f>
        <v>605</v>
      </c>
      <c r="F732" s="2">
        <f>IFERROR(__xludf.DUMMYFUNCTION("""COMPUTED_VALUE"""),1.08241E7)</f>
        <v>10824100</v>
      </c>
      <c r="G732" s="2">
        <f t="shared" si="1"/>
        <v>15</v>
      </c>
    </row>
    <row r="733" ht="15.75" customHeight="1">
      <c r="A733" s="1">
        <f>IFERROR(__xludf.DUMMYFUNCTION("""COMPUTED_VALUE"""),45625.66666666667)</f>
        <v>45625.66667</v>
      </c>
      <c r="B733" s="2">
        <f>IFERROR(__xludf.DUMMYFUNCTION("""COMPUTED_VALUE"""),615.0)</f>
        <v>615</v>
      </c>
      <c r="C733" s="2">
        <f>IFERROR(__xludf.DUMMYFUNCTION("""COMPUTED_VALUE"""),620.0)</f>
        <v>620</v>
      </c>
      <c r="D733" s="2">
        <f>IFERROR(__xludf.DUMMYFUNCTION("""COMPUTED_VALUE"""),610.0)</f>
        <v>610</v>
      </c>
      <c r="E733" s="2">
        <f>IFERROR(__xludf.DUMMYFUNCTION("""COMPUTED_VALUE"""),620.0)</f>
        <v>620</v>
      </c>
      <c r="F733" s="2">
        <f>IFERROR(__xludf.DUMMYFUNCTION("""COMPUTED_VALUE"""),1.44718E7)</f>
        <v>14471800</v>
      </c>
      <c r="G733" s="2">
        <f t="shared" si="1"/>
        <v>15</v>
      </c>
    </row>
    <row r="734" ht="15.75" customHeight="1">
      <c r="A734" s="1">
        <f>IFERROR(__xludf.DUMMYFUNCTION("""COMPUTED_VALUE"""),45628.66666666667)</f>
        <v>45628.66667</v>
      </c>
      <c r="B734" s="2">
        <f>IFERROR(__xludf.DUMMYFUNCTION("""COMPUTED_VALUE"""),625.0)</f>
        <v>625</v>
      </c>
      <c r="C734" s="2">
        <f>IFERROR(__xludf.DUMMYFUNCTION("""COMPUTED_VALUE"""),630.0)</f>
        <v>630</v>
      </c>
      <c r="D734" s="2">
        <f>IFERROR(__xludf.DUMMYFUNCTION("""COMPUTED_VALUE"""),620.0)</f>
        <v>620</v>
      </c>
      <c r="E734" s="2">
        <f>IFERROR(__xludf.DUMMYFUNCTION("""COMPUTED_VALUE"""),620.0)</f>
        <v>620</v>
      </c>
      <c r="F734" s="2">
        <f>IFERROR(__xludf.DUMMYFUNCTION("""COMPUTED_VALUE"""),2.00247E7)</f>
        <v>20024700</v>
      </c>
      <c r="G734" s="2">
        <f t="shared" si="1"/>
        <v>10</v>
      </c>
    </row>
    <row r="735" ht="15.75" customHeight="1">
      <c r="A735" s="1">
        <f>IFERROR(__xludf.DUMMYFUNCTION("""COMPUTED_VALUE"""),45629.66666666667)</f>
        <v>45629.66667</v>
      </c>
      <c r="B735" s="2">
        <f>IFERROR(__xludf.DUMMYFUNCTION("""COMPUTED_VALUE"""),625.0)</f>
        <v>625</v>
      </c>
      <c r="C735" s="2">
        <f>IFERROR(__xludf.DUMMYFUNCTION("""COMPUTED_VALUE"""),630.0)</f>
        <v>630</v>
      </c>
      <c r="D735" s="2">
        <f>IFERROR(__xludf.DUMMYFUNCTION("""COMPUTED_VALUE"""),620.0)</f>
        <v>620</v>
      </c>
      <c r="E735" s="2">
        <f>IFERROR(__xludf.DUMMYFUNCTION("""COMPUTED_VALUE"""),625.0)</f>
        <v>625</v>
      </c>
      <c r="F735" s="2">
        <f>IFERROR(__xludf.DUMMYFUNCTION("""COMPUTED_VALUE"""),1.35657E7)</f>
        <v>13565700</v>
      </c>
      <c r="G735" s="2">
        <f t="shared" si="1"/>
        <v>10</v>
      </c>
    </row>
    <row r="736" ht="15.75" customHeight="1">
      <c r="A736" s="1">
        <f>IFERROR(__xludf.DUMMYFUNCTION("""COMPUTED_VALUE"""),45630.66666666667)</f>
        <v>45630.66667</v>
      </c>
      <c r="B736" s="2">
        <f>IFERROR(__xludf.DUMMYFUNCTION("""COMPUTED_VALUE"""),630.0)</f>
        <v>630</v>
      </c>
      <c r="C736" s="2">
        <f>IFERROR(__xludf.DUMMYFUNCTION("""COMPUTED_VALUE"""),630.0)</f>
        <v>630</v>
      </c>
      <c r="D736" s="2">
        <f>IFERROR(__xludf.DUMMYFUNCTION("""COMPUTED_VALUE"""),620.0)</f>
        <v>620</v>
      </c>
      <c r="E736" s="2">
        <f>IFERROR(__xludf.DUMMYFUNCTION("""COMPUTED_VALUE"""),620.0)</f>
        <v>620</v>
      </c>
      <c r="F736" s="2">
        <f>IFERROR(__xludf.DUMMYFUNCTION("""COMPUTED_VALUE"""),2.3097E7)</f>
        <v>23097000</v>
      </c>
      <c r="G736" s="2">
        <f t="shared" si="1"/>
        <v>10</v>
      </c>
    </row>
    <row r="737" ht="15.75" customHeight="1">
      <c r="A737" s="1">
        <f>IFERROR(__xludf.DUMMYFUNCTION("""COMPUTED_VALUE"""),45631.66666666667)</f>
        <v>45631.66667</v>
      </c>
      <c r="B737" s="2">
        <f>IFERROR(__xludf.DUMMYFUNCTION("""COMPUTED_VALUE"""),630.0)</f>
        <v>630</v>
      </c>
      <c r="C737" s="2">
        <f>IFERROR(__xludf.DUMMYFUNCTION("""COMPUTED_VALUE"""),675.0)</f>
        <v>675</v>
      </c>
      <c r="D737" s="2">
        <f>IFERROR(__xludf.DUMMYFUNCTION("""COMPUTED_VALUE"""),625.0)</f>
        <v>625</v>
      </c>
      <c r="E737" s="2">
        <f>IFERROR(__xludf.DUMMYFUNCTION("""COMPUTED_VALUE"""),660.0)</f>
        <v>660</v>
      </c>
      <c r="F737" s="2">
        <f>IFERROR(__xludf.DUMMYFUNCTION("""COMPUTED_VALUE"""),6.80458E7)</f>
        <v>68045800</v>
      </c>
      <c r="G737" s="2">
        <f t="shared" si="1"/>
        <v>55</v>
      </c>
    </row>
    <row r="738" ht="15.75" customHeight="1">
      <c r="A738" s="1">
        <f>IFERROR(__xludf.DUMMYFUNCTION("""COMPUTED_VALUE"""),45632.66666666667)</f>
        <v>45632.66667</v>
      </c>
      <c r="B738" s="2">
        <f>IFERROR(__xludf.DUMMYFUNCTION("""COMPUTED_VALUE"""),660.0)</f>
        <v>660</v>
      </c>
      <c r="C738" s="2">
        <f>IFERROR(__xludf.DUMMYFUNCTION("""COMPUTED_VALUE"""),670.0)</f>
        <v>670</v>
      </c>
      <c r="D738" s="2">
        <f>IFERROR(__xludf.DUMMYFUNCTION("""COMPUTED_VALUE"""),655.0)</f>
        <v>655</v>
      </c>
      <c r="E738" s="2">
        <f>IFERROR(__xludf.DUMMYFUNCTION("""COMPUTED_VALUE"""),660.0)</f>
        <v>660</v>
      </c>
      <c r="F738" s="2">
        <f>IFERROR(__xludf.DUMMYFUNCTION("""COMPUTED_VALUE"""),3.23756E7)</f>
        <v>32375600</v>
      </c>
      <c r="G738" s="2">
        <f t="shared" si="1"/>
        <v>15</v>
      </c>
    </row>
    <row r="739" ht="15.75" customHeight="1">
      <c r="A739" s="1">
        <f>IFERROR(__xludf.DUMMYFUNCTION("""COMPUTED_VALUE"""),45635.66666666667)</f>
        <v>45635.66667</v>
      </c>
      <c r="B739" s="2">
        <f>IFERROR(__xludf.DUMMYFUNCTION("""COMPUTED_VALUE"""),670.0)</f>
        <v>670</v>
      </c>
      <c r="C739" s="2">
        <f>IFERROR(__xludf.DUMMYFUNCTION("""COMPUTED_VALUE"""),675.0)</f>
        <v>675</v>
      </c>
      <c r="D739" s="2">
        <f>IFERROR(__xludf.DUMMYFUNCTION("""COMPUTED_VALUE"""),660.0)</f>
        <v>660</v>
      </c>
      <c r="E739" s="2">
        <f>IFERROR(__xludf.DUMMYFUNCTION("""COMPUTED_VALUE"""),670.0)</f>
        <v>670</v>
      </c>
      <c r="F739" s="2">
        <f>IFERROR(__xludf.DUMMYFUNCTION("""COMPUTED_VALUE"""),3.23967E7)</f>
        <v>32396700</v>
      </c>
      <c r="G739" s="2">
        <f t="shared" si="1"/>
        <v>15</v>
      </c>
    </row>
    <row r="740" ht="15.75" customHeight="1">
      <c r="A740" s="1">
        <f>IFERROR(__xludf.DUMMYFUNCTION("""COMPUTED_VALUE"""),45636.66666666667)</f>
        <v>45636.66667</v>
      </c>
      <c r="B740" s="2">
        <f>IFERROR(__xludf.DUMMYFUNCTION("""COMPUTED_VALUE"""),680.0)</f>
        <v>680</v>
      </c>
      <c r="C740" s="2">
        <f>IFERROR(__xludf.DUMMYFUNCTION("""COMPUTED_VALUE"""),685.0)</f>
        <v>685</v>
      </c>
      <c r="D740" s="2">
        <f>IFERROR(__xludf.DUMMYFUNCTION("""COMPUTED_VALUE"""),670.0)</f>
        <v>670</v>
      </c>
      <c r="E740" s="2">
        <f>IFERROR(__xludf.DUMMYFUNCTION("""COMPUTED_VALUE"""),675.0)</f>
        <v>675</v>
      </c>
      <c r="F740" s="2">
        <f>IFERROR(__xludf.DUMMYFUNCTION("""COMPUTED_VALUE"""),2.87759E7)</f>
        <v>28775900</v>
      </c>
      <c r="G740" s="2">
        <f t="shared" si="1"/>
        <v>15</v>
      </c>
    </row>
    <row r="741" ht="15.75" customHeight="1">
      <c r="A741" s="1">
        <f>IFERROR(__xludf.DUMMYFUNCTION("""COMPUTED_VALUE"""),45637.66666666667)</f>
        <v>45637.66667</v>
      </c>
      <c r="B741" s="2">
        <f>IFERROR(__xludf.DUMMYFUNCTION("""COMPUTED_VALUE"""),685.0)</f>
        <v>685</v>
      </c>
      <c r="C741" s="2">
        <f>IFERROR(__xludf.DUMMYFUNCTION("""COMPUTED_VALUE"""),690.0)</f>
        <v>690</v>
      </c>
      <c r="D741" s="2">
        <f>IFERROR(__xludf.DUMMYFUNCTION("""COMPUTED_VALUE"""),680.0)</f>
        <v>680</v>
      </c>
      <c r="E741" s="2">
        <f>IFERROR(__xludf.DUMMYFUNCTION("""COMPUTED_VALUE"""),680.0)</f>
        <v>680</v>
      </c>
      <c r="F741" s="2">
        <f>IFERROR(__xludf.DUMMYFUNCTION("""COMPUTED_VALUE"""),3.96148E7)</f>
        <v>39614800</v>
      </c>
      <c r="G741" s="2">
        <f t="shared" si="1"/>
        <v>15</v>
      </c>
    </row>
    <row r="742" ht="15.75" customHeight="1">
      <c r="A742" s="1">
        <f>IFERROR(__xludf.DUMMYFUNCTION("""COMPUTED_VALUE"""),45638.66666666667)</f>
        <v>45638.66667</v>
      </c>
      <c r="B742" s="2">
        <f>IFERROR(__xludf.DUMMYFUNCTION("""COMPUTED_VALUE"""),685.0)</f>
        <v>685</v>
      </c>
      <c r="C742" s="2">
        <f>IFERROR(__xludf.DUMMYFUNCTION("""COMPUTED_VALUE"""),695.0)</f>
        <v>695</v>
      </c>
      <c r="D742" s="2">
        <f>IFERROR(__xludf.DUMMYFUNCTION("""COMPUTED_VALUE"""),680.0)</f>
        <v>680</v>
      </c>
      <c r="E742" s="2">
        <f>IFERROR(__xludf.DUMMYFUNCTION("""COMPUTED_VALUE"""),685.0)</f>
        <v>685</v>
      </c>
      <c r="F742" s="2">
        <f>IFERROR(__xludf.DUMMYFUNCTION("""COMPUTED_VALUE"""),4.57615E7)</f>
        <v>45761500</v>
      </c>
      <c r="G742" s="2">
        <f t="shared" si="1"/>
        <v>15</v>
      </c>
    </row>
    <row r="743" ht="15.75" customHeight="1">
      <c r="A743" s="1">
        <f>IFERROR(__xludf.DUMMYFUNCTION("""COMPUTED_VALUE"""),45639.66666666667)</f>
        <v>45639.66667</v>
      </c>
      <c r="B743" s="2">
        <f>IFERROR(__xludf.DUMMYFUNCTION("""COMPUTED_VALUE"""),685.0)</f>
        <v>685</v>
      </c>
      <c r="C743" s="2">
        <f>IFERROR(__xludf.DUMMYFUNCTION("""COMPUTED_VALUE"""),690.0)</f>
        <v>690</v>
      </c>
      <c r="D743" s="2">
        <f>IFERROR(__xludf.DUMMYFUNCTION("""COMPUTED_VALUE"""),675.0)</f>
        <v>675</v>
      </c>
      <c r="E743" s="2">
        <f>IFERROR(__xludf.DUMMYFUNCTION("""COMPUTED_VALUE"""),680.0)</f>
        <v>680</v>
      </c>
      <c r="F743" s="2">
        <f>IFERROR(__xludf.DUMMYFUNCTION("""COMPUTED_VALUE"""),3.81967E7)</f>
        <v>38196700</v>
      </c>
      <c r="G743" s="2">
        <f t="shared" si="1"/>
        <v>15</v>
      </c>
    </row>
    <row r="744" ht="15.75" customHeight="1">
      <c r="A744" s="1">
        <f>IFERROR(__xludf.DUMMYFUNCTION("""COMPUTED_VALUE"""),45642.66666666667)</f>
        <v>45642.66667</v>
      </c>
      <c r="B744" s="2">
        <f>IFERROR(__xludf.DUMMYFUNCTION("""COMPUTED_VALUE"""),680.0)</f>
        <v>680</v>
      </c>
      <c r="C744" s="2">
        <f>IFERROR(__xludf.DUMMYFUNCTION("""COMPUTED_VALUE"""),685.0)</f>
        <v>685</v>
      </c>
      <c r="D744" s="2">
        <f>IFERROR(__xludf.DUMMYFUNCTION("""COMPUTED_VALUE"""),675.0)</f>
        <v>675</v>
      </c>
      <c r="E744" s="2">
        <f>IFERROR(__xludf.DUMMYFUNCTION("""COMPUTED_VALUE"""),680.0)</f>
        <v>680</v>
      </c>
      <c r="F744" s="2">
        <f>IFERROR(__xludf.DUMMYFUNCTION("""COMPUTED_VALUE"""),1.6467E7)</f>
        <v>16467000</v>
      </c>
      <c r="G744" s="2">
        <f t="shared" si="1"/>
        <v>10</v>
      </c>
    </row>
    <row r="745" ht="15.75" customHeight="1">
      <c r="A745" s="1">
        <f>IFERROR(__xludf.DUMMYFUNCTION("""COMPUTED_VALUE"""),45643.66666666667)</f>
        <v>45643.66667</v>
      </c>
      <c r="B745" s="2">
        <f>IFERROR(__xludf.DUMMYFUNCTION("""COMPUTED_VALUE"""),680.0)</f>
        <v>680</v>
      </c>
      <c r="C745" s="2">
        <f>IFERROR(__xludf.DUMMYFUNCTION("""COMPUTED_VALUE"""),685.0)</f>
        <v>685</v>
      </c>
      <c r="D745" s="2">
        <f>IFERROR(__xludf.DUMMYFUNCTION("""COMPUTED_VALUE"""),670.0)</f>
        <v>670</v>
      </c>
      <c r="E745" s="2">
        <f>IFERROR(__xludf.DUMMYFUNCTION("""COMPUTED_VALUE"""),675.0)</f>
        <v>675</v>
      </c>
      <c r="F745" s="2">
        <f>IFERROR(__xludf.DUMMYFUNCTION("""COMPUTED_VALUE"""),1.78222E7)</f>
        <v>17822200</v>
      </c>
      <c r="G745" s="2">
        <f t="shared" si="1"/>
        <v>15</v>
      </c>
    </row>
    <row r="746" ht="15.75" customHeight="1">
      <c r="A746" s="1">
        <f>IFERROR(__xludf.DUMMYFUNCTION("""COMPUTED_VALUE"""),45644.66666666667)</f>
        <v>45644.66667</v>
      </c>
      <c r="B746" s="2">
        <f>IFERROR(__xludf.DUMMYFUNCTION("""COMPUTED_VALUE"""),675.0)</f>
        <v>675</v>
      </c>
      <c r="C746" s="2">
        <f>IFERROR(__xludf.DUMMYFUNCTION("""COMPUTED_VALUE"""),675.0)</f>
        <v>675</v>
      </c>
      <c r="D746" s="2">
        <f>IFERROR(__xludf.DUMMYFUNCTION("""COMPUTED_VALUE"""),665.0)</f>
        <v>665</v>
      </c>
      <c r="E746" s="2">
        <f>IFERROR(__xludf.DUMMYFUNCTION("""COMPUTED_VALUE"""),670.0)</f>
        <v>670</v>
      </c>
      <c r="F746" s="2">
        <f>IFERROR(__xludf.DUMMYFUNCTION("""COMPUTED_VALUE"""),1.88692E7)</f>
        <v>18869200</v>
      </c>
      <c r="G746" s="2">
        <f t="shared" si="1"/>
        <v>10</v>
      </c>
    </row>
    <row r="747" ht="15.75" customHeight="1">
      <c r="A747" s="1">
        <f>IFERROR(__xludf.DUMMYFUNCTION("""COMPUTED_VALUE"""),45645.66666666667)</f>
        <v>45645.66667</v>
      </c>
      <c r="B747" s="2">
        <f>IFERROR(__xludf.DUMMYFUNCTION("""COMPUTED_VALUE"""),675.0)</f>
        <v>675</v>
      </c>
      <c r="C747" s="2">
        <f>IFERROR(__xludf.DUMMYFUNCTION("""COMPUTED_VALUE"""),675.0)</f>
        <v>675</v>
      </c>
      <c r="D747" s="2">
        <f>IFERROR(__xludf.DUMMYFUNCTION("""COMPUTED_VALUE"""),665.0)</f>
        <v>665</v>
      </c>
      <c r="E747" s="2">
        <f>IFERROR(__xludf.DUMMYFUNCTION("""COMPUTED_VALUE"""),665.0)</f>
        <v>665</v>
      </c>
      <c r="F747" s="2">
        <f>IFERROR(__xludf.DUMMYFUNCTION("""COMPUTED_VALUE"""),2.46076E7)</f>
        <v>24607600</v>
      </c>
      <c r="G747" s="2">
        <f t="shared" si="1"/>
        <v>10</v>
      </c>
    </row>
    <row r="748" ht="15.75" customHeight="1">
      <c r="A748" s="1">
        <f>IFERROR(__xludf.DUMMYFUNCTION("""COMPUTED_VALUE"""),45646.66666666667)</f>
        <v>45646.66667</v>
      </c>
      <c r="B748" s="2">
        <f>IFERROR(__xludf.DUMMYFUNCTION("""COMPUTED_VALUE"""),670.0)</f>
        <v>670</v>
      </c>
      <c r="C748" s="2">
        <f>IFERROR(__xludf.DUMMYFUNCTION("""COMPUTED_VALUE"""),670.0)</f>
        <v>670</v>
      </c>
      <c r="D748" s="2">
        <f>IFERROR(__xludf.DUMMYFUNCTION("""COMPUTED_VALUE"""),655.0)</f>
        <v>655</v>
      </c>
      <c r="E748" s="2">
        <f>IFERROR(__xludf.DUMMYFUNCTION("""COMPUTED_VALUE"""),660.0)</f>
        <v>660</v>
      </c>
      <c r="F748" s="2">
        <f>IFERROR(__xludf.DUMMYFUNCTION("""COMPUTED_VALUE"""),2.76406E7)</f>
        <v>27640600</v>
      </c>
      <c r="G748" s="2">
        <f t="shared" si="1"/>
        <v>15</v>
      </c>
    </row>
    <row r="749" ht="15.75" customHeight="1">
      <c r="A749" s="4">
        <f>IFERROR(__xludf.DUMMYFUNCTION("""COMPUTED_VALUE"""),45649.66666666667)</f>
        <v>45649.66667</v>
      </c>
      <c r="B749" s="5">
        <f>IFERROR(__xludf.DUMMYFUNCTION("""COMPUTED_VALUE"""),665.0)</f>
        <v>665</v>
      </c>
      <c r="C749" s="5">
        <f>IFERROR(__xludf.DUMMYFUNCTION("""COMPUTED_VALUE"""),670.0)</f>
        <v>670</v>
      </c>
      <c r="D749" s="5">
        <f>IFERROR(__xludf.DUMMYFUNCTION("""COMPUTED_VALUE"""),650.0)</f>
        <v>650</v>
      </c>
      <c r="E749" s="5">
        <f>IFERROR(__xludf.DUMMYFUNCTION("""COMPUTED_VALUE"""),660.0)</f>
        <v>660</v>
      </c>
      <c r="F749" s="5">
        <f>IFERROR(__xludf.DUMMYFUNCTION("""COMPUTED_VALUE"""),1.97214E7)</f>
        <v>19721400</v>
      </c>
      <c r="G749" s="2">
        <f t="shared" si="1"/>
        <v>20</v>
      </c>
    </row>
    <row r="750" ht="15.75" customHeight="1">
      <c r="A750" s="4">
        <f>IFERROR(__xludf.DUMMYFUNCTION("""COMPUTED_VALUE"""),45650.66666666667)</f>
        <v>45650.66667</v>
      </c>
      <c r="B750" s="5">
        <f>IFERROR(__xludf.DUMMYFUNCTION("""COMPUTED_VALUE"""),655.0)</f>
        <v>655</v>
      </c>
      <c r="C750" s="5">
        <f>IFERROR(__xludf.DUMMYFUNCTION("""COMPUTED_VALUE"""),665.0)</f>
        <v>665</v>
      </c>
      <c r="D750" s="5">
        <f>IFERROR(__xludf.DUMMYFUNCTION("""COMPUTED_VALUE"""),645.0)</f>
        <v>645</v>
      </c>
      <c r="E750" s="5">
        <f>IFERROR(__xludf.DUMMYFUNCTION("""COMPUTED_VALUE"""),660.0)</f>
        <v>660</v>
      </c>
      <c r="F750" s="5">
        <f>IFERROR(__xludf.DUMMYFUNCTION("""COMPUTED_VALUE"""),1.40143E7)</f>
        <v>14014300</v>
      </c>
      <c r="G750" s="2">
        <f t="shared" si="1"/>
        <v>20</v>
      </c>
    </row>
    <row r="751" ht="15.75" customHeight="1">
      <c r="A751" s="4">
        <f>IFERROR(__xludf.DUMMYFUNCTION("""COMPUTED_VALUE"""),45653.66666666667)</f>
        <v>45653.66667</v>
      </c>
      <c r="B751" s="5">
        <f>IFERROR(__xludf.DUMMYFUNCTION("""COMPUTED_VALUE"""),655.0)</f>
        <v>655</v>
      </c>
      <c r="C751" s="5">
        <f>IFERROR(__xludf.DUMMYFUNCTION("""COMPUTED_VALUE"""),660.0)</f>
        <v>660</v>
      </c>
      <c r="D751" s="5">
        <f>IFERROR(__xludf.DUMMYFUNCTION("""COMPUTED_VALUE"""),645.0)</f>
        <v>645</v>
      </c>
      <c r="E751" s="5">
        <f>IFERROR(__xludf.DUMMYFUNCTION("""COMPUTED_VALUE"""),650.0)</f>
        <v>650</v>
      </c>
      <c r="F751" s="5">
        <f>IFERROR(__xludf.DUMMYFUNCTION("""COMPUTED_VALUE"""),9567000.0)</f>
        <v>9567000</v>
      </c>
      <c r="G751" s="2">
        <f t="shared" si="1"/>
        <v>15</v>
      </c>
    </row>
    <row r="752" ht="15.75" customHeight="1">
      <c r="A752" s="4">
        <f>IFERROR(__xludf.DUMMYFUNCTION("""COMPUTED_VALUE"""),45656.66666666667)</f>
        <v>45656.66667</v>
      </c>
      <c r="B752" s="5">
        <f>IFERROR(__xludf.DUMMYFUNCTION("""COMPUTED_VALUE"""),650.0)</f>
        <v>650</v>
      </c>
      <c r="C752" s="5">
        <f>IFERROR(__xludf.DUMMYFUNCTION("""COMPUTED_VALUE"""),660.0)</f>
        <v>660</v>
      </c>
      <c r="D752" s="5">
        <f>IFERROR(__xludf.DUMMYFUNCTION("""COMPUTED_VALUE"""),645.0)</f>
        <v>645</v>
      </c>
      <c r="E752" s="5">
        <f>IFERROR(__xludf.DUMMYFUNCTION("""COMPUTED_VALUE"""),645.0)</f>
        <v>645</v>
      </c>
      <c r="F752" s="5">
        <f>IFERROR(__xludf.DUMMYFUNCTION("""COMPUTED_VALUE"""),1.34864E7)</f>
        <v>13486400</v>
      </c>
      <c r="G752" s="2">
        <f t="shared" si="1"/>
        <v>15</v>
      </c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7" width="12.63"/>
  </cols>
  <sheetData>
    <row r="1" ht="15.75" customHeight="1">
      <c r="A1" s="1" t="str">
        <f>IFERROR(__xludf.DUMMYFUNCTION("GOOGLEFINANCE(""IDX:PGAS"", ""all"", DATE(2020,1,1), DATE(2025,1,1), ""DAILY"")
"),"Date")</f>
        <v>Date</v>
      </c>
      <c r="B1" s="2" t="str">
        <f>IFERROR(__xludf.DUMMYFUNCTION("""COMPUTED_VALUE"""),"Open")</f>
        <v>Open</v>
      </c>
      <c r="C1" s="2" t="str">
        <f>IFERROR(__xludf.DUMMYFUNCTION("""COMPUTED_VALUE"""),"High")</f>
        <v>High</v>
      </c>
      <c r="D1" s="2" t="str">
        <f>IFERROR(__xludf.DUMMYFUNCTION("""COMPUTED_VALUE"""),"Low")</f>
        <v>Low</v>
      </c>
      <c r="E1" s="2" t="str">
        <f>IFERROR(__xludf.DUMMYFUNCTION("""COMPUTED_VALUE"""),"Close")</f>
        <v>Close</v>
      </c>
      <c r="F1" s="2" t="str">
        <f>IFERROR(__xludf.DUMMYFUNCTION("""COMPUTED_VALUE"""),"Volume")</f>
        <v>Volume</v>
      </c>
      <c r="G1" s="3" t="s">
        <v>0</v>
      </c>
    </row>
    <row r="2" ht="15.75" customHeight="1">
      <c r="A2" s="1">
        <f>IFERROR(__xludf.DUMMYFUNCTION("""COMPUTED_VALUE"""),43832.66666666667)</f>
        <v>43832.66667</v>
      </c>
      <c r="B2" s="2">
        <f>IFERROR(__xludf.DUMMYFUNCTION("""COMPUTED_VALUE"""),2170.0)</f>
        <v>2170</v>
      </c>
      <c r="C2" s="2">
        <f>IFERROR(__xludf.DUMMYFUNCTION("""COMPUTED_VALUE"""),2180.0)</f>
        <v>2180</v>
      </c>
      <c r="D2" s="2">
        <f>IFERROR(__xludf.DUMMYFUNCTION("""COMPUTED_VALUE"""),2110.0)</f>
        <v>2110</v>
      </c>
      <c r="E2" s="2">
        <f>IFERROR(__xludf.DUMMYFUNCTION("""COMPUTED_VALUE"""),2140.0)</f>
        <v>2140</v>
      </c>
      <c r="F2" s="2">
        <f>IFERROR(__xludf.DUMMYFUNCTION("""COMPUTED_VALUE"""),2.07834E7)</f>
        <v>20783400</v>
      </c>
      <c r="G2" s="2"/>
    </row>
    <row r="3" ht="15.75" customHeight="1">
      <c r="A3" s="1">
        <f>IFERROR(__xludf.DUMMYFUNCTION("""COMPUTED_VALUE"""),43833.66666666667)</f>
        <v>43833.66667</v>
      </c>
      <c r="B3" s="2">
        <f>IFERROR(__xludf.DUMMYFUNCTION("""COMPUTED_VALUE"""),2140.0)</f>
        <v>2140</v>
      </c>
      <c r="C3" s="2">
        <f>IFERROR(__xludf.DUMMYFUNCTION("""COMPUTED_VALUE"""),2160.0)</f>
        <v>2160</v>
      </c>
      <c r="D3" s="2">
        <f>IFERROR(__xludf.DUMMYFUNCTION("""COMPUTED_VALUE"""),2110.0)</f>
        <v>2110</v>
      </c>
      <c r="E3" s="2">
        <f>IFERROR(__xludf.DUMMYFUNCTION("""COMPUTED_VALUE"""),2160.0)</f>
        <v>2160</v>
      </c>
      <c r="F3" s="2">
        <f>IFERROR(__xludf.DUMMYFUNCTION("""COMPUTED_VALUE"""),2.40498E7)</f>
        <v>24049800</v>
      </c>
      <c r="G3" s="2">
        <f t="shared" ref="G3:G1212" si="1">MAX(C3-D3, ABS(C3-E2), ABS(D3-E2))</f>
        <v>50</v>
      </c>
    </row>
    <row r="4" ht="15.75" customHeight="1">
      <c r="A4" s="1">
        <f>IFERROR(__xludf.DUMMYFUNCTION("""COMPUTED_VALUE"""),43836.66666666667)</f>
        <v>43836.66667</v>
      </c>
      <c r="B4" s="2">
        <f>IFERROR(__xludf.DUMMYFUNCTION("""COMPUTED_VALUE"""),2160.0)</f>
        <v>2160</v>
      </c>
      <c r="C4" s="2">
        <f>IFERROR(__xludf.DUMMYFUNCTION("""COMPUTED_VALUE"""),2200.0)</f>
        <v>2200</v>
      </c>
      <c r="D4" s="2">
        <f>IFERROR(__xludf.DUMMYFUNCTION("""COMPUTED_VALUE"""),2130.0)</f>
        <v>2130</v>
      </c>
      <c r="E4" s="2">
        <f>IFERROR(__xludf.DUMMYFUNCTION("""COMPUTED_VALUE"""),2150.0)</f>
        <v>2150</v>
      </c>
      <c r="F4" s="2">
        <f>IFERROR(__xludf.DUMMYFUNCTION("""COMPUTED_VALUE"""),4.62961E7)</f>
        <v>46296100</v>
      </c>
      <c r="G4" s="2">
        <f t="shared" si="1"/>
        <v>70</v>
      </c>
    </row>
    <row r="5" ht="15.75" customHeight="1">
      <c r="A5" s="1">
        <f>IFERROR(__xludf.DUMMYFUNCTION("""COMPUTED_VALUE"""),43837.66666666667)</f>
        <v>43837.66667</v>
      </c>
      <c r="B5" s="2">
        <f>IFERROR(__xludf.DUMMYFUNCTION("""COMPUTED_VALUE"""),2120.0)</f>
        <v>2120</v>
      </c>
      <c r="C5" s="2">
        <f>IFERROR(__xludf.DUMMYFUNCTION("""COMPUTED_VALUE"""),2140.0)</f>
        <v>2140</v>
      </c>
      <c r="D5" s="2">
        <f>IFERROR(__xludf.DUMMYFUNCTION("""COMPUTED_VALUE"""),2070.0)</f>
        <v>2070</v>
      </c>
      <c r="E5" s="2">
        <f>IFERROR(__xludf.DUMMYFUNCTION("""COMPUTED_VALUE"""),2100.0)</f>
        <v>2100</v>
      </c>
      <c r="F5" s="2">
        <f>IFERROR(__xludf.DUMMYFUNCTION("""COMPUTED_VALUE"""),5.92054E7)</f>
        <v>59205400</v>
      </c>
      <c r="G5" s="2">
        <f t="shared" si="1"/>
        <v>80</v>
      </c>
    </row>
    <row r="6" ht="15.75" customHeight="1">
      <c r="A6" s="1">
        <f>IFERROR(__xludf.DUMMYFUNCTION("""COMPUTED_VALUE"""),43838.66666666667)</f>
        <v>43838.66667</v>
      </c>
      <c r="B6" s="2">
        <f>IFERROR(__xludf.DUMMYFUNCTION("""COMPUTED_VALUE"""),2080.0)</f>
        <v>2080</v>
      </c>
      <c r="C6" s="2">
        <f>IFERROR(__xludf.DUMMYFUNCTION("""COMPUTED_VALUE"""),2120.0)</f>
        <v>2120</v>
      </c>
      <c r="D6" s="2">
        <f>IFERROR(__xludf.DUMMYFUNCTION("""COMPUTED_VALUE"""),2080.0)</f>
        <v>2080</v>
      </c>
      <c r="E6" s="2">
        <f>IFERROR(__xludf.DUMMYFUNCTION("""COMPUTED_VALUE"""),2100.0)</f>
        <v>2100</v>
      </c>
      <c r="F6" s="2">
        <f>IFERROR(__xludf.DUMMYFUNCTION("""COMPUTED_VALUE"""),2.8479E7)</f>
        <v>28479000</v>
      </c>
      <c r="G6" s="2">
        <f t="shared" si="1"/>
        <v>40</v>
      </c>
    </row>
    <row r="7" ht="15.75" customHeight="1">
      <c r="A7" s="1">
        <f>IFERROR(__xludf.DUMMYFUNCTION("""COMPUTED_VALUE"""),43839.66666666667)</f>
        <v>43839.66667</v>
      </c>
      <c r="B7" s="2">
        <f>IFERROR(__xludf.DUMMYFUNCTION("""COMPUTED_VALUE"""),2120.0)</f>
        <v>2120</v>
      </c>
      <c r="C7" s="2">
        <f>IFERROR(__xludf.DUMMYFUNCTION("""COMPUTED_VALUE"""),2130.0)</f>
        <v>2130</v>
      </c>
      <c r="D7" s="2">
        <f>IFERROR(__xludf.DUMMYFUNCTION("""COMPUTED_VALUE"""),2070.0)</f>
        <v>2070</v>
      </c>
      <c r="E7" s="2">
        <f>IFERROR(__xludf.DUMMYFUNCTION("""COMPUTED_VALUE"""),2100.0)</f>
        <v>2100</v>
      </c>
      <c r="F7" s="2">
        <f>IFERROR(__xludf.DUMMYFUNCTION("""COMPUTED_VALUE"""),3.24574E7)</f>
        <v>32457400</v>
      </c>
      <c r="G7" s="2">
        <f t="shared" si="1"/>
        <v>60</v>
      </c>
    </row>
    <row r="8" ht="15.75" customHeight="1">
      <c r="A8" s="1">
        <f>IFERROR(__xludf.DUMMYFUNCTION("""COMPUTED_VALUE"""),43840.66666666667)</f>
        <v>43840.66667</v>
      </c>
      <c r="B8" s="2">
        <f>IFERROR(__xludf.DUMMYFUNCTION("""COMPUTED_VALUE"""),2120.0)</f>
        <v>2120</v>
      </c>
      <c r="C8" s="2">
        <f>IFERROR(__xludf.DUMMYFUNCTION("""COMPUTED_VALUE"""),2120.0)</f>
        <v>2120</v>
      </c>
      <c r="D8" s="2">
        <f>IFERROR(__xludf.DUMMYFUNCTION("""COMPUTED_VALUE"""),2070.0)</f>
        <v>2070</v>
      </c>
      <c r="E8" s="2">
        <f>IFERROR(__xludf.DUMMYFUNCTION("""COMPUTED_VALUE"""),2080.0)</f>
        <v>2080</v>
      </c>
      <c r="F8" s="2">
        <f>IFERROR(__xludf.DUMMYFUNCTION("""COMPUTED_VALUE"""),2.6998E7)</f>
        <v>26998000</v>
      </c>
      <c r="G8" s="2">
        <f t="shared" si="1"/>
        <v>50</v>
      </c>
    </row>
    <row r="9" ht="15.75" customHeight="1">
      <c r="A9" s="1">
        <f>IFERROR(__xludf.DUMMYFUNCTION("""COMPUTED_VALUE"""),43843.66666666667)</f>
        <v>43843.66667</v>
      </c>
      <c r="B9" s="2">
        <f>IFERROR(__xludf.DUMMYFUNCTION("""COMPUTED_VALUE"""),2090.0)</f>
        <v>2090</v>
      </c>
      <c r="C9" s="2">
        <f>IFERROR(__xludf.DUMMYFUNCTION("""COMPUTED_VALUE"""),2100.0)</f>
        <v>2100</v>
      </c>
      <c r="D9" s="2">
        <f>IFERROR(__xludf.DUMMYFUNCTION("""COMPUTED_VALUE"""),2070.0)</f>
        <v>2070</v>
      </c>
      <c r="E9" s="2">
        <f>IFERROR(__xludf.DUMMYFUNCTION("""COMPUTED_VALUE"""),2090.0)</f>
        <v>2090</v>
      </c>
      <c r="F9" s="2">
        <f>IFERROR(__xludf.DUMMYFUNCTION("""COMPUTED_VALUE"""),1.57911E7)</f>
        <v>15791100</v>
      </c>
      <c r="G9" s="2">
        <f t="shared" si="1"/>
        <v>30</v>
      </c>
    </row>
    <row r="10" ht="15.75" customHeight="1">
      <c r="A10" s="1">
        <f>IFERROR(__xludf.DUMMYFUNCTION("""COMPUTED_VALUE"""),43844.66666666667)</f>
        <v>43844.66667</v>
      </c>
      <c r="B10" s="2">
        <f>IFERROR(__xludf.DUMMYFUNCTION("""COMPUTED_VALUE"""),2080.0)</f>
        <v>2080</v>
      </c>
      <c r="C10" s="2">
        <f>IFERROR(__xludf.DUMMYFUNCTION("""COMPUTED_VALUE"""),2120.0)</f>
        <v>2120</v>
      </c>
      <c r="D10" s="2">
        <f>IFERROR(__xludf.DUMMYFUNCTION("""COMPUTED_VALUE"""),2070.0)</f>
        <v>2070</v>
      </c>
      <c r="E10" s="2">
        <f>IFERROR(__xludf.DUMMYFUNCTION("""COMPUTED_VALUE"""),2090.0)</f>
        <v>2090</v>
      </c>
      <c r="F10" s="2">
        <f>IFERROR(__xludf.DUMMYFUNCTION("""COMPUTED_VALUE"""),3.26912E7)</f>
        <v>32691200</v>
      </c>
      <c r="G10" s="2">
        <f t="shared" si="1"/>
        <v>50</v>
      </c>
    </row>
    <row r="11" ht="15.75" customHeight="1">
      <c r="A11" s="1">
        <f>IFERROR(__xludf.DUMMYFUNCTION("""COMPUTED_VALUE"""),43845.66666666667)</f>
        <v>43845.66667</v>
      </c>
      <c r="B11" s="2">
        <f>IFERROR(__xludf.DUMMYFUNCTION("""COMPUTED_VALUE"""),2090.0)</f>
        <v>2090</v>
      </c>
      <c r="C11" s="2">
        <f>IFERROR(__xludf.DUMMYFUNCTION("""COMPUTED_VALUE"""),2100.0)</f>
        <v>2100</v>
      </c>
      <c r="D11" s="2">
        <f>IFERROR(__xludf.DUMMYFUNCTION("""COMPUTED_VALUE"""),2010.0)</f>
        <v>2010</v>
      </c>
      <c r="E11" s="2">
        <f>IFERROR(__xludf.DUMMYFUNCTION("""COMPUTED_VALUE"""),2040.0)</f>
        <v>2040</v>
      </c>
      <c r="F11" s="2">
        <f>IFERROR(__xludf.DUMMYFUNCTION("""COMPUTED_VALUE"""),4.46483E7)</f>
        <v>44648300</v>
      </c>
      <c r="G11" s="2">
        <f t="shared" si="1"/>
        <v>90</v>
      </c>
    </row>
    <row r="12" ht="15.75" customHeight="1">
      <c r="A12" s="1">
        <f>IFERROR(__xludf.DUMMYFUNCTION("""COMPUTED_VALUE"""),43846.66666666667)</f>
        <v>43846.66667</v>
      </c>
      <c r="B12" s="2">
        <f>IFERROR(__xludf.DUMMYFUNCTION("""COMPUTED_VALUE"""),2040.0)</f>
        <v>2040</v>
      </c>
      <c r="C12" s="2">
        <f>IFERROR(__xludf.DUMMYFUNCTION("""COMPUTED_VALUE"""),2070.0)</f>
        <v>2070</v>
      </c>
      <c r="D12" s="2">
        <f>IFERROR(__xludf.DUMMYFUNCTION("""COMPUTED_VALUE"""),2020.0)</f>
        <v>2020</v>
      </c>
      <c r="E12" s="2">
        <f>IFERROR(__xludf.DUMMYFUNCTION("""COMPUTED_VALUE"""),2030.0)</f>
        <v>2030</v>
      </c>
      <c r="F12" s="2">
        <f>IFERROR(__xludf.DUMMYFUNCTION("""COMPUTED_VALUE"""),3.14126E7)</f>
        <v>31412600</v>
      </c>
      <c r="G12" s="2">
        <f t="shared" si="1"/>
        <v>50</v>
      </c>
    </row>
    <row r="13" ht="15.75" customHeight="1">
      <c r="A13" s="1">
        <f>IFERROR(__xludf.DUMMYFUNCTION("""COMPUTED_VALUE"""),43847.66666666667)</f>
        <v>43847.66667</v>
      </c>
      <c r="B13" s="2">
        <f>IFERROR(__xludf.DUMMYFUNCTION("""COMPUTED_VALUE"""),2060.0)</f>
        <v>2060</v>
      </c>
      <c r="C13" s="2">
        <f>IFERROR(__xludf.DUMMYFUNCTION("""COMPUTED_VALUE"""),2060.0)</f>
        <v>2060</v>
      </c>
      <c r="D13" s="2">
        <f>IFERROR(__xludf.DUMMYFUNCTION("""COMPUTED_VALUE"""),2020.0)</f>
        <v>2020</v>
      </c>
      <c r="E13" s="2">
        <f>IFERROR(__xludf.DUMMYFUNCTION("""COMPUTED_VALUE"""),2020.0)</f>
        <v>2020</v>
      </c>
      <c r="F13" s="2">
        <f>IFERROR(__xludf.DUMMYFUNCTION("""COMPUTED_VALUE"""),1.9358E7)</f>
        <v>19358000</v>
      </c>
      <c r="G13" s="2">
        <f t="shared" si="1"/>
        <v>40</v>
      </c>
    </row>
    <row r="14" ht="15.75" customHeight="1">
      <c r="A14" s="1">
        <f>IFERROR(__xludf.DUMMYFUNCTION("""COMPUTED_VALUE"""),43850.66666666667)</f>
        <v>43850.66667</v>
      </c>
      <c r="B14" s="2">
        <f>IFERROR(__xludf.DUMMYFUNCTION("""COMPUTED_VALUE"""),2040.0)</f>
        <v>2040</v>
      </c>
      <c r="C14" s="2">
        <f>IFERROR(__xludf.DUMMYFUNCTION("""COMPUTED_VALUE"""),2040.0)</f>
        <v>2040</v>
      </c>
      <c r="D14" s="2">
        <f>IFERROR(__xludf.DUMMYFUNCTION("""COMPUTED_VALUE"""),1950.0)</f>
        <v>1950</v>
      </c>
      <c r="E14" s="2">
        <f>IFERROR(__xludf.DUMMYFUNCTION("""COMPUTED_VALUE"""),1965.0)</f>
        <v>1965</v>
      </c>
      <c r="F14" s="2">
        <f>IFERROR(__xludf.DUMMYFUNCTION("""COMPUTED_VALUE"""),5.36523E7)</f>
        <v>53652300</v>
      </c>
      <c r="G14" s="2">
        <f t="shared" si="1"/>
        <v>90</v>
      </c>
    </row>
    <row r="15" ht="15.75" customHeight="1">
      <c r="A15" s="1">
        <f>IFERROR(__xludf.DUMMYFUNCTION("""COMPUTED_VALUE"""),43851.66666666667)</f>
        <v>43851.66667</v>
      </c>
      <c r="B15" s="2">
        <f>IFERROR(__xludf.DUMMYFUNCTION("""COMPUTED_VALUE"""),1950.0)</f>
        <v>1950</v>
      </c>
      <c r="C15" s="2">
        <f>IFERROR(__xludf.DUMMYFUNCTION("""COMPUTED_VALUE"""),1980.0)</f>
        <v>1980</v>
      </c>
      <c r="D15" s="2">
        <f>IFERROR(__xludf.DUMMYFUNCTION("""COMPUTED_VALUE"""),1940.0)</f>
        <v>1940</v>
      </c>
      <c r="E15" s="2">
        <f>IFERROR(__xludf.DUMMYFUNCTION("""COMPUTED_VALUE"""),1955.0)</f>
        <v>1955</v>
      </c>
      <c r="F15" s="2">
        <f>IFERROR(__xludf.DUMMYFUNCTION("""COMPUTED_VALUE"""),1.48579E7)</f>
        <v>14857900</v>
      </c>
      <c r="G15" s="2">
        <f t="shared" si="1"/>
        <v>40</v>
      </c>
    </row>
    <row r="16" ht="15.75" customHeight="1">
      <c r="A16" s="1">
        <f>IFERROR(__xludf.DUMMYFUNCTION("""COMPUTED_VALUE"""),43852.66666666667)</f>
        <v>43852.66667</v>
      </c>
      <c r="B16" s="2">
        <f>IFERROR(__xludf.DUMMYFUNCTION("""COMPUTED_VALUE"""),1955.0)</f>
        <v>1955</v>
      </c>
      <c r="C16" s="2">
        <f>IFERROR(__xludf.DUMMYFUNCTION("""COMPUTED_VALUE"""),2000.0)</f>
        <v>2000</v>
      </c>
      <c r="D16" s="2">
        <f>IFERROR(__xludf.DUMMYFUNCTION("""COMPUTED_VALUE"""),1905.0)</f>
        <v>1905</v>
      </c>
      <c r="E16" s="2">
        <f>IFERROR(__xludf.DUMMYFUNCTION("""COMPUTED_VALUE"""),1910.0)</f>
        <v>1910</v>
      </c>
      <c r="F16" s="2">
        <f>IFERROR(__xludf.DUMMYFUNCTION("""COMPUTED_VALUE"""),4.76472E7)</f>
        <v>47647200</v>
      </c>
      <c r="G16" s="2">
        <f t="shared" si="1"/>
        <v>95</v>
      </c>
    </row>
    <row r="17" ht="15.75" customHeight="1">
      <c r="A17" s="1">
        <f>IFERROR(__xludf.DUMMYFUNCTION("""COMPUTED_VALUE"""),43853.66666666667)</f>
        <v>43853.66667</v>
      </c>
      <c r="B17" s="2">
        <f>IFERROR(__xludf.DUMMYFUNCTION("""COMPUTED_VALUE"""),1930.0)</f>
        <v>1930</v>
      </c>
      <c r="C17" s="2">
        <f>IFERROR(__xludf.DUMMYFUNCTION("""COMPUTED_VALUE"""),1935.0)</f>
        <v>1935</v>
      </c>
      <c r="D17" s="2">
        <f>IFERROR(__xludf.DUMMYFUNCTION("""COMPUTED_VALUE"""),1900.0)</f>
        <v>1900</v>
      </c>
      <c r="E17" s="2">
        <f>IFERROR(__xludf.DUMMYFUNCTION("""COMPUTED_VALUE"""),1915.0)</f>
        <v>1915</v>
      </c>
      <c r="F17" s="2">
        <f>IFERROR(__xludf.DUMMYFUNCTION("""COMPUTED_VALUE"""),2.94976E7)</f>
        <v>29497600</v>
      </c>
      <c r="G17" s="2">
        <f t="shared" si="1"/>
        <v>35</v>
      </c>
    </row>
    <row r="18" ht="15.75" customHeight="1">
      <c r="A18" s="1">
        <f>IFERROR(__xludf.DUMMYFUNCTION("""COMPUTED_VALUE"""),43854.66666666667)</f>
        <v>43854.66667</v>
      </c>
      <c r="B18" s="2">
        <f>IFERROR(__xludf.DUMMYFUNCTION("""COMPUTED_VALUE"""),1915.0)</f>
        <v>1915</v>
      </c>
      <c r="C18" s="2">
        <f>IFERROR(__xludf.DUMMYFUNCTION("""COMPUTED_VALUE"""),1930.0)</f>
        <v>1930</v>
      </c>
      <c r="D18" s="2">
        <f>IFERROR(__xludf.DUMMYFUNCTION("""COMPUTED_VALUE"""),1880.0)</f>
        <v>1880</v>
      </c>
      <c r="E18" s="2">
        <f>IFERROR(__xludf.DUMMYFUNCTION("""COMPUTED_VALUE"""),1880.0)</f>
        <v>1880</v>
      </c>
      <c r="F18" s="2">
        <f>IFERROR(__xludf.DUMMYFUNCTION("""COMPUTED_VALUE"""),5.15925E7)</f>
        <v>51592500</v>
      </c>
      <c r="G18" s="2">
        <f t="shared" si="1"/>
        <v>50</v>
      </c>
    </row>
    <row r="19" ht="15.75" customHeight="1">
      <c r="A19" s="1">
        <f>IFERROR(__xludf.DUMMYFUNCTION("""COMPUTED_VALUE"""),43857.66666666667)</f>
        <v>43857.66667</v>
      </c>
      <c r="B19" s="2">
        <f>IFERROR(__xludf.DUMMYFUNCTION("""COMPUTED_VALUE"""),1880.0)</f>
        <v>1880</v>
      </c>
      <c r="C19" s="2">
        <f>IFERROR(__xludf.DUMMYFUNCTION("""COMPUTED_VALUE"""),1880.0)</f>
        <v>1880</v>
      </c>
      <c r="D19" s="2">
        <f>IFERROR(__xludf.DUMMYFUNCTION("""COMPUTED_VALUE"""),1810.0)</f>
        <v>1810</v>
      </c>
      <c r="E19" s="2">
        <f>IFERROR(__xludf.DUMMYFUNCTION("""COMPUTED_VALUE"""),1815.0)</f>
        <v>1815</v>
      </c>
      <c r="F19" s="2">
        <f>IFERROR(__xludf.DUMMYFUNCTION("""COMPUTED_VALUE"""),4.90876E7)</f>
        <v>49087600</v>
      </c>
      <c r="G19" s="2">
        <f t="shared" si="1"/>
        <v>70</v>
      </c>
    </row>
    <row r="20" ht="15.75" customHeight="1">
      <c r="A20" s="1">
        <f>IFERROR(__xludf.DUMMYFUNCTION("""COMPUTED_VALUE"""),43858.66666666667)</f>
        <v>43858.66667</v>
      </c>
      <c r="B20" s="2">
        <f>IFERROR(__xludf.DUMMYFUNCTION("""COMPUTED_VALUE"""),1800.0)</f>
        <v>1800</v>
      </c>
      <c r="C20" s="2">
        <f>IFERROR(__xludf.DUMMYFUNCTION("""COMPUTED_VALUE"""),1830.0)</f>
        <v>1830</v>
      </c>
      <c r="D20" s="2">
        <f>IFERROR(__xludf.DUMMYFUNCTION("""COMPUTED_VALUE"""),1770.0)</f>
        <v>1770</v>
      </c>
      <c r="E20" s="2">
        <f>IFERROR(__xludf.DUMMYFUNCTION("""COMPUTED_VALUE"""),1810.0)</f>
        <v>1810</v>
      </c>
      <c r="F20" s="2">
        <f>IFERROR(__xludf.DUMMYFUNCTION("""COMPUTED_VALUE"""),6.18002E7)</f>
        <v>61800200</v>
      </c>
      <c r="G20" s="2">
        <f t="shared" si="1"/>
        <v>60</v>
      </c>
    </row>
    <row r="21" ht="15.75" customHeight="1">
      <c r="A21" s="1">
        <f>IFERROR(__xludf.DUMMYFUNCTION("""COMPUTED_VALUE"""),43859.66666666667)</f>
        <v>43859.66667</v>
      </c>
      <c r="B21" s="2">
        <f>IFERROR(__xludf.DUMMYFUNCTION("""COMPUTED_VALUE"""),1820.0)</f>
        <v>1820</v>
      </c>
      <c r="C21" s="2">
        <f>IFERROR(__xludf.DUMMYFUNCTION("""COMPUTED_VALUE"""),1845.0)</f>
        <v>1845</v>
      </c>
      <c r="D21" s="2">
        <f>IFERROR(__xludf.DUMMYFUNCTION("""COMPUTED_VALUE"""),1785.0)</f>
        <v>1785</v>
      </c>
      <c r="E21" s="2">
        <f>IFERROR(__xludf.DUMMYFUNCTION("""COMPUTED_VALUE"""),1795.0)</f>
        <v>1795</v>
      </c>
      <c r="F21" s="2">
        <f>IFERROR(__xludf.DUMMYFUNCTION("""COMPUTED_VALUE"""),5.39263E7)</f>
        <v>53926300</v>
      </c>
      <c r="G21" s="2">
        <f t="shared" si="1"/>
        <v>60</v>
      </c>
    </row>
    <row r="22" ht="15.75" customHeight="1">
      <c r="A22" s="1">
        <f>IFERROR(__xludf.DUMMYFUNCTION("""COMPUTED_VALUE"""),43860.66666666667)</f>
        <v>43860.66667</v>
      </c>
      <c r="B22" s="2">
        <f>IFERROR(__xludf.DUMMYFUNCTION("""COMPUTED_VALUE"""),1805.0)</f>
        <v>1805</v>
      </c>
      <c r="C22" s="2">
        <f>IFERROR(__xludf.DUMMYFUNCTION("""COMPUTED_VALUE"""),1840.0)</f>
        <v>1840</v>
      </c>
      <c r="D22" s="2">
        <f>IFERROR(__xludf.DUMMYFUNCTION("""COMPUTED_VALUE"""),1795.0)</f>
        <v>1795</v>
      </c>
      <c r="E22" s="2">
        <f>IFERROR(__xludf.DUMMYFUNCTION("""COMPUTED_VALUE"""),1800.0)</f>
        <v>1800</v>
      </c>
      <c r="F22" s="2">
        <f>IFERROR(__xludf.DUMMYFUNCTION("""COMPUTED_VALUE"""),5.41759E7)</f>
        <v>54175900</v>
      </c>
      <c r="G22" s="2">
        <f t="shared" si="1"/>
        <v>45</v>
      </c>
    </row>
    <row r="23" ht="15.75" customHeight="1">
      <c r="A23" s="1">
        <f>IFERROR(__xludf.DUMMYFUNCTION("""COMPUTED_VALUE"""),43861.66666666667)</f>
        <v>43861.66667</v>
      </c>
      <c r="B23" s="2">
        <f>IFERROR(__xludf.DUMMYFUNCTION("""COMPUTED_VALUE"""),1810.0)</f>
        <v>1810</v>
      </c>
      <c r="C23" s="2">
        <f>IFERROR(__xludf.DUMMYFUNCTION("""COMPUTED_VALUE"""),1820.0)</f>
        <v>1820</v>
      </c>
      <c r="D23" s="2">
        <f>IFERROR(__xludf.DUMMYFUNCTION("""COMPUTED_VALUE"""),1705.0)</f>
        <v>1705</v>
      </c>
      <c r="E23" s="2">
        <f>IFERROR(__xludf.DUMMYFUNCTION("""COMPUTED_VALUE"""),1705.0)</f>
        <v>1705</v>
      </c>
      <c r="F23" s="2">
        <f>IFERROR(__xludf.DUMMYFUNCTION("""COMPUTED_VALUE"""),8.55308E7)</f>
        <v>85530800</v>
      </c>
      <c r="G23" s="2">
        <f t="shared" si="1"/>
        <v>115</v>
      </c>
    </row>
    <row r="24" ht="15.75" customHeight="1">
      <c r="A24" s="1">
        <f>IFERROR(__xludf.DUMMYFUNCTION("""COMPUTED_VALUE"""),43864.66666666667)</f>
        <v>43864.66667</v>
      </c>
      <c r="B24" s="2">
        <f>IFERROR(__xludf.DUMMYFUNCTION("""COMPUTED_VALUE"""),1680.0)</f>
        <v>1680</v>
      </c>
      <c r="C24" s="2">
        <f>IFERROR(__xludf.DUMMYFUNCTION("""COMPUTED_VALUE"""),1725.0)</f>
        <v>1725</v>
      </c>
      <c r="D24" s="2">
        <f>IFERROR(__xludf.DUMMYFUNCTION("""COMPUTED_VALUE"""),1675.0)</f>
        <v>1675</v>
      </c>
      <c r="E24" s="2">
        <f>IFERROR(__xludf.DUMMYFUNCTION("""COMPUTED_VALUE"""),1700.0)</f>
        <v>1700</v>
      </c>
      <c r="F24" s="2">
        <f>IFERROR(__xludf.DUMMYFUNCTION("""COMPUTED_VALUE"""),3.80582E7)</f>
        <v>38058200</v>
      </c>
      <c r="G24" s="2">
        <f t="shared" si="1"/>
        <v>50</v>
      </c>
    </row>
    <row r="25" ht="15.75" customHeight="1">
      <c r="A25" s="1">
        <f>IFERROR(__xludf.DUMMYFUNCTION("""COMPUTED_VALUE"""),43865.66666666667)</f>
        <v>43865.66667</v>
      </c>
      <c r="B25" s="2">
        <f>IFERROR(__xludf.DUMMYFUNCTION("""COMPUTED_VALUE"""),1700.0)</f>
        <v>1700</v>
      </c>
      <c r="C25" s="2">
        <f>IFERROR(__xludf.DUMMYFUNCTION("""COMPUTED_VALUE"""),1710.0)</f>
        <v>1710</v>
      </c>
      <c r="D25" s="2">
        <f>IFERROR(__xludf.DUMMYFUNCTION("""COMPUTED_VALUE"""),1520.0)</f>
        <v>1520</v>
      </c>
      <c r="E25" s="2">
        <f>IFERROR(__xludf.DUMMYFUNCTION("""COMPUTED_VALUE"""),1520.0)</f>
        <v>1520</v>
      </c>
      <c r="F25" s="2">
        <f>IFERROR(__xludf.DUMMYFUNCTION("""COMPUTED_VALUE"""),1.664044E8)</f>
        <v>166404400</v>
      </c>
      <c r="G25" s="2">
        <f t="shared" si="1"/>
        <v>190</v>
      </c>
    </row>
    <row r="26" ht="15.75" customHeight="1">
      <c r="A26" s="1">
        <f>IFERROR(__xludf.DUMMYFUNCTION("""COMPUTED_VALUE"""),43866.66666666667)</f>
        <v>43866.66667</v>
      </c>
      <c r="B26" s="2">
        <f>IFERROR(__xludf.DUMMYFUNCTION("""COMPUTED_VALUE"""),1530.0)</f>
        <v>1530</v>
      </c>
      <c r="C26" s="2">
        <f>IFERROR(__xludf.DUMMYFUNCTION("""COMPUTED_VALUE"""),1585.0)</f>
        <v>1585</v>
      </c>
      <c r="D26" s="2">
        <f>IFERROR(__xludf.DUMMYFUNCTION("""COMPUTED_VALUE"""),1445.0)</f>
        <v>1445</v>
      </c>
      <c r="E26" s="2">
        <f>IFERROR(__xludf.DUMMYFUNCTION("""COMPUTED_VALUE"""),1475.0)</f>
        <v>1475</v>
      </c>
      <c r="F26" s="2">
        <f>IFERROR(__xludf.DUMMYFUNCTION("""COMPUTED_VALUE"""),2.095177E8)</f>
        <v>209517700</v>
      </c>
      <c r="G26" s="2">
        <f t="shared" si="1"/>
        <v>140</v>
      </c>
    </row>
    <row r="27" ht="15.75" customHeight="1">
      <c r="A27" s="1">
        <f>IFERROR(__xludf.DUMMYFUNCTION("""COMPUTED_VALUE"""),43867.66666666667)</f>
        <v>43867.66667</v>
      </c>
      <c r="B27" s="2">
        <f>IFERROR(__xludf.DUMMYFUNCTION("""COMPUTED_VALUE"""),1500.0)</f>
        <v>1500</v>
      </c>
      <c r="C27" s="2">
        <f>IFERROR(__xludf.DUMMYFUNCTION("""COMPUTED_VALUE"""),1540.0)</f>
        <v>1540</v>
      </c>
      <c r="D27" s="2">
        <f>IFERROR(__xludf.DUMMYFUNCTION("""COMPUTED_VALUE"""),1480.0)</f>
        <v>1480</v>
      </c>
      <c r="E27" s="2">
        <f>IFERROR(__xludf.DUMMYFUNCTION("""COMPUTED_VALUE"""),1520.0)</f>
        <v>1520</v>
      </c>
      <c r="F27" s="2">
        <f>IFERROR(__xludf.DUMMYFUNCTION("""COMPUTED_VALUE"""),1.193889E8)</f>
        <v>119388900</v>
      </c>
      <c r="G27" s="2">
        <f t="shared" si="1"/>
        <v>65</v>
      </c>
    </row>
    <row r="28" ht="15.75" customHeight="1">
      <c r="A28" s="1">
        <f>IFERROR(__xludf.DUMMYFUNCTION("""COMPUTED_VALUE"""),43868.66666666667)</f>
        <v>43868.66667</v>
      </c>
      <c r="B28" s="2">
        <f>IFERROR(__xludf.DUMMYFUNCTION("""COMPUTED_VALUE"""),1520.0)</f>
        <v>1520</v>
      </c>
      <c r="C28" s="2">
        <f>IFERROR(__xludf.DUMMYFUNCTION("""COMPUTED_VALUE"""),1555.0)</f>
        <v>1555</v>
      </c>
      <c r="D28" s="2">
        <f>IFERROR(__xludf.DUMMYFUNCTION("""COMPUTED_VALUE"""),1500.0)</f>
        <v>1500</v>
      </c>
      <c r="E28" s="2">
        <f>IFERROR(__xludf.DUMMYFUNCTION("""COMPUTED_VALUE"""),1540.0)</f>
        <v>1540</v>
      </c>
      <c r="F28" s="2">
        <f>IFERROR(__xludf.DUMMYFUNCTION("""COMPUTED_VALUE"""),1.108025E8)</f>
        <v>110802500</v>
      </c>
      <c r="G28" s="2">
        <f t="shared" si="1"/>
        <v>55</v>
      </c>
    </row>
    <row r="29" ht="15.75" customHeight="1">
      <c r="A29" s="1">
        <f>IFERROR(__xludf.DUMMYFUNCTION("""COMPUTED_VALUE"""),43871.66666666667)</f>
        <v>43871.66667</v>
      </c>
      <c r="B29" s="2">
        <f>IFERROR(__xludf.DUMMYFUNCTION("""COMPUTED_VALUE"""),1530.0)</f>
        <v>1530</v>
      </c>
      <c r="C29" s="2">
        <f>IFERROR(__xludf.DUMMYFUNCTION("""COMPUTED_VALUE"""),1535.0)</f>
        <v>1535</v>
      </c>
      <c r="D29" s="2">
        <f>IFERROR(__xludf.DUMMYFUNCTION("""COMPUTED_VALUE"""),1500.0)</f>
        <v>1500</v>
      </c>
      <c r="E29" s="2">
        <f>IFERROR(__xludf.DUMMYFUNCTION("""COMPUTED_VALUE"""),1525.0)</f>
        <v>1525</v>
      </c>
      <c r="F29" s="2">
        <f>IFERROR(__xludf.DUMMYFUNCTION("""COMPUTED_VALUE"""),5.87287E7)</f>
        <v>58728700</v>
      </c>
      <c r="G29" s="2">
        <f t="shared" si="1"/>
        <v>40</v>
      </c>
    </row>
    <row r="30" ht="15.75" customHeight="1">
      <c r="A30" s="1">
        <f>IFERROR(__xludf.DUMMYFUNCTION("""COMPUTED_VALUE"""),43872.66666666667)</f>
        <v>43872.66667</v>
      </c>
      <c r="B30" s="2">
        <f>IFERROR(__xludf.DUMMYFUNCTION("""COMPUTED_VALUE"""),1540.0)</f>
        <v>1540</v>
      </c>
      <c r="C30" s="2">
        <f>IFERROR(__xludf.DUMMYFUNCTION("""COMPUTED_VALUE"""),1560.0)</f>
        <v>1560</v>
      </c>
      <c r="D30" s="2">
        <f>IFERROR(__xludf.DUMMYFUNCTION("""COMPUTED_VALUE"""),1525.0)</f>
        <v>1525</v>
      </c>
      <c r="E30" s="2">
        <f>IFERROR(__xludf.DUMMYFUNCTION("""COMPUTED_VALUE"""),1535.0)</f>
        <v>1535</v>
      </c>
      <c r="F30" s="2">
        <f>IFERROR(__xludf.DUMMYFUNCTION("""COMPUTED_VALUE"""),5.50859E7)</f>
        <v>55085900</v>
      </c>
      <c r="G30" s="2">
        <f t="shared" si="1"/>
        <v>35</v>
      </c>
    </row>
    <row r="31" ht="15.75" customHeight="1">
      <c r="A31" s="1">
        <f>IFERROR(__xludf.DUMMYFUNCTION("""COMPUTED_VALUE"""),43873.66666666667)</f>
        <v>43873.66667</v>
      </c>
      <c r="B31" s="2">
        <f>IFERROR(__xludf.DUMMYFUNCTION("""COMPUTED_VALUE"""),1540.0)</f>
        <v>1540</v>
      </c>
      <c r="C31" s="2">
        <f>IFERROR(__xludf.DUMMYFUNCTION("""COMPUTED_VALUE"""),1545.0)</f>
        <v>1545</v>
      </c>
      <c r="D31" s="2">
        <f>IFERROR(__xludf.DUMMYFUNCTION("""COMPUTED_VALUE"""),1490.0)</f>
        <v>1490</v>
      </c>
      <c r="E31" s="2">
        <f>IFERROR(__xludf.DUMMYFUNCTION("""COMPUTED_VALUE"""),1495.0)</f>
        <v>1495</v>
      </c>
      <c r="F31" s="2">
        <f>IFERROR(__xludf.DUMMYFUNCTION("""COMPUTED_VALUE"""),8.2712E7)</f>
        <v>82712000</v>
      </c>
      <c r="G31" s="2">
        <f t="shared" si="1"/>
        <v>55</v>
      </c>
    </row>
    <row r="32" ht="15.75" customHeight="1">
      <c r="A32" s="1">
        <f>IFERROR(__xludf.DUMMYFUNCTION("""COMPUTED_VALUE"""),43874.66666666667)</f>
        <v>43874.66667</v>
      </c>
      <c r="B32" s="2">
        <f>IFERROR(__xludf.DUMMYFUNCTION("""COMPUTED_VALUE"""),1495.0)</f>
        <v>1495</v>
      </c>
      <c r="C32" s="2">
        <f>IFERROR(__xludf.DUMMYFUNCTION("""COMPUTED_VALUE"""),1525.0)</f>
        <v>1525</v>
      </c>
      <c r="D32" s="2">
        <f>IFERROR(__xludf.DUMMYFUNCTION("""COMPUTED_VALUE"""),1480.0)</f>
        <v>1480</v>
      </c>
      <c r="E32" s="2">
        <f>IFERROR(__xludf.DUMMYFUNCTION("""COMPUTED_VALUE"""),1505.0)</f>
        <v>1505</v>
      </c>
      <c r="F32" s="2">
        <f>IFERROR(__xludf.DUMMYFUNCTION("""COMPUTED_VALUE"""),6.67594E7)</f>
        <v>66759400</v>
      </c>
      <c r="G32" s="2">
        <f t="shared" si="1"/>
        <v>45</v>
      </c>
    </row>
    <row r="33" ht="15.75" customHeight="1">
      <c r="A33" s="1">
        <f>IFERROR(__xludf.DUMMYFUNCTION("""COMPUTED_VALUE"""),43875.66666666667)</f>
        <v>43875.66667</v>
      </c>
      <c r="B33" s="2">
        <f>IFERROR(__xludf.DUMMYFUNCTION("""COMPUTED_VALUE"""),1505.0)</f>
        <v>1505</v>
      </c>
      <c r="C33" s="2">
        <f>IFERROR(__xludf.DUMMYFUNCTION("""COMPUTED_VALUE"""),1520.0)</f>
        <v>1520</v>
      </c>
      <c r="D33" s="2">
        <f>IFERROR(__xludf.DUMMYFUNCTION("""COMPUTED_VALUE"""),1495.0)</f>
        <v>1495</v>
      </c>
      <c r="E33" s="2">
        <f>IFERROR(__xludf.DUMMYFUNCTION("""COMPUTED_VALUE"""),1520.0)</f>
        <v>1520</v>
      </c>
      <c r="F33" s="2">
        <f>IFERROR(__xludf.DUMMYFUNCTION("""COMPUTED_VALUE"""),4.75482E7)</f>
        <v>47548200</v>
      </c>
      <c r="G33" s="2">
        <f t="shared" si="1"/>
        <v>25</v>
      </c>
    </row>
    <row r="34" ht="15.75" customHeight="1">
      <c r="A34" s="1">
        <f>IFERROR(__xludf.DUMMYFUNCTION("""COMPUTED_VALUE"""),43878.66666666667)</f>
        <v>43878.66667</v>
      </c>
      <c r="B34" s="2">
        <f>IFERROR(__xludf.DUMMYFUNCTION("""COMPUTED_VALUE"""),1520.0)</f>
        <v>1520</v>
      </c>
      <c r="C34" s="2">
        <f>IFERROR(__xludf.DUMMYFUNCTION("""COMPUTED_VALUE"""),1525.0)</f>
        <v>1525</v>
      </c>
      <c r="D34" s="2">
        <f>IFERROR(__xludf.DUMMYFUNCTION("""COMPUTED_VALUE"""),1495.0)</f>
        <v>1495</v>
      </c>
      <c r="E34" s="2">
        <f>IFERROR(__xludf.DUMMYFUNCTION("""COMPUTED_VALUE"""),1495.0)</f>
        <v>1495</v>
      </c>
      <c r="F34" s="2">
        <f>IFERROR(__xludf.DUMMYFUNCTION("""COMPUTED_VALUE"""),3.73436E7)</f>
        <v>37343600</v>
      </c>
      <c r="G34" s="2">
        <f t="shared" si="1"/>
        <v>30</v>
      </c>
    </row>
    <row r="35" ht="15.75" customHeight="1">
      <c r="A35" s="1">
        <f>IFERROR(__xludf.DUMMYFUNCTION("""COMPUTED_VALUE"""),43879.66666666667)</f>
        <v>43879.66667</v>
      </c>
      <c r="B35" s="2">
        <f>IFERROR(__xludf.DUMMYFUNCTION("""COMPUTED_VALUE"""),1495.0)</f>
        <v>1495</v>
      </c>
      <c r="C35" s="2">
        <f>IFERROR(__xludf.DUMMYFUNCTION("""COMPUTED_VALUE"""),1520.0)</f>
        <v>1520</v>
      </c>
      <c r="D35" s="2">
        <f>IFERROR(__xludf.DUMMYFUNCTION("""COMPUTED_VALUE"""),1490.0)</f>
        <v>1490</v>
      </c>
      <c r="E35" s="2">
        <f>IFERROR(__xludf.DUMMYFUNCTION("""COMPUTED_VALUE"""),1505.0)</f>
        <v>1505</v>
      </c>
      <c r="F35" s="2">
        <f>IFERROR(__xludf.DUMMYFUNCTION("""COMPUTED_VALUE"""),3.7718E7)</f>
        <v>37718000</v>
      </c>
      <c r="G35" s="2">
        <f t="shared" si="1"/>
        <v>30</v>
      </c>
    </row>
    <row r="36" ht="15.75" customHeight="1">
      <c r="A36" s="1">
        <f>IFERROR(__xludf.DUMMYFUNCTION("""COMPUTED_VALUE"""),43880.66666666667)</f>
        <v>43880.66667</v>
      </c>
      <c r="B36" s="2">
        <f>IFERROR(__xludf.DUMMYFUNCTION("""COMPUTED_VALUE"""),1505.0)</f>
        <v>1505</v>
      </c>
      <c r="C36" s="2">
        <f>IFERROR(__xludf.DUMMYFUNCTION("""COMPUTED_VALUE"""),1550.0)</f>
        <v>1550</v>
      </c>
      <c r="D36" s="2">
        <f>IFERROR(__xludf.DUMMYFUNCTION("""COMPUTED_VALUE"""),1505.0)</f>
        <v>1505</v>
      </c>
      <c r="E36" s="2">
        <f>IFERROR(__xludf.DUMMYFUNCTION("""COMPUTED_VALUE"""),1530.0)</f>
        <v>1530</v>
      </c>
      <c r="F36" s="2">
        <f>IFERROR(__xludf.DUMMYFUNCTION("""COMPUTED_VALUE"""),7.01512E7)</f>
        <v>70151200</v>
      </c>
      <c r="G36" s="2">
        <f t="shared" si="1"/>
        <v>45</v>
      </c>
    </row>
    <row r="37" ht="15.75" customHeight="1">
      <c r="A37" s="1">
        <f>IFERROR(__xludf.DUMMYFUNCTION("""COMPUTED_VALUE"""),43881.66666666667)</f>
        <v>43881.66667</v>
      </c>
      <c r="B37" s="2">
        <f>IFERROR(__xludf.DUMMYFUNCTION("""COMPUTED_VALUE"""),1530.0)</f>
        <v>1530</v>
      </c>
      <c r="C37" s="2">
        <f>IFERROR(__xludf.DUMMYFUNCTION("""COMPUTED_VALUE"""),1580.0)</f>
        <v>1580</v>
      </c>
      <c r="D37" s="2">
        <f>IFERROR(__xludf.DUMMYFUNCTION("""COMPUTED_VALUE"""),1520.0)</f>
        <v>1520</v>
      </c>
      <c r="E37" s="2">
        <f>IFERROR(__xludf.DUMMYFUNCTION("""COMPUTED_VALUE"""),1555.0)</f>
        <v>1555</v>
      </c>
      <c r="F37" s="2">
        <f>IFERROR(__xludf.DUMMYFUNCTION("""COMPUTED_VALUE"""),9.93597E7)</f>
        <v>99359700</v>
      </c>
      <c r="G37" s="2">
        <f t="shared" si="1"/>
        <v>60</v>
      </c>
    </row>
    <row r="38" ht="15.75" customHeight="1">
      <c r="A38" s="1">
        <f>IFERROR(__xludf.DUMMYFUNCTION("""COMPUTED_VALUE"""),43882.66666666667)</f>
        <v>43882.66667</v>
      </c>
      <c r="B38" s="2">
        <f>IFERROR(__xludf.DUMMYFUNCTION("""COMPUTED_VALUE"""),1545.0)</f>
        <v>1545</v>
      </c>
      <c r="C38" s="2">
        <f>IFERROR(__xludf.DUMMYFUNCTION("""COMPUTED_VALUE"""),1555.0)</f>
        <v>1555</v>
      </c>
      <c r="D38" s="2">
        <f>IFERROR(__xludf.DUMMYFUNCTION("""COMPUTED_VALUE"""),1520.0)</f>
        <v>1520</v>
      </c>
      <c r="E38" s="2">
        <f>IFERROR(__xludf.DUMMYFUNCTION("""COMPUTED_VALUE"""),1525.0)</f>
        <v>1525</v>
      </c>
      <c r="F38" s="2">
        <f>IFERROR(__xludf.DUMMYFUNCTION("""COMPUTED_VALUE"""),5.65836E7)</f>
        <v>56583600</v>
      </c>
      <c r="G38" s="2">
        <f t="shared" si="1"/>
        <v>35</v>
      </c>
    </row>
    <row r="39" ht="15.75" customHeight="1">
      <c r="A39" s="1">
        <f>IFERROR(__xludf.DUMMYFUNCTION("""COMPUTED_VALUE"""),43885.66666666667)</f>
        <v>43885.66667</v>
      </c>
      <c r="B39" s="2">
        <f>IFERROR(__xludf.DUMMYFUNCTION("""COMPUTED_VALUE"""),1500.0)</f>
        <v>1500</v>
      </c>
      <c r="C39" s="2">
        <f>IFERROR(__xludf.DUMMYFUNCTION("""COMPUTED_VALUE"""),1510.0)</f>
        <v>1510</v>
      </c>
      <c r="D39" s="2">
        <f>IFERROR(__xludf.DUMMYFUNCTION("""COMPUTED_VALUE"""),1480.0)</f>
        <v>1480</v>
      </c>
      <c r="E39" s="2">
        <f>IFERROR(__xludf.DUMMYFUNCTION("""COMPUTED_VALUE"""),1480.0)</f>
        <v>1480</v>
      </c>
      <c r="F39" s="2">
        <f>IFERROR(__xludf.DUMMYFUNCTION("""COMPUTED_VALUE"""),5.11436E7)</f>
        <v>51143600</v>
      </c>
      <c r="G39" s="2">
        <f t="shared" si="1"/>
        <v>45</v>
      </c>
    </row>
    <row r="40" ht="15.75" customHeight="1">
      <c r="A40" s="1">
        <f>IFERROR(__xludf.DUMMYFUNCTION("""COMPUTED_VALUE"""),43886.66666666667)</f>
        <v>43886.66667</v>
      </c>
      <c r="B40" s="2">
        <f>IFERROR(__xludf.DUMMYFUNCTION("""COMPUTED_VALUE"""),1450.0)</f>
        <v>1450</v>
      </c>
      <c r="C40" s="2">
        <f>IFERROR(__xludf.DUMMYFUNCTION("""COMPUTED_VALUE"""),1520.0)</f>
        <v>1520</v>
      </c>
      <c r="D40" s="2">
        <f>IFERROR(__xludf.DUMMYFUNCTION("""COMPUTED_VALUE"""),1450.0)</f>
        <v>1450</v>
      </c>
      <c r="E40" s="2">
        <f>IFERROR(__xludf.DUMMYFUNCTION("""COMPUTED_VALUE"""),1500.0)</f>
        <v>1500</v>
      </c>
      <c r="F40" s="2">
        <f>IFERROR(__xludf.DUMMYFUNCTION("""COMPUTED_VALUE"""),5.45742E7)</f>
        <v>54574200</v>
      </c>
      <c r="G40" s="2">
        <f t="shared" si="1"/>
        <v>70</v>
      </c>
    </row>
    <row r="41" ht="15.75" customHeight="1">
      <c r="A41" s="1">
        <f>IFERROR(__xludf.DUMMYFUNCTION("""COMPUTED_VALUE"""),43887.66666666667)</f>
        <v>43887.66667</v>
      </c>
      <c r="B41" s="2">
        <f>IFERROR(__xludf.DUMMYFUNCTION("""COMPUTED_VALUE"""),1480.0)</f>
        <v>1480</v>
      </c>
      <c r="C41" s="2">
        <f>IFERROR(__xludf.DUMMYFUNCTION("""COMPUTED_VALUE"""),1515.0)</f>
        <v>1515</v>
      </c>
      <c r="D41" s="2">
        <f>IFERROR(__xludf.DUMMYFUNCTION("""COMPUTED_VALUE"""),1480.0)</f>
        <v>1480</v>
      </c>
      <c r="E41" s="2">
        <f>IFERROR(__xludf.DUMMYFUNCTION("""COMPUTED_VALUE"""),1495.0)</f>
        <v>1495</v>
      </c>
      <c r="F41" s="2">
        <f>IFERROR(__xludf.DUMMYFUNCTION("""COMPUTED_VALUE"""),4.28863E7)</f>
        <v>42886300</v>
      </c>
      <c r="G41" s="2">
        <f t="shared" si="1"/>
        <v>35</v>
      </c>
    </row>
    <row r="42" ht="15.75" customHeight="1">
      <c r="A42" s="1">
        <f>IFERROR(__xludf.DUMMYFUNCTION("""COMPUTED_VALUE"""),43888.66666666667)</f>
        <v>43888.66667</v>
      </c>
      <c r="B42" s="2">
        <f>IFERROR(__xludf.DUMMYFUNCTION("""COMPUTED_VALUE"""),1485.0)</f>
        <v>1485</v>
      </c>
      <c r="C42" s="2">
        <f>IFERROR(__xludf.DUMMYFUNCTION("""COMPUTED_VALUE"""),1500.0)</f>
        <v>1500</v>
      </c>
      <c r="D42" s="2">
        <f>IFERROR(__xludf.DUMMYFUNCTION("""COMPUTED_VALUE"""),1385.0)</f>
        <v>1385</v>
      </c>
      <c r="E42" s="2">
        <f>IFERROR(__xludf.DUMMYFUNCTION("""COMPUTED_VALUE"""),1385.0)</f>
        <v>1385</v>
      </c>
      <c r="F42" s="2">
        <f>IFERROR(__xludf.DUMMYFUNCTION("""COMPUTED_VALUE"""),8.06977E7)</f>
        <v>80697700</v>
      </c>
      <c r="G42" s="2">
        <f t="shared" si="1"/>
        <v>115</v>
      </c>
    </row>
    <row r="43" ht="15.75" customHeight="1">
      <c r="A43" s="1">
        <f>IFERROR(__xludf.DUMMYFUNCTION("""COMPUTED_VALUE"""),43889.66666666667)</f>
        <v>43889.66667</v>
      </c>
      <c r="B43" s="2">
        <f>IFERROR(__xludf.DUMMYFUNCTION("""COMPUTED_VALUE"""),1340.0)</f>
        <v>1340</v>
      </c>
      <c r="C43" s="2">
        <f>IFERROR(__xludf.DUMMYFUNCTION("""COMPUTED_VALUE"""),1340.0)</f>
        <v>1340</v>
      </c>
      <c r="D43" s="2">
        <f>IFERROR(__xludf.DUMMYFUNCTION("""COMPUTED_VALUE"""),1255.0)</f>
        <v>1255</v>
      </c>
      <c r="E43" s="2">
        <f>IFERROR(__xludf.DUMMYFUNCTION("""COMPUTED_VALUE"""),1280.0)</f>
        <v>1280</v>
      </c>
      <c r="F43" s="2">
        <f>IFERROR(__xludf.DUMMYFUNCTION("""COMPUTED_VALUE"""),1.511892E8)</f>
        <v>151189200</v>
      </c>
      <c r="G43" s="2">
        <f t="shared" si="1"/>
        <v>130</v>
      </c>
    </row>
    <row r="44" ht="15.75" customHeight="1">
      <c r="A44" s="1">
        <f>IFERROR(__xludf.DUMMYFUNCTION("""COMPUTED_VALUE"""),43892.66666666667)</f>
        <v>43892.66667</v>
      </c>
      <c r="B44" s="2">
        <f>IFERROR(__xludf.DUMMYFUNCTION("""COMPUTED_VALUE"""),1290.0)</f>
        <v>1290</v>
      </c>
      <c r="C44" s="2">
        <f>IFERROR(__xludf.DUMMYFUNCTION("""COMPUTED_VALUE"""),1350.0)</f>
        <v>1350</v>
      </c>
      <c r="D44" s="2">
        <f>IFERROR(__xludf.DUMMYFUNCTION("""COMPUTED_VALUE"""),1270.0)</f>
        <v>1270</v>
      </c>
      <c r="E44" s="2">
        <f>IFERROR(__xludf.DUMMYFUNCTION("""COMPUTED_VALUE"""),1290.0)</f>
        <v>1290</v>
      </c>
      <c r="F44" s="2">
        <f>IFERROR(__xludf.DUMMYFUNCTION("""COMPUTED_VALUE"""),8.81389E7)</f>
        <v>88138900</v>
      </c>
      <c r="G44" s="2">
        <f t="shared" si="1"/>
        <v>80</v>
      </c>
    </row>
    <row r="45" ht="15.75" customHeight="1">
      <c r="A45" s="1">
        <f>IFERROR(__xludf.DUMMYFUNCTION("""COMPUTED_VALUE"""),43893.66666666667)</f>
        <v>43893.66667</v>
      </c>
      <c r="B45" s="2">
        <f>IFERROR(__xludf.DUMMYFUNCTION("""COMPUTED_VALUE"""),1310.0)</f>
        <v>1310</v>
      </c>
      <c r="C45" s="2">
        <f>IFERROR(__xludf.DUMMYFUNCTION("""COMPUTED_VALUE"""),1350.0)</f>
        <v>1350</v>
      </c>
      <c r="D45" s="2">
        <f>IFERROR(__xludf.DUMMYFUNCTION("""COMPUTED_VALUE"""),1310.0)</f>
        <v>1310</v>
      </c>
      <c r="E45" s="2">
        <f>IFERROR(__xludf.DUMMYFUNCTION("""COMPUTED_VALUE"""),1345.0)</f>
        <v>1345</v>
      </c>
      <c r="F45" s="2">
        <f>IFERROR(__xludf.DUMMYFUNCTION("""COMPUTED_VALUE"""),9.06128E7)</f>
        <v>90612800</v>
      </c>
      <c r="G45" s="2">
        <f t="shared" si="1"/>
        <v>60</v>
      </c>
    </row>
    <row r="46" ht="15.75" customHeight="1">
      <c r="A46" s="1">
        <f>IFERROR(__xludf.DUMMYFUNCTION("""COMPUTED_VALUE"""),43894.66666666667)</f>
        <v>43894.66667</v>
      </c>
      <c r="B46" s="2">
        <f>IFERROR(__xludf.DUMMYFUNCTION("""COMPUTED_VALUE"""),1330.0)</f>
        <v>1330</v>
      </c>
      <c r="C46" s="2">
        <f>IFERROR(__xludf.DUMMYFUNCTION("""COMPUTED_VALUE"""),1435.0)</f>
        <v>1435</v>
      </c>
      <c r="D46" s="2">
        <f>IFERROR(__xludf.DUMMYFUNCTION("""COMPUTED_VALUE"""),1320.0)</f>
        <v>1320</v>
      </c>
      <c r="E46" s="2">
        <f>IFERROR(__xludf.DUMMYFUNCTION("""COMPUTED_VALUE"""),1425.0)</f>
        <v>1425</v>
      </c>
      <c r="F46" s="2">
        <f>IFERROR(__xludf.DUMMYFUNCTION("""COMPUTED_VALUE"""),8.88127E7)</f>
        <v>88812700</v>
      </c>
      <c r="G46" s="2">
        <f t="shared" si="1"/>
        <v>115</v>
      </c>
    </row>
    <row r="47" ht="15.75" customHeight="1">
      <c r="A47" s="1">
        <f>IFERROR(__xludf.DUMMYFUNCTION("""COMPUTED_VALUE"""),43895.66666666667)</f>
        <v>43895.66667</v>
      </c>
      <c r="B47" s="2">
        <f>IFERROR(__xludf.DUMMYFUNCTION("""COMPUTED_VALUE"""),1450.0)</f>
        <v>1450</v>
      </c>
      <c r="C47" s="2">
        <f>IFERROR(__xludf.DUMMYFUNCTION("""COMPUTED_VALUE"""),1465.0)</f>
        <v>1465</v>
      </c>
      <c r="D47" s="2">
        <f>IFERROR(__xludf.DUMMYFUNCTION("""COMPUTED_VALUE"""),1400.0)</f>
        <v>1400</v>
      </c>
      <c r="E47" s="2">
        <f>IFERROR(__xludf.DUMMYFUNCTION("""COMPUTED_VALUE"""),1425.0)</f>
        <v>1425</v>
      </c>
      <c r="F47" s="2">
        <f>IFERROR(__xludf.DUMMYFUNCTION("""COMPUTED_VALUE"""),6.49548E7)</f>
        <v>64954800</v>
      </c>
      <c r="G47" s="2">
        <f t="shared" si="1"/>
        <v>65</v>
      </c>
    </row>
    <row r="48" ht="15.75" customHeight="1">
      <c r="A48" s="1">
        <f>IFERROR(__xludf.DUMMYFUNCTION("""COMPUTED_VALUE"""),43896.66666666667)</f>
        <v>43896.66667</v>
      </c>
      <c r="B48" s="2">
        <f>IFERROR(__xludf.DUMMYFUNCTION("""COMPUTED_VALUE"""),1385.0)</f>
        <v>1385</v>
      </c>
      <c r="C48" s="2">
        <f>IFERROR(__xludf.DUMMYFUNCTION("""COMPUTED_VALUE"""),1395.0)</f>
        <v>1395</v>
      </c>
      <c r="D48" s="2">
        <f>IFERROR(__xludf.DUMMYFUNCTION("""COMPUTED_VALUE"""),1340.0)</f>
        <v>1340</v>
      </c>
      <c r="E48" s="2">
        <f>IFERROR(__xludf.DUMMYFUNCTION("""COMPUTED_VALUE"""),1345.0)</f>
        <v>1345</v>
      </c>
      <c r="F48" s="2">
        <f>IFERROR(__xludf.DUMMYFUNCTION("""COMPUTED_VALUE"""),5.63183E7)</f>
        <v>56318300</v>
      </c>
      <c r="G48" s="2">
        <f t="shared" si="1"/>
        <v>85</v>
      </c>
    </row>
    <row r="49" ht="15.75" customHeight="1">
      <c r="A49" s="1">
        <f>IFERROR(__xludf.DUMMYFUNCTION("""COMPUTED_VALUE"""),43899.66666666667)</f>
        <v>43899.66667</v>
      </c>
      <c r="B49" s="2">
        <f>IFERROR(__xludf.DUMMYFUNCTION("""COMPUTED_VALUE"""),1275.0)</f>
        <v>1275</v>
      </c>
      <c r="C49" s="2">
        <f>IFERROR(__xludf.DUMMYFUNCTION("""COMPUTED_VALUE"""),1280.0)</f>
        <v>1280</v>
      </c>
      <c r="D49" s="2">
        <f>IFERROR(__xludf.DUMMYFUNCTION("""COMPUTED_VALUE"""),1165.0)</f>
        <v>1165</v>
      </c>
      <c r="E49" s="2">
        <f>IFERROR(__xludf.DUMMYFUNCTION("""COMPUTED_VALUE"""),1170.0)</f>
        <v>1170</v>
      </c>
      <c r="F49" s="2">
        <f>IFERROR(__xludf.DUMMYFUNCTION("""COMPUTED_VALUE"""),8.73167E7)</f>
        <v>87316700</v>
      </c>
      <c r="G49" s="2">
        <f t="shared" si="1"/>
        <v>180</v>
      </c>
    </row>
    <row r="50" ht="15.75" customHeight="1">
      <c r="A50" s="1">
        <f>IFERROR(__xludf.DUMMYFUNCTION("""COMPUTED_VALUE"""),43900.66666666667)</f>
        <v>43900.66667</v>
      </c>
      <c r="B50" s="2">
        <f>IFERROR(__xludf.DUMMYFUNCTION("""COMPUTED_VALUE"""),1170.0)</f>
        <v>1170</v>
      </c>
      <c r="C50" s="2">
        <f>IFERROR(__xludf.DUMMYFUNCTION("""COMPUTED_VALUE"""),1240.0)</f>
        <v>1240</v>
      </c>
      <c r="D50" s="2">
        <f>IFERROR(__xludf.DUMMYFUNCTION("""COMPUTED_VALUE"""),1170.0)</f>
        <v>1170</v>
      </c>
      <c r="E50" s="2">
        <f>IFERROR(__xludf.DUMMYFUNCTION("""COMPUTED_VALUE"""),1205.0)</f>
        <v>1205</v>
      </c>
      <c r="F50" s="2">
        <f>IFERROR(__xludf.DUMMYFUNCTION("""COMPUTED_VALUE"""),8.44437E7)</f>
        <v>84443700</v>
      </c>
      <c r="G50" s="2">
        <f t="shared" si="1"/>
        <v>70</v>
      </c>
    </row>
    <row r="51" ht="15.75" customHeight="1">
      <c r="A51" s="1">
        <f>IFERROR(__xludf.DUMMYFUNCTION("""COMPUTED_VALUE"""),43901.66666666667)</f>
        <v>43901.66667</v>
      </c>
      <c r="B51" s="2">
        <f>IFERROR(__xludf.DUMMYFUNCTION("""COMPUTED_VALUE"""),1205.0)</f>
        <v>1205</v>
      </c>
      <c r="C51" s="2">
        <f>IFERROR(__xludf.DUMMYFUNCTION("""COMPUTED_VALUE"""),1210.0)</f>
        <v>1210</v>
      </c>
      <c r="D51" s="2">
        <f>IFERROR(__xludf.DUMMYFUNCTION("""COMPUTED_VALUE"""),1120.0)</f>
        <v>1120</v>
      </c>
      <c r="E51" s="2">
        <f>IFERROR(__xludf.DUMMYFUNCTION("""COMPUTED_VALUE"""),1125.0)</f>
        <v>1125</v>
      </c>
      <c r="F51" s="2">
        <f>IFERROR(__xludf.DUMMYFUNCTION("""COMPUTED_VALUE"""),7.77725E7)</f>
        <v>77772500</v>
      </c>
      <c r="G51" s="2">
        <f t="shared" si="1"/>
        <v>90</v>
      </c>
    </row>
    <row r="52" ht="15.75" customHeight="1">
      <c r="A52" s="1">
        <f>IFERROR(__xludf.DUMMYFUNCTION("""COMPUTED_VALUE"""),43902.66666666667)</f>
        <v>43902.66667</v>
      </c>
      <c r="B52" s="2">
        <f>IFERROR(__xludf.DUMMYFUNCTION("""COMPUTED_VALUE"""),1070.0)</f>
        <v>1070</v>
      </c>
      <c r="C52" s="2">
        <f>IFERROR(__xludf.DUMMYFUNCTION("""COMPUTED_VALUE"""),1070.0)</f>
        <v>1070</v>
      </c>
      <c r="D52" s="2">
        <f>IFERROR(__xludf.DUMMYFUNCTION("""COMPUTED_VALUE"""),1000.0)</f>
        <v>1000</v>
      </c>
      <c r="E52" s="2">
        <f>IFERROR(__xludf.DUMMYFUNCTION("""COMPUTED_VALUE"""),1005.0)</f>
        <v>1005</v>
      </c>
      <c r="F52" s="2">
        <f>IFERROR(__xludf.DUMMYFUNCTION("""COMPUTED_VALUE"""),7.83998E7)</f>
        <v>78399800</v>
      </c>
      <c r="G52" s="2">
        <f t="shared" si="1"/>
        <v>125</v>
      </c>
    </row>
    <row r="53" ht="15.75" customHeight="1">
      <c r="A53" s="1">
        <f>IFERROR(__xludf.DUMMYFUNCTION("""COMPUTED_VALUE"""),43903.66666666667)</f>
        <v>43903.66667</v>
      </c>
      <c r="B53" s="2">
        <f>IFERROR(__xludf.DUMMYFUNCTION("""COMPUTED_VALUE"""),960.0)</f>
        <v>960</v>
      </c>
      <c r="C53" s="2">
        <f>IFERROR(__xludf.DUMMYFUNCTION("""COMPUTED_VALUE"""),1040.0)</f>
        <v>1040</v>
      </c>
      <c r="D53" s="2">
        <f>IFERROR(__xludf.DUMMYFUNCTION("""COMPUTED_VALUE"""),935.0)</f>
        <v>935</v>
      </c>
      <c r="E53" s="2">
        <f>IFERROR(__xludf.DUMMYFUNCTION("""COMPUTED_VALUE"""),980.0)</f>
        <v>980</v>
      </c>
      <c r="F53" s="2">
        <f>IFERROR(__xludf.DUMMYFUNCTION("""COMPUTED_VALUE"""),1.143049E8)</f>
        <v>114304900</v>
      </c>
      <c r="G53" s="2">
        <f t="shared" si="1"/>
        <v>105</v>
      </c>
    </row>
    <row r="54" ht="15.75" customHeight="1">
      <c r="A54" s="1">
        <f>IFERROR(__xludf.DUMMYFUNCTION("""COMPUTED_VALUE"""),43906.66666666667)</f>
        <v>43906.66667</v>
      </c>
      <c r="B54" s="2">
        <f>IFERROR(__xludf.DUMMYFUNCTION("""COMPUTED_VALUE"""),940.0)</f>
        <v>940</v>
      </c>
      <c r="C54" s="2">
        <f>IFERROR(__xludf.DUMMYFUNCTION("""COMPUTED_VALUE"""),940.0)</f>
        <v>940</v>
      </c>
      <c r="D54" s="2">
        <f>IFERROR(__xludf.DUMMYFUNCTION("""COMPUTED_VALUE"""),915.0)</f>
        <v>915</v>
      </c>
      <c r="E54" s="2">
        <f>IFERROR(__xludf.DUMMYFUNCTION("""COMPUTED_VALUE"""),915.0)</f>
        <v>915</v>
      </c>
      <c r="F54" s="2">
        <f>IFERROR(__xludf.DUMMYFUNCTION("""COMPUTED_VALUE"""),5.00156E7)</f>
        <v>50015600</v>
      </c>
      <c r="G54" s="2">
        <f t="shared" si="1"/>
        <v>65</v>
      </c>
    </row>
    <row r="55" ht="15.75" customHeight="1">
      <c r="A55" s="1">
        <f>IFERROR(__xludf.DUMMYFUNCTION("""COMPUTED_VALUE"""),43907.66666666667)</f>
        <v>43907.66667</v>
      </c>
      <c r="B55" s="2">
        <f>IFERROR(__xludf.DUMMYFUNCTION("""COMPUTED_VALUE"""),860.0)</f>
        <v>860</v>
      </c>
      <c r="C55" s="2">
        <f>IFERROR(__xludf.DUMMYFUNCTION("""COMPUTED_VALUE"""),870.0)</f>
        <v>870</v>
      </c>
      <c r="D55" s="2">
        <f>IFERROR(__xludf.DUMMYFUNCTION("""COMPUTED_VALUE"""),855.0)</f>
        <v>855</v>
      </c>
      <c r="E55" s="2">
        <f>IFERROR(__xludf.DUMMYFUNCTION("""COMPUTED_VALUE"""),855.0)</f>
        <v>855</v>
      </c>
      <c r="F55" s="2">
        <f>IFERROR(__xludf.DUMMYFUNCTION("""COMPUTED_VALUE"""),7.86897E7)</f>
        <v>78689700</v>
      </c>
      <c r="G55" s="2">
        <f t="shared" si="1"/>
        <v>60</v>
      </c>
    </row>
    <row r="56" ht="15.75" customHeight="1">
      <c r="A56" s="1">
        <f>IFERROR(__xludf.DUMMYFUNCTION("""COMPUTED_VALUE"""),43908.66666666667)</f>
        <v>43908.66667</v>
      </c>
      <c r="B56" s="2">
        <f>IFERROR(__xludf.DUMMYFUNCTION("""COMPUTED_VALUE"""),855.0)</f>
        <v>855</v>
      </c>
      <c r="C56" s="2">
        <f>IFERROR(__xludf.DUMMYFUNCTION("""COMPUTED_VALUE"""),860.0)</f>
        <v>860</v>
      </c>
      <c r="D56" s="2">
        <f>IFERROR(__xludf.DUMMYFUNCTION("""COMPUTED_VALUE"""),800.0)</f>
        <v>800</v>
      </c>
      <c r="E56" s="2">
        <f>IFERROR(__xludf.DUMMYFUNCTION("""COMPUTED_VALUE"""),800.0)</f>
        <v>800</v>
      </c>
      <c r="F56" s="2">
        <f>IFERROR(__xludf.DUMMYFUNCTION("""COMPUTED_VALUE"""),7.41462E7)</f>
        <v>74146200</v>
      </c>
      <c r="G56" s="2">
        <f t="shared" si="1"/>
        <v>60</v>
      </c>
    </row>
    <row r="57" ht="15.75" customHeight="1">
      <c r="A57" s="1">
        <f>IFERROR(__xludf.DUMMYFUNCTION("""COMPUTED_VALUE"""),43909.66666666667)</f>
        <v>43909.66667</v>
      </c>
      <c r="B57" s="2">
        <f>IFERROR(__xludf.DUMMYFUNCTION("""COMPUTED_VALUE"""),745.0)</f>
        <v>745</v>
      </c>
      <c r="C57" s="2">
        <f>IFERROR(__xludf.DUMMYFUNCTION("""COMPUTED_VALUE"""),750.0)</f>
        <v>750</v>
      </c>
      <c r="D57" s="2">
        <f>IFERROR(__xludf.DUMMYFUNCTION("""COMPUTED_VALUE"""),745.0)</f>
        <v>745</v>
      </c>
      <c r="E57" s="2">
        <f>IFERROR(__xludf.DUMMYFUNCTION("""COMPUTED_VALUE"""),745.0)</f>
        <v>745</v>
      </c>
      <c r="F57" s="2">
        <f>IFERROR(__xludf.DUMMYFUNCTION("""COMPUTED_VALUE"""),1.03539E7)</f>
        <v>10353900</v>
      </c>
      <c r="G57" s="2">
        <f t="shared" si="1"/>
        <v>55</v>
      </c>
    </row>
    <row r="58" ht="15.75" customHeight="1">
      <c r="A58" s="1">
        <f>IFERROR(__xludf.DUMMYFUNCTION("""COMPUTED_VALUE"""),43910.66666666667)</f>
        <v>43910.66667</v>
      </c>
      <c r="B58" s="2">
        <f>IFERROR(__xludf.DUMMYFUNCTION("""COMPUTED_VALUE"""),695.0)</f>
        <v>695</v>
      </c>
      <c r="C58" s="2">
        <f>IFERROR(__xludf.DUMMYFUNCTION("""COMPUTED_VALUE"""),740.0)</f>
        <v>740</v>
      </c>
      <c r="D58" s="2">
        <f>IFERROR(__xludf.DUMMYFUNCTION("""COMPUTED_VALUE"""),695.0)</f>
        <v>695</v>
      </c>
      <c r="E58" s="2">
        <f>IFERROR(__xludf.DUMMYFUNCTION("""COMPUTED_VALUE"""),695.0)</f>
        <v>695</v>
      </c>
      <c r="F58" s="2">
        <f>IFERROR(__xludf.DUMMYFUNCTION("""COMPUTED_VALUE"""),2.306466E8)</f>
        <v>230646600</v>
      </c>
      <c r="G58" s="2">
        <f t="shared" si="1"/>
        <v>50</v>
      </c>
    </row>
    <row r="59" ht="15.75" customHeight="1">
      <c r="A59" s="1">
        <f>IFERROR(__xludf.DUMMYFUNCTION("""COMPUTED_VALUE"""),43913.66666666667)</f>
        <v>43913.66667</v>
      </c>
      <c r="B59" s="2">
        <f>IFERROR(__xludf.DUMMYFUNCTION("""COMPUTED_VALUE"""),695.0)</f>
        <v>695</v>
      </c>
      <c r="C59" s="2">
        <f>IFERROR(__xludf.DUMMYFUNCTION("""COMPUTED_VALUE"""),695.0)</f>
        <v>695</v>
      </c>
      <c r="D59" s="2">
        <f>IFERROR(__xludf.DUMMYFUNCTION("""COMPUTED_VALUE"""),650.0)</f>
        <v>650</v>
      </c>
      <c r="E59" s="2">
        <f>IFERROR(__xludf.DUMMYFUNCTION("""COMPUTED_VALUE"""),650.0)</f>
        <v>650</v>
      </c>
      <c r="F59" s="2">
        <f>IFERROR(__xludf.DUMMYFUNCTION("""COMPUTED_VALUE"""),1.38169E7)</f>
        <v>13816900</v>
      </c>
      <c r="G59" s="2">
        <f t="shared" si="1"/>
        <v>45</v>
      </c>
    </row>
    <row r="60" ht="15.75" customHeight="1">
      <c r="A60" s="1">
        <f>IFERROR(__xludf.DUMMYFUNCTION("""COMPUTED_VALUE"""),43914.66666666667)</f>
        <v>43914.66667</v>
      </c>
      <c r="B60" s="2">
        <f>IFERROR(__xludf.DUMMYFUNCTION("""COMPUTED_VALUE"""),610.0)</f>
        <v>610</v>
      </c>
      <c r="C60" s="2">
        <f>IFERROR(__xludf.DUMMYFUNCTION("""COMPUTED_VALUE"""),680.0)</f>
        <v>680</v>
      </c>
      <c r="D60" s="2">
        <f>IFERROR(__xludf.DUMMYFUNCTION("""COMPUTED_VALUE"""),605.0)</f>
        <v>605</v>
      </c>
      <c r="E60" s="2">
        <f>IFERROR(__xludf.DUMMYFUNCTION("""COMPUTED_VALUE"""),605.0)</f>
        <v>605</v>
      </c>
      <c r="F60" s="2">
        <f>IFERROR(__xludf.DUMMYFUNCTION("""COMPUTED_VALUE"""),2.00609E8)</f>
        <v>200609000</v>
      </c>
      <c r="G60" s="2">
        <f t="shared" si="1"/>
        <v>75</v>
      </c>
    </row>
    <row r="61" ht="15.75" customHeight="1">
      <c r="A61" s="1">
        <f>IFERROR(__xludf.DUMMYFUNCTION("""COMPUTED_VALUE"""),43916.66666666667)</f>
        <v>43916.66667</v>
      </c>
      <c r="B61" s="2">
        <f>IFERROR(__xludf.DUMMYFUNCTION("""COMPUTED_VALUE"""),615.0)</f>
        <v>615</v>
      </c>
      <c r="C61" s="2">
        <f>IFERROR(__xludf.DUMMYFUNCTION("""COMPUTED_VALUE"""),705.0)</f>
        <v>705</v>
      </c>
      <c r="D61" s="2">
        <f>IFERROR(__xludf.DUMMYFUNCTION("""COMPUTED_VALUE"""),615.0)</f>
        <v>615</v>
      </c>
      <c r="E61" s="2">
        <f>IFERROR(__xludf.DUMMYFUNCTION("""COMPUTED_VALUE"""),680.0)</f>
        <v>680</v>
      </c>
      <c r="F61" s="2">
        <f>IFERROR(__xludf.DUMMYFUNCTION("""COMPUTED_VALUE"""),2.849245E8)</f>
        <v>284924500</v>
      </c>
      <c r="G61" s="2">
        <f t="shared" si="1"/>
        <v>100</v>
      </c>
    </row>
    <row r="62" ht="15.75" customHeight="1">
      <c r="A62" s="1">
        <f>IFERROR(__xludf.DUMMYFUNCTION("""COMPUTED_VALUE"""),43917.66666666667)</f>
        <v>43917.66667</v>
      </c>
      <c r="B62" s="2">
        <f>IFERROR(__xludf.DUMMYFUNCTION("""COMPUTED_VALUE"""),700.0)</f>
        <v>700</v>
      </c>
      <c r="C62" s="2">
        <f>IFERROR(__xludf.DUMMYFUNCTION("""COMPUTED_VALUE"""),835.0)</f>
        <v>835</v>
      </c>
      <c r="D62" s="2">
        <f>IFERROR(__xludf.DUMMYFUNCTION("""COMPUTED_VALUE"""),700.0)</f>
        <v>700</v>
      </c>
      <c r="E62" s="2">
        <f>IFERROR(__xludf.DUMMYFUNCTION("""COMPUTED_VALUE"""),760.0)</f>
        <v>760</v>
      </c>
      <c r="F62" s="2">
        <f>IFERROR(__xludf.DUMMYFUNCTION("""COMPUTED_VALUE"""),3.164153E8)</f>
        <v>316415300</v>
      </c>
      <c r="G62" s="2">
        <f t="shared" si="1"/>
        <v>155</v>
      </c>
    </row>
    <row r="63" ht="15.75" customHeight="1">
      <c r="A63" s="1">
        <f>IFERROR(__xludf.DUMMYFUNCTION("""COMPUTED_VALUE"""),43920.66666666667)</f>
        <v>43920.66667</v>
      </c>
      <c r="B63" s="2">
        <f>IFERROR(__xludf.DUMMYFUNCTION("""COMPUTED_VALUE"""),745.0)</f>
        <v>745</v>
      </c>
      <c r="C63" s="2">
        <f>IFERROR(__xludf.DUMMYFUNCTION("""COMPUTED_VALUE"""),745.0)</f>
        <v>745</v>
      </c>
      <c r="D63" s="2">
        <f>IFERROR(__xludf.DUMMYFUNCTION("""COMPUTED_VALUE"""),710.0)</f>
        <v>710</v>
      </c>
      <c r="E63" s="2">
        <f>IFERROR(__xludf.DUMMYFUNCTION("""COMPUTED_VALUE"""),730.0)</f>
        <v>730</v>
      </c>
      <c r="F63" s="2">
        <f>IFERROR(__xludf.DUMMYFUNCTION("""COMPUTED_VALUE"""),8.64729E7)</f>
        <v>86472900</v>
      </c>
      <c r="G63" s="2">
        <f t="shared" si="1"/>
        <v>50</v>
      </c>
    </row>
    <row r="64" ht="15.75" customHeight="1">
      <c r="A64" s="1">
        <f>IFERROR(__xludf.DUMMYFUNCTION("""COMPUTED_VALUE"""),43921.66666666667)</f>
        <v>43921.66667</v>
      </c>
      <c r="B64" s="2">
        <f>IFERROR(__xludf.DUMMYFUNCTION("""COMPUTED_VALUE"""),750.0)</f>
        <v>750</v>
      </c>
      <c r="C64" s="2">
        <f>IFERROR(__xludf.DUMMYFUNCTION("""COMPUTED_VALUE"""),790.0)</f>
        <v>790</v>
      </c>
      <c r="D64" s="2">
        <f>IFERROR(__xludf.DUMMYFUNCTION("""COMPUTED_VALUE"""),745.0)</f>
        <v>745</v>
      </c>
      <c r="E64" s="2">
        <f>IFERROR(__xludf.DUMMYFUNCTION("""COMPUTED_VALUE"""),775.0)</f>
        <v>775</v>
      </c>
      <c r="F64" s="2">
        <f>IFERROR(__xludf.DUMMYFUNCTION("""COMPUTED_VALUE"""),1.29356E8)</f>
        <v>129356000</v>
      </c>
      <c r="G64" s="2">
        <f t="shared" si="1"/>
        <v>60</v>
      </c>
    </row>
    <row r="65" ht="15.75" customHeight="1">
      <c r="A65" s="1">
        <f>IFERROR(__xludf.DUMMYFUNCTION("""COMPUTED_VALUE"""),43922.66666666667)</f>
        <v>43922.66667</v>
      </c>
      <c r="B65" s="2">
        <f>IFERROR(__xludf.DUMMYFUNCTION("""COMPUTED_VALUE"""),765.0)</f>
        <v>765</v>
      </c>
      <c r="C65" s="2">
        <f>IFERROR(__xludf.DUMMYFUNCTION("""COMPUTED_VALUE"""),815.0)</f>
        <v>815</v>
      </c>
      <c r="D65" s="2">
        <f>IFERROR(__xludf.DUMMYFUNCTION("""COMPUTED_VALUE"""),735.0)</f>
        <v>735</v>
      </c>
      <c r="E65" s="2">
        <f>IFERROR(__xludf.DUMMYFUNCTION("""COMPUTED_VALUE"""),735.0)</f>
        <v>735</v>
      </c>
      <c r="F65" s="2">
        <f>IFERROR(__xludf.DUMMYFUNCTION("""COMPUTED_VALUE"""),1.480673E8)</f>
        <v>148067300</v>
      </c>
      <c r="G65" s="2">
        <f t="shared" si="1"/>
        <v>80</v>
      </c>
    </row>
    <row r="66" ht="15.75" customHeight="1">
      <c r="A66" s="1">
        <f>IFERROR(__xludf.DUMMYFUNCTION("""COMPUTED_VALUE"""),43923.66666666667)</f>
        <v>43923.66667</v>
      </c>
      <c r="B66" s="2">
        <f>IFERROR(__xludf.DUMMYFUNCTION("""COMPUTED_VALUE"""),730.0)</f>
        <v>730</v>
      </c>
      <c r="C66" s="2">
        <f>IFERROR(__xludf.DUMMYFUNCTION("""COMPUTED_VALUE"""),800.0)</f>
        <v>800</v>
      </c>
      <c r="D66" s="2">
        <f>IFERROR(__xludf.DUMMYFUNCTION("""COMPUTED_VALUE"""),710.0)</f>
        <v>710</v>
      </c>
      <c r="E66" s="2">
        <f>IFERROR(__xludf.DUMMYFUNCTION("""COMPUTED_VALUE"""),800.0)</f>
        <v>800</v>
      </c>
      <c r="F66" s="2">
        <f>IFERROR(__xludf.DUMMYFUNCTION("""COMPUTED_VALUE"""),1.760886E8)</f>
        <v>176088600</v>
      </c>
      <c r="G66" s="2">
        <f t="shared" si="1"/>
        <v>90</v>
      </c>
    </row>
    <row r="67" ht="15.75" customHeight="1">
      <c r="A67" s="1">
        <f>IFERROR(__xludf.DUMMYFUNCTION("""COMPUTED_VALUE"""),43924.66666666667)</f>
        <v>43924.66667</v>
      </c>
      <c r="B67" s="2">
        <f>IFERROR(__xludf.DUMMYFUNCTION("""COMPUTED_VALUE"""),810.0)</f>
        <v>810</v>
      </c>
      <c r="C67" s="2">
        <f>IFERROR(__xludf.DUMMYFUNCTION("""COMPUTED_VALUE"""),840.0)</f>
        <v>840</v>
      </c>
      <c r="D67" s="2">
        <f>IFERROR(__xludf.DUMMYFUNCTION("""COMPUTED_VALUE"""),795.0)</f>
        <v>795</v>
      </c>
      <c r="E67" s="2">
        <f>IFERROR(__xludf.DUMMYFUNCTION("""COMPUTED_VALUE"""),800.0)</f>
        <v>800</v>
      </c>
      <c r="F67" s="2">
        <f>IFERROR(__xludf.DUMMYFUNCTION("""COMPUTED_VALUE"""),1.991675E8)</f>
        <v>199167500</v>
      </c>
      <c r="G67" s="2">
        <f t="shared" si="1"/>
        <v>45</v>
      </c>
    </row>
    <row r="68" ht="15.75" customHeight="1">
      <c r="A68" s="1">
        <f>IFERROR(__xludf.DUMMYFUNCTION("""COMPUTED_VALUE"""),43927.66666666667)</f>
        <v>43927.66667</v>
      </c>
      <c r="B68" s="2">
        <f>IFERROR(__xludf.DUMMYFUNCTION("""COMPUTED_VALUE"""),820.0)</f>
        <v>820</v>
      </c>
      <c r="C68" s="2">
        <f>IFERROR(__xludf.DUMMYFUNCTION("""COMPUTED_VALUE"""),895.0)</f>
        <v>895</v>
      </c>
      <c r="D68" s="2">
        <f>IFERROR(__xludf.DUMMYFUNCTION("""COMPUTED_VALUE"""),815.0)</f>
        <v>815</v>
      </c>
      <c r="E68" s="2">
        <f>IFERROR(__xludf.DUMMYFUNCTION("""COMPUTED_VALUE"""),895.0)</f>
        <v>895</v>
      </c>
      <c r="F68" s="2">
        <f>IFERROR(__xludf.DUMMYFUNCTION("""COMPUTED_VALUE"""),2.972931E8)</f>
        <v>297293100</v>
      </c>
      <c r="G68" s="2">
        <f t="shared" si="1"/>
        <v>95</v>
      </c>
    </row>
    <row r="69" ht="15.75" customHeight="1">
      <c r="A69" s="1">
        <f>IFERROR(__xludf.DUMMYFUNCTION("""COMPUTED_VALUE"""),43928.66666666667)</f>
        <v>43928.66667</v>
      </c>
      <c r="B69" s="2">
        <f>IFERROR(__xludf.DUMMYFUNCTION("""COMPUTED_VALUE"""),925.0)</f>
        <v>925</v>
      </c>
      <c r="C69" s="2">
        <f>IFERROR(__xludf.DUMMYFUNCTION("""COMPUTED_VALUE"""),950.0)</f>
        <v>950</v>
      </c>
      <c r="D69" s="2">
        <f>IFERROR(__xludf.DUMMYFUNCTION("""COMPUTED_VALUE"""),875.0)</f>
        <v>875</v>
      </c>
      <c r="E69" s="2">
        <f>IFERROR(__xludf.DUMMYFUNCTION("""COMPUTED_VALUE"""),915.0)</f>
        <v>915</v>
      </c>
      <c r="F69" s="2">
        <f>IFERROR(__xludf.DUMMYFUNCTION("""COMPUTED_VALUE"""),3.070096E8)</f>
        <v>307009600</v>
      </c>
      <c r="G69" s="2">
        <f t="shared" si="1"/>
        <v>75</v>
      </c>
    </row>
    <row r="70" ht="15.75" customHeight="1">
      <c r="A70" s="1">
        <f>IFERROR(__xludf.DUMMYFUNCTION("""COMPUTED_VALUE"""),43929.66666666667)</f>
        <v>43929.66667</v>
      </c>
      <c r="B70" s="2">
        <f>IFERROR(__xludf.DUMMYFUNCTION("""COMPUTED_VALUE"""),900.0)</f>
        <v>900</v>
      </c>
      <c r="C70" s="2">
        <f>IFERROR(__xludf.DUMMYFUNCTION("""COMPUTED_VALUE"""),915.0)</f>
        <v>915</v>
      </c>
      <c r="D70" s="2">
        <f>IFERROR(__xludf.DUMMYFUNCTION("""COMPUTED_VALUE"""),855.0)</f>
        <v>855</v>
      </c>
      <c r="E70" s="2">
        <f>IFERROR(__xludf.DUMMYFUNCTION("""COMPUTED_VALUE"""),855.0)</f>
        <v>855</v>
      </c>
      <c r="F70" s="2">
        <f>IFERROR(__xludf.DUMMYFUNCTION("""COMPUTED_VALUE"""),1.252127E8)</f>
        <v>125212700</v>
      </c>
      <c r="G70" s="2">
        <f t="shared" si="1"/>
        <v>60</v>
      </c>
    </row>
    <row r="71" ht="15.75" customHeight="1">
      <c r="A71" s="1">
        <f>IFERROR(__xludf.DUMMYFUNCTION("""COMPUTED_VALUE"""),43930.66666666667)</f>
        <v>43930.66667</v>
      </c>
      <c r="B71" s="2">
        <f>IFERROR(__xludf.DUMMYFUNCTION("""COMPUTED_VALUE"""),850.0)</f>
        <v>850</v>
      </c>
      <c r="C71" s="2">
        <f>IFERROR(__xludf.DUMMYFUNCTION("""COMPUTED_VALUE"""),880.0)</f>
        <v>880</v>
      </c>
      <c r="D71" s="2">
        <f>IFERROR(__xludf.DUMMYFUNCTION("""COMPUTED_VALUE"""),820.0)</f>
        <v>820</v>
      </c>
      <c r="E71" s="2">
        <f>IFERROR(__xludf.DUMMYFUNCTION("""COMPUTED_VALUE"""),835.0)</f>
        <v>835</v>
      </c>
      <c r="F71" s="2">
        <f>IFERROR(__xludf.DUMMYFUNCTION("""COMPUTED_VALUE"""),1.724277E8)</f>
        <v>172427700</v>
      </c>
      <c r="G71" s="2">
        <f t="shared" si="1"/>
        <v>60</v>
      </c>
    </row>
    <row r="72" ht="15.75" customHeight="1">
      <c r="A72" s="1">
        <f>IFERROR(__xludf.DUMMYFUNCTION("""COMPUTED_VALUE"""),43934.66666666667)</f>
        <v>43934.66667</v>
      </c>
      <c r="B72" s="2">
        <f>IFERROR(__xludf.DUMMYFUNCTION("""COMPUTED_VALUE"""),800.0)</f>
        <v>800</v>
      </c>
      <c r="C72" s="2">
        <f>IFERROR(__xludf.DUMMYFUNCTION("""COMPUTED_VALUE"""),860.0)</f>
        <v>860</v>
      </c>
      <c r="D72" s="2">
        <f>IFERROR(__xludf.DUMMYFUNCTION("""COMPUTED_VALUE"""),800.0)</f>
        <v>800</v>
      </c>
      <c r="E72" s="2">
        <f>IFERROR(__xludf.DUMMYFUNCTION("""COMPUTED_VALUE"""),830.0)</f>
        <v>830</v>
      </c>
      <c r="F72" s="2">
        <f>IFERROR(__xludf.DUMMYFUNCTION("""COMPUTED_VALUE"""),9.26936E7)</f>
        <v>92693600</v>
      </c>
      <c r="G72" s="2">
        <f t="shared" si="1"/>
        <v>60</v>
      </c>
    </row>
    <row r="73" ht="15.75" customHeight="1">
      <c r="A73" s="1">
        <f>IFERROR(__xludf.DUMMYFUNCTION("""COMPUTED_VALUE"""),43935.66666666667)</f>
        <v>43935.66667</v>
      </c>
      <c r="B73" s="2">
        <f>IFERROR(__xludf.DUMMYFUNCTION("""COMPUTED_VALUE"""),850.0)</f>
        <v>850</v>
      </c>
      <c r="C73" s="2">
        <f>IFERROR(__xludf.DUMMYFUNCTION("""COMPUTED_VALUE"""),900.0)</f>
        <v>900</v>
      </c>
      <c r="D73" s="2">
        <f>IFERROR(__xludf.DUMMYFUNCTION("""COMPUTED_VALUE"""),835.0)</f>
        <v>835</v>
      </c>
      <c r="E73" s="2">
        <f>IFERROR(__xludf.DUMMYFUNCTION("""COMPUTED_VALUE"""),900.0)</f>
        <v>900</v>
      </c>
      <c r="F73" s="2">
        <f>IFERROR(__xludf.DUMMYFUNCTION("""COMPUTED_VALUE"""),2.191763E8)</f>
        <v>219176300</v>
      </c>
      <c r="G73" s="2">
        <f t="shared" si="1"/>
        <v>70</v>
      </c>
    </row>
    <row r="74" ht="15.75" customHeight="1">
      <c r="A74" s="1">
        <f>IFERROR(__xludf.DUMMYFUNCTION("""COMPUTED_VALUE"""),43936.66666666667)</f>
        <v>43936.66667</v>
      </c>
      <c r="B74" s="2">
        <f>IFERROR(__xludf.DUMMYFUNCTION("""COMPUTED_VALUE"""),910.0)</f>
        <v>910</v>
      </c>
      <c r="C74" s="2">
        <f>IFERROR(__xludf.DUMMYFUNCTION("""COMPUTED_VALUE"""),920.0)</f>
        <v>920</v>
      </c>
      <c r="D74" s="2">
        <f>IFERROR(__xludf.DUMMYFUNCTION("""COMPUTED_VALUE"""),840.0)</f>
        <v>840</v>
      </c>
      <c r="E74" s="2">
        <f>IFERROR(__xludf.DUMMYFUNCTION("""COMPUTED_VALUE"""),840.0)</f>
        <v>840</v>
      </c>
      <c r="F74" s="2">
        <f>IFERROR(__xludf.DUMMYFUNCTION("""COMPUTED_VALUE"""),2.851258E8)</f>
        <v>285125800</v>
      </c>
      <c r="G74" s="2">
        <f t="shared" si="1"/>
        <v>80</v>
      </c>
    </row>
    <row r="75" ht="15.75" customHeight="1">
      <c r="A75" s="1">
        <f>IFERROR(__xludf.DUMMYFUNCTION("""COMPUTED_VALUE"""),43937.66666666667)</f>
        <v>43937.66667</v>
      </c>
      <c r="B75" s="2">
        <f>IFERROR(__xludf.DUMMYFUNCTION("""COMPUTED_VALUE"""),830.0)</f>
        <v>830</v>
      </c>
      <c r="C75" s="2">
        <f>IFERROR(__xludf.DUMMYFUNCTION("""COMPUTED_VALUE"""),840.0)</f>
        <v>840</v>
      </c>
      <c r="D75" s="2">
        <f>IFERROR(__xludf.DUMMYFUNCTION("""COMPUTED_VALUE"""),800.0)</f>
        <v>800</v>
      </c>
      <c r="E75" s="2">
        <f>IFERROR(__xludf.DUMMYFUNCTION("""COMPUTED_VALUE"""),805.0)</f>
        <v>805</v>
      </c>
      <c r="F75" s="2">
        <f>IFERROR(__xludf.DUMMYFUNCTION("""COMPUTED_VALUE"""),1.431744E8)</f>
        <v>143174400</v>
      </c>
      <c r="G75" s="2">
        <f t="shared" si="1"/>
        <v>40</v>
      </c>
    </row>
    <row r="76" ht="15.75" customHeight="1">
      <c r="A76" s="1">
        <f>IFERROR(__xludf.DUMMYFUNCTION("""COMPUTED_VALUE"""),43938.66666666667)</f>
        <v>43938.66667</v>
      </c>
      <c r="B76" s="2">
        <f>IFERROR(__xludf.DUMMYFUNCTION("""COMPUTED_VALUE"""),825.0)</f>
        <v>825</v>
      </c>
      <c r="C76" s="2">
        <f>IFERROR(__xludf.DUMMYFUNCTION("""COMPUTED_VALUE"""),845.0)</f>
        <v>845</v>
      </c>
      <c r="D76" s="2">
        <f>IFERROR(__xludf.DUMMYFUNCTION("""COMPUTED_VALUE"""),820.0)</f>
        <v>820</v>
      </c>
      <c r="E76" s="2">
        <f>IFERROR(__xludf.DUMMYFUNCTION("""COMPUTED_VALUE"""),835.0)</f>
        <v>835</v>
      </c>
      <c r="F76" s="2">
        <f>IFERROR(__xludf.DUMMYFUNCTION("""COMPUTED_VALUE"""),1.263839E8)</f>
        <v>126383900</v>
      </c>
      <c r="G76" s="2">
        <f t="shared" si="1"/>
        <v>40</v>
      </c>
    </row>
    <row r="77" ht="15.75" customHeight="1">
      <c r="A77" s="1">
        <f>IFERROR(__xludf.DUMMYFUNCTION("""COMPUTED_VALUE"""),43941.66666666667)</f>
        <v>43941.66667</v>
      </c>
      <c r="B77" s="2">
        <f>IFERROR(__xludf.DUMMYFUNCTION("""COMPUTED_VALUE"""),830.0)</f>
        <v>830</v>
      </c>
      <c r="C77" s="2">
        <f>IFERROR(__xludf.DUMMYFUNCTION("""COMPUTED_VALUE"""),845.0)</f>
        <v>845</v>
      </c>
      <c r="D77" s="2">
        <f>IFERROR(__xludf.DUMMYFUNCTION("""COMPUTED_VALUE"""),800.0)</f>
        <v>800</v>
      </c>
      <c r="E77" s="2">
        <f>IFERROR(__xludf.DUMMYFUNCTION("""COMPUTED_VALUE"""),805.0)</f>
        <v>805</v>
      </c>
      <c r="F77" s="2">
        <f>IFERROR(__xludf.DUMMYFUNCTION("""COMPUTED_VALUE"""),1.14845E8)</f>
        <v>114845000</v>
      </c>
      <c r="G77" s="2">
        <f t="shared" si="1"/>
        <v>45</v>
      </c>
    </row>
    <row r="78" ht="15.75" customHeight="1">
      <c r="A78" s="1">
        <f>IFERROR(__xludf.DUMMYFUNCTION("""COMPUTED_VALUE"""),43942.66666666667)</f>
        <v>43942.66667</v>
      </c>
      <c r="B78" s="2">
        <f>IFERROR(__xludf.DUMMYFUNCTION("""COMPUTED_VALUE"""),800.0)</f>
        <v>800</v>
      </c>
      <c r="C78" s="2">
        <f>IFERROR(__xludf.DUMMYFUNCTION("""COMPUTED_VALUE"""),800.0)</f>
        <v>800</v>
      </c>
      <c r="D78" s="2">
        <f>IFERROR(__xludf.DUMMYFUNCTION("""COMPUTED_VALUE"""),760.0)</f>
        <v>760</v>
      </c>
      <c r="E78" s="2">
        <f>IFERROR(__xludf.DUMMYFUNCTION("""COMPUTED_VALUE"""),765.0)</f>
        <v>765</v>
      </c>
      <c r="F78" s="2">
        <f>IFERROR(__xludf.DUMMYFUNCTION("""COMPUTED_VALUE"""),9.9714E7)</f>
        <v>99714000</v>
      </c>
      <c r="G78" s="2">
        <f t="shared" si="1"/>
        <v>45</v>
      </c>
    </row>
    <row r="79" ht="15.75" customHeight="1">
      <c r="A79" s="1">
        <f>IFERROR(__xludf.DUMMYFUNCTION("""COMPUTED_VALUE"""),43943.66666666667)</f>
        <v>43943.66667</v>
      </c>
      <c r="B79" s="2">
        <f>IFERROR(__xludf.DUMMYFUNCTION("""COMPUTED_VALUE"""),755.0)</f>
        <v>755</v>
      </c>
      <c r="C79" s="2">
        <f>IFERROR(__xludf.DUMMYFUNCTION("""COMPUTED_VALUE"""),775.0)</f>
        <v>775</v>
      </c>
      <c r="D79" s="2">
        <f>IFERROR(__xludf.DUMMYFUNCTION("""COMPUTED_VALUE"""),730.0)</f>
        <v>730</v>
      </c>
      <c r="E79" s="2">
        <f>IFERROR(__xludf.DUMMYFUNCTION("""COMPUTED_VALUE"""),765.0)</f>
        <v>765</v>
      </c>
      <c r="F79" s="2">
        <f>IFERROR(__xludf.DUMMYFUNCTION("""COMPUTED_VALUE"""),1.367203E8)</f>
        <v>136720300</v>
      </c>
      <c r="G79" s="2">
        <f t="shared" si="1"/>
        <v>45</v>
      </c>
    </row>
    <row r="80" ht="15.75" customHeight="1">
      <c r="A80" s="1">
        <f>IFERROR(__xludf.DUMMYFUNCTION("""COMPUTED_VALUE"""),43944.66666666667)</f>
        <v>43944.66667</v>
      </c>
      <c r="B80" s="2">
        <f>IFERROR(__xludf.DUMMYFUNCTION("""COMPUTED_VALUE"""),775.0)</f>
        <v>775</v>
      </c>
      <c r="C80" s="2">
        <f>IFERROR(__xludf.DUMMYFUNCTION("""COMPUTED_VALUE"""),800.0)</f>
        <v>800</v>
      </c>
      <c r="D80" s="2">
        <f>IFERROR(__xludf.DUMMYFUNCTION("""COMPUTED_VALUE"""),760.0)</f>
        <v>760</v>
      </c>
      <c r="E80" s="2">
        <f>IFERROR(__xludf.DUMMYFUNCTION("""COMPUTED_VALUE"""),770.0)</f>
        <v>770</v>
      </c>
      <c r="F80" s="2">
        <f>IFERROR(__xludf.DUMMYFUNCTION("""COMPUTED_VALUE"""),1.21051E8)</f>
        <v>121051000</v>
      </c>
      <c r="G80" s="2">
        <f t="shared" si="1"/>
        <v>40</v>
      </c>
    </row>
    <row r="81" ht="15.75" customHeight="1">
      <c r="A81" s="1">
        <f>IFERROR(__xludf.DUMMYFUNCTION("""COMPUTED_VALUE"""),43945.66666666667)</f>
        <v>43945.66667</v>
      </c>
      <c r="B81" s="2">
        <f>IFERROR(__xludf.DUMMYFUNCTION("""COMPUTED_VALUE"""),785.0)</f>
        <v>785</v>
      </c>
      <c r="C81" s="2">
        <f>IFERROR(__xludf.DUMMYFUNCTION("""COMPUTED_VALUE"""),800.0)</f>
        <v>800</v>
      </c>
      <c r="D81" s="2">
        <f>IFERROR(__xludf.DUMMYFUNCTION("""COMPUTED_VALUE"""),760.0)</f>
        <v>760</v>
      </c>
      <c r="E81" s="2">
        <f>IFERROR(__xludf.DUMMYFUNCTION("""COMPUTED_VALUE"""),770.0)</f>
        <v>770</v>
      </c>
      <c r="F81" s="2">
        <f>IFERROR(__xludf.DUMMYFUNCTION("""COMPUTED_VALUE"""),1.429576E8)</f>
        <v>142957600</v>
      </c>
      <c r="G81" s="2">
        <f t="shared" si="1"/>
        <v>40</v>
      </c>
    </row>
    <row r="82" ht="15.75" customHeight="1">
      <c r="A82" s="1">
        <f>IFERROR(__xludf.DUMMYFUNCTION("""COMPUTED_VALUE"""),43948.66666666667)</f>
        <v>43948.66667</v>
      </c>
      <c r="B82" s="2">
        <f>IFERROR(__xludf.DUMMYFUNCTION("""COMPUTED_VALUE"""),775.0)</f>
        <v>775</v>
      </c>
      <c r="C82" s="2">
        <f>IFERROR(__xludf.DUMMYFUNCTION("""COMPUTED_VALUE"""),790.0)</f>
        <v>790</v>
      </c>
      <c r="D82" s="2">
        <f>IFERROR(__xludf.DUMMYFUNCTION("""COMPUTED_VALUE"""),760.0)</f>
        <v>760</v>
      </c>
      <c r="E82" s="2">
        <f>IFERROR(__xludf.DUMMYFUNCTION("""COMPUTED_VALUE"""),785.0)</f>
        <v>785</v>
      </c>
      <c r="F82" s="2">
        <f>IFERROR(__xludf.DUMMYFUNCTION("""COMPUTED_VALUE"""),5.07421E7)</f>
        <v>50742100</v>
      </c>
      <c r="G82" s="2">
        <f t="shared" si="1"/>
        <v>30</v>
      </c>
    </row>
    <row r="83" ht="15.75" customHeight="1">
      <c r="A83" s="1">
        <f>IFERROR(__xludf.DUMMYFUNCTION("""COMPUTED_VALUE"""),43949.66666666667)</f>
        <v>43949.66667</v>
      </c>
      <c r="B83" s="2">
        <f>IFERROR(__xludf.DUMMYFUNCTION("""COMPUTED_VALUE"""),775.0)</f>
        <v>775</v>
      </c>
      <c r="C83" s="2">
        <f>IFERROR(__xludf.DUMMYFUNCTION("""COMPUTED_VALUE"""),790.0)</f>
        <v>790</v>
      </c>
      <c r="D83" s="2">
        <f>IFERROR(__xludf.DUMMYFUNCTION("""COMPUTED_VALUE"""),770.0)</f>
        <v>770</v>
      </c>
      <c r="E83" s="2">
        <f>IFERROR(__xludf.DUMMYFUNCTION("""COMPUTED_VALUE"""),780.0)</f>
        <v>780</v>
      </c>
      <c r="F83" s="2">
        <f>IFERROR(__xludf.DUMMYFUNCTION("""COMPUTED_VALUE"""),4.24801E7)</f>
        <v>42480100</v>
      </c>
      <c r="G83" s="2">
        <f t="shared" si="1"/>
        <v>20</v>
      </c>
    </row>
    <row r="84" ht="15.75" customHeight="1">
      <c r="A84" s="1">
        <f>IFERROR(__xludf.DUMMYFUNCTION("""COMPUTED_VALUE"""),43950.66666666667)</f>
        <v>43950.66667</v>
      </c>
      <c r="B84" s="2">
        <f>IFERROR(__xludf.DUMMYFUNCTION("""COMPUTED_VALUE"""),790.0)</f>
        <v>790</v>
      </c>
      <c r="C84" s="2">
        <f>IFERROR(__xludf.DUMMYFUNCTION("""COMPUTED_VALUE"""),795.0)</f>
        <v>795</v>
      </c>
      <c r="D84" s="2">
        <f>IFERROR(__xludf.DUMMYFUNCTION("""COMPUTED_VALUE"""),780.0)</f>
        <v>780</v>
      </c>
      <c r="E84" s="2">
        <f>IFERROR(__xludf.DUMMYFUNCTION("""COMPUTED_VALUE"""),790.0)</f>
        <v>790</v>
      </c>
      <c r="F84" s="2">
        <f>IFERROR(__xludf.DUMMYFUNCTION("""COMPUTED_VALUE"""),3.97955E7)</f>
        <v>39795500</v>
      </c>
      <c r="G84" s="2">
        <f t="shared" si="1"/>
        <v>15</v>
      </c>
    </row>
    <row r="85" ht="15.75" customHeight="1">
      <c r="A85" s="1">
        <f>IFERROR(__xludf.DUMMYFUNCTION("""COMPUTED_VALUE"""),43951.66666666667)</f>
        <v>43951.66667</v>
      </c>
      <c r="B85" s="2">
        <f>IFERROR(__xludf.DUMMYFUNCTION("""COMPUTED_VALUE"""),800.0)</f>
        <v>800</v>
      </c>
      <c r="C85" s="2">
        <f>IFERROR(__xludf.DUMMYFUNCTION("""COMPUTED_VALUE"""),855.0)</f>
        <v>855</v>
      </c>
      <c r="D85" s="2">
        <f>IFERROR(__xludf.DUMMYFUNCTION("""COMPUTED_VALUE"""),800.0)</f>
        <v>800</v>
      </c>
      <c r="E85" s="2">
        <f>IFERROR(__xludf.DUMMYFUNCTION("""COMPUTED_VALUE"""),855.0)</f>
        <v>855</v>
      </c>
      <c r="F85" s="2">
        <f>IFERROR(__xludf.DUMMYFUNCTION("""COMPUTED_VALUE"""),1.802022E8)</f>
        <v>180202200</v>
      </c>
      <c r="G85" s="2">
        <f t="shared" si="1"/>
        <v>65</v>
      </c>
    </row>
    <row r="86" ht="15.75" customHeight="1">
      <c r="A86" s="1">
        <f>IFERROR(__xludf.DUMMYFUNCTION("""COMPUTED_VALUE"""),43955.66666666667)</f>
        <v>43955.66667</v>
      </c>
      <c r="B86" s="2">
        <f>IFERROR(__xludf.DUMMYFUNCTION("""COMPUTED_VALUE"""),850.0)</f>
        <v>850</v>
      </c>
      <c r="C86" s="2">
        <f>IFERROR(__xludf.DUMMYFUNCTION("""COMPUTED_VALUE"""),850.0)</f>
        <v>850</v>
      </c>
      <c r="D86" s="2">
        <f>IFERROR(__xludf.DUMMYFUNCTION("""COMPUTED_VALUE"""),810.0)</f>
        <v>810</v>
      </c>
      <c r="E86" s="2">
        <f>IFERROR(__xludf.DUMMYFUNCTION("""COMPUTED_VALUE"""),820.0)</f>
        <v>820</v>
      </c>
      <c r="F86" s="2">
        <f>IFERROR(__xludf.DUMMYFUNCTION("""COMPUTED_VALUE"""),1.167763E8)</f>
        <v>116776300</v>
      </c>
      <c r="G86" s="2">
        <f t="shared" si="1"/>
        <v>45</v>
      </c>
    </row>
    <row r="87" ht="15.75" customHeight="1">
      <c r="A87" s="1">
        <f>IFERROR(__xludf.DUMMYFUNCTION("""COMPUTED_VALUE"""),43956.66666666667)</f>
        <v>43956.66667</v>
      </c>
      <c r="B87" s="2">
        <f>IFERROR(__xludf.DUMMYFUNCTION("""COMPUTED_VALUE"""),825.0)</f>
        <v>825</v>
      </c>
      <c r="C87" s="2">
        <f>IFERROR(__xludf.DUMMYFUNCTION("""COMPUTED_VALUE"""),835.0)</f>
        <v>835</v>
      </c>
      <c r="D87" s="2">
        <f>IFERROR(__xludf.DUMMYFUNCTION("""COMPUTED_VALUE"""),805.0)</f>
        <v>805</v>
      </c>
      <c r="E87" s="2">
        <f>IFERROR(__xludf.DUMMYFUNCTION("""COMPUTED_VALUE"""),815.0)</f>
        <v>815</v>
      </c>
      <c r="F87" s="2">
        <f>IFERROR(__xludf.DUMMYFUNCTION("""COMPUTED_VALUE"""),1.213498E8)</f>
        <v>121349800</v>
      </c>
      <c r="G87" s="2">
        <f t="shared" si="1"/>
        <v>30</v>
      </c>
    </row>
    <row r="88" ht="15.75" customHeight="1">
      <c r="A88" s="1">
        <f>IFERROR(__xludf.DUMMYFUNCTION("""COMPUTED_VALUE"""),43957.66666666667)</f>
        <v>43957.66667</v>
      </c>
      <c r="B88" s="2">
        <f>IFERROR(__xludf.DUMMYFUNCTION("""COMPUTED_VALUE"""),815.0)</f>
        <v>815</v>
      </c>
      <c r="C88" s="2">
        <f>IFERROR(__xludf.DUMMYFUNCTION("""COMPUTED_VALUE"""),835.0)</f>
        <v>835</v>
      </c>
      <c r="D88" s="2">
        <f>IFERROR(__xludf.DUMMYFUNCTION("""COMPUTED_VALUE"""),805.0)</f>
        <v>805</v>
      </c>
      <c r="E88" s="2">
        <f>IFERROR(__xludf.DUMMYFUNCTION("""COMPUTED_VALUE"""),815.0)</f>
        <v>815</v>
      </c>
      <c r="F88" s="2">
        <f>IFERROR(__xludf.DUMMYFUNCTION("""COMPUTED_VALUE"""),1.785248E8)</f>
        <v>178524800</v>
      </c>
      <c r="G88" s="2">
        <f t="shared" si="1"/>
        <v>30</v>
      </c>
    </row>
    <row r="89" ht="15.75" customHeight="1">
      <c r="A89" s="1">
        <f>IFERROR(__xludf.DUMMYFUNCTION("""COMPUTED_VALUE"""),43959.66666666667)</f>
        <v>43959.66667</v>
      </c>
      <c r="B89" s="2">
        <f>IFERROR(__xludf.DUMMYFUNCTION("""COMPUTED_VALUE"""),830.0)</f>
        <v>830</v>
      </c>
      <c r="C89" s="2">
        <f>IFERROR(__xludf.DUMMYFUNCTION("""COMPUTED_VALUE"""),865.0)</f>
        <v>865</v>
      </c>
      <c r="D89" s="2">
        <f>IFERROR(__xludf.DUMMYFUNCTION("""COMPUTED_VALUE"""),815.0)</f>
        <v>815</v>
      </c>
      <c r="E89" s="2">
        <f>IFERROR(__xludf.DUMMYFUNCTION("""COMPUTED_VALUE"""),860.0)</f>
        <v>860</v>
      </c>
      <c r="F89" s="2">
        <f>IFERROR(__xludf.DUMMYFUNCTION("""COMPUTED_VALUE"""),3.188264E8)</f>
        <v>318826400</v>
      </c>
      <c r="G89" s="2">
        <f t="shared" si="1"/>
        <v>50</v>
      </c>
    </row>
    <row r="90" ht="15.75" customHeight="1">
      <c r="A90" s="1">
        <f>IFERROR(__xludf.DUMMYFUNCTION("""COMPUTED_VALUE"""),43962.66666666667)</f>
        <v>43962.66667</v>
      </c>
      <c r="B90" s="2">
        <f>IFERROR(__xludf.DUMMYFUNCTION("""COMPUTED_VALUE"""),870.0)</f>
        <v>870</v>
      </c>
      <c r="C90" s="2">
        <f>IFERROR(__xludf.DUMMYFUNCTION("""COMPUTED_VALUE"""),905.0)</f>
        <v>905</v>
      </c>
      <c r="D90" s="2">
        <f>IFERROR(__xludf.DUMMYFUNCTION("""COMPUTED_VALUE"""),870.0)</f>
        <v>870</v>
      </c>
      <c r="E90" s="2">
        <f>IFERROR(__xludf.DUMMYFUNCTION("""COMPUTED_VALUE"""),895.0)</f>
        <v>895</v>
      </c>
      <c r="F90" s="2">
        <f>IFERROR(__xludf.DUMMYFUNCTION("""COMPUTED_VALUE"""),3.327026E8)</f>
        <v>332702600</v>
      </c>
      <c r="G90" s="2">
        <f t="shared" si="1"/>
        <v>45</v>
      </c>
    </row>
    <row r="91" ht="15.75" customHeight="1">
      <c r="A91" s="1">
        <f>IFERROR(__xludf.DUMMYFUNCTION("""COMPUTED_VALUE"""),43963.66666666667)</f>
        <v>43963.66667</v>
      </c>
      <c r="B91" s="2">
        <f>IFERROR(__xludf.DUMMYFUNCTION("""COMPUTED_VALUE"""),895.0)</f>
        <v>895</v>
      </c>
      <c r="C91" s="2">
        <f>IFERROR(__xludf.DUMMYFUNCTION("""COMPUTED_VALUE"""),900.0)</f>
        <v>900</v>
      </c>
      <c r="D91" s="2">
        <f>IFERROR(__xludf.DUMMYFUNCTION("""COMPUTED_VALUE"""),850.0)</f>
        <v>850</v>
      </c>
      <c r="E91" s="2">
        <f>IFERROR(__xludf.DUMMYFUNCTION("""COMPUTED_VALUE"""),855.0)</f>
        <v>855</v>
      </c>
      <c r="F91" s="2">
        <f>IFERROR(__xludf.DUMMYFUNCTION("""COMPUTED_VALUE"""),1.488522E8)</f>
        <v>148852200</v>
      </c>
      <c r="G91" s="2">
        <f t="shared" si="1"/>
        <v>50</v>
      </c>
    </row>
    <row r="92" ht="15.75" customHeight="1">
      <c r="A92" s="1">
        <f>IFERROR(__xludf.DUMMYFUNCTION("""COMPUTED_VALUE"""),43964.66666666667)</f>
        <v>43964.66667</v>
      </c>
      <c r="B92" s="2">
        <f>IFERROR(__xludf.DUMMYFUNCTION("""COMPUTED_VALUE"""),820.0)</f>
        <v>820</v>
      </c>
      <c r="C92" s="2">
        <f>IFERROR(__xludf.DUMMYFUNCTION("""COMPUTED_VALUE"""),870.0)</f>
        <v>870</v>
      </c>
      <c r="D92" s="2">
        <f>IFERROR(__xludf.DUMMYFUNCTION("""COMPUTED_VALUE"""),815.0)</f>
        <v>815</v>
      </c>
      <c r="E92" s="2">
        <f>IFERROR(__xludf.DUMMYFUNCTION("""COMPUTED_VALUE"""),855.0)</f>
        <v>855</v>
      </c>
      <c r="F92" s="2">
        <f>IFERROR(__xludf.DUMMYFUNCTION("""COMPUTED_VALUE"""),1.272081E8)</f>
        <v>127208100</v>
      </c>
      <c r="G92" s="2">
        <f t="shared" si="1"/>
        <v>55</v>
      </c>
    </row>
    <row r="93" ht="15.75" customHeight="1">
      <c r="A93" s="1">
        <f>IFERROR(__xludf.DUMMYFUNCTION("""COMPUTED_VALUE"""),43965.66666666667)</f>
        <v>43965.66667</v>
      </c>
      <c r="B93" s="2">
        <f>IFERROR(__xludf.DUMMYFUNCTION("""COMPUTED_VALUE"""),840.0)</f>
        <v>840</v>
      </c>
      <c r="C93" s="2">
        <f>IFERROR(__xludf.DUMMYFUNCTION("""COMPUTED_VALUE"""),855.0)</f>
        <v>855</v>
      </c>
      <c r="D93" s="2">
        <f>IFERROR(__xludf.DUMMYFUNCTION("""COMPUTED_VALUE"""),805.0)</f>
        <v>805</v>
      </c>
      <c r="E93" s="2">
        <f>IFERROR(__xludf.DUMMYFUNCTION("""COMPUTED_VALUE"""),810.0)</f>
        <v>810</v>
      </c>
      <c r="F93" s="2">
        <f>IFERROR(__xludf.DUMMYFUNCTION("""COMPUTED_VALUE"""),1.45351E8)</f>
        <v>145351000</v>
      </c>
      <c r="G93" s="2">
        <f t="shared" si="1"/>
        <v>50</v>
      </c>
    </row>
    <row r="94" ht="15.75" customHeight="1">
      <c r="A94" s="1">
        <f>IFERROR(__xludf.DUMMYFUNCTION("""COMPUTED_VALUE"""),43966.66666666667)</f>
        <v>43966.66667</v>
      </c>
      <c r="B94" s="2">
        <f>IFERROR(__xludf.DUMMYFUNCTION("""COMPUTED_VALUE"""),820.0)</f>
        <v>820</v>
      </c>
      <c r="C94" s="2">
        <f>IFERROR(__xludf.DUMMYFUNCTION("""COMPUTED_VALUE"""),830.0)</f>
        <v>830</v>
      </c>
      <c r="D94" s="2">
        <f>IFERROR(__xludf.DUMMYFUNCTION("""COMPUTED_VALUE"""),780.0)</f>
        <v>780</v>
      </c>
      <c r="E94" s="2">
        <f>IFERROR(__xludf.DUMMYFUNCTION("""COMPUTED_VALUE"""),790.0)</f>
        <v>790</v>
      </c>
      <c r="F94" s="2">
        <f>IFERROR(__xludf.DUMMYFUNCTION("""COMPUTED_VALUE"""),1.420611E8)</f>
        <v>142061100</v>
      </c>
      <c r="G94" s="2">
        <f t="shared" si="1"/>
        <v>50</v>
      </c>
    </row>
    <row r="95" ht="15.75" customHeight="1">
      <c r="A95" s="1">
        <f>IFERROR(__xludf.DUMMYFUNCTION("""COMPUTED_VALUE"""),43969.66666666667)</f>
        <v>43969.66667</v>
      </c>
      <c r="B95" s="2">
        <f>IFERROR(__xludf.DUMMYFUNCTION("""COMPUTED_VALUE"""),810.0)</f>
        <v>810</v>
      </c>
      <c r="C95" s="2">
        <f>IFERROR(__xludf.DUMMYFUNCTION("""COMPUTED_VALUE"""),840.0)</f>
        <v>840</v>
      </c>
      <c r="D95" s="2">
        <f>IFERROR(__xludf.DUMMYFUNCTION("""COMPUTED_VALUE"""),800.0)</f>
        <v>800</v>
      </c>
      <c r="E95" s="2">
        <f>IFERROR(__xludf.DUMMYFUNCTION("""COMPUTED_VALUE"""),835.0)</f>
        <v>835</v>
      </c>
      <c r="F95" s="2">
        <f>IFERROR(__xludf.DUMMYFUNCTION("""COMPUTED_VALUE"""),9.78061E7)</f>
        <v>97806100</v>
      </c>
      <c r="G95" s="2">
        <f t="shared" si="1"/>
        <v>50</v>
      </c>
    </row>
    <row r="96" ht="15.75" customHeight="1">
      <c r="A96" s="1">
        <f>IFERROR(__xludf.DUMMYFUNCTION("""COMPUTED_VALUE"""),43970.66666666667)</f>
        <v>43970.66667</v>
      </c>
      <c r="B96" s="2">
        <f>IFERROR(__xludf.DUMMYFUNCTION("""COMPUTED_VALUE"""),850.0)</f>
        <v>850</v>
      </c>
      <c r="C96" s="2">
        <f>IFERROR(__xludf.DUMMYFUNCTION("""COMPUTED_VALUE"""),860.0)</f>
        <v>860</v>
      </c>
      <c r="D96" s="2">
        <f>IFERROR(__xludf.DUMMYFUNCTION("""COMPUTED_VALUE"""),835.0)</f>
        <v>835</v>
      </c>
      <c r="E96" s="2">
        <f>IFERROR(__xludf.DUMMYFUNCTION("""COMPUTED_VALUE"""),840.0)</f>
        <v>840</v>
      </c>
      <c r="F96" s="2">
        <f>IFERROR(__xludf.DUMMYFUNCTION("""COMPUTED_VALUE"""),1.177066E8)</f>
        <v>117706600</v>
      </c>
      <c r="G96" s="2">
        <f t="shared" si="1"/>
        <v>25</v>
      </c>
    </row>
    <row r="97" ht="15.75" customHeight="1">
      <c r="A97" s="1">
        <f>IFERROR(__xludf.DUMMYFUNCTION("""COMPUTED_VALUE"""),43971.66666666667)</f>
        <v>43971.66667</v>
      </c>
      <c r="B97" s="2">
        <f>IFERROR(__xludf.DUMMYFUNCTION("""COMPUTED_VALUE"""),840.0)</f>
        <v>840</v>
      </c>
      <c r="C97" s="2">
        <f>IFERROR(__xludf.DUMMYFUNCTION("""COMPUTED_VALUE"""),850.0)</f>
        <v>850</v>
      </c>
      <c r="D97" s="2">
        <f>IFERROR(__xludf.DUMMYFUNCTION("""COMPUTED_VALUE"""),820.0)</f>
        <v>820</v>
      </c>
      <c r="E97" s="2">
        <f>IFERROR(__xludf.DUMMYFUNCTION("""COMPUTED_VALUE"""),830.0)</f>
        <v>830</v>
      </c>
      <c r="F97" s="2">
        <f>IFERROR(__xludf.DUMMYFUNCTION("""COMPUTED_VALUE"""),8.67157E7)</f>
        <v>86715700</v>
      </c>
      <c r="G97" s="2">
        <f t="shared" si="1"/>
        <v>30</v>
      </c>
    </row>
    <row r="98" ht="15.75" customHeight="1">
      <c r="A98" s="1">
        <f>IFERROR(__xludf.DUMMYFUNCTION("""COMPUTED_VALUE"""),43977.66666666667)</f>
        <v>43977.66667</v>
      </c>
      <c r="B98" s="2">
        <f>IFERROR(__xludf.DUMMYFUNCTION("""COMPUTED_VALUE"""),850.0)</f>
        <v>850</v>
      </c>
      <c r="C98" s="2">
        <f>IFERROR(__xludf.DUMMYFUNCTION("""COMPUTED_VALUE"""),890.0)</f>
        <v>890</v>
      </c>
      <c r="D98" s="2">
        <f>IFERROR(__xludf.DUMMYFUNCTION("""COMPUTED_VALUE"""),840.0)</f>
        <v>840</v>
      </c>
      <c r="E98" s="2">
        <f>IFERROR(__xludf.DUMMYFUNCTION("""COMPUTED_VALUE"""),890.0)</f>
        <v>890</v>
      </c>
      <c r="F98" s="2">
        <f>IFERROR(__xludf.DUMMYFUNCTION("""COMPUTED_VALUE"""),1.981055E8)</f>
        <v>198105500</v>
      </c>
      <c r="G98" s="2">
        <f t="shared" si="1"/>
        <v>60</v>
      </c>
    </row>
    <row r="99" ht="15.75" customHeight="1">
      <c r="A99" s="1">
        <f>IFERROR(__xludf.DUMMYFUNCTION("""COMPUTED_VALUE"""),43978.66666666667)</f>
        <v>43978.66667</v>
      </c>
      <c r="B99" s="2">
        <f>IFERROR(__xludf.DUMMYFUNCTION("""COMPUTED_VALUE"""),900.0)</f>
        <v>900</v>
      </c>
      <c r="C99" s="2">
        <f>IFERROR(__xludf.DUMMYFUNCTION("""COMPUTED_VALUE"""),910.0)</f>
        <v>910</v>
      </c>
      <c r="D99" s="2">
        <f>IFERROR(__xludf.DUMMYFUNCTION("""COMPUTED_VALUE"""),870.0)</f>
        <v>870</v>
      </c>
      <c r="E99" s="2">
        <f>IFERROR(__xludf.DUMMYFUNCTION("""COMPUTED_VALUE"""),885.0)</f>
        <v>885</v>
      </c>
      <c r="F99" s="2">
        <f>IFERROR(__xludf.DUMMYFUNCTION("""COMPUTED_VALUE"""),2.230542E8)</f>
        <v>223054200</v>
      </c>
      <c r="G99" s="2">
        <f t="shared" si="1"/>
        <v>40</v>
      </c>
    </row>
    <row r="100" ht="15.75" customHeight="1">
      <c r="A100" s="1">
        <f>IFERROR(__xludf.DUMMYFUNCTION("""COMPUTED_VALUE"""),43979.66666666667)</f>
        <v>43979.66667</v>
      </c>
      <c r="B100" s="2">
        <f>IFERROR(__xludf.DUMMYFUNCTION("""COMPUTED_VALUE"""),890.0)</f>
        <v>890</v>
      </c>
      <c r="C100" s="2">
        <f>IFERROR(__xludf.DUMMYFUNCTION("""COMPUTED_VALUE"""),905.0)</f>
        <v>905</v>
      </c>
      <c r="D100" s="2">
        <f>IFERROR(__xludf.DUMMYFUNCTION("""COMPUTED_VALUE"""),870.0)</f>
        <v>870</v>
      </c>
      <c r="E100" s="2">
        <f>IFERROR(__xludf.DUMMYFUNCTION("""COMPUTED_VALUE"""),885.0)</f>
        <v>885</v>
      </c>
      <c r="F100" s="2">
        <f>IFERROR(__xludf.DUMMYFUNCTION("""COMPUTED_VALUE"""),2.076845E8)</f>
        <v>207684500</v>
      </c>
      <c r="G100" s="2">
        <f t="shared" si="1"/>
        <v>35</v>
      </c>
    </row>
    <row r="101" ht="15.75" customHeight="1">
      <c r="A101" s="1">
        <f>IFERROR(__xludf.DUMMYFUNCTION("""COMPUTED_VALUE"""),43980.66666666667)</f>
        <v>43980.66667</v>
      </c>
      <c r="B101" s="2">
        <f>IFERROR(__xludf.DUMMYFUNCTION("""COMPUTED_VALUE"""),855.0)</f>
        <v>855</v>
      </c>
      <c r="C101" s="2">
        <f>IFERROR(__xludf.DUMMYFUNCTION("""COMPUTED_VALUE"""),860.0)</f>
        <v>860</v>
      </c>
      <c r="D101" s="2">
        <f>IFERROR(__xludf.DUMMYFUNCTION("""COMPUTED_VALUE"""),835.0)</f>
        <v>835</v>
      </c>
      <c r="E101" s="2">
        <f>IFERROR(__xludf.DUMMYFUNCTION("""COMPUTED_VALUE"""),860.0)</f>
        <v>860</v>
      </c>
      <c r="F101" s="2">
        <f>IFERROR(__xludf.DUMMYFUNCTION("""COMPUTED_VALUE"""),2.667113E8)</f>
        <v>266711300</v>
      </c>
      <c r="G101" s="2">
        <f t="shared" si="1"/>
        <v>50</v>
      </c>
    </row>
    <row r="102" ht="15.75" customHeight="1">
      <c r="A102" s="1">
        <f>IFERROR(__xludf.DUMMYFUNCTION("""COMPUTED_VALUE"""),43984.66666666667)</f>
        <v>43984.66667</v>
      </c>
      <c r="B102" s="2">
        <f>IFERROR(__xludf.DUMMYFUNCTION("""COMPUTED_VALUE"""),860.0)</f>
        <v>860</v>
      </c>
      <c r="C102" s="2">
        <f>IFERROR(__xludf.DUMMYFUNCTION("""COMPUTED_VALUE"""),925.0)</f>
        <v>925</v>
      </c>
      <c r="D102" s="2">
        <f>IFERROR(__xludf.DUMMYFUNCTION("""COMPUTED_VALUE"""),860.0)</f>
        <v>860</v>
      </c>
      <c r="E102" s="2">
        <f>IFERROR(__xludf.DUMMYFUNCTION("""COMPUTED_VALUE"""),885.0)</f>
        <v>885</v>
      </c>
      <c r="F102" s="2">
        <f>IFERROR(__xludf.DUMMYFUNCTION("""COMPUTED_VALUE"""),2.444292E8)</f>
        <v>244429200</v>
      </c>
      <c r="G102" s="2">
        <f t="shared" si="1"/>
        <v>65</v>
      </c>
    </row>
    <row r="103" ht="15.75" customHeight="1">
      <c r="A103" s="1">
        <f>IFERROR(__xludf.DUMMYFUNCTION("""COMPUTED_VALUE"""),43985.66666666667)</f>
        <v>43985.66667</v>
      </c>
      <c r="B103" s="2">
        <f>IFERROR(__xludf.DUMMYFUNCTION("""COMPUTED_VALUE"""),900.0)</f>
        <v>900</v>
      </c>
      <c r="C103" s="2">
        <f>IFERROR(__xludf.DUMMYFUNCTION("""COMPUTED_VALUE"""),980.0)</f>
        <v>980</v>
      </c>
      <c r="D103" s="2">
        <f>IFERROR(__xludf.DUMMYFUNCTION("""COMPUTED_VALUE"""),895.0)</f>
        <v>895</v>
      </c>
      <c r="E103" s="2">
        <f>IFERROR(__xludf.DUMMYFUNCTION("""COMPUTED_VALUE"""),970.0)</f>
        <v>970</v>
      </c>
      <c r="F103" s="2">
        <f>IFERROR(__xludf.DUMMYFUNCTION("""COMPUTED_VALUE"""),5.442733E8)</f>
        <v>544273300</v>
      </c>
      <c r="G103" s="2">
        <f t="shared" si="1"/>
        <v>95</v>
      </c>
    </row>
    <row r="104" ht="15.75" customHeight="1">
      <c r="A104" s="1">
        <f>IFERROR(__xludf.DUMMYFUNCTION("""COMPUTED_VALUE"""),43986.66666666667)</f>
        <v>43986.66667</v>
      </c>
      <c r="B104" s="2">
        <f>IFERROR(__xludf.DUMMYFUNCTION("""COMPUTED_VALUE"""),980.0)</f>
        <v>980</v>
      </c>
      <c r="C104" s="2">
        <f>IFERROR(__xludf.DUMMYFUNCTION("""COMPUTED_VALUE"""),1030.0)</f>
        <v>1030</v>
      </c>
      <c r="D104" s="2">
        <f>IFERROR(__xludf.DUMMYFUNCTION("""COMPUTED_VALUE"""),950.0)</f>
        <v>950</v>
      </c>
      <c r="E104" s="2">
        <f>IFERROR(__xludf.DUMMYFUNCTION("""COMPUTED_VALUE"""),955.0)</f>
        <v>955</v>
      </c>
      <c r="F104" s="2">
        <f>IFERROR(__xludf.DUMMYFUNCTION("""COMPUTED_VALUE"""),4.184466E8)</f>
        <v>418446600</v>
      </c>
      <c r="G104" s="2">
        <f t="shared" si="1"/>
        <v>80</v>
      </c>
    </row>
    <row r="105" ht="15.75" customHeight="1">
      <c r="A105" s="1">
        <f>IFERROR(__xludf.DUMMYFUNCTION("""COMPUTED_VALUE"""),43987.66666666667)</f>
        <v>43987.66667</v>
      </c>
      <c r="B105" s="2">
        <f>IFERROR(__xludf.DUMMYFUNCTION("""COMPUTED_VALUE"""),965.0)</f>
        <v>965</v>
      </c>
      <c r="C105" s="2">
        <f>IFERROR(__xludf.DUMMYFUNCTION("""COMPUTED_VALUE"""),1030.0)</f>
        <v>1030</v>
      </c>
      <c r="D105" s="2">
        <f>IFERROR(__xludf.DUMMYFUNCTION("""COMPUTED_VALUE"""),945.0)</f>
        <v>945</v>
      </c>
      <c r="E105" s="2">
        <f>IFERROR(__xludf.DUMMYFUNCTION("""COMPUTED_VALUE"""),1030.0)</f>
        <v>1030</v>
      </c>
      <c r="F105" s="2">
        <f>IFERROR(__xludf.DUMMYFUNCTION("""COMPUTED_VALUE"""),3.416589E8)</f>
        <v>341658900</v>
      </c>
      <c r="G105" s="2">
        <f t="shared" si="1"/>
        <v>85</v>
      </c>
    </row>
    <row r="106" ht="15.75" customHeight="1">
      <c r="A106" s="1">
        <f>IFERROR(__xludf.DUMMYFUNCTION("""COMPUTED_VALUE"""),43990.66666666667)</f>
        <v>43990.66667</v>
      </c>
      <c r="B106" s="2">
        <f>IFERROR(__xludf.DUMMYFUNCTION("""COMPUTED_VALUE"""),1070.0)</f>
        <v>1070</v>
      </c>
      <c r="C106" s="2">
        <f>IFERROR(__xludf.DUMMYFUNCTION("""COMPUTED_VALUE"""),1135.0)</f>
        <v>1135</v>
      </c>
      <c r="D106" s="2">
        <f>IFERROR(__xludf.DUMMYFUNCTION("""COMPUTED_VALUE"""),1050.0)</f>
        <v>1050</v>
      </c>
      <c r="E106" s="2">
        <f>IFERROR(__xludf.DUMMYFUNCTION("""COMPUTED_VALUE"""),1110.0)</f>
        <v>1110</v>
      </c>
      <c r="F106" s="2">
        <f>IFERROR(__xludf.DUMMYFUNCTION("""COMPUTED_VALUE"""),3.932769E8)</f>
        <v>393276900</v>
      </c>
      <c r="G106" s="2">
        <f t="shared" si="1"/>
        <v>105</v>
      </c>
    </row>
    <row r="107" ht="15.75" customHeight="1">
      <c r="A107" s="1">
        <f>IFERROR(__xludf.DUMMYFUNCTION("""COMPUTED_VALUE"""),43991.66666666667)</f>
        <v>43991.66667</v>
      </c>
      <c r="B107" s="2">
        <f>IFERROR(__xludf.DUMMYFUNCTION("""COMPUTED_VALUE"""),1150.0)</f>
        <v>1150</v>
      </c>
      <c r="C107" s="2">
        <f>IFERROR(__xludf.DUMMYFUNCTION("""COMPUTED_VALUE"""),1160.0)</f>
        <v>1160</v>
      </c>
      <c r="D107" s="2">
        <f>IFERROR(__xludf.DUMMYFUNCTION("""COMPUTED_VALUE"""),1090.0)</f>
        <v>1090</v>
      </c>
      <c r="E107" s="2">
        <f>IFERROR(__xludf.DUMMYFUNCTION("""COMPUTED_VALUE"""),1095.0)</f>
        <v>1095</v>
      </c>
      <c r="F107" s="2">
        <f>IFERROR(__xludf.DUMMYFUNCTION("""COMPUTED_VALUE"""),2.765271E8)</f>
        <v>276527100</v>
      </c>
      <c r="G107" s="2">
        <f t="shared" si="1"/>
        <v>70</v>
      </c>
    </row>
    <row r="108" ht="15.75" customHeight="1">
      <c r="A108" s="1">
        <f>IFERROR(__xludf.DUMMYFUNCTION("""COMPUTED_VALUE"""),43992.66666666667)</f>
        <v>43992.66667</v>
      </c>
      <c r="B108" s="2">
        <f>IFERROR(__xludf.DUMMYFUNCTION("""COMPUTED_VALUE"""),1095.0)</f>
        <v>1095</v>
      </c>
      <c r="C108" s="2">
        <f>IFERROR(__xludf.DUMMYFUNCTION("""COMPUTED_VALUE"""),1110.0)</f>
        <v>1110</v>
      </c>
      <c r="D108" s="2">
        <f>IFERROR(__xludf.DUMMYFUNCTION("""COMPUTED_VALUE"""),1020.0)</f>
        <v>1020</v>
      </c>
      <c r="E108" s="2">
        <f>IFERROR(__xludf.DUMMYFUNCTION("""COMPUTED_VALUE"""),1040.0)</f>
        <v>1040</v>
      </c>
      <c r="F108" s="2">
        <f>IFERROR(__xludf.DUMMYFUNCTION("""COMPUTED_VALUE"""),2.72865E8)</f>
        <v>272865000</v>
      </c>
      <c r="G108" s="2">
        <f t="shared" si="1"/>
        <v>90</v>
      </c>
    </row>
    <row r="109" ht="15.75" customHeight="1">
      <c r="A109" s="1">
        <f>IFERROR(__xludf.DUMMYFUNCTION("""COMPUTED_VALUE"""),43993.66666666667)</f>
        <v>43993.66667</v>
      </c>
      <c r="B109" s="2">
        <f>IFERROR(__xludf.DUMMYFUNCTION("""COMPUTED_VALUE"""),1030.0)</f>
        <v>1030</v>
      </c>
      <c r="C109" s="2">
        <f>IFERROR(__xludf.DUMMYFUNCTION("""COMPUTED_VALUE"""),1070.0)</f>
        <v>1070</v>
      </c>
      <c r="D109" s="2">
        <f>IFERROR(__xludf.DUMMYFUNCTION("""COMPUTED_VALUE"""),1000.0)</f>
        <v>1000</v>
      </c>
      <c r="E109" s="2">
        <f>IFERROR(__xludf.DUMMYFUNCTION("""COMPUTED_VALUE"""),1030.0)</f>
        <v>1030</v>
      </c>
      <c r="F109" s="2">
        <f>IFERROR(__xludf.DUMMYFUNCTION("""COMPUTED_VALUE"""),2.061583E8)</f>
        <v>206158300</v>
      </c>
      <c r="G109" s="2">
        <f t="shared" si="1"/>
        <v>70</v>
      </c>
    </row>
    <row r="110" ht="15.75" customHeight="1">
      <c r="A110" s="1">
        <f>IFERROR(__xludf.DUMMYFUNCTION("""COMPUTED_VALUE"""),43994.66666666667)</f>
        <v>43994.66667</v>
      </c>
      <c r="B110" s="2">
        <f>IFERROR(__xludf.DUMMYFUNCTION("""COMPUTED_VALUE"""),1015.0)</f>
        <v>1015</v>
      </c>
      <c r="C110" s="2">
        <f>IFERROR(__xludf.DUMMYFUNCTION("""COMPUTED_VALUE"""),1060.0)</f>
        <v>1060</v>
      </c>
      <c r="D110" s="2">
        <f>IFERROR(__xludf.DUMMYFUNCTION("""COMPUTED_VALUE"""),960.0)</f>
        <v>960</v>
      </c>
      <c r="E110" s="2">
        <f>IFERROR(__xludf.DUMMYFUNCTION("""COMPUTED_VALUE"""),1045.0)</f>
        <v>1045</v>
      </c>
      <c r="F110" s="2">
        <f>IFERROR(__xludf.DUMMYFUNCTION("""COMPUTED_VALUE"""),2.491314E8)</f>
        <v>249131400</v>
      </c>
      <c r="G110" s="2">
        <f t="shared" si="1"/>
        <v>100</v>
      </c>
    </row>
    <row r="111" ht="15.75" customHeight="1">
      <c r="A111" s="1">
        <f>IFERROR(__xludf.DUMMYFUNCTION("""COMPUTED_VALUE"""),43997.66666666667)</f>
        <v>43997.66667</v>
      </c>
      <c r="B111" s="2">
        <f>IFERROR(__xludf.DUMMYFUNCTION("""COMPUTED_VALUE"""),1045.0)</f>
        <v>1045</v>
      </c>
      <c r="C111" s="2">
        <f>IFERROR(__xludf.DUMMYFUNCTION("""COMPUTED_VALUE"""),1060.0)</f>
        <v>1060</v>
      </c>
      <c r="D111" s="2">
        <f>IFERROR(__xludf.DUMMYFUNCTION("""COMPUTED_VALUE"""),995.0)</f>
        <v>995</v>
      </c>
      <c r="E111" s="2">
        <f>IFERROR(__xludf.DUMMYFUNCTION("""COMPUTED_VALUE"""),995.0)</f>
        <v>995</v>
      </c>
      <c r="F111" s="2">
        <f>IFERROR(__xludf.DUMMYFUNCTION("""COMPUTED_VALUE"""),1.977026E8)</f>
        <v>197702600</v>
      </c>
      <c r="G111" s="2">
        <f t="shared" si="1"/>
        <v>65</v>
      </c>
    </row>
    <row r="112" ht="15.75" customHeight="1">
      <c r="A112" s="1">
        <f>IFERROR(__xludf.DUMMYFUNCTION("""COMPUTED_VALUE"""),43998.66666666667)</f>
        <v>43998.66667</v>
      </c>
      <c r="B112" s="2">
        <f>IFERROR(__xludf.DUMMYFUNCTION("""COMPUTED_VALUE"""),1020.0)</f>
        <v>1020</v>
      </c>
      <c r="C112" s="2">
        <f>IFERROR(__xludf.DUMMYFUNCTION("""COMPUTED_VALUE"""),1125.0)</f>
        <v>1125</v>
      </c>
      <c r="D112" s="2">
        <f>IFERROR(__xludf.DUMMYFUNCTION("""COMPUTED_VALUE"""),1020.0)</f>
        <v>1020</v>
      </c>
      <c r="E112" s="2">
        <f>IFERROR(__xludf.DUMMYFUNCTION("""COMPUTED_VALUE"""),1120.0)</f>
        <v>1120</v>
      </c>
      <c r="F112" s="2">
        <f>IFERROR(__xludf.DUMMYFUNCTION("""COMPUTED_VALUE"""),3.936327E8)</f>
        <v>393632700</v>
      </c>
      <c r="G112" s="2">
        <f t="shared" si="1"/>
        <v>130</v>
      </c>
    </row>
    <row r="113" ht="15.75" customHeight="1">
      <c r="A113" s="1">
        <f>IFERROR(__xludf.DUMMYFUNCTION("""COMPUTED_VALUE"""),43999.66666666667)</f>
        <v>43999.66667</v>
      </c>
      <c r="B113" s="2">
        <f>IFERROR(__xludf.DUMMYFUNCTION("""COMPUTED_VALUE"""),1125.0)</f>
        <v>1125</v>
      </c>
      <c r="C113" s="2">
        <f>IFERROR(__xludf.DUMMYFUNCTION("""COMPUTED_VALUE"""),1155.0)</f>
        <v>1155</v>
      </c>
      <c r="D113" s="2">
        <f>IFERROR(__xludf.DUMMYFUNCTION("""COMPUTED_VALUE"""),1095.0)</f>
        <v>1095</v>
      </c>
      <c r="E113" s="2">
        <f>IFERROR(__xludf.DUMMYFUNCTION("""COMPUTED_VALUE"""),1125.0)</f>
        <v>1125</v>
      </c>
      <c r="F113" s="2">
        <f>IFERROR(__xludf.DUMMYFUNCTION("""COMPUTED_VALUE"""),2.347809E8)</f>
        <v>234780900</v>
      </c>
      <c r="G113" s="2">
        <f t="shared" si="1"/>
        <v>60</v>
      </c>
    </row>
    <row r="114" ht="15.75" customHeight="1">
      <c r="A114" s="1">
        <f>IFERROR(__xludf.DUMMYFUNCTION("""COMPUTED_VALUE"""),44000.66666666667)</f>
        <v>44000.66667</v>
      </c>
      <c r="B114" s="2">
        <f>IFERROR(__xludf.DUMMYFUNCTION("""COMPUTED_VALUE"""),1115.0)</f>
        <v>1115</v>
      </c>
      <c r="C114" s="2">
        <f>IFERROR(__xludf.DUMMYFUNCTION("""COMPUTED_VALUE"""),1135.0)</f>
        <v>1135</v>
      </c>
      <c r="D114" s="2">
        <f>IFERROR(__xludf.DUMMYFUNCTION("""COMPUTED_VALUE"""),1090.0)</f>
        <v>1090</v>
      </c>
      <c r="E114" s="2">
        <f>IFERROR(__xludf.DUMMYFUNCTION("""COMPUTED_VALUE"""),1110.0)</f>
        <v>1110</v>
      </c>
      <c r="F114" s="2">
        <f>IFERROR(__xludf.DUMMYFUNCTION("""COMPUTED_VALUE"""),1.38139E8)</f>
        <v>138139000</v>
      </c>
      <c r="G114" s="2">
        <f t="shared" si="1"/>
        <v>45</v>
      </c>
    </row>
    <row r="115" ht="15.75" customHeight="1">
      <c r="A115" s="1">
        <f>IFERROR(__xludf.DUMMYFUNCTION("""COMPUTED_VALUE"""),44001.66666666667)</f>
        <v>44001.66667</v>
      </c>
      <c r="B115" s="2">
        <f>IFERROR(__xludf.DUMMYFUNCTION("""COMPUTED_VALUE"""),1105.0)</f>
        <v>1105</v>
      </c>
      <c r="C115" s="2">
        <f>IFERROR(__xludf.DUMMYFUNCTION("""COMPUTED_VALUE"""),1125.0)</f>
        <v>1125</v>
      </c>
      <c r="D115" s="2">
        <f>IFERROR(__xludf.DUMMYFUNCTION("""COMPUTED_VALUE"""),1080.0)</f>
        <v>1080</v>
      </c>
      <c r="E115" s="2">
        <f>IFERROR(__xludf.DUMMYFUNCTION("""COMPUTED_VALUE"""),1080.0)</f>
        <v>1080</v>
      </c>
      <c r="F115" s="2">
        <f>IFERROR(__xludf.DUMMYFUNCTION("""COMPUTED_VALUE"""),1.309957E8)</f>
        <v>130995700</v>
      </c>
      <c r="G115" s="2">
        <f t="shared" si="1"/>
        <v>45</v>
      </c>
    </row>
    <row r="116" ht="15.75" customHeight="1">
      <c r="A116" s="1">
        <f>IFERROR(__xludf.DUMMYFUNCTION("""COMPUTED_VALUE"""),44004.66666666667)</f>
        <v>44004.66667</v>
      </c>
      <c r="B116" s="2">
        <f>IFERROR(__xludf.DUMMYFUNCTION("""COMPUTED_VALUE"""),1085.0)</f>
        <v>1085</v>
      </c>
      <c r="C116" s="2">
        <f>IFERROR(__xludf.DUMMYFUNCTION("""COMPUTED_VALUE"""),1090.0)</f>
        <v>1090</v>
      </c>
      <c r="D116" s="2">
        <f>IFERROR(__xludf.DUMMYFUNCTION("""COMPUTED_VALUE"""),1055.0)</f>
        <v>1055</v>
      </c>
      <c r="E116" s="2">
        <f>IFERROR(__xludf.DUMMYFUNCTION("""COMPUTED_VALUE"""),1060.0)</f>
        <v>1060</v>
      </c>
      <c r="F116" s="2">
        <f>IFERROR(__xludf.DUMMYFUNCTION("""COMPUTED_VALUE"""),7.87361E7)</f>
        <v>78736100</v>
      </c>
      <c r="G116" s="2">
        <f t="shared" si="1"/>
        <v>35</v>
      </c>
    </row>
    <row r="117" ht="15.75" customHeight="1">
      <c r="A117" s="1">
        <f>IFERROR(__xludf.DUMMYFUNCTION("""COMPUTED_VALUE"""),44005.66666666667)</f>
        <v>44005.66667</v>
      </c>
      <c r="B117" s="2">
        <f>IFERROR(__xludf.DUMMYFUNCTION("""COMPUTED_VALUE"""),1045.0)</f>
        <v>1045</v>
      </c>
      <c r="C117" s="2">
        <f>IFERROR(__xludf.DUMMYFUNCTION("""COMPUTED_VALUE"""),1100.0)</f>
        <v>1100</v>
      </c>
      <c r="D117" s="2">
        <f>IFERROR(__xludf.DUMMYFUNCTION("""COMPUTED_VALUE"""),1040.0)</f>
        <v>1040</v>
      </c>
      <c r="E117" s="2">
        <f>IFERROR(__xludf.DUMMYFUNCTION("""COMPUTED_VALUE"""),1095.0)</f>
        <v>1095</v>
      </c>
      <c r="F117" s="2">
        <f>IFERROR(__xludf.DUMMYFUNCTION("""COMPUTED_VALUE"""),1.08966E8)</f>
        <v>108966000</v>
      </c>
      <c r="G117" s="2">
        <f t="shared" si="1"/>
        <v>60</v>
      </c>
    </row>
    <row r="118" ht="15.75" customHeight="1">
      <c r="A118" s="1">
        <f>IFERROR(__xludf.DUMMYFUNCTION("""COMPUTED_VALUE"""),44006.66666666667)</f>
        <v>44006.66667</v>
      </c>
      <c r="B118" s="2">
        <f>IFERROR(__xludf.DUMMYFUNCTION("""COMPUTED_VALUE"""),1100.0)</f>
        <v>1100</v>
      </c>
      <c r="C118" s="2">
        <f>IFERROR(__xludf.DUMMYFUNCTION("""COMPUTED_VALUE"""),1170.0)</f>
        <v>1170</v>
      </c>
      <c r="D118" s="2">
        <f>IFERROR(__xludf.DUMMYFUNCTION("""COMPUTED_VALUE"""),1090.0)</f>
        <v>1090</v>
      </c>
      <c r="E118" s="2">
        <f>IFERROR(__xludf.DUMMYFUNCTION("""COMPUTED_VALUE"""),1130.0)</f>
        <v>1130</v>
      </c>
      <c r="F118" s="2">
        <f>IFERROR(__xludf.DUMMYFUNCTION("""COMPUTED_VALUE"""),2.939773E8)</f>
        <v>293977300</v>
      </c>
      <c r="G118" s="2">
        <f t="shared" si="1"/>
        <v>80</v>
      </c>
    </row>
    <row r="119" ht="15.75" customHeight="1">
      <c r="A119" s="1">
        <f>IFERROR(__xludf.DUMMYFUNCTION("""COMPUTED_VALUE"""),44007.66666666667)</f>
        <v>44007.66667</v>
      </c>
      <c r="B119" s="2">
        <f>IFERROR(__xludf.DUMMYFUNCTION("""COMPUTED_VALUE"""),1100.0)</f>
        <v>1100</v>
      </c>
      <c r="C119" s="2">
        <f>IFERROR(__xludf.DUMMYFUNCTION("""COMPUTED_VALUE"""),1130.0)</f>
        <v>1130</v>
      </c>
      <c r="D119" s="2">
        <f>IFERROR(__xludf.DUMMYFUNCTION("""COMPUTED_VALUE"""),1085.0)</f>
        <v>1085</v>
      </c>
      <c r="E119" s="2">
        <f>IFERROR(__xludf.DUMMYFUNCTION("""COMPUTED_VALUE"""),1090.0)</f>
        <v>1090</v>
      </c>
      <c r="F119" s="2">
        <f>IFERROR(__xludf.DUMMYFUNCTION("""COMPUTED_VALUE"""),1.688402E8)</f>
        <v>168840200</v>
      </c>
      <c r="G119" s="2">
        <f t="shared" si="1"/>
        <v>45</v>
      </c>
    </row>
    <row r="120" ht="15.75" customHeight="1">
      <c r="A120" s="1">
        <f>IFERROR(__xludf.DUMMYFUNCTION("""COMPUTED_VALUE"""),44008.66666666667)</f>
        <v>44008.66667</v>
      </c>
      <c r="B120" s="2">
        <f>IFERROR(__xludf.DUMMYFUNCTION("""COMPUTED_VALUE"""),1105.0)</f>
        <v>1105</v>
      </c>
      <c r="C120" s="2">
        <f>IFERROR(__xludf.DUMMYFUNCTION("""COMPUTED_VALUE"""),1160.0)</f>
        <v>1160</v>
      </c>
      <c r="D120" s="2">
        <f>IFERROR(__xludf.DUMMYFUNCTION("""COMPUTED_VALUE"""),1100.0)</f>
        <v>1100</v>
      </c>
      <c r="E120" s="2">
        <f>IFERROR(__xludf.DUMMYFUNCTION("""COMPUTED_VALUE"""),1135.0)</f>
        <v>1135</v>
      </c>
      <c r="F120" s="2">
        <f>IFERROR(__xludf.DUMMYFUNCTION("""COMPUTED_VALUE"""),2.833108E8)</f>
        <v>283310800</v>
      </c>
      <c r="G120" s="2">
        <f t="shared" si="1"/>
        <v>70</v>
      </c>
    </row>
    <row r="121" ht="15.75" customHeight="1">
      <c r="A121" s="1">
        <f>IFERROR(__xludf.DUMMYFUNCTION("""COMPUTED_VALUE"""),44011.66666666667)</f>
        <v>44011.66667</v>
      </c>
      <c r="B121" s="2">
        <f>IFERROR(__xludf.DUMMYFUNCTION("""COMPUTED_VALUE"""),1125.0)</f>
        <v>1125</v>
      </c>
      <c r="C121" s="2">
        <f>IFERROR(__xludf.DUMMYFUNCTION("""COMPUTED_VALUE"""),1160.0)</f>
        <v>1160</v>
      </c>
      <c r="D121" s="2">
        <f>IFERROR(__xludf.DUMMYFUNCTION("""COMPUTED_VALUE"""),1115.0)</f>
        <v>1115</v>
      </c>
      <c r="E121" s="2">
        <f>IFERROR(__xludf.DUMMYFUNCTION("""COMPUTED_VALUE"""),1150.0)</f>
        <v>1150</v>
      </c>
      <c r="F121" s="2">
        <f>IFERROR(__xludf.DUMMYFUNCTION("""COMPUTED_VALUE"""),2.017704E8)</f>
        <v>201770400</v>
      </c>
      <c r="G121" s="2">
        <f t="shared" si="1"/>
        <v>45</v>
      </c>
    </row>
    <row r="122" ht="15.75" customHeight="1">
      <c r="A122" s="1">
        <f>IFERROR(__xludf.DUMMYFUNCTION("""COMPUTED_VALUE"""),44012.66666666667)</f>
        <v>44012.66667</v>
      </c>
      <c r="B122" s="2">
        <f>IFERROR(__xludf.DUMMYFUNCTION("""COMPUTED_VALUE"""),1175.0)</f>
        <v>1175</v>
      </c>
      <c r="C122" s="2">
        <f>IFERROR(__xludf.DUMMYFUNCTION("""COMPUTED_VALUE"""),1185.0)</f>
        <v>1185</v>
      </c>
      <c r="D122" s="2">
        <f>IFERROR(__xludf.DUMMYFUNCTION("""COMPUTED_VALUE"""),1135.0)</f>
        <v>1135</v>
      </c>
      <c r="E122" s="2">
        <f>IFERROR(__xludf.DUMMYFUNCTION("""COMPUTED_VALUE"""),1135.0)</f>
        <v>1135</v>
      </c>
      <c r="F122" s="2">
        <f>IFERROR(__xludf.DUMMYFUNCTION("""COMPUTED_VALUE"""),2.80957E8)</f>
        <v>280957000</v>
      </c>
      <c r="G122" s="2">
        <f t="shared" si="1"/>
        <v>50</v>
      </c>
    </row>
    <row r="123" ht="15.75" customHeight="1">
      <c r="A123" s="1">
        <f>IFERROR(__xludf.DUMMYFUNCTION("""COMPUTED_VALUE"""),44013.66666666667)</f>
        <v>44013.66667</v>
      </c>
      <c r="B123" s="2">
        <f>IFERROR(__xludf.DUMMYFUNCTION("""COMPUTED_VALUE"""),1135.0)</f>
        <v>1135</v>
      </c>
      <c r="C123" s="2">
        <f>IFERROR(__xludf.DUMMYFUNCTION("""COMPUTED_VALUE"""),1150.0)</f>
        <v>1150</v>
      </c>
      <c r="D123" s="2">
        <f>IFERROR(__xludf.DUMMYFUNCTION("""COMPUTED_VALUE"""),1110.0)</f>
        <v>1110</v>
      </c>
      <c r="E123" s="2">
        <f>IFERROR(__xludf.DUMMYFUNCTION("""COMPUTED_VALUE"""),1135.0)</f>
        <v>1135</v>
      </c>
      <c r="F123" s="2">
        <f>IFERROR(__xludf.DUMMYFUNCTION("""COMPUTED_VALUE"""),1.136809E8)</f>
        <v>113680900</v>
      </c>
      <c r="G123" s="2">
        <f t="shared" si="1"/>
        <v>40</v>
      </c>
    </row>
    <row r="124" ht="15.75" customHeight="1">
      <c r="A124" s="1">
        <f>IFERROR(__xludf.DUMMYFUNCTION("""COMPUTED_VALUE"""),44014.66666666667)</f>
        <v>44014.66667</v>
      </c>
      <c r="B124" s="2">
        <f>IFERROR(__xludf.DUMMYFUNCTION("""COMPUTED_VALUE"""),1145.0)</f>
        <v>1145</v>
      </c>
      <c r="C124" s="2">
        <f>IFERROR(__xludf.DUMMYFUNCTION("""COMPUTED_VALUE"""),1150.0)</f>
        <v>1150</v>
      </c>
      <c r="D124" s="2">
        <f>IFERROR(__xludf.DUMMYFUNCTION("""COMPUTED_VALUE"""),1120.0)</f>
        <v>1120</v>
      </c>
      <c r="E124" s="2">
        <f>IFERROR(__xludf.DUMMYFUNCTION("""COMPUTED_VALUE"""),1125.0)</f>
        <v>1125</v>
      </c>
      <c r="F124" s="2">
        <f>IFERROR(__xludf.DUMMYFUNCTION("""COMPUTED_VALUE"""),1.492368E8)</f>
        <v>149236800</v>
      </c>
      <c r="G124" s="2">
        <f t="shared" si="1"/>
        <v>30</v>
      </c>
    </row>
    <row r="125" ht="15.75" customHeight="1">
      <c r="A125" s="1">
        <f>IFERROR(__xludf.DUMMYFUNCTION("""COMPUTED_VALUE"""),44015.66666666667)</f>
        <v>44015.66667</v>
      </c>
      <c r="B125" s="2">
        <f>IFERROR(__xludf.DUMMYFUNCTION("""COMPUTED_VALUE"""),1130.0)</f>
        <v>1130</v>
      </c>
      <c r="C125" s="2">
        <f>IFERROR(__xludf.DUMMYFUNCTION("""COMPUTED_VALUE"""),1140.0)</f>
        <v>1140</v>
      </c>
      <c r="D125" s="2">
        <f>IFERROR(__xludf.DUMMYFUNCTION("""COMPUTED_VALUE"""),1110.0)</f>
        <v>1110</v>
      </c>
      <c r="E125" s="2">
        <f>IFERROR(__xludf.DUMMYFUNCTION("""COMPUTED_VALUE"""),1110.0)</f>
        <v>1110</v>
      </c>
      <c r="F125" s="2">
        <f>IFERROR(__xludf.DUMMYFUNCTION("""COMPUTED_VALUE"""),9.00828E7)</f>
        <v>90082800</v>
      </c>
      <c r="G125" s="2">
        <f t="shared" si="1"/>
        <v>30</v>
      </c>
    </row>
    <row r="126" ht="15.75" customHeight="1">
      <c r="A126" s="1">
        <f>IFERROR(__xludf.DUMMYFUNCTION("""COMPUTED_VALUE"""),44018.66666666667)</f>
        <v>44018.66667</v>
      </c>
      <c r="B126" s="2">
        <f>IFERROR(__xludf.DUMMYFUNCTION("""COMPUTED_VALUE"""),1125.0)</f>
        <v>1125</v>
      </c>
      <c r="C126" s="2">
        <f>IFERROR(__xludf.DUMMYFUNCTION("""COMPUTED_VALUE"""),1135.0)</f>
        <v>1135</v>
      </c>
      <c r="D126" s="2">
        <f>IFERROR(__xludf.DUMMYFUNCTION("""COMPUTED_VALUE"""),1115.0)</f>
        <v>1115</v>
      </c>
      <c r="E126" s="2">
        <f>IFERROR(__xludf.DUMMYFUNCTION("""COMPUTED_VALUE"""),1135.0)</f>
        <v>1135</v>
      </c>
      <c r="F126" s="2">
        <f>IFERROR(__xludf.DUMMYFUNCTION("""COMPUTED_VALUE"""),7.25983E7)</f>
        <v>72598300</v>
      </c>
      <c r="G126" s="2">
        <f t="shared" si="1"/>
        <v>25</v>
      </c>
    </row>
    <row r="127" ht="15.75" customHeight="1">
      <c r="A127" s="1">
        <f>IFERROR(__xludf.DUMMYFUNCTION("""COMPUTED_VALUE"""),44019.66666666667)</f>
        <v>44019.66667</v>
      </c>
      <c r="B127" s="2">
        <f>IFERROR(__xludf.DUMMYFUNCTION("""COMPUTED_VALUE"""),1140.0)</f>
        <v>1140</v>
      </c>
      <c r="C127" s="2">
        <f>IFERROR(__xludf.DUMMYFUNCTION("""COMPUTED_VALUE"""),1155.0)</f>
        <v>1155</v>
      </c>
      <c r="D127" s="2">
        <f>IFERROR(__xludf.DUMMYFUNCTION("""COMPUTED_VALUE"""),1130.0)</f>
        <v>1130</v>
      </c>
      <c r="E127" s="2">
        <f>IFERROR(__xludf.DUMMYFUNCTION("""COMPUTED_VALUE"""),1140.0)</f>
        <v>1140</v>
      </c>
      <c r="F127" s="2">
        <f>IFERROR(__xludf.DUMMYFUNCTION("""COMPUTED_VALUE"""),1.414173E8)</f>
        <v>141417300</v>
      </c>
      <c r="G127" s="2">
        <f t="shared" si="1"/>
        <v>25</v>
      </c>
    </row>
    <row r="128" ht="15.75" customHeight="1">
      <c r="A128" s="1">
        <f>IFERROR(__xludf.DUMMYFUNCTION("""COMPUTED_VALUE"""),44020.66666666667)</f>
        <v>44020.66667</v>
      </c>
      <c r="B128" s="2">
        <f>IFERROR(__xludf.DUMMYFUNCTION("""COMPUTED_VALUE"""),1150.0)</f>
        <v>1150</v>
      </c>
      <c r="C128" s="2">
        <f>IFERROR(__xludf.DUMMYFUNCTION("""COMPUTED_VALUE"""),1180.0)</f>
        <v>1180</v>
      </c>
      <c r="D128" s="2">
        <f>IFERROR(__xludf.DUMMYFUNCTION("""COMPUTED_VALUE"""),1140.0)</f>
        <v>1140</v>
      </c>
      <c r="E128" s="2">
        <f>IFERROR(__xludf.DUMMYFUNCTION("""COMPUTED_VALUE"""),1170.0)</f>
        <v>1170</v>
      </c>
      <c r="F128" s="2">
        <f>IFERROR(__xludf.DUMMYFUNCTION("""COMPUTED_VALUE"""),2.131354E8)</f>
        <v>213135400</v>
      </c>
      <c r="G128" s="2">
        <f t="shared" si="1"/>
        <v>40</v>
      </c>
    </row>
    <row r="129" ht="15.75" customHeight="1">
      <c r="A129" s="1">
        <f>IFERROR(__xludf.DUMMYFUNCTION("""COMPUTED_VALUE"""),44021.66666666667)</f>
        <v>44021.66667</v>
      </c>
      <c r="B129" s="2">
        <f>IFERROR(__xludf.DUMMYFUNCTION("""COMPUTED_VALUE"""),1185.0)</f>
        <v>1185</v>
      </c>
      <c r="C129" s="2">
        <f>IFERROR(__xludf.DUMMYFUNCTION("""COMPUTED_VALUE"""),1190.0)</f>
        <v>1190</v>
      </c>
      <c r="D129" s="2">
        <f>IFERROR(__xludf.DUMMYFUNCTION("""COMPUTED_VALUE"""),1155.0)</f>
        <v>1155</v>
      </c>
      <c r="E129" s="2">
        <f>IFERROR(__xludf.DUMMYFUNCTION("""COMPUTED_VALUE"""),1160.0)</f>
        <v>1160</v>
      </c>
      <c r="F129" s="2">
        <f>IFERROR(__xludf.DUMMYFUNCTION("""COMPUTED_VALUE"""),1.436082E8)</f>
        <v>143608200</v>
      </c>
      <c r="G129" s="2">
        <f t="shared" si="1"/>
        <v>35</v>
      </c>
    </row>
    <row r="130" ht="15.75" customHeight="1">
      <c r="A130" s="1">
        <f>IFERROR(__xludf.DUMMYFUNCTION("""COMPUTED_VALUE"""),44022.66666666667)</f>
        <v>44022.66667</v>
      </c>
      <c r="B130" s="2">
        <f>IFERROR(__xludf.DUMMYFUNCTION("""COMPUTED_VALUE"""),1160.0)</f>
        <v>1160</v>
      </c>
      <c r="C130" s="2">
        <f>IFERROR(__xludf.DUMMYFUNCTION("""COMPUTED_VALUE"""),1165.0)</f>
        <v>1165</v>
      </c>
      <c r="D130" s="2">
        <f>IFERROR(__xludf.DUMMYFUNCTION("""COMPUTED_VALUE"""),1130.0)</f>
        <v>1130</v>
      </c>
      <c r="E130" s="2">
        <f>IFERROR(__xludf.DUMMYFUNCTION("""COMPUTED_VALUE"""),1135.0)</f>
        <v>1135</v>
      </c>
      <c r="F130" s="2">
        <f>IFERROR(__xludf.DUMMYFUNCTION("""COMPUTED_VALUE"""),8.08509E7)</f>
        <v>80850900</v>
      </c>
      <c r="G130" s="2">
        <f t="shared" si="1"/>
        <v>35</v>
      </c>
    </row>
    <row r="131" ht="15.75" customHeight="1">
      <c r="A131" s="1">
        <f>IFERROR(__xludf.DUMMYFUNCTION("""COMPUTED_VALUE"""),44025.66666666667)</f>
        <v>44025.66667</v>
      </c>
      <c r="B131" s="2">
        <f>IFERROR(__xludf.DUMMYFUNCTION("""COMPUTED_VALUE"""),1140.0)</f>
        <v>1140</v>
      </c>
      <c r="C131" s="2">
        <f>IFERROR(__xludf.DUMMYFUNCTION("""COMPUTED_VALUE"""),1165.0)</f>
        <v>1165</v>
      </c>
      <c r="D131" s="2">
        <f>IFERROR(__xludf.DUMMYFUNCTION("""COMPUTED_VALUE"""),1140.0)</f>
        <v>1140</v>
      </c>
      <c r="E131" s="2">
        <f>IFERROR(__xludf.DUMMYFUNCTION("""COMPUTED_VALUE"""),1160.0)</f>
        <v>1160</v>
      </c>
      <c r="F131" s="2">
        <f>IFERROR(__xludf.DUMMYFUNCTION("""COMPUTED_VALUE"""),4.91466E7)</f>
        <v>49146600</v>
      </c>
      <c r="G131" s="2">
        <f t="shared" si="1"/>
        <v>30</v>
      </c>
    </row>
    <row r="132" ht="15.75" customHeight="1">
      <c r="A132" s="1">
        <f>IFERROR(__xludf.DUMMYFUNCTION("""COMPUTED_VALUE"""),44026.66666666667)</f>
        <v>44026.66667</v>
      </c>
      <c r="B132" s="2">
        <f>IFERROR(__xludf.DUMMYFUNCTION("""COMPUTED_VALUE"""),1160.0)</f>
        <v>1160</v>
      </c>
      <c r="C132" s="2">
        <f>IFERROR(__xludf.DUMMYFUNCTION("""COMPUTED_VALUE"""),1185.0)</f>
        <v>1185</v>
      </c>
      <c r="D132" s="2">
        <f>IFERROR(__xludf.DUMMYFUNCTION("""COMPUTED_VALUE"""),1145.0)</f>
        <v>1145</v>
      </c>
      <c r="E132" s="2">
        <f>IFERROR(__xludf.DUMMYFUNCTION("""COMPUTED_VALUE"""),1165.0)</f>
        <v>1165</v>
      </c>
      <c r="F132" s="2">
        <f>IFERROR(__xludf.DUMMYFUNCTION("""COMPUTED_VALUE"""),1.04248E8)</f>
        <v>104248000</v>
      </c>
      <c r="G132" s="2">
        <f t="shared" si="1"/>
        <v>40</v>
      </c>
    </row>
    <row r="133" ht="15.75" customHeight="1">
      <c r="A133" s="1">
        <f>IFERROR(__xludf.DUMMYFUNCTION("""COMPUTED_VALUE"""),44027.66666666667)</f>
        <v>44027.66667</v>
      </c>
      <c r="B133" s="2">
        <f>IFERROR(__xludf.DUMMYFUNCTION("""COMPUTED_VALUE"""),1180.0)</f>
        <v>1180</v>
      </c>
      <c r="C133" s="2">
        <f>IFERROR(__xludf.DUMMYFUNCTION("""COMPUTED_VALUE"""),1190.0)</f>
        <v>1190</v>
      </c>
      <c r="D133" s="2">
        <f>IFERROR(__xludf.DUMMYFUNCTION("""COMPUTED_VALUE"""),1150.0)</f>
        <v>1150</v>
      </c>
      <c r="E133" s="2">
        <f>IFERROR(__xludf.DUMMYFUNCTION("""COMPUTED_VALUE"""),1155.0)</f>
        <v>1155</v>
      </c>
      <c r="F133" s="2">
        <f>IFERROR(__xludf.DUMMYFUNCTION("""COMPUTED_VALUE"""),9.77006E7)</f>
        <v>97700600</v>
      </c>
      <c r="G133" s="2">
        <f t="shared" si="1"/>
        <v>40</v>
      </c>
    </row>
    <row r="134" ht="15.75" customHeight="1">
      <c r="A134" s="1">
        <f>IFERROR(__xludf.DUMMYFUNCTION("""COMPUTED_VALUE"""),44028.66666666667)</f>
        <v>44028.66667</v>
      </c>
      <c r="B134" s="2">
        <f>IFERROR(__xludf.DUMMYFUNCTION("""COMPUTED_VALUE"""),1160.0)</f>
        <v>1160</v>
      </c>
      <c r="C134" s="2">
        <f>IFERROR(__xludf.DUMMYFUNCTION("""COMPUTED_VALUE"""),1170.0)</f>
        <v>1170</v>
      </c>
      <c r="D134" s="2">
        <f>IFERROR(__xludf.DUMMYFUNCTION("""COMPUTED_VALUE"""),1150.0)</f>
        <v>1150</v>
      </c>
      <c r="E134" s="2">
        <f>IFERROR(__xludf.DUMMYFUNCTION("""COMPUTED_VALUE"""),1160.0)</f>
        <v>1160</v>
      </c>
      <c r="F134" s="2">
        <f>IFERROR(__xludf.DUMMYFUNCTION("""COMPUTED_VALUE"""),6.50062E7)</f>
        <v>65006200</v>
      </c>
      <c r="G134" s="2">
        <f t="shared" si="1"/>
        <v>20</v>
      </c>
    </row>
    <row r="135" ht="15.75" customHeight="1">
      <c r="A135" s="1">
        <f>IFERROR(__xludf.DUMMYFUNCTION("""COMPUTED_VALUE"""),44029.66666666667)</f>
        <v>44029.66667</v>
      </c>
      <c r="B135" s="2">
        <f>IFERROR(__xludf.DUMMYFUNCTION("""COMPUTED_VALUE"""),1155.0)</f>
        <v>1155</v>
      </c>
      <c r="C135" s="2">
        <f>IFERROR(__xludf.DUMMYFUNCTION("""COMPUTED_VALUE"""),1170.0)</f>
        <v>1170</v>
      </c>
      <c r="D135" s="2">
        <f>IFERROR(__xludf.DUMMYFUNCTION("""COMPUTED_VALUE"""),1145.0)</f>
        <v>1145</v>
      </c>
      <c r="E135" s="2">
        <f>IFERROR(__xludf.DUMMYFUNCTION("""COMPUTED_VALUE"""),1160.0)</f>
        <v>1160</v>
      </c>
      <c r="F135" s="2">
        <f>IFERROR(__xludf.DUMMYFUNCTION("""COMPUTED_VALUE"""),5.02349E7)</f>
        <v>50234900</v>
      </c>
      <c r="G135" s="2">
        <f t="shared" si="1"/>
        <v>25</v>
      </c>
    </row>
    <row r="136" ht="15.75" customHeight="1">
      <c r="A136" s="1">
        <f>IFERROR(__xludf.DUMMYFUNCTION("""COMPUTED_VALUE"""),44032.66666666667)</f>
        <v>44032.66667</v>
      </c>
      <c r="B136" s="2">
        <f>IFERROR(__xludf.DUMMYFUNCTION("""COMPUTED_VALUE"""),1160.0)</f>
        <v>1160</v>
      </c>
      <c r="C136" s="2">
        <f>IFERROR(__xludf.DUMMYFUNCTION("""COMPUTED_VALUE"""),1165.0)</f>
        <v>1165</v>
      </c>
      <c r="D136" s="2">
        <f>IFERROR(__xludf.DUMMYFUNCTION("""COMPUTED_VALUE"""),1135.0)</f>
        <v>1135</v>
      </c>
      <c r="E136" s="2">
        <f>IFERROR(__xludf.DUMMYFUNCTION("""COMPUTED_VALUE"""),1140.0)</f>
        <v>1140</v>
      </c>
      <c r="F136" s="2">
        <f>IFERROR(__xludf.DUMMYFUNCTION("""COMPUTED_VALUE"""),5.48764E7)</f>
        <v>54876400</v>
      </c>
      <c r="G136" s="2">
        <f t="shared" si="1"/>
        <v>30</v>
      </c>
    </row>
    <row r="137" ht="15.75" customHeight="1">
      <c r="A137" s="1">
        <f>IFERROR(__xludf.DUMMYFUNCTION("""COMPUTED_VALUE"""),44033.66666666667)</f>
        <v>44033.66667</v>
      </c>
      <c r="B137" s="2">
        <f>IFERROR(__xludf.DUMMYFUNCTION("""COMPUTED_VALUE"""),1145.0)</f>
        <v>1145</v>
      </c>
      <c r="C137" s="2">
        <f>IFERROR(__xludf.DUMMYFUNCTION("""COMPUTED_VALUE"""),1170.0)</f>
        <v>1170</v>
      </c>
      <c r="D137" s="2">
        <f>IFERROR(__xludf.DUMMYFUNCTION("""COMPUTED_VALUE"""),1145.0)</f>
        <v>1145</v>
      </c>
      <c r="E137" s="2">
        <f>IFERROR(__xludf.DUMMYFUNCTION("""COMPUTED_VALUE"""),1155.0)</f>
        <v>1155</v>
      </c>
      <c r="F137" s="2">
        <f>IFERROR(__xludf.DUMMYFUNCTION("""COMPUTED_VALUE"""),7.4949E7)</f>
        <v>74949000</v>
      </c>
      <c r="G137" s="2">
        <f t="shared" si="1"/>
        <v>30</v>
      </c>
    </row>
    <row r="138" ht="15.75" customHeight="1">
      <c r="A138" s="1">
        <f>IFERROR(__xludf.DUMMYFUNCTION("""COMPUTED_VALUE"""),44034.66666666667)</f>
        <v>44034.66667</v>
      </c>
      <c r="B138" s="2">
        <f>IFERROR(__xludf.DUMMYFUNCTION("""COMPUTED_VALUE"""),1165.0)</f>
        <v>1165</v>
      </c>
      <c r="C138" s="2">
        <f>IFERROR(__xludf.DUMMYFUNCTION("""COMPUTED_VALUE"""),1230.0)</f>
        <v>1230</v>
      </c>
      <c r="D138" s="2">
        <f>IFERROR(__xludf.DUMMYFUNCTION("""COMPUTED_VALUE"""),1160.0)</f>
        <v>1160</v>
      </c>
      <c r="E138" s="2">
        <f>IFERROR(__xludf.DUMMYFUNCTION("""COMPUTED_VALUE"""),1220.0)</f>
        <v>1220</v>
      </c>
      <c r="F138" s="2">
        <f>IFERROR(__xludf.DUMMYFUNCTION("""COMPUTED_VALUE"""),4.144979E8)</f>
        <v>414497900</v>
      </c>
      <c r="G138" s="2">
        <f t="shared" si="1"/>
        <v>75</v>
      </c>
    </row>
    <row r="139" ht="15.75" customHeight="1">
      <c r="A139" s="1">
        <f>IFERROR(__xludf.DUMMYFUNCTION("""COMPUTED_VALUE"""),44035.66666666667)</f>
        <v>44035.66667</v>
      </c>
      <c r="B139" s="2">
        <f>IFERROR(__xludf.DUMMYFUNCTION("""COMPUTED_VALUE"""),1235.0)</f>
        <v>1235</v>
      </c>
      <c r="C139" s="2">
        <f>IFERROR(__xludf.DUMMYFUNCTION("""COMPUTED_VALUE"""),1270.0)</f>
        <v>1270</v>
      </c>
      <c r="D139" s="2">
        <f>IFERROR(__xludf.DUMMYFUNCTION("""COMPUTED_VALUE"""),1225.0)</f>
        <v>1225</v>
      </c>
      <c r="E139" s="2">
        <f>IFERROR(__xludf.DUMMYFUNCTION("""COMPUTED_VALUE"""),1245.0)</f>
        <v>1245</v>
      </c>
      <c r="F139" s="2">
        <f>IFERROR(__xludf.DUMMYFUNCTION("""COMPUTED_VALUE"""),1.878977E8)</f>
        <v>187897700</v>
      </c>
      <c r="G139" s="2">
        <f t="shared" si="1"/>
        <v>50</v>
      </c>
    </row>
    <row r="140" ht="15.75" customHeight="1">
      <c r="A140" s="1">
        <f>IFERROR(__xludf.DUMMYFUNCTION("""COMPUTED_VALUE"""),44036.66666666667)</f>
        <v>44036.66667</v>
      </c>
      <c r="B140" s="2">
        <f>IFERROR(__xludf.DUMMYFUNCTION("""COMPUTED_VALUE"""),1250.0)</f>
        <v>1250</v>
      </c>
      <c r="C140" s="2">
        <f>IFERROR(__xludf.DUMMYFUNCTION("""COMPUTED_VALUE"""),1260.0)</f>
        <v>1260</v>
      </c>
      <c r="D140" s="2">
        <f>IFERROR(__xludf.DUMMYFUNCTION("""COMPUTED_VALUE"""),1210.0)</f>
        <v>1210</v>
      </c>
      <c r="E140" s="2">
        <f>IFERROR(__xludf.DUMMYFUNCTION("""COMPUTED_VALUE"""),1220.0)</f>
        <v>1220</v>
      </c>
      <c r="F140" s="2">
        <f>IFERROR(__xludf.DUMMYFUNCTION("""COMPUTED_VALUE"""),1.105302E8)</f>
        <v>110530200</v>
      </c>
      <c r="G140" s="2">
        <f t="shared" si="1"/>
        <v>50</v>
      </c>
    </row>
    <row r="141" ht="15.75" customHeight="1">
      <c r="A141" s="1">
        <f>IFERROR(__xludf.DUMMYFUNCTION("""COMPUTED_VALUE"""),44039.66666666667)</f>
        <v>44039.66667</v>
      </c>
      <c r="B141" s="2">
        <f>IFERROR(__xludf.DUMMYFUNCTION("""COMPUTED_VALUE"""),1210.0)</f>
        <v>1210</v>
      </c>
      <c r="C141" s="2">
        <f>IFERROR(__xludf.DUMMYFUNCTION("""COMPUTED_VALUE"""),1250.0)</f>
        <v>1250</v>
      </c>
      <c r="D141" s="2">
        <f>IFERROR(__xludf.DUMMYFUNCTION("""COMPUTED_VALUE"""),1210.0)</f>
        <v>1210</v>
      </c>
      <c r="E141" s="2">
        <f>IFERROR(__xludf.DUMMYFUNCTION("""COMPUTED_VALUE"""),1230.0)</f>
        <v>1230</v>
      </c>
      <c r="F141" s="2">
        <f>IFERROR(__xludf.DUMMYFUNCTION("""COMPUTED_VALUE"""),6.75761E7)</f>
        <v>67576100</v>
      </c>
      <c r="G141" s="2">
        <f t="shared" si="1"/>
        <v>40</v>
      </c>
    </row>
    <row r="142" ht="15.75" customHeight="1">
      <c r="A142" s="1">
        <f>IFERROR(__xludf.DUMMYFUNCTION("""COMPUTED_VALUE"""),44040.66666666667)</f>
        <v>44040.66667</v>
      </c>
      <c r="B142" s="2">
        <f>IFERROR(__xludf.DUMMYFUNCTION("""COMPUTED_VALUE"""),1235.0)</f>
        <v>1235</v>
      </c>
      <c r="C142" s="2">
        <f>IFERROR(__xludf.DUMMYFUNCTION("""COMPUTED_VALUE"""),1245.0)</f>
        <v>1245</v>
      </c>
      <c r="D142" s="2">
        <f>IFERROR(__xludf.DUMMYFUNCTION("""COMPUTED_VALUE"""),1210.0)</f>
        <v>1210</v>
      </c>
      <c r="E142" s="2">
        <f>IFERROR(__xludf.DUMMYFUNCTION("""COMPUTED_VALUE"""),1220.0)</f>
        <v>1220</v>
      </c>
      <c r="F142" s="2">
        <f>IFERROR(__xludf.DUMMYFUNCTION("""COMPUTED_VALUE"""),5.68392E7)</f>
        <v>56839200</v>
      </c>
      <c r="G142" s="2">
        <f t="shared" si="1"/>
        <v>35</v>
      </c>
    </row>
    <row r="143" ht="15.75" customHeight="1">
      <c r="A143" s="1">
        <f>IFERROR(__xludf.DUMMYFUNCTION("""COMPUTED_VALUE"""),44041.66666666667)</f>
        <v>44041.66667</v>
      </c>
      <c r="B143" s="2">
        <f>IFERROR(__xludf.DUMMYFUNCTION("""COMPUTED_VALUE"""),1220.0)</f>
        <v>1220</v>
      </c>
      <c r="C143" s="2">
        <f>IFERROR(__xludf.DUMMYFUNCTION("""COMPUTED_VALUE"""),1250.0)</f>
        <v>1250</v>
      </c>
      <c r="D143" s="2">
        <f>IFERROR(__xludf.DUMMYFUNCTION("""COMPUTED_VALUE"""),1205.0)</f>
        <v>1205</v>
      </c>
      <c r="E143" s="2">
        <f>IFERROR(__xludf.DUMMYFUNCTION("""COMPUTED_VALUE"""),1230.0)</f>
        <v>1230</v>
      </c>
      <c r="F143" s="2">
        <f>IFERROR(__xludf.DUMMYFUNCTION("""COMPUTED_VALUE"""),1.001715E8)</f>
        <v>100171500</v>
      </c>
      <c r="G143" s="2">
        <f t="shared" si="1"/>
        <v>45</v>
      </c>
    </row>
    <row r="144" ht="15.75" customHeight="1">
      <c r="A144" s="1">
        <f>IFERROR(__xludf.DUMMYFUNCTION("""COMPUTED_VALUE"""),44042.66666666667)</f>
        <v>44042.66667</v>
      </c>
      <c r="B144" s="2">
        <f>IFERROR(__xludf.DUMMYFUNCTION("""COMPUTED_VALUE"""),1250.0)</f>
        <v>1250</v>
      </c>
      <c r="C144" s="2">
        <f>IFERROR(__xludf.DUMMYFUNCTION("""COMPUTED_VALUE"""),1280.0)</f>
        <v>1280</v>
      </c>
      <c r="D144" s="2">
        <f>IFERROR(__xludf.DUMMYFUNCTION("""COMPUTED_VALUE"""),1230.0)</f>
        <v>1230</v>
      </c>
      <c r="E144" s="2">
        <f>IFERROR(__xludf.DUMMYFUNCTION("""COMPUTED_VALUE"""),1265.0)</f>
        <v>1265</v>
      </c>
      <c r="F144" s="2">
        <f>IFERROR(__xludf.DUMMYFUNCTION("""COMPUTED_VALUE"""),2.211263E8)</f>
        <v>221126300</v>
      </c>
      <c r="G144" s="2">
        <f t="shared" si="1"/>
        <v>50</v>
      </c>
    </row>
    <row r="145" ht="15.75" customHeight="1">
      <c r="A145" s="1">
        <f>IFERROR(__xludf.DUMMYFUNCTION("""COMPUTED_VALUE"""),44046.66666666667)</f>
        <v>44046.66667</v>
      </c>
      <c r="B145" s="2">
        <f>IFERROR(__xludf.DUMMYFUNCTION("""COMPUTED_VALUE"""),1265.0)</f>
        <v>1265</v>
      </c>
      <c r="C145" s="2">
        <f>IFERROR(__xludf.DUMMYFUNCTION("""COMPUTED_VALUE"""),1280.0)</f>
        <v>1280</v>
      </c>
      <c r="D145" s="2">
        <f>IFERROR(__xludf.DUMMYFUNCTION("""COMPUTED_VALUE"""),1180.0)</f>
        <v>1180</v>
      </c>
      <c r="E145" s="2">
        <f>IFERROR(__xludf.DUMMYFUNCTION("""COMPUTED_VALUE"""),1200.0)</f>
        <v>1200</v>
      </c>
      <c r="F145" s="2">
        <f>IFERROR(__xludf.DUMMYFUNCTION("""COMPUTED_VALUE"""),1.925884E8)</f>
        <v>192588400</v>
      </c>
      <c r="G145" s="2">
        <f t="shared" si="1"/>
        <v>100</v>
      </c>
    </row>
    <row r="146" ht="15.75" customHeight="1">
      <c r="A146" s="1">
        <f>IFERROR(__xludf.DUMMYFUNCTION("""COMPUTED_VALUE"""),44047.66666666667)</f>
        <v>44047.66667</v>
      </c>
      <c r="B146" s="2">
        <f>IFERROR(__xludf.DUMMYFUNCTION("""COMPUTED_VALUE"""),1190.0)</f>
        <v>1190</v>
      </c>
      <c r="C146" s="2">
        <f>IFERROR(__xludf.DUMMYFUNCTION("""COMPUTED_VALUE"""),1230.0)</f>
        <v>1230</v>
      </c>
      <c r="D146" s="2">
        <f>IFERROR(__xludf.DUMMYFUNCTION("""COMPUTED_VALUE"""),1190.0)</f>
        <v>1190</v>
      </c>
      <c r="E146" s="2">
        <f>IFERROR(__xludf.DUMMYFUNCTION("""COMPUTED_VALUE"""),1205.0)</f>
        <v>1205</v>
      </c>
      <c r="F146" s="2">
        <f>IFERROR(__xludf.DUMMYFUNCTION("""COMPUTED_VALUE"""),1.058258E8)</f>
        <v>105825800</v>
      </c>
      <c r="G146" s="2">
        <f t="shared" si="1"/>
        <v>40</v>
      </c>
    </row>
    <row r="147" ht="15.75" customHeight="1">
      <c r="A147" s="1">
        <f>IFERROR(__xludf.DUMMYFUNCTION("""COMPUTED_VALUE"""),44048.66666666667)</f>
        <v>44048.66667</v>
      </c>
      <c r="B147" s="2">
        <f>IFERROR(__xludf.DUMMYFUNCTION("""COMPUTED_VALUE"""),1205.0)</f>
        <v>1205</v>
      </c>
      <c r="C147" s="2">
        <f>IFERROR(__xludf.DUMMYFUNCTION("""COMPUTED_VALUE"""),1235.0)</f>
        <v>1235</v>
      </c>
      <c r="D147" s="2">
        <f>IFERROR(__xludf.DUMMYFUNCTION("""COMPUTED_VALUE"""),1200.0)</f>
        <v>1200</v>
      </c>
      <c r="E147" s="2">
        <f>IFERROR(__xludf.DUMMYFUNCTION("""COMPUTED_VALUE"""),1235.0)</f>
        <v>1235</v>
      </c>
      <c r="F147" s="2">
        <f>IFERROR(__xludf.DUMMYFUNCTION("""COMPUTED_VALUE"""),8.38629E7)</f>
        <v>83862900</v>
      </c>
      <c r="G147" s="2">
        <f t="shared" si="1"/>
        <v>35</v>
      </c>
    </row>
    <row r="148" ht="15.75" customHeight="1">
      <c r="A148" s="1">
        <f>IFERROR(__xludf.DUMMYFUNCTION("""COMPUTED_VALUE"""),44049.66666666667)</f>
        <v>44049.66667</v>
      </c>
      <c r="B148" s="2">
        <f>IFERROR(__xludf.DUMMYFUNCTION("""COMPUTED_VALUE"""),1240.0)</f>
        <v>1240</v>
      </c>
      <c r="C148" s="2">
        <f>IFERROR(__xludf.DUMMYFUNCTION("""COMPUTED_VALUE"""),1260.0)</f>
        <v>1260</v>
      </c>
      <c r="D148" s="2">
        <f>IFERROR(__xludf.DUMMYFUNCTION("""COMPUTED_VALUE"""),1235.0)</f>
        <v>1235</v>
      </c>
      <c r="E148" s="2">
        <f>IFERROR(__xludf.DUMMYFUNCTION("""COMPUTED_VALUE"""),1235.0)</f>
        <v>1235</v>
      </c>
      <c r="F148" s="2">
        <f>IFERROR(__xludf.DUMMYFUNCTION("""COMPUTED_VALUE"""),7.0343E7)</f>
        <v>70343000</v>
      </c>
      <c r="G148" s="2">
        <f t="shared" si="1"/>
        <v>25</v>
      </c>
    </row>
    <row r="149" ht="15.75" customHeight="1">
      <c r="A149" s="1">
        <f>IFERROR(__xludf.DUMMYFUNCTION("""COMPUTED_VALUE"""),44050.66666666667)</f>
        <v>44050.66667</v>
      </c>
      <c r="B149" s="2">
        <f>IFERROR(__xludf.DUMMYFUNCTION("""COMPUTED_VALUE"""),1255.0)</f>
        <v>1255</v>
      </c>
      <c r="C149" s="2">
        <f>IFERROR(__xludf.DUMMYFUNCTION("""COMPUTED_VALUE"""),1255.0)</f>
        <v>1255</v>
      </c>
      <c r="D149" s="2">
        <f>IFERROR(__xludf.DUMMYFUNCTION("""COMPUTED_VALUE"""),1200.0)</f>
        <v>1200</v>
      </c>
      <c r="E149" s="2">
        <f>IFERROR(__xludf.DUMMYFUNCTION("""COMPUTED_VALUE"""),1210.0)</f>
        <v>1210</v>
      </c>
      <c r="F149" s="2">
        <f>IFERROR(__xludf.DUMMYFUNCTION("""COMPUTED_VALUE"""),9.50929E7)</f>
        <v>95092900</v>
      </c>
      <c r="G149" s="2">
        <f t="shared" si="1"/>
        <v>55</v>
      </c>
    </row>
    <row r="150" ht="15.75" customHeight="1">
      <c r="A150" s="1">
        <f>IFERROR(__xludf.DUMMYFUNCTION("""COMPUTED_VALUE"""),44053.66666666667)</f>
        <v>44053.66667</v>
      </c>
      <c r="B150" s="2">
        <f>IFERROR(__xludf.DUMMYFUNCTION("""COMPUTED_VALUE"""),1210.0)</f>
        <v>1210</v>
      </c>
      <c r="C150" s="2">
        <f>IFERROR(__xludf.DUMMYFUNCTION("""COMPUTED_VALUE"""),1225.0)</f>
        <v>1225</v>
      </c>
      <c r="D150" s="2">
        <f>IFERROR(__xludf.DUMMYFUNCTION("""COMPUTED_VALUE"""),1205.0)</f>
        <v>1205</v>
      </c>
      <c r="E150" s="2">
        <f>IFERROR(__xludf.DUMMYFUNCTION("""COMPUTED_VALUE"""),1210.0)</f>
        <v>1210</v>
      </c>
      <c r="F150" s="2">
        <f>IFERROR(__xludf.DUMMYFUNCTION("""COMPUTED_VALUE"""),5.36068E7)</f>
        <v>53606800</v>
      </c>
      <c r="G150" s="2">
        <f t="shared" si="1"/>
        <v>20</v>
      </c>
    </row>
    <row r="151" ht="15.75" customHeight="1">
      <c r="A151" s="1">
        <f>IFERROR(__xludf.DUMMYFUNCTION("""COMPUTED_VALUE"""),44054.66666666667)</f>
        <v>44054.66667</v>
      </c>
      <c r="B151" s="2">
        <f>IFERROR(__xludf.DUMMYFUNCTION("""COMPUTED_VALUE"""),1210.0)</f>
        <v>1210</v>
      </c>
      <c r="C151" s="2">
        <f>IFERROR(__xludf.DUMMYFUNCTION("""COMPUTED_VALUE"""),1230.0)</f>
        <v>1230</v>
      </c>
      <c r="D151" s="2">
        <f>IFERROR(__xludf.DUMMYFUNCTION("""COMPUTED_VALUE"""),1205.0)</f>
        <v>1205</v>
      </c>
      <c r="E151" s="2">
        <f>IFERROR(__xludf.DUMMYFUNCTION("""COMPUTED_VALUE"""),1210.0)</f>
        <v>1210</v>
      </c>
      <c r="F151" s="2">
        <f>IFERROR(__xludf.DUMMYFUNCTION("""COMPUTED_VALUE"""),8.41514E7)</f>
        <v>84151400</v>
      </c>
      <c r="G151" s="2">
        <f t="shared" si="1"/>
        <v>25</v>
      </c>
    </row>
    <row r="152" ht="15.75" customHeight="1">
      <c r="A152" s="1">
        <f>IFERROR(__xludf.DUMMYFUNCTION("""COMPUTED_VALUE"""),44055.66666666667)</f>
        <v>44055.66667</v>
      </c>
      <c r="B152" s="2">
        <f>IFERROR(__xludf.DUMMYFUNCTION("""COMPUTED_VALUE"""),1210.0)</f>
        <v>1210</v>
      </c>
      <c r="C152" s="2">
        <f>IFERROR(__xludf.DUMMYFUNCTION("""COMPUTED_VALUE"""),1235.0)</f>
        <v>1235</v>
      </c>
      <c r="D152" s="2">
        <f>IFERROR(__xludf.DUMMYFUNCTION("""COMPUTED_VALUE"""),1200.0)</f>
        <v>1200</v>
      </c>
      <c r="E152" s="2">
        <f>IFERROR(__xludf.DUMMYFUNCTION("""COMPUTED_VALUE"""),1220.0)</f>
        <v>1220</v>
      </c>
      <c r="F152" s="2">
        <f>IFERROR(__xludf.DUMMYFUNCTION("""COMPUTED_VALUE"""),1.243171E8)</f>
        <v>124317100</v>
      </c>
      <c r="G152" s="2">
        <f t="shared" si="1"/>
        <v>35</v>
      </c>
    </row>
    <row r="153" ht="15.75" customHeight="1">
      <c r="A153" s="1">
        <f>IFERROR(__xludf.DUMMYFUNCTION("""COMPUTED_VALUE"""),44056.66666666667)</f>
        <v>44056.66667</v>
      </c>
      <c r="B153" s="2">
        <f>IFERROR(__xludf.DUMMYFUNCTION("""COMPUTED_VALUE"""),1230.0)</f>
        <v>1230</v>
      </c>
      <c r="C153" s="2">
        <f>IFERROR(__xludf.DUMMYFUNCTION("""COMPUTED_VALUE"""),1245.0)</f>
        <v>1245</v>
      </c>
      <c r="D153" s="2">
        <f>IFERROR(__xludf.DUMMYFUNCTION("""COMPUTED_VALUE"""),1220.0)</f>
        <v>1220</v>
      </c>
      <c r="E153" s="2">
        <f>IFERROR(__xludf.DUMMYFUNCTION("""COMPUTED_VALUE"""),1235.0)</f>
        <v>1235</v>
      </c>
      <c r="F153" s="2">
        <f>IFERROR(__xludf.DUMMYFUNCTION("""COMPUTED_VALUE"""),7.96052E7)</f>
        <v>79605200</v>
      </c>
      <c r="G153" s="2">
        <f t="shared" si="1"/>
        <v>25</v>
      </c>
    </row>
    <row r="154" ht="15.75" customHeight="1">
      <c r="A154" s="1">
        <f>IFERROR(__xludf.DUMMYFUNCTION("""COMPUTED_VALUE"""),44057.66666666667)</f>
        <v>44057.66667</v>
      </c>
      <c r="B154" s="2">
        <f>IFERROR(__xludf.DUMMYFUNCTION("""COMPUTED_VALUE"""),1230.0)</f>
        <v>1230</v>
      </c>
      <c r="C154" s="2">
        <f>IFERROR(__xludf.DUMMYFUNCTION("""COMPUTED_VALUE"""),1250.0)</f>
        <v>1250</v>
      </c>
      <c r="D154" s="2">
        <f>IFERROR(__xludf.DUMMYFUNCTION("""COMPUTED_VALUE"""),1225.0)</f>
        <v>1225</v>
      </c>
      <c r="E154" s="2">
        <f>IFERROR(__xludf.DUMMYFUNCTION("""COMPUTED_VALUE"""),1230.0)</f>
        <v>1230</v>
      </c>
      <c r="F154" s="2">
        <f>IFERROR(__xludf.DUMMYFUNCTION("""COMPUTED_VALUE"""),5.17904E7)</f>
        <v>51790400</v>
      </c>
      <c r="G154" s="2">
        <f t="shared" si="1"/>
        <v>25</v>
      </c>
    </row>
    <row r="155" ht="15.75" customHeight="1">
      <c r="A155" s="1">
        <f>IFERROR(__xludf.DUMMYFUNCTION("""COMPUTED_VALUE"""),44061.66666666667)</f>
        <v>44061.66667</v>
      </c>
      <c r="B155" s="2">
        <f>IFERROR(__xludf.DUMMYFUNCTION("""COMPUTED_VALUE"""),1240.0)</f>
        <v>1240</v>
      </c>
      <c r="C155" s="2">
        <f>IFERROR(__xludf.DUMMYFUNCTION("""COMPUTED_VALUE"""),1265.0)</f>
        <v>1265</v>
      </c>
      <c r="D155" s="2">
        <f>IFERROR(__xludf.DUMMYFUNCTION("""COMPUTED_VALUE"""),1230.0)</f>
        <v>1230</v>
      </c>
      <c r="E155" s="2">
        <f>IFERROR(__xludf.DUMMYFUNCTION("""COMPUTED_VALUE"""),1245.0)</f>
        <v>1245</v>
      </c>
      <c r="F155" s="2">
        <f>IFERROR(__xludf.DUMMYFUNCTION("""COMPUTED_VALUE"""),9.94273E7)</f>
        <v>99427300</v>
      </c>
      <c r="G155" s="2">
        <f t="shared" si="1"/>
        <v>35</v>
      </c>
    </row>
    <row r="156" ht="15.75" customHeight="1">
      <c r="A156" s="1">
        <f>IFERROR(__xludf.DUMMYFUNCTION("""COMPUTED_VALUE"""),44062.66666666667)</f>
        <v>44062.66667</v>
      </c>
      <c r="B156" s="2">
        <f>IFERROR(__xludf.DUMMYFUNCTION("""COMPUTED_VALUE"""),1250.0)</f>
        <v>1250</v>
      </c>
      <c r="C156" s="2">
        <f>IFERROR(__xludf.DUMMYFUNCTION("""COMPUTED_VALUE"""),1305.0)</f>
        <v>1305</v>
      </c>
      <c r="D156" s="2">
        <f>IFERROR(__xludf.DUMMYFUNCTION("""COMPUTED_VALUE"""),1245.0)</f>
        <v>1245</v>
      </c>
      <c r="E156" s="2">
        <f>IFERROR(__xludf.DUMMYFUNCTION("""COMPUTED_VALUE"""),1305.0)</f>
        <v>1305</v>
      </c>
      <c r="F156" s="2">
        <f>IFERROR(__xludf.DUMMYFUNCTION("""COMPUTED_VALUE"""),2.061345E8)</f>
        <v>206134500</v>
      </c>
      <c r="G156" s="2">
        <f t="shared" si="1"/>
        <v>60</v>
      </c>
    </row>
    <row r="157" ht="15.75" customHeight="1">
      <c r="A157" s="1">
        <f>IFERROR(__xludf.DUMMYFUNCTION("""COMPUTED_VALUE"""),44067.66666666667)</f>
        <v>44067.66667</v>
      </c>
      <c r="B157" s="2">
        <f>IFERROR(__xludf.DUMMYFUNCTION("""COMPUTED_VALUE"""),1305.0)</f>
        <v>1305</v>
      </c>
      <c r="C157" s="2">
        <f>IFERROR(__xludf.DUMMYFUNCTION("""COMPUTED_VALUE"""),1335.0)</f>
        <v>1335</v>
      </c>
      <c r="D157" s="2">
        <f>IFERROR(__xludf.DUMMYFUNCTION("""COMPUTED_VALUE"""),1300.0)</f>
        <v>1300</v>
      </c>
      <c r="E157" s="2">
        <f>IFERROR(__xludf.DUMMYFUNCTION("""COMPUTED_VALUE"""),1315.0)</f>
        <v>1315</v>
      </c>
      <c r="F157" s="2">
        <f>IFERROR(__xludf.DUMMYFUNCTION("""COMPUTED_VALUE"""),1.764212E8)</f>
        <v>176421200</v>
      </c>
      <c r="G157" s="2">
        <f t="shared" si="1"/>
        <v>35</v>
      </c>
    </row>
    <row r="158" ht="15.75" customHeight="1">
      <c r="A158" s="1">
        <f>IFERROR(__xludf.DUMMYFUNCTION("""COMPUTED_VALUE"""),44068.66666666667)</f>
        <v>44068.66667</v>
      </c>
      <c r="B158" s="2">
        <f>IFERROR(__xludf.DUMMYFUNCTION("""COMPUTED_VALUE"""),1320.0)</f>
        <v>1320</v>
      </c>
      <c r="C158" s="2">
        <f>IFERROR(__xludf.DUMMYFUNCTION("""COMPUTED_VALUE"""),1350.0)</f>
        <v>1350</v>
      </c>
      <c r="D158" s="2">
        <f>IFERROR(__xludf.DUMMYFUNCTION("""COMPUTED_VALUE"""),1310.0)</f>
        <v>1310</v>
      </c>
      <c r="E158" s="2">
        <f>IFERROR(__xludf.DUMMYFUNCTION("""COMPUTED_VALUE"""),1340.0)</f>
        <v>1340</v>
      </c>
      <c r="F158" s="2">
        <f>IFERROR(__xludf.DUMMYFUNCTION("""COMPUTED_VALUE"""),1.134682E8)</f>
        <v>113468200</v>
      </c>
      <c r="G158" s="2">
        <f t="shared" si="1"/>
        <v>40</v>
      </c>
    </row>
    <row r="159" ht="15.75" customHeight="1">
      <c r="A159" s="1">
        <f>IFERROR(__xludf.DUMMYFUNCTION("""COMPUTED_VALUE"""),44069.66666666667)</f>
        <v>44069.66667</v>
      </c>
      <c r="B159" s="2">
        <f>IFERROR(__xludf.DUMMYFUNCTION("""COMPUTED_VALUE"""),1340.0)</f>
        <v>1340</v>
      </c>
      <c r="C159" s="2">
        <f>IFERROR(__xludf.DUMMYFUNCTION("""COMPUTED_VALUE"""),1350.0)</f>
        <v>1350</v>
      </c>
      <c r="D159" s="2">
        <f>IFERROR(__xludf.DUMMYFUNCTION("""COMPUTED_VALUE"""),1310.0)</f>
        <v>1310</v>
      </c>
      <c r="E159" s="2">
        <f>IFERROR(__xludf.DUMMYFUNCTION("""COMPUTED_VALUE"""),1315.0)</f>
        <v>1315</v>
      </c>
      <c r="F159" s="2">
        <f>IFERROR(__xludf.DUMMYFUNCTION("""COMPUTED_VALUE"""),1.120439E8)</f>
        <v>112043900</v>
      </c>
      <c r="G159" s="2">
        <f t="shared" si="1"/>
        <v>40</v>
      </c>
    </row>
    <row r="160" ht="15.75" customHeight="1">
      <c r="A160" s="1">
        <f>IFERROR(__xludf.DUMMYFUNCTION("""COMPUTED_VALUE"""),44070.66666666667)</f>
        <v>44070.66667</v>
      </c>
      <c r="B160" s="2">
        <f>IFERROR(__xludf.DUMMYFUNCTION("""COMPUTED_VALUE"""),1315.0)</f>
        <v>1315</v>
      </c>
      <c r="C160" s="2">
        <f>IFERROR(__xludf.DUMMYFUNCTION("""COMPUTED_VALUE"""),1330.0)</f>
        <v>1330</v>
      </c>
      <c r="D160" s="2">
        <f>IFERROR(__xludf.DUMMYFUNCTION("""COMPUTED_VALUE"""),1305.0)</f>
        <v>1305</v>
      </c>
      <c r="E160" s="2">
        <f>IFERROR(__xludf.DUMMYFUNCTION("""COMPUTED_VALUE"""),1315.0)</f>
        <v>1315</v>
      </c>
      <c r="F160" s="2">
        <f>IFERROR(__xludf.DUMMYFUNCTION("""COMPUTED_VALUE"""),6.11546E7)</f>
        <v>61154600</v>
      </c>
      <c r="G160" s="2">
        <f t="shared" si="1"/>
        <v>25</v>
      </c>
    </row>
    <row r="161" ht="15.75" customHeight="1">
      <c r="A161" s="1">
        <f>IFERROR(__xludf.DUMMYFUNCTION("""COMPUTED_VALUE"""),44071.66666666667)</f>
        <v>44071.66667</v>
      </c>
      <c r="B161" s="2">
        <f>IFERROR(__xludf.DUMMYFUNCTION("""COMPUTED_VALUE"""),1315.0)</f>
        <v>1315</v>
      </c>
      <c r="C161" s="2">
        <f>IFERROR(__xludf.DUMMYFUNCTION("""COMPUTED_VALUE"""),1340.0)</f>
        <v>1340</v>
      </c>
      <c r="D161" s="2">
        <f>IFERROR(__xludf.DUMMYFUNCTION("""COMPUTED_VALUE"""),1315.0)</f>
        <v>1315</v>
      </c>
      <c r="E161" s="2">
        <f>IFERROR(__xludf.DUMMYFUNCTION("""COMPUTED_VALUE"""),1325.0)</f>
        <v>1325</v>
      </c>
      <c r="F161" s="2">
        <f>IFERROR(__xludf.DUMMYFUNCTION("""COMPUTED_VALUE"""),9.25562E7)</f>
        <v>92556200</v>
      </c>
      <c r="G161" s="2">
        <f t="shared" si="1"/>
        <v>25</v>
      </c>
    </row>
    <row r="162" ht="15.75" customHeight="1">
      <c r="A162" s="1">
        <f>IFERROR(__xludf.DUMMYFUNCTION("""COMPUTED_VALUE"""),44074.66666666667)</f>
        <v>44074.66667</v>
      </c>
      <c r="B162" s="2">
        <f>IFERROR(__xludf.DUMMYFUNCTION("""COMPUTED_VALUE"""),1325.0)</f>
        <v>1325</v>
      </c>
      <c r="C162" s="2">
        <f>IFERROR(__xludf.DUMMYFUNCTION("""COMPUTED_VALUE"""),1340.0)</f>
        <v>1340</v>
      </c>
      <c r="D162" s="2">
        <f>IFERROR(__xludf.DUMMYFUNCTION("""COMPUTED_VALUE"""),1255.0)</f>
        <v>1255</v>
      </c>
      <c r="E162" s="2">
        <f>IFERROR(__xludf.DUMMYFUNCTION("""COMPUTED_VALUE"""),1255.0)</f>
        <v>1255</v>
      </c>
      <c r="F162" s="2">
        <f>IFERROR(__xludf.DUMMYFUNCTION("""COMPUTED_VALUE"""),1.612838E8)</f>
        <v>161283800</v>
      </c>
      <c r="G162" s="2">
        <f t="shared" si="1"/>
        <v>85</v>
      </c>
    </row>
    <row r="163" ht="15.75" customHeight="1">
      <c r="A163" s="1">
        <f>IFERROR(__xludf.DUMMYFUNCTION("""COMPUTED_VALUE"""),44075.66666666667)</f>
        <v>44075.66667</v>
      </c>
      <c r="B163" s="2">
        <f>IFERROR(__xludf.DUMMYFUNCTION("""COMPUTED_VALUE"""),1265.0)</f>
        <v>1265</v>
      </c>
      <c r="C163" s="2">
        <f>IFERROR(__xludf.DUMMYFUNCTION("""COMPUTED_VALUE"""),1290.0)</f>
        <v>1290</v>
      </c>
      <c r="D163" s="2">
        <f>IFERROR(__xludf.DUMMYFUNCTION("""COMPUTED_VALUE"""),1250.0)</f>
        <v>1250</v>
      </c>
      <c r="E163" s="2">
        <f>IFERROR(__xludf.DUMMYFUNCTION("""COMPUTED_VALUE"""),1285.0)</f>
        <v>1285</v>
      </c>
      <c r="F163" s="2">
        <f>IFERROR(__xludf.DUMMYFUNCTION("""COMPUTED_VALUE"""),7.7012E7)</f>
        <v>77012000</v>
      </c>
      <c r="G163" s="2">
        <f t="shared" si="1"/>
        <v>40</v>
      </c>
    </row>
    <row r="164" ht="15.75" customHeight="1">
      <c r="A164" s="1">
        <f>IFERROR(__xludf.DUMMYFUNCTION("""COMPUTED_VALUE"""),44076.66666666667)</f>
        <v>44076.66667</v>
      </c>
      <c r="B164" s="2">
        <f>IFERROR(__xludf.DUMMYFUNCTION("""COMPUTED_VALUE"""),1300.0)</f>
        <v>1300</v>
      </c>
      <c r="C164" s="2">
        <f>IFERROR(__xludf.DUMMYFUNCTION("""COMPUTED_VALUE"""),1330.0)</f>
        <v>1330</v>
      </c>
      <c r="D164" s="2">
        <f>IFERROR(__xludf.DUMMYFUNCTION("""COMPUTED_VALUE"""),1280.0)</f>
        <v>1280</v>
      </c>
      <c r="E164" s="2">
        <f>IFERROR(__xludf.DUMMYFUNCTION("""COMPUTED_VALUE"""),1330.0)</f>
        <v>1330</v>
      </c>
      <c r="F164" s="2">
        <f>IFERROR(__xludf.DUMMYFUNCTION("""COMPUTED_VALUE"""),9.73649E7)</f>
        <v>97364900</v>
      </c>
      <c r="G164" s="2">
        <f t="shared" si="1"/>
        <v>50</v>
      </c>
    </row>
    <row r="165" ht="15.75" customHeight="1">
      <c r="A165" s="1">
        <f>IFERROR(__xludf.DUMMYFUNCTION("""COMPUTED_VALUE"""),44077.66666666667)</f>
        <v>44077.66667</v>
      </c>
      <c r="B165" s="2">
        <f>IFERROR(__xludf.DUMMYFUNCTION("""COMPUTED_VALUE"""),1335.0)</f>
        <v>1335</v>
      </c>
      <c r="C165" s="2">
        <f>IFERROR(__xludf.DUMMYFUNCTION("""COMPUTED_VALUE"""),1340.0)</f>
        <v>1340</v>
      </c>
      <c r="D165" s="2">
        <f>IFERROR(__xludf.DUMMYFUNCTION("""COMPUTED_VALUE"""),1295.0)</f>
        <v>1295</v>
      </c>
      <c r="E165" s="2">
        <f>IFERROR(__xludf.DUMMYFUNCTION("""COMPUTED_VALUE"""),1310.0)</f>
        <v>1310</v>
      </c>
      <c r="F165" s="2">
        <f>IFERROR(__xludf.DUMMYFUNCTION("""COMPUTED_VALUE"""),7.43727E7)</f>
        <v>74372700</v>
      </c>
      <c r="G165" s="2">
        <f t="shared" si="1"/>
        <v>45</v>
      </c>
    </row>
    <row r="166" ht="15.75" customHeight="1">
      <c r="A166" s="1">
        <f>IFERROR(__xludf.DUMMYFUNCTION("""COMPUTED_VALUE"""),44078.66666666667)</f>
        <v>44078.66667</v>
      </c>
      <c r="B166" s="2">
        <f>IFERROR(__xludf.DUMMYFUNCTION("""COMPUTED_VALUE"""),1285.0)</f>
        <v>1285</v>
      </c>
      <c r="C166" s="2">
        <f>IFERROR(__xludf.DUMMYFUNCTION("""COMPUTED_VALUE"""),1295.0)</f>
        <v>1295</v>
      </c>
      <c r="D166" s="2">
        <f>IFERROR(__xludf.DUMMYFUNCTION("""COMPUTED_VALUE"""),1265.0)</f>
        <v>1265</v>
      </c>
      <c r="E166" s="2">
        <f>IFERROR(__xludf.DUMMYFUNCTION("""COMPUTED_VALUE"""),1290.0)</f>
        <v>1290</v>
      </c>
      <c r="F166" s="2">
        <f>IFERROR(__xludf.DUMMYFUNCTION("""COMPUTED_VALUE"""),8.42626E7)</f>
        <v>84262600</v>
      </c>
      <c r="G166" s="2">
        <f t="shared" si="1"/>
        <v>45</v>
      </c>
    </row>
    <row r="167" ht="15.75" customHeight="1">
      <c r="A167" s="1">
        <f>IFERROR(__xludf.DUMMYFUNCTION("""COMPUTED_VALUE"""),44081.66666666667)</f>
        <v>44081.66667</v>
      </c>
      <c r="B167" s="2">
        <f>IFERROR(__xludf.DUMMYFUNCTION("""COMPUTED_VALUE"""),1270.0)</f>
        <v>1270</v>
      </c>
      <c r="C167" s="2">
        <f>IFERROR(__xludf.DUMMYFUNCTION("""COMPUTED_VALUE"""),1275.0)</f>
        <v>1275</v>
      </c>
      <c r="D167" s="2">
        <f>IFERROR(__xludf.DUMMYFUNCTION("""COMPUTED_VALUE"""),1220.0)</f>
        <v>1220</v>
      </c>
      <c r="E167" s="2">
        <f>IFERROR(__xludf.DUMMYFUNCTION("""COMPUTED_VALUE"""),1230.0)</f>
        <v>1230</v>
      </c>
      <c r="F167" s="2">
        <f>IFERROR(__xludf.DUMMYFUNCTION("""COMPUTED_VALUE"""),1.513371E8)</f>
        <v>151337100</v>
      </c>
      <c r="G167" s="2">
        <f t="shared" si="1"/>
        <v>70</v>
      </c>
    </row>
    <row r="168" ht="15.75" customHeight="1">
      <c r="A168" s="1">
        <f>IFERROR(__xludf.DUMMYFUNCTION("""COMPUTED_VALUE"""),44082.66666666667)</f>
        <v>44082.66667</v>
      </c>
      <c r="B168" s="2">
        <f>IFERROR(__xludf.DUMMYFUNCTION("""COMPUTED_VALUE"""),1230.0)</f>
        <v>1230</v>
      </c>
      <c r="C168" s="2">
        <f>IFERROR(__xludf.DUMMYFUNCTION("""COMPUTED_VALUE"""),1240.0)</f>
        <v>1240</v>
      </c>
      <c r="D168" s="2">
        <f>IFERROR(__xludf.DUMMYFUNCTION("""COMPUTED_VALUE"""),1175.0)</f>
        <v>1175</v>
      </c>
      <c r="E168" s="2">
        <f>IFERROR(__xludf.DUMMYFUNCTION("""COMPUTED_VALUE"""),1180.0)</f>
        <v>1180</v>
      </c>
      <c r="F168" s="2">
        <f>IFERROR(__xludf.DUMMYFUNCTION("""COMPUTED_VALUE"""),2.038971E8)</f>
        <v>203897100</v>
      </c>
      <c r="G168" s="2">
        <f t="shared" si="1"/>
        <v>65</v>
      </c>
    </row>
    <row r="169" ht="15.75" customHeight="1">
      <c r="A169" s="1">
        <f>IFERROR(__xludf.DUMMYFUNCTION("""COMPUTED_VALUE"""),44083.66666666667)</f>
        <v>44083.66667</v>
      </c>
      <c r="B169" s="2">
        <f>IFERROR(__xludf.DUMMYFUNCTION("""COMPUTED_VALUE"""),1170.0)</f>
        <v>1170</v>
      </c>
      <c r="C169" s="2">
        <f>IFERROR(__xludf.DUMMYFUNCTION("""COMPUTED_VALUE"""),1170.0)</f>
        <v>1170</v>
      </c>
      <c r="D169" s="2">
        <f>IFERROR(__xludf.DUMMYFUNCTION("""COMPUTED_VALUE"""),1110.0)</f>
        <v>1110</v>
      </c>
      <c r="E169" s="2">
        <f>IFERROR(__xludf.DUMMYFUNCTION("""COMPUTED_VALUE"""),1120.0)</f>
        <v>1120</v>
      </c>
      <c r="F169" s="2">
        <f>IFERROR(__xludf.DUMMYFUNCTION("""COMPUTED_VALUE"""),2.088077E8)</f>
        <v>208807700</v>
      </c>
      <c r="G169" s="2">
        <f t="shared" si="1"/>
        <v>70</v>
      </c>
    </row>
    <row r="170" ht="15.75" customHeight="1">
      <c r="A170" s="1">
        <f>IFERROR(__xludf.DUMMYFUNCTION("""COMPUTED_VALUE"""),44084.66666666667)</f>
        <v>44084.66667</v>
      </c>
      <c r="B170" s="2">
        <f>IFERROR(__xludf.DUMMYFUNCTION("""COMPUTED_VALUE"""),1070.0)</f>
        <v>1070</v>
      </c>
      <c r="C170" s="2">
        <f>IFERROR(__xludf.DUMMYFUNCTION("""COMPUTED_VALUE"""),1080.0)</f>
        <v>1080</v>
      </c>
      <c r="D170" s="2">
        <f>IFERROR(__xludf.DUMMYFUNCTION("""COMPUTED_VALUE"""),1045.0)</f>
        <v>1045</v>
      </c>
      <c r="E170" s="2">
        <f>IFERROR(__xludf.DUMMYFUNCTION("""COMPUTED_VALUE"""),1045.0)</f>
        <v>1045</v>
      </c>
      <c r="F170" s="2">
        <f>IFERROR(__xludf.DUMMYFUNCTION("""COMPUTED_VALUE"""),1.237709E8)</f>
        <v>123770900</v>
      </c>
      <c r="G170" s="2">
        <f t="shared" si="1"/>
        <v>75</v>
      </c>
    </row>
    <row r="171" ht="15.75" customHeight="1">
      <c r="A171" s="1">
        <f>IFERROR(__xludf.DUMMYFUNCTION("""COMPUTED_VALUE"""),44085.66666666667)</f>
        <v>44085.66667</v>
      </c>
      <c r="B171" s="2">
        <f>IFERROR(__xludf.DUMMYFUNCTION("""COMPUTED_VALUE"""),1000.0)</f>
        <v>1000</v>
      </c>
      <c r="C171" s="2">
        <f>IFERROR(__xludf.DUMMYFUNCTION("""COMPUTED_VALUE"""),1120.0)</f>
        <v>1120</v>
      </c>
      <c r="D171" s="2">
        <f>IFERROR(__xludf.DUMMYFUNCTION("""COMPUTED_VALUE"""),995.0)</f>
        <v>995</v>
      </c>
      <c r="E171" s="2">
        <f>IFERROR(__xludf.DUMMYFUNCTION("""COMPUTED_VALUE"""),1105.0)</f>
        <v>1105</v>
      </c>
      <c r="F171" s="2">
        <f>IFERROR(__xludf.DUMMYFUNCTION("""COMPUTED_VALUE"""),2.304312E8)</f>
        <v>230431200</v>
      </c>
      <c r="G171" s="2">
        <f t="shared" si="1"/>
        <v>125</v>
      </c>
    </row>
    <row r="172" ht="15.75" customHeight="1">
      <c r="A172" s="1">
        <f>IFERROR(__xludf.DUMMYFUNCTION("""COMPUTED_VALUE"""),44088.66666666667)</f>
        <v>44088.66667</v>
      </c>
      <c r="B172" s="2">
        <f>IFERROR(__xludf.DUMMYFUNCTION("""COMPUTED_VALUE"""),1120.0)</f>
        <v>1120</v>
      </c>
      <c r="C172" s="2">
        <f>IFERROR(__xludf.DUMMYFUNCTION("""COMPUTED_VALUE"""),1150.0)</f>
        <v>1150</v>
      </c>
      <c r="D172" s="2">
        <f>IFERROR(__xludf.DUMMYFUNCTION("""COMPUTED_VALUE"""),1110.0)</f>
        <v>1110</v>
      </c>
      <c r="E172" s="2">
        <f>IFERROR(__xludf.DUMMYFUNCTION("""COMPUTED_VALUE"""),1145.0)</f>
        <v>1145</v>
      </c>
      <c r="F172" s="2">
        <f>IFERROR(__xludf.DUMMYFUNCTION("""COMPUTED_VALUE"""),1.076868E8)</f>
        <v>107686800</v>
      </c>
      <c r="G172" s="2">
        <f t="shared" si="1"/>
        <v>45</v>
      </c>
    </row>
    <row r="173" ht="15.75" customHeight="1">
      <c r="A173" s="1">
        <f>IFERROR(__xludf.DUMMYFUNCTION("""COMPUTED_VALUE"""),44089.66666666667)</f>
        <v>44089.66667</v>
      </c>
      <c r="B173" s="2">
        <f>IFERROR(__xludf.DUMMYFUNCTION("""COMPUTED_VALUE"""),1145.0)</f>
        <v>1145</v>
      </c>
      <c r="C173" s="2">
        <f>IFERROR(__xludf.DUMMYFUNCTION("""COMPUTED_VALUE"""),1155.0)</f>
        <v>1155</v>
      </c>
      <c r="D173" s="2">
        <f>IFERROR(__xludf.DUMMYFUNCTION("""COMPUTED_VALUE"""),1100.0)</f>
        <v>1100</v>
      </c>
      <c r="E173" s="2">
        <f>IFERROR(__xludf.DUMMYFUNCTION("""COMPUTED_VALUE"""),1105.0)</f>
        <v>1105</v>
      </c>
      <c r="F173" s="2">
        <f>IFERROR(__xludf.DUMMYFUNCTION("""COMPUTED_VALUE"""),1.31174E8)</f>
        <v>131174000</v>
      </c>
      <c r="G173" s="2">
        <f t="shared" si="1"/>
        <v>55</v>
      </c>
    </row>
    <row r="174" ht="15.75" customHeight="1">
      <c r="A174" s="1">
        <f>IFERROR(__xludf.DUMMYFUNCTION("""COMPUTED_VALUE"""),44090.66666666667)</f>
        <v>44090.66667</v>
      </c>
      <c r="B174" s="2">
        <f>IFERROR(__xludf.DUMMYFUNCTION("""COMPUTED_VALUE"""),1105.0)</f>
        <v>1105</v>
      </c>
      <c r="C174" s="2">
        <f>IFERROR(__xludf.DUMMYFUNCTION("""COMPUTED_VALUE"""),1120.0)</f>
        <v>1120</v>
      </c>
      <c r="D174" s="2">
        <f>IFERROR(__xludf.DUMMYFUNCTION("""COMPUTED_VALUE"""),1080.0)</f>
        <v>1080</v>
      </c>
      <c r="E174" s="2">
        <f>IFERROR(__xludf.DUMMYFUNCTION("""COMPUTED_VALUE"""),1085.0)</f>
        <v>1085</v>
      </c>
      <c r="F174" s="2">
        <f>IFERROR(__xludf.DUMMYFUNCTION("""COMPUTED_VALUE"""),5.47673E7)</f>
        <v>54767300</v>
      </c>
      <c r="G174" s="2">
        <f t="shared" si="1"/>
        <v>40</v>
      </c>
    </row>
    <row r="175" ht="15.75" customHeight="1">
      <c r="A175" s="1">
        <f>IFERROR(__xludf.DUMMYFUNCTION("""COMPUTED_VALUE"""),44091.66666666667)</f>
        <v>44091.66667</v>
      </c>
      <c r="B175" s="2">
        <f>IFERROR(__xludf.DUMMYFUNCTION("""COMPUTED_VALUE"""),1080.0)</f>
        <v>1080</v>
      </c>
      <c r="C175" s="2">
        <f>IFERROR(__xludf.DUMMYFUNCTION("""COMPUTED_VALUE"""),1100.0)</f>
        <v>1100</v>
      </c>
      <c r="D175" s="2">
        <f>IFERROR(__xludf.DUMMYFUNCTION("""COMPUTED_VALUE"""),1035.0)</f>
        <v>1035</v>
      </c>
      <c r="E175" s="2">
        <f>IFERROR(__xludf.DUMMYFUNCTION("""COMPUTED_VALUE"""),1050.0)</f>
        <v>1050</v>
      </c>
      <c r="F175" s="2">
        <f>IFERROR(__xludf.DUMMYFUNCTION("""COMPUTED_VALUE"""),9.70764E7)</f>
        <v>97076400</v>
      </c>
      <c r="G175" s="2">
        <f t="shared" si="1"/>
        <v>65</v>
      </c>
    </row>
    <row r="176" ht="15.75" customHeight="1">
      <c r="A176" s="1">
        <f>IFERROR(__xludf.DUMMYFUNCTION("""COMPUTED_VALUE"""),44092.66666666667)</f>
        <v>44092.66667</v>
      </c>
      <c r="B176" s="2">
        <f>IFERROR(__xludf.DUMMYFUNCTION("""COMPUTED_VALUE"""),1040.0)</f>
        <v>1040</v>
      </c>
      <c r="C176" s="2">
        <f>IFERROR(__xludf.DUMMYFUNCTION("""COMPUTED_VALUE"""),1080.0)</f>
        <v>1080</v>
      </c>
      <c r="D176" s="2">
        <f>IFERROR(__xludf.DUMMYFUNCTION("""COMPUTED_VALUE"""),1040.0)</f>
        <v>1040</v>
      </c>
      <c r="E176" s="2">
        <f>IFERROR(__xludf.DUMMYFUNCTION("""COMPUTED_VALUE"""),1040.0)</f>
        <v>1040</v>
      </c>
      <c r="F176" s="2">
        <f>IFERROR(__xludf.DUMMYFUNCTION("""COMPUTED_VALUE"""),1.127627E8)</f>
        <v>112762700</v>
      </c>
      <c r="G176" s="2">
        <f t="shared" si="1"/>
        <v>40</v>
      </c>
    </row>
    <row r="177" ht="15.75" customHeight="1">
      <c r="A177" s="1">
        <f>IFERROR(__xludf.DUMMYFUNCTION("""COMPUTED_VALUE"""),44095.66666666667)</f>
        <v>44095.66667</v>
      </c>
      <c r="B177" s="2">
        <f>IFERROR(__xludf.DUMMYFUNCTION("""COMPUTED_VALUE"""),1040.0)</f>
        <v>1040</v>
      </c>
      <c r="C177" s="2">
        <f>IFERROR(__xludf.DUMMYFUNCTION("""COMPUTED_VALUE"""),1060.0)</f>
        <v>1060</v>
      </c>
      <c r="D177" s="2">
        <f>IFERROR(__xludf.DUMMYFUNCTION("""COMPUTED_VALUE"""),1000.0)</f>
        <v>1000</v>
      </c>
      <c r="E177" s="2">
        <f>IFERROR(__xludf.DUMMYFUNCTION("""COMPUTED_VALUE"""),1010.0)</f>
        <v>1010</v>
      </c>
      <c r="F177" s="2">
        <f>IFERROR(__xludf.DUMMYFUNCTION("""COMPUTED_VALUE"""),7.96745E7)</f>
        <v>79674500</v>
      </c>
      <c r="G177" s="2">
        <f t="shared" si="1"/>
        <v>60</v>
      </c>
    </row>
    <row r="178" ht="15.75" customHeight="1">
      <c r="A178" s="1">
        <f>IFERROR(__xludf.DUMMYFUNCTION("""COMPUTED_VALUE"""),44096.66666666667)</f>
        <v>44096.66667</v>
      </c>
      <c r="B178" s="2">
        <f>IFERROR(__xludf.DUMMYFUNCTION("""COMPUTED_VALUE"""),990.0)</f>
        <v>990</v>
      </c>
      <c r="C178" s="2">
        <f>IFERROR(__xludf.DUMMYFUNCTION("""COMPUTED_VALUE"""),1040.0)</f>
        <v>1040</v>
      </c>
      <c r="D178" s="2">
        <f>IFERROR(__xludf.DUMMYFUNCTION("""COMPUTED_VALUE"""),980.0)</f>
        <v>980</v>
      </c>
      <c r="E178" s="2">
        <f>IFERROR(__xludf.DUMMYFUNCTION("""COMPUTED_VALUE"""),1020.0)</f>
        <v>1020</v>
      </c>
      <c r="F178" s="2">
        <f>IFERROR(__xludf.DUMMYFUNCTION("""COMPUTED_VALUE"""),1.168363E8)</f>
        <v>116836300</v>
      </c>
      <c r="G178" s="2">
        <f t="shared" si="1"/>
        <v>60</v>
      </c>
    </row>
    <row r="179" ht="15.75" customHeight="1">
      <c r="A179" s="1">
        <f>IFERROR(__xludf.DUMMYFUNCTION("""COMPUTED_VALUE"""),44097.66666666667)</f>
        <v>44097.66667</v>
      </c>
      <c r="B179" s="2">
        <f>IFERROR(__xludf.DUMMYFUNCTION("""COMPUTED_VALUE"""),1030.0)</f>
        <v>1030</v>
      </c>
      <c r="C179" s="2">
        <f>IFERROR(__xludf.DUMMYFUNCTION("""COMPUTED_VALUE"""),1045.0)</f>
        <v>1045</v>
      </c>
      <c r="D179" s="2">
        <f>IFERROR(__xludf.DUMMYFUNCTION("""COMPUTED_VALUE"""),980.0)</f>
        <v>980</v>
      </c>
      <c r="E179" s="2">
        <f>IFERROR(__xludf.DUMMYFUNCTION("""COMPUTED_VALUE"""),1005.0)</f>
        <v>1005</v>
      </c>
      <c r="F179" s="2">
        <f>IFERROR(__xludf.DUMMYFUNCTION("""COMPUTED_VALUE"""),1.334637E8)</f>
        <v>133463700</v>
      </c>
      <c r="G179" s="2">
        <f t="shared" si="1"/>
        <v>65</v>
      </c>
    </row>
    <row r="180" ht="15.75" customHeight="1">
      <c r="A180" s="1">
        <f>IFERROR(__xludf.DUMMYFUNCTION("""COMPUTED_VALUE"""),44098.66666666667)</f>
        <v>44098.66667</v>
      </c>
      <c r="B180" s="2">
        <f>IFERROR(__xludf.DUMMYFUNCTION("""COMPUTED_VALUE"""),985.0)</f>
        <v>985</v>
      </c>
      <c r="C180" s="2">
        <f>IFERROR(__xludf.DUMMYFUNCTION("""COMPUTED_VALUE"""),1000.0)</f>
        <v>1000</v>
      </c>
      <c r="D180" s="2">
        <f>IFERROR(__xludf.DUMMYFUNCTION("""COMPUTED_VALUE"""),955.0)</f>
        <v>955</v>
      </c>
      <c r="E180" s="2">
        <f>IFERROR(__xludf.DUMMYFUNCTION("""COMPUTED_VALUE"""),960.0)</f>
        <v>960</v>
      </c>
      <c r="F180" s="2">
        <f>IFERROR(__xludf.DUMMYFUNCTION("""COMPUTED_VALUE"""),1.339491E8)</f>
        <v>133949100</v>
      </c>
      <c r="G180" s="2">
        <f t="shared" si="1"/>
        <v>50</v>
      </c>
    </row>
    <row r="181" ht="15.75" customHeight="1">
      <c r="A181" s="1">
        <f>IFERROR(__xludf.DUMMYFUNCTION("""COMPUTED_VALUE"""),44099.66666666667)</f>
        <v>44099.66667</v>
      </c>
      <c r="B181" s="2">
        <f>IFERROR(__xludf.DUMMYFUNCTION("""COMPUTED_VALUE"""),965.0)</f>
        <v>965</v>
      </c>
      <c r="C181" s="2">
        <f>IFERROR(__xludf.DUMMYFUNCTION("""COMPUTED_VALUE"""),1000.0)</f>
        <v>1000</v>
      </c>
      <c r="D181" s="2">
        <f>IFERROR(__xludf.DUMMYFUNCTION("""COMPUTED_VALUE"""),960.0)</f>
        <v>960</v>
      </c>
      <c r="E181" s="2">
        <f>IFERROR(__xludf.DUMMYFUNCTION("""COMPUTED_VALUE"""),995.0)</f>
        <v>995</v>
      </c>
      <c r="F181" s="2">
        <f>IFERROR(__xludf.DUMMYFUNCTION("""COMPUTED_VALUE"""),1.381267E8)</f>
        <v>138126700</v>
      </c>
      <c r="G181" s="2">
        <f t="shared" si="1"/>
        <v>40</v>
      </c>
    </row>
    <row r="182" ht="15.75" customHeight="1">
      <c r="A182" s="1">
        <f>IFERROR(__xludf.DUMMYFUNCTION("""COMPUTED_VALUE"""),44102.66666666667)</f>
        <v>44102.66667</v>
      </c>
      <c r="B182" s="2">
        <f>IFERROR(__xludf.DUMMYFUNCTION("""COMPUTED_VALUE"""),1005.0)</f>
        <v>1005</v>
      </c>
      <c r="C182" s="2">
        <f>IFERROR(__xludf.DUMMYFUNCTION("""COMPUTED_VALUE"""),1015.0)</f>
        <v>1015</v>
      </c>
      <c r="D182" s="2">
        <f>IFERROR(__xludf.DUMMYFUNCTION("""COMPUTED_VALUE"""),965.0)</f>
        <v>965</v>
      </c>
      <c r="E182" s="2">
        <f>IFERROR(__xludf.DUMMYFUNCTION("""COMPUTED_VALUE"""),970.0)</f>
        <v>970</v>
      </c>
      <c r="F182" s="2">
        <f>IFERROR(__xludf.DUMMYFUNCTION("""COMPUTED_VALUE"""),9.85084E7)</f>
        <v>98508400</v>
      </c>
      <c r="G182" s="2">
        <f t="shared" si="1"/>
        <v>50</v>
      </c>
    </row>
    <row r="183" ht="15.75" customHeight="1">
      <c r="A183" s="1">
        <f>IFERROR(__xludf.DUMMYFUNCTION("""COMPUTED_VALUE"""),44103.66666666667)</f>
        <v>44103.66667</v>
      </c>
      <c r="B183" s="2">
        <f>IFERROR(__xludf.DUMMYFUNCTION("""COMPUTED_VALUE"""),975.0)</f>
        <v>975</v>
      </c>
      <c r="C183" s="2">
        <f>IFERROR(__xludf.DUMMYFUNCTION("""COMPUTED_VALUE"""),990.0)</f>
        <v>990</v>
      </c>
      <c r="D183" s="2">
        <f>IFERROR(__xludf.DUMMYFUNCTION("""COMPUTED_VALUE"""),950.0)</f>
        <v>950</v>
      </c>
      <c r="E183" s="2">
        <f>IFERROR(__xludf.DUMMYFUNCTION("""COMPUTED_VALUE"""),955.0)</f>
        <v>955</v>
      </c>
      <c r="F183" s="2">
        <f>IFERROR(__xludf.DUMMYFUNCTION("""COMPUTED_VALUE"""),9.67869E7)</f>
        <v>96786900</v>
      </c>
      <c r="G183" s="2">
        <f t="shared" si="1"/>
        <v>40</v>
      </c>
    </row>
    <row r="184" ht="15.75" customHeight="1">
      <c r="A184" s="1">
        <f>IFERROR(__xludf.DUMMYFUNCTION("""COMPUTED_VALUE"""),44104.66666666667)</f>
        <v>44104.66667</v>
      </c>
      <c r="B184" s="2">
        <f>IFERROR(__xludf.DUMMYFUNCTION("""COMPUTED_VALUE"""),950.0)</f>
        <v>950</v>
      </c>
      <c r="C184" s="2">
        <f>IFERROR(__xludf.DUMMYFUNCTION("""COMPUTED_VALUE"""),960.0)</f>
        <v>960</v>
      </c>
      <c r="D184" s="2">
        <f>IFERROR(__xludf.DUMMYFUNCTION("""COMPUTED_VALUE"""),905.0)</f>
        <v>905</v>
      </c>
      <c r="E184" s="2">
        <f>IFERROR(__xludf.DUMMYFUNCTION("""COMPUTED_VALUE"""),925.0)</f>
        <v>925</v>
      </c>
      <c r="F184" s="2">
        <f>IFERROR(__xludf.DUMMYFUNCTION("""COMPUTED_VALUE"""),1.397295E8)</f>
        <v>139729500</v>
      </c>
      <c r="G184" s="2">
        <f t="shared" si="1"/>
        <v>55</v>
      </c>
    </row>
    <row r="185" ht="15.75" customHeight="1">
      <c r="A185" s="1">
        <f>IFERROR(__xludf.DUMMYFUNCTION("""COMPUTED_VALUE"""),44105.66666666667)</f>
        <v>44105.66667</v>
      </c>
      <c r="B185" s="2">
        <f>IFERROR(__xludf.DUMMYFUNCTION("""COMPUTED_VALUE"""),935.0)</f>
        <v>935</v>
      </c>
      <c r="C185" s="2">
        <f>IFERROR(__xludf.DUMMYFUNCTION("""COMPUTED_VALUE"""),965.0)</f>
        <v>965</v>
      </c>
      <c r="D185" s="2">
        <f>IFERROR(__xludf.DUMMYFUNCTION("""COMPUTED_VALUE"""),925.0)</f>
        <v>925</v>
      </c>
      <c r="E185" s="2">
        <f>IFERROR(__xludf.DUMMYFUNCTION("""COMPUTED_VALUE"""),955.0)</f>
        <v>955</v>
      </c>
      <c r="F185" s="2">
        <f>IFERROR(__xludf.DUMMYFUNCTION("""COMPUTED_VALUE"""),1.356361E8)</f>
        <v>135636100</v>
      </c>
      <c r="G185" s="2">
        <f t="shared" si="1"/>
        <v>40</v>
      </c>
    </row>
    <row r="186" ht="15.75" customHeight="1">
      <c r="A186" s="1">
        <f>IFERROR(__xludf.DUMMYFUNCTION("""COMPUTED_VALUE"""),44106.66666666667)</f>
        <v>44106.66667</v>
      </c>
      <c r="B186" s="2">
        <f>IFERROR(__xludf.DUMMYFUNCTION("""COMPUTED_VALUE"""),955.0)</f>
        <v>955</v>
      </c>
      <c r="C186" s="2">
        <f>IFERROR(__xludf.DUMMYFUNCTION("""COMPUTED_VALUE"""),955.0)</f>
        <v>955</v>
      </c>
      <c r="D186" s="2">
        <f>IFERROR(__xludf.DUMMYFUNCTION("""COMPUTED_VALUE"""),900.0)</f>
        <v>900</v>
      </c>
      <c r="E186" s="2">
        <f>IFERROR(__xludf.DUMMYFUNCTION("""COMPUTED_VALUE"""),920.0)</f>
        <v>920</v>
      </c>
      <c r="F186" s="2">
        <f>IFERROR(__xludf.DUMMYFUNCTION("""COMPUTED_VALUE"""),2.023151E8)</f>
        <v>202315100</v>
      </c>
      <c r="G186" s="2">
        <f t="shared" si="1"/>
        <v>55</v>
      </c>
    </row>
    <row r="187" ht="15.75" customHeight="1">
      <c r="A187" s="1">
        <f>IFERROR(__xludf.DUMMYFUNCTION("""COMPUTED_VALUE"""),44109.66666666667)</f>
        <v>44109.66667</v>
      </c>
      <c r="B187" s="2">
        <f>IFERROR(__xludf.DUMMYFUNCTION("""COMPUTED_VALUE"""),930.0)</f>
        <v>930</v>
      </c>
      <c r="C187" s="2">
        <f>IFERROR(__xludf.DUMMYFUNCTION("""COMPUTED_VALUE"""),940.0)</f>
        <v>940</v>
      </c>
      <c r="D187" s="2">
        <f>IFERROR(__xludf.DUMMYFUNCTION("""COMPUTED_VALUE"""),920.0)</f>
        <v>920</v>
      </c>
      <c r="E187" s="2">
        <f>IFERROR(__xludf.DUMMYFUNCTION("""COMPUTED_VALUE"""),930.0)</f>
        <v>930</v>
      </c>
      <c r="F187" s="2">
        <f>IFERROR(__xludf.DUMMYFUNCTION("""COMPUTED_VALUE"""),7.32312E7)</f>
        <v>73231200</v>
      </c>
      <c r="G187" s="2">
        <f t="shared" si="1"/>
        <v>20</v>
      </c>
    </row>
    <row r="188" ht="15.75" customHeight="1">
      <c r="A188" s="1">
        <f>IFERROR(__xludf.DUMMYFUNCTION("""COMPUTED_VALUE"""),44110.66666666667)</f>
        <v>44110.66667</v>
      </c>
      <c r="B188" s="2">
        <f>IFERROR(__xludf.DUMMYFUNCTION("""COMPUTED_VALUE"""),940.0)</f>
        <v>940</v>
      </c>
      <c r="C188" s="2">
        <f>IFERROR(__xludf.DUMMYFUNCTION("""COMPUTED_VALUE"""),985.0)</f>
        <v>985</v>
      </c>
      <c r="D188" s="2">
        <f>IFERROR(__xludf.DUMMYFUNCTION("""COMPUTED_VALUE"""),940.0)</f>
        <v>940</v>
      </c>
      <c r="E188" s="2">
        <f>IFERROR(__xludf.DUMMYFUNCTION("""COMPUTED_VALUE"""),970.0)</f>
        <v>970</v>
      </c>
      <c r="F188" s="2">
        <f>IFERROR(__xludf.DUMMYFUNCTION("""COMPUTED_VALUE"""),1.881357E8)</f>
        <v>188135700</v>
      </c>
      <c r="G188" s="2">
        <f t="shared" si="1"/>
        <v>55</v>
      </c>
    </row>
    <row r="189" ht="15.75" customHeight="1">
      <c r="A189" s="1">
        <f>IFERROR(__xludf.DUMMYFUNCTION("""COMPUTED_VALUE"""),44111.66666666667)</f>
        <v>44111.66667</v>
      </c>
      <c r="B189" s="2">
        <f>IFERROR(__xludf.DUMMYFUNCTION("""COMPUTED_VALUE"""),960.0)</f>
        <v>960</v>
      </c>
      <c r="C189" s="2">
        <f>IFERROR(__xludf.DUMMYFUNCTION("""COMPUTED_VALUE"""),975.0)</f>
        <v>975</v>
      </c>
      <c r="D189" s="2">
        <f>IFERROR(__xludf.DUMMYFUNCTION("""COMPUTED_VALUE"""),955.0)</f>
        <v>955</v>
      </c>
      <c r="E189" s="2">
        <f>IFERROR(__xludf.DUMMYFUNCTION("""COMPUTED_VALUE"""),975.0)</f>
        <v>975</v>
      </c>
      <c r="F189" s="2">
        <f>IFERROR(__xludf.DUMMYFUNCTION("""COMPUTED_VALUE"""),1.115532E8)</f>
        <v>111553200</v>
      </c>
      <c r="G189" s="2">
        <f t="shared" si="1"/>
        <v>20</v>
      </c>
    </row>
    <row r="190" ht="15.75" customHeight="1">
      <c r="A190" s="1">
        <f>IFERROR(__xludf.DUMMYFUNCTION("""COMPUTED_VALUE"""),44112.66666666667)</f>
        <v>44112.66667</v>
      </c>
      <c r="B190" s="2">
        <f>IFERROR(__xludf.DUMMYFUNCTION("""COMPUTED_VALUE"""),985.0)</f>
        <v>985</v>
      </c>
      <c r="C190" s="2">
        <f>IFERROR(__xludf.DUMMYFUNCTION("""COMPUTED_VALUE"""),1005.0)</f>
        <v>1005</v>
      </c>
      <c r="D190" s="2">
        <f>IFERROR(__xludf.DUMMYFUNCTION("""COMPUTED_VALUE"""),975.0)</f>
        <v>975</v>
      </c>
      <c r="E190" s="2">
        <f>IFERROR(__xludf.DUMMYFUNCTION("""COMPUTED_VALUE"""),980.0)</f>
        <v>980</v>
      </c>
      <c r="F190" s="2">
        <f>IFERROR(__xludf.DUMMYFUNCTION("""COMPUTED_VALUE"""),2.139522E8)</f>
        <v>213952200</v>
      </c>
      <c r="G190" s="2">
        <f t="shared" si="1"/>
        <v>30</v>
      </c>
    </row>
    <row r="191" ht="15.75" customHeight="1">
      <c r="A191" s="1">
        <f>IFERROR(__xludf.DUMMYFUNCTION("""COMPUTED_VALUE"""),44113.66666666667)</f>
        <v>44113.66667</v>
      </c>
      <c r="B191" s="2">
        <f>IFERROR(__xludf.DUMMYFUNCTION("""COMPUTED_VALUE"""),980.0)</f>
        <v>980</v>
      </c>
      <c r="C191" s="2">
        <f>IFERROR(__xludf.DUMMYFUNCTION("""COMPUTED_VALUE"""),985.0)</f>
        <v>985</v>
      </c>
      <c r="D191" s="2">
        <f>IFERROR(__xludf.DUMMYFUNCTION("""COMPUTED_VALUE"""),970.0)</f>
        <v>970</v>
      </c>
      <c r="E191" s="2">
        <f>IFERROR(__xludf.DUMMYFUNCTION("""COMPUTED_VALUE"""),980.0)</f>
        <v>980</v>
      </c>
      <c r="F191" s="2">
        <f>IFERROR(__xludf.DUMMYFUNCTION("""COMPUTED_VALUE"""),6.01334E7)</f>
        <v>60133400</v>
      </c>
      <c r="G191" s="2">
        <f t="shared" si="1"/>
        <v>15</v>
      </c>
    </row>
    <row r="192" ht="15.75" customHeight="1">
      <c r="A192" s="1">
        <f>IFERROR(__xludf.DUMMYFUNCTION("""COMPUTED_VALUE"""),44116.66666666667)</f>
        <v>44116.66667</v>
      </c>
      <c r="B192" s="2">
        <f>IFERROR(__xludf.DUMMYFUNCTION("""COMPUTED_VALUE"""),995.0)</f>
        <v>995</v>
      </c>
      <c r="C192" s="2">
        <f>IFERROR(__xludf.DUMMYFUNCTION("""COMPUTED_VALUE"""),1005.0)</f>
        <v>1005</v>
      </c>
      <c r="D192" s="2">
        <f>IFERROR(__xludf.DUMMYFUNCTION("""COMPUTED_VALUE"""),985.0)</f>
        <v>985</v>
      </c>
      <c r="E192" s="2">
        <f>IFERROR(__xludf.DUMMYFUNCTION("""COMPUTED_VALUE"""),1000.0)</f>
        <v>1000</v>
      </c>
      <c r="F192" s="2">
        <f>IFERROR(__xludf.DUMMYFUNCTION("""COMPUTED_VALUE"""),1.53562E8)</f>
        <v>153562000</v>
      </c>
      <c r="G192" s="2">
        <f t="shared" si="1"/>
        <v>25</v>
      </c>
    </row>
    <row r="193" ht="15.75" customHeight="1">
      <c r="A193" s="1">
        <f>IFERROR(__xludf.DUMMYFUNCTION("""COMPUTED_VALUE"""),44117.66666666667)</f>
        <v>44117.66667</v>
      </c>
      <c r="B193" s="2">
        <f>IFERROR(__xludf.DUMMYFUNCTION("""COMPUTED_VALUE"""),1005.0)</f>
        <v>1005</v>
      </c>
      <c r="C193" s="2">
        <f>IFERROR(__xludf.DUMMYFUNCTION("""COMPUTED_VALUE"""),1050.0)</f>
        <v>1050</v>
      </c>
      <c r="D193" s="2">
        <f>IFERROR(__xludf.DUMMYFUNCTION("""COMPUTED_VALUE"""),990.0)</f>
        <v>990</v>
      </c>
      <c r="E193" s="2">
        <f>IFERROR(__xludf.DUMMYFUNCTION("""COMPUTED_VALUE"""),1035.0)</f>
        <v>1035</v>
      </c>
      <c r="F193" s="2">
        <f>IFERROR(__xludf.DUMMYFUNCTION("""COMPUTED_VALUE"""),2.080085E8)</f>
        <v>208008500</v>
      </c>
      <c r="G193" s="2">
        <f t="shared" si="1"/>
        <v>60</v>
      </c>
    </row>
    <row r="194" ht="15.75" customHeight="1">
      <c r="A194" s="1">
        <f>IFERROR(__xludf.DUMMYFUNCTION("""COMPUTED_VALUE"""),44118.66666666667)</f>
        <v>44118.66667</v>
      </c>
      <c r="B194" s="2">
        <f>IFERROR(__xludf.DUMMYFUNCTION("""COMPUTED_VALUE"""),1035.0)</f>
        <v>1035</v>
      </c>
      <c r="C194" s="2">
        <f>IFERROR(__xludf.DUMMYFUNCTION("""COMPUTED_VALUE"""),1080.0)</f>
        <v>1080</v>
      </c>
      <c r="D194" s="2">
        <f>IFERROR(__xludf.DUMMYFUNCTION("""COMPUTED_VALUE"""),1030.0)</f>
        <v>1030</v>
      </c>
      <c r="E194" s="2">
        <f>IFERROR(__xludf.DUMMYFUNCTION("""COMPUTED_VALUE"""),1065.0)</f>
        <v>1065</v>
      </c>
      <c r="F194" s="2">
        <f>IFERROR(__xludf.DUMMYFUNCTION("""COMPUTED_VALUE"""),1.865768E8)</f>
        <v>186576800</v>
      </c>
      <c r="G194" s="2">
        <f t="shared" si="1"/>
        <v>50</v>
      </c>
    </row>
    <row r="195" ht="15.75" customHeight="1">
      <c r="A195" s="1">
        <f>IFERROR(__xludf.DUMMYFUNCTION("""COMPUTED_VALUE"""),44119.66666666667)</f>
        <v>44119.66667</v>
      </c>
      <c r="B195" s="2">
        <f>IFERROR(__xludf.DUMMYFUNCTION("""COMPUTED_VALUE"""),1065.0)</f>
        <v>1065</v>
      </c>
      <c r="C195" s="2">
        <f>IFERROR(__xludf.DUMMYFUNCTION("""COMPUTED_VALUE"""),1090.0)</f>
        <v>1090</v>
      </c>
      <c r="D195" s="2">
        <f>IFERROR(__xludf.DUMMYFUNCTION("""COMPUTED_VALUE"""),1030.0)</f>
        <v>1030</v>
      </c>
      <c r="E195" s="2">
        <f>IFERROR(__xludf.DUMMYFUNCTION("""COMPUTED_VALUE"""),1035.0)</f>
        <v>1035</v>
      </c>
      <c r="F195" s="2">
        <f>IFERROR(__xludf.DUMMYFUNCTION("""COMPUTED_VALUE"""),1.599654E8)</f>
        <v>159965400</v>
      </c>
      <c r="G195" s="2">
        <f t="shared" si="1"/>
        <v>60</v>
      </c>
    </row>
    <row r="196" ht="15.75" customHeight="1">
      <c r="A196" s="1">
        <f>IFERROR(__xludf.DUMMYFUNCTION("""COMPUTED_VALUE"""),44120.66666666667)</f>
        <v>44120.66667</v>
      </c>
      <c r="B196" s="2">
        <f>IFERROR(__xludf.DUMMYFUNCTION("""COMPUTED_VALUE"""),1040.0)</f>
        <v>1040</v>
      </c>
      <c r="C196" s="2">
        <f>IFERROR(__xludf.DUMMYFUNCTION("""COMPUTED_VALUE"""),1050.0)</f>
        <v>1050</v>
      </c>
      <c r="D196" s="2">
        <f>IFERROR(__xludf.DUMMYFUNCTION("""COMPUTED_VALUE"""),1020.0)</f>
        <v>1020</v>
      </c>
      <c r="E196" s="2">
        <f>IFERROR(__xludf.DUMMYFUNCTION("""COMPUTED_VALUE"""),1030.0)</f>
        <v>1030</v>
      </c>
      <c r="F196" s="2">
        <f>IFERROR(__xludf.DUMMYFUNCTION("""COMPUTED_VALUE"""),8.65526E7)</f>
        <v>86552600</v>
      </c>
      <c r="G196" s="2">
        <f t="shared" si="1"/>
        <v>30</v>
      </c>
    </row>
    <row r="197" ht="15.75" customHeight="1">
      <c r="A197" s="1">
        <f>IFERROR(__xludf.DUMMYFUNCTION("""COMPUTED_VALUE"""),44123.66666666667)</f>
        <v>44123.66667</v>
      </c>
      <c r="B197" s="2">
        <f>IFERROR(__xludf.DUMMYFUNCTION("""COMPUTED_VALUE"""),1040.0)</f>
        <v>1040</v>
      </c>
      <c r="C197" s="2">
        <f>IFERROR(__xludf.DUMMYFUNCTION("""COMPUTED_VALUE"""),1065.0)</f>
        <v>1065</v>
      </c>
      <c r="D197" s="2">
        <f>IFERROR(__xludf.DUMMYFUNCTION("""COMPUTED_VALUE"""),1035.0)</f>
        <v>1035</v>
      </c>
      <c r="E197" s="2">
        <f>IFERROR(__xludf.DUMMYFUNCTION("""COMPUTED_VALUE"""),1065.0)</f>
        <v>1065</v>
      </c>
      <c r="F197" s="2">
        <f>IFERROR(__xludf.DUMMYFUNCTION("""COMPUTED_VALUE"""),9.65835E7)</f>
        <v>96583500</v>
      </c>
      <c r="G197" s="2">
        <f t="shared" si="1"/>
        <v>35</v>
      </c>
    </row>
    <row r="198" ht="15.75" customHeight="1">
      <c r="A198" s="1">
        <f>IFERROR(__xludf.DUMMYFUNCTION("""COMPUTED_VALUE"""),44124.66666666667)</f>
        <v>44124.66667</v>
      </c>
      <c r="B198" s="2">
        <f>IFERROR(__xludf.DUMMYFUNCTION("""COMPUTED_VALUE"""),1065.0)</f>
        <v>1065</v>
      </c>
      <c r="C198" s="2">
        <f>IFERROR(__xludf.DUMMYFUNCTION("""COMPUTED_VALUE"""),1080.0)</f>
        <v>1080</v>
      </c>
      <c r="D198" s="2">
        <f>IFERROR(__xludf.DUMMYFUNCTION("""COMPUTED_VALUE"""),1045.0)</f>
        <v>1045</v>
      </c>
      <c r="E198" s="2">
        <f>IFERROR(__xludf.DUMMYFUNCTION("""COMPUTED_VALUE"""),1045.0)</f>
        <v>1045</v>
      </c>
      <c r="F198" s="2">
        <f>IFERROR(__xludf.DUMMYFUNCTION("""COMPUTED_VALUE"""),1.232542E8)</f>
        <v>123254200</v>
      </c>
      <c r="G198" s="2">
        <f t="shared" si="1"/>
        <v>35</v>
      </c>
    </row>
    <row r="199" ht="15.75" customHeight="1">
      <c r="A199" s="1">
        <f>IFERROR(__xludf.DUMMYFUNCTION("""COMPUTED_VALUE"""),44125.66666666667)</f>
        <v>44125.66667</v>
      </c>
      <c r="B199" s="2">
        <f>IFERROR(__xludf.DUMMYFUNCTION("""COMPUTED_VALUE"""),1055.0)</f>
        <v>1055</v>
      </c>
      <c r="C199" s="2">
        <f>IFERROR(__xludf.DUMMYFUNCTION("""COMPUTED_VALUE"""),1070.0)</f>
        <v>1070</v>
      </c>
      <c r="D199" s="2">
        <f>IFERROR(__xludf.DUMMYFUNCTION("""COMPUTED_VALUE"""),1050.0)</f>
        <v>1050</v>
      </c>
      <c r="E199" s="2">
        <f>IFERROR(__xludf.DUMMYFUNCTION("""COMPUTED_VALUE"""),1060.0)</f>
        <v>1060</v>
      </c>
      <c r="F199" s="2">
        <f>IFERROR(__xludf.DUMMYFUNCTION("""COMPUTED_VALUE"""),7.61968E7)</f>
        <v>76196800</v>
      </c>
      <c r="G199" s="2">
        <f t="shared" si="1"/>
        <v>25</v>
      </c>
    </row>
    <row r="200" ht="15.75" customHeight="1">
      <c r="A200" s="1">
        <f>IFERROR(__xludf.DUMMYFUNCTION("""COMPUTED_VALUE"""),44126.66666666667)</f>
        <v>44126.66667</v>
      </c>
      <c r="B200" s="2">
        <f>IFERROR(__xludf.DUMMYFUNCTION("""COMPUTED_VALUE"""),1055.0)</f>
        <v>1055</v>
      </c>
      <c r="C200" s="2">
        <f>IFERROR(__xludf.DUMMYFUNCTION("""COMPUTED_VALUE"""),1090.0)</f>
        <v>1090</v>
      </c>
      <c r="D200" s="2">
        <f>IFERROR(__xludf.DUMMYFUNCTION("""COMPUTED_VALUE"""),1040.0)</f>
        <v>1040</v>
      </c>
      <c r="E200" s="2">
        <f>IFERROR(__xludf.DUMMYFUNCTION("""COMPUTED_VALUE"""),1060.0)</f>
        <v>1060</v>
      </c>
      <c r="F200" s="2">
        <f>IFERROR(__xludf.DUMMYFUNCTION("""COMPUTED_VALUE"""),2.017414E8)</f>
        <v>201741400</v>
      </c>
      <c r="G200" s="2">
        <f t="shared" si="1"/>
        <v>50</v>
      </c>
    </row>
    <row r="201" ht="15.75" customHeight="1">
      <c r="A201" s="1">
        <f>IFERROR(__xludf.DUMMYFUNCTION("""COMPUTED_VALUE"""),44127.66666666667)</f>
        <v>44127.66667</v>
      </c>
      <c r="B201" s="2">
        <f>IFERROR(__xludf.DUMMYFUNCTION("""COMPUTED_VALUE"""),1070.0)</f>
        <v>1070</v>
      </c>
      <c r="C201" s="2">
        <f>IFERROR(__xludf.DUMMYFUNCTION("""COMPUTED_VALUE"""),1075.0)</f>
        <v>1075</v>
      </c>
      <c r="D201" s="2">
        <f>IFERROR(__xludf.DUMMYFUNCTION("""COMPUTED_VALUE"""),1055.0)</f>
        <v>1055</v>
      </c>
      <c r="E201" s="2">
        <f>IFERROR(__xludf.DUMMYFUNCTION("""COMPUTED_VALUE"""),1065.0)</f>
        <v>1065</v>
      </c>
      <c r="F201" s="2">
        <f>IFERROR(__xludf.DUMMYFUNCTION("""COMPUTED_VALUE"""),6.45363E7)</f>
        <v>64536300</v>
      </c>
      <c r="G201" s="2">
        <f t="shared" si="1"/>
        <v>20</v>
      </c>
    </row>
    <row r="202" ht="15.75" customHeight="1">
      <c r="A202" s="1">
        <f>IFERROR(__xludf.DUMMYFUNCTION("""COMPUTED_VALUE"""),44130.66666666667)</f>
        <v>44130.66667</v>
      </c>
      <c r="B202" s="2">
        <f>IFERROR(__xludf.DUMMYFUNCTION("""COMPUTED_VALUE"""),1065.0)</f>
        <v>1065</v>
      </c>
      <c r="C202" s="2">
        <f>IFERROR(__xludf.DUMMYFUNCTION("""COMPUTED_VALUE"""),1105.0)</f>
        <v>1105</v>
      </c>
      <c r="D202" s="2">
        <f>IFERROR(__xludf.DUMMYFUNCTION("""COMPUTED_VALUE"""),1065.0)</f>
        <v>1065</v>
      </c>
      <c r="E202" s="2">
        <f>IFERROR(__xludf.DUMMYFUNCTION("""COMPUTED_VALUE"""),1105.0)</f>
        <v>1105</v>
      </c>
      <c r="F202" s="2">
        <f>IFERROR(__xludf.DUMMYFUNCTION("""COMPUTED_VALUE"""),1.871089E8)</f>
        <v>187108900</v>
      </c>
      <c r="G202" s="2">
        <f t="shared" si="1"/>
        <v>40</v>
      </c>
    </row>
    <row r="203" ht="15.75" customHeight="1">
      <c r="A203" s="1">
        <f>IFERROR(__xludf.DUMMYFUNCTION("""COMPUTED_VALUE"""),44131.66666666667)</f>
        <v>44131.66667</v>
      </c>
      <c r="B203" s="2">
        <f>IFERROR(__xludf.DUMMYFUNCTION("""COMPUTED_VALUE"""),1105.0)</f>
        <v>1105</v>
      </c>
      <c r="C203" s="2">
        <f>IFERROR(__xludf.DUMMYFUNCTION("""COMPUTED_VALUE"""),1115.0)</f>
        <v>1115</v>
      </c>
      <c r="D203" s="2">
        <f>IFERROR(__xludf.DUMMYFUNCTION("""COMPUTED_VALUE"""),1075.0)</f>
        <v>1075</v>
      </c>
      <c r="E203" s="2">
        <f>IFERROR(__xludf.DUMMYFUNCTION("""COMPUTED_VALUE"""),1075.0)</f>
        <v>1075</v>
      </c>
      <c r="F203" s="2">
        <f>IFERROR(__xludf.DUMMYFUNCTION("""COMPUTED_VALUE"""),1.583928E8)</f>
        <v>158392800</v>
      </c>
      <c r="G203" s="2">
        <f t="shared" si="1"/>
        <v>40</v>
      </c>
    </row>
    <row r="204" ht="15.75" customHeight="1">
      <c r="A204" s="1">
        <f>IFERROR(__xludf.DUMMYFUNCTION("""COMPUTED_VALUE"""),44137.66666666667)</f>
        <v>44137.66667</v>
      </c>
      <c r="B204" s="2">
        <f>IFERROR(__xludf.DUMMYFUNCTION("""COMPUTED_VALUE"""),1050.0)</f>
        <v>1050</v>
      </c>
      <c r="C204" s="2">
        <f>IFERROR(__xludf.DUMMYFUNCTION("""COMPUTED_VALUE"""),1070.0)</f>
        <v>1070</v>
      </c>
      <c r="D204" s="2">
        <f>IFERROR(__xludf.DUMMYFUNCTION("""COMPUTED_VALUE"""),1045.0)</f>
        <v>1045</v>
      </c>
      <c r="E204" s="2">
        <f>IFERROR(__xludf.DUMMYFUNCTION("""COMPUTED_VALUE"""),1060.0)</f>
        <v>1060</v>
      </c>
      <c r="F204" s="2">
        <f>IFERROR(__xludf.DUMMYFUNCTION("""COMPUTED_VALUE"""),9.4255E7)</f>
        <v>94255000</v>
      </c>
      <c r="G204" s="2">
        <f t="shared" si="1"/>
        <v>30</v>
      </c>
    </row>
    <row r="205" ht="15.75" customHeight="1">
      <c r="A205" s="1">
        <f>IFERROR(__xludf.DUMMYFUNCTION("""COMPUTED_VALUE"""),44138.66666666667)</f>
        <v>44138.66667</v>
      </c>
      <c r="B205" s="2">
        <f>IFERROR(__xludf.DUMMYFUNCTION("""COMPUTED_VALUE"""),1075.0)</f>
        <v>1075</v>
      </c>
      <c r="C205" s="2">
        <f>IFERROR(__xludf.DUMMYFUNCTION("""COMPUTED_VALUE"""),1085.0)</f>
        <v>1085</v>
      </c>
      <c r="D205" s="2">
        <f>IFERROR(__xludf.DUMMYFUNCTION("""COMPUTED_VALUE"""),1060.0)</f>
        <v>1060</v>
      </c>
      <c r="E205" s="2">
        <f>IFERROR(__xludf.DUMMYFUNCTION("""COMPUTED_VALUE"""),1075.0)</f>
        <v>1075</v>
      </c>
      <c r="F205" s="2">
        <f>IFERROR(__xludf.DUMMYFUNCTION("""COMPUTED_VALUE"""),8.09322E7)</f>
        <v>80932200</v>
      </c>
      <c r="G205" s="2">
        <f t="shared" si="1"/>
        <v>25</v>
      </c>
    </row>
    <row r="206" ht="15.75" customHeight="1">
      <c r="A206" s="1">
        <f>IFERROR(__xludf.DUMMYFUNCTION("""COMPUTED_VALUE"""),44139.66666666667)</f>
        <v>44139.66667</v>
      </c>
      <c r="B206" s="2">
        <f>IFERROR(__xludf.DUMMYFUNCTION("""COMPUTED_VALUE"""),1085.0)</f>
        <v>1085</v>
      </c>
      <c r="C206" s="2">
        <f>IFERROR(__xludf.DUMMYFUNCTION("""COMPUTED_VALUE"""),1090.0)</f>
        <v>1090</v>
      </c>
      <c r="D206" s="2">
        <f>IFERROR(__xludf.DUMMYFUNCTION("""COMPUTED_VALUE"""),1050.0)</f>
        <v>1050</v>
      </c>
      <c r="E206" s="2">
        <f>IFERROR(__xludf.DUMMYFUNCTION("""COMPUTED_VALUE"""),1050.0)</f>
        <v>1050</v>
      </c>
      <c r="F206" s="2">
        <f>IFERROR(__xludf.DUMMYFUNCTION("""COMPUTED_VALUE"""),7.17553E7)</f>
        <v>71755300</v>
      </c>
      <c r="G206" s="2">
        <f t="shared" si="1"/>
        <v>40</v>
      </c>
    </row>
    <row r="207" ht="15.75" customHeight="1">
      <c r="A207" s="1">
        <f>IFERROR(__xludf.DUMMYFUNCTION("""COMPUTED_VALUE"""),44140.66666666667)</f>
        <v>44140.66667</v>
      </c>
      <c r="B207" s="2">
        <f>IFERROR(__xludf.DUMMYFUNCTION("""COMPUTED_VALUE"""),1065.0)</f>
        <v>1065</v>
      </c>
      <c r="C207" s="2">
        <f>IFERROR(__xludf.DUMMYFUNCTION("""COMPUTED_VALUE"""),1085.0)</f>
        <v>1085</v>
      </c>
      <c r="D207" s="2">
        <f>IFERROR(__xludf.DUMMYFUNCTION("""COMPUTED_VALUE"""),1065.0)</f>
        <v>1065</v>
      </c>
      <c r="E207" s="2">
        <f>IFERROR(__xludf.DUMMYFUNCTION("""COMPUTED_VALUE"""),1080.0)</f>
        <v>1080</v>
      </c>
      <c r="F207" s="2">
        <f>IFERROR(__xludf.DUMMYFUNCTION("""COMPUTED_VALUE"""),6.29484E7)</f>
        <v>62948400</v>
      </c>
      <c r="G207" s="2">
        <f t="shared" si="1"/>
        <v>35</v>
      </c>
    </row>
    <row r="208" ht="15.75" customHeight="1">
      <c r="A208" s="1">
        <f>IFERROR(__xludf.DUMMYFUNCTION("""COMPUTED_VALUE"""),44141.66666666667)</f>
        <v>44141.66667</v>
      </c>
      <c r="B208" s="2">
        <f>IFERROR(__xludf.DUMMYFUNCTION("""COMPUTED_VALUE"""),1090.0)</f>
        <v>1090</v>
      </c>
      <c r="C208" s="2">
        <f>IFERROR(__xludf.DUMMYFUNCTION("""COMPUTED_VALUE"""),1110.0)</f>
        <v>1110</v>
      </c>
      <c r="D208" s="2">
        <f>IFERROR(__xludf.DUMMYFUNCTION("""COMPUTED_VALUE"""),1070.0)</f>
        <v>1070</v>
      </c>
      <c r="E208" s="2">
        <f>IFERROR(__xludf.DUMMYFUNCTION("""COMPUTED_VALUE"""),1100.0)</f>
        <v>1100</v>
      </c>
      <c r="F208" s="2">
        <f>IFERROR(__xludf.DUMMYFUNCTION("""COMPUTED_VALUE"""),1.242211E8)</f>
        <v>124221100</v>
      </c>
      <c r="G208" s="2">
        <f t="shared" si="1"/>
        <v>40</v>
      </c>
    </row>
    <row r="209" ht="15.75" customHeight="1">
      <c r="A209" s="1">
        <f>IFERROR(__xludf.DUMMYFUNCTION("""COMPUTED_VALUE"""),44144.66666666667)</f>
        <v>44144.66667</v>
      </c>
      <c r="B209" s="2">
        <f>IFERROR(__xludf.DUMMYFUNCTION("""COMPUTED_VALUE"""),1115.0)</f>
        <v>1115</v>
      </c>
      <c r="C209" s="2">
        <f>IFERROR(__xludf.DUMMYFUNCTION("""COMPUTED_VALUE"""),1125.0)</f>
        <v>1125</v>
      </c>
      <c r="D209" s="2">
        <f>IFERROR(__xludf.DUMMYFUNCTION("""COMPUTED_VALUE"""),1100.0)</f>
        <v>1100</v>
      </c>
      <c r="E209" s="2">
        <f>IFERROR(__xludf.DUMMYFUNCTION("""COMPUTED_VALUE"""),1125.0)</f>
        <v>1125</v>
      </c>
      <c r="F209" s="2">
        <f>IFERROR(__xludf.DUMMYFUNCTION("""COMPUTED_VALUE"""),1.286888E8)</f>
        <v>128688800</v>
      </c>
      <c r="G209" s="2">
        <f t="shared" si="1"/>
        <v>25</v>
      </c>
    </row>
    <row r="210" ht="15.75" customHeight="1">
      <c r="A210" s="1">
        <f>IFERROR(__xludf.DUMMYFUNCTION("""COMPUTED_VALUE"""),44145.66666666667)</f>
        <v>44145.66667</v>
      </c>
      <c r="B210" s="2">
        <f>IFERROR(__xludf.DUMMYFUNCTION("""COMPUTED_VALUE"""),1160.0)</f>
        <v>1160</v>
      </c>
      <c r="C210" s="2">
        <f>IFERROR(__xludf.DUMMYFUNCTION("""COMPUTED_VALUE"""),1190.0)</f>
        <v>1190</v>
      </c>
      <c r="D210" s="2">
        <f>IFERROR(__xludf.DUMMYFUNCTION("""COMPUTED_VALUE"""),1140.0)</f>
        <v>1140</v>
      </c>
      <c r="E210" s="2">
        <f>IFERROR(__xludf.DUMMYFUNCTION("""COMPUTED_VALUE"""),1175.0)</f>
        <v>1175</v>
      </c>
      <c r="F210" s="2">
        <f>IFERROR(__xludf.DUMMYFUNCTION("""COMPUTED_VALUE"""),2.397575E8)</f>
        <v>239757500</v>
      </c>
      <c r="G210" s="2">
        <f t="shared" si="1"/>
        <v>65</v>
      </c>
    </row>
    <row r="211" ht="15.75" customHeight="1">
      <c r="A211" s="1">
        <f>IFERROR(__xludf.DUMMYFUNCTION("""COMPUTED_VALUE"""),44146.66666666667)</f>
        <v>44146.66667</v>
      </c>
      <c r="B211" s="2">
        <f>IFERROR(__xludf.DUMMYFUNCTION("""COMPUTED_VALUE"""),1180.0)</f>
        <v>1180</v>
      </c>
      <c r="C211" s="2">
        <f>IFERROR(__xludf.DUMMYFUNCTION("""COMPUTED_VALUE"""),1230.0)</f>
        <v>1230</v>
      </c>
      <c r="D211" s="2">
        <f>IFERROR(__xludf.DUMMYFUNCTION("""COMPUTED_VALUE"""),1170.0)</f>
        <v>1170</v>
      </c>
      <c r="E211" s="2">
        <f>IFERROR(__xludf.DUMMYFUNCTION("""COMPUTED_VALUE"""),1205.0)</f>
        <v>1205</v>
      </c>
      <c r="F211" s="2">
        <f>IFERROR(__xludf.DUMMYFUNCTION("""COMPUTED_VALUE"""),2.177714E8)</f>
        <v>217771400</v>
      </c>
      <c r="G211" s="2">
        <f t="shared" si="1"/>
        <v>60</v>
      </c>
    </row>
    <row r="212" ht="15.75" customHeight="1">
      <c r="A212" s="1">
        <f>IFERROR(__xludf.DUMMYFUNCTION("""COMPUTED_VALUE"""),44147.66666666667)</f>
        <v>44147.66667</v>
      </c>
      <c r="B212" s="2">
        <f>IFERROR(__xludf.DUMMYFUNCTION("""COMPUTED_VALUE"""),1205.0)</f>
        <v>1205</v>
      </c>
      <c r="C212" s="2">
        <f>IFERROR(__xludf.DUMMYFUNCTION("""COMPUTED_VALUE"""),1210.0)</f>
        <v>1210</v>
      </c>
      <c r="D212" s="2">
        <f>IFERROR(__xludf.DUMMYFUNCTION("""COMPUTED_VALUE"""),1165.0)</f>
        <v>1165</v>
      </c>
      <c r="E212" s="2">
        <f>IFERROR(__xludf.DUMMYFUNCTION("""COMPUTED_VALUE"""),1175.0)</f>
        <v>1175</v>
      </c>
      <c r="F212" s="2">
        <f>IFERROR(__xludf.DUMMYFUNCTION("""COMPUTED_VALUE"""),1.177183E8)</f>
        <v>117718300</v>
      </c>
      <c r="G212" s="2">
        <f t="shared" si="1"/>
        <v>45</v>
      </c>
    </row>
    <row r="213" ht="15.75" customHeight="1">
      <c r="A213" s="1">
        <f>IFERROR(__xludf.DUMMYFUNCTION("""COMPUTED_VALUE"""),44148.66666666667)</f>
        <v>44148.66667</v>
      </c>
      <c r="B213" s="2">
        <f>IFERROR(__xludf.DUMMYFUNCTION("""COMPUTED_VALUE"""),1165.0)</f>
        <v>1165</v>
      </c>
      <c r="C213" s="2">
        <f>IFERROR(__xludf.DUMMYFUNCTION("""COMPUTED_VALUE"""),1185.0)</f>
        <v>1185</v>
      </c>
      <c r="D213" s="2">
        <f>IFERROR(__xludf.DUMMYFUNCTION("""COMPUTED_VALUE"""),1160.0)</f>
        <v>1160</v>
      </c>
      <c r="E213" s="2">
        <f>IFERROR(__xludf.DUMMYFUNCTION("""COMPUTED_VALUE"""),1180.0)</f>
        <v>1180</v>
      </c>
      <c r="F213" s="2">
        <f>IFERROR(__xludf.DUMMYFUNCTION("""COMPUTED_VALUE"""),7.35503E7)</f>
        <v>73550300</v>
      </c>
      <c r="G213" s="2">
        <f t="shared" si="1"/>
        <v>25</v>
      </c>
    </row>
    <row r="214" ht="15.75" customHeight="1">
      <c r="A214" s="1">
        <f>IFERROR(__xludf.DUMMYFUNCTION("""COMPUTED_VALUE"""),44151.66666666667)</f>
        <v>44151.66667</v>
      </c>
      <c r="B214" s="2">
        <f>IFERROR(__xludf.DUMMYFUNCTION("""COMPUTED_VALUE"""),1190.0)</f>
        <v>1190</v>
      </c>
      <c r="C214" s="2">
        <f>IFERROR(__xludf.DUMMYFUNCTION("""COMPUTED_VALUE"""),1220.0)</f>
        <v>1220</v>
      </c>
      <c r="D214" s="2">
        <f>IFERROR(__xludf.DUMMYFUNCTION("""COMPUTED_VALUE"""),1190.0)</f>
        <v>1190</v>
      </c>
      <c r="E214" s="2">
        <f>IFERROR(__xludf.DUMMYFUNCTION("""COMPUTED_VALUE"""),1215.0)</f>
        <v>1215</v>
      </c>
      <c r="F214" s="2">
        <f>IFERROR(__xludf.DUMMYFUNCTION("""COMPUTED_VALUE"""),1.178885E8)</f>
        <v>117888500</v>
      </c>
      <c r="G214" s="2">
        <f t="shared" si="1"/>
        <v>40</v>
      </c>
    </row>
    <row r="215" ht="15.75" customHeight="1">
      <c r="A215" s="1">
        <f>IFERROR(__xludf.DUMMYFUNCTION("""COMPUTED_VALUE"""),44152.66666666667)</f>
        <v>44152.66667</v>
      </c>
      <c r="B215" s="2">
        <f>IFERROR(__xludf.DUMMYFUNCTION("""COMPUTED_VALUE"""),1235.0)</f>
        <v>1235</v>
      </c>
      <c r="C215" s="2">
        <f>IFERROR(__xludf.DUMMYFUNCTION("""COMPUTED_VALUE"""),1285.0)</f>
        <v>1285</v>
      </c>
      <c r="D215" s="2">
        <f>IFERROR(__xludf.DUMMYFUNCTION("""COMPUTED_VALUE"""),1225.0)</f>
        <v>1225</v>
      </c>
      <c r="E215" s="2">
        <f>IFERROR(__xludf.DUMMYFUNCTION("""COMPUTED_VALUE"""),1270.0)</f>
        <v>1270</v>
      </c>
      <c r="F215" s="2">
        <f>IFERROR(__xludf.DUMMYFUNCTION("""COMPUTED_VALUE"""),2.739059E8)</f>
        <v>273905900</v>
      </c>
      <c r="G215" s="2">
        <f t="shared" si="1"/>
        <v>70</v>
      </c>
    </row>
    <row r="216" ht="15.75" customHeight="1">
      <c r="A216" s="1">
        <f>IFERROR(__xludf.DUMMYFUNCTION("""COMPUTED_VALUE"""),44153.66666666667)</f>
        <v>44153.66667</v>
      </c>
      <c r="B216" s="2">
        <f>IFERROR(__xludf.DUMMYFUNCTION("""COMPUTED_VALUE"""),1280.0)</f>
        <v>1280</v>
      </c>
      <c r="C216" s="2">
        <f>IFERROR(__xludf.DUMMYFUNCTION("""COMPUTED_VALUE"""),1370.0)</f>
        <v>1370</v>
      </c>
      <c r="D216" s="2">
        <f>IFERROR(__xludf.DUMMYFUNCTION("""COMPUTED_VALUE"""),1275.0)</f>
        <v>1275</v>
      </c>
      <c r="E216" s="2">
        <f>IFERROR(__xludf.DUMMYFUNCTION("""COMPUTED_VALUE"""),1365.0)</f>
        <v>1365</v>
      </c>
      <c r="F216" s="2">
        <f>IFERROR(__xludf.DUMMYFUNCTION("""COMPUTED_VALUE"""),4.7847E8)</f>
        <v>478470000</v>
      </c>
      <c r="G216" s="2">
        <f t="shared" si="1"/>
        <v>100</v>
      </c>
    </row>
    <row r="217" ht="15.75" customHeight="1">
      <c r="A217" s="1">
        <f>IFERROR(__xludf.DUMMYFUNCTION("""COMPUTED_VALUE"""),44154.66666666667)</f>
        <v>44154.66667</v>
      </c>
      <c r="B217" s="2">
        <f>IFERROR(__xludf.DUMMYFUNCTION("""COMPUTED_VALUE"""),1365.0)</f>
        <v>1365</v>
      </c>
      <c r="C217" s="2">
        <f>IFERROR(__xludf.DUMMYFUNCTION("""COMPUTED_VALUE"""),1385.0)</f>
        <v>1385</v>
      </c>
      <c r="D217" s="2">
        <f>IFERROR(__xludf.DUMMYFUNCTION("""COMPUTED_VALUE"""),1335.0)</f>
        <v>1335</v>
      </c>
      <c r="E217" s="2">
        <f>IFERROR(__xludf.DUMMYFUNCTION("""COMPUTED_VALUE"""),1355.0)</f>
        <v>1355</v>
      </c>
      <c r="F217" s="2">
        <f>IFERROR(__xludf.DUMMYFUNCTION("""COMPUTED_VALUE"""),1.973007E8)</f>
        <v>197300700</v>
      </c>
      <c r="G217" s="2">
        <f t="shared" si="1"/>
        <v>50</v>
      </c>
    </row>
    <row r="218" ht="15.75" customHeight="1">
      <c r="A218" s="1">
        <f>IFERROR(__xludf.DUMMYFUNCTION("""COMPUTED_VALUE"""),44155.66666666667)</f>
        <v>44155.66667</v>
      </c>
      <c r="B218" s="2">
        <f>IFERROR(__xludf.DUMMYFUNCTION("""COMPUTED_VALUE"""),1355.0)</f>
        <v>1355</v>
      </c>
      <c r="C218" s="2">
        <f>IFERROR(__xludf.DUMMYFUNCTION("""COMPUTED_VALUE"""),1410.0)</f>
        <v>1410</v>
      </c>
      <c r="D218" s="2">
        <f>IFERROR(__xludf.DUMMYFUNCTION("""COMPUTED_VALUE"""),1330.0)</f>
        <v>1330</v>
      </c>
      <c r="E218" s="2">
        <f>IFERROR(__xludf.DUMMYFUNCTION("""COMPUTED_VALUE"""),1405.0)</f>
        <v>1405</v>
      </c>
      <c r="F218" s="2">
        <f>IFERROR(__xludf.DUMMYFUNCTION("""COMPUTED_VALUE"""),3.295899E8)</f>
        <v>329589900</v>
      </c>
      <c r="G218" s="2">
        <f t="shared" si="1"/>
        <v>80</v>
      </c>
    </row>
    <row r="219" ht="15.75" customHeight="1">
      <c r="A219" s="1">
        <f>IFERROR(__xludf.DUMMYFUNCTION("""COMPUTED_VALUE"""),44158.66666666667)</f>
        <v>44158.66667</v>
      </c>
      <c r="B219" s="2">
        <f>IFERROR(__xludf.DUMMYFUNCTION("""COMPUTED_VALUE"""),1415.0)</f>
        <v>1415</v>
      </c>
      <c r="C219" s="2">
        <f>IFERROR(__xludf.DUMMYFUNCTION("""COMPUTED_VALUE"""),1445.0)</f>
        <v>1445</v>
      </c>
      <c r="D219" s="2">
        <f>IFERROR(__xludf.DUMMYFUNCTION("""COMPUTED_VALUE"""),1410.0)</f>
        <v>1410</v>
      </c>
      <c r="E219" s="2">
        <f>IFERROR(__xludf.DUMMYFUNCTION("""COMPUTED_VALUE"""),1425.0)</f>
        <v>1425</v>
      </c>
      <c r="F219" s="2">
        <f>IFERROR(__xludf.DUMMYFUNCTION("""COMPUTED_VALUE"""),1.441148E8)</f>
        <v>144114800</v>
      </c>
      <c r="G219" s="2">
        <f t="shared" si="1"/>
        <v>40</v>
      </c>
    </row>
    <row r="220" ht="15.75" customHeight="1">
      <c r="A220" s="1">
        <f>IFERROR(__xludf.DUMMYFUNCTION("""COMPUTED_VALUE"""),44159.66666666667)</f>
        <v>44159.66667</v>
      </c>
      <c r="B220" s="2">
        <f>IFERROR(__xludf.DUMMYFUNCTION("""COMPUTED_VALUE"""),1450.0)</f>
        <v>1450</v>
      </c>
      <c r="C220" s="2">
        <f>IFERROR(__xludf.DUMMYFUNCTION("""COMPUTED_VALUE"""),1455.0)</f>
        <v>1455</v>
      </c>
      <c r="D220" s="2">
        <f>IFERROR(__xludf.DUMMYFUNCTION("""COMPUTED_VALUE"""),1425.0)</f>
        <v>1425</v>
      </c>
      <c r="E220" s="2">
        <f>IFERROR(__xludf.DUMMYFUNCTION("""COMPUTED_VALUE"""),1440.0)</f>
        <v>1440</v>
      </c>
      <c r="F220" s="2">
        <f>IFERROR(__xludf.DUMMYFUNCTION("""COMPUTED_VALUE"""),1.210873E8)</f>
        <v>121087300</v>
      </c>
      <c r="G220" s="2">
        <f t="shared" si="1"/>
        <v>30</v>
      </c>
    </row>
    <row r="221" ht="15.75" customHeight="1">
      <c r="A221" s="1">
        <f>IFERROR(__xludf.DUMMYFUNCTION("""COMPUTED_VALUE"""),44160.66666666667)</f>
        <v>44160.66667</v>
      </c>
      <c r="B221" s="2">
        <f>IFERROR(__xludf.DUMMYFUNCTION("""COMPUTED_VALUE"""),1460.0)</f>
        <v>1460</v>
      </c>
      <c r="C221" s="2">
        <f>IFERROR(__xludf.DUMMYFUNCTION("""COMPUTED_VALUE"""),1475.0)</f>
        <v>1475</v>
      </c>
      <c r="D221" s="2">
        <f>IFERROR(__xludf.DUMMYFUNCTION("""COMPUTED_VALUE"""),1390.0)</f>
        <v>1390</v>
      </c>
      <c r="E221" s="2">
        <f>IFERROR(__xludf.DUMMYFUNCTION("""COMPUTED_VALUE"""),1415.0)</f>
        <v>1415</v>
      </c>
      <c r="F221" s="2">
        <f>IFERROR(__xludf.DUMMYFUNCTION("""COMPUTED_VALUE"""),1.943525E8)</f>
        <v>194352500</v>
      </c>
      <c r="G221" s="2">
        <f t="shared" si="1"/>
        <v>85</v>
      </c>
    </row>
    <row r="222" ht="15.75" customHeight="1">
      <c r="A222" s="1">
        <f>IFERROR(__xludf.DUMMYFUNCTION("""COMPUTED_VALUE"""),44161.66666666667)</f>
        <v>44161.66667</v>
      </c>
      <c r="B222" s="2">
        <f>IFERROR(__xludf.DUMMYFUNCTION("""COMPUTED_VALUE"""),1415.0)</f>
        <v>1415</v>
      </c>
      <c r="C222" s="2">
        <f>IFERROR(__xludf.DUMMYFUNCTION("""COMPUTED_VALUE"""),1430.0)</f>
        <v>1430</v>
      </c>
      <c r="D222" s="2">
        <f>IFERROR(__xludf.DUMMYFUNCTION("""COMPUTED_VALUE"""),1405.0)</f>
        <v>1405</v>
      </c>
      <c r="E222" s="2">
        <f>IFERROR(__xludf.DUMMYFUNCTION("""COMPUTED_VALUE"""),1430.0)</f>
        <v>1430</v>
      </c>
      <c r="F222" s="2">
        <f>IFERROR(__xludf.DUMMYFUNCTION("""COMPUTED_VALUE"""),5.09647E7)</f>
        <v>50964700</v>
      </c>
      <c r="G222" s="2">
        <f t="shared" si="1"/>
        <v>25</v>
      </c>
    </row>
    <row r="223" ht="15.75" customHeight="1">
      <c r="A223" s="1">
        <f>IFERROR(__xludf.DUMMYFUNCTION("""COMPUTED_VALUE"""),44162.66666666667)</f>
        <v>44162.66667</v>
      </c>
      <c r="B223" s="2">
        <f>IFERROR(__xludf.DUMMYFUNCTION("""COMPUTED_VALUE"""),1435.0)</f>
        <v>1435</v>
      </c>
      <c r="C223" s="2">
        <f>IFERROR(__xludf.DUMMYFUNCTION("""COMPUTED_VALUE"""),1500.0)</f>
        <v>1500</v>
      </c>
      <c r="D223" s="2">
        <f>IFERROR(__xludf.DUMMYFUNCTION("""COMPUTED_VALUE"""),1420.0)</f>
        <v>1420</v>
      </c>
      <c r="E223" s="2">
        <f>IFERROR(__xludf.DUMMYFUNCTION("""COMPUTED_VALUE"""),1490.0)</f>
        <v>1490</v>
      </c>
      <c r="F223" s="2">
        <f>IFERROR(__xludf.DUMMYFUNCTION("""COMPUTED_VALUE"""),2.200988E8)</f>
        <v>220098800</v>
      </c>
      <c r="G223" s="2">
        <f t="shared" si="1"/>
        <v>80</v>
      </c>
    </row>
    <row r="224" ht="15.75" customHeight="1">
      <c r="A224" s="1">
        <f>IFERROR(__xludf.DUMMYFUNCTION("""COMPUTED_VALUE"""),44165.66666666667)</f>
        <v>44165.66667</v>
      </c>
      <c r="B224" s="2">
        <f>IFERROR(__xludf.DUMMYFUNCTION("""COMPUTED_VALUE"""),1490.0)</f>
        <v>1490</v>
      </c>
      <c r="C224" s="2">
        <f>IFERROR(__xludf.DUMMYFUNCTION("""COMPUTED_VALUE"""),1490.0)</f>
        <v>1490</v>
      </c>
      <c r="D224" s="2">
        <f>IFERROR(__xludf.DUMMYFUNCTION("""COMPUTED_VALUE"""),1390.0)</f>
        <v>1390</v>
      </c>
      <c r="E224" s="2">
        <f>IFERROR(__xludf.DUMMYFUNCTION("""COMPUTED_VALUE"""),1390.0)</f>
        <v>1390</v>
      </c>
      <c r="F224" s="2">
        <f>IFERROR(__xludf.DUMMYFUNCTION("""COMPUTED_VALUE"""),4.058276E8)</f>
        <v>405827600</v>
      </c>
      <c r="G224" s="2">
        <f t="shared" si="1"/>
        <v>100</v>
      </c>
    </row>
    <row r="225" ht="15.75" customHeight="1">
      <c r="A225" s="1">
        <f>IFERROR(__xludf.DUMMYFUNCTION("""COMPUTED_VALUE"""),44166.66666666667)</f>
        <v>44166.66667</v>
      </c>
      <c r="B225" s="2">
        <f>IFERROR(__xludf.DUMMYFUNCTION("""COMPUTED_VALUE"""),1390.0)</f>
        <v>1390</v>
      </c>
      <c r="C225" s="2">
        <f>IFERROR(__xludf.DUMMYFUNCTION("""COMPUTED_VALUE"""),1435.0)</f>
        <v>1435</v>
      </c>
      <c r="D225" s="2">
        <f>IFERROR(__xludf.DUMMYFUNCTION("""COMPUTED_VALUE"""),1335.0)</f>
        <v>1335</v>
      </c>
      <c r="E225" s="2">
        <f>IFERROR(__xludf.DUMMYFUNCTION("""COMPUTED_VALUE"""),1390.0)</f>
        <v>1390</v>
      </c>
      <c r="F225" s="2">
        <f>IFERROR(__xludf.DUMMYFUNCTION("""COMPUTED_VALUE"""),3.576361E8)</f>
        <v>357636100</v>
      </c>
      <c r="G225" s="2">
        <f t="shared" si="1"/>
        <v>100</v>
      </c>
    </row>
    <row r="226" ht="15.75" customHeight="1">
      <c r="A226" s="1">
        <f>IFERROR(__xludf.DUMMYFUNCTION("""COMPUTED_VALUE"""),44167.66666666667)</f>
        <v>44167.66667</v>
      </c>
      <c r="B226" s="2">
        <f>IFERROR(__xludf.DUMMYFUNCTION("""COMPUTED_VALUE"""),1410.0)</f>
        <v>1410</v>
      </c>
      <c r="C226" s="2">
        <f>IFERROR(__xludf.DUMMYFUNCTION("""COMPUTED_VALUE"""),1445.0)</f>
        <v>1445</v>
      </c>
      <c r="D226" s="2">
        <f>IFERROR(__xludf.DUMMYFUNCTION("""COMPUTED_VALUE"""),1390.0)</f>
        <v>1390</v>
      </c>
      <c r="E226" s="2">
        <f>IFERROR(__xludf.DUMMYFUNCTION("""COMPUTED_VALUE"""),1440.0)</f>
        <v>1440</v>
      </c>
      <c r="F226" s="2">
        <f>IFERROR(__xludf.DUMMYFUNCTION("""COMPUTED_VALUE"""),2.44197E8)</f>
        <v>244197000</v>
      </c>
      <c r="G226" s="2">
        <f t="shared" si="1"/>
        <v>55</v>
      </c>
    </row>
    <row r="227" ht="15.75" customHeight="1">
      <c r="A227" s="1">
        <f>IFERROR(__xludf.DUMMYFUNCTION("""COMPUTED_VALUE"""),44168.66666666667)</f>
        <v>44168.66667</v>
      </c>
      <c r="B227" s="2">
        <f>IFERROR(__xludf.DUMMYFUNCTION("""COMPUTED_VALUE"""),1460.0)</f>
        <v>1460</v>
      </c>
      <c r="C227" s="2">
        <f>IFERROR(__xludf.DUMMYFUNCTION("""COMPUTED_VALUE"""),1485.0)</f>
        <v>1485</v>
      </c>
      <c r="D227" s="2">
        <f>IFERROR(__xludf.DUMMYFUNCTION("""COMPUTED_VALUE"""),1450.0)</f>
        <v>1450</v>
      </c>
      <c r="E227" s="2">
        <f>IFERROR(__xludf.DUMMYFUNCTION("""COMPUTED_VALUE"""),1455.0)</f>
        <v>1455</v>
      </c>
      <c r="F227" s="2">
        <f>IFERROR(__xludf.DUMMYFUNCTION("""COMPUTED_VALUE"""),2.105922E8)</f>
        <v>210592200</v>
      </c>
      <c r="G227" s="2">
        <f t="shared" si="1"/>
        <v>45</v>
      </c>
    </row>
    <row r="228" ht="15.75" customHeight="1">
      <c r="A228" s="1">
        <f>IFERROR(__xludf.DUMMYFUNCTION("""COMPUTED_VALUE"""),44169.66666666667)</f>
        <v>44169.66667</v>
      </c>
      <c r="B228" s="2">
        <f>IFERROR(__xludf.DUMMYFUNCTION("""COMPUTED_VALUE"""),1460.0)</f>
        <v>1460</v>
      </c>
      <c r="C228" s="2">
        <f>IFERROR(__xludf.DUMMYFUNCTION("""COMPUTED_VALUE"""),1465.0)</f>
        <v>1465</v>
      </c>
      <c r="D228" s="2">
        <f>IFERROR(__xludf.DUMMYFUNCTION("""COMPUTED_VALUE"""),1430.0)</f>
        <v>1430</v>
      </c>
      <c r="E228" s="2">
        <f>IFERROR(__xludf.DUMMYFUNCTION("""COMPUTED_VALUE"""),1450.0)</f>
        <v>1450</v>
      </c>
      <c r="F228" s="2">
        <f>IFERROR(__xludf.DUMMYFUNCTION("""COMPUTED_VALUE"""),1.041472E8)</f>
        <v>104147200</v>
      </c>
      <c r="G228" s="2">
        <f t="shared" si="1"/>
        <v>35</v>
      </c>
    </row>
    <row r="229" ht="15.75" customHeight="1">
      <c r="A229" s="1">
        <f>IFERROR(__xludf.DUMMYFUNCTION("""COMPUTED_VALUE"""),44172.66666666667)</f>
        <v>44172.66667</v>
      </c>
      <c r="B229" s="2">
        <f>IFERROR(__xludf.DUMMYFUNCTION("""COMPUTED_VALUE"""),1475.0)</f>
        <v>1475</v>
      </c>
      <c r="C229" s="2">
        <f>IFERROR(__xludf.DUMMYFUNCTION("""COMPUTED_VALUE"""),1480.0)</f>
        <v>1480</v>
      </c>
      <c r="D229" s="2">
        <f>IFERROR(__xludf.DUMMYFUNCTION("""COMPUTED_VALUE"""),1455.0)</f>
        <v>1455</v>
      </c>
      <c r="E229" s="2">
        <f>IFERROR(__xludf.DUMMYFUNCTION("""COMPUTED_VALUE"""),1465.0)</f>
        <v>1465</v>
      </c>
      <c r="F229" s="2">
        <f>IFERROR(__xludf.DUMMYFUNCTION("""COMPUTED_VALUE"""),1.166804E8)</f>
        <v>116680400</v>
      </c>
      <c r="G229" s="2">
        <f t="shared" si="1"/>
        <v>30</v>
      </c>
    </row>
    <row r="230" ht="15.75" customHeight="1">
      <c r="A230" s="1">
        <f>IFERROR(__xludf.DUMMYFUNCTION("""COMPUTED_VALUE"""),44173.66666666667)</f>
        <v>44173.66667</v>
      </c>
      <c r="B230" s="2">
        <f>IFERROR(__xludf.DUMMYFUNCTION("""COMPUTED_VALUE"""),1490.0)</f>
        <v>1490</v>
      </c>
      <c r="C230" s="2">
        <f>IFERROR(__xludf.DUMMYFUNCTION("""COMPUTED_VALUE"""),1710.0)</f>
        <v>1710</v>
      </c>
      <c r="D230" s="2">
        <f>IFERROR(__xludf.DUMMYFUNCTION("""COMPUTED_VALUE"""),1470.0)</f>
        <v>1470</v>
      </c>
      <c r="E230" s="2">
        <f>IFERROR(__xludf.DUMMYFUNCTION("""COMPUTED_VALUE"""),1690.0)</f>
        <v>1690</v>
      </c>
      <c r="F230" s="2">
        <f>IFERROR(__xludf.DUMMYFUNCTION("""COMPUTED_VALUE"""),8.25987E8)</f>
        <v>825987000</v>
      </c>
      <c r="G230" s="2">
        <f t="shared" si="1"/>
        <v>245</v>
      </c>
    </row>
    <row r="231" ht="15.75" customHeight="1">
      <c r="A231" s="1">
        <f>IFERROR(__xludf.DUMMYFUNCTION("""COMPUTED_VALUE"""),44175.66666666667)</f>
        <v>44175.66667</v>
      </c>
      <c r="B231" s="2">
        <f>IFERROR(__xludf.DUMMYFUNCTION("""COMPUTED_VALUE"""),1730.0)</f>
        <v>1730</v>
      </c>
      <c r="C231" s="2">
        <f>IFERROR(__xludf.DUMMYFUNCTION("""COMPUTED_VALUE"""),1735.0)</f>
        <v>1735</v>
      </c>
      <c r="D231" s="2">
        <f>IFERROR(__xludf.DUMMYFUNCTION("""COMPUTED_VALUE"""),1630.0)</f>
        <v>1630</v>
      </c>
      <c r="E231" s="2">
        <f>IFERROR(__xludf.DUMMYFUNCTION("""COMPUTED_VALUE"""),1670.0)</f>
        <v>1670</v>
      </c>
      <c r="F231" s="2">
        <f>IFERROR(__xludf.DUMMYFUNCTION("""COMPUTED_VALUE"""),4.07318E8)</f>
        <v>407318000</v>
      </c>
      <c r="G231" s="2">
        <f t="shared" si="1"/>
        <v>105</v>
      </c>
    </row>
    <row r="232" ht="15.75" customHeight="1">
      <c r="A232" s="1">
        <f>IFERROR(__xludf.DUMMYFUNCTION("""COMPUTED_VALUE"""),44176.66666666667)</f>
        <v>44176.66667</v>
      </c>
      <c r="B232" s="2">
        <f>IFERROR(__xludf.DUMMYFUNCTION("""COMPUTED_VALUE"""),1700.0)</f>
        <v>1700</v>
      </c>
      <c r="C232" s="2">
        <f>IFERROR(__xludf.DUMMYFUNCTION("""COMPUTED_VALUE"""),1715.0)</f>
        <v>1715</v>
      </c>
      <c r="D232" s="2">
        <f>IFERROR(__xludf.DUMMYFUNCTION("""COMPUTED_VALUE"""),1640.0)</f>
        <v>1640</v>
      </c>
      <c r="E232" s="2">
        <f>IFERROR(__xludf.DUMMYFUNCTION("""COMPUTED_VALUE"""),1655.0)</f>
        <v>1655</v>
      </c>
      <c r="F232" s="2">
        <f>IFERROR(__xludf.DUMMYFUNCTION("""COMPUTED_VALUE"""),2.032565E8)</f>
        <v>203256500</v>
      </c>
      <c r="G232" s="2">
        <f t="shared" si="1"/>
        <v>75</v>
      </c>
    </row>
    <row r="233" ht="15.75" customHeight="1">
      <c r="A233" s="1">
        <f>IFERROR(__xludf.DUMMYFUNCTION("""COMPUTED_VALUE"""),44179.66666666667)</f>
        <v>44179.66667</v>
      </c>
      <c r="B233" s="2">
        <f>IFERROR(__xludf.DUMMYFUNCTION("""COMPUTED_VALUE"""),1670.0)</f>
        <v>1670</v>
      </c>
      <c r="C233" s="2">
        <f>IFERROR(__xludf.DUMMYFUNCTION("""COMPUTED_VALUE"""),1730.0)</f>
        <v>1730</v>
      </c>
      <c r="D233" s="2">
        <f>IFERROR(__xludf.DUMMYFUNCTION("""COMPUTED_VALUE"""),1650.0)</f>
        <v>1650</v>
      </c>
      <c r="E233" s="2">
        <f>IFERROR(__xludf.DUMMYFUNCTION("""COMPUTED_VALUE"""),1715.0)</f>
        <v>1715</v>
      </c>
      <c r="F233" s="2">
        <f>IFERROR(__xludf.DUMMYFUNCTION("""COMPUTED_VALUE"""),2.974195E8)</f>
        <v>297419500</v>
      </c>
      <c r="G233" s="2">
        <f t="shared" si="1"/>
        <v>80</v>
      </c>
    </row>
    <row r="234" ht="15.75" customHeight="1">
      <c r="A234" s="1">
        <f>IFERROR(__xludf.DUMMYFUNCTION("""COMPUTED_VALUE"""),44180.66666666667)</f>
        <v>44180.66667</v>
      </c>
      <c r="B234" s="2">
        <f>IFERROR(__xludf.DUMMYFUNCTION("""COMPUTED_VALUE"""),1725.0)</f>
        <v>1725</v>
      </c>
      <c r="C234" s="2">
        <f>IFERROR(__xludf.DUMMYFUNCTION("""COMPUTED_VALUE"""),1835.0)</f>
        <v>1835</v>
      </c>
      <c r="D234" s="2">
        <f>IFERROR(__xludf.DUMMYFUNCTION("""COMPUTED_VALUE"""),1695.0)</f>
        <v>1695</v>
      </c>
      <c r="E234" s="2">
        <f>IFERROR(__xludf.DUMMYFUNCTION("""COMPUTED_VALUE"""),1790.0)</f>
        <v>1790</v>
      </c>
      <c r="F234" s="2">
        <f>IFERROR(__xludf.DUMMYFUNCTION("""COMPUTED_VALUE"""),4.613325E8)</f>
        <v>461332500</v>
      </c>
      <c r="G234" s="2">
        <f t="shared" si="1"/>
        <v>140</v>
      </c>
    </row>
    <row r="235" ht="15.75" customHeight="1">
      <c r="A235" s="1">
        <f>IFERROR(__xludf.DUMMYFUNCTION("""COMPUTED_VALUE"""),44181.66666666667)</f>
        <v>44181.66667</v>
      </c>
      <c r="B235" s="2">
        <f>IFERROR(__xludf.DUMMYFUNCTION("""COMPUTED_VALUE"""),1800.0)</f>
        <v>1800</v>
      </c>
      <c r="C235" s="2">
        <f>IFERROR(__xludf.DUMMYFUNCTION("""COMPUTED_VALUE"""),1885.0)</f>
        <v>1885</v>
      </c>
      <c r="D235" s="2">
        <f>IFERROR(__xludf.DUMMYFUNCTION("""COMPUTED_VALUE"""),1795.0)</f>
        <v>1795</v>
      </c>
      <c r="E235" s="2">
        <f>IFERROR(__xludf.DUMMYFUNCTION("""COMPUTED_VALUE"""),1810.0)</f>
        <v>1810</v>
      </c>
      <c r="F235" s="2">
        <f>IFERROR(__xludf.DUMMYFUNCTION("""COMPUTED_VALUE"""),4.522525E8)</f>
        <v>452252500</v>
      </c>
      <c r="G235" s="2">
        <f t="shared" si="1"/>
        <v>95</v>
      </c>
    </row>
    <row r="236" ht="15.75" customHeight="1">
      <c r="A236" s="1">
        <f>IFERROR(__xludf.DUMMYFUNCTION("""COMPUTED_VALUE"""),44182.66666666667)</f>
        <v>44182.66667</v>
      </c>
      <c r="B236" s="2">
        <f>IFERROR(__xludf.DUMMYFUNCTION("""COMPUTED_VALUE"""),1825.0)</f>
        <v>1825</v>
      </c>
      <c r="C236" s="2">
        <f>IFERROR(__xludf.DUMMYFUNCTION("""COMPUTED_VALUE"""),1840.0)</f>
        <v>1840</v>
      </c>
      <c r="D236" s="2">
        <f>IFERROR(__xludf.DUMMYFUNCTION("""COMPUTED_VALUE"""),1765.0)</f>
        <v>1765</v>
      </c>
      <c r="E236" s="2">
        <f>IFERROR(__xludf.DUMMYFUNCTION("""COMPUTED_VALUE"""),1790.0)</f>
        <v>1790</v>
      </c>
      <c r="F236" s="2">
        <f>IFERROR(__xludf.DUMMYFUNCTION("""COMPUTED_VALUE"""),2.071522E8)</f>
        <v>207152200</v>
      </c>
      <c r="G236" s="2">
        <f t="shared" si="1"/>
        <v>75</v>
      </c>
    </row>
    <row r="237" ht="15.75" customHeight="1">
      <c r="A237" s="1">
        <f>IFERROR(__xludf.DUMMYFUNCTION("""COMPUTED_VALUE"""),44183.66666666667)</f>
        <v>44183.66667</v>
      </c>
      <c r="B237" s="2">
        <f>IFERROR(__xludf.DUMMYFUNCTION("""COMPUTED_VALUE"""),1790.0)</f>
        <v>1790</v>
      </c>
      <c r="C237" s="2">
        <f>IFERROR(__xludf.DUMMYFUNCTION("""COMPUTED_VALUE"""),1825.0)</f>
        <v>1825</v>
      </c>
      <c r="D237" s="2">
        <f>IFERROR(__xludf.DUMMYFUNCTION("""COMPUTED_VALUE"""),1755.0)</f>
        <v>1755</v>
      </c>
      <c r="E237" s="2">
        <f>IFERROR(__xludf.DUMMYFUNCTION("""COMPUTED_VALUE"""),1790.0)</f>
        <v>1790</v>
      </c>
      <c r="F237" s="2">
        <f>IFERROR(__xludf.DUMMYFUNCTION("""COMPUTED_VALUE"""),1.654061E8)</f>
        <v>165406100</v>
      </c>
      <c r="G237" s="2">
        <f t="shared" si="1"/>
        <v>70</v>
      </c>
    </row>
    <row r="238" ht="15.75" customHeight="1">
      <c r="A238" s="1">
        <f>IFERROR(__xludf.DUMMYFUNCTION("""COMPUTED_VALUE"""),44186.66666666667)</f>
        <v>44186.66667</v>
      </c>
      <c r="B238" s="2">
        <f>IFERROR(__xludf.DUMMYFUNCTION("""COMPUTED_VALUE"""),1800.0)</f>
        <v>1800</v>
      </c>
      <c r="C238" s="2">
        <f>IFERROR(__xludf.DUMMYFUNCTION("""COMPUTED_VALUE"""),1895.0)</f>
        <v>1895</v>
      </c>
      <c r="D238" s="2">
        <f>IFERROR(__xludf.DUMMYFUNCTION("""COMPUTED_VALUE"""),1790.0)</f>
        <v>1790</v>
      </c>
      <c r="E238" s="2">
        <f>IFERROR(__xludf.DUMMYFUNCTION("""COMPUTED_VALUE"""),1795.0)</f>
        <v>1795</v>
      </c>
      <c r="F238" s="2">
        <f>IFERROR(__xludf.DUMMYFUNCTION("""COMPUTED_VALUE"""),3.874472E8)</f>
        <v>387447200</v>
      </c>
      <c r="G238" s="2">
        <f t="shared" si="1"/>
        <v>105</v>
      </c>
    </row>
    <row r="239" ht="15.75" customHeight="1">
      <c r="A239" s="1">
        <f>IFERROR(__xludf.DUMMYFUNCTION("""COMPUTED_VALUE"""),44187.66666666667)</f>
        <v>44187.66667</v>
      </c>
      <c r="B239" s="2">
        <f>IFERROR(__xludf.DUMMYFUNCTION("""COMPUTED_VALUE"""),1790.0)</f>
        <v>1790</v>
      </c>
      <c r="C239" s="2">
        <f>IFERROR(__xludf.DUMMYFUNCTION("""COMPUTED_VALUE"""),1795.0)</f>
        <v>1795</v>
      </c>
      <c r="D239" s="2">
        <f>IFERROR(__xludf.DUMMYFUNCTION("""COMPUTED_VALUE"""),1670.0)</f>
        <v>1670</v>
      </c>
      <c r="E239" s="2">
        <f>IFERROR(__xludf.DUMMYFUNCTION("""COMPUTED_VALUE"""),1680.0)</f>
        <v>1680</v>
      </c>
      <c r="F239" s="2">
        <f>IFERROR(__xludf.DUMMYFUNCTION("""COMPUTED_VALUE"""),3.503027E8)</f>
        <v>350302700</v>
      </c>
      <c r="G239" s="2">
        <f t="shared" si="1"/>
        <v>125</v>
      </c>
    </row>
    <row r="240" ht="15.75" customHeight="1">
      <c r="A240" s="1">
        <f>IFERROR(__xludf.DUMMYFUNCTION("""COMPUTED_VALUE"""),44188.66666666667)</f>
        <v>44188.66667</v>
      </c>
      <c r="B240" s="2">
        <f>IFERROR(__xludf.DUMMYFUNCTION("""COMPUTED_VALUE"""),1700.0)</f>
        <v>1700</v>
      </c>
      <c r="C240" s="2">
        <f>IFERROR(__xludf.DUMMYFUNCTION("""COMPUTED_VALUE"""),1745.0)</f>
        <v>1745</v>
      </c>
      <c r="D240" s="2">
        <f>IFERROR(__xludf.DUMMYFUNCTION("""COMPUTED_VALUE"""),1610.0)</f>
        <v>1610</v>
      </c>
      <c r="E240" s="2">
        <f>IFERROR(__xludf.DUMMYFUNCTION("""COMPUTED_VALUE"""),1650.0)</f>
        <v>1650</v>
      </c>
      <c r="F240" s="2">
        <f>IFERROR(__xludf.DUMMYFUNCTION("""COMPUTED_VALUE"""),3.027818E8)</f>
        <v>302781800</v>
      </c>
      <c r="G240" s="2">
        <f t="shared" si="1"/>
        <v>135</v>
      </c>
    </row>
    <row r="241" ht="15.75" customHeight="1">
      <c r="A241" s="1">
        <f>IFERROR(__xludf.DUMMYFUNCTION("""COMPUTED_VALUE"""),44193.66666666667)</f>
        <v>44193.66667</v>
      </c>
      <c r="B241" s="2">
        <f>IFERROR(__xludf.DUMMYFUNCTION("""COMPUTED_VALUE"""),1690.0)</f>
        <v>1690</v>
      </c>
      <c r="C241" s="2">
        <f>IFERROR(__xludf.DUMMYFUNCTION("""COMPUTED_VALUE"""),1775.0)</f>
        <v>1775</v>
      </c>
      <c r="D241" s="2">
        <f>IFERROR(__xludf.DUMMYFUNCTION("""COMPUTED_VALUE"""),1630.0)</f>
        <v>1630</v>
      </c>
      <c r="E241" s="2">
        <f>IFERROR(__xludf.DUMMYFUNCTION("""COMPUTED_VALUE"""),1770.0)</f>
        <v>1770</v>
      </c>
      <c r="F241" s="2">
        <f>IFERROR(__xludf.DUMMYFUNCTION("""COMPUTED_VALUE"""),3.621722E8)</f>
        <v>362172200</v>
      </c>
      <c r="G241" s="2">
        <f t="shared" si="1"/>
        <v>145</v>
      </c>
    </row>
    <row r="242" ht="15.75" customHeight="1">
      <c r="A242" s="1">
        <f>IFERROR(__xludf.DUMMYFUNCTION("""COMPUTED_VALUE"""),44194.66666666667)</f>
        <v>44194.66667</v>
      </c>
      <c r="B242" s="2">
        <f>IFERROR(__xludf.DUMMYFUNCTION("""COMPUTED_VALUE"""),1800.0)</f>
        <v>1800</v>
      </c>
      <c r="C242" s="2">
        <f>IFERROR(__xludf.DUMMYFUNCTION("""COMPUTED_VALUE"""),1810.0)</f>
        <v>1810</v>
      </c>
      <c r="D242" s="2">
        <f>IFERROR(__xludf.DUMMYFUNCTION("""COMPUTED_VALUE"""),1720.0)</f>
        <v>1720</v>
      </c>
      <c r="E242" s="2">
        <f>IFERROR(__xludf.DUMMYFUNCTION("""COMPUTED_VALUE"""),1725.0)</f>
        <v>1725</v>
      </c>
      <c r="F242" s="2">
        <f>IFERROR(__xludf.DUMMYFUNCTION("""COMPUTED_VALUE"""),2.665671E8)</f>
        <v>266567100</v>
      </c>
      <c r="G242" s="2">
        <f t="shared" si="1"/>
        <v>90</v>
      </c>
    </row>
    <row r="243" ht="15.75" customHeight="1">
      <c r="A243" s="1">
        <f>IFERROR(__xludf.DUMMYFUNCTION("""COMPUTED_VALUE"""),44195.66666666667)</f>
        <v>44195.66667</v>
      </c>
      <c r="B243" s="2">
        <f>IFERROR(__xludf.DUMMYFUNCTION("""COMPUTED_VALUE"""),1730.0)</f>
        <v>1730</v>
      </c>
      <c r="C243" s="2">
        <f>IFERROR(__xludf.DUMMYFUNCTION("""COMPUTED_VALUE"""),1740.0)</f>
        <v>1740</v>
      </c>
      <c r="D243" s="2">
        <f>IFERROR(__xludf.DUMMYFUNCTION("""COMPUTED_VALUE"""),1655.0)</f>
        <v>1655</v>
      </c>
      <c r="E243" s="2">
        <f>IFERROR(__xludf.DUMMYFUNCTION("""COMPUTED_VALUE"""),1655.0)</f>
        <v>1655</v>
      </c>
      <c r="F243" s="2">
        <f>IFERROR(__xludf.DUMMYFUNCTION("""COMPUTED_VALUE"""),2.385534E8)</f>
        <v>238553400</v>
      </c>
      <c r="G243" s="2">
        <f t="shared" si="1"/>
        <v>85</v>
      </c>
    </row>
    <row r="244" ht="15.75" customHeight="1">
      <c r="A244" s="1">
        <f>IFERROR(__xludf.DUMMYFUNCTION("""COMPUTED_VALUE"""),44200.625)</f>
        <v>44200.625</v>
      </c>
      <c r="B244" s="2">
        <f>IFERROR(__xludf.DUMMYFUNCTION("""COMPUTED_VALUE"""),1540.0)</f>
        <v>1540</v>
      </c>
      <c r="C244" s="2">
        <f>IFERROR(__xludf.DUMMYFUNCTION("""COMPUTED_VALUE"""),1585.0)</f>
        <v>1585</v>
      </c>
      <c r="D244" s="2">
        <f>IFERROR(__xludf.DUMMYFUNCTION("""COMPUTED_VALUE"""),1540.0)</f>
        <v>1540</v>
      </c>
      <c r="E244" s="2">
        <f>IFERROR(__xludf.DUMMYFUNCTION("""COMPUTED_VALUE"""),1540.0)</f>
        <v>1540</v>
      </c>
      <c r="F244" s="2">
        <f>IFERROR(__xludf.DUMMYFUNCTION("""COMPUTED_VALUE"""),7.913752E8)</f>
        <v>791375200</v>
      </c>
      <c r="G244" s="2">
        <f t="shared" si="1"/>
        <v>115</v>
      </c>
    </row>
    <row r="245" ht="15.75" customHeight="1">
      <c r="A245" s="1">
        <f>IFERROR(__xludf.DUMMYFUNCTION("""COMPUTED_VALUE"""),44201.625)</f>
        <v>44201.625</v>
      </c>
      <c r="B245" s="2">
        <f>IFERROR(__xludf.DUMMYFUNCTION("""COMPUTED_VALUE"""),1540.0)</f>
        <v>1540</v>
      </c>
      <c r="C245" s="2">
        <f>IFERROR(__xludf.DUMMYFUNCTION("""COMPUTED_VALUE"""),1640.0)</f>
        <v>1640</v>
      </c>
      <c r="D245" s="2">
        <f>IFERROR(__xludf.DUMMYFUNCTION("""COMPUTED_VALUE"""),1520.0)</f>
        <v>1520</v>
      </c>
      <c r="E245" s="2">
        <f>IFERROR(__xludf.DUMMYFUNCTION("""COMPUTED_VALUE"""),1600.0)</f>
        <v>1600</v>
      </c>
      <c r="F245" s="2">
        <f>IFERROR(__xludf.DUMMYFUNCTION("""COMPUTED_VALUE"""),7.157464E8)</f>
        <v>715746400</v>
      </c>
      <c r="G245" s="2">
        <f t="shared" si="1"/>
        <v>120</v>
      </c>
    </row>
    <row r="246" ht="15.75" customHeight="1">
      <c r="A246" s="1">
        <f>IFERROR(__xludf.DUMMYFUNCTION("""COMPUTED_VALUE"""),44202.625)</f>
        <v>44202.625</v>
      </c>
      <c r="B246" s="2">
        <f>IFERROR(__xludf.DUMMYFUNCTION("""COMPUTED_VALUE"""),1620.0)</f>
        <v>1620</v>
      </c>
      <c r="C246" s="2">
        <f>IFERROR(__xludf.DUMMYFUNCTION("""COMPUTED_VALUE"""),1630.0)</f>
        <v>1630</v>
      </c>
      <c r="D246" s="2">
        <f>IFERROR(__xludf.DUMMYFUNCTION("""COMPUTED_VALUE"""),1515.0)</f>
        <v>1515</v>
      </c>
      <c r="E246" s="2">
        <f>IFERROR(__xludf.DUMMYFUNCTION("""COMPUTED_VALUE"""),1560.0)</f>
        <v>1560</v>
      </c>
      <c r="F246" s="2">
        <f>IFERROR(__xludf.DUMMYFUNCTION("""COMPUTED_VALUE"""),2.888757E8)</f>
        <v>288875700</v>
      </c>
      <c r="G246" s="2">
        <f t="shared" si="1"/>
        <v>115</v>
      </c>
    </row>
    <row r="247" ht="15.75" customHeight="1">
      <c r="A247" s="1">
        <f>IFERROR(__xludf.DUMMYFUNCTION("""COMPUTED_VALUE"""),44203.66666666667)</f>
        <v>44203.66667</v>
      </c>
      <c r="B247" s="2">
        <f>IFERROR(__xludf.DUMMYFUNCTION("""COMPUTED_VALUE"""),1560.0)</f>
        <v>1560</v>
      </c>
      <c r="C247" s="2">
        <f>IFERROR(__xludf.DUMMYFUNCTION("""COMPUTED_VALUE"""),1600.0)</f>
        <v>1600</v>
      </c>
      <c r="D247" s="2">
        <f>IFERROR(__xludf.DUMMYFUNCTION("""COMPUTED_VALUE"""),1555.0)</f>
        <v>1555</v>
      </c>
      <c r="E247" s="2">
        <f>IFERROR(__xludf.DUMMYFUNCTION("""COMPUTED_VALUE"""),1570.0)</f>
        <v>1570</v>
      </c>
      <c r="F247" s="2">
        <f>IFERROR(__xludf.DUMMYFUNCTION("""COMPUTED_VALUE"""),1.769614E8)</f>
        <v>176961400</v>
      </c>
      <c r="G247" s="2">
        <f t="shared" si="1"/>
        <v>45</v>
      </c>
    </row>
    <row r="248" ht="15.75" customHeight="1">
      <c r="A248" s="1">
        <f>IFERROR(__xludf.DUMMYFUNCTION("""COMPUTED_VALUE"""),44204.66666666667)</f>
        <v>44204.66667</v>
      </c>
      <c r="B248" s="2">
        <f>IFERROR(__xludf.DUMMYFUNCTION("""COMPUTED_VALUE"""),1630.0)</f>
        <v>1630</v>
      </c>
      <c r="C248" s="2">
        <f>IFERROR(__xludf.DUMMYFUNCTION("""COMPUTED_VALUE"""),1710.0)</f>
        <v>1710</v>
      </c>
      <c r="D248" s="2">
        <f>IFERROR(__xludf.DUMMYFUNCTION("""COMPUTED_VALUE"""),1630.0)</f>
        <v>1630</v>
      </c>
      <c r="E248" s="2">
        <f>IFERROR(__xludf.DUMMYFUNCTION("""COMPUTED_VALUE"""),1640.0)</f>
        <v>1640</v>
      </c>
      <c r="F248" s="2">
        <f>IFERROR(__xludf.DUMMYFUNCTION("""COMPUTED_VALUE"""),5.449555E8)</f>
        <v>544955500</v>
      </c>
      <c r="G248" s="2">
        <f t="shared" si="1"/>
        <v>140</v>
      </c>
    </row>
    <row r="249" ht="15.75" customHeight="1">
      <c r="A249" s="1">
        <f>IFERROR(__xludf.DUMMYFUNCTION("""COMPUTED_VALUE"""),44207.625)</f>
        <v>44207.625</v>
      </c>
      <c r="B249" s="2">
        <f>IFERROR(__xludf.DUMMYFUNCTION("""COMPUTED_VALUE"""),1630.0)</f>
        <v>1630</v>
      </c>
      <c r="C249" s="2">
        <f>IFERROR(__xludf.DUMMYFUNCTION("""COMPUTED_VALUE"""),1655.0)</f>
        <v>1655</v>
      </c>
      <c r="D249" s="2">
        <f>IFERROR(__xludf.DUMMYFUNCTION("""COMPUTED_VALUE"""),1620.0)</f>
        <v>1620</v>
      </c>
      <c r="E249" s="2">
        <f>IFERROR(__xludf.DUMMYFUNCTION("""COMPUTED_VALUE"""),1625.0)</f>
        <v>1625</v>
      </c>
      <c r="F249" s="2">
        <f>IFERROR(__xludf.DUMMYFUNCTION("""COMPUTED_VALUE"""),1.641919E8)</f>
        <v>164191900</v>
      </c>
      <c r="G249" s="2">
        <f t="shared" si="1"/>
        <v>35</v>
      </c>
    </row>
    <row r="250" ht="15.75" customHeight="1">
      <c r="A250" s="1">
        <f>IFERROR(__xludf.DUMMYFUNCTION("""COMPUTED_VALUE"""),44208.625)</f>
        <v>44208.625</v>
      </c>
      <c r="B250" s="2">
        <f>IFERROR(__xludf.DUMMYFUNCTION("""COMPUTED_VALUE"""),1630.0)</f>
        <v>1630</v>
      </c>
      <c r="C250" s="2">
        <f>IFERROR(__xludf.DUMMYFUNCTION("""COMPUTED_VALUE"""),1645.0)</f>
        <v>1645</v>
      </c>
      <c r="D250" s="2">
        <f>IFERROR(__xludf.DUMMYFUNCTION("""COMPUTED_VALUE"""),1600.0)</f>
        <v>1600</v>
      </c>
      <c r="E250" s="2">
        <f>IFERROR(__xludf.DUMMYFUNCTION("""COMPUTED_VALUE"""),1610.0)</f>
        <v>1610</v>
      </c>
      <c r="F250" s="2">
        <f>IFERROR(__xludf.DUMMYFUNCTION("""COMPUTED_VALUE"""),1.28221E8)</f>
        <v>128221000</v>
      </c>
      <c r="G250" s="2">
        <f t="shared" si="1"/>
        <v>45</v>
      </c>
    </row>
    <row r="251" ht="15.75" customHeight="1">
      <c r="A251" s="1">
        <f>IFERROR(__xludf.DUMMYFUNCTION("""COMPUTED_VALUE"""),44209.625)</f>
        <v>44209.625</v>
      </c>
      <c r="B251" s="2">
        <f>IFERROR(__xludf.DUMMYFUNCTION("""COMPUTED_VALUE"""),1620.0)</f>
        <v>1620</v>
      </c>
      <c r="C251" s="2">
        <f>IFERROR(__xludf.DUMMYFUNCTION("""COMPUTED_VALUE"""),1645.0)</f>
        <v>1645</v>
      </c>
      <c r="D251" s="2">
        <f>IFERROR(__xludf.DUMMYFUNCTION("""COMPUTED_VALUE"""),1605.0)</f>
        <v>1605</v>
      </c>
      <c r="E251" s="2">
        <f>IFERROR(__xludf.DUMMYFUNCTION("""COMPUTED_VALUE"""),1615.0)</f>
        <v>1615</v>
      </c>
      <c r="F251" s="2">
        <f>IFERROR(__xludf.DUMMYFUNCTION("""COMPUTED_VALUE"""),1.530481E8)</f>
        <v>153048100</v>
      </c>
      <c r="G251" s="2">
        <f t="shared" si="1"/>
        <v>40</v>
      </c>
    </row>
    <row r="252" ht="15.75" customHeight="1">
      <c r="A252" s="1">
        <f>IFERROR(__xludf.DUMMYFUNCTION("""COMPUTED_VALUE"""),44210.625)</f>
        <v>44210.625</v>
      </c>
      <c r="B252" s="2">
        <f>IFERROR(__xludf.DUMMYFUNCTION("""COMPUTED_VALUE"""),1620.0)</f>
        <v>1620</v>
      </c>
      <c r="C252" s="2">
        <f>IFERROR(__xludf.DUMMYFUNCTION("""COMPUTED_VALUE"""),1865.0)</f>
        <v>1865</v>
      </c>
      <c r="D252" s="2">
        <f>IFERROR(__xludf.DUMMYFUNCTION("""COMPUTED_VALUE"""),1590.0)</f>
        <v>1590</v>
      </c>
      <c r="E252" s="2">
        <f>IFERROR(__xludf.DUMMYFUNCTION("""COMPUTED_VALUE"""),1810.0)</f>
        <v>1810</v>
      </c>
      <c r="F252" s="2">
        <f>IFERROR(__xludf.DUMMYFUNCTION("""COMPUTED_VALUE"""),1.069873E9)</f>
        <v>1069873000</v>
      </c>
      <c r="G252" s="2">
        <f t="shared" si="1"/>
        <v>275</v>
      </c>
    </row>
    <row r="253" ht="15.75" customHeight="1">
      <c r="A253" s="1">
        <f>IFERROR(__xludf.DUMMYFUNCTION("""COMPUTED_VALUE"""),44211.625)</f>
        <v>44211.625</v>
      </c>
      <c r="B253" s="2">
        <f>IFERROR(__xludf.DUMMYFUNCTION("""COMPUTED_VALUE"""),1830.0)</f>
        <v>1830</v>
      </c>
      <c r="C253" s="2">
        <f>IFERROR(__xludf.DUMMYFUNCTION("""COMPUTED_VALUE"""),1845.0)</f>
        <v>1845</v>
      </c>
      <c r="D253" s="2">
        <f>IFERROR(__xludf.DUMMYFUNCTION("""COMPUTED_VALUE"""),1770.0)</f>
        <v>1770</v>
      </c>
      <c r="E253" s="2">
        <f>IFERROR(__xludf.DUMMYFUNCTION("""COMPUTED_VALUE"""),1775.0)</f>
        <v>1775</v>
      </c>
      <c r="F253" s="2">
        <f>IFERROR(__xludf.DUMMYFUNCTION("""COMPUTED_VALUE"""),6.238397E8)</f>
        <v>623839700</v>
      </c>
      <c r="G253" s="2">
        <f t="shared" si="1"/>
        <v>75</v>
      </c>
    </row>
    <row r="254" ht="15.75" customHeight="1">
      <c r="A254" s="1">
        <f>IFERROR(__xludf.DUMMYFUNCTION("""COMPUTED_VALUE"""),44214.625)</f>
        <v>44214.625</v>
      </c>
      <c r="B254" s="2">
        <f>IFERROR(__xludf.DUMMYFUNCTION("""COMPUTED_VALUE"""),1775.0)</f>
        <v>1775</v>
      </c>
      <c r="C254" s="2">
        <f>IFERROR(__xludf.DUMMYFUNCTION("""COMPUTED_VALUE"""),1880.0)</f>
        <v>1880</v>
      </c>
      <c r="D254" s="2">
        <f>IFERROR(__xludf.DUMMYFUNCTION("""COMPUTED_VALUE"""),1735.0)</f>
        <v>1735</v>
      </c>
      <c r="E254" s="2">
        <f>IFERROR(__xludf.DUMMYFUNCTION("""COMPUTED_VALUE"""),1795.0)</f>
        <v>1795</v>
      </c>
      <c r="F254" s="2">
        <f>IFERROR(__xludf.DUMMYFUNCTION("""COMPUTED_VALUE"""),6.541629E8)</f>
        <v>654162900</v>
      </c>
      <c r="G254" s="2">
        <f t="shared" si="1"/>
        <v>145</v>
      </c>
    </row>
    <row r="255" ht="15.75" customHeight="1">
      <c r="A255" s="1">
        <f>IFERROR(__xludf.DUMMYFUNCTION("""COMPUTED_VALUE"""),44215.625)</f>
        <v>44215.625</v>
      </c>
      <c r="B255" s="2">
        <f>IFERROR(__xludf.DUMMYFUNCTION("""COMPUTED_VALUE"""),1810.0)</f>
        <v>1810</v>
      </c>
      <c r="C255" s="2">
        <f>IFERROR(__xludf.DUMMYFUNCTION("""COMPUTED_VALUE"""),1820.0)</f>
        <v>1820</v>
      </c>
      <c r="D255" s="2">
        <f>IFERROR(__xludf.DUMMYFUNCTION("""COMPUTED_VALUE"""),1670.0)</f>
        <v>1670</v>
      </c>
      <c r="E255" s="2">
        <f>IFERROR(__xludf.DUMMYFUNCTION("""COMPUTED_VALUE"""),1705.0)</f>
        <v>1705</v>
      </c>
      <c r="F255" s="2">
        <f>IFERROR(__xludf.DUMMYFUNCTION("""COMPUTED_VALUE"""),3.660898E8)</f>
        <v>366089800</v>
      </c>
      <c r="G255" s="2">
        <f t="shared" si="1"/>
        <v>150</v>
      </c>
    </row>
    <row r="256" ht="15.75" customHeight="1">
      <c r="A256" s="1">
        <f>IFERROR(__xludf.DUMMYFUNCTION("""COMPUTED_VALUE"""),44216.625)</f>
        <v>44216.625</v>
      </c>
      <c r="B256" s="2">
        <f>IFERROR(__xludf.DUMMYFUNCTION("""COMPUTED_VALUE"""),1705.0)</f>
        <v>1705</v>
      </c>
      <c r="C256" s="2">
        <f>IFERROR(__xludf.DUMMYFUNCTION("""COMPUTED_VALUE"""),1765.0)</f>
        <v>1765</v>
      </c>
      <c r="D256" s="2">
        <f>IFERROR(__xludf.DUMMYFUNCTION("""COMPUTED_VALUE"""),1685.0)</f>
        <v>1685</v>
      </c>
      <c r="E256" s="2">
        <f>IFERROR(__xludf.DUMMYFUNCTION("""COMPUTED_VALUE"""),1735.0)</f>
        <v>1735</v>
      </c>
      <c r="F256" s="2">
        <f>IFERROR(__xludf.DUMMYFUNCTION("""COMPUTED_VALUE"""),2.074356E8)</f>
        <v>207435600</v>
      </c>
      <c r="G256" s="2">
        <f t="shared" si="1"/>
        <v>80</v>
      </c>
    </row>
    <row r="257" ht="15.75" customHeight="1">
      <c r="A257" s="1">
        <f>IFERROR(__xludf.DUMMYFUNCTION("""COMPUTED_VALUE"""),44217.625)</f>
        <v>44217.625</v>
      </c>
      <c r="B257" s="2">
        <f>IFERROR(__xludf.DUMMYFUNCTION("""COMPUTED_VALUE"""),1760.0)</f>
        <v>1760</v>
      </c>
      <c r="C257" s="2">
        <f>IFERROR(__xludf.DUMMYFUNCTION("""COMPUTED_VALUE"""),1820.0)</f>
        <v>1820</v>
      </c>
      <c r="D257" s="2">
        <f>IFERROR(__xludf.DUMMYFUNCTION("""COMPUTED_VALUE"""),1710.0)</f>
        <v>1710</v>
      </c>
      <c r="E257" s="2">
        <f>IFERROR(__xludf.DUMMYFUNCTION("""COMPUTED_VALUE"""),1765.0)</f>
        <v>1765</v>
      </c>
      <c r="F257" s="2">
        <f>IFERROR(__xludf.DUMMYFUNCTION("""COMPUTED_VALUE"""),4.470669E8)</f>
        <v>447066900</v>
      </c>
      <c r="G257" s="2">
        <f t="shared" si="1"/>
        <v>110</v>
      </c>
    </row>
    <row r="258" ht="15.75" customHeight="1">
      <c r="A258" s="1">
        <f>IFERROR(__xludf.DUMMYFUNCTION("""COMPUTED_VALUE"""),44218.625)</f>
        <v>44218.625</v>
      </c>
      <c r="B258" s="2">
        <f>IFERROR(__xludf.DUMMYFUNCTION("""COMPUTED_VALUE"""),1765.0)</f>
        <v>1765</v>
      </c>
      <c r="C258" s="2">
        <f>IFERROR(__xludf.DUMMYFUNCTION("""COMPUTED_VALUE"""),1770.0)</f>
        <v>1770</v>
      </c>
      <c r="D258" s="2">
        <f>IFERROR(__xludf.DUMMYFUNCTION("""COMPUTED_VALUE"""),1675.0)</f>
        <v>1675</v>
      </c>
      <c r="E258" s="2">
        <f>IFERROR(__xludf.DUMMYFUNCTION("""COMPUTED_VALUE"""),1680.0)</f>
        <v>1680</v>
      </c>
      <c r="F258" s="2">
        <f>IFERROR(__xludf.DUMMYFUNCTION("""COMPUTED_VALUE"""),3.137801E8)</f>
        <v>313780100</v>
      </c>
      <c r="G258" s="2">
        <f t="shared" si="1"/>
        <v>95</v>
      </c>
    </row>
    <row r="259" ht="15.75" customHeight="1">
      <c r="A259" s="1">
        <f>IFERROR(__xludf.DUMMYFUNCTION("""COMPUTED_VALUE"""),44221.625)</f>
        <v>44221.625</v>
      </c>
      <c r="B259" s="2">
        <f>IFERROR(__xludf.DUMMYFUNCTION("""COMPUTED_VALUE"""),1680.0)</f>
        <v>1680</v>
      </c>
      <c r="C259" s="2">
        <f>IFERROR(__xludf.DUMMYFUNCTION("""COMPUTED_VALUE"""),1680.0)</f>
        <v>1680</v>
      </c>
      <c r="D259" s="2">
        <f>IFERROR(__xludf.DUMMYFUNCTION("""COMPUTED_VALUE"""),1605.0)</f>
        <v>1605</v>
      </c>
      <c r="E259" s="2">
        <f>IFERROR(__xludf.DUMMYFUNCTION("""COMPUTED_VALUE"""),1620.0)</f>
        <v>1620</v>
      </c>
      <c r="F259" s="2">
        <f>IFERROR(__xludf.DUMMYFUNCTION("""COMPUTED_VALUE"""),1.678396E8)</f>
        <v>167839600</v>
      </c>
      <c r="G259" s="2">
        <f t="shared" si="1"/>
        <v>75</v>
      </c>
    </row>
    <row r="260" ht="15.75" customHeight="1">
      <c r="A260" s="1">
        <f>IFERROR(__xludf.DUMMYFUNCTION("""COMPUTED_VALUE"""),44222.625)</f>
        <v>44222.625</v>
      </c>
      <c r="B260" s="2">
        <f>IFERROR(__xludf.DUMMYFUNCTION("""COMPUTED_VALUE"""),1625.0)</f>
        <v>1625</v>
      </c>
      <c r="C260" s="2">
        <f>IFERROR(__xludf.DUMMYFUNCTION("""COMPUTED_VALUE"""),1660.0)</f>
        <v>1660</v>
      </c>
      <c r="D260" s="2">
        <f>IFERROR(__xludf.DUMMYFUNCTION("""COMPUTED_VALUE"""),1510.0)</f>
        <v>1510</v>
      </c>
      <c r="E260" s="2">
        <f>IFERROR(__xludf.DUMMYFUNCTION("""COMPUTED_VALUE"""),1535.0)</f>
        <v>1535</v>
      </c>
      <c r="F260" s="2">
        <f>IFERROR(__xludf.DUMMYFUNCTION("""COMPUTED_VALUE"""),2.20785E8)</f>
        <v>220785000</v>
      </c>
      <c r="G260" s="2">
        <f t="shared" si="1"/>
        <v>150</v>
      </c>
    </row>
    <row r="261" ht="15.75" customHeight="1">
      <c r="A261" s="1">
        <f>IFERROR(__xludf.DUMMYFUNCTION("""COMPUTED_VALUE"""),44223.625)</f>
        <v>44223.625</v>
      </c>
      <c r="B261" s="2">
        <f>IFERROR(__xludf.DUMMYFUNCTION("""COMPUTED_VALUE"""),1540.0)</f>
        <v>1540</v>
      </c>
      <c r="C261" s="2">
        <f>IFERROR(__xludf.DUMMYFUNCTION("""COMPUTED_VALUE"""),1555.0)</f>
        <v>1555</v>
      </c>
      <c r="D261" s="2">
        <f>IFERROR(__xludf.DUMMYFUNCTION("""COMPUTED_VALUE"""),1440.0)</f>
        <v>1440</v>
      </c>
      <c r="E261" s="2">
        <f>IFERROR(__xludf.DUMMYFUNCTION("""COMPUTED_VALUE"""),1485.0)</f>
        <v>1485</v>
      </c>
      <c r="F261" s="2">
        <f>IFERROR(__xludf.DUMMYFUNCTION("""COMPUTED_VALUE"""),2.920121E8)</f>
        <v>292012100</v>
      </c>
      <c r="G261" s="2">
        <f t="shared" si="1"/>
        <v>115</v>
      </c>
    </row>
    <row r="262" ht="15.75" customHeight="1">
      <c r="A262" s="1">
        <f>IFERROR(__xludf.DUMMYFUNCTION("""COMPUTED_VALUE"""),44224.625)</f>
        <v>44224.625</v>
      </c>
      <c r="B262" s="2">
        <f>IFERROR(__xludf.DUMMYFUNCTION("""COMPUTED_VALUE"""),1455.0)</f>
        <v>1455</v>
      </c>
      <c r="C262" s="2">
        <f>IFERROR(__xludf.DUMMYFUNCTION("""COMPUTED_VALUE"""),1515.0)</f>
        <v>1515</v>
      </c>
      <c r="D262" s="2">
        <f>IFERROR(__xludf.DUMMYFUNCTION("""COMPUTED_VALUE"""),1385.0)</f>
        <v>1385</v>
      </c>
      <c r="E262" s="2">
        <f>IFERROR(__xludf.DUMMYFUNCTION("""COMPUTED_VALUE"""),1390.0)</f>
        <v>1390</v>
      </c>
      <c r="F262" s="2">
        <f>IFERROR(__xludf.DUMMYFUNCTION("""COMPUTED_VALUE"""),3.211004E8)</f>
        <v>321100400</v>
      </c>
      <c r="G262" s="2">
        <f t="shared" si="1"/>
        <v>130</v>
      </c>
    </row>
    <row r="263" ht="15.75" customHeight="1">
      <c r="A263" s="1">
        <f>IFERROR(__xludf.DUMMYFUNCTION("""COMPUTED_VALUE"""),44225.625)</f>
        <v>44225.625</v>
      </c>
      <c r="B263" s="2">
        <f>IFERROR(__xludf.DUMMYFUNCTION("""COMPUTED_VALUE"""),1410.0)</f>
        <v>1410</v>
      </c>
      <c r="C263" s="2">
        <f>IFERROR(__xludf.DUMMYFUNCTION("""COMPUTED_VALUE"""),1435.0)</f>
        <v>1435</v>
      </c>
      <c r="D263" s="2">
        <f>IFERROR(__xludf.DUMMYFUNCTION("""COMPUTED_VALUE"""),1305.0)</f>
        <v>1305</v>
      </c>
      <c r="E263" s="2">
        <f>IFERROR(__xludf.DUMMYFUNCTION("""COMPUTED_VALUE"""),1345.0)</f>
        <v>1345</v>
      </c>
      <c r="F263" s="2">
        <f>IFERROR(__xludf.DUMMYFUNCTION("""COMPUTED_VALUE"""),2.929626E8)</f>
        <v>292962600</v>
      </c>
      <c r="G263" s="2">
        <f t="shared" si="1"/>
        <v>130</v>
      </c>
    </row>
    <row r="264" ht="15.75" customHeight="1">
      <c r="A264" s="1">
        <f>IFERROR(__xludf.DUMMYFUNCTION("""COMPUTED_VALUE"""),44228.625)</f>
        <v>44228.625</v>
      </c>
      <c r="B264" s="2">
        <f>IFERROR(__xludf.DUMMYFUNCTION("""COMPUTED_VALUE"""),1345.0)</f>
        <v>1345</v>
      </c>
      <c r="C264" s="2">
        <f>IFERROR(__xludf.DUMMYFUNCTION("""COMPUTED_VALUE"""),1470.0)</f>
        <v>1470</v>
      </c>
      <c r="D264" s="2">
        <f>IFERROR(__xludf.DUMMYFUNCTION("""COMPUTED_VALUE"""),1270.0)</f>
        <v>1270</v>
      </c>
      <c r="E264" s="2">
        <f>IFERROR(__xludf.DUMMYFUNCTION("""COMPUTED_VALUE"""),1455.0)</f>
        <v>1455</v>
      </c>
      <c r="F264" s="2">
        <f>IFERROR(__xludf.DUMMYFUNCTION("""COMPUTED_VALUE"""),3.979019E8)</f>
        <v>397901900</v>
      </c>
      <c r="G264" s="2">
        <f t="shared" si="1"/>
        <v>200</v>
      </c>
    </row>
    <row r="265" ht="15.75" customHeight="1">
      <c r="A265" s="1">
        <f>IFERROR(__xludf.DUMMYFUNCTION("""COMPUTED_VALUE"""),44229.625)</f>
        <v>44229.625</v>
      </c>
      <c r="B265" s="2">
        <f>IFERROR(__xludf.DUMMYFUNCTION("""COMPUTED_VALUE"""),1480.0)</f>
        <v>1480</v>
      </c>
      <c r="C265" s="2">
        <f>IFERROR(__xludf.DUMMYFUNCTION("""COMPUTED_VALUE"""),1505.0)</f>
        <v>1505</v>
      </c>
      <c r="D265" s="2">
        <f>IFERROR(__xludf.DUMMYFUNCTION("""COMPUTED_VALUE"""),1440.0)</f>
        <v>1440</v>
      </c>
      <c r="E265" s="2">
        <f>IFERROR(__xludf.DUMMYFUNCTION("""COMPUTED_VALUE"""),1470.0)</f>
        <v>1470</v>
      </c>
      <c r="F265" s="2">
        <f>IFERROR(__xludf.DUMMYFUNCTION("""COMPUTED_VALUE"""),2.641169E8)</f>
        <v>264116900</v>
      </c>
      <c r="G265" s="2">
        <f t="shared" si="1"/>
        <v>65</v>
      </c>
    </row>
    <row r="266" ht="15.75" customHeight="1">
      <c r="A266" s="1">
        <f>IFERROR(__xludf.DUMMYFUNCTION("""COMPUTED_VALUE"""),44230.625)</f>
        <v>44230.625</v>
      </c>
      <c r="B266" s="2">
        <f>IFERROR(__xludf.DUMMYFUNCTION("""COMPUTED_VALUE"""),1470.0)</f>
        <v>1470</v>
      </c>
      <c r="C266" s="2">
        <f>IFERROR(__xludf.DUMMYFUNCTION("""COMPUTED_VALUE"""),1540.0)</f>
        <v>1540</v>
      </c>
      <c r="D266" s="2">
        <f>IFERROR(__xludf.DUMMYFUNCTION("""COMPUTED_VALUE"""),1445.0)</f>
        <v>1445</v>
      </c>
      <c r="E266" s="2">
        <f>IFERROR(__xludf.DUMMYFUNCTION("""COMPUTED_VALUE"""),1485.0)</f>
        <v>1485</v>
      </c>
      <c r="F266" s="2">
        <f>IFERROR(__xludf.DUMMYFUNCTION("""COMPUTED_VALUE"""),2.456253E8)</f>
        <v>245625300</v>
      </c>
      <c r="G266" s="2">
        <f t="shared" si="1"/>
        <v>95</v>
      </c>
    </row>
    <row r="267" ht="15.75" customHeight="1">
      <c r="A267" s="1">
        <f>IFERROR(__xludf.DUMMYFUNCTION("""COMPUTED_VALUE"""),44231.625)</f>
        <v>44231.625</v>
      </c>
      <c r="B267" s="2">
        <f>IFERROR(__xludf.DUMMYFUNCTION("""COMPUTED_VALUE"""),1490.0)</f>
        <v>1490</v>
      </c>
      <c r="C267" s="2">
        <f>IFERROR(__xludf.DUMMYFUNCTION("""COMPUTED_VALUE"""),1505.0)</f>
        <v>1505</v>
      </c>
      <c r="D267" s="2">
        <f>IFERROR(__xludf.DUMMYFUNCTION("""COMPUTED_VALUE"""),1450.0)</f>
        <v>1450</v>
      </c>
      <c r="E267" s="2">
        <f>IFERROR(__xludf.DUMMYFUNCTION("""COMPUTED_VALUE"""),1460.0)</f>
        <v>1460</v>
      </c>
      <c r="F267" s="2">
        <f>IFERROR(__xludf.DUMMYFUNCTION("""COMPUTED_VALUE"""),1.060272E8)</f>
        <v>106027200</v>
      </c>
      <c r="G267" s="2">
        <f t="shared" si="1"/>
        <v>55</v>
      </c>
    </row>
    <row r="268" ht="15.75" customHeight="1">
      <c r="A268" s="1">
        <f>IFERROR(__xludf.DUMMYFUNCTION("""COMPUTED_VALUE"""),44232.625)</f>
        <v>44232.625</v>
      </c>
      <c r="B268" s="2">
        <f>IFERROR(__xludf.DUMMYFUNCTION("""COMPUTED_VALUE"""),1480.0)</f>
        <v>1480</v>
      </c>
      <c r="C268" s="2">
        <f>IFERROR(__xludf.DUMMYFUNCTION("""COMPUTED_VALUE"""),1490.0)</f>
        <v>1490</v>
      </c>
      <c r="D268" s="2">
        <f>IFERROR(__xludf.DUMMYFUNCTION("""COMPUTED_VALUE"""),1460.0)</f>
        <v>1460</v>
      </c>
      <c r="E268" s="2">
        <f>IFERROR(__xludf.DUMMYFUNCTION("""COMPUTED_VALUE"""),1475.0)</f>
        <v>1475</v>
      </c>
      <c r="F268" s="2">
        <f>IFERROR(__xludf.DUMMYFUNCTION("""COMPUTED_VALUE"""),5.76515E7)</f>
        <v>57651500</v>
      </c>
      <c r="G268" s="2">
        <f t="shared" si="1"/>
        <v>30</v>
      </c>
    </row>
    <row r="269" ht="15.75" customHeight="1">
      <c r="A269" s="1">
        <f>IFERROR(__xludf.DUMMYFUNCTION("""COMPUTED_VALUE"""),44235.625)</f>
        <v>44235.625</v>
      </c>
      <c r="B269" s="2">
        <f>IFERROR(__xludf.DUMMYFUNCTION("""COMPUTED_VALUE"""),1490.0)</f>
        <v>1490</v>
      </c>
      <c r="C269" s="2">
        <f>IFERROR(__xludf.DUMMYFUNCTION("""COMPUTED_VALUE"""),1520.0)</f>
        <v>1520</v>
      </c>
      <c r="D269" s="2">
        <f>IFERROR(__xludf.DUMMYFUNCTION("""COMPUTED_VALUE"""),1485.0)</f>
        <v>1485</v>
      </c>
      <c r="E269" s="2">
        <f>IFERROR(__xludf.DUMMYFUNCTION("""COMPUTED_VALUE"""),1495.0)</f>
        <v>1495</v>
      </c>
      <c r="F269" s="2">
        <f>IFERROR(__xludf.DUMMYFUNCTION("""COMPUTED_VALUE"""),1.083852E8)</f>
        <v>108385200</v>
      </c>
      <c r="G269" s="2">
        <f t="shared" si="1"/>
        <v>45</v>
      </c>
    </row>
    <row r="270" ht="15.75" customHeight="1">
      <c r="A270" s="1">
        <f>IFERROR(__xludf.DUMMYFUNCTION("""COMPUTED_VALUE"""),44236.625)</f>
        <v>44236.625</v>
      </c>
      <c r="B270" s="2">
        <f>IFERROR(__xludf.DUMMYFUNCTION("""COMPUTED_VALUE"""),1505.0)</f>
        <v>1505</v>
      </c>
      <c r="C270" s="2">
        <f>IFERROR(__xludf.DUMMYFUNCTION("""COMPUTED_VALUE"""),1515.0)</f>
        <v>1515</v>
      </c>
      <c r="D270" s="2">
        <f>IFERROR(__xludf.DUMMYFUNCTION("""COMPUTED_VALUE"""),1425.0)</f>
        <v>1425</v>
      </c>
      <c r="E270" s="2">
        <f>IFERROR(__xludf.DUMMYFUNCTION("""COMPUTED_VALUE"""),1430.0)</f>
        <v>1430</v>
      </c>
      <c r="F270" s="2">
        <f>IFERROR(__xludf.DUMMYFUNCTION("""COMPUTED_VALUE"""),1.916915E8)</f>
        <v>191691500</v>
      </c>
      <c r="G270" s="2">
        <f t="shared" si="1"/>
        <v>90</v>
      </c>
    </row>
    <row r="271" ht="15.75" customHeight="1">
      <c r="A271" s="1">
        <f>IFERROR(__xludf.DUMMYFUNCTION("""COMPUTED_VALUE"""),44237.625)</f>
        <v>44237.625</v>
      </c>
      <c r="B271" s="2">
        <f>IFERROR(__xludf.DUMMYFUNCTION("""COMPUTED_VALUE"""),1440.0)</f>
        <v>1440</v>
      </c>
      <c r="C271" s="2">
        <f>IFERROR(__xludf.DUMMYFUNCTION("""COMPUTED_VALUE"""),1460.0)</f>
        <v>1460</v>
      </c>
      <c r="D271" s="2">
        <f>IFERROR(__xludf.DUMMYFUNCTION("""COMPUTED_VALUE"""),1395.0)</f>
        <v>1395</v>
      </c>
      <c r="E271" s="2">
        <f>IFERROR(__xludf.DUMMYFUNCTION("""COMPUTED_VALUE"""),1405.0)</f>
        <v>1405</v>
      </c>
      <c r="F271" s="2">
        <f>IFERROR(__xludf.DUMMYFUNCTION("""COMPUTED_VALUE"""),1.590039E8)</f>
        <v>159003900</v>
      </c>
      <c r="G271" s="2">
        <f t="shared" si="1"/>
        <v>65</v>
      </c>
    </row>
    <row r="272" ht="15.75" customHeight="1">
      <c r="A272" s="1">
        <f>IFERROR(__xludf.DUMMYFUNCTION("""COMPUTED_VALUE"""),44238.625)</f>
        <v>44238.625</v>
      </c>
      <c r="B272" s="2">
        <f>IFERROR(__xludf.DUMMYFUNCTION("""COMPUTED_VALUE"""),1410.0)</f>
        <v>1410</v>
      </c>
      <c r="C272" s="2">
        <f>IFERROR(__xludf.DUMMYFUNCTION("""COMPUTED_VALUE"""),1445.0)</f>
        <v>1445</v>
      </c>
      <c r="D272" s="2">
        <f>IFERROR(__xludf.DUMMYFUNCTION("""COMPUTED_VALUE"""),1395.0)</f>
        <v>1395</v>
      </c>
      <c r="E272" s="2">
        <f>IFERROR(__xludf.DUMMYFUNCTION("""COMPUTED_VALUE"""),1420.0)</f>
        <v>1420</v>
      </c>
      <c r="F272" s="2">
        <f>IFERROR(__xludf.DUMMYFUNCTION("""COMPUTED_VALUE"""),1.165254E8)</f>
        <v>116525400</v>
      </c>
      <c r="G272" s="2">
        <f t="shared" si="1"/>
        <v>50</v>
      </c>
    </row>
    <row r="273" ht="15.75" customHeight="1">
      <c r="A273" s="1">
        <f>IFERROR(__xludf.DUMMYFUNCTION("""COMPUTED_VALUE"""),44242.625)</f>
        <v>44242.625</v>
      </c>
      <c r="B273" s="2">
        <f>IFERROR(__xludf.DUMMYFUNCTION("""COMPUTED_VALUE"""),1435.0)</f>
        <v>1435</v>
      </c>
      <c r="C273" s="2">
        <f>IFERROR(__xludf.DUMMYFUNCTION("""COMPUTED_VALUE"""),1525.0)</f>
        <v>1525</v>
      </c>
      <c r="D273" s="2">
        <f>IFERROR(__xludf.DUMMYFUNCTION("""COMPUTED_VALUE"""),1435.0)</f>
        <v>1435</v>
      </c>
      <c r="E273" s="2">
        <f>IFERROR(__xludf.DUMMYFUNCTION("""COMPUTED_VALUE"""),1520.0)</f>
        <v>1520</v>
      </c>
      <c r="F273" s="2">
        <f>IFERROR(__xludf.DUMMYFUNCTION("""COMPUTED_VALUE"""),2.313615E8)</f>
        <v>231361500</v>
      </c>
      <c r="G273" s="2">
        <f t="shared" si="1"/>
        <v>105</v>
      </c>
    </row>
    <row r="274" ht="15.75" customHeight="1">
      <c r="A274" s="1">
        <f>IFERROR(__xludf.DUMMYFUNCTION("""COMPUTED_VALUE"""),44243.625)</f>
        <v>44243.625</v>
      </c>
      <c r="B274" s="2">
        <f>IFERROR(__xludf.DUMMYFUNCTION("""COMPUTED_VALUE"""),1530.0)</f>
        <v>1530</v>
      </c>
      <c r="C274" s="2">
        <f>IFERROR(__xludf.DUMMYFUNCTION("""COMPUTED_VALUE"""),1545.0)</f>
        <v>1545</v>
      </c>
      <c r="D274" s="2">
        <f>IFERROR(__xludf.DUMMYFUNCTION("""COMPUTED_VALUE"""),1500.0)</f>
        <v>1500</v>
      </c>
      <c r="E274" s="2">
        <f>IFERROR(__xludf.DUMMYFUNCTION("""COMPUTED_VALUE"""),1505.0)</f>
        <v>1505</v>
      </c>
      <c r="F274" s="2">
        <f>IFERROR(__xludf.DUMMYFUNCTION("""COMPUTED_VALUE"""),1.698494E8)</f>
        <v>169849400</v>
      </c>
      <c r="G274" s="2">
        <f t="shared" si="1"/>
        <v>45</v>
      </c>
    </row>
    <row r="275" ht="15.75" customHeight="1">
      <c r="A275" s="1">
        <f>IFERROR(__xludf.DUMMYFUNCTION("""COMPUTED_VALUE"""),44244.625)</f>
        <v>44244.625</v>
      </c>
      <c r="B275" s="2">
        <f>IFERROR(__xludf.DUMMYFUNCTION("""COMPUTED_VALUE"""),1505.0)</f>
        <v>1505</v>
      </c>
      <c r="C275" s="2">
        <f>IFERROR(__xludf.DUMMYFUNCTION("""COMPUTED_VALUE"""),1535.0)</f>
        <v>1535</v>
      </c>
      <c r="D275" s="2">
        <f>IFERROR(__xludf.DUMMYFUNCTION("""COMPUTED_VALUE"""),1455.0)</f>
        <v>1455</v>
      </c>
      <c r="E275" s="2">
        <f>IFERROR(__xludf.DUMMYFUNCTION("""COMPUTED_VALUE"""),1465.0)</f>
        <v>1465</v>
      </c>
      <c r="F275" s="2">
        <f>IFERROR(__xludf.DUMMYFUNCTION("""COMPUTED_VALUE"""),1.848426E8)</f>
        <v>184842600</v>
      </c>
      <c r="G275" s="2">
        <f t="shared" si="1"/>
        <v>80</v>
      </c>
    </row>
    <row r="276" ht="15.75" customHeight="1">
      <c r="A276" s="1">
        <f>IFERROR(__xludf.DUMMYFUNCTION("""COMPUTED_VALUE"""),44245.625)</f>
        <v>44245.625</v>
      </c>
      <c r="B276" s="2">
        <f>IFERROR(__xludf.DUMMYFUNCTION("""COMPUTED_VALUE"""),1475.0)</f>
        <v>1475</v>
      </c>
      <c r="C276" s="2">
        <f>IFERROR(__xludf.DUMMYFUNCTION("""COMPUTED_VALUE"""),1485.0)</f>
        <v>1485</v>
      </c>
      <c r="D276" s="2">
        <f>IFERROR(__xludf.DUMMYFUNCTION("""COMPUTED_VALUE"""),1445.0)</f>
        <v>1445</v>
      </c>
      <c r="E276" s="2">
        <f>IFERROR(__xludf.DUMMYFUNCTION("""COMPUTED_VALUE"""),1450.0)</f>
        <v>1450</v>
      </c>
      <c r="F276" s="2">
        <f>IFERROR(__xludf.DUMMYFUNCTION("""COMPUTED_VALUE"""),5.4961E7)</f>
        <v>54961000</v>
      </c>
      <c r="G276" s="2">
        <f t="shared" si="1"/>
        <v>40</v>
      </c>
    </row>
    <row r="277" ht="15.75" customHeight="1">
      <c r="A277" s="1">
        <f>IFERROR(__xludf.DUMMYFUNCTION("""COMPUTED_VALUE"""),44246.625)</f>
        <v>44246.625</v>
      </c>
      <c r="B277" s="2">
        <f>IFERROR(__xludf.DUMMYFUNCTION("""COMPUTED_VALUE"""),1450.0)</f>
        <v>1450</v>
      </c>
      <c r="C277" s="2">
        <f>IFERROR(__xludf.DUMMYFUNCTION("""COMPUTED_VALUE"""),1460.0)</f>
        <v>1460</v>
      </c>
      <c r="D277" s="2">
        <f>IFERROR(__xludf.DUMMYFUNCTION("""COMPUTED_VALUE"""),1425.0)</f>
        <v>1425</v>
      </c>
      <c r="E277" s="2">
        <f>IFERROR(__xludf.DUMMYFUNCTION("""COMPUTED_VALUE"""),1450.0)</f>
        <v>1450</v>
      </c>
      <c r="F277" s="2">
        <f>IFERROR(__xludf.DUMMYFUNCTION("""COMPUTED_VALUE"""),5.02155E7)</f>
        <v>50215500</v>
      </c>
      <c r="G277" s="2">
        <f t="shared" si="1"/>
        <v>35</v>
      </c>
    </row>
    <row r="278" ht="15.75" customHeight="1">
      <c r="A278" s="1">
        <f>IFERROR(__xludf.DUMMYFUNCTION("""COMPUTED_VALUE"""),44249.625)</f>
        <v>44249.625</v>
      </c>
      <c r="B278" s="2">
        <f>IFERROR(__xludf.DUMMYFUNCTION("""COMPUTED_VALUE"""),1470.0)</f>
        <v>1470</v>
      </c>
      <c r="C278" s="2">
        <f>IFERROR(__xludf.DUMMYFUNCTION("""COMPUTED_VALUE"""),1475.0)</f>
        <v>1475</v>
      </c>
      <c r="D278" s="2">
        <f>IFERROR(__xludf.DUMMYFUNCTION("""COMPUTED_VALUE"""),1440.0)</f>
        <v>1440</v>
      </c>
      <c r="E278" s="2">
        <f>IFERROR(__xludf.DUMMYFUNCTION("""COMPUTED_VALUE"""),1455.0)</f>
        <v>1455</v>
      </c>
      <c r="F278" s="2">
        <f>IFERROR(__xludf.DUMMYFUNCTION("""COMPUTED_VALUE"""),6.38326E7)</f>
        <v>63832600</v>
      </c>
      <c r="G278" s="2">
        <f t="shared" si="1"/>
        <v>35</v>
      </c>
    </row>
    <row r="279" ht="15.75" customHeight="1">
      <c r="A279" s="1">
        <f>IFERROR(__xludf.DUMMYFUNCTION("""COMPUTED_VALUE"""),44250.66666666667)</f>
        <v>44250.66667</v>
      </c>
      <c r="B279" s="2">
        <f>IFERROR(__xludf.DUMMYFUNCTION("""COMPUTED_VALUE"""),1470.0)</f>
        <v>1470</v>
      </c>
      <c r="C279" s="2">
        <f>IFERROR(__xludf.DUMMYFUNCTION("""COMPUTED_VALUE"""),1470.0)</f>
        <v>1470</v>
      </c>
      <c r="D279" s="2">
        <f>IFERROR(__xludf.DUMMYFUNCTION("""COMPUTED_VALUE"""),1445.0)</f>
        <v>1445</v>
      </c>
      <c r="E279" s="2">
        <f>IFERROR(__xludf.DUMMYFUNCTION("""COMPUTED_VALUE"""),1450.0)</f>
        <v>1450</v>
      </c>
      <c r="F279" s="2">
        <f>IFERROR(__xludf.DUMMYFUNCTION("""COMPUTED_VALUE"""),4.35593E7)</f>
        <v>43559300</v>
      </c>
      <c r="G279" s="2">
        <f t="shared" si="1"/>
        <v>25</v>
      </c>
    </row>
    <row r="280" ht="15.75" customHeight="1">
      <c r="A280" s="1">
        <f>IFERROR(__xludf.DUMMYFUNCTION("""COMPUTED_VALUE"""),44251.625)</f>
        <v>44251.625</v>
      </c>
      <c r="B280" s="2">
        <f>IFERROR(__xludf.DUMMYFUNCTION("""COMPUTED_VALUE"""),1465.0)</f>
        <v>1465</v>
      </c>
      <c r="C280" s="2">
        <f>IFERROR(__xludf.DUMMYFUNCTION("""COMPUTED_VALUE"""),1475.0)</f>
        <v>1475</v>
      </c>
      <c r="D280" s="2">
        <f>IFERROR(__xludf.DUMMYFUNCTION("""COMPUTED_VALUE"""),1415.0)</f>
        <v>1415</v>
      </c>
      <c r="E280" s="2">
        <f>IFERROR(__xludf.DUMMYFUNCTION("""COMPUTED_VALUE"""),1425.0)</f>
        <v>1425</v>
      </c>
      <c r="F280" s="2">
        <f>IFERROR(__xludf.DUMMYFUNCTION("""COMPUTED_VALUE"""),8.29075E7)</f>
        <v>82907500</v>
      </c>
      <c r="G280" s="2">
        <f t="shared" si="1"/>
        <v>60</v>
      </c>
    </row>
    <row r="281" ht="15.75" customHeight="1">
      <c r="A281" s="1">
        <f>IFERROR(__xludf.DUMMYFUNCTION("""COMPUTED_VALUE"""),44252.625)</f>
        <v>44252.625</v>
      </c>
      <c r="B281" s="2">
        <f>IFERROR(__xludf.DUMMYFUNCTION("""COMPUTED_VALUE"""),1450.0)</f>
        <v>1450</v>
      </c>
      <c r="C281" s="2">
        <f>IFERROR(__xludf.DUMMYFUNCTION("""COMPUTED_VALUE"""),1475.0)</f>
        <v>1475</v>
      </c>
      <c r="D281" s="2">
        <f>IFERROR(__xludf.DUMMYFUNCTION("""COMPUTED_VALUE"""),1440.0)</f>
        <v>1440</v>
      </c>
      <c r="E281" s="2">
        <f>IFERROR(__xludf.DUMMYFUNCTION("""COMPUTED_VALUE"""),1455.0)</f>
        <v>1455</v>
      </c>
      <c r="F281" s="2">
        <f>IFERROR(__xludf.DUMMYFUNCTION("""COMPUTED_VALUE"""),8.41732E7)</f>
        <v>84173200</v>
      </c>
      <c r="G281" s="2">
        <f t="shared" si="1"/>
        <v>50</v>
      </c>
    </row>
    <row r="282" ht="15.75" customHeight="1">
      <c r="A282" s="1">
        <f>IFERROR(__xludf.DUMMYFUNCTION("""COMPUTED_VALUE"""),44253.625)</f>
        <v>44253.625</v>
      </c>
      <c r="B282" s="2">
        <f>IFERROR(__xludf.DUMMYFUNCTION("""COMPUTED_VALUE"""),1430.0)</f>
        <v>1430</v>
      </c>
      <c r="C282" s="2">
        <f>IFERROR(__xludf.DUMMYFUNCTION("""COMPUTED_VALUE"""),1455.0)</f>
        <v>1455</v>
      </c>
      <c r="D282" s="2">
        <f>IFERROR(__xludf.DUMMYFUNCTION("""COMPUTED_VALUE"""),1420.0)</f>
        <v>1420</v>
      </c>
      <c r="E282" s="2">
        <f>IFERROR(__xludf.DUMMYFUNCTION("""COMPUTED_VALUE"""),1440.0)</f>
        <v>1440</v>
      </c>
      <c r="F282" s="2">
        <f>IFERROR(__xludf.DUMMYFUNCTION("""COMPUTED_VALUE"""),1.008848E8)</f>
        <v>100884800</v>
      </c>
      <c r="G282" s="2">
        <f t="shared" si="1"/>
        <v>35</v>
      </c>
    </row>
    <row r="283" ht="15.75" customHeight="1">
      <c r="A283" s="1">
        <f>IFERROR(__xludf.DUMMYFUNCTION("""COMPUTED_VALUE"""),44256.625)</f>
        <v>44256.625</v>
      </c>
      <c r="B283" s="2">
        <f>IFERROR(__xludf.DUMMYFUNCTION("""COMPUTED_VALUE"""),1450.0)</f>
        <v>1450</v>
      </c>
      <c r="C283" s="2">
        <f>IFERROR(__xludf.DUMMYFUNCTION("""COMPUTED_VALUE"""),1470.0)</f>
        <v>1470</v>
      </c>
      <c r="D283" s="2">
        <f>IFERROR(__xludf.DUMMYFUNCTION("""COMPUTED_VALUE"""),1440.0)</f>
        <v>1440</v>
      </c>
      <c r="E283" s="2">
        <f>IFERROR(__xludf.DUMMYFUNCTION("""COMPUTED_VALUE"""),1460.0)</f>
        <v>1460</v>
      </c>
      <c r="F283" s="2">
        <f>IFERROR(__xludf.DUMMYFUNCTION("""COMPUTED_VALUE"""),5.76048E7)</f>
        <v>57604800</v>
      </c>
      <c r="G283" s="2">
        <f t="shared" si="1"/>
        <v>30</v>
      </c>
    </row>
    <row r="284" ht="15.75" customHeight="1">
      <c r="A284" s="1">
        <f>IFERROR(__xludf.DUMMYFUNCTION("""COMPUTED_VALUE"""),44257.625)</f>
        <v>44257.625</v>
      </c>
      <c r="B284" s="2">
        <f>IFERROR(__xludf.DUMMYFUNCTION("""COMPUTED_VALUE"""),1475.0)</f>
        <v>1475</v>
      </c>
      <c r="C284" s="2">
        <f>IFERROR(__xludf.DUMMYFUNCTION("""COMPUTED_VALUE"""),1515.0)</f>
        <v>1515</v>
      </c>
      <c r="D284" s="2">
        <f>IFERROR(__xludf.DUMMYFUNCTION("""COMPUTED_VALUE"""),1460.0)</f>
        <v>1460</v>
      </c>
      <c r="E284" s="2">
        <f>IFERROR(__xludf.DUMMYFUNCTION("""COMPUTED_VALUE"""),1470.0)</f>
        <v>1470</v>
      </c>
      <c r="F284" s="2">
        <f>IFERROR(__xludf.DUMMYFUNCTION("""COMPUTED_VALUE"""),1.803784E8)</f>
        <v>180378400</v>
      </c>
      <c r="G284" s="2">
        <f t="shared" si="1"/>
        <v>55</v>
      </c>
    </row>
    <row r="285" ht="15.75" customHeight="1">
      <c r="A285" s="1">
        <f>IFERROR(__xludf.DUMMYFUNCTION("""COMPUTED_VALUE"""),44258.625)</f>
        <v>44258.625</v>
      </c>
      <c r="B285" s="2">
        <f>IFERROR(__xludf.DUMMYFUNCTION("""COMPUTED_VALUE"""),1480.0)</f>
        <v>1480</v>
      </c>
      <c r="C285" s="2">
        <f>IFERROR(__xludf.DUMMYFUNCTION("""COMPUTED_VALUE"""),1485.0)</f>
        <v>1485</v>
      </c>
      <c r="D285" s="2">
        <f>IFERROR(__xludf.DUMMYFUNCTION("""COMPUTED_VALUE"""),1455.0)</f>
        <v>1455</v>
      </c>
      <c r="E285" s="2">
        <f>IFERROR(__xludf.DUMMYFUNCTION("""COMPUTED_VALUE"""),1465.0)</f>
        <v>1465</v>
      </c>
      <c r="F285" s="2">
        <f>IFERROR(__xludf.DUMMYFUNCTION("""COMPUTED_VALUE"""),5.76056E7)</f>
        <v>57605600</v>
      </c>
      <c r="G285" s="2">
        <f t="shared" si="1"/>
        <v>30</v>
      </c>
    </row>
    <row r="286" ht="15.75" customHeight="1">
      <c r="A286" s="1">
        <f>IFERROR(__xludf.DUMMYFUNCTION("""COMPUTED_VALUE"""),44259.625)</f>
        <v>44259.625</v>
      </c>
      <c r="B286" s="2">
        <f>IFERROR(__xludf.DUMMYFUNCTION("""COMPUTED_VALUE"""),1465.0)</f>
        <v>1465</v>
      </c>
      <c r="C286" s="2">
        <f>IFERROR(__xludf.DUMMYFUNCTION("""COMPUTED_VALUE"""),1465.0)</f>
        <v>1465</v>
      </c>
      <c r="D286" s="2">
        <f>IFERROR(__xludf.DUMMYFUNCTION("""COMPUTED_VALUE"""),1420.0)</f>
        <v>1420</v>
      </c>
      <c r="E286" s="2">
        <f>IFERROR(__xludf.DUMMYFUNCTION("""COMPUTED_VALUE"""),1425.0)</f>
        <v>1425</v>
      </c>
      <c r="F286" s="2">
        <f>IFERROR(__xludf.DUMMYFUNCTION("""COMPUTED_VALUE"""),1.009554E8)</f>
        <v>100955400</v>
      </c>
      <c r="G286" s="2">
        <f t="shared" si="1"/>
        <v>45</v>
      </c>
    </row>
    <row r="287" ht="15.75" customHeight="1">
      <c r="A287" s="1">
        <f>IFERROR(__xludf.DUMMYFUNCTION("""COMPUTED_VALUE"""),44260.625)</f>
        <v>44260.625</v>
      </c>
      <c r="B287" s="2">
        <f>IFERROR(__xludf.DUMMYFUNCTION("""COMPUTED_VALUE"""),1420.0)</f>
        <v>1420</v>
      </c>
      <c r="C287" s="2">
        <f>IFERROR(__xludf.DUMMYFUNCTION("""COMPUTED_VALUE"""),1430.0)</f>
        <v>1430</v>
      </c>
      <c r="D287" s="2">
        <f>IFERROR(__xludf.DUMMYFUNCTION("""COMPUTED_VALUE"""),1395.0)</f>
        <v>1395</v>
      </c>
      <c r="E287" s="2">
        <f>IFERROR(__xludf.DUMMYFUNCTION("""COMPUTED_VALUE"""),1400.0)</f>
        <v>1400</v>
      </c>
      <c r="F287" s="2">
        <f>IFERROR(__xludf.DUMMYFUNCTION("""COMPUTED_VALUE"""),1.008729E8)</f>
        <v>100872900</v>
      </c>
      <c r="G287" s="2">
        <f t="shared" si="1"/>
        <v>35</v>
      </c>
    </row>
    <row r="288" ht="15.75" customHeight="1">
      <c r="A288" s="1">
        <f>IFERROR(__xludf.DUMMYFUNCTION("""COMPUTED_VALUE"""),44263.66666666667)</f>
        <v>44263.66667</v>
      </c>
      <c r="B288" s="2">
        <f>IFERROR(__xludf.DUMMYFUNCTION("""COMPUTED_VALUE"""),1420.0)</f>
        <v>1420</v>
      </c>
      <c r="C288" s="2">
        <f>IFERROR(__xludf.DUMMYFUNCTION("""COMPUTED_VALUE"""),1430.0)</f>
        <v>1430</v>
      </c>
      <c r="D288" s="2">
        <f>IFERROR(__xludf.DUMMYFUNCTION("""COMPUTED_VALUE"""),1405.0)</f>
        <v>1405</v>
      </c>
      <c r="E288" s="2">
        <f>IFERROR(__xludf.DUMMYFUNCTION("""COMPUTED_VALUE"""),1410.0)</f>
        <v>1410</v>
      </c>
      <c r="F288" s="2">
        <f>IFERROR(__xludf.DUMMYFUNCTION("""COMPUTED_VALUE"""),4.71649E7)</f>
        <v>47164900</v>
      </c>
      <c r="G288" s="2">
        <f t="shared" si="1"/>
        <v>30</v>
      </c>
    </row>
    <row r="289" ht="15.75" customHeight="1">
      <c r="A289" s="1">
        <f>IFERROR(__xludf.DUMMYFUNCTION("""COMPUTED_VALUE"""),44264.625)</f>
        <v>44264.625</v>
      </c>
      <c r="B289" s="2">
        <f>IFERROR(__xludf.DUMMYFUNCTION("""COMPUTED_VALUE"""),1415.0)</f>
        <v>1415</v>
      </c>
      <c r="C289" s="2">
        <f>IFERROR(__xludf.DUMMYFUNCTION("""COMPUTED_VALUE"""),1425.0)</f>
        <v>1425</v>
      </c>
      <c r="D289" s="2">
        <f>IFERROR(__xludf.DUMMYFUNCTION("""COMPUTED_VALUE"""),1370.0)</f>
        <v>1370</v>
      </c>
      <c r="E289" s="2">
        <f>IFERROR(__xludf.DUMMYFUNCTION("""COMPUTED_VALUE"""),1375.0)</f>
        <v>1375</v>
      </c>
      <c r="F289" s="2">
        <f>IFERROR(__xludf.DUMMYFUNCTION("""COMPUTED_VALUE"""),7.23411E7)</f>
        <v>72341100</v>
      </c>
      <c r="G289" s="2">
        <f t="shared" si="1"/>
        <v>55</v>
      </c>
    </row>
    <row r="290" ht="15.75" customHeight="1">
      <c r="A290" s="1">
        <f>IFERROR(__xludf.DUMMYFUNCTION("""COMPUTED_VALUE"""),44265.625)</f>
        <v>44265.625</v>
      </c>
      <c r="B290" s="2">
        <f>IFERROR(__xludf.DUMMYFUNCTION("""COMPUTED_VALUE"""),1390.0)</f>
        <v>1390</v>
      </c>
      <c r="C290" s="2">
        <f>IFERROR(__xludf.DUMMYFUNCTION("""COMPUTED_VALUE"""),1400.0)</f>
        <v>1400</v>
      </c>
      <c r="D290" s="2">
        <f>IFERROR(__xludf.DUMMYFUNCTION("""COMPUTED_VALUE"""),1380.0)</f>
        <v>1380</v>
      </c>
      <c r="E290" s="2">
        <f>IFERROR(__xludf.DUMMYFUNCTION("""COMPUTED_VALUE"""),1385.0)</f>
        <v>1385</v>
      </c>
      <c r="F290" s="2">
        <f>IFERROR(__xludf.DUMMYFUNCTION("""COMPUTED_VALUE"""),3.404E7)</f>
        <v>34040000</v>
      </c>
      <c r="G290" s="2">
        <f t="shared" si="1"/>
        <v>25</v>
      </c>
    </row>
    <row r="291" ht="15.75" customHeight="1">
      <c r="A291" s="1">
        <f>IFERROR(__xludf.DUMMYFUNCTION("""COMPUTED_VALUE"""),44267.625)</f>
        <v>44267.625</v>
      </c>
      <c r="B291" s="2">
        <f>IFERROR(__xludf.DUMMYFUNCTION("""COMPUTED_VALUE"""),1395.0)</f>
        <v>1395</v>
      </c>
      <c r="C291" s="2">
        <f>IFERROR(__xludf.DUMMYFUNCTION("""COMPUTED_VALUE"""),1425.0)</f>
        <v>1425</v>
      </c>
      <c r="D291" s="2">
        <f>IFERROR(__xludf.DUMMYFUNCTION("""COMPUTED_VALUE"""),1395.0)</f>
        <v>1395</v>
      </c>
      <c r="E291" s="2">
        <f>IFERROR(__xludf.DUMMYFUNCTION("""COMPUTED_VALUE"""),1410.0)</f>
        <v>1410</v>
      </c>
      <c r="F291" s="2">
        <f>IFERROR(__xludf.DUMMYFUNCTION("""COMPUTED_VALUE"""),4.34816E7)</f>
        <v>43481600</v>
      </c>
      <c r="G291" s="2">
        <f t="shared" si="1"/>
        <v>40</v>
      </c>
    </row>
    <row r="292" ht="15.75" customHeight="1">
      <c r="A292" s="1">
        <f>IFERROR(__xludf.DUMMYFUNCTION("""COMPUTED_VALUE"""),44270.625)</f>
        <v>44270.625</v>
      </c>
      <c r="B292" s="2">
        <f>IFERROR(__xludf.DUMMYFUNCTION("""COMPUTED_VALUE"""),1425.0)</f>
        <v>1425</v>
      </c>
      <c r="C292" s="2">
        <f>IFERROR(__xludf.DUMMYFUNCTION("""COMPUTED_VALUE"""),1430.0)</f>
        <v>1430</v>
      </c>
      <c r="D292" s="2">
        <f>IFERROR(__xludf.DUMMYFUNCTION("""COMPUTED_VALUE"""),1395.0)</f>
        <v>1395</v>
      </c>
      <c r="E292" s="2">
        <f>IFERROR(__xludf.DUMMYFUNCTION("""COMPUTED_VALUE"""),1410.0)</f>
        <v>1410</v>
      </c>
      <c r="F292" s="2">
        <f>IFERROR(__xludf.DUMMYFUNCTION("""COMPUTED_VALUE"""),4.41879E7)</f>
        <v>44187900</v>
      </c>
      <c r="G292" s="2">
        <f t="shared" si="1"/>
        <v>35</v>
      </c>
    </row>
    <row r="293" ht="15.75" customHeight="1">
      <c r="A293" s="1">
        <f>IFERROR(__xludf.DUMMYFUNCTION("""COMPUTED_VALUE"""),44271.625)</f>
        <v>44271.625</v>
      </c>
      <c r="B293" s="2">
        <f>IFERROR(__xludf.DUMMYFUNCTION("""COMPUTED_VALUE"""),1420.0)</f>
        <v>1420</v>
      </c>
      <c r="C293" s="2">
        <f>IFERROR(__xludf.DUMMYFUNCTION("""COMPUTED_VALUE"""),1420.0)</f>
        <v>1420</v>
      </c>
      <c r="D293" s="2">
        <f>IFERROR(__xludf.DUMMYFUNCTION("""COMPUTED_VALUE"""),1390.0)</f>
        <v>1390</v>
      </c>
      <c r="E293" s="2">
        <f>IFERROR(__xludf.DUMMYFUNCTION("""COMPUTED_VALUE"""),1390.0)</f>
        <v>1390</v>
      </c>
      <c r="F293" s="2">
        <f>IFERROR(__xludf.DUMMYFUNCTION("""COMPUTED_VALUE"""),4.16252E7)</f>
        <v>41625200</v>
      </c>
      <c r="G293" s="2">
        <f t="shared" si="1"/>
        <v>30</v>
      </c>
    </row>
    <row r="294" ht="15.75" customHeight="1">
      <c r="A294" s="1">
        <f>IFERROR(__xludf.DUMMYFUNCTION("""COMPUTED_VALUE"""),44272.625)</f>
        <v>44272.625</v>
      </c>
      <c r="B294" s="2">
        <f>IFERROR(__xludf.DUMMYFUNCTION("""COMPUTED_VALUE"""),1390.0)</f>
        <v>1390</v>
      </c>
      <c r="C294" s="2">
        <f>IFERROR(__xludf.DUMMYFUNCTION("""COMPUTED_VALUE"""),1405.0)</f>
        <v>1405</v>
      </c>
      <c r="D294" s="2">
        <f>IFERROR(__xludf.DUMMYFUNCTION("""COMPUTED_VALUE"""),1380.0)</f>
        <v>1380</v>
      </c>
      <c r="E294" s="2">
        <f>IFERROR(__xludf.DUMMYFUNCTION("""COMPUTED_VALUE"""),1385.0)</f>
        <v>1385</v>
      </c>
      <c r="F294" s="2">
        <f>IFERROR(__xludf.DUMMYFUNCTION("""COMPUTED_VALUE"""),4.80074E7)</f>
        <v>48007400</v>
      </c>
      <c r="G294" s="2">
        <f t="shared" si="1"/>
        <v>25</v>
      </c>
    </row>
    <row r="295" ht="15.75" customHeight="1">
      <c r="A295" s="1">
        <f>IFERROR(__xludf.DUMMYFUNCTION("""COMPUTED_VALUE"""),44273.625)</f>
        <v>44273.625</v>
      </c>
      <c r="B295" s="2">
        <f>IFERROR(__xludf.DUMMYFUNCTION("""COMPUTED_VALUE"""),1395.0)</f>
        <v>1395</v>
      </c>
      <c r="C295" s="2">
        <f>IFERROR(__xludf.DUMMYFUNCTION("""COMPUTED_VALUE"""),1415.0)</f>
        <v>1415</v>
      </c>
      <c r="D295" s="2">
        <f>IFERROR(__xludf.DUMMYFUNCTION("""COMPUTED_VALUE"""),1395.0)</f>
        <v>1395</v>
      </c>
      <c r="E295" s="2">
        <f>IFERROR(__xludf.DUMMYFUNCTION("""COMPUTED_VALUE"""),1405.0)</f>
        <v>1405</v>
      </c>
      <c r="F295" s="2">
        <f>IFERROR(__xludf.DUMMYFUNCTION("""COMPUTED_VALUE"""),6.02494E7)</f>
        <v>60249400</v>
      </c>
      <c r="G295" s="2">
        <f t="shared" si="1"/>
        <v>30</v>
      </c>
    </row>
    <row r="296" ht="15.75" customHeight="1">
      <c r="A296" s="1">
        <f>IFERROR(__xludf.DUMMYFUNCTION("""COMPUTED_VALUE"""),44274.625)</f>
        <v>44274.625</v>
      </c>
      <c r="B296" s="2">
        <f>IFERROR(__xludf.DUMMYFUNCTION("""COMPUTED_VALUE"""),1400.0)</f>
        <v>1400</v>
      </c>
      <c r="C296" s="2">
        <f>IFERROR(__xludf.DUMMYFUNCTION("""COMPUTED_VALUE"""),1425.0)</f>
        <v>1425</v>
      </c>
      <c r="D296" s="2">
        <f>IFERROR(__xludf.DUMMYFUNCTION("""COMPUTED_VALUE"""),1375.0)</f>
        <v>1375</v>
      </c>
      <c r="E296" s="2">
        <f>IFERROR(__xludf.DUMMYFUNCTION("""COMPUTED_VALUE"""),1425.0)</f>
        <v>1425</v>
      </c>
      <c r="F296" s="2">
        <f>IFERROR(__xludf.DUMMYFUNCTION("""COMPUTED_VALUE"""),1.013863E8)</f>
        <v>101386300</v>
      </c>
      <c r="G296" s="2">
        <f t="shared" si="1"/>
        <v>50</v>
      </c>
    </row>
    <row r="297" ht="15.75" customHeight="1">
      <c r="A297" s="1">
        <f>IFERROR(__xludf.DUMMYFUNCTION("""COMPUTED_VALUE"""),44277.625)</f>
        <v>44277.625</v>
      </c>
      <c r="B297" s="2">
        <f>IFERROR(__xludf.DUMMYFUNCTION("""COMPUTED_VALUE"""),1420.0)</f>
        <v>1420</v>
      </c>
      <c r="C297" s="2">
        <f>IFERROR(__xludf.DUMMYFUNCTION("""COMPUTED_VALUE"""),1425.0)</f>
        <v>1425</v>
      </c>
      <c r="D297" s="2">
        <f>IFERROR(__xludf.DUMMYFUNCTION("""COMPUTED_VALUE"""),1390.0)</f>
        <v>1390</v>
      </c>
      <c r="E297" s="2">
        <f>IFERROR(__xludf.DUMMYFUNCTION("""COMPUTED_VALUE"""),1400.0)</f>
        <v>1400</v>
      </c>
      <c r="F297" s="2">
        <f>IFERROR(__xludf.DUMMYFUNCTION("""COMPUTED_VALUE"""),4.39097E7)</f>
        <v>43909700</v>
      </c>
      <c r="G297" s="2">
        <f t="shared" si="1"/>
        <v>35</v>
      </c>
    </row>
    <row r="298" ht="15.75" customHeight="1">
      <c r="A298" s="1">
        <f>IFERROR(__xludf.DUMMYFUNCTION("""COMPUTED_VALUE"""),44278.625)</f>
        <v>44278.625</v>
      </c>
      <c r="B298" s="2">
        <f>IFERROR(__xludf.DUMMYFUNCTION("""COMPUTED_VALUE"""),1400.0)</f>
        <v>1400</v>
      </c>
      <c r="C298" s="2">
        <f>IFERROR(__xludf.DUMMYFUNCTION("""COMPUTED_VALUE"""),1410.0)</f>
        <v>1410</v>
      </c>
      <c r="D298" s="2">
        <f>IFERROR(__xludf.DUMMYFUNCTION("""COMPUTED_VALUE"""),1375.0)</f>
        <v>1375</v>
      </c>
      <c r="E298" s="2">
        <f>IFERROR(__xludf.DUMMYFUNCTION("""COMPUTED_VALUE"""),1380.0)</f>
        <v>1380</v>
      </c>
      <c r="F298" s="2">
        <f>IFERROR(__xludf.DUMMYFUNCTION("""COMPUTED_VALUE"""),4.50275E7)</f>
        <v>45027500</v>
      </c>
      <c r="G298" s="2">
        <f t="shared" si="1"/>
        <v>35</v>
      </c>
    </row>
    <row r="299" ht="15.75" customHeight="1">
      <c r="A299" s="1">
        <f>IFERROR(__xludf.DUMMYFUNCTION("""COMPUTED_VALUE"""),44279.625)</f>
        <v>44279.625</v>
      </c>
      <c r="B299" s="2">
        <f>IFERROR(__xludf.DUMMYFUNCTION("""COMPUTED_VALUE"""),1370.0)</f>
        <v>1370</v>
      </c>
      <c r="C299" s="2">
        <f>IFERROR(__xludf.DUMMYFUNCTION("""COMPUTED_VALUE"""),1380.0)</f>
        <v>1380</v>
      </c>
      <c r="D299" s="2">
        <f>IFERROR(__xludf.DUMMYFUNCTION("""COMPUTED_VALUE"""),1355.0)</f>
        <v>1355</v>
      </c>
      <c r="E299" s="2">
        <f>IFERROR(__xludf.DUMMYFUNCTION("""COMPUTED_VALUE"""),1360.0)</f>
        <v>1360</v>
      </c>
      <c r="F299" s="2">
        <f>IFERROR(__xludf.DUMMYFUNCTION("""COMPUTED_VALUE"""),4.42238E7)</f>
        <v>44223800</v>
      </c>
      <c r="G299" s="2">
        <f t="shared" si="1"/>
        <v>25</v>
      </c>
    </row>
    <row r="300" ht="15.75" customHeight="1">
      <c r="A300" s="1">
        <f>IFERROR(__xludf.DUMMYFUNCTION("""COMPUTED_VALUE"""),44280.625)</f>
        <v>44280.625</v>
      </c>
      <c r="B300" s="2">
        <f>IFERROR(__xludf.DUMMYFUNCTION("""COMPUTED_VALUE"""),1350.0)</f>
        <v>1350</v>
      </c>
      <c r="C300" s="2">
        <f>IFERROR(__xludf.DUMMYFUNCTION("""COMPUTED_VALUE"""),1370.0)</f>
        <v>1370</v>
      </c>
      <c r="D300" s="2">
        <f>IFERROR(__xludf.DUMMYFUNCTION("""COMPUTED_VALUE"""),1310.0)</f>
        <v>1310</v>
      </c>
      <c r="E300" s="2">
        <f>IFERROR(__xludf.DUMMYFUNCTION("""COMPUTED_VALUE"""),1325.0)</f>
        <v>1325</v>
      </c>
      <c r="F300" s="2">
        <f>IFERROR(__xludf.DUMMYFUNCTION("""COMPUTED_VALUE"""),6.97296E7)</f>
        <v>69729600</v>
      </c>
      <c r="G300" s="2">
        <f t="shared" si="1"/>
        <v>60</v>
      </c>
    </row>
    <row r="301" ht="15.75" customHeight="1">
      <c r="A301" s="1">
        <f>IFERROR(__xludf.DUMMYFUNCTION("""COMPUTED_VALUE"""),44281.625)</f>
        <v>44281.625</v>
      </c>
      <c r="B301" s="2">
        <f>IFERROR(__xludf.DUMMYFUNCTION("""COMPUTED_VALUE"""),1330.0)</f>
        <v>1330</v>
      </c>
      <c r="C301" s="2">
        <f>IFERROR(__xludf.DUMMYFUNCTION("""COMPUTED_VALUE"""),1370.0)</f>
        <v>1370</v>
      </c>
      <c r="D301" s="2">
        <f>IFERROR(__xludf.DUMMYFUNCTION("""COMPUTED_VALUE"""),1325.0)</f>
        <v>1325</v>
      </c>
      <c r="E301" s="2">
        <f>IFERROR(__xludf.DUMMYFUNCTION("""COMPUTED_VALUE"""),1360.0)</f>
        <v>1360</v>
      </c>
      <c r="F301" s="2">
        <f>IFERROR(__xludf.DUMMYFUNCTION("""COMPUTED_VALUE"""),4.54161E7)</f>
        <v>45416100</v>
      </c>
      <c r="G301" s="2">
        <f t="shared" si="1"/>
        <v>45</v>
      </c>
    </row>
    <row r="302" ht="15.75" customHeight="1">
      <c r="A302" s="1">
        <f>IFERROR(__xludf.DUMMYFUNCTION("""COMPUTED_VALUE"""),44284.625)</f>
        <v>44284.625</v>
      </c>
      <c r="B302" s="2">
        <f>IFERROR(__xludf.DUMMYFUNCTION("""COMPUTED_VALUE"""),1370.0)</f>
        <v>1370</v>
      </c>
      <c r="C302" s="2">
        <f>IFERROR(__xludf.DUMMYFUNCTION("""COMPUTED_VALUE"""),1405.0)</f>
        <v>1405</v>
      </c>
      <c r="D302" s="2">
        <f>IFERROR(__xludf.DUMMYFUNCTION("""COMPUTED_VALUE"""),1360.0)</f>
        <v>1360</v>
      </c>
      <c r="E302" s="2">
        <f>IFERROR(__xludf.DUMMYFUNCTION("""COMPUTED_VALUE"""),1375.0)</f>
        <v>1375</v>
      </c>
      <c r="F302" s="2">
        <f>IFERROR(__xludf.DUMMYFUNCTION("""COMPUTED_VALUE"""),5.85798E7)</f>
        <v>58579800</v>
      </c>
      <c r="G302" s="2">
        <f t="shared" si="1"/>
        <v>45</v>
      </c>
    </row>
    <row r="303" ht="15.75" customHeight="1">
      <c r="A303" s="1">
        <f>IFERROR(__xludf.DUMMYFUNCTION("""COMPUTED_VALUE"""),44285.625)</f>
        <v>44285.625</v>
      </c>
      <c r="B303" s="2">
        <f>IFERROR(__xludf.DUMMYFUNCTION("""COMPUTED_VALUE"""),1380.0)</f>
        <v>1380</v>
      </c>
      <c r="C303" s="2">
        <f>IFERROR(__xludf.DUMMYFUNCTION("""COMPUTED_VALUE"""),1385.0)</f>
        <v>1385</v>
      </c>
      <c r="D303" s="2">
        <f>IFERROR(__xludf.DUMMYFUNCTION("""COMPUTED_VALUE"""),1325.0)</f>
        <v>1325</v>
      </c>
      <c r="E303" s="2">
        <f>IFERROR(__xludf.DUMMYFUNCTION("""COMPUTED_VALUE"""),1325.0)</f>
        <v>1325</v>
      </c>
      <c r="F303" s="2">
        <f>IFERROR(__xludf.DUMMYFUNCTION("""COMPUTED_VALUE"""),5.07683E7)</f>
        <v>50768300</v>
      </c>
      <c r="G303" s="2">
        <f t="shared" si="1"/>
        <v>60</v>
      </c>
    </row>
    <row r="304" ht="15.75" customHeight="1">
      <c r="A304" s="1">
        <f>IFERROR(__xludf.DUMMYFUNCTION("""COMPUTED_VALUE"""),44286.625)</f>
        <v>44286.625</v>
      </c>
      <c r="B304" s="2">
        <f>IFERROR(__xludf.DUMMYFUNCTION("""COMPUTED_VALUE"""),1325.0)</f>
        <v>1325</v>
      </c>
      <c r="C304" s="2">
        <f>IFERROR(__xludf.DUMMYFUNCTION("""COMPUTED_VALUE"""),1340.0)</f>
        <v>1340</v>
      </c>
      <c r="D304" s="2">
        <f>IFERROR(__xludf.DUMMYFUNCTION("""COMPUTED_VALUE"""),1290.0)</f>
        <v>1290</v>
      </c>
      <c r="E304" s="2">
        <f>IFERROR(__xludf.DUMMYFUNCTION("""COMPUTED_VALUE"""),1315.0)</f>
        <v>1315</v>
      </c>
      <c r="F304" s="2">
        <f>IFERROR(__xludf.DUMMYFUNCTION("""COMPUTED_VALUE"""),7.07438E7)</f>
        <v>70743800</v>
      </c>
      <c r="G304" s="2">
        <f t="shared" si="1"/>
        <v>50</v>
      </c>
    </row>
    <row r="305" ht="15.75" customHeight="1">
      <c r="A305" s="1">
        <f>IFERROR(__xludf.DUMMYFUNCTION("""COMPUTED_VALUE"""),44287.625)</f>
        <v>44287.625</v>
      </c>
      <c r="B305" s="2">
        <f>IFERROR(__xludf.DUMMYFUNCTION("""COMPUTED_VALUE"""),1325.0)</f>
        <v>1325</v>
      </c>
      <c r="C305" s="2">
        <f>IFERROR(__xludf.DUMMYFUNCTION("""COMPUTED_VALUE"""),1330.0)</f>
        <v>1330</v>
      </c>
      <c r="D305" s="2">
        <f>IFERROR(__xludf.DUMMYFUNCTION("""COMPUTED_VALUE"""),1300.0)</f>
        <v>1300</v>
      </c>
      <c r="E305" s="2">
        <f>IFERROR(__xludf.DUMMYFUNCTION("""COMPUTED_VALUE"""),1315.0)</f>
        <v>1315</v>
      </c>
      <c r="F305" s="2">
        <f>IFERROR(__xludf.DUMMYFUNCTION("""COMPUTED_VALUE"""),3.04873E7)</f>
        <v>30487300</v>
      </c>
      <c r="G305" s="2">
        <f t="shared" si="1"/>
        <v>30</v>
      </c>
    </row>
    <row r="306" ht="15.75" customHeight="1">
      <c r="A306" s="1">
        <f>IFERROR(__xludf.DUMMYFUNCTION("""COMPUTED_VALUE"""),44291.625)</f>
        <v>44291.625</v>
      </c>
      <c r="B306" s="2">
        <f>IFERROR(__xludf.DUMMYFUNCTION("""COMPUTED_VALUE"""),1330.0)</f>
        <v>1330</v>
      </c>
      <c r="C306" s="2">
        <f>IFERROR(__xludf.DUMMYFUNCTION("""COMPUTED_VALUE"""),1335.0)</f>
        <v>1335</v>
      </c>
      <c r="D306" s="2">
        <f>IFERROR(__xludf.DUMMYFUNCTION("""COMPUTED_VALUE"""),1270.0)</f>
        <v>1270</v>
      </c>
      <c r="E306" s="2">
        <f>IFERROR(__xludf.DUMMYFUNCTION("""COMPUTED_VALUE"""),1280.0)</f>
        <v>1280</v>
      </c>
      <c r="F306" s="2">
        <f>IFERROR(__xludf.DUMMYFUNCTION("""COMPUTED_VALUE"""),6.1313E7)</f>
        <v>61313000</v>
      </c>
      <c r="G306" s="2">
        <f t="shared" si="1"/>
        <v>65</v>
      </c>
    </row>
    <row r="307" ht="15.75" customHeight="1">
      <c r="A307" s="1">
        <f>IFERROR(__xludf.DUMMYFUNCTION("""COMPUTED_VALUE"""),44292.625)</f>
        <v>44292.625</v>
      </c>
      <c r="B307" s="2">
        <f>IFERROR(__xludf.DUMMYFUNCTION("""COMPUTED_VALUE"""),1285.0)</f>
        <v>1285</v>
      </c>
      <c r="C307" s="2">
        <f>IFERROR(__xludf.DUMMYFUNCTION("""COMPUTED_VALUE"""),1295.0)</f>
        <v>1295</v>
      </c>
      <c r="D307" s="2">
        <f>IFERROR(__xludf.DUMMYFUNCTION("""COMPUTED_VALUE"""),1270.0)</f>
        <v>1270</v>
      </c>
      <c r="E307" s="2">
        <f>IFERROR(__xludf.DUMMYFUNCTION("""COMPUTED_VALUE"""),1295.0)</f>
        <v>1295</v>
      </c>
      <c r="F307" s="2">
        <f>IFERROR(__xludf.DUMMYFUNCTION("""COMPUTED_VALUE"""),2.56882E7)</f>
        <v>25688200</v>
      </c>
      <c r="G307" s="2">
        <f t="shared" si="1"/>
        <v>25</v>
      </c>
    </row>
    <row r="308" ht="15.75" customHeight="1">
      <c r="A308" s="1">
        <f>IFERROR(__xludf.DUMMYFUNCTION("""COMPUTED_VALUE"""),44293.625)</f>
        <v>44293.625</v>
      </c>
      <c r="B308" s="2">
        <f>IFERROR(__xludf.DUMMYFUNCTION("""COMPUTED_VALUE"""),1295.0)</f>
        <v>1295</v>
      </c>
      <c r="C308" s="2">
        <f>IFERROR(__xludf.DUMMYFUNCTION("""COMPUTED_VALUE"""),1305.0)</f>
        <v>1305</v>
      </c>
      <c r="D308" s="2">
        <f>IFERROR(__xludf.DUMMYFUNCTION("""COMPUTED_VALUE"""),1285.0)</f>
        <v>1285</v>
      </c>
      <c r="E308" s="2">
        <f>IFERROR(__xludf.DUMMYFUNCTION("""COMPUTED_VALUE"""),1300.0)</f>
        <v>1300</v>
      </c>
      <c r="F308" s="2">
        <f>IFERROR(__xludf.DUMMYFUNCTION("""COMPUTED_VALUE"""),2.78023E7)</f>
        <v>27802300</v>
      </c>
      <c r="G308" s="2">
        <f t="shared" si="1"/>
        <v>20</v>
      </c>
    </row>
    <row r="309" ht="15.75" customHeight="1">
      <c r="A309" s="1">
        <f>IFERROR(__xludf.DUMMYFUNCTION("""COMPUTED_VALUE"""),44294.625)</f>
        <v>44294.625</v>
      </c>
      <c r="B309" s="2">
        <f>IFERROR(__xludf.DUMMYFUNCTION("""COMPUTED_VALUE"""),1295.0)</f>
        <v>1295</v>
      </c>
      <c r="C309" s="2">
        <f>IFERROR(__xludf.DUMMYFUNCTION("""COMPUTED_VALUE"""),1305.0)</f>
        <v>1305</v>
      </c>
      <c r="D309" s="2">
        <f>IFERROR(__xludf.DUMMYFUNCTION("""COMPUTED_VALUE"""),1290.0)</f>
        <v>1290</v>
      </c>
      <c r="E309" s="2">
        <f>IFERROR(__xludf.DUMMYFUNCTION("""COMPUTED_VALUE"""),1300.0)</f>
        <v>1300</v>
      </c>
      <c r="F309" s="2">
        <f>IFERROR(__xludf.DUMMYFUNCTION("""COMPUTED_VALUE"""),3.40642E7)</f>
        <v>34064200</v>
      </c>
      <c r="G309" s="2">
        <f t="shared" si="1"/>
        <v>15</v>
      </c>
    </row>
    <row r="310" ht="15.75" customHeight="1">
      <c r="A310" s="1">
        <f>IFERROR(__xludf.DUMMYFUNCTION("""COMPUTED_VALUE"""),44295.625)</f>
        <v>44295.625</v>
      </c>
      <c r="B310" s="2">
        <f>IFERROR(__xludf.DUMMYFUNCTION("""COMPUTED_VALUE"""),1305.0)</f>
        <v>1305</v>
      </c>
      <c r="C310" s="2">
        <f>IFERROR(__xludf.DUMMYFUNCTION("""COMPUTED_VALUE"""),1345.0)</f>
        <v>1345</v>
      </c>
      <c r="D310" s="2">
        <f>IFERROR(__xludf.DUMMYFUNCTION("""COMPUTED_VALUE"""),1300.0)</f>
        <v>1300</v>
      </c>
      <c r="E310" s="2">
        <f>IFERROR(__xludf.DUMMYFUNCTION("""COMPUTED_VALUE"""),1320.0)</f>
        <v>1320</v>
      </c>
      <c r="F310" s="2">
        <f>IFERROR(__xludf.DUMMYFUNCTION("""COMPUTED_VALUE"""),5.51885E7)</f>
        <v>55188500</v>
      </c>
      <c r="G310" s="2">
        <f t="shared" si="1"/>
        <v>45</v>
      </c>
    </row>
    <row r="311" ht="15.75" customHeight="1">
      <c r="A311" s="1">
        <f>IFERROR(__xludf.DUMMYFUNCTION("""COMPUTED_VALUE"""),44298.625)</f>
        <v>44298.625</v>
      </c>
      <c r="B311" s="2">
        <f>IFERROR(__xludf.DUMMYFUNCTION("""COMPUTED_VALUE"""),1275.0)</f>
        <v>1275</v>
      </c>
      <c r="C311" s="2">
        <f>IFERROR(__xludf.DUMMYFUNCTION("""COMPUTED_VALUE"""),1275.0)</f>
        <v>1275</v>
      </c>
      <c r="D311" s="2">
        <f>IFERROR(__xludf.DUMMYFUNCTION("""COMPUTED_VALUE"""),1230.0)</f>
        <v>1230</v>
      </c>
      <c r="E311" s="2">
        <f>IFERROR(__xludf.DUMMYFUNCTION("""COMPUTED_VALUE"""),1230.0)</f>
        <v>1230</v>
      </c>
      <c r="F311" s="2">
        <f>IFERROR(__xludf.DUMMYFUNCTION("""COMPUTED_VALUE"""),1.448015E8)</f>
        <v>144801500</v>
      </c>
      <c r="G311" s="2">
        <f t="shared" si="1"/>
        <v>90</v>
      </c>
    </row>
    <row r="312" ht="15.75" customHeight="1">
      <c r="A312" s="1">
        <f>IFERROR(__xludf.DUMMYFUNCTION("""COMPUTED_VALUE"""),44299.625)</f>
        <v>44299.625</v>
      </c>
      <c r="B312" s="2">
        <f>IFERROR(__xludf.DUMMYFUNCTION("""COMPUTED_VALUE"""),1210.0)</f>
        <v>1210</v>
      </c>
      <c r="C312" s="2">
        <f>IFERROR(__xludf.DUMMYFUNCTION("""COMPUTED_VALUE"""),1210.0)</f>
        <v>1210</v>
      </c>
      <c r="D312" s="2">
        <f>IFERROR(__xludf.DUMMYFUNCTION("""COMPUTED_VALUE"""),1145.0)</f>
        <v>1145</v>
      </c>
      <c r="E312" s="2">
        <f>IFERROR(__xludf.DUMMYFUNCTION("""COMPUTED_VALUE"""),1180.0)</f>
        <v>1180</v>
      </c>
      <c r="F312" s="2">
        <f>IFERROR(__xludf.DUMMYFUNCTION("""COMPUTED_VALUE"""),1.993917E8)</f>
        <v>199391700</v>
      </c>
      <c r="G312" s="2">
        <f t="shared" si="1"/>
        <v>85</v>
      </c>
    </row>
    <row r="313" ht="15.75" customHeight="1">
      <c r="A313" s="1">
        <f>IFERROR(__xludf.DUMMYFUNCTION("""COMPUTED_VALUE"""),44300.625)</f>
        <v>44300.625</v>
      </c>
      <c r="B313" s="2">
        <f>IFERROR(__xludf.DUMMYFUNCTION("""COMPUTED_VALUE"""),1195.0)</f>
        <v>1195</v>
      </c>
      <c r="C313" s="2">
        <f>IFERROR(__xludf.DUMMYFUNCTION("""COMPUTED_VALUE"""),1215.0)</f>
        <v>1215</v>
      </c>
      <c r="D313" s="2">
        <f>IFERROR(__xludf.DUMMYFUNCTION("""COMPUTED_VALUE"""),1180.0)</f>
        <v>1180</v>
      </c>
      <c r="E313" s="2">
        <f>IFERROR(__xludf.DUMMYFUNCTION("""COMPUTED_VALUE"""),1210.0)</f>
        <v>1210</v>
      </c>
      <c r="F313" s="2">
        <f>IFERROR(__xludf.DUMMYFUNCTION("""COMPUTED_VALUE"""),1.070266E8)</f>
        <v>107026600</v>
      </c>
      <c r="G313" s="2">
        <f t="shared" si="1"/>
        <v>35</v>
      </c>
    </row>
    <row r="314" ht="15.75" customHeight="1">
      <c r="A314" s="1">
        <f>IFERROR(__xludf.DUMMYFUNCTION("""COMPUTED_VALUE"""),44301.625)</f>
        <v>44301.625</v>
      </c>
      <c r="B314" s="2">
        <f>IFERROR(__xludf.DUMMYFUNCTION("""COMPUTED_VALUE"""),1215.0)</f>
        <v>1215</v>
      </c>
      <c r="C314" s="2">
        <f>IFERROR(__xludf.DUMMYFUNCTION("""COMPUTED_VALUE"""),1220.0)</f>
        <v>1220</v>
      </c>
      <c r="D314" s="2">
        <f>IFERROR(__xludf.DUMMYFUNCTION("""COMPUTED_VALUE"""),1190.0)</f>
        <v>1190</v>
      </c>
      <c r="E314" s="2">
        <f>IFERROR(__xludf.DUMMYFUNCTION("""COMPUTED_VALUE"""),1205.0)</f>
        <v>1205</v>
      </c>
      <c r="F314" s="2">
        <f>IFERROR(__xludf.DUMMYFUNCTION("""COMPUTED_VALUE"""),4.97382E7)</f>
        <v>49738200</v>
      </c>
      <c r="G314" s="2">
        <f t="shared" si="1"/>
        <v>30</v>
      </c>
    </row>
    <row r="315" ht="15.75" customHeight="1">
      <c r="A315" s="1">
        <f>IFERROR(__xludf.DUMMYFUNCTION("""COMPUTED_VALUE"""),44302.625)</f>
        <v>44302.625</v>
      </c>
      <c r="B315" s="2">
        <f>IFERROR(__xludf.DUMMYFUNCTION("""COMPUTED_VALUE"""),1205.0)</f>
        <v>1205</v>
      </c>
      <c r="C315" s="2">
        <f>IFERROR(__xludf.DUMMYFUNCTION("""COMPUTED_VALUE"""),1210.0)</f>
        <v>1210</v>
      </c>
      <c r="D315" s="2">
        <f>IFERROR(__xludf.DUMMYFUNCTION("""COMPUTED_VALUE"""),1170.0)</f>
        <v>1170</v>
      </c>
      <c r="E315" s="2">
        <f>IFERROR(__xludf.DUMMYFUNCTION("""COMPUTED_VALUE"""),1175.0)</f>
        <v>1175</v>
      </c>
      <c r="F315" s="2">
        <f>IFERROR(__xludf.DUMMYFUNCTION("""COMPUTED_VALUE"""),6.86852E7)</f>
        <v>68685200</v>
      </c>
      <c r="G315" s="2">
        <f t="shared" si="1"/>
        <v>40</v>
      </c>
    </row>
    <row r="316" ht="15.75" customHeight="1">
      <c r="A316" s="1">
        <f>IFERROR(__xludf.DUMMYFUNCTION("""COMPUTED_VALUE"""),44305.625)</f>
        <v>44305.625</v>
      </c>
      <c r="B316" s="2">
        <f>IFERROR(__xludf.DUMMYFUNCTION("""COMPUTED_VALUE"""),1175.0)</f>
        <v>1175</v>
      </c>
      <c r="C316" s="2">
        <f>IFERROR(__xludf.DUMMYFUNCTION("""COMPUTED_VALUE"""),1205.0)</f>
        <v>1205</v>
      </c>
      <c r="D316" s="2">
        <f>IFERROR(__xludf.DUMMYFUNCTION("""COMPUTED_VALUE"""),1175.0)</f>
        <v>1175</v>
      </c>
      <c r="E316" s="2">
        <f>IFERROR(__xludf.DUMMYFUNCTION("""COMPUTED_VALUE"""),1190.0)</f>
        <v>1190</v>
      </c>
      <c r="F316" s="2">
        <f>IFERROR(__xludf.DUMMYFUNCTION("""COMPUTED_VALUE"""),5.55599E7)</f>
        <v>55559900</v>
      </c>
      <c r="G316" s="2">
        <f t="shared" si="1"/>
        <v>30</v>
      </c>
    </row>
    <row r="317" ht="15.75" customHeight="1">
      <c r="A317" s="1">
        <f>IFERROR(__xludf.DUMMYFUNCTION("""COMPUTED_VALUE"""),44306.625)</f>
        <v>44306.625</v>
      </c>
      <c r="B317" s="2">
        <f>IFERROR(__xludf.DUMMYFUNCTION("""COMPUTED_VALUE"""),1195.0)</f>
        <v>1195</v>
      </c>
      <c r="C317" s="2">
        <f>IFERROR(__xludf.DUMMYFUNCTION("""COMPUTED_VALUE"""),1205.0)</f>
        <v>1205</v>
      </c>
      <c r="D317" s="2">
        <f>IFERROR(__xludf.DUMMYFUNCTION("""COMPUTED_VALUE"""),1180.0)</f>
        <v>1180</v>
      </c>
      <c r="E317" s="2">
        <f>IFERROR(__xludf.DUMMYFUNCTION("""COMPUTED_VALUE"""),1200.0)</f>
        <v>1200</v>
      </c>
      <c r="F317" s="2">
        <f>IFERROR(__xludf.DUMMYFUNCTION("""COMPUTED_VALUE"""),4.97148E7)</f>
        <v>49714800</v>
      </c>
      <c r="G317" s="2">
        <f t="shared" si="1"/>
        <v>25</v>
      </c>
    </row>
    <row r="318" ht="15.75" customHeight="1">
      <c r="A318" s="1">
        <f>IFERROR(__xludf.DUMMYFUNCTION("""COMPUTED_VALUE"""),44307.625)</f>
        <v>44307.625</v>
      </c>
      <c r="B318" s="2">
        <f>IFERROR(__xludf.DUMMYFUNCTION("""COMPUTED_VALUE"""),1200.0)</f>
        <v>1200</v>
      </c>
      <c r="C318" s="2">
        <f>IFERROR(__xludf.DUMMYFUNCTION("""COMPUTED_VALUE"""),1265.0)</f>
        <v>1265</v>
      </c>
      <c r="D318" s="2">
        <f>IFERROR(__xludf.DUMMYFUNCTION("""COMPUTED_VALUE"""),1190.0)</f>
        <v>1190</v>
      </c>
      <c r="E318" s="2">
        <f>IFERROR(__xludf.DUMMYFUNCTION("""COMPUTED_VALUE"""),1250.0)</f>
        <v>1250</v>
      </c>
      <c r="F318" s="2">
        <f>IFERROR(__xludf.DUMMYFUNCTION("""COMPUTED_VALUE"""),1.383455E8)</f>
        <v>138345500</v>
      </c>
      <c r="G318" s="2">
        <f t="shared" si="1"/>
        <v>75</v>
      </c>
    </row>
    <row r="319" ht="15.75" customHeight="1">
      <c r="A319" s="1">
        <f>IFERROR(__xludf.DUMMYFUNCTION("""COMPUTED_VALUE"""),44308.625)</f>
        <v>44308.625</v>
      </c>
      <c r="B319" s="2">
        <f>IFERROR(__xludf.DUMMYFUNCTION("""COMPUTED_VALUE"""),1260.0)</f>
        <v>1260</v>
      </c>
      <c r="C319" s="2">
        <f>IFERROR(__xludf.DUMMYFUNCTION("""COMPUTED_VALUE"""),1270.0)</f>
        <v>1270</v>
      </c>
      <c r="D319" s="2">
        <f>IFERROR(__xludf.DUMMYFUNCTION("""COMPUTED_VALUE"""),1220.0)</f>
        <v>1220</v>
      </c>
      <c r="E319" s="2">
        <f>IFERROR(__xludf.DUMMYFUNCTION("""COMPUTED_VALUE"""),1220.0)</f>
        <v>1220</v>
      </c>
      <c r="F319" s="2">
        <f>IFERROR(__xludf.DUMMYFUNCTION("""COMPUTED_VALUE"""),5.45175E7)</f>
        <v>54517500</v>
      </c>
      <c r="G319" s="2">
        <f t="shared" si="1"/>
        <v>50</v>
      </c>
    </row>
    <row r="320" ht="15.75" customHeight="1">
      <c r="A320" s="1">
        <f>IFERROR(__xludf.DUMMYFUNCTION("""COMPUTED_VALUE"""),44309.625)</f>
        <v>44309.625</v>
      </c>
      <c r="B320" s="2">
        <f>IFERROR(__xludf.DUMMYFUNCTION("""COMPUTED_VALUE"""),1215.0)</f>
        <v>1215</v>
      </c>
      <c r="C320" s="2">
        <f>IFERROR(__xludf.DUMMYFUNCTION("""COMPUTED_VALUE"""),1250.0)</f>
        <v>1250</v>
      </c>
      <c r="D320" s="2">
        <f>IFERROR(__xludf.DUMMYFUNCTION("""COMPUTED_VALUE"""),1200.0)</f>
        <v>1200</v>
      </c>
      <c r="E320" s="2">
        <f>IFERROR(__xludf.DUMMYFUNCTION("""COMPUTED_VALUE"""),1230.0)</f>
        <v>1230</v>
      </c>
      <c r="F320" s="2">
        <f>IFERROR(__xludf.DUMMYFUNCTION("""COMPUTED_VALUE"""),5.56386E7)</f>
        <v>55638600</v>
      </c>
      <c r="G320" s="2">
        <f t="shared" si="1"/>
        <v>50</v>
      </c>
    </row>
    <row r="321" ht="15.75" customHeight="1">
      <c r="A321" s="1">
        <f>IFERROR(__xludf.DUMMYFUNCTION("""COMPUTED_VALUE"""),44312.625)</f>
        <v>44312.625</v>
      </c>
      <c r="B321" s="2">
        <f>IFERROR(__xludf.DUMMYFUNCTION("""COMPUTED_VALUE"""),1235.0)</f>
        <v>1235</v>
      </c>
      <c r="C321" s="2">
        <f>IFERROR(__xludf.DUMMYFUNCTION("""COMPUTED_VALUE"""),1240.0)</f>
        <v>1240</v>
      </c>
      <c r="D321" s="2">
        <f>IFERROR(__xludf.DUMMYFUNCTION("""COMPUTED_VALUE"""),1200.0)</f>
        <v>1200</v>
      </c>
      <c r="E321" s="2">
        <f>IFERROR(__xludf.DUMMYFUNCTION("""COMPUTED_VALUE"""),1205.0)</f>
        <v>1205</v>
      </c>
      <c r="F321" s="2">
        <f>IFERROR(__xludf.DUMMYFUNCTION("""COMPUTED_VALUE"""),3.65802E7)</f>
        <v>36580200</v>
      </c>
      <c r="G321" s="2">
        <f t="shared" si="1"/>
        <v>40</v>
      </c>
    </row>
    <row r="322" ht="15.75" customHeight="1">
      <c r="A322" s="1">
        <f>IFERROR(__xludf.DUMMYFUNCTION("""COMPUTED_VALUE"""),44313.625)</f>
        <v>44313.625</v>
      </c>
      <c r="B322" s="2">
        <f>IFERROR(__xludf.DUMMYFUNCTION("""COMPUTED_VALUE"""),1210.0)</f>
        <v>1210</v>
      </c>
      <c r="C322" s="2">
        <f>IFERROR(__xludf.DUMMYFUNCTION("""COMPUTED_VALUE"""),1215.0)</f>
        <v>1215</v>
      </c>
      <c r="D322" s="2">
        <f>IFERROR(__xludf.DUMMYFUNCTION("""COMPUTED_VALUE"""),1185.0)</f>
        <v>1185</v>
      </c>
      <c r="E322" s="2">
        <f>IFERROR(__xludf.DUMMYFUNCTION("""COMPUTED_VALUE"""),1200.0)</f>
        <v>1200</v>
      </c>
      <c r="F322" s="2">
        <f>IFERROR(__xludf.DUMMYFUNCTION("""COMPUTED_VALUE"""),3.0873E7)</f>
        <v>30873000</v>
      </c>
      <c r="G322" s="2">
        <f t="shared" si="1"/>
        <v>30</v>
      </c>
    </row>
    <row r="323" ht="15.75" customHeight="1">
      <c r="A323" s="1">
        <f>IFERROR(__xludf.DUMMYFUNCTION("""COMPUTED_VALUE"""),44314.625)</f>
        <v>44314.625</v>
      </c>
      <c r="B323" s="2">
        <f>IFERROR(__xludf.DUMMYFUNCTION("""COMPUTED_VALUE"""),1205.0)</f>
        <v>1205</v>
      </c>
      <c r="C323" s="2">
        <f>IFERROR(__xludf.DUMMYFUNCTION("""COMPUTED_VALUE"""),1280.0)</f>
        <v>1280</v>
      </c>
      <c r="D323" s="2">
        <f>IFERROR(__xludf.DUMMYFUNCTION("""COMPUTED_VALUE"""),1190.0)</f>
        <v>1190</v>
      </c>
      <c r="E323" s="2">
        <f>IFERROR(__xludf.DUMMYFUNCTION("""COMPUTED_VALUE"""),1260.0)</f>
        <v>1260</v>
      </c>
      <c r="F323" s="2">
        <f>IFERROR(__xludf.DUMMYFUNCTION("""COMPUTED_VALUE"""),9.76367E7)</f>
        <v>97636700</v>
      </c>
      <c r="G323" s="2">
        <f t="shared" si="1"/>
        <v>90</v>
      </c>
    </row>
    <row r="324" ht="15.75" customHeight="1">
      <c r="A324" s="1">
        <f>IFERROR(__xludf.DUMMYFUNCTION("""COMPUTED_VALUE"""),44315.625)</f>
        <v>44315.625</v>
      </c>
      <c r="B324" s="2">
        <f>IFERROR(__xludf.DUMMYFUNCTION("""COMPUTED_VALUE"""),1265.0)</f>
        <v>1265</v>
      </c>
      <c r="C324" s="2">
        <f>IFERROR(__xludf.DUMMYFUNCTION("""COMPUTED_VALUE"""),1265.0)</f>
        <v>1265</v>
      </c>
      <c r="D324" s="2">
        <f>IFERROR(__xludf.DUMMYFUNCTION("""COMPUTED_VALUE"""),1230.0)</f>
        <v>1230</v>
      </c>
      <c r="E324" s="2">
        <f>IFERROR(__xludf.DUMMYFUNCTION("""COMPUTED_VALUE"""),1230.0)</f>
        <v>1230</v>
      </c>
      <c r="F324" s="2">
        <f>IFERROR(__xludf.DUMMYFUNCTION("""COMPUTED_VALUE"""),6.95096E7)</f>
        <v>69509600</v>
      </c>
      <c r="G324" s="2">
        <f t="shared" si="1"/>
        <v>35</v>
      </c>
    </row>
    <row r="325" ht="15.75" customHeight="1">
      <c r="A325" s="1">
        <f>IFERROR(__xludf.DUMMYFUNCTION("""COMPUTED_VALUE"""),44316.625)</f>
        <v>44316.625</v>
      </c>
      <c r="B325" s="2">
        <f>IFERROR(__xludf.DUMMYFUNCTION("""COMPUTED_VALUE"""),1230.0)</f>
        <v>1230</v>
      </c>
      <c r="C325" s="2">
        <f>IFERROR(__xludf.DUMMYFUNCTION("""COMPUTED_VALUE"""),1235.0)</f>
        <v>1235</v>
      </c>
      <c r="D325" s="2">
        <f>IFERROR(__xludf.DUMMYFUNCTION("""COMPUTED_VALUE"""),1205.0)</f>
        <v>1205</v>
      </c>
      <c r="E325" s="2">
        <f>IFERROR(__xludf.DUMMYFUNCTION("""COMPUTED_VALUE"""),1225.0)</f>
        <v>1225</v>
      </c>
      <c r="F325" s="2">
        <f>IFERROR(__xludf.DUMMYFUNCTION("""COMPUTED_VALUE"""),4.75705E7)</f>
        <v>47570500</v>
      </c>
      <c r="G325" s="2">
        <f t="shared" si="1"/>
        <v>30</v>
      </c>
    </row>
    <row r="326" ht="15.75" customHeight="1">
      <c r="A326" s="1">
        <f>IFERROR(__xludf.DUMMYFUNCTION("""COMPUTED_VALUE"""),44319.66666666667)</f>
        <v>44319.66667</v>
      </c>
      <c r="B326" s="2">
        <f>IFERROR(__xludf.DUMMYFUNCTION("""COMPUTED_VALUE"""),1240.0)</f>
        <v>1240</v>
      </c>
      <c r="C326" s="2">
        <f>IFERROR(__xludf.DUMMYFUNCTION("""COMPUTED_VALUE"""),1255.0)</f>
        <v>1255</v>
      </c>
      <c r="D326" s="2">
        <f>IFERROR(__xludf.DUMMYFUNCTION("""COMPUTED_VALUE"""),1225.0)</f>
        <v>1225</v>
      </c>
      <c r="E326" s="2">
        <f>IFERROR(__xludf.DUMMYFUNCTION("""COMPUTED_VALUE"""),1245.0)</f>
        <v>1245</v>
      </c>
      <c r="F326" s="2">
        <f>IFERROR(__xludf.DUMMYFUNCTION("""COMPUTED_VALUE"""),7.05889E7)</f>
        <v>70588900</v>
      </c>
      <c r="G326" s="2">
        <f t="shared" si="1"/>
        <v>30</v>
      </c>
    </row>
    <row r="327" ht="15.75" customHeight="1">
      <c r="A327" s="1">
        <f>IFERROR(__xludf.DUMMYFUNCTION("""COMPUTED_VALUE"""),44320.66666666667)</f>
        <v>44320.66667</v>
      </c>
      <c r="B327" s="2">
        <f>IFERROR(__xludf.DUMMYFUNCTION("""COMPUTED_VALUE"""),1255.0)</f>
        <v>1255</v>
      </c>
      <c r="C327" s="2">
        <f>IFERROR(__xludf.DUMMYFUNCTION("""COMPUTED_VALUE"""),1260.0)</f>
        <v>1260</v>
      </c>
      <c r="D327" s="2">
        <f>IFERROR(__xludf.DUMMYFUNCTION("""COMPUTED_VALUE"""),1225.0)</f>
        <v>1225</v>
      </c>
      <c r="E327" s="2">
        <f>IFERROR(__xludf.DUMMYFUNCTION("""COMPUTED_VALUE"""),1235.0)</f>
        <v>1235</v>
      </c>
      <c r="F327" s="2">
        <f>IFERROR(__xludf.DUMMYFUNCTION("""COMPUTED_VALUE"""),6.36544E7)</f>
        <v>63654400</v>
      </c>
      <c r="G327" s="2">
        <f t="shared" si="1"/>
        <v>35</v>
      </c>
    </row>
    <row r="328" ht="15.75" customHeight="1">
      <c r="A328" s="1">
        <f>IFERROR(__xludf.DUMMYFUNCTION("""COMPUTED_VALUE"""),44321.625)</f>
        <v>44321.625</v>
      </c>
      <c r="B328" s="2">
        <f>IFERROR(__xludf.DUMMYFUNCTION("""COMPUTED_VALUE"""),1245.0)</f>
        <v>1245</v>
      </c>
      <c r="C328" s="2">
        <f>IFERROR(__xludf.DUMMYFUNCTION("""COMPUTED_VALUE"""),1275.0)</f>
        <v>1275</v>
      </c>
      <c r="D328" s="2">
        <f>IFERROR(__xludf.DUMMYFUNCTION("""COMPUTED_VALUE"""),1235.0)</f>
        <v>1235</v>
      </c>
      <c r="E328" s="2">
        <f>IFERROR(__xludf.DUMMYFUNCTION("""COMPUTED_VALUE"""),1250.0)</f>
        <v>1250</v>
      </c>
      <c r="F328" s="2">
        <f>IFERROR(__xludf.DUMMYFUNCTION("""COMPUTED_VALUE"""),7.32116E7)</f>
        <v>73211600</v>
      </c>
      <c r="G328" s="2">
        <f t="shared" si="1"/>
        <v>40</v>
      </c>
    </row>
    <row r="329" ht="15.75" customHeight="1">
      <c r="A329" s="1">
        <f>IFERROR(__xludf.DUMMYFUNCTION("""COMPUTED_VALUE"""),44322.625)</f>
        <v>44322.625</v>
      </c>
      <c r="B329" s="2">
        <f>IFERROR(__xludf.DUMMYFUNCTION("""COMPUTED_VALUE"""),1250.0)</f>
        <v>1250</v>
      </c>
      <c r="C329" s="2">
        <f>IFERROR(__xludf.DUMMYFUNCTION("""COMPUTED_VALUE"""),1280.0)</f>
        <v>1280</v>
      </c>
      <c r="D329" s="2">
        <f>IFERROR(__xludf.DUMMYFUNCTION("""COMPUTED_VALUE"""),1250.0)</f>
        <v>1250</v>
      </c>
      <c r="E329" s="2">
        <f>IFERROR(__xludf.DUMMYFUNCTION("""COMPUTED_VALUE"""),1255.0)</f>
        <v>1255</v>
      </c>
      <c r="F329" s="2">
        <f>IFERROR(__xludf.DUMMYFUNCTION("""COMPUTED_VALUE"""),4.95937E7)</f>
        <v>49593700</v>
      </c>
      <c r="G329" s="2">
        <f t="shared" si="1"/>
        <v>30</v>
      </c>
    </row>
    <row r="330" ht="15.75" customHeight="1">
      <c r="A330" s="1">
        <f>IFERROR(__xludf.DUMMYFUNCTION("""COMPUTED_VALUE"""),44323.625)</f>
        <v>44323.625</v>
      </c>
      <c r="B330" s="2">
        <f>IFERROR(__xludf.DUMMYFUNCTION("""COMPUTED_VALUE"""),1265.0)</f>
        <v>1265</v>
      </c>
      <c r="C330" s="2">
        <f>IFERROR(__xludf.DUMMYFUNCTION("""COMPUTED_VALUE"""),1270.0)</f>
        <v>1270</v>
      </c>
      <c r="D330" s="2">
        <f>IFERROR(__xludf.DUMMYFUNCTION("""COMPUTED_VALUE"""),1230.0)</f>
        <v>1230</v>
      </c>
      <c r="E330" s="2">
        <f>IFERROR(__xludf.DUMMYFUNCTION("""COMPUTED_VALUE"""),1230.0)</f>
        <v>1230</v>
      </c>
      <c r="F330" s="2">
        <f>IFERROR(__xludf.DUMMYFUNCTION("""COMPUTED_VALUE"""),3.7403E7)</f>
        <v>37403000</v>
      </c>
      <c r="G330" s="2">
        <f t="shared" si="1"/>
        <v>40</v>
      </c>
    </row>
    <row r="331" ht="15.75" customHeight="1">
      <c r="A331" s="1">
        <f>IFERROR(__xludf.DUMMYFUNCTION("""COMPUTED_VALUE"""),44326.66666666667)</f>
        <v>44326.66667</v>
      </c>
      <c r="B331" s="2">
        <f>IFERROR(__xludf.DUMMYFUNCTION("""COMPUTED_VALUE"""),1235.0)</f>
        <v>1235</v>
      </c>
      <c r="C331" s="2">
        <f>IFERROR(__xludf.DUMMYFUNCTION("""COMPUTED_VALUE"""),1245.0)</f>
        <v>1245</v>
      </c>
      <c r="D331" s="2">
        <f>IFERROR(__xludf.DUMMYFUNCTION("""COMPUTED_VALUE"""),1230.0)</f>
        <v>1230</v>
      </c>
      <c r="E331" s="2">
        <f>IFERROR(__xludf.DUMMYFUNCTION("""COMPUTED_VALUE"""),1240.0)</f>
        <v>1240</v>
      </c>
      <c r="F331" s="2">
        <f>IFERROR(__xludf.DUMMYFUNCTION("""COMPUTED_VALUE"""),2.71444E7)</f>
        <v>27144400</v>
      </c>
      <c r="G331" s="2">
        <f t="shared" si="1"/>
        <v>15</v>
      </c>
    </row>
    <row r="332" ht="15.75" customHeight="1">
      <c r="A332" s="1">
        <f>IFERROR(__xludf.DUMMYFUNCTION("""COMPUTED_VALUE"""),44327.66666666667)</f>
        <v>44327.66667</v>
      </c>
      <c r="B332" s="2">
        <f>IFERROR(__xludf.DUMMYFUNCTION("""COMPUTED_VALUE"""),1235.0)</f>
        <v>1235</v>
      </c>
      <c r="C332" s="2">
        <f>IFERROR(__xludf.DUMMYFUNCTION("""COMPUTED_VALUE"""),1235.0)</f>
        <v>1235</v>
      </c>
      <c r="D332" s="2">
        <f>IFERROR(__xludf.DUMMYFUNCTION("""COMPUTED_VALUE"""),1210.0)</f>
        <v>1210</v>
      </c>
      <c r="E332" s="2">
        <f>IFERROR(__xludf.DUMMYFUNCTION("""COMPUTED_VALUE"""),1215.0)</f>
        <v>1215</v>
      </c>
      <c r="F332" s="2">
        <f>IFERROR(__xludf.DUMMYFUNCTION("""COMPUTED_VALUE"""),3.88907E7)</f>
        <v>38890700</v>
      </c>
      <c r="G332" s="2">
        <f t="shared" si="1"/>
        <v>30</v>
      </c>
    </row>
    <row r="333" ht="15.75" customHeight="1">
      <c r="A333" s="1">
        <f>IFERROR(__xludf.DUMMYFUNCTION("""COMPUTED_VALUE"""),44333.625)</f>
        <v>44333.625</v>
      </c>
      <c r="B333" s="2">
        <f>IFERROR(__xludf.DUMMYFUNCTION("""COMPUTED_VALUE"""),1190.0)</f>
        <v>1190</v>
      </c>
      <c r="C333" s="2">
        <f>IFERROR(__xludf.DUMMYFUNCTION("""COMPUTED_VALUE"""),1200.0)</f>
        <v>1200</v>
      </c>
      <c r="D333" s="2">
        <f>IFERROR(__xludf.DUMMYFUNCTION("""COMPUTED_VALUE"""),1130.0)</f>
        <v>1130</v>
      </c>
      <c r="E333" s="2">
        <f>IFERROR(__xludf.DUMMYFUNCTION("""COMPUTED_VALUE"""),1130.0)</f>
        <v>1130</v>
      </c>
      <c r="F333" s="2">
        <f>IFERROR(__xludf.DUMMYFUNCTION("""COMPUTED_VALUE"""),3.178698E8)</f>
        <v>317869800</v>
      </c>
      <c r="G333" s="2">
        <f t="shared" si="1"/>
        <v>85</v>
      </c>
    </row>
    <row r="334" ht="15.75" customHeight="1">
      <c r="A334" s="1">
        <f>IFERROR(__xludf.DUMMYFUNCTION("""COMPUTED_VALUE"""),44334.625)</f>
        <v>44334.625</v>
      </c>
      <c r="B334" s="2">
        <f>IFERROR(__xludf.DUMMYFUNCTION("""COMPUTED_VALUE"""),1115.0)</f>
        <v>1115</v>
      </c>
      <c r="C334" s="2">
        <f>IFERROR(__xludf.DUMMYFUNCTION("""COMPUTED_VALUE"""),1150.0)</f>
        <v>1150</v>
      </c>
      <c r="D334" s="2">
        <f>IFERROR(__xludf.DUMMYFUNCTION("""COMPUTED_VALUE"""),1105.0)</f>
        <v>1105</v>
      </c>
      <c r="E334" s="2">
        <f>IFERROR(__xludf.DUMMYFUNCTION("""COMPUTED_VALUE"""),1145.0)</f>
        <v>1145</v>
      </c>
      <c r="F334" s="2">
        <f>IFERROR(__xludf.DUMMYFUNCTION("""COMPUTED_VALUE"""),1.078981E8)</f>
        <v>107898100</v>
      </c>
      <c r="G334" s="2">
        <f t="shared" si="1"/>
        <v>45</v>
      </c>
    </row>
    <row r="335" ht="15.75" customHeight="1">
      <c r="A335" s="1">
        <f>IFERROR(__xludf.DUMMYFUNCTION("""COMPUTED_VALUE"""),44335.625)</f>
        <v>44335.625</v>
      </c>
      <c r="B335" s="2">
        <f>IFERROR(__xludf.DUMMYFUNCTION("""COMPUTED_VALUE"""),1140.0)</f>
        <v>1140</v>
      </c>
      <c r="C335" s="2">
        <f>IFERROR(__xludf.DUMMYFUNCTION("""COMPUTED_VALUE"""),1140.0)</f>
        <v>1140</v>
      </c>
      <c r="D335" s="2">
        <f>IFERROR(__xludf.DUMMYFUNCTION("""COMPUTED_VALUE"""),1100.0)</f>
        <v>1100</v>
      </c>
      <c r="E335" s="2">
        <f>IFERROR(__xludf.DUMMYFUNCTION("""COMPUTED_VALUE"""),1110.0)</f>
        <v>1110</v>
      </c>
      <c r="F335" s="2">
        <f>IFERROR(__xludf.DUMMYFUNCTION("""COMPUTED_VALUE"""),8.04984E7)</f>
        <v>80498400</v>
      </c>
      <c r="G335" s="2">
        <f t="shared" si="1"/>
        <v>45</v>
      </c>
    </row>
    <row r="336" ht="15.75" customHeight="1">
      <c r="A336" s="1">
        <f>IFERROR(__xludf.DUMMYFUNCTION("""COMPUTED_VALUE"""),44336.625)</f>
        <v>44336.625</v>
      </c>
      <c r="B336" s="2">
        <f>IFERROR(__xludf.DUMMYFUNCTION("""COMPUTED_VALUE"""),1110.0)</f>
        <v>1110</v>
      </c>
      <c r="C336" s="2">
        <f>IFERROR(__xludf.DUMMYFUNCTION("""COMPUTED_VALUE"""),1130.0)</f>
        <v>1130</v>
      </c>
      <c r="D336" s="2">
        <f>IFERROR(__xludf.DUMMYFUNCTION("""COMPUTED_VALUE"""),1085.0)</f>
        <v>1085</v>
      </c>
      <c r="E336" s="2">
        <f>IFERROR(__xludf.DUMMYFUNCTION("""COMPUTED_VALUE"""),1090.0)</f>
        <v>1090</v>
      </c>
      <c r="F336" s="2">
        <f>IFERROR(__xludf.DUMMYFUNCTION("""COMPUTED_VALUE"""),8.20832E7)</f>
        <v>82083200</v>
      </c>
      <c r="G336" s="2">
        <f t="shared" si="1"/>
        <v>45</v>
      </c>
    </row>
    <row r="337" ht="15.75" customHeight="1">
      <c r="A337" s="1">
        <f>IFERROR(__xludf.DUMMYFUNCTION("""COMPUTED_VALUE"""),44337.625)</f>
        <v>44337.625</v>
      </c>
      <c r="B337" s="2">
        <f>IFERROR(__xludf.DUMMYFUNCTION("""COMPUTED_VALUE"""),1100.0)</f>
        <v>1100</v>
      </c>
      <c r="C337" s="2">
        <f>IFERROR(__xludf.DUMMYFUNCTION("""COMPUTED_VALUE"""),1120.0)</f>
        <v>1120</v>
      </c>
      <c r="D337" s="2">
        <f>IFERROR(__xludf.DUMMYFUNCTION("""COMPUTED_VALUE"""),1085.0)</f>
        <v>1085</v>
      </c>
      <c r="E337" s="2">
        <f>IFERROR(__xludf.DUMMYFUNCTION("""COMPUTED_VALUE"""),1105.0)</f>
        <v>1105</v>
      </c>
      <c r="F337" s="2">
        <f>IFERROR(__xludf.DUMMYFUNCTION("""COMPUTED_VALUE"""),8.21181E7)</f>
        <v>82118100</v>
      </c>
      <c r="G337" s="2">
        <f t="shared" si="1"/>
        <v>35</v>
      </c>
    </row>
    <row r="338" ht="15.75" customHeight="1">
      <c r="A338" s="1">
        <f>IFERROR(__xludf.DUMMYFUNCTION("""COMPUTED_VALUE"""),44340.625)</f>
        <v>44340.625</v>
      </c>
      <c r="B338" s="2">
        <f>IFERROR(__xludf.DUMMYFUNCTION("""COMPUTED_VALUE"""),1105.0)</f>
        <v>1105</v>
      </c>
      <c r="C338" s="2">
        <f>IFERROR(__xludf.DUMMYFUNCTION("""COMPUTED_VALUE"""),1115.0)</f>
        <v>1115</v>
      </c>
      <c r="D338" s="2">
        <f>IFERROR(__xludf.DUMMYFUNCTION("""COMPUTED_VALUE"""),1055.0)</f>
        <v>1055</v>
      </c>
      <c r="E338" s="2">
        <f>IFERROR(__xludf.DUMMYFUNCTION("""COMPUTED_VALUE"""),1055.0)</f>
        <v>1055</v>
      </c>
      <c r="F338" s="2">
        <f>IFERROR(__xludf.DUMMYFUNCTION("""COMPUTED_VALUE"""),1.053607E8)</f>
        <v>105360700</v>
      </c>
      <c r="G338" s="2">
        <f t="shared" si="1"/>
        <v>60</v>
      </c>
    </row>
    <row r="339" ht="15.75" customHeight="1">
      <c r="A339" s="1">
        <f>IFERROR(__xludf.DUMMYFUNCTION("""COMPUTED_VALUE"""),44341.625)</f>
        <v>44341.625</v>
      </c>
      <c r="B339" s="2">
        <f>IFERROR(__xludf.DUMMYFUNCTION("""COMPUTED_VALUE"""),1065.0)</f>
        <v>1065</v>
      </c>
      <c r="C339" s="2">
        <f>IFERROR(__xludf.DUMMYFUNCTION("""COMPUTED_VALUE"""),1130.0)</f>
        <v>1130</v>
      </c>
      <c r="D339" s="2">
        <f>IFERROR(__xludf.DUMMYFUNCTION("""COMPUTED_VALUE"""),1060.0)</f>
        <v>1060</v>
      </c>
      <c r="E339" s="2">
        <f>IFERROR(__xludf.DUMMYFUNCTION("""COMPUTED_VALUE"""),1100.0)</f>
        <v>1100</v>
      </c>
      <c r="F339" s="2">
        <f>IFERROR(__xludf.DUMMYFUNCTION("""COMPUTED_VALUE"""),2.206842E8)</f>
        <v>220684200</v>
      </c>
      <c r="G339" s="2">
        <f t="shared" si="1"/>
        <v>75</v>
      </c>
    </row>
    <row r="340" ht="15.75" customHeight="1">
      <c r="A340" s="1">
        <f>IFERROR(__xludf.DUMMYFUNCTION("""COMPUTED_VALUE"""),44343.625)</f>
        <v>44343.625</v>
      </c>
      <c r="B340" s="2">
        <f>IFERROR(__xludf.DUMMYFUNCTION("""COMPUTED_VALUE"""),1105.0)</f>
        <v>1105</v>
      </c>
      <c r="C340" s="2">
        <f>IFERROR(__xludf.DUMMYFUNCTION("""COMPUTED_VALUE"""),1160.0)</f>
        <v>1160</v>
      </c>
      <c r="D340" s="2">
        <f>IFERROR(__xludf.DUMMYFUNCTION("""COMPUTED_VALUE"""),1105.0)</f>
        <v>1105</v>
      </c>
      <c r="E340" s="2">
        <f>IFERROR(__xludf.DUMMYFUNCTION("""COMPUTED_VALUE"""),1120.0)</f>
        <v>1120</v>
      </c>
      <c r="F340" s="2">
        <f>IFERROR(__xludf.DUMMYFUNCTION("""COMPUTED_VALUE"""),9.808621E8)</f>
        <v>980862100</v>
      </c>
      <c r="G340" s="2">
        <f t="shared" si="1"/>
        <v>60</v>
      </c>
    </row>
    <row r="341" ht="15.75" customHeight="1">
      <c r="A341" s="1">
        <f>IFERROR(__xludf.DUMMYFUNCTION("""COMPUTED_VALUE"""),44344.625)</f>
        <v>44344.625</v>
      </c>
      <c r="B341" s="2">
        <f>IFERROR(__xludf.DUMMYFUNCTION("""COMPUTED_VALUE"""),1130.0)</f>
        <v>1130</v>
      </c>
      <c r="C341" s="2">
        <f>IFERROR(__xludf.DUMMYFUNCTION("""COMPUTED_VALUE"""),1165.0)</f>
        <v>1165</v>
      </c>
      <c r="D341" s="2">
        <f>IFERROR(__xludf.DUMMYFUNCTION("""COMPUTED_VALUE"""),1115.0)</f>
        <v>1115</v>
      </c>
      <c r="E341" s="2">
        <f>IFERROR(__xludf.DUMMYFUNCTION("""COMPUTED_VALUE"""),1130.0)</f>
        <v>1130</v>
      </c>
      <c r="F341" s="2">
        <f>IFERROR(__xludf.DUMMYFUNCTION("""COMPUTED_VALUE"""),2.383257E8)</f>
        <v>238325700</v>
      </c>
      <c r="G341" s="2">
        <f t="shared" si="1"/>
        <v>50</v>
      </c>
    </row>
    <row r="342" ht="15.75" customHeight="1">
      <c r="A342" s="1">
        <f>IFERROR(__xludf.DUMMYFUNCTION("""COMPUTED_VALUE"""),44347.625)</f>
        <v>44347.625</v>
      </c>
      <c r="B342" s="2">
        <f>IFERROR(__xludf.DUMMYFUNCTION("""COMPUTED_VALUE"""),1135.0)</f>
        <v>1135</v>
      </c>
      <c r="C342" s="2">
        <f>IFERROR(__xludf.DUMMYFUNCTION("""COMPUTED_VALUE"""),1150.0)</f>
        <v>1150</v>
      </c>
      <c r="D342" s="2">
        <f>IFERROR(__xludf.DUMMYFUNCTION("""COMPUTED_VALUE"""),1085.0)</f>
        <v>1085</v>
      </c>
      <c r="E342" s="2">
        <f>IFERROR(__xludf.DUMMYFUNCTION("""COMPUTED_VALUE"""),1115.0)</f>
        <v>1115</v>
      </c>
      <c r="F342" s="2">
        <f>IFERROR(__xludf.DUMMYFUNCTION("""COMPUTED_VALUE"""),3.350511E8)</f>
        <v>335051100</v>
      </c>
      <c r="G342" s="2">
        <f t="shared" si="1"/>
        <v>65</v>
      </c>
    </row>
    <row r="343" ht="15.75" customHeight="1">
      <c r="A343" s="1">
        <f>IFERROR(__xludf.DUMMYFUNCTION("""COMPUTED_VALUE"""),44349.625)</f>
        <v>44349.625</v>
      </c>
      <c r="B343" s="2">
        <f>IFERROR(__xludf.DUMMYFUNCTION("""COMPUTED_VALUE"""),1130.0)</f>
        <v>1130</v>
      </c>
      <c r="C343" s="2">
        <f>IFERROR(__xludf.DUMMYFUNCTION("""COMPUTED_VALUE"""),1210.0)</f>
        <v>1210</v>
      </c>
      <c r="D343" s="2">
        <f>IFERROR(__xludf.DUMMYFUNCTION("""COMPUTED_VALUE"""),1125.0)</f>
        <v>1125</v>
      </c>
      <c r="E343" s="2">
        <f>IFERROR(__xludf.DUMMYFUNCTION("""COMPUTED_VALUE"""),1200.0)</f>
        <v>1200</v>
      </c>
      <c r="F343" s="2">
        <f>IFERROR(__xludf.DUMMYFUNCTION("""COMPUTED_VALUE"""),4.570163E8)</f>
        <v>457016300</v>
      </c>
      <c r="G343" s="2">
        <f t="shared" si="1"/>
        <v>95</v>
      </c>
    </row>
    <row r="344" ht="15.75" customHeight="1">
      <c r="A344" s="1">
        <f>IFERROR(__xludf.DUMMYFUNCTION("""COMPUTED_VALUE"""),44350.625)</f>
        <v>44350.625</v>
      </c>
      <c r="B344" s="2">
        <f>IFERROR(__xludf.DUMMYFUNCTION("""COMPUTED_VALUE"""),1210.0)</f>
        <v>1210</v>
      </c>
      <c r="C344" s="2">
        <f>IFERROR(__xludf.DUMMYFUNCTION("""COMPUTED_VALUE"""),1225.0)</f>
        <v>1225</v>
      </c>
      <c r="D344" s="2">
        <f>IFERROR(__xludf.DUMMYFUNCTION("""COMPUTED_VALUE"""),1180.0)</f>
        <v>1180</v>
      </c>
      <c r="E344" s="2">
        <f>IFERROR(__xludf.DUMMYFUNCTION("""COMPUTED_VALUE"""),1180.0)</f>
        <v>1180</v>
      </c>
      <c r="F344" s="2">
        <f>IFERROR(__xludf.DUMMYFUNCTION("""COMPUTED_VALUE"""),1.654652E8)</f>
        <v>165465200</v>
      </c>
      <c r="G344" s="2">
        <f t="shared" si="1"/>
        <v>45</v>
      </c>
    </row>
    <row r="345" ht="15.75" customHeight="1">
      <c r="A345" s="1">
        <f>IFERROR(__xludf.DUMMYFUNCTION("""COMPUTED_VALUE"""),44351.625)</f>
        <v>44351.625</v>
      </c>
      <c r="B345" s="2">
        <f>IFERROR(__xludf.DUMMYFUNCTION("""COMPUTED_VALUE"""),1180.0)</f>
        <v>1180</v>
      </c>
      <c r="C345" s="2">
        <f>IFERROR(__xludf.DUMMYFUNCTION("""COMPUTED_VALUE"""),1205.0)</f>
        <v>1205</v>
      </c>
      <c r="D345" s="2">
        <f>IFERROR(__xludf.DUMMYFUNCTION("""COMPUTED_VALUE"""),1165.0)</f>
        <v>1165</v>
      </c>
      <c r="E345" s="2">
        <f>IFERROR(__xludf.DUMMYFUNCTION("""COMPUTED_VALUE"""),1170.0)</f>
        <v>1170</v>
      </c>
      <c r="F345" s="2">
        <f>IFERROR(__xludf.DUMMYFUNCTION("""COMPUTED_VALUE"""),1.534549E8)</f>
        <v>153454900</v>
      </c>
      <c r="G345" s="2">
        <f t="shared" si="1"/>
        <v>40</v>
      </c>
    </row>
    <row r="346" ht="15.75" customHeight="1">
      <c r="A346" s="1">
        <f>IFERROR(__xludf.DUMMYFUNCTION("""COMPUTED_VALUE"""),44354.625)</f>
        <v>44354.625</v>
      </c>
      <c r="B346" s="2">
        <f>IFERROR(__xludf.DUMMYFUNCTION("""COMPUTED_VALUE"""),1175.0)</f>
        <v>1175</v>
      </c>
      <c r="C346" s="2">
        <f>IFERROR(__xludf.DUMMYFUNCTION("""COMPUTED_VALUE"""),1185.0)</f>
        <v>1185</v>
      </c>
      <c r="D346" s="2">
        <f>IFERROR(__xludf.DUMMYFUNCTION("""COMPUTED_VALUE"""),1150.0)</f>
        <v>1150</v>
      </c>
      <c r="E346" s="2">
        <f>IFERROR(__xludf.DUMMYFUNCTION("""COMPUTED_VALUE"""),1160.0)</f>
        <v>1160</v>
      </c>
      <c r="F346" s="2">
        <f>IFERROR(__xludf.DUMMYFUNCTION("""COMPUTED_VALUE"""),1.155168E8)</f>
        <v>115516800</v>
      </c>
      <c r="G346" s="2">
        <f t="shared" si="1"/>
        <v>35</v>
      </c>
    </row>
    <row r="347" ht="15.75" customHeight="1">
      <c r="A347" s="1">
        <f>IFERROR(__xludf.DUMMYFUNCTION("""COMPUTED_VALUE"""),44355.625)</f>
        <v>44355.625</v>
      </c>
      <c r="B347" s="2">
        <f>IFERROR(__xludf.DUMMYFUNCTION("""COMPUTED_VALUE"""),1160.0)</f>
        <v>1160</v>
      </c>
      <c r="C347" s="2">
        <f>IFERROR(__xludf.DUMMYFUNCTION("""COMPUTED_VALUE"""),1180.0)</f>
        <v>1180</v>
      </c>
      <c r="D347" s="2">
        <f>IFERROR(__xludf.DUMMYFUNCTION("""COMPUTED_VALUE"""),1120.0)</f>
        <v>1120</v>
      </c>
      <c r="E347" s="2">
        <f>IFERROR(__xludf.DUMMYFUNCTION("""COMPUTED_VALUE"""),1125.0)</f>
        <v>1125</v>
      </c>
      <c r="F347" s="2">
        <f>IFERROR(__xludf.DUMMYFUNCTION("""COMPUTED_VALUE"""),1.856896E8)</f>
        <v>185689600</v>
      </c>
      <c r="G347" s="2">
        <f t="shared" si="1"/>
        <v>60</v>
      </c>
    </row>
    <row r="348" ht="15.75" customHeight="1">
      <c r="A348" s="1">
        <f>IFERROR(__xludf.DUMMYFUNCTION("""COMPUTED_VALUE"""),44356.625)</f>
        <v>44356.625</v>
      </c>
      <c r="B348" s="2">
        <f>IFERROR(__xludf.DUMMYFUNCTION("""COMPUTED_VALUE"""),1125.0)</f>
        <v>1125</v>
      </c>
      <c r="C348" s="2">
        <f>IFERROR(__xludf.DUMMYFUNCTION("""COMPUTED_VALUE"""),1135.0)</f>
        <v>1135</v>
      </c>
      <c r="D348" s="2">
        <f>IFERROR(__xludf.DUMMYFUNCTION("""COMPUTED_VALUE"""),1110.0)</f>
        <v>1110</v>
      </c>
      <c r="E348" s="2">
        <f>IFERROR(__xludf.DUMMYFUNCTION("""COMPUTED_VALUE"""),1120.0)</f>
        <v>1120</v>
      </c>
      <c r="F348" s="2">
        <f>IFERROR(__xludf.DUMMYFUNCTION("""COMPUTED_VALUE"""),9.24832E7)</f>
        <v>92483200</v>
      </c>
      <c r="G348" s="2">
        <f t="shared" si="1"/>
        <v>25</v>
      </c>
    </row>
    <row r="349" ht="15.75" customHeight="1">
      <c r="A349" s="1">
        <f>IFERROR(__xludf.DUMMYFUNCTION("""COMPUTED_VALUE"""),44357.625)</f>
        <v>44357.625</v>
      </c>
      <c r="B349" s="2">
        <f>IFERROR(__xludf.DUMMYFUNCTION("""COMPUTED_VALUE"""),1125.0)</f>
        <v>1125</v>
      </c>
      <c r="C349" s="2">
        <f>IFERROR(__xludf.DUMMYFUNCTION("""COMPUTED_VALUE"""),1150.0)</f>
        <v>1150</v>
      </c>
      <c r="D349" s="2">
        <f>IFERROR(__xludf.DUMMYFUNCTION("""COMPUTED_VALUE"""),1110.0)</f>
        <v>1110</v>
      </c>
      <c r="E349" s="2">
        <f>IFERROR(__xludf.DUMMYFUNCTION("""COMPUTED_VALUE"""),1150.0)</f>
        <v>1150</v>
      </c>
      <c r="F349" s="2">
        <f>IFERROR(__xludf.DUMMYFUNCTION("""COMPUTED_VALUE"""),1.858538E8)</f>
        <v>185853800</v>
      </c>
      <c r="G349" s="2">
        <f t="shared" si="1"/>
        <v>40</v>
      </c>
    </row>
    <row r="350" ht="15.75" customHeight="1">
      <c r="A350" s="1">
        <f>IFERROR(__xludf.DUMMYFUNCTION("""COMPUTED_VALUE"""),44358.625)</f>
        <v>44358.625</v>
      </c>
      <c r="B350" s="2">
        <f>IFERROR(__xludf.DUMMYFUNCTION("""COMPUTED_VALUE"""),1180.0)</f>
        <v>1180</v>
      </c>
      <c r="C350" s="2">
        <f>IFERROR(__xludf.DUMMYFUNCTION("""COMPUTED_VALUE"""),1250.0)</f>
        <v>1250</v>
      </c>
      <c r="D350" s="2">
        <f>IFERROR(__xludf.DUMMYFUNCTION("""COMPUTED_VALUE"""),1175.0)</f>
        <v>1175</v>
      </c>
      <c r="E350" s="2">
        <f>IFERROR(__xludf.DUMMYFUNCTION("""COMPUTED_VALUE"""),1215.0)</f>
        <v>1215</v>
      </c>
      <c r="F350" s="2">
        <f>IFERROR(__xludf.DUMMYFUNCTION("""COMPUTED_VALUE"""),5.595417E8)</f>
        <v>559541700</v>
      </c>
      <c r="G350" s="2">
        <f t="shared" si="1"/>
        <v>100</v>
      </c>
    </row>
    <row r="351" ht="15.75" customHeight="1">
      <c r="A351" s="1">
        <f>IFERROR(__xludf.DUMMYFUNCTION("""COMPUTED_VALUE"""),44361.66666666667)</f>
        <v>44361.66667</v>
      </c>
      <c r="B351" s="2">
        <f>IFERROR(__xludf.DUMMYFUNCTION("""COMPUTED_VALUE"""),1215.0)</f>
        <v>1215</v>
      </c>
      <c r="C351" s="2">
        <f>IFERROR(__xludf.DUMMYFUNCTION("""COMPUTED_VALUE"""),1225.0)</f>
        <v>1225</v>
      </c>
      <c r="D351" s="2">
        <f>IFERROR(__xludf.DUMMYFUNCTION("""COMPUTED_VALUE"""),1165.0)</f>
        <v>1165</v>
      </c>
      <c r="E351" s="2">
        <f>IFERROR(__xludf.DUMMYFUNCTION("""COMPUTED_VALUE"""),1165.0)</f>
        <v>1165</v>
      </c>
      <c r="F351" s="2">
        <f>IFERROR(__xludf.DUMMYFUNCTION("""COMPUTED_VALUE"""),2.239364E8)</f>
        <v>223936400</v>
      </c>
      <c r="G351" s="2">
        <f t="shared" si="1"/>
        <v>60</v>
      </c>
    </row>
    <row r="352" ht="15.75" customHeight="1">
      <c r="A352" s="1">
        <f>IFERROR(__xludf.DUMMYFUNCTION("""COMPUTED_VALUE"""),44362.625)</f>
        <v>44362.625</v>
      </c>
      <c r="B352" s="2">
        <f>IFERROR(__xludf.DUMMYFUNCTION("""COMPUTED_VALUE"""),1170.0)</f>
        <v>1170</v>
      </c>
      <c r="C352" s="2">
        <f>IFERROR(__xludf.DUMMYFUNCTION("""COMPUTED_VALUE"""),1180.0)</f>
        <v>1180</v>
      </c>
      <c r="D352" s="2">
        <f>IFERROR(__xludf.DUMMYFUNCTION("""COMPUTED_VALUE"""),1140.0)</f>
        <v>1140</v>
      </c>
      <c r="E352" s="2">
        <f>IFERROR(__xludf.DUMMYFUNCTION("""COMPUTED_VALUE"""),1160.0)</f>
        <v>1160</v>
      </c>
      <c r="F352" s="2">
        <f>IFERROR(__xludf.DUMMYFUNCTION("""COMPUTED_VALUE"""),1.256342E8)</f>
        <v>125634200</v>
      </c>
      <c r="G352" s="2">
        <f t="shared" si="1"/>
        <v>40</v>
      </c>
    </row>
    <row r="353" ht="15.75" customHeight="1">
      <c r="A353" s="1">
        <f>IFERROR(__xludf.DUMMYFUNCTION("""COMPUTED_VALUE"""),44363.625)</f>
        <v>44363.625</v>
      </c>
      <c r="B353" s="2">
        <f>IFERROR(__xludf.DUMMYFUNCTION("""COMPUTED_VALUE"""),1160.0)</f>
        <v>1160</v>
      </c>
      <c r="C353" s="2">
        <f>IFERROR(__xludf.DUMMYFUNCTION("""COMPUTED_VALUE"""),1160.0)</f>
        <v>1160</v>
      </c>
      <c r="D353" s="2">
        <f>IFERROR(__xludf.DUMMYFUNCTION("""COMPUTED_VALUE"""),1130.0)</f>
        <v>1130</v>
      </c>
      <c r="E353" s="2">
        <f>IFERROR(__xludf.DUMMYFUNCTION("""COMPUTED_VALUE"""),1135.0)</f>
        <v>1135</v>
      </c>
      <c r="F353" s="2">
        <f>IFERROR(__xludf.DUMMYFUNCTION("""COMPUTED_VALUE"""),1.288326E8)</f>
        <v>128832600</v>
      </c>
      <c r="G353" s="2">
        <f t="shared" si="1"/>
        <v>30</v>
      </c>
    </row>
    <row r="354" ht="15.75" customHeight="1">
      <c r="A354" s="1">
        <f>IFERROR(__xludf.DUMMYFUNCTION("""COMPUTED_VALUE"""),44364.625)</f>
        <v>44364.625</v>
      </c>
      <c r="B354" s="2">
        <f>IFERROR(__xludf.DUMMYFUNCTION("""COMPUTED_VALUE"""),1130.0)</f>
        <v>1130</v>
      </c>
      <c r="C354" s="2">
        <f>IFERROR(__xludf.DUMMYFUNCTION("""COMPUTED_VALUE"""),1140.0)</f>
        <v>1140</v>
      </c>
      <c r="D354" s="2">
        <f>IFERROR(__xludf.DUMMYFUNCTION("""COMPUTED_VALUE"""),1100.0)</f>
        <v>1100</v>
      </c>
      <c r="E354" s="2">
        <f>IFERROR(__xludf.DUMMYFUNCTION("""COMPUTED_VALUE"""),1105.0)</f>
        <v>1105</v>
      </c>
      <c r="F354" s="2">
        <f>IFERROR(__xludf.DUMMYFUNCTION("""COMPUTED_VALUE"""),1.42699E8)</f>
        <v>142699000</v>
      </c>
      <c r="G354" s="2">
        <f t="shared" si="1"/>
        <v>40</v>
      </c>
    </row>
    <row r="355" ht="15.75" customHeight="1">
      <c r="A355" s="1">
        <f>IFERROR(__xludf.DUMMYFUNCTION("""COMPUTED_VALUE"""),44365.625)</f>
        <v>44365.625</v>
      </c>
      <c r="B355" s="2">
        <f>IFERROR(__xludf.DUMMYFUNCTION("""COMPUTED_VALUE"""),1100.0)</f>
        <v>1100</v>
      </c>
      <c r="C355" s="2">
        <f>IFERROR(__xludf.DUMMYFUNCTION("""COMPUTED_VALUE"""),1100.0)</f>
        <v>1100</v>
      </c>
      <c r="D355" s="2">
        <f>IFERROR(__xludf.DUMMYFUNCTION("""COMPUTED_VALUE"""),1050.0)</f>
        <v>1050</v>
      </c>
      <c r="E355" s="2">
        <f>IFERROR(__xludf.DUMMYFUNCTION("""COMPUTED_VALUE"""),1060.0)</f>
        <v>1060</v>
      </c>
      <c r="F355" s="2">
        <f>IFERROR(__xludf.DUMMYFUNCTION("""COMPUTED_VALUE"""),2.080254E8)</f>
        <v>208025400</v>
      </c>
      <c r="G355" s="2">
        <f t="shared" si="1"/>
        <v>55</v>
      </c>
    </row>
    <row r="356" ht="15.75" customHeight="1">
      <c r="A356" s="1">
        <f>IFERROR(__xludf.DUMMYFUNCTION("""COMPUTED_VALUE"""),44368.66666666667)</f>
        <v>44368.66667</v>
      </c>
      <c r="B356" s="2">
        <f>IFERROR(__xludf.DUMMYFUNCTION("""COMPUTED_VALUE"""),1040.0)</f>
        <v>1040</v>
      </c>
      <c r="C356" s="2">
        <f>IFERROR(__xludf.DUMMYFUNCTION("""COMPUTED_VALUE"""),1065.0)</f>
        <v>1065</v>
      </c>
      <c r="D356" s="2">
        <f>IFERROR(__xludf.DUMMYFUNCTION("""COMPUTED_VALUE"""),1010.0)</f>
        <v>1010</v>
      </c>
      <c r="E356" s="2">
        <f>IFERROR(__xludf.DUMMYFUNCTION("""COMPUTED_VALUE"""),1055.0)</f>
        <v>1055</v>
      </c>
      <c r="F356" s="2">
        <f>IFERROR(__xludf.DUMMYFUNCTION("""COMPUTED_VALUE"""),2.041199E8)</f>
        <v>204119900</v>
      </c>
      <c r="G356" s="2">
        <f t="shared" si="1"/>
        <v>55</v>
      </c>
    </row>
    <row r="357" ht="15.75" customHeight="1">
      <c r="A357" s="1">
        <f>IFERROR(__xludf.DUMMYFUNCTION("""COMPUTED_VALUE"""),44369.625)</f>
        <v>44369.625</v>
      </c>
      <c r="B357" s="2">
        <f>IFERROR(__xludf.DUMMYFUNCTION("""COMPUTED_VALUE"""),1070.0)</f>
        <v>1070</v>
      </c>
      <c r="C357" s="2">
        <f>IFERROR(__xludf.DUMMYFUNCTION("""COMPUTED_VALUE"""),1080.0)</f>
        <v>1080</v>
      </c>
      <c r="D357" s="2">
        <f>IFERROR(__xludf.DUMMYFUNCTION("""COMPUTED_VALUE"""),1045.0)</f>
        <v>1045</v>
      </c>
      <c r="E357" s="2">
        <f>IFERROR(__xludf.DUMMYFUNCTION("""COMPUTED_VALUE"""),1055.0)</f>
        <v>1055</v>
      </c>
      <c r="F357" s="2">
        <f>IFERROR(__xludf.DUMMYFUNCTION("""COMPUTED_VALUE"""),1.308265E8)</f>
        <v>130826500</v>
      </c>
      <c r="G357" s="2">
        <f t="shared" si="1"/>
        <v>35</v>
      </c>
    </row>
    <row r="358" ht="15.75" customHeight="1">
      <c r="A358" s="1">
        <f>IFERROR(__xludf.DUMMYFUNCTION("""COMPUTED_VALUE"""),44370.625)</f>
        <v>44370.625</v>
      </c>
      <c r="B358" s="2">
        <f>IFERROR(__xludf.DUMMYFUNCTION("""COMPUTED_VALUE"""),1075.0)</f>
        <v>1075</v>
      </c>
      <c r="C358" s="2">
        <f>IFERROR(__xludf.DUMMYFUNCTION("""COMPUTED_VALUE"""),1075.0)</f>
        <v>1075</v>
      </c>
      <c r="D358" s="2">
        <f>IFERROR(__xludf.DUMMYFUNCTION("""COMPUTED_VALUE"""),1045.0)</f>
        <v>1045</v>
      </c>
      <c r="E358" s="2">
        <f>IFERROR(__xludf.DUMMYFUNCTION("""COMPUTED_VALUE"""),1045.0)</f>
        <v>1045</v>
      </c>
      <c r="F358" s="2">
        <f>IFERROR(__xludf.DUMMYFUNCTION("""COMPUTED_VALUE"""),9.27419E7)</f>
        <v>92741900</v>
      </c>
      <c r="G358" s="2">
        <f t="shared" si="1"/>
        <v>30</v>
      </c>
    </row>
    <row r="359" ht="15.75" customHeight="1">
      <c r="A359" s="1">
        <f>IFERROR(__xludf.DUMMYFUNCTION("""COMPUTED_VALUE"""),44371.625)</f>
        <v>44371.625</v>
      </c>
      <c r="B359" s="2">
        <f>IFERROR(__xludf.DUMMYFUNCTION("""COMPUTED_VALUE"""),1045.0)</f>
        <v>1045</v>
      </c>
      <c r="C359" s="2">
        <f>IFERROR(__xludf.DUMMYFUNCTION("""COMPUTED_VALUE"""),1050.0)</f>
        <v>1050</v>
      </c>
      <c r="D359" s="2">
        <f>IFERROR(__xludf.DUMMYFUNCTION("""COMPUTED_VALUE"""),1010.0)</f>
        <v>1010</v>
      </c>
      <c r="E359" s="2">
        <f>IFERROR(__xludf.DUMMYFUNCTION("""COMPUTED_VALUE"""),1020.0)</f>
        <v>1020</v>
      </c>
      <c r="F359" s="2">
        <f>IFERROR(__xludf.DUMMYFUNCTION("""COMPUTED_VALUE"""),1.272318E8)</f>
        <v>127231800</v>
      </c>
      <c r="G359" s="2">
        <f t="shared" si="1"/>
        <v>40</v>
      </c>
    </row>
    <row r="360" ht="15.75" customHeight="1">
      <c r="A360" s="1">
        <f>IFERROR(__xludf.DUMMYFUNCTION("""COMPUTED_VALUE"""),44372.625)</f>
        <v>44372.625</v>
      </c>
      <c r="B360" s="2">
        <f>IFERROR(__xludf.DUMMYFUNCTION("""COMPUTED_VALUE"""),1025.0)</f>
        <v>1025</v>
      </c>
      <c r="C360" s="2">
        <f>IFERROR(__xludf.DUMMYFUNCTION("""COMPUTED_VALUE"""),1055.0)</f>
        <v>1055</v>
      </c>
      <c r="D360" s="2">
        <f>IFERROR(__xludf.DUMMYFUNCTION("""COMPUTED_VALUE"""),1025.0)</f>
        <v>1025</v>
      </c>
      <c r="E360" s="2">
        <f>IFERROR(__xludf.DUMMYFUNCTION("""COMPUTED_VALUE"""),1035.0)</f>
        <v>1035</v>
      </c>
      <c r="F360" s="2">
        <f>IFERROR(__xludf.DUMMYFUNCTION("""COMPUTED_VALUE"""),1.295321E8)</f>
        <v>129532100</v>
      </c>
      <c r="G360" s="2">
        <f t="shared" si="1"/>
        <v>35</v>
      </c>
    </row>
    <row r="361" ht="15.75" customHeight="1">
      <c r="A361" s="1">
        <f>IFERROR(__xludf.DUMMYFUNCTION("""COMPUTED_VALUE"""),44375.66666666667)</f>
        <v>44375.66667</v>
      </c>
      <c r="B361" s="2">
        <f>IFERROR(__xludf.DUMMYFUNCTION("""COMPUTED_VALUE"""),1040.0)</f>
        <v>1040</v>
      </c>
      <c r="C361" s="2">
        <f>IFERROR(__xludf.DUMMYFUNCTION("""COMPUTED_VALUE"""),1045.0)</f>
        <v>1045</v>
      </c>
      <c r="D361" s="2">
        <f>IFERROR(__xludf.DUMMYFUNCTION("""COMPUTED_VALUE"""),990.0)</f>
        <v>990</v>
      </c>
      <c r="E361" s="2">
        <f>IFERROR(__xludf.DUMMYFUNCTION("""COMPUTED_VALUE"""),990.0)</f>
        <v>990</v>
      </c>
      <c r="F361" s="2">
        <f>IFERROR(__xludf.DUMMYFUNCTION("""COMPUTED_VALUE"""),1.34192E8)</f>
        <v>134192000</v>
      </c>
      <c r="G361" s="2">
        <f t="shared" si="1"/>
        <v>55</v>
      </c>
    </row>
    <row r="362" ht="15.75" customHeight="1">
      <c r="A362" s="1">
        <f>IFERROR(__xludf.DUMMYFUNCTION("""COMPUTED_VALUE"""),44376.625)</f>
        <v>44376.625</v>
      </c>
      <c r="B362" s="2">
        <f>IFERROR(__xludf.DUMMYFUNCTION("""COMPUTED_VALUE"""),990.0)</f>
        <v>990</v>
      </c>
      <c r="C362" s="2">
        <f>IFERROR(__xludf.DUMMYFUNCTION("""COMPUTED_VALUE"""),1025.0)</f>
        <v>1025</v>
      </c>
      <c r="D362" s="2">
        <f>IFERROR(__xludf.DUMMYFUNCTION("""COMPUTED_VALUE"""),990.0)</f>
        <v>990</v>
      </c>
      <c r="E362" s="2">
        <f>IFERROR(__xludf.DUMMYFUNCTION("""COMPUTED_VALUE"""),1000.0)</f>
        <v>1000</v>
      </c>
      <c r="F362" s="2">
        <f>IFERROR(__xludf.DUMMYFUNCTION("""COMPUTED_VALUE"""),9.40394E7)</f>
        <v>94039400</v>
      </c>
      <c r="G362" s="2">
        <f t="shared" si="1"/>
        <v>35</v>
      </c>
    </row>
    <row r="363" ht="15.75" customHeight="1">
      <c r="A363" s="1">
        <f>IFERROR(__xludf.DUMMYFUNCTION("""COMPUTED_VALUE"""),44377.625)</f>
        <v>44377.625</v>
      </c>
      <c r="B363" s="2">
        <f>IFERROR(__xludf.DUMMYFUNCTION("""COMPUTED_VALUE"""),1000.0)</f>
        <v>1000</v>
      </c>
      <c r="C363" s="2">
        <f>IFERROR(__xludf.DUMMYFUNCTION("""COMPUTED_VALUE"""),1020.0)</f>
        <v>1020</v>
      </c>
      <c r="D363" s="2">
        <f>IFERROR(__xludf.DUMMYFUNCTION("""COMPUTED_VALUE"""),995.0)</f>
        <v>995</v>
      </c>
      <c r="E363" s="2">
        <f>IFERROR(__xludf.DUMMYFUNCTION("""COMPUTED_VALUE"""),1005.0)</f>
        <v>1005</v>
      </c>
      <c r="F363" s="2">
        <f>IFERROR(__xludf.DUMMYFUNCTION("""COMPUTED_VALUE"""),6.48102E7)</f>
        <v>64810200</v>
      </c>
      <c r="G363" s="2">
        <f t="shared" si="1"/>
        <v>25</v>
      </c>
    </row>
    <row r="364" ht="15.75" customHeight="1">
      <c r="A364" s="1">
        <f>IFERROR(__xludf.DUMMYFUNCTION("""COMPUTED_VALUE"""),44378.625)</f>
        <v>44378.625</v>
      </c>
      <c r="B364" s="2">
        <f>IFERROR(__xludf.DUMMYFUNCTION("""COMPUTED_VALUE"""),1005.0)</f>
        <v>1005</v>
      </c>
      <c r="C364" s="2">
        <f>IFERROR(__xludf.DUMMYFUNCTION("""COMPUTED_VALUE"""),1030.0)</f>
        <v>1030</v>
      </c>
      <c r="D364" s="2">
        <f>IFERROR(__xludf.DUMMYFUNCTION("""COMPUTED_VALUE"""),1000.0)</f>
        <v>1000</v>
      </c>
      <c r="E364" s="2">
        <f>IFERROR(__xludf.DUMMYFUNCTION("""COMPUTED_VALUE"""),1010.0)</f>
        <v>1010</v>
      </c>
      <c r="F364" s="2">
        <f>IFERROR(__xludf.DUMMYFUNCTION("""COMPUTED_VALUE"""),6.97334E7)</f>
        <v>69733400</v>
      </c>
      <c r="G364" s="2">
        <f t="shared" si="1"/>
        <v>30</v>
      </c>
    </row>
    <row r="365" ht="15.75" customHeight="1">
      <c r="A365" s="1">
        <f>IFERROR(__xludf.DUMMYFUNCTION("""COMPUTED_VALUE"""),44379.625)</f>
        <v>44379.625</v>
      </c>
      <c r="B365" s="2">
        <f>IFERROR(__xludf.DUMMYFUNCTION("""COMPUTED_VALUE"""),1020.0)</f>
        <v>1020</v>
      </c>
      <c r="C365" s="2">
        <f>IFERROR(__xludf.DUMMYFUNCTION("""COMPUTED_VALUE"""),1045.0)</f>
        <v>1045</v>
      </c>
      <c r="D365" s="2">
        <f>IFERROR(__xludf.DUMMYFUNCTION("""COMPUTED_VALUE"""),1010.0)</f>
        <v>1010</v>
      </c>
      <c r="E365" s="2">
        <f>IFERROR(__xludf.DUMMYFUNCTION("""COMPUTED_VALUE"""),1035.0)</f>
        <v>1035</v>
      </c>
      <c r="F365" s="2">
        <f>IFERROR(__xludf.DUMMYFUNCTION("""COMPUTED_VALUE"""),9.02247E7)</f>
        <v>90224700</v>
      </c>
      <c r="G365" s="2">
        <f t="shared" si="1"/>
        <v>35</v>
      </c>
    </row>
    <row r="366" ht="15.75" customHeight="1">
      <c r="A366" s="1">
        <f>IFERROR(__xludf.DUMMYFUNCTION("""COMPUTED_VALUE"""),44382.625)</f>
        <v>44382.625</v>
      </c>
      <c r="B366" s="2">
        <f>IFERROR(__xludf.DUMMYFUNCTION("""COMPUTED_VALUE"""),1040.0)</f>
        <v>1040</v>
      </c>
      <c r="C366" s="2">
        <f>IFERROR(__xludf.DUMMYFUNCTION("""COMPUTED_VALUE"""),1045.0)</f>
        <v>1045</v>
      </c>
      <c r="D366" s="2">
        <f>IFERROR(__xludf.DUMMYFUNCTION("""COMPUTED_VALUE"""),1020.0)</f>
        <v>1020</v>
      </c>
      <c r="E366" s="2">
        <f>IFERROR(__xludf.DUMMYFUNCTION("""COMPUTED_VALUE"""),1025.0)</f>
        <v>1025</v>
      </c>
      <c r="F366" s="2">
        <f>IFERROR(__xludf.DUMMYFUNCTION("""COMPUTED_VALUE"""),5.78172E7)</f>
        <v>57817200</v>
      </c>
      <c r="G366" s="2">
        <f t="shared" si="1"/>
        <v>25</v>
      </c>
    </row>
    <row r="367" ht="15.75" customHeight="1">
      <c r="A367" s="1">
        <f>IFERROR(__xludf.DUMMYFUNCTION("""COMPUTED_VALUE"""),44383.625)</f>
        <v>44383.625</v>
      </c>
      <c r="B367" s="2">
        <f>IFERROR(__xludf.DUMMYFUNCTION("""COMPUTED_VALUE"""),1025.0)</f>
        <v>1025</v>
      </c>
      <c r="C367" s="2">
        <f>IFERROR(__xludf.DUMMYFUNCTION("""COMPUTED_VALUE"""),1050.0)</f>
        <v>1050</v>
      </c>
      <c r="D367" s="2">
        <f>IFERROR(__xludf.DUMMYFUNCTION("""COMPUTED_VALUE"""),1010.0)</f>
        <v>1010</v>
      </c>
      <c r="E367" s="2">
        <f>IFERROR(__xludf.DUMMYFUNCTION("""COMPUTED_VALUE"""),1040.0)</f>
        <v>1040</v>
      </c>
      <c r="F367" s="2">
        <f>IFERROR(__xludf.DUMMYFUNCTION("""COMPUTED_VALUE"""),1.254713E8)</f>
        <v>125471300</v>
      </c>
      <c r="G367" s="2">
        <f t="shared" si="1"/>
        <v>40</v>
      </c>
    </row>
    <row r="368" ht="15.75" customHeight="1">
      <c r="A368" s="1">
        <f>IFERROR(__xludf.DUMMYFUNCTION("""COMPUTED_VALUE"""),44384.625)</f>
        <v>44384.625</v>
      </c>
      <c r="B368" s="2">
        <f>IFERROR(__xludf.DUMMYFUNCTION("""COMPUTED_VALUE"""),1040.0)</f>
        <v>1040</v>
      </c>
      <c r="C368" s="2">
        <f>IFERROR(__xludf.DUMMYFUNCTION("""COMPUTED_VALUE"""),1045.0)</f>
        <v>1045</v>
      </c>
      <c r="D368" s="2">
        <f>IFERROR(__xludf.DUMMYFUNCTION("""COMPUTED_VALUE"""),1025.0)</f>
        <v>1025</v>
      </c>
      <c r="E368" s="2">
        <f>IFERROR(__xludf.DUMMYFUNCTION("""COMPUTED_VALUE"""),1030.0)</f>
        <v>1030</v>
      </c>
      <c r="F368" s="2">
        <f>IFERROR(__xludf.DUMMYFUNCTION("""COMPUTED_VALUE"""),5.92197E7)</f>
        <v>59219700</v>
      </c>
      <c r="G368" s="2">
        <f t="shared" si="1"/>
        <v>20</v>
      </c>
    </row>
    <row r="369" ht="15.75" customHeight="1">
      <c r="A369" s="1">
        <f>IFERROR(__xludf.DUMMYFUNCTION("""COMPUTED_VALUE"""),44385.625)</f>
        <v>44385.625</v>
      </c>
      <c r="B369" s="2">
        <f>IFERROR(__xludf.DUMMYFUNCTION("""COMPUTED_VALUE"""),1030.0)</f>
        <v>1030</v>
      </c>
      <c r="C369" s="2">
        <f>IFERROR(__xludf.DUMMYFUNCTION("""COMPUTED_VALUE"""),1035.0)</f>
        <v>1035</v>
      </c>
      <c r="D369" s="2">
        <f>IFERROR(__xludf.DUMMYFUNCTION("""COMPUTED_VALUE"""),1010.0)</f>
        <v>1010</v>
      </c>
      <c r="E369" s="2">
        <f>IFERROR(__xludf.DUMMYFUNCTION("""COMPUTED_VALUE"""),1010.0)</f>
        <v>1010</v>
      </c>
      <c r="F369" s="2">
        <f>IFERROR(__xludf.DUMMYFUNCTION("""COMPUTED_VALUE"""),6.93943E7)</f>
        <v>69394300</v>
      </c>
      <c r="G369" s="2">
        <f t="shared" si="1"/>
        <v>25</v>
      </c>
    </row>
    <row r="370" ht="15.75" customHeight="1">
      <c r="A370" s="1">
        <f>IFERROR(__xludf.DUMMYFUNCTION("""COMPUTED_VALUE"""),44386.625)</f>
        <v>44386.625</v>
      </c>
      <c r="B370" s="2">
        <f>IFERROR(__xludf.DUMMYFUNCTION("""COMPUTED_VALUE"""),1010.0)</f>
        <v>1010</v>
      </c>
      <c r="C370" s="2">
        <f>IFERROR(__xludf.DUMMYFUNCTION("""COMPUTED_VALUE"""),1030.0)</f>
        <v>1030</v>
      </c>
      <c r="D370" s="2">
        <f>IFERROR(__xludf.DUMMYFUNCTION("""COMPUTED_VALUE"""),1000.0)</f>
        <v>1000</v>
      </c>
      <c r="E370" s="2">
        <f>IFERROR(__xludf.DUMMYFUNCTION("""COMPUTED_VALUE"""),1015.0)</f>
        <v>1015</v>
      </c>
      <c r="F370" s="2">
        <f>IFERROR(__xludf.DUMMYFUNCTION("""COMPUTED_VALUE"""),5.00454E7)</f>
        <v>50045400</v>
      </c>
      <c r="G370" s="2">
        <f t="shared" si="1"/>
        <v>30</v>
      </c>
    </row>
    <row r="371" ht="15.75" customHeight="1">
      <c r="A371" s="1">
        <f>IFERROR(__xludf.DUMMYFUNCTION("""COMPUTED_VALUE"""),44389.625)</f>
        <v>44389.625</v>
      </c>
      <c r="B371" s="2">
        <f>IFERROR(__xludf.DUMMYFUNCTION("""COMPUTED_VALUE"""),1025.0)</f>
        <v>1025</v>
      </c>
      <c r="C371" s="2">
        <f>IFERROR(__xludf.DUMMYFUNCTION("""COMPUTED_VALUE"""),1030.0)</f>
        <v>1030</v>
      </c>
      <c r="D371" s="2">
        <f>IFERROR(__xludf.DUMMYFUNCTION("""COMPUTED_VALUE"""),1010.0)</f>
        <v>1010</v>
      </c>
      <c r="E371" s="2">
        <f>IFERROR(__xludf.DUMMYFUNCTION("""COMPUTED_VALUE"""),1010.0)</f>
        <v>1010</v>
      </c>
      <c r="F371" s="2">
        <f>IFERROR(__xludf.DUMMYFUNCTION("""COMPUTED_VALUE"""),4.40129E7)</f>
        <v>44012900</v>
      </c>
      <c r="G371" s="2">
        <f t="shared" si="1"/>
        <v>20</v>
      </c>
    </row>
    <row r="372" ht="15.75" customHeight="1">
      <c r="A372" s="1">
        <f>IFERROR(__xludf.DUMMYFUNCTION("""COMPUTED_VALUE"""),44390.625)</f>
        <v>44390.625</v>
      </c>
      <c r="B372" s="2">
        <f>IFERROR(__xludf.DUMMYFUNCTION("""COMPUTED_VALUE"""),1010.0)</f>
        <v>1010</v>
      </c>
      <c r="C372" s="2">
        <f>IFERROR(__xludf.DUMMYFUNCTION("""COMPUTED_VALUE"""),1020.0)</f>
        <v>1020</v>
      </c>
      <c r="D372" s="2">
        <f>IFERROR(__xludf.DUMMYFUNCTION("""COMPUTED_VALUE"""),990.0)</f>
        <v>990</v>
      </c>
      <c r="E372" s="2">
        <f>IFERROR(__xludf.DUMMYFUNCTION("""COMPUTED_VALUE"""),995.0)</f>
        <v>995</v>
      </c>
      <c r="F372" s="2">
        <f>IFERROR(__xludf.DUMMYFUNCTION("""COMPUTED_VALUE"""),1.030596E8)</f>
        <v>103059600</v>
      </c>
      <c r="G372" s="2">
        <f t="shared" si="1"/>
        <v>30</v>
      </c>
    </row>
    <row r="373" ht="15.75" customHeight="1">
      <c r="A373" s="1">
        <f>IFERROR(__xludf.DUMMYFUNCTION("""COMPUTED_VALUE"""),44391.625)</f>
        <v>44391.625</v>
      </c>
      <c r="B373" s="2">
        <f>IFERROR(__xludf.DUMMYFUNCTION("""COMPUTED_VALUE"""),995.0)</f>
        <v>995</v>
      </c>
      <c r="C373" s="2">
        <f>IFERROR(__xludf.DUMMYFUNCTION("""COMPUTED_VALUE"""),1010.0)</f>
        <v>1010</v>
      </c>
      <c r="D373" s="2">
        <f>IFERROR(__xludf.DUMMYFUNCTION("""COMPUTED_VALUE"""),975.0)</f>
        <v>975</v>
      </c>
      <c r="E373" s="2">
        <f>IFERROR(__xludf.DUMMYFUNCTION("""COMPUTED_VALUE"""),975.0)</f>
        <v>975</v>
      </c>
      <c r="F373" s="2">
        <f>IFERROR(__xludf.DUMMYFUNCTION("""COMPUTED_VALUE"""),9.75998E7)</f>
        <v>97599800</v>
      </c>
      <c r="G373" s="2">
        <f t="shared" si="1"/>
        <v>35</v>
      </c>
    </row>
    <row r="374" ht="15.75" customHeight="1">
      <c r="A374" s="1">
        <f>IFERROR(__xludf.DUMMYFUNCTION("""COMPUTED_VALUE"""),44392.625)</f>
        <v>44392.625</v>
      </c>
      <c r="B374" s="2">
        <f>IFERROR(__xludf.DUMMYFUNCTION("""COMPUTED_VALUE"""),975.0)</f>
        <v>975</v>
      </c>
      <c r="C374" s="2">
        <f>IFERROR(__xludf.DUMMYFUNCTION("""COMPUTED_VALUE"""),1000.0)</f>
        <v>1000</v>
      </c>
      <c r="D374" s="2">
        <f>IFERROR(__xludf.DUMMYFUNCTION("""COMPUTED_VALUE"""),975.0)</f>
        <v>975</v>
      </c>
      <c r="E374" s="2">
        <f>IFERROR(__xludf.DUMMYFUNCTION("""COMPUTED_VALUE"""),1000.0)</f>
        <v>1000</v>
      </c>
      <c r="F374" s="2">
        <f>IFERROR(__xludf.DUMMYFUNCTION("""COMPUTED_VALUE"""),6.16629E7)</f>
        <v>61662900</v>
      </c>
      <c r="G374" s="2">
        <f t="shared" si="1"/>
        <v>25</v>
      </c>
    </row>
    <row r="375" ht="15.75" customHeight="1">
      <c r="A375" s="1">
        <f>IFERROR(__xludf.DUMMYFUNCTION("""COMPUTED_VALUE"""),44393.625)</f>
        <v>44393.625</v>
      </c>
      <c r="B375" s="2">
        <f>IFERROR(__xludf.DUMMYFUNCTION("""COMPUTED_VALUE"""),1010.0)</f>
        <v>1010</v>
      </c>
      <c r="C375" s="2">
        <f>IFERROR(__xludf.DUMMYFUNCTION("""COMPUTED_VALUE"""),1015.0)</f>
        <v>1015</v>
      </c>
      <c r="D375" s="2">
        <f>IFERROR(__xludf.DUMMYFUNCTION("""COMPUTED_VALUE"""),1000.0)</f>
        <v>1000</v>
      </c>
      <c r="E375" s="2">
        <f>IFERROR(__xludf.DUMMYFUNCTION("""COMPUTED_VALUE"""),1010.0)</f>
        <v>1010</v>
      </c>
      <c r="F375" s="2">
        <f>IFERROR(__xludf.DUMMYFUNCTION("""COMPUTED_VALUE"""),5.85843E7)</f>
        <v>58584300</v>
      </c>
      <c r="G375" s="2">
        <f t="shared" si="1"/>
        <v>15</v>
      </c>
    </row>
    <row r="376" ht="15.75" customHeight="1">
      <c r="A376" s="1">
        <f>IFERROR(__xludf.DUMMYFUNCTION("""COMPUTED_VALUE"""),44396.625)</f>
        <v>44396.625</v>
      </c>
      <c r="B376" s="2">
        <f>IFERROR(__xludf.DUMMYFUNCTION("""COMPUTED_VALUE"""),1000.0)</f>
        <v>1000</v>
      </c>
      <c r="C376" s="2">
        <f>IFERROR(__xludf.DUMMYFUNCTION("""COMPUTED_VALUE"""),1020.0)</f>
        <v>1020</v>
      </c>
      <c r="D376" s="2">
        <f>IFERROR(__xludf.DUMMYFUNCTION("""COMPUTED_VALUE"""),1000.0)</f>
        <v>1000</v>
      </c>
      <c r="E376" s="2">
        <f>IFERROR(__xludf.DUMMYFUNCTION("""COMPUTED_VALUE"""),1000.0)</f>
        <v>1000</v>
      </c>
      <c r="F376" s="2">
        <f>IFERROR(__xludf.DUMMYFUNCTION("""COMPUTED_VALUE"""),3.58385E7)</f>
        <v>35838500</v>
      </c>
      <c r="G376" s="2">
        <f t="shared" si="1"/>
        <v>20</v>
      </c>
    </row>
    <row r="377" ht="15.75" customHeight="1">
      <c r="A377" s="1">
        <f>IFERROR(__xludf.DUMMYFUNCTION("""COMPUTED_VALUE"""),44398.625)</f>
        <v>44398.625</v>
      </c>
      <c r="B377" s="2">
        <f>IFERROR(__xludf.DUMMYFUNCTION("""COMPUTED_VALUE"""),1010.0)</f>
        <v>1010</v>
      </c>
      <c r="C377" s="2">
        <f>IFERROR(__xludf.DUMMYFUNCTION("""COMPUTED_VALUE"""),1055.0)</f>
        <v>1055</v>
      </c>
      <c r="D377" s="2">
        <f>IFERROR(__xludf.DUMMYFUNCTION("""COMPUTED_VALUE"""),1005.0)</f>
        <v>1005</v>
      </c>
      <c r="E377" s="2">
        <f>IFERROR(__xludf.DUMMYFUNCTION("""COMPUTED_VALUE"""),1035.0)</f>
        <v>1035</v>
      </c>
      <c r="F377" s="2">
        <f>IFERROR(__xludf.DUMMYFUNCTION("""COMPUTED_VALUE"""),1.774456E8)</f>
        <v>177445600</v>
      </c>
      <c r="G377" s="2">
        <f t="shared" si="1"/>
        <v>55</v>
      </c>
    </row>
    <row r="378" ht="15.75" customHeight="1">
      <c r="A378" s="1">
        <f>IFERROR(__xludf.DUMMYFUNCTION("""COMPUTED_VALUE"""),44399.625)</f>
        <v>44399.625</v>
      </c>
      <c r="B378" s="2">
        <f>IFERROR(__xludf.DUMMYFUNCTION("""COMPUTED_VALUE"""),1035.0)</f>
        <v>1035</v>
      </c>
      <c r="C378" s="2">
        <f>IFERROR(__xludf.DUMMYFUNCTION("""COMPUTED_VALUE"""),1080.0)</f>
        <v>1080</v>
      </c>
      <c r="D378" s="2">
        <f>IFERROR(__xludf.DUMMYFUNCTION("""COMPUTED_VALUE"""),1035.0)</f>
        <v>1035</v>
      </c>
      <c r="E378" s="2">
        <f>IFERROR(__xludf.DUMMYFUNCTION("""COMPUTED_VALUE"""),1065.0)</f>
        <v>1065</v>
      </c>
      <c r="F378" s="2">
        <f>IFERROR(__xludf.DUMMYFUNCTION("""COMPUTED_VALUE"""),1.64961E8)</f>
        <v>164961000</v>
      </c>
      <c r="G378" s="2">
        <f t="shared" si="1"/>
        <v>45</v>
      </c>
    </row>
    <row r="379" ht="15.75" customHeight="1">
      <c r="A379" s="1">
        <f>IFERROR(__xludf.DUMMYFUNCTION("""COMPUTED_VALUE"""),44400.625)</f>
        <v>44400.625</v>
      </c>
      <c r="B379" s="2">
        <f>IFERROR(__xludf.DUMMYFUNCTION("""COMPUTED_VALUE"""),1075.0)</f>
        <v>1075</v>
      </c>
      <c r="C379" s="2">
        <f>IFERROR(__xludf.DUMMYFUNCTION("""COMPUTED_VALUE"""),1080.0)</f>
        <v>1080</v>
      </c>
      <c r="D379" s="2">
        <f>IFERROR(__xludf.DUMMYFUNCTION("""COMPUTED_VALUE"""),1045.0)</f>
        <v>1045</v>
      </c>
      <c r="E379" s="2">
        <f>IFERROR(__xludf.DUMMYFUNCTION("""COMPUTED_VALUE"""),1065.0)</f>
        <v>1065</v>
      </c>
      <c r="F379" s="2">
        <f>IFERROR(__xludf.DUMMYFUNCTION("""COMPUTED_VALUE"""),9.55752E7)</f>
        <v>95575200</v>
      </c>
      <c r="G379" s="2">
        <f t="shared" si="1"/>
        <v>35</v>
      </c>
    </row>
    <row r="380" ht="15.75" customHeight="1">
      <c r="A380" s="1">
        <f>IFERROR(__xludf.DUMMYFUNCTION("""COMPUTED_VALUE"""),44403.625)</f>
        <v>44403.625</v>
      </c>
      <c r="B380" s="2">
        <f>IFERROR(__xludf.DUMMYFUNCTION("""COMPUTED_VALUE"""),1055.0)</f>
        <v>1055</v>
      </c>
      <c r="C380" s="2">
        <f>IFERROR(__xludf.DUMMYFUNCTION("""COMPUTED_VALUE"""),1085.0)</f>
        <v>1085</v>
      </c>
      <c r="D380" s="2">
        <f>IFERROR(__xludf.DUMMYFUNCTION("""COMPUTED_VALUE"""),1040.0)</f>
        <v>1040</v>
      </c>
      <c r="E380" s="2">
        <f>IFERROR(__xludf.DUMMYFUNCTION("""COMPUTED_VALUE"""),1040.0)</f>
        <v>1040</v>
      </c>
      <c r="F380" s="2">
        <f>IFERROR(__xludf.DUMMYFUNCTION("""COMPUTED_VALUE"""),9.08678E7)</f>
        <v>90867800</v>
      </c>
      <c r="G380" s="2">
        <f t="shared" si="1"/>
        <v>45</v>
      </c>
    </row>
    <row r="381" ht="15.75" customHeight="1">
      <c r="A381" s="1">
        <f>IFERROR(__xludf.DUMMYFUNCTION("""COMPUTED_VALUE"""),44404.625)</f>
        <v>44404.625</v>
      </c>
      <c r="B381" s="2">
        <f>IFERROR(__xludf.DUMMYFUNCTION("""COMPUTED_VALUE"""),1045.0)</f>
        <v>1045</v>
      </c>
      <c r="C381" s="2">
        <f>IFERROR(__xludf.DUMMYFUNCTION("""COMPUTED_VALUE"""),1060.0)</f>
        <v>1060</v>
      </c>
      <c r="D381" s="2">
        <f>IFERROR(__xludf.DUMMYFUNCTION("""COMPUTED_VALUE"""),1025.0)</f>
        <v>1025</v>
      </c>
      <c r="E381" s="2">
        <f>IFERROR(__xludf.DUMMYFUNCTION("""COMPUTED_VALUE"""),1030.0)</f>
        <v>1030</v>
      </c>
      <c r="F381" s="2">
        <f>IFERROR(__xludf.DUMMYFUNCTION("""COMPUTED_VALUE"""),5.51167E7)</f>
        <v>55116700</v>
      </c>
      <c r="G381" s="2">
        <f t="shared" si="1"/>
        <v>35</v>
      </c>
    </row>
    <row r="382" ht="15.75" customHeight="1">
      <c r="A382" s="1">
        <f>IFERROR(__xludf.DUMMYFUNCTION("""COMPUTED_VALUE"""),44405.625)</f>
        <v>44405.625</v>
      </c>
      <c r="B382" s="2">
        <f>IFERROR(__xludf.DUMMYFUNCTION("""COMPUTED_VALUE"""),1030.0)</f>
        <v>1030</v>
      </c>
      <c r="C382" s="2">
        <f>IFERROR(__xludf.DUMMYFUNCTION("""COMPUTED_VALUE"""),1035.0)</f>
        <v>1035</v>
      </c>
      <c r="D382" s="2">
        <f>IFERROR(__xludf.DUMMYFUNCTION("""COMPUTED_VALUE"""),1000.0)</f>
        <v>1000</v>
      </c>
      <c r="E382" s="2">
        <f>IFERROR(__xludf.DUMMYFUNCTION("""COMPUTED_VALUE"""),1005.0)</f>
        <v>1005</v>
      </c>
      <c r="F382" s="2">
        <f>IFERROR(__xludf.DUMMYFUNCTION("""COMPUTED_VALUE"""),9.75261E7)</f>
        <v>97526100</v>
      </c>
      <c r="G382" s="2">
        <f t="shared" si="1"/>
        <v>35</v>
      </c>
    </row>
    <row r="383" ht="15.75" customHeight="1">
      <c r="A383" s="1">
        <f>IFERROR(__xludf.DUMMYFUNCTION("""COMPUTED_VALUE"""),44406.625)</f>
        <v>44406.625</v>
      </c>
      <c r="B383" s="2">
        <f>IFERROR(__xludf.DUMMYFUNCTION("""COMPUTED_VALUE"""),1015.0)</f>
        <v>1015</v>
      </c>
      <c r="C383" s="2">
        <f>IFERROR(__xludf.DUMMYFUNCTION("""COMPUTED_VALUE"""),1015.0)</f>
        <v>1015</v>
      </c>
      <c r="D383" s="2">
        <f>IFERROR(__xludf.DUMMYFUNCTION("""COMPUTED_VALUE"""),990.0)</f>
        <v>990</v>
      </c>
      <c r="E383" s="2">
        <f>IFERROR(__xludf.DUMMYFUNCTION("""COMPUTED_VALUE"""),1005.0)</f>
        <v>1005</v>
      </c>
      <c r="F383" s="2">
        <f>IFERROR(__xludf.DUMMYFUNCTION("""COMPUTED_VALUE"""),1.084775E8)</f>
        <v>108477500</v>
      </c>
      <c r="G383" s="2">
        <f t="shared" si="1"/>
        <v>25</v>
      </c>
    </row>
    <row r="384" ht="15.75" customHeight="1">
      <c r="A384" s="1">
        <f>IFERROR(__xludf.DUMMYFUNCTION("""COMPUTED_VALUE"""),44407.625)</f>
        <v>44407.625</v>
      </c>
      <c r="B384" s="2">
        <f>IFERROR(__xludf.DUMMYFUNCTION("""COMPUTED_VALUE"""),1010.0)</f>
        <v>1010</v>
      </c>
      <c r="C384" s="2">
        <f>IFERROR(__xludf.DUMMYFUNCTION("""COMPUTED_VALUE"""),1010.0)</f>
        <v>1010</v>
      </c>
      <c r="D384" s="2">
        <f>IFERROR(__xludf.DUMMYFUNCTION("""COMPUTED_VALUE"""),970.0)</f>
        <v>970</v>
      </c>
      <c r="E384" s="2">
        <f>IFERROR(__xludf.DUMMYFUNCTION("""COMPUTED_VALUE"""),975.0)</f>
        <v>975</v>
      </c>
      <c r="F384" s="2">
        <f>IFERROR(__xludf.DUMMYFUNCTION("""COMPUTED_VALUE"""),2.405372E8)</f>
        <v>240537200</v>
      </c>
      <c r="G384" s="2">
        <f t="shared" si="1"/>
        <v>40</v>
      </c>
    </row>
    <row r="385" ht="15.75" customHeight="1">
      <c r="A385" s="1">
        <f>IFERROR(__xludf.DUMMYFUNCTION("""COMPUTED_VALUE"""),44410.625)</f>
        <v>44410.625</v>
      </c>
      <c r="B385" s="2">
        <f>IFERROR(__xludf.DUMMYFUNCTION("""COMPUTED_VALUE"""),980.0)</f>
        <v>980</v>
      </c>
      <c r="C385" s="2">
        <f>IFERROR(__xludf.DUMMYFUNCTION("""COMPUTED_VALUE"""),990.0)</f>
        <v>990</v>
      </c>
      <c r="D385" s="2">
        <f>IFERROR(__xludf.DUMMYFUNCTION("""COMPUTED_VALUE"""),960.0)</f>
        <v>960</v>
      </c>
      <c r="E385" s="2">
        <f>IFERROR(__xludf.DUMMYFUNCTION("""COMPUTED_VALUE"""),990.0)</f>
        <v>990</v>
      </c>
      <c r="F385" s="2">
        <f>IFERROR(__xludf.DUMMYFUNCTION("""COMPUTED_VALUE"""),8.63577E7)</f>
        <v>86357700</v>
      </c>
      <c r="G385" s="2">
        <f t="shared" si="1"/>
        <v>30</v>
      </c>
    </row>
    <row r="386" ht="15.75" customHeight="1">
      <c r="A386" s="1">
        <f>IFERROR(__xludf.DUMMYFUNCTION("""COMPUTED_VALUE"""),44411.625)</f>
        <v>44411.625</v>
      </c>
      <c r="B386" s="2">
        <f>IFERROR(__xludf.DUMMYFUNCTION("""COMPUTED_VALUE"""),995.0)</f>
        <v>995</v>
      </c>
      <c r="C386" s="2">
        <f>IFERROR(__xludf.DUMMYFUNCTION("""COMPUTED_VALUE"""),1015.0)</f>
        <v>1015</v>
      </c>
      <c r="D386" s="2">
        <f>IFERROR(__xludf.DUMMYFUNCTION("""COMPUTED_VALUE"""),985.0)</f>
        <v>985</v>
      </c>
      <c r="E386" s="2">
        <f>IFERROR(__xludf.DUMMYFUNCTION("""COMPUTED_VALUE"""),1010.0)</f>
        <v>1010</v>
      </c>
      <c r="F386" s="2">
        <f>IFERROR(__xludf.DUMMYFUNCTION("""COMPUTED_VALUE"""),9.30924E7)</f>
        <v>93092400</v>
      </c>
      <c r="G386" s="2">
        <f t="shared" si="1"/>
        <v>30</v>
      </c>
    </row>
    <row r="387" ht="15.75" customHeight="1">
      <c r="A387" s="1">
        <f>IFERROR(__xludf.DUMMYFUNCTION("""COMPUTED_VALUE"""),44412.625)</f>
        <v>44412.625</v>
      </c>
      <c r="B387" s="2">
        <f>IFERROR(__xludf.DUMMYFUNCTION("""COMPUTED_VALUE"""),1020.0)</f>
        <v>1020</v>
      </c>
      <c r="C387" s="2">
        <f>IFERROR(__xludf.DUMMYFUNCTION("""COMPUTED_VALUE"""),1050.0)</f>
        <v>1050</v>
      </c>
      <c r="D387" s="2">
        <f>IFERROR(__xludf.DUMMYFUNCTION("""COMPUTED_VALUE"""),1010.0)</f>
        <v>1010</v>
      </c>
      <c r="E387" s="2">
        <f>IFERROR(__xludf.DUMMYFUNCTION("""COMPUTED_VALUE"""),1025.0)</f>
        <v>1025</v>
      </c>
      <c r="F387" s="2">
        <f>IFERROR(__xludf.DUMMYFUNCTION("""COMPUTED_VALUE"""),1.362219E8)</f>
        <v>136221900</v>
      </c>
      <c r="G387" s="2">
        <f t="shared" si="1"/>
        <v>40</v>
      </c>
    </row>
    <row r="388" ht="15.75" customHeight="1">
      <c r="A388" s="1">
        <f>IFERROR(__xludf.DUMMYFUNCTION("""COMPUTED_VALUE"""),44413.625)</f>
        <v>44413.625</v>
      </c>
      <c r="B388" s="2">
        <f>IFERROR(__xludf.DUMMYFUNCTION("""COMPUTED_VALUE"""),1030.0)</f>
        <v>1030</v>
      </c>
      <c r="C388" s="2">
        <f>IFERROR(__xludf.DUMMYFUNCTION("""COMPUTED_VALUE"""),1040.0)</f>
        <v>1040</v>
      </c>
      <c r="D388" s="2">
        <f>IFERROR(__xludf.DUMMYFUNCTION("""COMPUTED_VALUE"""),1010.0)</f>
        <v>1010</v>
      </c>
      <c r="E388" s="2">
        <f>IFERROR(__xludf.DUMMYFUNCTION("""COMPUTED_VALUE"""),1015.0)</f>
        <v>1015</v>
      </c>
      <c r="F388" s="2">
        <f>IFERROR(__xludf.DUMMYFUNCTION("""COMPUTED_VALUE"""),9.06408E7)</f>
        <v>90640800</v>
      </c>
      <c r="G388" s="2">
        <f t="shared" si="1"/>
        <v>30</v>
      </c>
    </row>
    <row r="389" ht="15.75" customHeight="1">
      <c r="A389" s="1">
        <f>IFERROR(__xludf.DUMMYFUNCTION("""COMPUTED_VALUE"""),44414.625)</f>
        <v>44414.625</v>
      </c>
      <c r="B389" s="2">
        <f>IFERROR(__xludf.DUMMYFUNCTION("""COMPUTED_VALUE"""),1020.0)</f>
        <v>1020</v>
      </c>
      <c r="C389" s="2">
        <f>IFERROR(__xludf.DUMMYFUNCTION("""COMPUTED_VALUE"""),1045.0)</f>
        <v>1045</v>
      </c>
      <c r="D389" s="2">
        <f>IFERROR(__xludf.DUMMYFUNCTION("""COMPUTED_VALUE"""),1015.0)</f>
        <v>1015</v>
      </c>
      <c r="E389" s="2">
        <f>IFERROR(__xludf.DUMMYFUNCTION("""COMPUTED_VALUE"""),1025.0)</f>
        <v>1025</v>
      </c>
      <c r="F389" s="2">
        <f>IFERROR(__xludf.DUMMYFUNCTION("""COMPUTED_VALUE"""),7.0326E7)</f>
        <v>70326000</v>
      </c>
      <c r="G389" s="2">
        <f t="shared" si="1"/>
        <v>30</v>
      </c>
    </row>
    <row r="390" ht="15.75" customHeight="1">
      <c r="A390" s="1">
        <f>IFERROR(__xludf.DUMMYFUNCTION("""COMPUTED_VALUE"""),44417.625)</f>
        <v>44417.625</v>
      </c>
      <c r="B390" s="2">
        <f>IFERROR(__xludf.DUMMYFUNCTION("""COMPUTED_VALUE"""),1025.0)</f>
        <v>1025</v>
      </c>
      <c r="C390" s="2">
        <f>IFERROR(__xludf.DUMMYFUNCTION("""COMPUTED_VALUE"""),1035.0)</f>
        <v>1035</v>
      </c>
      <c r="D390" s="2">
        <f>IFERROR(__xludf.DUMMYFUNCTION("""COMPUTED_VALUE"""),1000.0)</f>
        <v>1000</v>
      </c>
      <c r="E390" s="2">
        <f>IFERROR(__xludf.DUMMYFUNCTION("""COMPUTED_VALUE"""),1010.0)</f>
        <v>1010</v>
      </c>
      <c r="F390" s="2">
        <f>IFERROR(__xludf.DUMMYFUNCTION("""COMPUTED_VALUE"""),6.94842E7)</f>
        <v>69484200</v>
      </c>
      <c r="G390" s="2">
        <f t="shared" si="1"/>
        <v>35</v>
      </c>
    </row>
    <row r="391" ht="15.75" customHeight="1">
      <c r="A391" s="1">
        <f>IFERROR(__xludf.DUMMYFUNCTION("""COMPUTED_VALUE"""),44418.625)</f>
        <v>44418.625</v>
      </c>
      <c r="B391" s="2">
        <f>IFERROR(__xludf.DUMMYFUNCTION("""COMPUTED_VALUE"""),1010.0)</f>
        <v>1010</v>
      </c>
      <c r="C391" s="2">
        <f>IFERROR(__xludf.DUMMYFUNCTION("""COMPUTED_VALUE"""),1015.0)</f>
        <v>1015</v>
      </c>
      <c r="D391" s="2">
        <f>IFERROR(__xludf.DUMMYFUNCTION("""COMPUTED_VALUE"""),995.0)</f>
        <v>995</v>
      </c>
      <c r="E391" s="2">
        <f>IFERROR(__xludf.DUMMYFUNCTION("""COMPUTED_VALUE"""),1005.0)</f>
        <v>1005</v>
      </c>
      <c r="F391" s="2">
        <f>IFERROR(__xludf.DUMMYFUNCTION("""COMPUTED_VALUE"""),5.90634E7)</f>
        <v>59063400</v>
      </c>
      <c r="G391" s="2">
        <f t="shared" si="1"/>
        <v>20</v>
      </c>
    </row>
    <row r="392" ht="15.75" customHeight="1">
      <c r="A392" s="1">
        <f>IFERROR(__xludf.DUMMYFUNCTION("""COMPUTED_VALUE"""),44420.625)</f>
        <v>44420.625</v>
      </c>
      <c r="B392" s="2">
        <f>IFERROR(__xludf.DUMMYFUNCTION("""COMPUTED_VALUE"""),1005.0)</f>
        <v>1005</v>
      </c>
      <c r="C392" s="2">
        <f>IFERROR(__xludf.DUMMYFUNCTION("""COMPUTED_VALUE"""),1030.0)</f>
        <v>1030</v>
      </c>
      <c r="D392" s="2">
        <f>IFERROR(__xludf.DUMMYFUNCTION("""COMPUTED_VALUE"""),1000.0)</f>
        <v>1000</v>
      </c>
      <c r="E392" s="2">
        <f>IFERROR(__xludf.DUMMYFUNCTION("""COMPUTED_VALUE"""),1020.0)</f>
        <v>1020</v>
      </c>
      <c r="F392" s="2">
        <f>IFERROR(__xludf.DUMMYFUNCTION("""COMPUTED_VALUE"""),7.81423E7)</f>
        <v>78142300</v>
      </c>
      <c r="G392" s="2">
        <f t="shared" si="1"/>
        <v>30</v>
      </c>
    </row>
    <row r="393" ht="15.75" customHeight="1">
      <c r="A393" s="1">
        <f>IFERROR(__xludf.DUMMYFUNCTION("""COMPUTED_VALUE"""),44421.625)</f>
        <v>44421.625</v>
      </c>
      <c r="B393" s="2">
        <f>IFERROR(__xludf.DUMMYFUNCTION("""COMPUTED_VALUE"""),1020.0)</f>
        <v>1020</v>
      </c>
      <c r="C393" s="2">
        <f>IFERROR(__xludf.DUMMYFUNCTION("""COMPUTED_VALUE"""),1030.0)</f>
        <v>1030</v>
      </c>
      <c r="D393" s="2">
        <f>IFERROR(__xludf.DUMMYFUNCTION("""COMPUTED_VALUE"""),1010.0)</f>
        <v>1010</v>
      </c>
      <c r="E393" s="2">
        <f>IFERROR(__xludf.DUMMYFUNCTION("""COMPUTED_VALUE"""),1025.0)</f>
        <v>1025</v>
      </c>
      <c r="F393" s="2">
        <f>IFERROR(__xludf.DUMMYFUNCTION("""COMPUTED_VALUE"""),8.35618E7)</f>
        <v>83561800</v>
      </c>
      <c r="G393" s="2">
        <f t="shared" si="1"/>
        <v>20</v>
      </c>
    </row>
    <row r="394" ht="15.75" customHeight="1">
      <c r="A394" s="1">
        <f>IFERROR(__xludf.DUMMYFUNCTION("""COMPUTED_VALUE"""),44424.625)</f>
        <v>44424.625</v>
      </c>
      <c r="B394" s="2">
        <f>IFERROR(__xludf.DUMMYFUNCTION("""COMPUTED_VALUE"""),1025.0)</f>
        <v>1025</v>
      </c>
      <c r="C394" s="2">
        <f>IFERROR(__xludf.DUMMYFUNCTION("""COMPUTED_VALUE"""),1055.0)</f>
        <v>1055</v>
      </c>
      <c r="D394" s="2">
        <f>IFERROR(__xludf.DUMMYFUNCTION("""COMPUTED_VALUE"""),1015.0)</f>
        <v>1015</v>
      </c>
      <c r="E394" s="2">
        <f>IFERROR(__xludf.DUMMYFUNCTION("""COMPUTED_VALUE"""),1040.0)</f>
        <v>1040</v>
      </c>
      <c r="F394" s="2">
        <f>IFERROR(__xludf.DUMMYFUNCTION("""COMPUTED_VALUE"""),1.589805E8)</f>
        <v>158980500</v>
      </c>
      <c r="G394" s="2">
        <f t="shared" si="1"/>
        <v>40</v>
      </c>
    </row>
    <row r="395" ht="15.75" customHeight="1">
      <c r="A395" s="1">
        <f>IFERROR(__xludf.DUMMYFUNCTION("""COMPUTED_VALUE"""),44426.625)</f>
        <v>44426.625</v>
      </c>
      <c r="B395" s="2">
        <f>IFERROR(__xludf.DUMMYFUNCTION("""COMPUTED_VALUE"""),1045.0)</f>
        <v>1045</v>
      </c>
      <c r="C395" s="2">
        <f>IFERROR(__xludf.DUMMYFUNCTION("""COMPUTED_VALUE"""),1055.0)</f>
        <v>1055</v>
      </c>
      <c r="D395" s="2">
        <f>IFERROR(__xludf.DUMMYFUNCTION("""COMPUTED_VALUE"""),1015.0)</f>
        <v>1015</v>
      </c>
      <c r="E395" s="2">
        <f>IFERROR(__xludf.DUMMYFUNCTION("""COMPUTED_VALUE"""),1025.0)</f>
        <v>1025</v>
      </c>
      <c r="F395" s="2">
        <f>IFERROR(__xludf.DUMMYFUNCTION("""COMPUTED_VALUE"""),1.076393E8)</f>
        <v>107639300</v>
      </c>
      <c r="G395" s="2">
        <f t="shared" si="1"/>
        <v>40</v>
      </c>
    </row>
    <row r="396" ht="15.75" customHeight="1">
      <c r="A396" s="1">
        <f>IFERROR(__xludf.DUMMYFUNCTION("""COMPUTED_VALUE"""),44427.625)</f>
        <v>44427.625</v>
      </c>
      <c r="B396" s="2">
        <f>IFERROR(__xludf.DUMMYFUNCTION("""COMPUTED_VALUE"""),1020.0)</f>
        <v>1020</v>
      </c>
      <c r="C396" s="2">
        <f>IFERROR(__xludf.DUMMYFUNCTION("""COMPUTED_VALUE"""),1025.0)</f>
        <v>1025</v>
      </c>
      <c r="D396" s="2">
        <f>IFERROR(__xludf.DUMMYFUNCTION("""COMPUTED_VALUE"""),995.0)</f>
        <v>995</v>
      </c>
      <c r="E396" s="2">
        <f>IFERROR(__xludf.DUMMYFUNCTION("""COMPUTED_VALUE"""),1000.0)</f>
        <v>1000</v>
      </c>
      <c r="F396" s="2">
        <f>IFERROR(__xludf.DUMMYFUNCTION("""COMPUTED_VALUE"""),1.279021E8)</f>
        <v>127902100</v>
      </c>
      <c r="G396" s="2">
        <f t="shared" si="1"/>
        <v>30</v>
      </c>
    </row>
    <row r="397" ht="15.75" customHeight="1">
      <c r="A397" s="1">
        <f>IFERROR(__xludf.DUMMYFUNCTION("""COMPUTED_VALUE"""),44428.625)</f>
        <v>44428.625</v>
      </c>
      <c r="B397" s="2">
        <f>IFERROR(__xludf.DUMMYFUNCTION("""COMPUTED_VALUE"""),1000.0)</f>
        <v>1000</v>
      </c>
      <c r="C397" s="2">
        <f>IFERROR(__xludf.DUMMYFUNCTION("""COMPUTED_VALUE"""),1010.0)</f>
        <v>1010</v>
      </c>
      <c r="D397" s="2">
        <f>IFERROR(__xludf.DUMMYFUNCTION("""COMPUTED_VALUE"""),990.0)</f>
        <v>990</v>
      </c>
      <c r="E397" s="2">
        <f>IFERROR(__xludf.DUMMYFUNCTION("""COMPUTED_VALUE"""),1000.0)</f>
        <v>1000</v>
      </c>
      <c r="F397" s="2">
        <f>IFERROR(__xludf.DUMMYFUNCTION("""COMPUTED_VALUE"""),5.12997E7)</f>
        <v>51299700</v>
      </c>
      <c r="G397" s="2">
        <f t="shared" si="1"/>
        <v>20</v>
      </c>
    </row>
    <row r="398" ht="15.75" customHeight="1">
      <c r="A398" s="1">
        <f>IFERROR(__xludf.DUMMYFUNCTION("""COMPUTED_VALUE"""),44431.66666666667)</f>
        <v>44431.66667</v>
      </c>
      <c r="B398" s="2">
        <f>IFERROR(__xludf.DUMMYFUNCTION("""COMPUTED_VALUE"""),1010.0)</f>
        <v>1010</v>
      </c>
      <c r="C398" s="2">
        <f>IFERROR(__xludf.DUMMYFUNCTION("""COMPUTED_VALUE"""),1065.0)</f>
        <v>1065</v>
      </c>
      <c r="D398" s="2">
        <f>IFERROR(__xludf.DUMMYFUNCTION("""COMPUTED_VALUE"""),1005.0)</f>
        <v>1005</v>
      </c>
      <c r="E398" s="2">
        <f>IFERROR(__xludf.DUMMYFUNCTION("""COMPUTED_VALUE"""),1055.0)</f>
        <v>1055</v>
      </c>
      <c r="F398" s="2">
        <f>IFERROR(__xludf.DUMMYFUNCTION("""COMPUTED_VALUE"""),1.783257E8)</f>
        <v>178325700</v>
      </c>
      <c r="G398" s="2">
        <f t="shared" si="1"/>
        <v>65</v>
      </c>
    </row>
    <row r="399" ht="15.75" customHeight="1">
      <c r="A399" s="1">
        <f>IFERROR(__xludf.DUMMYFUNCTION("""COMPUTED_VALUE"""),44432.66666666667)</f>
        <v>44432.66667</v>
      </c>
      <c r="B399" s="2">
        <f>IFERROR(__xludf.DUMMYFUNCTION("""COMPUTED_VALUE"""),1065.0)</f>
        <v>1065</v>
      </c>
      <c r="C399" s="2">
        <f>IFERROR(__xludf.DUMMYFUNCTION("""COMPUTED_VALUE"""),1075.0)</f>
        <v>1075</v>
      </c>
      <c r="D399" s="2">
        <f>IFERROR(__xludf.DUMMYFUNCTION("""COMPUTED_VALUE"""),1035.0)</f>
        <v>1035</v>
      </c>
      <c r="E399" s="2">
        <f>IFERROR(__xludf.DUMMYFUNCTION("""COMPUTED_VALUE"""),1040.0)</f>
        <v>1040</v>
      </c>
      <c r="F399" s="2">
        <f>IFERROR(__xludf.DUMMYFUNCTION("""COMPUTED_VALUE"""),1.618041E8)</f>
        <v>161804100</v>
      </c>
      <c r="G399" s="2">
        <f t="shared" si="1"/>
        <v>40</v>
      </c>
    </row>
    <row r="400" ht="15.75" customHeight="1">
      <c r="A400" s="1">
        <f>IFERROR(__xludf.DUMMYFUNCTION("""COMPUTED_VALUE"""),44433.625)</f>
        <v>44433.625</v>
      </c>
      <c r="B400" s="2">
        <f>IFERROR(__xludf.DUMMYFUNCTION("""COMPUTED_VALUE"""),1045.0)</f>
        <v>1045</v>
      </c>
      <c r="C400" s="2">
        <f>IFERROR(__xludf.DUMMYFUNCTION("""COMPUTED_VALUE"""),1055.0)</f>
        <v>1055</v>
      </c>
      <c r="D400" s="2">
        <f>IFERROR(__xludf.DUMMYFUNCTION("""COMPUTED_VALUE"""),1025.0)</f>
        <v>1025</v>
      </c>
      <c r="E400" s="2">
        <f>IFERROR(__xludf.DUMMYFUNCTION("""COMPUTED_VALUE"""),1030.0)</f>
        <v>1030</v>
      </c>
      <c r="F400" s="2">
        <f>IFERROR(__xludf.DUMMYFUNCTION("""COMPUTED_VALUE"""),6.22579E7)</f>
        <v>62257900</v>
      </c>
      <c r="G400" s="2">
        <f t="shared" si="1"/>
        <v>30</v>
      </c>
    </row>
    <row r="401" ht="15.75" customHeight="1">
      <c r="A401" s="1">
        <f>IFERROR(__xludf.DUMMYFUNCTION("""COMPUTED_VALUE"""),44434.625)</f>
        <v>44434.625</v>
      </c>
      <c r="B401" s="2">
        <f>IFERROR(__xludf.DUMMYFUNCTION("""COMPUTED_VALUE"""),1030.0)</f>
        <v>1030</v>
      </c>
      <c r="C401" s="2">
        <f>IFERROR(__xludf.DUMMYFUNCTION("""COMPUTED_VALUE"""),1035.0)</f>
        <v>1035</v>
      </c>
      <c r="D401" s="2">
        <f>IFERROR(__xludf.DUMMYFUNCTION("""COMPUTED_VALUE"""),1010.0)</f>
        <v>1010</v>
      </c>
      <c r="E401" s="2">
        <f>IFERROR(__xludf.DUMMYFUNCTION("""COMPUTED_VALUE"""),1015.0)</f>
        <v>1015</v>
      </c>
      <c r="F401" s="2">
        <f>IFERROR(__xludf.DUMMYFUNCTION("""COMPUTED_VALUE"""),9.51206E7)</f>
        <v>95120600</v>
      </c>
      <c r="G401" s="2">
        <f t="shared" si="1"/>
        <v>25</v>
      </c>
    </row>
    <row r="402" ht="15.75" customHeight="1">
      <c r="A402" s="1">
        <f>IFERROR(__xludf.DUMMYFUNCTION("""COMPUTED_VALUE"""),44435.625)</f>
        <v>44435.625</v>
      </c>
      <c r="B402" s="2">
        <f>IFERROR(__xludf.DUMMYFUNCTION("""COMPUTED_VALUE"""),1020.0)</f>
        <v>1020</v>
      </c>
      <c r="C402" s="2">
        <f>IFERROR(__xludf.DUMMYFUNCTION("""COMPUTED_VALUE"""),1025.0)</f>
        <v>1025</v>
      </c>
      <c r="D402" s="2">
        <f>IFERROR(__xludf.DUMMYFUNCTION("""COMPUTED_VALUE"""),1005.0)</f>
        <v>1005</v>
      </c>
      <c r="E402" s="2">
        <f>IFERROR(__xludf.DUMMYFUNCTION("""COMPUTED_VALUE"""),1010.0)</f>
        <v>1010</v>
      </c>
      <c r="F402" s="2">
        <f>IFERROR(__xludf.DUMMYFUNCTION("""COMPUTED_VALUE"""),6.30722E7)</f>
        <v>63072200</v>
      </c>
      <c r="G402" s="2">
        <f t="shared" si="1"/>
        <v>20</v>
      </c>
    </row>
    <row r="403" ht="15.75" customHeight="1">
      <c r="A403" s="1">
        <f>IFERROR(__xludf.DUMMYFUNCTION("""COMPUTED_VALUE"""),44438.625)</f>
        <v>44438.625</v>
      </c>
      <c r="B403" s="2">
        <f>IFERROR(__xludf.DUMMYFUNCTION("""COMPUTED_VALUE"""),1015.0)</f>
        <v>1015</v>
      </c>
      <c r="C403" s="2">
        <f>IFERROR(__xludf.DUMMYFUNCTION("""COMPUTED_VALUE"""),1035.0)</f>
        <v>1035</v>
      </c>
      <c r="D403" s="2">
        <f>IFERROR(__xludf.DUMMYFUNCTION("""COMPUTED_VALUE"""),1005.0)</f>
        <v>1005</v>
      </c>
      <c r="E403" s="2">
        <f>IFERROR(__xludf.DUMMYFUNCTION("""COMPUTED_VALUE"""),1030.0)</f>
        <v>1030</v>
      </c>
      <c r="F403" s="2">
        <f>IFERROR(__xludf.DUMMYFUNCTION("""COMPUTED_VALUE"""),6.92397E7)</f>
        <v>69239700</v>
      </c>
      <c r="G403" s="2">
        <f t="shared" si="1"/>
        <v>30</v>
      </c>
    </row>
    <row r="404" ht="15.75" customHeight="1">
      <c r="A404" s="1">
        <f>IFERROR(__xludf.DUMMYFUNCTION("""COMPUTED_VALUE"""),44439.625)</f>
        <v>44439.625</v>
      </c>
      <c r="B404" s="2">
        <f>IFERROR(__xludf.DUMMYFUNCTION("""COMPUTED_VALUE"""),1035.0)</f>
        <v>1035</v>
      </c>
      <c r="C404" s="2">
        <f>IFERROR(__xludf.DUMMYFUNCTION("""COMPUTED_VALUE"""),1040.0)</f>
        <v>1040</v>
      </c>
      <c r="D404" s="2">
        <f>IFERROR(__xludf.DUMMYFUNCTION("""COMPUTED_VALUE"""),1020.0)</f>
        <v>1020</v>
      </c>
      <c r="E404" s="2">
        <f>IFERROR(__xludf.DUMMYFUNCTION("""COMPUTED_VALUE"""),1035.0)</f>
        <v>1035</v>
      </c>
      <c r="F404" s="2">
        <f>IFERROR(__xludf.DUMMYFUNCTION("""COMPUTED_VALUE"""),6.44892E7)</f>
        <v>64489200</v>
      </c>
      <c r="G404" s="2">
        <f t="shared" si="1"/>
        <v>20</v>
      </c>
    </row>
    <row r="405" ht="15.75" customHeight="1">
      <c r="A405" s="1">
        <f>IFERROR(__xludf.DUMMYFUNCTION("""COMPUTED_VALUE"""),44440.625)</f>
        <v>44440.625</v>
      </c>
      <c r="B405" s="2">
        <f>IFERROR(__xludf.DUMMYFUNCTION("""COMPUTED_VALUE"""),1035.0)</f>
        <v>1035</v>
      </c>
      <c r="C405" s="2">
        <f>IFERROR(__xludf.DUMMYFUNCTION("""COMPUTED_VALUE"""),1040.0)</f>
        <v>1040</v>
      </c>
      <c r="D405" s="2">
        <f>IFERROR(__xludf.DUMMYFUNCTION("""COMPUTED_VALUE"""),1025.0)</f>
        <v>1025</v>
      </c>
      <c r="E405" s="2">
        <f>IFERROR(__xludf.DUMMYFUNCTION("""COMPUTED_VALUE"""),1040.0)</f>
        <v>1040</v>
      </c>
      <c r="F405" s="2">
        <f>IFERROR(__xludf.DUMMYFUNCTION("""COMPUTED_VALUE"""),4.33326E7)</f>
        <v>43332600</v>
      </c>
      <c r="G405" s="2">
        <f t="shared" si="1"/>
        <v>15</v>
      </c>
    </row>
    <row r="406" ht="15.75" customHeight="1">
      <c r="A406" s="1">
        <f>IFERROR(__xludf.DUMMYFUNCTION("""COMPUTED_VALUE"""),44441.625)</f>
        <v>44441.625</v>
      </c>
      <c r="B406" s="2">
        <f>IFERROR(__xludf.DUMMYFUNCTION("""COMPUTED_VALUE"""),1045.0)</f>
        <v>1045</v>
      </c>
      <c r="C406" s="2">
        <f>IFERROR(__xludf.DUMMYFUNCTION("""COMPUTED_VALUE"""),1055.0)</f>
        <v>1055</v>
      </c>
      <c r="D406" s="2">
        <f>IFERROR(__xludf.DUMMYFUNCTION("""COMPUTED_VALUE"""),1025.0)</f>
        <v>1025</v>
      </c>
      <c r="E406" s="2">
        <f>IFERROR(__xludf.DUMMYFUNCTION("""COMPUTED_VALUE"""),1030.0)</f>
        <v>1030</v>
      </c>
      <c r="F406" s="2">
        <f>IFERROR(__xludf.DUMMYFUNCTION("""COMPUTED_VALUE"""),1.08612E8)</f>
        <v>108612000</v>
      </c>
      <c r="G406" s="2">
        <f t="shared" si="1"/>
        <v>30</v>
      </c>
    </row>
    <row r="407" ht="15.75" customHeight="1">
      <c r="A407" s="1">
        <f>IFERROR(__xludf.DUMMYFUNCTION("""COMPUTED_VALUE"""),44442.625)</f>
        <v>44442.625</v>
      </c>
      <c r="B407" s="2">
        <f>IFERROR(__xludf.DUMMYFUNCTION("""COMPUTED_VALUE"""),1035.0)</f>
        <v>1035</v>
      </c>
      <c r="C407" s="2">
        <f>IFERROR(__xludf.DUMMYFUNCTION("""COMPUTED_VALUE"""),1065.0)</f>
        <v>1065</v>
      </c>
      <c r="D407" s="2">
        <f>IFERROR(__xludf.DUMMYFUNCTION("""COMPUTED_VALUE"""),1015.0)</f>
        <v>1015</v>
      </c>
      <c r="E407" s="2">
        <f>IFERROR(__xludf.DUMMYFUNCTION("""COMPUTED_VALUE"""),1060.0)</f>
        <v>1060</v>
      </c>
      <c r="F407" s="2">
        <f>IFERROR(__xludf.DUMMYFUNCTION("""COMPUTED_VALUE"""),1.944829E8)</f>
        <v>194482900</v>
      </c>
      <c r="G407" s="2">
        <f t="shared" si="1"/>
        <v>50</v>
      </c>
    </row>
    <row r="408" ht="15.75" customHeight="1">
      <c r="A408" s="1">
        <f>IFERROR(__xludf.DUMMYFUNCTION("""COMPUTED_VALUE"""),44445.625)</f>
        <v>44445.625</v>
      </c>
      <c r="B408" s="2">
        <f>IFERROR(__xludf.DUMMYFUNCTION("""COMPUTED_VALUE"""),1065.0)</f>
        <v>1065</v>
      </c>
      <c r="C408" s="2">
        <f>IFERROR(__xludf.DUMMYFUNCTION("""COMPUTED_VALUE"""),1105.0)</f>
        <v>1105</v>
      </c>
      <c r="D408" s="2">
        <f>IFERROR(__xludf.DUMMYFUNCTION("""COMPUTED_VALUE"""),1055.0)</f>
        <v>1055</v>
      </c>
      <c r="E408" s="2">
        <f>IFERROR(__xludf.DUMMYFUNCTION("""COMPUTED_VALUE"""),1095.0)</f>
        <v>1095</v>
      </c>
      <c r="F408" s="2">
        <f>IFERROR(__xludf.DUMMYFUNCTION("""COMPUTED_VALUE"""),3.910943E8)</f>
        <v>391094300</v>
      </c>
      <c r="G408" s="2">
        <f t="shared" si="1"/>
        <v>50</v>
      </c>
    </row>
    <row r="409" ht="15.75" customHeight="1">
      <c r="A409" s="1">
        <f>IFERROR(__xludf.DUMMYFUNCTION("""COMPUTED_VALUE"""),44446.625)</f>
        <v>44446.625</v>
      </c>
      <c r="B409" s="2">
        <f>IFERROR(__xludf.DUMMYFUNCTION("""COMPUTED_VALUE"""),1100.0)</f>
        <v>1100</v>
      </c>
      <c r="C409" s="2">
        <f>IFERROR(__xludf.DUMMYFUNCTION("""COMPUTED_VALUE"""),1105.0)</f>
        <v>1105</v>
      </c>
      <c r="D409" s="2">
        <f>IFERROR(__xludf.DUMMYFUNCTION("""COMPUTED_VALUE"""),1080.0)</f>
        <v>1080</v>
      </c>
      <c r="E409" s="2">
        <f>IFERROR(__xludf.DUMMYFUNCTION("""COMPUTED_VALUE"""),1080.0)</f>
        <v>1080</v>
      </c>
      <c r="F409" s="2">
        <f>IFERROR(__xludf.DUMMYFUNCTION("""COMPUTED_VALUE"""),1.191355E8)</f>
        <v>119135500</v>
      </c>
      <c r="G409" s="2">
        <f t="shared" si="1"/>
        <v>25</v>
      </c>
    </row>
    <row r="410" ht="15.75" customHeight="1">
      <c r="A410" s="1">
        <f>IFERROR(__xludf.DUMMYFUNCTION("""COMPUTED_VALUE"""),44447.625)</f>
        <v>44447.625</v>
      </c>
      <c r="B410" s="2">
        <f>IFERROR(__xludf.DUMMYFUNCTION("""COMPUTED_VALUE"""),1080.0)</f>
        <v>1080</v>
      </c>
      <c r="C410" s="2">
        <f>IFERROR(__xludf.DUMMYFUNCTION("""COMPUTED_VALUE"""),1080.0)</f>
        <v>1080</v>
      </c>
      <c r="D410" s="2">
        <f>IFERROR(__xludf.DUMMYFUNCTION("""COMPUTED_VALUE"""),1045.0)</f>
        <v>1045</v>
      </c>
      <c r="E410" s="2">
        <f>IFERROR(__xludf.DUMMYFUNCTION("""COMPUTED_VALUE"""),1050.0)</f>
        <v>1050</v>
      </c>
      <c r="F410" s="2">
        <f>IFERROR(__xludf.DUMMYFUNCTION("""COMPUTED_VALUE"""),1.548017E8)</f>
        <v>154801700</v>
      </c>
      <c r="G410" s="2">
        <f t="shared" si="1"/>
        <v>35</v>
      </c>
    </row>
    <row r="411" ht="15.75" customHeight="1">
      <c r="A411" s="1">
        <f>IFERROR(__xludf.DUMMYFUNCTION("""COMPUTED_VALUE"""),44448.625)</f>
        <v>44448.625</v>
      </c>
      <c r="B411" s="2">
        <f>IFERROR(__xludf.DUMMYFUNCTION("""COMPUTED_VALUE"""),1050.0)</f>
        <v>1050</v>
      </c>
      <c r="C411" s="2">
        <f>IFERROR(__xludf.DUMMYFUNCTION("""COMPUTED_VALUE"""),1065.0)</f>
        <v>1065</v>
      </c>
      <c r="D411" s="2">
        <f>IFERROR(__xludf.DUMMYFUNCTION("""COMPUTED_VALUE"""),1030.0)</f>
        <v>1030</v>
      </c>
      <c r="E411" s="2">
        <f>IFERROR(__xludf.DUMMYFUNCTION("""COMPUTED_VALUE"""),1045.0)</f>
        <v>1045</v>
      </c>
      <c r="F411" s="2">
        <f>IFERROR(__xludf.DUMMYFUNCTION("""COMPUTED_VALUE"""),9.7683E7)</f>
        <v>97683000</v>
      </c>
      <c r="G411" s="2">
        <f t="shared" si="1"/>
        <v>35</v>
      </c>
    </row>
    <row r="412" ht="15.75" customHeight="1">
      <c r="A412" s="1">
        <f>IFERROR(__xludf.DUMMYFUNCTION("""COMPUTED_VALUE"""),44449.625)</f>
        <v>44449.625</v>
      </c>
      <c r="B412" s="2">
        <f>IFERROR(__xludf.DUMMYFUNCTION("""COMPUTED_VALUE"""),1055.0)</f>
        <v>1055</v>
      </c>
      <c r="C412" s="2">
        <f>IFERROR(__xludf.DUMMYFUNCTION("""COMPUTED_VALUE"""),1060.0)</f>
        <v>1060</v>
      </c>
      <c r="D412" s="2">
        <f>IFERROR(__xludf.DUMMYFUNCTION("""COMPUTED_VALUE"""),1045.0)</f>
        <v>1045</v>
      </c>
      <c r="E412" s="2">
        <f>IFERROR(__xludf.DUMMYFUNCTION("""COMPUTED_VALUE"""),1055.0)</f>
        <v>1055</v>
      </c>
      <c r="F412" s="2">
        <f>IFERROR(__xludf.DUMMYFUNCTION("""COMPUTED_VALUE"""),5.34775E7)</f>
        <v>53477500</v>
      </c>
      <c r="G412" s="2">
        <f t="shared" si="1"/>
        <v>15</v>
      </c>
    </row>
    <row r="413" ht="15.75" customHeight="1">
      <c r="A413" s="1">
        <f>IFERROR(__xludf.DUMMYFUNCTION("""COMPUTED_VALUE"""),44452.625)</f>
        <v>44452.625</v>
      </c>
      <c r="B413" s="2">
        <f>IFERROR(__xludf.DUMMYFUNCTION("""COMPUTED_VALUE"""),1055.0)</f>
        <v>1055</v>
      </c>
      <c r="C413" s="2">
        <f>IFERROR(__xludf.DUMMYFUNCTION("""COMPUTED_VALUE"""),1060.0)</f>
        <v>1060</v>
      </c>
      <c r="D413" s="2">
        <f>IFERROR(__xludf.DUMMYFUNCTION("""COMPUTED_VALUE"""),1040.0)</f>
        <v>1040</v>
      </c>
      <c r="E413" s="2">
        <f>IFERROR(__xludf.DUMMYFUNCTION("""COMPUTED_VALUE"""),1050.0)</f>
        <v>1050</v>
      </c>
      <c r="F413" s="2">
        <f>IFERROR(__xludf.DUMMYFUNCTION("""COMPUTED_VALUE"""),5.11764E7)</f>
        <v>51176400</v>
      </c>
      <c r="G413" s="2">
        <f t="shared" si="1"/>
        <v>20</v>
      </c>
    </row>
    <row r="414" ht="15.75" customHeight="1">
      <c r="A414" s="1">
        <f>IFERROR(__xludf.DUMMYFUNCTION("""COMPUTED_VALUE"""),44453.625)</f>
        <v>44453.625</v>
      </c>
      <c r="B414" s="2">
        <f>IFERROR(__xludf.DUMMYFUNCTION("""COMPUTED_VALUE"""),1055.0)</f>
        <v>1055</v>
      </c>
      <c r="C414" s="2">
        <f>IFERROR(__xludf.DUMMYFUNCTION("""COMPUTED_VALUE"""),1120.0)</f>
        <v>1120</v>
      </c>
      <c r="D414" s="2">
        <f>IFERROR(__xludf.DUMMYFUNCTION("""COMPUTED_VALUE"""),1055.0)</f>
        <v>1055</v>
      </c>
      <c r="E414" s="2">
        <f>IFERROR(__xludf.DUMMYFUNCTION("""COMPUTED_VALUE"""),1110.0)</f>
        <v>1110</v>
      </c>
      <c r="F414" s="2">
        <f>IFERROR(__xludf.DUMMYFUNCTION("""COMPUTED_VALUE"""),3.38274E8)</f>
        <v>338274000</v>
      </c>
      <c r="G414" s="2">
        <f t="shared" si="1"/>
        <v>70</v>
      </c>
    </row>
    <row r="415" ht="15.75" customHeight="1">
      <c r="A415" s="1">
        <f>IFERROR(__xludf.DUMMYFUNCTION("""COMPUTED_VALUE"""),44454.625)</f>
        <v>44454.625</v>
      </c>
      <c r="B415" s="2">
        <f>IFERROR(__xludf.DUMMYFUNCTION("""COMPUTED_VALUE"""),1100.0)</f>
        <v>1100</v>
      </c>
      <c r="C415" s="2">
        <f>IFERROR(__xludf.DUMMYFUNCTION("""COMPUTED_VALUE"""),1115.0)</f>
        <v>1115</v>
      </c>
      <c r="D415" s="2">
        <f>IFERROR(__xludf.DUMMYFUNCTION("""COMPUTED_VALUE"""),1095.0)</f>
        <v>1095</v>
      </c>
      <c r="E415" s="2">
        <f>IFERROR(__xludf.DUMMYFUNCTION("""COMPUTED_VALUE"""),1100.0)</f>
        <v>1100</v>
      </c>
      <c r="F415" s="2">
        <f>IFERROR(__xludf.DUMMYFUNCTION("""COMPUTED_VALUE"""),1.448779E8)</f>
        <v>144877900</v>
      </c>
      <c r="G415" s="2">
        <f t="shared" si="1"/>
        <v>20</v>
      </c>
    </row>
    <row r="416" ht="15.75" customHeight="1">
      <c r="A416" s="1">
        <f>IFERROR(__xludf.DUMMYFUNCTION("""COMPUTED_VALUE"""),44455.625)</f>
        <v>44455.625</v>
      </c>
      <c r="B416" s="2">
        <f>IFERROR(__xludf.DUMMYFUNCTION("""COMPUTED_VALUE"""),1110.0)</f>
        <v>1110</v>
      </c>
      <c r="C416" s="2">
        <f>IFERROR(__xludf.DUMMYFUNCTION("""COMPUTED_VALUE"""),1135.0)</f>
        <v>1135</v>
      </c>
      <c r="D416" s="2">
        <f>IFERROR(__xludf.DUMMYFUNCTION("""COMPUTED_VALUE"""),1100.0)</f>
        <v>1100</v>
      </c>
      <c r="E416" s="2">
        <f>IFERROR(__xludf.DUMMYFUNCTION("""COMPUTED_VALUE"""),1130.0)</f>
        <v>1130</v>
      </c>
      <c r="F416" s="2">
        <f>IFERROR(__xludf.DUMMYFUNCTION("""COMPUTED_VALUE"""),1.588035E8)</f>
        <v>158803500</v>
      </c>
      <c r="G416" s="2">
        <f t="shared" si="1"/>
        <v>35</v>
      </c>
    </row>
    <row r="417" ht="15.75" customHeight="1">
      <c r="A417" s="1">
        <f>IFERROR(__xludf.DUMMYFUNCTION("""COMPUTED_VALUE"""),44456.625)</f>
        <v>44456.625</v>
      </c>
      <c r="B417" s="2">
        <f>IFERROR(__xludf.DUMMYFUNCTION("""COMPUTED_VALUE"""),1120.0)</f>
        <v>1120</v>
      </c>
      <c r="C417" s="2">
        <f>IFERROR(__xludf.DUMMYFUNCTION("""COMPUTED_VALUE"""),1125.0)</f>
        <v>1125</v>
      </c>
      <c r="D417" s="2">
        <f>IFERROR(__xludf.DUMMYFUNCTION("""COMPUTED_VALUE"""),1085.0)</f>
        <v>1085</v>
      </c>
      <c r="E417" s="2">
        <f>IFERROR(__xludf.DUMMYFUNCTION("""COMPUTED_VALUE"""),1095.0)</f>
        <v>1095</v>
      </c>
      <c r="F417" s="2">
        <f>IFERROR(__xludf.DUMMYFUNCTION("""COMPUTED_VALUE"""),1.718226E8)</f>
        <v>171822600</v>
      </c>
      <c r="G417" s="2">
        <f t="shared" si="1"/>
        <v>45</v>
      </c>
    </row>
    <row r="418" ht="15.75" customHeight="1">
      <c r="A418" s="1">
        <f>IFERROR(__xludf.DUMMYFUNCTION("""COMPUTED_VALUE"""),44459.625)</f>
        <v>44459.625</v>
      </c>
      <c r="B418" s="2">
        <f>IFERROR(__xludf.DUMMYFUNCTION("""COMPUTED_VALUE"""),1085.0)</f>
        <v>1085</v>
      </c>
      <c r="C418" s="2">
        <f>IFERROR(__xludf.DUMMYFUNCTION("""COMPUTED_VALUE"""),1095.0)</f>
        <v>1095</v>
      </c>
      <c r="D418" s="2">
        <f>IFERROR(__xludf.DUMMYFUNCTION("""COMPUTED_VALUE"""),1065.0)</f>
        <v>1065</v>
      </c>
      <c r="E418" s="2">
        <f>IFERROR(__xludf.DUMMYFUNCTION("""COMPUTED_VALUE"""),1070.0)</f>
        <v>1070</v>
      </c>
      <c r="F418" s="2">
        <f>IFERROR(__xludf.DUMMYFUNCTION("""COMPUTED_VALUE"""),6.33108E7)</f>
        <v>63310800</v>
      </c>
      <c r="G418" s="2">
        <f t="shared" si="1"/>
        <v>30</v>
      </c>
    </row>
    <row r="419" ht="15.75" customHeight="1">
      <c r="A419" s="1">
        <f>IFERROR(__xludf.DUMMYFUNCTION("""COMPUTED_VALUE"""),44460.625)</f>
        <v>44460.625</v>
      </c>
      <c r="B419" s="2">
        <f>IFERROR(__xludf.DUMMYFUNCTION("""COMPUTED_VALUE"""),1075.0)</f>
        <v>1075</v>
      </c>
      <c r="C419" s="2">
        <f>IFERROR(__xludf.DUMMYFUNCTION("""COMPUTED_VALUE"""),1125.0)</f>
        <v>1125</v>
      </c>
      <c r="D419" s="2">
        <f>IFERROR(__xludf.DUMMYFUNCTION("""COMPUTED_VALUE"""),1065.0)</f>
        <v>1065</v>
      </c>
      <c r="E419" s="2">
        <f>IFERROR(__xludf.DUMMYFUNCTION("""COMPUTED_VALUE"""),1120.0)</f>
        <v>1120</v>
      </c>
      <c r="F419" s="2">
        <f>IFERROR(__xludf.DUMMYFUNCTION("""COMPUTED_VALUE"""),2.28276E8)</f>
        <v>228276000</v>
      </c>
      <c r="G419" s="2">
        <f t="shared" si="1"/>
        <v>60</v>
      </c>
    </row>
    <row r="420" ht="15.75" customHeight="1">
      <c r="A420" s="1">
        <f>IFERROR(__xludf.DUMMYFUNCTION("""COMPUTED_VALUE"""),44461.625)</f>
        <v>44461.625</v>
      </c>
      <c r="B420" s="2">
        <f>IFERROR(__xludf.DUMMYFUNCTION("""COMPUTED_VALUE"""),1125.0)</f>
        <v>1125</v>
      </c>
      <c r="C420" s="2">
        <f>IFERROR(__xludf.DUMMYFUNCTION("""COMPUTED_VALUE"""),1135.0)</f>
        <v>1135</v>
      </c>
      <c r="D420" s="2">
        <f>IFERROR(__xludf.DUMMYFUNCTION("""COMPUTED_VALUE"""),1105.0)</f>
        <v>1105</v>
      </c>
      <c r="E420" s="2">
        <f>IFERROR(__xludf.DUMMYFUNCTION("""COMPUTED_VALUE"""),1105.0)</f>
        <v>1105</v>
      </c>
      <c r="F420" s="2">
        <f>IFERROR(__xludf.DUMMYFUNCTION("""COMPUTED_VALUE"""),1.017602E8)</f>
        <v>101760200</v>
      </c>
      <c r="G420" s="2">
        <f t="shared" si="1"/>
        <v>30</v>
      </c>
    </row>
    <row r="421" ht="15.75" customHeight="1">
      <c r="A421" s="1">
        <f>IFERROR(__xludf.DUMMYFUNCTION("""COMPUTED_VALUE"""),44462.625)</f>
        <v>44462.625</v>
      </c>
      <c r="B421" s="2">
        <f>IFERROR(__xludf.DUMMYFUNCTION("""COMPUTED_VALUE"""),1115.0)</f>
        <v>1115</v>
      </c>
      <c r="C421" s="2">
        <f>IFERROR(__xludf.DUMMYFUNCTION("""COMPUTED_VALUE"""),1135.0)</f>
        <v>1135</v>
      </c>
      <c r="D421" s="2">
        <f>IFERROR(__xludf.DUMMYFUNCTION("""COMPUTED_VALUE"""),1105.0)</f>
        <v>1105</v>
      </c>
      <c r="E421" s="2">
        <f>IFERROR(__xludf.DUMMYFUNCTION("""COMPUTED_VALUE"""),1130.0)</f>
        <v>1130</v>
      </c>
      <c r="F421" s="2">
        <f>IFERROR(__xludf.DUMMYFUNCTION("""COMPUTED_VALUE"""),1.214557E8)</f>
        <v>121455700</v>
      </c>
      <c r="G421" s="2">
        <f t="shared" si="1"/>
        <v>30</v>
      </c>
    </row>
    <row r="422" ht="15.75" customHeight="1">
      <c r="A422" s="1">
        <f>IFERROR(__xludf.DUMMYFUNCTION("""COMPUTED_VALUE"""),44463.625)</f>
        <v>44463.625</v>
      </c>
      <c r="B422" s="2">
        <f>IFERROR(__xludf.DUMMYFUNCTION("""COMPUTED_VALUE"""),1130.0)</f>
        <v>1130</v>
      </c>
      <c r="C422" s="2">
        <f>IFERROR(__xludf.DUMMYFUNCTION("""COMPUTED_VALUE"""),1145.0)</f>
        <v>1145</v>
      </c>
      <c r="D422" s="2">
        <f>IFERROR(__xludf.DUMMYFUNCTION("""COMPUTED_VALUE"""),1115.0)</f>
        <v>1115</v>
      </c>
      <c r="E422" s="2">
        <f>IFERROR(__xludf.DUMMYFUNCTION("""COMPUTED_VALUE"""),1125.0)</f>
        <v>1125</v>
      </c>
      <c r="F422" s="2">
        <f>IFERROR(__xludf.DUMMYFUNCTION("""COMPUTED_VALUE"""),1.131509E8)</f>
        <v>113150900</v>
      </c>
      <c r="G422" s="2">
        <f t="shared" si="1"/>
        <v>30</v>
      </c>
    </row>
    <row r="423" ht="15.75" customHeight="1">
      <c r="A423" s="1">
        <f>IFERROR(__xludf.DUMMYFUNCTION("""COMPUTED_VALUE"""),44466.625)</f>
        <v>44466.625</v>
      </c>
      <c r="B423" s="2">
        <f>IFERROR(__xludf.DUMMYFUNCTION("""COMPUTED_VALUE"""),1130.0)</f>
        <v>1130</v>
      </c>
      <c r="C423" s="2">
        <f>IFERROR(__xludf.DUMMYFUNCTION("""COMPUTED_VALUE"""),1175.0)</f>
        <v>1175</v>
      </c>
      <c r="D423" s="2">
        <f>IFERROR(__xludf.DUMMYFUNCTION("""COMPUTED_VALUE"""),1125.0)</f>
        <v>1125</v>
      </c>
      <c r="E423" s="2">
        <f>IFERROR(__xludf.DUMMYFUNCTION("""COMPUTED_VALUE"""),1165.0)</f>
        <v>1165</v>
      </c>
      <c r="F423" s="2">
        <f>IFERROR(__xludf.DUMMYFUNCTION("""COMPUTED_VALUE"""),1.990498E8)</f>
        <v>199049800</v>
      </c>
      <c r="G423" s="2">
        <f t="shared" si="1"/>
        <v>50</v>
      </c>
    </row>
    <row r="424" ht="15.75" customHeight="1">
      <c r="A424" s="1">
        <f>IFERROR(__xludf.DUMMYFUNCTION("""COMPUTED_VALUE"""),44467.625)</f>
        <v>44467.625</v>
      </c>
      <c r="B424" s="2">
        <f>IFERROR(__xludf.DUMMYFUNCTION("""COMPUTED_VALUE"""),1170.0)</f>
        <v>1170</v>
      </c>
      <c r="C424" s="2">
        <f>IFERROR(__xludf.DUMMYFUNCTION("""COMPUTED_VALUE"""),1185.0)</f>
        <v>1185</v>
      </c>
      <c r="D424" s="2">
        <f>IFERROR(__xludf.DUMMYFUNCTION("""COMPUTED_VALUE"""),1160.0)</f>
        <v>1160</v>
      </c>
      <c r="E424" s="2">
        <f>IFERROR(__xludf.DUMMYFUNCTION("""COMPUTED_VALUE"""),1160.0)</f>
        <v>1160</v>
      </c>
      <c r="F424" s="2">
        <f>IFERROR(__xludf.DUMMYFUNCTION("""COMPUTED_VALUE"""),1.415698E8)</f>
        <v>141569800</v>
      </c>
      <c r="G424" s="2">
        <f t="shared" si="1"/>
        <v>25</v>
      </c>
    </row>
    <row r="425" ht="15.75" customHeight="1">
      <c r="A425" s="1">
        <f>IFERROR(__xludf.DUMMYFUNCTION("""COMPUTED_VALUE"""),44468.625)</f>
        <v>44468.625</v>
      </c>
      <c r="B425" s="2">
        <f>IFERROR(__xludf.DUMMYFUNCTION("""COMPUTED_VALUE"""),1150.0)</f>
        <v>1150</v>
      </c>
      <c r="C425" s="2">
        <f>IFERROR(__xludf.DUMMYFUNCTION("""COMPUTED_VALUE"""),1205.0)</f>
        <v>1205</v>
      </c>
      <c r="D425" s="2">
        <f>IFERROR(__xludf.DUMMYFUNCTION("""COMPUTED_VALUE"""),1140.0)</f>
        <v>1140</v>
      </c>
      <c r="E425" s="2">
        <f>IFERROR(__xludf.DUMMYFUNCTION("""COMPUTED_VALUE"""),1200.0)</f>
        <v>1200</v>
      </c>
      <c r="F425" s="2">
        <f>IFERROR(__xludf.DUMMYFUNCTION("""COMPUTED_VALUE"""),2.088972E8)</f>
        <v>208897200</v>
      </c>
      <c r="G425" s="2">
        <f t="shared" si="1"/>
        <v>65</v>
      </c>
    </row>
    <row r="426" ht="15.75" customHeight="1">
      <c r="A426" s="1">
        <f>IFERROR(__xludf.DUMMYFUNCTION("""COMPUTED_VALUE"""),44469.625)</f>
        <v>44469.625</v>
      </c>
      <c r="B426" s="2">
        <f>IFERROR(__xludf.DUMMYFUNCTION("""COMPUTED_VALUE"""),1200.0)</f>
        <v>1200</v>
      </c>
      <c r="C426" s="2">
        <f>IFERROR(__xludf.DUMMYFUNCTION("""COMPUTED_VALUE"""),1215.0)</f>
        <v>1215</v>
      </c>
      <c r="D426" s="2">
        <f>IFERROR(__xludf.DUMMYFUNCTION("""COMPUTED_VALUE"""),1190.0)</f>
        <v>1190</v>
      </c>
      <c r="E426" s="2">
        <f>IFERROR(__xludf.DUMMYFUNCTION("""COMPUTED_VALUE"""),1190.0)</f>
        <v>1190</v>
      </c>
      <c r="F426" s="2">
        <f>IFERROR(__xludf.DUMMYFUNCTION("""COMPUTED_VALUE"""),1.376175E8)</f>
        <v>137617500</v>
      </c>
      <c r="G426" s="2">
        <f t="shared" si="1"/>
        <v>25</v>
      </c>
    </row>
    <row r="427" ht="15.75" customHeight="1">
      <c r="A427" s="1">
        <f>IFERROR(__xludf.DUMMYFUNCTION("""COMPUTED_VALUE"""),44470.625)</f>
        <v>44470.625</v>
      </c>
      <c r="B427" s="2">
        <f>IFERROR(__xludf.DUMMYFUNCTION("""COMPUTED_VALUE"""),1205.0)</f>
        <v>1205</v>
      </c>
      <c r="C427" s="2">
        <f>IFERROR(__xludf.DUMMYFUNCTION("""COMPUTED_VALUE"""),1295.0)</f>
        <v>1295</v>
      </c>
      <c r="D427" s="2">
        <f>IFERROR(__xludf.DUMMYFUNCTION("""COMPUTED_VALUE"""),1205.0)</f>
        <v>1205</v>
      </c>
      <c r="E427" s="2">
        <f>IFERROR(__xludf.DUMMYFUNCTION("""COMPUTED_VALUE"""),1280.0)</f>
        <v>1280</v>
      </c>
      <c r="F427" s="2">
        <f>IFERROR(__xludf.DUMMYFUNCTION("""COMPUTED_VALUE"""),4.489271E8)</f>
        <v>448927100</v>
      </c>
      <c r="G427" s="2">
        <f t="shared" si="1"/>
        <v>105</v>
      </c>
    </row>
    <row r="428" ht="15.75" customHeight="1">
      <c r="A428" s="1">
        <f>IFERROR(__xludf.DUMMYFUNCTION("""COMPUTED_VALUE"""),44473.625)</f>
        <v>44473.625</v>
      </c>
      <c r="B428" s="2">
        <f>IFERROR(__xludf.DUMMYFUNCTION("""COMPUTED_VALUE"""),1290.0)</f>
        <v>1290</v>
      </c>
      <c r="C428" s="2">
        <f>IFERROR(__xludf.DUMMYFUNCTION("""COMPUTED_VALUE"""),1405.0)</f>
        <v>1405</v>
      </c>
      <c r="D428" s="2">
        <f>IFERROR(__xludf.DUMMYFUNCTION("""COMPUTED_VALUE"""),1290.0)</f>
        <v>1290</v>
      </c>
      <c r="E428" s="2">
        <f>IFERROR(__xludf.DUMMYFUNCTION("""COMPUTED_VALUE"""),1405.0)</f>
        <v>1405</v>
      </c>
      <c r="F428" s="2">
        <f>IFERROR(__xludf.DUMMYFUNCTION("""COMPUTED_VALUE"""),4.429934E8)</f>
        <v>442993400</v>
      </c>
      <c r="G428" s="2">
        <f t="shared" si="1"/>
        <v>125</v>
      </c>
    </row>
    <row r="429" ht="15.75" customHeight="1">
      <c r="A429" s="1">
        <f>IFERROR(__xludf.DUMMYFUNCTION("""COMPUTED_VALUE"""),44474.625)</f>
        <v>44474.625</v>
      </c>
      <c r="B429" s="2">
        <f>IFERROR(__xludf.DUMMYFUNCTION("""COMPUTED_VALUE"""),1415.0)</f>
        <v>1415</v>
      </c>
      <c r="C429" s="2">
        <f>IFERROR(__xludf.DUMMYFUNCTION("""COMPUTED_VALUE"""),1490.0)</f>
        <v>1490</v>
      </c>
      <c r="D429" s="2">
        <f>IFERROR(__xludf.DUMMYFUNCTION("""COMPUTED_VALUE"""),1415.0)</f>
        <v>1415</v>
      </c>
      <c r="E429" s="2">
        <f>IFERROR(__xludf.DUMMYFUNCTION("""COMPUTED_VALUE"""),1480.0)</f>
        <v>1480</v>
      </c>
      <c r="F429" s="2">
        <f>IFERROR(__xludf.DUMMYFUNCTION("""COMPUTED_VALUE"""),5.783612E8)</f>
        <v>578361200</v>
      </c>
      <c r="G429" s="2">
        <f t="shared" si="1"/>
        <v>85</v>
      </c>
    </row>
    <row r="430" ht="15.75" customHeight="1">
      <c r="A430" s="1">
        <f>IFERROR(__xludf.DUMMYFUNCTION("""COMPUTED_VALUE"""),44475.625)</f>
        <v>44475.625</v>
      </c>
      <c r="B430" s="2">
        <f>IFERROR(__xludf.DUMMYFUNCTION("""COMPUTED_VALUE"""),1500.0)</f>
        <v>1500</v>
      </c>
      <c r="C430" s="2">
        <f>IFERROR(__xludf.DUMMYFUNCTION("""COMPUTED_VALUE"""),1520.0)</f>
        <v>1520</v>
      </c>
      <c r="D430" s="2">
        <f>IFERROR(__xludf.DUMMYFUNCTION("""COMPUTED_VALUE"""),1425.0)</f>
        <v>1425</v>
      </c>
      <c r="E430" s="2">
        <f>IFERROR(__xludf.DUMMYFUNCTION("""COMPUTED_VALUE"""),1445.0)</f>
        <v>1445</v>
      </c>
      <c r="F430" s="2">
        <f>IFERROR(__xludf.DUMMYFUNCTION("""COMPUTED_VALUE"""),4.724272E8)</f>
        <v>472427200</v>
      </c>
      <c r="G430" s="2">
        <f t="shared" si="1"/>
        <v>95</v>
      </c>
    </row>
    <row r="431" ht="15.75" customHeight="1">
      <c r="A431" s="1">
        <f>IFERROR(__xludf.DUMMYFUNCTION("""COMPUTED_VALUE"""),44476.625)</f>
        <v>44476.625</v>
      </c>
      <c r="B431" s="2">
        <f>IFERROR(__xludf.DUMMYFUNCTION("""COMPUTED_VALUE"""),1440.0)</f>
        <v>1440</v>
      </c>
      <c r="C431" s="2">
        <f>IFERROR(__xludf.DUMMYFUNCTION("""COMPUTED_VALUE"""),1500.0)</f>
        <v>1500</v>
      </c>
      <c r="D431" s="2">
        <f>IFERROR(__xludf.DUMMYFUNCTION("""COMPUTED_VALUE"""),1410.0)</f>
        <v>1410</v>
      </c>
      <c r="E431" s="2">
        <f>IFERROR(__xludf.DUMMYFUNCTION("""COMPUTED_VALUE"""),1485.0)</f>
        <v>1485</v>
      </c>
      <c r="F431" s="2">
        <f>IFERROR(__xludf.DUMMYFUNCTION("""COMPUTED_VALUE"""),4.091307E8)</f>
        <v>409130700</v>
      </c>
      <c r="G431" s="2">
        <f t="shared" si="1"/>
        <v>90</v>
      </c>
    </row>
    <row r="432" ht="15.75" customHeight="1">
      <c r="A432" s="1">
        <f>IFERROR(__xludf.DUMMYFUNCTION("""COMPUTED_VALUE"""),44477.625)</f>
        <v>44477.625</v>
      </c>
      <c r="B432" s="2">
        <f>IFERROR(__xludf.DUMMYFUNCTION("""COMPUTED_VALUE"""),1500.0)</f>
        <v>1500</v>
      </c>
      <c r="C432" s="2">
        <f>IFERROR(__xludf.DUMMYFUNCTION("""COMPUTED_VALUE"""),1515.0)</f>
        <v>1515</v>
      </c>
      <c r="D432" s="2">
        <f>IFERROR(__xludf.DUMMYFUNCTION("""COMPUTED_VALUE"""),1450.0)</f>
        <v>1450</v>
      </c>
      <c r="E432" s="2">
        <f>IFERROR(__xludf.DUMMYFUNCTION("""COMPUTED_VALUE"""),1485.0)</f>
        <v>1485</v>
      </c>
      <c r="F432" s="2">
        <f>IFERROR(__xludf.DUMMYFUNCTION("""COMPUTED_VALUE"""),1.767579E8)</f>
        <v>176757900</v>
      </c>
      <c r="G432" s="2">
        <f t="shared" si="1"/>
        <v>65</v>
      </c>
    </row>
    <row r="433" ht="15.75" customHeight="1">
      <c r="A433" s="1">
        <f>IFERROR(__xludf.DUMMYFUNCTION("""COMPUTED_VALUE"""),44480.625)</f>
        <v>44480.625</v>
      </c>
      <c r="B433" s="2">
        <f>IFERROR(__xludf.DUMMYFUNCTION("""COMPUTED_VALUE"""),1495.0)</f>
        <v>1495</v>
      </c>
      <c r="C433" s="2">
        <f>IFERROR(__xludf.DUMMYFUNCTION("""COMPUTED_VALUE"""),1500.0)</f>
        <v>1500</v>
      </c>
      <c r="D433" s="2">
        <f>IFERROR(__xludf.DUMMYFUNCTION("""COMPUTED_VALUE"""),1475.0)</f>
        <v>1475</v>
      </c>
      <c r="E433" s="2">
        <f>IFERROR(__xludf.DUMMYFUNCTION("""COMPUTED_VALUE"""),1480.0)</f>
        <v>1480</v>
      </c>
      <c r="F433" s="2">
        <f>IFERROR(__xludf.DUMMYFUNCTION("""COMPUTED_VALUE"""),1.045419E8)</f>
        <v>104541900</v>
      </c>
      <c r="G433" s="2">
        <f t="shared" si="1"/>
        <v>25</v>
      </c>
    </row>
    <row r="434" ht="15.75" customHeight="1">
      <c r="A434" s="1">
        <f>IFERROR(__xludf.DUMMYFUNCTION("""COMPUTED_VALUE"""),44481.66666666667)</f>
        <v>44481.66667</v>
      </c>
      <c r="B434" s="2">
        <f>IFERROR(__xludf.DUMMYFUNCTION("""COMPUTED_VALUE"""),1480.0)</f>
        <v>1480</v>
      </c>
      <c r="C434" s="2">
        <f>IFERROR(__xludf.DUMMYFUNCTION("""COMPUTED_VALUE"""),1545.0)</f>
        <v>1545</v>
      </c>
      <c r="D434" s="2">
        <f>IFERROR(__xludf.DUMMYFUNCTION("""COMPUTED_VALUE"""),1475.0)</f>
        <v>1475</v>
      </c>
      <c r="E434" s="2">
        <f>IFERROR(__xludf.DUMMYFUNCTION("""COMPUTED_VALUE"""),1535.0)</f>
        <v>1535</v>
      </c>
      <c r="F434" s="2">
        <f>IFERROR(__xludf.DUMMYFUNCTION("""COMPUTED_VALUE"""),4.431411E8)</f>
        <v>443141100</v>
      </c>
      <c r="G434" s="2">
        <f t="shared" si="1"/>
        <v>70</v>
      </c>
    </row>
    <row r="435" ht="15.75" customHeight="1">
      <c r="A435" s="1">
        <f>IFERROR(__xludf.DUMMYFUNCTION("""COMPUTED_VALUE"""),44482.625)</f>
        <v>44482.625</v>
      </c>
      <c r="B435" s="2">
        <f>IFERROR(__xludf.DUMMYFUNCTION("""COMPUTED_VALUE"""),1530.0)</f>
        <v>1530</v>
      </c>
      <c r="C435" s="2">
        <f>IFERROR(__xludf.DUMMYFUNCTION("""COMPUTED_VALUE"""),1535.0)</f>
        <v>1535</v>
      </c>
      <c r="D435" s="2">
        <f>IFERROR(__xludf.DUMMYFUNCTION("""COMPUTED_VALUE"""),1485.0)</f>
        <v>1485</v>
      </c>
      <c r="E435" s="2">
        <f>IFERROR(__xludf.DUMMYFUNCTION("""COMPUTED_VALUE"""),1500.0)</f>
        <v>1500</v>
      </c>
      <c r="F435" s="2">
        <f>IFERROR(__xludf.DUMMYFUNCTION("""COMPUTED_VALUE"""),2.459231E8)</f>
        <v>245923100</v>
      </c>
      <c r="G435" s="2">
        <f t="shared" si="1"/>
        <v>50</v>
      </c>
    </row>
    <row r="436" ht="15.75" customHeight="1">
      <c r="A436" s="1">
        <f>IFERROR(__xludf.DUMMYFUNCTION("""COMPUTED_VALUE"""),44483.66666666667)</f>
        <v>44483.66667</v>
      </c>
      <c r="B436" s="2">
        <f>IFERROR(__xludf.DUMMYFUNCTION("""COMPUTED_VALUE"""),1510.0)</f>
        <v>1510</v>
      </c>
      <c r="C436" s="2">
        <f>IFERROR(__xludf.DUMMYFUNCTION("""COMPUTED_VALUE"""),1555.0)</f>
        <v>1555</v>
      </c>
      <c r="D436" s="2">
        <f>IFERROR(__xludf.DUMMYFUNCTION("""COMPUTED_VALUE"""),1505.0)</f>
        <v>1505</v>
      </c>
      <c r="E436" s="2">
        <f>IFERROR(__xludf.DUMMYFUNCTION("""COMPUTED_VALUE"""),1525.0)</f>
        <v>1525</v>
      </c>
      <c r="F436" s="2">
        <f>IFERROR(__xludf.DUMMYFUNCTION("""COMPUTED_VALUE"""),2.399658E8)</f>
        <v>239965800</v>
      </c>
      <c r="G436" s="2">
        <f t="shared" si="1"/>
        <v>55</v>
      </c>
    </row>
    <row r="437" ht="15.75" customHeight="1">
      <c r="A437" s="1">
        <f>IFERROR(__xludf.DUMMYFUNCTION("""COMPUTED_VALUE"""),44484.66666666667)</f>
        <v>44484.66667</v>
      </c>
      <c r="B437" s="2">
        <f>IFERROR(__xludf.DUMMYFUNCTION("""COMPUTED_VALUE"""),1540.0)</f>
        <v>1540</v>
      </c>
      <c r="C437" s="2">
        <f>IFERROR(__xludf.DUMMYFUNCTION("""COMPUTED_VALUE"""),1545.0)</f>
        <v>1545</v>
      </c>
      <c r="D437" s="2">
        <f>IFERROR(__xludf.DUMMYFUNCTION("""COMPUTED_VALUE"""),1505.0)</f>
        <v>1505</v>
      </c>
      <c r="E437" s="2">
        <f>IFERROR(__xludf.DUMMYFUNCTION("""COMPUTED_VALUE"""),1525.0)</f>
        <v>1525</v>
      </c>
      <c r="F437" s="2">
        <f>IFERROR(__xludf.DUMMYFUNCTION("""COMPUTED_VALUE"""),1.245805E8)</f>
        <v>124580500</v>
      </c>
      <c r="G437" s="2">
        <f t="shared" si="1"/>
        <v>40</v>
      </c>
    </row>
    <row r="438" ht="15.75" customHeight="1">
      <c r="A438" s="1">
        <f>IFERROR(__xludf.DUMMYFUNCTION("""COMPUTED_VALUE"""),44487.625)</f>
        <v>44487.625</v>
      </c>
      <c r="B438" s="2">
        <f>IFERROR(__xludf.DUMMYFUNCTION("""COMPUTED_VALUE"""),1535.0)</f>
        <v>1535</v>
      </c>
      <c r="C438" s="2">
        <f>IFERROR(__xludf.DUMMYFUNCTION("""COMPUTED_VALUE"""),1560.0)</f>
        <v>1560</v>
      </c>
      <c r="D438" s="2">
        <f>IFERROR(__xludf.DUMMYFUNCTION("""COMPUTED_VALUE"""),1520.0)</f>
        <v>1520</v>
      </c>
      <c r="E438" s="2">
        <f>IFERROR(__xludf.DUMMYFUNCTION("""COMPUTED_VALUE"""),1525.0)</f>
        <v>1525</v>
      </c>
      <c r="F438" s="2">
        <f>IFERROR(__xludf.DUMMYFUNCTION("""COMPUTED_VALUE"""),1.602627E8)</f>
        <v>160262700</v>
      </c>
      <c r="G438" s="2">
        <f t="shared" si="1"/>
        <v>40</v>
      </c>
    </row>
    <row r="439" ht="15.75" customHeight="1">
      <c r="A439" s="1">
        <f>IFERROR(__xludf.DUMMYFUNCTION("""COMPUTED_VALUE"""),44488.625)</f>
        <v>44488.625</v>
      </c>
      <c r="B439" s="2">
        <f>IFERROR(__xludf.DUMMYFUNCTION("""COMPUTED_VALUE"""),1530.0)</f>
        <v>1530</v>
      </c>
      <c r="C439" s="2">
        <f>IFERROR(__xludf.DUMMYFUNCTION("""COMPUTED_VALUE"""),1560.0)</f>
        <v>1560</v>
      </c>
      <c r="D439" s="2">
        <f>IFERROR(__xludf.DUMMYFUNCTION("""COMPUTED_VALUE"""),1515.0)</f>
        <v>1515</v>
      </c>
      <c r="E439" s="2">
        <f>IFERROR(__xludf.DUMMYFUNCTION("""COMPUTED_VALUE"""),1560.0)</f>
        <v>1560</v>
      </c>
      <c r="F439" s="2">
        <f>IFERROR(__xludf.DUMMYFUNCTION("""COMPUTED_VALUE"""),1.735619E8)</f>
        <v>173561900</v>
      </c>
      <c r="G439" s="2">
        <f t="shared" si="1"/>
        <v>45</v>
      </c>
    </row>
    <row r="440" ht="15.75" customHeight="1">
      <c r="A440" s="1">
        <f>IFERROR(__xludf.DUMMYFUNCTION("""COMPUTED_VALUE"""),44490.625)</f>
        <v>44490.625</v>
      </c>
      <c r="B440" s="2">
        <f>IFERROR(__xludf.DUMMYFUNCTION("""COMPUTED_VALUE"""),1560.0)</f>
        <v>1560</v>
      </c>
      <c r="C440" s="2">
        <f>IFERROR(__xludf.DUMMYFUNCTION("""COMPUTED_VALUE"""),1570.0)</f>
        <v>1570</v>
      </c>
      <c r="D440" s="2">
        <f>IFERROR(__xludf.DUMMYFUNCTION("""COMPUTED_VALUE"""),1505.0)</f>
        <v>1505</v>
      </c>
      <c r="E440" s="2">
        <f>IFERROR(__xludf.DUMMYFUNCTION("""COMPUTED_VALUE"""),1505.0)</f>
        <v>1505</v>
      </c>
      <c r="F440" s="2">
        <f>IFERROR(__xludf.DUMMYFUNCTION("""COMPUTED_VALUE"""),2.471295E8)</f>
        <v>247129500</v>
      </c>
      <c r="G440" s="2">
        <f t="shared" si="1"/>
        <v>65</v>
      </c>
    </row>
    <row r="441" ht="15.75" customHeight="1">
      <c r="A441" s="1">
        <f>IFERROR(__xludf.DUMMYFUNCTION("""COMPUTED_VALUE"""),44491.625)</f>
        <v>44491.625</v>
      </c>
      <c r="B441" s="2">
        <f>IFERROR(__xludf.DUMMYFUNCTION("""COMPUTED_VALUE"""),1500.0)</f>
        <v>1500</v>
      </c>
      <c r="C441" s="2">
        <f>IFERROR(__xludf.DUMMYFUNCTION("""COMPUTED_VALUE"""),1530.0)</f>
        <v>1530</v>
      </c>
      <c r="D441" s="2">
        <f>IFERROR(__xludf.DUMMYFUNCTION("""COMPUTED_VALUE"""),1410.0)</f>
        <v>1410</v>
      </c>
      <c r="E441" s="2">
        <f>IFERROR(__xludf.DUMMYFUNCTION("""COMPUTED_VALUE"""),1525.0)</f>
        <v>1525</v>
      </c>
      <c r="F441" s="2">
        <f>IFERROR(__xludf.DUMMYFUNCTION("""COMPUTED_VALUE"""),1.784332E8)</f>
        <v>178433200</v>
      </c>
      <c r="G441" s="2">
        <f t="shared" si="1"/>
        <v>120</v>
      </c>
    </row>
    <row r="442" ht="15.75" customHeight="1">
      <c r="A442" s="1">
        <f>IFERROR(__xludf.DUMMYFUNCTION("""COMPUTED_VALUE"""),44494.625)</f>
        <v>44494.625</v>
      </c>
      <c r="B442" s="2">
        <f>IFERROR(__xludf.DUMMYFUNCTION("""COMPUTED_VALUE"""),1525.0)</f>
        <v>1525</v>
      </c>
      <c r="C442" s="2">
        <f>IFERROR(__xludf.DUMMYFUNCTION("""COMPUTED_VALUE"""),1530.0)</f>
        <v>1530</v>
      </c>
      <c r="D442" s="2">
        <f>IFERROR(__xludf.DUMMYFUNCTION("""COMPUTED_VALUE"""),1495.0)</f>
        <v>1495</v>
      </c>
      <c r="E442" s="2">
        <f>IFERROR(__xludf.DUMMYFUNCTION("""COMPUTED_VALUE"""),1515.0)</f>
        <v>1515</v>
      </c>
      <c r="F442" s="2">
        <f>IFERROR(__xludf.DUMMYFUNCTION("""COMPUTED_VALUE"""),1.197236E8)</f>
        <v>119723600</v>
      </c>
      <c r="G442" s="2">
        <f t="shared" si="1"/>
        <v>35</v>
      </c>
    </row>
    <row r="443" ht="15.75" customHeight="1">
      <c r="A443" s="1">
        <f>IFERROR(__xludf.DUMMYFUNCTION("""COMPUTED_VALUE"""),44495.625)</f>
        <v>44495.625</v>
      </c>
      <c r="B443" s="2">
        <f>IFERROR(__xludf.DUMMYFUNCTION("""COMPUTED_VALUE"""),1525.0)</f>
        <v>1525</v>
      </c>
      <c r="C443" s="2">
        <f>IFERROR(__xludf.DUMMYFUNCTION("""COMPUTED_VALUE"""),1555.0)</f>
        <v>1555</v>
      </c>
      <c r="D443" s="2">
        <f>IFERROR(__xludf.DUMMYFUNCTION("""COMPUTED_VALUE"""),1515.0)</f>
        <v>1515</v>
      </c>
      <c r="E443" s="2">
        <f>IFERROR(__xludf.DUMMYFUNCTION("""COMPUTED_VALUE"""),1550.0)</f>
        <v>1550</v>
      </c>
      <c r="F443" s="2">
        <f>IFERROR(__xludf.DUMMYFUNCTION("""COMPUTED_VALUE"""),1.910961E8)</f>
        <v>191096100</v>
      </c>
      <c r="G443" s="2">
        <f t="shared" si="1"/>
        <v>40</v>
      </c>
    </row>
    <row r="444" ht="15.75" customHeight="1">
      <c r="A444" s="1">
        <f>IFERROR(__xludf.DUMMYFUNCTION("""COMPUTED_VALUE"""),44496.625)</f>
        <v>44496.625</v>
      </c>
      <c r="B444" s="2">
        <f>IFERROR(__xludf.DUMMYFUNCTION("""COMPUTED_VALUE"""),1550.0)</f>
        <v>1550</v>
      </c>
      <c r="C444" s="2">
        <f>IFERROR(__xludf.DUMMYFUNCTION("""COMPUTED_VALUE"""),1550.0)</f>
        <v>1550</v>
      </c>
      <c r="D444" s="2">
        <f>IFERROR(__xludf.DUMMYFUNCTION("""COMPUTED_VALUE"""),1505.0)</f>
        <v>1505</v>
      </c>
      <c r="E444" s="2">
        <f>IFERROR(__xludf.DUMMYFUNCTION("""COMPUTED_VALUE"""),1505.0)</f>
        <v>1505</v>
      </c>
      <c r="F444" s="2">
        <f>IFERROR(__xludf.DUMMYFUNCTION("""COMPUTED_VALUE"""),1.075123E8)</f>
        <v>107512300</v>
      </c>
      <c r="G444" s="2">
        <f t="shared" si="1"/>
        <v>45</v>
      </c>
    </row>
    <row r="445" ht="15.75" customHeight="1">
      <c r="A445" s="1">
        <f>IFERROR(__xludf.DUMMYFUNCTION("""COMPUTED_VALUE"""),44497.625)</f>
        <v>44497.625</v>
      </c>
      <c r="B445" s="2">
        <f>IFERROR(__xludf.DUMMYFUNCTION("""COMPUTED_VALUE"""),1500.0)</f>
        <v>1500</v>
      </c>
      <c r="C445" s="2">
        <f>IFERROR(__xludf.DUMMYFUNCTION("""COMPUTED_VALUE"""),1505.0)</f>
        <v>1505</v>
      </c>
      <c r="D445" s="2">
        <f>IFERROR(__xludf.DUMMYFUNCTION("""COMPUTED_VALUE"""),1475.0)</f>
        <v>1475</v>
      </c>
      <c r="E445" s="2">
        <f>IFERROR(__xludf.DUMMYFUNCTION("""COMPUTED_VALUE"""),1495.0)</f>
        <v>1495</v>
      </c>
      <c r="F445" s="2">
        <f>IFERROR(__xludf.DUMMYFUNCTION("""COMPUTED_VALUE"""),1.458979E8)</f>
        <v>145897900</v>
      </c>
      <c r="G445" s="2">
        <f t="shared" si="1"/>
        <v>30</v>
      </c>
    </row>
    <row r="446" ht="15.75" customHeight="1">
      <c r="A446" s="1">
        <f>IFERROR(__xludf.DUMMYFUNCTION("""COMPUTED_VALUE"""),44498.625)</f>
        <v>44498.625</v>
      </c>
      <c r="B446" s="2">
        <f>IFERROR(__xludf.DUMMYFUNCTION("""COMPUTED_VALUE"""),1495.0)</f>
        <v>1495</v>
      </c>
      <c r="C446" s="2">
        <f>IFERROR(__xludf.DUMMYFUNCTION("""COMPUTED_VALUE"""),1525.0)</f>
        <v>1525</v>
      </c>
      <c r="D446" s="2">
        <f>IFERROR(__xludf.DUMMYFUNCTION("""COMPUTED_VALUE"""),1495.0)</f>
        <v>1495</v>
      </c>
      <c r="E446" s="2">
        <f>IFERROR(__xludf.DUMMYFUNCTION("""COMPUTED_VALUE"""),1510.0)</f>
        <v>1510</v>
      </c>
      <c r="F446" s="2">
        <f>IFERROR(__xludf.DUMMYFUNCTION("""COMPUTED_VALUE"""),1.148752E8)</f>
        <v>114875200</v>
      </c>
      <c r="G446" s="2">
        <f t="shared" si="1"/>
        <v>30</v>
      </c>
    </row>
    <row r="447" ht="15.75" customHeight="1">
      <c r="A447" s="1">
        <f>IFERROR(__xludf.DUMMYFUNCTION("""COMPUTED_VALUE"""),44501.625)</f>
        <v>44501.625</v>
      </c>
      <c r="B447" s="2">
        <f>IFERROR(__xludf.DUMMYFUNCTION("""COMPUTED_VALUE"""),1550.0)</f>
        <v>1550</v>
      </c>
      <c r="C447" s="2">
        <f>IFERROR(__xludf.DUMMYFUNCTION("""COMPUTED_VALUE"""),1560.0)</f>
        <v>1560</v>
      </c>
      <c r="D447" s="2">
        <f>IFERROR(__xludf.DUMMYFUNCTION("""COMPUTED_VALUE"""),1480.0)</f>
        <v>1480</v>
      </c>
      <c r="E447" s="2">
        <f>IFERROR(__xludf.DUMMYFUNCTION("""COMPUTED_VALUE"""),1480.0)</f>
        <v>1480</v>
      </c>
      <c r="F447" s="2">
        <f>IFERROR(__xludf.DUMMYFUNCTION("""COMPUTED_VALUE"""),2.684091E8)</f>
        <v>268409100</v>
      </c>
      <c r="G447" s="2">
        <f t="shared" si="1"/>
        <v>80</v>
      </c>
    </row>
    <row r="448" ht="15.75" customHeight="1">
      <c r="A448" s="1">
        <f>IFERROR(__xludf.DUMMYFUNCTION("""COMPUTED_VALUE"""),44502.625)</f>
        <v>44502.625</v>
      </c>
      <c r="B448" s="2">
        <f>IFERROR(__xludf.DUMMYFUNCTION("""COMPUTED_VALUE"""),1485.0)</f>
        <v>1485</v>
      </c>
      <c r="C448" s="2">
        <f>IFERROR(__xludf.DUMMYFUNCTION("""COMPUTED_VALUE"""),1505.0)</f>
        <v>1505</v>
      </c>
      <c r="D448" s="2">
        <f>IFERROR(__xludf.DUMMYFUNCTION("""COMPUTED_VALUE"""),1450.0)</f>
        <v>1450</v>
      </c>
      <c r="E448" s="2">
        <f>IFERROR(__xludf.DUMMYFUNCTION("""COMPUTED_VALUE"""),1455.0)</f>
        <v>1455</v>
      </c>
      <c r="F448" s="2">
        <f>IFERROR(__xludf.DUMMYFUNCTION("""COMPUTED_VALUE"""),1.648981E8)</f>
        <v>164898100</v>
      </c>
      <c r="G448" s="2">
        <f t="shared" si="1"/>
        <v>55</v>
      </c>
    </row>
    <row r="449" ht="15.75" customHeight="1">
      <c r="A449" s="1">
        <f>IFERROR(__xludf.DUMMYFUNCTION("""COMPUTED_VALUE"""),44503.625)</f>
        <v>44503.625</v>
      </c>
      <c r="B449" s="2">
        <f>IFERROR(__xludf.DUMMYFUNCTION("""COMPUTED_VALUE"""),1460.0)</f>
        <v>1460</v>
      </c>
      <c r="C449" s="2">
        <f>IFERROR(__xludf.DUMMYFUNCTION("""COMPUTED_VALUE"""),1480.0)</f>
        <v>1480</v>
      </c>
      <c r="D449" s="2">
        <f>IFERROR(__xludf.DUMMYFUNCTION("""COMPUTED_VALUE"""),1445.0)</f>
        <v>1445</v>
      </c>
      <c r="E449" s="2">
        <f>IFERROR(__xludf.DUMMYFUNCTION("""COMPUTED_VALUE"""),1475.0)</f>
        <v>1475</v>
      </c>
      <c r="F449" s="2">
        <f>IFERROR(__xludf.DUMMYFUNCTION("""COMPUTED_VALUE"""),8.15337E7)</f>
        <v>81533700</v>
      </c>
      <c r="G449" s="2">
        <f t="shared" si="1"/>
        <v>35</v>
      </c>
    </row>
    <row r="450" ht="15.75" customHeight="1">
      <c r="A450" s="1">
        <f>IFERROR(__xludf.DUMMYFUNCTION("""COMPUTED_VALUE"""),44504.66666666667)</f>
        <v>44504.66667</v>
      </c>
      <c r="B450" s="2">
        <f>IFERROR(__xludf.DUMMYFUNCTION("""COMPUTED_VALUE"""),1490.0)</f>
        <v>1490</v>
      </c>
      <c r="C450" s="2">
        <f>IFERROR(__xludf.DUMMYFUNCTION("""COMPUTED_VALUE"""),1540.0)</f>
        <v>1540</v>
      </c>
      <c r="D450" s="2">
        <f>IFERROR(__xludf.DUMMYFUNCTION("""COMPUTED_VALUE"""),1480.0)</f>
        <v>1480</v>
      </c>
      <c r="E450" s="2">
        <f>IFERROR(__xludf.DUMMYFUNCTION("""COMPUTED_VALUE"""),1530.0)</f>
        <v>1530</v>
      </c>
      <c r="F450" s="2">
        <f>IFERROR(__xludf.DUMMYFUNCTION("""COMPUTED_VALUE"""),2.058745E8)</f>
        <v>205874500</v>
      </c>
      <c r="G450" s="2">
        <f t="shared" si="1"/>
        <v>65</v>
      </c>
    </row>
    <row r="451" ht="15.75" customHeight="1">
      <c r="A451" s="1">
        <f>IFERROR(__xludf.DUMMYFUNCTION("""COMPUTED_VALUE"""),44505.625)</f>
        <v>44505.625</v>
      </c>
      <c r="B451" s="2">
        <f>IFERROR(__xludf.DUMMYFUNCTION("""COMPUTED_VALUE"""),1530.0)</f>
        <v>1530</v>
      </c>
      <c r="C451" s="2">
        <f>IFERROR(__xludf.DUMMYFUNCTION("""COMPUTED_VALUE"""),1530.0)</f>
        <v>1530</v>
      </c>
      <c r="D451" s="2">
        <f>IFERROR(__xludf.DUMMYFUNCTION("""COMPUTED_VALUE"""),1485.0)</f>
        <v>1485</v>
      </c>
      <c r="E451" s="2">
        <f>IFERROR(__xludf.DUMMYFUNCTION("""COMPUTED_VALUE"""),1500.0)</f>
        <v>1500</v>
      </c>
      <c r="F451" s="2">
        <f>IFERROR(__xludf.DUMMYFUNCTION("""COMPUTED_VALUE"""),1.10073E8)</f>
        <v>110073000</v>
      </c>
      <c r="G451" s="2">
        <f t="shared" si="1"/>
        <v>45</v>
      </c>
    </row>
    <row r="452" ht="15.75" customHeight="1">
      <c r="A452" s="1">
        <f>IFERROR(__xludf.DUMMYFUNCTION("""COMPUTED_VALUE"""),44508.625)</f>
        <v>44508.625</v>
      </c>
      <c r="B452" s="2">
        <f>IFERROR(__xludf.DUMMYFUNCTION("""COMPUTED_VALUE"""),1500.0)</f>
        <v>1500</v>
      </c>
      <c r="C452" s="2">
        <f>IFERROR(__xludf.DUMMYFUNCTION("""COMPUTED_VALUE"""),1510.0)</f>
        <v>1510</v>
      </c>
      <c r="D452" s="2">
        <f>IFERROR(__xludf.DUMMYFUNCTION("""COMPUTED_VALUE"""),1480.0)</f>
        <v>1480</v>
      </c>
      <c r="E452" s="2">
        <f>IFERROR(__xludf.DUMMYFUNCTION("""COMPUTED_VALUE"""),1500.0)</f>
        <v>1500</v>
      </c>
      <c r="F452" s="2">
        <f>IFERROR(__xludf.DUMMYFUNCTION("""COMPUTED_VALUE"""),5.88042E7)</f>
        <v>58804200</v>
      </c>
      <c r="G452" s="2">
        <f t="shared" si="1"/>
        <v>30</v>
      </c>
    </row>
    <row r="453" ht="15.75" customHeight="1">
      <c r="A453" s="1">
        <f>IFERROR(__xludf.DUMMYFUNCTION("""COMPUTED_VALUE"""),44509.625)</f>
        <v>44509.625</v>
      </c>
      <c r="B453" s="2">
        <f>IFERROR(__xludf.DUMMYFUNCTION("""COMPUTED_VALUE"""),1510.0)</f>
        <v>1510</v>
      </c>
      <c r="C453" s="2">
        <f>IFERROR(__xludf.DUMMYFUNCTION("""COMPUTED_VALUE"""),1535.0)</f>
        <v>1535</v>
      </c>
      <c r="D453" s="2">
        <f>IFERROR(__xludf.DUMMYFUNCTION("""COMPUTED_VALUE"""),1505.0)</f>
        <v>1505</v>
      </c>
      <c r="E453" s="2">
        <f>IFERROR(__xludf.DUMMYFUNCTION("""COMPUTED_VALUE"""),1515.0)</f>
        <v>1515</v>
      </c>
      <c r="F453" s="2">
        <f>IFERROR(__xludf.DUMMYFUNCTION("""COMPUTED_VALUE"""),1.400689E8)</f>
        <v>140068900</v>
      </c>
      <c r="G453" s="2">
        <f t="shared" si="1"/>
        <v>35</v>
      </c>
    </row>
    <row r="454" ht="15.75" customHeight="1">
      <c r="A454" s="1">
        <f>IFERROR(__xludf.DUMMYFUNCTION("""COMPUTED_VALUE"""),44510.625)</f>
        <v>44510.625</v>
      </c>
      <c r="B454" s="2">
        <f>IFERROR(__xludf.DUMMYFUNCTION("""COMPUTED_VALUE"""),1510.0)</f>
        <v>1510</v>
      </c>
      <c r="C454" s="2">
        <f>IFERROR(__xludf.DUMMYFUNCTION("""COMPUTED_VALUE"""),1530.0)</f>
        <v>1530</v>
      </c>
      <c r="D454" s="2">
        <f>IFERROR(__xludf.DUMMYFUNCTION("""COMPUTED_VALUE"""),1500.0)</f>
        <v>1500</v>
      </c>
      <c r="E454" s="2">
        <f>IFERROR(__xludf.DUMMYFUNCTION("""COMPUTED_VALUE"""),1515.0)</f>
        <v>1515</v>
      </c>
      <c r="F454" s="2">
        <f>IFERROR(__xludf.DUMMYFUNCTION("""COMPUTED_VALUE"""),7.60954E7)</f>
        <v>76095400</v>
      </c>
      <c r="G454" s="2">
        <f t="shared" si="1"/>
        <v>30</v>
      </c>
    </row>
    <row r="455" ht="15.75" customHeight="1">
      <c r="A455" s="1">
        <f>IFERROR(__xludf.DUMMYFUNCTION("""COMPUTED_VALUE"""),44511.625)</f>
        <v>44511.625</v>
      </c>
      <c r="B455" s="2">
        <f>IFERROR(__xludf.DUMMYFUNCTION("""COMPUTED_VALUE"""),1515.0)</f>
        <v>1515</v>
      </c>
      <c r="C455" s="2">
        <f>IFERROR(__xludf.DUMMYFUNCTION("""COMPUTED_VALUE"""),1520.0)</f>
        <v>1520</v>
      </c>
      <c r="D455" s="2">
        <f>IFERROR(__xludf.DUMMYFUNCTION("""COMPUTED_VALUE"""),1500.0)</f>
        <v>1500</v>
      </c>
      <c r="E455" s="2">
        <f>IFERROR(__xludf.DUMMYFUNCTION("""COMPUTED_VALUE"""),1505.0)</f>
        <v>1505</v>
      </c>
      <c r="F455" s="2">
        <f>IFERROR(__xludf.DUMMYFUNCTION("""COMPUTED_VALUE"""),4.44234E7)</f>
        <v>44423400</v>
      </c>
      <c r="G455" s="2">
        <f t="shared" si="1"/>
        <v>20</v>
      </c>
    </row>
    <row r="456" ht="15.75" customHeight="1">
      <c r="A456" s="1">
        <f>IFERROR(__xludf.DUMMYFUNCTION("""COMPUTED_VALUE"""),44512.625)</f>
        <v>44512.625</v>
      </c>
      <c r="B456" s="2">
        <f>IFERROR(__xludf.DUMMYFUNCTION("""COMPUTED_VALUE"""),1510.0)</f>
        <v>1510</v>
      </c>
      <c r="C456" s="2">
        <f>IFERROR(__xludf.DUMMYFUNCTION("""COMPUTED_VALUE"""),1515.0)</f>
        <v>1515</v>
      </c>
      <c r="D456" s="2">
        <f>IFERROR(__xludf.DUMMYFUNCTION("""COMPUTED_VALUE"""),1485.0)</f>
        <v>1485</v>
      </c>
      <c r="E456" s="2">
        <f>IFERROR(__xludf.DUMMYFUNCTION("""COMPUTED_VALUE"""),1495.0)</f>
        <v>1495</v>
      </c>
      <c r="F456" s="2">
        <f>IFERROR(__xludf.DUMMYFUNCTION("""COMPUTED_VALUE"""),7.27508E7)</f>
        <v>72750800</v>
      </c>
      <c r="G456" s="2">
        <f t="shared" si="1"/>
        <v>30</v>
      </c>
    </row>
    <row r="457" ht="15.75" customHeight="1">
      <c r="A457" s="1">
        <f>IFERROR(__xludf.DUMMYFUNCTION("""COMPUTED_VALUE"""),44515.625)</f>
        <v>44515.625</v>
      </c>
      <c r="B457" s="2">
        <f>IFERROR(__xludf.DUMMYFUNCTION("""COMPUTED_VALUE"""),1505.0)</f>
        <v>1505</v>
      </c>
      <c r="C457" s="2">
        <f>IFERROR(__xludf.DUMMYFUNCTION("""COMPUTED_VALUE"""),1505.0)</f>
        <v>1505</v>
      </c>
      <c r="D457" s="2">
        <f>IFERROR(__xludf.DUMMYFUNCTION("""COMPUTED_VALUE"""),1475.0)</f>
        <v>1475</v>
      </c>
      <c r="E457" s="2">
        <f>IFERROR(__xludf.DUMMYFUNCTION("""COMPUTED_VALUE"""),1485.0)</f>
        <v>1485</v>
      </c>
      <c r="F457" s="2">
        <f>IFERROR(__xludf.DUMMYFUNCTION("""COMPUTED_VALUE"""),4.81423E7)</f>
        <v>48142300</v>
      </c>
      <c r="G457" s="2">
        <f t="shared" si="1"/>
        <v>30</v>
      </c>
    </row>
    <row r="458" ht="15.75" customHeight="1">
      <c r="A458" s="1">
        <f>IFERROR(__xludf.DUMMYFUNCTION("""COMPUTED_VALUE"""),44516.625)</f>
        <v>44516.625</v>
      </c>
      <c r="B458" s="2">
        <f>IFERROR(__xludf.DUMMYFUNCTION("""COMPUTED_VALUE"""),1490.0)</f>
        <v>1490</v>
      </c>
      <c r="C458" s="2">
        <f>IFERROR(__xludf.DUMMYFUNCTION("""COMPUTED_VALUE"""),1510.0)</f>
        <v>1510</v>
      </c>
      <c r="D458" s="2">
        <f>IFERROR(__xludf.DUMMYFUNCTION("""COMPUTED_VALUE"""),1485.0)</f>
        <v>1485</v>
      </c>
      <c r="E458" s="2">
        <f>IFERROR(__xludf.DUMMYFUNCTION("""COMPUTED_VALUE"""),1500.0)</f>
        <v>1500</v>
      </c>
      <c r="F458" s="2">
        <f>IFERROR(__xludf.DUMMYFUNCTION("""COMPUTED_VALUE"""),6.99926E7)</f>
        <v>69992600</v>
      </c>
      <c r="G458" s="2">
        <f t="shared" si="1"/>
        <v>25</v>
      </c>
    </row>
    <row r="459" ht="15.75" customHeight="1">
      <c r="A459" s="1">
        <f>IFERROR(__xludf.DUMMYFUNCTION("""COMPUTED_VALUE"""),44517.625)</f>
        <v>44517.625</v>
      </c>
      <c r="B459" s="2">
        <f>IFERROR(__xludf.DUMMYFUNCTION("""COMPUTED_VALUE"""),1500.0)</f>
        <v>1500</v>
      </c>
      <c r="C459" s="2">
        <f>IFERROR(__xludf.DUMMYFUNCTION("""COMPUTED_VALUE"""),1520.0)</f>
        <v>1520</v>
      </c>
      <c r="D459" s="2">
        <f>IFERROR(__xludf.DUMMYFUNCTION("""COMPUTED_VALUE"""),1490.0)</f>
        <v>1490</v>
      </c>
      <c r="E459" s="2">
        <f>IFERROR(__xludf.DUMMYFUNCTION("""COMPUTED_VALUE"""),1495.0)</f>
        <v>1495</v>
      </c>
      <c r="F459" s="2">
        <f>IFERROR(__xludf.DUMMYFUNCTION("""COMPUTED_VALUE"""),7.59637E7)</f>
        <v>75963700</v>
      </c>
      <c r="G459" s="2">
        <f t="shared" si="1"/>
        <v>30</v>
      </c>
    </row>
    <row r="460" ht="15.75" customHeight="1">
      <c r="A460" s="1">
        <f>IFERROR(__xludf.DUMMYFUNCTION("""COMPUTED_VALUE"""),44518.625)</f>
        <v>44518.625</v>
      </c>
      <c r="B460" s="2">
        <f>IFERROR(__xludf.DUMMYFUNCTION("""COMPUTED_VALUE"""),1510.0)</f>
        <v>1510</v>
      </c>
      <c r="C460" s="2">
        <f>IFERROR(__xludf.DUMMYFUNCTION("""COMPUTED_VALUE"""),1520.0)</f>
        <v>1520</v>
      </c>
      <c r="D460" s="2">
        <f>IFERROR(__xludf.DUMMYFUNCTION("""COMPUTED_VALUE"""),1490.0)</f>
        <v>1490</v>
      </c>
      <c r="E460" s="2">
        <f>IFERROR(__xludf.DUMMYFUNCTION("""COMPUTED_VALUE"""),1500.0)</f>
        <v>1500</v>
      </c>
      <c r="F460" s="2">
        <f>IFERROR(__xludf.DUMMYFUNCTION("""COMPUTED_VALUE"""),1.345667E8)</f>
        <v>134566700</v>
      </c>
      <c r="G460" s="2">
        <f t="shared" si="1"/>
        <v>30</v>
      </c>
    </row>
    <row r="461" ht="15.75" customHeight="1">
      <c r="A461" s="1">
        <f>IFERROR(__xludf.DUMMYFUNCTION("""COMPUTED_VALUE"""),44519.625)</f>
        <v>44519.625</v>
      </c>
      <c r="B461" s="2">
        <f>IFERROR(__xludf.DUMMYFUNCTION("""COMPUTED_VALUE"""),1505.0)</f>
        <v>1505</v>
      </c>
      <c r="C461" s="2">
        <f>IFERROR(__xludf.DUMMYFUNCTION("""COMPUTED_VALUE"""),1550.0)</f>
        <v>1550</v>
      </c>
      <c r="D461" s="2">
        <f>IFERROR(__xludf.DUMMYFUNCTION("""COMPUTED_VALUE"""),1500.0)</f>
        <v>1500</v>
      </c>
      <c r="E461" s="2">
        <f>IFERROR(__xludf.DUMMYFUNCTION("""COMPUTED_VALUE"""),1530.0)</f>
        <v>1530</v>
      </c>
      <c r="F461" s="2">
        <f>IFERROR(__xludf.DUMMYFUNCTION("""COMPUTED_VALUE"""),2.486214E8)</f>
        <v>248621400</v>
      </c>
      <c r="G461" s="2">
        <f t="shared" si="1"/>
        <v>50</v>
      </c>
    </row>
    <row r="462" ht="15.75" customHeight="1">
      <c r="A462" s="1">
        <f>IFERROR(__xludf.DUMMYFUNCTION("""COMPUTED_VALUE"""),44522.625)</f>
        <v>44522.625</v>
      </c>
      <c r="B462" s="2">
        <f>IFERROR(__xludf.DUMMYFUNCTION("""COMPUTED_VALUE"""),1535.0)</f>
        <v>1535</v>
      </c>
      <c r="C462" s="2">
        <f>IFERROR(__xludf.DUMMYFUNCTION("""COMPUTED_VALUE"""),1545.0)</f>
        <v>1545</v>
      </c>
      <c r="D462" s="2">
        <f>IFERROR(__xludf.DUMMYFUNCTION("""COMPUTED_VALUE"""),1505.0)</f>
        <v>1505</v>
      </c>
      <c r="E462" s="2">
        <f>IFERROR(__xludf.DUMMYFUNCTION("""COMPUTED_VALUE"""),1520.0)</f>
        <v>1520</v>
      </c>
      <c r="F462" s="2">
        <f>IFERROR(__xludf.DUMMYFUNCTION("""COMPUTED_VALUE"""),1.195169E8)</f>
        <v>119516900</v>
      </c>
      <c r="G462" s="2">
        <f t="shared" si="1"/>
        <v>40</v>
      </c>
    </row>
    <row r="463" ht="15.75" customHeight="1">
      <c r="A463" s="1">
        <f>IFERROR(__xludf.DUMMYFUNCTION("""COMPUTED_VALUE"""),44523.625)</f>
        <v>44523.625</v>
      </c>
      <c r="B463" s="2">
        <f>IFERROR(__xludf.DUMMYFUNCTION("""COMPUTED_VALUE"""),1530.0)</f>
        <v>1530</v>
      </c>
      <c r="C463" s="2">
        <f>IFERROR(__xludf.DUMMYFUNCTION("""COMPUTED_VALUE"""),1580.0)</f>
        <v>1580</v>
      </c>
      <c r="D463" s="2">
        <f>IFERROR(__xludf.DUMMYFUNCTION("""COMPUTED_VALUE"""),1515.0)</f>
        <v>1515</v>
      </c>
      <c r="E463" s="2">
        <f>IFERROR(__xludf.DUMMYFUNCTION("""COMPUTED_VALUE"""),1545.0)</f>
        <v>1545</v>
      </c>
      <c r="F463" s="2">
        <f>IFERROR(__xludf.DUMMYFUNCTION("""COMPUTED_VALUE"""),3.731601E8)</f>
        <v>373160100</v>
      </c>
      <c r="G463" s="2">
        <f t="shared" si="1"/>
        <v>65</v>
      </c>
    </row>
    <row r="464" ht="15.75" customHeight="1">
      <c r="A464" s="1">
        <f>IFERROR(__xludf.DUMMYFUNCTION("""COMPUTED_VALUE"""),44524.625)</f>
        <v>44524.625</v>
      </c>
      <c r="B464" s="2">
        <f>IFERROR(__xludf.DUMMYFUNCTION("""COMPUTED_VALUE"""),1550.0)</f>
        <v>1550</v>
      </c>
      <c r="C464" s="2">
        <f>IFERROR(__xludf.DUMMYFUNCTION("""COMPUTED_VALUE"""),1620.0)</f>
        <v>1620</v>
      </c>
      <c r="D464" s="2">
        <f>IFERROR(__xludf.DUMMYFUNCTION("""COMPUTED_VALUE"""),1540.0)</f>
        <v>1540</v>
      </c>
      <c r="E464" s="2">
        <f>IFERROR(__xludf.DUMMYFUNCTION("""COMPUTED_VALUE"""),1610.0)</f>
        <v>1610</v>
      </c>
      <c r="F464" s="2">
        <f>IFERROR(__xludf.DUMMYFUNCTION("""COMPUTED_VALUE"""),3.622722E8)</f>
        <v>362272200</v>
      </c>
      <c r="G464" s="2">
        <f t="shared" si="1"/>
        <v>80</v>
      </c>
    </row>
    <row r="465" ht="15.75" customHeight="1">
      <c r="A465" s="1">
        <f>IFERROR(__xludf.DUMMYFUNCTION("""COMPUTED_VALUE"""),44525.625)</f>
        <v>44525.625</v>
      </c>
      <c r="B465" s="2">
        <f>IFERROR(__xludf.DUMMYFUNCTION("""COMPUTED_VALUE"""),1640.0)</f>
        <v>1640</v>
      </c>
      <c r="C465" s="2">
        <f>IFERROR(__xludf.DUMMYFUNCTION("""COMPUTED_VALUE"""),1640.0)</f>
        <v>1640</v>
      </c>
      <c r="D465" s="2">
        <f>IFERROR(__xludf.DUMMYFUNCTION("""COMPUTED_VALUE"""),1610.0)</f>
        <v>1610</v>
      </c>
      <c r="E465" s="2">
        <f>IFERROR(__xludf.DUMMYFUNCTION("""COMPUTED_VALUE"""),1630.0)</f>
        <v>1630</v>
      </c>
      <c r="F465" s="2">
        <f>IFERROR(__xludf.DUMMYFUNCTION("""COMPUTED_VALUE"""),1.839213E8)</f>
        <v>183921300</v>
      </c>
      <c r="G465" s="2">
        <f t="shared" si="1"/>
        <v>30</v>
      </c>
    </row>
    <row r="466" ht="15.75" customHeight="1">
      <c r="A466" s="1">
        <f>IFERROR(__xludf.DUMMYFUNCTION("""COMPUTED_VALUE"""),44526.625)</f>
        <v>44526.625</v>
      </c>
      <c r="B466" s="2">
        <f>IFERROR(__xludf.DUMMYFUNCTION("""COMPUTED_VALUE"""),1620.0)</f>
        <v>1620</v>
      </c>
      <c r="C466" s="2">
        <f>IFERROR(__xludf.DUMMYFUNCTION("""COMPUTED_VALUE"""),1620.0)</f>
        <v>1620</v>
      </c>
      <c r="D466" s="2">
        <f>IFERROR(__xludf.DUMMYFUNCTION("""COMPUTED_VALUE"""),1545.0)</f>
        <v>1545</v>
      </c>
      <c r="E466" s="2">
        <f>IFERROR(__xludf.DUMMYFUNCTION("""COMPUTED_VALUE"""),1560.0)</f>
        <v>1560</v>
      </c>
      <c r="F466" s="2">
        <f>IFERROR(__xludf.DUMMYFUNCTION("""COMPUTED_VALUE"""),3.097756E8)</f>
        <v>309775600</v>
      </c>
      <c r="G466" s="2">
        <f t="shared" si="1"/>
        <v>85</v>
      </c>
    </row>
    <row r="467" ht="15.75" customHeight="1">
      <c r="A467" s="1">
        <f>IFERROR(__xludf.DUMMYFUNCTION("""COMPUTED_VALUE"""),44529.625)</f>
        <v>44529.625</v>
      </c>
      <c r="B467" s="2">
        <f>IFERROR(__xludf.DUMMYFUNCTION("""COMPUTED_VALUE"""),1535.0)</f>
        <v>1535</v>
      </c>
      <c r="C467" s="2">
        <f>IFERROR(__xludf.DUMMYFUNCTION("""COMPUTED_VALUE"""),1565.0)</f>
        <v>1565</v>
      </c>
      <c r="D467" s="2">
        <f>IFERROR(__xludf.DUMMYFUNCTION("""COMPUTED_VALUE"""),1515.0)</f>
        <v>1515</v>
      </c>
      <c r="E467" s="2">
        <f>IFERROR(__xludf.DUMMYFUNCTION("""COMPUTED_VALUE"""),1540.0)</f>
        <v>1540</v>
      </c>
      <c r="F467" s="2">
        <f>IFERROR(__xludf.DUMMYFUNCTION("""COMPUTED_VALUE"""),2.322451E8)</f>
        <v>232245100</v>
      </c>
      <c r="G467" s="2">
        <f t="shared" si="1"/>
        <v>50</v>
      </c>
    </row>
    <row r="468" ht="15.75" customHeight="1">
      <c r="A468" s="1">
        <f>IFERROR(__xludf.DUMMYFUNCTION("""COMPUTED_VALUE"""),44530.625)</f>
        <v>44530.625</v>
      </c>
      <c r="B468" s="2">
        <f>IFERROR(__xludf.DUMMYFUNCTION("""COMPUTED_VALUE"""),1540.0)</f>
        <v>1540</v>
      </c>
      <c r="C468" s="2">
        <f>IFERROR(__xludf.DUMMYFUNCTION("""COMPUTED_VALUE"""),1555.0)</f>
        <v>1555</v>
      </c>
      <c r="D468" s="2">
        <f>IFERROR(__xludf.DUMMYFUNCTION("""COMPUTED_VALUE"""),1480.0)</f>
        <v>1480</v>
      </c>
      <c r="E468" s="2">
        <f>IFERROR(__xludf.DUMMYFUNCTION("""COMPUTED_VALUE"""),1500.0)</f>
        <v>1500</v>
      </c>
      <c r="F468" s="2">
        <f>IFERROR(__xludf.DUMMYFUNCTION("""COMPUTED_VALUE"""),2.165505E8)</f>
        <v>216550500</v>
      </c>
      <c r="G468" s="2">
        <f t="shared" si="1"/>
        <v>75</v>
      </c>
    </row>
    <row r="469" ht="15.75" customHeight="1">
      <c r="A469" s="1">
        <f>IFERROR(__xludf.DUMMYFUNCTION("""COMPUTED_VALUE"""),44531.66666666667)</f>
        <v>44531.66667</v>
      </c>
      <c r="B469" s="2">
        <f>IFERROR(__xludf.DUMMYFUNCTION("""COMPUTED_VALUE"""),1500.0)</f>
        <v>1500</v>
      </c>
      <c r="C469" s="2">
        <f>IFERROR(__xludf.DUMMYFUNCTION("""COMPUTED_VALUE"""),1510.0)</f>
        <v>1510</v>
      </c>
      <c r="D469" s="2">
        <f>IFERROR(__xludf.DUMMYFUNCTION("""COMPUTED_VALUE"""),1440.0)</f>
        <v>1440</v>
      </c>
      <c r="E469" s="2">
        <f>IFERROR(__xludf.DUMMYFUNCTION("""COMPUTED_VALUE"""),1450.0)</f>
        <v>1450</v>
      </c>
      <c r="F469" s="2">
        <f>IFERROR(__xludf.DUMMYFUNCTION("""COMPUTED_VALUE"""),2.442421E8)</f>
        <v>244242100</v>
      </c>
      <c r="G469" s="2">
        <f t="shared" si="1"/>
        <v>70</v>
      </c>
    </row>
    <row r="470" ht="15.75" customHeight="1">
      <c r="A470" s="1">
        <f>IFERROR(__xludf.DUMMYFUNCTION("""COMPUTED_VALUE"""),44532.66666666667)</f>
        <v>44532.66667</v>
      </c>
      <c r="B470" s="2">
        <f>IFERROR(__xludf.DUMMYFUNCTION("""COMPUTED_VALUE"""),1450.0)</f>
        <v>1450</v>
      </c>
      <c r="C470" s="2">
        <f>IFERROR(__xludf.DUMMYFUNCTION("""COMPUTED_VALUE"""),1505.0)</f>
        <v>1505</v>
      </c>
      <c r="D470" s="2">
        <f>IFERROR(__xludf.DUMMYFUNCTION("""COMPUTED_VALUE"""),1435.0)</f>
        <v>1435</v>
      </c>
      <c r="E470" s="2">
        <f>IFERROR(__xludf.DUMMYFUNCTION("""COMPUTED_VALUE"""),1500.0)</f>
        <v>1500</v>
      </c>
      <c r="F470" s="2">
        <f>IFERROR(__xludf.DUMMYFUNCTION("""COMPUTED_VALUE"""),1.71024E8)</f>
        <v>171024000</v>
      </c>
      <c r="G470" s="2">
        <f t="shared" si="1"/>
        <v>70</v>
      </c>
    </row>
    <row r="471" ht="15.75" customHeight="1">
      <c r="A471" s="1">
        <f>IFERROR(__xludf.DUMMYFUNCTION("""COMPUTED_VALUE"""),44533.66666666667)</f>
        <v>44533.66667</v>
      </c>
      <c r="B471" s="2">
        <f>IFERROR(__xludf.DUMMYFUNCTION("""COMPUTED_VALUE"""),1500.0)</f>
        <v>1500</v>
      </c>
      <c r="C471" s="2">
        <f>IFERROR(__xludf.DUMMYFUNCTION("""COMPUTED_VALUE"""),1500.0)</f>
        <v>1500</v>
      </c>
      <c r="D471" s="2">
        <f>IFERROR(__xludf.DUMMYFUNCTION("""COMPUTED_VALUE"""),1475.0)</f>
        <v>1475</v>
      </c>
      <c r="E471" s="2">
        <f>IFERROR(__xludf.DUMMYFUNCTION("""COMPUTED_VALUE"""),1490.0)</f>
        <v>1490</v>
      </c>
      <c r="F471" s="2">
        <f>IFERROR(__xludf.DUMMYFUNCTION("""COMPUTED_VALUE"""),9.01473E7)</f>
        <v>90147300</v>
      </c>
      <c r="G471" s="2">
        <f t="shared" si="1"/>
        <v>25</v>
      </c>
    </row>
    <row r="472" ht="15.75" customHeight="1">
      <c r="A472" s="1">
        <f>IFERROR(__xludf.DUMMYFUNCTION("""COMPUTED_VALUE"""),44536.66666666667)</f>
        <v>44536.66667</v>
      </c>
      <c r="B472" s="2">
        <f>IFERROR(__xludf.DUMMYFUNCTION("""COMPUTED_VALUE"""),1475.0)</f>
        <v>1475</v>
      </c>
      <c r="C472" s="2">
        <f>IFERROR(__xludf.DUMMYFUNCTION("""COMPUTED_VALUE"""),1495.0)</f>
        <v>1495</v>
      </c>
      <c r="D472" s="2">
        <f>IFERROR(__xludf.DUMMYFUNCTION("""COMPUTED_VALUE"""),1460.0)</f>
        <v>1460</v>
      </c>
      <c r="E472" s="2">
        <f>IFERROR(__xludf.DUMMYFUNCTION("""COMPUTED_VALUE"""),1480.0)</f>
        <v>1480</v>
      </c>
      <c r="F472" s="2">
        <f>IFERROR(__xludf.DUMMYFUNCTION("""COMPUTED_VALUE"""),8.84831E7)</f>
        <v>88483100</v>
      </c>
      <c r="G472" s="2">
        <f t="shared" si="1"/>
        <v>35</v>
      </c>
    </row>
    <row r="473" ht="15.75" customHeight="1">
      <c r="A473" s="1">
        <f>IFERROR(__xludf.DUMMYFUNCTION("""COMPUTED_VALUE"""),44537.66666666667)</f>
        <v>44537.66667</v>
      </c>
      <c r="B473" s="2">
        <f>IFERROR(__xludf.DUMMYFUNCTION("""COMPUTED_VALUE"""),1485.0)</f>
        <v>1485</v>
      </c>
      <c r="C473" s="2">
        <f>IFERROR(__xludf.DUMMYFUNCTION("""COMPUTED_VALUE"""),1505.0)</f>
        <v>1505</v>
      </c>
      <c r="D473" s="2">
        <f>IFERROR(__xludf.DUMMYFUNCTION("""COMPUTED_VALUE"""),1480.0)</f>
        <v>1480</v>
      </c>
      <c r="E473" s="2">
        <f>IFERROR(__xludf.DUMMYFUNCTION("""COMPUTED_VALUE"""),1500.0)</f>
        <v>1500</v>
      </c>
      <c r="F473" s="2">
        <f>IFERROR(__xludf.DUMMYFUNCTION("""COMPUTED_VALUE"""),8.26863E7)</f>
        <v>82686300</v>
      </c>
      <c r="G473" s="2">
        <f t="shared" si="1"/>
        <v>25</v>
      </c>
    </row>
    <row r="474" ht="15.75" customHeight="1">
      <c r="A474" s="1">
        <f>IFERROR(__xludf.DUMMYFUNCTION("""COMPUTED_VALUE"""),44538.66666666667)</f>
        <v>44538.66667</v>
      </c>
      <c r="B474" s="2">
        <f>IFERROR(__xludf.DUMMYFUNCTION("""COMPUTED_VALUE"""),1520.0)</f>
        <v>1520</v>
      </c>
      <c r="C474" s="2">
        <f>IFERROR(__xludf.DUMMYFUNCTION("""COMPUTED_VALUE"""),1520.0)</f>
        <v>1520</v>
      </c>
      <c r="D474" s="2">
        <f>IFERROR(__xludf.DUMMYFUNCTION("""COMPUTED_VALUE"""),1480.0)</f>
        <v>1480</v>
      </c>
      <c r="E474" s="2">
        <f>IFERROR(__xludf.DUMMYFUNCTION("""COMPUTED_VALUE"""),1490.0)</f>
        <v>1490</v>
      </c>
      <c r="F474" s="2">
        <f>IFERROR(__xludf.DUMMYFUNCTION("""COMPUTED_VALUE"""),5.407E7)</f>
        <v>54070000</v>
      </c>
      <c r="G474" s="2">
        <f t="shared" si="1"/>
        <v>40</v>
      </c>
    </row>
    <row r="475" ht="15.75" customHeight="1">
      <c r="A475" s="1">
        <f>IFERROR(__xludf.DUMMYFUNCTION("""COMPUTED_VALUE"""),44539.66666666667)</f>
        <v>44539.66667</v>
      </c>
      <c r="B475" s="2">
        <f>IFERROR(__xludf.DUMMYFUNCTION("""COMPUTED_VALUE"""),1495.0)</f>
        <v>1495</v>
      </c>
      <c r="C475" s="2">
        <f>IFERROR(__xludf.DUMMYFUNCTION("""COMPUTED_VALUE"""),1500.0)</f>
        <v>1500</v>
      </c>
      <c r="D475" s="2">
        <f>IFERROR(__xludf.DUMMYFUNCTION("""COMPUTED_VALUE"""),1480.0)</f>
        <v>1480</v>
      </c>
      <c r="E475" s="2">
        <f>IFERROR(__xludf.DUMMYFUNCTION("""COMPUTED_VALUE"""),1500.0)</f>
        <v>1500</v>
      </c>
      <c r="F475" s="2">
        <f>IFERROR(__xludf.DUMMYFUNCTION("""COMPUTED_VALUE"""),4.87567E7)</f>
        <v>48756700</v>
      </c>
      <c r="G475" s="2">
        <f t="shared" si="1"/>
        <v>20</v>
      </c>
    </row>
    <row r="476" ht="15.75" customHeight="1">
      <c r="A476" s="1">
        <f>IFERROR(__xludf.DUMMYFUNCTION("""COMPUTED_VALUE"""),44540.66666666667)</f>
        <v>44540.66667</v>
      </c>
      <c r="B476" s="2">
        <f>IFERROR(__xludf.DUMMYFUNCTION("""COMPUTED_VALUE"""),1495.0)</f>
        <v>1495</v>
      </c>
      <c r="C476" s="2">
        <f>IFERROR(__xludf.DUMMYFUNCTION("""COMPUTED_VALUE"""),1500.0)</f>
        <v>1500</v>
      </c>
      <c r="D476" s="2">
        <f>IFERROR(__xludf.DUMMYFUNCTION("""COMPUTED_VALUE"""),1485.0)</f>
        <v>1485</v>
      </c>
      <c r="E476" s="2">
        <f>IFERROR(__xludf.DUMMYFUNCTION("""COMPUTED_VALUE"""),1495.0)</f>
        <v>1495</v>
      </c>
      <c r="F476" s="2">
        <f>IFERROR(__xludf.DUMMYFUNCTION("""COMPUTED_VALUE"""),2.89349E7)</f>
        <v>28934900</v>
      </c>
      <c r="G476" s="2">
        <f t="shared" si="1"/>
        <v>15</v>
      </c>
    </row>
    <row r="477" ht="15.75" customHeight="1">
      <c r="A477" s="1">
        <f>IFERROR(__xludf.DUMMYFUNCTION("""COMPUTED_VALUE"""),44543.66666666667)</f>
        <v>44543.66667</v>
      </c>
      <c r="B477" s="2">
        <f>IFERROR(__xludf.DUMMYFUNCTION("""COMPUTED_VALUE"""),1505.0)</f>
        <v>1505</v>
      </c>
      <c r="C477" s="2">
        <f>IFERROR(__xludf.DUMMYFUNCTION("""COMPUTED_VALUE"""),1510.0)</f>
        <v>1510</v>
      </c>
      <c r="D477" s="2">
        <f>IFERROR(__xludf.DUMMYFUNCTION("""COMPUTED_VALUE"""),1485.0)</f>
        <v>1485</v>
      </c>
      <c r="E477" s="2">
        <f>IFERROR(__xludf.DUMMYFUNCTION("""COMPUTED_VALUE"""),1485.0)</f>
        <v>1485</v>
      </c>
      <c r="F477" s="2">
        <f>IFERROR(__xludf.DUMMYFUNCTION("""COMPUTED_VALUE"""),3.17318E7)</f>
        <v>31731800</v>
      </c>
      <c r="G477" s="2">
        <f t="shared" si="1"/>
        <v>25</v>
      </c>
    </row>
    <row r="478" ht="15.75" customHeight="1">
      <c r="A478" s="1">
        <f>IFERROR(__xludf.DUMMYFUNCTION("""COMPUTED_VALUE"""),44544.66666666667)</f>
        <v>44544.66667</v>
      </c>
      <c r="B478" s="2">
        <f>IFERROR(__xludf.DUMMYFUNCTION("""COMPUTED_VALUE"""),1485.0)</f>
        <v>1485</v>
      </c>
      <c r="C478" s="2">
        <f>IFERROR(__xludf.DUMMYFUNCTION("""COMPUTED_VALUE"""),1495.0)</f>
        <v>1495</v>
      </c>
      <c r="D478" s="2">
        <f>IFERROR(__xludf.DUMMYFUNCTION("""COMPUTED_VALUE"""),1465.0)</f>
        <v>1465</v>
      </c>
      <c r="E478" s="2">
        <f>IFERROR(__xludf.DUMMYFUNCTION("""COMPUTED_VALUE"""),1480.0)</f>
        <v>1480</v>
      </c>
      <c r="F478" s="2">
        <f>IFERROR(__xludf.DUMMYFUNCTION("""COMPUTED_VALUE"""),4.68949E7)</f>
        <v>46894900</v>
      </c>
      <c r="G478" s="2">
        <f t="shared" si="1"/>
        <v>30</v>
      </c>
    </row>
    <row r="479" ht="15.75" customHeight="1">
      <c r="A479" s="1">
        <f>IFERROR(__xludf.DUMMYFUNCTION("""COMPUTED_VALUE"""),44545.66666666667)</f>
        <v>44545.66667</v>
      </c>
      <c r="B479" s="2">
        <f>IFERROR(__xludf.DUMMYFUNCTION("""COMPUTED_VALUE"""),1480.0)</f>
        <v>1480</v>
      </c>
      <c r="C479" s="2">
        <f>IFERROR(__xludf.DUMMYFUNCTION("""COMPUTED_VALUE"""),1510.0)</f>
        <v>1510</v>
      </c>
      <c r="D479" s="2">
        <f>IFERROR(__xludf.DUMMYFUNCTION("""COMPUTED_VALUE"""),1475.0)</f>
        <v>1475</v>
      </c>
      <c r="E479" s="2">
        <f>IFERROR(__xludf.DUMMYFUNCTION("""COMPUTED_VALUE"""),1485.0)</f>
        <v>1485</v>
      </c>
      <c r="F479" s="2">
        <f>IFERROR(__xludf.DUMMYFUNCTION("""COMPUTED_VALUE"""),6.34307E7)</f>
        <v>63430700</v>
      </c>
      <c r="G479" s="2">
        <f t="shared" si="1"/>
        <v>35</v>
      </c>
    </row>
    <row r="480" ht="15.75" customHeight="1">
      <c r="A480" s="1">
        <f>IFERROR(__xludf.DUMMYFUNCTION("""COMPUTED_VALUE"""),44546.66666666667)</f>
        <v>44546.66667</v>
      </c>
      <c r="B480" s="2">
        <f>IFERROR(__xludf.DUMMYFUNCTION("""COMPUTED_VALUE"""),1500.0)</f>
        <v>1500</v>
      </c>
      <c r="C480" s="2">
        <f>IFERROR(__xludf.DUMMYFUNCTION("""COMPUTED_VALUE"""),1510.0)</f>
        <v>1510</v>
      </c>
      <c r="D480" s="2">
        <f>IFERROR(__xludf.DUMMYFUNCTION("""COMPUTED_VALUE"""),1470.0)</f>
        <v>1470</v>
      </c>
      <c r="E480" s="2">
        <f>IFERROR(__xludf.DUMMYFUNCTION("""COMPUTED_VALUE"""),1475.0)</f>
        <v>1475</v>
      </c>
      <c r="F480" s="2">
        <f>IFERROR(__xludf.DUMMYFUNCTION("""COMPUTED_VALUE"""),5.48112E7)</f>
        <v>54811200</v>
      </c>
      <c r="G480" s="2">
        <f t="shared" si="1"/>
        <v>40</v>
      </c>
    </row>
    <row r="481" ht="15.75" customHeight="1">
      <c r="A481" s="1">
        <f>IFERROR(__xludf.DUMMYFUNCTION("""COMPUTED_VALUE"""),44547.66666666667)</f>
        <v>44547.66667</v>
      </c>
      <c r="B481" s="2">
        <f>IFERROR(__xludf.DUMMYFUNCTION("""COMPUTED_VALUE"""),1475.0)</f>
        <v>1475</v>
      </c>
      <c r="C481" s="2">
        <f>IFERROR(__xludf.DUMMYFUNCTION("""COMPUTED_VALUE"""),1485.0)</f>
        <v>1485</v>
      </c>
      <c r="D481" s="2">
        <f>IFERROR(__xludf.DUMMYFUNCTION("""COMPUTED_VALUE"""),1465.0)</f>
        <v>1465</v>
      </c>
      <c r="E481" s="2">
        <f>IFERROR(__xludf.DUMMYFUNCTION("""COMPUTED_VALUE"""),1480.0)</f>
        <v>1480</v>
      </c>
      <c r="F481" s="2">
        <f>IFERROR(__xludf.DUMMYFUNCTION("""COMPUTED_VALUE"""),4.84622E7)</f>
        <v>48462200</v>
      </c>
      <c r="G481" s="2">
        <f t="shared" si="1"/>
        <v>20</v>
      </c>
    </row>
    <row r="482" ht="15.75" customHeight="1">
      <c r="A482" s="1">
        <f>IFERROR(__xludf.DUMMYFUNCTION("""COMPUTED_VALUE"""),44550.66666666667)</f>
        <v>44550.66667</v>
      </c>
      <c r="B482" s="2">
        <f>IFERROR(__xludf.DUMMYFUNCTION("""COMPUTED_VALUE"""),1470.0)</f>
        <v>1470</v>
      </c>
      <c r="C482" s="2">
        <f>IFERROR(__xludf.DUMMYFUNCTION("""COMPUTED_VALUE"""),1475.0)</f>
        <v>1475</v>
      </c>
      <c r="D482" s="2">
        <f>IFERROR(__xludf.DUMMYFUNCTION("""COMPUTED_VALUE"""),1405.0)</f>
        <v>1405</v>
      </c>
      <c r="E482" s="2">
        <f>IFERROR(__xludf.DUMMYFUNCTION("""COMPUTED_VALUE"""),1415.0)</f>
        <v>1415</v>
      </c>
      <c r="F482" s="2">
        <f>IFERROR(__xludf.DUMMYFUNCTION("""COMPUTED_VALUE"""),1.324828E8)</f>
        <v>132482800</v>
      </c>
      <c r="G482" s="2">
        <f t="shared" si="1"/>
        <v>75</v>
      </c>
    </row>
    <row r="483" ht="15.75" customHeight="1">
      <c r="A483" s="1">
        <f>IFERROR(__xludf.DUMMYFUNCTION("""COMPUTED_VALUE"""),44551.66666666667)</f>
        <v>44551.66667</v>
      </c>
      <c r="B483" s="2">
        <f>IFERROR(__xludf.DUMMYFUNCTION("""COMPUTED_VALUE"""),1420.0)</f>
        <v>1420</v>
      </c>
      <c r="C483" s="2">
        <f>IFERROR(__xludf.DUMMYFUNCTION("""COMPUTED_VALUE"""),1430.0)</f>
        <v>1430</v>
      </c>
      <c r="D483" s="2">
        <f>IFERROR(__xludf.DUMMYFUNCTION("""COMPUTED_VALUE"""),1365.0)</f>
        <v>1365</v>
      </c>
      <c r="E483" s="2">
        <f>IFERROR(__xludf.DUMMYFUNCTION("""COMPUTED_VALUE"""),1410.0)</f>
        <v>1410</v>
      </c>
      <c r="F483" s="2">
        <f>IFERROR(__xludf.DUMMYFUNCTION("""COMPUTED_VALUE"""),2.045818E8)</f>
        <v>204581800</v>
      </c>
      <c r="G483" s="2">
        <f t="shared" si="1"/>
        <v>65</v>
      </c>
    </row>
    <row r="484" ht="15.75" customHeight="1">
      <c r="A484" s="1">
        <f>IFERROR(__xludf.DUMMYFUNCTION("""COMPUTED_VALUE"""),44552.66666666667)</f>
        <v>44552.66667</v>
      </c>
      <c r="B484" s="2">
        <f>IFERROR(__xludf.DUMMYFUNCTION("""COMPUTED_VALUE"""),1420.0)</f>
        <v>1420</v>
      </c>
      <c r="C484" s="2">
        <f>IFERROR(__xludf.DUMMYFUNCTION("""COMPUTED_VALUE"""),1430.0)</f>
        <v>1430</v>
      </c>
      <c r="D484" s="2">
        <f>IFERROR(__xludf.DUMMYFUNCTION("""COMPUTED_VALUE"""),1380.0)</f>
        <v>1380</v>
      </c>
      <c r="E484" s="2">
        <f>IFERROR(__xludf.DUMMYFUNCTION("""COMPUTED_VALUE"""),1380.0)</f>
        <v>1380</v>
      </c>
      <c r="F484" s="2">
        <f>IFERROR(__xludf.DUMMYFUNCTION("""COMPUTED_VALUE"""),8.47455E7)</f>
        <v>84745500</v>
      </c>
      <c r="G484" s="2">
        <f t="shared" si="1"/>
        <v>50</v>
      </c>
    </row>
    <row r="485" ht="15.75" customHeight="1">
      <c r="A485" s="1">
        <f>IFERROR(__xludf.DUMMYFUNCTION("""COMPUTED_VALUE"""),44553.66666666667)</f>
        <v>44553.66667</v>
      </c>
      <c r="B485" s="2">
        <f>IFERROR(__xludf.DUMMYFUNCTION("""COMPUTED_VALUE"""),1385.0)</f>
        <v>1385</v>
      </c>
      <c r="C485" s="2">
        <f>IFERROR(__xludf.DUMMYFUNCTION("""COMPUTED_VALUE"""),1390.0)</f>
        <v>1390</v>
      </c>
      <c r="D485" s="2">
        <f>IFERROR(__xludf.DUMMYFUNCTION("""COMPUTED_VALUE"""),1370.0)</f>
        <v>1370</v>
      </c>
      <c r="E485" s="2">
        <f>IFERROR(__xludf.DUMMYFUNCTION("""COMPUTED_VALUE"""),1370.0)</f>
        <v>1370</v>
      </c>
      <c r="F485" s="2">
        <f>IFERROR(__xludf.DUMMYFUNCTION("""COMPUTED_VALUE"""),5.13771E7)</f>
        <v>51377100</v>
      </c>
      <c r="G485" s="2">
        <f t="shared" si="1"/>
        <v>20</v>
      </c>
    </row>
    <row r="486" ht="15.75" customHeight="1">
      <c r="A486" s="1">
        <f>IFERROR(__xludf.DUMMYFUNCTION("""COMPUTED_VALUE"""),44554.66666666667)</f>
        <v>44554.66667</v>
      </c>
      <c r="B486" s="2">
        <f>IFERROR(__xludf.DUMMYFUNCTION("""COMPUTED_VALUE"""),1370.0)</f>
        <v>1370</v>
      </c>
      <c r="C486" s="2">
        <f>IFERROR(__xludf.DUMMYFUNCTION("""COMPUTED_VALUE"""),1380.0)</f>
        <v>1380</v>
      </c>
      <c r="D486" s="2">
        <f>IFERROR(__xludf.DUMMYFUNCTION("""COMPUTED_VALUE"""),1360.0)</f>
        <v>1360</v>
      </c>
      <c r="E486" s="2">
        <f>IFERROR(__xludf.DUMMYFUNCTION("""COMPUTED_VALUE"""),1360.0)</f>
        <v>1360</v>
      </c>
      <c r="F486" s="2">
        <f>IFERROR(__xludf.DUMMYFUNCTION("""COMPUTED_VALUE"""),4.41371E7)</f>
        <v>44137100</v>
      </c>
      <c r="G486" s="2">
        <f t="shared" si="1"/>
        <v>20</v>
      </c>
    </row>
    <row r="487" ht="15.75" customHeight="1">
      <c r="A487" s="1">
        <f>IFERROR(__xludf.DUMMYFUNCTION("""COMPUTED_VALUE"""),44557.66666666667)</f>
        <v>44557.66667</v>
      </c>
      <c r="B487" s="2">
        <f>IFERROR(__xludf.DUMMYFUNCTION("""COMPUTED_VALUE"""),1360.0)</f>
        <v>1360</v>
      </c>
      <c r="C487" s="2">
        <f>IFERROR(__xludf.DUMMYFUNCTION("""COMPUTED_VALUE"""),1420.0)</f>
        <v>1420</v>
      </c>
      <c r="D487" s="2">
        <f>IFERROR(__xludf.DUMMYFUNCTION("""COMPUTED_VALUE"""),1360.0)</f>
        <v>1360</v>
      </c>
      <c r="E487" s="2">
        <f>IFERROR(__xludf.DUMMYFUNCTION("""COMPUTED_VALUE"""),1405.0)</f>
        <v>1405</v>
      </c>
      <c r="F487" s="2">
        <f>IFERROR(__xludf.DUMMYFUNCTION("""COMPUTED_VALUE"""),7.32756E7)</f>
        <v>73275600</v>
      </c>
      <c r="G487" s="2">
        <f t="shared" si="1"/>
        <v>60</v>
      </c>
    </row>
    <row r="488" ht="15.75" customHeight="1">
      <c r="A488" s="1">
        <f>IFERROR(__xludf.DUMMYFUNCTION("""COMPUTED_VALUE"""),44558.66666666667)</f>
        <v>44558.66667</v>
      </c>
      <c r="B488" s="2">
        <f>IFERROR(__xludf.DUMMYFUNCTION("""COMPUTED_VALUE"""),1415.0)</f>
        <v>1415</v>
      </c>
      <c r="C488" s="2">
        <f>IFERROR(__xludf.DUMMYFUNCTION("""COMPUTED_VALUE"""),1435.0)</f>
        <v>1435</v>
      </c>
      <c r="D488" s="2">
        <f>IFERROR(__xludf.DUMMYFUNCTION("""COMPUTED_VALUE"""),1400.0)</f>
        <v>1400</v>
      </c>
      <c r="E488" s="2">
        <f>IFERROR(__xludf.DUMMYFUNCTION("""COMPUTED_VALUE"""),1405.0)</f>
        <v>1405</v>
      </c>
      <c r="F488" s="2">
        <f>IFERROR(__xludf.DUMMYFUNCTION("""COMPUTED_VALUE"""),6.07617E7)</f>
        <v>60761700</v>
      </c>
      <c r="G488" s="2">
        <f t="shared" si="1"/>
        <v>35</v>
      </c>
    </row>
    <row r="489" ht="15.75" customHeight="1">
      <c r="A489" s="1">
        <f>IFERROR(__xludf.DUMMYFUNCTION("""COMPUTED_VALUE"""),44559.66666666667)</f>
        <v>44559.66667</v>
      </c>
      <c r="B489" s="2">
        <f>IFERROR(__xludf.DUMMYFUNCTION("""COMPUTED_VALUE"""),1400.0)</f>
        <v>1400</v>
      </c>
      <c r="C489" s="2">
        <f>IFERROR(__xludf.DUMMYFUNCTION("""COMPUTED_VALUE"""),1405.0)</f>
        <v>1405</v>
      </c>
      <c r="D489" s="2">
        <f>IFERROR(__xludf.DUMMYFUNCTION("""COMPUTED_VALUE"""),1390.0)</f>
        <v>1390</v>
      </c>
      <c r="E489" s="2">
        <f>IFERROR(__xludf.DUMMYFUNCTION("""COMPUTED_VALUE"""),1395.0)</f>
        <v>1395</v>
      </c>
      <c r="F489" s="2">
        <f>IFERROR(__xludf.DUMMYFUNCTION("""COMPUTED_VALUE"""),2.43906E7)</f>
        <v>24390600</v>
      </c>
      <c r="G489" s="2">
        <f t="shared" si="1"/>
        <v>15</v>
      </c>
    </row>
    <row r="490" ht="15.75" customHeight="1">
      <c r="A490" s="1">
        <f>IFERROR(__xludf.DUMMYFUNCTION("""COMPUTED_VALUE"""),44560.66666666667)</f>
        <v>44560.66667</v>
      </c>
      <c r="B490" s="2">
        <f>IFERROR(__xludf.DUMMYFUNCTION("""COMPUTED_VALUE"""),1395.0)</f>
        <v>1395</v>
      </c>
      <c r="C490" s="2">
        <f>IFERROR(__xludf.DUMMYFUNCTION("""COMPUTED_VALUE"""),1400.0)</f>
        <v>1400</v>
      </c>
      <c r="D490" s="2">
        <f>IFERROR(__xludf.DUMMYFUNCTION("""COMPUTED_VALUE"""),1375.0)</f>
        <v>1375</v>
      </c>
      <c r="E490" s="2">
        <f>IFERROR(__xludf.DUMMYFUNCTION("""COMPUTED_VALUE"""),1375.0)</f>
        <v>1375</v>
      </c>
      <c r="F490" s="2">
        <f>IFERROR(__xludf.DUMMYFUNCTION("""COMPUTED_VALUE"""),3.70865E7)</f>
        <v>37086500</v>
      </c>
      <c r="G490" s="2">
        <f t="shared" si="1"/>
        <v>25</v>
      </c>
    </row>
    <row r="491" ht="15.75" customHeight="1">
      <c r="A491" s="1">
        <f>IFERROR(__xludf.DUMMYFUNCTION("""COMPUTED_VALUE"""),44564.66666666667)</f>
        <v>44564.66667</v>
      </c>
      <c r="B491" s="2">
        <f>IFERROR(__xludf.DUMMYFUNCTION("""COMPUTED_VALUE"""),1375.0)</f>
        <v>1375</v>
      </c>
      <c r="C491" s="2">
        <f>IFERROR(__xludf.DUMMYFUNCTION("""COMPUTED_VALUE"""),1410.0)</f>
        <v>1410</v>
      </c>
      <c r="D491" s="2">
        <f>IFERROR(__xludf.DUMMYFUNCTION("""COMPUTED_VALUE"""),1365.0)</f>
        <v>1365</v>
      </c>
      <c r="E491" s="2">
        <f>IFERROR(__xludf.DUMMYFUNCTION("""COMPUTED_VALUE"""),1400.0)</f>
        <v>1400</v>
      </c>
      <c r="F491" s="2">
        <f>IFERROR(__xludf.DUMMYFUNCTION("""COMPUTED_VALUE"""),4.68973E7)</f>
        <v>46897300</v>
      </c>
      <c r="G491" s="2">
        <f t="shared" si="1"/>
        <v>45</v>
      </c>
    </row>
    <row r="492" ht="15.75" customHeight="1">
      <c r="A492" s="1">
        <f>IFERROR(__xludf.DUMMYFUNCTION("""COMPUTED_VALUE"""),44565.66666666667)</f>
        <v>44565.66667</v>
      </c>
      <c r="B492" s="2">
        <f>IFERROR(__xludf.DUMMYFUNCTION("""COMPUTED_VALUE"""),1400.0)</f>
        <v>1400</v>
      </c>
      <c r="C492" s="2">
        <f>IFERROR(__xludf.DUMMYFUNCTION("""COMPUTED_VALUE"""),1420.0)</f>
        <v>1420</v>
      </c>
      <c r="D492" s="2">
        <f>IFERROR(__xludf.DUMMYFUNCTION("""COMPUTED_VALUE"""),1385.0)</f>
        <v>1385</v>
      </c>
      <c r="E492" s="2">
        <f>IFERROR(__xludf.DUMMYFUNCTION("""COMPUTED_VALUE"""),1400.0)</f>
        <v>1400</v>
      </c>
      <c r="F492" s="2">
        <f>IFERROR(__xludf.DUMMYFUNCTION("""COMPUTED_VALUE"""),5.6887E7)</f>
        <v>56887000</v>
      </c>
      <c r="G492" s="2">
        <f t="shared" si="1"/>
        <v>35</v>
      </c>
    </row>
    <row r="493" ht="15.75" customHeight="1">
      <c r="A493" s="1">
        <f>IFERROR(__xludf.DUMMYFUNCTION("""COMPUTED_VALUE"""),44566.66666666667)</f>
        <v>44566.66667</v>
      </c>
      <c r="B493" s="2">
        <f>IFERROR(__xludf.DUMMYFUNCTION("""COMPUTED_VALUE"""),1400.0)</f>
        <v>1400</v>
      </c>
      <c r="C493" s="2">
        <f>IFERROR(__xludf.DUMMYFUNCTION("""COMPUTED_VALUE"""),1400.0)</f>
        <v>1400</v>
      </c>
      <c r="D493" s="2">
        <f>IFERROR(__xludf.DUMMYFUNCTION("""COMPUTED_VALUE"""),1360.0)</f>
        <v>1360</v>
      </c>
      <c r="E493" s="2">
        <f>IFERROR(__xludf.DUMMYFUNCTION("""COMPUTED_VALUE"""),1365.0)</f>
        <v>1365</v>
      </c>
      <c r="F493" s="2">
        <f>IFERROR(__xludf.DUMMYFUNCTION("""COMPUTED_VALUE"""),6.21903E7)</f>
        <v>62190300</v>
      </c>
      <c r="G493" s="2">
        <f t="shared" si="1"/>
        <v>40</v>
      </c>
    </row>
    <row r="494" ht="15.75" customHeight="1">
      <c r="A494" s="1">
        <f>IFERROR(__xludf.DUMMYFUNCTION("""COMPUTED_VALUE"""),44567.66666666667)</f>
        <v>44567.66667</v>
      </c>
      <c r="B494" s="2">
        <f>IFERROR(__xludf.DUMMYFUNCTION("""COMPUTED_VALUE"""),1360.0)</f>
        <v>1360</v>
      </c>
      <c r="C494" s="2">
        <f>IFERROR(__xludf.DUMMYFUNCTION("""COMPUTED_VALUE"""),1375.0)</f>
        <v>1375</v>
      </c>
      <c r="D494" s="2">
        <f>IFERROR(__xludf.DUMMYFUNCTION("""COMPUTED_VALUE"""),1325.0)</f>
        <v>1325</v>
      </c>
      <c r="E494" s="2">
        <f>IFERROR(__xludf.DUMMYFUNCTION("""COMPUTED_VALUE"""),1350.0)</f>
        <v>1350</v>
      </c>
      <c r="F494" s="2">
        <f>IFERROR(__xludf.DUMMYFUNCTION("""COMPUTED_VALUE"""),8.10743E7)</f>
        <v>81074300</v>
      </c>
      <c r="G494" s="2">
        <f t="shared" si="1"/>
        <v>50</v>
      </c>
    </row>
    <row r="495" ht="15.75" customHeight="1">
      <c r="A495" s="1">
        <f>IFERROR(__xludf.DUMMYFUNCTION("""COMPUTED_VALUE"""),44568.66666666667)</f>
        <v>44568.66667</v>
      </c>
      <c r="B495" s="2">
        <f>IFERROR(__xludf.DUMMYFUNCTION("""COMPUTED_VALUE"""),1350.0)</f>
        <v>1350</v>
      </c>
      <c r="C495" s="2">
        <f>IFERROR(__xludf.DUMMYFUNCTION("""COMPUTED_VALUE"""),1365.0)</f>
        <v>1365</v>
      </c>
      <c r="D495" s="2">
        <f>IFERROR(__xludf.DUMMYFUNCTION("""COMPUTED_VALUE"""),1345.0)</f>
        <v>1345</v>
      </c>
      <c r="E495" s="2">
        <f>IFERROR(__xludf.DUMMYFUNCTION("""COMPUTED_VALUE"""),1355.0)</f>
        <v>1355</v>
      </c>
      <c r="F495" s="2">
        <f>IFERROR(__xludf.DUMMYFUNCTION("""COMPUTED_VALUE"""),4.30679E7)</f>
        <v>43067900</v>
      </c>
      <c r="G495" s="2">
        <f t="shared" si="1"/>
        <v>20</v>
      </c>
    </row>
    <row r="496" ht="15.75" customHeight="1">
      <c r="A496" s="1">
        <f>IFERROR(__xludf.DUMMYFUNCTION("""COMPUTED_VALUE"""),44571.66666666667)</f>
        <v>44571.66667</v>
      </c>
      <c r="B496" s="2">
        <f>IFERROR(__xludf.DUMMYFUNCTION("""COMPUTED_VALUE"""),1370.0)</f>
        <v>1370</v>
      </c>
      <c r="C496" s="2">
        <f>IFERROR(__xludf.DUMMYFUNCTION("""COMPUTED_VALUE"""),1370.0)</f>
        <v>1370</v>
      </c>
      <c r="D496" s="2">
        <f>IFERROR(__xludf.DUMMYFUNCTION("""COMPUTED_VALUE"""),1310.0)</f>
        <v>1310</v>
      </c>
      <c r="E496" s="2">
        <f>IFERROR(__xludf.DUMMYFUNCTION("""COMPUTED_VALUE"""),1310.0)</f>
        <v>1310</v>
      </c>
      <c r="F496" s="2">
        <f>IFERROR(__xludf.DUMMYFUNCTION("""COMPUTED_VALUE"""),9.87601E7)</f>
        <v>98760100</v>
      </c>
      <c r="G496" s="2">
        <f t="shared" si="1"/>
        <v>60</v>
      </c>
    </row>
    <row r="497" ht="15.75" customHeight="1">
      <c r="A497" s="1">
        <f>IFERROR(__xludf.DUMMYFUNCTION("""COMPUTED_VALUE"""),44572.66666666667)</f>
        <v>44572.66667</v>
      </c>
      <c r="B497" s="2">
        <f>IFERROR(__xludf.DUMMYFUNCTION("""COMPUTED_VALUE"""),1310.0)</f>
        <v>1310</v>
      </c>
      <c r="C497" s="2">
        <f>IFERROR(__xludf.DUMMYFUNCTION("""COMPUTED_VALUE"""),1335.0)</f>
        <v>1335</v>
      </c>
      <c r="D497" s="2">
        <f>IFERROR(__xludf.DUMMYFUNCTION("""COMPUTED_VALUE"""),1285.0)</f>
        <v>1285</v>
      </c>
      <c r="E497" s="2">
        <f>IFERROR(__xludf.DUMMYFUNCTION("""COMPUTED_VALUE"""),1295.0)</f>
        <v>1295</v>
      </c>
      <c r="F497" s="2">
        <f>IFERROR(__xludf.DUMMYFUNCTION("""COMPUTED_VALUE"""),1.23632E8)</f>
        <v>123632000</v>
      </c>
      <c r="G497" s="2">
        <f t="shared" si="1"/>
        <v>50</v>
      </c>
    </row>
    <row r="498" ht="15.75" customHeight="1">
      <c r="A498" s="1">
        <f>IFERROR(__xludf.DUMMYFUNCTION("""COMPUTED_VALUE"""),44573.66666666667)</f>
        <v>44573.66667</v>
      </c>
      <c r="B498" s="2">
        <f>IFERROR(__xludf.DUMMYFUNCTION("""COMPUTED_VALUE"""),1315.0)</f>
        <v>1315</v>
      </c>
      <c r="C498" s="2">
        <f>IFERROR(__xludf.DUMMYFUNCTION("""COMPUTED_VALUE"""),1320.0)</f>
        <v>1320</v>
      </c>
      <c r="D498" s="2">
        <f>IFERROR(__xludf.DUMMYFUNCTION("""COMPUTED_VALUE"""),1290.0)</f>
        <v>1290</v>
      </c>
      <c r="E498" s="2">
        <f>IFERROR(__xludf.DUMMYFUNCTION("""COMPUTED_VALUE"""),1300.0)</f>
        <v>1300</v>
      </c>
      <c r="F498" s="2">
        <f>IFERROR(__xludf.DUMMYFUNCTION("""COMPUTED_VALUE"""),7.90623E7)</f>
        <v>79062300</v>
      </c>
      <c r="G498" s="2">
        <f t="shared" si="1"/>
        <v>30</v>
      </c>
    </row>
    <row r="499" ht="15.75" customHeight="1">
      <c r="A499" s="1">
        <f>IFERROR(__xludf.DUMMYFUNCTION("""COMPUTED_VALUE"""),44574.66666666667)</f>
        <v>44574.66667</v>
      </c>
      <c r="B499" s="2">
        <f>IFERROR(__xludf.DUMMYFUNCTION("""COMPUTED_VALUE"""),1315.0)</f>
        <v>1315</v>
      </c>
      <c r="C499" s="2">
        <f>IFERROR(__xludf.DUMMYFUNCTION("""COMPUTED_VALUE"""),1345.0)</f>
        <v>1345</v>
      </c>
      <c r="D499" s="2">
        <f>IFERROR(__xludf.DUMMYFUNCTION("""COMPUTED_VALUE"""),1305.0)</f>
        <v>1305</v>
      </c>
      <c r="E499" s="2">
        <f>IFERROR(__xludf.DUMMYFUNCTION("""COMPUTED_VALUE"""),1340.0)</f>
        <v>1340</v>
      </c>
      <c r="F499" s="2">
        <f>IFERROR(__xludf.DUMMYFUNCTION("""COMPUTED_VALUE"""),6.76368E7)</f>
        <v>67636800</v>
      </c>
      <c r="G499" s="2">
        <f t="shared" si="1"/>
        <v>45</v>
      </c>
    </row>
    <row r="500" ht="15.75" customHeight="1">
      <c r="A500" s="1">
        <f>IFERROR(__xludf.DUMMYFUNCTION("""COMPUTED_VALUE"""),44575.66666666667)</f>
        <v>44575.66667</v>
      </c>
      <c r="B500" s="2">
        <f>IFERROR(__xludf.DUMMYFUNCTION("""COMPUTED_VALUE"""),1340.0)</f>
        <v>1340</v>
      </c>
      <c r="C500" s="2">
        <f>IFERROR(__xludf.DUMMYFUNCTION("""COMPUTED_VALUE"""),1340.0)</f>
        <v>1340</v>
      </c>
      <c r="D500" s="2">
        <f>IFERROR(__xludf.DUMMYFUNCTION("""COMPUTED_VALUE"""),1315.0)</f>
        <v>1315</v>
      </c>
      <c r="E500" s="2">
        <f>IFERROR(__xludf.DUMMYFUNCTION("""COMPUTED_VALUE"""),1340.0)</f>
        <v>1340</v>
      </c>
      <c r="F500" s="2">
        <f>IFERROR(__xludf.DUMMYFUNCTION("""COMPUTED_VALUE"""),4.56901E7)</f>
        <v>45690100</v>
      </c>
      <c r="G500" s="2">
        <f t="shared" si="1"/>
        <v>25</v>
      </c>
    </row>
    <row r="501" ht="15.75" customHeight="1">
      <c r="A501" s="1">
        <f>IFERROR(__xludf.DUMMYFUNCTION("""COMPUTED_VALUE"""),44578.66666666667)</f>
        <v>44578.66667</v>
      </c>
      <c r="B501" s="2">
        <f>IFERROR(__xludf.DUMMYFUNCTION("""COMPUTED_VALUE"""),1340.0)</f>
        <v>1340</v>
      </c>
      <c r="C501" s="2">
        <f>IFERROR(__xludf.DUMMYFUNCTION("""COMPUTED_VALUE"""),1345.0)</f>
        <v>1345</v>
      </c>
      <c r="D501" s="2">
        <f>IFERROR(__xludf.DUMMYFUNCTION("""COMPUTED_VALUE"""),1285.0)</f>
        <v>1285</v>
      </c>
      <c r="E501" s="2">
        <f>IFERROR(__xludf.DUMMYFUNCTION("""COMPUTED_VALUE"""),1300.0)</f>
        <v>1300</v>
      </c>
      <c r="F501" s="2">
        <f>IFERROR(__xludf.DUMMYFUNCTION("""COMPUTED_VALUE"""),5.7615E7)</f>
        <v>57615000</v>
      </c>
      <c r="G501" s="2">
        <f t="shared" si="1"/>
        <v>60</v>
      </c>
    </row>
    <row r="502" ht="15.75" customHeight="1">
      <c r="A502" s="1">
        <f>IFERROR(__xludf.DUMMYFUNCTION("""COMPUTED_VALUE"""),44579.66666666667)</f>
        <v>44579.66667</v>
      </c>
      <c r="B502" s="2">
        <f>IFERROR(__xludf.DUMMYFUNCTION("""COMPUTED_VALUE"""),1300.0)</f>
        <v>1300</v>
      </c>
      <c r="C502" s="2">
        <f>IFERROR(__xludf.DUMMYFUNCTION("""COMPUTED_VALUE"""),1315.0)</f>
        <v>1315</v>
      </c>
      <c r="D502" s="2">
        <f>IFERROR(__xludf.DUMMYFUNCTION("""COMPUTED_VALUE"""),1265.0)</f>
        <v>1265</v>
      </c>
      <c r="E502" s="2">
        <f>IFERROR(__xludf.DUMMYFUNCTION("""COMPUTED_VALUE"""),1280.0)</f>
        <v>1280</v>
      </c>
      <c r="F502" s="2">
        <f>IFERROR(__xludf.DUMMYFUNCTION("""COMPUTED_VALUE"""),6.84224E7)</f>
        <v>68422400</v>
      </c>
      <c r="G502" s="2">
        <f t="shared" si="1"/>
        <v>50</v>
      </c>
    </row>
    <row r="503" ht="15.75" customHeight="1">
      <c r="A503" s="1">
        <f>IFERROR(__xludf.DUMMYFUNCTION("""COMPUTED_VALUE"""),44580.66666666667)</f>
        <v>44580.66667</v>
      </c>
      <c r="B503" s="2">
        <f>IFERROR(__xludf.DUMMYFUNCTION("""COMPUTED_VALUE"""),1270.0)</f>
        <v>1270</v>
      </c>
      <c r="C503" s="2">
        <f>IFERROR(__xludf.DUMMYFUNCTION("""COMPUTED_VALUE"""),1295.0)</f>
        <v>1295</v>
      </c>
      <c r="D503" s="2">
        <f>IFERROR(__xludf.DUMMYFUNCTION("""COMPUTED_VALUE"""),1260.0)</f>
        <v>1260</v>
      </c>
      <c r="E503" s="2">
        <f>IFERROR(__xludf.DUMMYFUNCTION("""COMPUTED_VALUE"""),1275.0)</f>
        <v>1275</v>
      </c>
      <c r="F503" s="2">
        <f>IFERROR(__xludf.DUMMYFUNCTION("""COMPUTED_VALUE"""),3.20216E7)</f>
        <v>32021600</v>
      </c>
      <c r="G503" s="2">
        <f t="shared" si="1"/>
        <v>35</v>
      </c>
    </row>
    <row r="504" ht="15.75" customHeight="1">
      <c r="A504" s="1">
        <f>IFERROR(__xludf.DUMMYFUNCTION("""COMPUTED_VALUE"""),44581.66666666667)</f>
        <v>44581.66667</v>
      </c>
      <c r="B504" s="2">
        <f>IFERROR(__xludf.DUMMYFUNCTION("""COMPUTED_VALUE"""),1280.0)</f>
        <v>1280</v>
      </c>
      <c r="C504" s="2">
        <f>IFERROR(__xludf.DUMMYFUNCTION("""COMPUTED_VALUE"""),1325.0)</f>
        <v>1325</v>
      </c>
      <c r="D504" s="2">
        <f>IFERROR(__xludf.DUMMYFUNCTION("""COMPUTED_VALUE"""),1280.0)</f>
        <v>1280</v>
      </c>
      <c r="E504" s="2">
        <f>IFERROR(__xludf.DUMMYFUNCTION("""COMPUTED_VALUE"""),1305.0)</f>
        <v>1305</v>
      </c>
      <c r="F504" s="2">
        <f>IFERROR(__xludf.DUMMYFUNCTION("""COMPUTED_VALUE"""),8.86367E7)</f>
        <v>88636700</v>
      </c>
      <c r="G504" s="2">
        <f t="shared" si="1"/>
        <v>50</v>
      </c>
    </row>
    <row r="505" ht="15.75" customHeight="1">
      <c r="A505" s="1">
        <f>IFERROR(__xludf.DUMMYFUNCTION("""COMPUTED_VALUE"""),44582.66666666667)</f>
        <v>44582.66667</v>
      </c>
      <c r="B505" s="2">
        <f>IFERROR(__xludf.DUMMYFUNCTION("""COMPUTED_VALUE"""),1300.0)</f>
        <v>1300</v>
      </c>
      <c r="C505" s="2">
        <f>IFERROR(__xludf.DUMMYFUNCTION("""COMPUTED_VALUE"""),1340.0)</f>
        <v>1340</v>
      </c>
      <c r="D505" s="2">
        <f>IFERROR(__xludf.DUMMYFUNCTION("""COMPUTED_VALUE"""),1295.0)</f>
        <v>1295</v>
      </c>
      <c r="E505" s="2">
        <f>IFERROR(__xludf.DUMMYFUNCTION("""COMPUTED_VALUE"""),1340.0)</f>
        <v>1340</v>
      </c>
      <c r="F505" s="2">
        <f>IFERROR(__xludf.DUMMYFUNCTION("""COMPUTED_VALUE"""),5.44964E7)</f>
        <v>54496400</v>
      </c>
      <c r="G505" s="2">
        <f t="shared" si="1"/>
        <v>45</v>
      </c>
    </row>
    <row r="506" ht="15.75" customHeight="1">
      <c r="A506" s="1">
        <f>IFERROR(__xludf.DUMMYFUNCTION("""COMPUTED_VALUE"""),44585.66666666667)</f>
        <v>44585.66667</v>
      </c>
      <c r="B506" s="2">
        <f>IFERROR(__xludf.DUMMYFUNCTION("""COMPUTED_VALUE"""),1340.0)</f>
        <v>1340</v>
      </c>
      <c r="C506" s="2">
        <f>IFERROR(__xludf.DUMMYFUNCTION("""COMPUTED_VALUE"""),1355.0)</f>
        <v>1355</v>
      </c>
      <c r="D506" s="2">
        <f>IFERROR(__xludf.DUMMYFUNCTION("""COMPUTED_VALUE"""),1305.0)</f>
        <v>1305</v>
      </c>
      <c r="E506" s="2">
        <f>IFERROR(__xludf.DUMMYFUNCTION("""COMPUTED_VALUE"""),1305.0)</f>
        <v>1305</v>
      </c>
      <c r="F506" s="2">
        <f>IFERROR(__xludf.DUMMYFUNCTION("""COMPUTED_VALUE"""),4.67854E7)</f>
        <v>46785400</v>
      </c>
      <c r="G506" s="2">
        <f t="shared" si="1"/>
        <v>50</v>
      </c>
    </row>
    <row r="507" ht="15.75" customHeight="1">
      <c r="A507" s="1">
        <f>IFERROR(__xludf.DUMMYFUNCTION("""COMPUTED_VALUE"""),44586.66666666667)</f>
        <v>44586.66667</v>
      </c>
      <c r="B507" s="2">
        <f>IFERROR(__xludf.DUMMYFUNCTION("""COMPUTED_VALUE"""),1295.0)</f>
        <v>1295</v>
      </c>
      <c r="C507" s="2">
        <f>IFERROR(__xludf.DUMMYFUNCTION("""COMPUTED_VALUE"""),1305.0)</f>
        <v>1305</v>
      </c>
      <c r="D507" s="2">
        <f>IFERROR(__xludf.DUMMYFUNCTION("""COMPUTED_VALUE"""),1280.0)</f>
        <v>1280</v>
      </c>
      <c r="E507" s="2">
        <f>IFERROR(__xludf.DUMMYFUNCTION("""COMPUTED_VALUE"""),1295.0)</f>
        <v>1295</v>
      </c>
      <c r="F507" s="2">
        <f>IFERROR(__xludf.DUMMYFUNCTION("""COMPUTED_VALUE"""),3.91009E7)</f>
        <v>39100900</v>
      </c>
      <c r="G507" s="2">
        <f t="shared" si="1"/>
        <v>25</v>
      </c>
    </row>
    <row r="508" ht="15.75" customHeight="1">
      <c r="A508" s="1">
        <f>IFERROR(__xludf.DUMMYFUNCTION("""COMPUTED_VALUE"""),44587.66666666667)</f>
        <v>44587.66667</v>
      </c>
      <c r="B508" s="2">
        <f>IFERROR(__xludf.DUMMYFUNCTION("""COMPUTED_VALUE"""),1295.0)</f>
        <v>1295</v>
      </c>
      <c r="C508" s="2">
        <f>IFERROR(__xludf.DUMMYFUNCTION("""COMPUTED_VALUE"""),1355.0)</f>
        <v>1355</v>
      </c>
      <c r="D508" s="2">
        <f>IFERROR(__xludf.DUMMYFUNCTION("""COMPUTED_VALUE"""),1290.0)</f>
        <v>1290</v>
      </c>
      <c r="E508" s="2">
        <f>IFERROR(__xludf.DUMMYFUNCTION("""COMPUTED_VALUE"""),1355.0)</f>
        <v>1355</v>
      </c>
      <c r="F508" s="2">
        <f>IFERROR(__xludf.DUMMYFUNCTION("""COMPUTED_VALUE"""),8.14181E7)</f>
        <v>81418100</v>
      </c>
      <c r="G508" s="2">
        <f t="shared" si="1"/>
        <v>65</v>
      </c>
    </row>
    <row r="509" ht="15.75" customHeight="1">
      <c r="A509" s="1">
        <f>IFERROR(__xludf.DUMMYFUNCTION("""COMPUTED_VALUE"""),44588.66666666667)</f>
        <v>44588.66667</v>
      </c>
      <c r="B509" s="2">
        <f>IFERROR(__xludf.DUMMYFUNCTION("""COMPUTED_VALUE"""),1345.0)</f>
        <v>1345</v>
      </c>
      <c r="C509" s="2">
        <f>IFERROR(__xludf.DUMMYFUNCTION("""COMPUTED_VALUE"""),1365.0)</f>
        <v>1365</v>
      </c>
      <c r="D509" s="2">
        <f>IFERROR(__xludf.DUMMYFUNCTION("""COMPUTED_VALUE"""),1320.0)</f>
        <v>1320</v>
      </c>
      <c r="E509" s="2">
        <f>IFERROR(__xludf.DUMMYFUNCTION("""COMPUTED_VALUE"""),1330.0)</f>
        <v>1330</v>
      </c>
      <c r="F509" s="2">
        <f>IFERROR(__xludf.DUMMYFUNCTION("""COMPUTED_VALUE"""),4.81377E7)</f>
        <v>48137700</v>
      </c>
      <c r="G509" s="2">
        <f t="shared" si="1"/>
        <v>45</v>
      </c>
    </row>
    <row r="510" ht="15.75" customHeight="1">
      <c r="A510" s="1">
        <f>IFERROR(__xludf.DUMMYFUNCTION("""COMPUTED_VALUE"""),44589.66666666667)</f>
        <v>44589.66667</v>
      </c>
      <c r="B510" s="2">
        <f>IFERROR(__xludf.DUMMYFUNCTION("""COMPUTED_VALUE"""),1330.0)</f>
        <v>1330</v>
      </c>
      <c r="C510" s="2">
        <f>IFERROR(__xludf.DUMMYFUNCTION("""COMPUTED_VALUE"""),1385.0)</f>
        <v>1385</v>
      </c>
      <c r="D510" s="2">
        <f>IFERROR(__xludf.DUMMYFUNCTION("""COMPUTED_VALUE"""),1325.0)</f>
        <v>1325</v>
      </c>
      <c r="E510" s="2">
        <f>IFERROR(__xludf.DUMMYFUNCTION("""COMPUTED_VALUE"""),1370.0)</f>
        <v>1370</v>
      </c>
      <c r="F510" s="2">
        <f>IFERROR(__xludf.DUMMYFUNCTION("""COMPUTED_VALUE"""),5.69822E7)</f>
        <v>56982200</v>
      </c>
      <c r="G510" s="2">
        <f t="shared" si="1"/>
        <v>60</v>
      </c>
    </row>
    <row r="511" ht="15.75" customHeight="1">
      <c r="A511" s="1">
        <f>IFERROR(__xludf.DUMMYFUNCTION("""COMPUTED_VALUE"""),44592.66666666667)</f>
        <v>44592.66667</v>
      </c>
      <c r="B511" s="2">
        <f>IFERROR(__xludf.DUMMYFUNCTION("""COMPUTED_VALUE"""),1375.0)</f>
        <v>1375</v>
      </c>
      <c r="C511" s="2">
        <f>IFERROR(__xludf.DUMMYFUNCTION("""COMPUTED_VALUE"""),1400.0)</f>
        <v>1400</v>
      </c>
      <c r="D511" s="2">
        <f>IFERROR(__xludf.DUMMYFUNCTION("""COMPUTED_VALUE"""),1355.0)</f>
        <v>1355</v>
      </c>
      <c r="E511" s="2">
        <f>IFERROR(__xludf.DUMMYFUNCTION("""COMPUTED_VALUE"""),1380.0)</f>
        <v>1380</v>
      </c>
      <c r="F511" s="2">
        <f>IFERROR(__xludf.DUMMYFUNCTION("""COMPUTED_VALUE"""),7.50145E7)</f>
        <v>75014500</v>
      </c>
      <c r="G511" s="2">
        <f t="shared" si="1"/>
        <v>45</v>
      </c>
    </row>
    <row r="512" ht="15.75" customHeight="1">
      <c r="A512" s="1">
        <f>IFERROR(__xludf.DUMMYFUNCTION("""COMPUTED_VALUE"""),44594.66666666667)</f>
        <v>44594.66667</v>
      </c>
      <c r="B512" s="2">
        <f>IFERROR(__xludf.DUMMYFUNCTION("""COMPUTED_VALUE"""),1380.0)</f>
        <v>1380</v>
      </c>
      <c r="C512" s="2">
        <f>IFERROR(__xludf.DUMMYFUNCTION("""COMPUTED_VALUE"""),1385.0)</f>
        <v>1385</v>
      </c>
      <c r="D512" s="2">
        <f>IFERROR(__xludf.DUMMYFUNCTION("""COMPUTED_VALUE"""),1350.0)</f>
        <v>1350</v>
      </c>
      <c r="E512" s="2">
        <f>IFERROR(__xludf.DUMMYFUNCTION("""COMPUTED_VALUE"""),1360.0)</f>
        <v>1360</v>
      </c>
      <c r="F512" s="2">
        <f>IFERROR(__xludf.DUMMYFUNCTION("""COMPUTED_VALUE"""),3.90543E7)</f>
        <v>39054300</v>
      </c>
      <c r="G512" s="2">
        <f t="shared" si="1"/>
        <v>35</v>
      </c>
    </row>
    <row r="513" ht="15.75" customHeight="1">
      <c r="A513" s="1">
        <f>IFERROR(__xludf.DUMMYFUNCTION("""COMPUTED_VALUE"""),44595.66666666667)</f>
        <v>44595.66667</v>
      </c>
      <c r="B513" s="2">
        <f>IFERROR(__xludf.DUMMYFUNCTION("""COMPUTED_VALUE"""),1365.0)</f>
        <v>1365</v>
      </c>
      <c r="C513" s="2">
        <f>IFERROR(__xludf.DUMMYFUNCTION("""COMPUTED_VALUE"""),1385.0)</f>
        <v>1385</v>
      </c>
      <c r="D513" s="2">
        <f>IFERROR(__xludf.DUMMYFUNCTION("""COMPUTED_VALUE"""),1335.0)</f>
        <v>1335</v>
      </c>
      <c r="E513" s="2">
        <f>IFERROR(__xludf.DUMMYFUNCTION("""COMPUTED_VALUE"""),1380.0)</f>
        <v>1380</v>
      </c>
      <c r="F513" s="2">
        <f>IFERROR(__xludf.DUMMYFUNCTION("""COMPUTED_VALUE"""),7.10792E7)</f>
        <v>71079200</v>
      </c>
      <c r="G513" s="2">
        <f t="shared" si="1"/>
        <v>50</v>
      </c>
    </row>
    <row r="514" ht="15.75" customHeight="1">
      <c r="A514" s="1">
        <f>IFERROR(__xludf.DUMMYFUNCTION("""COMPUTED_VALUE"""),44596.66666666667)</f>
        <v>44596.66667</v>
      </c>
      <c r="B514" s="2">
        <f>IFERROR(__xludf.DUMMYFUNCTION("""COMPUTED_VALUE"""),1370.0)</f>
        <v>1370</v>
      </c>
      <c r="C514" s="2">
        <f>IFERROR(__xludf.DUMMYFUNCTION("""COMPUTED_VALUE"""),1375.0)</f>
        <v>1375</v>
      </c>
      <c r="D514" s="2">
        <f>IFERROR(__xludf.DUMMYFUNCTION("""COMPUTED_VALUE"""),1360.0)</f>
        <v>1360</v>
      </c>
      <c r="E514" s="2">
        <f>IFERROR(__xludf.DUMMYFUNCTION("""COMPUTED_VALUE"""),1370.0)</f>
        <v>1370</v>
      </c>
      <c r="F514" s="2">
        <f>IFERROR(__xludf.DUMMYFUNCTION("""COMPUTED_VALUE"""),2.66504E7)</f>
        <v>26650400</v>
      </c>
      <c r="G514" s="2">
        <f t="shared" si="1"/>
        <v>20</v>
      </c>
    </row>
    <row r="515" ht="15.75" customHeight="1">
      <c r="A515" s="1">
        <f>IFERROR(__xludf.DUMMYFUNCTION("""COMPUTED_VALUE"""),44599.66666666667)</f>
        <v>44599.66667</v>
      </c>
      <c r="B515" s="2">
        <f>IFERROR(__xludf.DUMMYFUNCTION("""COMPUTED_VALUE"""),1370.0)</f>
        <v>1370</v>
      </c>
      <c r="C515" s="2">
        <f>IFERROR(__xludf.DUMMYFUNCTION("""COMPUTED_VALUE"""),1410.0)</f>
        <v>1410</v>
      </c>
      <c r="D515" s="2">
        <f>IFERROR(__xludf.DUMMYFUNCTION("""COMPUTED_VALUE"""),1370.0)</f>
        <v>1370</v>
      </c>
      <c r="E515" s="2">
        <f>IFERROR(__xludf.DUMMYFUNCTION("""COMPUTED_VALUE"""),1385.0)</f>
        <v>1385</v>
      </c>
      <c r="F515" s="2">
        <f>IFERROR(__xludf.DUMMYFUNCTION("""COMPUTED_VALUE"""),8.48718E7)</f>
        <v>84871800</v>
      </c>
      <c r="G515" s="2">
        <f t="shared" si="1"/>
        <v>40</v>
      </c>
    </row>
    <row r="516" ht="15.75" customHeight="1">
      <c r="A516" s="1">
        <f>IFERROR(__xludf.DUMMYFUNCTION("""COMPUTED_VALUE"""),44600.66666666667)</f>
        <v>44600.66667</v>
      </c>
      <c r="B516" s="2">
        <f>IFERROR(__xludf.DUMMYFUNCTION("""COMPUTED_VALUE"""),1385.0)</f>
        <v>1385</v>
      </c>
      <c r="C516" s="2">
        <f>IFERROR(__xludf.DUMMYFUNCTION("""COMPUTED_VALUE"""),1425.0)</f>
        <v>1425</v>
      </c>
      <c r="D516" s="2">
        <f>IFERROR(__xludf.DUMMYFUNCTION("""COMPUTED_VALUE"""),1385.0)</f>
        <v>1385</v>
      </c>
      <c r="E516" s="2">
        <f>IFERROR(__xludf.DUMMYFUNCTION("""COMPUTED_VALUE"""),1410.0)</f>
        <v>1410</v>
      </c>
      <c r="F516" s="2">
        <f>IFERROR(__xludf.DUMMYFUNCTION("""COMPUTED_VALUE"""),1.032693E8)</f>
        <v>103269300</v>
      </c>
      <c r="G516" s="2">
        <f t="shared" si="1"/>
        <v>40</v>
      </c>
    </row>
    <row r="517" ht="15.75" customHeight="1">
      <c r="A517" s="1">
        <f>IFERROR(__xludf.DUMMYFUNCTION("""COMPUTED_VALUE"""),44601.66666666667)</f>
        <v>44601.66667</v>
      </c>
      <c r="B517" s="2">
        <f>IFERROR(__xludf.DUMMYFUNCTION("""COMPUTED_VALUE"""),1415.0)</f>
        <v>1415</v>
      </c>
      <c r="C517" s="2">
        <f>IFERROR(__xludf.DUMMYFUNCTION("""COMPUTED_VALUE"""),1420.0)</f>
        <v>1420</v>
      </c>
      <c r="D517" s="2">
        <f>IFERROR(__xludf.DUMMYFUNCTION("""COMPUTED_VALUE"""),1395.0)</f>
        <v>1395</v>
      </c>
      <c r="E517" s="2">
        <f>IFERROR(__xludf.DUMMYFUNCTION("""COMPUTED_VALUE"""),1410.0)</f>
        <v>1410</v>
      </c>
      <c r="F517" s="2">
        <f>IFERROR(__xludf.DUMMYFUNCTION("""COMPUTED_VALUE"""),6.10343E7)</f>
        <v>61034300</v>
      </c>
      <c r="G517" s="2">
        <f t="shared" si="1"/>
        <v>25</v>
      </c>
    </row>
    <row r="518" ht="15.75" customHeight="1">
      <c r="A518" s="1">
        <f>IFERROR(__xludf.DUMMYFUNCTION("""COMPUTED_VALUE"""),44602.66666666667)</f>
        <v>44602.66667</v>
      </c>
      <c r="B518" s="2">
        <f>IFERROR(__xludf.DUMMYFUNCTION("""COMPUTED_VALUE"""),1410.0)</f>
        <v>1410</v>
      </c>
      <c r="C518" s="2">
        <f>IFERROR(__xludf.DUMMYFUNCTION("""COMPUTED_VALUE"""),1430.0)</f>
        <v>1430</v>
      </c>
      <c r="D518" s="2">
        <f>IFERROR(__xludf.DUMMYFUNCTION("""COMPUTED_VALUE"""),1375.0)</f>
        <v>1375</v>
      </c>
      <c r="E518" s="2">
        <f>IFERROR(__xludf.DUMMYFUNCTION("""COMPUTED_VALUE"""),1380.0)</f>
        <v>1380</v>
      </c>
      <c r="F518" s="2">
        <f>IFERROR(__xludf.DUMMYFUNCTION("""COMPUTED_VALUE"""),5.48378E7)</f>
        <v>54837800</v>
      </c>
      <c r="G518" s="2">
        <f t="shared" si="1"/>
        <v>55</v>
      </c>
    </row>
    <row r="519" ht="15.75" customHeight="1">
      <c r="A519" s="1">
        <f>IFERROR(__xludf.DUMMYFUNCTION("""COMPUTED_VALUE"""),44603.66666666667)</f>
        <v>44603.66667</v>
      </c>
      <c r="B519" s="2">
        <f>IFERROR(__xludf.DUMMYFUNCTION("""COMPUTED_VALUE"""),1380.0)</f>
        <v>1380</v>
      </c>
      <c r="C519" s="2">
        <f>IFERROR(__xludf.DUMMYFUNCTION("""COMPUTED_VALUE"""),1390.0)</f>
        <v>1390</v>
      </c>
      <c r="D519" s="2">
        <f>IFERROR(__xludf.DUMMYFUNCTION("""COMPUTED_VALUE"""),1370.0)</f>
        <v>1370</v>
      </c>
      <c r="E519" s="2">
        <f>IFERROR(__xludf.DUMMYFUNCTION("""COMPUTED_VALUE"""),1375.0)</f>
        <v>1375</v>
      </c>
      <c r="F519" s="2">
        <f>IFERROR(__xludf.DUMMYFUNCTION("""COMPUTED_VALUE"""),2.65166E7)</f>
        <v>26516600</v>
      </c>
      <c r="G519" s="2">
        <f t="shared" si="1"/>
        <v>20</v>
      </c>
    </row>
    <row r="520" ht="15.75" customHeight="1">
      <c r="A520" s="1">
        <f>IFERROR(__xludf.DUMMYFUNCTION("""COMPUTED_VALUE"""),44606.66666666667)</f>
        <v>44606.66667</v>
      </c>
      <c r="B520" s="2">
        <f>IFERROR(__xludf.DUMMYFUNCTION("""COMPUTED_VALUE"""),1375.0)</f>
        <v>1375</v>
      </c>
      <c r="C520" s="2">
        <f>IFERROR(__xludf.DUMMYFUNCTION("""COMPUTED_VALUE"""),1410.0)</f>
        <v>1410</v>
      </c>
      <c r="D520" s="2">
        <f>IFERROR(__xludf.DUMMYFUNCTION("""COMPUTED_VALUE"""),1365.0)</f>
        <v>1365</v>
      </c>
      <c r="E520" s="2">
        <f>IFERROR(__xludf.DUMMYFUNCTION("""COMPUTED_VALUE"""),1405.0)</f>
        <v>1405</v>
      </c>
      <c r="F520" s="2">
        <f>IFERROR(__xludf.DUMMYFUNCTION("""COMPUTED_VALUE"""),8.12827E7)</f>
        <v>81282700</v>
      </c>
      <c r="G520" s="2">
        <f t="shared" si="1"/>
        <v>45</v>
      </c>
    </row>
    <row r="521" ht="15.75" customHeight="1">
      <c r="A521" s="1">
        <f>IFERROR(__xludf.DUMMYFUNCTION("""COMPUTED_VALUE"""),44607.66666666667)</f>
        <v>44607.66667</v>
      </c>
      <c r="B521" s="2">
        <f>IFERROR(__xludf.DUMMYFUNCTION("""COMPUTED_VALUE"""),1405.0)</f>
        <v>1405</v>
      </c>
      <c r="C521" s="2">
        <f>IFERROR(__xludf.DUMMYFUNCTION("""COMPUTED_VALUE"""),1425.0)</f>
        <v>1425</v>
      </c>
      <c r="D521" s="2">
        <f>IFERROR(__xludf.DUMMYFUNCTION("""COMPUTED_VALUE"""),1405.0)</f>
        <v>1405</v>
      </c>
      <c r="E521" s="2">
        <f>IFERROR(__xludf.DUMMYFUNCTION("""COMPUTED_VALUE"""),1420.0)</f>
        <v>1420</v>
      </c>
      <c r="F521" s="2">
        <f>IFERROR(__xludf.DUMMYFUNCTION("""COMPUTED_VALUE"""),5.57507E7)</f>
        <v>55750700</v>
      </c>
      <c r="G521" s="2">
        <f t="shared" si="1"/>
        <v>20</v>
      </c>
    </row>
    <row r="522" ht="15.75" customHeight="1">
      <c r="A522" s="1">
        <f>IFERROR(__xludf.DUMMYFUNCTION("""COMPUTED_VALUE"""),44608.66666666667)</f>
        <v>44608.66667</v>
      </c>
      <c r="B522" s="2">
        <f>IFERROR(__xludf.DUMMYFUNCTION("""COMPUTED_VALUE"""),1420.0)</f>
        <v>1420</v>
      </c>
      <c r="C522" s="2">
        <f>IFERROR(__xludf.DUMMYFUNCTION("""COMPUTED_VALUE"""),1460.0)</f>
        <v>1460</v>
      </c>
      <c r="D522" s="2">
        <f>IFERROR(__xludf.DUMMYFUNCTION("""COMPUTED_VALUE"""),1420.0)</f>
        <v>1420</v>
      </c>
      <c r="E522" s="2">
        <f>IFERROR(__xludf.DUMMYFUNCTION("""COMPUTED_VALUE"""),1450.0)</f>
        <v>1450</v>
      </c>
      <c r="F522" s="2">
        <f>IFERROR(__xludf.DUMMYFUNCTION("""COMPUTED_VALUE"""),8.57003E7)</f>
        <v>85700300</v>
      </c>
      <c r="G522" s="2">
        <f t="shared" si="1"/>
        <v>40</v>
      </c>
    </row>
    <row r="523" ht="15.75" customHeight="1">
      <c r="A523" s="1">
        <f>IFERROR(__xludf.DUMMYFUNCTION("""COMPUTED_VALUE"""),44609.66666666667)</f>
        <v>44609.66667</v>
      </c>
      <c r="B523" s="2">
        <f>IFERROR(__xludf.DUMMYFUNCTION("""COMPUTED_VALUE"""),1450.0)</f>
        <v>1450</v>
      </c>
      <c r="C523" s="2">
        <f>IFERROR(__xludf.DUMMYFUNCTION("""COMPUTED_VALUE"""),1465.0)</f>
        <v>1465</v>
      </c>
      <c r="D523" s="2">
        <f>IFERROR(__xludf.DUMMYFUNCTION("""COMPUTED_VALUE"""),1420.0)</f>
        <v>1420</v>
      </c>
      <c r="E523" s="2">
        <f>IFERROR(__xludf.DUMMYFUNCTION("""COMPUTED_VALUE"""),1440.0)</f>
        <v>1440</v>
      </c>
      <c r="F523" s="2">
        <f>IFERROR(__xludf.DUMMYFUNCTION("""COMPUTED_VALUE"""),6.66373E7)</f>
        <v>66637300</v>
      </c>
      <c r="G523" s="2">
        <f t="shared" si="1"/>
        <v>45</v>
      </c>
    </row>
    <row r="524" ht="15.75" customHeight="1">
      <c r="A524" s="1">
        <f>IFERROR(__xludf.DUMMYFUNCTION("""COMPUTED_VALUE"""),44610.66666666667)</f>
        <v>44610.66667</v>
      </c>
      <c r="B524" s="2">
        <f>IFERROR(__xludf.DUMMYFUNCTION("""COMPUTED_VALUE"""),1430.0)</f>
        <v>1430</v>
      </c>
      <c r="C524" s="2">
        <f>IFERROR(__xludf.DUMMYFUNCTION("""COMPUTED_VALUE"""),1480.0)</f>
        <v>1480</v>
      </c>
      <c r="D524" s="2">
        <f>IFERROR(__xludf.DUMMYFUNCTION("""COMPUTED_VALUE"""),1425.0)</f>
        <v>1425</v>
      </c>
      <c r="E524" s="2">
        <f>IFERROR(__xludf.DUMMYFUNCTION("""COMPUTED_VALUE"""),1460.0)</f>
        <v>1460</v>
      </c>
      <c r="F524" s="2">
        <f>IFERROR(__xludf.DUMMYFUNCTION("""COMPUTED_VALUE"""),7.92182E7)</f>
        <v>79218200</v>
      </c>
      <c r="G524" s="2">
        <f t="shared" si="1"/>
        <v>55</v>
      </c>
    </row>
    <row r="525" ht="15.75" customHeight="1">
      <c r="A525" s="1">
        <f>IFERROR(__xludf.DUMMYFUNCTION("""COMPUTED_VALUE"""),44613.66666666667)</f>
        <v>44613.66667</v>
      </c>
      <c r="B525" s="2">
        <f>IFERROR(__xludf.DUMMYFUNCTION("""COMPUTED_VALUE"""),1460.0)</f>
        <v>1460</v>
      </c>
      <c r="C525" s="2">
        <f>IFERROR(__xludf.DUMMYFUNCTION("""COMPUTED_VALUE"""),1465.0)</f>
        <v>1465</v>
      </c>
      <c r="D525" s="2">
        <f>IFERROR(__xludf.DUMMYFUNCTION("""COMPUTED_VALUE"""),1435.0)</f>
        <v>1435</v>
      </c>
      <c r="E525" s="2">
        <f>IFERROR(__xludf.DUMMYFUNCTION("""COMPUTED_VALUE"""),1450.0)</f>
        <v>1450</v>
      </c>
      <c r="F525" s="2">
        <f>IFERROR(__xludf.DUMMYFUNCTION("""COMPUTED_VALUE"""),4.22208E7)</f>
        <v>42220800</v>
      </c>
      <c r="G525" s="2">
        <f t="shared" si="1"/>
        <v>30</v>
      </c>
    </row>
    <row r="526" ht="15.75" customHeight="1">
      <c r="A526" s="1">
        <f>IFERROR(__xludf.DUMMYFUNCTION("""COMPUTED_VALUE"""),44614.66666666667)</f>
        <v>44614.66667</v>
      </c>
      <c r="B526" s="2">
        <f>IFERROR(__xludf.DUMMYFUNCTION("""COMPUTED_VALUE"""),1445.0)</f>
        <v>1445</v>
      </c>
      <c r="C526" s="2">
        <f>IFERROR(__xludf.DUMMYFUNCTION("""COMPUTED_VALUE"""),1450.0)</f>
        <v>1450</v>
      </c>
      <c r="D526" s="2">
        <f>IFERROR(__xludf.DUMMYFUNCTION("""COMPUTED_VALUE"""),1400.0)</f>
        <v>1400</v>
      </c>
      <c r="E526" s="2">
        <f>IFERROR(__xludf.DUMMYFUNCTION("""COMPUTED_VALUE"""),1405.0)</f>
        <v>1405</v>
      </c>
      <c r="F526" s="2">
        <f>IFERROR(__xludf.DUMMYFUNCTION("""COMPUTED_VALUE"""),8.9437E7)</f>
        <v>89437000</v>
      </c>
      <c r="G526" s="2">
        <f t="shared" si="1"/>
        <v>50</v>
      </c>
    </row>
    <row r="527" ht="15.75" customHeight="1">
      <c r="A527" s="1">
        <f>IFERROR(__xludf.DUMMYFUNCTION("""COMPUTED_VALUE"""),44615.66666666667)</f>
        <v>44615.66667</v>
      </c>
      <c r="B527" s="2">
        <f>IFERROR(__xludf.DUMMYFUNCTION("""COMPUTED_VALUE"""),1410.0)</f>
        <v>1410</v>
      </c>
      <c r="C527" s="2">
        <f>IFERROR(__xludf.DUMMYFUNCTION("""COMPUTED_VALUE"""),1415.0)</f>
        <v>1415</v>
      </c>
      <c r="D527" s="2">
        <f>IFERROR(__xludf.DUMMYFUNCTION("""COMPUTED_VALUE"""),1390.0)</f>
        <v>1390</v>
      </c>
      <c r="E527" s="2">
        <f>IFERROR(__xludf.DUMMYFUNCTION("""COMPUTED_VALUE"""),1405.0)</f>
        <v>1405</v>
      </c>
      <c r="F527" s="2">
        <f>IFERROR(__xludf.DUMMYFUNCTION("""COMPUTED_VALUE"""),6.05378E7)</f>
        <v>60537800</v>
      </c>
      <c r="G527" s="2">
        <f t="shared" si="1"/>
        <v>25</v>
      </c>
    </row>
    <row r="528" ht="15.75" customHeight="1">
      <c r="A528" s="1">
        <f>IFERROR(__xludf.DUMMYFUNCTION("""COMPUTED_VALUE"""),44616.66666666667)</f>
        <v>44616.66667</v>
      </c>
      <c r="B528" s="2">
        <f>IFERROR(__xludf.DUMMYFUNCTION("""COMPUTED_VALUE"""),1400.0)</f>
        <v>1400</v>
      </c>
      <c r="C528" s="2">
        <f>IFERROR(__xludf.DUMMYFUNCTION("""COMPUTED_VALUE"""),1440.0)</f>
        <v>1440</v>
      </c>
      <c r="D528" s="2">
        <f>IFERROR(__xludf.DUMMYFUNCTION("""COMPUTED_VALUE"""),1370.0)</f>
        <v>1370</v>
      </c>
      <c r="E528" s="2">
        <f>IFERROR(__xludf.DUMMYFUNCTION("""COMPUTED_VALUE"""),1440.0)</f>
        <v>1440</v>
      </c>
      <c r="F528" s="2">
        <f>IFERROR(__xludf.DUMMYFUNCTION("""COMPUTED_VALUE"""),2.180026E8)</f>
        <v>218002600</v>
      </c>
      <c r="G528" s="2">
        <f t="shared" si="1"/>
        <v>70</v>
      </c>
    </row>
    <row r="529" ht="15.75" customHeight="1">
      <c r="A529" s="1">
        <f>IFERROR(__xludf.DUMMYFUNCTION("""COMPUTED_VALUE"""),44617.66666666667)</f>
        <v>44617.66667</v>
      </c>
      <c r="B529" s="2">
        <f>IFERROR(__xludf.DUMMYFUNCTION("""COMPUTED_VALUE"""),1450.0)</f>
        <v>1450</v>
      </c>
      <c r="C529" s="2">
        <f>IFERROR(__xludf.DUMMYFUNCTION("""COMPUTED_VALUE"""),1465.0)</f>
        <v>1465</v>
      </c>
      <c r="D529" s="2">
        <f>IFERROR(__xludf.DUMMYFUNCTION("""COMPUTED_VALUE"""),1425.0)</f>
        <v>1425</v>
      </c>
      <c r="E529" s="2">
        <f>IFERROR(__xludf.DUMMYFUNCTION("""COMPUTED_VALUE"""),1440.0)</f>
        <v>1440</v>
      </c>
      <c r="F529" s="2">
        <f>IFERROR(__xludf.DUMMYFUNCTION("""COMPUTED_VALUE"""),1.031527E8)</f>
        <v>103152700</v>
      </c>
      <c r="G529" s="2">
        <f t="shared" si="1"/>
        <v>40</v>
      </c>
    </row>
    <row r="530" ht="15.75" customHeight="1">
      <c r="A530" s="1">
        <f>IFERROR(__xludf.DUMMYFUNCTION("""COMPUTED_VALUE"""),44621.66666666667)</f>
        <v>44621.66667</v>
      </c>
      <c r="B530" s="2">
        <f>IFERROR(__xludf.DUMMYFUNCTION("""COMPUTED_VALUE"""),1460.0)</f>
        <v>1460</v>
      </c>
      <c r="C530" s="2">
        <f>IFERROR(__xludf.DUMMYFUNCTION("""COMPUTED_VALUE"""),1480.0)</f>
        <v>1480</v>
      </c>
      <c r="D530" s="2">
        <f>IFERROR(__xludf.DUMMYFUNCTION("""COMPUTED_VALUE"""),1450.0)</f>
        <v>1450</v>
      </c>
      <c r="E530" s="2">
        <f>IFERROR(__xludf.DUMMYFUNCTION("""COMPUTED_VALUE"""),1475.0)</f>
        <v>1475</v>
      </c>
      <c r="F530" s="2">
        <f>IFERROR(__xludf.DUMMYFUNCTION("""COMPUTED_VALUE"""),1.117511E8)</f>
        <v>111751100</v>
      </c>
      <c r="G530" s="2">
        <f t="shared" si="1"/>
        <v>40</v>
      </c>
    </row>
    <row r="531" ht="15.75" customHeight="1">
      <c r="A531" s="1">
        <f>IFERROR(__xludf.DUMMYFUNCTION("""COMPUTED_VALUE"""),44622.66666666667)</f>
        <v>44622.66667</v>
      </c>
      <c r="B531" s="2">
        <f>IFERROR(__xludf.DUMMYFUNCTION("""COMPUTED_VALUE"""),1495.0)</f>
        <v>1495</v>
      </c>
      <c r="C531" s="2">
        <f>IFERROR(__xludf.DUMMYFUNCTION("""COMPUTED_VALUE"""),1505.0)</f>
        <v>1505</v>
      </c>
      <c r="D531" s="2">
        <f>IFERROR(__xludf.DUMMYFUNCTION("""COMPUTED_VALUE"""),1465.0)</f>
        <v>1465</v>
      </c>
      <c r="E531" s="2">
        <f>IFERROR(__xludf.DUMMYFUNCTION("""COMPUTED_VALUE"""),1475.0)</f>
        <v>1475</v>
      </c>
      <c r="F531" s="2">
        <f>IFERROR(__xludf.DUMMYFUNCTION("""COMPUTED_VALUE"""),1.205762E8)</f>
        <v>120576200</v>
      </c>
      <c r="G531" s="2">
        <f t="shared" si="1"/>
        <v>40</v>
      </c>
    </row>
    <row r="532" ht="15.75" customHeight="1">
      <c r="A532" s="1">
        <f>IFERROR(__xludf.DUMMYFUNCTION("""COMPUTED_VALUE"""),44624.66666666667)</f>
        <v>44624.66667</v>
      </c>
      <c r="B532" s="2">
        <f>IFERROR(__xludf.DUMMYFUNCTION("""COMPUTED_VALUE"""),1475.0)</f>
        <v>1475</v>
      </c>
      <c r="C532" s="2">
        <f>IFERROR(__xludf.DUMMYFUNCTION("""COMPUTED_VALUE"""),1575.0)</f>
        <v>1575</v>
      </c>
      <c r="D532" s="2">
        <f>IFERROR(__xludf.DUMMYFUNCTION("""COMPUTED_VALUE"""),1475.0)</f>
        <v>1475</v>
      </c>
      <c r="E532" s="2">
        <f>IFERROR(__xludf.DUMMYFUNCTION("""COMPUTED_VALUE"""),1565.0)</f>
        <v>1565</v>
      </c>
      <c r="F532" s="2">
        <f>IFERROR(__xludf.DUMMYFUNCTION("""COMPUTED_VALUE"""),2.725485E8)</f>
        <v>272548500</v>
      </c>
      <c r="G532" s="2">
        <f t="shared" si="1"/>
        <v>100</v>
      </c>
    </row>
    <row r="533" ht="15.75" customHeight="1">
      <c r="A533" s="1">
        <f>IFERROR(__xludf.DUMMYFUNCTION("""COMPUTED_VALUE"""),44627.66666666667)</f>
        <v>44627.66667</v>
      </c>
      <c r="B533" s="2">
        <f>IFERROR(__xludf.DUMMYFUNCTION("""COMPUTED_VALUE"""),1590.0)</f>
        <v>1590</v>
      </c>
      <c r="C533" s="2">
        <f>IFERROR(__xludf.DUMMYFUNCTION("""COMPUTED_VALUE"""),1620.0)</f>
        <v>1620</v>
      </c>
      <c r="D533" s="2">
        <f>IFERROR(__xludf.DUMMYFUNCTION("""COMPUTED_VALUE"""),1535.0)</f>
        <v>1535</v>
      </c>
      <c r="E533" s="2">
        <f>IFERROR(__xludf.DUMMYFUNCTION("""COMPUTED_VALUE"""),1595.0)</f>
        <v>1595</v>
      </c>
      <c r="F533" s="2">
        <f>IFERROR(__xludf.DUMMYFUNCTION("""COMPUTED_VALUE"""),3.019729E8)</f>
        <v>301972900</v>
      </c>
      <c r="G533" s="2">
        <f t="shared" si="1"/>
        <v>85</v>
      </c>
    </row>
    <row r="534" ht="15.75" customHeight="1">
      <c r="A534" s="1">
        <f>IFERROR(__xludf.DUMMYFUNCTION("""COMPUTED_VALUE"""),44628.66666666667)</f>
        <v>44628.66667</v>
      </c>
      <c r="B534" s="2">
        <f>IFERROR(__xludf.DUMMYFUNCTION("""COMPUTED_VALUE"""),1600.0)</f>
        <v>1600</v>
      </c>
      <c r="C534" s="2">
        <f>IFERROR(__xludf.DUMMYFUNCTION("""COMPUTED_VALUE"""),1615.0)</f>
        <v>1615</v>
      </c>
      <c r="D534" s="2">
        <f>IFERROR(__xludf.DUMMYFUNCTION("""COMPUTED_VALUE"""),1515.0)</f>
        <v>1515</v>
      </c>
      <c r="E534" s="2">
        <f>IFERROR(__xludf.DUMMYFUNCTION("""COMPUTED_VALUE"""),1525.0)</f>
        <v>1525</v>
      </c>
      <c r="F534" s="2">
        <f>IFERROR(__xludf.DUMMYFUNCTION("""COMPUTED_VALUE"""),1.892522E8)</f>
        <v>189252200</v>
      </c>
      <c r="G534" s="2">
        <f t="shared" si="1"/>
        <v>100</v>
      </c>
    </row>
    <row r="535" ht="15.75" customHeight="1">
      <c r="A535" s="1">
        <f>IFERROR(__xludf.DUMMYFUNCTION("""COMPUTED_VALUE"""),44629.66666666667)</f>
        <v>44629.66667</v>
      </c>
      <c r="B535" s="2">
        <f>IFERROR(__xludf.DUMMYFUNCTION("""COMPUTED_VALUE"""),1530.0)</f>
        <v>1530</v>
      </c>
      <c r="C535" s="2">
        <f>IFERROR(__xludf.DUMMYFUNCTION("""COMPUTED_VALUE"""),1560.0)</f>
        <v>1560</v>
      </c>
      <c r="D535" s="2">
        <f>IFERROR(__xludf.DUMMYFUNCTION("""COMPUTED_VALUE"""),1510.0)</f>
        <v>1510</v>
      </c>
      <c r="E535" s="2">
        <f>IFERROR(__xludf.DUMMYFUNCTION("""COMPUTED_VALUE"""),1545.0)</f>
        <v>1545</v>
      </c>
      <c r="F535" s="2">
        <f>IFERROR(__xludf.DUMMYFUNCTION("""COMPUTED_VALUE"""),1.031426E8)</f>
        <v>103142600</v>
      </c>
      <c r="G535" s="2">
        <f t="shared" si="1"/>
        <v>50</v>
      </c>
    </row>
    <row r="536" ht="15.75" customHeight="1">
      <c r="A536" s="1">
        <f>IFERROR(__xludf.DUMMYFUNCTION("""COMPUTED_VALUE"""),44630.66666666667)</f>
        <v>44630.66667</v>
      </c>
      <c r="B536" s="2">
        <f>IFERROR(__xludf.DUMMYFUNCTION("""COMPUTED_VALUE"""),1540.0)</f>
        <v>1540</v>
      </c>
      <c r="C536" s="2">
        <f>IFERROR(__xludf.DUMMYFUNCTION("""COMPUTED_VALUE"""),1540.0)</f>
        <v>1540</v>
      </c>
      <c r="D536" s="2">
        <f>IFERROR(__xludf.DUMMYFUNCTION("""COMPUTED_VALUE"""),1440.0)</f>
        <v>1440</v>
      </c>
      <c r="E536" s="2">
        <f>IFERROR(__xludf.DUMMYFUNCTION("""COMPUTED_VALUE"""),1440.0)</f>
        <v>1440</v>
      </c>
      <c r="F536" s="2">
        <f>IFERROR(__xludf.DUMMYFUNCTION("""COMPUTED_VALUE"""),1.841286E8)</f>
        <v>184128600</v>
      </c>
      <c r="G536" s="2">
        <f t="shared" si="1"/>
        <v>105</v>
      </c>
    </row>
    <row r="537" ht="15.75" customHeight="1">
      <c r="A537" s="1">
        <f>IFERROR(__xludf.DUMMYFUNCTION("""COMPUTED_VALUE"""),44631.66666666667)</f>
        <v>44631.66667</v>
      </c>
      <c r="B537" s="2">
        <f>IFERROR(__xludf.DUMMYFUNCTION("""COMPUTED_VALUE"""),1420.0)</f>
        <v>1420</v>
      </c>
      <c r="C537" s="2">
        <f>IFERROR(__xludf.DUMMYFUNCTION("""COMPUTED_VALUE"""),1440.0)</f>
        <v>1440</v>
      </c>
      <c r="D537" s="2">
        <f>IFERROR(__xludf.DUMMYFUNCTION("""COMPUTED_VALUE"""),1390.0)</f>
        <v>1390</v>
      </c>
      <c r="E537" s="2">
        <f>IFERROR(__xludf.DUMMYFUNCTION("""COMPUTED_VALUE"""),1405.0)</f>
        <v>1405</v>
      </c>
      <c r="F537" s="2">
        <f>IFERROR(__xludf.DUMMYFUNCTION("""COMPUTED_VALUE"""),1.565171E8)</f>
        <v>156517100</v>
      </c>
      <c r="G537" s="2">
        <f t="shared" si="1"/>
        <v>50</v>
      </c>
    </row>
    <row r="538" ht="15.75" customHeight="1">
      <c r="A538" s="1">
        <f>IFERROR(__xludf.DUMMYFUNCTION("""COMPUTED_VALUE"""),44634.66666666667)</f>
        <v>44634.66667</v>
      </c>
      <c r="B538" s="2">
        <f>IFERROR(__xludf.DUMMYFUNCTION("""COMPUTED_VALUE"""),1410.0)</f>
        <v>1410</v>
      </c>
      <c r="C538" s="2">
        <f>IFERROR(__xludf.DUMMYFUNCTION("""COMPUTED_VALUE"""),1435.0)</f>
        <v>1435</v>
      </c>
      <c r="D538" s="2">
        <f>IFERROR(__xludf.DUMMYFUNCTION("""COMPUTED_VALUE"""),1410.0)</f>
        <v>1410</v>
      </c>
      <c r="E538" s="2">
        <f>IFERROR(__xludf.DUMMYFUNCTION("""COMPUTED_VALUE"""),1430.0)</f>
        <v>1430</v>
      </c>
      <c r="F538" s="2">
        <f>IFERROR(__xludf.DUMMYFUNCTION("""COMPUTED_VALUE"""),8.15734E7)</f>
        <v>81573400</v>
      </c>
      <c r="G538" s="2">
        <f t="shared" si="1"/>
        <v>30</v>
      </c>
    </row>
    <row r="539" ht="15.75" customHeight="1">
      <c r="A539" s="1">
        <f>IFERROR(__xludf.DUMMYFUNCTION("""COMPUTED_VALUE"""),44635.66666666667)</f>
        <v>44635.66667</v>
      </c>
      <c r="B539" s="2">
        <f>IFERROR(__xludf.DUMMYFUNCTION("""COMPUTED_VALUE"""),1420.0)</f>
        <v>1420</v>
      </c>
      <c r="C539" s="2">
        <f>IFERROR(__xludf.DUMMYFUNCTION("""COMPUTED_VALUE"""),1425.0)</f>
        <v>1425</v>
      </c>
      <c r="D539" s="2">
        <f>IFERROR(__xludf.DUMMYFUNCTION("""COMPUTED_VALUE"""),1375.0)</f>
        <v>1375</v>
      </c>
      <c r="E539" s="2">
        <f>IFERROR(__xludf.DUMMYFUNCTION("""COMPUTED_VALUE"""),1385.0)</f>
        <v>1385</v>
      </c>
      <c r="F539" s="2">
        <f>IFERROR(__xludf.DUMMYFUNCTION("""COMPUTED_VALUE"""),1.210937E8)</f>
        <v>121093700</v>
      </c>
      <c r="G539" s="2">
        <f t="shared" si="1"/>
        <v>55</v>
      </c>
    </row>
    <row r="540" ht="15.75" customHeight="1">
      <c r="A540" s="1">
        <f>IFERROR(__xludf.DUMMYFUNCTION("""COMPUTED_VALUE"""),44636.66666666667)</f>
        <v>44636.66667</v>
      </c>
      <c r="B540" s="2">
        <f>IFERROR(__xludf.DUMMYFUNCTION("""COMPUTED_VALUE"""),1390.0)</f>
        <v>1390</v>
      </c>
      <c r="C540" s="2">
        <f>IFERROR(__xludf.DUMMYFUNCTION("""COMPUTED_VALUE"""),1410.0)</f>
        <v>1410</v>
      </c>
      <c r="D540" s="2">
        <f>IFERROR(__xludf.DUMMYFUNCTION("""COMPUTED_VALUE"""),1385.0)</f>
        <v>1385</v>
      </c>
      <c r="E540" s="2">
        <f>IFERROR(__xludf.DUMMYFUNCTION("""COMPUTED_VALUE"""),1395.0)</f>
        <v>1395</v>
      </c>
      <c r="F540" s="2">
        <f>IFERROR(__xludf.DUMMYFUNCTION("""COMPUTED_VALUE"""),9.89189E7)</f>
        <v>98918900</v>
      </c>
      <c r="G540" s="2">
        <f t="shared" si="1"/>
        <v>25</v>
      </c>
    </row>
    <row r="541" ht="15.75" customHeight="1">
      <c r="A541" s="1">
        <f>IFERROR(__xludf.DUMMYFUNCTION("""COMPUTED_VALUE"""),44637.66666666667)</f>
        <v>44637.66667</v>
      </c>
      <c r="B541" s="2">
        <f>IFERROR(__xludf.DUMMYFUNCTION("""COMPUTED_VALUE"""),1410.0)</f>
        <v>1410</v>
      </c>
      <c r="C541" s="2">
        <f>IFERROR(__xludf.DUMMYFUNCTION("""COMPUTED_VALUE"""),1410.0)</f>
        <v>1410</v>
      </c>
      <c r="D541" s="2">
        <f>IFERROR(__xludf.DUMMYFUNCTION("""COMPUTED_VALUE"""),1385.0)</f>
        <v>1385</v>
      </c>
      <c r="E541" s="2">
        <f>IFERROR(__xludf.DUMMYFUNCTION("""COMPUTED_VALUE"""),1390.0)</f>
        <v>1390</v>
      </c>
      <c r="F541" s="2">
        <f>IFERROR(__xludf.DUMMYFUNCTION("""COMPUTED_VALUE"""),5.54288E7)</f>
        <v>55428800</v>
      </c>
      <c r="G541" s="2">
        <f t="shared" si="1"/>
        <v>25</v>
      </c>
    </row>
    <row r="542" ht="15.75" customHeight="1">
      <c r="A542" s="1">
        <f>IFERROR(__xludf.DUMMYFUNCTION("""COMPUTED_VALUE"""),44638.66666666667)</f>
        <v>44638.66667</v>
      </c>
      <c r="B542" s="2">
        <f>IFERROR(__xludf.DUMMYFUNCTION("""COMPUTED_VALUE"""),1400.0)</f>
        <v>1400</v>
      </c>
      <c r="C542" s="2">
        <f>IFERROR(__xludf.DUMMYFUNCTION("""COMPUTED_VALUE"""),1405.0)</f>
        <v>1405</v>
      </c>
      <c r="D542" s="2">
        <f>IFERROR(__xludf.DUMMYFUNCTION("""COMPUTED_VALUE"""),1380.0)</f>
        <v>1380</v>
      </c>
      <c r="E542" s="2">
        <f>IFERROR(__xludf.DUMMYFUNCTION("""COMPUTED_VALUE"""),1380.0)</f>
        <v>1380</v>
      </c>
      <c r="F542" s="2">
        <f>IFERROR(__xludf.DUMMYFUNCTION("""COMPUTED_VALUE"""),9.17499E7)</f>
        <v>91749900</v>
      </c>
      <c r="G542" s="2">
        <f t="shared" si="1"/>
        <v>25</v>
      </c>
    </row>
    <row r="543" ht="15.75" customHeight="1">
      <c r="A543" s="1">
        <f>IFERROR(__xludf.DUMMYFUNCTION("""COMPUTED_VALUE"""),44641.66666666667)</f>
        <v>44641.66667</v>
      </c>
      <c r="B543" s="2">
        <f>IFERROR(__xludf.DUMMYFUNCTION("""COMPUTED_VALUE"""),1390.0)</f>
        <v>1390</v>
      </c>
      <c r="C543" s="2">
        <f>IFERROR(__xludf.DUMMYFUNCTION("""COMPUTED_VALUE"""),1390.0)</f>
        <v>1390</v>
      </c>
      <c r="D543" s="2">
        <f>IFERROR(__xludf.DUMMYFUNCTION("""COMPUTED_VALUE"""),1355.0)</f>
        <v>1355</v>
      </c>
      <c r="E543" s="2">
        <f>IFERROR(__xludf.DUMMYFUNCTION("""COMPUTED_VALUE"""),1365.0)</f>
        <v>1365</v>
      </c>
      <c r="F543" s="2">
        <f>IFERROR(__xludf.DUMMYFUNCTION("""COMPUTED_VALUE"""),6.34279E7)</f>
        <v>63427900</v>
      </c>
      <c r="G543" s="2">
        <f t="shared" si="1"/>
        <v>35</v>
      </c>
    </row>
    <row r="544" ht="15.75" customHeight="1">
      <c r="A544" s="1">
        <f>IFERROR(__xludf.DUMMYFUNCTION("""COMPUTED_VALUE"""),44642.66666666667)</f>
        <v>44642.66667</v>
      </c>
      <c r="B544" s="2">
        <f>IFERROR(__xludf.DUMMYFUNCTION("""COMPUTED_VALUE"""),1365.0)</f>
        <v>1365</v>
      </c>
      <c r="C544" s="2">
        <f>IFERROR(__xludf.DUMMYFUNCTION("""COMPUTED_VALUE"""),1395.0)</f>
        <v>1395</v>
      </c>
      <c r="D544" s="2">
        <f>IFERROR(__xludf.DUMMYFUNCTION("""COMPUTED_VALUE"""),1365.0)</f>
        <v>1365</v>
      </c>
      <c r="E544" s="2">
        <f>IFERROR(__xludf.DUMMYFUNCTION("""COMPUTED_VALUE"""),1380.0)</f>
        <v>1380</v>
      </c>
      <c r="F544" s="2">
        <f>IFERROR(__xludf.DUMMYFUNCTION("""COMPUTED_VALUE"""),6.43495E7)</f>
        <v>64349500</v>
      </c>
      <c r="G544" s="2">
        <f t="shared" si="1"/>
        <v>30</v>
      </c>
    </row>
    <row r="545" ht="15.75" customHeight="1">
      <c r="A545" s="1">
        <f>IFERROR(__xludf.DUMMYFUNCTION("""COMPUTED_VALUE"""),44643.66666666667)</f>
        <v>44643.66667</v>
      </c>
      <c r="B545" s="2">
        <f>IFERROR(__xludf.DUMMYFUNCTION("""COMPUTED_VALUE"""),1390.0)</f>
        <v>1390</v>
      </c>
      <c r="C545" s="2">
        <f>IFERROR(__xludf.DUMMYFUNCTION("""COMPUTED_VALUE"""),1430.0)</f>
        <v>1430</v>
      </c>
      <c r="D545" s="2">
        <f>IFERROR(__xludf.DUMMYFUNCTION("""COMPUTED_VALUE"""),1390.0)</f>
        <v>1390</v>
      </c>
      <c r="E545" s="2">
        <f>IFERROR(__xludf.DUMMYFUNCTION("""COMPUTED_VALUE"""),1425.0)</f>
        <v>1425</v>
      </c>
      <c r="F545" s="2">
        <f>IFERROR(__xludf.DUMMYFUNCTION("""COMPUTED_VALUE"""),1.150913E8)</f>
        <v>115091300</v>
      </c>
      <c r="G545" s="2">
        <f t="shared" si="1"/>
        <v>50</v>
      </c>
    </row>
    <row r="546" ht="15.75" customHeight="1">
      <c r="A546" s="1">
        <f>IFERROR(__xludf.DUMMYFUNCTION("""COMPUTED_VALUE"""),44644.66666666667)</f>
        <v>44644.66667</v>
      </c>
      <c r="B546" s="2">
        <f>IFERROR(__xludf.DUMMYFUNCTION("""COMPUTED_VALUE"""),1435.0)</f>
        <v>1435</v>
      </c>
      <c r="C546" s="2">
        <f>IFERROR(__xludf.DUMMYFUNCTION("""COMPUTED_VALUE"""),1440.0)</f>
        <v>1440</v>
      </c>
      <c r="D546" s="2">
        <f>IFERROR(__xludf.DUMMYFUNCTION("""COMPUTED_VALUE"""),1415.0)</f>
        <v>1415</v>
      </c>
      <c r="E546" s="2">
        <f>IFERROR(__xludf.DUMMYFUNCTION("""COMPUTED_VALUE"""),1430.0)</f>
        <v>1430</v>
      </c>
      <c r="F546" s="2">
        <f>IFERROR(__xludf.DUMMYFUNCTION("""COMPUTED_VALUE"""),6.35897E7)</f>
        <v>63589700</v>
      </c>
      <c r="G546" s="2">
        <f t="shared" si="1"/>
        <v>25</v>
      </c>
    </row>
    <row r="547" ht="15.75" customHeight="1">
      <c r="A547" s="1">
        <f>IFERROR(__xludf.DUMMYFUNCTION("""COMPUTED_VALUE"""),44645.66666666667)</f>
        <v>44645.66667</v>
      </c>
      <c r="B547" s="2">
        <f>IFERROR(__xludf.DUMMYFUNCTION("""COMPUTED_VALUE"""),1435.0)</f>
        <v>1435</v>
      </c>
      <c r="C547" s="2">
        <f>IFERROR(__xludf.DUMMYFUNCTION("""COMPUTED_VALUE"""),1435.0)</f>
        <v>1435</v>
      </c>
      <c r="D547" s="2">
        <f>IFERROR(__xludf.DUMMYFUNCTION("""COMPUTED_VALUE"""),1400.0)</f>
        <v>1400</v>
      </c>
      <c r="E547" s="2">
        <f>IFERROR(__xludf.DUMMYFUNCTION("""COMPUTED_VALUE"""),1415.0)</f>
        <v>1415</v>
      </c>
      <c r="F547" s="2">
        <f>IFERROR(__xludf.DUMMYFUNCTION("""COMPUTED_VALUE"""),6.00257E7)</f>
        <v>60025700</v>
      </c>
      <c r="G547" s="2">
        <f t="shared" si="1"/>
        <v>35</v>
      </c>
    </row>
    <row r="548" ht="15.75" customHeight="1">
      <c r="A548" s="1">
        <f>IFERROR(__xludf.DUMMYFUNCTION("""COMPUTED_VALUE"""),44648.66666666667)</f>
        <v>44648.66667</v>
      </c>
      <c r="B548" s="2">
        <f>IFERROR(__xludf.DUMMYFUNCTION("""COMPUTED_VALUE"""),1415.0)</f>
        <v>1415</v>
      </c>
      <c r="C548" s="2">
        <f>IFERROR(__xludf.DUMMYFUNCTION("""COMPUTED_VALUE"""),1425.0)</f>
        <v>1425</v>
      </c>
      <c r="D548" s="2">
        <f>IFERROR(__xludf.DUMMYFUNCTION("""COMPUTED_VALUE"""),1405.0)</f>
        <v>1405</v>
      </c>
      <c r="E548" s="2">
        <f>IFERROR(__xludf.DUMMYFUNCTION("""COMPUTED_VALUE"""),1415.0)</f>
        <v>1415</v>
      </c>
      <c r="F548" s="2">
        <f>IFERROR(__xludf.DUMMYFUNCTION("""COMPUTED_VALUE"""),4.39394E7)</f>
        <v>43939400</v>
      </c>
      <c r="G548" s="2">
        <f t="shared" si="1"/>
        <v>20</v>
      </c>
    </row>
    <row r="549" ht="15.75" customHeight="1">
      <c r="A549" s="1">
        <f>IFERROR(__xludf.DUMMYFUNCTION("""COMPUTED_VALUE"""),44649.66666666667)</f>
        <v>44649.66667</v>
      </c>
      <c r="B549" s="2">
        <f>IFERROR(__xludf.DUMMYFUNCTION("""COMPUTED_VALUE"""),1415.0)</f>
        <v>1415</v>
      </c>
      <c r="C549" s="2">
        <f>IFERROR(__xludf.DUMMYFUNCTION("""COMPUTED_VALUE"""),1420.0)</f>
        <v>1420</v>
      </c>
      <c r="D549" s="2">
        <f>IFERROR(__xludf.DUMMYFUNCTION("""COMPUTED_VALUE"""),1400.0)</f>
        <v>1400</v>
      </c>
      <c r="E549" s="2">
        <f>IFERROR(__xludf.DUMMYFUNCTION("""COMPUTED_VALUE"""),1405.0)</f>
        <v>1405</v>
      </c>
      <c r="F549" s="2">
        <f>IFERROR(__xludf.DUMMYFUNCTION("""COMPUTED_VALUE"""),4.94627E7)</f>
        <v>49462700</v>
      </c>
      <c r="G549" s="2">
        <f t="shared" si="1"/>
        <v>20</v>
      </c>
    </row>
    <row r="550" ht="15.75" customHeight="1">
      <c r="A550" s="1">
        <f>IFERROR(__xludf.DUMMYFUNCTION("""COMPUTED_VALUE"""),44650.66666666667)</f>
        <v>44650.66667</v>
      </c>
      <c r="B550" s="2">
        <f>IFERROR(__xludf.DUMMYFUNCTION("""COMPUTED_VALUE"""),1415.0)</f>
        <v>1415</v>
      </c>
      <c r="C550" s="2">
        <f>IFERROR(__xludf.DUMMYFUNCTION("""COMPUTED_VALUE"""),1415.0)</f>
        <v>1415</v>
      </c>
      <c r="D550" s="2">
        <f>IFERROR(__xludf.DUMMYFUNCTION("""COMPUTED_VALUE"""),1385.0)</f>
        <v>1385</v>
      </c>
      <c r="E550" s="2">
        <f>IFERROR(__xludf.DUMMYFUNCTION("""COMPUTED_VALUE"""),1395.0)</f>
        <v>1395</v>
      </c>
      <c r="F550" s="2">
        <f>IFERROR(__xludf.DUMMYFUNCTION("""COMPUTED_VALUE"""),5.68028E7)</f>
        <v>56802800</v>
      </c>
      <c r="G550" s="2">
        <f t="shared" si="1"/>
        <v>30</v>
      </c>
    </row>
    <row r="551" ht="15.75" customHeight="1">
      <c r="A551" s="1">
        <f>IFERROR(__xludf.DUMMYFUNCTION("""COMPUTED_VALUE"""),44651.66666666667)</f>
        <v>44651.66667</v>
      </c>
      <c r="B551" s="2">
        <f>IFERROR(__xludf.DUMMYFUNCTION("""COMPUTED_VALUE"""),1395.0)</f>
        <v>1395</v>
      </c>
      <c r="C551" s="2">
        <f>IFERROR(__xludf.DUMMYFUNCTION("""COMPUTED_VALUE"""),1415.0)</f>
        <v>1415</v>
      </c>
      <c r="D551" s="2">
        <f>IFERROR(__xludf.DUMMYFUNCTION("""COMPUTED_VALUE"""),1395.0)</f>
        <v>1395</v>
      </c>
      <c r="E551" s="2">
        <f>IFERROR(__xludf.DUMMYFUNCTION("""COMPUTED_VALUE"""),1405.0)</f>
        <v>1405</v>
      </c>
      <c r="F551" s="2">
        <f>IFERROR(__xludf.DUMMYFUNCTION("""COMPUTED_VALUE"""),4.49836E7)</f>
        <v>44983600</v>
      </c>
      <c r="G551" s="2">
        <f t="shared" si="1"/>
        <v>20</v>
      </c>
    </row>
    <row r="552" ht="15.75" customHeight="1">
      <c r="A552" s="1">
        <f>IFERROR(__xludf.DUMMYFUNCTION("""COMPUTED_VALUE"""),44652.66666666667)</f>
        <v>44652.66667</v>
      </c>
      <c r="B552" s="2">
        <f>IFERROR(__xludf.DUMMYFUNCTION("""COMPUTED_VALUE"""),1405.0)</f>
        <v>1405</v>
      </c>
      <c r="C552" s="2">
        <f>IFERROR(__xludf.DUMMYFUNCTION("""COMPUTED_VALUE"""),1410.0)</f>
        <v>1410</v>
      </c>
      <c r="D552" s="2">
        <f>IFERROR(__xludf.DUMMYFUNCTION("""COMPUTED_VALUE"""),1385.0)</f>
        <v>1385</v>
      </c>
      <c r="E552" s="2">
        <f>IFERROR(__xludf.DUMMYFUNCTION("""COMPUTED_VALUE"""),1390.0)</f>
        <v>1390</v>
      </c>
      <c r="F552" s="2">
        <f>IFERROR(__xludf.DUMMYFUNCTION("""COMPUTED_VALUE"""),4.80074E7)</f>
        <v>48007400</v>
      </c>
      <c r="G552" s="2">
        <f t="shared" si="1"/>
        <v>25</v>
      </c>
    </row>
    <row r="553" ht="15.75" customHeight="1">
      <c r="A553" s="1">
        <f>IFERROR(__xludf.DUMMYFUNCTION("""COMPUTED_VALUE"""),44655.66666666667)</f>
        <v>44655.66667</v>
      </c>
      <c r="B553" s="2">
        <f>IFERROR(__xludf.DUMMYFUNCTION("""COMPUTED_VALUE"""),1395.0)</f>
        <v>1395</v>
      </c>
      <c r="C553" s="2">
        <f>IFERROR(__xludf.DUMMYFUNCTION("""COMPUTED_VALUE"""),1405.0)</f>
        <v>1405</v>
      </c>
      <c r="D553" s="2">
        <f>IFERROR(__xludf.DUMMYFUNCTION("""COMPUTED_VALUE"""),1375.0)</f>
        <v>1375</v>
      </c>
      <c r="E553" s="2">
        <f>IFERROR(__xludf.DUMMYFUNCTION("""COMPUTED_VALUE"""),1405.0)</f>
        <v>1405</v>
      </c>
      <c r="F553" s="2">
        <f>IFERROR(__xludf.DUMMYFUNCTION("""COMPUTED_VALUE"""),4.87234E7)</f>
        <v>48723400</v>
      </c>
      <c r="G553" s="2">
        <f t="shared" si="1"/>
        <v>30</v>
      </c>
    </row>
    <row r="554" ht="15.75" customHeight="1">
      <c r="A554" s="1">
        <f>IFERROR(__xludf.DUMMYFUNCTION("""COMPUTED_VALUE"""),44656.66666666667)</f>
        <v>44656.66667</v>
      </c>
      <c r="B554" s="2">
        <f>IFERROR(__xludf.DUMMYFUNCTION("""COMPUTED_VALUE"""),1410.0)</f>
        <v>1410</v>
      </c>
      <c r="C554" s="2">
        <f>IFERROR(__xludf.DUMMYFUNCTION("""COMPUTED_VALUE"""),1415.0)</f>
        <v>1415</v>
      </c>
      <c r="D554" s="2">
        <f>IFERROR(__xludf.DUMMYFUNCTION("""COMPUTED_VALUE"""),1400.0)</f>
        <v>1400</v>
      </c>
      <c r="E554" s="2">
        <f>IFERROR(__xludf.DUMMYFUNCTION("""COMPUTED_VALUE"""),1405.0)</f>
        <v>1405</v>
      </c>
      <c r="F554" s="2">
        <f>IFERROR(__xludf.DUMMYFUNCTION("""COMPUTED_VALUE"""),5.08012E7)</f>
        <v>50801200</v>
      </c>
      <c r="G554" s="2">
        <f t="shared" si="1"/>
        <v>15</v>
      </c>
    </row>
    <row r="555" ht="15.75" customHeight="1">
      <c r="A555" s="1">
        <f>IFERROR(__xludf.DUMMYFUNCTION("""COMPUTED_VALUE"""),44657.66666666667)</f>
        <v>44657.66667</v>
      </c>
      <c r="B555" s="2">
        <f>IFERROR(__xludf.DUMMYFUNCTION("""COMPUTED_VALUE"""),1405.0)</f>
        <v>1405</v>
      </c>
      <c r="C555" s="2">
        <f>IFERROR(__xludf.DUMMYFUNCTION("""COMPUTED_VALUE"""),1415.0)</f>
        <v>1415</v>
      </c>
      <c r="D555" s="2">
        <f>IFERROR(__xludf.DUMMYFUNCTION("""COMPUTED_VALUE"""),1380.0)</f>
        <v>1380</v>
      </c>
      <c r="E555" s="2">
        <f>IFERROR(__xludf.DUMMYFUNCTION("""COMPUTED_VALUE"""),1385.0)</f>
        <v>1385</v>
      </c>
      <c r="F555" s="2">
        <f>IFERROR(__xludf.DUMMYFUNCTION("""COMPUTED_VALUE"""),5.49114E7)</f>
        <v>54911400</v>
      </c>
      <c r="G555" s="2">
        <f t="shared" si="1"/>
        <v>35</v>
      </c>
    </row>
    <row r="556" ht="15.75" customHeight="1">
      <c r="A556" s="1">
        <f>IFERROR(__xludf.DUMMYFUNCTION("""COMPUTED_VALUE"""),44658.66666666667)</f>
        <v>44658.66667</v>
      </c>
      <c r="B556" s="2">
        <f>IFERROR(__xludf.DUMMYFUNCTION("""COMPUTED_VALUE"""),1385.0)</f>
        <v>1385</v>
      </c>
      <c r="C556" s="2">
        <f>IFERROR(__xludf.DUMMYFUNCTION("""COMPUTED_VALUE"""),1410.0)</f>
        <v>1410</v>
      </c>
      <c r="D556" s="2">
        <f>IFERROR(__xludf.DUMMYFUNCTION("""COMPUTED_VALUE"""),1375.0)</f>
        <v>1375</v>
      </c>
      <c r="E556" s="2">
        <f>IFERROR(__xludf.DUMMYFUNCTION("""COMPUTED_VALUE"""),1390.0)</f>
        <v>1390</v>
      </c>
      <c r="F556" s="2">
        <f>IFERROR(__xludf.DUMMYFUNCTION("""COMPUTED_VALUE"""),6.54104E7)</f>
        <v>65410400</v>
      </c>
      <c r="G556" s="2">
        <f t="shared" si="1"/>
        <v>35</v>
      </c>
    </row>
    <row r="557" ht="15.75" customHeight="1">
      <c r="A557" s="1">
        <f>IFERROR(__xludf.DUMMYFUNCTION("""COMPUTED_VALUE"""),44659.66666666667)</f>
        <v>44659.66667</v>
      </c>
      <c r="B557" s="2">
        <f>IFERROR(__xludf.DUMMYFUNCTION("""COMPUTED_VALUE"""),1400.0)</f>
        <v>1400</v>
      </c>
      <c r="C557" s="2">
        <f>IFERROR(__xludf.DUMMYFUNCTION("""COMPUTED_VALUE"""),1410.0)</f>
        <v>1410</v>
      </c>
      <c r="D557" s="2">
        <f>IFERROR(__xludf.DUMMYFUNCTION("""COMPUTED_VALUE"""),1380.0)</f>
        <v>1380</v>
      </c>
      <c r="E557" s="2">
        <f>IFERROR(__xludf.DUMMYFUNCTION("""COMPUTED_VALUE"""),1395.0)</f>
        <v>1395</v>
      </c>
      <c r="F557" s="2">
        <f>IFERROR(__xludf.DUMMYFUNCTION("""COMPUTED_VALUE"""),5.7989E7)</f>
        <v>57989000</v>
      </c>
      <c r="G557" s="2">
        <f t="shared" si="1"/>
        <v>30</v>
      </c>
    </row>
    <row r="558" ht="15.75" customHeight="1">
      <c r="A558" s="1">
        <f>IFERROR(__xludf.DUMMYFUNCTION("""COMPUTED_VALUE"""),44662.66666666667)</f>
        <v>44662.66667</v>
      </c>
      <c r="B558" s="2">
        <f>IFERROR(__xludf.DUMMYFUNCTION("""COMPUTED_VALUE"""),1395.0)</f>
        <v>1395</v>
      </c>
      <c r="C558" s="2">
        <f>IFERROR(__xludf.DUMMYFUNCTION("""COMPUTED_VALUE"""),1400.0)</f>
        <v>1400</v>
      </c>
      <c r="D558" s="2">
        <f>IFERROR(__xludf.DUMMYFUNCTION("""COMPUTED_VALUE"""),1350.0)</f>
        <v>1350</v>
      </c>
      <c r="E558" s="2">
        <f>IFERROR(__xludf.DUMMYFUNCTION("""COMPUTED_VALUE"""),1355.0)</f>
        <v>1355</v>
      </c>
      <c r="F558" s="2">
        <f>IFERROR(__xludf.DUMMYFUNCTION("""COMPUTED_VALUE"""),7.56471E7)</f>
        <v>75647100</v>
      </c>
      <c r="G558" s="2">
        <f t="shared" si="1"/>
        <v>50</v>
      </c>
    </row>
    <row r="559" ht="15.75" customHeight="1">
      <c r="A559" s="1">
        <f>IFERROR(__xludf.DUMMYFUNCTION("""COMPUTED_VALUE"""),44663.66666666667)</f>
        <v>44663.66667</v>
      </c>
      <c r="B559" s="2">
        <f>IFERROR(__xludf.DUMMYFUNCTION("""COMPUTED_VALUE"""),1350.0)</f>
        <v>1350</v>
      </c>
      <c r="C559" s="2">
        <f>IFERROR(__xludf.DUMMYFUNCTION("""COMPUTED_VALUE"""),1355.0)</f>
        <v>1355</v>
      </c>
      <c r="D559" s="2">
        <f>IFERROR(__xludf.DUMMYFUNCTION("""COMPUTED_VALUE"""),1325.0)</f>
        <v>1325</v>
      </c>
      <c r="E559" s="2">
        <f>IFERROR(__xludf.DUMMYFUNCTION("""COMPUTED_VALUE"""),1325.0)</f>
        <v>1325</v>
      </c>
      <c r="F559" s="2">
        <f>IFERROR(__xludf.DUMMYFUNCTION("""COMPUTED_VALUE"""),8.11745E7)</f>
        <v>81174500</v>
      </c>
      <c r="G559" s="2">
        <f t="shared" si="1"/>
        <v>30</v>
      </c>
    </row>
    <row r="560" ht="15.75" customHeight="1">
      <c r="A560" s="1">
        <f>IFERROR(__xludf.DUMMYFUNCTION("""COMPUTED_VALUE"""),44664.66666666667)</f>
        <v>44664.66667</v>
      </c>
      <c r="B560" s="2">
        <f>IFERROR(__xludf.DUMMYFUNCTION("""COMPUTED_VALUE"""),1330.0)</f>
        <v>1330</v>
      </c>
      <c r="C560" s="2">
        <f>IFERROR(__xludf.DUMMYFUNCTION("""COMPUTED_VALUE"""),1360.0)</f>
        <v>1360</v>
      </c>
      <c r="D560" s="2">
        <f>IFERROR(__xludf.DUMMYFUNCTION("""COMPUTED_VALUE"""),1330.0)</f>
        <v>1330</v>
      </c>
      <c r="E560" s="2">
        <f>IFERROR(__xludf.DUMMYFUNCTION("""COMPUTED_VALUE"""),1360.0)</f>
        <v>1360</v>
      </c>
      <c r="F560" s="2">
        <f>IFERROR(__xludf.DUMMYFUNCTION("""COMPUTED_VALUE"""),6.03234E7)</f>
        <v>60323400</v>
      </c>
      <c r="G560" s="2">
        <f t="shared" si="1"/>
        <v>35</v>
      </c>
    </row>
    <row r="561" ht="15.75" customHeight="1">
      <c r="A561" s="1">
        <f>IFERROR(__xludf.DUMMYFUNCTION("""COMPUTED_VALUE"""),44665.66666666667)</f>
        <v>44665.66667</v>
      </c>
      <c r="B561" s="2">
        <f>IFERROR(__xludf.DUMMYFUNCTION("""COMPUTED_VALUE"""),1370.0)</f>
        <v>1370</v>
      </c>
      <c r="C561" s="2">
        <f>IFERROR(__xludf.DUMMYFUNCTION("""COMPUTED_VALUE"""),1375.0)</f>
        <v>1375</v>
      </c>
      <c r="D561" s="2">
        <f>IFERROR(__xludf.DUMMYFUNCTION("""COMPUTED_VALUE"""),1350.0)</f>
        <v>1350</v>
      </c>
      <c r="E561" s="2">
        <f>IFERROR(__xludf.DUMMYFUNCTION("""COMPUTED_VALUE"""),1355.0)</f>
        <v>1355</v>
      </c>
      <c r="F561" s="2">
        <f>IFERROR(__xludf.DUMMYFUNCTION("""COMPUTED_VALUE"""),4.42525E7)</f>
        <v>44252500</v>
      </c>
      <c r="G561" s="2">
        <f t="shared" si="1"/>
        <v>25</v>
      </c>
    </row>
    <row r="562" ht="15.75" customHeight="1">
      <c r="A562" s="1">
        <f>IFERROR(__xludf.DUMMYFUNCTION("""COMPUTED_VALUE"""),44669.66666666667)</f>
        <v>44669.66667</v>
      </c>
      <c r="B562" s="2">
        <f>IFERROR(__xludf.DUMMYFUNCTION("""COMPUTED_VALUE"""),1365.0)</f>
        <v>1365</v>
      </c>
      <c r="C562" s="2">
        <f>IFERROR(__xludf.DUMMYFUNCTION("""COMPUTED_VALUE"""),1365.0)</f>
        <v>1365</v>
      </c>
      <c r="D562" s="2">
        <f>IFERROR(__xludf.DUMMYFUNCTION("""COMPUTED_VALUE"""),1335.0)</f>
        <v>1335</v>
      </c>
      <c r="E562" s="2">
        <f>IFERROR(__xludf.DUMMYFUNCTION("""COMPUTED_VALUE"""),1345.0)</f>
        <v>1345</v>
      </c>
      <c r="F562" s="2">
        <f>IFERROR(__xludf.DUMMYFUNCTION("""COMPUTED_VALUE"""),4.53907E7)</f>
        <v>45390700</v>
      </c>
      <c r="G562" s="2">
        <f t="shared" si="1"/>
        <v>30</v>
      </c>
    </row>
    <row r="563" ht="15.75" customHeight="1">
      <c r="A563" s="1">
        <f>IFERROR(__xludf.DUMMYFUNCTION("""COMPUTED_VALUE"""),44670.66666666667)</f>
        <v>44670.66667</v>
      </c>
      <c r="B563" s="2">
        <f>IFERROR(__xludf.DUMMYFUNCTION("""COMPUTED_VALUE"""),1355.0)</f>
        <v>1355</v>
      </c>
      <c r="C563" s="2">
        <f>IFERROR(__xludf.DUMMYFUNCTION("""COMPUTED_VALUE"""),1420.0)</f>
        <v>1420</v>
      </c>
      <c r="D563" s="2">
        <f>IFERROR(__xludf.DUMMYFUNCTION("""COMPUTED_VALUE"""),1350.0)</f>
        <v>1350</v>
      </c>
      <c r="E563" s="2">
        <f>IFERROR(__xludf.DUMMYFUNCTION("""COMPUTED_VALUE"""),1400.0)</f>
        <v>1400</v>
      </c>
      <c r="F563" s="2">
        <f>IFERROR(__xludf.DUMMYFUNCTION("""COMPUTED_VALUE"""),1.874076E8)</f>
        <v>187407600</v>
      </c>
      <c r="G563" s="2">
        <f t="shared" si="1"/>
        <v>75</v>
      </c>
    </row>
    <row r="564" ht="15.75" customHeight="1">
      <c r="A564" s="1">
        <f>IFERROR(__xludf.DUMMYFUNCTION("""COMPUTED_VALUE"""),44671.66666666667)</f>
        <v>44671.66667</v>
      </c>
      <c r="B564" s="2">
        <f>IFERROR(__xludf.DUMMYFUNCTION("""COMPUTED_VALUE"""),1410.0)</f>
        <v>1410</v>
      </c>
      <c r="C564" s="2">
        <f>IFERROR(__xludf.DUMMYFUNCTION("""COMPUTED_VALUE"""),1415.0)</f>
        <v>1415</v>
      </c>
      <c r="D564" s="2">
        <f>IFERROR(__xludf.DUMMYFUNCTION("""COMPUTED_VALUE"""),1385.0)</f>
        <v>1385</v>
      </c>
      <c r="E564" s="2">
        <f>IFERROR(__xludf.DUMMYFUNCTION("""COMPUTED_VALUE"""),1390.0)</f>
        <v>1390</v>
      </c>
      <c r="F564" s="2">
        <f>IFERROR(__xludf.DUMMYFUNCTION("""COMPUTED_VALUE"""),6.87676E7)</f>
        <v>68767600</v>
      </c>
      <c r="G564" s="2">
        <f t="shared" si="1"/>
        <v>30</v>
      </c>
    </row>
    <row r="565" ht="15.75" customHeight="1">
      <c r="A565" s="1">
        <f>IFERROR(__xludf.DUMMYFUNCTION("""COMPUTED_VALUE"""),44672.66666666667)</f>
        <v>44672.66667</v>
      </c>
      <c r="B565" s="2">
        <f>IFERROR(__xludf.DUMMYFUNCTION("""COMPUTED_VALUE"""),1390.0)</f>
        <v>1390</v>
      </c>
      <c r="C565" s="2">
        <f>IFERROR(__xludf.DUMMYFUNCTION("""COMPUTED_VALUE"""),1430.0)</f>
        <v>1430</v>
      </c>
      <c r="D565" s="2">
        <f>IFERROR(__xludf.DUMMYFUNCTION("""COMPUTED_VALUE"""),1390.0)</f>
        <v>1390</v>
      </c>
      <c r="E565" s="2">
        <f>IFERROR(__xludf.DUMMYFUNCTION("""COMPUTED_VALUE"""),1405.0)</f>
        <v>1405</v>
      </c>
      <c r="F565" s="2">
        <f>IFERROR(__xludf.DUMMYFUNCTION("""COMPUTED_VALUE"""),1.234604E8)</f>
        <v>123460400</v>
      </c>
      <c r="G565" s="2">
        <f t="shared" si="1"/>
        <v>40</v>
      </c>
    </row>
    <row r="566" ht="15.75" customHeight="1">
      <c r="A566" s="1">
        <f>IFERROR(__xludf.DUMMYFUNCTION("""COMPUTED_VALUE"""),44673.66666666667)</f>
        <v>44673.66667</v>
      </c>
      <c r="B566" s="2">
        <f>IFERROR(__xludf.DUMMYFUNCTION("""COMPUTED_VALUE"""),1405.0)</f>
        <v>1405</v>
      </c>
      <c r="C566" s="2">
        <f>IFERROR(__xludf.DUMMYFUNCTION("""COMPUTED_VALUE"""),1405.0)</f>
        <v>1405</v>
      </c>
      <c r="D566" s="2">
        <f>IFERROR(__xludf.DUMMYFUNCTION("""COMPUTED_VALUE"""),1370.0)</f>
        <v>1370</v>
      </c>
      <c r="E566" s="2">
        <f>IFERROR(__xludf.DUMMYFUNCTION("""COMPUTED_VALUE"""),1385.0)</f>
        <v>1385</v>
      </c>
      <c r="F566" s="2">
        <f>IFERROR(__xludf.DUMMYFUNCTION("""COMPUTED_VALUE"""),6.91725E7)</f>
        <v>69172500</v>
      </c>
      <c r="G566" s="2">
        <f t="shared" si="1"/>
        <v>35</v>
      </c>
    </row>
    <row r="567" ht="15.75" customHeight="1">
      <c r="A567" s="1">
        <f>IFERROR(__xludf.DUMMYFUNCTION("""COMPUTED_VALUE"""),44676.66666666667)</f>
        <v>44676.66667</v>
      </c>
      <c r="B567" s="2">
        <f>IFERROR(__xludf.DUMMYFUNCTION("""COMPUTED_VALUE"""),1370.0)</f>
        <v>1370</v>
      </c>
      <c r="C567" s="2">
        <f>IFERROR(__xludf.DUMMYFUNCTION("""COMPUTED_VALUE"""),1375.0)</f>
        <v>1375</v>
      </c>
      <c r="D567" s="2">
        <f>IFERROR(__xludf.DUMMYFUNCTION("""COMPUTED_VALUE"""),1340.0)</f>
        <v>1340</v>
      </c>
      <c r="E567" s="2">
        <f>IFERROR(__xludf.DUMMYFUNCTION("""COMPUTED_VALUE"""),1350.0)</f>
        <v>1350</v>
      </c>
      <c r="F567" s="2">
        <f>IFERROR(__xludf.DUMMYFUNCTION("""COMPUTED_VALUE"""),7.37026E7)</f>
        <v>73702600</v>
      </c>
      <c r="G567" s="2">
        <f t="shared" si="1"/>
        <v>45</v>
      </c>
    </row>
    <row r="568" ht="15.75" customHeight="1">
      <c r="A568" s="1">
        <f>IFERROR(__xludf.DUMMYFUNCTION("""COMPUTED_VALUE"""),44677.66666666667)</f>
        <v>44677.66667</v>
      </c>
      <c r="B568" s="2">
        <f>IFERROR(__xludf.DUMMYFUNCTION("""COMPUTED_VALUE"""),1355.0)</f>
        <v>1355</v>
      </c>
      <c r="C568" s="2">
        <f>IFERROR(__xludf.DUMMYFUNCTION("""COMPUTED_VALUE"""),1365.0)</f>
        <v>1365</v>
      </c>
      <c r="D568" s="2">
        <f>IFERROR(__xludf.DUMMYFUNCTION("""COMPUTED_VALUE"""),1335.0)</f>
        <v>1335</v>
      </c>
      <c r="E568" s="2">
        <f>IFERROR(__xludf.DUMMYFUNCTION("""COMPUTED_VALUE"""),1350.0)</f>
        <v>1350</v>
      </c>
      <c r="F568" s="2">
        <f>IFERROR(__xludf.DUMMYFUNCTION("""COMPUTED_VALUE"""),5.21371E7)</f>
        <v>52137100</v>
      </c>
      <c r="G568" s="2">
        <f t="shared" si="1"/>
        <v>30</v>
      </c>
    </row>
    <row r="569" ht="15.75" customHeight="1">
      <c r="A569" s="1">
        <f>IFERROR(__xludf.DUMMYFUNCTION("""COMPUTED_VALUE"""),44678.66666666667)</f>
        <v>44678.66667</v>
      </c>
      <c r="B569" s="2">
        <f>IFERROR(__xludf.DUMMYFUNCTION("""COMPUTED_VALUE"""),1355.0)</f>
        <v>1355</v>
      </c>
      <c r="C569" s="2">
        <f>IFERROR(__xludf.DUMMYFUNCTION("""COMPUTED_VALUE"""),1380.0)</f>
        <v>1380</v>
      </c>
      <c r="D569" s="2">
        <f>IFERROR(__xludf.DUMMYFUNCTION("""COMPUTED_VALUE"""),1350.0)</f>
        <v>1350</v>
      </c>
      <c r="E569" s="2">
        <f>IFERROR(__xludf.DUMMYFUNCTION("""COMPUTED_VALUE"""),1370.0)</f>
        <v>1370</v>
      </c>
      <c r="F569" s="2">
        <f>IFERROR(__xludf.DUMMYFUNCTION("""COMPUTED_VALUE"""),3.84516E7)</f>
        <v>38451600</v>
      </c>
      <c r="G569" s="2">
        <f t="shared" si="1"/>
        <v>30</v>
      </c>
    </row>
    <row r="570" ht="15.75" customHeight="1">
      <c r="A570" s="1">
        <f>IFERROR(__xludf.DUMMYFUNCTION("""COMPUTED_VALUE"""),44679.66666666667)</f>
        <v>44679.66667</v>
      </c>
      <c r="B570" s="2">
        <f>IFERROR(__xludf.DUMMYFUNCTION("""COMPUTED_VALUE"""),1380.0)</f>
        <v>1380</v>
      </c>
      <c r="C570" s="2">
        <f>IFERROR(__xludf.DUMMYFUNCTION("""COMPUTED_VALUE"""),1470.0)</f>
        <v>1470</v>
      </c>
      <c r="D570" s="2">
        <f>IFERROR(__xludf.DUMMYFUNCTION("""COMPUTED_VALUE"""),1375.0)</f>
        <v>1375</v>
      </c>
      <c r="E570" s="2">
        <f>IFERROR(__xludf.DUMMYFUNCTION("""COMPUTED_VALUE"""),1450.0)</f>
        <v>1450</v>
      </c>
      <c r="F570" s="2">
        <f>IFERROR(__xludf.DUMMYFUNCTION("""COMPUTED_VALUE"""),2.862154E8)</f>
        <v>286215400</v>
      </c>
      <c r="G570" s="2">
        <f t="shared" si="1"/>
        <v>100</v>
      </c>
    </row>
    <row r="571" ht="15.75" customHeight="1">
      <c r="A571" s="1">
        <f>IFERROR(__xludf.DUMMYFUNCTION("""COMPUTED_VALUE"""),44690.66666666667)</f>
        <v>44690.66667</v>
      </c>
      <c r="B571" s="2">
        <f>IFERROR(__xludf.DUMMYFUNCTION("""COMPUTED_VALUE"""),1475.0)</f>
        <v>1475</v>
      </c>
      <c r="C571" s="2">
        <f>IFERROR(__xludf.DUMMYFUNCTION("""COMPUTED_VALUE"""),1500.0)</f>
        <v>1500</v>
      </c>
      <c r="D571" s="2">
        <f>IFERROR(__xludf.DUMMYFUNCTION("""COMPUTED_VALUE"""),1425.0)</f>
        <v>1425</v>
      </c>
      <c r="E571" s="2">
        <f>IFERROR(__xludf.DUMMYFUNCTION("""COMPUTED_VALUE"""),1450.0)</f>
        <v>1450</v>
      </c>
      <c r="F571" s="2">
        <f>IFERROR(__xludf.DUMMYFUNCTION("""COMPUTED_VALUE"""),2.168153E8)</f>
        <v>216815300</v>
      </c>
      <c r="G571" s="2">
        <f t="shared" si="1"/>
        <v>75</v>
      </c>
    </row>
    <row r="572" ht="15.75" customHeight="1">
      <c r="A572" s="1">
        <f>IFERROR(__xludf.DUMMYFUNCTION("""COMPUTED_VALUE"""),44691.66666666667)</f>
        <v>44691.66667</v>
      </c>
      <c r="B572" s="2">
        <f>IFERROR(__xludf.DUMMYFUNCTION("""COMPUTED_VALUE"""),1445.0)</f>
        <v>1445</v>
      </c>
      <c r="C572" s="2">
        <f>IFERROR(__xludf.DUMMYFUNCTION("""COMPUTED_VALUE"""),1525.0)</f>
        <v>1525</v>
      </c>
      <c r="D572" s="2">
        <f>IFERROR(__xludf.DUMMYFUNCTION("""COMPUTED_VALUE"""),1415.0)</f>
        <v>1415</v>
      </c>
      <c r="E572" s="2">
        <f>IFERROR(__xludf.DUMMYFUNCTION("""COMPUTED_VALUE"""),1515.0)</f>
        <v>1515</v>
      </c>
      <c r="F572" s="2">
        <f>IFERROR(__xludf.DUMMYFUNCTION("""COMPUTED_VALUE"""),2.747226E8)</f>
        <v>274722600</v>
      </c>
      <c r="G572" s="2">
        <f t="shared" si="1"/>
        <v>110</v>
      </c>
    </row>
    <row r="573" ht="15.75" customHeight="1">
      <c r="A573" s="1">
        <f>IFERROR(__xludf.DUMMYFUNCTION("""COMPUTED_VALUE"""),44692.66666666667)</f>
        <v>44692.66667</v>
      </c>
      <c r="B573" s="2">
        <f>IFERROR(__xludf.DUMMYFUNCTION("""COMPUTED_VALUE"""),1515.0)</f>
        <v>1515</v>
      </c>
      <c r="C573" s="2">
        <f>IFERROR(__xludf.DUMMYFUNCTION("""COMPUTED_VALUE"""),1540.0)</f>
        <v>1540</v>
      </c>
      <c r="D573" s="2">
        <f>IFERROR(__xludf.DUMMYFUNCTION("""COMPUTED_VALUE"""),1490.0)</f>
        <v>1490</v>
      </c>
      <c r="E573" s="2">
        <f>IFERROR(__xludf.DUMMYFUNCTION("""COMPUTED_VALUE"""),1520.0)</f>
        <v>1520</v>
      </c>
      <c r="F573" s="2">
        <f>IFERROR(__xludf.DUMMYFUNCTION("""COMPUTED_VALUE"""),1.191075E8)</f>
        <v>119107500</v>
      </c>
      <c r="G573" s="2">
        <f t="shared" si="1"/>
        <v>50</v>
      </c>
    </row>
    <row r="574" ht="15.75" customHeight="1">
      <c r="A574" s="1">
        <f>IFERROR(__xludf.DUMMYFUNCTION("""COMPUTED_VALUE"""),44693.66666666667)</f>
        <v>44693.66667</v>
      </c>
      <c r="B574" s="2">
        <f>IFERROR(__xludf.DUMMYFUNCTION("""COMPUTED_VALUE"""),1520.0)</f>
        <v>1520</v>
      </c>
      <c r="C574" s="2">
        <f>IFERROR(__xludf.DUMMYFUNCTION("""COMPUTED_VALUE"""),1535.0)</f>
        <v>1535</v>
      </c>
      <c r="D574" s="2">
        <f>IFERROR(__xludf.DUMMYFUNCTION("""COMPUTED_VALUE"""),1450.0)</f>
        <v>1450</v>
      </c>
      <c r="E574" s="2">
        <f>IFERROR(__xludf.DUMMYFUNCTION("""COMPUTED_VALUE"""),1470.0)</f>
        <v>1470</v>
      </c>
      <c r="F574" s="2">
        <f>IFERROR(__xludf.DUMMYFUNCTION("""COMPUTED_VALUE"""),1.308508E8)</f>
        <v>130850800</v>
      </c>
      <c r="G574" s="2">
        <f t="shared" si="1"/>
        <v>85</v>
      </c>
    </row>
    <row r="575" ht="15.75" customHeight="1">
      <c r="A575" s="1">
        <f>IFERROR(__xludf.DUMMYFUNCTION("""COMPUTED_VALUE"""),44694.66666666667)</f>
        <v>44694.66667</v>
      </c>
      <c r="B575" s="2">
        <f>IFERROR(__xludf.DUMMYFUNCTION("""COMPUTED_VALUE"""),1485.0)</f>
        <v>1485</v>
      </c>
      <c r="C575" s="2">
        <f>IFERROR(__xludf.DUMMYFUNCTION("""COMPUTED_VALUE"""),1515.0)</f>
        <v>1515</v>
      </c>
      <c r="D575" s="2">
        <f>IFERROR(__xludf.DUMMYFUNCTION("""COMPUTED_VALUE"""),1465.0)</f>
        <v>1465</v>
      </c>
      <c r="E575" s="2">
        <f>IFERROR(__xludf.DUMMYFUNCTION("""COMPUTED_VALUE"""),1495.0)</f>
        <v>1495</v>
      </c>
      <c r="F575" s="2">
        <f>IFERROR(__xludf.DUMMYFUNCTION("""COMPUTED_VALUE"""),9.422E7)</f>
        <v>94220000</v>
      </c>
      <c r="G575" s="2">
        <f t="shared" si="1"/>
        <v>50</v>
      </c>
    </row>
    <row r="576" ht="15.75" customHeight="1">
      <c r="A576" s="1">
        <f>IFERROR(__xludf.DUMMYFUNCTION("""COMPUTED_VALUE"""),44698.66666666667)</f>
        <v>44698.66667</v>
      </c>
      <c r="B576" s="2">
        <f>IFERROR(__xludf.DUMMYFUNCTION("""COMPUTED_VALUE"""),1520.0)</f>
        <v>1520</v>
      </c>
      <c r="C576" s="2">
        <f>IFERROR(__xludf.DUMMYFUNCTION("""COMPUTED_VALUE"""),1560.0)</f>
        <v>1560</v>
      </c>
      <c r="D576" s="2">
        <f>IFERROR(__xludf.DUMMYFUNCTION("""COMPUTED_VALUE"""),1505.0)</f>
        <v>1505</v>
      </c>
      <c r="E576" s="2">
        <f>IFERROR(__xludf.DUMMYFUNCTION("""COMPUTED_VALUE"""),1560.0)</f>
        <v>1560</v>
      </c>
      <c r="F576" s="2">
        <f>IFERROR(__xludf.DUMMYFUNCTION("""COMPUTED_VALUE"""),1.805644E8)</f>
        <v>180564400</v>
      </c>
      <c r="G576" s="2">
        <f t="shared" si="1"/>
        <v>65</v>
      </c>
    </row>
    <row r="577" ht="15.75" customHeight="1">
      <c r="A577" s="1">
        <f>IFERROR(__xludf.DUMMYFUNCTION("""COMPUTED_VALUE"""),44699.66666666667)</f>
        <v>44699.66667</v>
      </c>
      <c r="B577" s="2">
        <f>IFERROR(__xludf.DUMMYFUNCTION("""COMPUTED_VALUE"""),1560.0)</f>
        <v>1560</v>
      </c>
      <c r="C577" s="2">
        <f>IFERROR(__xludf.DUMMYFUNCTION("""COMPUTED_VALUE"""),1595.0)</f>
        <v>1595</v>
      </c>
      <c r="D577" s="2">
        <f>IFERROR(__xludf.DUMMYFUNCTION("""COMPUTED_VALUE"""),1530.0)</f>
        <v>1530</v>
      </c>
      <c r="E577" s="2">
        <f>IFERROR(__xludf.DUMMYFUNCTION("""COMPUTED_VALUE"""),1575.0)</f>
        <v>1575</v>
      </c>
      <c r="F577" s="2">
        <f>IFERROR(__xludf.DUMMYFUNCTION("""COMPUTED_VALUE"""),1.896475E8)</f>
        <v>189647500</v>
      </c>
      <c r="G577" s="2">
        <f t="shared" si="1"/>
        <v>65</v>
      </c>
    </row>
    <row r="578" ht="15.75" customHeight="1">
      <c r="A578" s="1">
        <f>IFERROR(__xludf.DUMMYFUNCTION("""COMPUTED_VALUE"""),44700.66666666667)</f>
        <v>44700.66667</v>
      </c>
      <c r="B578" s="2">
        <f>IFERROR(__xludf.DUMMYFUNCTION("""COMPUTED_VALUE"""),1545.0)</f>
        <v>1545</v>
      </c>
      <c r="C578" s="2">
        <f>IFERROR(__xludf.DUMMYFUNCTION("""COMPUTED_VALUE"""),1560.0)</f>
        <v>1560</v>
      </c>
      <c r="D578" s="2">
        <f>IFERROR(__xludf.DUMMYFUNCTION("""COMPUTED_VALUE"""),1525.0)</f>
        <v>1525</v>
      </c>
      <c r="E578" s="2">
        <f>IFERROR(__xludf.DUMMYFUNCTION("""COMPUTED_VALUE"""),1555.0)</f>
        <v>1555</v>
      </c>
      <c r="F578" s="2">
        <f>IFERROR(__xludf.DUMMYFUNCTION("""COMPUTED_VALUE"""),9.7415E7)</f>
        <v>97415000</v>
      </c>
      <c r="G578" s="2">
        <f t="shared" si="1"/>
        <v>50</v>
      </c>
    </row>
    <row r="579" ht="15.75" customHeight="1">
      <c r="A579" s="1">
        <f>IFERROR(__xludf.DUMMYFUNCTION("""COMPUTED_VALUE"""),44701.66666666667)</f>
        <v>44701.66667</v>
      </c>
      <c r="B579" s="2">
        <f>IFERROR(__xludf.DUMMYFUNCTION("""COMPUTED_VALUE"""),1570.0)</f>
        <v>1570</v>
      </c>
      <c r="C579" s="2">
        <f>IFERROR(__xludf.DUMMYFUNCTION("""COMPUTED_VALUE"""),1600.0)</f>
        <v>1600</v>
      </c>
      <c r="D579" s="2">
        <f>IFERROR(__xludf.DUMMYFUNCTION("""COMPUTED_VALUE"""),1560.0)</f>
        <v>1560</v>
      </c>
      <c r="E579" s="2">
        <f>IFERROR(__xludf.DUMMYFUNCTION("""COMPUTED_VALUE"""),1575.0)</f>
        <v>1575</v>
      </c>
      <c r="F579" s="2">
        <f>IFERROR(__xludf.DUMMYFUNCTION("""COMPUTED_VALUE"""),1.194902E8)</f>
        <v>119490200</v>
      </c>
      <c r="G579" s="2">
        <f t="shared" si="1"/>
        <v>45</v>
      </c>
    </row>
    <row r="580" ht="15.75" customHeight="1">
      <c r="A580" s="1">
        <f>IFERROR(__xludf.DUMMYFUNCTION("""COMPUTED_VALUE"""),44704.66666666667)</f>
        <v>44704.66667</v>
      </c>
      <c r="B580" s="2">
        <f>IFERROR(__xludf.DUMMYFUNCTION("""COMPUTED_VALUE"""),1590.0)</f>
        <v>1590</v>
      </c>
      <c r="C580" s="2">
        <f>IFERROR(__xludf.DUMMYFUNCTION("""COMPUTED_VALUE"""),1595.0)</f>
        <v>1595</v>
      </c>
      <c r="D580" s="2">
        <f>IFERROR(__xludf.DUMMYFUNCTION("""COMPUTED_VALUE"""),1550.0)</f>
        <v>1550</v>
      </c>
      <c r="E580" s="2">
        <f>IFERROR(__xludf.DUMMYFUNCTION("""COMPUTED_VALUE"""),1555.0)</f>
        <v>1555</v>
      </c>
      <c r="F580" s="2">
        <f>IFERROR(__xludf.DUMMYFUNCTION("""COMPUTED_VALUE"""),9.32987E7)</f>
        <v>93298700</v>
      </c>
      <c r="G580" s="2">
        <f t="shared" si="1"/>
        <v>45</v>
      </c>
    </row>
    <row r="581" ht="15.75" customHeight="1">
      <c r="A581" s="1">
        <f>IFERROR(__xludf.DUMMYFUNCTION("""COMPUTED_VALUE"""),44705.66666666667)</f>
        <v>44705.66667</v>
      </c>
      <c r="B581" s="2">
        <f>IFERROR(__xludf.DUMMYFUNCTION("""COMPUTED_VALUE"""),1570.0)</f>
        <v>1570</v>
      </c>
      <c r="C581" s="2">
        <f>IFERROR(__xludf.DUMMYFUNCTION("""COMPUTED_VALUE"""),1700.0)</f>
        <v>1700</v>
      </c>
      <c r="D581" s="2">
        <f>IFERROR(__xludf.DUMMYFUNCTION("""COMPUTED_VALUE"""),1565.0)</f>
        <v>1565</v>
      </c>
      <c r="E581" s="2">
        <f>IFERROR(__xludf.DUMMYFUNCTION("""COMPUTED_VALUE"""),1695.0)</f>
        <v>1695</v>
      </c>
      <c r="F581" s="2">
        <f>IFERROR(__xludf.DUMMYFUNCTION("""COMPUTED_VALUE"""),5.274709E8)</f>
        <v>527470900</v>
      </c>
      <c r="G581" s="2">
        <f t="shared" si="1"/>
        <v>145</v>
      </c>
    </row>
    <row r="582" ht="15.75" customHeight="1">
      <c r="A582" s="1">
        <f>IFERROR(__xludf.DUMMYFUNCTION("""COMPUTED_VALUE"""),44706.66666666667)</f>
        <v>44706.66667</v>
      </c>
      <c r="B582" s="2">
        <f>IFERROR(__xludf.DUMMYFUNCTION("""COMPUTED_VALUE"""),1700.0)</f>
        <v>1700</v>
      </c>
      <c r="C582" s="2">
        <f>IFERROR(__xludf.DUMMYFUNCTION("""COMPUTED_VALUE"""),1795.0)</f>
        <v>1795</v>
      </c>
      <c r="D582" s="2">
        <f>IFERROR(__xludf.DUMMYFUNCTION("""COMPUTED_VALUE"""),1700.0)</f>
        <v>1700</v>
      </c>
      <c r="E582" s="2">
        <f>IFERROR(__xludf.DUMMYFUNCTION("""COMPUTED_VALUE"""),1775.0)</f>
        <v>1775</v>
      </c>
      <c r="F582" s="2">
        <f>IFERROR(__xludf.DUMMYFUNCTION("""COMPUTED_VALUE"""),3.536106E8)</f>
        <v>353610600</v>
      </c>
      <c r="G582" s="2">
        <f t="shared" si="1"/>
        <v>100</v>
      </c>
    </row>
    <row r="583" ht="15.75" customHeight="1">
      <c r="A583" s="1">
        <f>IFERROR(__xludf.DUMMYFUNCTION("""COMPUTED_VALUE"""),44708.66666666667)</f>
        <v>44708.66667</v>
      </c>
      <c r="B583" s="2">
        <f>IFERROR(__xludf.DUMMYFUNCTION("""COMPUTED_VALUE"""),1780.0)</f>
        <v>1780</v>
      </c>
      <c r="C583" s="2">
        <f>IFERROR(__xludf.DUMMYFUNCTION("""COMPUTED_VALUE"""),1810.0)</f>
        <v>1810</v>
      </c>
      <c r="D583" s="2">
        <f>IFERROR(__xludf.DUMMYFUNCTION("""COMPUTED_VALUE"""),1725.0)</f>
        <v>1725</v>
      </c>
      <c r="E583" s="2">
        <f>IFERROR(__xludf.DUMMYFUNCTION("""COMPUTED_VALUE"""),1780.0)</f>
        <v>1780</v>
      </c>
      <c r="F583" s="2">
        <f>IFERROR(__xludf.DUMMYFUNCTION("""COMPUTED_VALUE"""),2.382979E8)</f>
        <v>238297900</v>
      </c>
      <c r="G583" s="2">
        <f t="shared" si="1"/>
        <v>85</v>
      </c>
    </row>
    <row r="584" ht="15.75" customHeight="1">
      <c r="A584" s="1">
        <f>IFERROR(__xludf.DUMMYFUNCTION("""COMPUTED_VALUE"""),44711.66666666667)</f>
        <v>44711.66667</v>
      </c>
      <c r="B584" s="2">
        <f>IFERROR(__xludf.DUMMYFUNCTION("""COMPUTED_VALUE"""),1800.0)</f>
        <v>1800</v>
      </c>
      <c r="C584" s="2">
        <f>IFERROR(__xludf.DUMMYFUNCTION("""COMPUTED_VALUE"""),1815.0)</f>
        <v>1815</v>
      </c>
      <c r="D584" s="2">
        <f>IFERROR(__xludf.DUMMYFUNCTION("""COMPUTED_VALUE"""),1750.0)</f>
        <v>1750</v>
      </c>
      <c r="E584" s="2">
        <f>IFERROR(__xludf.DUMMYFUNCTION("""COMPUTED_VALUE"""),1780.0)</f>
        <v>1780</v>
      </c>
      <c r="F584" s="2">
        <f>IFERROR(__xludf.DUMMYFUNCTION("""COMPUTED_VALUE"""),8.68625E7)</f>
        <v>86862500</v>
      </c>
      <c r="G584" s="2">
        <f t="shared" si="1"/>
        <v>65</v>
      </c>
    </row>
    <row r="585" ht="15.75" customHeight="1">
      <c r="A585" s="1">
        <f>IFERROR(__xludf.DUMMYFUNCTION("""COMPUTED_VALUE"""),44712.66666666667)</f>
        <v>44712.66667</v>
      </c>
      <c r="B585" s="2">
        <f>IFERROR(__xludf.DUMMYFUNCTION("""COMPUTED_VALUE"""),1785.0)</f>
        <v>1785</v>
      </c>
      <c r="C585" s="2">
        <f>IFERROR(__xludf.DUMMYFUNCTION("""COMPUTED_VALUE"""),1800.0)</f>
        <v>1800</v>
      </c>
      <c r="D585" s="2">
        <f>IFERROR(__xludf.DUMMYFUNCTION("""COMPUTED_VALUE"""),1755.0)</f>
        <v>1755</v>
      </c>
      <c r="E585" s="2">
        <f>IFERROR(__xludf.DUMMYFUNCTION("""COMPUTED_VALUE"""),1800.0)</f>
        <v>1800</v>
      </c>
      <c r="F585" s="2">
        <f>IFERROR(__xludf.DUMMYFUNCTION("""COMPUTED_VALUE"""),9.28934E7)</f>
        <v>92893400</v>
      </c>
      <c r="G585" s="2">
        <f t="shared" si="1"/>
        <v>45</v>
      </c>
    </row>
    <row r="586" ht="15.75" customHeight="1">
      <c r="A586" s="1">
        <f>IFERROR(__xludf.DUMMYFUNCTION("""COMPUTED_VALUE"""),44714.66666666667)</f>
        <v>44714.66667</v>
      </c>
      <c r="B586" s="2">
        <f>IFERROR(__xludf.DUMMYFUNCTION("""COMPUTED_VALUE"""),1785.0)</f>
        <v>1785</v>
      </c>
      <c r="C586" s="2">
        <f>IFERROR(__xludf.DUMMYFUNCTION("""COMPUTED_VALUE"""),1820.0)</f>
        <v>1820</v>
      </c>
      <c r="D586" s="2">
        <f>IFERROR(__xludf.DUMMYFUNCTION("""COMPUTED_VALUE"""),1770.0)</f>
        <v>1770</v>
      </c>
      <c r="E586" s="2">
        <f>IFERROR(__xludf.DUMMYFUNCTION("""COMPUTED_VALUE"""),1785.0)</f>
        <v>1785</v>
      </c>
      <c r="F586" s="2">
        <f>IFERROR(__xludf.DUMMYFUNCTION("""COMPUTED_VALUE"""),1.034623E8)</f>
        <v>103462300</v>
      </c>
      <c r="G586" s="2">
        <f t="shared" si="1"/>
        <v>50</v>
      </c>
    </row>
    <row r="587" ht="15.75" customHeight="1">
      <c r="A587" s="1">
        <f>IFERROR(__xludf.DUMMYFUNCTION("""COMPUTED_VALUE"""),44715.66666666667)</f>
        <v>44715.66667</v>
      </c>
      <c r="B587" s="2">
        <f>IFERROR(__xludf.DUMMYFUNCTION("""COMPUTED_VALUE"""),1800.0)</f>
        <v>1800</v>
      </c>
      <c r="C587" s="2">
        <f>IFERROR(__xludf.DUMMYFUNCTION("""COMPUTED_VALUE"""),1810.0)</f>
        <v>1810</v>
      </c>
      <c r="D587" s="2">
        <f>IFERROR(__xludf.DUMMYFUNCTION("""COMPUTED_VALUE"""),1770.0)</f>
        <v>1770</v>
      </c>
      <c r="E587" s="2">
        <f>IFERROR(__xludf.DUMMYFUNCTION("""COMPUTED_VALUE"""),1790.0)</f>
        <v>1790</v>
      </c>
      <c r="F587" s="2">
        <f>IFERROR(__xludf.DUMMYFUNCTION("""COMPUTED_VALUE"""),1.297318E8)</f>
        <v>129731800</v>
      </c>
      <c r="G587" s="2">
        <f t="shared" si="1"/>
        <v>40</v>
      </c>
    </row>
    <row r="588" ht="15.75" customHeight="1">
      <c r="A588" s="1">
        <f>IFERROR(__xludf.DUMMYFUNCTION("""COMPUTED_VALUE"""),44718.66666666667)</f>
        <v>44718.66667</v>
      </c>
      <c r="B588" s="2">
        <f>IFERROR(__xludf.DUMMYFUNCTION("""COMPUTED_VALUE"""),1790.0)</f>
        <v>1790</v>
      </c>
      <c r="C588" s="2">
        <f>IFERROR(__xludf.DUMMYFUNCTION("""COMPUTED_VALUE"""),1795.0)</f>
        <v>1795</v>
      </c>
      <c r="D588" s="2">
        <f>IFERROR(__xludf.DUMMYFUNCTION("""COMPUTED_VALUE"""),1765.0)</f>
        <v>1765</v>
      </c>
      <c r="E588" s="2">
        <f>IFERROR(__xludf.DUMMYFUNCTION("""COMPUTED_VALUE"""),1785.0)</f>
        <v>1785</v>
      </c>
      <c r="F588" s="2">
        <f>IFERROR(__xludf.DUMMYFUNCTION("""COMPUTED_VALUE"""),7.37543E7)</f>
        <v>73754300</v>
      </c>
      <c r="G588" s="2">
        <f t="shared" si="1"/>
        <v>30</v>
      </c>
    </row>
    <row r="589" ht="15.75" customHeight="1">
      <c r="A589" s="1">
        <f>IFERROR(__xludf.DUMMYFUNCTION("""COMPUTED_VALUE"""),44719.66666666667)</f>
        <v>44719.66667</v>
      </c>
      <c r="B589" s="2">
        <f>IFERROR(__xludf.DUMMYFUNCTION("""COMPUTED_VALUE"""),1785.0)</f>
        <v>1785</v>
      </c>
      <c r="C589" s="2">
        <f>IFERROR(__xludf.DUMMYFUNCTION("""COMPUTED_VALUE"""),1800.0)</f>
        <v>1800</v>
      </c>
      <c r="D589" s="2">
        <f>IFERROR(__xludf.DUMMYFUNCTION("""COMPUTED_VALUE"""),1760.0)</f>
        <v>1760</v>
      </c>
      <c r="E589" s="2">
        <f>IFERROR(__xludf.DUMMYFUNCTION("""COMPUTED_VALUE"""),1775.0)</f>
        <v>1775</v>
      </c>
      <c r="F589" s="2">
        <f>IFERROR(__xludf.DUMMYFUNCTION("""COMPUTED_VALUE"""),1.435818E8)</f>
        <v>143581800</v>
      </c>
      <c r="G589" s="2">
        <f t="shared" si="1"/>
        <v>40</v>
      </c>
    </row>
    <row r="590" ht="15.75" customHeight="1">
      <c r="A590" s="1">
        <f>IFERROR(__xludf.DUMMYFUNCTION("""COMPUTED_VALUE"""),44720.66666666667)</f>
        <v>44720.66667</v>
      </c>
      <c r="B590" s="2">
        <f>IFERROR(__xludf.DUMMYFUNCTION("""COMPUTED_VALUE"""),1675.0)</f>
        <v>1675</v>
      </c>
      <c r="C590" s="2">
        <f>IFERROR(__xludf.DUMMYFUNCTION("""COMPUTED_VALUE"""),1700.0)</f>
        <v>1700</v>
      </c>
      <c r="D590" s="2">
        <f>IFERROR(__xludf.DUMMYFUNCTION("""COMPUTED_VALUE"""),1665.0)</f>
        <v>1665</v>
      </c>
      <c r="E590" s="2">
        <f>IFERROR(__xludf.DUMMYFUNCTION("""COMPUTED_VALUE"""),1690.0)</f>
        <v>1690</v>
      </c>
      <c r="F590" s="2">
        <f>IFERROR(__xludf.DUMMYFUNCTION("""COMPUTED_VALUE"""),2.044067E8)</f>
        <v>204406700</v>
      </c>
      <c r="G590" s="2">
        <f t="shared" si="1"/>
        <v>110</v>
      </c>
    </row>
    <row r="591" ht="15.75" customHeight="1">
      <c r="A591" s="1">
        <f>IFERROR(__xludf.DUMMYFUNCTION("""COMPUTED_VALUE"""),44721.66666666667)</f>
        <v>44721.66667</v>
      </c>
      <c r="B591" s="2">
        <f>IFERROR(__xludf.DUMMYFUNCTION("""COMPUTED_VALUE"""),1695.0)</f>
        <v>1695</v>
      </c>
      <c r="C591" s="2">
        <f>IFERROR(__xludf.DUMMYFUNCTION("""COMPUTED_VALUE"""),1700.0)</f>
        <v>1700</v>
      </c>
      <c r="D591" s="2">
        <f>IFERROR(__xludf.DUMMYFUNCTION("""COMPUTED_VALUE"""),1655.0)</f>
        <v>1655</v>
      </c>
      <c r="E591" s="2">
        <f>IFERROR(__xludf.DUMMYFUNCTION("""COMPUTED_VALUE"""),1680.0)</f>
        <v>1680</v>
      </c>
      <c r="F591" s="2">
        <f>IFERROR(__xludf.DUMMYFUNCTION("""COMPUTED_VALUE"""),8.46532E7)</f>
        <v>84653200</v>
      </c>
      <c r="G591" s="2">
        <f t="shared" si="1"/>
        <v>45</v>
      </c>
    </row>
    <row r="592" ht="15.75" customHeight="1">
      <c r="A592" s="1">
        <f>IFERROR(__xludf.DUMMYFUNCTION("""COMPUTED_VALUE"""),44722.66666666667)</f>
        <v>44722.66667</v>
      </c>
      <c r="B592" s="2">
        <f>IFERROR(__xludf.DUMMYFUNCTION("""COMPUTED_VALUE"""),1665.0)</f>
        <v>1665</v>
      </c>
      <c r="C592" s="2">
        <f>IFERROR(__xludf.DUMMYFUNCTION("""COMPUTED_VALUE"""),1685.0)</f>
        <v>1685</v>
      </c>
      <c r="D592" s="2">
        <f>IFERROR(__xludf.DUMMYFUNCTION("""COMPUTED_VALUE"""),1665.0)</f>
        <v>1665</v>
      </c>
      <c r="E592" s="2">
        <f>IFERROR(__xludf.DUMMYFUNCTION("""COMPUTED_VALUE"""),1680.0)</f>
        <v>1680</v>
      </c>
      <c r="F592" s="2">
        <f>IFERROR(__xludf.DUMMYFUNCTION("""COMPUTED_VALUE"""),9.17712E7)</f>
        <v>91771200</v>
      </c>
      <c r="G592" s="2">
        <f t="shared" si="1"/>
        <v>20</v>
      </c>
    </row>
    <row r="593" ht="15.75" customHeight="1">
      <c r="A593" s="1">
        <f>IFERROR(__xludf.DUMMYFUNCTION("""COMPUTED_VALUE"""),44725.66666666667)</f>
        <v>44725.66667</v>
      </c>
      <c r="B593" s="2">
        <f>IFERROR(__xludf.DUMMYFUNCTION("""COMPUTED_VALUE"""),1620.0)</f>
        <v>1620</v>
      </c>
      <c r="C593" s="2">
        <f>IFERROR(__xludf.DUMMYFUNCTION("""COMPUTED_VALUE"""),1650.0)</f>
        <v>1650</v>
      </c>
      <c r="D593" s="2">
        <f>IFERROR(__xludf.DUMMYFUNCTION("""COMPUTED_VALUE"""),1600.0)</f>
        <v>1600</v>
      </c>
      <c r="E593" s="2">
        <f>IFERROR(__xludf.DUMMYFUNCTION("""COMPUTED_VALUE"""),1640.0)</f>
        <v>1640</v>
      </c>
      <c r="F593" s="2">
        <f>IFERROR(__xludf.DUMMYFUNCTION("""COMPUTED_VALUE"""),1.435769E8)</f>
        <v>143576900</v>
      </c>
      <c r="G593" s="2">
        <f t="shared" si="1"/>
        <v>80</v>
      </c>
    </row>
    <row r="594" ht="15.75" customHeight="1">
      <c r="A594" s="1">
        <f>IFERROR(__xludf.DUMMYFUNCTION("""COMPUTED_VALUE"""),44726.66666666667)</f>
        <v>44726.66667</v>
      </c>
      <c r="B594" s="2">
        <f>IFERROR(__xludf.DUMMYFUNCTION("""COMPUTED_VALUE"""),1640.0)</f>
        <v>1640</v>
      </c>
      <c r="C594" s="2">
        <f>IFERROR(__xludf.DUMMYFUNCTION("""COMPUTED_VALUE"""),1745.0)</f>
        <v>1745</v>
      </c>
      <c r="D594" s="2">
        <f>IFERROR(__xludf.DUMMYFUNCTION("""COMPUTED_VALUE"""),1630.0)</f>
        <v>1630</v>
      </c>
      <c r="E594" s="2">
        <f>IFERROR(__xludf.DUMMYFUNCTION("""COMPUTED_VALUE"""),1730.0)</f>
        <v>1730</v>
      </c>
      <c r="F594" s="2">
        <f>IFERROR(__xludf.DUMMYFUNCTION("""COMPUTED_VALUE"""),2.061137E8)</f>
        <v>206113700</v>
      </c>
      <c r="G594" s="2">
        <f t="shared" si="1"/>
        <v>115</v>
      </c>
    </row>
    <row r="595" ht="15.75" customHeight="1">
      <c r="A595" s="1">
        <f>IFERROR(__xludf.DUMMYFUNCTION("""COMPUTED_VALUE"""),44727.66666666667)</f>
        <v>44727.66667</v>
      </c>
      <c r="B595" s="2">
        <f>IFERROR(__xludf.DUMMYFUNCTION("""COMPUTED_VALUE"""),1710.0)</f>
        <v>1710</v>
      </c>
      <c r="C595" s="2">
        <f>IFERROR(__xludf.DUMMYFUNCTION("""COMPUTED_VALUE"""),1765.0)</f>
        <v>1765</v>
      </c>
      <c r="D595" s="2">
        <f>IFERROR(__xludf.DUMMYFUNCTION("""COMPUTED_VALUE"""),1695.0)</f>
        <v>1695</v>
      </c>
      <c r="E595" s="2">
        <f>IFERROR(__xludf.DUMMYFUNCTION("""COMPUTED_VALUE"""),1715.0)</f>
        <v>1715</v>
      </c>
      <c r="F595" s="2">
        <f>IFERROR(__xludf.DUMMYFUNCTION("""COMPUTED_VALUE"""),2.171671E8)</f>
        <v>217167100</v>
      </c>
      <c r="G595" s="2">
        <f t="shared" si="1"/>
        <v>70</v>
      </c>
    </row>
    <row r="596" ht="15.75" customHeight="1">
      <c r="A596" s="1">
        <f>IFERROR(__xludf.DUMMYFUNCTION("""COMPUTED_VALUE"""),44728.66666666667)</f>
        <v>44728.66667</v>
      </c>
      <c r="B596" s="2">
        <f>IFERROR(__xludf.DUMMYFUNCTION("""COMPUTED_VALUE"""),1760.0)</f>
        <v>1760</v>
      </c>
      <c r="C596" s="2">
        <f>IFERROR(__xludf.DUMMYFUNCTION("""COMPUTED_VALUE"""),1860.0)</f>
        <v>1860</v>
      </c>
      <c r="D596" s="2">
        <f>IFERROR(__xludf.DUMMYFUNCTION("""COMPUTED_VALUE"""),1755.0)</f>
        <v>1755</v>
      </c>
      <c r="E596" s="2">
        <f>IFERROR(__xludf.DUMMYFUNCTION("""COMPUTED_VALUE"""),1820.0)</f>
        <v>1820</v>
      </c>
      <c r="F596" s="2">
        <f>IFERROR(__xludf.DUMMYFUNCTION("""COMPUTED_VALUE"""),3.485916E8)</f>
        <v>348591600</v>
      </c>
      <c r="G596" s="2">
        <f t="shared" si="1"/>
        <v>145</v>
      </c>
    </row>
    <row r="597" ht="15.75" customHeight="1">
      <c r="A597" s="1">
        <f>IFERROR(__xludf.DUMMYFUNCTION("""COMPUTED_VALUE"""),44729.66666666667)</f>
        <v>44729.66667</v>
      </c>
      <c r="B597" s="2">
        <f>IFERROR(__xludf.DUMMYFUNCTION("""COMPUTED_VALUE"""),1815.0)</f>
        <v>1815</v>
      </c>
      <c r="C597" s="2">
        <f>IFERROR(__xludf.DUMMYFUNCTION("""COMPUTED_VALUE"""),1835.0)</f>
        <v>1835</v>
      </c>
      <c r="D597" s="2">
        <f>IFERROR(__xludf.DUMMYFUNCTION("""COMPUTED_VALUE"""),1760.0)</f>
        <v>1760</v>
      </c>
      <c r="E597" s="2">
        <f>IFERROR(__xludf.DUMMYFUNCTION("""COMPUTED_VALUE"""),1800.0)</f>
        <v>1800</v>
      </c>
      <c r="F597" s="2">
        <f>IFERROR(__xludf.DUMMYFUNCTION("""COMPUTED_VALUE"""),1.668912E8)</f>
        <v>166891200</v>
      </c>
      <c r="G597" s="2">
        <f t="shared" si="1"/>
        <v>75</v>
      </c>
    </row>
    <row r="598" ht="15.75" customHeight="1">
      <c r="A598" s="1">
        <f>IFERROR(__xludf.DUMMYFUNCTION("""COMPUTED_VALUE"""),44732.66666666667)</f>
        <v>44732.66667</v>
      </c>
      <c r="B598" s="2">
        <f>IFERROR(__xludf.DUMMYFUNCTION("""COMPUTED_VALUE"""),1815.0)</f>
        <v>1815</v>
      </c>
      <c r="C598" s="2">
        <f>IFERROR(__xludf.DUMMYFUNCTION("""COMPUTED_VALUE"""),1815.0)</f>
        <v>1815</v>
      </c>
      <c r="D598" s="2">
        <f>IFERROR(__xludf.DUMMYFUNCTION("""COMPUTED_VALUE"""),1725.0)</f>
        <v>1725</v>
      </c>
      <c r="E598" s="2">
        <f>IFERROR(__xludf.DUMMYFUNCTION("""COMPUTED_VALUE"""),1775.0)</f>
        <v>1775</v>
      </c>
      <c r="F598" s="2">
        <f>IFERROR(__xludf.DUMMYFUNCTION("""COMPUTED_VALUE"""),9.106E7)</f>
        <v>91060000</v>
      </c>
      <c r="G598" s="2">
        <f t="shared" si="1"/>
        <v>90</v>
      </c>
    </row>
    <row r="599" ht="15.75" customHeight="1">
      <c r="A599" s="1">
        <f>IFERROR(__xludf.DUMMYFUNCTION("""COMPUTED_VALUE"""),44733.66666666667)</f>
        <v>44733.66667</v>
      </c>
      <c r="B599" s="2">
        <f>IFERROR(__xludf.DUMMYFUNCTION("""COMPUTED_VALUE"""),1780.0)</f>
        <v>1780</v>
      </c>
      <c r="C599" s="2">
        <f>IFERROR(__xludf.DUMMYFUNCTION("""COMPUTED_VALUE"""),1805.0)</f>
        <v>1805</v>
      </c>
      <c r="D599" s="2">
        <f>IFERROR(__xludf.DUMMYFUNCTION("""COMPUTED_VALUE"""),1745.0)</f>
        <v>1745</v>
      </c>
      <c r="E599" s="2">
        <f>IFERROR(__xludf.DUMMYFUNCTION("""COMPUTED_VALUE"""),1770.0)</f>
        <v>1770</v>
      </c>
      <c r="F599" s="2">
        <f>IFERROR(__xludf.DUMMYFUNCTION("""COMPUTED_VALUE"""),8.11546E7)</f>
        <v>81154600</v>
      </c>
      <c r="G599" s="2">
        <f t="shared" si="1"/>
        <v>60</v>
      </c>
    </row>
    <row r="600" ht="15.75" customHeight="1">
      <c r="A600" s="1">
        <f>IFERROR(__xludf.DUMMYFUNCTION("""COMPUTED_VALUE"""),44734.66666666667)</f>
        <v>44734.66667</v>
      </c>
      <c r="B600" s="2">
        <f>IFERROR(__xludf.DUMMYFUNCTION("""COMPUTED_VALUE"""),1770.0)</f>
        <v>1770</v>
      </c>
      <c r="C600" s="2">
        <f>IFERROR(__xludf.DUMMYFUNCTION("""COMPUTED_VALUE"""),1785.0)</f>
        <v>1785</v>
      </c>
      <c r="D600" s="2">
        <f>IFERROR(__xludf.DUMMYFUNCTION("""COMPUTED_VALUE"""),1740.0)</f>
        <v>1740</v>
      </c>
      <c r="E600" s="2">
        <f>IFERROR(__xludf.DUMMYFUNCTION("""COMPUTED_VALUE"""),1765.0)</f>
        <v>1765</v>
      </c>
      <c r="F600" s="2">
        <f>IFERROR(__xludf.DUMMYFUNCTION("""COMPUTED_VALUE"""),1.091469E8)</f>
        <v>109146900</v>
      </c>
      <c r="G600" s="2">
        <f t="shared" si="1"/>
        <v>45</v>
      </c>
    </row>
    <row r="601" ht="15.75" customHeight="1">
      <c r="A601" s="1">
        <f>IFERROR(__xludf.DUMMYFUNCTION("""COMPUTED_VALUE"""),44735.66666666667)</f>
        <v>44735.66667</v>
      </c>
      <c r="B601" s="2">
        <f>IFERROR(__xludf.DUMMYFUNCTION("""COMPUTED_VALUE"""),1760.0)</f>
        <v>1760</v>
      </c>
      <c r="C601" s="2">
        <f>IFERROR(__xludf.DUMMYFUNCTION("""COMPUTED_VALUE"""),1760.0)</f>
        <v>1760</v>
      </c>
      <c r="D601" s="2">
        <f>IFERROR(__xludf.DUMMYFUNCTION("""COMPUTED_VALUE"""),1685.0)</f>
        <v>1685</v>
      </c>
      <c r="E601" s="2">
        <f>IFERROR(__xludf.DUMMYFUNCTION("""COMPUTED_VALUE"""),1725.0)</f>
        <v>1725</v>
      </c>
      <c r="F601" s="2">
        <f>IFERROR(__xludf.DUMMYFUNCTION("""COMPUTED_VALUE"""),1.30507E8)</f>
        <v>130507000</v>
      </c>
      <c r="G601" s="2">
        <f t="shared" si="1"/>
        <v>80</v>
      </c>
    </row>
    <row r="602" ht="15.75" customHeight="1">
      <c r="A602" s="1">
        <f>IFERROR(__xludf.DUMMYFUNCTION("""COMPUTED_VALUE"""),44736.66666666667)</f>
        <v>44736.66667</v>
      </c>
      <c r="B602" s="2">
        <f>IFERROR(__xludf.DUMMYFUNCTION("""COMPUTED_VALUE"""),1725.0)</f>
        <v>1725</v>
      </c>
      <c r="C602" s="2">
        <f>IFERROR(__xludf.DUMMYFUNCTION("""COMPUTED_VALUE"""),1740.0)</f>
        <v>1740</v>
      </c>
      <c r="D602" s="2">
        <f>IFERROR(__xludf.DUMMYFUNCTION("""COMPUTED_VALUE"""),1690.0)</f>
        <v>1690</v>
      </c>
      <c r="E602" s="2">
        <f>IFERROR(__xludf.DUMMYFUNCTION("""COMPUTED_VALUE"""),1700.0)</f>
        <v>1700</v>
      </c>
      <c r="F602" s="2">
        <f>IFERROR(__xludf.DUMMYFUNCTION("""COMPUTED_VALUE"""),6.40967E7)</f>
        <v>64096700</v>
      </c>
      <c r="G602" s="2">
        <f t="shared" si="1"/>
        <v>50</v>
      </c>
    </row>
    <row r="603" ht="15.75" customHeight="1">
      <c r="A603" s="1">
        <f>IFERROR(__xludf.DUMMYFUNCTION("""COMPUTED_VALUE"""),44739.66666666667)</f>
        <v>44739.66667</v>
      </c>
      <c r="B603" s="2">
        <f>IFERROR(__xludf.DUMMYFUNCTION("""COMPUTED_VALUE"""),1705.0)</f>
        <v>1705</v>
      </c>
      <c r="C603" s="2">
        <f>IFERROR(__xludf.DUMMYFUNCTION("""COMPUTED_VALUE"""),1725.0)</f>
        <v>1725</v>
      </c>
      <c r="D603" s="2">
        <f>IFERROR(__xludf.DUMMYFUNCTION("""COMPUTED_VALUE"""),1640.0)</f>
        <v>1640</v>
      </c>
      <c r="E603" s="2">
        <f>IFERROR(__xludf.DUMMYFUNCTION("""COMPUTED_VALUE"""),1660.0)</f>
        <v>1660</v>
      </c>
      <c r="F603" s="2">
        <f>IFERROR(__xludf.DUMMYFUNCTION("""COMPUTED_VALUE"""),9.48198E7)</f>
        <v>94819800</v>
      </c>
      <c r="G603" s="2">
        <f t="shared" si="1"/>
        <v>85</v>
      </c>
    </row>
    <row r="604" ht="15.75" customHeight="1">
      <c r="A604" s="1">
        <f>IFERROR(__xludf.DUMMYFUNCTION("""COMPUTED_VALUE"""),44740.66666666667)</f>
        <v>44740.66667</v>
      </c>
      <c r="B604" s="2">
        <f>IFERROR(__xludf.DUMMYFUNCTION("""COMPUTED_VALUE"""),1670.0)</f>
        <v>1670</v>
      </c>
      <c r="C604" s="2">
        <f>IFERROR(__xludf.DUMMYFUNCTION("""COMPUTED_VALUE"""),1735.0)</f>
        <v>1735</v>
      </c>
      <c r="D604" s="2">
        <f>IFERROR(__xludf.DUMMYFUNCTION("""COMPUTED_VALUE"""),1660.0)</f>
        <v>1660</v>
      </c>
      <c r="E604" s="2">
        <f>IFERROR(__xludf.DUMMYFUNCTION("""COMPUTED_VALUE"""),1685.0)</f>
        <v>1685</v>
      </c>
      <c r="F604" s="2">
        <f>IFERROR(__xludf.DUMMYFUNCTION("""COMPUTED_VALUE"""),1.303215E8)</f>
        <v>130321500</v>
      </c>
      <c r="G604" s="2">
        <f t="shared" si="1"/>
        <v>75</v>
      </c>
    </row>
    <row r="605" ht="15.75" customHeight="1">
      <c r="A605" s="1">
        <f>IFERROR(__xludf.DUMMYFUNCTION("""COMPUTED_VALUE"""),44741.66666666667)</f>
        <v>44741.66667</v>
      </c>
      <c r="B605" s="2">
        <f>IFERROR(__xludf.DUMMYFUNCTION("""COMPUTED_VALUE"""),1675.0)</f>
        <v>1675</v>
      </c>
      <c r="C605" s="2">
        <f>IFERROR(__xludf.DUMMYFUNCTION("""COMPUTED_VALUE"""),1700.0)</f>
        <v>1700</v>
      </c>
      <c r="D605" s="2">
        <f>IFERROR(__xludf.DUMMYFUNCTION("""COMPUTED_VALUE"""),1660.0)</f>
        <v>1660</v>
      </c>
      <c r="E605" s="2">
        <f>IFERROR(__xludf.DUMMYFUNCTION("""COMPUTED_VALUE"""),1670.0)</f>
        <v>1670</v>
      </c>
      <c r="F605" s="2">
        <f>IFERROR(__xludf.DUMMYFUNCTION("""COMPUTED_VALUE"""),8.9496E7)</f>
        <v>89496000</v>
      </c>
      <c r="G605" s="2">
        <f t="shared" si="1"/>
        <v>40</v>
      </c>
    </row>
    <row r="606" ht="15.75" customHeight="1">
      <c r="A606" s="1">
        <f>IFERROR(__xludf.DUMMYFUNCTION("""COMPUTED_VALUE"""),44742.66666666667)</f>
        <v>44742.66667</v>
      </c>
      <c r="B606" s="2">
        <f>IFERROR(__xludf.DUMMYFUNCTION("""COMPUTED_VALUE"""),1670.0)</f>
        <v>1670</v>
      </c>
      <c r="C606" s="2">
        <f>IFERROR(__xludf.DUMMYFUNCTION("""COMPUTED_VALUE"""),1690.0)</f>
        <v>1690</v>
      </c>
      <c r="D606" s="2">
        <f>IFERROR(__xludf.DUMMYFUNCTION("""COMPUTED_VALUE"""),1590.0)</f>
        <v>1590</v>
      </c>
      <c r="E606" s="2">
        <f>IFERROR(__xludf.DUMMYFUNCTION("""COMPUTED_VALUE"""),1590.0)</f>
        <v>1590</v>
      </c>
      <c r="F606" s="2">
        <f>IFERROR(__xludf.DUMMYFUNCTION("""COMPUTED_VALUE"""),1.323109E8)</f>
        <v>132310900</v>
      </c>
      <c r="G606" s="2">
        <f t="shared" si="1"/>
        <v>100</v>
      </c>
    </row>
    <row r="607" ht="15.75" customHeight="1">
      <c r="A607" s="1">
        <f>IFERROR(__xludf.DUMMYFUNCTION("""COMPUTED_VALUE"""),44743.66666666667)</f>
        <v>44743.66667</v>
      </c>
      <c r="B607" s="2">
        <f>IFERROR(__xludf.DUMMYFUNCTION("""COMPUTED_VALUE"""),1590.0)</f>
        <v>1590</v>
      </c>
      <c r="C607" s="2">
        <f>IFERROR(__xludf.DUMMYFUNCTION("""COMPUTED_VALUE"""),1655.0)</f>
        <v>1655</v>
      </c>
      <c r="D607" s="2">
        <f>IFERROR(__xludf.DUMMYFUNCTION("""COMPUTED_VALUE"""),1575.0)</f>
        <v>1575</v>
      </c>
      <c r="E607" s="2">
        <f>IFERROR(__xludf.DUMMYFUNCTION("""COMPUTED_VALUE"""),1600.0)</f>
        <v>1600</v>
      </c>
      <c r="F607" s="2">
        <f>IFERROR(__xludf.DUMMYFUNCTION("""COMPUTED_VALUE"""),1.328852E8)</f>
        <v>132885200</v>
      </c>
      <c r="G607" s="2">
        <f t="shared" si="1"/>
        <v>80</v>
      </c>
    </row>
    <row r="608" ht="15.75" customHeight="1">
      <c r="A608" s="1">
        <f>IFERROR(__xludf.DUMMYFUNCTION("""COMPUTED_VALUE"""),44746.66666666667)</f>
        <v>44746.66667</v>
      </c>
      <c r="B608" s="2">
        <f>IFERROR(__xludf.DUMMYFUNCTION("""COMPUTED_VALUE"""),1615.0)</f>
        <v>1615</v>
      </c>
      <c r="C608" s="2">
        <f>IFERROR(__xludf.DUMMYFUNCTION("""COMPUTED_VALUE"""),1630.0)</f>
        <v>1630</v>
      </c>
      <c r="D608" s="2">
        <f>IFERROR(__xludf.DUMMYFUNCTION("""COMPUTED_VALUE"""),1520.0)</f>
        <v>1520</v>
      </c>
      <c r="E608" s="2">
        <f>IFERROR(__xludf.DUMMYFUNCTION("""COMPUTED_VALUE"""),1550.0)</f>
        <v>1550</v>
      </c>
      <c r="F608" s="2">
        <f>IFERROR(__xludf.DUMMYFUNCTION("""COMPUTED_VALUE"""),8.41526E7)</f>
        <v>84152600</v>
      </c>
      <c r="G608" s="2">
        <f t="shared" si="1"/>
        <v>110</v>
      </c>
    </row>
    <row r="609" ht="15.75" customHeight="1">
      <c r="A609" s="1">
        <f>IFERROR(__xludf.DUMMYFUNCTION("""COMPUTED_VALUE"""),44747.66666666667)</f>
        <v>44747.66667</v>
      </c>
      <c r="B609" s="2">
        <f>IFERROR(__xludf.DUMMYFUNCTION("""COMPUTED_VALUE"""),1575.0)</f>
        <v>1575</v>
      </c>
      <c r="C609" s="2">
        <f>IFERROR(__xludf.DUMMYFUNCTION("""COMPUTED_VALUE"""),1625.0)</f>
        <v>1625</v>
      </c>
      <c r="D609" s="2">
        <f>IFERROR(__xludf.DUMMYFUNCTION("""COMPUTED_VALUE"""),1575.0)</f>
        <v>1575</v>
      </c>
      <c r="E609" s="2">
        <f>IFERROR(__xludf.DUMMYFUNCTION("""COMPUTED_VALUE"""),1610.0)</f>
        <v>1610</v>
      </c>
      <c r="F609" s="2">
        <f>IFERROR(__xludf.DUMMYFUNCTION("""COMPUTED_VALUE"""),8.96964E7)</f>
        <v>89696400</v>
      </c>
      <c r="G609" s="2">
        <f t="shared" si="1"/>
        <v>75</v>
      </c>
    </row>
    <row r="610" ht="15.75" customHeight="1">
      <c r="A610" s="1">
        <f>IFERROR(__xludf.DUMMYFUNCTION("""COMPUTED_VALUE"""),44748.66666666667)</f>
        <v>44748.66667</v>
      </c>
      <c r="B610" s="2">
        <f>IFERROR(__xludf.DUMMYFUNCTION("""COMPUTED_VALUE"""),1550.0)</f>
        <v>1550</v>
      </c>
      <c r="C610" s="2">
        <f>IFERROR(__xludf.DUMMYFUNCTION("""COMPUTED_VALUE"""),1570.0)</f>
        <v>1570</v>
      </c>
      <c r="D610" s="2">
        <f>IFERROR(__xludf.DUMMYFUNCTION("""COMPUTED_VALUE"""),1510.0)</f>
        <v>1510</v>
      </c>
      <c r="E610" s="2">
        <f>IFERROR(__xludf.DUMMYFUNCTION("""COMPUTED_VALUE"""),1530.0)</f>
        <v>1530</v>
      </c>
      <c r="F610" s="2">
        <f>IFERROR(__xludf.DUMMYFUNCTION("""COMPUTED_VALUE"""),1.374484E8)</f>
        <v>137448400</v>
      </c>
      <c r="G610" s="2">
        <f t="shared" si="1"/>
        <v>100</v>
      </c>
    </row>
    <row r="611" ht="15.75" customHeight="1">
      <c r="A611" s="1">
        <f>IFERROR(__xludf.DUMMYFUNCTION("""COMPUTED_VALUE"""),44749.66666666667)</f>
        <v>44749.66667</v>
      </c>
      <c r="B611" s="2">
        <f>IFERROR(__xludf.DUMMYFUNCTION("""COMPUTED_VALUE"""),1530.0)</f>
        <v>1530</v>
      </c>
      <c r="C611" s="2">
        <f>IFERROR(__xludf.DUMMYFUNCTION("""COMPUTED_VALUE"""),1550.0)</f>
        <v>1550</v>
      </c>
      <c r="D611" s="2">
        <f>IFERROR(__xludf.DUMMYFUNCTION("""COMPUTED_VALUE"""),1500.0)</f>
        <v>1500</v>
      </c>
      <c r="E611" s="2">
        <f>IFERROR(__xludf.DUMMYFUNCTION("""COMPUTED_VALUE"""),1535.0)</f>
        <v>1535</v>
      </c>
      <c r="F611" s="2">
        <f>IFERROR(__xludf.DUMMYFUNCTION("""COMPUTED_VALUE"""),7.05407E7)</f>
        <v>70540700</v>
      </c>
      <c r="G611" s="2">
        <f t="shared" si="1"/>
        <v>50</v>
      </c>
    </row>
    <row r="612" ht="15.75" customHeight="1">
      <c r="A612" s="1">
        <f>IFERROR(__xludf.DUMMYFUNCTION("""COMPUTED_VALUE"""),44750.66666666667)</f>
        <v>44750.66667</v>
      </c>
      <c r="B612" s="2">
        <f>IFERROR(__xludf.DUMMYFUNCTION("""COMPUTED_VALUE"""),1575.0)</f>
        <v>1575</v>
      </c>
      <c r="C612" s="2">
        <f>IFERROR(__xludf.DUMMYFUNCTION("""COMPUTED_VALUE"""),1580.0)</f>
        <v>1580</v>
      </c>
      <c r="D612" s="2">
        <f>IFERROR(__xludf.DUMMYFUNCTION("""COMPUTED_VALUE"""),1525.0)</f>
        <v>1525</v>
      </c>
      <c r="E612" s="2">
        <f>IFERROR(__xludf.DUMMYFUNCTION("""COMPUTED_VALUE"""),1560.0)</f>
        <v>1560</v>
      </c>
      <c r="F612" s="2">
        <f>IFERROR(__xludf.DUMMYFUNCTION("""COMPUTED_VALUE"""),1.607618E8)</f>
        <v>160761800</v>
      </c>
      <c r="G612" s="2">
        <f t="shared" si="1"/>
        <v>55</v>
      </c>
    </row>
    <row r="613" ht="15.75" customHeight="1">
      <c r="A613" s="1">
        <f>IFERROR(__xludf.DUMMYFUNCTION("""COMPUTED_VALUE"""),44753.66666666667)</f>
        <v>44753.66667</v>
      </c>
      <c r="B613" s="2">
        <f>IFERROR(__xludf.DUMMYFUNCTION("""COMPUTED_VALUE"""),1560.0)</f>
        <v>1560</v>
      </c>
      <c r="C613" s="2">
        <f>IFERROR(__xludf.DUMMYFUNCTION("""COMPUTED_VALUE"""),1595.0)</f>
        <v>1595</v>
      </c>
      <c r="D613" s="2">
        <f>IFERROR(__xludf.DUMMYFUNCTION("""COMPUTED_VALUE"""),1560.0)</f>
        <v>1560</v>
      </c>
      <c r="E613" s="2">
        <f>IFERROR(__xludf.DUMMYFUNCTION("""COMPUTED_VALUE"""),1585.0)</f>
        <v>1585</v>
      </c>
      <c r="F613" s="2">
        <f>IFERROR(__xludf.DUMMYFUNCTION("""COMPUTED_VALUE"""),7.75375E7)</f>
        <v>77537500</v>
      </c>
      <c r="G613" s="2">
        <f t="shared" si="1"/>
        <v>35</v>
      </c>
    </row>
    <row r="614" ht="15.75" customHeight="1">
      <c r="A614" s="1">
        <f>IFERROR(__xludf.DUMMYFUNCTION("""COMPUTED_VALUE"""),44754.66666666667)</f>
        <v>44754.66667</v>
      </c>
      <c r="B614" s="2">
        <f>IFERROR(__xludf.DUMMYFUNCTION("""COMPUTED_VALUE"""),1585.0)</f>
        <v>1585</v>
      </c>
      <c r="C614" s="2">
        <f>IFERROR(__xludf.DUMMYFUNCTION("""COMPUTED_VALUE"""),1610.0)</f>
        <v>1610</v>
      </c>
      <c r="D614" s="2">
        <f>IFERROR(__xludf.DUMMYFUNCTION("""COMPUTED_VALUE"""),1555.0)</f>
        <v>1555</v>
      </c>
      <c r="E614" s="2">
        <f>IFERROR(__xludf.DUMMYFUNCTION("""COMPUTED_VALUE"""),1595.0)</f>
        <v>1595</v>
      </c>
      <c r="F614" s="2">
        <f>IFERROR(__xludf.DUMMYFUNCTION("""COMPUTED_VALUE"""),8.4289E7)</f>
        <v>84289000</v>
      </c>
      <c r="G614" s="2">
        <f t="shared" si="1"/>
        <v>55</v>
      </c>
    </row>
    <row r="615" ht="15.75" customHeight="1">
      <c r="A615" s="1">
        <f>IFERROR(__xludf.DUMMYFUNCTION("""COMPUTED_VALUE"""),44755.66666666667)</f>
        <v>44755.66667</v>
      </c>
      <c r="B615" s="2">
        <f>IFERROR(__xludf.DUMMYFUNCTION("""COMPUTED_VALUE"""),1590.0)</f>
        <v>1590</v>
      </c>
      <c r="C615" s="2">
        <f>IFERROR(__xludf.DUMMYFUNCTION("""COMPUTED_VALUE"""),1590.0)</f>
        <v>1590</v>
      </c>
      <c r="D615" s="2">
        <f>IFERROR(__xludf.DUMMYFUNCTION("""COMPUTED_VALUE"""),1540.0)</f>
        <v>1540</v>
      </c>
      <c r="E615" s="2">
        <f>IFERROR(__xludf.DUMMYFUNCTION("""COMPUTED_VALUE"""),1540.0)</f>
        <v>1540</v>
      </c>
      <c r="F615" s="2">
        <f>IFERROR(__xludf.DUMMYFUNCTION("""COMPUTED_VALUE"""),4.81599E7)</f>
        <v>48159900</v>
      </c>
      <c r="G615" s="2">
        <f t="shared" si="1"/>
        <v>55</v>
      </c>
    </row>
    <row r="616" ht="15.75" customHeight="1">
      <c r="A616" s="1">
        <f>IFERROR(__xludf.DUMMYFUNCTION("""COMPUTED_VALUE"""),44756.66666666667)</f>
        <v>44756.66667</v>
      </c>
      <c r="B616" s="2">
        <f>IFERROR(__xludf.DUMMYFUNCTION("""COMPUTED_VALUE"""),1540.0)</f>
        <v>1540</v>
      </c>
      <c r="C616" s="2">
        <f>IFERROR(__xludf.DUMMYFUNCTION("""COMPUTED_VALUE"""),1570.0)</f>
        <v>1570</v>
      </c>
      <c r="D616" s="2">
        <f>IFERROR(__xludf.DUMMYFUNCTION("""COMPUTED_VALUE"""),1530.0)</f>
        <v>1530</v>
      </c>
      <c r="E616" s="2">
        <f>IFERROR(__xludf.DUMMYFUNCTION("""COMPUTED_VALUE"""),1570.0)</f>
        <v>1570</v>
      </c>
      <c r="F616" s="2">
        <f>IFERROR(__xludf.DUMMYFUNCTION("""COMPUTED_VALUE"""),5.18996E7)</f>
        <v>51899600</v>
      </c>
      <c r="G616" s="2">
        <f t="shared" si="1"/>
        <v>40</v>
      </c>
    </row>
    <row r="617" ht="15.75" customHeight="1">
      <c r="A617" s="1">
        <f>IFERROR(__xludf.DUMMYFUNCTION("""COMPUTED_VALUE"""),44757.66666666667)</f>
        <v>44757.66667</v>
      </c>
      <c r="B617" s="2">
        <f>IFERROR(__xludf.DUMMYFUNCTION("""COMPUTED_VALUE"""),1565.0)</f>
        <v>1565</v>
      </c>
      <c r="C617" s="2">
        <f>IFERROR(__xludf.DUMMYFUNCTION("""COMPUTED_VALUE"""),1565.0)</f>
        <v>1565</v>
      </c>
      <c r="D617" s="2">
        <f>IFERROR(__xludf.DUMMYFUNCTION("""COMPUTED_VALUE"""),1530.0)</f>
        <v>1530</v>
      </c>
      <c r="E617" s="2">
        <f>IFERROR(__xludf.DUMMYFUNCTION("""COMPUTED_VALUE"""),1530.0)</f>
        <v>1530</v>
      </c>
      <c r="F617" s="2">
        <f>IFERROR(__xludf.DUMMYFUNCTION("""COMPUTED_VALUE"""),4.18771E7)</f>
        <v>41877100</v>
      </c>
      <c r="G617" s="2">
        <f t="shared" si="1"/>
        <v>40</v>
      </c>
    </row>
    <row r="618" ht="15.75" customHeight="1">
      <c r="A618" s="1">
        <f>IFERROR(__xludf.DUMMYFUNCTION("""COMPUTED_VALUE"""),44760.66666666667)</f>
        <v>44760.66667</v>
      </c>
      <c r="B618" s="2">
        <f>IFERROR(__xludf.DUMMYFUNCTION("""COMPUTED_VALUE"""),1545.0)</f>
        <v>1545</v>
      </c>
      <c r="C618" s="2">
        <f>IFERROR(__xludf.DUMMYFUNCTION("""COMPUTED_VALUE"""),1565.0)</f>
        <v>1565</v>
      </c>
      <c r="D618" s="2">
        <f>IFERROR(__xludf.DUMMYFUNCTION("""COMPUTED_VALUE"""),1535.0)</f>
        <v>1535</v>
      </c>
      <c r="E618" s="2">
        <f>IFERROR(__xludf.DUMMYFUNCTION("""COMPUTED_VALUE"""),1565.0)</f>
        <v>1565</v>
      </c>
      <c r="F618" s="2">
        <f>IFERROR(__xludf.DUMMYFUNCTION("""COMPUTED_VALUE"""),3.7536E7)</f>
        <v>37536000</v>
      </c>
      <c r="G618" s="2">
        <f t="shared" si="1"/>
        <v>35</v>
      </c>
    </row>
    <row r="619" ht="15.75" customHeight="1">
      <c r="A619" s="1">
        <f>IFERROR(__xludf.DUMMYFUNCTION("""COMPUTED_VALUE"""),44761.66666666667)</f>
        <v>44761.66667</v>
      </c>
      <c r="B619" s="2">
        <f>IFERROR(__xludf.DUMMYFUNCTION("""COMPUTED_VALUE"""),1555.0)</f>
        <v>1555</v>
      </c>
      <c r="C619" s="2">
        <f>IFERROR(__xludf.DUMMYFUNCTION("""COMPUTED_VALUE"""),1590.0)</f>
        <v>1590</v>
      </c>
      <c r="D619" s="2">
        <f>IFERROR(__xludf.DUMMYFUNCTION("""COMPUTED_VALUE"""),1545.0)</f>
        <v>1545</v>
      </c>
      <c r="E619" s="2">
        <f>IFERROR(__xludf.DUMMYFUNCTION("""COMPUTED_VALUE"""),1585.0)</f>
        <v>1585</v>
      </c>
      <c r="F619" s="2">
        <f>IFERROR(__xludf.DUMMYFUNCTION("""COMPUTED_VALUE"""),6.89705E7)</f>
        <v>68970500</v>
      </c>
      <c r="G619" s="2">
        <f t="shared" si="1"/>
        <v>45</v>
      </c>
    </row>
    <row r="620" ht="15.75" customHeight="1">
      <c r="A620" s="1">
        <f>IFERROR(__xludf.DUMMYFUNCTION("""COMPUTED_VALUE"""),44762.66666666667)</f>
        <v>44762.66667</v>
      </c>
      <c r="B620" s="2">
        <f>IFERROR(__xludf.DUMMYFUNCTION("""COMPUTED_VALUE"""),1600.0)</f>
        <v>1600</v>
      </c>
      <c r="C620" s="2">
        <f>IFERROR(__xludf.DUMMYFUNCTION("""COMPUTED_VALUE"""),1640.0)</f>
        <v>1640</v>
      </c>
      <c r="D620" s="2">
        <f>IFERROR(__xludf.DUMMYFUNCTION("""COMPUTED_VALUE"""),1590.0)</f>
        <v>1590</v>
      </c>
      <c r="E620" s="2">
        <f>IFERROR(__xludf.DUMMYFUNCTION("""COMPUTED_VALUE"""),1605.0)</f>
        <v>1605</v>
      </c>
      <c r="F620" s="2">
        <f>IFERROR(__xludf.DUMMYFUNCTION("""COMPUTED_VALUE"""),1.299845E8)</f>
        <v>129984500</v>
      </c>
      <c r="G620" s="2">
        <f t="shared" si="1"/>
        <v>55</v>
      </c>
    </row>
    <row r="621" ht="15.75" customHeight="1">
      <c r="A621" s="1">
        <f>IFERROR(__xludf.DUMMYFUNCTION("""COMPUTED_VALUE"""),44763.66666666667)</f>
        <v>44763.66667</v>
      </c>
      <c r="B621" s="2">
        <f>IFERROR(__xludf.DUMMYFUNCTION("""COMPUTED_VALUE"""),1610.0)</f>
        <v>1610</v>
      </c>
      <c r="C621" s="2">
        <f>IFERROR(__xludf.DUMMYFUNCTION("""COMPUTED_VALUE"""),1625.0)</f>
        <v>1625</v>
      </c>
      <c r="D621" s="2">
        <f>IFERROR(__xludf.DUMMYFUNCTION("""COMPUTED_VALUE"""),1570.0)</f>
        <v>1570</v>
      </c>
      <c r="E621" s="2">
        <f>IFERROR(__xludf.DUMMYFUNCTION("""COMPUTED_VALUE"""),1580.0)</f>
        <v>1580</v>
      </c>
      <c r="F621" s="2">
        <f>IFERROR(__xludf.DUMMYFUNCTION("""COMPUTED_VALUE"""),8.22934E7)</f>
        <v>82293400</v>
      </c>
      <c r="G621" s="2">
        <f t="shared" si="1"/>
        <v>55</v>
      </c>
    </row>
    <row r="622" ht="15.75" customHeight="1">
      <c r="A622" s="1">
        <f>IFERROR(__xludf.DUMMYFUNCTION("""COMPUTED_VALUE"""),44764.66666666667)</f>
        <v>44764.66667</v>
      </c>
      <c r="B622" s="2">
        <f>IFERROR(__xludf.DUMMYFUNCTION("""COMPUTED_VALUE"""),1580.0)</f>
        <v>1580</v>
      </c>
      <c r="C622" s="2">
        <f>IFERROR(__xludf.DUMMYFUNCTION("""COMPUTED_VALUE"""),1615.0)</f>
        <v>1615</v>
      </c>
      <c r="D622" s="2">
        <f>IFERROR(__xludf.DUMMYFUNCTION("""COMPUTED_VALUE"""),1580.0)</f>
        <v>1580</v>
      </c>
      <c r="E622" s="2">
        <f>IFERROR(__xludf.DUMMYFUNCTION("""COMPUTED_VALUE"""),1605.0)</f>
        <v>1605</v>
      </c>
      <c r="F622" s="2">
        <f>IFERROR(__xludf.DUMMYFUNCTION("""COMPUTED_VALUE"""),4.77508E7)</f>
        <v>47750800</v>
      </c>
      <c r="G622" s="2">
        <f t="shared" si="1"/>
        <v>35</v>
      </c>
    </row>
    <row r="623" ht="15.75" customHeight="1">
      <c r="A623" s="1">
        <f>IFERROR(__xludf.DUMMYFUNCTION("""COMPUTED_VALUE"""),44767.66666666667)</f>
        <v>44767.66667</v>
      </c>
      <c r="B623" s="2">
        <f>IFERROR(__xludf.DUMMYFUNCTION("""COMPUTED_VALUE"""),1605.0)</f>
        <v>1605</v>
      </c>
      <c r="C623" s="2">
        <f>IFERROR(__xludf.DUMMYFUNCTION("""COMPUTED_VALUE"""),1620.0)</f>
        <v>1620</v>
      </c>
      <c r="D623" s="2">
        <f>IFERROR(__xludf.DUMMYFUNCTION("""COMPUTED_VALUE"""),1585.0)</f>
        <v>1585</v>
      </c>
      <c r="E623" s="2">
        <f>IFERROR(__xludf.DUMMYFUNCTION("""COMPUTED_VALUE"""),1600.0)</f>
        <v>1600</v>
      </c>
      <c r="F623" s="2">
        <f>IFERROR(__xludf.DUMMYFUNCTION("""COMPUTED_VALUE"""),3.23402E7)</f>
        <v>32340200</v>
      </c>
      <c r="G623" s="2">
        <f t="shared" si="1"/>
        <v>35</v>
      </c>
    </row>
    <row r="624" ht="15.75" customHeight="1">
      <c r="A624" s="1">
        <f>IFERROR(__xludf.DUMMYFUNCTION("""COMPUTED_VALUE"""),44768.66666666667)</f>
        <v>44768.66667</v>
      </c>
      <c r="B624" s="2">
        <f>IFERROR(__xludf.DUMMYFUNCTION("""COMPUTED_VALUE"""),1600.0)</f>
        <v>1600</v>
      </c>
      <c r="C624" s="2">
        <f>IFERROR(__xludf.DUMMYFUNCTION("""COMPUTED_VALUE"""),1615.0)</f>
        <v>1615</v>
      </c>
      <c r="D624" s="2">
        <f>IFERROR(__xludf.DUMMYFUNCTION("""COMPUTED_VALUE"""),1570.0)</f>
        <v>1570</v>
      </c>
      <c r="E624" s="2">
        <f>IFERROR(__xludf.DUMMYFUNCTION("""COMPUTED_VALUE"""),1590.0)</f>
        <v>1590</v>
      </c>
      <c r="F624" s="2">
        <f>IFERROR(__xludf.DUMMYFUNCTION("""COMPUTED_VALUE"""),7.03923E7)</f>
        <v>70392300</v>
      </c>
      <c r="G624" s="2">
        <f t="shared" si="1"/>
        <v>45</v>
      </c>
    </row>
    <row r="625" ht="15.75" customHeight="1">
      <c r="A625" s="1">
        <f>IFERROR(__xludf.DUMMYFUNCTION("""COMPUTED_VALUE"""),44769.66666666667)</f>
        <v>44769.66667</v>
      </c>
      <c r="B625" s="2">
        <f>IFERROR(__xludf.DUMMYFUNCTION("""COMPUTED_VALUE"""),1590.0)</f>
        <v>1590</v>
      </c>
      <c r="C625" s="2">
        <f>IFERROR(__xludf.DUMMYFUNCTION("""COMPUTED_VALUE"""),1625.0)</f>
        <v>1625</v>
      </c>
      <c r="D625" s="2">
        <f>IFERROR(__xludf.DUMMYFUNCTION("""COMPUTED_VALUE"""),1585.0)</f>
        <v>1585</v>
      </c>
      <c r="E625" s="2">
        <f>IFERROR(__xludf.DUMMYFUNCTION("""COMPUTED_VALUE"""),1620.0)</f>
        <v>1620</v>
      </c>
      <c r="F625" s="2">
        <f>IFERROR(__xludf.DUMMYFUNCTION("""COMPUTED_VALUE"""),5.97272E7)</f>
        <v>59727200</v>
      </c>
      <c r="G625" s="2">
        <f t="shared" si="1"/>
        <v>40</v>
      </c>
    </row>
    <row r="626" ht="15.75" customHeight="1">
      <c r="A626" s="1">
        <f>IFERROR(__xludf.DUMMYFUNCTION("""COMPUTED_VALUE"""),44770.66666666667)</f>
        <v>44770.66667</v>
      </c>
      <c r="B626" s="2">
        <f>IFERROR(__xludf.DUMMYFUNCTION("""COMPUTED_VALUE"""),1635.0)</f>
        <v>1635</v>
      </c>
      <c r="C626" s="2">
        <f>IFERROR(__xludf.DUMMYFUNCTION("""COMPUTED_VALUE"""),1745.0)</f>
        <v>1745</v>
      </c>
      <c r="D626" s="2">
        <f>IFERROR(__xludf.DUMMYFUNCTION("""COMPUTED_VALUE"""),1625.0)</f>
        <v>1625</v>
      </c>
      <c r="E626" s="2">
        <f>IFERROR(__xludf.DUMMYFUNCTION("""COMPUTED_VALUE"""),1685.0)</f>
        <v>1685</v>
      </c>
      <c r="F626" s="2">
        <f>IFERROR(__xludf.DUMMYFUNCTION("""COMPUTED_VALUE"""),2.085127E8)</f>
        <v>208512700</v>
      </c>
      <c r="G626" s="2">
        <f t="shared" si="1"/>
        <v>125</v>
      </c>
    </row>
    <row r="627" ht="15.75" customHeight="1">
      <c r="A627" s="1">
        <f>IFERROR(__xludf.DUMMYFUNCTION("""COMPUTED_VALUE"""),44771.66666666667)</f>
        <v>44771.66667</v>
      </c>
      <c r="B627" s="2">
        <f>IFERROR(__xludf.DUMMYFUNCTION("""COMPUTED_VALUE"""),1690.0)</f>
        <v>1690</v>
      </c>
      <c r="C627" s="2">
        <f>IFERROR(__xludf.DUMMYFUNCTION("""COMPUTED_VALUE"""),1705.0)</f>
        <v>1705</v>
      </c>
      <c r="D627" s="2">
        <f>IFERROR(__xludf.DUMMYFUNCTION("""COMPUTED_VALUE"""),1660.0)</f>
        <v>1660</v>
      </c>
      <c r="E627" s="2">
        <f>IFERROR(__xludf.DUMMYFUNCTION("""COMPUTED_VALUE"""),1680.0)</f>
        <v>1680</v>
      </c>
      <c r="F627" s="2">
        <f>IFERROR(__xludf.DUMMYFUNCTION("""COMPUTED_VALUE"""),8.15343E7)</f>
        <v>81534300</v>
      </c>
      <c r="G627" s="2">
        <f t="shared" si="1"/>
        <v>45</v>
      </c>
    </row>
    <row r="628" ht="15.75" customHeight="1">
      <c r="A628" s="1">
        <f>IFERROR(__xludf.DUMMYFUNCTION("""COMPUTED_VALUE"""),44774.66666666667)</f>
        <v>44774.66667</v>
      </c>
      <c r="B628" s="2">
        <f>IFERROR(__xludf.DUMMYFUNCTION("""COMPUTED_VALUE"""),1680.0)</f>
        <v>1680</v>
      </c>
      <c r="C628" s="2">
        <f>IFERROR(__xludf.DUMMYFUNCTION("""COMPUTED_VALUE"""),1720.0)</f>
        <v>1720</v>
      </c>
      <c r="D628" s="2">
        <f>IFERROR(__xludf.DUMMYFUNCTION("""COMPUTED_VALUE"""),1680.0)</f>
        <v>1680</v>
      </c>
      <c r="E628" s="2">
        <f>IFERROR(__xludf.DUMMYFUNCTION("""COMPUTED_VALUE"""),1685.0)</f>
        <v>1685</v>
      </c>
      <c r="F628" s="2">
        <f>IFERROR(__xludf.DUMMYFUNCTION("""COMPUTED_VALUE"""),7.93339E7)</f>
        <v>79333900</v>
      </c>
      <c r="G628" s="2">
        <f t="shared" si="1"/>
        <v>40</v>
      </c>
    </row>
    <row r="629" ht="15.75" customHeight="1">
      <c r="A629" s="1">
        <f>IFERROR(__xludf.DUMMYFUNCTION("""COMPUTED_VALUE"""),44775.66666666667)</f>
        <v>44775.66667</v>
      </c>
      <c r="B629" s="2">
        <f>IFERROR(__xludf.DUMMYFUNCTION("""COMPUTED_VALUE"""),1685.0)</f>
        <v>1685</v>
      </c>
      <c r="C629" s="2">
        <f>IFERROR(__xludf.DUMMYFUNCTION("""COMPUTED_VALUE"""),1690.0)</f>
        <v>1690</v>
      </c>
      <c r="D629" s="2">
        <f>IFERROR(__xludf.DUMMYFUNCTION("""COMPUTED_VALUE"""),1655.0)</f>
        <v>1655</v>
      </c>
      <c r="E629" s="2">
        <f>IFERROR(__xludf.DUMMYFUNCTION("""COMPUTED_VALUE"""),1675.0)</f>
        <v>1675</v>
      </c>
      <c r="F629" s="2">
        <f>IFERROR(__xludf.DUMMYFUNCTION("""COMPUTED_VALUE"""),6.15934E7)</f>
        <v>61593400</v>
      </c>
      <c r="G629" s="2">
        <f t="shared" si="1"/>
        <v>35</v>
      </c>
    </row>
    <row r="630" ht="15.75" customHeight="1">
      <c r="A630" s="1">
        <f>IFERROR(__xludf.DUMMYFUNCTION("""COMPUTED_VALUE"""),44776.66666666667)</f>
        <v>44776.66667</v>
      </c>
      <c r="B630" s="2">
        <f>IFERROR(__xludf.DUMMYFUNCTION("""COMPUTED_VALUE"""),1675.0)</f>
        <v>1675</v>
      </c>
      <c r="C630" s="2">
        <f>IFERROR(__xludf.DUMMYFUNCTION("""COMPUTED_VALUE"""),1700.0)</f>
        <v>1700</v>
      </c>
      <c r="D630" s="2">
        <f>IFERROR(__xludf.DUMMYFUNCTION("""COMPUTED_VALUE"""),1660.0)</f>
        <v>1660</v>
      </c>
      <c r="E630" s="2">
        <f>IFERROR(__xludf.DUMMYFUNCTION("""COMPUTED_VALUE"""),1695.0)</f>
        <v>1695</v>
      </c>
      <c r="F630" s="2">
        <f>IFERROR(__xludf.DUMMYFUNCTION("""COMPUTED_VALUE"""),4.48403E7)</f>
        <v>44840300</v>
      </c>
      <c r="G630" s="2">
        <f t="shared" si="1"/>
        <v>40</v>
      </c>
    </row>
    <row r="631" ht="15.75" customHeight="1">
      <c r="A631" s="1">
        <f>IFERROR(__xludf.DUMMYFUNCTION("""COMPUTED_VALUE"""),44777.66666666667)</f>
        <v>44777.66667</v>
      </c>
      <c r="B631" s="2">
        <f>IFERROR(__xludf.DUMMYFUNCTION("""COMPUTED_VALUE"""),1705.0)</f>
        <v>1705</v>
      </c>
      <c r="C631" s="2">
        <f>IFERROR(__xludf.DUMMYFUNCTION("""COMPUTED_VALUE"""),1710.0)</f>
        <v>1710</v>
      </c>
      <c r="D631" s="2">
        <f>IFERROR(__xludf.DUMMYFUNCTION("""COMPUTED_VALUE"""),1630.0)</f>
        <v>1630</v>
      </c>
      <c r="E631" s="2">
        <f>IFERROR(__xludf.DUMMYFUNCTION("""COMPUTED_VALUE"""),1630.0)</f>
        <v>1630</v>
      </c>
      <c r="F631" s="2">
        <f>IFERROR(__xludf.DUMMYFUNCTION("""COMPUTED_VALUE"""),1.082258E8)</f>
        <v>108225800</v>
      </c>
      <c r="G631" s="2">
        <f t="shared" si="1"/>
        <v>80</v>
      </c>
    </row>
    <row r="632" ht="15.75" customHeight="1">
      <c r="A632" s="1">
        <f>IFERROR(__xludf.DUMMYFUNCTION("""COMPUTED_VALUE"""),44778.66666666667)</f>
        <v>44778.66667</v>
      </c>
      <c r="B632" s="2">
        <f>IFERROR(__xludf.DUMMYFUNCTION("""COMPUTED_VALUE"""),1630.0)</f>
        <v>1630</v>
      </c>
      <c r="C632" s="2">
        <f>IFERROR(__xludf.DUMMYFUNCTION("""COMPUTED_VALUE"""),1640.0)</f>
        <v>1640</v>
      </c>
      <c r="D632" s="2">
        <f>IFERROR(__xludf.DUMMYFUNCTION("""COMPUTED_VALUE"""),1590.0)</f>
        <v>1590</v>
      </c>
      <c r="E632" s="2">
        <f>IFERROR(__xludf.DUMMYFUNCTION("""COMPUTED_VALUE"""),1600.0)</f>
        <v>1600</v>
      </c>
      <c r="F632" s="2">
        <f>IFERROR(__xludf.DUMMYFUNCTION("""COMPUTED_VALUE"""),9.94634E7)</f>
        <v>99463400</v>
      </c>
      <c r="G632" s="2">
        <f t="shared" si="1"/>
        <v>50</v>
      </c>
    </row>
    <row r="633" ht="15.75" customHeight="1">
      <c r="A633" s="1">
        <f>IFERROR(__xludf.DUMMYFUNCTION("""COMPUTED_VALUE"""),44781.66666666667)</f>
        <v>44781.66667</v>
      </c>
      <c r="B633" s="2">
        <f>IFERROR(__xludf.DUMMYFUNCTION("""COMPUTED_VALUE"""),1605.0)</f>
        <v>1605</v>
      </c>
      <c r="C633" s="2">
        <f>IFERROR(__xludf.DUMMYFUNCTION("""COMPUTED_VALUE"""),1645.0)</f>
        <v>1645</v>
      </c>
      <c r="D633" s="2">
        <f>IFERROR(__xludf.DUMMYFUNCTION("""COMPUTED_VALUE"""),1605.0)</f>
        <v>1605</v>
      </c>
      <c r="E633" s="2">
        <f>IFERROR(__xludf.DUMMYFUNCTION("""COMPUTED_VALUE"""),1640.0)</f>
        <v>1640</v>
      </c>
      <c r="F633" s="2">
        <f>IFERROR(__xludf.DUMMYFUNCTION("""COMPUTED_VALUE"""),5.21533E7)</f>
        <v>52153300</v>
      </c>
      <c r="G633" s="2">
        <f t="shared" si="1"/>
        <v>45</v>
      </c>
    </row>
    <row r="634" ht="15.75" customHeight="1">
      <c r="A634" s="1">
        <f>IFERROR(__xludf.DUMMYFUNCTION("""COMPUTED_VALUE"""),44782.66666666667)</f>
        <v>44782.66667</v>
      </c>
      <c r="B634" s="2">
        <f>IFERROR(__xludf.DUMMYFUNCTION("""COMPUTED_VALUE"""),1640.0)</f>
        <v>1640</v>
      </c>
      <c r="C634" s="2">
        <f>IFERROR(__xludf.DUMMYFUNCTION("""COMPUTED_VALUE"""),1650.0)</f>
        <v>1650</v>
      </c>
      <c r="D634" s="2">
        <f>IFERROR(__xludf.DUMMYFUNCTION("""COMPUTED_VALUE"""),1615.0)</f>
        <v>1615</v>
      </c>
      <c r="E634" s="2">
        <f>IFERROR(__xludf.DUMMYFUNCTION("""COMPUTED_VALUE"""),1615.0)</f>
        <v>1615</v>
      </c>
      <c r="F634" s="2">
        <f>IFERROR(__xludf.DUMMYFUNCTION("""COMPUTED_VALUE"""),4.96505E7)</f>
        <v>49650500</v>
      </c>
      <c r="G634" s="2">
        <f t="shared" si="1"/>
        <v>35</v>
      </c>
    </row>
    <row r="635" ht="15.75" customHeight="1">
      <c r="A635" s="1">
        <f>IFERROR(__xludf.DUMMYFUNCTION("""COMPUTED_VALUE"""),44783.66666666667)</f>
        <v>44783.66667</v>
      </c>
      <c r="B635" s="2">
        <f>IFERROR(__xludf.DUMMYFUNCTION("""COMPUTED_VALUE"""),1615.0)</f>
        <v>1615</v>
      </c>
      <c r="C635" s="2">
        <f>IFERROR(__xludf.DUMMYFUNCTION("""COMPUTED_VALUE"""),1635.0)</f>
        <v>1635</v>
      </c>
      <c r="D635" s="2">
        <f>IFERROR(__xludf.DUMMYFUNCTION("""COMPUTED_VALUE"""),1600.0)</f>
        <v>1600</v>
      </c>
      <c r="E635" s="2">
        <f>IFERROR(__xludf.DUMMYFUNCTION("""COMPUTED_VALUE"""),1600.0)</f>
        <v>1600</v>
      </c>
      <c r="F635" s="2">
        <f>IFERROR(__xludf.DUMMYFUNCTION("""COMPUTED_VALUE"""),4.66359E7)</f>
        <v>46635900</v>
      </c>
      <c r="G635" s="2">
        <f t="shared" si="1"/>
        <v>35</v>
      </c>
    </row>
    <row r="636" ht="15.75" customHeight="1">
      <c r="A636" s="1">
        <f>IFERROR(__xludf.DUMMYFUNCTION("""COMPUTED_VALUE"""),44784.66666666667)</f>
        <v>44784.66667</v>
      </c>
      <c r="B636" s="2">
        <f>IFERROR(__xludf.DUMMYFUNCTION("""COMPUTED_VALUE"""),1630.0)</f>
        <v>1630</v>
      </c>
      <c r="C636" s="2">
        <f>IFERROR(__xludf.DUMMYFUNCTION("""COMPUTED_VALUE"""),1650.0)</f>
        <v>1650</v>
      </c>
      <c r="D636" s="2">
        <f>IFERROR(__xludf.DUMMYFUNCTION("""COMPUTED_VALUE"""),1615.0)</f>
        <v>1615</v>
      </c>
      <c r="E636" s="2">
        <f>IFERROR(__xludf.DUMMYFUNCTION("""COMPUTED_VALUE"""),1615.0)</f>
        <v>1615</v>
      </c>
      <c r="F636" s="2">
        <f>IFERROR(__xludf.DUMMYFUNCTION("""COMPUTED_VALUE"""),6.4191E7)</f>
        <v>64191000</v>
      </c>
      <c r="G636" s="2">
        <f t="shared" si="1"/>
        <v>50</v>
      </c>
    </row>
    <row r="637" ht="15.75" customHeight="1">
      <c r="A637" s="1">
        <f>IFERROR(__xludf.DUMMYFUNCTION("""COMPUTED_VALUE"""),44785.66666666667)</f>
        <v>44785.66667</v>
      </c>
      <c r="B637" s="2">
        <f>IFERROR(__xludf.DUMMYFUNCTION("""COMPUTED_VALUE"""),1625.0)</f>
        <v>1625</v>
      </c>
      <c r="C637" s="2">
        <f>IFERROR(__xludf.DUMMYFUNCTION("""COMPUTED_VALUE"""),1660.0)</f>
        <v>1660</v>
      </c>
      <c r="D637" s="2">
        <f>IFERROR(__xludf.DUMMYFUNCTION("""COMPUTED_VALUE"""),1625.0)</f>
        <v>1625</v>
      </c>
      <c r="E637" s="2">
        <f>IFERROR(__xludf.DUMMYFUNCTION("""COMPUTED_VALUE"""),1630.0)</f>
        <v>1630</v>
      </c>
      <c r="F637" s="2">
        <f>IFERROR(__xludf.DUMMYFUNCTION("""COMPUTED_VALUE"""),5.51679E7)</f>
        <v>55167900</v>
      </c>
      <c r="G637" s="2">
        <f t="shared" si="1"/>
        <v>45</v>
      </c>
    </row>
    <row r="638" ht="15.75" customHeight="1">
      <c r="A638" s="1">
        <f>IFERROR(__xludf.DUMMYFUNCTION("""COMPUTED_VALUE"""),44788.66666666667)</f>
        <v>44788.66667</v>
      </c>
      <c r="B638" s="2">
        <f>IFERROR(__xludf.DUMMYFUNCTION("""COMPUTED_VALUE"""),1635.0)</f>
        <v>1635</v>
      </c>
      <c r="C638" s="2">
        <f>IFERROR(__xludf.DUMMYFUNCTION("""COMPUTED_VALUE"""),1650.0)</f>
        <v>1650</v>
      </c>
      <c r="D638" s="2">
        <f>IFERROR(__xludf.DUMMYFUNCTION("""COMPUTED_VALUE"""),1625.0)</f>
        <v>1625</v>
      </c>
      <c r="E638" s="2">
        <f>IFERROR(__xludf.DUMMYFUNCTION("""COMPUTED_VALUE"""),1635.0)</f>
        <v>1635</v>
      </c>
      <c r="F638" s="2">
        <f>IFERROR(__xludf.DUMMYFUNCTION("""COMPUTED_VALUE"""),4.33743E7)</f>
        <v>43374300</v>
      </c>
      <c r="G638" s="2">
        <f t="shared" si="1"/>
        <v>25</v>
      </c>
    </row>
    <row r="639" ht="15.75" customHeight="1">
      <c r="A639" s="1">
        <f>IFERROR(__xludf.DUMMYFUNCTION("""COMPUTED_VALUE"""),44789.66666666667)</f>
        <v>44789.66667</v>
      </c>
      <c r="B639" s="2">
        <f>IFERROR(__xludf.DUMMYFUNCTION("""COMPUTED_VALUE"""),1635.0)</f>
        <v>1635</v>
      </c>
      <c r="C639" s="2">
        <f>IFERROR(__xludf.DUMMYFUNCTION("""COMPUTED_VALUE"""),1645.0)</f>
        <v>1645</v>
      </c>
      <c r="D639" s="2">
        <f>IFERROR(__xludf.DUMMYFUNCTION("""COMPUTED_VALUE"""),1620.0)</f>
        <v>1620</v>
      </c>
      <c r="E639" s="2">
        <f>IFERROR(__xludf.DUMMYFUNCTION("""COMPUTED_VALUE"""),1620.0)</f>
        <v>1620</v>
      </c>
      <c r="F639" s="2">
        <f>IFERROR(__xludf.DUMMYFUNCTION("""COMPUTED_VALUE"""),3.34455E7)</f>
        <v>33445500</v>
      </c>
      <c r="G639" s="2">
        <f t="shared" si="1"/>
        <v>25</v>
      </c>
    </row>
    <row r="640" ht="15.75" customHeight="1">
      <c r="A640" s="1">
        <f>IFERROR(__xludf.DUMMYFUNCTION("""COMPUTED_VALUE"""),44791.66666666667)</f>
        <v>44791.66667</v>
      </c>
      <c r="B640" s="2">
        <f>IFERROR(__xludf.DUMMYFUNCTION("""COMPUTED_VALUE"""),1630.0)</f>
        <v>1630</v>
      </c>
      <c r="C640" s="2">
        <f>IFERROR(__xludf.DUMMYFUNCTION("""COMPUTED_VALUE"""),1645.0)</f>
        <v>1645</v>
      </c>
      <c r="D640" s="2">
        <f>IFERROR(__xludf.DUMMYFUNCTION("""COMPUTED_VALUE"""),1620.0)</f>
        <v>1620</v>
      </c>
      <c r="E640" s="2">
        <f>IFERROR(__xludf.DUMMYFUNCTION("""COMPUTED_VALUE"""),1640.0)</f>
        <v>1640</v>
      </c>
      <c r="F640" s="2">
        <f>IFERROR(__xludf.DUMMYFUNCTION("""COMPUTED_VALUE"""),3.10932E7)</f>
        <v>31093200</v>
      </c>
      <c r="G640" s="2">
        <f t="shared" si="1"/>
        <v>25</v>
      </c>
    </row>
    <row r="641" ht="15.75" customHeight="1">
      <c r="A641" s="1">
        <f>IFERROR(__xludf.DUMMYFUNCTION("""COMPUTED_VALUE"""),44792.66666666667)</f>
        <v>44792.66667</v>
      </c>
      <c r="B641" s="2">
        <f>IFERROR(__xludf.DUMMYFUNCTION("""COMPUTED_VALUE"""),1650.0)</f>
        <v>1650</v>
      </c>
      <c r="C641" s="2">
        <f>IFERROR(__xludf.DUMMYFUNCTION("""COMPUTED_VALUE"""),1720.0)</f>
        <v>1720</v>
      </c>
      <c r="D641" s="2">
        <f>IFERROR(__xludf.DUMMYFUNCTION("""COMPUTED_VALUE"""),1645.0)</f>
        <v>1645</v>
      </c>
      <c r="E641" s="2">
        <f>IFERROR(__xludf.DUMMYFUNCTION("""COMPUTED_VALUE"""),1700.0)</f>
        <v>1700</v>
      </c>
      <c r="F641" s="2">
        <f>IFERROR(__xludf.DUMMYFUNCTION("""COMPUTED_VALUE"""),1.560914E8)</f>
        <v>156091400</v>
      </c>
      <c r="G641" s="2">
        <f t="shared" si="1"/>
        <v>80</v>
      </c>
    </row>
    <row r="642" ht="15.75" customHeight="1">
      <c r="A642" s="1">
        <f>IFERROR(__xludf.DUMMYFUNCTION("""COMPUTED_VALUE"""),44795.66666666667)</f>
        <v>44795.66667</v>
      </c>
      <c r="B642" s="2">
        <f>IFERROR(__xludf.DUMMYFUNCTION("""COMPUTED_VALUE"""),1710.0)</f>
        <v>1710</v>
      </c>
      <c r="C642" s="2">
        <f>IFERROR(__xludf.DUMMYFUNCTION("""COMPUTED_VALUE"""),1730.0)</f>
        <v>1730</v>
      </c>
      <c r="D642" s="2">
        <f>IFERROR(__xludf.DUMMYFUNCTION("""COMPUTED_VALUE"""),1665.0)</f>
        <v>1665</v>
      </c>
      <c r="E642" s="2">
        <f>IFERROR(__xludf.DUMMYFUNCTION("""COMPUTED_VALUE"""),1680.0)</f>
        <v>1680</v>
      </c>
      <c r="F642" s="2">
        <f>IFERROR(__xludf.DUMMYFUNCTION("""COMPUTED_VALUE"""),8.82134E7)</f>
        <v>88213400</v>
      </c>
      <c r="G642" s="2">
        <f t="shared" si="1"/>
        <v>65</v>
      </c>
    </row>
    <row r="643" ht="15.75" customHeight="1">
      <c r="A643" s="1">
        <f>IFERROR(__xludf.DUMMYFUNCTION("""COMPUTED_VALUE"""),44796.66666666667)</f>
        <v>44796.66667</v>
      </c>
      <c r="B643" s="2">
        <f>IFERROR(__xludf.DUMMYFUNCTION("""COMPUTED_VALUE"""),1705.0)</f>
        <v>1705</v>
      </c>
      <c r="C643" s="2">
        <f>IFERROR(__xludf.DUMMYFUNCTION("""COMPUTED_VALUE"""),1810.0)</f>
        <v>1810</v>
      </c>
      <c r="D643" s="2">
        <f>IFERROR(__xludf.DUMMYFUNCTION("""COMPUTED_VALUE"""),1700.0)</f>
        <v>1700</v>
      </c>
      <c r="E643" s="2">
        <f>IFERROR(__xludf.DUMMYFUNCTION("""COMPUTED_VALUE"""),1795.0)</f>
        <v>1795</v>
      </c>
      <c r="F643" s="2">
        <f>IFERROR(__xludf.DUMMYFUNCTION("""COMPUTED_VALUE"""),3.589941E8)</f>
        <v>358994100</v>
      </c>
      <c r="G643" s="2">
        <f t="shared" si="1"/>
        <v>130</v>
      </c>
    </row>
    <row r="644" ht="15.75" customHeight="1">
      <c r="A644" s="1">
        <f>IFERROR(__xludf.DUMMYFUNCTION("""COMPUTED_VALUE"""),44797.66666666667)</f>
        <v>44797.66667</v>
      </c>
      <c r="B644" s="2">
        <f>IFERROR(__xludf.DUMMYFUNCTION("""COMPUTED_VALUE"""),1805.0)</f>
        <v>1805</v>
      </c>
      <c r="C644" s="2">
        <f>IFERROR(__xludf.DUMMYFUNCTION("""COMPUTED_VALUE"""),1810.0)</f>
        <v>1810</v>
      </c>
      <c r="D644" s="2">
        <f>IFERROR(__xludf.DUMMYFUNCTION("""COMPUTED_VALUE"""),1765.0)</f>
        <v>1765</v>
      </c>
      <c r="E644" s="2">
        <f>IFERROR(__xludf.DUMMYFUNCTION("""COMPUTED_VALUE"""),1785.0)</f>
        <v>1785</v>
      </c>
      <c r="F644" s="2">
        <f>IFERROR(__xludf.DUMMYFUNCTION("""COMPUTED_VALUE"""),1.086725E8)</f>
        <v>108672500</v>
      </c>
      <c r="G644" s="2">
        <f t="shared" si="1"/>
        <v>45</v>
      </c>
    </row>
    <row r="645" ht="15.75" customHeight="1">
      <c r="A645" s="1">
        <f>IFERROR(__xludf.DUMMYFUNCTION("""COMPUTED_VALUE"""),44798.66666666667)</f>
        <v>44798.66667</v>
      </c>
      <c r="B645" s="2">
        <f>IFERROR(__xludf.DUMMYFUNCTION("""COMPUTED_VALUE"""),1800.0)</f>
        <v>1800</v>
      </c>
      <c r="C645" s="2">
        <f>IFERROR(__xludf.DUMMYFUNCTION("""COMPUTED_VALUE"""),1850.0)</f>
        <v>1850</v>
      </c>
      <c r="D645" s="2">
        <f>IFERROR(__xludf.DUMMYFUNCTION("""COMPUTED_VALUE"""),1795.0)</f>
        <v>1795</v>
      </c>
      <c r="E645" s="2">
        <f>IFERROR(__xludf.DUMMYFUNCTION("""COMPUTED_VALUE"""),1825.0)</f>
        <v>1825</v>
      </c>
      <c r="F645" s="2">
        <f>IFERROR(__xludf.DUMMYFUNCTION("""COMPUTED_VALUE"""),2.008026E8)</f>
        <v>200802600</v>
      </c>
      <c r="G645" s="2">
        <f t="shared" si="1"/>
        <v>65</v>
      </c>
    </row>
    <row r="646" ht="15.75" customHeight="1">
      <c r="A646" s="1">
        <f>IFERROR(__xludf.DUMMYFUNCTION("""COMPUTED_VALUE"""),44799.66666666667)</f>
        <v>44799.66667</v>
      </c>
      <c r="B646" s="2">
        <f>IFERROR(__xludf.DUMMYFUNCTION("""COMPUTED_VALUE"""),1835.0)</f>
        <v>1835</v>
      </c>
      <c r="C646" s="2">
        <f>IFERROR(__xludf.DUMMYFUNCTION("""COMPUTED_VALUE"""),1990.0)</f>
        <v>1990</v>
      </c>
      <c r="D646" s="2">
        <f>IFERROR(__xludf.DUMMYFUNCTION("""COMPUTED_VALUE"""),1810.0)</f>
        <v>1810</v>
      </c>
      <c r="E646" s="2">
        <f>IFERROR(__xludf.DUMMYFUNCTION("""COMPUTED_VALUE"""),1940.0)</f>
        <v>1940</v>
      </c>
      <c r="F646" s="2">
        <f>IFERROR(__xludf.DUMMYFUNCTION("""COMPUTED_VALUE"""),3.932267E8)</f>
        <v>393226700</v>
      </c>
      <c r="G646" s="2">
        <f t="shared" si="1"/>
        <v>180</v>
      </c>
    </row>
    <row r="647" ht="15.75" customHeight="1">
      <c r="A647" s="1">
        <f>IFERROR(__xludf.DUMMYFUNCTION("""COMPUTED_VALUE"""),44802.66666666667)</f>
        <v>44802.66667</v>
      </c>
      <c r="B647" s="2">
        <f>IFERROR(__xludf.DUMMYFUNCTION("""COMPUTED_VALUE"""),1890.0)</f>
        <v>1890</v>
      </c>
      <c r="C647" s="2">
        <f>IFERROR(__xludf.DUMMYFUNCTION("""COMPUTED_VALUE"""),1990.0)</f>
        <v>1990</v>
      </c>
      <c r="D647" s="2">
        <f>IFERROR(__xludf.DUMMYFUNCTION("""COMPUTED_VALUE"""),1890.0)</f>
        <v>1890</v>
      </c>
      <c r="E647" s="2">
        <f>IFERROR(__xludf.DUMMYFUNCTION("""COMPUTED_VALUE"""),1970.0)</f>
        <v>1970</v>
      </c>
      <c r="F647" s="2">
        <f>IFERROR(__xludf.DUMMYFUNCTION("""COMPUTED_VALUE"""),1.560022E8)</f>
        <v>156002200</v>
      </c>
      <c r="G647" s="2">
        <f t="shared" si="1"/>
        <v>100</v>
      </c>
    </row>
    <row r="648" ht="15.75" customHeight="1">
      <c r="A648" s="1">
        <f>IFERROR(__xludf.DUMMYFUNCTION("""COMPUTED_VALUE"""),44803.66666666667)</f>
        <v>44803.66667</v>
      </c>
      <c r="B648" s="2">
        <f>IFERROR(__xludf.DUMMYFUNCTION("""COMPUTED_VALUE"""),1990.0)</f>
        <v>1990</v>
      </c>
      <c r="C648" s="2">
        <f>IFERROR(__xludf.DUMMYFUNCTION("""COMPUTED_VALUE"""),1990.0)</f>
        <v>1990</v>
      </c>
      <c r="D648" s="2">
        <f>IFERROR(__xludf.DUMMYFUNCTION("""COMPUTED_VALUE"""),1860.0)</f>
        <v>1860</v>
      </c>
      <c r="E648" s="2">
        <f>IFERROR(__xludf.DUMMYFUNCTION("""COMPUTED_VALUE"""),1860.0)</f>
        <v>1860</v>
      </c>
      <c r="F648" s="2">
        <f>IFERROR(__xludf.DUMMYFUNCTION("""COMPUTED_VALUE"""),2.610499E8)</f>
        <v>261049900</v>
      </c>
      <c r="G648" s="2">
        <f t="shared" si="1"/>
        <v>130</v>
      </c>
    </row>
    <row r="649" ht="15.75" customHeight="1">
      <c r="A649" s="1">
        <f>IFERROR(__xludf.DUMMYFUNCTION("""COMPUTED_VALUE"""),44804.66666666667)</f>
        <v>44804.66667</v>
      </c>
      <c r="B649" s="2">
        <f>IFERROR(__xludf.DUMMYFUNCTION("""COMPUTED_VALUE"""),1845.0)</f>
        <v>1845</v>
      </c>
      <c r="C649" s="2">
        <f>IFERROR(__xludf.DUMMYFUNCTION("""COMPUTED_VALUE"""),1850.0)</f>
        <v>1850</v>
      </c>
      <c r="D649" s="2">
        <f>IFERROR(__xludf.DUMMYFUNCTION("""COMPUTED_VALUE"""),1785.0)</f>
        <v>1785</v>
      </c>
      <c r="E649" s="2">
        <f>IFERROR(__xludf.DUMMYFUNCTION("""COMPUTED_VALUE"""),1840.0)</f>
        <v>1840</v>
      </c>
      <c r="F649" s="2">
        <f>IFERROR(__xludf.DUMMYFUNCTION("""COMPUTED_VALUE"""),2.050687E8)</f>
        <v>205068700</v>
      </c>
      <c r="G649" s="2">
        <f t="shared" si="1"/>
        <v>75</v>
      </c>
    </row>
    <row r="650" ht="15.75" customHeight="1">
      <c r="A650" s="1">
        <f>IFERROR(__xludf.DUMMYFUNCTION("""COMPUTED_VALUE"""),44805.625)</f>
        <v>44805.625</v>
      </c>
      <c r="B650" s="2">
        <f>IFERROR(__xludf.DUMMYFUNCTION("""COMPUTED_VALUE"""),1840.0)</f>
        <v>1840</v>
      </c>
      <c r="C650" s="2">
        <f>IFERROR(__xludf.DUMMYFUNCTION("""COMPUTED_VALUE"""),1855.0)</f>
        <v>1855</v>
      </c>
      <c r="D650" s="2">
        <f>IFERROR(__xludf.DUMMYFUNCTION("""COMPUTED_VALUE"""),1805.0)</f>
        <v>1805</v>
      </c>
      <c r="E650" s="2">
        <f>IFERROR(__xludf.DUMMYFUNCTION("""COMPUTED_VALUE"""),1805.0)</f>
        <v>1805</v>
      </c>
      <c r="F650" s="2">
        <f>IFERROR(__xludf.DUMMYFUNCTION("""COMPUTED_VALUE"""),1.290991E8)</f>
        <v>129099100</v>
      </c>
      <c r="G650" s="2">
        <f t="shared" si="1"/>
        <v>50</v>
      </c>
    </row>
    <row r="651" ht="15.75" customHeight="1">
      <c r="A651" s="1">
        <f>IFERROR(__xludf.DUMMYFUNCTION("""COMPUTED_VALUE"""),44806.625)</f>
        <v>44806.625</v>
      </c>
      <c r="B651" s="2">
        <f>IFERROR(__xludf.DUMMYFUNCTION("""COMPUTED_VALUE"""),1820.0)</f>
        <v>1820</v>
      </c>
      <c r="C651" s="2">
        <f>IFERROR(__xludf.DUMMYFUNCTION("""COMPUTED_VALUE"""),1850.0)</f>
        <v>1850</v>
      </c>
      <c r="D651" s="2">
        <f>IFERROR(__xludf.DUMMYFUNCTION("""COMPUTED_VALUE"""),1800.0)</f>
        <v>1800</v>
      </c>
      <c r="E651" s="2">
        <f>IFERROR(__xludf.DUMMYFUNCTION("""COMPUTED_VALUE"""),1815.0)</f>
        <v>1815</v>
      </c>
      <c r="F651" s="2">
        <f>IFERROR(__xludf.DUMMYFUNCTION("""COMPUTED_VALUE"""),9.07666E7)</f>
        <v>90766600</v>
      </c>
      <c r="G651" s="2">
        <f t="shared" si="1"/>
        <v>50</v>
      </c>
    </row>
    <row r="652" ht="15.75" customHeight="1">
      <c r="A652" s="1">
        <f>IFERROR(__xludf.DUMMYFUNCTION("""COMPUTED_VALUE"""),44809.66666666667)</f>
        <v>44809.66667</v>
      </c>
      <c r="B652" s="2">
        <f>IFERROR(__xludf.DUMMYFUNCTION("""COMPUTED_VALUE"""),1810.0)</f>
        <v>1810</v>
      </c>
      <c r="C652" s="2">
        <f>IFERROR(__xludf.DUMMYFUNCTION("""COMPUTED_VALUE"""),1845.0)</f>
        <v>1845</v>
      </c>
      <c r="D652" s="2">
        <f>IFERROR(__xludf.DUMMYFUNCTION("""COMPUTED_VALUE"""),1800.0)</f>
        <v>1800</v>
      </c>
      <c r="E652" s="2">
        <f>IFERROR(__xludf.DUMMYFUNCTION("""COMPUTED_VALUE"""),1820.0)</f>
        <v>1820</v>
      </c>
      <c r="F652" s="2">
        <f>IFERROR(__xludf.DUMMYFUNCTION("""COMPUTED_VALUE"""),1.291346E8)</f>
        <v>129134600</v>
      </c>
      <c r="G652" s="2">
        <f t="shared" si="1"/>
        <v>45</v>
      </c>
    </row>
    <row r="653" ht="15.75" customHeight="1">
      <c r="A653" s="1">
        <f>IFERROR(__xludf.DUMMYFUNCTION("""COMPUTED_VALUE"""),44810.66666666667)</f>
        <v>44810.66667</v>
      </c>
      <c r="B653" s="2">
        <f>IFERROR(__xludf.DUMMYFUNCTION("""COMPUTED_VALUE"""),1845.0)</f>
        <v>1845</v>
      </c>
      <c r="C653" s="2">
        <f>IFERROR(__xludf.DUMMYFUNCTION("""COMPUTED_VALUE"""),1975.0)</f>
        <v>1975</v>
      </c>
      <c r="D653" s="2">
        <f>IFERROR(__xludf.DUMMYFUNCTION("""COMPUTED_VALUE"""),1840.0)</f>
        <v>1840</v>
      </c>
      <c r="E653" s="2">
        <f>IFERROR(__xludf.DUMMYFUNCTION("""COMPUTED_VALUE"""),1965.0)</f>
        <v>1965</v>
      </c>
      <c r="F653" s="2">
        <f>IFERROR(__xludf.DUMMYFUNCTION("""COMPUTED_VALUE"""),3.221977E8)</f>
        <v>322197700</v>
      </c>
      <c r="G653" s="2">
        <f t="shared" si="1"/>
        <v>155</v>
      </c>
    </row>
    <row r="654" ht="15.75" customHeight="1">
      <c r="A654" s="1">
        <f>IFERROR(__xludf.DUMMYFUNCTION("""COMPUTED_VALUE"""),44811.66666666667)</f>
        <v>44811.66667</v>
      </c>
      <c r="B654" s="2">
        <f>IFERROR(__xludf.DUMMYFUNCTION("""COMPUTED_VALUE"""),1940.0)</f>
        <v>1940</v>
      </c>
      <c r="C654" s="2">
        <f>IFERROR(__xludf.DUMMYFUNCTION("""COMPUTED_VALUE"""),1955.0)</f>
        <v>1955</v>
      </c>
      <c r="D654" s="2">
        <f>IFERROR(__xludf.DUMMYFUNCTION("""COMPUTED_VALUE"""),1865.0)</f>
        <v>1865</v>
      </c>
      <c r="E654" s="2">
        <f>IFERROR(__xludf.DUMMYFUNCTION("""COMPUTED_VALUE"""),1900.0)</f>
        <v>1900</v>
      </c>
      <c r="F654" s="2">
        <f>IFERROR(__xludf.DUMMYFUNCTION("""COMPUTED_VALUE"""),2.584299E8)</f>
        <v>258429900</v>
      </c>
      <c r="G654" s="2">
        <f t="shared" si="1"/>
        <v>100</v>
      </c>
    </row>
    <row r="655" ht="15.75" customHeight="1">
      <c r="A655" s="1">
        <f>IFERROR(__xludf.DUMMYFUNCTION("""COMPUTED_VALUE"""),44812.66666666667)</f>
        <v>44812.66667</v>
      </c>
      <c r="B655" s="2">
        <f>IFERROR(__xludf.DUMMYFUNCTION("""COMPUTED_VALUE"""),1865.0)</f>
        <v>1865</v>
      </c>
      <c r="C655" s="2">
        <f>IFERROR(__xludf.DUMMYFUNCTION("""COMPUTED_VALUE"""),1890.0)</f>
        <v>1890</v>
      </c>
      <c r="D655" s="2">
        <f>IFERROR(__xludf.DUMMYFUNCTION("""COMPUTED_VALUE"""),1840.0)</f>
        <v>1840</v>
      </c>
      <c r="E655" s="2">
        <f>IFERROR(__xludf.DUMMYFUNCTION("""COMPUTED_VALUE"""),1855.0)</f>
        <v>1855</v>
      </c>
      <c r="F655" s="2">
        <f>IFERROR(__xludf.DUMMYFUNCTION("""COMPUTED_VALUE"""),1.422453E8)</f>
        <v>142245300</v>
      </c>
      <c r="G655" s="2">
        <f t="shared" si="1"/>
        <v>60</v>
      </c>
    </row>
    <row r="656" ht="15.75" customHeight="1">
      <c r="A656" s="1">
        <f>IFERROR(__xludf.DUMMYFUNCTION("""COMPUTED_VALUE"""),44813.66666666667)</f>
        <v>44813.66667</v>
      </c>
      <c r="B656" s="2">
        <f>IFERROR(__xludf.DUMMYFUNCTION("""COMPUTED_VALUE"""),1870.0)</f>
        <v>1870</v>
      </c>
      <c r="C656" s="2">
        <f>IFERROR(__xludf.DUMMYFUNCTION("""COMPUTED_VALUE"""),1870.0)</f>
        <v>1870</v>
      </c>
      <c r="D656" s="2">
        <f>IFERROR(__xludf.DUMMYFUNCTION("""COMPUTED_VALUE"""),1830.0)</f>
        <v>1830</v>
      </c>
      <c r="E656" s="2">
        <f>IFERROR(__xludf.DUMMYFUNCTION("""COMPUTED_VALUE"""),1840.0)</f>
        <v>1840</v>
      </c>
      <c r="F656" s="2">
        <f>IFERROR(__xludf.DUMMYFUNCTION("""COMPUTED_VALUE"""),6.39126E7)</f>
        <v>63912600</v>
      </c>
      <c r="G656" s="2">
        <f t="shared" si="1"/>
        <v>40</v>
      </c>
    </row>
    <row r="657" ht="15.75" customHeight="1">
      <c r="A657" s="1">
        <f>IFERROR(__xludf.DUMMYFUNCTION("""COMPUTED_VALUE"""),44816.66666666667)</f>
        <v>44816.66667</v>
      </c>
      <c r="B657" s="2">
        <f>IFERROR(__xludf.DUMMYFUNCTION("""COMPUTED_VALUE"""),1860.0)</f>
        <v>1860</v>
      </c>
      <c r="C657" s="2">
        <f>IFERROR(__xludf.DUMMYFUNCTION("""COMPUTED_VALUE"""),1900.0)</f>
        <v>1900</v>
      </c>
      <c r="D657" s="2">
        <f>IFERROR(__xludf.DUMMYFUNCTION("""COMPUTED_VALUE"""),1855.0)</f>
        <v>1855</v>
      </c>
      <c r="E657" s="2">
        <f>IFERROR(__xludf.DUMMYFUNCTION("""COMPUTED_VALUE"""),1875.0)</f>
        <v>1875</v>
      </c>
      <c r="F657" s="2">
        <f>IFERROR(__xludf.DUMMYFUNCTION("""COMPUTED_VALUE"""),7.71253E7)</f>
        <v>77125300</v>
      </c>
      <c r="G657" s="2">
        <f t="shared" si="1"/>
        <v>60</v>
      </c>
    </row>
    <row r="658" ht="15.75" customHeight="1">
      <c r="A658" s="1">
        <f>IFERROR(__xludf.DUMMYFUNCTION("""COMPUTED_VALUE"""),44817.66666666667)</f>
        <v>44817.66667</v>
      </c>
      <c r="B658" s="2">
        <f>IFERROR(__xludf.DUMMYFUNCTION("""COMPUTED_VALUE"""),1885.0)</f>
        <v>1885</v>
      </c>
      <c r="C658" s="2">
        <f>IFERROR(__xludf.DUMMYFUNCTION("""COMPUTED_VALUE"""),1910.0)</f>
        <v>1910</v>
      </c>
      <c r="D658" s="2">
        <f>IFERROR(__xludf.DUMMYFUNCTION("""COMPUTED_VALUE"""),1870.0)</f>
        <v>1870</v>
      </c>
      <c r="E658" s="2">
        <f>IFERROR(__xludf.DUMMYFUNCTION("""COMPUTED_VALUE"""),1870.0)</f>
        <v>1870</v>
      </c>
      <c r="F658" s="2">
        <f>IFERROR(__xludf.DUMMYFUNCTION("""COMPUTED_VALUE"""),9.73062E7)</f>
        <v>97306200</v>
      </c>
      <c r="G658" s="2">
        <f t="shared" si="1"/>
        <v>40</v>
      </c>
    </row>
    <row r="659" ht="15.75" customHeight="1">
      <c r="A659" s="1">
        <f>IFERROR(__xludf.DUMMYFUNCTION("""COMPUTED_VALUE"""),44818.66666666667)</f>
        <v>44818.66667</v>
      </c>
      <c r="B659" s="2">
        <f>IFERROR(__xludf.DUMMYFUNCTION("""COMPUTED_VALUE"""),1835.0)</f>
        <v>1835</v>
      </c>
      <c r="C659" s="2">
        <f>IFERROR(__xludf.DUMMYFUNCTION("""COMPUTED_VALUE"""),1860.0)</f>
        <v>1860</v>
      </c>
      <c r="D659" s="2">
        <f>IFERROR(__xludf.DUMMYFUNCTION("""COMPUTED_VALUE"""),1820.0)</f>
        <v>1820</v>
      </c>
      <c r="E659" s="2">
        <f>IFERROR(__xludf.DUMMYFUNCTION("""COMPUTED_VALUE"""),1840.0)</f>
        <v>1840</v>
      </c>
      <c r="F659" s="2">
        <f>IFERROR(__xludf.DUMMYFUNCTION("""COMPUTED_VALUE"""),1.463154E8)</f>
        <v>146315400</v>
      </c>
      <c r="G659" s="2">
        <f t="shared" si="1"/>
        <v>50</v>
      </c>
    </row>
    <row r="660" ht="15.75" customHeight="1">
      <c r="A660" s="1">
        <f>IFERROR(__xludf.DUMMYFUNCTION("""COMPUTED_VALUE"""),44819.66666666667)</f>
        <v>44819.66667</v>
      </c>
      <c r="B660" s="2">
        <f>IFERROR(__xludf.DUMMYFUNCTION("""COMPUTED_VALUE"""),1870.0)</f>
        <v>1870</v>
      </c>
      <c r="C660" s="2">
        <f>IFERROR(__xludf.DUMMYFUNCTION("""COMPUTED_VALUE"""),1905.0)</f>
        <v>1905</v>
      </c>
      <c r="D660" s="2">
        <f>IFERROR(__xludf.DUMMYFUNCTION("""COMPUTED_VALUE"""),1845.0)</f>
        <v>1845</v>
      </c>
      <c r="E660" s="2">
        <f>IFERROR(__xludf.DUMMYFUNCTION("""COMPUTED_VALUE"""),1845.0)</f>
        <v>1845</v>
      </c>
      <c r="F660" s="2">
        <f>IFERROR(__xludf.DUMMYFUNCTION("""COMPUTED_VALUE"""),1.352499E8)</f>
        <v>135249900</v>
      </c>
      <c r="G660" s="2">
        <f t="shared" si="1"/>
        <v>65</v>
      </c>
    </row>
    <row r="661" ht="15.75" customHeight="1">
      <c r="A661" s="1">
        <f>IFERROR(__xludf.DUMMYFUNCTION("""COMPUTED_VALUE"""),44820.66666666667)</f>
        <v>44820.66667</v>
      </c>
      <c r="B661" s="2">
        <f>IFERROR(__xludf.DUMMYFUNCTION("""COMPUTED_VALUE"""),1835.0)</f>
        <v>1835</v>
      </c>
      <c r="C661" s="2">
        <f>IFERROR(__xludf.DUMMYFUNCTION("""COMPUTED_VALUE"""),1850.0)</f>
        <v>1850</v>
      </c>
      <c r="D661" s="2">
        <f>IFERROR(__xludf.DUMMYFUNCTION("""COMPUTED_VALUE"""),1820.0)</f>
        <v>1820</v>
      </c>
      <c r="E661" s="2">
        <f>IFERROR(__xludf.DUMMYFUNCTION("""COMPUTED_VALUE"""),1830.0)</f>
        <v>1830</v>
      </c>
      <c r="F661" s="2">
        <f>IFERROR(__xludf.DUMMYFUNCTION("""COMPUTED_VALUE"""),1.142684E8)</f>
        <v>114268400</v>
      </c>
      <c r="G661" s="2">
        <f t="shared" si="1"/>
        <v>30</v>
      </c>
    </row>
    <row r="662" ht="15.75" customHeight="1">
      <c r="A662" s="1">
        <f>IFERROR(__xludf.DUMMYFUNCTION("""COMPUTED_VALUE"""),44823.66666666667)</f>
        <v>44823.66667</v>
      </c>
      <c r="B662" s="2">
        <f>IFERROR(__xludf.DUMMYFUNCTION("""COMPUTED_VALUE"""),1830.0)</f>
        <v>1830</v>
      </c>
      <c r="C662" s="2">
        <f>IFERROR(__xludf.DUMMYFUNCTION("""COMPUTED_VALUE"""),1860.0)</f>
        <v>1860</v>
      </c>
      <c r="D662" s="2">
        <f>IFERROR(__xludf.DUMMYFUNCTION("""COMPUTED_VALUE"""),1760.0)</f>
        <v>1760</v>
      </c>
      <c r="E662" s="2">
        <f>IFERROR(__xludf.DUMMYFUNCTION("""COMPUTED_VALUE"""),1820.0)</f>
        <v>1820</v>
      </c>
      <c r="F662" s="2">
        <f>IFERROR(__xludf.DUMMYFUNCTION("""COMPUTED_VALUE"""),1.47856E8)</f>
        <v>147856000</v>
      </c>
      <c r="G662" s="2">
        <f t="shared" si="1"/>
        <v>100</v>
      </c>
    </row>
    <row r="663" ht="15.75" customHeight="1">
      <c r="A663" s="1">
        <f>IFERROR(__xludf.DUMMYFUNCTION("""COMPUTED_VALUE"""),44824.66666666667)</f>
        <v>44824.66667</v>
      </c>
      <c r="B663" s="2">
        <f>IFERROR(__xludf.DUMMYFUNCTION("""COMPUTED_VALUE"""),1825.0)</f>
        <v>1825</v>
      </c>
      <c r="C663" s="2">
        <f>IFERROR(__xludf.DUMMYFUNCTION("""COMPUTED_VALUE"""),1845.0)</f>
        <v>1845</v>
      </c>
      <c r="D663" s="2">
        <f>IFERROR(__xludf.DUMMYFUNCTION("""COMPUTED_VALUE"""),1780.0)</f>
        <v>1780</v>
      </c>
      <c r="E663" s="2">
        <f>IFERROR(__xludf.DUMMYFUNCTION("""COMPUTED_VALUE"""),1785.0)</f>
        <v>1785</v>
      </c>
      <c r="F663" s="2">
        <f>IFERROR(__xludf.DUMMYFUNCTION("""COMPUTED_VALUE"""),1.079552E8)</f>
        <v>107955200</v>
      </c>
      <c r="G663" s="2">
        <f t="shared" si="1"/>
        <v>65</v>
      </c>
    </row>
    <row r="664" ht="15.75" customHeight="1">
      <c r="A664" s="1">
        <f>IFERROR(__xludf.DUMMYFUNCTION("""COMPUTED_VALUE"""),44825.66666666667)</f>
        <v>44825.66667</v>
      </c>
      <c r="B664" s="2">
        <f>IFERROR(__xludf.DUMMYFUNCTION("""COMPUTED_VALUE"""),1790.0)</f>
        <v>1790</v>
      </c>
      <c r="C664" s="2">
        <f>IFERROR(__xludf.DUMMYFUNCTION("""COMPUTED_VALUE"""),1810.0)</f>
        <v>1810</v>
      </c>
      <c r="D664" s="2">
        <f>IFERROR(__xludf.DUMMYFUNCTION("""COMPUTED_VALUE"""),1750.0)</f>
        <v>1750</v>
      </c>
      <c r="E664" s="2">
        <f>IFERROR(__xludf.DUMMYFUNCTION("""COMPUTED_VALUE"""),1810.0)</f>
        <v>1810</v>
      </c>
      <c r="F664" s="2">
        <f>IFERROR(__xludf.DUMMYFUNCTION("""COMPUTED_VALUE"""),1.078729E8)</f>
        <v>107872900</v>
      </c>
      <c r="G664" s="2">
        <f t="shared" si="1"/>
        <v>60</v>
      </c>
    </row>
    <row r="665" ht="15.75" customHeight="1">
      <c r="A665" s="1">
        <f>IFERROR(__xludf.DUMMYFUNCTION("""COMPUTED_VALUE"""),44826.66666666667)</f>
        <v>44826.66667</v>
      </c>
      <c r="B665" s="2">
        <f>IFERROR(__xludf.DUMMYFUNCTION("""COMPUTED_VALUE"""),1790.0)</f>
        <v>1790</v>
      </c>
      <c r="C665" s="2">
        <f>IFERROR(__xludf.DUMMYFUNCTION("""COMPUTED_VALUE"""),1835.0)</f>
        <v>1835</v>
      </c>
      <c r="D665" s="2">
        <f>IFERROR(__xludf.DUMMYFUNCTION("""COMPUTED_VALUE"""),1785.0)</f>
        <v>1785</v>
      </c>
      <c r="E665" s="2">
        <f>IFERROR(__xludf.DUMMYFUNCTION("""COMPUTED_VALUE"""),1835.0)</f>
        <v>1835</v>
      </c>
      <c r="F665" s="2">
        <f>IFERROR(__xludf.DUMMYFUNCTION("""COMPUTED_VALUE"""),8.73127E7)</f>
        <v>87312700</v>
      </c>
      <c r="G665" s="2">
        <f t="shared" si="1"/>
        <v>50</v>
      </c>
    </row>
    <row r="666" ht="15.75" customHeight="1">
      <c r="A666" s="1">
        <f>IFERROR(__xludf.DUMMYFUNCTION("""COMPUTED_VALUE"""),44827.66666666667)</f>
        <v>44827.66667</v>
      </c>
      <c r="B666" s="2">
        <f>IFERROR(__xludf.DUMMYFUNCTION("""COMPUTED_VALUE"""),1845.0)</f>
        <v>1845</v>
      </c>
      <c r="C666" s="2">
        <f>IFERROR(__xludf.DUMMYFUNCTION("""COMPUTED_VALUE"""),1855.0)</f>
        <v>1855</v>
      </c>
      <c r="D666" s="2">
        <f>IFERROR(__xludf.DUMMYFUNCTION("""COMPUTED_VALUE"""),1775.0)</f>
        <v>1775</v>
      </c>
      <c r="E666" s="2">
        <f>IFERROR(__xludf.DUMMYFUNCTION("""COMPUTED_VALUE"""),1780.0)</f>
        <v>1780</v>
      </c>
      <c r="F666" s="2">
        <f>IFERROR(__xludf.DUMMYFUNCTION("""COMPUTED_VALUE"""),2.499738E8)</f>
        <v>249973800</v>
      </c>
      <c r="G666" s="2">
        <f t="shared" si="1"/>
        <v>80</v>
      </c>
    </row>
    <row r="667" ht="15.75" customHeight="1">
      <c r="A667" s="1">
        <f>IFERROR(__xludf.DUMMYFUNCTION("""COMPUTED_VALUE"""),44830.66666666667)</f>
        <v>44830.66667</v>
      </c>
      <c r="B667" s="2">
        <f>IFERROR(__xludf.DUMMYFUNCTION("""COMPUTED_VALUE"""),1735.0)</f>
        <v>1735</v>
      </c>
      <c r="C667" s="2">
        <f>IFERROR(__xludf.DUMMYFUNCTION("""COMPUTED_VALUE"""),1740.0)</f>
        <v>1740</v>
      </c>
      <c r="D667" s="2">
        <f>IFERROR(__xludf.DUMMYFUNCTION("""COMPUTED_VALUE"""),1685.0)</f>
        <v>1685</v>
      </c>
      <c r="E667" s="2">
        <f>IFERROR(__xludf.DUMMYFUNCTION("""COMPUTED_VALUE"""),1700.0)</f>
        <v>1700</v>
      </c>
      <c r="F667" s="2">
        <f>IFERROR(__xludf.DUMMYFUNCTION("""COMPUTED_VALUE"""),1.991162E8)</f>
        <v>199116200</v>
      </c>
      <c r="G667" s="2">
        <f t="shared" si="1"/>
        <v>95</v>
      </c>
    </row>
    <row r="668" ht="15.75" customHeight="1">
      <c r="A668" s="1">
        <f>IFERROR(__xludf.DUMMYFUNCTION("""COMPUTED_VALUE"""),44831.66666666667)</f>
        <v>44831.66667</v>
      </c>
      <c r="B668" s="2">
        <f>IFERROR(__xludf.DUMMYFUNCTION("""COMPUTED_VALUE"""),1710.0)</f>
        <v>1710</v>
      </c>
      <c r="C668" s="2">
        <f>IFERROR(__xludf.DUMMYFUNCTION("""COMPUTED_VALUE"""),1755.0)</f>
        <v>1755</v>
      </c>
      <c r="D668" s="2">
        <f>IFERROR(__xludf.DUMMYFUNCTION("""COMPUTED_VALUE"""),1705.0)</f>
        <v>1705</v>
      </c>
      <c r="E668" s="2">
        <f>IFERROR(__xludf.DUMMYFUNCTION("""COMPUTED_VALUE"""),1750.0)</f>
        <v>1750</v>
      </c>
      <c r="F668" s="2">
        <f>IFERROR(__xludf.DUMMYFUNCTION("""COMPUTED_VALUE"""),9.78802E7)</f>
        <v>97880200</v>
      </c>
      <c r="G668" s="2">
        <f t="shared" si="1"/>
        <v>55</v>
      </c>
    </row>
    <row r="669" ht="15.75" customHeight="1">
      <c r="A669" s="1">
        <f>IFERROR(__xludf.DUMMYFUNCTION("""COMPUTED_VALUE"""),44832.66666666667)</f>
        <v>44832.66667</v>
      </c>
      <c r="B669" s="2">
        <f>IFERROR(__xludf.DUMMYFUNCTION("""COMPUTED_VALUE"""),1740.0)</f>
        <v>1740</v>
      </c>
      <c r="C669" s="2">
        <f>IFERROR(__xludf.DUMMYFUNCTION("""COMPUTED_VALUE"""),1750.0)</f>
        <v>1750</v>
      </c>
      <c r="D669" s="2">
        <f>IFERROR(__xludf.DUMMYFUNCTION("""COMPUTED_VALUE"""),1725.0)</f>
        <v>1725</v>
      </c>
      <c r="E669" s="2">
        <f>IFERROR(__xludf.DUMMYFUNCTION("""COMPUTED_VALUE"""),1725.0)</f>
        <v>1725</v>
      </c>
      <c r="F669" s="2">
        <f>IFERROR(__xludf.DUMMYFUNCTION("""COMPUTED_VALUE"""),4.69128E7)</f>
        <v>46912800</v>
      </c>
      <c r="G669" s="2">
        <f t="shared" si="1"/>
        <v>25</v>
      </c>
    </row>
    <row r="670" ht="15.75" customHeight="1">
      <c r="A670" s="1">
        <f>IFERROR(__xludf.DUMMYFUNCTION("""COMPUTED_VALUE"""),44833.66666666667)</f>
        <v>44833.66667</v>
      </c>
      <c r="B670" s="2">
        <f>IFERROR(__xludf.DUMMYFUNCTION("""COMPUTED_VALUE"""),1750.0)</f>
        <v>1750</v>
      </c>
      <c r="C670" s="2">
        <f>IFERROR(__xludf.DUMMYFUNCTION("""COMPUTED_VALUE"""),1775.0)</f>
        <v>1775</v>
      </c>
      <c r="D670" s="2">
        <f>IFERROR(__xludf.DUMMYFUNCTION("""COMPUTED_VALUE"""),1710.0)</f>
        <v>1710</v>
      </c>
      <c r="E670" s="2">
        <f>IFERROR(__xludf.DUMMYFUNCTION("""COMPUTED_VALUE"""),1710.0)</f>
        <v>1710</v>
      </c>
      <c r="F670" s="2">
        <f>IFERROR(__xludf.DUMMYFUNCTION("""COMPUTED_VALUE"""),9.46547E7)</f>
        <v>94654700</v>
      </c>
      <c r="G670" s="2">
        <f t="shared" si="1"/>
        <v>65</v>
      </c>
    </row>
    <row r="671" ht="15.75" customHeight="1">
      <c r="A671" s="1">
        <f>IFERROR(__xludf.DUMMYFUNCTION("""COMPUTED_VALUE"""),44834.66666666667)</f>
        <v>44834.66667</v>
      </c>
      <c r="B671" s="2">
        <f>IFERROR(__xludf.DUMMYFUNCTION("""COMPUTED_VALUE"""),1705.0)</f>
        <v>1705</v>
      </c>
      <c r="C671" s="2">
        <f>IFERROR(__xludf.DUMMYFUNCTION("""COMPUTED_VALUE"""),1755.0)</f>
        <v>1755</v>
      </c>
      <c r="D671" s="2">
        <f>IFERROR(__xludf.DUMMYFUNCTION("""COMPUTED_VALUE"""),1680.0)</f>
        <v>1680</v>
      </c>
      <c r="E671" s="2">
        <f>IFERROR(__xludf.DUMMYFUNCTION("""COMPUTED_VALUE"""),1755.0)</f>
        <v>1755</v>
      </c>
      <c r="F671" s="2">
        <f>IFERROR(__xludf.DUMMYFUNCTION("""COMPUTED_VALUE"""),1.108264E8)</f>
        <v>110826400</v>
      </c>
      <c r="G671" s="2">
        <f t="shared" si="1"/>
        <v>75</v>
      </c>
    </row>
    <row r="672" ht="15.75" customHeight="1">
      <c r="A672" s="1">
        <f>IFERROR(__xludf.DUMMYFUNCTION("""COMPUTED_VALUE"""),44837.66666666667)</f>
        <v>44837.66667</v>
      </c>
      <c r="B672" s="2">
        <f>IFERROR(__xludf.DUMMYFUNCTION("""COMPUTED_VALUE"""),1745.0)</f>
        <v>1745</v>
      </c>
      <c r="C672" s="2">
        <f>IFERROR(__xludf.DUMMYFUNCTION("""COMPUTED_VALUE"""),1750.0)</f>
        <v>1750</v>
      </c>
      <c r="D672" s="2">
        <f>IFERROR(__xludf.DUMMYFUNCTION("""COMPUTED_VALUE"""),1720.0)</f>
        <v>1720</v>
      </c>
      <c r="E672" s="2">
        <f>IFERROR(__xludf.DUMMYFUNCTION("""COMPUTED_VALUE"""),1735.0)</f>
        <v>1735</v>
      </c>
      <c r="F672" s="2">
        <f>IFERROR(__xludf.DUMMYFUNCTION("""COMPUTED_VALUE"""),5.00417E7)</f>
        <v>50041700</v>
      </c>
      <c r="G672" s="2">
        <f t="shared" si="1"/>
        <v>35</v>
      </c>
    </row>
    <row r="673" ht="15.75" customHeight="1">
      <c r="A673" s="1">
        <f>IFERROR(__xludf.DUMMYFUNCTION("""COMPUTED_VALUE"""),44838.66666666667)</f>
        <v>44838.66667</v>
      </c>
      <c r="B673" s="2">
        <f>IFERROR(__xludf.DUMMYFUNCTION("""COMPUTED_VALUE"""),1755.0)</f>
        <v>1755</v>
      </c>
      <c r="C673" s="2">
        <f>IFERROR(__xludf.DUMMYFUNCTION("""COMPUTED_VALUE"""),1770.0)</f>
        <v>1770</v>
      </c>
      <c r="D673" s="2">
        <f>IFERROR(__xludf.DUMMYFUNCTION("""COMPUTED_VALUE"""),1740.0)</f>
        <v>1740</v>
      </c>
      <c r="E673" s="2">
        <f>IFERROR(__xludf.DUMMYFUNCTION("""COMPUTED_VALUE"""),1765.0)</f>
        <v>1765</v>
      </c>
      <c r="F673" s="2">
        <f>IFERROR(__xludf.DUMMYFUNCTION("""COMPUTED_VALUE"""),7.84041E7)</f>
        <v>78404100</v>
      </c>
      <c r="G673" s="2">
        <f t="shared" si="1"/>
        <v>35</v>
      </c>
    </row>
    <row r="674" ht="15.75" customHeight="1">
      <c r="A674" s="1">
        <f>IFERROR(__xludf.DUMMYFUNCTION("""COMPUTED_VALUE"""),44839.66666666667)</f>
        <v>44839.66667</v>
      </c>
      <c r="B674" s="2">
        <f>IFERROR(__xludf.DUMMYFUNCTION("""COMPUTED_VALUE"""),1780.0)</f>
        <v>1780</v>
      </c>
      <c r="C674" s="2">
        <f>IFERROR(__xludf.DUMMYFUNCTION("""COMPUTED_VALUE"""),1790.0)</f>
        <v>1790</v>
      </c>
      <c r="D674" s="2">
        <f>IFERROR(__xludf.DUMMYFUNCTION("""COMPUTED_VALUE"""),1765.0)</f>
        <v>1765</v>
      </c>
      <c r="E674" s="2">
        <f>IFERROR(__xludf.DUMMYFUNCTION("""COMPUTED_VALUE"""),1765.0)</f>
        <v>1765</v>
      </c>
      <c r="F674" s="2">
        <f>IFERROR(__xludf.DUMMYFUNCTION("""COMPUTED_VALUE"""),5.10835E7)</f>
        <v>51083500</v>
      </c>
      <c r="G674" s="2">
        <f t="shared" si="1"/>
        <v>25</v>
      </c>
    </row>
    <row r="675" ht="15.75" customHeight="1">
      <c r="A675" s="1">
        <f>IFERROR(__xludf.DUMMYFUNCTION("""COMPUTED_VALUE"""),44840.66666666667)</f>
        <v>44840.66667</v>
      </c>
      <c r="B675" s="2">
        <f>IFERROR(__xludf.DUMMYFUNCTION("""COMPUTED_VALUE"""),1775.0)</f>
        <v>1775</v>
      </c>
      <c r="C675" s="2">
        <f>IFERROR(__xludf.DUMMYFUNCTION("""COMPUTED_VALUE"""),1775.0)</f>
        <v>1775</v>
      </c>
      <c r="D675" s="2">
        <f>IFERROR(__xludf.DUMMYFUNCTION("""COMPUTED_VALUE"""),1750.0)</f>
        <v>1750</v>
      </c>
      <c r="E675" s="2">
        <f>IFERROR(__xludf.DUMMYFUNCTION("""COMPUTED_VALUE"""),1765.0)</f>
        <v>1765</v>
      </c>
      <c r="F675" s="2">
        <f>IFERROR(__xludf.DUMMYFUNCTION("""COMPUTED_VALUE"""),3.2339E7)</f>
        <v>32339000</v>
      </c>
      <c r="G675" s="2">
        <f t="shared" si="1"/>
        <v>25</v>
      </c>
    </row>
    <row r="676" ht="15.75" customHeight="1">
      <c r="A676" s="1">
        <f>IFERROR(__xludf.DUMMYFUNCTION("""COMPUTED_VALUE"""),44841.66666666667)</f>
        <v>44841.66667</v>
      </c>
      <c r="B676" s="2">
        <f>IFERROR(__xludf.DUMMYFUNCTION("""COMPUTED_VALUE"""),1765.0)</f>
        <v>1765</v>
      </c>
      <c r="C676" s="2">
        <f>IFERROR(__xludf.DUMMYFUNCTION("""COMPUTED_VALUE"""),1765.0)</f>
        <v>1765</v>
      </c>
      <c r="D676" s="2">
        <f>IFERROR(__xludf.DUMMYFUNCTION("""COMPUTED_VALUE"""),1740.0)</f>
        <v>1740</v>
      </c>
      <c r="E676" s="2">
        <f>IFERROR(__xludf.DUMMYFUNCTION("""COMPUTED_VALUE"""),1755.0)</f>
        <v>1755</v>
      </c>
      <c r="F676" s="2">
        <f>IFERROR(__xludf.DUMMYFUNCTION("""COMPUTED_VALUE"""),2.27372E7)</f>
        <v>22737200</v>
      </c>
      <c r="G676" s="2">
        <f t="shared" si="1"/>
        <v>25</v>
      </c>
    </row>
    <row r="677" ht="15.75" customHeight="1">
      <c r="A677" s="1">
        <f>IFERROR(__xludf.DUMMYFUNCTION("""COMPUTED_VALUE"""),44844.66666666667)</f>
        <v>44844.66667</v>
      </c>
      <c r="B677" s="2">
        <f>IFERROR(__xludf.DUMMYFUNCTION("""COMPUTED_VALUE"""),1755.0)</f>
        <v>1755</v>
      </c>
      <c r="C677" s="2">
        <f>IFERROR(__xludf.DUMMYFUNCTION("""COMPUTED_VALUE"""),1835.0)</f>
        <v>1835</v>
      </c>
      <c r="D677" s="2">
        <f>IFERROR(__xludf.DUMMYFUNCTION("""COMPUTED_VALUE"""),1745.0)</f>
        <v>1745</v>
      </c>
      <c r="E677" s="2">
        <f>IFERROR(__xludf.DUMMYFUNCTION("""COMPUTED_VALUE"""),1825.0)</f>
        <v>1825</v>
      </c>
      <c r="F677" s="2">
        <f>IFERROR(__xludf.DUMMYFUNCTION("""COMPUTED_VALUE"""),1.329825E8)</f>
        <v>132982500</v>
      </c>
      <c r="G677" s="2">
        <f t="shared" si="1"/>
        <v>90</v>
      </c>
    </row>
    <row r="678" ht="15.75" customHeight="1">
      <c r="A678" s="1">
        <f>IFERROR(__xludf.DUMMYFUNCTION("""COMPUTED_VALUE"""),44845.66666666667)</f>
        <v>44845.66667</v>
      </c>
      <c r="B678" s="2">
        <f>IFERROR(__xludf.DUMMYFUNCTION("""COMPUTED_VALUE"""),1830.0)</f>
        <v>1830</v>
      </c>
      <c r="C678" s="2">
        <f>IFERROR(__xludf.DUMMYFUNCTION("""COMPUTED_VALUE"""),1840.0)</f>
        <v>1840</v>
      </c>
      <c r="D678" s="2">
        <f>IFERROR(__xludf.DUMMYFUNCTION("""COMPUTED_VALUE"""),1800.0)</f>
        <v>1800</v>
      </c>
      <c r="E678" s="2">
        <f>IFERROR(__xludf.DUMMYFUNCTION("""COMPUTED_VALUE"""),1800.0)</f>
        <v>1800</v>
      </c>
      <c r="F678" s="2">
        <f>IFERROR(__xludf.DUMMYFUNCTION("""COMPUTED_VALUE"""),7.2538E7)</f>
        <v>72538000</v>
      </c>
      <c r="G678" s="2">
        <f t="shared" si="1"/>
        <v>40</v>
      </c>
    </row>
    <row r="679" ht="15.75" customHeight="1">
      <c r="A679" s="1">
        <f>IFERROR(__xludf.DUMMYFUNCTION("""COMPUTED_VALUE"""),44846.66666666667)</f>
        <v>44846.66667</v>
      </c>
      <c r="B679" s="2">
        <f>IFERROR(__xludf.DUMMYFUNCTION("""COMPUTED_VALUE"""),1810.0)</f>
        <v>1810</v>
      </c>
      <c r="C679" s="2">
        <f>IFERROR(__xludf.DUMMYFUNCTION("""COMPUTED_VALUE"""),1840.0)</f>
        <v>1840</v>
      </c>
      <c r="D679" s="2">
        <f>IFERROR(__xludf.DUMMYFUNCTION("""COMPUTED_VALUE"""),1765.0)</f>
        <v>1765</v>
      </c>
      <c r="E679" s="2">
        <f>IFERROR(__xludf.DUMMYFUNCTION("""COMPUTED_VALUE"""),1835.0)</f>
        <v>1835</v>
      </c>
      <c r="F679" s="2">
        <f>IFERROR(__xludf.DUMMYFUNCTION("""COMPUTED_VALUE"""),8.25137E7)</f>
        <v>82513700</v>
      </c>
      <c r="G679" s="2">
        <f t="shared" si="1"/>
        <v>75</v>
      </c>
    </row>
    <row r="680" ht="15.75" customHeight="1">
      <c r="A680" s="1">
        <f>IFERROR(__xludf.DUMMYFUNCTION("""COMPUTED_VALUE"""),44847.66666666667)</f>
        <v>44847.66667</v>
      </c>
      <c r="B680" s="2">
        <f>IFERROR(__xludf.DUMMYFUNCTION("""COMPUTED_VALUE"""),1835.0)</f>
        <v>1835</v>
      </c>
      <c r="C680" s="2">
        <f>IFERROR(__xludf.DUMMYFUNCTION("""COMPUTED_VALUE"""),1850.0)</f>
        <v>1850</v>
      </c>
      <c r="D680" s="2">
        <f>IFERROR(__xludf.DUMMYFUNCTION("""COMPUTED_VALUE"""),1815.0)</f>
        <v>1815</v>
      </c>
      <c r="E680" s="2">
        <f>IFERROR(__xludf.DUMMYFUNCTION("""COMPUTED_VALUE"""),1835.0)</f>
        <v>1835</v>
      </c>
      <c r="F680" s="2">
        <f>IFERROR(__xludf.DUMMYFUNCTION("""COMPUTED_VALUE"""),5.88871E7)</f>
        <v>58887100</v>
      </c>
      <c r="G680" s="2">
        <f t="shared" si="1"/>
        <v>35</v>
      </c>
    </row>
    <row r="681" ht="15.75" customHeight="1">
      <c r="A681" s="1">
        <f>IFERROR(__xludf.DUMMYFUNCTION("""COMPUTED_VALUE"""),44848.66666666667)</f>
        <v>44848.66667</v>
      </c>
      <c r="B681" s="2">
        <f>IFERROR(__xludf.DUMMYFUNCTION("""COMPUTED_VALUE"""),1855.0)</f>
        <v>1855</v>
      </c>
      <c r="C681" s="2">
        <f>IFERROR(__xludf.DUMMYFUNCTION("""COMPUTED_VALUE"""),1855.0)</f>
        <v>1855</v>
      </c>
      <c r="D681" s="2">
        <f>IFERROR(__xludf.DUMMYFUNCTION("""COMPUTED_VALUE"""),1800.0)</f>
        <v>1800</v>
      </c>
      <c r="E681" s="2">
        <f>IFERROR(__xludf.DUMMYFUNCTION("""COMPUTED_VALUE"""),1800.0)</f>
        <v>1800</v>
      </c>
      <c r="F681" s="2">
        <f>IFERROR(__xludf.DUMMYFUNCTION("""COMPUTED_VALUE"""),4.97284E7)</f>
        <v>49728400</v>
      </c>
      <c r="G681" s="2">
        <f t="shared" si="1"/>
        <v>55</v>
      </c>
    </row>
    <row r="682" ht="15.75" customHeight="1">
      <c r="A682" s="1">
        <f>IFERROR(__xludf.DUMMYFUNCTION("""COMPUTED_VALUE"""),44851.66666666667)</f>
        <v>44851.66667</v>
      </c>
      <c r="B682" s="2">
        <f>IFERROR(__xludf.DUMMYFUNCTION("""COMPUTED_VALUE"""),1800.0)</f>
        <v>1800</v>
      </c>
      <c r="C682" s="2">
        <f>IFERROR(__xludf.DUMMYFUNCTION("""COMPUTED_VALUE"""),1840.0)</f>
        <v>1840</v>
      </c>
      <c r="D682" s="2">
        <f>IFERROR(__xludf.DUMMYFUNCTION("""COMPUTED_VALUE"""),1770.0)</f>
        <v>1770</v>
      </c>
      <c r="E682" s="2">
        <f>IFERROR(__xludf.DUMMYFUNCTION("""COMPUTED_VALUE"""),1835.0)</f>
        <v>1835</v>
      </c>
      <c r="F682" s="2">
        <f>IFERROR(__xludf.DUMMYFUNCTION("""COMPUTED_VALUE"""),6.66328E7)</f>
        <v>66632800</v>
      </c>
      <c r="G682" s="2">
        <f t="shared" si="1"/>
        <v>70</v>
      </c>
    </row>
    <row r="683" ht="15.75" customHeight="1">
      <c r="A683" s="1">
        <f>IFERROR(__xludf.DUMMYFUNCTION("""COMPUTED_VALUE"""),44852.66666666667)</f>
        <v>44852.66667</v>
      </c>
      <c r="B683" s="2">
        <f>IFERROR(__xludf.DUMMYFUNCTION("""COMPUTED_VALUE"""),1835.0)</f>
        <v>1835</v>
      </c>
      <c r="C683" s="2">
        <f>IFERROR(__xludf.DUMMYFUNCTION("""COMPUTED_VALUE"""),1855.0)</f>
        <v>1855</v>
      </c>
      <c r="D683" s="2">
        <f>IFERROR(__xludf.DUMMYFUNCTION("""COMPUTED_VALUE"""),1815.0)</f>
        <v>1815</v>
      </c>
      <c r="E683" s="2">
        <f>IFERROR(__xludf.DUMMYFUNCTION("""COMPUTED_VALUE"""),1835.0)</f>
        <v>1835</v>
      </c>
      <c r="F683" s="2">
        <f>IFERROR(__xludf.DUMMYFUNCTION("""COMPUTED_VALUE"""),6.15321E7)</f>
        <v>61532100</v>
      </c>
      <c r="G683" s="2">
        <f t="shared" si="1"/>
        <v>40</v>
      </c>
    </row>
    <row r="684" ht="15.75" customHeight="1">
      <c r="A684" s="1">
        <f>IFERROR(__xludf.DUMMYFUNCTION("""COMPUTED_VALUE"""),44853.66666666667)</f>
        <v>44853.66667</v>
      </c>
      <c r="B684" s="2">
        <f>IFERROR(__xludf.DUMMYFUNCTION("""COMPUTED_VALUE"""),1835.0)</f>
        <v>1835</v>
      </c>
      <c r="C684" s="2">
        <f>IFERROR(__xludf.DUMMYFUNCTION("""COMPUTED_VALUE"""),1845.0)</f>
        <v>1845</v>
      </c>
      <c r="D684" s="2">
        <f>IFERROR(__xludf.DUMMYFUNCTION("""COMPUTED_VALUE"""),1805.0)</f>
        <v>1805</v>
      </c>
      <c r="E684" s="2">
        <f>IFERROR(__xludf.DUMMYFUNCTION("""COMPUTED_VALUE"""),1810.0)</f>
        <v>1810</v>
      </c>
      <c r="F684" s="2">
        <f>IFERROR(__xludf.DUMMYFUNCTION("""COMPUTED_VALUE"""),4.81209E7)</f>
        <v>48120900</v>
      </c>
      <c r="G684" s="2">
        <f t="shared" si="1"/>
        <v>40</v>
      </c>
    </row>
    <row r="685" ht="15.75" customHeight="1">
      <c r="A685" s="1">
        <f>IFERROR(__xludf.DUMMYFUNCTION("""COMPUTED_VALUE"""),44854.66666666667)</f>
        <v>44854.66667</v>
      </c>
      <c r="B685" s="2">
        <f>IFERROR(__xludf.DUMMYFUNCTION("""COMPUTED_VALUE"""),1810.0)</f>
        <v>1810</v>
      </c>
      <c r="C685" s="2">
        <f>IFERROR(__xludf.DUMMYFUNCTION("""COMPUTED_VALUE"""),1900.0)</f>
        <v>1900</v>
      </c>
      <c r="D685" s="2">
        <f>IFERROR(__xludf.DUMMYFUNCTION("""COMPUTED_VALUE"""),1810.0)</f>
        <v>1810</v>
      </c>
      <c r="E685" s="2">
        <f>IFERROR(__xludf.DUMMYFUNCTION("""COMPUTED_VALUE"""),1835.0)</f>
        <v>1835</v>
      </c>
      <c r="F685" s="2">
        <f>IFERROR(__xludf.DUMMYFUNCTION("""COMPUTED_VALUE"""),2.041316E8)</f>
        <v>204131600</v>
      </c>
      <c r="G685" s="2">
        <f t="shared" si="1"/>
        <v>90</v>
      </c>
    </row>
    <row r="686" ht="15.75" customHeight="1">
      <c r="A686" s="1">
        <f>IFERROR(__xludf.DUMMYFUNCTION("""COMPUTED_VALUE"""),44855.66666666667)</f>
        <v>44855.66667</v>
      </c>
      <c r="B686" s="2">
        <f>IFERROR(__xludf.DUMMYFUNCTION("""COMPUTED_VALUE"""),1840.0)</f>
        <v>1840</v>
      </c>
      <c r="C686" s="2">
        <f>IFERROR(__xludf.DUMMYFUNCTION("""COMPUTED_VALUE"""),1895.0)</f>
        <v>1895</v>
      </c>
      <c r="D686" s="2">
        <f>IFERROR(__xludf.DUMMYFUNCTION("""COMPUTED_VALUE"""),1840.0)</f>
        <v>1840</v>
      </c>
      <c r="E686" s="2">
        <f>IFERROR(__xludf.DUMMYFUNCTION("""COMPUTED_VALUE"""),1870.0)</f>
        <v>1870</v>
      </c>
      <c r="F686" s="2">
        <f>IFERROR(__xludf.DUMMYFUNCTION("""COMPUTED_VALUE"""),1.022605E8)</f>
        <v>102260500</v>
      </c>
      <c r="G686" s="2">
        <f t="shared" si="1"/>
        <v>60</v>
      </c>
    </row>
    <row r="687" ht="15.75" customHeight="1">
      <c r="A687" s="1">
        <f>IFERROR(__xludf.DUMMYFUNCTION("""COMPUTED_VALUE"""),44858.66666666667)</f>
        <v>44858.66667</v>
      </c>
      <c r="B687" s="2">
        <f>IFERROR(__xludf.DUMMYFUNCTION("""COMPUTED_VALUE"""),1875.0)</f>
        <v>1875</v>
      </c>
      <c r="C687" s="2">
        <f>IFERROR(__xludf.DUMMYFUNCTION("""COMPUTED_VALUE"""),1940.0)</f>
        <v>1940</v>
      </c>
      <c r="D687" s="2">
        <f>IFERROR(__xludf.DUMMYFUNCTION("""COMPUTED_VALUE"""),1875.0)</f>
        <v>1875</v>
      </c>
      <c r="E687" s="2">
        <f>IFERROR(__xludf.DUMMYFUNCTION("""COMPUTED_VALUE"""),1920.0)</f>
        <v>1920</v>
      </c>
      <c r="F687" s="2">
        <f>IFERROR(__xludf.DUMMYFUNCTION("""COMPUTED_VALUE"""),1.193929E8)</f>
        <v>119392900</v>
      </c>
      <c r="G687" s="2">
        <f t="shared" si="1"/>
        <v>70</v>
      </c>
    </row>
    <row r="688" ht="15.75" customHeight="1">
      <c r="A688" s="1">
        <f>IFERROR(__xludf.DUMMYFUNCTION("""COMPUTED_VALUE"""),44859.66666666667)</f>
        <v>44859.66667</v>
      </c>
      <c r="B688" s="2">
        <f>IFERROR(__xludf.DUMMYFUNCTION("""COMPUTED_VALUE"""),1935.0)</f>
        <v>1935</v>
      </c>
      <c r="C688" s="2">
        <f>IFERROR(__xludf.DUMMYFUNCTION("""COMPUTED_VALUE"""),1945.0)</f>
        <v>1945</v>
      </c>
      <c r="D688" s="2">
        <f>IFERROR(__xludf.DUMMYFUNCTION("""COMPUTED_VALUE"""),1885.0)</f>
        <v>1885</v>
      </c>
      <c r="E688" s="2">
        <f>IFERROR(__xludf.DUMMYFUNCTION("""COMPUTED_VALUE"""),1885.0)</f>
        <v>1885</v>
      </c>
      <c r="F688" s="2">
        <f>IFERROR(__xludf.DUMMYFUNCTION("""COMPUTED_VALUE"""),7.2611E7)</f>
        <v>72611000</v>
      </c>
      <c r="G688" s="2">
        <f t="shared" si="1"/>
        <v>60</v>
      </c>
    </row>
    <row r="689" ht="15.75" customHeight="1">
      <c r="A689" s="1">
        <f>IFERROR(__xludf.DUMMYFUNCTION("""COMPUTED_VALUE"""),44860.66666666667)</f>
        <v>44860.66667</v>
      </c>
      <c r="B689" s="2">
        <f>IFERROR(__xludf.DUMMYFUNCTION("""COMPUTED_VALUE"""),1895.0)</f>
        <v>1895</v>
      </c>
      <c r="C689" s="2">
        <f>IFERROR(__xludf.DUMMYFUNCTION("""COMPUTED_VALUE"""),1940.0)</f>
        <v>1940</v>
      </c>
      <c r="D689" s="2">
        <f>IFERROR(__xludf.DUMMYFUNCTION("""COMPUTED_VALUE"""),1870.0)</f>
        <v>1870</v>
      </c>
      <c r="E689" s="2">
        <f>IFERROR(__xludf.DUMMYFUNCTION("""COMPUTED_VALUE"""),1920.0)</f>
        <v>1920</v>
      </c>
      <c r="F689" s="2">
        <f>IFERROR(__xludf.DUMMYFUNCTION("""COMPUTED_VALUE"""),7.47502E7)</f>
        <v>74750200</v>
      </c>
      <c r="G689" s="2">
        <f t="shared" si="1"/>
        <v>70</v>
      </c>
    </row>
    <row r="690" ht="15.75" customHeight="1">
      <c r="A690" s="1">
        <f>IFERROR(__xludf.DUMMYFUNCTION("""COMPUTED_VALUE"""),44861.66666666667)</f>
        <v>44861.66667</v>
      </c>
      <c r="B690" s="2">
        <f>IFERROR(__xludf.DUMMYFUNCTION("""COMPUTED_VALUE"""),1935.0)</f>
        <v>1935</v>
      </c>
      <c r="C690" s="2">
        <f>IFERROR(__xludf.DUMMYFUNCTION("""COMPUTED_VALUE"""),1945.0)</f>
        <v>1945</v>
      </c>
      <c r="D690" s="2">
        <f>IFERROR(__xludf.DUMMYFUNCTION("""COMPUTED_VALUE"""),1905.0)</f>
        <v>1905</v>
      </c>
      <c r="E690" s="2">
        <f>IFERROR(__xludf.DUMMYFUNCTION("""COMPUTED_VALUE"""),1925.0)</f>
        <v>1925</v>
      </c>
      <c r="F690" s="2">
        <f>IFERROR(__xludf.DUMMYFUNCTION("""COMPUTED_VALUE"""),5.40234E7)</f>
        <v>54023400</v>
      </c>
      <c r="G690" s="2">
        <f t="shared" si="1"/>
        <v>40</v>
      </c>
    </row>
    <row r="691" ht="15.75" customHeight="1">
      <c r="A691" s="1">
        <f>IFERROR(__xludf.DUMMYFUNCTION("""COMPUTED_VALUE"""),44862.66666666667)</f>
        <v>44862.66667</v>
      </c>
      <c r="B691" s="2">
        <f>IFERROR(__xludf.DUMMYFUNCTION("""COMPUTED_VALUE"""),1920.0)</f>
        <v>1920</v>
      </c>
      <c r="C691" s="2">
        <f>IFERROR(__xludf.DUMMYFUNCTION("""COMPUTED_VALUE"""),1925.0)</f>
        <v>1925</v>
      </c>
      <c r="D691" s="2">
        <f>IFERROR(__xludf.DUMMYFUNCTION("""COMPUTED_VALUE"""),1885.0)</f>
        <v>1885</v>
      </c>
      <c r="E691" s="2">
        <f>IFERROR(__xludf.DUMMYFUNCTION("""COMPUTED_VALUE"""),1910.0)</f>
        <v>1910</v>
      </c>
      <c r="F691" s="2">
        <f>IFERROR(__xludf.DUMMYFUNCTION("""COMPUTED_VALUE"""),5.745E7)</f>
        <v>57450000</v>
      </c>
      <c r="G691" s="2">
        <f t="shared" si="1"/>
        <v>40</v>
      </c>
    </row>
    <row r="692" ht="15.75" customHeight="1">
      <c r="A692" s="1">
        <f>IFERROR(__xludf.DUMMYFUNCTION("""COMPUTED_VALUE"""),44865.66666666667)</f>
        <v>44865.66667</v>
      </c>
      <c r="B692" s="2">
        <f>IFERROR(__xludf.DUMMYFUNCTION("""COMPUTED_VALUE"""),1925.0)</f>
        <v>1925</v>
      </c>
      <c r="C692" s="2">
        <f>IFERROR(__xludf.DUMMYFUNCTION("""COMPUTED_VALUE"""),1995.0)</f>
        <v>1995</v>
      </c>
      <c r="D692" s="2">
        <f>IFERROR(__xludf.DUMMYFUNCTION("""COMPUTED_VALUE"""),1920.0)</f>
        <v>1920</v>
      </c>
      <c r="E692" s="2">
        <f>IFERROR(__xludf.DUMMYFUNCTION("""COMPUTED_VALUE"""),1975.0)</f>
        <v>1975</v>
      </c>
      <c r="F692" s="2">
        <f>IFERROR(__xludf.DUMMYFUNCTION("""COMPUTED_VALUE"""),1.645016E8)</f>
        <v>164501600</v>
      </c>
      <c r="G692" s="2">
        <f t="shared" si="1"/>
        <v>85</v>
      </c>
    </row>
    <row r="693" ht="15.75" customHeight="1">
      <c r="A693" s="1">
        <f>IFERROR(__xludf.DUMMYFUNCTION("""COMPUTED_VALUE"""),44866.625)</f>
        <v>44866.625</v>
      </c>
      <c r="B693" s="2">
        <f>IFERROR(__xludf.DUMMYFUNCTION("""COMPUTED_VALUE"""),1965.0)</f>
        <v>1965</v>
      </c>
      <c r="C693" s="2">
        <f>IFERROR(__xludf.DUMMYFUNCTION("""COMPUTED_VALUE"""),1990.0)</f>
        <v>1990</v>
      </c>
      <c r="D693" s="2">
        <f>IFERROR(__xludf.DUMMYFUNCTION("""COMPUTED_VALUE"""),1940.0)</f>
        <v>1940</v>
      </c>
      <c r="E693" s="2">
        <f>IFERROR(__xludf.DUMMYFUNCTION("""COMPUTED_VALUE"""),1945.0)</f>
        <v>1945</v>
      </c>
      <c r="F693" s="2">
        <f>IFERROR(__xludf.DUMMYFUNCTION("""COMPUTED_VALUE"""),6.94011E7)</f>
        <v>69401100</v>
      </c>
      <c r="G693" s="2">
        <f t="shared" si="1"/>
        <v>50</v>
      </c>
    </row>
    <row r="694" ht="15.75" customHeight="1">
      <c r="A694" s="1">
        <f>IFERROR(__xludf.DUMMYFUNCTION("""COMPUTED_VALUE"""),44867.625)</f>
        <v>44867.625</v>
      </c>
      <c r="B694" s="2">
        <f>IFERROR(__xludf.DUMMYFUNCTION("""COMPUTED_VALUE"""),1940.0)</f>
        <v>1940</v>
      </c>
      <c r="C694" s="2">
        <f>IFERROR(__xludf.DUMMYFUNCTION("""COMPUTED_VALUE"""),1965.0)</f>
        <v>1965</v>
      </c>
      <c r="D694" s="2">
        <f>IFERROR(__xludf.DUMMYFUNCTION("""COMPUTED_VALUE"""),1920.0)</f>
        <v>1920</v>
      </c>
      <c r="E694" s="2">
        <f>IFERROR(__xludf.DUMMYFUNCTION("""COMPUTED_VALUE"""),1940.0)</f>
        <v>1940</v>
      </c>
      <c r="F694" s="2">
        <f>IFERROR(__xludf.DUMMYFUNCTION("""COMPUTED_VALUE"""),5.21632E7)</f>
        <v>52163200</v>
      </c>
      <c r="G694" s="2">
        <f t="shared" si="1"/>
        <v>45</v>
      </c>
    </row>
    <row r="695" ht="15.75" customHeight="1">
      <c r="A695" s="1">
        <f>IFERROR(__xludf.DUMMYFUNCTION("""COMPUTED_VALUE"""),44868.66666666667)</f>
        <v>44868.66667</v>
      </c>
      <c r="B695" s="2">
        <f>IFERROR(__xludf.DUMMYFUNCTION("""COMPUTED_VALUE"""),1940.0)</f>
        <v>1940</v>
      </c>
      <c r="C695" s="2">
        <f>IFERROR(__xludf.DUMMYFUNCTION("""COMPUTED_VALUE"""),1970.0)</f>
        <v>1970</v>
      </c>
      <c r="D695" s="2">
        <f>IFERROR(__xludf.DUMMYFUNCTION("""COMPUTED_VALUE"""),1920.0)</f>
        <v>1920</v>
      </c>
      <c r="E695" s="2">
        <f>IFERROR(__xludf.DUMMYFUNCTION("""COMPUTED_VALUE"""),1940.0)</f>
        <v>1940</v>
      </c>
      <c r="F695" s="2">
        <f>IFERROR(__xludf.DUMMYFUNCTION("""COMPUTED_VALUE"""),4.49207E7)</f>
        <v>44920700</v>
      </c>
      <c r="G695" s="2">
        <f t="shared" si="1"/>
        <v>50</v>
      </c>
    </row>
    <row r="696" ht="15.75" customHeight="1">
      <c r="A696" s="1">
        <f>IFERROR(__xludf.DUMMYFUNCTION("""COMPUTED_VALUE"""),44869.66666666667)</f>
        <v>44869.66667</v>
      </c>
      <c r="B696" s="2">
        <f>IFERROR(__xludf.DUMMYFUNCTION("""COMPUTED_VALUE"""),1940.0)</f>
        <v>1940</v>
      </c>
      <c r="C696" s="2">
        <f>IFERROR(__xludf.DUMMYFUNCTION("""COMPUTED_VALUE"""),1950.0)</f>
        <v>1950</v>
      </c>
      <c r="D696" s="2">
        <f>IFERROR(__xludf.DUMMYFUNCTION("""COMPUTED_VALUE"""),1890.0)</f>
        <v>1890</v>
      </c>
      <c r="E696" s="2">
        <f>IFERROR(__xludf.DUMMYFUNCTION("""COMPUTED_VALUE"""),1945.0)</f>
        <v>1945</v>
      </c>
      <c r="F696" s="2">
        <f>IFERROR(__xludf.DUMMYFUNCTION("""COMPUTED_VALUE"""),7.35937E7)</f>
        <v>73593700</v>
      </c>
      <c r="G696" s="2">
        <f t="shared" si="1"/>
        <v>60</v>
      </c>
    </row>
    <row r="697" ht="15.75" customHeight="1">
      <c r="A697" s="1">
        <f>IFERROR(__xludf.DUMMYFUNCTION("""COMPUTED_VALUE"""),44872.66666666667)</f>
        <v>44872.66667</v>
      </c>
      <c r="B697" s="2">
        <f>IFERROR(__xludf.DUMMYFUNCTION("""COMPUTED_VALUE"""),1920.0)</f>
        <v>1920</v>
      </c>
      <c r="C697" s="2">
        <f>IFERROR(__xludf.DUMMYFUNCTION("""COMPUTED_VALUE"""),1925.0)</f>
        <v>1925</v>
      </c>
      <c r="D697" s="2">
        <f>IFERROR(__xludf.DUMMYFUNCTION("""COMPUTED_VALUE"""),1840.0)</f>
        <v>1840</v>
      </c>
      <c r="E697" s="2">
        <f>IFERROR(__xludf.DUMMYFUNCTION("""COMPUTED_VALUE"""),1850.0)</f>
        <v>1850</v>
      </c>
      <c r="F697" s="2">
        <f>IFERROR(__xludf.DUMMYFUNCTION("""COMPUTED_VALUE"""),2.291112E8)</f>
        <v>229111200</v>
      </c>
      <c r="G697" s="2">
        <f t="shared" si="1"/>
        <v>105</v>
      </c>
    </row>
    <row r="698" ht="15.75" customHeight="1">
      <c r="A698" s="1">
        <f>IFERROR(__xludf.DUMMYFUNCTION("""COMPUTED_VALUE"""),44873.66666666667)</f>
        <v>44873.66667</v>
      </c>
      <c r="B698" s="2">
        <f>IFERROR(__xludf.DUMMYFUNCTION("""COMPUTED_VALUE"""),1850.0)</f>
        <v>1850</v>
      </c>
      <c r="C698" s="2">
        <f>IFERROR(__xludf.DUMMYFUNCTION("""COMPUTED_VALUE"""),1900.0)</f>
        <v>1900</v>
      </c>
      <c r="D698" s="2">
        <f>IFERROR(__xludf.DUMMYFUNCTION("""COMPUTED_VALUE"""),1850.0)</f>
        <v>1850</v>
      </c>
      <c r="E698" s="2">
        <f>IFERROR(__xludf.DUMMYFUNCTION("""COMPUTED_VALUE"""),1855.0)</f>
        <v>1855</v>
      </c>
      <c r="F698" s="2">
        <f>IFERROR(__xludf.DUMMYFUNCTION("""COMPUTED_VALUE"""),1.069147E8)</f>
        <v>106914700</v>
      </c>
      <c r="G698" s="2">
        <f t="shared" si="1"/>
        <v>50</v>
      </c>
    </row>
    <row r="699" ht="15.75" customHeight="1">
      <c r="A699" s="1">
        <f>IFERROR(__xludf.DUMMYFUNCTION("""COMPUTED_VALUE"""),44874.66666666667)</f>
        <v>44874.66667</v>
      </c>
      <c r="B699" s="2">
        <f>IFERROR(__xludf.DUMMYFUNCTION("""COMPUTED_VALUE"""),1850.0)</f>
        <v>1850</v>
      </c>
      <c r="C699" s="2">
        <f>IFERROR(__xludf.DUMMYFUNCTION("""COMPUTED_VALUE"""),1875.0)</f>
        <v>1875</v>
      </c>
      <c r="D699" s="2">
        <f>IFERROR(__xludf.DUMMYFUNCTION("""COMPUTED_VALUE"""),1830.0)</f>
        <v>1830</v>
      </c>
      <c r="E699" s="2">
        <f>IFERROR(__xludf.DUMMYFUNCTION("""COMPUTED_VALUE"""),1830.0)</f>
        <v>1830</v>
      </c>
      <c r="F699" s="2">
        <f>IFERROR(__xludf.DUMMYFUNCTION("""COMPUTED_VALUE"""),8.50438E7)</f>
        <v>85043800</v>
      </c>
      <c r="G699" s="2">
        <f t="shared" si="1"/>
        <v>45</v>
      </c>
    </row>
    <row r="700" ht="15.75" customHeight="1">
      <c r="A700" s="1">
        <f>IFERROR(__xludf.DUMMYFUNCTION("""COMPUTED_VALUE"""),44875.66666666667)</f>
        <v>44875.66667</v>
      </c>
      <c r="B700" s="2">
        <f>IFERROR(__xludf.DUMMYFUNCTION("""COMPUTED_VALUE"""),1830.0)</f>
        <v>1830</v>
      </c>
      <c r="C700" s="2">
        <f>IFERROR(__xludf.DUMMYFUNCTION("""COMPUTED_VALUE"""),1830.0)</f>
        <v>1830</v>
      </c>
      <c r="D700" s="2">
        <f>IFERROR(__xludf.DUMMYFUNCTION("""COMPUTED_VALUE"""),1765.0)</f>
        <v>1765</v>
      </c>
      <c r="E700" s="2">
        <f>IFERROR(__xludf.DUMMYFUNCTION("""COMPUTED_VALUE"""),1800.0)</f>
        <v>1800</v>
      </c>
      <c r="F700" s="2">
        <f>IFERROR(__xludf.DUMMYFUNCTION("""COMPUTED_VALUE"""),1.105807E8)</f>
        <v>110580700</v>
      </c>
      <c r="G700" s="2">
        <f t="shared" si="1"/>
        <v>65</v>
      </c>
    </row>
    <row r="701" ht="15.75" customHeight="1">
      <c r="A701" s="1">
        <f>IFERROR(__xludf.DUMMYFUNCTION("""COMPUTED_VALUE"""),44876.66666666667)</f>
        <v>44876.66667</v>
      </c>
      <c r="B701" s="2">
        <f>IFERROR(__xludf.DUMMYFUNCTION("""COMPUTED_VALUE"""),1825.0)</f>
        <v>1825</v>
      </c>
      <c r="C701" s="2">
        <f>IFERROR(__xludf.DUMMYFUNCTION("""COMPUTED_VALUE"""),1835.0)</f>
        <v>1835</v>
      </c>
      <c r="D701" s="2">
        <f>IFERROR(__xludf.DUMMYFUNCTION("""COMPUTED_VALUE"""),1780.0)</f>
        <v>1780</v>
      </c>
      <c r="E701" s="2">
        <f>IFERROR(__xludf.DUMMYFUNCTION("""COMPUTED_VALUE"""),1820.0)</f>
        <v>1820</v>
      </c>
      <c r="F701" s="2">
        <f>IFERROR(__xludf.DUMMYFUNCTION("""COMPUTED_VALUE"""),8.91956E7)</f>
        <v>89195600</v>
      </c>
      <c r="G701" s="2">
        <f t="shared" si="1"/>
        <v>55</v>
      </c>
    </row>
    <row r="702" ht="15.75" customHeight="1">
      <c r="A702" s="1">
        <f>IFERROR(__xludf.DUMMYFUNCTION("""COMPUTED_VALUE"""),44879.66666666667)</f>
        <v>44879.66667</v>
      </c>
      <c r="B702" s="2">
        <f>IFERROR(__xludf.DUMMYFUNCTION("""COMPUTED_VALUE"""),1830.0)</f>
        <v>1830</v>
      </c>
      <c r="C702" s="2">
        <f>IFERROR(__xludf.DUMMYFUNCTION("""COMPUTED_VALUE"""),1835.0)</f>
        <v>1835</v>
      </c>
      <c r="D702" s="2">
        <f>IFERROR(__xludf.DUMMYFUNCTION("""COMPUTED_VALUE"""),1805.0)</f>
        <v>1805</v>
      </c>
      <c r="E702" s="2">
        <f>IFERROR(__xludf.DUMMYFUNCTION("""COMPUTED_VALUE"""),1810.0)</f>
        <v>1810</v>
      </c>
      <c r="F702" s="2">
        <f>IFERROR(__xludf.DUMMYFUNCTION("""COMPUTED_VALUE"""),6.07075E7)</f>
        <v>60707500</v>
      </c>
      <c r="G702" s="2">
        <f t="shared" si="1"/>
        <v>30</v>
      </c>
    </row>
    <row r="703" ht="15.75" customHeight="1">
      <c r="A703" s="1">
        <f>IFERROR(__xludf.DUMMYFUNCTION("""COMPUTED_VALUE"""),44880.66666666667)</f>
        <v>44880.66667</v>
      </c>
      <c r="B703" s="2">
        <f>IFERROR(__xludf.DUMMYFUNCTION("""COMPUTED_VALUE"""),1825.0)</f>
        <v>1825</v>
      </c>
      <c r="C703" s="2">
        <f>IFERROR(__xludf.DUMMYFUNCTION("""COMPUTED_VALUE"""),1825.0)</f>
        <v>1825</v>
      </c>
      <c r="D703" s="2">
        <f>IFERROR(__xludf.DUMMYFUNCTION("""COMPUTED_VALUE"""),1790.0)</f>
        <v>1790</v>
      </c>
      <c r="E703" s="2">
        <f>IFERROR(__xludf.DUMMYFUNCTION("""COMPUTED_VALUE"""),1800.0)</f>
        <v>1800</v>
      </c>
      <c r="F703" s="2">
        <f>IFERROR(__xludf.DUMMYFUNCTION("""COMPUTED_VALUE"""),4.54141E7)</f>
        <v>45414100</v>
      </c>
      <c r="G703" s="2">
        <f t="shared" si="1"/>
        <v>35</v>
      </c>
    </row>
    <row r="704" ht="15.75" customHeight="1">
      <c r="A704" s="1">
        <f>IFERROR(__xludf.DUMMYFUNCTION("""COMPUTED_VALUE"""),44881.66666666667)</f>
        <v>44881.66667</v>
      </c>
      <c r="B704" s="2">
        <f>IFERROR(__xludf.DUMMYFUNCTION("""COMPUTED_VALUE"""),1805.0)</f>
        <v>1805</v>
      </c>
      <c r="C704" s="2">
        <f>IFERROR(__xludf.DUMMYFUNCTION("""COMPUTED_VALUE"""),1810.0)</f>
        <v>1810</v>
      </c>
      <c r="D704" s="2">
        <f>IFERROR(__xludf.DUMMYFUNCTION("""COMPUTED_VALUE"""),1780.0)</f>
        <v>1780</v>
      </c>
      <c r="E704" s="2">
        <f>IFERROR(__xludf.DUMMYFUNCTION("""COMPUTED_VALUE"""),1805.0)</f>
        <v>1805</v>
      </c>
      <c r="F704" s="2">
        <f>IFERROR(__xludf.DUMMYFUNCTION("""COMPUTED_VALUE"""),3.47213E7)</f>
        <v>34721300</v>
      </c>
      <c r="G704" s="2">
        <f t="shared" si="1"/>
        <v>30</v>
      </c>
    </row>
    <row r="705" ht="15.75" customHeight="1">
      <c r="A705" s="1">
        <f>IFERROR(__xludf.DUMMYFUNCTION("""COMPUTED_VALUE"""),44882.66666666667)</f>
        <v>44882.66667</v>
      </c>
      <c r="B705" s="2">
        <f>IFERROR(__xludf.DUMMYFUNCTION("""COMPUTED_VALUE"""),1810.0)</f>
        <v>1810</v>
      </c>
      <c r="C705" s="2">
        <f>IFERROR(__xludf.DUMMYFUNCTION("""COMPUTED_VALUE"""),1830.0)</f>
        <v>1830</v>
      </c>
      <c r="D705" s="2">
        <f>IFERROR(__xludf.DUMMYFUNCTION("""COMPUTED_VALUE"""),1800.0)</f>
        <v>1800</v>
      </c>
      <c r="E705" s="2">
        <f>IFERROR(__xludf.DUMMYFUNCTION("""COMPUTED_VALUE"""),1800.0)</f>
        <v>1800</v>
      </c>
      <c r="F705" s="2">
        <f>IFERROR(__xludf.DUMMYFUNCTION("""COMPUTED_VALUE"""),5.65E7)</f>
        <v>56500000</v>
      </c>
      <c r="G705" s="2">
        <f t="shared" si="1"/>
        <v>30</v>
      </c>
    </row>
    <row r="706" ht="15.75" customHeight="1">
      <c r="A706" s="1">
        <f>IFERROR(__xludf.DUMMYFUNCTION("""COMPUTED_VALUE"""),44883.66666666667)</f>
        <v>44883.66667</v>
      </c>
      <c r="B706" s="2">
        <f>IFERROR(__xludf.DUMMYFUNCTION("""COMPUTED_VALUE"""),1805.0)</f>
        <v>1805</v>
      </c>
      <c r="C706" s="2">
        <f>IFERROR(__xludf.DUMMYFUNCTION("""COMPUTED_VALUE"""),1815.0)</f>
        <v>1815</v>
      </c>
      <c r="D706" s="2">
        <f>IFERROR(__xludf.DUMMYFUNCTION("""COMPUTED_VALUE"""),1790.0)</f>
        <v>1790</v>
      </c>
      <c r="E706" s="2">
        <f>IFERROR(__xludf.DUMMYFUNCTION("""COMPUTED_VALUE"""),1795.0)</f>
        <v>1795</v>
      </c>
      <c r="F706" s="2">
        <f>IFERROR(__xludf.DUMMYFUNCTION("""COMPUTED_VALUE"""),2.19121E7)</f>
        <v>21912100</v>
      </c>
      <c r="G706" s="2">
        <f t="shared" si="1"/>
        <v>25</v>
      </c>
    </row>
    <row r="707" ht="15.75" customHeight="1">
      <c r="A707" s="1">
        <f>IFERROR(__xludf.DUMMYFUNCTION("""COMPUTED_VALUE"""),44886.66666666667)</f>
        <v>44886.66667</v>
      </c>
      <c r="B707" s="2">
        <f>IFERROR(__xludf.DUMMYFUNCTION("""COMPUTED_VALUE"""),1805.0)</f>
        <v>1805</v>
      </c>
      <c r="C707" s="2">
        <f>IFERROR(__xludf.DUMMYFUNCTION("""COMPUTED_VALUE"""),1815.0)</f>
        <v>1815</v>
      </c>
      <c r="D707" s="2">
        <f>IFERROR(__xludf.DUMMYFUNCTION("""COMPUTED_VALUE"""),1790.0)</f>
        <v>1790</v>
      </c>
      <c r="E707" s="2">
        <f>IFERROR(__xludf.DUMMYFUNCTION("""COMPUTED_VALUE"""),1800.0)</f>
        <v>1800</v>
      </c>
      <c r="F707" s="2">
        <f>IFERROR(__xludf.DUMMYFUNCTION("""COMPUTED_VALUE"""),1.56032E7)</f>
        <v>15603200</v>
      </c>
      <c r="G707" s="2">
        <f t="shared" si="1"/>
        <v>25</v>
      </c>
    </row>
    <row r="708" ht="15.75" customHeight="1">
      <c r="A708" s="1">
        <f>IFERROR(__xludf.DUMMYFUNCTION("""COMPUTED_VALUE"""),44887.66666666667)</f>
        <v>44887.66667</v>
      </c>
      <c r="B708" s="2">
        <f>IFERROR(__xludf.DUMMYFUNCTION("""COMPUTED_VALUE"""),1815.0)</f>
        <v>1815</v>
      </c>
      <c r="C708" s="2">
        <f>IFERROR(__xludf.DUMMYFUNCTION("""COMPUTED_VALUE"""),1885.0)</f>
        <v>1885</v>
      </c>
      <c r="D708" s="2">
        <f>IFERROR(__xludf.DUMMYFUNCTION("""COMPUTED_VALUE"""),1810.0)</f>
        <v>1810</v>
      </c>
      <c r="E708" s="2">
        <f>IFERROR(__xludf.DUMMYFUNCTION("""COMPUTED_VALUE"""),1880.0)</f>
        <v>1880</v>
      </c>
      <c r="F708" s="2">
        <f>IFERROR(__xludf.DUMMYFUNCTION("""COMPUTED_VALUE"""),1.239152E8)</f>
        <v>123915200</v>
      </c>
      <c r="G708" s="2">
        <f t="shared" si="1"/>
        <v>85</v>
      </c>
    </row>
    <row r="709" ht="15.75" customHeight="1">
      <c r="A709" s="1">
        <f>IFERROR(__xludf.DUMMYFUNCTION("""COMPUTED_VALUE"""),44888.66666666667)</f>
        <v>44888.66667</v>
      </c>
      <c r="B709" s="2">
        <f>IFERROR(__xludf.DUMMYFUNCTION("""COMPUTED_VALUE"""),1890.0)</f>
        <v>1890</v>
      </c>
      <c r="C709" s="2">
        <f>IFERROR(__xludf.DUMMYFUNCTION("""COMPUTED_VALUE"""),1900.0)</f>
        <v>1900</v>
      </c>
      <c r="D709" s="2">
        <f>IFERROR(__xludf.DUMMYFUNCTION("""COMPUTED_VALUE"""),1865.0)</f>
        <v>1865</v>
      </c>
      <c r="E709" s="2">
        <f>IFERROR(__xludf.DUMMYFUNCTION("""COMPUTED_VALUE"""),1895.0)</f>
        <v>1895</v>
      </c>
      <c r="F709" s="2">
        <f>IFERROR(__xludf.DUMMYFUNCTION("""COMPUTED_VALUE"""),5.09965E7)</f>
        <v>50996500</v>
      </c>
      <c r="G709" s="2">
        <f t="shared" si="1"/>
        <v>35</v>
      </c>
    </row>
    <row r="710" ht="15.75" customHeight="1">
      <c r="A710" s="1">
        <f>IFERROR(__xludf.DUMMYFUNCTION("""COMPUTED_VALUE"""),44889.66666666667)</f>
        <v>44889.66667</v>
      </c>
      <c r="B710" s="2">
        <f>IFERROR(__xludf.DUMMYFUNCTION("""COMPUTED_VALUE"""),1900.0)</f>
        <v>1900</v>
      </c>
      <c r="C710" s="2">
        <f>IFERROR(__xludf.DUMMYFUNCTION("""COMPUTED_VALUE"""),1905.0)</f>
        <v>1905</v>
      </c>
      <c r="D710" s="2">
        <f>IFERROR(__xludf.DUMMYFUNCTION("""COMPUTED_VALUE"""),1875.0)</f>
        <v>1875</v>
      </c>
      <c r="E710" s="2">
        <f>IFERROR(__xludf.DUMMYFUNCTION("""COMPUTED_VALUE"""),1875.0)</f>
        <v>1875</v>
      </c>
      <c r="F710" s="2">
        <f>IFERROR(__xludf.DUMMYFUNCTION("""COMPUTED_VALUE"""),1.99817E7)</f>
        <v>19981700</v>
      </c>
      <c r="G710" s="2">
        <f t="shared" si="1"/>
        <v>30</v>
      </c>
    </row>
    <row r="711" ht="15.75" customHeight="1">
      <c r="A711" s="1">
        <f>IFERROR(__xludf.DUMMYFUNCTION("""COMPUTED_VALUE"""),44890.66666666667)</f>
        <v>44890.66667</v>
      </c>
      <c r="B711" s="2">
        <f>IFERROR(__xludf.DUMMYFUNCTION("""COMPUTED_VALUE"""),1875.0)</f>
        <v>1875</v>
      </c>
      <c r="C711" s="2">
        <f>IFERROR(__xludf.DUMMYFUNCTION("""COMPUTED_VALUE"""),1880.0)</f>
        <v>1880</v>
      </c>
      <c r="D711" s="2">
        <f>IFERROR(__xludf.DUMMYFUNCTION("""COMPUTED_VALUE"""),1850.0)</f>
        <v>1850</v>
      </c>
      <c r="E711" s="2">
        <f>IFERROR(__xludf.DUMMYFUNCTION("""COMPUTED_VALUE"""),1855.0)</f>
        <v>1855</v>
      </c>
      <c r="F711" s="2">
        <f>IFERROR(__xludf.DUMMYFUNCTION("""COMPUTED_VALUE"""),2.0408E7)</f>
        <v>20408000</v>
      </c>
      <c r="G711" s="2">
        <f t="shared" si="1"/>
        <v>30</v>
      </c>
    </row>
    <row r="712" ht="15.75" customHeight="1">
      <c r="A712" s="1">
        <f>IFERROR(__xludf.DUMMYFUNCTION("""COMPUTED_VALUE"""),44893.66666666667)</f>
        <v>44893.66667</v>
      </c>
      <c r="B712" s="2">
        <f>IFERROR(__xludf.DUMMYFUNCTION("""COMPUTED_VALUE"""),1850.0)</f>
        <v>1850</v>
      </c>
      <c r="C712" s="2">
        <f>IFERROR(__xludf.DUMMYFUNCTION("""COMPUTED_VALUE"""),1865.0)</f>
        <v>1865</v>
      </c>
      <c r="D712" s="2">
        <f>IFERROR(__xludf.DUMMYFUNCTION("""COMPUTED_VALUE"""),1835.0)</f>
        <v>1835</v>
      </c>
      <c r="E712" s="2">
        <f>IFERROR(__xludf.DUMMYFUNCTION("""COMPUTED_VALUE"""),1845.0)</f>
        <v>1845</v>
      </c>
      <c r="F712" s="2">
        <f>IFERROR(__xludf.DUMMYFUNCTION("""COMPUTED_VALUE"""),3.22163E7)</f>
        <v>32216300</v>
      </c>
      <c r="G712" s="2">
        <f t="shared" si="1"/>
        <v>30</v>
      </c>
    </row>
    <row r="713" ht="15.75" customHeight="1">
      <c r="A713" s="1">
        <f>IFERROR(__xludf.DUMMYFUNCTION("""COMPUTED_VALUE"""),44894.66666666667)</f>
        <v>44894.66667</v>
      </c>
      <c r="B713" s="2">
        <f>IFERROR(__xludf.DUMMYFUNCTION("""COMPUTED_VALUE"""),1855.0)</f>
        <v>1855</v>
      </c>
      <c r="C713" s="2">
        <f>IFERROR(__xludf.DUMMYFUNCTION("""COMPUTED_VALUE"""),1875.0)</f>
        <v>1875</v>
      </c>
      <c r="D713" s="2">
        <f>IFERROR(__xludf.DUMMYFUNCTION("""COMPUTED_VALUE"""),1855.0)</f>
        <v>1855</v>
      </c>
      <c r="E713" s="2">
        <f>IFERROR(__xludf.DUMMYFUNCTION("""COMPUTED_VALUE"""),1860.0)</f>
        <v>1860</v>
      </c>
      <c r="F713" s="2">
        <f>IFERROR(__xludf.DUMMYFUNCTION("""COMPUTED_VALUE"""),3.067E7)</f>
        <v>30670000</v>
      </c>
      <c r="G713" s="2">
        <f t="shared" si="1"/>
        <v>30</v>
      </c>
    </row>
    <row r="714" ht="15.75" customHeight="1">
      <c r="A714" s="1">
        <f>IFERROR(__xludf.DUMMYFUNCTION("""COMPUTED_VALUE"""),44895.66666666667)</f>
        <v>44895.66667</v>
      </c>
      <c r="B714" s="2">
        <f>IFERROR(__xludf.DUMMYFUNCTION("""COMPUTED_VALUE"""),1860.0)</f>
        <v>1860</v>
      </c>
      <c r="C714" s="2">
        <f>IFERROR(__xludf.DUMMYFUNCTION("""COMPUTED_VALUE"""),1915.0)</f>
        <v>1915</v>
      </c>
      <c r="D714" s="2">
        <f>IFERROR(__xludf.DUMMYFUNCTION("""COMPUTED_VALUE"""),1860.0)</f>
        <v>1860</v>
      </c>
      <c r="E714" s="2">
        <f>IFERROR(__xludf.DUMMYFUNCTION("""COMPUTED_VALUE"""),1880.0)</f>
        <v>1880</v>
      </c>
      <c r="F714" s="2">
        <f>IFERROR(__xludf.DUMMYFUNCTION("""COMPUTED_VALUE"""),1.073334E8)</f>
        <v>107333400</v>
      </c>
      <c r="G714" s="2">
        <f t="shared" si="1"/>
        <v>55</v>
      </c>
    </row>
    <row r="715" ht="15.75" customHeight="1">
      <c r="A715" s="1">
        <f>IFERROR(__xludf.DUMMYFUNCTION("""COMPUTED_VALUE"""),44896.66666666667)</f>
        <v>44896.66667</v>
      </c>
      <c r="B715" s="2">
        <f>IFERROR(__xludf.DUMMYFUNCTION("""COMPUTED_VALUE"""),1900.0)</f>
        <v>1900</v>
      </c>
      <c r="C715" s="2">
        <f>IFERROR(__xludf.DUMMYFUNCTION("""COMPUTED_VALUE"""),1920.0)</f>
        <v>1920</v>
      </c>
      <c r="D715" s="2">
        <f>IFERROR(__xludf.DUMMYFUNCTION("""COMPUTED_VALUE"""),1890.0)</f>
        <v>1890</v>
      </c>
      <c r="E715" s="2">
        <f>IFERROR(__xludf.DUMMYFUNCTION("""COMPUTED_VALUE"""),1900.0)</f>
        <v>1900</v>
      </c>
      <c r="F715" s="2">
        <f>IFERROR(__xludf.DUMMYFUNCTION("""COMPUTED_VALUE"""),5.84214E7)</f>
        <v>58421400</v>
      </c>
      <c r="G715" s="2">
        <f t="shared" si="1"/>
        <v>40</v>
      </c>
    </row>
    <row r="716" ht="15.75" customHeight="1">
      <c r="A716" s="1">
        <f>IFERROR(__xludf.DUMMYFUNCTION("""COMPUTED_VALUE"""),44897.66666666667)</f>
        <v>44897.66667</v>
      </c>
      <c r="B716" s="2">
        <f>IFERROR(__xludf.DUMMYFUNCTION("""COMPUTED_VALUE"""),1900.0)</f>
        <v>1900</v>
      </c>
      <c r="C716" s="2">
        <f>IFERROR(__xludf.DUMMYFUNCTION("""COMPUTED_VALUE"""),1905.0)</f>
        <v>1905</v>
      </c>
      <c r="D716" s="2">
        <f>IFERROR(__xludf.DUMMYFUNCTION("""COMPUTED_VALUE"""),1875.0)</f>
        <v>1875</v>
      </c>
      <c r="E716" s="2">
        <f>IFERROR(__xludf.DUMMYFUNCTION("""COMPUTED_VALUE"""),1890.0)</f>
        <v>1890</v>
      </c>
      <c r="F716" s="2">
        <f>IFERROR(__xludf.DUMMYFUNCTION("""COMPUTED_VALUE"""),2.13658E7)</f>
        <v>21365800</v>
      </c>
      <c r="G716" s="2">
        <f t="shared" si="1"/>
        <v>30</v>
      </c>
    </row>
    <row r="717" ht="15.75" customHeight="1">
      <c r="A717" s="1">
        <f>IFERROR(__xludf.DUMMYFUNCTION("""COMPUTED_VALUE"""),44900.66666666667)</f>
        <v>44900.66667</v>
      </c>
      <c r="B717" s="2">
        <f>IFERROR(__xludf.DUMMYFUNCTION("""COMPUTED_VALUE"""),1890.0)</f>
        <v>1890</v>
      </c>
      <c r="C717" s="2">
        <f>IFERROR(__xludf.DUMMYFUNCTION("""COMPUTED_VALUE"""),1905.0)</f>
        <v>1905</v>
      </c>
      <c r="D717" s="2">
        <f>IFERROR(__xludf.DUMMYFUNCTION("""COMPUTED_VALUE"""),1855.0)</f>
        <v>1855</v>
      </c>
      <c r="E717" s="2">
        <f>IFERROR(__xludf.DUMMYFUNCTION("""COMPUTED_VALUE"""),1855.0)</f>
        <v>1855</v>
      </c>
      <c r="F717" s="2">
        <f>IFERROR(__xludf.DUMMYFUNCTION("""COMPUTED_VALUE"""),2.8707E7)</f>
        <v>28707000</v>
      </c>
      <c r="G717" s="2">
        <f t="shared" si="1"/>
        <v>50</v>
      </c>
    </row>
    <row r="718" ht="15.75" customHeight="1">
      <c r="A718" s="1">
        <f>IFERROR(__xludf.DUMMYFUNCTION("""COMPUTED_VALUE"""),44901.66666666667)</f>
        <v>44901.66667</v>
      </c>
      <c r="B718" s="2">
        <f>IFERROR(__xludf.DUMMYFUNCTION("""COMPUTED_VALUE"""),1845.0)</f>
        <v>1845</v>
      </c>
      <c r="C718" s="2">
        <f>IFERROR(__xludf.DUMMYFUNCTION("""COMPUTED_VALUE"""),1845.0)</f>
        <v>1845</v>
      </c>
      <c r="D718" s="2">
        <f>IFERROR(__xludf.DUMMYFUNCTION("""COMPUTED_VALUE"""),1800.0)</f>
        <v>1800</v>
      </c>
      <c r="E718" s="2">
        <f>IFERROR(__xludf.DUMMYFUNCTION("""COMPUTED_VALUE"""),1830.0)</f>
        <v>1830</v>
      </c>
      <c r="F718" s="2">
        <f>IFERROR(__xludf.DUMMYFUNCTION("""COMPUTED_VALUE"""),5.09001E7)</f>
        <v>50900100</v>
      </c>
      <c r="G718" s="2">
        <f t="shared" si="1"/>
        <v>55</v>
      </c>
    </row>
    <row r="719" ht="15.75" customHeight="1">
      <c r="A719" s="1">
        <f>IFERROR(__xludf.DUMMYFUNCTION("""COMPUTED_VALUE"""),44902.66666666667)</f>
        <v>44902.66667</v>
      </c>
      <c r="B719" s="2">
        <f>IFERROR(__xludf.DUMMYFUNCTION("""COMPUTED_VALUE"""),1830.0)</f>
        <v>1830</v>
      </c>
      <c r="C719" s="2">
        <f>IFERROR(__xludf.DUMMYFUNCTION("""COMPUTED_VALUE"""),1840.0)</f>
        <v>1840</v>
      </c>
      <c r="D719" s="2">
        <f>IFERROR(__xludf.DUMMYFUNCTION("""COMPUTED_VALUE"""),1810.0)</f>
        <v>1810</v>
      </c>
      <c r="E719" s="2">
        <f>IFERROR(__xludf.DUMMYFUNCTION("""COMPUTED_VALUE"""),1835.0)</f>
        <v>1835</v>
      </c>
      <c r="F719" s="2">
        <f>IFERROR(__xludf.DUMMYFUNCTION("""COMPUTED_VALUE"""),4.12571E7)</f>
        <v>41257100</v>
      </c>
      <c r="G719" s="2">
        <f t="shared" si="1"/>
        <v>30</v>
      </c>
    </row>
    <row r="720" ht="15.75" customHeight="1">
      <c r="A720" s="1">
        <f>IFERROR(__xludf.DUMMYFUNCTION("""COMPUTED_VALUE"""),44903.66666666667)</f>
        <v>44903.66667</v>
      </c>
      <c r="B720" s="2">
        <f>IFERROR(__xludf.DUMMYFUNCTION("""COMPUTED_VALUE"""),1835.0)</f>
        <v>1835</v>
      </c>
      <c r="C720" s="2">
        <f>IFERROR(__xludf.DUMMYFUNCTION("""COMPUTED_VALUE"""),1860.0)</f>
        <v>1860</v>
      </c>
      <c r="D720" s="2">
        <f>IFERROR(__xludf.DUMMYFUNCTION("""COMPUTED_VALUE"""),1800.0)</f>
        <v>1800</v>
      </c>
      <c r="E720" s="2">
        <f>IFERROR(__xludf.DUMMYFUNCTION("""COMPUTED_VALUE"""),1850.0)</f>
        <v>1850</v>
      </c>
      <c r="F720" s="2">
        <f>IFERROR(__xludf.DUMMYFUNCTION("""COMPUTED_VALUE"""),5.99267E7)</f>
        <v>59926700</v>
      </c>
      <c r="G720" s="2">
        <f t="shared" si="1"/>
        <v>60</v>
      </c>
    </row>
    <row r="721" ht="15.75" customHeight="1">
      <c r="A721" s="1">
        <f>IFERROR(__xludf.DUMMYFUNCTION("""COMPUTED_VALUE"""),44904.66666666667)</f>
        <v>44904.66667</v>
      </c>
      <c r="B721" s="2">
        <f>IFERROR(__xludf.DUMMYFUNCTION("""COMPUTED_VALUE"""),1855.0)</f>
        <v>1855</v>
      </c>
      <c r="C721" s="2">
        <f>IFERROR(__xludf.DUMMYFUNCTION("""COMPUTED_VALUE"""),1865.0)</f>
        <v>1865</v>
      </c>
      <c r="D721" s="2">
        <f>IFERROR(__xludf.DUMMYFUNCTION("""COMPUTED_VALUE"""),1795.0)</f>
        <v>1795</v>
      </c>
      <c r="E721" s="2">
        <f>IFERROR(__xludf.DUMMYFUNCTION("""COMPUTED_VALUE"""),1800.0)</f>
        <v>1800</v>
      </c>
      <c r="F721" s="2">
        <f>IFERROR(__xludf.DUMMYFUNCTION("""COMPUTED_VALUE"""),6.78942E7)</f>
        <v>67894200</v>
      </c>
      <c r="G721" s="2">
        <f t="shared" si="1"/>
        <v>70</v>
      </c>
    </row>
    <row r="722" ht="15.75" customHeight="1">
      <c r="A722" s="1">
        <f>IFERROR(__xludf.DUMMYFUNCTION("""COMPUTED_VALUE"""),44907.66666666667)</f>
        <v>44907.66667</v>
      </c>
      <c r="B722" s="2">
        <f>IFERROR(__xludf.DUMMYFUNCTION("""COMPUTED_VALUE"""),1800.0)</f>
        <v>1800</v>
      </c>
      <c r="C722" s="2">
        <f>IFERROR(__xludf.DUMMYFUNCTION("""COMPUTED_VALUE"""),1825.0)</f>
        <v>1825</v>
      </c>
      <c r="D722" s="2">
        <f>IFERROR(__xludf.DUMMYFUNCTION("""COMPUTED_VALUE"""),1785.0)</f>
        <v>1785</v>
      </c>
      <c r="E722" s="2">
        <f>IFERROR(__xludf.DUMMYFUNCTION("""COMPUTED_VALUE"""),1825.0)</f>
        <v>1825</v>
      </c>
      <c r="F722" s="2">
        <f>IFERROR(__xludf.DUMMYFUNCTION("""COMPUTED_VALUE"""),2.36203E7)</f>
        <v>23620300</v>
      </c>
      <c r="G722" s="2">
        <f t="shared" si="1"/>
        <v>40</v>
      </c>
    </row>
    <row r="723" ht="15.75" customHeight="1">
      <c r="A723" s="1">
        <f>IFERROR(__xludf.DUMMYFUNCTION("""COMPUTED_VALUE"""),44908.66666666667)</f>
        <v>44908.66667</v>
      </c>
      <c r="B723" s="2">
        <f>IFERROR(__xludf.DUMMYFUNCTION("""COMPUTED_VALUE"""),1830.0)</f>
        <v>1830</v>
      </c>
      <c r="C723" s="2">
        <f>IFERROR(__xludf.DUMMYFUNCTION("""COMPUTED_VALUE"""),1835.0)</f>
        <v>1835</v>
      </c>
      <c r="D723" s="2">
        <f>IFERROR(__xludf.DUMMYFUNCTION("""COMPUTED_VALUE"""),1815.0)</f>
        <v>1815</v>
      </c>
      <c r="E723" s="2">
        <f>IFERROR(__xludf.DUMMYFUNCTION("""COMPUTED_VALUE"""),1820.0)</f>
        <v>1820</v>
      </c>
      <c r="F723" s="2">
        <f>IFERROR(__xludf.DUMMYFUNCTION("""COMPUTED_VALUE"""),2.04792E7)</f>
        <v>20479200</v>
      </c>
      <c r="G723" s="2">
        <f t="shared" si="1"/>
        <v>20</v>
      </c>
    </row>
    <row r="724" ht="15.75" customHeight="1">
      <c r="A724" s="1">
        <f>IFERROR(__xludf.DUMMYFUNCTION("""COMPUTED_VALUE"""),44909.66666666667)</f>
        <v>44909.66667</v>
      </c>
      <c r="B724" s="2">
        <f>IFERROR(__xludf.DUMMYFUNCTION("""COMPUTED_VALUE"""),1835.0)</f>
        <v>1835</v>
      </c>
      <c r="C724" s="2">
        <f>IFERROR(__xludf.DUMMYFUNCTION("""COMPUTED_VALUE"""),1865.0)</f>
        <v>1865</v>
      </c>
      <c r="D724" s="2">
        <f>IFERROR(__xludf.DUMMYFUNCTION("""COMPUTED_VALUE"""),1820.0)</f>
        <v>1820</v>
      </c>
      <c r="E724" s="2">
        <f>IFERROR(__xludf.DUMMYFUNCTION("""COMPUTED_VALUE"""),1825.0)</f>
        <v>1825</v>
      </c>
      <c r="F724" s="2">
        <f>IFERROR(__xludf.DUMMYFUNCTION("""COMPUTED_VALUE"""),2.92735E7)</f>
        <v>29273500</v>
      </c>
      <c r="G724" s="2">
        <f t="shared" si="1"/>
        <v>45</v>
      </c>
    </row>
    <row r="725" ht="15.75" customHeight="1">
      <c r="A725" s="1">
        <f>IFERROR(__xludf.DUMMYFUNCTION("""COMPUTED_VALUE"""),44910.66666666667)</f>
        <v>44910.66667</v>
      </c>
      <c r="B725" s="2">
        <f>IFERROR(__xludf.DUMMYFUNCTION("""COMPUTED_VALUE"""),1825.0)</f>
        <v>1825</v>
      </c>
      <c r="C725" s="2">
        <f>IFERROR(__xludf.DUMMYFUNCTION("""COMPUTED_VALUE"""),1835.0)</f>
        <v>1835</v>
      </c>
      <c r="D725" s="2">
        <f>IFERROR(__xludf.DUMMYFUNCTION("""COMPUTED_VALUE"""),1810.0)</f>
        <v>1810</v>
      </c>
      <c r="E725" s="2">
        <f>IFERROR(__xludf.DUMMYFUNCTION("""COMPUTED_VALUE"""),1810.0)</f>
        <v>1810</v>
      </c>
      <c r="F725" s="2">
        <f>IFERROR(__xludf.DUMMYFUNCTION("""COMPUTED_VALUE"""),1.64533E7)</f>
        <v>16453300</v>
      </c>
      <c r="G725" s="2">
        <f t="shared" si="1"/>
        <v>25</v>
      </c>
    </row>
    <row r="726" ht="15.75" customHeight="1">
      <c r="A726" s="1">
        <f>IFERROR(__xludf.DUMMYFUNCTION("""COMPUTED_VALUE"""),44911.66666666667)</f>
        <v>44911.66667</v>
      </c>
      <c r="B726" s="2">
        <f>IFERROR(__xludf.DUMMYFUNCTION("""COMPUTED_VALUE"""),1805.0)</f>
        <v>1805</v>
      </c>
      <c r="C726" s="2">
        <f>IFERROR(__xludf.DUMMYFUNCTION("""COMPUTED_VALUE"""),1830.0)</f>
        <v>1830</v>
      </c>
      <c r="D726" s="2">
        <f>IFERROR(__xludf.DUMMYFUNCTION("""COMPUTED_VALUE"""),1800.0)</f>
        <v>1800</v>
      </c>
      <c r="E726" s="2">
        <f>IFERROR(__xludf.DUMMYFUNCTION("""COMPUTED_VALUE"""),1830.0)</f>
        <v>1830</v>
      </c>
      <c r="F726" s="2">
        <f>IFERROR(__xludf.DUMMYFUNCTION("""COMPUTED_VALUE"""),2.66313E7)</f>
        <v>26631300</v>
      </c>
      <c r="G726" s="2">
        <f t="shared" si="1"/>
        <v>30</v>
      </c>
    </row>
    <row r="727" ht="15.75" customHeight="1">
      <c r="A727" s="1">
        <f>IFERROR(__xludf.DUMMYFUNCTION("""COMPUTED_VALUE"""),44914.66666666667)</f>
        <v>44914.66667</v>
      </c>
      <c r="B727" s="2">
        <f>IFERROR(__xludf.DUMMYFUNCTION("""COMPUTED_VALUE"""),1830.0)</f>
        <v>1830</v>
      </c>
      <c r="C727" s="2">
        <f>IFERROR(__xludf.DUMMYFUNCTION("""COMPUTED_VALUE"""),1840.0)</f>
        <v>1840</v>
      </c>
      <c r="D727" s="2">
        <f>IFERROR(__xludf.DUMMYFUNCTION("""COMPUTED_VALUE"""),1820.0)</f>
        <v>1820</v>
      </c>
      <c r="E727" s="2">
        <f>IFERROR(__xludf.DUMMYFUNCTION("""COMPUTED_VALUE"""),1820.0)</f>
        <v>1820</v>
      </c>
      <c r="F727" s="2">
        <f>IFERROR(__xludf.DUMMYFUNCTION("""COMPUTED_VALUE"""),1.33103E7)</f>
        <v>13310300</v>
      </c>
      <c r="G727" s="2">
        <f t="shared" si="1"/>
        <v>20</v>
      </c>
    </row>
    <row r="728" ht="15.75" customHeight="1">
      <c r="A728" s="1">
        <f>IFERROR(__xludf.DUMMYFUNCTION("""COMPUTED_VALUE"""),44915.66666666667)</f>
        <v>44915.66667</v>
      </c>
      <c r="B728" s="2">
        <f>IFERROR(__xludf.DUMMYFUNCTION("""COMPUTED_VALUE"""),1820.0)</f>
        <v>1820</v>
      </c>
      <c r="C728" s="2">
        <f>IFERROR(__xludf.DUMMYFUNCTION("""COMPUTED_VALUE"""),1835.0)</f>
        <v>1835</v>
      </c>
      <c r="D728" s="2">
        <f>IFERROR(__xludf.DUMMYFUNCTION("""COMPUTED_VALUE"""),1815.0)</f>
        <v>1815</v>
      </c>
      <c r="E728" s="2">
        <f>IFERROR(__xludf.DUMMYFUNCTION("""COMPUTED_VALUE"""),1820.0)</f>
        <v>1820</v>
      </c>
      <c r="F728" s="2">
        <f>IFERROR(__xludf.DUMMYFUNCTION("""COMPUTED_VALUE"""),9417200.0)</f>
        <v>9417200</v>
      </c>
      <c r="G728" s="2">
        <f t="shared" si="1"/>
        <v>20</v>
      </c>
    </row>
    <row r="729" ht="15.75" customHeight="1">
      <c r="A729" s="1">
        <f>IFERROR(__xludf.DUMMYFUNCTION("""COMPUTED_VALUE"""),44916.66666666667)</f>
        <v>44916.66667</v>
      </c>
      <c r="B729" s="2">
        <f>IFERROR(__xludf.DUMMYFUNCTION("""COMPUTED_VALUE"""),1835.0)</f>
        <v>1835</v>
      </c>
      <c r="C729" s="2">
        <f>IFERROR(__xludf.DUMMYFUNCTION("""COMPUTED_VALUE"""),1835.0)</f>
        <v>1835</v>
      </c>
      <c r="D729" s="2">
        <f>IFERROR(__xludf.DUMMYFUNCTION("""COMPUTED_VALUE"""),1815.0)</f>
        <v>1815</v>
      </c>
      <c r="E729" s="2">
        <f>IFERROR(__xludf.DUMMYFUNCTION("""COMPUTED_VALUE"""),1820.0)</f>
        <v>1820</v>
      </c>
      <c r="F729" s="2">
        <f>IFERROR(__xludf.DUMMYFUNCTION("""COMPUTED_VALUE"""),9493200.0)</f>
        <v>9493200</v>
      </c>
      <c r="G729" s="2">
        <f t="shared" si="1"/>
        <v>20</v>
      </c>
    </row>
    <row r="730" ht="15.75" customHeight="1">
      <c r="A730" s="1">
        <f>IFERROR(__xludf.DUMMYFUNCTION("""COMPUTED_VALUE"""),44917.66666666667)</f>
        <v>44917.66667</v>
      </c>
      <c r="B730" s="2">
        <f>IFERROR(__xludf.DUMMYFUNCTION("""COMPUTED_VALUE"""),1825.0)</f>
        <v>1825</v>
      </c>
      <c r="C730" s="2">
        <f>IFERROR(__xludf.DUMMYFUNCTION("""COMPUTED_VALUE"""),1835.0)</f>
        <v>1835</v>
      </c>
      <c r="D730" s="2">
        <f>IFERROR(__xludf.DUMMYFUNCTION("""COMPUTED_VALUE"""),1815.0)</f>
        <v>1815</v>
      </c>
      <c r="E730" s="2">
        <f>IFERROR(__xludf.DUMMYFUNCTION("""COMPUTED_VALUE"""),1825.0)</f>
        <v>1825</v>
      </c>
      <c r="F730" s="2">
        <f>IFERROR(__xludf.DUMMYFUNCTION("""COMPUTED_VALUE"""),1.28362E7)</f>
        <v>12836200</v>
      </c>
      <c r="G730" s="2">
        <f t="shared" si="1"/>
        <v>20</v>
      </c>
    </row>
    <row r="731" ht="15.75" customHeight="1">
      <c r="A731" s="1">
        <f>IFERROR(__xludf.DUMMYFUNCTION("""COMPUTED_VALUE"""),44918.66666666667)</f>
        <v>44918.66667</v>
      </c>
      <c r="B731" s="2">
        <f>IFERROR(__xludf.DUMMYFUNCTION("""COMPUTED_VALUE"""),1825.0)</f>
        <v>1825</v>
      </c>
      <c r="C731" s="2">
        <f>IFERROR(__xludf.DUMMYFUNCTION("""COMPUTED_VALUE"""),1825.0)</f>
        <v>1825</v>
      </c>
      <c r="D731" s="2">
        <f>IFERROR(__xludf.DUMMYFUNCTION("""COMPUTED_VALUE"""),1785.0)</f>
        <v>1785</v>
      </c>
      <c r="E731" s="2">
        <f>IFERROR(__xludf.DUMMYFUNCTION("""COMPUTED_VALUE"""),1790.0)</f>
        <v>1790</v>
      </c>
      <c r="F731" s="2">
        <f>IFERROR(__xludf.DUMMYFUNCTION("""COMPUTED_VALUE"""),1.87187E7)</f>
        <v>18718700</v>
      </c>
      <c r="G731" s="2">
        <f t="shared" si="1"/>
        <v>40</v>
      </c>
    </row>
    <row r="732" ht="15.75" customHeight="1">
      <c r="A732" s="1">
        <f>IFERROR(__xludf.DUMMYFUNCTION("""COMPUTED_VALUE"""),44921.66666666667)</f>
        <v>44921.66667</v>
      </c>
      <c r="B732" s="2">
        <f>IFERROR(__xludf.DUMMYFUNCTION("""COMPUTED_VALUE"""),1790.0)</f>
        <v>1790</v>
      </c>
      <c r="C732" s="2">
        <f>IFERROR(__xludf.DUMMYFUNCTION("""COMPUTED_VALUE"""),1815.0)</f>
        <v>1815</v>
      </c>
      <c r="D732" s="2">
        <f>IFERROR(__xludf.DUMMYFUNCTION("""COMPUTED_VALUE"""),1780.0)</f>
        <v>1780</v>
      </c>
      <c r="E732" s="2">
        <f>IFERROR(__xludf.DUMMYFUNCTION("""COMPUTED_VALUE"""),1795.0)</f>
        <v>1795</v>
      </c>
      <c r="F732" s="2">
        <f>IFERROR(__xludf.DUMMYFUNCTION("""COMPUTED_VALUE"""),1.71179E7)</f>
        <v>17117900</v>
      </c>
      <c r="G732" s="2">
        <f t="shared" si="1"/>
        <v>35</v>
      </c>
    </row>
    <row r="733" ht="15.75" customHeight="1">
      <c r="A733" s="1">
        <f>IFERROR(__xludf.DUMMYFUNCTION("""COMPUTED_VALUE"""),44922.66666666667)</f>
        <v>44922.66667</v>
      </c>
      <c r="B733" s="2">
        <f>IFERROR(__xludf.DUMMYFUNCTION("""COMPUTED_VALUE"""),1795.0)</f>
        <v>1795</v>
      </c>
      <c r="C733" s="2">
        <f>IFERROR(__xludf.DUMMYFUNCTION("""COMPUTED_VALUE"""),1800.0)</f>
        <v>1800</v>
      </c>
      <c r="D733" s="2">
        <f>IFERROR(__xludf.DUMMYFUNCTION("""COMPUTED_VALUE"""),1755.0)</f>
        <v>1755</v>
      </c>
      <c r="E733" s="2">
        <f>IFERROR(__xludf.DUMMYFUNCTION("""COMPUTED_VALUE"""),1755.0)</f>
        <v>1755</v>
      </c>
      <c r="F733" s="2">
        <f>IFERROR(__xludf.DUMMYFUNCTION("""COMPUTED_VALUE"""),3.17211E7)</f>
        <v>31721100</v>
      </c>
      <c r="G733" s="2">
        <f t="shared" si="1"/>
        <v>45</v>
      </c>
    </row>
    <row r="734" ht="15.75" customHeight="1">
      <c r="A734" s="1">
        <f>IFERROR(__xludf.DUMMYFUNCTION("""COMPUTED_VALUE"""),44923.66666666667)</f>
        <v>44923.66667</v>
      </c>
      <c r="B734" s="2">
        <f>IFERROR(__xludf.DUMMYFUNCTION("""COMPUTED_VALUE"""),1755.0)</f>
        <v>1755</v>
      </c>
      <c r="C734" s="2">
        <f>IFERROR(__xludf.DUMMYFUNCTION("""COMPUTED_VALUE"""),1770.0)</f>
        <v>1770</v>
      </c>
      <c r="D734" s="2">
        <f>IFERROR(__xludf.DUMMYFUNCTION("""COMPUTED_VALUE"""),1750.0)</f>
        <v>1750</v>
      </c>
      <c r="E734" s="2">
        <f>IFERROR(__xludf.DUMMYFUNCTION("""COMPUTED_VALUE"""),1760.0)</f>
        <v>1760</v>
      </c>
      <c r="F734" s="2">
        <f>IFERROR(__xludf.DUMMYFUNCTION("""COMPUTED_VALUE"""),1.09046E7)</f>
        <v>10904600</v>
      </c>
      <c r="G734" s="2">
        <f t="shared" si="1"/>
        <v>20</v>
      </c>
    </row>
    <row r="735" ht="15.75" customHeight="1">
      <c r="A735" s="1">
        <f>IFERROR(__xludf.DUMMYFUNCTION("""COMPUTED_VALUE"""),44924.66666666667)</f>
        <v>44924.66667</v>
      </c>
      <c r="B735" s="2">
        <f>IFERROR(__xludf.DUMMYFUNCTION("""COMPUTED_VALUE"""),1750.0)</f>
        <v>1750</v>
      </c>
      <c r="C735" s="2">
        <f>IFERROR(__xludf.DUMMYFUNCTION("""COMPUTED_VALUE"""),1780.0)</f>
        <v>1780</v>
      </c>
      <c r="D735" s="2">
        <f>IFERROR(__xludf.DUMMYFUNCTION("""COMPUTED_VALUE"""),1745.0)</f>
        <v>1745</v>
      </c>
      <c r="E735" s="2">
        <f>IFERROR(__xludf.DUMMYFUNCTION("""COMPUTED_VALUE"""),1775.0)</f>
        <v>1775</v>
      </c>
      <c r="F735" s="2">
        <f>IFERROR(__xludf.DUMMYFUNCTION("""COMPUTED_VALUE"""),9892800.0)</f>
        <v>9892800</v>
      </c>
      <c r="G735" s="2">
        <f t="shared" si="1"/>
        <v>35</v>
      </c>
    </row>
    <row r="736" ht="15.75" customHeight="1">
      <c r="A736" s="1">
        <f>IFERROR(__xludf.DUMMYFUNCTION("""COMPUTED_VALUE"""),44925.66666666667)</f>
        <v>44925.66667</v>
      </c>
      <c r="B736" s="2">
        <f>IFERROR(__xludf.DUMMYFUNCTION("""COMPUTED_VALUE"""),1775.0)</f>
        <v>1775</v>
      </c>
      <c r="C736" s="2">
        <f>IFERROR(__xludf.DUMMYFUNCTION("""COMPUTED_VALUE"""),1780.0)</f>
        <v>1780</v>
      </c>
      <c r="D736" s="2">
        <f>IFERROR(__xludf.DUMMYFUNCTION("""COMPUTED_VALUE"""),1760.0)</f>
        <v>1760</v>
      </c>
      <c r="E736" s="2">
        <f>IFERROR(__xludf.DUMMYFUNCTION("""COMPUTED_VALUE"""),1760.0)</f>
        <v>1760</v>
      </c>
      <c r="F736" s="2">
        <f>IFERROR(__xludf.DUMMYFUNCTION("""COMPUTED_VALUE"""),1.57493E7)</f>
        <v>15749300</v>
      </c>
      <c r="G736" s="2">
        <f t="shared" si="1"/>
        <v>20</v>
      </c>
    </row>
    <row r="737" ht="15.75" customHeight="1">
      <c r="A737" s="1">
        <f>IFERROR(__xludf.DUMMYFUNCTION("""COMPUTED_VALUE"""),44928.66666666667)</f>
        <v>44928.66667</v>
      </c>
      <c r="B737" s="2">
        <f>IFERROR(__xludf.DUMMYFUNCTION("""COMPUTED_VALUE"""),1760.0)</f>
        <v>1760</v>
      </c>
      <c r="C737" s="2">
        <f>IFERROR(__xludf.DUMMYFUNCTION("""COMPUTED_VALUE"""),1770.0)</f>
        <v>1770</v>
      </c>
      <c r="D737" s="2">
        <f>IFERROR(__xludf.DUMMYFUNCTION("""COMPUTED_VALUE"""),1740.0)</f>
        <v>1740</v>
      </c>
      <c r="E737" s="2">
        <f>IFERROR(__xludf.DUMMYFUNCTION("""COMPUTED_VALUE"""),1740.0)</f>
        <v>1740</v>
      </c>
      <c r="F737" s="2">
        <f>IFERROR(__xludf.DUMMYFUNCTION("""COMPUTED_VALUE"""),7017500.0)</f>
        <v>7017500</v>
      </c>
      <c r="G737" s="2">
        <f t="shared" si="1"/>
        <v>30</v>
      </c>
    </row>
    <row r="738" ht="15.75" customHeight="1">
      <c r="A738" s="1">
        <f>IFERROR(__xludf.DUMMYFUNCTION("""COMPUTED_VALUE"""),44929.66666666667)</f>
        <v>44929.66667</v>
      </c>
      <c r="B738" s="2">
        <f>IFERROR(__xludf.DUMMYFUNCTION("""COMPUTED_VALUE"""),1735.0)</f>
        <v>1735</v>
      </c>
      <c r="C738" s="2">
        <f>IFERROR(__xludf.DUMMYFUNCTION("""COMPUTED_VALUE"""),1765.0)</f>
        <v>1765</v>
      </c>
      <c r="D738" s="2">
        <f>IFERROR(__xludf.DUMMYFUNCTION("""COMPUTED_VALUE"""),1730.0)</f>
        <v>1730</v>
      </c>
      <c r="E738" s="2">
        <f>IFERROR(__xludf.DUMMYFUNCTION("""COMPUTED_VALUE"""),1735.0)</f>
        <v>1735</v>
      </c>
      <c r="F738" s="2">
        <f>IFERROR(__xludf.DUMMYFUNCTION("""COMPUTED_VALUE"""),1.90984E7)</f>
        <v>19098400</v>
      </c>
      <c r="G738" s="2">
        <f t="shared" si="1"/>
        <v>35</v>
      </c>
    </row>
    <row r="739" ht="15.75" customHeight="1">
      <c r="A739" s="1">
        <f>IFERROR(__xludf.DUMMYFUNCTION("""COMPUTED_VALUE"""),44930.66666666667)</f>
        <v>44930.66667</v>
      </c>
      <c r="B739" s="2">
        <f>IFERROR(__xludf.DUMMYFUNCTION("""COMPUTED_VALUE"""),1735.0)</f>
        <v>1735</v>
      </c>
      <c r="C739" s="2">
        <f>IFERROR(__xludf.DUMMYFUNCTION("""COMPUTED_VALUE"""),1740.0)</f>
        <v>1740</v>
      </c>
      <c r="D739" s="2">
        <f>IFERROR(__xludf.DUMMYFUNCTION("""COMPUTED_VALUE"""),1650.0)</f>
        <v>1650</v>
      </c>
      <c r="E739" s="2">
        <f>IFERROR(__xludf.DUMMYFUNCTION("""COMPUTED_VALUE"""),1660.0)</f>
        <v>1660</v>
      </c>
      <c r="F739" s="2">
        <f>IFERROR(__xludf.DUMMYFUNCTION("""COMPUTED_VALUE"""),6.43292E7)</f>
        <v>64329200</v>
      </c>
      <c r="G739" s="2">
        <f t="shared" si="1"/>
        <v>90</v>
      </c>
    </row>
    <row r="740" ht="15.75" customHeight="1">
      <c r="A740" s="1">
        <f>IFERROR(__xludf.DUMMYFUNCTION("""COMPUTED_VALUE"""),44931.66666666667)</f>
        <v>44931.66667</v>
      </c>
      <c r="B740" s="2">
        <f>IFERROR(__xludf.DUMMYFUNCTION("""COMPUTED_VALUE"""),1660.0)</f>
        <v>1660</v>
      </c>
      <c r="C740" s="2">
        <f>IFERROR(__xludf.DUMMYFUNCTION("""COMPUTED_VALUE"""),1660.0)</f>
        <v>1660</v>
      </c>
      <c r="D740" s="2">
        <f>IFERROR(__xludf.DUMMYFUNCTION("""COMPUTED_VALUE"""),1550.0)</f>
        <v>1550</v>
      </c>
      <c r="E740" s="2">
        <f>IFERROR(__xludf.DUMMYFUNCTION("""COMPUTED_VALUE"""),1555.0)</f>
        <v>1555</v>
      </c>
      <c r="F740" s="2">
        <f>IFERROR(__xludf.DUMMYFUNCTION("""COMPUTED_VALUE"""),8.97815E7)</f>
        <v>89781500</v>
      </c>
      <c r="G740" s="2">
        <f t="shared" si="1"/>
        <v>110</v>
      </c>
    </row>
    <row r="741" ht="15.75" customHeight="1">
      <c r="A741" s="1">
        <f>IFERROR(__xludf.DUMMYFUNCTION("""COMPUTED_VALUE"""),44932.66666666667)</f>
        <v>44932.66667</v>
      </c>
      <c r="B741" s="2">
        <f>IFERROR(__xludf.DUMMYFUNCTION("""COMPUTED_VALUE"""),1555.0)</f>
        <v>1555</v>
      </c>
      <c r="C741" s="2">
        <f>IFERROR(__xludf.DUMMYFUNCTION("""COMPUTED_VALUE"""),1610.0)</f>
        <v>1610</v>
      </c>
      <c r="D741" s="2">
        <f>IFERROR(__xludf.DUMMYFUNCTION("""COMPUTED_VALUE"""),1555.0)</f>
        <v>1555</v>
      </c>
      <c r="E741" s="2">
        <f>IFERROR(__xludf.DUMMYFUNCTION("""COMPUTED_VALUE"""),1585.0)</f>
        <v>1585</v>
      </c>
      <c r="F741" s="2">
        <f>IFERROR(__xludf.DUMMYFUNCTION("""COMPUTED_VALUE"""),3.55921E7)</f>
        <v>35592100</v>
      </c>
      <c r="G741" s="2">
        <f t="shared" si="1"/>
        <v>55</v>
      </c>
    </row>
    <row r="742" ht="15.75" customHeight="1">
      <c r="A742" s="1">
        <f>IFERROR(__xludf.DUMMYFUNCTION("""COMPUTED_VALUE"""),44935.66666666667)</f>
        <v>44935.66667</v>
      </c>
      <c r="B742" s="2">
        <f>IFERROR(__xludf.DUMMYFUNCTION("""COMPUTED_VALUE"""),1585.0)</f>
        <v>1585</v>
      </c>
      <c r="C742" s="2">
        <f>IFERROR(__xludf.DUMMYFUNCTION("""COMPUTED_VALUE"""),1610.0)</f>
        <v>1610</v>
      </c>
      <c r="D742" s="2">
        <f>IFERROR(__xludf.DUMMYFUNCTION("""COMPUTED_VALUE"""),1505.0)</f>
        <v>1505</v>
      </c>
      <c r="E742" s="2">
        <f>IFERROR(__xludf.DUMMYFUNCTION("""COMPUTED_VALUE"""),1535.0)</f>
        <v>1535</v>
      </c>
      <c r="F742" s="2">
        <f>IFERROR(__xludf.DUMMYFUNCTION("""COMPUTED_VALUE"""),4.98855E7)</f>
        <v>49885500</v>
      </c>
      <c r="G742" s="2">
        <f t="shared" si="1"/>
        <v>105</v>
      </c>
    </row>
    <row r="743" ht="15.75" customHeight="1">
      <c r="A743" s="1">
        <f>IFERROR(__xludf.DUMMYFUNCTION("""COMPUTED_VALUE"""),44936.66666666667)</f>
        <v>44936.66667</v>
      </c>
      <c r="B743" s="2">
        <f>IFERROR(__xludf.DUMMYFUNCTION("""COMPUTED_VALUE"""),1535.0)</f>
        <v>1535</v>
      </c>
      <c r="C743" s="2">
        <f>IFERROR(__xludf.DUMMYFUNCTION("""COMPUTED_VALUE"""),1570.0)</f>
        <v>1570</v>
      </c>
      <c r="D743" s="2">
        <f>IFERROR(__xludf.DUMMYFUNCTION("""COMPUTED_VALUE"""),1520.0)</f>
        <v>1520</v>
      </c>
      <c r="E743" s="2">
        <f>IFERROR(__xludf.DUMMYFUNCTION("""COMPUTED_VALUE"""),1570.0)</f>
        <v>1570</v>
      </c>
      <c r="F743" s="2">
        <f>IFERROR(__xludf.DUMMYFUNCTION("""COMPUTED_VALUE"""),3.96783E7)</f>
        <v>39678300</v>
      </c>
      <c r="G743" s="2">
        <f t="shared" si="1"/>
        <v>50</v>
      </c>
    </row>
    <row r="744" ht="15.75" customHeight="1">
      <c r="A744" s="1">
        <f>IFERROR(__xludf.DUMMYFUNCTION("""COMPUTED_VALUE"""),44937.66666666667)</f>
        <v>44937.66667</v>
      </c>
      <c r="B744" s="2">
        <f>IFERROR(__xludf.DUMMYFUNCTION("""COMPUTED_VALUE"""),1570.0)</f>
        <v>1570</v>
      </c>
      <c r="C744" s="2">
        <f>IFERROR(__xludf.DUMMYFUNCTION("""COMPUTED_VALUE"""),1575.0)</f>
        <v>1575</v>
      </c>
      <c r="D744" s="2">
        <f>IFERROR(__xludf.DUMMYFUNCTION("""COMPUTED_VALUE"""),1520.0)</f>
        <v>1520</v>
      </c>
      <c r="E744" s="2">
        <f>IFERROR(__xludf.DUMMYFUNCTION("""COMPUTED_VALUE"""),1530.0)</f>
        <v>1530</v>
      </c>
      <c r="F744" s="2">
        <f>IFERROR(__xludf.DUMMYFUNCTION("""COMPUTED_VALUE"""),3.6386E7)</f>
        <v>36386000</v>
      </c>
      <c r="G744" s="2">
        <f t="shared" si="1"/>
        <v>55</v>
      </c>
    </row>
    <row r="745" ht="15.75" customHeight="1">
      <c r="A745" s="1">
        <f>IFERROR(__xludf.DUMMYFUNCTION("""COMPUTED_VALUE"""),44938.66666666667)</f>
        <v>44938.66667</v>
      </c>
      <c r="B745" s="2">
        <f>IFERROR(__xludf.DUMMYFUNCTION("""COMPUTED_VALUE"""),1535.0)</f>
        <v>1535</v>
      </c>
      <c r="C745" s="2">
        <f>IFERROR(__xludf.DUMMYFUNCTION("""COMPUTED_VALUE"""),1570.0)</f>
        <v>1570</v>
      </c>
      <c r="D745" s="2">
        <f>IFERROR(__xludf.DUMMYFUNCTION("""COMPUTED_VALUE"""),1520.0)</f>
        <v>1520</v>
      </c>
      <c r="E745" s="2">
        <f>IFERROR(__xludf.DUMMYFUNCTION("""COMPUTED_VALUE"""),1525.0)</f>
        <v>1525</v>
      </c>
      <c r="F745" s="2">
        <f>IFERROR(__xludf.DUMMYFUNCTION("""COMPUTED_VALUE"""),4.38411E7)</f>
        <v>43841100</v>
      </c>
      <c r="G745" s="2">
        <f t="shared" si="1"/>
        <v>50</v>
      </c>
    </row>
    <row r="746" ht="15.75" customHeight="1">
      <c r="A746" s="1">
        <f>IFERROR(__xludf.DUMMYFUNCTION("""COMPUTED_VALUE"""),44939.66666666667)</f>
        <v>44939.66667</v>
      </c>
      <c r="B746" s="2">
        <f>IFERROR(__xludf.DUMMYFUNCTION("""COMPUTED_VALUE"""),1530.0)</f>
        <v>1530</v>
      </c>
      <c r="C746" s="2">
        <f>IFERROR(__xludf.DUMMYFUNCTION("""COMPUTED_VALUE"""),1550.0)</f>
        <v>1550</v>
      </c>
      <c r="D746" s="2">
        <f>IFERROR(__xludf.DUMMYFUNCTION("""COMPUTED_VALUE"""),1525.0)</f>
        <v>1525</v>
      </c>
      <c r="E746" s="2">
        <f>IFERROR(__xludf.DUMMYFUNCTION("""COMPUTED_VALUE"""),1540.0)</f>
        <v>1540</v>
      </c>
      <c r="F746" s="2">
        <f>IFERROR(__xludf.DUMMYFUNCTION("""COMPUTED_VALUE"""),2.22837E7)</f>
        <v>22283700</v>
      </c>
      <c r="G746" s="2">
        <f t="shared" si="1"/>
        <v>25</v>
      </c>
    </row>
    <row r="747" ht="15.75" customHeight="1">
      <c r="A747" s="1">
        <f>IFERROR(__xludf.DUMMYFUNCTION("""COMPUTED_VALUE"""),44942.66666666667)</f>
        <v>44942.66667</v>
      </c>
      <c r="B747" s="2">
        <f>IFERROR(__xludf.DUMMYFUNCTION("""COMPUTED_VALUE"""),1540.0)</f>
        <v>1540</v>
      </c>
      <c r="C747" s="2">
        <f>IFERROR(__xludf.DUMMYFUNCTION("""COMPUTED_VALUE"""),1555.0)</f>
        <v>1555</v>
      </c>
      <c r="D747" s="2">
        <f>IFERROR(__xludf.DUMMYFUNCTION("""COMPUTED_VALUE"""),1525.0)</f>
        <v>1525</v>
      </c>
      <c r="E747" s="2">
        <f>IFERROR(__xludf.DUMMYFUNCTION("""COMPUTED_VALUE"""),1540.0)</f>
        <v>1540</v>
      </c>
      <c r="F747" s="2">
        <f>IFERROR(__xludf.DUMMYFUNCTION("""COMPUTED_VALUE"""),2.11668E7)</f>
        <v>21166800</v>
      </c>
      <c r="G747" s="2">
        <f t="shared" si="1"/>
        <v>30</v>
      </c>
    </row>
    <row r="748" ht="15.75" customHeight="1">
      <c r="A748" s="1">
        <f>IFERROR(__xludf.DUMMYFUNCTION("""COMPUTED_VALUE"""),44943.66666666667)</f>
        <v>44943.66667</v>
      </c>
      <c r="B748" s="2">
        <f>IFERROR(__xludf.DUMMYFUNCTION("""COMPUTED_VALUE"""),1550.0)</f>
        <v>1550</v>
      </c>
      <c r="C748" s="2">
        <f>IFERROR(__xludf.DUMMYFUNCTION("""COMPUTED_VALUE"""),1565.0)</f>
        <v>1565</v>
      </c>
      <c r="D748" s="2">
        <f>IFERROR(__xludf.DUMMYFUNCTION("""COMPUTED_VALUE"""),1535.0)</f>
        <v>1535</v>
      </c>
      <c r="E748" s="2">
        <f>IFERROR(__xludf.DUMMYFUNCTION("""COMPUTED_VALUE"""),1535.0)</f>
        <v>1535</v>
      </c>
      <c r="F748" s="2">
        <f>IFERROR(__xludf.DUMMYFUNCTION("""COMPUTED_VALUE"""),4.81475E7)</f>
        <v>48147500</v>
      </c>
      <c r="G748" s="2">
        <f t="shared" si="1"/>
        <v>30</v>
      </c>
    </row>
    <row r="749" ht="15.75" customHeight="1">
      <c r="A749" s="1">
        <f>IFERROR(__xludf.DUMMYFUNCTION("""COMPUTED_VALUE"""),44944.66666666667)</f>
        <v>44944.66667</v>
      </c>
      <c r="B749" s="2">
        <f>IFERROR(__xludf.DUMMYFUNCTION("""COMPUTED_VALUE"""),1545.0)</f>
        <v>1545</v>
      </c>
      <c r="C749" s="2">
        <f>IFERROR(__xludf.DUMMYFUNCTION("""COMPUTED_VALUE"""),1585.0)</f>
        <v>1585</v>
      </c>
      <c r="D749" s="2">
        <f>IFERROR(__xludf.DUMMYFUNCTION("""COMPUTED_VALUE"""),1540.0)</f>
        <v>1540</v>
      </c>
      <c r="E749" s="2">
        <f>IFERROR(__xludf.DUMMYFUNCTION("""COMPUTED_VALUE"""),1570.0)</f>
        <v>1570</v>
      </c>
      <c r="F749" s="2">
        <f>IFERROR(__xludf.DUMMYFUNCTION("""COMPUTED_VALUE"""),6.26859E7)</f>
        <v>62685900</v>
      </c>
      <c r="G749" s="2">
        <f t="shared" si="1"/>
        <v>50</v>
      </c>
    </row>
    <row r="750" ht="15.75" customHeight="1">
      <c r="A750" s="1">
        <f>IFERROR(__xludf.DUMMYFUNCTION("""COMPUTED_VALUE"""),44945.66666666667)</f>
        <v>44945.66667</v>
      </c>
      <c r="B750" s="2">
        <f>IFERROR(__xludf.DUMMYFUNCTION("""COMPUTED_VALUE"""),1560.0)</f>
        <v>1560</v>
      </c>
      <c r="C750" s="2">
        <f>IFERROR(__xludf.DUMMYFUNCTION("""COMPUTED_VALUE"""),1595.0)</f>
        <v>1595</v>
      </c>
      <c r="D750" s="2">
        <f>IFERROR(__xludf.DUMMYFUNCTION("""COMPUTED_VALUE"""),1555.0)</f>
        <v>1555</v>
      </c>
      <c r="E750" s="2">
        <f>IFERROR(__xludf.DUMMYFUNCTION("""COMPUTED_VALUE"""),1585.0)</f>
        <v>1585</v>
      </c>
      <c r="F750" s="2">
        <f>IFERROR(__xludf.DUMMYFUNCTION("""COMPUTED_VALUE"""),3.48471E7)</f>
        <v>34847100</v>
      </c>
      <c r="G750" s="2">
        <f t="shared" si="1"/>
        <v>40</v>
      </c>
    </row>
    <row r="751" ht="15.75" customHeight="1">
      <c r="A751" s="1">
        <f>IFERROR(__xludf.DUMMYFUNCTION("""COMPUTED_VALUE"""),44946.66666666667)</f>
        <v>44946.66667</v>
      </c>
      <c r="B751" s="2">
        <f>IFERROR(__xludf.DUMMYFUNCTION("""COMPUTED_VALUE"""),1595.0)</f>
        <v>1595</v>
      </c>
      <c r="C751" s="2">
        <f>IFERROR(__xludf.DUMMYFUNCTION("""COMPUTED_VALUE"""),1630.0)</f>
        <v>1630</v>
      </c>
      <c r="D751" s="2">
        <f>IFERROR(__xludf.DUMMYFUNCTION("""COMPUTED_VALUE"""),1585.0)</f>
        <v>1585</v>
      </c>
      <c r="E751" s="2">
        <f>IFERROR(__xludf.DUMMYFUNCTION("""COMPUTED_VALUE"""),1620.0)</f>
        <v>1620</v>
      </c>
      <c r="F751" s="2">
        <f>IFERROR(__xludf.DUMMYFUNCTION("""COMPUTED_VALUE"""),5.08263E7)</f>
        <v>50826300</v>
      </c>
      <c r="G751" s="2">
        <f t="shared" si="1"/>
        <v>45</v>
      </c>
    </row>
    <row r="752" ht="15.75" customHeight="1">
      <c r="A752" s="1">
        <f>IFERROR(__xludf.DUMMYFUNCTION("""COMPUTED_VALUE"""),44950.66666666667)</f>
        <v>44950.66667</v>
      </c>
      <c r="B752" s="2">
        <f>IFERROR(__xludf.DUMMYFUNCTION("""COMPUTED_VALUE"""),1635.0)</f>
        <v>1635</v>
      </c>
      <c r="C752" s="2">
        <f>IFERROR(__xludf.DUMMYFUNCTION("""COMPUTED_VALUE"""),1650.0)</f>
        <v>1650</v>
      </c>
      <c r="D752" s="2">
        <f>IFERROR(__xludf.DUMMYFUNCTION("""COMPUTED_VALUE"""),1585.0)</f>
        <v>1585</v>
      </c>
      <c r="E752" s="2">
        <f>IFERROR(__xludf.DUMMYFUNCTION("""COMPUTED_VALUE"""),1595.0)</f>
        <v>1595</v>
      </c>
      <c r="F752" s="2">
        <f>IFERROR(__xludf.DUMMYFUNCTION("""COMPUTED_VALUE"""),5.20041E7)</f>
        <v>52004100</v>
      </c>
      <c r="G752" s="2">
        <f t="shared" si="1"/>
        <v>65</v>
      </c>
    </row>
    <row r="753" ht="15.75" customHeight="1">
      <c r="A753" s="1">
        <f>IFERROR(__xludf.DUMMYFUNCTION("""COMPUTED_VALUE"""),44951.66666666667)</f>
        <v>44951.66667</v>
      </c>
      <c r="B753" s="2">
        <f>IFERROR(__xludf.DUMMYFUNCTION("""COMPUTED_VALUE"""),1600.0)</f>
        <v>1600</v>
      </c>
      <c r="C753" s="2">
        <f>IFERROR(__xludf.DUMMYFUNCTION("""COMPUTED_VALUE"""),1605.0)</f>
        <v>1605</v>
      </c>
      <c r="D753" s="2">
        <f>IFERROR(__xludf.DUMMYFUNCTION("""COMPUTED_VALUE"""),1575.0)</f>
        <v>1575</v>
      </c>
      <c r="E753" s="2">
        <f>IFERROR(__xludf.DUMMYFUNCTION("""COMPUTED_VALUE"""),1575.0)</f>
        <v>1575</v>
      </c>
      <c r="F753" s="2">
        <f>IFERROR(__xludf.DUMMYFUNCTION("""COMPUTED_VALUE"""),1.82347E7)</f>
        <v>18234700</v>
      </c>
      <c r="G753" s="2">
        <f t="shared" si="1"/>
        <v>30</v>
      </c>
    </row>
    <row r="754" ht="15.75" customHeight="1">
      <c r="A754" s="1">
        <f>IFERROR(__xludf.DUMMYFUNCTION("""COMPUTED_VALUE"""),44952.66666666667)</f>
        <v>44952.66667</v>
      </c>
      <c r="B754" s="2">
        <f>IFERROR(__xludf.DUMMYFUNCTION("""COMPUTED_VALUE"""),1575.0)</f>
        <v>1575</v>
      </c>
      <c r="C754" s="2">
        <f>IFERROR(__xludf.DUMMYFUNCTION("""COMPUTED_VALUE"""),1600.0)</f>
        <v>1600</v>
      </c>
      <c r="D754" s="2">
        <f>IFERROR(__xludf.DUMMYFUNCTION("""COMPUTED_VALUE"""),1555.0)</f>
        <v>1555</v>
      </c>
      <c r="E754" s="2">
        <f>IFERROR(__xludf.DUMMYFUNCTION("""COMPUTED_VALUE"""),1560.0)</f>
        <v>1560</v>
      </c>
      <c r="F754" s="2">
        <f>IFERROR(__xludf.DUMMYFUNCTION("""COMPUTED_VALUE"""),4.42381E7)</f>
        <v>44238100</v>
      </c>
      <c r="G754" s="2">
        <f t="shared" si="1"/>
        <v>45</v>
      </c>
    </row>
    <row r="755" ht="15.75" customHeight="1">
      <c r="A755" s="1">
        <f>IFERROR(__xludf.DUMMYFUNCTION("""COMPUTED_VALUE"""),44953.66666666667)</f>
        <v>44953.66667</v>
      </c>
      <c r="B755" s="2">
        <f>IFERROR(__xludf.DUMMYFUNCTION("""COMPUTED_VALUE"""),1565.0)</f>
        <v>1565</v>
      </c>
      <c r="C755" s="2">
        <f>IFERROR(__xludf.DUMMYFUNCTION("""COMPUTED_VALUE"""),1590.0)</f>
        <v>1590</v>
      </c>
      <c r="D755" s="2">
        <f>IFERROR(__xludf.DUMMYFUNCTION("""COMPUTED_VALUE"""),1560.0)</f>
        <v>1560</v>
      </c>
      <c r="E755" s="2">
        <f>IFERROR(__xludf.DUMMYFUNCTION("""COMPUTED_VALUE"""),1565.0)</f>
        <v>1565</v>
      </c>
      <c r="F755" s="2">
        <f>IFERROR(__xludf.DUMMYFUNCTION("""COMPUTED_VALUE"""),3.38729E7)</f>
        <v>33872900</v>
      </c>
      <c r="G755" s="2">
        <f t="shared" si="1"/>
        <v>30</v>
      </c>
    </row>
    <row r="756" ht="15.75" customHeight="1">
      <c r="A756" s="1">
        <f>IFERROR(__xludf.DUMMYFUNCTION("""COMPUTED_VALUE"""),44956.66666666667)</f>
        <v>44956.66667</v>
      </c>
      <c r="B756" s="2">
        <f>IFERROR(__xludf.DUMMYFUNCTION("""COMPUTED_VALUE"""),1570.0)</f>
        <v>1570</v>
      </c>
      <c r="C756" s="2">
        <f>IFERROR(__xludf.DUMMYFUNCTION("""COMPUTED_VALUE"""),1590.0)</f>
        <v>1590</v>
      </c>
      <c r="D756" s="2">
        <f>IFERROR(__xludf.DUMMYFUNCTION("""COMPUTED_VALUE"""),1560.0)</f>
        <v>1560</v>
      </c>
      <c r="E756" s="2">
        <f>IFERROR(__xludf.DUMMYFUNCTION("""COMPUTED_VALUE"""),1565.0)</f>
        <v>1565</v>
      </c>
      <c r="F756" s="2">
        <f>IFERROR(__xludf.DUMMYFUNCTION("""COMPUTED_VALUE"""),1.70918E7)</f>
        <v>17091800</v>
      </c>
      <c r="G756" s="2">
        <f t="shared" si="1"/>
        <v>30</v>
      </c>
    </row>
    <row r="757" ht="15.75" customHeight="1">
      <c r="A757" s="1">
        <f>IFERROR(__xludf.DUMMYFUNCTION("""COMPUTED_VALUE"""),44957.66666666667)</f>
        <v>44957.66667</v>
      </c>
      <c r="B757" s="2">
        <f>IFERROR(__xludf.DUMMYFUNCTION("""COMPUTED_VALUE"""),1570.0)</f>
        <v>1570</v>
      </c>
      <c r="C757" s="2">
        <f>IFERROR(__xludf.DUMMYFUNCTION("""COMPUTED_VALUE"""),1580.0)</f>
        <v>1580</v>
      </c>
      <c r="D757" s="2">
        <f>IFERROR(__xludf.DUMMYFUNCTION("""COMPUTED_VALUE"""),1545.0)</f>
        <v>1545</v>
      </c>
      <c r="E757" s="2">
        <f>IFERROR(__xludf.DUMMYFUNCTION("""COMPUTED_VALUE"""),1545.0)</f>
        <v>1545</v>
      </c>
      <c r="F757" s="2">
        <f>IFERROR(__xludf.DUMMYFUNCTION("""COMPUTED_VALUE"""),5.27328E7)</f>
        <v>52732800</v>
      </c>
      <c r="G757" s="2">
        <f t="shared" si="1"/>
        <v>35</v>
      </c>
    </row>
    <row r="758" ht="15.75" customHeight="1">
      <c r="A758" s="1">
        <f>IFERROR(__xludf.DUMMYFUNCTION("""COMPUTED_VALUE"""),44958.66666666667)</f>
        <v>44958.66667</v>
      </c>
      <c r="B758" s="2">
        <f>IFERROR(__xludf.DUMMYFUNCTION("""COMPUTED_VALUE"""),1550.0)</f>
        <v>1550</v>
      </c>
      <c r="C758" s="2">
        <f>IFERROR(__xludf.DUMMYFUNCTION("""COMPUTED_VALUE"""),1615.0)</f>
        <v>1615</v>
      </c>
      <c r="D758" s="2">
        <f>IFERROR(__xludf.DUMMYFUNCTION("""COMPUTED_VALUE"""),1545.0)</f>
        <v>1545</v>
      </c>
      <c r="E758" s="2">
        <f>IFERROR(__xludf.DUMMYFUNCTION("""COMPUTED_VALUE"""),1570.0)</f>
        <v>1570</v>
      </c>
      <c r="F758" s="2">
        <f>IFERROR(__xludf.DUMMYFUNCTION("""COMPUTED_VALUE"""),6.15279E7)</f>
        <v>61527900</v>
      </c>
      <c r="G758" s="2">
        <f t="shared" si="1"/>
        <v>70</v>
      </c>
    </row>
    <row r="759" ht="15.75" customHeight="1">
      <c r="A759" s="1">
        <f>IFERROR(__xludf.DUMMYFUNCTION("""COMPUTED_VALUE"""),44959.66666666667)</f>
        <v>44959.66667</v>
      </c>
      <c r="B759" s="2">
        <f>IFERROR(__xludf.DUMMYFUNCTION("""COMPUTED_VALUE"""),1590.0)</f>
        <v>1590</v>
      </c>
      <c r="C759" s="2">
        <f>IFERROR(__xludf.DUMMYFUNCTION("""COMPUTED_VALUE"""),1635.0)</f>
        <v>1635</v>
      </c>
      <c r="D759" s="2">
        <f>IFERROR(__xludf.DUMMYFUNCTION("""COMPUTED_VALUE"""),1585.0)</f>
        <v>1585</v>
      </c>
      <c r="E759" s="2">
        <f>IFERROR(__xludf.DUMMYFUNCTION("""COMPUTED_VALUE"""),1605.0)</f>
        <v>1605</v>
      </c>
      <c r="F759" s="2">
        <f>IFERROR(__xludf.DUMMYFUNCTION("""COMPUTED_VALUE"""),9.64421E7)</f>
        <v>96442100</v>
      </c>
      <c r="G759" s="2">
        <f t="shared" si="1"/>
        <v>65</v>
      </c>
    </row>
    <row r="760" ht="15.75" customHeight="1">
      <c r="A760" s="1">
        <f>IFERROR(__xludf.DUMMYFUNCTION("""COMPUTED_VALUE"""),44960.66666666667)</f>
        <v>44960.66667</v>
      </c>
      <c r="B760" s="2">
        <f>IFERROR(__xludf.DUMMYFUNCTION("""COMPUTED_VALUE"""),1610.0)</f>
        <v>1610</v>
      </c>
      <c r="C760" s="2">
        <f>IFERROR(__xludf.DUMMYFUNCTION("""COMPUTED_VALUE"""),1615.0)</f>
        <v>1615</v>
      </c>
      <c r="D760" s="2">
        <f>IFERROR(__xludf.DUMMYFUNCTION("""COMPUTED_VALUE"""),1565.0)</f>
        <v>1565</v>
      </c>
      <c r="E760" s="2">
        <f>IFERROR(__xludf.DUMMYFUNCTION("""COMPUTED_VALUE"""),1565.0)</f>
        <v>1565</v>
      </c>
      <c r="F760" s="2">
        <f>IFERROR(__xludf.DUMMYFUNCTION("""COMPUTED_VALUE"""),4.71407E7)</f>
        <v>47140700</v>
      </c>
      <c r="G760" s="2">
        <f t="shared" si="1"/>
        <v>50</v>
      </c>
    </row>
    <row r="761" ht="15.75" customHeight="1">
      <c r="A761" s="1">
        <f>IFERROR(__xludf.DUMMYFUNCTION("""COMPUTED_VALUE"""),44963.66666666667)</f>
        <v>44963.66667</v>
      </c>
      <c r="B761" s="2">
        <f>IFERROR(__xludf.DUMMYFUNCTION("""COMPUTED_VALUE"""),1565.0)</f>
        <v>1565</v>
      </c>
      <c r="C761" s="2">
        <f>IFERROR(__xludf.DUMMYFUNCTION("""COMPUTED_VALUE"""),1595.0)</f>
        <v>1595</v>
      </c>
      <c r="D761" s="2">
        <f>IFERROR(__xludf.DUMMYFUNCTION("""COMPUTED_VALUE"""),1560.0)</f>
        <v>1560</v>
      </c>
      <c r="E761" s="2">
        <f>IFERROR(__xludf.DUMMYFUNCTION("""COMPUTED_VALUE"""),1580.0)</f>
        <v>1580</v>
      </c>
      <c r="F761" s="2">
        <f>IFERROR(__xludf.DUMMYFUNCTION("""COMPUTED_VALUE"""),5.3554E7)</f>
        <v>53554000</v>
      </c>
      <c r="G761" s="2">
        <f t="shared" si="1"/>
        <v>35</v>
      </c>
    </row>
    <row r="762" ht="15.75" customHeight="1">
      <c r="A762" s="1">
        <f>IFERROR(__xludf.DUMMYFUNCTION("""COMPUTED_VALUE"""),44964.66666666667)</f>
        <v>44964.66667</v>
      </c>
      <c r="B762" s="2">
        <f>IFERROR(__xludf.DUMMYFUNCTION("""COMPUTED_VALUE"""),1595.0)</f>
        <v>1595</v>
      </c>
      <c r="C762" s="2">
        <f>IFERROR(__xludf.DUMMYFUNCTION("""COMPUTED_VALUE"""),1615.0)</f>
        <v>1615</v>
      </c>
      <c r="D762" s="2">
        <f>IFERROR(__xludf.DUMMYFUNCTION("""COMPUTED_VALUE"""),1580.0)</f>
        <v>1580</v>
      </c>
      <c r="E762" s="2">
        <f>IFERROR(__xludf.DUMMYFUNCTION("""COMPUTED_VALUE"""),1605.0)</f>
        <v>1605</v>
      </c>
      <c r="F762" s="2">
        <f>IFERROR(__xludf.DUMMYFUNCTION("""COMPUTED_VALUE"""),4.91525E7)</f>
        <v>49152500</v>
      </c>
      <c r="G762" s="2">
        <f t="shared" si="1"/>
        <v>35</v>
      </c>
    </row>
    <row r="763" ht="15.75" customHeight="1">
      <c r="A763" s="1">
        <f>IFERROR(__xludf.DUMMYFUNCTION("""COMPUTED_VALUE"""),44965.66666666667)</f>
        <v>44965.66667</v>
      </c>
      <c r="B763" s="2">
        <f>IFERROR(__xludf.DUMMYFUNCTION("""COMPUTED_VALUE"""),1620.0)</f>
        <v>1620</v>
      </c>
      <c r="C763" s="2">
        <f>IFERROR(__xludf.DUMMYFUNCTION("""COMPUTED_VALUE"""),1625.0)</f>
        <v>1625</v>
      </c>
      <c r="D763" s="2">
        <f>IFERROR(__xludf.DUMMYFUNCTION("""COMPUTED_VALUE"""),1595.0)</f>
        <v>1595</v>
      </c>
      <c r="E763" s="2">
        <f>IFERROR(__xludf.DUMMYFUNCTION("""COMPUTED_VALUE"""),1595.0)</f>
        <v>1595</v>
      </c>
      <c r="F763" s="2">
        <f>IFERROR(__xludf.DUMMYFUNCTION("""COMPUTED_VALUE"""),5.37341E7)</f>
        <v>53734100</v>
      </c>
      <c r="G763" s="2">
        <f t="shared" si="1"/>
        <v>30</v>
      </c>
    </row>
    <row r="764" ht="15.75" customHeight="1">
      <c r="A764" s="1">
        <f>IFERROR(__xludf.DUMMYFUNCTION("""COMPUTED_VALUE"""),44966.66666666667)</f>
        <v>44966.66667</v>
      </c>
      <c r="B764" s="2">
        <f>IFERROR(__xludf.DUMMYFUNCTION("""COMPUTED_VALUE"""),1595.0)</f>
        <v>1595</v>
      </c>
      <c r="C764" s="2">
        <f>IFERROR(__xludf.DUMMYFUNCTION("""COMPUTED_VALUE"""),1625.0)</f>
        <v>1625</v>
      </c>
      <c r="D764" s="2">
        <f>IFERROR(__xludf.DUMMYFUNCTION("""COMPUTED_VALUE"""),1590.0)</f>
        <v>1590</v>
      </c>
      <c r="E764" s="2">
        <f>IFERROR(__xludf.DUMMYFUNCTION("""COMPUTED_VALUE"""),1605.0)</f>
        <v>1605</v>
      </c>
      <c r="F764" s="2">
        <f>IFERROR(__xludf.DUMMYFUNCTION("""COMPUTED_VALUE"""),3.75358E7)</f>
        <v>37535800</v>
      </c>
      <c r="G764" s="2">
        <f t="shared" si="1"/>
        <v>35</v>
      </c>
    </row>
    <row r="765" ht="15.75" customHeight="1">
      <c r="A765" s="1">
        <f>IFERROR(__xludf.DUMMYFUNCTION("""COMPUTED_VALUE"""),44967.66666666667)</f>
        <v>44967.66667</v>
      </c>
      <c r="B765" s="2">
        <f>IFERROR(__xludf.DUMMYFUNCTION("""COMPUTED_VALUE"""),1605.0)</f>
        <v>1605</v>
      </c>
      <c r="C765" s="2">
        <f>IFERROR(__xludf.DUMMYFUNCTION("""COMPUTED_VALUE"""),1615.0)</f>
        <v>1615</v>
      </c>
      <c r="D765" s="2">
        <f>IFERROR(__xludf.DUMMYFUNCTION("""COMPUTED_VALUE"""),1580.0)</f>
        <v>1580</v>
      </c>
      <c r="E765" s="2">
        <f>IFERROR(__xludf.DUMMYFUNCTION("""COMPUTED_VALUE"""),1605.0)</f>
        <v>1605</v>
      </c>
      <c r="F765" s="2">
        <f>IFERROR(__xludf.DUMMYFUNCTION("""COMPUTED_VALUE"""),3.48639E7)</f>
        <v>34863900</v>
      </c>
      <c r="G765" s="2">
        <f t="shared" si="1"/>
        <v>35</v>
      </c>
    </row>
    <row r="766" ht="15.75" customHeight="1">
      <c r="A766" s="1">
        <f>IFERROR(__xludf.DUMMYFUNCTION("""COMPUTED_VALUE"""),44970.66666666667)</f>
        <v>44970.66667</v>
      </c>
      <c r="B766" s="2">
        <f>IFERROR(__xludf.DUMMYFUNCTION("""COMPUTED_VALUE"""),1610.0)</f>
        <v>1610</v>
      </c>
      <c r="C766" s="2">
        <f>IFERROR(__xludf.DUMMYFUNCTION("""COMPUTED_VALUE"""),1640.0)</f>
        <v>1640</v>
      </c>
      <c r="D766" s="2">
        <f>IFERROR(__xludf.DUMMYFUNCTION("""COMPUTED_VALUE"""),1610.0)</f>
        <v>1610</v>
      </c>
      <c r="E766" s="2">
        <f>IFERROR(__xludf.DUMMYFUNCTION("""COMPUTED_VALUE"""),1625.0)</f>
        <v>1625</v>
      </c>
      <c r="F766" s="2">
        <f>IFERROR(__xludf.DUMMYFUNCTION("""COMPUTED_VALUE"""),4.81563E7)</f>
        <v>48156300</v>
      </c>
      <c r="G766" s="2">
        <f t="shared" si="1"/>
        <v>35</v>
      </c>
    </row>
    <row r="767" ht="15.75" customHeight="1">
      <c r="A767" s="1">
        <f>IFERROR(__xludf.DUMMYFUNCTION("""COMPUTED_VALUE"""),44971.66666666667)</f>
        <v>44971.66667</v>
      </c>
      <c r="B767" s="2">
        <f>IFERROR(__xludf.DUMMYFUNCTION("""COMPUTED_VALUE"""),1625.0)</f>
        <v>1625</v>
      </c>
      <c r="C767" s="2">
        <f>IFERROR(__xludf.DUMMYFUNCTION("""COMPUTED_VALUE"""),1640.0)</f>
        <v>1640</v>
      </c>
      <c r="D767" s="2">
        <f>IFERROR(__xludf.DUMMYFUNCTION("""COMPUTED_VALUE"""),1615.0)</f>
        <v>1615</v>
      </c>
      <c r="E767" s="2">
        <f>IFERROR(__xludf.DUMMYFUNCTION("""COMPUTED_VALUE"""),1615.0)</f>
        <v>1615</v>
      </c>
      <c r="F767" s="2">
        <f>IFERROR(__xludf.DUMMYFUNCTION("""COMPUTED_VALUE"""),3.50289E7)</f>
        <v>35028900</v>
      </c>
      <c r="G767" s="2">
        <f t="shared" si="1"/>
        <v>25</v>
      </c>
    </row>
    <row r="768" ht="15.75" customHeight="1">
      <c r="A768" s="1">
        <f>IFERROR(__xludf.DUMMYFUNCTION("""COMPUTED_VALUE"""),44972.66666666667)</f>
        <v>44972.66667</v>
      </c>
      <c r="B768" s="2">
        <f>IFERROR(__xludf.DUMMYFUNCTION("""COMPUTED_VALUE"""),1620.0)</f>
        <v>1620</v>
      </c>
      <c r="C768" s="2">
        <f>IFERROR(__xludf.DUMMYFUNCTION("""COMPUTED_VALUE"""),1630.0)</f>
        <v>1630</v>
      </c>
      <c r="D768" s="2">
        <f>IFERROR(__xludf.DUMMYFUNCTION("""COMPUTED_VALUE"""),1600.0)</f>
        <v>1600</v>
      </c>
      <c r="E768" s="2">
        <f>IFERROR(__xludf.DUMMYFUNCTION("""COMPUTED_VALUE"""),1615.0)</f>
        <v>1615</v>
      </c>
      <c r="F768" s="2">
        <f>IFERROR(__xludf.DUMMYFUNCTION("""COMPUTED_VALUE"""),2.12235E7)</f>
        <v>21223500</v>
      </c>
      <c r="G768" s="2">
        <f t="shared" si="1"/>
        <v>30</v>
      </c>
    </row>
    <row r="769" ht="15.75" customHeight="1">
      <c r="A769" s="1">
        <f>IFERROR(__xludf.DUMMYFUNCTION("""COMPUTED_VALUE"""),44973.66666666667)</f>
        <v>44973.66667</v>
      </c>
      <c r="B769" s="2">
        <f>IFERROR(__xludf.DUMMYFUNCTION("""COMPUTED_VALUE"""),1620.0)</f>
        <v>1620</v>
      </c>
      <c r="C769" s="2">
        <f>IFERROR(__xludf.DUMMYFUNCTION("""COMPUTED_VALUE"""),1625.0)</f>
        <v>1625</v>
      </c>
      <c r="D769" s="2">
        <f>IFERROR(__xludf.DUMMYFUNCTION("""COMPUTED_VALUE"""),1575.0)</f>
        <v>1575</v>
      </c>
      <c r="E769" s="2">
        <f>IFERROR(__xludf.DUMMYFUNCTION("""COMPUTED_VALUE"""),1575.0)</f>
        <v>1575</v>
      </c>
      <c r="F769" s="2">
        <f>IFERROR(__xludf.DUMMYFUNCTION("""COMPUTED_VALUE"""),4.43989E7)</f>
        <v>44398900</v>
      </c>
      <c r="G769" s="2">
        <f t="shared" si="1"/>
        <v>50</v>
      </c>
    </row>
    <row r="770" ht="15.75" customHeight="1">
      <c r="A770" s="1">
        <f>IFERROR(__xludf.DUMMYFUNCTION("""COMPUTED_VALUE"""),44974.66666666667)</f>
        <v>44974.66667</v>
      </c>
      <c r="B770" s="2">
        <f>IFERROR(__xludf.DUMMYFUNCTION("""COMPUTED_VALUE"""),1580.0)</f>
        <v>1580</v>
      </c>
      <c r="C770" s="2">
        <f>IFERROR(__xludf.DUMMYFUNCTION("""COMPUTED_VALUE"""),1610.0)</f>
        <v>1610</v>
      </c>
      <c r="D770" s="2">
        <f>IFERROR(__xludf.DUMMYFUNCTION("""COMPUTED_VALUE"""),1575.0)</f>
        <v>1575</v>
      </c>
      <c r="E770" s="2">
        <f>IFERROR(__xludf.DUMMYFUNCTION("""COMPUTED_VALUE"""),1590.0)</f>
        <v>1590</v>
      </c>
      <c r="F770" s="2">
        <f>IFERROR(__xludf.DUMMYFUNCTION("""COMPUTED_VALUE"""),3.03558E7)</f>
        <v>30355800</v>
      </c>
      <c r="G770" s="2">
        <f t="shared" si="1"/>
        <v>35</v>
      </c>
    </row>
    <row r="771" ht="15.75" customHeight="1">
      <c r="A771" s="1">
        <f>IFERROR(__xludf.DUMMYFUNCTION("""COMPUTED_VALUE"""),44977.66666666667)</f>
        <v>44977.66667</v>
      </c>
      <c r="B771" s="2">
        <f>IFERROR(__xludf.DUMMYFUNCTION("""COMPUTED_VALUE"""),1590.0)</f>
        <v>1590</v>
      </c>
      <c r="C771" s="2">
        <f>IFERROR(__xludf.DUMMYFUNCTION("""COMPUTED_VALUE"""),1600.0)</f>
        <v>1600</v>
      </c>
      <c r="D771" s="2">
        <f>IFERROR(__xludf.DUMMYFUNCTION("""COMPUTED_VALUE"""),1580.0)</f>
        <v>1580</v>
      </c>
      <c r="E771" s="2">
        <f>IFERROR(__xludf.DUMMYFUNCTION("""COMPUTED_VALUE"""),1585.0)</f>
        <v>1585</v>
      </c>
      <c r="F771" s="2">
        <f>IFERROR(__xludf.DUMMYFUNCTION("""COMPUTED_VALUE"""),1.7384E7)</f>
        <v>17384000</v>
      </c>
      <c r="G771" s="2">
        <f t="shared" si="1"/>
        <v>20</v>
      </c>
    </row>
    <row r="772" ht="15.75" customHeight="1">
      <c r="A772" s="1">
        <f>IFERROR(__xludf.DUMMYFUNCTION("""COMPUTED_VALUE"""),44978.66666666667)</f>
        <v>44978.66667</v>
      </c>
      <c r="B772" s="2">
        <f>IFERROR(__xludf.DUMMYFUNCTION("""COMPUTED_VALUE"""),1585.0)</f>
        <v>1585</v>
      </c>
      <c r="C772" s="2">
        <f>IFERROR(__xludf.DUMMYFUNCTION("""COMPUTED_VALUE"""),1600.0)</f>
        <v>1600</v>
      </c>
      <c r="D772" s="2">
        <f>IFERROR(__xludf.DUMMYFUNCTION("""COMPUTED_VALUE"""),1565.0)</f>
        <v>1565</v>
      </c>
      <c r="E772" s="2">
        <f>IFERROR(__xludf.DUMMYFUNCTION("""COMPUTED_VALUE"""),1570.0)</f>
        <v>1570</v>
      </c>
      <c r="F772" s="2">
        <f>IFERROR(__xludf.DUMMYFUNCTION("""COMPUTED_VALUE"""),1.76577E7)</f>
        <v>17657700</v>
      </c>
      <c r="G772" s="2">
        <f t="shared" si="1"/>
        <v>35</v>
      </c>
    </row>
    <row r="773" ht="15.75" customHeight="1">
      <c r="A773" s="1">
        <f>IFERROR(__xludf.DUMMYFUNCTION("""COMPUTED_VALUE"""),44979.66666666667)</f>
        <v>44979.66667</v>
      </c>
      <c r="B773" s="2">
        <f>IFERROR(__xludf.DUMMYFUNCTION("""COMPUTED_VALUE"""),1565.0)</f>
        <v>1565</v>
      </c>
      <c r="C773" s="2">
        <f>IFERROR(__xludf.DUMMYFUNCTION("""COMPUTED_VALUE"""),1575.0)</f>
        <v>1575</v>
      </c>
      <c r="D773" s="2">
        <f>IFERROR(__xludf.DUMMYFUNCTION("""COMPUTED_VALUE"""),1540.0)</f>
        <v>1540</v>
      </c>
      <c r="E773" s="2">
        <f>IFERROR(__xludf.DUMMYFUNCTION("""COMPUTED_VALUE"""),1540.0)</f>
        <v>1540</v>
      </c>
      <c r="F773" s="2">
        <f>IFERROR(__xludf.DUMMYFUNCTION("""COMPUTED_VALUE"""),4.13233E7)</f>
        <v>41323300</v>
      </c>
      <c r="G773" s="2">
        <f t="shared" si="1"/>
        <v>35</v>
      </c>
    </row>
    <row r="774" ht="15.75" customHeight="1">
      <c r="A774" s="1">
        <f>IFERROR(__xludf.DUMMYFUNCTION("""COMPUTED_VALUE"""),44980.66666666667)</f>
        <v>44980.66667</v>
      </c>
      <c r="B774" s="2">
        <f>IFERROR(__xludf.DUMMYFUNCTION("""COMPUTED_VALUE"""),1545.0)</f>
        <v>1545</v>
      </c>
      <c r="C774" s="2">
        <f>IFERROR(__xludf.DUMMYFUNCTION("""COMPUTED_VALUE"""),1555.0)</f>
        <v>1555</v>
      </c>
      <c r="D774" s="2">
        <f>IFERROR(__xludf.DUMMYFUNCTION("""COMPUTED_VALUE"""),1530.0)</f>
        <v>1530</v>
      </c>
      <c r="E774" s="2">
        <f>IFERROR(__xludf.DUMMYFUNCTION("""COMPUTED_VALUE"""),1535.0)</f>
        <v>1535</v>
      </c>
      <c r="F774" s="2">
        <f>IFERROR(__xludf.DUMMYFUNCTION("""COMPUTED_VALUE"""),2.44109E7)</f>
        <v>24410900</v>
      </c>
      <c r="G774" s="2">
        <f t="shared" si="1"/>
        <v>25</v>
      </c>
    </row>
    <row r="775" ht="15.75" customHeight="1">
      <c r="A775" s="1">
        <f>IFERROR(__xludf.DUMMYFUNCTION("""COMPUTED_VALUE"""),44981.66666666667)</f>
        <v>44981.66667</v>
      </c>
      <c r="B775" s="2">
        <f>IFERROR(__xludf.DUMMYFUNCTION("""COMPUTED_VALUE"""),1545.0)</f>
        <v>1545</v>
      </c>
      <c r="C775" s="2">
        <f>IFERROR(__xludf.DUMMYFUNCTION("""COMPUTED_VALUE"""),1560.0)</f>
        <v>1560</v>
      </c>
      <c r="D775" s="2">
        <f>IFERROR(__xludf.DUMMYFUNCTION("""COMPUTED_VALUE"""),1525.0)</f>
        <v>1525</v>
      </c>
      <c r="E775" s="2">
        <f>IFERROR(__xludf.DUMMYFUNCTION("""COMPUTED_VALUE"""),1525.0)</f>
        <v>1525</v>
      </c>
      <c r="F775" s="2">
        <f>IFERROR(__xludf.DUMMYFUNCTION("""COMPUTED_VALUE"""),2.34839E7)</f>
        <v>23483900</v>
      </c>
      <c r="G775" s="2">
        <f t="shared" si="1"/>
        <v>35</v>
      </c>
    </row>
    <row r="776" ht="15.75" customHeight="1">
      <c r="A776" s="1">
        <f>IFERROR(__xludf.DUMMYFUNCTION("""COMPUTED_VALUE"""),44984.66666666667)</f>
        <v>44984.66667</v>
      </c>
      <c r="B776" s="2">
        <f>IFERROR(__xludf.DUMMYFUNCTION("""COMPUTED_VALUE"""),1525.0)</f>
        <v>1525</v>
      </c>
      <c r="C776" s="2">
        <f>IFERROR(__xludf.DUMMYFUNCTION("""COMPUTED_VALUE"""),1545.0)</f>
        <v>1545</v>
      </c>
      <c r="D776" s="2">
        <f>IFERROR(__xludf.DUMMYFUNCTION("""COMPUTED_VALUE"""),1525.0)</f>
        <v>1525</v>
      </c>
      <c r="E776" s="2">
        <f>IFERROR(__xludf.DUMMYFUNCTION("""COMPUTED_VALUE"""),1535.0)</f>
        <v>1535</v>
      </c>
      <c r="F776" s="2">
        <f>IFERROR(__xludf.DUMMYFUNCTION("""COMPUTED_VALUE"""),2.18654E7)</f>
        <v>21865400</v>
      </c>
      <c r="G776" s="2">
        <f t="shared" si="1"/>
        <v>20</v>
      </c>
    </row>
    <row r="777" ht="15.75" customHeight="1">
      <c r="A777" s="1">
        <f>IFERROR(__xludf.DUMMYFUNCTION("""COMPUTED_VALUE"""),44985.66666666667)</f>
        <v>44985.66667</v>
      </c>
      <c r="B777" s="2">
        <f>IFERROR(__xludf.DUMMYFUNCTION("""COMPUTED_VALUE"""),1540.0)</f>
        <v>1540</v>
      </c>
      <c r="C777" s="2">
        <f>IFERROR(__xludf.DUMMYFUNCTION("""COMPUTED_VALUE"""),1565.0)</f>
        <v>1565</v>
      </c>
      <c r="D777" s="2">
        <f>IFERROR(__xludf.DUMMYFUNCTION("""COMPUTED_VALUE"""),1535.0)</f>
        <v>1535</v>
      </c>
      <c r="E777" s="2">
        <f>IFERROR(__xludf.DUMMYFUNCTION("""COMPUTED_VALUE"""),1565.0)</f>
        <v>1565</v>
      </c>
      <c r="F777" s="2">
        <f>IFERROR(__xludf.DUMMYFUNCTION("""COMPUTED_VALUE"""),2.68053E7)</f>
        <v>26805300</v>
      </c>
      <c r="G777" s="2">
        <f t="shared" si="1"/>
        <v>30</v>
      </c>
    </row>
    <row r="778" ht="15.75" customHeight="1">
      <c r="A778" s="1">
        <f>IFERROR(__xludf.DUMMYFUNCTION("""COMPUTED_VALUE"""),44986.66666666667)</f>
        <v>44986.66667</v>
      </c>
      <c r="B778" s="2">
        <f>IFERROR(__xludf.DUMMYFUNCTION("""COMPUTED_VALUE"""),1570.0)</f>
        <v>1570</v>
      </c>
      <c r="C778" s="2">
        <f>IFERROR(__xludf.DUMMYFUNCTION("""COMPUTED_VALUE"""),1575.0)</f>
        <v>1575</v>
      </c>
      <c r="D778" s="2">
        <f>IFERROR(__xludf.DUMMYFUNCTION("""COMPUTED_VALUE"""),1545.0)</f>
        <v>1545</v>
      </c>
      <c r="E778" s="2">
        <f>IFERROR(__xludf.DUMMYFUNCTION("""COMPUTED_VALUE"""),1550.0)</f>
        <v>1550</v>
      </c>
      <c r="F778" s="2">
        <f>IFERROR(__xludf.DUMMYFUNCTION("""COMPUTED_VALUE"""),1.763E7)</f>
        <v>17630000</v>
      </c>
      <c r="G778" s="2">
        <f t="shared" si="1"/>
        <v>30</v>
      </c>
    </row>
    <row r="779" ht="15.75" customHeight="1">
      <c r="A779" s="1">
        <f>IFERROR(__xludf.DUMMYFUNCTION("""COMPUTED_VALUE"""),44987.66666666667)</f>
        <v>44987.66667</v>
      </c>
      <c r="B779" s="2">
        <f>IFERROR(__xludf.DUMMYFUNCTION("""COMPUTED_VALUE"""),1555.0)</f>
        <v>1555</v>
      </c>
      <c r="C779" s="2">
        <f>IFERROR(__xludf.DUMMYFUNCTION("""COMPUTED_VALUE"""),1605.0)</f>
        <v>1605</v>
      </c>
      <c r="D779" s="2">
        <f>IFERROR(__xludf.DUMMYFUNCTION("""COMPUTED_VALUE"""),1550.0)</f>
        <v>1550</v>
      </c>
      <c r="E779" s="2">
        <f>IFERROR(__xludf.DUMMYFUNCTION("""COMPUTED_VALUE"""),1600.0)</f>
        <v>1600</v>
      </c>
      <c r="F779" s="2">
        <f>IFERROR(__xludf.DUMMYFUNCTION("""COMPUTED_VALUE"""),4.85812E7)</f>
        <v>48581200</v>
      </c>
      <c r="G779" s="2">
        <f t="shared" si="1"/>
        <v>55</v>
      </c>
    </row>
    <row r="780" ht="15.75" customHeight="1">
      <c r="A780" s="1">
        <f>IFERROR(__xludf.DUMMYFUNCTION("""COMPUTED_VALUE"""),44988.66666666667)</f>
        <v>44988.66667</v>
      </c>
      <c r="B780" s="2">
        <f>IFERROR(__xludf.DUMMYFUNCTION("""COMPUTED_VALUE"""),1600.0)</f>
        <v>1600</v>
      </c>
      <c r="C780" s="2">
        <f>IFERROR(__xludf.DUMMYFUNCTION("""COMPUTED_VALUE"""),1615.0)</f>
        <v>1615</v>
      </c>
      <c r="D780" s="2">
        <f>IFERROR(__xludf.DUMMYFUNCTION("""COMPUTED_VALUE"""),1580.0)</f>
        <v>1580</v>
      </c>
      <c r="E780" s="2">
        <f>IFERROR(__xludf.DUMMYFUNCTION("""COMPUTED_VALUE"""),1580.0)</f>
        <v>1580</v>
      </c>
      <c r="F780" s="2">
        <f>IFERROR(__xludf.DUMMYFUNCTION("""COMPUTED_VALUE"""),3.63701E7)</f>
        <v>36370100</v>
      </c>
      <c r="G780" s="2">
        <f t="shared" si="1"/>
        <v>35</v>
      </c>
    </row>
    <row r="781" ht="15.75" customHeight="1">
      <c r="A781" s="1">
        <f>IFERROR(__xludf.DUMMYFUNCTION("""COMPUTED_VALUE"""),44991.66666666667)</f>
        <v>44991.66667</v>
      </c>
      <c r="B781" s="2">
        <f>IFERROR(__xludf.DUMMYFUNCTION("""COMPUTED_VALUE"""),1590.0)</f>
        <v>1590</v>
      </c>
      <c r="C781" s="2">
        <f>IFERROR(__xludf.DUMMYFUNCTION("""COMPUTED_VALUE"""),1610.0)</f>
        <v>1610</v>
      </c>
      <c r="D781" s="2">
        <f>IFERROR(__xludf.DUMMYFUNCTION("""COMPUTED_VALUE"""),1580.0)</f>
        <v>1580</v>
      </c>
      <c r="E781" s="2">
        <f>IFERROR(__xludf.DUMMYFUNCTION("""COMPUTED_VALUE"""),1600.0)</f>
        <v>1600</v>
      </c>
      <c r="F781" s="2">
        <f>IFERROR(__xludf.DUMMYFUNCTION("""COMPUTED_VALUE"""),2.38678E7)</f>
        <v>23867800</v>
      </c>
      <c r="G781" s="2">
        <f t="shared" si="1"/>
        <v>30</v>
      </c>
    </row>
    <row r="782" ht="15.75" customHeight="1">
      <c r="A782" s="1">
        <f>IFERROR(__xludf.DUMMYFUNCTION("""COMPUTED_VALUE"""),44992.66666666667)</f>
        <v>44992.66667</v>
      </c>
      <c r="B782" s="2">
        <f>IFERROR(__xludf.DUMMYFUNCTION("""COMPUTED_VALUE"""),1600.0)</f>
        <v>1600</v>
      </c>
      <c r="C782" s="2">
        <f>IFERROR(__xludf.DUMMYFUNCTION("""COMPUTED_VALUE"""),1600.0)</f>
        <v>1600</v>
      </c>
      <c r="D782" s="2">
        <f>IFERROR(__xludf.DUMMYFUNCTION("""COMPUTED_VALUE"""),1545.0)</f>
        <v>1545</v>
      </c>
      <c r="E782" s="2">
        <f>IFERROR(__xludf.DUMMYFUNCTION("""COMPUTED_VALUE"""),1555.0)</f>
        <v>1555</v>
      </c>
      <c r="F782" s="2">
        <f>IFERROR(__xludf.DUMMYFUNCTION("""COMPUTED_VALUE"""),3.7451E7)</f>
        <v>37451000</v>
      </c>
      <c r="G782" s="2">
        <f t="shared" si="1"/>
        <v>55</v>
      </c>
    </row>
    <row r="783" ht="15.75" customHeight="1">
      <c r="A783" s="1">
        <f>IFERROR(__xludf.DUMMYFUNCTION("""COMPUTED_VALUE"""),44993.66666666667)</f>
        <v>44993.66667</v>
      </c>
      <c r="B783" s="2">
        <f>IFERROR(__xludf.DUMMYFUNCTION("""COMPUTED_VALUE"""),1555.0)</f>
        <v>1555</v>
      </c>
      <c r="C783" s="2">
        <f>IFERROR(__xludf.DUMMYFUNCTION("""COMPUTED_VALUE"""),1555.0)</f>
        <v>1555</v>
      </c>
      <c r="D783" s="2">
        <f>IFERROR(__xludf.DUMMYFUNCTION("""COMPUTED_VALUE"""),1525.0)</f>
        <v>1525</v>
      </c>
      <c r="E783" s="2">
        <f>IFERROR(__xludf.DUMMYFUNCTION("""COMPUTED_VALUE"""),1545.0)</f>
        <v>1545</v>
      </c>
      <c r="F783" s="2">
        <f>IFERROR(__xludf.DUMMYFUNCTION("""COMPUTED_VALUE"""),2.68429E7)</f>
        <v>26842900</v>
      </c>
      <c r="G783" s="2">
        <f t="shared" si="1"/>
        <v>30</v>
      </c>
    </row>
    <row r="784" ht="15.75" customHeight="1">
      <c r="A784" s="1">
        <f>IFERROR(__xludf.DUMMYFUNCTION("""COMPUTED_VALUE"""),44994.66666666667)</f>
        <v>44994.66667</v>
      </c>
      <c r="B784" s="2">
        <f>IFERROR(__xludf.DUMMYFUNCTION("""COMPUTED_VALUE"""),1540.0)</f>
        <v>1540</v>
      </c>
      <c r="C784" s="2">
        <f>IFERROR(__xludf.DUMMYFUNCTION("""COMPUTED_VALUE"""),1570.0)</f>
        <v>1570</v>
      </c>
      <c r="D784" s="2">
        <f>IFERROR(__xludf.DUMMYFUNCTION("""COMPUTED_VALUE"""),1540.0)</f>
        <v>1540</v>
      </c>
      <c r="E784" s="2">
        <f>IFERROR(__xludf.DUMMYFUNCTION("""COMPUTED_VALUE"""),1565.0)</f>
        <v>1565</v>
      </c>
      <c r="F784" s="2">
        <f>IFERROR(__xludf.DUMMYFUNCTION("""COMPUTED_VALUE"""),2.48515E7)</f>
        <v>24851500</v>
      </c>
      <c r="G784" s="2">
        <f t="shared" si="1"/>
        <v>30</v>
      </c>
    </row>
    <row r="785" ht="15.75" customHeight="1">
      <c r="A785" s="1">
        <f>IFERROR(__xludf.DUMMYFUNCTION("""COMPUTED_VALUE"""),44995.66666666667)</f>
        <v>44995.66667</v>
      </c>
      <c r="B785" s="2">
        <f>IFERROR(__xludf.DUMMYFUNCTION("""COMPUTED_VALUE"""),1555.0)</f>
        <v>1555</v>
      </c>
      <c r="C785" s="2">
        <f>IFERROR(__xludf.DUMMYFUNCTION("""COMPUTED_VALUE"""),1560.0)</f>
        <v>1560</v>
      </c>
      <c r="D785" s="2">
        <f>IFERROR(__xludf.DUMMYFUNCTION("""COMPUTED_VALUE"""),1535.0)</f>
        <v>1535</v>
      </c>
      <c r="E785" s="2">
        <f>IFERROR(__xludf.DUMMYFUNCTION("""COMPUTED_VALUE"""),1550.0)</f>
        <v>1550</v>
      </c>
      <c r="F785" s="2">
        <f>IFERROR(__xludf.DUMMYFUNCTION("""COMPUTED_VALUE"""),1.3615E7)</f>
        <v>13615000</v>
      </c>
      <c r="G785" s="2">
        <f t="shared" si="1"/>
        <v>30</v>
      </c>
    </row>
    <row r="786" ht="15.75" customHeight="1">
      <c r="A786" s="1">
        <f>IFERROR(__xludf.DUMMYFUNCTION("""COMPUTED_VALUE"""),44998.66666666667)</f>
        <v>44998.66667</v>
      </c>
      <c r="B786" s="2">
        <f>IFERROR(__xludf.DUMMYFUNCTION("""COMPUTED_VALUE"""),1545.0)</f>
        <v>1545</v>
      </c>
      <c r="C786" s="2">
        <f>IFERROR(__xludf.DUMMYFUNCTION("""COMPUTED_VALUE"""),1550.0)</f>
        <v>1550</v>
      </c>
      <c r="D786" s="2">
        <f>IFERROR(__xludf.DUMMYFUNCTION("""COMPUTED_VALUE"""),1530.0)</f>
        <v>1530</v>
      </c>
      <c r="E786" s="2">
        <f>IFERROR(__xludf.DUMMYFUNCTION("""COMPUTED_VALUE"""),1545.0)</f>
        <v>1545</v>
      </c>
      <c r="F786" s="2">
        <f>IFERROR(__xludf.DUMMYFUNCTION("""COMPUTED_VALUE"""),1.34299E7)</f>
        <v>13429900</v>
      </c>
      <c r="G786" s="2">
        <f t="shared" si="1"/>
        <v>20</v>
      </c>
    </row>
    <row r="787" ht="15.75" customHeight="1">
      <c r="A787" s="1">
        <f>IFERROR(__xludf.DUMMYFUNCTION("""COMPUTED_VALUE"""),44999.66666666667)</f>
        <v>44999.66667</v>
      </c>
      <c r="B787" s="2">
        <f>IFERROR(__xludf.DUMMYFUNCTION("""COMPUTED_VALUE"""),1535.0)</f>
        <v>1535</v>
      </c>
      <c r="C787" s="2">
        <f>IFERROR(__xludf.DUMMYFUNCTION("""COMPUTED_VALUE"""),1545.0)</f>
        <v>1545</v>
      </c>
      <c r="D787" s="2">
        <f>IFERROR(__xludf.DUMMYFUNCTION("""COMPUTED_VALUE"""),1460.0)</f>
        <v>1460</v>
      </c>
      <c r="E787" s="2">
        <f>IFERROR(__xludf.DUMMYFUNCTION("""COMPUTED_VALUE"""),1470.0)</f>
        <v>1470</v>
      </c>
      <c r="F787" s="2">
        <f>IFERROR(__xludf.DUMMYFUNCTION("""COMPUTED_VALUE"""),5.64867E7)</f>
        <v>56486700</v>
      </c>
      <c r="G787" s="2">
        <f t="shared" si="1"/>
        <v>85</v>
      </c>
    </row>
    <row r="788" ht="15.75" customHeight="1">
      <c r="A788" s="1">
        <f>IFERROR(__xludf.DUMMYFUNCTION("""COMPUTED_VALUE"""),45000.66666666667)</f>
        <v>45000.66667</v>
      </c>
      <c r="B788" s="2">
        <f>IFERROR(__xludf.DUMMYFUNCTION("""COMPUTED_VALUE"""),1470.0)</f>
        <v>1470</v>
      </c>
      <c r="C788" s="2">
        <f>IFERROR(__xludf.DUMMYFUNCTION("""COMPUTED_VALUE"""),1495.0)</f>
        <v>1495</v>
      </c>
      <c r="D788" s="2">
        <f>IFERROR(__xludf.DUMMYFUNCTION("""COMPUTED_VALUE"""),1410.0)</f>
        <v>1410</v>
      </c>
      <c r="E788" s="2">
        <f>IFERROR(__xludf.DUMMYFUNCTION("""COMPUTED_VALUE"""),1410.0)</f>
        <v>1410</v>
      </c>
      <c r="F788" s="2">
        <f>IFERROR(__xludf.DUMMYFUNCTION("""COMPUTED_VALUE"""),6.99161E7)</f>
        <v>69916100</v>
      </c>
      <c r="G788" s="2">
        <f t="shared" si="1"/>
        <v>85</v>
      </c>
    </row>
    <row r="789" ht="15.75" customHeight="1">
      <c r="A789" s="1">
        <f>IFERROR(__xludf.DUMMYFUNCTION("""COMPUTED_VALUE"""),45001.66666666667)</f>
        <v>45001.66667</v>
      </c>
      <c r="B789" s="2">
        <f>IFERROR(__xludf.DUMMYFUNCTION("""COMPUTED_VALUE"""),1410.0)</f>
        <v>1410</v>
      </c>
      <c r="C789" s="2">
        <f>IFERROR(__xludf.DUMMYFUNCTION("""COMPUTED_VALUE"""),1420.0)</f>
        <v>1420</v>
      </c>
      <c r="D789" s="2">
        <f>IFERROR(__xludf.DUMMYFUNCTION("""COMPUTED_VALUE"""),1350.0)</f>
        <v>1350</v>
      </c>
      <c r="E789" s="2">
        <f>IFERROR(__xludf.DUMMYFUNCTION("""COMPUTED_VALUE"""),1355.0)</f>
        <v>1355</v>
      </c>
      <c r="F789" s="2">
        <f>IFERROR(__xludf.DUMMYFUNCTION("""COMPUTED_VALUE"""),8.33689E7)</f>
        <v>83368900</v>
      </c>
      <c r="G789" s="2">
        <f t="shared" si="1"/>
        <v>70</v>
      </c>
    </row>
    <row r="790" ht="15.75" customHeight="1">
      <c r="A790" s="1">
        <f>IFERROR(__xludf.DUMMYFUNCTION("""COMPUTED_VALUE"""),45002.66666666667)</f>
        <v>45002.66667</v>
      </c>
      <c r="B790" s="2">
        <f>IFERROR(__xludf.DUMMYFUNCTION("""COMPUTED_VALUE"""),1360.0)</f>
        <v>1360</v>
      </c>
      <c r="C790" s="2">
        <f>IFERROR(__xludf.DUMMYFUNCTION("""COMPUTED_VALUE"""),1395.0)</f>
        <v>1395</v>
      </c>
      <c r="D790" s="2">
        <f>IFERROR(__xludf.DUMMYFUNCTION("""COMPUTED_VALUE"""),1360.0)</f>
        <v>1360</v>
      </c>
      <c r="E790" s="2">
        <f>IFERROR(__xludf.DUMMYFUNCTION("""COMPUTED_VALUE"""),1390.0)</f>
        <v>1390</v>
      </c>
      <c r="F790" s="2">
        <f>IFERROR(__xludf.DUMMYFUNCTION("""COMPUTED_VALUE"""),6.88291E7)</f>
        <v>68829100</v>
      </c>
      <c r="G790" s="2">
        <f t="shared" si="1"/>
        <v>40</v>
      </c>
    </row>
    <row r="791" ht="15.75" customHeight="1">
      <c r="A791" s="1">
        <f>IFERROR(__xludf.DUMMYFUNCTION("""COMPUTED_VALUE"""),45005.66666666667)</f>
        <v>45005.66667</v>
      </c>
      <c r="B791" s="2">
        <f>IFERROR(__xludf.DUMMYFUNCTION("""COMPUTED_VALUE"""),1390.0)</f>
        <v>1390</v>
      </c>
      <c r="C791" s="2">
        <f>IFERROR(__xludf.DUMMYFUNCTION("""COMPUTED_VALUE"""),1390.0)</f>
        <v>1390</v>
      </c>
      <c r="D791" s="2">
        <f>IFERROR(__xludf.DUMMYFUNCTION("""COMPUTED_VALUE"""),1325.0)</f>
        <v>1325</v>
      </c>
      <c r="E791" s="2">
        <f>IFERROR(__xludf.DUMMYFUNCTION("""COMPUTED_VALUE"""),1335.0)</f>
        <v>1335</v>
      </c>
      <c r="F791" s="2">
        <f>IFERROR(__xludf.DUMMYFUNCTION("""COMPUTED_VALUE"""),4.08834E7)</f>
        <v>40883400</v>
      </c>
      <c r="G791" s="2">
        <f t="shared" si="1"/>
        <v>65</v>
      </c>
    </row>
    <row r="792" ht="15.75" customHeight="1">
      <c r="A792" s="1">
        <f>IFERROR(__xludf.DUMMYFUNCTION("""COMPUTED_VALUE"""),45006.66666666667)</f>
        <v>45006.66667</v>
      </c>
      <c r="B792" s="2">
        <f>IFERROR(__xludf.DUMMYFUNCTION("""COMPUTED_VALUE"""),1345.0)</f>
        <v>1345</v>
      </c>
      <c r="C792" s="2">
        <f>IFERROR(__xludf.DUMMYFUNCTION("""COMPUTED_VALUE"""),1365.0)</f>
        <v>1365</v>
      </c>
      <c r="D792" s="2">
        <f>IFERROR(__xludf.DUMMYFUNCTION("""COMPUTED_VALUE"""),1340.0)</f>
        <v>1340</v>
      </c>
      <c r="E792" s="2">
        <f>IFERROR(__xludf.DUMMYFUNCTION("""COMPUTED_VALUE"""),1350.0)</f>
        <v>1350</v>
      </c>
      <c r="F792" s="2">
        <f>IFERROR(__xludf.DUMMYFUNCTION("""COMPUTED_VALUE"""),4.86958E7)</f>
        <v>48695800</v>
      </c>
      <c r="G792" s="2">
        <f t="shared" si="1"/>
        <v>30</v>
      </c>
    </row>
    <row r="793" ht="15.75" customHeight="1">
      <c r="A793" s="1">
        <f>IFERROR(__xludf.DUMMYFUNCTION("""COMPUTED_VALUE"""),45009.66666666667)</f>
        <v>45009.66667</v>
      </c>
      <c r="B793" s="2">
        <f>IFERROR(__xludf.DUMMYFUNCTION("""COMPUTED_VALUE"""),1355.0)</f>
        <v>1355</v>
      </c>
      <c r="C793" s="2">
        <f>IFERROR(__xludf.DUMMYFUNCTION("""COMPUTED_VALUE"""),1380.0)</f>
        <v>1380</v>
      </c>
      <c r="D793" s="2">
        <f>IFERROR(__xludf.DUMMYFUNCTION("""COMPUTED_VALUE"""),1355.0)</f>
        <v>1355</v>
      </c>
      <c r="E793" s="2">
        <f>IFERROR(__xludf.DUMMYFUNCTION("""COMPUTED_VALUE"""),1360.0)</f>
        <v>1360</v>
      </c>
      <c r="F793" s="2">
        <f>IFERROR(__xludf.DUMMYFUNCTION("""COMPUTED_VALUE"""),5.3883E7)</f>
        <v>53883000</v>
      </c>
      <c r="G793" s="2">
        <f t="shared" si="1"/>
        <v>30</v>
      </c>
    </row>
    <row r="794" ht="15.75" customHeight="1">
      <c r="A794" s="1">
        <f>IFERROR(__xludf.DUMMYFUNCTION("""COMPUTED_VALUE"""),45012.66666666667)</f>
        <v>45012.66667</v>
      </c>
      <c r="B794" s="2">
        <f>IFERROR(__xludf.DUMMYFUNCTION("""COMPUTED_VALUE"""),1365.0)</f>
        <v>1365</v>
      </c>
      <c r="C794" s="2">
        <f>IFERROR(__xludf.DUMMYFUNCTION("""COMPUTED_VALUE"""),1405.0)</f>
        <v>1405</v>
      </c>
      <c r="D794" s="2">
        <f>IFERROR(__xludf.DUMMYFUNCTION("""COMPUTED_VALUE"""),1365.0)</f>
        <v>1365</v>
      </c>
      <c r="E794" s="2">
        <f>IFERROR(__xludf.DUMMYFUNCTION("""COMPUTED_VALUE"""),1375.0)</f>
        <v>1375</v>
      </c>
      <c r="F794" s="2">
        <f>IFERROR(__xludf.DUMMYFUNCTION("""COMPUTED_VALUE"""),4.19846E7)</f>
        <v>41984600</v>
      </c>
      <c r="G794" s="2">
        <f t="shared" si="1"/>
        <v>45</v>
      </c>
    </row>
    <row r="795" ht="15.75" customHeight="1">
      <c r="A795" s="1">
        <f>IFERROR(__xludf.DUMMYFUNCTION("""COMPUTED_VALUE"""),45013.66666666667)</f>
        <v>45013.66667</v>
      </c>
      <c r="B795" s="2">
        <f>IFERROR(__xludf.DUMMYFUNCTION("""COMPUTED_VALUE"""),1395.0)</f>
        <v>1395</v>
      </c>
      <c r="C795" s="2">
        <f>IFERROR(__xludf.DUMMYFUNCTION("""COMPUTED_VALUE"""),1415.0)</f>
        <v>1415</v>
      </c>
      <c r="D795" s="2">
        <f>IFERROR(__xludf.DUMMYFUNCTION("""COMPUTED_VALUE"""),1375.0)</f>
        <v>1375</v>
      </c>
      <c r="E795" s="2">
        <f>IFERROR(__xludf.DUMMYFUNCTION("""COMPUTED_VALUE"""),1385.0)</f>
        <v>1385</v>
      </c>
      <c r="F795" s="2">
        <f>IFERROR(__xludf.DUMMYFUNCTION("""COMPUTED_VALUE"""),4.61274E7)</f>
        <v>46127400</v>
      </c>
      <c r="G795" s="2">
        <f t="shared" si="1"/>
        <v>40</v>
      </c>
    </row>
    <row r="796" ht="15.75" customHeight="1">
      <c r="A796" s="1">
        <f>IFERROR(__xludf.DUMMYFUNCTION("""COMPUTED_VALUE"""),45014.66666666667)</f>
        <v>45014.66667</v>
      </c>
      <c r="B796" s="2">
        <f>IFERROR(__xludf.DUMMYFUNCTION("""COMPUTED_VALUE"""),1385.0)</f>
        <v>1385</v>
      </c>
      <c r="C796" s="2">
        <f>IFERROR(__xludf.DUMMYFUNCTION("""COMPUTED_VALUE"""),1415.0)</f>
        <v>1415</v>
      </c>
      <c r="D796" s="2">
        <f>IFERROR(__xludf.DUMMYFUNCTION("""COMPUTED_VALUE"""),1385.0)</f>
        <v>1385</v>
      </c>
      <c r="E796" s="2">
        <f>IFERROR(__xludf.DUMMYFUNCTION("""COMPUTED_VALUE"""),1405.0)</f>
        <v>1405</v>
      </c>
      <c r="F796" s="2">
        <f>IFERROR(__xludf.DUMMYFUNCTION("""COMPUTED_VALUE"""),6.52244E7)</f>
        <v>65224400</v>
      </c>
      <c r="G796" s="2">
        <f t="shared" si="1"/>
        <v>30</v>
      </c>
    </row>
    <row r="797" ht="15.75" customHeight="1">
      <c r="A797" s="1">
        <f>IFERROR(__xludf.DUMMYFUNCTION("""COMPUTED_VALUE"""),45015.66666666667)</f>
        <v>45015.66667</v>
      </c>
      <c r="B797" s="2">
        <f>IFERROR(__xludf.DUMMYFUNCTION("""COMPUTED_VALUE"""),1405.0)</f>
        <v>1405</v>
      </c>
      <c r="C797" s="2">
        <f>IFERROR(__xludf.DUMMYFUNCTION("""COMPUTED_VALUE"""),1425.0)</f>
        <v>1425</v>
      </c>
      <c r="D797" s="2">
        <f>IFERROR(__xludf.DUMMYFUNCTION("""COMPUTED_VALUE"""),1395.0)</f>
        <v>1395</v>
      </c>
      <c r="E797" s="2">
        <f>IFERROR(__xludf.DUMMYFUNCTION("""COMPUTED_VALUE"""),1395.0)</f>
        <v>1395</v>
      </c>
      <c r="F797" s="2">
        <f>IFERROR(__xludf.DUMMYFUNCTION("""COMPUTED_VALUE"""),3.4693E7)</f>
        <v>34693000</v>
      </c>
      <c r="G797" s="2">
        <f t="shared" si="1"/>
        <v>30</v>
      </c>
    </row>
    <row r="798" ht="15.75" customHeight="1">
      <c r="A798" s="1">
        <f>IFERROR(__xludf.DUMMYFUNCTION("""COMPUTED_VALUE"""),45016.66666666667)</f>
        <v>45016.66667</v>
      </c>
      <c r="B798" s="2">
        <f>IFERROR(__xludf.DUMMYFUNCTION("""COMPUTED_VALUE"""),1400.0)</f>
        <v>1400</v>
      </c>
      <c r="C798" s="2">
        <f>IFERROR(__xludf.DUMMYFUNCTION("""COMPUTED_VALUE"""),1405.0)</f>
        <v>1405</v>
      </c>
      <c r="D798" s="2">
        <f>IFERROR(__xludf.DUMMYFUNCTION("""COMPUTED_VALUE"""),1380.0)</f>
        <v>1380</v>
      </c>
      <c r="E798" s="2">
        <f>IFERROR(__xludf.DUMMYFUNCTION("""COMPUTED_VALUE"""),1380.0)</f>
        <v>1380</v>
      </c>
      <c r="F798" s="2">
        <f>IFERROR(__xludf.DUMMYFUNCTION("""COMPUTED_VALUE"""),3.27436E7)</f>
        <v>32743600</v>
      </c>
      <c r="G798" s="2">
        <f t="shared" si="1"/>
        <v>25</v>
      </c>
    </row>
    <row r="799" ht="15.75" customHeight="1">
      <c r="A799" s="1">
        <f>IFERROR(__xludf.DUMMYFUNCTION("""COMPUTED_VALUE"""),45019.66666666667)</f>
        <v>45019.66667</v>
      </c>
      <c r="B799" s="2">
        <f>IFERROR(__xludf.DUMMYFUNCTION("""COMPUTED_VALUE"""),1420.0)</f>
        <v>1420</v>
      </c>
      <c r="C799" s="2">
        <f>IFERROR(__xludf.DUMMYFUNCTION("""COMPUTED_VALUE"""),1420.0)</f>
        <v>1420</v>
      </c>
      <c r="D799" s="2">
        <f>IFERROR(__xludf.DUMMYFUNCTION("""COMPUTED_VALUE"""),1350.0)</f>
        <v>1350</v>
      </c>
      <c r="E799" s="2">
        <f>IFERROR(__xludf.DUMMYFUNCTION("""COMPUTED_VALUE"""),1355.0)</f>
        <v>1355</v>
      </c>
      <c r="F799" s="2">
        <f>IFERROR(__xludf.DUMMYFUNCTION("""COMPUTED_VALUE"""),9.62156E7)</f>
        <v>96215600</v>
      </c>
      <c r="G799" s="2">
        <f t="shared" si="1"/>
        <v>70</v>
      </c>
    </row>
    <row r="800" ht="15.75" customHeight="1">
      <c r="A800" s="1">
        <f>IFERROR(__xludf.DUMMYFUNCTION("""COMPUTED_VALUE"""),45020.66666666667)</f>
        <v>45020.66667</v>
      </c>
      <c r="B800" s="2">
        <f>IFERROR(__xludf.DUMMYFUNCTION("""COMPUTED_VALUE"""),1355.0)</f>
        <v>1355</v>
      </c>
      <c r="C800" s="2">
        <f>IFERROR(__xludf.DUMMYFUNCTION("""COMPUTED_VALUE"""),1410.0)</f>
        <v>1410</v>
      </c>
      <c r="D800" s="2">
        <f>IFERROR(__xludf.DUMMYFUNCTION("""COMPUTED_VALUE"""),1340.0)</f>
        <v>1340</v>
      </c>
      <c r="E800" s="2">
        <f>IFERROR(__xludf.DUMMYFUNCTION("""COMPUTED_VALUE"""),1405.0)</f>
        <v>1405</v>
      </c>
      <c r="F800" s="2">
        <f>IFERROR(__xludf.DUMMYFUNCTION("""COMPUTED_VALUE"""),1.129376E8)</f>
        <v>112937600</v>
      </c>
      <c r="G800" s="2">
        <f t="shared" si="1"/>
        <v>70</v>
      </c>
    </row>
    <row r="801" ht="15.75" customHeight="1">
      <c r="A801" s="1">
        <f>IFERROR(__xludf.DUMMYFUNCTION("""COMPUTED_VALUE"""),45021.66666666667)</f>
        <v>45021.66667</v>
      </c>
      <c r="B801" s="2">
        <f>IFERROR(__xludf.DUMMYFUNCTION("""COMPUTED_VALUE"""),1405.0)</f>
        <v>1405</v>
      </c>
      <c r="C801" s="2">
        <f>IFERROR(__xludf.DUMMYFUNCTION("""COMPUTED_VALUE"""),1420.0)</f>
        <v>1420</v>
      </c>
      <c r="D801" s="2">
        <f>IFERROR(__xludf.DUMMYFUNCTION("""COMPUTED_VALUE"""),1385.0)</f>
        <v>1385</v>
      </c>
      <c r="E801" s="2">
        <f>IFERROR(__xludf.DUMMYFUNCTION("""COMPUTED_VALUE"""),1385.0)</f>
        <v>1385</v>
      </c>
      <c r="F801" s="2">
        <f>IFERROR(__xludf.DUMMYFUNCTION("""COMPUTED_VALUE"""),5.74513E7)</f>
        <v>57451300</v>
      </c>
      <c r="G801" s="2">
        <f t="shared" si="1"/>
        <v>35</v>
      </c>
    </row>
    <row r="802" ht="15.75" customHeight="1">
      <c r="A802" s="1">
        <f>IFERROR(__xludf.DUMMYFUNCTION("""COMPUTED_VALUE"""),45022.66666666667)</f>
        <v>45022.66667</v>
      </c>
      <c r="B802" s="2">
        <f>IFERROR(__xludf.DUMMYFUNCTION("""COMPUTED_VALUE"""),1385.0)</f>
        <v>1385</v>
      </c>
      <c r="C802" s="2">
        <f>IFERROR(__xludf.DUMMYFUNCTION("""COMPUTED_VALUE"""),1395.0)</f>
        <v>1395</v>
      </c>
      <c r="D802" s="2">
        <f>IFERROR(__xludf.DUMMYFUNCTION("""COMPUTED_VALUE"""),1365.0)</f>
        <v>1365</v>
      </c>
      <c r="E802" s="2">
        <f>IFERROR(__xludf.DUMMYFUNCTION("""COMPUTED_VALUE"""),1365.0)</f>
        <v>1365</v>
      </c>
      <c r="F802" s="2">
        <f>IFERROR(__xludf.DUMMYFUNCTION("""COMPUTED_VALUE"""),5.34644E7)</f>
        <v>53464400</v>
      </c>
      <c r="G802" s="2">
        <f t="shared" si="1"/>
        <v>30</v>
      </c>
    </row>
    <row r="803" ht="15.75" customHeight="1">
      <c r="A803" s="1">
        <f>IFERROR(__xludf.DUMMYFUNCTION("""COMPUTED_VALUE"""),45026.66666666667)</f>
        <v>45026.66667</v>
      </c>
      <c r="B803" s="2">
        <f>IFERROR(__xludf.DUMMYFUNCTION("""COMPUTED_VALUE"""),1365.0)</f>
        <v>1365</v>
      </c>
      <c r="C803" s="2">
        <f>IFERROR(__xludf.DUMMYFUNCTION("""COMPUTED_VALUE"""),1380.0)</f>
        <v>1380</v>
      </c>
      <c r="D803" s="2">
        <f>IFERROR(__xludf.DUMMYFUNCTION("""COMPUTED_VALUE"""),1350.0)</f>
        <v>1350</v>
      </c>
      <c r="E803" s="2">
        <f>IFERROR(__xludf.DUMMYFUNCTION("""COMPUTED_VALUE"""),1355.0)</f>
        <v>1355</v>
      </c>
      <c r="F803" s="2">
        <f>IFERROR(__xludf.DUMMYFUNCTION("""COMPUTED_VALUE"""),3.67577E7)</f>
        <v>36757700</v>
      </c>
      <c r="G803" s="2">
        <f t="shared" si="1"/>
        <v>30</v>
      </c>
    </row>
    <row r="804" ht="15.75" customHeight="1">
      <c r="A804" s="1">
        <f>IFERROR(__xludf.DUMMYFUNCTION("""COMPUTED_VALUE"""),45027.66666666667)</f>
        <v>45027.66667</v>
      </c>
      <c r="B804" s="2">
        <f>IFERROR(__xludf.DUMMYFUNCTION("""COMPUTED_VALUE"""),1365.0)</f>
        <v>1365</v>
      </c>
      <c r="C804" s="2">
        <f>IFERROR(__xludf.DUMMYFUNCTION("""COMPUTED_VALUE"""),1390.0)</f>
        <v>1390</v>
      </c>
      <c r="D804" s="2">
        <f>IFERROR(__xludf.DUMMYFUNCTION("""COMPUTED_VALUE"""),1360.0)</f>
        <v>1360</v>
      </c>
      <c r="E804" s="2">
        <f>IFERROR(__xludf.DUMMYFUNCTION("""COMPUTED_VALUE"""),1375.0)</f>
        <v>1375</v>
      </c>
      <c r="F804" s="2">
        <f>IFERROR(__xludf.DUMMYFUNCTION("""COMPUTED_VALUE"""),4.22997E7)</f>
        <v>42299700</v>
      </c>
      <c r="G804" s="2">
        <f t="shared" si="1"/>
        <v>35</v>
      </c>
    </row>
    <row r="805" ht="15.75" customHeight="1">
      <c r="A805" s="1">
        <f>IFERROR(__xludf.DUMMYFUNCTION("""COMPUTED_VALUE"""),45028.66666666667)</f>
        <v>45028.66667</v>
      </c>
      <c r="B805" s="2">
        <f>IFERROR(__xludf.DUMMYFUNCTION("""COMPUTED_VALUE"""),1390.0)</f>
        <v>1390</v>
      </c>
      <c r="C805" s="2">
        <f>IFERROR(__xludf.DUMMYFUNCTION("""COMPUTED_VALUE"""),1395.0)</f>
        <v>1395</v>
      </c>
      <c r="D805" s="2">
        <f>IFERROR(__xludf.DUMMYFUNCTION("""COMPUTED_VALUE"""),1375.0)</f>
        <v>1375</v>
      </c>
      <c r="E805" s="2">
        <f>IFERROR(__xludf.DUMMYFUNCTION("""COMPUTED_VALUE"""),1385.0)</f>
        <v>1385</v>
      </c>
      <c r="F805" s="2">
        <f>IFERROR(__xludf.DUMMYFUNCTION("""COMPUTED_VALUE"""),4.21485E7)</f>
        <v>42148500</v>
      </c>
      <c r="G805" s="2">
        <f t="shared" si="1"/>
        <v>20</v>
      </c>
    </row>
    <row r="806" ht="15.75" customHeight="1">
      <c r="A806" s="1">
        <f>IFERROR(__xludf.DUMMYFUNCTION("""COMPUTED_VALUE"""),45029.66666666667)</f>
        <v>45029.66667</v>
      </c>
      <c r="B806" s="2">
        <f>IFERROR(__xludf.DUMMYFUNCTION("""COMPUTED_VALUE"""),1390.0)</f>
        <v>1390</v>
      </c>
      <c r="C806" s="2">
        <f>IFERROR(__xludf.DUMMYFUNCTION("""COMPUTED_VALUE"""),1400.0)</f>
        <v>1400</v>
      </c>
      <c r="D806" s="2">
        <f>IFERROR(__xludf.DUMMYFUNCTION("""COMPUTED_VALUE"""),1375.0)</f>
        <v>1375</v>
      </c>
      <c r="E806" s="2">
        <f>IFERROR(__xludf.DUMMYFUNCTION("""COMPUTED_VALUE"""),1380.0)</f>
        <v>1380</v>
      </c>
      <c r="F806" s="2">
        <f>IFERROR(__xludf.DUMMYFUNCTION("""COMPUTED_VALUE"""),3.56967E7)</f>
        <v>35696700</v>
      </c>
      <c r="G806" s="2">
        <f t="shared" si="1"/>
        <v>25</v>
      </c>
    </row>
    <row r="807" ht="15.75" customHeight="1">
      <c r="A807" s="1">
        <f>IFERROR(__xludf.DUMMYFUNCTION("""COMPUTED_VALUE"""),45030.66666666667)</f>
        <v>45030.66667</v>
      </c>
      <c r="B807" s="2">
        <f>IFERROR(__xludf.DUMMYFUNCTION("""COMPUTED_VALUE"""),1385.0)</f>
        <v>1385</v>
      </c>
      <c r="C807" s="2">
        <f>IFERROR(__xludf.DUMMYFUNCTION("""COMPUTED_VALUE"""),1400.0)</f>
        <v>1400</v>
      </c>
      <c r="D807" s="2">
        <f>IFERROR(__xludf.DUMMYFUNCTION("""COMPUTED_VALUE"""),1380.0)</f>
        <v>1380</v>
      </c>
      <c r="E807" s="2">
        <f>IFERROR(__xludf.DUMMYFUNCTION("""COMPUTED_VALUE"""),1390.0)</f>
        <v>1390</v>
      </c>
      <c r="F807" s="2">
        <f>IFERROR(__xludf.DUMMYFUNCTION("""COMPUTED_VALUE"""),7.63706E7)</f>
        <v>76370600</v>
      </c>
      <c r="G807" s="2">
        <f t="shared" si="1"/>
        <v>20</v>
      </c>
    </row>
    <row r="808" ht="15.75" customHeight="1">
      <c r="A808" s="1">
        <f>IFERROR(__xludf.DUMMYFUNCTION("""COMPUTED_VALUE"""),45033.66666666667)</f>
        <v>45033.66667</v>
      </c>
      <c r="B808" s="2">
        <f>IFERROR(__xludf.DUMMYFUNCTION("""COMPUTED_VALUE"""),1380.0)</f>
        <v>1380</v>
      </c>
      <c r="C808" s="2">
        <f>IFERROR(__xludf.DUMMYFUNCTION("""COMPUTED_VALUE"""),1430.0)</f>
        <v>1430</v>
      </c>
      <c r="D808" s="2">
        <f>IFERROR(__xludf.DUMMYFUNCTION("""COMPUTED_VALUE"""),1380.0)</f>
        <v>1380</v>
      </c>
      <c r="E808" s="2">
        <f>IFERROR(__xludf.DUMMYFUNCTION("""COMPUTED_VALUE"""),1405.0)</f>
        <v>1405</v>
      </c>
      <c r="F808" s="2">
        <f>IFERROR(__xludf.DUMMYFUNCTION("""COMPUTED_VALUE"""),9.51266E7)</f>
        <v>95126600</v>
      </c>
      <c r="G808" s="2">
        <f t="shared" si="1"/>
        <v>50</v>
      </c>
    </row>
    <row r="809" ht="15.75" customHeight="1">
      <c r="A809" s="1">
        <f>IFERROR(__xludf.DUMMYFUNCTION("""COMPUTED_VALUE"""),45034.66666666667)</f>
        <v>45034.66667</v>
      </c>
      <c r="B809" s="2">
        <f>IFERROR(__xludf.DUMMYFUNCTION("""COMPUTED_VALUE"""),1410.0)</f>
        <v>1410</v>
      </c>
      <c r="C809" s="2">
        <f>IFERROR(__xludf.DUMMYFUNCTION("""COMPUTED_VALUE"""),1430.0)</f>
        <v>1430</v>
      </c>
      <c r="D809" s="2">
        <f>IFERROR(__xludf.DUMMYFUNCTION("""COMPUTED_VALUE"""),1405.0)</f>
        <v>1405</v>
      </c>
      <c r="E809" s="2">
        <f>IFERROR(__xludf.DUMMYFUNCTION("""COMPUTED_VALUE"""),1420.0)</f>
        <v>1420</v>
      </c>
      <c r="F809" s="2">
        <f>IFERROR(__xludf.DUMMYFUNCTION("""COMPUTED_VALUE"""),5.83165E7)</f>
        <v>58316500</v>
      </c>
      <c r="G809" s="2">
        <f t="shared" si="1"/>
        <v>25</v>
      </c>
    </row>
    <row r="810" ht="15.75" customHeight="1">
      <c r="A810" s="1">
        <f>IFERROR(__xludf.DUMMYFUNCTION("""COMPUTED_VALUE"""),45042.66666666667)</f>
        <v>45042.66667</v>
      </c>
      <c r="B810" s="2">
        <f>IFERROR(__xludf.DUMMYFUNCTION("""COMPUTED_VALUE"""),1420.0)</f>
        <v>1420</v>
      </c>
      <c r="C810" s="2">
        <f>IFERROR(__xludf.DUMMYFUNCTION("""COMPUTED_VALUE"""),1460.0)</f>
        <v>1460</v>
      </c>
      <c r="D810" s="2">
        <f>IFERROR(__xludf.DUMMYFUNCTION("""COMPUTED_VALUE"""),1410.0)</f>
        <v>1410</v>
      </c>
      <c r="E810" s="2">
        <f>IFERROR(__xludf.DUMMYFUNCTION("""COMPUTED_VALUE"""),1445.0)</f>
        <v>1445</v>
      </c>
      <c r="F810" s="2">
        <f>IFERROR(__xludf.DUMMYFUNCTION("""COMPUTED_VALUE"""),8.10291E7)</f>
        <v>81029100</v>
      </c>
      <c r="G810" s="2">
        <f t="shared" si="1"/>
        <v>50</v>
      </c>
    </row>
    <row r="811" ht="15.75" customHeight="1">
      <c r="A811" s="1">
        <f>IFERROR(__xludf.DUMMYFUNCTION("""COMPUTED_VALUE"""),45043.66666666667)</f>
        <v>45043.66667</v>
      </c>
      <c r="B811" s="2">
        <f>IFERROR(__xludf.DUMMYFUNCTION("""COMPUTED_VALUE"""),1445.0)</f>
        <v>1445</v>
      </c>
      <c r="C811" s="2">
        <f>IFERROR(__xludf.DUMMYFUNCTION("""COMPUTED_VALUE"""),1455.0)</f>
        <v>1455</v>
      </c>
      <c r="D811" s="2">
        <f>IFERROR(__xludf.DUMMYFUNCTION("""COMPUTED_VALUE"""),1430.0)</f>
        <v>1430</v>
      </c>
      <c r="E811" s="2">
        <f>IFERROR(__xludf.DUMMYFUNCTION("""COMPUTED_VALUE"""),1430.0)</f>
        <v>1430</v>
      </c>
      <c r="F811" s="2">
        <f>IFERROR(__xludf.DUMMYFUNCTION("""COMPUTED_VALUE"""),3.68314E7)</f>
        <v>36831400</v>
      </c>
      <c r="G811" s="2">
        <f t="shared" si="1"/>
        <v>25</v>
      </c>
    </row>
    <row r="812" ht="15.75" customHeight="1">
      <c r="A812" s="1">
        <f>IFERROR(__xludf.DUMMYFUNCTION("""COMPUTED_VALUE"""),45044.66666666667)</f>
        <v>45044.66667</v>
      </c>
      <c r="B812" s="2">
        <f>IFERROR(__xludf.DUMMYFUNCTION("""COMPUTED_VALUE"""),1435.0)</f>
        <v>1435</v>
      </c>
      <c r="C812" s="2">
        <f>IFERROR(__xludf.DUMMYFUNCTION("""COMPUTED_VALUE"""),1450.0)</f>
        <v>1450</v>
      </c>
      <c r="D812" s="2">
        <f>IFERROR(__xludf.DUMMYFUNCTION("""COMPUTED_VALUE"""),1425.0)</f>
        <v>1425</v>
      </c>
      <c r="E812" s="2">
        <f>IFERROR(__xludf.DUMMYFUNCTION("""COMPUTED_VALUE"""),1430.0)</f>
        <v>1430</v>
      </c>
      <c r="F812" s="2">
        <f>IFERROR(__xludf.DUMMYFUNCTION("""COMPUTED_VALUE"""),3.43792E7)</f>
        <v>34379200</v>
      </c>
      <c r="G812" s="2">
        <f t="shared" si="1"/>
        <v>25</v>
      </c>
    </row>
    <row r="813" ht="15.75" customHeight="1">
      <c r="A813" s="1">
        <f>IFERROR(__xludf.DUMMYFUNCTION("""COMPUTED_VALUE"""),45048.66666666667)</f>
        <v>45048.66667</v>
      </c>
      <c r="B813" s="2">
        <f>IFERROR(__xludf.DUMMYFUNCTION("""COMPUTED_VALUE"""),1430.0)</f>
        <v>1430</v>
      </c>
      <c r="C813" s="2">
        <f>IFERROR(__xludf.DUMMYFUNCTION("""COMPUTED_VALUE"""),1435.0)</f>
        <v>1435</v>
      </c>
      <c r="D813" s="2">
        <f>IFERROR(__xludf.DUMMYFUNCTION("""COMPUTED_VALUE"""),1380.0)</f>
        <v>1380</v>
      </c>
      <c r="E813" s="2">
        <f>IFERROR(__xludf.DUMMYFUNCTION("""COMPUTED_VALUE"""),1390.0)</f>
        <v>1390</v>
      </c>
      <c r="F813" s="2">
        <f>IFERROR(__xludf.DUMMYFUNCTION("""COMPUTED_VALUE"""),8.91573E7)</f>
        <v>89157300</v>
      </c>
      <c r="G813" s="2">
        <f t="shared" si="1"/>
        <v>55</v>
      </c>
    </row>
    <row r="814" ht="15.75" customHeight="1">
      <c r="A814" s="1">
        <f>IFERROR(__xludf.DUMMYFUNCTION("""COMPUTED_VALUE"""),45049.66666666667)</f>
        <v>45049.66667</v>
      </c>
      <c r="B814" s="2">
        <f>IFERROR(__xludf.DUMMYFUNCTION("""COMPUTED_VALUE"""),1375.0)</f>
        <v>1375</v>
      </c>
      <c r="C814" s="2">
        <f>IFERROR(__xludf.DUMMYFUNCTION("""COMPUTED_VALUE"""),1400.0)</f>
        <v>1400</v>
      </c>
      <c r="D814" s="2">
        <f>IFERROR(__xludf.DUMMYFUNCTION("""COMPUTED_VALUE"""),1365.0)</f>
        <v>1365</v>
      </c>
      <c r="E814" s="2">
        <f>IFERROR(__xludf.DUMMYFUNCTION("""COMPUTED_VALUE"""),1395.0)</f>
        <v>1395</v>
      </c>
      <c r="F814" s="2">
        <f>IFERROR(__xludf.DUMMYFUNCTION("""COMPUTED_VALUE"""),3.71474E7)</f>
        <v>37147400</v>
      </c>
      <c r="G814" s="2">
        <f t="shared" si="1"/>
        <v>35</v>
      </c>
    </row>
    <row r="815" ht="15.75" customHeight="1">
      <c r="A815" s="1">
        <f>IFERROR(__xludf.DUMMYFUNCTION("""COMPUTED_VALUE"""),45050.66666666667)</f>
        <v>45050.66667</v>
      </c>
      <c r="B815" s="2">
        <f>IFERROR(__xludf.DUMMYFUNCTION("""COMPUTED_VALUE"""),1390.0)</f>
        <v>1390</v>
      </c>
      <c r="C815" s="2">
        <f>IFERROR(__xludf.DUMMYFUNCTION("""COMPUTED_VALUE"""),1395.0)</f>
        <v>1395</v>
      </c>
      <c r="D815" s="2">
        <f>IFERROR(__xludf.DUMMYFUNCTION("""COMPUTED_VALUE"""),1370.0)</f>
        <v>1370</v>
      </c>
      <c r="E815" s="2">
        <f>IFERROR(__xludf.DUMMYFUNCTION("""COMPUTED_VALUE"""),1380.0)</f>
        <v>1380</v>
      </c>
      <c r="F815" s="2">
        <f>IFERROR(__xludf.DUMMYFUNCTION("""COMPUTED_VALUE"""),3.88249E7)</f>
        <v>38824900</v>
      </c>
      <c r="G815" s="2">
        <f t="shared" si="1"/>
        <v>25</v>
      </c>
    </row>
    <row r="816" ht="15.75" customHeight="1">
      <c r="A816" s="1">
        <f>IFERROR(__xludf.DUMMYFUNCTION("""COMPUTED_VALUE"""),45051.66666666667)</f>
        <v>45051.66667</v>
      </c>
      <c r="B816" s="2">
        <f>IFERROR(__xludf.DUMMYFUNCTION("""COMPUTED_VALUE"""),1380.0)</f>
        <v>1380</v>
      </c>
      <c r="C816" s="2">
        <f>IFERROR(__xludf.DUMMYFUNCTION("""COMPUTED_VALUE"""),1380.0)</f>
        <v>1380</v>
      </c>
      <c r="D816" s="2">
        <f>IFERROR(__xludf.DUMMYFUNCTION("""COMPUTED_VALUE"""),1355.0)</f>
        <v>1355</v>
      </c>
      <c r="E816" s="2">
        <f>IFERROR(__xludf.DUMMYFUNCTION("""COMPUTED_VALUE"""),1370.0)</f>
        <v>1370</v>
      </c>
      <c r="F816" s="2">
        <f>IFERROR(__xludf.DUMMYFUNCTION("""COMPUTED_VALUE"""),4.62663E7)</f>
        <v>46266300</v>
      </c>
      <c r="G816" s="2">
        <f t="shared" si="1"/>
        <v>25</v>
      </c>
    </row>
    <row r="817" ht="15.75" customHeight="1">
      <c r="A817" s="1">
        <f>IFERROR(__xludf.DUMMYFUNCTION("""COMPUTED_VALUE"""),45054.66666666667)</f>
        <v>45054.66667</v>
      </c>
      <c r="B817" s="2">
        <f>IFERROR(__xludf.DUMMYFUNCTION("""COMPUTED_VALUE"""),1380.0)</f>
        <v>1380</v>
      </c>
      <c r="C817" s="2">
        <f>IFERROR(__xludf.DUMMYFUNCTION("""COMPUTED_VALUE"""),1400.0)</f>
        <v>1400</v>
      </c>
      <c r="D817" s="2">
        <f>IFERROR(__xludf.DUMMYFUNCTION("""COMPUTED_VALUE"""),1370.0)</f>
        <v>1370</v>
      </c>
      <c r="E817" s="2">
        <f>IFERROR(__xludf.DUMMYFUNCTION("""COMPUTED_VALUE"""),1390.0)</f>
        <v>1390</v>
      </c>
      <c r="F817" s="2">
        <f>IFERROR(__xludf.DUMMYFUNCTION("""COMPUTED_VALUE"""),3.66654E7)</f>
        <v>36665400</v>
      </c>
      <c r="G817" s="2">
        <f t="shared" si="1"/>
        <v>30</v>
      </c>
    </row>
    <row r="818" ht="15.75" customHeight="1">
      <c r="A818" s="1">
        <f>IFERROR(__xludf.DUMMYFUNCTION("""COMPUTED_VALUE"""),45055.66666666667)</f>
        <v>45055.66667</v>
      </c>
      <c r="B818" s="2">
        <f>IFERROR(__xludf.DUMMYFUNCTION("""COMPUTED_VALUE"""),1395.0)</f>
        <v>1395</v>
      </c>
      <c r="C818" s="2">
        <f>IFERROR(__xludf.DUMMYFUNCTION("""COMPUTED_VALUE"""),1430.0)</f>
        <v>1430</v>
      </c>
      <c r="D818" s="2">
        <f>IFERROR(__xludf.DUMMYFUNCTION("""COMPUTED_VALUE"""),1390.0)</f>
        <v>1390</v>
      </c>
      <c r="E818" s="2">
        <f>IFERROR(__xludf.DUMMYFUNCTION("""COMPUTED_VALUE"""),1415.0)</f>
        <v>1415</v>
      </c>
      <c r="F818" s="2">
        <f>IFERROR(__xludf.DUMMYFUNCTION("""COMPUTED_VALUE"""),5.05273E7)</f>
        <v>50527300</v>
      </c>
      <c r="G818" s="2">
        <f t="shared" si="1"/>
        <v>40</v>
      </c>
    </row>
    <row r="819" ht="15.75" customHeight="1">
      <c r="A819" s="1">
        <f>IFERROR(__xludf.DUMMYFUNCTION("""COMPUTED_VALUE"""),45056.66666666667)</f>
        <v>45056.66667</v>
      </c>
      <c r="B819" s="2">
        <f>IFERROR(__xludf.DUMMYFUNCTION("""COMPUTED_VALUE"""),1420.0)</f>
        <v>1420</v>
      </c>
      <c r="C819" s="2">
        <f>IFERROR(__xludf.DUMMYFUNCTION("""COMPUTED_VALUE"""),1440.0)</f>
        <v>1440</v>
      </c>
      <c r="D819" s="2">
        <f>IFERROR(__xludf.DUMMYFUNCTION("""COMPUTED_VALUE"""),1415.0)</f>
        <v>1415</v>
      </c>
      <c r="E819" s="2">
        <f>IFERROR(__xludf.DUMMYFUNCTION("""COMPUTED_VALUE"""),1425.0)</f>
        <v>1425</v>
      </c>
      <c r="F819" s="2">
        <f>IFERROR(__xludf.DUMMYFUNCTION("""COMPUTED_VALUE"""),3.54317E7)</f>
        <v>35431700</v>
      </c>
      <c r="G819" s="2">
        <f t="shared" si="1"/>
        <v>25</v>
      </c>
    </row>
    <row r="820" ht="15.75" customHeight="1">
      <c r="A820" s="1">
        <f>IFERROR(__xludf.DUMMYFUNCTION("""COMPUTED_VALUE"""),45057.66666666667)</f>
        <v>45057.66667</v>
      </c>
      <c r="B820" s="2">
        <f>IFERROR(__xludf.DUMMYFUNCTION("""COMPUTED_VALUE"""),1425.0)</f>
        <v>1425</v>
      </c>
      <c r="C820" s="2">
        <f>IFERROR(__xludf.DUMMYFUNCTION("""COMPUTED_VALUE"""),1425.0)</f>
        <v>1425</v>
      </c>
      <c r="D820" s="2">
        <f>IFERROR(__xludf.DUMMYFUNCTION("""COMPUTED_VALUE"""),1400.0)</f>
        <v>1400</v>
      </c>
      <c r="E820" s="2">
        <f>IFERROR(__xludf.DUMMYFUNCTION("""COMPUTED_VALUE"""),1420.0)</f>
        <v>1420</v>
      </c>
      <c r="F820" s="2">
        <f>IFERROR(__xludf.DUMMYFUNCTION("""COMPUTED_VALUE"""),3.03314E7)</f>
        <v>30331400</v>
      </c>
      <c r="G820" s="2">
        <f t="shared" si="1"/>
        <v>25</v>
      </c>
    </row>
    <row r="821" ht="15.75" customHeight="1">
      <c r="A821" s="1">
        <f>IFERROR(__xludf.DUMMYFUNCTION("""COMPUTED_VALUE"""),45058.66666666667)</f>
        <v>45058.66667</v>
      </c>
      <c r="B821" s="2">
        <f>IFERROR(__xludf.DUMMYFUNCTION("""COMPUTED_VALUE"""),1420.0)</f>
        <v>1420</v>
      </c>
      <c r="C821" s="2">
        <f>IFERROR(__xludf.DUMMYFUNCTION("""COMPUTED_VALUE"""),1425.0)</f>
        <v>1425</v>
      </c>
      <c r="D821" s="2">
        <f>IFERROR(__xludf.DUMMYFUNCTION("""COMPUTED_VALUE"""),1400.0)</f>
        <v>1400</v>
      </c>
      <c r="E821" s="2">
        <f>IFERROR(__xludf.DUMMYFUNCTION("""COMPUTED_VALUE"""),1420.0)</f>
        <v>1420</v>
      </c>
      <c r="F821" s="2">
        <f>IFERROR(__xludf.DUMMYFUNCTION("""COMPUTED_VALUE"""),2.10132E7)</f>
        <v>21013200</v>
      </c>
      <c r="G821" s="2">
        <f t="shared" si="1"/>
        <v>25</v>
      </c>
    </row>
    <row r="822" ht="15.75" customHeight="1">
      <c r="A822" s="1">
        <f>IFERROR(__xludf.DUMMYFUNCTION("""COMPUTED_VALUE"""),45061.66666666667)</f>
        <v>45061.66667</v>
      </c>
      <c r="B822" s="2">
        <f>IFERROR(__xludf.DUMMYFUNCTION("""COMPUTED_VALUE"""),1415.0)</f>
        <v>1415</v>
      </c>
      <c r="C822" s="2">
        <f>IFERROR(__xludf.DUMMYFUNCTION("""COMPUTED_VALUE"""),1420.0)</f>
        <v>1420</v>
      </c>
      <c r="D822" s="2">
        <f>IFERROR(__xludf.DUMMYFUNCTION("""COMPUTED_VALUE"""),1400.0)</f>
        <v>1400</v>
      </c>
      <c r="E822" s="2">
        <f>IFERROR(__xludf.DUMMYFUNCTION("""COMPUTED_VALUE"""),1410.0)</f>
        <v>1410</v>
      </c>
      <c r="F822" s="2">
        <f>IFERROR(__xludf.DUMMYFUNCTION("""COMPUTED_VALUE"""),2.1887E7)</f>
        <v>21887000</v>
      </c>
      <c r="G822" s="2">
        <f t="shared" si="1"/>
        <v>20</v>
      </c>
    </row>
    <row r="823" ht="15.75" customHeight="1">
      <c r="A823" s="1">
        <f>IFERROR(__xludf.DUMMYFUNCTION("""COMPUTED_VALUE"""),45062.66666666667)</f>
        <v>45062.66667</v>
      </c>
      <c r="B823" s="2">
        <f>IFERROR(__xludf.DUMMYFUNCTION("""COMPUTED_VALUE"""),1410.0)</f>
        <v>1410</v>
      </c>
      <c r="C823" s="2">
        <f>IFERROR(__xludf.DUMMYFUNCTION("""COMPUTED_VALUE"""),1415.0)</f>
        <v>1415</v>
      </c>
      <c r="D823" s="2">
        <f>IFERROR(__xludf.DUMMYFUNCTION("""COMPUTED_VALUE"""),1375.0)</f>
        <v>1375</v>
      </c>
      <c r="E823" s="2">
        <f>IFERROR(__xludf.DUMMYFUNCTION("""COMPUTED_VALUE"""),1380.0)</f>
        <v>1380</v>
      </c>
      <c r="F823" s="2">
        <f>IFERROR(__xludf.DUMMYFUNCTION("""COMPUTED_VALUE"""),3.24492E7)</f>
        <v>32449200</v>
      </c>
      <c r="G823" s="2">
        <f t="shared" si="1"/>
        <v>40</v>
      </c>
    </row>
    <row r="824" ht="15.75" customHeight="1">
      <c r="A824" s="1">
        <f>IFERROR(__xludf.DUMMYFUNCTION("""COMPUTED_VALUE"""),45063.66666666667)</f>
        <v>45063.66667</v>
      </c>
      <c r="B824" s="2">
        <f>IFERROR(__xludf.DUMMYFUNCTION("""COMPUTED_VALUE"""),1380.0)</f>
        <v>1380</v>
      </c>
      <c r="C824" s="2">
        <f>IFERROR(__xludf.DUMMYFUNCTION("""COMPUTED_VALUE"""),1405.0)</f>
        <v>1405</v>
      </c>
      <c r="D824" s="2">
        <f>IFERROR(__xludf.DUMMYFUNCTION("""COMPUTED_VALUE"""),1370.0)</f>
        <v>1370</v>
      </c>
      <c r="E824" s="2">
        <f>IFERROR(__xludf.DUMMYFUNCTION("""COMPUTED_VALUE"""),1375.0)</f>
        <v>1375</v>
      </c>
      <c r="F824" s="2">
        <f>IFERROR(__xludf.DUMMYFUNCTION("""COMPUTED_VALUE"""),3.33644E7)</f>
        <v>33364400</v>
      </c>
      <c r="G824" s="2">
        <f t="shared" si="1"/>
        <v>35</v>
      </c>
    </row>
    <row r="825" ht="15.75" customHeight="1">
      <c r="A825" s="1">
        <f>IFERROR(__xludf.DUMMYFUNCTION("""COMPUTED_VALUE"""),45065.66666666667)</f>
        <v>45065.66667</v>
      </c>
      <c r="B825" s="2">
        <f>IFERROR(__xludf.DUMMYFUNCTION("""COMPUTED_VALUE"""),1390.0)</f>
        <v>1390</v>
      </c>
      <c r="C825" s="2">
        <f>IFERROR(__xludf.DUMMYFUNCTION("""COMPUTED_VALUE"""),1390.0)</f>
        <v>1390</v>
      </c>
      <c r="D825" s="2">
        <f>IFERROR(__xludf.DUMMYFUNCTION("""COMPUTED_VALUE"""),1345.0)</f>
        <v>1345</v>
      </c>
      <c r="E825" s="2">
        <f>IFERROR(__xludf.DUMMYFUNCTION("""COMPUTED_VALUE"""),1345.0)</f>
        <v>1345</v>
      </c>
      <c r="F825" s="2">
        <f>IFERROR(__xludf.DUMMYFUNCTION("""COMPUTED_VALUE"""),9.716E7)</f>
        <v>97160000</v>
      </c>
      <c r="G825" s="2">
        <f t="shared" si="1"/>
        <v>45</v>
      </c>
    </row>
    <row r="826" ht="15.75" customHeight="1">
      <c r="A826" s="1">
        <f>IFERROR(__xludf.DUMMYFUNCTION("""COMPUTED_VALUE"""),45068.66666666667)</f>
        <v>45068.66667</v>
      </c>
      <c r="B826" s="2">
        <f>IFERROR(__xludf.DUMMYFUNCTION("""COMPUTED_VALUE"""),1345.0)</f>
        <v>1345</v>
      </c>
      <c r="C826" s="2">
        <f>IFERROR(__xludf.DUMMYFUNCTION("""COMPUTED_VALUE"""),1375.0)</f>
        <v>1375</v>
      </c>
      <c r="D826" s="2">
        <f>IFERROR(__xludf.DUMMYFUNCTION("""COMPUTED_VALUE"""),1345.0)</f>
        <v>1345</v>
      </c>
      <c r="E826" s="2">
        <f>IFERROR(__xludf.DUMMYFUNCTION("""COMPUTED_VALUE"""),1360.0)</f>
        <v>1360</v>
      </c>
      <c r="F826" s="2">
        <f>IFERROR(__xludf.DUMMYFUNCTION("""COMPUTED_VALUE"""),4.05403E7)</f>
        <v>40540300</v>
      </c>
      <c r="G826" s="2">
        <f t="shared" si="1"/>
        <v>30</v>
      </c>
    </row>
    <row r="827" ht="15.75" customHeight="1">
      <c r="A827" s="1">
        <f>IFERROR(__xludf.DUMMYFUNCTION("""COMPUTED_VALUE"""),45069.66666666667)</f>
        <v>45069.66667</v>
      </c>
      <c r="B827" s="2">
        <f>IFERROR(__xludf.DUMMYFUNCTION("""COMPUTED_VALUE"""),1365.0)</f>
        <v>1365</v>
      </c>
      <c r="C827" s="2">
        <f>IFERROR(__xludf.DUMMYFUNCTION("""COMPUTED_VALUE"""),1395.0)</f>
        <v>1395</v>
      </c>
      <c r="D827" s="2">
        <f>IFERROR(__xludf.DUMMYFUNCTION("""COMPUTED_VALUE"""),1360.0)</f>
        <v>1360</v>
      </c>
      <c r="E827" s="2">
        <f>IFERROR(__xludf.DUMMYFUNCTION("""COMPUTED_VALUE"""),1360.0)</f>
        <v>1360</v>
      </c>
      <c r="F827" s="2">
        <f>IFERROR(__xludf.DUMMYFUNCTION("""COMPUTED_VALUE"""),5.24955E7)</f>
        <v>52495500</v>
      </c>
      <c r="G827" s="2">
        <f t="shared" si="1"/>
        <v>35</v>
      </c>
    </row>
    <row r="828" ht="15.75" customHeight="1">
      <c r="A828" s="1">
        <f>IFERROR(__xludf.DUMMYFUNCTION("""COMPUTED_VALUE"""),45070.66666666667)</f>
        <v>45070.66667</v>
      </c>
      <c r="B828" s="2">
        <f>IFERROR(__xludf.DUMMYFUNCTION("""COMPUTED_VALUE"""),1360.0)</f>
        <v>1360</v>
      </c>
      <c r="C828" s="2">
        <f>IFERROR(__xludf.DUMMYFUNCTION("""COMPUTED_VALUE"""),1380.0)</f>
        <v>1380</v>
      </c>
      <c r="D828" s="2">
        <f>IFERROR(__xludf.DUMMYFUNCTION("""COMPUTED_VALUE"""),1360.0)</f>
        <v>1360</v>
      </c>
      <c r="E828" s="2">
        <f>IFERROR(__xludf.DUMMYFUNCTION("""COMPUTED_VALUE"""),1370.0)</f>
        <v>1370</v>
      </c>
      <c r="F828" s="2">
        <f>IFERROR(__xludf.DUMMYFUNCTION("""COMPUTED_VALUE"""),3.56049E7)</f>
        <v>35604900</v>
      </c>
      <c r="G828" s="2">
        <f t="shared" si="1"/>
        <v>20</v>
      </c>
    </row>
    <row r="829" ht="15.75" customHeight="1">
      <c r="A829" s="1">
        <f>IFERROR(__xludf.DUMMYFUNCTION("""COMPUTED_VALUE"""),45071.66666666667)</f>
        <v>45071.66667</v>
      </c>
      <c r="B829" s="2">
        <f>IFERROR(__xludf.DUMMYFUNCTION("""COMPUTED_VALUE"""),1370.0)</f>
        <v>1370</v>
      </c>
      <c r="C829" s="2">
        <f>IFERROR(__xludf.DUMMYFUNCTION("""COMPUTED_VALUE"""),1380.0)</f>
        <v>1380</v>
      </c>
      <c r="D829" s="2">
        <f>IFERROR(__xludf.DUMMYFUNCTION("""COMPUTED_VALUE"""),1355.0)</f>
        <v>1355</v>
      </c>
      <c r="E829" s="2">
        <f>IFERROR(__xludf.DUMMYFUNCTION("""COMPUTED_VALUE"""),1355.0)</f>
        <v>1355</v>
      </c>
      <c r="F829" s="2">
        <f>IFERROR(__xludf.DUMMYFUNCTION("""COMPUTED_VALUE"""),4.2975E7)</f>
        <v>42975000</v>
      </c>
      <c r="G829" s="2">
        <f t="shared" si="1"/>
        <v>25</v>
      </c>
    </row>
    <row r="830" ht="15.75" customHeight="1">
      <c r="A830" s="1">
        <f>IFERROR(__xludf.DUMMYFUNCTION("""COMPUTED_VALUE"""),45072.66666666667)</f>
        <v>45072.66667</v>
      </c>
      <c r="B830" s="2">
        <f>IFERROR(__xludf.DUMMYFUNCTION("""COMPUTED_VALUE"""),1355.0)</f>
        <v>1355</v>
      </c>
      <c r="C830" s="2">
        <f>IFERROR(__xludf.DUMMYFUNCTION("""COMPUTED_VALUE"""),1370.0)</f>
        <v>1370</v>
      </c>
      <c r="D830" s="2">
        <f>IFERROR(__xludf.DUMMYFUNCTION("""COMPUTED_VALUE"""),1330.0)</f>
        <v>1330</v>
      </c>
      <c r="E830" s="2">
        <f>IFERROR(__xludf.DUMMYFUNCTION("""COMPUTED_VALUE"""),1345.0)</f>
        <v>1345</v>
      </c>
      <c r="F830" s="2">
        <f>IFERROR(__xludf.DUMMYFUNCTION("""COMPUTED_VALUE"""),8.39564E7)</f>
        <v>83956400</v>
      </c>
      <c r="G830" s="2">
        <f t="shared" si="1"/>
        <v>40</v>
      </c>
    </row>
    <row r="831" ht="15.75" customHeight="1">
      <c r="A831" s="1">
        <f>IFERROR(__xludf.DUMMYFUNCTION("""COMPUTED_VALUE"""),45075.66666666667)</f>
        <v>45075.66667</v>
      </c>
      <c r="B831" s="2">
        <f>IFERROR(__xludf.DUMMYFUNCTION("""COMPUTED_VALUE"""),1360.0)</f>
        <v>1360</v>
      </c>
      <c r="C831" s="2">
        <f>IFERROR(__xludf.DUMMYFUNCTION("""COMPUTED_VALUE"""),1415.0)</f>
        <v>1415</v>
      </c>
      <c r="D831" s="2">
        <f>IFERROR(__xludf.DUMMYFUNCTION("""COMPUTED_VALUE"""),1330.0)</f>
        <v>1330</v>
      </c>
      <c r="E831" s="2">
        <f>IFERROR(__xludf.DUMMYFUNCTION("""COMPUTED_VALUE"""),1410.0)</f>
        <v>1410</v>
      </c>
      <c r="F831" s="2">
        <f>IFERROR(__xludf.DUMMYFUNCTION("""COMPUTED_VALUE"""),7.43119E7)</f>
        <v>74311900</v>
      </c>
      <c r="G831" s="2">
        <f t="shared" si="1"/>
        <v>85</v>
      </c>
    </row>
    <row r="832" ht="15.75" customHeight="1">
      <c r="A832" s="1">
        <f>IFERROR(__xludf.DUMMYFUNCTION("""COMPUTED_VALUE"""),45076.66666666667)</f>
        <v>45076.66667</v>
      </c>
      <c r="B832" s="2">
        <f>IFERROR(__xludf.DUMMYFUNCTION("""COMPUTED_VALUE"""),1410.0)</f>
        <v>1410</v>
      </c>
      <c r="C832" s="2">
        <f>IFERROR(__xludf.DUMMYFUNCTION("""COMPUTED_VALUE"""),1465.0)</f>
        <v>1465</v>
      </c>
      <c r="D832" s="2">
        <f>IFERROR(__xludf.DUMMYFUNCTION("""COMPUTED_VALUE"""),1355.0)</f>
        <v>1355</v>
      </c>
      <c r="E832" s="2">
        <f>IFERROR(__xludf.DUMMYFUNCTION("""COMPUTED_VALUE"""),1450.0)</f>
        <v>1450</v>
      </c>
      <c r="F832" s="2">
        <f>IFERROR(__xludf.DUMMYFUNCTION("""COMPUTED_VALUE"""),2.210075E8)</f>
        <v>221007500</v>
      </c>
      <c r="G832" s="2">
        <f t="shared" si="1"/>
        <v>110</v>
      </c>
    </row>
    <row r="833" ht="15.75" customHeight="1">
      <c r="A833" s="1">
        <f>IFERROR(__xludf.DUMMYFUNCTION("""COMPUTED_VALUE"""),45077.66666666667)</f>
        <v>45077.66667</v>
      </c>
      <c r="B833" s="2">
        <f>IFERROR(__xludf.DUMMYFUNCTION("""COMPUTED_VALUE"""),1450.0)</f>
        <v>1450</v>
      </c>
      <c r="C833" s="2">
        <f>IFERROR(__xludf.DUMMYFUNCTION("""COMPUTED_VALUE"""),1475.0)</f>
        <v>1475</v>
      </c>
      <c r="D833" s="2">
        <f>IFERROR(__xludf.DUMMYFUNCTION("""COMPUTED_VALUE"""),1430.0)</f>
        <v>1430</v>
      </c>
      <c r="E833" s="2">
        <f>IFERROR(__xludf.DUMMYFUNCTION("""COMPUTED_VALUE"""),1430.0)</f>
        <v>1430</v>
      </c>
      <c r="F833" s="2">
        <f>IFERROR(__xludf.DUMMYFUNCTION("""COMPUTED_VALUE"""),1.468506E8)</f>
        <v>146850600</v>
      </c>
      <c r="G833" s="2">
        <f t="shared" si="1"/>
        <v>45</v>
      </c>
    </row>
    <row r="834" ht="15.75" customHeight="1">
      <c r="A834" s="1">
        <f>IFERROR(__xludf.DUMMYFUNCTION("""COMPUTED_VALUE"""),45082.66666666667)</f>
        <v>45082.66667</v>
      </c>
      <c r="B834" s="2">
        <f>IFERROR(__xludf.DUMMYFUNCTION("""COMPUTED_VALUE"""),1450.0)</f>
        <v>1450</v>
      </c>
      <c r="C834" s="2">
        <f>IFERROR(__xludf.DUMMYFUNCTION("""COMPUTED_VALUE"""),1475.0)</f>
        <v>1475</v>
      </c>
      <c r="D834" s="2">
        <f>IFERROR(__xludf.DUMMYFUNCTION("""COMPUTED_VALUE"""),1435.0)</f>
        <v>1435</v>
      </c>
      <c r="E834" s="2">
        <f>IFERROR(__xludf.DUMMYFUNCTION("""COMPUTED_VALUE"""),1440.0)</f>
        <v>1440</v>
      </c>
      <c r="F834" s="2">
        <f>IFERROR(__xludf.DUMMYFUNCTION("""COMPUTED_VALUE"""),9.59127E7)</f>
        <v>95912700</v>
      </c>
      <c r="G834" s="2">
        <f t="shared" si="1"/>
        <v>45</v>
      </c>
    </row>
    <row r="835" ht="15.75" customHeight="1">
      <c r="A835" s="1">
        <f>IFERROR(__xludf.DUMMYFUNCTION("""COMPUTED_VALUE"""),45083.66666666667)</f>
        <v>45083.66667</v>
      </c>
      <c r="B835" s="2">
        <f>IFERROR(__xludf.DUMMYFUNCTION("""COMPUTED_VALUE"""),1445.0)</f>
        <v>1445</v>
      </c>
      <c r="C835" s="2">
        <f>IFERROR(__xludf.DUMMYFUNCTION("""COMPUTED_VALUE"""),1455.0)</f>
        <v>1455</v>
      </c>
      <c r="D835" s="2">
        <f>IFERROR(__xludf.DUMMYFUNCTION("""COMPUTED_VALUE"""),1420.0)</f>
        <v>1420</v>
      </c>
      <c r="E835" s="2">
        <f>IFERROR(__xludf.DUMMYFUNCTION("""COMPUTED_VALUE"""),1435.0)</f>
        <v>1435</v>
      </c>
      <c r="F835" s="2">
        <f>IFERROR(__xludf.DUMMYFUNCTION("""COMPUTED_VALUE"""),9.23826E7)</f>
        <v>92382600</v>
      </c>
      <c r="G835" s="2">
        <f t="shared" si="1"/>
        <v>35</v>
      </c>
    </row>
    <row r="836" ht="15.75" customHeight="1">
      <c r="A836" s="1">
        <f>IFERROR(__xludf.DUMMYFUNCTION("""COMPUTED_VALUE"""),45084.66666666667)</f>
        <v>45084.66667</v>
      </c>
      <c r="B836" s="2">
        <f>IFERROR(__xludf.DUMMYFUNCTION("""COMPUTED_VALUE"""),1435.0)</f>
        <v>1435</v>
      </c>
      <c r="C836" s="2">
        <f>IFERROR(__xludf.DUMMYFUNCTION("""COMPUTED_VALUE"""),1445.0)</f>
        <v>1445</v>
      </c>
      <c r="D836" s="2">
        <f>IFERROR(__xludf.DUMMYFUNCTION("""COMPUTED_VALUE"""),1420.0)</f>
        <v>1420</v>
      </c>
      <c r="E836" s="2">
        <f>IFERROR(__xludf.DUMMYFUNCTION("""COMPUTED_VALUE"""),1425.0)</f>
        <v>1425</v>
      </c>
      <c r="F836" s="2">
        <f>IFERROR(__xludf.DUMMYFUNCTION("""COMPUTED_VALUE"""),7.57074E7)</f>
        <v>75707400</v>
      </c>
      <c r="G836" s="2">
        <f t="shared" si="1"/>
        <v>25</v>
      </c>
    </row>
    <row r="837" ht="15.75" customHeight="1">
      <c r="A837" s="1">
        <f>IFERROR(__xludf.DUMMYFUNCTION("""COMPUTED_VALUE"""),45085.66666666667)</f>
        <v>45085.66667</v>
      </c>
      <c r="B837" s="2">
        <f>IFERROR(__xludf.DUMMYFUNCTION("""COMPUTED_VALUE"""),1425.0)</f>
        <v>1425</v>
      </c>
      <c r="C837" s="2">
        <f>IFERROR(__xludf.DUMMYFUNCTION("""COMPUTED_VALUE"""),1440.0)</f>
        <v>1440</v>
      </c>
      <c r="D837" s="2">
        <f>IFERROR(__xludf.DUMMYFUNCTION("""COMPUTED_VALUE"""),1420.0)</f>
        <v>1420</v>
      </c>
      <c r="E837" s="2">
        <f>IFERROR(__xludf.DUMMYFUNCTION("""COMPUTED_VALUE"""),1430.0)</f>
        <v>1430</v>
      </c>
      <c r="F837" s="2">
        <f>IFERROR(__xludf.DUMMYFUNCTION("""COMPUTED_VALUE"""),6.82263E7)</f>
        <v>68226300</v>
      </c>
      <c r="G837" s="2">
        <f t="shared" si="1"/>
        <v>20</v>
      </c>
    </row>
    <row r="838" ht="15.75" customHeight="1">
      <c r="A838" s="1">
        <f>IFERROR(__xludf.DUMMYFUNCTION("""COMPUTED_VALUE"""),45086.66666666667)</f>
        <v>45086.66667</v>
      </c>
      <c r="B838" s="2">
        <f>IFERROR(__xludf.DUMMYFUNCTION("""COMPUTED_VALUE"""),1430.0)</f>
        <v>1430</v>
      </c>
      <c r="C838" s="2">
        <f>IFERROR(__xludf.DUMMYFUNCTION("""COMPUTED_VALUE"""),1440.0)</f>
        <v>1440</v>
      </c>
      <c r="D838" s="2">
        <f>IFERROR(__xludf.DUMMYFUNCTION("""COMPUTED_VALUE"""),1420.0)</f>
        <v>1420</v>
      </c>
      <c r="E838" s="2">
        <f>IFERROR(__xludf.DUMMYFUNCTION("""COMPUTED_VALUE"""),1430.0)</f>
        <v>1430</v>
      </c>
      <c r="F838" s="2">
        <f>IFERROR(__xludf.DUMMYFUNCTION("""COMPUTED_VALUE"""),1.222056E8)</f>
        <v>122205600</v>
      </c>
      <c r="G838" s="2">
        <f t="shared" si="1"/>
        <v>20</v>
      </c>
    </row>
    <row r="839" ht="15.75" customHeight="1">
      <c r="A839" s="1">
        <f>IFERROR(__xludf.DUMMYFUNCTION("""COMPUTED_VALUE"""),45089.66666666667)</f>
        <v>45089.66667</v>
      </c>
      <c r="B839" s="2">
        <f>IFERROR(__xludf.DUMMYFUNCTION("""COMPUTED_VALUE"""),1305.0)</f>
        <v>1305</v>
      </c>
      <c r="C839" s="2">
        <f>IFERROR(__xludf.DUMMYFUNCTION("""COMPUTED_VALUE"""),1325.0)</f>
        <v>1325</v>
      </c>
      <c r="D839" s="2">
        <f>IFERROR(__xludf.DUMMYFUNCTION("""COMPUTED_VALUE"""),1295.0)</f>
        <v>1295</v>
      </c>
      <c r="E839" s="2">
        <f>IFERROR(__xludf.DUMMYFUNCTION("""COMPUTED_VALUE"""),1315.0)</f>
        <v>1315</v>
      </c>
      <c r="F839" s="2">
        <f>IFERROR(__xludf.DUMMYFUNCTION("""COMPUTED_VALUE"""),1.124546E8)</f>
        <v>112454600</v>
      </c>
      <c r="G839" s="2">
        <f t="shared" si="1"/>
        <v>135</v>
      </c>
    </row>
    <row r="840" ht="15.75" customHeight="1">
      <c r="A840" s="1">
        <f>IFERROR(__xludf.DUMMYFUNCTION("""COMPUTED_VALUE"""),45090.66666666667)</f>
        <v>45090.66667</v>
      </c>
      <c r="B840" s="2">
        <f>IFERROR(__xludf.DUMMYFUNCTION("""COMPUTED_VALUE"""),1315.0)</f>
        <v>1315</v>
      </c>
      <c r="C840" s="2">
        <f>IFERROR(__xludf.DUMMYFUNCTION("""COMPUTED_VALUE"""),1320.0)</f>
        <v>1320</v>
      </c>
      <c r="D840" s="2">
        <f>IFERROR(__xludf.DUMMYFUNCTION("""COMPUTED_VALUE"""),1300.0)</f>
        <v>1300</v>
      </c>
      <c r="E840" s="2">
        <f>IFERROR(__xludf.DUMMYFUNCTION("""COMPUTED_VALUE"""),1305.0)</f>
        <v>1305</v>
      </c>
      <c r="F840" s="2">
        <f>IFERROR(__xludf.DUMMYFUNCTION("""COMPUTED_VALUE"""),6.56448E7)</f>
        <v>65644800</v>
      </c>
      <c r="G840" s="2">
        <f t="shared" si="1"/>
        <v>20</v>
      </c>
    </row>
    <row r="841" ht="15.75" customHeight="1">
      <c r="A841" s="1">
        <f>IFERROR(__xludf.DUMMYFUNCTION("""COMPUTED_VALUE"""),45091.66666666667)</f>
        <v>45091.66667</v>
      </c>
      <c r="B841" s="2">
        <f>IFERROR(__xludf.DUMMYFUNCTION("""COMPUTED_VALUE"""),1305.0)</f>
        <v>1305</v>
      </c>
      <c r="C841" s="2">
        <f>IFERROR(__xludf.DUMMYFUNCTION("""COMPUTED_VALUE"""),1315.0)</f>
        <v>1315</v>
      </c>
      <c r="D841" s="2">
        <f>IFERROR(__xludf.DUMMYFUNCTION("""COMPUTED_VALUE"""),1300.0)</f>
        <v>1300</v>
      </c>
      <c r="E841" s="2">
        <f>IFERROR(__xludf.DUMMYFUNCTION("""COMPUTED_VALUE"""),1305.0)</f>
        <v>1305</v>
      </c>
      <c r="F841" s="2">
        <f>IFERROR(__xludf.DUMMYFUNCTION("""COMPUTED_VALUE"""),3.78141E7)</f>
        <v>37814100</v>
      </c>
      <c r="G841" s="2">
        <f t="shared" si="1"/>
        <v>15</v>
      </c>
    </row>
    <row r="842" ht="15.75" customHeight="1">
      <c r="A842" s="1">
        <f>IFERROR(__xludf.DUMMYFUNCTION("""COMPUTED_VALUE"""),45092.66666666667)</f>
        <v>45092.66667</v>
      </c>
      <c r="B842" s="2">
        <f>IFERROR(__xludf.DUMMYFUNCTION("""COMPUTED_VALUE"""),1305.0)</f>
        <v>1305</v>
      </c>
      <c r="C842" s="2">
        <f>IFERROR(__xludf.DUMMYFUNCTION("""COMPUTED_VALUE"""),1315.0)</f>
        <v>1315</v>
      </c>
      <c r="D842" s="2">
        <f>IFERROR(__xludf.DUMMYFUNCTION("""COMPUTED_VALUE"""),1300.0)</f>
        <v>1300</v>
      </c>
      <c r="E842" s="2">
        <f>IFERROR(__xludf.DUMMYFUNCTION("""COMPUTED_VALUE"""),1315.0)</f>
        <v>1315</v>
      </c>
      <c r="F842" s="2">
        <f>IFERROR(__xludf.DUMMYFUNCTION("""COMPUTED_VALUE"""),4.63735E7)</f>
        <v>46373500</v>
      </c>
      <c r="G842" s="2">
        <f t="shared" si="1"/>
        <v>15</v>
      </c>
    </row>
    <row r="843" ht="15.75" customHeight="1">
      <c r="A843" s="1">
        <f>IFERROR(__xludf.DUMMYFUNCTION("""COMPUTED_VALUE"""),45093.66666666667)</f>
        <v>45093.66667</v>
      </c>
      <c r="B843" s="2">
        <f>IFERROR(__xludf.DUMMYFUNCTION("""COMPUTED_VALUE"""),1315.0)</f>
        <v>1315</v>
      </c>
      <c r="C843" s="2">
        <f>IFERROR(__xludf.DUMMYFUNCTION("""COMPUTED_VALUE"""),1340.0)</f>
        <v>1340</v>
      </c>
      <c r="D843" s="2">
        <f>IFERROR(__xludf.DUMMYFUNCTION("""COMPUTED_VALUE"""),1305.0)</f>
        <v>1305</v>
      </c>
      <c r="E843" s="2">
        <f>IFERROR(__xludf.DUMMYFUNCTION("""COMPUTED_VALUE"""),1310.0)</f>
        <v>1310</v>
      </c>
      <c r="F843" s="2">
        <f>IFERROR(__xludf.DUMMYFUNCTION("""COMPUTED_VALUE"""),7.83548E7)</f>
        <v>78354800</v>
      </c>
      <c r="G843" s="2">
        <f t="shared" si="1"/>
        <v>35</v>
      </c>
    </row>
    <row r="844" ht="15.75" customHeight="1">
      <c r="A844" s="1">
        <f>IFERROR(__xludf.DUMMYFUNCTION("""COMPUTED_VALUE"""),45096.66666666667)</f>
        <v>45096.66667</v>
      </c>
      <c r="B844" s="2">
        <f>IFERROR(__xludf.DUMMYFUNCTION("""COMPUTED_VALUE"""),1315.0)</f>
        <v>1315</v>
      </c>
      <c r="C844" s="2">
        <f>IFERROR(__xludf.DUMMYFUNCTION("""COMPUTED_VALUE"""),1320.0)</f>
        <v>1320</v>
      </c>
      <c r="D844" s="2">
        <f>IFERROR(__xludf.DUMMYFUNCTION("""COMPUTED_VALUE"""),1310.0)</f>
        <v>1310</v>
      </c>
      <c r="E844" s="2">
        <f>IFERROR(__xludf.DUMMYFUNCTION("""COMPUTED_VALUE"""),1315.0)</f>
        <v>1315</v>
      </c>
      <c r="F844" s="2">
        <f>IFERROR(__xludf.DUMMYFUNCTION("""COMPUTED_VALUE"""),2.143E7)</f>
        <v>21430000</v>
      </c>
      <c r="G844" s="2">
        <f t="shared" si="1"/>
        <v>10</v>
      </c>
    </row>
    <row r="845" ht="15.75" customHeight="1">
      <c r="A845" s="1">
        <f>IFERROR(__xludf.DUMMYFUNCTION("""COMPUTED_VALUE"""),45097.66666666667)</f>
        <v>45097.66667</v>
      </c>
      <c r="B845" s="2">
        <f>IFERROR(__xludf.DUMMYFUNCTION("""COMPUTED_VALUE"""),1320.0)</f>
        <v>1320</v>
      </c>
      <c r="C845" s="2">
        <f>IFERROR(__xludf.DUMMYFUNCTION("""COMPUTED_VALUE"""),1320.0)</f>
        <v>1320</v>
      </c>
      <c r="D845" s="2">
        <f>IFERROR(__xludf.DUMMYFUNCTION("""COMPUTED_VALUE"""),1305.0)</f>
        <v>1305</v>
      </c>
      <c r="E845" s="2">
        <f>IFERROR(__xludf.DUMMYFUNCTION("""COMPUTED_VALUE"""),1315.0)</f>
        <v>1315</v>
      </c>
      <c r="F845" s="2">
        <f>IFERROR(__xludf.DUMMYFUNCTION("""COMPUTED_VALUE"""),2.90621E7)</f>
        <v>29062100</v>
      </c>
      <c r="G845" s="2">
        <f t="shared" si="1"/>
        <v>15</v>
      </c>
    </row>
    <row r="846" ht="15.75" customHeight="1">
      <c r="A846" s="1">
        <f>IFERROR(__xludf.DUMMYFUNCTION("""COMPUTED_VALUE"""),45098.66666666667)</f>
        <v>45098.66667</v>
      </c>
      <c r="B846" s="2">
        <f>IFERROR(__xludf.DUMMYFUNCTION("""COMPUTED_VALUE"""),1310.0)</f>
        <v>1310</v>
      </c>
      <c r="C846" s="2">
        <f>IFERROR(__xludf.DUMMYFUNCTION("""COMPUTED_VALUE"""),1315.0)</f>
        <v>1315</v>
      </c>
      <c r="D846" s="2">
        <f>IFERROR(__xludf.DUMMYFUNCTION("""COMPUTED_VALUE"""),1300.0)</f>
        <v>1300</v>
      </c>
      <c r="E846" s="2">
        <f>IFERROR(__xludf.DUMMYFUNCTION("""COMPUTED_VALUE"""),1305.0)</f>
        <v>1305</v>
      </c>
      <c r="F846" s="2">
        <f>IFERROR(__xludf.DUMMYFUNCTION("""COMPUTED_VALUE"""),5.08123E7)</f>
        <v>50812300</v>
      </c>
      <c r="G846" s="2">
        <f t="shared" si="1"/>
        <v>15</v>
      </c>
    </row>
    <row r="847" ht="15.75" customHeight="1">
      <c r="A847" s="1">
        <f>IFERROR(__xludf.DUMMYFUNCTION("""COMPUTED_VALUE"""),45099.66666666667)</f>
        <v>45099.66667</v>
      </c>
      <c r="B847" s="2">
        <f>IFERROR(__xludf.DUMMYFUNCTION("""COMPUTED_VALUE"""),1310.0)</f>
        <v>1310</v>
      </c>
      <c r="C847" s="2">
        <f>IFERROR(__xludf.DUMMYFUNCTION("""COMPUTED_VALUE"""),1325.0)</f>
        <v>1325</v>
      </c>
      <c r="D847" s="2">
        <f>IFERROR(__xludf.DUMMYFUNCTION("""COMPUTED_VALUE"""),1305.0)</f>
        <v>1305</v>
      </c>
      <c r="E847" s="2">
        <f>IFERROR(__xludf.DUMMYFUNCTION("""COMPUTED_VALUE"""),1310.0)</f>
        <v>1310</v>
      </c>
      <c r="F847" s="2">
        <f>IFERROR(__xludf.DUMMYFUNCTION("""COMPUTED_VALUE"""),3.96064E7)</f>
        <v>39606400</v>
      </c>
      <c r="G847" s="2">
        <f t="shared" si="1"/>
        <v>20</v>
      </c>
    </row>
    <row r="848" ht="15.75" customHeight="1">
      <c r="A848" s="1">
        <f>IFERROR(__xludf.DUMMYFUNCTION("""COMPUTED_VALUE"""),45100.66666666667)</f>
        <v>45100.66667</v>
      </c>
      <c r="B848" s="2">
        <f>IFERROR(__xludf.DUMMYFUNCTION("""COMPUTED_VALUE"""),1310.0)</f>
        <v>1310</v>
      </c>
      <c r="C848" s="2">
        <f>IFERROR(__xludf.DUMMYFUNCTION("""COMPUTED_VALUE"""),1315.0)</f>
        <v>1315</v>
      </c>
      <c r="D848" s="2">
        <f>IFERROR(__xludf.DUMMYFUNCTION("""COMPUTED_VALUE"""),1295.0)</f>
        <v>1295</v>
      </c>
      <c r="E848" s="2">
        <f>IFERROR(__xludf.DUMMYFUNCTION("""COMPUTED_VALUE"""),1305.0)</f>
        <v>1305</v>
      </c>
      <c r="F848" s="2">
        <f>IFERROR(__xludf.DUMMYFUNCTION("""COMPUTED_VALUE"""),5.49237E7)</f>
        <v>54923700</v>
      </c>
      <c r="G848" s="2">
        <f t="shared" si="1"/>
        <v>20</v>
      </c>
    </row>
    <row r="849" ht="15.75" customHeight="1">
      <c r="A849" s="1">
        <f>IFERROR(__xludf.DUMMYFUNCTION("""COMPUTED_VALUE"""),45103.66666666667)</f>
        <v>45103.66667</v>
      </c>
      <c r="B849" s="2">
        <f>IFERROR(__xludf.DUMMYFUNCTION("""COMPUTED_VALUE"""),1310.0)</f>
        <v>1310</v>
      </c>
      <c r="C849" s="2">
        <f>IFERROR(__xludf.DUMMYFUNCTION("""COMPUTED_VALUE"""),1320.0)</f>
        <v>1320</v>
      </c>
      <c r="D849" s="2">
        <f>IFERROR(__xludf.DUMMYFUNCTION("""COMPUTED_VALUE"""),1305.0)</f>
        <v>1305</v>
      </c>
      <c r="E849" s="2">
        <f>IFERROR(__xludf.DUMMYFUNCTION("""COMPUTED_VALUE"""),1305.0)</f>
        <v>1305</v>
      </c>
      <c r="F849" s="2">
        <f>IFERROR(__xludf.DUMMYFUNCTION("""COMPUTED_VALUE"""),4.39706E7)</f>
        <v>43970600</v>
      </c>
      <c r="G849" s="2">
        <f t="shared" si="1"/>
        <v>15</v>
      </c>
    </row>
    <row r="850" ht="15.75" customHeight="1">
      <c r="A850" s="1">
        <f>IFERROR(__xludf.DUMMYFUNCTION("""COMPUTED_VALUE"""),45104.66666666667)</f>
        <v>45104.66667</v>
      </c>
      <c r="B850" s="2">
        <f>IFERROR(__xludf.DUMMYFUNCTION("""COMPUTED_VALUE"""),1305.0)</f>
        <v>1305</v>
      </c>
      <c r="C850" s="2">
        <f>IFERROR(__xludf.DUMMYFUNCTION("""COMPUTED_VALUE"""),1315.0)</f>
        <v>1315</v>
      </c>
      <c r="D850" s="2">
        <f>IFERROR(__xludf.DUMMYFUNCTION("""COMPUTED_VALUE"""),1305.0)</f>
        <v>1305</v>
      </c>
      <c r="E850" s="2">
        <f>IFERROR(__xludf.DUMMYFUNCTION("""COMPUTED_VALUE"""),1305.0)</f>
        <v>1305</v>
      </c>
      <c r="F850" s="2">
        <f>IFERROR(__xludf.DUMMYFUNCTION("""COMPUTED_VALUE"""),3.15251E7)</f>
        <v>31525100</v>
      </c>
      <c r="G850" s="2">
        <f t="shared" si="1"/>
        <v>10</v>
      </c>
    </row>
    <row r="851" ht="15.75" customHeight="1">
      <c r="A851" s="1">
        <f>IFERROR(__xludf.DUMMYFUNCTION("""COMPUTED_VALUE"""),45110.66666666667)</f>
        <v>45110.66667</v>
      </c>
      <c r="B851" s="2">
        <f>IFERROR(__xludf.DUMMYFUNCTION("""COMPUTED_VALUE"""),1310.0)</f>
        <v>1310</v>
      </c>
      <c r="C851" s="2">
        <f>IFERROR(__xludf.DUMMYFUNCTION("""COMPUTED_VALUE"""),1320.0)</f>
        <v>1320</v>
      </c>
      <c r="D851" s="2">
        <f>IFERROR(__xludf.DUMMYFUNCTION("""COMPUTED_VALUE"""),1310.0)</f>
        <v>1310</v>
      </c>
      <c r="E851" s="2">
        <f>IFERROR(__xludf.DUMMYFUNCTION("""COMPUTED_VALUE"""),1310.0)</f>
        <v>1310</v>
      </c>
      <c r="F851" s="2">
        <f>IFERROR(__xludf.DUMMYFUNCTION("""COMPUTED_VALUE"""),2.33573E7)</f>
        <v>23357300</v>
      </c>
      <c r="G851" s="2">
        <f t="shared" si="1"/>
        <v>15</v>
      </c>
    </row>
    <row r="852" ht="15.75" customHeight="1">
      <c r="A852" s="1">
        <f>IFERROR(__xludf.DUMMYFUNCTION("""COMPUTED_VALUE"""),45111.66666666667)</f>
        <v>45111.66667</v>
      </c>
      <c r="B852" s="2">
        <f>IFERROR(__xludf.DUMMYFUNCTION("""COMPUTED_VALUE"""),1315.0)</f>
        <v>1315</v>
      </c>
      <c r="C852" s="2">
        <f>IFERROR(__xludf.DUMMYFUNCTION("""COMPUTED_VALUE"""),1350.0)</f>
        <v>1350</v>
      </c>
      <c r="D852" s="2">
        <f>IFERROR(__xludf.DUMMYFUNCTION("""COMPUTED_VALUE"""),1310.0)</f>
        <v>1310</v>
      </c>
      <c r="E852" s="2">
        <f>IFERROR(__xludf.DUMMYFUNCTION("""COMPUTED_VALUE"""),1340.0)</f>
        <v>1340</v>
      </c>
      <c r="F852" s="2">
        <f>IFERROR(__xludf.DUMMYFUNCTION("""COMPUTED_VALUE"""),8.45551E7)</f>
        <v>84555100</v>
      </c>
      <c r="G852" s="2">
        <f t="shared" si="1"/>
        <v>40</v>
      </c>
    </row>
    <row r="853" ht="15.75" customHeight="1">
      <c r="A853" s="1">
        <f>IFERROR(__xludf.DUMMYFUNCTION("""COMPUTED_VALUE"""),45112.66666666667)</f>
        <v>45112.66667</v>
      </c>
      <c r="B853" s="2">
        <f>IFERROR(__xludf.DUMMYFUNCTION("""COMPUTED_VALUE"""),1340.0)</f>
        <v>1340</v>
      </c>
      <c r="C853" s="2">
        <f>IFERROR(__xludf.DUMMYFUNCTION("""COMPUTED_VALUE"""),1360.0)</f>
        <v>1360</v>
      </c>
      <c r="D853" s="2">
        <f>IFERROR(__xludf.DUMMYFUNCTION("""COMPUTED_VALUE"""),1340.0)</f>
        <v>1340</v>
      </c>
      <c r="E853" s="2">
        <f>IFERROR(__xludf.DUMMYFUNCTION("""COMPUTED_VALUE"""),1345.0)</f>
        <v>1345</v>
      </c>
      <c r="F853" s="2">
        <f>IFERROR(__xludf.DUMMYFUNCTION("""COMPUTED_VALUE"""),5.3945E7)</f>
        <v>53945000</v>
      </c>
      <c r="G853" s="2">
        <f t="shared" si="1"/>
        <v>20</v>
      </c>
    </row>
    <row r="854" ht="15.75" customHeight="1">
      <c r="A854" s="1">
        <f>IFERROR(__xludf.DUMMYFUNCTION("""COMPUTED_VALUE"""),45113.66666666667)</f>
        <v>45113.66667</v>
      </c>
      <c r="B854" s="2">
        <f>IFERROR(__xludf.DUMMYFUNCTION("""COMPUTED_VALUE"""),1345.0)</f>
        <v>1345</v>
      </c>
      <c r="C854" s="2">
        <f>IFERROR(__xludf.DUMMYFUNCTION("""COMPUTED_VALUE"""),1370.0)</f>
        <v>1370</v>
      </c>
      <c r="D854" s="2">
        <f>IFERROR(__xludf.DUMMYFUNCTION("""COMPUTED_VALUE"""),1345.0)</f>
        <v>1345</v>
      </c>
      <c r="E854" s="2">
        <f>IFERROR(__xludf.DUMMYFUNCTION("""COMPUTED_VALUE"""),1360.0)</f>
        <v>1360</v>
      </c>
      <c r="F854" s="2">
        <f>IFERROR(__xludf.DUMMYFUNCTION("""COMPUTED_VALUE"""),4.94176E7)</f>
        <v>49417600</v>
      </c>
      <c r="G854" s="2">
        <f t="shared" si="1"/>
        <v>25</v>
      </c>
    </row>
    <row r="855" ht="15.75" customHeight="1">
      <c r="A855" s="1">
        <f>IFERROR(__xludf.DUMMYFUNCTION("""COMPUTED_VALUE"""),45114.66666666667)</f>
        <v>45114.66667</v>
      </c>
      <c r="B855" s="2">
        <f>IFERROR(__xludf.DUMMYFUNCTION("""COMPUTED_VALUE"""),1360.0)</f>
        <v>1360</v>
      </c>
      <c r="C855" s="2">
        <f>IFERROR(__xludf.DUMMYFUNCTION("""COMPUTED_VALUE"""),1360.0)</f>
        <v>1360</v>
      </c>
      <c r="D855" s="2">
        <f>IFERROR(__xludf.DUMMYFUNCTION("""COMPUTED_VALUE"""),1340.0)</f>
        <v>1340</v>
      </c>
      <c r="E855" s="2">
        <f>IFERROR(__xludf.DUMMYFUNCTION("""COMPUTED_VALUE"""),1350.0)</f>
        <v>1350</v>
      </c>
      <c r="F855" s="2">
        <f>IFERROR(__xludf.DUMMYFUNCTION("""COMPUTED_VALUE"""),4.46736E7)</f>
        <v>44673600</v>
      </c>
      <c r="G855" s="2">
        <f t="shared" si="1"/>
        <v>20</v>
      </c>
    </row>
    <row r="856" ht="15.75" customHeight="1">
      <c r="A856" s="1">
        <f>IFERROR(__xludf.DUMMYFUNCTION("""COMPUTED_VALUE"""),45117.66666666667)</f>
        <v>45117.66667</v>
      </c>
      <c r="B856" s="2">
        <f>IFERROR(__xludf.DUMMYFUNCTION("""COMPUTED_VALUE"""),1350.0)</f>
        <v>1350</v>
      </c>
      <c r="C856" s="2">
        <f>IFERROR(__xludf.DUMMYFUNCTION("""COMPUTED_VALUE"""),1365.0)</f>
        <v>1365</v>
      </c>
      <c r="D856" s="2">
        <f>IFERROR(__xludf.DUMMYFUNCTION("""COMPUTED_VALUE"""),1350.0)</f>
        <v>1350</v>
      </c>
      <c r="E856" s="2">
        <f>IFERROR(__xludf.DUMMYFUNCTION("""COMPUTED_VALUE"""),1350.0)</f>
        <v>1350</v>
      </c>
      <c r="F856" s="2">
        <f>IFERROR(__xludf.DUMMYFUNCTION("""COMPUTED_VALUE"""),2.15486E7)</f>
        <v>21548600</v>
      </c>
      <c r="G856" s="2">
        <f t="shared" si="1"/>
        <v>15</v>
      </c>
    </row>
    <row r="857" ht="15.75" customHeight="1">
      <c r="A857" s="1">
        <f>IFERROR(__xludf.DUMMYFUNCTION("""COMPUTED_VALUE"""),45118.66666666667)</f>
        <v>45118.66667</v>
      </c>
      <c r="B857" s="2">
        <f>IFERROR(__xludf.DUMMYFUNCTION("""COMPUTED_VALUE"""),1355.0)</f>
        <v>1355</v>
      </c>
      <c r="C857" s="2">
        <f>IFERROR(__xludf.DUMMYFUNCTION("""COMPUTED_VALUE"""),1360.0)</f>
        <v>1360</v>
      </c>
      <c r="D857" s="2">
        <f>IFERROR(__xludf.DUMMYFUNCTION("""COMPUTED_VALUE"""),1330.0)</f>
        <v>1330</v>
      </c>
      <c r="E857" s="2">
        <f>IFERROR(__xludf.DUMMYFUNCTION("""COMPUTED_VALUE"""),1340.0)</f>
        <v>1340</v>
      </c>
      <c r="F857" s="2">
        <f>IFERROR(__xludf.DUMMYFUNCTION("""COMPUTED_VALUE"""),6.37687E7)</f>
        <v>63768700</v>
      </c>
      <c r="G857" s="2">
        <f t="shared" si="1"/>
        <v>30</v>
      </c>
    </row>
    <row r="858" ht="15.75" customHeight="1">
      <c r="A858" s="1">
        <f>IFERROR(__xludf.DUMMYFUNCTION("""COMPUTED_VALUE"""),45119.66666666667)</f>
        <v>45119.66667</v>
      </c>
      <c r="B858" s="2">
        <f>IFERROR(__xludf.DUMMYFUNCTION("""COMPUTED_VALUE"""),1340.0)</f>
        <v>1340</v>
      </c>
      <c r="C858" s="2">
        <f>IFERROR(__xludf.DUMMYFUNCTION("""COMPUTED_VALUE"""),1350.0)</f>
        <v>1350</v>
      </c>
      <c r="D858" s="2">
        <f>IFERROR(__xludf.DUMMYFUNCTION("""COMPUTED_VALUE"""),1335.0)</f>
        <v>1335</v>
      </c>
      <c r="E858" s="2">
        <f>IFERROR(__xludf.DUMMYFUNCTION("""COMPUTED_VALUE"""),1340.0)</f>
        <v>1340</v>
      </c>
      <c r="F858" s="2">
        <f>IFERROR(__xludf.DUMMYFUNCTION("""COMPUTED_VALUE"""),1.93254E7)</f>
        <v>19325400</v>
      </c>
      <c r="G858" s="2">
        <f t="shared" si="1"/>
        <v>15</v>
      </c>
    </row>
    <row r="859" ht="15.75" customHeight="1">
      <c r="A859" s="1">
        <f>IFERROR(__xludf.DUMMYFUNCTION("""COMPUTED_VALUE"""),45120.66666666667)</f>
        <v>45120.66667</v>
      </c>
      <c r="B859" s="2">
        <f>IFERROR(__xludf.DUMMYFUNCTION("""COMPUTED_VALUE"""),1345.0)</f>
        <v>1345</v>
      </c>
      <c r="C859" s="2">
        <f>IFERROR(__xludf.DUMMYFUNCTION("""COMPUTED_VALUE"""),1350.0)</f>
        <v>1350</v>
      </c>
      <c r="D859" s="2">
        <f>IFERROR(__xludf.DUMMYFUNCTION("""COMPUTED_VALUE"""),1335.0)</f>
        <v>1335</v>
      </c>
      <c r="E859" s="2">
        <f>IFERROR(__xludf.DUMMYFUNCTION("""COMPUTED_VALUE"""),1340.0)</f>
        <v>1340</v>
      </c>
      <c r="F859" s="2">
        <f>IFERROR(__xludf.DUMMYFUNCTION("""COMPUTED_VALUE"""),2.47197E7)</f>
        <v>24719700</v>
      </c>
      <c r="G859" s="2">
        <f t="shared" si="1"/>
        <v>15</v>
      </c>
    </row>
    <row r="860" ht="15.75" customHeight="1">
      <c r="A860" s="1">
        <f>IFERROR(__xludf.DUMMYFUNCTION("""COMPUTED_VALUE"""),45121.66666666667)</f>
        <v>45121.66667</v>
      </c>
      <c r="B860" s="2">
        <f>IFERROR(__xludf.DUMMYFUNCTION("""COMPUTED_VALUE"""),1340.0)</f>
        <v>1340</v>
      </c>
      <c r="C860" s="2">
        <f>IFERROR(__xludf.DUMMYFUNCTION("""COMPUTED_VALUE"""),1370.0)</f>
        <v>1370</v>
      </c>
      <c r="D860" s="2">
        <f>IFERROR(__xludf.DUMMYFUNCTION("""COMPUTED_VALUE"""),1340.0)</f>
        <v>1340</v>
      </c>
      <c r="E860" s="2">
        <f>IFERROR(__xludf.DUMMYFUNCTION("""COMPUTED_VALUE"""),1360.0)</f>
        <v>1360</v>
      </c>
      <c r="F860" s="2">
        <f>IFERROR(__xludf.DUMMYFUNCTION("""COMPUTED_VALUE"""),4.90514E7)</f>
        <v>49051400</v>
      </c>
      <c r="G860" s="2">
        <f t="shared" si="1"/>
        <v>30</v>
      </c>
    </row>
    <row r="861" ht="15.75" customHeight="1">
      <c r="A861" s="1">
        <f>IFERROR(__xludf.DUMMYFUNCTION("""COMPUTED_VALUE"""),45124.66666666667)</f>
        <v>45124.66667</v>
      </c>
      <c r="B861" s="2">
        <f>IFERROR(__xludf.DUMMYFUNCTION("""COMPUTED_VALUE"""),1365.0)</f>
        <v>1365</v>
      </c>
      <c r="C861" s="2">
        <f>IFERROR(__xludf.DUMMYFUNCTION("""COMPUTED_VALUE"""),1380.0)</f>
        <v>1380</v>
      </c>
      <c r="D861" s="2">
        <f>IFERROR(__xludf.DUMMYFUNCTION("""COMPUTED_VALUE"""),1360.0)</f>
        <v>1360</v>
      </c>
      <c r="E861" s="2">
        <f>IFERROR(__xludf.DUMMYFUNCTION("""COMPUTED_VALUE"""),1370.0)</f>
        <v>1370</v>
      </c>
      <c r="F861" s="2">
        <f>IFERROR(__xludf.DUMMYFUNCTION("""COMPUTED_VALUE"""),3.14134E7)</f>
        <v>31413400</v>
      </c>
      <c r="G861" s="2">
        <f t="shared" si="1"/>
        <v>20</v>
      </c>
    </row>
    <row r="862" ht="15.75" customHeight="1">
      <c r="A862" s="1">
        <f>IFERROR(__xludf.DUMMYFUNCTION("""COMPUTED_VALUE"""),45125.66666666667)</f>
        <v>45125.66667</v>
      </c>
      <c r="B862" s="2">
        <f>IFERROR(__xludf.DUMMYFUNCTION("""COMPUTED_VALUE"""),1370.0)</f>
        <v>1370</v>
      </c>
      <c r="C862" s="2">
        <f>IFERROR(__xludf.DUMMYFUNCTION("""COMPUTED_VALUE"""),1370.0)</f>
        <v>1370</v>
      </c>
      <c r="D862" s="2">
        <f>IFERROR(__xludf.DUMMYFUNCTION("""COMPUTED_VALUE"""),1355.0)</f>
        <v>1355</v>
      </c>
      <c r="E862" s="2">
        <f>IFERROR(__xludf.DUMMYFUNCTION("""COMPUTED_VALUE"""),1365.0)</f>
        <v>1365</v>
      </c>
      <c r="F862" s="2">
        <f>IFERROR(__xludf.DUMMYFUNCTION("""COMPUTED_VALUE"""),2.80555E7)</f>
        <v>28055500</v>
      </c>
      <c r="G862" s="2">
        <f t="shared" si="1"/>
        <v>15</v>
      </c>
    </row>
    <row r="863" ht="15.75" customHeight="1">
      <c r="A863" s="1">
        <f>IFERROR(__xludf.DUMMYFUNCTION("""COMPUTED_VALUE"""),45127.66666666667)</f>
        <v>45127.66667</v>
      </c>
      <c r="B863" s="2">
        <f>IFERROR(__xludf.DUMMYFUNCTION("""COMPUTED_VALUE"""),1360.0)</f>
        <v>1360</v>
      </c>
      <c r="C863" s="2">
        <f>IFERROR(__xludf.DUMMYFUNCTION("""COMPUTED_VALUE"""),1375.0)</f>
        <v>1375</v>
      </c>
      <c r="D863" s="2">
        <f>IFERROR(__xludf.DUMMYFUNCTION("""COMPUTED_VALUE"""),1360.0)</f>
        <v>1360</v>
      </c>
      <c r="E863" s="2">
        <f>IFERROR(__xludf.DUMMYFUNCTION("""COMPUTED_VALUE"""),1370.0)</f>
        <v>1370</v>
      </c>
      <c r="F863" s="2">
        <f>IFERROR(__xludf.DUMMYFUNCTION("""COMPUTED_VALUE"""),4.28313E7)</f>
        <v>42831300</v>
      </c>
      <c r="G863" s="2">
        <f t="shared" si="1"/>
        <v>15</v>
      </c>
    </row>
    <row r="864" ht="15.75" customHeight="1">
      <c r="A864" s="1">
        <f>IFERROR(__xludf.DUMMYFUNCTION("""COMPUTED_VALUE"""),45128.66666666667)</f>
        <v>45128.66667</v>
      </c>
      <c r="B864" s="2">
        <f>IFERROR(__xludf.DUMMYFUNCTION("""COMPUTED_VALUE"""),1380.0)</f>
        <v>1380</v>
      </c>
      <c r="C864" s="2">
        <f>IFERROR(__xludf.DUMMYFUNCTION("""COMPUTED_VALUE"""),1390.0)</f>
        <v>1390</v>
      </c>
      <c r="D864" s="2">
        <f>IFERROR(__xludf.DUMMYFUNCTION("""COMPUTED_VALUE"""),1370.0)</f>
        <v>1370</v>
      </c>
      <c r="E864" s="2">
        <f>IFERROR(__xludf.DUMMYFUNCTION("""COMPUTED_VALUE"""),1380.0)</f>
        <v>1380</v>
      </c>
      <c r="F864" s="2">
        <f>IFERROR(__xludf.DUMMYFUNCTION("""COMPUTED_VALUE"""),4.64837E7)</f>
        <v>46483700</v>
      </c>
      <c r="G864" s="2">
        <f t="shared" si="1"/>
        <v>20</v>
      </c>
    </row>
    <row r="865" ht="15.75" customHeight="1">
      <c r="A865" s="1">
        <f>IFERROR(__xludf.DUMMYFUNCTION("""COMPUTED_VALUE"""),45131.66666666667)</f>
        <v>45131.66667</v>
      </c>
      <c r="B865" s="2">
        <f>IFERROR(__xludf.DUMMYFUNCTION("""COMPUTED_VALUE"""),1385.0)</f>
        <v>1385</v>
      </c>
      <c r="C865" s="2">
        <f>IFERROR(__xludf.DUMMYFUNCTION("""COMPUTED_VALUE"""),1410.0)</f>
        <v>1410</v>
      </c>
      <c r="D865" s="2">
        <f>IFERROR(__xludf.DUMMYFUNCTION("""COMPUTED_VALUE"""),1380.0)</f>
        <v>1380</v>
      </c>
      <c r="E865" s="2">
        <f>IFERROR(__xludf.DUMMYFUNCTION("""COMPUTED_VALUE"""),1395.0)</f>
        <v>1395</v>
      </c>
      <c r="F865" s="2">
        <f>IFERROR(__xludf.DUMMYFUNCTION("""COMPUTED_VALUE"""),7.59845E7)</f>
        <v>75984500</v>
      </c>
      <c r="G865" s="2">
        <f t="shared" si="1"/>
        <v>30</v>
      </c>
    </row>
    <row r="866" ht="15.75" customHeight="1">
      <c r="A866" s="1">
        <f>IFERROR(__xludf.DUMMYFUNCTION("""COMPUTED_VALUE"""),45132.66666666667)</f>
        <v>45132.66667</v>
      </c>
      <c r="B866" s="2">
        <f>IFERROR(__xludf.DUMMYFUNCTION("""COMPUTED_VALUE"""),1400.0)</f>
        <v>1400</v>
      </c>
      <c r="C866" s="2">
        <f>IFERROR(__xludf.DUMMYFUNCTION("""COMPUTED_VALUE"""),1410.0)</f>
        <v>1410</v>
      </c>
      <c r="D866" s="2">
        <f>IFERROR(__xludf.DUMMYFUNCTION("""COMPUTED_VALUE"""),1375.0)</f>
        <v>1375</v>
      </c>
      <c r="E866" s="2">
        <f>IFERROR(__xludf.DUMMYFUNCTION("""COMPUTED_VALUE"""),1375.0)</f>
        <v>1375</v>
      </c>
      <c r="F866" s="2">
        <f>IFERROR(__xludf.DUMMYFUNCTION("""COMPUTED_VALUE"""),4.82956E7)</f>
        <v>48295600</v>
      </c>
      <c r="G866" s="2">
        <f t="shared" si="1"/>
        <v>35</v>
      </c>
    </row>
    <row r="867" ht="15.75" customHeight="1">
      <c r="A867" s="1">
        <f>IFERROR(__xludf.DUMMYFUNCTION("""COMPUTED_VALUE"""),45133.66666666667)</f>
        <v>45133.66667</v>
      </c>
      <c r="B867" s="2">
        <f>IFERROR(__xludf.DUMMYFUNCTION("""COMPUTED_VALUE"""),1380.0)</f>
        <v>1380</v>
      </c>
      <c r="C867" s="2">
        <f>IFERROR(__xludf.DUMMYFUNCTION("""COMPUTED_VALUE"""),1390.0)</f>
        <v>1390</v>
      </c>
      <c r="D867" s="2">
        <f>IFERROR(__xludf.DUMMYFUNCTION("""COMPUTED_VALUE"""),1370.0)</f>
        <v>1370</v>
      </c>
      <c r="E867" s="2">
        <f>IFERROR(__xludf.DUMMYFUNCTION("""COMPUTED_VALUE"""),1385.0)</f>
        <v>1385</v>
      </c>
      <c r="F867" s="2">
        <f>IFERROR(__xludf.DUMMYFUNCTION("""COMPUTED_VALUE"""),3.78919E7)</f>
        <v>37891900</v>
      </c>
      <c r="G867" s="2">
        <f t="shared" si="1"/>
        <v>20</v>
      </c>
    </row>
    <row r="868" ht="15.75" customHeight="1">
      <c r="A868" s="1">
        <f>IFERROR(__xludf.DUMMYFUNCTION("""COMPUTED_VALUE"""),45134.66666666667)</f>
        <v>45134.66667</v>
      </c>
      <c r="B868" s="2">
        <f>IFERROR(__xludf.DUMMYFUNCTION("""COMPUTED_VALUE"""),1385.0)</f>
        <v>1385</v>
      </c>
      <c r="C868" s="2">
        <f>IFERROR(__xludf.DUMMYFUNCTION("""COMPUTED_VALUE"""),1385.0)</f>
        <v>1385</v>
      </c>
      <c r="D868" s="2">
        <f>IFERROR(__xludf.DUMMYFUNCTION("""COMPUTED_VALUE"""),1365.0)</f>
        <v>1365</v>
      </c>
      <c r="E868" s="2">
        <f>IFERROR(__xludf.DUMMYFUNCTION("""COMPUTED_VALUE"""),1365.0)</f>
        <v>1365</v>
      </c>
      <c r="F868" s="2">
        <f>IFERROR(__xludf.DUMMYFUNCTION("""COMPUTED_VALUE"""),4.60307E7)</f>
        <v>46030700</v>
      </c>
      <c r="G868" s="2">
        <f t="shared" si="1"/>
        <v>20</v>
      </c>
    </row>
    <row r="869" ht="15.75" customHeight="1">
      <c r="A869" s="1">
        <f>IFERROR(__xludf.DUMMYFUNCTION("""COMPUTED_VALUE"""),45135.66666666667)</f>
        <v>45135.66667</v>
      </c>
      <c r="B869" s="2">
        <f>IFERROR(__xludf.DUMMYFUNCTION("""COMPUTED_VALUE"""),1365.0)</f>
        <v>1365</v>
      </c>
      <c r="C869" s="2">
        <f>IFERROR(__xludf.DUMMYFUNCTION("""COMPUTED_VALUE"""),1375.0)</f>
        <v>1375</v>
      </c>
      <c r="D869" s="2">
        <f>IFERROR(__xludf.DUMMYFUNCTION("""COMPUTED_VALUE"""),1355.0)</f>
        <v>1355</v>
      </c>
      <c r="E869" s="2">
        <f>IFERROR(__xludf.DUMMYFUNCTION("""COMPUTED_VALUE"""),1370.0)</f>
        <v>1370</v>
      </c>
      <c r="F869" s="2">
        <f>IFERROR(__xludf.DUMMYFUNCTION("""COMPUTED_VALUE"""),2.16402E7)</f>
        <v>21640200</v>
      </c>
      <c r="G869" s="2">
        <f t="shared" si="1"/>
        <v>20</v>
      </c>
    </row>
    <row r="870" ht="15.75" customHeight="1">
      <c r="A870" s="1">
        <f>IFERROR(__xludf.DUMMYFUNCTION("""COMPUTED_VALUE"""),45138.66666666667)</f>
        <v>45138.66667</v>
      </c>
      <c r="B870" s="2">
        <f>IFERROR(__xludf.DUMMYFUNCTION("""COMPUTED_VALUE"""),1370.0)</f>
        <v>1370</v>
      </c>
      <c r="C870" s="2">
        <f>IFERROR(__xludf.DUMMYFUNCTION("""COMPUTED_VALUE"""),1385.0)</f>
        <v>1385</v>
      </c>
      <c r="D870" s="2">
        <f>IFERROR(__xludf.DUMMYFUNCTION("""COMPUTED_VALUE"""),1365.0)</f>
        <v>1365</v>
      </c>
      <c r="E870" s="2">
        <f>IFERROR(__xludf.DUMMYFUNCTION("""COMPUTED_VALUE"""),1365.0)</f>
        <v>1365</v>
      </c>
      <c r="F870" s="2">
        <f>IFERROR(__xludf.DUMMYFUNCTION("""COMPUTED_VALUE"""),4.41615E7)</f>
        <v>44161500</v>
      </c>
      <c r="G870" s="2">
        <f t="shared" si="1"/>
        <v>20</v>
      </c>
    </row>
    <row r="871" ht="15.75" customHeight="1">
      <c r="A871" s="1">
        <f>IFERROR(__xludf.DUMMYFUNCTION("""COMPUTED_VALUE"""),45139.66666666667)</f>
        <v>45139.66667</v>
      </c>
      <c r="B871" s="2">
        <f>IFERROR(__xludf.DUMMYFUNCTION("""COMPUTED_VALUE"""),1370.0)</f>
        <v>1370</v>
      </c>
      <c r="C871" s="2">
        <f>IFERROR(__xludf.DUMMYFUNCTION("""COMPUTED_VALUE"""),1395.0)</f>
        <v>1395</v>
      </c>
      <c r="D871" s="2">
        <f>IFERROR(__xludf.DUMMYFUNCTION("""COMPUTED_VALUE"""),1365.0)</f>
        <v>1365</v>
      </c>
      <c r="E871" s="2">
        <f>IFERROR(__xludf.DUMMYFUNCTION("""COMPUTED_VALUE"""),1385.0)</f>
        <v>1385</v>
      </c>
      <c r="F871" s="2">
        <f>IFERROR(__xludf.DUMMYFUNCTION("""COMPUTED_VALUE"""),4.44421E7)</f>
        <v>44442100</v>
      </c>
      <c r="G871" s="2">
        <f t="shared" si="1"/>
        <v>30</v>
      </c>
    </row>
    <row r="872" ht="15.75" customHeight="1">
      <c r="A872" s="1">
        <f>IFERROR(__xludf.DUMMYFUNCTION("""COMPUTED_VALUE"""),45140.66666666667)</f>
        <v>45140.66667</v>
      </c>
      <c r="B872" s="2">
        <f>IFERROR(__xludf.DUMMYFUNCTION("""COMPUTED_VALUE"""),1390.0)</f>
        <v>1390</v>
      </c>
      <c r="C872" s="2">
        <f>IFERROR(__xludf.DUMMYFUNCTION("""COMPUTED_VALUE"""),1390.0)</f>
        <v>1390</v>
      </c>
      <c r="D872" s="2">
        <f>IFERROR(__xludf.DUMMYFUNCTION("""COMPUTED_VALUE"""),1370.0)</f>
        <v>1370</v>
      </c>
      <c r="E872" s="2">
        <f>IFERROR(__xludf.DUMMYFUNCTION("""COMPUTED_VALUE"""),1380.0)</f>
        <v>1380</v>
      </c>
      <c r="F872" s="2">
        <f>IFERROR(__xludf.DUMMYFUNCTION("""COMPUTED_VALUE"""),2.84823E7)</f>
        <v>28482300</v>
      </c>
      <c r="G872" s="2">
        <f t="shared" si="1"/>
        <v>20</v>
      </c>
    </row>
    <row r="873" ht="15.75" customHeight="1">
      <c r="A873" s="1">
        <f>IFERROR(__xludf.DUMMYFUNCTION("""COMPUTED_VALUE"""),45141.66666666667)</f>
        <v>45141.66667</v>
      </c>
      <c r="B873" s="2">
        <f>IFERROR(__xludf.DUMMYFUNCTION("""COMPUTED_VALUE"""),1375.0)</f>
        <v>1375</v>
      </c>
      <c r="C873" s="2">
        <f>IFERROR(__xludf.DUMMYFUNCTION("""COMPUTED_VALUE"""),1390.0)</f>
        <v>1390</v>
      </c>
      <c r="D873" s="2">
        <f>IFERROR(__xludf.DUMMYFUNCTION("""COMPUTED_VALUE"""),1370.0)</f>
        <v>1370</v>
      </c>
      <c r="E873" s="2">
        <f>IFERROR(__xludf.DUMMYFUNCTION("""COMPUTED_VALUE"""),1385.0)</f>
        <v>1385</v>
      </c>
      <c r="F873" s="2">
        <f>IFERROR(__xludf.DUMMYFUNCTION("""COMPUTED_VALUE"""),2.24441E7)</f>
        <v>22444100</v>
      </c>
      <c r="G873" s="2">
        <f t="shared" si="1"/>
        <v>20</v>
      </c>
    </row>
    <row r="874" ht="15.75" customHeight="1">
      <c r="A874" s="1">
        <f>IFERROR(__xludf.DUMMYFUNCTION("""COMPUTED_VALUE"""),45142.66666666667)</f>
        <v>45142.66667</v>
      </c>
      <c r="B874" s="2">
        <f>IFERROR(__xludf.DUMMYFUNCTION("""COMPUTED_VALUE"""),1390.0)</f>
        <v>1390</v>
      </c>
      <c r="C874" s="2">
        <f>IFERROR(__xludf.DUMMYFUNCTION("""COMPUTED_VALUE"""),1410.0)</f>
        <v>1410</v>
      </c>
      <c r="D874" s="2">
        <f>IFERROR(__xludf.DUMMYFUNCTION("""COMPUTED_VALUE"""),1385.0)</f>
        <v>1385</v>
      </c>
      <c r="E874" s="2">
        <f>IFERROR(__xludf.DUMMYFUNCTION("""COMPUTED_VALUE"""),1390.0)</f>
        <v>1390</v>
      </c>
      <c r="F874" s="2">
        <f>IFERROR(__xludf.DUMMYFUNCTION("""COMPUTED_VALUE"""),3.54221E7)</f>
        <v>35422100</v>
      </c>
      <c r="G874" s="2">
        <f t="shared" si="1"/>
        <v>25</v>
      </c>
    </row>
    <row r="875" ht="15.75" customHeight="1">
      <c r="A875" s="1">
        <f>IFERROR(__xludf.DUMMYFUNCTION("""COMPUTED_VALUE"""),45145.66666666667)</f>
        <v>45145.66667</v>
      </c>
      <c r="B875" s="2">
        <f>IFERROR(__xludf.DUMMYFUNCTION("""COMPUTED_VALUE"""),1390.0)</f>
        <v>1390</v>
      </c>
      <c r="C875" s="2">
        <f>IFERROR(__xludf.DUMMYFUNCTION("""COMPUTED_VALUE"""),1395.0)</f>
        <v>1395</v>
      </c>
      <c r="D875" s="2">
        <f>IFERROR(__xludf.DUMMYFUNCTION("""COMPUTED_VALUE"""),1380.0)</f>
        <v>1380</v>
      </c>
      <c r="E875" s="2">
        <f>IFERROR(__xludf.DUMMYFUNCTION("""COMPUTED_VALUE"""),1395.0)</f>
        <v>1395</v>
      </c>
      <c r="F875" s="2">
        <f>IFERROR(__xludf.DUMMYFUNCTION("""COMPUTED_VALUE"""),2.2281E7)</f>
        <v>22281000</v>
      </c>
      <c r="G875" s="2">
        <f t="shared" si="1"/>
        <v>15</v>
      </c>
    </row>
    <row r="876" ht="15.75" customHeight="1">
      <c r="A876" s="1">
        <f>IFERROR(__xludf.DUMMYFUNCTION("""COMPUTED_VALUE"""),45146.66666666667)</f>
        <v>45146.66667</v>
      </c>
      <c r="B876" s="2">
        <f>IFERROR(__xludf.DUMMYFUNCTION("""COMPUTED_VALUE"""),1400.0)</f>
        <v>1400</v>
      </c>
      <c r="C876" s="2">
        <f>IFERROR(__xludf.DUMMYFUNCTION("""COMPUTED_VALUE"""),1405.0)</f>
        <v>1405</v>
      </c>
      <c r="D876" s="2">
        <f>IFERROR(__xludf.DUMMYFUNCTION("""COMPUTED_VALUE"""),1395.0)</f>
        <v>1395</v>
      </c>
      <c r="E876" s="2">
        <f>IFERROR(__xludf.DUMMYFUNCTION("""COMPUTED_VALUE"""),1400.0)</f>
        <v>1400</v>
      </c>
      <c r="F876" s="2">
        <f>IFERROR(__xludf.DUMMYFUNCTION("""COMPUTED_VALUE"""),2.97294E7)</f>
        <v>29729400</v>
      </c>
      <c r="G876" s="2">
        <f t="shared" si="1"/>
        <v>10</v>
      </c>
    </row>
    <row r="877" ht="15.75" customHeight="1">
      <c r="A877" s="1">
        <f>IFERROR(__xludf.DUMMYFUNCTION("""COMPUTED_VALUE"""),45147.66666666667)</f>
        <v>45147.66667</v>
      </c>
      <c r="B877" s="2">
        <f>IFERROR(__xludf.DUMMYFUNCTION("""COMPUTED_VALUE"""),1400.0)</f>
        <v>1400</v>
      </c>
      <c r="C877" s="2">
        <f>IFERROR(__xludf.DUMMYFUNCTION("""COMPUTED_VALUE"""),1405.0)</f>
        <v>1405</v>
      </c>
      <c r="D877" s="2">
        <f>IFERROR(__xludf.DUMMYFUNCTION("""COMPUTED_VALUE"""),1385.0)</f>
        <v>1385</v>
      </c>
      <c r="E877" s="2">
        <f>IFERROR(__xludf.DUMMYFUNCTION("""COMPUTED_VALUE"""),1395.0)</f>
        <v>1395</v>
      </c>
      <c r="F877" s="2">
        <f>IFERROR(__xludf.DUMMYFUNCTION("""COMPUTED_VALUE"""),2.6589E7)</f>
        <v>26589000</v>
      </c>
      <c r="G877" s="2">
        <f t="shared" si="1"/>
        <v>20</v>
      </c>
    </row>
    <row r="878" ht="15.75" customHeight="1">
      <c r="A878" s="1">
        <f>IFERROR(__xludf.DUMMYFUNCTION("""COMPUTED_VALUE"""),45148.66666666667)</f>
        <v>45148.66667</v>
      </c>
      <c r="B878" s="2">
        <f>IFERROR(__xludf.DUMMYFUNCTION("""COMPUTED_VALUE"""),1405.0)</f>
        <v>1405</v>
      </c>
      <c r="C878" s="2">
        <f>IFERROR(__xludf.DUMMYFUNCTION("""COMPUTED_VALUE"""),1420.0)</f>
        <v>1420</v>
      </c>
      <c r="D878" s="2">
        <f>IFERROR(__xludf.DUMMYFUNCTION("""COMPUTED_VALUE"""),1390.0)</f>
        <v>1390</v>
      </c>
      <c r="E878" s="2">
        <f>IFERROR(__xludf.DUMMYFUNCTION("""COMPUTED_VALUE"""),1400.0)</f>
        <v>1400</v>
      </c>
      <c r="F878" s="2">
        <f>IFERROR(__xludf.DUMMYFUNCTION("""COMPUTED_VALUE"""),4.76795E7)</f>
        <v>47679500</v>
      </c>
      <c r="G878" s="2">
        <f t="shared" si="1"/>
        <v>30</v>
      </c>
    </row>
    <row r="879" ht="15.75" customHeight="1">
      <c r="A879" s="1">
        <f>IFERROR(__xludf.DUMMYFUNCTION("""COMPUTED_VALUE"""),45149.66666666667)</f>
        <v>45149.66667</v>
      </c>
      <c r="B879" s="2">
        <f>IFERROR(__xludf.DUMMYFUNCTION("""COMPUTED_VALUE"""),1400.0)</f>
        <v>1400</v>
      </c>
      <c r="C879" s="2">
        <f>IFERROR(__xludf.DUMMYFUNCTION("""COMPUTED_VALUE"""),1405.0)</f>
        <v>1405</v>
      </c>
      <c r="D879" s="2">
        <f>IFERROR(__xludf.DUMMYFUNCTION("""COMPUTED_VALUE"""),1390.0)</f>
        <v>1390</v>
      </c>
      <c r="E879" s="2">
        <f>IFERROR(__xludf.DUMMYFUNCTION("""COMPUTED_VALUE"""),1405.0)</f>
        <v>1405</v>
      </c>
      <c r="F879" s="2">
        <f>IFERROR(__xludf.DUMMYFUNCTION("""COMPUTED_VALUE"""),1.89722E7)</f>
        <v>18972200</v>
      </c>
      <c r="G879" s="2">
        <f t="shared" si="1"/>
        <v>15</v>
      </c>
    </row>
    <row r="880" ht="15.75" customHeight="1">
      <c r="A880" s="1">
        <f>IFERROR(__xludf.DUMMYFUNCTION("""COMPUTED_VALUE"""),45152.66666666667)</f>
        <v>45152.66667</v>
      </c>
      <c r="B880" s="2">
        <f>IFERROR(__xludf.DUMMYFUNCTION("""COMPUTED_VALUE"""),1405.0)</f>
        <v>1405</v>
      </c>
      <c r="C880" s="2">
        <f>IFERROR(__xludf.DUMMYFUNCTION("""COMPUTED_VALUE"""),1405.0)</f>
        <v>1405</v>
      </c>
      <c r="D880" s="2">
        <f>IFERROR(__xludf.DUMMYFUNCTION("""COMPUTED_VALUE"""),1380.0)</f>
        <v>1380</v>
      </c>
      <c r="E880" s="2">
        <f>IFERROR(__xludf.DUMMYFUNCTION("""COMPUTED_VALUE"""),1390.0)</f>
        <v>1390</v>
      </c>
      <c r="F880" s="2">
        <f>IFERROR(__xludf.DUMMYFUNCTION("""COMPUTED_VALUE"""),2.80858E7)</f>
        <v>28085800</v>
      </c>
      <c r="G880" s="2">
        <f t="shared" si="1"/>
        <v>25</v>
      </c>
    </row>
    <row r="881" ht="15.75" customHeight="1">
      <c r="A881" s="1">
        <f>IFERROR(__xludf.DUMMYFUNCTION("""COMPUTED_VALUE"""),45153.66666666667)</f>
        <v>45153.66667</v>
      </c>
      <c r="B881" s="2">
        <f>IFERROR(__xludf.DUMMYFUNCTION("""COMPUTED_VALUE"""),1400.0)</f>
        <v>1400</v>
      </c>
      <c r="C881" s="2">
        <f>IFERROR(__xludf.DUMMYFUNCTION("""COMPUTED_VALUE"""),1470.0)</f>
        <v>1470</v>
      </c>
      <c r="D881" s="2">
        <f>IFERROR(__xludf.DUMMYFUNCTION("""COMPUTED_VALUE"""),1400.0)</f>
        <v>1400</v>
      </c>
      <c r="E881" s="2">
        <f>IFERROR(__xludf.DUMMYFUNCTION("""COMPUTED_VALUE"""),1460.0)</f>
        <v>1460</v>
      </c>
      <c r="F881" s="2">
        <f>IFERROR(__xludf.DUMMYFUNCTION("""COMPUTED_VALUE"""),2.627469E8)</f>
        <v>262746900</v>
      </c>
      <c r="G881" s="2">
        <f t="shared" si="1"/>
        <v>80</v>
      </c>
    </row>
    <row r="882" ht="15.75" customHeight="1">
      <c r="A882" s="1">
        <f>IFERROR(__xludf.DUMMYFUNCTION("""COMPUTED_VALUE"""),45154.66666666667)</f>
        <v>45154.66667</v>
      </c>
      <c r="B882" s="2">
        <f>IFERROR(__xludf.DUMMYFUNCTION("""COMPUTED_VALUE"""),1465.0)</f>
        <v>1465</v>
      </c>
      <c r="C882" s="2">
        <f>IFERROR(__xludf.DUMMYFUNCTION("""COMPUTED_VALUE"""),1485.0)</f>
        <v>1485</v>
      </c>
      <c r="D882" s="2">
        <f>IFERROR(__xludf.DUMMYFUNCTION("""COMPUTED_VALUE"""),1450.0)</f>
        <v>1450</v>
      </c>
      <c r="E882" s="2">
        <f>IFERROR(__xludf.DUMMYFUNCTION("""COMPUTED_VALUE"""),1485.0)</f>
        <v>1485</v>
      </c>
      <c r="F882" s="2">
        <f>IFERROR(__xludf.DUMMYFUNCTION("""COMPUTED_VALUE"""),1.02759E8)</f>
        <v>102759000</v>
      </c>
      <c r="G882" s="2">
        <f t="shared" si="1"/>
        <v>35</v>
      </c>
    </row>
    <row r="883" ht="15.75" customHeight="1">
      <c r="A883" s="1">
        <f>IFERROR(__xludf.DUMMYFUNCTION("""COMPUTED_VALUE"""),45156.66666666667)</f>
        <v>45156.66667</v>
      </c>
      <c r="B883" s="2">
        <f>IFERROR(__xludf.DUMMYFUNCTION("""COMPUTED_VALUE"""),1480.0)</f>
        <v>1480</v>
      </c>
      <c r="C883" s="2">
        <f>IFERROR(__xludf.DUMMYFUNCTION("""COMPUTED_VALUE"""),1495.0)</f>
        <v>1495</v>
      </c>
      <c r="D883" s="2">
        <f>IFERROR(__xludf.DUMMYFUNCTION("""COMPUTED_VALUE"""),1460.0)</f>
        <v>1460</v>
      </c>
      <c r="E883" s="2">
        <f>IFERROR(__xludf.DUMMYFUNCTION("""COMPUTED_VALUE"""),1495.0)</f>
        <v>1495</v>
      </c>
      <c r="F883" s="2">
        <f>IFERROR(__xludf.DUMMYFUNCTION("""COMPUTED_VALUE"""),1.011702E8)</f>
        <v>101170200</v>
      </c>
      <c r="G883" s="2">
        <f t="shared" si="1"/>
        <v>35</v>
      </c>
    </row>
    <row r="884" ht="15.75" customHeight="1">
      <c r="A884" s="1">
        <f>IFERROR(__xludf.DUMMYFUNCTION("""COMPUTED_VALUE"""),45159.66666666667)</f>
        <v>45159.66667</v>
      </c>
      <c r="B884" s="2">
        <f>IFERROR(__xludf.DUMMYFUNCTION("""COMPUTED_VALUE"""),1495.0)</f>
        <v>1495</v>
      </c>
      <c r="C884" s="2">
        <f>IFERROR(__xludf.DUMMYFUNCTION("""COMPUTED_VALUE"""),1495.0)</f>
        <v>1495</v>
      </c>
      <c r="D884" s="2">
        <f>IFERROR(__xludf.DUMMYFUNCTION("""COMPUTED_VALUE"""),1465.0)</f>
        <v>1465</v>
      </c>
      <c r="E884" s="2">
        <f>IFERROR(__xludf.DUMMYFUNCTION("""COMPUTED_VALUE"""),1490.0)</f>
        <v>1490</v>
      </c>
      <c r="F884" s="2">
        <f>IFERROR(__xludf.DUMMYFUNCTION("""COMPUTED_VALUE"""),6.22745E7)</f>
        <v>62274500</v>
      </c>
      <c r="G884" s="2">
        <f t="shared" si="1"/>
        <v>30</v>
      </c>
    </row>
    <row r="885" ht="15.75" customHeight="1">
      <c r="A885" s="1">
        <f>IFERROR(__xludf.DUMMYFUNCTION("""COMPUTED_VALUE"""),45160.66666666667)</f>
        <v>45160.66667</v>
      </c>
      <c r="B885" s="2">
        <f>IFERROR(__xludf.DUMMYFUNCTION("""COMPUTED_VALUE"""),1485.0)</f>
        <v>1485</v>
      </c>
      <c r="C885" s="2">
        <f>IFERROR(__xludf.DUMMYFUNCTION("""COMPUTED_VALUE"""),1530.0)</f>
        <v>1530</v>
      </c>
      <c r="D885" s="2">
        <f>IFERROR(__xludf.DUMMYFUNCTION("""COMPUTED_VALUE"""),1475.0)</f>
        <v>1475</v>
      </c>
      <c r="E885" s="2">
        <f>IFERROR(__xludf.DUMMYFUNCTION("""COMPUTED_VALUE"""),1525.0)</f>
        <v>1525</v>
      </c>
      <c r="F885" s="2">
        <f>IFERROR(__xludf.DUMMYFUNCTION("""COMPUTED_VALUE"""),1.041673E8)</f>
        <v>104167300</v>
      </c>
      <c r="G885" s="2">
        <f t="shared" si="1"/>
        <v>55</v>
      </c>
    </row>
    <row r="886" ht="15.75" customHeight="1">
      <c r="A886" s="1">
        <f>IFERROR(__xludf.DUMMYFUNCTION("""COMPUTED_VALUE"""),45161.66666666667)</f>
        <v>45161.66667</v>
      </c>
      <c r="B886" s="2">
        <f>IFERROR(__xludf.DUMMYFUNCTION("""COMPUTED_VALUE"""),1525.0)</f>
        <v>1525</v>
      </c>
      <c r="C886" s="2">
        <f>IFERROR(__xludf.DUMMYFUNCTION("""COMPUTED_VALUE"""),1535.0)</f>
        <v>1535</v>
      </c>
      <c r="D886" s="2">
        <f>IFERROR(__xludf.DUMMYFUNCTION("""COMPUTED_VALUE"""),1500.0)</f>
        <v>1500</v>
      </c>
      <c r="E886" s="2">
        <f>IFERROR(__xludf.DUMMYFUNCTION("""COMPUTED_VALUE"""),1500.0)</f>
        <v>1500</v>
      </c>
      <c r="F886" s="2">
        <f>IFERROR(__xludf.DUMMYFUNCTION("""COMPUTED_VALUE"""),5.64925E7)</f>
        <v>56492500</v>
      </c>
      <c r="G886" s="2">
        <f t="shared" si="1"/>
        <v>35</v>
      </c>
    </row>
    <row r="887" ht="15.75" customHeight="1">
      <c r="A887" s="1">
        <f>IFERROR(__xludf.DUMMYFUNCTION("""COMPUTED_VALUE"""),45162.66666666667)</f>
        <v>45162.66667</v>
      </c>
      <c r="B887" s="2">
        <f>IFERROR(__xludf.DUMMYFUNCTION("""COMPUTED_VALUE"""),1500.0)</f>
        <v>1500</v>
      </c>
      <c r="C887" s="2">
        <f>IFERROR(__xludf.DUMMYFUNCTION("""COMPUTED_VALUE"""),1510.0)</f>
        <v>1510</v>
      </c>
      <c r="D887" s="2">
        <f>IFERROR(__xludf.DUMMYFUNCTION("""COMPUTED_VALUE"""),1445.0)</f>
        <v>1445</v>
      </c>
      <c r="E887" s="2">
        <f>IFERROR(__xludf.DUMMYFUNCTION("""COMPUTED_VALUE"""),1450.0)</f>
        <v>1450</v>
      </c>
      <c r="F887" s="2">
        <f>IFERROR(__xludf.DUMMYFUNCTION("""COMPUTED_VALUE"""),1.320439E8)</f>
        <v>132043900</v>
      </c>
      <c r="G887" s="2">
        <f t="shared" si="1"/>
        <v>65</v>
      </c>
    </row>
    <row r="888" ht="15.75" customHeight="1">
      <c r="A888" s="1">
        <f>IFERROR(__xludf.DUMMYFUNCTION("""COMPUTED_VALUE"""),45163.66666666667)</f>
        <v>45163.66667</v>
      </c>
      <c r="B888" s="2">
        <f>IFERROR(__xludf.DUMMYFUNCTION("""COMPUTED_VALUE"""),1445.0)</f>
        <v>1445</v>
      </c>
      <c r="C888" s="2">
        <f>IFERROR(__xludf.DUMMYFUNCTION("""COMPUTED_VALUE"""),1470.0)</f>
        <v>1470</v>
      </c>
      <c r="D888" s="2">
        <f>IFERROR(__xludf.DUMMYFUNCTION("""COMPUTED_VALUE"""),1440.0)</f>
        <v>1440</v>
      </c>
      <c r="E888" s="2">
        <f>IFERROR(__xludf.DUMMYFUNCTION("""COMPUTED_VALUE"""),1450.0)</f>
        <v>1450</v>
      </c>
      <c r="F888" s="2">
        <f>IFERROR(__xludf.DUMMYFUNCTION("""COMPUTED_VALUE"""),4.48981E7)</f>
        <v>44898100</v>
      </c>
      <c r="G888" s="2">
        <f t="shared" si="1"/>
        <v>30</v>
      </c>
    </row>
    <row r="889" ht="15.75" customHeight="1">
      <c r="A889" s="1">
        <f>IFERROR(__xludf.DUMMYFUNCTION("""COMPUTED_VALUE"""),45166.66666666667)</f>
        <v>45166.66667</v>
      </c>
      <c r="B889" s="2">
        <f>IFERROR(__xludf.DUMMYFUNCTION("""COMPUTED_VALUE"""),1455.0)</f>
        <v>1455</v>
      </c>
      <c r="C889" s="2">
        <f>IFERROR(__xludf.DUMMYFUNCTION("""COMPUTED_VALUE"""),1475.0)</f>
        <v>1475</v>
      </c>
      <c r="D889" s="2">
        <f>IFERROR(__xludf.DUMMYFUNCTION("""COMPUTED_VALUE"""),1455.0)</f>
        <v>1455</v>
      </c>
      <c r="E889" s="2">
        <f>IFERROR(__xludf.DUMMYFUNCTION("""COMPUTED_VALUE"""),1455.0)</f>
        <v>1455</v>
      </c>
      <c r="F889" s="2">
        <f>IFERROR(__xludf.DUMMYFUNCTION("""COMPUTED_VALUE"""),3.79815E7)</f>
        <v>37981500</v>
      </c>
      <c r="G889" s="2">
        <f t="shared" si="1"/>
        <v>25</v>
      </c>
    </row>
    <row r="890" ht="15.75" customHeight="1">
      <c r="A890" s="1">
        <f>IFERROR(__xludf.DUMMYFUNCTION("""COMPUTED_VALUE"""),45167.66666666667)</f>
        <v>45167.66667</v>
      </c>
      <c r="B890" s="2">
        <f>IFERROR(__xludf.DUMMYFUNCTION("""COMPUTED_VALUE"""),1460.0)</f>
        <v>1460</v>
      </c>
      <c r="C890" s="2">
        <f>IFERROR(__xludf.DUMMYFUNCTION("""COMPUTED_VALUE"""),1470.0)</f>
        <v>1470</v>
      </c>
      <c r="D890" s="2">
        <f>IFERROR(__xludf.DUMMYFUNCTION("""COMPUTED_VALUE"""),1450.0)</f>
        <v>1450</v>
      </c>
      <c r="E890" s="2">
        <f>IFERROR(__xludf.DUMMYFUNCTION("""COMPUTED_VALUE"""),1460.0)</f>
        <v>1460</v>
      </c>
      <c r="F890" s="2">
        <f>IFERROR(__xludf.DUMMYFUNCTION("""COMPUTED_VALUE"""),3.78496E7)</f>
        <v>37849600</v>
      </c>
      <c r="G890" s="2">
        <f t="shared" si="1"/>
        <v>20</v>
      </c>
    </row>
    <row r="891" ht="15.75" customHeight="1">
      <c r="A891" s="1">
        <f>IFERROR(__xludf.DUMMYFUNCTION("""COMPUTED_VALUE"""),45168.66666666667)</f>
        <v>45168.66667</v>
      </c>
      <c r="B891" s="2">
        <f>IFERROR(__xludf.DUMMYFUNCTION("""COMPUTED_VALUE"""),1450.0)</f>
        <v>1450</v>
      </c>
      <c r="C891" s="2">
        <f>IFERROR(__xludf.DUMMYFUNCTION("""COMPUTED_VALUE"""),1460.0)</f>
        <v>1460</v>
      </c>
      <c r="D891" s="2">
        <f>IFERROR(__xludf.DUMMYFUNCTION("""COMPUTED_VALUE"""),1390.0)</f>
        <v>1390</v>
      </c>
      <c r="E891" s="2">
        <f>IFERROR(__xludf.DUMMYFUNCTION("""COMPUTED_VALUE"""),1395.0)</f>
        <v>1395</v>
      </c>
      <c r="F891" s="2">
        <f>IFERROR(__xludf.DUMMYFUNCTION("""COMPUTED_VALUE"""),2.027136E8)</f>
        <v>202713600</v>
      </c>
      <c r="G891" s="2">
        <f t="shared" si="1"/>
        <v>70</v>
      </c>
    </row>
    <row r="892" ht="15.75" customHeight="1">
      <c r="A892" s="1">
        <f>IFERROR(__xludf.DUMMYFUNCTION("""COMPUTED_VALUE"""),45169.66666666667)</f>
        <v>45169.66667</v>
      </c>
      <c r="B892" s="2">
        <f>IFERROR(__xludf.DUMMYFUNCTION("""COMPUTED_VALUE"""),1395.0)</f>
        <v>1395</v>
      </c>
      <c r="C892" s="2">
        <f>IFERROR(__xludf.DUMMYFUNCTION("""COMPUTED_VALUE"""),1400.0)</f>
        <v>1400</v>
      </c>
      <c r="D892" s="2">
        <f>IFERROR(__xludf.DUMMYFUNCTION("""COMPUTED_VALUE"""),1370.0)</f>
        <v>1370</v>
      </c>
      <c r="E892" s="2">
        <f>IFERROR(__xludf.DUMMYFUNCTION("""COMPUTED_VALUE"""),1375.0)</f>
        <v>1375</v>
      </c>
      <c r="F892" s="2">
        <f>IFERROR(__xludf.DUMMYFUNCTION("""COMPUTED_VALUE"""),8.26574E7)</f>
        <v>82657400</v>
      </c>
      <c r="G892" s="2">
        <f t="shared" si="1"/>
        <v>30</v>
      </c>
    </row>
    <row r="893" ht="15.75" customHeight="1">
      <c r="A893" s="1">
        <f>IFERROR(__xludf.DUMMYFUNCTION("""COMPUTED_VALUE"""),45170.66666666667)</f>
        <v>45170.66667</v>
      </c>
      <c r="B893" s="2">
        <f>IFERROR(__xludf.DUMMYFUNCTION("""COMPUTED_VALUE"""),1350.0)</f>
        <v>1350</v>
      </c>
      <c r="C893" s="2">
        <f>IFERROR(__xludf.DUMMYFUNCTION("""COMPUTED_VALUE"""),1365.0)</f>
        <v>1365</v>
      </c>
      <c r="D893" s="2">
        <f>IFERROR(__xludf.DUMMYFUNCTION("""COMPUTED_VALUE"""),1335.0)</f>
        <v>1335</v>
      </c>
      <c r="E893" s="2">
        <f>IFERROR(__xludf.DUMMYFUNCTION("""COMPUTED_VALUE"""),1355.0)</f>
        <v>1355</v>
      </c>
      <c r="F893" s="2">
        <f>IFERROR(__xludf.DUMMYFUNCTION("""COMPUTED_VALUE"""),1.040008E8)</f>
        <v>104000800</v>
      </c>
      <c r="G893" s="2">
        <f t="shared" si="1"/>
        <v>40</v>
      </c>
    </row>
    <row r="894" ht="15.75" customHeight="1">
      <c r="A894" s="1">
        <f>IFERROR(__xludf.DUMMYFUNCTION("""COMPUTED_VALUE"""),45173.66666666667)</f>
        <v>45173.66667</v>
      </c>
      <c r="B894" s="2">
        <f>IFERROR(__xludf.DUMMYFUNCTION("""COMPUTED_VALUE"""),1360.0)</f>
        <v>1360</v>
      </c>
      <c r="C894" s="2">
        <f>IFERROR(__xludf.DUMMYFUNCTION("""COMPUTED_VALUE"""),1375.0)</f>
        <v>1375</v>
      </c>
      <c r="D894" s="2">
        <f>IFERROR(__xludf.DUMMYFUNCTION("""COMPUTED_VALUE"""),1340.0)</f>
        <v>1340</v>
      </c>
      <c r="E894" s="2">
        <f>IFERROR(__xludf.DUMMYFUNCTION("""COMPUTED_VALUE"""),1350.0)</f>
        <v>1350</v>
      </c>
      <c r="F894" s="2">
        <f>IFERROR(__xludf.DUMMYFUNCTION("""COMPUTED_VALUE"""),5.5758E7)</f>
        <v>55758000</v>
      </c>
      <c r="G894" s="2">
        <f t="shared" si="1"/>
        <v>35</v>
      </c>
    </row>
    <row r="895" ht="15.75" customHeight="1">
      <c r="A895" s="1">
        <f>IFERROR(__xludf.DUMMYFUNCTION("""COMPUTED_VALUE"""),45174.66666666667)</f>
        <v>45174.66667</v>
      </c>
      <c r="B895" s="2">
        <f>IFERROR(__xludf.DUMMYFUNCTION("""COMPUTED_VALUE"""),1350.0)</f>
        <v>1350</v>
      </c>
      <c r="C895" s="2">
        <f>IFERROR(__xludf.DUMMYFUNCTION("""COMPUTED_VALUE"""),1355.0)</f>
        <v>1355</v>
      </c>
      <c r="D895" s="2">
        <f>IFERROR(__xludf.DUMMYFUNCTION("""COMPUTED_VALUE"""),1340.0)</f>
        <v>1340</v>
      </c>
      <c r="E895" s="2">
        <f>IFERROR(__xludf.DUMMYFUNCTION("""COMPUTED_VALUE"""),1350.0)</f>
        <v>1350</v>
      </c>
      <c r="F895" s="2">
        <f>IFERROR(__xludf.DUMMYFUNCTION("""COMPUTED_VALUE"""),3.86521E7)</f>
        <v>38652100</v>
      </c>
      <c r="G895" s="2">
        <f t="shared" si="1"/>
        <v>15</v>
      </c>
    </row>
    <row r="896" ht="15.75" customHeight="1">
      <c r="A896" s="1">
        <f>IFERROR(__xludf.DUMMYFUNCTION("""COMPUTED_VALUE"""),45175.66666666667)</f>
        <v>45175.66667</v>
      </c>
      <c r="B896" s="2">
        <f>IFERROR(__xludf.DUMMYFUNCTION("""COMPUTED_VALUE"""),1360.0)</f>
        <v>1360</v>
      </c>
      <c r="C896" s="2">
        <f>IFERROR(__xludf.DUMMYFUNCTION("""COMPUTED_VALUE"""),1400.0)</f>
        <v>1400</v>
      </c>
      <c r="D896" s="2">
        <f>IFERROR(__xludf.DUMMYFUNCTION("""COMPUTED_VALUE"""),1360.0)</f>
        <v>1360</v>
      </c>
      <c r="E896" s="2">
        <f>IFERROR(__xludf.DUMMYFUNCTION("""COMPUTED_VALUE"""),1390.0)</f>
        <v>1390</v>
      </c>
      <c r="F896" s="2">
        <f>IFERROR(__xludf.DUMMYFUNCTION("""COMPUTED_VALUE"""),7.29233E7)</f>
        <v>72923300</v>
      </c>
      <c r="G896" s="2">
        <f t="shared" si="1"/>
        <v>50</v>
      </c>
    </row>
    <row r="897" ht="15.75" customHeight="1">
      <c r="A897" s="1">
        <f>IFERROR(__xludf.DUMMYFUNCTION("""COMPUTED_VALUE"""),45176.66666666667)</f>
        <v>45176.66667</v>
      </c>
      <c r="B897" s="2">
        <f>IFERROR(__xludf.DUMMYFUNCTION("""COMPUTED_VALUE"""),1395.0)</f>
        <v>1395</v>
      </c>
      <c r="C897" s="2">
        <f>IFERROR(__xludf.DUMMYFUNCTION("""COMPUTED_VALUE"""),1395.0)</f>
        <v>1395</v>
      </c>
      <c r="D897" s="2">
        <f>IFERROR(__xludf.DUMMYFUNCTION("""COMPUTED_VALUE"""),1355.0)</f>
        <v>1355</v>
      </c>
      <c r="E897" s="2">
        <f>IFERROR(__xludf.DUMMYFUNCTION("""COMPUTED_VALUE"""),1355.0)</f>
        <v>1355</v>
      </c>
      <c r="F897" s="2">
        <f>IFERROR(__xludf.DUMMYFUNCTION("""COMPUTED_VALUE"""),5.50261E7)</f>
        <v>55026100</v>
      </c>
      <c r="G897" s="2">
        <f t="shared" si="1"/>
        <v>40</v>
      </c>
    </row>
    <row r="898" ht="15.75" customHeight="1">
      <c r="A898" s="1">
        <f>IFERROR(__xludf.DUMMYFUNCTION("""COMPUTED_VALUE"""),45177.66666666667)</f>
        <v>45177.66667</v>
      </c>
      <c r="B898" s="2">
        <f>IFERROR(__xludf.DUMMYFUNCTION("""COMPUTED_VALUE"""),1350.0)</f>
        <v>1350</v>
      </c>
      <c r="C898" s="2">
        <f>IFERROR(__xludf.DUMMYFUNCTION("""COMPUTED_VALUE"""),1365.0)</f>
        <v>1365</v>
      </c>
      <c r="D898" s="2">
        <f>IFERROR(__xludf.DUMMYFUNCTION("""COMPUTED_VALUE"""),1350.0)</f>
        <v>1350</v>
      </c>
      <c r="E898" s="2">
        <f>IFERROR(__xludf.DUMMYFUNCTION("""COMPUTED_VALUE"""),1355.0)</f>
        <v>1355</v>
      </c>
      <c r="F898" s="2">
        <f>IFERROR(__xludf.DUMMYFUNCTION("""COMPUTED_VALUE"""),3.45098E7)</f>
        <v>34509800</v>
      </c>
      <c r="G898" s="2">
        <f t="shared" si="1"/>
        <v>15</v>
      </c>
    </row>
    <row r="899" ht="15.75" customHeight="1">
      <c r="A899" s="1">
        <f>IFERROR(__xludf.DUMMYFUNCTION("""COMPUTED_VALUE"""),45180.66666666667)</f>
        <v>45180.66667</v>
      </c>
      <c r="B899" s="2">
        <f>IFERROR(__xludf.DUMMYFUNCTION("""COMPUTED_VALUE"""),1355.0)</f>
        <v>1355</v>
      </c>
      <c r="C899" s="2">
        <f>IFERROR(__xludf.DUMMYFUNCTION("""COMPUTED_VALUE"""),1370.0)</f>
        <v>1370</v>
      </c>
      <c r="D899" s="2">
        <f>IFERROR(__xludf.DUMMYFUNCTION("""COMPUTED_VALUE"""),1355.0)</f>
        <v>1355</v>
      </c>
      <c r="E899" s="2">
        <f>IFERROR(__xludf.DUMMYFUNCTION("""COMPUTED_VALUE"""),1355.0)</f>
        <v>1355</v>
      </c>
      <c r="F899" s="2">
        <f>IFERROR(__xludf.DUMMYFUNCTION("""COMPUTED_VALUE"""),2.42352E7)</f>
        <v>24235200</v>
      </c>
      <c r="G899" s="2">
        <f t="shared" si="1"/>
        <v>15</v>
      </c>
    </row>
    <row r="900" ht="15.75" customHeight="1">
      <c r="A900" s="1">
        <f>IFERROR(__xludf.DUMMYFUNCTION("""COMPUTED_VALUE"""),45181.66666666667)</f>
        <v>45181.66667</v>
      </c>
      <c r="B900" s="2">
        <f>IFERROR(__xludf.DUMMYFUNCTION("""COMPUTED_VALUE"""),1355.0)</f>
        <v>1355</v>
      </c>
      <c r="C900" s="2">
        <f>IFERROR(__xludf.DUMMYFUNCTION("""COMPUTED_VALUE"""),1365.0)</f>
        <v>1365</v>
      </c>
      <c r="D900" s="2">
        <f>IFERROR(__xludf.DUMMYFUNCTION("""COMPUTED_VALUE"""),1340.0)</f>
        <v>1340</v>
      </c>
      <c r="E900" s="2">
        <f>IFERROR(__xludf.DUMMYFUNCTION("""COMPUTED_VALUE"""),1345.0)</f>
        <v>1345</v>
      </c>
      <c r="F900" s="2">
        <f>IFERROR(__xludf.DUMMYFUNCTION("""COMPUTED_VALUE"""),3.29042E7)</f>
        <v>32904200</v>
      </c>
      <c r="G900" s="2">
        <f t="shared" si="1"/>
        <v>25</v>
      </c>
    </row>
    <row r="901" ht="15.75" customHeight="1">
      <c r="A901" s="1">
        <f>IFERROR(__xludf.DUMMYFUNCTION("""COMPUTED_VALUE"""),45182.66666666667)</f>
        <v>45182.66667</v>
      </c>
      <c r="B901" s="2">
        <f>IFERROR(__xludf.DUMMYFUNCTION("""COMPUTED_VALUE"""),1360.0)</f>
        <v>1360</v>
      </c>
      <c r="C901" s="2">
        <f>IFERROR(__xludf.DUMMYFUNCTION("""COMPUTED_VALUE"""),1435.0)</f>
        <v>1435</v>
      </c>
      <c r="D901" s="2">
        <f>IFERROR(__xludf.DUMMYFUNCTION("""COMPUTED_VALUE"""),1355.0)</f>
        <v>1355</v>
      </c>
      <c r="E901" s="2">
        <f>IFERROR(__xludf.DUMMYFUNCTION("""COMPUTED_VALUE"""),1435.0)</f>
        <v>1435</v>
      </c>
      <c r="F901" s="2">
        <f>IFERROR(__xludf.DUMMYFUNCTION("""COMPUTED_VALUE"""),1.137035E8)</f>
        <v>113703500</v>
      </c>
      <c r="G901" s="2">
        <f t="shared" si="1"/>
        <v>90</v>
      </c>
    </row>
    <row r="902" ht="15.75" customHeight="1">
      <c r="A902" s="1">
        <f>IFERROR(__xludf.DUMMYFUNCTION("""COMPUTED_VALUE"""),45183.66666666667)</f>
        <v>45183.66667</v>
      </c>
      <c r="B902" s="2">
        <f>IFERROR(__xludf.DUMMYFUNCTION("""COMPUTED_VALUE"""),1445.0)</f>
        <v>1445</v>
      </c>
      <c r="C902" s="2">
        <f>IFERROR(__xludf.DUMMYFUNCTION("""COMPUTED_VALUE"""),1480.0)</f>
        <v>1480</v>
      </c>
      <c r="D902" s="2">
        <f>IFERROR(__xludf.DUMMYFUNCTION("""COMPUTED_VALUE"""),1405.0)</f>
        <v>1405</v>
      </c>
      <c r="E902" s="2">
        <f>IFERROR(__xludf.DUMMYFUNCTION("""COMPUTED_VALUE"""),1405.0)</f>
        <v>1405</v>
      </c>
      <c r="F902" s="2">
        <f>IFERROR(__xludf.DUMMYFUNCTION("""COMPUTED_VALUE"""),1.522794E8)</f>
        <v>152279400</v>
      </c>
      <c r="G902" s="2">
        <f t="shared" si="1"/>
        <v>75</v>
      </c>
    </row>
    <row r="903" ht="15.75" customHeight="1">
      <c r="A903" s="1">
        <f>IFERROR(__xludf.DUMMYFUNCTION("""COMPUTED_VALUE"""),45184.66666666667)</f>
        <v>45184.66667</v>
      </c>
      <c r="B903" s="2">
        <f>IFERROR(__xludf.DUMMYFUNCTION("""COMPUTED_VALUE"""),1420.0)</f>
        <v>1420</v>
      </c>
      <c r="C903" s="2">
        <f>IFERROR(__xludf.DUMMYFUNCTION("""COMPUTED_VALUE"""),1425.0)</f>
        <v>1425</v>
      </c>
      <c r="D903" s="2">
        <f>IFERROR(__xludf.DUMMYFUNCTION("""COMPUTED_VALUE"""),1375.0)</f>
        <v>1375</v>
      </c>
      <c r="E903" s="2">
        <f>IFERROR(__xludf.DUMMYFUNCTION("""COMPUTED_VALUE"""),1380.0)</f>
        <v>1380</v>
      </c>
      <c r="F903" s="2">
        <f>IFERROR(__xludf.DUMMYFUNCTION("""COMPUTED_VALUE"""),1.305191E8)</f>
        <v>130519100</v>
      </c>
      <c r="G903" s="2">
        <f t="shared" si="1"/>
        <v>50</v>
      </c>
    </row>
    <row r="904" ht="15.75" customHeight="1">
      <c r="A904" s="1">
        <f>IFERROR(__xludf.DUMMYFUNCTION("""COMPUTED_VALUE"""),45187.66666666667)</f>
        <v>45187.66667</v>
      </c>
      <c r="B904" s="2">
        <f>IFERROR(__xludf.DUMMYFUNCTION("""COMPUTED_VALUE"""),1390.0)</f>
        <v>1390</v>
      </c>
      <c r="C904" s="2">
        <f>IFERROR(__xludf.DUMMYFUNCTION("""COMPUTED_VALUE"""),1405.0)</f>
        <v>1405</v>
      </c>
      <c r="D904" s="2">
        <f>IFERROR(__xludf.DUMMYFUNCTION("""COMPUTED_VALUE"""),1380.0)</f>
        <v>1380</v>
      </c>
      <c r="E904" s="2">
        <f>IFERROR(__xludf.DUMMYFUNCTION("""COMPUTED_VALUE"""),1390.0)</f>
        <v>1390</v>
      </c>
      <c r="F904" s="2">
        <f>IFERROR(__xludf.DUMMYFUNCTION("""COMPUTED_VALUE"""),4.11053E7)</f>
        <v>41105300</v>
      </c>
      <c r="G904" s="2">
        <f t="shared" si="1"/>
        <v>25</v>
      </c>
    </row>
    <row r="905" ht="15.75" customHeight="1">
      <c r="A905" s="1">
        <f>IFERROR(__xludf.DUMMYFUNCTION("""COMPUTED_VALUE"""),45188.66666666667)</f>
        <v>45188.66667</v>
      </c>
      <c r="B905" s="2">
        <f>IFERROR(__xludf.DUMMYFUNCTION("""COMPUTED_VALUE"""),1395.0)</f>
        <v>1395</v>
      </c>
      <c r="C905" s="2">
        <f>IFERROR(__xludf.DUMMYFUNCTION("""COMPUTED_VALUE"""),1405.0)</f>
        <v>1405</v>
      </c>
      <c r="D905" s="2">
        <f>IFERROR(__xludf.DUMMYFUNCTION("""COMPUTED_VALUE"""),1380.0)</f>
        <v>1380</v>
      </c>
      <c r="E905" s="2">
        <f>IFERROR(__xludf.DUMMYFUNCTION("""COMPUTED_VALUE"""),1385.0)</f>
        <v>1385</v>
      </c>
      <c r="F905" s="2">
        <f>IFERROR(__xludf.DUMMYFUNCTION("""COMPUTED_VALUE"""),4.88767E7)</f>
        <v>48876700</v>
      </c>
      <c r="G905" s="2">
        <f t="shared" si="1"/>
        <v>25</v>
      </c>
    </row>
    <row r="906" ht="15.75" customHeight="1">
      <c r="A906" s="1">
        <f>IFERROR(__xludf.DUMMYFUNCTION("""COMPUTED_VALUE"""),45189.66666666667)</f>
        <v>45189.66667</v>
      </c>
      <c r="B906" s="2">
        <f>IFERROR(__xludf.DUMMYFUNCTION("""COMPUTED_VALUE"""),1390.0)</f>
        <v>1390</v>
      </c>
      <c r="C906" s="2">
        <f>IFERROR(__xludf.DUMMYFUNCTION("""COMPUTED_VALUE"""),1420.0)</f>
        <v>1420</v>
      </c>
      <c r="D906" s="2">
        <f>IFERROR(__xludf.DUMMYFUNCTION("""COMPUTED_VALUE"""),1385.0)</f>
        <v>1385</v>
      </c>
      <c r="E906" s="2">
        <f>IFERROR(__xludf.DUMMYFUNCTION("""COMPUTED_VALUE"""),1390.0)</f>
        <v>1390</v>
      </c>
      <c r="F906" s="2">
        <f>IFERROR(__xludf.DUMMYFUNCTION("""COMPUTED_VALUE"""),6.23298E7)</f>
        <v>62329800</v>
      </c>
      <c r="G906" s="2">
        <f t="shared" si="1"/>
        <v>35</v>
      </c>
    </row>
    <row r="907" ht="15.75" customHeight="1">
      <c r="A907" s="1">
        <f>IFERROR(__xludf.DUMMYFUNCTION("""COMPUTED_VALUE"""),45190.66666666667)</f>
        <v>45190.66667</v>
      </c>
      <c r="B907" s="2">
        <f>IFERROR(__xludf.DUMMYFUNCTION("""COMPUTED_VALUE"""),1395.0)</f>
        <v>1395</v>
      </c>
      <c r="C907" s="2">
        <f>IFERROR(__xludf.DUMMYFUNCTION("""COMPUTED_VALUE"""),1395.0)</f>
        <v>1395</v>
      </c>
      <c r="D907" s="2">
        <f>IFERROR(__xludf.DUMMYFUNCTION("""COMPUTED_VALUE"""),1370.0)</f>
        <v>1370</v>
      </c>
      <c r="E907" s="2">
        <f>IFERROR(__xludf.DUMMYFUNCTION("""COMPUTED_VALUE"""),1375.0)</f>
        <v>1375</v>
      </c>
      <c r="F907" s="2">
        <f>IFERROR(__xludf.DUMMYFUNCTION("""COMPUTED_VALUE"""),3.2412E7)</f>
        <v>32412000</v>
      </c>
      <c r="G907" s="2">
        <f t="shared" si="1"/>
        <v>25</v>
      </c>
    </row>
    <row r="908" ht="15.75" customHeight="1">
      <c r="A908" s="1">
        <f>IFERROR(__xludf.DUMMYFUNCTION("""COMPUTED_VALUE"""),45191.66666666667)</f>
        <v>45191.66667</v>
      </c>
      <c r="B908" s="2">
        <f>IFERROR(__xludf.DUMMYFUNCTION("""COMPUTED_VALUE"""),1375.0)</f>
        <v>1375</v>
      </c>
      <c r="C908" s="2">
        <f>IFERROR(__xludf.DUMMYFUNCTION("""COMPUTED_VALUE"""),1390.0)</f>
        <v>1390</v>
      </c>
      <c r="D908" s="2">
        <f>IFERROR(__xludf.DUMMYFUNCTION("""COMPUTED_VALUE"""),1370.0)</f>
        <v>1370</v>
      </c>
      <c r="E908" s="2">
        <f>IFERROR(__xludf.DUMMYFUNCTION("""COMPUTED_VALUE"""),1380.0)</f>
        <v>1380</v>
      </c>
      <c r="F908" s="2">
        <f>IFERROR(__xludf.DUMMYFUNCTION("""COMPUTED_VALUE"""),2.1267E7)</f>
        <v>21267000</v>
      </c>
      <c r="G908" s="2">
        <f t="shared" si="1"/>
        <v>20</v>
      </c>
    </row>
    <row r="909" ht="15.75" customHeight="1">
      <c r="A909" s="1">
        <f>IFERROR(__xludf.DUMMYFUNCTION("""COMPUTED_VALUE"""),45194.66666666667)</f>
        <v>45194.66667</v>
      </c>
      <c r="B909" s="2">
        <f>IFERROR(__xludf.DUMMYFUNCTION("""COMPUTED_VALUE"""),1385.0)</f>
        <v>1385</v>
      </c>
      <c r="C909" s="2">
        <f>IFERROR(__xludf.DUMMYFUNCTION("""COMPUTED_VALUE"""),1405.0)</f>
        <v>1405</v>
      </c>
      <c r="D909" s="2">
        <f>IFERROR(__xludf.DUMMYFUNCTION("""COMPUTED_VALUE"""),1385.0)</f>
        <v>1385</v>
      </c>
      <c r="E909" s="2">
        <f>IFERROR(__xludf.DUMMYFUNCTION("""COMPUTED_VALUE"""),1385.0)</f>
        <v>1385</v>
      </c>
      <c r="F909" s="2">
        <f>IFERROR(__xludf.DUMMYFUNCTION("""COMPUTED_VALUE"""),3.71156E7)</f>
        <v>37115600</v>
      </c>
      <c r="G909" s="2">
        <f t="shared" si="1"/>
        <v>25</v>
      </c>
    </row>
    <row r="910" ht="15.75" customHeight="1">
      <c r="A910" s="1">
        <f>IFERROR(__xludf.DUMMYFUNCTION("""COMPUTED_VALUE"""),45195.66666666667)</f>
        <v>45195.66667</v>
      </c>
      <c r="B910" s="2">
        <f>IFERROR(__xludf.DUMMYFUNCTION("""COMPUTED_VALUE"""),1400.0)</f>
        <v>1400</v>
      </c>
      <c r="C910" s="2">
        <f>IFERROR(__xludf.DUMMYFUNCTION("""COMPUTED_VALUE"""),1405.0)</f>
        <v>1405</v>
      </c>
      <c r="D910" s="2">
        <f>IFERROR(__xludf.DUMMYFUNCTION("""COMPUTED_VALUE"""),1380.0)</f>
        <v>1380</v>
      </c>
      <c r="E910" s="2">
        <f>IFERROR(__xludf.DUMMYFUNCTION("""COMPUTED_VALUE"""),1385.0)</f>
        <v>1385</v>
      </c>
      <c r="F910" s="2">
        <f>IFERROR(__xludf.DUMMYFUNCTION("""COMPUTED_VALUE"""),3.44502E7)</f>
        <v>34450200</v>
      </c>
      <c r="G910" s="2">
        <f t="shared" si="1"/>
        <v>25</v>
      </c>
    </row>
    <row r="911" ht="15.75" customHeight="1">
      <c r="A911" s="1">
        <f>IFERROR(__xludf.DUMMYFUNCTION("""COMPUTED_VALUE"""),45196.66666666667)</f>
        <v>45196.66667</v>
      </c>
      <c r="B911" s="2">
        <f>IFERROR(__xludf.DUMMYFUNCTION("""COMPUTED_VALUE"""),1385.0)</f>
        <v>1385</v>
      </c>
      <c r="C911" s="2">
        <f>IFERROR(__xludf.DUMMYFUNCTION("""COMPUTED_VALUE"""),1395.0)</f>
        <v>1395</v>
      </c>
      <c r="D911" s="2">
        <f>IFERROR(__xludf.DUMMYFUNCTION("""COMPUTED_VALUE"""),1370.0)</f>
        <v>1370</v>
      </c>
      <c r="E911" s="2">
        <f>IFERROR(__xludf.DUMMYFUNCTION("""COMPUTED_VALUE"""),1375.0)</f>
        <v>1375</v>
      </c>
      <c r="F911" s="2">
        <f>IFERROR(__xludf.DUMMYFUNCTION("""COMPUTED_VALUE"""),2.72937E7)</f>
        <v>27293700</v>
      </c>
      <c r="G911" s="2">
        <f t="shared" si="1"/>
        <v>25</v>
      </c>
    </row>
    <row r="912" ht="15.75" customHeight="1">
      <c r="A912" s="1">
        <f>IFERROR(__xludf.DUMMYFUNCTION("""COMPUTED_VALUE"""),45198.66666666667)</f>
        <v>45198.66667</v>
      </c>
      <c r="B912" s="2">
        <f>IFERROR(__xludf.DUMMYFUNCTION("""COMPUTED_VALUE"""),1385.0)</f>
        <v>1385</v>
      </c>
      <c r="C912" s="2">
        <f>IFERROR(__xludf.DUMMYFUNCTION("""COMPUTED_VALUE"""),1385.0)</f>
        <v>1385</v>
      </c>
      <c r="D912" s="2">
        <f>IFERROR(__xludf.DUMMYFUNCTION("""COMPUTED_VALUE"""),1375.0)</f>
        <v>1375</v>
      </c>
      <c r="E912" s="2">
        <f>IFERROR(__xludf.DUMMYFUNCTION("""COMPUTED_VALUE"""),1375.0)</f>
        <v>1375</v>
      </c>
      <c r="F912" s="2">
        <f>IFERROR(__xludf.DUMMYFUNCTION("""COMPUTED_VALUE"""),2.40254E7)</f>
        <v>24025400</v>
      </c>
      <c r="G912" s="2">
        <f t="shared" si="1"/>
        <v>10</v>
      </c>
    </row>
    <row r="913" ht="15.75" customHeight="1">
      <c r="A913" s="1">
        <f>IFERROR(__xludf.DUMMYFUNCTION("""COMPUTED_VALUE"""),45201.66666666667)</f>
        <v>45201.66667</v>
      </c>
      <c r="B913" s="2">
        <f>IFERROR(__xludf.DUMMYFUNCTION("""COMPUTED_VALUE"""),1375.0)</f>
        <v>1375</v>
      </c>
      <c r="C913" s="2">
        <f>IFERROR(__xludf.DUMMYFUNCTION("""COMPUTED_VALUE"""),1385.0)</f>
        <v>1385</v>
      </c>
      <c r="D913" s="2">
        <f>IFERROR(__xludf.DUMMYFUNCTION("""COMPUTED_VALUE"""),1365.0)</f>
        <v>1365</v>
      </c>
      <c r="E913" s="2">
        <f>IFERROR(__xludf.DUMMYFUNCTION("""COMPUTED_VALUE"""),1375.0)</f>
        <v>1375</v>
      </c>
      <c r="F913" s="2">
        <f>IFERROR(__xludf.DUMMYFUNCTION("""COMPUTED_VALUE"""),2.50323E7)</f>
        <v>25032300</v>
      </c>
      <c r="G913" s="2">
        <f t="shared" si="1"/>
        <v>20</v>
      </c>
    </row>
    <row r="914" ht="15.75" customHeight="1">
      <c r="A914" s="1">
        <f>IFERROR(__xludf.DUMMYFUNCTION("""COMPUTED_VALUE"""),45202.66666666667)</f>
        <v>45202.66667</v>
      </c>
      <c r="B914" s="2">
        <f>IFERROR(__xludf.DUMMYFUNCTION("""COMPUTED_VALUE"""),1375.0)</f>
        <v>1375</v>
      </c>
      <c r="C914" s="2">
        <f>IFERROR(__xludf.DUMMYFUNCTION("""COMPUTED_VALUE"""),1375.0)</f>
        <v>1375</v>
      </c>
      <c r="D914" s="2">
        <f>IFERROR(__xludf.DUMMYFUNCTION("""COMPUTED_VALUE"""),1355.0)</f>
        <v>1355</v>
      </c>
      <c r="E914" s="2">
        <f>IFERROR(__xludf.DUMMYFUNCTION("""COMPUTED_VALUE"""),1360.0)</f>
        <v>1360</v>
      </c>
      <c r="F914" s="2">
        <f>IFERROR(__xludf.DUMMYFUNCTION("""COMPUTED_VALUE"""),3.94986E7)</f>
        <v>39498600</v>
      </c>
      <c r="G914" s="2">
        <f t="shared" si="1"/>
        <v>20</v>
      </c>
    </row>
    <row r="915" ht="15.75" customHeight="1">
      <c r="A915" s="1">
        <f>IFERROR(__xludf.DUMMYFUNCTION("""COMPUTED_VALUE"""),45203.66666666667)</f>
        <v>45203.66667</v>
      </c>
      <c r="B915" s="2">
        <f>IFERROR(__xludf.DUMMYFUNCTION("""COMPUTED_VALUE"""),1360.0)</f>
        <v>1360</v>
      </c>
      <c r="C915" s="2">
        <f>IFERROR(__xludf.DUMMYFUNCTION("""COMPUTED_VALUE"""),1370.0)</f>
        <v>1370</v>
      </c>
      <c r="D915" s="2">
        <f>IFERROR(__xludf.DUMMYFUNCTION("""COMPUTED_VALUE"""),1345.0)</f>
        <v>1345</v>
      </c>
      <c r="E915" s="2">
        <f>IFERROR(__xludf.DUMMYFUNCTION("""COMPUTED_VALUE"""),1360.0)</f>
        <v>1360</v>
      </c>
      <c r="F915" s="2">
        <f>IFERROR(__xludf.DUMMYFUNCTION("""COMPUTED_VALUE"""),3.23946E7)</f>
        <v>32394600</v>
      </c>
      <c r="G915" s="2">
        <f t="shared" si="1"/>
        <v>25</v>
      </c>
    </row>
    <row r="916" ht="15.75" customHeight="1">
      <c r="A916" s="1">
        <f>IFERROR(__xludf.DUMMYFUNCTION("""COMPUTED_VALUE"""),45204.66666666667)</f>
        <v>45204.66667</v>
      </c>
      <c r="B916" s="2">
        <f>IFERROR(__xludf.DUMMYFUNCTION("""COMPUTED_VALUE"""),1360.0)</f>
        <v>1360</v>
      </c>
      <c r="C916" s="2">
        <f>IFERROR(__xludf.DUMMYFUNCTION("""COMPUTED_VALUE"""),1365.0)</f>
        <v>1365</v>
      </c>
      <c r="D916" s="2">
        <f>IFERROR(__xludf.DUMMYFUNCTION("""COMPUTED_VALUE"""),1340.0)</f>
        <v>1340</v>
      </c>
      <c r="E916" s="2">
        <f>IFERROR(__xludf.DUMMYFUNCTION("""COMPUTED_VALUE"""),1340.0)</f>
        <v>1340</v>
      </c>
      <c r="F916" s="2">
        <f>IFERROR(__xludf.DUMMYFUNCTION("""COMPUTED_VALUE"""),3.55433E7)</f>
        <v>35543300</v>
      </c>
      <c r="G916" s="2">
        <f t="shared" si="1"/>
        <v>25</v>
      </c>
    </row>
    <row r="917" ht="15.75" customHeight="1">
      <c r="A917" s="1">
        <f>IFERROR(__xludf.DUMMYFUNCTION("""COMPUTED_VALUE"""),45205.66666666667)</f>
        <v>45205.66667</v>
      </c>
      <c r="B917" s="2">
        <f>IFERROR(__xludf.DUMMYFUNCTION("""COMPUTED_VALUE"""),1350.0)</f>
        <v>1350</v>
      </c>
      <c r="C917" s="2">
        <f>IFERROR(__xludf.DUMMYFUNCTION("""COMPUTED_VALUE"""),1370.0)</f>
        <v>1370</v>
      </c>
      <c r="D917" s="2">
        <f>IFERROR(__xludf.DUMMYFUNCTION("""COMPUTED_VALUE"""),1350.0)</f>
        <v>1350</v>
      </c>
      <c r="E917" s="2">
        <f>IFERROR(__xludf.DUMMYFUNCTION("""COMPUTED_VALUE"""),1355.0)</f>
        <v>1355</v>
      </c>
      <c r="F917" s="2">
        <f>IFERROR(__xludf.DUMMYFUNCTION("""COMPUTED_VALUE"""),2.10867E7)</f>
        <v>21086700</v>
      </c>
      <c r="G917" s="2">
        <f t="shared" si="1"/>
        <v>30</v>
      </c>
    </row>
    <row r="918" ht="15.75" customHeight="1">
      <c r="A918" s="1">
        <f>IFERROR(__xludf.DUMMYFUNCTION("""COMPUTED_VALUE"""),45208.66666666667)</f>
        <v>45208.66667</v>
      </c>
      <c r="B918" s="2">
        <f>IFERROR(__xludf.DUMMYFUNCTION("""COMPUTED_VALUE"""),1370.0)</f>
        <v>1370</v>
      </c>
      <c r="C918" s="2">
        <f>IFERROR(__xludf.DUMMYFUNCTION("""COMPUTED_VALUE"""),1405.0)</f>
        <v>1405</v>
      </c>
      <c r="D918" s="2">
        <f>IFERROR(__xludf.DUMMYFUNCTION("""COMPUTED_VALUE"""),1370.0)</f>
        <v>1370</v>
      </c>
      <c r="E918" s="2">
        <f>IFERROR(__xludf.DUMMYFUNCTION("""COMPUTED_VALUE"""),1395.0)</f>
        <v>1395</v>
      </c>
      <c r="F918" s="2">
        <f>IFERROR(__xludf.DUMMYFUNCTION("""COMPUTED_VALUE"""),5.87797E7)</f>
        <v>58779700</v>
      </c>
      <c r="G918" s="2">
        <f t="shared" si="1"/>
        <v>50</v>
      </c>
    </row>
    <row r="919" ht="15.75" customHeight="1">
      <c r="A919" s="1">
        <f>IFERROR(__xludf.DUMMYFUNCTION("""COMPUTED_VALUE"""),45209.66666666667)</f>
        <v>45209.66667</v>
      </c>
      <c r="B919" s="2">
        <f>IFERROR(__xludf.DUMMYFUNCTION("""COMPUTED_VALUE"""),1405.0)</f>
        <v>1405</v>
      </c>
      <c r="C919" s="2">
        <f>IFERROR(__xludf.DUMMYFUNCTION("""COMPUTED_VALUE"""),1415.0)</f>
        <v>1415</v>
      </c>
      <c r="D919" s="2">
        <f>IFERROR(__xludf.DUMMYFUNCTION("""COMPUTED_VALUE"""),1395.0)</f>
        <v>1395</v>
      </c>
      <c r="E919" s="2">
        <f>IFERROR(__xludf.DUMMYFUNCTION("""COMPUTED_VALUE"""),1400.0)</f>
        <v>1400</v>
      </c>
      <c r="F919" s="2">
        <f>IFERROR(__xludf.DUMMYFUNCTION("""COMPUTED_VALUE"""),3.20791E7)</f>
        <v>32079100</v>
      </c>
      <c r="G919" s="2">
        <f t="shared" si="1"/>
        <v>20</v>
      </c>
    </row>
    <row r="920" ht="15.75" customHeight="1">
      <c r="A920" s="1">
        <f>IFERROR(__xludf.DUMMYFUNCTION("""COMPUTED_VALUE"""),45210.66666666667)</f>
        <v>45210.66667</v>
      </c>
      <c r="B920" s="2">
        <f>IFERROR(__xludf.DUMMYFUNCTION("""COMPUTED_VALUE"""),1410.0)</f>
        <v>1410</v>
      </c>
      <c r="C920" s="2">
        <f>IFERROR(__xludf.DUMMYFUNCTION("""COMPUTED_VALUE"""),1420.0)</f>
        <v>1420</v>
      </c>
      <c r="D920" s="2">
        <f>IFERROR(__xludf.DUMMYFUNCTION("""COMPUTED_VALUE"""),1390.0)</f>
        <v>1390</v>
      </c>
      <c r="E920" s="2">
        <f>IFERROR(__xludf.DUMMYFUNCTION("""COMPUTED_VALUE"""),1390.0)</f>
        <v>1390</v>
      </c>
      <c r="F920" s="2">
        <f>IFERROR(__xludf.DUMMYFUNCTION("""COMPUTED_VALUE"""),3.64256E7)</f>
        <v>36425600</v>
      </c>
      <c r="G920" s="2">
        <f t="shared" si="1"/>
        <v>30</v>
      </c>
    </row>
    <row r="921" ht="15.75" customHeight="1">
      <c r="A921" s="1">
        <f>IFERROR(__xludf.DUMMYFUNCTION("""COMPUTED_VALUE"""),45211.66666666667)</f>
        <v>45211.66667</v>
      </c>
      <c r="B921" s="2">
        <f>IFERROR(__xludf.DUMMYFUNCTION("""COMPUTED_VALUE"""),1395.0)</f>
        <v>1395</v>
      </c>
      <c r="C921" s="2">
        <f>IFERROR(__xludf.DUMMYFUNCTION("""COMPUTED_VALUE"""),1400.0)</f>
        <v>1400</v>
      </c>
      <c r="D921" s="2">
        <f>IFERROR(__xludf.DUMMYFUNCTION("""COMPUTED_VALUE"""),1380.0)</f>
        <v>1380</v>
      </c>
      <c r="E921" s="2">
        <f>IFERROR(__xludf.DUMMYFUNCTION("""COMPUTED_VALUE"""),1385.0)</f>
        <v>1385</v>
      </c>
      <c r="F921" s="2">
        <f>IFERROR(__xludf.DUMMYFUNCTION("""COMPUTED_VALUE"""),2.31115E7)</f>
        <v>23111500</v>
      </c>
      <c r="G921" s="2">
        <f t="shared" si="1"/>
        <v>20</v>
      </c>
    </row>
    <row r="922" ht="15.75" customHeight="1">
      <c r="A922" s="1">
        <f>IFERROR(__xludf.DUMMYFUNCTION("""COMPUTED_VALUE"""),45212.66666666667)</f>
        <v>45212.66667</v>
      </c>
      <c r="B922" s="2">
        <f>IFERROR(__xludf.DUMMYFUNCTION("""COMPUTED_VALUE"""),1395.0)</f>
        <v>1395</v>
      </c>
      <c r="C922" s="2">
        <f>IFERROR(__xludf.DUMMYFUNCTION("""COMPUTED_VALUE"""),1415.0)</f>
        <v>1415</v>
      </c>
      <c r="D922" s="2">
        <f>IFERROR(__xludf.DUMMYFUNCTION("""COMPUTED_VALUE"""),1390.0)</f>
        <v>1390</v>
      </c>
      <c r="E922" s="2">
        <f>IFERROR(__xludf.DUMMYFUNCTION("""COMPUTED_VALUE"""),1400.0)</f>
        <v>1400</v>
      </c>
      <c r="F922" s="2">
        <f>IFERROR(__xludf.DUMMYFUNCTION("""COMPUTED_VALUE"""),3.77021E7)</f>
        <v>37702100</v>
      </c>
      <c r="G922" s="2">
        <f t="shared" si="1"/>
        <v>30</v>
      </c>
    </row>
    <row r="923" ht="15.75" customHeight="1">
      <c r="A923" s="1">
        <f>IFERROR(__xludf.DUMMYFUNCTION("""COMPUTED_VALUE"""),45215.66666666667)</f>
        <v>45215.66667</v>
      </c>
      <c r="B923" s="2">
        <f>IFERROR(__xludf.DUMMYFUNCTION("""COMPUTED_VALUE"""),1415.0)</f>
        <v>1415</v>
      </c>
      <c r="C923" s="2">
        <f>IFERROR(__xludf.DUMMYFUNCTION("""COMPUTED_VALUE"""),1420.0)</f>
        <v>1420</v>
      </c>
      <c r="D923" s="2">
        <f>IFERROR(__xludf.DUMMYFUNCTION("""COMPUTED_VALUE"""),1385.0)</f>
        <v>1385</v>
      </c>
      <c r="E923" s="2">
        <f>IFERROR(__xludf.DUMMYFUNCTION("""COMPUTED_VALUE"""),1400.0)</f>
        <v>1400</v>
      </c>
      <c r="F923" s="2">
        <f>IFERROR(__xludf.DUMMYFUNCTION("""COMPUTED_VALUE"""),3.14762E7)</f>
        <v>31476200</v>
      </c>
      <c r="G923" s="2">
        <f t="shared" si="1"/>
        <v>35</v>
      </c>
    </row>
    <row r="924" ht="15.75" customHeight="1">
      <c r="A924" s="1">
        <f>IFERROR(__xludf.DUMMYFUNCTION("""COMPUTED_VALUE"""),45216.66666666667)</f>
        <v>45216.66667</v>
      </c>
      <c r="B924" s="2">
        <f>IFERROR(__xludf.DUMMYFUNCTION("""COMPUTED_VALUE"""),1405.0)</f>
        <v>1405</v>
      </c>
      <c r="C924" s="2">
        <f>IFERROR(__xludf.DUMMYFUNCTION("""COMPUTED_VALUE"""),1405.0)</f>
        <v>1405</v>
      </c>
      <c r="D924" s="2">
        <f>IFERROR(__xludf.DUMMYFUNCTION("""COMPUTED_VALUE"""),1370.0)</f>
        <v>1370</v>
      </c>
      <c r="E924" s="2">
        <f>IFERROR(__xludf.DUMMYFUNCTION("""COMPUTED_VALUE"""),1385.0)</f>
        <v>1385</v>
      </c>
      <c r="F924" s="2">
        <f>IFERROR(__xludf.DUMMYFUNCTION("""COMPUTED_VALUE"""),2.51856E7)</f>
        <v>25185600</v>
      </c>
      <c r="G924" s="2">
        <f t="shared" si="1"/>
        <v>35</v>
      </c>
    </row>
    <row r="925" ht="15.75" customHeight="1">
      <c r="A925" s="1">
        <f>IFERROR(__xludf.DUMMYFUNCTION("""COMPUTED_VALUE"""),45217.66666666667)</f>
        <v>45217.66667</v>
      </c>
      <c r="B925" s="2">
        <f>IFERROR(__xludf.DUMMYFUNCTION("""COMPUTED_VALUE"""),1390.0)</f>
        <v>1390</v>
      </c>
      <c r="C925" s="2">
        <f>IFERROR(__xludf.DUMMYFUNCTION("""COMPUTED_VALUE"""),1405.0)</f>
        <v>1405</v>
      </c>
      <c r="D925" s="2">
        <f>IFERROR(__xludf.DUMMYFUNCTION("""COMPUTED_VALUE"""),1385.0)</f>
        <v>1385</v>
      </c>
      <c r="E925" s="2">
        <f>IFERROR(__xludf.DUMMYFUNCTION("""COMPUTED_VALUE"""),1385.0)</f>
        <v>1385</v>
      </c>
      <c r="F925" s="2">
        <f>IFERROR(__xludf.DUMMYFUNCTION("""COMPUTED_VALUE"""),2.36909E7)</f>
        <v>23690900</v>
      </c>
      <c r="G925" s="2">
        <f t="shared" si="1"/>
        <v>20</v>
      </c>
    </row>
    <row r="926" ht="15.75" customHeight="1">
      <c r="A926" s="1">
        <f>IFERROR(__xludf.DUMMYFUNCTION("""COMPUTED_VALUE"""),45218.66666666667)</f>
        <v>45218.66667</v>
      </c>
      <c r="B926" s="2">
        <f>IFERROR(__xludf.DUMMYFUNCTION("""COMPUTED_VALUE"""),1385.0)</f>
        <v>1385</v>
      </c>
      <c r="C926" s="2">
        <f>IFERROR(__xludf.DUMMYFUNCTION("""COMPUTED_VALUE"""),1395.0)</f>
        <v>1395</v>
      </c>
      <c r="D926" s="2">
        <f>IFERROR(__xludf.DUMMYFUNCTION("""COMPUTED_VALUE"""),1365.0)</f>
        <v>1365</v>
      </c>
      <c r="E926" s="2">
        <f>IFERROR(__xludf.DUMMYFUNCTION("""COMPUTED_VALUE"""),1365.0)</f>
        <v>1365</v>
      </c>
      <c r="F926" s="2">
        <f>IFERROR(__xludf.DUMMYFUNCTION("""COMPUTED_VALUE"""),2.03738E7)</f>
        <v>20373800</v>
      </c>
      <c r="G926" s="2">
        <f t="shared" si="1"/>
        <v>30</v>
      </c>
    </row>
    <row r="927" ht="15.75" customHeight="1">
      <c r="A927" s="1">
        <f>IFERROR(__xludf.DUMMYFUNCTION("""COMPUTED_VALUE"""),45219.66666666667)</f>
        <v>45219.66667</v>
      </c>
      <c r="B927" s="2">
        <f>IFERROR(__xludf.DUMMYFUNCTION("""COMPUTED_VALUE"""),1365.0)</f>
        <v>1365</v>
      </c>
      <c r="C927" s="2">
        <f>IFERROR(__xludf.DUMMYFUNCTION("""COMPUTED_VALUE"""),1375.0)</f>
        <v>1375</v>
      </c>
      <c r="D927" s="2">
        <f>IFERROR(__xludf.DUMMYFUNCTION("""COMPUTED_VALUE"""),1355.0)</f>
        <v>1355</v>
      </c>
      <c r="E927" s="2">
        <f>IFERROR(__xludf.DUMMYFUNCTION("""COMPUTED_VALUE"""),1360.0)</f>
        <v>1360</v>
      </c>
      <c r="F927" s="2">
        <f>IFERROR(__xludf.DUMMYFUNCTION("""COMPUTED_VALUE"""),3.25669E7)</f>
        <v>32566900</v>
      </c>
      <c r="G927" s="2">
        <f t="shared" si="1"/>
        <v>20</v>
      </c>
    </row>
    <row r="928" ht="15.75" customHeight="1">
      <c r="A928" s="1">
        <f>IFERROR(__xludf.DUMMYFUNCTION("""COMPUTED_VALUE"""),45222.66666666667)</f>
        <v>45222.66667</v>
      </c>
      <c r="B928" s="2">
        <f>IFERROR(__xludf.DUMMYFUNCTION("""COMPUTED_VALUE"""),1360.0)</f>
        <v>1360</v>
      </c>
      <c r="C928" s="2">
        <f>IFERROR(__xludf.DUMMYFUNCTION("""COMPUTED_VALUE"""),1370.0)</f>
        <v>1370</v>
      </c>
      <c r="D928" s="2">
        <f>IFERROR(__xludf.DUMMYFUNCTION("""COMPUTED_VALUE"""),1335.0)</f>
        <v>1335</v>
      </c>
      <c r="E928" s="2">
        <f>IFERROR(__xludf.DUMMYFUNCTION("""COMPUTED_VALUE"""),1335.0)</f>
        <v>1335</v>
      </c>
      <c r="F928" s="2">
        <f>IFERROR(__xludf.DUMMYFUNCTION("""COMPUTED_VALUE"""),4.43603E7)</f>
        <v>44360300</v>
      </c>
      <c r="G928" s="2">
        <f t="shared" si="1"/>
        <v>35</v>
      </c>
    </row>
    <row r="929" ht="15.75" customHeight="1">
      <c r="A929" s="1">
        <f>IFERROR(__xludf.DUMMYFUNCTION("""COMPUTED_VALUE"""),45223.66666666667)</f>
        <v>45223.66667</v>
      </c>
      <c r="B929" s="2">
        <f>IFERROR(__xludf.DUMMYFUNCTION("""COMPUTED_VALUE"""),1335.0)</f>
        <v>1335</v>
      </c>
      <c r="C929" s="2">
        <f>IFERROR(__xludf.DUMMYFUNCTION("""COMPUTED_VALUE"""),1350.0)</f>
        <v>1350</v>
      </c>
      <c r="D929" s="2">
        <f>IFERROR(__xludf.DUMMYFUNCTION("""COMPUTED_VALUE"""),1335.0)</f>
        <v>1335</v>
      </c>
      <c r="E929" s="2">
        <f>IFERROR(__xludf.DUMMYFUNCTION("""COMPUTED_VALUE"""),1335.0)</f>
        <v>1335</v>
      </c>
      <c r="F929" s="2">
        <f>IFERROR(__xludf.DUMMYFUNCTION("""COMPUTED_VALUE"""),1.98845E7)</f>
        <v>19884500</v>
      </c>
      <c r="G929" s="2">
        <f t="shared" si="1"/>
        <v>15</v>
      </c>
    </row>
    <row r="930" ht="15.75" customHeight="1">
      <c r="A930" s="1">
        <f>IFERROR(__xludf.DUMMYFUNCTION("""COMPUTED_VALUE"""),45224.66666666667)</f>
        <v>45224.66667</v>
      </c>
      <c r="B930" s="2">
        <f>IFERROR(__xludf.DUMMYFUNCTION("""COMPUTED_VALUE"""),1340.0)</f>
        <v>1340</v>
      </c>
      <c r="C930" s="2">
        <f>IFERROR(__xludf.DUMMYFUNCTION("""COMPUTED_VALUE"""),1355.0)</f>
        <v>1355</v>
      </c>
      <c r="D930" s="2">
        <f>IFERROR(__xludf.DUMMYFUNCTION("""COMPUTED_VALUE"""),1340.0)</f>
        <v>1340</v>
      </c>
      <c r="E930" s="2">
        <f>IFERROR(__xludf.DUMMYFUNCTION("""COMPUTED_VALUE"""),1345.0)</f>
        <v>1345</v>
      </c>
      <c r="F930" s="2">
        <f>IFERROR(__xludf.DUMMYFUNCTION("""COMPUTED_VALUE"""),2.05615E7)</f>
        <v>20561500</v>
      </c>
      <c r="G930" s="2">
        <f t="shared" si="1"/>
        <v>20</v>
      </c>
    </row>
    <row r="931" ht="15.75" customHeight="1">
      <c r="A931" s="1">
        <f>IFERROR(__xludf.DUMMYFUNCTION("""COMPUTED_VALUE"""),45225.66666666667)</f>
        <v>45225.66667</v>
      </c>
      <c r="B931" s="2">
        <f>IFERROR(__xludf.DUMMYFUNCTION("""COMPUTED_VALUE"""),1345.0)</f>
        <v>1345</v>
      </c>
      <c r="C931" s="2">
        <f>IFERROR(__xludf.DUMMYFUNCTION("""COMPUTED_VALUE"""),1350.0)</f>
        <v>1350</v>
      </c>
      <c r="D931" s="2">
        <f>IFERROR(__xludf.DUMMYFUNCTION("""COMPUTED_VALUE"""),1320.0)</f>
        <v>1320</v>
      </c>
      <c r="E931" s="2">
        <f>IFERROR(__xludf.DUMMYFUNCTION("""COMPUTED_VALUE"""),1325.0)</f>
        <v>1325</v>
      </c>
      <c r="F931" s="2">
        <f>IFERROR(__xludf.DUMMYFUNCTION("""COMPUTED_VALUE"""),2.42386E7)</f>
        <v>24238600</v>
      </c>
      <c r="G931" s="2">
        <f t="shared" si="1"/>
        <v>30</v>
      </c>
    </row>
    <row r="932" ht="15.75" customHeight="1">
      <c r="A932" s="1">
        <f>IFERROR(__xludf.DUMMYFUNCTION("""COMPUTED_VALUE"""),45226.66666666667)</f>
        <v>45226.66667</v>
      </c>
      <c r="B932" s="2">
        <f>IFERROR(__xludf.DUMMYFUNCTION("""COMPUTED_VALUE"""),1330.0)</f>
        <v>1330</v>
      </c>
      <c r="C932" s="2">
        <f>IFERROR(__xludf.DUMMYFUNCTION("""COMPUTED_VALUE"""),1345.0)</f>
        <v>1345</v>
      </c>
      <c r="D932" s="2">
        <f>IFERROR(__xludf.DUMMYFUNCTION("""COMPUTED_VALUE"""),1320.0)</f>
        <v>1320</v>
      </c>
      <c r="E932" s="2">
        <f>IFERROR(__xludf.DUMMYFUNCTION("""COMPUTED_VALUE"""),1335.0)</f>
        <v>1335</v>
      </c>
      <c r="F932" s="2">
        <f>IFERROR(__xludf.DUMMYFUNCTION("""COMPUTED_VALUE"""),2.13516E7)</f>
        <v>21351600</v>
      </c>
      <c r="G932" s="2">
        <f t="shared" si="1"/>
        <v>25</v>
      </c>
    </row>
    <row r="933" ht="15.75" customHeight="1">
      <c r="A933" s="1">
        <f>IFERROR(__xludf.DUMMYFUNCTION("""COMPUTED_VALUE"""),45229.66666666667)</f>
        <v>45229.66667</v>
      </c>
      <c r="B933" s="2">
        <f>IFERROR(__xludf.DUMMYFUNCTION("""COMPUTED_VALUE"""),1325.0)</f>
        <v>1325</v>
      </c>
      <c r="C933" s="2">
        <f>IFERROR(__xludf.DUMMYFUNCTION("""COMPUTED_VALUE"""),1325.0)</f>
        <v>1325</v>
      </c>
      <c r="D933" s="2">
        <f>IFERROR(__xludf.DUMMYFUNCTION("""COMPUTED_VALUE"""),1270.0)</f>
        <v>1270</v>
      </c>
      <c r="E933" s="2">
        <f>IFERROR(__xludf.DUMMYFUNCTION("""COMPUTED_VALUE"""),1270.0)</f>
        <v>1270</v>
      </c>
      <c r="F933" s="2">
        <f>IFERROR(__xludf.DUMMYFUNCTION("""COMPUTED_VALUE"""),6.3809E7)</f>
        <v>63809000</v>
      </c>
      <c r="G933" s="2">
        <f t="shared" si="1"/>
        <v>65</v>
      </c>
    </row>
    <row r="934" ht="15.75" customHeight="1">
      <c r="A934" s="1">
        <f>IFERROR(__xludf.DUMMYFUNCTION("""COMPUTED_VALUE"""),45230.66666666667)</f>
        <v>45230.66667</v>
      </c>
      <c r="B934" s="2">
        <f>IFERROR(__xludf.DUMMYFUNCTION("""COMPUTED_VALUE"""),1270.0)</f>
        <v>1270</v>
      </c>
      <c r="C934" s="2">
        <f>IFERROR(__xludf.DUMMYFUNCTION("""COMPUTED_VALUE"""),1280.0)</f>
        <v>1280</v>
      </c>
      <c r="D934" s="2">
        <f>IFERROR(__xludf.DUMMYFUNCTION("""COMPUTED_VALUE"""),1220.0)</f>
        <v>1220</v>
      </c>
      <c r="E934" s="2">
        <f>IFERROR(__xludf.DUMMYFUNCTION("""COMPUTED_VALUE"""),1255.0)</f>
        <v>1255</v>
      </c>
      <c r="F934" s="2">
        <f>IFERROR(__xludf.DUMMYFUNCTION("""COMPUTED_VALUE"""),7.98628E7)</f>
        <v>79862800</v>
      </c>
      <c r="G934" s="2">
        <f t="shared" si="1"/>
        <v>60</v>
      </c>
    </row>
    <row r="935" ht="15.75" customHeight="1">
      <c r="A935" s="1">
        <f>IFERROR(__xludf.DUMMYFUNCTION("""COMPUTED_VALUE"""),45231.66666666667)</f>
        <v>45231.66667</v>
      </c>
      <c r="B935" s="2">
        <f>IFERROR(__xludf.DUMMYFUNCTION("""COMPUTED_VALUE"""),1260.0)</f>
        <v>1260</v>
      </c>
      <c r="C935" s="2">
        <f>IFERROR(__xludf.DUMMYFUNCTION("""COMPUTED_VALUE"""),1265.0)</f>
        <v>1265</v>
      </c>
      <c r="D935" s="2">
        <f>IFERROR(__xludf.DUMMYFUNCTION("""COMPUTED_VALUE"""),1220.0)</f>
        <v>1220</v>
      </c>
      <c r="E935" s="2">
        <f>IFERROR(__xludf.DUMMYFUNCTION("""COMPUTED_VALUE"""),1220.0)</f>
        <v>1220</v>
      </c>
      <c r="F935" s="2">
        <f>IFERROR(__xludf.DUMMYFUNCTION("""COMPUTED_VALUE"""),4.33159E7)</f>
        <v>43315900</v>
      </c>
      <c r="G935" s="2">
        <f t="shared" si="1"/>
        <v>45</v>
      </c>
    </row>
    <row r="936" ht="15.75" customHeight="1">
      <c r="A936" s="1">
        <f>IFERROR(__xludf.DUMMYFUNCTION("""COMPUTED_VALUE"""),45232.66666666667)</f>
        <v>45232.66667</v>
      </c>
      <c r="B936" s="2">
        <f>IFERROR(__xludf.DUMMYFUNCTION("""COMPUTED_VALUE"""),1225.0)</f>
        <v>1225</v>
      </c>
      <c r="C936" s="2">
        <f>IFERROR(__xludf.DUMMYFUNCTION("""COMPUTED_VALUE"""),1240.0)</f>
        <v>1240</v>
      </c>
      <c r="D936" s="2">
        <f>IFERROR(__xludf.DUMMYFUNCTION("""COMPUTED_VALUE"""),1220.0)</f>
        <v>1220</v>
      </c>
      <c r="E936" s="2">
        <f>IFERROR(__xludf.DUMMYFUNCTION("""COMPUTED_VALUE"""),1230.0)</f>
        <v>1230</v>
      </c>
      <c r="F936" s="2">
        <f>IFERROR(__xludf.DUMMYFUNCTION("""COMPUTED_VALUE"""),3.05449E7)</f>
        <v>30544900</v>
      </c>
      <c r="G936" s="2">
        <f t="shared" si="1"/>
        <v>20</v>
      </c>
    </row>
    <row r="937" ht="15.75" customHeight="1">
      <c r="A937" s="1">
        <f>IFERROR(__xludf.DUMMYFUNCTION("""COMPUTED_VALUE"""),45233.66666666667)</f>
        <v>45233.66667</v>
      </c>
      <c r="B937" s="2">
        <f>IFERROR(__xludf.DUMMYFUNCTION("""COMPUTED_VALUE"""),1240.0)</f>
        <v>1240</v>
      </c>
      <c r="C937" s="2">
        <f>IFERROR(__xludf.DUMMYFUNCTION("""COMPUTED_VALUE"""),1245.0)</f>
        <v>1245</v>
      </c>
      <c r="D937" s="2">
        <f>IFERROR(__xludf.DUMMYFUNCTION("""COMPUTED_VALUE"""),1230.0)</f>
        <v>1230</v>
      </c>
      <c r="E937" s="2">
        <f>IFERROR(__xludf.DUMMYFUNCTION("""COMPUTED_VALUE"""),1235.0)</f>
        <v>1235</v>
      </c>
      <c r="F937" s="2">
        <f>IFERROR(__xludf.DUMMYFUNCTION("""COMPUTED_VALUE"""),1.91851E7)</f>
        <v>19185100</v>
      </c>
      <c r="G937" s="2">
        <f t="shared" si="1"/>
        <v>15</v>
      </c>
    </row>
    <row r="938" ht="15.75" customHeight="1">
      <c r="A938" s="1">
        <f>IFERROR(__xludf.DUMMYFUNCTION("""COMPUTED_VALUE"""),45236.66666666667)</f>
        <v>45236.66667</v>
      </c>
      <c r="B938" s="2">
        <f>IFERROR(__xludf.DUMMYFUNCTION("""COMPUTED_VALUE"""),1235.0)</f>
        <v>1235</v>
      </c>
      <c r="C938" s="2">
        <f>IFERROR(__xludf.DUMMYFUNCTION("""COMPUTED_VALUE"""),1245.0)</f>
        <v>1245</v>
      </c>
      <c r="D938" s="2">
        <f>IFERROR(__xludf.DUMMYFUNCTION("""COMPUTED_VALUE"""),1230.0)</f>
        <v>1230</v>
      </c>
      <c r="E938" s="2">
        <f>IFERROR(__xludf.DUMMYFUNCTION("""COMPUTED_VALUE"""),1235.0)</f>
        <v>1235</v>
      </c>
      <c r="F938" s="2">
        <f>IFERROR(__xludf.DUMMYFUNCTION("""COMPUTED_VALUE"""),3.28504E7)</f>
        <v>32850400</v>
      </c>
      <c r="G938" s="2">
        <f t="shared" si="1"/>
        <v>15</v>
      </c>
    </row>
    <row r="939" ht="15.75" customHeight="1">
      <c r="A939" s="1">
        <f>IFERROR(__xludf.DUMMYFUNCTION("""COMPUTED_VALUE"""),45237.66666666667)</f>
        <v>45237.66667</v>
      </c>
      <c r="B939" s="2">
        <f>IFERROR(__xludf.DUMMYFUNCTION("""COMPUTED_VALUE"""),1230.0)</f>
        <v>1230</v>
      </c>
      <c r="C939" s="2">
        <f>IFERROR(__xludf.DUMMYFUNCTION("""COMPUTED_VALUE"""),1235.0)</f>
        <v>1235</v>
      </c>
      <c r="D939" s="2">
        <f>IFERROR(__xludf.DUMMYFUNCTION("""COMPUTED_VALUE"""),1200.0)</f>
        <v>1200</v>
      </c>
      <c r="E939" s="2">
        <f>IFERROR(__xludf.DUMMYFUNCTION("""COMPUTED_VALUE"""),1210.0)</f>
        <v>1210</v>
      </c>
      <c r="F939" s="2">
        <f>IFERROR(__xludf.DUMMYFUNCTION("""COMPUTED_VALUE"""),5.39006E7)</f>
        <v>53900600</v>
      </c>
      <c r="G939" s="2">
        <f t="shared" si="1"/>
        <v>35</v>
      </c>
    </row>
    <row r="940" ht="15.75" customHeight="1">
      <c r="A940" s="1">
        <f>IFERROR(__xludf.DUMMYFUNCTION("""COMPUTED_VALUE"""),45238.66666666667)</f>
        <v>45238.66667</v>
      </c>
      <c r="B940" s="2">
        <f>IFERROR(__xludf.DUMMYFUNCTION("""COMPUTED_VALUE"""),1205.0)</f>
        <v>1205</v>
      </c>
      <c r="C940" s="2">
        <f>IFERROR(__xludf.DUMMYFUNCTION("""COMPUTED_VALUE"""),1205.0)</f>
        <v>1205</v>
      </c>
      <c r="D940" s="2">
        <f>IFERROR(__xludf.DUMMYFUNCTION("""COMPUTED_VALUE"""),1130.0)</f>
        <v>1130</v>
      </c>
      <c r="E940" s="2">
        <f>IFERROR(__xludf.DUMMYFUNCTION("""COMPUTED_VALUE"""),1140.0)</f>
        <v>1140</v>
      </c>
      <c r="F940" s="2">
        <f>IFERROR(__xludf.DUMMYFUNCTION("""COMPUTED_VALUE"""),1.767837E8)</f>
        <v>176783700</v>
      </c>
      <c r="G940" s="2">
        <f t="shared" si="1"/>
        <v>80</v>
      </c>
    </row>
    <row r="941" ht="15.75" customHeight="1">
      <c r="A941" s="1">
        <f>IFERROR(__xludf.DUMMYFUNCTION("""COMPUTED_VALUE"""),45239.66666666667)</f>
        <v>45239.66667</v>
      </c>
      <c r="B941" s="2">
        <f>IFERROR(__xludf.DUMMYFUNCTION("""COMPUTED_VALUE"""),1140.0)</f>
        <v>1140</v>
      </c>
      <c r="C941" s="2">
        <f>IFERROR(__xludf.DUMMYFUNCTION("""COMPUTED_VALUE"""),1155.0)</f>
        <v>1155</v>
      </c>
      <c r="D941" s="2">
        <f>IFERROR(__xludf.DUMMYFUNCTION("""COMPUTED_VALUE"""),1100.0)</f>
        <v>1100</v>
      </c>
      <c r="E941" s="2">
        <f>IFERROR(__xludf.DUMMYFUNCTION("""COMPUTED_VALUE"""),1115.0)</f>
        <v>1115</v>
      </c>
      <c r="F941" s="2">
        <f>IFERROR(__xludf.DUMMYFUNCTION("""COMPUTED_VALUE"""),1.182933E8)</f>
        <v>118293300</v>
      </c>
      <c r="G941" s="2">
        <f t="shared" si="1"/>
        <v>55</v>
      </c>
    </row>
    <row r="942" ht="15.75" customHeight="1">
      <c r="A942" s="1">
        <f>IFERROR(__xludf.DUMMYFUNCTION("""COMPUTED_VALUE"""),45240.66666666667)</f>
        <v>45240.66667</v>
      </c>
      <c r="B942" s="2">
        <f>IFERROR(__xludf.DUMMYFUNCTION("""COMPUTED_VALUE"""),1115.0)</f>
        <v>1115</v>
      </c>
      <c r="C942" s="2">
        <f>IFERROR(__xludf.DUMMYFUNCTION("""COMPUTED_VALUE"""),1145.0)</f>
        <v>1145</v>
      </c>
      <c r="D942" s="2">
        <f>IFERROR(__xludf.DUMMYFUNCTION("""COMPUTED_VALUE"""),1115.0)</f>
        <v>1115</v>
      </c>
      <c r="E942" s="2">
        <f>IFERROR(__xludf.DUMMYFUNCTION("""COMPUTED_VALUE"""),1125.0)</f>
        <v>1125</v>
      </c>
      <c r="F942" s="2">
        <f>IFERROR(__xludf.DUMMYFUNCTION("""COMPUTED_VALUE"""),4.64938E7)</f>
        <v>46493800</v>
      </c>
      <c r="G942" s="2">
        <f t="shared" si="1"/>
        <v>30</v>
      </c>
    </row>
    <row r="943" ht="15.75" customHeight="1">
      <c r="A943" s="1">
        <f>IFERROR(__xludf.DUMMYFUNCTION("""COMPUTED_VALUE"""),45243.66666666667)</f>
        <v>45243.66667</v>
      </c>
      <c r="B943" s="2">
        <f>IFERROR(__xludf.DUMMYFUNCTION("""COMPUTED_VALUE"""),1125.0)</f>
        <v>1125</v>
      </c>
      <c r="C943" s="2">
        <f>IFERROR(__xludf.DUMMYFUNCTION("""COMPUTED_VALUE"""),1140.0)</f>
        <v>1140</v>
      </c>
      <c r="D943" s="2">
        <f>IFERROR(__xludf.DUMMYFUNCTION("""COMPUTED_VALUE"""),1105.0)</f>
        <v>1105</v>
      </c>
      <c r="E943" s="2">
        <f>IFERROR(__xludf.DUMMYFUNCTION("""COMPUTED_VALUE"""),1125.0)</f>
        <v>1125</v>
      </c>
      <c r="F943" s="2">
        <f>IFERROR(__xludf.DUMMYFUNCTION("""COMPUTED_VALUE"""),3.15682E7)</f>
        <v>31568200</v>
      </c>
      <c r="G943" s="2">
        <f t="shared" si="1"/>
        <v>35</v>
      </c>
    </row>
    <row r="944" ht="15.75" customHeight="1">
      <c r="A944" s="1">
        <f>IFERROR(__xludf.DUMMYFUNCTION("""COMPUTED_VALUE"""),45244.66666666667)</f>
        <v>45244.66667</v>
      </c>
      <c r="B944" s="2">
        <f>IFERROR(__xludf.DUMMYFUNCTION("""COMPUTED_VALUE"""),1125.0)</f>
        <v>1125</v>
      </c>
      <c r="C944" s="2">
        <f>IFERROR(__xludf.DUMMYFUNCTION("""COMPUTED_VALUE"""),1140.0)</f>
        <v>1140</v>
      </c>
      <c r="D944" s="2">
        <f>IFERROR(__xludf.DUMMYFUNCTION("""COMPUTED_VALUE"""),1120.0)</f>
        <v>1120</v>
      </c>
      <c r="E944" s="2">
        <f>IFERROR(__xludf.DUMMYFUNCTION("""COMPUTED_VALUE"""),1130.0)</f>
        <v>1130</v>
      </c>
      <c r="F944" s="2">
        <f>IFERROR(__xludf.DUMMYFUNCTION("""COMPUTED_VALUE"""),3.35476E7)</f>
        <v>33547600</v>
      </c>
      <c r="G944" s="2">
        <f t="shared" si="1"/>
        <v>20</v>
      </c>
    </row>
    <row r="945" ht="15.75" customHeight="1">
      <c r="A945" s="1">
        <f>IFERROR(__xludf.DUMMYFUNCTION("""COMPUTED_VALUE"""),45245.66666666667)</f>
        <v>45245.66667</v>
      </c>
      <c r="B945" s="2">
        <f>IFERROR(__xludf.DUMMYFUNCTION("""COMPUTED_VALUE"""),1130.0)</f>
        <v>1130</v>
      </c>
      <c r="C945" s="2">
        <f>IFERROR(__xludf.DUMMYFUNCTION("""COMPUTED_VALUE"""),1155.0)</f>
        <v>1155</v>
      </c>
      <c r="D945" s="2">
        <f>IFERROR(__xludf.DUMMYFUNCTION("""COMPUTED_VALUE"""),1130.0)</f>
        <v>1130</v>
      </c>
      <c r="E945" s="2">
        <f>IFERROR(__xludf.DUMMYFUNCTION("""COMPUTED_VALUE"""),1130.0)</f>
        <v>1130</v>
      </c>
      <c r="F945" s="2">
        <f>IFERROR(__xludf.DUMMYFUNCTION("""COMPUTED_VALUE"""),5.08914E7)</f>
        <v>50891400</v>
      </c>
      <c r="G945" s="2">
        <f t="shared" si="1"/>
        <v>25</v>
      </c>
    </row>
    <row r="946" ht="15.75" customHeight="1">
      <c r="A946" s="1">
        <f>IFERROR(__xludf.DUMMYFUNCTION("""COMPUTED_VALUE"""),45246.66666666667)</f>
        <v>45246.66667</v>
      </c>
      <c r="B946" s="2">
        <f>IFERROR(__xludf.DUMMYFUNCTION("""COMPUTED_VALUE"""),1135.0)</f>
        <v>1135</v>
      </c>
      <c r="C946" s="2">
        <f>IFERROR(__xludf.DUMMYFUNCTION("""COMPUTED_VALUE"""),1145.0)</f>
        <v>1145</v>
      </c>
      <c r="D946" s="2">
        <f>IFERROR(__xludf.DUMMYFUNCTION("""COMPUTED_VALUE"""),1125.0)</f>
        <v>1125</v>
      </c>
      <c r="E946" s="2">
        <f>IFERROR(__xludf.DUMMYFUNCTION("""COMPUTED_VALUE"""),1135.0)</f>
        <v>1135</v>
      </c>
      <c r="F946" s="2">
        <f>IFERROR(__xludf.DUMMYFUNCTION("""COMPUTED_VALUE"""),4.55678E7)</f>
        <v>45567800</v>
      </c>
      <c r="G946" s="2">
        <f t="shared" si="1"/>
        <v>20</v>
      </c>
    </row>
    <row r="947" ht="15.75" customHeight="1">
      <c r="A947" s="1">
        <f>IFERROR(__xludf.DUMMYFUNCTION("""COMPUTED_VALUE"""),45247.66666666667)</f>
        <v>45247.66667</v>
      </c>
      <c r="B947" s="2">
        <f>IFERROR(__xludf.DUMMYFUNCTION("""COMPUTED_VALUE"""),1135.0)</f>
        <v>1135</v>
      </c>
      <c r="C947" s="2">
        <f>IFERROR(__xludf.DUMMYFUNCTION("""COMPUTED_VALUE"""),1140.0)</f>
        <v>1140</v>
      </c>
      <c r="D947" s="2">
        <f>IFERROR(__xludf.DUMMYFUNCTION("""COMPUTED_VALUE"""),1115.0)</f>
        <v>1115</v>
      </c>
      <c r="E947" s="2">
        <f>IFERROR(__xludf.DUMMYFUNCTION("""COMPUTED_VALUE"""),1125.0)</f>
        <v>1125</v>
      </c>
      <c r="F947" s="2">
        <f>IFERROR(__xludf.DUMMYFUNCTION("""COMPUTED_VALUE"""),3.28532E7)</f>
        <v>32853200</v>
      </c>
      <c r="G947" s="2">
        <f t="shared" si="1"/>
        <v>25</v>
      </c>
    </row>
    <row r="948" ht="15.75" customHeight="1">
      <c r="A948" s="1">
        <f>IFERROR(__xludf.DUMMYFUNCTION("""COMPUTED_VALUE"""),45250.66666666667)</f>
        <v>45250.66667</v>
      </c>
      <c r="B948" s="2">
        <f>IFERROR(__xludf.DUMMYFUNCTION("""COMPUTED_VALUE"""),1125.0)</f>
        <v>1125</v>
      </c>
      <c r="C948" s="2">
        <f>IFERROR(__xludf.DUMMYFUNCTION("""COMPUTED_VALUE"""),1155.0)</f>
        <v>1155</v>
      </c>
      <c r="D948" s="2">
        <f>IFERROR(__xludf.DUMMYFUNCTION("""COMPUTED_VALUE"""),1125.0)</f>
        <v>1125</v>
      </c>
      <c r="E948" s="2">
        <f>IFERROR(__xludf.DUMMYFUNCTION("""COMPUTED_VALUE"""),1145.0)</f>
        <v>1145</v>
      </c>
      <c r="F948" s="2">
        <f>IFERROR(__xludf.DUMMYFUNCTION("""COMPUTED_VALUE"""),3.70012E7)</f>
        <v>37001200</v>
      </c>
      <c r="G948" s="2">
        <f t="shared" si="1"/>
        <v>30</v>
      </c>
    </row>
    <row r="949" ht="15.75" customHeight="1">
      <c r="A949" s="1">
        <f>IFERROR(__xludf.DUMMYFUNCTION("""COMPUTED_VALUE"""),45251.66666666667)</f>
        <v>45251.66667</v>
      </c>
      <c r="B949" s="2">
        <f>IFERROR(__xludf.DUMMYFUNCTION("""COMPUTED_VALUE"""),1145.0)</f>
        <v>1145</v>
      </c>
      <c r="C949" s="2">
        <f>IFERROR(__xludf.DUMMYFUNCTION("""COMPUTED_VALUE"""),1185.0)</f>
        <v>1185</v>
      </c>
      <c r="D949" s="2">
        <f>IFERROR(__xludf.DUMMYFUNCTION("""COMPUTED_VALUE"""),1135.0)</f>
        <v>1135</v>
      </c>
      <c r="E949" s="2">
        <f>IFERROR(__xludf.DUMMYFUNCTION("""COMPUTED_VALUE"""),1140.0)</f>
        <v>1140</v>
      </c>
      <c r="F949" s="2">
        <f>IFERROR(__xludf.DUMMYFUNCTION("""COMPUTED_VALUE"""),7.04799E7)</f>
        <v>70479900</v>
      </c>
      <c r="G949" s="2">
        <f t="shared" si="1"/>
        <v>50</v>
      </c>
    </row>
    <row r="950" ht="15.75" customHeight="1">
      <c r="A950" s="1">
        <f>IFERROR(__xludf.DUMMYFUNCTION("""COMPUTED_VALUE"""),45252.66666666667)</f>
        <v>45252.66667</v>
      </c>
      <c r="B950" s="2">
        <f>IFERROR(__xludf.DUMMYFUNCTION("""COMPUTED_VALUE"""),1145.0)</f>
        <v>1145</v>
      </c>
      <c r="C950" s="2">
        <f>IFERROR(__xludf.DUMMYFUNCTION("""COMPUTED_VALUE"""),1150.0)</f>
        <v>1150</v>
      </c>
      <c r="D950" s="2">
        <f>IFERROR(__xludf.DUMMYFUNCTION("""COMPUTED_VALUE"""),1130.0)</f>
        <v>1130</v>
      </c>
      <c r="E950" s="2">
        <f>IFERROR(__xludf.DUMMYFUNCTION("""COMPUTED_VALUE"""),1135.0)</f>
        <v>1135</v>
      </c>
      <c r="F950" s="2">
        <f>IFERROR(__xludf.DUMMYFUNCTION("""COMPUTED_VALUE"""),1.5855E7)</f>
        <v>15855000</v>
      </c>
      <c r="G950" s="2">
        <f t="shared" si="1"/>
        <v>20</v>
      </c>
    </row>
    <row r="951" ht="15.75" customHeight="1">
      <c r="A951" s="1">
        <f>IFERROR(__xludf.DUMMYFUNCTION("""COMPUTED_VALUE"""),45253.66666666667)</f>
        <v>45253.66667</v>
      </c>
      <c r="B951" s="2">
        <f>IFERROR(__xludf.DUMMYFUNCTION("""COMPUTED_VALUE"""),1140.0)</f>
        <v>1140</v>
      </c>
      <c r="C951" s="2">
        <f>IFERROR(__xludf.DUMMYFUNCTION("""COMPUTED_VALUE"""),1150.0)</f>
        <v>1150</v>
      </c>
      <c r="D951" s="2">
        <f>IFERROR(__xludf.DUMMYFUNCTION("""COMPUTED_VALUE"""),1130.0)</f>
        <v>1130</v>
      </c>
      <c r="E951" s="2">
        <f>IFERROR(__xludf.DUMMYFUNCTION("""COMPUTED_VALUE"""),1145.0)</f>
        <v>1145</v>
      </c>
      <c r="F951" s="2">
        <f>IFERROR(__xludf.DUMMYFUNCTION("""COMPUTED_VALUE"""),2.8595E7)</f>
        <v>28595000</v>
      </c>
      <c r="G951" s="2">
        <f t="shared" si="1"/>
        <v>20</v>
      </c>
    </row>
    <row r="952" ht="15.75" customHeight="1">
      <c r="A952" s="1">
        <f>IFERROR(__xludf.DUMMYFUNCTION("""COMPUTED_VALUE"""),45254.66666666667)</f>
        <v>45254.66667</v>
      </c>
      <c r="B952" s="2">
        <f>IFERROR(__xludf.DUMMYFUNCTION("""COMPUTED_VALUE"""),1150.0)</f>
        <v>1150</v>
      </c>
      <c r="C952" s="2">
        <f>IFERROR(__xludf.DUMMYFUNCTION("""COMPUTED_VALUE"""),1150.0)</f>
        <v>1150</v>
      </c>
      <c r="D952" s="2">
        <f>IFERROR(__xludf.DUMMYFUNCTION("""COMPUTED_VALUE"""),1130.0)</f>
        <v>1130</v>
      </c>
      <c r="E952" s="2">
        <f>IFERROR(__xludf.DUMMYFUNCTION("""COMPUTED_VALUE"""),1140.0)</f>
        <v>1140</v>
      </c>
      <c r="F952" s="2">
        <f>IFERROR(__xludf.DUMMYFUNCTION("""COMPUTED_VALUE"""),2.56511E7)</f>
        <v>25651100</v>
      </c>
      <c r="G952" s="2">
        <f t="shared" si="1"/>
        <v>20</v>
      </c>
    </row>
    <row r="953" ht="15.75" customHeight="1">
      <c r="A953" s="1">
        <f>IFERROR(__xludf.DUMMYFUNCTION("""COMPUTED_VALUE"""),45257.66666666667)</f>
        <v>45257.66667</v>
      </c>
      <c r="B953" s="2">
        <f>IFERROR(__xludf.DUMMYFUNCTION("""COMPUTED_VALUE"""),1140.0)</f>
        <v>1140</v>
      </c>
      <c r="C953" s="2">
        <f>IFERROR(__xludf.DUMMYFUNCTION("""COMPUTED_VALUE"""),1155.0)</f>
        <v>1155</v>
      </c>
      <c r="D953" s="2">
        <f>IFERROR(__xludf.DUMMYFUNCTION("""COMPUTED_VALUE"""),1140.0)</f>
        <v>1140</v>
      </c>
      <c r="E953" s="2">
        <f>IFERROR(__xludf.DUMMYFUNCTION("""COMPUTED_VALUE"""),1145.0)</f>
        <v>1145</v>
      </c>
      <c r="F953" s="2">
        <f>IFERROR(__xludf.DUMMYFUNCTION("""COMPUTED_VALUE"""),2.58223E7)</f>
        <v>25822300</v>
      </c>
      <c r="G953" s="2">
        <f t="shared" si="1"/>
        <v>15</v>
      </c>
    </row>
    <row r="954" ht="15.75" customHeight="1">
      <c r="A954" s="1">
        <f>IFERROR(__xludf.DUMMYFUNCTION("""COMPUTED_VALUE"""),45258.66666666667)</f>
        <v>45258.66667</v>
      </c>
      <c r="B954" s="2">
        <f>IFERROR(__xludf.DUMMYFUNCTION("""COMPUTED_VALUE"""),1145.0)</f>
        <v>1145</v>
      </c>
      <c r="C954" s="2">
        <f>IFERROR(__xludf.DUMMYFUNCTION("""COMPUTED_VALUE"""),1150.0)</f>
        <v>1150</v>
      </c>
      <c r="D954" s="2">
        <f>IFERROR(__xludf.DUMMYFUNCTION("""COMPUTED_VALUE"""),1130.0)</f>
        <v>1130</v>
      </c>
      <c r="E954" s="2">
        <f>IFERROR(__xludf.DUMMYFUNCTION("""COMPUTED_VALUE"""),1130.0)</f>
        <v>1130</v>
      </c>
      <c r="F954" s="2">
        <f>IFERROR(__xludf.DUMMYFUNCTION("""COMPUTED_VALUE"""),3.421E7)</f>
        <v>34210000</v>
      </c>
      <c r="G954" s="2">
        <f t="shared" si="1"/>
        <v>20</v>
      </c>
    </row>
    <row r="955" ht="15.75" customHeight="1">
      <c r="A955" s="1">
        <f>IFERROR(__xludf.DUMMYFUNCTION("""COMPUTED_VALUE"""),45259.66666666667)</f>
        <v>45259.66667</v>
      </c>
      <c r="B955" s="2">
        <f>IFERROR(__xludf.DUMMYFUNCTION("""COMPUTED_VALUE"""),1130.0)</f>
        <v>1130</v>
      </c>
      <c r="C955" s="2">
        <f>IFERROR(__xludf.DUMMYFUNCTION("""COMPUTED_VALUE"""),1145.0)</f>
        <v>1145</v>
      </c>
      <c r="D955" s="2">
        <f>IFERROR(__xludf.DUMMYFUNCTION("""COMPUTED_VALUE"""),1125.0)</f>
        <v>1125</v>
      </c>
      <c r="E955" s="2">
        <f>IFERROR(__xludf.DUMMYFUNCTION("""COMPUTED_VALUE"""),1135.0)</f>
        <v>1135</v>
      </c>
      <c r="F955" s="2">
        <f>IFERROR(__xludf.DUMMYFUNCTION("""COMPUTED_VALUE"""),3.59477E7)</f>
        <v>35947700</v>
      </c>
      <c r="G955" s="2">
        <f t="shared" si="1"/>
        <v>20</v>
      </c>
    </row>
    <row r="956" ht="15.75" customHeight="1">
      <c r="A956" s="1">
        <f>IFERROR(__xludf.DUMMYFUNCTION("""COMPUTED_VALUE"""),45260.66666666667)</f>
        <v>45260.66667</v>
      </c>
      <c r="B956" s="2">
        <f>IFERROR(__xludf.DUMMYFUNCTION("""COMPUTED_VALUE"""),1135.0)</f>
        <v>1135</v>
      </c>
      <c r="C956" s="2">
        <f>IFERROR(__xludf.DUMMYFUNCTION("""COMPUTED_VALUE"""),1140.0)</f>
        <v>1140</v>
      </c>
      <c r="D956" s="2">
        <f>IFERROR(__xludf.DUMMYFUNCTION("""COMPUTED_VALUE"""),1115.0)</f>
        <v>1115</v>
      </c>
      <c r="E956" s="2">
        <f>IFERROR(__xludf.DUMMYFUNCTION("""COMPUTED_VALUE"""),1115.0)</f>
        <v>1115</v>
      </c>
      <c r="F956" s="2">
        <f>IFERROR(__xludf.DUMMYFUNCTION("""COMPUTED_VALUE"""),4.56541E7)</f>
        <v>45654100</v>
      </c>
      <c r="G956" s="2">
        <f t="shared" si="1"/>
        <v>25</v>
      </c>
    </row>
    <row r="957" ht="15.75" customHeight="1">
      <c r="A957" s="1">
        <f>IFERROR(__xludf.DUMMYFUNCTION("""COMPUTED_VALUE"""),45261.66666666667)</f>
        <v>45261.66667</v>
      </c>
      <c r="B957" s="2">
        <f>IFERROR(__xludf.DUMMYFUNCTION("""COMPUTED_VALUE"""),1115.0)</f>
        <v>1115</v>
      </c>
      <c r="C957" s="2">
        <f>IFERROR(__xludf.DUMMYFUNCTION("""COMPUTED_VALUE"""),1130.0)</f>
        <v>1130</v>
      </c>
      <c r="D957" s="2">
        <f>IFERROR(__xludf.DUMMYFUNCTION("""COMPUTED_VALUE"""),1115.0)</f>
        <v>1115</v>
      </c>
      <c r="E957" s="2">
        <f>IFERROR(__xludf.DUMMYFUNCTION("""COMPUTED_VALUE"""),1120.0)</f>
        <v>1120</v>
      </c>
      <c r="F957" s="2">
        <f>IFERROR(__xludf.DUMMYFUNCTION("""COMPUTED_VALUE"""),2.0454E7)</f>
        <v>20454000</v>
      </c>
      <c r="G957" s="2">
        <f t="shared" si="1"/>
        <v>15</v>
      </c>
    </row>
    <row r="958" ht="15.75" customHeight="1">
      <c r="A958" s="1">
        <f>IFERROR(__xludf.DUMMYFUNCTION("""COMPUTED_VALUE"""),45264.66666666667)</f>
        <v>45264.66667</v>
      </c>
      <c r="B958" s="2">
        <f>IFERROR(__xludf.DUMMYFUNCTION("""COMPUTED_VALUE"""),1120.0)</f>
        <v>1120</v>
      </c>
      <c r="C958" s="2">
        <f>IFERROR(__xludf.DUMMYFUNCTION("""COMPUTED_VALUE"""),1140.0)</f>
        <v>1140</v>
      </c>
      <c r="D958" s="2">
        <f>IFERROR(__xludf.DUMMYFUNCTION("""COMPUTED_VALUE"""),1120.0)</f>
        <v>1120</v>
      </c>
      <c r="E958" s="2">
        <f>IFERROR(__xludf.DUMMYFUNCTION("""COMPUTED_VALUE"""),1125.0)</f>
        <v>1125</v>
      </c>
      <c r="F958" s="2">
        <f>IFERROR(__xludf.DUMMYFUNCTION("""COMPUTED_VALUE"""),2.95623E7)</f>
        <v>29562300</v>
      </c>
      <c r="G958" s="2">
        <f t="shared" si="1"/>
        <v>20</v>
      </c>
    </row>
    <row r="959" ht="15.75" customHeight="1">
      <c r="A959" s="1">
        <f>IFERROR(__xludf.DUMMYFUNCTION("""COMPUTED_VALUE"""),45265.66666666667)</f>
        <v>45265.66667</v>
      </c>
      <c r="B959" s="2">
        <f>IFERROR(__xludf.DUMMYFUNCTION("""COMPUTED_VALUE"""),1125.0)</f>
        <v>1125</v>
      </c>
      <c r="C959" s="2">
        <f>IFERROR(__xludf.DUMMYFUNCTION("""COMPUTED_VALUE"""),1135.0)</f>
        <v>1135</v>
      </c>
      <c r="D959" s="2">
        <f>IFERROR(__xludf.DUMMYFUNCTION("""COMPUTED_VALUE"""),1110.0)</f>
        <v>1110</v>
      </c>
      <c r="E959" s="2">
        <f>IFERROR(__xludf.DUMMYFUNCTION("""COMPUTED_VALUE"""),1115.0)</f>
        <v>1115</v>
      </c>
      <c r="F959" s="2">
        <f>IFERROR(__xludf.DUMMYFUNCTION("""COMPUTED_VALUE"""),2.26833E7)</f>
        <v>22683300</v>
      </c>
      <c r="G959" s="2">
        <f t="shared" si="1"/>
        <v>25</v>
      </c>
    </row>
    <row r="960" ht="15.75" customHeight="1">
      <c r="A960" s="1">
        <f>IFERROR(__xludf.DUMMYFUNCTION("""COMPUTED_VALUE"""),45266.66666666667)</f>
        <v>45266.66667</v>
      </c>
      <c r="B960" s="2">
        <f>IFERROR(__xludf.DUMMYFUNCTION("""COMPUTED_VALUE"""),1120.0)</f>
        <v>1120</v>
      </c>
      <c r="C960" s="2">
        <f>IFERROR(__xludf.DUMMYFUNCTION("""COMPUTED_VALUE"""),1130.0)</f>
        <v>1130</v>
      </c>
      <c r="D960" s="2">
        <f>IFERROR(__xludf.DUMMYFUNCTION("""COMPUTED_VALUE"""),1115.0)</f>
        <v>1115</v>
      </c>
      <c r="E960" s="2">
        <f>IFERROR(__xludf.DUMMYFUNCTION("""COMPUTED_VALUE"""),1125.0)</f>
        <v>1125</v>
      </c>
      <c r="F960" s="2">
        <f>IFERROR(__xludf.DUMMYFUNCTION("""COMPUTED_VALUE"""),3.13152E7)</f>
        <v>31315200</v>
      </c>
      <c r="G960" s="2">
        <f t="shared" si="1"/>
        <v>15</v>
      </c>
    </row>
    <row r="961" ht="15.75" customHeight="1">
      <c r="A961" s="1">
        <f>IFERROR(__xludf.DUMMYFUNCTION("""COMPUTED_VALUE"""),45267.66666666667)</f>
        <v>45267.66667</v>
      </c>
      <c r="B961" s="2">
        <f>IFERROR(__xludf.DUMMYFUNCTION("""COMPUTED_VALUE"""),1125.0)</f>
        <v>1125</v>
      </c>
      <c r="C961" s="2">
        <f>IFERROR(__xludf.DUMMYFUNCTION("""COMPUTED_VALUE"""),1130.0)</f>
        <v>1130</v>
      </c>
      <c r="D961" s="2">
        <f>IFERROR(__xludf.DUMMYFUNCTION("""COMPUTED_VALUE"""),1105.0)</f>
        <v>1105</v>
      </c>
      <c r="E961" s="2">
        <f>IFERROR(__xludf.DUMMYFUNCTION("""COMPUTED_VALUE"""),1105.0)</f>
        <v>1105</v>
      </c>
      <c r="F961" s="2">
        <f>IFERROR(__xludf.DUMMYFUNCTION("""COMPUTED_VALUE"""),4.12058E7)</f>
        <v>41205800</v>
      </c>
      <c r="G961" s="2">
        <f t="shared" si="1"/>
        <v>25</v>
      </c>
    </row>
    <row r="962" ht="15.75" customHeight="1">
      <c r="A962" s="1">
        <f>IFERROR(__xludf.DUMMYFUNCTION("""COMPUTED_VALUE"""),45268.66666666667)</f>
        <v>45268.66667</v>
      </c>
      <c r="B962" s="2">
        <f>IFERROR(__xludf.DUMMYFUNCTION("""COMPUTED_VALUE"""),1110.0)</f>
        <v>1110</v>
      </c>
      <c r="C962" s="2">
        <f>IFERROR(__xludf.DUMMYFUNCTION("""COMPUTED_VALUE"""),1115.0)</f>
        <v>1115</v>
      </c>
      <c r="D962" s="2">
        <f>IFERROR(__xludf.DUMMYFUNCTION("""COMPUTED_VALUE"""),1100.0)</f>
        <v>1100</v>
      </c>
      <c r="E962" s="2">
        <f>IFERROR(__xludf.DUMMYFUNCTION("""COMPUTED_VALUE"""),1105.0)</f>
        <v>1105</v>
      </c>
      <c r="F962" s="2">
        <f>IFERROR(__xludf.DUMMYFUNCTION("""COMPUTED_VALUE"""),2.74094E7)</f>
        <v>27409400</v>
      </c>
      <c r="G962" s="2">
        <f t="shared" si="1"/>
        <v>15</v>
      </c>
    </row>
    <row r="963" ht="15.75" customHeight="1">
      <c r="A963" s="1">
        <f>IFERROR(__xludf.DUMMYFUNCTION("""COMPUTED_VALUE"""),45271.66666666667)</f>
        <v>45271.66667</v>
      </c>
      <c r="B963" s="2">
        <f>IFERROR(__xludf.DUMMYFUNCTION("""COMPUTED_VALUE"""),1105.0)</f>
        <v>1105</v>
      </c>
      <c r="C963" s="2">
        <f>IFERROR(__xludf.DUMMYFUNCTION("""COMPUTED_VALUE"""),1130.0)</f>
        <v>1130</v>
      </c>
      <c r="D963" s="2">
        <f>IFERROR(__xludf.DUMMYFUNCTION("""COMPUTED_VALUE"""),1105.0)</f>
        <v>1105</v>
      </c>
      <c r="E963" s="2">
        <f>IFERROR(__xludf.DUMMYFUNCTION("""COMPUTED_VALUE"""),1105.0)</f>
        <v>1105</v>
      </c>
      <c r="F963" s="2">
        <f>IFERROR(__xludf.DUMMYFUNCTION("""COMPUTED_VALUE"""),3.07553E7)</f>
        <v>30755300</v>
      </c>
      <c r="G963" s="2">
        <f t="shared" si="1"/>
        <v>25</v>
      </c>
    </row>
    <row r="964" ht="15.75" customHeight="1">
      <c r="A964" s="1">
        <f>IFERROR(__xludf.DUMMYFUNCTION("""COMPUTED_VALUE"""),45272.66666666667)</f>
        <v>45272.66667</v>
      </c>
      <c r="B964" s="2">
        <f>IFERROR(__xludf.DUMMYFUNCTION("""COMPUTED_VALUE"""),1105.0)</f>
        <v>1105</v>
      </c>
      <c r="C964" s="2">
        <f>IFERROR(__xludf.DUMMYFUNCTION("""COMPUTED_VALUE"""),1110.0)</f>
        <v>1110</v>
      </c>
      <c r="D964" s="2">
        <f>IFERROR(__xludf.DUMMYFUNCTION("""COMPUTED_VALUE"""),1085.0)</f>
        <v>1085</v>
      </c>
      <c r="E964" s="2">
        <f>IFERROR(__xludf.DUMMYFUNCTION("""COMPUTED_VALUE"""),1090.0)</f>
        <v>1090</v>
      </c>
      <c r="F964" s="2">
        <f>IFERROR(__xludf.DUMMYFUNCTION("""COMPUTED_VALUE"""),3.82104E7)</f>
        <v>38210400</v>
      </c>
      <c r="G964" s="2">
        <f t="shared" si="1"/>
        <v>25</v>
      </c>
    </row>
    <row r="965" ht="15.75" customHeight="1">
      <c r="A965" s="1">
        <f>IFERROR(__xludf.DUMMYFUNCTION("""COMPUTED_VALUE"""),45273.66666666667)</f>
        <v>45273.66667</v>
      </c>
      <c r="B965" s="2">
        <f>IFERROR(__xludf.DUMMYFUNCTION("""COMPUTED_VALUE"""),1090.0)</f>
        <v>1090</v>
      </c>
      <c r="C965" s="2">
        <f>IFERROR(__xludf.DUMMYFUNCTION("""COMPUTED_VALUE"""),1090.0)</f>
        <v>1090</v>
      </c>
      <c r="D965" s="2">
        <f>IFERROR(__xludf.DUMMYFUNCTION("""COMPUTED_VALUE"""),1075.0)</f>
        <v>1075</v>
      </c>
      <c r="E965" s="2">
        <f>IFERROR(__xludf.DUMMYFUNCTION("""COMPUTED_VALUE"""),1080.0)</f>
        <v>1080</v>
      </c>
      <c r="F965" s="2">
        <f>IFERROR(__xludf.DUMMYFUNCTION("""COMPUTED_VALUE"""),2.35653E7)</f>
        <v>23565300</v>
      </c>
      <c r="G965" s="2">
        <f t="shared" si="1"/>
        <v>15</v>
      </c>
    </row>
    <row r="966" ht="15.75" customHeight="1">
      <c r="A966" s="1">
        <f>IFERROR(__xludf.DUMMYFUNCTION("""COMPUTED_VALUE"""),45274.66666666667)</f>
        <v>45274.66667</v>
      </c>
      <c r="B966" s="2">
        <f>IFERROR(__xludf.DUMMYFUNCTION("""COMPUTED_VALUE"""),1080.0)</f>
        <v>1080</v>
      </c>
      <c r="C966" s="2">
        <f>IFERROR(__xludf.DUMMYFUNCTION("""COMPUTED_VALUE"""),1095.0)</f>
        <v>1095</v>
      </c>
      <c r="D966" s="2">
        <f>IFERROR(__xludf.DUMMYFUNCTION("""COMPUTED_VALUE"""),1070.0)</f>
        <v>1070</v>
      </c>
      <c r="E966" s="2">
        <f>IFERROR(__xludf.DUMMYFUNCTION("""COMPUTED_VALUE"""),1090.0)</f>
        <v>1090</v>
      </c>
      <c r="F966" s="2">
        <f>IFERROR(__xludf.DUMMYFUNCTION("""COMPUTED_VALUE"""),3.96172E7)</f>
        <v>39617200</v>
      </c>
      <c r="G966" s="2">
        <f t="shared" si="1"/>
        <v>25</v>
      </c>
    </row>
    <row r="967" ht="15.75" customHeight="1">
      <c r="A967" s="1">
        <f>IFERROR(__xludf.DUMMYFUNCTION("""COMPUTED_VALUE"""),45275.66666666667)</f>
        <v>45275.66667</v>
      </c>
      <c r="B967" s="2">
        <f>IFERROR(__xludf.DUMMYFUNCTION("""COMPUTED_VALUE"""),1095.0)</f>
        <v>1095</v>
      </c>
      <c r="C967" s="2">
        <f>IFERROR(__xludf.DUMMYFUNCTION("""COMPUTED_VALUE"""),1105.0)</f>
        <v>1105</v>
      </c>
      <c r="D967" s="2">
        <f>IFERROR(__xludf.DUMMYFUNCTION("""COMPUTED_VALUE"""),1080.0)</f>
        <v>1080</v>
      </c>
      <c r="E967" s="2">
        <f>IFERROR(__xludf.DUMMYFUNCTION("""COMPUTED_VALUE"""),1080.0)</f>
        <v>1080</v>
      </c>
      <c r="F967" s="2">
        <f>IFERROR(__xludf.DUMMYFUNCTION("""COMPUTED_VALUE"""),4.50736E7)</f>
        <v>45073600</v>
      </c>
      <c r="G967" s="2">
        <f t="shared" si="1"/>
        <v>25</v>
      </c>
    </row>
    <row r="968" ht="15.75" customHeight="1">
      <c r="A968" s="1">
        <f>IFERROR(__xludf.DUMMYFUNCTION("""COMPUTED_VALUE"""),45278.66666666667)</f>
        <v>45278.66667</v>
      </c>
      <c r="B968" s="2">
        <f>IFERROR(__xludf.DUMMYFUNCTION("""COMPUTED_VALUE"""),1085.0)</f>
        <v>1085</v>
      </c>
      <c r="C968" s="2">
        <f>IFERROR(__xludf.DUMMYFUNCTION("""COMPUTED_VALUE"""),1090.0)</f>
        <v>1090</v>
      </c>
      <c r="D968" s="2">
        <f>IFERROR(__xludf.DUMMYFUNCTION("""COMPUTED_VALUE"""),1060.0)</f>
        <v>1060</v>
      </c>
      <c r="E968" s="2">
        <f>IFERROR(__xludf.DUMMYFUNCTION("""COMPUTED_VALUE"""),1065.0)</f>
        <v>1065</v>
      </c>
      <c r="F968" s="2">
        <f>IFERROR(__xludf.DUMMYFUNCTION("""COMPUTED_VALUE"""),3.86796E7)</f>
        <v>38679600</v>
      </c>
      <c r="G968" s="2">
        <f t="shared" si="1"/>
        <v>30</v>
      </c>
    </row>
    <row r="969" ht="15.75" customHeight="1">
      <c r="A969" s="1">
        <f>IFERROR(__xludf.DUMMYFUNCTION("""COMPUTED_VALUE"""),45279.66666666667)</f>
        <v>45279.66667</v>
      </c>
      <c r="B969" s="2">
        <f>IFERROR(__xludf.DUMMYFUNCTION("""COMPUTED_VALUE"""),1060.0)</f>
        <v>1060</v>
      </c>
      <c r="C969" s="2">
        <f>IFERROR(__xludf.DUMMYFUNCTION("""COMPUTED_VALUE"""),1105.0)</f>
        <v>1105</v>
      </c>
      <c r="D969" s="2">
        <f>IFERROR(__xludf.DUMMYFUNCTION("""COMPUTED_VALUE"""),1060.0)</f>
        <v>1060</v>
      </c>
      <c r="E969" s="2">
        <f>IFERROR(__xludf.DUMMYFUNCTION("""COMPUTED_VALUE"""),1095.0)</f>
        <v>1095</v>
      </c>
      <c r="F969" s="2">
        <f>IFERROR(__xludf.DUMMYFUNCTION("""COMPUTED_VALUE"""),5.09869E7)</f>
        <v>50986900</v>
      </c>
      <c r="G969" s="2">
        <f t="shared" si="1"/>
        <v>45</v>
      </c>
    </row>
    <row r="970" ht="15.75" customHeight="1">
      <c r="A970" s="1">
        <f>IFERROR(__xludf.DUMMYFUNCTION("""COMPUTED_VALUE"""),45280.66666666667)</f>
        <v>45280.66667</v>
      </c>
      <c r="B970" s="2">
        <f>IFERROR(__xludf.DUMMYFUNCTION("""COMPUTED_VALUE"""),1105.0)</f>
        <v>1105</v>
      </c>
      <c r="C970" s="2">
        <f>IFERROR(__xludf.DUMMYFUNCTION("""COMPUTED_VALUE"""),1120.0)</f>
        <v>1120</v>
      </c>
      <c r="D970" s="2">
        <f>IFERROR(__xludf.DUMMYFUNCTION("""COMPUTED_VALUE"""),1100.0)</f>
        <v>1100</v>
      </c>
      <c r="E970" s="2">
        <f>IFERROR(__xludf.DUMMYFUNCTION("""COMPUTED_VALUE"""),1105.0)</f>
        <v>1105</v>
      </c>
      <c r="F970" s="2">
        <f>IFERROR(__xludf.DUMMYFUNCTION("""COMPUTED_VALUE"""),3.85748E7)</f>
        <v>38574800</v>
      </c>
      <c r="G970" s="2">
        <f t="shared" si="1"/>
        <v>25</v>
      </c>
    </row>
    <row r="971" ht="15.75" customHeight="1">
      <c r="A971" s="1">
        <f>IFERROR(__xludf.DUMMYFUNCTION("""COMPUTED_VALUE"""),45281.66666666667)</f>
        <v>45281.66667</v>
      </c>
      <c r="B971" s="2">
        <f>IFERROR(__xludf.DUMMYFUNCTION("""COMPUTED_VALUE"""),1100.0)</f>
        <v>1100</v>
      </c>
      <c r="C971" s="2">
        <f>IFERROR(__xludf.DUMMYFUNCTION("""COMPUTED_VALUE"""),1110.0)</f>
        <v>1110</v>
      </c>
      <c r="D971" s="2">
        <f>IFERROR(__xludf.DUMMYFUNCTION("""COMPUTED_VALUE"""),1095.0)</f>
        <v>1095</v>
      </c>
      <c r="E971" s="2">
        <f>IFERROR(__xludf.DUMMYFUNCTION("""COMPUTED_VALUE"""),1100.0)</f>
        <v>1100</v>
      </c>
      <c r="F971" s="2">
        <f>IFERROR(__xludf.DUMMYFUNCTION("""COMPUTED_VALUE"""),1.92984E7)</f>
        <v>19298400</v>
      </c>
      <c r="G971" s="2">
        <f t="shared" si="1"/>
        <v>15</v>
      </c>
    </row>
    <row r="972" ht="15.75" customHeight="1">
      <c r="A972" s="1">
        <f>IFERROR(__xludf.DUMMYFUNCTION("""COMPUTED_VALUE"""),45282.66666666667)</f>
        <v>45282.66667</v>
      </c>
      <c r="B972" s="2">
        <f>IFERROR(__xludf.DUMMYFUNCTION("""COMPUTED_VALUE"""),1110.0)</f>
        <v>1110</v>
      </c>
      <c r="C972" s="2">
        <f>IFERROR(__xludf.DUMMYFUNCTION("""COMPUTED_VALUE"""),1120.0)</f>
        <v>1120</v>
      </c>
      <c r="D972" s="2">
        <f>IFERROR(__xludf.DUMMYFUNCTION("""COMPUTED_VALUE"""),1095.0)</f>
        <v>1095</v>
      </c>
      <c r="E972" s="2">
        <f>IFERROR(__xludf.DUMMYFUNCTION("""COMPUTED_VALUE"""),1100.0)</f>
        <v>1100</v>
      </c>
      <c r="F972" s="2">
        <f>IFERROR(__xludf.DUMMYFUNCTION("""COMPUTED_VALUE"""),1.78137E7)</f>
        <v>17813700</v>
      </c>
      <c r="G972" s="2">
        <f t="shared" si="1"/>
        <v>25</v>
      </c>
    </row>
    <row r="973" ht="15.75" customHeight="1">
      <c r="A973" s="1">
        <f>IFERROR(__xludf.DUMMYFUNCTION("""COMPUTED_VALUE"""),45287.66666666667)</f>
        <v>45287.66667</v>
      </c>
      <c r="B973" s="2">
        <f>IFERROR(__xludf.DUMMYFUNCTION("""COMPUTED_VALUE"""),1105.0)</f>
        <v>1105</v>
      </c>
      <c r="C973" s="2">
        <f>IFERROR(__xludf.DUMMYFUNCTION("""COMPUTED_VALUE"""),1120.0)</f>
        <v>1120</v>
      </c>
      <c r="D973" s="2">
        <f>IFERROR(__xludf.DUMMYFUNCTION("""COMPUTED_VALUE"""),1095.0)</f>
        <v>1095</v>
      </c>
      <c r="E973" s="2">
        <f>IFERROR(__xludf.DUMMYFUNCTION("""COMPUTED_VALUE"""),1100.0)</f>
        <v>1100</v>
      </c>
      <c r="F973" s="2">
        <f>IFERROR(__xludf.DUMMYFUNCTION("""COMPUTED_VALUE"""),3.27268E7)</f>
        <v>32726800</v>
      </c>
      <c r="G973" s="2">
        <f t="shared" si="1"/>
        <v>25</v>
      </c>
    </row>
    <row r="974" ht="15.75" customHeight="1">
      <c r="A974" s="1">
        <f>IFERROR(__xludf.DUMMYFUNCTION("""COMPUTED_VALUE"""),45288.66666666667)</f>
        <v>45288.66667</v>
      </c>
      <c r="B974" s="2">
        <f>IFERROR(__xludf.DUMMYFUNCTION("""COMPUTED_VALUE"""),1100.0)</f>
        <v>1100</v>
      </c>
      <c r="C974" s="2">
        <f>IFERROR(__xludf.DUMMYFUNCTION("""COMPUTED_VALUE"""),1140.0)</f>
        <v>1140</v>
      </c>
      <c r="D974" s="2">
        <f>IFERROR(__xludf.DUMMYFUNCTION("""COMPUTED_VALUE"""),1100.0)</f>
        <v>1100</v>
      </c>
      <c r="E974" s="2">
        <f>IFERROR(__xludf.DUMMYFUNCTION("""COMPUTED_VALUE"""),1130.0)</f>
        <v>1130</v>
      </c>
      <c r="F974" s="2">
        <f>IFERROR(__xludf.DUMMYFUNCTION("""COMPUTED_VALUE"""),4.67116E7)</f>
        <v>46711600</v>
      </c>
      <c r="G974" s="2">
        <f t="shared" si="1"/>
        <v>40</v>
      </c>
    </row>
    <row r="975" ht="15.75" customHeight="1">
      <c r="A975" s="1">
        <f>IFERROR(__xludf.DUMMYFUNCTION("""COMPUTED_VALUE"""),45289.66666666667)</f>
        <v>45289.66667</v>
      </c>
      <c r="B975" s="2">
        <f>IFERROR(__xludf.DUMMYFUNCTION("""COMPUTED_VALUE"""),1130.0)</f>
        <v>1130</v>
      </c>
      <c r="C975" s="2">
        <f>IFERROR(__xludf.DUMMYFUNCTION("""COMPUTED_VALUE"""),1135.0)</f>
        <v>1135</v>
      </c>
      <c r="D975" s="2">
        <f>IFERROR(__xludf.DUMMYFUNCTION("""COMPUTED_VALUE"""),1120.0)</f>
        <v>1120</v>
      </c>
      <c r="E975" s="2">
        <f>IFERROR(__xludf.DUMMYFUNCTION("""COMPUTED_VALUE"""),1130.0)</f>
        <v>1130</v>
      </c>
      <c r="F975" s="2">
        <f>IFERROR(__xludf.DUMMYFUNCTION("""COMPUTED_VALUE"""),2.00386E7)</f>
        <v>20038600</v>
      </c>
      <c r="G975" s="2">
        <f t="shared" si="1"/>
        <v>15</v>
      </c>
    </row>
    <row r="976" ht="15.75" customHeight="1">
      <c r="A976" s="1">
        <f>IFERROR(__xludf.DUMMYFUNCTION("""COMPUTED_VALUE"""),45293.66666666667)</f>
        <v>45293.66667</v>
      </c>
      <c r="B976" s="2">
        <f>IFERROR(__xludf.DUMMYFUNCTION("""COMPUTED_VALUE"""),1130.0)</f>
        <v>1130</v>
      </c>
      <c r="C976" s="2">
        <f>IFERROR(__xludf.DUMMYFUNCTION("""COMPUTED_VALUE"""),1155.0)</f>
        <v>1155</v>
      </c>
      <c r="D976" s="2">
        <f>IFERROR(__xludf.DUMMYFUNCTION("""COMPUTED_VALUE"""),1125.0)</f>
        <v>1125</v>
      </c>
      <c r="E976" s="2">
        <f>IFERROR(__xludf.DUMMYFUNCTION("""COMPUTED_VALUE"""),1140.0)</f>
        <v>1140</v>
      </c>
      <c r="F976" s="2">
        <f>IFERROR(__xludf.DUMMYFUNCTION("""COMPUTED_VALUE"""),4.0931E7)</f>
        <v>40931000</v>
      </c>
      <c r="G976" s="2">
        <f t="shared" si="1"/>
        <v>30</v>
      </c>
    </row>
    <row r="977" ht="15.75" customHeight="1">
      <c r="A977" s="1">
        <f>IFERROR(__xludf.DUMMYFUNCTION("""COMPUTED_VALUE"""),45294.66666666667)</f>
        <v>45294.66667</v>
      </c>
      <c r="B977" s="2">
        <f>IFERROR(__xludf.DUMMYFUNCTION("""COMPUTED_VALUE"""),1140.0)</f>
        <v>1140</v>
      </c>
      <c r="C977" s="2">
        <f>IFERROR(__xludf.DUMMYFUNCTION("""COMPUTED_VALUE"""),1140.0)</f>
        <v>1140</v>
      </c>
      <c r="D977" s="2">
        <f>IFERROR(__xludf.DUMMYFUNCTION("""COMPUTED_VALUE"""),1130.0)</f>
        <v>1130</v>
      </c>
      <c r="E977" s="2">
        <f>IFERROR(__xludf.DUMMYFUNCTION("""COMPUTED_VALUE"""),1135.0)</f>
        <v>1135</v>
      </c>
      <c r="F977" s="2">
        <f>IFERROR(__xludf.DUMMYFUNCTION("""COMPUTED_VALUE"""),1.98819E7)</f>
        <v>19881900</v>
      </c>
      <c r="G977" s="2">
        <f t="shared" si="1"/>
        <v>10</v>
      </c>
    </row>
    <row r="978" ht="15.75" customHeight="1">
      <c r="A978" s="1">
        <f>IFERROR(__xludf.DUMMYFUNCTION("""COMPUTED_VALUE"""),45295.66666666667)</f>
        <v>45295.66667</v>
      </c>
      <c r="B978" s="2">
        <f>IFERROR(__xludf.DUMMYFUNCTION("""COMPUTED_VALUE"""),1140.0)</f>
        <v>1140</v>
      </c>
      <c r="C978" s="2">
        <f>IFERROR(__xludf.DUMMYFUNCTION("""COMPUTED_VALUE"""),1150.0)</f>
        <v>1150</v>
      </c>
      <c r="D978" s="2">
        <f>IFERROR(__xludf.DUMMYFUNCTION("""COMPUTED_VALUE"""),1135.0)</f>
        <v>1135</v>
      </c>
      <c r="E978" s="2">
        <f>IFERROR(__xludf.DUMMYFUNCTION("""COMPUTED_VALUE"""),1145.0)</f>
        <v>1145</v>
      </c>
      <c r="F978" s="2">
        <f>IFERROR(__xludf.DUMMYFUNCTION("""COMPUTED_VALUE"""),2.75275E7)</f>
        <v>27527500</v>
      </c>
      <c r="G978" s="2">
        <f t="shared" si="1"/>
        <v>15</v>
      </c>
    </row>
    <row r="979" ht="15.75" customHeight="1">
      <c r="A979" s="1">
        <f>IFERROR(__xludf.DUMMYFUNCTION("""COMPUTED_VALUE"""),45296.66666666667)</f>
        <v>45296.66667</v>
      </c>
      <c r="B979" s="2">
        <f>IFERROR(__xludf.DUMMYFUNCTION("""COMPUTED_VALUE"""),1150.0)</f>
        <v>1150</v>
      </c>
      <c r="C979" s="2">
        <f>IFERROR(__xludf.DUMMYFUNCTION("""COMPUTED_VALUE"""),1170.0)</f>
        <v>1170</v>
      </c>
      <c r="D979" s="2">
        <f>IFERROR(__xludf.DUMMYFUNCTION("""COMPUTED_VALUE"""),1140.0)</f>
        <v>1140</v>
      </c>
      <c r="E979" s="2">
        <f>IFERROR(__xludf.DUMMYFUNCTION("""COMPUTED_VALUE"""),1160.0)</f>
        <v>1160</v>
      </c>
      <c r="F979" s="2">
        <f>IFERROR(__xludf.DUMMYFUNCTION("""COMPUTED_VALUE"""),6.32835E7)</f>
        <v>63283500</v>
      </c>
      <c r="G979" s="2">
        <f t="shared" si="1"/>
        <v>30</v>
      </c>
    </row>
    <row r="980" ht="15.75" customHeight="1">
      <c r="A980" s="1">
        <f>IFERROR(__xludf.DUMMYFUNCTION("""COMPUTED_VALUE"""),45299.66666666667)</f>
        <v>45299.66667</v>
      </c>
      <c r="B980" s="2">
        <f>IFERROR(__xludf.DUMMYFUNCTION("""COMPUTED_VALUE"""),1160.0)</f>
        <v>1160</v>
      </c>
      <c r="C980" s="2">
        <f>IFERROR(__xludf.DUMMYFUNCTION("""COMPUTED_VALUE"""),1165.0)</f>
        <v>1165</v>
      </c>
      <c r="D980" s="2">
        <f>IFERROR(__xludf.DUMMYFUNCTION("""COMPUTED_VALUE"""),1135.0)</f>
        <v>1135</v>
      </c>
      <c r="E980" s="2">
        <f>IFERROR(__xludf.DUMMYFUNCTION("""COMPUTED_VALUE"""),1135.0)</f>
        <v>1135</v>
      </c>
      <c r="F980" s="2">
        <f>IFERROR(__xludf.DUMMYFUNCTION("""COMPUTED_VALUE"""),3.30401E7)</f>
        <v>33040100</v>
      </c>
      <c r="G980" s="2">
        <f t="shared" si="1"/>
        <v>30</v>
      </c>
    </row>
    <row r="981" ht="15.75" customHeight="1">
      <c r="A981" s="1">
        <f>IFERROR(__xludf.DUMMYFUNCTION("""COMPUTED_VALUE"""),45300.66666666667)</f>
        <v>45300.66667</v>
      </c>
      <c r="B981" s="2">
        <f>IFERROR(__xludf.DUMMYFUNCTION("""COMPUTED_VALUE"""),1135.0)</f>
        <v>1135</v>
      </c>
      <c r="C981" s="2">
        <f>IFERROR(__xludf.DUMMYFUNCTION("""COMPUTED_VALUE"""),1140.0)</f>
        <v>1140</v>
      </c>
      <c r="D981" s="2">
        <f>IFERROR(__xludf.DUMMYFUNCTION("""COMPUTED_VALUE"""),1125.0)</f>
        <v>1125</v>
      </c>
      <c r="E981" s="2">
        <f>IFERROR(__xludf.DUMMYFUNCTION("""COMPUTED_VALUE"""),1130.0)</f>
        <v>1130</v>
      </c>
      <c r="F981" s="2">
        <f>IFERROR(__xludf.DUMMYFUNCTION("""COMPUTED_VALUE"""),1.66799E7)</f>
        <v>16679900</v>
      </c>
      <c r="G981" s="2">
        <f t="shared" si="1"/>
        <v>15</v>
      </c>
    </row>
    <row r="982" ht="15.75" customHeight="1">
      <c r="A982" s="1">
        <f>IFERROR(__xludf.DUMMYFUNCTION("""COMPUTED_VALUE"""),45301.66666666667)</f>
        <v>45301.66667</v>
      </c>
      <c r="B982" s="2">
        <f>IFERROR(__xludf.DUMMYFUNCTION("""COMPUTED_VALUE"""),1135.0)</f>
        <v>1135</v>
      </c>
      <c r="C982" s="2">
        <f>IFERROR(__xludf.DUMMYFUNCTION("""COMPUTED_VALUE"""),1150.0)</f>
        <v>1150</v>
      </c>
      <c r="D982" s="2">
        <f>IFERROR(__xludf.DUMMYFUNCTION("""COMPUTED_VALUE"""),1135.0)</f>
        <v>1135</v>
      </c>
      <c r="E982" s="2">
        <f>IFERROR(__xludf.DUMMYFUNCTION("""COMPUTED_VALUE"""),1135.0)</f>
        <v>1135</v>
      </c>
      <c r="F982" s="2">
        <f>IFERROR(__xludf.DUMMYFUNCTION("""COMPUTED_VALUE"""),1.90673E7)</f>
        <v>19067300</v>
      </c>
      <c r="G982" s="2">
        <f t="shared" si="1"/>
        <v>20</v>
      </c>
    </row>
    <row r="983" ht="15.75" customHeight="1">
      <c r="A983" s="1">
        <f>IFERROR(__xludf.DUMMYFUNCTION("""COMPUTED_VALUE"""),45302.66666666667)</f>
        <v>45302.66667</v>
      </c>
      <c r="B983" s="2">
        <f>IFERROR(__xludf.DUMMYFUNCTION("""COMPUTED_VALUE"""),1135.0)</f>
        <v>1135</v>
      </c>
      <c r="C983" s="2">
        <f>IFERROR(__xludf.DUMMYFUNCTION("""COMPUTED_VALUE"""),1145.0)</f>
        <v>1145</v>
      </c>
      <c r="D983" s="2">
        <f>IFERROR(__xludf.DUMMYFUNCTION("""COMPUTED_VALUE"""),1130.0)</f>
        <v>1130</v>
      </c>
      <c r="E983" s="2">
        <f>IFERROR(__xludf.DUMMYFUNCTION("""COMPUTED_VALUE"""),1135.0)</f>
        <v>1135</v>
      </c>
      <c r="F983" s="2">
        <f>IFERROR(__xludf.DUMMYFUNCTION("""COMPUTED_VALUE"""),1.92424E7)</f>
        <v>19242400</v>
      </c>
      <c r="G983" s="2">
        <f t="shared" si="1"/>
        <v>15</v>
      </c>
    </row>
    <row r="984" ht="15.75" customHeight="1">
      <c r="A984" s="1">
        <f>IFERROR(__xludf.DUMMYFUNCTION("""COMPUTED_VALUE"""),45303.66666666667)</f>
        <v>45303.66667</v>
      </c>
      <c r="B984" s="2">
        <f>IFERROR(__xludf.DUMMYFUNCTION("""COMPUTED_VALUE"""),1140.0)</f>
        <v>1140</v>
      </c>
      <c r="C984" s="2">
        <f>IFERROR(__xludf.DUMMYFUNCTION("""COMPUTED_VALUE"""),1145.0)</f>
        <v>1145</v>
      </c>
      <c r="D984" s="2">
        <f>IFERROR(__xludf.DUMMYFUNCTION("""COMPUTED_VALUE"""),1135.0)</f>
        <v>1135</v>
      </c>
      <c r="E984" s="2">
        <f>IFERROR(__xludf.DUMMYFUNCTION("""COMPUTED_VALUE"""),1140.0)</f>
        <v>1140</v>
      </c>
      <c r="F984" s="2">
        <f>IFERROR(__xludf.DUMMYFUNCTION("""COMPUTED_VALUE"""),1.45877E7)</f>
        <v>14587700</v>
      </c>
      <c r="G984" s="2">
        <f t="shared" si="1"/>
        <v>10</v>
      </c>
    </row>
    <row r="985" ht="15.75" customHeight="1">
      <c r="A985" s="1">
        <f>IFERROR(__xludf.DUMMYFUNCTION("""COMPUTED_VALUE"""),45306.66666666667)</f>
        <v>45306.66667</v>
      </c>
      <c r="B985" s="2">
        <f>IFERROR(__xludf.DUMMYFUNCTION("""COMPUTED_VALUE"""),1145.0)</f>
        <v>1145</v>
      </c>
      <c r="C985" s="2">
        <f>IFERROR(__xludf.DUMMYFUNCTION("""COMPUTED_VALUE"""),1160.0)</f>
        <v>1160</v>
      </c>
      <c r="D985" s="2">
        <f>IFERROR(__xludf.DUMMYFUNCTION("""COMPUTED_VALUE"""),1145.0)</f>
        <v>1145</v>
      </c>
      <c r="E985" s="2">
        <f>IFERROR(__xludf.DUMMYFUNCTION("""COMPUTED_VALUE"""),1155.0)</f>
        <v>1155</v>
      </c>
      <c r="F985" s="2">
        <f>IFERROR(__xludf.DUMMYFUNCTION("""COMPUTED_VALUE"""),2.28666E7)</f>
        <v>22866600</v>
      </c>
      <c r="G985" s="2">
        <f t="shared" si="1"/>
        <v>20</v>
      </c>
    </row>
    <row r="986" ht="15.75" customHeight="1">
      <c r="A986" s="1">
        <f>IFERROR(__xludf.DUMMYFUNCTION("""COMPUTED_VALUE"""),45307.66666666667)</f>
        <v>45307.66667</v>
      </c>
      <c r="B986" s="2">
        <f>IFERROR(__xludf.DUMMYFUNCTION("""COMPUTED_VALUE"""),1155.0)</f>
        <v>1155</v>
      </c>
      <c r="C986" s="2">
        <f>IFERROR(__xludf.DUMMYFUNCTION("""COMPUTED_VALUE"""),1170.0)</f>
        <v>1170</v>
      </c>
      <c r="D986" s="2">
        <f>IFERROR(__xludf.DUMMYFUNCTION("""COMPUTED_VALUE"""),1150.0)</f>
        <v>1150</v>
      </c>
      <c r="E986" s="2">
        <f>IFERROR(__xludf.DUMMYFUNCTION("""COMPUTED_VALUE"""),1165.0)</f>
        <v>1165</v>
      </c>
      <c r="F986" s="2">
        <f>IFERROR(__xludf.DUMMYFUNCTION("""COMPUTED_VALUE"""),2.72831E7)</f>
        <v>27283100</v>
      </c>
      <c r="G986" s="2">
        <f t="shared" si="1"/>
        <v>20</v>
      </c>
    </row>
    <row r="987" ht="15.75" customHeight="1">
      <c r="A987" s="1">
        <f>IFERROR(__xludf.DUMMYFUNCTION("""COMPUTED_VALUE"""),45308.66666666667)</f>
        <v>45308.66667</v>
      </c>
      <c r="B987" s="2">
        <f>IFERROR(__xludf.DUMMYFUNCTION("""COMPUTED_VALUE"""),1160.0)</f>
        <v>1160</v>
      </c>
      <c r="C987" s="2">
        <f>IFERROR(__xludf.DUMMYFUNCTION("""COMPUTED_VALUE"""),1190.0)</f>
        <v>1190</v>
      </c>
      <c r="D987" s="2">
        <f>IFERROR(__xludf.DUMMYFUNCTION("""COMPUTED_VALUE"""),1140.0)</f>
        <v>1140</v>
      </c>
      <c r="E987" s="2">
        <f>IFERROR(__xludf.DUMMYFUNCTION("""COMPUTED_VALUE"""),1140.0)</f>
        <v>1140</v>
      </c>
      <c r="F987" s="2">
        <f>IFERROR(__xludf.DUMMYFUNCTION("""COMPUTED_VALUE"""),8.66277E7)</f>
        <v>86627700</v>
      </c>
      <c r="G987" s="2">
        <f t="shared" si="1"/>
        <v>50</v>
      </c>
    </row>
    <row r="988" ht="15.75" customHeight="1">
      <c r="A988" s="1">
        <f>IFERROR(__xludf.DUMMYFUNCTION("""COMPUTED_VALUE"""),45309.66666666667)</f>
        <v>45309.66667</v>
      </c>
      <c r="B988" s="2">
        <f>IFERROR(__xludf.DUMMYFUNCTION("""COMPUTED_VALUE"""),1140.0)</f>
        <v>1140</v>
      </c>
      <c r="C988" s="2">
        <f>IFERROR(__xludf.DUMMYFUNCTION("""COMPUTED_VALUE"""),1145.0)</f>
        <v>1145</v>
      </c>
      <c r="D988" s="2">
        <f>IFERROR(__xludf.DUMMYFUNCTION("""COMPUTED_VALUE"""),1130.0)</f>
        <v>1130</v>
      </c>
      <c r="E988" s="2">
        <f>IFERROR(__xludf.DUMMYFUNCTION("""COMPUTED_VALUE"""),1140.0)</f>
        <v>1140</v>
      </c>
      <c r="F988" s="2">
        <f>IFERROR(__xludf.DUMMYFUNCTION("""COMPUTED_VALUE"""),2.6742E7)</f>
        <v>26742000</v>
      </c>
      <c r="G988" s="2">
        <f t="shared" si="1"/>
        <v>15</v>
      </c>
    </row>
    <row r="989" ht="15.75" customHeight="1">
      <c r="A989" s="1">
        <f>IFERROR(__xludf.DUMMYFUNCTION("""COMPUTED_VALUE"""),45310.66666666667)</f>
        <v>45310.66667</v>
      </c>
      <c r="B989" s="2">
        <f>IFERROR(__xludf.DUMMYFUNCTION("""COMPUTED_VALUE"""),1140.0)</f>
        <v>1140</v>
      </c>
      <c r="C989" s="2">
        <f>IFERROR(__xludf.DUMMYFUNCTION("""COMPUTED_VALUE"""),1165.0)</f>
        <v>1165</v>
      </c>
      <c r="D989" s="2">
        <f>IFERROR(__xludf.DUMMYFUNCTION("""COMPUTED_VALUE"""),1135.0)</f>
        <v>1135</v>
      </c>
      <c r="E989" s="2">
        <f>IFERROR(__xludf.DUMMYFUNCTION("""COMPUTED_VALUE"""),1150.0)</f>
        <v>1150</v>
      </c>
      <c r="F989" s="2">
        <f>IFERROR(__xludf.DUMMYFUNCTION("""COMPUTED_VALUE"""),2.1879E7)</f>
        <v>21879000</v>
      </c>
      <c r="G989" s="2">
        <f t="shared" si="1"/>
        <v>30</v>
      </c>
    </row>
    <row r="990" ht="15.75" customHeight="1">
      <c r="A990" s="1">
        <f>IFERROR(__xludf.DUMMYFUNCTION("""COMPUTED_VALUE"""),45313.66666666667)</f>
        <v>45313.66667</v>
      </c>
      <c r="B990" s="2">
        <f>IFERROR(__xludf.DUMMYFUNCTION("""COMPUTED_VALUE"""),1145.0)</f>
        <v>1145</v>
      </c>
      <c r="C990" s="2">
        <f>IFERROR(__xludf.DUMMYFUNCTION("""COMPUTED_VALUE"""),1150.0)</f>
        <v>1150</v>
      </c>
      <c r="D990" s="2">
        <f>IFERROR(__xludf.DUMMYFUNCTION("""COMPUTED_VALUE"""),1110.0)</f>
        <v>1110</v>
      </c>
      <c r="E990" s="2">
        <f>IFERROR(__xludf.DUMMYFUNCTION("""COMPUTED_VALUE"""),1120.0)</f>
        <v>1120</v>
      </c>
      <c r="F990" s="2">
        <f>IFERROR(__xludf.DUMMYFUNCTION("""COMPUTED_VALUE"""),4.30272E7)</f>
        <v>43027200</v>
      </c>
      <c r="G990" s="2">
        <f t="shared" si="1"/>
        <v>40</v>
      </c>
    </row>
    <row r="991" ht="15.75" customHeight="1">
      <c r="A991" s="1">
        <f>IFERROR(__xludf.DUMMYFUNCTION("""COMPUTED_VALUE"""),45314.66666666667)</f>
        <v>45314.66667</v>
      </c>
      <c r="B991" s="2">
        <f>IFERROR(__xludf.DUMMYFUNCTION("""COMPUTED_VALUE"""),1120.0)</f>
        <v>1120</v>
      </c>
      <c r="C991" s="2">
        <f>IFERROR(__xludf.DUMMYFUNCTION("""COMPUTED_VALUE"""),1130.0)</f>
        <v>1130</v>
      </c>
      <c r="D991" s="2">
        <f>IFERROR(__xludf.DUMMYFUNCTION("""COMPUTED_VALUE"""),1110.0)</f>
        <v>1110</v>
      </c>
      <c r="E991" s="2">
        <f>IFERROR(__xludf.DUMMYFUNCTION("""COMPUTED_VALUE"""),1115.0)</f>
        <v>1115</v>
      </c>
      <c r="F991" s="2">
        <f>IFERROR(__xludf.DUMMYFUNCTION("""COMPUTED_VALUE"""),2.30229E7)</f>
        <v>23022900</v>
      </c>
      <c r="G991" s="2">
        <f t="shared" si="1"/>
        <v>20</v>
      </c>
    </row>
    <row r="992" ht="15.75" customHeight="1">
      <c r="A992" s="1">
        <f>IFERROR(__xludf.DUMMYFUNCTION("""COMPUTED_VALUE"""),45315.66666666667)</f>
        <v>45315.66667</v>
      </c>
      <c r="B992" s="2">
        <f>IFERROR(__xludf.DUMMYFUNCTION("""COMPUTED_VALUE"""),1120.0)</f>
        <v>1120</v>
      </c>
      <c r="C992" s="2">
        <f>IFERROR(__xludf.DUMMYFUNCTION("""COMPUTED_VALUE"""),1130.0)</f>
        <v>1130</v>
      </c>
      <c r="D992" s="2">
        <f>IFERROR(__xludf.DUMMYFUNCTION("""COMPUTED_VALUE"""),1110.0)</f>
        <v>1110</v>
      </c>
      <c r="E992" s="2">
        <f>IFERROR(__xludf.DUMMYFUNCTION("""COMPUTED_VALUE"""),1125.0)</f>
        <v>1125</v>
      </c>
      <c r="F992" s="2">
        <f>IFERROR(__xludf.DUMMYFUNCTION("""COMPUTED_VALUE"""),1.44894E7)</f>
        <v>14489400</v>
      </c>
      <c r="G992" s="2">
        <f t="shared" si="1"/>
        <v>20</v>
      </c>
    </row>
    <row r="993" ht="15.75" customHeight="1">
      <c r="A993" s="1">
        <f>IFERROR(__xludf.DUMMYFUNCTION("""COMPUTED_VALUE"""),45316.66666666667)</f>
        <v>45316.66667</v>
      </c>
      <c r="B993" s="2">
        <f>IFERROR(__xludf.DUMMYFUNCTION("""COMPUTED_VALUE"""),1120.0)</f>
        <v>1120</v>
      </c>
      <c r="C993" s="2">
        <f>IFERROR(__xludf.DUMMYFUNCTION("""COMPUTED_VALUE"""),1150.0)</f>
        <v>1150</v>
      </c>
      <c r="D993" s="2">
        <f>IFERROR(__xludf.DUMMYFUNCTION("""COMPUTED_VALUE"""),1115.0)</f>
        <v>1115</v>
      </c>
      <c r="E993" s="2">
        <f>IFERROR(__xludf.DUMMYFUNCTION("""COMPUTED_VALUE"""),1135.0)</f>
        <v>1135</v>
      </c>
      <c r="F993" s="2">
        <f>IFERROR(__xludf.DUMMYFUNCTION("""COMPUTED_VALUE"""),2.8022E7)</f>
        <v>28022000</v>
      </c>
      <c r="G993" s="2">
        <f t="shared" si="1"/>
        <v>35</v>
      </c>
    </row>
    <row r="994" ht="15.75" customHeight="1">
      <c r="A994" s="1">
        <f>IFERROR(__xludf.DUMMYFUNCTION("""COMPUTED_VALUE"""),45317.66666666667)</f>
        <v>45317.66667</v>
      </c>
      <c r="B994" s="2">
        <f>IFERROR(__xludf.DUMMYFUNCTION("""COMPUTED_VALUE"""),1145.0)</f>
        <v>1145</v>
      </c>
      <c r="C994" s="2">
        <f>IFERROR(__xludf.DUMMYFUNCTION("""COMPUTED_VALUE"""),1145.0)</f>
        <v>1145</v>
      </c>
      <c r="D994" s="2">
        <f>IFERROR(__xludf.DUMMYFUNCTION("""COMPUTED_VALUE"""),1125.0)</f>
        <v>1125</v>
      </c>
      <c r="E994" s="2">
        <f>IFERROR(__xludf.DUMMYFUNCTION("""COMPUTED_VALUE"""),1130.0)</f>
        <v>1130</v>
      </c>
      <c r="F994" s="2">
        <f>IFERROR(__xludf.DUMMYFUNCTION("""COMPUTED_VALUE"""),1.33844E7)</f>
        <v>13384400</v>
      </c>
      <c r="G994" s="2">
        <f t="shared" si="1"/>
        <v>20</v>
      </c>
    </row>
    <row r="995" ht="15.75" customHeight="1">
      <c r="A995" s="1">
        <f>IFERROR(__xludf.DUMMYFUNCTION("""COMPUTED_VALUE"""),45320.66666666667)</f>
        <v>45320.66667</v>
      </c>
      <c r="B995" s="2">
        <f>IFERROR(__xludf.DUMMYFUNCTION("""COMPUTED_VALUE"""),1135.0)</f>
        <v>1135</v>
      </c>
      <c r="C995" s="2">
        <f>IFERROR(__xludf.DUMMYFUNCTION("""COMPUTED_VALUE"""),1140.0)</f>
        <v>1140</v>
      </c>
      <c r="D995" s="2">
        <f>IFERROR(__xludf.DUMMYFUNCTION("""COMPUTED_VALUE"""),1120.0)</f>
        <v>1120</v>
      </c>
      <c r="E995" s="2">
        <f>IFERROR(__xludf.DUMMYFUNCTION("""COMPUTED_VALUE"""),1130.0)</f>
        <v>1130</v>
      </c>
      <c r="F995" s="2">
        <f>IFERROR(__xludf.DUMMYFUNCTION("""COMPUTED_VALUE"""),1.11535E7)</f>
        <v>11153500</v>
      </c>
      <c r="G995" s="2">
        <f t="shared" si="1"/>
        <v>20</v>
      </c>
    </row>
    <row r="996" ht="15.75" customHeight="1">
      <c r="A996" s="1">
        <f>IFERROR(__xludf.DUMMYFUNCTION("""COMPUTED_VALUE"""),45321.66666666667)</f>
        <v>45321.66667</v>
      </c>
      <c r="B996" s="2">
        <f>IFERROR(__xludf.DUMMYFUNCTION("""COMPUTED_VALUE"""),1130.0)</f>
        <v>1130</v>
      </c>
      <c r="C996" s="2">
        <f>IFERROR(__xludf.DUMMYFUNCTION("""COMPUTED_VALUE"""),1130.0)</f>
        <v>1130</v>
      </c>
      <c r="D996" s="2">
        <f>IFERROR(__xludf.DUMMYFUNCTION("""COMPUTED_VALUE"""),1115.0)</f>
        <v>1115</v>
      </c>
      <c r="E996" s="2">
        <f>IFERROR(__xludf.DUMMYFUNCTION("""COMPUTED_VALUE"""),1115.0)</f>
        <v>1115</v>
      </c>
      <c r="F996" s="2">
        <f>IFERROR(__xludf.DUMMYFUNCTION("""COMPUTED_VALUE"""),1.13387E7)</f>
        <v>11338700</v>
      </c>
      <c r="G996" s="2">
        <f t="shared" si="1"/>
        <v>15</v>
      </c>
    </row>
    <row r="997" ht="15.75" customHeight="1">
      <c r="A997" s="1">
        <f>IFERROR(__xludf.DUMMYFUNCTION("""COMPUTED_VALUE"""),45322.66666666667)</f>
        <v>45322.66667</v>
      </c>
      <c r="B997" s="2">
        <f>IFERROR(__xludf.DUMMYFUNCTION("""COMPUTED_VALUE"""),1120.0)</f>
        <v>1120</v>
      </c>
      <c r="C997" s="2">
        <f>IFERROR(__xludf.DUMMYFUNCTION("""COMPUTED_VALUE"""),1175.0)</f>
        <v>1175</v>
      </c>
      <c r="D997" s="2">
        <f>IFERROR(__xludf.DUMMYFUNCTION("""COMPUTED_VALUE"""),1120.0)</f>
        <v>1120</v>
      </c>
      <c r="E997" s="2">
        <f>IFERROR(__xludf.DUMMYFUNCTION("""COMPUTED_VALUE"""),1165.0)</f>
        <v>1165</v>
      </c>
      <c r="F997" s="2">
        <f>IFERROR(__xludf.DUMMYFUNCTION("""COMPUTED_VALUE"""),7.43159E7)</f>
        <v>74315900</v>
      </c>
      <c r="G997" s="2">
        <f t="shared" si="1"/>
        <v>60</v>
      </c>
    </row>
    <row r="998" ht="15.75" customHeight="1">
      <c r="A998" s="1">
        <f>IFERROR(__xludf.DUMMYFUNCTION("""COMPUTED_VALUE"""),45323.66666666667)</f>
        <v>45323.66667</v>
      </c>
      <c r="B998" s="2">
        <f>IFERROR(__xludf.DUMMYFUNCTION("""COMPUTED_VALUE"""),1170.0)</f>
        <v>1170</v>
      </c>
      <c r="C998" s="2">
        <f>IFERROR(__xludf.DUMMYFUNCTION("""COMPUTED_VALUE"""),1195.0)</f>
        <v>1195</v>
      </c>
      <c r="D998" s="2">
        <f>IFERROR(__xludf.DUMMYFUNCTION("""COMPUTED_VALUE"""),1145.0)</f>
        <v>1145</v>
      </c>
      <c r="E998" s="2">
        <f>IFERROR(__xludf.DUMMYFUNCTION("""COMPUTED_VALUE"""),1160.0)</f>
        <v>1160</v>
      </c>
      <c r="F998" s="2">
        <f>IFERROR(__xludf.DUMMYFUNCTION("""COMPUTED_VALUE"""),9.03188E7)</f>
        <v>90318800</v>
      </c>
      <c r="G998" s="2">
        <f t="shared" si="1"/>
        <v>50</v>
      </c>
    </row>
    <row r="999" ht="15.75" customHeight="1">
      <c r="A999" s="1">
        <f>IFERROR(__xludf.DUMMYFUNCTION("""COMPUTED_VALUE"""),45324.66666666667)</f>
        <v>45324.66667</v>
      </c>
      <c r="B999" s="2">
        <f>IFERROR(__xludf.DUMMYFUNCTION("""COMPUTED_VALUE"""),1160.0)</f>
        <v>1160</v>
      </c>
      <c r="C999" s="2">
        <f>IFERROR(__xludf.DUMMYFUNCTION("""COMPUTED_VALUE"""),1165.0)</f>
        <v>1165</v>
      </c>
      <c r="D999" s="2">
        <f>IFERROR(__xludf.DUMMYFUNCTION("""COMPUTED_VALUE"""),1130.0)</f>
        <v>1130</v>
      </c>
      <c r="E999" s="2">
        <f>IFERROR(__xludf.DUMMYFUNCTION("""COMPUTED_VALUE"""),1135.0)</f>
        <v>1135</v>
      </c>
      <c r="F999" s="2">
        <f>IFERROR(__xludf.DUMMYFUNCTION("""COMPUTED_VALUE"""),3.3021E7)</f>
        <v>33021000</v>
      </c>
      <c r="G999" s="2">
        <f t="shared" si="1"/>
        <v>35</v>
      </c>
    </row>
    <row r="1000" ht="15.75" customHeight="1">
      <c r="A1000" s="1">
        <f>IFERROR(__xludf.DUMMYFUNCTION("""COMPUTED_VALUE"""),45327.66666666667)</f>
        <v>45327.66667</v>
      </c>
      <c r="B1000" s="2">
        <f>IFERROR(__xludf.DUMMYFUNCTION("""COMPUTED_VALUE"""),1140.0)</f>
        <v>1140</v>
      </c>
      <c r="C1000" s="2">
        <f>IFERROR(__xludf.DUMMYFUNCTION("""COMPUTED_VALUE"""),1155.0)</f>
        <v>1155</v>
      </c>
      <c r="D1000" s="2">
        <f>IFERROR(__xludf.DUMMYFUNCTION("""COMPUTED_VALUE"""),1130.0)</f>
        <v>1130</v>
      </c>
      <c r="E1000" s="2">
        <f>IFERROR(__xludf.DUMMYFUNCTION("""COMPUTED_VALUE"""),1140.0)</f>
        <v>1140</v>
      </c>
      <c r="F1000" s="2">
        <f>IFERROR(__xludf.DUMMYFUNCTION("""COMPUTED_VALUE"""),3.10038E7)</f>
        <v>31003800</v>
      </c>
      <c r="G1000" s="2">
        <f t="shared" si="1"/>
        <v>25</v>
      </c>
    </row>
    <row r="1001" ht="15.75" customHeight="1">
      <c r="A1001" s="1">
        <f>IFERROR(__xludf.DUMMYFUNCTION("""COMPUTED_VALUE"""),45328.66666666667)</f>
        <v>45328.66667</v>
      </c>
      <c r="B1001" s="2">
        <f>IFERROR(__xludf.DUMMYFUNCTION("""COMPUTED_VALUE"""),1145.0)</f>
        <v>1145</v>
      </c>
      <c r="C1001" s="2">
        <f>IFERROR(__xludf.DUMMYFUNCTION("""COMPUTED_VALUE"""),1165.0)</f>
        <v>1165</v>
      </c>
      <c r="D1001" s="2">
        <f>IFERROR(__xludf.DUMMYFUNCTION("""COMPUTED_VALUE"""),1145.0)</f>
        <v>1145</v>
      </c>
      <c r="E1001" s="2">
        <f>IFERROR(__xludf.DUMMYFUNCTION("""COMPUTED_VALUE"""),1155.0)</f>
        <v>1155</v>
      </c>
      <c r="F1001" s="2">
        <f>IFERROR(__xludf.DUMMYFUNCTION("""COMPUTED_VALUE"""),2.6223E7)</f>
        <v>26223000</v>
      </c>
      <c r="G1001" s="2">
        <f t="shared" si="1"/>
        <v>25</v>
      </c>
    </row>
    <row r="1002" ht="15.75" customHeight="1">
      <c r="A1002" s="1">
        <f>IFERROR(__xludf.DUMMYFUNCTION("""COMPUTED_VALUE"""),45329.66666666667)</f>
        <v>45329.66667</v>
      </c>
      <c r="B1002" s="2">
        <f>IFERROR(__xludf.DUMMYFUNCTION("""COMPUTED_VALUE"""),1155.0)</f>
        <v>1155</v>
      </c>
      <c r="C1002" s="2">
        <f>IFERROR(__xludf.DUMMYFUNCTION("""COMPUTED_VALUE"""),1160.0)</f>
        <v>1160</v>
      </c>
      <c r="D1002" s="2">
        <f>IFERROR(__xludf.DUMMYFUNCTION("""COMPUTED_VALUE"""),1145.0)</f>
        <v>1145</v>
      </c>
      <c r="E1002" s="2">
        <f>IFERROR(__xludf.DUMMYFUNCTION("""COMPUTED_VALUE"""),1155.0)</f>
        <v>1155</v>
      </c>
      <c r="F1002" s="2">
        <f>IFERROR(__xludf.DUMMYFUNCTION("""COMPUTED_VALUE"""),2.1206E7)</f>
        <v>21206000</v>
      </c>
      <c r="G1002" s="2">
        <f t="shared" si="1"/>
        <v>15</v>
      </c>
    </row>
    <row r="1003" ht="15.75" customHeight="1">
      <c r="A1003" s="1">
        <f>IFERROR(__xludf.DUMMYFUNCTION("""COMPUTED_VALUE"""),45334.66666666667)</f>
        <v>45334.66667</v>
      </c>
      <c r="B1003" s="2">
        <f>IFERROR(__xludf.DUMMYFUNCTION("""COMPUTED_VALUE"""),1155.0)</f>
        <v>1155</v>
      </c>
      <c r="C1003" s="2">
        <f>IFERROR(__xludf.DUMMYFUNCTION("""COMPUTED_VALUE"""),1165.0)</f>
        <v>1165</v>
      </c>
      <c r="D1003" s="2">
        <f>IFERROR(__xludf.DUMMYFUNCTION("""COMPUTED_VALUE"""),1140.0)</f>
        <v>1140</v>
      </c>
      <c r="E1003" s="2">
        <f>IFERROR(__xludf.DUMMYFUNCTION("""COMPUTED_VALUE"""),1160.0)</f>
        <v>1160</v>
      </c>
      <c r="F1003" s="2">
        <f>IFERROR(__xludf.DUMMYFUNCTION("""COMPUTED_VALUE"""),2.81426E7)</f>
        <v>28142600</v>
      </c>
      <c r="G1003" s="2">
        <f t="shared" si="1"/>
        <v>25</v>
      </c>
    </row>
    <row r="1004" ht="15.75" customHeight="1">
      <c r="A1004" s="1">
        <f>IFERROR(__xludf.DUMMYFUNCTION("""COMPUTED_VALUE"""),45335.66666666667)</f>
        <v>45335.66667</v>
      </c>
      <c r="B1004" s="2">
        <f>IFERROR(__xludf.DUMMYFUNCTION("""COMPUTED_VALUE"""),1160.0)</f>
        <v>1160</v>
      </c>
      <c r="C1004" s="2">
        <f>IFERROR(__xludf.DUMMYFUNCTION("""COMPUTED_VALUE"""),1160.0)</f>
        <v>1160</v>
      </c>
      <c r="D1004" s="2">
        <f>IFERROR(__xludf.DUMMYFUNCTION("""COMPUTED_VALUE"""),1145.0)</f>
        <v>1145</v>
      </c>
      <c r="E1004" s="2">
        <f>IFERROR(__xludf.DUMMYFUNCTION("""COMPUTED_VALUE"""),1150.0)</f>
        <v>1150</v>
      </c>
      <c r="F1004" s="2">
        <f>IFERROR(__xludf.DUMMYFUNCTION("""COMPUTED_VALUE"""),2.18858E7)</f>
        <v>21885800</v>
      </c>
      <c r="G1004" s="2">
        <f t="shared" si="1"/>
        <v>15</v>
      </c>
    </row>
    <row r="1005" ht="15.75" customHeight="1">
      <c r="A1005" s="1">
        <f>IFERROR(__xludf.DUMMYFUNCTION("""COMPUTED_VALUE"""),45337.66666666667)</f>
        <v>45337.66667</v>
      </c>
      <c r="B1005" s="2">
        <f>IFERROR(__xludf.DUMMYFUNCTION("""COMPUTED_VALUE"""),1160.0)</f>
        <v>1160</v>
      </c>
      <c r="C1005" s="2">
        <f>IFERROR(__xludf.DUMMYFUNCTION("""COMPUTED_VALUE"""),1185.0)</f>
        <v>1185</v>
      </c>
      <c r="D1005" s="2">
        <f>IFERROR(__xludf.DUMMYFUNCTION("""COMPUTED_VALUE"""),1155.0)</f>
        <v>1155</v>
      </c>
      <c r="E1005" s="2">
        <f>IFERROR(__xludf.DUMMYFUNCTION("""COMPUTED_VALUE"""),1170.0)</f>
        <v>1170</v>
      </c>
      <c r="F1005" s="2">
        <f>IFERROR(__xludf.DUMMYFUNCTION("""COMPUTED_VALUE"""),4.99132E7)</f>
        <v>49913200</v>
      </c>
      <c r="G1005" s="2">
        <f t="shared" si="1"/>
        <v>35</v>
      </c>
    </row>
    <row r="1006" ht="15.75" customHeight="1">
      <c r="A1006" s="1">
        <f>IFERROR(__xludf.DUMMYFUNCTION("""COMPUTED_VALUE"""),45338.66666666667)</f>
        <v>45338.66667</v>
      </c>
      <c r="B1006" s="2">
        <f>IFERROR(__xludf.DUMMYFUNCTION("""COMPUTED_VALUE"""),1170.0)</f>
        <v>1170</v>
      </c>
      <c r="C1006" s="2">
        <f>IFERROR(__xludf.DUMMYFUNCTION("""COMPUTED_VALUE"""),1180.0)</f>
        <v>1180</v>
      </c>
      <c r="D1006" s="2">
        <f>IFERROR(__xludf.DUMMYFUNCTION("""COMPUTED_VALUE"""),1170.0)</f>
        <v>1170</v>
      </c>
      <c r="E1006" s="2">
        <f>IFERROR(__xludf.DUMMYFUNCTION("""COMPUTED_VALUE"""),1175.0)</f>
        <v>1175</v>
      </c>
      <c r="F1006" s="2">
        <f>IFERROR(__xludf.DUMMYFUNCTION("""COMPUTED_VALUE"""),3.36214E7)</f>
        <v>33621400</v>
      </c>
      <c r="G1006" s="2">
        <f t="shared" si="1"/>
        <v>10</v>
      </c>
    </row>
    <row r="1007" ht="15.75" customHeight="1">
      <c r="A1007" s="1">
        <f>IFERROR(__xludf.DUMMYFUNCTION("""COMPUTED_VALUE"""),45341.66666666667)</f>
        <v>45341.66667</v>
      </c>
      <c r="B1007" s="2">
        <f>IFERROR(__xludf.DUMMYFUNCTION("""COMPUTED_VALUE"""),1185.0)</f>
        <v>1185</v>
      </c>
      <c r="C1007" s="2">
        <f>IFERROR(__xludf.DUMMYFUNCTION("""COMPUTED_VALUE"""),1185.0)</f>
        <v>1185</v>
      </c>
      <c r="D1007" s="2">
        <f>IFERROR(__xludf.DUMMYFUNCTION("""COMPUTED_VALUE"""),1165.0)</f>
        <v>1165</v>
      </c>
      <c r="E1007" s="2">
        <f>IFERROR(__xludf.DUMMYFUNCTION("""COMPUTED_VALUE"""),1180.0)</f>
        <v>1180</v>
      </c>
      <c r="F1007" s="2">
        <f>IFERROR(__xludf.DUMMYFUNCTION("""COMPUTED_VALUE"""),3.16113E7)</f>
        <v>31611300</v>
      </c>
      <c r="G1007" s="2">
        <f t="shared" si="1"/>
        <v>20</v>
      </c>
    </row>
    <row r="1008" ht="15.75" customHeight="1">
      <c r="A1008" s="1">
        <f>IFERROR(__xludf.DUMMYFUNCTION("""COMPUTED_VALUE"""),45342.66666666667)</f>
        <v>45342.66667</v>
      </c>
      <c r="B1008" s="2">
        <f>IFERROR(__xludf.DUMMYFUNCTION("""COMPUTED_VALUE"""),1160.0)</f>
        <v>1160</v>
      </c>
      <c r="C1008" s="2">
        <f>IFERROR(__xludf.DUMMYFUNCTION("""COMPUTED_VALUE"""),1185.0)</f>
        <v>1185</v>
      </c>
      <c r="D1008" s="2">
        <f>IFERROR(__xludf.DUMMYFUNCTION("""COMPUTED_VALUE"""),1160.0)</f>
        <v>1160</v>
      </c>
      <c r="E1008" s="2">
        <f>IFERROR(__xludf.DUMMYFUNCTION("""COMPUTED_VALUE"""),1165.0)</f>
        <v>1165</v>
      </c>
      <c r="F1008" s="2">
        <f>IFERROR(__xludf.DUMMYFUNCTION("""COMPUTED_VALUE"""),3.50996E7)</f>
        <v>35099600</v>
      </c>
      <c r="G1008" s="2">
        <f t="shared" si="1"/>
        <v>25</v>
      </c>
    </row>
    <row r="1009" ht="15.75" customHeight="1">
      <c r="A1009" s="1">
        <f>IFERROR(__xludf.DUMMYFUNCTION("""COMPUTED_VALUE"""),45343.66666666667)</f>
        <v>45343.66667</v>
      </c>
      <c r="B1009" s="2">
        <f>IFERROR(__xludf.DUMMYFUNCTION("""COMPUTED_VALUE"""),1170.0)</f>
        <v>1170</v>
      </c>
      <c r="C1009" s="2">
        <f>IFERROR(__xludf.DUMMYFUNCTION("""COMPUTED_VALUE"""),1210.0)</f>
        <v>1210</v>
      </c>
      <c r="D1009" s="2">
        <f>IFERROR(__xludf.DUMMYFUNCTION("""COMPUTED_VALUE"""),1170.0)</f>
        <v>1170</v>
      </c>
      <c r="E1009" s="2">
        <f>IFERROR(__xludf.DUMMYFUNCTION("""COMPUTED_VALUE"""),1180.0)</f>
        <v>1180</v>
      </c>
      <c r="F1009" s="2">
        <f>IFERROR(__xludf.DUMMYFUNCTION("""COMPUTED_VALUE"""),7.55027E7)</f>
        <v>75502700</v>
      </c>
      <c r="G1009" s="2">
        <f t="shared" si="1"/>
        <v>45</v>
      </c>
    </row>
    <row r="1010" ht="15.75" customHeight="1">
      <c r="A1010" s="1">
        <f>IFERROR(__xludf.DUMMYFUNCTION("""COMPUTED_VALUE"""),45344.66666666667)</f>
        <v>45344.66667</v>
      </c>
      <c r="B1010" s="2">
        <f>IFERROR(__xludf.DUMMYFUNCTION("""COMPUTED_VALUE"""),1190.0)</f>
        <v>1190</v>
      </c>
      <c r="C1010" s="2">
        <f>IFERROR(__xludf.DUMMYFUNCTION("""COMPUTED_VALUE"""),1200.0)</f>
        <v>1200</v>
      </c>
      <c r="D1010" s="2">
        <f>IFERROR(__xludf.DUMMYFUNCTION("""COMPUTED_VALUE"""),1170.0)</f>
        <v>1170</v>
      </c>
      <c r="E1010" s="2">
        <f>IFERROR(__xludf.DUMMYFUNCTION("""COMPUTED_VALUE"""),1175.0)</f>
        <v>1175</v>
      </c>
      <c r="F1010" s="2">
        <f>IFERROR(__xludf.DUMMYFUNCTION("""COMPUTED_VALUE"""),3.50098E7)</f>
        <v>35009800</v>
      </c>
      <c r="G1010" s="2">
        <f t="shared" si="1"/>
        <v>30</v>
      </c>
    </row>
    <row r="1011" ht="15.75" customHeight="1">
      <c r="A1011" s="1">
        <f>IFERROR(__xludf.DUMMYFUNCTION("""COMPUTED_VALUE"""),45345.66666666667)</f>
        <v>45345.66667</v>
      </c>
      <c r="B1011" s="2">
        <f>IFERROR(__xludf.DUMMYFUNCTION("""COMPUTED_VALUE"""),1185.0)</f>
        <v>1185</v>
      </c>
      <c r="C1011" s="2">
        <f>IFERROR(__xludf.DUMMYFUNCTION("""COMPUTED_VALUE"""),1185.0)</f>
        <v>1185</v>
      </c>
      <c r="D1011" s="2">
        <f>IFERROR(__xludf.DUMMYFUNCTION("""COMPUTED_VALUE"""),1155.0)</f>
        <v>1155</v>
      </c>
      <c r="E1011" s="2">
        <f>IFERROR(__xludf.DUMMYFUNCTION("""COMPUTED_VALUE"""),1160.0)</f>
        <v>1160</v>
      </c>
      <c r="F1011" s="2">
        <f>IFERROR(__xludf.DUMMYFUNCTION("""COMPUTED_VALUE"""),4.00012E7)</f>
        <v>40001200</v>
      </c>
      <c r="G1011" s="2">
        <f t="shared" si="1"/>
        <v>30</v>
      </c>
    </row>
    <row r="1012" ht="15.75" customHeight="1">
      <c r="A1012" s="1">
        <f>IFERROR(__xludf.DUMMYFUNCTION("""COMPUTED_VALUE"""),45348.66666666667)</f>
        <v>45348.66667</v>
      </c>
      <c r="B1012" s="2">
        <f>IFERROR(__xludf.DUMMYFUNCTION("""COMPUTED_VALUE"""),1160.0)</f>
        <v>1160</v>
      </c>
      <c r="C1012" s="2">
        <f>IFERROR(__xludf.DUMMYFUNCTION("""COMPUTED_VALUE"""),1160.0)</f>
        <v>1160</v>
      </c>
      <c r="D1012" s="2">
        <f>IFERROR(__xludf.DUMMYFUNCTION("""COMPUTED_VALUE"""),1130.0)</f>
        <v>1130</v>
      </c>
      <c r="E1012" s="2">
        <f>IFERROR(__xludf.DUMMYFUNCTION("""COMPUTED_VALUE"""),1135.0)</f>
        <v>1135</v>
      </c>
      <c r="F1012" s="2">
        <f>IFERROR(__xludf.DUMMYFUNCTION("""COMPUTED_VALUE"""),6.42158E7)</f>
        <v>64215800</v>
      </c>
      <c r="G1012" s="2">
        <f t="shared" si="1"/>
        <v>30</v>
      </c>
    </row>
    <row r="1013" ht="15.75" customHeight="1">
      <c r="A1013" s="1">
        <f>IFERROR(__xludf.DUMMYFUNCTION("""COMPUTED_VALUE"""),45349.66666666667)</f>
        <v>45349.66667</v>
      </c>
      <c r="B1013" s="2">
        <f>IFERROR(__xludf.DUMMYFUNCTION("""COMPUTED_VALUE"""),1140.0)</f>
        <v>1140</v>
      </c>
      <c r="C1013" s="2">
        <f>IFERROR(__xludf.DUMMYFUNCTION("""COMPUTED_VALUE"""),1140.0)</f>
        <v>1140</v>
      </c>
      <c r="D1013" s="2">
        <f>IFERROR(__xludf.DUMMYFUNCTION("""COMPUTED_VALUE"""),1120.0)</f>
        <v>1120</v>
      </c>
      <c r="E1013" s="2">
        <f>IFERROR(__xludf.DUMMYFUNCTION("""COMPUTED_VALUE"""),1125.0)</f>
        <v>1125</v>
      </c>
      <c r="F1013" s="2">
        <f>IFERROR(__xludf.DUMMYFUNCTION("""COMPUTED_VALUE"""),7.13243E7)</f>
        <v>71324300</v>
      </c>
      <c r="G1013" s="2">
        <f t="shared" si="1"/>
        <v>20</v>
      </c>
    </row>
    <row r="1014" ht="15.75" customHeight="1">
      <c r="A1014" s="1">
        <f>IFERROR(__xludf.DUMMYFUNCTION("""COMPUTED_VALUE"""),45350.66666666667)</f>
        <v>45350.66667</v>
      </c>
      <c r="B1014" s="2">
        <f>IFERROR(__xludf.DUMMYFUNCTION("""COMPUTED_VALUE"""),1125.0)</f>
        <v>1125</v>
      </c>
      <c r="C1014" s="2">
        <f>IFERROR(__xludf.DUMMYFUNCTION("""COMPUTED_VALUE"""),1125.0)</f>
        <v>1125</v>
      </c>
      <c r="D1014" s="2">
        <f>IFERROR(__xludf.DUMMYFUNCTION("""COMPUTED_VALUE"""),1105.0)</f>
        <v>1105</v>
      </c>
      <c r="E1014" s="2">
        <f>IFERROR(__xludf.DUMMYFUNCTION("""COMPUTED_VALUE"""),1115.0)</f>
        <v>1115</v>
      </c>
      <c r="F1014" s="2">
        <f>IFERROR(__xludf.DUMMYFUNCTION("""COMPUTED_VALUE"""),7.24948E7)</f>
        <v>72494800</v>
      </c>
      <c r="G1014" s="2">
        <f t="shared" si="1"/>
        <v>20</v>
      </c>
    </row>
    <row r="1015" ht="15.75" customHeight="1">
      <c r="A1015" s="1">
        <f>IFERROR(__xludf.DUMMYFUNCTION("""COMPUTED_VALUE"""),45351.66666666667)</f>
        <v>45351.66667</v>
      </c>
      <c r="B1015" s="2">
        <f>IFERROR(__xludf.DUMMYFUNCTION("""COMPUTED_VALUE"""),1115.0)</f>
        <v>1115</v>
      </c>
      <c r="C1015" s="2">
        <f>IFERROR(__xludf.DUMMYFUNCTION("""COMPUTED_VALUE"""),1115.0)</f>
        <v>1115</v>
      </c>
      <c r="D1015" s="2">
        <f>IFERROR(__xludf.DUMMYFUNCTION("""COMPUTED_VALUE"""),1090.0)</f>
        <v>1090</v>
      </c>
      <c r="E1015" s="2">
        <f>IFERROR(__xludf.DUMMYFUNCTION("""COMPUTED_VALUE"""),1090.0)</f>
        <v>1090</v>
      </c>
      <c r="F1015" s="2">
        <f>IFERROR(__xludf.DUMMYFUNCTION("""COMPUTED_VALUE"""),1.3199E8)</f>
        <v>131990000</v>
      </c>
      <c r="G1015" s="2">
        <f t="shared" si="1"/>
        <v>25</v>
      </c>
    </row>
    <row r="1016" ht="15.75" customHeight="1">
      <c r="A1016" s="1">
        <f>IFERROR(__xludf.DUMMYFUNCTION("""COMPUTED_VALUE"""),45352.66666666667)</f>
        <v>45352.66667</v>
      </c>
      <c r="B1016" s="2">
        <f>IFERROR(__xludf.DUMMYFUNCTION("""COMPUTED_VALUE"""),1090.0)</f>
        <v>1090</v>
      </c>
      <c r="C1016" s="2">
        <f>IFERROR(__xludf.DUMMYFUNCTION("""COMPUTED_VALUE"""),1110.0)</f>
        <v>1110</v>
      </c>
      <c r="D1016" s="2">
        <f>IFERROR(__xludf.DUMMYFUNCTION("""COMPUTED_VALUE"""),1090.0)</f>
        <v>1090</v>
      </c>
      <c r="E1016" s="2">
        <f>IFERROR(__xludf.DUMMYFUNCTION("""COMPUTED_VALUE"""),1105.0)</f>
        <v>1105</v>
      </c>
      <c r="F1016" s="2">
        <f>IFERROR(__xludf.DUMMYFUNCTION("""COMPUTED_VALUE"""),5.35956E7)</f>
        <v>53595600</v>
      </c>
      <c r="G1016" s="2">
        <f t="shared" si="1"/>
        <v>20</v>
      </c>
    </row>
    <row r="1017" ht="15.75" customHeight="1">
      <c r="A1017" s="1">
        <f>IFERROR(__xludf.DUMMYFUNCTION("""COMPUTED_VALUE"""),45355.66666666667)</f>
        <v>45355.66667</v>
      </c>
      <c r="B1017" s="2">
        <f>IFERROR(__xludf.DUMMYFUNCTION("""COMPUTED_VALUE"""),1110.0)</f>
        <v>1110</v>
      </c>
      <c r="C1017" s="2">
        <f>IFERROR(__xludf.DUMMYFUNCTION("""COMPUTED_VALUE"""),1125.0)</f>
        <v>1125</v>
      </c>
      <c r="D1017" s="2">
        <f>IFERROR(__xludf.DUMMYFUNCTION("""COMPUTED_VALUE"""),1110.0)</f>
        <v>1110</v>
      </c>
      <c r="E1017" s="2">
        <f>IFERROR(__xludf.DUMMYFUNCTION("""COMPUTED_VALUE"""),1120.0)</f>
        <v>1120</v>
      </c>
      <c r="F1017" s="2">
        <f>IFERROR(__xludf.DUMMYFUNCTION("""COMPUTED_VALUE"""),2.71219E7)</f>
        <v>27121900</v>
      </c>
      <c r="G1017" s="2">
        <f t="shared" si="1"/>
        <v>20</v>
      </c>
    </row>
    <row r="1018" ht="15.75" customHeight="1">
      <c r="A1018" s="1">
        <f>IFERROR(__xludf.DUMMYFUNCTION("""COMPUTED_VALUE"""),45356.66666666667)</f>
        <v>45356.66667</v>
      </c>
      <c r="B1018" s="2">
        <f>IFERROR(__xludf.DUMMYFUNCTION("""COMPUTED_VALUE"""),1125.0)</f>
        <v>1125</v>
      </c>
      <c r="C1018" s="2">
        <f>IFERROR(__xludf.DUMMYFUNCTION("""COMPUTED_VALUE"""),1125.0)</f>
        <v>1125</v>
      </c>
      <c r="D1018" s="2">
        <f>IFERROR(__xludf.DUMMYFUNCTION("""COMPUTED_VALUE"""),1110.0)</f>
        <v>1110</v>
      </c>
      <c r="E1018" s="2">
        <f>IFERROR(__xludf.DUMMYFUNCTION("""COMPUTED_VALUE"""),1120.0)</f>
        <v>1120</v>
      </c>
      <c r="F1018" s="2">
        <f>IFERROR(__xludf.DUMMYFUNCTION("""COMPUTED_VALUE"""),2.00258E7)</f>
        <v>20025800</v>
      </c>
      <c r="G1018" s="2">
        <f t="shared" si="1"/>
        <v>15</v>
      </c>
    </row>
    <row r="1019" ht="15.75" customHeight="1">
      <c r="A1019" s="1">
        <f>IFERROR(__xludf.DUMMYFUNCTION("""COMPUTED_VALUE"""),45357.66666666667)</f>
        <v>45357.66667</v>
      </c>
      <c r="B1019" s="2">
        <f>IFERROR(__xludf.DUMMYFUNCTION("""COMPUTED_VALUE"""),1120.0)</f>
        <v>1120</v>
      </c>
      <c r="C1019" s="2">
        <f>IFERROR(__xludf.DUMMYFUNCTION("""COMPUTED_VALUE"""),1130.0)</f>
        <v>1130</v>
      </c>
      <c r="D1019" s="2">
        <f>IFERROR(__xludf.DUMMYFUNCTION("""COMPUTED_VALUE"""),1115.0)</f>
        <v>1115</v>
      </c>
      <c r="E1019" s="2">
        <f>IFERROR(__xludf.DUMMYFUNCTION("""COMPUTED_VALUE"""),1115.0)</f>
        <v>1115</v>
      </c>
      <c r="F1019" s="2">
        <f>IFERROR(__xludf.DUMMYFUNCTION("""COMPUTED_VALUE"""),2.22843E7)</f>
        <v>22284300</v>
      </c>
      <c r="G1019" s="2">
        <f t="shared" si="1"/>
        <v>15</v>
      </c>
    </row>
    <row r="1020" ht="15.75" customHeight="1">
      <c r="A1020" s="1">
        <f>IFERROR(__xludf.DUMMYFUNCTION("""COMPUTED_VALUE"""),45358.66666666667)</f>
        <v>45358.66667</v>
      </c>
      <c r="B1020" s="2">
        <f>IFERROR(__xludf.DUMMYFUNCTION("""COMPUTED_VALUE"""),1120.0)</f>
        <v>1120</v>
      </c>
      <c r="C1020" s="2">
        <f>IFERROR(__xludf.DUMMYFUNCTION("""COMPUTED_VALUE"""),1125.0)</f>
        <v>1125</v>
      </c>
      <c r="D1020" s="2">
        <f>IFERROR(__xludf.DUMMYFUNCTION("""COMPUTED_VALUE"""),1110.0)</f>
        <v>1110</v>
      </c>
      <c r="E1020" s="2">
        <f>IFERROR(__xludf.DUMMYFUNCTION("""COMPUTED_VALUE"""),1115.0)</f>
        <v>1115</v>
      </c>
      <c r="F1020" s="2">
        <f>IFERROR(__xludf.DUMMYFUNCTION("""COMPUTED_VALUE"""),4.07234E7)</f>
        <v>40723400</v>
      </c>
      <c r="G1020" s="2">
        <f t="shared" si="1"/>
        <v>15</v>
      </c>
    </row>
    <row r="1021" ht="15.75" customHeight="1">
      <c r="A1021" s="1">
        <f>IFERROR(__xludf.DUMMYFUNCTION("""COMPUTED_VALUE"""),45359.66666666667)</f>
        <v>45359.66667</v>
      </c>
      <c r="B1021" s="2">
        <f>IFERROR(__xludf.DUMMYFUNCTION("""COMPUTED_VALUE"""),1115.0)</f>
        <v>1115</v>
      </c>
      <c r="C1021" s="2">
        <f>IFERROR(__xludf.DUMMYFUNCTION("""COMPUTED_VALUE"""),1140.0)</f>
        <v>1140</v>
      </c>
      <c r="D1021" s="2">
        <f>IFERROR(__xludf.DUMMYFUNCTION("""COMPUTED_VALUE"""),1115.0)</f>
        <v>1115</v>
      </c>
      <c r="E1021" s="2">
        <f>IFERROR(__xludf.DUMMYFUNCTION("""COMPUTED_VALUE"""),1135.0)</f>
        <v>1135</v>
      </c>
      <c r="F1021" s="2">
        <f>IFERROR(__xludf.DUMMYFUNCTION("""COMPUTED_VALUE"""),3.58067E7)</f>
        <v>35806700</v>
      </c>
      <c r="G1021" s="2">
        <f t="shared" si="1"/>
        <v>25</v>
      </c>
    </row>
    <row r="1022" ht="15.75" customHeight="1">
      <c r="A1022" s="1">
        <f>IFERROR(__xludf.DUMMYFUNCTION("""COMPUTED_VALUE"""),45364.66666666667)</f>
        <v>45364.66667</v>
      </c>
      <c r="B1022" s="2">
        <f>IFERROR(__xludf.DUMMYFUNCTION("""COMPUTED_VALUE"""),1145.0)</f>
        <v>1145</v>
      </c>
      <c r="C1022" s="2">
        <f>IFERROR(__xludf.DUMMYFUNCTION("""COMPUTED_VALUE"""),1200.0)</f>
        <v>1200</v>
      </c>
      <c r="D1022" s="2">
        <f>IFERROR(__xludf.DUMMYFUNCTION("""COMPUTED_VALUE"""),1145.0)</f>
        <v>1145</v>
      </c>
      <c r="E1022" s="2">
        <f>IFERROR(__xludf.DUMMYFUNCTION("""COMPUTED_VALUE"""),1165.0)</f>
        <v>1165</v>
      </c>
      <c r="F1022" s="2">
        <f>IFERROR(__xludf.DUMMYFUNCTION("""COMPUTED_VALUE"""),1.620224E8)</f>
        <v>162022400</v>
      </c>
      <c r="G1022" s="2">
        <f t="shared" si="1"/>
        <v>65</v>
      </c>
    </row>
    <row r="1023" ht="15.75" customHeight="1">
      <c r="A1023" s="1">
        <f>IFERROR(__xludf.DUMMYFUNCTION("""COMPUTED_VALUE"""),45365.66666666667)</f>
        <v>45365.66667</v>
      </c>
      <c r="B1023" s="2">
        <f>IFERROR(__xludf.DUMMYFUNCTION("""COMPUTED_VALUE"""),1170.0)</f>
        <v>1170</v>
      </c>
      <c r="C1023" s="2">
        <f>IFERROR(__xludf.DUMMYFUNCTION("""COMPUTED_VALUE"""),1200.0)</f>
        <v>1200</v>
      </c>
      <c r="D1023" s="2">
        <f>IFERROR(__xludf.DUMMYFUNCTION("""COMPUTED_VALUE"""),1155.0)</f>
        <v>1155</v>
      </c>
      <c r="E1023" s="2">
        <f>IFERROR(__xludf.DUMMYFUNCTION("""COMPUTED_VALUE"""),1195.0)</f>
        <v>1195</v>
      </c>
      <c r="F1023" s="2">
        <f>IFERROR(__xludf.DUMMYFUNCTION("""COMPUTED_VALUE"""),1.064912E8)</f>
        <v>106491200</v>
      </c>
      <c r="G1023" s="2">
        <f t="shared" si="1"/>
        <v>45</v>
      </c>
    </row>
    <row r="1024" ht="15.75" customHeight="1">
      <c r="A1024" s="1">
        <f>IFERROR(__xludf.DUMMYFUNCTION("""COMPUTED_VALUE"""),45366.66666666667)</f>
        <v>45366.66667</v>
      </c>
      <c r="B1024" s="2">
        <f>IFERROR(__xludf.DUMMYFUNCTION("""COMPUTED_VALUE"""),1200.0)</f>
        <v>1200</v>
      </c>
      <c r="C1024" s="2">
        <f>IFERROR(__xludf.DUMMYFUNCTION("""COMPUTED_VALUE"""),1270.0)</f>
        <v>1270</v>
      </c>
      <c r="D1024" s="2">
        <f>IFERROR(__xludf.DUMMYFUNCTION("""COMPUTED_VALUE"""),1190.0)</f>
        <v>1190</v>
      </c>
      <c r="E1024" s="2">
        <f>IFERROR(__xludf.DUMMYFUNCTION("""COMPUTED_VALUE"""),1235.0)</f>
        <v>1235</v>
      </c>
      <c r="F1024" s="2">
        <f>IFERROR(__xludf.DUMMYFUNCTION("""COMPUTED_VALUE"""),2.254003E8)</f>
        <v>225400300</v>
      </c>
      <c r="G1024" s="2">
        <f t="shared" si="1"/>
        <v>80</v>
      </c>
    </row>
    <row r="1025" ht="15.75" customHeight="1">
      <c r="A1025" s="1">
        <f>IFERROR(__xludf.DUMMYFUNCTION("""COMPUTED_VALUE"""),45369.66666666667)</f>
        <v>45369.66667</v>
      </c>
      <c r="B1025" s="2">
        <f>IFERROR(__xludf.DUMMYFUNCTION("""COMPUTED_VALUE"""),1235.0)</f>
        <v>1235</v>
      </c>
      <c r="C1025" s="2">
        <f>IFERROR(__xludf.DUMMYFUNCTION("""COMPUTED_VALUE"""),1255.0)</f>
        <v>1255</v>
      </c>
      <c r="D1025" s="2">
        <f>IFERROR(__xludf.DUMMYFUNCTION("""COMPUTED_VALUE"""),1230.0)</f>
        <v>1230</v>
      </c>
      <c r="E1025" s="2">
        <f>IFERROR(__xludf.DUMMYFUNCTION("""COMPUTED_VALUE"""),1240.0)</f>
        <v>1240</v>
      </c>
      <c r="F1025" s="2">
        <f>IFERROR(__xludf.DUMMYFUNCTION("""COMPUTED_VALUE"""),4.50319E7)</f>
        <v>45031900</v>
      </c>
      <c r="G1025" s="2">
        <f t="shared" si="1"/>
        <v>25</v>
      </c>
    </row>
    <row r="1026" ht="15.75" customHeight="1">
      <c r="A1026" s="1">
        <f>IFERROR(__xludf.DUMMYFUNCTION("""COMPUTED_VALUE"""),45370.66666666667)</f>
        <v>45370.66667</v>
      </c>
      <c r="B1026" s="2">
        <f>IFERROR(__xludf.DUMMYFUNCTION("""COMPUTED_VALUE"""),1245.0)</f>
        <v>1245</v>
      </c>
      <c r="C1026" s="2">
        <f>IFERROR(__xludf.DUMMYFUNCTION("""COMPUTED_VALUE"""),1305.0)</f>
        <v>1305</v>
      </c>
      <c r="D1026" s="2">
        <f>IFERROR(__xludf.DUMMYFUNCTION("""COMPUTED_VALUE"""),1240.0)</f>
        <v>1240</v>
      </c>
      <c r="E1026" s="2">
        <f>IFERROR(__xludf.DUMMYFUNCTION("""COMPUTED_VALUE"""),1280.0)</f>
        <v>1280</v>
      </c>
      <c r="F1026" s="2">
        <f>IFERROR(__xludf.DUMMYFUNCTION("""COMPUTED_VALUE"""),1.270143E8)</f>
        <v>127014300</v>
      </c>
      <c r="G1026" s="2">
        <f t="shared" si="1"/>
        <v>65</v>
      </c>
    </row>
    <row r="1027" ht="15.75" customHeight="1">
      <c r="A1027" s="1">
        <f>IFERROR(__xludf.DUMMYFUNCTION("""COMPUTED_VALUE"""),45371.66666666667)</f>
        <v>45371.66667</v>
      </c>
      <c r="B1027" s="2">
        <f>IFERROR(__xludf.DUMMYFUNCTION("""COMPUTED_VALUE"""),1290.0)</f>
        <v>1290</v>
      </c>
      <c r="C1027" s="2">
        <f>IFERROR(__xludf.DUMMYFUNCTION("""COMPUTED_VALUE"""),1310.0)</f>
        <v>1310</v>
      </c>
      <c r="D1027" s="2">
        <f>IFERROR(__xludf.DUMMYFUNCTION("""COMPUTED_VALUE"""),1270.0)</f>
        <v>1270</v>
      </c>
      <c r="E1027" s="2">
        <f>IFERROR(__xludf.DUMMYFUNCTION("""COMPUTED_VALUE"""),1285.0)</f>
        <v>1285</v>
      </c>
      <c r="F1027" s="2">
        <f>IFERROR(__xludf.DUMMYFUNCTION("""COMPUTED_VALUE"""),5.85573E7)</f>
        <v>58557300</v>
      </c>
      <c r="G1027" s="2">
        <f t="shared" si="1"/>
        <v>40</v>
      </c>
    </row>
    <row r="1028" ht="15.75" customHeight="1">
      <c r="A1028" s="1">
        <f>IFERROR(__xludf.DUMMYFUNCTION("""COMPUTED_VALUE"""),45372.66666666667)</f>
        <v>45372.66667</v>
      </c>
      <c r="B1028" s="2">
        <f>IFERROR(__xludf.DUMMYFUNCTION("""COMPUTED_VALUE"""),1290.0)</f>
        <v>1290</v>
      </c>
      <c r="C1028" s="2">
        <f>IFERROR(__xludf.DUMMYFUNCTION("""COMPUTED_VALUE"""),1345.0)</f>
        <v>1345</v>
      </c>
      <c r="D1028" s="2">
        <f>IFERROR(__xludf.DUMMYFUNCTION("""COMPUTED_VALUE"""),1290.0)</f>
        <v>1290</v>
      </c>
      <c r="E1028" s="2">
        <f>IFERROR(__xludf.DUMMYFUNCTION("""COMPUTED_VALUE"""),1335.0)</f>
        <v>1335</v>
      </c>
      <c r="F1028" s="2">
        <f>IFERROR(__xludf.DUMMYFUNCTION("""COMPUTED_VALUE"""),9.63756E7)</f>
        <v>96375600</v>
      </c>
      <c r="G1028" s="2">
        <f t="shared" si="1"/>
        <v>60</v>
      </c>
    </row>
    <row r="1029" ht="15.75" customHeight="1">
      <c r="A1029" s="1">
        <f>IFERROR(__xludf.DUMMYFUNCTION("""COMPUTED_VALUE"""),45373.66666666667)</f>
        <v>45373.66667</v>
      </c>
      <c r="B1029" s="2">
        <f>IFERROR(__xludf.DUMMYFUNCTION("""COMPUTED_VALUE"""),1335.0)</f>
        <v>1335</v>
      </c>
      <c r="C1029" s="2">
        <f>IFERROR(__xludf.DUMMYFUNCTION("""COMPUTED_VALUE"""),1335.0)</f>
        <v>1335</v>
      </c>
      <c r="D1029" s="2">
        <f>IFERROR(__xludf.DUMMYFUNCTION("""COMPUTED_VALUE"""),1305.0)</f>
        <v>1305</v>
      </c>
      <c r="E1029" s="2">
        <f>IFERROR(__xludf.DUMMYFUNCTION("""COMPUTED_VALUE"""),1320.0)</f>
        <v>1320</v>
      </c>
      <c r="F1029" s="2">
        <f>IFERROR(__xludf.DUMMYFUNCTION("""COMPUTED_VALUE"""),3.75545E7)</f>
        <v>37554500</v>
      </c>
      <c r="G1029" s="2">
        <f t="shared" si="1"/>
        <v>30</v>
      </c>
    </row>
    <row r="1030" ht="15.75" customHeight="1">
      <c r="A1030" s="1">
        <f>IFERROR(__xludf.DUMMYFUNCTION("""COMPUTED_VALUE"""),45376.66666666667)</f>
        <v>45376.66667</v>
      </c>
      <c r="B1030" s="2">
        <f>IFERROR(__xludf.DUMMYFUNCTION("""COMPUTED_VALUE"""),1355.0)</f>
        <v>1355</v>
      </c>
      <c r="C1030" s="2">
        <f>IFERROR(__xludf.DUMMYFUNCTION("""COMPUTED_VALUE"""),1355.0)</f>
        <v>1355</v>
      </c>
      <c r="D1030" s="2">
        <f>IFERROR(__xludf.DUMMYFUNCTION("""COMPUTED_VALUE"""),1310.0)</f>
        <v>1310</v>
      </c>
      <c r="E1030" s="2">
        <f>IFERROR(__xludf.DUMMYFUNCTION("""COMPUTED_VALUE"""),1350.0)</f>
        <v>1350</v>
      </c>
      <c r="F1030" s="2">
        <f>IFERROR(__xludf.DUMMYFUNCTION("""COMPUTED_VALUE"""),5.15505E7)</f>
        <v>51550500</v>
      </c>
      <c r="G1030" s="2">
        <f t="shared" si="1"/>
        <v>45</v>
      </c>
    </row>
    <row r="1031" ht="15.75" customHeight="1">
      <c r="A1031" s="1">
        <f>IFERROR(__xludf.DUMMYFUNCTION("""COMPUTED_VALUE"""),45377.66666666667)</f>
        <v>45377.66667</v>
      </c>
      <c r="B1031" s="2">
        <f>IFERROR(__xludf.DUMMYFUNCTION("""COMPUTED_VALUE"""),1365.0)</f>
        <v>1365</v>
      </c>
      <c r="C1031" s="2">
        <f>IFERROR(__xludf.DUMMYFUNCTION("""COMPUTED_VALUE"""),1365.0)</f>
        <v>1365</v>
      </c>
      <c r="D1031" s="2">
        <f>IFERROR(__xludf.DUMMYFUNCTION("""COMPUTED_VALUE"""),1330.0)</f>
        <v>1330</v>
      </c>
      <c r="E1031" s="2">
        <f>IFERROR(__xludf.DUMMYFUNCTION("""COMPUTED_VALUE"""),1340.0)</f>
        <v>1340</v>
      </c>
      <c r="F1031" s="2">
        <f>IFERROR(__xludf.DUMMYFUNCTION("""COMPUTED_VALUE"""),4.73411E7)</f>
        <v>47341100</v>
      </c>
      <c r="G1031" s="2">
        <f t="shared" si="1"/>
        <v>35</v>
      </c>
    </row>
    <row r="1032" ht="15.75" customHeight="1">
      <c r="A1032" s="1">
        <f>IFERROR(__xludf.DUMMYFUNCTION("""COMPUTED_VALUE"""),45378.66666666667)</f>
        <v>45378.66667</v>
      </c>
      <c r="B1032" s="2">
        <f>IFERROR(__xludf.DUMMYFUNCTION("""COMPUTED_VALUE"""),1340.0)</f>
        <v>1340</v>
      </c>
      <c r="C1032" s="2">
        <f>IFERROR(__xludf.DUMMYFUNCTION("""COMPUTED_VALUE"""),1370.0)</f>
        <v>1370</v>
      </c>
      <c r="D1032" s="2">
        <f>IFERROR(__xludf.DUMMYFUNCTION("""COMPUTED_VALUE"""),1335.0)</f>
        <v>1335</v>
      </c>
      <c r="E1032" s="2">
        <f>IFERROR(__xludf.DUMMYFUNCTION("""COMPUTED_VALUE"""),1355.0)</f>
        <v>1355</v>
      </c>
      <c r="F1032" s="2">
        <f>IFERROR(__xludf.DUMMYFUNCTION("""COMPUTED_VALUE"""),5.83544E7)</f>
        <v>58354400</v>
      </c>
      <c r="G1032" s="2">
        <f t="shared" si="1"/>
        <v>35</v>
      </c>
    </row>
    <row r="1033" ht="15.75" customHeight="1">
      <c r="A1033" s="1">
        <f>IFERROR(__xludf.DUMMYFUNCTION("""COMPUTED_VALUE"""),45379.66666666667)</f>
        <v>45379.66667</v>
      </c>
      <c r="B1033" s="2">
        <f>IFERROR(__xludf.DUMMYFUNCTION("""COMPUTED_VALUE"""),1355.0)</f>
        <v>1355</v>
      </c>
      <c r="C1033" s="2">
        <f>IFERROR(__xludf.DUMMYFUNCTION("""COMPUTED_VALUE"""),1385.0)</f>
        <v>1385</v>
      </c>
      <c r="D1033" s="2">
        <f>IFERROR(__xludf.DUMMYFUNCTION("""COMPUTED_VALUE"""),1340.0)</f>
        <v>1340</v>
      </c>
      <c r="E1033" s="2">
        <f>IFERROR(__xludf.DUMMYFUNCTION("""COMPUTED_VALUE"""),1360.0)</f>
        <v>1360</v>
      </c>
      <c r="F1033" s="2">
        <f>IFERROR(__xludf.DUMMYFUNCTION("""COMPUTED_VALUE"""),7.12774E7)</f>
        <v>71277400</v>
      </c>
      <c r="G1033" s="2">
        <f t="shared" si="1"/>
        <v>45</v>
      </c>
    </row>
    <row r="1034" ht="15.75" customHeight="1">
      <c r="A1034" s="1">
        <f>IFERROR(__xludf.DUMMYFUNCTION("""COMPUTED_VALUE"""),45383.66666666667)</f>
        <v>45383.66667</v>
      </c>
      <c r="B1034" s="2">
        <f>IFERROR(__xludf.DUMMYFUNCTION("""COMPUTED_VALUE"""),1360.0)</f>
        <v>1360</v>
      </c>
      <c r="C1034" s="2">
        <f>IFERROR(__xludf.DUMMYFUNCTION("""COMPUTED_VALUE"""),1380.0)</f>
        <v>1380</v>
      </c>
      <c r="D1034" s="2">
        <f>IFERROR(__xludf.DUMMYFUNCTION("""COMPUTED_VALUE"""),1315.0)</f>
        <v>1315</v>
      </c>
      <c r="E1034" s="2">
        <f>IFERROR(__xludf.DUMMYFUNCTION("""COMPUTED_VALUE"""),1355.0)</f>
        <v>1355</v>
      </c>
      <c r="F1034" s="2">
        <f>IFERROR(__xludf.DUMMYFUNCTION("""COMPUTED_VALUE"""),5.30475E7)</f>
        <v>53047500</v>
      </c>
      <c r="G1034" s="2">
        <f t="shared" si="1"/>
        <v>65</v>
      </c>
    </row>
    <row r="1035" ht="15.75" customHeight="1">
      <c r="A1035" s="1">
        <f>IFERROR(__xludf.DUMMYFUNCTION("""COMPUTED_VALUE"""),45384.66666666667)</f>
        <v>45384.66667</v>
      </c>
      <c r="B1035" s="2">
        <f>IFERROR(__xludf.DUMMYFUNCTION("""COMPUTED_VALUE"""),1355.0)</f>
        <v>1355</v>
      </c>
      <c r="C1035" s="2">
        <f>IFERROR(__xludf.DUMMYFUNCTION("""COMPUTED_VALUE"""),1360.0)</f>
        <v>1360</v>
      </c>
      <c r="D1035" s="2">
        <f>IFERROR(__xludf.DUMMYFUNCTION("""COMPUTED_VALUE"""),1335.0)</f>
        <v>1335</v>
      </c>
      <c r="E1035" s="2">
        <f>IFERROR(__xludf.DUMMYFUNCTION("""COMPUTED_VALUE"""),1340.0)</f>
        <v>1340</v>
      </c>
      <c r="F1035" s="2">
        <f>IFERROR(__xludf.DUMMYFUNCTION("""COMPUTED_VALUE"""),3.0974E7)</f>
        <v>30974000</v>
      </c>
      <c r="G1035" s="2">
        <f t="shared" si="1"/>
        <v>25</v>
      </c>
    </row>
    <row r="1036" ht="15.75" customHeight="1">
      <c r="A1036" s="1">
        <f>IFERROR(__xludf.DUMMYFUNCTION("""COMPUTED_VALUE"""),45385.66666666667)</f>
        <v>45385.66667</v>
      </c>
      <c r="B1036" s="2">
        <f>IFERROR(__xludf.DUMMYFUNCTION("""COMPUTED_VALUE"""),1340.0)</f>
        <v>1340</v>
      </c>
      <c r="C1036" s="2">
        <f>IFERROR(__xludf.DUMMYFUNCTION("""COMPUTED_VALUE"""),1380.0)</f>
        <v>1380</v>
      </c>
      <c r="D1036" s="2">
        <f>IFERROR(__xludf.DUMMYFUNCTION("""COMPUTED_VALUE"""),1335.0)</f>
        <v>1335</v>
      </c>
      <c r="E1036" s="2">
        <f>IFERROR(__xludf.DUMMYFUNCTION("""COMPUTED_VALUE"""),1365.0)</f>
        <v>1365</v>
      </c>
      <c r="F1036" s="2">
        <f>IFERROR(__xludf.DUMMYFUNCTION("""COMPUTED_VALUE"""),6.22756E7)</f>
        <v>62275600</v>
      </c>
      <c r="G1036" s="2">
        <f t="shared" si="1"/>
        <v>45</v>
      </c>
    </row>
    <row r="1037" ht="15.75" customHeight="1">
      <c r="A1037" s="1">
        <f>IFERROR(__xludf.DUMMYFUNCTION("""COMPUTED_VALUE"""),45386.66666666667)</f>
        <v>45386.66667</v>
      </c>
      <c r="B1037" s="2">
        <f>IFERROR(__xludf.DUMMYFUNCTION("""COMPUTED_VALUE"""),1365.0)</f>
        <v>1365</v>
      </c>
      <c r="C1037" s="2">
        <f>IFERROR(__xludf.DUMMYFUNCTION("""COMPUTED_VALUE"""),1380.0)</f>
        <v>1380</v>
      </c>
      <c r="D1037" s="2">
        <f>IFERROR(__xludf.DUMMYFUNCTION("""COMPUTED_VALUE"""),1350.0)</f>
        <v>1350</v>
      </c>
      <c r="E1037" s="2">
        <f>IFERROR(__xludf.DUMMYFUNCTION("""COMPUTED_VALUE"""),1370.0)</f>
        <v>1370</v>
      </c>
      <c r="F1037" s="2">
        <f>IFERROR(__xludf.DUMMYFUNCTION("""COMPUTED_VALUE"""),4.01888E7)</f>
        <v>40188800</v>
      </c>
      <c r="G1037" s="2">
        <f t="shared" si="1"/>
        <v>30</v>
      </c>
    </row>
    <row r="1038" ht="15.75" customHeight="1">
      <c r="A1038" s="1">
        <f>IFERROR(__xludf.DUMMYFUNCTION("""COMPUTED_VALUE"""),45387.66666666667)</f>
        <v>45387.66667</v>
      </c>
      <c r="B1038" s="2">
        <f>IFERROR(__xludf.DUMMYFUNCTION("""COMPUTED_VALUE"""),1370.0)</f>
        <v>1370</v>
      </c>
      <c r="C1038" s="2">
        <f>IFERROR(__xludf.DUMMYFUNCTION("""COMPUTED_VALUE"""),1375.0)</f>
        <v>1375</v>
      </c>
      <c r="D1038" s="2">
        <f>IFERROR(__xludf.DUMMYFUNCTION("""COMPUTED_VALUE"""),1365.0)</f>
        <v>1365</v>
      </c>
      <c r="E1038" s="2">
        <f>IFERROR(__xludf.DUMMYFUNCTION("""COMPUTED_VALUE"""),1375.0)</f>
        <v>1375</v>
      </c>
      <c r="F1038" s="2">
        <f>IFERROR(__xludf.DUMMYFUNCTION("""COMPUTED_VALUE"""),1.73181E7)</f>
        <v>17318100</v>
      </c>
      <c r="G1038" s="2">
        <f t="shared" si="1"/>
        <v>10</v>
      </c>
    </row>
    <row r="1039" ht="15.75" customHeight="1">
      <c r="A1039" s="1">
        <f>IFERROR(__xludf.DUMMYFUNCTION("""COMPUTED_VALUE"""),45398.66666666667)</f>
        <v>45398.66667</v>
      </c>
      <c r="B1039" s="2">
        <f>IFERROR(__xludf.DUMMYFUNCTION("""COMPUTED_VALUE"""),1370.0)</f>
        <v>1370</v>
      </c>
      <c r="C1039" s="2">
        <f>IFERROR(__xludf.DUMMYFUNCTION("""COMPUTED_VALUE"""),1410.0)</f>
        <v>1410</v>
      </c>
      <c r="D1039" s="2">
        <f>IFERROR(__xludf.DUMMYFUNCTION("""COMPUTED_VALUE"""),1365.0)</f>
        <v>1365</v>
      </c>
      <c r="E1039" s="2">
        <f>IFERROR(__xludf.DUMMYFUNCTION("""COMPUTED_VALUE"""),1370.0)</f>
        <v>1370</v>
      </c>
      <c r="F1039" s="2">
        <f>IFERROR(__xludf.DUMMYFUNCTION("""COMPUTED_VALUE"""),9.14786E7)</f>
        <v>91478600</v>
      </c>
      <c r="G1039" s="2">
        <f t="shared" si="1"/>
        <v>45</v>
      </c>
    </row>
    <row r="1040" ht="15.75" customHeight="1">
      <c r="A1040" s="1">
        <f>IFERROR(__xludf.DUMMYFUNCTION("""COMPUTED_VALUE"""),45399.66666666667)</f>
        <v>45399.66667</v>
      </c>
      <c r="B1040" s="2">
        <f>IFERROR(__xludf.DUMMYFUNCTION("""COMPUTED_VALUE"""),1380.0)</f>
        <v>1380</v>
      </c>
      <c r="C1040" s="2">
        <f>IFERROR(__xludf.DUMMYFUNCTION("""COMPUTED_VALUE"""),1405.0)</f>
        <v>1405</v>
      </c>
      <c r="D1040" s="2">
        <f>IFERROR(__xludf.DUMMYFUNCTION("""COMPUTED_VALUE"""),1370.0)</f>
        <v>1370</v>
      </c>
      <c r="E1040" s="2">
        <f>IFERROR(__xludf.DUMMYFUNCTION("""COMPUTED_VALUE"""),1390.0)</f>
        <v>1390</v>
      </c>
      <c r="F1040" s="2">
        <f>IFERROR(__xludf.DUMMYFUNCTION("""COMPUTED_VALUE"""),4.29694E7)</f>
        <v>42969400</v>
      </c>
      <c r="G1040" s="2">
        <f t="shared" si="1"/>
        <v>35</v>
      </c>
    </row>
    <row r="1041" ht="15.75" customHeight="1">
      <c r="A1041" s="1">
        <f>IFERROR(__xludf.DUMMYFUNCTION("""COMPUTED_VALUE"""),45400.66666666667)</f>
        <v>45400.66667</v>
      </c>
      <c r="B1041" s="2">
        <f>IFERROR(__xludf.DUMMYFUNCTION("""COMPUTED_VALUE"""),1390.0)</f>
        <v>1390</v>
      </c>
      <c r="C1041" s="2">
        <f>IFERROR(__xludf.DUMMYFUNCTION("""COMPUTED_VALUE"""),1395.0)</f>
        <v>1395</v>
      </c>
      <c r="D1041" s="2">
        <f>IFERROR(__xludf.DUMMYFUNCTION("""COMPUTED_VALUE"""),1365.0)</f>
        <v>1365</v>
      </c>
      <c r="E1041" s="2">
        <f>IFERROR(__xludf.DUMMYFUNCTION("""COMPUTED_VALUE"""),1375.0)</f>
        <v>1375</v>
      </c>
      <c r="F1041" s="2">
        <f>IFERROR(__xludf.DUMMYFUNCTION("""COMPUTED_VALUE"""),3.25684E7)</f>
        <v>32568400</v>
      </c>
      <c r="G1041" s="2">
        <f t="shared" si="1"/>
        <v>30</v>
      </c>
    </row>
    <row r="1042" ht="15.75" customHeight="1">
      <c r="A1042" s="1">
        <f>IFERROR(__xludf.DUMMYFUNCTION("""COMPUTED_VALUE"""),45401.66666666667)</f>
        <v>45401.66667</v>
      </c>
      <c r="B1042" s="2">
        <f>IFERROR(__xludf.DUMMYFUNCTION("""COMPUTED_VALUE"""),1375.0)</f>
        <v>1375</v>
      </c>
      <c r="C1042" s="2">
        <f>IFERROR(__xludf.DUMMYFUNCTION("""COMPUTED_VALUE"""),1375.0)</f>
        <v>1375</v>
      </c>
      <c r="D1042" s="2">
        <f>IFERROR(__xludf.DUMMYFUNCTION("""COMPUTED_VALUE"""),1345.0)</f>
        <v>1345</v>
      </c>
      <c r="E1042" s="2">
        <f>IFERROR(__xludf.DUMMYFUNCTION("""COMPUTED_VALUE"""),1350.0)</f>
        <v>1350</v>
      </c>
      <c r="F1042" s="2">
        <f>IFERROR(__xludf.DUMMYFUNCTION("""COMPUTED_VALUE"""),4.15646E7)</f>
        <v>41564600</v>
      </c>
      <c r="G1042" s="2">
        <f t="shared" si="1"/>
        <v>30</v>
      </c>
    </row>
    <row r="1043" ht="15.75" customHeight="1">
      <c r="A1043" s="1">
        <f>IFERROR(__xludf.DUMMYFUNCTION("""COMPUTED_VALUE"""),45404.66666666667)</f>
        <v>45404.66667</v>
      </c>
      <c r="B1043" s="2">
        <f>IFERROR(__xludf.DUMMYFUNCTION("""COMPUTED_VALUE"""),1355.0)</f>
        <v>1355</v>
      </c>
      <c r="C1043" s="2">
        <f>IFERROR(__xludf.DUMMYFUNCTION("""COMPUTED_VALUE"""),1375.0)</f>
        <v>1375</v>
      </c>
      <c r="D1043" s="2">
        <f>IFERROR(__xludf.DUMMYFUNCTION("""COMPUTED_VALUE"""),1340.0)</f>
        <v>1340</v>
      </c>
      <c r="E1043" s="2">
        <f>IFERROR(__xludf.DUMMYFUNCTION("""COMPUTED_VALUE"""),1340.0)</f>
        <v>1340</v>
      </c>
      <c r="F1043" s="2">
        <f>IFERROR(__xludf.DUMMYFUNCTION("""COMPUTED_VALUE"""),3.13108E7)</f>
        <v>31310800</v>
      </c>
      <c r="G1043" s="2">
        <f t="shared" si="1"/>
        <v>35</v>
      </c>
    </row>
    <row r="1044" ht="15.75" customHeight="1">
      <c r="A1044" s="1">
        <f>IFERROR(__xludf.DUMMYFUNCTION("""COMPUTED_VALUE"""),45405.66666666667)</f>
        <v>45405.66667</v>
      </c>
      <c r="B1044" s="2">
        <f>IFERROR(__xludf.DUMMYFUNCTION("""COMPUTED_VALUE"""),1350.0)</f>
        <v>1350</v>
      </c>
      <c r="C1044" s="2">
        <f>IFERROR(__xludf.DUMMYFUNCTION("""COMPUTED_VALUE"""),1385.0)</f>
        <v>1385</v>
      </c>
      <c r="D1044" s="2">
        <f>IFERROR(__xludf.DUMMYFUNCTION("""COMPUTED_VALUE"""),1345.0)</f>
        <v>1345</v>
      </c>
      <c r="E1044" s="2">
        <f>IFERROR(__xludf.DUMMYFUNCTION("""COMPUTED_VALUE"""),1370.0)</f>
        <v>1370</v>
      </c>
      <c r="F1044" s="2">
        <f>IFERROR(__xludf.DUMMYFUNCTION("""COMPUTED_VALUE"""),4.44474E7)</f>
        <v>44447400</v>
      </c>
      <c r="G1044" s="2">
        <f t="shared" si="1"/>
        <v>45</v>
      </c>
    </row>
    <row r="1045" ht="15.75" customHeight="1">
      <c r="A1045" s="1">
        <f>IFERROR(__xludf.DUMMYFUNCTION("""COMPUTED_VALUE"""),45406.66666666667)</f>
        <v>45406.66667</v>
      </c>
      <c r="B1045" s="2">
        <f>IFERROR(__xludf.DUMMYFUNCTION("""COMPUTED_VALUE"""),1375.0)</f>
        <v>1375</v>
      </c>
      <c r="C1045" s="2">
        <f>IFERROR(__xludf.DUMMYFUNCTION("""COMPUTED_VALUE"""),1380.0)</f>
        <v>1380</v>
      </c>
      <c r="D1045" s="2">
        <f>IFERROR(__xludf.DUMMYFUNCTION("""COMPUTED_VALUE"""),1315.0)</f>
        <v>1315</v>
      </c>
      <c r="E1045" s="2">
        <f>IFERROR(__xludf.DUMMYFUNCTION("""COMPUTED_VALUE"""),1325.0)</f>
        <v>1325</v>
      </c>
      <c r="F1045" s="2">
        <f>IFERROR(__xludf.DUMMYFUNCTION("""COMPUTED_VALUE"""),3.30101E7)</f>
        <v>33010100</v>
      </c>
      <c r="G1045" s="2">
        <f t="shared" si="1"/>
        <v>65</v>
      </c>
    </row>
    <row r="1046" ht="15.75" customHeight="1">
      <c r="A1046" s="1">
        <f>IFERROR(__xludf.DUMMYFUNCTION("""COMPUTED_VALUE"""),45407.66666666667)</f>
        <v>45407.66667</v>
      </c>
      <c r="B1046" s="2">
        <f>IFERROR(__xludf.DUMMYFUNCTION("""COMPUTED_VALUE"""),1325.0)</f>
        <v>1325</v>
      </c>
      <c r="C1046" s="2">
        <f>IFERROR(__xludf.DUMMYFUNCTION("""COMPUTED_VALUE"""),1335.0)</f>
        <v>1335</v>
      </c>
      <c r="D1046" s="2">
        <f>IFERROR(__xludf.DUMMYFUNCTION("""COMPUTED_VALUE"""),1290.0)</f>
        <v>1290</v>
      </c>
      <c r="E1046" s="2">
        <f>IFERROR(__xludf.DUMMYFUNCTION("""COMPUTED_VALUE"""),1320.0)</f>
        <v>1320</v>
      </c>
      <c r="F1046" s="2">
        <f>IFERROR(__xludf.DUMMYFUNCTION("""COMPUTED_VALUE"""),4.52482E7)</f>
        <v>45248200</v>
      </c>
      <c r="G1046" s="2">
        <f t="shared" si="1"/>
        <v>45</v>
      </c>
    </row>
    <row r="1047" ht="15.75" customHeight="1">
      <c r="A1047" s="1">
        <f>IFERROR(__xludf.DUMMYFUNCTION("""COMPUTED_VALUE"""),45408.66666666667)</f>
        <v>45408.66667</v>
      </c>
      <c r="B1047" s="2">
        <f>IFERROR(__xludf.DUMMYFUNCTION("""COMPUTED_VALUE"""),1325.0)</f>
        <v>1325</v>
      </c>
      <c r="C1047" s="2">
        <f>IFERROR(__xludf.DUMMYFUNCTION("""COMPUTED_VALUE"""),1325.0)</f>
        <v>1325</v>
      </c>
      <c r="D1047" s="2">
        <f>IFERROR(__xludf.DUMMYFUNCTION("""COMPUTED_VALUE"""),1275.0)</f>
        <v>1275</v>
      </c>
      <c r="E1047" s="2">
        <f>IFERROR(__xludf.DUMMYFUNCTION("""COMPUTED_VALUE"""),1280.0)</f>
        <v>1280</v>
      </c>
      <c r="F1047" s="2">
        <f>IFERROR(__xludf.DUMMYFUNCTION("""COMPUTED_VALUE"""),3.87131E7)</f>
        <v>38713100</v>
      </c>
      <c r="G1047" s="2">
        <f t="shared" si="1"/>
        <v>50</v>
      </c>
    </row>
    <row r="1048" ht="15.75" customHeight="1">
      <c r="A1048" s="1">
        <f>IFERROR(__xludf.DUMMYFUNCTION("""COMPUTED_VALUE"""),45411.66666666667)</f>
        <v>45411.66667</v>
      </c>
      <c r="B1048" s="2">
        <f>IFERROR(__xludf.DUMMYFUNCTION("""COMPUTED_VALUE"""),1295.0)</f>
        <v>1295</v>
      </c>
      <c r="C1048" s="2">
        <f>IFERROR(__xludf.DUMMYFUNCTION("""COMPUTED_VALUE"""),1330.0)</f>
        <v>1330</v>
      </c>
      <c r="D1048" s="2">
        <f>IFERROR(__xludf.DUMMYFUNCTION("""COMPUTED_VALUE"""),1285.0)</f>
        <v>1285</v>
      </c>
      <c r="E1048" s="2">
        <f>IFERROR(__xludf.DUMMYFUNCTION("""COMPUTED_VALUE"""),1320.0)</f>
        <v>1320</v>
      </c>
      <c r="F1048" s="2">
        <f>IFERROR(__xludf.DUMMYFUNCTION("""COMPUTED_VALUE"""),3.80547E7)</f>
        <v>38054700</v>
      </c>
      <c r="G1048" s="2">
        <f t="shared" si="1"/>
        <v>50</v>
      </c>
    </row>
    <row r="1049" ht="15.75" customHeight="1">
      <c r="A1049" s="1">
        <f>IFERROR(__xludf.DUMMYFUNCTION("""COMPUTED_VALUE"""),45412.66666666667)</f>
        <v>45412.66667</v>
      </c>
      <c r="B1049" s="2">
        <f>IFERROR(__xludf.DUMMYFUNCTION("""COMPUTED_VALUE"""),1430.0)</f>
        <v>1430</v>
      </c>
      <c r="C1049" s="2">
        <f>IFERROR(__xludf.DUMMYFUNCTION("""COMPUTED_VALUE"""),1485.0)</f>
        <v>1485</v>
      </c>
      <c r="D1049" s="2">
        <f>IFERROR(__xludf.DUMMYFUNCTION("""COMPUTED_VALUE"""),1415.0)</f>
        <v>1415</v>
      </c>
      <c r="E1049" s="2">
        <f>IFERROR(__xludf.DUMMYFUNCTION("""COMPUTED_VALUE"""),1470.0)</f>
        <v>1470</v>
      </c>
      <c r="F1049" s="2">
        <f>IFERROR(__xludf.DUMMYFUNCTION("""COMPUTED_VALUE"""),2.601159E8)</f>
        <v>260115900</v>
      </c>
      <c r="G1049" s="2">
        <f t="shared" si="1"/>
        <v>165</v>
      </c>
    </row>
    <row r="1050" ht="15.75" customHeight="1">
      <c r="A1050" s="1">
        <f>IFERROR(__xludf.DUMMYFUNCTION("""COMPUTED_VALUE"""),45414.66666666667)</f>
        <v>45414.66667</v>
      </c>
      <c r="B1050" s="2">
        <f>IFERROR(__xludf.DUMMYFUNCTION("""COMPUTED_VALUE"""),1445.0)</f>
        <v>1445</v>
      </c>
      <c r="C1050" s="2">
        <f>IFERROR(__xludf.DUMMYFUNCTION("""COMPUTED_VALUE"""),1460.0)</f>
        <v>1460</v>
      </c>
      <c r="D1050" s="2">
        <f>IFERROR(__xludf.DUMMYFUNCTION("""COMPUTED_VALUE"""),1420.0)</f>
        <v>1420</v>
      </c>
      <c r="E1050" s="2">
        <f>IFERROR(__xludf.DUMMYFUNCTION("""COMPUTED_VALUE"""),1460.0)</f>
        <v>1460</v>
      </c>
      <c r="F1050" s="2">
        <f>IFERROR(__xludf.DUMMYFUNCTION("""COMPUTED_VALUE"""),7.31864E7)</f>
        <v>73186400</v>
      </c>
      <c r="G1050" s="2">
        <f t="shared" si="1"/>
        <v>50</v>
      </c>
    </row>
    <row r="1051" ht="15.75" customHeight="1">
      <c r="A1051" s="1">
        <f>IFERROR(__xludf.DUMMYFUNCTION("""COMPUTED_VALUE"""),45415.66666666667)</f>
        <v>45415.66667</v>
      </c>
      <c r="B1051" s="2">
        <f>IFERROR(__xludf.DUMMYFUNCTION("""COMPUTED_VALUE"""),1465.0)</f>
        <v>1465</v>
      </c>
      <c r="C1051" s="2">
        <f>IFERROR(__xludf.DUMMYFUNCTION("""COMPUTED_VALUE"""),1515.0)</f>
        <v>1515</v>
      </c>
      <c r="D1051" s="2">
        <f>IFERROR(__xludf.DUMMYFUNCTION("""COMPUTED_VALUE"""),1460.0)</f>
        <v>1460</v>
      </c>
      <c r="E1051" s="2">
        <f>IFERROR(__xludf.DUMMYFUNCTION("""COMPUTED_VALUE"""),1515.0)</f>
        <v>1515</v>
      </c>
      <c r="F1051" s="2">
        <f>IFERROR(__xludf.DUMMYFUNCTION("""COMPUTED_VALUE"""),1.128918E8)</f>
        <v>112891800</v>
      </c>
      <c r="G1051" s="2">
        <f t="shared" si="1"/>
        <v>55</v>
      </c>
    </row>
    <row r="1052" ht="15.75" customHeight="1">
      <c r="A1052" s="1">
        <f>IFERROR(__xludf.DUMMYFUNCTION("""COMPUTED_VALUE"""),45418.66666666667)</f>
        <v>45418.66667</v>
      </c>
      <c r="B1052" s="2">
        <f>IFERROR(__xludf.DUMMYFUNCTION("""COMPUTED_VALUE"""),1525.0)</f>
        <v>1525</v>
      </c>
      <c r="C1052" s="2">
        <f>IFERROR(__xludf.DUMMYFUNCTION("""COMPUTED_VALUE"""),1530.0)</f>
        <v>1530</v>
      </c>
      <c r="D1052" s="2">
        <f>IFERROR(__xludf.DUMMYFUNCTION("""COMPUTED_VALUE"""),1480.0)</f>
        <v>1480</v>
      </c>
      <c r="E1052" s="2">
        <f>IFERROR(__xludf.DUMMYFUNCTION("""COMPUTED_VALUE"""),1505.0)</f>
        <v>1505</v>
      </c>
      <c r="F1052" s="2">
        <f>IFERROR(__xludf.DUMMYFUNCTION("""COMPUTED_VALUE"""),4.60061E7)</f>
        <v>46006100</v>
      </c>
      <c r="G1052" s="2">
        <f t="shared" si="1"/>
        <v>50</v>
      </c>
    </row>
    <row r="1053" ht="15.75" customHeight="1">
      <c r="A1053" s="1">
        <f>IFERROR(__xludf.DUMMYFUNCTION("""COMPUTED_VALUE"""),45419.66666666667)</f>
        <v>45419.66667</v>
      </c>
      <c r="B1053" s="2">
        <f>IFERROR(__xludf.DUMMYFUNCTION("""COMPUTED_VALUE"""),1505.0)</f>
        <v>1505</v>
      </c>
      <c r="C1053" s="2">
        <f>IFERROR(__xludf.DUMMYFUNCTION("""COMPUTED_VALUE"""),1505.0)</f>
        <v>1505</v>
      </c>
      <c r="D1053" s="2">
        <f>IFERROR(__xludf.DUMMYFUNCTION("""COMPUTED_VALUE"""),1480.0)</f>
        <v>1480</v>
      </c>
      <c r="E1053" s="2">
        <f>IFERROR(__xludf.DUMMYFUNCTION("""COMPUTED_VALUE"""),1500.0)</f>
        <v>1500</v>
      </c>
      <c r="F1053" s="2">
        <f>IFERROR(__xludf.DUMMYFUNCTION("""COMPUTED_VALUE"""),3.82405E7)</f>
        <v>38240500</v>
      </c>
      <c r="G1053" s="2">
        <f t="shared" si="1"/>
        <v>25</v>
      </c>
    </row>
    <row r="1054" ht="15.75" customHeight="1">
      <c r="A1054" s="1">
        <f>IFERROR(__xludf.DUMMYFUNCTION("""COMPUTED_VALUE"""),45420.66666666667)</f>
        <v>45420.66667</v>
      </c>
      <c r="B1054" s="2">
        <f>IFERROR(__xludf.DUMMYFUNCTION("""COMPUTED_VALUE"""),1495.0)</f>
        <v>1495</v>
      </c>
      <c r="C1054" s="2">
        <f>IFERROR(__xludf.DUMMYFUNCTION("""COMPUTED_VALUE"""),1520.0)</f>
        <v>1520</v>
      </c>
      <c r="D1054" s="2">
        <f>IFERROR(__xludf.DUMMYFUNCTION("""COMPUTED_VALUE"""),1475.0)</f>
        <v>1475</v>
      </c>
      <c r="E1054" s="2">
        <f>IFERROR(__xludf.DUMMYFUNCTION("""COMPUTED_VALUE"""),1520.0)</f>
        <v>1520</v>
      </c>
      <c r="F1054" s="2">
        <f>IFERROR(__xludf.DUMMYFUNCTION("""COMPUTED_VALUE"""),5.95003E7)</f>
        <v>59500300</v>
      </c>
      <c r="G1054" s="2">
        <f t="shared" si="1"/>
        <v>45</v>
      </c>
    </row>
    <row r="1055" ht="15.75" customHeight="1">
      <c r="A1055" s="1">
        <f>IFERROR(__xludf.DUMMYFUNCTION("""COMPUTED_VALUE"""),45425.66666666667)</f>
        <v>45425.66667</v>
      </c>
      <c r="B1055" s="2">
        <f>IFERROR(__xludf.DUMMYFUNCTION("""COMPUTED_VALUE"""),1520.0)</f>
        <v>1520</v>
      </c>
      <c r="C1055" s="2">
        <f>IFERROR(__xludf.DUMMYFUNCTION("""COMPUTED_VALUE"""),1530.0)</f>
        <v>1530</v>
      </c>
      <c r="D1055" s="2">
        <f>IFERROR(__xludf.DUMMYFUNCTION("""COMPUTED_VALUE"""),1500.0)</f>
        <v>1500</v>
      </c>
      <c r="E1055" s="2">
        <f>IFERROR(__xludf.DUMMYFUNCTION("""COMPUTED_VALUE"""),1520.0)</f>
        <v>1520</v>
      </c>
      <c r="F1055" s="2">
        <f>IFERROR(__xludf.DUMMYFUNCTION("""COMPUTED_VALUE"""),4.00592E7)</f>
        <v>40059200</v>
      </c>
      <c r="G1055" s="2">
        <f t="shared" si="1"/>
        <v>30</v>
      </c>
    </row>
    <row r="1056" ht="15.75" customHeight="1">
      <c r="A1056" s="1">
        <f>IFERROR(__xludf.DUMMYFUNCTION("""COMPUTED_VALUE"""),45426.66666666667)</f>
        <v>45426.66667</v>
      </c>
      <c r="B1056" s="2">
        <f>IFERROR(__xludf.DUMMYFUNCTION("""COMPUTED_VALUE"""),1500.0)</f>
        <v>1500</v>
      </c>
      <c r="C1056" s="2">
        <f>IFERROR(__xludf.DUMMYFUNCTION("""COMPUTED_VALUE"""),1505.0)</f>
        <v>1505</v>
      </c>
      <c r="D1056" s="2">
        <f>IFERROR(__xludf.DUMMYFUNCTION("""COMPUTED_VALUE"""),1435.0)</f>
        <v>1435</v>
      </c>
      <c r="E1056" s="2">
        <f>IFERROR(__xludf.DUMMYFUNCTION("""COMPUTED_VALUE"""),1480.0)</f>
        <v>1480</v>
      </c>
      <c r="F1056" s="2">
        <f>IFERROR(__xludf.DUMMYFUNCTION("""COMPUTED_VALUE"""),7.53127E7)</f>
        <v>75312700</v>
      </c>
      <c r="G1056" s="2">
        <f t="shared" si="1"/>
        <v>85</v>
      </c>
    </row>
    <row r="1057" ht="15.75" customHeight="1">
      <c r="A1057" s="1">
        <f>IFERROR(__xludf.DUMMYFUNCTION("""COMPUTED_VALUE"""),45427.66666666667)</f>
        <v>45427.66667</v>
      </c>
      <c r="B1057" s="2">
        <f>IFERROR(__xludf.DUMMYFUNCTION("""COMPUTED_VALUE"""),1480.0)</f>
        <v>1480</v>
      </c>
      <c r="C1057" s="2">
        <f>IFERROR(__xludf.DUMMYFUNCTION("""COMPUTED_VALUE"""),1510.0)</f>
        <v>1510</v>
      </c>
      <c r="D1057" s="2">
        <f>IFERROR(__xludf.DUMMYFUNCTION("""COMPUTED_VALUE"""),1470.0)</f>
        <v>1470</v>
      </c>
      <c r="E1057" s="2">
        <f>IFERROR(__xludf.DUMMYFUNCTION("""COMPUTED_VALUE"""),1485.0)</f>
        <v>1485</v>
      </c>
      <c r="F1057" s="2">
        <f>IFERROR(__xludf.DUMMYFUNCTION("""COMPUTED_VALUE"""),2.97795E7)</f>
        <v>29779500</v>
      </c>
      <c r="G1057" s="2">
        <f t="shared" si="1"/>
        <v>40</v>
      </c>
    </row>
    <row r="1058" ht="15.75" customHeight="1">
      <c r="A1058" s="1">
        <f>IFERROR(__xludf.DUMMYFUNCTION("""COMPUTED_VALUE"""),45428.66666666667)</f>
        <v>45428.66667</v>
      </c>
      <c r="B1058" s="2">
        <f>IFERROR(__xludf.DUMMYFUNCTION("""COMPUTED_VALUE"""),1490.0)</f>
        <v>1490</v>
      </c>
      <c r="C1058" s="2">
        <f>IFERROR(__xludf.DUMMYFUNCTION("""COMPUTED_VALUE"""),1505.0)</f>
        <v>1505</v>
      </c>
      <c r="D1058" s="2">
        <f>IFERROR(__xludf.DUMMYFUNCTION("""COMPUTED_VALUE"""),1485.0)</f>
        <v>1485</v>
      </c>
      <c r="E1058" s="2">
        <f>IFERROR(__xludf.DUMMYFUNCTION("""COMPUTED_VALUE"""),1495.0)</f>
        <v>1495</v>
      </c>
      <c r="F1058" s="2">
        <f>IFERROR(__xludf.DUMMYFUNCTION("""COMPUTED_VALUE"""),2.01351E7)</f>
        <v>20135100</v>
      </c>
      <c r="G1058" s="2">
        <f t="shared" si="1"/>
        <v>20</v>
      </c>
    </row>
    <row r="1059" ht="15.75" customHeight="1">
      <c r="A1059" s="1">
        <f>IFERROR(__xludf.DUMMYFUNCTION("""COMPUTED_VALUE"""),45429.66666666667)</f>
        <v>45429.66667</v>
      </c>
      <c r="B1059" s="2">
        <f>IFERROR(__xludf.DUMMYFUNCTION("""COMPUTED_VALUE"""),1500.0)</f>
        <v>1500</v>
      </c>
      <c r="C1059" s="2">
        <f>IFERROR(__xludf.DUMMYFUNCTION("""COMPUTED_VALUE"""),1520.0)</f>
        <v>1520</v>
      </c>
      <c r="D1059" s="2">
        <f>IFERROR(__xludf.DUMMYFUNCTION("""COMPUTED_VALUE"""),1495.0)</f>
        <v>1495</v>
      </c>
      <c r="E1059" s="2">
        <f>IFERROR(__xludf.DUMMYFUNCTION("""COMPUTED_VALUE"""),1515.0)</f>
        <v>1515</v>
      </c>
      <c r="F1059" s="2">
        <f>IFERROR(__xludf.DUMMYFUNCTION("""COMPUTED_VALUE"""),2.46218E7)</f>
        <v>24621800</v>
      </c>
      <c r="G1059" s="2">
        <f t="shared" si="1"/>
        <v>25</v>
      </c>
    </row>
    <row r="1060" ht="15.75" customHeight="1">
      <c r="A1060" s="1">
        <f>IFERROR(__xludf.DUMMYFUNCTION("""COMPUTED_VALUE"""),45432.66666666667)</f>
        <v>45432.66667</v>
      </c>
      <c r="B1060" s="2">
        <f>IFERROR(__xludf.DUMMYFUNCTION("""COMPUTED_VALUE"""),1525.0)</f>
        <v>1525</v>
      </c>
      <c r="C1060" s="2">
        <f>IFERROR(__xludf.DUMMYFUNCTION("""COMPUTED_VALUE"""),1600.0)</f>
        <v>1600</v>
      </c>
      <c r="D1060" s="2">
        <f>IFERROR(__xludf.DUMMYFUNCTION("""COMPUTED_VALUE"""),1520.0)</f>
        <v>1520</v>
      </c>
      <c r="E1060" s="2">
        <f>IFERROR(__xludf.DUMMYFUNCTION("""COMPUTED_VALUE"""),1575.0)</f>
        <v>1575</v>
      </c>
      <c r="F1060" s="2">
        <f>IFERROR(__xludf.DUMMYFUNCTION("""COMPUTED_VALUE"""),1.275704E8)</f>
        <v>127570400</v>
      </c>
      <c r="G1060" s="2">
        <f t="shared" si="1"/>
        <v>85</v>
      </c>
    </row>
    <row r="1061" ht="15.75" customHeight="1">
      <c r="A1061" s="1">
        <f>IFERROR(__xludf.DUMMYFUNCTION("""COMPUTED_VALUE"""),45433.66666666667)</f>
        <v>45433.66667</v>
      </c>
      <c r="B1061" s="2">
        <f>IFERROR(__xludf.DUMMYFUNCTION("""COMPUTED_VALUE"""),1590.0)</f>
        <v>1590</v>
      </c>
      <c r="C1061" s="2">
        <f>IFERROR(__xludf.DUMMYFUNCTION("""COMPUTED_VALUE"""),1600.0)</f>
        <v>1600</v>
      </c>
      <c r="D1061" s="2">
        <f>IFERROR(__xludf.DUMMYFUNCTION("""COMPUTED_VALUE"""),1550.0)</f>
        <v>1550</v>
      </c>
      <c r="E1061" s="2">
        <f>IFERROR(__xludf.DUMMYFUNCTION("""COMPUTED_VALUE"""),1565.0)</f>
        <v>1565</v>
      </c>
      <c r="F1061" s="2">
        <f>IFERROR(__xludf.DUMMYFUNCTION("""COMPUTED_VALUE"""),4.33119E7)</f>
        <v>43311900</v>
      </c>
      <c r="G1061" s="2">
        <f t="shared" si="1"/>
        <v>50</v>
      </c>
    </row>
    <row r="1062" ht="15.75" customHeight="1">
      <c r="A1062" s="1">
        <f>IFERROR(__xludf.DUMMYFUNCTION("""COMPUTED_VALUE"""),45434.66666666667)</f>
        <v>45434.66667</v>
      </c>
      <c r="B1062" s="2">
        <f>IFERROR(__xludf.DUMMYFUNCTION("""COMPUTED_VALUE"""),1565.0)</f>
        <v>1565</v>
      </c>
      <c r="C1062" s="2">
        <f>IFERROR(__xludf.DUMMYFUNCTION("""COMPUTED_VALUE"""),1615.0)</f>
        <v>1615</v>
      </c>
      <c r="D1062" s="2">
        <f>IFERROR(__xludf.DUMMYFUNCTION("""COMPUTED_VALUE"""),1565.0)</f>
        <v>1565</v>
      </c>
      <c r="E1062" s="2">
        <f>IFERROR(__xludf.DUMMYFUNCTION("""COMPUTED_VALUE"""),1590.0)</f>
        <v>1590</v>
      </c>
      <c r="F1062" s="2">
        <f>IFERROR(__xludf.DUMMYFUNCTION("""COMPUTED_VALUE"""),7.23823E7)</f>
        <v>72382300</v>
      </c>
      <c r="G1062" s="2">
        <f t="shared" si="1"/>
        <v>50</v>
      </c>
    </row>
    <row r="1063" ht="15.75" customHeight="1">
      <c r="A1063" s="1">
        <f>IFERROR(__xludf.DUMMYFUNCTION("""COMPUTED_VALUE"""),45439.66666666667)</f>
        <v>45439.66667</v>
      </c>
      <c r="B1063" s="2">
        <f>IFERROR(__xludf.DUMMYFUNCTION("""COMPUTED_VALUE"""),1590.0)</f>
        <v>1590</v>
      </c>
      <c r="C1063" s="2">
        <f>IFERROR(__xludf.DUMMYFUNCTION("""COMPUTED_VALUE"""),1595.0)</f>
        <v>1595</v>
      </c>
      <c r="D1063" s="2">
        <f>IFERROR(__xludf.DUMMYFUNCTION("""COMPUTED_VALUE"""),1555.0)</f>
        <v>1555</v>
      </c>
      <c r="E1063" s="2">
        <f>IFERROR(__xludf.DUMMYFUNCTION("""COMPUTED_VALUE"""),1580.0)</f>
        <v>1580</v>
      </c>
      <c r="F1063" s="2">
        <f>IFERROR(__xludf.DUMMYFUNCTION("""COMPUTED_VALUE"""),4.38231E7)</f>
        <v>43823100</v>
      </c>
      <c r="G1063" s="2">
        <f t="shared" si="1"/>
        <v>40</v>
      </c>
    </row>
    <row r="1064" ht="15.75" customHeight="1">
      <c r="A1064" s="1">
        <f>IFERROR(__xludf.DUMMYFUNCTION("""COMPUTED_VALUE"""),45440.66666666667)</f>
        <v>45440.66667</v>
      </c>
      <c r="B1064" s="2">
        <f>IFERROR(__xludf.DUMMYFUNCTION("""COMPUTED_VALUE"""),1590.0)</f>
        <v>1590</v>
      </c>
      <c r="C1064" s="2">
        <f>IFERROR(__xludf.DUMMYFUNCTION("""COMPUTED_VALUE"""),1640.0)</f>
        <v>1640</v>
      </c>
      <c r="D1064" s="2">
        <f>IFERROR(__xludf.DUMMYFUNCTION("""COMPUTED_VALUE"""),1570.0)</f>
        <v>1570</v>
      </c>
      <c r="E1064" s="2">
        <f>IFERROR(__xludf.DUMMYFUNCTION("""COMPUTED_VALUE"""),1635.0)</f>
        <v>1635</v>
      </c>
      <c r="F1064" s="2">
        <f>IFERROR(__xludf.DUMMYFUNCTION("""COMPUTED_VALUE"""),7.55298E7)</f>
        <v>75529800</v>
      </c>
      <c r="G1064" s="2">
        <f t="shared" si="1"/>
        <v>70</v>
      </c>
    </row>
    <row r="1065" ht="15.75" customHeight="1">
      <c r="A1065" s="1">
        <f>IFERROR(__xludf.DUMMYFUNCTION("""COMPUTED_VALUE"""),45441.66666666667)</f>
        <v>45441.66667</v>
      </c>
      <c r="B1065" s="2">
        <f>IFERROR(__xludf.DUMMYFUNCTION("""COMPUTED_VALUE"""),1635.0)</f>
        <v>1635</v>
      </c>
      <c r="C1065" s="2">
        <f>IFERROR(__xludf.DUMMYFUNCTION("""COMPUTED_VALUE"""),1635.0)</f>
        <v>1635</v>
      </c>
      <c r="D1065" s="2">
        <f>IFERROR(__xludf.DUMMYFUNCTION("""COMPUTED_VALUE"""),1595.0)</f>
        <v>1595</v>
      </c>
      <c r="E1065" s="2">
        <f>IFERROR(__xludf.DUMMYFUNCTION("""COMPUTED_VALUE"""),1610.0)</f>
        <v>1610</v>
      </c>
      <c r="F1065" s="2">
        <f>IFERROR(__xludf.DUMMYFUNCTION("""COMPUTED_VALUE"""),4.71659E7)</f>
        <v>47165900</v>
      </c>
      <c r="G1065" s="2">
        <f t="shared" si="1"/>
        <v>40</v>
      </c>
    </row>
    <row r="1066" ht="15.75" customHeight="1">
      <c r="A1066" s="1">
        <f>IFERROR(__xludf.DUMMYFUNCTION("""COMPUTED_VALUE"""),45442.66666666667)</f>
        <v>45442.66667</v>
      </c>
      <c r="B1066" s="2">
        <f>IFERROR(__xludf.DUMMYFUNCTION("""COMPUTED_VALUE"""),1615.0)</f>
        <v>1615</v>
      </c>
      <c r="C1066" s="2">
        <f>IFERROR(__xludf.DUMMYFUNCTION("""COMPUTED_VALUE"""),1650.0)</f>
        <v>1650</v>
      </c>
      <c r="D1066" s="2">
        <f>IFERROR(__xludf.DUMMYFUNCTION("""COMPUTED_VALUE"""),1565.0)</f>
        <v>1565</v>
      </c>
      <c r="E1066" s="2">
        <f>IFERROR(__xludf.DUMMYFUNCTION("""COMPUTED_VALUE"""),1635.0)</f>
        <v>1635</v>
      </c>
      <c r="F1066" s="2">
        <f>IFERROR(__xludf.DUMMYFUNCTION("""COMPUTED_VALUE"""),9.97206E7)</f>
        <v>99720600</v>
      </c>
      <c r="G1066" s="2">
        <f t="shared" si="1"/>
        <v>85</v>
      </c>
    </row>
    <row r="1067" ht="15.75" customHeight="1">
      <c r="A1067" s="1">
        <f>IFERROR(__xludf.DUMMYFUNCTION("""COMPUTED_VALUE"""),45443.66666666667)</f>
        <v>45443.66667</v>
      </c>
      <c r="B1067" s="2">
        <f>IFERROR(__xludf.DUMMYFUNCTION("""COMPUTED_VALUE"""),1635.0)</f>
        <v>1635</v>
      </c>
      <c r="C1067" s="2">
        <f>IFERROR(__xludf.DUMMYFUNCTION("""COMPUTED_VALUE"""),1635.0)</f>
        <v>1635</v>
      </c>
      <c r="D1067" s="2">
        <f>IFERROR(__xludf.DUMMYFUNCTION("""COMPUTED_VALUE"""),1580.0)</f>
        <v>1580</v>
      </c>
      <c r="E1067" s="2">
        <f>IFERROR(__xludf.DUMMYFUNCTION("""COMPUTED_VALUE"""),1580.0)</f>
        <v>1580</v>
      </c>
      <c r="F1067" s="2">
        <f>IFERROR(__xludf.DUMMYFUNCTION("""COMPUTED_VALUE"""),6.53542E7)</f>
        <v>65354200</v>
      </c>
      <c r="G1067" s="2">
        <f t="shared" si="1"/>
        <v>55</v>
      </c>
    </row>
    <row r="1068" ht="15.75" customHeight="1">
      <c r="A1068" s="1">
        <f>IFERROR(__xludf.DUMMYFUNCTION("""COMPUTED_VALUE"""),45446.66666666667)</f>
        <v>45446.66667</v>
      </c>
      <c r="B1068" s="2">
        <f>IFERROR(__xludf.DUMMYFUNCTION("""COMPUTED_VALUE"""),1600.0)</f>
        <v>1600</v>
      </c>
      <c r="C1068" s="2">
        <f>IFERROR(__xludf.DUMMYFUNCTION("""COMPUTED_VALUE"""),1620.0)</f>
        <v>1620</v>
      </c>
      <c r="D1068" s="2">
        <f>IFERROR(__xludf.DUMMYFUNCTION("""COMPUTED_VALUE"""),1590.0)</f>
        <v>1590</v>
      </c>
      <c r="E1068" s="2">
        <f>IFERROR(__xludf.DUMMYFUNCTION("""COMPUTED_VALUE"""),1590.0)</f>
        <v>1590</v>
      </c>
      <c r="F1068" s="2">
        <f>IFERROR(__xludf.DUMMYFUNCTION("""COMPUTED_VALUE"""),3.71836E7)</f>
        <v>37183600</v>
      </c>
      <c r="G1068" s="2">
        <f t="shared" si="1"/>
        <v>40</v>
      </c>
    </row>
    <row r="1069" ht="15.75" customHeight="1">
      <c r="A1069" s="1">
        <f>IFERROR(__xludf.DUMMYFUNCTION("""COMPUTED_VALUE"""),45447.66666666667)</f>
        <v>45447.66667</v>
      </c>
      <c r="B1069" s="2">
        <f>IFERROR(__xludf.DUMMYFUNCTION("""COMPUTED_VALUE"""),1605.0)</f>
        <v>1605</v>
      </c>
      <c r="C1069" s="2">
        <f>IFERROR(__xludf.DUMMYFUNCTION("""COMPUTED_VALUE"""),1630.0)</f>
        <v>1630</v>
      </c>
      <c r="D1069" s="2">
        <f>IFERROR(__xludf.DUMMYFUNCTION("""COMPUTED_VALUE"""),1600.0)</f>
        <v>1600</v>
      </c>
      <c r="E1069" s="2">
        <f>IFERROR(__xludf.DUMMYFUNCTION("""COMPUTED_VALUE"""),1620.0)</f>
        <v>1620</v>
      </c>
      <c r="F1069" s="2">
        <f>IFERROR(__xludf.DUMMYFUNCTION("""COMPUTED_VALUE"""),6.77446E7)</f>
        <v>67744600</v>
      </c>
      <c r="G1069" s="2">
        <f t="shared" si="1"/>
        <v>40</v>
      </c>
    </row>
    <row r="1070" ht="15.75" customHeight="1">
      <c r="A1070" s="1">
        <f>IFERROR(__xludf.DUMMYFUNCTION("""COMPUTED_VALUE"""),45448.66666666667)</f>
        <v>45448.66667</v>
      </c>
      <c r="B1070" s="2">
        <f>IFERROR(__xludf.DUMMYFUNCTION("""COMPUTED_VALUE"""),1620.0)</f>
        <v>1620</v>
      </c>
      <c r="C1070" s="2">
        <f>IFERROR(__xludf.DUMMYFUNCTION("""COMPUTED_VALUE"""),1625.0)</f>
        <v>1625</v>
      </c>
      <c r="D1070" s="2">
        <f>IFERROR(__xludf.DUMMYFUNCTION("""COMPUTED_VALUE"""),1575.0)</f>
        <v>1575</v>
      </c>
      <c r="E1070" s="2">
        <f>IFERROR(__xludf.DUMMYFUNCTION("""COMPUTED_VALUE"""),1585.0)</f>
        <v>1585</v>
      </c>
      <c r="F1070" s="2">
        <f>IFERROR(__xludf.DUMMYFUNCTION("""COMPUTED_VALUE"""),6.18444E7)</f>
        <v>61844400</v>
      </c>
      <c r="G1070" s="2">
        <f t="shared" si="1"/>
        <v>50</v>
      </c>
    </row>
    <row r="1071" ht="15.75" customHeight="1">
      <c r="A1071" s="1">
        <f>IFERROR(__xludf.DUMMYFUNCTION("""COMPUTED_VALUE"""),45449.66666666667)</f>
        <v>45449.66667</v>
      </c>
      <c r="B1071" s="2">
        <f>IFERROR(__xludf.DUMMYFUNCTION("""COMPUTED_VALUE"""),1590.0)</f>
        <v>1590</v>
      </c>
      <c r="C1071" s="2">
        <f>IFERROR(__xludf.DUMMYFUNCTION("""COMPUTED_VALUE"""),1605.0)</f>
        <v>1605</v>
      </c>
      <c r="D1071" s="2">
        <f>IFERROR(__xludf.DUMMYFUNCTION("""COMPUTED_VALUE"""),1585.0)</f>
        <v>1585</v>
      </c>
      <c r="E1071" s="2">
        <f>IFERROR(__xludf.DUMMYFUNCTION("""COMPUTED_VALUE"""),1605.0)</f>
        <v>1605</v>
      </c>
      <c r="F1071" s="2">
        <f>IFERROR(__xludf.DUMMYFUNCTION("""COMPUTED_VALUE"""),4.6979E7)</f>
        <v>46979000</v>
      </c>
      <c r="G1071" s="2">
        <f t="shared" si="1"/>
        <v>20</v>
      </c>
    </row>
    <row r="1072" ht="15.75" customHeight="1">
      <c r="A1072" s="1">
        <f>IFERROR(__xludf.DUMMYFUNCTION("""COMPUTED_VALUE"""),45450.66666666667)</f>
        <v>45450.66667</v>
      </c>
      <c r="B1072" s="2">
        <f>IFERROR(__xludf.DUMMYFUNCTION("""COMPUTED_VALUE"""),1605.0)</f>
        <v>1605</v>
      </c>
      <c r="C1072" s="2">
        <f>IFERROR(__xludf.DUMMYFUNCTION("""COMPUTED_VALUE"""),1615.0)</f>
        <v>1615</v>
      </c>
      <c r="D1072" s="2">
        <f>IFERROR(__xludf.DUMMYFUNCTION("""COMPUTED_VALUE"""),1585.0)</f>
        <v>1585</v>
      </c>
      <c r="E1072" s="2">
        <f>IFERROR(__xludf.DUMMYFUNCTION("""COMPUTED_VALUE"""),1590.0)</f>
        <v>1590</v>
      </c>
      <c r="F1072" s="2">
        <f>IFERROR(__xludf.DUMMYFUNCTION("""COMPUTED_VALUE"""),7.14868E7)</f>
        <v>71486800</v>
      </c>
      <c r="G1072" s="2">
        <f t="shared" si="1"/>
        <v>30</v>
      </c>
    </row>
    <row r="1073" ht="15.75" customHeight="1">
      <c r="A1073" s="1">
        <f>IFERROR(__xludf.DUMMYFUNCTION("""COMPUTED_VALUE"""),45453.66666666667)</f>
        <v>45453.66667</v>
      </c>
      <c r="B1073" s="2">
        <f>IFERROR(__xludf.DUMMYFUNCTION("""COMPUTED_VALUE"""),1470.0)</f>
        <v>1470</v>
      </c>
      <c r="C1073" s="2">
        <f>IFERROR(__xludf.DUMMYFUNCTION("""COMPUTED_VALUE"""),1470.0)</f>
        <v>1470</v>
      </c>
      <c r="D1073" s="2">
        <f>IFERROR(__xludf.DUMMYFUNCTION("""COMPUTED_VALUE"""),1430.0)</f>
        <v>1430</v>
      </c>
      <c r="E1073" s="2">
        <f>IFERROR(__xludf.DUMMYFUNCTION("""COMPUTED_VALUE"""),1435.0)</f>
        <v>1435</v>
      </c>
      <c r="F1073" s="2">
        <f>IFERROR(__xludf.DUMMYFUNCTION("""COMPUTED_VALUE"""),8.3519E7)</f>
        <v>83519000</v>
      </c>
      <c r="G1073" s="2">
        <f t="shared" si="1"/>
        <v>160</v>
      </c>
    </row>
    <row r="1074" ht="15.75" customHeight="1">
      <c r="A1074" s="1">
        <f>IFERROR(__xludf.DUMMYFUNCTION("""COMPUTED_VALUE"""),45454.66666666667)</f>
        <v>45454.66667</v>
      </c>
      <c r="B1074" s="2">
        <f>IFERROR(__xludf.DUMMYFUNCTION("""COMPUTED_VALUE"""),1440.0)</f>
        <v>1440</v>
      </c>
      <c r="C1074" s="2">
        <f>IFERROR(__xludf.DUMMYFUNCTION("""COMPUTED_VALUE"""),1460.0)</f>
        <v>1460</v>
      </c>
      <c r="D1074" s="2">
        <f>IFERROR(__xludf.DUMMYFUNCTION("""COMPUTED_VALUE"""),1435.0)</f>
        <v>1435</v>
      </c>
      <c r="E1074" s="2">
        <f>IFERROR(__xludf.DUMMYFUNCTION("""COMPUTED_VALUE"""),1435.0)</f>
        <v>1435</v>
      </c>
      <c r="F1074" s="2">
        <f>IFERROR(__xludf.DUMMYFUNCTION("""COMPUTED_VALUE"""),6.59564E7)</f>
        <v>65956400</v>
      </c>
      <c r="G1074" s="2">
        <f t="shared" si="1"/>
        <v>25</v>
      </c>
    </row>
    <row r="1075" ht="15.75" customHeight="1">
      <c r="A1075" s="1">
        <f>IFERROR(__xludf.DUMMYFUNCTION("""COMPUTED_VALUE"""),45455.66666666667)</f>
        <v>45455.66667</v>
      </c>
      <c r="B1075" s="2">
        <f>IFERROR(__xludf.DUMMYFUNCTION("""COMPUTED_VALUE"""),1435.0)</f>
        <v>1435</v>
      </c>
      <c r="C1075" s="2">
        <f>IFERROR(__xludf.DUMMYFUNCTION("""COMPUTED_VALUE"""),1440.0)</f>
        <v>1440</v>
      </c>
      <c r="D1075" s="2">
        <f>IFERROR(__xludf.DUMMYFUNCTION("""COMPUTED_VALUE"""),1395.0)</f>
        <v>1395</v>
      </c>
      <c r="E1075" s="2">
        <f>IFERROR(__xludf.DUMMYFUNCTION("""COMPUTED_VALUE"""),1400.0)</f>
        <v>1400</v>
      </c>
      <c r="F1075" s="2">
        <f>IFERROR(__xludf.DUMMYFUNCTION("""COMPUTED_VALUE"""),5.39989E7)</f>
        <v>53998900</v>
      </c>
      <c r="G1075" s="2">
        <f t="shared" si="1"/>
        <v>45</v>
      </c>
    </row>
    <row r="1076" ht="15.75" customHeight="1">
      <c r="A1076" s="1">
        <f>IFERROR(__xludf.DUMMYFUNCTION("""COMPUTED_VALUE"""),45456.66666666667)</f>
        <v>45456.66667</v>
      </c>
      <c r="B1076" s="2">
        <f>IFERROR(__xludf.DUMMYFUNCTION("""COMPUTED_VALUE"""),1410.0)</f>
        <v>1410</v>
      </c>
      <c r="C1076" s="2">
        <f>IFERROR(__xludf.DUMMYFUNCTION("""COMPUTED_VALUE"""),1450.0)</f>
        <v>1450</v>
      </c>
      <c r="D1076" s="2">
        <f>IFERROR(__xludf.DUMMYFUNCTION("""COMPUTED_VALUE"""),1410.0)</f>
        <v>1410</v>
      </c>
      <c r="E1076" s="2">
        <f>IFERROR(__xludf.DUMMYFUNCTION("""COMPUTED_VALUE"""),1440.0)</f>
        <v>1440</v>
      </c>
      <c r="F1076" s="2">
        <f>IFERROR(__xludf.DUMMYFUNCTION("""COMPUTED_VALUE"""),4.74662E7)</f>
        <v>47466200</v>
      </c>
      <c r="G1076" s="2">
        <f t="shared" si="1"/>
        <v>50</v>
      </c>
    </row>
    <row r="1077" ht="15.75" customHeight="1">
      <c r="A1077" s="1">
        <f>IFERROR(__xludf.DUMMYFUNCTION("""COMPUTED_VALUE"""),45457.66666666667)</f>
        <v>45457.66667</v>
      </c>
      <c r="B1077" s="2">
        <f>IFERROR(__xludf.DUMMYFUNCTION("""COMPUTED_VALUE"""),1450.0)</f>
        <v>1450</v>
      </c>
      <c r="C1077" s="2">
        <f>IFERROR(__xludf.DUMMYFUNCTION("""COMPUTED_VALUE"""),1460.0)</f>
        <v>1460</v>
      </c>
      <c r="D1077" s="2">
        <f>IFERROR(__xludf.DUMMYFUNCTION("""COMPUTED_VALUE"""),1405.0)</f>
        <v>1405</v>
      </c>
      <c r="E1077" s="2">
        <f>IFERROR(__xludf.DUMMYFUNCTION("""COMPUTED_VALUE"""),1420.0)</f>
        <v>1420</v>
      </c>
      <c r="F1077" s="2">
        <f>IFERROR(__xludf.DUMMYFUNCTION("""COMPUTED_VALUE"""),5.33006E7)</f>
        <v>53300600</v>
      </c>
      <c r="G1077" s="2">
        <f t="shared" si="1"/>
        <v>55</v>
      </c>
    </row>
    <row r="1078" ht="15.75" customHeight="1">
      <c r="A1078" s="1">
        <f>IFERROR(__xludf.DUMMYFUNCTION("""COMPUTED_VALUE"""),45462.66666666667)</f>
        <v>45462.66667</v>
      </c>
      <c r="B1078" s="2">
        <f>IFERROR(__xludf.DUMMYFUNCTION("""COMPUTED_VALUE"""),1430.0)</f>
        <v>1430</v>
      </c>
      <c r="C1078" s="2">
        <f>IFERROR(__xludf.DUMMYFUNCTION("""COMPUTED_VALUE"""),1435.0)</f>
        <v>1435</v>
      </c>
      <c r="D1078" s="2">
        <f>IFERROR(__xludf.DUMMYFUNCTION("""COMPUTED_VALUE"""),1395.0)</f>
        <v>1395</v>
      </c>
      <c r="E1078" s="2">
        <f>IFERROR(__xludf.DUMMYFUNCTION("""COMPUTED_VALUE"""),1410.0)</f>
        <v>1410</v>
      </c>
      <c r="F1078" s="2">
        <f>IFERROR(__xludf.DUMMYFUNCTION("""COMPUTED_VALUE"""),1.94408E7)</f>
        <v>19440800</v>
      </c>
      <c r="G1078" s="2">
        <f t="shared" si="1"/>
        <v>40</v>
      </c>
    </row>
    <row r="1079" ht="15.75" customHeight="1">
      <c r="A1079" s="1">
        <f>IFERROR(__xludf.DUMMYFUNCTION("""COMPUTED_VALUE"""),45463.66666666667)</f>
        <v>45463.66667</v>
      </c>
      <c r="B1079" s="2">
        <f>IFERROR(__xludf.DUMMYFUNCTION("""COMPUTED_VALUE"""),1410.0)</f>
        <v>1410</v>
      </c>
      <c r="C1079" s="2">
        <f>IFERROR(__xludf.DUMMYFUNCTION("""COMPUTED_VALUE"""),1450.0)</f>
        <v>1450</v>
      </c>
      <c r="D1079" s="2">
        <f>IFERROR(__xludf.DUMMYFUNCTION("""COMPUTED_VALUE"""),1410.0)</f>
        <v>1410</v>
      </c>
      <c r="E1079" s="2">
        <f>IFERROR(__xludf.DUMMYFUNCTION("""COMPUTED_VALUE"""),1430.0)</f>
        <v>1430</v>
      </c>
      <c r="F1079" s="2">
        <f>IFERROR(__xludf.DUMMYFUNCTION("""COMPUTED_VALUE"""),3.28669E7)</f>
        <v>32866900</v>
      </c>
      <c r="G1079" s="2">
        <f t="shared" si="1"/>
        <v>40</v>
      </c>
    </row>
    <row r="1080" ht="15.75" customHeight="1">
      <c r="A1080" s="1">
        <f>IFERROR(__xludf.DUMMYFUNCTION("""COMPUTED_VALUE"""),45464.66666666667)</f>
        <v>45464.66667</v>
      </c>
      <c r="B1080" s="2">
        <f>IFERROR(__xludf.DUMMYFUNCTION("""COMPUTED_VALUE"""),1435.0)</f>
        <v>1435</v>
      </c>
      <c r="C1080" s="2">
        <f>IFERROR(__xludf.DUMMYFUNCTION("""COMPUTED_VALUE"""),1525.0)</f>
        <v>1525</v>
      </c>
      <c r="D1080" s="2">
        <f>IFERROR(__xludf.DUMMYFUNCTION("""COMPUTED_VALUE"""),1425.0)</f>
        <v>1425</v>
      </c>
      <c r="E1080" s="2">
        <f>IFERROR(__xludf.DUMMYFUNCTION("""COMPUTED_VALUE"""),1505.0)</f>
        <v>1505</v>
      </c>
      <c r="F1080" s="2">
        <f>IFERROR(__xludf.DUMMYFUNCTION("""COMPUTED_VALUE"""),1.086753E8)</f>
        <v>108675300</v>
      </c>
      <c r="G1080" s="2">
        <f t="shared" si="1"/>
        <v>100</v>
      </c>
    </row>
    <row r="1081" ht="15.75" customHeight="1">
      <c r="A1081" s="1">
        <f>IFERROR(__xludf.DUMMYFUNCTION("""COMPUTED_VALUE"""),45467.66666666667)</f>
        <v>45467.66667</v>
      </c>
      <c r="B1081" s="2">
        <f>IFERROR(__xludf.DUMMYFUNCTION("""COMPUTED_VALUE"""),1505.0)</f>
        <v>1505</v>
      </c>
      <c r="C1081" s="2">
        <f>IFERROR(__xludf.DUMMYFUNCTION("""COMPUTED_VALUE"""),1540.0)</f>
        <v>1540</v>
      </c>
      <c r="D1081" s="2">
        <f>IFERROR(__xludf.DUMMYFUNCTION("""COMPUTED_VALUE"""),1495.0)</f>
        <v>1495</v>
      </c>
      <c r="E1081" s="2">
        <f>IFERROR(__xludf.DUMMYFUNCTION("""COMPUTED_VALUE"""),1530.0)</f>
        <v>1530</v>
      </c>
      <c r="F1081" s="2">
        <f>IFERROR(__xludf.DUMMYFUNCTION("""COMPUTED_VALUE"""),5.36352E7)</f>
        <v>53635200</v>
      </c>
      <c r="G1081" s="2">
        <f t="shared" si="1"/>
        <v>45</v>
      </c>
    </row>
    <row r="1082" ht="15.75" customHeight="1">
      <c r="A1082" s="1">
        <f>IFERROR(__xludf.DUMMYFUNCTION("""COMPUTED_VALUE"""),45468.66666666667)</f>
        <v>45468.66667</v>
      </c>
      <c r="B1082" s="2">
        <f>IFERROR(__xludf.DUMMYFUNCTION("""COMPUTED_VALUE"""),1535.0)</f>
        <v>1535</v>
      </c>
      <c r="C1082" s="2">
        <f>IFERROR(__xludf.DUMMYFUNCTION("""COMPUTED_VALUE"""),1555.0)</f>
        <v>1555</v>
      </c>
      <c r="D1082" s="2">
        <f>IFERROR(__xludf.DUMMYFUNCTION("""COMPUTED_VALUE"""),1530.0)</f>
        <v>1530</v>
      </c>
      <c r="E1082" s="2">
        <f>IFERROR(__xludf.DUMMYFUNCTION("""COMPUTED_VALUE"""),1555.0)</f>
        <v>1555</v>
      </c>
      <c r="F1082" s="2">
        <f>IFERROR(__xludf.DUMMYFUNCTION("""COMPUTED_VALUE"""),3.68604E7)</f>
        <v>36860400</v>
      </c>
      <c r="G1082" s="2">
        <f t="shared" si="1"/>
        <v>25</v>
      </c>
    </row>
    <row r="1083" ht="15.75" customHeight="1">
      <c r="A1083" s="1">
        <f>IFERROR(__xludf.DUMMYFUNCTION("""COMPUTED_VALUE"""),45469.66666666667)</f>
        <v>45469.66667</v>
      </c>
      <c r="B1083" s="2">
        <f>IFERROR(__xludf.DUMMYFUNCTION("""COMPUTED_VALUE"""),1555.0)</f>
        <v>1555</v>
      </c>
      <c r="C1083" s="2">
        <f>IFERROR(__xludf.DUMMYFUNCTION("""COMPUTED_VALUE"""),1560.0)</f>
        <v>1560</v>
      </c>
      <c r="D1083" s="2">
        <f>IFERROR(__xludf.DUMMYFUNCTION("""COMPUTED_VALUE"""),1520.0)</f>
        <v>1520</v>
      </c>
      <c r="E1083" s="2">
        <f>IFERROR(__xludf.DUMMYFUNCTION("""COMPUTED_VALUE"""),1545.0)</f>
        <v>1545</v>
      </c>
      <c r="F1083" s="2">
        <f>IFERROR(__xludf.DUMMYFUNCTION("""COMPUTED_VALUE"""),2.27309E7)</f>
        <v>22730900</v>
      </c>
      <c r="G1083" s="2">
        <f t="shared" si="1"/>
        <v>40</v>
      </c>
    </row>
    <row r="1084" ht="15.75" customHeight="1">
      <c r="A1084" s="1">
        <f>IFERROR(__xludf.DUMMYFUNCTION("""COMPUTED_VALUE"""),45470.66666666667)</f>
        <v>45470.66667</v>
      </c>
      <c r="B1084" s="2">
        <f>IFERROR(__xludf.DUMMYFUNCTION("""COMPUTED_VALUE"""),1545.0)</f>
        <v>1545</v>
      </c>
      <c r="C1084" s="2">
        <f>IFERROR(__xludf.DUMMYFUNCTION("""COMPUTED_VALUE"""),1550.0)</f>
        <v>1550</v>
      </c>
      <c r="D1084" s="2">
        <f>IFERROR(__xludf.DUMMYFUNCTION("""COMPUTED_VALUE"""),1530.0)</f>
        <v>1530</v>
      </c>
      <c r="E1084" s="2">
        <f>IFERROR(__xludf.DUMMYFUNCTION("""COMPUTED_VALUE"""),1540.0)</f>
        <v>1540</v>
      </c>
      <c r="F1084" s="2">
        <f>IFERROR(__xludf.DUMMYFUNCTION("""COMPUTED_VALUE"""),2.2925E7)</f>
        <v>22925000</v>
      </c>
      <c r="G1084" s="2">
        <f t="shared" si="1"/>
        <v>20</v>
      </c>
    </row>
    <row r="1085" ht="15.75" customHeight="1">
      <c r="A1085" s="1">
        <f>IFERROR(__xludf.DUMMYFUNCTION("""COMPUTED_VALUE"""),45471.66666666667)</f>
        <v>45471.66667</v>
      </c>
      <c r="B1085" s="2">
        <f>IFERROR(__xludf.DUMMYFUNCTION("""COMPUTED_VALUE"""),1535.0)</f>
        <v>1535</v>
      </c>
      <c r="C1085" s="2">
        <f>IFERROR(__xludf.DUMMYFUNCTION("""COMPUTED_VALUE"""),1560.0)</f>
        <v>1560</v>
      </c>
      <c r="D1085" s="2">
        <f>IFERROR(__xludf.DUMMYFUNCTION("""COMPUTED_VALUE"""),1530.0)</f>
        <v>1530</v>
      </c>
      <c r="E1085" s="2">
        <f>IFERROR(__xludf.DUMMYFUNCTION("""COMPUTED_VALUE"""),1540.0)</f>
        <v>1540</v>
      </c>
      <c r="F1085" s="2">
        <f>IFERROR(__xludf.DUMMYFUNCTION("""COMPUTED_VALUE"""),2.86905E7)</f>
        <v>28690500</v>
      </c>
      <c r="G1085" s="2">
        <f t="shared" si="1"/>
        <v>30</v>
      </c>
    </row>
    <row r="1086" ht="15.75" customHeight="1">
      <c r="A1086" s="1">
        <f>IFERROR(__xludf.DUMMYFUNCTION("""COMPUTED_VALUE"""),45474.66666666667)</f>
        <v>45474.66667</v>
      </c>
      <c r="B1086" s="2">
        <f>IFERROR(__xludf.DUMMYFUNCTION("""COMPUTED_VALUE"""),1540.0)</f>
        <v>1540</v>
      </c>
      <c r="C1086" s="2">
        <f>IFERROR(__xludf.DUMMYFUNCTION("""COMPUTED_VALUE"""),1550.0)</f>
        <v>1550</v>
      </c>
      <c r="D1086" s="2">
        <f>IFERROR(__xludf.DUMMYFUNCTION("""COMPUTED_VALUE"""),1510.0)</f>
        <v>1510</v>
      </c>
      <c r="E1086" s="2">
        <f>IFERROR(__xludf.DUMMYFUNCTION("""COMPUTED_VALUE"""),1545.0)</f>
        <v>1545</v>
      </c>
      <c r="F1086" s="2">
        <f>IFERROR(__xludf.DUMMYFUNCTION("""COMPUTED_VALUE"""),2.69235E7)</f>
        <v>26923500</v>
      </c>
      <c r="G1086" s="2">
        <f t="shared" si="1"/>
        <v>40</v>
      </c>
    </row>
    <row r="1087" ht="15.75" customHeight="1">
      <c r="A1087" s="1">
        <f>IFERROR(__xludf.DUMMYFUNCTION("""COMPUTED_VALUE"""),45475.66666666667)</f>
        <v>45475.66667</v>
      </c>
      <c r="B1087" s="2">
        <f>IFERROR(__xludf.DUMMYFUNCTION("""COMPUTED_VALUE"""),1545.0)</f>
        <v>1545</v>
      </c>
      <c r="C1087" s="2">
        <f>IFERROR(__xludf.DUMMYFUNCTION("""COMPUTED_VALUE"""),1590.0)</f>
        <v>1590</v>
      </c>
      <c r="D1087" s="2">
        <f>IFERROR(__xludf.DUMMYFUNCTION("""COMPUTED_VALUE"""),1535.0)</f>
        <v>1535</v>
      </c>
      <c r="E1087" s="2">
        <f>IFERROR(__xludf.DUMMYFUNCTION("""COMPUTED_VALUE"""),1590.0)</f>
        <v>1590</v>
      </c>
      <c r="F1087" s="2">
        <f>IFERROR(__xludf.DUMMYFUNCTION("""COMPUTED_VALUE"""),8.42579E7)</f>
        <v>84257900</v>
      </c>
      <c r="G1087" s="2">
        <f t="shared" si="1"/>
        <v>55</v>
      </c>
    </row>
    <row r="1088" ht="15.75" customHeight="1">
      <c r="A1088" s="1">
        <f>IFERROR(__xludf.DUMMYFUNCTION("""COMPUTED_VALUE"""),45476.66666666667)</f>
        <v>45476.66667</v>
      </c>
      <c r="B1088" s="2">
        <f>IFERROR(__xludf.DUMMYFUNCTION("""COMPUTED_VALUE"""),1590.0)</f>
        <v>1590</v>
      </c>
      <c r="C1088" s="2">
        <f>IFERROR(__xludf.DUMMYFUNCTION("""COMPUTED_VALUE"""),1615.0)</f>
        <v>1615</v>
      </c>
      <c r="D1088" s="2">
        <f>IFERROR(__xludf.DUMMYFUNCTION("""COMPUTED_VALUE"""),1575.0)</f>
        <v>1575</v>
      </c>
      <c r="E1088" s="2">
        <f>IFERROR(__xludf.DUMMYFUNCTION("""COMPUTED_VALUE"""),1600.0)</f>
        <v>1600</v>
      </c>
      <c r="F1088" s="2">
        <f>IFERROR(__xludf.DUMMYFUNCTION("""COMPUTED_VALUE"""),6.82273E7)</f>
        <v>68227300</v>
      </c>
      <c r="G1088" s="2">
        <f t="shared" si="1"/>
        <v>40</v>
      </c>
    </row>
    <row r="1089" ht="15.75" customHeight="1">
      <c r="A1089" s="1">
        <f>IFERROR(__xludf.DUMMYFUNCTION("""COMPUTED_VALUE"""),45477.66666666667)</f>
        <v>45477.66667</v>
      </c>
      <c r="B1089" s="2">
        <f>IFERROR(__xludf.DUMMYFUNCTION("""COMPUTED_VALUE"""),1610.0)</f>
        <v>1610</v>
      </c>
      <c r="C1089" s="2">
        <f>IFERROR(__xludf.DUMMYFUNCTION("""COMPUTED_VALUE"""),1620.0)</f>
        <v>1620</v>
      </c>
      <c r="D1089" s="2">
        <f>IFERROR(__xludf.DUMMYFUNCTION("""COMPUTED_VALUE"""),1590.0)</f>
        <v>1590</v>
      </c>
      <c r="E1089" s="2">
        <f>IFERROR(__xludf.DUMMYFUNCTION("""COMPUTED_VALUE"""),1600.0)</f>
        <v>1600</v>
      </c>
      <c r="F1089" s="2">
        <f>IFERROR(__xludf.DUMMYFUNCTION("""COMPUTED_VALUE"""),3.95049E7)</f>
        <v>39504900</v>
      </c>
      <c r="G1089" s="2">
        <f t="shared" si="1"/>
        <v>30</v>
      </c>
    </row>
    <row r="1090" ht="15.75" customHeight="1">
      <c r="A1090" s="1">
        <f>IFERROR(__xludf.DUMMYFUNCTION("""COMPUTED_VALUE"""),45478.66666666667)</f>
        <v>45478.66667</v>
      </c>
      <c r="B1090" s="2">
        <f>IFERROR(__xludf.DUMMYFUNCTION("""COMPUTED_VALUE"""),1600.0)</f>
        <v>1600</v>
      </c>
      <c r="C1090" s="2">
        <f>IFERROR(__xludf.DUMMYFUNCTION("""COMPUTED_VALUE"""),1620.0)</f>
        <v>1620</v>
      </c>
      <c r="D1090" s="2">
        <f>IFERROR(__xludf.DUMMYFUNCTION("""COMPUTED_VALUE"""),1600.0)</f>
        <v>1600</v>
      </c>
      <c r="E1090" s="2">
        <f>IFERROR(__xludf.DUMMYFUNCTION("""COMPUTED_VALUE"""),1610.0)</f>
        <v>1610</v>
      </c>
      <c r="F1090" s="2">
        <f>IFERROR(__xludf.DUMMYFUNCTION("""COMPUTED_VALUE"""),3.06955E7)</f>
        <v>30695500</v>
      </c>
      <c r="G1090" s="2">
        <f t="shared" si="1"/>
        <v>20</v>
      </c>
    </row>
    <row r="1091" ht="15.75" customHeight="1">
      <c r="A1091" s="1">
        <f>IFERROR(__xludf.DUMMYFUNCTION("""COMPUTED_VALUE"""),45481.66666666667)</f>
        <v>45481.66667</v>
      </c>
      <c r="B1091" s="2">
        <f>IFERROR(__xludf.DUMMYFUNCTION("""COMPUTED_VALUE"""),1600.0)</f>
        <v>1600</v>
      </c>
      <c r="C1091" s="2">
        <f>IFERROR(__xludf.DUMMYFUNCTION("""COMPUTED_VALUE"""),1630.0)</f>
        <v>1630</v>
      </c>
      <c r="D1091" s="2">
        <f>IFERROR(__xludf.DUMMYFUNCTION("""COMPUTED_VALUE"""),1600.0)</f>
        <v>1600</v>
      </c>
      <c r="E1091" s="2">
        <f>IFERROR(__xludf.DUMMYFUNCTION("""COMPUTED_VALUE"""),1625.0)</f>
        <v>1625</v>
      </c>
      <c r="F1091" s="2">
        <f>IFERROR(__xludf.DUMMYFUNCTION("""COMPUTED_VALUE"""),2.79086E7)</f>
        <v>27908600</v>
      </c>
      <c r="G1091" s="2">
        <f t="shared" si="1"/>
        <v>30</v>
      </c>
    </row>
    <row r="1092" ht="15.75" customHeight="1">
      <c r="A1092" s="1">
        <f>IFERROR(__xludf.DUMMYFUNCTION("""COMPUTED_VALUE"""),45482.66666666667)</f>
        <v>45482.66667</v>
      </c>
      <c r="B1092" s="2">
        <f>IFERROR(__xludf.DUMMYFUNCTION("""COMPUTED_VALUE"""),1605.0)</f>
        <v>1605</v>
      </c>
      <c r="C1092" s="2">
        <f>IFERROR(__xludf.DUMMYFUNCTION("""COMPUTED_VALUE"""),1610.0)</f>
        <v>1610</v>
      </c>
      <c r="D1092" s="2">
        <f>IFERROR(__xludf.DUMMYFUNCTION("""COMPUTED_VALUE"""),1510.0)</f>
        <v>1510</v>
      </c>
      <c r="E1092" s="2">
        <f>IFERROR(__xludf.DUMMYFUNCTION("""COMPUTED_VALUE"""),1515.0)</f>
        <v>1515</v>
      </c>
      <c r="F1092" s="2">
        <f>IFERROR(__xludf.DUMMYFUNCTION("""COMPUTED_VALUE"""),1.416982E8)</f>
        <v>141698200</v>
      </c>
      <c r="G1092" s="2">
        <f t="shared" si="1"/>
        <v>115</v>
      </c>
    </row>
    <row r="1093" ht="15.75" customHeight="1">
      <c r="A1093" s="1">
        <f>IFERROR(__xludf.DUMMYFUNCTION("""COMPUTED_VALUE"""),45483.66666666667)</f>
        <v>45483.66667</v>
      </c>
      <c r="B1093" s="2">
        <f>IFERROR(__xludf.DUMMYFUNCTION("""COMPUTED_VALUE"""),1525.0)</f>
        <v>1525</v>
      </c>
      <c r="C1093" s="2">
        <f>IFERROR(__xludf.DUMMYFUNCTION("""COMPUTED_VALUE"""),1545.0)</f>
        <v>1545</v>
      </c>
      <c r="D1093" s="2">
        <f>IFERROR(__xludf.DUMMYFUNCTION("""COMPUTED_VALUE"""),1505.0)</f>
        <v>1505</v>
      </c>
      <c r="E1093" s="2">
        <f>IFERROR(__xludf.DUMMYFUNCTION("""COMPUTED_VALUE"""),1520.0)</f>
        <v>1520</v>
      </c>
      <c r="F1093" s="2">
        <f>IFERROR(__xludf.DUMMYFUNCTION("""COMPUTED_VALUE"""),9.17889E7)</f>
        <v>91788900</v>
      </c>
      <c r="G1093" s="2">
        <f t="shared" si="1"/>
        <v>40</v>
      </c>
    </row>
    <row r="1094" ht="15.75" customHeight="1">
      <c r="A1094" s="1">
        <f>IFERROR(__xludf.DUMMYFUNCTION("""COMPUTED_VALUE"""),45484.66666666667)</f>
        <v>45484.66667</v>
      </c>
      <c r="B1094" s="2">
        <f>IFERROR(__xludf.DUMMYFUNCTION("""COMPUTED_VALUE"""),1530.0)</f>
        <v>1530</v>
      </c>
      <c r="C1094" s="2">
        <f>IFERROR(__xludf.DUMMYFUNCTION("""COMPUTED_VALUE"""),1565.0)</f>
        <v>1565</v>
      </c>
      <c r="D1094" s="2">
        <f>IFERROR(__xludf.DUMMYFUNCTION("""COMPUTED_VALUE"""),1525.0)</f>
        <v>1525</v>
      </c>
      <c r="E1094" s="2">
        <f>IFERROR(__xludf.DUMMYFUNCTION("""COMPUTED_VALUE"""),1560.0)</f>
        <v>1560</v>
      </c>
      <c r="F1094" s="2">
        <f>IFERROR(__xludf.DUMMYFUNCTION("""COMPUTED_VALUE"""),5.41701E7)</f>
        <v>54170100</v>
      </c>
      <c r="G1094" s="2">
        <f t="shared" si="1"/>
        <v>45</v>
      </c>
    </row>
    <row r="1095" ht="15.75" customHeight="1">
      <c r="A1095" s="1">
        <f>IFERROR(__xludf.DUMMYFUNCTION("""COMPUTED_VALUE"""),45485.66666666667)</f>
        <v>45485.66667</v>
      </c>
      <c r="B1095" s="2">
        <f>IFERROR(__xludf.DUMMYFUNCTION("""COMPUTED_VALUE"""),1565.0)</f>
        <v>1565</v>
      </c>
      <c r="C1095" s="2">
        <f>IFERROR(__xludf.DUMMYFUNCTION("""COMPUTED_VALUE"""),1585.0)</f>
        <v>1585</v>
      </c>
      <c r="D1095" s="2">
        <f>IFERROR(__xludf.DUMMYFUNCTION("""COMPUTED_VALUE"""),1560.0)</f>
        <v>1560</v>
      </c>
      <c r="E1095" s="2">
        <f>IFERROR(__xludf.DUMMYFUNCTION("""COMPUTED_VALUE"""),1580.0)</f>
        <v>1580</v>
      </c>
      <c r="F1095" s="2">
        <f>IFERROR(__xludf.DUMMYFUNCTION("""COMPUTED_VALUE"""),3.00546E7)</f>
        <v>30054600</v>
      </c>
      <c r="G1095" s="2">
        <f t="shared" si="1"/>
        <v>25</v>
      </c>
    </row>
    <row r="1096" ht="15.75" customHeight="1">
      <c r="A1096" s="1">
        <f>IFERROR(__xludf.DUMMYFUNCTION("""COMPUTED_VALUE"""),45488.66666666667)</f>
        <v>45488.66667</v>
      </c>
      <c r="B1096" s="2">
        <f>IFERROR(__xludf.DUMMYFUNCTION("""COMPUTED_VALUE"""),1585.0)</f>
        <v>1585</v>
      </c>
      <c r="C1096" s="2">
        <f>IFERROR(__xludf.DUMMYFUNCTION("""COMPUTED_VALUE"""),1595.0)</f>
        <v>1595</v>
      </c>
      <c r="D1096" s="2">
        <f>IFERROR(__xludf.DUMMYFUNCTION("""COMPUTED_VALUE"""),1560.0)</f>
        <v>1560</v>
      </c>
      <c r="E1096" s="2">
        <f>IFERROR(__xludf.DUMMYFUNCTION("""COMPUTED_VALUE"""),1580.0)</f>
        <v>1580</v>
      </c>
      <c r="F1096" s="2">
        <f>IFERROR(__xludf.DUMMYFUNCTION("""COMPUTED_VALUE"""),1.70566E7)</f>
        <v>17056600</v>
      </c>
      <c r="G1096" s="2">
        <f t="shared" si="1"/>
        <v>35</v>
      </c>
    </row>
    <row r="1097" ht="15.75" customHeight="1">
      <c r="A1097" s="1">
        <f>IFERROR(__xludf.DUMMYFUNCTION("""COMPUTED_VALUE"""),45489.66666666667)</f>
        <v>45489.66667</v>
      </c>
      <c r="B1097" s="2">
        <f>IFERROR(__xludf.DUMMYFUNCTION("""COMPUTED_VALUE"""),1580.0)</f>
        <v>1580</v>
      </c>
      <c r="C1097" s="2">
        <f>IFERROR(__xludf.DUMMYFUNCTION("""COMPUTED_VALUE"""),1635.0)</f>
        <v>1635</v>
      </c>
      <c r="D1097" s="2">
        <f>IFERROR(__xludf.DUMMYFUNCTION("""COMPUTED_VALUE"""),1580.0)</f>
        <v>1580</v>
      </c>
      <c r="E1097" s="2">
        <f>IFERROR(__xludf.DUMMYFUNCTION("""COMPUTED_VALUE"""),1610.0)</f>
        <v>1610</v>
      </c>
      <c r="F1097" s="2">
        <f>IFERROR(__xludf.DUMMYFUNCTION("""COMPUTED_VALUE"""),5.54155E7)</f>
        <v>55415500</v>
      </c>
      <c r="G1097" s="2">
        <f t="shared" si="1"/>
        <v>55</v>
      </c>
    </row>
    <row r="1098" ht="15.75" customHeight="1">
      <c r="A1098" s="1">
        <f>IFERROR(__xludf.DUMMYFUNCTION("""COMPUTED_VALUE"""),45490.66666666667)</f>
        <v>45490.66667</v>
      </c>
      <c r="B1098" s="2">
        <f>IFERROR(__xludf.DUMMYFUNCTION("""COMPUTED_VALUE"""),1630.0)</f>
        <v>1630</v>
      </c>
      <c r="C1098" s="2">
        <f>IFERROR(__xludf.DUMMYFUNCTION("""COMPUTED_VALUE"""),1630.0)</f>
        <v>1630</v>
      </c>
      <c r="D1098" s="2">
        <f>IFERROR(__xludf.DUMMYFUNCTION("""COMPUTED_VALUE"""),1615.0)</f>
        <v>1615</v>
      </c>
      <c r="E1098" s="2">
        <f>IFERROR(__xludf.DUMMYFUNCTION("""COMPUTED_VALUE"""),1620.0)</f>
        <v>1620</v>
      </c>
      <c r="F1098" s="2">
        <f>IFERROR(__xludf.DUMMYFUNCTION("""COMPUTED_VALUE"""),2.62761E7)</f>
        <v>26276100</v>
      </c>
      <c r="G1098" s="2">
        <f t="shared" si="1"/>
        <v>20</v>
      </c>
    </row>
    <row r="1099" ht="15.75" customHeight="1">
      <c r="A1099" s="1">
        <f>IFERROR(__xludf.DUMMYFUNCTION("""COMPUTED_VALUE"""),45491.66666666667)</f>
        <v>45491.66667</v>
      </c>
      <c r="B1099" s="2">
        <f>IFERROR(__xludf.DUMMYFUNCTION("""COMPUTED_VALUE"""),1620.0)</f>
        <v>1620</v>
      </c>
      <c r="C1099" s="2">
        <f>IFERROR(__xludf.DUMMYFUNCTION("""COMPUTED_VALUE"""),1625.0)</f>
        <v>1625</v>
      </c>
      <c r="D1099" s="2">
        <f>IFERROR(__xludf.DUMMYFUNCTION("""COMPUTED_VALUE"""),1610.0)</f>
        <v>1610</v>
      </c>
      <c r="E1099" s="2">
        <f>IFERROR(__xludf.DUMMYFUNCTION("""COMPUTED_VALUE"""),1615.0)</f>
        <v>1615</v>
      </c>
      <c r="F1099" s="2">
        <f>IFERROR(__xludf.DUMMYFUNCTION("""COMPUTED_VALUE"""),1.69591E7)</f>
        <v>16959100</v>
      </c>
      <c r="G1099" s="2">
        <f t="shared" si="1"/>
        <v>15</v>
      </c>
    </row>
    <row r="1100" ht="15.75" customHeight="1">
      <c r="A1100" s="1">
        <f>IFERROR(__xludf.DUMMYFUNCTION("""COMPUTED_VALUE"""),45492.66666666667)</f>
        <v>45492.66667</v>
      </c>
      <c r="B1100" s="2">
        <f>IFERROR(__xludf.DUMMYFUNCTION("""COMPUTED_VALUE"""),1620.0)</f>
        <v>1620</v>
      </c>
      <c r="C1100" s="2">
        <f>IFERROR(__xludf.DUMMYFUNCTION("""COMPUTED_VALUE"""),1630.0)</f>
        <v>1630</v>
      </c>
      <c r="D1100" s="2">
        <f>IFERROR(__xludf.DUMMYFUNCTION("""COMPUTED_VALUE"""),1580.0)</f>
        <v>1580</v>
      </c>
      <c r="E1100" s="2">
        <f>IFERROR(__xludf.DUMMYFUNCTION("""COMPUTED_VALUE"""),1595.0)</f>
        <v>1595</v>
      </c>
      <c r="F1100" s="2">
        <f>IFERROR(__xludf.DUMMYFUNCTION("""COMPUTED_VALUE"""),2.21471E7)</f>
        <v>22147100</v>
      </c>
      <c r="G1100" s="2">
        <f t="shared" si="1"/>
        <v>50</v>
      </c>
    </row>
    <row r="1101" ht="15.75" customHeight="1">
      <c r="A1101" s="1">
        <f>IFERROR(__xludf.DUMMYFUNCTION("""COMPUTED_VALUE"""),45495.66666666667)</f>
        <v>45495.66667</v>
      </c>
      <c r="B1101" s="2">
        <f>IFERROR(__xludf.DUMMYFUNCTION("""COMPUTED_VALUE"""),1605.0)</f>
        <v>1605</v>
      </c>
      <c r="C1101" s="2">
        <f>IFERROR(__xludf.DUMMYFUNCTION("""COMPUTED_VALUE"""),1620.0)</f>
        <v>1620</v>
      </c>
      <c r="D1101" s="2">
        <f>IFERROR(__xludf.DUMMYFUNCTION("""COMPUTED_VALUE"""),1595.0)</f>
        <v>1595</v>
      </c>
      <c r="E1101" s="2">
        <f>IFERROR(__xludf.DUMMYFUNCTION("""COMPUTED_VALUE"""),1615.0)</f>
        <v>1615</v>
      </c>
      <c r="F1101" s="2">
        <f>IFERROR(__xludf.DUMMYFUNCTION("""COMPUTED_VALUE"""),1.39803E7)</f>
        <v>13980300</v>
      </c>
      <c r="G1101" s="2">
        <f t="shared" si="1"/>
        <v>25</v>
      </c>
    </row>
    <row r="1102" ht="15.75" customHeight="1">
      <c r="A1102" s="1">
        <f>IFERROR(__xludf.DUMMYFUNCTION("""COMPUTED_VALUE"""),45496.66666666667)</f>
        <v>45496.66667</v>
      </c>
      <c r="B1102" s="2">
        <f>IFERROR(__xludf.DUMMYFUNCTION("""COMPUTED_VALUE"""),1605.0)</f>
        <v>1605</v>
      </c>
      <c r="C1102" s="2">
        <f>IFERROR(__xludf.DUMMYFUNCTION("""COMPUTED_VALUE"""),1620.0)</f>
        <v>1620</v>
      </c>
      <c r="D1102" s="2">
        <f>IFERROR(__xludf.DUMMYFUNCTION("""COMPUTED_VALUE"""),1595.0)</f>
        <v>1595</v>
      </c>
      <c r="E1102" s="2">
        <f>IFERROR(__xludf.DUMMYFUNCTION("""COMPUTED_VALUE"""),1595.0)</f>
        <v>1595</v>
      </c>
      <c r="F1102" s="2">
        <f>IFERROR(__xludf.DUMMYFUNCTION("""COMPUTED_VALUE"""),1.60056E7)</f>
        <v>16005600</v>
      </c>
      <c r="G1102" s="2">
        <f t="shared" si="1"/>
        <v>25</v>
      </c>
    </row>
    <row r="1103" ht="15.75" customHeight="1">
      <c r="A1103" s="1">
        <f>IFERROR(__xludf.DUMMYFUNCTION("""COMPUTED_VALUE"""),45497.66666666667)</f>
        <v>45497.66667</v>
      </c>
      <c r="B1103" s="2">
        <f>IFERROR(__xludf.DUMMYFUNCTION("""COMPUTED_VALUE"""),1595.0)</f>
        <v>1595</v>
      </c>
      <c r="C1103" s="2">
        <f>IFERROR(__xludf.DUMMYFUNCTION("""COMPUTED_VALUE"""),1600.0)</f>
        <v>1600</v>
      </c>
      <c r="D1103" s="2">
        <f>IFERROR(__xludf.DUMMYFUNCTION("""COMPUTED_VALUE"""),1575.0)</f>
        <v>1575</v>
      </c>
      <c r="E1103" s="2">
        <f>IFERROR(__xludf.DUMMYFUNCTION("""COMPUTED_VALUE"""),1585.0)</f>
        <v>1585</v>
      </c>
      <c r="F1103" s="2">
        <f>IFERROR(__xludf.DUMMYFUNCTION("""COMPUTED_VALUE"""),1.95253E7)</f>
        <v>19525300</v>
      </c>
      <c r="G1103" s="2">
        <f t="shared" si="1"/>
        <v>25</v>
      </c>
    </row>
    <row r="1104" ht="15.75" customHeight="1">
      <c r="A1104" s="1">
        <f>IFERROR(__xludf.DUMMYFUNCTION("""COMPUTED_VALUE"""),45498.66666666667)</f>
        <v>45498.66667</v>
      </c>
      <c r="B1104" s="2">
        <f>IFERROR(__xludf.DUMMYFUNCTION("""COMPUTED_VALUE"""),1585.0)</f>
        <v>1585</v>
      </c>
      <c r="C1104" s="2">
        <f>IFERROR(__xludf.DUMMYFUNCTION("""COMPUTED_VALUE"""),1600.0)</f>
        <v>1600</v>
      </c>
      <c r="D1104" s="2">
        <f>IFERROR(__xludf.DUMMYFUNCTION("""COMPUTED_VALUE"""),1550.0)</f>
        <v>1550</v>
      </c>
      <c r="E1104" s="2">
        <f>IFERROR(__xludf.DUMMYFUNCTION("""COMPUTED_VALUE"""),1555.0)</f>
        <v>1555</v>
      </c>
      <c r="F1104" s="2">
        <f>IFERROR(__xludf.DUMMYFUNCTION("""COMPUTED_VALUE"""),4.34845E7)</f>
        <v>43484500</v>
      </c>
      <c r="G1104" s="2">
        <f t="shared" si="1"/>
        <v>50</v>
      </c>
    </row>
    <row r="1105" ht="15.75" customHeight="1">
      <c r="A1105" s="1">
        <f>IFERROR(__xludf.DUMMYFUNCTION("""COMPUTED_VALUE"""),45499.66666666667)</f>
        <v>45499.66667</v>
      </c>
      <c r="B1105" s="2">
        <f>IFERROR(__xludf.DUMMYFUNCTION("""COMPUTED_VALUE"""),1565.0)</f>
        <v>1565</v>
      </c>
      <c r="C1105" s="2">
        <f>IFERROR(__xludf.DUMMYFUNCTION("""COMPUTED_VALUE"""),1595.0)</f>
        <v>1595</v>
      </c>
      <c r="D1105" s="2">
        <f>IFERROR(__xludf.DUMMYFUNCTION("""COMPUTED_VALUE"""),1565.0)</f>
        <v>1565</v>
      </c>
      <c r="E1105" s="2">
        <f>IFERROR(__xludf.DUMMYFUNCTION("""COMPUTED_VALUE"""),1580.0)</f>
        <v>1580</v>
      </c>
      <c r="F1105" s="2">
        <f>IFERROR(__xludf.DUMMYFUNCTION("""COMPUTED_VALUE"""),2.36607E7)</f>
        <v>23660700</v>
      </c>
      <c r="G1105" s="2">
        <f t="shared" si="1"/>
        <v>40</v>
      </c>
    </row>
    <row r="1106" ht="15.75" customHeight="1">
      <c r="A1106" s="1">
        <f>IFERROR(__xludf.DUMMYFUNCTION("""COMPUTED_VALUE"""),45502.66666666667)</f>
        <v>45502.66667</v>
      </c>
      <c r="B1106" s="2">
        <f>IFERROR(__xludf.DUMMYFUNCTION("""COMPUTED_VALUE"""),1590.0)</f>
        <v>1590</v>
      </c>
      <c r="C1106" s="2">
        <f>IFERROR(__xludf.DUMMYFUNCTION("""COMPUTED_VALUE"""),1605.0)</f>
        <v>1605</v>
      </c>
      <c r="D1106" s="2">
        <f>IFERROR(__xludf.DUMMYFUNCTION("""COMPUTED_VALUE"""),1585.0)</f>
        <v>1585</v>
      </c>
      <c r="E1106" s="2">
        <f>IFERROR(__xludf.DUMMYFUNCTION("""COMPUTED_VALUE"""),1605.0)</f>
        <v>1605</v>
      </c>
      <c r="F1106" s="2">
        <f>IFERROR(__xludf.DUMMYFUNCTION("""COMPUTED_VALUE"""),2.67964E7)</f>
        <v>26796400</v>
      </c>
      <c r="G1106" s="2">
        <f t="shared" si="1"/>
        <v>25</v>
      </c>
    </row>
    <row r="1107" ht="15.75" customHeight="1">
      <c r="A1107" s="1">
        <f>IFERROR(__xludf.DUMMYFUNCTION("""COMPUTED_VALUE"""),45503.66666666667)</f>
        <v>45503.66667</v>
      </c>
      <c r="B1107" s="2">
        <f>IFERROR(__xludf.DUMMYFUNCTION("""COMPUTED_VALUE"""),1605.0)</f>
        <v>1605</v>
      </c>
      <c r="C1107" s="2">
        <f>IFERROR(__xludf.DUMMYFUNCTION("""COMPUTED_VALUE"""),1610.0)</f>
        <v>1610</v>
      </c>
      <c r="D1107" s="2">
        <f>IFERROR(__xludf.DUMMYFUNCTION("""COMPUTED_VALUE"""),1585.0)</f>
        <v>1585</v>
      </c>
      <c r="E1107" s="2">
        <f>IFERROR(__xludf.DUMMYFUNCTION("""COMPUTED_VALUE"""),1605.0)</f>
        <v>1605</v>
      </c>
      <c r="F1107" s="2">
        <f>IFERROR(__xludf.DUMMYFUNCTION("""COMPUTED_VALUE"""),2.36028E7)</f>
        <v>23602800</v>
      </c>
      <c r="G1107" s="2">
        <f t="shared" si="1"/>
        <v>25</v>
      </c>
    </row>
    <row r="1108" ht="15.75" customHeight="1">
      <c r="A1108" s="1">
        <f>IFERROR(__xludf.DUMMYFUNCTION("""COMPUTED_VALUE"""),45504.66666666667)</f>
        <v>45504.66667</v>
      </c>
      <c r="B1108" s="2">
        <f>IFERROR(__xludf.DUMMYFUNCTION("""COMPUTED_VALUE"""),1615.0)</f>
        <v>1615</v>
      </c>
      <c r="C1108" s="2">
        <f>IFERROR(__xludf.DUMMYFUNCTION("""COMPUTED_VALUE"""),1615.0)</f>
        <v>1615</v>
      </c>
      <c r="D1108" s="2">
        <f>IFERROR(__xludf.DUMMYFUNCTION("""COMPUTED_VALUE"""),1590.0)</f>
        <v>1590</v>
      </c>
      <c r="E1108" s="2">
        <f>IFERROR(__xludf.DUMMYFUNCTION("""COMPUTED_VALUE"""),1600.0)</f>
        <v>1600</v>
      </c>
      <c r="F1108" s="2">
        <f>IFERROR(__xludf.DUMMYFUNCTION("""COMPUTED_VALUE"""),2.08314E7)</f>
        <v>20831400</v>
      </c>
      <c r="G1108" s="2">
        <f t="shared" si="1"/>
        <v>25</v>
      </c>
    </row>
    <row r="1109" ht="15.75" customHeight="1">
      <c r="A1109" s="1">
        <f>IFERROR(__xludf.DUMMYFUNCTION("""COMPUTED_VALUE"""),45505.66666666667)</f>
        <v>45505.66667</v>
      </c>
      <c r="B1109" s="2">
        <f>IFERROR(__xludf.DUMMYFUNCTION("""COMPUTED_VALUE"""),1600.0)</f>
        <v>1600</v>
      </c>
      <c r="C1109" s="2">
        <f>IFERROR(__xludf.DUMMYFUNCTION("""COMPUTED_VALUE"""),1605.0)</f>
        <v>1605</v>
      </c>
      <c r="D1109" s="2">
        <f>IFERROR(__xludf.DUMMYFUNCTION("""COMPUTED_VALUE"""),1590.0)</f>
        <v>1590</v>
      </c>
      <c r="E1109" s="2">
        <f>IFERROR(__xludf.DUMMYFUNCTION("""COMPUTED_VALUE"""),1590.0)</f>
        <v>1590</v>
      </c>
      <c r="F1109" s="2">
        <f>IFERROR(__xludf.DUMMYFUNCTION("""COMPUTED_VALUE"""),1.45827E7)</f>
        <v>14582700</v>
      </c>
      <c r="G1109" s="2">
        <f t="shared" si="1"/>
        <v>15</v>
      </c>
    </row>
    <row r="1110" ht="15.75" customHeight="1">
      <c r="A1110" s="1">
        <f>IFERROR(__xludf.DUMMYFUNCTION("""COMPUTED_VALUE"""),45506.66666666667)</f>
        <v>45506.66667</v>
      </c>
      <c r="B1110" s="2">
        <f>IFERROR(__xludf.DUMMYFUNCTION("""COMPUTED_VALUE"""),1585.0)</f>
        <v>1585</v>
      </c>
      <c r="C1110" s="2">
        <f>IFERROR(__xludf.DUMMYFUNCTION("""COMPUTED_VALUE"""),1610.0)</f>
        <v>1610</v>
      </c>
      <c r="D1110" s="2">
        <f>IFERROR(__xludf.DUMMYFUNCTION("""COMPUTED_VALUE"""),1585.0)</f>
        <v>1585</v>
      </c>
      <c r="E1110" s="2">
        <f>IFERROR(__xludf.DUMMYFUNCTION("""COMPUTED_VALUE"""),1585.0)</f>
        <v>1585</v>
      </c>
      <c r="F1110" s="2">
        <f>IFERROR(__xludf.DUMMYFUNCTION("""COMPUTED_VALUE"""),2.19692E7)</f>
        <v>21969200</v>
      </c>
      <c r="G1110" s="2">
        <f t="shared" si="1"/>
        <v>25</v>
      </c>
    </row>
    <row r="1111" ht="15.75" customHeight="1">
      <c r="A1111" s="1">
        <f>IFERROR(__xludf.DUMMYFUNCTION("""COMPUTED_VALUE"""),45509.66666666667)</f>
        <v>45509.66667</v>
      </c>
      <c r="B1111" s="2">
        <f>IFERROR(__xludf.DUMMYFUNCTION("""COMPUTED_VALUE"""),1585.0)</f>
        <v>1585</v>
      </c>
      <c r="C1111" s="2">
        <f>IFERROR(__xludf.DUMMYFUNCTION("""COMPUTED_VALUE"""),1585.0)</f>
        <v>1585</v>
      </c>
      <c r="D1111" s="2">
        <f>IFERROR(__xludf.DUMMYFUNCTION("""COMPUTED_VALUE"""),1505.0)</f>
        <v>1505</v>
      </c>
      <c r="E1111" s="2">
        <f>IFERROR(__xludf.DUMMYFUNCTION("""COMPUTED_VALUE"""),1530.0)</f>
        <v>1530</v>
      </c>
      <c r="F1111" s="2">
        <f>IFERROR(__xludf.DUMMYFUNCTION("""COMPUTED_VALUE"""),7.32549E7)</f>
        <v>73254900</v>
      </c>
      <c r="G1111" s="2">
        <f t="shared" si="1"/>
        <v>80</v>
      </c>
    </row>
    <row r="1112" ht="15.75" customHeight="1">
      <c r="A1112" s="1">
        <f>IFERROR(__xludf.DUMMYFUNCTION("""COMPUTED_VALUE"""),45510.66666666667)</f>
        <v>45510.66667</v>
      </c>
      <c r="B1112" s="2">
        <f>IFERROR(__xludf.DUMMYFUNCTION("""COMPUTED_VALUE"""),1530.0)</f>
        <v>1530</v>
      </c>
      <c r="C1112" s="2">
        <f>IFERROR(__xludf.DUMMYFUNCTION("""COMPUTED_VALUE"""),1555.0)</f>
        <v>1555</v>
      </c>
      <c r="D1112" s="2">
        <f>IFERROR(__xludf.DUMMYFUNCTION("""COMPUTED_VALUE"""),1515.0)</f>
        <v>1515</v>
      </c>
      <c r="E1112" s="2">
        <f>IFERROR(__xludf.DUMMYFUNCTION("""COMPUTED_VALUE"""),1535.0)</f>
        <v>1535</v>
      </c>
      <c r="F1112" s="2">
        <f>IFERROR(__xludf.DUMMYFUNCTION("""COMPUTED_VALUE"""),3.49325E7)</f>
        <v>34932500</v>
      </c>
      <c r="G1112" s="2">
        <f t="shared" si="1"/>
        <v>40</v>
      </c>
    </row>
    <row r="1113" ht="15.75" customHeight="1">
      <c r="A1113" s="1">
        <f>IFERROR(__xludf.DUMMYFUNCTION("""COMPUTED_VALUE"""),45511.66666666667)</f>
        <v>45511.66667</v>
      </c>
      <c r="B1113" s="2">
        <f>IFERROR(__xludf.DUMMYFUNCTION("""COMPUTED_VALUE"""),1530.0)</f>
        <v>1530</v>
      </c>
      <c r="C1113" s="2">
        <f>IFERROR(__xludf.DUMMYFUNCTION("""COMPUTED_VALUE"""),1560.0)</f>
        <v>1560</v>
      </c>
      <c r="D1113" s="2">
        <f>IFERROR(__xludf.DUMMYFUNCTION("""COMPUTED_VALUE"""),1530.0)</f>
        <v>1530</v>
      </c>
      <c r="E1113" s="2">
        <f>IFERROR(__xludf.DUMMYFUNCTION("""COMPUTED_VALUE"""),1555.0)</f>
        <v>1555</v>
      </c>
      <c r="F1113" s="2">
        <f>IFERROR(__xludf.DUMMYFUNCTION("""COMPUTED_VALUE"""),3.58043E7)</f>
        <v>35804300</v>
      </c>
      <c r="G1113" s="2">
        <f t="shared" si="1"/>
        <v>30</v>
      </c>
    </row>
    <row r="1114" ht="15.75" customHeight="1">
      <c r="A1114" s="1">
        <f>IFERROR(__xludf.DUMMYFUNCTION("""COMPUTED_VALUE"""),45512.66666666667)</f>
        <v>45512.66667</v>
      </c>
      <c r="B1114" s="2">
        <f>IFERROR(__xludf.DUMMYFUNCTION("""COMPUTED_VALUE"""),1550.0)</f>
        <v>1550</v>
      </c>
      <c r="C1114" s="2">
        <f>IFERROR(__xludf.DUMMYFUNCTION("""COMPUTED_VALUE"""),1580.0)</f>
        <v>1580</v>
      </c>
      <c r="D1114" s="2">
        <f>IFERROR(__xludf.DUMMYFUNCTION("""COMPUTED_VALUE"""),1550.0)</f>
        <v>1550</v>
      </c>
      <c r="E1114" s="2">
        <f>IFERROR(__xludf.DUMMYFUNCTION("""COMPUTED_VALUE"""),1565.0)</f>
        <v>1565</v>
      </c>
      <c r="F1114" s="2">
        <f>IFERROR(__xludf.DUMMYFUNCTION("""COMPUTED_VALUE"""),2.46382E7)</f>
        <v>24638200</v>
      </c>
      <c r="G1114" s="2">
        <f t="shared" si="1"/>
        <v>30</v>
      </c>
    </row>
    <row r="1115" ht="15.75" customHeight="1">
      <c r="A1115" s="1">
        <f>IFERROR(__xludf.DUMMYFUNCTION("""COMPUTED_VALUE"""),45513.66666666667)</f>
        <v>45513.66667</v>
      </c>
      <c r="B1115" s="2">
        <f>IFERROR(__xludf.DUMMYFUNCTION("""COMPUTED_VALUE"""),1575.0)</f>
        <v>1575</v>
      </c>
      <c r="C1115" s="2">
        <f>IFERROR(__xludf.DUMMYFUNCTION("""COMPUTED_VALUE"""),1595.0)</f>
        <v>1595</v>
      </c>
      <c r="D1115" s="2">
        <f>IFERROR(__xludf.DUMMYFUNCTION("""COMPUTED_VALUE"""),1545.0)</f>
        <v>1545</v>
      </c>
      <c r="E1115" s="2">
        <f>IFERROR(__xludf.DUMMYFUNCTION("""COMPUTED_VALUE"""),1570.0)</f>
        <v>1570</v>
      </c>
      <c r="F1115" s="2">
        <f>IFERROR(__xludf.DUMMYFUNCTION("""COMPUTED_VALUE"""),2.92477E7)</f>
        <v>29247700</v>
      </c>
      <c r="G1115" s="2">
        <f t="shared" si="1"/>
        <v>50</v>
      </c>
    </row>
    <row r="1116" ht="15.75" customHeight="1">
      <c r="A1116" s="1">
        <f>IFERROR(__xludf.DUMMYFUNCTION("""COMPUTED_VALUE"""),45516.66666666667)</f>
        <v>45516.66667</v>
      </c>
      <c r="B1116" s="2">
        <f>IFERROR(__xludf.DUMMYFUNCTION("""COMPUTED_VALUE"""),1575.0)</f>
        <v>1575</v>
      </c>
      <c r="C1116" s="2">
        <f>IFERROR(__xludf.DUMMYFUNCTION("""COMPUTED_VALUE"""),1590.0)</f>
        <v>1590</v>
      </c>
      <c r="D1116" s="2">
        <f>IFERROR(__xludf.DUMMYFUNCTION("""COMPUTED_VALUE"""),1560.0)</f>
        <v>1560</v>
      </c>
      <c r="E1116" s="2">
        <f>IFERROR(__xludf.DUMMYFUNCTION("""COMPUTED_VALUE"""),1585.0)</f>
        <v>1585</v>
      </c>
      <c r="F1116" s="2">
        <f>IFERROR(__xludf.DUMMYFUNCTION("""COMPUTED_VALUE"""),1.96685E7)</f>
        <v>19668500</v>
      </c>
      <c r="G1116" s="2">
        <f t="shared" si="1"/>
        <v>30</v>
      </c>
    </row>
    <row r="1117" ht="15.75" customHeight="1">
      <c r="A1117" s="1">
        <f>IFERROR(__xludf.DUMMYFUNCTION("""COMPUTED_VALUE"""),45517.66666666667)</f>
        <v>45517.66667</v>
      </c>
      <c r="B1117" s="2">
        <f>IFERROR(__xludf.DUMMYFUNCTION("""COMPUTED_VALUE"""),1595.0)</f>
        <v>1595</v>
      </c>
      <c r="C1117" s="2">
        <f>IFERROR(__xludf.DUMMYFUNCTION("""COMPUTED_VALUE"""),1610.0)</f>
        <v>1610</v>
      </c>
      <c r="D1117" s="2">
        <f>IFERROR(__xludf.DUMMYFUNCTION("""COMPUTED_VALUE"""),1565.0)</f>
        <v>1565</v>
      </c>
      <c r="E1117" s="2">
        <f>IFERROR(__xludf.DUMMYFUNCTION("""COMPUTED_VALUE"""),1590.0)</f>
        <v>1590</v>
      </c>
      <c r="F1117" s="2">
        <f>IFERROR(__xludf.DUMMYFUNCTION("""COMPUTED_VALUE"""),5.15266E7)</f>
        <v>51526600</v>
      </c>
      <c r="G1117" s="2">
        <f t="shared" si="1"/>
        <v>45</v>
      </c>
    </row>
    <row r="1118" ht="15.75" customHeight="1">
      <c r="A1118" s="1">
        <f>IFERROR(__xludf.DUMMYFUNCTION("""COMPUTED_VALUE"""),45518.66666666667)</f>
        <v>45518.66667</v>
      </c>
      <c r="B1118" s="2">
        <f>IFERROR(__xludf.DUMMYFUNCTION("""COMPUTED_VALUE"""),1600.0)</f>
        <v>1600</v>
      </c>
      <c r="C1118" s="2">
        <f>IFERROR(__xludf.DUMMYFUNCTION("""COMPUTED_VALUE"""),1620.0)</f>
        <v>1620</v>
      </c>
      <c r="D1118" s="2">
        <f>IFERROR(__xludf.DUMMYFUNCTION("""COMPUTED_VALUE"""),1595.0)</f>
        <v>1595</v>
      </c>
      <c r="E1118" s="2">
        <f>IFERROR(__xludf.DUMMYFUNCTION("""COMPUTED_VALUE"""),1620.0)</f>
        <v>1620</v>
      </c>
      <c r="F1118" s="2">
        <f>IFERROR(__xludf.DUMMYFUNCTION("""COMPUTED_VALUE"""),2.68754E7)</f>
        <v>26875400</v>
      </c>
      <c r="G1118" s="2">
        <f t="shared" si="1"/>
        <v>30</v>
      </c>
    </row>
    <row r="1119" ht="15.75" customHeight="1">
      <c r="A1119" s="1">
        <f>IFERROR(__xludf.DUMMYFUNCTION("""COMPUTED_VALUE"""),45519.66666666667)</f>
        <v>45519.66667</v>
      </c>
      <c r="B1119" s="2">
        <f>IFERROR(__xludf.DUMMYFUNCTION("""COMPUTED_VALUE"""),1620.0)</f>
        <v>1620</v>
      </c>
      <c r="C1119" s="2">
        <f>IFERROR(__xludf.DUMMYFUNCTION("""COMPUTED_VALUE"""),1620.0)</f>
        <v>1620</v>
      </c>
      <c r="D1119" s="2">
        <f>IFERROR(__xludf.DUMMYFUNCTION("""COMPUTED_VALUE"""),1595.0)</f>
        <v>1595</v>
      </c>
      <c r="E1119" s="2">
        <f>IFERROR(__xludf.DUMMYFUNCTION("""COMPUTED_VALUE"""),1605.0)</f>
        <v>1605</v>
      </c>
      <c r="F1119" s="2">
        <f>IFERROR(__xludf.DUMMYFUNCTION("""COMPUTED_VALUE"""),2.37383E7)</f>
        <v>23738300</v>
      </c>
      <c r="G1119" s="2">
        <f t="shared" si="1"/>
        <v>25</v>
      </c>
    </row>
    <row r="1120" ht="15.75" customHeight="1">
      <c r="A1120" s="1">
        <f>IFERROR(__xludf.DUMMYFUNCTION("""COMPUTED_VALUE"""),45520.66666666667)</f>
        <v>45520.66667</v>
      </c>
      <c r="B1120" s="2">
        <f>IFERROR(__xludf.DUMMYFUNCTION("""COMPUTED_VALUE"""),1615.0)</f>
        <v>1615</v>
      </c>
      <c r="C1120" s="2">
        <f>IFERROR(__xludf.DUMMYFUNCTION("""COMPUTED_VALUE"""),1620.0)</f>
        <v>1620</v>
      </c>
      <c r="D1120" s="2">
        <f>IFERROR(__xludf.DUMMYFUNCTION("""COMPUTED_VALUE"""),1600.0)</f>
        <v>1600</v>
      </c>
      <c r="E1120" s="2">
        <f>IFERROR(__xludf.DUMMYFUNCTION("""COMPUTED_VALUE"""),1600.0)</f>
        <v>1600</v>
      </c>
      <c r="F1120" s="2">
        <f>IFERROR(__xludf.DUMMYFUNCTION("""COMPUTED_VALUE"""),1.46917E7)</f>
        <v>14691700</v>
      </c>
      <c r="G1120" s="2">
        <f t="shared" si="1"/>
        <v>20</v>
      </c>
    </row>
    <row r="1121" ht="15.75" customHeight="1">
      <c r="A1121" s="1">
        <f>IFERROR(__xludf.DUMMYFUNCTION("""COMPUTED_VALUE"""),45523.66666666667)</f>
        <v>45523.66667</v>
      </c>
      <c r="B1121" s="2">
        <f>IFERROR(__xludf.DUMMYFUNCTION("""COMPUTED_VALUE"""),1600.0)</f>
        <v>1600</v>
      </c>
      <c r="C1121" s="2">
        <f>IFERROR(__xludf.DUMMYFUNCTION("""COMPUTED_VALUE"""),1665.0)</f>
        <v>1665</v>
      </c>
      <c r="D1121" s="2">
        <f>IFERROR(__xludf.DUMMYFUNCTION("""COMPUTED_VALUE"""),1600.0)</f>
        <v>1600</v>
      </c>
      <c r="E1121" s="2">
        <f>IFERROR(__xludf.DUMMYFUNCTION("""COMPUTED_VALUE"""),1635.0)</f>
        <v>1635</v>
      </c>
      <c r="F1121" s="2">
        <f>IFERROR(__xludf.DUMMYFUNCTION("""COMPUTED_VALUE"""),7.71672E7)</f>
        <v>77167200</v>
      </c>
      <c r="G1121" s="2">
        <f t="shared" si="1"/>
        <v>65</v>
      </c>
    </row>
    <row r="1122" ht="15.75" customHeight="1">
      <c r="A1122" s="1">
        <f>IFERROR(__xludf.DUMMYFUNCTION("""COMPUTED_VALUE"""),45524.66666666667)</f>
        <v>45524.66667</v>
      </c>
      <c r="B1122" s="2">
        <f>IFERROR(__xludf.DUMMYFUNCTION("""COMPUTED_VALUE"""),1645.0)</f>
        <v>1645</v>
      </c>
      <c r="C1122" s="2">
        <f>IFERROR(__xludf.DUMMYFUNCTION("""COMPUTED_VALUE"""),1650.0)</f>
        <v>1650</v>
      </c>
      <c r="D1122" s="2">
        <f>IFERROR(__xludf.DUMMYFUNCTION("""COMPUTED_VALUE"""),1610.0)</f>
        <v>1610</v>
      </c>
      <c r="E1122" s="2">
        <f>IFERROR(__xludf.DUMMYFUNCTION("""COMPUTED_VALUE"""),1635.0)</f>
        <v>1635</v>
      </c>
      <c r="F1122" s="2">
        <f>IFERROR(__xludf.DUMMYFUNCTION("""COMPUTED_VALUE"""),4.66399E7)</f>
        <v>46639900</v>
      </c>
      <c r="G1122" s="2">
        <f t="shared" si="1"/>
        <v>40</v>
      </c>
    </row>
    <row r="1123" ht="15.75" customHeight="1">
      <c r="A1123" s="1">
        <f>IFERROR(__xludf.DUMMYFUNCTION("""COMPUTED_VALUE"""),45525.66666666667)</f>
        <v>45525.66667</v>
      </c>
      <c r="B1123" s="2">
        <f>IFERROR(__xludf.DUMMYFUNCTION("""COMPUTED_VALUE"""),1635.0)</f>
        <v>1635</v>
      </c>
      <c r="C1123" s="2">
        <f>IFERROR(__xludf.DUMMYFUNCTION("""COMPUTED_VALUE"""),1635.0)</f>
        <v>1635</v>
      </c>
      <c r="D1123" s="2">
        <f>IFERROR(__xludf.DUMMYFUNCTION("""COMPUTED_VALUE"""),1605.0)</f>
        <v>1605</v>
      </c>
      <c r="E1123" s="2">
        <f>IFERROR(__xludf.DUMMYFUNCTION("""COMPUTED_VALUE"""),1615.0)</f>
        <v>1615</v>
      </c>
      <c r="F1123" s="2">
        <f>IFERROR(__xludf.DUMMYFUNCTION("""COMPUTED_VALUE"""),3.81328E7)</f>
        <v>38132800</v>
      </c>
      <c r="G1123" s="2">
        <f t="shared" si="1"/>
        <v>30</v>
      </c>
    </row>
    <row r="1124" ht="15.75" customHeight="1">
      <c r="A1124" s="1">
        <f>IFERROR(__xludf.DUMMYFUNCTION("""COMPUTED_VALUE"""),45526.66666666667)</f>
        <v>45526.66667</v>
      </c>
      <c r="B1124" s="2">
        <f>IFERROR(__xludf.DUMMYFUNCTION("""COMPUTED_VALUE"""),1615.0)</f>
        <v>1615</v>
      </c>
      <c r="C1124" s="2">
        <f>IFERROR(__xludf.DUMMYFUNCTION("""COMPUTED_VALUE"""),1640.0)</f>
        <v>1640</v>
      </c>
      <c r="D1124" s="2">
        <f>IFERROR(__xludf.DUMMYFUNCTION("""COMPUTED_VALUE"""),1590.0)</f>
        <v>1590</v>
      </c>
      <c r="E1124" s="2">
        <f>IFERROR(__xludf.DUMMYFUNCTION("""COMPUTED_VALUE"""),1630.0)</f>
        <v>1630</v>
      </c>
      <c r="F1124" s="2">
        <f>IFERROR(__xludf.DUMMYFUNCTION("""COMPUTED_VALUE"""),4.16055E7)</f>
        <v>41605500</v>
      </c>
      <c r="G1124" s="2">
        <f t="shared" si="1"/>
        <v>50</v>
      </c>
    </row>
    <row r="1125" ht="15.75" customHeight="1">
      <c r="A1125" s="1">
        <f>IFERROR(__xludf.DUMMYFUNCTION("""COMPUTED_VALUE"""),45527.66666666667)</f>
        <v>45527.66667</v>
      </c>
      <c r="B1125" s="2">
        <f>IFERROR(__xludf.DUMMYFUNCTION("""COMPUTED_VALUE"""),1635.0)</f>
        <v>1635</v>
      </c>
      <c r="C1125" s="2">
        <f>IFERROR(__xludf.DUMMYFUNCTION("""COMPUTED_VALUE"""),1690.0)</f>
        <v>1690</v>
      </c>
      <c r="D1125" s="2">
        <f>IFERROR(__xludf.DUMMYFUNCTION("""COMPUTED_VALUE"""),1630.0)</f>
        <v>1630</v>
      </c>
      <c r="E1125" s="2">
        <f>IFERROR(__xludf.DUMMYFUNCTION("""COMPUTED_VALUE"""),1690.0)</f>
        <v>1690</v>
      </c>
      <c r="F1125" s="2">
        <f>IFERROR(__xludf.DUMMYFUNCTION("""COMPUTED_VALUE"""),9.15903E7)</f>
        <v>91590300</v>
      </c>
      <c r="G1125" s="2">
        <f t="shared" si="1"/>
        <v>60</v>
      </c>
    </row>
    <row r="1126" ht="15.75" customHeight="1">
      <c r="A1126" s="1">
        <f>IFERROR(__xludf.DUMMYFUNCTION("""COMPUTED_VALUE"""),45530.66666666667)</f>
        <v>45530.66667</v>
      </c>
      <c r="B1126" s="2">
        <f>IFERROR(__xludf.DUMMYFUNCTION("""COMPUTED_VALUE"""),1695.0)</f>
        <v>1695</v>
      </c>
      <c r="C1126" s="2">
        <f>IFERROR(__xludf.DUMMYFUNCTION("""COMPUTED_VALUE"""),1700.0)</f>
        <v>1700</v>
      </c>
      <c r="D1126" s="2">
        <f>IFERROR(__xludf.DUMMYFUNCTION("""COMPUTED_VALUE"""),1665.0)</f>
        <v>1665</v>
      </c>
      <c r="E1126" s="2">
        <f>IFERROR(__xludf.DUMMYFUNCTION("""COMPUTED_VALUE"""),1680.0)</f>
        <v>1680</v>
      </c>
      <c r="F1126" s="2">
        <f>IFERROR(__xludf.DUMMYFUNCTION("""COMPUTED_VALUE"""),3.26514E7)</f>
        <v>32651400</v>
      </c>
      <c r="G1126" s="2">
        <f t="shared" si="1"/>
        <v>35</v>
      </c>
    </row>
    <row r="1127" ht="15.75" customHeight="1">
      <c r="A1127" s="1">
        <f>IFERROR(__xludf.DUMMYFUNCTION("""COMPUTED_VALUE"""),45531.66666666667)</f>
        <v>45531.66667</v>
      </c>
      <c r="B1127" s="2">
        <f>IFERROR(__xludf.DUMMYFUNCTION("""COMPUTED_VALUE"""),1655.0)</f>
        <v>1655</v>
      </c>
      <c r="C1127" s="2">
        <f>IFERROR(__xludf.DUMMYFUNCTION("""COMPUTED_VALUE"""),1655.0)</f>
        <v>1655</v>
      </c>
      <c r="D1127" s="2">
        <f>IFERROR(__xludf.DUMMYFUNCTION("""COMPUTED_VALUE"""),1570.0)</f>
        <v>1570</v>
      </c>
      <c r="E1127" s="2">
        <f>IFERROR(__xludf.DUMMYFUNCTION("""COMPUTED_VALUE"""),1580.0)</f>
        <v>1580</v>
      </c>
      <c r="F1127" s="2">
        <f>IFERROR(__xludf.DUMMYFUNCTION("""COMPUTED_VALUE"""),2.450906E8)</f>
        <v>245090600</v>
      </c>
      <c r="G1127" s="2">
        <f t="shared" si="1"/>
        <v>110</v>
      </c>
    </row>
    <row r="1128" ht="15.75" customHeight="1">
      <c r="A1128" s="1">
        <f>IFERROR(__xludf.DUMMYFUNCTION("""COMPUTED_VALUE"""),45532.66666666667)</f>
        <v>45532.66667</v>
      </c>
      <c r="B1128" s="2">
        <f>IFERROR(__xludf.DUMMYFUNCTION("""COMPUTED_VALUE"""),1585.0)</f>
        <v>1585</v>
      </c>
      <c r="C1128" s="2">
        <f>IFERROR(__xludf.DUMMYFUNCTION("""COMPUTED_VALUE"""),1585.0)</f>
        <v>1585</v>
      </c>
      <c r="D1128" s="2">
        <f>IFERROR(__xludf.DUMMYFUNCTION("""COMPUTED_VALUE"""),1560.0)</f>
        <v>1560</v>
      </c>
      <c r="E1128" s="2">
        <f>IFERROR(__xludf.DUMMYFUNCTION("""COMPUTED_VALUE"""),1575.0)</f>
        <v>1575</v>
      </c>
      <c r="F1128" s="2">
        <f>IFERROR(__xludf.DUMMYFUNCTION("""COMPUTED_VALUE"""),5.03739E7)</f>
        <v>50373900</v>
      </c>
      <c r="G1128" s="2">
        <f t="shared" si="1"/>
        <v>25</v>
      </c>
    </row>
    <row r="1129" ht="15.75" customHeight="1">
      <c r="A1129" s="1">
        <f>IFERROR(__xludf.DUMMYFUNCTION("""COMPUTED_VALUE"""),45533.66666666667)</f>
        <v>45533.66667</v>
      </c>
      <c r="B1129" s="2">
        <f>IFERROR(__xludf.DUMMYFUNCTION("""COMPUTED_VALUE"""),1580.0)</f>
        <v>1580</v>
      </c>
      <c r="C1129" s="2">
        <f>IFERROR(__xludf.DUMMYFUNCTION("""COMPUTED_VALUE"""),1585.0)</f>
        <v>1585</v>
      </c>
      <c r="D1129" s="2">
        <f>IFERROR(__xludf.DUMMYFUNCTION("""COMPUTED_VALUE"""),1545.0)</f>
        <v>1545</v>
      </c>
      <c r="E1129" s="2">
        <f>IFERROR(__xludf.DUMMYFUNCTION("""COMPUTED_VALUE"""),1550.0)</f>
        <v>1550</v>
      </c>
      <c r="F1129" s="2">
        <f>IFERROR(__xludf.DUMMYFUNCTION("""COMPUTED_VALUE"""),5.62216E7)</f>
        <v>56221600</v>
      </c>
      <c r="G1129" s="2">
        <f t="shared" si="1"/>
        <v>40</v>
      </c>
    </row>
    <row r="1130" ht="15.75" customHeight="1">
      <c r="A1130" s="1">
        <f>IFERROR(__xludf.DUMMYFUNCTION("""COMPUTED_VALUE"""),45534.66666666667)</f>
        <v>45534.66667</v>
      </c>
      <c r="B1130" s="2">
        <f>IFERROR(__xludf.DUMMYFUNCTION("""COMPUTED_VALUE"""),1550.0)</f>
        <v>1550</v>
      </c>
      <c r="C1130" s="2">
        <f>IFERROR(__xludf.DUMMYFUNCTION("""COMPUTED_VALUE"""),1560.0)</f>
        <v>1560</v>
      </c>
      <c r="D1130" s="2">
        <f>IFERROR(__xludf.DUMMYFUNCTION("""COMPUTED_VALUE"""),1525.0)</f>
        <v>1525</v>
      </c>
      <c r="E1130" s="2">
        <f>IFERROR(__xludf.DUMMYFUNCTION("""COMPUTED_VALUE"""),1540.0)</f>
        <v>1540</v>
      </c>
      <c r="F1130" s="2">
        <f>IFERROR(__xludf.DUMMYFUNCTION("""COMPUTED_VALUE"""),5.17042E7)</f>
        <v>51704200</v>
      </c>
      <c r="G1130" s="2">
        <f t="shared" si="1"/>
        <v>35</v>
      </c>
    </row>
    <row r="1131" ht="15.75" customHeight="1">
      <c r="A1131" s="1">
        <f>IFERROR(__xludf.DUMMYFUNCTION("""COMPUTED_VALUE"""),45537.66666666667)</f>
        <v>45537.66667</v>
      </c>
      <c r="B1131" s="2">
        <f>IFERROR(__xludf.DUMMYFUNCTION("""COMPUTED_VALUE"""),1540.0)</f>
        <v>1540</v>
      </c>
      <c r="C1131" s="2">
        <f>IFERROR(__xludf.DUMMYFUNCTION("""COMPUTED_VALUE"""),1560.0)</f>
        <v>1560</v>
      </c>
      <c r="D1131" s="2">
        <f>IFERROR(__xludf.DUMMYFUNCTION("""COMPUTED_VALUE"""),1535.0)</f>
        <v>1535</v>
      </c>
      <c r="E1131" s="2">
        <f>IFERROR(__xludf.DUMMYFUNCTION("""COMPUTED_VALUE"""),1545.0)</f>
        <v>1545</v>
      </c>
      <c r="F1131" s="2">
        <f>IFERROR(__xludf.DUMMYFUNCTION("""COMPUTED_VALUE"""),5.43393E7)</f>
        <v>54339300</v>
      </c>
      <c r="G1131" s="2">
        <f t="shared" si="1"/>
        <v>25</v>
      </c>
    </row>
    <row r="1132" ht="15.75" customHeight="1">
      <c r="A1132" s="1">
        <f>IFERROR(__xludf.DUMMYFUNCTION("""COMPUTED_VALUE"""),45538.66666666667)</f>
        <v>45538.66667</v>
      </c>
      <c r="B1132" s="2">
        <f>IFERROR(__xludf.DUMMYFUNCTION("""COMPUTED_VALUE"""),1545.0)</f>
        <v>1545</v>
      </c>
      <c r="C1132" s="2">
        <f>IFERROR(__xludf.DUMMYFUNCTION("""COMPUTED_VALUE"""),1570.0)</f>
        <v>1570</v>
      </c>
      <c r="D1132" s="2">
        <f>IFERROR(__xludf.DUMMYFUNCTION("""COMPUTED_VALUE"""),1545.0)</f>
        <v>1545</v>
      </c>
      <c r="E1132" s="2">
        <f>IFERROR(__xludf.DUMMYFUNCTION("""COMPUTED_VALUE"""),1555.0)</f>
        <v>1555</v>
      </c>
      <c r="F1132" s="2">
        <f>IFERROR(__xludf.DUMMYFUNCTION("""COMPUTED_VALUE"""),3.40028E7)</f>
        <v>34002800</v>
      </c>
      <c r="G1132" s="2">
        <f t="shared" si="1"/>
        <v>25</v>
      </c>
    </row>
    <row r="1133" ht="15.75" customHeight="1">
      <c r="A1133" s="1">
        <f>IFERROR(__xludf.DUMMYFUNCTION("""COMPUTED_VALUE"""),45539.66666666667)</f>
        <v>45539.66667</v>
      </c>
      <c r="B1133" s="2">
        <f>IFERROR(__xludf.DUMMYFUNCTION("""COMPUTED_VALUE"""),1545.0)</f>
        <v>1545</v>
      </c>
      <c r="C1133" s="2">
        <f>IFERROR(__xludf.DUMMYFUNCTION("""COMPUTED_VALUE"""),1550.0)</f>
        <v>1550</v>
      </c>
      <c r="D1133" s="2">
        <f>IFERROR(__xludf.DUMMYFUNCTION("""COMPUTED_VALUE"""),1525.0)</f>
        <v>1525</v>
      </c>
      <c r="E1133" s="2">
        <f>IFERROR(__xludf.DUMMYFUNCTION("""COMPUTED_VALUE"""),1525.0)</f>
        <v>1525</v>
      </c>
      <c r="F1133" s="2">
        <f>IFERROR(__xludf.DUMMYFUNCTION("""COMPUTED_VALUE"""),3.21739E7)</f>
        <v>32173900</v>
      </c>
      <c r="G1133" s="2">
        <f t="shared" si="1"/>
        <v>30</v>
      </c>
    </row>
    <row r="1134" ht="15.75" customHeight="1">
      <c r="A1134" s="1">
        <f>IFERROR(__xludf.DUMMYFUNCTION("""COMPUTED_VALUE"""),45540.66666666667)</f>
        <v>45540.66667</v>
      </c>
      <c r="B1134" s="2">
        <f>IFERROR(__xludf.DUMMYFUNCTION("""COMPUTED_VALUE"""),1530.0)</f>
        <v>1530</v>
      </c>
      <c r="C1134" s="2">
        <f>IFERROR(__xludf.DUMMYFUNCTION("""COMPUTED_VALUE"""),1545.0)</f>
        <v>1545</v>
      </c>
      <c r="D1134" s="2">
        <f>IFERROR(__xludf.DUMMYFUNCTION("""COMPUTED_VALUE"""),1525.0)</f>
        <v>1525</v>
      </c>
      <c r="E1134" s="2">
        <f>IFERROR(__xludf.DUMMYFUNCTION("""COMPUTED_VALUE"""),1530.0)</f>
        <v>1530</v>
      </c>
      <c r="F1134" s="2">
        <f>IFERROR(__xludf.DUMMYFUNCTION("""COMPUTED_VALUE"""),2.86449E7)</f>
        <v>28644900</v>
      </c>
      <c r="G1134" s="2">
        <f t="shared" si="1"/>
        <v>20</v>
      </c>
    </row>
    <row r="1135" ht="15.75" customHeight="1">
      <c r="A1135" s="1">
        <f>IFERROR(__xludf.DUMMYFUNCTION("""COMPUTED_VALUE"""),45541.66666666667)</f>
        <v>45541.66667</v>
      </c>
      <c r="B1135" s="2">
        <f>IFERROR(__xludf.DUMMYFUNCTION("""COMPUTED_VALUE"""),1515.0)</f>
        <v>1515</v>
      </c>
      <c r="C1135" s="2">
        <f>IFERROR(__xludf.DUMMYFUNCTION("""COMPUTED_VALUE"""),1535.0)</f>
        <v>1535</v>
      </c>
      <c r="D1135" s="2">
        <f>IFERROR(__xludf.DUMMYFUNCTION("""COMPUTED_VALUE"""),1510.0)</f>
        <v>1510</v>
      </c>
      <c r="E1135" s="2">
        <f>IFERROR(__xludf.DUMMYFUNCTION("""COMPUTED_VALUE"""),1515.0)</f>
        <v>1515</v>
      </c>
      <c r="F1135" s="2">
        <f>IFERROR(__xludf.DUMMYFUNCTION("""COMPUTED_VALUE"""),5.44632E7)</f>
        <v>54463200</v>
      </c>
      <c r="G1135" s="2">
        <f t="shared" si="1"/>
        <v>25</v>
      </c>
    </row>
    <row r="1136" ht="15.75" customHeight="1">
      <c r="A1136" s="1">
        <f>IFERROR(__xludf.DUMMYFUNCTION("""COMPUTED_VALUE"""),45544.66666666667)</f>
        <v>45544.66667</v>
      </c>
      <c r="B1136" s="2">
        <f>IFERROR(__xludf.DUMMYFUNCTION("""COMPUTED_VALUE"""),1515.0)</f>
        <v>1515</v>
      </c>
      <c r="C1136" s="2">
        <f>IFERROR(__xludf.DUMMYFUNCTION("""COMPUTED_VALUE"""),1525.0)</f>
        <v>1525</v>
      </c>
      <c r="D1136" s="2">
        <f>IFERROR(__xludf.DUMMYFUNCTION("""COMPUTED_VALUE"""),1505.0)</f>
        <v>1505</v>
      </c>
      <c r="E1136" s="2">
        <f>IFERROR(__xludf.DUMMYFUNCTION("""COMPUTED_VALUE"""),1510.0)</f>
        <v>1510</v>
      </c>
      <c r="F1136" s="2">
        <f>IFERROR(__xludf.DUMMYFUNCTION("""COMPUTED_VALUE"""),4.37761E7)</f>
        <v>43776100</v>
      </c>
      <c r="G1136" s="2">
        <f t="shared" si="1"/>
        <v>20</v>
      </c>
    </row>
    <row r="1137" ht="15.75" customHeight="1">
      <c r="A1137" s="1">
        <f>IFERROR(__xludf.DUMMYFUNCTION("""COMPUTED_VALUE"""),45545.66666666667)</f>
        <v>45545.66667</v>
      </c>
      <c r="B1137" s="2">
        <f>IFERROR(__xludf.DUMMYFUNCTION("""COMPUTED_VALUE"""),1510.0)</f>
        <v>1510</v>
      </c>
      <c r="C1137" s="2">
        <f>IFERROR(__xludf.DUMMYFUNCTION("""COMPUTED_VALUE"""),1515.0)</f>
        <v>1515</v>
      </c>
      <c r="D1137" s="2">
        <f>IFERROR(__xludf.DUMMYFUNCTION("""COMPUTED_VALUE"""),1470.0)</f>
        <v>1470</v>
      </c>
      <c r="E1137" s="2">
        <f>IFERROR(__xludf.DUMMYFUNCTION("""COMPUTED_VALUE"""),1475.0)</f>
        <v>1475</v>
      </c>
      <c r="F1137" s="2">
        <f>IFERROR(__xludf.DUMMYFUNCTION("""COMPUTED_VALUE"""),1.081876E8)</f>
        <v>108187600</v>
      </c>
      <c r="G1137" s="2">
        <f t="shared" si="1"/>
        <v>45</v>
      </c>
    </row>
    <row r="1138" ht="15.75" customHeight="1">
      <c r="A1138" s="1">
        <f>IFERROR(__xludf.DUMMYFUNCTION("""COMPUTED_VALUE"""),45546.66666666667)</f>
        <v>45546.66667</v>
      </c>
      <c r="B1138" s="2">
        <f>IFERROR(__xludf.DUMMYFUNCTION("""COMPUTED_VALUE"""),1480.0)</f>
        <v>1480</v>
      </c>
      <c r="C1138" s="2">
        <f>IFERROR(__xludf.DUMMYFUNCTION("""COMPUTED_VALUE"""),1495.0)</f>
        <v>1495</v>
      </c>
      <c r="D1138" s="2">
        <f>IFERROR(__xludf.DUMMYFUNCTION("""COMPUTED_VALUE"""),1475.0)</f>
        <v>1475</v>
      </c>
      <c r="E1138" s="2">
        <f>IFERROR(__xludf.DUMMYFUNCTION("""COMPUTED_VALUE"""),1485.0)</f>
        <v>1485</v>
      </c>
      <c r="F1138" s="2">
        <f>IFERROR(__xludf.DUMMYFUNCTION("""COMPUTED_VALUE"""),3.91125E7)</f>
        <v>39112500</v>
      </c>
      <c r="G1138" s="2">
        <f t="shared" si="1"/>
        <v>20</v>
      </c>
    </row>
    <row r="1139" ht="15.75" customHeight="1">
      <c r="A1139" s="1">
        <f>IFERROR(__xludf.DUMMYFUNCTION("""COMPUTED_VALUE"""),45547.66666666667)</f>
        <v>45547.66667</v>
      </c>
      <c r="B1139" s="2">
        <f>IFERROR(__xludf.DUMMYFUNCTION("""COMPUTED_VALUE"""),1485.0)</f>
        <v>1485</v>
      </c>
      <c r="C1139" s="2">
        <f>IFERROR(__xludf.DUMMYFUNCTION("""COMPUTED_VALUE"""),1510.0)</f>
        <v>1510</v>
      </c>
      <c r="D1139" s="2">
        <f>IFERROR(__xludf.DUMMYFUNCTION("""COMPUTED_VALUE"""),1475.0)</f>
        <v>1475</v>
      </c>
      <c r="E1139" s="2">
        <f>IFERROR(__xludf.DUMMYFUNCTION("""COMPUTED_VALUE"""),1495.0)</f>
        <v>1495</v>
      </c>
      <c r="F1139" s="2">
        <f>IFERROR(__xludf.DUMMYFUNCTION("""COMPUTED_VALUE"""),4.59043E7)</f>
        <v>45904300</v>
      </c>
      <c r="G1139" s="2">
        <f t="shared" si="1"/>
        <v>35</v>
      </c>
    </row>
    <row r="1140" ht="15.75" customHeight="1">
      <c r="A1140" s="1">
        <f>IFERROR(__xludf.DUMMYFUNCTION("""COMPUTED_VALUE"""),45548.66666666667)</f>
        <v>45548.66667</v>
      </c>
      <c r="B1140" s="2">
        <f>IFERROR(__xludf.DUMMYFUNCTION("""COMPUTED_VALUE"""),1505.0)</f>
        <v>1505</v>
      </c>
      <c r="C1140" s="2">
        <f>IFERROR(__xludf.DUMMYFUNCTION("""COMPUTED_VALUE"""),1510.0)</f>
        <v>1510</v>
      </c>
      <c r="D1140" s="2">
        <f>IFERROR(__xludf.DUMMYFUNCTION("""COMPUTED_VALUE"""),1480.0)</f>
        <v>1480</v>
      </c>
      <c r="E1140" s="2">
        <f>IFERROR(__xludf.DUMMYFUNCTION("""COMPUTED_VALUE"""),1495.0)</f>
        <v>1495</v>
      </c>
      <c r="F1140" s="2">
        <f>IFERROR(__xludf.DUMMYFUNCTION("""COMPUTED_VALUE"""),4.48352E7)</f>
        <v>44835200</v>
      </c>
      <c r="G1140" s="2">
        <f t="shared" si="1"/>
        <v>30</v>
      </c>
    </row>
    <row r="1141" ht="15.75" customHeight="1">
      <c r="A1141" s="1">
        <f>IFERROR(__xludf.DUMMYFUNCTION("""COMPUTED_VALUE"""),45552.66666666667)</f>
        <v>45552.66667</v>
      </c>
      <c r="B1141" s="2">
        <f>IFERROR(__xludf.DUMMYFUNCTION("""COMPUTED_VALUE"""),1495.0)</f>
        <v>1495</v>
      </c>
      <c r="C1141" s="2">
        <f>IFERROR(__xludf.DUMMYFUNCTION("""COMPUTED_VALUE"""),1505.0)</f>
        <v>1505</v>
      </c>
      <c r="D1141" s="2">
        <f>IFERROR(__xludf.DUMMYFUNCTION("""COMPUTED_VALUE"""),1485.0)</f>
        <v>1485</v>
      </c>
      <c r="E1141" s="2">
        <f>IFERROR(__xludf.DUMMYFUNCTION("""COMPUTED_VALUE"""),1495.0)</f>
        <v>1495</v>
      </c>
      <c r="F1141" s="2">
        <f>IFERROR(__xludf.DUMMYFUNCTION("""COMPUTED_VALUE"""),2.90296E7)</f>
        <v>29029600</v>
      </c>
      <c r="G1141" s="2">
        <f t="shared" si="1"/>
        <v>20</v>
      </c>
    </row>
    <row r="1142" ht="15.75" customHeight="1">
      <c r="A1142" s="1">
        <f>IFERROR(__xludf.DUMMYFUNCTION("""COMPUTED_VALUE"""),45553.66666666667)</f>
        <v>45553.66667</v>
      </c>
      <c r="B1142" s="2">
        <f>IFERROR(__xludf.DUMMYFUNCTION("""COMPUTED_VALUE"""),1500.0)</f>
        <v>1500</v>
      </c>
      <c r="C1142" s="2">
        <f>IFERROR(__xludf.DUMMYFUNCTION("""COMPUTED_VALUE"""),1505.0)</f>
        <v>1505</v>
      </c>
      <c r="D1142" s="2">
        <f>IFERROR(__xludf.DUMMYFUNCTION("""COMPUTED_VALUE"""),1495.0)</f>
        <v>1495</v>
      </c>
      <c r="E1142" s="2">
        <f>IFERROR(__xludf.DUMMYFUNCTION("""COMPUTED_VALUE"""),1500.0)</f>
        <v>1500</v>
      </c>
      <c r="F1142" s="2">
        <f>IFERROR(__xludf.DUMMYFUNCTION("""COMPUTED_VALUE"""),2.80065E7)</f>
        <v>28006500</v>
      </c>
      <c r="G1142" s="2">
        <f t="shared" si="1"/>
        <v>10</v>
      </c>
    </row>
    <row r="1143" ht="15.75" customHeight="1">
      <c r="A1143" s="1">
        <f>IFERROR(__xludf.DUMMYFUNCTION("""COMPUTED_VALUE"""),45554.66666666667)</f>
        <v>45554.66667</v>
      </c>
      <c r="B1143" s="2">
        <f>IFERROR(__xludf.DUMMYFUNCTION("""COMPUTED_VALUE"""),1495.0)</f>
        <v>1495</v>
      </c>
      <c r="C1143" s="2">
        <f>IFERROR(__xludf.DUMMYFUNCTION("""COMPUTED_VALUE"""),1500.0)</f>
        <v>1500</v>
      </c>
      <c r="D1143" s="2">
        <f>IFERROR(__xludf.DUMMYFUNCTION("""COMPUTED_VALUE"""),1470.0)</f>
        <v>1470</v>
      </c>
      <c r="E1143" s="2">
        <f>IFERROR(__xludf.DUMMYFUNCTION("""COMPUTED_VALUE"""),1480.0)</f>
        <v>1480</v>
      </c>
      <c r="F1143" s="2">
        <f>IFERROR(__xludf.DUMMYFUNCTION("""COMPUTED_VALUE"""),7.70433E7)</f>
        <v>77043300</v>
      </c>
      <c r="G1143" s="2">
        <f t="shared" si="1"/>
        <v>30</v>
      </c>
    </row>
    <row r="1144" ht="15.75" customHeight="1">
      <c r="A1144" s="1">
        <f>IFERROR(__xludf.DUMMYFUNCTION("""COMPUTED_VALUE"""),45555.66666666667)</f>
        <v>45555.66667</v>
      </c>
      <c r="B1144" s="2">
        <f>IFERROR(__xludf.DUMMYFUNCTION("""COMPUTED_VALUE"""),1475.0)</f>
        <v>1475</v>
      </c>
      <c r="C1144" s="2">
        <f>IFERROR(__xludf.DUMMYFUNCTION("""COMPUTED_VALUE"""),1490.0)</f>
        <v>1490</v>
      </c>
      <c r="D1144" s="2">
        <f>IFERROR(__xludf.DUMMYFUNCTION("""COMPUTED_VALUE"""),1435.0)</f>
        <v>1435</v>
      </c>
      <c r="E1144" s="2">
        <f>IFERROR(__xludf.DUMMYFUNCTION("""COMPUTED_VALUE"""),1490.0)</f>
        <v>1490</v>
      </c>
      <c r="F1144" s="2">
        <f>IFERROR(__xludf.DUMMYFUNCTION("""COMPUTED_VALUE"""),1.154538E8)</f>
        <v>115453800</v>
      </c>
      <c r="G1144" s="2">
        <f t="shared" si="1"/>
        <v>55</v>
      </c>
    </row>
    <row r="1145" ht="15.75" customHeight="1">
      <c r="A1145" s="1">
        <f>IFERROR(__xludf.DUMMYFUNCTION("""COMPUTED_VALUE"""),45558.66666666667)</f>
        <v>45558.66667</v>
      </c>
      <c r="B1145" s="2">
        <f>IFERROR(__xludf.DUMMYFUNCTION("""COMPUTED_VALUE"""),1490.0)</f>
        <v>1490</v>
      </c>
      <c r="C1145" s="2">
        <f>IFERROR(__xludf.DUMMYFUNCTION("""COMPUTED_VALUE"""),1500.0)</f>
        <v>1500</v>
      </c>
      <c r="D1145" s="2">
        <f>IFERROR(__xludf.DUMMYFUNCTION("""COMPUTED_VALUE"""),1475.0)</f>
        <v>1475</v>
      </c>
      <c r="E1145" s="2">
        <f>IFERROR(__xludf.DUMMYFUNCTION("""COMPUTED_VALUE"""),1490.0)</f>
        <v>1490</v>
      </c>
      <c r="F1145" s="2">
        <f>IFERROR(__xludf.DUMMYFUNCTION("""COMPUTED_VALUE"""),3.59619E7)</f>
        <v>35961900</v>
      </c>
      <c r="G1145" s="2">
        <f t="shared" si="1"/>
        <v>25</v>
      </c>
    </row>
    <row r="1146" ht="15.75" customHeight="1">
      <c r="A1146" s="1">
        <f>IFERROR(__xludf.DUMMYFUNCTION("""COMPUTED_VALUE"""),45559.66666666667)</f>
        <v>45559.66667</v>
      </c>
      <c r="B1146" s="2">
        <f>IFERROR(__xludf.DUMMYFUNCTION("""COMPUTED_VALUE"""),1500.0)</f>
        <v>1500</v>
      </c>
      <c r="C1146" s="2">
        <f>IFERROR(__xludf.DUMMYFUNCTION("""COMPUTED_VALUE"""),1500.0)</f>
        <v>1500</v>
      </c>
      <c r="D1146" s="2">
        <f>IFERROR(__xludf.DUMMYFUNCTION("""COMPUTED_VALUE"""),1480.0)</f>
        <v>1480</v>
      </c>
      <c r="E1146" s="2">
        <f>IFERROR(__xludf.DUMMYFUNCTION("""COMPUTED_VALUE"""),1485.0)</f>
        <v>1485</v>
      </c>
      <c r="F1146" s="2">
        <f>IFERROR(__xludf.DUMMYFUNCTION("""COMPUTED_VALUE"""),4.78458E7)</f>
        <v>47845800</v>
      </c>
      <c r="G1146" s="2">
        <f t="shared" si="1"/>
        <v>20</v>
      </c>
    </row>
    <row r="1147" ht="15.75" customHeight="1">
      <c r="A1147" s="1">
        <f>IFERROR(__xludf.DUMMYFUNCTION("""COMPUTED_VALUE"""),45560.66666666667)</f>
        <v>45560.66667</v>
      </c>
      <c r="B1147" s="2">
        <f>IFERROR(__xludf.DUMMYFUNCTION("""COMPUTED_VALUE"""),1490.0)</f>
        <v>1490</v>
      </c>
      <c r="C1147" s="2">
        <f>IFERROR(__xludf.DUMMYFUNCTION("""COMPUTED_VALUE"""),1500.0)</f>
        <v>1500</v>
      </c>
      <c r="D1147" s="2">
        <f>IFERROR(__xludf.DUMMYFUNCTION("""COMPUTED_VALUE"""),1460.0)</f>
        <v>1460</v>
      </c>
      <c r="E1147" s="2">
        <f>IFERROR(__xludf.DUMMYFUNCTION("""COMPUTED_VALUE"""),1470.0)</f>
        <v>1470</v>
      </c>
      <c r="F1147" s="2">
        <f>IFERROR(__xludf.DUMMYFUNCTION("""COMPUTED_VALUE"""),4.82157E7)</f>
        <v>48215700</v>
      </c>
      <c r="G1147" s="2">
        <f t="shared" si="1"/>
        <v>40</v>
      </c>
    </row>
    <row r="1148" ht="15.75" customHeight="1">
      <c r="A1148" s="1">
        <f>IFERROR(__xludf.DUMMYFUNCTION("""COMPUTED_VALUE"""),45561.66666666667)</f>
        <v>45561.66667</v>
      </c>
      <c r="B1148" s="2">
        <f>IFERROR(__xludf.DUMMYFUNCTION("""COMPUTED_VALUE"""),1475.0)</f>
        <v>1475</v>
      </c>
      <c r="C1148" s="2">
        <f>IFERROR(__xludf.DUMMYFUNCTION("""COMPUTED_VALUE"""),1480.0)</f>
        <v>1480</v>
      </c>
      <c r="D1148" s="2">
        <f>IFERROR(__xludf.DUMMYFUNCTION("""COMPUTED_VALUE"""),1465.0)</f>
        <v>1465</v>
      </c>
      <c r="E1148" s="2">
        <f>IFERROR(__xludf.DUMMYFUNCTION("""COMPUTED_VALUE"""),1480.0)</f>
        <v>1480</v>
      </c>
      <c r="F1148" s="2">
        <f>IFERROR(__xludf.DUMMYFUNCTION("""COMPUTED_VALUE"""),2.85415E7)</f>
        <v>28541500</v>
      </c>
      <c r="G1148" s="2">
        <f t="shared" si="1"/>
        <v>15</v>
      </c>
    </row>
    <row r="1149" ht="15.75" customHeight="1">
      <c r="A1149" s="1">
        <f>IFERROR(__xludf.DUMMYFUNCTION("""COMPUTED_VALUE"""),45562.66666666667)</f>
        <v>45562.66667</v>
      </c>
      <c r="B1149" s="2">
        <f>IFERROR(__xludf.DUMMYFUNCTION("""COMPUTED_VALUE"""),1480.0)</f>
        <v>1480</v>
      </c>
      <c r="C1149" s="2">
        <f>IFERROR(__xludf.DUMMYFUNCTION("""COMPUTED_VALUE"""),1485.0)</f>
        <v>1485</v>
      </c>
      <c r="D1149" s="2">
        <f>IFERROR(__xludf.DUMMYFUNCTION("""COMPUTED_VALUE"""),1465.0)</f>
        <v>1465</v>
      </c>
      <c r="E1149" s="2">
        <f>IFERROR(__xludf.DUMMYFUNCTION("""COMPUTED_VALUE"""),1470.0)</f>
        <v>1470</v>
      </c>
      <c r="F1149" s="2">
        <f>IFERROR(__xludf.DUMMYFUNCTION("""COMPUTED_VALUE"""),3.66519E7)</f>
        <v>36651900</v>
      </c>
      <c r="G1149" s="2">
        <f t="shared" si="1"/>
        <v>20</v>
      </c>
    </row>
    <row r="1150" ht="15.75" customHeight="1">
      <c r="A1150" s="1">
        <f>IFERROR(__xludf.DUMMYFUNCTION("""COMPUTED_VALUE"""),45565.66666666667)</f>
        <v>45565.66667</v>
      </c>
      <c r="B1150" s="2">
        <f>IFERROR(__xludf.DUMMYFUNCTION("""COMPUTED_VALUE"""),1475.0)</f>
        <v>1475</v>
      </c>
      <c r="C1150" s="2">
        <f>IFERROR(__xludf.DUMMYFUNCTION("""COMPUTED_VALUE"""),1485.0)</f>
        <v>1485</v>
      </c>
      <c r="D1150" s="2">
        <f>IFERROR(__xludf.DUMMYFUNCTION("""COMPUTED_VALUE"""),1435.0)</f>
        <v>1435</v>
      </c>
      <c r="E1150" s="2">
        <f>IFERROR(__xludf.DUMMYFUNCTION("""COMPUTED_VALUE"""),1435.0)</f>
        <v>1435</v>
      </c>
      <c r="F1150" s="2">
        <f>IFERROR(__xludf.DUMMYFUNCTION("""COMPUTED_VALUE"""),7.31799E7)</f>
        <v>73179900</v>
      </c>
      <c r="G1150" s="2">
        <f t="shared" si="1"/>
        <v>50</v>
      </c>
    </row>
    <row r="1151" ht="15.75" customHeight="1">
      <c r="A1151" s="1">
        <f>IFERROR(__xludf.DUMMYFUNCTION("""COMPUTED_VALUE"""),45566.66666666667)</f>
        <v>45566.66667</v>
      </c>
      <c r="B1151" s="2">
        <f>IFERROR(__xludf.DUMMYFUNCTION("""COMPUTED_VALUE"""),1440.0)</f>
        <v>1440</v>
      </c>
      <c r="C1151" s="2">
        <f>IFERROR(__xludf.DUMMYFUNCTION("""COMPUTED_VALUE"""),1455.0)</f>
        <v>1455</v>
      </c>
      <c r="D1151" s="2">
        <f>IFERROR(__xludf.DUMMYFUNCTION("""COMPUTED_VALUE"""),1435.0)</f>
        <v>1435</v>
      </c>
      <c r="E1151" s="2">
        <f>IFERROR(__xludf.DUMMYFUNCTION("""COMPUTED_VALUE"""),1450.0)</f>
        <v>1450</v>
      </c>
      <c r="F1151" s="2">
        <f>IFERROR(__xludf.DUMMYFUNCTION("""COMPUTED_VALUE"""),3.60176E7)</f>
        <v>36017600</v>
      </c>
      <c r="G1151" s="2">
        <f t="shared" si="1"/>
        <v>20</v>
      </c>
    </row>
    <row r="1152" ht="15.75" customHeight="1">
      <c r="A1152" s="1">
        <f>IFERROR(__xludf.DUMMYFUNCTION("""COMPUTED_VALUE"""),45567.66666666667)</f>
        <v>45567.66667</v>
      </c>
      <c r="B1152" s="2">
        <f>IFERROR(__xludf.DUMMYFUNCTION("""COMPUTED_VALUE"""),1450.0)</f>
        <v>1450</v>
      </c>
      <c r="C1152" s="2">
        <f>IFERROR(__xludf.DUMMYFUNCTION("""COMPUTED_VALUE"""),1470.0)</f>
        <v>1470</v>
      </c>
      <c r="D1152" s="2">
        <f>IFERROR(__xludf.DUMMYFUNCTION("""COMPUTED_VALUE"""),1430.0)</f>
        <v>1430</v>
      </c>
      <c r="E1152" s="2">
        <f>IFERROR(__xludf.DUMMYFUNCTION("""COMPUTED_VALUE"""),1440.0)</f>
        <v>1440</v>
      </c>
      <c r="F1152" s="2">
        <f>IFERROR(__xludf.DUMMYFUNCTION("""COMPUTED_VALUE"""),6.84168E7)</f>
        <v>68416800</v>
      </c>
      <c r="G1152" s="2">
        <f t="shared" si="1"/>
        <v>40</v>
      </c>
    </row>
    <row r="1153" ht="15.75" customHeight="1">
      <c r="A1153" s="1">
        <f>IFERROR(__xludf.DUMMYFUNCTION("""COMPUTED_VALUE"""),45568.66666666667)</f>
        <v>45568.66667</v>
      </c>
      <c r="B1153" s="2">
        <f>IFERROR(__xludf.DUMMYFUNCTION("""COMPUTED_VALUE"""),1445.0)</f>
        <v>1445</v>
      </c>
      <c r="C1153" s="2">
        <f>IFERROR(__xludf.DUMMYFUNCTION("""COMPUTED_VALUE"""),1465.0)</f>
        <v>1465</v>
      </c>
      <c r="D1153" s="2">
        <f>IFERROR(__xludf.DUMMYFUNCTION("""COMPUTED_VALUE"""),1440.0)</f>
        <v>1440</v>
      </c>
      <c r="E1153" s="2">
        <f>IFERROR(__xludf.DUMMYFUNCTION("""COMPUTED_VALUE"""),1460.0)</f>
        <v>1460</v>
      </c>
      <c r="F1153" s="2">
        <f>IFERROR(__xludf.DUMMYFUNCTION("""COMPUTED_VALUE"""),3.78752E7)</f>
        <v>37875200</v>
      </c>
      <c r="G1153" s="2">
        <f t="shared" si="1"/>
        <v>25</v>
      </c>
    </row>
    <row r="1154" ht="15.75" customHeight="1">
      <c r="A1154" s="1">
        <f>IFERROR(__xludf.DUMMYFUNCTION("""COMPUTED_VALUE"""),45569.66666666667)</f>
        <v>45569.66667</v>
      </c>
      <c r="B1154" s="2">
        <f>IFERROR(__xludf.DUMMYFUNCTION("""COMPUTED_VALUE"""),1465.0)</f>
        <v>1465</v>
      </c>
      <c r="C1154" s="2">
        <f>IFERROR(__xludf.DUMMYFUNCTION("""COMPUTED_VALUE"""),1515.0)</f>
        <v>1515</v>
      </c>
      <c r="D1154" s="2">
        <f>IFERROR(__xludf.DUMMYFUNCTION("""COMPUTED_VALUE"""),1460.0)</f>
        <v>1460</v>
      </c>
      <c r="E1154" s="2">
        <f>IFERROR(__xludf.DUMMYFUNCTION("""COMPUTED_VALUE"""),1500.0)</f>
        <v>1500</v>
      </c>
      <c r="F1154" s="2">
        <f>IFERROR(__xludf.DUMMYFUNCTION("""COMPUTED_VALUE"""),1.264564E8)</f>
        <v>126456400</v>
      </c>
      <c r="G1154" s="2">
        <f t="shared" si="1"/>
        <v>55</v>
      </c>
    </row>
    <row r="1155" ht="15.75" customHeight="1">
      <c r="A1155" s="1">
        <f>IFERROR(__xludf.DUMMYFUNCTION("""COMPUTED_VALUE"""),45572.66666666667)</f>
        <v>45572.66667</v>
      </c>
      <c r="B1155" s="2">
        <f>IFERROR(__xludf.DUMMYFUNCTION("""COMPUTED_VALUE"""),1515.0)</f>
        <v>1515</v>
      </c>
      <c r="C1155" s="2">
        <f>IFERROR(__xludf.DUMMYFUNCTION("""COMPUTED_VALUE"""),1535.0)</f>
        <v>1535</v>
      </c>
      <c r="D1155" s="2">
        <f>IFERROR(__xludf.DUMMYFUNCTION("""COMPUTED_VALUE"""),1500.0)</f>
        <v>1500</v>
      </c>
      <c r="E1155" s="2">
        <f>IFERROR(__xludf.DUMMYFUNCTION("""COMPUTED_VALUE"""),1505.0)</f>
        <v>1505</v>
      </c>
      <c r="F1155" s="2">
        <f>IFERROR(__xludf.DUMMYFUNCTION("""COMPUTED_VALUE"""),6.74359E7)</f>
        <v>67435900</v>
      </c>
      <c r="G1155" s="2">
        <f t="shared" si="1"/>
        <v>35</v>
      </c>
    </row>
    <row r="1156" ht="15.75" customHeight="1">
      <c r="A1156" s="1">
        <f>IFERROR(__xludf.DUMMYFUNCTION("""COMPUTED_VALUE"""),45573.66666666667)</f>
        <v>45573.66667</v>
      </c>
      <c r="B1156" s="2">
        <f>IFERROR(__xludf.DUMMYFUNCTION("""COMPUTED_VALUE"""),1505.0)</f>
        <v>1505</v>
      </c>
      <c r="C1156" s="2">
        <f>IFERROR(__xludf.DUMMYFUNCTION("""COMPUTED_VALUE"""),1510.0)</f>
        <v>1510</v>
      </c>
      <c r="D1156" s="2">
        <f>IFERROR(__xludf.DUMMYFUNCTION("""COMPUTED_VALUE"""),1485.0)</f>
        <v>1485</v>
      </c>
      <c r="E1156" s="2">
        <f>IFERROR(__xludf.DUMMYFUNCTION("""COMPUTED_VALUE"""),1505.0)</f>
        <v>1505</v>
      </c>
      <c r="F1156" s="2">
        <f>IFERROR(__xludf.DUMMYFUNCTION("""COMPUTED_VALUE"""),6.04138E7)</f>
        <v>60413800</v>
      </c>
      <c r="G1156" s="2">
        <f t="shared" si="1"/>
        <v>25</v>
      </c>
    </row>
    <row r="1157" ht="15.75" customHeight="1">
      <c r="A1157" s="1">
        <f>IFERROR(__xludf.DUMMYFUNCTION("""COMPUTED_VALUE"""),45574.66666666667)</f>
        <v>45574.66667</v>
      </c>
      <c r="B1157" s="2">
        <f>IFERROR(__xludf.DUMMYFUNCTION("""COMPUTED_VALUE"""),1510.0)</f>
        <v>1510</v>
      </c>
      <c r="C1157" s="2">
        <f>IFERROR(__xludf.DUMMYFUNCTION("""COMPUTED_VALUE"""),1515.0)</f>
        <v>1515</v>
      </c>
      <c r="D1157" s="2">
        <f>IFERROR(__xludf.DUMMYFUNCTION("""COMPUTED_VALUE"""),1490.0)</f>
        <v>1490</v>
      </c>
      <c r="E1157" s="2">
        <f>IFERROR(__xludf.DUMMYFUNCTION("""COMPUTED_VALUE"""),1505.0)</f>
        <v>1505</v>
      </c>
      <c r="F1157" s="2">
        <f>IFERROR(__xludf.DUMMYFUNCTION("""COMPUTED_VALUE"""),2.98625E7)</f>
        <v>29862500</v>
      </c>
      <c r="G1157" s="2">
        <f t="shared" si="1"/>
        <v>25</v>
      </c>
    </row>
    <row r="1158" ht="15.75" customHeight="1">
      <c r="A1158" s="1">
        <f>IFERROR(__xludf.DUMMYFUNCTION("""COMPUTED_VALUE"""),45575.66666666667)</f>
        <v>45575.66667</v>
      </c>
      <c r="B1158" s="2">
        <f>IFERROR(__xludf.DUMMYFUNCTION("""COMPUTED_VALUE"""),1510.0)</f>
        <v>1510</v>
      </c>
      <c r="C1158" s="2">
        <f>IFERROR(__xludf.DUMMYFUNCTION("""COMPUTED_VALUE"""),1510.0)</f>
        <v>1510</v>
      </c>
      <c r="D1158" s="2">
        <f>IFERROR(__xludf.DUMMYFUNCTION("""COMPUTED_VALUE"""),1490.0)</f>
        <v>1490</v>
      </c>
      <c r="E1158" s="2">
        <f>IFERROR(__xludf.DUMMYFUNCTION("""COMPUTED_VALUE"""),1505.0)</f>
        <v>1505</v>
      </c>
      <c r="F1158" s="2">
        <f>IFERROR(__xludf.DUMMYFUNCTION("""COMPUTED_VALUE"""),3.39549E7)</f>
        <v>33954900</v>
      </c>
      <c r="G1158" s="2">
        <f t="shared" si="1"/>
        <v>20</v>
      </c>
    </row>
    <row r="1159" ht="15.75" customHeight="1">
      <c r="A1159" s="1">
        <f>IFERROR(__xludf.DUMMYFUNCTION("""COMPUTED_VALUE"""),45576.66666666667)</f>
        <v>45576.66667</v>
      </c>
      <c r="B1159" s="2">
        <f>IFERROR(__xludf.DUMMYFUNCTION("""COMPUTED_VALUE"""),1510.0)</f>
        <v>1510</v>
      </c>
      <c r="C1159" s="2">
        <f>IFERROR(__xludf.DUMMYFUNCTION("""COMPUTED_VALUE"""),1540.0)</f>
        <v>1540</v>
      </c>
      <c r="D1159" s="2">
        <f>IFERROR(__xludf.DUMMYFUNCTION("""COMPUTED_VALUE"""),1505.0)</f>
        <v>1505</v>
      </c>
      <c r="E1159" s="2">
        <f>IFERROR(__xludf.DUMMYFUNCTION("""COMPUTED_VALUE"""),1520.0)</f>
        <v>1520</v>
      </c>
      <c r="F1159" s="2">
        <f>IFERROR(__xludf.DUMMYFUNCTION("""COMPUTED_VALUE"""),5.00074E7)</f>
        <v>50007400</v>
      </c>
      <c r="G1159" s="2">
        <f t="shared" si="1"/>
        <v>35</v>
      </c>
    </row>
    <row r="1160" ht="15.75" customHeight="1">
      <c r="A1160" s="1">
        <f>IFERROR(__xludf.DUMMYFUNCTION("""COMPUTED_VALUE"""),45579.66666666667)</f>
        <v>45579.66667</v>
      </c>
      <c r="B1160" s="2">
        <f>IFERROR(__xludf.DUMMYFUNCTION("""COMPUTED_VALUE"""),1530.0)</f>
        <v>1530</v>
      </c>
      <c r="C1160" s="2">
        <f>IFERROR(__xludf.DUMMYFUNCTION("""COMPUTED_VALUE"""),1555.0)</f>
        <v>1555</v>
      </c>
      <c r="D1160" s="2">
        <f>IFERROR(__xludf.DUMMYFUNCTION("""COMPUTED_VALUE"""),1515.0)</f>
        <v>1515</v>
      </c>
      <c r="E1160" s="2">
        <f>IFERROR(__xludf.DUMMYFUNCTION("""COMPUTED_VALUE"""),1545.0)</f>
        <v>1545</v>
      </c>
      <c r="F1160" s="2">
        <f>IFERROR(__xludf.DUMMYFUNCTION("""COMPUTED_VALUE"""),8.34926E7)</f>
        <v>83492600</v>
      </c>
      <c r="G1160" s="2">
        <f t="shared" si="1"/>
        <v>40</v>
      </c>
    </row>
    <row r="1161" ht="15.75" customHeight="1">
      <c r="A1161" s="1">
        <f>IFERROR(__xludf.DUMMYFUNCTION("""COMPUTED_VALUE"""),45580.66666666667)</f>
        <v>45580.66667</v>
      </c>
      <c r="B1161" s="2">
        <f>IFERROR(__xludf.DUMMYFUNCTION("""COMPUTED_VALUE"""),1545.0)</f>
        <v>1545</v>
      </c>
      <c r="C1161" s="2">
        <f>IFERROR(__xludf.DUMMYFUNCTION("""COMPUTED_VALUE"""),1550.0)</f>
        <v>1550</v>
      </c>
      <c r="D1161" s="2">
        <f>IFERROR(__xludf.DUMMYFUNCTION("""COMPUTED_VALUE"""),1525.0)</f>
        <v>1525</v>
      </c>
      <c r="E1161" s="2">
        <f>IFERROR(__xludf.DUMMYFUNCTION("""COMPUTED_VALUE"""),1530.0)</f>
        <v>1530</v>
      </c>
      <c r="F1161" s="2">
        <f>IFERROR(__xludf.DUMMYFUNCTION("""COMPUTED_VALUE"""),3.67787E7)</f>
        <v>36778700</v>
      </c>
      <c r="G1161" s="2">
        <f t="shared" si="1"/>
        <v>25</v>
      </c>
    </row>
    <row r="1162" ht="15.75" customHeight="1">
      <c r="A1162" s="1">
        <f>IFERROR(__xludf.DUMMYFUNCTION("""COMPUTED_VALUE"""),45581.66666666667)</f>
        <v>45581.66667</v>
      </c>
      <c r="B1162" s="2">
        <f>IFERROR(__xludf.DUMMYFUNCTION("""COMPUTED_VALUE"""),1530.0)</f>
        <v>1530</v>
      </c>
      <c r="C1162" s="2">
        <f>IFERROR(__xludf.DUMMYFUNCTION("""COMPUTED_VALUE"""),1545.0)</f>
        <v>1545</v>
      </c>
      <c r="D1162" s="2">
        <f>IFERROR(__xludf.DUMMYFUNCTION("""COMPUTED_VALUE"""),1505.0)</f>
        <v>1505</v>
      </c>
      <c r="E1162" s="2">
        <f>IFERROR(__xludf.DUMMYFUNCTION("""COMPUTED_VALUE"""),1545.0)</f>
        <v>1545</v>
      </c>
      <c r="F1162" s="2">
        <f>IFERROR(__xludf.DUMMYFUNCTION("""COMPUTED_VALUE"""),6.36143E7)</f>
        <v>63614300</v>
      </c>
      <c r="G1162" s="2">
        <f t="shared" si="1"/>
        <v>40</v>
      </c>
    </row>
    <row r="1163" ht="15.75" customHeight="1">
      <c r="A1163" s="1">
        <f>IFERROR(__xludf.DUMMYFUNCTION("""COMPUTED_VALUE"""),45582.66666666667)</f>
        <v>45582.66667</v>
      </c>
      <c r="B1163" s="2">
        <f>IFERROR(__xludf.DUMMYFUNCTION("""COMPUTED_VALUE"""),1550.0)</f>
        <v>1550</v>
      </c>
      <c r="C1163" s="2">
        <f>IFERROR(__xludf.DUMMYFUNCTION("""COMPUTED_VALUE"""),1555.0)</f>
        <v>1555</v>
      </c>
      <c r="D1163" s="2">
        <f>IFERROR(__xludf.DUMMYFUNCTION("""COMPUTED_VALUE"""),1525.0)</f>
        <v>1525</v>
      </c>
      <c r="E1163" s="2">
        <f>IFERROR(__xludf.DUMMYFUNCTION("""COMPUTED_VALUE"""),1535.0)</f>
        <v>1535</v>
      </c>
      <c r="F1163" s="2">
        <f>IFERROR(__xludf.DUMMYFUNCTION("""COMPUTED_VALUE"""),5.54259E7)</f>
        <v>55425900</v>
      </c>
      <c r="G1163" s="2">
        <f t="shared" si="1"/>
        <v>30</v>
      </c>
    </row>
    <row r="1164" ht="15.75" customHeight="1">
      <c r="A1164" s="1">
        <f>IFERROR(__xludf.DUMMYFUNCTION("""COMPUTED_VALUE"""),45583.66666666667)</f>
        <v>45583.66667</v>
      </c>
      <c r="B1164" s="2">
        <f>IFERROR(__xludf.DUMMYFUNCTION("""COMPUTED_VALUE"""),1535.0)</f>
        <v>1535</v>
      </c>
      <c r="C1164" s="2">
        <f>IFERROR(__xludf.DUMMYFUNCTION("""COMPUTED_VALUE"""),1535.0)</f>
        <v>1535</v>
      </c>
      <c r="D1164" s="2">
        <f>IFERROR(__xludf.DUMMYFUNCTION("""COMPUTED_VALUE"""),1510.0)</f>
        <v>1510</v>
      </c>
      <c r="E1164" s="2">
        <f>IFERROR(__xludf.DUMMYFUNCTION("""COMPUTED_VALUE"""),1525.0)</f>
        <v>1525</v>
      </c>
      <c r="F1164" s="2">
        <f>IFERROR(__xludf.DUMMYFUNCTION("""COMPUTED_VALUE"""),3.3027E7)</f>
        <v>33027000</v>
      </c>
      <c r="G1164" s="2">
        <f t="shared" si="1"/>
        <v>25</v>
      </c>
    </row>
    <row r="1165" ht="15.75" customHeight="1">
      <c r="A1165" s="1">
        <f>IFERROR(__xludf.DUMMYFUNCTION("""COMPUTED_VALUE"""),45586.66666666667)</f>
        <v>45586.66667</v>
      </c>
      <c r="B1165" s="2">
        <f>IFERROR(__xludf.DUMMYFUNCTION("""COMPUTED_VALUE"""),1525.0)</f>
        <v>1525</v>
      </c>
      <c r="C1165" s="2">
        <f>IFERROR(__xludf.DUMMYFUNCTION("""COMPUTED_VALUE"""),1555.0)</f>
        <v>1555</v>
      </c>
      <c r="D1165" s="2">
        <f>IFERROR(__xludf.DUMMYFUNCTION("""COMPUTED_VALUE"""),1515.0)</f>
        <v>1515</v>
      </c>
      <c r="E1165" s="2">
        <f>IFERROR(__xludf.DUMMYFUNCTION("""COMPUTED_VALUE"""),1545.0)</f>
        <v>1545</v>
      </c>
      <c r="F1165" s="2">
        <f>IFERROR(__xludf.DUMMYFUNCTION("""COMPUTED_VALUE"""),4.93007E7)</f>
        <v>49300700</v>
      </c>
      <c r="G1165" s="2">
        <f t="shared" si="1"/>
        <v>40</v>
      </c>
    </row>
    <row r="1166" ht="15.75" customHeight="1">
      <c r="A1166" s="1">
        <f>IFERROR(__xludf.DUMMYFUNCTION("""COMPUTED_VALUE"""),45587.66666666667)</f>
        <v>45587.66667</v>
      </c>
      <c r="B1166" s="2">
        <f>IFERROR(__xludf.DUMMYFUNCTION("""COMPUTED_VALUE"""),1550.0)</f>
        <v>1550</v>
      </c>
      <c r="C1166" s="2">
        <f>IFERROR(__xludf.DUMMYFUNCTION("""COMPUTED_VALUE"""),1560.0)</f>
        <v>1560</v>
      </c>
      <c r="D1166" s="2">
        <f>IFERROR(__xludf.DUMMYFUNCTION("""COMPUTED_VALUE"""),1535.0)</f>
        <v>1535</v>
      </c>
      <c r="E1166" s="2">
        <f>IFERROR(__xludf.DUMMYFUNCTION("""COMPUTED_VALUE"""),1545.0)</f>
        <v>1545</v>
      </c>
      <c r="F1166" s="2">
        <f>IFERROR(__xludf.DUMMYFUNCTION("""COMPUTED_VALUE"""),3.34811E7)</f>
        <v>33481100</v>
      </c>
      <c r="G1166" s="2">
        <f t="shared" si="1"/>
        <v>25</v>
      </c>
    </row>
    <row r="1167" ht="15.75" customHeight="1">
      <c r="A1167" s="1">
        <f>IFERROR(__xludf.DUMMYFUNCTION("""COMPUTED_VALUE"""),45588.66666666667)</f>
        <v>45588.66667</v>
      </c>
      <c r="B1167" s="2">
        <f>IFERROR(__xludf.DUMMYFUNCTION("""COMPUTED_VALUE"""),1550.0)</f>
        <v>1550</v>
      </c>
      <c r="C1167" s="2">
        <f>IFERROR(__xludf.DUMMYFUNCTION("""COMPUTED_VALUE"""),1570.0)</f>
        <v>1570</v>
      </c>
      <c r="D1167" s="2">
        <f>IFERROR(__xludf.DUMMYFUNCTION("""COMPUTED_VALUE"""),1540.0)</f>
        <v>1540</v>
      </c>
      <c r="E1167" s="2">
        <f>IFERROR(__xludf.DUMMYFUNCTION("""COMPUTED_VALUE"""),1550.0)</f>
        <v>1550</v>
      </c>
      <c r="F1167" s="2">
        <f>IFERROR(__xludf.DUMMYFUNCTION("""COMPUTED_VALUE"""),5.77632E7)</f>
        <v>57763200</v>
      </c>
      <c r="G1167" s="2">
        <f t="shared" si="1"/>
        <v>30</v>
      </c>
    </row>
    <row r="1168" ht="15.75" customHeight="1">
      <c r="A1168" s="1">
        <f>IFERROR(__xludf.DUMMYFUNCTION("""COMPUTED_VALUE"""),45589.66666666667)</f>
        <v>45589.66667</v>
      </c>
      <c r="B1168" s="2">
        <f>IFERROR(__xludf.DUMMYFUNCTION("""COMPUTED_VALUE"""),1555.0)</f>
        <v>1555</v>
      </c>
      <c r="C1168" s="2">
        <f>IFERROR(__xludf.DUMMYFUNCTION("""COMPUTED_VALUE"""),1555.0)</f>
        <v>1555</v>
      </c>
      <c r="D1168" s="2">
        <f>IFERROR(__xludf.DUMMYFUNCTION("""COMPUTED_VALUE"""),1530.0)</f>
        <v>1530</v>
      </c>
      <c r="E1168" s="2">
        <f>IFERROR(__xludf.DUMMYFUNCTION("""COMPUTED_VALUE"""),1530.0)</f>
        <v>1530</v>
      </c>
      <c r="F1168" s="2">
        <f>IFERROR(__xludf.DUMMYFUNCTION("""COMPUTED_VALUE"""),2.55208E7)</f>
        <v>25520800</v>
      </c>
      <c r="G1168" s="2">
        <f t="shared" si="1"/>
        <v>25</v>
      </c>
    </row>
    <row r="1169" ht="15.75" customHeight="1">
      <c r="A1169" s="1">
        <f>IFERROR(__xludf.DUMMYFUNCTION("""COMPUTED_VALUE"""),45590.66666666667)</f>
        <v>45590.66667</v>
      </c>
      <c r="B1169" s="2">
        <f>IFERROR(__xludf.DUMMYFUNCTION("""COMPUTED_VALUE"""),1530.0)</f>
        <v>1530</v>
      </c>
      <c r="C1169" s="2">
        <f>IFERROR(__xludf.DUMMYFUNCTION("""COMPUTED_VALUE"""),1535.0)</f>
        <v>1535</v>
      </c>
      <c r="D1169" s="2">
        <f>IFERROR(__xludf.DUMMYFUNCTION("""COMPUTED_VALUE"""),1500.0)</f>
        <v>1500</v>
      </c>
      <c r="E1169" s="2">
        <f>IFERROR(__xludf.DUMMYFUNCTION("""COMPUTED_VALUE"""),1500.0)</f>
        <v>1500</v>
      </c>
      <c r="F1169" s="2">
        <f>IFERROR(__xludf.DUMMYFUNCTION("""COMPUTED_VALUE"""),3.29791E7)</f>
        <v>32979100</v>
      </c>
      <c r="G1169" s="2">
        <f t="shared" si="1"/>
        <v>35</v>
      </c>
    </row>
    <row r="1170" ht="15.75" customHeight="1">
      <c r="A1170" s="1">
        <f>IFERROR(__xludf.DUMMYFUNCTION("""COMPUTED_VALUE"""),45593.66666666667)</f>
        <v>45593.66667</v>
      </c>
      <c r="B1170" s="2">
        <f>IFERROR(__xludf.DUMMYFUNCTION("""COMPUTED_VALUE"""),1490.0)</f>
        <v>1490</v>
      </c>
      <c r="C1170" s="2">
        <f>IFERROR(__xludf.DUMMYFUNCTION("""COMPUTED_VALUE"""),1510.0)</f>
        <v>1510</v>
      </c>
      <c r="D1170" s="2">
        <f>IFERROR(__xludf.DUMMYFUNCTION("""COMPUTED_VALUE"""),1490.0)</f>
        <v>1490</v>
      </c>
      <c r="E1170" s="2">
        <f>IFERROR(__xludf.DUMMYFUNCTION("""COMPUTED_VALUE"""),1500.0)</f>
        <v>1500</v>
      </c>
      <c r="F1170" s="2">
        <f>IFERROR(__xludf.DUMMYFUNCTION("""COMPUTED_VALUE"""),2.03829E7)</f>
        <v>20382900</v>
      </c>
      <c r="G1170" s="2">
        <f t="shared" si="1"/>
        <v>20</v>
      </c>
    </row>
    <row r="1171" ht="15.75" customHeight="1">
      <c r="A1171" s="1">
        <f>IFERROR(__xludf.DUMMYFUNCTION("""COMPUTED_VALUE"""),45594.66666666667)</f>
        <v>45594.66667</v>
      </c>
      <c r="B1171" s="2">
        <f>IFERROR(__xludf.DUMMYFUNCTION("""COMPUTED_VALUE"""),1505.0)</f>
        <v>1505</v>
      </c>
      <c r="C1171" s="2">
        <f>IFERROR(__xludf.DUMMYFUNCTION("""COMPUTED_VALUE"""),1510.0)</f>
        <v>1510</v>
      </c>
      <c r="D1171" s="2">
        <f>IFERROR(__xludf.DUMMYFUNCTION("""COMPUTED_VALUE"""),1485.0)</f>
        <v>1485</v>
      </c>
      <c r="E1171" s="2">
        <f>IFERROR(__xludf.DUMMYFUNCTION("""COMPUTED_VALUE"""),1495.0)</f>
        <v>1495</v>
      </c>
      <c r="F1171" s="2">
        <f>IFERROR(__xludf.DUMMYFUNCTION("""COMPUTED_VALUE"""),1.85444E7)</f>
        <v>18544400</v>
      </c>
      <c r="G1171" s="2">
        <f t="shared" si="1"/>
        <v>25</v>
      </c>
    </row>
    <row r="1172" ht="15.75" customHeight="1">
      <c r="A1172" s="1">
        <f>IFERROR(__xludf.DUMMYFUNCTION("""COMPUTED_VALUE"""),45595.66666666667)</f>
        <v>45595.66667</v>
      </c>
      <c r="B1172" s="2">
        <f>IFERROR(__xludf.DUMMYFUNCTION("""COMPUTED_VALUE"""),1495.0)</f>
        <v>1495</v>
      </c>
      <c r="C1172" s="2">
        <f>IFERROR(__xludf.DUMMYFUNCTION("""COMPUTED_VALUE"""),1515.0)</f>
        <v>1515</v>
      </c>
      <c r="D1172" s="2">
        <f>IFERROR(__xludf.DUMMYFUNCTION("""COMPUTED_VALUE"""),1475.0)</f>
        <v>1475</v>
      </c>
      <c r="E1172" s="2">
        <f>IFERROR(__xludf.DUMMYFUNCTION("""COMPUTED_VALUE"""),1505.0)</f>
        <v>1505</v>
      </c>
      <c r="F1172" s="2">
        <f>IFERROR(__xludf.DUMMYFUNCTION("""COMPUTED_VALUE"""),2.60415E7)</f>
        <v>26041500</v>
      </c>
      <c r="G1172" s="2">
        <f t="shared" si="1"/>
        <v>40</v>
      </c>
    </row>
    <row r="1173" ht="15.75" customHeight="1">
      <c r="A1173" s="1">
        <f>IFERROR(__xludf.DUMMYFUNCTION("""COMPUTED_VALUE"""),45596.66666666667)</f>
        <v>45596.66667</v>
      </c>
      <c r="B1173" s="2">
        <f>IFERROR(__xludf.DUMMYFUNCTION("""COMPUTED_VALUE"""),1510.0)</f>
        <v>1510</v>
      </c>
      <c r="C1173" s="2">
        <f>IFERROR(__xludf.DUMMYFUNCTION("""COMPUTED_VALUE"""),1565.0)</f>
        <v>1565</v>
      </c>
      <c r="D1173" s="2">
        <f>IFERROR(__xludf.DUMMYFUNCTION("""COMPUTED_VALUE"""),1505.0)</f>
        <v>1505</v>
      </c>
      <c r="E1173" s="2">
        <f>IFERROR(__xludf.DUMMYFUNCTION("""COMPUTED_VALUE"""),1565.0)</f>
        <v>1565</v>
      </c>
      <c r="F1173" s="2">
        <f>IFERROR(__xludf.DUMMYFUNCTION("""COMPUTED_VALUE"""),8.8125E7)</f>
        <v>88125000</v>
      </c>
      <c r="G1173" s="2">
        <f t="shared" si="1"/>
        <v>60</v>
      </c>
    </row>
    <row r="1174" ht="15.75" customHeight="1">
      <c r="A1174" s="1">
        <f>IFERROR(__xludf.DUMMYFUNCTION("""COMPUTED_VALUE"""),45597.66666666667)</f>
        <v>45597.66667</v>
      </c>
      <c r="B1174" s="2">
        <f>IFERROR(__xludf.DUMMYFUNCTION("""COMPUTED_VALUE"""),1565.0)</f>
        <v>1565</v>
      </c>
      <c r="C1174" s="2">
        <f>IFERROR(__xludf.DUMMYFUNCTION("""COMPUTED_VALUE"""),1570.0)</f>
        <v>1570</v>
      </c>
      <c r="D1174" s="2">
        <f>IFERROR(__xludf.DUMMYFUNCTION("""COMPUTED_VALUE"""),1530.0)</f>
        <v>1530</v>
      </c>
      <c r="E1174" s="2">
        <f>IFERROR(__xludf.DUMMYFUNCTION("""COMPUTED_VALUE"""),1530.0)</f>
        <v>1530</v>
      </c>
      <c r="F1174" s="2">
        <f>IFERROR(__xludf.DUMMYFUNCTION("""COMPUTED_VALUE"""),2.9992E7)</f>
        <v>29992000</v>
      </c>
      <c r="G1174" s="2">
        <f t="shared" si="1"/>
        <v>40</v>
      </c>
    </row>
    <row r="1175" ht="15.75" customHeight="1">
      <c r="A1175" s="1">
        <f>IFERROR(__xludf.DUMMYFUNCTION("""COMPUTED_VALUE"""),45600.66666666667)</f>
        <v>45600.66667</v>
      </c>
      <c r="B1175" s="2">
        <f>IFERROR(__xludf.DUMMYFUNCTION("""COMPUTED_VALUE"""),1530.0)</f>
        <v>1530</v>
      </c>
      <c r="C1175" s="2">
        <f>IFERROR(__xludf.DUMMYFUNCTION("""COMPUTED_VALUE"""),1530.0)</f>
        <v>1530</v>
      </c>
      <c r="D1175" s="2">
        <f>IFERROR(__xludf.DUMMYFUNCTION("""COMPUTED_VALUE"""),1500.0)</f>
        <v>1500</v>
      </c>
      <c r="E1175" s="2">
        <f>IFERROR(__xludf.DUMMYFUNCTION("""COMPUTED_VALUE"""),1510.0)</f>
        <v>1510</v>
      </c>
      <c r="F1175" s="2">
        <f>IFERROR(__xludf.DUMMYFUNCTION("""COMPUTED_VALUE"""),2.90523E7)</f>
        <v>29052300</v>
      </c>
      <c r="G1175" s="2">
        <f t="shared" si="1"/>
        <v>30</v>
      </c>
    </row>
    <row r="1176" ht="15.75" customHeight="1">
      <c r="A1176" s="1">
        <f>IFERROR(__xludf.DUMMYFUNCTION("""COMPUTED_VALUE"""),45601.66666666667)</f>
        <v>45601.66667</v>
      </c>
      <c r="B1176" s="2">
        <f>IFERROR(__xludf.DUMMYFUNCTION("""COMPUTED_VALUE"""),1510.0)</f>
        <v>1510</v>
      </c>
      <c r="C1176" s="2">
        <f>IFERROR(__xludf.DUMMYFUNCTION("""COMPUTED_VALUE"""),1525.0)</f>
        <v>1525</v>
      </c>
      <c r="D1176" s="2">
        <f>IFERROR(__xludf.DUMMYFUNCTION("""COMPUTED_VALUE"""),1505.0)</f>
        <v>1505</v>
      </c>
      <c r="E1176" s="2">
        <f>IFERROR(__xludf.DUMMYFUNCTION("""COMPUTED_VALUE"""),1515.0)</f>
        <v>1515</v>
      </c>
      <c r="F1176" s="2">
        <f>IFERROR(__xludf.DUMMYFUNCTION("""COMPUTED_VALUE"""),1.39113E7)</f>
        <v>13911300</v>
      </c>
      <c r="G1176" s="2">
        <f t="shared" si="1"/>
        <v>20</v>
      </c>
    </row>
    <row r="1177" ht="15.75" customHeight="1">
      <c r="A1177" s="1">
        <f>IFERROR(__xludf.DUMMYFUNCTION("""COMPUTED_VALUE"""),45602.66666666667)</f>
        <v>45602.66667</v>
      </c>
      <c r="B1177" s="2">
        <f>IFERROR(__xludf.DUMMYFUNCTION("""COMPUTED_VALUE"""),1515.0)</f>
        <v>1515</v>
      </c>
      <c r="C1177" s="2">
        <f>IFERROR(__xludf.DUMMYFUNCTION("""COMPUTED_VALUE"""),1530.0)</f>
        <v>1530</v>
      </c>
      <c r="D1177" s="2">
        <f>IFERROR(__xludf.DUMMYFUNCTION("""COMPUTED_VALUE"""),1505.0)</f>
        <v>1505</v>
      </c>
      <c r="E1177" s="2">
        <f>IFERROR(__xludf.DUMMYFUNCTION("""COMPUTED_VALUE"""),1515.0)</f>
        <v>1515</v>
      </c>
      <c r="F1177" s="2">
        <f>IFERROR(__xludf.DUMMYFUNCTION("""COMPUTED_VALUE"""),2.45171E7)</f>
        <v>24517100</v>
      </c>
      <c r="G1177" s="2">
        <f t="shared" si="1"/>
        <v>25</v>
      </c>
    </row>
    <row r="1178" ht="15.75" customHeight="1">
      <c r="A1178" s="1">
        <f>IFERROR(__xludf.DUMMYFUNCTION("""COMPUTED_VALUE"""),45603.66666666667)</f>
        <v>45603.66667</v>
      </c>
      <c r="B1178" s="2">
        <f>IFERROR(__xludf.DUMMYFUNCTION("""COMPUTED_VALUE"""),1515.0)</f>
        <v>1515</v>
      </c>
      <c r="C1178" s="2">
        <f>IFERROR(__xludf.DUMMYFUNCTION("""COMPUTED_VALUE"""),1575.0)</f>
        <v>1575</v>
      </c>
      <c r="D1178" s="2">
        <f>IFERROR(__xludf.DUMMYFUNCTION("""COMPUTED_VALUE"""),1515.0)</f>
        <v>1515</v>
      </c>
      <c r="E1178" s="2">
        <f>IFERROR(__xludf.DUMMYFUNCTION("""COMPUTED_VALUE"""),1560.0)</f>
        <v>1560</v>
      </c>
      <c r="F1178" s="2">
        <f>IFERROR(__xludf.DUMMYFUNCTION("""COMPUTED_VALUE"""),8.13395E7)</f>
        <v>81339500</v>
      </c>
      <c r="G1178" s="2">
        <f t="shared" si="1"/>
        <v>60</v>
      </c>
    </row>
    <row r="1179" ht="15.75" customHeight="1">
      <c r="A1179" s="1">
        <f>IFERROR(__xludf.DUMMYFUNCTION("""COMPUTED_VALUE"""),45604.66666666667)</f>
        <v>45604.66667</v>
      </c>
      <c r="B1179" s="2">
        <f>IFERROR(__xludf.DUMMYFUNCTION("""COMPUTED_VALUE"""),1570.0)</f>
        <v>1570</v>
      </c>
      <c r="C1179" s="2">
        <f>IFERROR(__xludf.DUMMYFUNCTION("""COMPUTED_VALUE"""),1570.0)</f>
        <v>1570</v>
      </c>
      <c r="D1179" s="2">
        <f>IFERROR(__xludf.DUMMYFUNCTION("""COMPUTED_VALUE"""),1520.0)</f>
        <v>1520</v>
      </c>
      <c r="E1179" s="2">
        <f>IFERROR(__xludf.DUMMYFUNCTION("""COMPUTED_VALUE"""),1530.0)</f>
        <v>1530</v>
      </c>
      <c r="F1179" s="2">
        <f>IFERROR(__xludf.DUMMYFUNCTION("""COMPUTED_VALUE"""),3.00767E7)</f>
        <v>30076700</v>
      </c>
      <c r="G1179" s="2">
        <f t="shared" si="1"/>
        <v>50</v>
      </c>
    </row>
    <row r="1180" ht="15.75" customHeight="1">
      <c r="A1180" s="1">
        <f>IFERROR(__xludf.DUMMYFUNCTION("""COMPUTED_VALUE"""),45607.66666666667)</f>
        <v>45607.66667</v>
      </c>
      <c r="B1180" s="2">
        <f>IFERROR(__xludf.DUMMYFUNCTION("""COMPUTED_VALUE"""),1530.0)</f>
        <v>1530</v>
      </c>
      <c r="C1180" s="2">
        <f>IFERROR(__xludf.DUMMYFUNCTION("""COMPUTED_VALUE"""),1530.0)</f>
        <v>1530</v>
      </c>
      <c r="D1180" s="2">
        <f>IFERROR(__xludf.DUMMYFUNCTION("""COMPUTED_VALUE"""),1470.0)</f>
        <v>1470</v>
      </c>
      <c r="E1180" s="2">
        <f>IFERROR(__xludf.DUMMYFUNCTION("""COMPUTED_VALUE"""),1495.0)</f>
        <v>1495</v>
      </c>
      <c r="F1180" s="2">
        <f>IFERROR(__xludf.DUMMYFUNCTION("""COMPUTED_VALUE"""),4.76468E7)</f>
        <v>47646800</v>
      </c>
      <c r="G1180" s="2">
        <f t="shared" si="1"/>
        <v>60</v>
      </c>
    </row>
    <row r="1181" ht="15.75" customHeight="1">
      <c r="A1181" s="1">
        <f>IFERROR(__xludf.DUMMYFUNCTION("""COMPUTED_VALUE"""),45608.66666666667)</f>
        <v>45608.66667</v>
      </c>
      <c r="B1181" s="2">
        <f>IFERROR(__xludf.DUMMYFUNCTION("""COMPUTED_VALUE"""),1495.0)</f>
        <v>1495</v>
      </c>
      <c r="C1181" s="2">
        <f>IFERROR(__xludf.DUMMYFUNCTION("""COMPUTED_VALUE"""),1530.0)</f>
        <v>1530</v>
      </c>
      <c r="D1181" s="2">
        <f>IFERROR(__xludf.DUMMYFUNCTION("""COMPUTED_VALUE"""),1490.0)</f>
        <v>1490</v>
      </c>
      <c r="E1181" s="2">
        <f>IFERROR(__xludf.DUMMYFUNCTION("""COMPUTED_VALUE"""),1525.0)</f>
        <v>1525</v>
      </c>
      <c r="F1181" s="2">
        <f>IFERROR(__xludf.DUMMYFUNCTION("""COMPUTED_VALUE"""),3.06098E7)</f>
        <v>30609800</v>
      </c>
      <c r="G1181" s="2">
        <f t="shared" si="1"/>
        <v>40</v>
      </c>
    </row>
    <row r="1182" ht="15.75" customHeight="1">
      <c r="A1182" s="1">
        <f>IFERROR(__xludf.DUMMYFUNCTION("""COMPUTED_VALUE"""),45609.66666666667)</f>
        <v>45609.66667</v>
      </c>
      <c r="B1182" s="2">
        <f>IFERROR(__xludf.DUMMYFUNCTION("""COMPUTED_VALUE"""),1525.0)</f>
        <v>1525</v>
      </c>
      <c r="C1182" s="2">
        <f>IFERROR(__xludf.DUMMYFUNCTION("""COMPUTED_VALUE"""),1525.0)</f>
        <v>1525</v>
      </c>
      <c r="D1182" s="2">
        <f>IFERROR(__xludf.DUMMYFUNCTION("""COMPUTED_VALUE"""),1505.0)</f>
        <v>1505</v>
      </c>
      <c r="E1182" s="2">
        <f>IFERROR(__xludf.DUMMYFUNCTION("""COMPUTED_VALUE"""),1505.0)</f>
        <v>1505</v>
      </c>
      <c r="F1182" s="2">
        <f>IFERROR(__xludf.DUMMYFUNCTION("""COMPUTED_VALUE"""),1.11839E7)</f>
        <v>11183900</v>
      </c>
      <c r="G1182" s="2">
        <f t="shared" si="1"/>
        <v>20</v>
      </c>
    </row>
    <row r="1183" ht="15.75" customHeight="1">
      <c r="A1183" s="1">
        <f>IFERROR(__xludf.DUMMYFUNCTION("""COMPUTED_VALUE"""),45610.66666666667)</f>
        <v>45610.66667</v>
      </c>
      <c r="B1183" s="2">
        <f>IFERROR(__xludf.DUMMYFUNCTION("""COMPUTED_VALUE"""),1505.0)</f>
        <v>1505</v>
      </c>
      <c r="C1183" s="2">
        <f>IFERROR(__xludf.DUMMYFUNCTION("""COMPUTED_VALUE"""),1510.0)</f>
        <v>1510</v>
      </c>
      <c r="D1183" s="2">
        <f>IFERROR(__xludf.DUMMYFUNCTION("""COMPUTED_VALUE"""),1480.0)</f>
        <v>1480</v>
      </c>
      <c r="E1183" s="2">
        <f>IFERROR(__xludf.DUMMYFUNCTION("""COMPUTED_VALUE"""),1480.0)</f>
        <v>1480</v>
      </c>
      <c r="F1183" s="2">
        <f>IFERROR(__xludf.DUMMYFUNCTION("""COMPUTED_VALUE"""),2.20828E7)</f>
        <v>22082800</v>
      </c>
      <c r="G1183" s="2">
        <f t="shared" si="1"/>
        <v>30</v>
      </c>
    </row>
    <row r="1184" ht="15.75" customHeight="1">
      <c r="A1184" s="1">
        <f>IFERROR(__xludf.DUMMYFUNCTION("""COMPUTED_VALUE"""),45611.66666666667)</f>
        <v>45611.66667</v>
      </c>
      <c r="B1184" s="2">
        <f>IFERROR(__xludf.DUMMYFUNCTION("""COMPUTED_VALUE"""),1480.0)</f>
        <v>1480</v>
      </c>
      <c r="C1184" s="2">
        <f>IFERROR(__xludf.DUMMYFUNCTION("""COMPUTED_VALUE"""),1500.0)</f>
        <v>1500</v>
      </c>
      <c r="D1184" s="2">
        <f>IFERROR(__xludf.DUMMYFUNCTION("""COMPUTED_VALUE"""),1480.0)</f>
        <v>1480</v>
      </c>
      <c r="E1184" s="2">
        <f>IFERROR(__xludf.DUMMYFUNCTION("""COMPUTED_VALUE"""),1485.0)</f>
        <v>1485</v>
      </c>
      <c r="F1184" s="2">
        <f>IFERROR(__xludf.DUMMYFUNCTION("""COMPUTED_VALUE"""),9712600.0)</f>
        <v>9712600</v>
      </c>
      <c r="G1184" s="2">
        <f t="shared" si="1"/>
        <v>20</v>
      </c>
    </row>
    <row r="1185" ht="15.75" customHeight="1">
      <c r="A1185" s="1">
        <f>IFERROR(__xludf.DUMMYFUNCTION("""COMPUTED_VALUE"""),45614.66666666667)</f>
        <v>45614.66667</v>
      </c>
      <c r="B1185" s="2">
        <f>IFERROR(__xludf.DUMMYFUNCTION("""COMPUTED_VALUE"""),1490.0)</f>
        <v>1490</v>
      </c>
      <c r="C1185" s="2">
        <f>IFERROR(__xludf.DUMMYFUNCTION("""COMPUTED_VALUE"""),1495.0)</f>
        <v>1495</v>
      </c>
      <c r="D1185" s="2">
        <f>IFERROR(__xludf.DUMMYFUNCTION("""COMPUTED_VALUE"""),1460.0)</f>
        <v>1460</v>
      </c>
      <c r="E1185" s="2">
        <f>IFERROR(__xludf.DUMMYFUNCTION("""COMPUTED_VALUE"""),1465.0)</f>
        <v>1465</v>
      </c>
      <c r="F1185" s="2">
        <f>IFERROR(__xludf.DUMMYFUNCTION("""COMPUTED_VALUE"""),1.29514E7)</f>
        <v>12951400</v>
      </c>
      <c r="G1185" s="2">
        <f t="shared" si="1"/>
        <v>35</v>
      </c>
    </row>
    <row r="1186" ht="15.75" customHeight="1">
      <c r="A1186" s="1">
        <f>IFERROR(__xludf.DUMMYFUNCTION("""COMPUTED_VALUE"""),45615.66666666667)</f>
        <v>45615.66667</v>
      </c>
      <c r="B1186" s="2">
        <f>IFERROR(__xludf.DUMMYFUNCTION("""COMPUTED_VALUE"""),1475.0)</f>
        <v>1475</v>
      </c>
      <c r="C1186" s="2">
        <f>IFERROR(__xludf.DUMMYFUNCTION("""COMPUTED_VALUE"""),1505.0)</f>
        <v>1505</v>
      </c>
      <c r="D1186" s="2">
        <f>IFERROR(__xludf.DUMMYFUNCTION("""COMPUTED_VALUE"""),1470.0)</f>
        <v>1470</v>
      </c>
      <c r="E1186" s="2">
        <f>IFERROR(__xludf.DUMMYFUNCTION("""COMPUTED_VALUE"""),1505.0)</f>
        <v>1505</v>
      </c>
      <c r="F1186" s="2">
        <f>IFERROR(__xludf.DUMMYFUNCTION("""COMPUTED_VALUE"""),1.30261E7)</f>
        <v>13026100</v>
      </c>
      <c r="G1186" s="2">
        <f t="shared" si="1"/>
        <v>40</v>
      </c>
    </row>
    <row r="1187" ht="15.75" customHeight="1">
      <c r="A1187" s="1">
        <f>IFERROR(__xludf.DUMMYFUNCTION("""COMPUTED_VALUE"""),45616.66666666667)</f>
        <v>45616.66667</v>
      </c>
      <c r="B1187" s="2">
        <f>IFERROR(__xludf.DUMMYFUNCTION("""COMPUTED_VALUE"""),1505.0)</f>
        <v>1505</v>
      </c>
      <c r="C1187" s="2">
        <f>IFERROR(__xludf.DUMMYFUNCTION("""COMPUTED_VALUE"""),1510.0)</f>
        <v>1510</v>
      </c>
      <c r="D1187" s="2">
        <f>IFERROR(__xludf.DUMMYFUNCTION("""COMPUTED_VALUE"""),1485.0)</f>
        <v>1485</v>
      </c>
      <c r="E1187" s="2">
        <f>IFERROR(__xludf.DUMMYFUNCTION("""COMPUTED_VALUE"""),1490.0)</f>
        <v>1490</v>
      </c>
      <c r="F1187" s="2">
        <f>IFERROR(__xludf.DUMMYFUNCTION("""COMPUTED_VALUE"""),8252700.0)</f>
        <v>8252700</v>
      </c>
      <c r="G1187" s="2">
        <f t="shared" si="1"/>
        <v>25</v>
      </c>
    </row>
    <row r="1188" ht="15.75" customHeight="1">
      <c r="A1188" s="1">
        <f>IFERROR(__xludf.DUMMYFUNCTION("""COMPUTED_VALUE"""),45617.66666666667)</f>
        <v>45617.66667</v>
      </c>
      <c r="B1188" s="2">
        <f>IFERROR(__xludf.DUMMYFUNCTION("""COMPUTED_VALUE"""),1500.0)</f>
        <v>1500</v>
      </c>
      <c r="C1188" s="2">
        <f>IFERROR(__xludf.DUMMYFUNCTION("""COMPUTED_VALUE"""),1510.0)</f>
        <v>1510</v>
      </c>
      <c r="D1188" s="2">
        <f>IFERROR(__xludf.DUMMYFUNCTION("""COMPUTED_VALUE"""),1495.0)</f>
        <v>1495</v>
      </c>
      <c r="E1188" s="2">
        <f>IFERROR(__xludf.DUMMYFUNCTION("""COMPUTED_VALUE"""),1495.0)</f>
        <v>1495</v>
      </c>
      <c r="F1188" s="2">
        <f>IFERROR(__xludf.DUMMYFUNCTION("""COMPUTED_VALUE"""),1.34579E7)</f>
        <v>13457900</v>
      </c>
      <c r="G1188" s="2">
        <f t="shared" si="1"/>
        <v>20</v>
      </c>
    </row>
    <row r="1189" ht="15.75" customHeight="1">
      <c r="A1189" s="1">
        <f>IFERROR(__xludf.DUMMYFUNCTION("""COMPUTED_VALUE"""),45618.66666666667)</f>
        <v>45618.66667</v>
      </c>
      <c r="B1189" s="2">
        <f>IFERROR(__xludf.DUMMYFUNCTION("""COMPUTED_VALUE"""),1510.0)</f>
        <v>1510</v>
      </c>
      <c r="C1189" s="2">
        <f>IFERROR(__xludf.DUMMYFUNCTION("""COMPUTED_VALUE"""),1515.0)</f>
        <v>1515</v>
      </c>
      <c r="D1189" s="2">
        <f>IFERROR(__xludf.DUMMYFUNCTION("""COMPUTED_VALUE"""),1490.0)</f>
        <v>1490</v>
      </c>
      <c r="E1189" s="2">
        <f>IFERROR(__xludf.DUMMYFUNCTION("""COMPUTED_VALUE"""),1495.0)</f>
        <v>1495</v>
      </c>
      <c r="F1189" s="2">
        <f>IFERROR(__xludf.DUMMYFUNCTION("""COMPUTED_VALUE"""),1.75758E7)</f>
        <v>17575800</v>
      </c>
      <c r="G1189" s="2">
        <f t="shared" si="1"/>
        <v>25</v>
      </c>
    </row>
    <row r="1190" ht="15.75" customHeight="1">
      <c r="A1190" s="1">
        <f>IFERROR(__xludf.DUMMYFUNCTION("""COMPUTED_VALUE"""),45621.66666666667)</f>
        <v>45621.66667</v>
      </c>
      <c r="B1190" s="2">
        <f>IFERROR(__xludf.DUMMYFUNCTION("""COMPUTED_VALUE"""),1505.0)</f>
        <v>1505</v>
      </c>
      <c r="C1190" s="2">
        <f>IFERROR(__xludf.DUMMYFUNCTION("""COMPUTED_VALUE"""),1575.0)</f>
        <v>1575</v>
      </c>
      <c r="D1190" s="2">
        <f>IFERROR(__xludf.DUMMYFUNCTION("""COMPUTED_VALUE"""),1500.0)</f>
        <v>1500</v>
      </c>
      <c r="E1190" s="2">
        <f>IFERROR(__xludf.DUMMYFUNCTION("""COMPUTED_VALUE"""),1570.0)</f>
        <v>1570</v>
      </c>
      <c r="F1190" s="2">
        <f>IFERROR(__xludf.DUMMYFUNCTION("""COMPUTED_VALUE"""),8.44021E7)</f>
        <v>84402100</v>
      </c>
      <c r="G1190" s="2">
        <f t="shared" si="1"/>
        <v>80</v>
      </c>
    </row>
    <row r="1191" ht="15.75" customHeight="1">
      <c r="A1191" s="1">
        <f>IFERROR(__xludf.DUMMYFUNCTION("""COMPUTED_VALUE"""),45622.66666666667)</f>
        <v>45622.66667</v>
      </c>
      <c r="B1191" s="2">
        <f>IFERROR(__xludf.DUMMYFUNCTION("""COMPUTED_VALUE"""),1570.0)</f>
        <v>1570</v>
      </c>
      <c r="C1191" s="2">
        <f>IFERROR(__xludf.DUMMYFUNCTION("""COMPUTED_VALUE"""),1575.0)</f>
        <v>1575</v>
      </c>
      <c r="D1191" s="2">
        <f>IFERROR(__xludf.DUMMYFUNCTION("""COMPUTED_VALUE"""),1535.0)</f>
        <v>1535</v>
      </c>
      <c r="E1191" s="2">
        <f>IFERROR(__xludf.DUMMYFUNCTION("""COMPUTED_VALUE"""),1535.0)</f>
        <v>1535</v>
      </c>
      <c r="F1191" s="2">
        <f>IFERROR(__xludf.DUMMYFUNCTION("""COMPUTED_VALUE"""),2.77791E7)</f>
        <v>27779100</v>
      </c>
      <c r="G1191" s="2">
        <f t="shared" si="1"/>
        <v>40</v>
      </c>
    </row>
    <row r="1192" ht="15.75" customHeight="1">
      <c r="A1192" s="1">
        <f>IFERROR(__xludf.DUMMYFUNCTION("""COMPUTED_VALUE"""),45624.66666666667)</f>
        <v>45624.66667</v>
      </c>
      <c r="B1192" s="2">
        <f>IFERROR(__xludf.DUMMYFUNCTION("""COMPUTED_VALUE"""),1545.0)</f>
        <v>1545</v>
      </c>
      <c r="C1192" s="2">
        <f>IFERROR(__xludf.DUMMYFUNCTION("""COMPUTED_VALUE"""),1550.0)</f>
        <v>1550</v>
      </c>
      <c r="D1192" s="2">
        <f>IFERROR(__xludf.DUMMYFUNCTION("""COMPUTED_VALUE"""),1525.0)</f>
        <v>1525</v>
      </c>
      <c r="E1192" s="2">
        <f>IFERROR(__xludf.DUMMYFUNCTION("""COMPUTED_VALUE"""),1540.0)</f>
        <v>1540</v>
      </c>
      <c r="F1192" s="2">
        <f>IFERROR(__xludf.DUMMYFUNCTION("""COMPUTED_VALUE"""),1.50097E7)</f>
        <v>15009700</v>
      </c>
      <c r="G1192" s="2">
        <f t="shared" si="1"/>
        <v>25</v>
      </c>
    </row>
    <row r="1193" ht="15.75" customHeight="1">
      <c r="A1193" s="1">
        <f>IFERROR(__xludf.DUMMYFUNCTION("""COMPUTED_VALUE"""),45625.66666666667)</f>
        <v>45625.66667</v>
      </c>
      <c r="B1193" s="2">
        <f>IFERROR(__xludf.DUMMYFUNCTION("""COMPUTED_VALUE"""),1550.0)</f>
        <v>1550</v>
      </c>
      <c r="C1193" s="2">
        <f>IFERROR(__xludf.DUMMYFUNCTION("""COMPUTED_VALUE"""),1555.0)</f>
        <v>1555</v>
      </c>
      <c r="D1193" s="2">
        <f>IFERROR(__xludf.DUMMYFUNCTION("""COMPUTED_VALUE"""),1515.0)</f>
        <v>1515</v>
      </c>
      <c r="E1193" s="2">
        <f>IFERROR(__xludf.DUMMYFUNCTION("""COMPUTED_VALUE"""),1520.0)</f>
        <v>1520</v>
      </c>
      <c r="F1193" s="2">
        <f>IFERROR(__xludf.DUMMYFUNCTION("""COMPUTED_VALUE"""),2.13511E7)</f>
        <v>21351100</v>
      </c>
      <c r="G1193" s="2">
        <f t="shared" si="1"/>
        <v>40</v>
      </c>
    </row>
    <row r="1194" ht="15.75" customHeight="1">
      <c r="A1194" s="1">
        <f>IFERROR(__xludf.DUMMYFUNCTION("""COMPUTED_VALUE"""),45628.66666666667)</f>
        <v>45628.66667</v>
      </c>
      <c r="B1194" s="2">
        <f>IFERROR(__xludf.DUMMYFUNCTION("""COMPUTED_VALUE"""),1540.0)</f>
        <v>1540</v>
      </c>
      <c r="C1194" s="2">
        <f>IFERROR(__xludf.DUMMYFUNCTION("""COMPUTED_VALUE"""),1570.0)</f>
        <v>1570</v>
      </c>
      <c r="D1194" s="2">
        <f>IFERROR(__xludf.DUMMYFUNCTION("""COMPUTED_VALUE"""),1525.0)</f>
        <v>1525</v>
      </c>
      <c r="E1194" s="2">
        <f>IFERROR(__xludf.DUMMYFUNCTION("""COMPUTED_VALUE"""),1570.0)</f>
        <v>1570</v>
      </c>
      <c r="F1194" s="2">
        <f>IFERROR(__xludf.DUMMYFUNCTION("""COMPUTED_VALUE"""),5.2765E7)</f>
        <v>52765000</v>
      </c>
      <c r="G1194" s="2">
        <f t="shared" si="1"/>
        <v>50</v>
      </c>
    </row>
    <row r="1195" ht="15.75" customHeight="1">
      <c r="A1195" s="1">
        <f>IFERROR(__xludf.DUMMYFUNCTION("""COMPUTED_VALUE"""),45629.66666666667)</f>
        <v>45629.66667</v>
      </c>
      <c r="B1195" s="2">
        <f>IFERROR(__xludf.DUMMYFUNCTION("""COMPUTED_VALUE"""),1570.0)</f>
        <v>1570</v>
      </c>
      <c r="C1195" s="2">
        <f>IFERROR(__xludf.DUMMYFUNCTION("""COMPUTED_VALUE"""),1585.0)</f>
        <v>1585</v>
      </c>
      <c r="D1195" s="2">
        <f>IFERROR(__xludf.DUMMYFUNCTION("""COMPUTED_VALUE"""),1545.0)</f>
        <v>1545</v>
      </c>
      <c r="E1195" s="2">
        <f>IFERROR(__xludf.DUMMYFUNCTION("""COMPUTED_VALUE"""),1585.0)</f>
        <v>1585</v>
      </c>
      <c r="F1195" s="2">
        <f>IFERROR(__xludf.DUMMYFUNCTION("""COMPUTED_VALUE"""),4.86985E7)</f>
        <v>48698500</v>
      </c>
      <c r="G1195" s="2">
        <f t="shared" si="1"/>
        <v>40</v>
      </c>
    </row>
    <row r="1196" ht="15.75" customHeight="1">
      <c r="A1196" s="1">
        <f>IFERROR(__xludf.DUMMYFUNCTION("""COMPUTED_VALUE"""),45630.66666666667)</f>
        <v>45630.66667</v>
      </c>
      <c r="B1196" s="2">
        <f>IFERROR(__xludf.DUMMYFUNCTION("""COMPUTED_VALUE"""),1585.0)</f>
        <v>1585</v>
      </c>
      <c r="C1196" s="2">
        <f>IFERROR(__xludf.DUMMYFUNCTION("""COMPUTED_VALUE"""),1595.0)</f>
        <v>1595</v>
      </c>
      <c r="D1196" s="2">
        <f>IFERROR(__xludf.DUMMYFUNCTION("""COMPUTED_VALUE"""),1565.0)</f>
        <v>1565</v>
      </c>
      <c r="E1196" s="2">
        <f>IFERROR(__xludf.DUMMYFUNCTION("""COMPUTED_VALUE"""),1595.0)</f>
        <v>1595</v>
      </c>
      <c r="F1196" s="2">
        <f>IFERROR(__xludf.DUMMYFUNCTION("""COMPUTED_VALUE"""),5.04003E7)</f>
        <v>50400300</v>
      </c>
      <c r="G1196" s="2">
        <f t="shared" si="1"/>
        <v>30</v>
      </c>
    </row>
    <row r="1197" ht="15.75" customHeight="1">
      <c r="A1197" s="1">
        <f>IFERROR(__xludf.DUMMYFUNCTION("""COMPUTED_VALUE"""),45631.66666666667)</f>
        <v>45631.66667</v>
      </c>
      <c r="B1197" s="2">
        <f>IFERROR(__xludf.DUMMYFUNCTION("""COMPUTED_VALUE"""),1585.0)</f>
        <v>1585</v>
      </c>
      <c r="C1197" s="2">
        <f>IFERROR(__xludf.DUMMYFUNCTION("""COMPUTED_VALUE"""),1590.0)</f>
        <v>1590</v>
      </c>
      <c r="D1197" s="2">
        <f>IFERROR(__xludf.DUMMYFUNCTION("""COMPUTED_VALUE"""),1560.0)</f>
        <v>1560</v>
      </c>
      <c r="E1197" s="2">
        <f>IFERROR(__xludf.DUMMYFUNCTION("""COMPUTED_VALUE"""),1570.0)</f>
        <v>1570</v>
      </c>
      <c r="F1197" s="2">
        <f>IFERROR(__xludf.DUMMYFUNCTION("""COMPUTED_VALUE"""),2.40724E7)</f>
        <v>24072400</v>
      </c>
      <c r="G1197" s="2">
        <f t="shared" si="1"/>
        <v>35</v>
      </c>
    </row>
    <row r="1198" ht="15.75" customHeight="1">
      <c r="A1198" s="1">
        <f>IFERROR(__xludf.DUMMYFUNCTION("""COMPUTED_VALUE"""),45632.66666666667)</f>
        <v>45632.66667</v>
      </c>
      <c r="B1198" s="2">
        <f>IFERROR(__xludf.DUMMYFUNCTION("""COMPUTED_VALUE"""),1575.0)</f>
        <v>1575</v>
      </c>
      <c r="C1198" s="2">
        <f>IFERROR(__xludf.DUMMYFUNCTION("""COMPUTED_VALUE"""),1635.0)</f>
        <v>1635</v>
      </c>
      <c r="D1198" s="2">
        <f>IFERROR(__xludf.DUMMYFUNCTION("""COMPUTED_VALUE"""),1565.0)</f>
        <v>1565</v>
      </c>
      <c r="E1198" s="2">
        <f>IFERROR(__xludf.DUMMYFUNCTION("""COMPUTED_VALUE"""),1625.0)</f>
        <v>1625</v>
      </c>
      <c r="F1198" s="2">
        <f>IFERROR(__xludf.DUMMYFUNCTION("""COMPUTED_VALUE"""),5.85663E7)</f>
        <v>58566300</v>
      </c>
      <c r="G1198" s="2">
        <f t="shared" si="1"/>
        <v>70</v>
      </c>
    </row>
    <row r="1199" ht="15.75" customHeight="1">
      <c r="A1199" s="1">
        <f>IFERROR(__xludf.DUMMYFUNCTION("""COMPUTED_VALUE"""),45635.66666666667)</f>
        <v>45635.66667</v>
      </c>
      <c r="B1199" s="2">
        <f>IFERROR(__xludf.DUMMYFUNCTION("""COMPUTED_VALUE"""),1625.0)</f>
        <v>1625</v>
      </c>
      <c r="C1199" s="2">
        <f>IFERROR(__xludf.DUMMYFUNCTION("""COMPUTED_VALUE"""),1665.0)</f>
        <v>1665</v>
      </c>
      <c r="D1199" s="2">
        <f>IFERROR(__xludf.DUMMYFUNCTION("""COMPUTED_VALUE"""),1625.0)</f>
        <v>1625</v>
      </c>
      <c r="E1199" s="2">
        <f>IFERROR(__xludf.DUMMYFUNCTION("""COMPUTED_VALUE"""),1665.0)</f>
        <v>1665</v>
      </c>
      <c r="F1199" s="2">
        <f>IFERROR(__xludf.DUMMYFUNCTION("""COMPUTED_VALUE"""),6.24315E7)</f>
        <v>62431500</v>
      </c>
      <c r="G1199" s="2">
        <f t="shared" si="1"/>
        <v>40</v>
      </c>
    </row>
    <row r="1200" ht="15.75" customHeight="1">
      <c r="A1200" s="1">
        <f>IFERROR(__xludf.DUMMYFUNCTION("""COMPUTED_VALUE"""),45636.66666666667)</f>
        <v>45636.66667</v>
      </c>
      <c r="B1200" s="2">
        <f>IFERROR(__xludf.DUMMYFUNCTION("""COMPUTED_VALUE"""),1660.0)</f>
        <v>1660</v>
      </c>
      <c r="C1200" s="2">
        <f>IFERROR(__xludf.DUMMYFUNCTION("""COMPUTED_VALUE"""),1660.0)</f>
        <v>1660</v>
      </c>
      <c r="D1200" s="2">
        <f>IFERROR(__xludf.DUMMYFUNCTION("""COMPUTED_VALUE"""),1590.0)</f>
        <v>1590</v>
      </c>
      <c r="E1200" s="2">
        <f>IFERROR(__xludf.DUMMYFUNCTION("""COMPUTED_VALUE"""),1590.0)</f>
        <v>1590</v>
      </c>
      <c r="F1200" s="2">
        <f>IFERROR(__xludf.DUMMYFUNCTION("""COMPUTED_VALUE"""),4.88829E7)</f>
        <v>48882900</v>
      </c>
      <c r="G1200" s="2">
        <f t="shared" si="1"/>
        <v>75</v>
      </c>
    </row>
    <row r="1201" ht="15.75" customHeight="1">
      <c r="A1201" s="1">
        <f>IFERROR(__xludf.DUMMYFUNCTION("""COMPUTED_VALUE"""),45637.66666666667)</f>
        <v>45637.66667</v>
      </c>
      <c r="B1201" s="2">
        <f>IFERROR(__xludf.DUMMYFUNCTION("""COMPUTED_VALUE"""),1590.0)</f>
        <v>1590</v>
      </c>
      <c r="C1201" s="2">
        <f>IFERROR(__xludf.DUMMYFUNCTION("""COMPUTED_VALUE"""),1625.0)</f>
        <v>1625</v>
      </c>
      <c r="D1201" s="2">
        <f>IFERROR(__xludf.DUMMYFUNCTION("""COMPUTED_VALUE"""),1585.0)</f>
        <v>1585</v>
      </c>
      <c r="E1201" s="2">
        <f>IFERROR(__xludf.DUMMYFUNCTION("""COMPUTED_VALUE"""),1605.0)</f>
        <v>1605</v>
      </c>
      <c r="F1201" s="2">
        <f>IFERROR(__xludf.DUMMYFUNCTION("""COMPUTED_VALUE"""),5.90483E7)</f>
        <v>59048300</v>
      </c>
      <c r="G1201" s="2">
        <f t="shared" si="1"/>
        <v>40</v>
      </c>
    </row>
    <row r="1202" ht="15.75" customHeight="1">
      <c r="A1202" s="1">
        <f>IFERROR(__xludf.DUMMYFUNCTION("""COMPUTED_VALUE"""),45638.66666666667)</f>
        <v>45638.66667</v>
      </c>
      <c r="B1202" s="2">
        <f>IFERROR(__xludf.DUMMYFUNCTION("""COMPUTED_VALUE"""),1610.0)</f>
        <v>1610</v>
      </c>
      <c r="C1202" s="2">
        <f>IFERROR(__xludf.DUMMYFUNCTION("""COMPUTED_VALUE"""),1630.0)</f>
        <v>1630</v>
      </c>
      <c r="D1202" s="2">
        <f>IFERROR(__xludf.DUMMYFUNCTION("""COMPUTED_VALUE"""),1605.0)</f>
        <v>1605</v>
      </c>
      <c r="E1202" s="2">
        <f>IFERROR(__xludf.DUMMYFUNCTION("""COMPUTED_VALUE"""),1615.0)</f>
        <v>1615</v>
      </c>
      <c r="F1202" s="2">
        <f>IFERROR(__xludf.DUMMYFUNCTION("""COMPUTED_VALUE"""),2.9522E7)</f>
        <v>29522000</v>
      </c>
      <c r="G1202" s="2">
        <f t="shared" si="1"/>
        <v>25</v>
      </c>
    </row>
    <row r="1203" ht="15.75" customHeight="1">
      <c r="A1203" s="1">
        <f>IFERROR(__xludf.DUMMYFUNCTION("""COMPUTED_VALUE"""),45639.66666666667)</f>
        <v>45639.66667</v>
      </c>
      <c r="B1203" s="2">
        <f>IFERROR(__xludf.DUMMYFUNCTION("""COMPUTED_VALUE"""),1620.0)</f>
        <v>1620</v>
      </c>
      <c r="C1203" s="2">
        <f>IFERROR(__xludf.DUMMYFUNCTION("""COMPUTED_VALUE"""),1625.0)</f>
        <v>1625</v>
      </c>
      <c r="D1203" s="2">
        <f>IFERROR(__xludf.DUMMYFUNCTION("""COMPUTED_VALUE"""),1590.0)</f>
        <v>1590</v>
      </c>
      <c r="E1203" s="2">
        <f>IFERROR(__xludf.DUMMYFUNCTION("""COMPUTED_VALUE"""),1605.0)</f>
        <v>1605</v>
      </c>
      <c r="F1203" s="2">
        <f>IFERROR(__xludf.DUMMYFUNCTION("""COMPUTED_VALUE"""),2.31079E7)</f>
        <v>23107900</v>
      </c>
      <c r="G1203" s="2">
        <f t="shared" si="1"/>
        <v>35</v>
      </c>
    </row>
    <row r="1204" ht="15.75" customHeight="1">
      <c r="A1204" s="1">
        <f>IFERROR(__xludf.DUMMYFUNCTION("""COMPUTED_VALUE"""),45642.66666666667)</f>
        <v>45642.66667</v>
      </c>
      <c r="B1204" s="2">
        <f>IFERROR(__xludf.DUMMYFUNCTION("""COMPUTED_VALUE"""),1605.0)</f>
        <v>1605</v>
      </c>
      <c r="C1204" s="2">
        <f>IFERROR(__xludf.DUMMYFUNCTION("""COMPUTED_VALUE"""),1605.0)</f>
        <v>1605</v>
      </c>
      <c r="D1204" s="2">
        <f>IFERROR(__xludf.DUMMYFUNCTION("""COMPUTED_VALUE"""),1565.0)</f>
        <v>1565</v>
      </c>
      <c r="E1204" s="2">
        <f>IFERROR(__xludf.DUMMYFUNCTION("""COMPUTED_VALUE"""),1575.0)</f>
        <v>1575</v>
      </c>
      <c r="F1204" s="2">
        <f>IFERROR(__xludf.DUMMYFUNCTION("""COMPUTED_VALUE"""),1.71859E7)</f>
        <v>17185900</v>
      </c>
      <c r="G1204" s="2">
        <f t="shared" si="1"/>
        <v>40</v>
      </c>
    </row>
    <row r="1205" ht="15.75" customHeight="1">
      <c r="A1205" s="1">
        <f>IFERROR(__xludf.DUMMYFUNCTION("""COMPUTED_VALUE"""),45643.66666666667)</f>
        <v>45643.66667</v>
      </c>
      <c r="B1205" s="2">
        <f>IFERROR(__xludf.DUMMYFUNCTION("""COMPUTED_VALUE"""),1585.0)</f>
        <v>1585</v>
      </c>
      <c r="C1205" s="2">
        <f>IFERROR(__xludf.DUMMYFUNCTION("""COMPUTED_VALUE"""),1590.0)</f>
        <v>1590</v>
      </c>
      <c r="D1205" s="2">
        <f>IFERROR(__xludf.DUMMYFUNCTION("""COMPUTED_VALUE"""),1515.0)</f>
        <v>1515</v>
      </c>
      <c r="E1205" s="2">
        <f>IFERROR(__xludf.DUMMYFUNCTION("""COMPUTED_VALUE"""),1525.0)</f>
        <v>1525</v>
      </c>
      <c r="F1205" s="2">
        <f>IFERROR(__xludf.DUMMYFUNCTION("""COMPUTED_VALUE"""),2.9877E7)</f>
        <v>29877000</v>
      </c>
      <c r="G1205" s="2">
        <f t="shared" si="1"/>
        <v>75</v>
      </c>
    </row>
    <row r="1206" ht="15.75" customHeight="1">
      <c r="A1206" s="1">
        <f>IFERROR(__xludf.DUMMYFUNCTION("""COMPUTED_VALUE"""),45644.66666666667)</f>
        <v>45644.66667</v>
      </c>
      <c r="B1206" s="2">
        <f>IFERROR(__xludf.DUMMYFUNCTION("""COMPUTED_VALUE"""),1525.0)</f>
        <v>1525</v>
      </c>
      <c r="C1206" s="2">
        <f>IFERROR(__xludf.DUMMYFUNCTION("""COMPUTED_VALUE"""),1565.0)</f>
        <v>1565</v>
      </c>
      <c r="D1206" s="2">
        <f>IFERROR(__xludf.DUMMYFUNCTION("""COMPUTED_VALUE"""),1525.0)</f>
        <v>1525</v>
      </c>
      <c r="E1206" s="2">
        <f>IFERROR(__xludf.DUMMYFUNCTION("""COMPUTED_VALUE"""),1550.0)</f>
        <v>1550</v>
      </c>
      <c r="F1206" s="2">
        <f>IFERROR(__xludf.DUMMYFUNCTION("""COMPUTED_VALUE"""),2.35095E7)</f>
        <v>23509500</v>
      </c>
      <c r="G1206" s="2">
        <f t="shared" si="1"/>
        <v>40</v>
      </c>
    </row>
    <row r="1207" ht="15.75" customHeight="1">
      <c r="A1207" s="1">
        <f>IFERROR(__xludf.DUMMYFUNCTION("""COMPUTED_VALUE"""),45645.66666666667)</f>
        <v>45645.66667</v>
      </c>
      <c r="B1207" s="2">
        <f>IFERROR(__xludf.DUMMYFUNCTION("""COMPUTED_VALUE"""),1550.0)</f>
        <v>1550</v>
      </c>
      <c r="C1207" s="2">
        <f>IFERROR(__xludf.DUMMYFUNCTION("""COMPUTED_VALUE"""),1565.0)</f>
        <v>1565</v>
      </c>
      <c r="D1207" s="2">
        <f>IFERROR(__xludf.DUMMYFUNCTION("""COMPUTED_VALUE"""),1515.0)</f>
        <v>1515</v>
      </c>
      <c r="E1207" s="2">
        <f>IFERROR(__xludf.DUMMYFUNCTION("""COMPUTED_VALUE"""),1535.0)</f>
        <v>1535</v>
      </c>
      <c r="F1207" s="2">
        <f>IFERROR(__xludf.DUMMYFUNCTION("""COMPUTED_VALUE"""),2.47109E7)</f>
        <v>24710900</v>
      </c>
      <c r="G1207" s="2">
        <f t="shared" si="1"/>
        <v>50</v>
      </c>
    </row>
    <row r="1208" ht="15.75" customHeight="1">
      <c r="A1208" s="1">
        <f>IFERROR(__xludf.DUMMYFUNCTION("""COMPUTED_VALUE"""),45646.66666666667)</f>
        <v>45646.66667</v>
      </c>
      <c r="B1208" s="2">
        <f>IFERROR(__xludf.DUMMYFUNCTION("""COMPUTED_VALUE"""),1535.0)</f>
        <v>1535</v>
      </c>
      <c r="C1208" s="2">
        <f>IFERROR(__xludf.DUMMYFUNCTION("""COMPUTED_VALUE"""),1570.0)</f>
        <v>1570</v>
      </c>
      <c r="D1208" s="2">
        <f>IFERROR(__xludf.DUMMYFUNCTION("""COMPUTED_VALUE"""),1535.0)</f>
        <v>1535</v>
      </c>
      <c r="E1208" s="2">
        <f>IFERROR(__xludf.DUMMYFUNCTION("""COMPUTED_VALUE"""),1550.0)</f>
        <v>1550</v>
      </c>
      <c r="F1208" s="2">
        <f>IFERROR(__xludf.DUMMYFUNCTION("""COMPUTED_VALUE"""),3.06143E7)</f>
        <v>30614300</v>
      </c>
      <c r="G1208" s="2">
        <f t="shared" si="1"/>
        <v>35</v>
      </c>
    </row>
    <row r="1209" ht="15.75" customHeight="1">
      <c r="A1209" s="1">
        <f>IFERROR(__xludf.DUMMYFUNCTION("""COMPUTED_VALUE"""),45649.66666666667)</f>
        <v>45649.66667</v>
      </c>
      <c r="B1209" s="2">
        <f>IFERROR(__xludf.DUMMYFUNCTION("""COMPUTED_VALUE"""),1555.0)</f>
        <v>1555</v>
      </c>
      <c r="C1209" s="2">
        <f>IFERROR(__xludf.DUMMYFUNCTION("""COMPUTED_VALUE"""),1575.0)</f>
        <v>1575</v>
      </c>
      <c r="D1209" s="2">
        <f>IFERROR(__xludf.DUMMYFUNCTION("""COMPUTED_VALUE"""),1540.0)</f>
        <v>1540</v>
      </c>
      <c r="E1209" s="2">
        <f>IFERROR(__xludf.DUMMYFUNCTION("""COMPUTED_VALUE"""),1560.0)</f>
        <v>1560</v>
      </c>
      <c r="F1209" s="2">
        <f>IFERROR(__xludf.DUMMYFUNCTION("""COMPUTED_VALUE"""),1.86529E7)</f>
        <v>18652900</v>
      </c>
      <c r="G1209" s="2">
        <f t="shared" si="1"/>
        <v>35</v>
      </c>
    </row>
    <row r="1210" ht="15.75" customHeight="1">
      <c r="A1210" s="1">
        <f>IFERROR(__xludf.DUMMYFUNCTION("""COMPUTED_VALUE"""),45650.66666666667)</f>
        <v>45650.66667</v>
      </c>
      <c r="B1210" s="2">
        <f>IFERROR(__xludf.DUMMYFUNCTION("""COMPUTED_VALUE"""),1565.0)</f>
        <v>1565</v>
      </c>
      <c r="C1210" s="2">
        <f>IFERROR(__xludf.DUMMYFUNCTION("""COMPUTED_VALUE"""),1570.0)</f>
        <v>1570</v>
      </c>
      <c r="D1210" s="2">
        <f>IFERROR(__xludf.DUMMYFUNCTION("""COMPUTED_VALUE"""),1540.0)</f>
        <v>1540</v>
      </c>
      <c r="E1210" s="2">
        <f>IFERROR(__xludf.DUMMYFUNCTION("""COMPUTED_VALUE"""),1545.0)</f>
        <v>1545</v>
      </c>
      <c r="F1210" s="2">
        <f>IFERROR(__xludf.DUMMYFUNCTION("""COMPUTED_VALUE"""),1.25572E7)</f>
        <v>12557200</v>
      </c>
      <c r="G1210" s="2">
        <f t="shared" si="1"/>
        <v>30</v>
      </c>
    </row>
    <row r="1211" ht="15.75" customHeight="1">
      <c r="A1211" s="1">
        <f>IFERROR(__xludf.DUMMYFUNCTION("""COMPUTED_VALUE"""),45653.66666666667)</f>
        <v>45653.66667</v>
      </c>
      <c r="B1211" s="2">
        <f>IFERROR(__xludf.DUMMYFUNCTION("""COMPUTED_VALUE"""),1555.0)</f>
        <v>1555</v>
      </c>
      <c r="C1211" s="2">
        <f>IFERROR(__xludf.DUMMYFUNCTION("""COMPUTED_VALUE"""),1600.0)</f>
        <v>1600</v>
      </c>
      <c r="D1211" s="2">
        <f>IFERROR(__xludf.DUMMYFUNCTION("""COMPUTED_VALUE"""),1555.0)</f>
        <v>1555</v>
      </c>
      <c r="E1211" s="2">
        <f>IFERROR(__xludf.DUMMYFUNCTION("""COMPUTED_VALUE"""),1590.0)</f>
        <v>1590</v>
      </c>
      <c r="F1211" s="2">
        <f>IFERROR(__xludf.DUMMYFUNCTION("""COMPUTED_VALUE"""),2.01448E7)</f>
        <v>20144800</v>
      </c>
      <c r="G1211" s="2">
        <f t="shared" si="1"/>
        <v>55</v>
      </c>
    </row>
    <row r="1212" ht="15.75" customHeight="1">
      <c r="A1212" s="1">
        <f>IFERROR(__xludf.DUMMYFUNCTION("""COMPUTED_VALUE"""),45656.66666666667)</f>
        <v>45656.66667</v>
      </c>
      <c r="B1212" s="2">
        <f>IFERROR(__xludf.DUMMYFUNCTION("""COMPUTED_VALUE"""),1600.0)</f>
        <v>1600</v>
      </c>
      <c r="C1212" s="2">
        <f>IFERROR(__xludf.DUMMYFUNCTION("""COMPUTED_VALUE"""),1610.0)</f>
        <v>1610</v>
      </c>
      <c r="D1212" s="2">
        <f>IFERROR(__xludf.DUMMYFUNCTION("""COMPUTED_VALUE"""),1580.0)</f>
        <v>1580</v>
      </c>
      <c r="E1212" s="2">
        <f>IFERROR(__xludf.DUMMYFUNCTION("""COMPUTED_VALUE"""),1590.0)</f>
        <v>1590</v>
      </c>
      <c r="F1212" s="2">
        <f>IFERROR(__xludf.DUMMYFUNCTION("""COMPUTED_VALUE"""),2.23065E7)</f>
        <v>22306500</v>
      </c>
      <c r="G1212" s="2">
        <f t="shared" si="1"/>
        <v>30</v>
      </c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5.63"/>
    <col customWidth="1" min="2" max="7" width="12.63"/>
  </cols>
  <sheetData>
    <row r="1" ht="15.75" customHeight="1">
      <c r="A1" s="1" t="str">
        <f>IFERROR(__xludf.DUMMYFUNCTION("GOOGLEFINANCE(""IDX:PGEO"", ""all"", DATE(2020,1,1), DATE(2025,1,1), ""DAILY"")
"),"Date")</f>
        <v>Date</v>
      </c>
      <c r="B1" s="2" t="str">
        <f>IFERROR(__xludf.DUMMYFUNCTION("""COMPUTED_VALUE"""),"Open")</f>
        <v>Open</v>
      </c>
      <c r="C1" s="2" t="str">
        <f>IFERROR(__xludf.DUMMYFUNCTION("""COMPUTED_VALUE"""),"High")</f>
        <v>High</v>
      </c>
      <c r="D1" s="2" t="str">
        <f>IFERROR(__xludf.DUMMYFUNCTION("""COMPUTED_VALUE"""),"Low")</f>
        <v>Low</v>
      </c>
      <c r="E1" s="2" t="str">
        <f>IFERROR(__xludf.DUMMYFUNCTION("""COMPUTED_VALUE"""),"Close")</f>
        <v>Close</v>
      </c>
      <c r="F1" s="2" t="str">
        <f>IFERROR(__xludf.DUMMYFUNCTION("""COMPUTED_VALUE"""),"Volume")</f>
        <v>Volume</v>
      </c>
      <c r="G1" s="3" t="s">
        <v>0</v>
      </c>
    </row>
    <row r="2" ht="15.75" customHeight="1">
      <c r="A2" s="1">
        <f>IFERROR(__xludf.DUMMYFUNCTION("""COMPUTED_VALUE"""),44981.66666666667)</f>
        <v>44981.66667</v>
      </c>
      <c r="B2" s="2">
        <f>IFERROR(__xludf.DUMMYFUNCTION("""COMPUTED_VALUE"""),925.0)</f>
        <v>925</v>
      </c>
      <c r="C2" s="2">
        <f>IFERROR(__xludf.DUMMYFUNCTION("""COMPUTED_VALUE"""),925.0)</f>
        <v>925</v>
      </c>
      <c r="D2" s="2">
        <f>IFERROR(__xludf.DUMMYFUNCTION("""COMPUTED_VALUE"""),815.0)</f>
        <v>815</v>
      </c>
      <c r="E2" s="2">
        <f>IFERROR(__xludf.DUMMYFUNCTION("""COMPUTED_VALUE"""),875.0)</f>
        <v>875</v>
      </c>
      <c r="F2" s="2">
        <f>IFERROR(__xludf.DUMMYFUNCTION("""COMPUTED_VALUE"""),5.847067E8)</f>
        <v>584706700</v>
      </c>
      <c r="G2" s="2"/>
    </row>
    <row r="3" ht="15.75" customHeight="1">
      <c r="A3" s="1">
        <f>IFERROR(__xludf.DUMMYFUNCTION("""COMPUTED_VALUE"""),44984.66666666667)</f>
        <v>44984.66667</v>
      </c>
      <c r="B3" s="2">
        <f>IFERROR(__xludf.DUMMYFUNCTION("""COMPUTED_VALUE"""),875.0)</f>
        <v>875</v>
      </c>
      <c r="C3" s="2">
        <f>IFERROR(__xludf.DUMMYFUNCTION("""COMPUTED_VALUE"""),875.0)</f>
        <v>875</v>
      </c>
      <c r="D3" s="2">
        <f>IFERROR(__xludf.DUMMYFUNCTION("""COMPUTED_VALUE"""),830.0)</f>
        <v>830</v>
      </c>
      <c r="E3" s="2">
        <f>IFERROR(__xludf.DUMMYFUNCTION("""COMPUTED_VALUE"""),830.0)</f>
        <v>830</v>
      </c>
      <c r="F3" s="2">
        <f>IFERROR(__xludf.DUMMYFUNCTION("""COMPUTED_VALUE"""),9.01833E7)</f>
        <v>90183300</v>
      </c>
      <c r="G3" s="2">
        <f t="shared" ref="G3:G439" si="1">MAX(C3-D3, ABS(C3-E2), ABS(D3-E2))</f>
        <v>45</v>
      </c>
    </row>
    <row r="4" ht="15.75" customHeight="1">
      <c r="A4" s="1">
        <f>IFERROR(__xludf.DUMMYFUNCTION("""COMPUTED_VALUE"""),44985.66666666667)</f>
        <v>44985.66667</v>
      </c>
      <c r="B4" s="2">
        <f>IFERROR(__xludf.DUMMYFUNCTION("""COMPUTED_VALUE"""),815.0)</f>
        <v>815</v>
      </c>
      <c r="C4" s="2">
        <f>IFERROR(__xludf.DUMMYFUNCTION("""COMPUTED_VALUE"""),840.0)</f>
        <v>840</v>
      </c>
      <c r="D4" s="2">
        <f>IFERROR(__xludf.DUMMYFUNCTION("""COMPUTED_VALUE"""),800.0)</f>
        <v>800</v>
      </c>
      <c r="E4" s="2">
        <f>IFERROR(__xludf.DUMMYFUNCTION("""COMPUTED_VALUE"""),800.0)</f>
        <v>800</v>
      </c>
      <c r="F4" s="2">
        <f>IFERROR(__xludf.DUMMYFUNCTION("""COMPUTED_VALUE"""),6.53938E7)</f>
        <v>65393800</v>
      </c>
      <c r="G4" s="2">
        <f t="shared" si="1"/>
        <v>40</v>
      </c>
    </row>
    <row r="5" ht="15.75" customHeight="1">
      <c r="A5" s="1">
        <f>IFERROR(__xludf.DUMMYFUNCTION("""COMPUTED_VALUE"""),44986.66666666667)</f>
        <v>44986.66667</v>
      </c>
      <c r="B5" s="2">
        <f>IFERROR(__xludf.DUMMYFUNCTION("""COMPUTED_VALUE"""),800.0)</f>
        <v>800</v>
      </c>
      <c r="C5" s="2">
        <f>IFERROR(__xludf.DUMMYFUNCTION("""COMPUTED_VALUE"""),840.0)</f>
        <v>840</v>
      </c>
      <c r="D5" s="2">
        <f>IFERROR(__xludf.DUMMYFUNCTION("""COMPUTED_VALUE"""),800.0)</f>
        <v>800</v>
      </c>
      <c r="E5" s="2">
        <f>IFERROR(__xludf.DUMMYFUNCTION("""COMPUTED_VALUE"""),835.0)</f>
        <v>835</v>
      </c>
      <c r="F5" s="2">
        <f>IFERROR(__xludf.DUMMYFUNCTION("""COMPUTED_VALUE"""),4.32594E7)</f>
        <v>43259400</v>
      </c>
      <c r="G5" s="2">
        <f t="shared" si="1"/>
        <v>40</v>
      </c>
    </row>
    <row r="6" ht="15.75" customHeight="1">
      <c r="A6" s="1">
        <f>IFERROR(__xludf.DUMMYFUNCTION("""COMPUTED_VALUE"""),44987.66666666667)</f>
        <v>44987.66667</v>
      </c>
      <c r="B6" s="2">
        <f>IFERROR(__xludf.DUMMYFUNCTION("""COMPUTED_VALUE"""),840.0)</f>
        <v>840</v>
      </c>
      <c r="C6" s="2">
        <f>IFERROR(__xludf.DUMMYFUNCTION("""COMPUTED_VALUE"""),875.0)</f>
        <v>875</v>
      </c>
      <c r="D6" s="2">
        <f>IFERROR(__xludf.DUMMYFUNCTION("""COMPUTED_VALUE"""),820.0)</f>
        <v>820</v>
      </c>
      <c r="E6" s="2">
        <f>IFERROR(__xludf.DUMMYFUNCTION("""COMPUTED_VALUE"""),870.0)</f>
        <v>870</v>
      </c>
      <c r="F6" s="2">
        <f>IFERROR(__xludf.DUMMYFUNCTION("""COMPUTED_VALUE"""),5.5298E7)</f>
        <v>55298000</v>
      </c>
      <c r="G6" s="2">
        <f t="shared" si="1"/>
        <v>55</v>
      </c>
    </row>
    <row r="7" ht="15.75" customHeight="1">
      <c r="A7" s="1">
        <f>IFERROR(__xludf.DUMMYFUNCTION("""COMPUTED_VALUE"""),44988.66666666667)</f>
        <v>44988.66667</v>
      </c>
      <c r="B7" s="2">
        <f>IFERROR(__xludf.DUMMYFUNCTION("""COMPUTED_VALUE"""),870.0)</f>
        <v>870</v>
      </c>
      <c r="C7" s="2">
        <f>IFERROR(__xludf.DUMMYFUNCTION("""COMPUTED_VALUE"""),875.0)</f>
        <v>875</v>
      </c>
      <c r="D7" s="2">
        <f>IFERROR(__xludf.DUMMYFUNCTION("""COMPUTED_VALUE"""),855.0)</f>
        <v>855</v>
      </c>
      <c r="E7" s="2">
        <f>IFERROR(__xludf.DUMMYFUNCTION("""COMPUTED_VALUE"""),875.0)</f>
        <v>875</v>
      </c>
      <c r="F7" s="2">
        <f>IFERROR(__xludf.DUMMYFUNCTION("""COMPUTED_VALUE"""),3.41816E7)</f>
        <v>34181600</v>
      </c>
      <c r="G7" s="2">
        <f t="shared" si="1"/>
        <v>20</v>
      </c>
    </row>
    <row r="8" ht="15.75" customHeight="1">
      <c r="A8" s="1">
        <f>IFERROR(__xludf.DUMMYFUNCTION("""COMPUTED_VALUE"""),44991.66666666667)</f>
        <v>44991.66667</v>
      </c>
      <c r="B8" s="2">
        <f>IFERROR(__xludf.DUMMYFUNCTION("""COMPUTED_VALUE"""),870.0)</f>
        <v>870</v>
      </c>
      <c r="C8" s="2">
        <f>IFERROR(__xludf.DUMMYFUNCTION("""COMPUTED_VALUE"""),880.0)</f>
        <v>880</v>
      </c>
      <c r="D8" s="2">
        <f>IFERROR(__xludf.DUMMYFUNCTION("""COMPUTED_VALUE"""),845.0)</f>
        <v>845</v>
      </c>
      <c r="E8" s="2">
        <f>IFERROR(__xludf.DUMMYFUNCTION("""COMPUTED_VALUE"""),860.0)</f>
        <v>860</v>
      </c>
      <c r="F8" s="2">
        <f>IFERROR(__xludf.DUMMYFUNCTION("""COMPUTED_VALUE"""),3.05213E7)</f>
        <v>30521300</v>
      </c>
      <c r="G8" s="2">
        <f t="shared" si="1"/>
        <v>35</v>
      </c>
    </row>
    <row r="9" ht="15.75" customHeight="1">
      <c r="A9" s="1">
        <f>IFERROR(__xludf.DUMMYFUNCTION("""COMPUTED_VALUE"""),44992.66666666667)</f>
        <v>44992.66667</v>
      </c>
      <c r="B9" s="2">
        <f>IFERROR(__xludf.DUMMYFUNCTION("""COMPUTED_VALUE"""),860.0)</f>
        <v>860</v>
      </c>
      <c r="C9" s="2">
        <f>IFERROR(__xludf.DUMMYFUNCTION("""COMPUTED_VALUE"""),875.0)</f>
        <v>875</v>
      </c>
      <c r="D9" s="2">
        <f>IFERROR(__xludf.DUMMYFUNCTION("""COMPUTED_VALUE"""),855.0)</f>
        <v>855</v>
      </c>
      <c r="E9" s="2">
        <f>IFERROR(__xludf.DUMMYFUNCTION("""COMPUTED_VALUE"""),860.0)</f>
        <v>860</v>
      </c>
      <c r="F9" s="2">
        <f>IFERROR(__xludf.DUMMYFUNCTION("""COMPUTED_VALUE"""),1.40883E7)</f>
        <v>14088300</v>
      </c>
      <c r="G9" s="2">
        <f t="shared" si="1"/>
        <v>20</v>
      </c>
    </row>
    <row r="10" ht="15.75" customHeight="1">
      <c r="A10" s="1">
        <f>IFERROR(__xludf.DUMMYFUNCTION("""COMPUTED_VALUE"""),44993.66666666667)</f>
        <v>44993.66667</v>
      </c>
      <c r="B10" s="2">
        <f>IFERROR(__xludf.DUMMYFUNCTION("""COMPUTED_VALUE"""),860.0)</f>
        <v>860</v>
      </c>
      <c r="C10" s="2">
        <f>IFERROR(__xludf.DUMMYFUNCTION("""COMPUTED_VALUE"""),865.0)</f>
        <v>865</v>
      </c>
      <c r="D10" s="2">
        <f>IFERROR(__xludf.DUMMYFUNCTION("""COMPUTED_VALUE"""),850.0)</f>
        <v>850</v>
      </c>
      <c r="E10" s="2">
        <f>IFERROR(__xludf.DUMMYFUNCTION("""COMPUTED_VALUE"""),860.0)</f>
        <v>860</v>
      </c>
      <c r="F10" s="2">
        <f>IFERROR(__xludf.DUMMYFUNCTION("""COMPUTED_VALUE"""),8540300.0)</f>
        <v>8540300</v>
      </c>
      <c r="G10" s="2">
        <f t="shared" si="1"/>
        <v>15</v>
      </c>
    </row>
    <row r="11" ht="15.75" customHeight="1">
      <c r="A11" s="1">
        <f>IFERROR(__xludf.DUMMYFUNCTION("""COMPUTED_VALUE"""),44994.66666666667)</f>
        <v>44994.66667</v>
      </c>
      <c r="B11" s="2">
        <f>IFERROR(__xludf.DUMMYFUNCTION("""COMPUTED_VALUE"""),860.0)</f>
        <v>860</v>
      </c>
      <c r="C11" s="2">
        <f>IFERROR(__xludf.DUMMYFUNCTION("""COMPUTED_VALUE"""),865.0)</f>
        <v>865</v>
      </c>
      <c r="D11" s="2">
        <f>IFERROR(__xludf.DUMMYFUNCTION("""COMPUTED_VALUE"""),850.0)</f>
        <v>850</v>
      </c>
      <c r="E11" s="2">
        <f>IFERROR(__xludf.DUMMYFUNCTION("""COMPUTED_VALUE"""),855.0)</f>
        <v>855</v>
      </c>
      <c r="F11" s="2">
        <f>IFERROR(__xludf.DUMMYFUNCTION("""COMPUTED_VALUE"""),1.10068E7)</f>
        <v>11006800</v>
      </c>
      <c r="G11" s="2">
        <f t="shared" si="1"/>
        <v>15</v>
      </c>
    </row>
    <row r="12" ht="15.75" customHeight="1">
      <c r="A12" s="1">
        <f>IFERROR(__xludf.DUMMYFUNCTION("""COMPUTED_VALUE"""),44995.66666666667)</f>
        <v>44995.66667</v>
      </c>
      <c r="B12" s="2">
        <f>IFERROR(__xludf.DUMMYFUNCTION("""COMPUTED_VALUE"""),855.0)</f>
        <v>855</v>
      </c>
      <c r="C12" s="2">
        <f>IFERROR(__xludf.DUMMYFUNCTION("""COMPUTED_VALUE"""),860.0)</f>
        <v>860</v>
      </c>
      <c r="D12" s="2">
        <f>IFERROR(__xludf.DUMMYFUNCTION("""COMPUTED_VALUE"""),830.0)</f>
        <v>830</v>
      </c>
      <c r="E12" s="2">
        <f>IFERROR(__xludf.DUMMYFUNCTION("""COMPUTED_VALUE"""),860.0)</f>
        <v>860</v>
      </c>
      <c r="F12" s="2">
        <f>IFERROR(__xludf.DUMMYFUNCTION("""COMPUTED_VALUE"""),1.00848E7)</f>
        <v>10084800</v>
      </c>
      <c r="G12" s="2">
        <f t="shared" si="1"/>
        <v>30</v>
      </c>
    </row>
    <row r="13" ht="15.75" customHeight="1">
      <c r="A13" s="1">
        <f>IFERROR(__xludf.DUMMYFUNCTION("""COMPUTED_VALUE"""),44998.66666666667)</f>
        <v>44998.66667</v>
      </c>
      <c r="B13" s="2">
        <f>IFERROR(__xludf.DUMMYFUNCTION("""COMPUTED_VALUE"""),860.0)</f>
        <v>860</v>
      </c>
      <c r="C13" s="2">
        <f>IFERROR(__xludf.DUMMYFUNCTION("""COMPUTED_VALUE"""),860.0)</f>
        <v>860</v>
      </c>
      <c r="D13" s="2">
        <f>IFERROR(__xludf.DUMMYFUNCTION("""COMPUTED_VALUE"""),830.0)</f>
        <v>830</v>
      </c>
      <c r="E13" s="2">
        <f>IFERROR(__xludf.DUMMYFUNCTION("""COMPUTED_VALUE"""),840.0)</f>
        <v>840</v>
      </c>
      <c r="F13" s="2">
        <f>IFERROR(__xludf.DUMMYFUNCTION("""COMPUTED_VALUE"""),4519100.0)</f>
        <v>4519100</v>
      </c>
      <c r="G13" s="2">
        <f t="shared" si="1"/>
        <v>30</v>
      </c>
    </row>
    <row r="14" ht="15.75" customHeight="1">
      <c r="A14" s="1">
        <f>IFERROR(__xludf.DUMMYFUNCTION("""COMPUTED_VALUE"""),44999.66666666667)</f>
        <v>44999.66667</v>
      </c>
      <c r="B14" s="2">
        <f>IFERROR(__xludf.DUMMYFUNCTION("""COMPUTED_VALUE"""),840.0)</f>
        <v>840</v>
      </c>
      <c r="C14" s="2">
        <f>IFERROR(__xludf.DUMMYFUNCTION("""COMPUTED_VALUE"""),840.0)</f>
        <v>840</v>
      </c>
      <c r="D14" s="2">
        <f>IFERROR(__xludf.DUMMYFUNCTION("""COMPUTED_VALUE"""),810.0)</f>
        <v>810</v>
      </c>
      <c r="E14" s="2">
        <f>IFERROR(__xludf.DUMMYFUNCTION("""COMPUTED_VALUE"""),825.0)</f>
        <v>825</v>
      </c>
      <c r="F14" s="2">
        <f>IFERROR(__xludf.DUMMYFUNCTION("""COMPUTED_VALUE"""),8412400.0)</f>
        <v>8412400</v>
      </c>
      <c r="G14" s="2">
        <f t="shared" si="1"/>
        <v>30</v>
      </c>
    </row>
    <row r="15" ht="15.75" customHeight="1">
      <c r="A15" s="1">
        <f>IFERROR(__xludf.DUMMYFUNCTION("""COMPUTED_VALUE"""),45000.66666666667)</f>
        <v>45000.66667</v>
      </c>
      <c r="B15" s="2">
        <f>IFERROR(__xludf.DUMMYFUNCTION("""COMPUTED_VALUE"""),825.0)</f>
        <v>825</v>
      </c>
      <c r="C15" s="2">
        <f>IFERROR(__xludf.DUMMYFUNCTION("""COMPUTED_VALUE"""),835.0)</f>
        <v>835</v>
      </c>
      <c r="D15" s="2">
        <f>IFERROR(__xludf.DUMMYFUNCTION("""COMPUTED_VALUE"""),805.0)</f>
        <v>805</v>
      </c>
      <c r="E15" s="2">
        <f>IFERROR(__xludf.DUMMYFUNCTION("""COMPUTED_VALUE"""),810.0)</f>
        <v>810</v>
      </c>
      <c r="F15" s="2">
        <f>IFERROR(__xludf.DUMMYFUNCTION("""COMPUTED_VALUE"""),1.03506E7)</f>
        <v>10350600</v>
      </c>
      <c r="G15" s="2">
        <f t="shared" si="1"/>
        <v>30</v>
      </c>
    </row>
    <row r="16" ht="15.75" customHeight="1">
      <c r="A16" s="1">
        <f>IFERROR(__xludf.DUMMYFUNCTION("""COMPUTED_VALUE"""),45001.66666666667)</f>
        <v>45001.66667</v>
      </c>
      <c r="B16" s="2">
        <f>IFERROR(__xludf.DUMMYFUNCTION("""COMPUTED_VALUE"""),810.0)</f>
        <v>810</v>
      </c>
      <c r="C16" s="2">
        <f>IFERROR(__xludf.DUMMYFUNCTION("""COMPUTED_VALUE"""),815.0)</f>
        <v>815</v>
      </c>
      <c r="D16" s="2">
        <f>IFERROR(__xludf.DUMMYFUNCTION("""COMPUTED_VALUE"""),775.0)</f>
        <v>775</v>
      </c>
      <c r="E16" s="2">
        <f>IFERROR(__xludf.DUMMYFUNCTION("""COMPUTED_VALUE"""),790.0)</f>
        <v>790</v>
      </c>
      <c r="F16" s="2">
        <f>IFERROR(__xludf.DUMMYFUNCTION("""COMPUTED_VALUE"""),3.2026E7)</f>
        <v>32026000</v>
      </c>
      <c r="G16" s="2">
        <f t="shared" si="1"/>
        <v>40</v>
      </c>
    </row>
    <row r="17" ht="15.75" customHeight="1">
      <c r="A17" s="1">
        <f>IFERROR(__xludf.DUMMYFUNCTION("""COMPUTED_VALUE"""),45002.66666666667)</f>
        <v>45002.66667</v>
      </c>
      <c r="B17" s="2">
        <f>IFERROR(__xludf.DUMMYFUNCTION("""COMPUTED_VALUE"""),790.0)</f>
        <v>790</v>
      </c>
      <c r="C17" s="2">
        <f>IFERROR(__xludf.DUMMYFUNCTION("""COMPUTED_VALUE"""),820.0)</f>
        <v>820</v>
      </c>
      <c r="D17" s="2">
        <f>IFERROR(__xludf.DUMMYFUNCTION("""COMPUTED_VALUE"""),785.0)</f>
        <v>785</v>
      </c>
      <c r="E17" s="2">
        <f>IFERROR(__xludf.DUMMYFUNCTION("""COMPUTED_VALUE"""),805.0)</f>
        <v>805</v>
      </c>
      <c r="F17" s="2">
        <f>IFERROR(__xludf.DUMMYFUNCTION("""COMPUTED_VALUE"""),1.13377E7)</f>
        <v>11337700</v>
      </c>
      <c r="G17" s="2">
        <f t="shared" si="1"/>
        <v>35</v>
      </c>
    </row>
    <row r="18" ht="15.75" customHeight="1">
      <c r="A18" s="1">
        <f>IFERROR(__xludf.DUMMYFUNCTION("""COMPUTED_VALUE"""),45005.66666666667)</f>
        <v>45005.66667</v>
      </c>
      <c r="B18" s="2">
        <f>IFERROR(__xludf.DUMMYFUNCTION("""COMPUTED_VALUE"""),800.0)</f>
        <v>800</v>
      </c>
      <c r="C18" s="2">
        <f>IFERROR(__xludf.DUMMYFUNCTION("""COMPUTED_VALUE"""),820.0)</f>
        <v>820</v>
      </c>
      <c r="D18" s="2">
        <f>IFERROR(__xludf.DUMMYFUNCTION("""COMPUTED_VALUE"""),795.0)</f>
        <v>795</v>
      </c>
      <c r="E18" s="2">
        <f>IFERROR(__xludf.DUMMYFUNCTION("""COMPUTED_VALUE"""),800.0)</f>
        <v>800</v>
      </c>
      <c r="F18" s="2">
        <f>IFERROR(__xludf.DUMMYFUNCTION("""COMPUTED_VALUE"""),1.10868E7)</f>
        <v>11086800</v>
      </c>
      <c r="G18" s="2">
        <f t="shared" si="1"/>
        <v>25</v>
      </c>
    </row>
    <row r="19" ht="15.75" customHeight="1">
      <c r="A19" s="1">
        <f>IFERROR(__xludf.DUMMYFUNCTION("""COMPUTED_VALUE"""),45006.66666666667)</f>
        <v>45006.66667</v>
      </c>
      <c r="B19" s="2">
        <f>IFERROR(__xludf.DUMMYFUNCTION("""COMPUTED_VALUE"""),800.0)</f>
        <v>800</v>
      </c>
      <c r="C19" s="2">
        <f>IFERROR(__xludf.DUMMYFUNCTION("""COMPUTED_VALUE"""),800.0)</f>
        <v>800</v>
      </c>
      <c r="D19" s="2">
        <f>IFERROR(__xludf.DUMMYFUNCTION("""COMPUTED_VALUE"""),790.0)</f>
        <v>790</v>
      </c>
      <c r="E19" s="2">
        <f>IFERROR(__xludf.DUMMYFUNCTION("""COMPUTED_VALUE"""),800.0)</f>
        <v>800</v>
      </c>
      <c r="F19" s="2">
        <f>IFERROR(__xludf.DUMMYFUNCTION("""COMPUTED_VALUE"""),2938400.0)</f>
        <v>2938400</v>
      </c>
      <c r="G19" s="2">
        <f t="shared" si="1"/>
        <v>10</v>
      </c>
    </row>
    <row r="20" ht="15.75" customHeight="1">
      <c r="A20" s="1">
        <f>IFERROR(__xludf.DUMMYFUNCTION("""COMPUTED_VALUE"""),45009.66666666667)</f>
        <v>45009.66667</v>
      </c>
      <c r="B20" s="2">
        <f>IFERROR(__xludf.DUMMYFUNCTION("""COMPUTED_VALUE"""),800.0)</f>
        <v>800</v>
      </c>
      <c r="C20" s="2">
        <f>IFERROR(__xludf.DUMMYFUNCTION("""COMPUTED_VALUE"""),805.0)</f>
        <v>805</v>
      </c>
      <c r="D20" s="2">
        <f>IFERROR(__xludf.DUMMYFUNCTION("""COMPUTED_VALUE"""),785.0)</f>
        <v>785</v>
      </c>
      <c r="E20" s="2">
        <f>IFERROR(__xludf.DUMMYFUNCTION("""COMPUTED_VALUE"""),795.0)</f>
        <v>795</v>
      </c>
      <c r="F20" s="2">
        <f>IFERROR(__xludf.DUMMYFUNCTION("""COMPUTED_VALUE"""),5173700.0)</f>
        <v>5173700</v>
      </c>
      <c r="G20" s="2">
        <f t="shared" si="1"/>
        <v>20</v>
      </c>
    </row>
    <row r="21" ht="15.75" customHeight="1">
      <c r="A21" s="1">
        <f>IFERROR(__xludf.DUMMYFUNCTION("""COMPUTED_VALUE"""),45012.66666666667)</f>
        <v>45012.66667</v>
      </c>
      <c r="B21" s="2">
        <f>IFERROR(__xludf.DUMMYFUNCTION("""COMPUTED_VALUE"""),800.0)</f>
        <v>800</v>
      </c>
      <c r="C21" s="2">
        <f>IFERROR(__xludf.DUMMYFUNCTION("""COMPUTED_VALUE"""),800.0)</f>
        <v>800</v>
      </c>
      <c r="D21" s="2">
        <f>IFERROR(__xludf.DUMMYFUNCTION("""COMPUTED_VALUE"""),740.0)</f>
        <v>740</v>
      </c>
      <c r="E21" s="2">
        <f>IFERROR(__xludf.DUMMYFUNCTION("""COMPUTED_VALUE"""),740.0)</f>
        <v>740</v>
      </c>
      <c r="F21" s="2">
        <f>IFERROR(__xludf.DUMMYFUNCTION("""COMPUTED_VALUE"""),1.93156E7)</f>
        <v>19315600</v>
      </c>
      <c r="G21" s="2">
        <f t="shared" si="1"/>
        <v>60</v>
      </c>
    </row>
    <row r="22" ht="15.75" customHeight="1">
      <c r="A22" s="1">
        <f>IFERROR(__xludf.DUMMYFUNCTION("""COMPUTED_VALUE"""),45013.66666666667)</f>
        <v>45013.66667</v>
      </c>
      <c r="B22" s="2">
        <f>IFERROR(__xludf.DUMMYFUNCTION("""COMPUTED_VALUE"""),700.0)</f>
        <v>700</v>
      </c>
      <c r="C22" s="2">
        <f>IFERROR(__xludf.DUMMYFUNCTION("""COMPUTED_VALUE"""),740.0)</f>
        <v>740</v>
      </c>
      <c r="D22" s="2">
        <f>IFERROR(__xludf.DUMMYFUNCTION("""COMPUTED_VALUE"""),690.0)</f>
        <v>690</v>
      </c>
      <c r="E22" s="2">
        <f>IFERROR(__xludf.DUMMYFUNCTION("""COMPUTED_VALUE"""),695.0)</f>
        <v>695</v>
      </c>
      <c r="F22" s="2">
        <f>IFERROR(__xludf.DUMMYFUNCTION("""COMPUTED_VALUE"""),2.75E7)</f>
        <v>27500000</v>
      </c>
      <c r="G22" s="2">
        <f t="shared" si="1"/>
        <v>50</v>
      </c>
    </row>
    <row r="23" ht="15.75" customHeight="1">
      <c r="A23" s="1">
        <f>IFERROR(__xludf.DUMMYFUNCTION("""COMPUTED_VALUE"""),45014.66666666667)</f>
        <v>45014.66667</v>
      </c>
      <c r="B23" s="2">
        <f>IFERROR(__xludf.DUMMYFUNCTION("""COMPUTED_VALUE"""),695.0)</f>
        <v>695</v>
      </c>
      <c r="C23" s="2">
        <f>IFERROR(__xludf.DUMMYFUNCTION("""COMPUTED_VALUE"""),720.0)</f>
        <v>720</v>
      </c>
      <c r="D23" s="2">
        <f>IFERROR(__xludf.DUMMYFUNCTION("""COMPUTED_VALUE"""),675.0)</f>
        <v>675</v>
      </c>
      <c r="E23" s="2">
        <f>IFERROR(__xludf.DUMMYFUNCTION("""COMPUTED_VALUE"""),710.0)</f>
        <v>710</v>
      </c>
      <c r="F23" s="2">
        <f>IFERROR(__xludf.DUMMYFUNCTION("""COMPUTED_VALUE"""),1.29463E7)</f>
        <v>12946300</v>
      </c>
      <c r="G23" s="2">
        <f t="shared" si="1"/>
        <v>45</v>
      </c>
    </row>
    <row r="24" ht="15.75" customHeight="1">
      <c r="A24" s="1">
        <f>IFERROR(__xludf.DUMMYFUNCTION("""COMPUTED_VALUE"""),45015.66666666667)</f>
        <v>45015.66667</v>
      </c>
      <c r="B24" s="2">
        <f>IFERROR(__xludf.DUMMYFUNCTION("""COMPUTED_VALUE"""),710.0)</f>
        <v>710</v>
      </c>
      <c r="C24" s="2">
        <f>IFERROR(__xludf.DUMMYFUNCTION("""COMPUTED_VALUE"""),720.0)</f>
        <v>720</v>
      </c>
      <c r="D24" s="2">
        <f>IFERROR(__xludf.DUMMYFUNCTION("""COMPUTED_VALUE"""),695.0)</f>
        <v>695</v>
      </c>
      <c r="E24" s="2">
        <f>IFERROR(__xludf.DUMMYFUNCTION("""COMPUTED_VALUE"""),705.0)</f>
        <v>705</v>
      </c>
      <c r="F24" s="2">
        <f>IFERROR(__xludf.DUMMYFUNCTION("""COMPUTED_VALUE"""),5913300.0)</f>
        <v>5913300</v>
      </c>
      <c r="G24" s="2">
        <f t="shared" si="1"/>
        <v>25</v>
      </c>
    </row>
    <row r="25" ht="15.75" customHeight="1">
      <c r="A25" s="1">
        <f>IFERROR(__xludf.DUMMYFUNCTION("""COMPUTED_VALUE"""),45016.66666666667)</f>
        <v>45016.66667</v>
      </c>
      <c r="B25" s="2">
        <f>IFERROR(__xludf.DUMMYFUNCTION("""COMPUTED_VALUE"""),715.0)</f>
        <v>715</v>
      </c>
      <c r="C25" s="2">
        <f>IFERROR(__xludf.DUMMYFUNCTION("""COMPUTED_VALUE"""),720.0)</f>
        <v>720</v>
      </c>
      <c r="D25" s="2">
        <f>IFERROR(__xludf.DUMMYFUNCTION("""COMPUTED_VALUE"""),690.0)</f>
        <v>690</v>
      </c>
      <c r="E25" s="2">
        <f>IFERROR(__xludf.DUMMYFUNCTION("""COMPUTED_VALUE"""),695.0)</f>
        <v>695</v>
      </c>
      <c r="F25" s="2">
        <f>IFERROR(__xludf.DUMMYFUNCTION("""COMPUTED_VALUE"""),1.49339E7)</f>
        <v>14933900</v>
      </c>
      <c r="G25" s="2">
        <f t="shared" si="1"/>
        <v>30</v>
      </c>
    </row>
    <row r="26" ht="15.75" customHeight="1">
      <c r="A26" s="1">
        <f>IFERROR(__xludf.DUMMYFUNCTION("""COMPUTED_VALUE"""),45019.66666666667)</f>
        <v>45019.66667</v>
      </c>
      <c r="B26" s="2">
        <f>IFERROR(__xludf.DUMMYFUNCTION("""COMPUTED_VALUE"""),695.0)</f>
        <v>695</v>
      </c>
      <c r="C26" s="2">
        <f>IFERROR(__xludf.DUMMYFUNCTION("""COMPUTED_VALUE"""),700.0)</f>
        <v>700</v>
      </c>
      <c r="D26" s="2">
        <f>IFERROR(__xludf.DUMMYFUNCTION("""COMPUTED_VALUE"""),655.0)</f>
        <v>655</v>
      </c>
      <c r="E26" s="2">
        <f>IFERROR(__xludf.DUMMYFUNCTION("""COMPUTED_VALUE"""),655.0)</f>
        <v>655</v>
      </c>
      <c r="F26" s="2">
        <f>IFERROR(__xludf.DUMMYFUNCTION("""COMPUTED_VALUE"""),1.95589E7)</f>
        <v>19558900</v>
      </c>
      <c r="G26" s="2">
        <f t="shared" si="1"/>
        <v>45</v>
      </c>
    </row>
    <row r="27" ht="15.75" customHeight="1">
      <c r="A27" s="1">
        <f>IFERROR(__xludf.DUMMYFUNCTION("""COMPUTED_VALUE"""),45020.66666666667)</f>
        <v>45020.66667</v>
      </c>
      <c r="B27" s="2">
        <f>IFERROR(__xludf.DUMMYFUNCTION("""COMPUTED_VALUE"""),620.0)</f>
        <v>620</v>
      </c>
      <c r="C27" s="2">
        <f>IFERROR(__xludf.DUMMYFUNCTION("""COMPUTED_VALUE"""),665.0)</f>
        <v>665</v>
      </c>
      <c r="D27" s="2">
        <f>IFERROR(__xludf.DUMMYFUNCTION("""COMPUTED_VALUE"""),620.0)</f>
        <v>620</v>
      </c>
      <c r="E27" s="2">
        <f>IFERROR(__xludf.DUMMYFUNCTION("""COMPUTED_VALUE"""),660.0)</f>
        <v>660</v>
      </c>
      <c r="F27" s="2">
        <f>IFERROR(__xludf.DUMMYFUNCTION("""COMPUTED_VALUE"""),1.099E7)</f>
        <v>10990000</v>
      </c>
      <c r="G27" s="2">
        <f t="shared" si="1"/>
        <v>45</v>
      </c>
    </row>
    <row r="28" ht="15.75" customHeight="1">
      <c r="A28" s="1">
        <f>IFERROR(__xludf.DUMMYFUNCTION("""COMPUTED_VALUE"""),45021.66666666667)</f>
        <v>45021.66667</v>
      </c>
      <c r="B28" s="2">
        <f>IFERROR(__xludf.DUMMYFUNCTION("""COMPUTED_VALUE"""),655.0)</f>
        <v>655</v>
      </c>
      <c r="C28" s="2">
        <f>IFERROR(__xludf.DUMMYFUNCTION("""COMPUTED_VALUE"""),675.0)</f>
        <v>675</v>
      </c>
      <c r="D28" s="2">
        <f>IFERROR(__xludf.DUMMYFUNCTION("""COMPUTED_VALUE"""),650.0)</f>
        <v>650</v>
      </c>
      <c r="E28" s="2">
        <f>IFERROR(__xludf.DUMMYFUNCTION("""COMPUTED_VALUE"""),665.0)</f>
        <v>665</v>
      </c>
      <c r="F28" s="2">
        <f>IFERROR(__xludf.DUMMYFUNCTION("""COMPUTED_VALUE"""),7587200.0)</f>
        <v>7587200</v>
      </c>
      <c r="G28" s="2">
        <f t="shared" si="1"/>
        <v>25</v>
      </c>
    </row>
    <row r="29" ht="15.75" customHeight="1">
      <c r="A29" s="1">
        <f>IFERROR(__xludf.DUMMYFUNCTION("""COMPUTED_VALUE"""),45022.66666666667)</f>
        <v>45022.66667</v>
      </c>
      <c r="B29" s="2">
        <f>IFERROR(__xludf.DUMMYFUNCTION("""COMPUTED_VALUE"""),665.0)</f>
        <v>665</v>
      </c>
      <c r="C29" s="2">
        <f>IFERROR(__xludf.DUMMYFUNCTION("""COMPUTED_VALUE"""),670.0)</f>
        <v>670</v>
      </c>
      <c r="D29" s="2">
        <f>IFERROR(__xludf.DUMMYFUNCTION("""COMPUTED_VALUE"""),650.0)</f>
        <v>650</v>
      </c>
      <c r="E29" s="2">
        <f>IFERROR(__xludf.DUMMYFUNCTION("""COMPUTED_VALUE"""),650.0)</f>
        <v>650</v>
      </c>
      <c r="F29" s="2">
        <f>IFERROR(__xludf.DUMMYFUNCTION("""COMPUTED_VALUE"""),8404500.0)</f>
        <v>8404500</v>
      </c>
      <c r="G29" s="2">
        <f t="shared" si="1"/>
        <v>20</v>
      </c>
    </row>
    <row r="30" ht="15.75" customHeight="1">
      <c r="A30" s="1">
        <f>IFERROR(__xludf.DUMMYFUNCTION("""COMPUTED_VALUE"""),45026.66666666667)</f>
        <v>45026.66667</v>
      </c>
      <c r="B30" s="2">
        <f>IFERROR(__xludf.DUMMYFUNCTION("""COMPUTED_VALUE"""),650.0)</f>
        <v>650</v>
      </c>
      <c r="C30" s="2">
        <f>IFERROR(__xludf.DUMMYFUNCTION("""COMPUTED_VALUE"""),655.0)</f>
        <v>655</v>
      </c>
      <c r="D30" s="2">
        <f>IFERROR(__xludf.DUMMYFUNCTION("""COMPUTED_VALUE"""),610.0)</f>
        <v>610</v>
      </c>
      <c r="E30" s="2">
        <f>IFERROR(__xludf.DUMMYFUNCTION("""COMPUTED_VALUE"""),615.0)</f>
        <v>615</v>
      </c>
      <c r="F30" s="2">
        <f>IFERROR(__xludf.DUMMYFUNCTION("""COMPUTED_VALUE"""),1.84486E7)</f>
        <v>18448600</v>
      </c>
      <c r="G30" s="2">
        <f t="shared" si="1"/>
        <v>45</v>
      </c>
    </row>
    <row r="31" ht="15.75" customHeight="1">
      <c r="A31" s="1">
        <f>IFERROR(__xludf.DUMMYFUNCTION("""COMPUTED_VALUE"""),45027.66666666667)</f>
        <v>45027.66667</v>
      </c>
      <c r="B31" s="2">
        <f>IFERROR(__xludf.DUMMYFUNCTION("""COMPUTED_VALUE"""),595.0)</f>
        <v>595</v>
      </c>
      <c r="C31" s="2">
        <f>IFERROR(__xludf.DUMMYFUNCTION("""COMPUTED_VALUE"""),715.0)</f>
        <v>715</v>
      </c>
      <c r="D31" s="2">
        <f>IFERROR(__xludf.DUMMYFUNCTION("""COMPUTED_VALUE"""),595.0)</f>
        <v>595</v>
      </c>
      <c r="E31" s="2">
        <f>IFERROR(__xludf.DUMMYFUNCTION("""COMPUTED_VALUE"""),695.0)</f>
        <v>695</v>
      </c>
      <c r="F31" s="2">
        <f>IFERROR(__xludf.DUMMYFUNCTION("""COMPUTED_VALUE"""),3.79527E7)</f>
        <v>37952700</v>
      </c>
      <c r="G31" s="2">
        <f t="shared" si="1"/>
        <v>120</v>
      </c>
    </row>
    <row r="32" ht="15.75" customHeight="1">
      <c r="A32" s="1">
        <f>IFERROR(__xludf.DUMMYFUNCTION("""COMPUTED_VALUE"""),45028.66666666667)</f>
        <v>45028.66667</v>
      </c>
      <c r="B32" s="2">
        <f>IFERROR(__xludf.DUMMYFUNCTION("""COMPUTED_VALUE"""),700.0)</f>
        <v>700</v>
      </c>
      <c r="C32" s="2">
        <f>IFERROR(__xludf.DUMMYFUNCTION("""COMPUTED_VALUE"""),710.0)</f>
        <v>710</v>
      </c>
      <c r="D32" s="2">
        <f>IFERROR(__xludf.DUMMYFUNCTION("""COMPUTED_VALUE"""),660.0)</f>
        <v>660</v>
      </c>
      <c r="E32" s="2">
        <f>IFERROR(__xludf.DUMMYFUNCTION("""COMPUTED_VALUE"""),685.0)</f>
        <v>685</v>
      </c>
      <c r="F32" s="2">
        <f>IFERROR(__xludf.DUMMYFUNCTION("""COMPUTED_VALUE"""),2.98653E7)</f>
        <v>29865300</v>
      </c>
      <c r="G32" s="2">
        <f t="shared" si="1"/>
        <v>50</v>
      </c>
    </row>
    <row r="33" ht="15.75" customHeight="1">
      <c r="A33" s="1">
        <f>IFERROR(__xludf.DUMMYFUNCTION("""COMPUTED_VALUE"""),45029.66666666667)</f>
        <v>45029.66667</v>
      </c>
      <c r="B33" s="2">
        <f>IFERROR(__xludf.DUMMYFUNCTION("""COMPUTED_VALUE"""),685.0)</f>
        <v>685</v>
      </c>
      <c r="C33" s="2">
        <f>IFERROR(__xludf.DUMMYFUNCTION("""COMPUTED_VALUE"""),730.0)</f>
        <v>730</v>
      </c>
      <c r="D33" s="2">
        <f>IFERROR(__xludf.DUMMYFUNCTION("""COMPUTED_VALUE"""),670.0)</f>
        <v>670</v>
      </c>
      <c r="E33" s="2">
        <f>IFERROR(__xludf.DUMMYFUNCTION("""COMPUTED_VALUE"""),720.0)</f>
        <v>720</v>
      </c>
      <c r="F33" s="2">
        <f>IFERROR(__xludf.DUMMYFUNCTION("""COMPUTED_VALUE"""),2.3065E7)</f>
        <v>23065000</v>
      </c>
      <c r="G33" s="2">
        <f t="shared" si="1"/>
        <v>60</v>
      </c>
    </row>
    <row r="34" ht="15.75" customHeight="1">
      <c r="A34" s="1">
        <f>IFERROR(__xludf.DUMMYFUNCTION("""COMPUTED_VALUE"""),45030.66666666667)</f>
        <v>45030.66667</v>
      </c>
      <c r="B34" s="2">
        <f>IFERROR(__xludf.DUMMYFUNCTION("""COMPUTED_VALUE"""),725.0)</f>
        <v>725</v>
      </c>
      <c r="C34" s="2">
        <f>IFERROR(__xludf.DUMMYFUNCTION("""COMPUTED_VALUE"""),735.0)</f>
        <v>735</v>
      </c>
      <c r="D34" s="2">
        <f>IFERROR(__xludf.DUMMYFUNCTION("""COMPUTED_VALUE"""),705.0)</f>
        <v>705</v>
      </c>
      <c r="E34" s="2">
        <f>IFERROR(__xludf.DUMMYFUNCTION("""COMPUTED_VALUE"""),720.0)</f>
        <v>720</v>
      </c>
      <c r="F34" s="2">
        <f>IFERROR(__xludf.DUMMYFUNCTION("""COMPUTED_VALUE"""),1.96848E7)</f>
        <v>19684800</v>
      </c>
      <c r="G34" s="2">
        <f t="shared" si="1"/>
        <v>30</v>
      </c>
    </row>
    <row r="35" ht="15.75" customHeight="1">
      <c r="A35" s="1">
        <f>IFERROR(__xludf.DUMMYFUNCTION("""COMPUTED_VALUE"""),45033.66666666667)</f>
        <v>45033.66667</v>
      </c>
      <c r="B35" s="2">
        <f>IFERROR(__xludf.DUMMYFUNCTION("""COMPUTED_VALUE"""),730.0)</f>
        <v>730</v>
      </c>
      <c r="C35" s="2">
        <f>IFERROR(__xludf.DUMMYFUNCTION("""COMPUTED_VALUE"""),760.0)</f>
        <v>760</v>
      </c>
      <c r="D35" s="2">
        <f>IFERROR(__xludf.DUMMYFUNCTION("""COMPUTED_VALUE"""),715.0)</f>
        <v>715</v>
      </c>
      <c r="E35" s="2">
        <f>IFERROR(__xludf.DUMMYFUNCTION("""COMPUTED_VALUE"""),750.0)</f>
        <v>750</v>
      </c>
      <c r="F35" s="2">
        <f>IFERROR(__xludf.DUMMYFUNCTION("""COMPUTED_VALUE"""),2.29946E7)</f>
        <v>22994600</v>
      </c>
      <c r="G35" s="2">
        <f t="shared" si="1"/>
        <v>45</v>
      </c>
    </row>
    <row r="36" ht="15.75" customHeight="1">
      <c r="A36" s="1">
        <f>IFERROR(__xludf.DUMMYFUNCTION("""COMPUTED_VALUE"""),45034.66666666667)</f>
        <v>45034.66667</v>
      </c>
      <c r="B36" s="2">
        <f>IFERROR(__xludf.DUMMYFUNCTION("""COMPUTED_VALUE"""),755.0)</f>
        <v>755</v>
      </c>
      <c r="C36" s="2">
        <f>IFERROR(__xludf.DUMMYFUNCTION("""COMPUTED_VALUE"""),760.0)</f>
        <v>760</v>
      </c>
      <c r="D36" s="2">
        <f>IFERROR(__xludf.DUMMYFUNCTION("""COMPUTED_VALUE"""),735.0)</f>
        <v>735</v>
      </c>
      <c r="E36" s="2">
        <f>IFERROR(__xludf.DUMMYFUNCTION("""COMPUTED_VALUE"""),750.0)</f>
        <v>750</v>
      </c>
      <c r="F36" s="2">
        <f>IFERROR(__xludf.DUMMYFUNCTION("""COMPUTED_VALUE"""),1.26634E7)</f>
        <v>12663400</v>
      </c>
      <c r="G36" s="2">
        <f t="shared" si="1"/>
        <v>25</v>
      </c>
    </row>
    <row r="37" ht="15.75" customHeight="1">
      <c r="A37" s="1">
        <f>IFERROR(__xludf.DUMMYFUNCTION("""COMPUTED_VALUE"""),45042.66666666667)</f>
        <v>45042.66667</v>
      </c>
      <c r="B37" s="2">
        <f>IFERROR(__xludf.DUMMYFUNCTION("""COMPUTED_VALUE"""),750.0)</f>
        <v>750</v>
      </c>
      <c r="C37" s="2">
        <f>IFERROR(__xludf.DUMMYFUNCTION("""COMPUTED_VALUE"""),775.0)</f>
        <v>775</v>
      </c>
      <c r="D37" s="2">
        <f>IFERROR(__xludf.DUMMYFUNCTION("""COMPUTED_VALUE"""),720.0)</f>
        <v>720</v>
      </c>
      <c r="E37" s="2">
        <f>IFERROR(__xludf.DUMMYFUNCTION("""COMPUTED_VALUE"""),765.0)</f>
        <v>765</v>
      </c>
      <c r="F37" s="2">
        <f>IFERROR(__xludf.DUMMYFUNCTION("""COMPUTED_VALUE"""),8322100.0)</f>
        <v>8322100</v>
      </c>
      <c r="G37" s="2">
        <f t="shared" si="1"/>
        <v>55</v>
      </c>
    </row>
    <row r="38" ht="15.75" customHeight="1">
      <c r="A38" s="1">
        <f>IFERROR(__xludf.DUMMYFUNCTION("""COMPUTED_VALUE"""),45043.66666666667)</f>
        <v>45043.66667</v>
      </c>
      <c r="B38" s="2">
        <f>IFERROR(__xludf.DUMMYFUNCTION("""COMPUTED_VALUE"""),765.0)</f>
        <v>765</v>
      </c>
      <c r="C38" s="2">
        <f>IFERROR(__xludf.DUMMYFUNCTION("""COMPUTED_VALUE"""),765.0)</f>
        <v>765</v>
      </c>
      <c r="D38" s="2">
        <f>IFERROR(__xludf.DUMMYFUNCTION("""COMPUTED_VALUE"""),740.0)</f>
        <v>740</v>
      </c>
      <c r="E38" s="2">
        <f>IFERROR(__xludf.DUMMYFUNCTION("""COMPUTED_VALUE"""),760.0)</f>
        <v>760</v>
      </c>
      <c r="F38" s="2">
        <f>IFERROR(__xludf.DUMMYFUNCTION("""COMPUTED_VALUE"""),1.29863E7)</f>
        <v>12986300</v>
      </c>
      <c r="G38" s="2">
        <f t="shared" si="1"/>
        <v>25</v>
      </c>
    </row>
    <row r="39" ht="15.75" customHeight="1">
      <c r="A39" s="1">
        <f>IFERROR(__xludf.DUMMYFUNCTION("""COMPUTED_VALUE"""),45044.66666666667)</f>
        <v>45044.66667</v>
      </c>
      <c r="B39" s="2">
        <f>IFERROR(__xludf.DUMMYFUNCTION("""COMPUTED_VALUE"""),760.0)</f>
        <v>760</v>
      </c>
      <c r="C39" s="2">
        <f>IFERROR(__xludf.DUMMYFUNCTION("""COMPUTED_VALUE"""),770.0)</f>
        <v>770</v>
      </c>
      <c r="D39" s="2">
        <f>IFERROR(__xludf.DUMMYFUNCTION("""COMPUTED_VALUE"""),745.0)</f>
        <v>745</v>
      </c>
      <c r="E39" s="2">
        <f>IFERROR(__xludf.DUMMYFUNCTION("""COMPUTED_VALUE"""),755.0)</f>
        <v>755</v>
      </c>
      <c r="F39" s="2">
        <f>IFERROR(__xludf.DUMMYFUNCTION("""COMPUTED_VALUE"""),9437800.0)</f>
        <v>9437800</v>
      </c>
      <c r="G39" s="2">
        <f t="shared" si="1"/>
        <v>25</v>
      </c>
    </row>
    <row r="40" ht="15.75" customHeight="1">
      <c r="A40" s="1">
        <f>IFERROR(__xludf.DUMMYFUNCTION("""COMPUTED_VALUE"""),45048.66666666667)</f>
        <v>45048.66667</v>
      </c>
      <c r="B40" s="2">
        <f>IFERROR(__xludf.DUMMYFUNCTION("""COMPUTED_VALUE"""),755.0)</f>
        <v>755</v>
      </c>
      <c r="C40" s="2">
        <f>IFERROR(__xludf.DUMMYFUNCTION("""COMPUTED_VALUE"""),765.0)</f>
        <v>765</v>
      </c>
      <c r="D40" s="2">
        <f>IFERROR(__xludf.DUMMYFUNCTION("""COMPUTED_VALUE"""),740.0)</f>
        <v>740</v>
      </c>
      <c r="E40" s="2">
        <f>IFERROR(__xludf.DUMMYFUNCTION("""COMPUTED_VALUE"""),765.0)</f>
        <v>765</v>
      </c>
      <c r="F40" s="2">
        <f>IFERROR(__xludf.DUMMYFUNCTION("""COMPUTED_VALUE"""),9443900.0)</f>
        <v>9443900</v>
      </c>
      <c r="G40" s="2">
        <f t="shared" si="1"/>
        <v>25</v>
      </c>
    </row>
    <row r="41" ht="15.75" customHeight="1">
      <c r="A41" s="1">
        <f>IFERROR(__xludf.DUMMYFUNCTION("""COMPUTED_VALUE"""),45049.66666666667)</f>
        <v>45049.66667</v>
      </c>
      <c r="B41" s="2">
        <f>IFERROR(__xludf.DUMMYFUNCTION("""COMPUTED_VALUE"""),765.0)</f>
        <v>765</v>
      </c>
      <c r="C41" s="2">
        <f>IFERROR(__xludf.DUMMYFUNCTION("""COMPUTED_VALUE"""),765.0)</f>
        <v>765</v>
      </c>
      <c r="D41" s="2">
        <f>IFERROR(__xludf.DUMMYFUNCTION("""COMPUTED_VALUE"""),750.0)</f>
        <v>750</v>
      </c>
      <c r="E41" s="2">
        <f>IFERROR(__xludf.DUMMYFUNCTION("""COMPUTED_VALUE"""),760.0)</f>
        <v>760</v>
      </c>
      <c r="F41" s="2">
        <f>IFERROR(__xludf.DUMMYFUNCTION("""COMPUTED_VALUE"""),9151700.0)</f>
        <v>9151700</v>
      </c>
      <c r="G41" s="2">
        <f t="shared" si="1"/>
        <v>15</v>
      </c>
    </row>
    <row r="42" ht="15.75" customHeight="1">
      <c r="A42" s="1">
        <f>IFERROR(__xludf.DUMMYFUNCTION("""COMPUTED_VALUE"""),45050.66666666667)</f>
        <v>45050.66667</v>
      </c>
      <c r="B42" s="2">
        <f>IFERROR(__xludf.DUMMYFUNCTION("""COMPUTED_VALUE"""),760.0)</f>
        <v>760</v>
      </c>
      <c r="C42" s="2">
        <f>IFERROR(__xludf.DUMMYFUNCTION("""COMPUTED_VALUE"""),775.0)</f>
        <v>775</v>
      </c>
      <c r="D42" s="2">
        <f>IFERROR(__xludf.DUMMYFUNCTION("""COMPUTED_VALUE"""),755.0)</f>
        <v>755</v>
      </c>
      <c r="E42" s="2">
        <f>IFERROR(__xludf.DUMMYFUNCTION("""COMPUTED_VALUE"""),770.0)</f>
        <v>770</v>
      </c>
      <c r="F42" s="2">
        <f>IFERROR(__xludf.DUMMYFUNCTION("""COMPUTED_VALUE"""),7527200.0)</f>
        <v>7527200</v>
      </c>
      <c r="G42" s="2">
        <f t="shared" si="1"/>
        <v>20</v>
      </c>
    </row>
    <row r="43" ht="15.75" customHeight="1">
      <c r="A43" s="1">
        <f>IFERROR(__xludf.DUMMYFUNCTION("""COMPUTED_VALUE"""),45051.66666666667)</f>
        <v>45051.66667</v>
      </c>
      <c r="B43" s="2">
        <f>IFERROR(__xludf.DUMMYFUNCTION("""COMPUTED_VALUE"""),775.0)</f>
        <v>775</v>
      </c>
      <c r="C43" s="2">
        <f>IFERROR(__xludf.DUMMYFUNCTION("""COMPUTED_VALUE"""),775.0)</f>
        <v>775</v>
      </c>
      <c r="D43" s="2">
        <f>IFERROR(__xludf.DUMMYFUNCTION("""COMPUTED_VALUE"""),740.0)</f>
        <v>740</v>
      </c>
      <c r="E43" s="2">
        <f>IFERROR(__xludf.DUMMYFUNCTION("""COMPUTED_VALUE"""),750.0)</f>
        <v>750</v>
      </c>
      <c r="F43" s="2">
        <f>IFERROR(__xludf.DUMMYFUNCTION("""COMPUTED_VALUE"""),4341400.0)</f>
        <v>4341400</v>
      </c>
      <c r="G43" s="2">
        <f t="shared" si="1"/>
        <v>35</v>
      </c>
    </row>
    <row r="44" ht="15.75" customHeight="1">
      <c r="A44" s="1">
        <f>IFERROR(__xludf.DUMMYFUNCTION("""COMPUTED_VALUE"""),45054.66666666667)</f>
        <v>45054.66667</v>
      </c>
      <c r="B44" s="2">
        <f>IFERROR(__xludf.DUMMYFUNCTION("""COMPUTED_VALUE"""),750.0)</f>
        <v>750</v>
      </c>
      <c r="C44" s="2">
        <f>IFERROR(__xludf.DUMMYFUNCTION("""COMPUTED_VALUE"""),785.0)</f>
        <v>785</v>
      </c>
      <c r="D44" s="2">
        <f>IFERROR(__xludf.DUMMYFUNCTION("""COMPUTED_VALUE"""),745.0)</f>
        <v>745</v>
      </c>
      <c r="E44" s="2">
        <f>IFERROR(__xludf.DUMMYFUNCTION("""COMPUTED_VALUE"""),770.0)</f>
        <v>770</v>
      </c>
      <c r="F44" s="2">
        <f>IFERROR(__xludf.DUMMYFUNCTION("""COMPUTED_VALUE"""),8256300.0)</f>
        <v>8256300</v>
      </c>
      <c r="G44" s="2">
        <f t="shared" si="1"/>
        <v>40</v>
      </c>
    </row>
    <row r="45" ht="15.75" customHeight="1">
      <c r="A45" s="1">
        <f>IFERROR(__xludf.DUMMYFUNCTION("""COMPUTED_VALUE"""),45055.66666666667)</f>
        <v>45055.66667</v>
      </c>
      <c r="B45" s="2">
        <f>IFERROR(__xludf.DUMMYFUNCTION("""COMPUTED_VALUE"""),770.0)</f>
        <v>770</v>
      </c>
      <c r="C45" s="2">
        <f>IFERROR(__xludf.DUMMYFUNCTION("""COMPUTED_VALUE"""),775.0)</f>
        <v>775</v>
      </c>
      <c r="D45" s="2">
        <f>IFERROR(__xludf.DUMMYFUNCTION("""COMPUTED_VALUE"""),750.0)</f>
        <v>750</v>
      </c>
      <c r="E45" s="2">
        <f>IFERROR(__xludf.DUMMYFUNCTION("""COMPUTED_VALUE"""),770.0)</f>
        <v>770</v>
      </c>
      <c r="F45" s="2">
        <f>IFERROR(__xludf.DUMMYFUNCTION("""COMPUTED_VALUE"""),9160000.0)</f>
        <v>9160000</v>
      </c>
      <c r="G45" s="2">
        <f t="shared" si="1"/>
        <v>25</v>
      </c>
    </row>
    <row r="46" ht="15.75" customHeight="1">
      <c r="A46" s="1">
        <f>IFERROR(__xludf.DUMMYFUNCTION("""COMPUTED_VALUE"""),45056.66666666667)</f>
        <v>45056.66667</v>
      </c>
      <c r="B46" s="2">
        <f>IFERROR(__xludf.DUMMYFUNCTION("""COMPUTED_VALUE"""),770.0)</f>
        <v>770</v>
      </c>
      <c r="C46" s="2">
        <f>IFERROR(__xludf.DUMMYFUNCTION("""COMPUTED_VALUE"""),785.0)</f>
        <v>785</v>
      </c>
      <c r="D46" s="2">
        <f>IFERROR(__xludf.DUMMYFUNCTION("""COMPUTED_VALUE"""),760.0)</f>
        <v>760</v>
      </c>
      <c r="E46" s="2">
        <f>IFERROR(__xludf.DUMMYFUNCTION("""COMPUTED_VALUE"""),780.0)</f>
        <v>780</v>
      </c>
      <c r="F46" s="2">
        <f>IFERROR(__xludf.DUMMYFUNCTION("""COMPUTED_VALUE"""),1.56815E7)</f>
        <v>15681500</v>
      </c>
      <c r="G46" s="2">
        <f t="shared" si="1"/>
        <v>25</v>
      </c>
    </row>
    <row r="47" ht="15.75" customHeight="1">
      <c r="A47" s="1">
        <f>IFERROR(__xludf.DUMMYFUNCTION("""COMPUTED_VALUE"""),45057.66666666667)</f>
        <v>45057.66667</v>
      </c>
      <c r="B47" s="2">
        <f>IFERROR(__xludf.DUMMYFUNCTION("""COMPUTED_VALUE"""),780.0)</f>
        <v>780</v>
      </c>
      <c r="C47" s="2">
        <f>IFERROR(__xludf.DUMMYFUNCTION("""COMPUTED_VALUE"""),785.0)</f>
        <v>785</v>
      </c>
      <c r="D47" s="2">
        <f>IFERROR(__xludf.DUMMYFUNCTION("""COMPUTED_VALUE"""),770.0)</f>
        <v>770</v>
      </c>
      <c r="E47" s="2">
        <f>IFERROR(__xludf.DUMMYFUNCTION("""COMPUTED_VALUE"""),780.0)</f>
        <v>780</v>
      </c>
      <c r="F47" s="2">
        <f>IFERROR(__xludf.DUMMYFUNCTION("""COMPUTED_VALUE"""),3764000.0)</f>
        <v>3764000</v>
      </c>
      <c r="G47" s="2">
        <f t="shared" si="1"/>
        <v>15</v>
      </c>
    </row>
    <row r="48" ht="15.75" customHeight="1">
      <c r="A48" s="1">
        <f>IFERROR(__xludf.DUMMYFUNCTION("""COMPUTED_VALUE"""),45058.66666666667)</f>
        <v>45058.66667</v>
      </c>
      <c r="B48" s="2">
        <f>IFERROR(__xludf.DUMMYFUNCTION("""COMPUTED_VALUE"""),785.0)</f>
        <v>785</v>
      </c>
      <c r="C48" s="2">
        <f>IFERROR(__xludf.DUMMYFUNCTION("""COMPUTED_VALUE"""),790.0)</f>
        <v>790</v>
      </c>
      <c r="D48" s="2">
        <f>IFERROR(__xludf.DUMMYFUNCTION("""COMPUTED_VALUE"""),765.0)</f>
        <v>765</v>
      </c>
      <c r="E48" s="2">
        <f>IFERROR(__xludf.DUMMYFUNCTION("""COMPUTED_VALUE"""),785.0)</f>
        <v>785</v>
      </c>
      <c r="F48" s="2">
        <f>IFERROR(__xludf.DUMMYFUNCTION("""COMPUTED_VALUE"""),5.45251E7)</f>
        <v>54525100</v>
      </c>
      <c r="G48" s="2">
        <f t="shared" si="1"/>
        <v>25</v>
      </c>
    </row>
    <row r="49" ht="15.75" customHeight="1">
      <c r="A49" s="1">
        <f>IFERROR(__xludf.DUMMYFUNCTION("""COMPUTED_VALUE"""),45061.66666666667)</f>
        <v>45061.66667</v>
      </c>
      <c r="B49" s="2">
        <f>IFERROR(__xludf.DUMMYFUNCTION("""COMPUTED_VALUE"""),790.0)</f>
        <v>790</v>
      </c>
      <c r="C49" s="2">
        <f>IFERROR(__xludf.DUMMYFUNCTION("""COMPUTED_VALUE"""),855.0)</f>
        <v>855</v>
      </c>
      <c r="D49" s="2">
        <f>IFERROR(__xludf.DUMMYFUNCTION("""COMPUTED_VALUE"""),780.0)</f>
        <v>780</v>
      </c>
      <c r="E49" s="2">
        <f>IFERROR(__xludf.DUMMYFUNCTION("""COMPUTED_VALUE"""),840.0)</f>
        <v>840</v>
      </c>
      <c r="F49" s="2">
        <f>IFERROR(__xludf.DUMMYFUNCTION("""COMPUTED_VALUE"""),4.46999E7)</f>
        <v>44699900</v>
      </c>
      <c r="G49" s="2">
        <f t="shared" si="1"/>
        <v>75</v>
      </c>
    </row>
    <row r="50" ht="15.75" customHeight="1">
      <c r="A50" s="1">
        <f>IFERROR(__xludf.DUMMYFUNCTION("""COMPUTED_VALUE"""),45062.66666666667)</f>
        <v>45062.66667</v>
      </c>
      <c r="B50" s="2">
        <f>IFERROR(__xludf.DUMMYFUNCTION("""COMPUTED_VALUE"""),835.0)</f>
        <v>835</v>
      </c>
      <c r="C50" s="2">
        <f>IFERROR(__xludf.DUMMYFUNCTION("""COMPUTED_VALUE"""),850.0)</f>
        <v>850</v>
      </c>
      <c r="D50" s="2">
        <f>IFERROR(__xludf.DUMMYFUNCTION("""COMPUTED_VALUE"""),830.0)</f>
        <v>830</v>
      </c>
      <c r="E50" s="2">
        <f>IFERROR(__xludf.DUMMYFUNCTION("""COMPUTED_VALUE"""),840.0)</f>
        <v>840</v>
      </c>
      <c r="F50" s="2">
        <f>IFERROR(__xludf.DUMMYFUNCTION("""COMPUTED_VALUE"""),1.70076E7)</f>
        <v>17007600</v>
      </c>
      <c r="G50" s="2">
        <f t="shared" si="1"/>
        <v>20</v>
      </c>
    </row>
    <row r="51" ht="15.75" customHeight="1">
      <c r="A51" s="1">
        <f>IFERROR(__xludf.DUMMYFUNCTION("""COMPUTED_VALUE"""),45063.66666666667)</f>
        <v>45063.66667</v>
      </c>
      <c r="B51" s="2">
        <f>IFERROR(__xludf.DUMMYFUNCTION("""COMPUTED_VALUE"""),840.0)</f>
        <v>840</v>
      </c>
      <c r="C51" s="2">
        <f>IFERROR(__xludf.DUMMYFUNCTION("""COMPUTED_VALUE"""),860.0)</f>
        <v>860</v>
      </c>
      <c r="D51" s="2">
        <f>IFERROR(__xludf.DUMMYFUNCTION("""COMPUTED_VALUE"""),830.0)</f>
        <v>830</v>
      </c>
      <c r="E51" s="2">
        <f>IFERROR(__xludf.DUMMYFUNCTION("""COMPUTED_VALUE"""),840.0)</f>
        <v>840</v>
      </c>
      <c r="F51" s="2">
        <f>IFERROR(__xludf.DUMMYFUNCTION("""COMPUTED_VALUE"""),1.20537E7)</f>
        <v>12053700</v>
      </c>
      <c r="G51" s="2">
        <f t="shared" si="1"/>
        <v>30</v>
      </c>
    </row>
    <row r="52" ht="15.75" customHeight="1">
      <c r="A52" s="1">
        <f>IFERROR(__xludf.DUMMYFUNCTION("""COMPUTED_VALUE"""),45065.66666666667)</f>
        <v>45065.66667</v>
      </c>
      <c r="B52" s="2">
        <f>IFERROR(__xludf.DUMMYFUNCTION("""COMPUTED_VALUE"""),840.0)</f>
        <v>840</v>
      </c>
      <c r="C52" s="2">
        <f>IFERROR(__xludf.DUMMYFUNCTION("""COMPUTED_VALUE"""),855.0)</f>
        <v>855</v>
      </c>
      <c r="D52" s="2">
        <f>IFERROR(__xludf.DUMMYFUNCTION("""COMPUTED_VALUE"""),835.0)</f>
        <v>835</v>
      </c>
      <c r="E52" s="2">
        <f>IFERROR(__xludf.DUMMYFUNCTION("""COMPUTED_VALUE"""),850.0)</f>
        <v>850</v>
      </c>
      <c r="F52" s="2">
        <f>IFERROR(__xludf.DUMMYFUNCTION("""COMPUTED_VALUE"""),8371300.0)</f>
        <v>8371300</v>
      </c>
      <c r="G52" s="2">
        <f t="shared" si="1"/>
        <v>20</v>
      </c>
    </row>
    <row r="53" ht="15.75" customHeight="1">
      <c r="A53" s="1">
        <f>IFERROR(__xludf.DUMMYFUNCTION("""COMPUTED_VALUE"""),45068.66666666667)</f>
        <v>45068.66667</v>
      </c>
      <c r="B53" s="2">
        <f>IFERROR(__xludf.DUMMYFUNCTION("""COMPUTED_VALUE"""),850.0)</f>
        <v>850</v>
      </c>
      <c r="C53" s="2">
        <f>IFERROR(__xludf.DUMMYFUNCTION("""COMPUTED_VALUE"""),855.0)</f>
        <v>855</v>
      </c>
      <c r="D53" s="2">
        <f>IFERROR(__xludf.DUMMYFUNCTION("""COMPUTED_VALUE"""),795.0)</f>
        <v>795</v>
      </c>
      <c r="E53" s="2">
        <f>IFERROR(__xludf.DUMMYFUNCTION("""COMPUTED_VALUE"""),815.0)</f>
        <v>815</v>
      </c>
      <c r="F53" s="2">
        <f>IFERROR(__xludf.DUMMYFUNCTION("""COMPUTED_VALUE"""),1.4387E7)</f>
        <v>14387000</v>
      </c>
      <c r="G53" s="2">
        <f t="shared" si="1"/>
        <v>60</v>
      </c>
    </row>
    <row r="54" ht="15.75" customHeight="1">
      <c r="A54" s="1">
        <f>IFERROR(__xludf.DUMMYFUNCTION("""COMPUTED_VALUE"""),45069.66666666667)</f>
        <v>45069.66667</v>
      </c>
      <c r="B54" s="2">
        <f>IFERROR(__xludf.DUMMYFUNCTION("""COMPUTED_VALUE"""),815.0)</f>
        <v>815</v>
      </c>
      <c r="C54" s="2">
        <f>IFERROR(__xludf.DUMMYFUNCTION("""COMPUTED_VALUE"""),820.0)</f>
        <v>820</v>
      </c>
      <c r="D54" s="2">
        <f>IFERROR(__xludf.DUMMYFUNCTION("""COMPUTED_VALUE"""),800.0)</f>
        <v>800</v>
      </c>
      <c r="E54" s="2">
        <f>IFERROR(__xludf.DUMMYFUNCTION("""COMPUTED_VALUE"""),815.0)</f>
        <v>815</v>
      </c>
      <c r="F54" s="2">
        <f>IFERROR(__xludf.DUMMYFUNCTION("""COMPUTED_VALUE"""),5468900.0)</f>
        <v>5468900</v>
      </c>
      <c r="G54" s="2">
        <f t="shared" si="1"/>
        <v>20</v>
      </c>
    </row>
    <row r="55" ht="15.75" customHeight="1">
      <c r="A55" s="1">
        <f>IFERROR(__xludf.DUMMYFUNCTION("""COMPUTED_VALUE"""),45070.66666666667)</f>
        <v>45070.66667</v>
      </c>
      <c r="B55" s="2">
        <f>IFERROR(__xludf.DUMMYFUNCTION("""COMPUTED_VALUE"""),815.0)</f>
        <v>815</v>
      </c>
      <c r="C55" s="2">
        <f>IFERROR(__xludf.DUMMYFUNCTION("""COMPUTED_VALUE"""),870.0)</f>
        <v>870</v>
      </c>
      <c r="D55" s="2">
        <f>IFERROR(__xludf.DUMMYFUNCTION("""COMPUTED_VALUE"""),805.0)</f>
        <v>805</v>
      </c>
      <c r="E55" s="2">
        <f>IFERROR(__xludf.DUMMYFUNCTION("""COMPUTED_VALUE"""),830.0)</f>
        <v>830</v>
      </c>
      <c r="F55" s="2">
        <f>IFERROR(__xludf.DUMMYFUNCTION("""COMPUTED_VALUE"""),1.71761E7)</f>
        <v>17176100</v>
      </c>
      <c r="G55" s="2">
        <f t="shared" si="1"/>
        <v>65</v>
      </c>
    </row>
    <row r="56" ht="15.75" customHeight="1">
      <c r="A56" s="1">
        <f>IFERROR(__xludf.DUMMYFUNCTION("""COMPUTED_VALUE"""),45071.66666666667)</f>
        <v>45071.66667</v>
      </c>
      <c r="B56" s="2">
        <f>IFERROR(__xludf.DUMMYFUNCTION("""COMPUTED_VALUE"""),830.0)</f>
        <v>830</v>
      </c>
      <c r="C56" s="2">
        <f>IFERROR(__xludf.DUMMYFUNCTION("""COMPUTED_VALUE"""),845.0)</f>
        <v>845</v>
      </c>
      <c r="D56" s="2">
        <f>IFERROR(__xludf.DUMMYFUNCTION("""COMPUTED_VALUE"""),810.0)</f>
        <v>810</v>
      </c>
      <c r="E56" s="2">
        <f>IFERROR(__xludf.DUMMYFUNCTION("""COMPUTED_VALUE"""),825.0)</f>
        <v>825</v>
      </c>
      <c r="F56" s="2">
        <f>IFERROR(__xludf.DUMMYFUNCTION("""COMPUTED_VALUE"""),5667500.0)</f>
        <v>5667500</v>
      </c>
      <c r="G56" s="2">
        <f t="shared" si="1"/>
        <v>35</v>
      </c>
    </row>
    <row r="57" ht="15.75" customHeight="1">
      <c r="A57" s="1">
        <f>IFERROR(__xludf.DUMMYFUNCTION("""COMPUTED_VALUE"""),45072.66666666667)</f>
        <v>45072.66667</v>
      </c>
      <c r="B57" s="2">
        <f>IFERROR(__xludf.DUMMYFUNCTION("""COMPUTED_VALUE"""),825.0)</f>
        <v>825</v>
      </c>
      <c r="C57" s="2">
        <f>IFERROR(__xludf.DUMMYFUNCTION("""COMPUTED_VALUE"""),845.0)</f>
        <v>845</v>
      </c>
      <c r="D57" s="2">
        <f>IFERROR(__xludf.DUMMYFUNCTION("""COMPUTED_VALUE"""),810.0)</f>
        <v>810</v>
      </c>
      <c r="E57" s="2">
        <f>IFERROR(__xludf.DUMMYFUNCTION("""COMPUTED_VALUE"""),840.0)</f>
        <v>840</v>
      </c>
      <c r="F57" s="2">
        <f>IFERROR(__xludf.DUMMYFUNCTION("""COMPUTED_VALUE"""),3715000.0)</f>
        <v>3715000</v>
      </c>
      <c r="G57" s="2">
        <f t="shared" si="1"/>
        <v>35</v>
      </c>
    </row>
    <row r="58" ht="15.75" customHeight="1">
      <c r="A58" s="1">
        <f>IFERROR(__xludf.DUMMYFUNCTION("""COMPUTED_VALUE"""),45075.66666666667)</f>
        <v>45075.66667</v>
      </c>
      <c r="B58" s="2">
        <f>IFERROR(__xludf.DUMMYFUNCTION("""COMPUTED_VALUE"""),840.0)</f>
        <v>840</v>
      </c>
      <c r="C58" s="2">
        <f>IFERROR(__xludf.DUMMYFUNCTION("""COMPUTED_VALUE"""),865.0)</f>
        <v>865</v>
      </c>
      <c r="D58" s="2">
        <f>IFERROR(__xludf.DUMMYFUNCTION("""COMPUTED_VALUE"""),820.0)</f>
        <v>820</v>
      </c>
      <c r="E58" s="2">
        <f>IFERROR(__xludf.DUMMYFUNCTION("""COMPUTED_VALUE"""),860.0)</f>
        <v>860</v>
      </c>
      <c r="F58" s="2">
        <f>IFERROR(__xludf.DUMMYFUNCTION("""COMPUTED_VALUE"""),7214500.0)</f>
        <v>7214500</v>
      </c>
      <c r="G58" s="2">
        <f t="shared" si="1"/>
        <v>45</v>
      </c>
    </row>
    <row r="59" ht="15.75" customHeight="1">
      <c r="A59" s="1">
        <f>IFERROR(__xludf.DUMMYFUNCTION("""COMPUTED_VALUE"""),45076.66666666667)</f>
        <v>45076.66667</v>
      </c>
      <c r="B59" s="2">
        <f>IFERROR(__xludf.DUMMYFUNCTION("""COMPUTED_VALUE"""),860.0)</f>
        <v>860</v>
      </c>
      <c r="C59" s="2">
        <f>IFERROR(__xludf.DUMMYFUNCTION("""COMPUTED_VALUE"""),885.0)</f>
        <v>885</v>
      </c>
      <c r="D59" s="2">
        <f>IFERROR(__xludf.DUMMYFUNCTION("""COMPUTED_VALUE"""),850.0)</f>
        <v>850</v>
      </c>
      <c r="E59" s="2">
        <f>IFERROR(__xludf.DUMMYFUNCTION("""COMPUTED_VALUE"""),885.0)</f>
        <v>885</v>
      </c>
      <c r="F59" s="2">
        <f>IFERROR(__xludf.DUMMYFUNCTION("""COMPUTED_VALUE"""),2.36444E7)</f>
        <v>23644400</v>
      </c>
      <c r="G59" s="2">
        <f t="shared" si="1"/>
        <v>35</v>
      </c>
    </row>
    <row r="60" ht="15.75" customHeight="1">
      <c r="A60" s="1">
        <f>IFERROR(__xludf.DUMMYFUNCTION("""COMPUTED_VALUE"""),45077.66666666667)</f>
        <v>45077.66667</v>
      </c>
      <c r="B60" s="2">
        <f>IFERROR(__xludf.DUMMYFUNCTION("""COMPUTED_VALUE"""),885.0)</f>
        <v>885</v>
      </c>
      <c r="C60" s="2">
        <f>IFERROR(__xludf.DUMMYFUNCTION("""COMPUTED_VALUE"""),920.0)</f>
        <v>920</v>
      </c>
      <c r="D60" s="2">
        <f>IFERROR(__xludf.DUMMYFUNCTION("""COMPUTED_VALUE"""),880.0)</f>
        <v>880</v>
      </c>
      <c r="E60" s="2">
        <f>IFERROR(__xludf.DUMMYFUNCTION("""COMPUTED_VALUE"""),910.0)</f>
        <v>910</v>
      </c>
      <c r="F60" s="2">
        <f>IFERROR(__xludf.DUMMYFUNCTION("""COMPUTED_VALUE"""),3.88561E7)</f>
        <v>38856100</v>
      </c>
      <c r="G60" s="2">
        <f t="shared" si="1"/>
        <v>40</v>
      </c>
    </row>
    <row r="61" ht="15.75" customHeight="1">
      <c r="A61" s="1">
        <f>IFERROR(__xludf.DUMMYFUNCTION("""COMPUTED_VALUE"""),45082.66666666667)</f>
        <v>45082.66667</v>
      </c>
      <c r="B61" s="2">
        <f>IFERROR(__xludf.DUMMYFUNCTION("""COMPUTED_VALUE"""),905.0)</f>
        <v>905</v>
      </c>
      <c r="C61" s="2">
        <f>IFERROR(__xludf.DUMMYFUNCTION("""COMPUTED_VALUE"""),920.0)</f>
        <v>920</v>
      </c>
      <c r="D61" s="2">
        <f>IFERROR(__xludf.DUMMYFUNCTION("""COMPUTED_VALUE"""),900.0)</f>
        <v>900</v>
      </c>
      <c r="E61" s="2">
        <f>IFERROR(__xludf.DUMMYFUNCTION("""COMPUTED_VALUE"""),910.0)</f>
        <v>910</v>
      </c>
      <c r="F61" s="2">
        <f>IFERROR(__xludf.DUMMYFUNCTION("""COMPUTED_VALUE"""),2.89137E7)</f>
        <v>28913700</v>
      </c>
      <c r="G61" s="2">
        <f t="shared" si="1"/>
        <v>20</v>
      </c>
    </row>
    <row r="62" ht="15.75" customHeight="1">
      <c r="A62" s="1">
        <f>IFERROR(__xludf.DUMMYFUNCTION("""COMPUTED_VALUE"""),45083.66666666667)</f>
        <v>45083.66667</v>
      </c>
      <c r="B62" s="2">
        <f>IFERROR(__xludf.DUMMYFUNCTION("""COMPUTED_VALUE"""),915.0)</f>
        <v>915</v>
      </c>
      <c r="C62" s="2">
        <f>IFERROR(__xludf.DUMMYFUNCTION("""COMPUTED_VALUE"""),935.0)</f>
        <v>935</v>
      </c>
      <c r="D62" s="2">
        <f>IFERROR(__xludf.DUMMYFUNCTION("""COMPUTED_VALUE"""),910.0)</f>
        <v>910</v>
      </c>
      <c r="E62" s="2">
        <f>IFERROR(__xludf.DUMMYFUNCTION("""COMPUTED_VALUE"""),925.0)</f>
        <v>925</v>
      </c>
      <c r="F62" s="2">
        <f>IFERROR(__xludf.DUMMYFUNCTION("""COMPUTED_VALUE"""),5.40034E7)</f>
        <v>54003400</v>
      </c>
      <c r="G62" s="2">
        <f t="shared" si="1"/>
        <v>25</v>
      </c>
    </row>
    <row r="63" ht="15.75" customHeight="1">
      <c r="A63" s="1">
        <f>IFERROR(__xludf.DUMMYFUNCTION("""COMPUTED_VALUE"""),45084.66666666667)</f>
        <v>45084.66667</v>
      </c>
      <c r="B63" s="2">
        <f>IFERROR(__xludf.DUMMYFUNCTION("""COMPUTED_VALUE"""),925.0)</f>
        <v>925</v>
      </c>
      <c r="C63" s="2">
        <f>IFERROR(__xludf.DUMMYFUNCTION("""COMPUTED_VALUE"""),930.0)</f>
        <v>930</v>
      </c>
      <c r="D63" s="2">
        <f>IFERROR(__xludf.DUMMYFUNCTION("""COMPUTED_VALUE"""),910.0)</f>
        <v>910</v>
      </c>
      <c r="E63" s="2">
        <f>IFERROR(__xludf.DUMMYFUNCTION("""COMPUTED_VALUE"""),910.0)</f>
        <v>910</v>
      </c>
      <c r="F63" s="2">
        <f>IFERROR(__xludf.DUMMYFUNCTION("""COMPUTED_VALUE"""),2.09186E7)</f>
        <v>20918600</v>
      </c>
      <c r="G63" s="2">
        <f t="shared" si="1"/>
        <v>20</v>
      </c>
    </row>
    <row r="64" ht="15.75" customHeight="1">
      <c r="A64" s="1">
        <f>IFERROR(__xludf.DUMMYFUNCTION("""COMPUTED_VALUE"""),45085.66666666667)</f>
        <v>45085.66667</v>
      </c>
      <c r="B64" s="2">
        <f>IFERROR(__xludf.DUMMYFUNCTION("""COMPUTED_VALUE"""),910.0)</f>
        <v>910</v>
      </c>
      <c r="C64" s="2">
        <f>IFERROR(__xludf.DUMMYFUNCTION("""COMPUTED_VALUE"""),910.0)</f>
        <v>910</v>
      </c>
      <c r="D64" s="2">
        <f>IFERROR(__xludf.DUMMYFUNCTION("""COMPUTED_VALUE"""),855.0)</f>
        <v>855</v>
      </c>
      <c r="E64" s="2">
        <f>IFERROR(__xludf.DUMMYFUNCTION("""COMPUTED_VALUE"""),860.0)</f>
        <v>860</v>
      </c>
      <c r="F64" s="2">
        <f>IFERROR(__xludf.DUMMYFUNCTION("""COMPUTED_VALUE"""),1.19272E7)</f>
        <v>11927200</v>
      </c>
      <c r="G64" s="2">
        <f t="shared" si="1"/>
        <v>55</v>
      </c>
    </row>
    <row r="65" ht="15.75" customHeight="1">
      <c r="A65" s="1">
        <f>IFERROR(__xludf.DUMMYFUNCTION("""COMPUTED_VALUE"""),45086.66666666667)</f>
        <v>45086.66667</v>
      </c>
      <c r="B65" s="2">
        <f>IFERROR(__xludf.DUMMYFUNCTION("""COMPUTED_VALUE"""),865.0)</f>
        <v>865</v>
      </c>
      <c r="C65" s="2">
        <f>IFERROR(__xludf.DUMMYFUNCTION("""COMPUTED_VALUE"""),865.0)</f>
        <v>865</v>
      </c>
      <c r="D65" s="2">
        <f>IFERROR(__xludf.DUMMYFUNCTION("""COMPUTED_VALUE"""),850.0)</f>
        <v>850</v>
      </c>
      <c r="E65" s="2">
        <f>IFERROR(__xludf.DUMMYFUNCTION("""COMPUTED_VALUE"""),860.0)</f>
        <v>860</v>
      </c>
      <c r="F65" s="2">
        <f>IFERROR(__xludf.DUMMYFUNCTION("""COMPUTED_VALUE"""),6627500.0)</f>
        <v>6627500</v>
      </c>
      <c r="G65" s="2">
        <f t="shared" si="1"/>
        <v>15</v>
      </c>
    </row>
    <row r="66" ht="15.75" customHeight="1">
      <c r="A66" s="1">
        <f>IFERROR(__xludf.DUMMYFUNCTION("""COMPUTED_VALUE"""),45089.66666666667)</f>
        <v>45089.66667</v>
      </c>
      <c r="B66" s="2">
        <f>IFERROR(__xludf.DUMMYFUNCTION("""COMPUTED_VALUE"""),860.0)</f>
        <v>860</v>
      </c>
      <c r="C66" s="2">
        <f>IFERROR(__xludf.DUMMYFUNCTION("""COMPUTED_VALUE"""),860.0)</f>
        <v>860</v>
      </c>
      <c r="D66" s="2">
        <f>IFERROR(__xludf.DUMMYFUNCTION("""COMPUTED_VALUE"""),830.0)</f>
        <v>830</v>
      </c>
      <c r="E66" s="2">
        <f>IFERROR(__xludf.DUMMYFUNCTION("""COMPUTED_VALUE"""),855.0)</f>
        <v>855</v>
      </c>
      <c r="F66" s="2">
        <f>IFERROR(__xludf.DUMMYFUNCTION("""COMPUTED_VALUE"""),1.10866E7)</f>
        <v>11086600</v>
      </c>
      <c r="G66" s="2">
        <f t="shared" si="1"/>
        <v>30</v>
      </c>
    </row>
    <row r="67" ht="15.75" customHeight="1">
      <c r="A67" s="1">
        <f>IFERROR(__xludf.DUMMYFUNCTION("""COMPUTED_VALUE"""),45090.66666666667)</f>
        <v>45090.66667</v>
      </c>
      <c r="B67" s="2">
        <f>IFERROR(__xludf.DUMMYFUNCTION("""COMPUTED_VALUE"""),855.0)</f>
        <v>855</v>
      </c>
      <c r="C67" s="2">
        <f>IFERROR(__xludf.DUMMYFUNCTION("""COMPUTED_VALUE"""),855.0)</f>
        <v>855</v>
      </c>
      <c r="D67" s="2">
        <f>IFERROR(__xludf.DUMMYFUNCTION("""COMPUTED_VALUE"""),830.0)</f>
        <v>830</v>
      </c>
      <c r="E67" s="2">
        <f>IFERROR(__xludf.DUMMYFUNCTION("""COMPUTED_VALUE"""),855.0)</f>
        <v>855</v>
      </c>
      <c r="F67" s="2">
        <f>IFERROR(__xludf.DUMMYFUNCTION("""COMPUTED_VALUE"""),2.55739E7)</f>
        <v>25573900</v>
      </c>
      <c r="G67" s="2">
        <f t="shared" si="1"/>
        <v>25</v>
      </c>
    </row>
    <row r="68" ht="15.75" customHeight="1">
      <c r="A68" s="1">
        <f>IFERROR(__xludf.DUMMYFUNCTION("""COMPUTED_VALUE"""),45091.66666666667)</f>
        <v>45091.66667</v>
      </c>
      <c r="B68" s="2">
        <f>IFERROR(__xludf.DUMMYFUNCTION("""COMPUTED_VALUE"""),855.0)</f>
        <v>855</v>
      </c>
      <c r="C68" s="2">
        <f>IFERROR(__xludf.DUMMYFUNCTION("""COMPUTED_VALUE"""),855.0)</f>
        <v>855</v>
      </c>
      <c r="D68" s="2">
        <f>IFERROR(__xludf.DUMMYFUNCTION("""COMPUTED_VALUE"""),840.0)</f>
        <v>840</v>
      </c>
      <c r="E68" s="2">
        <f>IFERROR(__xludf.DUMMYFUNCTION("""COMPUTED_VALUE"""),845.0)</f>
        <v>845</v>
      </c>
      <c r="F68" s="2">
        <f>IFERROR(__xludf.DUMMYFUNCTION("""COMPUTED_VALUE"""),4401000.0)</f>
        <v>4401000</v>
      </c>
      <c r="G68" s="2">
        <f t="shared" si="1"/>
        <v>15</v>
      </c>
    </row>
    <row r="69" ht="15.75" customHeight="1">
      <c r="A69" s="1">
        <f>IFERROR(__xludf.DUMMYFUNCTION("""COMPUTED_VALUE"""),45092.66666666667)</f>
        <v>45092.66667</v>
      </c>
      <c r="B69" s="2">
        <f>IFERROR(__xludf.DUMMYFUNCTION("""COMPUTED_VALUE"""),850.0)</f>
        <v>850</v>
      </c>
      <c r="C69" s="2">
        <f>IFERROR(__xludf.DUMMYFUNCTION("""COMPUTED_VALUE"""),850.0)</f>
        <v>850</v>
      </c>
      <c r="D69" s="2">
        <f>IFERROR(__xludf.DUMMYFUNCTION("""COMPUTED_VALUE"""),825.0)</f>
        <v>825</v>
      </c>
      <c r="E69" s="2">
        <f>IFERROR(__xludf.DUMMYFUNCTION("""COMPUTED_VALUE"""),840.0)</f>
        <v>840</v>
      </c>
      <c r="F69" s="2">
        <f>IFERROR(__xludf.DUMMYFUNCTION("""COMPUTED_VALUE"""),6929800.0)</f>
        <v>6929800</v>
      </c>
      <c r="G69" s="2">
        <f t="shared" si="1"/>
        <v>25</v>
      </c>
    </row>
    <row r="70" ht="15.75" customHeight="1">
      <c r="A70" s="1">
        <f>IFERROR(__xludf.DUMMYFUNCTION("""COMPUTED_VALUE"""),45093.66666666667)</f>
        <v>45093.66667</v>
      </c>
      <c r="B70" s="2">
        <f>IFERROR(__xludf.DUMMYFUNCTION("""COMPUTED_VALUE"""),840.0)</f>
        <v>840</v>
      </c>
      <c r="C70" s="2">
        <f>IFERROR(__xludf.DUMMYFUNCTION("""COMPUTED_VALUE"""),845.0)</f>
        <v>845</v>
      </c>
      <c r="D70" s="2">
        <f>IFERROR(__xludf.DUMMYFUNCTION("""COMPUTED_VALUE"""),830.0)</f>
        <v>830</v>
      </c>
      <c r="E70" s="2">
        <f>IFERROR(__xludf.DUMMYFUNCTION("""COMPUTED_VALUE"""),840.0)</f>
        <v>840</v>
      </c>
      <c r="F70" s="2">
        <f>IFERROR(__xludf.DUMMYFUNCTION("""COMPUTED_VALUE"""),6558500.0)</f>
        <v>6558500</v>
      </c>
      <c r="G70" s="2">
        <f t="shared" si="1"/>
        <v>15</v>
      </c>
    </row>
    <row r="71" ht="15.75" customHeight="1">
      <c r="A71" s="1">
        <f>IFERROR(__xludf.DUMMYFUNCTION("""COMPUTED_VALUE"""),45096.66666666667)</f>
        <v>45096.66667</v>
      </c>
      <c r="B71" s="2">
        <f>IFERROR(__xludf.DUMMYFUNCTION("""COMPUTED_VALUE"""),835.0)</f>
        <v>835</v>
      </c>
      <c r="C71" s="2">
        <f>IFERROR(__xludf.DUMMYFUNCTION("""COMPUTED_VALUE"""),845.0)</f>
        <v>845</v>
      </c>
      <c r="D71" s="2">
        <f>IFERROR(__xludf.DUMMYFUNCTION("""COMPUTED_VALUE"""),825.0)</f>
        <v>825</v>
      </c>
      <c r="E71" s="2">
        <f>IFERROR(__xludf.DUMMYFUNCTION("""COMPUTED_VALUE"""),840.0)</f>
        <v>840</v>
      </c>
      <c r="F71" s="2">
        <f>IFERROR(__xludf.DUMMYFUNCTION("""COMPUTED_VALUE"""),5044000.0)</f>
        <v>5044000</v>
      </c>
      <c r="G71" s="2">
        <f t="shared" si="1"/>
        <v>20</v>
      </c>
    </row>
    <row r="72" ht="15.75" customHeight="1">
      <c r="A72" s="1">
        <f>IFERROR(__xludf.DUMMYFUNCTION("""COMPUTED_VALUE"""),45097.66666666667)</f>
        <v>45097.66667</v>
      </c>
      <c r="B72" s="2">
        <f>IFERROR(__xludf.DUMMYFUNCTION("""COMPUTED_VALUE"""),835.0)</f>
        <v>835</v>
      </c>
      <c r="C72" s="2">
        <f>IFERROR(__xludf.DUMMYFUNCTION("""COMPUTED_VALUE"""),875.0)</f>
        <v>875</v>
      </c>
      <c r="D72" s="2">
        <f>IFERROR(__xludf.DUMMYFUNCTION("""COMPUTED_VALUE"""),830.0)</f>
        <v>830</v>
      </c>
      <c r="E72" s="2">
        <f>IFERROR(__xludf.DUMMYFUNCTION("""COMPUTED_VALUE"""),845.0)</f>
        <v>845</v>
      </c>
      <c r="F72" s="2">
        <f>IFERROR(__xludf.DUMMYFUNCTION("""COMPUTED_VALUE"""),1.18873E7)</f>
        <v>11887300</v>
      </c>
      <c r="G72" s="2">
        <f t="shared" si="1"/>
        <v>45</v>
      </c>
    </row>
    <row r="73" ht="15.75" customHeight="1">
      <c r="A73" s="1">
        <f>IFERROR(__xludf.DUMMYFUNCTION("""COMPUTED_VALUE"""),45098.66666666667)</f>
        <v>45098.66667</v>
      </c>
      <c r="B73" s="2">
        <f>IFERROR(__xludf.DUMMYFUNCTION("""COMPUTED_VALUE"""),845.0)</f>
        <v>845</v>
      </c>
      <c r="C73" s="2">
        <f>IFERROR(__xludf.DUMMYFUNCTION("""COMPUTED_VALUE"""),880.0)</f>
        <v>880</v>
      </c>
      <c r="D73" s="2">
        <f>IFERROR(__xludf.DUMMYFUNCTION("""COMPUTED_VALUE"""),845.0)</f>
        <v>845</v>
      </c>
      <c r="E73" s="2">
        <f>IFERROR(__xludf.DUMMYFUNCTION("""COMPUTED_VALUE"""),865.0)</f>
        <v>865</v>
      </c>
      <c r="F73" s="2">
        <f>IFERROR(__xludf.DUMMYFUNCTION("""COMPUTED_VALUE"""),1.69329E7)</f>
        <v>16932900</v>
      </c>
      <c r="G73" s="2">
        <f t="shared" si="1"/>
        <v>35</v>
      </c>
    </row>
    <row r="74" ht="15.75" customHeight="1">
      <c r="A74" s="1">
        <f>IFERROR(__xludf.DUMMYFUNCTION("""COMPUTED_VALUE"""),45099.66666666667)</f>
        <v>45099.66667</v>
      </c>
      <c r="B74" s="2">
        <f>IFERROR(__xludf.DUMMYFUNCTION("""COMPUTED_VALUE"""),880.0)</f>
        <v>880</v>
      </c>
      <c r="C74" s="2">
        <f>IFERROR(__xludf.DUMMYFUNCTION("""COMPUTED_VALUE"""),880.0)</f>
        <v>880</v>
      </c>
      <c r="D74" s="2">
        <f>IFERROR(__xludf.DUMMYFUNCTION("""COMPUTED_VALUE"""),860.0)</f>
        <v>860</v>
      </c>
      <c r="E74" s="2">
        <f>IFERROR(__xludf.DUMMYFUNCTION("""COMPUTED_VALUE"""),870.0)</f>
        <v>870</v>
      </c>
      <c r="F74" s="2">
        <f>IFERROR(__xludf.DUMMYFUNCTION("""COMPUTED_VALUE"""),1.21497E7)</f>
        <v>12149700</v>
      </c>
      <c r="G74" s="2">
        <f t="shared" si="1"/>
        <v>20</v>
      </c>
    </row>
    <row r="75" ht="15.75" customHeight="1">
      <c r="A75" s="1">
        <f>IFERROR(__xludf.DUMMYFUNCTION("""COMPUTED_VALUE"""),45100.66666666667)</f>
        <v>45100.66667</v>
      </c>
      <c r="B75" s="2">
        <f>IFERROR(__xludf.DUMMYFUNCTION("""COMPUTED_VALUE"""),870.0)</f>
        <v>870</v>
      </c>
      <c r="C75" s="2">
        <f>IFERROR(__xludf.DUMMYFUNCTION("""COMPUTED_VALUE"""),890.0)</f>
        <v>890</v>
      </c>
      <c r="D75" s="2">
        <f>IFERROR(__xludf.DUMMYFUNCTION("""COMPUTED_VALUE"""),865.0)</f>
        <v>865</v>
      </c>
      <c r="E75" s="2">
        <f>IFERROR(__xludf.DUMMYFUNCTION("""COMPUTED_VALUE"""),880.0)</f>
        <v>880</v>
      </c>
      <c r="F75" s="2">
        <f>IFERROR(__xludf.DUMMYFUNCTION("""COMPUTED_VALUE"""),1.12019E7)</f>
        <v>11201900</v>
      </c>
      <c r="G75" s="2">
        <f t="shared" si="1"/>
        <v>25</v>
      </c>
    </row>
    <row r="76" ht="15.75" customHeight="1">
      <c r="A76" s="1">
        <f>IFERROR(__xludf.DUMMYFUNCTION("""COMPUTED_VALUE"""),45103.66666666667)</f>
        <v>45103.66667</v>
      </c>
      <c r="B76" s="2">
        <f>IFERROR(__xludf.DUMMYFUNCTION("""COMPUTED_VALUE"""),880.0)</f>
        <v>880</v>
      </c>
      <c r="C76" s="2">
        <f>IFERROR(__xludf.DUMMYFUNCTION("""COMPUTED_VALUE"""),885.0)</f>
        <v>885</v>
      </c>
      <c r="D76" s="2">
        <f>IFERROR(__xludf.DUMMYFUNCTION("""COMPUTED_VALUE"""),855.0)</f>
        <v>855</v>
      </c>
      <c r="E76" s="2">
        <f>IFERROR(__xludf.DUMMYFUNCTION("""COMPUTED_VALUE"""),875.0)</f>
        <v>875</v>
      </c>
      <c r="F76" s="2">
        <f>IFERROR(__xludf.DUMMYFUNCTION("""COMPUTED_VALUE"""),1.31924E7)</f>
        <v>13192400</v>
      </c>
      <c r="G76" s="2">
        <f t="shared" si="1"/>
        <v>30</v>
      </c>
    </row>
    <row r="77" ht="15.75" customHeight="1">
      <c r="A77" s="1">
        <f>IFERROR(__xludf.DUMMYFUNCTION("""COMPUTED_VALUE"""),45104.66666666667)</f>
        <v>45104.66667</v>
      </c>
      <c r="B77" s="2">
        <f>IFERROR(__xludf.DUMMYFUNCTION("""COMPUTED_VALUE"""),880.0)</f>
        <v>880</v>
      </c>
      <c r="C77" s="2">
        <f>IFERROR(__xludf.DUMMYFUNCTION("""COMPUTED_VALUE"""),880.0)</f>
        <v>880</v>
      </c>
      <c r="D77" s="2">
        <f>IFERROR(__xludf.DUMMYFUNCTION("""COMPUTED_VALUE"""),845.0)</f>
        <v>845</v>
      </c>
      <c r="E77" s="2">
        <f>IFERROR(__xludf.DUMMYFUNCTION("""COMPUTED_VALUE"""),875.0)</f>
        <v>875</v>
      </c>
      <c r="F77" s="2">
        <f>IFERROR(__xludf.DUMMYFUNCTION("""COMPUTED_VALUE"""),1.27949E7)</f>
        <v>12794900</v>
      </c>
      <c r="G77" s="2">
        <f t="shared" si="1"/>
        <v>35</v>
      </c>
    </row>
    <row r="78" ht="15.75" customHeight="1">
      <c r="A78" s="1">
        <f>IFERROR(__xludf.DUMMYFUNCTION("""COMPUTED_VALUE"""),45110.66666666667)</f>
        <v>45110.66667</v>
      </c>
      <c r="B78" s="2">
        <f>IFERROR(__xludf.DUMMYFUNCTION("""COMPUTED_VALUE"""),875.0)</f>
        <v>875</v>
      </c>
      <c r="C78" s="2">
        <f>IFERROR(__xludf.DUMMYFUNCTION("""COMPUTED_VALUE"""),880.0)</f>
        <v>880</v>
      </c>
      <c r="D78" s="2">
        <f>IFERROR(__xludf.DUMMYFUNCTION("""COMPUTED_VALUE"""),855.0)</f>
        <v>855</v>
      </c>
      <c r="E78" s="2">
        <f>IFERROR(__xludf.DUMMYFUNCTION("""COMPUTED_VALUE"""),855.0)</f>
        <v>855</v>
      </c>
      <c r="F78" s="2">
        <f>IFERROR(__xludf.DUMMYFUNCTION("""COMPUTED_VALUE"""),3719800.0)</f>
        <v>3719800</v>
      </c>
      <c r="G78" s="2">
        <f t="shared" si="1"/>
        <v>25</v>
      </c>
    </row>
    <row r="79" ht="15.75" customHeight="1">
      <c r="A79" s="1">
        <f>IFERROR(__xludf.DUMMYFUNCTION("""COMPUTED_VALUE"""),45111.66666666667)</f>
        <v>45111.66667</v>
      </c>
      <c r="B79" s="2">
        <f>IFERROR(__xludf.DUMMYFUNCTION("""COMPUTED_VALUE"""),855.0)</f>
        <v>855</v>
      </c>
      <c r="C79" s="2">
        <f>IFERROR(__xludf.DUMMYFUNCTION("""COMPUTED_VALUE"""),860.0)</f>
        <v>860</v>
      </c>
      <c r="D79" s="2">
        <f>IFERROR(__xludf.DUMMYFUNCTION("""COMPUTED_VALUE"""),825.0)</f>
        <v>825</v>
      </c>
      <c r="E79" s="2">
        <f>IFERROR(__xludf.DUMMYFUNCTION("""COMPUTED_VALUE"""),830.0)</f>
        <v>830</v>
      </c>
      <c r="F79" s="2">
        <f>IFERROR(__xludf.DUMMYFUNCTION("""COMPUTED_VALUE"""),9208700.0)</f>
        <v>9208700</v>
      </c>
      <c r="G79" s="2">
        <f t="shared" si="1"/>
        <v>35</v>
      </c>
    </row>
    <row r="80" ht="15.75" customHeight="1">
      <c r="A80" s="1">
        <f>IFERROR(__xludf.DUMMYFUNCTION("""COMPUTED_VALUE"""),45112.66666666667)</f>
        <v>45112.66667</v>
      </c>
      <c r="B80" s="2">
        <f>IFERROR(__xludf.DUMMYFUNCTION("""COMPUTED_VALUE"""),850.0)</f>
        <v>850</v>
      </c>
      <c r="C80" s="2">
        <f>IFERROR(__xludf.DUMMYFUNCTION("""COMPUTED_VALUE"""),850.0)</f>
        <v>850</v>
      </c>
      <c r="D80" s="2">
        <f>IFERROR(__xludf.DUMMYFUNCTION("""COMPUTED_VALUE"""),815.0)</f>
        <v>815</v>
      </c>
      <c r="E80" s="2">
        <f>IFERROR(__xludf.DUMMYFUNCTION("""COMPUTED_VALUE"""),835.0)</f>
        <v>835</v>
      </c>
      <c r="F80" s="2">
        <f>IFERROR(__xludf.DUMMYFUNCTION("""COMPUTED_VALUE"""),4850700.0)</f>
        <v>4850700</v>
      </c>
      <c r="G80" s="2">
        <f t="shared" si="1"/>
        <v>35</v>
      </c>
    </row>
    <row r="81" ht="15.75" customHeight="1">
      <c r="A81" s="1">
        <f>IFERROR(__xludf.DUMMYFUNCTION("""COMPUTED_VALUE"""),45113.66666666667)</f>
        <v>45113.66667</v>
      </c>
      <c r="B81" s="2">
        <f>IFERROR(__xludf.DUMMYFUNCTION("""COMPUTED_VALUE"""),840.0)</f>
        <v>840</v>
      </c>
      <c r="C81" s="2">
        <f>IFERROR(__xludf.DUMMYFUNCTION("""COMPUTED_VALUE"""),840.0)</f>
        <v>840</v>
      </c>
      <c r="D81" s="2">
        <f>IFERROR(__xludf.DUMMYFUNCTION("""COMPUTED_VALUE"""),825.0)</f>
        <v>825</v>
      </c>
      <c r="E81" s="2">
        <f>IFERROR(__xludf.DUMMYFUNCTION("""COMPUTED_VALUE"""),825.0)</f>
        <v>825</v>
      </c>
      <c r="F81" s="2">
        <f>IFERROR(__xludf.DUMMYFUNCTION("""COMPUTED_VALUE"""),1804800.0)</f>
        <v>1804800</v>
      </c>
      <c r="G81" s="2">
        <f t="shared" si="1"/>
        <v>15</v>
      </c>
    </row>
    <row r="82" ht="15.75" customHeight="1">
      <c r="A82" s="1">
        <f>IFERROR(__xludf.DUMMYFUNCTION("""COMPUTED_VALUE"""),45114.66666666667)</f>
        <v>45114.66667</v>
      </c>
      <c r="B82" s="2">
        <f>IFERROR(__xludf.DUMMYFUNCTION("""COMPUTED_VALUE"""),830.0)</f>
        <v>830</v>
      </c>
      <c r="C82" s="2">
        <f>IFERROR(__xludf.DUMMYFUNCTION("""COMPUTED_VALUE"""),835.0)</f>
        <v>835</v>
      </c>
      <c r="D82" s="2">
        <f>IFERROR(__xludf.DUMMYFUNCTION("""COMPUTED_VALUE"""),815.0)</f>
        <v>815</v>
      </c>
      <c r="E82" s="2">
        <f>IFERROR(__xludf.DUMMYFUNCTION("""COMPUTED_VALUE"""),815.0)</f>
        <v>815</v>
      </c>
      <c r="F82" s="2">
        <f>IFERROR(__xludf.DUMMYFUNCTION("""COMPUTED_VALUE"""),4018900.0)</f>
        <v>4018900</v>
      </c>
      <c r="G82" s="2">
        <f t="shared" si="1"/>
        <v>20</v>
      </c>
    </row>
    <row r="83" ht="15.75" customHeight="1">
      <c r="A83" s="1">
        <f>IFERROR(__xludf.DUMMYFUNCTION("""COMPUTED_VALUE"""),45117.66666666667)</f>
        <v>45117.66667</v>
      </c>
      <c r="B83" s="2">
        <f>IFERROR(__xludf.DUMMYFUNCTION("""COMPUTED_VALUE"""),815.0)</f>
        <v>815</v>
      </c>
      <c r="C83" s="2">
        <f>IFERROR(__xludf.DUMMYFUNCTION("""COMPUTED_VALUE"""),820.0)</f>
        <v>820</v>
      </c>
      <c r="D83" s="2">
        <f>IFERROR(__xludf.DUMMYFUNCTION("""COMPUTED_VALUE"""),795.0)</f>
        <v>795</v>
      </c>
      <c r="E83" s="2">
        <f>IFERROR(__xludf.DUMMYFUNCTION("""COMPUTED_VALUE"""),800.0)</f>
        <v>800</v>
      </c>
      <c r="F83" s="2">
        <f>IFERROR(__xludf.DUMMYFUNCTION("""COMPUTED_VALUE"""),6049300.0)</f>
        <v>6049300</v>
      </c>
      <c r="G83" s="2">
        <f t="shared" si="1"/>
        <v>25</v>
      </c>
    </row>
    <row r="84" ht="15.75" customHeight="1">
      <c r="A84" s="1">
        <f>IFERROR(__xludf.DUMMYFUNCTION("""COMPUTED_VALUE"""),45118.66666666667)</f>
        <v>45118.66667</v>
      </c>
      <c r="B84" s="2">
        <f>IFERROR(__xludf.DUMMYFUNCTION("""COMPUTED_VALUE"""),825.0)</f>
        <v>825</v>
      </c>
      <c r="C84" s="2">
        <f>IFERROR(__xludf.DUMMYFUNCTION("""COMPUTED_VALUE"""),825.0)</f>
        <v>825</v>
      </c>
      <c r="D84" s="2">
        <f>IFERROR(__xludf.DUMMYFUNCTION("""COMPUTED_VALUE"""),785.0)</f>
        <v>785</v>
      </c>
      <c r="E84" s="2">
        <f>IFERROR(__xludf.DUMMYFUNCTION("""COMPUTED_VALUE"""),795.0)</f>
        <v>795</v>
      </c>
      <c r="F84" s="2">
        <f>IFERROR(__xludf.DUMMYFUNCTION("""COMPUTED_VALUE"""),5259600.0)</f>
        <v>5259600</v>
      </c>
      <c r="G84" s="2">
        <f t="shared" si="1"/>
        <v>40</v>
      </c>
    </row>
    <row r="85" ht="15.75" customHeight="1">
      <c r="A85" s="1">
        <f>IFERROR(__xludf.DUMMYFUNCTION("""COMPUTED_VALUE"""),45119.66666666667)</f>
        <v>45119.66667</v>
      </c>
      <c r="B85" s="2">
        <f>IFERROR(__xludf.DUMMYFUNCTION("""COMPUTED_VALUE"""),795.0)</f>
        <v>795</v>
      </c>
      <c r="C85" s="2">
        <f>IFERROR(__xludf.DUMMYFUNCTION("""COMPUTED_VALUE"""),800.0)</f>
        <v>800</v>
      </c>
      <c r="D85" s="2">
        <f>IFERROR(__xludf.DUMMYFUNCTION("""COMPUTED_VALUE"""),785.0)</f>
        <v>785</v>
      </c>
      <c r="E85" s="2">
        <f>IFERROR(__xludf.DUMMYFUNCTION("""COMPUTED_VALUE"""),790.0)</f>
        <v>790</v>
      </c>
      <c r="F85" s="2">
        <f>IFERROR(__xludf.DUMMYFUNCTION("""COMPUTED_VALUE"""),3637400.0)</f>
        <v>3637400</v>
      </c>
      <c r="G85" s="2">
        <f t="shared" si="1"/>
        <v>15</v>
      </c>
    </row>
    <row r="86" ht="15.75" customHeight="1">
      <c r="A86" s="1">
        <f>IFERROR(__xludf.DUMMYFUNCTION("""COMPUTED_VALUE"""),45120.66666666667)</f>
        <v>45120.66667</v>
      </c>
      <c r="B86" s="2">
        <f>IFERROR(__xludf.DUMMYFUNCTION("""COMPUTED_VALUE"""),790.0)</f>
        <v>790</v>
      </c>
      <c r="C86" s="2">
        <f>IFERROR(__xludf.DUMMYFUNCTION("""COMPUTED_VALUE"""),805.0)</f>
        <v>805</v>
      </c>
      <c r="D86" s="2">
        <f>IFERROR(__xludf.DUMMYFUNCTION("""COMPUTED_VALUE"""),775.0)</f>
        <v>775</v>
      </c>
      <c r="E86" s="2">
        <f>IFERROR(__xludf.DUMMYFUNCTION("""COMPUTED_VALUE"""),775.0)</f>
        <v>775</v>
      </c>
      <c r="F86" s="2">
        <f>IFERROR(__xludf.DUMMYFUNCTION("""COMPUTED_VALUE"""),6462600.0)</f>
        <v>6462600</v>
      </c>
      <c r="G86" s="2">
        <f t="shared" si="1"/>
        <v>30</v>
      </c>
    </row>
    <row r="87" ht="15.75" customHeight="1">
      <c r="A87" s="1">
        <f>IFERROR(__xludf.DUMMYFUNCTION("""COMPUTED_VALUE"""),45121.66666666667)</f>
        <v>45121.66667</v>
      </c>
      <c r="B87" s="2">
        <f>IFERROR(__xludf.DUMMYFUNCTION("""COMPUTED_VALUE"""),780.0)</f>
        <v>780</v>
      </c>
      <c r="C87" s="2">
        <f>IFERROR(__xludf.DUMMYFUNCTION("""COMPUTED_VALUE"""),800.0)</f>
        <v>800</v>
      </c>
      <c r="D87" s="2">
        <f>IFERROR(__xludf.DUMMYFUNCTION("""COMPUTED_VALUE"""),775.0)</f>
        <v>775</v>
      </c>
      <c r="E87" s="2">
        <f>IFERROR(__xludf.DUMMYFUNCTION("""COMPUTED_VALUE"""),790.0)</f>
        <v>790</v>
      </c>
      <c r="F87" s="2">
        <f>IFERROR(__xludf.DUMMYFUNCTION("""COMPUTED_VALUE"""),4612700.0)</f>
        <v>4612700</v>
      </c>
      <c r="G87" s="2">
        <f t="shared" si="1"/>
        <v>25</v>
      </c>
    </row>
    <row r="88" ht="15.75" customHeight="1">
      <c r="A88" s="1">
        <f>IFERROR(__xludf.DUMMYFUNCTION("""COMPUTED_VALUE"""),45124.66666666667)</f>
        <v>45124.66667</v>
      </c>
      <c r="B88" s="2">
        <f>IFERROR(__xludf.DUMMYFUNCTION("""COMPUTED_VALUE"""),795.0)</f>
        <v>795</v>
      </c>
      <c r="C88" s="2">
        <f>IFERROR(__xludf.DUMMYFUNCTION("""COMPUTED_VALUE"""),805.0)</f>
        <v>805</v>
      </c>
      <c r="D88" s="2">
        <f>IFERROR(__xludf.DUMMYFUNCTION("""COMPUTED_VALUE"""),780.0)</f>
        <v>780</v>
      </c>
      <c r="E88" s="2">
        <f>IFERROR(__xludf.DUMMYFUNCTION("""COMPUTED_VALUE"""),790.0)</f>
        <v>790</v>
      </c>
      <c r="F88" s="2">
        <f>IFERROR(__xludf.DUMMYFUNCTION("""COMPUTED_VALUE"""),9673000.0)</f>
        <v>9673000</v>
      </c>
      <c r="G88" s="2">
        <f t="shared" si="1"/>
        <v>25</v>
      </c>
    </row>
    <row r="89" ht="15.75" customHeight="1">
      <c r="A89" s="1">
        <f>IFERROR(__xludf.DUMMYFUNCTION("""COMPUTED_VALUE"""),45125.66666666667)</f>
        <v>45125.66667</v>
      </c>
      <c r="B89" s="2">
        <f>IFERROR(__xludf.DUMMYFUNCTION("""COMPUTED_VALUE"""),790.0)</f>
        <v>790</v>
      </c>
      <c r="C89" s="2">
        <f>IFERROR(__xludf.DUMMYFUNCTION("""COMPUTED_VALUE"""),800.0)</f>
        <v>800</v>
      </c>
      <c r="D89" s="2">
        <f>IFERROR(__xludf.DUMMYFUNCTION("""COMPUTED_VALUE"""),765.0)</f>
        <v>765</v>
      </c>
      <c r="E89" s="2">
        <f>IFERROR(__xludf.DUMMYFUNCTION("""COMPUTED_VALUE"""),770.0)</f>
        <v>770</v>
      </c>
      <c r="F89" s="2">
        <f>IFERROR(__xludf.DUMMYFUNCTION("""COMPUTED_VALUE"""),8224600.0)</f>
        <v>8224600</v>
      </c>
      <c r="G89" s="2">
        <f t="shared" si="1"/>
        <v>35</v>
      </c>
    </row>
    <row r="90" ht="15.75" customHeight="1">
      <c r="A90" s="1">
        <f>IFERROR(__xludf.DUMMYFUNCTION("""COMPUTED_VALUE"""),45127.66666666667)</f>
        <v>45127.66667</v>
      </c>
      <c r="B90" s="2">
        <f>IFERROR(__xludf.DUMMYFUNCTION("""COMPUTED_VALUE"""),770.0)</f>
        <v>770</v>
      </c>
      <c r="C90" s="2">
        <f>IFERROR(__xludf.DUMMYFUNCTION("""COMPUTED_VALUE"""),770.0)</f>
        <v>770</v>
      </c>
      <c r="D90" s="2">
        <f>IFERROR(__xludf.DUMMYFUNCTION("""COMPUTED_VALUE"""),740.0)</f>
        <v>740</v>
      </c>
      <c r="E90" s="2">
        <f>IFERROR(__xludf.DUMMYFUNCTION("""COMPUTED_VALUE"""),745.0)</f>
        <v>745</v>
      </c>
      <c r="F90" s="2">
        <f>IFERROR(__xludf.DUMMYFUNCTION("""COMPUTED_VALUE"""),1.21963E7)</f>
        <v>12196300</v>
      </c>
      <c r="G90" s="2">
        <f t="shared" si="1"/>
        <v>30</v>
      </c>
    </row>
    <row r="91" ht="15.75" customHeight="1">
      <c r="A91" s="1">
        <f>IFERROR(__xludf.DUMMYFUNCTION("""COMPUTED_VALUE"""),45128.66666666667)</f>
        <v>45128.66667</v>
      </c>
      <c r="B91" s="2">
        <f>IFERROR(__xludf.DUMMYFUNCTION("""COMPUTED_VALUE"""),745.0)</f>
        <v>745</v>
      </c>
      <c r="C91" s="2">
        <f>IFERROR(__xludf.DUMMYFUNCTION("""COMPUTED_VALUE"""),770.0)</f>
        <v>770</v>
      </c>
      <c r="D91" s="2">
        <f>IFERROR(__xludf.DUMMYFUNCTION("""COMPUTED_VALUE"""),745.0)</f>
        <v>745</v>
      </c>
      <c r="E91" s="2">
        <f>IFERROR(__xludf.DUMMYFUNCTION("""COMPUTED_VALUE"""),765.0)</f>
        <v>765</v>
      </c>
      <c r="F91" s="2">
        <f>IFERROR(__xludf.DUMMYFUNCTION("""COMPUTED_VALUE"""),5010200.0)</f>
        <v>5010200</v>
      </c>
      <c r="G91" s="2">
        <f t="shared" si="1"/>
        <v>25</v>
      </c>
    </row>
    <row r="92" ht="15.75" customHeight="1">
      <c r="A92" s="1">
        <f>IFERROR(__xludf.DUMMYFUNCTION("""COMPUTED_VALUE"""),45131.66666666667)</f>
        <v>45131.66667</v>
      </c>
      <c r="B92" s="2">
        <f>IFERROR(__xludf.DUMMYFUNCTION("""COMPUTED_VALUE"""),765.0)</f>
        <v>765</v>
      </c>
      <c r="C92" s="2">
        <f>IFERROR(__xludf.DUMMYFUNCTION("""COMPUTED_VALUE"""),780.0)</f>
        <v>780</v>
      </c>
      <c r="D92" s="2">
        <f>IFERROR(__xludf.DUMMYFUNCTION("""COMPUTED_VALUE"""),760.0)</f>
        <v>760</v>
      </c>
      <c r="E92" s="2">
        <f>IFERROR(__xludf.DUMMYFUNCTION("""COMPUTED_VALUE"""),775.0)</f>
        <v>775</v>
      </c>
      <c r="F92" s="2">
        <f>IFERROR(__xludf.DUMMYFUNCTION("""COMPUTED_VALUE"""),4571300.0)</f>
        <v>4571300</v>
      </c>
      <c r="G92" s="2">
        <f t="shared" si="1"/>
        <v>20</v>
      </c>
    </row>
    <row r="93" ht="15.75" customHeight="1">
      <c r="A93" s="1">
        <f>IFERROR(__xludf.DUMMYFUNCTION("""COMPUTED_VALUE"""),45132.66666666667)</f>
        <v>45132.66667</v>
      </c>
      <c r="B93" s="2">
        <f>IFERROR(__xludf.DUMMYFUNCTION("""COMPUTED_VALUE"""),775.0)</f>
        <v>775</v>
      </c>
      <c r="C93" s="2">
        <f>IFERROR(__xludf.DUMMYFUNCTION("""COMPUTED_VALUE"""),785.0)</f>
        <v>785</v>
      </c>
      <c r="D93" s="2">
        <f>IFERROR(__xludf.DUMMYFUNCTION("""COMPUTED_VALUE"""),755.0)</f>
        <v>755</v>
      </c>
      <c r="E93" s="2">
        <f>IFERROR(__xludf.DUMMYFUNCTION("""COMPUTED_VALUE"""),765.0)</f>
        <v>765</v>
      </c>
      <c r="F93" s="2">
        <f>IFERROR(__xludf.DUMMYFUNCTION("""COMPUTED_VALUE"""),5243900.0)</f>
        <v>5243900</v>
      </c>
      <c r="G93" s="2">
        <f t="shared" si="1"/>
        <v>30</v>
      </c>
    </row>
    <row r="94" ht="15.75" customHeight="1">
      <c r="A94" s="1">
        <f>IFERROR(__xludf.DUMMYFUNCTION("""COMPUTED_VALUE"""),45133.66666666667)</f>
        <v>45133.66667</v>
      </c>
      <c r="B94" s="2">
        <f>IFERROR(__xludf.DUMMYFUNCTION("""COMPUTED_VALUE"""),770.0)</f>
        <v>770</v>
      </c>
      <c r="C94" s="2">
        <f>IFERROR(__xludf.DUMMYFUNCTION("""COMPUTED_VALUE"""),815.0)</f>
        <v>815</v>
      </c>
      <c r="D94" s="2">
        <f>IFERROR(__xludf.DUMMYFUNCTION("""COMPUTED_VALUE"""),765.0)</f>
        <v>765</v>
      </c>
      <c r="E94" s="2">
        <f>IFERROR(__xludf.DUMMYFUNCTION("""COMPUTED_VALUE"""),790.0)</f>
        <v>790</v>
      </c>
      <c r="F94" s="2">
        <f>IFERROR(__xludf.DUMMYFUNCTION("""COMPUTED_VALUE"""),2.12781E7)</f>
        <v>21278100</v>
      </c>
      <c r="G94" s="2">
        <f t="shared" si="1"/>
        <v>50</v>
      </c>
    </row>
    <row r="95" ht="15.75" customHeight="1">
      <c r="A95" s="1">
        <f>IFERROR(__xludf.DUMMYFUNCTION("""COMPUTED_VALUE"""),45134.66666666667)</f>
        <v>45134.66667</v>
      </c>
      <c r="B95" s="2">
        <f>IFERROR(__xludf.DUMMYFUNCTION("""COMPUTED_VALUE"""),800.0)</f>
        <v>800</v>
      </c>
      <c r="C95" s="2">
        <f>IFERROR(__xludf.DUMMYFUNCTION("""COMPUTED_VALUE"""),805.0)</f>
        <v>805</v>
      </c>
      <c r="D95" s="2">
        <f>IFERROR(__xludf.DUMMYFUNCTION("""COMPUTED_VALUE"""),790.0)</f>
        <v>790</v>
      </c>
      <c r="E95" s="2">
        <f>IFERROR(__xludf.DUMMYFUNCTION("""COMPUTED_VALUE"""),790.0)</f>
        <v>790</v>
      </c>
      <c r="F95" s="2">
        <f>IFERROR(__xludf.DUMMYFUNCTION("""COMPUTED_VALUE"""),9117400.0)</f>
        <v>9117400</v>
      </c>
      <c r="G95" s="2">
        <f t="shared" si="1"/>
        <v>15</v>
      </c>
    </row>
    <row r="96" ht="15.75" customHeight="1">
      <c r="A96" s="1">
        <f>IFERROR(__xludf.DUMMYFUNCTION("""COMPUTED_VALUE"""),45135.66666666667)</f>
        <v>45135.66667</v>
      </c>
      <c r="B96" s="2">
        <f>IFERROR(__xludf.DUMMYFUNCTION("""COMPUTED_VALUE"""),800.0)</f>
        <v>800</v>
      </c>
      <c r="C96" s="2">
        <f>IFERROR(__xludf.DUMMYFUNCTION("""COMPUTED_VALUE"""),815.0)</f>
        <v>815</v>
      </c>
      <c r="D96" s="2">
        <f>IFERROR(__xludf.DUMMYFUNCTION("""COMPUTED_VALUE"""),775.0)</f>
        <v>775</v>
      </c>
      <c r="E96" s="2">
        <f>IFERROR(__xludf.DUMMYFUNCTION("""COMPUTED_VALUE"""),805.0)</f>
        <v>805</v>
      </c>
      <c r="F96" s="2">
        <f>IFERROR(__xludf.DUMMYFUNCTION("""COMPUTED_VALUE"""),1.15972E7)</f>
        <v>11597200</v>
      </c>
      <c r="G96" s="2">
        <f t="shared" si="1"/>
        <v>40</v>
      </c>
    </row>
    <row r="97" ht="15.75" customHeight="1">
      <c r="A97" s="1">
        <f>IFERROR(__xludf.DUMMYFUNCTION("""COMPUTED_VALUE"""),45138.66666666667)</f>
        <v>45138.66667</v>
      </c>
      <c r="B97" s="2">
        <f>IFERROR(__xludf.DUMMYFUNCTION("""COMPUTED_VALUE"""),805.0)</f>
        <v>805</v>
      </c>
      <c r="C97" s="2">
        <f>IFERROR(__xludf.DUMMYFUNCTION("""COMPUTED_VALUE"""),855.0)</f>
        <v>855</v>
      </c>
      <c r="D97" s="2">
        <f>IFERROR(__xludf.DUMMYFUNCTION("""COMPUTED_VALUE"""),795.0)</f>
        <v>795</v>
      </c>
      <c r="E97" s="2">
        <f>IFERROR(__xludf.DUMMYFUNCTION("""COMPUTED_VALUE"""),850.0)</f>
        <v>850</v>
      </c>
      <c r="F97" s="2">
        <f>IFERROR(__xludf.DUMMYFUNCTION("""COMPUTED_VALUE"""),2.01001E7)</f>
        <v>20100100</v>
      </c>
      <c r="G97" s="2">
        <f t="shared" si="1"/>
        <v>60</v>
      </c>
    </row>
    <row r="98" ht="15.75" customHeight="1">
      <c r="A98" s="1">
        <f>IFERROR(__xludf.DUMMYFUNCTION("""COMPUTED_VALUE"""),45139.66666666667)</f>
        <v>45139.66667</v>
      </c>
      <c r="B98" s="2">
        <f>IFERROR(__xludf.DUMMYFUNCTION("""COMPUTED_VALUE"""),855.0)</f>
        <v>855</v>
      </c>
      <c r="C98" s="2">
        <f>IFERROR(__xludf.DUMMYFUNCTION("""COMPUTED_VALUE"""),860.0)</f>
        <v>860</v>
      </c>
      <c r="D98" s="2">
        <f>IFERROR(__xludf.DUMMYFUNCTION("""COMPUTED_VALUE"""),825.0)</f>
        <v>825</v>
      </c>
      <c r="E98" s="2">
        <f>IFERROR(__xludf.DUMMYFUNCTION("""COMPUTED_VALUE"""),835.0)</f>
        <v>835</v>
      </c>
      <c r="F98" s="2">
        <f>IFERROR(__xludf.DUMMYFUNCTION("""COMPUTED_VALUE"""),1.13661E7)</f>
        <v>11366100</v>
      </c>
      <c r="G98" s="2">
        <f t="shared" si="1"/>
        <v>35</v>
      </c>
    </row>
    <row r="99" ht="15.75" customHeight="1">
      <c r="A99" s="1">
        <f>IFERROR(__xludf.DUMMYFUNCTION("""COMPUTED_VALUE"""),45140.66666666667)</f>
        <v>45140.66667</v>
      </c>
      <c r="B99" s="2">
        <f>IFERROR(__xludf.DUMMYFUNCTION("""COMPUTED_VALUE"""),835.0)</f>
        <v>835</v>
      </c>
      <c r="C99" s="2">
        <f>IFERROR(__xludf.DUMMYFUNCTION("""COMPUTED_VALUE"""),880.0)</f>
        <v>880</v>
      </c>
      <c r="D99" s="2">
        <f>IFERROR(__xludf.DUMMYFUNCTION("""COMPUTED_VALUE"""),835.0)</f>
        <v>835</v>
      </c>
      <c r="E99" s="2">
        <f>IFERROR(__xludf.DUMMYFUNCTION("""COMPUTED_VALUE"""),875.0)</f>
        <v>875</v>
      </c>
      <c r="F99" s="2">
        <f>IFERROR(__xludf.DUMMYFUNCTION("""COMPUTED_VALUE"""),1.39363E7)</f>
        <v>13936300</v>
      </c>
      <c r="G99" s="2">
        <f t="shared" si="1"/>
        <v>45</v>
      </c>
    </row>
    <row r="100" ht="15.75" customHeight="1">
      <c r="A100" s="1">
        <f>IFERROR(__xludf.DUMMYFUNCTION("""COMPUTED_VALUE"""),45141.66666666667)</f>
        <v>45141.66667</v>
      </c>
      <c r="B100" s="2">
        <f>IFERROR(__xludf.DUMMYFUNCTION("""COMPUTED_VALUE"""),880.0)</f>
        <v>880</v>
      </c>
      <c r="C100" s="2">
        <f>IFERROR(__xludf.DUMMYFUNCTION("""COMPUTED_VALUE"""),880.0)</f>
        <v>880</v>
      </c>
      <c r="D100" s="2">
        <f>IFERROR(__xludf.DUMMYFUNCTION("""COMPUTED_VALUE"""),860.0)</f>
        <v>860</v>
      </c>
      <c r="E100" s="2">
        <f>IFERROR(__xludf.DUMMYFUNCTION("""COMPUTED_VALUE"""),875.0)</f>
        <v>875</v>
      </c>
      <c r="F100" s="2">
        <f>IFERROR(__xludf.DUMMYFUNCTION("""COMPUTED_VALUE"""),6278400.0)</f>
        <v>6278400</v>
      </c>
      <c r="G100" s="2">
        <f t="shared" si="1"/>
        <v>20</v>
      </c>
    </row>
    <row r="101" ht="15.75" customHeight="1">
      <c r="A101" s="1">
        <f>IFERROR(__xludf.DUMMYFUNCTION("""COMPUTED_VALUE"""),45142.66666666667)</f>
        <v>45142.66667</v>
      </c>
      <c r="B101" s="2">
        <f>IFERROR(__xludf.DUMMYFUNCTION("""COMPUTED_VALUE"""),875.0)</f>
        <v>875</v>
      </c>
      <c r="C101" s="2">
        <f>IFERROR(__xludf.DUMMYFUNCTION("""COMPUTED_VALUE"""),910.0)</f>
        <v>910</v>
      </c>
      <c r="D101" s="2">
        <f>IFERROR(__xludf.DUMMYFUNCTION("""COMPUTED_VALUE"""),870.0)</f>
        <v>870</v>
      </c>
      <c r="E101" s="2">
        <f>IFERROR(__xludf.DUMMYFUNCTION("""COMPUTED_VALUE"""),870.0)</f>
        <v>870</v>
      </c>
      <c r="F101" s="2">
        <f>IFERROR(__xludf.DUMMYFUNCTION("""COMPUTED_VALUE"""),1.37302E7)</f>
        <v>13730200</v>
      </c>
      <c r="G101" s="2">
        <f t="shared" si="1"/>
        <v>40</v>
      </c>
    </row>
    <row r="102" ht="15.75" customHeight="1">
      <c r="A102" s="1">
        <f>IFERROR(__xludf.DUMMYFUNCTION("""COMPUTED_VALUE"""),45145.66666666667)</f>
        <v>45145.66667</v>
      </c>
      <c r="B102" s="2">
        <f>IFERROR(__xludf.DUMMYFUNCTION("""COMPUTED_VALUE"""),870.0)</f>
        <v>870</v>
      </c>
      <c r="C102" s="2">
        <f>IFERROR(__xludf.DUMMYFUNCTION("""COMPUTED_VALUE"""),875.0)</f>
        <v>875</v>
      </c>
      <c r="D102" s="2">
        <f>IFERROR(__xludf.DUMMYFUNCTION("""COMPUTED_VALUE"""),845.0)</f>
        <v>845</v>
      </c>
      <c r="E102" s="2">
        <f>IFERROR(__xludf.DUMMYFUNCTION("""COMPUTED_VALUE"""),860.0)</f>
        <v>860</v>
      </c>
      <c r="F102" s="2">
        <f>IFERROR(__xludf.DUMMYFUNCTION("""COMPUTED_VALUE"""),2947400.0)</f>
        <v>2947400</v>
      </c>
      <c r="G102" s="2">
        <f t="shared" si="1"/>
        <v>30</v>
      </c>
    </row>
    <row r="103" ht="15.75" customHeight="1">
      <c r="A103" s="1">
        <f>IFERROR(__xludf.DUMMYFUNCTION("""COMPUTED_VALUE"""),45146.66666666667)</f>
        <v>45146.66667</v>
      </c>
      <c r="B103" s="2">
        <f>IFERROR(__xludf.DUMMYFUNCTION("""COMPUTED_VALUE"""),860.0)</f>
        <v>860</v>
      </c>
      <c r="C103" s="2">
        <f>IFERROR(__xludf.DUMMYFUNCTION("""COMPUTED_VALUE"""),900.0)</f>
        <v>900</v>
      </c>
      <c r="D103" s="2">
        <f>IFERROR(__xludf.DUMMYFUNCTION("""COMPUTED_VALUE"""),855.0)</f>
        <v>855</v>
      </c>
      <c r="E103" s="2">
        <f>IFERROR(__xludf.DUMMYFUNCTION("""COMPUTED_VALUE"""),885.0)</f>
        <v>885</v>
      </c>
      <c r="F103" s="2">
        <f>IFERROR(__xludf.DUMMYFUNCTION("""COMPUTED_VALUE"""),1.83358E7)</f>
        <v>18335800</v>
      </c>
      <c r="G103" s="2">
        <f t="shared" si="1"/>
        <v>45</v>
      </c>
    </row>
    <row r="104" ht="15.75" customHeight="1">
      <c r="A104" s="1">
        <f>IFERROR(__xludf.DUMMYFUNCTION("""COMPUTED_VALUE"""),45147.66666666667)</f>
        <v>45147.66667</v>
      </c>
      <c r="B104" s="2">
        <f>IFERROR(__xludf.DUMMYFUNCTION("""COMPUTED_VALUE"""),885.0)</f>
        <v>885</v>
      </c>
      <c r="C104" s="2">
        <f>IFERROR(__xludf.DUMMYFUNCTION("""COMPUTED_VALUE"""),910.0)</f>
        <v>910</v>
      </c>
      <c r="D104" s="2">
        <f>IFERROR(__xludf.DUMMYFUNCTION("""COMPUTED_VALUE"""),885.0)</f>
        <v>885</v>
      </c>
      <c r="E104" s="2">
        <f>IFERROR(__xludf.DUMMYFUNCTION("""COMPUTED_VALUE"""),910.0)</f>
        <v>910</v>
      </c>
      <c r="F104" s="2">
        <f>IFERROR(__xludf.DUMMYFUNCTION("""COMPUTED_VALUE"""),2.32263E7)</f>
        <v>23226300</v>
      </c>
      <c r="G104" s="2">
        <f t="shared" si="1"/>
        <v>25</v>
      </c>
    </row>
    <row r="105" ht="15.75" customHeight="1">
      <c r="A105" s="1">
        <f>IFERROR(__xludf.DUMMYFUNCTION("""COMPUTED_VALUE"""),45148.66666666667)</f>
        <v>45148.66667</v>
      </c>
      <c r="B105" s="2">
        <f>IFERROR(__xludf.DUMMYFUNCTION("""COMPUTED_VALUE"""),915.0)</f>
        <v>915</v>
      </c>
      <c r="C105" s="2">
        <f>IFERROR(__xludf.DUMMYFUNCTION("""COMPUTED_VALUE"""),915.0)</f>
        <v>915</v>
      </c>
      <c r="D105" s="2">
        <f>IFERROR(__xludf.DUMMYFUNCTION("""COMPUTED_VALUE"""),895.0)</f>
        <v>895</v>
      </c>
      <c r="E105" s="2">
        <f>IFERROR(__xludf.DUMMYFUNCTION("""COMPUTED_VALUE"""),910.0)</f>
        <v>910</v>
      </c>
      <c r="F105" s="2">
        <f>IFERROR(__xludf.DUMMYFUNCTION("""COMPUTED_VALUE"""),1.31672E7)</f>
        <v>13167200</v>
      </c>
      <c r="G105" s="2">
        <f t="shared" si="1"/>
        <v>20</v>
      </c>
    </row>
    <row r="106" ht="15.75" customHeight="1">
      <c r="A106" s="1">
        <f>IFERROR(__xludf.DUMMYFUNCTION("""COMPUTED_VALUE"""),45149.66666666667)</f>
        <v>45149.66667</v>
      </c>
      <c r="B106" s="2">
        <f>IFERROR(__xludf.DUMMYFUNCTION("""COMPUTED_VALUE"""),915.0)</f>
        <v>915</v>
      </c>
      <c r="C106" s="2">
        <f>IFERROR(__xludf.DUMMYFUNCTION("""COMPUTED_VALUE"""),1045.0)</f>
        <v>1045</v>
      </c>
      <c r="D106" s="2">
        <f>IFERROR(__xludf.DUMMYFUNCTION("""COMPUTED_VALUE"""),900.0)</f>
        <v>900</v>
      </c>
      <c r="E106" s="2">
        <f>IFERROR(__xludf.DUMMYFUNCTION("""COMPUTED_VALUE"""),945.0)</f>
        <v>945</v>
      </c>
      <c r="F106" s="2">
        <f>IFERROR(__xludf.DUMMYFUNCTION("""COMPUTED_VALUE"""),1.011719E8)</f>
        <v>101171900</v>
      </c>
      <c r="G106" s="2">
        <f t="shared" si="1"/>
        <v>145</v>
      </c>
    </row>
    <row r="107" ht="15.75" customHeight="1">
      <c r="A107" s="1">
        <f>IFERROR(__xludf.DUMMYFUNCTION("""COMPUTED_VALUE"""),45152.66666666667)</f>
        <v>45152.66667</v>
      </c>
      <c r="B107" s="2">
        <f>IFERROR(__xludf.DUMMYFUNCTION("""COMPUTED_VALUE"""),945.0)</f>
        <v>945</v>
      </c>
      <c r="C107" s="2">
        <f>IFERROR(__xludf.DUMMYFUNCTION("""COMPUTED_VALUE"""),955.0)</f>
        <v>955</v>
      </c>
      <c r="D107" s="2">
        <f>IFERROR(__xludf.DUMMYFUNCTION("""COMPUTED_VALUE"""),880.0)</f>
        <v>880</v>
      </c>
      <c r="E107" s="2">
        <f>IFERROR(__xludf.DUMMYFUNCTION("""COMPUTED_VALUE"""),925.0)</f>
        <v>925</v>
      </c>
      <c r="F107" s="2">
        <f>IFERROR(__xludf.DUMMYFUNCTION("""COMPUTED_VALUE"""),7.35174E7)</f>
        <v>73517400</v>
      </c>
      <c r="G107" s="2">
        <f t="shared" si="1"/>
        <v>75</v>
      </c>
    </row>
    <row r="108" ht="15.75" customHeight="1">
      <c r="A108" s="1">
        <f>IFERROR(__xludf.DUMMYFUNCTION("""COMPUTED_VALUE"""),45153.66666666667)</f>
        <v>45153.66667</v>
      </c>
      <c r="B108" s="2">
        <f>IFERROR(__xludf.DUMMYFUNCTION("""COMPUTED_VALUE"""),925.0)</f>
        <v>925</v>
      </c>
      <c r="C108" s="2">
        <f>IFERROR(__xludf.DUMMYFUNCTION("""COMPUTED_VALUE"""),1005.0)</f>
        <v>1005</v>
      </c>
      <c r="D108" s="2">
        <f>IFERROR(__xludf.DUMMYFUNCTION("""COMPUTED_VALUE"""),920.0)</f>
        <v>920</v>
      </c>
      <c r="E108" s="2">
        <f>IFERROR(__xludf.DUMMYFUNCTION("""COMPUTED_VALUE"""),1000.0)</f>
        <v>1000</v>
      </c>
      <c r="F108" s="2">
        <f>IFERROR(__xludf.DUMMYFUNCTION("""COMPUTED_VALUE"""),1.134369E8)</f>
        <v>113436900</v>
      </c>
      <c r="G108" s="2">
        <f t="shared" si="1"/>
        <v>85</v>
      </c>
    </row>
    <row r="109" ht="15.75" customHeight="1">
      <c r="A109" s="1">
        <f>IFERROR(__xludf.DUMMYFUNCTION("""COMPUTED_VALUE"""),45154.66666666667)</f>
        <v>45154.66667</v>
      </c>
      <c r="B109" s="2">
        <f>IFERROR(__xludf.DUMMYFUNCTION("""COMPUTED_VALUE"""),1005.0)</f>
        <v>1005</v>
      </c>
      <c r="C109" s="2">
        <f>IFERROR(__xludf.DUMMYFUNCTION("""COMPUTED_VALUE"""),1015.0)</f>
        <v>1015</v>
      </c>
      <c r="D109" s="2">
        <f>IFERROR(__xludf.DUMMYFUNCTION("""COMPUTED_VALUE"""),965.0)</f>
        <v>965</v>
      </c>
      <c r="E109" s="2">
        <f>IFERROR(__xludf.DUMMYFUNCTION("""COMPUTED_VALUE"""),970.0)</f>
        <v>970</v>
      </c>
      <c r="F109" s="2">
        <f>IFERROR(__xludf.DUMMYFUNCTION("""COMPUTED_VALUE"""),6.12587E7)</f>
        <v>61258700</v>
      </c>
      <c r="G109" s="2">
        <f t="shared" si="1"/>
        <v>50</v>
      </c>
    </row>
    <row r="110" ht="15.75" customHeight="1">
      <c r="A110" s="1">
        <f>IFERROR(__xludf.DUMMYFUNCTION("""COMPUTED_VALUE"""),45156.66666666667)</f>
        <v>45156.66667</v>
      </c>
      <c r="B110" s="2">
        <f>IFERROR(__xludf.DUMMYFUNCTION("""COMPUTED_VALUE"""),970.0)</f>
        <v>970</v>
      </c>
      <c r="C110" s="2">
        <f>IFERROR(__xludf.DUMMYFUNCTION("""COMPUTED_VALUE"""),985.0)</f>
        <v>985</v>
      </c>
      <c r="D110" s="2">
        <f>IFERROR(__xludf.DUMMYFUNCTION("""COMPUTED_VALUE"""),950.0)</f>
        <v>950</v>
      </c>
      <c r="E110" s="2">
        <f>IFERROR(__xludf.DUMMYFUNCTION("""COMPUTED_VALUE"""),970.0)</f>
        <v>970</v>
      </c>
      <c r="F110" s="2">
        <f>IFERROR(__xludf.DUMMYFUNCTION("""COMPUTED_VALUE"""),1.73383E7)</f>
        <v>17338300</v>
      </c>
      <c r="G110" s="2">
        <f t="shared" si="1"/>
        <v>35</v>
      </c>
    </row>
    <row r="111" ht="15.75" customHeight="1">
      <c r="A111" s="1">
        <f>IFERROR(__xludf.DUMMYFUNCTION("""COMPUTED_VALUE"""),45159.66666666667)</f>
        <v>45159.66667</v>
      </c>
      <c r="B111" s="2">
        <f>IFERROR(__xludf.DUMMYFUNCTION("""COMPUTED_VALUE"""),985.0)</f>
        <v>985</v>
      </c>
      <c r="C111" s="2">
        <f>IFERROR(__xludf.DUMMYFUNCTION("""COMPUTED_VALUE"""),1145.0)</f>
        <v>1145</v>
      </c>
      <c r="D111" s="2">
        <f>IFERROR(__xludf.DUMMYFUNCTION("""COMPUTED_VALUE"""),985.0)</f>
        <v>985</v>
      </c>
      <c r="E111" s="2">
        <f>IFERROR(__xludf.DUMMYFUNCTION("""COMPUTED_VALUE"""),1070.0)</f>
        <v>1070</v>
      </c>
      <c r="F111" s="2">
        <f>IFERROR(__xludf.DUMMYFUNCTION("""COMPUTED_VALUE"""),2.093327E8)</f>
        <v>209332700</v>
      </c>
      <c r="G111" s="2">
        <f t="shared" si="1"/>
        <v>175</v>
      </c>
    </row>
    <row r="112" ht="15.75" customHeight="1">
      <c r="A112" s="1">
        <f>IFERROR(__xludf.DUMMYFUNCTION("""COMPUTED_VALUE"""),45160.66666666667)</f>
        <v>45160.66667</v>
      </c>
      <c r="B112" s="2">
        <f>IFERROR(__xludf.DUMMYFUNCTION("""COMPUTED_VALUE"""),1075.0)</f>
        <v>1075</v>
      </c>
      <c r="C112" s="2">
        <f>IFERROR(__xludf.DUMMYFUNCTION("""COMPUTED_VALUE"""),1075.0)</f>
        <v>1075</v>
      </c>
      <c r="D112" s="2">
        <f>IFERROR(__xludf.DUMMYFUNCTION("""COMPUTED_VALUE"""),995.0)</f>
        <v>995</v>
      </c>
      <c r="E112" s="2">
        <f>IFERROR(__xludf.DUMMYFUNCTION("""COMPUTED_VALUE"""),1050.0)</f>
        <v>1050</v>
      </c>
      <c r="F112" s="2">
        <f>IFERROR(__xludf.DUMMYFUNCTION("""COMPUTED_VALUE"""),1.904303E8)</f>
        <v>190430300</v>
      </c>
      <c r="G112" s="2">
        <f t="shared" si="1"/>
        <v>80</v>
      </c>
    </row>
    <row r="113" ht="15.75" customHeight="1">
      <c r="A113" s="1">
        <f>IFERROR(__xludf.DUMMYFUNCTION("""COMPUTED_VALUE"""),45161.66666666667)</f>
        <v>45161.66667</v>
      </c>
      <c r="B113" s="2">
        <f>IFERROR(__xludf.DUMMYFUNCTION("""COMPUTED_VALUE"""),1090.0)</f>
        <v>1090</v>
      </c>
      <c r="C113" s="2">
        <f>IFERROR(__xludf.DUMMYFUNCTION("""COMPUTED_VALUE"""),1090.0)</f>
        <v>1090</v>
      </c>
      <c r="D113" s="2">
        <f>IFERROR(__xludf.DUMMYFUNCTION("""COMPUTED_VALUE"""),1025.0)</f>
        <v>1025</v>
      </c>
      <c r="E113" s="2">
        <f>IFERROR(__xludf.DUMMYFUNCTION("""COMPUTED_VALUE"""),1045.0)</f>
        <v>1045</v>
      </c>
      <c r="F113" s="2">
        <f>IFERROR(__xludf.DUMMYFUNCTION("""COMPUTED_VALUE"""),1.033924E8)</f>
        <v>103392400</v>
      </c>
      <c r="G113" s="2">
        <f t="shared" si="1"/>
        <v>65</v>
      </c>
    </row>
    <row r="114" ht="15.75" customHeight="1">
      <c r="A114" s="1">
        <f>IFERROR(__xludf.DUMMYFUNCTION("""COMPUTED_VALUE"""),45162.66666666667)</f>
        <v>45162.66667</v>
      </c>
      <c r="B114" s="2">
        <f>IFERROR(__xludf.DUMMYFUNCTION("""COMPUTED_VALUE"""),1045.0)</f>
        <v>1045</v>
      </c>
      <c r="C114" s="2">
        <f>IFERROR(__xludf.DUMMYFUNCTION("""COMPUTED_VALUE"""),1085.0)</f>
        <v>1085</v>
      </c>
      <c r="D114" s="2">
        <f>IFERROR(__xludf.DUMMYFUNCTION("""COMPUTED_VALUE"""),1045.0)</f>
        <v>1045</v>
      </c>
      <c r="E114" s="2">
        <f>IFERROR(__xludf.DUMMYFUNCTION("""COMPUTED_VALUE"""),1060.0)</f>
        <v>1060</v>
      </c>
      <c r="F114" s="2">
        <f>IFERROR(__xludf.DUMMYFUNCTION("""COMPUTED_VALUE"""),7.41219E7)</f>
        <v>74121900</v>
      </c>
      <c r="G114" s="2">
        <f t="shared" si="1"/>
        <v>40</v>
      </c>
    </row>
    <row r="115" ht="15.75" customHeight="1">
      <c r="A115" s="1">
        <f>IFERROR(__xludf.DUMMYFUNCTION("""COMPUTED_VALUE"""),45163.66666666667)</f>
        <v>45163.66667</v>
      </c>
      <c r="B115" s="2">
        <f>IFERROR(__xludf.DUMMYFUNCTION("""COMPUTED_VALUE"""),1035.0)</f>
        <v>1035</v>
      </c>
      <c r="C115" s="2">
        <f>IFERROR(__xludf.DUMMYFUNCTION("""COMPUTED_VALUE"""),1120.0)</f>
        <v>1120</v>
      </c>
      <c r="D115" s="2">
        <f>IFERROR(__xludf.DUMMYFUNCTION("""COMPUTED_VALUE"""),970.0)</f>
        <v>970</v>
      </c>
      <c r="E115" s="2">
        <f>IFERROR(__xludf.DUMMYFUNCTION("""COMPUTED_VALUE"""),1065.0)</f>
        <v>1065</v>
      </c>
      <c r="F115" s="2">
        <f>IFERROR(__xludf.DUMMYFUNCTION("""COMPUTED_VALUE"""),1.921235E8)</f>
        <v>192123500</v>
      </c>
      <c r="G115" s="2">
        <f t="shared" si="1"/>
        <v>150</v>
      </c>
    </row>
    <row r="116" ht="15.75" customHeight="1">
      <c r="A116" s="1">
        <f>IFERROR(__xludf.DUMMYFUNCTION("""COMPUTED_VALUE"""),45166.66666666667)</f>
        <v>45166.66667</v>
      </c>
      <c r="B116" s="2">
        <f>IFERROR(__xludf.DUMMYFUNCTION("""COMPUTED_VALUE"""),1080.0)</f>
        <v>1080</v>
      </c>
      <c r="C116" s="2">
        <f>IFERROR(__xludf.DUMMYFUNCTION("""COMPUTED_VALUE"""),1195.0)</f>
        <v>1195</v>
      </c>
      <c r="D116" s="2">
        <f>IFERROR(__xludf.DUMMYFUNCTION("""COMPUTED_VALUE"""),1065.0)</f>
        <v>1065</v>
      </c>
      <c r="E116" s="2">
        <f>IFERROR(__xludf.DUMMYFUNCTION("""COMPUTED_VALUE"""),1165.0)</f>
        <v>1165</v>
      </c>
      <c r="F116" s="2">
        <f>IFERROR(__xludf.DUMMYFUNCTION("""COMPUTED_VALUE"""),1.506898E8)</f>
        <v>150689800</v>
      </c>
      <c r="G116" s="2">
        <f t="shared" si="1"/>
        <v>130</v>
      </c>
    </row>
    <row r="117" ht="15.75" customHeight="1">
      <c r="A117" s="1">
        <f>IFERROR(__xludf.DUMMYFUNCTION("""COMPUTED_VALUE"""),45167.66666666667)</f>
        <v>45167.66667</v>
      </c>
      <c r="B117" s="2">
        <f>IFERROR(__xludf.DUMMYFUNCTION("""COMPUTED_VALUE"""),1175.0)</f>
        <v>1175</v>
      </c>
      <c r="C117" s="2">
        <f>IFERROR(__xludf.DUMMYFUNCTION("""COMPUTED_VALUE"""),1300.0)</f>
        <v>1300</v>
      </c>
      <c r="D117" s="2">
        <f>IFERROR(__xludf.DUMMYFUNCTION("""COMPUTED_VALUE"""),1165.0)</f>
        <v>1165</v>
      </c>
      <c r="E117" s="2">
        <f>IFERROR(__xludf.DUMMYFUNCTION("""COMPUTED_VALUE"""),1295.0)</f>
        <v>1295</v>
      </c>
      <c r="F117" s="2">
        <f>IFERROR(__xludf.DUMMYFUNCTION("""COMPUTED_VALUE"""),1.354016E8)</f>
        <v>135401600</v>
      </c>
      <c r="G117" s="2">
        <f t="shared" si="1"/>
        <v>135</v>
      </c>
    </row>
    <row r="118" ht="15.75" customHeight="1">
      <c r="A118" s="1">
        <f>IFERROR(__xludf.DUMMYFUNCTION("""COMPUTED_VALUE"""),45168.66666666667)</f>
        <v>45168.66667</v>
      </c>
      <c r="B118" s="2">
        <f>IFERROR(__xludf.DUMMYFUNCTION("""COMPUTED_VALUE"""),1310.0)</f>
        <v>1310</v>
      </c>
      <c r="C118" s="2">
        <f>IFERROR(__xludf.DUMMYFUNCTION("""COMPUTED_VALUE"""),1415.0)</f>
        <v>1415</v>
      </c>
      <c r="D118" s="2">
        <f>IFERROR(__xludf.DUMMYFUNCTION("""COMPUTED_VALUE"""),1295.0)</f>
        <v>1295</v>
      </c>
      <c r="E118" s="2">
        <f>IFERROR(__xludf.DUMMYFUNCTION("""COMPUTED_VALUE"""),1400.0)</f>
        <v>1400</v>
      </c>
      <c r="F118" s="2">
        <f>IFERROR(__xludf.DUMMYFUNCTION("""COMPUTED_VALUE"""),1.973936E8)</f>
        <v>197393600</v>
      </c>
      <c r="G118" s="2">
        <f t="shared" si="1"/>
        <v>120</v>
      </c>
    </row>
    <row r="119" ht="15.75" customHeight="1">
      <c r="A119" s="1">
        <f>IFERROR(__xludf.DUMMYFUNCTION("""COMPUTED_VALUE"""),45169.66666666667)</f>
        <v>45169.66667</v>
      </c>
      <c r="B119" s="2">
        <f>IFERROR(__xludf.DUMMYFUNCTION("""COMPUTED_VALUE"""),1415.0)</f>
        <v>1415</v>
      </c>
      <c r="C119" s="2">
        <f>IFERROR(__xludf.DUMMYFUNCTION("""COMPUTED_VALUE"""),1425.0)</f>
        <v>1425</v>
      </c>
      <c r="D119" s="2">
        <f>IFERROR(__xludf.DUMMYFUNCTION("""COMPUTED_VALUE"""),1340.0)</f>
        <v>1340</v>
      </c>
      <c r="E119" s="2">
        <f>IFERROR(__xludf.DUMMYFUNCTION("""COMPUTED_VALUE"""),1380.0)</f>
        <v>1380</v>
      </c>
      <c r="F119" s="2">
        <f>IFERROR(__xludf.DUMMYFUNCTION("""COMPUTED_VALUE"""),1.153117E8)</f>
        <v>115311700</v>
      </c>
      <c r="G119" s="2">
        <f t="shared" si="1"/>
        <v>85</v>
      </c>
    </row>
    <row r="120" ht="15.75" customHeight="1">
      <c r="A120" s="1">
        <f>IFERROR(__xludf.DUMMYFUNCTION("""COMPUTED_VALUE"""),45170.66666666667)</f>
        <v>45170.66667</v>
      </c>
      <c r="B120" s="2">
        <f>IFERROR(__xludf.DUMMYFUNCTION("""COMPUTED_VALUE"""),1405.0)</f>
        <v>1405</v>
      </c>
      <c r="C120" s="2">
        <f>IFERROR(__xludf.DUMMYFUNCTION("""COMPUTED_VALUE"""),1435.0)</f>
        <v>1435</v>
      </c>
      <c r="D120" s="2">
        <f>IFERROR(__xludf.DUMMYFUNCTION("""COMPUTED_VALUE"""),1375.0)</f>
        <v>1375</v>
      </c>
      <c r="E120" s="2">
        <f>IFERROR(__xludf.DUMMYFUNCTION("""COMPUTED_VALUE"""),1410.0)</f>
        <v>1410</v>
      </c>
      <c r="F120" s="2">
        <f>IFERROR(__xludf.DUMMYFUNCTION("""COMPUTED_VALUE"""),1.630628E8)</f>
        <v>163062800</v>
      </c>
      <c r="G120" s="2">
        <f t="shared" si="1"/>
        <v>60</v>
      </c>
    </row>
    <row r="121" ht="15.75" customHeight="1">
      <c r="A121" s="1">
        <f>IFERROR(__xludf.DUMMYFUNCTION("""COMPUTED_VALUE"""),45173.66666666667)</f>
        <v>45173.66667</v>
      </c>
      <c r="B121" s="2">
        <f>IFERROR(__xludf.DUMMYFUNCTION("""COMPUTED_VALUE"""),1420.0)</f>
        <v>1420</v>
      </c>
      <c r="C121" s="2">
        <f>IFERROR(__xludf.DUMMYFUNCTION("""COMPUTED_VALUE"""),1455.0)</f>
        <v>1455</v>
      </c>
      <c r="D121" s="2">
        <f>IFERROR(__xludf.DUMMYFUNCTION("""COMPUTED_VALUE"""),1375.0)</f>
        <v>1375</v>
      </c>
      <c r="E121" s="2">
        <f>IFERROR(__xludf.DUMMYFUNCTION("""COMPUTED_VALUE"""),1375.0)</f>
        <v>1375</v>
      </c>
      <c r="F121" s="2">
        <f>IFERROR(__xludf.DUMMYFUNCTION("""COMPUTED_VALUE"""),1.160179E8)</f>
        <v>116017900</v>
      </c>
      <c r="G121" s="2">
        <f t="shared" si="1"/>
        <v>80</v>
      </c>
    </row>
    <row r="122" ht="15.75" customHeight="1">
      <c r="A122" s="1">
        <f>IFERROR(__xludf.DUMMYFUNCTION("""COMPUTED_VALUE"""),45174.66666666667)</f>
        <v>45174.66667</v>
      </c>
      <c r="B122" s="2">
        <f>IFERROR(__xludf.DUMMYFUNCTION("""COMPUTED_VALUE"""),1375.0)</f>
        <v>1375</v>
      </c>
      <c r="C122" s="2">
        <f>IFERROR(__xludf.DUMMYFUNCTION("""COMPUTED_VALUE"""),1380.0)</f>
        <v>1380</v>
      </c>
      <c r="D122" s="2">
        <f>IFERROR(__xludf.DUMMYFUNCTION("""COMPUTED_VALUE"""),1260.0)</f>
        <v>1260</v>
      </c>
      <c r="E122" s="2">
        <f>IFERROR(__xludf.DUMMYFUNCTION("""COMPUTED_VALUE"""),1290.0)</f>
        <v>1290</v>
      </c>
      <c r="F122" s="2">
        <f>IFERROR(__xludf.DUMMYFUNCTION("""COMPUTED_VALUE"""),1.409387E8)</f>
        <v>140938700</v>
      </c>
      <c r="G122" s="2">
        <f t="shared" si="1"/>
        <v>120</v>
      </c>
    </row>
    <row r="123" ht="15.75" customHeight="1">
      <c r="A123" s="1">
        <f>IFERROR(__xludf.DUMMYFUNCTION("""COMPUTED_VALUE"""),45175.66666666667)</f>
        <v>45175.66667</v>
      </c>
      <c r="B123" s="2">
        <f>IFERROR(__xludf.DUMMYFUNCTION("""COMPUTED_VALUE"""),1290.0)</f>
        <v>1290</v>
      </c>
      <c r="C123" s="2">
        <f>IFERROR(__xludf.DUMMYFUNCTION("""COMPUTED_VALUE"""),1350.0)</f>
        <v>1350</v>
      </c>
      <c r="D123" s="2">
        <f>IFERROR(__xludf.DUMMYFUNCTION("""COMPUTED_VALUE"""),1280.0)</f>
        <v>1280</v>
      </c>
      <c r="E123" s="2">
        <f>IFERROR(__xludf.DUMMYFUNCTION("""COMPUTED_VALUE"""),1285.0)</f>
        <v>1285</v>
      </c>
      <c r="F123" s="2">
        <f>IFERROR(__xludf.DUMMYFUNCTION("""COMPUTED_VALUE"""),9.81922E7)</f>
        <v>98192200</v>
      </c>
      <c r="G123" s="2">
        <f t="shared" si="1"/>
        <v>70</v>
      </c>
    </row>
    <row r="124" ht="15.75" customHeight="1">
      <c r="A124" s="1">
        <f>IFERROR(__xludf.DUMMYFUNCTION("""COMPUTED_VALUE"""),45176.66666666667)</f>
        <v>45176.66667</v>
      </c>
      <c r="B124" s="2">
        <f>IFERROR(__xludf.DUMMYFUNCTION("""COMPUTED_VALUE"""),1315.0)</f>
        <v>1315</v>
      </c>
      <c r="C124" s="2">
        <f>IFERROR(__xludf.DUMMYFUNCTION("""COMPUTED_VALUE"""),1315.0)</f>
        <v>1315</v>
      </c>
      <c r="D124" s="2">
        <f>IFERROR(__xludf.DUMMYFUNCTION("""COMPUTED_VALUE"""),1210.0)</f>
        <v>1210</v>
      </c>
      <c r="E124" s="2">
        <f>IFERROR(__xludf.DUMMYFUNCTION("""COMPUTED_VALUE"""),1210.0)</f>
        <v>1210</v>
      </c>
      <c r="F124" s="2">
        <f>IFERROR(__xludf.DUMMYFUNCTION("""COMPUTED_VALUE"""),8.44132E7)</f>
        <v>84413200</v>
      </c>
      <c r="G124" s="2">
        <f t="shared" si="1"/>
        <v>105</v>
      </c>
    </row>
    <row r="125" ht="15.75" customHeight="1">
      <c r="A125" s="1">
        <f>IFERROR(__xludf.DUMMYFUNCTION("""COMPUTED_VALUE"""),45177.66666666667)</f>
        <v>45177.66667</v>
      </c>
      <c r="B125" s="2">
        <f>IFERROR(__xludf.DUMMYFUNCTION("""COMPUTED_VALUE"""),1200.0)</f>
        <v>1200</v>
      </c>
      <c r="C125" s="2">
        <f>IFERROR(__xludf.DUMMYFUNCTION("""COMPUTED_VALUE"""),1265.0)</f>
        <v>1265</v>
      </c>
      <c r="D125" s="2">
        <f>IFERROR(__xludf.DUMMYFUNCTION("""COMPUTED_VALUE"""),1150.0)</f>
        <v>1150</v>
      </c>
      <c r="E125" s="2">
        <f>IFERROR(__xludf.DUMMYFUNCTION("""COMPUTED_VALUE"""),1265.0)</f>
        <v>1265</v>
      </c>
      <c r="F125" s="2">
        <f>IFERROR(__xludf.DUMMYFUNCTION("""COMPUTED_VALUE"""),2.084679E8)</f>
        <v>208467900</v>
      </c>
      <c r="G125" s="2">
        <f t="shared" si="1"/>
        <v>115</v>
      </c>
    </row>
    <row r="126" ht="15.75" customHeight="1">
      <c r="A126" s="1">
        <f>IFERROR(__xludf.DUMMYFUNCTION("""COMPUTED_VALUE"""),45180.66666666667)</f>
        <v>45180.66667</v>
      </c>
      <c r="B126" s="2">
        <f>IFERROR(__xludf.DUMMYFUNCTION("""COMPUTED_VALUE"""),1265.0)</f>
        <v>1265</v>
      </c>
      <c r="C126" s="2">
        <f>IFERROR(__xludf.DUMMYFUNCTION("""COMPUTED_VALUE"""),1270.0)</f>
        <v>1270</v>
      </c>
      <c r="D126" s="2">
        <f>IFERROR(__xludf.DUMMYFUNCTION("""COMPUTED_VALUE"""),1165.0)</f>
        <v>1165</v>
      </c>
      <c r="E126" s="2">
        <f>IFERROR(__xludf.DUMMYFUNCTION("""COMPUTED_VALUE"""),1170.0)</f>
        <v>1170</v>
      </c>
      <c r="F126" s="2">
        <f>IFERROR(__xludf.DUMMYFUNCTION("""COMPUTED_VALUE"""),1.520855E8)</f>
        <v>152085500</v>
      </c>
      <c r="G126" s="2">
        <f t="shared" si="1"/>
        <v>105</v>
      </c>
    </row>
    <row r="127" ht="15.75" customHeight="1">
      <c r="A127" s="1">
        <f>IFERROR(__xludf.DUMMYFUNCTION("""COMPUTED_VALUE"""),45181.66666666667)</f>
        <v>45181.66667</v>
      </c>
      <c r="B127" s="2">
        <f>IFERROR(__xludf.DUMMYFUNCTION("""COMPUTED_VALUE"""),1170.0)</f>
        <v>1170</v>
      </c>
      <c r="C127" s="2">
        <f>IFERROR(__xludf.DUMMYFUNCTION("""COMPUTED_VALUE"""),1220.0)</f>
        <v>1220</v>
      </c>
      <c r="D127" s="2">
        <f>IFERROR(__xludf.DUMMYFUNCTION("""COMPUTED_VALUE"""),1155.0)</f>
        <v>1155</v>
      </c>
      <c r="E127" s="2">
        <f>IFERROR(__xludf.DUMMYFUNCTION("""COMPUTED_VALUE"""),1180.0)</f>
        <v>1180</v>
      </c>
      <c r="F127" s="2">
        <f>IFERROR(__xludf.DUMMYFUNCTION("""COMPUTED_VALUE"""),1.163423E8)</f>
        <v>116342300</v>
      </c>
      <c r="G127" s="2">
        <f t="shared" si="1"/>
        <v>65</v>
      </c>
    </row>
    <row r="128" ht="15.75" customHeight="1">
      <c r="A128" s="1">
        <f>IFERROR(__xludf.DUMMYFUNCTION("""COMPUTED_VALUE"""),45182.66666666667)</f>
        <v>45182.66667</v>
      </c>
      <c r="B128" s="2">
        <f>IFERROR(__xludf.DUMMYFUNCTION("""COMPUTED_VALUE"""),1185.0)</f>
        <v>1185</v>
      </c>
      <c r="C128" s="2">
        <f>IFERROR(__xludf.DUMMYFUNCTION("""COMPUTED_VALUE"""),1220.0)</f>
        <v>1220</v>
      </c>
      <c r="D128" s="2">
        <f>IFERROR(__xludf.DUMMYFUNCTION("""COMPUTED_VALUE"""),1155.0)</f>
        <v>1155</v>
      </c>
      <c r="E128" s="2">
        <f>IFERROR(__xludf.DUMMYFUNCTION("""COMPUTED_VALUE"""),1205.0)</f>
        <v>1205</v>
      </c>
      <c r="F128" s="2">
        <f>IFERROR(__xludf.DUMMYFUNCTION("""COMPUTED_VALUE"""),9.95441E7)</f>
        <v>99544100</v>
      </c>
      <c r="G128" s="2">
        <f t="shared" si="1"/>
        <v>65</v>
      </c>
    </row>
    <row r="129" ht="15.75" customHeight="1">
      <c r="A129" s="1">
        <f>IFERROR(__xludf.DUMMYFUNCTION("""COMPUTED_VALUE"""),45183.66666666667)</f>
        <v>45183.66667</v>
      </c>
      <c r="B129" s="2">
        <f>IFERROR(__xludf.DUMMYFUNCTION("""COMPUTED_VALUE"""),1230.0)</f>
        <v>1230</v>
      </c>
      <c r="C129" s="2">
        <f>IFERROR(__xludf.DUMMYFUNCTION("""COMPUTED_VALUE"""),1260.0)</f>
        <v>1260</v>
      </c>
      <c r="D129" s="2">
        <f>IFERROR(__xludf.DUMMYFUNCTION("""COMPUTED_VALUE"""),1190.0)</f>
        <v>1190</v>
      </c>
      <c r="E129" s="2">
        <f>IFERROR(__xludf.DUMMYFUNCTION("""COMPUTED_VALUE"""),1230.0)</f>
        <v>1230</v>
      </c>
      <c r="F129" s="2">
        <f>IFERROR(__xludf.DUMMYFUNCTION("""COMPUTED_VALUE"""),2.053577E8)</f>
        <v>205357700</v>
      </c>
      <c r="G129" s="2">
        <f t="shared" si="1"/>
        <v>70</v>
      </c>
    </row>
    <row r="130" ht="15.75" customHeight="1">
      <c r="A130" s="1">
        <f>IFERROR(__xludf.DUMMYFUNCTION("""COMPUTED_VALUE"""),45184.66666666667)</f>
        <v>45184.66667</v>
      </c>
      <c r="B130" s="2">
        <f>IFERROR(__xludf.DUMMYFUNCTION("""COMPUTED_VALUE"""),1250.0)</f>
        <v>1250</v>
      </c>
      <c r="C130" s="2">
        <f>IFERROR(__xludf.DUMMYFUNCTION("""COMPUTED_VALUE"""),1470.0)</f>
        <v>1470</v>
      </c>
      <c r="D130" s="2">
        <f>IFERROR(__xludf.DUMMYFUNCTION("""COMPUTED_VALUE"""),1240.0)</f>
        <v>1240</v>
      </c>
      <c r="E130" s="2">
        <f>IFERROR(__xludf.DUMMYFUNCTION("""COMPUTED_VALUE"""),1415.0)</f>
        <v>1415</v>
      </c>
      <c r="F130" s="2">
        <f>IFERROR(__xludf.DUMMYFUNCTION("""COMPUTED_VALUE"""),4.06453E8)</f>
        <v>406453000</v>
      </c>
      <c r="G130" s="2">
        <f t="shared" si="1"/>
        <v>240</v>
      </c>
    </row>
    <row r="131" ht="15.75" customHeight="1">
      <c r="A131" s="1">
        <f>IFERROR(__xludf.DUMMYFUNCTION("""COMPUTED_VALUE"""),45187.66666666667)</f>
        <v>45187.66667</v>
      </c>
      <c r="B131" s="2">
        <f>IFERROR(__xludf.DUMMYFUNCTION("""COMPUTED_VALUE"""),1420.0)</f>
        <v>1420</v>
      </c>
      <c r="C131" s="2">
        <f>IFERROR(__xludf.DUMMYFUNCTION("""COMPUTED_VALUE"""),1645.0)</f>
        <v>1645</v>
      </c>
      <c r="D131" s="2">
        <f>IFERROR(__xludf.DUMMYFUNCTION("""COMPUTED_VALUE"""),1415.0)</f>
        <v>1415</v>
      </c>
      <c r="E131" s="2">
        <f>IFERROR(__xludf.DUMMYFUNCTION("""COMPUTED_VALUE"""),1535.0)</f>
        <v>1535</v>
      </c>
      <c r="F131" s="2">
        <f>IFERROR(__xludf.DUMMYFUNCTION("""COMPUTED_VALUE"""),4.779552E8)</f>
        <v>477955200</v>
      </c>
      <c r="G131" s="2">
        <f t="shared" si="1"/>
        <v>230</v>
      </c>
    </row>
    <row r="132" ht="15.75" customHeight="1">
      <c r="A132" s="1">
        <f>IFERROR(__xludf.DUMMYFUNCTION("""COMPUTED_VALUE"""),45188.66666666667)</f>
        <v>45188.66667</v>
      </c>
      <c r="B132" s="2">
        <f>IFERROR(__xludf.DUMMYFUNCTION("""COMPUTED_VALUE"""),1560.0)</f>
        <v>1560</v>
      </c>
      <c r="C132" s="2">
        <f>IFERROR(__xludf.DUMMYFUNCTION("""COMPUTED_VALUE"""),1570.0)</f>
        <v>1570</v>
      </c>
      <c r="D132" s="2">
        <f>IFERROR(__xludf.DUMMYFUNCTION("""COMPUTED_VALUE"""),1485.0)</f>
        <v>1485</v>
      </c>
      <c r="E132" s="2">
        <f>IFERROR(__xludf.DUMMYFUNCTION("""COMPUTED_VALUE"""),1545.0)</f>
        <v>1545</v>
      </c>
      <c r="F132" s="2">
        <f>IFERROR(__xludf.DUMMYFUNCTION("""COMPUTED_VALUE"""),1.856377E8)</f>
        <v>185637700</v>
      </c>
      <c r="G132" s="2">
        <f t="shared" si="1"/>
        <v>85</v>
      </c>
    </row>
    <row r="133" ht="15.75" customHeight="1">
      <c r="A133" s="1">
        <f>IFERROR(__xludf.DUMMYFUNCTION("""COMPUTED_VALUE"""),45189.66666666667)</f>
        <v>45189.66667</v>
      </c>
      <c r="B133" s="2">
        <f>IFERROR(__xludf.DUMMYFUNCTION("""COMPUTED_VALUE"""),1570.0)</f>
        <v>1570</v>
      </c>
      <c r="C133" s="2">
        <f>IFERROR(__xludf.DUMMYFUNCTION("""COMPUTED_VALUE"""),1570.0)</f>
        <v>1570</v>
      </c>
      <c r="D133" s="2">
        <f>IFERROR(__xludf.DUMMYFUNCTION("""COMPUTED_VALUE"""),1485.0)</f>
        <v>1485</v>
      </c>
      <c r="E133" s="2">
        <f>IFERROR(__xludf.DUMMYFUNCTION("""COMPUTED_VALUE"""),1505.0)</f>
        <v>1505</v>
      </c>
      <c r="F133" s="2">
        <f>IFERROR(__xludf.DUMMYFUNCTION("""COMPUTED_VALUE"""),1.19919E8)</f>
        <v>119919000</v>
      </c>
      <c r="G133" s="2">
        <f t="shared" si="1"/>
        <v>85</v>
      </c>
    </row>
    <row r="134" ht="15.75" customHeight="1">
      <c r="A134" s="1">
        <f>IFERROR(__xludf.DUMMYFUNCTION("""COMPUTED_VALUE"""),45190.66666666667)</f>
        <v>45190.66667</v>
      </c>
      <c r="B134" s="2">
        <f>IFERROR(__xludf.DUMMYFUNCTION("""COMPUTED_VALUE"""),1505.0)</f>
        <v>1505</v>
      </c>
      <c r="C134" s="2">
        <f>IFERROR(__xludf.DUMMYFUNCTION("""COMPUTED_VALUE"""),1595.0)</f>
        <v>1595</v>
      </c>
      <c r="D134" s="2">
        <f>IFERROR(__xludf.DUMMYFUNCTION("""COMPUTED_VALUE"""),1495.0)</f>
        <v>1495</v>
      </c>
      <c r="E134" s="2">
        <f>IFERROR(__xludf.DUMMYFUNCTION("""COMPUTED_VALUE"""),1570.0)</f>
        <v>1570</v>
      </c>
      <c r="F134" s="2">
        <f>IFERROR(__xludf.DUMMYFUNCTION("""COMPUTED_VALUE"""),1.887947E8)</f>
        <v>188794700</v>
      </c>
      <c r="G134" s="2">
        <f t="shared" si="1"/>
        <v>100</v>
      </c>
    </row>
    <row r="135" ht="15.75" customHeight="1">
      <c r="A135" s="1">
        <f>IFERROR(__xludf.DUMMYFUNCTION("""COMPUTED_VALUE"""),45191.66666666667)</f>
        <v>45191.66667</v>
      </c>
      <c r="B135" s="2">
        <f>IFERROR(__xludf.DUMMYFUNCTION("""COMPUTED_VALUE"""),1570.0)</f>
        <v>1570</v>
      </c>
      <c r="C135" s="2">
        <f>IFERROR(__xludf.DUMMYFUNCTION("""COMPUTED_VALUE"""),1615.0)</f>
        <v>1615</v>
      </c>
      <c r="D135" s="2">
        <f>IFERROR(__xludf.DUMMYFUNCTION("""COMPUTED_VALUE"""),1555.0)</f>
        <v>1555</v>
      </c>
      <c r="E135" s="2">
        <f>IFERROR(__xludf.DUMMYFUNCTION("""COMPUTED_VALUE"""),1575.0)</f>
        <v>1575</v>
      </c>
      <c r="F135" s="2">
        <f>IFERROR(__xludf.DUMMYFUNCTION("""COMPUTED_VALUE"""),9.4903E7)</f>
        <v>94903000</v>
      </c>
      <c r="G135" s="2">
        <f t="shared" si="1"/>
        <v>60</v>
      </c>
    </row>
    <row r="136" ht="15.75" customHeight="1">
      <c r="A136" s="1">
        <f>IFERROR(__xludf.DUMMYFUNCTION("""COMPUTED_VALUE"""),45194.66666666667)</f>
        <v>45194.66667</v>
      </c>
      <c r="B136" s="2">
        <f>IFERROR(__xludf.DUMMYFUNCTION("""COMPUTED_VALUE"""),1590.0)</f>
        <v>1590</v>
      </c>
      <c r="C136" s="2">
        <f>IFERROR(__xludf.DUMMYFUNCTION("""COMPUTED_VALUE"""),1640.0)</f>
        <v>1640</v>
      </c>
      <c r="D136" s="2">
        <f>IFERROR(__xludf.DUMMYFUNCTION("""COMPUTED_VALUE"""),1575.0)</f>
        <v>1575</v>
      </c>
      <c r="E136" s="2">
        <f>IFERROR(__xludf.DUMMYFUNCTION("""COMPUTED_VALUE"""),1605.0)</f>
        <v>1605</v>
      </c>
      <c r="F136" s="2">
        <f>IFERROR(__xludf.DUMMYFUNCTION("""COMPUTED_VALUE"""),1.816033E8)</f>
        <v>181603300</v>
      </c>
      <c r="G136" s="2">
        <f t="shared" si="1"/>
        <v>65</v>
      </c>
    </row>
    <row r="137" ht="15.75" customHeight="1">
      <c r="A137" s="1">
        <f>IFERROR(__xludf.DUMMYFUNCTION("""COMPUTED_VALUE"""),45195.66666666667)</f>
        <v>45195.66667</v>
      </c>
      <c r="B137" s="2">
        <f>IFERROR(__xludf.DUMMYFUNCTION("""COMPUTED_VALUE"""),1615.0)</f>
        <v>1615</v>
      </c>
      <c r="C137" s="2">
        <f>IFERROR(__xludf.DUMMYFUNCTION("""COMPUTED_VALUE"""),1625.0)</f>
        <v>1625</v>
      </c>
      <c r="D137" s="2">
        <f>IFERROR(__xludf.DUMMYFUNCTION("""COMPUTED_VALUE"""),1460.0)</f>
        <v>1460</v>
      </c>
      <c r="E137" s="2">
        <f>IFERROR(__xludf.DUMMYFUNCTION("""COMPUTED_VALUE"""),1485.0)</f>
        <v>1485</v>
      </c>
      <c r="F137" s="2">
        <f>IFERROR(__xludf.DUMMYFUNCTION("""COMPUTED_VALUE"""),2.279701E8)</f>
        <v>227970100</v>
      </c>
      <c r="G137" s="2">
        <f t="shared" si="1"/>
        <v>165</v>
      </c>
    </row>
    <row r="138" ht="15.75" customHeight="1">
      <c r="A138" s="1">
        <f>IFERROR(__xludf.DUMMYFUNCTION("""COMPUTED_VALUE"""),45196.66666666667)</f>
        <v>45196.66667</v>
      </c>
      <c r="B138" s="2">
        <f>IFERROR(__xludf.DUMMYFUNCTION("""COMPUTED_VALUE"""),1485.0)</f>
        <v>1485</v>
      </c>
      <c r="C138" s="2">
        <f>IFERROR(__xludf.DUMMYFUNCTION("""COMPUTED_VALUE"""),1540.0)</f>
        <v>1540</v>
      </c>
      <c r="D138" s="2">
        <f>IFERROR(__xludf.DUMMYFUNCTION("""COMPUTED_VALUE"""),1455.0)</f>
        <v>1455</v>
      </c>
      <c r="E138" s="2">
        <f>IFERROR(__xludf.DUMMYFUNCTION("""COMPUTED_VALUE"""),1490.0)</f>
        <v>1490</v>
      </c>
      <c r="F138" s="2">
        <f>IFERROR(__xludf.DUMMYFUNCTION("""COMPUTED_VALUE"""),1.238731E8)</f>
        <v>123873100</v>
      </c>
      <c r="G138" s="2">
        <f t="shared" si="1"/>
        <v>85</v>
      </c>
    </row>
    <row r="139" ht="15.75" customHeight="1">
      <c r="A139" s="1">
        <f>IFERROR(__xludf.DUMMYFUNCTION("""COMPUTED_VALUE"""),45198.66666666667)</f>
        <v>45198.66667</v>
      </c>
      <c r="B139" s="2">
        <f>IFERROR(__xludf.DUMMYFUNCTION("""COMPUTED_VALUE"""),1495.0)</f>
        <v>1495</v>
      </c>
      <c r="C139" s="2">
        <f>IFERROR(__xludf.DUMMYFUNCTION("""COMPUTED_VALUE"""),1515.0)</f>
        <v>1515</v>
      </c>
      <c r="D139" s="2">
        <f>IFERROR(__xludf.DUMMYFUNCTION("""COMPUTED_VALUE"""),1420.0)</f>
        <v>1420</v>
      </c>
      <c r="E139" s="2">
        <f>IFERROR(__xludf.DUMMYFUNCTION("""COMPUTED_VALUE"""),1445.0)</f>
        <v>1445</v>
      </c>
      <c r="F139" s="2">
        <f>IFERROR(__xludf.DUMMYFUNCTION("""COMPUTED_VALUE"""),1.081478E8)</f>
        <v>108147800</v>
      </c>
      <c r="G139" s="2">
        <f t="shared" si="1"/>
        <v>95</v>
      </c>
    </row>
    <row r="140" ht="15.75" customHeight="1">
      <c r="A140" s="1">
        <f>IFERROR(__xludf.DUMMYFUNCTION("""COMPUTED_VALUE"""),45201.66666666667)</f>
        <v>45201.66667</v>
      </c>
      <c r="B140" s="2">
        <f>IFERROR(__xludf.DUMMYFUNCTION("""COMPUTED_VALUE"""),1445.0)</f>
        <v>1445</v>
      </c>
      <c r="C140" s="2">
        <f>IFERROR(__xludf.DUMMYFUNCTION("""COMPUTED_VALUE"""),1505.0)</f>
        <v>1505</v>
      </c>
      <c r="D140" s="2">
        <f>IFERROR(__xludf.DUMMYFUNCTION("""COMPUTED_VALUE"""),1430.0)</f>
        <v>1430</v>
      </c>
      <c r="E140" s="2">
        <f>IFERROR(__xludf.DUMMYFUNCTION("""COMPUTED_VALUE"""),1500.0)</f>
        <v>1500</v>
      </c>
      <c r="F140" s="2">
        <f>IFERROR(__xludf.DUMMYFUNCTION("""COMPUTED_VALUE"""),9.73991E7)</f>
        <v>97399100</v>
      </c>
      <c r="G140" s="2">
        <f t="shared" si="1"/>
        <v>75</v>
      </c>
    </row>
    <row r="141" ht="15.75" customHeight="1">
      <c r="A141" s="1">
        <f>IFERROR(__xludf.DUMMYFUNCTION("""COMPUTED_VALUE"""),45202.66666666667)</f>
        <v>45202.66667</v>
      </c>
      <c r="B141" s="2">
        <f>IFERROR(__xludf.DUMMYFUNCTION("""COMPUTED_VALUE"""),1505.0)</f>
        <v>1505</v>
      </c>
      <c r="C141" s="2">
        <f>IFERROR(__xludf.DUMMYFUNCTION("""COMPUTED_VALUE"""),1580.0)</f>
        <v>1580</v>
      </c>
      <c r="D141" s="2">
        <f>IFERROR(__xludf.DUMMYFUNCTION("""COMPUTED_VALUE"""),1480.0)</f>
        <v>1480</v>
      </c>
      <c r="E141" s="2">
        <f>IFERROR(__xludf.DUMMYFUNCTION("""COMPUTED_VALUE"""),1570.0)</f>
        <v>1570</v>
      </c>
      <c r="F141" s="2">
        <f>IFERROR(__xludf.DUMMYFUNCTION("""COMPUTED_VALUE"""),1.334948E8)</f>
        <v>133494800</v>
      </c>
      <c r="G141" s="2">
        <f t="shared" si="1"/>
        <v>100</v>
      </c>
    </row>
    <row r="142" ht="15.75" customHeight="1">
      <c r="A142" s="1">
        <f>IFERROR(__xludf.DUMMYFUNCTION("""COMPUTED_VALUE"""),45203.66666666667)</f>
        <v>45203.66667</v>
      </c>
      <c r="B142" s="2">
        <f>IFERROR(__xludf.DUMMYFUNCTION("""COMPUTED_VALUE"""),1575.0)</f>
        <v>1575</v>
      </c>
      <c r="C142" s="2">
        <f>IFERROR(__xludf.DUMMYFUNCTION("""COMPUTED_VALUE"""),1590.0)</f>
        <v>1590</v>
      </c>
      <c r="D142" s="2">
        <f>IFERROR(__xludf.DUMMYFUNCTION("""COMPUTED_VALUE"""),1510.0)</f>
        <v>1510</v>
      </c>
      <c r="E142" s="2">
        <f>IFERROR(__xludf.DUMMYFUNCTION("""COMPUTED_VALUE"""),1575.0)</f>
        <v>1575</v>
      </c>
      <c r="F142" s="2">
        <f>IFERROR(__xludf.DUMMYFUNCTION("""COMPUTED_VALUE"""),1.0758E8)</f>
        <v>107580000</v>
      </c>
      <c r="G142" s="2">
        <f t="shared" si="1"/>
        <v>80</v>
      </c>
    </row>
    <row r="143" ht="15.75" customHeight="1">
      <c r="A143" s="1">
        <f>IFERROR(__xludf.DUMMYFUNCTION("""COMPUTED_VALUE"""),45204.66666666667)</f>
        <v>45204.66667</v>
      </c>
      <c r="B143" s="2">
        <f>IFERROR(__xludf.DUMMYFUNCTION("""COMPUTED_VALUE"""),1585.0)</f>
        <v>1585</v>
      </c>
      <c r="C143" s="2">
        <f>IFERROR(__xludf.DUMMYFUNCTION("""COMPUTED_VALUE"""),1620.0)</f>
        <v>1620</v>
      </c>
      <c r="D143" s="2">
        <f>IFERROR(__xludf.DUMMYFUNCTION("""COMPUTED_VALUE"""),1535.0)</f>
        <v>1535</v>
      </c>
      <c r="E143" s="2">
        <f>IFERROR(__xludf.DUMMYFUNCTION("""COMPUTED_VALUE"""),1580.0)</f>
        <v>1580</v>
      </c>
      <c r="F143" s="2">
        <f>IFERROR(__xludf.DUMMYFUNCTION("""COMPUTED_VALUE"""),1.32508E8)</f>
        <v>132508000</v>
      </c>
      <c r="G143" s="2">
        <f t="shared" si="1"/>
        <v>85</v>
      </c>
    </row>
    <row r="144" ht="15.75" customHeight="1">
      <c r="A144" s="1">
        <f>IFERROR(__xludf.DUMMYFUNCTION("""COMPUTED_VALUE"""),45205.66666666667)</f>
        <v>45205.66667</v>
      </c>
      <c r="B144" s="2">
        <f>IFERROR(__xludf.DUMMYFUNCTION("""COMPUTED_VALUE"""),1585.0)</f>
        <v>1585</v>
      </c>
      <c r="C144" s="2">
        <f>IFERROR(__xludf.DUMMYFUNCTION("""COMPUTED_VALUE"""),1620.0)</f>
        <v>1620</v>
      </c>
      <c r="D144" s="2">
        <f>IFERROR(__xludf.DUMMYFUNCTION("""COMPUTED_VALUE"""),1560.0)</f>
        <v>1560</v>
      </c>
      <c r="E144" s="2">
        <f>IFERROR(__xludf.DUMMYFUNCTION("""COMPUTED_VALUE"""),1600.0)</f>
        <v>1600</v>
      </c>
      <c r="F144" s="2">
        <f>IFERROR(__xludf.DUMMYFUNCTION("""COMPUTED_VALUE"""),7.92915E7)</f>
        <v>79291500</v>
      </c>
      <c r="G144" s="2">
        <f t="shared" si="1"/>
        <v>60</v>
      </c>
    </row>
    <row r="145" ht="15.75" customHeight="1">
      <c r="A145" s="1">
        <f>IFERROR(__xludf.DUMMYFUNCTION("""COMPUTED_VALUE"""),45208.66666666667)</f>
        <v>45208.66667</v>
      </c>
      <c r="B145" s="2">
        <f>IFERROR(__xludf.DUMMYFUNCTION("""COMPUTED_VALUE"""),1625.0)</f>
        <v>1625</v>
      </c>
      <c r="C145" s="2">
        <f>IFERROR(__xludf.DUMMYFUNCTION("""COMPUTED_VALUE"""),1680.0)</f>
        <v>1680</v>
      </c>
      <c r="D145" s="2">
        <f>IFERROR(__xludf.DUMMYFUNCTION("""COMPUTED_VALUE"""),1520.0)</f>
        <v>1520</v>
      </c>
      <c r="E145" s="2">
        <f>IFERROR(__xludf.DUMMYFUNCTION("""COMPUTED_VALUE"""),1520.0)</f>
        <v>1520</v>
      </c>
      <c r="F145" s="2">
        <f>IFERROR(__xludf.DUMMYFUNCTION("""COMPUTED_VALUE"""),2.760635E8)</f>
        <v>276063500</v>
      </c>
      <c r="G145" s="2">
        <f t="shared" si="1"/>
        <v>160</v>
      </c>
    </row>
    <row r="146" ht="15.75" customHeight="1">
      <c r="A146" s="1">
        <f>IFERROR(__xludf.DUMMYFUNCTION("""COMPUTED_VALUE"""),45209.66666666667)</f>
        <v>45209.66667</v>
      </c>
      <c r="B146" s="2">
        <f>IFERROR(__xludf.DUMMYFUNCTION("""COMPUTED_VALUE"""),1525.0)</f>
        <v>1525</v>
      </c>
      <c r="C146" s="2">
        <f>IFERROR(__xludf.DUMMYFUNCTION("""COMPUTED_VALUE"""),1550.0)</f>
        <v>1550</v>
      </c>
      <c r="D146" s="2">
        <f>IFERROR(__xludf.DUMMYFUNCTION("""COMPUTED_VALUE"""),1465.0)</f>
        <v>1465</v>
      </c>
      <c r="E146" s="2">
        <f>IFERROR(__xludf.DUMMYFUNCTION("""COMPUTED_VALUE"""),1475.0)</f>
        <v>1475</v>
      </c>
      <c r="F146" s="2">
        <f>IFERROR(__xludf.DUMMYFUNCTION("""COMPUTED_VALUE"""),1.234908E8)</f>
        <v>123490800</v>
      </c>
      <c r="G146" s="2">
        <f t="shared" si="1"/>
        <v>85</v>
      </c>
    </row>
    <row r="147" ht="15.75" customHeight="1">
      <c r="A147" s="1">
        <f>IFERROR(__xludf.DUMMYFUNCTION("""COMPUTED_VALUE"""),45210.66666666667)</f>
        <v>45210.66667</v>
      </c>
      <c r="B147" s="2">
        <f>IFERROR(__xludf.DUMMYFUNCTION("""COMPUTED_VALUE"""),1480.0)</f>
        <v>1480</v>
      </c>
      <c r="C147" s="2">
        <f>IFERROR(__xludf.DUMMYFUNCTION("""COMPUTED_VALUE"""),1495.0)</f>
        <v>1495</v>
      </c>
      <c r="D147" s="2">
        <f>IFERROR(__xludf.DUMMYFUNCTION("""COMPUTED_VALUE"""),1400.0)</f>
        <v>1400</v>
      </c>
      <c r="E147" s="2">
        <f>IFERROR(__xludf.DUMMYFUNCTION("""COMPUTED_VALUE"""),1415.0)</f>
        <v>1415</v>
      </c>
      <c r="F147" s="2">
        <f>IFERROR(__xludf.DUMMYFUNCTION("""COMPUTED_VALUE"""),1.906912E8)</f>
        <v>190691200</v>
      </c>
      <c r="G147" s="2">
        <f t="shared" si="1"/>
        <v>95</v>
      </c>
    </row>
    <row r="148" ht="15.75" customHeight="1">
      <c r="A148" s="1">
        <f>IFERROR(__xludf.DUMMYFUNCTION("""COMPUTED_VALUE"""),45211.66666666667)</f>
        <v>45211.66667</v>
      </c>
      <c r="B148" s="2">
        <f>IFERROR(__xludf.DUMMYFUNCTION("""COMPUTED_VALUE"""),1415.0)</f>
        <v>1415</v>
      </c>
      <c r="C148" s="2">
        <f>IFERROR(__xludf.DUMMYFUNCTION("""COMPUTED_VALUE"""),1455.0)</f>
        <v>1455</v>
      </c>
      <c r="D148" s="2">
        <f>IFERROR(__xludf.DUMMYFUNCTION("""COMPUTED_VALUE"""),1310.0)</f>
        <v>1310</v>
      </c>
      <c r="E148" s="2">
        <f>IFERROR(__xludf.DUMMYFUNCTION("""COMPUTED_VALUE"""),1320.0)</f>
        <v>1320</v>
      </c>
      <c r="F148" s="2">
        <f>IFERROR(__xludf.DUMMYFUNCTION("""COMPUTED_VALUE"""),1.893173E8)</f>
        <v>189317300</v>
      </c>
      <c r="G148" s="2">
        <f t="shared" si="1"/>
        <v>145</v>
      </c>
    </row>
    <row r="149" ht="15.75" customHeight="1">
      <c r="A149" s="1">
        <f>IFERROR(__xludf.DUMMYFUNCTION("""COMPUTED_VALUE"""),45212.66666666667)</f>
        <v>45212.66667</v>
      </c>
      <c r="B149" s="2">
        <f>IFERROR(__xludf.DUMMYFUNCTION("""COMPUTED_VALUE"""),1320.0)</f>
        <v>1320</v>
      </c>
      <c r="C149" s="2">
        <f>IFERROR(__xludf.DUMMYFUNCTION("""COMPUTED_VALUE"""),1365.0)</f>
        <v>1365</v>
      </c>
      <c r="D149" s="2">
        <f>IFERROR(__xludf.DUMMYFUNCTION("""COMPUTED_VALUE"""),1310.0)</f>
        <v>1310</v>
      </c>
      <c r="E149" s="2">
        <f>IFERROR(__xludf.DUMMYFUNCTION("""COMPUTED_VALUE"""),1310.0)</f>
        <v>1310</v>
      </c>
      <c r="F149" s="2">
        <f>IFERROR(__xludf.DUMMYFUNCTION("""COMPUTED_VALUE"""),1.145664E8)</f>
        <v>114566400</v>
      </c>
      <c r="G149" s="2">
        <f t="shared" si="1"/>
        <v>55</v>
      </c>
    </row>
    <row r="150" ht="15.75" customHeight="1">
      <c r="A150" s="1">
        <f>IFERROR(__xludf.DUMMYFUNCTION("""COMPUTED_VALUE"""),45215.66666666667)</f>
        <v>45215.66667</v>
      </c>
      <c r="B150" s="2">
        <f>IFERROR(__xludf.DUMMYFUNCTION("""COMPUTED_VALUE"""),1315.0)</f>
        <v>1315</v>
      </c>
      <c r="C150" s="2">
        <f>IFERROR(__xludf.DUMMYFUNCTION("""COMPUTED_VALUE"""),1350.0)</f>
        <v>1350</v>
      </c>
      <c r="D150" s="2">
        <f>IFERROR(__xludf.DUMMYFUNCTION("""COMPUTED_VALUE"""),1245.0)</f>
        <v>1245</v>
      </c>
      <c r="E150" s="2">
        <f>IFERROR(__xludf.DUMMYFUNCTION("""COMPUTED_VALUE"""),1295.0)</f>
        <v>1295</v>
      </c>
      <c r="F150" s="2">
        <f>IFERROR(__xludf.DUMMYFUNCTION("""COMPUTED_VALUE"""),1.080484E8)</f>
        <v>108048400</v>
      </c>
      <c r="G150" s="2">
        <f t="shared" si="1"/>
        <v>105</v>
      </c>
    </row>
    <row r="151" ht="15.75" customHeight="1">
      <c r="A151" s="1">
        <f>IFERROR(__xludf.DUMMYFUNCTION("""COMPUTED_VALUE"""),45216.66666666667)</f>
        <v>45216.66667</v>
      </c>
      <c r="B151" s="2">
        <f>IFERROR(__xludf.DUMMYFUNCTION("""COMPUTED_VALUE"""),1300.0)</f>
        <v>1300</v>
      </c>
      <c r="C151" s="2">
        <f>IFERROR(__xludf.DUMMYFUNCTION("""COMPUTED_VALUE"""),1400.0)</f>
        <v>1400</v>
      </c>
      <c r="D151" s="2">
        <f>IFERROR(__xludf.DUMMYFUNCTION("""COMPUTED_VALUE"""),1295.0)</f>
        <v>1295</v>
      </c>
      <c r="E151" s="2">
        <f>IFERROR(__xludf.DUMMYFUNCTION("""COMPUTED_VALUE"""),1400.0)</f>
        <v>1400</v>
      </c>
      <c r="F151" s="2">
        <f>IFERROR(__xludf.DUMMYFUNCTION("""COMPUTED_VALUE"""),1.615346E8)</f>
        <v>161534600</v>
      </c>
      <c r="G151" s="2">
        <f t="shared" si="1"/>
        <v>105</v>
      </c>
    </row>
    <row r="152" ht="15.75" customHeight="1">
      <c r="A152" s="1">
        <f>IFERROR(__xludf.DUMMYFUNCTION("""COMPUTED_VALUE"""),45217.66666666667)</f>
        <v>45217.66667</v>
      </c>
      <c r="B152" s="2">
        <f>IFERROR(__xludf.DUMMYFUNCTION("""COMPUTED_VALUE"""),1415.0)</f>
        <v>1415</v>
      </c>
      <c r="C152" s="2">
        <f>IFERROR(__xludf.DUMMYFUNCTION("""COMPUTED_VALUE"""),1480.0)</f>
        <v>1480</v>
      </c>
      <c r="D152" s="2">
        <f>IFERROR(__xludf.DUMMYFUNCTION("""COMPUTED_VALUE"""),1390.0)</f>
        <v>1390</v>
      </c>
      <c r="E152" s="2">
        <f>IFERROR(__xludf.DUMMYFUNCTION("""COMPUTED_VALUE"""),1455.0)</f>
        <v>1455</v>
      </c>
      <c r="F152" s="2">
        <f>IFERROR(__xludf.DUMMYFUNCTION("""COMPUTED_VALUE"""),1.616805E8)</f>
        <v>161680500</v>
      </c>
      <c r="G152" s="2">
        <f t="shared" si="1"/>
        <v>90</v>
      </c>
    </row>
    <row r="153" ht="15.75" customHeight="1">
      <c r="A153" s="1">
        <f>IFERROR(__xludf.DUMMYFUNCTION("""COMPUTED_VALUE"""),45218.66666666667)</f>
        <v>45218.66667</v>
      </c>
      <c r="B153" s="2">
        <f>IFERROR(__xludf.DUMMYFUNCTION("""COMPUTED_VALUE"""),1455.0)</f>
        <v>1455</v>
      </c>
      <c r="C153" s="2">
        <f>IFERROR(__xludf.DUMMYFUNCTION("""COMPUTED_VALUE"""),1455.0)</f>
        <v>1455</v>
      </c>
      <c r="D153" s="2">
        <f>IFERROR(__xludf.DUMMYFUNCTION("""COMPUTED_VALUE"""),1380.0)</f>
        <v>1380</v>
      </c>
      <c r="E153" s="2">
        <f>IFERROR(__xludf.DUMMYFUNCTION("""COMPUTED_VALUE"""),1380.0)</f>
        <v>1380</v>
      </c>
      <c r="F153" s="2">
        <f>IFERROR(__xludf.DUMMYFUNCTION("""COMPUTED_VALUE"""),8.63029E7)</f>
        <v>86302900</v>
      </c>
      <c r="G153" s="2">
        <f t="shared" si="1"/>
        <v>75</v>
      </c>
    </row>
    <row r="154" ht="15.75" customHeight="1">
      <c r="A154" s="1">
        <f>IFERROR(__xludf.DUMMYFUNCTION("""COMPUTED_VALUE"""),45219.66666666667)</f>
        <v>45219.66667</v>
      </c>
      <c r="B154" s="2">
        <f>IFERROR(__xludf.DUMMYFUNCTION("""COMPUTED_VALUE"""),1380.0)</f>
        <v>1380</v>
      </c>
      <c r="C154" s="2">
        <f>IFERROR(__xludf.DUMMYFUNCTION("""COMPUTED_VALUE"""),1395.0)</f>
        <v>1395</v>
      </c>
      <c r="D154" s="2">
        <f>IFERROR(__xludf.DUMMYFUNCTION("""COMPUTED_VALUE"""),1315.0)</f>
        <v>1315</v>
      </c>
      <c r="E154" s="2">
        <f>IFERROR(__xludf.DUMMYFUNCTION("""COMPUTED_VALUE"""),1350.0)</f>
        <v>1350</v>
      </c>
      <c r="F154" s="2">
        <f>IFERROR(__xludf.DUMMYFUNCTION("""COMPUTED_VALUE"""),6.46475E7)</f>
        <v>64647500</v>
      </c>
      <c r="G154" s="2">
        <f t="shared" si="1"/>
        <v>80</v>
      </c>
    </row>
    <row r="155" ht="15.75" customHeight="1">
      <c r="A155" s="1">
        <f>IFERROR(__xludf.DUMMYFUNCTION("""COMPUTED_VALUE"""),45222.66666666667)</f>
        <v>45222.66667</v>
      </c>
      <c r="B155" s="2">
        <f>IFERROR(__xludf.DUMMYFUNCTION("""COMPUTED_VALUE"""),1350.0)</f>
        <v>1350</v>
      </c>
      <c r="C155" s="2">
        <f>IFERROR(__xludf.DUMMYFUNCTION("""COMPUTED_VALUE"""),1375.0)</f>
        <v>1375</v>
      </c>
      <c r="D155" s="2">
        <f>IFERROR(__xludf.DUMMYFUNCTION("""COMPUTED_VALUE"""),1295.0)</f>
        <v>1295</v>
      </c>
      <c r="E155" s="2">
        <f>IFERROR(__xludf.DUMMYFUNCTION("""COMPUTED_VALUE"""),1325.0)</f>
        <v>1325</v>
      </c>
      <c r="F155" s="2">
        <f>IFERROR(__xludf.DUMMYFUNCTION("""COMPUTED_VALUE"""),4.81533E7)</f>
        <v>48153300</v>
      </c>
      <c r="G155" s="2">
        <f t="shared" si="1"/>
        <v>80</v>
      </c>
    </row>
    <row r="156" ht="15.75" customHeight="1">
      <c r="A156" s="1">
        <f>IFERROR(__xludf.DUMMYFUNCTION("""COMPUTED_VALUE"""),45223.66666666667)</f>
        <v>45223.66667</v>
      </c>
      <c r="B156" s="2">
        <f>IFERROR(__xludf.DUMMYFUNCTION("""COMPUTED_VALUE"""),1330.0)</f>
        <v>1330</v>
      </c>
      <c r="C156" s="2">
        <f>IFERROR(__xludf.DUMMYFUNCTION("""COMPUTED_VALUE"""),1370.0)</f>
        <v>1370</v>
      </c>
      <c r="D156" s="2">
        <f>IFERROR(__xludf.DUMMYFUNCTION("""COMPUTED_VALUE"""),1320.0)</f>
        <v>1320</v>
      </c>
      <c r="E156" s="2">
        <f>IFERROR(__xludf.DUMMYFUNCTION("""COMPUTED_VALUE"""),1355.0)</f>
        <v>1355</v>
      </c>
      <c r="F156" s="2">
        <f>IFERROR(__xludf.DUMMYFUNCTION("""COMPUTED_VALUE"""),3.73471E7)</f>
        <v>37347100</v>
      </c>
      <c r="G156" s="2">
        <f t="shared" si="1"/>
        <v>50</v>
      </c>
    </row>
    <row r="157" ht="15.75" customHeight="1">
      <c r="A157" s="1">
        <f>IFERROR(__xludf.DUMMYFUNCTION("""COMPUTED_VALUE"""),45224.66666666667)</f>
        <v>45224.66667</v>
      </c>
      <c r="B157" s="2">
        <f>IFERROR(__xludf.DUMMYFUNCTION("""COMPUTED_VALUE"""),1365.0)</f>
        <v>1365</v>
      </c>
      <c r="C157" s="2">
        <f>IFERROR(__xludf.DUMMYFUNCTION("""COMPUTED_VALUE"""),1370.0)</f>
        <v>1370</v>
      </c>
      <c r="D157" s="2">
        <f>IFERROR(__xludf.DUMMYFUNCTION("""COMPUTED_VALUE"""),1330.0)</f>
        <v>1330</v>
      </c>
      <c r="E157" s="2">
        <f>IFERROR(__xludf.DUMMYFUNCTION("""COMPUTED_VALUE"""),1330.0)</f>
        <v>1330</v>
      </c>
      <c r="F157" s="2">
        <f>IFERROR(__xludf.DUMMYFUNCTION("""COMPUTED_VALUE"""),2.88112E7)</f>
        <v>28811200</v>
      </c>
      <c r="G157" s="2">
        <f t="shared" si="1"/>
        <v>40</v>
      </c>
    </row>
    <row r="158" ht="15.75" customHeight="1">
      <c r="A158" s="1">
        <f>IFERROR(__xludf.DUMMYFUNCTION("""COMPUTED_VALUE"""),45225.66666666667)</f>
        <v>45225.66667</v>
      </c>
      <c r="B158" s="2">
        <f>IFERROR(__xludf.DUMMYFUNCTION("""COMPUTED_VALUE"""),1335.0)</f>
        <v>1335</v>
      </c>
      <c r="C158" s="2">
        <f>IFERROR(__xludf.DUMMYFUNCTION("""COMPUTED_VALUE"""),1355.0)</f>
        <v>1355</v>
      </c>
      <c r="D158" s="2">
        <f>IFERROR(__xludf.DUMMYFUNCTION("""COMPUTED_VALUE"""),1310.0)</f>
        <v>1310</v>
      </c>
      <c r="E158" s="2">
        <f>IFERROR(__xludf.DUMMYFUNCTION("""COMPUTED_VALUE"""),1315.0)</f>
        <v>1315</v>
      </c>
      <c r="F158" s="2">
        <f>IFERROR(__xludf.DUMMYFUNCTION("""COMPUTED_VALUE"""),2.92532E7)</f>
        <v>29253200</v>
      </c>
      <c r="G158" s="2">
        <f t="shared" si="1"/>
        <v>45</v>
      </c>
    </row>
    <row r="159" ht="15.75" customHeight="1">
      <c r="A159" s="1">
        <f>IFERROR(__xludf.DUMMYFUNCTION("""COMPUTED_VALUE"""),45226.66666666667)</f>
        <v>45226.66667</v>
      </c>
      <c r="B159" s="2">
        <f>IFERROR(__xludf.DUMMYFUNCTION("""COMPUTED_VALUE"""),1315.0)</f>
        <v>1315</v>
      </c>
      <c r="C159" s="2">
        <f>IFERROR(__xludf.DUMMYFUNCTION("""COMPUTED_VALUE"""),1365.0)</f>
        <v>1365</v>
      </c>
      <c r="D159" s="2">
        <f>IFERROR(__xludf.DUMMYFUNCTION("""COMPUTED_VALUE"""),1310.0)</f>
        <v>1310</v>
      </c>
      <c r="E159" s="2">
        <f>IFERROR(__xludf.DUMMYFUNCTION("""COMPUTED_VALUE"""),1355.0)</f>
        <v>1355</v>
      </c>
      <c r="F159" s="2">
        <f>IFERROR(__xludf.DUMMYFUNCTION("""COMPUTED_VALUE"""),3.49799E7)</f>
        <v>34979900</v>
      </c>
      <c r="G159" s="2">
        <f t="shared" si="1"/>
        <v>55</v>
      </c>
    </row>
    <row r="160" ht="15.75" customHeight="1">
      <c r="A160" s="1">
        <f>IFERROR(__xludf.DUMMYFUNCTION("""COMPUTED_VALUE"""),45229.66666666667)</f>
        <v>45229.66667</v>
      </c>
      <c r="B160" s="2">
        <f>IFERROR(__xludf.DUMMYFUNCTION("""COMPUTED_VALUE"""),1370.0)</f>
        <v>1370</v>
      </c>
      <c r="C160" s="2">
        <f>IFERROR(__xludf.DUMMYFUNCTION("""COMPUTED_VALUE"""),1435.0)</f>
        <v>1435</v>
      </c>
      <c r="D160" s="2">
        <f>IFERROR(__xludf.DUMMYFUNCTION("""COMPUTED_VALUE"""),1360.0)</f>
        <v>1360</v>
      </c>
      <c r="E160" s="2">
        <f>IFERROR(__xludf.DUMMYFUNCTION("""COMPUTED_VALUE"""),1405.0)</f>
        <v>1405</v>
      </c>
      <c r="F160" s="2">
        <f>IFERROR(__xludf.DUMMYFUNCTION("""COMPUTED_VALUE"""),1.030477E8)</f>
        <v>103047700</v>
      </c>
      <c r="G160" s="2">
        <f t="shared" si="1"/>
        <v>80</v>
      </c>
    </row>
    <row r="161" ht="15.75" customHeight="1">
      <c r="A161" s="1">
        <f>IFERROR(__xludf.DUMMYFUNCTION("""COMPUTED_VALUE"""),45230.66666666667)</f>
        <v>45230.66667</v>
      </c>
      <c r="B161" s="2">
        <f>IFERROR(__xludf.DUMMYFUNCTION("""COMPUTED_VALUE"""),1420.0)</f>
        <v>1420</v>
      </c>
      <c r="C161" s="2">
        <f>IFERROR(__xludf.DUMMYFUNCTION("""COMPUTED_VALUE"""),1435.0)</f>
        <v>1435</v>
      </c>
      <c r="D161" s="2">
        <f>IFERROR(__xludf.DUMMYFUNCTION("""COMPUTED_VALUE"""),1400.0)</f>
        <v>1400</v>
      </c>
      <c r="E161" s="2">
        <f>IFERROR(__xludf.DUMMYFUNCTION("""COMPUTED_VALUE"""),1415.0)</f>
        <v>1415</v>
      </c>
      <c r="F161" s="2">
        <f>IFERROR(__xludf.DUMMYFUNCTION("""COMPUTED_VALUE"""),5.86817E7)</f>
        <v>58681700</v>
      </c>
      <c r="G161" s="2">
        <f t="shared" si="1"/>
        <v>35</v>
      </c>
    </row>
    <row r="162" ht="15.75" customHeight="1">
      <c r="A162" s="1">
        <f>IFERROR(__xludf.DUMMYFUNCTION("""COMPUTED_VALUE"""),45231.66666666667)</f>
        <v>45231.66667</v>
      </c>
      <c r="B162" s="2">
        <f>IFERROR(__xludf.DUMMYFUNCTION("""COMPUTED_VALUE"""),1420.0)</f>
        <v>1420</v>
      </c>
      <c r="C162" s="2">
        <f>IFERROR(__xludf.DUMMYFUNCTION("""COMPUTED_VALUE"""),1455.0)</f>
        <v>1455</v>
      </c>
      <c r="D162" s="2">
        <f>IFERROR(__xludf.DUMMYFUNCTION("""COMPUTED_VALUE"""),1395.0)</f>
        <v>1395</v>
      </c>
      <c r="E162" s="2">
        <f>IFERROR(__xludf.DUMMYFUNCTION("""COMPUTED_VALUE"""),1395.0)</f>
        <v>1395</v>
      </c>
      <c r="F162" s="2">
        <f>IFERROR(__xludf.DUMMYFUNCTION("""COMPUTED_VALUE"""),6.58225E7)</f>
        <v>65822500</v>
      </c>
      <c r="G162" s="2">
        <f t="shared" si="1"/>
        <v>60</v>
      </c>
    </row>
    <row r="163" ht="15.75" customHeight="1">
      <c r="A163" s="1">
        <f>IFERROR(__xludf.DUMMYFUNCTION("""COMPUTED_VALUE"""),45232.66666666667)</f>
        <v>45232.66667</v>
      </c>
      <c r="B163" s="2">
        <f>IFERROR(__xludf.DUMMYFUNCTION("""COMPUTED_VALUE"""),1420.0)</f>
        <v>1420</v>
      </c>
      <c r="C163" s="2">
        <f>IFERROR(__xludf.DUMMYFUNCTION("""COMPUTED_VALUE"""),1435.0)</f>
        <v>1435</v>
      </c>
      <c r="D163" s="2">
        <f>IFERROR(__xludf.DUMMYFUNCTION("""COMPUTED_VALUE"""),1395.0)</f>
        <v>1395</v>
      </c>
      <c r="E163" s="2">
        <f>IFERROR(__xludf.DUMMYFUNCTION("""COMPUTED_VALUE"""),1395.0)</f>
        <v>1395</v>
      </c>
      <c r="F163" s="2">
        <f>IFERROR(__xludf.DUMMYFUNCTION("""COMPUTED_VALUE"""),6.35564E7)</f>
        <v>63556400</v>
      </c>
      <c r="G163" s="2">
        <f t="shared" si="1"/>
        <v>40</v>
      </c>
    </row>
    <row r="164" ht="15.75" customHeight="1">
      <c r="A164" s="1">
        <f>IFERROR(__xludf.DUMMYFUNCTION("""COMPUTED_VALUE"""),45233.66666666667)</f>
        <v>45233.66667</v>
      </c>
      <c r="B164" s="2">
        <f>IFERROR(__xludf.DUMMYFUNCTION("""COMPUTED_VALUE"""),1410.0)</f>
        <v>1410</v>
      </c>
      <c r="C164" s="2">
        <f>IFERROR(__xludf.DUMMYFUNCTION("""COMPUTED_VALUE"""),1415.0)</f>
        <v>1415</v>
      </c>
      <c r="D164" s="2">
        <f>IFERROR(__xludf.DUMMYFUNCTION("""COMPUTED_VALUE"""),1390.0)</f>
        <v>1390</v>
      </c>
      <c r="E164" s="2">
        <f>IFERROR(__xludf.DUMMYFUNCTION("""COMPUTED_VALUE"""),1390.0)</f>
        <v>1390</v>
      </c>
      <c r="F164" s="2">
        <f>IFERROR(__xludf.DUMMYFUNCTION("""COMPUTED_VALUE"""),2.54538E7)</f>
        <v>25453800</v>
      </c>
      <c r="G164" s="2">
        <f t="shared" si="1"/>
        <v>25</v>
      </c>
    </row>
    <row r="165" ht="15.75" customHeight="1">
      <c r="A165" s="1">
        <f>IFERROR(__xludf.DUMMYFUNCTION("""COMPUTED_VALUE"""),45236.66666666667)</f>
        <v>45236.66667</v>
      </c>
      <c r="B165" s="2">
        <f>IFERROR(__xludf.DUMMYFUNCTION("""COMPUTED_VALUE"""),1400.0)</f>
        <v>1400</v>
      </c>
      <c r="C165" s="2">
        <f>IFERROR(__xludf.DUMMYFUNCTION("""COMPUTED_VALUE"""),1435.0)</f>
        <v>1435</v>
      </c>
      <c r="D165" s="2">
        <f>IFERROR(__xludf.DUMMYFUNCTION("""COMPUTED_VALUE"""),1395.0)</f>
        <v>1395</v>
      </c>
      <c r="E165" s="2">
        <f>IFERROR(__xludf.DUMMYFUNCTION("""COMPUTED_VALUE"""),1410.0)</f>
        <v>1410</v>
      </c>
      <c r="F165" s="2">
        <f>IFERROR(__xludf.DUMMYFUNCTION("""COMPUTED_VALUE"""),5.16163E7)</f>
        <v>51616300</v>
      </c>
      <c r="G165" s="2">
        <f t="shared" si="1"/>
        <v>45</v>
      </c>
    </row>
    <row r="166" ht="15.75" customHeight="1">
      <c r="A166" s="1">
        <f>IFERROR(__xludf.DUMMYFUNCTION("""COMPUTED_VALUE"""),45237.66666666667)</f>
        <v>45237.66667</v>
      </c>
      <c r="B166" s="2">
        <f>IFERROR(__xludf.DUMMYFUNCTION("""COMPUTED_VALUE"""),1415.0)</f>
        <v>1415</v>
      </c>
      <c r="C166" s="2">
        <f>IFERROR(__xludf.DUMMYFUNCTION("""COMPUTED_VALUE"""),1430.0)</f>
        <v>1430</v>
      </c>
      <c r="D166" s="2">
        <f>IFERROR(__xludf.DUMMYFUNCTION("""COMPUTED_VALUE"""),1355.0)</f>
        <v>1355</v>
      </c>
      <c r="E166" s="2">
        <f>IFERROR(__xludf.DUMMYFUNCTION("""COMPUTED_VALUE"""),1365.0)</f>
        <v>1365</v>
      </c>
      <c r="F166" s="2">
        <f>IFERROR(__xludf.DUMMYFUNCTION("""COMPUTED_VALUE"""),6.33125E7)</f>
        <v>63312500</v>
      </c>
      <c r="G166" s="2">
        <f t="shared" si="1"/>
        <v>75</v>
      </c>
    </row>
    <row r="167" ht="15.75" customHeight="1">
      <c r="A167" s="1">
        <f>IFERROR(__xludf.DUMMYFUNCTION("""COMPUTED_VALUE"""),45238.66666666667)</f>
        <v>45238.66667</v>
      </c>
      <c r="B167" s="2">
        <f>IFERROR(__xludf.DUMMYFUNCTION("""COMPUTED_VALUE"""),1350.0)</f>
        <v>1350</v>
      </c>
      <c r="C167" s="2">
        <f>IFERROR(__xludf.DUMMYFUNCTION("""COMPUTED_VALUE"""),1375.0)</f>
        <v>1375</v>
      </c>
      <c r="D167" s="2">
        <f>IFERROR(__xludf.DUMMYFUNCTION("""COMPUTED_VALUE"""),1295.0)</f>
        <v>1295</v>
      </c>
      <c r="E167" s="2">
        <f>IFERROR(__xludf.DUMMYFUNCTION("""COMPUTED_VALUE"""),1300.0)</f>
        <v>1300</v>
      </c>
      <c r="F167" s="2">
        <f>IFERROR(__xludf.DUMMYFUNCTION("""COMPUTED_VALUE"""),6.07233E7)</f>
        <v>60723300</v>
      </c>
      <c r="G167" s="2">
        <f t="shared" si="1"/>
        <v>80</v>
      </c>
    </row>
    <row r="168" ht="15.75" customHeight="1">
      <c r="A168" s="1">
        <f>IFERROR(__xludf.DUMMYFUNCTION("""COMPUTED_VALUE"""),45239.66666666667)</f>
        <v>45239.66667</v>
      </c>
      <c r="B168" s="2">
        <f>IFERROR(__xludf.DUMMYFUNCTION("""COMPUTED_VALUE"""),1300.0)</f>
        <v>1300</v>
      </c>
      <c r="C168" s="2">
        <f>IFERROR(__xludf.DUMMYFUNCTION("""COMPUTED_VALUE"""),1330.0)</f>
        <v>1330</v>
      </c>
      <c r="D168" s="2">
        <f>IFERROR(__xludf.DUMMYFUNCTION("""COMPUTED_VALUE"""),1255.0)</f>
        <v>1255</v>
      </c>
      <c r="E168" s="2">
        <f>IFERROR(__xludf.DUMMYFUNCTION("""COMPUTED_VALUE"""),1255.0)</f>
        <v>1255</v>
      </c>
      <c r="F168" s="2">
        <f>IFERROR(__xludf.DUMMYFUNCTION("""COMPUTED_VALUE"""),6.38232E7)</f>
        <v>63823200</v>
      </c>
      <c r="G168" s="2">
        <f t="shared" si="1"/>
        <v>75</v>
      </c>
    </row>
    <row r="169" ht="15.75" customHeight="1">
      <c r="A169" s="1">
        <f>IFERROR(__xludf.DUMMYFUNCTION("""COMPUTED_VALUE"""),45240.66666666667)</f>
        <v>45240.66667</v>
      </c>
      <c r="B169" s="2">
        <f>IFERROR(__xludf.DUMMYFUNCTION("""COMPUTED_VALUE"""),1255.0)</f>
        <v>1255</v>
      </c>
      <c r="C169" s="2">
        <f>IFERROR(__xludf.DUMMYFUNCTION("""COMPUTED_VALUE"""),1310.0)</f>
        <v>1310</v>
      </c>
      <c r="D169" s="2">
        <f>IFERROR(__xludf.DUMMYFUNCTION("""COMPUTED_VALUE"""),1220.0)</f>
        <v>1220</v>
      </c>
      <c r="E169" s="2">
        <f>IFERROR(__xludf.DUMMYFUNCTION("""COMPUTED_VALUE"""),1220.0)</f>
        <v>1220</v>
      </c>
      <c r="F169" s="2">
        <f>IFERROR(__xludf.DUMMYFUNCTION("""COMPUTED_VALUE"""),6.75526E7)</f>
        <v>67552600</v>
      </c>
      <c r="G169" s="2">
        <f t="shared" si="1"/>
        <v>90</v>
      </c>
    </row>
    <row r="170" ht="15.75" customHeight="1">
      <c r="A170" s="1">
        <f>IFERROR(__xludf.DUMMYFUNCTION("""COMPUTED_VALUE"""),45243.66666666667)</f>
        <v>45243.66667</v>
      </c>
      <c r="B170" s="2">
        <f>IFERROR(__xludf.DUMMYFUNCTION("""COMPUTED_VALUE"""),1225.0)</f>
        <v>1225</v>
      </c>
      <c r="C170" s="2">
        <f>IFERROR(__xludf.DUMMYFUNCTION("""COMPUTED_VALUE"""),1265.0)</f>
        <v>1265</v>
      </c>
      <c r="D170" s="2">
        <f>IFERROR(__xludf.DUMMYFUNCTION("""COMPUTED_VALUE"""),1195.0)</f>
        <v>1195</v>
      </c>
      <c r="E170" s="2">
        <f>IFERROR(__xludf.DUMMYFUNCTION("""COMPUTED_VALUE"""),1230.0)</f>
        <v>1230</v>
      </c>
      <c r="F170" s="2">
        <f>IFERROR(__xludf.DUMMYFUNCTION("""COMPUTED_VALUE"""),5.47322E7)</f>
        <v>54732200</v>
      </c>
      <c r="G170" s="2">
        <f t="shared" si="1"/>
        <v>70</v>
      </c>
    </row>
    <row r="171" ht="15.75" customHeight="1">
      <c r="A171" s="1">
        <f>IFERROR(__xludf.DUMMYFUNCTION("""COMPUTED_VALUE"""),45244.66666666667)</f>
        <v>45244.66667</v>
      </c>
      <c r="B171" s="2">
        <f>IFERROR(__xludf.DUMMYFUNCTION("""COMPUTED_VALUE"""),1235.0)</f>
        <v>1235</v>
      </c>
      <c r="C171" s="2">
        <f>IFERROR(__xludf.DUMMYFUNCTION("""COMPUTED_VALUE"""),1290.0)</f>
        <v>1290</v>
      </c>
      <c r="D171" s="2">
        <f>IFERROR(__xludf.DUMMYFUNCTION("""COMPUTED_VALUE"""),1235.0)</f>
        <v>1235</v>
      </c>
      <c r="E171" s="2">
        <f>IFERROR(__xludf.DUMMYFUNCTION("""COMPUTED_VALUE"""),1255.0)</f>
        <v>1255</v>
      </c>
      <c r="F171" s="2">
        <f>IFERROR(__xludf.DUMMYFUNCTION("""COMPUTED_VALUE"""),4.59831E7)</f>
        <v>45983100</v>
      </c>
      <c r="G171" s="2">
        <f t="shared" si="1"/>
        <v>60</v>
      </c>
    </row>
    <row r="172" ht="15.75" customHeight="1">
      <c r="A172" s="1">
        <f>IFERROR(__xludf.DUMMYFUNCTION("""COMPUTED_VALUE"""),45245.66666666667)</f>
        <v>45245.66667</v>
      </c>
      <c r="B172" s="2">
        <f>IFERROR(__xludf.DUMMYFUNCTION("""COMPUTED_VALUE"""),1260.0)</f>
        <v>1260</v>
      </c>
      <c r="C172" s="2">
        <f>IFERROR(__xludf.DUMMYFUNCTION("""COMPUTED_VALUE"""),1280.0)</f>
        <v>1280</v>
      </c>
      <c r="D172" s="2">
        <f>IFERROR(__xludf.DUMMYFUNCTION("""COMPUTED_VALUE"""),1245.0)</f>
        <v>1245</v>
      </c>
      <c r="E172" s="2">
        <f>IFERROR(__xludf.DUMMYFUNCTION("""COMPUTED_VALUE"""),1255.0)</f>
        <v>1255</v>
      </c>
      <c r="F172" s="2">
        <f>IFERROR(__xludf.DUMMYFUNCTION("""COMPUTED_VALUE"""),4.09866E7)</f>
        <v>40986600</v>
      </c>
      <c r="G172" s="2">
        <f t="shared" si="1"/>
        <v>35</v>
      </c>
    </row>
    <row r="173" ht="15.75" customHeight="1">
      <c r="A173" s="1">
        <f>IFERROR(__xludf.DUMMYFUNCTION("""COMPUTED_VALUE"""),45246.66666666667)</f>
        <v>45246.66667</v>
      </c>
      <c r="B173" s="2">
        <f>IFERROR(__xludf.DUMMYFUNCTION("""COMPUTED_VALUE"""),1265.0)</f>
        <v>1265</v>
      </c>
      <c r="C173" s="2">
        <f>IFERROR(__xludf.DUMMYFUNCTION("""COMPUTED_VALUE"""),1265.0)</f>
        <v>1265</v>
      </c>
      <c r="D173" s="2">
        <f>IFERROR(__xludf.DUMMYFUNCTION("""COMPUTED_VALUE"""),1230.0)</f>
        <v>1230</v>
      </c>
      <c r="E173" s="2">
        <f>IFERROR(__xludf.DUMMYFUNCTION("""COMPUTED_VALUE"""),1250.0)</f>
        <v>1250</v>
      </c>
      <c r="F173" s="2">
        <f>IFERROR(__xludf.DUMMYFUNCTION("""COMPUTED_VALUE"""),2.88836E7)</f>
        <v>28883600</v>
      </c>
      <c r="G173" s="2">
        <f t="shared" si="1"/>
        <v>35</v>
      </c>
    </row>
    <row r="174" ht="15.75" customHeight="1">
      <c r="A174" s="1">
        <f>IFERROR(__xludf.DUMMYFUNCTION("""COMPUTED_VALUE"""),45247.66666666667)</f>
        <v>45247.66667</v>
      </c>
      <c r="B174" s="2">
        <f>IFERROR(__xludf.DUMMYFUNCTION("""COMPUTED_VALUE"""),1250.0)</f>
        <v>1250</v>
      </c>
      <c r="C174" s="2">
        <f>IFERROR(__xludf.DUMMYFUNCTION("""COMPUTED_VALUE"""),1270.0)</f>
        <v>1270</v>
      </c>
      <c r="D174" s="2">
        <f>IFERROR(__xludf.DUMMYFUNCTION("""COMPUTED_VALUE"""),1220.0)</f>
        <v>1220</v>
      </c>
      <c r="E174" s="2">
        <f>IFERROR(__xludf.DUMMYFUNCTION("""COMPUTED_VALUE"""),1220.0)</f>
        <v>1220</v>
      </c>
      <c r="F174" s="2">
        <f>IFERROR(__xludf.DUMMYFUNCTION("""COMPUTED_VALUE"""),3.98805E7)</f>
        <v>39880500</v>
      </c>
      <c r="G174" s="2">
        <f t="shared" si="1"/>
        <v>50</v>
      </c>
    </row>
    <row r="175" ht="15.75" customHeight="1">
      <c r="A175" s="1">
        <f>IFERROR(__xludf.DUMMYFUNCTION("""COMPUTED_VALUE"""),45250.66666666667)</f>
        <v>45250.66667</v>
      </c>
      <c r="B175" s="2">
        <f>IFERROR(__xludf.DUMMYFUNCTION("""COMPUTED_VALUE"""),1220.0)</f>
        <v>1220</v>
      </c>
      <c r="C175" s="2">
        <f>IFERROR(__xludf.DUMMYFUNCTION("""COMPUTED_VALUE"""),1265.0)</f>
        <v>1265</v>
      </c>
      <c r="D175" s="2">
        <f>IFERROR(__xludf.DUMMYFUNCTION("""COMPUTED_VALUE"""),1200.0)</f>
        <v>1200</v>
      </c>
      <c r="E175" s="2">
        <f>IFERROR(__xludf.DUMMYFUNCTION("""COMPUTED_VALUE"""),1245.0)</f>
        <v>1245</v>
      </c>
      <c r="F175" s="2">
        <f>IFERROR(__xludf.DUMMYFUNCTION("""COMPUTED_VALUE"""),4.96191E7)</f>
        <v>49619100</v>
      </c>
      <c r="G175" s="2">
        <f t="shared" si="1"/>
        <v>65</v>
      </c>
    </row>
    <row r="176" ht="15.75" customHeight="1">
      <c r="A176" s="1">
        <f>IFERROR(__xludf.DUMMYFUNCTION("""COMPUTED_VALUE"""),45251.66666666667)</f>
        <v>45251.66667</v>
      </c>
      <c r="B176" s="2">
        <f>IFERROR(__xludf.DUMMYFUNCTION("""COMPUTED_VALUE"""),1250.0)</f>
        <v>1250</v>
      </c>
      <c r="C176" s="2">
        <f>IFERROR(__xludf.DUMMYFUNCTION("""COMPUTED_VALUE"""),1265.0)</f>
        <v>1265</v>
      </c>
      <c r="D176" s="2">
        <f>IFERROR(__xludf.DUMMYFUNCTION("""COMPUTED_VALUE"""),1225.0)</f>
        <v>1225</v>
      </c>
      <c r="E176" s="2">
        <f>IFERROR(__xludf.DUMMYFUNCTION("""COMPUTED_VALUE"""),1240.0)</f>
        <v>1240</v>
      </c>
      <c r="F176" s="2">
        <f>IFERROR(__xludf.DUMMYFUNCTION("""COMPUTED_VALUE"""),3.29631E7)</f>
        <v>32963100</v>
      </c>
      <c r="G176" s="2">
        <f t="shared" si="1"/>
        <v>40</v>
      </c>
    </row>
    <row r="177" ht="15.75" customHeight="1">
      <c r="A177" s="1">
        <f>IFERROR(__xludf.DUMMYFUNCTION("""COMPUTED_VALUE"""),45252.66666666667)</f>
        <v>45252.66667</v>
      </c>
      <c r="B177" s="2">
        <f>IFERROR(__xludf.DUMMYFUNCTION("""COMPUTED_VALUE"""),1240.0)</f>
        <v>1240</v>
      </c>
      <c r="C177" s="2">
        <f>IFERROR(__xludf.DUMMYFUNCTION("""COMPUTED_VALUE"""),1240.0)</f>
        <v>1240</v>
      </c>
      <c r="D177" s="2">
        <f>IFERROR(__xludf.DUMMYFUNCTION("""COMPUTED_VALUE"""),1100.0)</f>
        <v>1100</v>
      </c>
      <c r="E177" s="2">
        <f>IFERROR(__xludf.DUMMYFUNCTION("""COMPUTED_VALUE"""),1105.0)</f>
        <v>1105</v>
      </c>
      <c r="F177" s="2">
        <f>IFERROR(__xludf.DUMMYFUNCTION("""COMPUTED_VALUE"""),1.141994E8)</f>
        <v>114199400</v>
      </c>
      <c r="G177" s="2">
        <f t="shared" si="1"/>
        <v>140</v>
      </c>
    </row>
    <row r="178" ht="15.75" customHeight="1">
      <c r="A178" s="1">
        <f>IFERROR(__xludf.DUMMYFUNCTION("""COMPUTED_VALUE"""),45253.66666666667)</f>
        <v>45253.66667</v>
      </c>
      <c r="B178" s="2">
        <f>IFERROR(__xludf.DUMMYFUNCTION("""COMPUTED_VALUE"""),1110.0)</f>
        <v>1110</v>
      </c>
      <c r="C178" s="2">
        <f>IFERROR(__xludf.DUMMYFUNCTION("""COMPUTED_VALUE"""),1125.0)</f>
        <v>1125</v>
      </c>
      <c r="D178" s="2">
        <f>IFERROR(__xludf.DUMMYFUNCTION("""COMPUTED_VALUE"""),1075.0)</f>
        <v>1075</v>
      </c>
      <c r="E178" s="2">
        <f>IFERROR(__xludf.DUMMYFUNCTION("""COMPUTED_VALUE"""),1095.0)</f>
        <v>1095</v>
      </c>
      <c r="F178" s="2">
        <f>IFERROR(__xludf.DUMMYFUNCTION("""COMPUTED_VALUE"""),5.9648E7)</f>
        <v>59648000</v>
      </c>
      <c r="G178" s="2">
        <f t="shared" si="1"/>
        <v>50</v>
      </c>
    </row>
    <row r="179" ht="15.75" customHeight="1">
      <c r="A179" s="1">
        <f>IFERROR(__xludf.DUMMYFUNCTION("""COMPUTED_VALUE"""),45254.66666666667)</f>
        <v>45254.66667</v>
      </c>
      <c r="B179" s="2">
        <f>IFERROR(__xludf.DUMMYFUNCTION("""COMPUTED_VALUE"""),1095.0)</f>
        <v>1095</v>
      </c>
      <c r="C179" s="2">
        <f>IFERROR(__xludf.DUMMYFUNCTION("""COMPUTED_VALUE"""),1100.0)</f>
        <v>1100</v>
      </c>
      <c r="D179" s="2">
        <f>IFERROR(__xludf.DUMMYFUNCTION("""COMPUTED_VALUE"""),1035.0)</f>
        <v>1035</v>
      </c>
      <c r="E179" s="2">
        <f>IFERROR(__xludf.DUMMYFUNCTION("""COMPUTED_VALUE"""),1050.0)</f>
        <v>1050</v>
      </c>
      <c r="F179" s="2">
        <f>IFERROR(__xludf.DUMMYFUNCTION("""COMPUTED_VALUE"""),5.93963E7)</f>
        <v>59396300</v>
      </c>
      <c r="G179" s="2">
        <f t="shared" si="1"/>
        <v>65</v>
      </c>
    </row>
    <row r="180" ht="15.75" customHeight="1">
      <c r="A180" s="1">
        <f>IFERROR(__xludf.DUMMYFUNCTION("""COMPUTED_VALUE"""),45257.66666666667)</f>
        <v>45257.66667</v>
      </c>
      <c r="B180" s="2">
        <f>IFERROR(__xludf.DUMMYFUNCTION("""COMPUTED_VALUE"""),1080.0)</f>
        <v>1080</v>
      </c>
      <c r="C180" s="2">
        <f>IFERROR(__xludf.DUMMYFUNCTION("""COMPUTED_VALUE"""),1080.0)</f>
        <v>1080</v>
      </c>
      <c r="D180" s="2">
        <f>IFERROR(__xludf.DUMMYFUNCTION("""COMPUTED_VALUE"""),1000.0)</f>
        <v>1000</v>
      </c>
      <c r="E180" s="2">
        <f>IFERROR(__xludf.DUMMYFUNCTION("""COMPUTED_VALUE"""),1010.0)</f>
        <v>1010</v>
      </c>
      <c r="F180" s="2">
        <f>IFERROR(__xludf.DUMMYFUNCTION("""COMPUTED_VALUE"""),9.81236E7)</f>
        <v>98123600</v>
      </c>
      <c r="G180" s="2">
        <f t="shared" si="1"/>
        <v>80</v>
      </c>
    </row>
    <row r="181" ht="15.75" customHeight="1">
      <c r="A181" s="1">
        <f>IFERROR(__xludf.DUMMYFUNCTION("""COMPUTED_VALUE"""),45258.66666666667)</f>
        <v>45258.66667</v>
      </c>
      <c r="B181" s="2">
        <f>IFERROR(__xludf.DUMMYFUNCTION("""COMPUTED_VALUE"""),1025.0)</f>
        <v>1025</v>
      </c>
      <c r="C181" s="2">
        <f>IFERROR(__xludf.DUMMYFUNCTION("""COMPUTED_VALUE"""),1055.0)</f>
        <v>1055</v>
      </c>
      <c r="D181" s="2">
        <f>IFERROR(__xludf.DUMMYFUNCTION("""COMPUTED_VALUE"""),1000.0)</f>
        <v>1000</v>
      </c>
      <c r="E181" s="2">
        <f>IFERROR(__xludf.DUMMYFUNCTION("""COMPUTED_VALUE"""),1015.0)</f>
        <v>1015</v>
      </c>
      <c r="F181" s="2">
        <f>IFERROR(__xludf.DUMMYFUNCTION("""COMPUTED_VALUE"""),1.2416E8)</f>
        <v>124160000</v>
      </c>
      <c r="G181" s="2">
        <f t="shared" si="1"/>
        <v>55</v>
      </c>
    </row>
    <row r="182" ht="15.75" customHeight="1">
      <c r="A182" s="1">
        <f>IFERROR(__xludf.DUMMYFUNCTION("""COMPUTED_VALUE"""),45259.66666666667)</f>
        <v>45259.66667</v>
      </c>
      <c r="B182" s="2">
        <f>IFERROR(__xludf.DUMMYFUNCTION("""COMPUTED_VALUE"""),1020.0)</f>
        <v>1020</v>
      </c>
      <c r="C182" s="2">
        <f>IFERROR(__xludf.DUMMYFUNCTION("""COMPUTED_VALUE"""),1030.0)</f>
        <v>1030</v>
      </c>
      <c r="D182" s="2">
        <f>IFERROR(__xludf.DUMMYFUNCTION("""COMPUTED_VALUE"""),1000.0)</f>
        <v>1000</v>
      </c>
      <c r="E182" s="2">
        <f>IFERROR(__xludf.DUMMYFUNCTION("""COMPUTED_VALUE"""),1000.0)</f>
        <v>1000</v>
      </c>
      <c r="F182" s="2">
        <f>IFERROR(__xludf.DUMMYFUNCTION("""COMPUTED_VALUE"""),4.34828E7)</f>
        <v>43482800</v>
      </c>
      <c r="G182" s="2">
        <f t="shared" si="1"/>
        <v>30</v>
      </c>
    </row>
    <row r="183" ht="15.75" customHeight="1">
      <c r="A183" s="1">
        <f>IFERROR(__xludf.DUMMYFUNCTION("""COMPUTED_VALUE"""),45260.66666666667)</f>
        <v>45260.66667</v>
      </c>
      <c r="B183" s="2">
        <f>IFERROR(__xludf.DUMMYFUNCTION("""COMPUTED_VALUE"""),1005.0)</f>
        <v>1005</v>
      </c>
      <c r="C183" s="2">
        <f>IFERROR(__xludf.DUMMYFUNCTION("""COMPUTED_VALUE"""),1070.0)</f>
        <v>1070</v>
      </c>
      <c r="D183" s="2">
        <f>IFERROR(__xludf.DUMMYFUNCTION("""COMPUTED_VALUE"""),1000.0)</f>
        <v>1000</v>
      </c>
      <c r="E183" s="2">
        <f>IFERROR(__xludf.DUMMYFUNCTION("""COMPUTED_VALUE"""),1055.0)</f>
        <v>1055</v>
      </c>
      <c r="F183" s="2">
        <f>IFERROR(__xludf.DUMMYFUNCTION("""COMPUTED_VALUE"""),1.109523E8)</f>
        <v>110952300</v>
      </c>
      <c r="G183" s="2">
        <f t="shared" si="1"/>
        <v>70</v>
      </c>
    </row>
    <row r="184" ht="15.75" customHeight="1">
      <c r="A184" s="1">
        <f>IFERROR(__xludf.DUMMYFUNCTION("""COMPUTED_VALUE"""),45261.66666666667)</f>
        <v>45261.66667</v>
      </c>
      <c r="B184" s="2">
        <f>IFERROR(__xludf.DUMMYFUNCTION("""COMPUTED_VALUE"""),1055.0)</f>
        <v>1055</v>
      </c>
      <c r="C184" s="2">
        <f>IFERROR(__xludf.DUMMYFUNCTION("""COMPUTED_VALUE"""),1065.0)</f>
        <v>1065</v>
      </c>
      <c r="D184" s="2">
        <f>IFERROR(__xludf.DUMMYFUNCTION("""COMPUTED_VALUE"""),1025.0)</f>
        <v>1025</v>
      </c>
      <c r="E184" s="2">
        <f>IFERROR(__xludf.DUMMYFUNCTION("""COMPUTED_VALUE"""),1040.0)</f>
        <v>1040</v>
      </c>
      <c r="F184" s="2">
        <f>IFERROR(__xludf.DUMMYFUNCTION("""COMPUTED_VALUE"""),5.92562E7)</f>
        <v>59256200</v>
      </c>
      <c r="G184" s="2">
        <f t="shared" si="1"/>
        <v>40</v>
      </c>
    </row>
    <row r="185" ht="15.75" customHeight="1">
      <c r="A185" s="1">
        <f>IFERROR(__xludf.DUMMYFUNCTION("""COMPUTED_VALUE"""),45264.66666666667)</f>
        <v>45264.66667</v>
      </c>
      <c r="B185" s="2">
        <f>IFERROR(__xludf.DUMMYFUNCTION("""COMPUTED_VALUE"""),1040.0)</f>
        <v>1040</v>
      </c>
      <c r="C185" s="2">
        <f>IFERROR(__xludf.DUMMYFUNCTION("""COMPUTED_VALUE"""),1050.0)</f>
        <v>1050</v>
      </c>
      <c r="D185" s="2">
        <f>IFERROR(__xludf.DUMMYFUNCTION("""COMPUTED_VALUE"""),990.0)</f>
        <v>990</v>
      </c>
      <c r="E185" s="2">
        <f>IFERROR(__xludf.DUMMYFUNCTION("""COMPUTED_VALUE"""),1010.0)</f>
        <v>1010</v>
      </c>
      <c r="F185" s="2">
        <f>IFERROR(__xludf.DUMMYFUNCTION("""COMPUTED_VALUE"""),7.53134E7)</f>
        <v>75313400</v>
      </c>
      <c r="G185" s="2">
        <f t="shared" si="1"/>
        <v>60</v>
      </c>
    </row>
    <row r="186" ht="15.75" customHeight="1">
      <c r="A186" s="1">
        <f>IFERROR(__xludf.DUMMYFUNCTION("""COMPUTED_VALUE"""),45265.66666666667)</f>
        <v>45265.66667</v>
      </c>
      <c r="B186" s="2">
        <f>IFERROR(__xludf.DUMMYFUNCTION("""COMPUTED_VALUE"""),1010.0)</f>
        <v>1010</v>
      </c>
      <c r="C186" s="2">
        <f>IFERROR(__xludf.DUMMYFUNCTION("""COMPUTED_VALUE"""),1035.0)</f>
        <v>1035</v>
      </c>
      <c r="D186" s="2">
        <f>IFERROR(__xludf.DUMMYFUNCTION("""COMPUTED_VALUE"""),995.0)</f>
        <v>995</v>
      </c>
      <c r="E186" s="2">
        <f>IFERROR(__xludf.DUMMYFUNCTION("""COMPUTED_VALUE"""),1025.0)</f>
        <v>1025</v>
      </c>
      <c r="F186" s="2">
        <f>IFERROR(__xludf.DUMMYFUNCTION("""COMPUTED_VALUE"""),6.16375E7)</f>
        <v>61637500</v>
      </c>
      <c r="G186" s="2">
        <f t="shared" si="1"/>
        <v>40</v>
      </c>
    </row>
    <row r="187" ht="15.75" customHeight="1">
      <c r="A187" s="1">
        <f>IFERROR(__xludf.DUMMYFUNCTION("""COMPUTED_VALUE"""),45266.66666666667)</f>
        <v>45266.66667</v>
      </c>
      <c r="B187" s="2">
        <f>IFERROR(__xludf.DUMMYFUNCTION("""COMPUTED_VALUE"""),1030.0)</f>
        <v>1030</v>
      </c>
      <c r="C187" s="2">
        <f>IFERROR(__xludf.DUMMYFUNCTION("""COMPUTED_VALUE"""),1160.0)</f>
        <v>1160</v>
      </c>
      <c r="D187" s="2">
        <f>IFERROR(__xludf.DUMMYFUNCTION("""COMPUTED_VALUE"""),1020.0)</f>
        <v>1020</v>
      </c>
      <c r="E187" s="2">
        <f>IFERROR(__xludf.DUMMYFUNCTION("""COMPUTED_VALUE"""),1100.0)</f>
        <v>1100</v>
      </c>
      <c r="F187" s="2">
        <f>IFERROR(__xludf.DUMMYFUNCTION("""COMPUTED_VALUE"""),4.022969E8)</f>
        <v>402296900</v>
      </c>
      <c r="G187" s="2">
        <f t="shared" si="1"/>
        <v>140</v>
      </c>
    </row>
    <row r="188" ht="15.75" customHeight="1">
      <c r="A188" s="1">
        <f>IFERROR(__xludf.DUMMYFUNCTION("""COMPUTED_VALUE"""),45267.66666666667)</f>
        <v>45267.66667</v>
      </c>
      <c r="B188" s="2">
        <f>IFERROR(__xludf.DUMMYFUNCTION("""COMPUTED_VALUE"""),1130.0)</f>
        <v>1130</v>
      </c>
      <c r="C188" s="2">
        <f>IFERROR(__xludf.DUMMYFUNCTION("""COMPUTED_VALUE"""),1140.0)</f>
        <v>1140</v>
      </c>
      <c r="D188" s="2">
        <f>IFERROR(__xludf.DUMMYFUNCTION("""COMPUTED_VALUE"""),1070.0)</f>
        <v>1070</v>
      </c>
      <c r="E188" s="2">
        <f>IFERROR(__xludf.DUMMYFUNCTION("""COMPUTED_VALUE"""),1090.0)</f>
        <v>1090</v>
      </c>
      <c r="F188" s="2">
        <f>IFERROR(__xludf.DUMMYFUNCTION("""COMPUTED_VALUE"""),1.358324E8)</f>
        <v>135832400</v>
      </c>
      <c r="G188" s="2">
        <f t="shared" si="1"/>
        <v>70</v>
      </c>
    </row>
    <row r="189" ht="15.75" customHeight="1">
      <c r="A189" s="1">
        <f>IFERROR(__xludf.DUMMYFUNCTION("""COMPUTED_VALUE"""),45268.66666666667)</f>
        <v>45268.66667</v>
      </c>
      <c r="B189" s="2">
        <f>IFERROR(__xludf.DUMMYFUNCTION("""COMPUTED_VALUE"""),1100.0)</f>
        <v>1100</v>
      </c>
      <c r="C189" s="2">
        <f>IFERROR(__xludf.DUMMYFUNCTION("""COMPUTED_VALUE"""),1240.0)</f>
        <v>1240</v>
      </c>
      <c r="D189" s="2">
        <f>IFERROR(__xludf.DUMMYFUNCTION("""COMPUTED_VALUE"""),1090.0)</f>
        <v>1090</v>
      </c>
      <c r="E189" s="2">
        <f>IFERROR(__xludf.DUMMYFUNCTION("""COMPUTED_VALUE"""),1170.0)</f>
        <v>1170</v>
      </c>
      <c r="F189" s="2">
        <f>IFERROR(__xludf.DUMMYFUNCTION("""COMPUTED_VALUE"""),4.267119E8)</f>
        <v>426711900</v>
      </c>
      <c r="G189" s="2">
        <f t="shared" si="1"/>
        <v>150</v>
      </c>
    </row>
    <row r="190" ht="15.75" customHeight="1">
      <c r="A190" s="1">
        <f>IFERROR(__xludf.DUMMYFUNCTION("""COMPUTED_VALUE"""),45271.66666666667)</f>
        <v>45271.66667</v>
      </c>
      <c r="B190" s="2">
        <f>IFERROR(__xludf.DUMMYFUNCTION("""COMPUTED_VALUE"""),1170.0)</f>
        <v>1170</v>
      </c>
      <c r="C190" s="2">
        <f>IFERROR(__xludf.DUMMYFUNCTION("""COMPUTED_VALUE"""),1210.0)</f>
        <v>1210</v>
      </c>
      <c r="D190" s="2">
        <f>IFERROR(__xludf.DUMMYFUNCTION("""COMPUTED_VALUE"""),1105.0)</f>
        <v>1105</v>
      </c>
      <c r="E190" s="2">
        <f>IFERROR(__xludf.DUMMYFUNCTION("""COMPUTED_VALUE"""),1115.0)</f>
        <v>1115</v>
      </c>
      <c r="F190" s="2">
        <f>IFERROR(__xludf.DUMMYFUNCTION("""COMPUTED_VALUE"""),1.605305E8)</f>
        <v>160530500</v>
      </c>
      <c r="G190" s="2">
        <f t="shared" si="1"/>
        <v>105</v>
      </c>
    </row>
    <row r="191" ht="15.75" customHeight="1">
      <c r="A191" s="1">
        <f>IFERROR(__xludf.DUMMYFUNCTION("""COMPUTED_VALUE"""),45272.66666666667)</f>
        <v>45272.66667</v>
      </c>
      <c r="B191" s="2">
        <f>IFERROR(__xludf.DUMMYFUNCTION("""COMPUTED_VALUE"""),1120.0)</f>
        <v>1120</v>
      </c>
      <c r="C191" s="2">
        <f>IFERROR(__xludf.DUMMYFUNCTION("""COMPUTED_VALUE"""),1140.0)</f>
        <v>1140</v>
      </c>
      <c r="D191" s="2">
        <f>IFERROR(__xludf.DUMMYFUNCTION("""COMPUTED_VALUE"""),1030.0)</f>
        <v>1030</v>
      </c>
      <c r="E191" s="2">
        <f>IFERROR(__xludf.DUMMYFUNCTION("""COMPUTED_VALUE"""),1075.0)</f>
        <v>1075</v>
      </c>
      <c r="F191" s="2">
        <f>IFERROR(__xludf.DUMMYFUNCTION("""COMPUTED_VALUE"""),1.903671E8)</f>
        <v>190367100</v>
      </c>
      <c r="G191" s="2">
        <f t="shared" si="1"/>
        <v>110</v>
      </c>
    </row>
    <row r="192" ht="15.75" customHeight="1">
      <c r="A192" s="1">
        <f>IFERROR(__xludf.DUMMYFUNCTION("""COMPUTED_VALUE"""),45273.66666666667)</f>
        <v>45273.66667</v>
      </c>
      <c r="B192" s="2">
        <f>IFERROR(__xludf.DUMMYFUNCTION("""COMPUTED_VALUE"""),1080.0)</f>
        <v>1080</v>
      </c>
      <c r="C192" s="2">
        <f>IFERROR(__xludf.DUMMYFUNCTION("""COMPUTED_VALUE"""),1275.0)</f>
        <v>1275</v>
      </c>
      <c r="D192" s="2">
        <f>IFERROR(__xludf.DUMMYFUNCTION("""COMPUTED_VALUE"""),1080.0)</f>
        <v>1080</v>
      </c>
      <c r="E192" s="2">
        <f>IFERROR(__xludf.DUMMYFUNCTION("""COMPUTED_VALUE"""),1225.0)</f>
        <v>1225</v>
      </c>
      <c r="F192" s="2">
        <f>IFERROR(__xludf.DUMMYFUNCTION("""COMPUTED_VALUE"""),6.964489E8)</f>
        <v>696448900</v>
      </c>
      <c r="G192" s="2">
        <f t="shared" si="1"/>
        <v>200</v>
      </c>
    </row>
    <row r="193" ht="15.75" customHeight="1">
      <c r="A193" s="1">
        <f>IFERROR(__xludf.DUMMYFUNCTION("""COMPUTED_VALUE"""),45274.66666666667)</f>
        <v>45274.66667</v>
      </c>
      <c r="B193" s="2">
        <f>IFERROR(__xludf.DUMMYFUNCTION("""COMPUTED_VALUE"""),1240.0)</f>
        <v>1240</v>
      </c>
      <c r="C193" s="2">
        <f>IFERROR(__xludf.DUMMYFUNCTION("""COMPUTED_VALUE"""),1275.0)</f>
        <v>1275</v>
      </c>
      <c r="D193" s="2">
        <f>IFERROR(__xludf.DUMMYFUNCTION("""COMPUTED_VALUE"""),1195.0)</f>
        <v>1195</v>
      </c>
      <c r="E193" s="2">
        <f>IFERROR(__xludf.DUMMYFUNCTION("""COMPUTED_VALUE"""),1245.0)</f>
        <v>1245</v>
      </c>
      <c r="F193" s="2">
        <f>IFERROR(__xludf.DUMMYFUNCTION("""COMPUTED_VALUE"""),3.624576E8)</f>
        <v>362457600</v>
      </c>
      <c r="G193" s="2">
        <f t="shared" si="1"/>
        <v>80</v>
      </c>
    </row>
    <row r="194" ht="15.75" customHeight="1">
      <c r="A194" s="1">
        <f>IFERROR(__xludf.DUMMYFUNCTION("""COMPUTED_VALUE"""),45275.66666666667)</f>
        <v>45275.66667</v>
      </c>
      <c r="B194" s="2">
        <f>IFERROR(__xludf.DUMMYFUNCTION("""COMPUTED_VALUE"""),1250.0)</f>
        <v>1250</v>
      </c>
      <c r="C194" s="2">
        <f>IFERROR(__xludf.DUMMYFUNCTION("""COMPUTED_VALUE"""),1325.0)</f>
        <v>1325</v>
      </c>
      <c r="D194" s="2">
        <f>IFERROR(__xludf.DUMMYFUNCTION("""COMPUTED_VALUE"""),1235.0)</f>
        <v>1235</v>
      </c>
      <c r="E194" s="2">
        <f>IFERROR(__xludf.DUMMYFUNCTION("""COMPUTED_VALUE"""),1305.0)</f>
        <v>1305</v>
      </c>
      <c r="F194" s="2">
        <f>IFERROR(__xludf.DUMMYFUNCTION("""COMPUTED_VALUE"""),1.939232E8)</f>
        <v>193923200</v>
      </c>
      <c r="G194" s="2">
        <f t="shared" si="1"/>
        <v>90</v>
      </c>
    </row>
    <row r="195" ht="15.75" customHeight="1">
      <c r="A195" s="1">
        <f>IFERROR(__xludf.DUMMYFUNCTION("""COMPUTED_VALUE"""),45278.66666666667)</f>
        <v>45278.66667</v>
      </c>
      <c r="B195" s="2">
        <f>IFERROR(__xludf.DUMMYFUNCTION("""COMPUTED_VALUE"""),1310.0)</f>
        <v>1310</v>
      </c>
      <c r="C195" s="2">
        <f>IFERROR(__xludf.DUMMYFUNCTION("""COMPUTED_VALUE"""),1345.0)</f>
        <v>1345</v>
      </c>
      <c r="D195" s="2">
        <f>IFERROR(__xludf.DUMMYFUNCTION("""COMPUTED_VALUE"""),1175.0)</f>
        <v>1175</v>
      </c>
      <c r="E195" s="2">
        <f>IFERROR(__xludf.DUMMYFUNCTION("""COMPUTED_VALUE"""),1200.0)</f>
        <v>1200</v>
      </c>
      <c r="F195" s="2">
        <f>IFERROR(__xludf.DUMMYFUNCTION("""COMPUTED_VALUE"""),2.218957E8)</f>
        <v>221895700</v>
      </c>
      <c r="G195" s="2">
        <f t="shared" si="1"/>
        <v>170</v>
      </c>
    </row>
    <row r="196" ht="15.75" customHeight="1">
      <c r="A196" s="1">
        <f>IFERROR(__xludf.DUMMYFUNCTION("""COMPUTED_VALUE"""),45279.66666666667)</f>
        <v>45279.66667</v>
      </c>
      <c r="B196" s="2">
        <f>IFERROR(__xludf.DUMMYFUNCTION("""COMPUTED_VALUE"""),1190.0)</f>
        <v>1190</v>
      </c>
      <c r="C196" s="2">
        <f>IFERROR(__xludf.DUMMYFUNCTION("""COMPUTED_VALUE"""),1255.0)</f>
        <v>1255</v>
      </c>
      <c r="D196" s="2">
        <f>IFERROR(__xludf.DUMMYFUNCTION("""COMPUTED_VALUE"""),1190.0)</f>
        <v>1190</v>
      </c>
      <c r="E196" s="2">
        <f>IFERROR(__xludf.DUMMYFUNCTION("""COMPUTED_VALUE"""),1230.0)</f>
        <v>1230</v>
      </c>
      <c r="F196" s="2">
        <f>IFERROR(__xludf.DUMMYFUNCTION("""COMPUTED_VALUE"""),1.157746E8)</f>
        <v>115774600</v>
      </c>
      <c r="G196" s="2">
        <f t="shared" si="1"/>
        <v>65</v>
      </c>
    </row>
    <row r="197" ht="15.75" customHeight="1">
      <c r="A197" s="1">
        <f>IFERROR(__xludf.DUMMYFUNCTION("""COMPUTED_VALUE"""),45280.66666666667)</f>
        <v>45280.66667</v>
      </c>
      <c r="B197" s="2">
        <f>IFERROR(__xludf.DUMMYFUNCTION("""COMPUTED_VALUE"""),1260.0)</f>
        <v>1260</v>
      </c>
      <c r="C197" s="2">
        <f>IFERROR(__xludf.DUMMYFUNCTION("""COMPUTED_VALUE"""),1265.0)</f>
        <v>1265</v>
      </c>
      <c r="D197" s="2">
        <f>IFERROR(__xludf.DUMMYFUNCTION("""COMPUTED_VALUE"""),1210.0)</f>
        <v>1210</v>
      </c>
      <c r="E197" s="2">
        <f>IFERROR(__xludf.DUMMYFUNCTION("""COMPUTED_VALUE"""),1225.0)</f>
        <v>1225</v>
      </c>
      <c r="F197" s="2">
        <f>IFERROR(__xludf.DUMMYFUNCTION("""COMPUTED_VALUE"""),9.06071E7)</f>
        <v>90607100</v>
      </c>
      <c r="G197" s="2">
        <f t="shared" si="1"/>
        <v>55</v>
      </c>
    </row>
    <row r="198" ht="15.75" customHeight="1">
      <c r="A198" s="1">
        <f>IFERROR(__xludf.DUMMYFUNCTION("""COMPUTED_VALUE"""),45281.66666666667)</f>
        <v>45281.66667</v>
      </c>
      <c r="B198" s="2">
        <f>IFERROR(__xludf.DUMMYFUNCTION("""COMPUTED_VALUE"""),1220.0)</f>
        <v>1220</v>
      </c>
      <c r="C198" s="2">
        <f>IFERROR(__xludf.DUMMYFUNCTION("""COMPUTED_VALUE"""),1235.0)</f>
        <v>1235</v>
      </c>
      <c r="D198" s="2">
        <f>IFERROR(__xludf.DUMMYFUNCTION("""COMPUTED_VALUE"""),1190.0)</f>
        <v>1190</v>
      </c>
      <c r="E198" s="2">
        <f>IFERROR(__xludf.DUMMYFUNCTION("""COMPUTED_VALUE"""),1225.0)</f>
        <v>1225</v>
      </c>
      <c r="F198" s="2">
        <f>IFERROR(__xludf.DUMMYFUNCTION("""COMPUTED_VALUE"""),5.16167E7)</f>
        <v>51616700</v>
      </c>
      <c r="G198" s="2">
        <f t="shared" si="1"/>
        <v>45</v>
      </c>
    </row>
    <row r="199" ht="15.75" customHeight="1">
      <c r="A199" s="1">
        <f>IFERROR(__xludf.DUMMYFUNCTION("""COMPUTED_VALUE"""),45282.66666666667)</f>
        <v>45282.66667</v>
      </c>
      <c r="B199" s="2">
        <f>IFERROR(__xludf.DUMMYFUNCTION("""COMPUTED_VALUE"""),1225.0)</f>
        <v>1225</v>
      </c>
      <c r="C199" s="2">
        <f>IFERROR(__xludf.DUMMYFUNCTION("""COMPUTED_VALUE"""),1235.0)</f>
        <v>1235</v>
      </c>
      <c r="D199" s="2">
        <f>IFERROR(__xludf.DUMMYFUNCTION("""COMPUTED_VALUE"""),1190.0)</f>
        <v>1190</v>
      </c>
      <c r="E199" s="2">
        <f>IFERROR(__xludf.DUMMYFUNCTION("""COMPUTED_VALUE"""),1190.0)</f>
        <v>1190</v>
      </c>
      <c r="F199" s="2">
        <f>IFERROR(__xludf.DUMMYFUNCTION("""COMPUTED_VALUE"""),2.71285E7)</f>
        <v>27128500</v>
      </c>
      <c r="G199" s="2">
        <f t="shared" si="1"/>
        <v>45</v>
      </c>
    </row>
    <row r="200" ht="15.75" customHeight="1">
      <c r="A200" s="1">
        <f>IFERROR(__xludf.DUMMYFUNCTION("""COMPUTED_VALUE"""),45287.66666666667)</f>
        <v>45287.66667</v>
      </c>
      <c r="B200" s="2">
        <f>IFERROR(__xludf.DUMMYFUNCTION("""COMPUTED_VALUE"""),1190.0)</f>
        <v>1190</v>
      </c>
      <c r="C200" s="2">
        <f>IFERROR(__xludf.DUMMYFUNCTION("""COMPUTED_VALUE"""),1230.0)</f>
        <v>1230</v>
      </c>
      <c r="D200" s="2">
        <f>IFERROR(__xludf.DUMMYFUNCTION("""COMPUTED_VALUE"""),1190.0)</f>
        <v>1190</v>
      </c>
      <c r="E200" s="2">
        <f>IFERROR(__xludf.DUMMYFUNCTION("""COMPUTED_VALUE"""),1195.0)</f>
        <v>1195</v>
      </c>
      <c r="F200" s="2">
        <f>IFERROR(__xludf.DUMMYFUNCTION("""COMPUTED_VALUE"""),3.83732E7)</f>
        <v>38373200</v>
      </c>
      <c r="G200" s="2">
        <f t="shared" si="1"/>
        <v>40</v>
      </c>
    </row>
    <row r="201" ht="15.75" customHeight="1">
      <c r="A201" s="1">
        <f>IFERROR(__xludf.DUMMYFUNCTION("""COMPUTED_VALUE"""),45288.66666666667)</f>
        <v>45288.66667</v>
      </c>
      <c r="B201" s="2">
        <f>IFERROR(__xludf.DUMMYFUNCTION("""COMPUTED_VALUE"""),1215.0)</f>
        <v>1215</v>
      </c>
      <c r="C201" s="2">
        <f>IFERROR(__xludf.DUMMYFUNCTION("""COMPUTED_VALUE"""),1215.0)</f>
        <v>1215</v>
      </c>
      <c r="D201" s="2">
        <f>IFERROR(__xludf.DUMMYFUNCTION("""COMPUTED_VALUE"""),1180.0)</f>
        <v>1180</v>
      </c>
      <c r="E201" s="2">
        <f>IFERROR(__xludf.DUMMYFUNCTION("""COMPUTED_VALUE"""),1185.0)</f>
        <v>1185</v>
      </c>
      <c r="F201" s="2">
        <f>IFERROR(__xludf.DUMMYFUNCTION("""COMPUTED_VALUE"""),2.93303E7)</f>
        <v>29330300</v>
      </c>
      <c r="G201" s="2">
        <f t="shared" si="1"/>
        <v>35</v>
      </c>
    </row>
    <row r="202" ht="15.75" customHeight="1">
      <c r="A202" s="1">
        <f>IFERROR(__xludf.DUMMYFUNCTION("""COMPUTED_VALUE"""),45289.66666666667)</f>
        <v>45289.66667</v>
      </c>
      <c r="B202" s="2">
        <f>IFERROR(__xludf.DUMMYFUNCTION("""COMPUTED_VALUE"""),1185.0)</f>
        <v>1185</v>
      </c>
      <c r="C202" s="2">
        <f>IFERROR(__xludf.DUMMYFUNCTION("""COMPUTED_VALUE"""),1195.0)</f>
        <v>1195</v>
      </c>
      <c r="D202" s="2">
        <f>IFERROR(__xludf.DUMMYFUNCTION("""COMPUTED_VALUE"""),1160.0)</f>
        <v>1160</v>
      </c>
      <c r="E202" s="2">
        <f>IFERROR(__xludf.DUMMYFUNCTION("""COMPUTED_VALUE"""),1170.0)</f>
        <v>1170</v>
      </c>
      <c r="F202" s="2">
        <f>IFERROR(__xludf.DUMMYFUNCTION("""COMPUTED_VALUE"""),2.65688E7)</f>
        <v>26568800</v>
      </c>
      <c r="G202" s="2">
        <f t="shared" si="1"/>
        <v>35</v>
      </c>
    </row>
    <row r="203" ht="15.75" customHeight="1">
      <c r="A203" s="1">
        <f>IFERROR(__xludf.DUMMYFUNCTION("""COMPUTED_VALUE"""),45293.66666666667)</f>
        <v>45293.66667</v>
      </c>
      <c r="B203" s="2">
        <f>IFERROR(__xludf.DUMMYFUNCTION("""COMPUTED_VALUE"""),1170.0)</f>
        <v>1170</v>
      </c>
      <c r="C203" s="2">
        <f>IFERROR(__xludf.DUMMYFUNCTION("""COMPUTED_VALUE"""),1265.0)</f>
        <v>1265</v>
      </c>
      <c r="D203" s="2">
        <f>IFERROR(__xludf.DUMMYFUNCTION("""COMPUTED_VALUE"""),1170.0)</f>
        <v>1170</v>
      </c>
      <c r="E203" s="2">
        <f>IFERROR(__xludf.DUMMYFUNCTION("""COMPUTED_VALUE"""),1265.0)</f>
        <v>1265</v>
      </c>
      <c r="F203" s="2">
        <f>IFERROR(__xludf.DUMMYFUNCTION("""COMPUTED_VALUE"""),9.50954E7)</f>
        <v>95095400</v>
      </c>
      <c r="G203" s="2">
        <f t="shared" si="1"/>
        <v>95</v>
      </c>
    </row>
    <row r="204" ht="15.75" customHeight="1">
      <c r="A204" s="1">
        <f>IFERROR(__xludf.DUMMYFUNCTION("""COMPUTED_VALUE"""),45294.66666666667)</f>
        <v>45294.66667</v>
      </c>
      <c r="B204" s="2">
        <f>IFERROR(__xludf.DUMMYFUNCTION("""COMPUTED_VALUE"""),1265.0)</f>
        <v>1265</v>
      </c>
      <c r="C204" s="2">
        <f>IFERROR(__xludf.DUMMYFUNCTION("""COMPUTED_VALUE"""),1300.0)</f>
        <v>1300</v>
      </c>
      <c r="D204" s="2">
        <f>IFERROR(__xludf.DUMMYFUNCTION("""COMPUTED_VALUE"""),1255.0)</f>
        <v>1255</v>
      </c>
      <c r="E204" s="2">
        <f>IFERROR(__xludf.DUMMYFUNCTION("""COMPUTED_VALUE"""),1280.0)</f>
        <v>1280</v>
      </c>
      <c r="F204" s="2">
        <f>IFERROR(__xludf.DUMMYFUNCTION("""COMPUTED_VALUE"""),9.3216E7)</f>
        <v>93216000</v>
      </c>
      <c r="G204" s="2">
        <f t="shared" si="1"/>
        <v>45</v>
      </c>
    </row>
    <row r="205" ht="15.75" customHeight="1">
      <c r="A205" s="1">
        <f>IFERROR(__xludf.DUMMYFUNCTION("""COMPUTED_VALUE"""),45295.66666666667)</f>
        <v>45295.66667</v>
      </c>
      <c r="B205" s="2">
        <f>IFERROR(__xludf.DUMMYFUNCTION("""COMPUTED_VALUE"""),1285.0)</f>
        <v>1285</v>
      </c>
      <c r="C205" s="2">
        <f>IFERROR(__xludf.DUMMYFUNCTION("""COMPUTED_VALUE"""),1310.0)</f>
        <v>1310</v>
      </c>
      <c r="D205" s="2">
        <f>IFERROR(__xludf.DUMMYFUNCTION("""COMPUTED_VALUE"""),1270.0)</f>
        <v>1270</v>
      </c>
      <c r="E205" s="2">
        <f>IFERROR(__xludf.DUMMYFUNCTION("""COMPUTED_VALUE"""),1285.0)</f>
        <v>1285</v>
      </c>
      <c r="F205" s="2">
        <f>IFERROR(__xludf.DUMMYFUNCTION("""COMPUTED_VALUE"""),5.64031E7)</f>
        <v>56403100</v>
      </c>
      <c r="G205" s="2">
        <f t="shared" si="1"/>
        <v>40</v>
      </c>
    </row>
    <row r="206" ht="15.75" customHeight="1">
      <c r="A206" s="1">
        <f>IFERROR(__xludf.DUMMYFUNCTION("""COMPUTED_VALUE"""),45296.66666666667)</f>
        <v>45296.66667</v>
      </c>
      <c r="B206" s="2">
        <f>IFERROR(__xludf.DUMMYFUNCTION("""COMPUTED_VALUE"""),1295.0)</f>
        <v>1295</v>
      </c>
      <c r="C206" s="2">
        <f>IFERROR(__xludf.DUMMYFUNCTION("""COMPUTED_VALUE"""),1300.0)</f>
        <v>1300</v>
      </c>
      <c r="D206" s="2">
        <f>IFERROR(__xludf.DUMMYFUNCTION("""COMPUTED_VALUE"""),1275.0)</f>
        <v>1275</v>
      </c>
      <c r="E206" s="2">
        <f>IFERROR(__xludf.DUMMYFUNCTION("""COMPUTED_VALUE"""),1280.0)</f>
        <v>1280</v>
      </c>
      <c r="F206" s="2">
        <f>IFERROR(__xludf.DUMMYFUNCTION("""COMPUTED_VALUE"""),5.20581E7)</f>
        <v>52058100</v>
      </c>
      <c r="G206" s="2">
        <f t="shared" si="1"/>
        <v>25</v>
      </c>
    </row>
    <row r="207" ht="15.75" customHeight="1">
      <c r="A207" s="1">
        <f>IFERROR(__xludf.DUMMYFUNCTION("""COMPUTED_VALUE"""),45299.66666666667)</f>
        <v>45299.66667</v>
      </c>
      <c r="B207" s="2">
        <f>IFERROR(__xludf.DUMMYFUNCTION("""COMPUTED_VALUE"""),1280.0)</f>
        <v>1280</v>
      </c>
      <c r="C207" s="2">
        <f>IFERROR(__xludf.DUMMYFUNCTION("""COMPUTED_VALUE"""),1310.0)</f>
        <v>1310</v>
      </c>
      <c r="D207" s="2">
        <f>IFERROR(__xludf.DUMMYFUNCTION("""COMPUTED_VALUE"""),1215.0)</f>
        <v>1215</v>
      </c>
      <c r="E207" s="2">
        <f>IFERROR(__xludf.DUMMYFUNCTION("""COMPUTED_VALUE"""),1230.0)</f>
        <v>1230</v>
      </c>
      <c r="F207" s="2">
        <f>IFERROR(__xludf.DUMMYFUNCTION("""COMPUTED_VALUE"""),1.141741E8)</f>
        <v>114174100</v>
      </c>
      <c r="G207" s="2">
        <f t="shared" si="1"/>
        <v>95</v>
      </c>
    </row>
    <row r="208" ht="15.75" customHeight="1">
      <c r="A208" s="1">
        <f>IFERROR(__xludf.DUMMYFUNCTION("""COMPUTED_VALUE"""),45300.66666666667)</f>
        <v>45300.66667</v>
      </c>
      <c r="B208" s="2">
        <f>IFERROR(__xludf.DUMMYFUNCTION("""COMPUTED_VALUE"""),1230.0)</f>
        <v>1230</v>
      </c>
      <c r="C208" s="2">
        <f>IFERROR(__xludf.DUMMYFUNCTION("""COMPUTED_VALUE"""),1240.0)</f>
        <v>1240</v>
      </c>
      <c r="D208" s="2">
        <f>IFERROR(__xludf.DUMMYFUNCTION("""COMPUTED_VALUE"""),1165.0)</f>
        <v>1165</v>
      </c>
      <c r="E208" s="2">
        <f>IFERROR(__xludf.DUMMYFUNCTION("""COMPUTED_VALUE"""),1175.0)</f>
        <v>1175</v>
      </c>
      <c r="F208" s="2">
        <f>IFERROR(__xludf.DUMMYFUNCTION("""COMPUTED_VALUE"""),9.80337E7)</f>
        <v>98033700</v>
      </c>
      <c r="G208" s="2">
        <f t="shared" si="1"/>
        <v>75</v>
      </c>
    </row>
    <row r="209" ht="15.75" customHeight="1">
      <c r="A209" s="1">
        <f>IFERROR(__xludf.DUMMYFUNCTION("""COMPUTED_VALUE"""),45301.66666666667)</f>
        <v>45301.66667</v>
      </c>
      <c r="B209" s="2">
        <f>IFERROR(__xludf.DUMMYFUNCTION("""COMPUTED_VALUE"""),1180.0)</f>
        <v>1180</v>
      </c>
      <c r="C209" s="2">
        <f>IFERROR(__xludf.DUMMYFUNCTION("""COMPUTED_VALUE"""),1230.0)</f>
        <v>1230</v>
      </c>
      <c r="D209" s="2">
        <f>IFERROR(__xludf.DUMMYFUNCTION("""COMPUTED_VALUE"""),1175.0)</f>
        <v>1175</v>
      </c>
      <c r="E209" s="2">
        <f>IFERROR(__xludf.DUMMYFUNCTION("""COMPUTED_VALUE"""),1200.0)</f>
        <v>1200</v>
      </c>
      <c r="F209" s="2">
        <f>IFERROR(__xludf.DUMMYFUNCTION("""COMPUTED_VALUE"""),6.93536E7)</f>
        <v>69353600</v>
      </c>
      <c r="G209" s="2">
        <f t="shared" si="1"/>
        <v>55</v>
      </c>
    </row>
    <row r="210" ht="15.75" customHeight="1">
      <c r="A210" s="1">
        <f>IFERROR(__xludf.DUMMYFUNCTION("""COMPUTED_VALUE"""),45302.66666666667)</f>
        <v>45302.66667</v>
      </c>
      <c r="B210" s="2">
        <f>IFERROR(__xludf.DUMMYFUNCTION("""COMPUTED_VALUE"""),1200.0)</f>
        <v>1200</v>
      </c>
      <c r="C210" s="2">
        <f>IFERROR(__xludf.DUMMYFUNCTION("""COMPUTED_VALUE"""),1220.0)</f>
        <v>1220</v>
      </c>
      <c r="D210" s="2">
        <f>IFERROR(__xludf.DUMMYFUNCTION("""COMPUTED_VALUE"""),1190.0)</f>
        <v>1190</v>
      </c>
      <c r="E210" s="2">
        <f>IFERROR(__xludf.DUMMYFUNCTION("""COMPUTED_VALUE"""),1205.0)</f>
        <v>1205</v>
      </c>
      <c r="F210" s="2">
        <f>IFERROR(__xludf.DUMMYFUNCTION("""COMPUTED_VALUE"""),3.81421E7)</f>
        <v>38142100</v>
      </c>
      <c r="G210" s="2">
        <f t="shared" si="1"/>
        <v>30</v>
      </c>
    </row>
    <row r="211" ht="15.75" customHeight="1">
      <c r="A211" s="1">
        <f>IFERROR(__xludf.DUMMYFUNCTION("""COMPUTED_VALUE"""),45303.66666666667)</f>
        <v>45303.66667</v>
      </c>
      <c r="B211" s="2">
        <f>IFERROR(__xludf.DUMMYFUNCTION("""COMPUTED_VALUE"""),1215.0)</f>
        <v>1215</v>
      </c>
      <c r="C211" s="2">
        <f>IFERROR(__xludf.DUMMYFUNCTION("""COMPUTED_VALUE"""),1220.0)</f>
        <v>1220</v>
      </c>
      <c r="D211" s="2">
        <f>IFERROR(__xludf.DUMMYFUNCTION("""COMPUTED_VALUE"""),1200.0)</f>
        <v>1200</v>
      </c>
      <c r="E211" s="2">
        <f>IFERROR(__xludf.DUMMYFUNCTION("""COMPUTED_VALUE"""),1205.0)</f>
        <v>1205</v>
      </c>
      <c r="F211" s="2">
        <f>IFERROR(__xludf.DUMMYFUNCTION("""COMPUTED_VALUE"""),2.48681E7)</f>
        <v>24868100</v>
      </c>
      <c r="G211" s="2">
        <f t="shared" si="1"/>
        <v>20</v>
      </c>
    </row>
    <row r="212" ht="15.75" customHeight="1">
      <c r="A212" s="1">
        <f>IFERROR(__xludf.DUMMYFUNCTION("""COMPUTED_VALUE"""),45306.66666666667)</f>
        <v>45306.66667</v>
      </c>
      <c r="B212" s="2">
        <f>IFERROR(__xludf.DUMMYFUNCTION("""COMPUTED_VALUE"""),1210.0)</f>
        <v>1210</v>
      </c>
      <c r="C212" s="2">
        <f>IFERROR(__xludf.DUMMYFUNCTION("""COMPUTED_VALUE"""),1240.0)</f>
        <v>1240</v>
      </c>
      <c r="D212" s="2">
        <f>IFERROR(__xludf.DUMMYFUNCTION("""COMPUTED_VALUE"""),1205.0)</f>
        <v>1205</v>
      </c>
      <c r="E212" s="2">
        <f>IFERROR(__xludf.DUMMYFUNCTION("""COMPUTED_VALUE"""),1225.0)</f>
        <v>1225</v>
      </c>
      <c r="F212" s="2">
        <f>IFERROR(__xludf.DUMMYFUNCTION("""COMPUTED_VALUE"""),3.35546E7)</f>
        <v>33554600</v>
      </c>
      <c r="G212" s="2">
        <f t="shared" si="1"/>
        <v>35</v>
      </c>
    </row>
    <row r="213" ht="15.75" customHeight="1">
      <c r="A213" s="1">
        <f>IFERROR(__xludf.DUMMYFUNCTION("""COMPUTED_VALUE"""),45307.66666666667)</f>
        <v>45307.66667</v>
      </c>
      <c r="B213" s="2">
        <f>IFERROR(__xludf.DUMMYFUNCTION("""COMPUTED_VALUE"""),1235.0)</f>
        <v>1235</v>
      </c>
      <c r="C213" s="2">
        <f>IFERROR(__xludf.DUMMYFUNCTION("""COMPUTED_VALUE"""),1245.0)</f>
        <v>1245</v>
      </c>
      <c r="D213" s="2">
        <f>IFERROR(__xludf.DUMMYFUNCTION("""COMPUTED_VALUE"""),1215.0)</f>
        <v>1215</v>
      </c>
      <c r="E213" s="2">
        <f>IFERROR(__xludf.DUMMYFUNCTION("""COMPUTED_VALUE"""),1245.0)</f>
        <v>1245</v>
      </c>
      <c r="F213" s="2">
        <f>IFERROR(__xludf.DUMMYFUNCTION("""COMPUTED_VALUE"""),4.36441E7)</f>
        <v>43644100</v>
      </c>
      <c r="G213" s="2">
        <f t="shared" si="1"/>
        <v>30</v>
      </c>
    </row>
    <row r="214" ht="15.75" customHeight="1">
      <c r="A214" s="1">
        <f>IFERROR(__xludf.DUMMYFUNCTION("""COMPUTED_VALUE"""),45308.66666666667)</f>
        <v>45308.66667</v>
      </c>
      <c r="B214" s="2">
        <f>IFERROR(__xludf.DUMMYFUNCTION("""COMPUTED_VALUE"""),1245.0)</f>
        <v>1245</v>
      </c>
      <c r="C214" s="2">
        <f>IFERROR(__xludf.DUMMYFUNCTION("""COMPUTED_VALUE"""),1265.0)</f>
        <v>1265</v>
      </c>
      <c r="D214" s="2">
        <f>IFERROR(__xludf.DUMMYFUNCTION("""COMPUTED_VALUE"""),1230.0)</f>
        <v>1230</v>
      </c>
      <c r="E214" s="2">
        <f>IFERROR(__xludf.DUMMYFUNCTION("""COMPUTED_VALUE"""),1260.0)</f>
        <v>1260</v>
      </c>
      <c r="F214" s="2">
        <f>IFERROR(__xludf.DUMMYFUNCTION("""COMPUTED_VALUE"""),4.83431E7)</f>
        <v>48343100</v>
      </c>
      <c r="G214" s="2">
        <f t="shared" si="1"/>
        <v>35</v>
      </c>
    </row>
    <row r="215" ht="15.75" customHeight="1">
      <c r="A215" s="1">
        <f>IFERROR(__xludf.DUMMYFUNCTION("""COMPUTED_VALUE"""),45309.66666666667)</f>
        <v>45309.66667</v>
      </c>
      <c r="B215" s="2">
        <f>IFERROR(__xludf.DUMMYFUNCTION("""COMPUTED_VALUE"""),1260.0)</f>
        <v>1260</v>
      </c>
      <c r="C215" s="2">
        <f>IFERROR(__xludf.DUMMYFUNCTION("""COMPUTED_VALUE"""),1290.0)</f>
        <v>1290</v>
      </c>
      <c r="D215" s="2">
        <f>IFERROR(__xludf.DUMMYFUNCTION("""COMPUTED_VALUE"""),1245.0)</f>
        <v>1245</v>
      </c>
      <c r="E215" s="2">
        <f>IFERROR(__xludf.DUMMYFUNCTION("""COMPUTED_VALUE"""),1250.0)</f>
        <v>1250</v>
      </c>
      <c r="F215" s="2">
        <f>IFERROR(__xludf.DUMMYFUNCTION("""COMPUTED_VALUE"""),4.95295E7)</f>
        <v>49529500</v>
      </c>
      <c r="G215" s="2">
        <f t="shared" si="1"/>
        <v>45</v>
      </c>
    </row>
    <row r="216" ht="15.75" customHeight="1">
      <c r="A216" s="1">
        <f>IFERROR(__xludf.DUMMYFUNCTION("""COMPUTED_VALUE"""),45310.66666666667)</f>
        <v>45310.66667</v>
      </c>
      <c r="B216" s="2">
        <f>IFERROR(__xludf.DUMMYFUNCTION("""COMPUTED_VALUE"""),1270.0)</f>
        <v>1270</v>
      </c>
      <c r="C216" s="2">
        <f>IFERROR(__xludf.DUMMYFUNCTION("""COMPUTED_VALUE"""),1270.0)</f>
        <v>1270</v>
      </c>
      <c r="D216" s="2">
        <f>IFERROR(__xludf.DUMMYFUNCTION("""COMPUTED_VALUE"""),1235.0)</f>
        <v>1235</v>
      </c>
      <c r="E216" s="2">
        <f>IFERROR(__xludf.DUMMYFUNCTION("""COMPUTED_VALUE"""),1240.0)</f>
        <v>1240</v>
      </c>
      <c r="F216" s="2">
        <f>IFERROR(__xludf.DUMMYFUNCTION("""COMPUTED_VALUE"""),4.3921E7)</f>
        <v>43921000</v>
      </c>
      <c r="G216" s="2">
        <f t="shared" si="1"/>
        <v>35</v>
      </c>
    </row>
    <row r="217" ht="15.75" customHeight="1">
      <c r="A217" s="1">
        <f>IFERROR(__xludf.DUMMYFUNCTION("""COMPUTED_VALUE"""),45313.66666666667)</f>
        <v>45313.66667</v>
      </c>
      <c r="B217" s="2">
        <f>IFERROR(__xludf.DUMMYFUNCTION("""COMPUTED_VALUE"""),1260.0)</f>
        <v>1260</v>
      </c>
      <c r="C217" s="2">
        <f>IFERROR(__xludf.DUMMYFUNCTION("""COMPUTED_VALUE"""),1280.0)</f>
        <v>1280</v>
      </c>
      <c r="D217" s="2">
        <f>IFERROR(__xludf.DUMMYFUNCTION("""COMPUTED_VALUE"""),1240.0)</f>
        <v>1240</v>
      </c>
      <c r="E217" s="2">
        <f>IFERROR(__xludf.DUMMYFUNCTION("""COMPUTED_VALUE"""),1240.0)</f>
        <v>1240</v>
      </c>
      <c r="F217" s="2">
        <f>IFERROR(__xludf.DUMMYFUNCTION("""COMPUTED_VALUE"""),4.45167E7)</f>
        <v>44516700</v>
      </c>
      <c r="G217" s="2">
        <f t="shared" si="1"/>
        <v>40</v>
      </c>
    </row>
    <row r="218" ht="15.75" customHeight="1">
      <c r="A218" s="1">
        <f>IFERROR(__xludf.DUMMYFUNCTION("""COMPUTED_VALUE"""),45314.66666666667)</f>
        <v>45314.66667</v>
      </c>
      <c r="B218" s="2">
        <f>IFERROR(__xludf.DUMMYFUNCTION("""COMPUTED_VALUE"""),1250.0)</f>
        <v>1250</v>
      </c>
      <c r="C218" s="2">
        <f>IFERROR(__xludf.DUMMYFUNCTION("""COMPUTED_VALUE"""),1265.0)</f>
        <v>1265</v>
      </c>
      <c r="D218" s="2">
        <f>IFERROR(__xludf.DUMMYFUNCTION("""COMPUTED_VALUE"""),1235.0)</f>
        <v>1235</v>
      </c>
      <c r="E218" s="2">
        <f>IFERROR(__xludf.DUMMYFUNCTION("""COMPUTED_VALUE"""),1245.0)</f>
        <v>1245</v>
      </c>
      <c r="F218" s="2">
        <f>IFERROR(__xludf.DUMMYFUNCTION("""COMPUTED_VALUE"""),3.90341E7)</f>
        <v>39034100</v>
      </c>
      <c r="G218" s="2">
        <f t="shared" si="1"/>
        <v>30</v>
      </c>
    </row>
    <row r="219" ht="15.75" customHeight="1">
      <c r="A219" s="1">
        <f>IFERROR(__xludf.DUMMYFUNCTION("""COMPUTED_VALUE"""),45315.66666666667)</f>
        <v>45315.66667</v>
      </c>
      <c r="B219" s="2">
        <f>IFERROR(__xludf.DUMMYFUNCTION("""COMPUTED_VALUE"""),1245.0)</f>
        <v>1245</v>
      </c>
      <c r="C219" s="2">
        <f>IFERROR(__xludf.DUMMYFUNCTION("""COMPUTED_VALUE"""),1260.0)</f>
        <v>1260</v>
      </c>
      <c r="D219" s="2">
        <f>IFERROR(__xludf.DUMMYFUNCTION("""COMPUTED_VALUE"""),1205.0)</f>
        <v>1205</v>
      </c>
      <c r="E219" s="2">
        <f>IFERROR(__xludf.DUMMYFUNCTION("""COMPUTED_VALUE"""),1240.0)</f>
        <v>1240</v>
      </c>
      <c r="F219" s="2">
        <f>IFERROR(__xludf.DUMMYFUNCTION("""COMPUTED_VALUE"""),4.97969E7)</f>
        <v>49796900</v>
      </c>
      <c r="G219" s="2">
        <f t="shared" si="1"/>
        <v>55</v>
      </c>
    </row>
    <row r="220" ht="15.75" customHeight="1">
      <c r="A220" s="1">
        <f>IFERROR(__xludf.DUMMYFUNCTION("""COMPUTED_VALUE"""),45316.66666666667)</f>
        <v>45316.66667</v>
      </c>
      <c r="B220" s="2">
        <f>IFERROR(__xludf.DUMMYFUNCTION("""COMPUTED_VALUE"""),1210.0)</f>
        <v>1210</v>
      </c>
      <c r="C220" s="2">
        <f>IFERROR(__xludf.DUMMYFUNCTION("""COMPUTED_VALUE"""),1275.0)</f>
        <v>1275</v>
      </c>
      <c r="D220" s="2">
        <f>IFERROR(__xludf.DUMMYFUNCTION("""COMPUTED_VALUE"""),1210.0)</f>
        <v>1210</v>
      </c>
      <c r="E220" s="2">
        <f>IFERROR(__xludf.DUMMYFUNCTION("""COMPUTED_VALUE"""),1255.0)</f>
        <v>1255</v>
      </c>
      <c r="F220" s="2">
        <f>IFERROR(__xludf.DUMMYFUNCTION("""COMPUTED_VALUE"""),5.27631E7)</f>
        <v>52763100</v>
      </c>
      <c r="G220" s="2">
        <f t="shared" si="1"/>
        <v>65</v>
      </c>
    </row>
    <row r="221" ht="15.75" customHeight="1">
      <c r="A221" s="1">
        <f>IFERROR(__xludf.DUMMYFUNCTION("""COMPUTED_VALUE"""),45317.66666666667)</f>
        <v>45317.66667</v>
      </c>
      <c r="B221" s="2">
        <f>IFERROR(__xludf.DUMMYFUNCTION("""COMPUTED_VALUE"""),1285.0)</f>
        <v>1285</v>
      </c>
      <c r="C221" s="2">
        <f>IFERROR(__xludf.DUMMYFUNCTION("""COMPUTED_VALUE"""),1500.0)</f>
        <v>1500</v>
      </c>
      <c r="D221" s="2">
        <f>IFERROR(__xludf.DUMMYFUNCTION("""COMPUTED_VALUE"""),1275.0)</f>
        <v>1275</v>
      </c>
      <c r="E221" s="2">
        <f>IFERROR(__xludf.DUMMYFUNCTION("""COMPUTED_VALUE"""),1320.0)</f>
        <v>1320</v>
      </c>
      <c r="F221" s="2">
        <f>IFERROR(__xludf.DUMMYFUNCTION("""COMPUTED_VALUE"""),1.494506E8)</f>
        <v>149450600</v>
      </c>
      <c r="G221" s="2">
        <f t="shared" si="1"/>
        <v>245</v>
      </c>
    </row>
    <row r="222" ht="15.75" customHeight="1">
      <c r="A222" s="1">
        <f>IFERROR(__xludf.DUMMYFUNCTION("""COMPUTED_VALUE"""),45320.66666666667)</f>
        <v>45320.66667</v>
      </c>
      <c r="B222" s="2">
        <f>IFERROR(__xludf.DUMMYFUNCTION("""COMPUTED_VALUE"""),1320.0)</f>
        <v>1320</v>
      </c>
      <c r="C222" s="2">
        <f>IFERROR(__xludf.DUMMYFUNCTION("""COMPUTED_VALUE"""),1340.0)</f>
        <v>1340</v>
      </c>
      <c r="D222" s="2">
        <f>IFERROR(__xludf.DUMMYFUNCTION("""COMPUTED_VALUE"""),1300.0)</f>
        <v>1300</v>
      </c>
      <c r="E222" s="2">
        <f>IFERROR(__xludf.DUMMYFUNCTION("""COMPUTED_VALUE"""),1315.0)</f>
        <v>1315</v>
      </c>
      <c r="F222" s="2">
        <f>IFERROR(__xludf.DUMMYFUNCTION("""COMPUTED_VALUE"""),4.6225E7)</f>
        <v>46225000</v>
      </c>
      <c r="G222" s="2">
        <f t="shared" si="1"/>
        <v>40</v>
      </c>
    </row>
    <row r="223" ht="15.75" customHeight="1">
      <c r="A223" s="1">
        <f>IFERROR(__xludf.DUMMYFUNCTION("""COMPUTED_VALUE"""),45321.66666666667)</f>
        <v>45321.66667</v>
      </c>
      <c r="B223" s="2">
        <f>IFERROR(__xludf.DUMMYFUNCTION("""COMPUTED_VALUE"""),1315.0)</f>
        <v>1315</v>
      </c>
      <c r="C223" s="2">
        <f>IFERROR(__xludf.DUMMYFUNCTION("""COMPUTED_VALUE"""),1340.0)</f>
        <v>1340</v>
      </c>
      <c r="D223" s="2">
        <f>IFERROR(__xludf.DUMMYFUNCTION("""COMPUTED_VALUE"""),1300.0)</f>
        <v>1300</v>
      </c>
      <c r="E223" s="2">
        <f>IFERROR(__xludf.DUMMYFUNCTION("""COMPUTED_VALUE"""),1315.0)</f>
        <v>1315</v>
      </c>
      <c r="F223" s="2">
        <f>IFERROR(__xludf.DUMMYFUNCTION("""COMPUTED_VALUE"""),3.57707E7)</f>
        <v>35770700</v>
      </c>
      <c r="G223" s="2">
        <f t="shared" si="1"/>
        <v>40</v>
      </c>
    </row>
    <row r="224" ht="15.75" customHeight="1">
      <c r="A224" s="1">
        <f>IFERROR(__xludf.DUMMYFUNCTION("""COMPUTED_VALUE"""),45322.66666666667)</f>
        <v>45322.66667</v>
      </c>
      <c r="B224" s="2">
        <f>IFERROR(__xludf.DUMMYFUNCTION("""COMPUTED_VALUE"""),1315.0)</f>
        <v>1315</v>
      </c>
      <c r="C224" s="2">
        <f>IFERROR(__xludf.DUMMYFUNCTION("""COMPUTED_VALUE"""),1340.0)</f>
        <v>1340</v>
      </c>
      <c r="D224" s="2">
        <f>IFERROR(__xludf.DUMMYFUNCTION("""COMPUTED_VALUE"""),1295.0)</f>
        <v>1295</v>
      </c>
      <c r="E224" s="2">
        <f>IFERROR(__xludf.DUMMYFUNCTION("""COMPUTED_VALUE"""),1310.0)</f>
        <v>1310</v>
      </c>
      <c r="F224" s="2">
        <f>IFERROR(__xludf.DUMMYFUNCTION("""COMPUTED_VALUE"""),7.27103E7)</f>
        <v>72710300</v>
      </c>
      <c r="G224" s="2">
        <f t="shared" si="1"/>
        <v>45</v>
      </c>
    </row>
    <row r="225" ht="15.75" customHeight="1">
      <c r="A225" s="1">
        <f>IFERROR(__xludf.DUMMYFUNCTION("""COMPUTED_VALUE"""),45323.66666666667)</f>
        <v>45323.66667</v>
      </c>
      <c r="B225" s="2">
        <f>IFERROR(__xludf.DUMMYFUNCTION("""COMPUTED_VALUE"""),1305.0)</f>
        <v>1305</v>
      </c>
      <c r="C225" s="2">
        <f>IFERROR(__xludf.DUMMYFUNCTION("""COMPUTED_VALUE"""),1325.0)</f>
        <v>1325</v>
      </c>
      <c r="D225" s="2">
        <f>IFERROR(__xludf.DUMMYFUNCTION("""COMPUTED_VALUE"""),1290.0)</f>
        <v>1290</v>
      </c>
      <c r="E225" s="2">
        <f>IFERROR(__xludf.DUMMYFUNCTION("""COMPUTED_VALUE"""),1315.0)</f>
        <v>1315</v>
      </c>
      <c r="F225" s="2">
        <f>IFERROR(__xludf.DUMMYFUNCTION("""COMPUTED_VALUE"""),3.43282E7)</f>
        <v>34328200</v>
      </c>
      <c r="G225" s="2">
        <f t="shared" si="1"/>
        <v>35</v>
      </c>
    </row>
    <row r="226" ht="15.75" customHeight="1">
      <c r="A226" s="1">
        <f>IFERROR(__xludf.DUMMYFUNCTION("""COMPUTED_VALUE"""),45324.66666666667)</f>
        <v>45324.66667</v>
      </c>
      <c r="B226" s="2">
        <f>IFERROR(__xludf.DUMMYFUNCTION("""COMPUTED_VALUE"""),1315.0)</f>
        <v>1315</v>
      </c>
      <c r="C226" s="2">
        <f>IFERROR(__xludf.DUMMYFUNCTION("""COMPUTED_VALUE"""),1320.0)</f>
        <v>1320</v>
      </c>
      <c r="D226" s="2">
        <f>IFERROR(__xludf.DUMMYFUNCTION("""COMPUTED_VALUE"""),1285.0)</f>
        <v>1285</v>
      </c>
      <c r="E226" s="2">
        <f>IFERROR(__xludf.DUMMYFUNCTION("""COMPUTED_VALUE"""),1285.0)</f>
        <v>1285</v>
      </c>
      <c r="F226" s="2">
        <f>IFERROR(__xludf.DUMMYFUNCTION("""COMPUTED_VALUE"""),2.51522E7)</f>
        <v>25152200</v>
      </c>
      <c r="G226" s="2">
        <f t="shared" si="1"/>
        <v>35</v>
      </c>
    </row>
    <row r="227" ht="15.75" customHeight="1">
      <c r="A227" s="1">
        <f>IFERROR(__xludf.DUMMYFUNCTION("""COMPUTED_VALUE"""),45327.66666666667)</f>
        <v>45327.66667</v>
      </c>
      <c r="B227" s="2">
        <f>IFERROR(__xludf.DUMMYFUNCTION("""COMPUTED_VALUE"""),1285.0)</f>
        <v>1285</v>
      </c>
      <c r="C227" s="2">
        <f>IFERROR(__xludf.DUMMYFUNCTION("""COMPUTED_VALUE"""),1285.0)</f>
        <v>1285</v>
      </c>
      <c r="D227" s="2">
        <f>IFERROR(__xludf.DUMMYFUNCTION("""COMPUTED_VALUE"""),1215.0)</f>
        <v>1215</v>
      </c>
      <c r="E227" s="2">
        <f>IFERROR(__xludf.DUMMYFUNCTION("""COMPUTED_VALUE"""),1220.0)</f>
        <v>1220</v>
      </c>
      <c r="F227" s="2">
        <f>IFERROR(__xludf.DUMMYFUNCTION("""COMPUTED_VALUE"""),6.81702E7)</f>
        <v>68170200</v>
      </c>
      <c r="G227" s="2">
        <f t="shared" si="1"/>
        <v>70</v>
      </c>
    </row>
    <row r="228" ht="15.75" customHeight="1">
      <c r="A228" s="1">
        <f>IFERROR(__xludf.DUMMYFUNCTION("""COMPUTED_VALUE"""),45328.66666666667)</f>
        <v>45328.66667</v>
      </c>
      <c r="B228" s="2">
        <f>IFERROR(__xludf.DUMMYFUNCTION("""COMPUTED_VALUE"""),1230.0)</f>
        <v>1230</v>
      </c>
      <c r="C228" s="2">
        <f>IFERROR(__xludf.DUMMYFUNCTION("""COMPUTED_VALUE"""),1240.0)</f>
        <v>1240</v>
      </c>
      <c r="D228" s="2">
        <f>IFERROR(__xludf.DUMMYFUNCTION("""COMPUTED_VALUE"""),1205.0)</f>
        <v>1205</v>
      </c>
      <c r="E228" s="2">
        <f>IFERROR(__xludf.DUMMYFUNCTION("""COMPUTED_VALUE"""),1220.0)</f>
        <v>1220</v>
      </c>
      <c r="F228" s="2">
        <f>IFERROR(__xludf.DUMMYFUNCTION("""COMPUTED_VALUE"""),2.9326E7)</f>
        <v>29326000</v>
      </c>
      <c r="G228" s="2">
        <f t="shared" si="1"/>
        <v>35</v>
      </c>
    </row>
    <row r="229" ht="15.75" customHeight="1">
      <c r="A229" s="1">
        <f>IFERROR(__xludf.DUMMYFUNCTION("""COMPUTED_VALUE"""),45329.66666666667)</f>
        <v>45329.66667</v>
      </c>
      <c r="B229" s="2">
        <f>IFERROR(__xludf.DUMMYFUNCTION("""COMPUTED_VALUE"""),1225.0)</f>
        <v>1225</v>
      </c>
      <c r="C229" s="2">
        <f>IFERROR(__xludf.DUMMYFUNCTION("""COMPUTED_VALUE"""),1230.0)</f>
        <v>1230</v>
      </c>
      <c r="D229" s="2">
        <f>IFERROR(__xludf.DUMMYFUNCTION("""COMPUTED_VALUE"""),1175.0)</f>
        <v>1175</v>
      </c>
      <c r="E229" s="2">
        <f>IFERROR(__xludf.DUMMYFUNCTION("""COMPUTED_VALUE"""),1180.0)</f>
        <v>1180</v>
      </c>
      <c r="F229" s="2">
        <f>IFERROR(__xludf.DUMMYFUNCTION("""COMPUTED_VALUE"""),5.81346E7)</f>
        <v>58134600</v>
      </c>
      <c r="G229" s="2">
        <f t="shared" si="1"/>
        <v>55</v>
      </c>
    </row>
    <row r="230" ht="15.75" customHeight="1">
      <c r="A230" s="1">
        <f>IFERROR(__xludf.DUMMYFUNCTION("""COMPUTED_VALUE"""),45334.66666666667)</f>
        <v>45334.66667</v>
      </c>
      <c r="B230" s="2">
        <f>IFERROR(__xludf.DUMMYFUNCTION("""COMPUTED_VALUE"""),1180.0)</f>
        <v>1180</v>
      </c>
      <c r="C230" s="2">
        <f>IFERROR(__xludf.DUMMYFUNCTION("""COMPUTED_VALUE"""),1230.0)</f>
        <v>1230</v>
      </c>
      <c r="D230" s="2">
        <f>IFERROR(__xludf.DUMMYFUNCTION("""COMPUTED_VALUE"""),1160.0)</f>
        <v>1160</v>
      </c>
      <c r="E230" s="2">
        <f>IFERROR(__xludf.DUMMYFUNCTION("""COMPUTED_VALUE"""),1215.0)</f>
        <v>1215</v>
      </c>
      <c r="F230" s="2">
        <f>IFERROR(__xludf.DUMMYFUNCTION("""COMPUTED_VALUE"""),3.65339E7)</f>
        <v>36533900</v>
      </c>
      <c r="G230" s="2">
        <f t="shared" si="1"/>
        <v>70</v>
      </c>
    </row>
    <row r="231" ht="15.75" customHeight="1">
      <c r="A231" s="1">
        <f>IFERROR(__xludf.DUMMYFUNCTION("""COMPUTED_VALUE"""),45335.66666666667)</f>
        <v>45335.66667</v>
      </c>
      <c r="B231" s="2">
        <f>IFERROR(__xludf.DUMMYFUNCTION("""COMPUTED_VALUE"""),1230.0)</f>
        <v>1230</v>
      </c>
      <c r="C231" s="2">
        <f>IFERROR(__xludf.DUMMYFUNCTION("""COMPUTED_VALUE"""),1230.0)</f>
        <v>1230</v>
      </c>
      <c r="D231" s="2">
        <f>IFERROR(__xludf.DUMMYFUNCTION("""COMPUTED_VALUE"""),1200.0)</f>
        <v>1200</v>
      </c>
      <c r="E231" s="2">
        <f>IFERROR(__xludf.DUMMYFUNCTION("""COMPUTED_VALUE"""),1210.0)</f>
        <v>1210</v>
      </c>
      <c r="F231" s="2">
        <f>IFERROR(__xludf.DUMMYFUNCTION("""COMPUTED_VALUE"""),2.59169E7)</f>
        <v>25916900</v>
      </c>
      <c r="G231" s="2">
        <f t="shared" si="1"/>
        <v>30</v>
      </c>
    </row>
    <row r="232" ht="15.75" customHeight="1">
      <c r="A232" s="1">
        <f>IFERROR(__xludf.DUMMYFUNCTION("""COMPUTED_VALUE"""),45337.66666666667)</f>
        <v>45337.66667</v>
      </c>
      <c r="B232" s="2">
        <f>IFERROR(__xludf.DUMMYFUNCTION("""COMPUTED_VALUE"""),1220.0)</f>
        <v>1220</v>
      </c>
      <c r="C232" s="2">
        <f>IFERROR(__xludf.DUMMYFUNCTION("""COMPUTED_VALUE"""),1235.0)</f>
        <v>1235</v>
      </c>
      <c r="D232" s="2">
        <f>IFERROR(__xludf.DUMMYFUNCTION("""COMPUTED_VALUE"""),1215.0)</f>
        <v>1215</v>
      </c>
      <c r="E232" s="2">
        <f>IFERROR(__xludf.DUMMYFUNCTION("""COMPUTED_VALUE"""),1235.0)</f>
        <v>1235</v>
      </c>
      <c r="F232" s="2">
        <f>IFERROR(__xludf.DUMMYFUNCTION("""COMPUTED_VALUE"""),2.31349E7)</f>
        <v>23134900</v>
      </c>
      <c r="G232" s="2">
        <f t="shared" si="1"/>
        <v>25</v>
      </c>
    </row>
    <row r="233" ht="15.75" customHeight="1">
      <c r="A233" s="1">
        <f>IFERROR(__xludf.DUMMYFUNCTION("""COMPUTED_VALUE"""),45338.66666666667)</f>
        <v>45338.66667</v>
      </c>
      <c r="B233" s="2">
        <f>IFERROR(__xludf.DUMMYFUNCTION("""COMPUTED_VALUE"""),1240.0)</f>
        <v>1240</v>
      </c>
      <c r="C233" s="2">
        <f>IFERROR(__xludf.DUMMYFUNCTION("""COMPUTED_VALUE"""),1240.0)</f>
        <v>1240</v>
      </c>
      <c r="D233" s="2">
        <f>IFERROR(__xludf.DUMMYFUNCTION("""COMPUTED_VALUE"""),1205.0)</f>
        <v>1205</v>
      </c>
      <c r="E233" s="2">
        <f>IFERROR(__xludf.DUMMYFUNCTION("""COMPUTED_VALUE"""),1205.0)</f>
        <v>1205</v>
      </c>
      <c r="F233" s="2">
        <f>IFERROR(__xludf.DUMMYFUNCTION("""COMPUTED_VALUE"""),1.95132E7)</f>
        <v>19513200</v>
      </c>
      <c r="G233" s="2">
        <f t="shared" si="1"/>
        <v>35</v>
      </c>
    </row>
    <row r="234" ht="15.75" customHeight="1">
      <c r="A234" s="1">
        <f>IFERROR(__xludf.DUMMYFUNCTION("""COMPUTED_VALUE"""),45341.66666666667)</f>
        <v>45341.66667</v>
      </c>
      <c r="B234" s="2">
        <f>IFERROR(__xludf.DUMMYFUNCTION("""COMPUTED_VALUE"""),1200.0)</f>
        <v>1200</v>
      </c>
      <c r="C234" s="2">
        <f>IFERROR(__xludf.DUMMYFUNCTION("""COMPUTED_VALUE"""),1230.0)</f>
        <v>1230</v>
      </c>
      <c r="D234" s="2">
        <f>IFERROR(__xludf.DUMMYFUNCTION("""COMPUTED_VALUE"""),1190.0)</f>
        <v>1190</v>
      </c>
      <c r="E234" s="2">
        <f>IFERROR(__xludf.DUMMYFUNCTION("""COMPUTED_VALUE"""),1210.0)</f>
        <v>1210</v>
      </c>
      <c r="F234" s="2">
        <f>IFERROR(__xludf.DUMMYFUNCTION("""COMPUTED_VALUE"""),1.60187E7)</f>
        <v>16018700</v>
      </c>
      <c r="G234" s="2">
        <f t="shared" si="1"/>
        <v>40</v>
      </c>
    </row>
    <row r="235" ht="15.75" customHeight="1">
      <c r="A235" s="1">
        <f>IFERROR(__xludf.DUMMYFUNCTION("""COMPUTED_VALUE"""),45342.66666666667)</f>
        <v>45342.66667</v>
      </c>
      <c r="B235" s="2">
        <f>IFERROR(__xludf.DUMMYFUNCTION("""COMPUTED_VALUE"""),1210.0)</f>
        <v>1210</v>
      </c>
      <c r="C235" s="2">
        <f>IFERROR(__xludf.DUMMYFUNCTION("""COMPUTED_VALUE"""),1215.0)</f>
        <v>1215</v>
      </c>
      <c r="D235" s="2">
        <f>IFERROR(__xludf.DUMMYFUNCTION("""COMPUTED_VALUE"""),1185.0)</f>
        <v>1185</v>
      </c>
      <c r="E235" s="2">
        <f>IFERROR(__xludf.DUMMYFUNCTION("""COMPUTED_VALUE"""),1195.0)</f>
        <v>1195</v>
      </c>
      <c r="F235" s="2">
        <f>IFERROR(__xludf.DUMMYFUNCTION("""COMPUTED_VALUE"""),1.914E7)</f>
        <v>19140000</v>
      </c>
      <c r="G235" s="2">
        <f t="shared" si="1"/>
        <v>30</v>
      </c>
    </row>
    <row r="236" ht="15.75" customHeight="1">
      <c r="A236" s="1">
        <f>IFERROR(__xludf.DUMMYFUNCTION("""COMPUTED_VALUE"""),45343.66666666667)</f>
        <v>45343.66667</v>
      </c>
      <c r="B236" s="2">
        <f>IFERROR(__xludf.DUMMYFUNCTION("""COMPUTED_VALUE"""),1195.0)</f>
        <v>1195</v>
      </c>
      <c r="C236" s="2">
        <f>IFERROR(__xludf.DUMMYFUNCTION("""COMPUTED_VALUE"""),1195.0)</f>
        <v>1195</v>
      </c>
      <c r="D236" s="2">
        <f>IFERROR(__xludf.DUMMYFUNCTION("""COMPUTED_VALUE"""),1175.0)</f>
        <v>1175</v>
      </c>
      <c r="E236" s="2">
        <f>IFERROR(__xludf.DUMMYFUNCTION("""COMPUTED_VALUE"""),1180.0)</f>
        <v>1180</v>
      </c>
      <c r="F236" s="2">
        <f>IFERROR(__xludf.DUMMYFUNCTION("""COMPUTED_VALUE"""),2.32259E7)</f>
        <v>23225900</v>
      </c>
      <c r="G236" s="2">
        <f t="shared" si="1"/>
        <v>20</v>
      </c>
    </row>
    <row r="237" ht="15.75" customHeight="1">
      <c r="A237" s="1">
        <f>IFERROR(__xludf.DUMMYFUNCTION("""COMPUTED_VALUE"""),45344.66666666667)</f>
        <v>45344.66667</v>
      </c>
      <c r="B237" s="2">
        <f>IFERROR(__xludf.DUMMYFUNCTION("""COMPUTED_VALUE"""),1180.0)</f>
        <v>1180</v>
      </c>
      <c r="C237" s="2">
        <f>IFERROR(__xludf.DUMMYFUNCTION("""COMPUTED_VALUE"""),1215.0)</f>
        <v>1215</v>
      </c>
      <c r="D237" s="2">
        <f>IFERROR(__xludf.DUMMYFUNCTION("""COMPUTED_VALUE"""),1180.0)</f>
        <v>1180</v>
      </c>
      <c r="E237" s="2">
        <f>IFERROR(__xludf.DUMMYFUNCTION("""COMPUTED_VALUE"""),1205.0)</f>
        <v>1205</v>
      </c>
      <c r="F237" s="2">
        <f>IFERROR(__xludf.DUMMYFUNCTION("""COMPUTED_VALUE"""),1.96969E7)</f>
        <v>19696900</v>
      </c>
      <c r="G237" s="2">
        <f t="shared" si="1"/>
        <v>35</v>
      </c>
    </row>
    <row r="238" ht="15.75" customHeight="1">
      <c r="A238" s="1">
        <f>IFERROR(__xludf.DUMMYFUNCTION("""COMPUTED_VALUE"""),45345.66666666667)</f>
        <v>45345.66667</v>
      </c>
      <c r="B238" s="2">
        <f>IFERROR(__xludf.DUMMYFUNCTION("""COMPUTED_VALUE"""),1220.0)</f>
        <v>1220</v>
      </c>
      <c r="C238" s="2">
        <f>IFERROR(__xludf.DUMMYFUNCTION("""COMPUTED_VALUE"""),1235.0)</f>
        <v>1235</v>
      </c>
      <c r="D238" s="2">
        <f>IFERROR(__xludf.DUMMYFUNCTION("""COMPUTED_VALUE"""),1200.0)</f>
        <v>1200</v>
      </c>
      <c r="E238" s="2">
        <f>IFERROR(__xludf.DUMMYFUNCTION("""COMPUTED_VALUE"""),1225.0)</f>
        <v>1225</v>
      </c>
      <c r="F238" s="2">
        <f>IFERROR(__xludf.DUMMYFUNCTION("""COMPUTED_VALUE"""),2.48461E7)</f>
        <v>24846100</v>
      </c>
      <c r="G238" s="2">
        <f t="shared" si="1"/>
        <v>35</v>
      </c>
    </row>
    <row r="239" ht="15.75" customHeight="1">
      <c r="A239" s="1">
        <f>IFERROR(__xludf.DUMMYFUNCTION("""COMPUTED_VALUE"""),45348.66666666667)</f>
        <v>45348.66667</v>
      </c>
      <c r="B239" s="2">
        <f>IFERROR(__xludf.DUMMYFUNCTION("""COMPUTED_VALUE"""),1230.0)</f>
        <v>1230</v>
      </c>
      <c r="C239" s="2">
        <f>IFERROR(__xludf.DUMMYFUNCTION("""COMPUTED_VALUE"""),1245.0)</f>
        <v>1245</v>
      </c>
      <c r="D239" s="2">
        <f>IFERROR(__xludf.DUMMYFUNCTION("""COMPUTED_VALUE"""),1225.0)</f>
        <v>1225</v>
      </c>
      <c r="E239" s="2">
        <f>IFERROR(__xludf.DUMMYFUNCTION("""COMPUTED_VALUE"""),1230.0)</f>
        <v>1230</v>
      </c>
      <c r="F239" s="2">
        <f>IFERROR(__xludf.DUMMYFUNCTION("""COMPUTED_VALUE"""),2.11639E7)</f>
        <v>21163900</v>
      </c>
      <c r="G239" s="2">
        <f t="shared" si="1"/>
        <v>20</v>
      </c>
    </row>
    <row r="240" ht="15.75" customHeight="1">
      <c r="A240" s="1">
        <f>IFERROR(__xludf.DUMMYFUNCTION("""COMPUTED_VALUE"""),45349.66666666667)</f>
        <v>45349.66667</v>
      </c>
      <c r="B240" s="2">
        <f>IFERROR(__xludf.DUMMYFUNCTION("""COMPUTED_VALUE"""),1230.0)</f>
        <v>1230</v>
      </c>
      <c r="C240" s="2">
        <f>IFERROR(__xludf.DUMMYFUNCTION("""COMPUTED_VALUE"""),1240.0)</f>
        <v>1240</v>
      </c>
      <c r="D240" s="2">
        <f>IFERROR(__xludf.DUMMYFUNCTION("""COMPUTED_VALUE"""),1215.0)</f>
        <v>1215</v>
      </c>
      <c r="E240" s="2">
        <f>IFERROR(__xludf.DUMMYFUNCTION("""COMPUTED_VALUE"""),1220.0)</f>
        <v>1220</v>
      </c>
      <c r="F240" s="2">
        <f>IFERROR(__xludf.DUMMYFUNCTION("""COMPUTED_VALUE"""),1.16958E7)</f>
        <v>11695800</v>
      </c>
      <c r="G240" s="2">
        <f t="shared" si="1"/>
        <v>25</v>
      </c>
    </row>
    <row r="241" ht="15.75" customHeight="1">
      <c r="A241" s="1">
        <f>IFERROR(__xludf.DUMMYFUNCTION("""COMPUTED_VALUE"""),45350.66666666667)</f>
        <v>45350.66667</v>
      </c>
      <c r="B241" s="2">
        <f>IFERROR(__xludf.DUMMYFUNCTION("""COMPUTED_VALUE"""),1220.0)</f>
        <v>1220</v>
      </c>
      <c r="C241" s="2">
        <f>IFERROR(__xludf.DUMMYFUNCTION("""COMPUTED_VALUE"""),1230.0)</f>
        <v>1230</v>
      </c>
      <c r="D241" s="2">
        <f>IFERROR(__xludf.DUMMYFUNCTION("""COMPUTED_VALUE"""),1215.0)</f>
        <v>1215</v>
      </c>
      <c r="E241" s="2">
        <f>IFERROR(__xludf.DUMMYFUNCTION("""COMPUTED_VALUE"""),1230.0)</f>
        <v>1230</v>
      </c>
      <c r="F241" s="2">
        <f>IFERROR(__xludf.DUMMYFUNCTION("""COMPUTED_VALUE"""),6991300.0)</f>
        <v>6991300</v>
      </c>
      <c r="G241" s="2">
        <f t="shared" si="1"/>
        <v>15</v>
      </c>
    </row>
    <row r="242" ht="15.75" customHeight="1">
      <c r="A242" s="1">
        <f>IFERROR(__xludf.DUMMYFUNCTION("""COMPUTED_VALUE"""),45351.66666666667)</f>
        <v>45351.66667</v>
      </c>
      <c r="B242" s="2">
        <f>IFERROR(__xludf.DUMMYFUNCTION("""COMPUTED_VALUE"""),1235.0)</f>
        <v>1235</v>
      </c>
      <c r="C242" s="2">
        <f>IFERROR(__xludf.DUMMYFUNCTION("""COMPUTED_VALUE"""),1240.0)</f>
        <v>1240</v>
      </c>
      <c r="D242" s="2">
        <f>IFERROR(__xludf.DUMMYFUNCTION("""COMPUTED_VALUE"""),1210.0)</f>
        <v>1210</v>
      </c>
      <c r="E242" s="2">
        <f>IFERROR(__xludf.DUMMYFUNCTION("""COMPUTED_VALUE"""),1210.0)</f>
        <v>1210</v>
      </c>
      <c r="F242" s="2">
        <f>IFERROR(__xludf.DUMMYFUNCTION("""COMPUTED_VALUE"""),1.50169E7)</f>
        <v>15016900</v>
      </c>
      <c r="G242" s="2">
        <f t="shared" si="1"/>
        <v>30</v>
      </c>
    </row>
    <row r="243" ht="15.75" customHeight="1">
      <c r="A243" s="1">
        <f>IFERROR(__xludf.DUMMYFUNCTION("""COMPUTED_VALUE"""),45352.66666666667)</f>
        <v>45352.66667</v>
      </c>
      <c r="B243" s="2">
        <f>IFERROR(__xludf.DUMMYFUNCTION("""COMPUTED_VALUE"""),1210.0)</f>
        <v>1210</v>
      </c>
      <c r="C243" s="2">
        <f>IFERROR(__xludf.DUMMYFUNCTION("""COMPUTED_VALUE"""),1230.0)</f>
        <v>1230</v>
      </c>
      <c r="D243" s="2">
        <f>IFERROR(__xludf.DUMMYFUNCTION("""COMPUTED_VALUE"""),1205.0)</f>
        <v>1205</v>
      </c>
      <c r="E243" s="2">
        <f>IFERROR(__xludf.DUMMYFUNCTION("""COMPUTED_VALUE"""),1220.0)</f>
        <v>1220</v>
      </c>
      <c r="F243" s="2">
        <f>IFERROR(__xludf.DUMMYFUNCTION("""COMPUTED_VALUE"""),1.31162E7)</f>
        <v>13116200</v>
      </c>
      <c r="G243" s="2">
        <f t="shared" si="1"/>
        <v>25</v>
      </c>
    </row>
    <row r="244" ht="15.75" customHeight="1">
      <c r="A244" s="1">
        <f>IFERROR(__xludf.DUMMYFUNCTION("""COMPUTED_VALUE"""),45355.66666666667)</f>
        <v>45355.66667</v>
      </c>
      <c r="B244" s="2">
        <f>IFERROR(__xludf.DUMMYFUNCTION("""COMPUTED_VALUE"""),1220.0)</f>
        <v>1220</v>
      </c>
      <c r="C244" s="2">
        <f>IFERROR(__xludf.DUMMYFUNCTION("""COMPUTED_VALUE"""),1235.0)</f>
        <v>1235</v>
      </c>
      <c r="D244" s="2">
        <f>IFERROR(__xludf.DUMMYFUNCTION("""COMPUTED_VALUE"""),1205.0)</f>
        <v>1205</v>
      </c>
      <c r="E244" s="2">
        <f>IFERROR(__xludf.DUMMYFUNCTION("""COMPUTED_VALUE"""),1210.0)</f>
        <v>1210</v>
      </c>
      <c r="F244" s="2">
        <f>IFERROR(__xludf.DUMMYFUNCTION("""COMPUTED_VALUE"""),1.40984E7)</f>
        <v>14098400</v>
      </c>
      <c r="G244" s="2">
        <f t="shared" si="1"/>
        <v>30</v>
      </c>
    </row>
    <row r="245" ht="15.75" customHeight="1">
      <c r="A245" s="1">
        <f>IFERROR(__xludf.DUMMYFUNCTION("""COMPUTED_VALUE"""),45356.66666666667)</f>
        <v>45356.66667</v>
      </c>
      <c r="B245" s="2">
        <f>IFERROR(__xludf.DUMMYFUNCTION("""COMPUTED_VALUE"""),1215.0)</f>
        <v>1215</v>
      </c>
      <c r="C245" s="2">
        <f>IFERROR(__xludf.DUMMYFUNCTION("""COMPUTED_VALUE"""),1215.0)</f>
        <v>1215</v>
      </c>
      <c r="D245" s="2">
        <f>IFERROR(__xludf.DUMMYFUNCTION("""COMPUTED_VALUE"""),1185.0)</f>
        <v>1185</v>
      </c>
      <c r="E245" s="2">
        <f>IFERROR(__xludf.DUMMYFUNCTION("""COMPUTED_VALUE"""),1195.0)</f>
        <v>1195</v>
      </c>
      <c r="F245" s="2">
        <f>IFERROR(__xludf.DUMMYFUNCTION("""COMPUTED_VALUE"""),2.01109E7)</f>
        <v>20110900</v>
      </c>
      <c r="G245" s="2">
        <f t="shared" si="1"/>
        <v>30</v>
      </c>
    </row>
    <row r="246" ht="15.75" customHeight="1">
      <c r="A246" s="1">
        <f>IFERROR(__xludf.DUMMYFUNCTION("""COMPUTED_VALUE"""),45357.66666666667)</f>
        <v>45357.66667</v>
      </c>
      <c r="B246" s="2">
        <f>IFERROR(__xludf.DUMMYFUNCTION("""COMPUTED_VALUE"""),1195.0)</f>
        <v>1195</v>
      </c>
      <c r="C246" s="2">
        <f>IFERROR(__xludf.DUMMYFUNCTION("""COMPUTED_VALUE"""),1205.0)</f>
        <v>1205</v>
      </c>
      <c r="D246" s="2">
        <f>IFERROR(__xludf.DUMMYFUNCTION("""COMPUTED_VALUE"""),1180.0)</f>
        <v>1180</v>
      </c>
      <c r="E246" s="2">
        <f>IFERROR(__xludf.DUMMYFUNCTION("""COMPUTED_VALUE"""),1195.0)</f>
        <v>1195</v>
      </c>
      <c r="F246" s="2">
        <f>IFERROR(__xludf.DUMMYFUNCTION("""COMPUTED_VALUE"""),2.23995E7)</f>
        <v>22399500</v>
      </c>
      <c r="G246" s="2">
        <f t="shared" si="1"/>
        <v>25</v>
      </c>
    </row>
    <row r="247" ht="15.75" customHeight="1">
      <c r="A247" s="1">
        <f>IFERROR(__xludf.DUMMYFUNCTION("""COMPUTED_VALUE"""),45358.66666666667)</f>
        <v>45358.66667</v>
      </c>
      <c r="B247" s="2">
        <f>IFERROR(__xludf.DUMMYFUNCTION("""COMPUTED_VALUE"""),1190.0)</f>
        <v>1190</v>
      </c>
      <c r="C247" s="2">
        <f>IFERROR(__xludf.DUMMYFUNCTION("""COMPUTED_VALUE"""),1210.0)</f>
        <v>1210</v>
      </c>
      <c r="D247" s="2">
        <f>IFERROR(__xludf.DUMMYFUNCTION("""COMPUTED_VALUE"""),1175.0)</f>
        <v>1175</v>
      </c>
      <c r="E247" s="2">
        <f>IFERROR(__xludf.DUMMYFUNCTION("""COMPUTED_VALUE"""),1200.0)</f>
        <v>1200</v>
      </c>
      <c r="F247" s="2">
        <f>IFERROR(__xludf.DUMMYFUNCTION("""COMPUTED_VALUE"""),2.65118E7)</f>
        <v>26511800</v>
      </c>
      <c r="G247" s="2">
        <f t="shared" si="1"/>
        <v>35</v>
      </c>
    </row>
    <row r="248" ht="15.75" customHeight="1">
      <c r="A248" s="1">
        <f>IFERROR(__xludf.DUMMYFUNCTION("""COMPUTED_VALUE"""),45359.66666666667)</f>
        <v>45359.66667</v>
      </c>
      <c r="B248" s="2">
        <f>IFERROR(__xludf.DUMMYFUNCTION("""COMPUTED_VALUE"""),1200.0)</f>
        <v>1200</v>
      </c>
      <c r="C248" s="2">
        <f>IFERROR(__xludf.DUMMYFUNCTION("""COMPUTED_VALUE"""),1205.0)</f>
        <v>1205</v>
      </c>
      <c r="D248" s="2">
        <f>IFERROR(__xludf.DUMMYFUNCTION("""COMPUTED_VALUE"""),1185.0)</f>
        <v>1185</v>
      </c>
      <c r="E248" s="2">
        <f>IFERROR(__xludf.DUMMYFUNCTION("""COMPUTED_VALUE"""),1185.0)</f>
        <v>1185</v>
      </c>
      <c r="F248" s="2">
        <f>IFERROR(__xludf.DUMMYFUNCTION("""COMPUTED_VALUE"""),8866400.0)</f>
        <v>8866400</v>
      </c>
      <c r="G248" s="2">
        <f t="shared" si="1"/>
        <v>20</v>
      </c>
    </row>
    <row r="249" ht="15.75" customHeight="1">
      <c r="A249" s="1">
        <f>IFERROR(__xludf.DUMMYFUNCTION("""COMPUTED_VALUE"""),45364.66666666667)</f>
        <v>45364.66667</v>
      </c>
      <c r="B249" s="2">
        <f>IFERROR(__xludf.DUMMYFUNCTION("""COMPUTED_VALUE"""),1185.0)</f>
        <v>1185</v>
      </c>
      <c r="C249" s="2">
        <f>IFERROR(__xludf.DUMMYFUNCTION("""COMPUTED_VALUE"""),1215.0)</f>
        <v>1215</v>
      </c>
      <c r="D249" s="2">
        <f>IFERROR(__xludf.DUMMYFUNCTION("""COMPUTED_VALUE"""),1185.0)</f>
        <v>1185</v>
      </c>
      <c r="E249" s="2">
        <f>IFERROR(__xludf.DUMMYFUNCTION("""COMPUTED_VALUE"""),1200.0)</f>
        <v>1200</v>
      </c>
      <c r="F249" s="2">
        <f>IFERROR(__xludf.DUMMYFUNCTION("""COMPUTED_VALUE"""),3.30093E7)</f>
        <v>33009300</v>
      </c>
      <c r="G249" s="2">
        <f t="shared" si="1"/>
        <v>30</v>
      </c>
    </row>
    <row r="250" ht="15.75" customHeight="1">
      <c r="A250" s="1">
        <f>IFERROR(__xludf.DUMMYFUNCTION("""COMPUTED_VALUE"""),45365.66666666667)</f>
        <v>45365.66667</v>
      </c>
      <c r="B250" s="2">
        <f>IFERROR(__xludf.DUMMYFUNCTION("""COMPUTED_VALUE"""),1200.0)</f>
        <v>1200</v>
      </c>
      <c r="C250" s="2">
        <f>IFERROR(__xludf.DUMMYFUNCTION("""COMPUTED_VALUE"""),1210.0)</f>
        <v>1210</v>
      </c>
      <c r="D250" s="2">
        <f>IFERROR(__xludf.DUMMYFUNCTION("""COMPUTED_VALUE"""),1185.0)</f>
        <v>1185</v>
      </c>
      <c r="E250" s="2">
        <f>IFERROR(__xludf.DUMMYFUNCTION("""COMPUTED_VALUE"""),1185.0)</f>
        <v>1185</v>
      </c>
      <c r="F250" s="2">
        <f>IFERROR(__xludf.DUMMYFUNCTION("""COMPUTED_VALUE"""),1.05877E7)</f>
        <v>10587700</v>
      </c>
      <c r="G250" s="2">
        <f t="shared" si="1"/>
        <v>25</v>
      </c>
    </row>
    <row r="251" ht="15.75" customHeight="1">
      <c r="A251" s="1">
        <f>IFERROR(__xludf.DUMMYFUNCTION("""COMPUTED_VALUE"""),45366.66666666667)</f>
        <v>45366.66667</v>
      </c>
      <c r="B251" s="2">
        <f>IFERROR(__xludf.DUMMYFUNCTION("""COMPUTED_VALUE"""),1200.0)</f>
        <v>1200</v>
      </c>
      <c r="C251" s="2">
        <f>IFERROR(__xludf.DUMMYFUNCTION("""COMPUTED_VALUE"""),1200.0)</f>
        <v>1200</v>
      </c>
      <c r="D251" s="2">
        <f>IFERROR(__xludf.DUMMYFUNCTION("""COMPUTED_VALUE"""),1180.0)</f>
        <v>1180</v>
      </c>
      <c r="E251" s="2">
        <f>IFERROR(__xludf.DUMMYFUNCTION("""COMPUTED_VALUE"""),1180.0)</f>
        <v>1180</v>
      </c>
      <c r="F251" s="2">
        <f>IFERROR(__xludf.DUMMYFUNCTION("""COMPUTED_VALUE"""),1.35016E7)</f>
        <v>13501600</v>
      </c>
      <c r="G251" s="2">
        <f t="shared" si="1"/>
        <v>20</v>
      </c>
    </row>
    <row r="252" ht="15.75" customHeight="1">
      <c r="A252" s="1">
        <f>IFERROR(__xludf.DUMMYFUNCTION("""COMPUTED_VALUE"""),45369.66666666667)</f>
        <v>45369.66667</v>
      </c>
      <c r="B252" s="2">
        <f>IFERROR(__xludf.DUMMYFUNCTION("""COMPUTED_VALUE"""),1180.0)</f>
        <v>1180</v>
      </c>
      <c r="C252" s="2">
        <f>IFERROR(__xludf.DUMMYFUNCTION("""COMPUTED_VALUE"""),1195.0)</f>
        <v>1195</v>
      </c>
      <c r="D252" s="2">
        <f>IFERROR(__xludf.DUMMYFUNCTION("""COMPUTED_VALUE"""),1180.0)</f>
        <v>1180</v>
      </c>
      <c r="E252" s="2">
        <f>IFERROR(__xludf.DUMMYFUNCTION("""COMPUTED_VALUE"""),1180.0)</f>
        <v>1180</v>
      </c>
      <c r="F252" s="2">
        <f>IFERROR(__xludf.DUMMYFUNCTION("""COMPUTED_VALUE"""),9214600.0)</f>
        <v>9214600</v>
      </c>
      <c r="G252" s="2">
        <f t="shared" si="1"/>
        <v>15</v>
      </c>
    </row>
    <row r="253" ht="15.75" customHeight="1">
      <c r="A253" s="1">
        <f>IFERROR(__xludf.DUMMYFUNCTION("""COMPUTED_VALUE"""),45370.66666666667)</f>
        <v>45370.66667</v>
      </c>
      <c r="B253" s="2">
        <f>IFERROR(__xludf.DUMMYFUNCTION("""COMPUTED_VALUE"""),1185.0)</f>
        <v>1185</v>
      </c>
      <c r="C253" s="2">
        <f>IFERROR(__xludf.DUMMYFUNCTION("""COMPUTED_VALUE"""),1190.0)</f>
        <v>1190</v>
      </c>
      <c r="D253" s="2">
        <f>IFERROR(__xludf.DUMMYFUNCTION("""COMPUTED_VALUE"""),1180.0)</f>
        <v>1180</v>
      </c>
      <c r="E253" s="2">
        <f>IFERROR(__xludf.DUMMYFUNCTION("""COMPUTED_VALUE"""),1180.0)</f>
        <v>1180</v>
      </c>
      <c r="F253" s="2">
        <f>IFERROR(__xludf.DUMMYFUNCTION("""COMPUTED_VALUE"""),7657300.0)</f>
        <v>7657300</v>
      </c>
      <c r="G253" s="2">
        <f t="shared" si="1"/>
        <v>10</v>
      </c>
    </row>
    <row r="254" ht="15.75" customHeight="1">
      <c r="A254" s="1">
        <f>IFERROR(__xludf.DUMMYFUNCTION("""COMPUTED_VALUE"""),45371.66666666667)</f>
        <v>45371.66667</v>
      </c>
      <c r="B254" s="2">
        <f>IFERROR(__xludf.DUMMYFUNCTION("""COMPUTED_VALUE"""),1185.0)</f>
        <v>1185</v>
      </c>
      <c r="C254" s="2">
        <f>IFERROR(__xludf.DUMMYFUNCTION("""COMPUTED_VALUE"""),1200.0)</f>
        <v>1200</v>
      </c>
      <c r="D254" s="2">
        <f>IFERROR(__xludf.DUMMYFUNCTION("""COMPUTED_VALUE"""),1180.0)</f>
        <v>1180</v>
      </c>
      <c r="E254" s="2">
        <f>IFERROR(__xludf.DUMMYFUNCTION("""COMPUTED_VALUE"""),1185.0)</f>
        <v>1185</v>
      </c>
      <c r="F254" s="2">
        <f>IFERROR(__xludf.DUMMYFUNCTION("""COMPUTED_VALUE"""),1.17224E7)</f>
        <v>11722400</v>
      </c>
      <c r="G254" s="2">
        <f t="shared" si="1"/>
        <v>20</v>
      </c>
    </row>
    <row r="255" ht="15.75" customHeight="1">
      <c r="A255" s="1">
        <f>IFERROR(__xludf.DUMMYFUNCTION("""COMPUTED_VALUE"""),45372.66666666667)</f>
        <v>45372.66667</v>
      </c>
      <c r="B255" s="2">
        <f>IFERROR(__xludf.DUMMYFUNCTION("""COMPUTED_VALUE"""),1185.0)</f>
        <v>1185</v>
      </c>
      <c r="C255" s="2">
        <f>IFERROR(__xludf.DUMMYFUNCTION("""COMPUTED_VALUE"""),1220.0)</f>
        <v>1220</v>
      </c>
      <c r="D255" s="2">
        <f>IFERROR(__xludf.DUMMYFUNCTION("""COMPUTED_VALUE"""),1185.0)</f>
        <v>1185</v>
      </c>
      <c r="E255" s="2">
        <f>IFERROR(__xludf.DUMMYFUNCTION("""COMPUTED_VALUE"""),1200.0)</f>
        <v>1200</v>
      </c>
      <c r="F255" s="2">
        <f>IFERROR(__xludf.DUMMYFUNCTION("""COMPUTED_VALUE"""),3.30264E7)</f>
        <v>33026400</v>
      </c>
      <c r="G255" s="2">
        <f t="shared" si="1"/>
        <v>35</v>
      </c>
    </row>
    <row r="256" ht="15.75" customHeight="1">
      <c r="A256" s="1">
        <f>IFERROR(__xludf.DUMMYFUNCTION("""COMPUTED_VALUE"""),45373.66666666667)</f>
        <v>45373.66667</v>
      </c>
      <c r="B256" s="2">
        <f>IFERROR(__xludf.DUMMYFUNCTION("""COMPUTED_VALUE"""),1200.0)</f>
        <v>1200</v>
      </c>
      <c r="C256" s="2">
        <f>IFERROR(__xludf.DUMMYFUNCTION("""COMPUTED_VALUE"""),1200.0)</f>
        <v>1200</v>
      </c>
      <c r="D256" s="2">
        <f>IFERROR(__xludf.DUMMYFUNCTION("""COMPUTED_VALUE"""),1185.0)</f>
        <v>1185</v>
      </c>
      <c r="E256" s="2">
        <f>IFERROR(__xludf.DUMMYFUNCTION("""COMPUTED_VALUE"""),1195.0)</f>
        <v>1195</v>
      </c>
      <c r="F256" s="2">
        <f>IFERROR(__xludf.DUMMYFUNCTION("""COMPUTED_VALUE"""),1.25313E7)</f>
        <v>12531300</v>
      </c>
      <c r="G256" s="2">
        <f t="shared" si="1"/>
        <v>15</v>
      </c>
    </row>
    <row r="257" ht="15.75" customHeight="1">
      <c r="A257" s="1">
        <f>IFERROR(__xludf.DUMMYFUNCTION("""COMPUTED_VALUE"""),45376.66666666667)</f>
        <v>45376.66667</v>
      </c>
      <c r="B257" s="2">
        <f>IFERROR(__xludf.DUMMYFUNCTION("""COMPUTED_VALUE"""),1200.0)</f>
        <v>1200</v>
      </c>
      <c r="C257" s="2">
        <f>IFERROR(__xludf.DUMMYFUNCTION("""COMPUTED_VALUE"""),1200.0)</f>
        <v>1200</v>
      </c>
      <c r="D257" s="2">
        <f>IFERROR(__xludf.DUMMYFUNCTION("""COMPUTED_VALUE"""),1180.0)</f>
        <v>1180</v>
      </c>
      <c r="E257" s="2">
        <f>IFERROR(__xludf.DUMMYFUNCTION("""COMPUTED_VALUE"""),1190.0)</f>
        <v>1190</v>
      </c>
      <c r="F257" s="2">
        <f>IFERROR(__xludf.DUMMYFUNCTION("""COMPUTED_VALUE"""),6744600.0)</f>
        <v>6744600</v>
      </c>
      <c r="G257" s="2">
        <f t="shared" si="1"/>
        <v>20</v>
      </c>
    </row>
    <row r="258" ht="15.75" customHeight="1">
      <c r="A258" s="1">
        <f>IFERROR(__xludf.DUMMYFUNCTION("""COMPUTED_VALUE"""),45377.66666666667)</f>
        <v>45377.66667</v>
      </c>
      <c r="B258" s="2">
        <f>IFERROR(__xludf.DUMMYFUNCTION("""COMPUTED_VALUE"""),1195.0)</f>
        <v>1195</v>
      </c>
      <c r="C258" s="2">
        <f>IFERROR(__xludf.DUMMYFUNCTION("""COMPUTED_VALUE"""),1195.0)</f>
        <v>1195</v>
      </c>
      <c r="D258" s="2">
        <f>IFERROR(__xludf.DUMMYFUNCTION("""COMPUTED_VALUE"""),1185.0)</f>
        <v>1185</v>
      </c>
      <c r="E258" s="2">
        <f>IFERROR(__xludf.DUMMYFUNCTION("""COMPUTED_VALUE"""),1190.0)</f>
        <v>1190</v>
      </c>
      <c r="F258" s="2">
        <f>IFERROR(__xludf.DUMMYFUNCTION("""COMPUTED_VALUE"""),8367800.0)</f>
        <v>8367800</v>
      </c>
      <c r="G258" s="2">
        <f t="shared" si="1"/>
        <v>10</v>
      </c>
    </row>
    <row r="259" ht="15.75" customHeight="1">
      <c r="A259" s="1">
        <f>IFERROR(__xludf.DUMMYFUNCTION("""COMPUTED_VALUE"""),45378.66666666667)</f>
        <v>45378.66667</v>
      </c>
      <c r="B259" s="2">
        <f>IFERROR(__xludf.DUMMYFUNCTION("""COMPUTED_VALUE"""),1195.0)</f>
        <v>1195</v>
      </c>
      <c r="C259" s="2">
        <f>IFERROR(__xludf.DUMMYFUNCTION("""COMPUTED_VALUE"""),1195.0)</f>
        <v>1195</v>
      </c>
      <c r="D259" s="2">
        <f>IFERROR(__xludf.DUMMYFUNCTION("""COMPUTED_VALUE"""),1175.0)</f>
        <v>1175</v>
      </c>
      <c r="E259" s="2">
        <f>IFERROR(__xludf.DUMMYFUNCTION("""COMPUTED_VALUE"""),1185.0)</f>
        <v>1185</v>
      </c>
      <c r="F259" s="2">
        <f>IFERROR(__xludf.DUMMYFUNCTION("""COMPUTED_VALUE"""),8782300.0)</f>
        <v>8782300</v>
      </c>
      <c r="G259" s="2">
        <f t="shared" si="1"/>
        <v>20</v>
      </c>
    </row>
    <row r="260" ht="15.75" customHeight="1">
      <c r="A260" s="1">
        <f>IFERROR(__xludf.DUMMYFUNCTION("""COMPUTED_VALUE"""),45379.66666666667)</f>
        <v>45379.66667</v>
      </c>
      <c r="B260" s="2">
        <f>IFERROR(__xludf.DUMMYFUNCTION("""COMPUTED_VALUE"""),1190.0)</f>
        <v>1190</v>
      </c>
      <c r="C260" s="2">
        <f>IFERROR(__xludf.DUMMYFUNCTION("""COMPUTED_VALUE"""),1195.0)</f>
        <v>1195</v>
      </c>
      <c r="D260" s="2">
        <f>IFERROR(__xludf.DUMMYFUNCTION("""COMPUTED_VALUE"""),1175.0)</f>
        <v>1175</v>
      </c>
      <c r="E260" s="2">
        <f>IFERROR(__xludf.DUMMYFUNCTION("""COMPUTED_VALUE"""),1175.0)</f>
        <v>1175</v>
      </c>
      <c r="F260" s="2">
        <f>IFERROR(__xludf.DUMMYFUNCTION("""COMPUTED_VALUE"""),5089700.0)</f>
        <v>5089700</v>
      </c>
      <c r="G260" s="2">
        <f t="shared" si="1"/>
        <v>20</v>
      </c>
    </row>
    <row r="261" ht="15.75" customHeight="1">
      <c r="A261" s="1">
        <f>IFERROR(__xludf.DUMMYFUNCTION("""COMPUTED_VALUE"""),45383.66666666667)</f>
        <v>45383.66667</v>
      </c>
      <c r="B261" s="2">
        <f>IFERROR(__xludf.DUMMYFUNCTION("""COMPUTED_VALUE"""),1175.0)</f>
        <v>1175</v>
      </c>
      <c r="C261" s="2">
        <f>IFERROR(__xludf.DUMMYFUNCTION("""COMPUTED_VALUE"""),1175.0)</f>
        <v>1175</v>
      </c>
      <c r="D261" s="2">
        <f>IFERROR(__xludf.DUMMYFUNCTION("""COMPUTED_VALUE"""),1110.0)</f>
        <v>1110</v>
      </c>
      <c r="E261" s="2">
        <f>IFERROR(__xludf.DUMMYFUNCTION("""COMPUTED_VALUE"""),1125.0)</f>
        <v>1125</v>
      </c>
      <c r="F261" s="2">
        <f>IFERROR(__xludf.DUMMYFUNCTION("""COMPUTED_VALUE"""),1.75573E7)</f>
        <v>17557300</v>
      </c>
      <c r="G261" s="2">
        <f t="shared" si="1"/>
        <v>65</v>
      </c>
    </row>
    <row r="262" ht="15.75" customHeight="1">
      <c r="A262" s="1">
        <f>IFERROR(__xludf.DUMMYFUNCTION("""COMPUTED_VALUE"""),45384.66666666667)</f>
        <v>45384.66667</v>
      </c>
      <c r="B262" s="2">
        <f>IFERROR(__xludf.DUMMYFUNCTION("""COMPUTED_VALUE"""),1125.0)</f>
        <v>1125</v>
      </c>
      <c r="C262" s="2">
        <f>IFERROR(__xludf.DUMMYFUNCTION("""COMPUTED_VALUE"""),1130.0)</f>
        <v>1130</v>
      </c>
      <c r="D262" s="2">
        <f>IFERROR(__xludf.DUMMYFUNCTION("""COMPUTED_VALUE"""),1075.0)</f>
        <v>1075</v>
      </c>
      <c r="E262" s="2">
        <f>IFERROR(__xludf.DUMMYFUNCTION("""COMPUTED_VALUE"""),1130.0)</f>
        <v>1130</v>
      </c>
      <c r="F262" s="2">
        <f>IFERROR(__xludf.DUMMYFUNCTION("""COMPUTED_VALUE"""),2.71098E7)</f>
        <v>27109800</v>
      </c>
      <c r="G262" s="2">
        <f t="shared" si="1"/>
        <v>55</v>
      </c>
    </row>
    <row r="263" ht="15.75" customHeight="1">
      <c r="A263" s="1">
        <f>IFERROR(__xludf.DUMMYFUNCTION("""COMPUTED_VALUE"""),45385.66666666667)</f>
        <v>45385.66667</v>
      </c>
      <c r="B263" s="2">
        <f>IFERROR(__xludf.DUMMYFUNCTION("""COMPUTED_VALUE"""),1135.0)</f>
        <v>1135</v>
      </c>
      <c r="C263" s="2">
        <f>IFERROR(__xludf.DUMMYFUNCTION("""COMPUTED_VALUE"""),1170.0)</f>
        <v>1170</v>
      </c>
      <c r="D263" s="2">
        <f>IFERROR(__xludf.DUMMYFUNCTION("""COMPUTED_VALUE"""),1120.0)</f>
        <v>1120</v>
      </c>
      <c r="E263" s="2">
        <f>IFERROR(__xludf.DUMMYFUNCTION("""COMPUTED_VALUE"""),1160.0)</f>
        <v>1160</v>
      </c>
      <c r="F263" s="2">
        <f>IFERROR(__xludf.DUMMYFUNCTION("""COMPUTED_VALUE"""),1.44956E7)</f>
        <v>14495600</v>
      </c>
      <c r="G263" s="2">
        <f t="shared" si="1"/>
        <v>50</v>
      </c>
    </row>
    <row r="264" ht="15.75" customHeight="1">
      <c r="A264" s="1">
        <f>IFERROR(__xludf.DUMMYFUNCTION("""COMPUTED_VALUE"""),45386.66666666667)</f>
        <v>45386.66667</v>
      </c>
      <c r="B264" s="2">
        <f>IFERROR(__xludf.DUMMYFUNCTION("""COMPUTED_VALUE"""),1160.0)</f>
        <v>1160</v>
      </c>
      <c r="C264" s="2">
        <f>IFERROR(__xludf.DUMMYFUNCTION("""COMPUTED_VALUE"""),1195.0)</f>
        <v>1195</v>
      </c>
      <c r="D264" s="2">
        <f>IFERROR(__xludf.DUMMYFUNCTION("""COMPUTED_VALUE"""),1140.0)</f>
        <v>1140</v>
      </c>
      <c r="E264" s="2">
        <f>IFERROR(__xludf.DUMMYFUNCTION("""COMPUTED_VALUE"""),1190.0)</f>
        <v>1190</v>
      </c>
      <c r="F264" s="2">
        <f>IFERROR(__xludf.DUMMYFUNCTION("""COMPUTED_VALUE"""),2.36413E7)</f>
        <v>23641300</v>
      </c>
      <c r="G264" s="2">
        <f t="shared" si="1"/>
        <v>55</v>
      </c>
    </row>
    <row r="265" ht="15.75" customHeight="1">
      <c r="A265" s="1">
        <f>IFERROR(__xludf.DUMMYFUNCTION("""COMPUTED_VALUE"""),45387.66666666667)</f>
        <v>45387.66667</v>
      </c>
      <c r="B265" s="2">
        <f>IFERROR(__xludf.DUMMYFUNCTION("""COMPUTED_VALUE"""),1190.0)</f>
        <v>1190</v>
      </c>
      <c r="C265" s="2">
        <f>IFERROR(__xludf.DUMMYFUNCTION("""COMPUTED_VALUE"""),1215.0)</f>
        <v>1215</v>
      </c>
      <c r="D265" s="2">
        <f>IFERROR(__xludf.DUMMYFUNCTION("""COMPUTED_VALUE"""),1185.0)</f>
        <v>1185</v>
      </c>
      <c r="E265" s="2">
        <f>IFERROR(__xludf.DUMMYFUNCTION("""COMPUTED_VALUE"""),1190.0)</f>
        <v>1190</v>
      </c>
      <c r="F265" s="2">
        <f>IFERROR(__xludf.DUMMYFUNCTION("""COMPUTED_VALUE"""),2.10993E7)</f>
        <v>21099300</v>
      </c>
      <c r="G265" s="2">
        <f t="shared" si="1"/>
        <v>30</v>
      </c>
    </row>
    <row r="266" ht="15.75" customHeight="1">
      <c r="A266" s="1">
        <f>IFERROR(__xludf.DUMMYFUNCTION("""COMPUTED_VALUE"""),45398.66666666667)</f>
        <v>45398.66667</v>
      </c>
      <c r="B266" s="2">
        <f>IFERROR(__xludf.DUMMYFUNCTION("""COMPUTED_VALUE"""),1190.0)</f>
        <v>1190</v>
      </c>
      <c r="C266" s="2">
        <f>IFERROR(__xludf.DUMMYFUNCTION("""COMPUTED_VALUE"""),1200.0)</f>
        <v>1200</v>
      </c>
      <c r="D266" s="2">
        <f>IFERROR(__xludf.DUMMYFUNCTION("""COMPUTED_VALUE"""),1160.0)</f>
        <v>1160</v>
      </c>
      <c r="E266" s="2">
        <f>IFERROR(__xludf.DUMMYFUNCTION("""COMPUTED_VALUE"""),1190.0)</f>
        <v>1190</v>
      </c>
      <c r="F266" s="2">
        <f>IFERROR(__xludf.DUMMYFUNCTION("""COMPUTED_VALUE"""),3.76409E7)</f>
        <v>37640900</v>
      </c>
      <c r="G266" s="2">
        <f t="shared" si="1"/>
        <v>40</v>
      </c>
    </row>
    <row r="267" ht="15.75" customHeight="1">
      <c r="A267" s="1">
        <f>IFERROR(__xludf.DUMMYFUNCTION("""COMPUTED_VALUE"""),45399.66666666667)</f>
        <v>45399.66667</v>
      </c>
      <c r="B267" s="2">
        <f>IFERROR(__xludf.DUMMYFUNCTION("""COMPUTED_VALUE"""),1195.0)</f>
        <v>1195</v>
      </c>
      <c r="C267" s="2">
        <f>IFERROR(__xludf.DUMMYFUNCTION("""COMPUTED_VALUE"""),1245.0)</f>
        <v>1245</v>
      </c>
      <c r="D267" s="2">
        <f>IFERROR(__xludf.DUMMYFUNCTION("""COMPUTED_VALUE"""),1190.0)</f>
        <v>1190</v>
      </c>
      <c r="E267" s="2">
        <f>IFERROR(__xludf.DUMMYFUNCTION("""COMPUTED_VALUE"""),1210.0)</f>
        <v>1210</v>
      </c>
      <c r="F267" s="2">
        <f>IFERROR(__xludf.DUMMYFUNCTION("""COMPUTED_VALUE"""),6.19498E7)</f>
        <v>61949800</v>
      </c>
      <c r="G267" s="2">
        <f t="shared" si="1"/>
        <v>55</v>
      </c>
    </row>
    <row r="268" ht="15.75" customHeight="1">
      <c r="A268" s="1">
        <f>IFERROR(__xludf.DUMMYFUNCTION("""COMPUTED_VALUE"""),45400.66666666667)</f>
        <v>45400.66667</v>
      </c>
      <c r="B268" s="2">
        <f>IFERROR(__xludf.DUMMYFUNCTION("""COMPUTED_VALUE"""),1220.0)</f>
        <v>1220</v>
      </c>
      <c r="C268" s="2">
        <f>IFERROR(__xludf.DUMMYFUNCTION("""COMPUTED_VALUE"""),1240.0)</f>
        <v>1240</v>
      </c>
      <c r="D268" s="2">
        <f>IFERROR(__xludf.DUMMYFUNCTION("""COMPUTED_VALUE"""),1215.0)</f>
        <v>1215</v>
      </c>
      <c r="E268" s="2">
        <f>IFERROR(__xludf.DUMMYFUNCTION("""COMPUTED_VALUE"""),1230.0)</f>
        <v>1230</v>
      </c>
      <c r="F268" s="2">
        <f>IFERROR(__xludf.DUMMYFUNCTION("""COMPUTED_VALUE"""),4.5207E7)</f>
        <v>45207000</v>
      </c>
      <c r="G268" s="2">
        <f t="shared" si="1"/>
        <v>30</v>
      </c>
    </row>
    <row r="269" ht="15.75" customHeight="1">
      <c r="A269" s="1">
        <f>IFERROR(__xludf.DUMMYFUNCTION("""COMPUTED_VALUE"""),45401.66666666667)</f>
        <v>45401.66667</v>
      </c>
      <c r="B269" s="2">
        <f>IFERROR(__xludf.DUMMYFUNCTION("""COMPUTED_VALUE"""),1230.0)</f>
        <v>1230</v>
      </c>
      <c r="C269" s="2">
        <f>IFERROR(__xludf.DUMMYFUNCTION("""COMPUTED_VALUE"""),1235.0)</f>
        <v>1235</v>
      </c>
      <c r="D269" s="2">
        <f>IFERROR(__xludf.DUMMYFUNCTION("""COMPUTED_VALUE"""),1185.0)</f>
        <v>1185</v>
      </c>
      <c r="E269" s="2">
        <f>IFERROR(__xludf.DUMMYFUNCTION("""COMPUTED_VALUE"""),1220.0)</f>
        <v>1220</v>
      </c>
      <c r="F269" s="2">
        <f>IFERROR(__xludf.DUMMYFUNCTION("""COMPUTED_VALUE"""),1.373953E8)</f>
        <v>137395300</v>
      </c>
      <c r="G269" s="2">
        <f t="shared" si="1"/>
        <v>50</v>
      </c>
    </row>
    <row r="270" ht="15.75" customHeight="1">
      <c r="A270" s="1">
        <f>IFERROR(__xludf.DUMMYFUNCTION("""COMPUTED_VALUE"""),45404.66666666667)</f>
        <v>45404.66667</v>
      </c>
      <c r="B270" s="2">
        <f>IFERROR(__xludf.DUMMYFUNCTION("""COMPUTED_VALUE"""),1225.0)</f>
        <v>1225</v>
      </c>
      <c r="C270" s="2">
        <f>IFERROR(__xludf.DUMMYFUNCTION("""COMPUTED_VALUE"""),1225.0)</f>
        <v>1225</v>
      </c>
      <c r="D270" s="2">
        <f>IFERROR(__xludf.DUMMYFUNCTION("""COMPUTED_VALUE"""),1200.0)</f>
        <v>1200</v>
      </c>
      <c r="E270" s="2">
        <f>IFERROR(__xludf.DUMMYFUNCTION("""COMPUTED_VALUE"""),1205.0)</f>
        <v>1205</v>
      </c>
      <c r="F270" s="2">
        <f>IFERROR(__xludf.DUMMYFUNCTION("""COMPUTED_VALUE"""),1.15138E7)</f>
        <v>11513800</v>
      </c>
      <c r="G270" s="2">
        <f t="shared" si="1"/>
        <v>25</v>
      </c>
    </row>
    <row r="271" ht="15.75" customHeight="1">
      <c r="A271" s="1">
        <f>IFERROR(__xludf.DUMMYFUNCTION("""COMPUTED_VALUE"""),45405.66666666667)</f>
        <v>45405.66667</v>
      </c>
      <c r="B271" s="2">
        <f>IFERROR(__xludf.DUMMYFUNCTION("""COMPUTED_VALUE"""),1210.0)</f>
        <v>1210</v>
      </c>
      <c r="C271" s="2">
        <f>IFERROR(__xludf.DUMMYFUNCTION("""COMPUTED_VALUE"""),1210.0)</f>
        <v>1210</v>
      </c>
      <c r="D271" s="2">
        <f>IFERROR(__xludf.DUMMYFUNCTION("""COMPUTED_VALUE"""),1190.0)</f>
        <v>1190</v>
      </c>
      <c r="E271" s="2">
        <f>IFERROR(__xludf.DUMMYFUNCTION("""COMPUTED_VALUE"""),1205.0)</f>
        <v>1205</v>
      </c>
      <c r="F271" s="2">
        <f>IFERROR(__xludf.DUMMYFUNCTION("""COMPUTED_VALUE"""),5490100.0)</f>
        <v>5490100</v>
      </c>
      <c r="G271" s="2">
        <f t="shared" si="1"/>
        <v>20</v>
      </c>
    </row>
    <row r="272" ht="15.75" customHeight="1">
      <c r="A272" s="1">
        <f>IFERROR(__xludf.DUMMYFUNCTION("""COMPUTED_VALUE"""),45406.66666666667)</f>
        <v>45406.66667</v>
      </c>
      <c r="B272" s="2">
        <f>IFERROR(__xludf.DUMMYFUNCTION("""COMPUTED_VALUE"""),1205.0)</f>
        <v>1205</v>
      </c>
      <c r="C272" s="2">
        <f>IFERROR(__xludf.DUMMYFUNCTION("""COMPUTED_VALUE"""),1210.0)</f>
        <v>1210</v>
      </c>
      <c r="D272" s="2">
        <f>IFERROR(__xludf.DUMMYFUNCTION("""COMPUTED_VALUE"""),1195.0)</f>
        <v>1195</v>
      </c>
      <c r="E272" s="2">
        <f>IFERROR(__xludf.DUMMYFUNCTION("""COMPUTED_VALUE"""),1200.0)</f>
        <v>1200</v>
      </c>
      <c r="F272" s="2">
        <f>IFERROR(__xludf.DUMMYFUNCTION("""COMPUTED_VALUE"""),5092000.0)</f>
        <v>5092000</v>
      </c>
      <c r="G272" s="2">
        <f t="shared" si="1"/>
        <v>15</v>
      </c>
    </row>
    <row r="273" ht="15.75" customHeight="1">
      <c r="A273" s="1">
        <f>IFERROR(__xludf.DUMMYFUNCTION("""COMPUTED_VALUE"""),45407.66666666667)</f>
        <v>45407.66667</v>
      </c>
      <c r="B273" s="2">
        <f>IFERROR(__xludf.DUMMYFUNCTION("""COMPUTED_VALUE"""),1205.0)</f>
        <v>1205</v>
      </c>
      <c r="C273" s="2">
        <f>IFERROR(__xludf.DUMMYFUNCTION("""COMPUTED_VALUE"""),1235.0)</f>
        <v>1235</v>
      </c>
      <c r="D273" s="2">
        <f>IFERROR(__xludf.DUMMYFUNCTION("""COMPUTED_VALUE"""),1195.0)</f>
        <v>1195</v>
      </c>
      <c r="E273" s="2">
        <f>IFERROR(__xludf.DUMMYFUNCTION("""COMPUTED_VALUE"""),1225.0)</f>
        <v>1225</v>
      </c>
      <c r="F273" s="2">
        <f>IFERROR(__xludf.DUMMYFUNCTION("""COMPUTED_VALUE"""),1.69813E7)</f>
        <v>16981300</v>
      </c>
      <c r="G273" s="2">
        <f t="shared" si="1"/>
        <v>40</v>
      </c>
    </row>
    <row r="274" ht="15.75" customHeight="1">
      <c r="A274" s="1">
        <f>IFERROR(__xludf.DUMMYFUNCTION("""COMPUTED_VALUE"""),45408.66666666667)</f>
        <v>45408.66667</v>
      </c>
      <c r="B274" s="2">
        <f>IFERROR(__xludf.DUMMYFUNCTION("""COMPUTED_VALUE"""),1230.0)</f>
        <v>1230</v>
      </c>
      <c r="C274" s="2">
        <f>IFERROR(__xludf.DUMMYFUNCTION("""COMPUTED_VALUE"""),1235.0)</f>
        <v>1235</v>
      </c>
      <c r="D274" s="2">
        <f>IFERROR(__xludf.DUMMYFUNCTION("""COMPUTED_VALUE"""),1200.0)</f>
        <v>1200</v>
      </c>
      <c r="E274" s="2">
        <f>IFERROR(__xludf.DUMMYFUNCTION("""COMPUTED_VALUE"""),1200.0)</f>
        <v>1200</v>
      </c>
      <c r="F274" s="2">
        <f>IFERROR(__xludf.DUMMYFUNCTION("""COMPUTED_VALUE"""),1.27962E7)</f>
        <v>12796200</v>
      </c>
      <c r="G274" s="2">
        <f t="shared" si="1"/>
        <v>35</v>
      </c>
    </row>
    <row r="275" ht="15.75" customHeight="1">
      <c r="A275" s="1">
        <f>IFERROR(__xludf.DUMMYFUNCTION("""COMPUTED_VALUE"""),45411.66666666667)</f>
        <v>45411.66667</v>
      </c>
      <c r="B275" s="2">
        <f>IFERROR(__xludf.DUMMYFUNCTION("""COMPUTED_VALUE"""),1200.0)</f>
        <v>1200</v>
      </c>
      <c r="C275" s="2">
        <f>IFERROR(__xludf.DUMMYFUNCTION("""COMPUTED_VALUE"""),1215.0)</f>
        <v>1215</v>
      </c>
      <c r="D275" s="2">
        <f>IFERROR(__xludf.DUMMYFUNCTION("""COMPUTED_VALUE"""),1185.0)</f>
        <v>1185</v>
      </c>
      <c r="E275" s="2">
        <f>IFERROR(__xludf.DUMMYFUNCTION("""COMPUTED_VALUE"""),1210.0)</f>
        <v>1210</v>
      </c>
      <c r="F275" s="2">
        <f>IFERROR(__xludf.DUMMYFUNCTION("""COMPUTED_VALUE"""),1.77304E7)</f>
        <v>17730400</v>
      </c>
      <c r="G275" s="2">
        <f t="shared" si="1"/>
        <v>30</v>
      </c>
    </row>
    <row r="276" ht="15.75" customHeight="1">
      <c r="A276" s="1">
        <f>IFERROR(__xludf.DUMMYFUNCTION("""COMPUTED_VALUE"""),45412.66666666667)</f>
        <v>45412.66667</v>
      </c>
      <c r="B276" s="2">
        <f>IFERROR(__xludf.DUMMYFUNCTION("""COMPUTED_VALUE"""),1210.0)</f>
        <v>1210</v>
      </c>
      <c r="C276" s="2">
        <f>IFERROR(__xludf.DUMMYFUNCTION("""COMPUTED_VALUE"""),1225.0)</f>
        <v>1225</v>
      </c>
      <c r="D276" s="2">
        <f>IFERROR(__xludf.DUMMYFUNCTION("""COMPUTED_VALUE"""),1205.0)</f>
        <v>1205</v>
      </c>
      <c r="E276" s="2">
        <f>IFERROR(__xludf.DUMMYFUNCTION("""COMPUTED_VALUE"""),1220.0)</f>
        <v>1220</v>
      </c>
      <c r="F276" s="2">
        <f>IFERROR(__xludf.DUMMYFUNCTION("""COMPUTED_VALUE"""),1.659E7)</f>
        <v>16590000</v>
      </c>
      <c r="G276" s="2">
        <f t="shared" si="1"/>
        <v>20</v>
      </c>
    </row>
    <row r="277" ht="15.75" customHeight="1">
      <c r="A277" s="1">
        <f>IFERROR(__xludf.DUMMYFUNCTION("""COMPUTED_VALUE"""),45414.66666666667)</f>
        <v>45414.66667</v>
      </c>
      <c r="B277" s="2">
        <f>IFERROR(__xludf.DUMMYFUNCTION("""COMPUTED_VALUE"""),1225.0)</f>
        <v>1225</v>
      </c>
      <c r="C277" s="2">
        <f>IFERROR(__xludf.DUMMYFUNCTION("""COMPUTED_VALUE"""),1230.0)</f>
        <v>1230</v>
      </c>
      <c r="D277" s="2">
        <f>IFERROR(__xludf.DUMMYFUNCTION("""COMPUTED_VALUE"""),1200.0)</f>
        <v>1200</v>
      </c>
      <c r="E277" s="2">
        <f>IFERROR(__xludf.DUMMYFUNCTION("""COMPUTED_VALUE"""),1205.0)</f>
        <v>1205</v>
      </c>
      <c r="F277" s="2">
        <f>IFERROR(__xludf.DUMMYFUNCTION("""COMPUTED_VALUE"""),8216500.0)</f>
        <v>8216500</v>
      </c>
      <c r="G277" s="2">
        <f t="shared" si="1"/>
        <v>30</v>
      </c>
    </row>
    <row r="278" ht="15.75" customHeight="1">
      <c r="A278" s="1">
        <f>IFERROR(__xludf.DUMMYFUNCTION("""COMPUTED_VALUE"""),45415.66666666667)</f>
        <v>45415.66667</v>
      </c>
      <c r="B278" s="2">
        <f>IFERROR(__xludf.DUMMYFUNCTION("""COMPUTED_VALUE"""),1210.0)</f>
        <v>1210</v>
      </c>
      <c r="C278" s="2">
        <f>IFERROR(__xludf.DUMMYFUNCTION("""COMPUTED_VALUE"""),1220.0)</f>
        <v>1220</v>
      </c>
      <c r="D278" s="2">
        <f>IFERROR(__xludf.DUMMYFUNCTION("""COMPUTED_VALUE"""),1205.0)</f>
        <v>1205</v>
      </c>
      <c r="E278" s="2">
        <f>IFERROR(__xludf.DUMMYFUNCTION("""COMPUTED_VALUE"""),1215.0)</f>
        <v>1215</v>
      </c>
      <c r="F278" s="2">
        <f>IFERROR(__xludf.DUMMYFUNCTION("""COMPUTED_VALUE"""),8894500.0)</f>
        <v>8894500</v>
      </c>
      <c r="G278" s="2">
        <f t="shared" si="1"/>
        <v>15</v>
      </c>
    </row>
    <row r="279" ht="15.75" customHeight="1">
      <c r="A279" s="1">
        <f>IFERROR(__xludf.DUMMYFUNCTION("""COMPUTED_VALUE"""),45418.66666666667)</f>
        <v>45418.66667</v>
      </c>
      <c r="B279" s="2">
        <f>IFERROR(__xludf.DUMMYFUNCTION("""COMPUTED_VALUE"""),1220.0)</f>
        <v>1220</v>
      </c>
      <c r="C279" s="2">
        <f>IFERROR(__xludf.DUMMYFUNCTION("""COMPUTED_VALUE"""),1335.0)</f>
        <v>1335</v>
      </c>
      <c r="D279" s="2">
        <f>IFERROR(__xludf.DUMMYFUNCTION("""COMPUTED_VALUE"""),1220.0)</f>
        <v>1220</v>
      </c>
      <c r="E279" s="2">
        <f>IFERROR(__xludf.DUMMYFUNCTION("""COMPUTED_VALUE"""),1335.0)</f>
        <v>1335</v>
      </c>
      <c r="F279" s="2">
        <f>IFERROR(__xludf.DUMMYFUNCTION("""COMPUTED_VALUE"""),9.37768E7)</f>
        <v>93776800</v>
      </c>
      <c r="G279" s="2">
        <f t="shared" si="1"/>
        <v>120</v>
      </c>
    </row>
    <row r="280" ht="15.75" customHeight="1">
      <c r="A280" s="1">
        <f>IFERROR(__xludf.DUMMYFUNCTION("""COMPUTED_VALUE"""),45419.66666666667)</f>
        <v>45419.66667</v>
      </c>
      <c r="B280" s="2">
        <f>IFERROR(__xludf.DUMMYFUNCTION("""COMPUTED_VALUE"""),1340.0)</f>
        <v>1340</v>
      </c>
      <c r="C280" s="2">
        <f>IFERROR(__xludf.DUMMYFUNCTION("""COMPUTED_VALUE"""),1380.0)</f>
        <v>1380</v>
      </c>
      <c r="D280" s="2">
        <f>IFERROR(__xludf.DUMMYFUNCTION("""COMPUTED_VALUE"""),1305.0)</f>
        <v>1305</v>
      </c>
      <c r="E280" s="2">
        <f>IFERROR(__xludf.DUMMYFUNCTION("""COMPUTED_VALUE"""),1305.0)</f>
        <v>1305</v>
      </c>
      <c r="F280" s="2">
        <f>IFERROR(__xludf.DUMMYFUNCTION("""COMPUTED_VALUE"""),5.37028E7)</f>
        <v>53702800</v>
      </c>
      <c r="G280" s="2">
        <f t="shared" si="1"/>
        <v>75</v>
      </c>
    </row>
    <row r="281" ht="15.75" customHeight="1">
      <c r="A281" s="1">
        <f>IFERROR(__xludf.DUMMYFUNCTION("""COMPUTED_VALUE"""),45420.66666666667)</f>
        <v>45420.66667</v>
      </c>
      <c r="B281" s="2">
        <f>IFERROR(__xludf.DUMMYFUNCTION("""COMPUTED_VALUE"""),1310.0)</f>
        <v>1310</v>
      </c>
      <c r="C281" s="2">
        <f>IFERROR(__xludf.DUMMYFUNCTION("""COMPUTED_VALUE"""),1370.0)</f>
        <v>1370</v>
      </c>
      <c r="D281" s="2">
        <f>IFERROR(__xludf.DUMMYFUNCTION("""COMPUTED_VALUE"""),1310.0)</f>
        <v>1310</v>
      </c>
      <c r="E281" s="2">
        <f>IFERROR(__xludf.DUMMYFUNCTION("""COMPUTED_VALUE"""),1315.0)</f>
        <v>1315</v>
      </c>
      <c r="F281" s="2">
        <f>IFERROR(__xludf.DUMMYFUNCTION("""COMPUTED_VALUE"""),4.1218E7)</f>
        <v>41218000</v>
      </c>
      <c r="G281" s="2">
        <f t="shared" si="1"/>
        <v>65</v>
      </c>
    </row>
    <row r="282" ht="15.75" customHeight="1">
      <c r="A282" s="1">
        <f>IFERROR(__xludf.DUMMYFUNCTION("""COMPUTED_VALUE"""),45425.66666666667)</f>
        <v>45425.66667</v>
      </c>
      <c r="B282" s="2">
        <f>IFERROR(__xludf.DUMMYFUNCTION("""COMPUTED_VALUE"""),1315.0)</f>
        <v>1315</v>
      </c>
      <c r="C282" s="2">
        <f>IFERROR(__xludf.DUMMYFUNCTION("""COMPUTED_VALUE"""),1330.0)</f>
        <v>1330</v>
      </c>
      <c r="D282" s="2">
        <f>IFERROR(__xludf.DUMMYFUNCTION("""COMPUTED_VALUE"""),1255.0)</f>
        <v>1255</v>
      </c>
      <c r="E282" s="2">
        <f>IFERROR(__xludf.DUMMYFUNCTION("""COMPUTED_VALUE"""),1260.0)</f>
        <v>1260</v>
      </c>
      <c r="F282" s="2">
        <f>IFERROR(__xludf.DUMMYFUNCTION("""COMPUTED_VALUE"""),3.85306E7)</f>
        <v>38530600</v>
      </c>
      <c r="G282" s="2">
        <f t="shared" si="1"/>
        <v>75</v>
      </c>
    </row>
    <row r="283" ht="15.75" customHeight="1">
      <c r="A283" s="1">
        <f>IFERROR(__xludf.DUMMYFUNCTION("""COMPUTED_VALUE"""),45426.66666666667)</f>
        <v>45426.66667</v>
      </c>
      <c r="B283" s="2">
        <f>IFERROR(__xludf.DUMMYFUNCTION("""COMPUTED_VALUE"""),1260.0)</f>
        <v>1260</v>
      </c>
      <c r="C283" s="2">
        <f>IFERROR(__xludf.DUMMYFUNCTION("""COMPUTED_VALUE"""),1275.0)</f>
        <v>1275</v>
      </c>
      <c r="D283" s="2">
        <f>IFERROR(__xludf.DUMMYFUNCTION("""COMPUTED_VALUE"""),1240.0)</f>
        <v>1240</v>
      </c>
      <c r="E283" s="2">
        <f>IFERROR(__xludf.DUMMYFUNCTION("""COMPUTED_VALUE"""),1270.0)</f>
        <v>1270</v>
      </c>
      <c r="F283" s="2">
        <f>IFERROR(__xludf.DUMMYFUNCTION("""COMPUTED_VALUE"""),2.4416E7)</f>
        <v>24416000</v>
      </c>
      <c r="G283" s="2">
        <f t="shared" si="1"/>
        <v>35</v>
      </c>
    </row>
    <row r="284" ht="15.75" customHeight="1">
      <c r="A284" s="1">
        <f>IFERROR(__xludf.DUMMYFUNCTION("""COMPUTED_VALUE"""),45427.66666666667)</f>
        <v>45427.66667</v>
      </c>
      <c r="B284" s="2">
        <f>IFERROR(__xludf.DUMMYFUNCTION("""COMPUTED_VALUE"""),1270.0)</f>
        <v>1270</v>
      </c>
      <c r="C284" s="2">
        <f>IFERROR(__xludf.DUMMYFUNCTION("""COMPUTED_VALUE"""),1270.0)</f>
        <v>1270</v>
      </c>
      <c r="D284" s="2">
        <f>IFERROR(__xludf.DUMMYFUNCTION("""COMPUTED_VALUE"""),1240.0)</f>
        <v>1240</v>
      </c>
      <c r="E284" s="2">
        <f>IFERROR(__xludf.DUMMYFUNCTION("""COMPUTED_VALUE"""),1250.0)</f>
        <v>1250</v>
      </c>
      <c r="F284" s="2">
        <f>IFERROR(__xludf.DUMMYFUNCTION("""COMPUTED_VALUE"""),2.51971E7)</f>
        <v>25197100</v>
      </c>
      <c r="G284" s="2">
        <f t="shared" si="1"/>
        <v>30</v>
      </c>
    </row>
    <row r="285" ht="15.75" customHeight="1">
      <c r="A285" s="1">
        <f>IFERROR(__xludf.DUMMYFUNCTION("""COMPUTED_VALUE"""),45428.66666666667)</f>
        <v>45428.66667</v>
      </c>
      <c r="B285" s="2">
        <f>IFERROR(__xludf.DUMMYFUNCTION("""COMPUTED_VALUE"""),1250.0)</f>
        <v>1250</v>
      </c>
      <c r="C285" s="2">
        <f>IFERROR(__xludf.DUMMYFUNCTION("""COMPUTED_VALUE"""),1335.0)</f>
        <v>1335</v>
      </c>
      <c r="D285" s="2">
        <f>IFERROR(__xludf.DUMMYFUNCTION("""COMPUTED_VALUE"""),1245.0)</f>
        <v>1245</v>
      </c>
      <c r="E285" s="2">
        <f>IFERROR(__xludf.DUMMYFUNCTION("""COMPUTED_VALUE"""),1315.0)</f>
        <v>1315</v>
      </c>
      <c r="F285" s="2">
        <f>IFERROR(__xludf.DUMMYFUNCTION("""COMPUTED_VALUE"""),6.02377E7)</f>
        <v>60237700</v>
      </c>
      <c r="G285" s="2">
        <f t="shared" si="1"/>
        <v>90</v>
      </c>
    </row>
    <row r="286" ht="15.75" customHeight="1">
      <c r="A286" s="1">
        <f>IFERROR(__xludf.DUMMYFUNCTION("""COMPUTED_VALUE"""),45429.66666666667)</f>
        <v>45429.66667</v>
      </c>
      <c r="B286" s="2">
        <f>IFERROR(__xludf.DUMMYFUNCTION("""COMPUTED_VALUE"""),1315.0)</f>
        <v>1315</v>
      </c>
      <c r="C286" s="2">
        <f>IFERROR(__xludf.DUMMYFUNCTION("""COMPUTED_VALUE"""),1335.0)</f>
        <v>1335</v>
      </c>
      <c r="D286" s="2">
        <f>IFERROR(__xludf.DUMMYFUNCTION("""COMPUTED_VALUE"""),1285.0)</f>
        <v>1285</v>
      </c>
      <c r="E286" s="2">
        <f>IFERROR(__xludf.DUMMYFUNCTION("""COMPUTED_VALUE"""),1290.0)</f>
        <v>1290</v>
      </c>
      <c r="F286" s="2">
        <f>IFERROR(__xludf.DUMMYFUNCTION("""COMPUTED_VALUE"""),3.95471E7)</f>
        <v>39547100</v>
      </c>
      <c r="G286" s="2">
        <f t="shared" si="1"/>
        <v>50</v>
      </c>
    </row>
    <row r="287" ht="15.75" customHeight="1">
      <c r="A287" s="1">
        <f>IFERROR(__xludf.DUMMYFUNCTION("""COMPUTED_VALUE"""),45432.66666666667)</f>
        <v>45432.66667</v>
      </c>
      <c r="B287" s="2">
        <f>IFERROR(__xludf.DUMMYFUNCTION("""COMPUTED_VALUE"""),1300.0)</f>
        <v>1300</v>
      </c>
      <c r="C287" s="2">
        <f>IFERROR(__xludf.DUMMYFUNCTION("""COMPUTED_VALUE"""),1360.0)</f>
        <v>1360</v>
      </c>
      <c r="D287" s="2">
        <f>IFERROR(__xludf.DUMMYFUNCTION("""COMPUTED_VALUE"""),1260.0)</f>
        <v>1260</v>
      </c>
      <c r="E287" s="2">
        <f>IFERROR(__xludf.DUMMYFUNCTION("""COMPUTED_VALUE"""),1260.0)</f>
        <v>1260</v>
      </c>
      <c r="F287" s="2">
        <f>IFERROR(__xludf.DUMMYFUNCTION("""COMPUTED_VALUE"""),7.38148E7)</f>
        <v>73814800</v>
      </c>
      <c r="G287" s="2">
        <f t="shared" si="1"/>
        <v>100</v>
      </c>
    </row>
    <row r="288" ht="15.75" customHeight="1">
      <c r="A288" s="1">
        <f>IFERROR(__xludf.DUMMYFUNCTION("""COMPUTED_VALUE"""),45433.66666666667)</f>
        <v>45433.66667</v>
      </c>
      <c r="B288" s="2">
        <f>IFERROR(__xludf.DUMMYFUNCTION("""COMPUTED_VALUE"""),1270.0)</f>
        <v>1270</v>
      </c>
      <c r="C288" s="2">
        <f>IFERROR(__xludf.DUMMYFUNCTION("""COMPUTED_VALUE"""),1310.0)</f>
        <v>1310</v>
      </c>
      <c r="D288" s="2">
        <f>IFERROR(__xludf.DUMMYFUNCTION("""COMPUTED_VALUE"""),1270.0)</f>
        <v>1270</v>
      </c>
      <c r="E288" s="2">
        <f>IFERROR(__xludf.DUMMYFUNCTION("""COMPUTED_VALUE"""),1280.0)</f>
        <v>1280</v>
      </c>
      <c r="F288" s="2">
        <f>IFERROR(__xludf.DUMMYFUNCTION("""COMPUTED_VALUE"""),2.74864E7)</f>
        <v>27486400</v>
      </c>
      <c r="G288" s="2">
        <f t="shared" si="1"/>
        <v>50</v>
      </c>
    </row>
    <row r="289" ht="15.75" customHeight="1">
      <c r="A289" s="1">
        <f>IFERROR(__xludf.DUMMYFUNCTION("""COMPUTED_VALUE"""),45434.66666666667)</f>
        <v>45434.66667</v>
      </c>
      <c r="B289" s="2">
        <f>IFERROR(__xludf.DUMMYFUNCTION("""COMPUTED_VALUE"""),1300.0)</f>
        <v>1300</v>
      </c>
      <c r="C289" s="2">
        <f>IFERROR(__xludf.DUMMYFUNCTION("""COMPUTED_VALUE"""),1300.0)</f>
        <v>1300</v>
      </c>
      <c r="D289" s="2">
        <f>IFERROR(__xludf.DUMMYFUNCTION("""COMPUTED_VALUE"""),1250.0)</f>
        <v>1250</v>
      </c>
      <c r="E289" s="2">
        <f>IFERROR(__xludf.DUMMYFUNCTION("""COMPUTED_VALUE"""),1260.0)</f>
        <v>1260</v>
      </c>
      <c r="F289" s="2">
        <f>IFERROR(__xludf.DUMMYFUNCTION("""COMPUTED_VALUE"""),1.76292E7)</f>
        <v>17629200</v>
      </c>
      <c r="G289" s="2">
        <f t="shared" si="1"/>
        <v>50</v>
      </c>
    </row>
    <row r="290" ht="15.75" customHeight="1">
      <c r="A290" s="1">
        <f>IFERROR(__xludf.DUMMYFUNCTION("""COMPUTED_VALUE"""),45439.66666666667)</f>
        <v>45439.66667</v>
      </c>
      <c r="B290" s="2">
        <f>IFERROR(__xludf.DUMMYFUNCTION("""COMPUTED_VALUE"""),1260.0)</f>
        <v>1260</v>
      </c>
      <c r="C290" s="2">
        <f>IFERROR(__xludf.DUMMYFUNCTION("""COMPUTED_VALUE"""),1275.0)</f>
        <v>1275</v>
      </c>
      <c r="D290" s="2">
        <f>IFERROR(__xludf.DUMMYFUNCTION("""COMPUTED_VALUE"""),1220.0)</f>
        <v>1220</v>
      </c>
      <c r="E290" s="2">
        <f>IFERROR(__xludf.DUMMYFUNCTION("""COMPUTED_VALUE"""),1235.0)</f>
        <v>1235</v>
      </c>
      <c r="F290" s="2">
        <f>IFERROR(__xludf.DUMMYFUNCTION("""COMPUTED_VALUE"""),1.62753E7)</f>
        <v>16275300</v>
      </c>
      <c r="G290" s="2">
        <f t="shared" si="1"/>
        <v>55</v>
      </c>
    </row>
    <row r="291" ht="15.75" customHeight="1">
      <c r="A291" s="1">
        <f>IFERROR(__xludf.DUMMYFUNCTION("""COMPUTED_VALUE"""),45440.66666666667)</f>
        <v>45440.66667</v>
      </c>
      <c r="B291" s="2">
        <f>IFERROR(__xludf.DUMMYFUNCTION("""COMPUTED_VALUE"""),1250.0)</f>
        <v>1250</v>
      </c>
      <c r="C291" s="2">
        <f>IFERROR(__xludf.DUMMYFUNCTION("""COMPUTED_VALUE"""),1280.0)</f>
        <v>1280</v>
      </c>
      <c r="D291" s="2">
        <f>IFERROR(__xludf.DUMMYFUNCTION("""COMPUTED_VALUE"""),1245.0)</f>
        <v>1245</v>
      </c>
      <c r="E291" s="2">
        <f>IFERROR(__xludf.DUMMYFUNCTION("""COMPUTED_VALUE"""),1260.0)</f>
        <v>1260</v>
      </c>
      <c r="F291" s="2">
        <f>IFERROR(__xludf.DUMMYFUNCTION("""COMPUTED_VALUE"""),1.41275E7)</f>
        <v>14127500</v>
      </c>
      <c r="G291" s="2">
        <f t="shared" si="1"/>
        <v>45</v>
      </c>
    </row>
    <row r="292" ht="15.75" customHeight="1">
      <c r="A292" s="1">
        <f>IFERROR(__xludf.DUMMYFUNCTION("""COMPUTED_VALUE"""),45441.66666666667)</f>
        <v>45441.66667</v>
      </c>
      <c r="B292" s="2">
        <f>IFERROR(__xludf.DUMMYFUNCTION("""COMPUTED_VALUE"""),1290.0)</f>
        <v>1290</v>
      </c>
      <c r="C292" s="2">
        <f>IFERROR(__xludf.DUMMYFUNCTION("""COMPUTED_VALUE"""),1290.0)</f>
        <v>1290</v>
      </c>
      <c r="D292" s="2">
        <f>IFERROR(__xludf.DUMMYFUNCTION("""COMPUTED_VALUE"""),1245.0)</f>
        <v>1245</v>
      </c>
      <c r="E292" s="2">
        <f>IFERROR(__xludf.DUMMYFUNCTION("""COMPUTED_VALUE"""),1265.0)</f>
        <v>1265</v>
      </c>
      <c r="F292" s="2">
        <f>IFERROR(__xludf.DUMMYFUNCTION("""COMPUTED_VALUE"""),1.44004E7)</f>
        <v>14400400</v>
      </c>
      <c r="G292" s="2">
        <f t="shared" si="1"/>
        <v>45</v>
      </c>
    </row>
    <row r="293" ht="15.75" customHeight="1">
      <c r="A293" s="1">
        <f>IFERROR(__xludf.DUMMYFUNCTION("""COMPUTED_VALUE"""),45442.66666666667)</f>
        <v>45442.66667</v>
      </c>
      <c r="B293" s="2">
        <f>IFERROR(__xludf.DUMMYFUNCTION("""COMPUTED_VALUE"""),1265.0)</f>
        <v>1265</v>
      </c>
      <c r="C293" s="2">
        <f>IFERROR(__xludf.DUMMYFUNCTION("""COMPUTED_VALUE"""),1265.0)</f>
        <v>1265</v>
      </c>
      <c r="D293" s="2">
        <f>IFERROR(__xludf.DUMMYFUNCTION("""COMPUTED_VALUE"""),1230.0)</f>
        <v>1230</v>
      </c>
      <c r="E293" s="2">
        <f>IFERROR(__xludf.DUMMYFUNCTION("""COMPUTED_VALUE"""),1235.0)</f>
        <v>1235</v>
      </c>
      <c r="F293" s="2">
        <f>IFERROR(__xludf.DUMMYFUNCTION("""COMPUTED_VALUE"""),1.3368E7)</f>
        <v>13368000</v>
      </c>
      <c r="G293" s="2">
        <f t="shared" si="1"/>
        <v>35</v>
      </c>
    </row>
    <row r="294" ht="15.75" customHeight="1">
      <c r="A294" s="1">
        <f>IFERROR(__xludf.DUMMYFUNCTION("""COMPUTED_VALUE"""),45443.66666666667)</f>
        <v>45443.66667</v>
      </c>
      <c r="B294" s="2">
        <f>IFERROR(__xludf.DUMMYFUNCTION("""COMPUTED_VALUE"""),1235.0)</f>
        <v>1235</v>
      </c>
      <c r="C294" s="2">
        <f>IFERROR(__xludf.DUMMYFUNCTION("""COMPUTED_VALUE"""),1250.0)</f>
        <v>1250</v>
      </c>
      <c r="D294" s="2">
        <f>IFERROR(__xludf.DUMMYFUNCTION("""COMPUTED_VALUE"""),1185.0)</f>
        <v>1185</v>
      </c>
      <c r="E294" s="2">
        <f>IFERROR(__xludf.DUMMYFUNCTION("""COMPUTED_VALUE"""),1185.0)</f>
        <v>1185</v>
      </c>
      <c r="F294" s="2">
        <f>IFERROR(__xludf.DUMMYFUNCTION("""COMPUTED_VALUE"""),3.05965E7)</f>
        <v>30596500</v>
      </c>
      <c r="G294" s="2">
        <f t="shared" si="1"/>
        <v>65</v>
      </c>
    </row>
    <row r="295" ht="15.75" customHeight="1">
      <c r="A295" s="1">
        <f>IFERROR(__xludf.DUMMYFUNCTION("""COMPUTED_VALUE"""),45446.66666666667)</f>
        <v>45446.66667</v>
      </c>
      <c r="B295" s="2">
        <f>IFERROR(__xludf.DUMMYFUNCTION("""COMPUTED_VALUE"""),1195.0)</f>
        <v>1195</v>
      </c>
      <c r="C295" s="2">
        <f>IFERROR(__xludf.DUMMYFUNCTION("""COMPUTED_VALUE"""),1220.0)</f>
        <v>1220</v>
      </c>
      <c r="D295" s="2">
        <f>IFERROR(__xludf.DUMMYFUNCTION("""COMPUTED_VALUE"""),1190.0)</f>
        <v>1190</v>
      </c>
      <c r="E295" s="2">
        <f>IFERROR(__xludf.DUMMYFUNCTION("""COMPUTED_VALUE"""),1210.0)</f>
        <v>1210</v>
      </c>
      <c r="F295" s="2">
        <f>IFERROR(__xludf.DUMMYFUNCTION("""COMPUTED_VALUE"""),1.02862E7)</f>
        <v>10286200</v>
      </c>
      <c r="G295" s="2">
        <f t="shared" si="1"/>
        <v>35</v>
      </c>
    </row>
    <row r="296" ht="15.75" customHeight="1">
      <c r="A296" s="1">
        <f>IFERROR(__xludf.DUMMYFUNCTION("""COMPUTED_VALUE"""),45447.66666666667)</f>
        <v>45447.66667</v>
      </c>
      <c r="B296" s="2">
        <f>IFERROR(__xludf.DUMMYFUNCTION("""COMPUTED_VALUE"""),1215.0)</f>
        <v>1215</v>
      </c>
      <c r="C296" s="2">
        <f>IFERROR(__xludf.DUMMYFUNCTION("""COMPUTED_VALUE"""),1235.0)</f>
        <v>1235</v>
      </c>
      <c r="D296" s="2">
        <f>IFERROR(__xludf.DUMMYFUNCTION("""COMPUTED_VALUE"""),1200.0)</f>
        <v>1200</v>
      </c>
      <c r="E296" s="2">
        <f>IFERROR(__xludf.DUMMYFUNCTION("""COMPUTED_VALUE"""),1210.0)</f>
        <v>1210</v>
      </c>
      <c r="F296" s="2">
        <f>IFERROR(__xludf.DUMMYFUNCTION("""COMPUTED_VALUE"""),1.36951E7)</f>
        <v>13695100</v>
      </c>
      <c r="G296" s="2">
        <f t="shared" si="1"/>
        <v>35</v>
      </c>
    </row>
    <row r="297" ht="15.75" customHeight="1">
      <c r="A297" s="1">
        <f>IFERROR(__xludf.DUMMYFUNCTION("""COMPUTED_VALUE"""),45448.66666666667)</f>
        <v>45448.66667</v>
      </c>
      <c r="B297" s="2">
        <f>IFERROR(__xludf.DUMMYFUNCTION("""COMPUTED_VALUE"""),1210.0)</f>
        <v>1210</v>
      </c>
      <c r="C297" s="2">
        <f>IFERROR(__xludf.DUMMYFUNCTION("""COMPUTED_VALUE"""),1220.0)</f>
        <v>1220</v>
      </c>
      <c r="D297" s="2">
        <f>IFERROR(__xludf.DUMMYFUNCTION("""COMPUTED_VALUE"""),1185.0)</f>
        <v>1185</v>
      </c>
      <c r="E297" s="2">
        <f>IFERROR(__xludf.DUMMYFUNCTION("""COMPUTED_VALUE"""),1190.0)</f>
        <v>1190</v>
      </c>
      <c r="F297" s="2">
        <f>IFERROR(__xludf.DUMMYFUNCTION("""COMPUTED_VALUE"""),1.66337E7)</f>
        <v>16633700</v>
      </c>
      <c r="G297" s="2">
        <f t="shared" si="1"/>
        <v>35</v>
      </c>
    </row>
    <row r="298" ht="15.75" customHeight="1">
      <c r="A298" s="1">
        <f>IFERROR(__xludf.DUMMYFUNCTION("""COMPUTED_VALUE"""),45449.66666666667)</f>
        <v>45449.66667</v>
      </c>
      <c r="B298" s="2">
        <f>IFERROR(__xludf.DUMMYFUNCTION("""COMPUTED_VALUE"""),1160.0)</f>
        <v>1160</v>
      </c>
      <c r="C298" s="2">
        <f>IFERROR(__xludf.DUMMYFUNCTION("""COMPUTED_VALUE"""),1175.0)</f>
        <v>1175</v>
      </c>
      <c r="D298" s="2">
        <f>IFERROR(__xludf.DUMMYFUNCTION("""COMPUTED_VALUE"""),1150.0)</f>
        <v>1150</v>
      </c>
      <c r="E298" s="2">
        <f>IFERROR(__xludf.DUMMYFUNCTION("""COMPUTED_VALUE"""),1170.0)</f>
        <v>1170</v>
      </c>
      <c r="F298" s="2">
        <f>IFERROR(__xludf.DUMMYFUNCTION("""COMPUTED_VALUE"""),9354400.0)</f>
        <v>9354400</v>
      </c>
      <c r="G298" s="2">
        <f t="shared" si="1"/>
        <v>40</v>
      </c>
    </row>
    <row r="299" ht="15.75" customHeight="1">
      <c r="A299" s="1">
        <f>IFERROR(__xludf.DUMMYFUNCTION("""COMPUTED_VALUE"""),45450.66666666667)</f>
        <v>45450.66667</v>
      </c>
      <c r="B299" s="2">
        <f>IFERROR(__xludf.DUMMYFUNCTION("""COMPUTED_VALUE"""),1170.0)</f>
        <v>1170</v>
      </c>
      <c r="C299" s="2">
        <f>IFERROR(__xludf.DUMMYFUNCTION("""COMPUTED_VALUE"""),1200.0)</f>
        <v>1200</v>
      </c>
      <c r="D299" s="2">
        <f>IFERROR(__xludf.DUMMYFUNCTION("""COMPUTED_VALUE"""),1170.0)</f>
        <v>1170</v>
      </c>
      <c r="E299" s="2">
        <f>IFERROR(__xludf.DUMMYFUNCTION("""COMPUTED_VALUE"""),1180.0)</f>
        <v>1180</v>
      </c>
      <c r="F299" s="2">
        <f>IFERROR(__xludf.DUMMYFUNCTION("""COMPUTED_VALUE"""),6015200.0)</f>
        <v>6015200</v>
      </c>
      <c r="G299" s="2">
        <f t="shared" si="1"/>
        <v>30</v>
      </c>
    </row>
    <row r="300" ht="15.75" customHeight="1">
      <c r="A300" s="1">
        <f>IFERROR(__xludf.DUMMYFUNCTION("""COMPUTED_VALUE"""),45453.66666666667)</f>
        <v>45453.66667</v>
      </c>
      <c r="B300" s="2">
        <f>IFERROR(__xludf.DUMMYFUNCTION("""COMPUTED_VALUE"""),1190.0)</f>
        <v>1190</v>
      </c>
      <c r="C300" s="2">
        <f>IFERROR(__xludf.DUMMYFUNCTION("""COMPUTED_VALUE"""),1195.0)</f>
        <v>1195</v>
      </c>
      <c r="D300" s="2">
        <f>IFERROR(__xludf.DUMMYFUNCTION("""COMPUTED_VALUE"""),1155.0)</f>
        <v>1155</v>
      </c>
      <c r="E300" s="2">
        <f>IFERROR(__xludf.DUMMYFUNCTION("""COMPUTED_VALUE"""),1170.0)</f>
        <v>1170</v>
      </c>
      <c r="F300" s="2">
        <f>IFERROR(__xludf.DUMMYFUNCTION("""COMPUTED_VALUE"""),9631100.0)</f>
        <v>9631100</v>
      </c>
      <c r="G300" s="2">
        <f t="shared" si="1"/>
        <v>40</v>
      </c>
    </row>
    <row r="301" ht="15.75" customHeight="1">
      <c r="A301" s="1">
        <f>IFERROR(__xludf.DUMMYFUNCTION("""COMPUTED_VALUE"""),45454.66666666667)</f>
        <v>45454.66667</v>
      </c>
      <c r="B301" s="2">
        <f>IFERROR(__xludf.DUMMYFUNCTION("""COMPUTED_VALUE"""),1180.0)</f>
        <v>1180</v>
      </c>
      <c r="C301" s="2">
        <f>IFERROR(__xludf.DUMMYFUNCTION("""COMPUTED_VALUE"""),1180.0)</f>
        <v>1180</v>
      </c>
      <c r="D301" s="2">
        <f>IFERROR(__xludf.DUMMYFUNCTION("""COMPUTED_VALUE"""),1165.0)</f>
        <v>1165</v>
      </c>
      <c r="E301" s="2">
        <f>IFERROR(__xludf.DUMMYFUNCTION("""COMPUTED_VALUE"""),1170.0)</f>
        <v>1170</v>
      </c>
      <c r="F301" s="2">
        <f>IFERROR(__xludf.DUMMYFUNCTION("""COMPUTED_VALUE"""),6528700.0)</f>
        <v>6528700</v>
      </c>
      <c r="G301" s="2">
        <f t="shared" si="1"/>
        <v>15</v>
      </c>
    </row>
    <row r="302" ht="15.75" customHeight="1">
      <c r="A302" s="1">
        <f>IFERROR(__xludf.DUMMYFUNCTION("""COMPUTED_VALUE"""),45455.66666666667)</f>
        <v>45455.66667</v>
      </c>
      <c r="B302" s="2">
        <f>IFERROR(__xludf.DUMMYFUNCTION("""COMPUTED_VALUE"""),1170.0)</f>
        <v>1170</v>
      </c>
      <c r="C302" s="2">
        <f>IFERROR(__xludf.DUMMYFUNCTION("""COMPUTED_VALUE"""),1170.0)</f>
        <v>1170</v>
      </c>
      <c r="D302" s="2">
        <f>IFERROR(__xludf.DUMMYFUNCTION("""COMPUTED_VALUE"""),1110.0)</f>
        <v>1110</v>
      </c>
      <c r="E302" s="2">
        <f>IFERROR(__xludf.DUMMYFUNCTION("""COMPUTED_VALUE"""),1115.0)</f>
        <v>1115</v>
      </c>
      <c r="F302" s="2">
        <f>IFERROR(__xludf.DUMMYFUNCTION("""COMPUTED_VALUE"""),1.28691E7)</f>
        <v>12869100</v>
      </c>
      <c r="G302" s="2">
        <f t="shared" si="1"/>
        <v>60</v>
      </c>
    </row>
    <row r="303" ht="15.75" customHeight="1">
      <c r="A303" s="1">
        <f>IFERROR(__xludf.DUMMYFUNCTION("""COMPUTED_VALUE"""),45456.66666666667)</f>
        <v>45456.66667</v>
      </c>
      <c r="B303" s="2">
        <f>IFERROR(__xludf.DUMMYFUNCTION("""COMPUTED_VALUE"""),1120.0)</f>
        <v>1120</v>
      </c>
      <c r="C303" s="2">
        <f>IFERROR(__xludf.DUMMYFUNCTION("""COMPUTED_VALUE"""),1135.0)</f>
        <v>1135</v>
      </c>
      <c r="D303" s="2">
        <f>IFERROR(__xludf.DUMMYFUNCTION("""COMPUTED_VALUE"""),1115.0)</f>
        <v>1115</v>
      </c>
      <c r="E303" s="2">
        <f>IFERROR(__xludf.DUMMYFUNCTION("""COMPUTED_VALUE"""),1120.0)</f>
        <v>1120</v>
      </c>
      <c r="F303" s="2">
        <f>IFERROR(__xludf.DUMMYFUNCTION("""COMPUTED_VALUE"""),3379500.0)</f>
        <v>3379500</v>
      </c>
      <c r="G303" s="2">
        <f t="shared" si="1"/>
        <v>20</v>
      </c>
    </row>
    <row r="304" ht="15.75" customHeight="1">
      <c r="A304" s="1">
        <f>IFERROR(__xludf.DUMMYFUNCTION("""COMPUTED_VALUE"""),45457.66666666667)</f>
        <v>45457.66667</v>
      </c>
      <c r="B304" s="2">
        <f>IFERROR(__xludf.DUMMYFUNCTION("""COMPUTED_VALUE"""),1120.0)</f>
        <v>1120</v>
      </c>
      <c r="C304" s="2">
        <f>IFERROR(__xludf.DUMMYFUNCTION("""COMPUTED_VALUE"""),1125.0)</f>
        <v>1125</v>
      </c>
      <c r="D304" s="2">
        <f>IFERROR(__xludf.DUMMYFUNCTION("""COMPUTED_VALUE"""),1055.0)</f>
        <v>1055</v>
      </c>
      <c r="E304" s="2">
        <f>IFERROR(__xludf.DUMMYFUNCTION("""COMPUTED_VALUE"""),1060.0)</f>
        <v>1060</v>
      </c>
      <c r="F304" s="2">
        <f>IFERROR(__xludf.DUMMYFUNCTION("""COMPUTED_VALUE"""),1.14709E7)</f>
        <v>11470900</v>
      </c>
      <c r="G304" s="2">
        <f t="shared" si="1"/>
        <v>70</v>
      </c>
    </row>
    <row r="305" ht="15.75" customHeight="1">
      <c r="A305" s="1">
        <f>IFERROR(__xludf.DUMMYFUNCTION("""COMPUTED_VALUE"""),45462.66666666667)</f>
        <v>45462.66667</v>
      </c>
      <c r="B305" s="2">
        <f>IFERROR(__xludf.DUMMYFUNCTION("""COMPUTED_VALUE"""),1060.0)</f>
        <v>1060</v>
      </c>
      <c r="C305" s="2">
        <f>IFERROR(__xludf.DUMMYFUNCTION("""COMPUTED_VALUE"""),1060.0)</f>
        <v>1060</v>
      </c>
      <c r="D305" s="2">
        <f>IFERROR(__xludf.DUMMYFUNCTION("""COMPUTED_VALUE"""),1005.0)</f>
        <v>1005</v>
      </c>
      <c r="E305" s="2">
        <f>IFERROR(__xludf.DUMMYFUNCTION("""COMPUTED_VALUE"""),1005.0)</f>
        <v>1005</v>
      </c>
      <c r="F305" s="2">
        <f>IFERROR(__xludf.DUMMYFUNCTION("""COMPUTED_VALUE"""),1.60213E7)</f>
        <v>16021300</v>
      </c>
      <c r="G305" s="2">
        <f t="shared" si="1"/>
        <v>55</v>
      </c>
    </row>
    <row r="306" ht="15.75" customHeight="1">
      <c r="A306" s="1">
        <f>IFERROR(__xludf.DUMMYFUNCTION("""COMPUTED_VALUE"""),45463.66666666667)</f>
        <v>45463.66667</v>
      </c>
      <c r="B306" s="2">
        <f>IFERROR(__xludf.DUMMYFUNCTION("""COMPUTED_VALUE"""),1010.0)</f>
        <v>1010</v>
      </c>
      <c r="C306" s="2">
        <f>IFERROR(__xludf.DUMMYFUNCTION("""COMPUTED_VALUE"""),1055.0)</f>
        <v>1055</v>
      </c>
      <c r="D306" s="2">
        <f>IFERROR(__xludf.DUMMYFUNCTION("""COMPUTED_VALUE"""),1010.0)</f>
        <v>1010</v>
      </c>
      <c r="E306" s="2">
        <f>IFERROR(__xludf.DUMMYFUNCTION("""COMPUTED_VALUE"""),1045.0)</f>
        <v>1045</v>
      </c>
      <c r="F306" s="2">
        <f>IFERROR(__xludf.DUMMYFUNCTION("""COMPUTED_VALUE"""),9028800.0)</f>
        <v>9028800</v>
      </c>
      <c r="G306" s="2">
        <f t="shared" si="1"/>
        <v>50</v>
      </c>
    </row>
    <row r="307" ht="15.75" customHeight="1">
      <c r="A307" s="1">
        <f>IFERROR(__xludf.DUMMYFUNCTION("""COMPUTED_VALUE"""),45464.66666666667)</f>
        <v>45464.66667</v>
      </c>
      <c r="B307" s="2">
        <f>IFERROR(__xludf.DUMMYFUNCTION("""COMPUTED_VALUE"""),1050.0)</f>
        <v>1050</v>
      </c>
      <c r="C307" s="2">
        <f>IFERROR(__xludf.DUMMYFUNCTION("""COMPUTED_VALUE"""),1160.0)</f>
        <v>1160</v>
      </c>
      <c r="D307" s="2">
        <f>IFERROR(__xludf.DUMMYFUNCTION("""COMPUTED_VALUE"""),1050.0)</f>
        <v>1050</v>
      </c>
      <c r="E307" s="2">
        <f>IFERROR(__xludf.DUMMYFUNCTION("""COMPUTED_VALUE"""),1155.0)</f>
        <v>1155</v>
      </c>
      <c r="F307" s="2">
        <f>IFERROR(__xludf.DUMMYFUNCTION("""COMPUTED_VALUE"""),2.58808E7)</f>
        <v>25880800</v>
      </c>
      <c r="G307" s="2">
        <f t="shared" si="1"/>
        <v>115</v>
      </c>
    </row>
    <row r="308" ht="15.75" customHeight="1">
      <c r="A308" s="1">
        <f>IFERROR(__xludf.DUMMYFUNCTION("""COMPUTED_VALUE"""),45467.66666666667)</f>
        <v>45467.66667</v>
      </c>
      <c r="B308" s="2">
        <f>IFERROR(__xludf.DUMMYFUNCTION("""COMPUTED_VALUE"""),1155.0)</f>
        <v>1155</v>
      </c>
      <c r="C308" s="2">
        <f>IFERROR(__xludf.DUMMYFUNCTION("""COMPUTED_VALUE"""),1175.0)</f>
        <v>1175</v>
      </c>
      <c r="D308" s="2">
        <f>IFERROR(__xludf.DUMMYFUNCTION("""COMPUTED_VALUE"""),1140.0)</f>
        <v>1140</v>
      </c>
      <c r="E308" s="2">
        <f>IFERROR(__xludf.DUMMYFUNCTION("""COMPUTED_VALUE"""),1150.0)</f>
        <v>1150</v>
      </c>
      <c r="F308" s="2">
        <f>IFERROR(__xludf.DUMMYFUNCTION("""COMPUTED_VALUE"""),1.16869E7)</f>
        <v>11686900</v>
      </c>
      <c r="G308" s="2">
        <f t="shared" si="1"/>
        <v>35</v>
      </c>
    </row>
    <row r="309" ht="15.75" customHeight="1">
      <c r="A309" s="1">
        <f>IFERROR(__xludf.DUMMYFUNCTION("""COMPUTED_VALUE"""),45468.66666666667)</f>
        <v>45468.66667</v>
      </c>
      <c r="B309" s="2">
        <f>IFERROR(__xludf.DUMMYFUNCTION("""COMPUTED_VALUE"""),1155.0)</f>
        <v>1155</v>
      </c>
      <c r="C309" s="2">
        <f>IFERROR(__xludf.DUMMYFUNCTION("""COMPUTED_VALUE"""),1155.0)</f>
        <v>1155</v>
      </c>
      <c r="D309" s="2">
        <f>IFERROR(__xludf.DUMMYFUNCTION("""COMPUTED_VALUE"""),1135.0)</f>
        <v>1135</v>
      </c>
      <c r="E309" s="2">
        <f>IFERROR(__xludf.DUMMYFUNCTION("""COMPUTED_VALUE"""),1150.0)</f>
        <v>1150</v>
      </c>
      <c r="F309" s="2">
        <f>IFERROR(__xludf.DUMMYFUNCTION("""COMPUTED_VALUE"""),5254900.0)</f>
        <v>5254900</v>
      </c>
      <c r="G309" s="2">
        <f t="shared" si="1"/>
        <v>20</v>
      </c>
    </row>
    <row r="310" ht="15.75" customHeight="1">
      <c r="A310" s="1">
        <f>IFERROR(__xludf.DUMMYFUNCTION("""COMPUTED_VALUE"""),45469.66666666667)</f>
        <v>45469.66667</v>
      </c>
      <c r="B310" s="2">
        <f>IFERROR(__xludf.DUMMYFUNCTION("""COMPUTED_VALUE"""),1150.0)</f>
        <v>1150</v>
      </c>
      <c r="C310" s="2">
        <f>IFERROR(__xludf.DUMMYFUNCTION("""COMPUTED_VALUE"""),1190.0)</f>
        <v>1190</v>
      </c>
      <c r="D310" s="2">
        <f>IFERROR(__xludf.DUMMYFUNCTION("""COMPUTED_VALUE"""),1150.0)</f>
        <v>1150</v>
      </c>
      <c r="E310" s="2">
        <f>IFERROR(__xludf.DUMMYFUNCTION("""COMPUTED_VALUE"""),1180.0)</f>
        <v>1180</v>
      </c>
      <c r="F310" s="2">
        <f>IFERROR(__xludf.DUMMYFUNCTION("""COMPUTED_VALUE"""),2.3217E7)</f>
        <v>23217000</v>
      </c>
      <c r="G310" s="2">
        <f t="shared" si="1"/>
        <v>40</v>
      </c>
    </row>
    <row r="311" ht="15.75" customHeight="1">
      <c r="A311" s="1">
        <f>IFERROR(__xludf.DUMMYFUNCTION("""COMPUTED_VALUE"""),45470.66666666667)</f>
        <v>45470.66667</v>
      </c>
      <c r="B311" s="2">
        <f>IFERROR(__xludf.DUMMYFUNCTION("""COMPUTED_VALUE"""),1185.0)</f>
        <v>1185</v>
      </c>
      <c r="C311" s="2">
        <f>IFERROR(__xludf.DUMMYFUNCTION("""COMPUTED_VALUE"""),1205.0)</f>
        <v>1205</v>
      </c>
      <c r="D311" s="2">
        <f>IFERROR(__xludf.DUMMYFUNCTION("""COMPUTED_VALUE"""),1180.0)</f>
        <v>1180</v>
      </c>
      <c r="E311" s="2">
        <f>IFERROR(__xludf.DUMMYFUNCTION("""COMPUTED_VALUE"""),1200.0)</f>
        <v>1200</v>
      </c>
      <c r="F311" s="2">
        <f>IFERROR(__xludf.DUMMYFUNCTION("""COMPUTED_VALUE"""),1.40193E7)</f>
        <v>14019300</v>
      </c>
      <c r="G311" s="2">
        <f t="shared" si="1"/>
        <v>25</v>
      </c>
    </row>
    <row r="312" ht="15.75" customHeight="1">
      <c r="A312" s="1">
        <f>IFERROR(__xludf.DUMMYFUNCTION("""COMPUTED_VALUE"""),45471.66666666667)</f>
        <v>45471.66667</v>
      </c>
      <c r="B312" s="2">
        <f>IFERROR(__xludf.DUMMYFUNCTION("""COMPUTED_VALUE"""),1205.0)</f>
        <v>1205</v>
      </c>
      <c r="C312" s="2">
        <f>IFERROR(__xludf.DUMMYFUNCTION("""COMPUTED_VALUE"""),1210.0)</f>
        <v>1210</v>
      </c>
      <c r="D312" s="2">
        <f>IFERROR(__xludf.DUMMYFUNCTION("""COMPUTED_VALUE"""),1190.0)</f>
        <v>1190</v>
      </c>
      <c r="E312" s="2">
        <f>IFERROR(__xludf.DUMMYFUNCTION("""COMPUTED_VALUE"""),1190.0)</f>
        <v>1190</v>
      </c>
      <c r="F312" s="2">
        <f>IFERROR(__xludf.DUMMYFUNCTION("""COMPUTED_VALUE"""),9341600.0)</f>
        <v>9341600</v>
      </c>
      <c r="G312" s="2">
        <f t="shared" si="1"/>
        <v>20</v>
      </c>
    </row>
    <row r="313" ht="15.75" customHeight="1">
      <c r="A313" s="1">
        <f>IFERROR(__xludf.DUMMYFUNCTION("""COMPUTED_VALUE"""),45474.66666666667)</f>
        <v>45474.66667</v>
      </c>
      <c r="B313" s="2">
        <f>IFERROR(__xludf.DUMMYFUNCTION("""COMPUTED_VALUE"""),1195.0)</f>
        <v>1195</v>
      </c>
      <c r="C313" s="2">
        <f>IFERROR(__xludf.DUMMYFUNCTION("""COMPUTED_VALUE"""),1235.0)</f>
        <v>1235</v>
      </c>
      <c r="D313" s="2">
        <f>IFERROR(__xludf.DUMMYFUNCTION("""COMPUTED_VALUE"""),1195.0)</f>
        <v>1195</v>
      </c>
      <c r="E313" s="2">
        <f>IFERROR(__xludf.DUMMYFUNCTION("""COMPUTED_VALUE"""),1220.0)</f>
        <v>1220</v>
      </c>
      <c r="F313" s="2">
        <f>IFERROR(__xludf.DUMMYFUNCTION("""COMPUTED_VALUE"""),1.49939E7)</f>
        <v>14993900</v>
      </c>
      <c r="G313" s="2">
        <f t="shared" si="1"/>
        <v>45</v>
      </c>
    </row>
    <row r="314" ht="15.75" customHeight="1">
      <c r="A314" s="1">
        <f>IFERROR(__xludf.DUMMYFUNCTION("""COMPUTED_VALUE"""),45475.66666666667)</f>
        <v>45475.66667</v>
      </c>
      <c r="B314" s="2">
        <f>IFERROR(__xludf.DUMMYFUNCTION("""COMPUTED_VALUE"""),1220.0)</f>
        <v>1220</v>
      </c>
      <c r="C314" s="2">
        <f>IFERROR(__xludf.DUMMYFUNCTION("""COMPUTED_VALUE"""),1235.0)</f>
        <v>1235</v>
      </c>
      <c r="D314" s="2">
        <f>IFERROR(__xludf.DUMMYFUNCTION("""COMPUTED_VALUE"""),1200.0)</f>
        <v>1200</v>
      </c>
      <c r="E314" s="2">
        <f>IFERROR(__xludf.DUMMYFUNCTION("""COMPUTED_VALUE"""),1210.0)</f>
        <v>1210</v>
      </c>
      <c r="F314" s="2">
        <f>IFERROR(__xludf.DUMMYFUNCTION("""COMPUTED_VALUE"""),9842200.0)</f>
        <v>9842200</v>
      </c>
      <c r="G314" s="2">
        <f t="shared" si="1"/>
        <v>35</v>
      </c>
    </row>
    <row r="315" ht="15.75" customHeight="1">
      <c r="A315" s="1">
        <f>IFERROR(__xludf.DUMMYFUNCTION("""COMPUTED_VALUE"""),45476.66666666667)</f>
        <v>45476.66667</v>
      </c>
      <c r="B315" s="2">
        <f>IFERROR(__xludf.DUMMYFUNCTION("""COMPUTED_VALUE"""),1215.0)</f>
        <v>1215</v>
      </c>
      <c r="C315" s="2">
        <f>IFERROR(__xludf.DUMMYFUNCTION("""COMPUTED_VALUE"""),1215.0)</f>
        <v>1215</v>
      </c>
      <c r="D315" s="2">
        <f>IFERROR(__xludf.DUMMYFUNCTION("""COMPUTED_VALUE"""),1180.0)</f>
        <v>1180</v>
      </c>
      <c r="E315" s="2">
        <f>IFERROR(__xludf.DUMMYFUNCTION("""COMPUTED_VALUE"""),1200.0)</f>
        <v>1200</v>
      </c>
      <c r="F315" s="2">
        <f>IFERROR(__xludf.DUMMYFUNCTION("""COMPUTED_VALUE"""),1.14691E7)</f>
        <v>11469100</v>
      </c>
      <c r="G315" s="2">
        <f t="shared" si="1"/>
        <v>35</v>
      </c>
    </row>
    <row r="316" ht="15.75" customHeight="1">
      <c r="A316" s="1">
        <f>IFERROR(__xludf.DUMMYFUNCTION("""COMPUTED_VALUE"""),45477.66666666667)</f>
        <v>45477.66667</v>
      </c>
      <c r="B316" s="2">
        <f>IFERROR(__xludf.DUMMYFUNCTION("""COMPUTED_VALUE"""),1205.0)</f>
        <v>1205</v>
      </c>
      <c r="C316" s="2">
        <f>IFERROR(__xludf.DUMMYFUNCTION("""COMPUTED_VALUE"""),1225.0)</f>
        <v>1225</v>
      </c>
      <c r="D316" s="2">
        <f>IFERROR(__xludf.DUMMYFUNCTION("""COMPUTED_VALUE"""),1195.0)</f>
        <v>1195</v>
      </c>
      <c r="E316" s="2">
        <f>IFERROR(__xludf.DUMMYFUNCTION("""COMPUTED_VALUE"""),1200.0)</f>
        <v>1200</v>
      </c>
      <c r="F316" s="2">
        <f>IFERROR(__xludf.DUMMYFUNCTION("""COMPUTED_VALUE"""),1.41159E7)</f>
        <v>14115900</v>
      </c>
      <c r="G316" s="2">
        <f t="shared" si="1"/>
        <v>30</v>
      </c>
    </row>
    <row r="317" ht="15.75" customHeight="1">
      <c r="A317" s="1">
        <f>IFERROR(__xludf.DUMMYFUNCTION("""COMPUTED_VALUE"""),45478.66666666667)</f>
        <v>45478.66667</v>
      </c>
      <c r="B317" s="2">
        <f>IFERROR(__xludf.DUMMYFUNCTION("""COMPUTED_VALUE"""),1200.0)</f>
        <v>1200</v>
      </c>
      <c r="C317" s="2">
        <f>IFERROR(__xludf.DUMMYFUNCTION("""COMPUTED_VALUE"""),1235.0)</f>
        <v>1235</v>
      </c>
      <c r="D317" s="2">
        <f>IFERROR(__xludf.DUMMYFUNCTION("""COMPUTED_VALUE"""),1200.0)</f>
        <v>1200</v>
      </c>
      <c r="E317" s="2">
        <f>IFERROR(__xludf.DUMMYFUNCTION("""COMPUTED_VALUE"""),1230.0)</f>
        <v>1230</v>
      </c>
      <c r="F317" s="2">
        <f>IFERROR(__xludf.DUMMYFUNCTION("""COMPUTED_VALUE"""),9975000.0)</f>
        <v>9975000</v>
      </c>
      <c r="G317" s="2">
        <f t="shared" si="1"/>
        <v>35</v>
      </c>
    </row>
    <row r="318" ht="15.75" customHeight="1">
      <c r="A318" s="1">
        <f>IFERROR(__xludf.DUMMYFUNCTION("""COMPUTED_VALUE"""),45481.66666666667)</f>
        <v>45481.66667</v>
      </c>
      <c r="B318" s="2">
        <f>IFERROR(__xludf.DUMMYFUNCTION("""COMPUTED_VALUE"""),1240.0)</f>
        <v>1240</v>
      </c>
      <c r="C318" s="2">
        <f>IFERROR(__xludf.DUMMYFUNCTION("""COMPUTED_VALUE"""),1245.0)</f>
        <v>1245</v>
      </c>
      <c r="D318" s="2">
        <f>IFERROR(__xludf.DUMMYFUNCTION("""COMPUTED_VALUE"""),1215.0)</f>
        <v>1215</v>
      </c>
      <c r="E318" s="2">
        <f>IFERROR(__xludf.DUMMYFUNCTION("""COMPUTED_VALUE"""),1230.0)</f>
        <v>1230</v>
      </c>
      <c r="F318" s="2">
        <f>IFERROR(__xludf.DUMMYFUNCTION("""COMPUTED_VALUE"""),1.0577E7)</f>
        <v>10577000</v>
      </c>
      <c r="G318" s="2">
        <f t="shared" si="1"/>
        <v>30</v>
      </c>
    </row>
    <row r="319" ht="15.75" customHeight="1">
      <c r="A319" s="1">
        <f>IFERROR(__xludf.DUMMYFUNCTION("""COMPUTED_VALUE"""),45482.66666666667)</f>
        <v>45482.66667</v>
      </c>
      <c r="B319" s="2">
        <f>IFERROR(__xludf.DUMMYFUNCTION("""COMPUTED_VALUE"""),1235.0)</f>
        <v>1235</v>
      </c>
      <c r="C319" s="2">
        <f>IFERROR(__xludf.DUMMYFUNCTION("""COMPUTED_VALUE"""),1235.0)</f>
        <v>1235</v>
      </c>
      <c r="D319" s="2">
        <f>IFERROR(__xludf.DUMMYFUNCTION("""COMPUTED_VALUE"""),1210.0)</f>
        <v>1210</v>
      </c>
      <c r="E319" s="2">
        <f>IFERROR(__xludf.DUMMYFUNCTION("""COMPUTED_VALUE"""),1220.0)</f>
        <v>1220</v>
      </c>
      <c r="F319" s="2">
        <f>IFERROR(__xludf.DUMMYFUNCTION("""COMPUTED_VALUE"""),6475300.0)</f>
        <v>6475300</v>
      </c>
      <c r="G319" s="2">
        <f t="shared" si="1"/>
        <v>25</v>
      </c>
    </row>
    <row r="320" ht="15.75" customHeight="1">
      <c r="A320" s="1">
        <f>IFERROR(__xludf.DUMMYFUNCTION("""COMPUTED_VALUE"""),45483.66666666667)</f>
        <v>45483.66667</v>
      </c>
      <c r="B320" s="2">
        <f>IFERROR(__xludf.DUMMYFUNCTION("""COMPUTED_VALUE"""),1225.0)</f>
        <v>1225</v>
      </c>
      <c r="C320" s="2">
        <f>IFERROR(__xludf.DUMMYFUNCTION("""COMPUTED_VALUE"""),1270.0)</f>
        <v>1270</v>
      </c>
      <c r="D320" s="2">
        <f>IFERROR(__xludf.DUMMYFUNCTION("""COMPUTED_VALUE"""),1220.0)</f>
        <v>1220</v>
      </c>
      <c r="E320" s="2">
        <f>IFERROR(__xludf.DUMMYFUNCTION("""COMPUTED_VALUE"""),1260.0)</f>
        <v>1260</v>
      </c>
      <c r="F320" s="2">
        <f>IFERROR(__xludf.DUMMYFUNCTION("""COMPUTED_VALUE"""),2.01306E7)</f>
        <v>20130600</v>
      </c>
      <c r="G320" s="2">
        <f t="shared" si="1"/>
        <v>50</v>
      </c>
    </row>
    <row r="321" ht="15.75" customHeight="1">
      <c r="A321" s="1">
        <f>IFERROR(__xludf.DUMMYFUNCTION("""COMPUTED_VALUE"""),45484.66666666667)</f>
        <v>45484.66667</v>
      </c>
      <c r="B321" s="2">
        <f>IFERROR(__xludf.DUMMYFUNCTION("""COMPUTED_VALUE"""),1260.0)</f>
        <v>1260</v>
      </c>
      <c r="C321" s="2">
        <f>IFERROR(__xludf.DUMMYFUNCTION("""COMPUTED_VALUE"""),1350.0)</f>
        <v>1350</v>
      </c>
      <c r="D321" s="2">
        <f>IFERROR(__xludf.DUMMYFUNCTION("""COMPUTED_VALUE"""),1260.0)</f>
        <v>1260</v>
      </c>
      <c r="E321" s="2">
        <f>IFERROR(__xludf.DUMMYFUNCTION("""COMPUTED_VALUE"""),1285.0)</f>
        <v>1285</v>
      </c>
      <c r="F321" s="2">
        <f>IFERROR(__xludf.DUMMYFUNCTION("""COMPUTED_VALUE"""),7.71805E7)</f>
        <v>77180500</v>
      </c>
      <c r="G321" s="2">
        <f t="shared" si="1"/>
        <v>90</v>
      </c>
    </row>
    <row r="322" ht="15.75" customHeight="1">
      <c r="A322" s="1">
        <f>IFERROR(__xludf.DUMMYFUNCTION("""COMPUTED_VALUE"""),45485.66666666667)</f>
        <v>45485.66667</v>
      </c>
      <c r="B322" s="2">
        <f>IFERROR(__xludf.DUMMYFUNCTION("""COMPUTED_VALUE"""),1295.0)</f>
        <v>1295</v>
      </c>
      <c r="C322" s="2">
        <f>IFERROR(__xludf.DUMMYFUNCTION("""COMPUTED_VALUE"""),1325.0)</f>
        <v>1325</v>
      </c>
      <c r="D322" s="2">
        <f>IFERROR(__xludf.DUMMYFUNCTION("""COMPUTED_VALUE"""),1280.0)</f>
        <v>1280</v>
      </c>
      <c r="E322" s="2">
        <f>IFERROR(__xludf.DUMMYFUNCTION("""COMPUTED_VALUE"""),1285.0)</f>
        <v>1285</v>
      </c>
      <c r="F322" s="2">
        <f>IFERROR(__xludf.DUMMYFUNCTION("""COMPUTED_VALUE"""),2.63684E7)</f>
        <v>26368400</v>
      </c>
      <c r="G322" s="2">
        <f t="shared" si="1"/>
        <v>45</v>
      </c>
    </row>
    <row r="323" ht="15.75" customHeight="1">
      <c r="A323" s="1">
        <f>IFERROR(__xludf.DUMMYFUNCTION("""COMPUTED_VALUE"""),45488.66666666667)</f>
        <v>45488.66667</v>
      </c>
      <c r="B323" s="2">
        <f>IFERROR(__xludf.DUMMYFUNCTION("""COMPUTED_VALUE"""),1295.0)</f>
        <v>1295</v>
      </c>
      <c r="C323" s="2">
        <f>IFERROR(__xludf.DUMMYFUNCTION("""COMPUTED_VALUE"""),1325.0)</f>
        <v>1325</v>
      </c>
      <c r="D323" s="2">
        <f>IFERROR(__xludf.DUMMYFUNCTION("""COMPUTED_VALUE"""),1270.0)</f>
        <v>1270</v>
      </c>
      <c r="E323" s="2">
        <f>IFERROR(__xludf.DUMMYFUNCTION("""COMPUTED_VALUE"""),1275.0)</f>
        <v>1275</v>
      </c>
      <c r="F323" s="2">
        <f>IFERROR(__xludf.DUMMYFUNCTION("""COMPUTED_VALUE"""),1.22362E7)</f>
        <v>12236200</v>
      </c>
      <c r="G323" s="2">
        <f t="shared" si="1"/>
        <v>55</v>
      </c>
    </row>
    <row r="324" ht="15.75" customHeight="1">
      <c r="A324" s="1">
        <f>IFERROR(__xludf.DUMMYFUNCTION("""COMPUTED_VALUE"""),45489.66666666667)</f>
        <v>45489.66667</v>
      </c>
      <c r="B324" s="2">
        <f>IFERROR(__xludf.DUMMYFUNCTION("""COMPUTED_VALUE"""),1275.0)</f>
        <v>1275</v>
      </c>
      <c r="C324" s="2">
        <f>IFERROR(__xludf.DUMMYFUNCTION("""COMPUTED_VALUE"""),1300.0)</f>
        <v>1300</v>
      </c>
      <c r="D324" s="2">
        <f>IFERROR(__xludf.DUMMYFUNCTION("""COMPUTED_VALUE"""),1255.0)</f>
        <v>1255</v>
      </c>
      <c r="E324" s="2">
        <f>IFERROR(__xludf.DUMMYFUNCTION("""COMPUTED_VALUE"""),1285.0)</f>
        <v>1285</v>
      </c>
      <c r="F324" s="2">
        <f>IFERROR(__xludf.DUMMYFUNCTION("""COMPUTED_VALUE"""),1.45834E7)</f>
        <v>14583400</v>
      </c>
      <c r="G324" s="2">
        <f t="shared" si="1"/>
        <v>45</v>
      </c>
    </row>
    <row r="325" ht="15.75" customHeight="1">
      <c r="A325" s="1">
        <f>IFERROR(__xludf.DUMMYFUNCTION("""COMPUTED_VALUE"""),45490.66666666667)</f>
        <v>45490.66667</v>
      </c>
      <c r="B325" s="2">
        <f>IFERROR(__xludf.DUMMYFUNCTION("""COMPUTED_VALUE"""),1285.0)</f>
        <v>1285</v>
      </c>
      <c r="C325" s="2">
        <f>IFERROR(__xludf.DUMMYFUNCTION("""COMPUTED_VALUE"""),1310.0)</f>
        <v>1310</v>
      </c>
      <c r="D325" s="2">
        <f>IFERROR(__xludf.DUMMYFUNCTION("""COMPUTED_VALUE"""),1250.0)</f>
        <v>1250</v>
      </c>
      <c r="E325" s="2">
        <f>IFERROR(__xludf.DUMMYFUNCTION("""COMPUTED_VALUE"""),1260.0)</f>
        <v>1260</v>
      </c>
      <c r="F325" s="2">
        <f>IFERROR(__xludf.DUMMYFUNCTION("""COMPUTED_VALUE"""),1.30178E7)</f>
        <v>13017800</v>
      </c>
      <c r="G325" s="2">
        <f t="shared" si="1"/>
        <v>60</v>
      </c>
    </row>
    <row r="326" ht="15.75" customHeight="1">
      <c r="A326" s="1">
        <f>IFERROR(__xludf.DUMMYFUNCTION("""COMPUTED_VALUE"""),45491.66666666667)</f>
        <v>45491.66667</v>
      </c>
      <c r="B326" s="2">
        <f>IFERROR(__xludf.DUMMYFUNCTION("""COMPUTED_VALUE"""),1265.0)</f>
        <v>1265</v>
      </c>
      <c r="C326" s="2">
        <f>IFERROR(__xludf.DUMMYFUNCTION("""COMPUTED_VALUE"""),1290.0)</f>
        <v>1290</v>
      </c>
      <c r="D326" s="2">
        <f>IFERROR(__xludf.DUMMYFUNCTION("""COMPUTED_VALUE"""),1255.0)</f>
        <v>1255</v>
      </c>
      <c r="E326" s="2">
        <f>IFERROR(__xludf.DUMMYFUNCTION("""COMPUTED_VALUE"""),1285.0)</f>
        <v>1285</v>
      </c>
      <c r="F326" s="2">
        <f>IFERROR(__xludf.DUMMYFUNCTION("""COMPUTED_VALUE"""),1.20726E7)</f>
        <v>12072600</v>
      </c>
      <c r="G326" s="2">
        <f t="shared" si="1"/>
        <v>35</v>
      </c>
    </row>
    <row r="327" ht="15.75" customHeight="1">
      <c r="A327" s="1">
        <f>IFERROR(__xludf.DUMMYFUNCTION("""COMPUTED_VALUE"""),45492.66666666667)</f>
        <v>45492.66667</v>
      </c>
      <c r="B327" s="2">
        <f>IFERROR(__xludf.DUMMYFUNCTION("""COMPUTED_VALUE"""),1290.0)</f>
        <v>1290</v>
      </c>
      <c r="C327" s="2">
        <f>IFERROR(__xludf.DUMMYFUNCTION("""COMPUTED_VALUE"""),1310.0)</f>
        <v>1310</v>
      </c>
      <c r="D327" s="2">
        <f>IFERROR(__xludf.DUMMYFUNCTION("""COMPUTED_VALUE"""),1260.0)</f>
        <v>1260</v>
      </c>
      <c r="E327" s="2">
        <f>IFERROR(__xludf.DUMMYFUNCTION("""COMPUTED_VALUE"""),1290.0)</f>
        <v>1290</v>
      </c>
      <c r="F327" s="2">
        <f>IFERROR(__xludf.DUMMYFUNCTION("""COMPUTED_VALUE"""),2.04902E7)</f>
        <v>20490200</v>
      </c>
      <c r="G327" s="2">
        <f t="shared" si="1"/>
        <v>50</v>
      </c>
    </row>
    <row r="328" ht="15.75" customHeight="1">
      <c r="A328" s="1">
        <f>IFERROR(__xludf.DUMMYFUNCTION("""COMPUTED_VALUE"""),45495.66666666667)</f>
        <v>45495.66667</v>
      </c>
      <c r="B328" s="2">
        <f>IFERROR(__xludf.DUMMYFUNCTION("""COMPUTED_VALUE"""),1280.0)</f>
        <v>1280</v>
      </c>
      <c r="C328" s="2">
        <f>IFERROR(__xludf.DUMMYFUNCTION("""COMPUTED_VALUE"""),1320.0)</f>
        <v>1320</v>
      </c>
      <c r="D328" s="2">
        <f>IFERROR(__xludf.DUMMYFUNCTION("""COMPUTED_VALUE"""),1275.0)</f>
        <v>1275</v>
      </c>
      <c r="E328" s="2">
        <f>IFERROR(__xludf.DUMMYFUNCTION("""COMPUTED_VALUE"""),1295.0)</f>
        <v>1295</v>
      </c>
      <c r="F328" s="2">
        <f>IFERROR(__xludf.DUMMYFUNCTION("""COMPUTED_VALUE"""),1.86844E7)</f>
        <v>18684400</v>
      </c>
      <c r="G328" s="2">
        <f t="shared" si="1"/>
        <v>45</v>
      </c>
    </row>
    <row r="329" ht="15.75" customHeight="1">
      <c r="A329" s="1">
        <f>IFERROR(__xludf.DUMMYFUNCTION("""COMPUTED_VALUE"""),45496.66666666667)</f>
        <v>45496.66667</v>
      </c>
      <c r="B329" s="2">
        <f>IFERROR(__xludf.DUMMYFUNCTION("""COMPUTED_VALUE"""),1300.0)</f>
        <v>1300</v>
      </c>
      <c r="C329" s="2">
        <f>IFERROR(__xludf.DUMMYFUNCTION("""COMPUTED_VALUE"""),1305.0)</f>
        <v>1305</v>
      </c>
      <c r="D329" s="2">
        <f>IFERROR(__xludf.DUMMYFUNCTION("""COMPUTED_VALUE"""),1280.0)</f>
        <v>1280</v>
      </c>
      <c r="E329" s="2">
        <f>IFERROR(__xludf.DUMMYFUNCTION("""COMPUTED_VALUE"""),1280.0)</f>
        <v>1280</v>
      </c>
      <c r="F329" s="2">
        <f>IFERROR(__xludf.DUMMYFUNCTION("""COMPUTED_VALUE"""),6519600.0)</f>
        <v>6519600</v>
      </c>
      <c r="G329" s="2">
        <f t="shared" si="1"/>
        <v>25</v>
      </c>
    </row>
    <row r="330" ht="15.75" customHeight="1">
      <c r="A330" s="1">
        <f>IFERROR(__xludf.DUMMYFUNCTION("""COMPUTED_VALUE"""),45497.66666666667)</f>
        <v>45497.66667</v>
      </c>
      <c r="B330" s="2">
        <f>IFERROR(__xludf.DUMMYFUNCTION("""COMPUTED_VALUE"""),1285.0)</f>
        <v>1285</v>
      </c>
      <c r="C330" s="2">
        <f>IFERROR(__xludf.DUMMYFUNCTION("""COMPUTED_VALUE"""),1290.0)</f>
        <v>1290</v>
      </c>
      <c r="D330" s="2">
        <f>IFERROR(__xludf.DUMMYFUNCTION("""COMPUTED_VALUE"""),1255.0)</f>
        <v>1255</v>
      </c>
      <c r="E330" s="2">
        <f>IFERROR(__xludf.DUMMYFUNCTION("""COMPUTED_VALUE"""),1275.0)</f>
        <v>1275</v>
      </c>
      <c r="F330" s="2">
        <f>IFERROR(__xludf.DUMMYFUNCTION("""COMPUTED_VALUE"""),8702300.0)</f>
        <v>8702300</v>
      </c>
      <c r="G330" s="2">
        <f t="shared" si="1"/>
        <v>35</v>
      </c>
    </row>
    <row r="331" ht="15.75" customHeight="1">
      <c r="A331" s="1">
        <f>IFERROR(__xludf.DUMMYFUNCTION("""COMPUTED_VALUE"""),45498.66666666667)</f>
        <v>45498.66667</v>
      </c>
      <c r="B331" s="2">
        <f>IFERROR(__xludf.DUMMYFUNCTION("""COMPUTED_VALUE"""),1275.0)</f>
        <v>1275</v>
      </c>
      <c r="C331" s="2">
        <f>IFERROR(__xludf.DUMMYFUNCTION("""COMPUTED_VALUE"""),1285.0)</f>
        <v>1285</v>
      </c>
      <c r="D331" s="2">
        <f>IFERROR(__xludf.DUMMYFUNCTION("""COMPUTED_VALUE"""),1250.0)</f>
        <v>1250</v>
      </c>
      <c r="E331" s="2">
        <f>IFERROR(__xludf.DUMMYFUNCTION("""COMPUTED_VALUE"""),1270.0)</f>
        <v>1270</v>
      </c>
      <c r="F331" s="2">
        <f>IFERROR(__xludf.DUMMYFUNCTION("""COMPUTED_VALUE"""),4105400.0)</f>
        <v>4105400</v>
      </c>
      <c r="G331" s="2">
        <f t="shared" si="1"/>
        <v>35</v>
      </c>
    </row>
    <row r="332" ht="15.75" customHeight="1">
      <c r="A332" s="1">
        <f>IFERROR(__xludf.DUMMYFUNCTION("""COMPUTED_VALUE"""),45499.66666666667)</f>
        <v>45499.66667</v>
      </c>
      <c r="B332" s="2">
        <f>IFERROR(__xludf.DUMMYFUNCTION("""COMPUTED_VALUE"""),1270.0)</f>
        <v>1270</v>
      </c>
      <c r="C332" s="2">
        <f>IFERROR(__xludf.DUMMYFUNCTION("""COMPUTED_VALUE"""),1285.0)</f>
        <v>1285</v>
      </c>
      <c r="D332" s="2">
        <f>IFERROR(__xludf.DUMMYFUNCTION("""COMPUTED_VALUE"""),1260.0)</f>
        <v>1260</v>
      </c>
      <c r="E332" s="2">
        <f>IFERROR(__xludf.DUMMYFUNCTION("""COMPUTED_VALUE"""),1265.0)</f>
        <v>1265</v>
      </c>
      <c r="F332" s="2">
        <f>IFERROR(__xludf.DUMMYFUNCTION("""COMPUTED_VALUE"""),4508300.0)</f>
        <v>4508300</v>
      </c>
      <c r="G332" s="2">
        <f t="shared" si="1"/>
        <v>25</v>
      </c>
    </row>
    <row r="333" ht="15.75" customHeight="1">
      <c r="A333" s="1">
        <f>IFERROR(__xludf.DUMMYFUNCTION("""COMPUTED_VALUE"""),45502.66666666667)</f>
        <v>45502.66667</v>
      </c>
      <c r="B333" s="2">
        <f>IFERROR(__xludf.DUMMYFUNCTION("""COMPUTED_VALUE"""),1280.0)</f>
        <v>1280</v>
      </c>
      <c r="C333" s="2">
        <f>IFERROR(__xludf.DUMMYFUNCTION("""COMPUTED_VALUE"""),1295.0)</f>
        <v>1295</v>
      </c>
      <c r="D333" s="2">
        <f>IFERROR(__xludf.DUMMYFUNCTION("""COMPUTED_VALUE"""),1260.0)</f>
        <v>1260</v>
      </c>
      <c r="E333" s="2">
        <f>IFERROR(__xludf.DUMMYFUNCTION("""COMPUTED_VALUE"""),1285.0)</f>
        <v>1285</v>
      </c>
      <c r="F333" s="2">
        <f>IFERROR(__xludf.DUMMYFUNCTION("""COMPUTED_VALUE"""),8861700.0)</f>
        <v>8861700</v>
      </c>
      <c r="G333" s="2">
        <f t="shared" si="1"/>
        <v>35</v>
      </c>
    </row>
    <row r="334" ht="15.75" customHeight="1">
      <c r="A334" s="1">
        <f>IFERROR(__xludf.DUMMYFUNCTION("""COMPUTED_VALUE"""),45503.66666666667)</f>
        <v>45503.66667</v>
      </c>
      <c r="B334" s="2">
        <f>IFERROR(__xludf.DUMMYFUNCTION("""COMPUTED_VALUE"""),1285.0)</f>
        <v>1285</v>
      </c>
      <c r="C334" s="2">
        <f>IFERROR(__xludf.DUMMYFUNCTION("""COMPUTED_VALUE"""),1290.0)</f>
        <v>1290</v>
      </c>
      <c r="D334" s="2">
        <f>IFERROR(__xludf.DUMMYFUNCTION("""COMPUTED_VALUE"""),1250.0)</f>
        <v>1250</v>
      </c>
      <c r="E334" s="2">
        <f>IFERROR(__xludf.DUMMYFUNCTION("""COMPUTED_VALUE"""),1280.0)</f>
        <v>1280</v>
      </c>
      <c r="F334" s="2">
        <f>IFERROR(__xludf.DUMMYFUNCTION("""COMPUTED_VALUE"""),6450300.0)</f>
        <v>6450300</v>
      </c>
      <c r="G334" s="2">
        <f t="shared" si="1"/>
        <v>40</v>
      </c>
    </row>
    <row r="335" ht="15.75" customHeight="1">
      <c r="A335" s="1">
        <f>IFERROR(__xludf.DUMMYFUNCTION("""COMPUTED_VALUE"""),45504.66666666667)</f>
        <v>45504.66667</v>
      </c>
      <c r="B335" s="2">
        <f>IFERROR(__xludf.DUMMYFUNCTION("""COMPUTED_VALUE"""),1280.0)</f>
        <v>1280</v>
      </c>
      <c r="C335" s="2">
        <f>IFERROR(__xludf.DUMMYFUNCTION("""COMPUTED_VALUE"""),1330.0)</f>
        <v>1330</v>
      </c>
      <c r="D335" s="2">
        <f>IFERROR(__xludf.DUMMYFUNCTION("""COMPUTED_VALUE"""),1275.0)</f>
        <v>1275</v>
      </c>
      <c r="E335" s="2">
        <f>IFERROR(__xludf.DUMMYFUNCTION("""COMPUTED_VALUE"""),1315.0)</f>
        <v>1315</v>
      </c>
      <c r="F335" s="2">
        <f>IFERROR(__xludf.DUMMYFUNCTION("""COMPUTED_VALUE"""),2.84159E7)</f>
        <v>28415900</v>
      </c>
      <c r="G335" s="2">
        <f t="shared" si="1"/>
        <v>55</v>
      </c>
    </row>
    <row r="336" ht="15.75" customHeight="1">
      <c r="A336" s="1">
        <f>IFERROR(__xludf.DUMMYFUNCTION("""COMPUTED_VALUE"""),45505.66666666667)</f>
        <v>45505.66667</v>
      </c>
      <c r="B336" s="2">
        <f>IFERROR(__xludf.DUMMYFUNCTION("""COMPUTED_VALUE"""),1325.0)</f>
        <v>1325</v>
      </c>
      <c r="C336" s="2">
        <f>IFERROR(__xludf.DUMMYFUNCTION("""COMPUTED_VALUE"""),1335.0)</f>
        <v>1335</v>
      </c>
      <c r="D336" s="2">
        <f>IFERROR(__xludf.DUMMYFUNCTION("""COMPUTED_VALUE"""),1280.0)</f>
        <v>1280</v>
      </c>
      <c r="E336" s="2">
        <f>IFERROR(__xludf.DUMMYFUNCTION("""COMPUTED_VALUE"""),1285.0)</f>
        <v>1285</v>
      </c>
      <c r="F336" s="2">
        <f>IFERROR(__xludf.DUMMYFUNCTION("""COMPUTED_VALUE"""),1.96881E7)</f>
        <v>19688100</v>
      </c>
      <c r="G336" s="2">
        <f t="shared" si="1"/>
        <v>55</v>
      </c>
    </row>
    <row r="337" ht="15.75" customHeight="1">
      <c r="A337" s="1">
        <f>IFERROR(__xludf.DUMMYFUNCTION("""COMPUTED_VALUE"""),45506.66666666667)</f>
        <v>45506.66667</v>
      </c>
      <c r="B337" s="2">
        <f>IFERROR(__xludf.DUMMYFUNCTION("""COMPUTED_VALUE"""),1285.0)</f>
        <v>1285</v>
      </c>
      <c r="C337" s="2">
        <f>IFERROR(__xludf.DUMMYFUNCTION("""COMPUTED_VALUE"""),1285.0)</f>
        <v>1285</v>
      </c>
      <c r="D337" s="2">
        <f>IFERROR(__xludf.DUMMYFUNCTION("""COMPUTED_VALUE"""),1255.0)</f>
        <v>1255</v>
      </c>
      <c r="E337" s="2">
        <f>IFERROR(__xludf.DUMMYFUNCTION("""COMPUTED_VALUE"""),1255.0)</f>
        <v>1255</v>
      </c>
      <c r="F337" s="2">
        <f>IFERROR(__xludf.DUMMYFUNCTION("""COMPUTED_VALUE"""),1.65774E7)</f>
        <v>16577400</v>
      </c>
      <c r="G337" s="2">
        <f t="shared" si="1"/>
        <v>30</v>
      </c>
    </row>
    <row r="338" ht="15.75" customHeight="1">
      <c r="A338" s="1">
        <f>IFERROR(__xludf.DUMMYFUNCTION("""COMPUTED_VALUE"""),45509.66666666667)</f>
        <v>45509.66667</v>
      </c>
      <c r="B338" s="2">
        <f>IFERROR(__xludf.DUMMYFUNCTION("""COMPUTED_VALUE"""),1250.0)</f>
        <v>1250</v>
      </c>
      <c r="C338" s="2">
        <f>IFERROR(__xludf.DUMMYFUNCTION("""COMPUTED_VALUE"""),1250.0)</f>
        <v>1250</v>
      </c>
      <c r="D338" s="2">
        <f>IFERROR(__xludf.DUMMYFUNCTION("""COMPUTED_VALUE"""),1195.0)</f>
        <v>1195</v>
      </c>
      <c r="E338" s="2">
        <f>IFERROR(__xludf.DUMMYFUNCTION("""COMPUTED_VALUE"""),1210.0)</f>
        <v>1210</v>
      </c>
      <c r="F338" s="2">
        <f>IFERROR(__xludf.DUMMYFUNCTION("""COMPUTED_VALUE"""),3.21227E7)</f>
        <v>32122700</v>
      </c>
      <c r="G338" s="2">
        <f t="shared" si="1"/>
        <v>60</v>
      </c>
    </row>
    <row r="339" ht="15.75" customHeight="1">
      <c r="A339" s="1">
        <f>IFERROR(__xludf.DUMMYFUNCTION("""COMPUTED_VALUE"""),45510.66666666667)</f>
        <v>45510.66667</v>
      </c>
      <c r="B339" s="2">
        <f>IFERROR(__xludf.DUMMYFUNCTION("""COMPUTED_VALUE"""),1215.0)</f>
        <v>1215</v>
      </c>
      <c r="C339" s="2">
        <f>IFERROR(__xludf.DUMMYFUNCTION("""COMPUTED_VALUE"""),1260.0)</f>
        <v>1260</v>
      </c>
      <c r="D339" s="2">
        <f>IFERROR(__xludf.DUMMYFUNCTION("""COMPUTED_VALUE"""),1215.0)</f>
        <v>1215</v>
      </c>
      <c r="E339" s="2">
        <f>IFERROR(__xludf.DUMMYFUNCTION("""COMPUTED_VALUE"""),1245.0)</f>
        <v>1245</v>
      </c>
      <c r="F339" s="2">
        <f>IFERROR(__xludf.DUMMYFUNCTION("""COMPUTED_VALUE"""),1.60262E7)</f>
        <v>16026200</v>
      </c>
      <c r="G339" s="2">
        <f t="shared" si="1"/>
        <v>50</v>
      </c>
    </row>
    <row r="340" ht="15.75" customHeight="1">
      <c r="A340" s="1">
        <f>IFERROR(__xludf.DUMMYFUNCTION("""COMPUTED_VALUE"""),45511.66666666667)</f>
        <v>45511.66667</v>
      </c>
      <c r="B340" s="2">
        <f>IFERROR(__xludf.DUMMYFUNCTION("""COMPUTED_VALUE"""),1250.0)</f>
        <v>1250</v>
      </c>
      <c r="C340" s="2">
        <f>IFERROR(__xludf.DUMMYFUNCTION("""COMPUTED_VALUE"""),1265.0)</f>
        <v>1265</v>
      </c>
      <c r="D340" s="2">
        <f>IFERROR(__xludf.DUMMYFUNCTION("""COMPUTED_VALUE"""),1245.0)</f>
        <v>1245</v>
      </c>
      <c r="E340" s="2">
        <f>IFERROR(__xludf.DUMMYFUNCTION("""COMPUTED_VALUE"""),1250.0)</f>
        <v>1250</v>
      </c>
      <c r="F340" s="2">
        <f>IFERROR(__xludf.DUMMYFUNCTION("""COMPUTED_VALUE"""),8146400.0)</f>
        <v>8146400</v>
      </c>
      <c r="G340" s="2">
        <f t="shared" si="1"/>
        <v>20</v>
      </c>
    </row>
    <row r="341" ht="15.75" customHeight="1">
      <c r="A341" s="1">
        <f>IFERROR(__xludf.DUMMYFUNCTION("""COMPUTED_VALUE"""),45512.66666666667)</f>
        <v>45512.66667</v>
      </c>
      <c r="B341" s="2">
        <f>IFERROR(__xludf.DUMMYFUNCTION("""COMPUTED_VALUE"""),1250.0)</f>
        <v>1250</v>
      </c>
      <c r="C341" s="2">
        <f>IFERROR(__xludf.DUMMYFUNCTION("""COMPUTED_VALUE"""),1260.0)</f>
        <v>1260</v>
      </c>
      <c r="D341" s="2">
        <f>IFERROR(__xludf.DUMMYFUNCTION("""COMPUTED_VALUE"""),1235.0)</f>
        <v>1235</v>
      </c>
      <c r="E341" s="2">
        <f>IFERROR(__xludf.DUMMYFUNCTION("""COMPUTED_VALUE"""),1240.0)</f>
        <v>1240</v>
      </c>
      <c r="F341" s="2">
        <f>IFERROR(__xludf.DUMMYFUNCTION("""COMPUTED_VALUE"""),6951300.0)</f>
        <v>6951300</v>
      </c>
      <c r="G341" s="2">
        <f t="shared" si="1"/>
        <v>25</v>
      </c>
    </row>
    <row r="342" ht="15.75" customHeight="1">
      <c r="A342" s="1">
        <f>IFERROR(__xludf.DUMMYFUNCTION("""COMPUTED_VALUE"""),45513.66666666667)</f>
        <v>45513.66667</v>
      </c>
      <c r="B342" s="2">
        <f>IFERROR(__xludf.DUMMYFUNCTION("""COMPUTED_VALUE"""),1250.0)</f>
        <v>1250</v>
      </c>
      <c r="C342" s="2">
        <f>IFERROR(__xludf.DUMMYFUNCTION("""COMPUTED_VALUE"""),1260.0)</f>
        <v>1260</v>
      </c>
      <c r="D342" s="2">
        <f>IFERROR(__xludf.DUMMYFUNCTION("""COMPUTED_VALUE"""),1215.0)</f>
        <v>1215</v>
      </c>
      <c r="E342" s="2">
        <f>IFERROR(__xludf.DUMMYFUNCTION("""COMPUTED_VALUE"""),1230.0)</f>
        <v>1230</v>
      </c>
      <c r="F342" s="2">
        <f>IFERROR(__xludf.DUMMYFUNCTION("""COMPUTED_VALUE"""),8154400.0)</f>
        <v>8154400</v>
      </c>
      <c r="G342" s="2">
        <f t="shared" si="1"/>
        <v>45</v>
      </c>
    </row>
    <row r="343" ht="15.75" customHeight="1">
      <c r="A343" s="1">
        <f>IFERROR(__xludf.DUMMYFUNCTION("""COMPUTED_VALUE"""),45516.66666666667)</f>
        <v>45516.66667</v>
      </c>
      <c r="B343" s="2">
        <f>IFERROR(__xludf.DUMMYFUNCTION("""COMPUTED_VALUE"""),1230.0)</f>
        <v>1230</v>
      </c>
      <c r="C343" s="2">
        <f>IFERROR(__xludf.DUMMYFUNCTION("""COMPUTED_VALUE"""),1245.0)</f>
        <v>1245</v>
      </c>
      <c r="D343" s="2">
        <f>IFERROR(__xludf.DUMMYFUNCTION("""COMPUTED_VALUE"""),1220.0)</f>
        <v>1220</v>
      </c>
      <c r="E343" s="2">
        <f>IFERROR(__xludf.DUMMYFUNCTION("""COMPUTED_VALUE"""),1230.0)</f>
        <v>1230</v>
      </c>
      <c r="F343" s="2">
        <f>IFERROR(__xludf.DUMMYFUNCTION("""COMPUTED_VALUE"""),7018800.0)</f>
        <v>7018800</v>
      </c>
      <c r="G343" s="2">
        <f t="shared" si="1"/>
        <v>25</v>
      </c>
    </row>
    <row r="344" ht="15.75" customHeight="1">
      <c r="A344" s="1">
        <f>IFERROR(__xludf.DUMMYFUNCTION("""COMPUTED_VALUE"""),45517.66666666667)</f>
        <v>45517.66667</v>
      </c>
      <c r="B344" s="2">
        <f>IFERROR(__xludf.DUMMYFUNCTION("""COMPUTED_VALUE"""),1245.0)</f>
        <v>1245</v>
      </c>
      <c r="C344" s="2">
        <f>IFERROR(__xludf.DUMMYFUNCTION("""COMPUTED_VALUE"""),1245.0)</f>
        <v>1245</v>
      </c>
      <c r="D344" s="2">
        <f>IFERROR(__xludf.DUMMYFUNCTION("""COMPUTED_VALUE"""),1225.0)</f>
        <v>1225</v>
      </c>
      <c r="E344" s="2">
        <f>IFERROR(__xludf.DUMMYFUNCTION("""COMPUTED_VALUE"""),1225.0)</f>
        <v>1225</v>
      </c>
      <c r="F344" s="2">
        <f>IFERROR(__xludf.DUMMYFUNCTION("""COMPUTED_VALUE"""),1.60613E7)</f>
        <v>16061300</v>
      </c>
      <c r="G344" s="2">
        <f t="shared" si="1"/>
        <v>20</v>
      </c>
    </row>
    <row r="345" ht="15.75" customHeight="1">
      <c r="A345" s="1">
        <f>IFERROR(__xludf.DUMMYFUNCTION("""COMPUTED_VALUE"""),45518.66666666667)</f>
        <v>45518.66667</v>
      </c>
      <c r="B345" s="2">
        <f>IFERROR(__xludf.DUMMYFUNCTION("""COMPUTED_VALUE"""),1230.0)</f>
        <v>1230</v>
      </c>
      <c r="C345" s="2">
        <f>IFERROR(__xludf.DUMMYFUNCTION("""COMPUTED_VALUE"""),1255.0)</f>
        <v>1255</v>
      </c>
      <c r="D345" s="2">
        <f>IFERROR(__xludf.DUMMYFUNCTION("""COMPUTED_VALUE"""),1230.0)</f>
        <v>1230</v>
      </c>
      <c r="E345" s="2">
        <f>IFERROR(__xludf.DUMMYFUNCTION("""COMPUTED_VALUE"""),1250.0)</f>
        <v>1250</v>
      </c>
      <c r="F345" s="2">
        <f>IFERROR(__xludf.DUMMYFUNCTION("""COMPUTED_VALUE"""),1.06537E7)</f>
        <v>10653700</v>
      </c>
      <c r="G345" s="2">
        <f t="shared" si="1"/>
        <v>30</v>
      </c>
    </row>
    <row r="346" ht="15.75" customHeight="1">
      <c r="A346" s="1">
        <f>IFERROR(__xludf.DUMMYFUNCTION("""COMPUTED_VALUE"""),45519.66666666667)</f>
        <v>45519.66667</v>
      </c>
      <c r="B346" s="2">
        <f>IFERROR(__xludf.DUMMYFUNCTION("""COMPUTED_VALUE"""),1255.0)</f>
        <v>1255</v>
      </c>
      <c r="C346" s="2">
        <f>IFERROR(__xludf.DUMMYFUNCTION("""COMPUTED_VALUE"""),1255.0)</f>
        <v>1255</v>
      </c>
      <c r="D346" s="2">
        <f>IFERROR(__xludf.DUMMYFUNCTION("""COMPUTED_VALUE"""),1230.0)</f>
        <v>1230</v>
      </c>
      <c r="E346" s="2">
        <f>IFERROR(__xludf.DUMMYFUNCTION("""COMPUTED_VALUE"""),1235.0)</f>
        <v>1235</v>
      </c>
      <c r="F346" s="2">
        <f>IFERROR(__xludf.DUMMYFUNCTION("""COMPUTED_VALUE"""),1.01309E7)</f>
        <v>10130900</v>
      </c>
      <c r="G346" s="2">
        <f t="shared" si="1"/>
        <v>25</v>
      </c>
    </row>
    <row r="347" ht="15.75" customHeight="1">
      <c r="A347" s="1">
        <f>IFERROR(__xludf.DUMMYFUNCTION("""COMPUTED_VALUE"""),45520.66666666667)</f>
        <v>45520.66667</v>
      </c>
      <c r="B347" s="2">
        <f>IFERROR(__xludf.DUMMYFUNCTION("""COMPUTED_VALUE"""),1235.0)</f>
        <v>1235</v>
      </c>
      <c r="C347" s="2">
        <f>IFERROR(__xludf.DUMMYFUNCTION("""COMPUTED_VALUE"""),1245.0)</f>
        <v>1245</v>
      </c>
      <c r="D347" s="2">
        <f>IFERROR(__xludf.DUMMYFUNCTION("""COMPUTED_VALUE"""),1225.0)</f>
        <v>1225</v>
      </c>
      <c r="E347" s="2">
        <f>IFERROR(__xludf.DUMMYFUNCTION("""COMPUTED_VALUE"""),1230.0)</f>
        <v>1230</v>
      </c>
      <c r="F347" s="2">
        <f>IFERROR(__xludf.DUMMYFUNCTION("""COMPUTED_VALUE"""),1.68867E7)</f>
        <v>16886700</v>
      </c>
      <c r="G347" s="2">
        <f t="shared" si="1"/>
        <v>20</v>
      </c>
    </row>
    <row r="348" ht="15.75" customHeight="1">
      <c r="A348" s="1">
        <f>IFERROR(__xludf.DUMMYFUNCTION("""COMPUTED_VALUE"""),45523.66666666667)</f>
        <v>45523.66667</v>
      </c>
      <c r="B348" s="2">
        <f>IFERROR(__xludf.DUMMYFUNCTION("""COMPUTED_VALUE"""),1230.0)</f>
        <v>1230</v>
      </c>
      <c r="C348" s="2">
        <f>IFERROR(__xludf.DUMMYFUNCTION("""COMPUTED_VALUE"""),1235.0)</f>
        <v>1235</v>
      </c>
      <c r="D348" s="2">
        <f>IFERROR(__xludf.DUMMYFUNCTION("""COMPUTED_VALUE"""),1210.0)</f>
        <v>1210</v>
      </c>
      <c r="E348" s="2">
        <f>IFERROR(__xludf.DUMMYFUNCTION("""COMPUTED_VALUE"""),1215.0)</f>
        <v>1215</v>
      </c>
      <c r="F348" s="2">
        <f>IFERROR(__xludf.DUMMYFUNCTION("""COMPUTED_VALUE"""),1.38322E7)</f>
        <v>13832200</v>
      </c>
      <c r="G348" s="2">
        <f t="shared" si="1"/>
        <v>25</v>
      </c>
    </row>
    <row r="349" ht="15.75" customHeight="1">
      <c r="A349" s="1">
        <f>IFERROR(__xludf.DUMMYFUNCTION("""COMPUTED_VALUE"""),45524.66666666667)</f>
        <v>45524.66667</v>
      </c>
      <c r="B349" s="2">
        <f>IFERROR(__xludf.DUMMYFUNCTION("""COMPUTED_VALUE"""),1215.0)</f>
        <v>1215</v>
      </c>
      <c r="C349" s="2">
        <f>IFERROR(__xludf.DUMMYFUNCTION("""COMPUTED_VALUE"""),1220.0)</f>
        <v>1220</v>
      </c>
      <c r="D349" s="2">
        <f>IFERROR(__xludf.DUMMYFUNCTION("""COMPUTED_VALUE"""),1200.0)</f>
        <v>1200</v>
      </c>
      <c r="E349" s="2">
        <f>IFERROR(__xludf.DUMMYFUNCTION("""COMPUTED_VALUE"""),1205.0)</f>
        <v>1205</v>
      </c>
      <c r="F349" s="2">
        <f>IFERROR(__xludf.DUMMYFUNCTION("""COMPUTED_VALUE"""),2.07881E7)</f>
        <v>20788100</v>
      </c>
      <c r="G349" s="2">
        <f t="shared" si="1"/>
        <v>20</v>
      </c>
    </row>
    <row r="350" ht="15.75" customHeight="1">
      <c r="A350" s="1">
        <f>IFERROR(__xludf.DUMMYFUNCTION("""COMPUTED_VALUE"""),45525.66666666667)</f>
        <v>45525.66667</v>
      </c>
      <c r="B350" s="2">
        <f>IFERROR(__xludf.DUMMYFUNCTION("""COMPUTED_VALUE"""),1205.0)</f>
        <v>1205</v>
      </c>
      <c r="C350" s="2">
        <f>IFERROR(__xludf.DUMMYFUNCTION("""COMPUTED_VALUE"""),1210.0)</f>
        <v>1210</v>
      </c>
      <c r="D350" s="2">
        <f>IFERROR(__xludf.DUMMYFUNCTION("""COMPUTED_VALUE"""),1195.0)</f>
        <v>1195</v>
      </c>
      <c r="E350" s="2">
        <f>IFERROR(__xludf.DUMMYFUNCTION("""COMPUTED_VALUE"""),1200.0)</f>
        <v>1200</v>
      </c>
      <c r="F350" s="2">
        <f>IFERROR(__xludf.DUMMYFUNCTION("""COMPUTED_VALUE"""),2.18016E7)</f>
        <v>21801600</v>
      </c>
      <c r="G350" s="2">
        <f t="shared" si="1"/>
        <v>15</v>
      </c>
    </row>
    <row r="351" ht="15.75" customHeight="1">
      <c r="A351" s="1">
        <f>IFERROR(__xludf.DUMMYFUNCTION("""COMPUTED_VALUE"""),45526.66666666667)</f>
        <v>45526.66667</v>
      </c>
      <c r="B351" s="2">
        <f>IFERROR(__xludf.DUMMYFUNCTION("""COMPUTED_VALUE"""),1200.0)</f>
        <v>1200</v>
      </c>
      <c r="C351" s="2">
        <f>IFERROR(__xludf.DUMMYFUNCTION("""COMPUTED_VALUE"""),1200.0)</f>
        <v>1200</v>
      </c>
      <c r="D351" s="2">
        <f>IFERROR(__xludf.DUMMYFUNCTION("""COMPUTED_VALUE"""),1185.0)</f>
        <v>1185</v>
      </c>
      <c r="E351" s="2">
        <f>IFERROR(__xludf.DUMMYFUNCTION("""COMPUTED_VALUE"""),1190.0)</f>
        <v>1190</v>
      </c>
      <c r="F351" s="2">
        <f>IFERROR(__xludf.DUMMYFUNCTION("""COMPUTED_VALUE"""),1.051E7)</f>
        <v>10510000</v>
      </c>
      <c r="G351" s="2">
        <f t="shared" si="1"/>
        <v>15</v>
      </c>
    </row>
    <row r="352" ht="15.75" customHeight="1">
      <c r="A352" s="1">
        <f>IFERROR(__xludf.DUMMYFUNCTION("""COMPUTED_VALUE"""),45527.66666666667)</f>
        <v>45527.66667</v>
      </c>
      <c r="B352" s="2">
        <f>IFERROR(__xludf.DUMMYFUNCTION("""COMPUTED_VALUE"""),1190.0)</f>
        <v>1190</v>
      </c>
      <c r="C352" s="2">
        <f>IFERROR(__xludf.DUMMYFUNCTION("""COMPUTED_VALUE"""),1200.0)</f>
        <v>1200</v>
      </c>
      <c r="D352" s="2">
        <f>IFERROR(__xludf.DUMMYFUNCTION("""COMPUTED_VALUE"""),1165.0)</f>
        <v>1165</v>
      </c>
      <c r="E352" s="2">
        <f>IFERROR(__xludf.DUMMYFUNCTION("""COMPUTED_VALUE"""),1175.0)</f>
        <v>1175</v>
      </c>
      <c r="F352" s="2">
        <f>IFERROR(__xludf.DUMMYFUNCTION("""COMPUTED_VALUE"""),2.60313E7)</f>
        <v>26031300</v>
      </c>
      <c r="G352" s="2">
        <f t="shared" si="1"/>
        <v>35</v>
      </c>
    </row>
    <row r="353" ht="15.75" customHeight="1">
      <c r="A353" s="1">
        <f>IFERROR(__xludf.DUMMYFUNCTION("""COMPUTED_VALUE"""),45530.66666666667)</f>
        <v>45530.66667</v>
      </c>
      <c r="B353" s="2">
        <f>IFERROR(__xludf.DUMMYFUNCTION("""COMPUTED_VALUE"""),1175.0)</f>
        <v>1175</v>
      </c>
      <c r="C353" s="2">
        <f>IFERROR(__xludf.DUMMYFUNCTION("""COMPUTED_VALUE"""),1200.0)</f>
        <v>1200</v>
      </c>
      <c r="D353" s="2">
        <f>IFERROR(__xludf.DUMMYFUNCTION("""COMPUTED_VALUE"""),1175.0)</f>
        <v>1175</v>
      </c>
      <c r="E353" s="2">
        <f>IFERROR(__xludf.DUMMYFUNCTION("""COMPUTED_VALUE"""),1185.0)</f>
        <v>1185</v>
      </c>
      <c r="F353" s="2">
        <f>IFERROR(__xludf.DUMMYFUNCTION("""COMPUTED_VALUE"""),2.47077E7)</f>
        <v>24707700</v>
      </c>
      <c r="G353" s="2">
        <f t="shared" si="1"/>
        <v>25</v>
      </c>
    </row>
    <row r="354" ht="15.75" customHeight="1">
      <c r="A354" s="1">
        <f>IFERROR(__xludf.DUMMYFUNCTION("""COMPUTED_VALUE"""),45531.66666666667)</f>
        <v>45531.66667</v>
      </c>
      <c r="B354" s="2">
        <f>IFERROR(__xludf.DUMMYFUNCTION("""COMPUTED_VALUE"""),1185.0)</f>
        <v>1185</v>
      </c>
      <c r="C354" s="2">
        <f>IFERROR(__xludf.DUMMYFUNCTION("""COMPUTED_VALUE"""),1195.0)</f>
        <v>1195</v>
      </c>
      <c r="D354" s="2">
        <f>IFERROR(__xludf.DUMMYFUNCTION("""COMPUTED_VALUE"""),1175.0)</f>
        <v>1175</v>
      </c>
      <c r="E354" s="2">
        <f>IFERROR(__xludf.DUMMYFUNCTION("""COMPUTED_VALUE"""),1180.0)</f>
        <v>1180</v>
      </c>
      <c r="F354" s="2">
        <f>IFERROR(__xludf.DUMMYFUNCTION("""COMPUTED_VALUE"""),1.66079E7)</f>
        <v>16607900</v>
      </c>
      <c r="G354" s="2">
        <f t="shared" si="1"/>
        <v>20</v>
      </c>
    </row>
    <row r="355" ht="15.75" customHeight="1">
      <c r="A355" s="1">
        <f>IFERROR(__xludf.DUMMYFUNCTION("""COMPUTED_VALUE"""),45532.66666666667)</f>
        <v>45532.66667</v>
      </c>
      <c r="B355" s="2">
        <f>IFERROR(__xludf.DUMMYFUNCTION("""COMPUTED_VALUE"""),1180.0)</f>
        <v>1180</v>
      </c>
      <c r="C355" s="2">
        <f>IFERROR(__xludf.DUMMYFUNCTION("""COMPUTED_VALUE"""),1190.0)</f>
        <v>1190</v>
      </c>
      <c r="D355" s="2">
        <f>IFERROR(__xludf.DUMMYFUNCTION("""COMPUTED_VALUE"""),1155.0)</f>
        <v>1155</v>
      </c>
      <c r="E355" s="2">
        <f>IFERROR(__xludf.DUMMYFUNCTION("""COMPUTED_VALUE"""),1155.0)</f>
        <v>1155</v>
      </c>
      <c r="F355" s="2">
        <f>IFERROR(__xludf.DUMMYFUNCTION("""COMPUTED_VALUE"""),3.40302E7)</f>
        <v>34030200</v>
      </c>
      <c r="G355" s="2">
        <f t="shared" si="1"/>
        <v>35</v>
      </c>
    </row>
    <row r="356" ht="15.75" customHeight="1">
      <c r="A356" s="1">
        <f>IFERROR(__xludf.DUMMYFUNCTION("""COMPUTED_VALUE"""),45533.66666666667)</f>
        <v>45533.66667</v>
      </c>
      <c r="B356" s="2">
        <f>IFERROR(__xludf.DUMMYFUNCTION("""COMPUTED_VALUE"""),1160.0)</f>
        <v>1160</v>
      </c>
      <c r="C356" s="2">
        <f>IFERROR(__xludf.DUMMYFUNCTION("""COMPUTED_VALUE"""),1165.0)</f>
        <v>1165</v>
      </c>
      <c r="D356" s="2">
        <f>IFERROR(__xludf.DUMMYFUNCTION("""COMPUTED_VALUE"""),1125.0)</f>
        <v>1125</v>
      </c>
      <c r="E356" s="2">
        <f>IFERROR(__xludf.DUMMYFUNCTION("""COMPUTED_VALUE"""),1125.0)</f>
        <v>1125</v>
      </c>
      <c r="F356" s="2">
        <f>IFERROR(__xludf.DUMMYFUNCTION("""COMPUTED_VALUE"""),2.92182E7)</f>
        <v>29218200</v>
      </c>
      <c r="G356" s="2">
        <f t="shared" si="1"/>
        <v>40</v>
      </c>
    </row>
    <row r="357" ht="15.75" customHeight="1">
      <c r="A357" s="1">
        <f>IFERROR(__xludf.DUMMYFUNCTION("""COMPUTED_VALUE"""),45534.66666666667)</f>
        <v>45534.66667</v>
      </c>
      <c r="B357" s="2">
        <f>IFERROR(__xludf.DUMMYFUNCTION("""COMPUTED_VALUE"""),1125.0)</f>
        <v>1125</v>
      </c>
      <c r="C357" s="2">
        <f>IFERROR(__xludf.DUMMYFUNCTION("""COMPUTED_VALUE"""),1160.0)</f>
        <v>1160</v>
      </c>
      <c r="D357" s="2">
        <f>IFERROR(__xludf.DUMMYFUNCTION("""COMPUTED_VALUE"""),1125.0)</f>
        <v>1125</v>
      </c>
      <c r="E357" s="2">
        <f>IFERROR(__xludf.DUMMYFUNCTION("""COMPUTED_VALUE"""),1145.0)</f>
        <v>1145</v>
      </c>
      <c r="F357" s="2">
        <f>IFERROR(__xludf.DUMMYFUNCTION("""COMPUTED_VALUE"""),1.24234E7)</f>
        <v>12423400</v>
      </c>
      <c r="G357" s="2">
        <f t="shared" si="1"/>
        <v>35</v>
      </c>
    </row>
    <row r="358" ht="15.75" customHeight="1">
      <c r="A358" s="1">
        <f>IFERROR(__xludf.DUMMYFUNCTION("""COMPUTED_VALUE"""),45537.66666666667)</f>
        <v>45537.66667</v>
      </c>
      <c r="B358" s="2">
        <f>IFERROR(__xludf.DUMMYFUNCTION("""COMPUTED_VALUE"""),1150.0)</f>
        <v>1150</v>
      </c>
      <c r="C358" s="2">
        <f>IFERROR(__xludf.DUMMYFUNCTION("""COMPUTED_VALUE"""),1165.0)</f>
        <v>1165</v>
      </c>
      <c r="D358" s="2">
        <f>IFERROR(__xludf.DUMMYFUNCTION("""COMPUTED_VALUE"""),1145.0)</f>
        <v>1145</v>
      </c>
      <c r="E358" s="2">
        <f>IFERROR(__xludf.DUMMYFUNCTION("""COMPUTED_VALUE"""),1145.0)</f>
        <v>1145</v>
      </c>
      <c r="F358" s="2">
        <f>IFERROR(__xludf.DUMMYFUNCTION("""COMPUTED_VALUE"""),2.12693E7)</f>
        <v>21269300</v>
      </c>
      <c r="G358" s="2">
        <f t="shared" si="1"/>
        <v>20</v>
      </c>
    </row>
    <row r="359" ht="15.75" customHeight="1">
      <c r="A359" s="1">
        <f>IFERROR(__xludf.DUMMYFUNCTION("""COMPUTED_VALUE"""),45538.66666666667)</f>
        <v>45538.66667</v>
      </c>
      <c r="B359" s="2">
        <f>IFERROR(__xludf.DUMMYFUNCTION("""COMPUTED_VALUE"""),1150.0)</f>
        <v>1150</v>
      </c>
      <c r="C359" s="2">
        <f>IFERROR(__xludf.DUMMYFUNCTION("""COMPUTED_VALUE"""),1160.0)</f>
        <v>1160</v>
      </c>
      <c r="D359" s="2">
        <f>IFERROR(__xludf.DUMMYFUNCTION("""COMPUTED_VALUE"""),1130.0)</f>
        <v>1130</v>
      </c>
      <c r="E359" s="2">
        <f>IFERROR(__xludf.DUMMYFUNCTION("""COMPUTED_VALUE"""),1130.0)</f>
        <v>1130</v>
      </c>
      <c r="F359" s="2">
        <f>IFERROR(__xludf.DUMMYFUNCTION("""COMPUTED_VALUE"""),1.28966E7)</f>
        <v>12896600</v>
      </c>
      <c r="G359" s="2">
        <f t="shared" si="1"/>
        <v>30</v>
      </c>
    </row>
    <row r="360" ht="15.75" customHeight="1">
      <c r="A360" s="1">
        <f>IFERROR(__xludf.DUMMYFUNCTION("""COMPUTED_VALUE"""),45539.66666666667)</f>
        <v>45539.66667</v>
      </c>
      <c r="B360" s="2">
        <f>IFERROR(__xludf.DUMMYFUNCTION("""COMPUTED_VALUE"""),1130.0)</f>
        <v>1130</v>
      </c>
      <c r="C360" s="2">
        <f>IFERROR(__xludf.DUMMYFUNCTION("""COMPUTED_VALUE"""),1140.0)</f>
        <v>1140</v>
      </c>
      <c r="D360" s="2">
        <f>IFERROR(__xludf.DUMMYFUNCTION("""COMPUTED_VALUE"""),1125.0)</f>
        <v>1125</v>
      </c>
      <c r="E360" s="2">
        <f>IFERROR(__xludf.DUMMYFUNCTION("""COMPUTED_VALUE"""),1135.0)</f>
        <v>1135</v>
      </c>
      <c r="F360" s="2">
        <f>IFERROR(__xludf.DUMMYFUNCTION("""COMPUTED_VALUE"""),5397100.0)</f>
        <v>5397100</v>
      </c>
      <c r="G360" s="2">
        <f t="shared" si="1"/>
        <v>15</v>
      </c>
    </row>
    <row r="361" ht="15.75" customHeight="1">
      <c r="A361" s="1">
        <f>IFERROR(__xludf.DUMMYFUNCTION("""COMPUTED_VALUE"""),45540.66666666667)</f>
        <v>45540.66667</v>
      </c>
      <c r="B361" s="2">
        <f>IFERROR(__xludf.DUMMYFUNCTION("""COMPUTED_VALUE"""),1135.0)</f>
        <v>1135</v>
      </c>
      <c r="C361" s="2">
        <f>IFERROR(__xludf.DUMMYFUNCTION("""COMPUTED_VALUE"""),1140.0)</f>
        <v>1140</v>
      </c>
      <c r="D361" s="2">
        <f>IFERROR(__xludf.DUMMYFUNCTION("""COMPUTED_VALUE"""),1130.0)</f>
        <v>1130</v>
      </c>
      <c r="E361" s="2">
        <f>IFERROR(__xludf.DUMMYFUNCTION("""COMPUTED_VALUE"""),1140.0)</f>
        <v>1140</v>
      </c>
      <c r="F361" s="2">
        <f>IFERROR(__xludf.DUMMYFUNCTION("""COMPUTED_VALUE"""),5705600.0)</f>
        <v>5705600</v>
      </c>
      <c r="G361" s="2">
        <f t="shared" si="1"/>
        <v>10</v>
      </c>
    </row>
    <row r="362" ht="15.75" customHeight="1">
      <c r="A362" s="1">
        <f>IFERROR(__xludf.DUMMYFUNCTION("""COMPUTED_VALUE"""),45541.66666666667)</f>
        <v>45541.66667</v>
      </c>
      <c r="B362" s="2">
        <f>IFERROR(__xludf.DUMMYFUNCTION("""COMPUTED_VALUE"""),1140.0)</f>
        <v>1140</v>
      </c>
      <c r="C362" s="2">
        <f>IFERROR(__xludf.DUMMYFUNCTION("""COMPUTED_VALUE"""),1140.0)</f>
        <v>1140</v>
      </c>
      <c r="D362" s="2">
        <f>IFERROR(__xludf.DUMMYFUNCTION("""COMPUTED_VALUE"""),1125.0)</f>
        <v>1125</v>
      </c>
      <c r="E362" s="2">
        <f>IFERROR(__xludf.DUMMYFUNCTION("""COMPUTED_VALUE"""),1130.0)</f>
        <v>1130</v>
      </c>
      <c r="F362" s="2">
        <f>IFERROR(__xludf.DUMMYFUNCTION("""COMPUTED_VALUE"""),1.01546E7)</f>
        <v>10154600</v>
      </c>
      <c r="G362" s="2">
        <f t="shared" si="1"/>
        <v>15</v>
      </c>
    </row>
    <row r="363" ht="15.75" customHeight="1">
      <c r="A363" s="1">
        <f>IFERROR(__xludf.DUMMYFUNCTION("""COMPUTED_VALUE"""),45544.66666666667)</f>
        <v>45544.66667</v>
      </c>
      <c r="B363" s="2">
        <f>IFERROR(__xludf.DUMMYFUNCTION("""COMPUTED_VALUE"""),1130.0)</f>
        <v>1130</v>
      </c>
      <c r="C363" s="2">
        <f>IFERROR(__xludf.DUMMYFUNCTION("""COMPUTED_VALUE"""),1140.0)</f>
        <v>1140</v>
      </c>
      <c r="D363" s="2">
        <f>IFERROR(__xludf.DUMMYFUNCTION("""COMPUTED_VALUE"""),1130.0)</f>
        <v>1130</v>
      </c>
      <c r="E363" s="2">
        <f>IFERROR(__xludf.DUMMYFUNCTION("""COMPUTED_VALUE"""),1130.0)</f>
        <v>1130</v>
      </c>
      <c r="F363" s="2">
        <f>IFERROR(__xludf.DUMMYFUNCTION("""COMPUTED_VALUE"""),6368400.0)</f>
        <v>6368400</v>
      </c>
      <c r="G363" s="2">
        <f t="shared" si="1"/>
        <v>10</v>
      </c>
    </row>
    <row r="364" ht="15.75" customHeight="1">
      <c r="A364" s="1">
        <f>IFERROR(__xludf.DUMMYFUNCTION("""COMPUTED_VALUE"""),45545.66666666667)</f>
        <v>45545.66667</v>
      </c>
      <c r="B364" s="2">
        <f>IFERROR(__xludf.DUMMYFUNCTION("""COMPUTED_VALUE"""),1130.0)</f>
        <v>1130</v>
      </c>
      <c r="C364" s="2">
        <f>IFERROR(__xludf.DUMMYFUNCTION("""COMPUTED_VALUE"""),1160.0)</f>
        <v>1160</v>
      </c>
      <c r="D364" s="2">
        <f>IFERROR(__xludf.DUMMYFUNCTION("""COMPUTED_VALUE"""),1130.0)</f>
        <v>1130</v>
      </c>
      <c r="E364" s="2">
        <f>IFERROR(__xludf.DUMMYFUNCTION("""COMPUTED_VALUE"""),1150.0)</f>
        <v>1150</v>
      </c>
      <c r="F364" s="2">
        <f>IFERROR(__xludf.DUMMYFUNCTION("""COMPUTED_VALUE"""),1.29479E7)</f>
        <v>12947900</v>
      </c>
      <c r="G364" s="2">
        <f t="shared" si="1"/>
        <v>30</v>
      </c>
    </row>
    <row r="365" ht="15.75" customHeight="1">
      <c r="A365" s="1">
        <f>IFERROR(__xludf.DUMMYFUNCTION("""COMPUTED_VALUE"""),45546.66666666667)</f>
        <v>45546.66667</v>
      </c>
      <c r="B365" s="2">
        <f>IFERROR(__xludf.DUMMYFUNCTION("""COMPUTED_VALUE"""),1155.0)</f>
        <v>1155</v>
      </c>
      <c r="C365" s="2">
        <f>IFERROR(__xludf.DUMMYFUNCTION("""COMPUTED_VALUE"""),1160.0)</f>
        <v>1160</v>
      </c>
      <c r="D365" s="2">
        <f>IFERROR(__xludf.DUMMYFUNCTION("""COMPUTED_VALUE"""),1130.0)</f>
        <v>1130</v>
      </c>
      <c r="E365" s="2">
        <f>IFERROR(__xludf.DUMMYFUNCTION("""COMPUTED_VALUE"""),1130.0)</f>
        <v>1130</v>
      </c>
      <c r="F365" s="2">
        <f>IFERROR(__xludf.DUMMYFUNCTION("""COMPUTED_VALUE"""),1.29585E7)</f>
        <v>12958500</v>
      </c>
      <c r="G365" s="2">
        <f t="shared" si="1"/>
        <v>30</v>
      </c>
    </row>
    <row r="366" ht="15.75" customHeight="1">
      <c r="A366" s="1">
        <f>IFERROR(__xludf.DUMMYFUNCTION("""COMPUTED_VALUE"""),45547.66666666667)</f>
        <v>45547.66667</v>
      </c>
      <c r="B366" s="2">
        <f>IFERROR(__xludf.DUMMYFUNCTION("""COMPUTED_VALUE"""),1135.0)</f>
        <v>1135</v>
      </c>
      <c r="C366" s="2">
        <f>IFERROR(__xludf.DUMMYFUNCTION("""COMPUTED_VALUE"""),1150.0)</f>
        <v>1150</v>
      </c>
      <c r="D366" s="2">
        <f>IFERROR(__xludf.DUMMYFUNCTION("""COMPUTED_VALUE"""),1135.0)</f>
        <v>1135</v>
      </c>
      <c r="E366" s="2">
        <f>IFERROR(__xludf.DUMMYFUNCTION("""COMPUTED_VALUE"""),1140.0)</f>
        <v>1140</v>
      </c>
      <c r="F366" s="2">
        <f>IFERROR(__xludf.DUMMYFUNCTION("""COMPUTED_VALUE"""),1.19951E7)</f>
        <v>11995100</v>
      </c>
      <c r="G366" s="2">
        <f t="shared" si="1"/>
        <v>20</v>
      </c>
    </row>
    <row r="367" ht="15.75" customHeight="1">
      <c r="A367" s="1">
        <f>IFERROR(__xludf.DUMMYFUNCTION("""COMPUTED_VALUE"""),45548.66666666667)</f>
        <v>45548.66667</v>
      </c>
      <c r="B367" s="2">
        <f>IFERROR(__xludf.DUMMYFUNCTION("""COMPUTED_VALUE"""),1140.0)</f>
        <v>1140</v>
      </c>
      <c r="C367" s="2">
        <f>IFERROR(__xludf.DUMMYFUNCTION("""COMPUTED_VALUE"""),1145.0)</f>
        <v>1145</v>
      </c>
      <c r="D367" s="2">
        <f>IFERROR(__xludf.DUMMYFUNCTION("""COMPUTED_VALUE"""),1115.0)</f>
        <v>1115</v>
      </c>
      <c r="E367" s="2">
        <f>IFERROR(__xludf.DUMMYFUNCTION("""COMPUTED_VALUE"""),1120.0)</f>
        <v>1120</v>
      </c>
      <c r="F367" s="2">
        <f>IFERROR(__xludf.DUMMYFUNCTION("""COMPUTED_VALUE"""),3.40515E7)</f>
        <v>34051500</v>
      </c>
      <c r="G367" s="2">
        <f t="shared" si="1"/>
        <v>30</v>
      </c>
    </row>
    <row r="368" ht="15.75" customHeight="1">
      <c r="A368" s="1">
        <f>IFERROR(__xludf.DUMMYFUNCTION("""COMPUTED_VALUE"""),45552.66666666667)</f>
        <v>45552.66667</v>
      </c>
      <c r="B368" s="2">
        <f>IFERROR(__xludf.DUMMYFUNCTION("""COMPUTED_VALUE"""),1120.0)</f>
        <v>1120</v>
      </c>
      <c r="C368" s="2">
        <f>IFERROR(__xludf.DUMMYFUNCTION("""COMPUTED_VALUE"""),1135.0)</f>
        <v>1135</v>
      </c>
      <c r="D368" s="2">
        <f>IFERROR(__xludf.DUMMYFUNCTION("""COMPUTED_VALUE"""),1115.0)</f>
        <v>1115</v>
      </c>
      <c r="E368" s="2">
        <f>IFERROR(__xludf.DUMMYFUNCTION("""COMPUTED_VALUE"""),1120.0)</f>
        <v>1120</v>
      </c>
      <c r="F368" s="2">
        <f>IFERROR(__xludf.DUMMYFUNCTION("""COMPUTED_VALUE"""),1.56232E7)</f>
        <v>15623200</v>
      </c>
      <c r="G368" s="2">
        <f t="shared" si="1"/>
        <v>20</v>
      </c>
    </row>
    <row r="369" ht="15.75" customHeight="1">
      <c r="A369" s="1">
        <f>IFERROR(__xludf.DUMMYFUNCTION("""COMPUTED_VALUE"""),45553.66666666667)</f>
        <v>45553.66667</v>
      </c>
      <c r="B369" s="2">
        <f>IFERROR(__xludf.DUMMYFUNCTION("""COMPUTED_VALUE"""),1120.0)</f>
        <v>1120</v>
      </c>
      <c r="C369" s="2">
        <f>IFERROR(__xludf.DUMMYFUNCTION("""COMPUTED_VALUE"""),1135.0)</f>
        <v>1135</v>
      </c>
      <c r="D369" s="2">
        <f>IFERROR(__xludf.DUMMYFUNCTION("""COMPUTED_VALUE"""),1120.0)</f>
        <v>1120</v>
      </c>
      <c r="E369" s="2">
        <f>IFERROR(__xludf.DUMMYFUNCTION("""COMPUTED_VALUE"""),1120.0)</f>
        <v>1120</v>
      </c>
      <c r="F369" s="2">
        <f>IFERROR(__xludf.DUMMYFUNCTION("""COMPUTED_VALUE"""),9018300.0)</f>
        <v>9018300</v>
      </c>
      <c r="G369" s="2">
        <f t="shared" si="1"/>
        <v>15</v>
      </c>
    </row>
    <row r="370" ht="15.75" customHeight="1">
      <c r="A370" s="1">
        <f>IFERROR(__xludf.DUMMYFUNCTION("""COMPUTED_VALUE"""),45554.66666666667)</f>
        <v>45554.66667</v>
      </c>
      <c r="B370" s="2">
        <f>IFERROR(__xludf.DUMMYFUNCTION("""COMPUTED_VALUE"""),1120.0)</f>
        <v>1120</v>
      </c>
      <c r="C370" s="2">
        <f>IFERROR(__xludf.DUMMYFUNCTION("""COMPUTED_VALUE"""),1130.0)</f>
        <v>1130</v>
      </c>
      <c r="D370" s="2">
        <f>IFERROR(__xludf.DUMMYFUNCTION("""COMPUTED_VALUE"""),1120.0)</f>
        <v>1120</v>
      </c>
      <c r="E370" s="2">
        <f>IFERROR(__xludf.DUMMYFUNCTION("""COMPUTED_VALUE"""),1125.0)</f>
        <v>1125</v>
      </c>
      <c r="F370" s="2">
        <f>IFERROR(__xludf.DUMMYFUNCTION("""COMPUTED_VALUE"""),1.0471E7)</f>
        <v>10471000</v>
      </c>
      <c r="G370" s="2">
        <f t="shared" si="1"/>
        <v>10</v>
      </c>
    </row>
    <row r="371" ht="15.75" customHeight="1">
      <c r="A371" s="1">
        <f>IFERROR(__xludf.DUMMYFUNCTION("""COMPUTED_VALUE"""),45555.66666666667)</f>
        <v>45555.66667</v>
      </c>
      <c r="B371" s="2">
        <f>IFERROR(__xludf.DUMMYFUNCTION("""COMPUTED_VALUE"""),1130.0)</f>
        <v>1130</v>
      </c>
      <c r="C371" s="2">
        <f>IFERROR(__xludf.DUMMYFUNCTION("""COMPUTED_VALUE"""),1135.0)</f>
        <v>1135</v>
      </c>
      <c r="D371" s="2">
        <f>IFERROR(__xludf.DUMMYFUNCTION("""COMPUTED_VALUE"""),1110.0)</f>
        <v>1110</v>
      </c>
      <c r="E371" s="2">
        <f>IFERROR(__xludf.DUMMYFUNCTION("""COMPUTED_VALUE"""),1115.0)</f>
        <v>1115</v>
      </c>
      <c r="F371" s="2">
        <f>IFERROR(__xludf.DUMMYFUNCTION("""COMPUTED_VALUE"""),1.84194E7)</f>
        <v>18419400</v>
      </c>
      <c r="G371" s="2">
        <f t="shared" si="1"/>
        <v>25</v>
      </c>
    </row>
    <row r="372" ht="15.75" customHeight="1">
      <c r="A372" s="1">
        <f>IFERROR(__xludf.DUMMYFUNCTION("""COMPUTED_VALUE"""),45558.66666666667)</f>
        <v>45558.66667</v>
      </c>
      <c r="B372" s="2">
        <f>IFERROR(__xludf.DUMMYFUNCTION("""COMPUTED_VALUE"""),1120.0)</f>
        <v>1120</v>
      </c>
      <c r="C372" s="2">
        <f>IFERROR(__xludf.DUMMYFUNCTION("""COMPUTED_VALUE"""),1150.0)</f>
        <v>1150</v>
      </c>
      <c r="D372" s="2">
        <f>IFERROR(__xludf.DUMMYFUNCTION("""COMPUTED_VALUE"""),1120.0)</f>
        <v>1120</v>
      </c>
      <c r="E372" s="2">
        <f>IFERROR(__xludf.DUMMYFUNCTION("""COMPUTED_VALUE"""),1150.0)</f>
        <v>1150</v>
      </c>
      <c r="F372" s="2">
        <f>IFERROR(__xludf.DUMMYFUNCTION("""COMPUTED_VALUE"""),2.25376E7)</f>
        <v>22537600</v>
      </c>
      <c r="G372" s="2">
        <f t="shared" si="1"/>
        <v>35</v>
      </c>
    </row>
    <row r="373" ht="15.75" customHeight="1">
      <c r="A373" s="1">
        <f>IFERROR(__xludf.DUMMYFUNCTION("""COMPUTED_VALUE"""),45559.66666666667)</f>
        <v>45559.66667</v>
      </c>
      <c r="B373" s="2">
        <f>IFERROR(__xludf.DUMMYFUNCTION("""COMPUTED_VALUE"""),1155.0)</f>
        <v>1155</v>
      </c>
      <c r="C373" s="2">
        <f>IFERROR(__xludf.DUMMYFUNCTION("""COMPUTED_VALUE"""),1185.0)</f>
        <v>1185</v>
      </c>
      <c r="D373" s="2">
        <f>IFERROR(__xludf.DUMMYFUNCTION("""COMPUTED_VALUE"""),1150.0)</f>
        <v>1150</v>
      </c>
      <c r="E373" s="2">
        <f>IFERROR(__xludf.DUMMYFUNCTION("""COMPUTED_VALUE"""),1170.0)</f>
        <v>1170</v>
      </c>
      <c r="F373" s="2">
        <f>IFERROR(__xludf.DUMMYFUNCTION("""COMPUTED_VALUE"""),4.57485E7)</f>
        <v>45748500</v>
      </c>
      <c r="G373" s="2">
        <f t="shared" si="1"/>
        <v>35</v>
      </c>
    </row>
    <row r="374" ht="15.75" customHeight="1">
      <c r="A374" s="1">
        <f>IFERROR(__xludf.DUMMYFUNCTION("""COMPUTED_VALUE"""),45560.66666666667)</f>
        <v>45560.66667</v>
      </c>
      <c r="B374" s="2">
        <f>IFERROR(__xludf.DUMMYFUNCTION("""COMPUTED_VALUE"""),1175.0)</f>
        <v>1175</v>
      </c>
      <c r="C374" s="2">
        <f>IFERROR(__xludf.DUMMYFUNCTION("""COMPUTED_VALUE"""),1180.0)</f>
        <v>1180</v>
      </c>
      <c r="D374" s="2">
        <f>IFERROR(__xludf.DUMMYFUNCTION("""COMPUTED_VALUE"""),1155.0)</f>
        <v>1155</v>
      </c>
      <c r="E374" s="2">
        <f>IFERROR(__xludf.DUMMYFUNCTION("""COMPUTED_VALUE"""),1160.0)</f>
        <v>1160</v>
      </c>
      <c r="F374" s="2">
        <f>IFERROR(__xludf.DUMMYFUNCTION("""COMPUTED_VALUE"""),1.40651E7)</f>
        <v>14065100</v>
      </c>
      <c r="G374" s="2">
        <f t="shared" si="1"/>
        <v>25</v>
      </c>
    </row>
    <row r="375" ht="15.75" customHeight="1">
      <c r="A375" s="1">
        <f>IFERROR(__xludf.DUMMYFUNCTION("""COMPUTED_VALUE"""),45561.66666666667)</f>
        <v>45561.66667</v>
      </c>
      <c r="B375" s="2">
        <f>IFERROR(__xludf.DUMMYFUNCTION("""COMPUTED_VALUE"""),1160.0)</f>
        <v>1160</v>
      </c>
      <c r="C375" s="2">
        <f>IFERROR(__xludf.DUMMYFUNCTION("""COMPUTED_VALUE"""),1175.0)</f>
        <v>1175</v>
      </c>
      <c r="D375" s="2">
        <f>IFERROR(__xludf.DUMMYFUNCTION("""COMPUTED_VALUE"""),1150.0)</f>
        <v>1150</v>
      </c>
      <c r="E375" s="2">
        <f>IFERROR(__xludf.DUMMYFUNCTION("""COMPUTED_VALUE"""),1150.0)</f>
        <v>1150</v>
      </c>
      <c r="F375" s="2">
        <f>IFERROR(__xludf.DUMMYFUNCTION("""COMPUTED_VALUE"""),1.12149E7)</f>
        <v>11214900</v>
      </c>
      <c r="G375" s="2">
        <f t="shared" si="1"/>
        <v>25</v>
      </c>
    </row>
    <row r="376" ht="15.75" customHeight="1">
      <c r="A376" s="1">
        <f>IFERROR(__xludf.DUMMYFUNCTION("""COMPUTED_VALUE"""),45562.66666666667)</f>
        <v>45562.66667</v>
      </c>
      <c r="B376" s="2">
        <f>IFERROR(__xludf.DUMMYFUNCTION("""COMPUTED_VALUE"""),1150.0)</f>
        <v>1150</v>
      </c>
      <c r="C376" s="2">
        <f>IFERROR(__xludf.DUMMYFUNCTION("""COMPUTED_VALUE"""),1165.0)</f>
        <v>1165</v>
      </c>
      <c r="D376" s="2">
        <f>IFERROR(__xludf.DUMMYFUNCTION("""COMPUTED_VALUE"""),1135.0)</f>
        <v>1135</v>
      </c>
      <c r="E376" s="2">
        <f>IFERROR(__xludf.DUMMYFUNCTION("""COMPUTED_VALUE"""),1135.0)</f>
        <v>1135</v>
      </c>
      <c r="F376" s="2">
        <f>IFERROR(__xludf.DUMMYFUNCTION("""COMPUTED_VALUE"""),1.44028E7)</f>
        <v>14402800</v>
      </c>
      <c r="G376" s="2">
        <f t="shared" si="1"/>
        <v>30</v>
      </c>
    </row>
    <row r="377" ht="15.75" customHeight="1">
      <c r="A377" s="1">
        <f>IFERROR(__xludf.DUMMYFUNCTION("""COMPUTED_VALUE"""),45565.66666666667)</f>
        <v>45565.66667</v>
      </c>
      <c r="B377" s="2">
        <f>IFERROR(__xludf.DUMMYFUNCTION("""COMPUTED_VALUE"""),1140.0)</f>
        <v>1140</v>
      </c>
      <c r="C377" s="2">
        <f>IFERROR(__xludf.DUMMYFUNCTION("""COMPUTED_VALUE"""),1140.0)</f>
        <v>1140</v>
      </c>
      <c r="D377" s="2">
        <f>IFERROR(__xludf.DUMMYFUNCTION("""COMPUTED_VALUE"""),1120.0)</f>
        <v>1120</v>
      </c>
      <c r="E377" s="2">
        <f>IFERROR(__xludf.DUMMYFUNCTION("""COMPUTED_VALUE"""),1135.0)</f>
        <v>1135</v>
      </c>
      <c r="F377" s="2">
        <f>IFERROR(__xludf.DUMMYFUNCTION("""COMPUTED_VALUE"""),1.20428E7)</f>
        <v>12042800</v>
      </c>
      <c r="G377" s="2">
        <f t="shared" si="1"/>
        <v>20</v>
      </c>
    </row>
    <row r="378" ht="15.75" customHeight="1">
      <c r="A378" s="1">
        <f>IFERROR(__xludf.DUMMYFUNCTION("""COMPUTED_VALUE"""),45566.66666666667)</f>
        <v>45566.66667</v>
      </c>
      <c r="B378" s="2">
        <f>IFERROR(__xludf.DUMMYFUNCTION("""COMPUTED_VALUE"""),1135.0)</f>
        <v>1135</v>
      </c>
      <c r="C378" s="2">
        <f>IFERROR(__xludf.DUMMYFUNCTION("""COMPUTED_VALUE"""),1135.0)</f>
        <v>1135</v>
      </c>
      <c r="D378" s="2">
        <f>IFERROR(__xludf.DUMMYFUNCTION("""COMPUTED_VALUE"""),1120.0)</f>
        <v>1120</v>
      </c>
      <c r="E378" s="2">
        <f>IFERROR(__xludf.DUMMYFUNCTION("""COMPUTED_VALUE"""),1125.0)</f>
        <v>1125</v>
      </c>
      <c r="F378" s="2">
        <f>IFERROR(__xludf.DUMMYFUNCTION("""COMPUTED_VALUE"""),9049300.0)</f>
        <v>9049300</v>
      </c>
      <c r="G378" s="2">
        <f t="shared" si="1"/>
        <v>15</v>
      </c>
    </row>
    <row r="379" ht="15.75" customHeight="1">
      <c r="A379" s="1">
        <f>IFERROR(__xludf.DUMMYFUNCTION("""COMPUTED_VALUE"""),45567.66666666667)</f>
        <v>45567.66667</v>
      </c>
      <c r="B379" s="2">
        <f>IFERROR(__xludf.DUMMYFUNCTION("""COMPUTED_VALUE"""),1130.0)</f>
        <v>1130</v>
      </c>
      <c r="C379" s="2">
        <f>IFERROR(__xludf.DUMMYFUNCTION("""COMPUTED_VALUE"""),1145.0)</f>
        <v>1145</v>
      </c>
      <c r="D379" s="2">
        <f>IFERROR(__xludf.DUMMYFUNCTION("""COMPUTED_VALUE"""),1115.0)</f>
        <v>1115</v>
      </c>
      <c r="E379" s="2">
        <f>IFERROR(__xludf.DUMMYFUNCTION("""COMPUTED_VALUE"""),1120.0)</f>
        <v>1120</v>
      </c>
      <c r="F379" s="2">
        <f>IFERROR(__xludf.DUMMYFUNCTION("""COMPUTED_VALUE"""),1.58029E7)</f>
        <v>15802900</v>
      </c>
      <c r="G379" s="2">
        <f t="shared" si="1"/>
        <v>30</v>
      </c>
    </row>
    <row r="380" ht="15.75" customHeight="1">
      <c r="A380" s="1">
        <f>IFERROR(__xludf.DUMMYFUNCTION("""COMPUTED_VALUE"""),45568.66666666667)</f>
        <v>45568.66667</v>
      </c>
      <c r="B380" s="2">
        <f>IFERROR(__xludf.DUMMYFUNCTION("""COMPUTED_VALUE"""),1130.0)</f>
        <v>1130</v>
      </c>
      <c r="C380" s="2">
        <f>IFERROR(__xludf.DUMMYFUNCTION("""COMPUTED_VALUE"""),1135.0)</f>
        <v>1135</v>
      </c>
      <c r="D380" s="2">
        <f>IFERROR(__xludf.DUMMYFUNCTION("""COMPUTED_VALUE"""),1120.0)</f>
        <v>1120</v>
      </c>
      <c r="E380" s="2">
        <f>IFERROR(__xludf.DUMMYFUNCTION("""COMPUTED_VALUE"""),1120.0)</f>
        <v>1120</v>
      </c>
      <c r="F380" s="2">
        <f>IFERROR(__xludf.DUMMYFUNCTION("""COMPUTED_VALUE"""),6631800.0)</f>
        <v>6631800</v>
      </c>
      <c r="G380" s="2">
        <f t="shared" si="1"/>
        <v>15</v>
      </c>
    </row>
    <row r="381" ht="15.75" customHeight="1">
      <c r="A381" s="1">
        <f>IFERROR(__xludf.DUMMYFUNCTION("""COMPUTED_VALUE"""),45569.66666666667)</f>
        <v>45569.66667</v>
      </c>
      <c r="B381" s="2">
        <f>IFERROR(__xludf.DUMMYFUNCTION("""COMPUTED_VALUE"""),1130.0)</f>
        <v>1130</v>
      </c>
      <c r="C381" s="2">
        <f>IFERROR(__xludf.DUMMYFUNCTION("""COMPUTED_VALUE"""),1155.0)</f>
        <v>1155</v>
      </c>
      <c r="D381" s="2">
        <f>IFERROR(__xludf.DUMMYFUNCTION("""COMPUTED_VALUE"""),1125.0)</f>
        <v>1125</v>
      </c>
      <c r="E381" s="2">
        <f>IFERROR(__xludf.DUMMYFUNCTION("""COMPUTED_VALUE"""),1145.0)</f>
        <v>1145</v>
      </c>
      <c r="F381" s="2">
        <f>IFERROR(__xludf.DUMMYFUNCTION("""COMPUTED_VALUE"""),1.59098E7)</f>
        <v>15909800</v>
      </c>
      <c r="G381" s="2">
        <f t="shared" si="1"/>
        <v>35</v>
      </c>
    </row>
    <row r="382" ht="15.75" customHeight="1">
      <c r="A382" s="1">
        <f>IFERROR(__xludf.DUMMYFUNCTION("""COMPUTED_VALUE"""),45572.66666666667)</f>
        <v>45572.66667</v>
      </c>
      <c r="B382" s="2">
        <f>IFERROR(__xludf.DUMMYFUNCTION("""COMPUTED_VALUE"""),1155.0)</f>
        <v>1155</v>
      </c>
      <c r="C382" s="2">
        <f>IFERROR(__xludf.DUMMYFUNCTION("""COMPUTED_VALUE"""),1160.0)</f>
        <v>1160</v>
      </c>
      <c r="D382" s="2">
        <f>IFERROR(__xludf.DUMMYFUNCTION("""COMPUTED_VALUE"""),1130.0)</f>
        <v>1130</v>
      </c>
      <c r="E382" s="2">
        <f>IFERROR(__xludf.DUMMYFUNCTION("""COMPUTED_VALUE"""),1140.0)</f>
        <v>1140</v>
      </c>
      <c r="F382" s="2">
        <f>IFERROR(__xludf.DUMMYFUNCTION("""COMPUTED_VALUE"""),1.03757E7)</f>
        <v>10375700</v>
      </c>
      <c r="G382" s="2">
        <f t="shared" si="1"/>
        <v>30</v>
      </c>
    </row>
    <row r="383" ht="15.75" customHeight="1">
      <c r="A383" s="1">
        <f>IFERROR(__xludf.DUMMYFUNCTION("""COMPUTED_VALUE"""),45573.66666666667)</f>
        <v>45573.66667</v>
      </c>
      <c r="B383" s="2">
        <f>IFERROR(__xludf.DUMMYFUNCTION("""COMPUTED_VALUE"""),1140.0)</f>
        <v>1140</v>
      </c>
      <c r="C383" s="2">
        <f>IFERROR(__xludf.DUMMYFUNCTION("""COMPUTED_VALUE"""),1145.0)</f>
        <v>1145</v>
      </c>
      <c r="D383" s="2">
        <f>IFERROR(__xludf.DUMMYFUNCTION("""COMPUTED_VALUE"""),1125.0)</f>
        <v>1125</v>
      </c>
      <c r="E383" s="2">
        <f>IFERROR(__xludf.DUMMYFUNCTION("""COMPUTED_VALUE"""),1125.0)</f>
        <v>1125</v>
      </c>
      <c r="F383" s="2">
        <f>IFERROR(__xludf.DUMMYFUNCTION("""COMPUTED_VALUE"""),7802000.0)</f>
        <v>7802000</v>
      </c>
      <c r="G383" s="2">
        <f t="shared" si="1"/>
        <v>20</v>
      </c>
    </row>
    <row r="384" ht="15.75" customHeight="1">
      <c r="A384" s="1">
        <f>IFERROR(__xludf.DUMMYFUNCTION("""COMPUTED_VALUE"""),45574.66666666667)</f>
        <v>45574.66667</v>
      </c>
      <c r="B384" s="2">
        <f>IFERROR(__xludf.DUMMYFUNCTION("""COMPUTED_VALUE"""),1130.0)</f>
        <v>1130</v>
      </c>
      <c r="C384" s="2">
        <f>IFERROR(__xludf.DUMMYFUNCTION("""COMPUTED_VALUE"""),1165.0)</f>
        <v>1165</v>
      </c>
      <c r="D384" s="2">
        <f>IFERROR(__xludf.DUMMYFUNCTION("""COMPUTED_VALUE"""),1130.0)</f>
        <v>1130</v>
      </c>
      <c r="E384" s="2">
        <f>IFERROR(__xludf.DUMMYFUNCTION("""COMPUTED_VALUE"""),1165.0)</f>
        <v>1165</v>
      </c>
      <c r="F384" s="2">
        <f>IFERROR(__xludf.DUMMYFUNCTION("""COMPUTED_VALUE"""),1.9209E7)</f>
        <v>19209000</v>
      </c>
      <c r="G384" s="2">
        <f t="shared" si="1"/>
        <v>40</v>
      </c>
    </row>
    <row r="385" ht="15.75" customHeight="1">
      <c r="A385" s="1">
        <f>IFERROR(__xludf.DUMMYFUNCTION("""COMPUTED_VALUE"""),45575.66666666667)</f>
        <v>45575.66667</v>
      </c>
      <c r="B385" s="2">
        <f>IFERROR(__xludf.DUMMYFUNCTION("""COMPUTED_VALUE"""),1170.0)</f>
        <v>1170</v>
      </c>
      <c r="C385" s="2">
        <f>IFERROR(__xludf.DUMMYFUNCTION("""COMPUTED_VALUE"""),1175.0)</f>
        <v>1175</v>
      </c>
      <c r="D385" s="2">
        <f>IFERROR(__xludf.DUMMYFUNCTION("""COMPUTED_VALUE"""),1155.0)</f>
        <v>1155</v>
      </c>
      <c r="E385" s="2">
        <f>IFERROR(__xludf.DUMMYFUNCTION("""COMPUTED_VALUE"""),1170.0)</f>
        <v>1170</v>
      </c>
      <c r="F385" s="2">
        <f>IFERROR(__xludf.DUMMYFUNCTION("""COMPUTED_VALUE"""),2.49138E7)</f>
        <v>24913800</v>
      </c>
      <c r="G385" s="2">
        <f t="shared" si="1"/>
        <v>20</v>
      </c>
    </row>
    <row r="386" ht="15.75" customHeight="1">
      <c r="A386" s="1">
        <f>IFERROR(__xludf.DUMMYFUNCTION("""COMPUTED_VALUE"""),45576.66666666667)</f>
        <v>45576.66667</v>
      </c>
      <c r="B386" s="2">
        <f>IFERROR(__xludf.DUMMYFUNCTION("""COMPUTED_VALUE"""),1170.0)</f>
        <v>1170</v>
      </c>
      <c r="C386" s="2">
        <f>IFERROR(__xludf.DUMMYFUNCTION("""COMPUTED_VALUE"""),1190.0)</f>
        <v>1190</v>
      </c>
      <c r="D386" s="2">
        <f>IFERROR(__xludf.DUMMYFUNCTION("""COMPUTED_VALUE"""),1170.0)</f>
        <v>1170</v>
      </c>
      <c r="E386" s="2">
        <f>IFERROR(__xludf.DUMMYFUNCTION("""COMPUTED_VALUE"""),1185.0)</f>
        <v>1185</v>
      </c>
      <c r="F386" s="2">
        <f>IFERROR(__xludf.DUMMYFUNCTION("""COMPUTED_VALUE"""),2.37025E7)</f>
        <v>23702500</v>
      </c>
      <c r="G386" s="2">
        <f t="shared" si="1"/>
        <v>20</v>
      </c>
    </row>
    <row r="387" ht="15.75" customHeight="1">
      <c r="A387" s="1">
        <f>IFERROR(__xludf.DUMMYFUNCTION("""COMPUTED_VALUE"""),45579.66666666667)</f>
        <v>45579.66667</v>
      </c>
      <c r="B387" s="2">
        <f>IFERROR(__xludf.DUMMYFUNCTION("""COMPUTED_VALUE"""),1190.0)</f>
        <v>1190</v>
      </c>
      <c r="C387" s="2">
        <f>IFERROR(__xludf.DUMMYFUNCTION("""COMPUTED_VALUE"""),1195.0)</f>
        <v>1195</v>
      </c>
      <c r="D387" s="2">
        <f>IFERROR(__xludf.DUMMYFUNCTION("""COMPUTED_VALUE"""),1180.0)</f>
        <v>1180</v>
      </c>
      <c r="E387" s="2">
        <f>IFERROR(__xludf.DUMMYFUNCTION("""COMPUTED_VALUE"""),1180.0)</f>
        <v>1180</v>
      </c>
      <c r="F387" s="2">
        <f>IFERROR(__xludf.DUMMYFUNCTION("""COMPUTED_VALUE"""),1.97897E7)</f>
        <v>19789700</v>
      </c>
      <c r="G387" s="2">
        <f t="shared" si="1"/>
        <v>15</v>
      </c>
    </row>
    <row r="388" ht="15.75" customHeight="1">
      <c r="A388" s="1">
        <f>IFERROR(__xludf.DUMMYFUNCTION("""COMPUTED_VALUE"""),45580.66666666667)</f>
        <v>45580.66667</v>
      </c>
      <c r="B388" s="2">
        <f>IFERROR(__xludf.DUMMYFUNCTION("""COMPUTED_VALUE"""),1185.0)</f>
        <v>1185</v>
      </c>
      <c r="C388" s="2">
        <f>IFERROR(__xludf.DUMMYFUNCTION("""COMPUTED_VALUE"""),1190.0)</f>
        <v>1190</v>
      </c>
      <c r="D388" s="2">
        <f>IFERROR(__xludf.DUMMYFUNCTION("""COMPUTED_VALUE"""),1180.0)</f>
        <v>1180</v>
      </c>
      <c r="E388" s="2">
        <f>IFERROR(__xludf.DUMMYFUNCTION("""COMPUTED_VALUE"""),1180.0)</f>
        <v>1180</v>
      </c>
      <c r="F388" s="2">
        <f>IFERROR(__xludf.DUMMYFUNCTION("""COMPUTED_VALUE"""),1.4459E7)</f>
        <v>14459000</v>
      </c>
      <c r="G388" s="2">
        <f t="shared" si="1"/>
        <v>10</v>
      </c>
    </row>
    <row r="389" ht="15.75" customHeight="1">
      <c r="A389" s="1">
        <f>IFERROR(__xludf.DUMMYFUNCTION("""COMPUTED_VALUE"""),45581.66666666667)</f>
        <v>45581.66667</v>
      </c>
      <c r="B389" s="2">
        <f>IFERROR(__xludf.DUMMYFUNCTION("""COMPUTED_VALUE"""),1185.0)</f>
        <v>1185</v>
      </c>
      <c r="C389" s="2">
        <f>IFERROR(__xludf.DUMMYFUNCTION("""COMPUTED_VALUE"""),1210.0)</f>
        <v>1210</v>
      </c>
      <c r="D389" s="2">
        <f>IFERROR(__xludf.DUMMYFUNCTION("""COMPUTED_VALUE"""),1180.0)</f>
        <v>1180</v>
      </c>
      <c r="E389" s="2">
        <f>IFERROR(__xludf.DUMMYFUNCTION("""COMPUTED_VALUE"""),1185.0)</f>
        <v>1185</v>
      </c>
      <c r="F389" s="2">
        <f>IFERROR(__xludf.DUMMYFUNCTION("""COMPUTED_VALUE"""),2.12474E7)</f>
        <v>21247400</v>
      </c>
      <c r="G389" s="2">
        <f t="shared" si="1"/>
        <v>30</v>
      </c>
    </row>
    <row r="390" ht="15.75" customHeight="1">
      <c r="A390" s="1">
        <f>IFERROR(__xludf.DUMMYFUNCTION("""COMPUTED_VALUE"""),45582.66666666667)</f>
        <v>45582.66667</v>
      </c>
      <c r="B390" s="2">
        <f>IFERROR(__xludf.DUMMYFUNCTION("""COMPUTED_VALUE"""),1190.0)</f>
        <v>1190</v>
      </c>
      <c r="C390" s="2">
        <f>IFERROR(__xludf.DUMMYFUNCTION("""COMPUTED_VALUE"""),1195.0)</f>
        <v>1195</v>
      </c>
      <c r="D390" s="2">
        <f>IFERROR(__xludf.DUMMYFUNCTION("""COMPUTED_VALUE"""),1170.0)</f>
        <v>1170</v>
      </c>
      <c r="E390" s="2">
        <f>IFERROR(__xludf.DUMMYFUNCTION("""COMPUTED_VALUE"""),1170.0)</f>
        <v>1170</v>
      </c>
      <c r="F390" s="2">
        <f>IFERROR(__xludf.DUMMYFUNCTION("""COMPUTED_VALUE"""),1.7573E7)</f>
        <v>17573000</v>
      </c>
      <c r="G390" s="2">
        <f t="shared" si="1"/>
        <v>25</v>
      </c>
    </row>
    <row r="391" ht="15.75" customHeight="1">
      <c r="A391" s="1">
        <f>IFERROR(__xludf.DUMMYFUNCTION("""COMPUTED_VALUE"""),45583.66666666667)</f>
        <v>45583.66667</v>
      </c>
      <c r="B391" s="2">
        <f>IFERROR(__xludf.DUMMYFUNCTION("""COMPUTED_VALUE"""),1170.0)</f>
        <v>1170</v>
      </c>
      <c r="C391" s="2">
        <f>IFERROR(__xludf.DUMMYFUNCTION("""COMPUTED_VALUE"""),1175.0)</f>
        <v>1175</v>
      </c>
      <c r="D391" s="2">
        <f>IFERROR(__xludf.DUMMYFUNCTION("""COMPUTED_VALUE"""),1145.0)</f>
        <v>1145</v>
      </c>
      <c r="E391" s="2">
        <f>IFERROR(__xludf.DUMMYFUNCTION("""COMPUTED_VALUE"""),1145.0)</f>
        <v>1145</v>
      </c>
      <c r="F391" s="2">
        <f>IFERROR(__xludf.DUMMYFUNCTION("""COMPUTED_VALUE"""),1.225231E8)</f>
        <v>122523100</v>
      </c>
      <c r="G391" s="2">
        <f t="shared" si="1"/>
        <v>30</v>
      </c>
    </row>
    <row r="392" ht="15.75" customHeight="1">
      <c r="A392" s="1">
        <f>IFERROR(__xludf.DUMMYFUNCTION("""COMPUTED_VALUE"""),45586.66666666667)</f>
        <v>45586.66667</v>
      </c>
      <c r="B392" s="2">
        <f>IFERROR(__xludf.DUMMYFUNCTION("""COMPUTED_VALUE"""),1150.0)</f>
        <v>1150</v>
      </c>
      <c r="C392" s="2">
        <f>IFERROR(__xludf.DUMMYFUNCTION("""COMPUTED_VALUE"""),1175.0)</f>
        <v>1175</v>
      </c>
      <c r="D392" s="2">
        <f>IFERROR(__xludf.DUMMYFUNCTION("""COMPUTED_VALUE"""),1145.0)</f>
        <v>1145</v>
      </c>
      <c r="E392" s="2">
        <f>IFERROR(__xludf.DUMMYFUNCTION("""COMPUTED_VALUE"""),1145.0)</f>
        <v>1145</v>
      </c>
      <c r="F392" s="2">
        <f>IFERROR(__xludf.DUMMYFUNCTION("""COMPUTED_VALUE"""),2.3807E7)</f>
        <v>23807000</v>
      </c>
      <c r="G392" s="2">
        <f t="shared" si="1"/>
        <v>30</v>
      </c>
    </row>
    <row r="393" ht="15.75" customHeight="1">
      <c r="A393" s="1">
        <f>IFERROR(__xludf.DUMMYFUNCTION("""COMPUTED_VALUE"""),45587.66666666667)</f>
        <v>45587.66667</v>
      </c>
      <c r="B393" s="2">
        <f>IFERROR(__xludf.DUMMYFUNCTION("""COMPUTED_VALUE"""),1155.0)</f>
        <v>1155</v>
      </c>
      <c r="C393" s="2">
        <f>IFERROR(__xludf.DUMMYFUNCTION("""COMPUTED_VALUE"""),1155.0)</f>
        <v>1155</v>
      </c>
      <c r="D393" s="2">
        <f>IFERROR(__xludf.DUMMYFUNCTION("""COMPUTED_VALUE"""),1135.0)</f>
        <v>1135</v>
      </c>
      <c r="E393" s="2">
        <f>IFERROR(__xludf.DUMMYFUNCTION("""COMPUTED_VALUE"""),1140.0)</f>
        <v>1140</v>
      </c>
      <c r="F393" s="2">
        <f>IFERROR(__xludf.DUMMYFUNCTION("""COMPUTED_VALUE"""),1.25642E7)</f>
        <v>12564200</v>
      </c>
      <c r="G393" s="2">
        <f t="shared" si="1"/>
        <v>20</v>
      </c>
    </row>
    <row r="394" ht="15.75" customHeight="1">
      <c r="A394" s="1">
        <f>IFERROR(__xludf.DUMMYFUNCTION("""COMPUTED_VALUE"""),45588.66666666667)</f>
        <v>45588.66667</v>
      </c>
      <c r="B394" s="2">
        <f>IFERROR(__xludf.DUMMYFUNCTION("""COMPUTED_VALUE"""),1140.0)</f>
        <v>1140</v>
      </c>
      <c r="C394" s="2">
        <f>IFERROR(__xludf.DUMMYFUNCTION("""COMPUTED_VALUE"""),1145.0)</f>
        <v>1145</v>
      </c>
      <c r="D394" s="2">
        <f>IFERROR(__xludf.DUMMYFUNCTION("""COMPUTED_VALUE"""),1135.0)</f>
        <v>1135</v>
      </c>
      <c r="E394" s="2">
        <f>IFERROR(__xludf.DUMMYFUNCTION("""COMPUTED_VALUE"""),1135.0)</f>
        <v>1135</v>
      </c>
      <c r="F394" s="2">
        <f>IFERROR(__xludf.DUMMYFUNCTION("""COMPUTED_VALUE"""),8764800.0)</f>
        <v>8764800</v>
      </c>
      <c r="G394" s="2">
        <f t="shared" si="1"/>
        <v>10</v>
      </c>
    </row>
    <row r="395" ht="15.75" customHeight="1">
      <c r="A395" s="1">
        <f>IFERROR(__xludf.DUMMYFUNCTION("""COMPUTED_VALUE"""),45589.66666666667)</f>
        <v>45589.66667</v>
      </c>
      <c r="B395" s="2">
        <f>IFERROR(__xludf.DUMMYFUNCTION("""COMPUTED_VALUE"""),1135.0)</f>
        <v>1135</v>
      </c>
      <c r="C395" s="2">
        <f>IFERROR(__xludf.DUMMYFUNCTION("""COMPUTED_VALUE"""),1140.0)</f>
        <v>1140</v>
      </c>
      <c r="D395" s="2">
        <f>IFERROR(__xludf.DUMMYFUNCTION("""COMPUTED_VALUE"""),1125.0)</f>
        <v>1125</v>
      </c>
      <c r="E395" s="2">
        <f>IFERROR(__xludf.DUMMYFUNCTION("""COMPUTED_VALUE"""),1130.0)</f>
        <v>1130</v>
      </c>
      <c r="F395" s="2">
        <f>IFERROR(__xludf.DUMMYFUNCTION("""COMPUTED_VALUE"""),8356300.0)</f>
        <v>8356300</v>
      </c>
      <c r="G395" s="2">
        <f t="shared" si="1"/>
        <v>15</v>
      </c>
    </row>
    <row r="396" ht="15.75" customHeight="1">
      <c r="A396" s="1">
        <f>IFERROR(__xludf.DUMMYFUNCTION("""COMPUTED_VALUE"""),45590.66666666667)</f>
        <v>45590.66667</v>
      </c>
      <c r="B396" s="2">
        <f>IFERROR(__xludf.DUMMYFUNCTION("""COMPUTED_VALUE"""),1130.0)</f>
        <v>1130</v>
      </c>
      <c r="C396" s="2">
        <f>IFERROR(__xludf.DUMMYFUNCTION("""COMPUTED_VALUE"""),1135.0)</f>
        <v>1135</v>
      </c>
      <c r="D396" s="2">
        <f>IFERROR(__xludf.DUMMYFUNCTION("""COMPUTED_VALUE"""),1125.0)</f>
        <v>1125</v>
      </c>
      <c r="E396" s="2">
        <f>IFERROR(__xludf.DUMMYFUNCTION("""COMPUTED_VALUE"""),1125.0)</f>
        <v>1125</v>
      </c>
      <c r="F396" s="2">
        <f>IFERROR(__xludf.DUMMYFUNCTION("""COMPUTED_VALUE"""),6969300.0)</f>
        <v>6969300</v>
      </c>
      <c r="G396" s="2">
        <f t="shared" si="1"/>
        <v>10</v>
      </c>
    </row>
    <row r="397" ht="15.75" customHeight="1">
      <c r="A397" s="1">
        <f>IFERROR(__xludf.DUMMYFUNCTION("""COMPUTED_VALUE"""),45593.66666666667)</f>
        <v>45593.66667</v>
      </c>
      <c r="B397" s="2">
        <f>IFERROR(__xludf.DUMMYFUNCTION("""COMPUTED_VALUE"""),1125.0)</f>
        <v>1125</v>
      </c>
      <c r="C397" s="2">
        <f>IFERROR(__xludf.DUMMYFUNCTION("""COMPUTED_VALUE"""),1130.0)</f>
        <v>1130</v>
      </c>
      <c r="D397" s="2">
        <f>IFERROR(__xludf.DUMMYFUNCTION("""COMPUTED_VALUE"""),1110.0)</f>
        <v>1110</v>
      </c>
      <c r="E397" s="2">
        <f>IFERROR(__xludf.DUMMYFUNCTION("""COMPUTED_VALUE"""),1110.0)</f>
        <v>1110</v>
      </c>
      <c r="F397" s="2">
        <f>IFERROR(__xludf.DUMMYFUNCTION("""COMPUTED_VALUE"""),1.28924E7)</f>
        <v>12892400</v>
      </c>
      <c r="G397" s="2">
        <f t="shared" si="1"/>
        <v>20</v>
      </c>
    </row>
    <row r="398" ht="15.75" customHeight="1">
      <c r="A398" s="1">
        <f>IFERROR(__xludf.DUMMYFUNCTION("""COMPUTED_VALUE"""),45594.66666666667)</f>
        <v>45594.66667</v>
      </c>
      <c r="B398" s="2">
        <f>IFERROR(__xludf.DUMMYFUNCTION("""COMPUTED_VALUE"""),1110.0)</f>
        <v>1110</v>
      </c>
      <c r="C398" s="2">
        <f>IFERROR(__xludf.DUMMYFUNCTION("""COMPUTED_VALUE"""),1130.0)</f>
        <v>1130</v>
      </c>
      <c r="D398" s="2">
        <f>IFERROR(__xludf.DUMMYFUNCTION("""COMPUTED_VALUE"""),1110.0)</f>
        <v>1110</v>
      </c>
      <c r="E398" s="2">
        <f>IFERROR(__xludf.DUMMYFUNCTION("""COMPUTED_VALUE"""),1110.0)</f>
        <v>1110</v>
      </c>
      <c r="F398" s="2">
        <f>IFERROR(__xludf.DUMMYFUNCTION("""COMPUTED_VALUE"""),7489400.0)</f>
        <v>7489400</v>
      </c>
      <c r="G398" s="2">
        <f t="shared" si="1"/>
        <v>20</v>
      </c>
    </row>
    <row r="399" ht="15.75" customHeight="1">
      <c r="A399" s="1">
        <f>IFERROR(__xludf.DUMMYFUNCTION("""COMPUTED_VALUE"""),45595.66666666667)</f>
        <v>45595.66667</v>
      </c>
      <c r="B399" s="2">
        <f>IFERROR(__xludf.DUMMYFUNCTION("""COMPUTED_VALUE"""),1115.0)</f>
        <v>1115</v>
      </c>
      <c r="C399" s="2">
        <f>IFERROR(__xludf.DUMMYFUNCTION("""COMPUTED_VALUE"""),1120.0)</f>
        <v>1120</v>
      </c>
      <c r="D399" s="2">
        <f>IFERROR(__xludf.DUMMYFUNCTION("""COMPUTED_VALUE"""),1085.0)</f>
        <v>1085</v>
      </c>
      <c r="E399" s="2">
        <f>IFERROR(__xludf.DUMMYFUNCTION("""COMPUTED_VALUE"""),1090.0)</f>
        <v>1090</v>
      </c>
      <c r="F399" s="2">
        <f>IFERROR(__xludf.DUMMYFUNCTION("""COMPUTED_VALUE"""),1.29557E7)</f>
        <v>12955700</v>
      </c>
      <c r="G399" s="2">
        <f t="shared" si="1"/>
        <v>35</v>
      </c>
    </row>
    <row r="400" ht="15.75" customHeight="1">
      <c r="A400" s="1">
        <f>IFERROR(__xludf.DUMMYFUNCTION("""COMPUTED_VALUE"""),45596.66666666667)</f>
        <v>45596.66667</v>
      </c>
      <c r="B400" s="2">
        <f>IFERROR(__xludf.DUMMYFUNCTION("""COMPUTED_VALUE"""),1095.0)</f>
        <v>1095</v>
      </c>
      <c r="C400" s="2">
        <f>IFERROR(__xludf.DUMMYFUNCTION("""COMPUTED_VALUE"""),1100.0)</f>
        <v>1100</v>
      </c>
      <c r="D400" s="2">
        <f>IFERROR(__xludf.DUMMYFUNCTION("""COMPUTED_VALUE"""),1085.0)</f>
        <v>1085</v>
      </c>
      <c r="E400" s="2">
        <f>IFERROR(__xludf.DUMMYFUNCTION("""COMPUTED_VALUE"""),1090.0)</f>
        <v>1090</v>
      </c>
      <c r="F400" s="2">
        <f>IFERROR(__xludf.DUMMYFUNCTION("""COMPUTED_VALUE"""),7089600.0)</f>
        <v>7089600</v>
      </c>
      <c r="G400" s="2">
        <f t="shared" si="1"/>
        <v>15</v>
      </c>
    </row>
    <row r="401" ht="15.75" customHeight="1">
      <c r="A401" s="1">
        <f>IFERROR(__xludf.DUMMYFUNCTION("""COMPUTED_VALUE"""),45597.66666666667)</f>
        <v>45597.66667</v>
      </c>
      <c r="B401" s="2">
        <f>IFERROR(__xludf.DUMMYFUNCTION("""COMPUTED_VALUE"""),1090.0)</f>
        <v>1090</v>
      </c>
      <c r="C401" s="2">
        <f>IFERROR(__xludf.DUMMYFUNCTION("""COMPUTED_VALUE"""),1100.0)</f>
        <v>1100</v>
      </c>
      <c r="D401" s="2">
        <f>IFERROR(__xludf.DUMMYFUNCTION("""COMPUTED_VALUE"""),1075.0)</f>
        <v>1075</v>
      </c>
      <c r="E401" s="2">
        <f>IFERROR(__xludf.DUMMYFUNCTION("""COMPUTED_VALUE"""),1080.0)</f>
        <v>1080</v>
      </c>
      <c r="F401" s="2">
        <f>IFERROR(__xludf.DUMMYFUNCTION("""COMPUTED_VALUE"""),8160800.0)</f>
        <v>8160800</v>
      </c>
      <c r="G401" s="2">
        <f t="shared" si="1"/>
        <v>25</v>
      </c>
    </row>
    <row r="402" ht="15.75" customHeight="1">
      <c r="A402" s="1">
        <f>IFERROR(__xludf.DUMMYFUNCTION("""COMPUTED_VALUE"""),45600.66666666667)</f>
        <v>45600.66667</v>
      </c>
      <c r="B402" s="2">
        <f>IFERROR(__xludf.DUMMYFUNCTION("""COMPUTED_VALUE"""),1080.0)</f>
        <v>1080</v>
      </c>
      <c r="C402" s="2">
        <f>IFERROR(__xludf.DUMMYFUNCTION("""COMPUTED_VALUE"""),1080.0)</f>
        <v>1080</v>
      </c>
      <c r="D402" s="2">
        <f>IFERROR(__xludf.DUMMYFUNCTION("""COMPUTED_VALUE"""),1055.0)</f>
        <v>1055</v>
      </c>
      <c r="E402" s="2">
        <f>IFERROR(__xludf.DUMMYFUNCTION("""COMPUTED_VALUE"""),1065.0)</f>
        <v>1065</v>
      </c>
      <c r="F402" s="2">
        <f>IFERROR(__xludf.DUMMYFUNCTION("""COMPUTED_VALUE"""),6616000.0)</f>
        <v>6616000</v>
      </c>
      <c r="G402" s="2">
        <f t="shared" si="1"/>
        <v>25</v>
      </c>
    </row>
    <row r="403" ht="15.75" customHeight="1">
      <c r="A403" s="1">
        <f>IFERROR(__xludf.DUMMYFUNCTION("""COMPUTED_VALUE"""),45601.66666666667)</f>
        <v>45601.66667</v>
      </c>
      <c r="B403" s="2">
        <f>IFERROR(__xludf.DUMMYFUNCTION("""COMPUTED_VALUE"""),1065.0)</f>
        <v>1065</v>
      </c>
      <c r="C403" s="2">
        <f>IFERROR(__xludf.DUMMYFUNCTION("""COMPUTED_VALUE"""),1085.0)</f>
        <v>1085</v>
      </c>
      <c r="D403" s="2">
        <f>IFERROR(__xludf.DUMMYFUNCTION("""COMPUTED_VALUE"""),1060.0)</f>
        <v>1060</v>
      </c>
      <c r="E403" s="2">
        <f>IFERROR(__xludf.DUMMYFUNCTION("""COMPUTED_VALUE"""),1070.0)</f>
        <v>1070</v>
      </c>
      <c r="F403" s="2">
        <f>IFERROR(__xludf.DUMMYFUNCTION("""COMPUTED_VALUE"""),6728900.0)</f>
        <v>6728900</v>
      </c>
      <c r="G403" s="2">
        <f t="shared" si="1"/>
        <v>25</v>
      </c>
    </row>
    <row r="404" ht="15.75" customHeight="1">
      <c r="A404" s="1">
        <f>IFERROR(__xludf.DUMMYFUNCTION("""COMPUTED_VALUE"""),45602.66666666667)</f>
        <v>45602.66667</v>
      </c>
      <c r="B404" s="2">
        <f>IFERROR(__xludf.DUMMYFUNCTION("""COMPUTED_VALUE"""),1075.0)</f>
        <v>1075</v>
      </c>
      <c r="C404" s="2">
        <f>IFERROR(__xludf.DUMMYFUNCTION("""COMPUTED_VALUE"""),1080.0)</f>
        <v>1080</v>
      </c>
      <c r="D404" s="2">
        <f>IFERROR(__xludf.DUMMYFUNCTION("""COMPUTED_VALUE"""),1055.0)</f>
        <v>1055</v>
      </c>
      <c r="E404" s="2">
        <f>IFERROR(__xludf.DUMMYFUNCTION("""COMPUTED_VALUE"""),1055.0)</f>
        <v>1055</v>
      </c>
      <c r="F404" s="2">
        <f>IFERROR(__xludf.DUMMYFUNCTION("""COMPUTED_VALUE"""),5042100.0)</f>
        <v>5042100</v>
      </c>
      <c r="G404" s="2">
        <f t="shared" si="1"/>
        <v>25</v>
      </c>
    </row>
    <row r="405" ht="15.75" customHeight="1">
      <c r="A405" s="1">
        <f>IFERROR(__xludf.DUMMYFUNCTION("""COMPUTED_VALUE"""),45603.66666666667)</f>
        <v>45603.66667</v>
      </c>
      <c r="B405" s="2">
        <f>IFERROR(__xludf.DUMMYFUNCTION("""COMPUTED_VALUE"""),1060.0)</f>
        <v>1060</v>
      </c>
      <c r="C405" s="2">
        <f>IFERROR(__xludf.DUMMYFUNCTION("""COMPUTED_VALUE"""),1060.0)</f>
        <v>1060</v>
      </c>
      <c r="D405" s="2">
        <f>IFERROR(__xludf.DUMMYFUNCTION("""COMPUTED_VALUE"""),1020.0)</f>
        <v>1020</v>
      </c>
      <c r="E405" s="2">
        <f>IFERROR(__xludf.DUMMYFUNCTION("""COMPUTED_VALUE"""),1030.0)</f>
        <v>1030</v>
      </c>
      <c r="F405" s="2">
        <f>IFERROR(__xludf.DUMMYFUNCTION("""COMPUTED_VALUE"""),1.07383E7)</f>
        <v>10738300</v>
      </c>
      <c r="G405" s="2">
        <f t="shared" si="1"/>
        <v>40</v>
      </c>
    </row>
    <row r="406" ht="15.75" customHeight="1">
      <c r="A406" s="1">
        <f>IFERROR(__xludf.DUMMYFUNCTION("""COMPUTED_VALUE"""),45604.66666666667)</f>
        <v>45604.66667</v>
      </c>
      <c r="B406" s="2">
        <f>IFERROR(__xludf.DUMMYFUNCTION("""COMPUTED_VALUE"""),1035.0)</f>
        <v>1035</v>
      </c>
      <c r="C406" s="2">
        <f>IFERROR(__xludf.DUMMYFUNCTION("""COMPUTED_VALUE"""),1045.0)</f>
        <v>1045</v>
      </c>
      <c r="D406" s="2">
        <f>IFERROR(__xludf.DUMMYFUNCTION("""COMPUTED_VALUE"""),1030.0)</f>
        <v>1030</v>
      </c>
      <c r="E406" s="2">
        <f>IFERROR(__xludf.DUMMYFUNCTION("""COMPUTED_VALUE"""),1035.0)</f>
        <v>1035</v>
      </c>
      <c r="F406" s="2">
        <f>IFERROR(__xludf.DUMMYFUNCTION("""COMPUTED_VALUE"""),4859500.0)</f>
        <v>4859500</v>
      </c>
      <c r="G406" s="2">
        <f t="shared" si="1"/>
        <v>15</v>
      </c>
    </row>
    <row r="407" ht="15.75" customHeight="1">
      <c r="A407" s="1">
        <f>IFERROR(__xludf.DUMMYFUNCTION("""COMPUTED_VALUE"""),45607.66666666667)</f>
        <v>45607.66667</v>
      </c>
      <c r="B407" s="2">
        <f>IFERROR(__xludf.DUMMYFUNCTION("""COMPUTED_VALUE"""),1035.0)</f>
        <v>1035</v>
      </c>
      <c r="C407" s="2">
        <f>IFERROR(__xludf.DUMMYFUNCTION("""COMPUTED_VALUE"""),1040.0)</f>
        <v>1040</v>
      </c>
      <c r="D407" s="2">
        <f>IFERROR(__xludf.DUMMYFUNCTION("""COMPUTED_VALUE"""),1005.0)</f>
        <v>1005</v>
      </c>
      <c r="E407" s="2">
        <f>IFERROR(__xludf.DUMMYFUNCTION("""COMPUTED_VALUE"""),1015.0)</f>
        <v>1015</v>
      </c>
      <c r="F407" s="2">
        <f>IFERROR(__xludf.DUMMYFUNCTION("""COMPUTED_VALUE"""),8516700.0)</f>
        <v>8516700</v>
      </c>
      <c r="G407" s="2">
        <f t="shared" si="1"/>
        <v>35</v>
      </c>
    </row>
    <row r="408" ht="15.75" customHeight="1">
      <c r="A408" s="1">
        <f>IFERROR(__xludf.DUMMYFUNCTION("""COMPUTED_VALUE"""),45608.66666666667)</f>
        <v>45608.66667</v>
      </c>
      <c r="B408" s="2">
        <f>IFERROR(__xludf.DUMMYFUNCTION("""COMPUTED_VALUE"""),1030.0)</f>
        <v>1030</v>
      </c>
      <c r="C408" s="2">
        <f>IFERROR(__xludf.DUMMYFUNCTION("""COMPUTED_VALUE"""),1045.0)</f>
        <v>1045</v>
      </c>
      <c r="D408" s="2">
        <f>IFERROR(__xludf.DUMMYFUNCTION("""COMPUTED_VALUE"""),1015.0)</f>
        <v>1015</v>
      </c>
      <c r="E408" s="2">
        <f>IFERROR(__xludf.DUMMYFUNCTION("""COMPUTED_VALUE"""),1045.0)</f>
        <v>1045</v>
      </c>
      <c r="F408" s="2">
        <f>IFERROR(__xludf.DUMMYFUNCTION("""COMPUTED_VALUE"""),6699300.0)</f>
        <v>6699300</v>
      </c>
      <c r="G408" s="2">
        <f t="shared" si="1"/>
        <v>30</v>
      </c>
    </row>
    <row r="409" ht="15.75" customHeight="1">
      <c r="A409" s="1">
        <f>IFERROR(__xludf.DUMMYFUNCTION("""COMPUTED_VALUE"""),45609.66666666667)</f>
        <v>45609.66667</v>
      </c>
      <c r="B409" s="2">
        <f>IFERROR(__xludf.DUMMYFUNCTION("""COMPUTED_VALUE"""),1050.0)</f>
        <v>1050</v>
      </c>
      <c r="C409" s="2">
        <f>IFERROR(__xludf.DUMMYFUNCTION("""COMPUTED_VALUE"""),1100.0)</f>
        <v>1100</v>
      </c>
      <c r="D409" s="2">
        <f>IFERROR(__xludf.DUMMYFUNCTION("""COMPUTED_VALUE"""),1035.0)</f>
        <v>1035</v>
      </c>
      <c r="E409" s="2">
        <f>IFERROR(__xludf.DUMMYFUNCTION("""COMPUTED_VALUE"""),1080.0)</f>
        <v>1080</v>
      </c>
      <c r="F409" s="2">
        <f>IFERROR(__xludf.DUMMYFUNCTION("""COMPUTED_VALUE"""),1.37406E7)</f>
        <v>13740600</v>
      </c>
      <c r="G409" s="2">
        <f t="shared" si="1"/>
        <v>65</v>
      </c>
    </row>
    <row r="410" ht="15.75" customHeight="1">
      <c r="A410" s="1">
        <f>IFERROR(__xludf.DUMMYFUNCTION("""COMPUTED_VALUE"""),45610.66666666667)</f>
        <v>45610.66667</v>
      </c>
      <c r="B410" s="2">
        <f>IFERROR(__xludf.DUMMYFUNCTION("""COMPUTED_VALUE"""),1080.0)</f>
        <v>1080</v>
      </c>
      <c r="C410" s="2">
        <f>IFERROR(__xludf.DUMMYFUNCTION("""COMPUTED_VALUE"""),1085.0)</f>
        <v>1085</v>
      </c>
      <c r="D410" s="2">
        <f>IFERROR(__xludf.DUMMYFUNCTION("""COMPUTED_VALUE"""),1045.0)</f>
        <v>1045</v>
      </c>
      <c r="E410" s="2">
        <f>IFERROR(__xludf.DUMMYFUNCTION("""COMPUTED_VALUE"""),1050.0)</f>
        <v>1050</v>
      </c>
      <c r="F410" s="2">
        <f>IFERROR(__xludf.DUMMYFUNCTION("""COMPUTED_VALUE"""),8983800.0)</f>
        <v>8983800</v>
      </c>
      <c r="G410" s="2">
        <f t="shared" si="1"/>
        <v>40</v>
      </c>
    </row>
    <row r="411" ht="15.75" customHeight="1">
      <c r="A411" s="1">
        <f>IFERROR(__xludf.DUMMYFUNCTION("""COMPUTED_VALUE"""),45611.66666666667)</f>
        <v>45611.66667</v>
      </c>
      <c r="B411" s="2">
        <f>IFERROR(__xludf.DUMMYFUNCTION("""COMPUTED_VALUE"""),1050.0)</f>
        <v>1050</v>
      </c>
      <c r="C411" s="2">
        <f>IFERROR(__xludf.DUMMYFUNCTION("""COMPUTED_VALUE"""),1060.0)</f>
        <v>1060</v>
      </c>
      <c r="D411" s="2">
        <f>IFERROR(__xludf.DUMMYFUNCTION("""COMPUTED_VALUE"""),1025.0)</f>
        <v>1025</v>
      </c>
      <c r="E411" s="2">
        <f>IFERROR(__xludf.DUMMYFUNCTION("""COMPUTED_VALUE"""),1035.0)</f>
        <v>1035</v>
      </c>
      <c r="F411" s="2">
        <f>IFERROR(__xludf.DUMMYFUNCTION("""COMPUTED_VALUE"""),3431800.0)</f>
        <v>3431800</v>
      </c>
      <c r="G411" s="2">
        <f t="shared" si="1"/>
        <v>35</v>
      </c>
    </row>
    <row r="412" ht="15.75" customHeight="1">
      <c r="A412" s="1">
        <f>IFERROR(__xludf.DUMMYFUNCTION("""COMPUTED_VALUE"""),45614.66666666667)</f>
        <v>45614.66667</v>
      </c>
      <c r="B412" s="2">
        <f>IFERROR(__xludf.DUMMYFUNCTION("""COMPUTED_VALUE"""),1035.0)</f>
        <v>1035</v>
      </c>
      <c r="C412" s="2">
        <f>IFERROR(__xludf.DUMMYFUNCTION("""COMPUTED_VALUE"""),1035.0)</f>
        <v>1035</v>
      </c>
      <c r="D412" s="2">
        <f>IFERROR(__xludf.DUMMYFUNCTION("""COMPUTED_VALUE"""),1015.0)</f>
        <v>1015</v>
      </c>
      <c r="E412" s="2">
        <f>IFERROR(__xludf.DUMMYFUNCTION("""COMPUTED_VALUE"""),1025.0)</f>
        <v>1025</v>
      </c>
      <c r="F412" s="2">
        <f>IFERROR(__xludf.DUMMYFUNCTION("""COMPUTED_VALUE"""),4474000.0)</f>
        <v>4474000</v>
      </c>
      <c r="G412" s="2">
        <f t="shared" si="1"/>
        <v>20</v>
      </c>
    </row>
    <row r="413" ht="15.75" customHeight="1">
      <c r="A413" s="1">
        <f>IFERROR(__xludf.DUMMYFUNCTION("""COMPUTED_VALUE"""),45615.66666666667)</f>
        <v>45615.66667</v>
      </c>
      <c r="B413" s="2">
        <f>IFERROR(__xludf.DUMMYFUNCTION("""COMPUTED_VALUE"""),1025.0)</f>
        <v>1025</v>
      </c>
      <c r="C413" s="2">
        <f>IFERROR(__xludf.DUMMYFUNCTION("""COMPUTED_VALUE"""),1040.0)</f>
        <v>1040</v>
      </c>
      <c r="D413" s="2">
        <f>IFERROR(__xludf.DUMMYFUNCTION("""COMPUTED_VALUE"""),1025.0)</f>
        <v>1025</v>
      </c>
      <c r="E413" s="2">
        <f>IFERROR(__xludf.DUMMYFUNCTION("""COMPUTED_VALUE"""),1040.0)</f>
        <v>1040</v>
      </c>
      <c r="F413" s="2">
        <f>IFERROR(__xludf.DUMMYFUNCTION("""COMPUTED_VALUE"""),4556400.0)</f>
        <v>4556400</v>
      </c>
      <c r="G413" s="2">
        <f t="shared" si="1"/>
        <v>15</v>
      </c>
    </row>
    <row r="414" ht="15.75" customHeight="1">
      <c r="A414" s="1">
        <f>IFERROR(__xludf.DUMMYFUNCTION("""COMPUTED_VALUE"""),45616.66666666667)</f>
        <v>45616.66667</v>
      </c>
      <c r="B414" s="2">
        <f>IFERROR(__xludf.DUMMYFUNCTION("""COMPUTED_VALUE"""),1045.0)</f>
        <v>1045</v>
      </c>
      <c r="C414" s="2">
        <f>IFERROR(__xludf.DUMMYFUNCTION("""COMPUTED_VALUE"""),1055.0)</f>
        <v>1055</v>
      </c>
      <c r="D414" s="2">
        <f>IFERROR(__xludf.DUMMYFUNCTION("""COMPUTED_VALUE"""),1035.0)</f>
        <v>1035</v>
      </c>
      <c r="E414" s="2">
        <f>IFERROR(__xludf.DUMMYFUNCTION("""COMPUTED_VALUE"""),1040.0)</f>
        <v>1040</v>
      </c>
      <c r="F414" s="2">
        <f>IFERROR(__xludf.DUMMYFUNCTION("""COMPUTED_VALUE"""),4085600.0)</f>
        <v>4085600</v>
      </c>
      <c r="G414" s="2">
        <f t="shared" si="1"/>
        <v>20</v>
      </c>
    </row>
    <row r="415" ht="15.75" customHeight="1">
      <c r="A415" s="1">
        <f>IFERROR(__xludf.DUMMYFUNCTION("""COMPUTED_VALUE"""),45617.66666666667)</f>
        <v>45617.66667</v>
      </c>
      <c r="B415" s="2">
        <f>IFERROR(__xludf.DUMMYFUNCTION("""COMPUTED_VALUE"""),1040.0)</f>
        <v>1040</v>
      </c>
      <c r="C415" s="2">
        <f>IFERROR(__xludf.DUMMYFUNCTION("""COMPUTED_VALUE"""),1040.0)</f>
        <v>1040</v>
      </c>
      <c r="D415" s="2">
        <f>IFERROR(__xludf.DUMMYFUNCTION("""COMPUTED_VALUE"""),1015.0)</f>
        <v>1015</v>
      </c>
      <c r="E415" s="2">
        <f>IFERROR(__xludf.DUMMYFUNCTION("""COMPUTED_VALUE"""),1020.0)</f>
        <v>1020</v>
      </c>
      <c r="F415" s="2">
        <f>IFERROR(__xludf.DUMMYFUNCTION("""COMPUTED_VALUE"""),6376800.0)</f>
        <v>6376800</v>
      </c>
      <c r="G415" s="2">
        <f t="shared" si="1"/>
        <v>25</v>
      </c>
    </row>
    <row r="416" ht="15.75" customHeight="1">
      <c r="A416" s="1">
        <f>IFERROR(__xludf.DUMMYFUNCTION("""COMPUTED_VALUE"""),45618.66666666667)</f>
        <v>45618.66667</v>
      </c>
      <c r="B416" s="2">
        <f>IFERROR(__xludf.DUMMYFUNCTION("""COMPUTED_VALUE"""),1020.0)</f>
        <v>1020</v>
      </c>
      <c r="C416" s="2">
        <f>IFERROR(__xludf.DUMMYFUNCTION("""COMPUTED_VALUE"""),1030.0)</f>
        <v>1030</v>
      </c>
      <c r="D416" s="2">
        <f>IFERROR(__xludf.DUMMYFUNCTION("""COMPUTED_VALUE"""),1015.0)</f>
        <v>1015</v>
      </c>
      <c r="E416" s="2">
        <f>IFERROR(__xludf.DUMMYFUNCTION("""COMPUTED_VALUE"""),1030.0)</f>
        <v>1030</v>
      </c>
      <c r="F416" s="2">
        <f>IFERROR(__xludf.DUMMYFUNCTION("""COMPUTED_VALUE"""),5125200.0)</f>
        <v>5125200</v>
      </c>
      <c r="G416" s="2">
        <f t="shared" si="1"/>
        <v>15</v>
      </c>
    </row>
    <row r="417" ht="15.75" customHeight="1">
      <c r="A417" s="1">
        <f>IFERROR(__xludf.DUMMYFUNCTION("""COMPUTED_VALUE"""),45621.66666666667)</f>
        <v>45621.66667</v>
      </c>
      <c r="B417" s="2">
        <f>IFERROR(__xludf.DUMMYFUNCTION("""COMPUTED_VALUE"""),1030.0)</f>
        <v>1030</v>
      </c>
      <c r="C417" s="2">
        <f>IFERROR(__xludf.DUMMYFUNCTION("""COMPUTED_VALUE"""),1040.0)</f>
        <v>1040</v>
      </c>
      <c r="D417" s="2">
        <f>IFERROR(__xludf.DUMMYFUNCTION("""COMPUTED_VALUE"""),1020.0)</f>
        <v>1020</v>
      </c>
      <c r="E417" s="2">
        <f>IFERROR(__xludf.DUMMYFUNCTION("""COMPUTED_VALUE"""),1020.0)</f>
        <v>1020</v>
      </c>
      <c r="F417" s="2">
        <f>IFERROR(__xludf.DUMMYFUNCTION("""COMPUTED_VALUE"""),1.07201E7)</f>
        <v>10720100</v>
      </c>
      <c r="G417" s="2">
        <f t="shared" si="1"/>
        <v>20</v>
      </c>
    </row>
    <row r="418" ht="15.75" customHeight="1">
      <c r="A418" s="1">
        <f>IFERROR(__xludf.DUMMYFUNCTION("""COMPUTED_VALUE"""),45622.66666666667)</f>
        <v>45622.66667</v>
      </c>
      <c r="B418" s="2">
        <f>IFERROR(__xludf.DUMMYFUNCTION("""COMPUTED_VALUE"""),1020.0)</f>
        <v>1020</v>
      </c>
      <c r="C418" s="2">
        <f>IFERROR(__xludf.DUMMYFUNCTION("""COMPUTED_VALUE"""),1030.0)</f>
        <v>1030</v>
      </c>
      <c r="D418" s="2">
        <f>IFERROR(__xludf.DUMMYFUNCTION("""COMPUTED_VALUE"""),1010.0)</f>
        <v>1010</v>
      </c>
      <c r="E418" s="2">
        <f>IFERROR(__xludf.DUMMYFUNCTION("""COMPUTED_VALUE"""),1015.0)</f>
        <v>1015</v>
      </c>
      <c r="F418" s="2">
        <f>IFERROR(__xludf.DUMMYFUNCTION("""COMPUTED_VALUE"""),7873400.0)</f>
        <v>7873400</v>
      </c>
      <c r="G418" s="2">
        <f t="shared" si="1"/>
        <v>20</v>
      </c>
    </row>
    <row r="419" ht="15.75" customHeight="1">
      <c r="A419" s="1">
        <f>IFERROR(__xludf.DUMMYFUNCTION("""COMPUTED_VALUE"""),45624.66666666667)</f>
        <v>45624.66667</v>
      </c>
      <c r="B419" s="2">
        <f>IFERROR(__xludf.DUMMYFUNCTION("""COMPUTED_VALUE"""),1015.0)</f>
        <v>1015</v>
      </c>
      <c r="C419" s="2">
        <f>IFERROR(__xludf.DUMMYFUNCTION("""COMPUTED_VALUE"""),1025.0)</f>
        <v>1025</v>
      </c>
      <c r="D419" s="2">
        <f>IFERROR(__xludf.DUMMYFUNCTION("""COMPUTED_VALUE"""),1005.0)</f>
        <v>1005</v>
      </c>
      <c r="E419" s="2">
        <f>IFERROR(__xludf.DUMMYFUNCTION("""COMPUTED_VALUE"""),1005.0)</f>
        <v>1005</v>
      </c>
      <c r="F419" s="2">
        <f>IFERROR(__xludf.DUMMYFUNCTION("""COMPUTED_VALUE"""),7673700.0)</f>
        <v>7673700</v>
      </c>
      <c r="G419" s="2">
        <f t="shared" si="1"/>
        <v>20</v>
      </c>
    </row>
    <row r="420" ht="15.75" customHeight="1">
      <c r="A420" s="1">
        <f>IFERROR(__xludf.DUMMYFUNCTION("""COMPUTED_VALUE"""),45625.66666666667)</f>
        <v>45625.66667</v>
      </c>
      <c r="B420" s="2">
        <f>IFERROR(__xludf.DUMMYFUNCTION("""COMPUTED_VALUE"""),1005.0)</f>
        <v>1005</v>
      </c>
      <c r="C420" s="2">
        <f>IFERROR(__xludf.DUMMYFUNCTION("""COMPUTED_VALUE"""),1015.0)</f>
        <v>1015</v>
      </c>
      <c r="D420" s="2">
        <f>IFERROR(__xludf.DUMMYFUNCTION("""COMPUTED_VALUE"""),990.0)</f>
        <v>990</v>
      </c>
      <c r="E420" s="2">
        <f>IFERROR(__xludf.DUMMYFUNCTION("""COMPUTED_VALUE"""),990.0)</f>
        <v>990</v>
      </c>
      <c r="F420" s="2">
        <f>IFERROR(__xludf.DUMMYFUNCTION("""COMPUTED_VALUE"""),1.23852E7)</f>
        <v>12385200</v>
      </c>
      <c r="G420" s="2">
        <f t="shared" si="1"/>
        <v>25</v>
      </c>
    </row>
    <row r="421" ht="15.75" customHeight="1">
      <c r="A421" s="1">
        <f>IFERROR(__xludf.DUMMYFUNCTION("""COMPUTED_VALUE"""),45628.66666666667)</f>
        <v>45628.66667</v>
      </c>
      <c r="B421" s="2">
        <f>IFERROR(__xludf.DUMMYFUNCTION("""COMPUTED_VALUE"""),1000.0)</f>
        <v>1000</v>
      </c>
      <c r="C421" s="2">
        <f>IFERROR(__xludf.DUMMYFUNCTION("""COMPUTED_VALUE"""),1005.0)</f>
        <v>1005</v>
      </c>
      <c r="D421" s="2">
        <f>IFERROR(__xludf.DUMMYFUNCTION("""COMPUTED_VALUE"""),965.0)</f>
        <v>965</v>
      </c>
      <c r="E421" s="2">
        <f>IFERROR(__xludf.DUMMYFUNCTION("""COMPUTED_VALUE"""),965.0)</f>
        <v>965</v>
      </c>
      <c r="F421" s="2">
        <f>IFERROR(__xludf.DUMMYFUNCTION("""COMPUTED_VALUE"""),1.14335E7)</f>
        <v>11433500</v>
      </c>
      <c r="G421" s="2">
        <f t="shared" si="1"/>
        <v>40</v>
      </c>
    </row>
    <row r="422" ht="15.75" customHeight="1">
      <c r="A422" s="1">
        <f>IFERROR(__xludf.DUMMYFUNCTION("""COMPUTED_VALUE"""),45629.66666666667)</f>
        <v>45629.66667</v>
      </c>
      <c r="B422" s="2">
        <f>IFERROR(__xludf.DUMMYFUNCTION("""COMPUTED_VALUE"""),965.0)</f>
        <v>965</v>
      </c>
      <c r="C422" s="2">
        <f>IFERROR(__xludf.DUMMYFUNCTION("""COMPUTED_VALUE"""),985.0)</f>
        <v>985</v>
      </c>
      <c r="D422" s="2">
        <f>IFERROR(__xludf.DUMMYFUNCTION("""COMPUTED_VALUE"""),945.0)</f>
        <v>945</v>
      </c>
      <c r="E422" s="2">
        <f>IFERROR(__xludf.DUMMYFUNCTION("""COMPUTED_VALUE"""),960.0)</f>
        <v>960</v>
      </c>
      <c r="F422" s="2">
        <f>IFERROR(__xludf.DUMMYFUNCTION("""COMPUTED_VALUE"""),1.23357E7)</f>
        <v>12335700</v>
      </c>
      <c r="G422" s="2">
        <f t="shared" si="1"/>
        <v>40</v>
      </c>
    </row>
    <row r="423" ht="15.75" customHeight="1">
      <c r="A423" s="1">
        <f>IFERROR(__xludf.DUMMYFUNCTION("""COMPUTED_VALUE"""),45630.66666666667)</f>
        <v>45630.66667</v>
      </c>
      <c r="B423" s="2">
        <f>IFERROR(__xludf.DUMMYFUNCTION("""COMPUTED_VALUE"""),960.0)</f>
        <v>960</v>
      </c>
      <c r="C423" s="2">
        <f>IFERROR(__xludf.DUMMYFUNCTION("""COMPUTED_VALUE"""),1030.0)</f>
        <v>1030</v>
      </c>
      <c r="D423" s="2">
        <f>IFERROR(__xludf.DUMMYFUNCTION("""COMPUTED_VALUE"""),960.0)</f>
        <v>960</v>
      </c>
      <c r="E423" s="2">
        <f>IFERROR(__xludf.DUMMYFUNCTION("""COMPUTED_VALUE"""),1000.0)</f>
        <v>1000</v>
      </c>
      <c r="F423" s="2">
        <f>IFERROR(__xludf.DUMMYFUNCTION("""COMPUTED_VALUE"""),3.55245E7)</f>
        <v>35524500</v>
      </c>
      <c r="G423" s="2">
        <f t="shared" si="1"/>
        <v>70</v>
      </c>
    </row>
    <row r="424" ht="15.75" customHeight="1">
      <c r="A424" s="1">
        <f>IFERROR(__xludf.DUMMYFUNCTION("""COMPUTED_VALUE"""),45631.66666666667)</f>
        <v>45631.66667</v>
      </c>
      <c r="B424" s="2">
        <f>IFERROR(__xludf.DUMMYFUNCTION("""COMPUTED_VALUE"""),1005.0)</f>
        <v>1005</v>
      </c>
      <c r="C424" s="2">
        <f>IFERROR(__xludf.DUMMYFUNCTION("""COMPUTED_VALUE"""),1010.0)</f>
        <v>1010</v>
      </c>
      <c r="D424" s="2">
        <f>IFERROR(__xludf.DUMMYFUNCTION("""COMPUTED_VALUE"""),975.0)</f>
        <v>975</v>
      </c>
      <c r="E424" s="2">
        <f>IFERROR(__xludf.DUMMYFUNCTION("""COMPUTED_VALUE"""),985.0)</f>
        <v>985</v>
      </c>
      <c r="F424" s="2">
        <f>IFERROR(__xludf.DUMMYFUNCTION("""COMPUTED_VALUE"""),1.23697E7)</f>
        <v>12369700</v>
      </c>
      <c r="G424" s="2">
        <f t="shared" si="1"/>
        <v>35</v>
      </c>
    </row>
    <row r="425" ht="15.75" customHeight="1">
      <c r="A425" s="1">
        <f>IFERROR(__xludf.DUMMYFUNCTION("""COMPUTED_VALUE"""),45632.66666666667)</f>
        <v>45632.66667</v>
      </c>
      <c r="B425" s="2">
        <f>IFERROR(__xludf.DUMMYFUNCTION("""COMPUTED_VALUE"""),985.0)</f>
        <v>985</v>
      </c>
      <c r="C425" s="2">
        <f>IFERROR(__xludf.DUMMYFUNCTION("""COMPUTED_VALUE"""),985.0)</f>
        <v>985</v>
      </c>
      <c r="D425" s="2">
        <f>IFERROR(__xludf.DUMMYFUNCTION("""COMPUTED_VALUE"""),970.0)</f>
        <v>970</v>
      </c>
      <c r="E425" s="2">
        <f>IFERROR(__xludf.DUMMYFUNCTION("""COMPUTED_VALUE"""),975.0)</f>
        <v>975</v>
      </c>
      <c r="F425" s="2">
        <f>IFERROR(__xludf.DUMMYFUNCTION("""COMPUTED_VALUE"""),9851900.0)</f>
        <v>9851900</v>
      </c>
      <c r="G425" s="2">
        <f t="shared" si="1"/>
        <v>15</v>
      </c>
    </row>
    <row r="426" ht="15.75" customHeight="1">
      <c r="A426" s="1">
        <f>IFERROR(__xludf.DUMMYFUNCTION("""COMPUTED_VALUE"""),45635.66666666667)</f>
        <v>45635.66667</v>
      </c>
      <c r="B426" s="2">
        <f>IFERROR(__xludf.DUMMYFUNCTION("""COMPUTED_VALUE"""),980.0)</f>
        <v>980</v>
      </c>
      <c r="C426" s="2">
        <f>IFERROR(__xludf.DUMMYFUNCTION("""COMPUTED_VALUE"""),990.0)</f>
        <v>990</v>
      </c>
      <c r="D426" s="2">
        <f>IFERROR(__xludf.DUMMYFUNCTION("""COMPUTED_VALUE"""),970.0)</f>
        <v>970</v>
      </c>
      <c r="E426" s="2">
        <f>IFERROR(__xludf.DUMMYFUNCTION("""COMPUTED_VALUE"""),975.0)</f>
        <v>975</v>
      </c>
      <c r="F426" s="2">
        <f>IFERROR(__xludf.DUMMYFUNCTION("""COMPUTED_VALUE"""),1.24316E7)</f>
        <v>12431600</v>
      </c>
      <c r="G426" s="2">
        <f t="shared" si="1"/>
        <v>20</v>
      </c>
    </row>
    <row r="427" ht="15.75" customHeight="1">
      <c r="A427" s="1">
        <f>IFERROR(__xludf.DUMMYFUNCTION("""COMPUTED_VALUE"""),45636.66666666667)</f>
        <v>45636.66667</v>
      </c>
      <c r="B427" s="2">
        <f>IFERROR(__xludf.DUMMYFUNCTION("""COMPUTED_VALUE"""),980.0)</f>
        <v>980</v>
      </c>
      <c r="C427" s="2">
        <f>IFERROR(__xludf.DUMMYFUNCTION("""COMPUTED_VALUE"""),985.0)</f>
        <v>985</v>
      </c>
      <c r="D427" s="2">
        <f>IFERROR(__xludf.DUMMYFUNCTION("""COMPUTED_VALUE"""),965.0)</f>
        <v>965</v>
      </c>
      <c r="E427" s="2">
        <f>IFERROR(__xludf.DUMMYFUNCTION("""COMPUTED_VALUE"""),970.0)</f>
        <v>970</v>
      </c>
      <c r="F427" s="2">
        <f>IFERROR(__xludf.DUMMYFUNCTION("""COMPUTED_VALUE"""),1.06124E7)</f>
        <v>10612400</v>
      </c>
      <c r="G427" s="2">
        <f t="shared" si="1"/>
        <v>20</v>
      </c>
    </row>
    <row r="428" ht="15.75" customHeight="1">
      <c r="A428" s="1">
        <f>IFERROR(__xludf.DUMMYFUNCTION("""COMPUTED_VALUE"""),45637.66666666667)</f>
        <v>45637.66667</v>
      </c>
      <c r="B428" s="2">
        <f>IFERROR(__xludf.DUMMYFUNCTION("""COMPUTED_VALUE"""),970.0)</f>
        <v>970</v>
      </c>
      <c r="C428" s="2">
        <f>IFERROR(__xludf.DUMMYFUNCTION("""COMPUTED_VALUE"""),980.0)</f>
        <v>980</v>
      </c>
      <c r="D428" s="2">
        <f>IFERROR(__xludf.DUMMYFUNCTION("""COMPUTED_VALUE"""),960.0)</f>
        <v>960</v>
      </c>
      <c r="E428" s="2">
        <f>IFERROR(__xludf.DUMMYFUNCTION("""COMPUTED_VALUE"""),965.0)</f>
        <v>965</v>
      </c>
      <c r="F428" s="2">
        <f>IFERROR(__xludf.DUMMYFUNCTION("""COMPUTED_VALUE"""),1.7507E7)</f>
        <v>17507000</v>
      </c>
      <c r="G428" s="2">
        <f t="shared" si="1"/>
        <v>20</v>
      </c>
    </row>
    <row r="429" ht="15.75" customHeight="1">
      <c r="A429" s="1">
        <f>IFERROR(__xludf.DUMMYFUNCTION("""COMPUTED_VALUE"""),45638.66666666667)</f>
        <v>45638.66667</v>
      </c>
      <c r="B429" s="2">
        <f>IFERROR(__xludf.DUMMYFUNCTION("""COMPUTED_VALUE"""),965.0)</f>
        <v>965</v>
      </c>
      <c r="C429" s="2">
        <f>IFERROR(__xludf.DUMMYFUNCTION("""COMPUTED_VALUE"""),975.0)</f>
        <v>975</v>
      </c>
      <c r="D429" s="2">
        <f>IFERROR(__xludf.DUMMYFUNCTION("""COMPUTED_VALUE"""),955.0)</f>
        <v>955</v>
      </c>
      <c r="E429" s="2">
        <f>IFERROR(__xludf.DUMMYFUNCTION("""COMPUTED_VALUE"""),960.0)</f>
        <v>960</v>
      </c>
      <c r="F429" s="2">
        <f>IFERROR(__xludf.DUMMYFUNCTION("""COMPUTED_VALUE"""),1.12566E7)</f>
        <v>11256600</v>
      </c>
      <c r="G429" s="2">
        <f t="shared" si="1"/>
        <v>20</v>
      </c>
    </row>
    <row r="430" ht="15.75" customHeight="1">
      <c r="A430" s="1">
        <f>IFERROR(__xludf.DUMMYFUNCTION("""COMPUTED_VALUE"""),45639.66666666667)</f>
        <v>45639.66667</v>
      </c>
      <c r="B430" s="2">
        <f>IFERROR(__xludf.DUMMYFUNCTION("""COMPUTED_VALUE"""),960.0)</f>
        <v>960</v>
      </c>
      <c r="C430" s="2">
        <f>IFERROR(__xludf.DUMMYFUNCTION("""COMPUTED_VALUE"""),965.0)</f>
        <v>965</v>
      </c>
      <c r="D430" s="2">
        <f>IFERROR(__xludf.DUMMYFUNCTION("""COMPUTED_VALUE"""),950.0)</f>
        <v>950</v>
      </c>
      <c r="E430" s="2">
        <f>IFERROR(__xludf.DUMMYFUNCTION("""COMPUTED_VALUE"""),955.0)</f>
        <v>955</v>
      </c>
      <c r="F430" s="2">
        <f>IFERROR(__xludf.DUMMYFUNCTION("""COMPUTED_VALUE"""),5025900.0)</f>
        <v>5025900</v>
      </c>
      <c r="G430" s="2">
        <f t="shared" si="1"/>
        <v>15</v>
      </c>
    </row>
    <row r="431" ht="15.75" customHeight="1">
      <c r="A431" s="1">
        <f>IFERROR(__xludf.DUMMYFUNCTION("""COMPUTED_VALUE"""),45642.66666666667)</f>
        <v>45642.66667</v>
      </c>
      <c r="B431" s="2">
        <f>IFERROR(__xludf.DUMMYFUNCTION("""COMPUTED_VALUE"""),960.0)</f>
        <v>960</v>
      </c>
      <c r="C431" s="2">
        <f>IFERROR(__xludf.DUMMYFUNCTION("""COMPUTED_VALUE"""),960.0)</f>
        <v>960</v>
      </c>
      <c r="D431" s="2">
        <f>IFERROR(__xludf.DUMMYFUNCTION("""COMPUTED_VALUE"""),930.0)</f>
        <v>930</v>
      </c>
      <c r="E431" s="2">
        <f>IFERROR(__xludf.DUMMYFUNCTION("""COMPUTED_VALUE"""),935.0)</f>
        <v>935</v>
      </c>
      <c r="F431" s="2">
        <f>IFERROR(__xludf.DUMMYFUNCTION("""COMPUTED_VALUE"""),9940900.0)</f>
        <v>9940900</v>
      </c>
      <c r="G431" s="2">
        <f t="shared" si="1"/>
        <v>30</v>
      </c>
    </row>
    <row r="432" ht="15.75" customHeight="1">
      <c r="A432" s="1">
        <f>IFERROR(__xludf.DUMMYFUNCTION("""COMPUTED_VALUE"""),45643.66666666667)</f>
        <v>45643.66667</v>
      </c>
      <c r="B432" s="2">
        <f>IFERROR(__xludf.DUMMYFUNCTION("""COMPUTED_VALUE"""),935.0)</f>
        <v>935</v>
      </c>
      <c r="C432" s="2">
        <f>IFERROR(__xludf.DUMMYFUNCTION("""COMPUTED_VALUE"""),940.0)</f>
        <v>940</v>
      </c>
      <c r="D432" s="2">
        <f>IFERROR(__xludf.DUMMYFUNCTION("""COMPUTED_VALUE"""),900.0)</f>
        <v>900</v>
      </c>
      <c r="E432" s="2">
        <f>IFERROR(__xludf.DUMMYFUNCTION("""COMPUTED_VALUE"""),900.0)</f>
        <v>900</v>
      </c>
      <c r="F432" s="2">
        <f>IFERROR(__xludf.DUMMYFUNCTION("""COMPUTED_VALUE"""),1.53965E7)</f>
        <v>15396500</v>
      </c>
      <c r="G432" s="2">
        <f t="shared" si="1"/>
        <v>40</v>
      </c>
    </row>
    <row r="433" ht="15.75" customHeight="1">
      <c r="A433" s="1">
        <f>IFERROR(__xludf.DUMMYFUNCTION("""COMPUTED_VALUE"""),45644.66666666667)</f>
        <v>45644.66667</v>
      </c>
      <c r="B433" s="2">
        <f>IFERROR(__xludf.DUMMYFUNCTION("""COMPUTED_VALUE"""),900.0)</f>
        <v>900</v>
      </c>
      <c r="C433" s="2">
        <f>IFERROR(__xludf.DUMMYFUNCTION("""COMPUTED_VALUE"""),920.0)</f>
        <v>920</v>
      </c>
      <c r="D433" s="2">
        <f>IFERROR(__xludf.DUMMYFUNCTION("""COMPUTED_VALUE"""),900.0)</f>
        <v>900</v>
      </c>
      <c r="E433" s="2">
        <f>IFERROR(__xludf.DUMMYFUNCTION("""COMPUTED_VALUE"""),900.0)</f>
        <v>900</v>
      </c>
      <c r="F433" s="2">
        <f>IFERROR(__xludf.DUMMYFUNCTION("""COMPUTED_VALUE"""),1.26119E7)</f>
        <v>12611900</v>
      </c>
      <c r="G433" s="2">
        <f t="shared" si="1"/>
        <v>20</v>
      </c>
    </row>
    <row r="434" ht="15.75" customHeight="1">
      <c r="A434" s="1">
        <f>IFERROR(__xludf.DUMMYFUNCTION("""COMPUTED_VALUE"""),45645.66666666667)</f>
        <v>45645.66667</v>
      </c>
      <c r="B434" s="2">
        <f>IFERROR(__xludf.DUMMYFUNCTION("""COMPUTED_VALUE"""),900.0)</f>
        <v>900</v>
      </c>
      <c r="C434" s="2">
        <f>IFERROR(__xludf.DUMMYFUNCTION("""COMPUTED_VALUE"""),970.0)</f>
        <v>970</v>
      </c>
      <c r="D434" s="2">
        <f>IFERROR(__xludf.DUMMYFUNCTION("""COMPUTED_VALUE"""),880.0)</f>
        <v>880</v>
      </c>
      <c r="E434" s="2">
        <f>IFERROR(__xludf.DUMMYFUNCTION("""COMPUTED_VALUE"""),965.0)</f>
        <v>965</v>
      </c>
      <c r="F434" s="2">
        <f>IFERROR(__xludf.DUMMYFUNCTION("""COMPUTED_VALUE"""),2.58415E7)</f>
        <v>25841500</v>
      </c>
      <c r="G434" s="2">
        <f t="shared" si="1"/>
        <v>90</v>
      </c>
    </row>
    <row r="435" ht="15.75" customHeight="1">
      <c r="A435" s="1">
        <f>IFERROR(__xludf.DUMMYFUNCTION("""COMPUTED_VALUE"""),45646.66666666667)</f>
        <v>45646.66667</v>
      </c>
      <c r="B435" s="2">
        <f>IFERROR(__xludf.DUMMYFUNCTION("""COMPUTED_VALUE"""),965.0)</f>
        <v>965</v>
      </c>
      <c r="C435" s="2">
        <f>IFERROR(__xludf.DUMMYFUNCTION("""COMPUTED_VALUE"""),995.0)</f>
        <v>995</v>
      </c>
      <c r="D435" s="2">
        <f>IFERROR(__xludf.DUMMYFUNCTION("""COMPUTED_VALUE"""),945.0)</f>
        <v>945</v>
      </c>
      <c r="E435" s="2">
        <f>IFERROR(__xludf.DUMMYFUNCTION("""COMPUTED_VALUE"""),975.0)</f>
        <v>975</v>
      </c>
      <c r="F435" s="2">
        <f>IFERROR(__xludf.DUMMYFUNCTION("""COMPUTED_VALUE"""),1.69031E7)</f>
        <v>16903100</v>
      </c>
      <c r="G435" s="2">
        <f t="shared" si="1"/>
        <v>50</v>
      </c>
    </row>
    <row r="436" ht="15.75" customHeight="1">
      <c r="A436" s="4">
        <f>IFERROR(__xludf.DUMMYFUNCTION("""COMPUTED_VALUE"""),45649.66666666667)</f>
        <v>45649.66667</v>
      </c>
      <c r="B436" s="5">
        <f>IFERROR(__xludf.DUMMYFUNCTION("""COMPUTED_VALUE"""),975.0)</f>
        <v>975</v>
      </c>
      <c r="C436" s="5">
        <f>IFERROR(__xludf.DUMMYFUNCTION("""COMPUTED_VALUE"""),980.0)</f>
        <v>980</v>
      </c>
      <c r="D436" s="5">
        <f>IFERROR(__xludf.DUMMYFUNCTION("""COMPUTED_VALUE"""),960.0)</f>
        <v>960</v>
      </c>
      <c r="E436" s="5">
        <f>IFERROR(__xludf.DUMMYFUNCTION("""COMPUTED_VALUE"""),960.0)</f>
        <v>960</v>
      </c>
      <c r="F436" s="5">
        <f>IFERROR(__xludf.DUMMYFUNCTION("""COMPUTED_VALUE"""),4424200.0)</f>
        <v>4424200</v>
      </c>
      <c r="G436" s="2">
        <f t="shared" si="1"/>
        <v>20</v>
      </c>
    </row>
    <row r="437" ht="15.75" customHeight="1">
      <c r="A437" s="4">
        <f>IFERROR(__xludf.DUMMYFUNCTION("""COMPUTED_VALUE"""),45650.66666666667)</f>
        <v>45650.66667</v>
      </c>
      <c r="B437" s="5">
        <f>IFERROR(__xludf.DUMMYFUNCTION("""COMPUTED_VALUE"""),965.0)</f>
        <v>965</v>
      </c>
      <c r="C437" s="5">
        <f>IFERROR(__xludf.DUMMYFUNCTION("""COMPUTED_VALUE"""),980.0)</f>
        <v>980</v>
      </c>
      <c r="D437" s="5">
        <f>IFERROR(__xludf.DUMMYFUNCTION("""COMPUTED_VALUE"""),950.0)</f>
        <v>950</v>
      </c>
      <c r="E437" s="5">
        <f>IFERROR(__xludf.DUMMYFUNCTION("""COMPUTED_VALUE"""),955.0)</f>
        <v>955</v>
      </c>
      <c r="F437" s="5">
        <f>IFERROR(__xludf.DUMMYFUNCTION("""COMPUTED_VALUE"""),4777200.0)</f>
        <v>4777200</v>
      </c>
      <c r="G437" s="2">
        <f t="shared" si="1"/>
        <v>30</v>
      </c>
    </row>
    <row r="438" ht="15.75" customHeight="1">
      <c r="A438" s="4">
        <f>IFERROR(__xludf.DUMMYFUNCTION("""COMPUTED_VALUE"""),45653.66666666667)</f>
        <v>45653.66667</v>
      </c>
      <c r="B438" s="5">
        <f>IFERROR(__xludf.DUMMYFUNCTION("""COMPUTED_VALUE"""),955.0)</f>
        <v>955</v>
      </c>
      <c r="C438" s="5">
        <f>IFERROR(__xludf.DUMMYFUNCTION("""COMPUTED_VALUE"""),960.0)</f>
        <v>960</v>
      </c>
      <c r="D438" s="5">
        <f>IFERROR(__xludf.DUMMYFUNCTION("""COMPUTED_VALUE"""),945.0)</f>
        <v>945</v>
      </c>
      <c r="E438" s="5">
        <f>IFERROR(__xludf.DUMMYFUNCTION("""COMPUTED_VALUE"""),950.0)</f>
        <v>950</v>
      </c>
      <c r="F438" s="5">
        <f>IFERROR(__xludf.DUMMYFUNCTION("""COMPUTED_VALUE"""),2664100.0)</f>
        <v>2664100</v>
      </c>
      <c r="G438" s="2">
        <f t="shared" si="1"/>
        <v>15</v>
      </c>
    </row>
    <row r="439" ht="15.75" customHeight="1">
      <c r="A439" s="4">
        <f>IFERROR(__xludf.DUMMYFUNCTION("""COMPUTED_VALUE"""),45656.66666666667)</f>
        <v>45656.66667</v>
      </c>
      <c r="B439" s="5">
        <f>IFERROR(__xludf.DUMMYFUNCTION("""COMPUTED_VALUE"""),955.0)</f>
        <v>955</v>
      </c>
      <c r="C439" s="5">
        <f>IFERROR(__xludf.DUMMYFUNCTION("""COMPUTED_VALUE"""),960.0)</f>
        <v>960</v>
      </c>
      <c r="D439" s="5">
        <f>IFERROR(__xludf.DUMMYFUNCTION("""COMPUTED_VALUE"""),920.0)</f>
        <v>920</v>
      </c>
      <c r="E439" s="5">
        <f>IFERROR(__xludf.DUMMYFUNCTION("""COMPUTED_VALUE"""),935.0)</f>
        <v>935</v>
      </c>
      <c r="F439" s="5">
        <f>IFERROR(__xludf.DUMMYFUNCTION("""COMPUTED_VALUE"""),5554000.0)</f>
        <v>5554000</v>
      </c>
      <c r="G439" s="2">
        <f t="shared" si="1"/>
        <v>40</v>
      </c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>
    <row r="1">
      <c r="A1" s="4" t="str">
        <f>IFERROR(__xludf.DUMMYFUNCTION("GOOGLEFINANCE(""IDX:PTBA"", ""all"", DATE(2020,1,1), DATE(2025,1,1), ""DAILY"")
"),"Date")</f>
        <v>Date</v>
      </c>
      <c r="B1" s="5" t="str">
        <f>IFERROR(__xludf.DUMMYFUNCTION("""COMPUTED_VALUE"""),"Open")</f>
        <v>Open</v>
      </c>
      <c r="C1" s="5" t="str">
        <f>IFERROR(__xludf.DUMMYFUNCTION("""COMPUTED_VALUE"""),"High")</f>
        <v>High</v>
      </c>
      <c r="D1" s="5" t="str">
        <f>IFERROR(__xludf.DUMMYFUNCTION("""COMPUTED_VALUE"""),"Low")</f>
        <v>Low</v>
      </c>
      <c r="E1" s="5" t="str">
        <f>IFERROR(__xludf.DUMMYFUNCTION("""COMPUTED_VALUE"""),"Close")</f>
        <v>Close</v>
      </c>
      <c r="F1" s="5" t="str">
        <f>IFERROR(__xludf.DUMMYFUNCTION("""COMPUTED_VALUE"""),"Volume")</f>
        <v>Volume</v>
      </c>
      <c r="G1" s="6" t="s">
        <v>0</v>
      </c>
    </row>
    <row r="2">
      <c r="A2" s="4">
        <f>IFERROR(__xludf.DUMMYFUNCTION("""COMPUTED_VALUE"""),43832.66666666667)</f>
        <v>43832.66667</v>
      </c>
      <c r="B2" s="5">
        <f>IFERROR(__xludf.DUMMYFUNCTION("""COMPUTED_VALUE"""),2640.0)</f>
        <v>2640</v>
      </c>
      <c r="C2" s="5">
        <f>IFERROR(__xludf.DUMMYFUNCTION("""COMPUTED_VALUE"""),2680.0)</f>
        <v>2680</v>
      </c>
      <c r="D2" s="5">
        <f>IFERROR(__xludf.DUMMYFUNCTION("""COMPUTED_VALUE"""),2600.0)</f>
        <v>2600</v>
      </c>
      <c r="E2" s="5">
        <f>IFERROR(__xludf.DUMMYFUNCTION("""COMPUTED_VALUE"""),2630.0)</f>
        <v>2630</v>
      </c>
      <c r="F2" s="5">
        <f>IFERROR(__xludf.DUMMYFUNCTION("""COMPUTED_VALUE"""),8093400.0)</f>
        <v>8093400</v>
      </c>
    </row>
    <row r="3">
      <c r="A3" s="4">
        <f>IFERROR(__xludf.DUMMYFUNCTION("""COMPUTED_VALUE"""),43833.66666666667)</f>
        <v>43833.66667</v>
      </c>
      <c r="B3" s="5">
        <f>IFERROR(__xludf.DUMMYFUNCTION("""COMPUTED_VALUE"""),2610.0)</f>
        <v>2610</v>
      </c>
      <c r="C3" s="5">
        <f>IFERROR(__xludf.DUMMYFUNCTION("""COMPUTED_VALUE"""),2670.0)</f>
        <v>2670</v>
      </c>
      <c r="D3" s="5">
        <f>IFERROR(__xludf.DUMMYFUNCTION("""COMPUTED_VALUE"""),2600.0)</f>
        <v>2600</v>
      </c>
      <c r="E3" s="5">
        <f>IFERROR(__xludf.DUMMYFUNCTION("""COMPUTED_VALUE"""),2670.0)</f>
        <v>2670</v>
      </c>
      <c r="F3" s="5">
        <f>IFERROR(__xludf.DUMMYFUNCTION("""COMPUTED_VALUE"""),1.34839E7)</f>
        <v>13483900</v>
      </c>
      <c r="G3" s="5">
        <f t="shared" ref="G3:G1212" si="1">MAX(C3-D3, ABS(C3-E2), ABS(D3-E2))</f>
        <v>70</v>
      </c>
    </row>
    <row r="4">
      <c r="A4" s="4">
        <f>IFERROR(__xludf.DUMMYFUNCTION("""COMPUTED_VALUE"""),43836.66666666667)</f>
        <v>43836.66667</v>
      </c>
      <c r="B4" s="5">
        <f>IFERROR(__xludf.DUMMYFUNCTION("""COMPUTED_VALUE"""),2650.0)</f>
        <v>2650</v>
      </c>
      <c r="C4" s="5">
        <f>IFERROR(__xludf.DUMMYFUNCTION("""COMPUTED_VALUE"""),2740.0)</f>
        <v>2740</v>
      </c>
      <c r="D4" s="5">
        <f>IFERROR(__xludf.DUMMYFUNCTION("""COMPUTED_VALUE"""),2630.0)</f>
        <v>2630</v>
      </c>
      <c r="E4" s="5">
        <f>IFERROR(__xludf.DUMMYFUNCTION("""COMPUTED_VALUE"""),2730.0)</f>
        <v>2730</v>
      </c>
      <c r="F4" s="5">
        <f>IFERROR(__xludf.DUMMYFUNCTION("""COMPUTED_VALUE"""),2.67706E7)</f>
        <v>26770600</v>
      </c>
      <c r="G4" s="5">
        <f t="shared" si="1"/>
        <v>110</v>
      </c>
    </row>
    <row r="5">
      <c r="A5" s="4">
        <f>IFERROR(__xludf.DUMMYFUNCTION("""COMPUTED_VALUE"""),43837.66666666667)</f>
        <v>43837.66667</v>
      </c>
      <c r="B5" s="5">
        <f>IFERROR(__xludf.DUMMYFUNCTION("""COMPUTED_VALUE"""),2730.0)</f>
        <v>2730</v>
      </c>
      <c r="C5" s="5">
        <f>IFERROR(__xludf.DUMMYFUNCTION("""COMPUTED_VALUE"""),2740.0)</f>
        <v>2740</v>
      </c>
      <c r="D5" s="5">
        <f>IFERROR(__xludf.DUMMYFUNCTION("""COMPUTED_VALUE"""),2640.0)</f>
        <v>2640</v>
      </c>
      <c r="E5" s="5">
        <f>IFERROR(__xludf.DUMMYFUNCTION("""COMPUTED_VALUE"""),2710.0)</f>
        <v>2710</v>
      </c>
      <c r="F5" s="5">
        <f>IFERROR(__xludf.DUMMYFUNCTION("""COMPUTED_VALUE"""),2.29521E7)</f>
        <v>22952100</v>
      </c>
      <c r="G5" s="5">
        <f t="shared" si="1"/>
        <v>100</v>
      </c>
    </row>
    <row r="6">
      <c r="A6" s="4">
        <f>IFERROR(__xludf.DUMMYFUNCTION("""COMPUTED_VALUE"""),43838.66666666667)</f>
        <v>43838.66667</v>
      </c>
      <c r="B6" s="5">
        <f>IFERROR(__xludf.DUMMYFUNCTION("""COMPUTED_VALUE"""),2700.0)</f>
        <v>2700</v>
      </c>
      <c r="C6" s="5">
        <f>IFERROR(__xludf.DUMMYFUNCTION("""COMPUTED_VALUE"""),2700.0)</f>
        <v>2700</v>
      </c>
      <c r="D6" s="5">
        <f>IFERROR(__xludf.DUMMYFUNCTION("""COMPUTED_VALUE"""),2640.0)</f>
        <v>2640</v>
      </c>
      <c r="E6" s="5">
        <f>IFERROR(__xludf.DUMMYFUNCTION("""COMPUTED_VALUE"""),2670.0)</f>
        <v>2670</v>
      </c>
      <c r="F6" s="5">
        <f>IFERROR(__xludf.DUMMYFUNCTION("""COMPUTED_VALUE"""),1.5608E7)</f>
        <v>15608000</v>
      </c>
      <c r="G6" s="5">
        <f t="shared" si="1"/>
        <v>70</v>
      </c>
    </row>
    <row r="7">
      <c r="A7" s="4">
        <f>IFERROR(__xludf.DUMMYFUNCTION("""COMPUTED_VALUE"""),43839.66666666667)</f>
        <v>43839.66667</v>
      </c>
      <c r="B7" s="5">
        <f>IFERROR(__xludf.DUMMYFUNCTION("""COMPUTED_VALUE"""),2670.0)</f>
        <v>2670</v>
      </c>
      <c r="C7" s="5">
        <f>IFERROR(__xludf.DUMMYFUNCTION("""COMPUTED_VALUE"""),2690.0)</f>
        <v>2690</v>
      </c>
      <c r="D7" s="5">
        <f>IFERROR(__xludf.DUMMYFUNCTION("""COMPUTED_VALUE"""),2650.0)</f>
        <v>2650</v>
      </c>
      <c r="E7" s="5">
        <f>IFERROR(__xludf.DUMMYFUNCTION("""COMPUTED_VALUE"""),2670.0)</f>
        <v>2670</v>
      </c>
      <c r="F7" s="5">
        <f>IFERROR(__xludf.DUMMYFUNCTION("""COMPUTED_VALUE"""),1.07034E7)</f>
        <v>10703400</v>
      </c>
      <c r="G7" s="5">
        <f t="shared" si="1"/>
        <v>40</v>
      </c>
    </row>
    <row r="8">
      <c r="A8" s="4">
        <f>IFERROR(__xludf.DUMMYFUNCTION("""COMPUTED_VALUE"""),43840.66666666667)</f>
        <v>43840.66667</v>
      </c>
      <c r="B8" s="5">
        <f>IFERROR(__xludf.DUMMYFUNCTION("""COMPUTED_VALUE"""),2690.0)</f>
        <v>2690</v>
      </c>
      <c r="C8" s="5">
        <f>IFERROR(__xludf.DUMMYFUNCTION("""COMPUTED_VALUE"""),2800.0)</f>
        <v>2800</v>
      </c>
      <c r="D8" s="5">
        <f>IFERROR(__xludf.DUMMYFUNCTION("""COMPUTED_VALUE"""),2690.0)</f>
        <v>2690</v>
      </c>
      <c r="E8" s="5">
        <f>IFERROR(__xludf.DUMMYFUNCTION("""COMPUTED_VALUE"""),2780.0)</f>
        <v>2780</v>
      </c>
      <c r="F8" s="5">
        <f>IFERROR(__xludf.DUMMYFUNCTION("""COMPUTED_VALUE"""),5.26063E7)</f>
        <v>52606300</v>
      </c>
      <c r="G8" s="5">
        <f t="shared" si="1"/>
        <v>130</v>
      </c>
    </row>
    <row r="9">
      <c r="A9" s="4">
        <f>IFERROR(__xludf.DUMMYFUNCTION("""COMPUTED_VALUE"""),43843.66666666667)</f>
        <v>43843.66667</v>
      </c>
      <c r="B9" s="5">
        <f>IFERROR(__xludf.DUMMYFUNCTION("""COMPUTED_VALUE"""),2810.0)</f>
        <v>2810</v>
      </c>
      <c r="C9" s="5">
        <f>IFERROR(__xludf.DUMMYFUNCTION("""COMPUTED_VALUE"""),2850.0)</f>
        <v>2850</v>
      </c>
      <c r="D9" s="5">
        <f>IFERROR(__xludf.DUMMYFUNCTION("""COMPUTED_VALUE"""),2810.0)</f>
        <v>2810</v>
      </c>
      <c r="E9" s="5">
        <f>IFERROR(__xludf.DUMMYFUNCTION("""COMPUTED_VALUE"""),2830.0)</f>
        <v>2830</v>
      </c>
      <c r="F9" s="5">
        <f>IFERROR(__xludf.DUMMYFUNCTION("""COMPUTED_VALUE"""),4.44528E7)</f>
        <v>44452800</v>
      </c>
      <c r="G9" s="5">
        <f t="shared" si="1"/>
        <v>70</v>
      </c>
    </row>
    <row r="10">
      <c r="A10" s="4">
        <f>IFERROR(__xludf.DUMMYFUNCTION("""COMPUTED_VALUE"""),43844.66666666667)</f>
        <v>43844.66667</v>
      </c>
      <c r="B10" s="5">
        <f>IFERROR(__xludf.DUMMYFUNCTION("""COMPUTED_VALUE"""),2850.0)</f>
        <v>2850</v>
      </c>
      <c r="C10" s="5">
        <f>IFERROR(__xludf.DUMMYFUNCTION("""COMPUTED_VALUE"""),2870.0)</f>
        <v>2870</v>
      </c>
      <c r="D10" s="5">
        <f>IFERROR(__xludf.DUMMYFUNCTION("""COMPUTED_VALUE"""),2780.0)</f>
        <v>2780</v>
      </c>
      <c r="E10" s="5">
        <f>IFERROR(__xludf.DUMMYFUNCTION("""COMPUTED_VALUE"""),2790.0)</f>
        <v>2790</v>
      </c>
      <c r="F10" s="5">
        <f>IFERROR(__xludf.DUMMYFUNCTION("""COMPUTED_VALUE"""),2.81399E7)</f>
        <v>28139900</v>
      </c>
      <c r="G10" s="5">
        <f t="shared" si="1"/>
        <v>90</v>
      </c>
    </row>
    <row r="11">
      <c r="A11" s="4">
        <f>IFERROR(__xludf.DUMMYFUNCTION("""COMPUTED_VALUE"""),43845.66666666667)</f>
        <v>43845.66667</v>
      </c>
      <c r="B11" s="5">
        <f>IFERROR(__xludf.DUMMYFUNCTION("""COMPUTED_VALUE"""),2780.0)</f>
        <v>2780</v>
      </c>
      <c r="C11" s="5">
        <f>IFERROR(__xludf.DUMMYFUNCTION("""COMPUTED_VALUE"""),2790.0)</f>
        <v>2790</v>
      </c>
      <c r="D11" s="5">
        <f>IFERROR(__xludf.DUMMYFUNCTION("""COMPUTED_VALUE"""),2690.0)</f>
        <v>2690</v>
      </c>
      <c r="E11" s="5">
        <f>IFERROR(__xludf.DUMMYFUNCTION("""COMPUTED_VALUE"""),2690.0)</f>
        <v>2690</v>
      </c>
      <c r="F11" s="5">
        <f>IFERROR(__xludf.DUMMYFUNCTION("""COMPUTED_VALUE"""),2.70007E7)</f>
        <v>27000700</v>
      </c>
      <c r="G11" s="5">
        <f t="shared" si="1"/>
        <v>100</v>
      </c>
    </row>
    <row r="12">
      <c r="A12" s="4">
        <f>IFERROR(__xludf.DUMMYFUNCTION("""COMPUTED_VALUE"""),43846.66666666667)</f>
        <v>43846.66667</v>
      </c>
      <c r="B12" s="5">
        <f>IFERROR(__xludf.DUMMYFUNCTION("""COMPUTED_VALUE"""),2700.0)</f>
        <v>2700</v>
      </c>
      <c r="C12" s="5">
        <f>IFERROR(__xludf.DUMMYFUNCTION("""COMPUTED_VALUE"""),2740.0)</f>
        <v>2740</v>
      </c>
      <c r="D12" s="5">
        <f>IFERROR(__xludf.DUMMYFUNCTION("""COMPUTED_VALUE"""),2650.0)</f>
        <v>2650</v>
      </c>
      <c r="E12" s="5">
        <f>IFERROR(__xludf.DUMMYFUNCTION("""COMPUTED_VALUE"""),2680.0)</f>
        <v>2680</v>
      </c>
      <c r="F12" s="5">
        <f>IFERROR(__xludf.DUMMYFUNCTION("""COMPUTED_VALUE"""),2.33568E7)</f>
        <v>23356800</v>
      </c>
      <c r="G12" s="5">
        <f t="shared" si="1"/>
        <v>90</v>
      </c>
    </row>
    <row r="13">
      <c r="A13" s="4">
        <f>IFERROR(__xludf.DUMMYFUNCTION("""COMPUTED_VALUE"""),43847.66666666667)</f>
        <v>43847.66667</v>
      </c>
      <c r="B13" s="5">
        <f>IFERROR(__xludf.DUMMYFUNCTION("""COMPUTED_VALUE"""),2690.0)</f>
        <v>2690</v>
      </c>
      <c r="C13" s="5">
        <f>IFERROR(__xludf.DUMMYFUNCTION("""COMPUTED_VALUE"""),2710.0)</f>
        <v>2710</v>
      </c>
      <c r="D13" s="5">
        <f>IFERROR(__xludf.DUMMYFUNCTION("""COMPUTED_VALUE"""),2660.0)</f>
        <v>2660</v>
      </c>
      <c r="E13" s="5">
        <f>IFERROR(__xludf.DUMMYFUNCTION("""COMPUTED_VALUE"""),2670.0)</f>
        <v>2670</v>
      </c>
      <c r="F13" s="5">
        <f>IFERROR(__xludf.DUMMYFUNCTION("""COMPUTED_VALUE"""),9792700.0)</f>
        <v>9792700</v>
      </c>
      <c r="G13" s="5">
        <f t="shared" si="1"/>
        <v>50</v>
      </c>
    </row>
    <row r="14">
      <c r="A14" s="4">
        <f>IFERROR(__xludf.DUMMYFUNCTION("""COMPUTED_VALUE"""),43850.66666666667)</f>
        <v>43850.66667</v>
      </c>
      <c r="B14" s="5">
        <f>IFERROR(__xludf.DUMMYFUNCTION("""COMPUTED_VALUE"""),2660.0)</f>
        <v>2660</v>
      </c>
      <c r="C14" s="5">
        <f>IFERROR(__xludf.DUMMYFUNCTION("""COMPUTED_VALUE"""),2680.0)</f>
        <v>2680</v>
      </c>
      <c r="D14" s="5">
        <f>IFERROR(__xludf.DUMMYFUNCTION("""COMPUTED_VALUE"""),2580.0)</f>
        <v>2580</v>
      </c>
      <c r="E14" s="5">
        <f>IFERROR(__xludf.DUMMYFUNCTION("""COMPUTED_VALUE"""),2590.0)</f>
        <v>2590</v>
      </c>
      <c r="F14" s="5">
        <f>IFERROR(__xludf.DUMMYFUNCTION("""COMPUTED_VALUE"""),2.11977E7)</f>
        <v>21197700</v>
      </c>
      <c r="G14" s="5">
        <f t="shared" si="1"/>
        <v>100</v>
      </c>
    </row>
    <row r="15">
      <c r="A15" s="4">
        <f>IFERROR(__xludf.DUMMYFUNCTION("""COMPUTED_VALUE"""),43851.66666666667)</f>
        <v>43851.66667</v>
      </c>
      <c r="B15" s="5">
        <f>IFERROR(__xludf.DUMMYFUNCTION("""COMPUTED_VALUE"""),2560.0)</f>
        <v>2560</v>
      </c>
      <c r="C15" s="5">
        <f>IFERROR(__xludf.DUMMYFUNCTION("""COMPUTED_VALUE"""),2610.0)</f>
        <v>2610</v>
      </c>
      <c r="D15" s="5">
        <f>IFERROR(__xludf.DUMMYFUNCTION("""COMPUTED_VALUE"""),2540.0)</f>
        <v>2540</v>
      </c>
      <c r="E15" s="5">
        <f>IFERROR(__xludf.DUMMYFUNCTION("""COMPUTED_VALUE"""),2560.0)</f>
        <v>2560</v>
      </c>
      <c r="F15" s="5">
        <f>IFERROR(__xludf.DUMMYFUNCTION("""COMPUTED_VALUE"""),2.06248E7)</f>
        <v>20624800</v>
      </c>
      <c r="G15" s="5">
        <f t="shared" si="1"/>
        <v>70</v>
      </c>
    </row>
    <row r="16">
      <c r="A16" s="4">
        <f>IFERROR(__xludf.DUMMYFUNCTION("""COMPUTED_VALUE"""),43852.66666666667)</f>
        <v>43852.66667</v>
      </c>
      <c r="B16" s="5">
        <f>IFERROR(__xludf.DUMMYFUNCTION("""COMPUTED_VALUE"""),2560.0)</f>
        <v>2560</v>
      </c>
      <c r="C16" s="5">
        <f>IFERROR(__xludf.DUMMYFUNCTION("""COMPUTED_VALUE"""),2570.0)</f>
        <v>2570</v>
      </c>
      <c r="D16" s="5">
        <f>IFERROR(__xludf.DUMMYFUNCTION("""COMPUTED_VALUE"""),2470.0)</f>
        <v>2470</v>
      </c>
      <c r="E16" s="5">
        <f>IFERROR(__xludf.DUMMYFUNCTION("""COMPUTED_VALUE"""),2480.0)</f>
        <v>2480</v>
      </c>
      <c r="F16" s="5">
        <f>IFERROR(__xludf.DUMMYFUNCTION("""COMPUTED_VALUE"""),2.79815E7)</f>
        <v>27981500</v>
      </c>
      <c r="G16" s="5">
        <f t="shared" si="1"/>
        <v>100</v>
      </c>
    </row>
    <row r="17">
      <c r="A17" s="4">
        <f>IFERROR(__xludf.DUMMYFUNCTION("""COMPUTED_VALUE"""),43853.66666666667)</f>
        <v>43853.66667</v>
      </c>
      <c r="B17" s="5">
        <f>IFERROR(__xludf.DUMMYFUNCTION("""COMPUTED_VALUE"""),2460.0)</f>
        <v>2460</v>
      </c>
      <c r="C17" s="5">
        <f>IFERROR(__xludf.DUMMYFUNCTION("""COMPUTED_VALUE"""),2470.0)</f>
        <v>2470</v>
      </c>
      <c r="D17" s="5">
        <f>IFERROR(__xludf.DUMMYFUNCTION("""COMPUTED_VALUE"""),2390.0)</f>
        <v>2390</v>
      </c>
      <c r="E17" s="5">
        <f>IFERROR(__xludf.DUMMYFUNCTION("""COMPUTED_VALUE"""),2410.0)</f>
        <v>2410</v>
      </c>
      <c r="F17" s="5">
        <f>IFERROR(__xludf.DUMMYFUNCTION("""COMPUTED_VALUE"""),3.56767E7)</f>
        <v>35676700</v>
      </c>
      <c r="G17" s="5">
        <f t="shared" si="1"/>
        <v>90</v>
      </c>
    </row>
    <row r="18">
      <c r="A18" s="4">
        <f>IFERROR(__xludf.DUMMYFUNCTION("""COMPUTED_VALUE"""),43854.66666666667)</f>
        <v>43854.66667</v>
      </c>
      <c r="B18" s="5">
        <f>IFERROR(__xludf.DUMMYFUNCTION("""COMPUTED_VALUE"""),2410.0)</f>
        <v>2410</v>
      </c>
      <c r="C18" s="5">
        <f>IFERROR(__xludf.DUMMYFUNCTION("""COMPUTED_VALUE"""),2420.0)</f>
        <v>2420</v>
      </c>
      <c r="D18" s="5">
        <f>IFERROR(__xludf.DUMMYFUNCTION("""COMPUTED_VALUE"""),2350.0)</f>
        <v>2350</v>
      </c>
      <c r="E18" s="5">
        <f>IFERROR(__xludf.DUMMYFUNCTION("""COMPUTED_VALUE"""),2370.0)</f>
        <v>2370</v>
      </c>
      <c r="F18" s="5">
        <f>IFERROR(__xludf.DUMMYFUNCTION("""COMPUTED_VALUE"""),2.53429E7)</f>
        <v>25342900</v>
      </c>
      <c r="G18" s="5">
        <f t="shared" si="1"/>
        <v>70</v>
      </c>
    </row>
    <row r="19">
      <c r="A19" s="4">
        <f>IFERROR(__xludf.DUMMYFUNCTION("""COMPUTED_VALUE"""),43857.66666666667)</f>
        <v>43857.66667</v>
      </c>
      <c r="B19" s="5">
        <f>IFERROR(__xludf.DUMMYFUNCTION("""COMPUTED_VALUE"""),2340.0)</f>
        <v>2340</v>
      </c>
      <c r="C19" s="5">
        <f>IFERROR(__xludf.DUMMYFUNCTION("""COMPUTED_VALUE"""),2340.0)</f>
        <v>2340</v>
      </c>
      <c r="D19" s="5">
        <f>IFERROR(__xludf.DUMMYFUNCTION("""COMPUTED_VALUE"""),2240.0)</f>
        <v>2240</v>
      </c>
      <c r="E19" s="5">
        <f>IFERROR(__xludf.DUMMYFUNCTION("""COMPUTED_VALUE"""),2240.0)</f>
        <v>2240</v>
      </c>
      <c r="F19" s="5">
        <f>IFERROR(__xludf.DUMMYFUNCTION("""COMPUTED_VALUE"""),3.92682E7)</f>
        <v>39268200</v>
      </c>
      <c r="G19" s="5">
        <f t="shared" si="1"/>
        <v>130</v>
      </c>
    </row>
    <row r="20">
      <c r="A20" s="4">
        <f>IFERROR(__xludf.DUMMYFUNCTION("""COMPUTED_VALUE"""),43858.66666666667)</f>
        <v>43858.66667</v>
      </c>
      <c r="B20" s="5">
        <f>IFERROR(__xludf.DUMMYFUNCTION("""COMPUTED_VALUE"""),2230.0)</f>
        <v>2230</v>
      </c>
      <c r="C20" s="5">
        <f>IFERROR(__xludf.DUMMYFUNCTION("""COMPUTED_VALUE"""),2340.0)</f>
        <v>2340</v>
      </c>
      <c r="D20" s="5">
        <f>IFERROR(__xludf.DUMMYFUNCTION("""COMPUTED_VALUE"""),2200.0)</f>
        <v>2200</v>
      </c>
      <c r="E20" s="5">
        <f>IFERROR(__xludf.DUMMYFUNCTION("""COMPUTED_VALUE"""),2330.0)</f>
        <v>2330</v>
      </c>
      <c r="F20" s="5">
        <f>IFERROR(__xludf.DUMMYFUNCTION("""COMPUTED_VALUE"""),4.86136E7)</f>
        <v>48613600</v>
      </c>
      <c r="G20" s="5">
        <f t="shared" si="1"/>
        <v>140</v>
      </c>
    </row>
    <row r="21">
      <c r="A21" s="4">
        <f>IFERROR(__xludf.DUMMYFUNCTION("""COMPUTED_VALUE"""),43859.66666666667)</f>
        <v>43859.66667</v>
      </c>
      <c r="B21" s="5">
        <f>IFERROR(__xludf.DUMMYFUNCTION("""COMPUTED_VALUE"""),2360.0)</f>
        <v>2360</v>
      </c>
      <c r="C21" s="5">
        <f>IFERROR(__xludf.DUMMYFUNCTION("""COMPUTED_VALUE"""),2400.0)</f>
        <v>2400</v>
      </c>
      <c r="D21" s="5">
        <f>IFERROR(__xludf.DUMMYFUNCTION("""COMPUTED_VALUE"""),2320.0)</f>
        <v>2320</v>
      </c>
      <c r="E21" s="5">
        <f>IFERROR(__xludf.DUMMYFUNCTION("""COMPUTED_VALUE"""),2330.0)</f>
        <v>2330</v>
      </c>
      <c r="F21" s="5">
        <f>IFERROR(__xludf.DUMMYFUNCTION("""COMPUTED_VALUE"""),3.10157E7)</f>
        <v>31015700</v>
      </c>
      <c r="G21" s="5">
        <f t="shared" si="1"/>
        <v>80</v>
      </c>
    </row>
    <row r="22">
      <c r="A22" s="4">
        <f>IFERROR(__xludf.DUMMYFUNCTION("""COMPUTED_VALUE"""),43860.66666666667)</f>
        <v>43860.66667</v>
      </c>
      <c r="B22" s="5">
        <f>IFERROR(__xludf.DUMMYFUNCTION("""COMPUTED_VALUE"""),2310.0)</f>
        <v>2310</v>
      </c>
      <c r="C22" s="5">
        <f>IFERROR(__xludf.DUMMYFUNCTION("""COMPUTED_VALUE"""),2330.0)</f>
        <v>2330</v>
      </c>
      <c r="D22" s="5">
        <f>IFERROR(__xludf.DUMMYFUNCTION("""COMPUTED_VALUE"""),2240.0)</f>
        <v>2240</v>
      </c>
      <c r="E22" s="5">
        <f>IFERROR(__xludf.DUMMYFUNCTION("""COMPUTED_VALUE"""),2240.0)</f>
        <v>2240</v>
      </c>
      <c r="F22" s="5">
        <f>IFERROR(__xludf.DUMMYFUNCTION("""COMPUTED_VALUE"""),3.06199E7)</f>
        <v>30619900</v>
      </c>
      <c r="G22" s="5">
        <f t="shared" si="1"/>
        <v>90</v>
      </c>
    </row>
    <row r="23">
      <c r="A23" s="4">
        <f>IFERROR(__xludf.DUMMYFUNCTION("""COMPUTED_VALUE"""),43861.66666666667)</f>
        <v>43861.66667</v>
      </c>
      <c r="B23" s="5">
        <f>IFERROR(__xludf.DUMMYFUNCTION("""COMPUTED_VALUE"""),2260.0)</f>
        <v>2260</v>
      </c>
      <c r="C23" s="5">
        <f>IFERROR(__xludf.DUMMYFUNCTION("""COMPUTED_VALUE"""),2270.0)</f>
        <v>2270</v>
      </c>
      <c r="D23" s="5">
        <f>IFERROR(__xludf.DUMMYFUNCTION("""COMPUTED_VALUE"""),2200.0)</f>
        <v>2200</v>
      </c>
      <c r="E23" s="5">
        <f>IFERROR(__xludf.DUMMYFUNCTION("""COMPUTED_VALUE"""),2210.0)</f>
        <v>2210</v>
      </c>
      <c r="F23" s="5">
        <f>IFERROR(__xludf.DUMMYFUNCTION("""COMPUTED_VALUE"""),1.79393E7)</f>
        <v>17939300</v>
      </c>
      <c r="G23" s="5">
        <f t="shared" si="1"/>
        <v>70</v>
      </c>
    </row>
    <row r="24">
      <c r="A24" s="4">
        <f>IFERROR(__xludf.DUMMYFUNCTION("""COMPUTED_VALUE"""),43864.66666666667)</f>
        <v>43864.66667</v>
      </c>
      <c r="B24" s="5">
        <f>IFERROR(__xludf.DUMMYFUNCTION("""COMPUTED_VALUE"""),2180.0)</f>
        <v>2180</v>
      </c>
      <c r="C24" s="5">
        <f>IFERROR(__xludf.DUMMYFUNCTION("""COMPUTED_VALUE"""),2220.0)</f>
        <v>2220</v>
      </c>
      <c r="D24" s="5">
        <f>IFERROR(__xludf.DUMMYFUNCTION("""COMPUTED_VALUE"""),2160.0)</f>
        <v>2160</v>
      </c>
      <c r="E24" s="5">
        <f>IFERROR(__xludf.DUMMYFUNCTION("""COMPUTED_VALUE"""),2170.0)</f>
        <v>2170</v>
      </c>
      <c r="F24" s="5">
        <f>IFERROR(__xludf.DUMMYFUNCTION("""COMPUTED_VALUE"""),3.51726E7)</f>
        <v>35172600</v>
      </c>
      <c r="G24" s="5">
        <f t="shared" si="1"/>
        <v>60</v>
      </c>
    </row>
    <row r="25">
      <c r="A25" s="4">
        <f>IFERROR(__xludf.DUMMYFUNCTION("""COMPUTED_VALUE"""),43865.66666666667)</f>
        <v>43865.66667</v>
      </c>
      <c r="B25" s="5">
        <f>IFERROR(__xludf.DUMMYFUNCTION("""COMPUTED_VALUE"""),2190.0)</f>
        <v>2190</v>
      </c>
      <c r="C25" s="5">
        <f>IFERROR(__xludf.DUMMYFUNCTION("""COMPUTED_VALUE"""),2240.0)</f>
        <v>2240</v>
      </c>
      <c r="D25" s="5">
        <f>IFERROR(__xludf.DUMMYFUNCTION("""COMPUTED_VALUE"""),2170.0)</f>
        <v>2170</v>
      </c>
      <c r="E25" s="5">
        <f>IFERROR(__xludf.DUMMYFUNCTION("""COMPUTED_VALUE"""),2230.0)</f>
        <v>2230</v>
      </c>
      <c r="F25" s="5">
        <f>IFERROR(__xludf.DUMMYFUNCTION("""COMPUTED_VALUE"""),2.10858E7)</f>
        <v>21085800</v>
      </c>
      <c r="G25" s="5">
        <f t="shared" si="1"/>
        <v>70</v>
      </c>
    </row>
    <row r="26">
      <c r="A26" s="4">
        <f>IFERROR(__xludf.DUMMYFUNCTION("""COMPUTED_VALUE"""),43866.66666666667)</f>
        <v>43866.66667</v>
      </c>
      <c r="B26" s="5">
        <f>IFERROR(__xludf.DUMMYFUNCTION("""COMPUTED_VALUE"""),2280.0)</f>
        <v>2280</v>
      </c>
      <c r="C26" s="5">
        <f>IFERROR(__xludf.DUMMYFUNCTION("""COMPUTED_VALUE"""),2340.0)</f>
        <v>2340</v>
      </c>
      <c r="D26" s="5">
        <f>IFERROR(__xludf.DUMMYFUNCTION("""COMPUTED_VALUE"""),2280.0)</f>
        <v>2280</v>
      </c>
      <c r="E26" s="5">
        <f>IFERROR(__xludf.DUMMYFUNCTION("""COMPUTED_VALUE"""),2320.0)</f>
        <v>2320</v>
      </c>
      <c r="F26" s="5">
        <f>IFERROR(__xludf.DUMMYFUNCTION("""COMPUTED_VALUE"""),3.24834E7)</f>
        <v>32483400</v>
      </c>
      <c r="G26" s="5">
        <f t="shared" si="1"/>
        <v>110</v>
      </c>
    </row>
    <row r="27">
      <c r="A27" s="4">
        <f>IFERROR(__xludf.DUMMYFUNCTION("""COMPUTED_VALUE"""),43867.66666666667)</f>
        <v>43867.66667</v>
      </c>
      <c r="B27" s="5">
        <f>IFERROR(__xludf.DUMMYFUNCTION("""COMPUTED_VALUE"""),2360.0)</f>
        <v>2360</v>
      </c>
      <c r="C27" s="5">
        <f>IFERROR(__xludf.DUMMYFUNCTION("""COMPUTED_VALUE"""),2360.0)</f>
        <v>2360</v>
      </c>
      <c r="D27" s="5">
        <f>IFERROR(__xludf.DUMMYFUNCTION("""COMPUTED_VALUE"""),2280.0)</f>
        <v>2280</v>
      </c>
      <c r="E27" s="5">
        <f>IFERROR(__xludf.DUMMYFUNCTION("""COMPUTED_VALUE"""),2290.0)</f>
        <v>2290</v>
      </c>
      <c r="F27" s="5">
        <f>IFERROR(__xludf.DUMMYFUNCTION("""COMPUTED_VALUE"""),1.52976E7)</f>
        <v>15297600</v>
      </c>
      <c r="G27" s="5">
        <f t="shared" si="1"/>
        <v>80</v>
      </c>
    </row>
    <row r="28">
      <c r="A28" s="4">
        <f>IFERROR(__xludf.DUMMYFUNCTION("""COMPUTED_VALUE"""),43868.66666666667)</f>
        <v>43868.66667</v>
      </c>
      <c r="B28" s="5">
        <f>IFERROR(__xludf.DUMMYFUNCTION("""COMPUTED_VALUE"""),2270.0)</f>
        <v>2270</v>
      </c>
      <c r="C28" s="5">
        <f>IFERROR(__xludf.DUMMYFUNCTION("""COMPUTED_VALUE"""),2340.0)</f>
        <v>2340</v>
      </c>
      <c r="D28" s="5">
        <f>IFERROR(__xludf.DUMMYFUNCTION("""COMPUTED_VALUE"""),2260.0)</f>
        <v>2260</v>
      </c>
      <c r="E28" s="5">
        <f>IFERROR(__xludf.DUMMYFUNCTION("""COMPUTED_VALUE"""),2320.0)</f>
        <v>2320</v>
      </c>
      <c r="F28" s="5">
        <f>IFERROR(__xludf.DUMMYFUNCTION("""COMPUTED_VALUE"""),1.17383E7)</f>
        <v>11738300</v>
      </c>
      <c r="G28" s="5">
        <f t="shared" si="1"/>
        <v>80</v>
      </c>
    </row>
    <row r="29">
      <c r="A29" s="4">
        <f>IFERROR(__xludf.DUMMYFUNCTION("""COMPUTED_VALUE"""),43871.66666666667)</f>
        <v>43871.66667</v>
      </c>
      <c r="B29" s="5">
        <f>IFERROR(__xludf.DUMMYFUNCTION("""COMPUTED_VALUE"""),2300.0)</f>
        <v>2300</v>
      </c>
      <c r="C29" s="5">
        <f>IFERROR(__xludf.DUMMYFUNCTION("""COMPUTED_VALUE"""),2310.0)</f>
        <v>2310</v>
      </c>
      <c r="D29" s="5">
        <f>IFERROR(__xludf.DUMMYFUNCTION("""COMPUTED_VALUE"""),2250.0)</f>
        <v>2250</v>
      </c>
      <c r="E29" s="5">
        <f>IFERROR(__xludf.DUMMYFUNCTION("""COMPUTED_VALUE"""),2250.0)</f>
        <v>2250</v>
      </c>
      <c r="F29" s="5">
        <f>IFERROR(__xludf.DUMMYFUNCTION("""COMPUTED_VALUE"""),1.39336E7)</f>
        <v>13933600</v>
      </c>
      <c r="G29" s="5">
        <f t="shared" si="1"/>
        <v>70</v>
      </c>
    </row>
    <row r="30">
      <c r="A30" s="4">
        <f>IFERROR(__xludf.DUMMYFUNCTION("""COMPUTED_VALUE"""),43872.66666666667)</f>
        <v>43872.66667</v>
      </c>
      <c r="B30" s="5">
        <f>IFERROR(__xludf.DUMMYFUNCTION("""COMPUTED_VALUE"""),2260.0)</f>
        <v>2260</v>
      </c>
      <c r="C30" s="5">
        <f>IFERROR(__xludf.DUMMYFUNCTION("""COMPUTED_VALUE"""),2320.0)</f>
        <v>2320</v>
      </c>
      <c r="D30" s="5">
        <f>IFERROR(__xludf.DUMMYFUNCTION("""COMPUTED_VALUE"""),2230.0)</f>
        <v>2230</v>
      </c>
      <c r="E30" s="5">
        <f>IFERROR(__xludf.DUMMYFUNCTION("""COMPUTED_VALUE"""),2310.0)</f>
        <v>2310</v>
      </c>
      <c r="F30" s="5">
        <f>IFERROR(__xludf.DUMMYFUNCTION("""COMPUTED_VALUE"""),1.39445E7)</f>
        <v>13944500</v>
      </c>
      <c r="G30" s="5">
        <f t="shared" si="1"/>
        <v>90</v>
      </c>
    </row>
    <row r="31">
      <c r="A31" s="4">
        <f>IFERROR(__xludf.DUMMYFUNCTION("""COMPUTED_VALUE"""),43873.66666666667)</f>
        <v>43873.66667</v>
      </c>
      <c r="B31" s="5">
        <f>IFERROR(__xludf.DUMMYFUNCTION("""COMPUTED_VALUE"""),2330.0)</f>
        <v>2330</v>
      </c>
      <c r="C31" s="5">
        <f>IFERROR(__xludf.DUMMYFUNCTION("""COMPUTED_VALUE"""),2350.0)</f>
        <v>2350</v>
      </c>
      <c r="D31" s="5">
        <f>IFERROR(__xludf.DUMMYFUNCTION("""COMPUTED_VALUE"""),2260.0)</f>
        <v>2260</v>
      </c>
      <c r="E31" s="5">
        <f>IFERROR(__xludf.DUMMYFUNCTION("""COMPUTED_VALUE"""),2280.0)</f>
        <v>2280</v>
      </c>
      <c r="F31" s="5">
        <f>IFERROR(__xludf.DUMMYFUNCTION("""COMPUTED_VALUE"""),1.6223E7)</f>
        <v>16223000</v>
      </c>
      <c r="G31" s="5">
        <f t="shared" si="1"/>
        <v>90</v>
      </c>
    </row>
    <row r="32">
      <c r="A32" s="4">
        <f>IFERROR(__xludf.DUMMYFUNCTION("""COMPUTED_VALUE"""),43874.66666666667)</f>
        <v>43874.66667</v>
      </c>
      <c r="B32" s="5">
        <f>IFERROR(__xludf.DUMMYFUNCTION("""COMPUTED_VALUE"""),2300.0)</f>
        <v>2300</v>
      </c>
      <c r="C32" s="5">
        <f>IFERROR(__xludf.DUMMYFUNCTION("""COMPUTED_VALUE"""),2300.0)</f>
        <v>2300</v>
      </c>
      <c r="D32" s="5">
        <f>IFERROR(__xludf.DUMMYFUNCTION("""COMPUTED_VALUE"""),2250.0)</f>
        <v>2250</v>
      </c>
      <c r="E32" s="5">
        <f>IFERROR(__xludf.DUMMYFUNCTION("""COMPUTED_VALUE"""),2280.0)</f>
        <v>2280</v>
      </c>
      <c r="F32" s="5">
        <f>IFERROR(__xludf.DUMMYFUNCTION("""COMPUTED_VALUE"""),1.1677E7)</f>
        <v>11677000</v>
      </c>
      <c r="G32" s="5">
        <f t="shared" si="1"/>
        <v>50</v>
      </c>
    </row>
    <row r="33">
      <c r="A33" s="4">
        <f>IFERROR(__xludf.DUMMYFUNCTION("""COMPUTED_VALUE"""),43875.66666666667)</f>
        <v>43875.66667</v>
      </c>
      <c r="B33" s="5">
        <f>IFERROR(__xludf.DUMMYFUNCTION("""COMPUTED_VALUE"""),2280.0)</f>
        <v>2280</v>
      </c>
      <c r="C33" s="5">
        <f>IFERROR(__xludf.DUMMYFUNCTION("""COMPUTED_VALUE"""),2340.0)</f>
        <v>2340</v>
      </c>
      <c r="D33" s="5">
        <f>IFERROR(__xludf.DUMMYFUNCTION("""COMPUTED_VALUE"""),2260.0)</f>
        <v>2260</v>
      </c>
      <c r="E33" s="5">
        <f>IFERROR(__xludf.DUMMYFUNCTION("""COMPUTED_VALUE"""),2330.0)</f>
        <v>2330</v>
      </c>
      <c r="F33" s="5">
        <f>IFERROR(__xludf.DUMMYFUNCTION("""COMPUTED_VALUE"""),1.84742E7)</f>
        <v>18474200</v>
      </c>
      <c r="G33" s="5">
        <f t="shared" si="1"/>
        <v>80</v>
      </c>
    </row>
    <row r="34">
      <c r="A34" s="4">
        <f>IFERROR(__xludf.DUMMYFUNCTION("""COMPUTED_VALUE"""),43878.66666666667)</f>
        <v>43878.66667</v>
      </c>
      <c r="B34" s="5">
        <f>IFERROR(__xludf.DUMMYFUNCTION("""COMPUTED_VALUE"""),2330.0)</f>
        <v>2330</v>
      </c>
      <c r="C34" s="5">
        <f>IFERROR(__xludf.DUMMYFUNCTION("""COMPUTED_VALUE"""),2360.0)</f>
        <v>2360</v>
      </c>
      <c r="D34" s="5">
        <f>IFERROR(__xludf.DUMMYFUNCTION("""COMPUTED_VALUE"""),2310.0)</f>
        <v>2310</v>
      </c>
      <c r="E34" s="5">
        <f>IFERROR(__xludf.DUMMYFUNCTION("""COMPUTED_VALUE"""),2340.0)</f>
        <v>2340</v>
      </c>
      <c r="F34" s="5">
        <f>IFERROR(__xludf.DUMMYFUNCTION("""COMPUTED_VALUE"""),1.30874E7)</f>
        <v>13087400</v>
      </c>
      <c r="G34" s="5">
        <f t="shared" si="1"/>
        <v>50</v>
      </c>
    </row>
    <row r="35">
      <c r="A35" s="4">
        <f>IFERROR(__xludf.DUMMYFUNCTION("""COMPUTED_VALUE"""),43879.66666666667)</f>
        <v>43879.66667</v>
      </c>
      <c r="B35" s="5">
        <f>IFERROR(__xludf.DUMMYFUNCTION("""COMPUTED_VALUE"""),2350.0)</f>
        <v>2350</v>
      </c>
      <c r="C35" s="5">
        <f>IFERROR(__xludf.DUMMYFUNCTION("""COMPUTED_VALUE"""),2380.0)</f>
        <v>2380</v>
      </c>
      <c r="D35" s="5">
        <f>IFERROR(__xludf.DUMMYFUNCTION("""COMPUTED_VALUE"""),2340.0)</f>
        <v>2340</v>
      </c>
      <c r="E35" s="5">
        <f>IFERROR(__xludf.DUMMYFUNCTION("""COMPUTED_VALUE"""),2380.0)</f>
        <v>2380</v>
      </c>
      <c r="F35" s="5">
        <f>IFERROR(__xludf.DUMMYFUNCTION("""COMPUTED_VALUE"""),1.74249E7)</f>
        <v>17424900</v>
      </c>
      <c r="G35" s="5">
        <f t="shared" si="1"/>
        <v>40</v>
      </c>
    </row>
    <row r="36">
      <c r="A36" s="4">
        <f>IFERROR(__xludf.DUMMYFUNCTION("""COMPUTED_VALUE"""),43880.66666666667)</f>
        <v>43880.66667</v>
      </c>
      <c r="B36" s="5">
        <f>IFERROR(__xludf.DUMMYFUNCTION("""COMPUTED_VALUE"""),2380.0)</f>
        <v>2380</v>
      </c>
      <c r="C36" s="5">
        <f>IFERROR(__xludf.DUMMYFUNCTION("""COMPUTED_VALUE"""),2420.0)</f>
        <v>2420</v>
      </c>
      <c r="D36" s="5">
        <f>IFERROR(__xludf.DUMMYFUNCTION("""COMPUTED_VALUE"""),2370.0)</f>
        <v>2370</v>
      </c>
      <c r="E36" s="5">
        <f>IFERROR(__xludf.DUMMYFUNCTION("""COMPUTED_VALUE"""),2400.0)</f>
        <v>2400</v>
      </c>
      <c r="F36" s="5">
        <f>IFERROR(__xludf.DUMMYFUNCTION("""COMPUTED_VALUE"""),2.01557E7)</f>
        <v>20155700</v>
      </c>
      <c r="G36" s="5">
        <f t="shared" si="1"/>
        <v>50</v>
      </c>
    </row>
    <row r="37">
      <c r="A37" s="4">
        <f>IFERROR(__xludf.DUMMYFUNCTION("""COMPUTED_VALUE"""),43881.66666666667)</f>
        <v>43881.66667</v>
      </c>
      <c r="B37" s="5">
        <f>IFERROR(__xludf.DUMMYFUNCTION("""COMPUTED_VALUE"""),2420.0)</f>
        <v>2420</v>
      </c>
      <c r="C37" s="5">
        <f>IFERROR(__xludf.DUMMYFUNCTION("""COMPUTED_VALUE"""),2510.0)</f>
        <v>2510</v>
      </c>
      <c r="D37" s="5">
        <f>IFERROR(__xludf.DUMMYFUNCTION("""COMPUTED_VALUE"""),2410.0)</f>
        <v>2410</v>
      </c>
      <c r="E37" s="5">
        <f>IFERROR(__xludf.DUMMYFUNCTION("""COMPUTED_VALUE"""),2490.0)</f>
        <v>2490</v>
      </c>
      <c r="F37" s="5">
        <f>IFERROR(__xludf.DUMMYFUNCTION("""COMPUTED_VALUE"""),3.29987E7)</f>
        <v>32998700</v>
      </c>
      <c r="G37" s="5">
        <f t="shared" si="1"/>
        <v>110</v>
      </c>
    </row>
    <row r="38">
      <c r="A38" s="4">
        <f>IFERROR(__xludf.DUMMYFUNCTION("""COMPUTED_VALUE"""),43882.66666666667)</f>
        <v>43882.66667</v>
      </c>
      <c r="B38" s="5">
        <f>IFERROR(__xludf.DUMMYFUNCTION("""COMPUTED_VALUE"""),2450.0)</f>
        <v>2450</v>
      </c>
      <c r="C38" s="5">
        <f>IFERROR(__xludf.DUMMYFUNCTION("""COMPUTED_VALUE"""),2470.0)</f>
        <v>2470</v>
      </c>
      <c r="D38" s="5">
        <f>IFERROR(__xludf.DUMMYFUNCTION("""COMPUTED_VALUE"""),2380.0)</f>
        <v>2380</v>
      </c>
      <c r="E38" s="5">
        <f>IFERROR(__xludf.DUMMYFUNCTION("""COMPUTED_VALUE"""),2410.0)</f>
        <v>2410</v>
      </c>
      <c r="F38" s="5">
        <f>IFERROR(__xludf.DUMMYFUNCTION("""COMPUTED_VALUE"""),2.27746E7)</f>
        <v>22774600</v>
      </c>
      <c r="G38" s="5">
        <f t="shared" si="1"/>
        <v>110</v>
      </c>
    </row>
    <row r="39">
      <c r="A39" s="4">
        <f>IFERROR(__xludf.DUMMYFUNCTION("""COMPUTED_VALUE"""),43885.66666666667)</f>
        <v>43885.66667</v>
      </c>
      <c r="B39" s="5">
        <f>IFERROR(__xludf.DUMMYFUNCTION("""COMPUTED_VALUE"""),2400.0)</f>
        <v>2400</v>
      </c>
      <c r="C39" s="5">
        <f>IFERROR(__xludf.DUMMYFUNCTION("""COMPUTED_VALUE"""),2400.0)</f>
        <v>2400</v>
      </c>
      <c r="D39" s="5">
        <f>IFERROR(__xludf.DUMMYFUNCTION("""COMPUTED_VALUE"""),2320.0)</f>
        <v>2320</v>
      </c>
      <c r="E39" s="5">
        <f>IFERROR(__xludf.DUMMYFUNCTION("""COMPUTED_VALUE"""),2350.0)</f>
        <v>2350</v>
      </c>
      <c r="F39" s="5">
        <f>IFERROR(__xludf.DUMMYFUNCTION("""COMPUTED_VALUE"""),1.77842E7)</f>
        <v>17784200</v>
      </c>
      <c r="G39" s="5">
        <f t="shared" si="1"/>
        <v>90</v>
      </c>
    </row>
    <row r="40">
      <c r="A40" s="4">
        <f>IFERROR(__xludf.DUMMYFUNCTION("""COMPUTED_VALUE"""),43886.66666666667)</f>
        <v>43886.66667</v>
      </c>
      <c r="B40" s="5">
        <f>IFERROR(__xludf.DUMMYFUNCTION("""COMPUTED_VALUE"""),2310.0)</f>
        <v>2310</v>
      </c>
      <c r="C40" s="5">
        <f>IFERROR(__xludf.DUMMYFUNCTION("""COMPUTED_VALUE"""),2430.0)</f>
        <v>2430</v>
      </c>
      <c r="D40" s="5">
        <f>IFERROR(__xludf.DUMMYFUNCTION("""COMPUTED_VALUE"""),2300.0)</f>
        <v>2300</v>
      </c>
      <c r="E40" s="5">
        <f>IFERROR(__xludf.DUMMYFUNCTION("""COMPUTED_VALUE"""),2410.0)</f>
        <v>2410</v>
      </c>
      <c r="F40" s="5">
        <f>IFERROR(__xludf.DUMMYFUNCTION("""COMPUTED_VALUE"""),2.32018E7)</f>
        <v>23201800</v>
      </c>
      <c r="G40" s="5">
        <f t="shared" si="1"/>
        <v>130</v>
      </c>
    </row>
    <row r="41">
      <c r="A41" s="4">
        <f>IFERROR(__xludf.DUMMYFUNCTION("""COMPUTED_VALUE"""),43887.66666666667)</f>
        <v>43887.66667</v>
      </c>
      <c r="B41" s="5">
        <f>IFERROR(__xludf.DUMMYFUNCTION("""COMPUTED_VALUE"""),2410.0)</f>
        <v>2410</v>
      </c>
      <c r="C41" s="5">
        <f>IFERROR(__xludf.DUMMYFUNCTION("""COMPUTED_VALUE"""),2450.0)</f>
        <v>2450</v>
      </c>
      <c r="D41" s="5">
        <f>IFERROR(__xludf.DUMMYFUNCTION("""COMPUTED_VALUE"""),2360.0)</f>
        <v>2360</v>
      </c>
      <c r="E41" s="5">
        <f>IFERROR(__xludf.DUMMYFUNCTION("""COMPUTED_VALUE"""),2360.0)</f>
        <v>2360</v>
      </c>
      <c r="F41" s="5">
        <f>IFERROR(__xludf.DUMMYFUNCTION("""COMPUTED_VALUE"""),2.64559E7)</f>
        <v>26455900</v>
      </c>
      <c r="G41" s="5">
        <f t="shared" si="1"/>
        <v>90</v>
      </c>
    </row>
    <row r="42">
      <c r="A42" s="4">
        <f>IFERROR(__xludf.DUMMYFUNCTION("""COMPUTED_VALUE"""),43888.66666666667)</f>
        <v>43888.66667</v>
      </c>
      <c r="B42" s="5">
        <f>IFERROR(__xludf.DUMMYFUNCTION("""COMPUTED_VALUE"""),2360.0)</f>
        <v>2360</v>
      </c>
      <c r="C42" s="5">
        <f>IFERROR(__xludf.DUMMYFUNCTION("""COMPUTED_VALUE"""),2420.0)</f>
        <v>2420</v>
      </c>
      <c r="D42" s="5">
        <f>IFERROR(__xludf.DUMMYFUNCTION("""COMPUTED_VALUE"""),2280.0)</f>
        <v>2280</v>
      </c>
      <c r="E42" s="5">
        <f>IFERROR(__xludf.DUMMYFUNCTION("""COMPUTED_VALUE"""),2290.0)</f>
        <v>2290</v>
      </c>
      <c r="F42" s="5">
        <f>IFERROR(__xludf.DUMMYFUNCTION("""COMPUTED_VALUE"""),2.68321E7)</f>
        <v>26832100</v>
      </c>
      <c r="G42" s="5">
        <f t="shared" si="1"/>
        <v>140</v>
      </c>
    </row>
    <row r="43">
      <c r="A43" s="4">
        <f>IFERROR(__xludf.DUMMYFUNCTION("""COMPUTED_VALUE"""),43889.66666666667)</f>
        <v>43889.66667</v>
      </c>
      <c r="B43" s="5">
        <f>IFERROR(__xludf.DUMMYFUNCTION("""COMPUTED_VALUE"""),2250.0)</f>
        <v>2250</v>
      </c>
      <c r="C43" s="5">
        <f>IFERROR(__xludf.DUMMYFUNCTION("""COMPUTED_VALUE"""),2290.0)</f>
        <v>2290</v>
      </c>
      <c r="D43" s="5">
        <f>IFERROR(__xludf.DUMMYFUNCTION("""COMPUTED_VALUE"""),2190.0)</f>
        <v>2190</v>
      </c>
      <c r="E43" s="5">
        <f>IFERROR(__xludf.DUMMYFUNCTION("""COMPUTED_VALUE"""),2240.0)</f>
        <v>2240</v>
      </c>
      <c r="F43" s="5">
        <f>IFERROR(__xludf.DUMMYFUNCTION("""COMPUTED_VALUE"""),4.2001E7)</f>
        <v>42001000</v>
      </c>
      <c r="G43" s="5">
        <f t="shared" si="1"/>
        <v>100</v>
      </c>
    </row>
    <row r="44">
      <c r="A44" s="4">
        <f>IFERROR(__xludf.DUMMYFUNCTION("""COMPUTED_VALUE"""),43892.66666666667)</f>
        <v>43892.66667</v>
      </c>
      <c r="B44" s="5">
        <f>IFERROR(__xludf.DUMMYFUNCTION("""COMPUTED_VALUE"""),2290.0)</f>
        <v>2290</v>
      </c>
      <c r="C44" s="5">
        <f>IFERROR(__xludf.DUMMYFUNCTION("""COMPUTED_VALUE"""),2290.0)</f>
        <v>2290</v>
      </c>
      <c r="D44" s="5">
        <f>IFERROR(__xludf.DUMMYFUNCTION("""COMPUTED_VALUE"""),2170.0)</f>
        <v>2170</v>
      </c>
      <c r="E44" s="5">
        <f>IFERROR(__xludf.DUMMYFUNCTION("""COMPUTED_VALUE"""),2200.0)</f>
        <v>2200</v>
      </c>
      <c r="F44" s="5">
        <f>IFERROR(__xludf.DUMMYFUNCTION("""COMPUTED_VALUE"""),3.90023E7)</f>
        <v>39002300</v>
      </c>
      <c r="G44" s="5">
        <f t="shared" si="1"/>
        <v>120</v>
      </c>
    </row>
    <row r="45">
      <c r="A45" s="4">
        <f>IFERROR(__xludf.DUMMYFUNCTION("""COMPUTED_VALUE"""),43893.66666666667)</f>
        <v>43893.66667</v>
      </c>
      <c r="B45" s="5">
        <f>IFERROR(__xludf.DUMMYFUNCTION("""COMPUTED_VALUE"""),2250.0)</f>
        <v>2250</v>
      </c>
      <c r="C45" s="5">
        <f>IFERROR(__xludf.DUMMYFUNCTION("""COMPUTED_VALUE"""),2400.0)</f>
        <v>2400</v>
      </c>
      <c r="D45" s="5">
        <f>IFERROR(__xludf.DUMMYFUNCTION("""COMPUTED_VALUE"""),2250.0)</f>
        <v>2250</v>
      </c>
      <c r="E45" s="5">
        <f>IFERROR(__xludf.DUMMYFUNCTION("""COMPUTED_VALUE"""),2370.0)</f>
        <v>2370</v>
      </c>
      <c r="F45" s="5">
        <f>IFERROR(__xludf.DUMMYFUNCTION("""COMPUTED_VALUE"""),3.04836E7)</f>
        <v>30483600</v>
      </c>
      <c r="G45" s="5">
        <f t="shared" si="1"/>
        <v>200</v>
      </c>
    </row>
    <row r="46">
      <c r="A46" s="4">
        <f>IFERROR(__xludf.DUMMYFUNCTION("""COMPUTED_VALUE"""),43894.66666666667)</f>
        <v>43894.66667</v>
      </c>
      <c r="B46" s="5">
        <f>IFERROR(__xludf.DUMMYFUNCTION("""COMPUTED_VALUE"""),2370.0)</f>
        <v>2370</v>
      </c>
      <c r="C46" s="5">
        <f>IFERROR(__xludf.DUMMYFUNCTION("""COMPUTED_VALUE"""),2500.0)</f>
        <v>2500</v>
      </c>
      <c r="D46" s="5">
        <f>IFERROR(__xludf.DUMMYFUNCTION("""COMPUTED_VALUE"""),2350.0)</f>
        <v>2350</v>
      </c>
      <c r="E46" s="5">
        <f>IFERROR(__xludf.DUMMYFUNCTION("""COMPUTED_VALUE"""),2470.0)</f>
        <v>2470</v>
      </c>
      <c r="F46" s="5">
        <f>IFERROR(__xludf.DUMMYFUNCTION("""COMPUTED_VALUE"""),3.30384E7)</f>
        <v>33038400</v>
      </c>
      <c r="G46" s="5">
        <f t="shared" si="1"/>
        <v>150</v>
      </c>
    </row>
    <row r="47">
      <c r="A47" s="4">
        <f>IFERROR(__xludf.DUMMYFUNCTION("""COMPUTED_VALUE"""),43895.66666666667)</f>
        <v>43895.66667</v>
      </c>
      <c r="B47" s="5">
        <f>IFERROR(__xludf.DUMMYFUNCTION("""COMPUTED_VALUE"""),2530.0)</f>
        <v>2530</v>
      </c>
      <c r="C47" s="5">
        <f>IFERROR(__xludf.DUMMYFUNCTION("""COMPUTED_VALUE"""),2540.0)</f>
        <v>2540</v>
      </c>
      <c r="D47" s="5">
        <f>IFERROR(__xludf.DUMMYFUNCTION("""COMPUTED_VALUE"""),2460.0)</f>
        <v>2460</v>
      </c>
      <c r="E47" s="5">
        <f>IFERROR(__xludf.DUMMYFUNCTION("""COMPUTED_VALUE"""),2460.0)</f>
        <v>2460</v>
      </c>
      <c r="F47" s="5">
        <f>IFERROR(__xludf.DUMMYFUNCTION("""COMPUTED_VALUE"""),2.98508E7)</f>
        <v>29850800</v>
      </c>
      <c r="G47" s="5">
        <f t="shared" si="1"/>
        <v>80</v>
      </c>
    </row>
    <row r="48">
      <c r="A48" s="4">
        <f>IFERROR(__xludf.DUMMYFUNCTION("""COMPUTED_VALUE"""),43896.66666666667)</f>
        <v>43896.66667</v>
      </c>
      <c r="B48" s="5">
        <f>IFERROR(__xludf.DUMMYFUNCTION("""COMPUTED_VALUE"""),2420.0)</f>
        <v>2420</v>
      </c>
      <c r="C48" s="5">
        <f>IFERROR(__xludf.DUMMYFUNCTION("""COMPUTED_VALUE"""),2480.0)</f>
        <v>2480</v>
      </c>
      <c r="D48" s="5">
        <f>IFERROR(__xludf.DUMMYFUNCTION("""COMPUTED_VALUE"""),2420.0)</f>
        <v>2420</v>
      </c>
      <c r="E48" s="5">
        <f>IFERROR(__xludf.DUMMYFUNCTION("""COMPUTED_VALUE"""),2450.0)</f>
        <v>2450</v>
      </c>
      <c r="F48" s="5">
        <f>IFERROR(__xludf.DUMMYFUNCTION("""COMPUTED_VALUE"""),1.85298E7)</f>
        <v>18529800</v>
      </c>
      <c r="G48" s="5">
        <f t="shared" si="1"/>
        <v>60</v>
      </c>
    </row>
    <row r="49">
      <c r="A49" s="4">
        <f>IFERROR(__xludf.DUMMYFUNCTION("""COMPUTED_VALUE"""),43899.66666666667)</f>
        <v>43899.66667</v>
      </c>
      <c r="B49" s="5">
        <f>IFERROR(__xludf.DUMMYFUNCTION("""COMPUTED_VALUE"""),2370.0)</f>
        <v>2370</v>
      </c>
      <c r="C49" s="5">
        <f>IFERROR(__xludf.DUMMYFUNCTION("""COMPUTED_VALUE"""),2370.0)</f>
        <v>2370</v>
      </c>
      <c r="D49" s="5">
        <f>IFERROR(__xludf.DUMMYFUNCTION("""COMPUTED_VALUE"""),2210.0)</f>
        <v>2210</v>
      </c>
      <c r="E49" s="5">
        <f>IFERROR(__xludf.DUMMYFUNCTION("""COMPUTED_VALUE"""),2210.0)</f>
        <v>2210</v>
      </c>
      <c r="F49" s="5">
        <f>IFERROR(__xludf.DUMMYFUNCTION("""COMPUTED_VALUE"""),3.8358E7)</f>
        <v>38358000</v>
      </c>
      <c r="G49" s="5">
        <f t="shared" si="1"/>
        <v>240</v>
      </c>
    </row>
    <row r="50">
      <c r="A50" s="4">
        <f>IFERROR(__xludf.DUMMYFUNCTION("""COMPUTED_VALUE"""),43900.66666666667)</f>
        <v>43900.66667</v>
      </c>
      <c r="B50" s="5">
        <f>IFERROR(__xludf.DUMMYFUNCTION("""COMPUTED_VALUE"""),2220.0)</f>
        <v>2220</v>
      </c>
      <c r="C50" s="5">
        <f>IFERROR(__xludf.DUMMYFUNCTION("""COMPUTED_VALUE"""),2320.0)</f>
        <v>2320</v>
      </c>
      <c r="D50" s="5">
        <f>IFERROR(__xludf.DUMMYFUNCTION("""COMPUTED_VALUE"""),2220.0)</f>
        <v>2220</v>
      </c>
      <c r="E50" s="5">
        <f>IFERROR(__xludf.DUMMYFUNCTION("""COMPUTED_VALUE"""),2310.0)</f>
        <v>2310</v>
      </c>
      <c r="F50" s="5">
        <f>IFERROR(__xludf.DUMMYFUNCTION("""COMPUTED_VALUE"""),2.3587E7)</f>
        <v>23587000</v>
      </c>
      <c r="G50" s="5">
        <f t="shared" si="1"/>
        <v>110</v>
      </c>
    </row>
    <row r="51">
      <c r="A51" s="4">
        <f>IFERROR(__xludf.DUMMYFUNCTION("""COMPUTED_VALUE"""),43901.66666666667)</f>
        <v>43901.66667</v>
      </c>
      <c r="B51" s="5">
        <f>IFERROR(__xludf.DUMMYFUNCTION("""COMPUTED_VALUE"""),2330.0)</f>
        <v>2330</v>
      </c>
      <c r="C51" s="5">
        <f>IFERROR(__xludf.DUMMYFUNCTION("""COMPUTED_VALUE"""),2350.0)</f>
        <v>2350</v>
      </c>
      <c r="D51" s="5">
        <f>IFERROR(__xludf.DUMMYFUNCTION("""COMPUTED_VALUE"""),2170.0)</f>
        <v>2170</v>
      </c>
      <c r="E51" s="5">
        <f>IFERROR(__xludf.DUMMYFUNCTION("""COMPUTED_VALUE"""),2200.0)</f>
        <v>2200</v>
      </c>
      <c r="F51" s="5">
        <f>IFERROR(__xludf.DUMMYFUNCTION("""COMPUTED_VALUE"""),2.45995E7)</f>
        <v>24599500</v>
      </c>
      <c r="G51" s="5">
        <f t="shared" si="1"/>
        <v>180</v>
      </c>
    </row>
    <row r="52">
      <c r="A52" s="4">
        <f>IFERROR(__xludf.DUMMYFUNCTION("""COMPUTED_VALUE"""),43902.66666666667)</f>
        <v>43902.66667</v>
      </c>
      <c r="B52" s="5">
        <f>IFERROR(__xludf.DUMMYFUNCTION("""COMPUTED_VALUE"""),2100.0)</f>
        <v>2100</v>
      </c>
      <c r="C52" s="5">
        <f>IFERROR(__xludf.DUMMYFUNCTION("""COMPUTED_VALUE"""),2190.0)</f>
        <v>2190</v>
      </c>
      <c r="D52" s="5">
        <f>IFERROR(__xludf.DUMMYFUNCTION("""COMPUTED_VALUE"""),2010.0)</f>
        <v>2010</v>
      </c>
      <c r="E52" s="5">
        <f>IFERROR(__xludf.DUMMYFUNCTION("""COMPUTED_VALUE"""),2060.0)</f>
        <v>2060</v>
      </c>
      <c r="F52" s="5">
        <f>IFERROR(__xludf.DUMMYFUNCTION("""COMPUTED_VALUE"""),2.31913E7)</f>
        <v>23191300</v>
      </c>
      <c r="G52" s="5">
        <f t="shared" si="1"/>
        <v>190</v>
      </c>
    </row>
    <row r="53">
      <c r="A53" s="4">
        <f>IFERROR(__xludf.DUMMYFUNCTION("""COMPUTED_VALUE"""),43903.66666666667)</f>
        <v>43903.66667</v>
      </c>
      <c r="B53" s="5">
        <f>IFERROR(__xludf.DUMMYFUNCTION("""COMPUTED_VALUE"""),1955.0)</f>
        <v>1955</v>
      </c>
      <c r="C53" s="5">
        <f>IFERROR(__xludf.DUMMYFUNCTION("""COMPUTED_VALUE"""),2070.0)</f>
        <v>2070</v>
      </c>
      <c r="D53" s="5">
        <f>IFERROR(__xludf.DUMMYFUNCTION("""COMPUTED_VALUE"""),1920.0)</f>
        <v>1920</v>
      </c>
      <c r="E53" s="5">
        <f>IFERROR(__xludf.DUMMYFUNCTION("""COMPUTED_VALUE"""),1970.0)</f>
        <v>1970</v>
      </c>
      <c r="F53" s="5">
        <f>IFERROR(__xludf.DUMMYFUNCTION("""COMPUTED_VALUE"""),6.20817E7)</f>
        <v>62081700</v>
      </c>
      <c r="G53" s="5">
        <f t="shared" si="1"/>
        <v>150</v>
      </c>
    </row>
    <row r="54">
      <c r="A54" s="4">
        <f>IFERROR(__xludf.DUMMYFUNCTION("""COMPUTED_VALUE"""),43906.66666666667)</f>
        <v>43906.66667</v>
      </c>
      <c r="B54" s="5">
        <f>IFERROR(__xludf.DUMMYFUNCTION("""COMPUTED_VALUE"""),1950.0)</f>
        <v>1950</v>
      </c>
      <c r="C54" s="5">
        <f>IFERROR(__xludf.DUMMYFUNCTION("""COMPUTED_VALUE"""),1950.0)</f>
        <v>1950</v>
      </c>
      <c r="D54" s="5">
        <f>IFERROR(__xludf.DUMMYFUNCTION("""COMPUTED_VALUE"""),1835.0)</f>
        <v>1835</v>
      </c>
      <c r="E54" s="5">
        <f>IFERROR(__xludf.DUMMYFUNCTION("""COMPUTED_VALUE"""),1835.0)</f>
        <v>1835</v>
      </c>
      <c r="F54" s="5">
        <f>IFERROR(__xludf.DUMMYFUNCTION("""COMPUTED_VALUE"""),1.98586E7)</f>
        <v>19858600</v>
      </c>
      <c r="G54" s="5">
        <f t="shared" si="1"/>
        <v>135</v>
      </c>
    </row>
    <row r="55">
      <c r="A55" s="4">
        <f>IFERROR(__xludf.DUMMYFUNCTION("""COMPUTED_VALUE"""),43907.66666666667)</f>
        <v>43907.66667</v>
      </c>
      <c r="B55" s="5">
        <f>IFERROR(__xludf.DUMMYFUNCTION("""COMPUTED_VALUE"""),1835.0)</f>
        <v>1835</v>
      </c>
      <c r="C55" s="5">
        <f>IFERROR(__xludf.DUMMYFUNCTION("""COMPUTED_VALUE"""),1850.0)</f>
        <v>1850</v>
      </c>
      <c r="D55" s="5">
        <f>IFERROR(__xludf.DUMMYFUNCTION("""COMPUTED_VALUE"""),1710.0)</f>
        <v>1710</v>
      </c>
      <c r="E55" s="5">
        <f>IFERROR(__xludf.DUMMYFUNCTION("""COMPUTED_VALUE"""),1710.0)</f>
        <v>1710</v>
      </c>
      <c r="F55" s="5">
        <f>IFERROR(__xludf.DUMMYFUNCTION("""COMPUTED_VALUE"""),2.32829E7)</f>
        <v>23282900</v>
      </c>
      <c r="G55" s="5">
        <f t="shared" si="1"/>
        <v>140</v>
      </c>
    </row>
    <row r="56">
      <c r="A56" s="4">
        <f>IFERROR(__xludf.DUMMYFUNCTION("""COMPUTED_VALUE"""),43908.66666666667)</f>
        <v>43908.66667</v>
      </c>
      <c r="B56" s="5">
        <f>IFERROR(__xludf.DUMMYFUNCTION("""COMPUTED_VALUE"""),1710.0)</f>
        <v>1710</v>
      </c>
      <c r="C56" s="5">
        <f>IFERROR(__xludf.DUMMYFUNCTION("""COMPUTED_VALUE"""),1710.0)</f>
        <v>1710</v>
      </c>
      <c r="D56" s="5">
        <f>IFERROR(__xludf.DUMMYFUNCTION("""COMPUTED_VALUE"""),1595.0)</f>
        <v>1595</v>
      </c>
      <c r="E56" s="5">
        <f>IFERROR(__xludf.DUMMYFUNCTION("""COMPUTED_VALUE"""),1595.0)</f>
        <v>1595</v>
      </c>
      <c r="F56" s="5">
        <f>IFERROR(__xludf.DUMMYFUNCTION("""COMPUTED_VALUE"""),2.99787E7)</f>
        <v>29978700</v>
      </c>
      <c r="G56" s="5">
        <f t="shared" si="1"/>
        <v>115</v>
      </c>
    </row>
    <row r="57">
      <c r="A57" s="4">
        <f>IFERROR(__xludf.DUMMYFUNCTION("""COMPUTED_VALUE"""),43909.66666666667)</f>
        <v>43909.66667</v>
      </c>
      <c r="B57" s="5">
        <f>IFERROR(__xludf.DUMMYFUNCTION("""COMPUTED_VALUE"""),1590.0)</f>
        <v>1590</v>
      </c>
      <c r="C57" s="5">
        <f>IFERROR(__xludf.DUMMYFUNCTION("""COMPUTED_VALUE"""),1590.0)</f>
        <v>1590</v>
      </c>
      <c r="D57" s="5">
        <f>IFERROR(__xludf.DUMMYFUNCTION("""COMPUTED_VALUE"""),1485.0)</f>
        <v>1485</v>
      </c>
      <c r="E57" s="5">
        <f>IFERROR(__xludf.DUMMYFUNCTION("""COMPUTED_VALUE"""),1485.0)</f>
        <v>1485</v>
      </c>
      <c r="F57" s="5">
        <f>IFERROR(__xludf.DUMMYFUNCTION("""COMPUTED_VALUE"""),2795600.0)</f>
        <v>2795600</v>
      </c>
      <c r="G57" s="5">
        <f t="shared" si="1"/>
        <v>110</v>
      </c>
    </row>
    <row r="58">
      <c r="A58" s="4">
        <f>IFERROR(__xludf.DUMMYFUNCTION("""COMPUTED_VALUE"""),43910.66666666667)</f>
        <v>43910.66667</v>
      </c>
      <c r="B58" s="5">
        <f>IFERROR(__xludf.DUMMYFUNCTION("""COMPUTED_VALUE"""),1485.0)</f>
        <v>1485</v>
      </c>
      <c r="C58" s="5">
        <f>IFERROR(__xludf.DUMMYFUNCTION("""COMPUTED_VALUE"""),1855.0)</f>
        <v>1855</v>
      </c>
      <c r="D58" s="5">
        <f>IFERROR(__xludf.DUMMYFUNCTION("""COMPUTED_VALUE"""),1385.0)</f>
        <v>1385</v>
      </c>
      <c r="E58" s="5">
        <f>IFERROR(__xludf.DUMMYFUNCTION("""COMPUTED_VALUE"""),1800.0)</f>
        <v>1800</v>
      </c>
      <c r="F58" s="5">
        <f>IFERROR(__xludf.DUMMYFUNCTION("""COMPUTED_VALUE"""),7.98402E7)</f>
        <v>79840200</v>
      </c>
      <c r="G58" s="5">
        <f t="shared" si="1"/>
        <v>470</v>
      </c>
    </row>
    <row r="59">
      <c r="A59" s="4">
        <f>IFERROR(__xludf.DUMMYFUNCTION("""COMPUTED_VALUE"""),43913.66666666667)</f>
        <v>43913.66667</v>
      </c>
      <c r="B59" s="5">
        <f>IFERROR(__xludf.DUMMYFUNCTION("""COMPUTED_VALUE"""),1790.0)</f>
        <v>1790</v>
      </c>
      <c r="C59" s="5">
        <f>IFERROR(__xludf.DUMMYFUNCTION("""COMPUTED_VALUE"""),1895.0)</f>
        <v>1895</v>
      </c>
      <c r="D59" s="5">
        <f>IFERROR(__xludf.DUMMYFUNCTION("""COMPUTED_VALUE"""),1675.0)</f>
        <v>1675</v>
      </c>
      <c r="E59" s="5">
        <f>IFERROR(__xludf.DUMMYFUNCTION("""COMPUTED_VALUE"""),1675.0)</f>
        <v>1675</v>
      </c>
      <c r="F59" s="5">
        <f>IFERROR(__xludf.DUMMYFUNCTION("""COMPUTED_VALUE"""),7.47862E7)</f>
        <v>74786200</v>
      </c>
      <c r="G59" s="5">
        <f t="shared" si="1"/>
        <v>220</v>
      </c>
    </row>
    <row r="60">
      <c r="A60" s="4">
        <f>IFERROR(__xludf.DUMMYFUNCTION("""COMPUTED_VALUE"""),43914.66666666667)</f>
        <v>43914.66667</v>
      </c>
      <c r="B60" s="5">
        <f>IFERROR(__xludf.DUMMYFUNCTION("""COMPUTED_VALUE"""),1700.0)</f>
        <v>1700</v>
      </c>
      <c r="C60" s="5">
        <f>IFERROR(__xludf.DUMMYFUNCTION("""COMPUTED_VALUE"""),1815.0)</f>
        <v>1815</v>
      </c>
      <c r="D60" s="5">
        <f>IFERROR(__xludf.DUMMYFUNCTION("""COMPUTED_VALUE"""),1700.0)</f>
        <v>1700</v>
      </c>
      <c r="E60" s="5">
        <f>IFERROR(__xludf.DUMMYFUNCTION("""COMPUTED_VALUE"""),1790.0)</f>
        <v>1790</v>
      </c>
      <c r="F60" s="5">
        <f>IFERROR(__xludf.DUMMYFUNCTION("""COMPUTED_VALUE"""),4.89107E7)</f>
        <v>48910700</v>
      </c>
      <c r="G60" s="5">
        <f t="shared" si="1"/>
        <v>140</v>
      </c>
    </row>
    <row r="61">
      <c r="A61" s="4">
        <f>IFERROR(__xludf.DUMMYFUNCTION("""COMPUTED_VALUE"""),43916.66666666667)</f>
        <v>43916.66667</v>
      </c>
      <c r="B61" s="5">
        <f>IFERROR(__xludf.DUMMYFUNCTION("""COMPUTED_VALUE"""),1850.0)</f>
        <v>1850</v>
      </c>
      <c r="C61" s="5">
        <f>IFERROR(__xludf.DUMMYFUNCTION("""COMPUTED_VALUE"""),2120.0)</f>
        <v>2120</v>
      </c>
      <c r="D61" s="5">
        <f>IFERROR(__xludf.DUMMYFUNCTION("""COMPUTED_VALUE"""),1830.0)</f>
        <v>1830</v>
      </c>
      <c r="E61" s="5">
        <f>IFERROR(__xludf.DUMMYFUNCTION("""COMPUTED_VALUE"""),2020.0)</f>
        <v>2020</v>
      </c>
      <c r="F61" s="5">
        <f>IFERROR(__xludf.DUMMYFUNCTION("""COMPUTED_VALUE"""),4.18092E7)</f>
        <v>41809200</v>
      </c>
      <c r="G61" s="5">
        <f t="shared" si="1"/>
        <v>330</v>
      </c>
    </row>
    <row r="62">
      <c r="A62" s="4">
        <f>IFERROR(__xludf.DUMMYFUNCTION("""COMPUTED_VALUE"""),43917.66666666667)</f>
        <v>43917.66667</v>
      </c>
      <c r="B62" s="5">
        <f>IFERROR(__xludf.DUMMYFUNCTION("""COMPUTED_VALUE"""),2090.0)</f>
        <v>2090</v>
      </c>
      <c r="C62" s="5">
        <f>IFERROR(__xludf.DUMMYFUNCTION("""COMPUTED_VALUE"""),2240.0)</f>
        <v>2240</v>
      </c>
      <c r="D62" s="5">
        <f>IFERROR(__xludf.DUMMYFUNCTION("""COMPUTED_VALUE"""),1995.0)</f>
        <v>1995</v>
      </c>
      <c r="E62" s="5">
        <f>IFERROR(__xludf.DUMMYFUNCTION("""COMPUTED_VALUE"""),2040.0)</f>
        <v>2040</v>
      </c>
      <c r="F62" s="5">
        <f>IFERROR(__xludf.DUMMYFUNCTION("""COMPUTED_VALUE"""),7.18878E7)</f>
        <v>71887800</v>
      </c>
      <c r="G62" s="5">
        <f t="shared" si="1"/>
        <v>245</v>
      </c>
    </row>
    <row r="63">
      <c r="A63" s="4">
        <f>IFERROR(__xludf.DUMMYFUNCTION("""COMPUTED_VALUE"""),43920.66666666667)</f>
        <v>43920.66667</v>
      </c>
      <c r="B63" s="5">
        <f>IFERROR(__xludf.DUMMYFUNCTION("""COMPUTED_VALUE"""),2040.0)</f>
        <v>2040</v>
      </c>
      <c r="C63" s="5">
        <f>IFERROR(__xludf.DUMMYFUNCTION("""COMPUTED_VALUE"""),2040.0)</f>
        <v>2040</v>
      </c>
      <c r="D63" s="5">
        <f>IFERROR(__xludf.DUMMYFUNCTION("""COMPUTED_VALUE"""),1900.0)</f>
        <v>1900</v>
      </c>
      <c r="E63" s="5">
        <f>IFERROR(__xludf.DUMMYFUNCTION("""COMPUTED_VALUE"""),1900.0)</f>
        <v>1900</v>
      </c>
      <c r="F63" s="5">
        <f>IFERROR(__xludf.DUMMYFUNCTION("""COMPUTED_VALUE"""),1.68211E7)</f>
        <v>16821100</v>
      </c>
      <c r="G63" s="5">
        <f t="shared" si="1"/>
        <v>140</v>
      </c>
    </row>
    <row r="64">
      <c r="A64" s="4">
        <f>IFERROR(__xludf.DUMMYFUNCTION("""COMPUTED_VALUE"""),43921.66666666667)</f>
        <v>43921.66667</v>
      </c>
      <c r="B64" s="5">
        <f>IFERROR(__xludf.DUMMYFUNCTION("""COMPUTED_VALUE"""),1930.0)</f>
        <v>1930</v>
      </c>
      <c r="C64" s="5">
        <f>IFERROR(__xludf.DUMMYFUNCTION("""COMPUTED_VALUE"""),2180.0)</f>
        <v>2180</v>
      </c>
      <c r="D64" s="5">
        <f>IFERROR(__xludf.DUMMYFUNCTION("""COMPUTED_VALUE"""),1900.0)</f>
        <v>1900</v>
      </c>
      <c r="E64" s="5">
        <f>IFERROR(__xludf.DUMMYFUNCTION("""COMPUTED_VALUE"""),2180.0)</f>
        <v>2180</v>
      </c>
      <c r="F64" s="5">
        <f>IFERROR(__xludf.DUMMYFUNCTION("""COMPUTED_VALUE"""),3.36187E7)</f>
        <v>33618700</v>
      </c>
      <c r="G64" s="5">
        <f t="shared" si="1"/>
        <v>280</v>
      </c>
    </row>
    <row r="65">
      <c r="A65" s="4">
        <f>IFERROR(__xludf.DUMMYFUNCTION("""COMPUTED_VALUE"""),43922.66666666667)</f>
        <v>43922.66667</v>
      </c>
      <c r="B65" s="5">
        <f>IFERROR(__xludf.DUMMYFUNCTION("""COMPUTED_VALUE"""),2120.0)</f>
        <v>2120</v>
      </c>
      <c r="C65" s="5">
        <f>IFERROR(__xludf.DUMMYFUNCTION("""COMPUTED_VALUE"""),2230.0)</f>
        <v>2230</v>
      </c>
      <c r="D65" s="5">
        <f>IFERROR(__xludf.DUMMYFUNCTION("""COMPUTED_VALUE"""),2040.0)</f>
        <v>2040</v>
      </c>
      <c r="E65" s="5">
        <f>IFERROR(__xludf.DUMMYFUNCTION("""COMPUTED_VALUE"""),2050.0)</f>
        <v>2050</v>
      </c>
      <c r="F65" s="5">
        <f>IFERROR(__xludf.DUMMYFUNCTION("""COMPUTED_VALUE"""),3.0561E7)</f>
        <v>30561000</v>
      </c>
      <c r="G65" s="5">
        <f t="shared" si="1"/>
        <v>190</v>
      </c>
    </row>
    <row r="66">
      <c r="A66" s="4">
        <f>IFERROR(__xludf.DUMMYFUNCTION("""COMPUTED_VALUE"""),43923.66666666667)</f>
        <v>43923.66667</v>
      </c>
      <c r="B66" s="5">
        <f>IFERROR(__xludf.DUMMYFUNCTION("""COMPUTED_VALUE"""),2030.0)</f>
        <v>2030</v>
      </c>
      <c r="C66" s="5">
        <f>IFERROR(__xludf.DUMMYFUNCTION("""COMPUTED_VALUE"""),2060.0)</f>
        <v>2060</v>
      </c>
      <c r="D66" s="5">
        <f>IFERROR(__xludf.DUMMYFUNCTION("""COMPUTED_VALUE"""),1950.0)</f>
        <v>1950</v>
      </c>
      <c r="E66" s="5">
        <f>IFERROR(__xludf.DUMMYFUNCTION("""COMPUTED_VALUE"""),2030.0)</f>
        <v>2030</v>
      </c>
      <c r="F66" s="5">
        <f>IFERROR(__xludf.DUMMYFUNCTION("""COMPUTED_VALUE"""),2.38376E7)</f>
        <v>23837600</v>
      </c>
      <c r="G66" s="5">
        <f t="shared" si="1"/>
        <v>110</v>
      </c>
    </row>
    <row r="67">
      <c r="A67" s="4">
        <f>IFERROR(__xludf.DUMMYFUNCTION("""COMPUTED_VALUE"""),43924.66666666667)</f>
        <v>43924.66667</v>
      </c>
      <c r="B67" s="5">
        <f>IFERROR(__xludf.DUMMYFUNCTION("""COMPUTED_VALUE"""),2020.0)</f>
        <v>2020</v>
      </c>
      <c r="C67" s="5">
        <f>IFERROR(__xludf.DUMMYFUNCTION("""COMPUTED_VALUE"""),2130.0)</f>
        <v>2130</v>
      </c>
      <c r="D67" s="5">
        <f>IFERROR(__xludf.DUMMYFUNCTION("""COMPUTED_VALUE"""),2020.0)</f>
        <v>2020</v>
      </c>
      <c r="E67" s="5">
        <f>IFERROR(__xludf.DUMMYFUNCTION("""COMPUTED_VALUE"""),2110.0)</f>
        <v>2110</v>
      </c>
      <c r="F67" s="5">
        <f>IFERROR(__xludf.DUMMYFUNCTION("""COMPUTED_VALUE"""),2.58413E7)</f>
        <v>25841300</v>
      </c>
      <c r="G67" s="5">
        <f t="shared" si="1"/>
        <v>110</v>
      </c>
    </row>
    <row r="68">
      <c r="A68" s="4">
        <f>IFERROR(__xludf.DUMMYFUNCTION("""COMPUTED_VALUE"""),43927.66666666667)</f>
        <v>43927.66667</v>
      </c>
      <c r="B68" s="5">
        <f>IFERROR(__xludf.DUMMYFUNCTION("""COMPUTED_VALUE"""),2100.0)</f>
        <v>2100</v>
      </c>
      <c r="C68" s="5">
        <f>IFERROR(__xludf.DUMMYFUNCTION("""COMPUTED_VALUE"""),2160.0)</f>
        <v>2160</v>
      </c>
      <c r="D68" s="5">
        <f>IFERROR(__xludf.DUMMYFUNCTION("""COMPUTED_VALUE"""),2090.0)</f>
        <v>2090</v>
      </c>
      <c r="E68" s="5">
        <f>IFERROR(__xludf.DUMMYFUNCTION("""COMPUTED_VALUE"""),2160.0)</f>
        <v>2160</v>
      </c>
      <c r="F68" s="5">
        <f>IFERROR(__xludf.DUMMYFUNCTION("""COMPUTED_VALUE"""),1.8666E7)</f>
        <v>18666000</v>
      </c>
      <c r="G68" s="5">
        <f t="shared" si="1"/>
        <v>70</v>
      </c>
    </row>
    <row r="69">
      <c r="A69" s="4">
        <f>IFERROR(__xludf.DUMMYFUNCTION("""COMPUTED_VALUE"""),43928.66666666667)</f>
        <v>43928.66667</v>
      </c>
      <c r="B69" s="5">
        <f>IFERROR(__xludf.DUMMYFUNCTION("""COMPUTED_VALUE"""),2250.0)</f>
        <v>2250</v>
      </c>
      <c r="C69" s="5">
        <f>IFERROR(__xludf.DUMMYFUNCTION("""COMPUTED_VALUE"""),2250.0)</f>
        <v>2250</v>
      </c>
      <c r="D69" s="5">
        <f>IFERROR(__xludf.DUMMYFUNCTION("""COMPUTED_VALUE"""),2090.0)</f>
        <v>2090</v>
      </c>
      <c r="E69" s="5">
        <f>IFERROR(__xludf.DUMMYFUNCTION("""COMPUTED_VALUE"""),2100.0)</f>
        <v>2100</v>
      </c>
      <c r="F69" s="5">
        <f>IFERROR(__xludf.DUMMYFUNCTION("""COMPUTED_VALUE"""),2.15888E7)</f>
        <v>21588800</v>
      </c>
      <c r="G69" s="5">
        <f t="shared" si="1"/>
        <v>160</v>
      </c>
    </row>
    <row r="70">
      <c r="A70" s="4">
        <f>IFERROR(__xludf.DUMMYFUNCTION("""COMPUTED_VALUE"""),43929.66666666667)</f>
        <v>43929.66667</v>
      </c>
      <c r="B70" s="5">
        <f>IFERROR(__xludf.DUMMYFUNCTION("""COMPUTED_VALUE"""),2100.0)</f>
        <v>2100</v>
      </c>
      <c r="C70" s="5">
        <f>IFERROR(__xludf.DUMMYFUNCTION("""COMPUTED_VALUE"""),2150.0)</f>
        <v>2150</v>
      </c>
      <c r="D70" s="5">
        <f>IFERROR(__xludf.DUMMYFUNCTION("""COMPUTED_VALUE"""),1955.0)</f>
        <v>1955</v>
      </c>
      <c r="E70" s="5">
        <f>IFERROR(__xludf.DUMMYFUNCTION("""COMPUTED_VALUE"""),1995.0)</f>
        <v>1995</v>
      </c>
      <c r="F70" s="5">
        <f>IFERROR(__xludf.DUMMYFUNCTION("""COMPUTED_VALUE"""),1.90393E7)</f>
        <v>19039300</v>
      </c>
      <c r="G70" s="5">
        <f t="shared" si="1"/>
        <v>195</v>
      </c>
    </row>
    <row r="71">
      <c r="A71" s="4">
        <f>IFERROR(__xludf.DUMMYFUNCTION("""COMPUTED_VALUE"""),43930.66666666667)</f>
        <v>43930.66667</v>
      </c>
      <c r="B71" s="5">
        <f>IFERROR(__xludf.DUMMYFUNCTION("""COMPUTED_VALUE"""),1995.0)</f>
        <v>1995</v>
      </c>
      <c r="C71" s="5">
        <f>IFERROR(__xludf.DUMMYFUNCTION("""COMPUTED_VALUE"""),2040.0)</f>
        <v>2040</v>
      </c>
      <c r="D71" s="5">
        <f>IFERROR(__xludf.DUMMYFUNCTION("""COMPUTED_VALUE"""),1935.0)</f>
        <v>1935</v>
      </c>
      <c r="E71" s="5">
        <f>IFERROR(__xludf.DUMMYFUNCTION("""COMPUTED_VALUE"""),1980.0)</f>
        <v>1980</v>
      </c>
      <c r="F71" s="5">
        <f>IFERROR(__xludf.DUMMYFUNCTION("""COMPUTED_VALUE"""),9649000.0)</f>
        <v>9649000</v>
      </c>
      <c r="G71" s="5">
        <f t="shared" si="1"/>
        <v>105</v>
      </c>
    </row>
    <row r="72">
      <c r="A72" s="4">
        <f>IFERROR(__xludf.DUMMYFUNCTION("""COMPUTED_VALUE"""),43934.66666666667)</f>
        <v>43934.66667</v>
      </c>
      <c r="B72" s="5">
        <f>IFERROR(__xludf.DUMMYFUNCTION("""COMPUTED_VALUE"""),1980.0)</f>
        <v>1980</v>
      </c>
      <c r="C72" s="5">
        <f>IFERROR(__xludf.DUMMYFUNCTION("""COMPUTED_VALUE"""),2030.0)</f>
        <v>2030</v>
      </c>
      <c r="D72" s="5">
        <f>IFERROR(__xludf.DUMMYFUNCTION("""COMPUTED_VALUE"""),1955.0)</f>
        <v>1955</v>
      </c>
      <c r="E72" s="5">
        <f>IFERROR(__xludf.DUMMYFUNCTION("""COMPUTED_VALUE"""),2000.0)</f>
        <v>2000</v>
      </c>
      <c r="F72" s="5">
        <f>IFERROR(__xludf.DUMMYFUNCTION("""COMPUTED_VALUE"""),5783600.0)</f>
        <v>5783600</v>
      </c>
      <c r="G72" s="5">
        <f t="shared" si="1"/>
        <v>75</v>
      </c>
    </row>
    <row r="73">
      <c r="A73" s="4">
        <f>IFERROR(__xludf.DUMMYFUNCTION("""COMPUTED_VALUE"""),43935.66666666667)</f>
        <v>43935.66667</v>
      </c>
      <c r="B73" s="5">
        <f>IFERROR(__xludf.DUMMYFUNCTION("""COMPUTED_VALUE"""),2020.0)</f>
        <v>2020</v>
      </c>
      <c r="C73" s="5">
        <f>IFERROR(__xludf.DUMMYFUNCTION("""COMPUTED_VALUE"""),2100.0)</f>
        <v>2100</v>
      </c>
      <c r="D73" s="5">
        <f>IFERROR(__xludf.DUMMYFUNCTION("""COMPUTED_VALUE"""),2010.0)</f>
        <v>2010</v>
      </c>
      <c r="E73" s="5">
        <f>IFERROR(__xludf.DUMMYFUNCTION("""COMPUTED_VALUE"""),2080.0)</f>
        <v>2080</v>
      </c>
      <c r="F73" s="5">
        <f>IFERROR(__xludf.DUMMYFUNCTION("""COMPUTED_VALUE"""),1.59328E7)</f>
        <v>15932800</v>
      </c>
      <c r="G73" s="5">
        <f t="shared" si="1"/>
        <v>100</v>
      </c>
    </row>
    <row r="74">
      <c r="A74" s="4">
        <f>IFERROR(__xludf.DUMMYFUNCTION("""COMPUTED_VALUE"""),43936.66666666667)</f>
        <v>43936.66667</v>
      </c>
      <c r="B74" s="5">
        <f>IFERROR(__xludf.DUMMYFUNCTION("""COMPUTED_VALUE"""),2100.0)</f>
        <v>2100</v>
      </c>
      <c r="C74" s="5">
        <f>IFERROR(__xludf.DUMMYFUNCTION("""COMPUTED_VALUE"""),2120.0)</f>
        <v>2120</v>
      </c>
      <c r="D74" s="5">
        <f>IFERROR(__xludf.DUMMYFUNCTION("""COMPUTED_VALUE"""),1960.0)</f>
        <v>1960</v>
      </c>
      <c r="E74" s="5">
        <f>IFERROR(__xludf.DUMMYFUNCTION("""COMPUTED_VALUE"""),1960.0)</f>
        <v>1960</v>
      </c>
      <c r="F74" s="5">
        <f>IFERROR(__xludf.DUMMYFUNCTION("""COMPUTED_VALUE"""),1.9782E7)</f>
        <v>19782000</v>
      </c>
      <c r="G74" s="5">
        <f t="shared" si="1"/>
        <v>160</v>
      </c>
    </row>
    <row r="75">
      <c r="A75" s="4">
        <f>IFERROR(__xludf.DUMMYFUNCTION("""COMPUTED_VALUE"""),43937.66666666667)</f>
        <v>43937.66667</v>
      </c>
      <c r="B75" s="5">
        <f>IFERROR(__xludf.DUMMYFUNCTION("""COMPUTED_VALUE"""),1980.0)</f>
        <v>1980</v>
      </c>
      <c r="C75" s="5">
        <f>IFERROR(__xludf.DUMMYFUNCTION("""COMPUTED_VALUE"""),1990.0)</f>
        <v>1990</v>
      </c>
      <c r="D75" s="5">
        <f>IFERROR(__xludf.DUMMYFUNCTION("""COMPUTED_VALUE"""),1895.0)</f>
        <v>1895</v>
      </c>
      <c r="E75" s="5">
        <f>IFERROR(__xludf.DUMMYFUNCTION("""COMPUTED_VALUE"""),1905.0)</f>
        <v>1905</v>
      </c>
      <c r="F75" s="5">
        <f>IFERROR(__xludf.DUMMYFUNCTION("""COMPUTED_VALUE"""),1.55735E7)</f>
        <v>15573500</v>
      </c>
      <c r="G75" s="5">
        <f t="shared" si="1"/>
        <v>95</v>
      </c>
    </row>
    <row r="76">
      <c r="A76" s="4">
        <f>IFERROR(__xludf.DUMMYFUNCTION("""COMPUTED_VALUE"""),43938.66666666667)</f>
        <v>43938.66667</v>
      </c>
      <c r="B76" s="5">
        <f>IFERROR(__xludf.DUMMYFUNCTION("""COMPUTED_VALUE"""),1920.0)</f>
        <v>1920</v>
      </c>
      <c r="C76" s="5">
        <f>IFERROR(__xludf.DUMMYFUNCTION("""COMPUTED_VALUE"""),2000.0)</f>
        <v>2000</v>
      </c>
      <c r="D76" s="5">
        <f>IFERROR(__xludf.DUMMYFUNCTION("""COMPUTED_VALUE"""),1920.0)</f>
        <v>1920</v>
      </c>
      <c r="E76" s="5">
        <f>IFERROR(__xludf.DUMMYFUNCTION("""COMPUTED_VALUE"""),1980.0)</f>
        <v>1980</v>
      </c>
      <c r="F76" s="5">
        <f>IFERROR(__xludf.DUMMYFUNCTION("""COMPUTED_VALUE"""),1.40206E7)</f>
        <v>14020600</v>
      </c>
      <c r="G76" s="5">
        <f t="shared" si="1"/>
        <v>95</v>
      </c>
    </row>
    <row r="77">
      <c r="A77" s="4">
        <f>IFERROR(__xludf.DUMMYFUNCTION("""COMPUTED_VALUE"""),43941.66666666667)</f>
        <v>43941.66667</v>
      </c>
      <c r="B77" s="5">
        <f>IFERROR(__xludf.DUMMYFUNCTION("""COMPUTED_VALUE"""),1990.0)</f>
        <v>1990</v>
      </c>
      <c r="C77" s="5">
        <f>IFERROR(__xludf.DUMMYFUNCTION("""COMPUTED_VALUE"""),2020.0)</f>
        <v>2020</v>
      </c>
      <c r="D77" s="5">
        <f>IFERROR(__xludf.DUMMYFUNCTION("""COMPUTED_VALUE"""),1935.0)</f>
        <v>1935</v>
      </c>
      <c r="E77" s="5">
        <f>IFERROR(__xludf.DUMMYFUNCTION("""COMPUTED_VALUE"""),1935.0)</f>
        <v>1935</v>
      </c>
      <c r="F77" s="5">
        <f>IFERROR(__xludf.DUMMYFUNCTION("""COMPUTED_VALUE"""),7323100.0)</f>
        <v>7323100</v>
      </c>
      <c r="G77" s="5">
        <f t="shared" si="1"/>
        <v>85</v>
      </c>
    </row>
    <row r="78">
      <c r="A78" s="4">
        <f>IFERROR(__xludf.DUMMYFUNCTION("""COMPUTED_VALUE"""),43942.66666666667)</f>
        <v>43942.66667</v>
      </c>
      <c r="B78" s="5">
        <f>IFERROR(__xludf.DUMMYFUNCTION("""COMPUTED_VALUE"""),1925.0)</f>
        <v>1925</v>
      </c>
      <c r="C78" s="5">
        <f>IFERROR(__xludf.DUMMYFUNCTION("""COMPUTED_VALUE"""),1925.0)</f>
        <v>1925</v>
      </c>
      <c r="D78" s="5">
        <f>IFERROR(__xludf.DUMMYFUNCTION("""COMPUTED_VALUE"""),1800.0)</f>
        <v>1800</v>
      </c>
      <c r="E78" s="5">
        <f>IFERROR(__xludf.DUMMYFUNCTION("""COMPUTED_VALUE"""),1825.0)</f>
        <v>1825</v>
      </c>
      <c r="F78" s="5">
        <f>IFERROR(__xludf.DUMMYFUNCTION("""COMPUTED_VALUE"""),2.6386E7)</f>
        <v>26386000</v>
      </c>
      <c r="G78" s="5">
        <f t="shared" si="1"/>
        <v>135</v>
      </c>
    </row>
    <row r="79">
      <c r="A79" s="4">
        <f>IFERROR(__xludf.DUMMYFUNCTION("""COMPUTED_VALUE"""),43943.66666666667)</f>
        <v>43943.66667</v>
      </c>
      <c r="B79" s="5">
        <f>IFERROR(__xludf.DUMMYFUNCTION("""COMPUTED_VALUE"""),1800.0)</f>
        <v>1800</v>
      </c>
      <c r="C79" s="5">
        <f>IFERROR(__xludf.DUMMYFUNCTION("""COMPUTED_VALUE"""),1880.0)</f>
        <v>1880</v>
      </c>
      <c r="D79" s="5">
        <f>IFERROR(__xludf.DUMMYFUNCTION("""COMPUTED_VALUE"""),1775.0)</f>
        <v>1775</v>
      </c>
      <c r="E79" s="5">
        <f>IFERROR(__xludf.DUMMYFUNCTION("""COMPUTED_VALUE"""),1855.0)</f>
        <v>1855</v>
      </c>
      <c r="F79" s="5">
        <f>IFERROR(__xludf.DUMMYFUNCTION("""COMPUTED_VALUE"""),1.87207E7)</f>
        <v>18720700</v>
      </c>
      <c r="G79" s="5">
        <f t="shared" si="1"/>
        <v>105</v>
      </c>
    </row>
    <row r="80">
      <c r="A80" s="4">
        <f>IFERROR(__xludf.DUMMYFUNCTION("""COMPUTED_VALUE"""),43944.66666666667)</f>
        <v>43944.66667</v>
      </c>
      <c r="B80" s="5">
        <f>IFERROR(__xludf.DUMMYFUNCTION("""COMPUTED_VALUE"""),1880.0)</f>
        <v>1880</v>
      </c>
      <c r="C80" s="5">
        <f>IFERROR(__xludf.DUMMYFUNCTION("""COMPUTED_VALUE"""),1925.0)</f>
        <v>1925</v>
      </c>
      <c r="D80" s="5">
        <f>IFERROR(__xludf.DUMMYFUNCTION("""COMPUTED_VALUE"""),1855.0)</f>
        <v>1855</v>
      </c>
      <c r="E80" s="5">
        <f>IFERROR(__xludf.DUMMYFUNCTION("""COMPUTED_VALUE"""),1890.0)</f>
        <v>1890</v>
      </c>
      <c r="F80" s="5">
        <f>IFERROR(__xludf.DUMMYFUNCTION("""COMPUTED_VALUE"""),2.57786E7)</f>
        <v>25778600</v>
      </c>
      <c r="G80" s="5">
        <f t="shared" si="1"/>
        <v>70</v>
      </c>
    </row>
    <row r="81">
      <c r="A81" s="4">
        <f>IFERROR(__xludf.DUMMYFUNCTION("""COMPUTED_VALUE"""),43945.66666666667)</f>
        <v>43945.66667</v>
      </c>
      <c r="B81" s="5">
        <f>IFERROR(__xludf.DUMMYFUNCTION("""COMPUTED_VALUE"""),1880.0)</f>
        <v>1880</v>
      </c>
      <c r="C81" s="5">
        <f>IFERROR(__xludf.DUMMYFUNCTION("""COMPUTED_VALUE"""),1960.0)</f>
        <v>1960</v>
      </c>
      <c r="D81" s="5">
        <f>IFERROR(__xludf.DUMMYFUNCTION("""COMPUTED_VALUE"""),1845.0)</f>
        <v>1845</v>
      </c>
      <c r="E81" s="5">
        <f>IFERROR(__xludf.DUMMYFUNCTION("""COMPUTED_VALUE"""),1850.0)</f>
        <v>1850</v>
      </c>
      <c r="F81" s="5">
        <f>IFERROR(__xludf.DUMMYFUNCTION("""COMPUTED_VALUE"""),2.81196E7)</f>
        <v>28119600</v>
      </c>
      <c r="G81" s="5">
        <f t="shared" si="1"/>
        <v>115</v>
      </c>
    </row>
    <row r="82">
      <c r="A82" s="4">
        <f>IFERROR(__xludf.DUMMYFUNCTION("""COMPUTED_VALUE"""),43948.66666666667)</f>
        <v>43948.66667</v>
      </c>
      <c r="B82" s="5">
        <f>IFERROR(__xludf.DUMMYFUNCTION("""COMPUTED_VALUE"""),1875.0)</f>
        <v>1875</v>
      </c>
      <c r="C82" s="5">
        <f>IFERROR(__xludf.DUMMYFUNCTION("""COMPUTED_VALUE"""),1890.0)</f>
        <v>1890</v>
      </c>
      <c r="D82" s="5">
        <f>IFERROR(__xludf.DUMMYFUNCTION("""COMPUTED_VALUE"""),1815.0)</f>
        <v>1815</v>
      </c>
      <c r="E82" s="5">
        <f>IFERROR(__xludf.DUMMYFUNCTION("""COMPUTED_VALUE"""),1825.0)</f>
        <v>1825</v>
      </c>
      <c r="F82" s="5">
        <f>IFERROR(__xludf.DUMMYFUNCTION("""COMPUTED_VALUE"""),1.6358E7)</f>
        <v>16358000</v>
      </c>
      <c r="G82" s="5">
        <f t="shared" si="1"/>
        <v>75</v>
      </c>
    </row>
    <row r="83">
      <c r="A83" s="4">
        <f>IFERROR(__xludf.DUMMYFUNCTION("""COMPUTED_VALUE"""),43949.66666666667)</f>
        <v>43949.66667</v>
      </c>
      <c r="B83" s="5">
        <f>IFERROR(__xludf.DUMMYFUNCTION("""COMPUTED_VALUE"""),1815.0)</f>
        <v>1815</v>
      </c>
      <c r="C83" s="5">
        <f>IFERROR(__xludf.DUMMYFUNCTION("""COMPUTED_VALUE"""),1845.0)</f>
        <v>1845</v>
      </c>
      <c r="D83" s="5">
        <f>IFERROR(__xludf.DUMMYFUNCTION("""COMPUTED_VALUE"""),1770.0)</f>
        <v>1770</v>
      </c>
      <c r="E83" s="5">
        <f>IFERROR(__xludf.DUMMYFUNCTION("""COMPUTED_VALUE"""),1780.0)</f>
        <v>1780</v>
      </c>
      <c r="F83" s="5">
        <f>IFERROR(__xludf.DUMMYFUNCTION("""COMPUTED_VALUE"""),1.72549E7)</f>
        <v>17254900</v>
      </c>
      <c r="G83" s="5">
        <f t="shared" si="1"/>
        <v>75</v>
      </c>
    </row>
    <row r="84">
      <c r="A84" s="4">
        <f>IFERROR(__xludf.DUMMYFUNCTION("""COMPUTED_VALUE"""),43950.66666666667)</f>
        <v>43950.66667</v>
      </c>
      <c r="B84" s="5">
        <f>IFERROR(__xludf.DUMMYFUNCTION("""COMPUTED_VALUE"""),1795.0)</f>
        <v>1795</v>
      </c>
      <c r="C84" s="5">
        <f>IFERROR(__xludf.DUMMYFUNCTION("""COMPUTED_VALUE"""),1820.0)</f>
        <v>1820</v>
      </c>
      <c r="D84" s="5">
        <f>IFERROR(__xludf.DUMMYFUNCTION("""COMPUTED_VALUE"""),1785.0)</f>
        <v>1785</v>
      </c>
      <c r="E84" s="5">
        <f>IFERROR(__xludf.DUMMYFUNCTION("""COMPUTED_VALUE"""),1790.0)</f>
        <v>1790</v>
      </c>
      <c r="F84" s="5">
        <f>IFERROR(__xludf.DUMMYFUNCTION("""COMPUTED_VALUE"""),9910000.0)</f>
        <v>9910000</v>
      </c>
      <c r="G84" s="5">
        <f t="shared" si="1"/>
        <v>40</v>
      </c>
    </row>
    <row r="85">
      <c r="A85" s="4">
        <f>IFERROR(__xludf.DUMMYFUNCTION("""COMPUTED_VALUE"""),43951.66666666667)</f>
        <v>43951.66667</v>
      </c>
      <c r="B85" s="5">
        <f>IFERROR(__xludf.DUMMYFUNCTION("""COMPUTED_VALUE"""),1815.0)</f>
        <v>1815</v>
      </c>
      <c r="C85" s="5">
        <f>IFERROR(__xludf.DUMMYFUNCTION("""COMPUTED_VALUE"""),1890.0)</f>
        <v>1890</v>
      </c>
      <c r="D85" s="5">
        <f>IFERROR(__xludf.DUMMYFUNCTION("""COMPUTED_VALUE"""),1815.0)</f>
        <v>1815</v>
      </c>
      <c r="E85" s="5">
        <f>IFERROR(__xludf.DUMMYFUNCTION("""COMPUTED_VALUE"""),1875.0)</f>
        <v>1875</v>
      </c>
      <c r="F85" s="5">
        <f>IFERROR(__xludf.DUMMYFUNCTION("""COMPUTED_VALUE"""),2.04648E7)</f>
        <v>20464800</v>
      </c>
      <c r="G85" s="5">
        <f t="shared" si="1"/>
        <v>100</v>
      </c>
    </row>
    <row r="86">
      <c r="A86" s="4">
        <f>IFERROR(__xludf.DUMMYFUNCTION("""COMPUTED_VALUE"""),43955.66666666667)</f>
        <v>43955.66667</v>
      </c>
      <c r="B86" s="5">
        <f>IFERROR(__xludf.DUMMYFUNCTION("""COMPUTED_VALUE"""),1870.0)</f>
        <v>1870</v>
      </c>
      <c r="C86" s="5">
        <f>IFERROR(__xludf.DUMMYFUNCTION("""COMPUTED_VALUE"""),1870.0)</f>
        <v>1870</v>
      </c>
      <c r="D86" s="5">
        <f>IFERROR(__xludf.DUMMYFUNCTION("""COMPUTED_VALUE"""),1790.0)</f>
        <v>1790</v>
      </c>
      <c r="E86" s="5">
        <f>IFERROR(__xludf.DUMMYFUNCTION("""COMPUTED_VALUE"""),1815.0)</f>
        <v>1815</v>
      </c>
      <c r="F86" s="5">
        <f>IFERROR(__xludf.DUMMYFUNCTION("""COMPUTED_VALUE"""),1.1936E7)</f>
        <v>11936000</v>
      </c>
      <c r="G86" s="5">
        <f t="shared" si="1"/>
        <v>85</v>
      </c>
    </row>
    <row r="87">
      <c r="A87" s="4">
        <f>IFERROR(__xludf.DUMMYFUNCTION("""COMPUTED_VALUE"""),43956.66666666667)</f>
        <v>43956.66667</v>
      </c>
      <c r="B87" s="5">
        <f>IFERROR(__xludf.DUMMYFUNCTION("""COMPUTED_VALUE"""),1850.0)</f>
        <v>1850</v>
      </c>
      <c r="C87" s="5">
        <f>IFERROR(__xludf.DUMMYFUNCTION("""COMPUTED_VALUE"""),1865.0)</f>
        <v>1865</v>
      </c>
      <c r="D87" s="5">
        <f>IFERROR(__xludf.DUMMYFUNCTION("""COMPUTED_VALUE"""),1780.0)</f>
        <v>1780</v>
      </c>
      <c r="E87" s="5">
        <f>IFERROR(__xludf.DUMMYFUNCTION("""COMPUTED_VALUE"""),1815.0)</f>
        <v>1815</v>
      </c>
      <c r="F87" s="5">
        <f>IFERROR(__xludf.DUMMYFUNCTION("""COMPUTED_VALUE"""),3.52201E7)</f>
        <v>35220100</v>
      </c>
      <c r="G87" s="5">
        <f t="shared" si="1"/>
        <v>85</v>
      </c>
    </row>
    <row r="88">
      <c r="A88" s="4">
        <f>IFERROR(__xludf.DUMMYFUNCTION("""COMPUTED_VALUE"""),43957.66666666667)</f>
        <v>43957.66667</v>
      </c>
      <c r="B88" s="5">
        <f>IFERROR(__xludf.DUMMYFUNCTION("""COMPUTED_VALUE"""),1825.0)</f>
        <v>1825</v>
      </c>
      <c r="C88" s="5">
        <f>IFERROR(__xludf.DUMMYFUNCTION("""COMPUTED_VALUE"""),1910.0)</f>
        <v>1910</v>
      </c>
      <c r="D88" s="5">
        <f>IFERROR(__xludf.DUMMYFUNCTION("""COMPUTED_VALUE"""),1820.0)</f>
        <v>1820</v>
      </c>
      <c r="E88" s="5">
        <f>IFERROR(__xludf.DUMMYFUNCTION("""COMPUTED_VALUE"""),1895.0)</f>
        <v>1895</v>
      </c>
      <c r="F88" s="5">
        <f>IFERROR(__xludf.DUMMYFUNCTION("""COMPUTED_VALUE"""),5.8599E7)</f>
        <v>58599000</v>
      </c>
      <c r="G88" s="5">
        <f t="shared" si="1"/>
        <v>95</v>
      </c>
    </row>
    <row r="89">
      <c r="A89" s="4">
        <f>IFERROR(__xludf.DUMMYFUNCTION("""COMPUTED_VALUE"""),43959.66666666667)</f>
        <v>43959.66667</v>
      </c>
      <c r="B89" s="5">
        <f>IFERROR(__xludf.DUMMYFUNCTION("""COMPUTED_VALUE"""),1915.0)</f>
        <v>1915</v>
      </c>
      <c r="C89" s="5">
        <f>IFERROR(__xludf.DUMMYFUNCTION("""COMPUTED_VALUE"""),2080.0)</f>
        <v>2080</v>
      </c>
      <c r="D89" s="5">
        <f>IFERROR(__xludf.DUMMYFUNCTION("""COMPUTED_VALUE"""),1895.0)</f>
        <v>1895</v>
      </c>
      <c r="E89" s="5">
        <f>IFERROR(__xludf.DUMMYFUNCTION("""COMPUTED_VALUE"""),2060.0)</f>
        <v>2060</v>
      </c>
      <c r="F89" s="5">
        <f>IFERROR(__xludf.DUMMYFUNCTION("""COMPUTED_VALUE"""),8.60155E7)</f>
        <v>86015500</v>
      </c>
      <c r="G89" s="5">
        <f t="shared" si="1"/>
        <v>185</v>
      </c>
    </row>
    <row r="90">
      <c r="A90" s="4">
        <f>IFERROR(__xludf.DUMMYFUNCTION("""COMPUTED_VALUE"""),43962.66666666667)</f>
        <v>43962.66667</v>
      </c>
      <c r="B90" s="5">
        <f>IFERROR(__xludf.DUMMYFUNCTION("""COMPUTED_VALUE"""),2080.0)</f>
        <v>2080</v>
      </c>
      <c r="C90" s="5">
        <f>IFERROR(__xludf.DUMMYFUNCTION("""COMPUTED_VALUE"""),2160.0)</f>
        <v>2160</v>
      </c>
      <c r="D90" s="5">
        <f>IFERROR(__xludf.DUMMYFUNCTION("""COMPUTED_VALUE"""),2030.0)</f>
        <v>2030</v>
      </c>
      <c r="E90" s="5">
        <f>IFERROR(__xludf.DUMMYFUNCTION("""COMPUTED_VALUE"""),2050.0)</f>
        <v>2050</v>
      </c>
      <c r="F90" s="5">
        <f>IFERROR(__xludf.DUMMYFUNCTION("""COMPUTED_VALUE"""),3.83376E7)</f>
        <v>38337600</v>
      </c>
      <c r="G90" s="5">
        <f t="shared" si="1"/>
        <v>130</v>
      </c>
    </row>
    <row r="91">
      <c r="A91" s="4">
        <f>IFERROR(__xludf.DUMMYFUNCTION("""COMPUTED_VALUE"""),43963.66666666667)</f>
        <v>43963.66667</v>
      </c>
      <c r="B91" s="5">
        <f>IFERROR(__xludf.DUMMYFUNCTION("""COMPUTED_VALUE"""),2100.0)</f>
        <v>2100</v>
      </c>
      <c r="C91" s="5">
        <f>IFERROR(__xludf.DUMMYFUNCTION("""COMPUTED_VALUE"""),2100.0)</f>
        <v>2100</v>
      </c>
      <c r="D91" s="5">
        <f>IFERROR(__xludf.DUMMYFUNCTION("""COMPUTED_VALUE"""),1980.0)</f>
        <v>1980</v>
      </c>
      <c r="E91" s="5">
        <f>IFERROR(__xludf.DUMMYFUNCTION("""COMPUTED_VALUE"""),1990.0)</f>
        <v>1990</v>
      </c>
      <c r="F91" s="5">
        <f>IFERROR(__xludf.DUMMYFUNCTION("""COMPUTED_VALUE"""),2.64129E7)</f>
        <v>26412900</v>
      </c>
      <c r="G91" s="5">
        <f t="shared" si="1"/>
        <v>120</v>
      </c>
    </row>
    <row r="92">
      <c r="A92" s="4">
        <f>IFERROR(__xludf.DUMMYFUNCTION("""COMPUTED_VALUE"""),43964.66666666667)</f>
        <v>43964.66667</v>
      </c>
      <c r="B92" s="5">
        <f>IFERROR(__xludf.DUMMYFUNCTION("""COMPUTED_VALUE"""),1940.0)</f>
        <v>1940</v>
      </c>
      <c r="C92" s="5">
        <f>IFERROR(__xludf.DUMMYFUNCTION("""COMPUTED_VALUE"""),1975.0)</f>
        <v>1975</v>
      </c>
      <c r="D92" s="5">
        <f>IFERROR(__xludf.DUMMYFUNCTION("""COMPUTED_VALUE"""),1860.0)</f>
        <v>1860</v>
      </c>
      <c r="E92" s="5">
        <f>IFERROR(__xludf.DUMMYFUNCTION("""COMPUTED_VALUE"""),1905.0)</f>
        <v>1905</v>
      </c>
      <c r="F92" s="5">
        <f>IFERROR(__xludf.DUMMYFUNCTION("""COMPUTED_VALUE"""),5.8253E7)</f>
        <v>58253000</v>
      </c>
      <c r="G92" s="5">
        <f t="shared" si="1"/>
        <v>130</v>
      </c>
    </row>
    <row r="93">
      <c r="A93" s="4">
        <f>IFERROR(__xludf.DUMMYFUNCTION("""COMPUTED_VALUE"""),43965.66666666667)</f>
        <v>43965.66667</v>
      </c>
      <c r="B93" s="5">
        <f>IFERROR(__xludf.DUMMYFUNCTION("""COMPUTED_VALUE"""),1870.0)</f>
        <v>1870</v>
      </c>
      <c r="C93" s="5">
        <f>IFERROR(__xludf.DUMMYFUNCTION("""COMPUTED_VALUE"""),1950.0)</f>
        <v>1950</v>
      </c>
      <c r="D93" s="5">
        <f>IFERROR(__xludf.DUMMYFUNCTION("""COMPUTED_VALUE"""),1855.0)</f>
        <v>1855</v>
      </c>
      <c r="E93" s="5">
        <f>IFERROR(__xludf.DUMMYFUNCTION("""COMPUTED_VALUE"""),1865.0)</f>
        <v>1865</v>
      </c>
      <c r="F93" s="5">
        <f>IFERROR(__xludf.DUMMYFUNCTION("""COMPUTED_VALUE"""),3.7832E7)</f>
        <v>37832000</v>
      </c>
      <c r="G93" s="5">
        <f t="shared" si="1"/>
        <v>95</v>
      </c>
    </row>
    <row r="94">
      <c r="A94" s="4">
        <f>IFERROR(__xludf.DUMMYFUNCTION("""COMPUTED_VALUE"""),43966.66666666667)</f>
        <v>43966.66667</v>
      </c>
      <c r="B94" s="5">
        <f>IFERROR(__xludf.DUMMYFUNCTION("""COMPUTED_VALUE"""),1880.0)</f>
        <v>1880</v>
      </c>
      <c r="C94" s="5">
        <f>IFERROR(__xludf.DUMMYFUNCTION("""COMPUTED_VALUE"""),1940.0)</f>
        <v>1940</v>
      </c>
      <c r="D94" s="5">
        <f>IFERROR(__xludf.DUMMYFUNCTION("""COMPUTED_VALUE"""),1800.0)</f>
        <v>1800</v>
      </c>
      <c r="E94" s="5">
        <f>IFERROR(__xludf.DUMMYFUNCTION("""COMPUTED_VALUE"""),1815.0)</f>
        <v>1815</v>
      </c>
      <c r="F94" s="5">
        <f>IFERROR(__xludf.DUMMYFUNCTION("""COMPUTED_VALUE"""),3.07697E7)</f>
        <v>30769700</v>
      </c>
      <c r="G94" s="5">
        <f t="shared" si="1"/>
        <v>140</v>
      </c>
    </row>
    <row r="95">
      <c r="A95" s="4">
        <f>IFERROR(__xludf.DUMMYFUNCTION("""COMPUTED_VALUE"""),43969.66666666667)</f>
        <v>43969.66667</v>
      </c>
      <c r="B95" s="5">
        <f>IFERROR(__xludf.DUMMYFUNCTION("""COMPUTED_VALUE"""),1830.0)</f>
        <v>1830</v>
      </c>
      <c r="C95" s="5">
        <f>IFERROR(__xludf.DUMMYFUNCTION("""COMPUTED_VALUE"""),1910.0)</f>
        <v>1910</v>
      </c>
      <c r="D95" s="5">
        <f>IFERROR(__xludf.DUMMYFUNCTION("""COMPUTED_VALUE"""),1805.0)</f>
        <v>1805</v>
      </c>
      <c r="E95" s="5">
        <f>IFERROR(__xludf.DUMMYFUNCTION("""COMPUTED_VALUE"""),1900.0)</f>
        <v>1900</v>
      </c>
      <c r="F95" s="5">
        <f>IFERROR(__xludf.DUMMYFUNCTION("""COMPUTED_VALUE"""),4.59566E7)</f>
        <v>45956600</v>
      </c>
      <c r="G95" s="5">
        <f t="shared" si="1"/>
        <v>105</v>
      </c>
    </row>
    <row r="96">
      <c r="A96" s="4">
        <f>IFERROR(__xludf.DUMMYFUNCTION("""COMPUTED_VALUE"""),43970.66666666667)</f>
        <v>43970.66667</v>
      </c>
      <c r="B96" s="5">
        <f>IFERROR(__xludf.DUMMYFUNCTION("""COMPUTED_VALUE"""),1935.0)</f>
        <v>1935</v>
      </c>
      <c r="C96" s="5">
        <f>IFERROR(__xludf.DUMMYFUNCTION("""COMPUTED_VALUE"""),1985.0)</f>
        <v>1985</v>
      </c>
      <c r="D96" s="5">
        <f>IFERROR(__xludf.DUMMYFUNCTION("""COMPUTED_VALUE"""),1910.0)</f>
        <v>1910</v>
      </c>
      <c r="E96" s="5">
        <f>IFERROR(__xludf.DUMMYFUNCTION("""COMPUTED_VALUE"""),1915.0)</f>
        <v>1915</v>
      </c>
      <c r="F96" s="5">
        <f>IFERROR(__xludf.DUMMYFUNCTION("""COMPUTED_VALUE"""),4.5276E7)</f>
        <v>45276000</v>
      </c>
      <c r="G96" s="5">
        <f t="shared" si="1"/>
        <v>85</v>
      </c>
    </row>
    <row r="97">
      <c r="A97" s="4">
        <f>IFERROR(__xludf.DUMMYFUNCTION("""COMPUTED_VALUE"""),43971.66666666667)</f>
        <v>43971.66667</v>
      </c>
      <c r="B97" s="5">
        <f>IFERROR(__xludf.DUMMYFUNCTION("""COMPUTED_VALUE"""),1920.0)</f>
        <v>1920</v>
      </c>
      <c r="C97" s="5">
        <f>IFERROR(__xludf.DUMMYFUNCTION("""COMPUTED_VALUE"""),1935.0)</f>
        <v>1935</v>
      </c>
      <c r="D97" s="5">
        <f>IFERROR(__xludf.DUMMYFUNCTION("""COMPUTED_VALUE"""),1890.0)</f>
        <v>1890</v>
      </c>
      <c r="E97" s="5">
        <f>IFERROR(__xludf.DUMMYFUNCTION("""COMPUTED_VALUE"""),1920.0)</f>
        <v>1920</v>
      </c>
      <c r="F97" s="5">
        <f>IFERROR(__xludf.DUMMYFUNCTION("""COMPUTED_VALUE"""),2.4247E7)</f>
        <v>24247000</v>
      </c>
      <c r="G97" s="5">
        <f t="shared" si="1"/>
        <v>45</v>
      </c>
    </row>
    <row r="98">
      <c r="A98" s="4">
        <f>IFERROR(__xludf.DUMMYFUNCTION("""COMPUTED_VALUE"""),43977.66666666667)</f>
        <v>43977.66667</v>
      </c>
      <c r="B98" s="5">
        <f>IFERROR(__xludf.DUMMYFUNCTION("""COMPUTED_VALUE"""),1945.0)</f>
        <v>1945</v>
      </c>
      <c r="C98" s="5">
        <f>IFERROR(__xludf.DUMMYFUNCTION("""COMPUTED_VALUE"""),2060.0)</f>
        <v>2060</v>
      </c>
      <c r="D98" s="5">
        <f>IFERROR(__xludf.DUMMYFUNCTION("""COMPUTED_VALUE"""),1930.0)</f>
        <v>1930</v>
      </c>
      <c r="E98" s="5">
        <f>IFERROR(__xludf.DUMMYFUNCTION("""COMPUTED_VALUE"""),2040.0)</f>
        <v>2040</v>
      </c>
      <c r="F98" s="5">
        <f>IFERROR(__xludf.DUMMYFUNCTION("""COMPUTED_VALUE"""),5.12765E7)</f>
        <v>51276500</v>
      </c>
      <c r="G98" s="5">
        <f t="shared" si="1"/>
        <v>140</v>
      </c>
    </row>
    <row r="99">
      <c r="A99" s="4">
        <f>IFERROR(__xludf.DUMMYFUNCTION("""COMPUTED_VALUE"""),43978.66666666667)</f>
        <v>43978.66667</v>
      </c>
      <c r="B99" s="5">
        <f>IFERROR(__xludf.DUMMYFUNCTION("""COMPUTED_VALUE"""),2070.0)</f>
        <v>2070</v>
      </c>
      <c r="C99" s="5">
        <f>IFERROR(__xludf.DUMMYFUNCTION("""COMPUTED_VALUE"""),2110.0)</f>
        <v>2110</v>
      </c>
      <c r="D99" s="5">
        <f>IFERROR(__xludf.DUMMYFUNCTION("""COMPUTED_VALUE"""),2020.0)</f>
        <v>2020</v>
      </c>
      <c r="E99" s="5">
        <f>IFERROR(__xludf.DUMMYFUNCTION("""COMPUTED_VALUE"""),2090.0)</f>
        <v>2090</v>
      </c>
      <c r="F99" s="5">
        <f>IFERROR(__xludf.DUMMYFUNCTION("""COMPUTED_VALUE"""),4.10423E7)</f>
        <v>41042300</v>
      </c>
      <c r="G99" s="5">
        <f t="shared" si="1"/>
        <v>90</v>
      </c>
    </row>
    <row r="100">
      <c r="A100" s="4">
        <f>IFERROR(__xludf.DUMMYFUNCTION("""COMPUTED_VALUE"""),43979.66666666667)</f>
        <v>43979.66667</v>
      </c>
      <c r="B100" s="5">
        <f>IFERROR(__xludf.DUMMYFUNCTION("""COMPUTED_VALUE"""),2120.0)</f>
        <v>2120</v>
      </c>
      <c r="C100" s="5">
        <f>IFERROR(__xludf.DUMMYFUNCTION("""COMPUTED_VALUE"""),2140.0)</f>
        <v>2140</v>
      </c>
      <c r="D100" s="5">
        <f>IFERROR(__xludf.DUMMYFUNCTION("""COMPUTED_VALUE"""),2070.0)</f>
        <v>2070</v>
      </c>
      <c r="E100" s="5">
        <f>IFERROR(__xludf.DUMMYFUNCTION("""COMPUTED_VALUE"""),2090.0)</f>
        <v>2090</v>
      </c>
      <c r="F100" s="5">
        <f>IFERROR(__xludf.DUMMYFUNCTION("""COMPUTED_VALUE"""),4.61694E7)</f>
        <v>46169400</v>
      </c>
      <c r="G100" s="5">
        <f t="shared" si="1"/>
        <v>70</v>
      </c>
    </row>
    <row r="101">
      <c r="A101" s="4">
        <f>IFERROR(__xludf.DUMMYFUNCTION("""COMPUTED_VALUE"""),43980.66666666667)</f>
        <v>43980.66667</v>
      </c>
      <c r="B101" s="5">
        <f>IFERROR(__xludf.DUMMYFUNCTION("""COMPUTED_VALUE"""),2090.0)</f>
        <v>2090</v>
      </c>
      <c r="C101" s="5">
        <f>IFERROR(__xludf.DUMMYFUNCTION("""COMPUTED_VALUE"""),2090.0)</f>
        <v>2090</v>
      </c>
      <c r="D101" s="5">
        <f>IFERROR(__xludf.DUMMYFUNCTION("""COMPUTED_VALUE"""),1945.0)</f>
        <v>1945</v>
      </c>
      <c r="E101" s="5">
        <f>IFERROR(__xludf.DUMMYFUNCTION("""COMPUTED_VALUE"""),1945.0)</f>
        <v>1945</v>
      </c>
      <c r="F101" s="5">
        <f>IFERROR(__xludf.DUMMYFUNCTION("""COMPUTED_VALUE"""),3.644816E8)</f>
        <v>364481600</v>
      </c>
      <c r="G101" s="5">
        <f t="shared" si="1"/>
        <v>145</v>
      </c>
    </row>
    <row r="102">
      <c r="A102" s="4">
        <f>IFERROR(__xludf.DUMMYFUNCTION("""COMPUTED_VALUE"""),43984.66666666667)</f>
        <v>43984.66667</v>
      </c>
      <c r="B102" s="5">
        <f>IFERROR(__xludf.DUMMYFUNCTION("""COMPUTED_VALUE"""),1975.0)</f>
        <v>1975</v>
      </c>
      <c r="C102" s="5">
        <f>IFERROR(__xludf.DUMMYFUNCTION("""COMPUTED_VALUE"""),2100.0)</f>
        <v>2100</v>
      </c>
      <c r="D102" s="5">
        <f>IFERROR(__xludf.DUMMYFUNCTION("""COMPUTED_VALUE"""),1970.0)</f>
        <v>1970</v>
      </c>
      <c r="E102" s="5">
        <f>IFERROR(__xludf.DUMMYFUNCTION("""COMPUTED_VALUE"""),2080.0)</f>
        <v>2080</v>
      </c>
      <c r="F102" s="5">
        <f>IFERROR(__xludf.DUMMYFUNCTION("""COMPUTED_VALUE"""),1.255644E8)</f>
        <v>125564400</v>
      </c>
      <c r="G102" s="5">
        <f t="shared" si="1"/>
        <v>155</v>
      </c>
    </row>
    <row r="103">
      <c r="A103" s="4">
        <f>IFERROR(__xludf.DUMMYFUNCTION("""COMPUTED_VALUE"""),43985.66666666667)</f>
        <v>43985.66667</v>
      </c>
      <c r="B103" s="5">
        <f>IFERROR(__xludf.DUMMYFUNCTION("""COMPUTED_VALUE"""),2100.0)</f>
        <v>2100</v>
      </c>
      <c r="C103" s="5">
        <f>IFERROR(__xludf.DUMMYFUNCTION("""COMPUTED_VALUE"""),2140.0)</f>
        <v>2140</v>
      </c>
      <c r="D103" s="5">
        <f>IFERROR(__xludf.DUMMYFUNCTION("""COMPUTED_VALUE"""),2050.0)</f>
        <v>2050</v>
      </c>
      <c r="E103" s="5">
        <f>IFERROR(__xludf.DUMMYFUNCTION("""COMPUTED_VALUE"""),2110.0)</f>
        <v>2110</v>
      </c>
      <c r="F103" s="5">
        <f>IFERROR(__xludf.DUMMYFUNCTION("""COMPUTED_VALUE"""),8.78707E7)</f>
        <v>87870700</v>
      </c>
      <c r="G103" s="5">
        <f t="shared" si="1"/>
        <v>90</v>
      </c>
    </row>
    <row r="104">
      <c r="A104" s="4">
        <f>IFERROR(__xludf.DUMMYFUNCTION("""COMPUTED_VALUE"""),43986.66666666667)</f>
        <v>43986.66667</v>
      </c>
      <c r="B104" s="5">
        <f>IFERROR(__xludf.DUMMYFUNCTION("""COMPUTED_VALUE"""),2140.0)</f>
        <v>2140</v>
      </c>
      <c r="C104" s="5">
        <f>IFERROR(__xludf.DUMMYFUNCTION("""COMPUTED_VALUE"""),2300.0)</f>
        <v>2300</v>
      </c>
      <c r="D104" s="5">
        <f>IFERROR(__xludf.DUMMYFUNCTION("""COMPUTED_VALUE"""),2130.0)</f>
        <v>2130</v>
      </c>
      <c r="E104" s="5">
        <f>IFERROR(__xludf.DUMMYFUNCTION("""COMPUTED_VALUE"""),2180.0)</f>
        <v>2180</v>
      </c>
      <c r="F104" s="5">
        <f>IFERROR(__xludf.DUMMYFUNCTION("""COMPUTED_VALUE"""),1.321993E8)</f>
        <v>132199300</v>
      </c>
      <c r="G104" s="5">
        <f t="shared" si="1"/>
        <v>190</v>
      </c>
    </row>
    <row r="105">
      <c r="A105" s="4">
        <f>IFERROR(__xludf.DUMMYFUNCTION("""COMPUTED_VALUE"""),43987.66666666667)</f>
        <v>43987.66667</v>
      </c>
      <c r="B105" s="5">
        <f>IFERROR(__xludf.DUMMYFUNCTION("""COMPUTED_VALUE"""),2200.0)</f>
        <v>2200</v>
      </c>
      <c r="C105" s="5">
        <f>IFERROR(__xludf.DUMMYFUNCTION("""COMPUTED_VALUE"""),2250.0)</f>
        <v>2250</v>
      </c>
      <c r="D105" s="5">
        <f>IFERROR(__xludf.DUMMYFUNCTION("""COMPUTED_VALUE"""),2160.0)</f>
        <v>2160</v>
      </c>
      <c r="E105" s="5">
        <f>IFERROR(__xludf.DUMMYFUNCTION("""COMPUTED_VALUE"""),2210.0)</f>
        <v>2210</v>
      </c>
      <c r="F105" s="5">
        <f>IFERROR(__xludf.DUMMYFUNCTION("""COMPUTED_VALUE"""),6.66412E7)</f>
        <v>66641200</v>
      </c>
      <c r="G105" s="5">
        <f t="shared" si="1"/>
        <v>90</v>
      </c>
    </row>
    <row r="106">
      <c r="A106" s="4">
        <f>IFERROR(__xludf.DUMMYFUNCTION("""COMPUTED_VALUE"""),43990.66666666667)</f>
        <v>43990.66667</v>
      </c>
      <c r="B106" s="5">
        <f>IFERROR(__xludf.DUMMYFUNCTION("""COMPUTED_VALUE"""),2250.0)</f>
        <v>2250</v>
      </c>
      <c r="C106" s="5">
        <f>IFERROR(__xludf.DUMMYFUNCTION("""COMPUTED_VALUE"""),2320.0)</f>
        <v>2320</v>
      </c>
      <c r="D106" s="5">
        <f>IFERROR(__xludf.DUMMYFUNCTION("""COMPUTED_VALUE"""),2250.0)</f>
        <v>2250</v>
      </c>
      <c r="E106" s="5">
        <f>IFERROR(__xludf.DUMMYFUNCTION("""COMPUTED_VALUE"""),2300.0)</f>
        <v>2300</v>
      </c>
      <c r="F106" s="5">
        <f>IFERROR(__xludf.DUMMYFUNCTION("""COMPUTED_VALUE"""),9.38997E7)</f>
        <v>93899700</v>
      </c>
      <c r="G106" s="5">
        <f t="shared" si="1"/>
        <v>110</v>
      </c>
    </row>
    <row r="107">
      <c r="A107" s="4">
        <f>IFERROR(__xludf.DUMMYFUNCTION("""COMPUTED_VALUE"""),43991.66666666667)</f>
        <v>43991.66667</v>
      </c>
      <c r="B107" s="5">
        <f>IFERROR(__xludf.DUMMYFUNCTION("""COMPUTED_VALUE"""),2320.0)</f>
        <v>2320</v>
      </c>
      <c r="C107" s="5">
        <f>IFERROR(__xludf.DUMMYFUNCTION("""COMPUTED_VALUE"""),2400.0)</f>
        <v>2400</v>
      </c>
      <c r="D107" s="5">
        <f>IFERROR(__xludf.DUMMYFUNCTION("""COMPUTED_VALUE"""),2310.0)</f>
        <v>2310</v>
      </c>
      <c r="E107" s="5">
        <f>IFERROR(__xludf.DUMMYFUNCTION("""COMPUTED_VALUE"""),2390.0)</f>
        <v>2390</v>
      </c>
      <c r="F107" s="5">
        <f>IFERROR(__xludf.DUMMYFUNCTION("""COMPUTED_VALUE"""),1.194395E8)</f>
        <v>119439500</v>
      </c>
      <c r="G107" s="5">
        <f t="shared" si="1"/>
        <v>100</v>
      </c>
    </row>
    <row r="108">
      <c r="A108" s="4">
        <f>IFERROR(__xludf.DUMMYFUNCTION("""COMPUTED_VALUE"""),43992.66666666667)</f>
        <v>43992.66667</v>
      </c>
      <c r="B108" s="5">
        <f>IFERROR(__xludf.DUMMYFUNCTION("""COMPUTED_VALUE"""),2380.0)</f>
        <v>2380</v>
      </c>
      <c r="C108" s="5">
        <f>IFERROR(__xludf.DUMMYFUNCTION("""COMPUTED_VALUE"""),2480.0)</f>
        <v>2480</v>
      </c>
      <c r="D108" s="5">
        <f>IFERROR(__xludf.DUMMYFUNCTION("""COMPUTED_VALUE"""),2280.0)</f>
        <v>2280</v>
      </c>
      <c r="E108" s="5">
        <f>IFERROR(__xludf.DUMMYFUNCTION("""COMPUTED_VALUE"""),2370.0)</f>
        <v>2370</v>
      </c>
      <c r="F108" s="5">
        <f>IFERROR(__xludf.DUMMYFUNCTION("""COMPUTED_VALUE"""),2.698294E8)</f>
        <v>269829400</v>
      </c>
      <c r="G108" s="5">
        <f t="shared" si="1"/>
        <v>200</v>
      </c>
    </row>
    <row r="109">
      <c r="A109" s="4">
        <f>IFERROR(__xludf.DUMMYFUNCTION("""COMPUTED_VALUE"""),43993.66666666667)</f>
        <v>43993.66667</v>
      </c>
      <c r="B109" s="5">
        <f>IFERROR(__xludf.DUMMYFUNCTION("""COMPUTED_VALUE"""),2350.0)</f>
        <v>2350</v>
      </c>
      <c r="C109" s="5">
        <f>IFERROR(__xludf.DUMMYFUNCTION("""COMPUTED_VALUE"""),2380.0)</f>
        <v>2380</v>
      </c>
      <c r="D109" s="5">
        <f>IFERROR(__xludf.DUMMYFUNCTION("""COMPUTED_VALUE"""),2250.0)</f>
        <v>2250</v>
      </c>
      <c r="E109" s="5">
        <f>IFERROR(__xludf.DUMMYFUNCTION("""COMPUTED_VALUE"""),2280.0)</f>
        <v>2280</v>
      </c>
      <c r="F109" s="5">
        <f>IFERROR(__xludf.DUMMYFUNCTION("""COMPUTED_VALUE"""),1.155702E8)</f>
        <v>115570200</v>
      </c>
      <c r="G109" s="5">
        <f t="shared" si="1"/>
        <v>130</v>
      </c>
    </row>
    <row r="110">
      <c r="A110" s="4">
        <f>IFERROR(__xludf.DUMMYFUNCTION("""COMPUTED_VALUE"""),43994.66666666667)</f>
        <v>43994.66667</v>
      </c>
      <c r="B110" s="5">
        <f>IFERROR(__xludf.DUMMYFUNCTION("""COMPUTED_VALUE"""),2160.0)</f>
        <v>2160</v>
      </c>
      <c r="C110" s="5">
        <f>IFERROR(__xludf.DUMMYFUNCTION("""COMPUTED_VALUE"""),2410.0)</f>
        <v>2410</v>
      </c>
      <c r="D110" s="5">
        <f>IFERROR(__xludf.DUMMYFUNCTION("""COMPUTED_VALUE"""),2150.0)</f>
        <v>2150</v>
      </c>
      <c r="E110" s="5">
        <f>IFERROR(__xludf.DUMMYFUNCTION("""COMPUTED_VALUE"""),2390.0)</f>
        <v>2390</v>
      </c>
      <c r="F110" s="5">
        <f>IFERROR(__xludf.DUMMYFUNCTION("""COMPUTED_VALUE"""),1.614471E8)</f>
        <v>161447100</v>
      </c>
      <c r="G110" s="5">
        <f t="shared" si="1"/>
        <v>260</v>
      </c>
    </row>
    <row r="111">
      <c r="A111" s="4">
        <f>IFERROR(__xludf.DUMMYFUNCTION("""COMPUTED_VALUE"""),43997.66666666667)</f>
        <v>43997.66667</v>
      </c>
      <c r="B111" s="5">
        <f>IFERROR(__xludf.DUMMYFUNCTION("""COMPUTED_VALUE"""),2400.0)</f>
        <v>2400</v>
      </c>
      <c r="C111" s="5">
        <f>IFERROR(__xludf.DUMMYFUNCTION("""COMPUTED_VALUE"""),2480.0)</f>
        <v>2480</v>
      </c>
      <c r="D111" s="5">
        <f>IFERROR(__xludf.DUMMYFUNCTION("""COMPUTED_VALUE"""),2350.0)</f>
        <v>2350</v>
      </c>
      <c r="E111" s="5">
        <f>IFERROR(__xludf.DUMMYFUNCTION("""COMPUTED_VALUE"""),2360.0)</f>
        <v>2360</v>
      </c>
      <c r="F111" s="5">
        <f>IFERROR(__xludf.DUMMYFUNCTION("""COMPUTED_VALUE"""),1.32252E8)</f>
        <v>132252000</v>
      </c>
      <c r="G111" s="5">
        <f t="shared" si="1"/>
        <v>130</v>
      </c>
    </row>
    <row r="112">
      <c r="A112" s="4">
        <f>IFERROR(__xludf.DUMMYFUNCTION("""COMPUTED_VALUE"""),43998.66666666667)</f>
        <v>43998.66667</v>
      </c>
      <c r="B112" s="5">
        <f>IFERROR(__xludf.DUMMYFUNCTION("""COMPUTED_VALUE"""),2420.0)</f>
        <v>2420</v>
      </c>
      <c r="C112" s="5">
        <f>IFERROR(__xludf.DUMMYFUNCTION("""COMPUTED_VALUE"""),2480.0)</f>
        <v>2480</v>
      </c>
      <c r="D112" s="5">
        <f>IFERROR(__xludf.DUMMYFUNCTION("""COMPUTED_VALUE"""),2420.0)</f>
        <v>2420</v>
      </c>
      <c r="E112" s="5">
        <f>IFERROR(__xludf.DUMMYFUNCTION("""COMPUTED_VALUE"""),2440.0)</f>
        <v>2440</v>
      </c>
      <c r="F112" s="5">
        <f>IFERROR(__xludf.DUMMYFUNCTION("""COMPUTED_VALUE"""),9.99838E7)</f>
        <v>99983800</v>
      </c>
      <c r="G112" s="5">
        <f t="shared" si="1"/>
        <v>120</v>
      </c>
    </row>
    <row r="113">
      <c r="A113" s="4">
        <f>IFERROR(__xludf.DUMMYFUNCTION("""COMPUTED_VALUE"""),43999.66666666667)</f>
        <v>43999.66667</v>
      </c>
      <c r="B113" s="5">
        <f>IFERROR(__xludf.DUMMYFUNCTION("""COMPUTED_VALUE"""),2480.0)</f>
        <v>2480</v>
      </c>
      <c r="C113" s="5">
        <f>IFERROR(__xludf.DUMMYFUNCTION("""COMPUTED_VALUE"""),2490.0)</f>
        <v>2490</v>
      </c>
      <c r="D113" s="5">
        <f>IFERROR(__xludf.DUMMYFUNCTION("""COMPUTED_VALUE"""),2420.0)</f>
        <v>2420</v>
      </c>
      <c r="E113" s="5">
        <f>IFERROR(__xludf.DUMMYFUNCTION("""COMPUTED_VALUE"""),2470.0)</f>
        <v>2470</v>
      </c>
      <c r="F113" s="5">
        <f>IFERROR(__xludf.DUMMYFUNCTION("""COMPUTED_VALUE"""),1.158573E8)</f>
        <v>115857300</v>
      </c>
      <c r="G113" s="5">
        <f t="shared" si="1"/>
        <v>70</v>
      </c>
    </row>
    <row r="114">
      <c r="A114" s="4">
        <f>IFERROR(__xludf.DUMMYFUNCTION("""COMPUTED_VALUE"""),44000.66666666667)</f>
        <v>44000.66667</v>
      </c>
      <c r="B114" s="5">
        <f>IFERROR(__xludf.DUMMYFUNCTION("""COMPUTED_VALUE"""),2500.0)</f>
        <v>2500</v>
      </c>
      <c r="C114" s="5">
        <f>IFERROR(__xludf.DUMMYFUNCTION("""COMPUTED_VALUE"""),2510.0)</f>
        <v>2510</v>
      </c>
      <c r="D114" s="5">
        <f>IFERROR(__xludf.DUMMYFUNCTION("""COMPUTED_VALUE"""),2430.0)</f>
        <v>2430</v>
      </c>
      <c r="E114" s="5">
        <f>IFERROR(__xludf.DUMMYFUNCTION("""COMPUTED_VALUE"""),2450.0)</f>
        <v>2450</v>
      </c>
      <c r="F114" s="5">
        <f>IFERROR(__xludf.DUMMYFUNCTION("""COMPUTED_VALUE"""),2.161952E8)</f>
        <v>216195200</v>
      </c>
      <c r="G114" s="5">
        <f t="shared" si="1"/>
        <v>80</v>
      </c>
    </row>
    <row r="115">
      <c r="A115" s="4">
        <f>IFERROR(__xludf.DUMMYFUNCTION("""COMPUTED_VALUE"""),44001.66666666667)</f>
        <v>44001.66667</v>
      </c>
      <c r="B115" s="5">
        <f>IFERROR(__xludf.DUMMYFUNCTION("""COMPUTED_VALUE"""),2280.0)</f>
        <v>2280</v>
      </c>
      <c r="C115" s="5">
        <f>IFERROR(__xludf.DUMMYFUNCTION("""COMPUTED_VALUE"""),2280.0)</f>
        <v>2280</v>
      </c>
      <c r="D115" s="5">
        <f>IFERROR(__xludf.DUMMYFUNCTION("""COMPUTED_VALUE"""),2280.0)</f>
        <v>2280</v>
      </c>
      <c r="E115" s="5">
        <f>IFERROR(__xludf.DUMMYFUNCTION("""COMPUTED_VALUE"""),2280.0)</f>
        <v>2280</v>
      </c>
      <c r="F115" s="5">
        <f>IFERROR(__xludf.DUMMYFUNCTION("""COMPUTED_VALUE"""),1.094319E8)</f>
        <v>109431900</v>
      </c>
      <c r="G115" s="5">
        <f t="shared" si="1"/>
        <v>170</v>
      </c>
    </row>
    <row r="116">
      <c r="A116" s="4">
        <f>IFERROR(__xludf.DUMMYFUNCTION("""COMPUTED_VALUE"""),44004.66666666667)</f>
        <v>44004.66667</v>
      </c>
      <c r="B116" s="5">
        <f>IFERROR(__xludf.DUMMYFUNCTION("""COMPUTED_VALUE"""),2140.0)</f>
        <v>2140</v>
      </c>
      <c r="C116" s="5">
        <f>IFERROR(__xludf.DUMMYFUNCTION("""COMPUTED_VALUE"""),2200.0)</f>
        <v>2200</v>
      </c>
      <c r="D116" s="5">
        <f>IFERROR(__xludf.DUMMYFUNCTION("""COMPUTED_VALUE"""),2130.0)</f>
        <v>2130</v>
      </c>
      <c r="E116" s="5">
        <f>IFERROR(__xludf.DUMMYFUNCTION("""COMPUTED_VALUE"""),2130.0)</f>
        <v>2130</v>
      </c>
      <c r="F116" s="5">
        <f>IFERROR(__xludf.DUMMYFUNCTION("""COMPUTED_VALUE"""),2.07937E8)</f>
        <v>207937000</v>
      </c>
      <c r="G116" s="5">
        <f t="shared" si="1"/>
        <v>150</v>
      </c>
    </row>
    <row r="117">
      <c r="A117" s="4">
        <f>IFERROR(__xludf.DUMMYFUNCTION("""COMPUTED_VALUE"""),44005.66666666667)</f>
        <v>44005.66667</v>
      </c>
      <c r="B117" s="5">
        <f>IFERROR(__xludf.DUMMYFUNCTION("""COMPUTED_VALUE"""),2070.0)</f>
        <v>2070</v>
      </c>
      <c r="C117" s="5">
        <f>IFERROR(__xludf.DUMMYFUNCTION("""COMPUTED_VALUE"""),2160.0)</f>
        <v>2160</v>
      </c>
      <c r="D117" s="5">
        <f>IFERROR(__xludf.DUMMYFUNCTION("""COMPUTED_VALUE"""),2030.0)</f>
        <v>2030</v>
      </c>
      <c r="E117" s="5">
        <f>IFERROR(__xludf.DUMMYFUNCTION("""COMPUTED_VALUE"""),2080.0)</f>
        <v>2080</v>
      </c>
      <c r="F117" s="5">
        <f>IFERROR(__xludf.DUMMYFUNCTION("""COMPUTED_VALUE"""),1.560004E8)</f>
        <v>156000400</v>
      </c>
      <c r="G117" s="5">
        <f t="shared" si="1"/>
        <v>130</v>
      </c>
    </row>
    <row r="118">
      <c r="A118" s="4">
        <f>IFERROR(__xludf.DUMMYFUNCTION("""COMPUTED_VALUE"""),44006.66666666667)</f>
        <v>44006.66667</v>
      </c>
      <c r="B118" s="5">
        <f>IFERROR(__xludf.DUMMYFUNCTION("""COMPUTED_VALUE"""),2100.0)</f>
        <v>2100</v>
      </c>
      <c r="C118" s="5">
        <f>IFERROR(__xludf.DUMMYFUNCTION("""COMPUTED_VALUE"""),2160.0)</f>
        <v>2160</v>
      </c>
      <c r="D118" s="5">
        <f>IFERROR(__xludf.DUMMYFUNCTION("""COMPUTED_VALUE"""),2090.0)</f>
        <v>2090</v>
      </c>
      <c r="E118" s="5">
        <f>IFERROR(__xludf.DUMMYFUNCTION("""COMPUTED_VALUE"""),2120.0)</f>
        <v>2120</v>
      </c>
      <c r="F118" s="5">
        <f>IFERROR(__xludf.DUMMYFUNCTION("""COMPUTED_VALUE"""),1.08004E8)</f>
        <v>108004000</v>
      </c>
      <c r="G118" s="5">
        <f t="shared" si="1"/>
        <v>80</v>
      </c>
    </row>
    <row r="119">
      <c r="A119" s="4">
        <f>IFERROR(__xludf.DUMMYFUNCTION("""COMPUTED_VALUE"""),44007.66666666667)</f>
        <v>44007.66667</v>
      </c>
      <c r="B119" s="5">
        <f>IFERROR(__xludf.DUMMYFUNCTION("""COMPUTED_VALUE"""),2080.0)</f>
        <v>2080</v>
      </c>
      <c r="C119" s="5">
        <f>IFERROR(__xludf.DUMMYFUNCTION("""COMPUTED_VALUE"""),2120.0)</f>
        <v>2120</v>
      </c>
      <c r="D119" s="5">
        <f>IFERROR(__xludf.DUMMYFUNCTION("""COMPUTED_VALUE"""),2050.0)</f>
        <v>2050</v>
      </c>
      <c r="E119" s="5">
        <f>IFERROR(__xludf.DUMMYFUNCTION("""COMPUTED_VALUE"""),2060.0)</f>
        <v>2060</v>
      </c>
      <c r="F119" s="5">
        <f>IFERROR(__xludf.DUMMYFUNCTION("""COMPUTED_VALUE"""),7.9582E7)</f>
        <v>79582000</v>
      </c>
      <c r="G119" s="5">
        <f t="shared" si="1"/>
        <v>70</v>
      </c>
    </row>
    <row r="120">
      <c r="A120" s="4">
        <f>IFERROR(__xludf.DUMMYFUNCTION("""COMPUTED_VALUE"""),44008.66666666667)</f>
        <v>44008.66667</v>
      </c>
      <c r="B120" s="5">
        <f>IFERROR(__xludf.DUMMYFUNCTION("""COMPUTED_VALUE"""),2100.0)</f>
        <v>2100</v>
      </c>
      <c r="C120" s="5">
        <f>IFERROR(__xludf.DUMMYFUNCTION("""COMPUTED_VALUE"""),2110.0)</f>
        <v>2110</v>
      </c>
      <c r="D120" s="5">
        <f>IFERROR(__xludf.DUMMYFUNCTION("""COMPUTED_VALUE"""),2050.0)</f>
        <v>2050</v>
      </c>
      <c r="E120" s="5">
        <f>IFERROR(__xludf.DUMMYFUNCTION("""COMPUTED_VALUE"""),2060.0)</f>
        <v>2060</v>
      </c>
      <c r="F120" s="5">
        <f>IFERROR(__xludf.DUMMYFUNCTION("""COMPUTED_VALUE"""),4.83654E7)</f>
        <v>48365400</v>
      </c>
      <c r="G120" s="5">
        <f t="shared" si="1"/>
        <v>60</v>
      </c>
    </row>
    <row r="121">
      <c r="A121" s="4">
        <f>IFERROR(__xludf.DUMMYFUNCTION("""COMPUTED_VALUE"""),44011.66666666667)</f>
        <v>44011.66667</v>
      </c>
      <c r="B121" s="5">
        <f>IFERROR(__xludf.DUMMYFUNCTION("""COMPUTED_VALUE"""),2050.0)</f>
        <v>2050</v>
      </c>
      <c r="C121" s="5">
        <f>IFERROR(__xludf.DUMMYFUNCTION("""COMPUTED_VALUE"""),2080.0)</f>
        <v>2080</v>
      </c>
      <c r="D121" s="5">
        <f>IFERROR(__xludf.DUMMYFUNCTION("""COMPUTED_VALUE"""),2010.0)</f>
        <v>2010</v>
      </c>
      <c r="E121" s="5">
        <f>IFERROR(__xludf.DUMMYFUNCTION("""COMPUTED_VALUE"""),2030.0)</f>
        <v>2030</v>
      </c>
      <c r="F121" s="5">
        <f>IFERROR(__xludf.DUMMYFUNCTION("""COMPUTED_VALUE"""),6.35771E7)</f>
        <v>63577100</v>
      </c>
      <c r="G121" s="5">
        <f t="shared" si="1"/>
        <v>70</v>
      </c>
    </row>
    <row r="122">
      <c r="A122" s="4">
        <f>IFERROR(__xludf.DUMMYFUNCTION("""COMPUTED_VALUE"""),44012.66666666667)</f>
        <v>44012.66667</v>
      </c>
      <c r="B122" s="5">
        <f>IFERROR(__xludf.DUMMYFUNCTION("""COMPUTED_VALUE"""),2050.0)</f>
        <v>2050</v>
      </c>
      <c r="C122" s="5">
        <f>IFERROR(__xludf.DUMMYFUNCTION("""COMPUTED_VALUE"""),2070.0)</f>
        <v>2070</v>
      </c>
      <c r="D122" s="5">
        <f>IFERROR(__xludf.DUMMYFUNCTION("""COMPUTED_VALUE"""),2000.0)</f>
        <v>2000</v>
      </c>
      <c r="E122" s="5">
        <f>IFERROR(__xludf.DUMMYFUNCTION("""COMPUTED_VALUE"""),2020.0)</f>
        <v>2020</v>
      </c>
      <c r="F122" s="5">
        <f>IFERROR(__xludf.DUMMYFUNCTION("""COMPUTED_VALUE"""),5.14486E7)</f>
        <v>51448600</v>
      </c>
      <c r="G122" s="5">
        <f t="shared" si="1"/>
        <v>70</v>
      </c>
    </row>
    <row r="123">
      <c r="A123" s="4">
        <f>IFERROR(__xludf.DUMMYFUNCTION("""COMPUTED_VALUE"""),44013.66666666667)</f>
        <v>44013.66667</v>
      </c>
      <c r="B123" s="5">
        <f>IFERROR(__xludf.DUMMYFUNCTION("""COMPUTED_VALUE"""),2020.0)</f>
        <v>2020</v>
      </c>
      <c r="C123" s="5">
        <f>IFERROR(__xludf.DUMMYFUNCTION("""COMPUTED_VALUE"""),2090.0)</f>
        <v>2090</v>
      </c>
      <c r="D123" s="5">
        <f>IFERROR(__xludf.DUMMYFUNCTION("""COMPUTED_VALUE"""),1995.0)</f>
        <v>1995</v>
      </c>
      <c r="E123" s="5">
        <f>IFERROR(__xludf.DUMMYFUNCTION("""COMPUTED_VALUE"""),2090.0)</f>
        <v>2090</v>
      </c>
      <c r="F123" s="5">
        <f>IFERROR(__xludf.DUMMYFUNCTION("""COMPUTED_VALUE"""),8.25652E7)</f>
        <v>82565200</v>
      </c>
      <c r="G123" s="5">
        <f t="shared" si="1"/>
        <v>95</v>
      </c>
    </row>
    <row r="124">
      <c r="A124" s="4">
        <f>IFERROR(__xludf.DUMMYFUNCTION("""COMPUTED_VALUE"""),44014.66666666667)</f>
        <v>44014.66667</v>
      </c>
      <c r="B124" s="5">
        <f>IFERROR(__xludf.DUMMYFUNCTION("""COMPUTED_VALUE"""),2110.0)</f>
        <v>2110</v>
      </c>
      <c r="C124" s="5">
        <f>IFERROR(__xludf.DUMMYFUNCTION("""COMPUTED_VALUE"""),2120.0)</f>
        <v>2120</v>
      </c>
      <c r="D124" s="5">
        <f>IFERROR(__xludf.DUMMYFUNCTION("""COMPUTED_VALUE"""),2060.0)</f>
        <v>2060</v>
      </c>
      <c r="E124" s="5">
        <f>IFERROR(__xludf.DUMMYFUNCTION("""COMPUTED_VALUE"""),2070.0)</f>
        <v>2070</v>
      </c>
      <c r="F124" s="5">
        <f>IFERROR(__xludf.DUMMYFUNCTION("""COMPUTED_VALUE"""),8.01328E7)</f>
        <v>80132800</v>
      </c>
      <c r="G124" s="5">
        <f t="shared" si="1"/>
        <v>60</v>
      </c>
    </row>
    <row r="125">
      <c r="A125" s="4">
        <f>IFERROR(__xludf.DUMMYFUNCTION("""COMPUTED_VALUE"""),44015.66666666667)</f>
        <v>44015.66667</v>
      </c>
      <c r="B125" s="5">
        <f>IFERROR(__xludf.DUMMYFUNCTION("""COMPUTED_VALUE"""),2100.0)</f>
        <v>2100</v>
      </c>
      <c r="C125" s="5">
        <f>IFERROR(__xludf.DUMMYFUNCTION("""COMPUTED_VALUE"""),2100.0)</f>
        <v>2100</v>
      </c>
      <c r="D125" s="5">
        <f>IFERROR(__xludf.DUMMYFUNCTION("""COMPUTED_VALUE"""),2050.0)</f>
        <v>2050</v>
      </c>
      <c r="E125" s="5">
        <f>IFERROR(__xludf.DUMMYFUNCTION("""COMPUTED_VALUE"""),2050.0)</f>
        <v>2050</v>
      </c>
      <c r="F125" s="5">
        <f>IFERROR(__xludf.DUMMYFUNCTION("""COMPUTED_VALUE"""),3.17004E7)</f>
        <v>31700400</v>
      </c>
      <c r="G125" s="5">
        <f t="shared" si="1"/>
        <v>50</v>
      </c>
    </row>
    <row r="126">
      <c r="A126" s="4">
        <f>IFERROR(__xludf.DUMMYFUNCTION("""COMPUTED_VALUE"""),44018.66666666667)</f>
        <v>44018.66667</v>
      </c>
      <c r="B126" s="5">
        <f>IFERROR(__xludf.DUMMYFUNCTION("""COMPUTED_VALUE"""),2060.0)</f>
        <v>2060</v>
      </c>
      <c r="C126" s="5">
        <f>IFERROR(__xludf.DUMMYFUNCTION("""COMPUTED_VALUE"""),2070.0)</f>
        <v>2070</v>
      </c>
      <c r="D126" s="5">
        <f>IFERROR(__xludf.DUMMYFUNCTION("""COMPUTED_VALUE"""),2040.0)</f>
        <v>2040</v>
      </c>
      <c r="E126" s="5">
        <f>IFERROR(__xludf.DUMMYFUNCTION("""COMPUTED_VALUE"""),2070.0)</f>
        <v>2070</v>
      </c>
      <c r="F126" s="5">
        <f>IFERROR(__xludf.DUMMYFUNCTION("""COMPUTED_VALUE"""),3.39271E7)</f>
        <v>33927100</v>
      </c>
      <c r="G126" s="5">
        <f t="shared" si="1"/>
        <v>30</v>
      </c>
    </row>
    <row r="127">
      <c r="A127" s="4">
        <f>IFERROR(__xludf.DUMMYFUNCTION("""COMPUTED_VALUE"""),44019.66666666667)</f>
        <v>44019.66667</v>
      </c>
      <c r="B127" s="5">
        <f>IFERROR(__xludf.DUMMYFUNCTION("""COMPUTED_VALUE"""),2080.0)</f>
        <v>2080</v>
      </c>
      <c r="C127" s="5">
        <f>IFERROR(__xludf.DUMMYFUNCTION("""COMPUTED_VALUE"""),2090.0)</f>
        <v>2090</v>
      </c>
      <c r="D127" s="5">
        <f>IFERROR(__xludf.DUMMYFUNCTION("""COMPUTED_VALUE"""),2050.0)</f>
        <v>2050</v>
      </c>
      <c r="E127" s="5">
        <f>IFERROR(__xludf.DUMMYFUNCTION("""COMPUTED_VALUE"""),2050.0)</f>
        <v>2050</v>
      </c>
      <c r="F127" s="5">
        <f>IFERROR(__xludf.DUMMYFUNCTION("""COMPUTED_VALUE"""),3.07401E7)</f>
        <v>30740100</v>
      </c>
      <c r="G127" s="5">
        <f t="shared" si="1"/>
        <v>40</v>
      </c>
    </row>
    <row r="128">
      <c r="A128" s="4">
        <f>IFERROR(__xludf.DUMMYFUNCTION("""COMPUTED_VALUE"""),44020.66666666667)</f>
        <v>44020.66667</v>
      </c>
      <c r="B128" s="5">
        <f>IFERROR(__xludf.DUMMYFUNCTION("""COMPUTED_VALUE"""),2050.0)</f>
        <v>2050</v>
      </c>
      <c r="C128" s="5">
        <f>IFERROR(__xludf.DUMMYFUNCTION("""COMPUTED_VALUE"""),2100.0)</f>
        <v>2100</v>
      </c>
      <c r="D128" s="5">
        <f>IFERROR(__xludf.DUMMYFUNCTION("""COMPUTED_VALUE"""),2040.0)</f>
        <v>2040</v>
      </c>
      <c r="E128" s="5">
        <f>IFERROR(__xludf.DUMMYFUNCTION("""COMPUTED_VALUE"""),2080.0)</f>
        <v>2080</v>
      </c>
      <c r="F128" s="5">
        <f>IFERROR(__xludf.DUMMYFUNCTION("""COMPUTED_VALUE"""),5.79103E7)</f>
        <v>57910300</v>
      </c>
      <c r="G128" s="5">
        <f t="shared" si="1"/>
        <v>60</v>
      </c>
    </row>
    <row r="129">
      <c r="A129" s="4">
        <f>IFERROR(__xludf.DUMMYFUNCTION("""COMPUTED_VALUE"""),44021.66666666667)</f>
        <v>44021.66667</v>
      </c>
      <c r="B129" s="5">
        <f>IFERROR(__xludf.DUMMYFUNCTION("""COMPUTED_VALUE"""),2080.0)</f>
        <v>2080</v>
      </c>
      <c r="C129" s="5">
        <f>IFERROR(__xludf.DUMMYFUNCTION("""COMPUTED_VALUE"""),2170.0)</f>
        <v>2170</v>
      </c>
      <c r="D129" s="5">
        <f>IFERROR(__xludf.DUMMYFUNCTION("""COMPUTED_VALUE"""),2060.0)</f>
        <v>2060</v>
      </c>
      <c r="E129" s="5">
        <f>IFERROR(__xludf.DUMMYFUNCTION("""COMPUTED_VALUE"""),2100.0)</f>
        <v>2100</v>
      </c>
      <c r="F129" s="5">
        <f>IFERROR(__xludf.DUMMYFUNCTION("""COMPUTED_VALUE"""),1.298012E8)</f>
        <v>129801200</v>
      </c>
      <c r="G129" s="5">
        <f t="shared" si="1"/>
        <v>110</v>
      </c>
    </row>
    <row r="130">
      <c r="A130" s="4">
        <f>IFERROR(__xludf.DUMMYFUNCTION("""COMPUTED_VALUE"""),44022.66666666667)</f>
        <v>44022.66667</v>
      </c>
      <c r="B130" s="5">
        <f>IFERROR(__xludf.DUMMYFUNCTION("""COMPUTED_VALUE"""),2100.0)</f>
        <v>2100</v>
      </c>
      <c r="C130" s="5">
        <f>IFERROR(__xludf.DUMMYFUNCTION("""COMPUTED_VALUE"""),2130.0)</f>
        <v>2130</v>
      </c>
      <c r="D130" s="5">
        <f>IFERROR(__xludf.DUMMYFUNCTION("""COMPUTED_VALUE"""),2060.0)</f>
        <v>2060</v>
      </c>
      <c r="E130" s="5">
        <f>IFERROR(__xludf.DUMMYFUNCTION("""COMPUTED_VALUE"""),2070.0)</f>
        <v>2070</v>
      </c>
      <c r="F130" s="5">
        <f>IFERROR(__xludf.DUMMYFUNCTION("""COMPUTED_VALUE"""),5.36324E7)</f>
        <v>53632400</v>
      </c>
      <c r="G130" s="5">
        <f t="shared" si="1"/>
        <v>70</v>
      </c>
    </row>
    <row r="131">
      <c r="A131" s="4">
        <f>IFERROR(__xludf.DUMMYFUNCTION("""COMPUTED_VALUE"""),44025.66666666667)</f>
        <v>44025.66667</v>
      </c>
      <c r="B131" s="5">
        <f>IFERROR(__xludf.DUMMYFUNCTION("""COMPUTED_VALUE"""),2080.0)</f>
        <v>2080</v>
      </c>
      <c r="C131" s="5">
        <f>IFERROR(__xludf.DUMMYFUNCTION("""COMPUTED_VALUE"""),2170.0)</f>
        <v>2170</v>
      </c>
      <c r="D131" s="5">
        <f>IFERROR(__xludf.DUMMYFUNCTION("""COMPUTED_VALUE"""),2070.0)</f>
        <v>2070</v>
      </c>
      <c r="E131" s="5">
        <f>IFERROR(__xludf.DUMMYFUNCTION("""COMPUTED_VALUE"""),2170.0)</f>
        <v>2170</v>
      </c>
      <c r="F131" s="5">
        <f>IFERROR(__xludf.DUMMYFUNCTION("""COMPUTED_VALUE"""),1.421374E8)</f>
        <v>142137400</v>
      </c>
      <c r="G131" s="5">
        <f t="shared" si="1"/>
        <v>100</v>
      </c>
    </row>
    <row r="132">
      <c r="A132" s="4">
        <f>IFERROR(__xludf.DUMMYFUNCTION("""COMPUTED_VALUE"""),44026.66666666667)</f>
        <v>44026.66667</v>
      </c>
      <c r="B132" s="5">
        <f>IFERROR(__xludf.DUMMYFUNCTION("""COMPUTED_VALUE"""),2180.0)</f>
        <v>2180</v>
      </c>
      <c r="C132" s="5">
        <f>IFERROR(__xludf.DUMMYFUNCTION("""COMPUTED_VALUE"""),2200.0)</f>
        <v>2200</v>
      </c>
      <c r="D132" s="5">
        <f>IFERROR(__xludf.DUMMYFUNCTION("""COMPUTED_VALUE"""),2140.0)</f>
        <v>2140</v>
      </c>
      <c r="E132" s="5">
        <f>IFERROR(__xludf.DUMMYFUNCTION("""COMPUTED_VALUE"""),2140.0)</f>
        <v>2140</v>
      </c>
      <c r="F132" s="5">
        <f>IFERROR(__xludf.DUMMYFUNCTION("""COMPUTED_VALUE"""),1.112901E8)</f>
        <v>111290100</v>
      </c>
      <c r="G132" s="5">
        <f t="shared" si="1"/>
        <v>60</v>
      </c>
    </row>
    <row r="133">
      <c r="A133" s="4">
        <f>IFERROR(__xludf.DUMMYFUNCTION("""COMPUTED_VALUE"""),44027.66666666667)</f>
        <v>44027.66667</v>
      </c>
      <c r="B133" s="5">
        <f>IFERROR(__xludf.DUMMYFUNCTION("""COMPUTED_VALUE"""),2190.0)</f>
        <v>2190</v>
      </c>
      <c r="C133" s="5">
        <f>IFERROR(__xludf.DUMMYFUNCTION("""COMPUTED_VALUE"""),2190.0)</f>
        <v>2190</v>
      </c>
      <c r="D133" s="5">
        <f>IFERROR(__xludf.DUMMYFUNCTION("""COMPUTED_VALUE"""),2130.0)</f>
        <v>2130</v>
      </c>
      <c r="E133" s="5">
        <f>IFERROR(__xludf.DUMMYFUNCTION("""COMPUTED_VALUE"""),2150.0)</f>
        <v>2150</v>
      </c>
      <c r="F133" s="5">
        <f>IFERROR(__xludf.DUMMYFUNCTION("""COMPUTED_VALUE"""),5.15342E7)</f>
        <v>51534200</v>
      </c>
      <c r="G133" s="5">
        <f t="shared" si="1"/>
        <v>60</v>
      </c>
    </row>
    <row r="134">
      <c r="A134" s="4">
        <f>IFERROR(__xludf.DUMMYFUNCTION("""COMPUTED_VALUE"""),44028.66666666667)</f>
        <v>44028.66667</v>
      </c>
      <c r="B134" s="5">
        <f>IFERROR(__xludf.DUMMYFUNCTION("""COMPUTED_VALUE"""),2170.0)</f>
        <v>2170</v>
      </c>
      <c r="C134" s="5">
        <f>IFERROR(__xludf.DUMMYFUNCTION("""COMPUTED_VALUE"""),2180.0)</f>
        <v>2180</v>
      </c>
      <c r="D134" s="5">
        <f>IFERROR(__xludf.DUMMYFUNCTION("""COMPUTED_VALUE"""),2120.0)</f>
        <v>2120</v>
      </c>
      <c r="E134" s="5">
        <f>IFERROR(__xludf.DUMMYFUNCTION("""COMPUTED_VALUE"""),2120.0)</f>
        <v>2120</v>
      </c>
      <c r="F134" s="5">
        <f>IFERROR(__xludf.DUMMYFUNCTION("""COMPUTED_VALUE"""),3.19923E7)</f>
        <v>31992300</v>
      </c>
      <c r="G134" s="5">
        <f t="shared" si="1"/>
        <v>60</v>
      </c>
    </row>
    <row r="135">
      <c r="A135" s="4">
        <f>IFERROR(__xludf.DUMMYFUNCTION("""COMPUTED_VALUE"""),44029.66666666667)</f>
        <v>44029.66667</v>
      </c>
      <c r="B135" s="5">
        <f>IFERROR(__xludf.DUMMYFUNCTION("""COMPUTED_VALUE"""),2140.0)</f>
        <v>2140</v>
      </c>
      <c r="C135" s="5">
        <f>IFERROR(__xludf.DUMMYFUNCTION("""COMPUTED_VALUE"""),2170.0)</f>
        <v>2170</v>
      </c>
      <c r="D135" s="5">
        <f>IFERROR(__xludf.DUMMYFUNCTION("""COMPUTED_VALUE"""),2110.0)</f>
        <v>2110</v>
      </c>
      <c r="E135" s="5">
        <f>IFERROR(__xludf.DUMMYFUNCTION("""COMPUTED_VALUE"""),2140.0)</f>
        <v>2140</v>
      </c>
      <c r="F135" s="5">
        <f>IFERROR(__xludf.DUMMYFUNCTION("""COMPUTED_VALUE"""),5.94417E7)</f>
        <v>59441700</v>
      </c>
      <c r="G135" s="5">
        <f t="shared" si="1"/>
        <v>60</v>
      </c>
    </row>
    <row r="136">
      <c r="A136" s="4">
        <f>IFERROR(__xludf.DUMMYFUNCTION("""COMPUTED_VALUE"""),44032.66666666667)</f>
        <v>44032.66667</v>
      </c>
      <c r="B136" s="5">
        <f>IFERROR(__xludf.DUMMYFUNCTION("""COMPUTED_VALUE"""),2160.0)</f>
        <v>2160</v>
      </c>
      <c r="C136" s="5">
        <f>IFERROR(__xludf.DUMMYFUNCTION("""COMPUTED_VALUE"""),2160.0)</f>
        <v>2160</v>
      </c>
      <c r="D136" s="5">
        <f>IFERROR(__xludf.DUMMYFUNCTION("""COMPUTED_VALUE"""),2080.0)</f>
        <v>2080</v>
      </c>
      <c r="E136" s="5">
        <f>IFERROR(__xludf.DUMMYFUNCTION("""COMPUTED_VALUE"""),2080.0)</f>
        <v>2080</v>
      </c>
      <c r="F136" s="5">
        <f>IFERROR(__xludf.DUMMYFUNCTION("""COMPUTED_VALUE"""),4.40684E7)</f>
        <v>44068400</v>
      </c>
      <c r="G136" s="5">
        <f t="shared" si="1"/>
        <v>80</v>
      </c>
    </row>
    <row r="137">
      <c r="A137" s="4">
        <f>IFERROR(__xludf.DUMMYFUNCTION("""COMPUTED_VALUE"""),44033.66666666667)</f>
        <v>44033.66667</v>
      </c>
      <c r="B137" s="5">
        <f>IFERROR(__xludf.DUMMYFUNCTION("""COMPUTED_VALUE"""),2080.0)</f>
        <v>2080</v>
      </c>
      <c r="C137" s="5">
        <f>IFERROR(__xludf.DUMMYFUNCTION("""COMPUTED_VALUE"""),2130.0)</f>
        <v>2130</v>
      </c>
      <c r="D137" s="5">
        <f>IFERROR(__xludf.DUMMYFUNCTION("""COMPUTED_VALUE"""),2080.0)</f>
        <v>2080</v>
      </c>
      <c r="E137" s="5">
        <f>IFERROR(__xludf.DUMMYFUNCTION("""COMPUTED_VALUE"""),2110.0)</f>
        <v>2110</v>
      </c>
      <c r="F137" s="5">
        <f>IFERROR(__xludf.DUMMYFUNCTION("""COMPUTED_VALUE"""),2.93962E7)</f>
        <v>29396200</v>
      </c>
      <c r="G137" s="5">
        <f t="shared" si="1"/>
        <v>50</v>
      </c>
    </row>
    <row r="138">
      <c r="A138" s="4">
        <f>IFERROR(__xludf.DUMMYFUNCTION("""COMPUTED_VALUE"""),44034.66666666667)</f>
        <v>44034.66667</v>
      </c>
      <c r="B138" s="5">
        <f>IFERROR(__xludf.DUMMYFUNCTION("""COMPUTED_VALUE"""),2130.0)</f>
        <v>2130</v>
      </c>
      <c r="C138" s="5">
        <f>IFERROR(__xludf.DUMMYFUNCTION("""COMPUTED_VALUE"""),2140.0)</f>
        <v>2140</v>
      </c>
      <c r="D138" s="5">
        <f>IFERROR(__xludf.DUMMYFUNCTION("""COMPUTED_VALUE"""),2080.0)</f>
        <v>2080</v>
      </c>
      <c r="E138" s="5">
        <f>IFERROR(__xludf.DUMMYFUNCTION("""COMPUTED_VALUE"""),2080.0)</f>
        <v>2080</v>
      </c>
      <c r="F138" s="5">
        <f>IFERROR(__xludf.DUMMYFUNCTION("""COMPUTED_VALUE"""),3.18786E7)</f>
        <v>31878600</v>
      </c>
      <c r="G138" s="5">
        <f t="shared" si="1"/>
        <v>60</v>
      </c>
    </row>
    <row r="139">
      <c r="A139" s="4">
        <f>IFERROR(__xludf.DUMMYFUNCTION("""COMPUTED_VALUE"""),44035.66666666667)</f>
        <v>44035.66667</v>
      </c>
      <c r="B139" s="5">
        <f>IFERROR(__xludf.DUMMYFUNCTION("""COMPUTED_VALUE"""),2110.0)</f>
        <v>2110</v>
      </c>
      <c r="C139" s="5">
        <f>IFERROR(__xludf.DUMMYFUNCTION("""COMPUTED_VALUE"""),2140.0)</f>
        <v>2140</v>
      </c>
      <c r="D139" s="5">
        <f>IFERROR(__xludf.DUMMYFUNCTION("""COMPUTED_VALUE"""),2090.0)</f>
        <v>2090</v>
      </c>
      <c r="E139" s="5">
        <f>IFERROR(__xludf.DUMMYFUNCTION("""COMPUTED_VALUE"""),2110.0)</f>
        <v>2110</v>
      </c>
      <c r="F139" s="5">
        <f>IFERROR(__xludf.DUMMYFUNCTION("""COMPUTED_VALUE"""),3.2352E7)</f>
        <v>32352000</v>
      </c>
      <c r="G139" s="5">
        <f t="shared" si="1"/>
        <v>60</v>
      </c>
    </row>
    <row r="140">
      <c r="A140" s="4">
        <f>IFERROR(__xludf.DUMMYFUNCTION("""COMPUTED_VALUE"""),44036.66666666667)</f>
        <v>44036.66667</v>
      </c>
      <c r="B140" s="5">
        <f>IFERROR(__xludf.DUMMYFUNCTION("""COMPUTED_VALUE"""),2100.0)</f>
        <v>2100</v>
      </c>
      <c r="C140" s="5">
        <f>IFERROR(__xludf.DUMMYFUNCTION("""COMPUTED_VALUE"""),2120.0)</f>
        <v>2120</v>
      </c>
      <c r="D140" s="5">
        <f>IFERROR(__xludf.DUMMYFUNCTION("""COMPUTED_VALUE"""),2070.0)</f>
        <v>2070</v>
      </c>
      <c r="E140" s="5">
        <f>IFERROR(__xludf.DUMMYFUNCTION("""COMPUTED_VALUE"""),2070.0)</f>
        <v>2070</v>
      </c>
      <c r="F140" s="5">
        <f>IFERROR(__xludf.DUMMYFUNCTION("""COMPUTED_VALUE"""),3.16999E7)</f>
        <v>31699900</v>
      </c>
      <c r="G140" s="5">
        <f t="shared" si="1"/>
        <v>50</v>
      </c>
    </row>
    <row r="141">
      <c r="A141" s="4">
        <f>IFERROR(__xludf.DUMMYFUNCTION("""COMPUTED_VALUE"""),44039.66666666667)</f>
        <v>44039.66667</v>
      </c>
      <c r="B141" s="5">
        <f>IFERROR(__xludf.DUMMYFUNCTION("""COMPUTED_VALUE"""),2080.0)</f>
        <v>2080</v>
      </c>
      <c r="C141" s="5">
        <f>IFERROR(__xludf.DUMMYFUNCTION("""COMPUTED_VALUE"""),2110.0)</f>
        <v>2110</v>
      </c>
      <c r="D141" s="5">
        <f>IFERROR(__xludf.DUMMYFUNCTION("""COMPUTED_VALUE"""),2070.0)</f>
        <v>2070</v>
      </c>
      <c r="E141" s="5">
        <f>IFERROR(__xludf.DUMMYFUNCTION("""COMPUTED_VALUE"""),2080.0)</f>
        <v>2080</v>
      </c>
      <c r="F141" s="5">
        <f>IFERROR(__xludf.DUMMYFUNCTION("""COMPUTED_VALUE"""),2.32222E7)</f>
        <v>23222200</v>
      </c>
      <c r="G141" s="5">
        <f t="shared" si="1"/>
        <v>40</v>
      </c>
    </row>
    <row r="142">
      <c r="A142" s="4">
        <f>IFERROR(__xludf.DUMMYFUNCTION("""COMPUTED_VALUE"""),44040.66666666667)</f>
        <v>44040.66667</v>
      </c>
      <c r="B142" s="5">
        <f>IFERROR(__xludf.DUMMYFUNCTION("""COMPUTED_VALUE"""),2090.0)</f>
        <v>2090</v>
      </c>
      <c r="C142" s="5">
        <f>IFERROR(__xludf.DUMMYFUNCTION("""COMPUTED_VALUE"""),2110.0)</f>
        <v>2110</v>
      </c>
      <c r="D142" s="5">
        <f>IFERROR(__xludf.DUMMYFUNCTION("""COMPUTED_VALUE"""),2050.0)</f>
        <v>2050</v>
      </c>
      <c r="E142" s="5">
        <f>IFERROR(__xludf.DUMMYFUNCTION("""COMPUTED_VALUE"""),2080.0)</f>
        <v>2080</v>
      </c>
      <c r="F142" s="5">
        <f>IFERROR(__xludf.DUMMYFUNCTION("""COMPUTED_VALUE"""),3.08565E7)</f>
        <v>30856500</v>
      </c>
      <c r="G142" s="5">
        <f t="shared" si="1"/>
        <v>60</v>
      </c>
    </row>
    <row r="143">
      <c r="A143" s="4">
        <f>IFERROR(__xludf.DUMMYFUNCTION("""COMPUTED_VALUE"""),44041.66666666667)</f>
        <v>44041.66667</v>
      </c>
      <c r="B143" s="5">
        <f>IFERROR(__xludf.DUMMYFUNCTION("""COMPUTED_VALUE"""),2080.0)</f>
        <v>2080</v>
      </c>
      <c r="C143" s="5">
        <f>IFERROR(__xludf.DUMMYFUNCTION("""COMPUTED_VALUE"""),2090.0)</f>
        <v>2090</v>
      </c>
      <c r="D143" s="5">
        <f>IFERROR(__xludf.DUMMYFUNCTION("""COMPUTED_VALUE"""),2050.0)</f>
        <v>2050</v>
      </c>
      <c r="E143" s="5">
        <f>IFERROR(__xludf.DUMMYFUNCTION("""COMPUTED_VALUE"""),2070.0)</f>
        <v>2070</v>
      </c>
      <c r="F143" s="5">
        <f>IFERROR(__xludf.DUMMYFUNCTION("""COMPUTED_VALUE"""),1.47138E7)</f>
        <v>14713800</v>
      </c>
      <c r="G143" s="5">
        <f t="shared" si="1"/>
        <v>40</v>
      </c>
    </row>
    <row r="144">
      <c r="A144" s="4">
        <f>IFERROR(__xludf.DUMMYFUNCTION("""COMPUTED_VALUE"""),44042.66666666667)</f>
        <v>44042.66667</v>
      </c>
      <c r="B144" s="5">
        <f>IFERROR(__xludf.DUMMYFUNCTION("""COMPUTED_VALUE"""),2080.0)</f>
        <v>2080</v>
      </c>
      <c r="C144" s="5">
        <f>IFERROR(__xludf.DUMMYFUNCTION("""COMPUTED_VALUE"""),2090.0)</f>
        <v>2090</v>
      </c>
      <c r="D144" s="5">
        <f>IFERROR(__xludf.DUMMYFUNCTION("""COMPUTED_VALUE"""),2020.0)</f>
        <v>2020</v>
      </c>
      <c r="E144" s="5">
        <f>IFERROR(__xludf.DUMMYFUNCTION("""COMPUTED_VALUE"""),2030.0)</f>
        <v>2030</v>
      </c>
      <c r="F144" s="5">
        <f>IFERROR(__xludf.DUMMYFUNCTION("""COMPUTED_VALUE"""),4.6692E7)</f>
        <v>46692000</v>
      </c>
      <c r="G144" s="5">
        <f t="shared" si="1"/>
        <v>70</v>
      </c>
    </row>
    <row r="145">
      <c r="A145" s="4">
        <f>IFERROR(__xludf.DUMMYFUNCTION("""COMPUTED_VALUE"""),44046.66666666667)</f>
        <v>44046.66667</v>
      </c>
      <c r="B145" s="5">
        <f>IFERROR(__xludf.DUMMYFUNCTION("""COMPUTED_VALUE"""),2030.0)</f>
        <v>2030</v>
      </c>
      <c r="C145" s="5">
        <f>IFERROR(__xludf.DUMMYFUNCTION("""COMPUTED_VALUE"""),2040.0)</f>
        <v>2040</v>
      </c>
      <c r="D145" s="5">
        <f>IFERROR(__xludf.DUMMYFUNCTION("""COMPUTED_VALUE"""),1895.0)</f>
        <v>1895</v>
      </c>
      <c r="E145" s="5">
        <f>IFERROR(__xludf.DUMMYFUNCTION("""COMPUTED_VALUE"""),1975.0)</f>
        <v>1975</v>
      </c>
      <c r="F145" s="5">
        <f>IFERROR(__xludf.DUMMYFUNCTION("""COMPUTED_VALUE"""),7.75299E7)</f>
        <v>77529900</v>
      </c>
      <c r="G145" s="5">
        <f t="shared" si="1"/>
        <v>145</v>
      </c>
    </row>
    <row r="146">
      <c r="A146" s="4">
        <f>IFERROR(__xludf.DUMMYFUNCTION("""COMPUTED_VALUE"""),44047.66666666667)</f>
        <v>44047.66667</v>
      </c>
      <c r="B146" s="5">
        <f>IFERROR(__xludf.DUMMYFUNCTION("""COMPUTED_VALUE"""),2000.0)</f>
        <v>2000</v>
      </c>
      <c r="C146" s="5">
        <f>IFERROR(__xludf.DUMMYFUNCTION("""COMPUTED_VALUE"""),2020.0)</f>
        <v>2020</v>
      </c>
      <c r="D146" s="5">
        <f>IFERROR(__xludf.DUMMYFUNCTION("""COMPUTED_VALUE"""),1975.0)</f>
        <v>1975</v>
      </c>
      <c r="E146" s="5">
        <f>IFERROR(__xludf.DUMMYFUNCTION("""COMPUTED_VALUE"""),2010.0)</f>
        <v>2010</v>
      </c>
      <c r="F146" s="5">
        <f>IFERROR(__xludf.DUMMYFUNCTION("""COMPUTED_VALUE"""),5.38677E7)</f>
        <v>53867700</v>
      </c>
      <c r="G146" s="5">
        <f t="shared" si="1"/>
        <v>45</v>
      </c>
    </row>
    <row r="147">
      <c r="A147" s="4">
        <f>IFERROR(__xludf.DUMMYFUNCTION("""COMPUTED_VALUE"""),44048.66666666667)</f>
        <v>44048.66667</v>
      </c>
      <c r="B147" s="5">
        <f>IFERROR(__xludf.DUMMYFUNCTION("""COMPUTED_VALUE"""),2010.0)</f>
        <v>2010</v>
      </c>
      <c r="C147" s="5">
        <f>IFERROR(__xludf.DUMMYFUNCTION("""COMPUTED_VALUE"""),2050.0)</f>
        <v>2050</v>
      </c>
      <c r="D147" s="5">
        <f>IFERROR(__xludf.DUMMYFUNCTION("""COMPUTED_VALUE"""),1995.0)</f>
        <v>1995</v>
      </c>
      <c r="E147" s="5">
        <f>IFERROR(__xludf.DUMMYFUNCTION("""COMPUTED_VALUE"""),2040.0)</f>
        <v>2040</v>
      </c>
      <c r="F147" s="5">
        <f>IFERROR(__xludf.DUMMYFUNCTION("""COMPUTED_VALUE"""),3.04821E7)</f>
        <v>30482100</v>
      </c>
      <c r="G147" s="5">
        <f t="shared" si="1"/>
        <v>55</v>
      </c>
    </row>
    <row r="148">
      <c r="A148" s="4">
        <f>IFERROR(__xludf.DUMMYFUNCTION("""COMPUTED_VALUE"""),44049.66666666667)</f>
        <v>44049.66667</v>
      </c>
      <c r="B148" s="5">
        <f>IFERROR(__xludf.DUMMYFUNCTION("""COMPUTED_VALUE"""),2060.0)</f>
        <v>2060</v>
      </c>
      <c r="C148" s="5">
        <f>IFERROR(__xludf.DUMMYFUNCTION("""COMPUTED_VALUE"""),2080.0)</f>
        <v>2080</v>
      </c>
      <c r="D148" s="5">
        <f>IFERROR(__xludf.DUMMYFUNCTION("""COMPUTED_VALUE"""),2040.0)</f>
        <v>2040</v>
      </c>
      <c r="E148" s="5">
        <f>IFERROR(__xludf.DUMMYFUNCTION("""COMPUTED_VALUE"""),2080.0)</f>
        <v>2080</v>
      </c>
      <c r="F148" s="5">
        <f>IFERROR(__xludf.DUMMYFUNCTION("""COMPUTED_VALUE"""),3.85859E7)</f>
        <v>38585900</v>
      </c>
      <c r="G148" s="5">
        <f t="shared" si="1"/>
        <v>40</v>
      </c>
    </row>
    <row r="149">
      <c r="A149" s="4">
        <f>IFERROR(__xludf.DUMMYFUNCTION("""COMPUTED_VALUE"""),44050.66666666667)</f>
        <v>44050.66667</v>
      </c>
      <c r="B149" s="5">
        <f>IFERROR(__xludf.DUMMYFUNCTION("""COMPUTED_VALUE"""),2090.0)</f>
        <v>2090</v>
      </c>
      <c r="C149" s="5">
        <f>IFERROR(__xludf.DUMMYFUNCTION("""COMPUTED_VALUE"""),2090.0)</f>
        <v>2090</v>
      </c>
      <c r="D149" s="5">
        <f>IFERROR(__xludf.DUMMYFUNCTION("""COMPUTED_VALUE"""),2020.0)</f>
        <v>2020</v>
      </c>
      <c r="E149" s="5">
        <f>IFERROR(__xludf.DUMMYFUNCTION("""COMPUTED_VALUE"""),2050.0)</f>
        <v>2050</v>
      </c>
      <c r="F149" s="5">
        <f>IFERROR(__xludf.DUMMYFUNCTION("""COMPUTED_VALUE"""),2.68173E7)</f>
        <v>26817300</v>
      </c>
      <c r="G149" s="5">
        <f t="shared" si="1"/>
        <v>70</v>
      </c>
    </row>
    <row r="150">
      <c r="A150" s="4">
        <f>IFERROR(__xludf.DUMMYFUNCTION("""COMPUTED_VALUE"""),44053.66666666667)</f>
        <v>44053.66667</v>
      </c>
      <c r="B150" s="5">
        <f>IFERROR(__xludf.DUMMYFUNCTION("""COMPUTED_VALUE"""),2050.0)</f>
        <v>2050</v>
      </c>
      <c r="C150" s="5">
        <f>IFERROR(__xludf.DUMMYFUNCTION("""COMPUTED_VALUE"""),2120.0)</f>
        <v>2120</v>
      </c>
      <c r="D150" s="5">
        <f>IFERROR(__xludf.DUMMYFUNCTION("""COMPUTED_VALUE"""),2040.0)</f>
        <v>2040</v>
      </c>
      <c r="E150" s="5">
        <f>IFERROR(__xludf.DUMMYFUNCTION("""COMPUTED_VALUE"""),2120.0)</f>
        <v>2120</v>
      </c>
      <c r="F150" s="5">
        <f>IFERROR(__xludf.DUMMYFUNCTION("""COMPUTED_VALUE"""),6.96971E7)</f>
        <v>69697100</v>
      </c>
      <c r="G150" s="5">
        <f t="shared" si="1"/>
        <v>80</v>
      </c>
    </row>
    <row r="151">
      <c r="A151" s="4">
        <f>IFERROR(__xludf.DUMMYFUNCTION("""COMPUTED_VALUE"""),44054.66666666667)</f>
        <v>44054.66667</v>
      </c>
      <c r="B151" s="5">
        <f>IFERROR(__xludf.DUMMYFUNCTION("""COMPUTED_VALUE"""),2130.0)</f>
        <v>2130</v>
      </c>
      <c r="C151" s="5">
        <f>IFERROR(__xludf.DUMMYFUNCTION("""COMPUTED_VALUE"""),2140.0)</f>
        <v>2140</v>
      </c>
      <c r="D151" s="5">
        <f>IFERROR(__xludf.DUMMYFUNCTION("""COMPUTED_VALUE"""),2080.0)</f>
        <v>2080</v>
      </c>
      <c r="E151" s="5">
        <f>IFERROR(__xludf.DUMMYFUNCTION("""COMPUTED_VALUE"""),2100.0)</f>
        <v>2100</v>
      </c>
      <c r="F151" s="5">
        <f>IFERROR(__xludf.DUMMYFUNCTION("""COMPUTED_VALUE"""),3.7992E7)</f>
        <v>37992000</v>
      </c>
      <c r="G151" s="5">
        <f t="shared" si="1"/>
        <v>60</v>
      </c>
    </row>
    <row r="152">
      <c r="A152" s="4">
        <f>IFERROR(__xludf.DUMMYFUNCTION("""COMPUTED_VALUE"""),44055.66666666667)</f>
        <v>44055.66667</v>
      </c>
      <c r="B152" s="5">
        <f>IFERROR(__xludf.DUMMYFUNCTION("""COMPUTED_VALUE"""),2100.0)</f>
        <v>2100</v>
      </c>
      <c r="C152" s="5">
        <f>IFERROR(__xludf.DUMMYFUNCTION("""COMPUTED_VALUE"""),2100.0)</f>
        <v>2100</v>
      </c>
      <c r="D152" s="5">
        <f>IFERROR(__xludf.DUMMYFUNCTION("""COMPUTED_VALUE"""),2050.0)</f>
        <v>2050</v>
      </c>
      <c r="E152" s="5">
        <f>IFERROR(__xludf.DUMMYFUNCTION("""COMPUTED_VALUE"""),2060.0)</f>
        <v>2060</v>
      </c>
      <c r="F152" s="5">
        <f>IFERROR(__xludf.DUMMYFUNCTION("""COMPUTED_VALUE"""),3.64755E7)</f>
        <v>36475500</v>
      </c>
      <c r="G152" s="5">
        <f t="shared" si="1"/>
        <v>50</v>
      </c>
    </row>
    <row r="153">
      <c r="A153" s="4">
        <f>IFERROR(__xludf.DUMMYFUNCTION("""COMPUTED_VALUE"""),44056.66666666667)</f>
        <v>44056.66667</v>
      </c>
      <c r="B153" s="5">
        <f>IFERROR(__xludf.DUMMYFUNCTION("""COMPUTED_VALUE"""),2050.0)</f>
        <v>2050</v>
      </c>
      <c r="C153" s="5">
        <f>IFERROR(__xludf.DUMMYFUNCTION("""COMPUTED_VALUE"""),2080.0)</f>
        <v>2080</v>
      </c>
      <c r="D153" s="5">
        <f>IFERROR(__xludf.DUMMYFUNCTION("""COMPUTED_VALUE"""),2050.0)</f>
        <v>2050</v>
      </c>
      <c r="E153" s="5">
        <f>IFERROR(__xludf.DUMMYFUNCTION("""COMPUTED_VALUE"""),2070.0)</f>
        <v>2070</v>
      </c>
      <c r="F153" s="5">
        <f>IFERROR(__xludf.DUMMYFUNCTION("""COMPUTED_VALUE"""),1.27735E7)</f>
        <v>12773500</v>
      </c>
      <c r="G153" s="5">
        <f t="shared" si="1"/>
        <v>30</v>
      </c>
    </row>
    <row r="154">
      <c r="A154" s="4">
        <f>IFERROR(__xludf.DUMMYFUNCTION("""COMPUTED_VALUE"""),44057.66666666667)</f>
        <v>44057.66667</v>
      </c>
      <c r="B154" s="5">
        <f>IFERROR(__xludf.DUMMYFUNCTION("""COMPUTED_VALUE"""),2080.0)</f>
        <v>2080</v>
      </c>
      <c r="C154" s="5">
        <f>IFERROR(__xludf.DUMMYFUNCTION("""COMPUTED_VALUE"""),2080.0)</f>
        <v>2080</v>
      </c>
      <c r="D154" s="5">
        <f>IFERROR(__xludf.DUMMYFUNCTION("""COMPUTED_VALUE"""),2050.0)</f>
        <v>2050</v>
      </c>
      <c r="E154" s="5">
        <f>IFERROR(__xludf.DUMMYFUNCTION("""COMPUTED_VALUE"""),2060.0)</f>
        <v>2060</v>
      </c>
      <c r="F154" s="5">
        <f>IFERROR(__xludf.DUMMYFUNCTION("""COMPUTED_VALUE"""),1.721E7)</f>
        <v>17210000</v>
      </c>
      <c r="G154" s="5">
        <f t="shared" si="1"/>
        <v>30</v>
      </c>
    </row>
    <row r="155">
      <c r="A155" s="4">
        <f>IFERROR(__xludf.DUMMYFUNCTION("""COMPUTED_VALUE"""),44061.66666666667)</f>
        <v>44061.66667</v>
      </c>
      <c r="B155" s="5">
        <f>IFERROR(__xludf.DUMMYFUNCTION("""COMPUTED_VALUE"""),2060.0)</f>
        <v>2060</v>
      </c>
      <c r="C155" s="5">
        <f>IFERROR(__xludf.DUMMYFUNCTION("""COMPUTED_VALUE"""),2080.0)</f>
        <v>2080</v>
      </c>
      <c r="D155" s="5">
        <f>IFERROR(__xludf.DUMMYFUNCTION("""COMPUTED_VALUE"""),2060.0)</f>
        <v>2060</v>
      </c>
      <c r="E155" s="5">
        <f>IFERROR(__xludf.DUMMYFUNCTION("""COMPUTED_VALUE"""),2080.0)</f>
        <v>2080</v>
      </c>
      <c r="F155" s="5">
        <f>IFERROR(__xludf.DUMMYFUNCTION("""COMPUTED_VALUE"""),1.99917E7)</f>
        <v>19991700</v>
      </c>
      <c r="G155" s="5">
        <f t="shared" si="1"/>
        <v>20</v>
      </c>
    </row>
    <row r="156">
      <c r="A156" s="4">
        <f>IFERROR(__xludf.DUMMYFUNCTION("""COMPUTED_VALUE"""),44062.66666666667)</f>
        <v>44062.66667</v>
      </c>
      <c r="B156" s="5">
        <f>IFERROR(__xludf.DUMMYFUNCTION("""COMPUTED_VALUE"""),2080.0)</f>
        <v>2080</v>
      </c>
      <c r="C156" s="5">
        <f>IFERROR(__xludf.DUMMYFUNCTION("""COMPUTED_VALUE"""),2130.0)</f>
        <v>2130</v>
      </c>
      <c r="D156" s="5">
        <f>IFERROR(__xludf.DUMMYFUNCTION("""COMPUTED_VALUE"""),2070.0)</f>
        <v>2070</v>
      </c>
      <c r="E156" s="5">
        <f>IFERROR(__xludf.DUMMYFUNCTION("""COMPUTED_VALUE"""),2110.0)</f>
        <v>2110</v>
      </c>
      <c r="F156" s="5">
        <f>IFERROR(__xludf.DUMMYFUNCTION("""COMPUTED_VALUE"""),5.57541E7)</f>
        <v>55754100</v>
      </c>
      <c r="G156" s="5">
        <f t="shared" si="1"/>
        <v>60</v>
      </c>
    </row>
    <row r="157">
      <c r="A157" s="4">
        <f>IFERROR(__xludf.DUMMYFUNCTION("""COMPUTED_VALUE"""),44067.66666666667)</f>
        <v>44067.66667</v>
      </c>
      <c r="B157" s="5">
        <f>IFERROR(__xludf.DUMMYFUNCTION("""COMPUTED_VALUE"""),2090.0)</f>
        <v>2090</v>
      </c>
      <c r="C157" s="5">
        <f>IFERROR(__xludf.DUMMYFUNCTION("""COMPUTED_VALUE"""),2120.0)</f>
        <v>2120</v>
      </c>
      <c r="D157" s="5">
        <f>IFERROR(__xludf.DUMMYFUNCTION("""COMPUTED_VALUE"""),2070.0)</f>
        <v>2070</v>
      </c>
      <c r="E157" s="5">
        <f>IFERROR(__xludf.DUMMYFUNCTION("""COMPUTED_VALUE"""),2100.0)</f>
        <v>2100</v>
      </c>
      <c r="F157" s="5">
        <f>IFERROR(__xludf.DUMMYFUNCTION("""COMPUTED_VALUE"""),2.64817E7)</f>
        <v>26481700</v>
      </c>
      <c r="G157" s="5">
        <f t="shared" si="1"/>
        <v>50</v>
      </c>
    </row>
    <row r="158">
      <c r="A158" s="4">
        <f>IFERROR(__xludf.DUMMYFUNCTION("""COMPUTED_VALUE"""),44068.66666666667)</f>
        <v>44068.66667</v>
      </c>
      <c r="B158" s="5">
        <f>IFERROR(__xludf.DUMMYFUNCTION("""COMPUTED_VALUE"""),2100.0)</f>
        <v>2100</v>
      </c>
      <c r="C158" s="5">
        <f>IFERROR(__xludf.DUMMYFUNCTION("""COMPUTED_VALUE"""),2120.0)</f>
        <v>2120</v>
      </c>
      <c r="D158" s="5">
        <f>IFERROR(__xludf.DUMMYFUNCTION("""COMPUTED_VALUE"""),2100.0)</f>
        <v>2100</v>
      </c>
      <c r="E158" s="5">
        <f>IFERROR(__xludf.DUMMYFUNCTION("""COMPUTED_VALUE"""),2120.0)</f>
        <v>2120</v>
      </c>
      <c r="F158" s="5">
        <f>IFERROR(__xludf.DUMMYFUNCTION("""COMPUTED_VALUE"""),2.68169E7)</f>
        <v>26816900</v>
      </c>
      <c r="G158" s="5">
        <f t="shared" si="1"/>
        <v>20</v>
      </c>
    </row>
    <row r="159">
      <c r="A159" s="4">
        <f>IFERROR(__xludf.DUMMYFUNCTION("""COMPUTED_VALUE"""),44069.66666666667)</f>
        <v>44069.66667</v>
      </c>
      <c r="B159" s="5">
        <f>IFERROR(__xludf.DUMMYFUNCTION("""COMPUTED_VALUE"""),2130.0)</f>
        <v>2130</v>
      </c>
      <c r="C159" s="5">
        <f>IFERROR(__xludf.DUMMYFUNCTION("""COMPUTED_VALUE"""),2170.0)</f>
        <v>2170</v>
      </c>
      <c r="D159" s="5">
        <f>IFERROR(__xludf.DUMMYFUNCTION("""COMPUTED_VALUE"""),2100.0)</f>
        <v>2100</v>
      </c>
      <c r="E159" s="5">
        <f>IFERROR(__xludf.DUMMYFUNCTION("""COMPUTED_VALUE"""),2130.0)</f>
        <v>2130</v>
      </c>
      <c r="F159" s="5">
        <f>IFERROR(__xludf.DUMMYFUNCTION("""COMPUTED_VALUE"""),4.59448E7)</f>
        <v>45944800</v>
      </c>
      <c r="G159" s="5">
        <f t="shared" si="1"/>
        <v>70</v>
      </c>
    </row>
    <row r="160">
      <c r="A160" s="4">
        <f>IFERROR(__xludf.DUMMYFUNCTION("""COMPUTED_VALUE"""),44070.66666666667)</f>
        <v>44070.66667</v>
      </c>
      <c r="B160" s="5">
        <f>IFERROR(__xludf.DUMMYFUNCTION("""COMPUTED_VALUE"""),2140.0)</f>
        <v>2140</v>
      </c>
      <c r="C160" s="5">
        <f>IFERROR(__xludf.DUMMYFUNCTION("""COMPUTED_VALUE"""),2160.0)</f>
        <v>2160</v>
      </c>
      <c r="D160" s="5">
        <f>IFERROR(__xludf.DUMMYFUNCTION("""COMPUTED_VALUE"""),2110.0)</f>
        <v>2110</v>
      </c>
      <c r="E160" s="5">
        <f>IFERROR(__xludf.DUMMYFUNCTION("""COMPUTED_VALUE"""),2130.0)</f>
        <v>2130</v>
      </c>
      <c r="F160" s="5">
        <f>IFERROR(__xludf.DUMMYFUNCTION("""COMPUTED_VALUE"""),2.63759E7)</f>
        <v>26375900</v>
      </c>
      <c r="G160" s="5">
        <f t="shared" si="1"/>
        <v>50</v>
      </c>
    </row>
    <row r="161">
      <c r="A161" s="4">
        <f>IFERROR(__xludf.DUMMYFUNCTION("""COMPUTED_VALUE"""),44071.66666666667)</f>
        <v>44071.66667</v>
      </c>
      <c r="B161" s="5">
        <f>IFERROR(__xludf.DUMMYFUNCTION("""COMPUTED_VALUE"""),2130.0)</f>
        <v>2130</v>
      </c>
      <c r="C161" s="5">
        <f>IFERROR(__xludf.DUMMYFUNCTION("""COMPUTED_VALUE"""),2160.0)</f>
        <v>2160</v>
      </c>
      <c r="D161" s="5">
        <f>IFERROR(__xludf.DUMMYFUNCTION("""COMPUTED_VALUE"""),2120.0)</f>
        <v>2120</v>
      </c>
      <c r="E161" s="5">
        <f>IFERROR(__xludf.DUMMYFUNCTION("""COMPUTED_VALUE"""),2130.0)</f>
        <v>2130</v>
      </c>
      <c r="F161" s="5">
        <f>IFERROR(__xludf.DUMMYFUNCTION("""COMPUTED_VALUE"""),2.6919E7)</f>
        <v>26919000</v>
      </c>
      <c r="G161" s="5">
        <f t="shared" si="1"/>
        <v>40</v>
      </c>
    </row>
    <row r="162">
      <c r="A162" s="4">
        <f>IFERROR(__xludf.DUMMYFUNCTION("""COMPUTED_VALUE"""),44074.66666666667)</f>
        <v>44074.66667</v>
      </c>
      <c r="B162" s="5">
        <f>IFERROR(__xludf.DUMMYFUNCTION("""COMPUTED_VALUE"""),2150.0)</f>
        <v>2150</v>
      </c>
      <c r="C162" s="5">
        <f>IFERROR(__xludf.DUMMYFUNCTION("""COMPUTED_VALUE"""),2150.0)</f>
        <v>2150</v>
      </c>
      <c r="D162" s="5">
        <f>IFERROR(__xludf.DUMMYFUNCTION("""COMPUTED_VALUE"""),2030.0)</f>
        <v>2030</v>
      </c>
      <c r="E162" s="5">
        <f>IFERROR(__xludf.DUMMYFUNCTION("""COMPUTED_VALUE"""),2040.0)</f>
        <v>2040</v>
      </c>
      <c r="F162" s="5">
        <f>IFERROR(__xludf.DUMMYFUNCTION("""COMPUTED_VALUE"""),6.30358E7)</f>
        <v>63035800</v>
      </c>
      <c r="G162" s="5">
        <f t="shared" si="1"/>
        <v>120</v>
      </c>
    </row>
    <row r="163">
      <c r="A163" s="4">
        <f>IFERROR(__xludf.DUMMYFUNCTION("""COMPUTED_VALUE"""),44075.66666666667)</f>
        <v>44075.66667</v>
      </c>
      <c r="B163" s="5">
        <f>IFERROR(__xludf.DUMMYFUNCTION("""COMPUTED_VALUE"""),2050.0)</f>
        <v>2050</v>
      </c>
      <c r="C163" s="5">
        <f>IFERROR(__xludf.DUMMYFUNCTION("""COMPUTED_VALUE"""),2110.0)</f>
        <v>2110</v>
      </c>
      <c r="D163" s="5">
        <f>IFERROR(__xludf.DUMMYFUNCTION("""COMPUTED_VALUE"""),2020.0)</f>
        <v>2020</v>
      </c>
      <c r="E163" s="5">
        <f>IFERROR(__xludf.DUMMYFUNCTION("""COMPUTED_VALUE"""),2100.0)</f>
        <v>2100</v>
      </c>
      <c r="F163" s="5">
        <f>IFERROR(__xludf.DUMMYFUNCTION("""COMPUTED_VALUE"""),3.46636E7)</f>
        <v>34663600</v>
      </c>
      <c r="G163" s="5">
        <f t="shared" si="1"/>
        <v>90</v>
      </c>
    </row>
    <row r="164">
      <c r="A164" s="4">
        <f>IFERROR(__xludf.DUMMYFUNCTION("""COMPUTED_VALUE"""),44076.66666666667)</f>
        <v>44076.66667</v>
      </c>
      <c r="B164" s="5">
        <f>IFERROR(__xludf.DUMMYFUNCTION("""COMPUTED_VALUE"""),2120.0)</f>
        <v>2120</v>
      </c>
      <c r="C164" s="5">
        <f>IFERROR(__xludf.DUMMYFUNCTION("""COMPUTED_VALUE"""),2160.0)</f>
        <v>2160</v>
      </c>
      <c r="D164" s="5">
        <f>IFERROR(__xludf.DUMMYFUNCTION("""COMPUTED_VALUE"""),2090.0)</f>
        <v>2090</v>
      </c>
      <c r="E164" s="5">
        <f>IFERROR(__xludf.DUMMYFUNCTION("""COMPUTED_VALUE"""),2150.0)</f>
        <v>2150</v>
      </c>
      <c r="F164" s="5">
        <f>IFERROR(__xludf.DUMMYFUNCTION("""COMPUTED_VALUE"""),4.33675E7)</f>
        <v>43367500</v>
      </c>
      <c r="G164" s="5">
        <f t="shared" si="1"/>
        <v>70</v>
      </c>
    </row>
    <row r="165">
      <c r="A165" s="4">
        <f>IFERROR(__xludf.DUMMYFUNCTION("""COMPUTED_VALUE"""),44077.66666666667)</f>
        <v>44077.66667</v>
      </c>
      <c r="B165" s="5">
        <f>IFERROR(__xludf.DUMMYFUNCTION("""COMPUTED_VALUE"""),2160.0)</f>
        <v>2160</v>
      </c>
      <c r="C165" s="5">
        <f>IFERROR(__xludf.DUMMYFUNCTION("""COMPUTED_VALUE"""),2170.0)</f>
        <v>2170</v>
      </c>
      <c r="D165" s="5">
        <f>IFERROR(__xludf.DUMMYFUNCTION("""COMPUTED_VALUE"""),2120.0)</f>
        <v>2120</v>
      </c>
      <c r="E165" s="5">
        <f>IFERROR(__xludf.DUMMYFUNCTION("""COMPUTED_VALUE"""),2140.0)</f>
        <v>2140</v>
      </c>
      <c r="F165" s="5">
        <f>IFERROR(__xludf.DUMMYFUNCTION("""COMPUTED_VALUE"""),2.53526E7)</f>
        <v>25352600</v>
      </c>
      <c r="G165" s="5">
        <f t="shared" si="1"/>
        <v>50</v>
      </c>
    </row>
    <row r="166">
      <c r="A166" s="4">
        <f>IFERROR(__xludf.DUMMYFUNCTION("""COMPUTED_VALUE"""),44078.66666666667)</f>
        <v>44078.66667</v>
      </c>
      <c r="B166" s="5">
        <f>IFERROR(__xludf.DUMMYFUNCTION("""COMPUTED_VALUE"""),2130.0)</f>
        <v>2130</v>
      </c>
      <c r="C166" s="5">
        <f>IFERROR(__xludf.DUMMYFUNCTION("""COMPUTED_VALUE"""),2130.0)</f>
        <v>2130</v>
      </c>
      <c r="D166" s="5">
        <f>IFERROR(__xludf.DUMMYFUNCTION("""COMPUTED_VALUE"""),2070.0)</f>
        <v>2070</v>
      </c>
      <c r="E166" s="5">
        <f>IFERROR(__xludf.DUMMYFUNCTION("""COMPUTED_VALUE"""),2100.0)</f>
        <v>2100</v>
      </c>
      <c r="F166" s="5">
        <f>IFERROR(__xludf.DUMMYFUNCTION("""COMPUTED_VALUE"""),1.8682E7)</f>
        <v>18682000</v>
      </c>
      <c r="G166" s="5">
        <f t="shared" si="1"/>
        <v>70</v>
      </c>
    </row>
    <row r="167">
      <c r="A167" s="4">
        <f>IFERROR(__xludf.DUMMYFUNCTION("""COMPUTED_VALUE"""),44081.66666666667)</f>
        <v>44081.66667</v>
      </c>
      <c r="B167" s="5">
        <f>IFERROR(__xludf.DUMMYFUNCTION("""COMPUTED_VALUE"""),2100.0)</f>
        <v>2100</v>
      </c>
      <c r="C167" s="5">
        <f>IFERROR(__xludf.DUMMYFUNCTION("""COMPUTED_VALUE"""),2130.0)</f>
        <v>2130</v>
      </c>
      <c r="D167" s="5">
        <f>IFERROR(__xludf.DUMMYFUNCTION("""COMPUTED_VALUE"""),2070.0)</f>
        <v>2070</v>
      </c>
      <c r="E167" s="5">
        <f>IFERROR(__xludf.DUMMYFUNCTION("""COMPUTED_VALUE"""),2110.0)</f>
        <v>2110</v>
      </c>
      <c r="F167" s="5">
        <f>IFERROR(__xludf.DUMMYFUNCTION("""COMPUTED_VALUE"""),1.71786E7)</f>
        <v>17178600</v>
      </c>
      <c r="G167" s="5">
        <f t="shared" si="1"/>
        <v>60</v>
      </c>
    </row>
    <row r="168">
      <c r="A168" s="4">
        <f>IFERROR(__xludf.DUMMYFUNCTION("""COMPUTED_VALUE"""),44082.66666666667)</f>
        <v>44082.66667</v>
      </c>
      <c r="B168" s="5">
        <f>IFERROR(__xludf.DUMMYFUNCTION("""COMPUTED_VALUE"""),2110.0)</f>
        <v>2110</v>
      </c>
      <c r="C168" s="5">
        <f>IFERROR(__xludf.DUMMYFUNCTION("""COMPUTED_VALUE"""),2130.0)</f>
        <v>2130</v>
      </c>
      <c r="D168" s="5">
        <f>IFERROR(__xludf.DUMMYFUNCTION("""COMPUTED_VALUE"""),2080.0)</f>
        <v>2080</v>
      </c>
      <c r="E168" s="5">
        <f>IFERROR(__xludf.DUMMYFUNCTION("""COMPUTED_VALUE"""),2080.0)</f>
        <v>2080</v>
      </c>
      <c r="F168" s="5">
        <f>IFERROR(__xludf.DUMMYFUNCTION("""COMPUTED_VALUE"""),1.90344E7)</f>
        <v>19034400</v>
      </c>
      <c r="G168" s="5">
        <f t="shared" si="1"/>
        <v>50</v>
      </c>
    </row>
    <row r="169">
      <c r="A169" s="4">
        <f>IFERROR(__xludf.DUMMYFUNCTION("""COMPUTED_VALUE"""),44083.66666666667)</f>
        <v>44083.66667</v>
      </c>
      <c r="B169" s="5">
        <f>IFERROR(__xludf.DUMMYFUNCTION("""COMPUTED_VALUE"""),2060.0)</f>
        <v>2060</v>
      </c>
      <c r="C169" s="5">
        <f>IFERROR(__xludf.DUMMYFUNCTION("""COMPUTED_VALUE"""),2080.0)</f>
        <v>2080</v>
      </c>
      <c r="D169" s="5">
        <f>IFERROR(__xludf.DUMMYFUNCTION("""COMPUTED_VALUE"""),2020.0)</f>
        <v>2020</v>
      </c>
      <c r="E169" s="5">
        <f>IFERROR(__xludf.DUMMYFUNCTION("""COMPUTED_VALUE"""),2040.0)</f>
        <v>2040</v>
      </c>
      <c r="F169" s="5">
        <f>IFERROR(__xludf.DUMMYFUNCTION("""COMPUTED_VALUE"""),2.72896E7)</f>
        <v>27289600</v>
      </c>
      <c r="G169" s="5">
        <f t="shared" si="1"/>
        <v>60</v>
      </c>
    </row>
    <row r="170">
      <c r="A170" s="4">
        <f>IFERROR(__xludf.DUMMYFUNCTION("""COMPUTED_VALUE"""),44084.66666666667)</f>
        <v>44084.66667</v>
      </c>
      <c r="B170" s="5">
        <f>IFERROR(__xludf.DUMMYFUNCTION("""COMPUTED_VALUE"""),2020.0)</f>
        <v>2020</v>
      </c>
      <c r="C170" s="5">
        <f>IFERROR(__xludf.DUMMYFUNCTION("""COMPUTED_VALUE"""),2020.0)</f>
        <v>2020</v>
      </c>
      <c r="D170" s="5">
        <f>IFERROR(__xludf.DUMMYFUNCTION("""COMPUTED_VALUE"""),1900.0)</f>
        <v>1900</v>
      </c>
      <c r="E170" s="5">
        <f>IFERROR(__xludf.DUMMYFUNCTION("""COMPUTED_VALUE"""),1900.0)</f>
        <v>1900</v>
      </c>
      <c r="F170" s="5">
        <f>IFERROR(__xludf.DUMMYFUNCTION("""COMPUTED_VALUE"""),6.82732E7)</f>
        <v>68273200</v>
      </c>
      <c r="G170" s="5">
        <f t="shared" si="1"/>
        <v>140</v>
      </c>
    </row>
    <row r="171">
      <c r="A171" s="4">
        <f>IFERROR(__xludf.DUMMYFUNCTION("""COMPUTED_VALUE"""),44085.66666666667)</f>
        <v>44085.66667</v>
      </c>
      <c r="B171" s="5">
        <f>IFERROR(__xludf.DUMMYFUNCTION("""COMPUTED_VALUE"""),1845.0)</f>
        <v>1845</v>
      </c>
      <c r="C171" s="5">
        <f>IFERROR(__xludf.DUMMYFUNCTION("""COMPUTED_VALUE"""),1975.0)</f>
        <v>1975</v>
      </c>
      <c r="D171" s="5">
        <f>IFERROR(__xludf.DUMMYFUNCTION("""COMPUTED_VALUE"""),1810.0)</f>
        <v>1810</v>
      </c>
      <c r="E171" s="5">
        <f>IFERROR(__xludf.DUMMYFUNCTION("""COMPUTED_VALUE"""),1970.0)</f>
        <v>1970</v>
      </c>
      <c r="F171" s="5">
        <f>IFERROR(__xludf.DUMMYFUNCTION("""COMPUTED_VALUE"""),4.67518E7)</f>
        <v>46751800</v>
      </c>
      <c r="G171" s="5">
        <f t="shared" si="1"/>
        <v>165</v>
      </c>
    </row>
    <row r="172">
      <c r="A172" s="4">
        <f>IFERROR(__xludf.DUMMYFUNCTION("""COMPUTED_VALUE"""),44088.66666666667)</f>
        <v>44088.66667</v>
      </c>
      <c r="B172" s="5">
        <f>IFERROR(__xludf.DUMMYFUNCTION("""COMPUTED_VALUE"""),2000.0)</f>
        <v>2000</v>
      </c>
      <c r="C172" s="5">
        <f>IFERROR(__xludf.DUMMYFUNCTION("""COMPUTED_VALUE"""),2050.0)</f>
        <v>2050</v>
      </c>
      <c r="D172" s="5">
        <f>IFERROR(__xludf.DUMMYFUNCTION("""COMPUTED_VALUE"""),2000.0)</f>
        <v>2000</v>
      </c>
      <c r="E172" s="5">
        <f>IFERROR(__xludf.DUMMYFUNCTION("""COMPUTED_VALUE"""),2050.0)</f>
        <v>2050</v>
      </c>
      <c r="F172" s="5">
        <f>IFERROR(__xludf.DUMMYFUNCTION("""COMPUTED_VALUE"""),2.6702E7)</f>
        <v>26702000</v>
      </c>
      <c r="G172" s="5">
        <f t="shared" si="1"/>
        <v>80</v>
      </c>
    </row>
    <row r="173">
      <c r="A173" s="4">
        <f>IFERROR(__xludf.DUMMYFUNCTION("""COMPUTED_VALUE"""),44089.66666666667)</f>
        <v>44089.66667</v>
      </c>
      <c r="B173" s="5">
        <f>IFERROR(__xludf.DUMMYFUNCTION("""COMPUTED_VALUE"""),2070.0)</f>
        <v>2070</v>
      </c>
      <c r="C173" s="5">
        <f>IFERROR(__xludf.DUMMYFUNCTION("""COMPUTED_VALUE"""),2070.0)</f>
        <v>2070</v>
      </c>
      <c r="D173" s="5">
        <f>IFERROR(__xludf.DUMMYFUNCTION("""COMPUTED_VALUE"""),2030.0)</f>
        <v>2030</v>
      </c>
      <c r="E173" s="5">
        <f>IFERROR(__xludf.DUMMYFUNCTION("""COMPUTED_VALUE"""),2050.0)</f>
        <v>2050</v>
      </c>
      <c r="F173" s="5">
        <f>IFERROR(__xludf.DUMMYFUNCTION("""COMPUTED_VALUE"""),2.87523E7)</f>
        <v>28752300</v>
      </c>
      <c r="G173" s="5">
        <f t="shared" si="1"/>
        <v>40</v>
      </c>
    </row>
    <row r="174">
      <c r="A174" s="4">
        <f>IFERROR(__xludf.DUMMYFUNCTION("""COMPUTED_VALUE"""),44090.66666666667)</f>
        <v>44090.66667</v>
      </c>
      <c r="B174" s="5">
        <f>IFERROR(__xludf.DUMMYFUNCTION("""COMPUTED_VALUE"""),2060.0)</f>
        <v>2060</v>
      </c>
      <c r="C174" s="5">
        <f>IFERROR(__xludf.DUMMYFUNCTION("""COMPUTED_VALUE"""),2070.0)</f>
        <v>2070</v>
      </c>
      <c r="D174" s="5">
        <f>IFERROR(__xludf.DUMMYFUNCTION("""COMPUTED_VALUE"""),2030.0)</f>
        <v>2030</v>
      </c>
      <c r="E174" s="5">
        <f>IFERROR(__xludf.DUMMYFUNCTION("""COMPUTED_VALUE"""),2040.0)</f>
        <v>2040</v>
      </c>
      <c r="F174" s="5">
        <f>IFERROR(__xludf.DUMMYFUNCTION("""COMPUTED_VALUE"""),1.38593E7)</f>
        <v>13859300</v>
      </c>
      <c r="G174" s="5">
        <f t="shared" si="1"/>
        <v>40</v>
      </c>
    </row>
    <row r="175">
      <c r="A175" s="4">
        <f>IFERROR(__xludf.DUMMYFUNCTION("""COMPUTED_VALUE"""),44091.66666666667)</f>
        <v>44091.66667</v>
      </c>
      <c r="B175" s="5">
        <f>IFERROR(__xludf.DUMMYFUNCTION("""COMPUTED_VALUE"""),2060.0)</f>
        <v>2060</v>
      </c>
      <c r="C175" s="5">
        <f>IFERROR(__xludf.DUMMYFUNCTION("""COMPUTED_VALUE"""),2070.0)</f>
        <v>2070</v>
      </c>
      <c r="D175" s="5">
        <f>IFERROR(__xludf.DUMMYFUNCTION("""COMPUTED_VALUE"""),2000.0)</f>
        <v>2000</v>
      </c>
      <c r="E175" s="5">
        <f>IFERROR(__xludf.DUMMYFUNCTION("""COMPUTED_VALUE"""),2010.0)</f>
        <v>2010</v>
      </c>
      <c r="F175" s="5">
        <f>IFERROR(__xludf.DUMMYFUNCTION("""COMPUTED_VALUE"""),1.58579E7)</f>
        <v>15857900</v>
      </c>
      <c r="G175" s="5">
        <f t="shared" si="1"/>
        <v>70</v>
      </c>
    </row>
    <row r="176">
      <c r="A176" s="4">
        <f>IFERROR(__xludf.DUMMYFUNCTION("""COMPUTED_VALUE"""),44092.66666666667)</f>
        <v>44092.66667</v>
      </c>
      <c r="B176" s="5">
        <f>IFERROR(__xludf.DUMMYFUNCTION("""COMPUTED_VALUE"""),2020.0)</f>
        <v>2020</v>
      </c>
      <c r="C176" s="5">
        <f>IFERROR(__xludf.DUMMYFUNCTION("""COMPUTED_VALUE"""),2040.0)</f>
        <v>2040</v>
      </c>
      <c r="D176" s="5">
        <f>IFERROR(__xludf.DUMMYFUNCTION("""COMPUTED_VALUE"""),2000.0)</f>
        <v>2000</v>
      </c>
      <c r="E176" s="5">
        <f>IFERROR(__xludf.DUMMYFUNCTION("""COMPUTED_VALUE"""),2000.0)</f>
        <v>2000</v>
      </c>
      <c r="F176" s="5">
        <f>IFERROR(__xludf.DUMMYFUNCTION("""COMPUTED_VALUE"""),1.86947E7)</f>
        <v>18694700</v>
      </c>
      <c r="G176" s="5">
        <f t="shared" si="1"/>
        <v>40</v>
      </c>
    </row>
    <row r="177">
      <c r="A177" s="4">
        <f>IFERROR(__xludf.DUMMYFUNCTION("""COMPUTED_VALUE"""),44095.66666666667)</f>
        <v>44095.66667</v>
      </c>
      <c r="B177" s="5">
        <f>IFERROR(__xludf.DUMMYFUNCTION("""COMPUTED_VALUE"""),2020.0)</f>
        <v>2020</v>
      </c>
      <c r="C177" s="5">
        <f>IFERROR(__xludf.DUMMYFUNCTION("""COMPUTED_VALUE"""),2040.0)</f>
        <v>2040</v>
      </c>
      <c r="D177" s="5">
        <f>IFERROR(__xludf.DUMMYFUNCTION("""COMPUTED_VALUE"""),2000.0)</f>
        <v>2000</v>
      </c>
      <c r="E177" s="5">
        <f>IFERROR(__xludf.DUMMYFUNCTION("""COMPUTED_VALUE"""),2000.0)</f>
        <v>2000</v>
      </c>
      <c r="F177" s="5">
        <f>IFERROR(__xludf.DUMMYFUNCTION("""COMPUTED_VALUE"""),1.54199E7)</f>
        <v>15419900</v>
      </c>
      <c r="G177" s="5">
        <f t="shared" si="1"/>
        <v>40</v>
      </c>
    </row>
    <row r="178">
      <c r="A178" s="4">
        <f>IFERROR(__xludf.DUMMYFUNCTION("""COMPUTED_VALUE"""),44096.66666666667)</f>
        <v>44096.66667</v>
      </c>
      <c r="B178" s="5">
        <f>IFERROR(__xludf.DUMMYFUNCTION("""COMPUTED_VALUE"""),1990.0)</f>
        <v>1990</v>
      </c>
      <c r="C178" s="5">
        <f>IFERROR(__xludf.DUMMYFUNCTION("""COMPUTED_VALUE"""),2010.0)</f>
        <v>2010</v>
      </c>
      <c r="D178" s="5">
        <f>IFERROR(__xludf.DUMMYFUNCTION("""COMPUTED_VALUE"""),1975.0)</f>
        <v>1975</v>
      </c>
      <c r="E178" s="5">
        <f>IFERROR(__xludf.DUMMYFUNCTION("""COMPUTED_VALUE"""),2000.0)</f>
        <v>2000</v>
      </c>
      <c r="F178" s="5">
        <f>IFERROR(__xludf.DUMMYFUNCTION("""COMPUTED_VALUE"""),1.72439E7)</f>
        <v>17243900</v>
      </c>
      <c r="G178" s="5">
        <f t="shared" si="1"/>
        <v>35</v>
      </c>
    </row>
    <row r="179">
      <c r="A179" s="4">
        <f>IFERROR(__xludf.DUMMYFUNCTION("""COMPUTED_VALUE"""),44097.66666666667)</f>
        <v>44097.66667</v>
      </c>
      <c r="B179" s="5">
        <f>IFERROR(__xludf.DUMMYFUNCTION("""COMPUTED_VALUE"""),2010.0)</f>
        <v>2010</v>
      </c>
      <c r="C179" s="5">
        <f>IFERROR(__xludf.DUMMYFUNCTION("""COMPUTED_VALUE"""),2030.0)</f>
        <v>2030</v>
      </c>
      <c r="D179" s="5">
        <f>IFERROR(__xludf.DUMMYFUNCTION("""COMPUTED_VALUE"""),1970.0)</f>
        <v>1970</v>
      </c>
      <c r="E179" s="5">
        <f>IFERROR(__xludf.DUMMYFUNCTION("""COMPUTED_VALUE"""),1980.0)</f>
        <v>1980</v>
      </c>
      <c r="F179" s="5">
        <f>IFERROR(__xludf.DUMMYFUNCTION("""COMPUTED_VALUE"""),1.28755E7)</f>
        <v>12875500</v>
      </c>
      <c r="G179" s="5">
        <f t="shared" si="1"/>
        <v>60</v>
      </c>
    </row>
    <row r="180">
      <c r="A180" s="4">
        <f>IFERROR(__xludf.DUMMYFUNCTION("""COMPUTED_VALUE"""),44098.66666666667)</f>
        <v>44098.66667</v>
      </c>
      <c r="B180" s="5">
        <f>IFERROR(__xludf.DUMMYFUNCTION("""COMPUTED_VALUE"""),1970.0)</f>
        <v>1970</v>
      </c>
      <c r="C180" s="5">
        <f>IFERROR(__xludf.DUMMYFUNCTION("""COMPUTED_VALUE"""),1980.0)</f>
        <v>1980</v>
      </c>
      <c r="D180" s="5">
        <f>IFERROR(__xludf.DUMMYFUNCTION("""COMPUTED_VALUE"""),1940.0)</f>
        <v>1940</v>
      </c>
      <c r="E180" s="5">
        <f>IFERROR(__xludf.DUMMYFUNCTION("""COMPUTED_VALUE"""),1950.0)</f>
        <v>1950</v>
      </c>
      <c r="F180" s="5">
        <f>IFERROR(__xludf.DUMMYFUNCTION("""COMPUTED_VALUE"""),1.19107E7)</f>
        <v>11910700</v>
      </c>
      <c r="G180" s="5">
        <f t="shared" si="1"/>
        <v>40</v>
      </c>
    </row>
    <row r="181">
      <c r="A181" s="4">
        <f>IFERROR(__xludf.DUMMYFUNCTION("""COMPUTED_VALUE"""),44099.66666666667)</f>
        <v>44099.66667</v>
      </c>
      <c r="B181" s="5">
        <f>IFERROR(__xludf.DUMMYFUNCTION("""COMPUTED_VALUE"""),1970.0)</f>
        <v>1970</v>
      </c>
      <c r="C181" s="5">
        <f>IFERROR(__xludf.DUMMYFUNCTION("""COMPUTED_VALUE"""),1995.0)</f>
        <v>1995</v>
      </c>
      <c r="D181" s="5">
        <f>IFERROR(__xludf.DUMMYFUNCTION("""COMPUTED_VALUE"""),1945.0)</f>
        <v>1945</v>
      </c>
      <c r="E181" s="5">
        <f>IFERROR(__xludf.DUMMYFUNCTION("""COMPUTED_VALUE"""),1990.0)</f>
        <v>1990</v>
      </c>
      <c r="F181" s="5">
        <f>IFERROR(__xludf.DUMMYFUNCTION("""COMPUTED_VALUE"""),1.17105E7)</f>
        <v>11710500</v>
      </c>
      <c r="G181" s="5">
        <f t="shared" si="1"/>
        <v>50</v>
      </c>
    </row>
    <row r="182">
      <c r="A182" s="4">
        <f>IFERROR(__xludf.DUMMYFUNCTION("""COMPUTED_VALUE"""),44102.66666666667)</f>
        <v>44102.66667</v>
      </c>
      <c r="B182" s="5">
        <f>IFERROR(__xludf.DUMMYFUNCTION("""COMPUTED_VALUE"""),1995.0)</f>
        <v>1995</v>
      </c>
      <c r="C182" s="5">
        <f>IFERROR(__xludf.DUMMYFUNCTION("""COMPUTED_VALUE"""),2010.0)</f>
        <v>2010</v>
      </c>
      <c r="D182" s="5">
        <f>IFERROR(__xludf.DUMMYFUNCTION("""COMPUTED_VALUE"""),1965.0)</f>
        <v>1965</v>
      </c>
      <c r="E182" s="5">
        <f>IFERROR(__xludf.DUMMYFUNCTION("""COMPUTED_VALUE"""),1970.0)</f>
        <v>1970</v>
      </c>
      <c r="F182" s="5">
        <f>IFERROR(__xludf.DUMMYFUNCTION("""COMPUTED_VALUE"""),5436200.0)</f>
        <v>5436200</v>
      </c>
      <c r="G182" s="5">
        <f t="shared" si="1"/>
        <v>45</v>
      </c>
    </row>
    <row r="183">
      <c r="A183" s="4">
        <f>IFERROR(__xludf.DUMMYFUNCTION("""COMPUTED_VALUE"""),44103.66666666667)</f>
        <v>44103.66667</v>
      </c>
      <c r="B183" s="5">
        <f>IFERROR(__xludf.DUMMYFUNCTION("""COMPUTED_VALUE"""),1990.0)</f>
        <v>1990</v>
      </c>
      <c r="C183" s="5">
        <f>IFERROR(__xludf.DUMMYFUNCTION("""COMPUTED_VALUE"""),2010.0)</f>
        <v>2010</v>
      </c>
      <c r="D183" s="5">
        <f>IFERROR(__xludf.DUMMYFUNCTION("""COMPUTED_VALUE"""),1970.0)</f>
        <v>1970</v>
      </c>
      <c r="E183" s="5">
        <f>IFERROR(__xludf.DUMMYFUNCTION("""COMPUTED_VALUE"""),1985.0)</f>
        <v>1985</v>
      </c>
      <c r="F183" s="5">
        <f>IFERROR(__xludf.DUMMYFUNCTION("""COMPUTED_VALUE"""),1.73409E7)</f>
        <v>17340900</v>
      </c>
      <c r="G183" s="5">
        <f t="shared" si="1"/>
        <v>40</v>
      </c>
    </row>
    <row r="184">
      <c r="A184" s="4">
        <f>IFERROR(__xludf.DUMMYFUNCTION("""COMPUTED_VALUE"""),44104.66666666667)</f>
        <v>44104.66667</v>
      </c>
      <c r="B184" s="5">
        <f>IFERROR(__xludf.DUMMYFUNCTION("""COMPUTED_VALUE"""),1985.0)</f>
        <v>1985</v>
      </c>
      <c r="C184" s="5">
        <f>IFERROR(__xludf.DUMMYFUNCTION("""COMPUTED_VALUE"""),1990.0)</f>
        <v>1990</v>
      </c>
      <c r="D184" s="5">
        <f>IFERROR(__xludf.DUMMYFUNCTION("""COMPUTED_VALUE"""),1940.0)</f>
        <v>1940</v>
      </c>
      <c r="E184" s="5">
        <f>IFERROR(__xludf.DUMMYFUNCTION("""COMPUTED_VALUE"""),1970.0)</f>
        <v>1970</v>
      </c>
      <c r="F184" s="5">
        <f>IFERROR(__xludf.DUMMYFUNCTION("""COMPUTED_VALUE"""),1.13234E7)</f>
        <v>11323400</v>
      </c>
      <c r="G184" s="5">
        <f t="shared" si="1"/>
        <v>50</v>
      </c>
    </row>
    <row r="185">
      <c r="A185" s="4">
        <f>IFERROR(__xludf.DUMMYFUNCTION("""COMPUTED_VALUE"""),44105.66666666667)</f>
        <v>44105.66667</v>
      </c>
      <c r="B185" s="5">
        <f>IFERROR(__xludf.DUMMYFUNCTION("""COMPUTED_VALUE"""),1980.0)</f>
        <v>1980</v>
      </c>
      <c r="C185" s="5">
        <f>IFERROR(__xludf.DUMMYFUNCTION("""COMPUTED_VALUE"""),2020.0)</f>
        <v>2020</v>
      </c>
      <c r="D185" s="5">
        <f>IFERROR(__xludf.DUMMYFUNCTION("""COMPUTED_VALUE"""),1970.0)</f>
        <v>1970</v>
      </c>
      <c r="E185" s="5">
        <f>IFERROR(__xludf.DUMMYFUNCTION("""COMPUTED_VALUE"""),2000.0)</f>
        <v>2000</v>
      </c>
      <c r="F185" s="5">
        <f>IFERROR(__xludf.DUMMYFUNCTION("""COMPUTED_VALUE"""),9175800.0)</f>
        <v>9175800</v>
      </c>
      <c r="G185" s="5">
        <f t="shared" si="1"/>
        <v>50</v>
      </c>
    </row>
    <row r="186">
      <c r="A186" s="4">
        <f>IFERROR(__xludf.DUMMYFUNCTION("""COMPUTED_VALUE"""),44106.66666666667)</f>
        <v>44106.66667</v>
      </c>
      <c r="B186" s="5">
        <f>IFERROR(__xludf.DUMMYFUNCTION("""COMPUTED_VALUE"""),2010.0)</f>
        <v>2010</v>
      </c>
      <c r="C186" s="5">
        <f>IFERROR(__xludf.DUMMYFUNCTION("""COMPUTED_VALUE"""),2010.0)</f>
        <v>2010</v>
      </c>
      <c r="D186" s="5">
        <f>IFERROR(__xludf.DUMMYFUNCTION("""COMPUTED_VALUE"""),1950.0)</f>
        <v>1950</v>
      </c>
      <c r="E186" s="5">
        <f>IFERROR(__xludf.DUMMYFUNCTION("""COMPUTED_VALUE"""),1970.0)</f>
        <v>1970</v>
      </c>
      <c r="F186" s="5">
        <f>IFERROR(__xludf.DUMMYFUNCTION("""COMPUTED_VALUE"""),9279700.0)</f>
        <v>9279700</v>
      </c>
      <c r="G186" s="5">
        <f t="shared" si="1"/>
        <v>60</v>
      </c>
    </row>
    <row r="187">
      <c r="A187" s="4">
        <f>IFERROR(__xludf.DUMMYFUNCTION("""COMPUTED_VALUE"""),44109.66666666667)</f>
        <v>44109.66667</v>
      </c>
      <c r="B187" s="5">
        <f>IFERROR(__xludf.DUMMYFUNCTION("""COMPUTED_VALUE"""),1970.0)</f>
        <v>1970</v>
      </c>
      <c r="C187" s="5">
        <f>IFERROR(__xludf.DUMMYFUNCTION("""COMPUTED_VALUE"""),1990.0)</f>
        <v>1990</v>
      </c>
      <c r="D187" s="5">
        <f>IFERROR(__xludf.DUMMYFUNCTION("""COMPUTED_VALUE"""),1950.0)</f>
        <v>1950</v>
      </c>
      <c r="E187" s="5">
        <f>IFERROR(__xludf.DUMMYFUNCTION("""COMPUTED_VALUE"""),1950.0)</f>
        <v>1950</v>
      </c>
      <c r="F187" s="5">
        <f>IFERROR(__xludf.DUMMYFUNCTION("""COMPUTED_VALUE"""),1.17085E7)</f>
        <v>11708500</v>
      </c>
      <c r="G187" s="5">
        <f t="shared" si="1"/>
        <v>40</v>
      </c>
    </row>
    <row r="188">
      <c r="A188" s="4">
        <f>IFERROR(__xludf.DUMMYFUNCTION("""COMPUTED_VALUE"""),44110.66666666667)</f>
        <v>44110.66667</v>
      </c>
      <c r="B188" s="5">
        <f>IFERROR(__xludf.DUMMYFUNCTION("""COMPUTED_VALUE"""),1965.0)</f>
        <v>1965</v>
      </c>
      <c r="C188" s="5">
        <f>IFERROR(__xludf.DUMMYFUNCTION("""COMPUTED_VALUE"""),1975.0)</f>
        <v>1975</v>
      </c>
      <c r="D188" s="5">
        <f>IFERROR(__xludf.DUMMYFUNCTION("""COMPUTED_VALUE"""),1960.0)</f>
        <v>1960</v>
      </c>
      <c r="E188" s="5">
        <f>IFERROR(__xludf.DUMMYFUNCTION("""COMPUTED_VALUE"""),1970.0)</f>
        <v>1970</v>
      </c>
      <c r="F188" s="5">
        <f>IFERROR(__xludf.DUMMYFUNCTION("""COMPUTED_VALUE"""),6498000.0)</f>
        <v>6498000</v>
      </c>
      <c r="G188" s="5">
        <f t="shared" si="1"/>
        <v>25</v>
      </c>
    </row>
    <row r="189">
      <c r="A189" s="4">
        <f>IFERROR(__xludf.DUMMYFUNCTION("""COMPUTED_VALUE"""),44111.66666666667)</f>
        <v>44111.66667</v>
      </c>
      <c r="B189" s="5">
        <f>IFERROR(__xludf.DUMMYFUNCTION("""COMPUTED_VALUE"""),1970.0)</f>
        <v>1970</v>
      </c>
      <c r="C189" s="5">
        <f>IFERROR(__xludf.DUMMYFUNCTION("""COMPUTED_VALUE"""),1985.0)</f>
        <v>1985</v>
      </c>
      <c r="D189" s="5">
        <f>IFERROR(__xludf.DUMMYFUNCTION("""COMPUTED_VALUE"""),1960.0)</f>
        <v>1960</v>
      </c>
      <c r="E189" s="5">
        <f>IFERROR(__xludf.DUMMYFUNCTION("""COMPUTED_VALUE"""),1965.0)</f>
        <v>1965</v>
      </c>
      <c r="F189" s="5">
        <f>IFERROR(__xludf.DUMMYFUNCTION("""COMPUTED_VALUE"""),1.82215E7)</f>
        <v>18221500</v>
      </c>
      <c r="G189" s="5">
        <f t="shared" si="1"/>
        <v>25</v>
      </c>
    </row>
    <row r="190">
      <c r="A190" s="4">
        <f>IFERROR(__xludf.DUMMYFUNCTION("""COMPUTED_VALUE"""),44112.66666666667)</f>
        <v>44112.66667</v>
      </c>
      <c r="B190" s="5">
        <f>IFERROR(__xludf.DUMMYFUNCTION("""COMPUTED_VALUE"""),1975.0)</f>
        <v>1975</v>
      </c>
      <c r="C190" s="5">
        <f>IFERROR(__xludf.DUMMYFUNCTION("""COMPUTED_VALUE"""),2040.0)</f>
        <v>2040</v>
      </c>
      <c r="D190" s="5">
        <f>IFERROR(__xludf.DUMMYFUNCTION("""COMPUTED_VALUE"""),1965.0)</f>
        <v>1965</v>
      </c>
      <c r="E190" s="5">
        <f>IFERROR(__xludf.DUMMYFUNCTION("""COMPUTED_VALUE"""),1990.0)</f>
        <v>1990</v>
      </c>
      <c r="F190" s="5">
        <f>IFERROR(__xludf.DUMMYFUNCTION("""COMPUTED_VALUE"""),3.06167E7)</f>
        <v>30616700</v>
      </c>
      <c r="G190" s="5">
        <f t="shared" si="1"/>
        <v>75</v>
      </c>
    </row>
    <row r="191">
      <c r="A191" s="4">
        <f>IFERROR(__xludf.DUMMYFUNCTION("""COMPUTED_VALUE"""),44113.66666666667)</f>
        <v>44113.66667</v>
      </c>
      <c r="B191" s="5">
        <f>IFERROR(__xludf.DUMMYFUNCTION("""COMPUTED_VALUE"""),1990.0)</f>
        <v>1990</v>
      </c>
      <c r="C191" s="5">
        <f>IFERROR(__xludf.DUMMYFUNCTION("""COMPUTED_VALUE"""),2010.0)</f>
        <v>2010</v>
      </c>
      <c r="D191" s="5">
        <f>IFERROR(__xludf.DUMMYFUNCTION("""COMPUTED_VALUE"""),1980.0)</f>
        <v>1980</v>
      </c>
      <c r="E191" s="5">
        <f>IFERROR(__xludf.DUMMYFUNCTION("""COMPUTED_VALUE"""),1985.0)</f>
        <v>1985</v>
      </c>
      <c r="F191" s="5">
        <f>IFERROR(__xludf.DUMMYFUNCTION("""COMPUTED_VALUE"""),1.13868E7)</f>
        <v>11386800</v>
      </c>
      <c r="G191" s="5">
        <f t="shared" si="1"/>
        <v>30</v>
      </c>
    </row>
    <row r="192">
      <c r="A192" s="4">
        <f>IFERROR(__xludf.DUMMYFUNCTION("""COMPUTED_VALUE"""),44116.66666666667)</f>
        <v>44116.66667</v>
      </c>
      <c r="B192" s="5">
        <f>IFERROR(__xludf.DUMMYFUNCTION("""COMPUTED_VALUE"""),1985.0)</f>
        <v>1985</v>
      </c>
      <c r="C192" s="5">
        <f>IFERROR(__xludf.DUMMYFUNCTION("""COMPUTED_VALUE"""),2020.0)</f>
        <v>2020</v>
      </c>
      <c r="D192" s="5">
        <f>IFERROR(__xludf.DUMMYFUNCTION("""COMPUTED_VALUE"""),1980.0)</f>
        <v>1980</v>
      </c>
      <c r="E192" s="5">
        <f>IFERROR(__xludf.DUMMYFUNCTION("""COMPUTED_VALUE"""),2020.0)</f>
        <v>2020</v>
      </c>
      <c r="F192" s="5">
        <f>IFERROR(__xludf.DUMMYFUNCTION("""COMPUTED_VALUE"""),1.53895E7)</f>
        <v>15389500</v>
      </c>
      <c r="G192" s="5">
        <f t="shared" si="1"/>
        <v>40</v>
      </c>
    </row>
    <row r="193">
      <c r="A193" s="4">
        <f>IFERROR(__xludf.DUMMYFUNCTION("""COMPUTED_VALUE"""),44117.66666666667)</f>
        <v>44117.66667</v>
      </c>
      <c r="B193" s="5">
        <f>IFERROR(__xludf.DUMMYFUNCTION("""COMPUTED_VALUE"""),2020.0)</f>
        <v>2020</v>
      </c>
      <c r="C193" s="5">
        <f>IFERROR(__xludf.DUMMYFUNCTION("""COMPUTED_VALUE"""),2030.0)</f>
        <v>2030</v>
      </c>
      <c r="D193" s="5">
        <f>IFERROR(__xludf.DUMMYFUNCTION("""COMPUTED_VALUE"""),1985.0)</f>
        <v>1985</v>
      </c>
      <c r="E193" s="5">
        <f>IFERROR(__xludf.DUMMYFUNCTION("""COMPUTED_VALUE"""),2030.0)</f>
        <v>2030</v>
      </c>
      <c r="F193" s="5">
        <f>IFERROR(__xludf.DUMMYFUNCTION("""COMPUTED_VALUE"""),1.43884E7)</f>
        <v>14388400</v>
      </c>
      <c r="G193" s="5">
        <f t="shared" si="1"/>
        <v>45</v>
      </c>
    </row>
    <row r="194">
      <c r="A194" s="4">
        <f>IFERROR(__xludf.DUMMYFUNCTION("""COMPUTED_VALUE"""),44118.66666666667)</f>
        <v>44118.66667</v>
      </c>
      <c r="B194" s="5">
        <f>IFERROR(__xludf.DUMMYFUNCTION("""COMPUTED_VALUE"""),2020.0)</f>
        <v>2020</v>
      </c>
      <c r="C194" s="5">
        <f>IFERROR(__xludf.DUMMYFUNCTION("""COMPUTED_VALUE"""),2070.0)</f>
        <v>2070</v>
      </c>
      <c r="D194" s="5">
        <f>IFERROR(__xludf.DUMMYFUNCTION("""COMPUTED_VALUE"""),2000.0)</f>
        <v>2000</v>
      </c>
      <c r="E194" s="5">
        <f>IFERROR(__xludf.DUMMYFUNCTION("""COMPUTED_VALUE"""),2050.0)</f>
        <v>2050</v>
      </c>
      <c r="F194" s="5">
        <f>IFERROR(__xludf.DUMMYFUNCTION("""COMPUTED_VALUE"""),2.81403E7)</f>
        <v>28140300</v>
      </c>
      <c r="G194" s="5">
        <f t="shared" si="1"/>
        <v>70</v>
      </c>
    </row>
    <row r="195">
      <c r="A195" s="4">
        <f>IFERROR(__xludf.DUMMYFUNCTION("""COMPUTED_VALUE"""),44119.66666666667)</f>
        <v>44119.66667</v>
      </c>
      <c r="B195" s="5">
        <f>IFERROR(__xludf.DUMMYFUNCTION("""COMPUTED_VALUE"""),2060.0)</f>
        <v>2060</v>
      </c>
      <c r="C195" s="5">
        <f>IFERROR(__xludf.DUMMYFUNCTION("""COMPUTED_VALUE"""),2070.0)</f>
        <v>2070</v>
      </c>
      <c r="D195" s="5">
        <f>IFERROR(__xludf.DUMMYFUNCTION("""COMPUTED_VALUE"""),2010.0)</f>
        <v>2010</v>
      </c>
      <c r="E195" s="5">
        <f>IFERROR(__xludf.DUMMYFUNCTION("""COMPUTED_VALUE"""),2010.0)</f>
        <v>2010</v>
      </c>
      <c r="F195" s="5">
        <f>IFERROR(__xludf.DUMMYFUNCTION("""COMPUTED_VALUE"""),1.94857E7)</f>
        <v>19485700</v>
      </c>
      <c r="G195" s="5">
        <f t="shared" si="1"/>
        <v>60</v>
      </c>
    </row>
    <row r="196">
      <c r="A196" s="4">
        <f>IFERROR(__xludf.DUMMYFUNCTION("""COMPUTED_VALUE"""),44120.66666666667)</f>
        <v>44120.66667</v>
      </c>
      <c r="B196" s="5">
        <f>IFERROR(__xludf.DUMMYFUNCTION("""COMPUTED_VALUE"""),2010.0)</f>
        <v>2010</v>
      </c>
      <c r="C196" s="5">
        <f>IFERROR(__xludf.DUMMYFUNCTION("""COMPUTED_VALUE"""),2060.0)</f>
        <v>2060</v>
      </c>
      <c r="D196" s="5">
        <f>IFERROR(__xludf.DUMMYFUNCTION("""COMPUTED_VALUE"""),1995.0)</f>
        <v>1995</v>
      </c>
      <c r="E196" s="5">
        <f>IFERROR(__xludf.DUMMYFUNCTION("""COMPUTED_VALUE"""),2050.0)</f>
        <v>2050</v>
      </c>
      <c r="F196" s="5">
        <f>IFERROR(__xludf.DUMMYFUNCTION("""COMPUTED_VALUE"""),2.60725E7)</f>
        <v>26072500</v>
      </c>
      <c r="G196" s="5">
        <f t="shared" si="1"/>
        <v>65</v>
      </c>
    </row>
    <row r="197">
      <c r="A197" s="4">
        <f>IFERROR(__xludf.DUMMYFUNCTION("""COMPUTED_VALUE"""),44123.66666666667)</f>
        <v>44123.66667</v>
      </c>
      <c r="B197" s="5">
        <f>IFERROR(__xludf.DUMMYFUNCTION("""COMPUTED_VALUE"""),2070.0)</f>
        <v>2070</v>
      </c>
      <c r="C197" s="5">
        <f>IFERROR(__xludf.DUMMYFUNCTION("""COMPUTED_VALUE"""),2080.0)</f>
        <v>2080</v>
      </c>
      <c r="D197" s="5">
        <f>IFERROR(__xludf.DUMMYFUNCTION("""COMPUTED_VALUE"""),2040.0)</f>
        <v>2040</v>
      </c>
      <c r="E197" s="5">
        <f>IFERROR(__xludf.DUMMYFUNCTION("""COMPUTED_VALUE"""),2050.0)</f>
        <v>2050</v>
      </c>
      <c r="F197" s="5">
        <f>IFERROR(__xludf.DUMMYFUNCTION("""COMPUTED_VALUE"""),1.54698E7)</f>
        <v>15469800</v>
      </c>
      <c r="G197" s="5">
        <f t="shared" si="1"/>
        <v>40</v>
      </c>
    </row>
    <row r="198">
      <c r="A198" s="4">
        <f>IFERROR(__xludf.DUMMYFUNCTION("""COMPUTED_VALUE"""),44124.66666666667)</f>
        <v>44124.66667</v>
      </c>
      <c r="B198" s="5">
        <f>IFERROR(__xludf.DUMMYFUNCTION("""COMPUTED_VALUE"""),2050.0)</f>
        <v>2050</v>
      </c>
      <c r="C198" s="5">
        <f>IFERROR(__xludf.DUMMYFUNCTION("""COMPUTED_VALUE"""),2060.0)</f>
        <v>2060</v>
      </c>
      <c r="D198" s="5">
        <f>IFERROR(__xludf.DUMMYFUNCTION("""COMPUTED_VALUE"""),2000.0)</f>
        <v>2000</v>
      </c>
      <c r="E198" s="5">
        <f>IFERROR(__xludf.DUMMYFUNCTION("""COMPUTED_VALUE"""),2010.0)</f>
        <v>2010</v>
      </c>
      <c r="F198" s="5">
        <f>IFERROR(__xludf.DUMMYFUNCTION("""COMPUTED_VALUE"""),1.83124E7)</f>
        <v>18312400</v>
      </c>
      <c r="G198" s="5">
        <f t="shared" si="1"/>
        <v>60</v>
      </c>
    </row>
    <row r="199">
      <c r="A199" s="4">
        <f>IFERROR(__xludf.DUMMYFUNCTION("""COMPUTED_VALUE"""),44125.66666666667)</f>
        <v>44125.66667</v>
      </c>
      <c r="B199" s="5">
        <f>IFERROR(__xludf.DUMMYFUNCTION("""COMPUTED_VALUE"""),2010.0)</f>
        <v>2010</v>
      </c>
      <c r="C199" s="5">
        <f>IFERROR(__xludf.DUMMYFUNCTION("""COMPUTED_VALUE"""),2040.0)</f>
        <v>2040</v>
      </c>
      <c r="D199" s="5">
        <f>IFERROR(__xludf.DUMMYFUNCTION("""COMPUTED_VALUE"""),2000.0)</f>
        <v>2000</v>
      </c>
      <c r="E199" s="5">
        <f>IFERROR(__xludf.DUMMYFUNCTION("""COMPUTED_VALUE"""),2000.0)</f>
        <v>2000</v>
      </c>
      <c r="F199" s="5">
        <f>IFERROR(__xludf.DUMMYFUNCTION("""COMPUTED_VALUE"""),1.32608E7)</f>
        <v>13260800</v>
      </c>
      <c r="G199" s="5">
        <f t="shared" si="1"/>
        <v>40</v>
      </c>
    </row>
    <row r="200">
      <c r="A200" s="4">
        <f>IFERROR(__xludf.DUMMYFUNCTION("""COMPUTED_VALUE"""),44126.66666666667)</f>
        <v>44126.66667</v>
      </c>
      <c r="B200" s="5">
        <f>IFERROR(__xludf.DUMMYFUNCTION("""COMPUTED_VALUE"""),2000.0)</f>
        <v>2000</v>
      </c>
      <c r="C200" s="5">
        <f>IFERROR(__xludf.DUMMYFUNCTION("""COMPUTED_VALUE"""),2000.0)</f>
        <v>2000</v>
      </c>
      <c r="D200" s="5">
        <f>IFERROR(__xludf.DUMMYFUNCTION("""COMPUTED_VALUE"""),1960.0)</f>
        <v>1960</v>
      </c>
      <c r="E200" s="5">
        <f>IFERROR(__xludf.DUMMYFUNCTION("""COMPUTED_VALUE"""),1965.0)</f>
        <v>1965</v>
      </c>
      <c r="F200" s="5">
        <f>IFERROR(__xludf.DUMMYFUNCTION("""COMPUTED_VALUE"""),7.18609E7)</f>
        <v>71860900</v>
      </c>
      <c r="G200" s="5">
        <f t="shared" si="1"/>
        <v>40</v>
      </c>
    </row>
    <row r="201">
      <c r="A201" s="4">
        <f>IFERROR(__xludf.DUMMYFUNCTION("""COMPUTED_VALUE"""),44127.66666666667)</f>
        <v>44127.66667</v>
      </c>
      <c r="B201" s="5">
        <f>IFERROR(__xludf.DUMMYFUNCTION("""COMPUTED_VALUE"""),1970.0)</f>
        <v>1970</v>
      </c>
      <c r="C201" s="5">
        <f>IFERROR(__xludf.DUMMYFUNCTION("""COMPUTED_VALUE"""),1980.0)</f>
        <v>1980</v>
      </c>
      <c r="D201" s="5">
        <f>IFERROR(__xludf.DUMMYFUNCTION("""COMPUTED_VALUE"""),1955.0)</f>
        <v>1955</v>
      </c>
      <c r="E201" s="5">
        <f>IFERROR(__xludf.DUMMYFUNCTION("""COMPUTED_VALUE"""),1960.0)</f>
        <v>1960</v>
      </c>
      <c r="F201" s="5">
        <f>IFERROR(__xludf.DUMMYFUNCTION("""COMPUTED_VALUE"""),2.28506E7)</f>
        <v>22850600</v>
      </c>
      <c r="G201" s="5">
        <f t="shared" si="1"/>
        <v>25</v>
      </c>
    </row>
    <row r="202">
      <c r="A202" s="4">
        <f>IFERROR(__xludf.DUMMYFUNCTION("""COMPUTED_VALUE"""),44130.66666666667)</f>
        <v>44130.66667</v>
      </c>
      <c r="B202" s="5">
        <f>IFERROR(__xludf.DUMMYFUNCTION("""COMPUTED_VALUE"""),1965.0)</f>
        <v>1965</v>
      </c>
      <c r="C202" s="5">
        <f>IFERROR(__xludf.DUMMYFUNCTION("""COMPUTED_VALUE"""),1990.0)</f>
        <v>1990</v>
      </c>
      <c r="D202" s="5">
        <f>IFERROR(__xludf.DUMMYFUNCTION("""COMPUTED_VALUE"""),1965.0)</f>
        <v>1965</v>
      </c>
      <c r="E202" s="5">
        <f>IFERROR(__xludf.DUMMYFUNCTION("""COMPUTED_VALUE"""),1970.0)</f>
        <v>1970</v>
      </c>
      <c r="F202" s="5">
        <f>IFERROR(__xludf.DUMMYFUNCTION("""COMPUTED_VALUE"""),1.90512E7)</f>
        <v>19051200</v>
      </c>
      <c r="G202" s="5">
        <f t="shared" si="1"/>
        <v>30</v>
      </c>
    </row>
    <row r="203">
      <c r="A203" s="4">
        <f>IFERROR(__xludf.DUMMYFUNCTION("""COMPUTED_VALUE"""),44131.66666666667)</f>
        <v>44131.66667</v>
      </c>
      <c r="B203" s="5">
        <f>IFERROR(__xludf.DUMMYFUNCTION("""COMPUTED_VALUE"""),1970.0)</f>
        <v>1970</v>
      </c>
      <c r="C203" s="5">
        <f>IFERROR(__xludf.DUMMYFUNCTION("""COMPUTED_VALUE"""),1985.0)</f>
        <v>1985</v>
      </c>
      <c r="D203" s="5">
        <f>IFERROR(__xludf.DUMMYFUNCTION("""COMPUTED_VALUE"""),1960.0)</f>
        <v>1960</v>
      </c>
      <c r="E203" s="5">
        <f>IFERROR(__xludf.DUMMYFUNCTION("""COMPUTED_VALUE"""),1960.0)</f>
        <v>1960</v>
      </c>
      <c r="F203" s="5">
        <f>IFERROR(__xludf.DUMMYFUNCTION("""COMPUTED_VALUE"""),1.15835E7)</f>
        <v>11583500</v>
      </c>
      <c r="G203" s="5">
        <f t="shared" si="1"/>
        <v>25</v>
      </c>
    </row>
    <row r="204">
      <c r="A204" s="4">
        <f>IFERROR(__xludf.DUMMYFUNCTION("""COMPUTED_VALUE"""),44137.66666666667)</f>
        <v>44137.66667</v>
      </c>
      <c r="B204" s="5">
        <f>IFERROR(__xludf.DUMMYFUNCTION("""COMPUTED_VALUE"""),1960.0)</f>
        <v>1960</v>
      </c>
      <c r="C204" s="5">
        <f>IFERROR(__xludf.DUMMYFUNCTION("""COMPUTED_VALUE"""),1970.0)</f>
        <v>1970</v>
      </c>
      <c r="D204" s="5">
        <f>IFERROR(__xludf.DUMMYFUNCTION("""COMPUTED_VALUE"""),1940.0)</f>
        <v>1940</v>
      </c>
      <c r="E204" s="5">
        <f>IFERROR(__xludf.DUMMYFUNCTION("""COMPUTED_VALUE"""),1940.0)</f>
        <v>1940</v>
      </c>
      <c r="F204" s="5">
        <f>IFERROR(__xludf.DUMMYFUNCTION("""COMPUTED_VALUE"""),1.8159E7)</f>
        <v>18159000</v>
      </c>
      <c r="G204" s="5">
        <f t="shared" si="1"/>
        <v>30</v>
      </c>
    </row>
    <row r="205">
      <c r="A205" s="4">
        <f>IFERROR(__xludf.DUMMYFUNCTION("""COMPUTED_VALUE"""),44138.66666666667)</f>
        <v>44138.66667</v>
      </c>
      <c r="B205" s="5">
        <f>IFERROR(__xludf.DUMMYFUNCTION("""COMPUTED_VALUE"""),1950.0)</f>
        <v>1950</v>
      </c>
      <c r="C205" s="5">
        <f>IFERROR(__xludf.DUMMYFUNCTION("""COMPUTED_VALUE"""),1965.0)</f>
        <v>1965</v>
      </c>
      <c r="D205" s="5">
        <f>IFERROR(__xludf.DUMMYFUNCTION("""COMPUTED_VALUE"""),1950.0)</f>
        <v>1950</v>
      </c>
      <c r="E205" s="5">
        <f>IFERROR(__xludf.DUMMYFUNCTION("""COMPUTED_VALUE"""),1950.0)</f>
        <v>1950</v>
      </c>
      <c r="F205" s="5">
        <f>IFERROR(__xludf.DUMMYFUNCTION("""COMPUTED_VALUE"""),9393500.0)</f>
        <v>9393500</v>
      </c>
      <c r="G205" s="5">
        <f t="shared" si="1"/>
        <v>25</v>
      </c>
    </row>
    <row r="206">
      <c r="A206" s="4">
        <f>IFERROR(__xludf.DUMMYFUNCTION("""COMPUTED_VALUE"""),44139.66666666667)</f>
        <v>44139.66667</v>
      </c>
      <c r="B206" s="5">
        <f>IFERROR(__xludf.DUMMYFUNCTION("""COMPUTED_VALUE"""),1955.0)</f>
        <v>1955</v>
      </c>
      <c r="C206" s="5">
        <f>IFERROR(__xludf.DUMMYFUNCTION("""COMPUTED_VALUE"""),1965.0)</f>
        <v>1965</v>
      </c>
      <c r="D206" s="5">
        <f>IFERROR(__xludf.DUMMYFUNCTION("""COMPUTED_VALUE"""),1935.0)</f>
        <v>1935</v>
      </c>
      <c r="E206" s="5">
        <f>IFERROR(__xludf.DUMMYFUNCTION("""COMPUTED_VALUE"""),1935.0)</f>
        <v>1935</v>
      </c>
      <c r="F206" s="5">
        <f>IFERROR(__xludf.DUMMYFUNCTION("""COMPUTED_VALUE"""),1.66739E7)</f>
        <v>16673900</v>
      </c>
      <c r="G206" s="5">
        <f t="shared" si="1"/>
        <v>30</v>
      </c>
    </row>
    <row r="207">
      <c r="A207" s="4">
        <f>IFERROR(__xludf.DUMMYFUNCTION("""COMPUTED_VALUE"""),44140.66666666667)</f>
        <v>44140.66667</v>
      </c>
      <c r="B207" s="5">
        <f>IFERROR(__xludf.DUMMYFUNCTION("""COMPUTED_VALUE"""),1950.0)</f>
        <v>1950</v>
      </c>
      <c r="C207" s="5">
        <f>IFERROR(__xludf.DUMMYFUNCTION("""COMPUTED_VALUE"""),1975.0)</f>
        <v>1975</v>
      </c>
      <c r="D207" s="5">
        <f>IFERROR(__xludf.DUMMYFUNCTION("""COMPUTED_VALUE"""),1945.0)</f>
        <v>1945</v>
      </c>
      <c r="E207" s="5">
        <f>IFERROR(__xludf.DUMMYFUNCTION("""COMPUTED_VALUE"""),1970.0)</f>
        <v>1970</v>
      </c>
      <c r="F207" s="5">
        <f>IFERROR(__xludf.DUMMYFUNCTION("""COMPUTED_VALUE"""),1.4737E7)</f>
        <v>14737000</v>
      </c>
      <c r="G207" s="5">
        <f t="shared" si="1"/>
        <v>40</v>
      </c>
    </row>
    <row r="208">
      <c r="A208" s="4">
        <f>IFERROR(__xludf.DUMMYFUNCTION("""COMPUTED_VALUE"""),44141.66666666667)</f>
        <v>44141.66667</v>
      </c>
      <c r="B208" s="5">
        <f>IFERROR(__xludf.DUMMYFUNCTION("""COMPUTED_VALUE"""),1985.0)</f>
        <v>1985</v>
      </c>
      <c r="C208" s="5">
        <f>IFERROR(__xludf.DUMMYFUNCTION("""COMPUTED_VALUE"""),2010.0)</f>
        <v>2010</v>
      </c>
      <c r="D208" s="5">
        <f>IFERROR(__xludf.DUMMYFUNCTION("""COMPUTED_VALUE"""),1985.0)</f>
        <v>1985</v>
      </c>
      <c r="E208" s="5">
        <f>IFERROR(__xludf.DUMMYFUNCTION("""COMPUTED_VALUE"""),1990.0)</f>
        <v>1990</v>
      </c>
      <c r="F208" s="5">
        <f>IFERROR(__xludf.DUMMYFUNCTION("""COMPUTED_VALUE"""),3.54287E7)</f>
        <v>35428700</v>
      </c>
      <c r="G208" s="5">
        <f t="shared" si="1"/>
        <v>40</v>
      </c>
    </row>
    <row r="209">
      <c r="A209" s="4">
        <f>IFERROR(__xludf.DUMMYFUNCTION("""COMPUTED_VALUE"""),44144.66666666667)</f>
        <v>44144.66667</v>
      </c>
      <c r="B209" s="5">
        <f>IFERROR(__xludf.DUMMYFUNCTION("""COMPUTED_VALUE"""),2010.0)</f>
        <v>2010</v>
      </c>
      <c r="C209" s="5">
        <f>IFERROR(__xludf.DUMMYFUNCTION("""COMPUTED_VALUE"""),2040.0)</f>
        <v>2040</v>
      </c>
      <c r="D209" s="5">
        <f>IFERROR(__xludf.DUMMYFUNCTION("""COMPUTED_VALUE"""),2000.0)</f>
        <v>2000</v>
      </c>
      <c r="E209" s="5">
        <f>IFERROR(__xludf.DUMMYFUNCTION("""COMPUTED_VALUE"""),2010.0)</f>
        <v>2010</v>
      </c>
      <c r="F209" s="5">
        <f>IFERROR(__xludf.DUMMYFUNCTION("""COMPUTED_VALUE"""),2.92607E7)</f>
        <v>29260700</v>
      </c>
      <c r="G209" s="5">
        <f t="shared" si="1"/>
        <v>50</v>
      </c>
    </row>
    <row r="210">
      <c r="A210" s="4">
        <f>IFERROR(__xludf.DUMMYFUNCTION("""COMPUTED_VALUE"""),44145.66666666667)</f>
        <v>44145.66667</v>
      </c>
      <c r="B210" s="5">
        <f>IFERROR(__xludf.DUMMYFUNCTION("""COMPUTED_VALUE"""),2050.0)</f>
        <v>2050</v>
      </c>
      <c r="C210" s="5">
        <f>IFERROR(__xludf.DUMMYFUNCTION("""COMPUTED_VALUE"""),2050.0)</f>
        <v>2050</v>
      </c>
      <c r="D210" s="5">
        <f>IFERROR(__xludf.DUMMYFUNCTION("""COMPUTED_VALUE"""),2010.0)</f>
        <v>2010</v>
      </c>
      <c r="E210" s="5">
        <f>IFERROR(__xludf.DUMMYFUNCTION("""COMPUTED_VALUE"""),2020.0)</f>
        <v>2020</v>
      </c>
      <c r="F210" s="5">
        <f>IFERROR(__xludf.DUMMYFUNCTION("""COMPUTED_VALUE"""),2.09167E7)</f>
        <v>20916700</v>
      </c>
      <c r="G210" s="5">
        <f t="shared" si="1"/>
        <v>40</v>
      </c>
    </row>
    <row r="211">
      <c r="A211" s="4">
        <f>IFERROR(__xludf.DUMMYFUNCTION("""COMPUTED_VALUE"""),44146.66666666667)</f>
        <v>44146.66667</v>
      </c>
      <c r="B211" s="5">
        <f>IFERROR(__xludf.DUMMYFUNCTION("""COMPUTED_VALUE"""),2040.0)</f>
        <v>2040</v>
      </c>
      <c r="C211" s="5">
        <f>IFERROR(__xludf.DUMMYFUNCTION("""COMPUTED_VALUE"""),2100.0)</f>
        <v>2100</v>
      </c>
      <c r="D211" s="5">
        <f>IFERROR(__xludf.DUMMYFUNCTION("""COMPUTED_VALUE"""),2020.0)</f>
        <v>2020</v>
      </c>
      <c r="E211" s="5">
        <f>IFERROR(__xludf.DUMMYFUNCTION("""COMPUTED_VALUE"""),2070.0)</f>
        <v>2070</v>
      </c>
      <c r="F211" s="5">
        <f>IFERROR(__xludf.DUMMYFUNCTION("""COMPUTED_VALUE"""),6.57789E7)</f>
        <v>65778900</v>
      </c>
      <c r="G211" s="5">
        <f t="shared" si="1"/>
        <v>80</v>
      </c>
    </row>
    <row r="212">
      <c r="A212" s="4">
        <f>IFERROR(__xludf.DUMMYFUNCTION("""COMPUTED_VALUE"""),44147.66666666667)</f>
        <v>44147.66667</v>
      </c>
      <c r="B212" s="5">
        <f>IFERROR(__xludf.DUMMYFUNCTION("""COMPUTED_VALUE"""),2080.0)</f>
        <v>2080</v>
      </c>
      <c r="C212" s="5">
        <f>IFERROR(__xludf.DUMMYFUNCTION("""COMPUTED_VALUE"""),2080.0)</f>
        <v>2080</v>
      </c>
      <c r="D212" s="5">
        <f>IFERROR(__xludf.DUMMYFUNCTION("""COMPUTED_VALUE"""),2040.0)</f>
        <v>2040</v>
      </c>
      <c r="E212" s="5">
        <f>IFERROR(__xludf.DUMMYFUNCTION("""COMPUTED_VALUE"""),2040.0)</f>
        <v>2040</v>
      </c>
      <c r="F212" s="5">
        <f>IFERROR(__xludf.DUMMYFUNCTION("""COMPUTED_VALUE"""),2.48228E7)</f>
        <v>24822800</v>
      </c>
      <c r="G212" s="5">
        <f t="shared" si="1"/>
        <v>40</v>
      </c>
    </row>
    <row r="213">
      <c r="A213" s="4">
        <f>IFERROR(__xludf.DUMMYFUNCTION("""COMPUTED_VALUE"""),44148.66666666667)</f>
        <v>44148.66667</v>
      </c>
      <c r="B213" s="5">
        <f>IFERROR(__xludf.DUMMYFUNCTION("""COMPUTED_VALUE"""),2030.0)</f>
        <v>2030</v>
      </c>
      <c r="C213" s="5">
        <f>IFERROR(__xludf.DUMMYFUNCTION("""COMPUTED_VALUE"""),2050.0)</f>
        <v>2050</v>
      </c>
      <c r="D213" s="5">
        <f>IFERROR(__xludf.DUMMYFUNCTION("""COMPUTED_VALUE"""),2020.0)</f>
        <v>2020</v>
      </c>
      <c r="E213" s="5">
        <f>IFERROR(__xludf.DUMMYFUNCTION("""COMPUTED_VALUE"""),2040.0)</f>
        <v>2040</v>
      </c>
      <c r="F213" s="5">
        <f>IFERROR(__xludf.DUMMYFUNCTION("""COMPUTED_VALUE"""),1.74368E7)</f>
        <v>17436800</v>
      </c>
      <c r="G213" s="5">
        <f t="shared" si="1"/>
        <v>30</v>
      </c>
    </row>
    <row r="214">
      <c r="A214" s="4">
        <f>IFERROR(__xludf.DUMMYFUNCTION("""COMPUTED_VALUE"""),44151.66666666667)</f>
        <v>44151.66667</v>
      </c>
      <c r="B214" s="5">
        <f>IFERROR(__xludf.DUMMYFUNCTION("""COMPUTED_VALUE"""),2060.0)</f>
        <v>2060</v>
      </c>
      <c r="C214" s="5">
        <f>IFERROR(__xludf.DUMMYFUNCTION("""COMPUTED_VALUE"""),2150.0)</f>
        <v>2150</v>
      </c>
      <c r="D214" s="5">
        <f>IFERROR(__xludf.DUMMYFUNCTION("""COMPUTED_VALUE"""),2050.0)</f>
        <v>2050</v>
      </c>
      <c r="E214" s="5">
        <f>IFERROR(__xludf.DUMMYFUNCTION("""COMPUTED_VALUE"""),2130.0)</f>
        <v>2130</v>
      </c>
      <c r="F214" s="5">
        <f>IFERROR(__xludf.DUMMYFUNCTION("""COMPUTED_VALUE"""),6.1569E7)</f>
        <v>61569000</v>
      </c>
      <c r="G214" s="5">
        <f t="shared" si="1"/>
        <v>110</v>
      </c>
    </row>
    <row r="215">
      <c r="A215" s="4">
        <f>IFERROR(__xludf.DUMMYFUNCTION("""COMPUTED_VALUE"""),44152.66666666667)</f>
        <v>44152.66667</v>
      </c>
      <c r="B215" s="5">
        <f>IFERROR(__xludf.DUMMYFUNCTION("""COMPUTED_VALUE"""),2140.0)</f>
        <v>2140</v>
      </c>
      <c r="C215" s="5">
        <f>IFERROR(__xludf.DUMMYFUNCTION("""COMPUTED_VALUE"""),2160.0)</f>
        <v>2160</v>
      </c>
      <c r="D215" s="5">
        <f>IFERROR(__xludf.DUMMYFUNCTION("""COMPUTED_VALUE"""),2110.0)</f>
        <v>2110</v>
      </c>
      <c r="E215" s="5">
        <f>IFERROR(__xludf.DUMMYFUNCTION("""COMPUTED_VALUE"""),2110.0)</f>
        <v>2110</v>
      </c>
      <c r="F215" s="5">
        <f>IFERROR(__xludf.DUMMYFUNCTION("""COMPUTED_VALUE"""),5.38204E7)</f>
        <v>53820400</v>
      </c>
      <c r="G215" s="5">
        <f t="shared" si="1"/>
        <v>50</v>
      </c>
    </row>
    <row r="216">
      <c r="A216" s="4">
        <f>IFERROR(__xludf.DUMMYFUNCTION("""COMPUTED_VALUE"""),44153.66666666667)</f>
        <v>44153.66667</v>
      </c>
      <c r="B216" s="5">
        <f>IFERROR(__xludf.DUMMYFUNCTION("""COMPUTED_VALUE"""),2130.0)</f>
        <v>2130</v>
      </c>
      <c r="C216" s="5">
        <f>IFERROR(__xludf.DUMMYFUNCTION("""COMPUTED_VALUE"""),2140.0)</f>
        <v>2140</v>
      </c>
      <c r="D216" s="5">
        <f>IFERROR(__xludf.DUMMYFUNCTION("""COMPUTED_VALUE"""),2110.0)</f>
        <v>2110</v>
      </c>
      <c r="E216" s="5">
        <f>IFERROR(__xludf.DUMMYFUNCTION("""COMPUTED_VALUE"""),2110.0)</f>
        <v>2110</v>
      </c>
      <c r="F216" s="5">
        <f>IFERROR(__xludf.DUMMYFUNCTION("""COMPUTED_VALUE"""),2.76789E7)</f>
        <v>27678900</v>
      </c>
      <c r="G216" s="5">
        <f t="shared" si="1"/>
        <v>30</v>
      </c>
    </row>
    <row r="217">
      <c r="A217" s="4">
        <f>IFERROR(__xludf.DUMMYFUNCTION("""COMPUTED_VALUE"""),44154.66666666667)</f>
        <v>44154.66667</v>
      </c>
      <c r="B217" s="5">
        <f>IFERROR(__xludf.DUMMYFUNCTION("""COMPUTED_VALUE"""),2110.0)</f>
        <v>2110</v>
      </c>
      <c r="C217" s="5">
        <f>IFERROR(__xludf.DUMMYFUNCTION("""COMPUTED_VALUE"""),2240.0)</f>
        <v>2240</v>
      </c>
      <c r="D217" s="5">
        <f>IFERROR(__xludf.DUMMYFUNCTION("""COMPUTED_VALUE"""),2100.0)</f>
        <v>2100</v>
      </c>
      <c r="E217" s="5">
        <f>IFERROR(__xludf.DUMMYFUNCTION("""COMPUTED_VALUE"""),2230.0)</f>
        <v>2230</v>
      </c>
      <c r="F217" s="5">
        <f>IFERROR(__xludf.DUMMYFUNCTION("""COMPUTED_VALUE"""),1.326733E8)</f>
        <v>132673300</v>
      </c>
      <c r="G217" s="5">
        <f t="shared" si="1"/>
        <v>140</v>
      </c>
    </row>
    <row r="218">
      <c r="A218" s="4">
        <f>IFERROR(__xludf.DUMMYFUNCTION("""COMPUTED_VALUE"""),44155.66666666667)</f>
        <v>44155.66667</v>
      </c>
      <c r="B218" s="5">
        <f>IFERROR(__xludf.DUMMYFUNCTION("""COMPUTED_VALUE"""),2240.0)</f>
        <v>2240</v>
      </c>
      <c r="C218" s="5">
        <f>IFERROR(__xludf.DUMMYFUNCTION("""COMPUTED_VALUE"""),2260.0)</f>
        <v>2260</v>
      </c>
      <c r="D218" s="5">
        <f>IFERROR(__xludf.DUMMYFUNCTION("""COMPUTED_VALUE"""),2180.0)</f>
        <v>2180</v>
      </c>
      <c r="E218" s="5">
        <f>IFERROR(__xludf.DUMMYFUNCTION("""COMPUTED_VALUE"""),2190.0)</f>
        <v>2190</v>
      </c>
      <c r="F218" s="5">
        <f>IFERROR(__xludf.DUMMYFUNCTION("""COMPUTED_VALUE"""),7.29085E7)</f>
        <v>72908500</v>
      </c>
      <c r="G218" s="5">
        <f t="shared" si="1"/>
        <v>80</v>
      </c>
    </row>
    <row r="219">
      <c r="A219" s="4">
        <f>IFERROR(__xludf.DUMMYFUNCTION("""COMPUTED_VALUE"""),44158.66666666667)</f>
        <v>44158.66667</v>
      </c>
      <c r="B219" s="5">
        <f>IFERROR(__xludf.DUMMYFUNCTION("""COMPUTED_VALUE"""),2230.0)</f>
        <v>2230</v>
      </c>
      <c r="C219" s="5">
        <f>IFERROR(__xludf.DUMMYFUNCTION("""COMPUTED_VALUE"""),2280.0)</f>
        <v>2280</v>
      </c>
      <c r="D219" s="5">
        <f>IFERROR(__xludf.DUMMYFUNCTION("""COMPUTED_VALUE"""),2220.0)</f>
        <v>2220</v>
      </c>
      <c r="E219" s="5">
        <f>IFERROR(__xludf.DUMMYFUNCTION("""COMPUTED_VALUE"""),2280.0)</f>
        <v>2280</v>
      </c>
      <c r="F219" s="5">
        <f>IFERROR(__xludf.DUMMYFUNCTION("""COMPUTED_VALUE"""),7.79007E7)</f>
        <v>77900700</v>
      </c>
      <c r="G219" s="5">
        <f t="shared" si="1"/>
        <v>90</v>
      </c>
    </row>
    <row r="220">
      <c r="A220" s="4">
        <f>IFERROR(__xludf.DUMMYFUNCTION("""COMPUTED_VALUE"""),44159.66666666667)</f>
        <v>44159.66667</v>
      </c>
      <c r="B220" s="5">
        <f>IFERROR(__xludf.DUMMYFUNCTION("""COMPUTED_VALUE"""),2310.0)</f>
        <v>2310</v>
      </c>
      <c r="C220" s="5">
        <f>IFERROR(__xludf.DUMMYFUNCTION("""COMPUTED_VALUE"""),2340.0)</f>
        <v>2340</v>
      </c>
      <c r="D220" s="5">
        <f>IFERROR(__xludf.DUMMYFUNCTION("""COMPUTED_VALUE"""),2280.0)</f>
        <v>2280</v>
      </c>
      <c r="E220" s="5">
        <f>IFERROR(__xludf.DUMMYFUNCTION("""COMPUTED_VALUE"""),2280.0)</f>
        <v>2280</v>
      </c>
      <c r="F220" s="5">
        <f>IFERROR(__xludf.DUMMYFUNCTION("""COMPUTED_VALUE"""),8.83788E7)</f>
        <v>88378800</v>
      </c>
      <c r="G220" s="5">
        <f t="shared" si="1"/>
        <v>60</v>
      </c>
    </row>
    <row r="221">
      <c r="A221" s="4">
        <f>IFERROR(__xludf.DUMMYFUNCTION("""COMPUTED_VALUE"""),44160.66666666667)</f>
        <v>44160.66667</v>
      </c>
      <c r="B221" s="5">
        <f>IFERROR(__xludf.DUMMYFUNCTION("""COMPUTED_VALUE"""),2320.0)</f>
        <v>2320</v>
      </c>
      <c r="C221" s="5">
        <f>IFERROR(__xludf.DUMMYFUNCTION("""COMPUTED_VALUE"""),2350.0)</f>
        <v>2350</v>
      </c>
      <c r="D221" s="5">
        <f>IFERROR(__xludf.DUMMYFUNCTION("""COMPUTED_VALUE"""),2250.0)</f>
        <v>2250</v>
      </c>
      <c r="E221" s="5">
        <f>IFERROR(__xludf.DUMMYFUNCTION("""COMPUTED_VALUE"""),2280.0)</f>
        <v>2280</v>
      </c>
      <c r="F221" s="5">
        <f>IFERROR(__xludf.DUMMYFUNCTION("""COMPUTED_VALUE"""),1.026327E8)</f>
        <v>102632700</v>
      </c>
      <c r="G221" s="5">
        <f t="shared" si="1"/>
        <v>100</v>
      </c>
    </row>
    <row r="222">
      <c r="A222" s="4">
        <f>IFERROR(__xludf.DUMMYFUNCTION("""COMPUTED_VALUE"""),44161.66666666667)</f>
        <v>44161.66667</v>
      </c>
      <c r="B222" s="5">
        <f>IFERROR(__xludf.DUMMYFUNCTION("""COMPUTED_VALUE"""),2310.0)</f>
        <v>2310</v>
      </c>
      <c r="C222" s="5">
        <f>IFERROR(__xludf.DUMMYFUNCTION("""COMPUTED_VALUE"""),2360.0)</f>
        <v>2360</v>
      </c>
      <c r="D222" s="5">
        <f>IFERROR(__xludf.DUMMYFUNCTION("""COMPUTED_VALUE"""),2310.0)</f>
        <v>2310</v>
      </c>
      <c r="E222" s="5">
        <f>IFERROR(__xludf.DUMMYFUNCTION("""COMPUTED_VALUE"""),2360.0)</f>
        <v>2360</v>
      </c>
      <c r="F222" s="5">
        <f>IFERROR(__xludf.DUMMYFUNCTION("""COMPUTED_VALUE"""),9.95081E7)</f>
        <v>99508100</v>
      </c>
      <c r="G222" s="5">
        <f t="shared" si="1"/>
        <v>80</v>
      </c>
    </row>
    <row r="223">
      <c r="A223" s="4">
        <f>IFERROR(__xludf.DUMMYFUNCTION("""COMPUTED_VALUE"""),44162.66666666667)</f>
        <v>44162.66667</v>
      </c>
      <c r="B223" s="5">
        <f>IFERROR(__xludf.DUMMYFUNCTION("""COMPUTED_VALUE"""),2380.0)</f>
        <v>2380</v>
      </c>
      <c r="C223" s="5">
        <f>IFERROR(__xludf.DUMMYFUNCTION("""COMPUTED_VALUE"""),2420.0)</f>
        <v>2420</v>
      </c>
      <c r="D223" s="5">
        <f>IFERROR(__xludf.DUMMYFUNCTION("""COMPUTED_VALUE"""),2360.0)</f>
        <v>2360</v>
      </c>
      <c r="E223" s="5">
        <f>IFERROR(__xludf.DUMMYFUNCTION("""COMPUTED_VALUE"""),2410.0)</f>
        <v>2410</v>
      </c>
      <c r="F223" s="5">
        <f>IFERROR(__xludf.DUMMYFUNCTION("""COMPUTED_VALUE"""),6.12496E7)</f>
        <v>61249600</v>
      </c>
      <c r="G223" s="5">
        <f t="shared" si="1"/>
        <v>60</v>
      </c>
    </row>
    <row r="224">
      <c r="A224" s="4">
        <f>IFERROR(__xludf.DUMMYFUNCTION("""COMPUTED_VALUE"""),44165.66666666667)</f>
        <v>44165.66667</v>
      </c>
      <c r="B224" s="5">
        <f>IFERROR(__xludf.DUMMYFUNCTION("""COMPUTED_VALUE"""),2440.0)</f>
        <v>2440</v>
      </c>
      <c r="C224" s="5">
        <f>IFERROR(__xludf.DUMMYFUNCTION("""COMPUTED_VALUE"""),2530.0)</f>
        <v>2530</v>
      </c>
      <c r="D224" s="5">
        <f>IFERROR(__xludf.DUMMYFUNCTION("""COMPUTED_VALUE"""),2310.0)</f>
        <v>2310</v>
      </c>
      <c r="E224" s="5">
        <f>IFERROR(__xludf.DUMMYFUNCTION("""COMPUTED_VALUE"""),2360.0)</f>
        <v>2360</v>
      </c>
      <c r="F224" s="5">
        <f>IFERROR(__xludf.DUMMYFUNCTION("""COMPUTED_VALUE"""),1.928547E8)</f>
        <v>192854700</v>
      </c>
      <c r="G224" s="5">
        <f t="shared" si="1"/>
        <v>220</v>
      </c>
    </row>
    <row r="225">
      <c r="A225" s="4">
        <f>IFERROR(__xludf.DUMMYFUNCTION("""COMPUTED_VALUE"""),44166.66666666667)</f>
        <v>44166.66667</v>
      </c>
      <c r="B225" s="5">
        <f>IFERROR(__xludf.DUMMYFUNCTION("""COMPUTED_VALUE"""),2400.0)</f>
        <v>2400</v>
      </c>
      <c r="C225" s="5">
        <f>IFERROR(__xludf.DUMMYFUNCTION("""COMPUTED_VALUE"""),2480.0)</f>
        <v>2480</v>
      </c>
      <c r="D225" s="5">
        <f>IFERROR(__xludf.DUMMYFUNCTION("""COMPUTED_VALUE"""),2320.0)</f>
        <v>2320</v>
      </c>
      <c r="E225" s="5">
        <f>IFERROR(__xludf.DUMMYFUNCTION("""COMPUTED_VALUE"""),2430.0)</f>
        <v>2430</v>
      </c>
      <c r="F225" s="5">
        <f>IFERROR(__xludf.DUMMYFUNCTION("""COMPUTED_VALUE"""),9.1179E7)</f>
        <v>91179000</v>
      </c>
      <c r="G225" s="5">
        <f t="shared" si="1"/>
        <v>160</v>
      </c>
    </row>
    <row r="226">
      <c r="A226" s="4">
        <f>IFERROR(__xludf.DUMMYFUNCTION("""COMPUTED_VALUE"""),44167.66666666667)</f>
        <v>44167.66667</v>
      </c>
      <c r="B226" s="5">
        <f>IFERROR(__xludf.DUMMYFUNCTION("""COMPUTED_VALUE"""),2450.0)</f>
        <v>2450</v>
      </c>
      <c r="C226" s="5">
        <f>IFERROR(__xludf.DUMMYFUNCTION("""COMPUTED_VALUE"""),2470.0)</f>
        <v>2470</v>
      </c>
      <c r="D226" s="5">
        <f>IFERROR(__xludf.DUMMYFUNCTION("""COMPUTED_VALUE"""),2420.0)</f>
        <v>2420</v>
      </c>
      <c r="E226" s="5">
        <f>IFERROR(__xludf.DUMMYFUNCTION("""COMPUTED_VALUE"""),2450.0)</f>
        <v>2450</v>
      </c>
      <c r="F226" s="5">
        <f>IFERROR(__xludf.DUMMYFUNCTION("""COMPUTED_VALUE"""),6.4008E7)</f>
        <v>64008000</v>
      </c>
      <c r="G226" s="5">
        <f t="shared" si="1"/>
        <v>50</v>
      </c>
    </row>
    <row r="227">
      <c r="A227" s="4">
        <f>IFERROR(__xludf.DUMMYFUNCTION("""COMPUTED_VALUE"""),44168.66666666667)</f>
        <v>44168.66667</v>
      </c>
      <c r="B227" s="5">
        <f>IFERROR(__xludf.DUMMYFUNCTION("""COMPUTED_VALUE"""),2490.0)</f>
        <v>2490</v>
      </c>
      <c r="C227" s="5">
        <f>IFERROR(__xludf.DUMMYFUNCTION("""COMPUTED_VALUE"""),2510.0)</f>
        <v>2510</v>
      </c>
      <c r="D227" s="5">
        <f>IFERROR(__xludf.DUMMYFUNCTION("""COMPUTED_VALUE"""),2440.0)</f>
        <v>2440</v>
      </c>
      <c r="E227" s="5">
        <f>IFERROR(__xludf.DUMMYFUNCTION("""COMPUTED_VALUE"""),2440.0)</f>
        <v>2440</v>
      </c>
      <c r="F227" s="5">
        <f>IFERROR(__xludf.DUMMYFUNCTION("""COMPUTED_VALUE"""),6.17666E7)</f>
        <v>61766600</v>
      </c>
      <c r="G227" s="5">
        <f t="shared" si="1"/>
        <v>70</v>
      </c>
    </row>
    <row r="228">
      <c r="A228" s="4">
        <f>IFERROR(__xludf.DUMMYFUNCTION("""COMPUTED_VALUE"""),44169.66666666667)</f>
        <v>44169.66667</v>
      </c>
      <c r="B228" s="5">
        <f>IFERROR(__xludf.DUMMYFUNCTION("""COMPUTED_VALUE"""),2470.0)</f>
        <v>2470</v>
      </c>
      <c r="C228" s="5">
        <f>IFERROR(__xludf.DUMMYFUNCTION("""COMPUTED_VALUE"""),2500.0)</f>
        <v>2500</v>
      </c>
      <c r="D228" s="5">
        <f>IFERROR(__xludf.DUMMYFUNCTION("""COMPUTED_VALUE"""),2430.0)</f>
        <v>2430</v>
      </c>
      <c r="E228" s="5">
        <f>IFERROR(__xludf.DUMMYFUNCTION("""COMPUTED_VALUE"""),2480.0)</f>
        <v>2480</v>
      </c>
      <c r="F228" s="5">
        <f>IFERROR(__xludf.DUMMYFUNCTION("""COMPUTED_VALUE"""),6.40109E7)</f>
        <v>64010900</v>
      </c>
      <c r="G228" s="5">
        <f t="shared" si="1"/>
        <v>70</v>
      </c>
    </row>
    <row r="229">
      <c r="A229" s="4">
        <f>IFERROR(__xludf.DUMMYFUNCTION("""COMPUTED_VALUE"""),44172.66666666667)</f>
        <v>44172.66667</v>
      </c>
      <c r="B229" s="5">
        <f>IFERROR(__xludf.DUMMYFUNCTION("""COMPUTED_VALUE"""),2530.0)</f>
        <v>2530</v>
      </c>
      <c r="C229" s="5">
        <f>IFERROR(__xludf.DUMMYFUNCTION("""COMPUTED_VALUE"""),2700.0)</f>
        <v>2700</v>
      </c>
      <c r="D229" s="5">
        <f>IFERROR(__xludf.DUMMYFUNCTION("""COMPUTED_VALUE"""),2530.0)</f>
        <v>2530</v>
      </c>
      <c r="E229" s="5">
        <f>IFERROR(__xludf.DUMMYFUNCTION("""COMPUTED_VALUE"""),2680.0)</f>
        <v>2680</v>
      </c>
      <c r="F229" s="5">
        <f>IFERROR(__xludf.DUMMYFUNCTION("""COMPUTED_VALUE"""),1.568516E8)</f>
        <v>156851600</v>
      </c>
      <c r="G229" s="5">
        <f t="shared" si="1"/>
        <v>220</v>
      </c>
    </row>
    <row r="230">
      <c r="A230" s="4">
        <f>IFERROR(__xludf.DUMMYFUNCTION("""COMPUTED_VALUE"""),44173.66666666667)</f>
        <v>44173.66667</v>
      </c>
      <c r="B230" s="5">
        <f>IFERROR(__xludf.DUMMYFUNCTION("""COMPUTED_VALUE"""),2750.0)</f>
        <v>2750</v>
      </c>
      <c r="C230" s="5">
        <f>IFERROR(__xludf.DUMMYFUNCTION("""COMPUTED_VALUE"""),2850.0)</f>
        <v>2850</v>
      </c>
      <c r="D230" s="5">
        <f>IFERROR(__xludf.DUMMYFUNCTION("""COMPUTED_VALUE"""),2700.0)</f>
        <v>2700</v>
      </c>
      <c r="E230" s="5">
        <f>IFERROR(__xludf.DUMMYFUNCTION("""COMPUTED_VALUE"""),2820.0)</f>
        <v>2820</v>
      </c>
      <c r="F230" s="5">
        <f>IFERROR(__xludf.DUMMYFUNCTION("""COMPUTED_VALUE"""),1.39826E8)</f>
        <v>139826000</v>
      </c>
      <c r="G230" s="5">
        <f t="shared" si="1"/>
        <v>170</v>
      </c>
    </row>
    <row r="231">
      <c r="A231" s="4">
        <f>IFERROR(__xludf.DUMMYFUNCTION("""COMPUTED_VALUE"""),44175.66666666667)</f>
        <v>44175.66667</v>
      </c>
      <c r="B231" s="5">
        <f>IFERROR(__xludf.DUMMYFUNCTION("""COMPUTED_VALUE"""),2850.0)</f>
        <v>2850</v>
      </c>
      <c r="C231" s="5">
        <f>IFERROR(__xludf.DUMMYFUNCTION("""COMPUTED_VALUE"""),2870.0)</f>
        <v>2870</v>
      </c>
      <c r="D231" s="5">
        <f>IFERROR(__xludf.DUMMYFUNCTION("""COMPUTED_VALUE"""),2750.0)</f>
        <v>2750</v>
      </c>
      <c r="E231" s="5">
        <f>IFERROR(__xludf.DUMMYFUNCTION("""COMPUTED_VALUE"""),2800.0)</f>
        <v>2800</v>
      </c>
      <c r="F231" s="5">
        <f>IFERROR(__xludf.DUMMYFUNCTION("""COMPUTED_VALUE"""),1.078877E8)</f>
        <v>107887700</v>
      </c>
      <c r="G231" s="5">
        <f t="shared" si="1"/>
        <v>120</v>
      </c>
    </row>
    <row r="232">
      <c r="A232" s="4">
        <f>IFERROR(__xludf.DUMMYFUNCTION("""COMPUTED_VALUE"""),44176.66666666667)</f>
        <v>44176.66667</v>
      </c>
      <c r="B232" s="5">
        <f>IFERROR(__xludf.DUMMYFUNCTION("""COMPUTED_VALUE"""),2820.0)</f>
        <v>2820</v>
      </c>
      <c r="C232" s="5">
        <f>IFERROR(__xludf.DUMMYFUNCTION("""COMPUTED_VALUE"""),2850.0)</f>
        <v>2850</v>
      </c>
      <c r="D232" s="5">
        <f>IFERROR(__xludf.DUMMYFUNCTION("""COMPUTED_VALUE"""),2780.0)</f>
        <v>2780</v>
      </c>
      <c r="E232" s="5">
        <f>IFERROR(__xludf.DUMMYFUNCTION("""COMPUTED_VALUE"""),2810.0)</f>
        <v>2810</v>
      </c>
      <c r="F232" s="5">
        <f>IFERROR(__xludf.DUMMYFUNCTION("""COMPUTED_VALUE"""),5.93823E7)</f>
        <v>59382300</v>
      </c>
      <c r="G232" s="5">
        <f t="shared" si="1"/>
        <v>70</v>
      </c>
    </row>
    <row r="233">
      <c r="A233" s="4">
        <f>IFERROR(__xludf.DUMMYFUNCTION("""COMPUTED_VALUE"""),44179.66666666667)</f>
        <v>44179.66667</v>
      </c>
      <c r="B233" s="5">
        <f>IFERROR(__xludf.DUMMYFUNCTION("""COMPUTED_VALUE"""),2870.0)</f>
        <v>2870</v>
      </c>
      <c r="C233" s="5">
        <f>IFERROR(__xludf.DUMMYFUNCTION("""COMPUTED_VALUE"""),3050.0)</f>
        <v>3050</v>
      </c>
      <c r="D233" s="5">
        <f>IFERROR(__xludf.DUMMYFUNCTION("""COMPUTED_VALUE"""),2870.0)</f>
        <v>2870</v>
      </c>
      <c r="E233" s="5">
        <f>IFERROR(__xludf.DUMMYFUNCTION("""COMPUTED_VALUE"""),3050.0)</f>
        <v>3050</v>
      </c>
      <c r="F233" s="5">
        <f>IFERROR(__xludf.DUMMYFUNCTION("""COMPUTED_VALUE"""),1.062246E8)</f>
        <v>106224600</v>
      </c>
      <c r="G233" s="5">
        <f t="shared" si="1"/>
        <v>240</v>
      </c>
    </row>
    <row r="234">
      <c r="A234" s="4">
        <f>IFERROR(__xludf.DUMMYFUNCTION("""COMPUTED_VALUE"""),44180.66666666667)</f>
        <v>44180.66667</v>
      </c>
      <c r="B234" s="5">
        <f>IFERROR(__xludf.DUMMYFUNCTION("""COMPUTED_VALUE"""),3060.0)</f>
        <v>3060</v>
      </c>
      <c r="C234" s="5">
        <f>IFERROR(__xludf.DUMMYFUNCTION("""COMPUTED_VALUE"""),3090.0)</f>
        <v>3090</v>
      </c>
      <c r="D234" s="5">
        <f>IFERROR(__xludf.DUMMYFUNCTION("""COMPUTED_VALUE"""),2970.0)</f>
        <v>2970</v>
      </c>
      <c r="E234" s="5">
        <f>IFERROR(__xludf.DUMMYFUNCTION("""COMPUTED_VALUE"""),3070.0)</f>
        <v>3070</v>
      </c>
      <c r="F234" s="5">
        <f>IFERROR(__xludf.DUMMYFUNCTION("""COMPUTED_VALUE"""),9.26092E7)</f>
        <v>92609200</v>
      </c>
      <c r="G234" s="5">
        <f t="shared" si="1"/>
        <v>120</v>
      </c>
    </row>
    <row r="235">
      <c r="A235" s="4">
        <f>IFERROR(__xludf.DUMMYFUNCTION("""COMPUTED_VALUE"""),44181.66666666667)</f>
        <v>44181.66667</v>
      </c>
      <c r="B235" s="5">
        <f>IFERROR(__xludf.DUMMYFUNCTION("""COMPUTED_VALUE"""),3100.0)</f>
        <v>3100</v>
      </c>
      <c r="C235" s="5">
        <f>IFERROR(__xludf.DUMMYFUNCTION("""COMPUTED_VALUE"""),3180.0)</f>
        <v>3180</v>
      </c>
      <c r="D235" s="5">
        <f>IFERROR(__xludf.DUMMYFUNCTION("""COMPUTED_VALUE"""),3100.0)</f>
        <v>3100</v>
      </c>
      <c r="E235" s="5">
        <f>IFERROR(__xludf.DUMMYFUNCTION("""COMPUTED_VALUE"""),3170.0)</f>
        <v>3170</v>
      </c>
      <c r="F235" s="5">
        <f>IFERROR(__xludf.DUMMYFUNCTION("""COMPUTED_VALUE"""),5.78256E7)</f>
        <v>57825600</v>
      </c>
      <c r="G235" s="5">
        <f t="shared" si="1"/>
        <v>110</v>
      </c>
    </row>
    <row r="236">
      <c r="A236" s="4">
        <f>IFERROR(__xludf.DUMMYFUNCTION("""COMPUTED_VALUE"""),44182.66666666667)</f>
        <v>44182.66667</v>
      </c>
      <c r="B236" s="5">
        <f>IFERROR(__xludf.DUMMYFUNCTION("""COMPUTED_VALUE"""),3170.0)</f>
        <v>3170</v>
      </c>
      <c r="C236" s="5">
        <f>IFERROR(__xludf.DUMMYFUNCTION("""COMPUTED_VALUE"""),3180.0)</f>
        <v>3180</v>
      </c>
      <c r="D236" s="5">
        <f>IFERROR(__xludf.DUMMYFUNCTION("""COMPUTED_VALUE"""),3000.0)</f>
        <v>3000</v>
      </c>
      <c r="E236" s="5">
        <f>IFERROR(__xludf.DUMMYFUNCTION("""COMPUTED_VALUE"""),3040.0)</f>
        <v>3040</v>
      </c>
      <c r="F236" s="5">
        <f>IFERROR(__xludf.DUMMYFUNCTION("""COMPUTED_VALUE"""),8.56047E7)</f>
        <v>85604700</v>
      </c>
      <c r="G236" s="5">
        <f t="shared" si="1"/>
        <v>180</v>
      </c>
    </row>
    <row r="237">
      <c r="A237" s="4">
        <f>IFERROR(__xludf.DUMMYFUNCTION("""COMPUTED_VALUE"""),44183.66666666667)</f>
        <v>44183.66667</v>
      </c>
      <c r="B237" s="5">
        <f>IFERROR(__xludf.DUMMYFUNCTION("""COMPUTED_VALUE"""),3040.0)</f>
        <v>3040</v>
      </c>
      <c r="C237" s="5">
        <f>IFERROR(__xludf.DUMMYFUNCTION("""COMPUTED_VALUE"""),3050.0)</f>
        <v>3050</v>
      </c>
      <c r="D237" s="5">
        <f>IFERROR(__xludf.DUMMYFUNCTION("""COMPUTED_VALUE"""),2950.0)</f>
        <v>2950</v>
      </c>
      <c r="E237" s="5">
        <f>IFERROR(__xludf.DUMMYFUNCTION("""COMPUTED_VALUE"""),2980.0)</f>
        <v>2980</v>
      </c>
      <c r="F237" s="5">
        <f>IFERROR(__xludf.DUMMYFUNCTION("""COMPUTED_VALUE"""),7.2485E7)</f>
        <v>72485000</v>
      </c>
      <c r="G237" s="5">
        <f t="shared" si="1"/>
        <v>100</v>
      </c>
    </row>
    <row r="238">
      <c r="A238" s="4">
        <f>IFERROR(__xludf.DUMMYFUNCTION("""COMPUTED_VALUE"""),44186.66666666667)</f>
        <v>44186.66667</v>
      </c>
      <c r="B238" s="5">
        <f>IFERROR(__xludf.DUMMYFUNCTION("""COMPUTED_VALUE"""),2980.0)</f>
        <v>2980</v>
      </c>
      <c r="C238" s="5">
        <f>IFERROR(__xludf.DUMMYFUNCTION("""COMPUTED_VALUE"""),3080.0)</f>
        <v>3080</v>
      </c>
      <c r="D238" s="5">
        <f>IFERROR(__xludf.DUMMYFUNCTION("""COMPUTED_VALUE"""),2920.0)</f>
        <v>2920</v>
      </c>
      <c r="E238" s="5">
        <f>IFERROR(__xludf.DUMMYFUNCTION("""COMPUTED_VALUE"""),3040.0)</f>
        <v>3040</v>
      </c>
      <c r="F238" s="5">
        <f>IFERROR(__xludf.DUMMYFUNCTION("""COMPUTED_VALUE"""),8.56927E7)</f>
        <v>85692700</v>
      </c>
      <c r="G238" s="5">
        <f t="shared" si="1"/>
        <v>160</v>
      </c>
    </row>
    <row r="239">
      <c r="A239" s="4">
        <f>IFERROR(__xludf.DUMMYFUNCTION("""COMPUTED_VALUE"""),44187.66666666667)</f>
        <v>44187.66667</v>
      </c>
      <c r="B239" s="5">
        <f>IFERROR(__xludf.DUMMYFUNCTION("""COMPUTED_VALUE"""),3020.0)</f>
        <v>3020</v>
      </c>
      <c r="C239" s="5">
        <f>IFERROR(__xludf.DUMMYFUNCTION("""COMPUTED_VALUE"""),3030.0)</f>
        <v>3030</v>
      </c>
      <c r="D239" s="5">
        <f>IFERROR(__xludf.DUMMYFUNCTION("""COMPUTED_VALUE"""),2850.0)</f>
        <v>2850</v>
      </c>
      <c r="E239" s="5">
        <f>IFERROR(__xludf.DUMMYFUNCTION("""COMPUTED_VALUE"""),2880.0)</f>
        <v>2880</v>
      </c>
      <c r="F239" s="5">
        <f>IFERROR(__xludf.DUMMYFUNCTION("""COMPUTED_VALUE"""),7.52888E7)</f>
        <v>75288800</v>
      </c>
      <c r="G239" s="5">
        <f t="shared" si="1"/>
        <v>190</v>
      </c>
    </row>
    <row r="240">
      <c r="A240" s="4">
        <f>IFERROR(__xludf.DUMMYFUNCTION("""COMPUTED_VALUE"""),44188.66666666667)</f>
        <v>44188.66667</v>
      </c>
      <c r="B240" s="5">
        <f>IFERROR(__xludf.DUMMYFUNCTION("""COMPUTED_VALUE"""),2880.0)</f>
        <v>2880</v>
      </c>
      <c r="C240" s="5">
        <f>IFERROR(__xludf.DUMMYFUNCTION("""COMPUTED_VALUE"""),2970.0)</f>
        <v>2970</v>
      </c>
      <c r="D240" s="5">
        <f>IFERROR(__xludf.DUMMYFUNCTION("""COMPUTED_VALUE"""),2700.0)</f>
        <v>2700</v>
      </c>
      <c r="E240" s="5">
        <f>IFERROR(__xludf.DUMMYFUNCTION("""COMPUTED_VALUE"""),2820.0)</f>
        <v>2820</v>
      </c>
      <c r="F240" s="5">
        <f>IFERROR(__xludf.DUMMYFUNCTION("""COMPUTED_VALUE"""),8.16134E7)</f>
        <v>81613400</v>
      </c>
      <c r="G240" s="5">
        <f t="shared" si="1"/>
        <v>270</v>
      </c>
    </row>
    <row r="241">
      <c r="A241" s="4">
        <f>IFERROR(__xludf.DUMMYFUNCTION("""COMPUTED_VALUE"""),44193.66666666667)</f>
        <v>44193.66667</v>
      </c>
      <c r="B241" s="5">
        <f>IFERROR(__xludf.DUMMYFUNCTION("""COMPUTED_VALUE"""),2900.0)</f>
        <v>2900</v>
      </c>
      <c r="C241" s="5">
        <f>IFERROR(__xludf.DUMMYFUNCTION("""COMPUTED_VALUE"""),2900.0)</f>
        <v>2900</v>
      </c>
      <c r="D241" s="5">
        <f>IFERROR(__xludf.DUMMYFUNCTION("""COMPUTED_VALUE"""),2830.0)</f>
        <v>2830</v>
      </c>
      <c r="E241" s="5">
        <f>IFERROR(__xludf.DUMMYFUNCTION("""COMPUTED_VALUE"""),2850.0)</f>
        <v>2850</v>
      </c>
      <c r="F241" s="5">
        <f>IFERROR(__xludf.DUMMYFUNCTION("""COMPUTED_VALUE"""),5.21847E7)</f>
        <v>52184700</v>
      </c>
      <c r="G241" s="5">
        <f t="shared" si="1"/>
        <v>80</v>
      </c>
    </row>
    <row r="242">
      <c r="A242" s="4">
        <f>IFERROR(__xludf.DUMMYFUNCTION("""COMPUTED_VALUE"""),44194.66666666667)</f>
        <v>44194.66667</v>
      </c>
      <c r="B242" s="5">
        <f>IFERROR(__xludf.DUMMYFUNCTION("""COMPUTED_VALUE"""),2890.0)</f>
        <v>2890</v>
      </c>
      <c r="C242" s="5">
        <f>IFERROR(__xludf.DUMMYFUNCTION("""COMPUTED_VALUE"""),2940.0)</f>
        <v>2940</v>
      </c>
      <c r="D242" s="5">
        <f>IFERROR(__xludf.DUMMYFUNCTION("""COMPUTED_VALUE"""),2840.0)</f>
        <v>2840</v>
      </c>
      <c r="E242" s="5">
        <f>IFERROR(__xludf.DUMMYFUNCTION("""COMPUTED_VALUE"""),2890.0)</f>
        <v>2890</v>
      </c>
      <c r="F242" s="5">
        <f>IFERROR(__xludf.DUMMYFUNCTION("""COMPUTED_VALUE"""),6.43212E7)</f>
        <v>64321200</v>
      </c>
      <c r="G242" s="5">
        <f t="shared" si="1"/>
        <v>100</v>
      </c>
    </row>
    <row r="243">
      <c r="A243" s="4">
        <f>IFERROR(__xludf.DUMMYFUNCTION("""COMPUTED_VALUE"""),44195.66666666667)</f>
        <v>44195.66667</v>
      </c>
      <c r="B243" s="5">
        <f>IFERROR(__xludf.DUMMYFUNCTION("""COMPUTED_VALUE"""),2850.0)</f>
        <v>2850</v>
      </c>
      <c r="C243" s="5">
        <f>IFERROR(__xludf.DUMMYFUNCTION("""COMPUTED_VALUE"""),2880.0)</f>
        <v>2880</v>
      </c>
      <c r="D243" s="5">
        <f>IFERROR(__xludf.DUMMYFUNCTION("""COMPUTED_VALUE"""),2790.0)</f>
        <v>2790</v>
      </c>
      <c r="E243" s="5">
        <f>IFERROR(__xludf.DUMMYFUNCTION("""COMPUTED_VALUE"""),2810.0)</f>
        <v>2810</v>
      </c>
      <c r="F243" s="5">
        <f>IFERROR(__xludf.DUMMYFUNCTION("""COMPUTED_VALUE"""),4.76528E7)</f>
        <v>47652800</v>
      </c>
      <c r="G243" s="5">
        <f t="shared" si="1"/>
        <v>100</v>
      </c>
    </row>
    <row r="244">
      <c r="A244" s="4">
        <f>IFERROR(__xludf.DUMMYFUNCTION("""COMPUTED_VALUE"""),44200.625)</f>
        <v>44200.625</v>
      </c>
      <c r="B244" s="5">
        <f>IFERROR(__xludf.DUMMYFUNCTION("""COMPUTED_VALUE"""),2810.0)</f>
        <v>2810</v>
      </c>
      <c r="C244" s="5">
        <f>IFERROR(__xludf.DUMMYFUNCTION("""COMPUTED_VALUE"""),2830.0)</f>
        <v>2830</v>
      </c>
      <c r="D244" s="5">
        <f>IFERROR(__xludf.DUMMYFUNCTION("""COMPUTED_VALUE"""),2640.0)</f>
        <v>2640</v>
      </c>
      <c r="E244" s="5">
        <f>IFERROR(__xludf.DUMMYFUNCTION("""COMPUTED_VALUE"""),2790.0)</f>
        <v>2790</v>
      </c>
      <c r="F244" s="5">
        <f>IFERROR(__xludf.DUMMYFUNCTION("""COMPUTED_VALUE"""),7.68844E7)</f>
        <v>76884400</v>
      </c>
      <c r="G244" s="5">
        <f t="shared" si="1"/>
        <v>190</v>
      </c>
    </row>
    <row r="245">
      <c r="A245" s="4">
        <f>IFERROR(__xludf.DUMMYFUNCTION("""COMPUTED_VALUE"""),44201.625)</f>
        <v>44201.625</v>
      </c>
      <c r="B245" s="5">
        <f>IFERROR(__xludf.DUMMYFUNCTION("""COMPUTED_VALUE"""),2790.0)</f>
        <v>2790</v>
      </c>
      <c r="C245" s="5">
        <f>IFERROR(__xludf.DUMMYFUNCTION("""COMPUTED_VALUE"""),2860.0)</f>
        <v>2860</v>
      </c>
      <c r="D245" s="5">
        <f>IFERROR(__xludf.DUMMYFUNCTION("""COMPUTED_VALUE"""),2760.0)</f>
        <v>2760</v>
      </c>
      <c r="E245" s="5">
        <f>IFERROR(__xludf.DUMMYFUNCTION("""COMPUTED_VALUE"""),2770.0)</f>
        <v>2770</v>
      </c>
      <c r="F245" s="5">
        <f>IFERROR(__xludf.DUMMYFUNCTION("""COMPUTED_VALUE"""),4.60442E7)</f>
        <v>46044200</v>
      </c>
      <c r="G245" s="5">
        <f t="shared" si="1"/>
        <v>100</v>
      </c>
    </row>
    <row r="246">
      <c r="A246" s="4">
        <f>IFERROR(__xludf.DUMMYFUNCTION("""COMPUTED_VALUE"""),44202.625)</f>
        <v>44202.625</v>
      </c>
      <c r="B246" s="5">
        <f>IFERROR(__xludf.DUMMYFUNCTION("""COMPUTED_VALUE"""),2770.0)</f>
        <v>2770</v>
      </c>
      <c r="C246" s="5">
        <f>IFERROR(__xludf.DUMMYFUNCTION("""COMPUTED_VALUE"""),2770.0)</f>
        <v>2770</v>
      </c>
      <c r="D246" s="5">
        <f>IFERROR(__xludf.DUMMYFUNCTION("""COMPUTED_VALUE"""),2630.0)</f>
        <v>2630</v>
      </c>
      <c r="E246" s="5">
        <f>IFERROR(__xludf.DUMMYFUNCTION("""COMPUTED_VALUE"""),2680.0)</f>
        <v>2680</v>
      </c>
      <c r="F246" s="5">
        <f>IFERROR(__xludf.DUMMYFUNCTION("""COMPUTED_VALUE"""),6.46796E7)</f>
        <v>64679600</v>
      </c>
      <c r="G246" s="5">
        <f t="shared" si="1"/>
        <v>140</v>
      </c>
    </row>
    <row r="247">
      <c r="A247" s="4">
        <f>IFERROR(__xludf.DUMMYFUNCTION("""COMPUTED_VALUE"""),44203.66666666667)</f>
        <v>44203.66667</v>
      </c>
      <c r="B247" s="5">
        <f>IFERROR(__xludf.DUMMYFUNCTION("""COMPUTED_VALUE"""),2670.0)</f>
        <v>2670</v>
      </c>
      <c r="C247" s="5">
        <f>IFERROR(__xludf.DUMMYFUNCTION("""COMPUTED_VALUE"""),2840.0)</f>
        <v>2840</v>
      </c>
      <c r="D247" s="5">
        <f>IFERROR(__xludf.DUMMYFUNCTION("""COMPUTED_VALUE"""),2620.0)</f>
        <v>2620</v>
      </c>
      <c r="E247" s="5">
        <f>IFERROR(__xludf.DUMMYFUNCTION("""COMPUTED_VALUE"""),2820.0)</f>
        <v>2820</v>
      </c>
      <c r="F247" s="5">
        <f>IFERROR(__xludf.DUMMYFUNCTION("""COMPUTED_VALUE"""),1.083018E8)</f>
        <v>108301800</v>
      </c>
      <c r="G247" s="5">
        <f t="shared" si="1"/>
        <v>220</v>
      </c>
    </row>
    <row r="248">
      <c r="A248" s="4">
        <f>IFERROR(__xludf.DUMMYFUNCTION("""COMPUTED_VALUE"""),44204.66666666667)</f>
        <v>44204.66667</v>
      </c>
      <c r="B248" s="5">
        <f>IFERROR(__xludf.DUMMYFUNCTION("""COMPUTED_VALUE"""),2900.0)</f>
        <v>2900</v>
      </c>
      <c r="C248" s="5">
        <f>IFERROR(__xludf.DUMMYFUNCTION("""COMPUTED_VALUE"""),3000.0)</f>
        <v>3000</v>
      </c>
      <c r="D248" s="5">
        <f>IFERROR(__xludf.DUMMYFUNCTION("""COMPUTED_VALUE"""),2830.0)</f>
        <v>2830</v>
      </c>
      <c r="E248" s="5">
        <f>IFERROR(__xludf.DUMMYFUNCTION("""COMPUTED_VALUE"""),2850.0)</f>
        <v>2850</v>
      </c>
      <c r="F248" s="5">
        <f>IFERROR(__xludf.DUMMYFUNCTION("""COMPUTED_VALUE"""),1.071264E8)</f>
        <v>107126400</v>
      </c>
      <c r="G248" s="5">
        <f t="shared" si="1"/>
        <v>180</v>
      </c>
    </row>
    <row r="249">
      <c r="A249" s="4">
        <f>IFERROR(__xludf.DUMMYFUNCTION("""COMPUTED_VALUE"""),44207.625)</f>
        <v>44207.625</v>
      </c>
      <c r="B249" s="5">
        <f>IFERROR(__xludf.DUMMYFUNCTION("""COMPUTED_VALUE"""),2930.0)</f>
        <v>2930</v>
      </c>
      <c r="C249" s="5">
        <f>IFERROR(__xludf.DUMMYFUNCTION("""COMPUTED_VALUE"""),2960.0)</f>
        <v>2960</v>
      </c>
      <c r="D249" s="5">
        <f>IFERROR(__xludf.DUMMYFUNCTION("""COMPUTED_VALUE"""),2870.0)</f>
        <v>2870</v>
      </c>
      <c r="E249" s="5">
        <f>IFERROR(__xludf.DUMMYFUNCTION("""COMPUTED_VALUE"""),2910.0)</f>
        <v>2910</v>
      </c>
      <c r="F249" s="5">
        <f>IFERROR(__xludf.DUMMYFUNCTION("""COMPUTED_VALUE"""),8.64122E7)</f>
        <v>86412200</v>
      </c>
      <c r="G249" s="5">
        <f t="shared" si="1"/>
        <v>110</v>
      </c>
    </row>
    <row r="250">
      <c r="A250" s="4">
        <f>IFERROR(__xludf.DUMMYFUNCTION("""COMPUTED_VALUE"""),44208.625)</f>
        <v>44208.625</v>
      </c>
      <c r="B250" s="5">
        <f>IFERROR(__xludf.DUMMYFUNCTION("""COMPUTED_VALUE"""),2910.0)</f>
        <v>2910</v>
      </c>
      <c r="C250" s="5">
        <f>IFERROR(__xludf.DUMMYFUNCTION("""COMPUTED_VALUE"""),2930.0)</f>
        <v>2930</v>
      </c>
      <c r="D250" s="5">
        <f>IFERROR(__xludf.DUMMYFUNCTION("""COMPUTED_VALUE"""),2840.0)</f>
        <v>2840</v>
      </c>
      <c r="E250" s="5">
        <f>IFERROR(__xludf.DUMMYFUNCTION("""COMPUTED_VALUE"""),2860.0)</f>
        <v>2860</v>
      </c>
      <c r="F250" s="5">
        <f>IFERROR(__xludf.DUMMYFUNCTION("""COMPUTED_VALUE"""),5.1911E7)</f>
        <v>51911000</v>
      </c>
      <c r="G250" s="5">
        <f t="shared" si="1"/>
        <v>90</v>
      </c>
    </row>
    <row r="251">
      <c r="A251" s="4">
        <f>IFERROR(__xludf.DUMMYFUNCTION("""COMPUTED_VALUE"""),44209.625)</f>
        <v>44209.625</v>
      </c>
      <c r="B251" s="5">
        <f>IFERROR(__xludf.DUMMYFUNCTION("""COMPUTED_VALUE"""),2980.0)</f>
        <v>2980</v>
      </c>
      <c r="C251" s="5">
        <f>IFERROR(__xludf.DUMMYFUNCTION("""COMPUTED_VALUE"""),3060.0)</f>
        <v>3060</v>
      </c>
      <c r="D251" s="5">
        <f>IFERROR(__xludf.DUMMYFUNCTION("""COMPUTED_VALUE"""),2900.0)</f>
        <v>2900</v>
      </c>
      <c r="E251" s="5">
        <f>IFERROR(__xludf.DUMMYFUNCTION("""COMPUTED_VALUE"""),3040.0)</f>
        <v>3040</v>
      </c>
      <c r="F251" s="5">
        <f>IFERROR(__xludf.DUMMYFUNCTION("""COMPUTED_VALUE"""),1.625808E8)</f>
        <v>162580800</v>
      </c>
      <c r="G251" s="5">
        <f t="shared" si="1"/>
        <v>200</v>
      </c>
    </row>
    <row r="252">
      <c r="A252" s="4">
        <f>IFERROR(__xludf.DUMMYFUNCTION("""COMPUTED_VALUE"""),44210.625)</f>
        <v>44210.625</v>
      </c>
      <c r="B252" s="5">
        <f>IFERROR(__xludf.DUMMYFUNCTION("""COMPUTED_VALUE"""),3080.0)</f>
        <v>3080</v>
      </c>
      <c r="C252" s="5">
        <f>IFERROR(__xludf.DUMMYFUNCTION("""COMPUTED_VALUE"""),3100.0)</f>
        <v>3100</v>
      </c>
      <c r="D252" s="5">
        <f>IFERROR(__xludf.DUMMYFUNCTION("""COMPUTED_VALUE"""),3000.0)</f>
        <v>3000</v>
      </c>
      <c r="E252" s="5">
        <f>IFERROR(__xludf.DUMMYFUNCTION("""COMPUTED_VALUE"""),3000.0)</f>
        <v>3000</v>
      </c>
      <c r="F252" s="5">
        <f>IFERROR(__xludf.DUMMYFUNCTION("""COMPUTED_VALUE"""),9.74535E7)</f>
        <v>97453500</v>
      </c>
      <c r="G252" s="5">
        <f t="shared" si="1"/>
        <v>100</v>
      </c>
    </row>
    <row r="253">
      <c r="A253" s="4">
        <f>IFERROR(__xludf.DUMMYFUNCTION("""COMPUTED_VALUE"""),44211.625)</f>
        <v>44211.625</v>
      </c>
      <c r="B253" s="5">
        <f>IFERROR(__xludf.DUMMYFUNCTION("""COMPUTED_VALUE"""),2980.0)</f>
        <v>2980</v>
      </c>
      <c r="C253" s="5">
        <f>IFERROR(__xludf.DUMMYFUNCTION("""COMPUTED_VALUE"""),3010.0)</f>
        <v>3010</v>
      </c>
      <c r="D253" s="5">
        <f>IFERROR(__xludf.DUMMYFUNCTION("""COMPUTED_VALUE"""),2920.0)</f>
        <v>2920</v>
      </c>
      <c r="E253" s="5">
        <f>IFERROR(__xludf.DUMMYFUNCTION("""COMPUTED_VALUE"""),2940.0)</f>
        <v>2940</v>
      </c>
      <c r="F253" s="5">
        <f>IFERROR(__xludf.DUMMYFUNCTION("""COMPUTED_VALUE"""),5.76454E7)</f>
        <v>57645400</v>
      </c>
      <c r="G253" s="5">
        <f t="shared" si="1"/>
        <v>90</v>
      </c>
    </row>
    <row r="254">
      <c r="A254" s="4">
        <f>IFERROR(__xludf.DUMMYFUNCTION("""COMPUTED_VALUE"""),44214.625)</f>
        <v>44214.625</v>
      </c>
      <c r="B254" s="5">
        <f>IFERROR(__xludf.DUMMYFUNCTION("""COMPUTED_VALUE"""),2940.0)</f>
        <v>2940</v>
      </c>
      <c r="C254" s="5">
        <f>IFERROR(__xludf.DUMMYFUNCTION("""COMPUTED_VALUE"""),3020.0)</f>
        <v>3020</v>
      </c>
      <c r="D254" s="5">
        <f>IFERROR(__xludf.DUMMYFUNCTION("""COMPUTED_VALUE"""),2860.0)</f>
        <v>2860</v>
      </c>
      <c r="E254" s="5">
        <f>IFERROR(__xludf.DUMMYFUNCTION("""COMPUTED_VALUE"""),2950.0)</f>
        <v>2950</v>
      </c>
      <c r="F254" s="5">
        <f>IFERROR(__xludf.DUMMYFUNCTION("""COMPUTED_VALUE"""),6.22837E7)</f>
        <v>62283700</v>
      </c>
      <c r="G254" s="5">
        <f t="shared" si="1"/>
        <v>160</v>
      </c>
    </row>
    <row r="255">
      <c r="A255" s="4">
        <f>IFERROR(__xludf.DUMMYFUNCTION("""COMPUTED_VALUE"""),44215.625)</f>
        <v>44215.625</v>
      </c>
      <c r="B255" s="5">
        <f>IFERROR(__xludf.DUMMYFUNCTION("""COMPUTED_VALUE"""),2960.0)</f>
        <v>2960</v>
      </c>
      <c r="C255" s="5">
        <f>IFERROR(__xludf.DUMMYFUNCTION("""COMPUTED_VALUE"""),2980.0)</f>
        <v>2980</v>
      </c>
      <c r="D255" s="5">
        <f>IFERROR(__xludf.DUMMYFUNCTION("""COMPUTED_VALUE"""),2760.0)</f>
        <v>2760</v>
      </c>
      <c r="E255" s="5">
        <f>IFERROR(__xludf.DUMMYFUNCTION("""COMPUTED_VALUE"""),2850.0)</f>
        <v>2850</v>
      </c>
      <c r="F255" s="5">
        <f>IFERROR(__xludf.DUMMYFUNCTION("""COMPUTED_VALUE"""),6.67047E7)</f>
        <v>66704700</v>
      </c>
      <c r="G255" s="5">
        <f t="shared" si="1"/>
        <v>220</v>
      </c>
    </row>
    <row r="256">
      <c r="A256" s="4">
        <f>IFERROR(__xludf.DUMMYFUNCTION("""COMPUTED_VALUE"""),44216.625)</f>
        <v>44216.625</v>
      </c>
      <c r="B256" s="5">
        <f>IFERROR(__xludf.DUMMYFUNCTION("""COMPUTED_VALUE"""),2840.0)</f>
        <v>2840</v>
      </c>
      <c r="C256" s="5">
        <f>IFERROR(__xludf.DUMMYFUNCTION("""COMPUTED_VALUE"""),2900.0)</f>
        <v>2900</v>
      </c>
      <c r="D256" s="5">
        <f>IFERROR(__xludf.DUMMYFUNCTION("""COMPUTED_VALUE"""),2800.0)</f>
        <v>2800</v>
      </c>
      <c r="E256" s="5">
        <f>IFERROR(__xludf.DUMMYFUNCTION("""COMPUTED_VALUE"""),2880.0)</f>
        <v>2880</v>
      </c>
      <c r="F256" s="5">
        <f>IFERROR(__xludf.DUMMYFUNCTION("""COMPUTED_VALUE"""),3.86527E7)</f>
        <v>38652700</v>
      </c>
      <c r="G256" s="5">
        <f t="shared" si="1"/>
        <v>100</v>
      </c>
    </row>
    <row r="257">
      <c r="A257" s="4">
        <f>IFERROR(__xludf.DUMMYFUNCTION("""COMPUTED_VALUE"""),44217.625)</f>
        <v>44217.625</v>
      </c>
      <c r="B257" s="5">
        <f>IFERROR(__xludf.DUMMYFUNCTION("""COMPUTED_VALUE"""),2900.0)</f>
        <v>2900</v>
      </c>
      <c r="C257" s="5">
        <f>IFERROR(__xludf.DUMMYFUNCTION("""COMPUTED_VALUE"""),2930.0)</f>
        <v>2930</v>
      </c>
      <c r="D257" s="5">
        <f>IFERROR(__xludf.DUMMYFUNCTION("""COMPUTED_VALUE"""),2840.0)</f>
        <v>2840</v>
      </c>
      <c r="E257" s="5">
        <f>IFERROR(__xludf.DUMMYFUNCTION("""COMPUTED_VALUE"""),2860.0)</f>
        <v>2860</v>
      </c>
      <c r="F257" s="5">
        <f>IFERROR(__xludf.DUMMYFUNCTION("""COMPUTED_VALUE"""),2.97987E7)</f>
        <v>29798700</v>
      </c>
      <c r="G257" s="5">
        <f t="shared" si="1"/>
        <v>90</v>
      </c>
    </row>
    <row r="258">
      <c r="A258" s="4">
        <f>IFERROR(__xludf.DUMMYFUNCTION("""COMPUTED_VALUE"""),44218.625)</f>
        <v>44218.625</v>
      </c>
      <c r="B258" s="5">
        <f>IFERROR(__xludf.DUMMYFUNCTION("""COMPUTED_VALUE"""),2860.0)</f>
        <v>2860</v>
      </c>
      <c r="C258" s="5">
        <f>IFERROR(__xludf.DUMMYFUNCTION("""COMPUTED_VALUE"""),2870.0)</f>
        <v>2870</v>
      </c>
      <c r="D258" s="5">
        <f>IFERROR(__xludf.DUMMYFUNCTION("""COMPUTED_VALUE"""),2720.0)</f>
        <v>2720</v>
      </c>
      <c r="E258" s="5">
        <f>IFERROR(__xludf.DUMMYFUNCTION("""COMPUTED_VALUE"""),2770.0)</f>
        <v>2770</v>
      </c>
      <c r="F258" s="5">
        <f>IFERROR(__xludf.DUMMYFUNCTION("""COMPUTED_VALUE"""),3.92873E7)</f>
        <v>39287300</v>
      </c>
      <c r="G258" s="5">
        <f t="shared" si="1"/>
        <v>150</v>
      </c>
    </row>
    <row r="259">
      <c r="A259" s="4">
        <f>IFERROR(__xludf.DUMMYFUNCTION("""COMPUTED_VALUE"""),44221.625)</f>
        <v>44221.625</v>
      </c>
      <c r="B259" s="5">
        <f>IFERROR(__xludf.DUMMYFUNCTION("""COMPUTED_VALUE"""),2770.0)</f>
        <v>2770</v>
      </c>
      <c r="C259" s="5">
        <f>IFERROR(__xludf.DUMMYFUNCTION("""COMPUTED_VALUE"""),2770.0)</f>
        <v>2770</v>
      </c>
      <c r="D259" s="5">
        <f>IFERROR(__xludf.DUMMYFUNCTION("""COMPUTED_VALUE"""),2620.0)</f>
        <v>2620</v>
      </c>
      <c r="E259" s="5">
        <f>IFERROR(__xludf.DUMMYFUNCTION("""COMPUTED_VALUE"""),2700.0)</f>
        <v>2700</v>
      </c>
      <c r="F259" s="5">
        <f>IFERROR(__xludf.DUMMYFUNCTION("""COMPUTED_VALUE"""),4.11229E7)</f>
        <v>41122900</v>
      </c>
      <c r="G259" s="5">
        <f t="shared" si="1"/>
        <v>150</v>
      </c>
    </row>
    <row r="260">
      <c r="A260" s="4">
        <f>IFERROR(__xludf.DUMMYFUNCTION("""COMPUTED_VALUE"""),44222.625)</f>
        <v>44222.625</v>
      </c>
      <c r="B260" s="5">
        <f>IFERROR(__xludf.DUMMYFUNCTION("""COMPUTED_VALUE"""),2700.0)</f>
        <v>2700</v>
      </c>
      <c r="C260" s="5">
        <f>IFERROR(__xludf.DUMMYFUNCTION("""COMPUTED_VALUE"""),2780.0)</f>
        <v>2780</v>
      </c>
      <c r="D260" s="5">
        <f>IFERROR(__xludf.DUMMYFUNCTION("""COMPUTED_VALUE"""),2600.0)</f>
        <v>2600</v>
      </c>
      <c r="E260" s="5">
        <f>IFERROR(__xludf.DUMMYFUNCTION("""COMPUTED_VALUE"""),2760.0)</f>
        <v>2760</v>
      </c>
      <c r="F260" s="5">
        <f>IFERROR(__xludf.DUMMYFUNCTION("""COMPUTED_VALUE"""),7.83487E7)</f>
        <v>78348700</v>
      </c>
      <c r="G260" s="5">
        <f t="shared" si="1"/>
        <v>180</v>
      </c>
    </row>
    <row r="261">
      <c r="A261" s="4">
        <f>IFERROR(__xludf.DUMMYFUNCTION("""COMPUTED_VALUE"""),44223.625)</f>
        <v>44223.625</v>
      </c>
      <c r="B261" s="5">
        <f>IFERROR(__xludf.DUMMYFUNCTION("""COMPUTED_VALUE"""),2820.0)</f>
        <v>2820</v>
      </c>
      <c r="C261" s="5">
        <f>IFERROR(__xludf.DUMMYFUNCTION("""COMPUTED_VALUE"""),2850.0)</f>
        <v>2850</v>
      </c>
      <c r="D261" s="5">
        <f>IFERROR(__xludf.DUMMYFUNCTION("""COMPUTED_VALUE"""),2650.0)</f>
        <v>2650</v>
      </c>
      <c r="E261" s="5">
        <f>IFERROR(__xludf.DUMMYFUNCTION("""COMPUTED_VALUE"""),2680.0)</f>
        <v>2680</v>
      </c>
      <c r="F261" s="5">
        <f>IFERROR(__xludf.DUMMYFUNCTION("""COMPUTED_VALUE"""),1.389773E8)</f>
        <v>138977300</v>
      </c>
      <c r="G261" s="5">
        <f t="shared" si="1"/>
        <v>200</v>
      </c>
    </row>
    <row r="262">
      <c r="A262" s="4">
        <f>IFERROR(__xludf.DUMMYFUNCTION("""COMPUTED_VALUE"""),44224.625)</f>
        <v>44224.625</v>
      </c>
      <c r="B262" s="5">
        <f>IFERROR(__xludf.DUMMYFUNCTION("""COMPUTED_VALUE"""),2670.0)</f>
        <v>2670</v>
      </c>
      <c r="C262" s="5">
        <f>IFERROR(__xludf.DUMMYFUNCTION("""COMPUTED_VALUE"""),2760.0)</f>
        <v>2760</v>
      </c>
      <c r="D262" s="5">
        <f>IFERROR(__xludf.DUMMYFUNCTION("""COMPUTED_VALUE"""),2560.0)</f>
        <v>2560</v>
      </c>
      <c r="E262" s="5">
        <f>IFERROR(__xludf.DUMMYFUNCTION("""COMPUTED_VALUE"""),2590.0)</f>
        <v>2590</v>
      </c>
      <c r="F262" s="5">
        <f>IFERROR(__xludf.DUMMYFUNCTION("""COMPUTED_VALUE"""),1.077966E8)</f>
        <v>107796600</v>
      </c>
      <c r="G262" s="5">
        <f t="shared" si="1"/>
        <v>200</v>
      </c>
    </row>
    <row r="263">
      <c r="A263" s="4">
        <f>IFERROR(__xludf.DUMMYFUNCTION("""COMPUTED_VALUE"""),44225.625)</f>
        <v>44225.625</v>
      </c>
      <c r="B263" s="5">
        <f>IFERROR(__xludf.DUMMYFUNCTION("""COMPUTED_VALUE"""),2650.0)</f>
        <v>2650</v>
      </c>
      <c r="C263" s="5">
        <f>IFERROR(__xludf.DUMMYFUNCTION("""COMPUTED_VALUE"""),2700.0)</f>
        <v>2700</v>
      </c>
      <c r="D263" s="5">
        <f>IFERROR(__xludf.DUMMYFUNCTION("""COMPUTED_VALUE"""),2480.0)</f>
        <v>2480</v>
      </c>
      <c r="E263" s="5">
        <f>IFERROR(__xludf.DUMMYFUNCTION("""COMPUTED_VALUE"""),2580.0)</f>
        <v>2580</v>
      </c>
      <c r="F263" s="5">
        <f>IFERROR(__xludf.DUMMYFUNCTION("""COMPUTED_VALUE"""),1.084018E8)</f>
        <v>108401800</v>
      </c>
      <c r="G263" s="5">
        <f t="shared" si="1"/>
        <v>220</v>
      </c>
    </row>
    <row r="264">
      <c r="A264" s="4">
        <f>IFERROR(__xludf.DUMMYFUNCTION("""COMPUTED_VALUE"""),44228.625)</f>
        <v>44228.625</v>
      </c>
      <c r="B264" s="5">
        <f>IFERROR(__xludf.DUMMYFUNCTION("""COMPUTED_VALUE"""),2590.0)</f>
        <v>2590</v>
      </c>
      <c r="C264" s="5">
        <f>IFERROR(__xludf.DUMMYFUNCTION("""COMPUTED_VALUE"""),2630.0)</f>
        <v>2630</v>
      </c>
      <c r="D264" s="5">
        <f>IFERROR(__xludf.DUMMYFUNCTION("""COMPUTED_VALUE"""),2440.0)</f>
        <v>2440</v>
      </c>
      <c r="E264" s="5">
        <f>IFERROR(__xludf.DUMMYFUNCTION("""COMPUTED_VALUE"""),2610.0)</f>
        <v>2610</v>
      </c>
      <c r="F264" s="5">
        <f>IFERROR(__xludf.DUMMYFUNCTION("""COMPUTED_VALUE"""),7.07883E7)</f>
        <v>70788300</v>
      </c>
      <c r="G264" s="5">
        <f t="shared" si="1"/>
        <v>190</v>
      </c>
    </row>
    <row r="265">
      <c r="A265" s="4">
        <f>IFERROR(__xludf.DUMMYFUNCTION("""COMPUTED_VALUE"""),44229.625)</f>
        <v>44229.625</v>
      </c>
      <c r="B265" s="5">
        <f>IFERROR(__xludf.DUMMYFUNCTION("""COMPUTED_VALUE"""),2620.0)</f>
        <v>2620</v>
      </c>
      <c r="C265" s="5">
        <f>IFERROR(__xludf.DUMMYFUNCTION("""COMPUTED_VALUE"""),2650.0)</f>
        <v>2650</v>
      </c>
      <c r="D265" s="5">
        <f>IFERROR(__xludf.DUMMYFUNCTION("""COMPUTED_VALUE"""),2450.0)</f>
        <v>2450</v>
      </c>
      <c r="E265" s="5">
        <f>IFERROR(__xludf.DUMMYFUNCTION("""COMPUTED_VALUE"""),2490.0)</f>
        <v>2490</v>
      </c>
      <c r="F265" s="5">
        <f>IFERROR(__xludf.DUMMYFUNCTION("""COMPUTED_VALUE"""),8.08812E7)</f>
        <v>80881200</v>
      </c>
      <c r="G265" s="5">
        <f t="shared" si="1"/>
        <v>200</v>
      </c>
    </row>
    <row r="266">
      <c r="A266" s="4">
        <f>IFERROR(__xludf.DUMMYFUNCTION("""COMPUTED_VALUE"""),44230.625)</f>
        <v>44230.625</v>
      </c>
      <c r="B266" s="5">
        <f>IFERROR(__xludf.DUMMYFUNCTION("""COMPUTED_VALUE"""),2490.0)</f>
        <v>2490</v>
      </c>
      <c r="C266" s="5">
        <f>IFERROR(__xludf.DUMMYFUNCTION("""COMPUTED_VALUE"""),2500.0)</f>
        <v>2500</v>
      </c>
      <c r="D266" s="5">
        <f>IFERROR(__xludf.DUMMYFUNCTION("""COMPUTED_VALUE"""),2400.0)</f>
        <v>2400</v>
      </c>
      <c r="E266" s="5">
        <f>IFERROR(__xludf.DUMMYFUNCTION("""COMPUTED_VALUE"""),2410.0)</f>
        <v>2410</v>
      </c>
      <c r="F266" s="5">
        <f>IFERROR(__xludf.DUMMYFUNCTION("""COMPUTED_VALUE"""),8.7968E7)</f>
        <v>87968000</v>
      </c>
      <c r="G266" s="5">
        <f t="shared" si="1"/>
        <v>100</v>
      </c>
    </row>
    <row r="267">
      <c r="A267" s="4">
        <f>IFERROR(__xludf.DUMMYFUNCTION("""COMPUTED_VALUE"""),44231.625)</f>
        <v>44231.625</v>
      </c>
      <c r="B267" s="5">
        <f>IFERROR(__xludf.DUMMYFUNCTION("""COMPUTED_VALUE"""),2410.0)</f>
        <v>2410</v>
      </c>
      <c r="C267" s="5">
        <f>IFERROR(__xludf.DUMMYFUNCTION("""COMPUTED_VALUE"""),2520.0)</f>
        <v>2520</v>
      </c>
      <c r="D267" s="5">
        <f>IFERROR(__xludf.DUMMYFUNCTION("""COMPUTED_VALUE"""),2400.0)</f>
        <v>2400</v>
      </c>
      <c r="E267" s="5">
        <f>IFERROR(__xludf.DUMMYFUNCTION("""COMPUTED_VALUE"""),2480.0)</f>
        <v>2480</v>
      </c>
      <c r="F267" s="5">
        <f>IFERROR(__xludf.DUMMYFUNCTION("""COMPUTED_VALUE"""),7.973E7)</f>
        <v>79730000</v>
      </c>
      <c r="G267" s="5">
        <f t="shared" si="1"/>
        <v>120</v>
      </c>
    </row>
    <row r="268">
      <c r="A268" s="4">
        <f>IFERROR(__xludf.DUMMYFUNCTION("""COMPUTED_VALUE"""),44232.625)</f>
        <v>44232.625</v>
      </c>
      <c r="B268" s="5">
        <f>IFERROR(__xludf.DUMMYFUNCTION("""COMPUTED_VALUE"""),2520.0)</f>
        <v>2520</v>
      </c>
      <c r="C268" s="5">
        <f>IFERROR(__xludf.DUMMYFUNCTION("""COMPUTED_VALUE"""),2590.0)</f>
        <v>2590</v>
      </c>
      <c r="D268" s="5">
        <f>IFERROR(__xludf.DUMMYFUNCTION("""COMPUTED_VALUE"""),2490.0)</f>
        <v>2490</v>
      </c>
      <c r="E268" s="5">
        <f>IFERROR(__xludf.DUMMYFUNCTION("""COMPUTED_VALUE"""),2560.0)</f>
        <v>2560</v>
      </c>
      <c r="F268" s="5">
        <f>IFERROR(__xludf.DUMMYFUNCTION("""COMPUTED_VALUE"""),7.24687E7)</f>
        <v>72468700</v>
      </c>
      <c r="G268" s="5">
        <f t="shared" si="1"/>
        <v>110</v>
      </c>
    </row>
    <row r="269">
      <c r="A269" s="4">
        <f>IFERROR(__xludf.DUMMYFUNCTION("""COMPUTED_VALUE"""),44235.625)</f>
        <v>44235.625</v>
      </c>
      <c r="B269" s="5">
        <f>IFERROR(__xludf.DUMMYFUNCTION("""COMPUTED_VALUE"""),2610.0)</f>
        <v>2610</v>
      </c>
      <c r="C269" s="5">
        <f>IFERROR(__xludf.DUMMYFUNCTION("""COMPUTED_VALUE"""),2640.0)</f>
        <v>2640</v>
      </c>
      <c r="D269" s="5">
        <f>IFERROR(__xludf.DUMMYFUNCTION("""COMPUTED_VALUE"""),2580.0)</f>
        <v>2580</v>
      </c>
      <c r="E269" s="5">
        <f>IFERROR(__xludf.DUMMYFUNCTION("""COMPUTED_VALUE"""),2610.0)</f>
        <v>2610</v>
      </c>
      <c r="F269" s="5">
        <f>IFERROR(__xludf.DUMMYFUNCTION("""COMPUTED_VALUE"""),3.7956E7)</f>
        <v>37956000</v>
      </c>
      <c r="G269" s="5">
        <f t="shared" si="1"/>
        <v>80</v>
      </c>
    </row>
    <row r="270">
      <c r="A270" s="4">
        <f>IFERROR(__xludf.DUMMYFUNCTION("""COMPUTED_VALUE"""),44236.625)</f>
        <v>44236.625</v>
      </c>
      <c r="B270" s="5">
        <f>IFERROR(__xludf.DUMMYFUNCTION("""COMPUTED_VALUE"""),2650.0)</f>
        <v>2650</v>
      </c>
      <c r="C270" s="5">
        <f>IFERROR(__xludf.DUMMYFUNCTION("""COMPUTED_VALUE"""),2650.0)</f>
        <v>2650</v>
      </c>
      <c r="D270" s="5">
        <f>IFERROR(__xludf.DUMMYFUNCTION("""COMPUTED_VALUE"""),2550.0)</f>
        <v>2550</v>
      </c>
      <c r="E270" s="5">
        <f>IFERROR(__xludf.DUMMYFUNCTION("""COMPUTED_VALUE"""),2590.0)</f>
        <v>2590</v>
      </c>
      <c r="F270" s="5">
        <f>IFERROR(__xludf.DUMMYFUNCTION("""COMPUTED_VALUE"""),3.87558E7)</f>
        <v>38755800</v>
      </c>
      <c r="G270" s="5">
        <f t="shared" si="1"/>
        <v>100</v>
      </c>
    </row>
    <row r="271">
      <c r="A271" s="4">
        <f>IFERROR(__xludf.DUMMYFUNCTION("""COMPUTED_VALUE"""),44237.625)</f>
        <v>44237.625</v>
      </c>
      <c r="B271" s="5">
        <f>IFERROR(__xludf.DUMMYFUNCTION("""COMPUTED_VALUE"""),2610.0)</f>
        <v>2610</v>
      </c>
      <c r="C271" s="5">
        <f>IFERROR(__xludf.DUMMYFUNCTION("""COMPUTED_VALUE"""),2610.0)</f>
        <v>2610</v>
      </c>
      <c r="D271" s="5">
        <f>IFERROR(__xludf.DUMMYFUNCTION("""COMPUTED_VALUE"""),2530.0)</f>
        <v>2530</v>
      </c>
      <c r="E271" s="5">
        <f>IFERROR(__xludf.DUMMYFUNCTION("""COMPUTED_VALUE"""),2550.0)</f>
        <v>2550</v>
      </c>
      <c r="F271" s="5">
        <f>IFERROR(__xludf.DUMMYFUNCTION("""COMPUTED_VALUE"""),1.98752E7)</f>
        <v>19875200</v>
      </c>
      <c r="G271" s="5">
        <f t="shared" si="1"/>
        <v>80</v>
      </c>
    </row>
    <row r="272">
      <c r="A272" s="4">
        <f>IFERROR(__xludf.DUMMYFUNCTION("""COMPUTED_VALUE"""),44238.625)</f>
        <v>44238.625</v>
      </c>
      <c r="B272" s="5">
        <f>IFERROR(__xludf.DUMMYFUNCTION("""COMPUTED_VALUE"""),2560.0)</f>
        <v>2560</v>
      </c>
      <c r="C272" s="5">
        <f>IFERROR(__xludf.DUMMYFUNCTION("""COMPUTED_VALUE"""),2610.0)</f>
        <v>2610</v>
      </c>
      <c r="D272" s="5">
        <f>IFERROR(__xludf.DUMMYFUNCTION("""COMPUTED_VALUE"""),2540.0)</f>
        <v>2540</v>
      </c>
      <c r="E272" s="5">
        <f>IFERROR(__xludf.DUMMYFUNCTION("""COMPUTED_VALUE"""),2590.0)</f>
        <v>2590</v>
      </c>
      <c r="F272" s="5">
        <f>IFERROR(__xludf.DUMMYFUNCTION("""COMPUTED_VALUE"""),1.96917E7)</f>
        <v>19691700</v>
      </c>
      <c r="G272" s="5">
        <f t="shared" si="1"/>
        <v>70</v>
      </c>
    </row>
    <row r="273">
      <c r="A273" s="4">
        <f>IFERROR(__xludf.DUMMYFUNCTION("""COMPUTED_VALUE"""),44242.625)</f>
        <v>44242.625</v>
      </c>
      <c r="B273" s="5">
        <f>IFERROR(__xludf.DUMMYFUNCTION("""COMPUTED_VALUE"""),2600.0)</f>
        <v>2600</v>
      </c>
      <c r="C273" s="5">
        <f>IFERROR(__xludf.DUMMYFUNCTION("""COMPUTED_VALUE"""),2620.0)</f>
        <v>2620</v>
      </c>
      <c r="D273" s="5">
        <f>IFERROR(__xludf.DUMMYFUNCTION("""COMPUTED_VALUE"""),2570.0)</f>
        <v>2570</v>
      </c>
      <c r="E273" s="5">
        <f>IFERROR(__xludf.DUMMYFUNCTION("""COMPUTED_VALUE"""),2600.0)</f>
        <v>2600</v>
      </c>
      <c r="F273" s="5">
        <f>IFERROR(__xludf.DUMMYFUNCTION("""COMPUTED_VALUE"""),1.87108E7)</f>
        <v>18710800</v>
      </c>
      <c r="G273" s="5">
        <f t="shared" si="1"/>
        <v>50</v>
      </c>
    </row>
    <row r="274">
      <c r="A274" s="4">
        <f>IFERROR(__xludf.DUMMYFUNCTION("""COMPUTED_VALUE"""),44243.625)</f>
        <v>44243.625</v>
      </c>
      <c r="B274" s="5">
        <f>IFERROR(__xludf.DUMMYFUNCTION("""COMPUTED_VALUE"""),2600.0)</f>
        <v>2600</v>
      </c>
      <c r="C274" s="5">
        <f>IFERROR(__xludf.DUMMYFUNCTION("""COMPUTED_VALUE"""),2630.0)</f>
        <v>2630</v>
      </c>
      <c r="D274" s="5">
        <f>IFERROR(__xludf.DUMMYFUNCTION("""COMPUTED_VALUE"""),2570.0)</f>
        <v>2570</v>
      </c>
      <c r="E274" s="5">
        <f>IFERROR(__xludf.DUMMYFUNCTION("""COMPUTED_VALUE"""),2600.0)</f>
        <v>2600</v>
      </c>
      <c r="F274" s="5">
        <f>IFERROR(__xludf.DUMMYFUNCTION("""COMPUTED_VALUE"""),2.65157E7)</f>
        <v>26515700</v>
      </c>
      <c r="G274" s="5">
        <f t="shared" si="1"/>
        <v>60</v>
      </c>
    </row>
    <row r="275">
      <c r="A275" s="4">
        <f>IFERROR(__xludf.DUMMYFUNCTION("""COMPUTED_VALUE"""),44244.625)</f>
        <v>44244.625</v>
      </c>
      <c r="B275" s="5">
        <f>IFERROR(__xludf.DUMMYFUNCTION("""COMPUTED_VALUE"""),2610.0)</f>
        <v>2610</v>
      </c>
      <c r="C275" s="5">
        <f>IFERROR(__xludf.DUMMYFUNCTION("""COMPUTED_VALUE"""),2630.0)</f>
        <v>2630</v>
      </c>
      <c r="D275" s="5">
        <f>IFERROR(__xludf.DUMMYFUNCTION("""COMPUTED_VALUE"""),2550.0)</f>
        <v>2550</v>
      </c>
      <c r="E275" s="5">
        <f>IFERROR(__xludf.DUMMYFUNCTION("""COMPUTED_VALUE"""),2560.0)</f>
        <v>2560</v>
      </c>
      <c r="F275" s="5">
        <f>IFERROR(__xludf.DUMMYFUNCTION("""COMPUTED_VALUE"""),4.25635E7)</f>
        <v>42563500</v>
      </c>
      <c r="G275" s="5">
        <f t="shared" si="1"/>
        <v>80</v>
      </c>
    </row>
    <row r="276">
      <c r="A276" s="4">
        <f>IFERROR(__xludf.DUMMYFUNCTION("""COMPUTED_VALUE"""),44245.625)</f>
        <v>44245.625</v>
      </c>
      <c r="B276" s="5">
        <f>IFERROR(__xludf.DUMMYFUNCTION("""COMPUTED_VALUE"""),2530.0)</f>
        <v>2530</v>
      </c>
      <c r="C276" s="5">
        <f>IFERROR(__xludf.DUMMYFUNCTION("""COMPUTED_VALUE"""),2600.0)</f>
        <v>2600</v>
      </c>
      <c r="D276" s="5">
        <f>IFERROR(__xludf.DUMMYFUNCTION("""COMPUTED_VALUE"""),2530.0)</f>
        <v>2530</v>
      </c>
      <c r="E276" s="5">
        <f>IFERROR(__xludf.DUMMYFUNCTION("""COMPUTED_VALUE"""),2560.0)</f>
        <v>2560</v>
      </c>
      <c r="F276" s="5">
        <f>IFERROR(__xludf.DUMMYFUNCTION("""COMPUTED_VALUE"""),2.20655E7)</f>
        <v>22065500</v>
      </c>
      <c r="G276" s="5">
        <f t="shared" si="1"/>
        <v>70</v>
      </c>
    </row>
    <row r="277">
      <c r="A277" s="4">
        <f>IFERROR(__xludf.DUMMYFUNCTION("""COMPUTED_VALUE"""),44246.625)</f>
        <v>44246.625</v>
      </c>
      <c r="B277" s="5">
        <f>IFERROR(__xludf.DUMMYFUNCTION("""COMPUTED_VALUE"""),2560.0)</f>
        <v>2560</v>
      </c>
      <c r="C277" s="5">
        <f>IFERROR(__xludf.DUMMYFUNCTION("""COMPUTED_VALUE"""),2570.0)</f>
        <v>2570</v>
      </c>
      <c r="D277" s="5">
        <f>IFERROR(__xludf.DUMMYFUNCTION("""COMPUTED_VALUE"""),2530.0)</f>
        <v>2530</v>
      </c>
      <c r="E277" s="5">
        <f>IFERROR(__xludf.DUMMYFUNCTION("""COMPUTED_VALUE"""),2550.0)</f>
        <v>2550</v>
      </c>
      <c r="F277" s="5">
        <f>IFERROR(__xludf.DUMMYFUNCTION("""COMPUTED_VALUE"""),1.07268E7)</f>
        <v>10726800</v>
      </c>
      <c r="G277" s="5">
        <f t="shared" si="1"/>
        <v>40</v>
      </c>
    </row>
    <row r="278">
      <c r="A278" s="4">
        <f>IFERROR(__xludf.DUMMYFUNCTION("""COMPUTED_VALUE"""),44249.625)</f>
        <v>44249.625</v>
      </c>
      <c r="B278" s="5">
        <f>IFERROR(__xludf.DUMMYFUNCTION("""COMPUTED_VALUE"""),2580.0)</f>
        <v>2580</v>
      </c>
      <c r="C278" s="5">
        <f>IFERROR(__xludf.DUMMYFUNCTION("""COMPUTED_VALUE"""),2750.0)</f>
        <v>2750</v>
      </c>
      <c r="D278" s="5">
        <f>IFERROR(__xludf.DUMMYFUNCTION("""COMPUTED_VALUE"""),2570.0)</f>
        <v>2570</v>
      </c>
      <c r="E278" s="5">
        <f>IFERROR(__xludf.DUMMYFUNCTION("""COMPUTED_VALUE"""),2740.0)</f>
        <v>2740</v>
      </c>
      <c r="F278" s="5">
        <f>IFERROR(__xludf.DUMMYFUNCTION("""COMPUTED_VALUE"""),1.170669E8)</f>
        <v>117066900</v>
      </c>
      <c r="G278" s="5">
        <f t="shared" si="1"/>
        <v>200</v>
      </c>
    </row>
    <row r="279">
      <c r="A279" s="4">
        <f>IFERROR(__xludf.DUMMYFUNCTION("""COMPUTED_VALUE"""),44250.66666666667)</f>
        <v>44250.66667</v>
      </c>
      <c r="B279" s="5">
        <f>IFERROR(__xludf.DUMMYFUNCTION("""COMPUTED_VALUE"""),2750.0)</f>
        <v>2750</v>
      </c>
      <c r="C279" s="5">
        <f>IFERROR(__xludf.DUMMYFUNCTION("""COMPUTED_VALUE"""),2760.0)</f>
        <v>2760</v>
      </c>
      <c r="D279" s="5">
        <f>IFERROR(__xludf.DUMMYFUNCTION("""COMPUTED_VALUE"""),2700.0)</f>
        <v>2700</v>
      </c>
      <c r="E279" s="5">
        <f>IFERROR(__xludf.DUMMYFUNCTION("""COMPUTED_VALUE"""),2720.0)</f>
        <v>2720</v>
      </c>
      <c r="F279" s="5">
        <f>IFERROR(__xludf.DUMMYFUNCTION("""COMPUTED_VALUE"""),4.80605E7)</f>
        <v>48060500</v>
      </c>
      <c r="G279" s="5">
        <f t="shared" si="1"/>
        <v>60</v>
      </c>
    </row>
    <row r="280">
      <c r="A280" s="4">
        <f>IFERROR(__xludf.DUMMYFUNCTION("""COMPUTED_VALUE"""),44251.625)</f>
        <v>44251.625</v>
      </c>
      <c r="B280" s="5">
        <f>IFERROR(__xludf.DUMMYFUNCTION("""COMPUTED_VALUE"""),2720.0)</f>
        <v>2720</v>
      </c>
      <c r="C280" s="5">
        <f>IFERROR(__xludf.DUMMYFUNCTION("""COMPUTED_VALUE"""),2730.0)</f>
        <v>2730</v>
      </c>
      <c r="D280" s="5">
        <f>IFERROR(__xludf.DUMMYFUNCTION("""COMPUTED_VALUE"""),2620.0)</f>
        <v>2620</v>
      </c>
      <c r="E280" s="5">
        <f>IFERROR(__xludf.DUMMYFUNCTION("""COMPUTED_VALUE"""),2630.0)</f>
        <v>2630</v>
      </c>
      <c r="F280" s="5">
        <f>IFERROR(__xludf.DUMMYFUNCTION("""COMPUTED_VALUE"""),5.36903E7)</f>
        <v>53690300</v>
      </c>
      <c r="G280" s="5">
        <f t="shared" si="1"/>
        <v>110</v>
      </c>
    </row>
    <row r="281">
      <c r="A281" s="4">
        <f>IFERROR(__xludf.DUMMYFUNCTION("""COMPUTED_VALUE"""),44252.625)</f>
        <v>44252.625</v>
      </c>
      <c r="B281" s="5">
        <f>IFERROR(__xludf.DUMMYFUNCTION("""COMPUTED_VALUE"""),2680.0)</f>
        <v>2680</v>
      </c>
      <c r="C281" s="5">
        <f>IFERROR(__xludf.DUMMYFUNCTION("""COMPUTED_VALUE"""),2710.0)</f>
        <v>2710</v>
      </c>
      <c r="D281" s="5">
        <f>IFERROR(__xludf.DUMMYFUNCTION("""COMPUTED_VALUE"""),2660.0)</f>
        <v>2660</v>
      </c>
      <c r="E281" s="5">
        <f>IFERROR(__xludf.DUMMYFUNCTION("""COMPUTED_VALUE"""),2680.0)</f>
        <v>2680</v>
      </c>
      <c r="F281" s="5">
        <f>IFERROR(__xludf.DUMMYFUNCTION("""COMPUTED_VALUE"""),3.75173E7)</f>
        <v>37517300</v>
      </c>
      <c r="G281" s="5">
        <f t="shared" si="1"/>
        <v>80</v>
      </c>
    </row>
    <row r="282">
      <c r="A282" s="4">
        <f>IFERROR(__xludf.DUMMYFUNCTION("""COMPUTED_VALUE"""),44253.625)</f>
        <v>44253.625</v>
      </c>
      <c r="B282" s="5">
        <f>IFERROR(__xludf.DUMMYFUNCTION("""COMPUTED_VALUE"""),2630.0)</f>
        <v>2630</v>
      </c>
      <c r="C282" s="5">
        <f>IFERROR(__xludf.DUMMYFUNCTION("""COMPUTED_VALUE"""),2710.0)</f>
        <v>2710</v>
      </c>
      <c r="D282" s="5">
        <f>IFERROR(__xludf.DUMMYFUNCTION("""COMPUTED_VALUE"""),2600.0)</f>
        <v>2600</v>
      </c>
      <c r="E282" s="5">
        <f>IFERROR(__xludf.DUMMYFUNCTION("""COMPUTED_VALUE"""),2710.0)</f>
        <v>2710</v>
      </c>
      <c r="F282" s="5">
        <f>IFERROR(__xludf.DUMMYFUNCTION("""COMPUTED_VALUE"""),3.63463E7)</f>
        <v>36346300</v>
      </c>
      <c r="G282" s="5">
        <f t="shared" si="1"/>
        <v>110</v>
      </c>
    </row>
    <row r="283">
      <c r="A283" s="4">
        <f>IFERROR(__xludf.DUMMYFUNCTION("""COMPUTED_VALUE"""),44256.625)</f>
        <v>44256.625</v>
      </c>
      <c r="B283" s="5">
        <f>IFERROR(__xludf.DUMMYFUNCTION("""COMPUTED_VALUE"""),2740.0)</f>
        <v>2740</v>
      </c>
      <c r="C283" s="5">
        <f>IFERROR(__xludf.DUMMYFUNCTION("""COMPUTED_VALUE"""),2750.0)</f>
        <v>2750</v>
      </c>
      <c r="D283" s="5">
        <f>IFERROR(__xludf.DUMMYFUNCTION("""COMPUTED_VALUE"""),2690.0)</f>
        <v>2690</v>
      </c>
      <c r="E283" s="5">
        <f>IFERROR(__xludf.DUMMYFUNCTION("""COMPUTED_VALUE"""),2720.0)</f>
        <v>2720</v>
      </c>
      <c r="F283" s="5">
        <f>IFERROR(__xludf.DUMMYFUNCTION("""COMPUTED_VALUE"""),2.35295E7)</f>
        <v>23529500</v>
      </c>
      <c r="G283" s="5">
        <f t="shared" si="1"/>
        <v>60</v>
      </c>
    </row>
    <row r="284">
      <c r="A284" s="4">
        <f>IFERROR(__xludf.DUMMYFUNCTION("""COMPUTED_VALUE"""),44257.625)</f>
        <v>44257.625</v>
      </c>
      <c r="B284" s="5">
        <f>IFERROR(__xludf.DUMMYFUNCTION("""COMPUTED_VALUE"""),2750.0)</f>
        <v>2750</v>
      </c>
      <c r="C284" s="5">
        <f>IFERROR(__xludf.DUMMYFUNCTION("""COMPUTED_VALUE"""),2790.0)</f>
        <v>2790</v>
      </c>
      <c r="D284" s="5">
        <f>IFERROR(__xludf.DUMMYFUNCTION("""COMPUTED_VALUE"""),2730.0)</f>
        <v>2730</v>
      </c>
      <c r="E284" s="5">
        <f>IFERROR(__xludf.DUMMYFUNCTION("""COMPUTED_VALUE"""),2730.0)</f>
        <v>2730</v>
      </c>
      <c r="F284" s="5">
        <f>IFERROR(__xludf.DUMMYFUNCTION("""COMPUTED_VALUE"""),4.2723E7)</f>
        <v>42723000</v>
      </c>
      <c r="G284" s="5">
        <f t="shared" si="1"/>
        <v>70</v>
      </c>
    </row>
    <row r="285">
      <c r="A285" s="4">
        <f>IFERROR(__xludf.DUMMYFUNCTION("""COMPUTED_VALUE"""),44258.625)</f>
        <v>44258.625</v>
      </c>
      <c r="B285" s="5">
        <f>IFERROR(__xludf.DUMMYFUNCTION("""COMPUTED_VALUE"""),2760.0)</f>
        <v>2760</v>
      </c>
      <c r="C285" s="5">
        <f>IFERROR(__xludf.DUMMYFUNCTION("""COMPUTED_VALUE"""),2760.0)</f>
        <v>2760</v>
      </c>
      <c r="D285" s="5">
        <f>IFERROR(__xludf.DUMMYFUNCTION("""COMPUTED_VALUE"""),2700.0)</f>
        <v>2700</v>
      </c>
      <c r="E285" s="5">
        <f>IFERROR(__xludf.DUMMYFUNCTION("""COMPUTED_VALUE"""),2710.0)</f>
        <v>2710</v>
      </c>
      <c r="F285" s="5">
        <f>IFERROR(__xludf.DUMMYFUNCTION("""COMPUTED_VALUE"""),2.20921E7)</f>
        <v>22092100</v>
      </c>
      <c r="G285" s="5">
        <f t="shared" si="1"/>
        <v>60</v>
      </c>
    </row>
    <row r="286">
      <c r="A286" s="4">
        <f>IFERROR(__xludf.DUMMYFUNCTION("""COMPUTED_VALUE"""),44259.625)</f>
        <v>44259.625</v>
      </c>
      <c r="B286" s="5">
        <f>IFERROR(__xludf.DUMMYFUNCTION("""COMPUTED_VALUE"""),2710.0)</f>
        <v>2710</v>
      </c>
      <c r="C286" s="5">
        <f>IFERROR(__xludf.DUMMYFUNCTION("""COMPUTED_VALUE"""),2750.0)</f>
        <v>2750</v>
      </c>
      <c r="D286" s="5">
        <f>IFERROR(__xludf.DUMMYFUNCTION("""COMPUTED_VALUE"""),2660.0)</f>
        <v>2660</v>
      </c>
      <c r="E286" s="5">
        <f>IFERROR(__xludf.DUMMYFUNCTION("""COMPUTED_VALUE"""),2710.0)</f>
        <v>2710</v>
      </c>
      <c r="F286" s="5">
        <f>IFERROR(__xludf.DUMMYFUNCTION("""COMPUTED_VALUE"""),4.29747E7)</f>
        <v>42974700</v>
      </c>
      <c r="G286" s="5">
        <f t="shared" si="1"/>
        <v>90</v>
      </c>
    </row>
    <row r="287">
      <c r="A287" s="4">
        <f>IFERROR(__xludf.DUMMYFUNCTION("""COMPUTED_VALUE"""),44260.625)</f>
        <v>44260.625</v>
      </c>
      <c r="B287" s="5">
        <f>IFERROR(__xludf.DUMMYFUNCTION("""COMPUTED_VALUE"""),2680.0)</f>
        <v>2680</v>
      </c>
      <c r="C287" s="5">
        <f>IFERROR(__xludf.DUMMYFUNCTION("""COMPUTED_VALUE"""),2710.0)</f>
        <v>2710</v>
      </c>
      <c r="D287" s="5">
        <f>IFERROR(__xludf.DUMMYFUNCTION("""COMPUTED_VALUE"""),2670.0)</f>
        <v>2670</v>
      </c>
      <c r="E287" s="5">
        <f>IFERROR(__xludf.DUMMYFUNCTION("""COMPUTED_VALUE"""),2710.0)</f>
        <v>2710</v>
      </c>
      <c r="F287" s="5">
        <f>IFERROR(__xludf.DUMMYFUNCTION("""COMPUTED_VALUE"""),1.92867E7)</f>
        <v>19286700</v>
      </c>
      <c r="G287" s="5">
        <f t="shared" si="1"/>
        <v>40</v>
      </c>
    </row>
    <row r="288">
      <c r="A288" s="4">
        <f>IFERROR(__xludf.DUMMYFUNCTION("""COMPUTED_VALUE"""),44263.66666666667)</f>
        <v>44263.66667</v>
      </c>
      <c r="B288" s="5">
        <f>IFERROR(__xludf.DUMMYFUNCTION("""COMPUTED_VALUE"""),2730.0)</f>
        <v>2730</v>
      </c>
      <c r="C288" s="5">
        <f>IFERROR(__xludf.DUMMYFUNCTION("""COMPUTED_VALUE"""),2740.0)</f>
        <v>2740</v>
      </c>
      <c r="D288" s="5">
        <f>IFERROR(__xludf.DUMMYFUNCTION("""COMPUTED_VALUE"""),2680.0)</f>
        <v>2680</v>
      </c>
      <c r="E288" s="5">
        <f>IFERROR(__xludf.DUMMYFUNCTION("""COMPUTED_VALUE"""),2680.0)</f>
        <v>2680</v>
      </c>
      <c r="F288" s="5">
        <f>IFERROR(__xludf.DUMMYFUNCTION("""COMPUTED_VALUE"""),1.83413E7)</f>
        <v>18341300</v>
      </c>
      <c r="G288" s="5">
        <f t="shared" si="1"/>
        <v>60</v>
      </c>
    </row>
    <row r="289">
      <c r="A289" s="4">
        <f>IFERROR(__xludf.DUMMYFUNCTION("""COMPUTED_VALUE"""),44264.625)</f>
        <v>44264.625</v>
      </c>
      <c r="B289" s="5">
        <f>IFERROR(__xludf.DUMMYFUNCTION("""COMPUTED_VALUE"""),2680.0)</f>
        <v>2680</v>
      </c>
      <c r="C289" s="5">
        <f>IFERROR(__xludf.DUMMYFUNCTION("""COMPUTED_VALUE"""),2700.0)</f>
        <v>2700</v>
      </c>
      <c r="D289" s="5">
        <f>IFERROR(__xludf.DUMMYFUNCTION("""COMPUTED_VALUE"""),2580.0)</f>
        <v>2580</v>
      </c>
      <c r="E289" s="5">
        <f>IFERROR(__xludf.DUMMYFUNCTION("""COMPUTED_VALUE"""),2610.0)</f>
        <v>2610</v>
      </c>
      <c r="F289" s="5">
        <f>IFERROR(__xludf.DUMMYFUNCTION("""COMPUTED_VALUE"""),2.85315E7)</f>
        <v>28531500</v>
      </c>
      <c r="G289" s="5">
        <f t="shared" si="1"/>
        <v>120</v>
      </c>
    </row>
    <row r="290">
      <c r="A290" s="4">
        <f>IFERROR(__xludf.DUMMYFUNCTION("""COMPUTED_VALUE"""),44265.625)</f>
        <v>44265.625</v>
      </c>
      <c r="B290" s="5">
        <f>IFERROR(__xludf.DUMMYFUNCTION("""COMPUTED_VALUE"""),2650.0)</f>
        <v>2650</v>
      </c>
      <c r="C290" s="5">
        <f>IFERROR(__xludf.DUMMYFUNCTION("""COMPUTED_VALUE"""),2650.0)</f>
        <v>2650</v>
      </c>
      <c r="D290" s="5">
        <f>IFERROR(__xludf.DUMMYFUNCTION("""COMPUTED_VALUE"""),2580.0)</f>
        <v>2580</v>
      </c>
      <c r="E290" s="5">
        <f>IFERROR(__xludf.DUMMYFUNCTION("""COMPUTED_VALUE"""),2600.0)</f>
        <v>2600</v>
      </c>
      <c r="F290" s="5">
        <f>IFERROR(__xludf.DUMMYFUNCTION("""COMPUTED_VALUE"""),1.61411E7)</f>
        <v>16141100</v>
      </c>
      <c r="G290" s="5">
        <f t="shared" si="1"/>
        <v>70</v>
      </c>
    </row>
    <row r="291">
      <c r="A291" s="4">
        <f>IFERROR(__xludf.DUMMYFUNCTION("""COMPUTED_VALUE"""),44267.625)</f>
        <v>44267.625</v>
      </c>
      <c r="B291" s="5">
        <f>IFERROR(__xludf.DUMMYFUNCTION("""COMPUTED_VALUE"""),2650.0)</f>
        <v>2650</v>
      </c>
      <c r="C291" s="5">
        <f>IFERROR(__xludf.DUMMYFUNCTION("""COMPUTED_VALUE"""),2740.0)</f>
        <v>2740</v>
      </c>
      <c r="D291" s="5">
        <f>IFERROR(__xludf.DUMMYFUNCTION("""COMPUTED_VALUE"""),2630.0)</f>
        <v>2630</v>
      </c>
      <c r="E291" s="5">
        <f>IFERROR(__xludf.DUMMYFUNCTION("""COMPUTED_VALUE"""),2730.0)</f>
        <v>2730</v>
      </c>
      <c r="F291" s="5">
        <f>IFERROR(__xludf.DUMMYFUNCTION("""COMPUTED_VALUE"""),4.50931E7)</f>
        <v>45093100</v>
      </c>
      <c r="G291" s="5">
        <f t="shared" si="1"/>
        <v>140</v>
      </c>
    </row>
    <row r="292">
      <c r="A292" s="4">
        <f>IFERROR(__xludf.DUMMYFUNCTION("""COMPUTED_VALUE"""),44270.625)</f>
        <v>44270.625</v>
      </c>
      <c r="B292" s="5">
        <f>IFERROR(__xludf.DUMMYFUNCTION("""COMPUTED_VALUE"""),2750.0)</f>
        <v>2750</v>
      </c>
      <c r="C292" s="5">
        <f>IFERROR(__xludf.DUMMYFUNCTION("""COMPUTED_VALUE"""),2780.0)</f>
        <v>2780</v>
      </c>
      <c r="D292" s="5">
        <f>IFERROR(__xludf.DUMMYFUNCTION("""COMPUTED_VALUE"""),2720.0)</f>
        <v>2720</v>
      </c>
      <c r="E292" s="5">
        <f>IFERROR(__xludf.DUMMYFUNCTION("""COMPUTED_VALUE"""),2740.0)</f>
        <v>2740</v>
      </c>
      <c r="F292" s="5">
        <f>IFERROR(__xludf.DUMMYFUNCTION("""COMPUTED_VALUE"""),2.76937E7)</f>
        <v>27693700</v>
      </c>
      <c r="G292" s="5">
        <f t="shared" si="1"/>
        <v>60</v>
      </c>
    </row>
    <row r="293">
      <c r="A293" s="4">
        <f>IFERROR(__xludf.DUMMYFUNCTION("""COMPUTED_VALUE"""),44271.625)</f>
        <v>44271.625</v>
      </c>
      <c r="B293" s="5">
        <f>IFERROR(__xludf.DUMMYFUNCTION("""COMPUTED_VALUE"""),2750.0)</f>
        <v>2750</v>
      </c>
      <c r="C293" s="5">
        <f>IFERROR(__xludf.DUMMYFUNCTION("""COMPUTED_VALUE"""),2760.0)</f>
        <v>2760</v>
      </c>
      <c r="D293" s="5">
        <f>IFERROR(__xludf.DUMMYFUNCTION("""COMPUTED_VALUE"""),2700.0)</f>
        <v>2700</v>
      </c>
      <c r="E293" s="5">
        <f>IFERROR(__xludf.DUMMYFUNCTION("""COMPUTED_VALUE"""),2710.0)</f>
        <v>2710</v>
      </c>
      <c r="F293" s="5">
        <f>IFERROR(__xludf.DUMMYFUNCTION("""COMPUTED_VALUE"""),2.0082E7)</f>
        <v>20082000</v>
      </c>
      <c r="G293" s="5">
        <f t="shared" si="1"/>
        <v>60</v>
      </c>
    </row>
    <row r="294">
      <c r="A294" s="4">
        <f>IFERROR(__xludf.DUMMYFUNCTION("""COMPUTED_VALUE"""),44272.625)</f>
        <v>44272.625</v>
      </c>
      <c r="B294" s="5">
        <f>IFERROR(__xludf.DUMMYFUNCTION("""COMPUTED_VALUE"""),2720.0)</f>
        <v>2720</v>
      </c>
      <c r="C294" s="5">
        <f>IFERROR(__xludf.DUMMYFUNCTION("""COMPUTED_VALUE"""),2740.0)</f>
        <v>2740</v>
      </c>
      <c r="D294" s="5">
        <f>IFERROR(__xludf.DUMMYFUNCTION("""COMPUTED_VALUE"""),2690.0)</f>
        <v>2690</v>
      </c>
      <c r="E294" s="5">
        <f>IFERROR(__xludf.DUMMYFUNCTION("""COMPUTED_VALUE"""),2710.0)</f>
        <v>2710</v>
      </c>
      <c r="F294" s="5">
        <f>IFERROR(__xludf.DUMMYFUNCTION("""COMPUTED_VALUE"""),1.74231E7)</f>
        <v>17423100</v>
      </c>
      <c r="G294" s="5">
        <f t="shared" si="1"/>
        <v>50</v>
      </c>
    </row>
    <row r="295">
      <c r="A295" s="4">
        <f>IFERROR(__xludf.DUMMYFUNCTION("""COMPUTED_VALUE"""),44273.625)</f>
        <v>44273.625</v>
      </c>
      <c r="B295" s="5">
        <f>IFERROR(__xludf.DUMMYFUNCTION("""COMPUTED_VALUE"""),2740.0)</f>
        <v>2740</v>
      </c>
      <c r="C295" s="5">
        <f>IFERROR(__xludf.DUMMYFUNCTION("""COMPUTED_VALUE"""),2770.0)</f>
        <v>2770</v>
      </c>
      <c r="D295" s="5">
        <f>IFERROR(__xludf.DUMMYFUNCTION("""COMPUTED_VALUE"""),2730.0)</f>
        <v>2730</v>
      </c>
      <c r="E295" s="5">
        <f>IFERROR(__xludf.DUMMYFUNCTION("""COMPUTED_VALUE"""),2750.0)</f>
        <v>2750</v>
      </c>
      <c r="F295" s="5">
        <f>IFERROR(__xludf.DUMMYFUNCTION("""COMPUTED_VALUE"""),4.26975E7)</f>
        <v>42697500</v>
      </c>
      <c r="G295" s="5">
        <f t="shared" si="1"/>
        <v>60</v>
      </c>
    </row>
    <row r="296">
      <c r="A296" s="4">
        <f>IFERROR(__xludf.DUMMYFUNCTION("""COMPUTED_VALUE"""),44274.625)</f>
        <v>44274.625</v>
      </c>
      <c r="B296" s="5">
        <f>IFERROR(__xludf.DUMMYFUNCTION("""COMPUTED_VALUE"""),2750.0)</f>
        <v>2750</v>
      </c>
      <c r="C296" s="5">
        <f>IFERROR(__xludf.DUMMYFUNCTION("""COMPUTED_VALUE"""),2780.0)</f>
        <v>2780</v>
      </c>
      <c r="D296" s="5">
        <f>IFERROR(__xludf.DUMMYFUNCTION("""COMPUTED_VALUE"""),2720.0)</f>
        <v>2720</v>
      </c>
      <c r="E296" s="5">
        <f>IFERROR(__xludf.DUMMYFUNCTION("""COMPUTED_VALUE"""),2760.0)</f>
        <v>2760</v>
      </c>
      <c r="F296" s="5">
        <f>IFERROR(__xludf.DUMMYFUNCTION("""COMPUTED_VALUE"""),5.04931E7)</f>
        <v>50493100</v>
      </c>
      <c r="G296" s="5">
        <f t="shared" si="1"/>
        <v>60</v>
      </c>
    </row>
    <row r="297">
      <c r="A297" s="4">
        <f>IFERROR(__xludf.DUMMYFUNCTION("""COMPUTED_VALUE"""),44277.625)</f>
        <v>44277.625</v>
      </c>
      <c r="B297" s="5">
        <f>IFERROR(__xludf.DUMMYFUNCTION("""COMPUTED_VALUE"""),2800.0)</f>
        <v>2800</v>
      </c>
      <c r="C297" s="5">
        <f>IFERROR(__xludf.DUMMYFUNCTION("""COMPUTED_VALUE"""),2870.0)</f>
        <v>2870</v>
      </c>
      <c r="D297" s="5">
        <f>IFERROR(__xludf.DUMMYFUNCTION("""COMPUTED_VALUE"""),2760.0)</f>
        <v>2760</v>
      </c>
      <c r="E297" s="5">
        <f>IFERROR(__xludf.DUMMYFUNCTION("""COMPUTED_VALUE"""),2770.0)</f>
        <v>2770</v>
      </c>
      <c r="F297" s="5">
        <f>IFERROR(__xludf.DUMMYFUNCTION("""COMPUTED_VALUE"""),6.36073E7)</f>
        <v>63607300</v>
      </c>
      <c r="G297" s="5">
        <f t="shared" si="1"/>
        <v>110</v>
      </c>
    </row>
    <row r="298">
      <c r="A298" s="4">
        <f>IFERROR(__xludf.DUMMYFUNCTION("""COMPUTED_VALUE"""),44278.625)</f>
        <v>44278.625</v>
      </c>
      <c r="B298" s="5">
        <f>IFERROR(__xludf.DUMMYFUNCTION("""COMPUTED_VALUE"""),2830.0)</f>
        <v>2830</v>
      </c>
      <c r="C298" s="5">
        <f>IFERROR(__xludf.DUMMYFUNCTION("""COMPUTED_VALUE"""),2840.0)</f>
        <v>2840</v>
      </c>
      <c r="D298" s="5">
        <f>IFERROR(__xludf.DUMMYFUNCTION("""COMPUTED_VALUE"""),2770.0)</f>
        <v>2770</v>
      </c>
      <c r="E298" s="5">
        <f>IFERROR(__xludf.DUMMYFUNCTION("""COMPUTED_VALUE"""),2800.0)</f>
        <v>2800</v>
      </c>
      <c r="F298" s="5">
        <f>IFERROR(__xludf.DUMMYFUNCTION("""COMPUTED_VALUE"""),3.96942E7)</f>
        <v>39694200</v>
      </c>
      <c r="G298" s="5">
        <f t="shared" si="1"/>
        <v>70</v>
      </c>
    </row>
    <row r="299">
      <c r="A299" s="4">
        <f>IFERROR(__xludf.DUMMYFUNCTION("""COMPUTED_VALUE"""),44279.625)</f>
        <v>44279.625</v>
      </c>
      <c r="B299" s="5">
        <f>IFERROR(__xludf.DUMMYFUNCTION("""COMPUTED_VALUE"""),2780.0)</f>
        <v>2780</v>
      </c>
      <c r="C299" s="5">
        <f>IFERROR(__xludf.DUMMYFUNCTION("""COMPUTED_VALUE"""),2780.0)</f>
        <v>2780</v>
      </c>
      <c r="D299" s="5">
        <f>IFERROR(__xludf.DUMMYFUNCTION("""COMPUTED_VALUE"""),2730.0)</f>
        <v>2730</v>
      </c>
      <c r="E299" s="5">
        <f>IFERROR(__xludf.DUMMYFUNCTION("""COMPUTED_VALUE"""),2740.0)</f>
        <v>2740</v>
      </c>
      <c r="F299" s="5">
        <f>IFERROR(__xludf.DUMMYFUNCTION("""COMPUTED_VALUE"""),2.86104E7)</f>
        <v>28610400</v>
      </c>
      <c r="G299" s="5">
        <f t="shared" si="1"/>
        <v>70</v>
      </c>
    </row>
    <row r="300">
      <c r="A300" s="4">
        <f>IFERROR(__xludf.DUMMYFUNCTION("""COMPUTED_VALUE"""),44280.625)</f>
        <v>44280.625</v>
      </c>
      <c r="B300" s="5">
        <f>IFERROR(__xludf.DUMMYFUNCTION("""COMPUTED_VALUE"""),2740.0)</f>
        <v>2740</v>
      </c>
      <c r="C300" s="5">
        <f>IFERROR(__xludf.DUMMYFUNCTION("""COMPUTED_VALUE"""),2750.0)</f>
        <v>2750</v>
      </c>
      <c r="D300" s="5">
        <f>IFERROR(__xludf.DUMMYFUNCTION("""COMPUTED_VALUE"""),2660.0)</f>
        <v>2660</v>
      </c>
      <c r="E300" s="5">
        <f>IFERROR(__xludf.DUMMYFUNCTION("""COMPUTED_VALUE"""),2690.0)</f>
        <v>2690</v>
      </c>
      <c r="F300" s="5">
        <f>IFERROR(__xludf.DUMMYFUNCTION("""COMPUTED_VALUE"""),3.24694E7)</f>
        <v>32469400</v>
      </c>
      <c r="G300" s="5">
        <f t="shared" si="1"/>
        <v>90</v>
      </c>
    </row>
    <row r="301">
      <c r="A301" s="4">
        <f>IFERROR(__xludf.DUMMYFUNCTION("""COMPUTED_VALUE"""),44281.625)</f>
        <v>44281.625</v>
      </c>
      <c r="B301" s="5">
        <f>IFERROR(__xludf.DUMMYFUNCTION("""COMPUTED_VALUE"""),2700.0)</f>
        <v>2700</v>
      </c>
      <c r="C301" s="5">
        <f>IFERROR(__xludf.DUMMYFUNCTION("""COMPUTED_VALUE"""),2720.0)</f>
        <v>2720</v>
      </c>
      <c r="D301" s="5">
        <f>IFERROR(__xludf.DUMMYFUNCTION("""COMPUTED_VALUE"""),2660.0)</f>
        <v>2660</v>
      </c>
      <c r="E301" s="5">
        <f>IFERROR(__xludf.DUMMYFUNCTION("""COMPUTED_VALUE"""),2700.0)</f>
        <v>2700</v>
      </c>
      <c r="F301" s="5">
        <f>IFERROR(__xludf.DUMMYFUNCTION("""COMPUTED_VALUE"""),2.3697E7)</f>
        <v>23697000</v>
      </c>
      <c r="G301" s="5">
        <f t="shared" si="1"/>
        <v>60</v>
      </c>
    </row>
    <row r="302">
      <c r="A302" s="4">
        <f>IFERROR(__xludf.DUMMYFUNCTION("""COMPUTED_VALUE"""),44284.625)</f>
        <v>44284.625</v>
      </c>
      <c r="B302" s="5">
        <f>IFERROR(__xludf.DUMMYFUNCTION("""COMPUTED_VALUE"""),2700.0)</f>
        <v>2700</v>
      </c>
      <c r="C302" s="5">
        <f>IFERROR(__xludf.DUMMYFUNCTION("""COMPUTED_VALUE"""),2720.0)</f>
        <v>2720</v>
      </c>
      <c r="D302" s="5">
        <f>IFERROR(__xludf.DUMMYFUNCTION("""COMPUTED_VALUE"""),2680.0)</f>
        <v>2680</v>
      </c>
      <c r="E302" s="5">
        <f>IFERROR(__xludf.DUMMYFUNCTION("""COMPUTED_VALUE"""),2680.0)</f>
        <v>2680</v>
      </c>
      <c r="F302" s="5">
        <f>IFERROR(__xludf.DUMMYFUNCTION("""COMPUTED_VALUE"""),1.44449E7)</f>
        <v>14444900</v>
      </c>
      <c r="G302" s="5">
        <f t="shared" si="1"/>
        <v>40</v>
      </c>
    </row>
    <row r="303">
      <c r="A303" s="4">
        <f>IFERROR(__xludf.DUMMYFUNCTION("""COMPUTED_VALUE"""),44285.625)</f>
        <v>44285.625</v>
      </c>
      <c r="B303" s="5">
        <f>IFERROR(__xludf.DUMMYFUNCTION("""COMPUTED_VALUE"""),2680.0)</f>
        <v>2680</v>
      </c>
      <c r="C303" s="5">
        <f>IFERROR(__xludf.DUMMYFUNCTION("""COMPUTED_VALUE"""),2690.0)</f>
        <v>2690</v>
      </c>
      <c r="D303" s="5">
        <f>IFERROR(__xludf.DUMMYFUNCTION("""COMPUTED_VALUE"""),2620.0)</f>
        <v>2620</v>
      </c>
      <c r="E303" s="5">
        <f>IFERROR(__xludf.DUMMYFUNCTION("""COMPUTED_VALUE"""),2630.0)</f>
        <v>2630</v>
      </c>
      <c r="F303" s="5">
        <f>IFERROR(__xludf.DUMMYFUNCTION("""COMPUTED_VALUE"""),2.90915E7)</f>
        <v>29091500</v>
      </c>
      <c r="G303" s="5">
        <f t="shared" si="1"/>
        <v>70</v>
      </c>
    </row>
    <row r="304">
      <c r="A304" s="4">
        <f>IFERROR(__xludf.DUMMYFUNCTION("""COMPUTED_VALUE"""),44286.625)</f>
        <v>44286.625</v>
      </c>
      <c r="B304" s="5">
        <f>IFERROR(__xludf.DUMMYFUNCTION("""COMPUTED_VALUE"""),2620.0)</f>
        <v>2620</v>
      </c>
      <c r="C304" s="5">
        <f>IFERROR(__xludf.DUMMYFUNCTION("""COMPUTED_VALUE"""),2650.0)</f>
        <v>2650</v>
      </c>
      <c r="D304" s="5">
        <f>IFERROR(__xludf.DUMMYFUNCTION("""COMPUTED_VALUE"""),2590.0)</f>
        <v>2590</v>
      </c>
      <c r="E304" s="5">
        <f>IFERROR(__xludf.DUMMYFUNCTION("""COMPUTED_VALUE"""),2620.0)</f>
        <v>2620</v>
      </c>
      <c r="F304" s="5">
        <f>IFERROR(__xludf.DUMMYFUNCTION("""COMPUTED_VALUE"""),2.43827E7)</f>
        <v>24382700</v>
      </c>
      <c r="G304" s="5">
        <f t="shared" si="1"/>
        <v>60</v>
      </c>
    </row>
    <row r="305">
      <c r="A305" s="4">
        <f>IFERROR(__xludf.DUMMYFUNCTION("""COMPUTED_VALUE"""),44287.625)</f>
        <v>44287.625</v>
      </c>
      <c r="B305" s="5">
        <f>IFERROR(__xludf.DUMMYFUNCTION("""COMPUTED_VALUE"""),2650.0)</f>
        <v>2650</v>
      </c>
      <c r="C305" s="5">
        <f>IFERROR(__xludf.DUMMYFUNCTION("""COMPUTED_VALUE"""),2670.0)</f>
        <v>2670</v>
      </c>
      <c r="D305" s="5">
        <f>IFERROR(__xludf.DUMMYFUNCTION("""COMPUTED_VALUE"""),2620.0)</f>
        <v>2620</v>
      </c>
      <c r="E305" s="5">
        <f>IFERROR(__xludf.DUMMYFUNCTION("""COMPUTED_VALUE"""),2650.0)</f>
        <v>2650</v>
      </c>
      <c r="F305" s="5">
        <f>IFERROR(__xludf.DUMMYFUNCTION("""COMPUTED_VALUE"""),1.70463E7)</f>
        <v>17046300</v>
      </c>
      <c r="G305" s="5">
        <f t="shared" si="1"/>
        <v>50</v>
      </c>
    </row>
    <row r="306">
      <c r="A306" s="4">
        <f>IFERROR(__xludf.DUMMYFUNCTION("""COMPUTED_VALUE"""),44291.625)</f>
        <v>44291.625</v>
      </c>
      <c r="B306" s="5">
        <f>IFERROR(__xludf.DUMMYFUNCTION("""COMPUTED_VALUE"""),2680.0)</f>
        <v>2680</v>
      </c>
      <c r="C306" s="5">
        <f>IFERROR(__xludf.DUMMYFUNCTION("""COMPUTED_VALUE"""),2720.0)</f>
        <v>2720</v>
      </c>
      <c r="D306" s="5">
        <f>IFERROR(__xludf.DUMMYFUNCTION("""COMPUTED_VALUE"""),2520.0)</f>
        <v>2520</v>
      </c>
      <c r="E306" s="5">
        <f>IFERROR(__xludf.DUMMYFUNCTION("""COMPUTED_VALUE"""),2540.0)</f>
        <v>2540</v>
      </c>
      <c r="F306" s="5">
        <f>IFERROR(__xludf.DUMMYFUNCTION("""COMPUTED_VALUE"""),7.26166E7)</f>
        <v>72616600</v>
      </c>
      <c r="G306" s="5">
        <f t="shared" si="1"/>
        <v>200</v>
      </c>
    </row>
    <row r="307">
      <c r="A307" s="4">
        <f>IFERROR(__xludf.DUMMYFUNCTION("""COMPUTED_VALUE"""),44292.625)</f>
        <v>44292.625</v>
      </c>
      <c r="B307" s="5">
        <f>IFERROR(__xludf.DUMMYFUNCTION("""COMPUTED_VALUE"""),2530.0)</f>
        <v>2530</v>
      </c>
      <c r="C307" s="5">
        <f>IFERROR(__xludf.DUMMYFUNCTION("""COMPUTED_VALUE"""),2540.0)</f>
        <v>2540</v>
      </c>
      <c r="D307" s="5">
        <f>IFERROR(__xludf.DUMMYFUNCTION("""COMPUTED_VALUE"""),2440.0)</f>
        <v>2440</v>
      </c>
      <c r="E307" s="5">
        <f>IFERROR(__xludf.DUMMYFUNCTION("""COMPUTED_VALUE"""),2520.0)</f>
        <v>2520</v>
      </c>
      <c r="F307" s="5">
        <f>IFERROR(__xludf.DUMMYFUNCTION("""COMPUTED_VALUE"""),4.82118E7)</f>
        <v>48211800</v>
      </c>
      <c r="G307" s="5">
        <f t="shared" si="1"/>
        <v>100</v>
      </c>
    </row>
    <row r="308">
      <c r="A308" s="4">
        <f>IFERROR(__xludf.DUMMYFUNCTION("""COMPUTED_VALUE"""),44293.625)</f>
        <v>44293.625</v>
      </c>
      <c r="B308" s="5">
        <f>IFERROR(__xludf.DUMMYFUNCTION("""COMPUTED_VALUE"""),2540.0)</f>
        <v>2540</v>
      </c>
      <c r="C308" s="5">
        <f>IFERROR(__xludf.DUMMYFUNCTION("""COMPUTED_VALUE"""),2560.0)</f>
        <v>2560</v>
      </c>
      <c r="D308" s="5">
        <f>IFERROR(__xludf.DUMMYFUNCTION("""COMPUTED_VALUE"""),2500.0)</f>
        <v>2500</v>
      </c>
      <c r="E308" s="5">
        <f>IFERROR(__xludf.DUMMYFUNCTION("""COMPUTED_VALUE"""),2520.0)</f>
        <v>2520</v>
      </c>
      <c r="F308" s="5">
        <f>IFERROR(__xludf.DUMMYFUNCTION("""COMPUTED_VALUE"""),2.20511E7)</f>
        <v>22051100</v>
      </c>
      <c r="G308" s="5">
        <f t="shared" si="1"/>
        <v>60</v>
      </c>
    </row>
    <row r="309">
      <c r="A309" s="4">
        <f>IFERROR(__xludf.DUMMYFUNCTION("""COMPUTED_VALUE"""),44294.625)</f>
        <v>44294.625</v>
      </c>
      <c r="B309" s="5">
        <f>IFERROR(__xludf.DUMMYFUNCTION("""COMPUTED_VALUE"""),2520.0)</f>
        <v>2520</v>
      </c>
      <c r="C309" s="5">
        <f>IFERROR(__xludf.DUMMYFUNCTION("""COMPUTED_VALUE"""),2550.0)</f>
        <v>2550</v>
      </c>
      <c r="D309" s="5">
        <f>IFERROR(__xludf.DUMMYFUNCTION("""COMPUTED_VALUE"""),2510.0)</f>
        <v>2510</v>
      </c>
      <c r="E309" s="5">
        <f>IFERROR(__xludf.DUMMYFUNCTION("""COMPUTED_VALUE"""),2540.0)</f>
        <v>2540</v>
      </c>
      <c r="F309" s="5">
        <f>IFERROR(__xludf.DUMMYFUNCTION("""COMPUTED_VALUE"""),1.81237E7)</f>
        <v>18123700</v>
      </c>
      <c r="G309" s="5">
        <f t="shared" si="1"/>
        <v>40</v>
      </c>
    </row>
    <row r="310">
      <c r="A310" s="4">
        <f>IFERROR(__xludf.DUMMYFUNCTION("""COMPUTED_VALUE"""),44295.625)</f>
        <v>44295.625</v>
      </c>
      <c r="B310" s="5">
        <f>IFERROR(__xludf.DUMMYFUNCTION("""COMPUTED_VALUE"""),2540.0)</f>
        <v>2540</v>
      </c>
      <c r="C310" s="5">
        <f>IFERROR(__xludf.DUMMYFUNCTION("""COMPUTED_VALUE"""),2560.0)</f>
        <v>2560</v>
      </c>
      <c r="D310" s="5">
        <f>IFERROR(__xludf.DUMMYFUNCTION("""COMPUTED_VALUE"""),2530.0)</f>
        <v>2530</v>
      </c>
      <c r="E310" s="5">
        <f>IFERROR(__xludf.DUMMYFUNCTION("""COMPUTED_VALUE"""),2540.0)</f>
        <v>2540</v>
      </c>
      <c r="F310" s="5">
        <f>IFERROR(__xludf.DUMMYFUNCTION("""COMPUTED_VALUE"""),1.26216E7)</f>
        <v>12621600</v>
      </c>
      <c r="G310" s="5">
        <f t="shared" si="1"/>
        <v>30</v>
      </c>
    </row>
    <row r="311">
      <c r="A311" s="4">
        <f>IFERROR(__xludf.DUMMYFUNCTION("""COMPUTED_VALUE"""),44298.625)</f>
        <v>44298.625</v>
      </c>
      <c r="B311" s="5">
        <f>IFERROR(__xludf.DUMMYFUNCTION("""COMPUTED_VALUE"""),2550.0)</f>
        <v>2550</v>
      </c>
      <c r="C311" s="5">
        <f>IFERROR(__xludf.DUMMYFUNCTION("""COMPUTED_VALUE"""),2560.0)</f>
        <v>2560</v>
      </c>
      <c r="D311" s="5">
        <f>IFERROR(__xludf.DUMMYFUNCTION("""COMPUTED_VALUE"""),2440.0)</f>
        <v>2440</v>
      </c>
      <c r="E311" s="5">
        <f>IFERROR(__xludf.DUMMYFUNCTION("""COMPUTED_VALUE"""),2460.0)</f>
        <v>2460</v>
      </c>
      <c r="F311" s="5">
        <f>IFERROR(__xludf.DUMMYFUNCTION("""COMPUTED_VALUE"""),3.06108E7)</f>
        <v>30610800</v>
      </c>
      <c r="G311" s="5">
        <f t="shared" si="1"/>
        <v>120</v>
      </c>
    </row>
    <row r="312">
      <c r="A312" s="4">
        <f>IFERROR(__xludf.DUMMYFUNCTION("""COMPUTED_VALUE"""),44299.625)</f>
        <v>44299.625</v>
      </c>
      <c r="B312" s="5">
        <f>IFERROR(__xludf.DUMMYFUNCTION("""COMPUTED_VALUE"""),2460.0)</f>
        <v>2460</v>
      </c>
      <c r="C312" s="5">
        <f>IFERROR(__xludf.DUMMYFUNCTION("""COMPUTED_VALUE"""),2490.0)</f>
        <v>2490</v>
      </c>
      <c r="D312" s="5">
        <f>IFERROR(__xludf.DUMMYFUNCTION("""COMPUTED_VALUE"""),2430.0)</f>
        <v>2430</v>
      </c>
      <c r="E312" s="5">
        <f>IFERROR(__xludf.DUMMYFUNCTION("""COMPUTED_VALUE"""),2460.0)</f>
        <v>2460</v>
      </c>
      <c r="F312" s="5">
        <f>IFERROR(__xludf.DUMMYFUNCTION("""COMPUTED_VALUE"""),2.79462E7)</f>
        <v>27946200</v>
      </c>
      <c r="G312" s="5">
        <f t="shared" si="1"/>
        <v>60</v>
      </c>
    </row>
    <row r="313">
      <c r="A313" s="4">
        <f>IFERROR(__xludf.DUMMYFUNCTION("""COMPUTED_VALUE"""),44300.625)</f>
        <v>44300.625</v>
      </c>
      <c r="B313" s="5">
        <f>IFERROR(__xludf.DUMMYFUNCTION("""COMPUTED_VALUE"""),2400.0)</f>
        <v>2400</v>
      </c>
      <c r="C313" s="5">
        <f>IFERROR(__xludf.DUMMYFUNCTION("""COMPUTED_VALUE"""),2430.0)</f>
        <v>2430</v>
      </c>
      <c r="D313" s="5">
        <f>IFERROR(__xludf.DUMMYFUNCTION("""COMPUTED_VALUE"""),2390.0)</f>
        <v>2390</v>
      </c>
      <c r="E313" s="5">
        <f>IFERROR(__xludf.DUMMYFUNCTION("""COMPUTED_VALUE"""),2420.0)</f>
        <v>2420</v>
      </c>
      <c r="F313" s="5">
        <f>IFERROR(__xludf.DUMMYFUNCTION("""COMPUTED_VALUE"""),2.9522E7)</f>
        <v>29522000</v>
      </c>
      <c r="G313" s="5">
        <f t="shared" si="1"/>
        <v>70</v>
      </c>
    </row>
    <row r="314">
      <c r="A314" s="4">
        <f>IFERROR(__xludf.DUMMYFUNCTION("""COMPUTED_VALUE"""),44301.625)</f>
        <v>44301.625</v>
      </c>
      <c r="B314" s="5">
        <f>IFERROR(__xludf.DUMMYFUNCTION("""COMPUTED_VALUE"""),2430.0)</f>
        <v>2430</v>
      </c>
      <c r="C314" s="5">
        <f>IFERROR(__xludf.DUMMYFUNCTION("""COMPUTED_VALUE"""),2440.0)</f>
        <v>2440</v>
      </c>
      <c r="D314" s="5">
        <f>IFERROR(__xludf.DUMMYFUNCTION("""COMPUTED_VALUE"""),2360.0)</f>
        <v>2360</v>
      </c>
      <c r="E314" s="5">
        <f>IFERROR(__xludf.DUMMYFUNCTION("""COMPUTED_VALUE"""),2370.0)</f>
        <v>2370</v>
      </c>
      <c r="F314" s="5">
        <f>IFERROR(__xludf.DUMMYFUNCTION("""COMPUTED_VALUE"""),1.9323E7)</f>
        <v>19323000</v>
      </c>
      <c r="G314" s="5">
        <f t="shared" si="1"/>
        <v>80</v>
      </c>
    </row>
    <row r="315">
      <c r="A315" s="4">
        <f>IFERROR(__xludf.DUMMYFUNCTION("""COMPUTED_VALUE"""),44302.625)</f>
        <v>44302.625</v>
      </c>
      <c r="B315" s="5">
        <f>IFERROR(__xludf.DUMMYFUNCTION("""COMPUTED_VALUE"""),2380.0)</f>
        <v>2380</v>
      </c>
      <c r="C315" s="5">
        <f>IFERROR(__xludf.DUMMYFUNCTION("""COMPUTED_VALUE"""),2420.0)</f>
        <v>2420</v>
      </c>
      <c r="D315" s="5">
        <f>IFERROR(__xludf.DUMMYFUNCTION("""COMPUTED_VALUE"""),2370.0)</f>
        <v>2370</v>
      </c>
      <c r="E315" s="5">
        <f>IFERROR(__xludf.DUMMYFUNCTION("""COMPUTED_VALUE"""),2380.0)</f>
        <v>2380</v>
      </c>
      <c r="F315" s="5">
        <f>IFERROR(__xludf.DUMMYFUNCTION("""COMPUTED_VALUE"""),2.06952E7)</f>
        <v>20695200</v>
      </c>
      <c r="G315" s="5">
        <f t="shared" si="1"/>
        <v>50</v>
      </c>
    </row>
    <row r="316">
      <c r="A316" s="4">
        <f>IFERROR(__xludf.DUMMYFUNCTION("""COMPUTED_VALUE"""),44305.625)</f>
        <v>44305.625</v>
      </c>
      <c r="B316" s="5">
        <f>IFERROR(__xludf.DUMMYFUNCTION("""COMPUTED_VALUE"""),2390.0)</f>
        <v>2390</v>
      </c>
      <c r="C316" s="5">
        <f>IFERROR(__xludf.DUMMYFUNCTION("""COMPUTED_VALUE"""),2450.0)</f>
        <v>2450</v>
      </c>
      <c r="D316" s="5">
        <f>IFERROR(__xludf.DUMMYFUNCTION("""COMPUTED_VALUE"""),2380.0)</f>
        <v>2380</v>
      </c>
      <c r="E316" s="5">
        <f>IFERROR(__xludf.DUMMYFUNCTION("""COMPUTED_VALUE"""),2420.0)</f>
        <v>2420</v>
      </c>
      <c r="F316" s="5">
        <f>IFERROR(__xludf.DUMMYFUNCTION("""COMPUTED_VALUE"""),2.6395E7)</f>
        <v>26395000</v>
      </c>
      <c r="G316" s="5">
        <f t="shared" si="1"/>
        <v>70</v>
      </c>
    </row>
    <row r="317">
      <c r="A317" s="4">
        <f>IFERROR(__xludf.DUMMYFUNCTION("""COMPUTED_VALUE"""),44306.625)</f>
        <v>44306.625</v>
      </c>
      <c r="B317" s="5">
        <f>IFERROR(__xludf.DUMMYFUNCTION("""COMPUTED_VALUE"""),2420.0)</f>
        <v>2420</v>
      </c>
      <c r="C317" s="5">
        <f>IFERROR(__xludf.DUMMYFUNCTION("""COMPUTED_VALUE"""),2440.0)</f>
        <v>2440</v>
      </c>
      <c r="D317" s="5">
        <f>IFERROR(__xludf.DUMMYFUNCTION("""COMPUTED_VALUE"""),2390.0)</f>
        <v>2390</v>
      </c>
      <c r="E317" s="5">
        <f>IFERROR(__xludf.DUMMYFUNCTION("""COMPUTED_VALUE"""),2420.0)</f>
        <v>2420</v>
      </c>
      <c r="F317" s="5">
        <f>IFERROR(__xludf.DUMMYFUNCTION("""COMPUTED_VALUE"""),1.0846E7)</f>
        <v>10846000</v>
      </c>
      <c r="G317" s="5">
        <f t="shared" si="1"/>
        <v>50</v>
      </c>
    </row>
    <row r="318">
      <c r="A318" s="4">
        <f>IFERROR(__xludf.DUMMYFUNCTION("""COMPUTED_VALUE"""),44307.625)</f>
        <v>44307.625</v>
      </c>
      <c r="B318" s="5">
        <f>IFERROR(__xludf.DUMMYFUNCTION("""COMPUTED_VALUE"""),2400.0)</f>
        <v>2400</v>
      </c>
      <c r="C318" s="5">
        <f>IFERROR(__xludf.DUMMYFUNCTION("""COMPUTED_VALUE"""),2410.0)</f>
        <v>2410</v>
      </c>
      <c r="D318" s="5">
        <f>IFERROR(__xludf.DUMMYFUNCTION("""COMPUTED_VALUE"""),2380.0)</f>
        <v>2380</v>
      </c>
      <c r="E318" s="5">
        <f>IFERROR(__xludf.DUMMYFUNCTION("""COMPUTED_VALUE"""),2390.0)</f>
        <v>2390</v>
      </c>
      <c r="F318" s="5">
        <f>IFERROR(__xludf.DUMMYFUNCTION("""COMPUTED_VALUE"""),1.03828E7)</f>
        <v>10382800</v>
      </c>
      <c r="G318" s="5">
        <f t="shared" si="1"/>
        <v>40</v>
      </c>
    </row>
    <row r="319">
      <c r="A319" s="4">
        <f>IFERROR(__xludf.DUMMYFUNCTION("""COMPUTED_VALUE"""),44308.625)</f>
        <v>44308.625</v>
      </c>
      <c r="B319" s="5">
        <f>IFERROR(__xludf.DUMMYFUNCTION("""COMPUTED_VALUE"""),2390.0)</f>
        <v>2390</v>
      </c>
      <c r="C319" s="5">
        <f>IFERROR(__xludf.DUMMYFUNCTION("""COMPUTED_VALUE"""),2410.0)</f>
        <v>2410</v>
      </c>
      <c r="D319" s="5">
        <f>IFERROR(__xludf.DUMMYFUNCTION("""COMPUTED_VALUE"""),2340.0)</f>
        <v>2340</v>
      </c>
      <c r="E319" s="5">
        <f>IFERROR(__xludf.DUMMYFUNCTION("""COMPUTED_VALUE"""),2360.0)</f>
        <v>2360</v>
      </c>
      <c r="F319" s="5">
        <f>IFERROR(__xludf.DUMMYFUNCTION("""COMPUTED_VALUE"""),1.32896E7)</f>
        <v>13289600</v>
      </c>
      <c r="G319" s="5">
        <f t="shared" si="1"/>
        <v>70</v>
      </c>
    </row>
    <row r="320">
      <c r="A320" s="4">
        <f>IFERROR(__xludf.DUMMYFUNCTION("""COMPUTED_VALUE"""),44309.625)</f>
        <v>44309.625</v>
      </c>
      <c r="B320" s="5">
        <f>IFERROR(__xludf.DUMMYFUNCTION("""COMPUTED_VALUE"""),2360.0)</f>
        <v>2360</v>
      </c>
      <c r="C320" s="5">
        <f>IFERROR(__xludf.DUMMYFUNCTION("""COMPUTED_VALUE"""),2410.0)</f>
        <v>2410</v>
      </c>
      <c r="D320" s="5">
        <f>IFERROR(__xludf.DUMMYFUNCTION("""COMPUTED_VALUE"""),2350.0)</f>
        <v>2350</v>
      </c>
      <c r="E320" s="5">
        <f>IFERROR(__xludf.DUMMYFUNCTION("""COMPUTED_VALUE"""),2390.0)</f>
        <v>2390</v>
      </c>
      <c r="F320" s="5">
        <f>IFERROR(__xludf.DUMMYFUNCTION("""COMPUTED_VALUE"""),1.10528E7)</f>
        <v>11052800</v>
      </c>
      <c r="G320" s="5">
        <f t="shared" si="1"/>
        <v>60</v>
      </c>
    </row>
    <row r="321">
      <c r="A321" s="4">
        <f>IFERROR(__xludf.DUMMYFUNCTION("""COMPUTED_VALUE"""),44312.625)</f>
        <v>44312.625</v>
      </c>
      <c r="B321" s="5">
        <f>IFERROR(__xludf.DUMMYFUNCTION("""COMPUTED_VALUE"""),2380.0)</f>
        <v>2380</v>
      </c>
      <c r="C321" s="5">
        <f>IFERROR(__xludf.DUMMYFUNCTION("""COMPUTED_VALUE"""),2440.0)</f>
        <v>2440</v>
      </c>
      <c r="D321" s="5">
        <f>IFERROR(__xludf.DUMMYFUNCTION("""COMPUTED_VALUE"""),2370.0)</f>
        <v>2370</v>
      </c>
      <c r="E321" s="5">
        <f>IFERROR(__xludf.DUMMYFUNCTION("""COMPUTED_VALUE"""),2390.0)</f>
        <v>2390</v>
      </c>
      <c r="F321" s="5">
        <f>IFERROR(__xludf.DUMMYFUNCTION("""COMPUTED_VALUE"""),1.2495E7)</f>
        <v>12495000</v>
      </c>
      <c r="G321" s="5">
        <f t="shared" si="1"/>
        <v>70</v>
      </c>
    </row>
    <row r="322">
      <c r="A322" s="4">
        <f>IFERROR(__xludf.DUMMYFUNCTION("""COMPUTED_VALUE"""),44313.625)</f>
        <v>44313.625</v>
      </c>
      <c r="B322" s="5">
        <f>IFERROR(__xludf.DUMMYFUNCTION("""COMPUTED_VALUE"""),2420.0)</f>
        <v>2420</v>
      </c>
      <c r="C322" s="5">
        <f>IFERROR(__xludf.DUMMYFUNCTION("""COMPUTED_VALUE"""),2420.0)</f>
        <v>2420</v>
      </c>
      <c r="D322" s="5">
        <f>IFERROR(__xludf.DUMMYFUNCTION("""COMPUTED_VALUE"""),2370.0)</f>
        <v>2370</v>
      </c>
      <c r="E322" s="5">
        <f>IFERROR(__xludf.DUMMYFUNCTION("""COMPUTED_VALUE"""),2390.0)</f>
        <v>2390</v>
      </c>
      <c r="F322" s="5">
        <f>IFERROR(__xludf.DUMMYFUNCTION("""COMPUTED_VALUE"""),8821700.0)</f>
        <v>8821700</v>
      </c>
      <c r="G322" s="5">
        <f t="shared" si="1"/>
        <v>50</v>
      </c>
    </row>
    <row r="323">
      <c r="A323" s="4">
        <f>IFERROR(__xludf.DUMMYFUNCTION("""COMPUTED_VALUE"""),44314.625)</f>
        <v>44314.625</v>
      </c>
      <c r="B323" s="5">
        <f>IFERROR(__xludf.DUMMYFUNCTION("""COMPUTED_VALUE"""),2400.0)</f>
        <v>2400</v>
      </c>
      <c r="C323" s="5">
        <f>IFERROR(__xludf.DUMMYFUNCTION("""COMPUTED_VALUE"""),2410.0)</f>
        <v>2410</v>
      </c>
      <c r="D323" s="5">
        <f>IFERROR(__xludf.DUMMYFUNCTION("""COMPUTED_VALUE"""),2380.0)</f>
        <v>2380</v>
      </c>
      <c r="E323" s="5">
        <f>IFERROR(__xludf.DUMMYFUNCTION("""COMPUTED_VALUE"""),2400.0)</f>
        <v>2400</v>
      </c>
      <c r="F323" s="5">
        <f>IFERROR(__xludf.DUMMYFUNCTION("""COMPUTED_VALUE"""),6040200.0)</f>
        <v>6040200</v>
      </c>
      <c r="G323" s="5">
        <f t="shared" si="1"/>
        <v>30</v>
      </c>
    </row>
    <row r="324">
      <c r="A324" s="4">
        <f>IFERROR(__xludf.DUMMYFUNCTION("""COMPUTED_VALUE"""),44315.625)</f>
        <v>44315.625</v>
      </c>
      <c r="B324" s="5">
        <f>IFERROR(__xludf.DUMMYFUNCTION("""COMPUTED_VALUE"""),2420.0)</f>
        <v>2420</v>
      </c>
      <c r="C324" s="5">
        <f>IFERROR(__xludf.DUMMYFUNCTION("""COMPUTED_VALUE"""),2440.0)</f>
        <v>2440</v>
      </c>
      <c r="D324" s="5">
        <f>IFERROR(__xludf.DUMMYFUNCTION("""COMPUTED_VALUE"""),2400.0)</f>
        <v>2400</v>
      </c>
      <c r="E324" s="5">
        <f>IFERROR(__xludf.DUMMYFUNCTION("""COMPUTED_VALUE"""),2420.0)</f>
        <v>2420</v>
      </c>
      <c r="F324" s="5">
        <f>IFERROR(__xludf.DUMMYFUNCTION("""COMPUTED_VALUE"""),1.06639E7)</f>
        <v>10663900</v>
      </c>
      <c r="G324" s="5">
        <f t="shared" si="1"/>
        <v>40</v>
      </c>
    </row>
    <row r="325">
      <c r="A325" s="4">
        <f>IFERROR(__xludf.DUMMYFUNCTION("""COMPUTED_VALUE"""),44316.625)</f>
        <v>44316.625</v>
      </c>
      <c r="B325" s="5">
        <f>IFERROR(__xludf.DUMMYFUNCTION("""COMPUTED_VALUE"""),2420.0)</f>
        <v>2420</v>
      </c>
      <c r="C325" s="5">
        <f>IFERROR(__xludf.DUMMYFUNCTION("""COMPUTED_VALUE"""),2430.0)</f>
        <v>2430</v>
      </c>
      <c r="D325" s="5">
        <f>IFERROR(__xludf.DUMMYFUNCTION("""COMPUTED_VALUE"""),2360.0)</f>
        <v>2360</v>
      </c>
      <c r="E325" s="5">
        <f>IFERROR(__xludf.DUMMYFUNCTION("""COMPUTED_VALUE"""),2370.0)</f>
        <v>2370</v>
      </c>
      <c r="F325" s="5">
        <f>IFERROR(__xludf.DUMMYFUNCTION("""COMPUTED_VALUE"""),2.83448E7)</f>
        <v>28344800</v>
      </c>
      <c r="G325" s="5">
        <f t="shared" si="1"/>
        <v>70</v>
      </c>
    </row>
    <row r="326">
      <c r="A326" s="4">
        <f>IFERROR(__xludf.DUMMYFUNCTION("""COMPUTED_VALUE"""),44319.66666666667)</f>
        <v>44319.66667</v>
      </c>
      <c r="B326" s="5">
        <f>IFERROR(__xludf.DUMMYFUNCTION("""COMPUTED_VALUE"""),2350.0)</f>
        <v>2350</v>
      </c>
      <c r="C326" s="5">
        <f>IFERROR(__xludf.DUMMYFUNCTION("""COMPUTED_VALUE"""),2370.0)</f>
        <v>2370</v>
      </c>
      <c r="D326" s="5">
        <f>IFERROR(__xludf.DUMMYFUNCTION("""COMPUTED_VALUE"""),2280.0)</f>
        <v>2280</v>
      </c>
      <c r="E326" s="5">
        <f>IFERROR(__xludf.DUMMYFUNCTION("""COMPUTED_VALUE"""),2280.0)</f>
        <v>2280</v>
      </c>
      <c r="F326" s="5">
        <f>IFERROR(__xludf.DUMMYFUNCTION("""COMPUTED_VALUE"""),3.07733E7)</f>
        <v>30773300</v>
      </c>
      <c r="G326" s="5">
        <f t="shared" si="1"/>
        <v>90</v>
      </c>
    </row>
    <row r="327">
      <c r="A327" s="4">
        <f>IFERROR(__xludf.DUMMYFUNCTION("""COMPUTED_VALUE"""),44320.66666666667)</f>
        <v>44320.66667</v>
      </c>
      <c r="B327" s="5">
        <f>IFERROR(__xludf.DUMMYFUNCTION("""COMPUTED_VALUE"""),2280.0)</f>
        <v>2280</v>
      </c>
      <c r="C327" s="5">
        <f>IFERROR(__xludf.DUMMYFUNCTION("""COMPUTED_VALUE"""),2310.0)</f>
        <v>2310</v>
      </c>
      <c r="D327" s="5">
        <f>IFERROR(__xludf.DUMMYFUNCTION("""COMPUTED_VALUE"""),2270.0)</f>
        <v>2270</v>
      </c>
      <c r="E327" s="5">
        <f>IFERROR(__xludf.DUMMYFUNCTION("""COMPUTED_VALUE"""),2300.0)</f>
        <v>2300</v>
      </c>
      <c r="F327" s="5">
        <f>IFERROR(__xludf.DUMMYFUNCTION("""COMPUTED_VALUE"""),1.9078E7)</f>
        <v>19078000</v>
      </c>
      <c r="G327" s="5">
        <f t="shared" si="1"/>
        <v>40</v>
      </c>
    </row>
    <row r="328">
      <c r="A328" s="4">
        <f>IFERROR(__xludf.DUMMYFUNCTION("""COMPUTED_VALUE"""),44321.625)</f>
        <v>44321.625</v>
      </c>
      <c r="B328" s="5">
        <f>IFERROR(__xludf.DUMMYFUNCTION("""COMPUTED_VALUE"""),2300.0)</f>
        <v>2300</v>
      </c>
      <c r="C328" s="5">
        <f>IFERROR(__xludf.DUMMYFUNCTION("""COMPUTED_VALUE"""),2300.0)</f>
        <v>2300</v>
      </c>
      <c r="D328" s="5">
        <f>IFERROR(__xludf.DUMMYFUNCTION("""COMPUTED_VALUE"""),2270.0)</f>
        <v>2270</v>
      </c>
      <c r="E328" s="5">
        <f>IFERROR(__xludf.DUMMYFUNCTION("""COMPUTED_VALUE"""),2290.0)</f>
        <v>2290</v>
      </c>
      <c r="F328" s="5">
        <f>IFERROR(__xludf.DUMMYFUNCTION("""COMPUTED_VALUE"""),9690200.0)</f>
        <v>9690200</v>
      </c>
      <c r="G328" s="5">
        <f t="shared" si="1"/>
        <v>30</v>
      </c>
    </row>
    <row r="329">
      <c r="A329" s="4">
        <f>IFERROR(__xludf.DUMMYFUNCTION("""COMPUTED_VALUE"""),44322.625)</f>
        <v>44322.625</v>
      </c>
      <c r="B329" s="5">
        <f>IFERROR(__xludf.DUMMYFUNCTION("""COMPUTED_VALUE"""),2300.0)</f>
        <v>2300</v>
      </c>
      <c r="C329" s="5">
        <f>IFERROR(__xludf.DUMMYFUNCTION("""COMPUTED_VALUE"""),2330.0)</f>
        <v>2330</v>
      </c>
      <c r="D329" s="5">
        <f>IFERROR(__xludf.DUMMYFUNCTION("""COMPUTED_VALUE"""),2290.0)</f>
        <v>2290</v>
      </c>
      <c r="E329" s="5">
        <f>IFERROR(__xludf.DUMMYFUNCTION("""COMPUTED_VALUE"""),2290.0)</f>
        <v>2290</v>
      </c>
      <c r="F329" s="5">
        <f>IFERROR(__xludf.DUMMYFUNCTION("""COMPUTED_VALUE"""),1.30249E7)</f>
        <v>13024900</v>
      </c>
      <c r="G329" s="5">
        <f t="shared" si="1"/>
        <v>40</v>
      </c>
    </row>
    <row r="330">
      <c r="A330" s="4">
        <f>IFERROR(__xludf.DUMMYFUNCTION("""COMPUTED_VALUE"""),44323.625)</f>
        <v>44323.625</v>
      </c>
      <c r="B330" s="5">
        <f>IFERROR(__xludf.DUMMYFUNCTION("""COMPUTED_VALUE"""),2300.0)</f>
        <v>2300</v>
      </c>
      <c r="C330" s="5">
        <f>IFERROR(__xludf.DUMMYFUNCTION("""COMPUTED_VALUE"""),2320.0)</f>
        <v>2320</v>
      </c>
      <c r="D330" s="5">
        <f>IFERROR(__xludf.DUMMYFUNCTION("""COMPUTED_VALUE"""),2280.0)</f>
        <v>2280</v>
      </c>
      <c r="E330" s="5">
        <f>IFERROR(__xludf.DUMMYFUNCTION("""COMPUTED_VALUE"""),2280.0)</f>
        <v>2280</v>
      </c>
      <c r="F330" s="5">
        <f>IFERROR(__xludf.DUMMYFUNCTION("""COMPUTED_VALUE"""),1.1633E7)</f>
        <v>11633000</v>
      </c>
      <c r="G330" s="5">
        <f t="shared" si="1"/>
        <v>40</v>
      </c>
    </row>
    <row r="331">
      <c r="A331" s="4">
        <f>IFERROR(__xludf.DUMMYFUNCTION("""COMPUTED_VALUE"""),44326.66666666667)</f>
        <v>44326.66667</v>
      </c>
      <c r="B331" s="5">
        <f>IFERROR(__xludf.DUMMYFUNCTION("""COMPUTED_VALUE"""),2290.0)</f>
        <v>2290</v>
      </c>
      <c r="C331" s="5">
        <f>IFERROR(__xludf.DUMMYFUNCTION("""COMPUTED_VALUE"""),2300.0)</f>
        <v>2300</v>
      </c>
      <c r="D331" s="5">
        <f>IFERROR(__xludf.DUMMYFUNCTION("""COMPUTED_VALUE"""),2250.0)</f>
        <v>2250</v>
      </c>
      <c r="E331" s="5">
        <f>IFERROR(__xludf.DUMMYFUNCTION("""COMPUTED_VALUE"""),2280.0)</f>
        <v>2280</v>
      </c>
      <c r="F331" s="5">
        <f>IFERROR(__xludf.DUMMYFUNCTION("""COMPUTED_VALUE"""),1.84E7)</f>
        <v>18400000</v>
      </c>
      <c r="G331" s="5">
        <f t="shared" si="1"/>
        <v>50</v>
      </c>
    </row>
    <row r="332">
      <c r="A332" s="4">
        <f>IFERROR(__xludf.DUMMYFUNCTION("""COMPUTED_VALUE"""),44327.66666666667)</f>
        <v>44327.66667</v>
      </c>
      <c r="B332" s="5">
        <f>IFERROR(__xludf.DUMMYFUNCTION("""COMPUTED_VALUE"""),2280.0)</f>
        <v>2280</v>
      </c>
      <c r="C332" s="5">
        <f>IFERROR(__xludf.DUMMYFUNCTION("""COMPUTED_VALUE"""),2330.0)</f>
        <v>2330</v>
      </c>
      <c r="D332" s="5">
        <f>IFERROR(__xludf.DUMMYFUNCTION("""COMPUTED_VALUE"""),2260.0)</f>
        <v>2260</v>
      </c>
      <c r="E332" s="5">
        <f>IFERROR(__xludf.DUMMYFUNCTION("""COMPUTED_VALUE"""),2280.0)</f>
        <v>2280</v>
      </c>
      <c r="F332" s="5">
        <f>IFERROR(__xludf.DUMMYFUNCTION("""COMPUTED_VALUE"""),2.44157E7)</f>
        <v>24415700</v>
      </c>
      <c r="G332" s="5">
        <f t="shared" si="1"/>
        <v>70</v>
      </c>
    </row>
    <row r="333">
      <c r="A333" s="4">
        <f>IFERROR(__xludf.DUMMYFUNCTION("""COMPUTED_VALUE"""),44333.625)</f>
        <v>44333.625</v>
      </c>
      <c r="B333" s="5">
        <f>IFERROR(__xludf.DUMMYFUNCTION("""COMPUTED_VALUE"""),2320.0)</f>
        <v>2320</v>
      </c>
      <c r="C333" s="5">
        <f>IFERROR(__xludf.DUMMYFUNCTION("""COMPUTED_VALUE"""),2330.0)</f>
        <v>2330</v>
      </c>
      <c r="D333" s="5">
        <f>IFERROR(__xludf.DUMMYFUNCTION("""COMPUTED_VALUE"""),2250.0)</f>
        <v>2250</v>
      </c>
      <c r="E333" s="5">
        <f>IFERROR(__xludf.DUMMYFUNCTION("""COMPUTED_VALUE"""),2260.0)</f>
        <v>2260</v>
      </c>
      <c r="F333" s="5">
        <f>IFERROR(__xludf.DUMMYFUNCTION("""COMPUTED_VALUE"""),2.0751E7)</f>
        <v>20751000</v>
      </c>
      <c r="G333" s="5">
        <f t="shared" si="1"/>
        <v>80</v>
      </c>
    </row>
    <row r="334">
      <c r="A334" s="4">
        <f>IFERROR(__xludf.DUMMYFUNCTION("""COMPUTED_VALUE"""),44334.625)</f>
        <v>44334.625</v>
      </c>
      <c r="B334" s="5">
        <f>IFERROR(__xludf.DUMMYFUNCTION("""COMPUTED_VALUE"""),2270.0)</f>
        <v>2270</v>
      </c>
      <c r="C334" s="5">
        <f>IFERROR(__xludf.DUMMYFUNCTION("""COMPUTED_VALUE"""),2280.0)</f>
        <v>2280</v>
      </c>
      <c r="D334" s="5">
        <f>IFERROR(__xludf.DUMMYFUNCTION("""COMPUTED_VALUE"""),2230.0)</f>
        <v>2230</v>
      </c>
      <c r="E334" s="5">
        <f>IFERROR(__xludf.DUMMYFUNCTION("""COMPUTED_VALUE"""),2260.0)</f>
        <v>2260</v>
      </c>
      <c r="F334" s="5">
        <f>IFERROR(__xludf.DUMMYFUNCTION("""COMPUTED_VALUE"""),1.29499E7)</f>
        <v>12949900</v>
      </c>
      <c r="G334" s="5">
        <f t="shared" si="1"/>
        <v>50</v>
      </c>
    </row>
    <row r="335">
      <c r="A335" s="4">
        <f>IFERROR(__xludf.DUMMYFUNCTION("""COMPUTED_VALUE"""),44335.625)</f>
        <v>44335.625</v>
      </c>
      <c r="B335" s="5">
        <f>IFERROR(__xludf.DUMMYFUNCTION("""COMPUTED_VALUE"""),2270.0)</f>
        <v>2270</v>
      </c>
      <c r="C335" s="5">
        <f>IFERROR(__xludf.DUMMYFUNCTION("""COMPUTED_VALUE"""),2280.0)</f>
        <v>2280</v>
      </c>
      <c r="D335" s="5">
        <f>IFERROR(__xludf.DUMMYFUNCTION("""COMPUTED_VALUE"""),2220.0)</f>
        <v>2220</v>
      </c>
      <c r="E335" s="5">
        <f>IFERROR(__xludf.DUMMYFUNCTION("""COMPUTED_VALUE"""),2230.0)</f>
        <v>2230</v>
      </c>
      <c r="F335" s="5">
        <f>IFERROR(__xludf.DUMMYFUNCTION("""COMPUTED_VALUE"""),1.71026E7)</f>
        <v>17102600</v>
      </c>
      <c r="G335" s="5">
        <f t="shared" si="1"/>
        <v>60</v>
      </c>
    </row>
    <row r="336">
      <c r="A336" s="4">
        <f>IFERROR(__xludf.DUMMYFUNCTION("""COMPUTED_VALUE"""),44336.625)</f>
        <v>44336.625</v>
      </c>
      <c r="B336" s="5">
        <f>IFERROR(__xludf.DUMMYFUNCTION("""COMPUTED_VALUE"""),2230.0)</f>
        <v>2230</v>
      </c>
      <c r="C336" s="5">
        <f>IFERROR(__xludf.DUMMYFUNCTION("""COMPUTED_VALUE"""),2240.0)</f>
        <v>2240</v>
      </c>
      <c r="D336" s="5">
        <f>IFERROR(__xludf.DUMMYFUNCTION("""COMPUTED_VALUE"""),2150.0)</f>
        <v>2150</v>
      </c>
      <c r="E336" s="5">
        <f>IFERROR(__xludf.DUMMYFUNCTION("""COMPUTED_VALUE"""),2160.0)</f>
        <v>2160</v>
      </c>
      <c r="F336" s="5">
        <f>IFERROR(__xludf.DUMMYFUNCTION("""COMPUTED_VALUE"""),2.85463E7)</f>
        <v>28546300</v>
      </c>
      <c r="G336" s="5">
        <f t="shared" si="1"/>
        <v>90</v>
      </c>
    </row>
    <row r="337">
      <c r="A337" s="4">
        <f>IFERROR(__xludf.DUMMYFUNCTION("""COMPUTED_VALUE"""),44337.625)</f>
        <v>44337.625</v>
      </c>
      <c r="B337" s="5">
        <f>IFERROR(__xludf.DUMMYFUNCTION("""COMPUTED_VALUE"""),2190.0)</f>
        <v>2190</v>
      </c>
      <c r="C337" s="5">
        <f>IFERROR(__xludf.DUMMYFUNCTION("""COMPUTED_VALUE"""),2210.0)</f>
        <v>2210</v>
      </c>
      <c r="D337" s="5">
        <f>IFERROR(__xludf.DUMMYFUNCTION("""COMPUTED_VALUE"""),2140.0)</f>
        <v>2140</v>
      </c>
      <c r="E337" s="5">
        <f>IFERROR(__xludf.DUMMYFUNCTION("""COMPUTED_VALUE"""),2150.0)</f>
        <v>2150</v>
      </c>
      <c r="F337" s="5">
        <f>IFERROR(__xludf.DUMMYFUNCTION("""COMPUTED_VALUE"""),1.84004E7)</f>
        <v>18400400</v>
      </c>
      <c r="G337" s="5">
        <f t="shared" si="1"/>
        <v>70</v>
      </c>
    </row>
    <row r="338">
      <c r="A338" s="4">
        <f>IFERROR(__xludf.DUMMYFUNCTION("""COMPUTED_VALUE"""),44340.625)</f>
        <v>44340.625</v>
      </c>
      <c r="B338" s="5">
        <f>IFERROR(__xludf.DUMMYFUNCTION("""COMPUTED_VALUE"""),2190.0)</f>
        <v>2190</v>
      </c>
      <c r="C338" s="5">
        <f>IFERROR(__xludf.DUMMYFUNCTION("""COMPUTED_VALUE"""),2200.0)</f>
        <v>2200</v>
      </c>
      <c r="D338" s="5">
        <f>IFERROR(__xludf.DUMMYFUNCTION("""COMPUTED_VALUE"""),2120.0)</f>
        <v>2120</v>
      </c>
      <c r="E338" s="5">
        <f>IFERROR(__xludf.DUMMYFUNCTION("""COMPUTED_VALUE"""),2120.0)</f>
        <v>2120</v>
      </c>
      <c r="F338" s="5">
        <f>IFERROR(__xludf.DUMMYFUNCTION("""COMPUTED_VALUE"""),1.11034E7)</f>
        <v>11103400</v>
      </c>
      <c r="G338" s="5">
        <f t="shared" si="1"/>
        <v>80</v>
      </c>
    </row>
    <row r="339">
      <c r="A339" s="4">
        <f>IFERROR(__xludf.DUMMYFUNCTION("""COMPUTED_VALUE"""),44341.625)</f>
        <v>44341.625</v>
      </c>
      <c r="B339" s="5">
        <f>IFERROR(__xludf.DUMMYFUNCTION("""COMPUTED_VALUE"""),2150.0)</f>
        <v>2150</v>
      </c>
      <c r="C339" s="5">
        <f>IFERROR(__xludf.DUMMYFUNCTION("""COMPUTED_VALUE"""),2210.0)</f>
        <v>2210</v>
      </c>
      <c r="D339" s="5">
        <f>IFERROR(__xludf.DUMMYFUNCTION("""COMPUTED_VALUE"""),2130.0)</f>
        <v>2130</v>
      </c>
      <c r="E339" s="5">
        <f>IFERROR(__xludf.DUMMYFUNCTION("""COMPUTED_VALUE"""),2190.0)</f>
        <v>2190</v>
      </c>
      <c r="F339" s="5">
        <f>IFERROR(__xludf.DUMMYFUNCTION("""COMPUTED_VALUE"""),1.61065E7)</f>
        <v>16106500</v>
      </c>
      <c r="G339" s="5">
        <f t="shared" si="1"/>
        <v>90</v>
      </c>
    </row>
    <row r="340">
      <c r="A340" s="4">
        <f>IFERROR(__xludf.DUMMYFUNCTION("""COMPUTED_VALUE"""),44343.625)</f>
        <v>44343.625</v>
      </c>
      <c r="B340" s="5">
        <f>IFERROR(__xludf.DUMMYFUNCTION("""COMPUTED_VALUE"""),2190.0)</f>
        <v>2190</v>
      </c>
      <c r="C340" s="5">
        <f>IFERROR(__xludf.DUMMYFUNCTION("""COMPUTED_VALUE"""),2220.0)</f>
        <v>2220</v>
      </c>
      <c r="D340" s="5">
        <f>IFERROR(__xludf.DUMMYFUNCTION("""COMPUTED_VALUE"""),2180.0)</f>
        <v>2180</v>
      </c>
      <c r="E340" s="5">
        <f>IFERROR(__xludf.DUMMYFUNCTION("""COMPUTED_VALUE"""),2180.0)</f>
        <v>2180</v>
      </c>
      <c r="F340" s="5">
        <f>IFERROR(__xludf.DUMMYFUNCTION("""COMPUTED_VALUE"""),1.80926E7)</f>
        <v>18092600</v>
      </c>
      <c r="G340" s="5">
        <f t="shared" si="1"/>
        <v>40</v>
      </c>
    </row>
    <row r="341">
      <c r="A341" s="4">
        <f>IFERROR(__xludf.DUMMYFUNCTION("""COMPUTED_VALUE"""),44344.625)</f>
        <v>44344.625</v>
      </c>
      <c r="B341" s="5">
        <f>IFERROR(__xludf.DUMMYFUNCTION("""COMPUTED_VALUE"""),2190.0)</f>
        <v>2190</v>
      </c>
      <c r="C341" s="5">
        <f>IFERROR(__xludf.DUMMYFUNCTION("""COMPUTED_VALUE"""),2210.0)</f>
        <v>2210</v>
      </c>
      <c r="D341" s="5">
        <f>IFERROR(__xludf.DUMMYFUNCTION("""COMPUTED_VALUE"""),2170.0)</f>
        <v>2170</v>
      </c>
      <c r="E341" s="5">
        <f>IFERROR(__xludf.DUMMYFUNCTION("""COMPUTED_VALUE"""),2190.0)</f>
        <v>2190</v>
      </c>
      <c r="F341" s="5">
        <f>IFERROR(__xludf.DUMMYFUNCTION("""COMPUTED_VALUE"""),1.09809E7)</f>
        <v>10980900</v>
      </c>
      <c r="G341" s="5">
        <f t="shared" si="1"/>
        <v>40</v>
      </c>
    </row>
    <row r="342">
      <c r="A342" s="4">
        <f>IFERROR(__xludf.DUMMYFUNCTION("""COMPUTED_VALUE"""),44347.625)</f>
        <v>44347.625</v>
      </c>
      <c r="B342" s="5">
        <f>IFERROR(__xludf.DUMMYFUNCTION("""COMPUTED_VALUE"""),2190.0)</f>
        <v>2190</v>
      </c>
      <c r="C342" s="5">
        <f>IFERROR(__xludf.DUMMYFUNCTION("""COMPUTED_VALUE"""),2240.0)</f>
        <v>2240</v>
      </c>
      <c r="D342" s="5">
        <f>IFERROR(__xludf.DUMMYFUNCTION("""COMPUTED_VALUE"""),2190.0)</f>
        <v>2190</v>
      </c>
      <c r="E342" s="5">
        <f>IFERROR(__xludf.DUMMYFUNCTION("""COMPUTED_VALUE"""),2210.0)</f>
        <v>2210</v>
      </c>
      <c r="F342" s="5">
        <f>IFERROR(__xludf.DUMMYFUNCTION("""COMPUTED_VALUE"""),1.13278E7)</f>
        <v>11327800</v>
      </c>
      <c r="G342" s="5">
        <f t="shared" si="1"/>
        <v>50</v>
      </c>
    </row>
    <row r="343">
      <c r="A343" s="4">
        <f>IFERROR(__xludf.DUMMYFUNCTION("""COMPUTED_VALUE"""),44349.625)</f>
        <v>44349.625</v>
      </c>
      <c r="B343" s="5">
        <f>IFERROR(__xludf.DUMMYFUNCTION("""COMPUTED_VALUE"""),2240.0)</f>
        <v>2240</v>
      </c>
      <c r="C343" s="5">
        <f>IFERROR(__xludf.DUMMYFUNCTION("""COMPUTED_VALUE"""),2370.0)</f>
        <v>2370</v>
      </c>
      <c r="D343" s="5">
        <f>IFERROR(__xludf.DUMMYFUNCTION("""COMPUTED_VALUE"""),2230.0)</f>
        <v>2230</v>
      </c>
      <c r="E343" s="5">
        <f>IFERROR(__xludf.DUMMYFUNCTION("""COMPUTED_VALUE"""),2350.0)</f>
        <v>2350</v>
      </c>
      <c r="F343" s="5">
        <f>IFERROR(__xludf.DUMMYFUNCTION("""COMPUTED_VALUE"""),6.49369E7)</f>
        <v>64936900</v>
      </c>
      <c r="G343" s="5">
        <f t="shared" si="1"/>
        <v>160</v>
      </c>
    </row>
    <row r="344">
      <c r="A344" s="4">
        <f>IFERROR(__xludf.DUMMYFUNCTION("""COMPUTED_VALUE"""),44350.625)</f>
        <v>44350.625</v>
      </c>
      <c r="B344" s="5">
        <f>IFERROR(__xludf.DUMMYFUNCTION("""COMPUTED_VALUE"""),2350.0)</f>
        <v>2350</v>
      </c>
      <c r="C344" s="5">
        <f>IFERROR(__xludf.DUMMYFUNCTION("""COMPUTED_VALUE"""),2350.0)</f>
        <v>2350</v>
      </c>
      <c r="D344" s="5">
        <f>IFERROR(__xludf.DUMMYFUNCTION("""COMPUTED_VALUE"""),2300.0)</f>
        <v>2300</v>
      </c>
      <c r="E344" s="5">
        <f>IFERROR(__xludf.DUMMYFUNCTION("""COMPUTED_VALUE"""),2320.0)</f>
        <v>2320</v>
      </c>
      <c r="F344" s="5">
        <f>IFERROR(__xludf.DUMMYFUNCTION("""COMPUTED_VALUE"""),2.20292E7)</f>
        <v>22029200</v>
      </c>
      <c r="G344" s="5">
        <f t="shared" si="1"/>
        <v>50</v>
      </c>
    </row>
    <row r="345">
      <c r="A345" s="4">
        <f>IFERROR(__xludf.DUMMYFUNCTION("""COMPUTED_VALUE"""),44351.625)</f>
        <v>44351.625</v>
      </c>
      <c r="B345" s="5">
        <f>IFERROR(__xludf.DUMMYFUNCTION("""COMPUTED_VALUE"""),2300.0)</f>
        <v>2300</v>
      </c>
      <c r="C345" s="5">
        <f>IFERROR(__xludf.DUMMYFUNCTION("""COMPUTED_VALUE"""),2320.0)</f>
        <v>2320</v>
      </c>
      <c r="D345" s="5">
        <f>IFERROR(__xludf.DUMMYFUNCTION("""COMPUTED_VALUE"""),2280.0)</f>
        <v>2280</v>
      </c>
      <c r="E345" s="5">
        <f>IFERROR(__xludf.DUMMYFUNCTION("""COMPUTED_VALUE"""),2280.0)</f>
        <v>2280</v>
      </c>
      <c r="F345" s="5">
        <f>IFERROR(__xludf.DUMMYFUNCTION("""COMPUTED_VALUE"""),1.26006E7)</f>
        <v>12600600</v>
      </c>
      <c r="G345" s="5">
        <f t="shared" si="1"/>
        <v>40</v>
      </c>
    </row>
    <row r="346">
      <c r="A346" s="4">
        <f>IFERROR(__xludf.DUMMYFUNCTION("""COMPUTED_VALUE"""),44354.625)</f>
        <v>44354.625</v>
      </c>
      <c r="B346" s="5">
        <f>IFERROR(__xludf.DUMMYFUNCTION("""COMPUTED_VALUE"""),2280.0)</f>
        <v>2280</v>
      </c>
      <c r="C346" s="5">
        <f>IFERROR(__xludf.DUMMYFUNCTION("""COMPUTED_VALUE"""),2280.0)</f>
        <v>2280</v>
      </c>
      <c r="D346" s="5">
        <f>IFERROR(__xludf.DUMMYFUNCTION("""COMPUTED_VALUE"""),2220.0)</f>
        <v>2220</v>
      </c>
      <c r="E346" s="5">
        <f>IFERROR(__xludf.DUMMYFUNCTION("""COMPUTED_VALUE"""),2220.0)</f>
        <v>2220</v>
      </c>
      <c r="F346" s="5">
        <f>IFERROR(__xludf.DUMMYFUNCTION("""COMPUTED_VALUE"""),1.82134E7)</f>
        <v>18213400</v>
      </c>
      <c r="G346" s="5">
        <f t="shared" si="1"/>
        <v>60</v>
      </c>
    </row>
    <row r="347">
      <c r="A347" s="4">
        <f>IFERROR(__xludf.DUMMYFUNCTION("""COMPUTED_VALUE"""),44355.625)</f>
        <v>44355.625</v>
      </c>
      <c r="B347" s="5">
        <f>IFERROR(__xludf.DUMMYFUNCTION("""COMPUTED_VALUE"""),2260.0)</f>
        <v>2260</v>
      </c>
      <c r="C347" s="5">
        <f>IFERROR(__xludf.DUMMYFUNCTION("""COMPUTED_VALUE"""),2280.0)</f>
        <v>2280</v>
      </c>
      <c r="D347" s="5">
        <f>IFERROR(__xludf.DUMMYFUNCTION("""COMPUTED_VALUE"""),2190.0)</f>
        <v>2190</v>
      </c>
      <c r="E347" s="5">
        <f>IFERROR(__xludf.DUMMYFUNCTION("""COMPUTED_VALUE"""),2190.0)</f>
        <v>2190</v>
      </c>
      <c r="F347" s="5">
        <f>IFERROR(__xludf.DUMMYFUNCTION("""COMPUTED_VALUE"""),3.0094E7)</f>
        <v>30094000</v>
      </c>
      <c r="G347" s="5">
        <f t="shared" si="1"/>
        <v>90</v>
      </c>
    </row>
    <row r="348">
      <c r="A348" s="4">
        <f>IFERROR(__xludf.DUMMYFUNCTION("""COMPUTED_VALUE"""),44356.625)</f>
        <v>44356.625</v>
      </c>
      <c r="B348" s="5">
        <f>IFERROR(__xludf.DUMMYFUNCTION("""COMPUTED_VALUE"""),2200.0)</f>
        <v>2200</v>
      </c>
      <c r="C348" s="5">
        <f>IFERROR(__xludf.DUMMYFUNCTION("""COMPUTED_VALUE"""),2240.0)</f>
        <v>2240</v>
      </c>
      <c r="D348" s="5">
        <f>IFERROR(__xludf.DUMMYFUNCTION("""COMPUTED_VALUE"""),2190.0)</f>
        <v>2190</v>
      </c>
      <c r="E348" s="5">
        <f>IFERROR(__xludf.DUMMYFUNCTION("""COMPUTED_VALUE"""),2220.0)</f>
        <v>2220</v>
      </c>
      <c r="F348" s="5">
        <f>IFERROR(__xludf.DUMMYFUNCTION("""COMPUTED_VALUE"""),2.1115E7)</f>
        <v>21115000</v>
      </c>
      <c r="G348" s="5">
        <f t="shared" si="1"/>
        <v>50</v>
      </c>
    </row>
    <row r="349">
      <c r="A349" s="4">
        <f>IFERROR(__xludf.DUMMYFUNCTION("""COMPUTED_VALUE"""),44357.625)</f>
        <v>44357.625</v>
      </c>
      <c r="B349" s="5">
        <f>IFERROR(__xludf.DUMMYFUNCTION("""COMPUTED_VALUE"""),2240.0)</f>
        <v>2240</v>
      </c>
      <c r="C349" s="5">
        <f>IFERROR(__xludf.DUMMYFUNCTION("""COMPUTED_VALUE"""),2250.0)</f>
        <v>2250</v>
      </c>
      <c r="D349" s="5">
        <f>IFERROR(__xludf.DUMMYFUNCTION("""COMPUTED_VALUE"""),2200.0)</f>
        <v>2200</v>
      </c>
      <c r="E349" s="5">
        <f>IFERROR(__xludf.DUMMYFUNCTION("""COMPUTED_VALUE"""),2200.0)</f>
        <v>2200</v>
      </c>
      <c r="F349" s="5">
        <f>IFERROR(__xludf.DUMMYFUNCTION("""COMPUTED_VALUE"""),2.28249E7)</f>
        <v>22824900</v>
      </c>
      <c r="G349" s="5">
        <f t="shared" si="1"/>
        <v>50</v>
      </c>
    </row>
    <row r="350">
      <c r="A350" s="4">
        <f>IFERROR(__xludf.DUMMYFUNCTION("""COMPUTED_VALUE"""),44358.625)</f>
        <v>44358.625</v>
      </c>
      <c r="B350" s="5">
        <f>IFERROR(__xludf.DUMMYFUNCTION("""COMPUTED_VALUE"""),2230.0)</f>
        <v>2230</v>
      </c>
      <c r="C350" s="5">
        <f>IFERROR(__xludf.DUMMYFUNCTION("""COMPUTED_VALUE"""),2340.0)</f>
        <v>2340</v>
      </c>
      <c r="D350" s="5">
        <f>IFERROR(__xludf.DUMMYFUNCTION("""COMPUTED_VALUE"""),2190.0)</f>
        <v>2190</v>
      </c>
      <c r="E350" s="5">
        <f>IFERROR(__xludf.DUMMYFUNCTION("""COMPUTED_VALUE"""),2290.0)</f>
        <v>2290</v>
      </c>
      <c r="F350" s="5">
        <f>IFERROR(__xludf.DUMMYFUNCTION("""COMPUTED_VALUE"""),7.66077E7)</f>
        <v>76607700</v>
      </c>
      <c r="G350" s="5">
        <f t="shared" si="1"/>
        <v>150</v>
      </c>
    </row>
    <row r="351">
      <c r="A351" s="4">
        <f>IFERROR(__xludf.DUMMYFUNCTION("""COMPUTED_VALUE"""),44361.66666666667)</f>
        <v>44361.66667</v>
      </c>
      <c r="B351" s="5">
        <f>IFERROR(__xludf.DUMMYFUNCTION("""COMPUTED_VALUE"""),2300.0)</f>
        <v>2300</v>
      </c>
      <c r="C351" s="5">
        <f>IFERROR(__xludf.DUMMYFUNCTION("""COMPUTED_VALUE"""),2330.0)</f>
        <v>2330</v>
      </c>
      <c r="D351" s="5">
        <f>IFERROR(__xludf.DUMMYFUNCTION("""COMPUTED_VALUE"""),2260.0)</f>
        <v>2260</v>
      </c>
      <c r="E351" s="5">
        <f>IFERROR(__xludf.DUMMYFUNCTION("""COMPUTED_VALUE"""),2290.0)</f>
        <v>2290</v>
      </c>
      <c r="F351" s="5">
        <f>IFERROR(__xludf.DUMMYFUNCTION("""COMPUTED_VALUE"""),2.17248E7)</f>
        <v>21724800</v>
      </c>
      <c r="G351" s="5">
        <f t="shared" si="1"/>
        <v>70</v>
      </c>
    </row>
    <row r="352">
      <c r="A352" s="4">
        <f>IFERROR(__xludf.DUMMYFUNCTION("""COMPUTED_VALUE"""),44362.625)</f>
        <v>44362.625</v>
      </c>
      <c r="B352" s="5">
        <f>IFERROR(__xludf.DUMMYFUNCTION("""COMPUTED_VALUE"""),2290.0)</f>
        <v>2290</v>
      </c>
      <c r="C352" s="5">
        <f>IFERROR(__xludf.DUMMYFUNCTION("""COMPUTED_VALUE"""),2290.0)</f>
        <v>2290</v>
      </c>
      <c r="D352" s="5">
        <f>IFERROR(__xludf.DUMMYFUNCTION("""COMPUTED_VALUE"""),2220.0)</f>
        <v>2220</v>
      </c>
      <c r="E352" s="5">
        <f>IFERROR(__xludf.DUMMYFUNCTION("""COMPUTED_VALUE"""),2240.0)</f>
        <v>2240</v>
      </c>
      <c r="F352" s="5">
        <f>IFERROR(__xludf.DUMMYFUNCTION("""COMPUTED_VALUE"""),1.48508E7)</f>
        <v>14850800</v>
      </c>
      <c r="G352" s="5">
        <f t="shared" si="1"/>
        <v>70</v>
      </c>
    </row>
    <row r="353">
      <c r="A353" s="4">
        <f>IFERROR(__xludf.DUMMYFUNCTION("""COMPUTED_VALUE"""),44363.625)</f>
        <v>44363.625</v>
      </c>
      <c r="B353" s="5">
        <f>IFERROR(__xludf.DUMMYFUNCTION("""COMPUTED_VALUE"""),2220.0)</f>
        <v>2220</v>
      </c>
      <c r="C353" s="5">
        <f>IFERROR(__xludf.DUMMYFUNCTION("""COMPUTED_VALUE"""),2280.0)</f>
        <v>2280</v>
      </c>
      <c r="D353" s="5">
        <f>IFERROR(__xludf.DUMMYFUNCTION("""COMPUTED_VALUE"""),2190.0)</f>
        <v>2190</v>
      </c>
      <c r="E353" s="5">
        <f>IFERROR(__xludf.DUMMYFUNCTION("""COMPUTED_VALUE"""),2260.0)</f>
        <v>2260</v>
      </c>
      <c r="F353" s="5">
        <f>IFERROR(__xludf.DUMMYFUNCTION("""COMPUTED_VALUE"""),3.07609E7)</f>
        <v>30760900</v>
      </c>
      <c r="G353" s="5">
        <f t="shared" si="1"/>
        <v>90</v>
      </c>
    </row>
    <row r="354">
      <c r="A354" s="4">
        <f>IFERROR(__xludf.DUMMYFUNCTION("""COMPUTED_VALUE"""),44364.625)</f>
        <v>44364.625</v>
      </c>
      <c r="B354" s="5">
        <f>IFERROR(__xludf.DUMMYFUNCTION("""COMPUTED_VALUE"""),2230.0)</f>
        <v>2230</v>
      </c>
      <c r="C354" s="5">
        <f>IFERROR(__xludf.DUMMYFUNCTION("""COMPUTED_VALUE"""),2250.0)</f>
        <v>2250</v>
      </c>
      <c r="D354" s="5">
        <f>IFERROR(__xludf.DUMMYFUNCTION("""COMPUTED_VALUE"""),2200.0)</f>
        <v>2200</v>
      </c>
      <c r="E354" s="5">
        <f>IFERROR(__xludf.DUMMYFUNCTION("""COMPUTED_VALUE"""),2200.0)</f>
        <v>2200</v>
      </c>
      <c r="F354" s="5">
        <f>IFERROR(__xludf.DUMMYFUNCTION("""COMPUTED_VALUE"""),2.17714E7)</f>
        <v>21771400</v>
      </c>
      <c r="G354" s="5">
        <f t="shared" si="1"/>
        <v>60</v>
      </c>
    </row>
    <row r="355">
      <c r="A355" s="4">
        <f>IFERROR(__xludf.DUMMYFUNCTION("""COMPUTED_VALUE"""),44365.625)</f>
        <v>44365.625</v>
      </c>
      <c r="B355" s="5">
        <f>IFERROR(__xludf.DUMMYFUNCTION("""COMPUTED_VALUE"""),2180.0)</f>
        <v>2180</v>
      </c>
      <c r="C355" s="5">
        <f>IFERROR(__xludf.DUMMYFUNCTION("""COMPUTED_VALUE"""),2210.0)</f>
        <v>2210</v>
      </c>
      <c r="D355" s="5">
        <f>IFERROR(__xludf.DUMMYFUNCTION("""COMPUTED_VALUE"""),2110.0)</f>
        <v>2110</v>
      </c>
      <c r="E355" s="5">
        <f>IFERROR(__xludf.DUMMYFUNCTION("""COMPUTED_VALUE"""),2120.0)</f>
        <v>2120</v>
      </c>
      <c r="F355" s="5">
        <f>IFERROR(__xludf.DUMMYFUNCTION("""COMPUTED_VALUE"""),3.7712E7)</f>
        <v>37712000</v>
      </c>
      <c r="G355" s="5">
        <f t="shared" si="1"/>
        <v>100</v>
      </c>
    </row>
    <row r="356">
      <c r="A356" s="4">
        <f>IFERROR(__xludf.DUMMYFUNCTION("""COMPUTED_VALUE"""),44368.66666666667)</f>
        <v>44368.66667</v>
      </c>
      <c r="B356" s="5">
        <f>IFERROR(__xludf.DUMMYFUNCTION("""COMPUTED_VALUE"""),2100.0)</f>
        <v>2100</v>
      </c>
      <c r="C356" s="5">
        <f>IFERROR(__xludf.DUMMYFUNCTION("""COMPUTED_VALUE"""),2100.0)</f>
        <v>2100</v>
      </c>
      <c r="D356" s="5">
        <f>IFERROR(__xludf.DUMMYFUNCTION("""COMPUTED_VALUE"""),2050.0)</f>
        <v>2050</v>
      </c>
      <c r="E356" s="5">
        <f>IFERROR(__xludf.DUMMYFUNCTION("""COMPUTED_VALUE"""),2080.0)</f>
        <v>2080</v>
      </c>
      <c r="F356" s="5">
        <f>IFERROR(__xludf.DUMMYFUNCTION("""COMPUTED_VALUE"""),2.29272E7)</f>
        <v>22927200</v>
      </c>
      <c r="G356" s="5">
        <f t="shared" si="1"/>
        <v>70</v>
      </c>
    </row>
    <row r="357">
      <c r="A357" s="4">
        <f>IFERROR(__xludf.DUMMYFUNCTION("""COMPUTED_VALUE"""),44369.625)</f>
        <v>44369.625</v>
      </c>
      <c r="B357" s="5">
        <f>IFERROR(__xludf.DUMMYFUNCTION("""COMPUTED_VALUE"""),2100.0)</f>
        <v>2100</v>
      </c>
      <c r="C357" s="5">
        <f>IFERROR(__xludf.DUMMYFUNCTION("""COMPUTED_VALUE"""),2120.0)</f>
        <v>2120</v>
      </c>
      <c r="D357" s="5">
        <f>IFERROR(__xludf.DUMMYFUNCTION("""COMPUTED_VALUE"""),2080.0)</f>
        <v>2080</v>
      </c>
      <c r="E357" s="5">
        <f>IFERROR(__xludf.DUMMYFUNCTION("""COMPUTED_VALUE"""),2100.0)</f>
        <v>2100</v>
      </c>
      <c r="F357" s="5">
        <f>IFERROR(__xludf.DUMMYFUNCTION("""COMPUTED_VALUE"""),1.36376E7)</f>
        <v>13637600</v>
      </c>
      <c r="G357" s="5">
        <f t="shared" si="1"/>
        <v>40</v>
      </c>
    </row>
    <row r="358">
      <c r="A358" s="4">
        <f>IFERROR(__xludf.DUMMYFUNCTION("""COMPUTED_VALUE"""),44370.625)</f>
        <v>44370.625</v>
      </c>
      <c r="B358" s="5">
        <f>IFERROR(__xludf.DUMMYFUNCTION("""COMPUTED_VALUE"""),2110.0)</f>
        <v>2110</v>
      </c>
      <c r="C358" s="5">
        <f>IFERROR(__xludf.DUMMYFUNCTION("""COMPUTED_VALUE"""),2120.0)</f>
        <v>2120</v>
      </c>
      <c r="D358" s="5">
        <f>IFERROR(__xludf.DUMMYFUNCTION("""COMPUTED_VALUE"""),2050.0)</f>
        <v>2050</v>
      </c>
      <c r="E358" s="5">
        <f>IFERROR(__xludf.DUMMYFUNCTION("""COMPUTED_VALUE"""),2050.0)</f>
        <v>2050</v>
      </c>
      <c r="F358" s="5">
        <f>IFERROR(__xludf.DUMMYFUNCTION("""COMPUTED_VALUE"""),1.65523E7)</f>
        <v>16552300</v>
      </c>
      <c r="G358" s="5">
        <f t="shared" si="1"/>
        <v>70</v>
      </c>
    </row>
    <row r="359">
      <c r="A359" s="4">
        <f>IFERROR(__xludf.DUMMYFUNCTION("""COMPUTED_VALUE"""),44371.625)</f>
        <v>44371.625</v>
      </c>
      <c r="B359" s="5">
        <f>IFERROR(__xludf.DUMMYFUNCTION("""COMPUTED_VALUE"""),2050.0)</f>
        <v>2050</v>
      </c>
      <c r="C359" s="5">
        <f>IFERROR(__xludf.DUMMYFUNCTION("""COMPUTED_VALUE"""),2070.0)</f>
        <v>2070</v>
      </c>
      <c r="D359" s="5">
        <f>IFERROR(__xludf.DUMMYFUNCTION("""COMPUTED_VALUE"""),2020.0)</f>
        <v>2020</v>
      </c>
      <c r="E359" s="5">
        <f>IFERROR(__xludf.DUMMYFUNCTION("""COMPUTED_VALUE"""),2030.0)</f>
        <v>2030</v>
      </c>
      <c r="F359" s="5">
        <f>IFERROR(__xludf.DUMMYFUNCTION("""COMPUTED_VALUE"""),1.41568E7)</f>
        <v>14156800</v>
      </c>
      <c r="G359" s="5">
        <f t="shared" si="1"/>
        <v>50</v>
      </c>
    </row>
    <row r="360">
      <c r="A360" s="4">
        <f>IFERROR(__xludf.DUMMYFUNCTION("""COMPUTED_VALUE"""),44372.625)</f>
        <v>44372.625</v>
      </c>
      <c r="B360" s="5">
        <f>IFERROR(__xludf.DUMMYFUNCTION("""COMPUTED_VALUE"""),2040.0)</f>
        <v>2040</v>
      </c>
      <c r="C360" s="5">
        <f>IFERROR(__xludf.DUMMYFUNCTION("""COMPUTED_VALUE"""),2070.0)</f>
        <v>2070</v>
      </c>
      <c r="D360" s="5">
        <f>IFERROR(__xludf.DUMMYFUNCTION("""COMPUTED_VALUE"""),2020.0)</f>
        <v>2020</v>
      </c>
      <c r="E360" s="5">
        <f>IFERROR(__xludf.DUMMYFUNCTION("""COMPUTED_VALUE"""),2030.0)</f>
        <v>2030</v>
      </c>
      <c r="F360" s="5">
        <f>IFERROR(__xludf.DUMMYFUNCTION("""COMPUTED_VALUE"""),1.85168E7)</f>
        <v>18516800</v>
      </c>
      <c r="G360" s="5">
        <f t="shared" si="1"/>
        <v>50</v>
      </c>
    </row>
    <row r="361">
      <c r="A361" s="4">
        <f>IFERROR(__xludf.DUMMYFUNCTION("""COMPUTED_VALUE"""),44375.66666666667)</f>
        <v>44375.66667</v>
      </c>
      <c r="B361" s="5">
        <f>IFERROR(__xludf.DUMMYFUNCTION("""COMPUTED_VALUE"""),2050.0)</f>
        <v>2050</v>
      </c>
      <c r="C361" s="5">
        <f>IFERROR(__xludf.DUMMYFUNCTION("""COMPUTED_VALUE"""),2070.0)</f>
        <v>2070</v>
      </c>
      <c r="D361" s="5">
        <f>IFERROR(__xludf.DUMMYFUNCTION("""COMPUTED_VALUE"""),2010.0)</f>
        <v>2010</v>
      </c>
      <c r="E361" s="5">
        <f>IFERROR(__xludf.DUMMYFUNCTION("""COMPUTED_VALUE"""),2010.0)</f>
        <v>2010</v>
      </c>
      <c r="F361" s="5">
        <f>IFERROR(__xludf.DUMMYFUNCTION("""COMPUTED_VALUE"""),1.23918E7)</f>
        <v>12391800</v>
      </c>
      <c r="G361" s="5">
        <f t="shared" si="1"/>
        <v>60</v>
      </c>
    </row>
    <row r="362">
      <c r="A362" s="4">
        <f>IFERROR(__xludf.DUMMYFUNCTION("""COMPUTED_VALUE"""),44376.625)</f>
        <v>44376.625</v>
      </c>
      <c r="B362" s="5">
        <f>IFERROR(__xludf.DUMMYFUNCTION("""COMPUTED_VALUE"""),2000.0)</f>
        <v>2000</v>
      </c>
      <c r="C362" s="5">
        <f>IFERROR(__xludf.DUMMYFUNCTION("""COMPUTED_VALUE"""),2030.0)</f>
        <v>2030</v>
      </c>
      <c r="D362" s="5">
        <f>IFERROR(__xludf.DUMMYFUNCTION("""COMPUTED_VALUE"""),1995.0)</f>
        <v>1995</v>
      </c>
      <c r="E362" s="5">
        <f>IFERROR(__xludf.DUMMYFUNCTION("""COMPUTED_VALUE"""),2000.0)</f>
        <v>2000</v>
      </c>
      <c r="F362" s="5">
        <f>IFERROR(__xludf.DUMMYFUNCTION("""COMPUTED_VALUE"""),1.33998E7)</f>
        <v>13399800</v>
      </c>
      <c r="G362" s="5">
        <f t="shared" si="1"/>
        <v>35</v>
      </c>
    </row>
    <row r="363">
      <c r="A363" s="4">
        <f>IFERROR(__xludf.DUMMYFUNCTION("""COMPUTED_VALUE"""),44377.625)</f>
        <v>44377.625</v>
      </c>
      <c r="B363" s="5">
        <f>IFERROR(__xludf.DUMMYFUNCTION("""COMPUTED_VALUE"""),2000.0)</f>
        <v>2000</v>
      </c>
      <c r="C363" s="5">
        <f>IFERROR(__xludf.DUMMYFUNCTION("""COMPUTED_VALUE"""),2030.0)</f>
        <v>2030</v>
      </c>
      <c r="D363" s="5">
        <f>IFERROR(__xludf.DUMMYFUNCTION("""COMPUTED_VALUE"""),1995.0)</f>
        <v>1995</v>
      </c>
      <c r="E363" s="5">
        <f>IFERROR(__xludf.DUMMYFUNCTION("""COMPUTED_VALUE"""),2000.0)</f>
        <v>2000</v>
      </c>
      <c r="F363" s="5">
        <f>IFERROR(__xludf.DUMMYFUNCTION("""COMPUTED_VALUE"""),1.81617E7)</f>
        <v>18161700</v>
      </c>
      <c r="G363" s="5">
        <f t="shared" si="1"/>
        <v>35</v>
      </c>
    </row>
    <row r="364">
      <c r="A364" s="4">
        <f>IFERROR(__xludf.DUMMYFUNCTION("""COMPUTED_VALUE"""),44378.625)</f>
        <v>44378.625</v>
      </c>
      <c r="B364" s="5">
        <f>IFERROR(__xludf.DUMMYFUNCTION("""COMPUTED_VALUE"""),2030.0)</f>
        <v>2030</v>
      </c>
      <c r="C364" s="5">
        <f>IFERROR(__xludf.DUMMYFUNCTION("""COMPUTED_VALUE"""),2050.0)</f>
        <v>2050</v>
      </c>
      <c r="D364" s="5">
        <f>IFERROR(__xludf.DUMMYFUNCTION("""COMPUTED_VALUE"""),2000.0)</f>
        <v>2000</v>
      </c>
      <c r="E364" s="5">
        <f>IFERROR(__xludf.DUMMYFUNCTION("""COMPUTED_VALUE"""),2010.0)</f>
        <v>2010</v>
      </c>
      <c r="F364" s="5">
        <f>IFERROR(__xludf.DUMMYFUNCTION("""COMPUTED_VALUE"""),1.19268E7)</f>
        <v>11926800</v>
      </c>
      <c r="G364" s="5">
        <f t="shared" si="1"/>
        <v>50</v>
      </c>
    </row>
    <row r="365">
      <c r="A365" s="4">
        <f>IFERROR(__xludf.DUMMYFUNCTION("""COMPUTED_VALUE"""),44379.625)</f>
        <v>44379.625</v>
      </c>
      <c r="B365" s="5">
        <f>IFERROR(__xludf.DUMMYFUNCTION("""COMPUTED_VALUE"""),2030.0)</f>
        <v>2030</v>
      </c>
      <c r="C365" s="5">
        <f>IFERROR(__xludf.DUMMYFUNCTION("""COMPUTED_VALUE"""),2120.0)</f>
        <v>2120</v>
      </c>
      <c r="D365" s="5">
        <f>IFERROR(__xludf.DUMMYFUNCTION("""COMPUTED_VALUE"""),2020.0)</f>
        <v>2020</v>
      </c>
      <c r="E365" s="5">
        <f>IFERROR(__xludf.DUMMYFUNCTION("""COMPUTED_VALUE"""),2100.0)</f>
        <v>2100</v>
      </c>
      <c r="F365" s="5">
        <f>IFERROR(__xludf.DUMMYFUNCTION("""COMPUTED_VALUE"""),1.95357E7)</f>
        <v>19535700</v>
      </c>
      <c r="G365" s="5">
        <f t="shared" si="1"/>
        <v>110</v>
      </c>
    </row>
    <row r="366">
      <c r="A366" s="4">
        <f>IFERROR(__xludf.DUMMYFUNCTION("""COMPUTED_VALUE"""),44382.625)</f>
        <v>44382.625</v>
      </c>
      <c r="B366" s="5">
        <f>IFERROR(__xludf.DUMMYFUNCTION("""COMPUTED_VALUE"""),2110.0)</f>
        <v>2110</v>
      </c>
      <c r="C366" s="5">
        <f>IFERROR(__xludf.DUMMYFUNCTION("""COMPUTED_VALUE"""),2130.0)</f>
        <v>2130</v>
      </c>
      <c r="D366" s="5">
        <f>IFERROR(__xludf.DUMMYFUNCTION("""COMPUTED_VALUE"""),2040.0)</f>
        <v>2040</v>
      </c>
      <c r="E366" s="5">
        <f>IFERROR(__xludf.DUMMYFUNCTION("""COMPUTED_VALUE"""),2060.0)</f>
        <v>2060</v>
      </c>
      <c r="F366" s="5">
        <f>IFERROR(__xludf.DUMMYFUNCTION("""COMPUTED_VALUE"""),1.60372E7)</f>
        <v>16037200</v>
      </c>
      <c r="G366" s="5">
        <f t="shared" si="1"/>
        <v>90</v>
      </c>
    </row>
    <row r="367">
      <c r="A367" s="4">
        <f>IFERROR(__xludf.DUMMYFUNCTION("""COMPUTED_VALUE"""),44383.625)</f>
        <v>44383.625</v>
      </c>
      <c r="B367" s="5">
        <f>IFERROR(__xludf.DUMMYFUNCTION("""COMPUTED_VALUE"""),2110.0)</f>
        <v>2110</v>
      </c>
      <c r="C367" s="5">
        <f>IFERROR(__xludf.DUMMYFUNCTION("""COMPUTED_VALUE"""),2170.0)</f>
        <v>2170</v>
      </c>
      <c r="D367" s="5">
        <f>IFERROR(__xludf.DUMMYFUNCTION("""COMPUTED_VALUE"""),2090.0)</f>
        <v>2090</v>
      </c>
      <c r="E367" s="5">
        <f>IFERROR(__xludf.DUMMYFUNCTION("""COMPUTED_VALUE"""),2150.0)</f>
        <v>2150</v>
      </c>
      <c r="F367" s="5">
        <f>IFERROR(__xludf.DUMMYFUNCTION("""COMPUTED_VALUE"""),2.47186E7)</f>
        <v>24718600</v>
      </c>
      <c r="G367" s="5">
        <f t="shared" si="1"/>
        <v>110</v>
      </c>
    </row>
    <row r="368">
      <c r="A368" s="4">
        <f>IFERROR(__xludf.DUMMYFUNCTION("""COMPUTED_VALUE"""),44384.625)</f>
        <v>44384.625</v>
      </c>
      <c r="B368" s="5">
        <f>IFERROR(__xludf.DUMMYFUNCTION("""COMPUTED_VALUE"""),2130.0)</f>
        <v>2130</v>
      </c>
      <c r="C368" s="5">
        <f>IFERROR(__xludf.DUMMYFUNCTION("""COMPUTED_VALUE"""),2130.0)</f>
        <v>2130</v>
      </c>
      <c r="D368" s="5">
        <f>IFERROR(__xludf.DUMMYFUNCTION("""COMPUTED_VALUE"""),2100.0)</f>
        <v>2100</v>
      </c>
      <c r="E368" s="5">
        <f>IFERROR(__xludf.DUMMYFUNCTION("""COMPUTED_VALUE"""),2100.0)</f>
        <v>2100</v>
      </c>
      <c r="F368" s="5">
        <f>IFERROR(__xludf.DUMMYFUNCTION("""COMPUTED_VALUE"""),1.35907E7)</f>
        <v>13590700</v>
      </c>
      <c r="G368" s="5">
        <f t="shared" si="1"/>
        <v>50</v>
      </c>
    </row>
    <row r="369">
      <c r="A369" s="4">
        <f>IFERROR(__xludf.DUMMYFUNCTION("""COMPUTED_VALUE"""),44385.625)</f>
        <v>44385.625</v>
      </c>
      <c r="B369" s="5">
        <f>IFERROR(__xludf.DUMMYFUNCTION("""COMPUTED_VALUE"""),2110.0)</f>
        <v>2110</v>
      </c>
      <c r="C369" s="5">
        <f>IFERROR(__xludf.DUMMYFUNCTION("""COMPUTED_VALUE"""),2120.0)</f>
        <v>2120</v>
      </c>
      <c r="D369" s="5">
        <f>IFERROR(__xludf.DUMMYFUNCTION("""COMPUTED_VALUE"""),2060.0)</f>
        <v>2060</v>
      </c>
      <c r="E369" s="5">
        <f>IFERROR(__xludf.DUMMYFUNCTION("""COMPUTED_VALUE"""),2070.0)</f>
        <v>2070</v>
      </c>
      <c r="F369" s="5">
        <f>IFERROR(__xludf.DUMMYFUNCTION("""COMPUTED_VALUE"""),1.11329E7)</f>
        <v>11132900</v>
      </c>
      <c r="G369" s="5">
        <f t="shared" si="1"/>
        <v>60</v>
      </c>
    </row>
    <row r="370">
      <c r="A370" s="4">
        <f>IFERROR(__xludf.DUMMYFUNCTION("""COMPUTED_VALUE"""),44386.625)</f>
        <v>44386.625</v>
      </c>
      <c r="B370" s="5">
        <f>IFERROR(__xludf.DUMMYFUNCTION("""COMPUTED_VALUE"""),2090.0)</f>
        <v>2090</v>
      </c>
      <c r="C370" s="5">
        <f>IFERROR(__xludf.DUMMYFUNCTION("""COMPUTED_VALUE"""),2150.0)</f>
        <v>2150</v>
      </c>
      <c r="D370" s="5">
        <f>IFERROR(__xludf.DUMMYFUNCTION("""COMPUTED_VALUE"""),2060.0)</f>
        <v>2060</v>
      </c>
      <c r="E370" s="5">
        <f>IFERROR(__xludf.DUMMYFUNCTION("""COMPUTED_VALUE"""),2130.0)</f>
        <v>2130</v>
      </c>
      <c r="F370" s="5">
        <f>IFERROR(__xludf.DUMMYFUNCTION("""COMPUTED_VALUE"""),1.52195E7)</f>
        <v>15219500</v>
      </c>
      <c r="G370" s="5">
        <f t="shared" si="1"/>
        <v>90</v>
      </c>
    </row>
    <row r="371">
      <c r="A371" s="4">
        <f>IFERROR(__xludf.DUMMYFUNCTION("""COMPUTED_VALUE"""),44389.625)</f>
        <v>44389.625</v>
      </c>
      <c r="B371" s="5">
        <f>IFERROR(__xludf.DUMMYFUNCTION("""COMPUTED_VALUE"""),2150.0)</f>
        <v>2150</v>
      </c>
      <c r="C371" s="5">
        <f>IFERROR(__xludf.DUMMYFUNCTION("""COMPUTED_VALUE"""),2160.0)</f>
        <v>2160</v>
      </c>
      <c r="D371" s="5">
        <f>IFERROR(__xludf.DUMMYFUNCTION("""COMPUTED_VALUE"""),2120.0)</f>
        <v>2120</v>
      </c>
      <c r="E371" s="5">
        <f>IFERROR(__xludf.DUMMYFUNCTION("""COMPUTED_VALUE"""),2120.0)</f>
        <v>2120</v>
      </c>
      <c r="F371" s="5">
        <f>IFERROR(__xludf.DUMMYFUNCTION("""COMPUTED_VALUE"""),1.27001E7)</f>
        <v>12700100</v>
      </c>
      <c r="G371" s="5">
        <f t="shared" si="1"/>
        <v>40</v>
      </c>
    </row>
    <row r="372">
      <c r="A372" s="4">
        <f>IFERROR(__xludf.DUMMYFUNCTION("""COMPUTED_VALUE"""),44390.625)</f>
        <v>44390.625</v>
      </c>
      <c r="B372" s="5">
        <f>IFERROR(__xludf.DUMMYFUNCTION("""COMPUTED_VALUE"""),2120.0)</f>
        <v>2120</v>
      </c>
      <c r="C372" s="5">
        <f>IFERROR(__xludf.DUMMYFUNCTION("""COMPUTED_VALUE"""),2140.0)</f>
        <v>2140</v>
      </c>
      <c r="D372" s="5">
        <f>IFERROR(__xludf.DUMMYFUNCTION("""COMPUTED_VALUE"""),2060.0)</f>
        <v>2060</v>
      </c>
      <c r="E372" s="5">
        <f>IFERROR(__xludf.DUMMYFUNCTION("""COMPUTED_VALUE"""),2080.0)</f>
        <v>2080</v>
      </c>
      <c r="F372" s="5">
        <f>IFERROR(__xludf.DUMMYFUNCTION("""COMPUTED_VALUE"""),1.27211E7)</f>
        <v>12721100</v>
      </c>
      <c r="G372" s="5">
        <f t="shared" si="1"/>
        <v>80</v>
      </c>
    </row>
    <row r="373">
      <c r="A373" s="4">
        <f>IFERROR(__xludf.DUMMYFUNCTION("""COMPUTED_VALUE"""),44391.625)</f>
        <v>44391.625</v>
      </c>
      <c r="B373" s="5">
        <f>IFERROR(__xludf.DUMMYFUNCTION("""COMPUTED_VALUE"""),2080.0)</f>
        <v>2080</v>
      </c>
      <c r="C373" s="5">
        <f>IFERROR(__xludf.DUMMYFUNCTION("""COMPUTED_VALUE"""),2120.0)</f>
        <v>2120</v>
      </c>
      <c r="D373" s="5">
        <f>IFERROR(__xludf.DUMMYFUNCTION("""COMPUTED_VALUE"""),2060.0)</f>
        <v>2060</v>
      </c>
      <c r="E373" s="5">
        <f>IFERROR(__xludf.DUMMYFUNCTION("""COMPUTED_VALUE"""),2070.0)</f>
        <v>2070</v>
      </c>
      <c r="F373" s="5">
        <f>IFERROR(__xludf.DUMMYFUNCTION("""COMPUTED_VALUE"""),1.12715E7)</f>
        <v>11271500</v>
      </c>
      <c r="G373" s="5">
        <f t="shared" si="1"/>
        <v>60</v>
      </c>
    </row>
    <row r="374">
      <c r="A374" s="4">
        <f>IFERROR(__xludf.DUMMYFUNCTION("""COMPUTED_VALUE"""),44392.625)</f>
        <v>44392.625</v>
      </c>
      <c r="B374" s="5">
        <f>IFERROR(__xludf.DUMMYFUNCTION("""COMPUTED_VALUE"""),2070.0)</f>
        <v>2070</v>
      </c>
      <c r="C374" s="5">
        <f>IFERROR(__xludf.DUMMYFUNCTION("""COMPUTED_VALUE"""),2110.0)</f>
        <v>2110</v>
      </c>
      <c r="D374" s="5">
        <f>IFERROR(__xludf.DUMMYFUNCTION("""COMPUTED_VALUE"""),2070.0)</f>
        <v>2070</v>
      </c>
      <c r="E374" s="5">
        <f>IFERROR(__xludf.DUMMYFUNCTION("""COMPUTED_VALUE"""),2100.0)</f>
        <v>2100</v>
      </c>
      <c r="F374" s="5">
        <f>IFERROR(__xludf.DUMMYFUNCTION("""COMPUTED_VALUE"""),7678900.0)</f>
        <v>7678900</v>
      </c>
      <c r="G374" s="5">
        <f t="shared" si="1"/>
        <v>40</v>
      </c>
    </row>
    <row r="375">
      <c r="A375" s="4">
        <f>IFERROR(__xludf.DUMMYFUNCTION("""COMPUTED_VALUE"""),44393.625)</f>
        <v>44393.625</v>
      </c>
      <c r="B375" s="5">
        <f>IFERROR(__xludf.DUMMYFUNCTION("""COMPUTED_VALUE"""),2100.0)</f>
        <v>2100</v>
      </c>
      <c r="C375" s="5">
        <f>IFERROR(__xludf.DUMMYFUNCTION("""COMPUTED_VALUE"""),2170.0)</f>
        <v>2170</v>
      </c>
      <c r="D375" s="5">
        <f>IFERROR(__xludf.DUMMYFUNCTION("""COMPUTED_VALUE"""),2100.0)</f>
        <v>2100</v>
      </c>
      <c r="E375" s="5">
        <f>IFERROR(__xludf.DUMMYFUNCTION("""COMPUTED_VALUE"""),2130.0)</f>
        <v>2130</v>
      </c>
      <c r="F375" s="5">
        <f>IFERROR(__xludf.DUMMYFUNCTION("""COMPUTED_VALUE"""),2.76232E7)</f>
        <v>27623200</v>
      </c>
      <c r="G375" s="5">
        <f t="shared" si="1"/>
        <v>70</v>
      </c>
    </row>
    <row r="376">
      <c r="A376" s="4">
        <f>IFERROR(__xludf.DUMMYFUNCTION("""COMPUTED_VALUE"""),44396.625)</f>
        <v>44396.625</v>
      </c>
      <c r="B376" s="5">
        <f>IFERROR(__xludf.DUMMYFUNCTION("""COMPUTED_VALUE"""),2140.0)</f>
        <v>2140</v>
      </c>
      <c r="C376" s="5">
        <f>IFERROR(__xludf.DUMMYFUNCTION("""COMPUTED_VALUE"""),2160.0)</f>
        <v>2160</v>
      </c>
      <c r="D376" s="5">
        <f>IFERROR(__xludf.DUMMYFUNCTION("""COMPUTED_VALUE"""),2120.0)</f>
        <v>2120</v>
      </c>
      <c r="E376" s="5">
        <f>IFERROR(__xludf.DUMMYFUNCTION("""COMPUTED_VALUE"""),2140.0)</f>
        <v>2140</v>
      </c>
      <c r="F376" s="5">
        <f>IFERROR(__xludf.DUMMYFUNCTION("""COMPUTED_VALUE"""),1.35336E7)</f>
        <v>13533600</v>
      </c>
      <c r="G376" s="5">
        <f t="shared" si="1"/>
        <v>40</v>
      </c>
    </row>
    <row r="377">
      <c r="A377" s="4">
        <f>IFERROR(__xludf.DUMMYFUNCTION("""COMPUTED_VALUE"""),44398.625)</f>
        <v>44398.625</v>
      </c>
      <c r="B377" s="5">
        <f>IFERROR(__xludf.DUMMYFUNCTION("""COMPUTED_VALUE"""),2140.0)</f>
        <v>2140</v>
      </c>
      <c r="C377" s="5">
        <f>IFERROR(__xludf.DUMMYFUNCTION("""COMPUTED_VALUE"""),2170.0)</f>
        <v>2170</v>
      </c>
      <c r="D377" s="5">
        <f>IFERROR(__xludf.DUMMYFUNCTION("""COMPUTED_VALUE"""),2110.0)</f>
        <v>2110</v>
      </c>
      <c r="E377" s="5">
        <f>IFERROR(__xludf.DUMMYFUNCTION("""COMPUTED_VALUE"""),2130.0)</f>
        <v>2130</v>
      </c>
      <c r="F377" s="5">
        <f>IFERROR(__xludf.DUMMYFUNCTION("""COMPUTED_VALUE"""),1.7241E7)</f>
        <v>17241000</v>
      </c>
      <c r="G377" s="5">
        <f t="shared" si="1"/>
        <v>60</v>
      </c>
    </row>
    <row r="378">
      <c r="A378" s="4">
        <f>IFERROR(__xludf.DUMMYFUNCTION("""COMPUTED_VALUE"""),44399.625)</f>
        <v>44399.625</v>
      </c>
      <c r="B378" s="5">
        <f>IFERROR(__xludf.DUMMYFUNCTION("""COMPUTED_VALUE"""),2150.0)</f>
        <v>2150</v>
      </c>
      <c r="C378" s="5">
        <f>IFERROR(__xludf.DUMMYFUNCTION("""COMPUTED_VALUE"""),2270.0)</f>
        <v>2270</v>
      </c>
      <c r="D378" s="5">
        <f>IFERROR(__xludf.DUMMYFUNCTION("""COMPUTED_VALUE"""),2140.0)</f>
        <v>2140</v>
      </c>
      <c r="E378" s="5">
        <f>IFERROR(__xludf.DUMMYFUNCTION("""COMPUTED_VALUE"""),2250.0)</f>
        <v>2250</v>
      </c>
      <c r="F378" s="5">
        <f>IFERROR(__xludf.DUMMYFUNCTION("""COMPUTED_VALUE"""),4.45018E7)</f>
        <v>44501800</v>
      </c>
      <c r="G378" s="5">
        <f t="shared" si="1"/>
        <v>140</v>
      </c>
    </row>
    <row r="379">
      <c r="A379" s="4">
        <f>IFERROR(__xludf.DUMMYFUNCTION("""COMPUTED_VALUE"""),44400.625)</f>
        <v>44400.625</v>
      </c>
      <c r="B379" s="5">
        <f>IFERROR(__xludf.DUMMYFUNCTION("""COMPUTED_VALUE"""),2300.0)</f>
        <v>2300</v>
      </c>
      <c r="C379" s="5">
        <f>IFERROR(__xludf.DUMMYFUNCTION("""COMPUTED_VALUE"""),2310.0)</f>
        <v>2310</v>
      </c>
      <c r="D379" s="5">
        <f>IFERROR(__xludf.DUMMYFUNCTION("""COMPUTED_VALUE"""),2220.0)</f>
        <v>2220</v>
      </c>
      <c r="E379" s="5">
        <f>IFERROR(__xludf.DUMMYFUNCTION("""COMPUTED_VALUE"""),2220.0)</f>
        <v>2220</v>
      </c>
      <c r="F379" s="5">
        <f>IFERROR(__xludf.DUMMYFUNCTION("""COMPUTED_VALUE"""),3.25137E7)</f>
        <v>32513700</v>
      </c>
      <c r="G379" s="5">
        <f t="shared" si="1"/>
        <v>90</v>
      </c>
    </row>
    <row r="380">
      <c r="A380" s="4">
        <f>IFERROR(__xludf.DUMMYFUNCTION("""COMPUTED_VALUE"""),44403.625)</f>
        <v>44403.625</v>
      </c>
      <c r="B380" s="5">
        <f>IFERROR(__xludf.DUMMYFUNCTION("""COMPUTED_VALUE"""),2220.0)</f>
        <v>2220</v>
      </c>
      <c r="C380" s="5">
        <f>IFERROR(__xludf.DUMMYFUNCTION("""COMPUTED_VALUE"""),2270.0)</f>
        <v>2270</v>
      </c>
      <c r="D380" s="5">
        <f>IFERROR(__xludf.DUMMYFUNCTION("""COMPUTED_VALUE"""),2220.0)</f>
        <v>2220</v>
      </c>
      <c r="E380" s="5">
        <f>IFERROR(__xludf.DUMMYFUNCTION("""COMPUTED_VALUE"""),2240.0)</f>
        <v>2240</v>
      </c>
      <c r="F380" s="5">
        <f>IFERROR(__xludf.DUMMYFUNCTION("""COMPUTED_VALUE"""),1.7187E7)</f>
        <v>17187000</v>
      </c>
      <c r="G380" s="5">
        <f t="shared" si="1"/>
        <v>50</v>
      </c>
    </row>
    <row r="381">
      <c r="A381" s="4">
        <f>IFERROR(__xludf.DUMMYFUNCTION("""COMPUTED_VALUE"""),44404.625)</f>
        <v>44404.625</v>
      </c>
      <c r="B381" s="5">
        <f>IFERROR(__xludf.DUMMYFUNCTION("""COMPUTED_VALUE"""),2260.0)</f>
        <v>2260</v>
      </c>
      <c r="C381" s="5">
        <f>IFERROR(__xludf.DUMMYFUNCTION("""COMPUTED_VALUE"""),2270.0)</f>
        <v>2270</v>
      </c>
      <c r="D381" s="5">
        <f>IFERROR(__xludf.DUMMYFUNCTION("""COMPUTED_VALUE"""),2210.0)</f>
        <v>2210</v>
      </c>
      <c r="E381" s="5">
        <f>IFERROR(__xludf.DUMMYFUNCTION("""COMPUTED_VALUE"""),2230.0)</f>
        <v>2230</v>
      </c>
      <c r="F381" s="5">
        <f>IFERROR(__xludf.DUMMYFUNCTION("""COMPUTED_VALUE"""),1.16667E7)</f>
        <v>11666700</v>
      </c>
      <c r="G381" s="5">
        <f t="shared" si="1"/>
        <v>60</v>
      </c>
    </row>
    <row r="382">
      <c r="A382" s="4">
        <f>IFERROR(__xludf.DUMMYFUNCTION("""COMPUTED_VALUE"""),44405.625)</f>
        <v>44405.625</v>
      </c>
      <c r="B382" s="5">
        <f>IFERROR(__xludf.DUMMYFUNCTION("""COMPUTED_VALUE"""),2230.0)</f>
        <v>2230</v>
      </c>
      <c r="C382" s="5">
        <f>IFERROR(__xludf.DUMMYFUNCTION("""COMPUTED_VALUE"""),2240.0)</f>
        <v>2240</v>
      </c>
      <c r="D382" s="5">
        <f>IFERROR(__xludf.DUMMYFUNCTION("""COMPUTED_VALUE"""),2180.0)</f>
        <v>2180</v>
      </c>
      <c r="E382" s="5">
        <f>IFERROR(__xludf.DUMMYFUNCTION("""COMPUTED_VALUE"""),2210.0)</f>
        <v>2210</v>
      </c>
      <c r="F382" s="5">
        <f>IFERROR(__xludf.DUMMYFUNCTION("""COMPUTED_VALUE"""),1.39507E7)</f>
        <v>13950700</v>
      </c>
      <c r="G382" s="5">
        <f t="shared" si="1"/>
        <v>60</v>
      </c>
    </row>
    <row r="383">
      <c r="A383" s="4">
        <f>IFERROR(__xludf.DUMMYFUNCTION("""COMPUTED_VALUE"""),44406.625)</f>
        <v>44406.625</v>
      </c>
      <c r="B383" s="5">
        <f>IFERROR(__xludf.DUMMYFUNCTION("""COMPUTED_VALUE"""),2220.0)</f>
        <v>2220</v>
      </c>
      <c r="C383" s="5">
        <f>IFERROR(__xludf.DUMMYFUNCTION("""COMPUTED_VALUE"""),2270.0)</f>
        <v>2270</v>
      </c>
      <c r="D383" s="5">
        <f>IFERROR(__xludf.DUMMYFUNCTION("""COMPUTED_VALUE"""),2190.0)</f>
        <v>2190</v>
      </c>
      <c r="E383" s="5">
        <f>IFERROR(__xludf.DUMMYFUNCTION("""COMPUTED_VALUE"""),2240.0)</f>
        <v>2240</v>
      </c>
      <c r="F383" s="5">
        <f>IFERROR(__xludf.DUMMYFUNCTION("""COMPUTED_VALUE"""),2.04333E7)</f>
        <v>20433300</v>
      </c>
      <c r="G383" s="5">
        <f t="shared" si="1"/>
        <v>80</v>
      </c>
    </row>
    <row r="384">
      <c r="A384" s="4">
        <f>IFERROR(__xludf.DUMMYFUNCTION("""COMPUTED_VALUE"""),44407.625)</f>
        <v>44407.625</v>
      </c>
      <c r="B384" s="5">
        <f>IFERROR(__xludf.DUMMYFUNCTION("""COMPUTED_VALUE"""),2230.0)</f>
        <v>2230</v>
      </c>
      <c r="C384" s="5">
        <f>IFERROR(__xludf.DUMMYFUNCTION("""COMPUTED_VALUE"""),2270.0)</f>
        <v>2270</v>
      </c>
      <c r="D384" s="5">
        <f>IFERROR(__xludf.DUMMYFUNCTION("""COMPUTED_VALUE"""),2200.0)</f>
        <v>2200</v>
      </c>
      <c r="E384" s="5">
        <f>IFERROR(__xludf.DUMMYFUNCTION("""COMPUTED_VALUE"""),2230.0)</f>
        <v>2230</v>
      </c>
      <c r="F384" s="5">
        <f>IFERROR(__xludf.DUMMYFUNCTION("""COMPUTED_VALUE"""),1.93357E7)</f>
        <v>19335700</v>
      </c>
      <c r="G384" s="5">
        <f t="shared" si="1"/>
        <v>70</v>
      </c>
    </row>
    <row r="385">
      <c r="A385" s="4">
        <f>IFERROR(__xludf.DUMMYFUNCTION("""COMPUTED_VALUE"""),44410.625)</f>
        <v>44410.625</v>
      </c>
      <c r="B385" s="5">
        <f>IFERROR(__xludf.DUMMYFUNCTION("""COMPUTED_VALUE"""),2250.0)</f>
        <v>2250</v>
      </c>
      <c r="C385" s="5">
        <f>IFERROR(__xludf.DUMMYFUNCTION("""COMPUTED_VALUE"""),2270.0)</f>
        <v>2270</v>
      </c>
      <c r="D385" s="5">
        <f>IFERROR(__xludf.DUMMYFUNCTION("""COMPUTED_VALUE"""),2210.0)</f>
        <v>2210</v>
      </c>
      <c r="E385" s="5">
        <f>IFERROR(__xludf.DUMMYFUNCTION("""COMPUTED_VALUE"""),2240.0)</f>
        <v>2240</v>
      </c>
      <c r="F385" s="5">
        <f>IFERROR(__xludf.DUMMYFUNCTION("""COMPUTED_VALUE"""),1.37846E7)</f>
        <v>13784600</v>
      </c>
      <c r="G385" s="5">
        <f t="shared" si="1"/>
        <v>60</v>
      </c>
    </row>
    <row r="386">
      <c r="A386" s="4">
        <f>IFERROR(__xludf.DUMMYFUNCTION("""COMPUTED_VALUE"""),44411.625)</f>
        <v>44411.625</v>
      </c>
      <c r="B386" s="5">
        <f>IFERROR(__xludf.DUMMYFUNCTION("""COMPUTED_VALUE"""),2240.0)</f>
        <v>2240</v>
      </c>
      <c r="C386" s="5">
        <f>IFERROR(__xludf.DUMMYFUNCTION("""COMPUTED_VALUE"""),2240.0)</f>
        <v>2240</v>
      </c>
      <c r="D386" s="5">
        <f>IFERROR(__xludf.DUMMYFUNCTION("""COMPUTED_VALUE"""),2210.0)</f>
        <v>2210</v>
      </c>
      <c r="E386" s="5">
        <f>IFERROR(__xludf.DUMMYFUNCTION("""COMPUTED_VALUE"""),2220.0)</f>
        <v>2220</v>
      </c>
      <c r="F386" s="5">
        <f>IFERROR(__xludf.DUMMYFUNCTION("""COMPUTED_VALUE"""),9003000.0)</f>
        <v>9003000</v>
      </c>
      <c r="G386" s="5">
        <f t="shared" si="1"/>
        <v>30</v>
      </c>
    </row>
    <row r="387">
      <c r="A387" s="4">
        <f>IFERROR(__xludf.DUMMYFUNCTION("""COMPUTED_VALUE"""),44412.625)</f>
        <v>44412.625</v>
      </c>
      <c r="B387" s="5">
        <f>IFERROR(__xludf.DUMMYFUNCTION("""COMPUTED_VALUE"""),2250.0)</f>
        <v>2250</v>
      </c>
      <c r="C387" s="5">
        <f>IFERROR(__xludf.DUMMYFUNCTION("""COMPUTED_VALUE"""),2270.0)</f>
        <v>2270</v>
      </c>
      <c r="D387" s="5">
        <f>IFERROR(__xludf.DUMMYFUNCTION("""COMPUTED_VALUE"""),2230.0)</f>
        <v>2230</v>
      </c>
      <c r="E387" s="5">
        <f>IFERROR(__xludf.DUMMYFUNCTION("""COMPUTED_VALUE"""),2260.0)</f>
        <v>2260</v>
      </c>
      <c r="F387" s="5">
        <f>IFERROR(__xludf.DUMMYFUNCTION("""COMPUTED_VALUE"""),1.51368E7)</f>
        <v>15136800</v>
      </c>
      <c r="G387" s="5">
        <f t="shared" si="1"/>
        <v>50</v>
      </c>
    </row>
    <row r="388">
      <c r="A388" s="4">
        <f>IFERROR(__xludf.DUMMYFUNCTION("""COMPUTED_VALUE"""),44413.625)</f>
        <v>44413.625</v>
      </c>
      <c r="B388" s="5">
        <f>IFERROR(__xludf.DUMMYFUNCTION("""COMPUTED_VALUE"""),2270.0)</f>
        <v>2270</v>
      </c>
      <c r="C388" s="5">
        <f>IFERROR(__xludf.DUMMYFUNCTION("""COMPUTED_VALUE"""),2290.0)</f>
        <v>2290</v>
      </c>
      <c r="D388" s="5">
        <f>IFERROR(__xludf.DUMMYFUNCTION("""COMPUTED_VALUE"""),2190.0)</f>
        <v>2190</v>
      </c>
      <c r="E388" s="5">
        <f>IFERROR(__xludf.DUMMYFUNCTION("""COMPUTED_VALUE"""),2190.0)</f>
        <v>2190</v>
      </c>
      <c r="F388" s="5">
        <f>IFERROR(__xludf.DUMMYFUNCTION("""COMPUTED_VALUE"""),2.36359E7)</f>
        <v>23635900</v>
      </c>
      <c r="G388" s="5">
        <f t="shared" si="1"/>
        <v>100</v>
      </c>
    </row>
    <row r="389">
      <c r="A389" s="4">
        <f>IFERROR(__xludf.DUMMYFUNCTION("""COMPUTED_VALUE"""),44414.625)</f>
        <v>44414.625</v>
      </c>
      <c r="B389" s="5">
        <f>IFERROR(__xludf.DUMMYFUNCTION("""COMPUTED_VALUE"""),2210.0)</f>
        <v>2210</v>
      </c>
      <c r="C389" s="5">
        <f>IFERROR(__xludf.DUMMYFUNCTION("""COMPUTED_VALUE"""),2240.0)</f>
        <v>2240</v>
      </c>
      <c r="D389" s="5">
        <f>IFERROR(__xludf.DUMMYFUNCTION("""COMPUTED_VALUE"""),2200.0)</f>
        <v>2200</v>
      </c>
      <c r="E389" s="5">
        <f>IFERROR(__xludf.DUMMYFUNCTION("""COMPUTED_VALUE"""),2220.0)</f>
        <v>2220</v>
      </c>
      <c r="F389" s="5">
        <f>IFERROR(__xludf.DUMMYFUNCTION("""COMPUTED_VALUE"""),1.12956E7)</f>
        <v>11295600</v>
      </c>
      <c r="G389" s="5">
        <f t="shared" si="1"/>
        <v>50</v>
      </c>
    </row>
    <row r="390">
      <c r="A390" s="4">
        <f>IFERROR(__xludf.DUMMYFUNCTION("""COMPUTED_VALUE"""),44417.625)</f>
        <v>44417.625</v>
      </c>
      <c r="B390" s="5">
        <f>IFERROR(__xludf.DUMMYFUNCTION("""COMPUTED_VALUE"""),2240.0)</f>
        <v>2240</v>
      </c>
      <c r="C390" s="5">
        <f>IFERROR(__xludf.DUMMYFUNCTION("""COMPUTED_VALUE"""),2270.0)</f>
        <v>2270</v>
      </c>
      <c r="D390" s="5">
        <f>IFERROR(__xludf.DUMMYFUNCTION("""COMPUTED_VALUE"""),2200.0)</f>
        <v>2200</v>
      </c>
      <c r="E390" s="5">
        <f>IFERROR(__xludf.DUMMYFUNCTION("""COMPUTED_VALUE"""),2210.0)</f>
        <v>2210</v>
      </c>
      <c r="F390" s="5">
        <f>IFERROR(__xludf.DUMMYFUNCTION("""COMPUTED_VALUE"""),1.66699E7)</f>
        <v>16669900</v>
      </c>
      <c r="G390" s="5">
        <f t="shared" si="1"/>
        <v>70</v>
      </c>
    </row>
    <row r="391">
      <c r="A391" s="4">
        <f>IFERROR(__xludf.DUMMYFUNCTION("""COMPUTED_VALUE"""),44418.625)</f>
        <v>44418.625</v>
      </c>
      <c r="B391" s="5">
        <f>IFERROR(__xludf.DUMMYFUNCTION("""COMPUTED_VALUE"""),2240.0)</f>
        <v>2240</v>
      </c>
      <c r="C391" s="5">
        <f>IFERROR(__xludf.DUMMYFUNCTION("""COMPUTED_VALUE"""),2260.0)</f>
        <v>2260</v>
      </c>
      <c r="D391" s="5">
        <f>IFERROR(__xludf.DUMMYFUNCTION("""COMPUTED_VALUE"""),2210.0)</f>
        <v>2210</v>
      </c>
      <c r="E391" s="5">
        <f>IFERROR(__xludf.DUMMYFUNCTION("""COMPUTED_VALUE"""),2250.0)</f>
        <v>2250</v>
      </c>
      <c r="F391" s="5">
        <f>IFERROR(__xludf.DUMMYFUNCTION("""COMPUTED_VALUE"""),1.54392E7)</f>
        <v>15439200</v>
      </c>
      <c r="G391" s="5">
        <f t="shared" si="1"/>
        <v>50</v>
      </c>
    </row>
    <row r="392">
      <c r="A392" s="4">
        <f>IFERROR(__xludf.DUMMYFUNCTION("""COMPUTED_VALUE"""),44420.625)</f>
        <v>44420.625</v>
      </c>
      <c r="B392" s="5">
        <f>IFERROR(__xludf.DUMMYFUNCTION("""COMPUTED_VALUE"""),2270.0)</f>
        <v>2270</v>
      </c>
      <c r="C392" s="5">
        <f>IFERROR(__xludf.DUMMYFUNCTION("""COMPUTED_VALUE"""),2380.0)</f>
        <v>2380</v>
      </c>
      <c r="D392" s="5">
        <f>IFERROR(__xludf.DUMMYFUNCTION("""COMPUTED_VALUE"""),2250.0)</f>
        <v>2250</v>
      </c>
      <c r="E392" s="5">
        <f>IFERROR(__xludf.DUMMYFUNCTION("""COMPUTED_VALUE"""),2370.0)</f>
        <v>2370</v>
      </c>
      <c r="F392" s="5">
        <f>IFERROR(__xludf.DUMMYFUNCTION("""COMPUTED_VALUE"""),5.38081E7)</f>
        <v>53808100</v>
      </c>
      <c r="G392" s="5">
        <f t="shared" si="1"/>
        <v>130</v>
      </c>
    </row>
    <row r="393">
      <c r="A393" s="4">
        <f>IFERROR(__xludf.DUMMYFUNCTION("""COMPUTED_VALUE"""),44421.625)</f>
        <v>44421.625</v>
      </c>
      <c r="B393" s="5">
        <f>IFERROR(__xludf.DUMMYFUNCTION("""COMPUTED_VALUE"""),2380.0)</f>
        <v>2380</v>
      </c>
      <c r="C393" s="5">
        <f>IFERROR(__xludf.DUMMYFUNCTION("""COMPUTED_VALUE"""),2390.0)</f>
        <v>2390</v>
      </c>
      <c r="D393" s="5">
        <f>IFERROR(__xludf.DUMMYFUNCTION("""COMPUTED_VALUE"""),2310.0)</f>
        <v>2310</v>
      </c>
      <c r="E393" s="5">
        <f>IFERROR(__xludf.DUMMYFUNCTION("""COMPUTED_VALUE"""),2340.0)</f>
        <v>2340</v>
      </c>
      <c r="F393" s="5">
        <f>IFERROR(__xludf.DUMMYFUNCTION("""COMPUTED_VALUE"""),2.99492E7)</f>
        <v>29949200</v>
      </c>
      <c r="G393" s="5">
        <f t="shared" si="1"/>
        <v>80</v>
      </c>
    </row>
    <row r="394">
      <c r="A394" s="4">
        <f>IFERROR(__xludf.DUMMYFUNCTION("""COMPUTED_VALUE"""),44424.625)</f>
        <v>44424.625</v>
      </c>
      <c r="B394" s="5">
        <f>IFERROR(__xludf.DUMMYFUNCTION("""COMPUTED_VALUE"""),2350.0)</f>
        <v>2350</v>
      </c>
      <c r="C394" s="5">
        <f>IFERROR(__xludf.DUMMYFUNCTION("""COMPUTED_VALUE"""),2370.0)</f>
        <v>2370</v>
      </c>
      <c r="D394" s="5">
        <f>IFERROR(__xludf.DUMMYFUNCTION("""COMPUTED_VALUE"""),2320.0)</f>
        <v>2320</v>
      </c>
      <c r="E394" s="5">
        <f>IFERROR(__xludf.DUMMYFUNCTION("""COMPUTED_VALUE"""),2330.0)</f>
        <v>2330</v>
      </c>
      <c r="F394" s="5">
        <f>IFERROR(__xludf.DUMMYFUNCTION("""COMPUTED_VALUE"""),1.80918E7)</f>
        <v>18091800</v>
      </c>
      <c r="G394" s="5">
        <f t="shared" si="1"/>
        <v>50</v>
      </c>
    </row>
    <row r="395">
      <c r="A395" s="4">
        <f>IFERROR(__xludf.DUMMYFUNCTION("""COMPUTED_VALUE"""),44426.625)</f>
        <v>44426.625</v>
      </c>
      <c r="B395" s="5">
        <f>IFERROR(__xludf.DUMMYFUNCTION("""COMPUTED_VALUE"""),2320.0)</f>
        <v>2320</v>
      </c>
      <c r="C395" s="5">
        <f>IFERROR(__xludf.DUMMYFUNCTION("""COMPUTED_VALUE"""),2320.0)</f>
        <v>2320</v>
      </c>
      <c r="D395" s="5">
        <f>IFERROR(__xludf.DUMMYFUNCTION("""COMPUTED_VALUE"""),2240.0)</f>
        <v>2240</v>
      </c>
      <c r="E395" s="5">
        <f>IFERROR(__xludf.DUMMYFUNCTION("""COMPUTED_VALUE"""),2250.0)</f>
        <v>2250</v>
      </c>
      <c r="F395" s="5">
        <f>IFERROR(__xludf.DUMMYFUNCTION("""COMPUTED_VALUE"""),3.43844E7)</f>
        <v>34384400</v>
      </c>
      <c r="G395" s="5">
        <f t="shared" si="1"/>
        <v>90</v>
      </c>
    </row>
    <row r="396">
      <c r="A396" s="4">
        <f>IFERROR(__xludf.DUMMYFUNCTION("""COMPUTED_VALUE"""),44427.625)</f>
        <v>44427.625</v>
      </c>
      <c r="B396" s="5">
        <f>IFERROR(__xludf.DUMMYFUNCTION("""COMPUTED_VALUE"""),2250.0)</f>
        <v>2250</v>
      </c>
      <c r="C396" s="5">
        <f>IFERROR(__xludf.DUMMYFUNCTION("""COMPUTED_VALUE"""),2270.0)</f>
        <v>2270</v>
      </c>
      <c r="D396" s="5">
        <f>IFERROR(__xludf.DUMMYFUNCTION("""COMPUTED_VALUE"""),2130.0)</f>
        <v>2130</v>
      </c>
      <c r="E396" s="5">
        <f>IFERROR(__xludf.DUMMYFUNCTION("""COMPUTED_VALUE"""),2150.0)</f>
        <v>2150</v>
      </c>
      <c r="F396" s="5">
        <f>IFERROR(__xludf.DUMMYFUNCTION("""COMPUTED_VALUE"""),4.34245E7)</f>
        <v>43424500</v>
      </c>
      <c r="G396" s="5">
        <f t="shared" si="1"/>
        <v>140</v>
      </c>
    </row>
    <row r="397">
      <c r="A397" s="4">
        <f>IFERROR(__xludf.DUMMYFUNCTION("""COMPUTED_VALUE"""),44428.625)</f>
        <v>44428.625</v>
      </c>
      <c r="B397" s="5">
        <f>IFERROR(__xludf.DUMMYFUNCTION("""COMPUTED_VALUE"""),2150.0)</f>
        <v>2150</v>
      </c>
      <c r="C397" s="5">
        <f>IFERROR(__xludf.DUMMYFUNCTION("""COMPUTED_VALUE"""),2170.0)</f>
        <v>2170</v>
      </c>
      <c r="D397" s="5">
        <f>IFERROR(__xludf.DUMMYFUNCTION("""COMPUTED_VALUE"""),2100.0)</f>
        <v>2100</v>
      </c>
      <c r="E397" s="5">
        <f>IFERROR(__xludf.DUMMYFUNCTION("""COMPUTED_VALUE"""),2110.0)</f>
        <v>2110</v>
      </c>
      <c r="F397" s="5">
        <f>IFERROR(__xludf.DUMMYFUNCTION("""COMPUTED_VALUE"""),3.93611E7)</f>
        <v>39361100</v>
      </c>
      <c r="G397" s="5">
        <f t="shared" si="1"/>
        <v>70</v>
      </c>
    </row>
    <row r="398">
      <c r="A398" s="4">
        <f>IFERROR(__xludf.DUMMYFUNCTION("""COMPUTED_VALUE"""),44431.66666666667)</f>
        <v>44431.66667</v>
      </c>
      <c r="B398" s="5">
        <f>IFERROR(__xludf.DUMMYFUNCTION("""COMPUTED_VALUE"""),2120.0)</f>
        <v>2120</v>
      </c>
      <c r="C398" s="5">
        <f>IFERROR(__xludf.DUMMYFUNCTION("""COMPUTED_VALUE"""),2130.0)</f>
        <v>2130</v>
      </c>
      <c r="D398" s="5">
        <f>IFERROR(__xludf.DUMMYFUNCTION("""COMPUTED_VALUE"""),2080.0)</f>
        <v>2080</v>
      </c>
      <c r="E398" s="5">
        <f>IFERROR(__xludf.DUMMYFUNCTION("""COMPUTED_VALUE"""),2100.0)</f>
        <v>2100</v>
      </c>
      <c r="F398" s="5">
        <f>IFERROR(__xludf.DUMMYFUNCTION("""COMPUTED_VALUE"""),5.31979E7)</f>
        <v>53197900</v>
      </c>
      <c r="G398" s="5">
        <f t="shared" si="1"/>
        <v>50</v>
      </c>
    </row>
    <row r="399">
      <c r="A399" s="4">
        <f>IFERROR(__xludf.DUMMYFUNCTION("""COMPUTED_VALUE"""),44432.66666666667)</f>
        <v>44432.66667</v>
      </c>
      <c r="B399" s="5">
        <f>IFERROR(__xludf.DUMMYFUNCTION("""COMPUTED_VALUE"""),2120.0)</f>
        <v>2120</v>
      </c>
      <c r="C399" s="5">
        <f>IFERROR(__xludf.DUMMYFUNCTION("""COMPUTED_VALUE"""),2140.0)</f>
        <v>2140</v>
      </c>
      <c r="D399" s="5">
        <f>IFERROR(__xludf.DUMMYFUNCTION("""COMPUTED_VALUE"""),2070.0)</f>
        <v>2070</v>
      </c>
      <c r="E399" s="5">
        <f>IFERROR(__xludf.DUMMYFUNCTION("""COMPUTED_VALUE"""),2080.0)</f>
        <v>2080</v>
      </c>
      <c r="F399" s="5">
        <f>IFERROR(__xludf.DUMMYFUNCTION("""COMPUTED_VALUE"""),3.54624E7)</f>
        <v>35462400</v>
      </c>
      <c r="G399" s="5">
        <f t="shared" si="1"/>
        <v>70</v>
      </c>
    </row>
    <row r="400">
      <c r="A400" s="4">
        <f>IFERROR(__xludf.DUMMYFUNCTION("""COMPUTED_VALUE"""),44433.625)</f>
        <v>44433.625</v>
      </c>
      <c r="B400" s="5">
        <f>IFERROR(__xludf.DUMMYFUNCTION("""COMPUTED_VALUE"""),2090.0)</f>
        <v>2090</v>
      </c>
      <c r="C400" s="5">
        <f>IFERROR(__xludf.DUMMYFUNCTION("""COMPUTED_VALUE"""),2110.0)</f>
        <v>2110</v>
      </c>
      <c r="D400" s="5">
        <f>IFERROR(__xludf.DUMMYFUNCTION("""COMPUTED_VALUE"""),2090.0)</f>
        <v>2090</v>
      </c>
      <c r="E400" s="5">
        <f>IFERROR(__xludf.DUMMYFUNCTION("""COMPUTED_VALUE"""),2090.0)</f>
        <v>2090</v>
      </c>
      <c r="F400" s="5">
        <f>IFERROR(__xludf.DUMMYFUNCTION("""COMPUTED_VALUE"""),1.54121E7)</f>
        <v>15412100</v>
      </c>
      <c r="G400" s="5">
        <f t="shared" si="1"/>
        <v>30</v>
      </c>
    </row>
    <row r="401">
      <c r="A401" s="4">
        <f>IFERROR(__xludf.DUMMYFUNCTION("""COMPUTED_VALUE"""),44434.625)</f>
        <v>44434.625</v>
      </c>
      <c r="B401" s="5">
        <f>IFERROR(__xludf.DUMMYFUNCTION("""COMPUTED_VALUE"""),2100.0)</f>
        <v>2100</v>
      </c>
      <c r="C401" s="5">
        <f>IFERROR(__xludf.DUMMYFUNCTION("""COMPUTED_VALUE"""),2120.0)</f>
        <v>2120</v>
      </c>
      <c r="D401" s="5">
        <f>IFERROR(__xludf.DUMMYFUNCTION("""COMPUTED_VALUE"""),2080.0)</f>
        <v>2080</v>
      </c>
      <c r="E401" s="5">
        <f>IFERROR(__xludf.DUMMYFUNCTION("""COMPUTED_VALUE"""),2100.0)</f>
        <v>2100</v>
      </c>
      <c r="F401" s="5">
        <f>IFERROR(__xludf.DUMMYFUNCTION("""COMPUTED_VALUE"""),1.55482E7)</f>
        <v>15548200</v>
      </c>
      <c r="G401" s="5">
        <f t="shared" si="1"/>
        <v>40</v>
      </c>
    </row>
    <row r="402">
      <c r="A402" s="4">
        <f>IFERROR(__xludf.DUMMYFUNCTION("""COMPUTED_VALUE"""),44435.625)</f>
        <v>44435.625</v>
      </c>
      <c r="B402" s="5">
        <f>IFERROR(__xludf.DUMMYFUNCTION("""COMPUTED_VALUE"""),2100.0)</f>
        <v>2100</v>
      </c>
      <c r="C402" s="5">
        <f>IFERROR(__xludf.DUMMYFUNCTION("""COMPUTED_VALUE"""),2110.0)</f>
        <v>2110</v>
      </c>
      <c r="D402" s="5">
        <f>IFERROR(__xludf.DUMMYFUNCTION("""COMPUTED_VALUE"""),2080.0)</f>
        <v>2080</v>
      </c>
      <c r="E402" s="5">
        <f>IFERROR(__xludf.DUMMYFUNCTION("""COMPUTED_VALUE"""),2080.0)</f>
        <v>2080</v>
      </c>
      <c r="F402" s="5">
        <f>IFERROR(__xludf.DUMMYFUNCTION("""COMPUTED_VALUE"""),1.14911E7)</f>
        <v>11491100</v>
      </c>
      <c r="G402" s="5">
        <f t="shared" si="1"/>
        <v>30</v>
      </c>
    </row>
    <row r="403">
      <c r="A403" s="4">
        <f>IFERROR(__xludf.DUMMYFUNCTION("""COMPUTED_VALUE"""),44438.625)</f>
        <v>44438.625</v>
      </c>
      <c r="B403" s="5">
        <f>IFERROR(__xludf.DUMMYFUNCTION("""COMPUTED_VALUE"""),2100.0)</f>
        <v>2100</v>
      </c>
      <c r="C403" s="5">
        <f>IFERROR(__xludf.DUMMYFUNCTION("""COMPUTED_VALUE"""),2120.0)</f>
        <v>2120</v>
      </c>
      <c r="D403" s="5">
        <f>IFERROR(__xludf.DUMMYFUNCTION("""COMPUTED_VALUE"""),2090.0)</f>
        <v>2090</v>
      </c>
      <c r="E403" s="5">
        <f>IFERROR(__xludf.DUMMYFUNCTION("""COMPUTED_VALUE"""),2110.0)</f>
        <v>2110</v>
      </c>
      <c r="F403" s="5">
        <f>IFERROR(__xludf.DUMMYFUNCTION("""COMPUTED_VALUE"""),1.74143E7)</f>
        <v>17414300</v>
      </c>
      <c r="G403" s="5">
        <f t="shared" si="1"/>
        <v>40</v>
      </c>
    </row>
    <row r="404">
      <c r="A404" s="4">
        <f>IFERROR(__xludf.DUMMYFUNCTION("""COMPUTED_VALUE"""),44439.625)</f>
        <v>44439.625</v>
      </c>
      <c r="B404" s="5">
        <f>IFERROR(__xludf.DUMMYFUNCTION("""COMPUTED_VALUE"""),2110.0)</f>
        <v>2110</v>
      </c>
      <c r="C404" s="5">
        <f>IFERROR(__xludf.DUMMYFUNCTION("""COMPUTED_VALUE"""),2120.0)</f>
        <v>2120</v>
      </c>
      <c r="D404" s="5">
        <f>IFERROR(__xludf.DUMMYFUNCTION("""COMPUTED_VALUE"""),2100.0)</f>
        <v>2100</v>
      </c>
      <c r="E404" s="5">
        <f>IFERROR(__xludf.DUMMYFUNCTION("""COMPUTED_VALUE"""),2110.0)</f>
        <v>2110</v>
      </c>
      <c r="F404" s="5">
        <f>IFERROR(__xludf.DUMMYFUNCTION("""COMPUTED_VALUE"""),2.40263E7)</f>
        <v>24026300</v>
      </c>
      <c r="G404" s="5">
        <f t="shared" si="1"/>
        <v>20</v>
      </c>
    </row>
    <row r="405">
      <c r="A405" s="4">
        <f>IFERROR(__xludf.DUMMYFUNCTION("""COMPUTED_VALUE"""),44440.625)</f>
        <v>44440.625</v>
      </c>
      <c r="B405" s="5">
        <f>IFERROR(__xludf.DUMMYFUNCTION("""COMPUTED_VALUE"""),2150.0)</f>
        <v>2150</v>
      </c>
      <c r="C405" s="5">
        <f>IFERROR(__xludf.DUMMYFUNCTION("""COMPUTED_VALUE"""),2210.0)</f>
        <v>2210</v>
      </c>
      <c r="D405" s="5">
        <f>IFERROR(__xludf.DUMMYFUNCTION("""COMPUTED_VALUE"""),2150.0)</f>
        <v>2150</v>
      </c>
      <c r="E405" s="5">
        <f>IFERROR(__xludf.DUMMYFUNCTION("""COMPUTED_VALUE"""),2180.0)</f>
        <v>2180</v>
      </c>
      <c r="F405" s="5">
        <f>IFERROR(__xludf.DUMMYFUNCTION("""COMPUTED_VALUE"""),7.23783E7)</f>
        <v>72378300</v>
      </c>
      <c r="G405" s="5">
        <f t="shared" si="1"/>
        <v>100</v>
      </c>
    </row>
    <row r="406">
      <c r="A406" s="4">
        <f>IFERROR(__xludf.DUMMYFUNCTION("""COMPUTED_VALUE"""),44441.625)</f>
        <v>44441.625</v>
      </c>
      <c r="B406" s="5">
        <f>IFERROR(__xludf.DUMMYFUNCTION("""COMPUTED_VALUE"""),2200.0)</f>
        <v>2200</v>
      </c>
      <c r="C406" s="5">
        <f>IFERROR(__xludf.DUMMYFUNCTION("""COMPUTED_VALUE"""),2220.0)</f>
        <v>2220</v>
      </c>
      <c r="D406" s="5">
        <f>IFERROR(__xludf.DUMMYFUNCTION("""COMPUTED_VALUE"""),2170.0)</f>
        <v>2170</v>
      </c>
      <c r="E406" s="5">
        <f>IFERROR(__xludf.DUMMYFUNCTION("""COMPUTED_VALUE"""),2190.0)</f>
        <v>2190</v>
      </c>
      <c r="F406" s="5">
        <f>IFERROR(__xludf.DUMMYFUNCTION("""COMPUTED_VALUE"""),3.36327E7)</f>
        <v>33632700</v>
      </c>
      <c r="G406" s="5">
        <f t="shared" si="1"/>
        <v>50</v>
      </c>
    </row>
    <row r="407">
      <c r="A407" s="4">
        <f>IFERROR(__xludf.DUMMYFUNCTION("""COMPUTED_VALUE"""),44442.625)</f>
        <v>44442.625</v>
      </c>
      <c r="B407" s="5">
        <f>IFERROR(__xludf.DUMMYFUNCTION("""COMPUTED_VALUE"""),2200.0)</f>
        <v>2200</v>
      </c>
      <c r="C407" s="5">
        <f>IFERROR(__xludf.DUMMYFUNCTION("""COMPUTED_VALUE"""),2290.0)</f>
        <v>2290</v>
      </c>
      <c r="D407" s="5">
        <f>IFERROR(__xludf.DUMMYFUNCTION("""COMPUTED_VALUE"""),2200.0)</f>
        <v>2200</v>
      </c>
      <c r="E407" s="5">
        <f>IFERROR(__xludf.DUMMYFUNCTION("""COMPUTED_VALUE"""),2290.0)</f>
        <v>2290</v>
      </c>
      <c r="F407" s="5">
        <f>IFERROR(__xludf.DUMMYFUNCTION("""COMPUTED_VALUE"""),5.73766E7)</f>
        <v>57376600</v>
      </c>
      <c r="G407" s="5">
        <f t="shared" si="1"/>
        <v>100</v>
      </c>
    </row>
    <row r="408">
      <c r="A408" s="4">
        <f>IFERROR(__xludf.DUMMYFUNCTION("""COMPUTED_VALUE"""),44445.625)</f>
        <v>44445.625</v>
      </c>
      <c r="B408" s="5">
        <f>IFERROR(__xludf.DUMMYFUNCTION("""COMPUTED_VALUE"""),2300.0)</f>
        <v>2300</v>
      </c>
      <c r="C408" s="5">
        <f>IFERROR(__xludf.DUMMYFUNCTION("""COMPUTED_VALUE"""),2340.0)</f>
        <v>2340</v>
      </c>
      <c r="D408" s="5">
        <f>IFERROR(__xludf.DUMMYFUNCTION("""COMPUTED_VALUE"""),2290.0)</f>
        <v>2290</v>
      </c>
      <c r="E408" s="5">
        <f>IFERROR(__xludf.DUMMYFUNCTION("""COMPUTED_VALUE"""),2310.0)</f>
        <v>2310</v>
      </c>
      <c r="F408" s="5">
        <f>IFERROR(__xludf.DUMMYFUNCTION("""COMPUTED_VALUE"""),3.46454E7)</f>
        <v>34645400</v>
      </c>
      <c r="G408" s="5">
        <f t="shared" si="1"/>
        <v>50</v>
      </c>
    </row>
    <row r="409">
      <c r="A409" s="4">
        <f>IFERROR(__xludf.DUMMYFUNCTION("""COMPUTED_VALUE"""),44446.625)</f>
        <v>44446.625</v>
      </c>
      <c r="B409" s="5">
        <f>IFERROR(__xludf.DUMMYFUNCTION("""COMPUTED_VALUE"""),2320.0)</f>
        <v>2320</v>
      </c>
      <c r="C409" s="5">
        <f>IFERROR(__xludf.DUMMYFUNCTION("""COMPUTED_VALUE"""),2330.0)</f>
        <v>2330</v>
      </c>
      <c r="D409" s="5">
        <f>IFERROR(__xludf.DUMMYFUNCTION("""COMPUTED_VALUE"""),2270.0)</f>
        <v>2270</v>
      </c>
      <c r="E409" s="5">
        <f>IFERROR(__xludf.DUMMYFUNCTION("""COMPUTED_VALUE"""),2280.0)</f>
        <v>2280</v>
      </c>
      <c r="F409" s="5">
        <f>IFERROR(__xludf.DUMMYFUNCTION("""COMPUTED_VALUE"""),1.87597E7)</f>
        <v>18759700</v>
      </c>
      <c r="G409" s="5">
        <f t="shared" si="1"/>
        <v>60</v>
      </c>
    </row>
    <row r="410">
      <c r="A410" s="4">
        <f>IFERROR(__xludf.DUMMYFUNCTION("""COMPUTED_VALUE"""),44447.625)</f>
        <v>44447.625</v>
      </c>
      <c r="B410" s="5">
        <f>IFERROR(__xludf.DUMMYFUNCTION("""COMPUTED_VALUE"""),2280.0)</f>
        <v>2280</v>
      </c>
      <c r="C410" s="5">
        <f>IFERROR(__xludf.DUMMYFUNCTION("""COMPUTED_VALUE"""),2310.0)</f>
        <v>2310</v>
      </c>
      <c r="D410" s="5">
        <f>IFERROR(__xludf.DUMMYFUNCTION("""COMPUTED_VALUE"""),2250.0)</f>
        <v>2250</v>
      </c>
      <c r="E410" s="5">
        <f>IFERROR(__xludf.DUMMYFUNCTION("""COMPUTED_VALUE"""),2300.0)</f>
        <v>2300</v>
      </c>
      <c r="F410" s="5">
        <f>IFERROR(__xludf.DUMMYFUNCTION("""COMPUTED_VALUE"""),2.81862E7)</f>
        <v>28186200</v>
      </c>
      <c r="G410" s="5">
        <f t="shared" si="1"/>
        <v>60</v>
      </c>
    </row>
    <row r="411">
      <c r="A411" s="4">
        <f>IFERROR(__xludf.DUMMYFUNCTION("""COMPUTED_VALUE"""),44448.625)</f>
        <v>44448.625</v>
      </c>
      <c r="B411" s="5">
        <f>IFERROR(__xludf.DUMMYFUNCTION("""COMPUTED_VALUE"""),2300.0)</f>
        <v>2300</v>
      </c>
      <c r="C411" s="5">
        <f>IFERROR(__xludf.DUMMYFUNCTION("""COMPUTED_VALUE"""),2350.0)</f>
        <v>2350</v>
      </c>
      <c r="D411" s="5">
        <f>IFERROR(__xludf.DUMMYFUNCTION("""COMPUTED_VALUE"""),2280.0)</f>
        <v>2280</v>
      </c>
      <c r="E411" s="5">
        <f>IFERROR(__xludf.DUMMYFUNCTION("""COMPUTED_VALUE"""),2340.0)</f>
        <v>2340</v>
      </c>
      <c r="F411" s="5">
        <f>IFERROR(__xludf.DUMMYFUNCTION("""COMPUTED_VALUE"""),4.10817E7)</f>
        <v>41081700</v>
      </c>
      <c r="G411" s="5">
        <f t="shared" si="1"/>
        <v>70</v>
      </c>
    </row>
    <row r="412">
      <c r="A412" s="4">
        <f>IFERROR(__xludf.DUMMYFUNCTION("""COMPUTED_VALUE"""),44449.625)</f>
        <v>44449.625</v>
      </c>
      <c r="B412" s="5">
        <f>IFERROR(__xludf.DUMMYFUNCTION("""COMPUTED_VALUE"""),2340.0)</f>
        <v>2340</v>
      </c>
      <c r="C412" s="5">
        <f>IFERROR(__xludf.DUMMYFUNCTION("""COMPUTED_VALUE"""),2360.0)</f>
        <v>2360</v>
      </c>
      <c r="D412" s="5">
        <f>IFERROR(__xludf.DUMMYFUNCTION("""COMPUTED_VALUE"""),2310.0)</f>
        <v>2310</v>
      </c>
      <c r="E412" s="5">
        <f>IFERROR(__xludf.DUMMYFUNCTION("""COMPUTED_VALUE"""),2350.0)</f>
        <v>2350</v>
      </c>
      <c r="F412" s="5">
        <f>IFERROR(__xludf.DUMMYFUNCTION("""COMPUTED_VALUE"""),2.67749E7)</f>
        <v>26774900</v>
      </c>
      <c r="G412" s="5">
        <f t="shared" si="1"/>
        <v>50</v>
      </c>
    </row>
    <row r="413">
      <c r="A413" s="4">
        <f>IFERROR(__xludf.DUMMYFUNCTION("""COMPUTED_VALUE"""),44452.625)</f>
        <v>44452.625</v>
      </c>
      <c r="B413" s="5">
        <f>IFERROR(__xludf.DUMMYFUNCTION("""COMPUTED_VALUE"""),2350.0)</f>
        <v>2350</v>
      </c>
      <c r="C413" s="5">
        <f>IFERROR(__xludf.DUMMYFUNCTION("""COMPUTED_VALUE"""),2350.0)</f>
        <v>2350</v>
      </c>
      <c r="D413" s="5">
        <f>IFERROR(__xludf.DUMMYFUNCTION("""COMPUTED_VALUE"""),2310.0)</f>
        <v>2310</v>
      </c>
      <c r="E413" s="5">
        <f>IFERROR(__xludf.DUMMYFUNCTION("""COMPUTED_VALUE"""),2330.0)</f>
        <v>2330</v>
      </c>
      <c r="F413" s="5">
        <f>IFERROR(__xludf.DUMMYFUNCTION("""COMPUTED_VALUE"""),1.15473E7)</f>
        <v>11547300</v>
      </c>
      <c r="G413" s="5">
        <f t="shared" si="1"/>
        <v>40</v>
      </c>
    </row>
    <row r="414">
      <c r="A414" s="4">
        <f>IFERROR(__xludf.DUMMYFUNCTION("""COMPUTED_VALUE"""),44453.625)</f>
        <v>44453.625</v>
      </c>
      <c r="B414" s="5">
        <f>IFERROR(__xludf.DUMMYFUNCTION("""COMPUTED_VALUE"""),2350.0)</f>
        <v>2350</v>
      </c>
      <c r="C414" s="5">
        <f>IFERROR(__xludf.DUMMYFUNCTION("""COMPUTED_VALUE"""),2380.0)</f>
        <v>2380</v>
      </c>
      <c r="D414" s="5">
        <f>IFERROR(__xludf.DUMMYFUNCTION("""COMPUTED_VALUE"""),2340.0)</f>
        <v>2340</v>
      </c>
      <c r="E414" s="5">
        <f>IFERROR(__xludf.DUMMYFUNCTION("""COMPUTED_VALUE"""),2370.0)</f>
        <v>2370</v>
      </c>
      <c r="F414" s="5">
        <f>IFERROR(__xludf.DUMMYFUNCTION("""COMPUTED_VALUE"""),3.12094E7)</f>
        <v>31209400</v>
      </c>
      <c r="G414" s="5">
        <f t="shared" si="1"/>
        <v>50</v>
      </c>
    </row>
    <row r="415">
      <c r="A415" s="4">
        <f>IFERROR(__xludf.DUMMYFUNCTION("""COMPUTED_VALUE"""),44454.625)</f>
        <v>44454.625</v>
      </c>
      <c r="B415" s="5">
        <f>IFERROR(__xludf.DUMMYFUNCTION("""COMPUTED_VALUE"""),2360.0)</f>
        <v>2360</v>
      </c>
      <c r="C415" s="5">
        <f>IFERROR(__xludf.DUMMYFUNCTION("""COMPUTED_VALUE"""),2430.0)</f>
        <v>2430</v>
      </c>
      <c r="D415" s="5">
        <f>IFERROR(__xludf.DUMMYFUNCTION("""COMPUTED_VALUE"""),2350.0)</f>
        <v>2350</v>
      </c>
      <c r="E415" s="5">
        <f>IFERROR(__xludf.DUMMYFUNCTION("""COMPUTED_VALUE"""),2410.0)</f>
        <v>2410</v>
      </c>
      <c r="F415" s="5">
        <f>IFERROR(__xludf.DUMMYFUNCTION("""COMPUTED_VALUE"""),3.84992E7)</f>
        <v>38499200</v>
      </c>
      <c r="G415" s="5">
        <f t="shared" si="1"/>
        <v>80</v>
      </c>
    </row>
    <row r="416">
      <c r="A416" s="4">
        <f>IFERROR(__xludf.DUMMYFUNCTION("""COMPUTED_VALUE"""),44455.625)</f>
        <v>44455.625</v>
      </c>
      <c r="B416" s="5">
        <f>IFERROR(__xludf.DUMMYFUNCTION("""COMPUTED_VALUE"""),2420.0)</f>
        <v>2420</v>
      </c>
      <c r="C416" s="5">
        <f>IFERROR(__xludf.DUMMYFUNCTION("""COMPUTED_VALUE"""),2460.0)</f>
        <v>2460</v>
      </c>
      <c r="D416" s="5">
        <f>IFERROR(__xludf.DUMMYFUNCTION("""COMPUTED_VALUE"""),2380.0)</f>
        <v>2380</v>
      </c>
      <c r="E416" s="5">
        <f>IFERROR(__xludf.DUMMYFUNCTION("""COMPUTED_VALUE"""),2410.0)</f>
        <v>2410</v>
      </c>
      <c r="F416" s="5">
        <f>IFERROR(__xludf.DUMMYFUNCTION("""COMPUTED_VALUE"""),4.12845E7)</f>
        <v>41284500</v>
      </c>
      <c r="G416" s="5">
        <f t="shared" si="1"/>
        <v>80</v>
      </c>
    </row>
    <row r="417">
      <c r="A417" s="4">
        <f>IFERROR(__xludf.DUMMYFUNCTION("""COMPUTED_VALUE"""),44456.625)</f>
        <v>44456.625</v>
      </c>
      <c r="B417" s="5">
        <f>IFERROR(__xludf.DUMMYFUNCTION("""COMPUTED_VALUE"""),2350.0)</f>
        <v>2350</v>
      </c>
      <c r="C417" s="5">
        <f>IFERROR(__xludf.DUMMYFUNCTION("""COMPUTED_VALUE"""),2370.0)</f>
        <v>2370</v>
      </c>
      <c r="D417" s="5">
        <f>IFERROR(__xludf.DUMMYFUNCTION("""COMPUTED_VALUE"""),2300.0)</f>
        <v>2300</v>
      </c>
      <c r="E417" s="5">
        <f>IFERROR(__xludf.DUMMYFUNCTION("""COMPUTED_VALUE"""),2320.0)</f>
        <v>2320</v>
      </c>
      <c r="F417" s="5">
        <f>IFERROR(__xludf.DUMMYFUNCTION("""COMPUTED_VALUE"""),5.17393E7)</f>
        <v>51739300</v>
      </c>
      <c r="G417" s="5">
        <f t="shared" si="1"/>
        <v>110</v>
      </c>
    </row>
    <row r="418">
      <c r="A418" s="4">
        <f>IFERROR(__xludf.DUMMYFUNCTION("""COMPUTED_VALUE"""),44459.625)</f>
        <v>44459.625</v>
      </c>
      <c r="B418" s="5">
        <f>IFERROR(__xludf.DUMMYFUNCTION("""COMPUTED_VALUE"""),2320.0)</f>
        <v>2320</v>
      </c>
      <c r="C418" s="5">
        <f>IFERROR(__xludf.DUMMYFUNCTION("""COMPUTED_VALUE"""),2340.0)</f>
        <v>2340</v>
      </c>
      <c r="D418" s="5">
        <f>IFERROR(__xludf.DUMMYFUNCTION("""COMPUTED_VALUE"""),2270.0)</f>
        <v>2270</v>
      </c>
      <c r="E418" s="5">
        <f>IFERROR(__xludf.DUMMYFUNCTION("""COMPUTED_VALUE"""),2290.0)</f>
        <v>2290</v>
      </c>
      <c r="F418" s="5">
        <f>IFERROR(__xludf.DUMMYFUNCTION("""COMPUTED_VALUE"""),1.71191E7)</f>
        <v>17119100</v>
      </c>
      <c r="G418" s="5">
        <f t="shared" si="1"/>
        <v>70</v>
      </c>
    </row>
    <row r="419">
      <c r="A419" s="4">
        <f>IFERROR(__xludf.DUMMYFUNCTION("""COMPUTED_VALUE"""),44460.625)</f>
        <v>44460.625</v>
      </c>
      <c r="B419" s="5">
        <f>IFERROR(__xludf.DUMMYFUNCTION("""COMPUTED_VALUE"""),2290.0)</f>
        <v>2290</v>
      </c>
      <c r="C419" s="5">
        <f>IFERROR(__xludf.DUMMYFUNCTION("""COMPUTED_VALUE"""),2300.0)</f>
        <v>2300</v>
      </c>
      <c r="D419" s="5">
        <f>IFERROR(__xludf.DUMMYFUNCTION("""COMPUTED_VALUE"""),2230.0)</f>
        <v>2230</v>
      </c>
      <c r="E419" s="5">
        <f>IFERROR(__xludf.DUMMYFUNCTION("""COMPUTED_VALUE"""),2280.0)</f>
        <v>2280</v>
      </c>
      <c r="F419" s="5">
        <f>IFERROR(__xludf.DUMMYFUNCTION("""COMPUTED_VALUE"""),2.54819E7)</f>
        <v>25481900</v>
      </c>
      <c r="G419" s="5">
        <f t="shared" si="1"/>
        <v>70</v>
      </c>
    </row>
    <row r="420">
      <c r="A420" s="4">
        <f>IFERROR(__xludf.DUMMYFUNCTION("""COMPUTED_VALUE"""),44461.625)</f>
        <v>44461.625</v>
      </c>
      <c r="B420" s="5">
        <f>IFERROR(__xludf.DUMMYFUNCTION("""COMPUTED_VALUE"""),2290.0)</f>
        <v>2290</v>
      </c>
      <c r="C420" s="5">
        <f>IFERROR(__xludf.DUMMYFUNCTION("""COMPUTED_VALUE"""),2370.0)</f>
        <v>2370</v>
      </c>
      <c r="D420" s="5">
        <f>IFERROR(__xludf.DUMMYFUNCTION("""COMPUTED_VALUE"""),2280.0)</f>
        <v>2280</v>
      </c>
      <c r="E420" s="5">
        <f>IFERROR(__xludf.DUMMYFUNCTION("""COMPUTED_VALUE"""),2350.0)</f>
        <v>2350</v>
      </c>
      <c r="F420" s="5">
        <f>IFERROR(__xludf.DUMMYFUNCTION("""COMPUTED_VALUE"""),2.62382E7)</f>
        <v>26238200</v>
      </c>
      <c r="G420" s="5">
        <f t="shared" si="1"/>
        <v>90</v>
      </c>
    </row>
    <row r="421">
      <c r="A421" s="4">
        <f>IFERROR(__xludf.DUMMYFUNCTION("""COMPUTED_VALUE"""),44462.625)</f>
        <v>44462.625</v>
      </c>
      <c r="B421" s="5">
        <f>IFERROR(__xludf.DUMMYFUNCTION("""COMPUTED_VALUE"""),2390.0)</f>
        <v>2390</v>
      </c>
      <c r="C421" s="5">
        <f>IFERROR(__xludf.DUMMYFUNCTION("""COMPUTED_VALUE"""),2430.0)</f>
        <v>2430</v>
      </c>
      <c r="D421" s="5">
        <f>IFERROR(__xludf.DUMMYFUNCTION("""COMPUTED_VALUE"""),2360.0)</f>
        <v>2360</v>
      </c>
      <c r="E421" s="5">
        <f>IFERROR(__xludf.DUMMYFUNCTION("""COMPUTED_VALUE"""),2420.0)</f>
        <v>2420</v>
      </c>
      <c r="F421" s="5">
        <f>IFERROR(__xludf.DUMMYFUNCTION("""COMPUTED_VALUE"""),3.61598E7)</f>
        <v>36159800</v>
      </c>
      <c r="G421" s="5">
        <f t="shared" si="1"/>
        <v>80</v>
      </c>
    </row>
    <row r="422">
      <c r="A422" s="4">
        <f>IFERROR(__xludf.DUMMYFUNCTION("""COMPUTED_VALUE"""),44463.625)</f>
        <v>44463.625</v>
      </c>
      <c r="B422" s="5">
        <f>IFERROR(__xludf.DUMMYFUNCTION("""COMPUTED_VALUE"""),2450.0)</f>
        <v>2450</v>
      </c>
      <c r="C422" s="5">
        <f>IFERROR(__xludf.DUMMYFUNCTION("""COMPUTED_VALUE"""),2510.0)</f>
        <v>2510</v>
      </c>
      <c r="D422" s="5">
        <f>IFERROR(__xludf.DUMMYFUNCTION("""COMPUTED_VALUE"""),2440.0)</f>
        <v>2440</v>
      </c>
      <c r="E422" s="5">
        <f>IFERROR(__xludf.DUMMYFUNCTION("""COMPUTED_VALUE"""),2450.0)</f>
        <v>2450</v>
      </c>
      <c r="F422" s="5">
        <f>IFERROR(__xludf.DUMMYFUNCTION("""COMPUTED_VALUE"""),6.03226E7)</f>
        <v>60322600</v>
      </c>
      <c r="G422" s="5">
        <f t="shared" si="1"/>
        <v>90</v>
      </c>
    </row>
    <row r="423">
      <c r="A423" s="4">
        <f>IFERROR(__xludf.DUMMYFUNCTION("""COMPUTED_VALUE"""),44466.625)</f>
        <v>44466.625</v>
      </c>
      <c r="B423" s="5">
        <f>IFERROR(__xludf.DUMMYFUNCTION("""COMPUTED_VALUE"""),2460.0)</f>
        <v>2460</v>
      </c>
      <c r="C423" s="5">
        <f>IFERROR(__xludf.DUMMYFUNCTION("""COMPUTED_VALUE"""),2510.0)</f>
        <v>2510</v>
      </c>
      <c r="D423" s="5">
        <f>IFERROR(__xludf.DUMMYFUNCTION("""COMPUTED_VALUE"""),2440.0)</f>
        <v>2440</v>
      </c>
      <c r="E423" s="5">
        <f>IFERROR(__xludf.DUMMYFUNCTION("""COMPUTED_VALUE"""),2460.0)</f>
        <v>2460</v>
      </c>
      <c r="F423" s="5">
        <f>IFERROR(__xludf.DUMMYFUNCTION("""COMPUTED_VALUE"""),2.89359E7)</f>
        <v>28935900</v>
      </c>
      <c r="G423" s="5">
        <f t="shared" si="1"/>
        <v>70</v>
      </c>
    </row>
    <row r="424">
      <c r="A424" s="4">
        <f>IFERROR(__xludf.DUMMYFUNCTION("""COMPUTED_VALUE"""),44467.625)</f>
        <v>44467.625</v>
      </c>
      <c r="B424" s="5">
        <f>IFERROR(__xludf.DUMMYFUNCTION("""COMPUTED_VALUE"""),2500.0)</f>
        <v>2500</v>
      </c>
      <c r="C424" s="5">
        <f>IFERROR(__xludf.DUMMYFUNCTION("""COMPUTED_VALUE"""),2640.0)</f>
        <v>2640</v>
      </c>
      <c r="D424" s="5">
        <f>IFERROR(__xludf.DUMMYFUNCTION("""COMPUTED_VALUE"""),2500.0)</f>
        <v>2500</v>
      </c>
      <c r="E424" s="5">
        <f>IFERROR(__xludf.DUMMYFUNCTION("""COMPUTED_VALUE"""),2630.0)</f>
        <v>2630</v>
      </c>
      <c r="F424" s="5">
        <f>IFERROR(__xludf.DUMMYFUNCTION("""COMPUTED_VALUE"""),9.79449E7)</f>
        <v>97944900</v>
      </c>
      <c r="G424" s="5">
        <f t="shared" si="1"/>
        <v>180</v>
      </c>
    </row>
    <row r="425">
      <c r="A425" s="4">
        <f>IFERROR(__xludf.DUMMYFUNCTION("""COMPUTED_VALUE"""),44468.625)</f>
        <v>44468.625</v>
      </c>
      <c r="B425" s="5">
        <f>IFERROR(__xludf.DUMMYFUNCTION("""COMPUTED_VALUE"""),2610.0)</f>
        <v>2610</v>
      </c>
      <c r="C425" s="5">
        <f>IFERROR(__xludf.DUMMYFUNCTION("""COMPUTED_VALUE"""),2680.0)</f>
        <v>2680</v>
      </c>
      <c r="D425" s="5">
        <f>IFERROR(__xludf.DUMMYFUNCTION("""COMPUTED_VALUE"""),2600.0)</f>
        <v>2600</v>
      </c>
      <c r="E425" s="5">
        <f>IFERROR(__xludf.DUMMYFUNCTION("""COMPUTED_VALUE"""),2640.0)</f>
        <v>2640</v>
      </c>
      <c r="F425" s="5">
        <f>IFERROR(__xludf.DUMMYFUNCTION("""COMPUTED_VALUE"""),7.0824E7)</f>
        <v>70824000</v>
      </c>
      <c r="G425" s="5">
        <f t="shared" si="1"/>
        <v>80</v>
      </c>
    </row>
    <row r="426">
      <c r="A426" s="4">
        <f>IFERROR(__xludf.DUMMYFUNCTION("""COMPUTED_VALUE"""),44469.625)</f>
        <v>44469.625</v>
      </c>
      <c r="B426" s="5">
        <f>IFERROR(__xludf.DUMMYFUNCTION("""COMPUTED_VALUE"""),2640.0)</f>
        <v>2640</v>
      </c>
      <c r="C426" s="5">
        <f>IFERROR(__xludf.DUMMYFUNCTION("""COMPUTED_VALUE"""),2790.0)</f>
        <v>2790</v>
      </c>
      <c r="D426" s="5">
        <f>IFERROR(__xludf.DUMMYFUNCTION("""COMPUTED_VALUE"""),2640.0)</f>
        <v>2640</v>
      </c>
      <c r="E426" s="5">
        <f>IFERROR(__xludf.DUMMYFUNCTION("""COMPUTED_VALUE"""),2760.0)</f>
        <v>2760</v>
      </c>
      <c r="F426" s="5">
        <f>IFERROR(__xludf.DUMMYFUNCTION("""COMPUTED_VALUE"""),8.10405E7)</f>
        <v>81040500</v>
      </c>
      <c r="G426" s="5">
        <f t="shared" si="1"/>
        <v>150</v>
      </c>
    </row>
    <row r="427">
      <c r="A427" s="4">
        <f>IFERROR(__xludf.DUMMYFUNCTION("""COMPUTED_VALUE"""),44470.625)</f>
        <v>44470.625</v>
      </c>
      <c r="B427" s="5">
        <f>IFERROR(__xludf.DUMMYFUNCTION("""COMPUTED_VALUE"""),2760.0)</f>
        <v>2760</v>
      </c>
      <c r="C427" s="5">
        <f>IFERROR(__xludf.DUMMYFUNCTION("""COMPUTED_VALUE"""),2810.0)</f>
        <v>2810</v>
      </c>
      <c r="D427" s="5">
        <f>IFERROR(__xludf.DUMMYFUNCTION("""COMPUTED_VALUE"""),2700.0)</f>
        <v>2700</v>
      </c>
      <c r="E427" s="5">
        <f>IFERROR(__xludf.DUMMYFUNCTION("""COMPUTED_VALUE"""),2720.0)</f>
        <v>2720</v>
      </c>
      <c r="F427" s="5">
        <f>IFERROR(__xludf.DUMMYFUNCTION("""COMPUTED_VALUE"""),8.46074E7)</f>
        <v>84607400</v>
      </c>
      <c r="G427" s="5">
        <f t="shared" si="1"/>
        <v>110</v>
      </c>
    </row>
    <row r="428">
      <c r="A428" s="4">
        <f>IFERROR(__xludf.DUMMYFUNCTION("""COMPUTED_VALUE"""),44473.625)</f>
        <v>44473.625</v>
      </c>
      <c r="B428" s="5">
        <f>IFERROR(__xludf.DUMMYFUNCTION("""COMPUTED_VALUE"""),2780.0)</f>
        <v>2780</v>
      </c>
      <c r="C428" s="5">
        <f>IFERROR(__xludf.DUMMYFUNCTION("""COMPUTED_VALUE"""),2930.0)</f>
        <v>2930</v>
      </c>
      <c r="D428" s="5">
        <f>IFERROR(__xludf.DUMMYFUNCTION("""COMPUTED_VALUE"""),2780.0)</f>
        <v>2780</v>
      </c>
      <c r="E428" s="5">
        <f>IFERROR(__xludf.DUMMYFUNCTION("""COMPUTED_VALUE"""),2890.0)</f>
        <v>2890</v>
      </c>
      <c r="F428" s="5">
        <f>IFERROR(__xludf.DUMMYFUNCTION("""COMPUTED_VALUE"""),9.90495E7)</f>
        <v>99049500</v>
      </c>
      <c r="G428" s="5">
        <f t="shared" si="1"/>
        <v>210</v>
      </c>
    </row>
    <row r="429">
      <c r="A429" s="4">
        <f>IFERROR(__xludf.DUMMYFUNCTION("""COMPUTED_VALUE"""),44474.625)</f>
        <v>44474.625</v>
      </c>
      <c r="B429" s="5">
        <f>IFERROR(__xludf.DUMMYFUNCTION("""COMPUTED_VALUE"""),2950.0)</f>
        <v>2950</v>
      </c>
      <c r="C429" s="5">
        <f>IFERROR(__xludf.DUMMYFUNCTION("""COMPUTED_VALUE"""),3000.0)</f>
        <v>3000</v>
      </c>
      <c r="D429" s="5">
        <f>IFERROR(__xludf.DUMMYFUNCTION("""COMPUTED_VALUE"""),2800.0)</f>
        <v>2800</v>
      </c>
      <c r="E429" s="5">
        <f>IFERROR(__xludf.DUMMYFUNCTION("""COMPUTED_VALUE"""),2840.0)</f>
        <v>2840</v>
      </c>
      <c r="F429" s="5">
        <f>IFERROR(__xludf.DUMMYFUNCTION("""COMPUTED_VALUE"""),1.216859E8)</f>
        <v>121685900</v>
      </c>
      <c r="G429" s="5">
        <f t="shared" si="1"/>
        <v>200</v>
      </c>
    </row>
    <row r="430">
      <c r="A430" s="4">
        <f>IFERROR(__xludf.DUMMYFUNCTION("""COMPUTED_VALUE"""),44475.625)</f>
        <v>44475.625</v>
      </c>
      <c r="B430" s="5">
        <f>IFERROR(__xludf.DUMMYFUNCTION("""COMPUTED_VALUE"""),2920.0)</f>
        <v>2920</v>
      </c>
      <c r="C430" s="5">
        <f>IFERROR(__xludf.DUMMYFUNCTION("""COMPUTED_VALUE"""),2960.0)</f>
        <v>2960</v>
      </c>
      <c r="D430" s="5">
        <f>IFERROR(__xludf.DUMMYFUNCTION("""COMPUTED_VALUE"""),2810.0)</f>
        <v>2810</v>
      </c>
      <c r="E430" s="5">
        <f>IFERROR(__xludf.DUMMYFUNCTION("""COMPUTED_VALUE"""),2840.0)</f>
        <v>2840</v>
      </c>
      <c r="F430" s="5">
        <f>IFERROR(__xludf.DUMMYFUNCTION("""COMPUTED_VALUE"""),9.92696E7)</f>
        <v>99269600</v>
      </c>
      <c r="G430" s="5">
        <f t="shared" si="1"/>
        <v>150</v>
      </c>
    </row>
    <row r="431">
      <c r="A431" s="4">
        <f>IFERROR(__xludf.DUMMYFUNCTION("""COMPUTED_VALUE"""),44476.625)</f>
        <v>44476.625</v>
      </c>
      <c r="B431" s="5">
        <f>IFERROR(__xludf.DUMMYFUNCTION("""COMPUTED_VALUE"""),2750.0)</f>
        <v>2750</v>
      </c>
      <c r="C431" s="5">
        <f>IFERROR(__xludf.DUMMYFUNCTION("""COMPUTED_VALUE"""),2770.0)</f>
        <v>2770</v>
      </c>
      <c r="D431" s="5">
        <f>IFERROR(__xludf.DUMMYFUNCTION("""COMPUTED_VALUE"""),2660.0)</f>
        <v>2660</v>
      </c>
      <c r="E431" s="5">
        <f>IFERROR(__xludf.DUMMYFUNCTION("""COMPUTED_VALUE"""),2680.0)</f>
        <v>2680</v>
      </c>
      <c r="F431" s="5">
        <f>IFERROR(__xludf.DUMMYFUNCTION("""COMPUTED_VALUE"""),1.195972E8)</f>
        <v>119597200</v>
      </c>
      <c r="G431" s="5">
        <f t="shared" si="1"/>
        <v>180</v>
      </c>
    </row>
    <row r="432">
      <c r="A432" s="4">
        <f>IFERROR(__xludf.DUMMYFUNCTION("""COMPUTED_VALUE"""),44477.625)</f>
        <v>44477.625</v>
      </c>
      <c r="B432" s="5">
        <f>IFERROR(__xludf.DUMMYFUNCTION("""COMPUTED_VALUE"""),2690.0)</f>
        <v>2690</v>
      </c>
      <c r="C432" s="5">
        <f>IFERROR(__xludf.DUMMYFUNCTION("""COMPUTED_VALUE"""),2790.0)</f>
        <v>2790</v>
      </c>
      <c r="D432" s="5">
        <f>IFERROR(__xludf.DUMMYFUNCTION("""COMPUTED_VALUE"""),2690.0)</f>
        <v>2690</v>
      </c>
      <c r="E432" s="5">
        <f>IFERROR(__xludf.DUMMYFUNCTION("""COMPUTED_VALUE"""),2780.0)</f>
        <v>2780</v>
      </c>
      <c r="F432" s="5">
        <f>IFERROR(__xludf.DUMMYFUNCTION("""COMPUTED_VALUE"""),6.28674E7)</f>
        <v>62867400</v>
      </c>
      <c r="G432" s="5">
        <f t="shared" si="1"/>
        <v>110</v>
      </c>
    </row>
    <row r="433">
      <c r="A433" s="4">
        <f>IFERROR(__xludf.DUMMYFUNCTION("""COMPUTED_VALUE"""),44480.625)</f>
        <v>44480.625</v>
      </c>
      <c r="B433" s="5">
        <f>IFERROR(__xludf.DUMMYFUNCTION("""COMPUTED_VALUE"""),2810.0)</f>
        <v>2810</v>
      </c>
      <c r="C433" s="5">
        <f>IFERROR(__xludf.DUMMYFUNCTION("""COMPUTED_VALUE"""),2880.0)</f>
        <v>2880</v>
      </c>
      <c r="D433" s="5">
        <f>IFERROR(__xludf.DUMMYFUNCTION("""COMPUTED_VALUE"""),2780.0)</f>
        <v>2780</v>
      </c>
      <c r="E433" s="5">
        <f>IFERROR(__xludf.DUMMYFUNCTION("""COMPUTED_VALUE"""),2840.0)</f>
        <v>2840</v>
      </c>
      <c r="F433" s="5">
        <f>IFERROR(__xludf.DUMMYFUNCTION("""COMPUTED_VALUE"""),6.84368E7)</f>
        <v>68436800</v>
      </c>
      <c r="G433" s="5">
        <f t="shared" si="1"/>
        <v>100</v>
      </c>
    </row>
    <row r="434">
      <c r="A434" s="4">
        <f>IFERROR(__xludf.DUMMYFUNCTION("""COMPUTED_VALUE"""),44481.66666666667)</f>
        <v>44481.66667</v>
      </c>
      <c r="B434" s="5">
        <f>IFERROR(__xludf.DUMMYFUNCTION("""COMPUTED_VALUE"""),2880.0)</f>
        <v>2880</v>
      </c>
      <c r="C434" s="5">
        <f>IFERROR(__xludf.DUMMYFUNCTION("""COMPUTED_VALUE"""),2890.0)</f>
        <v>2890</v>
      </c>
      <c r="D434" s="5">
        <f>IFERROR(__xludf.DUMMYFUNCTION("""COMPUTED_VALUE"""),2810.0)</f>
        <v>2810</v>
      </c>
      <c r="E434" s="5">
        <f>IFERROR(__xludf.DUMMYFUNCTION("""COMPUTED_VALUE"""),2830.0)</f>
        <v>2830</v>
      </c>
      <c r="F434" s="5">
        <f>IFERROR(__xludf.DUMMYFUNCTION("""COMPUTED_VALUE"""),5.66819E7)</f>
        <v>56681900</v>
      </c>
      <c r="G434" s="5">
        <f t="shared" si="1"/>
        <v>80</v>
      </c>
    </row>
    <row r="435">
      <c r="A435" s="4">
        <f>IFERROR(__xludf.DUMMYFUNCTION("""COMPUTED_VALUE"""),44482.625)</f>
        <v>44482.625</v>
      </c>
      <c r="B435" s="5">
        <f>IFERROR(__xludf.DUMMYFUNCTION("""COMPUTED_VALUE"""),2830.0)</f>
        <v>2830</v>
      </c>
      <c r="C435" s="5">
        <f>IFERROR(__xludf.DUMMYFUNCTION("""COMPUTED_VALUE"""),2850.0)</f>
        <v>2850</v>
      </c>
      <c r="D435" s="5">
        <f>IFERROR(__xludf.DUMMYFUNCTION("""COMPUTED_VALUE"""),2790.0)</f>
        <v>2790</v>
      </c>
      <c r="E435" s="5">
        <f>IFERROR(__xludf.DUMMYFUNCTION("""COMPUTED_VALUE"""),2790.0)</f>
        <v>2790</v>
      </c>
      <c r="F435" s="5">
        <f>IFERROR(__xludf.DUMMYFUNCTION("""COMPUTED_VALUE"""),2.94958E7)</f>
        <v>29495800</v>
      </c>
      <c r="G435" s="5">
        <f t="shared" si="1"/>
        <v>60</v>
      </c>
    </row>
    <row r="436">
      <c r="A436" s="4">
        <f>IFERROR(__xludf.DUMMYFUNCTION("""COMPUTED_VALUE"""),44483.66666666667)</f>
        <v>44483.66667</v>
      </c>
      <c r="B436" s="5">
        <f>IFERROR(__xludf.DUMMYFUNCTION("""COMPUTED_VALUE"""),2800.0)</f>
        <v>2800</v>
      </c>
      <c r="C436" s="5">
        <f>IFERROR(__xludf.DUMMYFUNCTION("""COMPUTED_VALUE"""),2850.0)</f>
        <v>2850</v>
      </c>
      <c r="D436" s="5">
        <f>IFERROR(__xludf.DUMMYFUNCTION("""COMPUTED_VALUE"""),2790.0)</f>
        <v>2790</v>
      </c>
      <c r="E436" s="5">
        <f>IFERROR(__xludf.DUMMYFUNCTION("""COMPUTED_VALUE"""),2820.0)</f>
        <v>2820</v>
      </c>
      <c r="F436" s="5">
        <f>IFERROR(__xludf.DUMMYFUNCTION("""COMPUTED_VALUE"""),3.67965E7)</f>
        <v>36796500</v>
      </c>
      <c r="G436" s="5">
        <f t="shared" si="1"/>
        <v>60</v>
      </c>
    </row>
    <row r="437">
      <c r="A437" s="4">
        <f>IFERROR(__xludf.DUMMYFUNCTION("""COMPUTED_VALUE"""),44484.66666666667)</f>
        <v>44484.66667</v>
      </c>
      <c r="B437" s="5">
        <f>IFERROR(__xludf.DUMMYFUNCTION("""COMPUTED_VALUE"""),2820.0)</f>
        <v>2820</v>
      </c>
      <c r="C437" s="5">
        <f>IFERROR(__xludf.DUMMYFUNCTION("""COMPUTED_VALUE"""),2870.0)</f>
        <v>2870</v>
      </c>
      <c r="D437" s="5">
        <f>IFERROR(__xludf.DUMMYFUNCTION("""COMPUTED_VALUE"""),2800.0)</f>
        <v>2800</v>
      </c>
      <c r="E437" s="5">
        <f>IFERROR(__xludf.DUMMYFUNCTION("""COMPUTED_VALUE"""),2830.0)</f>
        <v>2830</v>
      </c>
      <c r="F437" s="5">
        <f>IFERROR(__xludf.DUMMYFUNCTION("""COMPUTED_VALUE"""),3.91912E7)</f>
        <v>39191200</v>
      </c>
      <c r="G437" s="5">
        <f t="shared" si="1"/>
        <v>70</v>
      </c>
    </row>
    <row r="438">
      <c r="A438" s="4">
        <f>IFERROR(__xludf.DUMMYFUNCTION("""COMPUTED_VALUE"""),44487.625)</f>
        <v>44487.625</v>
      </c>
      <c r="B438" s="5">
        <f>IFERROR(__xludf.DUMMYFUNCTION("""COMPUTED_VALUE"""),2810.0)</f>
        <v>2810</v>
      </c>
      <c r="C438" s="5">
        <f>IFERROR(__xludf.DUMMYFUNCTION("""COMPUTED_VALUE"""),2880.0)</f>
        <v>2880</v>
      </c>
      <c r="D438" s="5">
        <f>IFERROR(__xludf.DUMMYFUNCTION("""COMPUTED_VALUE"""),2800.0)</f>
        <v>2800</v>
      </c>
      <c r="E438" s="5">
        <f>IFERROR(__xludf.DUMMYFUNCTION("""COMPUTED_VALUE"""),2860.0)</f>
        <v>2860</v>
      </c>
      <c r="F438" s="5">
        <f>IFERROR(__xludf.DUMMYFUNCTION("""COMPUTED_VALUE"""),5.30838E7)</f>
        <v>53083800</v>
      </c>
      <c r="G438" s="5">
        <f t="shared" si="1"/>
        <v>80</v>
      </c>
    </row>
    <row r="439">
      <c r="A439" s="4">
        <f>IFERROR(__xludf.DUMMYFUNCTION("""COMPUTED_VALUE"""),44488.625)</f>
        <v>44488.625</v>
      </c>
      <c r="B439" s="5">
        <f>IFERROR(__xludf.DUMMYFUNCTION("""COMPUTED_VALUE"""),2860.0)</f>
        <v>2860</v>
      </c>
      <c r="C439" s="5">
        <f>IFERROR(__xludf.DUMMYFUNCTION("""COMPUTED_VALUE"""),2860.0)</f>
        <v>2860</v>
      </c>
      <c r="D439" s="5">
        <f>IFERROR(__xludf.DUMMYFUNCTION("""COMPUTED_VALUE"""),2810.0)</f>
        <v>2810</v>
      </c>
      <c r="E439" s="5">
        <f>IFERROR(__xludf.DUMMYFUNCTION("""COMPUTED_VALUE"""),2820.0)</f>
        <v>2820</v>
      </c>
      <c r="F439" s="5">
        <f>IFERROR(__xludf.DUMMYFUNCTION("""COMPUTED_VALUE"""),3.43721E7)</f>
        <v>34372100</v>
      </c>
      <c r="G439" s="5">
        <f t="shared" si="1"/>
        <v>50</v>
      </c>
    </row>
    <row r="440">
      <c r="A440" s="4">
        <f>IFERROR(__xludf.DUMMYFUNCTION("""COMPUTED_VALUE"""),44490.625)</f>
        <v>44490.625</v>
      </c>
      <c r="B440" s="5">
        <f>IFERROR(__xludf.DUMMYFUNCTION("""COMPUTED_VALUE"""),2780.0)</f>
        <v>2780</v>
      </c>
      <c r="C440" s="5">
        <f>IFERROR(__xludf.DUMMYFUNCTION("""COMPUTED_VALUE"""),2780.0)</f>
        <v>2780</v>
      </c>
      <c r="D440" s="5">
        <f>IFERROR(__xludf.DUMMYFUNCTION("""COMPUTED_VALUE"""),2670.0)</f>
        <v>2670</v>
      </c>
      <c r="E440" s="5">
        <f>IFERROR(__xludf.DUMMYFUNCTION("""COMPUTED_VALUE"""),2720.0)</f>
        <v>2720</v>
      </c>
      <c r="F440" s="5">
        <f>IFERROR(__xludf.DUMMYFUNCTION("""COMPUTED_VALUE"""),8.30925E7)</f>
        <v>83092500</v>
      </c>
      <c r="G440" s="5">
        <f t="shared" si="1"/>
        <v>150</v>
      </c>
    </row>
    <row r="441">
      <c r="A441" s="4">
        <f>IFERROR(__xludf.DUMMYFUNCTION("""COMPUTED_VALUE"""),44491.625)</f>
        <v>44491.625</v>
      </c>
      <c r="B441" s="5">
        <f>IFERROR(__xludf.DUMMYFUNCTION("""COMPUTED_VALUE"""),2560.0)</f>
        <v>2560</v>
      </c>
      <c r="C441" s="5">
        <f>IFERROR(__xludf.DUMMYFUNCTION("""COMPUTED_VALUE"""),2690.0)</f>
        <v>2690</v>
      </c>
      <c r="D441" s="5">
        <f>IFERROR(__xludf.DUMMYFUNCTION("""COMPUTED_VALUE"""),2560.0)</f>
        <v>2560</v>
      </c>
      <c r="E441" s="5">
        <f>IFERROR(__xludf.DUMMYFUNCTION("""COMPUTED_VALUE"""),2670.0)</f>
        <v>2670</v>
      </c>
      <c r="F441" s="5">
        <f>IFERROR(__xludf.DUMMYFUNCTION("""COMPUTED_VALUE"""),4.6458E7)</f>
        <v>46458000</v>
      </c>
      <c r="G441" s="5">
        <f t="shared" si="1"/>
        <v>160</v>
      </c>
    </row>
    <row r="442">
      <c r="A442" s="4">
        <f>IFERROR(__xludf.DUMMYFUNCTION("""COMPUTED_VALUE"""),44494.625)</f>
        <v>44494.625</v>
      </c>
      <c r="B442" s="5">
        <f>IFERROR(__xludf.DUMMYFUNCTION("""COMPUTED_VALUE"""),2830.0)</f>
        <v>2830</v>
      </c>
      <c r="C442" s="5">
        <f>IFERROR(__xludf.DUMMYFUNCTION("""COMPUTED_VALUE"""),2850.0)</f>
        <v>2850</v>
      </c>
      <c r="D442" s="5">
        <f>IFERROR(__xludf.DUMMYFUNCTION("""COMPUTED_VALUE"""),2720.0)</f>
        <v>2720</v>
      </c>
      <c r="E442" s="5">
        <f>IFERROR(__xludf.DUMMYFUNCTION("""COMPUTED_VALUE"""),2740.0)</f>
        <v>2740</v>
      </c>
      <c r="F442" s="5">
        <f>IFERROR(__xludf.DUMMYFUNCTION("""COMPUTED_VALUE"""),6.36086E7)</f>
        <v>63608600</v>
      </c>
      <c r="G442" s="5">
        <f t="shared" si="1"/>
        <v>180</v>
      </c>
    </row>
    <row r="443">
      <c r="A443" s="4">
        <f>IFERROR(__xludf.DUMMYFUNCTION("""COMPUTED_VALUE"""),44495.625)</f>
        <v>44495.625</v>
      </c>
      <c r="B443" s="5">
        <f>IFERROR(__xludf.DUMMYFUNCTION("""COMPUTED_VALUE"""),2790.0)</f>
        <v>2790</v>
      </c>
      <c r="C443" s="5">
        <f>IFERROR(__xludf.DUMMYFUNCTION("""COMPUTED_VALUE"""),2830.0)</f>
        <v>2830</v>
      </c>
      <c r="D443" s="5">
        <f>IFERROR(__xludf.DUMMYFUNCTION("""COMPUTED_VALUE"""),2750.0)</f>
        <v>2750</v>
      </c>
      <c r="E443" s="5">
        <f>IFERROR(__xludf.DUMMYFUNCTION("""COMPUTED_VALUE"""),2800.0)</f>
        <v>2800</v>
      </c>
      <c r="F443" s="5">
        <f>IFERROR(__xludf.DUMMYFUNCTION("""COMPUTED_VALUE"""),5.2184E7)</f>
        <v>52184000</v>
      </c>
      <c r="G443" s="5">
        <f t="shared" si="1"/>
        <v>90</v>
      </c>
    </row>
    <row r="444">
      <c r="A444" s="4">
        <f>IFERROR(__xludf.DUMMYFUNCTION("""COMPUTED_VALUE"""),44496.625)</f>
        <v>44496.625</v>
      </c>
      <c r="B444" s="5">
        <f>IFERROR(__xludf.DUMMYFUNCTION("""COMPUTED_VALUE"""),2840.0)</f>
        <v>2840</v>
      </c>
      <c r="C444" s="5">
        <f>IFERROR(__xludf.DUMMYFUNCTION("""COMPUTED_VALUE"""),2840.0)</f>
        <v>2840</v>
      </c>
      <c r="D444" s="5">
        <f>IFERROR(__xludf.DUMMYFUNCTION("""COMPUTED_VALUE"""),2760.0)</f>
        <v>2760</v>
      </c>
      <c r="E444" s="5">
        <f>IFERROR(__xludf.DUMMYFUNCTION("""COMPUTED_VALUE"""),2780.0)</f>
        <v>2780</v>
      </c>
      <c r="F444" s="5">
        <f>IFERROR(__xludf.DUMMYFUNCTION("""COMPUTED_VALUE"""),3.79015E7)</f>
        <v>37901500</v>
      </c>
      <c r="G444" s="5">
        <f t="shared" si="1"/>
        <v>80</v>
      </c>
    </row>
    <row r="445">
      <c r="A445" s="4">
        <f>IFERROR(__xludf.DUMMYFUNCTION("""COMPUTED_VALUE"""),44497.625)</f>
        <v>44497.625</v>
      </c>
      <c r="B445" s="5">
        <f>IFERROR(__xludf.DUMMYFUNCTION("""COMPUTED_VALUE"""),2730.0)</f>
        <v>2730</v>
      </c>
      <c r="C445" s="5">
        <f>IFERROR(__xludf.DUMMYFUNCTION("""COMPUTED_VALUE"""),2730.0)</f>
        <v>2730</v>
      </c>
      <c r="D445" s="5">
        <f>IFERROR(__xludf.DUMMYFUNCTION("""COMPUTED_VALUE"""),2610.0)</f>
        <v>2610</v>
      </c>
      <c r="E445" s="5">
        <f>IFERROR(__xludf.DUMMYFUNCTION("""COMPUTED_VALUE"""),2640.0)</f>
        <v>2640</v>
      </c>
      <c r="F445" s="5">
        <f>IFERROR(__xludf.DUMMYFUNCTION("""COMPUTED_VALUE"""),9.33866E7)</f>
        <v>93386600</v>
      </c>
      <c r="G445" s="5">
        <f t="shared" si="1"/>
        <v>170</v>
      </c>
    </row>
    <row r="446">
      <c r="A446" s="4">
        <f>IFERROR(__xludf.DUMMYFUNCTION("""COMPUTED_VALUE"""),44498.625)</f>
        <v>44498.625</v>
      </c>
      <c r="B446" s="5">
        <f>IFERROR(__xludf.DUMMYFUNCTION("""COMPUTED_VALUE"""),2600.0)</f>
        <v>2600</v>
      </c>
      <c r="C446" s="5">
        <f>IFERROR(__xludf.DUMMYFUNCTION("""COMPUTED_VALUE"""),2690.0)</f>
        <v>2690</v>
      </c>
      <c r="D446" s="5">
        <f>IFERROR(__xludf.DUMMYFUNCTION("""COMPUTED_VALUE"""),2590.0)</f>
        <v>2590</v>
      </c>
      <c r="E446" s="5">
        <f>IFERROR(__xludf.DUMMYFUNCTION("""COMPUTED_VALUE"""),2680.0)</f>
        <v>2680</v>
      </c>
      <c r="F446" s="5">
        <f>IFERROR(__xludf.DUMMYFUNCTION("""COMPUTED_VALUE"""),3.58044E7)</f>
        <v>35804400</v>
      </c>
      <c r="G446" s="5">
        <f t="shared" si="1"/>
        <v>100</v>
      </c>
    </row>
    <row r="447">
      <c r="A447" s="4">
        <f>IFERROR(__xludf.DUMMYFUNCTION("""COMPUTED_VALUE"""),44501.625)</f>
        <v>44501.625</v>
      </c>
      <c r="B447" s="5">
        <f>IFERROR(__xludf.DUMMYFUNCTION("""COMPUTED_VALUE"""),2630.0)</f>
        <v>2630</v>
      </c>
      <c r="C447" s="5">
        <f>IFERROR(__xludf.DUMMYFUNCTION("""COMPUTED_VALUE"""),2720.0)</f>
        <v>2720</v>
      </c>
      <c r="D447" s="5">
        <f>IFERROR(__xludf.DUMMYFUNCTION("""COMPUTED_VALUE"""),2580.0)</f>
        <v>2580</v>
      </c>
      <c r="E447" s="5">
        <f>IFERROR(__xludf.DUMMYFUNCTION("""COMPUTED_VALUE"""),2670.0)</f>
        <v>2670</v>
      </c>
      <c r="F447" s="5">
        <f>IFERROR(__xludf.DUMMYFUNCTION("""COMPUTED_VALUE"""),5.1187E7)</f>
        <v>51187000</v>
      </c>
      <c r="G447" s="5">
        <f t="shared" si="1"/>
        <v>140</v>
      </c>
    </row>
    <row r="448">
      <c r="A448" s="4">
        <f>IFERROR(__xludf.DUMMYFUNCTION("""COMPUTED_VALUE"""),44502.625)</f>
        <v>44502.625</v>
      </c>
      <c r="B448" s="5">
        <f>IFERROR(__xludf.DUMMYFUNCTION("""COMPUTED_VALUE"""),2650.0)</f>
        <v>2650</v>
      </c>
      <c r="C448" s="5">
        <f>IFERROR(__xludf.DUMMYFUNCTION("""COMPUTED_VALUE"""),2670.0)</f>
        <v>2670</v>
      </c>
      <c r="D448" s="5">
        <f>IFERROR(__xludf.DUMMYFUNCTION("""COMPUTED_VALUE"""),2580.0)</f>
        <v>2580</v>
      </c>
      <c r="E448" s="5">
        <f>IFERROR(__xludf.DUMMYFUNCTION("""COMPUTED_VALUE"""),2600.0)</f>
        <v>2600</v>
      </c>
      <c r="F448" s="5">
        <f>IFERROR(__xludf.DUMMYFUNCTION("""COMPUTED_VALUE"""),4.57315E7)</f>
        <v>45731500</v>
      </c>
      <c r="G448" s="5">
        <f t="shared" si="1"/>
        <v>90</v>
      </c>
    </row>
    <row r="449">
      <c r="A449" s="4">
        <f>IFERROR(__xludf.DUMMYFUNCTION("""COMPUTED_VALUE"""),44503.625)</f>
        <v>44503.625</v>
      </c>
      <c r="B449" s="5">
        <f>IFERROR(__xludf.DUMMYFUNCTION("""COMPUTED_VALUE"""),2640.0)</f>
        <v>2640</v>
      </c>
      <c r="C449" s="5">
        <f>IFERROR(__xludf.DUMMYFUNCTION("""COMPUTED_VALUE"""),2650.0)</f>
        <v>2650</v>
      </c>
      <c r="D449" s="5">
        <f>IFERROR(__xludf.DUMMYFUNCTION("""COMPUTED_VALUE"""),2600.0)</f>
        <v>2600</v>
      </c>
      <c r="E449" s="5">
        <f>IFERROR(__xludf.DUMMYFUNCTION("""COMPUTED_VALUE"""),2640.0)</f>
        <v>2640</v>
      </c>
      <c r="F449" s="5">
        <f>IFERROR(__xludf.DUMMYFUNCTION("""COMPUTED_VALUE"""),1.91871E7)</f>
        <v>19187100</v>
      </c>
      <c r="G449" s="5">
        <f t="shared" si="1"/>
        <v>50</v>
      </c>
    </row>
    <row r="450">
      <c r="A450" s="4">
        <f>IFERROR(__xludf.DUMMYFUNCTION("""COMPUTED_VALUE"""),44504.66666666667)</f>
        <v>44504.66667</v>
      </c>
      <c r="B450" s="5">
        <f>IFERROR(__xludf.DUMMYFUNCTION("""COMPUTED_VALUE"""),2690.0)</f>
        <v>2690</v>
      </c>
      <c r="C450" s="5">
        <f>IFERROR(__xludf.DUMMYFUNCTION("""COMPUTED_VALUE"""),2710.0)</f>
        <v>2710</v>
      </c>
      <c r="D450" s="5">
        <f>IFERROR(__xludf.DUMMYFUNCTION("""COMPUTED_VALUE"""),2650.0)</f>
        <v>2650</v>
      </c>
      <c r="E450" s="5">
        <f>IFERROR(__xludf.DUMMYFUNCTION("""COMPUTED_VALUE"""),2680.0)</f>
        <v>2680</v>
      </c>
      <c r="F450" s="5">
        <f>IFERROR(__xludf.DUMMYFUNCTION("""COMPUTED_VALUE"""),2.72672E7)</f>
        <v>27267200</v>
      </c>
      <c r="G450" s="5">
        <f t="shared" si="1"/>
        <v>70</v>
      </c>
    </row>
    <row r="451">
      <c r="A451" s="4">
        <f>IFERROR(__xludf.DUMMYFUNCTION("""COMPUTED_VALUE"""),44505.625)</f>
        <v>44505.625</v>
      </c>
      <c r="B451" s="5">
        <f>IFERROR(__xludf.DUMMYFUNCTION("""COMPUTED_VALUE"""),2680.0)</f>
        <v>2680</v>
      </c>
      <c r="C451" s="5">
        <f>IFERROR(__xludf.DUMMYFUNCTION("""COMPUTED_VALUE"""),2680.0)</f>
        <v>2680</v>
      </c>
      <c r="D451" s="5">
        <f>IFERROR(__xludf.DUMMYFUNCTION("""COMPUTED_VALUE"""),2630.0)</f>
        <v>2630</v>
      </c>
      <c r="E451" s="5">
        <f>IFERROR(__xludf.DUMMYFUNCTION("""COMPUTED_VALUE"""),2650.0)</f>
        <v>2650</v>
      </c>
      <c r="F451" s="5">
        <f>IFERROR(__xludf.DUMMYFUNCTION("""COMPUTED_VALUE"""),1.1416E7)</f>
        <v>11416000</v>
      </c>
      <c r="G451" s="5">
        <f t="shared" si="1"/>
        <v>50</v>
      </c>
    </row>
    <row r="452">
      <c r="A452" s="4">
        <f>IFERROR(__xludf.DUMMYFUNCTION("""COMPUTED_VALUE"""),44508.625)</f>
        <v>44508.625</v>
      </c>
      <c r="B452" s="5">
        <f>IFERROR(__xludf.DUMMYFUNCTION("""COMPUTED_VALUE"""),2670.0)</f>
        <v>2670</v>
      </c>
      <c r="C452" s="5">
        <f>IFERROR(__xludf.DUMMYFUNCTION("""COMPUTED_VALUE"""),2700.0)</f>
        <v>2700</v>
      </c>
      <c r="D452" s="5">
        <f>IFERROR(__xludf.DUMMYFUNCTION("""COMPUTED_VALUE"""),2670.0)</f>
        <v>2670</v>
      </c>
      <c r="E452" s="5">
        <f>IFERROR(__xludf.DUMMYFUNCTION("""COMPUTED_VALUE"""),2680.0)</f>
        <v>2680</v>
      </c>
      <c r="F452" s="5">
        <f>IFERROR(__xludf.DUMMYFUNCTION("""COMPUTED_VALUE"""),1.75168E7)</f>
        <v>17516800</v>
      </c>
      <c r="G452" s="5">
        <f t="shared" si="1"/>
        <v>50</v>
      </c>
    </row>
    <row r="453">
      <c r="A453" s="4">
        <f>IFERROR(__xludf.DUMMYFUNCTION("""COMPUTED_VALUE"""),44509.625)</f>
        <v>44509.625</v>
      </c>
      <c r="B453" s="5">
        <f>IFERROR(__xludf.DUMMYFUNCTION("""COMPUTED_VALUE"""),2720.0)</f>
        <v>2720</v>
      </c>
      <c r="C453" s="5">
        <f>IFERROR(__xludf.DUMMYFUNCTION("""COMPUTED_VALUE"""),2740.0)</f>
        <v>2740</v>
      </c>
      <c r="D453" s="5">
        <f>IFERROR(__xludf.DUMMYFUNCTION("""COMPUTED_VALUE"""),2680.0)</f>
        <v>2680</v>
      </c>
      <c r="E453" s="5">
        <f>IFERROR(__xludf.DUMMYFUNCTION("""COMPUTED_VALUE"""),2680.0)</f>
        <v>2680</v>
      </c>
      <c r="F453" s="5">
        <f>IFERROR(__xludf.DUMMYFUNCTION("""COMPUTED_VALUE"""),2.19914E7)</f>
        <v>21991400</v>
      </c>
      <c r="G453" s="5">
        <f t="shared" si="1"/>
        <v>60</v>
      </c>
    </row>
    <row r="454">
      <c r="A454" s="4">
        <f>IFERROR(__xludf.DUMMYFUNCTION("""COMPUTED_VALUE"""),44510.625)</f>
        <v>44510.625</v>
      </c>
      <c r="B454" s="5">
        <f>IFERROR(__xludf.DUMMYFUNCTION("""COMPUTED_VALUE"""),2690.0)</f>
        <v>2690</v>
      </c>
      <c r="C454" s="5">
        <f>IFERROR(__xludf.DUMMYFUNCTION("""COMPUTED_VALUE"""),2690.0)</f>
        <v>2690</v>
      </c>
      <c r="D454" s="5">
        <f>IFERROR(__xludf.DUMMYFUNCTION("""COMPUTED_VALUE"""),2650.0)</f>
        <v>2650</v>
      </c>
      <c r="E454" s="5">
        <f>IFERROR(__xludf.DUMMYFUNCTION("""COMPUTED_VALUE"""),2680.0)</f>
        <v>2680</v>
      </c>
      <c r="F454" s="5">
        <f>IFERROR(__xludf.DUMMYFUNCTION("""COMPUTED_VALUE"""),1.1782E7)</f>
        <v>11782000</v>
      </c>
      <c r="G454" s="5">
        <f t="shared" si="1"/>
        <v>40</v>
      </c>
    </row>
    <row r="455">
      <c r="A455" s="4">
        <f>IFERROR(__xludf.DUMMYFUNCTION("""COMPUTED_VALUE"""),44511.625)</f>
        <v>44511.625</v>
      </c>
      <c r="B455" s="5">
        <f>IFERROR(__xludf.DUMMYFUNCTION("""COMPUTED_VALUE"""),2670.0)</f>
        <v>2670</v>
      </c>
      <c r="C455" s="5">
        <f>IFERROR(__xludf.DUMMYFUNCTION("""COMPUTED_VALUE"""),2680.0)</f>
        <v>2680</v>
      </c>
      <c r="D455" s="5">
        <f>IFERROR(__xludf.DUMMYFUNCTION("""COMPUTED_VALUE"""),2640.0)</f>
        <v>2640</v>
      </c>
      <c r="E455" s="5">
        <f>IFERROR(__xludf.DUMMYFUNCTION("""COMPUTED_VALUE"""),2680.0)</f>
        <v>2680</v>
      </c>
      <c r="F455" s="5">
        <f>IFERROR(__xludf.DUMMYFUNCTION("""COMPUTED_VALUE"""),9624900.0)</f>
        <v>9624900</v>
      </c>
      <c r="G455" s="5">
        <f t="shared" si="1"/>
        <v>40</v>
      </c>
    </row>
    <row r="456">
      <c r="A456" s="4">
        <f>IFERROR(__xludf.DUMMYFUNCTION("""COMPUTED_VALUE"""),44512.625)</f>
        <v>44512.625</v>
      </c>
      <c r="B456" s="5">
        <f>IFERROR(__xludf.DUMMYFUNCTION("""COMPUTED_VALUE"""),2680.0)</f>
        <v>2680</v>
      </c>
      <c r="C456" s="5">
        <f>IFERROR(__xludf.DUMMYFUNCTION("""COMPUTED_VALUE"""),2700.0)</f>
        <v>2700</v>
      </c>
      <c r="D456" s="5">
        <f>IFERROR(__xludf.DUMMYFUNCTION("""COMPUTED_VALUE"""),2640.0)</f>
        <v>2640</v>
      </c>
      <c r="E456" s="5">
        <f>IFERROR(__xludf.DUMMYFUNCTION("""COMPUTED_VALUE"""),2660.0)</f>
        <v>2660</v>
      </c>
      <c r="F456" s="5">
        <f>IFERROR(__xludf.DUMMYFUNCTION("""COMPUTED_VALUE"""),1.35479E7)</f>
        <v>13547900</v>
      </c>
      <c r="G456" s="5">
        <f t="shared" si="1"/>
        <v>60</v>
      </c>
    </row>
    <row r="457">
      <c r="A457" s="4">
        <f>IFERROR(__xludf.DUMMYFUNCTION("""COMPUTED_VALUE"""),44515.625)</f>
        <v>44515.625</v>
      </c>
      <c r="B457" s="5">
        <f>IFERROR(__xludf.DUMMYFUNCTION("""COMPUTED_VALUE"""),2660.0)</f>
        <v>2660</v>
      </c>
      <c r="C457" s="5">
        <f>IFERROR(__xludf.DUMMYFUNCTION("""COMPUTED_VALUE"""),2660.0)</f>
        <v>2660</v>
      </c>
      <c r="D457" s="5">
        <f>IFERROR(__xludf.DUMMYFUNCTION("""COMPUTED_VALUE"""),2500.0)</f>
        <v>2500</v>
      </c>
      <c r="E457" s="5">
        <f>IFERROR(__xludf.DUMMYFUNCTION("""COMPUTED_VALUE"""),2510.0)</f>
        <v>2510</v>
      </c>
      <c r="F457" s="5">
        <f>IFERROR(__xludf.DUMMYFUNCTION("""COMPUTED_VALUE"""),5.89911E7)</f>
        <v>58991100</v>
      </c>
      <c r="G457" s="5">
        <f t="shared" si="1"/>
        <v>160</v>
      </c>
    </row>
    <row r="458">
      <c r="A458" s="4">
        <f>IFERROR(__xludf.DUMMYFUNCTION("""COMPUTED_VALUE"""),44516.625)</f>
        <v>44516.625</v>
      </c>
      <c r="B458" s="5">
        <f>IFERROR(__xludf.DUMMYFUNCTION("""COMPUTED_VALUE"""),2510.0)</f>
        <v>2510</v>
      </c>
      <c r="C458" s="5">
        <f>IFERROR(__xludf.DUMMYFUNCTION("""COMPUTED_VALUE"""),2550.0)</f>
        <v>2550</v>
      </c>
      <c r="D458" s="5">
        <f>IFERROR(__xludf.DUMMYFUNCTION("""COMPUTED_VALUE"""),2500.0)</f>
        <v>2500</v>
      </c>
      <c r="E458" s="5">
        <f>IFERROR(__xludf.DUMMYFUNCTION("""COMPUTED_VALUE"""),2510.0)</f>
        <v>2510</v>
      </c>
      <c r="F458" s="5">
        <f>IFERROR(__xludf.DUMMYFUNCTION("""COMPUTED_VALUE"""),2.28067E7)</f>
        <v>22806700</v>
      </c>
      <c r="G458" s="5">
        <f t="shared" si="1"/>
        <v>50</v>
      </c>
    </row>
    <row r="459">
      <c r="A459" s="4">
        <f>IFERROR(__xludf.DUMMYFUNCTION("""COMPUTED_VALUE"""),44517.625)</f>
        <v>44517.625</v>
      </c>
      <c r="B459" s="5">
        <f>IFERROR(__xludf.DUMMYFUNCTION("""COMPUTED_VALUE"""),2540.0)</f>
        <v>2540</v>
      </c>
      <c r="C459" s="5">
        <f>IFERROR(__xludf.DUMMYFUNCTION("""COMPUTED_VALUE"""),2560.0)</f>
        <v>2560</v>
      </c>
      <c r="D459" s="5">
        <f>IFERROR(__xludf.DUMMYFUNCTION("""COMPUTED_VALUE"""),2520.0)</f>
        <v>2520</v>
      </c>
      <c r="E459" s="5">
        <f>IFERROR(__xludf.DUMMYFUNCTION("""COMPUTED_VALUE"""),2550.0)</f>
        <v>2550</v>
      </c>
      <c r="F459" s="5">
        <f>IFERROR(__xludf.DUMMYFUNCTION("""COMPUTED_VALUE"""),2.45629E7)</f>
        <v>24562900</v>
      </c>
      <c r="G459" s="5">
        <f t="shared" si="1"/>
        <v>50</v>
      </c>
    </row>
    <row r="460">
      <c r="A460" s="4">
        <f>IFERROR(__xludf.DUMMYFUNCTION("""COMPUTED_VALUE"""),44518.625)</f>
        <v>44518.625</v>
      </c>
      <c r="B460" s="5">
        <f>IFERROR(__xludf.DUMMYFUNCTION("""COMPUTED_VALUE"""),2550.0)</f>
        <v>2550</v>
      </c>
      <c r="C460" s="5">
        <f>IFERROR(__xludf.DUMMYFUNCTION("""COMPUTED_VALUE"""),2550.0)</f>
        <v>2550</v>
      </c>
      <c r="D460" s="5">
        <f>IFERROR(__xludf.DUMMYFUNCTION("""COMPUTED_VALUE"""),2510.0)</f>
        <v>2510</v>
      </c>
      <c r="E460" s="5">
        <f>IFERROR(__xludf.DUMMYFUNCTION("""COMPUTED_VALUE"""),2540.0)</f>
        <v>2540</v>
      </c>
      <c r="F460" s="5">
        <f>IFERROR(__xludf.DUMMYFUNCTION("""COMPUTED_VALUE"""),1.0476E7)</f>
        <v>10476000</v>
      </c>
      <c r="G460" s="5">
        <f t="shared" si="1"/>
        <v>40</v>
      </c>
    </row>
    <row r="461">
      <c r="A461" s="4">
        <f>IFERROR(__xludf.DUMMYFUNCTION("""COMPUTED_VALUE"""),44519.625)</f>
        <v>44519.625</v>
      </c>
      <c r="B461" s="5">
        <f>IFERROR(__xludf.DUMMYFUNCTION("""COMPUTED_VALUE"""),2550.0)</f>
        <v>2550</v>
      </c>
      <c r="C461" s="5">
        <f>IFERROR(__xludf.DUMMYFUNCTION("""COMPUTED_VALUE"""),2620.0)</f>
        <v>2620</v>
      </c>
      <c r="D461" s="5">
        <f>IFERROR(__xludf.DUMMYFUNCTION("""COMPUTED_VALUE"""),2530.0)</f>
        <v>2530</v>
      </c>
      <c r="E461" s="5">
        <f>IFERROR(__xludf.DUMMYFUNCTION("""COMPUTED_VALUE"""),2620.0)</f>
        <v>2620</v>
      </c>
      <c r="F461" s="5">
        <f>IFERROR(__xludf.DUMMYFUNCTION("""COMPUTED_VALUE"""),2.92701E7)</f>
        <v>29270100</v>
      </c>
      <c r="G461" s="5">
        <f t="shared" si="1"/>
        <v>90</v>
      </c>
    </row>
    <row r="462">
      <c r="A462" s="4">
        <f>IFERROR(__xludf.DUMMYFUNCTION("""COMPUTED_VALUE"""),44522.625)</f>
        <v>44522.625</v>
      </c>
      <c r="B462" s="5">
        <f>IFERROR(__xludf.DUMMYFUNCTION("""COMPUTED_VALUE"""),2620.0)</f>
        <v>2620</v>
      </c>
      <c r="C462" s="5">
        <f>IFERROR(__xludf.DUMMYFUNCTION("""COMPUTED_VALUE"""),2630.0)</f>
        <v>2630</v>
      </c>
      <c r="D462" s="5">
        <f>IFERROR(__xludf.DUMMYFUNCTION("""COMPUTED_VALUE"""),2560.0)</f>
        <v>2560</v>
      </c>
      <c r="E462" s="5">
        <f>IFERROR(__xludf.DUMMYFUNCTION("""COMPUTED_VALUE"""),2600.0)</f>
        <v>2600</v>
      </c>
      <c r="F462" s="5">
        <f>IFERROR(__xludf.DUMMYFUNCTION("""COMPUTED_VALUE"""),1.71431E7)</f>
        <v>17143100</v>
      </c>
      <c r="G462" s="5">
        <f t="shared" si="1"/>
        <v>70</v>
      </c>
    </row>
    <row r="463">
      <c r="A463" s="4">
        <f>IFERROR(__xludf.DUMMYFUNCTION("""COMPUTED_VALUE"""),44523.625)</f>
        <v>44523.625</v>
      </c>
      <c r="B463" s="5">
        <f>IFERROR(__xludf.DUMMYFUNCTION("""COMPUTED_VALUE"""),2670.0)</f>
        <v>2670</v>
      </c>
      <c r="C463" s="5">
        <f>IFERROR(__xludf.DUMMYFUNCTION("""COMPUTED_VALUE"""),2690.0)</f>
        <v>2690</v>
      </c>
      <c r="D463" s="5">
        <f>IFERROR(__xludf.DUMMYFUNCTION("""COMPUTED_VALUE"""),2620.0)</f>
        <v>2620</v>
      </c>
      <c r="E463" s="5">
        <f>IFERROR(__xludf.DUMMYFUNCTION("""COMPUTED_VALUE"""),2640.0)</f>
        <v>2640</v>
      </c>
      <c r="F463" s="5">
        <f>IFERROR(__xludf.DUMMYFUNCTION("""COMPUTED_VALUE"""),2.13979E7)</f>
        <v>21397900</v>
      </c>
      <c r="G463" s="5">
        <f t="shared" si="1"/>
        <v>90</v>
      </c>
    </row>
    <row r="464">
      <c r="A464" s="4">
        <f>IFERROR(__xludf.DUMMYFUNCTION("""COMPUTED_VALUE"""),44524.625)</f>
        <v>44524.625</v>
      </c>
      <c r="B464" s="5">
        <f>IFERROR(__xludf.DUMMYFUNCTION("""COMPUTED_VALUE"""),2680.0)</f>
        <v>2680</v>
      </c>
      <c r="C464" s="5">
        <f>IFERROR(__xludf.DUMMYFUNCTION("""COMPUTED_VALUE"""),2690.0)</f>
        <v>2690</v>
      </c>
      <c r="D464" s="5">
        <f>IFERROR(__xludf.DUMMYFUNCTION("""COMPUTED_VALUE"""),2650.0)</f>
        <v>2650</v>
      </c>
      <c r="E464" s="5">
        <f>IFERROR(__xludf.DUMMYFUNCTION("""COMPUTED_VALUE"""),2660.0)</f>
        <v>2660</v>
      </c>
      <c r="F464" s="5">
        <f>IFERROR(__xludf.DUMMYFUNCTION("""COMPUTED_VALUE"""),1.56995E7)</f>
        <v>15699500</v>
      </c>
      <c r="G464" s="5">
        <f t="shared" si="1"/>
        <v>50</v>
      </c>
    </row>
    <row r="465">
      <c r="A465" s="4">
        <f>IFERROR(__xludf.DUMMYFUNCTION("""COMPUTED_VALUE"""),44525.625)</f>
        <v>44525.625</v>
      </c>
      <c r="B465" s="5">
        <f>IFERROR(__xludf.DUMMYFUNCTION("""COMPUTED_VALUE"""),2690.0)</f>
        <v>2690</v>
      </c>
      <c r="C465" s="5">
        <f>IFERROR(__xludf.DUMMYFUNCTION("""COMPUTED_VALUE"""),2710.0)</f>
        <v>2710</v>
      </c>
      <c r="D465" s="5">
        <f>IFERROR(__xludf.DUMMYFUNCTION("""COMPUTED_VALUE"""),2650.0)</f>
        <v>2650</v>
      </c>
      <c r="E465" s="5">
        <f>IFERROR(__xludf.DUMMYFUNCTION("""COMPUTED_VALUE"""),2700.0)</f>
        <v>2700</v>
      </c>
      <c r="F465" s="5">
        <f>IFERROR(__xludf.DUMMYFUNCTION("""COMPUTED_VALUE"""),2.17259E7)</f>
        <v>21725900</v>
      </c>
      <c r="G465" s="5">
        <f t="shared" si="1"/>
        <v>60</v>
      </c>
    </row>
    <row r="466">
      <c r="A466" s="4">
        <f>IFERROR(__xludf.DUMMYFUNCTION("""COMPUTED_VALUE"""),44526.625)</f>
        <v>44526.625</v>
      </c>
      <c r="B466" s="5">
        <f>IFERROR(__xludf.DUMMYFUNCTION("""COMPUTED_VALUE"""),2690.0)</f>
        <v>2690</v>
      </c>
      <c r="C466" s="5">
        <f>IFERROR(__xludf.DUMMYFUNCTION("""COMPUTED_VALUE"""),2690.0)</f>
        <v>2690</v>
      </c>
      <c r="D466" s="5">
        <f>IFERROR(__xludf.DUMMYFUNCTION("""COMPUTED_VALUE"""),2580.0)</f>
        <v>2580</v>
      </c>
      <c r="E466" s="5">
        <f>IFERROR(__xludf.DUMMYFUNCTION("""COMPUTED_VALUE"""),2600.0)</f>
        <v>2600</v>
      </c>
      <c r="F466" s="5">
        <f>IFERROR(__xludf.DUMMYFUNCTION("""COMPUTED_VALUE"""),2.30769E7)</f>
        <v>23076900</v>
      </c>
      <c r="G466" s="5">
        <f t="shared" si="1"/>
        <v>120</v>
      </c>
    </row>
    <row r="467">
      <c r="A467" s="4">
        <f>IFERROR(__xludf.DUMMYFUNCTION("""COMPUTED_VALUE"""),44529.625)</f>
        <v>44529.625</v>
      </c>
      <c r="B467" s="5">
        <f>IFERROR(__xludf.DUMMYFUNCTION("""COMPUTED_VALUE"""),2520.0)</f>
        <v>2520</v>
      </c>
      <c r="C467" s="5">
        <f>IFERROR(__xludf.DUMMYFUNCTION("""COMPUTED_VALUE"""),2670.0)</f>
        <v>2670</v>
      </c>
      <c r="D467" s="5">
        <f>IFERROR(__xludf.DUMMYFUNCTION("""COMPUTED_VALUE"""),2520.0)</f>
        <v>2520</v>
      </c>
      <c r="E467" s="5">
        <f>IFERROR(__xludf.DUMMYFUNCTION("""COMPUTED_VALUE"""),2660.0)</f>
        <v>2660</v>
      </c>
      <c r="F467" s="5">
        <f>IFERROR(__xludf.DUMMYFUNCTION("""COMPUTED_VALUE"""),2.60577E7)</f>
        <v>26057700</v>
      </c>
      <c r="G467" s="5">
        <f t="shared" si="1"/>
        <v>150</v>
      </c>
    </row>
    <row r="468">
      <c r="A468" s="4">
        <f>IFERROR(__xludf.DUMMYFUNCTION("""COMPUTED_VALUE"""),44530.625)</f>
        <v>44530.625</v>
      </c>
      <c r="B468" s="5">
        <f>IFERROR(__xludf.DUMMYFUNCTION("""COMPUTED_VALUE"""),2610.0)</f>
        <v>2610</v>
      </c>
      <c r="C468" s="5">
        <f>IFERROR(__xludf.DUMMYFUNCTION("""COMPUTED_VALUE"""),2640.0)</f>
        <v>2640</v>
      </c>
      <c r="D468" s="5">
        <f>IFERROR(__xludf.DUMMYFUNCTION("""COMPUTED_VALUE"""),2580.0)</f>
        <v>2580</v>
      </c>
      <c r="E468" s="5">
        <f>IFERROR(__xludf.DUMMYFUNCTION("""COMPUTED_VALUE"""),2600.0)</f>
        <v>2600</v>
      </c>
      <c r="F468" s="5">
        <f>IFERROR(__xludf.DUMMYFUNCTION("""COMPUTED_VALUE"""),2.96103E7)</f>
        <v>29610300</v>
      </c>
      <c r="G468" s="5">
        <f t="shared" si="1"/>
        <v>80</v>
      </c>
    </row>
    <row r="469">
      <c r="A469" s="4">
        <f>IFERROR(__xludf.DUMMYFUNCTION("""COMPUTED_VALUE"""),44531.66666666667)</f>
        <v>44531.66667</v>
      </c>
      <c r="B469" s="5">
        <f>IFERROR(__xludf.DUMMYFUNCTION("""COMPUTED_VALUE"""),2580.0)</f>
        <v>2580</v>
      </c>
      <c r="C469" s="5">
        <f>IFERROR(__xludf.DUMMYFUNCTION("""COMPUTED_VALUE"""),2650.0)</f>
        <v>2650</v>
      </c>
      <c r="D469" s="5">
        <f>IFERROR(__xludf.DUMMYFUNCTION("""COMPUTED_VALUE"""),2580.0)</f>
        <v>2580</v>
      </c>
      <c r="E469" s="5">
        <f>IFERROR(__xludf.DUMMYFUNCTION("""COMPUTED_VALUE"""),2600.0)</f>
        <v>2600</v>
      </c>
      <c r="F469" s="5">
        <f>IFERROR(__xludf.DUMMYFUNCTION("""COMPUTED_VALUE"""),1.98439E7)</f>
        <v>19843900</v>
      </c>
      <c r="G469" s="5">
        <f t="shared" si="1"/>
        <v>70</v>
      </c>
    </row>
    <row r="470">
      <c r="A470" s="4">
        <f>IFERROR(__xludf.DUMMYFUNCTION("""COMPUTED_VALUE"""),44532.66666666667)</f>
        <v>44532.66667</v>
      </c>
      <c r="B470" s="5">
        <f>IFERROR(__xludf.DUMMYFUNCTION("""COMPUTED_VALUE"""),2600.0)</f>
        <v>2600</v>
      </c>
      <c r="C470" s="5">
        <f>IFERROR(__xludf.DUMMYFUNCTION("""COMPUTED_VALUE"""),2760.0)</f>
        <v>2760</v>
      </c>
      <c r="D470" s="5">
        <f>IFERROR(__xludf.DUMMYFUNCTION("""COMPUTED_VALUE"""),2590.0)</f>
        <v>2590</v>
      </c>
      <c r="E470" s="5">
        <f>IFERROR(__xludf.DUMMYFUNCTION("""COMPUTED_VALUE"""),2740.0)</f>
        <v>2740</v>
      </c>
      <c r="F470" s="5">
        <f>IFERROR(__xludf.DUMMYFUNCTION("""COMPUTED_VALUE"""),5.33963E7)</f>
        <v>53396300</v>
      </c>
      <c r="G470" s="5">
        <f t="shared" si="1"/>
        <v>170</v>
      </c>
    </row>
    <row r="471">
      <c r="A471" s="4">
        <f>IFERROR(__xludf.DUMMYFUNCTION("""COMPUTED_VALUE"""),44533.66666666667)</f>
        <v>44533.66667</v>
      </c>
      <c r="B471" s="5">
        <f>IFERROR(__xludf.DUMMYFUNCTION("""COMPUTED_VALUE"""),2740.0)</f>
        <v>2740</v>
      </c>
      <c r="C471" s="5">
        <f>IFERROR(__xludf.DUMMYFUNCTION("""COMPUTED_VALUE"""),2750.0)</f>
        <v>2750</v>
      </c>
      <c r="D471" s="5">
        <f>IFERROR(__xludf.DUMMYFUNCTION("""COMPUTED_VALUE"""),2690.0)</f>
        <v>2690</v>
      </c>
      <c r="E471" s="5">
        <f>IFERROR(__xludf.DUMMYFUNCTION("""COMPUTED_VALUE"""),2710.0)</f>
        <v>2710</v>
      </c>
      <c r="F471" s="5">
        <f>IFERROR(__xludf.DUMMYFUNCTION("""COMPUTED_VALUE"""),1.52913E7)</f>
        <v>15291300</v>
      </c>
      <c r="G471" s="5">
        <f t="shared" si="1"/>
        <v>60</v>
      </c>
    </row>
    <row r="472">
      <c r="A472" s="4">
        <f>IFERROR(__xludf.DUMMYFUNCTION("""COMPUTED_VALUE"""),44536.66666666667)</f>
        <v>44536.66667</v>
      </c>
      <c r="B472" s="5">
        <f>IFERROR(__xludf.DUMMYFUNCTION("""COMPUTED_VALUE"""),2710.0)</f>
        <v>2710</v>
      </c>
      <c r="C472" s="5">
        <f>IFERROR(__xludf.DUMMYFUNCTION("""COMPUTED_VALUE"""),2750.0)</f>
        <v>2750</v>
      </c>
      <c r="D472" s="5">
        <f>IFERROR(__xludf.DUMMYFUNCTION("""COMPUTED_VALUE"""),2690.0)</f>
        <v>2690</v>
      </c>
      <c r="E472" s="5">
        <f>IFERROR(__xludf.DUMMYFUNCTION("""COMPUTED_VALUE"""),2750.0)</f>
        <v>2750</v>
      </c>
      <c r="F472" s="5">
        <f>IFERROR(__xludf.DUMMYFUNCTION("""COMPUTED_VALUE"""),2.23817E7)</f>
        <v>22381700</v>
      </c>
      <c r="G472" s="5">
        <f t="shared" si="1"/>
        <v>60</v>
      </c>
    </row>
    <row r="473">
      <c r="A473" s="4">
        <f>IFERROR(__xludf.DUMMYFUNCTION("""COMPUTED_VALUE"""),44537.66666666667)</f>
        <v>44537.66667</v>
      </c>
      <c r="B473" s="5">
        <f>IFERROR(__xludf.DUMMYFUNCTION("""COMPUTED_VALUE"""),2770.0)</f>
        <v>2770</v>
      </c>
      <c r="C473" s="5">
        <f>IFERROR(__xludf.DUMMYFUNCTION("""COMPUTED_VALUE"""),2800.0)</f>
        <v>2800</v>
      </c>
      <c r="D473" s="5">
        <f>IFERROR(__xludf.DUMMYFUNCTION("""COMPUTED_VALUE"""),2710.0)</f>
        <v>2710</v>
      </c>
      <c r="E473" s="5">
        <f>IFERROR(__xludf.DUMMYFUNCTION("""COMPUTED_VALUE"""),2750.0)</f>
        <v>2750</v>
      </c>
      <c r="F473" s="5">
        <f>IFERROR(__xludf.DUMMYFUNCTION("""COMPUTED_VALUE"""),2.16478E7)</f>
        <v>21647800</v>
      </c>
      <c r="G473" s="5">
        <f t="shared" si="1"/>
        <v>90</v>
      </c>
    </row>
    <row r="474">
      <c r="A474" s="4">
        <f>IFERROR(__xludf.DUMMYFUNCTION("""COMPUTED_VALUE"""),44538.66666666667)</f>
        <v>44538.66667</v>
      </c>
      <c r="B474" s="5">
        <f>IFERROR(__xludf.DUMMYFUNCTION("""COMPUTED_VALUE"""),2750.0)</f>
        <v>2750</v>
      </c>
      <c r="C474" s="5">
        <f>IFERROR(__xludf.DUMMYFUNCTION("""COMPUTED_VALUE"""),2760.0)</f>
        <v>2760</v>
      </c>
      <c r="D474" s="5">
        <f>IFERROR(__xludf.DUMMYFUNCTION("""COMPUTED_VALUE"""),2710.0)</f>
        <v>2710</v>
      </c>
      <c r="E474" s="5">
        <f>IFERROR(__xludf.DUMMYFUNCTION("""COMPUTED_VALUE"""),2720.0)</f>
        <v>2720</v>
      </c>
      <c r="F474" s="5">
        <f>IFERROR(__xludf.DUMMYFUNCTION("""COMPUTED_VALUE"""),1.50379E7)</f>
        <v>15037900</v>
      </c>
      <c r="G474" s="5">
        <f t="shared" si="1"/>
        <v>50</v>
      </c>
    </row>
    <row r="475">
      <c r="A475" s="4">
        <f>IFERROR(__xludf.DUMMYFUNCTION("""COMPUTED_VALUE"""),44539.66666666667)</f>
        <v>44539.66667</v>
      </c>
      <c r="B475" s="5">
        <f>IFERROR(__xludf.DUMMYFUNCTION("""COMPUTED_VALUE"""),2740.0)</f>
        <v>2740</v>
      </c>
      <c r="C475" s="5">
        <f>IFERROR(__xludf.DUMMYFUNCTION("""COMPUTED_VALUE"""),2750.0)</f>
        <v>2750</v>
      </c>
      <c r="D475" s="5">
        <f>IFERROR(__xludf.DUMMYFUNCTION("""COMPUTED_VALUE"""),2710.0)</f>
        <v>2710</v>
      </c>
      <c r="E475" s="5">
        <f>IFERROR(__xludf.DUMMYFUNCTION("""COMPUTED_VALUE"""),2720.0)</f>
        <v>2720</v>
      </c>
      <c r="F475" s="5">
        <f>IFERROR(__xludf.DUMMYFUNCTION("""COMPUTED_VALUE"""),1.56406E7)</f>
        <v>15640600</v>
      </c>
      <c r="G475" s="5">
        <f t="shared" si="1"/>
        <v>40</v>
      </c>
    </row>
    <row r="476">
      <c r="A476" s="4">
        <f>IFERROR(__xludf.DUMMYFUNCTION("""COMPUTED_VALUE"""),44540.66666666667)</f>
        <v>44540.66667</v>
      </c>
      <c r="B476" s="5">
        <f>IFERROR(__xludf.DUMMYFUNCTION("""COMPUTED_VALUE"""),2720.0)</f>
        <v>2720</v>
      </c>
      <c r="C476" s="5">
        <f>IFERROR(__xludf.DUMMYFUNCTION("""COMPUTED_VALUE"""),2740.0)</f>
        <v>2740</v>
      </c>
      <c r="D476" s="5">
        <f>IFERROR(__xludf.DUMMYFUNCTION("""COMPUTED_VALUE"""),2650.0)</f>
        <v>2650</v>
      </c>
      <c r="E476" s="5">
        <f>IFERROR(__xludf.DUMMYFUNCTION("""COMPUTED_VALUE"""),2740.0)</f>
        <v>2740</v>
      </c>
      <c r="F476" s="5">
        <f>IFERROR(__xludf.DUMMYFUNCTION("""COMPUTED_VALUE"""),3.0834E7)</f>
        <v>30834000</v>
      </c>
      <c r="G476" s="5">
        <f t="shared" si="1"/>
        <v>90</v>
      </c>
    </row>
    <row r="477">
      <c r="A477" s="4">
        <f>IFERROR(__xludf.DUMMYFUNCTION("""COMPUTED_VALUE"""),44543.66666666667)</f>
        <v>44543.66667</v>
      </c>
      <c r="B477" s="5">
        <f>IFERROR(__xludf.DUMMYFUNCTION("""COMPUTED_VALUE"""),2750.0)</f>
        <v>2750</v>
      </c>
      <c r="C477" s="5">
        <f>IFERROR(__xludf.DUMMYFUNCTION("""COMPUTED_VALUE"""),2750.0)</f>
        <v>2750</v>
      </c>
      <c r="D477" s="5">
        <f>IFERROR(__xludf.DUMMYFUNCTION("""COMPUTED_VALUE"""),2710.0)</f>
        <v>2710</v>
      </c>
      <c r="E477" s="5">
        <f>IFERROR(__xludf.DUMMYFUNCTION("""COMPUTED_VALUE"""),2710.0)</f>
        <v>2710</v>
      </c>
      <c r="F477" s="5">
        <f>IFERROR(__xludf.DUMMYFUNCTION("""COMPUTED_VALUE"""),1.90586E7)</f>
        <v>19058600</v>
      </c>
      <c r="G477" s="5">
        <f t="shared" si="1"/>
        <v>40</v>
      </c>
    </row>
    <row r="478">
      <c r="A478" s="4">
        <f>IFERROR(__xludf.DUMMYFUNCTION("""COMPUTED_VALUE"""),44544.66666666667)</f>
        <v>44544.66667</v>
      </c>
      <c r="B478" s="5">
        <f>IFERROR(__xludf.DUMMYFUNCTION("""COMPUTED_VALUE"""),2710.0)</f>
        <v>2710</v>
      </c>
      <c r="C478" s="5">
        <f>IFERROR(__xludf.DUMMYFUNCTION("""COMPUTED_VALUE"""),2730.0)</f>
        <v>2730</v>
      </c>
      <c r="D478" s="5">
        <f>IFERROR(__xludf.DUMMYFUNCTION("""COMPUTED_VALUE"""),2670.0)</f>
        <v>2670</v>
      </c>
      <c r="E478" s="5">
        <f>IFERROR(__xludf.DUMMYFUNCTION("""COMPUTED_VALUE"""),2730.0)</f>
        <v>2730</v>
      </c>
      <c r="F478" s="5">
        <f>IFERROR(__xludf.DUMMYFUNCTION("""COMPUTED_VALUE"""),1.65201E7)</f>
        <v>16520100</v>
      </c>
      <c r="G478" s="5">
        <f t="shared" si="1"/>
        <v>60</v>
      </c>
    </row>
    <row r="479">
      <c r="A479" s="4">
        <f>IFERROR(__xludf.DUMMYFUNCTION("""COMPUTED_VALUE"""),44545.66666666667)</f>
        <v>44545.66667</v>
      </c>
      <c r="B479" s="5">
        <f>IFERROR(__xludf.DUMMYFUNCTION("""COMPUTED_VALUE"""),2730.0)</f>
        <v>2730</v>
      </c>
      <c r="C479" s="5">
        <f>IFERROR(__xludf.DUMMYFUNCTION("""COMPUTED_VALUE"""),2770.0)</f>
        <v>2770</v>
      </c>
      <c r="D479" s="5">
        <f>IFERROR(__xludf.DUMMYFUNCTION("""COMPUTED_VALUE"""),2700.0)</f>
        <v>2700</v>
      </c>
      <c r="E479" s="5">
        <f>IFERROR(__xludf.DUMMYFUNCTION("""COMPUTED_VALUE"""),2700.0)</f>
        <v>2700</v>
      </c>
      <c r="F479" s="5">
        <f>IFERROR(__xludf.DUMMYFUNCTION("""COMPUTED_VALUE"""),3.45636E7)</f>
        <v>34563600</v>
      </c>
      <c r="G479" s="5">
        <f t="shared" si="1"/>
        <v>70</v>
      </c>
    </row>
    <row r="480">
      <c r="A480" s="4">
        <f>IFERROR(__xludf.DUMMYFUNCTION("""COMPUTED_VALUE"""),44546.66666666667)</f>
        <v>44546.66667</v>
      </c>
      <c r="B480" s="5">
        <f>IFERROR(__xludf.DUMMYFUNCTION("""COMPUTED_VALUE"""),2730.0)</f>
        <v>2730</v>
      </c>
      <c r="C480" s="5">
        <f>IFERROR(__xludf.DUMMYFUNCTION("""COMPUTED_VALUE"""),2730.0)</f>
        <v>2730</v>
      </c>
      <c r="D480" s="5">
        <f>IFERROR(__xludf.DUMMYFUNCTION("""COMPUTED_VALUE"""),2660.0)</f>
        <v>2660</v>
      </c>
      <c r="E480" s="5">
        <f>IFERROR(__xludf.DUMMYFUNCTION("""COMPUTED_VALUE"""),2680.0)</f>
        <v>2680</v>
      </c>
      <c r="F480" s="5">
        <f>IFERROR(__xludf.DUMMYFUNCTION("""COMPUTED_VALUE"""),2.36014E7)</f>
        <v>23601400</v>
      </c>
      <c r="G480" s="5">
        <f t="shared" si="1"/>
        <v>70</v>
      </c>
    </row>
    <row r="481">
      <c r="A481" s="4">
        <f>IFERROR(__xludf.DUMMYFUNCTION("""COMPUTED_VALUE"""),44547.66666666667)</f>
        <v>44547.66667</v>
      </c>
      <c r="B481" s="5">
        <f>IFERROR(__xludf.DUMMYFUNCTION("""COMPUTED_VALUE"""),2700.0)</f>
        <v>2700</v>
      </c>
      <c r="C481" s="5">
        <f>IFERROR(__xludf.DUMMYFUNCTION("""COMPUTED_VALUE"""),2730.0)</f>
        <v>2730</v>
      </c>
      <c r="D481" s="5">
        <f>IFERROR(__xludf.DUMMYFUNCTION("""COMPUTED_VALUE"""),2660.0)</f>
        <v>2660</v>
      </c>
      <c r="E481" s="5">
        <f>IFERROR(__xludf.DUMMYFUNCTION("""COMPUTED_VALUE"""),2730.0)</f>
        <v>2730</v>
      </c>
      <c r="F481" s="5">
        <f>IFERROR(__xludf.DUMMYFUNCTION("""COMPUTED_VALUE"""),1.70013E7)</f>
        <v>17001300</v>
      </c>
      <c r="G481" s="5">
        <f t="shared" si="1"/>
        <v>70</v>
      </c>
    </row>
    <row r="482">
      <c r="A482" s="4">
        <f>IFERROR(__xludf.DUMMYFUNCTION("""COMPUTED_VALUE"""),44550.66666666667)</f>
        <v>44550.66667</v>
      </c>
      <c r="B482" s="5">
        <f>IFERROR(__xludf.DUMMYFUNCTION("""COMPUTED_VALUE"""),2690.0)</f>
        <v>2690</v>
      </c>
      <c r="C482" s="5">
        <f>IFERROR(__xludf.DUMMYFUNCTION("""COMPUTED_VALUE"""),2700.0)</f>
        <v>2700</v>
      </c>
      <c r="D482" s="5">
        <f>IFERROR(__xludf.DUMMYFUNCTION("""COMPUTED_VALUE"""),2650.0)</f>
        <v>2650</v>
      </c>
      <c r="E482" s="5">
        <f>IFERROR(__xludf.DUMMYFUNCTION("""COMPUTED_VALUE"""),2650.0)</f>
        <v>2650</v>
      </c>
      <c r="F482" s="5">
        <f>IFERROR(__xludf.DUMMYFUNCTION("""COMPUTED_VALUE"""),2.20053E7)</f>
        <v>22005300</v>
      </c>
      <c r="G482" s="5">
        <f t="shared" si="1"/>
        <v>80</v>
      </c>
    </row>
    <row r="483">
      <c r="A483" s="4">
        <f>IFERROR(__xludf.DUMMYFUNCTION("""COMPUTED_VALUE"""),44551.66666666667)</f>
        <v>44551.66667</v>
      </c>
      <c r="B483" s="5">
        <f>IFERROR(__xludf.DUMMYFUNCTION("""COMPUTED_VALUE"""),2660.0)</f>
        <v>2660</v>
      </c>
      <c r="C483" s="5">
        <f>IFERROR(__xludf.DUMMYFUNCTION("""COMPUTED_VALUE"""),2690.0)</f>
        <v>2690</v>
      </c>
      <c r="D483" s="5">
        <f>IFERROR(__xludf.DUMMYFUNCTION("""COMPUTED_VALUE"""),2650.0)</f>
        <v>2650</v>
      </c>
      <c r="E483" s="5">
        <f>IFERROR(__xludf.DUMMYFUNCTION("""COMPUTED_VALUE"""),2690.0)</f>
        <v>2690</v>
      </c>
      <c r="F483" s="5">
        <f>IFERROR(__xludf.DUMMYFUNCTION("""COMPUTED_VALUE"""),1.24437E7)</f>
        <v>12443700</v>
      </c>
      <c r="G483" s="5">
        <f t="shared" si="1"/>
        <v>40</v>
      </c>
    </row>
    <row r="484">
      <c r="A484" s="4">
        <f>IFERROR(__xludf.DUMMYFUNCTION("""COMPUTED_VALUE"""),44552.66666666667)</f>
        <v>44552.66667</v>
      </c>
      <c r="B484" s="5">
        <f>IFERROR(__xludf.DUMMYFUNCTION("""COMPUTED_VALUE"""),2700.0)</f>
        <v>2700</v>
      </c>
      <c r="C484" s="5">
        <f>IFERROR(__xludf.DUMMYFUNCTION("""COMPUTED_VALUE"""),2720.0)</f>
        <v>2720</v>
      </c>
      <c r="D484" s="5">
        <f>IFERROR(__xludf.DUMMYFUNCTION("""COMPUTED_VALUE"""),2690.0)</f>
        <v>2690</v>
      </c>
      <c r="E484" s="5">
        <f>IFERROR(__xludf.DUMMYFUNCTION("""COMPUTED_VALUE"""),2700.0)</f>
        <v>2700</v>
      </c>
      <c r="F484" s="5">
        <f>IFERROR(__xludf.DUMMYFUNCTION("""COMPUTED_VALUE"""),1.80165E7)</f>
        <v>18016500</v>
      </c>
      <c r="G484" s="5">
        <f t="shared" si="1"/>
        <v>30</v>
      </c>
    </row>
    <row r="485">
      <c r="A485" s="4">
        <f>IFERROR(__xludf.DUMMYFUNCTION("""COMPUTED_VALUE"""),44553.66666666667)</f>
        <v>44553.66667</v>
      </c>
      <c r="B485" s="5">
        <f>IFERROR(__xludf.DUMMYFUNCTION("""COMPUTED_VALUE"""),2710.0)</f>
        <v>2710</v>
      </c>
      <c r="C485" s="5">
        <f>IFERROR(__xludf.DUMMYFUNCTION("""COMPUTED_VALUE"""),2720.0)</f>
        <v>2720</v>
      </c>
      <c r="D485" s="5">
        <f>IFERROR(__xludf.DUMMYFUNCTION("""COMPUTED_VALUE"""),2680.0)</f>
        <v>2680</v>
      </c>
      <c r="E485" s="5">
        <f>IFERROR(__xludf.DUMMYFUNCTION("""COMPUTED_VALUE"""),2700.0)</f>
        <v>2700</v>
      </c>
      <c r="F485" s="5">
        <f>IFERROR(__xludf.DUMMYFUNCTION("""COMPUTED_VALUE"""),9183800.0)</f>
        <v>9183800</v>
      </c>
      <c r="G485" s="5">
        <f t="shared" si="1"/>
        <v>40</v>
      </c>
    </row>
    <row r="486">
      <c r="A486" s="4">
        <f>IFERROR(__xludf.DUMMYFUNCTION("""COMPUTED_VALUE"""),44554.66666666667)</f>
        <v>44554.66667</v>
      </c>
      <c r="B486" s="5">
        <f>IFERROR(__xludf.DUMMYFUNCTION("""COMPUTED_VALUE"""),2700.0)</f>
        <v>2700</v>
      </c>
      <c r="C486" s="5">
        <f>IFERROR(__xludf.DUMMYFUNCTION("""COMPUTED_VALUE"""),2740.0)</f>
        <v>2740</v>
      </c>
      <c r="D486" s="5">
        <f>IFERROR(__xludf.DUMMYFUNCTION("""COMPUTED_VALUE"""),2670.0)</f>
        <v>2670</v>
      </c>
      <c r="E486" s="5">
        <f>IFERROR(__xludf.DUMMYFUNCTION("""COMPUTED_VALUE"""),2710.0)</f>
        <v>2710</v>
      </c>
      <c r="F486" s="5">
        <f>IFERROR(__xludf.DUMMYFUNCTION("""COMPUTED_VALUE"""),1.54864E7)</f>
        <v>15486400</v>
      </c>
      <c r="G486" s="5">
        <f t="shared" si="1"/>
        <v>70</v>
      </c>
    </row>
    <row r="487">
      <c r="A487" s="4">
        <f>IFERROR(__xludf.DUMMYFUNCTION("""COMPUTED_VALUE"""),44557.66666666667)</f>
        <v>44557.66667</v>
      </c>
      <c r="B487" s="5">
        <f>IFERROR(__xludf.DUMMYFUNCTION("""COMPUTED_VALUE"""),2730.0)</f>
        <v>2730</v>
      </c>
      <c r="C487" s="5">
        <f>IFERROR(__xludf.DUMMYFUNCTION("""COMPUTED_VALUE"""),2730.0)</f>
        <v>2730</v>
      </c>
      <c r="D487" s="5">
        <f>IFERROR(__xludf.DUMMYFUNCTION("""COMPUTED_VALUE"""),2690.0)</f>
        <v>2690</v>
      </c>
      <c r="E487" s="5">
        <f>IFERROR(__xludf.DUMMYFUNCTION("""COMPUTED_VALUE"""),2700.0)</f>
        <v>2700</v>
      </c>
      <c r="F487" s="5">
        <f>IFERROR(__xludf.DUMMYFUNCTION("""COMPUTED_VALUE"""),6821500.0)</f>
        <v>6821500</v>
      </c>
      <c r="G487" s="5">
        <f t="shared" si="1"/>
        <v>40</v>
      </c>
    </row>
    <row r="488">
      <c r="A488" s="4">
        <f>IFERROR(__xludf.DUMMYFUNCTION("""COMPUTED_VALUE"""),44558.66666666667)</f>
        <v>44558.66667</v>
      </c>
      <c r="B488" s="5">
        <f>IFERROR(__xludf.DUMMYFUNCTION("""COMPUTED_VALUE"""),2710.0)</f>
        <v>2710</v>
      </c>
      <c r="C488" s="5">
        <f>IFERROR(__xludf.DUMMYFUNCTION("""COMPUTED_VALUE"""),2830.0)</f>
        <v>2830</v>
      </c>
      <c r="D488" s="5">
        <f>IFERROR(__xludf.DUMMYFUNCTION("""COMPUTED_VALUE"""),2700.0)</f>
        <v>2700</v>
      </c>
      <c r="E488" s="5">
        <f>IFERROR(__xludf.DUMMYFUNCTION("""COMPUTED_VALUE"""),2800.0)</f>
        <v>2800</v>
      </c>
      <c r="F488" s="5">
        <f>IFERROR(__xludf.DUMMYFUNCTION("""COMPUTED_VALUE"""),1.080727E8)</f>
        <v>108072700</v>
      </c>
      <c r="G488" s="5">
        <f t="shared" si="1"/>
        <v>130</v>
      </c>
    </row>
    <row r="489">
      <c r="A489" s="4">
        <f>IFERROR(__xludf.DUMMYFUNCTION("""COMPUTED_VALUE"""),44559.66666666667)</f>
        <v>44559.66667</v>
      </c>
      <c r="B489" s="5">
        <f>IFERROR(__xludf.DUMMYFUNCTION("""COMPUTED_VALUE"""),2800.0)</f>
        <v>2800</v>
      </c>
      <c r="C489" s="5">
        <f>IFERROR(__xludf.DUMMYFUNCTION("""COMPUTED_VALUE"""),2820.0)</f>
        <v>2820</v>
      </c>
      <c r="D489" s="5">
        <f>IFERROR(__xludf.DUMMYFUNCTION("""COMPUTED_VALUE"""),2750.0)</f>
        <v>2750</v>
      </c>
      <c r="E489" s="5">
        <f>IFERROR(__xludf.DUMMYFUNCTION("""COMPUTED_VALUE"""),2790.0)</f>
        <v>2790</v>
      </c>
      <c r="F489" s="5">
        <f>IFERROR(__xludf.DUMMYFUNCTION("""COMPUTED_VALUE"""),2.86868E7)</f>
        <v>28686800</v>
      </c>
      <c r="G489" s="5">
        <f t="shared" si="1"/>
        <v>70</v>
      </c>
    </row>
    <row r="490">
      <c r="A490" s="4">
        <f>IFERROR(__xludf.DUMMYFUNCTION("""COMPUTED_VALUE"""),44560.66666666667)</f>
        <v>44560.66667</v>
      </c>
      <c r="B490" s="5">
        <f>IFERROR(__xludf.DUMMYFUNCTION("""COMPUTED_VALUE"""),2750.0)</f>
        <v>2750</v>
      </c>
      <c r="C490" s="5">
        <f>IFERROR(__xludf.DUMMYFUNCTION("""COMPUTED_VALUE"""),2760.0)</f>
        <v>2760</v>
      </c>
      <c r="D490" s="5">
        <f>IFERROR(__xludf.DUMMYFUNCTION("""COMPUTED_VALUE"""),2700.0)</f>
        <v>2700</v>
      </c>
      <c r="E490" s="5">
        <f>IFERROR(__xludf.DUMMYFUNCTION("""COMPUTED_VALUE"""),2710.0)</f>
        <v>2710</v>
      </c>
      <c r="F490" s="5">
        <f>IFERROR(__xludf.DUMMYFUNCTION("""COMPUTED_VALUE"""),2.44426E7)</f>
        <v>24442600</v>
      </c>
      <c r="G490" s="5">
        <f t="shared" si="1"/>
        <v>90</v>
      </c>
    </row>
    <row r="491">
      <c r="A491" s="4">
        <f>IFERROR(__xludf.DUMMYFUNCTION("""COMPUTED_VALUE"""),44564.66666666667)</f>
        <v>44564.66667</v>
      </c>
      <c r="B491" s="5">
        <f>IFERROR(__xludf.DUMMYFUNCTION("""COMPUTED_VALUE"""),2660.0)</f>
        <v>2660</v>
      </c>
      <c r="C491" s="5">
        <f>IFERROR(__xludf.DUMMYFUNCTION("""COMPUTED_VALUE"""),2680.0)</f>
        <v>2680</v>
      </c>
      <c r="D491" s="5">
        <f>IFERROR(__xludf.DUMMYFUNCTION("""COMPUTED_VALUE"""),2600.0)</f>
        <v>2600</v>
      </c>
      <c r="E491" s="5">
        <f>IFERROR(__xludf.DUMMYFUNCTION("""COMPUTED_VALUE"""),2670.0)</f>
        <v>2670</v>
      </c>
      <c r="F491" s="5">
        <f>IFERROR(__xludf.DUMMYFUNCTION("""COMPUTED_VALUE"""),4.07127E7)</f>
        <v>40712700</v>
      </c>
      <c r="G491" s="5">
        <f t="shared" si="1"/>
        <v>110</v>
      </c>
    </row>
    <row r="492">
      <c r="A492" s="4">
        <f>IFERROR(__xludf.DUMMYFUNCTION("""COMPUTED_VALUE"""),44565.66666666667)</f>
        <v>44565.66667</v>
      </c>
      <c r="B492" s="5">
        <f>IFERROR(__xludf.DUMMYFUNCTION("""COMPUTED_VALUE"""),2670.0)</f>
        <v>2670</v>
      </c>
      <c r="C492" s="5">
        <f>IFERROR(__xludf.DUMMYFUNCTION("""COMPUTED_VALUE"""),2720.0)</f>
        <v>2720</v>
      </c>
      <c r="D492" s="5">
        <f>IFERROR(__xludf.DUMMYFUNCTION("""COMPUTED_VALUE"""),2640.0)</f>
        <v>2640</v>
      </c>
      <c r="E492" s="5">
        <f>IFERROR(__xludf.DUMMYFUNCTION("""COMPUTED_VALUE"""),2700.0)</f>
        <v>2700</v>
      </c>
      <c r="F492" s="5">
        <f>IFERROR(__xludf.DUMMYFUNCTION("""COMPUTED_VALUE"""),2.73505E7)</f>
        <v>27350500</v>
      </c>
      <c r="G492" s="5">
        <f t="shared" si="1"/>
        <v>80</v>
      </c>
    </row>
    <row r="493">
      <c r="A493" s="4">
        <f>IFERROR(__xludf.DUMMYFUNCTION("""COMPUTED_VALUE"""),44566.66666666667)</f>
        <v>44566.66667</v>
      </c>
      <c r="B493" s="5">
        <f>IFERROR(__xludf.DUMMYFUNCTION("""COMPUTED_VALUE"""),2740.0)</f>
        <v>2740</v>
      </c>
      <c r="C493" s="5">
        <f>IFERROR(__xludf.DUMMYFUNCTION("""COMPUTED_VALUE"""),2770.0)</f>
        <v>2770</v>
      </c>
      <c r="D493" s="5">
        <f>IFERROR(__xludf.DUMMYFUNCTION("""COMPUTED_VALUE"""),2710.0)</f>
        <v>2710</v>
      </c>
      <c r="E493" s="5">
        <f>IFERROR(__xludf.DUMMYFUNCTION("""COMPUTED_VALUE"""),2730.0)</f>
        <v>2730</v>
      </c>
      <c r="F493" s="5">
        <f>IFERROR(__xludf.DUMMYFUNCTION("""COMPUTED_VALUE"""),3.42017E7)</f>
        <v>34201700</v>
      </c>
      <c r="G493" s="5">
        <f t="shared" si="1"/>
        <v>70</v>
      </c>
    </row>
    <row r="494">
      <c r="A494" s="4">
        <f>IFERROR(__xludf.DUMMYFUNCTION("""COMPUTED_VALUE"""),44567.66666666667)</f>
        <v>44567.66667</v>
      </c>
      <c r="B494" s="5">
        <f>IFERROR(__xludf.DUMMYFUNCTION("""COMPUTED_VALUE"""),2710.0)</f>
        <v>2710</v>
      </c>
      <c r="C494" s="5">
        <f>IFERROR(__xludf.DUMMYFUNCTION("""COMPUTED_VALUE"""),2730.0)</f>
        <v>2730</v>
      </c>
      <c r="D494" s="5">
        <f>IFERROR(__xludf.DUMMYFUNCTION("""COMPUTED_VALUE"""),2660.0)</f>
        <v>2660</v>
      </c>
      <c r="E494" s="5">
        <f>IFERROR(__xludf.DUMMYFUNCTION("""COMPUTED_VALUE"""),2700.0)</f>
        <v>2700</v>
      </c>
      <c r="F494" s="5">
        <f>IFERROR(__xludf.DUMMYFUNCTION("""COMPUTED_VALUE"""),2.32567E7)</f>
        <v>23256700</v>
      </c>
      <c r="G494" s="5">
        <f t="shared" si="1"/>
        <v>70</v>
      </c>
    </row>
    <row r="495">
      <c r="A495" s="4">
        <f>IFERROR(__xludf.DUMMYFUNCTION("""COMPUTED_VALUE"""),44568.66666666667)</f>
        <v>44568.66667</v>
      </c>
      <c r="B495" s="5">
        <f>IFERROR(__xludf.DUMMYFUNCTION("""COMPUTED_VALUE"""),2730.0)</f>
        <v>2730</v>
      </c>
      <c r="C495" s="5">
        <f>IFERROR(__xludf.DUMMYFUNCTION("""COMPUTED_VALUE"""),2790.0)</f>
        <v>2790</v>
      </c>
      <c r="D495" s="5">
        <f>IFERROR(__xludf.DUMMYFUNCTION("""COMPUTED_VALUE"""),2700.0)</f>
        <v>2700</v>
      </c>
      <c r="E495" s="5">
        <f>IFERROR(__xludf.DUMMYFUNCTION("""COMPUTED_VALUE"""),2790.0)</f>
        <v>2790</v>
      </c>
      <c r="F495" s="5">
        <f>IFERROR(__xludf.DUMMYFUNCTION("""COMPUTED_VALUE"""),6.92072E7)</f>
        <v>69207200</v>
      </c>
      <c r="G495" s="5">
        <f t="shared" si="1"/>
        <v>90</v>
      </c>
    </row>
    <row r="496">
      <c r="A496" s="4">
        <f>IFERROR(__xludf.DUMMYFUNCTION("""COMPUTED_VALUE"""),44571.66666666667)</f>
        <v>44571.66667</v>
      </c>
      <c r="B496" s="5">
        <f>IFERROR(__xludf.DUMMYFUNCTION("""COMPUTED_VALUE"""),2790.0)</f>
        <v>2790</v>
      </c>
      <c r="C496" s="5">
        <f>IFERROR(__xludf.DUMMYFUNCTION("""COMPUTED_VALUE"""),2790.0)</f>
        <v>2790</v>
      </c>
      <c r="D496" s="5">
        <f>IFERROR(__xludf.DUMMYFUNCTION("""COMPUTED_VALUE"""),2740.0)</f>
        <v>2740</v>
      </c>
      <c r="E496" s="5">
        <f>IFERROR(__xludf.DUMMYFUNCTION("""COMPUTED_VALUE"""),2780.0)</f>
        <v>2780</v>
      </c>
      <c r="F496" s="5">
        <f>IFERROR(__xludf.DUMMYFUNCTION("""COMPUTED_VALUE"""),1.49762E7)</f>
        <v>14976200</v>
      </c>
      <c r="G496" s="5">
        <f t="shared" si="1"/>
        <v>50</v>
      </c>
    </row>
    <row r="497">
      <c r="A497" s="4">
        <f>IFERROR(__xludf.DUMMYFUNCTION("""COMPUTED_VALUE"""),44572.66666666667)</f>
        <v>44572.66667</v>
      </c>
      <c r="B497" s="5">
        <f>IFERROR(__xludf.DUMMYFUNCTION("""COMPUTED_VALUE"""),2850.0)</f>
        <v>2850</v>
      </c>
      <c r="C497" s="5">
        <f>IFERROR(__xludf.DUMMYFUNCTION("""COMPUTED_VALUE"""),2880.0)</f>
        <v>2880</v>
      </c>
      <c r="D497" s="5">
        <f>IFERROR(__xludf.DUMMYFUNCTION("""COMPUTED_VALUE"""),2790.0)</f>
        <v>2790</v>
      </c>
      <c r="E497" s="5">
        <f>IFERROR(__xludf.DUMMYFUNCTION("""COMPUTED_VALUE"""),2830.0)</f>
        <v>2830</v>
      </c>
      <c r="F497" s="5">
        <f>IFERROR(__xludf.DUMMYFUNCTION("""COMPUTED_VALUE"""),7.86453E7)</f>
        <v>78645300</v>
      </c>
      <c r="G497" s="5">
        <f t="shared" si="1"/>
        <v>100</v>
      </c>
    </row>
    <row r="498">
      <c r="A498" s="4">
        <f>IFERROR(__xludf.DUMMYFUNCTION("""COMPUTED_VALUE"""),44573.66666666667)</f>
        <v>44573.66667</v>
      </c>
      <c r="B498" s="5">
        <f>IFERROR(__xludf.DUMMYFUNCTION("""COMPUTED_VALUE"""),2830.0)</f>
        <v>2830</v>
      </c>
      <c r="C498" s="5">
        <f>IFERROR(__xludf.DUMMYFUNCTION("""COMPUTED_VALUE"""),2850.0)</f>
        <v>2850</v>
      </c>
      <c r="D498" s="5">
        <f>IFERROR(__xludf.DUMMYFUNCTION("""COMPUTED_VALUE"""),2760.0)</f>
        <v>2760</v>
      </c>
      <c r="E498" s="5">
        <f>IFERROR(__xludf.DUMMYFUNCTION("""COMPUTED_VALUE"""),2760.0)</f>
        <v>2760</v>
      </c>
      <c r="F498" s="5">
        <f>IFERROR(__xludf.DUMMYFUNCTION("""COMPUTED_VALUE"""),1.94847E7)</f>
        <v>19484700</v>
      </c>
      <c r="G498" s="5">
        <f t="shared" si="1"/>
        <v>90</v>
      </c>
    </row>
    <row r="499">
      <c r="A499" s="4">
        <f>IFERROR(__xludf.DUMMYFUNCTION("""COMPUTED_VALUE"""),44574.66666666667)</f>
        <v>44574.66667</v>
      </c>
      <c r="B499" s="5">
        <f>IFERROR(__xludf.DUMMYFUNCTION("""COMPUTED_VALUE"""),2770.0)</f>
        <v>2770</v>
      </c>
      <c r="C499" s="5">
        <f>IFERROR(__xludf.DUMMYFUNCTION("""COMPUTED_VALUE"""),2830.0)</f>
        <v>2830</v>
      </c>
      <c r="D499" s="5">
        <f>IFERROR(__xludf.DUMMYFUNCTION("""COMPUTED_VALUE"""),2770.0)</f>
        <v>2770</v>
      </c>
      <c r="E499" s="5">
        <f>IFERROR(__xludf.DUMMYFUNCTION("""COMPUTED_VALUE"""),2810.0)</f>
        <v>2810</v>
      </c>
      <c r="F499" s="5">
        <f>IFERROR(__xludf.DUMMYFUNCTION("""COMPUTED_VALUE"""),2.41276E7)</f>
        <v>24127600</v>
      </c>
      <c r="G499" s="5">
        <f t="shared" si="1"/>
        <v>70</v>
      </c>
    </row>
    <row r="500">
      <c r="A500" s="4">
        <f>IFERROR(__xludf.DUMMYFUNCTION("""COMPUTED_VALUE"""),44575.66666666667)</f>
        <v>44575.66667</v>
      </c>
      <c r="B500" s="5">
        <f>IFERROR(__xludf.DUMMYFUNCTION("""COMPUTED_VALUE"""),2830.0)</f>
        <v>2830</v>
      </c>
      <c r="C500" s="5">
        <f>IFERROR(__xludf.DUMMYFUNCTION("""COMPUTED_VALUE"""),2840.0)</f>
        <v>2840</v>
      </c>
      <c r="D500" s="5">
        <f>IFERROR(__xludf.DUMMYFUNCTION("""COMPUTED_VALUE"""),2790.0)</f>
        <v>2790</v>
      </c>
      <c r="E500" s="5">
        <f>IFERROR(__xludf.DUMMYFUNCTION("""COMPUTED_VALUE"""),2830.0)</f>
        <v>2830</v>
      </c>
      <c r="F500" s="5">
        <f>IFERROR(__xludf.DUMMYFUNCTION("""COMPUTED_VALUE"""),2.8433E7)</f>
        <v>28433000</v>
      </c>
      <c r="G500" s="5">
        <f t="shared" si="1"/>
        <v>50</v>
      </c>
    </row>
    <row r="501">
      <c r="A501" s="4">
        <f>IFERROR(__xludf.DUMMYFUNCTION("""COMPUTED_VALUE"""),44578.66666666667)</f>
        <v>44578.66667</v>
      </c>
      <c r="B501" s="5">
        <f>IFERROR(__xludf.DUMMYFUNCTION("""COMPUTED_VALUE"""),2850.0)</f>
        <v>2850</v>
      </c>
      <c r="C501" s="5">
        <f>IFERROR(__xludf.DUMMYFUNCTION("""COMPUTED_VALUE"""),2860.0)</f>
        <v>2860</v>
      </c>
      <c r="D501" s="5">
        <f>IFERROR(__xludf.DUMMYFUNCTION("""COMPUTED_VALUE"""),2780.0)</f>
        <v>2780</v>
      </c>
      <c r="E501" s="5">
        <f>IFERROR(__xludf.DUMMYFUNCTION("""COMPUTED_VALUE"""),2810.0)</f>
        <v>2810</v>
      </c>
      <c r="F501" s="5">
        <f>IFERROR(__xludf.DUMMYFUNCTION("""COMPUTED_VALUE"""),1.75838E7)</f>
        <v>17583800</v>
      </c>
      <c r="G501" s="5">
        <f t="shared" si="1"/>
        <v>80</v>
      </c>
    </row>
    <row r="502">
      <c r="A502" s="4">
        <f>IFERROR(__xludf.DUMMYFUNCTION("""COMPUTED_VALUE"""),44579.66666666667)</f>
        <v>44579.66667</v>
      </c>
      <c r="B502" s="5">
        <f>IFERROR(__xludf.DUMMYFUNCTION("""COMPUTED_VALUE"""),2830.0)</f>
        <v>2830</v>
      </c>
      <c r="C502" s="5">
        <f>IFERROR(__xludf.DUMMYFUNCTION("""COMPUTED_VALUE"""),2830.0)</f>
        <v>2830</v>
      </c>
      <c r="D502" s="5">
        <f>IFERROR(__xludf.DUMMYFUNCTION("""COMPUTED_VALUE"""),2730.0)</f>
        <v>2730</v>
      </c>
      <c r="E502" s="5">
        <f>IFERROR(__xludf.DUMMYFUNCTION("""COMPUTED_VALUE"""),2820.0)</f>
        <v>2820</v>
      </c>
      <c r="F502" s="5">
        <f>IFERROR(__xludf.DUMMYFUNCTION("""COMPUTED_VALUE"""),2.26233E7)</f>
        <v>22623300</v>
      </c>
      <c r="G502" s="5">
        <f t="shared" si="1"/>
        <v>100</v>
      </c>
    </row>
    <row r="503">
      <c r="A503" s="4">
        <f>IFERROR(__xludf.DUMMYFUNCTION("""COMPUTED_VALUE"""),44580.66666666667)</f>
        <v>44580.66667</v>
      </c>
      <c r="B503" s="5">
        <f>IFERROR(__xludf.DUMMYFUNCTION("""COMPUTED_VALUE"""),2820.0)</f>
        <v>2820</v>
      </c>
      <c r="C503" s="5">
        <f>IFERROR(__xludf.DUMMYFUNCTION("""COMPUTED_VALUE"""),2830.0)</f>
        <v>2830</v>
      </c>
      <c r="D503" s="5">
        <f>IFERROR(__xludf.DUMMYFUNCTION("""COMPUTED_VALUE"""),2780.0)</f>
        <v>2780</v>
      </c>
      <c r="E503" s="5">
        <f>IFERROR(__xludf.DUMMYFUNCTION("""COMPUTED_VALUE"""),2810.0)</f>
        <v>2810</v>
      </c>
      <c r="F503" s="5">
        <f>IFERROR(__xludf.DUMMYFUNCTION("""COMPUTED_VALUE"""),1.28035E7)</f>
        <v>12803500</v>
      </c>
      <c r="G503" s="5">
        <f t="shared" si="1"/>
        <v>50</v>
      </c>
    </row>
    <row r="504">
      <c r="A504" s="4">
        <f>IFERROR(__xludf.DUMMYFUNCTION("""COMPUTED_VALUE"""),44581.66666666667)</f>
        <v>44581.66667</v>
      </c>
      <c r="B504" s="5">
        <f>IFERROR(__xludf.DUMMYFUNCTION("""COMPUTED_VALUE"""),2830.0)</f>
        <v>2830</v>
      </c>
      <c r="C504" s="5">
        <f>IFERROR(__xludf.DUMMYFUNCTION("""COMPUTED_VALUE"""),2850.0)</f>
        <v>2850</v>
      </c>
      <c r="D504" s="5">
        <f>IFERROR(__xludf.DUMMYFUNCTION("""COMPUTED_VALUE"""),2800.0)</f>
        <v>2800</v>
      </c>
      <c r="E504" s="5">
        <f>IFERROR(__xludf.DUMMYFUNCTION("""COMPUTED_VALUE"""),2820.0)</f>
        <v>2820</v>
      </c>
      <c r="F504" s="5">
        <f>IFERROR(__xludf.DUMMYFUNCTION("""COMPUTED_VALUE"""),1.85203E7)</f>
        <v>18520300</v>
      </c>
      <c r="G504" s="5">
        <f t="shared" si="1"/>
        <v>50</v>
      </c>
    </row>
    <row r="505">
      <c r="A505" s="4">
        <f>IFERROR(__xludf.DUMMYFUNCTION("""COMPUTED_VALUE"""),44582.66666666667)</f>
        <v>44582.66667</v>
      </c>
      <c r="B505" s="5">
        <f>IFERROR(__xludf.DUMMYFUNCTION("""COMPUTED_VALUE"""),2800.0)</f>
        <v>2800</v>
      </c>
      <c r="C505" s="5">
        <f>IFERROR(__xludf.DUMMYFUNCTION("""COMPUTED_VALUE"""),2830.0)</f>
        <v>2830</v>
      </c>
      <c r="D505" s="5">
        <f>IFERROR(__xludf.DUMMYFUNCTION("""COMPUTED_VALUE"""),2790.0)</f>
        <v>2790</v>
      </c>
      <c r="E505" s="5">
        <f>IFERROR(__xludf.DUMMYFUNCTION("""COMPUTED_VALUE"""),2830.0)</f>
        <v>2830</v>
      </c>
      <c r="F505" s="5">
        <f>IFERROR(__xludf.DUMMYFUNCTION("""COMPUTED_VALUE"""),1.04886E7)</f>
        <v>10488600</v>
      </c>
      <c r="G505" s="5">
        <f t="shared" si="1"/>
        <v>40</v>
      </c>
    </row>
    <row r="506">
      <c r="A506" s="4">
        <f>IFERROR(__xludf.DUMMYFUNCTION("""COMPUTED_VALUE"""),44585.66666666667)</f>
        <v>44585.66667</v>
      </c>
      <c r="B506" s="5">
        <f>IFERROR(__xludf.DUMMYFUNCTION("""COMPUTED_VALUE"""),2830.0)</f>
        <v>2830</v>
      </c>
      <c r="C506" s="5">
        <f>IFERROR(__xludf.DUMMYFUNCTION("""COMPUTED_VALUE"""),2890.0)</f>
        <v>2890</v>
      </c>
      <c r="D506" s="5">
        <f>IFERROR(__xludf.DUMMYFUNCTION("""COMPUTED_VALUE"""),2820.0)</f>
        <v>2820</v>
      </c>
      <c r="E506" s="5">
        <f>IFERROR(__xludf.DUMMYFUNCTION("""COMPUTED_VALUE"""),2870.0)</f>
        <v>2870</v>
      </c>
      <c r="F506" s="5">
        <f>IFERROR(__xludf.DUMMYFUNCTION("""COMPUTED_VALUE"""),4.15397E7)</f>
        <v>41539700</v>
      </c>
      <c r="G506" s="5">
        <f t="shared" si="1"/>
        <v>70</v>
      </c>
    </row>
    <row r="507">
      <c r="A507" s="4">
        <f>IFERROR(__xludf.DUMMYFUNCTION("""COMPUTED_VALUE"""),44586.66666666667)</f>
        <v>44586.66667</v>
      </c>
      <c r="B507" s="5">
        <f>IFERROR(__xludf.DUMMYFUNCTION("""COMPUTED_VALUE"""),2870.0)</f>
        <v>2870</v>
      </c>
      <c r="C507" s="5">
        <f>IFERROR(__xludf.DUMMYFUNCTION("""COMPUTED_VALUE"""),2880.0)</f>
        <v>2880</v>
      </c>
      <c r="D507" s="5">
        <f>IFERROR(__xludf.DUMMYFUNCTION("""COMPUTED_VALUE"""),2790.0)</f>
        <v>2790</v>
      </c>
      <c r="E507" s="5">
        <f>IFERROR(__xludf.DUMMYFUNCTION("""COMPUTED_VALUE"""),2810.0)</f>
        <v>2810</v>
      </c>
      <c r="F507" s="5">
        <f>IFERROR(__xludf.DUMMYFUNCTION("""COMPUTED_VALUE"""),2.25154E7)</f>
        <v>22515400</v>
      </c>
      <c r="G507" s="5">
        <f t="shared" si="1"/>
        <v>90</v>
      </c>
    </row>
    <row r="508">
      <c r="A508" s="4">
        <f>IFERROR(__xludf.DUMMYFUNCTION("""COMPUTED_VALUE"""),44587.66666666667)</f>
        <v>44587.66667</v>
      </c>
      <c r="B508" s="5">
        <f>IFERROR(__xludf.DUMMYFUNCTION("""COMPUTED_VALUE"""),2810.0)</f>
        <v>2810</v>
      </c>
      <c r="C508" s="5">
        <f>IFERROR(__xludf.DUMMYFUNCTION("""COMPUTED_VALUE"""),2870.0)</f>
        <v>2870</v>
      </c>
      <c r="D508" s="5">
        <f>IFERROR(__xludf.DUMMYFUNCTION("""COMPUTED_VALUE"""),2810.0)</f>
        <v>2810</v>
      </c>
      <c r="E508" s="5">
        <f>IFERROR(__xludf.DUMMYFUNCTION("""COMPUTED_VALUE"""),2870.0)</f>
        <v>2870</v>
      </c>
      <c r="F508" s="5">
        <f>IFERROR(__xludf.DUMMYFUNCTION("""COMPUTED_VALUE"""),2.0867E7)</f>
        <v>20867000</v>
      </c>
      <c r="G508" s="5">
        <f t="shared" si="1"/>
        <v>60</v>
      </c>
    </row>
    <row r="509">
      <c r="A509" s="4">
        <f>IFERROR(__xludf.DUMMYFUNCTION("""COMPUTED_VALUE"""),44588.66666666667)</f>
        <v>44588.66667</v>
      </c>
      <c r="B509" s="5">
        <f>IFERROR(__xludf.DUMMYFUNCTION("""COMPUTED_VALUE"""),2860.0)</f>
        <v>2860</v>
      </c>
      <c r="C509" s="5">
        <f>IFERROR(__xludf.DUMMYFUNCTION("""COMPUTED_VALUE"""),2920.0)</f>
        <v>2920</v>
      </c>
      <c r="D509" s="5">
        <f>IFERROR(__xludf.DUMMYFUNCTION("""COMPUTED_VALUE"""),2840.0)</f>
        <v>2840</v>
      </c>
      <c r="E509" s="5">
        <f>IFERROR(__xludf.DUMMYFUNCTION("""COMPUTED_VALUE"""),2900.0)</f>
        <v>2900</v>
      </c>
      <c r="F509" s="5">
        <f>IFERROR(__xludf.DUMMYFUNCTION("""COMPUTED_VALUE"""),4.79265E7)</f>
        <v>47926500</v>
      </c>
      <c r="G509" s="5">
        <f t="shared" si="1"/>
        <v>80</v>
      </c>
    </row>
    <row r="510">
      <c r="A510" s="4">
        <f>IFERROR(__xludf.DUMMYFUNCTION("""COMPUTED_VALUE"""),44589.66666666667)</f>
        <v>44589.66667</v>
      </c>
      <c r="B510" s="5">
        <f>IFERROR(__xludf.DUMMYFUNCTION("""COMPUTED_VALUE"""),2890.0)</f>
        <v>2890</v>
      </c>
      <c r="C510" s="5">
        <f>IFERROR(__xludf.DUMMYFUNCTION("""COMPUTED_VALUE"""),2910.0)</f>
        <v>2910</v>
      </c>
      <c r="D510" s="5">
        <f>IFERROR(__xludf.DUMMYFUNCTION("""COMPUTED_VALUE"""),2860.0)</f>
        <v>2860</v>
      </c>
      <c r="E510" s="5">
        <f>IFERROR(__xludf.DUMMYFUNCTION("""COMPUTED_VALUE"""),2880.0)</f>
        <v>2880</v>
      </c>
      <c r="F510" s="5">
        <f>IFERROR(__xludf.DUMMYFUNCTION("""COMPUTED_VALUE"""),2.29749E7)</f>
        <v>22974900</v>
      </c>
      <c r="G510" s="5">
        <f t="shared" si="1"/>
        <v>50</v>
      </c>
    </row>
    <row r="511">
      <c r="A511" s="4">
        <f>IFERROR(__xludf.DUMMYFUNCTION("""COMPUTED_VALUE"""),44592.66666666667)</f>
        <v>44592.66667</v>
      </c>
      <c r="B511" s="5">
        <f>IFERROR(__xludf.DUMMYFUNCTION("""COMPUTED_VALUE"""),2890.0)</f>
        <v>2890</v>
      </c>
      <c r="C511" s="5">
        <f>IFERROR(__xludf.DUMMYFUNCTION("""COMPUTED_VALUE"""),2890.0)</f>
        <v>2890</v>
      </c>
      <c r="D511" s="5">
        <f>IFERROR(__xludf.DUMMYFUNCTION("""COMPUTED_VALUE"""),2830.0)</f>
        <v>2830</v>
      </c>
      <c r="E511" s="5">
        <f>IFERROR(__xludf.DUMMYFUNCTION("""COMPUTED_VALUE"""),2850.0)</f>
        <v>2850</v>
      </c>
      <c r="F511" s="5">
        <f>IFERROR(__xludf.DUMMYFUNCTION("""COMPUTED_VALUE"""),1.45878E7)</f>
        <v>14587800</v>
      </c>
      <c r="G511" s="5">
        <f t="shared" si="1"/>
        <v>60</v>
      </c>
    </row>
    <row r="512">
      <c r="A512" s="4">
        <f>IFERROR(__xludf.DUMMYFUNCTION("""COMPUTED_VALUE"""),44594.66666666667)</f>
        <v>44594.66667</v>
      </c>
      <c r="B512" s="5">
        <f>IFERROR(__xludf.DUMMYFUNCTION("""COMPUTED_VALUE"""),2850.0)</f>
        <v>2850</v>
      </c>
      <c r="C512" s="5">
        <f>IFERROR(__xludf.DUMMYFUNCTION("""COMPUTED_VALUE"""),2860.0)</f>
        <v>2860</v>
      </c>
      <c r="D512" s="5">
        <f>IFERROR(__xludf.DUMMYFUNCTION("""COMPUTED_VALUE"""),2800.0)</f>
        <v>2800</v>
      </c>
      <c r="E512" s="5">
        <f>IFERROR(__xludf.DUMMYFUNCTION("""COMPUTED_VALUE"""),2810.0)</f>
        <v>2810</v>
      </c>
      <c r="F512" s="5">
        <f>IFERROR(__xludf.DUMMYFUNCTION("""COMPUTED_VALUE"""),1.6747E7)</f>
        <v>16747000</v>
      </c>
      <c r="G512" s="5">
        <f t="shared" si="1"/>
        <v>60</v>
      </c>
    </row>
    <row r="513">
      <c r="A513" s="4">
        <f>IFERROR(__xludf.DUMMYFUNCTION("""COMPUTED_VALUE"""),44595.66666666667)</f>
        <v>44595.66667</v>
      </c>
      <c r="B513" s="5">
        <f>IFERROR(__xludf.DUMMYFUNCTION("""COMPUTED_VALUE"""),2810.0)</f>
        <v>2810</v>
      </c>
      <c r="C513" s="5">
        <f>IFERROR(__xludf.DUMMYFUNCTION("""COMPUTED_VALUE"""),2830.0)</f>
        <v>2830</v>
      </c>
      <c r="D513" s="5">
        <f>IFERROR(__xludf.DUMMYFUNCTION("""COMPUTED_VALUE"""),2750.0)</f>
        <v>2750</v>
      </c>
      <c r="E513" s="5">
        <f>IFERROR(__xludf.DUMMYFUNCTION("""COMPUTED_VALUE"""),2820.0)</f>
        <v>2820</v>
      </c>
      <c r="F513" s="5">
        <f>IFERROR(__xludf.DUMMYFUNCTION("""COMPUTED_VALUE"""),1.7408E7)</f>
        <v>17408000</v>
      </c>
      <c r="G513" s="5">
        <f t="shared" si="1"/>
        <v>80</v>
      </c>
    </row>
    <row r="514">
      <c r="A514" s="4">
        <f>IFERROR(__xludf.DUMMYFUNCTION("""COMPUTED_VALUE"""),44596.66666666667)</f>
        <v>44596.66667</v>
      </c>
      <c r="B514" s="5">
        <f>IFERROR(__xludf.DUMMYFUNCTION("""COMPUTED_VALUE"""),2820.0)</f>
        <v>2820</v>
      </c>
      <c r="C514" s="5">
        <f>IFERROR(__xludf.DUMMYFUNCTION("""COMPUTED_VALUE"""),2820.0)</f>
        <v>2820</v>
      </c>
      <c r="D514" s="5">
        <f>IFERROR(__xludf.DUMMYFUNCTION("""COMPUTED_VALUE"""),2790.0)</f>
        <v>2790</v>
      </c>
      <c r="E514" s="5">
        <f>IFERROR(__xludf.DUMMYFUNCTION("""COMPUTED_VALUE"""),2790.0)</f>
        <v>2790</v>
      </c>
      <c r="F514" s="5">
        <f>IFERROR(__xludf.DUMMYFUNCTION("""COMPUTED_VALUE"""),1.07882E7)</f>
        <v>10788200</v>
      </c>
      <c r="G514" s="5">
        <f t="shared" si="1"/>
        <v>30</v>
      </c>
    </row>
    <row r="515">
      <c r="A515" s="4">
        <f>IFERROR(__xludf.DUMMYFUNCTION("""COMPUTED_VALUE"""),44599.66666666667)</f>
        <v>44599.66667</v>
      </c>
      <c r="B515" s="5">
        <f>IFERROR(__xludf.DUMMYFUNCTION("""COMPUTED_VALUE"""),2800.0)</f>
        <v>2800</v>
      </c>
      <c r="C515" s="5">
        <f>IFERROR(__xludf.DUMMYFUNCTION("""COMPUTED_VALUE"""),2850.0)</f>
        <v>2850</v>
      </c>
      <c r="D515" s="5">
        <f>IFERROR(__xludf.DUMMYFUNCTION("""COMPUTED_VALUE"""),2790.0)</f>
        <v>2790</v>
      </c>
      <c r="E515" s="5">
        <f>IFERROR(__xludf.DUMMYFUNCTION("""COMPUTED_VALUE"""),2820.0)</f>
        <v>2820</v>
      </c>
      <c r="F515" s="5">
        <f>IFERROR(__xludf.DUMMYFUNCTION("""COMPUTED_VALUE"""),1.58703E7)</f>
        <v>15870300</v>
      </c>
      <c r="G515" s="5">
        <f t="shared" si="1"/>
        <v>60</v>
      </c>
    </row>
    <row r="516">
      <c r="A516" s="4">
        <f>IFERROR(__xludf.DUMMYFUNCTION("""COMPUTED_VALUE"""),44600.66666666667)</f>
        <v>44600.66667</v>
      </c>
      <c r="B516" s="5">
        <f>IFERROR(__xludf.DUMMYFUNCTION("""COMPUTED_VALUE"""),2850.0)</f>
        <v>2850</v>
      </c>
      <c r="C516" s="5">
        <f>IFERROR(__xludf.DUMMYFUNCTION("""COMPUTED_VALUE"""),2860.0)</f>
        <v>2860</v>
      </c>
      <c r="D516" s="5">
        <f>IFERROR(__xludf.DUMMYFUNCTION("""COMPUTED_VALUE"""),2810.0)</f>
        <v>2810</v>
      </c>
      <c r="E516" s="5">
        <f>IFERROR(__xludf.DUMMYFUNCTION("""COMPUTED_VALUE"""),2840.0)</f>
        <v>2840</v>
      </c>
      <c r="F516" s="5">
        <f>IFERROR(__xludf.DUMMYFUNCTION("""COMPUTED_VALUE"""),1.22377E7)</f>
        <v>12237700</v>
      </c>
      <c r="G516" s="5">
        <f t="shared" si="1"/>
        <v>50</v>
      </c>
    </row>
    <row r="517">
      <c r="A517" s="4">
        <f>IFERROR(__xludf.DUMMYFUNCTION("""COMPUTED_VALUE"""),44601.66666666667)</f>
        <v>44601.66667</v>
      </c>
      <c r="B517" s="5">
        <f>IFERROR(__xludf.DUMMYFUNCTION("""COMPUTED_VALUE"""),2840.0)</f>
        <v>2840</v>
      </c>
      <c r="C517" s="5">
        <f>IFERROR(__xludf.DUMMYFUNCTION("""COMPUTED_VALUE"""),2900.0)</f>
        <v>2900</v>
      </c>
      <c r="D517" s="5">
        <f>IFERROR(__xludf.DUMMYFUNCTION("""COMPUTED_VALUE"""),2820.0)</f>
        <v>2820</v>
      </c>
      <c r="E517" s="5">
        <f>IFERROR(__xludf.DUMMYFUNCTION("""COMPUTED_VALUE"""),2870.0)</f>
        <v>2870</v>
      </c>
      <c r="F517" s="5">
        <f>IFERROR(__xludf.DUMMYFUNCTION("""COMPUTED_VALUE"""),2.65721E7)</f>
        <v>26572100</v>
      </c>
      <c r="G517" s="5">
        <f t="shared" si="1"/>
        <v>80</v>
      </c>
    </row>
    <row r="518">
      <c r="A518" s="4">
        <f>IFERROR(__xludf.DUMMYFUNCTION("""COMPUTED_VALUE"""),44602.66666666667)</f>
        <v>44602.66667</v>
      </c>
      <c r="B518" s="5">
        <f>IFERROR(__xludf.DUMMYFUNCTION("""COMPUTED_VALUE"""),2860.0)</f>
        <v>2860</v>
      </c>
      <c r="C518" s="5">
        <f>IFERROR(__xludf.DUMMYFUNCTION("""COMPUTED_VALUE"""),2890.0)</f>
        <v>2890</v>
      </c>
      <c r="D518" s="5">
        <f>IFERROR(__xludf.DUMMYFUNCTION("""COMPUTED_VALUE"""),2840.0)</f>
        <v>2840</v>
      </c>
      <c r="E518" s="5">
        <f>IFERROR(__xludf.DUMMYFUNCTION("""COMPUTED_VALUE"""),2840.0)</f>
        <v>2840</v>
      </c>
      <c r="F518" s="5">
        <f>IFERROR(__xludf.DUMMYFUNCTION("""COMPUTED_VALUE"""),9756900.0)</f>
        <v>9756900</v>
      </c>
      <c r="G518" s="5">
        <f t="shared" si="1"/>
        <v>50</v>
      </c>
    </row>
    <row r="519">
      <c r="A519" s="4">
        <f>IFERROR(__xludf.DUMMYFUNCTION("""COMPUTED_VALUE"""),44603.66666666667)</f>
        <v>44603.66667</v>
      </c>
      <c r="B519" s="5">
        <f>IFERROR(__xludf.DUMMYFUNCTION("""COMPUTED_VALUE"""),2830.0)</f>
        <v>2830</v>
      </c>
      <c r="C519" s="5">
        <f>IFERROR(__xludf.DUMMYFUNCTION("""COMPUTED_VALUE"""),2890.0)</f>
        <v>2890</v>
      </c>
      <c r="D519" s="5">
        <f>IFERROR(__xludf.DUMMYFUNCTION("""COMPUTED_VALUE"""),2820.0)</f>
        <v>2820</v>
      </c>
      <c r="E519" s="5">
        <f>IFERROR(__xludf.DUMMYFUNCTION("""COMPUTED_VALUE"""),2880.0)</f>
        <v>2880</v>
      </c>
      <c r="F519" s="5">
        <f>IFERROR(__xludf.DUMMYFUNCTION("""COMPUTED_VALUE"""),2.2618E7)</f>
        <v>22618000</v>
      </c>
      <c r="G519" s="5">
        <f t="shared" si="1"/>
        <v>70</v>
      </c>
    </row>
    <row r="520">
      <c r="A520" s="4">
        <f>IFERROR(__xludf.DUMMYFUNCTION("""COMPUTED_VALUE"""),44606.66666666667)</f>
        <v>44606.66667</v>
      </c>
      <c r="B520" s="5">
        <f>IFERROR(__xludf.DUMMYFUNCTION("""COMPUTED_VALUE"""),2860.0)</f>
        <v>2860</v>
      </c>
      <c r="C520" s="5">
        <f>IFERROR(__xludf.DUMMYFUNCTION("""COMPUTED_VALUE"""),2950.0)</f>
        <v>2950</v>
      </c>
      <c r="D520" s="5">
        <f>IFERROR(__xludf.DUMMYFUNCTION("""COMPUTED_VALUE"""),2850.0)</f>
        <v>2850</v>
      </c>
      <c r="E520" s="5">
        <f>IFERROR(__xludf.DUMMYFUNCTION("""COMPUTED_VALUE"""),2910.0)</f>
        <v>2910</v>
      </c>
      <c r="F520" s="5">
        <f>IFERROR(__xludf.DUMMYFUNCTION("""COMPUTED_VALUE"""),4.43038E7)</f>
        <v>44303800</v>
      </c>
      <c r="G520" s="5">
        <f t="shared" si="1"/>
        <v>100</v>
      </c>
    </row>
    <row r="521">
      <c r="A521" s="4">
        <f>IFERROR(__xludf.DUMMYFUNCTION("""COMPUTED_VALUE"""),44607.66666666667)</f>
        <v>44607.66667</v>
      </c>
      <c r="B521" s="5">
        <f>IFERROR(__xludf.DUMMYFUNCTION("""COMPUTED_VALUE"""),2910.0)</f>
        <v>2910</v>
      </c>
      <c r="C521" s="5">
        <f>IFERROR(__xludf.DUMMYFUNCTION("""COMPUTED_VALUE"""),2920.0)</f>
        <v>2920</v>
      </c>
      <c r="D521" s="5">
        <f>IFERROR(__xludf.DUMMYFUNCTION("""COMPUTED_VALUE"""),2890.0)</f>
        <v>2890</v>
      </c>
      <c r="E521" s="5">
        <f>IFERROR(__xludf.DUMMYFUNCTION("""COMPUTED_VALUE"""),2910.0)</f>
        <v>2910</v>
      </c>
      <c r="F521" s="5">
        <f>IFERROR(__xludf.DUMMYFUNCTION("""COMPUTED_VALUE"""),3.44327E7)</f>
        <v>34432700</v>
      </c>
      <c r="G521" s="5">
        <f t="shared" si="1"/>
        <v>30</v>
      </c>
    </row>
    <row r="522">
      <c r="A522" s="4">
        <f>IFERROR(__xludf.DUMMYFUNCTION("""COMPUTED_VALUE"""),44608.66666666667)</f>
        <v>44608.66667</v>
      </c>
      <c r="B522" s="5">
        <f>IFERROR(__xludf.DUMMYFUNCTION("""COMPUTED_VALUE"""),2910.0)</f>
        <v>2910</v>
      </c>
      <c r="C522" s="5">
        <f>IFERROR(__xludf.DUMMYFUNCTION("""COMPUTED_VALUE"""),2920.0)</f>
        <v>2920</v>
      </c>
      <c r="D522" s="5">
        <f>IFERROR(__xludf.DUMMYFUNCTION("""COMPUTED_VALUE"""),2890.0)</f>
        <v>2890</v>
      </c>
      <c r="E522" s="5">
        <f>IFERROR(__xludf.DUMMYFUNCTION("""COMPUTED_VALUE"""),2900.0)</f>
        <v>2900</v>
      </c>
      <c r="F522" s="5">
        <f>IFERROR(__xludf.DUMMYFUNCTION("""COMPUTED_VALUE"""),1.83975E7)</f>
        <v>18397500</v>
      </c>
      <c r="G522" s="5">
        <f t="shared" si="1"/>
        <v>30</v>
      </c>
    </row>
    <row r="523">
      <c r="A523" s="4">
        <f>IFERROR(__xludf.DUMMYFUNCTION("""COMPUTED_VALUE"""),44609.66666666667)</f>
        <v>44609.66667</v>
      </c>
      <c r="B523" s="5">
        <f>IFERROR(__xludf.DUMMYFUNCTION("""COMPUTED_VALUE"""),2900.0)</f>
        <v>2900</v>
      </c>
      <c r="C523" s="5">
        <f>IFERROR(__xludf.DUMMYFUNCTION("""COMPUTED_VALUE"""),2920.0)</f>
        <v>2920</v>
      </c>
      <c r="D523" s="5">
        <f>IFERROR(__xludf.DUMMYFUNCTION("""COMPUTED_VALUE"""),2880.0)</f>
        <v>2880</v>
      </c>
      <c r="E523" s="5">
        <f>IFERROR(__xludf.DUMMYFUNCTION("""COMPUTED_VALUE"""),2900.0)</f>
        <v>2900</v>
      </c>
      <c r="F523" s="5">
        <f>IFERROR(__xludf.DUMMYFUNCTION("""COMPUTED_VALUE"""),2.20277E7)</f>
        <v>22027700</v>
      </c>
      <c r="G523" s="5">
        <f t="shared" si="1"/>
        <v>40</v>
      </c>
    </row>
    <row r="524">
      <c r="A524" s="4">
        <f>IFERROR(__xludf.DUMMYFUNCTION("""COMPUTED_VALUE"""),44610.66666666667)</f>
        <v>44610.66667</v>
      </c>
      <c r="B524" s="5">
        <f>IFERROR(__xludf.DUMMYFUNCTION("""COMPUTED_VALUE"""),2890.0)</f>
        <v>2890</v>
      </c>
      <c r="C524" s="5">
        <f>IFERROR(__xludf.DUMMYFUNCTION("""COMPUTED_VALUE"""),2940.0)</f>
        <v>2940</v>
      </c>
      <c r="D524" s="5">
        <f>IFERROR(__xludf.DUMMYFUNCTION("""COMPUTED_VALUE"""),2880.0)</f>
        <v>2880</v>
      </c>
      <c r="E524" s="5">
        <f>IFERROR(__xludf.DUMMYFUNCTION("""COMPUTED_VALUE"""),2930.0)</f>
        <v>2930</v>
      </c>
      <c r="F524" s="5">
        <f>IFERROR(__xludf.DUMMYFUNCTION("""COMPUTED_VALUE"""),2.14493E7)</f>
        <v>21449300</v>
      </c>
      <c r="G524" s="5">
        <f t="shared" si="1"/>
        <v>60</v>
      </c>
    </row>
    <row r="525">
      <c r="A525" s="4">
        <f>IFERROR(__xludf.DUMMYFUNCTION("""COMPUTED_VALUE"""),44613.66666666667)</f>
        <v>44613.66667</v>
      </c>
      <c r="B525" s="5">
        <f>IFERROR(__xludf.DUMMYFUNCTION("""COMPUTED_VALUE"""),2940.0)</f>
        <v>2940</v>
      </c>
      <c r="C525" s="5">
        <f>IFERROR(__xludf.DUMMYFUNCTION("""COMPUTED_VALUE"""),2980.0)</f>
        <v>2980</v>
      </c>
      <c r="D525" s="5">
        <f>IFERROR(__xludf.DUMMYFUNCTION("""COMPUTED_VALUE"""),2920.0)</f>
        <v>2920</v>
      </c>
      <c r="E525" s="5">
        <f>IFERROR(__xludf.DUMMYFUNCTION("""COMPUTED_VALUE"""),2940.0)</f>
        <v>2940</v>
      </c>
      <c r="F525" s="5">
        <f>IFERROR(__xludf.DUMMYFUNCTION("""COMPUTED_VALUE"""),3.98002E7)</f>
        <v>39800200</v>
      </c>
      <c r="G525" s="5">
        <f t="shared" si="1"/>
        <v>60</v>
      </c>
    </row>
    <row r="526">
      <c r="A526" s="4">
        <f>IFERROR(__xludf.DUMMYFUNCTION("""COMPUTED_VALUE"""),44614.66666666667)</f>
        <v>44614.66667</v>
      </c>
      <c r="B526" s="5">
        <f>IFERROR(__xludf.DUMMYFUNCTION("""COMPUTED_VALUE"""),2940.0)</f>
        <v>2940</v>
      </c>
      <c r="C526" s="5">
        <f>IFERROR(__xludf.DUMMYFUNCTION("""COMPUTED_VALUE"""),2970.0)</f>
        <v>2970</v>
      </c>
      <c r="D526" s="5">
        <f>IFERROR(__xludf.DUMMYFUNCTION("""COMPUTED_VALUE"""),2910.0)</f>
        <v>2910</v>
      </c>
      <c r="E526" s="5">
        <f>IFERROR(__xludf.DUMMYFUNCTION("""COMPUTED_VALUE"""),2940.0)</f>
        <v>2940</v>
      </c>
      <c r="F526" s="5">
        <f>IFERROR(__xludf.DUMMYFUNCTION("""COMPUTED_VALUE"""),2.1463E7)</f>
        <v>21463000</v>
      </c>
      <c r="G526" s="5">
        <f t="shared" si="1"/>
        <v>60</v>
      </c>
    </row>
    <row r="527">
      <c r="A527" s="4">
        <f>IFERROR(__xludf.DUMMYFUNCTION("""COMPUTED_VALUE"""),44615.66666666667)</f>
        <v>44615.66667</v>
      </c>
      <c r="B527" s="5">
        <f>IFERROR(__xludf.DUMMYFUNCTION("""COMPUTED_VALUE"""),2990.0)</f>
        <v>2990</v>
      </c>
      <c r="C527" s="5">
        <f>IFERROR(__xludf.DUMMYFUNCTION("""COMPUTED_VALUE"""),3030.0)</f>
        <v>3030</v>
      </c>
      <c r="D527" s="5">
        <f>IFERROR(__xludf.DUMMYFUNCTION("""COMPUTED_VALUE"""),2960.0)</f>
        <v>2960</v>
      </c>
      <c r="E527" s="5">
        <f>IFERROR(__xludf.DUMMYFUNCTION("""COMPUTED_VALUE"""),3010.0)</f>
        <v>3010</v>
      </c>
      <c r="F527" s="5">
        <f>IFERROR(__xludf.DUMMYFUNCTION("""COMPUTED_VALUE"""),7.02173E7)</f>
        <v>70217300</v>
      </c>
      <c r="G527" s="5">
        <f t="shared" si="1"/>
        <v>90</v>
      </c>
    </row>
    <row r="528">
      <c r="A528" s="4">
        <f>IFERROR(__xludf.DUMMYFUNCTION("""COMPUTED_VALUE"""),44616.66666666667)</f>
        <v>44616.66667</v>
      </c>
      <c r="B528" s="5">
        <f>IFERROR(__xludf.DUMMYFUNCTION("""COMPUTED_VALUE"""),3020.0)</f>
        <v>3020</v>
      </c>
      <c r="C528" s="5">
        <f>IFERROR(__xludf.DUMMYFUNCTION("""COMPUTED_VALUE"""),3170.0)</f>
        <v>3170</v>
      </c>
      <c r="D528" s="5">
        <f>IFERROR(__xludf.DUMMYFUNCTION("""COMPUTED_VALUE"""),2980.0)</f>
        <v>2980</v>
      </c>
      <c r="E528" s="5">
        <f>IFERROR(__xludf.DUMMYFUNCTION("""COMPUTED_VALUE"""),3170.0)</f>
        <v>3170</v>
      </c>
      <c r="F528" s="5">
        <f>IFERROR(__xludf.DUMMYFUNCTION("""COMPUTED_VALUE"""),1.318718E8)</f>
        <v>131871800</v>
      </c>
      <c r="G528" s="5">
        <f t="shared" si="1"/>
        <v>190</v>
      </c>
    </row>
    <row r="529">
      <c r="A529" s="4">
        <f>IFERROR(__xludf.DUMMYFUNCTION("""COMPUTED_VALUE"""),44617.66666666667)</f>
        <v>44617.66667</v>
      </c>
      <c r="B529" s="5">
        <f>IFERROR(__xludf.DUMMYFUNCTION("""COMPUTED_VALUE"""),3200.0)</f>
        <v>3200</v>
      </c>
      <c r="C529" s="5">
        <f>IFERROR(__xludf.DUMMYFUNCTION("""COMPUTED_VALUE"""),3240.0)</f>
        <v>3240</v>
      </c>
      <c r="D529" s="5">
        <f>IFERROR(__xludf.DUMMYFUNCTION("""COMPUTED_VALUE"""),3130.0)</f>
        <v>3130</v>
      </c>
      <c r="E529" s="5">
        <f>IFERROR(__xludf.DUMMYFUNCTION("""COMPUTED_VALUE"""),3140.0)</f>
        <v>3140</v>
      </c>
      <c r="F529" s="5">
        <f>IFERROR(__xludf.DUMMYFUNCTION("""COMPUTED_VALUE"""),7.3101E7)</f>
        <v>73101000</v>
      </c>
      <c r="G529" s="5">
        <f t="shared" si="1"/>
        <v>110</v>
      </c>
    </row>
    <row r="530">
      <c r="A530" s="4">
        <f>IFERROR(__xludf.DUMMYFUNCTION("""COMPUTED_VALUE"""),44621.66666666667)</f>
        <v>44621.66667</v>
      </c>
      <c r="B530" s="5">
        <f>IFERROR(__xludf.DUMMYFUNCTION("""COMPUTED_VALUE"""),3170.0)</f>
        <v>3170</v>
      </c>
      <c r="C530" s="5">
        <f>IFERROR(__xludf.DUMMYFUNCTION("""COMPUTED_VALUE"""),3280.0)</f>
        <v>3280</v>
      </c>
      <c r="D530" s="5">
        <f>IFERROR(__xludf.DUMMYFUNCTION("""COMPUTED_VALUE"""),3170.0)</f>
        <v>3170</v>
      </c>
      <c r="E530" s="5">
        <f>IFERROR(__xludf.DUMMYFUNCTION("""COMPUTED_VALUE"""),3190.0)</f>
        <v>3190</v>
      </c>
      <c r="F530" s="5">
        <f>IFERROR(__xludf.DUMMYFUNCTION("""COMPUTED_VALUE"""),6.11405E7)</f>
        <v>61140500</v>
      </c>
      <c r="G530" s="5">
        <f t="shared" si="1"/>
        <v>140</v>
      </c>
    </row>
    <row r="531">
      <c r="A531" s="4">
        <f>IFERROR(__xludf.DUMMYFUNCTION("""COMPUTED_VALUE"""),44622.66666666667)</f>
        <v>44622.66667</v>
      </c>
      <c r="B531" s="5">
        <f>IFERROR(__xludf.DUMMYFUNCTION("""COMPUTED_VALUE"""),3260.0)</f>
        <v>3260</v>
      </c>
      <c r="C531" s="5">
        <f>IFERROR(__xludf.DUMMYFUNCTION("""COMPUTED_VALUE"""),3290.0)</f>
        <v>3290</v>
      </c>
      <c r="D531" s="5">
        <f>IFERROR(__xludf.DUMMYFUNCTION("""COMPUTED_VALUE"""),3220.0)</f>
        <v>3220</v>
      </c>
      <c r="E531" s="5">
        <f>IFERROR(__xludf.DUMMYFUNCTION("""COMPUTED_VALUE"""),3250.0)</f>
        <v>3250</v>
      </c>
      <c r="F531" s="5">
        <f>IFERROR(__xludf.DUMMYFUNCTION("""COMPUTED_VALUE"""),4.88402E7)</f>
        <v>48840200</v>
      </c>
      <c r="G531" s="5">
        <f t="shared" si="1"/>
        <v>100</v>
      </c>
    </row>
    <row r="532">
      <c r="A532" s="4">
        <f>IFERROR(__xludf.DUMMYFUNCTION("""COMPUTED_VALUE"""),44624.66666666667)</f>
        <v>44624.66667</v>
      </c>
      <c r="B532" s="5">
        <f>IFERROR(__xludf.DUMMYFUNCTION("""COMPUTED_VALUE"""),3300.0)</f>
        <v>3300</v>
      </c>
      <c r="C532" s="5">
        <f>IFERROR(__xludf.DUMMYFUNCTION("""COMPUTED_VALUE"""),3550.0)</f>
        <v>3550</v>
      </c>
      <c r="D532" s="5">
        <f>IFERROR(__xludf.DUMMYFUNCTION("""COMPUTED_VALUE"""),3300.0)</f>
        <v>3300</v>
      </c>
      <c r="E532" s="5">
        <f>IFERROR(__xludf.DUMMYFUNCTION("""COMPUTED_VALUE"""),3540.0)</f>
        <v>3540</v>
      </c>
      <c r="F532" s="5">
        <f>IFERROR(__xludf.DUMMYFUNCTION("""COMPUTED_VALUE"""),9.98347E7)</f>
        <v>99834700</v>
      </c>
      <c r="G532" s="5">
        <f t="shared" si="1"/>
        <v>300</v>
      </c>
    </row>
    <row r="533">
      <c r="A533" s="4">
        <f>IFERROR(__xludf.DUMMYFUNCTION("""COMPUTED_VALUE"""),44627.66666666667)</f>
        <v>44627.66667</v>
      </c>
      <c r="B533" s="5">
        <f>IFERROR(__xludf.DUMMYFUNCTION("""COMPUTED_VALUE"""),3600.0)</f>
        <v>3600</v>
      </c>
      <c r="C533" s="5">
        <f>IFERROR(__xludf.DUMMYFUNCTION("""COMPUTED_VALUE"""),3760.0)</f>
        <v>3760</v>
      </c>
      <c r="D533" s="5">
        <f>IFERROR(__xludf.DUMMYFUNCTION("""COMPUTED_VALUE"""),3560.0)</f>
        <v>3560</v>
      </c>
      <c r="E533" s="5">
        <f>IFERROR(__xludf.DUMMYFUNCTION("""COMPUTED_VALUE"""),3620.0)</f>
        <v>3620</v>
      </c>
      <c r="F533" s="5">
        <f>IFERROR(__xludf.DUMMYFUNCTION("""COMPUTED_VALUE"""),1.122769E8)</f>
        <v>112276900</v>
      </c>
      <c r="G533" s="5">
        <f t="shared" si="1"/>
        <v>220</v>
      </c>
    </row>
    <row r="534">
      <c r="A534" s="4">
        <f>IFERROR(__xludf.DUMMYFUNCTION("""COMPUTED_VALUE"""),44628.66666666667)</f>
        <v>44628.66667</v>
      </c>
      <c r="B534" s="5">
        <f>IFERROR(__xludf.DUMMYFUNCTION("""COMPUTED_VALUE"""),3620.0)</f>
        <v>3620</v>
      </c>
      <c r="C534" s="5">
        <f>IFERROR(__xludf.DUMMYFUNCTION("""COMPUTED_VALUE"""),3620.0)</f>
        <v>3620</v>
      </c>
      <c r="D534" s="5">
        <f>IFERROR(__xludf.DUMMYFUNCTION("""COMPUTED_VALUE"""),3450.0)</f>
        <v>3450</v>
      </c>
      <c r="E534" s="5">
        <f>IFERROR(__xludf.DUMMYFUNCTION("""COMPUTED_VALUE"""),3480.0)</f>
        <v>3480</v>
      </c>
      <c r="F534" s="5">
        <f>IFERROR(__xludf.DUMMYFUNCTION("""COMPUTED_VALUE"""),7.46691E7)</f>
        <v>74669100</v>
      </c>
      <c r="G534" s="5">
        <f t="shared" si="1"/>
        <v>170</v>
      </c>
    </row>
    <row r="535">
      <c r="A535" s="4">
        <f>IFERROR(__xludf.DUMMYFUNCTION("""COMPUTED_VALUE"""),44629.66666666667)</f>
        <v>44629.66667</v>
      </c>
      <c r="B535" s="5">
        <f>IFERROR(__xludf.DUMMYFUNCTION("""COMPUTED_VALUE"""),3480.0)</f>
        <v>3480</v>
      </c>
      <c r="C535" s="5">
        <f>IFERROR(__xludf.DUMMYFUNCTION("""COMPUTED_VALUE"""),3580.0)</f>
        <v>3580</v>
      </c>
      <c r="D535" s="5">
        <f>IFERROR(__xludf.DUMMYFUNCTION("""COMPUTED_VALUE"""),3450.0)</f>
        <v>3450</v>
      </c>
      <c r="E535" s="5">
        <f>IFERROR(__xludf.DUMMYFUNCTION("""COMPUTED_VALUE"""),3540.0)</f>
        <v>3540</v>
      </c>
      <c r="F535" s="5">
        <f>IFERROR(__xludf.DUMMYFUNCTION("""COMPUTED_VALUE"""),4.48233E7)</f>
        <v>44823300</v>
      </c>
      <c r="G535" s="5">
        <f t="shared" si="1"/>
        <v>130</v>
      </c>
    </row>
    <row r="536">
      <c r="A536" s="4">
        <f>IFERROR(__xludf.DUMMYFUNCTION("""COMPUTED_VALUE"""),44630.66666666667)</f>
        <v>44630.66667</v>
      </c>
      <c r="B536" s="5">
        <f>IFERROR(__xludf.DUMMYFUNCTION("""COMPUTED_VALUE"""),3470.0)</f>
        <v>3470</v>
      </c>
      <c r="C536" s="5">
        <f>IFERROR(__xludf.DUMMYFUNCTION("""COMPUTED_VALUE"""),3540.0)</f>
        <v>3540</v>
      </c>
      <c r="D536" s="5">
        <f>IFERROR(__xludf.DUMMYFUNCTION("""COMPUTED_VALUE"""),3360.0)</f>
        <v>3360</v>
      </c>
      <c r="E536" s="5">
        <f>IFERROR(__xludf.DUMMYFUNCTION("""COMPUTED_VALUE"""),3470.0)</f>
        <v>3470</v>
      </c>
      <c r="F536" s="5">
        <f>IFERROR(__xludf.DUMMYFUNCTION("""COMPUTED_VALUE"""),5.49148E7)</f>
        <v>54914800</v>
      </c>
      <c r="G536" s="5">
        <f t="shared" si="1"/>
        <v>180</v>
      </c>
    </row>
    <row r="537">
      <c r="A537" s="4">
        <f>IFERROR(__xludf.DUMMYFUNCTION("""COMPUTED_VALUE"""),44631.66666666667)</f>
        <v>44631.66667</v>
      </c>
      <c r="B537" s="5">
        <f>IFERROR(__xludf.DUMMYFUNCTION("""COMPUTED_VALUE"""),3390.0)</f>
        <v>3390</v>
      </c>
      <c r="C537" s="5">
        <f>IFERROR(__xludf.DUMMYFUNCTION("""COMPUTED_VALUE"""),3540.0)</f>
        <v>3540</v>
      </c>
      <c r="D537" s="5">
        <f>IFERROR(__xludf.DUMMYFUNCTION("""COMPUTED_VALUE"""),3390.0)</f>
        <v>3390</v>
      </c>
      <c r="E537" s="5">
        <f>IFERROR(__xludf.DUMMYFUNCTION("""COMPUTED_VALUE"""),3480.0)</f>
        <v>3480</v>
      </c>
      <c r="F537" s="5">
        <f>IFERROR(__xludf.DUMMYFUNCTION("""COMPUTED_VALUE"""),3.0616E7)</f>
        <v>30616000</v>
      </c>
      <c r="G537" s="5">
        <f t="shared" si="1"/>
        <v>150</v>
      </c>
    </row>
    <row r="538">
      <c r="A538" s="4">
        <f>IFERROR(__xludf.DUMMYFUNCTION("""COMPUTED_VALUE"""),44634.66666666667)</f>
        <v>44634.66667</v>
      </c>
      <c r="B538" s="5">
        <f>IFERROR(__xludf.DUMMYFUNCTION("""COMPUTED_VALUE"""),3480.0)</f>
        <v>3480</v>
      </c>
      <c r="C538" s="5">
        <f>IFERROR(__xludf.DUMMYFUNCTION("""COMPUTED_VALUE"""),3520.0)</f>
        <v>3520</v>
      </c>
      <c r="D538" s="5">
        <f>IFERROR(__xludf.DUMMYFUNCTION("""COMPUTED_VALUE"""),3260.0)</f>
        <v>3260</v>
      </c>
      <c r="E538" s="5">
        <f>IFERROR(__xludf.DUMMYFUNCTION("""COMPUTED_VALUE"""),3310.0)</f>
        <v>3310</v>
      </c>
      <c r="F538" s="5">
        <f>IFERROR(__xludf.DUMMYFUNCTION("""COMPUTED_VALUE"""),5.87669E7)</f>
        <v>58766900</v>
      </c>
      <c r="G538" s="5">
        <f t="shared" si="1"/>
        <v>260</v>
      </c>
    </row>
    <row r="539">
      <c r="A539" s="4">
        <f>IFERROR(__xludf.DUMMYFUNCTION("""COMPUTED_VALUE"""),44635.66666666667)</f>
        <v>44635.66667</v>
      </c>
      <c r="B539" s="5">
        <f>IFERROR(__xludf.DUMMYFUNCTION("""COMPUTED_VALUE"""),3300.0)</f>
        <v>3300</v>
      </c>
      <c r="C539" s="5">
        <f>IFERROR(__xludf.DUMMYFUNCTION("""COMPUTED_VALUE"""),3400.0)</f>
        <v>3400</v>
      </c>
      <c r="D539" s="5">
        <f>IFERROR(__xludf.DUMMYFUNCTION("""COMPUTED_VALUE"""),3230.0)</f>
        <v>3230</v>
      </c>
      <c r="E539" s="5">
        <f>IFERROR(__xludf.DUMMYFUNCTION("""COMPUTED_VALUE"""),3300.0)</f>
        <v>3300</v>
      </c>
      <c r="F539" s="5">
        <f>IFERROR(__xludf.DUMMYFUNCTION("""COMPUTED_VALUE"""),3.97408E7)</f>
        <v>39740800</v>
      </c>
      <c r="G539" s="5">
        <f t="shared" si="1"/>
        <v>170</v>
      </c>
    </row>
    <row r="540">
      <c r="A540" s="4">
        <f>IFERROR(__xludf.DUMMYFUNCTION("""COMPUTED_VALUE"""),44636.66666666667)</f>
        <v>44636.66667</v>
      </c>
      <c r="B540" s="5">
        <f>IFERROR(__xludf.DUMMYFUNCTION("""COMPUTED_VALUE"""),3310.0)</f>
        <v>3310</v>
      </c>
      <c r="C540" s="5">
        <f>IFERROR(__xludf.DUMMYFUNCTION("""COMPUTED_VALUE"""),3390.0)</f>
        <v>3390</v>
      </c>
      <c r="D540" s="5">
        <f>IFERROR(__xludf.DUMMYFUNCTION("""COMPUTED_VALUE"""),3310.0)</f>
        <v>3310</v>
      </c>
      <c r="E540" s="5">
        <f>IFERROR(__xludf.DUMMYFUNCTION("""COMPUTED_VALUE"""),3380.0)</f>
        <v>3380</v>
      </c>
      <c r="F540" s="5">
        <f>IFERROR(__xludf.DUMMYFUNCTION("""COMPUTED_VALUE"""),1.93321E7)</f>
        <v>19332100</v>
      </c>
      <c r="G540" s="5">
        <f t="shared" si="1"/>
        <v>90</v>
      </c>
    </row>
    <row r="541">
      <c r="A541" s="4">
        <f>IFERROR(__xludf.DUMMYFUNCTION("""COMPUTED_VALUE"""),44637.66666666667)</f>
        <v>44637.66667</v>
      </c>
      <c r="B541" s="5">
        <f>IFERROR(__xludf.DUMMYFUNCTION("""COMPUTED_VALUE"""),3380.0)</f>
        <v>3380</v>
      </c>
      <c r="C541" s="5">
        <f>IFERROR(__xludf.DUMMYFUNCTION("""COMPUTED_VALUE"""),3380.0)</f>
        <v>3380</v>
      </c>
      <c r="D541" s="5">
        <f>IFERROR(__xludf.DUMMYFUNCTION("""COMPUTED_VALUE"""),3310.0)</f>
        <v>3310</v>
      </c>
      <c r="E541" s="5">
        <f>IFERROR(__xludf.DUMMYFUNCTION("""COMPUTED_VALUE"""),3320.0)</f>
        <v>3320</v>
      </c>
      <c r="F541" s="5">
        <f>IFERROR(__xludf.DUMMYFUNCTION("""COMPUTED_VALUE"""),1.21229E7)</f>
        <v>12122900</v>
      </c>
      <c r="G541" s="5">
        <f t="shared" si="1"/>
        <v>70</v>
      </c>
    </row>
    <row r="542">
      <c r="A542" s="4">
        <f>IFERROR(__xludf.DUMMYFUNCTION("""COMPUTED_VALUE"""),44638.66666666667)</f>
        <v>44638.66667</v>
      </c>
      <c r="B542" s="5">
        <f>IFERROR(__xludf.DUMMYFUNCTION("""COMPUTED_VALUE"""),3340.0)</f>
        <v>3340</v>
      </c>
      <c r="C542" s="5">
        <f>IFERROR(__xludf.DUMMYFUNCTION("""COMPUTED_VALUE"""),3380.0)</f>
        <v>3380</v>
      </c>
      <c r="D542" s="5">
        <f>IFERROR(__xludf.DUMMYFUNCTION("""COMPUTED_VALUE"""),3190.0)</f>
        <v>3190</v>
      </c>
      <c r="E542" s="5">
        <f>IFERROR(__xludf.DUMMYFUNCTION("""COMPUTED_VALUE"""),3190.0)</f>
        <v>3190</v>
      </c>
      <c r="F542" s="5">
        <f>IFERROR(__xludf.DUMMYFUNCTION("""COMPUTED_VALUE"""),1.731331E8)</f>
        <v>173133100</v>
      </c>
      <c r="G542" s="5">
        <f t="shared" si="1"/>
        <v>190</v>
      </c>
    </row>
    <row r="543">
      <c r="A543" s="4">
        <f>IFERROR(__xludf.DUMMYFUNCTION("""COMPUTED_VALUE"""),44641.66666666667)</f>
        <v>44641.66667</v>
      </c>
      <c r="B543" s="5">
        <f>IFERROR(__xludf.DUMMYFUNCTION("""COMPUTED_VALUE"""),3230.0)</f>
        <v>3230</v>
      </c>
      <c r="C543" s="5">
        <f>IFERROR(__xludf.DUMMYFUNCTION("""COMPUTED_VALUE"""),3270.0)</f>
        <v>3270</v>
      </c>
      <c r="D543" s="5">
        <f>IFERROR(__xludf.DUMMYFUNCTION("""COMPUTED_VALUE"""),3190.0)</f>
        <v>3190</v>
      </c>
      <c r="E543" s="5">
        <f>IFERROR(__xludf.DUMMYFUNCTION("""COMPUTED_VALUE"""),3220.0)</f>
        <v>3220</v>
      </c>
      <c r="F543" s="5">
        <f>IFERROR(__xludf.DUMMYFUNCTION("""COMPUTED_VALUE"""),5.50145E7)</f>
        <v>55014500</v>
      </c>
      <c r="G543" s="5">
        <f t="shared" si="1"/>
        <v>80</v>
      </c>
    </row>
    <row r="544">
      <c r="A544" s="4">
        <f>IFERROR(__xludf.DUMMYFUNCTION("""COMPUTED_VALUE"""),44642.66666666667)</f>
        <v>44642.66667</v>
      </c>
      <c r="B544" s="5">
        <f>IFERROR(__xludf.DUMMYFUNCTION("""COMPUTED_VALUE"""),3220.0)</f>
        <v>3220</v>
      </c>
      <c r="C544" s="5">
        <f>IFERROR(__xludf.DUMMYFUNCTION("""COMPUTED_VALUE"""),3320.0)</f>
        <v>3320</v>
      </c>
      <c r="D544" s="5">
        <f>IFERROR(__xludf.DUMMYFUNCTION("""COMPUTED_VALUE"""),3220.0)</f>
        <v>3220</v>
      </c>
      <c r="E544" s="5">
        <f>IFERROR(__xludf.DUMMYFUNCTION("""COMPUTED_VALUE"""),3300.0)</f>
        <v>3300</v>
      </c>
      <c r="F544" s="5">
        <f>IFERROR(__xludf.DUMMYFUNCTION("""COMPUTED_VALUE"""),3.2211E7)</f>
        <v>32211000</v>
      </c>
      <c r="G544" s="5">
        <f t="shared" si="1"/>
        <v>100</v>
      </c>
    </row>
    <row r="545">
      <c r="A545" s="4">
        <f>IFERROR(__xludf.DUMMYFUNCTION("""COMPUTED_VALUE"""),44643.66666666667)</f>
        <v>44643.66667</v>
      </c>
      <c r="B545" s="5">
        <f>IFERROR(__xludf.DUMMYFUNCTION("""COMPUTED_VALUE"""),3330.0)</f>
        <v>3330</v>
      </c>
      <c r="C545" s="5">
        <f>IFERROR(__xludf.DUMMYFUNCTION("""COMPUTED_VALUE"""),3340.0)</f>
        <v>3340</v>
      </c>
      <c r="D545" s="5">
        <f>IFERROR(__xludf.DUMMYFUNCTION("""COMPUTED_VALUE"""),3290.0)</f>
        <v>3290</v>
      </c>
      <c r="E545" s="5">
        <f>IFERROR(__xludf.DUMMYFUNCTION("""COMPUTED_VALUE"""),3330.0)</f>
        <v>3330</v>
      </c>
      <c r="F545" s="5">
        <f>IFERROR(__xludf.DUMMYFUNCTION("""COMPUTED_VALUE"""),2.57276E7)</f>
        <v>25727600</v>
      </c>
      <c r="G545" s="5">
        <f t="shared" si="1"/>
        <v>50</v>
      </c>
    </row>
    <row r="546">
      <c r="A546" s="4">
        <f>IFERROR(__xludf.DUMMYFUNCTION("""COMPUTED_VALUE"""),44644.66666666667)</f>
        <v>44644.66667</v>
      </c>
      <c r="B546" s="5">
        <f>IFERROR(__xludf.DUMMYFUNCTION("""COMPUTED_VALUE"""),3360.0)</f>
        <v>3360</v>
      </c>
      <c r="C546" s="5">
        <f>IFERROR(__xludf.DUMMYFUNCTION("""COMPUTED_VALUE"""),3390.0)</f>
        <v>3390</v>
      </c>
      <c r="D546" s="5">
        <f>IFERROR(__xludf.DUMMYFUNCTION("""COMPUTED_VALUE"""),3320.0)</f>
        <v>3320</v>
      </c>
      <c r="E546" s="5">
        <f>IFERROR(__xludf.DUMMYFUNCTION("""COMPUTED_VALUE"""),3350.0)</f>
        <v>3350</v>
      </c>
      <c r="F546" s="5">
        <f>IFERROR(__xludf.DUMMYFUNCTION("""COMPUTED_VALUE"""),2.6027E7)</f>
        <v>26027000</v>
      </c>
      <c r="G546" s="5">
        <f t="shared" si="1"/>
        <v>70</v>
      </c>
    </row>
    <row r="547">
      <c r="A547" s="4">
        <f>IFERROR(__xludf.DUMMYFUNCTION("""COMPUTED_VALUE"""),44645.66666666667)</f>
        <v>44645.66667</v>
      </c>
      <c r="B547" s="5">
        <f>IFERROR(__xludf.DUMMYFUNCTION("""COMPUTED_VALUE"""),3360.0)</f>
        <v>3360</v>
      </c>
      <c r="C547" s="5">
        <f>IFERROR(__xludf.DUMMYFUNCTION("""COMPUTED_VALUE"""),3370.0)</f>
        <v>3370</v>
      </c>
      <c r="D547" s="5">
        <f>IFERROR(__xludf.DUMMYFUNCTION("""COMPUTED_VALUE"""),3310.0)</f>
        <v>3310</v>
      </c>
      <c r="E547" s="5">
        <f>IFERROR(__xludf.DUMMYFUNCTION("""COMPUTED_VALUE"""),3320.0)</f>
        <v>3320</v>
      </c>
      <c r="F547" s="5">
        <f>IFERROR(__xludf.DUMMYFUNCTION("""COMPUTED_VALUE"""),1.89895E7)</f>
        <v>18989500</v>
      </c>
      <c r="G547" s="5">
        <f t="shared" si="1"/>
        <v>60</v>
      </c>
    </row>
    <row r="548">
      <c r="A548" s="4">
        <f>IFERROR(__xludf.DUMMYFUNCTION("""COMPUTED_VALUE"""),44648.66666666667)</f>
        <v>44648.66667</v>
      </c>
      <c r="B548" s="5">
        <f>IFERROR(__xludf.DUMMYFUNCTION("""COMPUTED_VALUE"""),3320.0)</f>
        <v>3320</v>
      </c>
      <c r="C548" s="5">
        <f>IFERROR(__xludf.DUMMYFUNCTION("""COMPUTED_VALUE"""),3440.0)</f>
        <v>3440</v>
      </c>
      <c r="D548" s="5">
        <f>IFERROR(__xludf.DUMMYFUNCTION("""COMPUTED_VALUE"""),3320.0)</f>
        <v>3320</v>
      </c>
      <c r="E548" s="5">
        <f>IFERROR(__xludf.DUMMYFUNCTION("""COMPUTED_VALUE"""),3430.0)</f>
        <v>3430</v>
      </c>
      <c r="F548" s="5">
        <f>IFERROR(__xludf.DUMMYFUNCTION("""COMPUTED_VALUE"""),3.15881E7)</f>
        <v>31588100</v>
      </c>
      <c r="G548" s="5">
        <f t="shared" si="1"/>
        <v>120</v>
      </c>
    </row>
    <row r="549">
      <c r="A549" s="4">
        <f>IFERROR(__xludf.DUMMYFUNCTION("""COMPUTED_VALUE"""),44649.66666666667)</f>
        <v>44649.66667</v>
      </c>
      <c r="B549" s="5">
        <f>IFERROR(__xludf.DUMMYFUNCTION("""COMPUTED_VALUE"""),3450.0)</f>
        <v>3450</v>
      </c>
      <c r="C549" s="5">
        <f>IFERROR(__xludf.DUMMYFUNCTION("""COMPUTED_VALUE"""),3450.0)</f>
        <v>3450</v>
      </c>
      <c r="D549" s="5">
        <f>IFERROR(__xludf.DUMMYFUNCTION("""COMPUTED_VALUE"""),3360.0)</f>
        <v>3360</v>
      </c>
      <c r="E549" s="5">
        <f>IFERROR(__xludf.DUMMYFUNCTION("""COMPUTED_VALUE"""),3370.0)</f>
        <v>3370</v>
      </c>
      <c r="F549" s="5">
        <f>IFERROR(__xludf.DUMMYFUNCTION("""COMPUTED_VALUE"""),3.35057E7)</f>
        <v>33505700</v>
      </c>
      <c r="G549" s="5">
        <f t="shared" si="1"/>
        <v>90</v>
      </c>
    </row>
    <row r="550">
      <c r="A550" s="4">
        <f>IFERROR(__xludf.DUMMYFUNCTION("""COMPUTED_VALUE"""),44650.66666666667)</f>
        <v>44650.66667</v>
      </c>
      <c r="B550" s="5">
        <f>IFERROR(__xludf.DUMMYFUNCTION("""COMPUTED_VALUE"""),3370.0)</f>
        <v>3370</v>
      </c>
      <c r="C550" s="5">
        <f>IFERROR(__xludf.DUMMYFUNCTION("""COMPUTED_VALUE"""),3380.0)</f>
        <v>3380</v>
      </c>
      <c r="D550" s="5">
        <f>IFERROR(__xludf.DUMMYFUNCTION("""COMPUTED_VALUE"""),3260.0)</f>
        <v>3260</v>
      </c>
      <c r="E550" s="5">
        <f>IFERROR(__xludf.DUMMYFUNCTION("""COMPUTED_VALUE"""),3280.0)</f>
        <v>3280</v>
      </c>
      <c r="F550" s="5">
        <f>IFERROR(__xludf.DUMMYFUNCTION("""COMPUTED_VALUE"""),4.36282E7)</f>
        <v>43628200</v>
      </c>
      <c r="G550" s="5">
        <f t="shared" si="1"/>
        <v>120</v>
      </c>
    </row>
    <row r="551">
      <c r="A551" s="4">
        <f>IFERROR(__xludf.DUMMYFUNCTION("""COMPUTED_VALUE"""),44651.66666666667)</f>
        <v>44651.66667</v>
      </c>
      <c r="B551" s="5">
        <f>IFERROR(__xludf.DUMMYFUNCTION("""COMPUTED_VALUE"""),3280.0)</f>
        <v>3280</v>
      </c>
      <c r="C551" s="5">
        <f>IFERROR(__xludf.DUMMYFUNCTION("""COMPUTED_VALUE"""),3340.0)</f>
        <v>3340</v>
      </c>
      <c r="D551" s="5">
        <f>IFERROR(__xludf.DUMMYFUNCTION("""COMPUTED_VALUE"""),3280.0)</f>
        <v>3280</v>
      </c>
      <c r="E551" s="5">
        <f>IFERROR(__xludf.DUMMYFUNCTION("""COMPUTED_VALUE"""),3290.0)</f>
        <v>3290</v>
      </c>
      <c r="F551" s="5">
        <f>IFERROR(__xludf.DUMMYFUNCTION("""COMPUTED_VALUE"""),1.38147E7)</f>
        <v>13814700</v>
      </c>
      <c r="G551" s="5">
        <f t="shared" si="1"/>
        <v>60</v>
      </c>
    </row>
    <row r="552">
      <c r="A552" s="4">
        <f>IFERROR(__xludf.DUMMYFUNCTION("""COMPUTED_VALUE"""),44652.66666666667)</f>
        <v>44652.66667</v>
      </c>
      <c r="B552" s="5">
        <f>IFERROR(__xludf.DUMMYFUNCTION("""COMPUTED_VALUE"""),3290.0)</f>
        <v>3290</v>
      </c>
      <c r="C552" s="5">
        <f>IFERROR(__xludf.DUMMYFUNCTION("""COMPUTED_VALUE"""),3360.0)</f>
        <v>3360</v>
      </c>
      <c r="D552" s="5">
        <f>IFERROR(__xludf.DUMMYFUNCTION("""COMPUTED_VALUE"""),3270.0)</f>
        <v>3270</v>
      </c>
      <c r="E552" s="5">
        <f>IFERROR(__xludf.DUMMYFUNCTION("""COMPUTED_VALUE"""),3330.0)</f>
        <v>3330</v>
      </c>
      <c r="F552" s="5">
        <f>IFERROR(__xludf.DUMMYFUNCTION("""COMPUTED_VALUE"""),2.05965E7)</f>
        <v>20596500</v>
      </c>
      <c r="G552" s="5">
        <f t="shared" si="1"/>
        <v>90</v>
      </c>
    </row>
    <row r="553">
      <c r="A553" s="4">
        <f>IFERROR(__xludf.DUMMYFUNCTION("""COMPUTED_VALUE"""),44655.66666666667)</f>
        <v>44655.66667</v>
      </c>
      <c r="B553" s="5">
        <f>IFERROR(__xludf.DUMMYFUNCTION("""COMPUTED_VALUE"""),3350.0)</f>
        <v>3350</v>
      </c>
      <c r="C553" s="5">
        <f>IFERROR(__xludf.DUMMYFUNCTION("""COMPUTED_VALUE"""),3370.0)</f>
        <v>3370</v>
      </c>
      <c r="D553" s="5">
        <f>IFERROR(__xludf.DUMMYFUNCTION("""COMPUTED_VALUE"""),3330.0)</f>
        <v>3330</v>
      </c>
      <c r="E553" s="5">
        <f>IFERROR(__xludf.DUMMYFUNCTION("""COMPUTED_VALUE"""),3360.0)</f>
        <v>3360</v>
      </c>
      <c r="F553" s="5">
        <f>IFERROR(__xludf.DUMMYFUNCTION("""COMPUTED_VALUE"""),1.73735E7)</f>
        <v>17373500</v>
      </c>
      <c r="G553" s="5">
        <f t="shared" si="1"/>
        <v>40</v>
      </c>
    </row>
    <row r="554">
      <c r="A554" s="4">
        <f>IFERROR(__xludf.DUMMYFUNCTION("""COMPUTED_VALUE"""),44656.66666666667)</f>
        <v>44656.66667</v>
      </c>
      <c r="B554" s="5">
        <f>IFERROR(__xludf.DUMMYFUNCTION("""COMPUTED_VALUE"""),3360.0)</f>
        <v>3360</v>
      </c>
      <c r="C554" s="5">
        <f>IFERROR(__xludf.DUMMYFUNCTION("""COMPUTED_VALUE"""),3480.0)</f>
        <v>3480</v>
      </c>
      <c r="D554" s="5">
        <f>IFERROR(__xludf.DUMMYFUNCTION("""COMPUTED_VALUE"""),3360.0)</f>
        <v>3360</v>
      </c>
      <c r="E554" s="5">
        <f>IFERROR(__xludf.DUMMYFUNCTION("""COMPUTED_VALUE"""),3480.0)</f>
        <v>3480</v>
      </c>
      <c r="F554" s="5">
        <f>IFERROR(__xludf.DUMMYFUNCTION("""COMPUTED_VALUE"""),3.87257E7)</f>
        <v>38725700</v>
      </c>
      <c r="G554" s="5">
        <f t="shared" si="1"/>
        <v>120</v>
      </c>
    </row>
    <row r="555">
      <c r="A555" s="4">
        <f>IFERROR(__xludf.DUMMYFUNCTION("""COMPUTED_VALUE"""),44657.66666666667)</f>
        <v>44657.66667</v>
      </c>
      <c r="B555" s="5">
        <f>IFERROR(__xludf.DUMMYFUNCTION("""COMPUTED_VALUE"""),3520.0)</f>
        <v>3520</v>
      </c>
      <c r="C555" s="5">
        <f>IFERROR(__xludf.DUMMYFUNCTION("""COMPUTED_VALUE"""),3530.0)</f>
        <v>3530</v>
      </c>
      <c r="D555" s="5">
        <f>IFERROR(__xludf.DUMMYFUNCTION("""COMPUTED_VALUE"""),3480.0)</f>
        <v>3480</v>
      </c>
      <c r="E555" s="5">
        <f>IFERROR(__xludf.DUMMYFUNCTION("""COMPUTED_VALUE"""),3490.0)</f>
        <v>3490</v>
      </c>
      <c r="F555" s="5">
        <f>IFERROR(__xludf.DUMMYFUNCTION("""COMPUTED_VALUE"""),6.05878E7)</f>
        <v>60587800</v>
      </c>
      <c r="G555" s="5">
        <f t="shared" si="1"/>
        <v>50</v>
      </c>
    </row>
    <row r="556">
      <c r="A556" s="4">
        <f>IFERROR(__xludf.DUMMYFUNCTION("""COMPUTED_VALUE"""),44658.66666666667)</f>
        <v>44658.66667</v>
      </c>
      <c r="B556" s="5">
        <f>IFERROR(__xludf.DUMMYFUNCTION("""COMPUTED_VALUE"""),3510.0)</f>
        <v>3510</v>
      </c>
      <c r="C556" s="5">
        <f>IFERROR(__xludf.DUMMYFUNCTION("""COMPUTED_VALUE"""),3510.0)</f>
        <v>3510</v>
      </c>
      <c r="D556" s="5">
        <f>IFERROR(__xludf.DUMMYFUNCTION("""COMPUTED_VALUE"""),3440.0)</f>
        <v>3440</v>
      </c>
      <c r="E556" s="5">
        <f>IFERROR(__xludf.DUMMYFUNCTION("""COMPUTED_VALUE"""),3500.0)</f>
        <v>3500</v>
      </c>
      <c r="F556" s="5">
        <f>IFERROR(__xludf.DUMMYFUNCTION("""COMPUTED_VALUE"""),2.85404E7)</f>
        <v>28540400</v>
      </c>
      <c r="G556" s="5">
        <f t="shared" si="1"/>
        <v>70</v>
      </c>
    </row>
    <row r="557">
      <c r="A557" s="4">
        <f>IFERROR(__xludf.DUMMYFUNCTION("""COMPUTED_VALUE"""),44659.66666666667)</f>
        <v>44659.66667</v>
      </c>
      <c r="B557" s="5">
        <f>IFERROR(__xludf.DUMMYFUNCTION("""COMPUTED_VALUE"""),3500.0)</f>
        <v>3500</v>
      </c>
      <c r="C557" s="5">
        <f>IFERROR(__xludf.DUMMYFUNCTION("""COMPUTED_VALUE"""),3600.0)</f>
        <v>3600</v>
      </c>
      <c r="D557" s="5">
        <f>IFERROR(__xludf.DUMMYFUNCTION("""COMPUTED_VALUE"""),3480.0)</f>
        <v>3480</v>
      </c>
      <c r="E557" s="5">
        <f>IFERROR(__xludf.DUMMYFUNCTION("""COMPUTED_VALUE"""),3600.0)</f>
        <v>3600</v>
      </c>
      <c r="F557" s="5">
        <f>IFERROR(__xludf.DUMMYFUNCTION("""COMPUTED_VALUE"""),4.08759E7)</f>
        <v>40875900</v>
      </c>
      <c r="G557" s="5">
        <f t="shared" si="1"/>
        <v>120</v>
      </c>
    </row>
    <row r="558">
      <c r="A558" s="4">
        <f>IFERROR(__xludf.DUMMYFUNCTION("""COMPUTED_VALUE"""),44662.66666666667)</f>
        <v>44662.66667</v>
      </c>
      <c r="B558" s="5">
        <f>IFERROR(__xludf.DUMMYFUNCTION("""COMPUTED_VALUE"""),3600.0)</f>
        <v>3600</v>
      </c>
      <c r="C558" s="5">
        <f>IFERROR(__xludf.DUMMYFUNCTION("""COMPUTED_VALUE"""),3670.0)</f>
        <v>3670</v>
      </c>
      <c r="D558" s="5">
        <f>IFERROR(__xludf.DUMMYFUNCTION("""COMPUTED_VALUE"""),3550.0)</f>
        <v>3550</v>
      </c>
      <c r="E558" s="5">
        <f>IFERROR(__xludf.DUMMYFUNCTION("""COMPUTED_VALUE"""),3550.0)</f>
        <v>3550</v>
      </c>
      <c r="F558" s="5">
        <f>IFERROR(__xludf.DUMMYFUNCTION("""COMPUTED_VALUE"""),4.4012E7)</f>
        <v>44012000</v>
      </c>
      <c r="G558" s="5">
        <f t="shared" si="1"/>
        <v>120</v>
      </c>
    </row>
    <row r="559">
      <c r="A559" s="4">
        <f>IFERROR(__xludf.DUMMYFUNCTION("""COMPUTED_VALUE"""),44663.66666666667)</f>
        <v>44663.66667</v>
      </c>
      <c r="B559" s="5">
        <f>IFERROR(__xludf.DUMMYFUNCTION("""COMPUTED_VALUE"""),3550.0)</f>
        <v>3550</v>
      </c>
      <c r="C559" s="5">
        <f>IFERROR(__xludf.DUMMYFUNCTION("""COMPUTED_VALUE"""),3570.0)</f>
        <v>3570</v>
      </c>
      <c r="D559" s="5">
        <f>IFERROR(__xludf.DUMMYFUNCTION("""COMPUTED_VALUE"""),3490.0)</f>
        <v>3490</v>
      </c>
      <c r="E559" s="5">
        <f>IFERROR(__xludf.DUMMYFUNCTION("""COMPUTED_VALUE"""),3510.0)</f>
        <v>3510</v>
      </c>
      <c r="F559" s="5">
        <f>IFERROR(__xludf.DUMMYFUNCTION("""COMPUTED_VALUE"""),2.72672E7)</f>
        <v>27267200</v>
      </c>
      <c r="G559" s="5">
        <f t="shared" si="1"/>
        <v>80</v>
      </c>
    </row>
    <row r="560">
      <c r="A560" s="4">
        <f>IFERROR(__xludf.DUMMYFUNCTION("""COMPUTED_VALUE"""),44664.66666666667)</f>
        <v>44664.66667</v>
      </c>
      <c r="B560" s="5">
        <f>IFERROR(__xludf.DUMMYFUNCTION("""COMPUTED_VALUE"""),3570.0)</f>
        <v>3570</v>
      </c>
      <c r="C560" s="5">
        <f>IFERROR(__xludf.DUMMYFUNCTION("""COMPUTED_VALUE"""),3760.0)</f>
        <v>3760</v>
      </c>
      <c r="D560" s="5">
        <f>IFERROR(__xludf.DUMMYFUNCTION("""COMPUTED_VALUE"""),3540.0)</f>
        <v>3540</v>
      </c>
      <c r="E560" s="5">
        <f>IFERROR(__xludf.DUMMYFUNCTION("""COMPUTED_VALUE"""),3760.0)</f>
        <v>3760</v>
      </c>
      <c r="F560" s="5">
        <f>IFERROR(__xludf.DUMMYFUNCTION("""COMPUTED_VALUE"""),9.35536E7)</f>
        <v>93553600</v>
      </c>
      <c r="G560" s="5">
        <f t="shared" si="1"/>
        <v>250</v>
      </c>
    </row>
    <row r="561">
      <c r="A561" s="4">
        <f>IFERROR(__xludf.DUMMYFUNCTION("""COMPUTED_VALUE"""),44665.66666666667)</f>
        <v>44665.66667</v>
      </c>
      <c r="B561" s="5">
        <f>IFERROR(__xludf.DUMMYFUNCTION("""COMPUTED_VALUE"""),3760.0)</f>
        <v>3760</v>
      </c>
      <c r="C561" s="5">
        <f>IFERROR(__xludf.DUMMYFUNCTION("""COMPUTED_VALUE"""),3790.0)</f>
        <v>3790</v>
      </c>
      <c r="D561" s="5">
        <f>IFERROR(__xludf.DUMMYFUNCTION("""COMPUTED_VALUE"""),3720.0)</f>
        <v>3720</v>
      </c>
      <c r="E561" s="5">
        <f>IFERROR(__xludf.DUMMYFUNCTION("""COMPUTED_VALUE"""),3770.0)</f>
        <v>3770</v>
      </c>
      <c r="F561" s="5">
        <f>IFERROR(__xludf.DUMMYFUNCTION("""COMPUTED_VALUE"""),4.09454E7)</f>
        <v>40945400</v>
      </c>
      <c r="G561" s="5">
        <f t="shared" si="1"/>
        <v>70</v>
      </c>
    </row>
    <row r="562">
      <c r="A562" s="4">
        <f>IFERROR(__xludf.DUMMYFUNCTION("""COMPUTED_VALUE"""),44669.66666666667)</f>
        <v>44669.66667</v>
      </c>
      <c r="B562" s="5">
        <f>IFERROR(__xludf.DUMMYFUNCTION("""COMPUTED_VALUE"""),3740.0)</f>
        <v>3740</v>
      </c>
      <c r="C562" s="5">
        <f>IFERROR(__xludf.DUMMYFUNCTION("""COMPUTED_VALUE"""),3820.0)</f>
        <v>3820</v>
      </c>
      <c r="D562" s="5">
        <f>IFERROR(__xludf.DUMMYFUNCTION("""COMPUTED_VALUE"""),3720.0)</f>
        <v>3720</v>
      </c>
      <c r="E562" s="5">
        <f>IFERROR(__xludf.DUMMYFUNCTION("""COMPUTED_VALUE"""),3760.0)</f>
        <v>3760</v>
      </c>
      <c r="F562" s="5">
        <f>IFERROR(__xludf.DUMMYFUNCTION("""COMPUTED_VALUE"""),2.89354E7)</f>
        <v>28935400</v>
      </c>
      <c r="G562" s="5">
        <f t="shared" si="1"/>
        <v>100</v>
      </c>
    </row>
    <row r="563">
      <c r="A563" s="4">
        <f>IFERROR(__xludf.DUMMYFUNCTION("""COMPUTED_VALUE"""),44670.66666666667)</f>
        <v>44670.66667</v>
      </c>
      <c r="B563" s="5">
        <f>IFERROR(__xludf.DUMMYFUNCTION("""COMPUTED_VALUE"""),3750.0)</f>
        <v>3750</v>
      </c>
      <c r="C563" s="5">
        <f>IFERROR(__xludf.DUMMYFUNCTION("""COMPUTED_VALUE"""),3780.0)</f>
        <v>3780</v>
      </c>
      <c r="D563" s="5">
        <f>IFERROR(__xludf.DUMMYFUNCTION("""COMPUTED_VALUE"""),3730.0)</f>
        <v>3730</v>
      </c>
      <c r="E563" s="5">
        <f>IFERROR(__xludf.DUMMYFUNCTION("""COMPUTED_VALUE"""),3750.0)</f>
        <v>3750</v>
      </c>
      <c r="F563" s="5">
        <f>IFERROR(__xludf.DUMMYFUNCTION("""COMPUTED_VALUE"""),2.35953E7)</f>
        <v>23595300</v>
      </c>
      <c r="G563" s="5">
        <f t="shared" si="1"/>
        <v>50</v>
      </c>
    </row>
    <row r="564">
      <c r="A564" s="4">
        <f>IFERROR(__xludf.DUMMYFUNCTION("""COMPUTED_VALUE"""),44671.66666666667)</f>
        <v>44671.66667</v>
      </c>
      <c r="B564" s="5">
        <f>IFERROR(__xludf.DUMMYFUNCTION("""COMPUTED_VALUE"""),3770.0)</f>
        <v>3770</v>
      </c>
      <c r="C564" s="5">
        <f>IFERROR(__xludf.DUMMYFUNCTION("""COMPUTED_VALUE"""),3810.0)</f>
        <v>3810</v>
      </c>
      <c r="D564" s="5">
        <f>IFERROR(__xludf.DUMMYFUNCTION("""COMPUTED_VALUE"""),3660.0)</f>
        <v>3660</v>
      </c>
      <c r="E564" s="5">
        <f>IFERROR(__xludf.DUMMYFUNCTION("""COMPUTED_VALUE"""),3700.0)</f>
        <v>3700</v>
      </c>
      <c r="F564" s="5">
        <f>IFERROR(__xludf.DUMMYFUNCTION("""COMPUTED_VALUE"""),4.3015E7)</f>
        <v>43015000</v>
      </c>
      <c r="G564" s="5">
        <f t="shared" si="1"/>
        <v>150</v>
      </c>
    </row>
    <row r="565">
      <c r="A565" s="4">
        <f>IFERROR(__xludf.DUMMYFUNCTION("""COMPUTED_VALUE"""),44672.66666666667)</f>
        <v>44672.66667</v>
      </c>
      <c r="B565" s="5">
        <f>IFERROR(__xludf.DUMMYFUNCTION("""COMPUTED_VALUE"""),3710.0)</f>
        <v>3710</v>
      </c>
      <c r="C565" s="5">
        <f>IFERROR(__xludf.DUMMYFUNCTION("""COMPUTED_VALUE"""),3830.0)</f>
        <v>3830</v>
      </c>
      <c r="D565" s="5">
        <f>IFERROR(__xludf.DUMMYFUNCTION("""COMPUTED_VALUE"""),3710.0)</f>
        <v>3710</v>
      </c>
      <c r="E565" s="5">
        <f>IFERROR(__xludf.DUMMYFUNCTION("""COMPUTED_VALUE"""),3720.0)</f>
        <v>3720</v>
      </c>
      <c r="F565" s="5">
        <f>IFERROR(__xludf.DUMMYFUNCTION("""COMPUTED_VALUE"""),4.1534E7)</f>
        <v>41534000</v>
      </c>
      <c r="G565" s="5">
        <f t="shared" si="1"/>
        <v>130</v>
      </c>
    </row>
    <row r="566">
      <c r="A566" s="4">
        <f>IFERROR(__xludf.DUMMYFUNCTION("""COMPUTED_VALUE"""),44673.66666666667)</f>
        <v>44673.66667</v>
      </c>
      <c r="B566" s="5">
        <f>IFERROR(__xludf.DUMMYFUNCTION("""COMPUTED_VALUE"""),3710.0)</f>
        <v>3710</v>
      </c>
      <c r="C566" s="5">
        <f>IFERROR(__xludf.DUMMYFUNCTION("""COMPUTED_VALUE"""),3750.0)</f>
        <v>3750</v>
      </c>
      <c r="D566" s="5">
        <f>IFERROR(__xludf.DUMMYFUNCTION("""COMPUTED_VALUE"""),3670.0)</f>
        <v>3670</v>
      </c>
      <c r="E566" s="5">
        <f>IFERROR(__xludf.DUMMYFUNCTION("""COMPUTED_VALUE"""),3690.0)</f>
        <v>3690</v>
      </c>
      <c r="F566" s="5">
        <f>IFERROR(__xludf.DUMMYFUNCTION("""COMPUTED_VALUE"""),2.17735E7)</f>
        <v>21773500</v>
      </c>
      <c r="G566" s="5">
        <f t="shared" si="1"/>
        <v>80</v>
      </c>
    </row>
    <row r="567">
      <c r="A567" s="4">
        <f>IFERROR(__xludf.DUMMYFUNCTION("""COMPUTED_VALUE"""),44676.66666666667)</f>
        <v>44676.66667</v>
      </c>
      <c r="B567" s="5">
        <f>IFERROR(__xludf.DUMMYFUNCTION("""COMPUTED_VALUE"""),3650.0)</f>
        <v>3650</v>
      </c>
      <c r="C567" s="5">
        <f>IFERROR(__xludf.DUMMYFUNCTION("""COMPUTED_VALUE"""),3710.0)</f>
        <v>3710</v>
      </c>
      <c r="D567" s="5">
        <f>IFERROR(__xludf.DUMMYFUNCTION("""COMPUTED_VALUE"""),3610.0)</f>
        <v>3610</v>
      </c>
      <c r="E567" s="5">
        <f>IFERROR(__xludf.DUMMYFUNCTION("""COMPUTED_VALUE"""),3700.0)</f>
        <v>3700</v>
      </c>
      <c r="F567" s="5">
        <f>IFERROR(__xludf.DUMMYFUNCTION("""COMPUTED_VALUE"""),2.44762E7)</f>
        <v>24476200</v>
      </c>
      <c r="G567" s="5">
        <f t="shared" si="1"/>
        <v>100</v>
      </c>
    </row>
    <row r="568">
      <c r="A568" s="4">
        <f>IFERROR(__xludf.DUMMYFUNCTION("""COMPUTED_VALUE"""),44677.66666666667)</f>
        <v>44677.66667</v>
      </c>
      <c r="B568" s="5">
        <f>IFERROR(__xludf.DUMMYFUNCTION("""COMPUTED_VALUE"""),3700.0)</f>
        <v>3700</v>
      </c>
      <c r="C568" s="5">
        <f>IFERROR(__xludf.DUMMYFUNCTION("""COMPUTED_VALUE"""),3720.0)</f>
        <v>3720</v>
      </c>
      <c r="D568" s="5">
        <f>IFERROR(__xludf.DUMMYFUNCTION("""COMPUTED_VALUE"""),3610.0)</f>
        <v>3610</v>
      </c>
      <c r="E568" s="5">
        <f>IFERROR(__xludf.DUMMYFUNCTION("""COMPUTED_VALUE"""),3640.0)</f>
        <v>3640</v>
      </c>
      <c r="F568" s="5">
        <f>IFERROR(__xludf.DUMMYFUNCTION("""COMPUTED_VALUE"""),2.40819E7)</f>
        <v>24081900</v>
      </c>
      <c r="G568" s="5">
        <f t="shared" si="1"/>
        <v>110</v>
      </c>
    </row>
    <row r="569">
      <c r="A569" s="4">
        <f>IFERROR(__xludf.DUMMYFUNCTION("""COMPUTED_VALUE"""),44678.66666666667)</f>
        <v>44678.66667</v>
      </c>
      <c r="B569" s="5">
        <f>IFERROR(__xludf.DUMMYFUNCTION("""COMPUTED_VALUE"""),3620.0)</f>
        <v>3620</v>
      </c>
      <c r="C569" s="5">
        <f>IFERROR(__xludf.DUMMYFUNCTION("""COMPUTED_VALUE"""),3700.0)</f>
        <v>3700</v>
      </c>
      <c r="D569" s="5">
        <f>IFERROR(__xludf.DUMMYFUNCTION("""COMPUTED_VALUE"""),3620.0)</f>
        <v>3620</v>
      </c>
      <c r="E569" s="5">
        <f>IFERROR(__xludf.DUMMYFUNCTION("""COMPUTED_VALUE"""),3700.0)</f>
        <v>3700</v>
      </c>
      <c r="F569" s="5">
        <f>IFERROR(__xludf.DUMMYFUNCTION("""COMPUTED_VALUE"""),2.05166E7)</f>
        <v>20516600</v>
      </c>
      <c r="G569" s="5">
        <f t="shared" si="1"/>
        <v>80</v>
      </c>
    </row>
    <row r="570">
      <c r="A570" s="4">
        <f>IFERROR(__xludf.DUMMYFUNCTION("""COMPUTED_VALUE"""),44679.66666666667)</f>
        <v>44679.66667</v>
      </c>
      <c r="B570" s="5">
        <f>IFERROR(__xludf.DUMMYFUNCTION("""COMPUTED_VALUE"""),3710.0)</f>
        <v>3710</v>
      </c>
      <c r="C570" s="5">
        <f>IFERROR(__xludf.DUMMYFUNCTION("""COMPUTED_VALUE"""),3850.0)</f>
        <v>3850</v>
      </c>
      <c r="D570" s="5">
        <f>IFERROR(__xludf.DUMMYFUNCTION("""COMPUTED_VALUE"""),3700.0)</f>
        <v>3700</v>
      </c>
      <c r="E570" s="5">
        <f>IFERROR(__xludf.DUMMYFUNCTION("""COMPUTED_VALUE"""),3820.0)</f>
        <v>3820</v>
      </c>
      <c r="F570" s="5">
        <f>IFERROR(__xludf.DUMMYFUNCTION("""COMPUTED_VALUE"""),4.70829E7)</f>
        <v>47082900</v>
      </c>
      <c r="G570" s="5">
        <f t="shared" si="1"/>
        <v>150</v>
      </c>
    </row>
    <row r="571">
      <c r="A571" s="4">
        <f>IFERROR(__xludf.DUMMYFUNCTION("""COMPUTED_VALUE"""),44690.66666666667)</f>
        <v>44690.66667</v>
      </c>
      <c r="B571" s="5">
        <f>IFERROR(__xludf.DUMMYFUNCTION("""COMPUTED_VALUE"""),3850.0)</f>
        <v>3850</v>
      </c>
      <c r="C571" s="5">
        <f>IFERROR(__xludf.DUMMYFUNCTION("""COMPUTED_VALUE"""),3860.0)</f>
        <v>3860</v>
      </c>
      <c r="D571" s="5">
        <f>IFERROR(__xludf.DUMMYFUNCTION("""COMPUTED_VALUE"""),3690.0)</f>
        <v>3690</v>
      </c>
      <c r="E571" s="5">
        <f>IFERROR(__xludf.DUMMYFUNCTION("""COMPUTED_VALUE"""),3770.0)</f>
        <v>3770</v>
      </c>
      <c r="F571" s="5">
        <f>IFERROR(__xludf.DUMMYFUNCTION("""COMPUTED_VALUE"""),5.50667E7)</f>
        <v>55066700</v>
      </c>
      <c r="G571" s="5">
        <f t="shared" si="1"/>
        <v>170</v>
      </c>
    </row>
    <row r="572">
      <c r="A572" s="4">
        <f>IFERROR(__xludf.DUMMYFUNCTION("""COMPUTED_VALUE"""),44691.66666666667)</f>
        <v>44691.66667</v>
      </c>
      <c r="B572" s="5">
        <f>IFERROR(__xludf.DUMMYFUNCTION("""COMPUTED_VALUE"""),3660.0)</f>
        <v>3660</v>
      </c>
      <c r="C572" s="5">
        <f>IFERROR(__xludf.DUMMYFUNCTION("""COMPUTED_VALUE"""),3710.0)</f>
        <v>3710</v>
      </c>
      <c r="D572" s="5">
        <f>IFERROR(__xludf.DUMMYFUNCTION("""COMPUTED_VALUE"""),3560.0)</f>
        <v>3560</v>
      </c>
      <c r="E572" s="5">
        <f>IFERROR(__xludf.DUMMYFUNCTION("""COMPUTED_VALUE"""),3660.0)</f>
        <v>3660</v>
      </c>
      <c r="F572" s="5">
        <f>IFERROR(__xludf.DUMMYFUNCTION("""COMPUTED_VALUE"""),8.93463E7)</f>
        <v>89346300</v>
      </c>
      <c r="G572" s="5">
        <f t="shared" si="1"/>
        <v>210</v>
      </c>
    </row>
    <row r="573">
      <c r="A573" s="4">
        <f>IFERROR(__xludf.DUMMYFUNCTION("""COMPUTED_VALUE"""),44692.66666666667)</f>
        <v>44692.66667</v>
      </c>
      <c r="B573" s="5">
        <f>IFERROR(__xludf.DUMMYFUNCTION("""COMPUTED_VALUE"""),3680.0)</f>
        <v>3680</v>
      </c>
      <c r="C573" s="5">
        <f>IFERROR(__xludf.DUMMYFUNCTION("""COMPUTED_VALUE"""),3760.0)</f>
        <v>3760</v>
      </c>
      <c r="D573" s="5">
        <f>IFERROR(__xludf.DUMMYFUNCTION("""COMPUTED_VALUE"""),3680.0)</f>
        <v>3680</v>
      </c>
      <c r="E573" s="5">
        <f>IFERROR(__xludf.DUMMYFUNCTION("""COMPUTED_VALUE"""),3710.0)</f>
        <v>3710</v>
      </c>
      <c r="F573" s="5">
        <f>IFERROR(__xludf.DUMMYFUNCTION("""COMPUTED_VALUE"""),4.11082E7)</f>
        <v>41108200</v>
      </c>
      <c r="G573" s="5">
        <f t="shared" si="1"/>
        <v>100</v>
      </c>
    </row>
    <row r="574">
      <c r="A574" s="4">
        <f>IFERROR(__xludf.DUMMYFUNCTION("""COMPUTED_VALUE"""),44693.66666666667)</f>
        <v>44693.66667</v>
      </c>
      <c r="B574" s="5">
        <f>IFERROR(__xludf.DUMMYFUNCTION("""COMPUTED_VALUE"""),3720.0)</f>
        <v>3720</v>
      </c>
      <c r="C574" s="5">
        <f>IFERROR(__xludf.DUMMYFUNCTION("""COMPUTED_VALUE"""),3770.0)</f>
        <v>3770</v>
      </c>
      <c r="D574" s="5">
        <f>IFERROR(__xludf.DUMMYFUNCTION("""COMPUTED_VALUE"""),3630.0)</f>
        <v>3630</v>
      </c>
      <c r="E574" s="5">
        <f>IFERROR(__xludf.DUMMYFUNCTION("""COMPUTED_VALUE"""),3650.0)</f>
        <v>3650</v>
      </c>
      <c r="F574" s="5">
        <f>IFERROR(__xludf.DUMMYFUNCTION("""COMPUTED_VALUE"""),5.41573E7)</f>
        <v>54157300</v>
      </c>
      <c r="G574" s="5">
        <f t="shared" si="1"/>
        <v>140</v>
      </c>
    </row>
    <row r="575">
      <c r="A575" s="4">
        <f>IFERROR(__xludf.DUMMYFUNCTION("""COMPUTED_VALUE"""),44694.66666666667)</f>
        <v>44694.66667</v>
      </c>
      <c r="B575" s="5">
        <f>IFERROR(__xludf.DUMMYFUNCTION("""COMPUTED_VALUE"""),3710.0)</f>
        <v>3710</v>
      </c>
      <c r="C575" s="5">
        <f>IFERROR(__xludf.DUMMYFUNCTION("""COMPUTED_VALUE"""),3830.0)</f>
        <v>3830</v>
      </c>
      <c r="D575" s="5">
        <f>IFERROR(__xludf.DUMMYFUNCTION("""COMPUTED_VALUE"""),3670.0)</f>
        <v>3670</v>
      </c>
      <c r="E575" s="5">
        <f>IFERROR(__xludf.DUMMYFUNCTION("""COMPUTED_VALUE"""),3800.0)</f>
        <v>3800</v>
      </c>
      <c r="F575" s="5">
        <f>IFERROR(__xludf.DUMMYFUNCTION("""COMPUTED_VALUE"""),5.29379E7)</f>
        <v>52937900</v>
      </c>
      <c r="G575" s="5">
        <f t="shared" si="1"/>
        <v>180</v>
      </c>
    </row>
    <row r="576">
      <c r="A576" s="4">
        <f>IFERROR(__xludf.DUMMYFUNCTION("""COMPUTED_VALUE"""),44698.66666666667)</f>
        <v>44698.66667</v>
      </c>
      <c r="B576" s="5">
        <f>IFERROR(__xludf.DUMMYFUNCTION("""COMPUTED_VALUE"""),3850.0)</f>
        <v>3850</v>
      </c>
      <c r="C576" s="5">
        <f>IFERROR(__xludf.DUMMYFUNCTION("""COMPUTED_VALUE"""),4130.0)</f>
        <v>4130</v>
      </c>
      <c r="D576" s="5">
        <f>IFERROR(__xludf.DUMMYFUNCTION("""COMPUTED_VALUE"""),3840.0)</f>
        <v>3840</v>
      </c>
      <c r="E576" s="5">
        <f>IFERROR(__xludf.DUMMYFUNCTION("""COMPUTED_VALUE"""),4100.0)</f>
        <v>4100</v>
      </c>
      <c r="F576" s="5">
        <f>IFERROR(__xludf.DUMMYFUNCTION("""COMPUTED_VALUE"""),1.08021E8)</f>
        <v>108021000</v>
      </c>
      <c r="G576" s="5">
        <f t="shared" si="1"/>
        <v>330</v>
      </c>
    </row>
    <row r="577">
      <c r="A577" s="4">
        <f>IFERROR(__xludf.DUMMYFUNCTION("""COMPUTED_VALUE"""),44699.66666666667)</f>
        <v>44699.66667</v>
      </c>
      <c r="B577" s="5">
        <f>IFERROR(__xludf.DUMMYFUNCTION("""COMPUTED_VALUE"""),4100.0)</f>
        <v>4100</v>
      </c>
      <c r="C577" s="5">
        <f>IFERROR(__xludf.DUMMYFUNCTION("""COMPUTED_VALUE"""),4130.0)</f>
        <v>4130</v>
      </c>
      <c r="D577" s="5">
        <f>IFERROR(__xludf.DUMMYFUNCTION("""COMPUTED_VALUE"""),3920.0)</f>
        <v>3920</v>
      </c>
      <c r="E577" s="5">
        <f>IFERROR(__xludf.DUMMYFUNCTION("""COMPUTED_VALUE"""),4000.0)</f>
        <v>4000</v>
      </c>
      <c r="F577" s="5">
        <f>IFERROR(__xludf.DUMMYFUNCTION("""COMPUTED_VALUE"""),1.235335E8)</f>
        <v>123533500</v>
      </c>
      <c r="G577" s="5">
        <f t="shared" si="1"/>
        <v>210</v>
      </c>
    </row>
    <row r="578">
      <c r="A578" s="4">
        <f>IFERROR(__xludf.DUMMYFUNCTION("""COMPUTED_VALUE"""),44700.66666666667)</f>
        <v>44700.66667</v>
      </c>
      <c r="B578" s="5">
        <f>IFERROR(__xludf.DUMMYFUNCTION("""COMPUTED_VALUE"""),3940.0)</f>
        <v>3940</v>
      </c>
      <c r="C578" s="5">
        <f>IFERROR(__xludf.DUMMYFUNCTION("""COMPUTED_VALUE"""),3970.0)</f>
        <v>3970</v>
      </c>
      <c r="D578" s="5">
        <f>IFERROR(__xludf.DUMMYFUNCTION("""COMPUTED_VALUE"""),3890.0)</f>
        <v>3890</v>
      </c>
      <c r="E578" s="5">
        <f>IFERROR(__xludf.DUMMYFUNCTION("""COMPUTED_VALUE"""),3950.0)</f>
        <v>3950</v>
      </c>
      <c r="F578" s="5">
        <f>IFERROR(__xludf.DUMMYFUNCTION("""COMPUTED_VALUE"""),4.79984E7)</f>
        <v>47998400</v>
      </c>
      <c r="G578" s="5">
        <f t="shared" si="1"/>
        <v>110</v>
      </c>
    </row>
    <row r="579">
      <c r="A579" s="4">
        <f>IFERROR(__xludf.DUMMYFUNCTION("""COMPUTED_VALUE"""),44701.66666666667)</f>
        <v>44701.66667</v>
      </c>
      <c r="B579" s="5">
        <f>IFERROR(__xludf.DUMMYFUNCTION("""COMPUTED_VALUE"""),3990.0)</f>
        <v>3990</v>
      </c>
      <c r="C579" s="5">
        <f>IFERROR(__xludf.DUMMYFUNCTION("""COMPUTED_VALUE"""),4100.0)</f>
        <v>4100</v>
      </c>
      <c r="D579" s="5">
        <f>IFERROR(__xludf.DUMMYFUNCTION("""COMPUTED_VALUE"""),3980.0)</f>
        <v>3980</v>
      </c>
      <c r="E579" s="5">
        <f>IFERROR(__xludf.DUMMYFUNCTION("""COMPUTED_VALUE"""),4050.0)</f>
        <v>4050</v>
      </c>
      <c r="F579" s="5">
        <f>IFERROR(__xludf.DUMMYFUNCTION("""COMPUTED_VALUE"""),5.82915E7)</f>
        <v>58291500</v>
      </c>
      <c r="G579" s="5">
        <f t="shared" si="1"/>
        <v>150</v>
      </c>
    </row>
    <row r="580">
      <c r="A580" s="4">
        <f>IFERROR(__xludf.DUMMYFUNCTION("""COMPUTED_VALUE"""),44704.66666666667)</f>
        <v>44704.66667</v>
      </c>
      <c r="B580" s="5">
        <f>IFERROR(__xludf.DUMMYFUNCTION("""COMPUTED_VALUE"""),4100.0)</f>
        <v>4100</v>
      </c>
      <c r="C580" s="5">
        <f>IFERROR(__xludf.DUMMYFUNCTION("""COMPUTED_VALUE"""),4160.0)</f>
        <v>4160</v>
      </c>
      <c r="D580" s="5">
        <f>IFERROR(__xludf.DUMMYFUNCTION("""COMPUTED_VALUE"""),4070.0)</f>
        <v>4070</v>
      </c>
      <c r="E580" s="5">
        <f>IFERROR(__xludf.DUMMYFUNCTION("""COMPUTED_VALUE"""),4100.0)</f>
        <v>4100</v>
      </c>
      <c r="F580" s="5">
        <f>IFERROR(__xludf.DUMMYFUNCTION("""COMPUTED_VALUE"""),7.14259E7)</f>
        <v>71425900</v>
      </c>
      <c r="G580" s="5">
        <f t="shared" si="1"/>
        <v>110</v>
      </c>
    </row>
    <row r="581">
      <c r="A581" s="4">
        <f>IFERROR(__xludf.DUMMYFUNCTION("""COMPUTED_VALUE"""),44705.66666666667)</f>
        <v>44705.66667</v>
      </c>
      <c r="B581" s="5">
        <f>IFERROR(__xludf.DUMMYFUNCTION("""COMPUTED_VALUE"""),4120.0)</f>
        <v>4120</v>
      </c>
      <c r="C581" s="5">
        <f>IFERROR(__xludf.DUMMYFUNCTION("""COMPUTED_VALUE"""),4440.0)</f>
        <v>4440</v>
      </c>
      <c r="D581" s="5">
        <f>IFERROR(__xludf.DUMMYFUNCTION("""COMPUTED_VALUE"""),3920.0)</f>
        <v>3920</v>
      </c>
      <c r="E581" s="5">
        <f>IFERROR(__xludf.DUMMYFUNCTION("""COMPUTED_VALUE"""),4400.0)</f>
        <v>4400</v>
      </c>
      <c r="F581" s="5">
        <f>IFERROR(__xludf.DUMMYFUNCTION("""COMPUTED_VALUE"""),2.453752E8)</f>
        <v>245375200</v>
      </c>
      <c r="G581" s="5">
        <f t="shared" si="1"/>
        <v>520</v>
      </c>
    </row>
    <row r="582">
      <c r="A582" s="4">
        <f>IFERROR(__xludf.DUMMYFUNCTION("""COMPUTED_VALUE"""),44706.66666666667)</f>
        <v>44706.66667</v>
      </c>
      <c r="B582" s="5">
        <f>IFERROR(__xludf.DUMMYFUNCTION("""COMPUTED_VALUE"""),4500.0)</f>
        <v>4500</v>
      </c>
      <c r="C582" s="5">
        <f>IFERROR(__xludf.DUMMYFUNCTION("""COMPUTED_VALUE"""),4520.0)</f>
        <v>4520</v>
      </c>
      <c r="D582" s="5">
        <f>IFERROR(__xludf.DUMMYFUNCTION("""COMPUTED_VALUE"""),4380.0)</f>
        <v>4380</v>
      </c>
      <c r="E582" s="5">
        <f>IFERROR(__xludf.DUMMYFUNCTION("""COMPUTED_VALUE"""),4390.0)</f>
        <v>4390</v>
      </c>
      <c r="F582" s="5">
        <f>IFERROR(__xludf.DUMMYFUNCTION("""COMPUTED_VALUE"""),1.426944E8)</f>
        <v>142694400</v>
      </c>
      <c r="G582" s="5">
        <f t="shared" si="1"/>
        <v>140</v>
      </c>
    </row>
    <row r="583">
      <c r="A583" s="4">
        <f>IFERROR(__xludf.DUMMYFUNCTION("""COMPUTED_VALUE"""),44708.66666666667)</f>
        <v>44708.66667</v>
      </c>
      <c r="B583" s="5">
        <f>IFERROR(__xludf.DUMMYFUNCTION("""COMPUTED_VALUE"""),4420.0)</f>
        <v>4420</v>
      </c>
      <c r="C583" s="5">
        <f>IFERROR(__xludf.DUMMYFUNCTION("""COMPUTED_VALUE"""),4440.0)</f>
        <v>4440</v>
      </c>
      <c r="D583" s="5">
        <f>IFERROR(__xludf.DUMMYFUNCTION("""COMPUTED_VALUE"""),4390.0)</f>
        <v>4390</v>
      </c>
      <c r="E583" s="5">
        <f>IFERROR(__xludf.DUMMYFUNCTION("""COMPUTED_VALUE"""),4420.0)</f>
        <v>4420</v>
      </c>
      <c r="F583" s="5">
        <f>IFERROR(__xludf.DUMMYFUNCTION("""COMPUTED_VALUE"""),5.91316E7)</f>
        <v>59131600</v>
      </c>
      <c r="G583" s="5">
        <f t="shared" si="1"/>
        <v>50</v>
      </c>
    </row>
    <row r="584">
      <c r="A584" s="4">
        <f>IFERROR(__xludf.DUMMYFUNCTION("""COMPUTED_VALUE"""),44711.66666666667)</f>
        <v>44711.66667</v>
      </c>
      <c r="B584" s="5">
        <f>IFERROR(__xludf.DUMMYFUNCTION("""COMPUTED_VALUE"""),4460.0)</f>
        <v>4460</v>
      </c>
      <c r="C584" s="5">
        <f>IFERROR(__xludf.DUMMYFUNCTION("""COMPUTED_VALUE"""),4540.0)</f>
        <v>4540</v>
      </c>
      <c r="D584" s="5">
        <f>IFERROR(__xludf.DUMMYFUNCTION("""COMPUTED_VALUE"""),4420.0)</f>
        <v>4420</v>
      </c>
      <c r="E584" s="5">
        <f>IFERROR(__xludf.DUMMYFUNCTION("""COMPUTED_VALUE"""),4430.0)</f>
        <v>4430</v>
      </c>
      <c r="F584" s="5">
        <f>IFERROR(__xludf.DUMMYFUNCTION("""COMPUTED_VALUE"""),7.08331E7)</f>
        <v>70833100</v>
      </c>
      <c r="G584" s="5">
        <f t="shared" si="1"/>
        <v>120</v>
      </c>
    </row>
    <row r="585">
      <c r="A585" s="4">
        <f>IFERROR(__xludf.DUMMYFUNCTION("""COMPUTED_VALUE"""),44712.66666666667)</f>
        <v>44712.66667</v>
      </c>
      <c r="B585" s="5">
        <f>IFERROR(__xludf.DUMMYFUNCTION("""COMPUTED_VALUE"""),4460.0)</f>
        <v>4460</v>
      </c>
      <c r="C585" s="5">
        <f>IFERROR(__xludf.DUMMYFUNCTION("""COMPUTED_VALUE"""),4540.0)</f>
        <v>4540</v>
      </c>
      <c r="D585" s="5">
        <f>IFERROR(__xludf.DUMMYFUNCTION("""COMPUTED_VALUE"""),4440.0)</f>
        <v>4440</v>
      </c>
      <c r="E585" s="5">
        <f>IFERROR(__xludf.DUMMYFUNCTION("""COMPUTED_VALUE"""),4530.0)</f>
        <v>4530</v>
      </c>
      <c r="F585" s="5">
        <f>IFERROR(__xludf.DUMMYFUNCTION("""COMPUTED_VALUE"""),9.95675E7)</f>
        <v>99567500</v>
      </c>
      <c r="G585" s="5">
        <f t="shared" si="1"/>
        <v>110</v>
      </c>
    </row>
    <row r="586">
      <c r="A586" s="4">
        <f>IFERROR(__xludf.DUMMYFUNCTION("""COMPUTED_VALUE"""),44714.66666666667)</f>
        <v>44714.66667</v>
      </c>
      <c r="B586" s="5">
        <f>IFERROR(__xludf.DUMMYFUNCTION("""COMPUTED_VALUE"""),4550.0)</f>
        <v>4550</v>
      </c>
      <c r="C586" s="5">
        <f>IFERROR(__xludf.DUMMYFUNCTION("""COMPUTED_VALUE"""),4630.0)</f>
        <v>4630</v>
      </c>
      <c r="D586" s="5">
        <f>IFERROR(__xludf.DUMMYFUNCTION("""COMPUTED_VALUE"""),4530.0)</f>
        <v>4530</v>
      </c>
      <c r="E586" s="5">
        <f>IFERROR(__xludf.DUMMYFUNCTION("""COMPUTED_VALUE"""),4550.0)</f>
        <v>4550</v>
      </c>
      <c r="F586" s="5">
        <f>IFERROR(__xludf.DUMMYFUNCTION("""COMPUTED_VALUE"""),1.376648E8)</f>
        <v>137664800</v>
      </c>
      <c r="G586" s="5">
        <f t="shared" si="1"/>
        <v>100</v>
      </c>
    </row>
    <row r="587">
      <c r="A587" s="4">
        <f>IFERROR(__xludf.DUMMYFUNCTION("""COMPUTED_VALUE"""),44715.66666666667)</f>
        <v>44715.66667</v>
      </c>
      <c r="B587" s="5">
        <f>IFERROR(__xludf.DUMMYFUNCTION("""COMPUTED_VALUE"""),4580.0)</f>
        <v>4580</v>
      </c>
      <c r="C587" s="5">
        <f>IFERROR(__xludf.DUMMYFUNCTION("""COMPUTED_VALUE"""),4630.0)</f>
        <v>4630</v>
      </c>
      <c r="D587" s="5">
        <f>IFERROR(__xludf.DUMMYFUNCTION("""COMPUTED_VALUE"""),4540.0)</f>
        <v>4540</v>
      </c>
      <c r="E587" s="5">
        <f>IFERROR(__xludf.DUMMYFUNCTION("""COMPUTED_VALUE"""),4630.0)</f>
        <v>4630</v>
      </c>
      <c r="F587" s="5">
        <f>IFERROR(__xludf.DUMMYFUNCTION("""COMPUTED_VALUE"""),1.605764E8)</f>
        <v>160576400</v>
      </c>
      <c r="G587" s="5">
        <f t="shared" si="1"/>
        <v>90</v>
      </c>
    </row>
    <row r="588">
      <c r="A588" s="4">
        <f>IFERROR(__xludf.DUMMYFUNCTION("""COMPUTED_VALUE"""),44718.66666666667)</f>
        <v>44718.66667</v>
      </c>
      <c r="B588" s="5">
        <f>IFERROR(__xludf.DUMMYFUNCTION("""COMPUTED_VALUE"""),4310.0)</f>
        <v>4310</v>
      </c>
      <c r="C588" s="5">
        <f>IFERROR(__xludf.DUMMYFUNCTION("""COMPUTED_VALUE"""),4310.0)</f>
        <v>4310</v>
      </c>
      <c r="D588" s="5">
        <f>IFERROR(__xludf.DUMMYFUNCTION("""COMPUTED_VALUE"""),4310.0)</f>
        <v>4310</v>
      </c>
      <c r="E588" s="5">
        <f>IFERROR(__xludf.DUMMYFUNCTION("""COMPUTED_VALUE"""),4310.0)</f>
        <v>4310</v>
      </c>
      <c r="F588" s="5">
        <f>IFERROR(__xludf.DUMMYFUNCTION("""COMPUTED_VALUE"""),5083700.0)</f>
        <v>5083700</v>
      </c>
      <c r="G588" s="5">
        <f t="shared" si="1"/>
        <v>320</v>
      </c>
    </row>
    <row r="589">
      <c r="A589" s="4">
        <f>IFERROR(__xludf.DUMMYFUNCTION("""COMPUTED_VALUE"""),44719.66666666667)</f>
        <v>44719.66667</v>
      </c>
      <c r="B589" s="5">
        <f>IFERROR(__xludf.DUMMYFUNCTION("""COMPUTED_VALUE"""),4010.0)</f>
        <v>4010</v>
      </c>
      <c r="C589" s="5">
        <f>IFERROR(__xludf.DUMMYFUNCTION("""COMPUTED_VALUE"""),4100.0)</f>
        <v>4100</v>
      </c>
      <c r="D589" s="5">
        <f>IFERROR(__xludf.DUMMYFUNCTION("""COMPUTED_VALUE"""),4010.0)</f>
        <v>4010</v>
      </c>
      <c r="E589" s="5">
        <f>IFERROR(__xludf.DUMMYFUNCTION("""COMPUTED_VALUE"""),4070.0)</f>
        <v>4070</v>
      </c>
      <c r="F589" s="5">
        <f>IFERROR(__xludf.DUMMYFUNCTION("""COMPUTED_VALUE"""),3.417149E8)</f>
        <v>341714900</v>
      </c>
      <c r="G589" s="5">
        <f t="shared" si="1"/>
        <v>300</v>
      </c>
    </row>
    <row r="590">
      <c r="A590" s="4">
        <f>IFERROR(__xludf.DUMMYFUNCTION("""COMPUTED_VALUE"""),44720.66666666667)</f>
        <v>44720.66667</v>
      </c>
      <c r="B590" s="5">
        <f>IFERROR(__xludf.DUMMYFUNCTION("""COMPUTED_VALUE"""),4030.0)</f>
        <v>4030</v>
      </c>
      <c r="C590" s="5">
        <f>IFERROR(__xludf.DUMMYFUNCTION("""COMPUTED_VALUE"""),4060.0)</f>
        <v>4060</v>
      </c>
      <c r="D590" s="5">
        <f>IFERROR(__xludf.DUMMYFUNCTION("""COMPUTED_VALUE"""),4000.0)</f>
        <v>4000</v>
      </c>
      <c r="E590" s="5">
        <f>IFERROR(__xludf.DUMMYFUNCTION("""COMPUTED_VALUE"""),4050.0)</f>
        <v>4050</v>
      </c>
      <c r="F590" s="5">
        <f>IFERROR(__xludf.DUMMYFUNCTION("""COMPUTED_VALUE"""),9.73057E7)</f>
        <v>97305700</v>
      </c>
      <c r="G590" s="5">
        <f t="shared" si="1"/>
        <v>70</v>
      </c>
    </row>
    <row r="591">
      <c r="A591" s="4">
        <f>IFERROR(__xludf.DUMMYFUNCTION("""COMPUTED_VALUE"""),44721.66666666667)</f>
        <v>44721.66667</v>
      </c>
      <c r="B591" s="5">
        <f>IFERROR(__xludf.DUMMYFUNCTION("""COMPUTED_VALUE"""),4050.0)</f>
        <v>4050</v>
      </c>
      <c r="C591" s="5">
        <f>IFERROR(__xludf.DUMMYFUNCTION("""COMPUTED_VALUE"""),4130.0)</f>
        <v>4130</v>
      </c>
      <c r="D591" s="5">
        <f>IFERROR(__xludf.DUMMYFUNCTION("""COMPUTED_VALUE"""),4040.0)</f>
        <v>4040</v>
      </c>
      <c r="E591" s="5">
        <f>IFERROR(__xludf.DUMMYFUNCTION("""COMPUTED_VALUE"""),4070.0)</f>
        <v>4070</v>
      </c>
      <c r="F591" s="5">
        <f>IFERROR(__xludf.DUMMYFUNCTION("""COMPUTED_VALUE"""),6.93455E7)</f>
        <v>69345500</v>
      </c>
      <c r="G591" s="5">
        <f t="shared" si="1"/>
        <v>90</v>
      </c>
    </row>
    <row r="592">
      <c r="A592" s="4">
        <f>IFERROR(__xludf.DUMMYFUNCTION("""COMPUTED_VALUE"""),44722.66666666667)</f>
        <v>44722.66667</v>
      </c>
      <c r="B592" s="5">
        <f>IFERROR(__xludf.DUMMYFUNCTION("""COMPUTED_VALUE"""),4050.0)</f>
        <v>4050</v>
      </c>
      <c r="C592" s="5">
        <f>IFERROR(__xludf.DUMMYFUNCTION("""COMPUTED_VALUE"""),4070.0)</f>
        <v>4070</v>
      </c>
      <c r="D592" s="5">
        <f>IFERROR(__xludf.DUMMYFUNCTION("""COMPUTED_VALUE"""),3900.0)</f>
        <v>3900</v>
      </c>
      <c r="E592" s="5">
        <f>IFERROR(__xludf.DUMMYFUNCTION("""COMPUTED_VALUE"""),3920.0)</f>
        <v>3920</v>
      </c>
      <c r="F592" s="5">
        <f>IFERROR(__xludf.DUMMYFUNCTION("""COMPUTED_VALUE"""),6.96865E7)</f>
        <v>69686500</v>
      </c>
      <c r="G592" s="5">
        <f t="shared" si="1"/>
        <v>170</v>
      </c>
    </row>
    <row r="593">
      <c r="A593" s="4">
        <f>IFERROR(__xludf.DUMMYFUNCTION("""COMPUTED_VALUE"""),44725.66666666667)</f>
        <v>44725.66667</v>
      </c>
      <c r="B593" s="5">
        <f>IFERROR(__xludf.DUMMYFUNCTION("""COMPUTED_VALUE"""),3830.0)</f>
        <v>3830</v>
      </c>
      <c r="C593" s="5">
        <f>IFERROR(__xludf.DUMMYFUNCTION("""COMPUTED_VALUE"""),3880.0)</f>
        <v>3880</v>
      </c>
      <c r="D593" s="5">
        <f>IFERROR(__xludf.DUMMYFUNCTION("""COMPUTED_VALUE"""),3740.0)</f>
        <v>3740</v>
      </c>
      <c r="E593" s="5">
        <f>IFERROR(__xludf.DUMMYFUNCTION("""COMPUTED_VALUE"""),3870.0)</f>
        <v>3870</v>
      </c>
      <c r="F593" s="5">
        <f>IFERROR(__xludf.DUMMYFUNCTION("""COMPUTED_VALUE"""),8.64556E7)</f>
        <v>86455600</v>
      </c>
      <c r="G593" s="5">
        <f t="shared" si="1"/>
        <v>180</v>
      </c>
    </row>
    <row r="594">
      <c r="A594" s="4">
        <f>IFERROR(__xludf.DUMMYFUNCTION("""COMPUTED_VALUE"""),44726.66666666667)</f>
        <v>44726.66667</v>
      </c>
      <c r="B594" s="5">
        <f>IFERROR(__xludf.DUMMYFUNCTION("""COMPUTED_VALUE"""),3860.0)</f>
        <v>3860</v>
      </c>
      <c r="C594" s="5">
        <f>IFERROR(__xludf.DUMMYFUNCTION("""COMPUTED_VALUE"""),3910.0)</f>
        <v>3910</v>
      </c>
      <c r="D594" s="5">
        <f>IFERROR(__xludf.DUMMYFUNCTION("""COMPUTED_VALUE"""),3810.0)</f>
        <v>3810</v>
      </c>
      <c r="E594" s="5">
        <f>IFERROR(__xludf.DUMMYFUNCTION("""COMPUTED_VALUE"""),3880.0)</f>
        <v>3880</v>
      </c>
      <c r="F594" s="5">
        <f>IFERROR(__xludf.DUMMYFUNCTION("""COMPUTED_VALUE"""),4.38987E7)</f>
        <v>43898700</v>
      </c>
      <c r="G594" s="5">
        <f t="shared" si="1"/>
        <v>100</v>
      </c>
    </row>
    <row r="595">
      <c r="A595" s="4">
        <f>IFERROR(__xludf.DUMMYFUNCTION("""COMPUTED_VALUE"""),44727.66666666667)</f>
        <v>44727.66667</v>
      </c>
      <c r="B595" s="5">
        <f>IFERROR(__xludf.DUMMYFUNCTION("""COMPUTED_VALUE"""),3880.0)</f>
        <v>3880</v>
      </c>
      <c r="C595" s="5">
        <f>IFERROR(__xludf.DUMMYFUNCTION("""COMPUTED_VALUE"""),3880.0)</f>
        <v>3880</v>
      </c>
      <c r="D595" s="5">
        <f>IFERROR(__xludf.DUMMYFUNCTION("""COMPUTED_VALUE"""),3680.0)</f>
        <v>3680</v>
      </c>
      <c r="E595" s="5">
        <f>IFERROR(__xludf.DUMMYFUNCTION("""COMPUTED_VALUE"""),3680.0)</f>
        <v>3680</v>
      </c>
      <c r="F595" s="5">
        <f>IFERROR(__xludf.DUMMYFUNCTION("""COMPUTED_VALUE"""),6.92149E7)</f>
        <v>69214900</v>
      </c>
      <c r="G595" s="5">
        <f t="shared" si="1"/>
        <v>200</v>
      </c>
    </row>
    <row r="596">
      <c r="A596" s="4">
        <f>IFERROR(__xludf.DUMMYFUNCTION("""COMPUTED_VALUE"""),44728.66666666667)</f>
        <v>44728.66667</v>
      </c>
      <c r="B596" s="5">
        <f>IFERROR(__xludf.DUMMYFUNCTION("""COMPUTED_VALUE"""),3730.0)</f>
        <v>3730</v>
      </c>
      <c r="C596" s="5">
        <f>IFERROR(__xludf.DUMMYFUNCTION("""COMPUTED_VALUE"""),3860.0)</f>
        <v>3860</v>
      </c>
      <c r="D596" s="5">
        <f>IFERROR(__xludf.DUMMYFUNCTION("""COMPUTED_VALUE"""),3720.0)</f>
        <v>3720</v>
      </c>
      <c r="E596" s="5">
        <f>IFERROR(__xludf.DUMMYFUNCTION("""COMPUTED_VALUE"""),3820.0)</f>
        <v>3820</v>
      </c>
      <c r="F596" s="5">
        <f>IFERROR(__xludf.DUMMYFUNCTION("""COMPUTED_VALUE"""),6.44695E7)</f>
        <v>64469500</v>
      </c>
      <c r="G596" s="5">
        <f t="shared" si="1"/>
        <v>180</v>
      </c>
    </row>
    <row r="597">
      <c r="A597" s="4">
        <f>IFERROR(__xludf.DUMMYFUNCTION("""COMPUTED_VALUE"""),44729.66666666667)</f>
        <v>44729.66667</v>
      </c>
      <c r="B597" s="5">
        <f>IFERROR(__xludf.DUMMYFUNCTION("""COMPUTED_VALUE"""),3790.0)</f>
        <v>3790</v>
      </c>
      <c r="C597" s="5">
        <f>IFERROR(__xludf.DUMMYFUNCTION("""COMPUTED_VALUE"""),3790.0)</f>
        <v>3790</v>
      </c>
      <c r="D597" s="5">
        <f>IFERROR(__xludf.DUMMYFUNCTION("""COMPUTED_VALUE"""),3710.0)</f>
        <v>3710</v>
      </c>
      <c r="E597" s="5">
        <f>IFERROR(__xludf.DUMMYFUNCTION("""COMPUTED_VALUE"""),3730.0)</f>
        <v>3730</v>
      </c>
      <c r="F597" s="5">
        <f>IFERROR(__xludf.DUMMYFUNCTION("""COMPUTED_VALUE"""),4.39607E7)</f>
        <v>43960700</v>
      </c>
      <c r="G597" s="5">
        <f t="shared" si="1"/>
        <v>110</v>
      </c>
    </row>
    <row r="598">
      <c r="A598" s="4">
        <f>IFERROR(__xludf.DUMMYFUNCTION("""COMPUTED_VALUE"""),44732.66666666667)</f>
        <v>44732.66667</v>
      </c>
      <c r="B598" s="5">
        <f>IFERROR(__xludf.DUMMYFUNCTION("""COMPUTED_VALUE"""),3740.0)</f>
        <v>3740</v>
      </c>
      <c r="C598" s="5">
        <f>IFERROR(__xludf.DUMMYFUNCTION("""COMPUTED_VALUE"""),3770.0)</f>
        <v>3770</v>
      </c>
      <c r="D598" s="5">
        <f>IFERROR(__xludf.DUMMYFUNCTION("""COMPUTED_VALUE"""),3680.0)</f>
        <v>3680</v>
      </c>
      <c r="E598" s="5">
        <f>IFERROR(__xludf.DUMMYFUNCTION("""COMPUTED_VALUE"""),3730.0)</f>
        <v>3730</v>
      </c>
      <c r="F598" s="5">
        <f>IFERROR(__xludf.DUMMYFUNCTION("""COMPUTED_VALUE"""),2.72445E7)</f>
        <v>27244500</v>
      </c>
      <c r="G598" s="5">
        <f t="shared" si="1"/>
        <v>90</v>
      </c>
    </row>
    <row r="599">
      <c r="A599" s="4">
        <f>IFERROR(__xludf.DUMMYFUNCTION("""COMPUTED_VALUE"""),44733.66666666667)</f>
        <v>44733.66667</v>
      </c>
      <c r="B599" s="5">
        <f>IFERROR(__xludf.DUMMYFUNCTION("""COMPUTED_VALUE"""),3800.0)</f>
        <v>3800</v>
      </c>
      <c r="C599" s="5">
        <f>IFERROR(__xludf.DUMMYFUNCTION("""COMPUTED_VALUE"""),4070.0)</f>
        <v>4070</v>
      </c>
      <c r="D599" s="5">
        <f>IFERROR(__xludf.DUMMYFUNCTION("""COMPUTED_VALUE"""),3780.0)</f>
        <v>3780</v>
      </c>
      <c r="E599" s="5">
        <f>IFERROR(__xludf.DUMMYFUNCTION("""COMPUTED_VALUE"""),4030.0)</f>
        <v>4030</v>
      </c>
      <c r="F599" s="5">
        <f>IFERROR(__xludf.DUMMYFUNCTION("""COMPUTED_VALUE"""),1.532096E8)</f>
        <v>153209600</v>
      </c>
      <c r="G599" s="5">
        <f t="shared" si="1"/>
        <v>340</v>
      </c>
    </row>
    <row r="600">
      <c r="A600" s="4">
        <f>IFERROR(__xludf.DUMMYFUNCTION("""COMPUTED_VALUE"""),44734.66666666667)</f>
        <v>44734.66667</v>
      </c>
      <c r="B600" s="5">
        <f>IFERROR(__xludf.DUMMYFUNCTION("""COMPUTED_VALUE"""),4050.0)</f>
        <v>4050</v>
      </c>
      <c r="C600" s="5">
        <f>IFERROR(__xludf.DUMMYFUNCTION("""COMPUTED_VALUE"""),4170.0)</f>
        <v>4170</v>
      </c>
      <c r="D600" s="5">
        <f>IFERROR(__xludf.DUMMYFUNCTION("""COMPUTED_VALUE"""),4050.0)</f>
        <v>4050</v>
      </c>
      <c r="E600" s="5">
        <f>IFERROR(__xludf.DUMMYFUNCTION("""COMPUTED_VALUE"""),4120.0)</f>
        <v>4120</v>
      </c>
      <c r="F600" s="5">
        <f>IFERROR(__xludf.DUMMYFUNCTION("""COMPUTED_VALUE"""),1.272319E8)</f>
        <v>127231900</v>
      </c>
      <c r="G600" s="5">
        <f t="shared" si="1"/>
        <v>140</v>
      </c>
    </row>
    <row r="601">
      <c r="A601" s="4">
        <f>IFERROR(__xludf.DUMMYFUNCTION("""COMPUTED_VALUE"""),44735.66666666667)</f>
        <v>44735.66667</v>
      </c>
      <c r="B601" s="5">
        <f>IFERROR(__xludf.DUMMYFUNCTION("""COMPUTED_VALUE"""),4150.0)</f>
        <v>4150</v>
      </c>
      <c r="C601" s="5">
        <f>IFERROR(__xludf.DUMMYFUNCTION("""COMPUTED_VALUE"""),4160.0)</f>
        <v>4160</v>
      </c>
      <c r="D601" s="5">
        <f>IFERROR(__xludf.DUMMYFUNCTION("""COMPUTED_VALUE"""),3990.0)</f>
        <v>3990</v>
      </c>
      <c r="E601" s="5">
        <f>IFERROR(__xludf.DUMMYFUNCTION("""COMPUTED_VALUE"""),4090.0)</f>
        <v>4090</v>
      </c>
      <c r="F601" s="5">
        <f>IFERROR(__xludf.DUMMYFUNCTION("""COMPUTED_VALUE"""),6.42924E7)</f>
        <v>64292400</v>
      </c>
      <c r="G601" s="5">
        <f t="shared" si="1"/>
        <v>170</v>
      </c>
    </row>
    <row r="602">
      <c r="A602" s="4">
        <f>IFERROR(__xludf.DUMMYFUNCTION("""COMPUTED_VALUE"""),44736.66666666667)</f>
        <v>44736.66667</v>
      </c>
      <c r="B602" s="5">
        <f>IFERROR(__xludf.DUMMYFUNCTION("""COMPUTED_VALUE"""),4110.0)</f>
        <v>4110</v>
      </c>
      <c r="C602" s="5">
        <f>IFERROR(__xludf.DUMMYFUNCTION("""COMPUTED_VALUE"""),4140.0)</f>
        <v>4140</v>
      </c>
      <c r="D602" s="5">
        <f>IFERROR(__xludf.DUMMYFUNCTION("""COMPUTED_VALUE"""),4080.0)</f>
        <v>4080</v>
      </c>
      <c r="E602" s="5">
        <f>IFERROR(__xludf.DUMMYFUNCTION("""COMPUTED_VALUE"""),4090.0)</f>
        <v>4090</v>
      </c>
      <c r="F602" s="5">
        <f>IFERROR(__xludf.DUMMYFUNCTION("""COMPUTED_VALUE"""),3.48373E7)</f>
        <v>34837300</v>
      </c>
      <c r="G602" s="5">
        <f t="shared" si="1"/>
        <v>60</v>
      </c>
    </row>
    <row r="603">
      <c r="A603" s="4">
        <f>IFERROR(__xludf.DUMMYFUNCTION("""COMPUTED_VALUE"""),44739.66666666667)</f>
        <v>44739.66667</v>
      </c>
      <c r="B603" s="5">
        <f>IFERROR(__xludf.DUMMYFUNCTION("""COMPUTED_VALUE"""),4090.0)</f>
        <v>4090</v>
      </c>
      <c r="C603" s="5">
        <f>IFERROR(__xludf.DUMMYFUNCTION("""COMPUTED_VALUE"""),4090.0)</f>
        <v>4090</v>
      </c>
      <c r="D603" s="5">
        <f>IFERROR(__xludf.DUMMYFUNCTION("""COMPUTED_VALUE"""),3930.0)</f>
        <v>3930</v>
      </c>
      <c r="E603" s="5">
        <f>IFERROR(__xludf.DUMMYFUNCTION("""COMPUTED_VALUE"""),3970.0)</f>
        <v>3970</v>
      </c>
      <c r="F603" s="5">
        <f>IFERROR(__xludf.DUMMYFUNCTION("""COMPUTED_VALUE"""),4.09985E7)</f>
        <v>40998500</v>
      </c>
      <c r="G603" s="5">
        <f t="shared" si="1"/>
        <v>160</v>
      </c>
    </row>
    <row r="604">
      <c r="A604" s="4">
        <f>IFERROR(__xludf.DUMMYFUNCTION("""COMPUTED_VALUE"""),44740.66666666667)</f>
        <v>44740.66667</v>
      </c>
      <c r="B604" s="5">
        <f>IFERROR(__xludf.DUMMYFUNCTION("""COMPUTED_VALUE"""),3990.0)</f>
        <v>3990</v>
      </c>
      <c r="C604" s="5">
        <f>IFERROR(__xludf.DUMMYFUNCTION("""COMPUTED_VALUE"""),4040.0)</f>
        <v>4040</v>
      </c>
      <c r="D604" s="5">
        <f>IFERROR(__xludf.DUMMYFUNCTION("""COMPUTED_VALUE"""),3960.0)</f>
        <v>3960</v>
      </c>
      <c r="E604" s="5">
        <f>IFERROR(__xludf.DUMMYFUNCTION("""COMPUTED_VALUE"""),4030.0)</f>
        <v>4030</v>
      </c>
      <c r="F604" s="5">
        <f>IFERROR(__xludf.DUMMYFUNCTION("""COMPUTED_VALUE"""),3.36747E7)</f>
        <v>33674700</v>
      </c>
      <c r="G604" s="5">
        <f t="shared" si="1"/>
        <v>80</v>
      </c>
    </row>
    <row r="605">
      <c r="A605" s="4">
        <f>IFERROR(__xludf.DUMMYFUNCTION("""COMPUTED_VALUE"""),44741.66666666667)</f>
        <v>44741.66667</v>
      </c>
      <c r="B605" s="5">
        <f>IFERROR(__xludf.DUMMYFUNCTION("""COMPUTED_VALUE"""),4020.0)</f>
        <v>4020</v>
      </c>
      <c r="C605" s="5">
        <f>IFERROR(__xludf.DUMMYFUNCTION("""COMPUTED_VALUE"""),4060.0)</f>
        <v>4060</v>
      </c>
      <c r="D605" s="5">
        <f>IFERROR(__xludf.DUMMYFUNCTION("""COMPUTED_VALUE"""),3980.0)</f>
        <v>3980</v>
      </c>
      <c r="E605" s="5">
        <f>IFERROR(__xludf.DUMMYFUNCTION("""COMPUTED_VALUE"""),3990.0)</f>
        <v>3990</v>
      </c>
      <c r="F605" s="5">
        <f>IFERROR(__xludf.DUMMYFUNCTION("""COMPUTED_VALUE"""),2.48628E7)</f>
        <v>24862800</v>
      </c>
      <c r="G605" s="5">
        <f t="shared" si="1"/>
        <v>80</v>
      </c>
    </row>
    <row r="606">
      <c r="A606" s="4">
        <f>IFERROR(__xludf.DUMMYFUNCTION("""COMPUTED_VALUE"""),44742.66666666667)</f>
        <v>44742.66667</v>
      </c>
      <c r="B606" s="5">
        <f>IFERROR(__xludf.DUMMYFUNCTION("""COMPUTED_VALUE"""),3890.0)</f>
        <v>3890</v>
      </c>
      <c r="C606" s="5">
        <f>IFERROR(__xludf.DUMMYFUNCTION("""COMPUTED_VALUE"""),3930.0)</f>
        <v>3930</v>
      </c>
      <c r="D606" s="5">
        <f>IFERROR(__xludf.DUMMYFUNCTION("""COMPUTED_VALUE"""),3790.0)</f>
        <v>3790</v>
      </c>
      <c r="E606" s="5">
        <f>IFERROR(__xludf.DUMMYFUNCTION("""COMPUTED_VALUE"""),3820.0)</f>
        <v>3820</v>
      </c>
      <c r="F606" s="5">
        <f>IFERROR(__xludf.DUMMYFUNCTION("""COMPUTED_VALUE"""),6.02797E7)</f>
        <v>60279700</v>
      </c>
      <c r="G606" s="5">
        <f t="shared" si="1"/>
        <v>200</v>
      </c>
    </row>
    <row r="607">
      <c r="A607" s="4">
        <f>IFERROR(__xludf.DUMMYFUNCTION("""COMPUTED_VALUE"""),44743.66666666667)</f>
        <v>44743.66667</v>
      </c>
      <c r="B607" s="5">
        <f>IFERROR(__xludf.DUMMYFUNCTION("""COMPUTED_VALUE"""),3820.0)</f>
        <v>3820</v>
      </c>
      <c r="C607" s="5">
        <f>IFERROR(__xludf.DUMMYFUNCTION("""COMPUTED_VALUE"""),3880.0)</f>
        <v>3880</v>
      </c>
      <c r="D607" s="5">
        <f>IFERROR(__xludf.DUMMYFUNCTION("""COMPUTED_VALUE"""),3700.0)</f>
        <v>3700</v>
      </c>
      <c r="E607" s="5">
        <f>IFERROR(__xludf.DUMMYFUNCTION("""COMPUTED_VALUE"""),3720.0)</f>
        <v>3720</v>
      </c>
      <c r="F607" s="5">
        <f>IFERROR(__xludf.DUMMYFUNCTION("""COMPUTED_VALUE"""),5.28948E7)</f>
        <v>52894800</v>
      </c>
      <c r="G607" s="5">
        <f t="shared" si="1"/>
        <v>180</v>
      </c>
    </row>
    <row r="608">
      <c r="A608" s="4">
        <f>IFERROR(__xludf.DUMMYFUNCTION("""COMPUTED_VALUE"""),44746.66666666667)</f>
        <v>44746.66667</v>
      </c>
      <c r="B608" s="5">
        <f>IFERROR(__xludf.DUMMYFUNCTION("""COMPUTED_VALUE"""),3720.0)</f>
        <v>3720</v>
      </c>
      <c r="C608" s="5">
        <f>IFERROR(__xludf.DUMMYFUNCTION("""COMPUTED_VALUE"""),3790.0)</f>
        <v>3790</v>
      </c>
      <c r="D608" s="5">
        <f>IFERROR(__xludf.DUMMYFUNCTION("""COMPUTED_VALUE"""),3620.0)</f>
        <v>3620</v>
      </c>
      <c r="E608" s="5">
        <f>IFERROR(__xludf.DUMMYFUNCTION("""COMPUTED_VALUE"""),3680.0)</f>
        <v>3680</v>
      </c>
      <c r="F608" s="5">
        <f>IFERROR(__xludf.DUMMYFUNCTION("""COMPUTED_VALUE"""),5.02715E7)</f>
        <v>50271500</v>
      </c>
      <c r="G608" s="5">
        <f t="shared" si="1"/>
        <v>170</v>
      </c>
    </row>
    <row r="609">
      <c r="A609" s="4">
        <f>IFERROR(__xludf.DUMMYFUNCTION("""COMPUTED_VALUE"""),44747.66666666667)</f>
        <v>44747.66667</v>
      </c>
      <c r="B609" s="5">
        <f>IFERROR(__xludf.DUMMYFUNCTION("""COMPUTED_VALUE"""),3750.0)</f>
        <v>3750</v>
      </c>
      <c r="C609" s="5">
        <f>IFERROR(__xludf.DUMMYFUNCTION("""COMPUTED_VALUE"""),3970.0)</f>
        <v>3970</v>
      </c>
      <c r="D609" s="5">
        <f>IFERROR(__xludf.DUMMYFUNCTION("""COMPUTED_VALUE"""),3750.0)</f>
        <v>3750</v>
      </c>
      <c r="E609" s="5">
        <f>IFERROR(__xludf.DUMMYFUNCTION("""COMPUTED_VALUE"""),3950.0)</f>
        <v>3950</v>
      </c>
      <c r="F609" s="5">
        <f>IFERROR(__xludf.DUMMYFUNCTION("""COMPUTED_VALUE"""),6.06713E7)</f>
        <v>60671300</v>
      </c>
      <c r="G609" s="5">
        <f t="shared" si="1"/>
        <v>290</v>
      </c>
    </row>
    <row r="610">
      <c r="A610" s="4">
        <f>IFERROR(__xludf.DUMMYFUNCTION("""COMPUTED_VALUE"""),44748.66666666667)</f>
        <v>44748.66667</v>
      </c>
      <c r="B610" s="5">
        <f>IFERROR(__xludf.DUMMYFUNCTION("""COMPUTED_VALUE"""),3900.0)</f>
        <v>3900</v>
      </c>
      <c r="C610" s="5">
        <f>IFERROR(__xludf.DUMMYFUNCTION("""COMPUTED_VALUE"""),3920.0)</f>
        <v>3920</v>
      </c>
      <c r="D610" s="5">
        <f>IFERROR(__xludf.DUMMYFUNCTION("""COMPUTED_VALUE"""),3780.0)</f>
        <v>3780</v>
      </c>
      <c r="E610" s="5">
        <f>IFERROR(__xludf.DUMMYFUNCTION("""COMPUTED_VALUE"""),3860.0)</f>
        <v>3860</v>
      </c>
      <c r="F610" s="5">
        <f>IFERROR(__xludf.DUMMYFUNCTION("""COMPUTED_VALUE"""),2.63742E7)</f>
        <v>26374200</v>
      </c>
      <c r="G610" s="5">
        <f t="shared" si="1"/>
        <v>170</v>
      </c>
    </row>
    <row r="611">
      <c r="A611" s="4">
        <f>IFERROR(__xludf.DUMMYFUNCTION("""COMPUTED_VALUE"""),44749.66666666667)</f>
        <v>44749.66667</v>
      </c>
      <c r="B611" s="5">
        <f>IFERROR(__xludf.DUMMYFUNCTION("""COMPUTED_VALUE"""),3860.0)</f>
        <v>3860</v>
      </c>
      <c r="C611" s="5">
        <f>IFERROR(__xludf.DUMMYFUNCTION("""COMPUTED_VALUE"""),3900.0)</f>
        <v>3900</v>
      </c>
      <c r="D611" s="5">
        <f>IFERROR(__xludf.DUMMYFUNCTION("""COMPUTED_VALUE"""),3800.0)</f>
        <v>3800</v>
      </c>
      <c r="E611" s="5">
        <f>IFERROR(__xludf.DUMMYFUNCTION("""COMPUTED_VALUE"""),3850.0)</f>
        <v>3850</v>
      </c>
      <c r="F611" s="5">
        <f>IFERROR(__xludf.DUMMYFUNCTION("""COMPUTED_VALUE"""),1.41367E7)</f>
        <v>14136700</v>
      </c>
      <c r="G611" s="5">
        <f t="shared" si="1"/>
        <v>100</v>
      </c>
    </row>
    <row r="612">
      <c r="A612" s="4">
        <f>IFERROR(__xludf.DUMMYFUNCTION("""COMPUTED_VALUE"""),44750.66666666667)</f>
        <v>44750.66667</v>
      </c>
      <c r="B612" s="5">
        <f>IFERROR(__xludf.DUMMYFUNCTION("""COMPUTED_VALUE"""),3960.0)</f>
        <v>3960</v>
      </c>
      <c r="C612" s="5">
        <f>IFERROR(__xludf.DUMMYFUNCTION("""COMPUTED_VALUE"""),4010.0)</f>
        <v>4010</v>
      </c>
      <c r="D612" s="5">
        <f>IFERROR(__xludf.DUMMYFUNCTION("""COMPUTED_VALUE"""),3920.0)</f>
        <v>3920</v>
      </c>
      <c r="E612" s="5">
        <f>IFERROR(__xludf.DUMMYFUNCTION("""COMPUTED_VALUE"""),3930.0)</f>
        <v>3930</v>
      </c>
      <c r="F612" s="5">
        <f>IFERROR(__xludf.DUMMYFUNCTION("""COMPUTED_VALUE"""),3.72181E7)</f>
        <v>37218100</v>
      </c>
      <c r="G612" s="5">
        <f t="shared" si="1"/>
        <v>160</v>
      </c>
    </row>
    <row r="613">
      <c r="A613" s="4">
        <f>IFERROR(__xludf.DUMMYFUNCTION("""COMPUTED_VALUE"""),44753.66666666667)</f>
        <v>44753.66667</v>
      </c>
      <c r="B613" s="5">
        <f>IFERROR(__xludf.DUMMYFUNCTION("""COMPUTED_VALUE"""),3940.0)</f>
        <v>3940</v>
      </c>
      <c r="C613" s="5">
        <f>IFERROR(__xludf.DUMMYFUNCTION("""COMPUTED_VALUE"""),3970.0)</f>
        <v>3970</v>
      </c>
      <c r="D613" s="5">
        <f>IFERROR(__xludf.DUMMYFUNCTION("""COMPUTED_VALUE"""),3850.0)</f>
        <v>3850</v>
      </c>
      <c r="E613" s="5">
        <f>IFERROR(__xludf.DUMMYFUNCTION("""COMPUTED_VALUE"""),3870.0)</f>
        <v>3870</v>
      </c>
      <c r="F613" s="5">
        <f>IFERROR(__xludf.DUMMYFUNCTION("""COMPUTED_VALUE"""),1.16934E7)</f>
        <v>11693400</v>
      </c>
      <c r="G613" s="5">
        <f t="shared" si="1"/>
        <v>120</v>
      </c>
    </row>
    <row r="614">
      <c r="A614" s="4">
        <f>IFERROR(__xludf.DUMMYFUNCTION("""COMPUTED_VALUE"""),44754.66666666667)</f>
        <v>44754.66667</v>
      </c>
      <c r="B614" s="5">
        <f>IFERROR(__xludf.DUMMYFUNCTION("""COMPUTED_VALUE"""),3920.0)</f>
        <v>3920</v>
      </c>
      <c r="C614" s="5">
        <f>IFERROR(__xludf.DUMMYFUNCTION("""COMPUTED_VALUE"""),4010.0)</f>
        <v>4010</v>
      </c>
      <c r="D614" s="5">
        <f>IFERROR(__xludf.DUMMYFUNCTION("""COMPUTED_VALUE"""),3890.0)</f>
        <v>3890</v>
      </c>
      <c r="E614" s="5">
        <f>IFERROR(__xludf.DUMMYFUNCTION("""COMPUTED_VALUE"""),3980.0)</f>
        <v>3980</v>
      </c>
      <c r="F614" s="5">
        <f>IFERROR(__xludf.DUMMYFUNCTION("""COMPUTED_VALUE"""),3.62378E7)</f>
        <v>36237800</v>
      </c>
      <c r="G614" s="5">
        <f t="shared" si="1"/>
        <v>140</v>
      </c>
    </row>
    <row r="615">
      <c r="A615" s="4">
        <f>IFERROR(__xludf.DUMMYFUNCTION("""COMPUTED_VALUE"""),44755.66666666667)</f>
        <v>44755.66667</v>
      </c>
      <c r="B615" s="5">
        <f>IFERROR(__xludf.DUMMYFUNCTION("""COMPUTED_VALUE"""),4000.0)</f>
        <v>4000</v>
      </c>
      <c r="C615" s="5">
        <f>IFERROR(__xludf.DUMMYFUNCTION("""COMPUTED_VALUE"""),4050.0)</f>
        <v>4050</v>
      </c>
      <c r="D615" s="5">
        <f>IFERROR(__xludf.DUMMYFUNCTION("""COMPUTED_VALUE"""),3980.0)</f>
        <v>3980</v>
      </c>
      <c r="E615" s="5">
        <f>IFERROR(__xludf.DUMMYFUNCTION("""COMPUTED_VALUE"""),4030.0)</f>
        <v>4030</v>
      </c>
      <c r="F615" s="5">
        <f>IFERROR(__xludf.DUMMYFUNCTION("""COMPUTED_VALUE"""),4.34102E7)</f>
        <v>43410200</v>
      </c>
      <c r="G615" s="5">
        <f t="shared" si="1"/>
        <v>70</v>
      </c>
    </row>
    <row r="616">
      <c r="A616" s="4">
        <f>IFERROR(__xludf.DUMMYFUNCTION("""COMPUTED_VALUE"""),44756.66666666667)</f>
        <v>44756.66667</v>
      </c>
      <c r="B616" s="5">
        <f>IFERROR(__xludf.DUMMYFUNCTION("""COMPUTED_VALUE"""),4020.0)</f>
        <v>4020</v>
      </c>
      <c r="C616" s="5">
        <f>IFERROR(__xludf.DUMMYFUNCTION("""COMPUTED_VALUE"""),4080.0)</f>
        <v>4080</v>
      </c>
      <c r="D616" s="5">
        <f>IFERROR(__xludf.DUMMYFUNCTION("""COMPUTED_VALUE"""),3980.0)</f>
        <v>3980</v>
      </c>
      <c r="E616" s="5">
        <f>IFERROR(__xludf.DUMMYFUNCTION("""COMPUTED_VALUE"""),4060.0)</f>
        <v>4060</v>
      </c>
      <c r="F616" s="5">
        <f>IFERROR(__xludf.DUMMYFUNCTION("""COMPUTED_VALUE"""),3.65885E7)</f>
        <v>36588500</v>
      </c>
      <c r="G616" s="5">
        <f t="shared" si="1"/>
        <v>100</v>
      </c>
    </row>
    <row r="617">
      <c r="A617" s="4">
        <f>IFERROR(__xludf.DUMMYFUNCTION("""COMPUTED_VALUE"""),44757.66666666667)</f>
        <v>44757.66667</v>
      </c>
      <c r="B617" s="5">
        <f>IFERROR(__xludf.DUMMYFUNCTION("""COMPUTED_VALUE"""),4030.0)</f>
        <v>4030</v>
      </c>
      <c r="C617" s="5">
        <f>IFERROR(__xludf.DUMMYFUNCTION("""COMPUTED_VALUE"""),4030.0)</f>
        <v>4030</v>
      </c>
      <c r="D617" s="5">
        <f>IFERROR(__xludf.DUMMYFUNCTION("""COMPUTED_VALUE"""),3910.0)</f>
        <v>3910</v>
      </c>
      <c r="E617" s="5">
        <f>IFERROR(__xludf.DUMMYFUNCTION("""COMPUTED_VALUE"""),3940.0)</f>
        <v>3940</v>
      </c>
      <c r="F617" s="5">
        <f>IFERROR(__xludf.DUMMYFUNCTION("""COMPUTED_VALUE"""),2.14967E7)</f>
        <v>21496700</v>
      </c>
      <c r="G617" s="5">
        <f t="shared" si="1"/>
        <v>150</v>
      </c>
    </row>
    <row r="618">
      <c r="A618" s="4">
        <f>IFERROR(__xludf.DUMMYFUNCTION("""COMPUTED_VALUE"""),44760.66666666667)</f>
        <v>44760.66667</v>
      </c>
      <c r="B618" s="5">
        <f>IFERROR(__xludf.DUMMYFUNCTION("""COMPUTED_VALUE"""),3920.0)</f>
        <v>3920</v>
      </c>
      <c r="C618" s="5">
        <f>IFERROR(__xludf.DUMMYFUNCTION("""COMPUTED_VALUE"""),3940.0)</f>
        <v>3940</v>
      </c>
      <c r="D618" s="5">
        <f>IFERROR(__xludf.DUMMYFUNCTION("""COMPUTED_VALUE"""),3870.0)</f>
        <v>3870</v>
      </c>
      <c r="E618" s="5">
        <f>IFERROR(__xludf.DUMMYFUNCTION("""COMPUTED_VALUE"""),3890.0)</f>
        <v>3890</v>
      </c>
      <c r="F618" s="5">
        <f>IFERROR(__xludf.DUMMYFUNCTION("""COMPUTED_VALUE"""),1.58502E7)</f>
        <v>15850200</v>
      </c>
      <c r="G618" s="5">
        <f t="shared" si="1"/>
        <v>70</v>
      </c>
    </row>
    <row r="619">
      <c r="A619" s="4">
        <f>IFERROR(__xludf.DUMMYFUNCTION("""COMPUTED_VALUE"""),44761.66666666667)</f>
        <v>44761.66667</v>
      </c>
      <c r="B619" s="5">
        <f>IFERROR(__xludf.DUMMYFUNCTION("""COMPUTED_VALUE"""),3880.0)</f>
        <v>3880</v>
      </c>
      <c r="C619" s="5">
        <f>IFERROR(__xludf.DUMMYFUNCTION("""COMPUTED_VALUE"""),4020.0)</f>
        <v>4020</v>
      </c>
      <c r="D619" s="5">
        <f>IFERROR(__xludf.DUMMYFUNCTION("""COMPUTED_VALUE"""),3870.0)</f>
        <v>3870</v>
      </c>
      <c r="E619" s="5">
        <f>IFERROR(__xludf.DUMMYFUNCTION("""COMPUTED_VALUE"""),3980.0)</f>
        <v>3980</v>
      </c>
      <c r="F619" s="5">
        <f>IFERROR(__xludf.DUMMYFUNCTION("""COMPUTED_VALUE"""),2.29692E7)</f>
        <v>22969200</v>
      </c>
      <c r="G619" s="5">
        <f t="shared" si="1"/>
        <v>150</v>
      </c>
    </row>
    <row r="620">
      <c r="A620" s="4">
        <f>IFERROR(__xludf.DUMMYFUNCTION("""COMPUTED_VALUE"""),44762.66666666667)</f>
        <v>44762.66667</v>
      </c>
      <c r="B620" s="5">
        <f>IFERROR(__xludf.DUMMYFUNCTION("""COMPUTED_VALUE"""),4020.0)</f>
        <v>4020</v>
      </c>
      <c r="C620" s="5">
        <f>IFERROR(__xludf.DUMMYFUNCTION("""COMPUTED_VALUE"""),4060.0)</f>
        <v>4060</v>
      </c>
      <c r="D620" s="5">
        <f>IFERROR(__xludf.DUMMYFUNCTION("""COMPUTED_VALUE"""),4020.0)</f>
        <v>4020</v>
      </c>
      <c r="E620" s="5">
        <f>IFERROR(__xludf.DUMMYFUNCTION("""COMPUTED_VALUE"""),4030.0)</f>
        <v>4030</v>
      </c>
      <c r="F620" s="5">
        <f>IFERROR(__xludf.DUMMYFUNCTION("""COMPUTED_VALUE"""),3.1963E7)</f>
        <v>31963000</v>
      </c>
      <c r="G620" s="5">
        <f t="shared" si="1"/>
        <v>80</v>
      </c>
    </row>
    <row r="621">
      <c r="A621" s="4">
        <f>IFERROR(__xludf.DUMMYFUNCTION("""COMPUTED_VALUE"""),44763.66666666667)</f>
        <v>44763.66667</v>
      </c>
      <c r="B621" s="5">
        <f>IFERROR(__xludf.DUMMYFUNCTION("""COMPUTED_VALUE"""),4040.0)</f>
        <v>4040</v>
      </c>
      <c r="C621" s="5">
        <f>IFERROR(__xludf.DUMMYFUNCTION("""COMPUTED_VALUE"""),4060.0)</f>
        <v>4060</v>
      </c>
      <c r="D621" s="5">
        <f>IFERROR(__xludf.DUMMYFUNCTION("""COMPUTED_VALUE"""),4010.0)</f>
        <v>4010</v>
      </c>
      <c r="E621" s="5">
        <f>IFERROR(__xludf.DUMMYFUNCTION("""COMPUTED_VALUE"""),4020.0)</f>
        <v>4020</v>
      </c>
      <c r="F621" s="5">
        <f>IFERROR(__xludf.DUMMYFUNCTION("""COMPUTED_VALUE"""),8932100.0)</f>
        <v>8932100</v>
      </c>
      <c r="G621" s="5">
        <f t="shared" si="1"/>
        <v>50</v>
      </c>
    </row>
    <row r="622">
      <c r="A622" s="4">
        <f>IFERROR(__xludf.DUMMYFUNCTION("""COMPUTED_VALUE"""),44764.66666666667)</f>
        <v>44764.66667</v>
      </c>
      <c r="B622" s="5">
        <f>IFERROR(__xludf.DUMMYFUNCTION("""COMPUTED_VALUE"""),4030.0)</f>
        <v>4030</v>
      </c>
      <c r="C622" s="5">
        <f>IFERROR(__xludf.DUMMYFUNCTION("""COMPUTED_VALUE"""),4090.0)</f>
        <v>4090</v>
      </c>
      <c r="D622" s="5">
        <f>IFERROR(__xludf.DUMMYFUNCTION("""COMPUTED_VALUE"""),4000.0)</f>
        <v>4000</v>
      </c>
      <c r="E622" s="5">
        <f>IFERROR(__xludf.DUMMYFUNCTION("""COMPUTED_VALUE"""),4050.0)</f>
        <v>4050</v>
      </c>
      <c r="F622" s="5">
        <f>IFERROR(__xludf.DUMMYFUNCTION("""COMPUTED_VALUE"""),2.06857E7)</f>
        <v>20685700</v>
      </c>
      <c r="G622" s="5">
        <f t="shared" si="1"/>
        <v>90</v>
      </c>
    </row>
    <row r="623">
      <c r="A623" s="4">
        <f>IFERROR(__xludf.DUMMYFUNCTION("""COMPUTED_VALUE"""),44767.66666666667)</f>
        <v>44767.66667</v>
      </c>
      <c r="B623" s="5">
        <f>IFERROR(__xludf.DUMMYFUNCTION("""COMPUTED_VALUE"""),4080.0)</f>
        <v>4080</v>
      </c>
      <c r="C623" s="5">
        <f>IFERROR(__xludf.DUMMYFUNCTION("""COMPUTED_VALUE"""),4120.0)</f>
        <v>4120</v>
      </c>
      <c r="D623" s="5">
        <f>IFERROR(__xludf.DUMMYFUNCTION("""COMPUTED_VALUE"""),4060.0)</f>
        <v>4060</v>
      </c>
      <c r="E623" s="5">
        <f>IFERROR(__xludf.DUMMYFUNCTION("""COMPUTED_VALUE"""),4060.0)</f>
        <v>4060</v>
      </c>
      <c r="F623" s="5">
        <f>IFERROR(__xludf.DUMMYFUNCTION("""COMPUTED_VALUE"""),1.73187E7)</f>
        <v>17318700</v>
      </c>
      <c r="G623" s="5">
        <f t="shared" si="1"/>
        <v>70</v>
      </c>
    </row>
    <row r="624">
      <c r="A624" s="4">
        <f>IFERROR(__xludf.DUMMYFUNCTION("""COMPUTED_VALUE"""),44768.66666666667)</f>
        <v>44768.66667</v>
      </c>
      <c r="B624" s="5">
        <f>IFERROR(__xludf.DUMMYFUNCTION("""COMPUTED_VALUE"""),4090.0)</f>
        <v>4090</v>
      </c>
      <c r="C624" s="5">
        <f>IFERROR(__xludf.DUMMYFUNCTION("""COMPUTED_VALUE"""),4110.0)</f>
        <v>4110</v>
      </c>
      <c r="D624" s="5">
        <f>IFERROR(__xludf.DUMMYFUNCTION("""COMPUTED_VALUE"""),4060.0)</f>
        <v>4060</v>
      </c>
      <c r="E624" s="5">
        <f>IFERROR(__xludf.DUMMYFUNCTION("""COMPUTED_VALUE"""),4090.0)</f>
        <v>4090</v>
      </c>
      <c r="F624" s="5">
        <f>IFERROR(__xludf.DUMMYFUNCTION("""COMPUTED_VALUE"""),1.95127E7)</f>
        <v>19512700</v>
      </c>
      <c r="G624" s="5">
        <f t="shared" si="1"/>
        <v>50</v>
      </c>
    </row>
    <row r="625">
      <c r="A625" s="4">
        <f>IFERROR(__xludf.DUMMYFUNCTION("""COMPUTED_VALUE"""),44769.66666666667)</f>
        <v>44769.66667</v>
      </c>
      <c r="B625" s="5">
        <f>IFERROR(__xludf.DUMMYFUNCTION("""COMPUTED_VALUE"""),4110.0)</f>
        <v>4110</v>
      </c>
      <c r="C625" s="5">
        <f>IFERROR(__xludf.DUMMYFUNCTION("""COMPUTED_VALUE"""),4300.0)</f>
        <v>4300</v>
      </c>
      <c r="D625" s="5">
        <f>IFERROR(__xludf.DUMMYFUNCTION("""COMPUTED_VALUE"""),4110.0)</f>
        <v>4110</v>
      </c>
      <c r="E625" s="5">
        <f>IFERROR(__xludf.DUMMYFUNCTION("""COMPUTED_VALUE"""),4270.0)</f>
        <v>4270</v>
      </c>
      <c r="F625" s="5">
        <f>IFERROR(__xludf.DUMMYFUNCTION("""COMPUTED_VALUE"""),7.79597E7)</f>
        <v>77959700</v>
      </c>
      <c r="G625" s="5">
        <f t="shared" si="1"/>
        <v>210</v>
      </c>
    </row>
    <row r="626">
      <c r="A626" s="4">
        <f>IFERROR(__xludf.DUMMYFUNCTION("""COMPUTED_VALUE"""),44770.66666666667)</f>
        <v>44770.66667</v>
      </c>
      <c r="B626" s="5">
        <f>IFERROR(__xludf.DUMMYFUNCTION("""COMPUTED_VALUE"""),4290.0)</f>
        <v>4290</v>
      </c>
      <c r="C626" s="5">
        <f>IFERROR(__xludf.DUMMYFUNCTION("""COMPUTED_VALUE"""),4310.0)</f>
        <v>4310</v>
      </c>
      <c r="D626" s="5">
        <f>IFERROR(__xludf.DUMMYFUNCTION("""COMPUTED_VALUE"""),4180.0)</f>
        <v>4180</v>
      </c>
      <c r="E626" s="5">
        <f>IFERROR(__xludf.DUMMYFUNCTION("""COMPUTED_VALUE"""),4270.0)</f>
        <v>4270</v>
      </c>
      <c r="F626" s="5">
        <f>IFERROR(__xludf.DUMMYFUNCTION("""COMPUTED_VALUE"""),4.62166E7)</f>
        <v>46216600</v>
      </c>
      <c r="G626" s="5">
        <f t="shared" si="1"/>
        <v>130</v>
      </c>
    </row>
    <row r="627">
      <c r="A627" s="4">
        <f>IFERROR(__xludf.DUMMYFUNCTION("""COMPUTED_VALUE"""),44771.66666666667)</f>
        <v>44771.66667</v>
      </c>
      <c r="B627" s="5">
        <f>IFERROR(__xludf.DUMMYFUNCTION("""COMPUTED_VALUE"""),4270.0)</f>
        <v>4270</v>
      </c>
      <c r="C627" s="5">
        <f>IFERROR(__xludf.DUMMYFUNCTION("""COMPUTED_VALUE"""),4350.0)</f>
        <v>4350</v>
      </c>
      <c r="D627" s="5">
        <f>IFERROR(__xludf.DUMMYFUNCTION("""COMPUTED_VALUE"""),4270.0)</f>
        <v>4270</v>
      </c>
      <c r="E627" s="5">
        <f>IFERROR(__xludf.DUMMYFUNCTION("""COMPUTED_VALUE"""),4300.0)</f>
        <v>4300</v>
      </c>
      <c r="F627" s="5">
        <f>IFERROR(__xludf.DUMMYFUNCTION("""COMPUTED_VALUE"""),4.18994E7)</f>
        <v>41899400</v>
      </c>
      <c r="G627" s="5">
        <f t="shared" si="1"/>
        <v>80</v>
      </c>
    </row>
    <row r="628">
      <c r="A628" s="4">
        <f>IFERROR(__xludf.DUMMYFUNCTION("""COMPUTED_VALUE"""),44774.66666666667)</f>
        <v>44774.66667</v>
      </c>
      <c r="B628" s="5">
        <f>IFERROR(__xludf.DUMMYFUNCTION("""COMPUTED_VALUE"""),4300.0)</f>
        <v>4300</v>
      </c>
      <c r="C628" s="5">
        <f>IFERROR(__xludf.DUMMYFUNCTION("""COMPUTED_VALUE"""),4340.0)</f>
        <v>4340</v>
      </c>
      <c r="D628" s="5">
        <f>IFERROR(__xludf.DUMMYFUNCTION("""COMPUTED_VALUE"""),4250.0)</f>
        <v>4250</v>
      </c>
      <c r="E628" s="5">
        <f>IFERROR(__xludf.DUMMYFUNCTION("""COMPUTED_VALUE"""),4280.0)</f>
        <v>4280</v>
      </c>
      <c r="F628" s="5">
        <f>IFERROR(__xludf.DUMMYFUNCTION("""COMPUTED_VALUE"""),2.64382E7)</f>
        <v>26438200</v>
      </c>
      <c r="G628" s="5">
        <f t="shared" si="1"/>
        <v>90</v>
      </c>
    </row>
    <row r="629">
      <c r="A629" s="4">
        <f>IFERROR(__xludf.DUMMYFUNCTION("""COMPUTED_VALUE"""),44775.66666666667)</f>
        <v>44775.66667</v>
      </c>
      <c r="B629" s="5">
        <f>IFERROR(__xludf.DUMMYFUNCTION("""COMPUTED_VALUE"""),4280.0)</f>
        <v>4280</v>
      </c>
      <c r="C629" s="5">
        <f>IFERROR(__xludf.DUMMYFUNCTION("""COMPUTED_VALUE"""),4300.0)</f>
        <v>4300</v>
      </c>
      <c r="D629" s="5">
        <f>IFERROR(__xludf.DUMMYFUNCTION("""COMPUTED_VALUE"""),4180.0)</f>
        <v>4180</v>
      </c>
      <c r="E629" s="5">
        <f>IFERROR(__xludf.DUMMYFUNCTION("""COMPUTED_VALUE"""),4190.0)</f>
        <v>4190</v>
      </c>
      <c r="F629" s="5">
        <f>IFERROR(__xludf.DUMMYFUNCTION("""COMPUTED_VALUE"""),2.24715E7)</f>
        <v>22471500</v>
      </c>
      <c r="G629" s="5">
        <f t="shared" si="1"/>
        <v>120</v>
      </c>
    </row>
    <row r="630">
      <c r="A630" s="4">
        <f>IFERROR(__xludf.DUMMYFUNCTION("""COMPUTED_VALUE"""),44776.66666666667)</f>
        <v>44776.66667</v>
      </c>
      <c r="B630" s="5">
        <f>IFERROR(__xludf.DUMMYFUNCTION("""COMPUTED_VALUE"""),4200.0)</f>
        <v>4200</v>
      </c>
      <c r="C630" s="5">
        <f>IFERROR(__xludf.DUMMYFUNCTION("""COMPUTED_VALUE"""),4270.0)</f>
        <v>4270</v>
      </c>
      <c r="D630" s="5">
        <f>IFERROR(__xludf.DUMMYFUNCTION("""COMPUTED_VALUE"""),4190.0)</f>
        <v>4190</v>
      </c>
      <c r="E630" s="5">
        <f>IFERROR(__xludf.DUMMYFUNCTION("""COMPUTED_VALUE"""),4230.0)</f>
        <v>4230</v>
      </c>
      <c r="F630" s="5">
        <f>IFERROR(__xludf.DUMMYFUNCTION("""COMPUTED_VALUE"""),1.85905E7)</f>
        <v>18590500</v>
      </c>
      <c r="G630" s="5">
        <f t="shared" si="1"/>
        <v>80</v>
      </c>
    </row>
    <row r="631">
      <c r="A631" s="4">
        <f>IFERROR(__xludf.DUMMYFUNCTION("""COMPUTED_VALUE"""),44777.66666666667)</f>
        <v>44777.66667</v>
      </c>
      <c r="B631" s="5">
        <f>IFERROR(__xludf.DUMMYFUNCTION("""COMPUTED_VALUE"""),4230.0)</f>
        <v>4230</v>
      </c>
      <c r="C631" s="5">
        <f>IFERROR(__xludf.DUMMYFUNCTION("""COMPUTED_VALUE"""),4230.0)</f>
        <v>4230</v>
      </c>
      <c r="D631" s="5">
        <f>IFERROR(__xludf.DUMMYFUNCTION("""COMPUTED_VALUE"""),4100.0)</f>
        <v>4100</v>
      </c>
      <c r="E631" s="5">
        <f>IFERROR(__xludf.DUMMYFUNCTION("""COMPUTED_VALUE"""),4110.0)</f>
        <v>4110</v>
      </c>
      <c r="F631" s="5">
        <f>IFERROR(__xludf.DUMMYFUNCTION("""COMPUTED_VALUE"""),2.75947E7)</f>
        <v>27594700</v>
      </c>
      <c r="G631" s="5">
        <f t="shared" si="1"/>
        <v>130</v>
      </c>
    </row>
    <row r="632">
      <c r="A632" s="4">
        <f>IFERROR(__xludf.DUMMYFUNCTION("""COMPUTED_VALUE"""),44778.66666666667)</f>
        <v>44778.66667</v>
      </c>
      <c r="B632" s="5">
        <f>IFERROR(__xludf.DUMMYFUNCTION("""COMPUTED_VALUE"""),4080.0)</f>
        <v>4080</v>
      </c>
      <c r="C632" s="5">
        <f>IFERROR(__xludf.DUMMYFUNCTION("""COMPUTED_VALUE"""),4150.0)</f>
        <v>4150</v>
      </c>
      <c r="D632" s="5">
        <f>IFERROR(__xludf.DUMMYFUNCTION("""COMPUTED_VALUE"""),4030.0)</f>
        <v>4030</v>
      </c>
      <c r="E632" s="5">
        <f>IFERROR(__xludf.DUMMYFUNCTION("""COMPUTED_VALUE"""),4120.0)</f>
        <v>4120</v>
      </c>
      <c r="F632" s="5">
        <f>IFERROR(__xludf.DUMMYFUNCTION("""COMPUTED_VALUE"""),4.20411E7)</f>
        <v>42041100</v>
      </c>
      <c r="G632" s="5">
        <f t="shared" si="1"/>
        <v>120</v>
      </c>
    </row>
    <row r="633">
      <c r="A633" s="4">
        <f>IFERROR(__xludf.DUMMYFUNCTION("""COMPUTED_VALUE"""),44781.66666666667)</f>
        <v>44781.66667</v>
      </c>
      <c r="B633" s="5">
        <f>IFERROR(__xludf.DUMMYFUNCTION("""COMPUTED_VALUE"""),4100.0)</f>
        <v>4100</v>
      </c>
      <c r="C633" s="5">
        <f>IFERROR(__xludf.DUMMYFUNCTION("""COMPUTED_VALUE"""),4100.0)</f>
        <v>4100</v>
      </c>
      <c r="D633" s="5">
        <f>IFERROR(__xludf.DUMMYFUNCTION("""COMPUTED_VALUE"""),4010.0)</f>
        <v>4010</v>
      </c>
      <c r="E633" s="5">
        <f>IFERROR(__xludf.DUMMYFUNCTION("""COMPUTED_VALUE"""),4040.0)</f>
        <v>4040</v>
      </c>
      <c r="F633" s="5">
        <f>IFERROR(__xludf.DUMMYFUNCTION("""COMPUTED_VALUE"""),4.48366E7)</f>
        <v>44836600</v>
      </c>
      <c r="G633" s="5">
        <f t="shared" si="1"/>
        <v>110</v>
      </c>
    </row>
    <row r="634">
      <c r="A634" s="4">
        <f>IFERROR(__xludf.DUMMYFUNCTION("""COMPUTED_VALUE"""),44782.66666666667)</f>
        <v>44782.66667</v>
      </c>
      <c r="B634" s="5">
        <f>IFERROR(__xludf.DUMMYFUNCTION("""COMPUTED_VALUE"""),4070.0)</f>
        <v>4070</v>
      </c>
      <c r="C634" s="5">
        <f>IFERROR(__xludf.DUMMYFUNCTION("""COMPUTED_VALUE"""),4140.0)</f>
        <v>4140</v>
      </c>
      <c r="D634" s="5">
        <f>IFERROR(__xludf.DUMMYFUNCTION("""COMPUTED_VALUE"""),4050.0)</f>
        <v>4050</v>
      </c>
      <c r="E634" s="5">
        <f>IFERROR(__xludf.DUMMYFUNCTION("""COMPUTED_VALUE"""),4070.0)</f>
        <v>4070</v>
      </c>
      <c r="F634" s="5">
        <f>IFERROR(__xludf.DUMMYFUNCTION("""COMPUTED_VALUE"""),3.66722E7)</f>
        <v>36672200</v>
      </c>
      <c r="G634" s="5">
        <f t="shared" si="1"/>
        <v>100</v>
      </c>
    </row>
    <row r="635">
      <c r="A635" s="4">
        <f>IFERROR(__xludf.DUMMYFUNCTION("""COMPUTED_VALUE"""),44783.66666666667)</f>
        <v>44783.66667</v>
      </c>
      <c r="B635" s="5">
        <f>IFERROR(__xludf.DUMMYFUNCTION("""COMPUTED_VALUE"""),4100.0)</f>
        <v>4100</v>
      </c>
      <c r="C635" s="5">
        <f>IFERROR(__xludf.DUMMYFUNCTION("""COMPUTED_VALUE"""),4210.0)</f>
        <v>4210</v>
      </c>
      <c r="D635" s="5">
        <f>IFERROR(__xludf.DUMMYFUNCTION("""COMPUTED_VALUE"""),4080.0)</f>
        <v>4080</v>
      </c>
      <c r="E635" s="5">
        <f>IFERROR(__xludf.DUMMYFUNCTION("""COMPUTED_VALUE"""),4170.0)</f>
        <v>4170</v>
      </c>
      <c r="F635" s="5">
        <f>IFERROR(__xludf.DUMMYFUNCTION("""COMPUTED_VALUE"""),4.43283E7)</f>
        <v>44328300</v>
      </c>
      <c r="G635" s="5">
        <f t="shared" si="1"/>
        <v>140</v>
      </c>
    </row>
    <row r="636">
      <c r="A636" s="4">
        <f>IFERROR(__xludf.DUMMYFUNCTION("""COMPUTED_VALUE"""),44784.66666666667)</f>
        <v>44784.66667</v>
      </c>
      <c r="B636" s="5">
        <f>IFERROR(__xludf.DUMMYFUNCTION("""COMPUTED_VALUE"""),4250.0)</f>
        <v>4250</v>
      </c>
      <c r="C636" s="5">
        <f>IFERROR(__xludf.DUMMYFUNCTION("""COMPUTED_VALUE"""),4270.0)</f>
        <v>4270</v>
      </c>
      <c r="D636" s="5">
        <f>IFERROR(__xludf.DUMMYFUNCTION("""COMPUTED_VALUE"""),4140.0)</f>
        <v>4140</v>
      </c>
      <c r="E636" s="5">
        <f>IFERROR(__xludf.DUMMYFUNCTION("""COMPUTED_VALUE"""),4150.0)</f>
        <v>4150</v>
      </c>
      <c r="F636" s="5">
        <f>IFERROR(__xludf.DUMMYFUNCTION("""COMPUTED_VALUE"""),4.40762E7)</f>
        <v>44076200</v>
      </c>
      <c r="G636" s="5">
        <f t="shared" si="1"/>
        <v>130</v>
      </c>
    </row>
    <row r="637">
      <c r="A637" s="4">
        <f>IFERROR(__xludf.DUMMYFUNCTION("""COMPUTED_VALUE"""),44785.66666666667)</f>
        <v>44785.66667</v>
      </c>
      <c r="B637" s="5">
        <f>IFERROR(__xludf.DUMMYFUNCTION("""COMPUTED_VALUE"""),4150.0)</f>
        <v>4150</v>
      </c>
      <c r="C637" s="5">
        <f>IFERROR(__xludf.DUMMYFUNCTION("""COMPUTED_VALUE"""),4180.0)</f>
        <v>4180</v>
      </c>
      <c r="D637" s="5">
        <f>IFERROR(__xludf.DUMMYFUNCTION("""COMPUTED_VALUE"""),4110.0)</f>
        <v>4110</v>
      </c>
      <c r="E637" s="5">
        <f>IFERROR(__xludf.DUMMYFUNCTION("""COMPUTED_VALUE"""),4150.0)</f>
        <v>4150</v>
      </c>
      <c r="F637" s="5">
        <f>IFERROR(__xludf.DUMMYFUNCTION("""COMPUTED_VALUE"""),1.60671E7)</f>
        <v>16067100</v>
      </c>
      <c r="G637" s="5">
        <f t="shared" si="1"/>
        <v>70</v>
      </c>
    </row>
    <row r="638">
      <c r="A638" s="4">
        <f>IFERROR(__xludf.DUMMYFUNCTION("""COMPUTED_VALUE"""),44788.66666666667)</f>
        <v>44788.66667</v>
      </c>
      <c r="B638" s="5">
        <f>IFERROR(__xludf.DUMMYFUNCTION("""COMPUTED_VALUE"""),4150.0)</f>
        <v>4150</v>
      </c>
      <c r="C638" s="5">
        <f>IFERROR(__xludf.DUMMYFUNCTION("""COMPUTED_VALUE"""),4200.0)</f>
        <v>4200</v>
      </c>
      <c r="D638" s="5">
        <f>IFERROR(__xludf.DUMMYFUNCTION("""COMPUTED_VALUE"""),4110.0)</f>
        <v>4110</v>
      </c>
      <c r="E638" s="5">
        <f>IFERROR(__xludf.DUMMYFUNCTION("""COMPUTED_VALUE"""),4130.0)</f>
        <v>4130</v>
      </c>
      <c r="F638" s="5">
        <f>IFERROR(__xludf.DUMMYFUNCTION("""COMPUTED_VALUE"""),1.63005E7)</f>
        <v>16300500</v>
      </c>
      <c r="G638" s="5">
        <f t="shared" si="1"/>
        <v>90</v>
      </c>
    </row>
    <row r="639">
      <c r="A639" s="4">
        <f>IFERROR(__xludf.DUMMYFUNCTION("""COMPUTED_VALUE"""),44789.66666666667)</f>
        <v>44789.66667</v>
      </c>
      <c r="B639" s="5">
        <f>IFERROR(__xludf.DUMMYFUNCTION("""COMPUTED_VALUE"""),4130.0)</f>
        <v>4130</v>
      </c>
      <c r="C639" s="5">
        <f>IFERROR(__xludf.DUMMYFUNCTION("""COMPUTED_VALUE"""),4150.0)</f>
        <v>4150</v>
      </c>
      <c r="D639" s="5">
        <f>IFERROR(__xludf.DUMMYFUNCTION("""COMPUTED_VALUE"""),4070.0)</f>
        <v>4070</v>
      </c>
      <c r="E639" s="5">
        <f>IFERROR(__xludf.DUMMYFUNCTION("""COMPUTED_VALUE"""),4080.0)</f>
        <v>4080</v>
      </c>
      <c r="F639" s="5">
        <f>IFERROR(__xludf.DUMMYFUNCTION("""COMPUTED_VALUE"""),1.95142E7)</f>
        <v>19514200</v>
      </c>
      <c r="G639" s="5">
        <f t="shared" si="1"/>
        <v>80</v>
      </c>
    </row>
    <row r="640">
      <c r="A640" s="4">
        <f>IFERROR(__xludf.DUMMYFUNCTION("""COMPUTED_VALUE"""),44791.66666666667)</f>
        <v>44791.66667</v>
      </c>
      <c r="B640" s="5">
        <f>IFERROR(__xludf.DUMMYFUNCTION("""COMPUTED_VALUE"""),4130.0)</f>
        <v>4130</v>
      </c>
      <c r="C640" s="5">
        <f>IFERROR(__xludf.DUMMYFUNCTION("""COMPUTED_VALUE"""),4180.0)</f>
        <v>4180</v>
      </c>
      <c r="D640" s="5">
        <f>IFERROR(__xludf.DUMMYFUNCTION("""COMPUTED_VALUE"""),4100.0)</f>
        <v>4100</v>
      </c>
      <c r="E640" s="5">
        <f>IFERROR(__xludf.DUMMYFUNCTION("""COMPUTED_VALUE"""),4130.0)</f>
        <v>4130</v>
      </c>
      <c r="F640" s="5">
        <f>IFERROR(__xludf.DUMMYFUNCTION("""COMPUTED_VALUE"""),1.6799E7)</f>
        <v>16799000</v>
      </c>
      <c r="G640" s="5">
        <f t="shared" si="1"/>
        <v>100</v>
      </c>
    </row>
    <row r="641">
      <c r="A641" s="4">
        <f>IFERROR(__xludf.DUMMYFUNCTION("""COMPUTED_VALUE"""),44792.66666666667)</f>
        <v>44792.66667</v>
      </c>
      <c r="B641" s="5">
        <f>IFERROR(__xludf.DUMMYFUNCTION("""COMPUTED_VALUE"""),4170.0)</f>
        <v>4170</v>
      </c>
      <c r="C641" s="5">
        <f>IFERROR(__xludf.DUMMYFUNCTION("""COMPUTED_VALUE"""),4230.0)</f>
        <v>4230</v>
      </c>
      <c r="D641" s="5">
        <f>IFERROR(__xludf.DUMMYFUNCTION("""COMPUTED_VALUE"""),4150.0)</f>
        <v>4150</v>
      </c>
      <c r="E641" s="5">
        <f>IFERROR(__xludf.DUMMYFUNCTION("""COMPUTED_VALUE"""),4210.0)</f>
        <v>4210</v>
      </c>
      <c r="F641" s="5">
        <f>IFERROR(__xludf.DUMMYFUNCTION("""COMPUTED_VALUE"""),2.95115E7)</f>
        <v>29511500</v>
      </c>
      <c r="G641" s="5">
        <f t="shared" si="1"/>
        <v>100</v>
      </c>
    </row>
    <row r="642">
      <c r="A642" s="4">
        <f>IFERROR(__xludf.DUMMYFUNCTION("""COMPUTED_VALUE"""),44795.66666666667)</f>
        <v>44795.66667</v>
      </c>
      <c r="B642" s="5">
        <f>IFERROR(__xludf.DUMMYFUNCTION("""COMPUTED_VALUE"""),4200.0)</f>
        <v>4200</v>
      </c>
      <c r="C642" s="5">
        <f>IFERROR(__xludf.DUMMYFUNCTION("""COMPUTED_VALUE"""),4220.0)</f>
        <v>4220</v>
      </c>
      <c r="D642" s="5">
        <f>IFERROR(__xludf.DUMMYFUNCTION("""COMPUTED_VALUE"""),4080.0)</f>
        <v>4080</v>
      </c>
      <c r="E642" s="5">
        <f>IFERROR(__xludf.DUMMYFUNCTION("""COMPUTED_VALUE"""),4100.0)</f>
        <v>4100</v>
      </c>
      <c r="F642" s="5">
        <f>IFERROR(__xludf.DUMMYFUNCTION("""COMPUTED_VALUE"""),2.64892E7)</f>
        <v>26489200</v>
      </c>
      <c r="G642" s="5">
        <f t="shared" si="1"/>
        <v>140</v>
      </c>
    </row>
    <row r="643">
      <c r="A643" s="4">
        <f>IFERROR(__xludf.DUMMYFUNCTION("""COMPUTED_VALUE"""),44796.66666666667)</f>
        <v>44796.66667</v>
      </c>
      <c r="B643" s="5">
        <f>IFERROR(__xludf.DUMMYFUNCTION("""COMPUTED_VALUE"""),4100.0)</f>
        <v>4100</v>
      </c>
      <c r="C643" s="5">
        <f>IFERROR(__xludf.DUMMYFUNCTION("""COMPUTED_VALUE"""),4280.0)</f>
        <v>4280</v>
      </c>
      <c r="D643" s="5">
        <f>IFERROR(__xludf.DUMMYFUNCTION("""COMPUTED_VALUE"""),4090.0)</f>
        <v>4090</v>
      </c>
      <c r="E643" s="5">
        <f>IFERROR(__xludf.DUMMYFUNCTION("""COMPUTED_VALUE"""),4250.0)</f>
        <v>4250</v>
      </c>
      <c r="F643" s="5">
        <f>IFERROR(__xludf.DUMMYFUNCTION("""COMPUTED_VALUE"""),4.55383E7)</f>
        <v>45538300</v>
      </c>
      <c r="G643" s="5">
        <f t="shared" si="1"/>
        <v>190</v>
      </c>
    </row>
    <row r="644">
      <c r="A644" s="4">
        <f>IFERROR(__xludf.DUMMYFUNCTION("""COMPUTED_VALUE"""),44797.66666666667)</f>
        <v>44797.66667</v>
      </c>
      <c r="B644" s="5">
        <f>IFERROR(__xludf.DUMMYFUNCTION("""COMPUTED_VALUE"""),4240.0)</f>
        <v>4240</v>
      </c>
      <c r="C644" s="5">
        <f>IFERROR(__xludf.DUMMYFUNCTION("""COMPUTED_VALUE"""),4340.0)</f>
        <v>4340</v>
      </c>
      <c r="D644" s="5">
        <f>IFERROR(__xludf.DUMMYFUNCTION("""COMPUTED_VALUE"""),4220.0)</f>
        <v>4220</v>
      </c>
      <c r="E644" s="5">
        <f>IFERROR(__xludf.DUMMYFUNCTION("""COMPUTED_VALUE"""),4330.0)</f>
        <v>4330</v>
      </c>
      <c r="F644" s="5">
        <f>IFERROR(__xludf.DUMMYFUNCTION("""COMPUTED_VALUE"""),4.15386E7)</f>
        <v>41538600</v>
      </c>
      <c r="G644" s="5">
        <f t="shared" si="1"/>
        <v>120</v>
      </c>
    </row>
    <row r="645">
      <c r="A645" s="4">
        <f>IFERROR(__xludf.DUMMYFUNCTION("""COMPUTED_VALUE"""),44798.66666666667)</f>
        <v>44798.66667</v>
      </c>
      <c r="B645" s="5">
        <f>IFERROR(__xludf.DUMMYFUNCTION("""COMPUTED_VALUE"""),4330.0)</f>
        <v>4330</v>
      </c>
      <c r="C645" s="5">
        <f>IFERROR(__xludf.DUMMYFUNCTION("""COMPUTED_VALUE"""),4510.0)</f>
        <v>4510</v>
      </c>
      <c r="D645" s="5">
        <f>IFERROR(__xludf.DUMMYFUNCTION("""COMPUTED_VALUE"""),4310.0)</f>
        <v>4310</v>
      </c>
      <c r="E645" s="5">
        <f>IFERROR(__xludf.DUMMYFUNCTION("""COMPUTED_VALUE"""),4360.0)</f>
        <v>4360</v>
      </c>
      <c r="F645" s="5">
        <f>IFERROR(__xludf.DUMMYFUNCTION("""COMPUTED_VALUE"""),1.263295E8)</f>
        <v>126329500</v>
      </c>
      <c r="G645" s="5">
        <f t="shared" si="1"/>
        <v>200</v>
      </c>
    </row>
    <row r="646">
      <c r="A646" s="4">
        <f>IFERROR(__xludf.DUMMYFUNCTION("""COMPUTED_VALUE"""),44799.66666666667)</f>
        <v>44799.66667</v>
      </c>
      <c r="B646" s="5">
        <f>IFERROR(__xludf.DUMMYFUNCTION("""COMPUTED_VALUE"""),4400.0)</f>
        <v>4400</v>
      </c>
      <c r="C646" s="5">
        <f>IFERROR(__xludf.DUMMYFUNCTION("""COMPUTED_VALUE"""),4420.0)</f>
        <v>4420</v>
      </c>
      <c r="D646" s="5">
        <f>IFERROR(__xludf.DUMMYFUNCTION("""COMPUTED_VALUE"""),4360.0)</f>
        <v>4360</v>
      </c>
      <c r="E646" s="5">
        <f>IFERROR(__xludf.DUMMYFUNCTION("""COMPUTED_VALUE"""),4360.0)</f>
        <v>4360</v>
      </c>
      <c r="F646" s="5">
        <f>IFERROR(__xludf.DUMMYFUNCTION("""COMPUTED_VALUE"""),4.00845E7)</f>
        <v>40084500</v>
      </c>
      <c r="G646" s="5">
        <f t="shared" si="1"/>
        <v>60</v>
      </c>
    </row>
    <row r="647">
      <c r="A647" s="4">
        <f>IFERROR(__xludf.DUMMYFUNCTION("""COMPUTED_VALUE"""),44802.66666666667)</f>
        <v>44802.66667</v>
      </c>
      <c r="B647" s="5">
        <f>IFERROR(__xludf.DUMMYFUNCTION("""COMPUTED_VALUE"""),4300.0)</f>
        <v>4300</v>
      </c>
      <c r="C647" s="5">
        <f>IFERROR(__xludf.DUMMYFUNCTION("""COMPUTED_VALUE"""),4390.0)</f>
        <v>4390</v>
      </c>
      <c r="D647" s="5">
        <f>IFERROR(__xludf.DUMMYFUNCTION("""COMPUTED_VALUE"""),4260.0)</f>
        <v>4260</v>
      </c>
      <c r="E647" s="5">
        <f>IFERROR(__xludf.DUMMYFUNCTION("""COMPUTED_VALUE"""),4360.0)</f>
        <v>4360</v>
      </c>
      <c r="F647" s="5">
        <f>IFERROR(__xludf.DUMMYFUNCTION("""COMPUTED_VALUE"""),3.47081E7)</f>
        <v>34708100</v>
      </c>
      <c r="G647" s="5">
        <f t="shared" si="1"/>
        <v>130</v>
      </c>
    </row>
    <row r="648">
      <c r="A648" s="4">
        <f>IFERROR(__xludf.DUMMYFUNCTION("""COMPUTED_VALUE"""),44803.66666666667)</f>
        <v>44803.66667</v>
      </c>
      <c r="B648" s="5">
        <f>IFERROR(__xludf.DUMMYFUNCTION("""COMPUTED_VALUE"""),4380.0)</f>
        <v>4380</v>
      </c>
      <c r="C648" s="5">
        <f>IFERROR(__xludf.DUMMYFUNCTION("""COMPUTED_VALUE"""),4430.0)</f>
        <v>4430</v>
      </c>
      <c r="D648" s="5">
        <f>IFERROR(__xludf.DUMMYFUNCTION("""COMPUTED_VALUE"""),4310.0)</f>
        <v>4310</v>
      </c>
      <c r="E648" s="5">
        <f>IFERROR(__xludf.DUMMYFUNCTION("""COMPUTED_VALUE"""),4340.0)</f>
        <v>4340</v>
      </c>
      <c r="F648" s="5">
        <f>IFERROR(__xludf.DUMMYFUNCTION("""COMPUTED_VALUE"""),3.43886E7)</f>
        <v>34388600</v>
      </c>
      <c r="G648" s="5">
        <f t="shared" si="1"/>
        <v>120</v>
      </c>
    </row>
    <row r="649">
      <c r="A649" s="4">
        <f>IFERROR(__xludf.DUMMYFUNCTION("""COMPUTED_VALUE"""),44804.66666666667)</f>
        <v>44804.66667</v>
      </c>
      <c r="B649" s="5">
        <f>IFERROR(__xludf.DUMMYFUNCTION("""COMPUTED_VALUE"""),4320.0)</f>
        <v>4320</v>
      </c>
      <c r="C649" s="5">
        <f>IFERROR(__xludf.DUMMYFUNCTION("""COMPUTED_VALUE"""),4330.0)</f>
        <v>4330</v>
      </c>
      <c r="D649" s="5">
        <f>IFERROR(__xludf.DUMMYFUNCTION("""COMPUTED_VALUE"""),4170.0)</f>
        <v>4170</v>
      </c>
      <c r="E649" s="5">
        <f>IFERROR(__xludf.DUMMYFUNCTION("""COMPUTED_VALUE"""),4250.0)</f>
        <v>4250</v>
      </c>
      <c r="F649" s="5">
        <f>IFERROR(__xludf.DUMMYFUNCTION("""COMPUTED_VALUE"""),7.42608E7)</f>
        <v>74260800</v>
      </c>
      <c r="G649" s="5">
        <f t="shared" si="1"/>
        <v>170</v>
      </c>
    </row>
    <row r="650">
      <c r="A650" s="4">
        <f>IFERROR(__xludf.DUMMYFUNCTION("""COMPUTED_VALUE"""),44805.625)</f>
        <v>44805.625</v>
      </c>
      <c r="B650" s="5">
        <f>IFERROR(__xludf.DUMMYFUNCTION("""COMPUTED_VALUE"""),4250.0)</f>
        <v>4250</v>
      </c>
      <c r="C650" s="5">
        <f>IFERROR(__xludf.DUMMYFUNCTION("""COMPUTED_VALUE"""),4320.0)</f>
        <v>4320</v>
      </c>
      <c r="D650" s="5">
        <f>IFERROR(__xludf.DUMMYFUNCTION("""COMPUTED_VALUE"""),4220.0)</f>
        <v>4220</v>
      </c>
      <c r="E650" s="5">
        <f>IFERROR(__xludf.DUMMYFUNCTION("""COMPUTED_VALUE"""),4240.0)</f>
        <v>4240</v>
      </c>
      <c r="F650" s="5">
        <f>IFERROR(__xludf.DUMMYFUNCTION("""COMPUTED_VALUE"""),3.21416E7)</f>
        <v>32141600</v>
      </c>
      <c r="G650" s="5">
        <f t="shared" si="1"/>
        <v>100</v>
      </c>
    </row>
    <row r="651">
      <c r="A651" s="4">
        <f>IFERROR(__xludf.DUMMYFUNCTION("""COMPUTED_VALUE"""),44806.625)</f>
        <v>44806.625</v>
      </c>
      <c r="B651" s="5">
        <f>IFERROR(__xludf.DUMMYFUNCTION("""COMPUTED_VALUE"""),4280.0)</f>
        <v>4280</v>
      </c>
      <c r="C651" s="5">
        <f>IFERROR(__xludf.DUMMYFUNCTION("""COMPUTED_VALUE"""),4320.0)</f>
        <v>4320</v>
      </c>
      <c r="D651" s="5">
        <f>IFERROR(__xludf.DUMMYFUNCTION("""COMPUTED_VALUE"""),4240.0)</f>
        <v>4240</v>
      </c>
      <c r="E651" s="5">
        <f>IFERROR(__xludf.DUMMYFUNCTION("""COMPUTED_VALUE"""),4260.0)</f>
        <v>4260</v>
      </c>
      <c r="F651" s="5">
        <f>IFERROR(__xludf.DUMMYFUNCTION("""COMPUTED_VALUE"""),2.71247E7)</f>
        <v>27124700</v>
      </c>
      <c r="G651" s="5">
        <f t="shared" si="1"/>
        <v>80</v>
      </c>
    </row>
    <row r="652">
      <c r="A652" s="4">
        <f>IFERROR(__xludf.DUMMYFUNCTION("""COMPUTED_VALUE"""),44809.66666666667)</f>
        <v>44809.66667</v>
      </c>
      <c r="B652" s="5">
        <f>IFERROR(__xludf.DUMMYFUNCTION("""COMPUTED_VALUE"""),4270.0)</f>
        <v>4270</v>
      </c>
      <c r="C652" s="5">
        <f>IFERROR(__xludf.DUMMYFUNCTION("""COMPUTED_VALUE"""),4470.0)</f>
        <v>4470</v>
      </c>
      <c r="D652" s="5">
        <f>IFERROR(__xludf.DUMMYFUNCTION("""COMPUTED_VALUE"""),4270.0)</f>
        <v>4270</v>
      </c>
      <c r="E652" s="5">
        <f>IFERROR(__xludf.DUMMYFUNCTION("""COMPUTED_VALUE"""),4450.0)</f>
        <v>4450</v>
      </c>
      <c r="F652" s="5">
        <f>IFERROR(__xludf.DUMMYFUNCTION("""COMPUTED_VALUE"""),7.31753E7)</f>
        <v>73175300</v>
      </c>
      <c r="G652" s="5">
        <f t="shared" si="1"/>
        <v>210</v>
      </c>
    </row>
    <row r="653">
      <c r="A653" s="4">
        <f>IFERROR(__xludf.DUMMYFUNCTION("""COMPUTED_VALUE"""),44810.66666666667)</f>
        <v>44810.66667</v>
      </c>
      <c r="B653" s="5">
        <f>IFERROR(__xludf.DUMMYFUNCTION("""COMPUTED_VALUE"""),4500.0)</f>
        <v>4500</v>
      </c>
      <c r="C653" s="5">
        <f>IFERROR(__xludf.DUMMYFUNCTION("""COMPUTED_VALUE"""),4530.0)</f>
        <v>4530</v>
      </c>
      <c r="D653" s="5">
        <f>IFERROR(__xludf.DUMMYFUNCTION("""COMPUTED_VALUE"""),4470.0)</f>
        <v>4470</v>
      </c>
      <c r="E653" s="5">
        <f>IFERROR(__xludf.DUMMYFUNCTION("""COMPUTED_VALUE"""),4470.0)</f>
        <v>4470</v>
      </c>
      <c r="F653" s="5">
        <f>IFERROR(__xludf.DUMMYFUNCTION("""COMPUTED_VALUE"""),3.59813E7)</f>
        <v>35981300</v>
      </c>
      <c r="G653" s="5">
        <f t="shared" si="1"/>
        <v>80</v>
      </c>
    </row>
    <row r="654">
      <c r="A654" s="4">
        <f>IFERROR(__xludf.DUMMYFUNCTION("""COMPUTED_VALUE"""),44811.66666666667)</f>
        <v>44811.66667</v>
      </c>
      <c r="B654" s="5">
        <f>IFERROR(__xludf.DUMMYFUNCTION("""COMPUTED_VALUE"""),4460.0)</f>
        <v>4460</v>
      </c>
      <c r="C654" s="5">
        <f>IFERROR(__xludf.DUMMYFUNCTION("""COMPUTED_VALUE"""),4460.0)</f>
        <v>4460</v>
      </c>
      <c r="D654" s="5">
        <f>IFERROR(__xludf.DUMMYFUNCTION("""COMPUTED_VALUE"""),4370.0)</f>
        <v>4370</v>
      </c>
      <c r="E654" s="5">
        <f>IFERROR(__xludf.DUMMYFUNCTION("""COMPUTED_VALUE"""),4430.0)</f>
        <v>4430</v>
      </c>
      <c r="F654" s="5">
        <f>IFERROR(__xludf.DUMMYFUNCTION("""COMPUTED_VALUE"""),2.13826E7)</f>
        <v>21382600</v>
      </c>
      <c r="G654" s="5">
        <f t="shared" si="1"/>
        <v>100</v>
      </c>
    </row>
    <row r="655">
      <c r="A655" s="4">
        <f>IFERROR(__xludf.DUMMYFUNCTION("""COMPUTED_VALUE"""),44812.66666666667)</f>
        <v>44812.66667</v>
      </c>
      <c r="B655" s="5">
        <f>IFERROR(__xludf.DUMMYFUNCTION("""COMPUTED_VALUE"""),4400.0)</f>
        <v>4400</v>
      </c>
      <c r="C655" s="5">
        <f>IFERROR(__xludf.DUMMYFUNCTION("""COMPUTED_VALUE"""),4400.0)</f>
        <v>4400</v>
      </c>
      <c r="D655" s="5">
        <f>IFERROR(__xludf.DUMMYFUNCTION("""COMPUTED_VALUE"""),4310.0)</f>
        <v>4310</v>
      </c>
      <c r="E655" s="5">
        <f>IFERROR(__xludf.DUMMYFUNCTION("""COMPUTED_VALUE"""),4330.0)</f>
        <v>4330</v>
      </c>
      <c r="F655" s="5">
        <f>IFERROR(__xludf.DUMMYFUNCTION("""COMPUTED_VALUE"""),3.11268E7)</f>
        <v>31126800</v>
      </c>
      <c r="G655" s="5">
        <f t="shared" si="1"/>
        <v>120</v>
      </c>
    </row>
    <row r="656">
      <c r="A656" s="4">
        <f>IFERROR(__xludf.DUMMYFUNCTION("""COMPUTED_VALUE"""),44813.66666666667)</f>
        <v>44813.66667</v>
      </c>
      <c r="B656" s="5">
        <f>IFERROR(__xludf.DUMMYFUNCTION("""COMPUTED_VALUE"""),4330.0)</f>
        <v>4330</v>
      </c>
      <c r="C656" s="5">
        <f>IFERROR(__xludf.DUMMYFUNCTION("""COMPUTED_VALUE"""),4370.0)</f>
        <v>4370</v>
      </c>
      <c r="D656" s="5">
        <f>IFERROR(__xludf.DUMMYFUNCTION("""COMPUTED_VALUE"""),4260.0)</f>
        <v>4260</v>
      </c>
      <c r="E656" s="5">
        <f>IFERROR(__xludf.DUMMYFUNCTION("""COMPUTED_VALUE"""),4310.0)</f>
        <v>4310</v>
      </c>
      <c r="F656" s="5">
        <f>IFERROR(__xludf.DUMMYFUNCTION("""COMPUTED_VALUE"""),2.60301E7)</f>
        <v>26030100</v>
      </c>
      <c r="G656" s="5">
        <f t="shared" si="1"/>
        <v>110</v>
      </c>
    </row>
    <row r="657">
      <c r="A657" s="4">
        <f>IFERROR(__xludf.DUMMYFUNCTION("""COMPUTED_VALUE"""),44816.66666666667)</f>
        <v>44816.66667</v>
      </c>
      <c r="B657" s="5">
        <f>IFERROR(__xludf.DUMMYFUNCTION("""COMPUTED_VALUE"""),4340.0)</f>
        <v>4340</v>
      </c>
      <c r="C657" s="5">
        <f>IFERROR(__xludf.DUMMYFUNCTION("""COMPUTED_VALUE"""),4360.0)</f>
        <v>4360</v>
      </c>
      <c r="D657" s="5">
        <f>IFERROR(__xludf.DUMMYFUNCTION("""COMPUTED_VALUE"""),4310.0)</f>
        <v>4310</v>
      </c>
      <c r="E657" s="5">
        <f>IFERROR(__xludf.DUMMYFUNCTION("""COMPUTED_VALUE"""),4340.0)</f>
        <v>4340</v>
      </c>
      <c r="F657" s="5">
        <f>IFERROR(__xludf.DUMMYFUNCTION("""COMPUTED_VALUE"""),1.25314E7)</f>
        <v>12531400</v>
      </c>
      <c r="G657" s="5">
        <f t="shared" si="1"/>
        <v>50</v>
      </c>
    </row>
    <row r="658">
      <c r="A658" s="4">
        <f>IFERROR(__xludf.DUMMYFUNCTION("""COMPUTED_VALUE"""),44817.66666666667)</f>
        <v>44817.66667</v>
      </c>
      <c r="B658" s="5">
        <f>IFERROR(__xludf.DUMMYFUNCTION("""COMPUTED_VALUE"""),4360.0)</f>
        <v>4360</v>
      </c>
      <c r="C658" s="5">
        <f>IFERROR(__xludf.DUMMYFUNCTION("""COMPUTED_VALUE"""),4390.0)</f>
        <v>4390</v>
      </c>
      <c r="D658" s="5">
        <f>IFERROR(__xludf.DUMMYFUNCTION("""COMPUTED_VALUE"""),4330.0)</f>
        <v>4330</v>
      </c>
      <c r="E658" s="5">
        <f>IFERROR(__xludf.DUMMYFUNCTION("""COMPUTED_VALUE"""),4370.0)</f>
        <v>4370</v>
      </c>
      <c r="F658" s="5">
        <f>IFERROR(__xludf.DUMMYFUNCTION("""COMPUTED_VALUE"""),1.33584E7)</f>
        <v>13358400</v>
      </c>
      <c r="G658" s="5">
        <f t="shared" si="1"/>
        <v>60</v>
      </c>
    </row>
    <row r="659">
      <c r="A659" s="4">
        <f>IFERROR(__xludf.DUMMYFUNCTION("""COMPUTED_VALUE"""),44818.66666666667)</f>
        <v>44818.66667</v>
      </c>
      <c r="B659" s="5">
        <f>IFERROR(__xludf.DUMMYFUNCTION("""COMPUTED_VALUE"""),4370.0)</f>
        <v>4370</v>
      </c>
      <c r="C659" s="5">
        <f>IFERROR(__xludf.DUMMYFUNCTION("""COMPUTED_VALUE"""),4390.0)</f>
        <v>4390</v>
      </c>
      <c r="D659" s="5">
        <f>IFERROR(__xludf.DUMMYFUNCTION("""COMPUTED_VALUE"""),4310.0)</f>
        <v>4310</v>
      </c>
      <c r="E659" s="5">
        <f>IFERROR(__xludf.DUMMYFUNCTION("""COMPUTED_VALUE"""),4360.0)</f>
        <v>4360</v>
      </c>
      <c r="F659" s="5">
        <f>IFERROR(__xludf.DUMMYFUNCTION("""COMPUTED_VALUE"""),1.77573E7)</f>
        <v>17757300</v>
      </c>
      <c r="G659" s="5">
        <f t="shared" si="1"/>
        <v>80</v>
      </c>
    </row>
    <row r="660">
      <c r="A660" s="4">
        <f>IFERROR(__xludf.DUMMYFUNCTION("""COMPUTED_VALUE"""),44819.66666666667)</f>
        <v>44819.66667</v>
      </c>
      <c r="B660" s="5">
        <f>IFERROR(__xludf.DUMMYFUNCTION("""COMPUTED_VALUE"""),4390.0)</f>
        <v>4390</v>
      </c>
      <c r="C660" s="5">
        <f>IFERROR(__xludf.DUMMYFUNCTION("""COMPUTED_VALUE"""),4480.0)</f>
        <v>4480</v>
      </c>
      <c r="D660" s="5">
        <f>IFERROR(__xludf.DUMMYFUNCTION("""COMPUTED_VALUE"""),4380.0)</f>
        <v>4380</v>
      </c>
      <c r="E660" s="5">
        <f>IFERROR(__xludf.DUMMYFUNCTION("""COMPUTED_VALUE"""),4410.0)</f>
        <v>4410</v>
      </c>
      <c r="F660" s="5">
        <f>IFERROR(__xludf.DUMMYFUNCTION("""COMPUTED_VALUE"""),2.80878E7)</f>
        <v>28087800</v>
      </c>
      <c r="G660" s="5">
        <f t="shared" si="1"/>
        <v>120</v>
      </c>
    </row>
    <row r="661">
      <c r="A661" s="4">
        <f>IFERROR(__xludf.DUMMYFUNCTION("""COMPUTED_VALUE"""),44820.66666666667)</f>
        <v>44820.66667</v>
      </c>
      <c r="B661" s="5">
        <f>IFERROR(__xludf.DUMMYFUNCTION("""COMPUTED_VALUE"""),4410.0)</f>
        <v>4410</v>
      </c>
      <c r="C661" s="5">
        <f>IFERROR(__xludf.DUMMYFUNCTION("""COMPUTED_VALUE"""),4420.0)</f>
        <v>4420</v>
      </c>
      <c r="D661" s="5">
        <f>IFERROR(__xludf.DUMMYFUNCTION("""COMPUTED_VALUE"""),4300.0)</f>
        <v>4300</v>
      </c>
      <c r="E661" s="5">
        <f>IFERROR(__xludf.DUMMYFUNCTION("""COMPUTED_VALUE"""),4320.0)</f>
        <v>4320</v>
      </c>
      <c r="F661" s="5">
        <f>IFERROR(__xludf.DUMMYFUNCTION("""COMPUTED_VALUE"""),3.59228E7)</f>
        <v>35922800</v>
      </c>
      <c r="G661" s="5">
        <f t="shared" si="1"/>
        <v>120</v>
      </c>
    </row>
    <row r="662">
      <c r="A662" s="4">
        <f>IFERROR(__xludf.DUMMYFUNCTION("""COMPUTED_VALUE"""),44823.66666666667)</f>
        <v>44823.66667</v>
      </c>
      <c r="B662" s="5">
        <f>IFERROR(__xludf.DUMMYFUNCTION("""COMPUTED_VALUE"""),4320.0)</f>
        <v>4320</v>
      </c>
      <c r="C662" s="5">
        <f>IFERROR(__xludf.DUMMYFUNCTION("""COMPUTED_VALUE"""),4330.0)</f>
        <v>4330</v>
      </c>
      <c r="D662" s="5">
        <f>IFERROR(__xludf.DUMMYFUNCTION("""COMPUTED_VALUE"""),4200.0)</f>
        <v>4200</v>
      </c>
      <c r="E662" s="5">
        <f>IFERROR(__xludf.DUMMYFUNCTION("""COMPUTED_VALUE"""),4220.0)</f>
        <v>4220</v>
      </c>
      <c r="F662" s="5">
        <f>IFERROR(__xludf.DUMMYFUNCTION("""COMPUTED_VALUE"""),3.85556E7)</f>
        <v>38555600</v>
      </c>
      <c r="G662" s="5">
        <f t="shared" si="1"/>
        <v>130</v>
      </c>
    </row>
    <row r="663">
      <c r="A663" s="4">
        <f>IFERROR(__xludf.DUMMYFUNCTION("""COMPUTED_VALUE"""),44824.66666666667)</f>
        <v>44824.66667</v>
      </c>
      <c r="B663" s="5">
        <f>IFERROR(__xludf.DUMMYFUNCTION("""COMPUTED_VALUE"""),4230.0)</f>
        <v>4230</v>
      </c>
      <c r="C663" s="5">
        <f>IFERROR(__xludf.DUMMYFUNCTION("""COMPUTED_VALUE"""),4260.0)</f>
        <v>4260</v>
      </c>
      <c r="D663" s="5">
        <f>IFERROR(__xludf.DUMMYFUNCTION("""COMPUTED_VALUE"""),4180.0)</f>
        <v>4180</v>
      </c>
      <c r="E663" s="5">
        <f>IFERROR(__xludf.DUMMYFUNCTION("""COMPUTED_VALUE"""),4200.0)</f>
        <v>4200</v>
      </c>
      <c r="F663" s="5">
        <f>IFERROR(__xludf.DUMMYFUNCTION("""COMPUTED_VALUE"""),2.58451E7)</f>
        <v>25845100</v>
      </c>
      <c r="G663" s="5">
        <f t="shared" si="1"/>
        <v>80</v>
      </c>
    </row>
    <row r="664">
      <c r="A664" s="4">
        <f>IFERROR(__xludf.DUMMYFUNCTION("""COMPUTED_VALUE"""),44825.66666666667)</f>
        <v>44825.66667</v>
      </c>
      <c r="B664" s="5">
        <f>IFERROR(__xludf.DUMMYFUNCTION("""COMPUTED_VALUE"""),4200.0)</f>
        <v>4200</v>
      </c>
      <c r="C664" s="5">
        <f>IFERROR(__xludf.DUMMYFUNCTION("""COMPUTED_VALUE"""),4210.0)</f>
        <v>4210</v>
      </c>
      <c r="D664" s="5">
        <f>IFERROR(__xludf.DUMMYFUNCTION("""COMPUTED_VALUE"""),4160.0)</f>
        <v>4160</v>
      </c>
      <c r="E664" s="5">
        <f>IFERROR(__xludf.DUMMYFUNCTION("""COMPUTED_VALUE"""),4210.0)</f>
        <v>4210</v>
      </c>
      <c r="F664" s="5">
        <f>IFERROR(__xludf.DUMMYFUNCTION("""COMPUTED_VALUE"""),2.55032E7)</f>
        <v>25503200</v>
      </c>
      <c r="G664" s="5">
        <f t="shared" si="1"/>
        <v>50</v>
      </c>
    </row>
    <row r="665">
      <c r="A665" s="4">
        <f>IFERROR(__xludf.DUMMYFUNCTION("""COMPUTED_VALUE"""),44826.66666666667)</f>
        <v>44826.66667</v>
      </c>
      <c r="B665" s="5">
        <f>IFERROR(__xludf.DUMMYFUNCTION("""COMPUTED_VALUE"""),4210.0)</f>
        <v>4210</v>
      </c>
      <c r="C665" s="5">
        <f>IFERROR(__xludf.DUMMYFUNCTION("""COMPUTED_VALUE"""),4350.0)</f>
        <v>4350</v>
      </c>
      <c r="D665" s="5">
        <f>IFERROR(__xludf.DUMMYFUNCTION("""COMPUTED_VALUE"""),4200.0)</f>
        <v>4200</v>
      </c>
      <c r="E665" s="5">
        <f>IFERROR(__xludf.DUMMYFUNCTION("""COMPUTED_VALUE"""),4340.0)</f>
        <v>4340</v>
      </c>
      <c r="F665" s="5">
        <f>IFERROR(__xludf.DUMMYFUNCTION("""COMPUTED_VALUE"""),3.01969E7)</f>
        <v>30196900</v>
      </c>
      <c r="G665" s="5">
        <f t="shared" si="1"/>
        <v>150</v>
      </c>
    </row>
    <row r="666">
      <c r="A666" s="4">
        <f>IFERROR(__xludf.DUMMYFUNCTION("""COMPUTED_VALUE"""),44827.66666666667)</f>
        <v>44827.66667</v>
      </c>
      <c r="B666" s="5">
        <f>IFERROR(__xludf.DUMMYFUNCTION("""COMPUTED_VALUE"""),4320.0)</f>
        <v>4320</v>
      </c>
      <c r="C666" s="5">
        <f>IFERROR(__xludf.DUMMYFUNCTION("""COMPUTED_VALUE"""),4330.0)</f>
        <v>4330</v>
      </c>
      <c r="D666" s="5">
        <f>IFERROR(__xludf.DUMMYFUNCTION("""COMPUTED_VALUE"""),4250.0)</f>
        <v>4250</v>
      </c>
      <c r="E666" s="5">
        <f>IFERROR(__xludf.DUMMYFUNCTION("""COMPUTED_VALUE"""),4300.0)</f>
        <v>4300</v>
      </c>
      <c r="F666" s="5">
        <f>IFERROR(__xludf.DUMMYFUNCTION("""COMPUTED_VALUE"""),1.36677E7)</f>
        <v>13667700</v>
      </c>
      <c r="G666" s="5">
        <f t="shared" si="1"/>
        <v>90</v>
      </c>
    </row>
    <row r="667">
      <c r="A667" s="4">
        <f>IFERROR(__xludf.DUMMYFUNCTION("""COMPUTED_VALUE"""),44830.66666666667)</f>
        <v>44830.66667</v>
      </c>
      <c r="B667" s="5">
        <f>IFERROR(__xludf.DUMMYFUNCTION("""COMPUTED_VALUE"""),4210.0)</f>
        <v>4210</v>
      </c>
      <c r="C667" s="5">
        <f>IFERROR(__xludf.DUMMYFUNCTION("""COMPUTED_VALUE"""),4240.0)</f>
        <v>4240</v>
      </c>
      <c r="D667" s="5">
        <f>IFERROR(__xludf.DUMMYFUNCTION("""COMPUTED_VALUE"""),4090.0)</f>
        <v>4090</v>
      </c>
      <c r="E667" s="5">
        <f>IFERROR(__xludf.DUMMYFUNCTION("""COMPUTED_VALUE"""),4150.0)</f>
        <v>4150</v>
      </c>
      <c r="F667" s="5">
        <f>IFERROR(__xludf.DUMMYFUNCTION("""COMPUTED_VALUE"""),5.07814E7)</f>
        <v>50781400</v>
      </c>
      <c r="G667" s="5">
        <f t="shared" si="1"/>
        <v>210</v>
      </c>
    </row>
    <row r="668">
      <c r="A668" s="4">
        <f>IFERROR(__xludf.DUMMYFUNCTION("""COMPUTED_VALUE"""),44831.66666666667)</f>
        <v>44831.66667</v>
      </c>
      <c r="B668" s="5">
        <f>IFERROR(__xludf.DUMMYFUNCTION("""COMPUTED_VALUE"""),4150.0)</f>
        <v>4150</v>
      </c>
      <c r="C668" s="5">
        <f>IFERROR(__xludf.DUMMYFUNCTION("""COMPUTED_VALUE"""),4200.0)</f>
        <v>4200</v>
      </c>
      <c r="D668" s="5">
        <f>IFERROR(__xludf.DUMMYFUNCTION("""COMPUTED_VALUE"""),4140.0)</f>
        <v>4140</v>
      </c>
      <c r="E668" s="5">
        <f>IFERROR(__xludf.DUMMYFUNCTION("""COMPUTED_VALUE"""),4170.0)</f>
        <v>4170</v>
      </c>
      <c r="F668" s="5">
        <f>IFERROR(__xludf.DUMMYFUNCTION("""COMPUTED_VALUE"""),1.64537E7)</f>
        <v>16453700</v>
      </c>
      <c r="G668" s="5">
        <f t="shared" si="1"/>
        <v>60</v>
      </c>
    </row>
    <row r="669">
      <c r="A669" s="4">
        <f>IFERROR(__xludf.DUMMYFUNCTION("""COMPUTED_VALUE"""),44832.66666666667)</f>
        <v>44832.66667</v>
      </c>
      <c r="B669" s="5">
        <f>IFERROR(__xludf.DUMMYFUNCTION("""COMPUTED_VALUE"""),4140.0)</f>
        <v>4140</v>
      </c>
      <c r="C669" s="5">
        <f>IFERROR(__xludf.DUMMYFUNCTION("""COMPUTED_VALUE"""),4200.0)</f>
        <v>4200</v>
      </c>
      <c r="D669" s="5">
        <f>IFERROR(__xludf.DUMMYFUNCTION("""COMPUTED_VALUE"""),4140.0)</f>
        <v>4140</v>
      </c>
      <c r="E669" s="5">
        <f>IFERROR(__xludf.DUMMYFUNCTION("""COMPUTED_VALUE"""),4150.0)</f>
        <v>4150</v>
      </c>
      <c r="F669" s="5">
        <f>IFERROR(__xludf.DUMMYFUNCTION("""COMPUTED_VALUE"""),1.41374E7)</f>
        <v>14137400</v>
      </c>
      <c r="G669" s="5">
        <f t="shared" si="1"/>
        <v>60</v>
      </c>
    </row>
    <row r="670">
      <c r="A670" s="4">
        <f>IFERROR(__xludf.DUMMYFUNCTION("""COMPUTED_VALUE"""),44833.66666666667)</f>
        <v>44833.66667</v>
      </c>
      <c r="B670" s="5">
        <f>IFERROR(__xludf.DUMMYFUNCTION("""COMPUTED_VALUE"""),4160.0)</f>
        <v>4160</v>
      </c>
      <c r="C670" s="5">
        <f>IFERROR(__xludf.DUMMYFUNCTION("""COMPUTED_VALUE"""),4190.0)</f>
        <v>4190</v>
      </c>
      <c r="D670" s="5">
        <f>IFERROR(__xludf.DUMMYFUNCTION("""COMPUTED_VALUE"""),4130.0)</f>
        <v>4130</v>
      </c>
      <c r="E670" s="5">
        <f>IFERROR(__xludf.DUMMYFUNCTION("""COMPUTED_VALUE"""),4140.0)</f>
        <v>4140</v>
      </c>
      <c r="F670" s="5">
        <f>IFERROR(__xludf.DUMMYFUNCTION("""COMPUTED_VALUE"""),1.44677E7)</f>
        <v>14467700</v>
      </c>
      <c r="G670" s="5">
        <f t="shared" si="1"/>
        <v>60</v>
      </c>
    </row>
    <row r="671">
      <c r="A671" s="4">
        <f>IFERROR(__xludf.DUMMYFUNCTION("""COMPUTED_VALUE"""),44834.66666666667)</f>
        <v>44834.66667</v>
      </c>
      <c r="B671" s="5">
        <f>IFERROR(__xludf.DUMMYFUNCTION("""COMPUTED_VALUE"""),4120.0)</f>
        <v>4120</v>
      </c>
      <c r="C671" s="5">
        <f>IFERROR(__xludf.DUMMYFUNCTION("""COMPUTED_VALUE"""),4180.0)</f>
        <v>4180</v>
      </c>
      <c r="D671" s="5">
        <f>IFERROR(__xludf.DUMMYFUNCTION("""COMPUTED_VALUE"""),4070.0)</f>
        <v>4070</v>
      </c>
      <c r="E671" s="5">
        <f>IFERROR(__xludf.DUMMYFUNCTION("""COMPUTED_VALUE"""),4170.0)</f>
        <v>4170</v>
      </c>
      <c r="F671" s="5">
        <f>IFERROR(__xludf.DUMMYFUNCTION("""COMPUTED_VALUE"""),1.83116E7)</f>
        <v>18311600</v>
      </c>
      <c r="G671" s="5">
        <f t="shared" si="1"/>
        <v>110</v>
      </c>
    </row>
    <row r="672">
      <c r="A672" s="4">
        <f>IFERROR(__xludf.DUMMYFUNCTION("""COMPUTED_VALUE"""),44837.66666666667)</f>
        <v>44837.66667</v>
      </c>
      <c r="B672" s="5">
        <f>IFERROR(__xludf.DUMMYFUNCTION("""COMPUTED_VALUE"""),4150.0)</f>
        <v>4150</v>
      </c>
      <c r="C672" s="5">
        <f>IFERROR(__xludf.DUMMYFUNCTION("""COMPUTED_VALUE"""),4170.0)</f>
        <v>4170</v>
      </c>
      <c r="D672" s="5">
        <f>IFERROR(__xludf.DUMMYFUNCTION("""COMPUTED_VALUE"""),4130.0)</f>
        <v>4130</v>
      </c>
      <c r="E672" s="5">
        <f>IFERROR(__xludf.DUMMYFUNCTION("""COMPUTED_VALUE"""),4160.0)</f>
        <v>4160</v>
      </c>
      <c r="F672" s="5">
        <f>IFERROR(__xludf.DUMMYFUNCTION("""COMPUTED_VALUE"""),1.0035E7)</f>
        <v>10035000</v>
      </c>
      <c r="G672" s="5">
        <f t="shared" si="1"/>
        <v>40</v>
      </c>
    </row>
    <row r="673">
      <c r="A673" s="4">
        <f>IFERROR(__xludf.DUMMYFUNCTION("""COMPUTED_VALUE"""),44838.66666666667)</f>
        <v>44838.66667</v>
      </c>
      <c r="B673" s="5">
        <f>IFERROR(__xludf.DUMMYFUNCTION("""COMPUTED_VALUE"""),4230.0)</f>
        <v>4230</v>
      </c>
      <c r="C673" s="5">
        <f>IFERROR(__xludf.DUMMYFUNCTION("""COMPUTED_VALUE"""),4240.0)</f>
        <v>4240</v>
      </c>
      <c r="D673" s="5">
        <f>IFERROR(__xludf.DUMMYFUNCTION("""COMPUTED_VALUE"""),4200.0)</f>
        <v>4200</v>
      </c>
      <c r="E673" s="5">
        <f>IFERROR(__xludf.DUMMYFUNCTION("""COMPUTED_VALUE"""),4240.0)</f>
        <v>4240</v>
      </c>
      <c r="F673" s="5">
        <f>IFERROR(__xludf.DUMMYFUNCTION("""COMPUTED_VALUE"""),1.8377E7)</f>
        <v>18377000</v>
      </c>
      <c r="G673" s="5">
        <f t="shared" si="1"/>
        <v>80</v>
      </c>
    </row>
    <row r="674">
      <c r="A674" s="4">
        <f>IFERROR(__xludf.DUMMYFUNCTION("""COMPUTED_VALUE"""),44839.66666666667)</f>
        <v>44839.66667</v>
      </c>
      <c r="B674" s="5">
        <f>IFERROR(__xludf.DUMMYFUNCTION("""COMPUTED_VALUE"""),4250.0)</f>
        <v>4250</v>
      </c>
      <c r="C674" s="5">
        <f>IFERROR(__xludf.DUMMYFUNCTION("""COMPUTED_VALUE"""),4270.0)</f>
        <v>4270</v>
      </c>
      <c r="D674" s="5">
        <f>IFERROR(__xludf.DUMMYFUNCTION("""COMPUTED_VALUE"""),4200.0)</f>
        <v>4200</v>
      </c>
      <c r="E674" s="5">
        <f>IFERROR(__xludf.DUMMYFUNCTION("""COMPUTED_VALUE"""),4210.0)</f>
        <v>4210</v>
      </c>
      <c r="F674" s="5">
        <f>IFERROR(__xludf.DUMMYFUNCTION("""COMPUTED_VALUE"""),1.33274E7)</f>
        <v>13327400</v>
      </c>
      <c r="G674" s="5">
        <f t="shared" si="1"/>
        <v>70</v>
      </c>
    </row>
    <row r="675">
      <c r="A675" s="4">
        <f>IFERROR(__xludf.DUMMYFUNCTION("""COMPUTED_VALUE"""),44840.66666666667)</f>
        <v>44840.66667</v>
      </c>
      <c r="B675" s="5">
        <f>IFERROR(__xludf.DUMMYFUNCTION("""COMPUTED_VALUE"""),4200.0)</f>
        <v>4200</v>
      </c>
      <c r="C675" s="5">
        <f>IFERROR(__xludf.DUMMYFUNCTION("""COMPUTED_VALUE"""),4320.0)</f>
        <v>4320</v>
      </c>
      <c r="D675" s="5">
        <f>IFERROR(__xludf.DUMMYFUNCTION("""COMPUTED_VALUE"""),4200.0)</f>
        <v>4200</v>
      </c>
      <c r="E675" s="5">
        <f>IFERROR(__xludf.DUMMYFUNCTION("""COMPUTED_VALUE"""),4230.0)</f>
        <v>4230</v>
      </c>
      <c r="F675" s="5">
        <f>IFERROR(__xludf.DUMMYFUNCTION("""COMPUTED_VALUE"""),2.90683E7)</f>
        <v>29068300</v>
      </c>
      <c r="G675" s="5">
        <f t="shared" si="1"/>
        <v>120</v>
      </c>
    </row>
    <row r="676">
      <c r="A676" s="4">
        <f>IFERROR(__xludf.DUMMYFUNCTION("""COMPUTED_VALUE"""),44841.66666666667)</f>
        <v>44841.66667</v>
      </c>
      <c r="B676" s="5">
        <f>IFERROR(__xludf.DUMMYFUNCTION("""COMPUTED_VALUE"""),4230.0)</f>
        <v>4230</v>
      </c>
      <c r="C676" s="5">
        <f>IFERROR(__xludf.DUMMYFUNCTION("""COMPUTED_VALUE"""),4290.0)</f>
        <v>4290</v>
      </c>
      <c r="D676" s="5">
        <f>IFERROR(__xludf.DUMMYFUNCTION("""COMPUTED_VALUE"""),4230.0)</f>
        <v>4230</v>
      </c>
      <c r="E676" s="5">
        <f>IFERROR(__xludf.DUMMYFUNCTION("""COMPUTED_VALUE"""),4290.0)</f>
        <v>4290</v>
      </c>
      <c r="F676" s="5">
        <f>IFERROR(__xludf.DUMMYFUNCTION("""COMPUTED_VALUE"""),1.39549E7)</f>
        <v>13954900</v>
      </c>
      <c r="G676" s="5">
        <f t="shared" si="1"/>
        <v>60</v>
      </c>
    </row>
    <row r="677">
      <c r="A677" s="4">
        <f>IFERROR(__xludf.DUMMYFUNCTION("""COMPUTED_VALUE"""),44844.66666666667)</f>
        <v>44844.66667</v>
      </c>
      <c r="B677" s="5">
        <f>IFERROR(__xludf.DUMMYFUNCTION("""COMPUTED_VALUE"""),4230.0)</f>
        <v>4230</v>
      </c>
      <c r="C677" s="5">
        <f>IFERROR(__xludf.DUMMYFUNCTION("""COMPUTED_VALUE"""),4240.0)</f>
        <v>4240</v>
      </c>
      <c r="D677" s="5">
        <f>IFERROR(__xludf.DUMMYFUNCTION("""COMPUTED_VALUE"""),4140.0)</f>
        <v>4140</v>
      </c>
      <c r="E677" s="5">
        <f>IFERROR(__xludf.DUMMYFUNCTION("""COMPUTED_VALUE"""),4150.0)</f>
        <v>4150</v>
      </c>
      <c r="F677" s="5">
        <f>IFERROR(__xludf.DUMMYFUNCTION("""COMPUTED_VALUE"""),3.04171E7)</f>
        <v>30417100</v>
      </c>
      <c r="G677" s="5">
        <f t="shared" si="1"/>
        <v>150</v>
      </c>
    </row>
    <row r="678">
      <c r="A678" s="4">
        <f>IFERROR(__xludf.DUMMYFUNCTION("""COMPUTED_VALUE"""),44845.66666666667)</f>
        <v>44845.66667</v>
      </c>
      <c r="B678" s="5">
        <f>IFERROR(__xludf.DUMMYFUNCTION("""COMPUTED_VALUE"""),4160.0)</f>
        <v>4160</v>
      </c>
      <c r="C678" s="5">
        <f>IFERROR(__xludf.DUMMYFUNCTION("""COMPUTED_VALUE"""),4250.0)</f>
        <v>4250</v>
      </c>
      <c r="D678" s="5">
        <f>IFERROR(__xludf.DUMMYFUNCTION("""COMPUTED_VALUE"""),4160.0)</f>
        <v>4160</v>
      </c>
      <c r="E678" s="5">
        <f>IFERROR(__xludf.DUMMYFUNCTION("""COMPUTED_VALUE"""),4220.0)</f>
        <v>4220</v>
      </c>
      <c r="F678" s="5">
        <f>IFERROR(__xludf.DUMMYFUNCTION("""COMPUTED_VALUE"""),1.33468E7)</f>
        <v>13346800</v>
      </c>
      <c r="G678" s="5">
        <f t="shared" si="1"/>
        <v>100</v>
      </c>
    </row>
    <row r="679">
      <c r="A679" s="4">
        <f>IFERROR(__xludf.DUMMYFUNCTION("""COMPUTED_VALUE"""),44846.66666666667)</f>
        <v>44846.66667</v>
      </c>
      <c r="B679" s="5">
        <f>IFERROR(__xludf.DUMMYFUNCTION("""COMPUTED_VALUE"""),4230.0)</f>
        <v>4230</v>
      </c>
      <c r="C679" s="5">
        <f>IFERROR(__xludf.DUMMYFUNCTION("""COMPUTED_VALUE"""),4300.0)</f>
        <v>4300</v>
      </c>
      <c r="D679" s="5">
        <f>IFERROR(__xludf.DUMMYFUNCTION("""COMPUTED_VALUE"""),4210.0)</f>
        <v>4210</v>
      </c>
      <c r="E679" s="5">
        <f>IFERROR(__xludf.DUMMYFUNCTION("""COMPUTED_VALUE"""),4260.0)</f>
        <v>4260</v>
      </c>
      <c r="F679" s="5">
        <f>IFERROR(__xludf.DUMMYFUNCTION("""COMPUTED_VALUE"""),2.30618E7)</f>
        <v>23061800</v>
      </c>
      <c r="G679" s="5">
        <f t="shared" si="1"/>
        <v>90</v>
      </c>
    </row>
    <row r="680">
      <c r="A680" s="4">
        <f>IFERROR(__xludf.DUMMYFUNCTION("""COMPUTED_VALUE"""),44847.66666666667)</f>
        <v>44847.66667</v>
      </c>
      <c r="B680" s="5">
        <f>IFERROR(__xludf.DUMMYFUNCTION("""COMPUTED_VALUE"""),4310.0)</f>
        <v>4310</v>
      </c>
      <c r="C680" s="5">
        <f>IFERROR(__xludf.DUMMYFUNCTION("""COMPUTED_VALUE"""),4330.0)</f>
        <v>4330</v>
      </c>
      <c r="D680" s="5">
        <f>IFERROR(__xludf.DUMMYFUNCTION("""COMPUTED_VALUE"""),4250.0)</f>
        <v>4250</v>
      </c>
      <c r="E680" s="5">
        <f>IFERROR(__xludf.DUMMYFUNCTION("""COMPUTED_VALUE"""),4250.0)</f>
        <v>4250</v>
      </c>
      <c r="F680" s="5">
        <f>IFERROR(__xludf.DUMMYFUNCTION("""COMPUTED_VALUE"""),3.05074E7)</f>
        <v>30507400</v>
      </c>
      <c r="G680" s="5">
        <f t="shared" si="1"/>
        <v>80</v>
      </c>
    </row>
    <row r="681">
      <c r="A681" s="4">
        <f>IFERROR(__xludf.DUMMYFUNCTION("""COMPUTED_VALUE"""),44848.66666666667)</f>
        <v>44848.66667</v>
      </c>
      <c r="B681" s="5">
        <f>IFERROR(__xludf.DUMMYFUNCTION("""COMPUTED_VALUE"""),4280.0)</f>
        <v>4280</v>
      </c>
      <c r="C681" s="5">
        <f>IFERROR(__xludf.DUMMYFUNCTION("""COMPUTED_VALUE"""),4300.0)</f>
        <v>4300</v>
      </c>
      <c r="D681" s="5">
        <f>IFERROR(__xludf.DUMMYFUNCTION("""COMPUTED_VALUE"""),4230.0)</f>
        <v>4230</v>
      </c>
      <c r="E681" s="5">
        <f>IFERROR(__xludf.DUMMYFUNCTION("""COMPUTED_VALUE"""),4230.0)</f>
        <v>4230</v>
      </c>
      <c r="F681" s="5">
        <f>IFERROR(__xludf.DUMMYFUNCTION("""COMPUTED_VALUE"""),1.48815E7)</f>
        <v>14881500</v>
      </c>
      <c r="G681" s="5">
        <f t="shared" si="1"/>
        <v>70</v>
      </c>
    </row>
    <row r="682">
      <c r="A682" s="4">
        <f>IFERROR(__xludf.DUMMYFUNCTION("""COMPUTED_VALUE"""),44851.66666666667)</f>
        <v>44851.66667</v>
      </c>
      <c r="B682" s="5">
        <f>IFERROR(__xludf.DUMMYFUNCTION("""COMPUTED_VALUE"""),4230.0)</f>
        <v>4230</v>
      </c>
      <c r="C682" s="5">
        <f>IFERROR(__xludf.DUMMYFUNCTION("""COMPUTED_VALUE"""),4270.0)</f>
        <v>4270</v>
      </c>
      <c r="D682" s="5">
        <f>IFERROR(__xludf.DUMMYFUNCTION("""COMPUTED_VALUE"""),4180.0)</f>
        <v>4180</v>
      </c>
      <c r="E682" s="5">
        <f>IFERROR(__xludf.DUMMYFUNCTION("""COMPUTED_VALUE"""),4250.0)</f>
        <v>4250</v>
      </c>
      <c r="F682" s="5">
        <f>IFERROR(__xludf.DUMMYFUNCTION("""COMPUTED_VALUE"""),1.29215E7)</f>
        <v>12921500</v>
      </c>
      <c r="G682" s="5">
        <f t="shared" si="1"/>
        <v>90</v>
      </c>
    </row>
    <row r="683">
      <c r="A683" s="4">
        <f>IFERROR(__xludf.DUMMYFUNCTION("""COMPUTED_VALUE"""),44852.66666666667)</f>
        <v>44852.66667</v>
      </c>
      <c r="B683" s="5">
        <f>IFERROR(__xludf.DUMMYFUNCTION("""COMPUTED_VALUE"""),4280.0)</f>
        <v>4280</v>
      </c>
      <c r="C683" s="5">
        <f>IFERROR(__xludf.DUMMYFUNCTION("""COMPUTED_VALUE"""),4280.0)</f>
        <v>4280</v>
      </c>
      <c r="D683" s="5">
        <f>IFERROR(__xludf.DUMMYFUNCTION("""COMPUTED_VALUE"""),3960.0)</f>
        <v>3960</v>
      </c>
      <c r="E683" s="5">
        <f>IFERROR(__xludf.DUMMYFUNCTION("""COMPUTED_VALUE"""),3960.0)</f>
        <v>3960</v>
      </c>
      <c r="F683" s="5">
        <f>IFERROR(__xludf.DUMMYFUNCTION("""COMPUTED_VALUE"""),8.29915E7)</f>
        <v>82991500</v>
      </c>
      <c r="G683" s="5">
        <f t="shared" si="1"/>
        <v>320</v>
      </c>
    </row>
    <row r="684">
      <c r="A684" s="4">
        <f>IFERROR(__xludf.DUMMYFUNCTION("""COMPUTED_VALUE"""),44853.66666666667)</f>
        <v>44853.66667</v>
      </c>
      <c r="B684" s="5">
        <f>IFERROR(__xludf.DUMMYFUNCTION("""COMPUTED_VALUE"""),3720.0)</f>
        <v>3720</v>
      </c>
      <c r="C684" s="5">
        <f>IFERROR(__xludf.DUMMYFUNCTION("""COMPUTED_VALUE"""),3870.0)</f>
        <v>3870</v>
      </c>
      <c r="D684" s="5">
        <f>IFERROR(__xludf.DUMMYFUNCTION("""COMPUTED_VALUE"""),3690.0)</f>
        <v>3690</v>
      </c>
      <c r="E684" s="5">
        <f>IFERROR(__xludf.DUMMYFUNCTION("""COMPUTED_VALUE"""),3730.0)</f>
        <v>3730</v>
      </c>
      <c r="F684" s="5">
        <f>IFERROR(__xludf.DUMMYFUNCTION("""COMPUTED_VALUE"""),1.814943E8)</f>
        <v>181494300</v>
      </c>
      <c r="G684" s="5">
        <f t="shared" si="1"/>
        <v>270</v>
      </c>
    </row>
    <row r="685">
      <c r="A685" s="4">
        <f>IFERROR(__xludf.DUMMYFUNCTION("""COMPUTED_VALUE"""),44854.66666666667)</f>
        <v>44854.66667</v>
      </c>
      <c r="B685" s="5">
        <f>IFERROR(__xludf.DUMMYFUNCTION("""COMPUTED_VALUE"""),3750.0)</f>
        <v>3750</v>
      </c>
      <c r="C685" s="5">
        <f>IFERROR(__xludf.DUMMYFUNCTION("""COMPUTED_VALUE"""),3890.0)</f>
        <v>3890</v>
      </c>
      <c r="D685" s="5">
        <f>IFERROR(__xludf.DUMMYFUNCTION("""COMPUTED_VALUE"""),3750.0)</f>
        <v>3750</v>
      </c>
      <c r="E685" s="5">
        <f>IFERROR(__xludf.DUMMYFUNCTION("""COMPUTED_VALUE"""),3830.0)</f>
        <v>3830</v>
      </c>
      <c r="F685" s="5">
        <f>IFERROR(__xludf.DUMMYFUNCTION("""COMPUTED_VALUE"""),1.424123E8)</f>
        <v>142412300</v>
      </c>
      <c r="G685" s="5">
        <f t="shared" si="1"/>
        <v>160</v>
      </c>
    </row>
    <row r="686">
      <c r="A686" s="4">
        <f>IFERROR(__xludf.DUMMYFUNCTION("""COMPUTED_VALUE"""),44855.66666666667)</f>
        <v>44855.66667</v>
      </c>
      <c r="B686" s="5">
        <f>IFERROR(__xludf.DUMMYFUNCTION("""COMPUTED_VALUE"""),3860.0)</f>
        <v>3860</v>
      </c>
      <c r="C686" s="5">
        <f>IFERROR(__xludf.DUMMYFUNCTION("""COMPUTED_VALUE"""),3870.0)</f>
        <v>3870</v>
      </c>
      <c r="D686" s="5">
        <f>IFERROR(__xludf.DUMMYFUNCTION("""COMPUTED_VALUE"""),3790.0)</f>
        <v>3790</v>
      </c>
      <c r="E686" s="5">
        <f>IFERROR(__xludf.DUMMYFUNCTION("""COMPUTED_VALUE"""),3830.0)</f>
        <v>3830</v>
      </c>
      <c r="F686" s="5">
        <f>IFERROR(__xludf.DUMMYFUNCTION("""COMPUTED_VALUE"""),3.36094E7)</f>
        <v>33609400</v>
      </c>
      <c r="G686" s="5">
        <f t="shared" si="1"/>
        <v>80</v>
      </c>
    </row>
    <row r="687">
      <c r="A687" s="4">
        <f>IFERROR(__xludf.DUMMYFUNCTION("""COMPUTED_VALUE"""),44858.66666666667)</f>
        <v>44858.66667</v>
      </c>
      <c r="B687" s="5">
        <f>IFERROR(__xludf.DUMMYFUNCTION("""COMPUTED_VALUE"""),3840.0)</f>
        <v>3840</v>
      </c>
      <c r="C687" s="5">
        <f>IFERROR(__xludf.DUMMYFUNCTION("""COMPUTED_VALUE"""),3860.0)</f>
        <v>3860</v>
      </c>
      <c r="D687" s="5">
        <f>IFERROR(__xludf.DUMMYFUNCTION("""COMPUTED_VALUE"""),3780.0)</f>
        <v>3780</v>
      </c>
      <c r="E687" s="5">
        <f>IFERROR(__xludf.DUMMYFUNCTION("""COMPUTED_VALUE"""),3780.0)</f>
        <v>3780</v>
      </c>
      <c r="F687" s="5">
        <f>IFERROR(__xludf.DUMMYFUNCTION("""COMPUTED_VALUE"""),3.29533E7)</f>
        <v>32953300</v>
      </c>
      <c r="G687" s="5">
        <f t="shared" si="1"/>
        <v>80</v>
      </c>
    </row>
    <row r="688">
      <c r="A688" s="4">
        <f>IFERROR(__xludf.DUMMYFUNCTION("""COMPUTED_VALUE"""),44859.66666666667)</f>
        <v>44859.66667</v>
      </c>
      <c r="B688" s="5">
        <f>IFERROR(__xludf.DUMMYFUNCTION("""COMPUTED_VALUE"""),3780.0)</f>
        <v>3780</v>
      </c>
      <c r="C688" s="5">
        <f>IFERROR(__xludf.DUMMYFUNCTION("""COMPUTED_VALUE"""),3780.0)</f>
        <v>3780</v>
      </c>
      <c r="D688" s="5">
        <f>IFERROR(__xludf.DUMMYFUNCTION("""COMPUTED_VALUE"""),3730.0)</f>
        <v>3730</v>
      </c>
      <c r="E688" s="5">
        <f>IFERROR(__xludf.DUMMYFUNCTION("""COMPUTED_VALUE"""),3750.0)</f>
        <v>3750</v>
      </c>
      <c r="F688" s="5">
        <f>IFERROR(__xludf.DUMMYFUNCTION("""COMPUTED_VALUE"""),3.1677E7)</f>
        <v>31677000</v>
      </c>
      <c r="G688" s="5">
        <f t="shared" si="1"/>
        <v>50</v>
      </c>
    </row>
    <row r="689">
      <c r="A689" s="4">
        <f>IFERROR(__xludf.DUMMYFUNCTION("""COMPUTED_VALUE"""),44860.66666666667)</f>
        <v>44860.66667</v>
      </c>
      <c r="B689" s="5">
        <f>IFERROR(__xludf.DUMMYFUNCTION("""COMPUTED_VALUE"""),3710.0)</f>
        <v>3710</v>
      </c>
      <c r="C689" s="5">
        <f>IFERROR(__xludf.DUMMYFUNCTION("""COMPUTED_VALUE"""),3850.0)</f>
        <v>3850</v>
      </c>
      <c r="D689" s="5">
        <f>IFERROR(__xludf.DUMMYFUNCTION("""COMPUTED_VALUE"""),3710.0)</f>
        <v>3710</v>
      </c>
      <c r="E689" s="5">
        <f>IFERROR(__xludf.DUMMYFUNCTION("""COMPUTED_VALUE"""),3810.0)</f>
        <v>3810</v>
      </c>
      <c r="F689" s="5">
        <f>IFERROR(__xludf.DUMMYFUNCTION("""COMPUTED_VALUE"""),3.44565E7)</f>
        <v>34456500</v>
      </c>
      <c r="G689" s="5">
        <f t="shared" si="1"/>
        <v>140</v>
      </c>
    </row>
    <row r="690">
      <c r="A690" s="4">
        <f>IFERROR(__xludf.DUMMYFUNCTION("""COMPUTED_VALUE"""),44861.66666666667)</f>
        <v>44861.66667</v>
      </c>
      <c r="B690" s="5">
        <f>IFERROR(__xludf.DUMMYFUNCTION("""COMPUTED_VALUE"""),3850.0)</f>
        <v>3850</v>
      </c>
      <c r="C690" s="5">
        <f>IFERROR(__xludf.DUMMYFUNCTION("""COMPUTED_VALUE"""),3870.0)</f>
        <v>3870</v>
      </c>
      <c r="D690" s="5">
        <f>IFERROR(__xludf.DUMMYFUNCTION("""COMPUTED_VALUE"""),3780.0)</f>
        <v>3780</v>
      </c>
      <c r="E690" s="5">
        <f>IFERROR(__xludf.DUMMYFUNCTION("""COMPUTED_VALUE"""),3790.0)</f>
        <v>3790</v>
      </c>
      <c r="F690" s="5">
        <f>IFERROR(__xludf.DUMMYFUNCTION("""COMPUTED_VALUE"""),5.23328E7)</f>
        <v>52332800</v>
      </c>
      <c r="G690" s="5">
        <f t="shared" si="1"/>
        <v>90</v>
      </c>
    </row>
    <row r="691">
      <c r="A691" s="4">
        <f>IFERROR(__xludf.DUMMYFUNCTION("""COMPUTED_VALUE"""),44862.66666666667)</f>
        <v>44862.66667</v>
      </c>
      <c r="B691" s="5">
        <f>IFERROR(__xludf.DUMMYFUNCTION("""COMPUTED_VALUE"""),3810.0)</f>
        <v>3810</v>
      </c>
      <c r="C691" s="5">
        <f>IFERROR(__xludf.DUMMYFUNCTION("""COMPUTED_VALUE"""),3830.0)</f>
        <v>3830</v>
      </c>
      <c r="D691" s="5">
        <f>IFERROR(__xludf.DUMMYFUNCTION("""COMPUTED_VALUE"""),3780.0)</f>
        <v>3780</v>
      </c>
      <c r="E691" s="5">
        <f>IFERROR(__xludf.DUMMYFUNCTION("""COMPUTED_VALUE"""),3790.0)</f>
        <v>3790</v>
      </c>
      <c r="F691" s="5">
        <f>IFERROR(__xludf.DUMMYFUNCTION("""COMPUTED_VALUE"""),1.71101E7)</f>
        <v>17110100</v>
      </c>
      <c r="G691" s="5">
        <f t="shared" si="1"/>
        <v>50</v>
      </c>
    </row>
    <row r="692">
      <c r="A692" s="4">
        <f>IFERROR(__xludf.DUMMYFUNCTION("""COMPUTED_VALUE"""),44865.66666666667)</f>
        <v>44865.66667</v>
      </c>
      <c r="B692" s="5">
        <f>IFERROR(__xludf.DUMMYFUNCTION("""COMPUTED_VALUE"""),3810.0)</f>
        <v>3810</v>
      </c>
      <c r="C692" s="5">
        <f>IFERROR(__xludf.DUMMYFUNCTION("""COMPUTED_VALUE"""),3920.0)</f>
        <v>3920</v>
      </c>
      <c r="D692" s="5">
        <f>IFERROR(__xludf.DUMMYFUNCTION("""COMPUTED_VALUE"""),3800.0)</f>
        <v>3800</v>
      </c>
      <c r="E692" s="5">
        <f>IFERROR(__xludf.DUMMYFUNCTION("""COMPUTED_VALUE"""),3910.0)</f>
        <v>3910</v>
      </c>
      <c r="F692" s="5">
        <f>IFERROR(__xludf.DUMMYFUNCTION("""COMPUTED_VALUE"""),6.17567E7)</f>
        <v>61756700</v>
      </c>
      <c r="G692" s="5">
        <f t="shared" si="1"/>
        <v>130</v>
      </c>
    </row>
    <row r="693">
      <c r="A693" s="4">
        <f>IFERROR(__xludf.DUMMYFUNCTION("""COMPUTED_VALUE"""),44866.625)</f>
        <v>44866.625</v>
      </c>
      <c r="B693" s="5">
        <f>IFERROR(__xludf.DUMMYFUNCTION("""COMPUTED_VALUE"""),3880.0)</f>
        <v>3880</v>
      </c>
      <c r="C693" s="5">
        <f>IFERROR(__xludf.DUMMYFUNCTION("""COMPUTED_VALUE"""),3880.0)</f>
        <v>3880</v>
      </c>
      <c r="D693" s="5">
        <f>IFERROR(__xludf.DUMMYFUNCTION("""COMPUTED_VALUE"""),3740.0)</f>
        <v>3740</v>
      </c>
      <c r="E693" s="5">
        <f>IFERROR(__xludf.DUMMYFUNCTION("""COMPUTED_VALUE"""),3750.0)</f>
        <v>3750</v>
      </c>
      <c r="F693" s="5">
        <f>IFERROR(__xludf.DUMMYFUNCTION("""COMPUTED_VALUE"""),5.39834E7)</f>
        <v>53983400</v>
      </c>
      <c r="G693" s="5">
        <f t="shared" si="1"/>
        <v>170</v>
      </c>
    </row>
    <row r="694">
      <c r="A694" s="4">
        <f>IFERROR(__xludf.DUMMYFUNCTION("""COMPUTED_VALUE"""),44867.625)</f>
        <v>44867.625</v>
      </c>
      <c r="B694" s="5">
        <f>IFERROR(__xludf.DUMMYFUNCTION("""COMPUTED_VALUE"""),3750.0)</f>
        <v>3750</v>
      </c>
      <c r="C694" s="5">
        <f>IFERROR(__xludf.DUMMYFUNCTION("""COMPUTED_VALUE"""),3800.0)</f>
        <v>3800</v>
      </c>
      <c r="D694" s="5">
        <f>IFERROR(__xludf.DUMMYFUNCTION("""COMPUTED_VALUE"""),3710.0)</f>
        <v>3710</v>
      </c>
      <c r="E694" s="5">
        <f>IFERROR(__xludf.DUMMYFUNCTION("""COMPUTED_VALUE"""),3740.0)</f>
        <v>3740</v>
      </c>
      <c r="F694" s="5">
        <f>IFERROR(__xludf.DUMMYFUNCTION("""COMPUTED_VALUE"""),3.85962E7)</f>
        <v>38596200</v>
      </c>
      <c r="G694" s="5">
        <f t="shared" si="1"/>
        <v>90</v>
      </c>
    </row>
    <row r="695">
      <c r="A695" s="4">
        <f>IFERROR(__xludf.DUMMYFUNCTION("""COMPUTED_VALUE"""),44868.66666666667)</f>
        <v>44868.66667</v>
      </c>
      <c r="B695" s="5">
        <f>IFERROR(__xludf.DUMMYFUNCTION("""COMPUTED_VALUE"""),3750.0)</f>
        <v>3750</v>
      </c>
      <c r="C695" s="5">
        <f>IFERROR(__xludf.DUMMYFUNCTION("""COMPUTED_VALUE"""),3790.0)</f>
        <v>3790</v>
      </c>
      <c r="D695" s="5">
        <f>IFERROR(__xludf.DUMMYFUNCTION("""COMPUTED_VALUE"""),3720.0)</f>
        <v>3720</v>
      </c>
      <c r="E695" s="5">
        <f>IFERROR(__xludf.DUMMYFUNCTION("""COMPUTED_VALUE"""),3750.0)</f>
        <v>3750</v>
      </c>
      <c r="F695" s="5">
        <f>IFERROR(__xludf.DUMMYFUNCTION("""COMPUTED_VALUE"""),1.92652E7)</f>
        <v>19265200</v>
      </c>
      <c r="G695" s="5">
        <f t="shared" si="1"/>
        <v>70</v>
      </c>
    </row>
    <row r="696">
      <c r="A696" s="4">
        <f>IFERROR(__xludf.DUMMYFUNCTION("""COMPUTED_VALUE"""),44869.66666666667)</f>
        <v>44869.66667</v>
      </c>
      <c r="B696" s="5">
        <f>IFERROR(__xludf.DUMMYFUNCTION("""COMPUTED_VALUE"""),3760.0)</f>
        <v>3760</v>
      </c>
      <c r="C696" s="5">
        <f>IFERROR(__xludf.DUMMYFUNCTION("""COMPUTED_VALUE"""),3790.0)</f>
        <v>3790</v>
      </c>
      <c r="D696" s="5">
        <f>IFERROR(__xludf.DUMMYFUNCTION("""COMPUTED_VALUE"""),3750.0)</f>
        <v>3750</v>
      </c>
      <c r="E696" s="5">
        <f>IFERROR(__xludf.DUMMYFUNCTION("""COMPUTED_VALUE"""),3750.0)</f>
        <v>3750</v>
      </c>
      <c r="F696" s="5">
        <f>IFERROR(__xludf.DUMMYFUNCTION("""COMPUTED_VALUE"""),2.39111E7)</f>
        <v>23911100</v>
      </c>
      <c r="G696" s="5">
        <f t="shared" si="1"/>
        <v>40</v>
      </c>
    </row>
    <row r="697">
      <c r="A697" s="4">
        <f>IFERROR(__xludf.DUMMYFUNCTION("""COMPUTED_VALUE"""),44872.66666666667)</f>
        <v>44872.66667</v>
      </c>
      <c r="B697" s="5">
        <f>IFERROR(__xludf.DUMMYFUNCTION("""COMPUTED_VALUE"""),3760.0)</f>
        <v>3760</v>
      </c>
      <c r="C697" s="5">
        <f>IFERROR(__xludf.DUMMYFUNCTION("""COMPUTED_VALUE"""),3840.0)</f>
        <v>3840</v>
      </c>
      <c r="D697" s="5">
        <f>IFERROR(__xludf.DUMMYFUNCTION("""COMPUTED_VALUE"""),3760.0)</f>
        <v>3760</v>
      </c>
      <c r="E697" s="5">
        <f>IFERROR(__xludf.DUMMYFUNCTION("""COMPUTED_VALUE"""),3830.0)</f>
        <v>3830</v>
      </c>
      <c r="F697" s="5">
        <f>IFERROR(__xludf.DUMMYFUNCTION("""COMPUTED_VALUE"""),2.09229E7)</f>
        <v>20922900</v>
      </c>
      <c r="G697" s="5">
        <f t="shared" si="1"/>
        <v>90</v>
      </c>
    </row>
    <row r="698">
      <c r="A698" s="4">
        <f>IFERROR(__xludf.DUMMYFUNCTION("""COMPUTED_VALUE"""),44873.66666666667)</f>
        <v>44873.66667</v>
      </c>
      <c r="B698" s="5">
        <f>IFERROR(__xludf.DUMMYFUNCTION("""COMPUTED_VALUE"""),3800.0)</f>
        <v>3800</v>
      </c>
      <c r="C698" s="5">
        <f>IFERROR(__xludf.DUMMYFUNCTION("""COMPUTED_VALUE"""),3810.0)</f>
        <v>3810</v>
      </c>
      <c r="D698" s="5">
        <f>IFERROR(__xludf.DUMMYFUNCTION("""COMPUTED_VALUE"""),3760.0)</f>
        <v>3760</v>
      </c>
      <c r="E698" s="5">
        <f>IFERROR(__xludf.DUMMYFUNCTION("""COMPUTED_VALUE"""),3790.0)</f>
        <v>3790</v>
      </c>
      <c r="F698" s="5">
        <f>IFERROR(__xludf.DUMMYFUNCTION("""COMPUTED_VALUE"""),1.91808E7)</f>
        <v>19180800</v>
      </c>
      <c r="G698" s="5">
        <f t="shared" si="1"/>
        <v>70</v>
      </c>
    </row>
    <row r="699">
      <c r="A699" s="4">
        <f>IFERROR(__xludf.DUMMYFUNCTION("""COMPUTED_VALUE"""),44874.66666666667)</f>
        <v>44874.66667</v>
      </c>
      <c r="B699" s="5">
        <f>IFERROR(__xludf.DUMMYFUNCTION("""COMPUTED_VALUE"""),3780.0)</f>
        <v>3780</v>
      </c>
      <c r="C699" s="5">
        <f>IFERROR(__xludf.DUMMYFUNCTION("""COMPUTED_VALUE"""),3780.0)</f>
        <v>3780</v>
      </c>
      <c r="D699" s="5">
        <f>IFERROR(__xludf.DUMMYFUNCTION("""COMPUTED_VALUE"""),3660.0)</f>
        <v>3660</v>
      </c>
      <c r="E699" s="5">
        <f>IFERROR(__xludf.DUMMYFUNCTION("""COMPUTED_VALUE"""),3660.0)</f>
        <v>3660</v>
      </c>
      <c r="F699" s="5">
        <f>IFERROR(__xludf.DUMMYFUNCTION("""COMPUTED_VALUE"""),5.81287E7)</f>
        <v>58128700</v>
      </c>
      <c r="G699" s="5">
        <f t="shared" si="1"/>
        <v>130</v>
      </c>
    </row>
    <row r="700">
      <c r="A700" s="4">
        <f>IFERROR(__xludf.DUMMYFUNCTION("""COMPUTED_VALUE"""),44875.66666666667)</f>
        <v>44875.66667</v>
      </c>
      <c r="B700" s="5">
        <f>IFERROR(__xludf.DUMMYFUNCTION("""COMPUTED_VALUE"""),3550.0)</f>
        <v>3550</v>
      </c>
      <c r="C700" s="5">
        <f>IFERROR(__xludf.DUMMYFUNCTION("""COMPUTED_VALUE"""),3580.0)</f>
        <v>3580</v>
      </c>
      <c r="D700" s="5">
        <f>IFERROR(__xludf.DUMMYFUNCTION("""COMPUTED_VALUE"""),3430.0)</f>
        <v>3430</v>
      </c>
      <c r="E700" s="5">
        <f>IFERROR(__xludf.DUMMYFUNCTION("""COMPUTED_VALUE"""),3470.0)</f>
        <v>3470</v>
      </c>
      <c r="F700" s="5">
        <f>IFERROR(__xludf.DUMMYFUNCTION("""COMPUTED_VALUE"""),8.45597E7)</f>
        <v>84559700</v>
      </c>
      <c r="G700" s="5">
        <f t="shared" si="1"/>
        <v>230</v>
      </c>
    </row>
    <row r="701">
      <c r="A701" s="4">
        <f>IFERROR(__xludf.DUMMYFUNCTION("""COMPUTED_VALUE"""),44876.66666666667)</f>
        <v>44876.66667</v>
      </c>
      <c r="B701" s="5">
        <f>IFERROR(__xludf.DUMMYFUNCTION("""COMPUTED_VALUE"""),3470.0)</f>
        <v>3470</v>
      </c>
      <c r="C701" s="5">
        <f>IFERROR(__xludf.DUMMYFUNCTION("""COMPUTED_VALUE"""),3520.0)</f>
        <v>3520</v>
      </c>
      <c r="D701" s="5">
        <f>IFERROR(__xludf.DUMMYFUNCTION("""COMPUTED_VALUE"""),3460.0)</f>
        <v>3460</v>
      </c>
      <c r="E701" s="5">
        <f>IFERROR(__xludf.DUMMYFUNCTION("""COMPUTED_VALUE"""),3480.0)</f>
        <v>3480</v>
      </c>
      <c r="F701" s="5">
        <f>IFERROR(__xludf.DUMMYFUNCTION("""COMPUTED_VALUE"""),2.79963E7)</f>
        <v>27996300</v>
      </c>
      <c r="G701" s="5">
        <f t="shared" si="1"/>
        <v>60</v>
      </c>
    </row>
    <row r="702">
      <c r="A702" s="4">
        <f>IFERROR(__xludf.DUMMYFUNCTION("""COMPUTED_VALUE"""),44879.66666666667)</f>
        <v>44879.66667</v>
      </c>
      <c r="B702" s="5">
        <f>IFERROR(__xludf.DUMMYFUNCTION("""COMPUTED_VALUE"""),3490.0)</f>
        <v>3490</v>
      </c>
      <c r="C702" s="5">
        <f>IFERROR(__xludf.DUMMYFUNCTION("""COMPUTED_VALUE"""),3550.0)</f>
        <v>3550</v>
      </c>
      <c r="D702" s="5">
        <f>IFERROR(__xludf.DUMMYFUNCTION("""COMPUTED_VALUE"""),3460.0)</f>
        <v>3460</v>
      </c>
      <c r="E702" s="5">
        <f>IFERROR(__xludf.DUMMYFUNCTION("""COMPUTED_VALUE"""),3480.0)</f>
        <v>3480</v>
      </c>
      <c r="F702" s="5">
        <f>IFERROR(__xludf.DUMMYFUNCTION("""COMPUTED_VALUE"""),2.78357E7)</f>
        <v>27835700</v>
      </c>
      <c r="G702" s="5">
        <f t="shared" si="1"/>
        <v>90</v>
      </c>
    </row>
    <row r="703">
      <c r="A703" s="4">
        <f>IFERROR(__xludf.DUMMYFUNCTION("""COMPUTED_VALUE"""),44880.66666666667)</f>
        <v>44880.66667</v>
      </c>
      <c r="B703" s="5">
        <f>IFERROR(__xludf.DUMMYFUNCTION("""COMPUTED_VALUE"""),3510.0)</f>
        <v>3510</v>
      </c>
      <c r="C703" s="5">
        <f>IFERROR(__xludf.DUMMYFUNCTION("""COMPUTED_VALUE"""),3530.0)</f>
        <v>3530</v>
      </c>
      <c r="D703" s="5">
        <f>IFERROR(__xludf.DUMMYFUNCTION("""COMPUTED_VALUE"""),3470.0)</f>
        <v>3470</v>
      </c>
      <c r="E703" s="5">
        <f>IFERROR(__xludf.DUMMYFUNCTION("""COMPUTED_VALUE"""),3500.0)</f>
        <v>3500</v>
      </c>
      <c r="F703" s="5">
        <f>IFERROR(__xludf.DUMMYFUNCTION("""COMPUTED_VALUE"""),1.63343E7)</f>
        <v>16334300</v>
      </c>
      <c r="G703" s="5">
        <f t="shared" si="1"/>
        <v>60</v>
      </c>
    </row>
    <row r="704">
      <c r="A704" s="4">
        <f>IFERROR(__xludf.DUMMYFUNCTION("""COMPUTED_VALUE"""),44881.66666666667)</f>
        <v>44881.66667</v>
      </c>
      <c r="B704" s="5">
        <f>IFERROR(__xludf.DUMMYFUNCTION("""COMPUTED_VALUE"""),3540.0)</f>
        <v>3540</v>
      </c>
      <c r="C704" s="5">
        <f>IFERROR(__xludf.DUMMYFUNCTION("""COMPUTED_VALUE"""),3560.0)</f>
        <v>3560</v>
      </c>
      <c r="D704" s="5">
        <f>IFERROR(__xludf.DUMMYFUNCTION("""COMPUTED_VALUE"""),3490.0)</f>
        <v>3490</v>
      </c>
      <c r="E704" s="5">
        <f>IFERROR(__xludf.DUMMYFUNCTION("""COMPUTED_VALUE"""),3500.0)</f>
        <v>3500</v>
      </c>
      <c r="F704" s="5">
        <f>IFERROR(__xludf.DUMMYFUNCTION("""COMPUTED_VALUE"""),2.31715E7)</f>
        <v>23171500</v>
      </c>
      <c r="G704" s="5">
        <f t="shared" si="1"/>
        <v>70</v>
      </c>
    </row>
    <row r="705">
      <c r="A705" s="4">
        <f>IFERROR(__xludf.DUMMYFUNCTION("""COMPUTED_VALUE"""),44882.66666666667)</f>
        <v>44882.66667</v>
      </c>
      <c r="B705" s="5">
        <f>IFERROR(__xludf.DUMMYFUNCTION("""COMPUTED_VALUE"""),3500.0)</f>
        <v>3500</v>
      </c>
      <c r="C705" s="5">
        <f>IFERROR(__xludf.DUMMYFUNCTION("""COMPUTED_VALUE"""),3560.0)</f>
        <v>3560</v>
      </c>
      <c r="D705" s="5">
        <f>IFERROR(__xludf.DUMMYFUNCTION("""COMPUTED_VALUE"""),3460.0)</f>
        <v>3460</v>
      </c>
      <c r="E705" s="5">
        <f>IFERROR(__xludf.DUMMYFUNCTION("""COMPUTED_VALUE"""),3550.0)</f>
        <v>3550</v>
      </c>
      <c r="F705" s="5">
        <f>IFERROR(__xludf.DUMMYFUNCTION("""COMPUTED_VALUE"""),1.37897E7)</f>
        <v>13789700</v>
      </c>
      <c r="G705" s="5">
        <f t="shared" si="1"/>
        <v>100</v>
      </c>
    </row>
    <row r="706">
      <c r="A706" s="4">
        <f>IFERROR(__xludf.DUMMYFUNCTION("""COMPUTED_VALUE"""),44883.66666666667)</f>
        <v>44883.66667</v>
      </c>
      <c r="B706" s="5">
        <f>IFERROR(__xludf.DUMMYFUNCTION("""COMPUTED_VALUE"""),3550.0)</f>
        <v>3550</v>
      </c>
      <c r="C706" s="5">
        <f>IFERROR(__xludf.DUMMYFUNCTION("""COMPUTED_VALUE"""),3570.0)</f>
        <v>3570</v>
      </c>
      <c r="D706" s="5">
        <f>IFERROR(__xludf.DUMMYFUNCTION("""COMPUTED_VALUE"""),3520.0)</f>
        <v>3520</v>
      </c>
      <c r="E706" s="5">
        <f>IFERROR(__xludf.DUMMYFUNCTION("""COMPUTED_VALUE"""),3550.0)</f>
        <v>3550</v>
      </c>
      <c r="F706" s="5">
        <f>IFERROR(__xludf.DUMMYFUNCTION("""COMPUTED_VALUE"""),1.1151E7)</f>
        <v>11151000</v>
      </c>
      <c r="G706" s="5">
        <f t="shared" si="1"/>
        <v>50</v>
      </c>
    </row>
    <row r="707">
      <c r="A707" s="4">
        <f>IFERROR(__xludf.DUMMYFUNCTION("""COMPUTED_VALUE"""),44886.66666666667)</f>
        <v>44886.66667</v>
      </c>
      <c r="B707" s="5">
        <f>IFERROR(__xludf.DUMMYFUNCTION("""COMPUTED_VALUE"""),3550.0)</f>
        <v>3550</v>
      </c>
      <c r="C707" s="5">
        <f>IFERROR(__xludf.DUMMYFUNCTION("""COMPUTED_VALUE"""),3650.0)</f>
        <v>3650</v>
      </c>
      <c r="D707" s="5">
        <f>IFERROR(__xludf.DUMMYFUNCTION("""COMPUTED_VALUE"""),3550.0)</f>
        <v>3550</v>
      </c>
      <c r="E707" s="5">
        <f>IFERROR(__xludf.DUMMYFUNCTION("""COMPUTED_VALUE"""),3650.0)</f>
        <v>3650</v>
      </c>
      <c r="F707" s="5">
        <f>IFERROR(__xludf.DUMMYFUNCTION("""COMPUTED_VALUE"""),2.10652E7)</f>
        <v>21065200</v>
      </c>
      <c r="G707" s="5">
        <f t="shared" si="1"/>
        <v>100</v>
      </c>
    </row>
    <row r="708">
      <c r="A708" s="4">
        <f>IFERROR(__xludf.DUMMYFUNCTION("""COMPUTED_VALUE"""),44887.66666666667)</f>
        <v>44887.66667</v>
      </c>
      <c r="B708" s="5">
        <f>IFERROR(__xludf.DUMMYFUNCTION("""COMPUTED_VALUE"""),3650.0)</f>
        <v>3650</v>
      </c>
      <c r="C708" s="5">
        <f>IFERROR(__xludf.DUMMYFUNCTION("""COMPUTED_VALUE"""),3690.0)</f>
        <v>3690</v>
      </c>
      <c r="D708" s="5">
        <f>IFERROR(__xludf.DUMMYFUNCTION("""COMPUTED_VALUE"""),3630.0)</f>
        <v>3630</v>
      </c>
      <c r="E708" s="5">
        <f>IFERROR(__xludf.DUMMYFUNCTION("""COMPUTED_VALUE"""),3690.0)</f>
        <v>3690</v>
      </c>
      <c r="F708" s="5">
        <f>IFERROR(__xludf.DUMMYFUNCTION("""COMPUTED_VALUE"""),1.57415E7)</f>
        <v>15741500</v>
      </c>
      <c r="G708" s="5">
        <f t="shared" si="1"/>
        <v>60</v>
      </c>
    </row>
    <row r="709">
      <c r="A709" s="4">
        <f>IFERROR(__xludf.DUMMYFUNCTION("""COMPUTED_VALUE"""),44888.66666666667)</f>
        <v>44888.66667</v>
      </c>
      <c r="B709" s="5">
        <f>IFERROR(__xludf.DUMMYFUNCTION("""COMPUTED_VALUE"""),3690.0)</f>
        <v>3690</v>
      </c>
      <c r="C709" s="5">
        <f>IFERROR(__xludf.DUMMYFUNCTION("""COMPUTED_VALUE"""),3740.0)</f>
        <v>3740</v>
      </c>
      <c r="D709" s="5">
        <f>IFERROR(__xludf.DUMMYFUNCTION("""COMPUTED_VALUE"""),3680.0)</f>
        <v>3680</v>
      </c>
      <c r="E709" s="5">
        <f>IFERROR(__xludf.DUMMYFUNCTION("""COMPUTED_VALUE"""),3700.0)</f>
        <v>3700</v>
      </c>
      <c r="F709" s="5">
        <f>IFERROR(__xludf.DUMMYFUNCTION("""COMPUTED_VALUE"""),1.1413E7)</f>
        <v>11413000</v>
      </c>
      <c r="G709" s="5">
        <f t="shared" si="1"/>
        <v>60</v>
      </c>
    </row>
    <row r="710">
      <c r="A710" s="4">
        <f>IFERROR(__xludf.DUMMYFUNCTION("""COMPUTED_VALUE"""),44889.66666666667)</f>
        <v>44889.66667</v>
      </c>
      <c r="B710" s="5">
        <f>IFERROR(__xludf.DUMMYFUNCTION("""COMPUTED_VALUE"""),3700.0)</f>
        <v>3700</v>
      </c>
      <c r="C710" s="5">
        <f>IFERROR(__xludf.DUMMYFUNCTION("""COMPUTED_VALUE"""),3720.0)</f>
        <v>3720</v>
      </c>
      <c r="D710" s="5">
        <f>IFERROR(__xludf.DUMMYFUNCTION("""COMPUTED_VALUE"""),3680.0)</f>
        <v>3680</v>
      </c>
      <c r="E710" s="5">
        <f>IFERROR(__xludf.DUMMYFUNCTION("""COMPUTED_VALUE"""),3690.0)</f>
        <v>3690</v>
      </c>
      <c r="F710" s="5">
        <f>IFERROR(__xludf.DUMMYFUNCTION("""COMPUTED_VALUE"""),6081200.0)</f>
        <v>6081200</v>
      </c>
      <c r="G710" s="5">
        <f t="shared" si="1"/>
        <v>40</v>
      </c>
    </row>
    <row r="711">
      <c r="A711" s="4">
        <f>IFERROR(__xludf.DUMMYFUNCTION("""COMPUTED_VALUE"""),44890.66666666667)</f>
        <v>44890.66667</v>
      </c>
      <c r="B711" s="5">
        <f>IFERROR(__xludf.DUMMYFUNCTION("""COMPUTED_VALUE"""),3690.0)</f>
        <v>3690</v>
      </c>
      <c r="C711" s="5">
        <f>IFERROR(__xludf.DUMMYFUNCTION("""COMPUTED_VALUE"""),3700.0)</f>
        <v>3700</v>
      </c>
      <c r="D711" s="5">
        <f>IFERROR(__xludf.DUMMYFUNCTION("""COMPUTED_VALUE"""),3640.0)</f>
        <v>3640</v>
      </c>
      <c r="E711" s="5">
        <f>IFERROR(__xludf.DUMMYFUNCTION("""COMPUTED_VALUE"""),3640.0)</f>
        <v>3640</v>
      </c>
      <c r="F711" s="5">
        <f>IFERROR(__xludf.DUMMYFUNCTION("""COMPUTED_VALUE"""),6007100.0)</f>
        <v>6007100</v>
      </c>
      <c r="G711" s="5">
        <f t="shared" si="1"/>
        <v>60</v>
      </c>
    </row>
    <row r="712">
      <c r="A712" s="4">
        <f>IFERROR(__xludf.DUMMYFUNCTION("""COMPUTED_VALUE"""),44893.66666666667)</f>
        <v>44893.66667</v>
      </c>
      <c r="B712" s="5">
        <f>IFERROR(__xludf.DUMMYFUNCTION("""COMPUTED_VALUE"""),3640.0)</f>
        <v>3640</v>
      </c>
      <c r="C712" s="5">
        <f>IFERROR(__xludf.DUMMYFUNCTION("""COMPUTED_VALUE"""),3710.0)</f>
        <v>3710</v>
      </c>
      <c r="D712" s="5">
        <f>IFERROR(__xludf.DUMMYFUNCTION("""COMPUTED_VALUE"""),3640.0)</f>
        <v>3640</v>
      </c>
      <c r="E712" s="5">
        <f>IFERROR(__xludf.DUMMYFUNCTION("""COMPUTED_VALUE"""),3680.0)</f>
        <v>3680</v>
      </c>
      <c r="F712" s="5">
        <f>IFERROR(__xludf.DUMMYFUNCTION("""COMPUTED_VALUE"""),9513300.0)</f>
        <v>9513300</v>
      </c>
      <c r="G712" s="5">
        <f t="shared" si="1"/>
        <v>70</v>
      </c>
    </row>
    <row r="713">
      <c r="A713" s="4">
        <f>IFERROR(__xludf.DUMMYFUNCTION("""COMPUTED_VALUE"""),44894.66666666667)</f>
        <v>44894.66667</v>
      </c>
      <c r="B713" s="5">
        <f>IFERROR(__xludf.DUMMYFUNCTION("""COMPUTED_VALUE"""),3730.0)</f>
        <v>3730</v>
      </c>
      <c r="C713" s="5">
        <f>IFERROR(__xludf.DUMMYFUNCTION("""COMPUTED_VALUE"""),3770.0)</f>
        <v>3770</v>
      </c>
      <c r="D713" s="5">
        <f>IFERROR(__xludf.DUMMYFUNCTION("""COMPUTED_VALUE"""),3710.0)</f>
        <v>3710</v>
      </c>
      <c r="E713" s="5">
        <f>IFERROR(__xludf.DUMMYFUNCTION("""COMPUTED_VALUE"""),3750.0)</f>
        <v>3750</v>
      </c>
      <c r="F713" s="5">
        <f>IFERROR(__xludf.DUMMYFUNCTION("""COMPUTED_VALUE"""),1.48291E7)</f>
        <v>14829100</v>
      </c>
      <c r="G713" s="5">
        <f t="shared" si="1"/>
        <v>90</v>
      </c>
    </row>
    <row r="714">
      <c r="A714" s="4">
        <f>IFERROR(__xludf.DUMMYFUNCTION("""COMPUTED_VALUE"""),44895.66666666667)</f>
        <v>44895.66667</v>
      </c>
      <c r="B714" s="5">
        <f>IFERROR(__xludf.DUMMYFUNCTION("""COMPUTED_VALUE"""),3780.0)</f>
        <v>3780</v>
      </c>
      <c r="C714" s="5">
        <f>IFERROR(__xludf.DUMMYFUNCTION("""COMPUTED_VALUE"""),3810.0)</f>
        <v>3810</v>
      </c>
      <c r="D714" s="5">
        <f>IFERROR(__xludf.DUMMYFUNCTION("""COMPUTED_VALUE"""),3770.0)</f>
        <v>3770</v>
      </c>
      <c r="E714" s="5">
        <f>IFERROR(__xludf.DUMMYFUNCTION("""COMPUTED_VALUE"""),3800.0)</f>
        <v>3800</v>
      </c>
      <c r="F714" s="5">
        <f>IFERROR(__xludf.DUMMYFUNCTION("""COMPUTED_VALUE"""),2.65899E7)</f>
        <v>26589900</v>
      </c>
      <c r="G714" s="5">
        <f t="shared" si="1"/>
        <v>60</v>
      </c>
    </row>
    <row r="715">
      <c r="A715" s="4">
        <f>IFERROR(__xludf.DUMMYFUNCTION("""COMPUTED_VALUE"""),44896.66666666667)</f>
        <v>44896.66667</v>
      </c>
      <c r="B715" s="5">
        <f>IFERROR(__xludf.DUMMYFUNCTION("""COMPUTED_VALUE"""),3820.0)</f>
        <v>3820</v>
      </c>
      <c r="C715" s="5">
        <f>IFERROR(__xludf.DUMMYFUNCTION("""COMPUTED_VALUE"""),3850.0)</f>
        <v>3850</v>
      </c>
      <c r="D715" s="5">
        <f>IFERROR(__xludf.DUMMYFUNCTION("""COMPUTED_VALUE"""),3800.0)</f>
        <v>3800</v>
      </c>
      <c r="E715" s="5">
        <f>IFERROR(__xludf.DUMMYFUNCTION("""COMPUTED_VALUE"""),3810.0)</f>
        <v>3810</v>
      </c>
      <c r="F715" s="5">
        <f>IFERROR(__xludf.DUMMYFUNCTION("""COMPUTED_VALUE"""),1.30359E7)</f>
        <v>13035900</v>
      </c>
      <c r="G715" s="5">
        <f t="shared" si="1"/>
        <v>50</v>
      </c>
    </row>
    <row r="716">
      <c r="A716" s="4">
        <f>IFERROR(__xludf.DUMMYFUNCTION("""COMPUTED_VALUE"""),44897.66666666667)</f>
        <v>44897.66667</v>
      </c>
      <c r="B716" s="5">
        <f>IFERROR(__xludf.DUMMYFUNCTION("""COMPUTED_VALUE"""),3800.0)</f>
        <v>3800</v>
      </c>
      <c r="C716" s="5">
        <f>IFERROR(__xludf.DUMMYFUNCTION("""COMPUTED_VALUE"""),3810.0)</f>
        <v>3810</v>
      </c>
      <c r="D716" s="5">
        <f>IFERROR(__xludf.DUMMYFUNCTION("""COMPUTED_VALUE"""),3760.0)</f>
        <v>3760</v>
      </c>
      <c r="E716" s="5">
        <f>IFERROR(__xludf.DUMMYFUNCTION("""COMPUTED_VALUE"""),3770.0)</f>
        <v>3770</v>
      </c>
      <c r="F716" s="5">
        <f>IFERROR(__xludf.DUMMYFUNCTION("""COMPUTED_VALUE"""),8869700.0)</f>
        <v>8869700</v>
      </c>
      <c r="G716" s="5">
        <f t="shared" si="1"/>
        <v>50</v>
      </c>
    </row>
    <row r="717">
      <c r="A717" s="4">
        <f>IFERROR(__xludf.DUMMYFUNCTION("""COMPUTED_VALUE"""),44900.66666666667)</f>
        <v>44900.66667</v>
      </c>
      <c r="B717" s="5">
        <f>IFERROR(__xludf.DUMMYFUNCTION("""COMPUTED_VALUE"""),3800.0)</f>
        <v>3800</v>
      </c>
      <c r="C717" s="5">
        <f>IFERROR(__xludf.DUMMYFUNCTION("""COMPUTED_VALUE"""),3800.0)</f>
        <v>3800</v>
      </c>
      <c r="D717" s="5">
        <f>IFERROR(__xludf.DUMMYFUNCTION("""COMPUTED_VALUE"""),3690.0)</f>
        <v>3690</v>
      </c>
      <c r="E717" s="5">
        <f>IFERROR(__xludf.DUMMYFUNCTION("""COMPUTED_VALUE"""),3690.0)</f>
        <v>3690</v>
      </c>
      <c r="F717" s="5">
        <f>IFERROR(__xludf.DUMMYFUNCTION("""COMPUTED_VALUE"""),1.04475E7)</f>
        <v>10447500</v>
      </c>
      <c r="G717" s="5">
        <f t="shared" si="1"/>
        <v>110</v>
      </c>
    </row>
    <row r="718">
      <c r="A718" s="4">
        <f>IFERROR(__xludf.DUMMYFUNCTION("""COMPUTED_VALUE"""),44901.66666666667)</f>
        <v>44901.66667</v>
      </c>
      <c r="B718" s="5">
        <f>IFERROR(__xludf.DUMMYFUNCTION("""COMPUTED_VALUE"""),3720.0)</f>
        <v>3720</v>
      </c>
      <c r="C718" s="5">
        <f>IFERROR(__xludf.DUMMYFUNCTION("""COMPUTED_VALUE"""),3730.0)</f>
        <v>3730</v>
      </c>
      <c r="D718" s="5">
        <f>IFERROR(__xludf.DUMMYFUNCTION("""COMPUTED_VALUE"""),3650.0)</f>
        <v>3650</v>
      </c>
      <c r="E718" s="5">
        <f>IFERROR(__xludf.DUMMYFUNCTION("""COMPUTED_VALUE"""),3660.0)</f>
        <v>3660</v>
      </c>
      <c r="F718" s="5">
        <f>IFERROR(__xludf.DUMMYFUNCTION("""COMPUTED_VALUE"""),1.06361E7)</f>
        <v>10636100</v>
      </c>
      <c r="G718" s="5">
        <f t="shared" si="1"/>
        <v>80</v>
      </c>
    </row>
    <row r="719">
      <c r="A719" s="4">
        <f>IFERROR(__xludf.DUMMYFUNCTION("""COMPUTED_VALUE"""),44902.66666666667)</f>
        <v>44902.66667</v>
      </c>
      <c r="B719" s="5">
        <f>IFERROR(__xludf.DUMMYFUNCTION("""COMPUTED_VALUE"""),3670.0)</f>
        <v>3670</v>
      </c>
      <c r="C719" s="5">
        <f>IFERROR(__xludf.DUMMYFUNCTION("""COMPUTED_VALUE"""),3740.0)</f>
        <v>3740</v>
      </c>
      <c r="D719" s="5">
        <f>IFERROR(__xludf.DUMMYFUNCTION("""COMPUTED_VALUE"""),3670.0)</f>
        <v>3670</v>
      </c>
      <c r="E719" s="5">
        <f>IFERROR(__xludf.DUMMYFUNCTION("""COMPUTED_VALUE"""),3690.0)</f>
        <v>3690</v>
      </c>
      <c r="F719" s="5">
        <f>IFERROR(__xludf.DUMMYFUNCTION("""COMPUTED_VALUE"""),1.5604E7)</f>
        <v>15604000</v>
      </c>
      <c r="G719" s="5">
        <f t="shared" si="1"/>
        <v>80</v>
      </c>
    </row>
    <row r="720">
      <c r="A720" s="4">
        <f>IFERROR(__xludf.DUMMYFUNCTION("""COMPUTED_VALUE"""),44903.66666666667)</f>
        <v>44903.66667</v>
      </c>
      <c r="B720" s="5">
        <f>IFERROR(__xludf.DUMMYFUNCTION("""COMPUTED_VALUE"""),3700.0)</f>
        <v>3700</v>
      </c>
      <c r="C720" s="5">
        <f>IFERROR(__xludf.DUMMYFUNCTION("""COMPUTED_VALUE"""),3710.0)</f>
        <v>3710</v>
      </c>
      <c r="D720" s="5">
        <f>IFERROR(__xludf.DUMMYFUNCTION("""COMPUTED_VALUE"""),3610.0)</f>
        <v>3610</v>
      </c>
      <c r="E720" s="5">
        <f>IFERROR(__xludf.DUMMYFUNCTION("""COMPUTED_VALUE"""),3700.0)</f>
        <v>3700</v>
      </c>
      <c r="F720" s="5">
        <f>IFERROR(__xludf.DUMMYFUNCTION("""COMPUTED_VALUE"""),1.25902E7)</f>
        <v>12590200</v>
      </c>
      <c r="G720" s="5">
        <f t="shared" si="1"/>
        <v>100</v>
      </c>
    </row>
    <row r="721">
      <c r="A721" s="4">
        <f>IFERROR(__xludf.DUMMYFUNCTION("""COMPUTED_VALUE"""),44904.66666666667)</f>
        <v>44904.66667</v>
      </c>
      <c r="B721" s="5">
        <f>IFERROR(__xludf.DUMMYFUNCTION("""COMPUTED_VALUE"""),3680.0)</f>
        <v>3680</v>
      </c>
      <c r="C721" s="5">
        <f>IFERROR(__xludf.DUMMYFUNCTION("""COMPUTED_VALUE"""),3680.0)</f>
        <v>3680</v>
      </c>
      <c r="D721" s="5">
        <f>IFERROR(__xludf.DUMMYFUNCTION("""COMPUTED_VALUE"""),3610.0)</f>
        <v>3610</v>
      </c>
      <c r="E721" s="5">
        <f>IFERROR(__xludf.DUMMYFUNCTION("""COMPUTED_VALUE"""),3620.0)</f>
        <v>3620</v>
      </c>
      <c r="F721" s="5">
        <f>IFERROR(__xludf.DUMMYFUNCTION("""COMPUTED_VALUE"""),1.10167E7)</f>
        <v>11016700</v>
      </c>
      <c r="G721" s="5">
        <f t="shared" si="1"/>
        <v>90</v>
      </c>
    </row>
    <row r="722">
      <c r="A722" s="4">
        <f>IFERROR(__xludf.DUMMYFUNCTION("""COMPUTED_VALUE"""),44907.66666666667)</f>
        <v>44907.66667</v>
      </c>
      <c r="B722" s="5">
        <f>IFERROR(__xludf.DUMMYFUNCTION("""COMPUTED_VALUE"""),3620.0)</f>
        <v>3620</v>
      </c>
      <c r="C722" s="5">
        <f>IFERROR(__xludf.DUMMYFUNCTION("""COMPUTED_VALUE"""),3820.0)</f>
        <v>3820</v>
      </c>
      <c r="D722" s="5">
        <f>IFERROR(__xludf.DUMMYFUNCTION("""COMPUTED_VALUE"""),3620.0)</f>
        <v>3620</v>
      </c>
      <c r="E722" s="5">
        <f>IFERROR(__xludf.DUMMYFUNCTION("""COMPUTED_VALUE"""),3800.0)</f>
        <v>3800</v>
      </c>
      <c r="F722" s="5">
        <f>IFERROR(__xludf.DUMMYFUNCTION("""COMPUTED_VALUE"""),2.48734E7)</f>
        <v>24873400</v>
      </c>
      <c r="G722" s="5">
        <f t="shared" si="1"/>
        <v>200</v>
      </c>
    </row>
    <row r="723">
      <c r="A723" s="4">
        <f>IFERROR(__xludf.DUMMYFUNCTION("""COMPUTED_VALUE"""),44908.66666666667)</f>
        <v>44908.66667</v>
      </c>
      <c r="B723" s="5">
        <f>IFERROR(__xludf.DUMMYFUNCTION("""COMPUTED_VALUE"""),3800.0)</f>
        <v>3800</v>
      </c>
      <c r="C723" s="5">
        <f>IFERROR(__xludf.DUMMYFUNCTION("""COMPUTED_VALUE"""),3800.0)</f>
        <v>3800</v>
      </c>
      <c r="D723" s="5">
        <f>IFERROR(__xludf.DUMMYFUNCTION("""COMPUTED_VALUE"""),3720.0)</f>
        <v>3720</v>
      </c>
      <c r="E723" s="5">
        <f>IFERROR(__xludf.DUMMYFUNCTION("""COMPUTED_VALUE"""),3720.0)</f>
        <v>3720</v>
      </c>
      <c r="F723" s="5">
        <f>IFERROR(__xludf.DUMMYFUNCTION("""COMPUTED_VALUE"""),1.37237E7)</f>
        <v>13723700</v>
      </c>
      <c r="G723" s="5">
        <f t="shared" si="1"/>
        <v>80</v>
      </c>
    </row>
    <row r="724">
      <c r="A724" s="4">
        <f>IFERROR(__xludf.DUMMYFUNCTION("""COMPUTED_VALUE"""),44909.66666666667)</f>
        <v>44909.66667</v>
      </c>
      <c r="B724" s="5">
        <f>IFERROR(__xludf.DUMMYFUNCTION("""COMPUTED_VALUE"""),3760.0)</f>
        <v>3760</v>
      </c>
      <c r="C724" s="5">
        <f>IFERROR(__xludf.DUMMYFUNCTION("""COMPUTED_VALUE"""),3840.0)</f>
        <v>3840</v>
      </c>
      <c r="D724" s="5">
        <f>IFERROR(__xludf.DUMMYFUNCTION("""COMPUTED_VALUE"""),3750.0)</f>
        <v>3750</v>
      </c>
      <c r="E724" s="5">
        <f>IFERROR(__xludf.DUMMYFUNCTION("""COMPUTED_VALUE"""),3790.0)</f>
        <v>3790</v>
      </c>
      <c r="F724" s="5">
        <f>IFERROR(__xludf.DUMMYFUNCTION("""COMPUTED_VALUE"""),2.10405E7)</f>
        <v>21040500</v>
      </c>
      <c r="G724" s="5">
        <f t="shared" si="1"/>
        <v>120</v>
      </c>
    </row>
    <row r="725">
      <c r="A725" s="4">
        <f>IFERROR(__xludf.DUMMYFUNCTION("""COMPUTED_VALUE"""),44910.66666666667)</f>
        <v>44910.66667</v>
      </c>
      <c r="B725" s="5">
        <f>IFERROR(__xludf.DUMMYFUNCTION("""COMPUTED_VALUE"""),3780.0)</f>
        <v>3780</v>
      </c>
      <c r="C725" s="5">
        <f>IFERROR(__xludf.DUMMYFUNCTION("""COMPUTED_VALUE"""),3830.0)</f>
        <v>3830</v>
      </c>
      <c r="D725" s="5">
        <f>IFERROR(__xludf.DUMMYFUNCTION("""COMPUTED_VALUE"""),3760.0)</f>
        <v>3760</v>
      </c>
      <c r="E725" s="5">
        <f>IFERROR(__xludf.DUMMYFUNCTION("""COMPUTED_VALUE"""),3770.0)</f>
        <v>3770</v>
      </c>
      <c r="F725" s="5">
        <f>IFERROR(__xludf.DUMMYFUNCTION("""COMPUTED_VALUE"""),1.43992E7)</f>
        <v>14399200</v>
      </c>
      <c r="G725" s="5">
        <f t="shared" si="1"/>
        <v>70</v>
      </c>
    </row>
    <row r="726">
      <c r="A726" s="4">
        <f>IFERROR(__xludf.DUMMYFUNCTION("""COMPUTED_VALUE"""),44911.66666666667)</f>
        <v>44911.66667</v>
      </c>
      <c r="B726" s="5">
        <f>IFERROR(__xludf.DUMMYFUNCTION("""COMPUTED_VALUE"""),3750.0)</f>
        <v>3750</v>
      </c>
      <c r="C726" s="5">
        <f>IFERROR(__xludf.DUMMYFUNCTION("""COMPUTED_VALUE"""),3800.0)</f>
        <v>3800</v>
      </c>
      <c r="D726" s="5">
        <f>IFERROR(__xludf.DUMMYFUNCTION("""COMPUTED_VALUE"""),3720.0)</f>
        <v>3720</v>
      </c>
      <c r="E726" s="5">
        <f>IFERROR(__xludf.DUMMYFUNCTION("""COMPUTED_VALUE"""),3800.0)</f>
        <v>3800</v>
      </c>
      <c r="F726" s="5">
        <f>IFERROR(__xludf.DUMMYFUNCTION("""COMPUTED_VALUE"""),1.5471E7)</f>
        <v>15471000</v>
      </c>
      <c r="G726" s="5">
        <f t="shared" si="1"/>
        <v>80</v>
      </c>
    </row>
    <row r="727">
      <c r="A727" s="4">
        <f>IFERROR(__xludf.DUMMYFUNCTION("""COMPUTED_VALUE"""),44914.66666666667)</f>
        <v>44914.66667</v>
      </c>
      <c r="B727" s="5">
        <f>IFERROR(__xludf.DUMMYFUNCTION("""COMPUTED_VALUE"""),3800.0)</f>
        <v>3800</v>
      </c>
      <c r="C727" s="5">
        <f>IFERROR(__xludf.DUMMYFUNCTION("""COMPUTED_VALUE"""),3820.0)</f>
        <v>3820</v>
      </c>
      <c r="D727" s="5">
        <f>IFERROR(__xludf.DUMMYFUNCTION("""COMPUTED_VALUE"""),3780.0)</f>
        <v>3780</v>
      </c>
      <c r="E727" s="5">
        <f>IFERROR(__xludf.DUMMYFUNCTION("""COMPUTED_VALUE"""),3820.0)</f>
        <v>3820</v>
      </c>
      <c r="F727" s="5">
        <f>IFERROR(__xludf.DUMMYFUNCTION("""COMPUTED_VALUE"""),1.10471E7)</f>
        <v>11047100</v>
      </c>
      <c r="G727" s="5">
        <f t="shared" si="1"/>
        <v>40</v>
      </c>
    </row>
    <row r="728">
      <c r="A728" s="4">
        <f>IFERROR(__xludf.DUMMYFUNCTION("""COMPUTED_VALUE"""),44915.66666666667)</f>
        <v>44915.66667</v>
      </c>
      <c r="B728" s="5">
        <f>IFERROR(__xludf.DUMMYFUNCTION("""COMPUTED_VALUE"""),3810.0)</f>
        <v>3810</v>
      </c>
      <c r="C728" s="5">
        <f>IFERROR(__xludf.DUMMYFUNCTION("""COMPUTED_VALUE"""),3820.0)</f>
        <v>3820</v>
      </c>
      <c r="D728" s="5">
        <f>IFERROR(__xludf.DUMMYFUNCTION("""COMPUTED_VALUE"""),3760.0)</f>
        <v>3760</v>
      </c>
      <c r="E728" s="5">
        <f>IFERROR(__xludf.DUMMYFUNCTION("""COMPUTED_VALUE"""),3770.0)</f>
        <v>3770</v>
      </c>
      <c r="F728" s="5">
        <f>IFERROR(__xludf.DUMMYFUNCTION("""COMPUTED_VALUE"""),1.21675E7)</f>
        <v>12167500</v>
      </c>
      <c r="G728" s="5">
        <f t="shared" si="1"/>
        <v>60</v>
      </c>
    </row>
    <row r="729">
      <c r="A729" s="4">
        <f>IFERROR(__xludf.DUMMYFUNCTION("""COMPUTED_VALUE"""),44916.66666666667)</f>
        <v>44916.66667</v>
      </c>
      <c r="B729" s="5">
        <f>IFERROR(__xludf.DUMMYFUNCTION("""COMPUTED_VALUE"""),3790.0)</f>
        <v>3790</v>
      </c>
      <c r="C729" s="5">
        <f>IFERROR(__xludf.DUMMYFUNCTION("""COMPUTED_VALUE"""),3790.0)</f>
        <v>3790</v>
      </c>
      <c r="D729" s="5">
        <f>IFERROR(__xludf.DUMMYFUNCTION("""COMPUTED_VALUE"""),3740.0)</f>
        <v>3740</v>
      </c>
      <c r="E729" s="5">
        <f>IFERROR(__xludf.DUMMYFUNCTION("""COMPUTED_VALUE"""),3760.0)</f>
        <v>3760</v>
      </c>
      <c r="F729" s="5">
        <f>IFERROR(__xludf.DUMMYFUNCTION("""COMPUTED_VALUE"""),6824700.0)</f>
        <v>6824700</v>
      </c>
      <c r="G729" s="5">
        <f t="shared" si="1"/>
        <v>50</v>
      </c>
    </row>
    <row r="730">
      <c r="A730" s="4">
        <f>IFERROR(__xludf.DUMMYFUNCTION("""COMPUTED_VALUE"""),44917.66666666667)</f>
        <v>44917.66667</v>
      </c>
      <c r="B730" s="5">
        <f>IFERROR(__xludf.DUMMYFUNCTION("""COMPUTED_VALUE"""),3760.0)</f>
        <v>3760</v>
      </c>
      <c r="C730" s="5">
        <f>IFERROR(__xludf.DUMMYFUNCTION("""COMPUTED_VALUE"""),3800.0)</f>
        <v>3800</v>
      </c>
      <c r="D730" s="5">
        <f>IFERROR(__xludf.DUMMYFUNCTION("""COMPUTED_VALUE"""),3740.0)</f>
        <v>3740</v>
      </c>
      <c r="E730" s="5">
        <f>IFERROR(__xludf.DUMMYFUNCTION("""COMPUTED_VALUE"""),3760.0)</f>
        <v>3760</v>
      </c>
      <c r="F730" s="5">
        <f>IFERROR(__xludf.DUMMYFUNCTION("""COMPUTED_VALUE"""),5661500.0)</f>
        <v>5661500</v>
      </c>
      <c r="G730" s="5">
        <f t="shared" si="1"/>
        <v>60</v>
      </c>
    </row>
    <row r="731">
      <c r="A731" s="4">
        <f>IFERROR(__xludf.DUMMYFUNCTION("""COMPUTED_VALUE"""),44918.66666666667)</f>
        <v>44918.66667</v>
      </c>
      <c r="B731" s="5">
        <f>IFERROR(__xludf.DUMMYFUNCTION("""COMPUTED_VALUE"""),3750.0)</f>
        <v>3750</v>
      </c>
      <c r="C731" s="5">
        <f>IFERROR(__xludf.DUMMYFUNCTION("""COMPUTED_VALUE"""),3760.0)</f>
        <v>3760</v>
      </c>
      <c r="D731" s="5">
        <f>IFERROR(__xludf.DUMMYFUNCTION("""COMPUTED_VALUE"""),3730.0)</f>
        <v>3730</v>
      </c>
      <c r="E731" s="5">
        <f>IFERROR(__xludf.DUMMYFUNCTION("""COMPUTED_VALUE"""),3740.0)</f>
        <v>3740</v>
      </c>
      <c r="F731" s="5">
        <f>IFERROR(__xludf.DUMMYFUNCTION("""COMPUTED_VALUE"""),6330000.0)</f>
        <v>6330000</v>
      </c>
      <c r="G731" s="5">
        <f t="shared" si="1"/>
        <v>30</v>
      </c>
    </row>
    <row r="732">
      <c r="A732" s="4">
        <f>IFERROR(__xludf.DUMMYFUNCTION("""COMPUTED_VALUE"""),44921.66666666667)</f>
        <v>44921.66667</v>
      </c>
      <c r="B732" s="5">
        <f>IFERROR(__xludf.DUMMYFUNCTION("""COMPUTED_VALUE"""),3740.0)</f>
        <v>3740</v>
      </c>
      <c r="C732" s="5">
        <f>IFERROR(__xludf.DUMMYFUNCTION("""COMPUTED_VALUE"""),3750.0)</f>
        <v>3750</v>
      </c>
      <c r="D732" s="5">
        <f>IFERROR(__xludf.DUMMYFUNCTION("""COMPUTED_VALUE"""),3690.0)</f>
        <v>3690</v>
      </c>
      <c r="E732" s="5">
        <f>IFERROR(__xludf.DUMMYFUNCTION("""COMPUTED_VALUE"""),3700.0)</f>
        <v>3700</v>
      </c>
      <c r="F732" s="5">
        <f>IFERROR(__xludf.DUMMYFUNCTION("""COMPUTED_VALUE"""),9093600.0)</f>
        <v>9093600</v>
      </c>
      <c r="G732" s="5">
        <f t="shared" si="1"/>
        <v>60</v>
      </c>
    </row>
    <row r="733">
      <c r="A733" s="4">
        <f>IFERROR(__xludf.DUMMYFUNCTION("""COMPUTED_VALUE"""),44922.66666666667)</f>
        <v>44922.66667</v>
      </c>
      <c r="B733" s="5">
        <f>IFERROR(__xludf.DUMMYFUNCTION("""COMPUTED_VALUE"""),3690.0)</f>
        <v>3690</v>
      </c>
      <c r="C733" s="5">
        <f>IFERROR(__xludf.DUMMYFUNCTION("""COMPUTED_VALUE"""),3710.0)</f>
        <v>3710</v>
      </c>
      <c r="D733" s="5">
        <f>IFERROR(__xludf.DUMMYFUNCTION("""COMPUTED_VALUE"""),3670.0)</f>
        <v>3670</v>
      </c>
      <c r="E733" s="5">
        <f>IFERROR(__xludf.DUMMYFUNCTION("""COMPUTED_VALUE"""),3690.0)</f>
        <v>3690</v>
      </c>
      <c r="F733" s="5">
        <f>IFERROR(__xludf.DUMMYFUNCTION("""COMPUTED_VALUE"""),6339500.0)</f>
        <v>6339500</v>
      </c>
      <c r="G733" s="5">
        <f t="shared" si="1"/>
        <v>40</v>
      </c>
    </row>
    <row r="734">
      <c r="A734" s="4">
        <f>IFERROR(__xludf.DUMMYFUNCTION("""COMPUTED_VALUE"""),44923.66666666667)</f>
        <v>44923.66667</v>
      </c>
      <c r="B734" s="5">
        <f>IFERROR(__xludf.DUMMYFUNCTION("""COMPUTED_VALUE"""),3690.0)</f>
        <v>3690</v>
      </c>
      <c r="C734" s="5">
        <f>IFERROR(__xludf.DUMMYFUNCTION("""COMPUTED_VALUE"""),3710.0)</f>
        <v>3710</v>
      </c>
      <c r="D734" s="5">
        <f>IFERROR(__xludf.DUMMYFUNCTION("""COMPUTED_VALUE"""),3660.0)</f>
        <v>3660</v>
      </c>
      <c r="E734" s="5">
        <f>IFERROR(__xludf.DUMMYFUNCTION("""COMPUTED_VALUE"""),3670.0)</f>
        <v>3670</v>
      </c>
      <c r="F734" s="5">
        <f>IFERROR(__xludf.DUMMYFUNCTION("""COMPUTED_VALUE"""),5923500.0)</f>
        <v>5923500</v>
      </c>
      <c r="G734" s="5">
        <f t="shared" si="1"/>
        <v>50</v>
      </c>
    </row>
    <row r="735">
      <c r="A735" s="4">
        <f>IFERROR(__xludf.DUMMYFUNCTION("""COMPUTED_VALUE"""),44924.66666666667)</f>
        <v>44924.66667</v>
      </c>
      <c r="B735" s="5">
        <f>IFERROR(__xludf.DUMMYFUNCTION("""COMPUTED_VALUE"""),3670.0)</f>
        <v>3670</v>
      </c>
      <c r="C735" s="5">
        <f>IFERROR(__xludf.DUMMYFUNCTION("""COMPUTED_VALUE"""),3690.0)</f>
        <v>3690</v>
      </c>
      <c r="D735" s="5">
        <f>IFERROR(__xludf.DUMMYFUNCTION("""COMPUTED_VALUE"""),3660.0)</f>
        <v>3660</v>
      </c>
      <c r="E735" s="5">
        <f>IFERROR(__xludf.DUMMYFUNCTION("""COMPUTED_VALUE"""),3670.0)</f>
        <v>3670</v>
      </c>
      <c r="F735" s="5">
        <f>IFERROR(__xludf.DUMMYFUNCTION("""COMPUTED_VALUE"""),5196900.0)</f>
        <v>5196900</v>
      </c>
      <c r="G735" s="5">
        <f t="shared" si="1"/>
        <v>30</v>
      </c>
    </row>
    <row r="736">
      <c r="A736" s="4">
        <f>IFERROR(__xludf.DUMMYFUNCTION("""COMPUTED_VALUE"""),44925.66666666667)</f>
        <v>44925.66667</v>
      </c>
      <c r="B736" s="5">
        <f>IFERROR(__xludf.DUMMYFUNCTION("""COMPUTED_VALUE"""),3670.0)</f>
        <v>3670</v>
      </c>
      <c r="C736" s="5">
        <f>IFERROR(__xludf.DUMMYFUNCTION("""COMPUTED_VALUE"""),3700.0)</f>
        <v>3700</v>
      </c>
      <c r="D736" s="5">
        <f>IFERROR(__xludf.DUMMYFUNCTION("""COMPUTED_VALUE"""),3650.0)</f>
        <v>3650</v>
      </c>
      <c r="E736" s="5">
        <f>IFERROR(__xludf.DUMMYFUNCTION("""COMPUTED_VALUE"""),3690.0)</f>
        <v>3690</v>
      </c>
      <c r="F736" s="5">
        <f>IFERROR(__xludf.DUMMYFUNCTION("""COMPUTED_VALUE"""),9279800.0)</f>
        <v>9279800</v>
      </c>
      <c r="G736" s="5">
        <f t="shared" si="1"/>
        <v>50</v>
      </c>
    </row>
    <row r="737">
      <c r="A737" s="4">
        <f>IFERROR(__xludf.DUMMYFUNCTION("""COMPUTED_VALUE"""),44928.66666666667)</f>
        <v>44928.66667</v>
      </c>
      <c r="B737" s="5">
        <f>IFERROR(__xludf.DUMMYFUNCTION("""COMPUTED_VALUE"""),3690.0)</f>
        <v>3690</v>
      </c>
      <c r="C737" s="5">
        <f>IFERROR(__xludf.DUMMYFUNCTION("""COMPUTED_VALUE"""),3740.0)</f>
        <v>3740</v>
      </c>
      <c r="D737" s="5">
        <f>IFERROR(__xludf.DUMMYFUNCTION("""COMPUTED_VALUE"""),3680.0)</f>
        <v>3680</v>
      </c>
      <c r="E737" s="5">
        <f>IFERROR(__xludf.DUMMYFUNCTION("""COMPUTED_VALUE"""),3690.0)</f>
        <v>3690</v>
      </c>
      <c r="F737" s="5">
        <f>IFERROR(__xludf.DUMMYFUNCTION("""COMPUTED_VALUE"""),3809800.0)</f>
        <v>3809800</v>
      </c>
      <c r="G737" s="5">
        <f t="shared" si="1"/>
        <v>60</v>
      </c>
    </row>
    <row r="738">
      <c r="A738" s="4">
        <f>IFERROR(__xludf.DUMMYFUNCTION("""COMPUTED_VALUE"""),44929.66666666667)</f>
        <v>44929.66667</v>
      </c>
      <c r="B738" s="5">
        <f>IFERROR(__xludf.DUMMYFUNCTION("""COMPUTED_VALUE"""),3690.0)</f>
        <v>3690</v>
      </c>
      <c r="C738" s="5">
        <f>IFERROR(__xludf.DUMMYFUNCTION("""COMPUTED_VALUE"""),3740.0)</f>
        <v>3740</v>
      </c>
      <c r="D738" s="5">
        <f>IFERROR(__xludf.DUMMYFUNCTION("""COMPUTED_VALUE"""),3680.0)</f>
        <v>3680</v>
      </c>
      <c r="E738" s="5">
        <f>IFERROR(__xludf.DUMMYFUNCTION("""COMPUTED_VALUE"""),3730.0)</f>
        <v>3730</v>
      </c>
      <c r="F738" s="5">
        <f>IFERROR(__xludf.DUMMYFUNCTION("""COMPUTED_VALUE"""),8567800.0)</f>
        <v>8567800</v>
      </c>
      <c r="G738" s="5">
        <f t="shared" si="1"/>
        <v>60</v>
      </c>
    </row>
    <row r="739">
      <c r="A739" s="4">
        <f>IFERROR(__xludf.DUMMYFUNCTION("""COMPUTED_VALUE"""),44930.66666666667)</f>
        <v>44930.66667</v>
      </c>
      <c r="B739" s="5">
        <f>IFERROR(__xludf.DUMMYFUNCTION("""COMPUTED_VALUE"""),3730.0)</f>
        <v>3730</v>
      </c>
      <c r="C739" s="5">
        <f>IFERROR(__xludf.DUMMYFUNCTION("""COMPUTED_VALUE"""),3730.0)</f>
        <v>3730</v>
      </c>
      <c r="D739" s="5">
        <f>IFERROR(__xludf.DUMMYFUNCTION("""COMPUTED_VALUE"""),3620.0)</f>
        <v>3620</v>
      </c>
      <c r="E739" s="5">
        <f>IFERROR(__xludf.DUMMYFUNCTION("""COMPUTED_VALUE"""),3620.0)</f>
        <v>3620</v>
      </c>
      <c r="F739" s="5">
        <f>IFERROR(__xludf.DUMMYFUNCTION("""COMPUTED_VALUE"""),1.39844E7)</f>
        <v>13984400</v>
      </c>
      <c r="G739" s="5">
        <f t="shared" si="1"/>
        <v>110</v>
      </c>
    </row>
    <row r="740">
      <c r="A740" s="4">
        <f>IFERROR(__xludf.DUMMYFUNCTION("""COMPUTED_VALUE"""),44931.66666666667)</f>
        <v>44931.66667</v>
      </c>
      <c r="B740" s="5">
        <f>IFERROR(__xludf.DUMMYFUNCTION("""COMPUTED_VALUE"""),3620.0)</f>
        <v>3620</v>
      </c>
      <c r="C740" s="5">
        <f>IFERROR(__xludf.DUMMYFUNCTION("""COMPUTED_VALUE"""),3630.0)</f>
        <v>3630</v>
      </c>
      <c r="D740" s="5">
        <f>IFERROR(__xludf.DUMMYFUNCTION("""COMPUTED_VALUE"""),3390.0)</f>
        <v>3390</v>
      </c>
      <c r="E740" s="5">
        <f>IFERROR(__xludf.DUMMYFUNCTION("""COMPUTED_VALUE"""),3410.0)</f>
        <v>3410</v>
      </c>
      <c r="F740" s="5">
        <f>IFERROR(__xludf.DUMMYFUNCTION("""COMPUTED_VALUE"""),2.96034E7)</f>
        <v>29603400</v>
      </c>
      <c r="G740" s="5">
        <f t="shared" si="1"/>
        <v>240</v>
      </c>
    </row>
    <row r="741">
      <c r="A741" s="4">
        <f>IFERROR(__xludf.DUMMYFUNCTION("""COMPUTED_VALUE"""),44932.66666666667)</f>
        <v>44932.66667</v>
      </c>
      <c r="B741" s="5">
        <f>IFERROR(__xludf.DUMMYFUNCTION("""COMPUTED_VALUE"""),3400.0)</f>
        <v>3400</v>
      </c>
      <c r="C741" s="5">
        <f>IFERROR(__xludf.DUMMYFUNCTION("""COMPUTED_VALUE"""),3500.0)</f>
        <v>3500</v>
      </c>
      <c r="D741" s="5">
        <f>IFERROR(__xludf.DUMMYFUNCTION("""COMPUTED_VALUE"""),3380.0)</f>
        <v>3380</v>
      </c>
      <c r="E741" s="5">
        <f>IFERROR(__xludf.DUMMYFUNCTION("""COMPUTED_VALUE"""),3430.0)</f>
        <v>3430</v>
      </c>
      <c r="F741" s="5">
        <f>IFERROR(__xludf.DUMMYFUNCTION("""COMPUTED_VALUE"""),1.70879E7)</f>
        <v>17087900</v>
      </c>
      <c r="G741" s="5">
        <f t="shared" si="1"/>
        <v>120</v>
      </c>
    </row>
    <row r="742">
      <c r="A742" s="4">
        <f>IFERROR(__xludf.DUMMYFUNCTION("""COMPUTED_VALUE"""),44935.66666666667)</f>
        <v>44935.66667</v>
      </c>
      <c r="B742" s="5">
        <f>IFERROR(__xludf.DUMMYFUNCTION("""COMPUTED_VALUE"""),3430.0)</f>
        <v>3430</v>
      </c>
      <c r="C742" s="5">
        <f>IFERROR(__xludf.DUMMYFUNCTION("""COMPUTED_VALUE"""),3450.0)</f>
        <v>3450</v>
      </c>
      <c r="D742" s="5">
        <f>IFERROR(__xludf.DUMMYFUNCTION("""COMPUTED_VALUE"""),3260.0)</f>
        <v>3260</v>
      </c>
      <c r="E742" s="5">
        <f>IFERROR(__xludf.DUMMYFUNCTION("""COMPUTED_VALUE"""),3280.0)</f>
        <v>3280</v>
      </c>
      <c r="F742" s="5">
        <f>IFERROR(__xludf.DUMMYFUNCTION("""COMPUTED_VALUE"""),3.30103E7)</f>
        <v>33010300</v>
      </c>
      <c r="G742" s="5">
        <f t="shared" si="1"/>
        <v>190</v>
      </c>
    </row>
    <row r="743">
      <c r="A743" s="4">
        <f>IFERROR(__xludf.DUMMYFUNCTION("""COMPUTED_VALUE"""),44936.66666666667)</f>
        <v>44936.66667</v>
      </c>
      <c r="B743" s="5">
        <f>IFERROR(__xludf.DUMMYFUNCTION("""COMPUTED_VALUE"""),3280.0)</f>
        <v>3280</v>
      </c>
      <c r="C743" s="5">
        <f>IFERROR(__xludf.DUMMYFUNCTION("""COMPUTED_VALUE"""),3370.0)</f>
        <v>3370</v>
      </c>
      <c r="D743" s="5">
        <f>IFERROR(__xludf.DUMMYFUNCTION("""COMPUTED_VALUE"""),3240.0)</f>
        <v>3240</v>
      </c>
      <c r="E743" s="5">
        <f>IFERROR(__xludf.DUMMYFUNCTION("""COMPUTED_VALUE"""),3360.0)</f>
        <v>3360</v>
      </c>
      <c r="F743" s="5">
        <f>IFERROR(__xludf.DUMMYFUNCTION("""COMPUTED_VALUE"""),1.75119E7)</f>
        <v>17511900</v>
      </c>
      <c r="G743" s="5">
        <f t="shared" si="1"/>
        <v>130</v>
      </c>
    </row>
    <row r="744">
      <c r="A744" s="4">
        <f>IFERROR(__xludf.DUMMYFUNCTION("""COMPUTED_VALUE"""),44937.66666666667)</f>
        <v>44937.66667</v>
      </c>
      <c r="B744" s="5">
        <f>IFERROR(__xludf.DUMMYFUNCTION("""COMPUTED_VALUE"""),3380.0)</f>
        <v>3380</v>
      </c>
      <c r="C744" s="5">
        <f>IFERROR(__xludf.DUMMYFUNCTION("""COMPUTED_VALUE"""),3410.0)</f>
        <v>3410</v>
      </c>
      <c r="D744" s="5">
        <f>IFERROR(__xludf.DUMMYFUNCTION("""COMPUTED_VALUE"""),3310.0)</f>
        <v>3310</v>
      </c>
      <c r="E744" s="5">
        <f>IFERROR(__xludf.DUMMYFUNCTION("""COMPUTED_VALUE"""),3400.0)</f>
        <v>3400</v>
      </c>
      <c r="F744" s="5">
        <f>IFERROR(__xludf.DUMMYFUNCTION("""COMPUTED_VALUE"""),1.10566E7)</f>
        <v>11056600</v>
      </c>
      <c r="G744" s="5">
        <f t="shared" si="1"/>
        <v>100</v>
      </c>
    </row>
    <row r="745">
      <c r="A745" s="4">
        <f>IFERROR(__xludf.DUMMYFUNCTION("""COMPUTED_VALUE"""),44938.66666666667)</f>
        <v>44938.66667</v>
      </c>
      <c r="B745" s="5">
        <f>IFERROR(__xludf.DUMMYFUNCTION("""COMPUTED_VALUE"""),3360.0)</f>
        <v>3360</v>
      </c>
      <c r="C745" s="5">
        <f>IFERROR(__xludf.DUMMYFUNCTION("""COMPUTED_VALUE"""),3380.0)</f>
        <v>3380</v>
      </c>
      <c r="D745" s="5">
        <f>IFERROR(__xludf.DUMMYFUNCTION("""COMPUTED_VALUE"""),3330.0)</f>
        <v>3330</v>
      </c>
      <c r="E745" s="5">
        <f>IFERROR(__xludf.DUMMYFUNCTION("""COMPUTED_VALUE"""),3330.0)</f>
        <v>3330</v>
      </c>
      <c r="F745" s="5">
        <f>IFERROR(__xludf.DUMMYFUNCTION("""COMPUTED_VALUE"""),1.08097E7)</f>
        <v>10809700</v>
      </c>
      <c r="G745" s="5">
        <f t="shared" si="1"/>
        <v>70</v>
      </c>
    </row>
    <row r="746">
      <c r="A746" s="4">
        <f>IFERROR(__xludf.DUMMYFUNCTION("""COMPUTED_VALUE"""),44939.66666666667)</f>
        <v>44939.66667</v>
      </c>
      <c r="B746" s="5">
        <f>IFERROR(__xludf.DUMMYFUNCTION("""COMPUTED_VALUE"""),3330.0)</f>
        <v>3330</v>
      </c>
      <c r="C746" s="5">
        <f>IFERROR(__xludf.DUMMYFUNCTION("""COMPUTED_VALUE"""),3360.0)</f>
        <v>3360</v>
      </c>
      <c r="D746" s="5">
        <f>IFERROR(__xludf.DUMMYFUNCTION("""COMPUTED_VALUE"""),3320.0)</f>
        <v>3320</v>
      </c>
      <c r="E746" s="5">
        <f>IFERROR(__xludf.DUMMYFUNCTION("""COMPUTED_VALUE"""),3330.0)</f>
        <v>3330</v>
      </c>
      <c r="F746" s="5">
        <f>IFERROR(__xludf.DUMMYFUNCTION("""COMPUTED_VALUE"""),6907600.0)</f>
        <v>6907600</v>
      </c>
      <c r="G746" s="5">
        <f t="shared" si="1"/>
        <v>40</v>
      </c>
    </row>
    <row r="747">
      <c r="A747" s="4">
        <f>IFERROR(__xludf.DUMMYFUNCTION("""COMPUTED_VALUE"""),44942.66666666667)</f>
        <v>44942.66667</v>
      </c>
      <c r="B747" s="5">
        <f>IFERROR(__xludf.DUMMYFUNCTION("""COMPUTED_VALUE"""),3320.0)</f>
        <v>3320</v>
      </c>
      <c r="C747" s="5">
        <f>IFERROR(__xludf.DUMMYFUNCTION("""COMPUTED_VALUE"""),3350.0)</f>
        <v>3350</v>
      </c>
      <c r="D747" s="5">
        <f>IFERROR(__xludf.DUMMYFUNCTION("""COMPUTED_VALUE"""),3300.0)</f>
        <v>3300</v>
      </c>
      <c r="E747" s="5">
        <f>IFERROR(__xludf.DUMMYFUNCTION("""COMPUTED_VALUE"""),3320.0)</f>
        <v>3320</v>
      </c>
      <c r="F747" s="5">
        <f>IFERROR(__xludf.DUMMYFUNCTION("""COMPUTED_VALUE"""),6438200.0)</f>
        <v>6438200</v>
      </c>
      <c r="G747" s="5">
        <f t="shared" si="1"/>
        <v>50</v>
      </c>
    </row>
    <row r="748">
      <c r="A748" s="4">
        <f>IFERROR(__xludf.DUMMYFUNCTION("""COMPUTED_VALUE"""),44943.66666666667)</f>
        <v>44943.66667</v>
      </c>
      <c r="B748" s="5">
        <f>IFERROR(__xludf.DUMMYFUNCTION("""COMPUTED_VALUE"""),3310.0)</f>
        <v>3310</v>
      </c>
      <c r="C748" s="5">
        <f>IFERROR(__xludf.DUMMYFUNCTION("""COMPUTED_VALUE"""),3390.0)</f>
        <v>3390</v>
      </c>
      <c r="D748" s="5">
        <f>IFERROR(__xludf.DUMMYFUNCTION("""COMPUTED_VALUE"""),3300.0)</f>
        <v>3300</v>
      </c>
      <c r="E748" s="5">
        <f>IFERROR(__xludf.DUMMYFUNCTION("""COMPUTED_VALUE"""),3350.0)</f>
        <v>3350</v>
      </c>
      <c r="F748" s="5">
        <f>IFERROR(__xludf.DUMMYFUNCTION("""COMPUTED_VALUE"""),8112900.0)</f>
        <v>8112900</v>
      </c>
      <c r="G748" s="5">
        <f t="shared" si="1"/>
        <v>90</v>
      </c>
    </row>
    <row r="749">
      <c r="A749" s="4">
        <f>IFERROR(__xludf.DUMMYFUNCTION("""COMPUTED_VALUE"""),44944.66666666667)</f>
        <v>44944.66667</v>
      </c>
      <c r="B749" s="5">
        <f>IFERROR(__xludf.DUMMYFUNCTION("""COMPUTED_VALUE"""),3360.0)</f>
        <v>3360</v>
      </c>
      <c r="C749" s="5">
        <f>IFERROR(__xludf.DUMMYFUNCTION("""COMPUTED_VALUE"""),3460.0)</f>
        <v>3460</v>
      </c>
      <c r="D749" s="5">
        <f>IFERROR(__xludf.DUMMYFUNCTION("""COMPUTED_VALUE"""),3360.0)</f>
        <v>3360</v>
      </c>
      <c r="E749" s="5">
        <f>IFERROR(__xludf.DUMMYFUNCTION("""COMPUTED_VALUE"""),3410.0)</f>
        <v>3410</v>
      </c>
      <c r="F749" s="5">
        <f>IFERROR(__xludf.DUMMYFUNCTION("""COMPUTED_VALUE"""),1.0347E7)</f>
        <v>10347000</v>
      </c>
      <c r="G749" s="5">
        <f t="shared" si="1"/>
        <v>110</v>
      </c>
    </row>
    <row r="750">
      <c r="A750" s="4">
        <f>IFERROR(__xludf.DUMMYFUNCTION("""COMPUTED_VALUE"""),44945.66666666667)</f>
        <v>44945.66667</v>
      </c>
      <c r="B750" s="5">
        <f>IFERROR(__xludf.DUMMYFUNCTION("""COMPUTED_VALUE"""),3410.0)</f>
        <v>3410</v>
      </c>
      <c r="C750" s="5">
        <f>IFERROR(__xludf.DUMMYFUNCTION("""COMPUTED_VALUE"""),3490.0)</f>
        <v>3490</v>
      </c>
      <c r="D750" s="5">
        <f>IFERROR(__xludf.DUMMYFUNCTION("""COMPUTED_VALUE"""),3410.0)</f>
        <v>3410</v>
      </c>
      <c r="E750" s="5">
        <f>IFERROR(__xludf.DUMMYFUNCTION("""COMPUTED_VALUE"""),3490.0)</f>
        <v>3490</v>
      </c>
      <c r="F750" s="5">
        <f>IFERROR(__xludf.DUMMYFUNCTION("""COMPUTED_VALUE"""),9464800.0)</f>
        <v>9464800</v>
      </c>
      <c r="G750" s="5">
        <f t="shared" si="1"/>
        <v>80</v>
      </c>
    </row>
    <row r="751">
      <c r="A751" s="4">
        <f>IFERROR(__xludf.DUMMYFUNCTION("""COMPUTED_VALUE"""),44946.66666666667)</f>
        <v>44946.66667</v>
      </c>
      <c r="B751" s="5">
        <f>IFERROR(__xludf.DUMMYFUNCTION("""COMPUTED_VALUE"""),3500.0)</f>
        <v>3500</v>
      </c>
      <c r="C751" s="5">
        <f>IFERROR(__xludf.DUMMYFUNCTION("""COMPUTED_VALUE"""),3570.0)</f>
        <v>3570</v>
      </c>
      <c r="D751" s="5">
        <f>IFERROR(__xludf.DUMMYFUNCTION("""COMPUTED_VALUE"""),3480.0)</f>
        <v>3480</v>
      </c>
      <c r="E751" s="5">
        <f>IFERROR(__xludf.DUMMYFUNCTION("""COMPUTED_VALUE"""),3570.0)</f>
        <v>3570</v>
      </c>
      <c r="F751" s="5">
        <f>IFERROR(__xludf.DUMMYFUNCTION("""COMPUTED_VALUE"""),1.24549E7)</f>
        <v>12454900</v>
      </c>
      <c r="G751" s="5">
        <f t="shared" si="1"/>
        <v>90</v>
      </c>
    </row>
    <row r="752">
      <c r="A752" s="4">
        <f>IFERROR(__xludf.DUMMYFUNCTION("""COMPUTED_VALUE"""),44950.66666666667)</f>
        <v>44950.66667</v>
      </c>
      <c r="B752" s="5">
        <f>IFERROR(__xludf.DUMMYFUNCTION("""COMPUTED_VALUE"""),3560.0)</f>
        <v>3560</v>
      </c>
      <c r="C752" s="5">
        <f>IFERROR(__xludf.DUMMYFUNCTION("""COMPUTED_VALUE"""),3560.0)</f>
        <v>3560</v>
      </c>
      <c r="D752" s="5">
        <f>IFERROR(__xludf.DUMMYFUNCTION("""COMPUTED_VALUE"""),3510.0)</f>
        <v>3510</v>
      </c>
      <c r="E752" s="5">
        <f>IFERROR(__xludf.DUMMYFUNCTION("""COMPUTED_VALUE"""),3540.0)</f>
        <v>3540</v>
      </c>
      <c r="F752" s="5">
        <f>IFERROR(__xludf.DUMMYFUNCTION("""COMPUTED_VALUE"""),1.26465E7)</f>
        <v>12646500</v>
      </c>
      <c r="G752" s="5">
        <f t="shared" si="1"/>
        <v>60</v>
      </c>
    </row>
    <row r="753">
      <c r="A753" s="4">
        <f>IFERROR(__xludf.DUMMYFUNCTION("""COMPUTED_VALUE"""),44951.66666666667)</f>
        <v>44951.66667</v>
      </c>
      <c r="B753" s="5">
        <f>IFERROR(__xludf.DUMMYFUNCTION("""COMPUTED_VALUE"""),3540.0)</f>
        <v>3540</v>
      </c>
      <c r="C753" s="5">
        <f>IFERROR(__xludf.DUMMYFUNCTION("""COMPUTED_VALUE"""),3540.0)</f>
        <v>3540</v>
      </c>
      <c r="D753" s="5">
        <f>IFERROR(__xludf.DUMMYFUNCTION("""COMPUTED_VALUE"""),3480.0)</f>
        <v>3480</v>
      </c>
      <c r="E753" s="5">
        <f>IFERROR(__xludf.DUMMYFUNCTION("""COMPUTED_VALUE"""),3480.0)</f>
        <v>3480</v>
      </c>
      <c r="F753" s="5">
        <f>IFERROR(__xludf.DUMMYFUNCTION("""COMPUTED_VALUE"""),9716900.0)</f>
        <v>9716900</v>
      </c>
      <c r="G753" s="5">
        <f t="shared" si="1"/>
        <v>60</v>
      </c>
    </row>
    <row r="754">
      <c r="A754" s="4">
        <f>IFERROR(__xludf.DUMMYFUNCTION("""COMPUTED_VALUE"""),44952.66666666667)</f>
        <v>44952.66667</v>
      </c>
      <c r="B754" s="5">
        <f>IFERROR(__xludf.DUMMYFUNCTION("""COMPUTED_VALUE"""),3440.0)</f>
        <v>3440</v>
      </c>
      <c r="C754" s="5">
        <f>IFERROR(__xludf.DUMMYFUNCTION("""COMPUTED_VALUE"""),3440.0)</f>
        <v>3440</v>
      </c>
      <c r="D754" s="5">
        <f>IFERROR(__xludf.DUMMYFUNCTION("""COMPUTED_VALUE"""),3360.0)</f>
        <v>3360</v>
      </c>
      <c r="E754" s="5">
        <f>IFERROR(__xludf.DUMMYFUNCTION("""COMPUTED_VALUE"""),3390.0)</f>
        <v>3390</v>
      </c>
      <c r="F754" s="5">
        <f>IFERROR(__xludf.DUMMYFUNCTION("""COMPUTED_VALUE"""),1.69324E7)</f>
        <v>16932400</v>
      </c>
      <c r="G754" s="5">
        <f t="shared" si="1"/>
        <v>120</v>
      </c>
    </row>
    <row r="755">
      <c r="A755" s="4">
        <f>IFERROR(__xludf.DUMMYFUNCTION("""COMPUTED_VALUE"""),44953.66666666667)</f>
        <v>44953.66667</v>
      </c>
      <c r="B755" s="5">
        <f>IFERROR(__xludf.DUMMYFUNCTION("""COMPUTED_VALUE"""),3430.0)</f>
        <v>3430</v>
      </c>
      <c r="C755" s="5">
        <f>IFERROR(__xludf.DUMMYFUNCTION("""COMPUTED_VALUE"""),3480.0)</f>
        <v>3480</v>
      </c>
      <c r="D755" s="5">
        <f>IFERROR(__xludf.DUMMYFUNCTION("""COMPUTED_VALUE"""),3420.0)</f>
        <v>3420</v>
      </c>
      <c r="E755" s="5">
        <f>IFERROR(__xludf.DUMMYFUNCTION("""COMPUTED_VALUE"""),3470.0)</f>
        <v>3470</v>
      </c>
      <c r="F755" s="5">
        <f>IFERROR(__xludf.DUMMYFUNCTION("""COMPUTED_VALUE"""),1.25883E7)</f>
        <v>12588300</v>
      </c>
      <c r="G755" s="5">
        <f t="shared" si="1"/>
        <v>90</v>
      </c>
    </row>
    <row r="756">
      <c r="A756" s="4">
        <f>IFERROR(__xludf.DUMMYFUNCTION("""COMPUTED_VALUE"""),44956.66666666667)</f>
        <v>44956.66667</v>
      </c>
      <c r="B756" s="5">
        <f>IFERROR(__xludf.DUMMYFUNCTION("""COMPUTED_VALUE"""),3470.0)</f>
        <v>3470</v>
      </c>
      <c r="C756" s="5">
        <f>IFERROR(__xludf.DUMMYFUNCTION("""COMPUTED_VALUE"""),3540.0)</f>
        <v>3540</v>
      </c>
      <c r="D756" s="5">
        <f>IFERROR(__xludf.DUMMYFUNCTION("""COMPUTED_VALUE"""),3430.0)</f>
        <v>3430</v>
      </c>
      <c r="E756" s="5">
        <f>IFERROR(__xludf.DUMMYFUNCTION("""COMPUTED_VALUE"""),3450.0)</f>
        <v>3450</v>
      </c>
      <c r="F756" s="5">
        <f>IFERROR(__xludf.DUMMYFUNCTION("""COMPUTED_VALUE"""),8147600.0)</f>
        <v>8147600</v>
      </c>
      <c r="G756" s="5">
        <f t="shared" si="1"/>
        <v>110</v>
      </c>
    </row>
    <row r="757">
      <c r="A757" s="4">
        <f>IFERROR(__xludf.DUMMYFUNCTION("""COMPUTED_VALUE"""),44957.66666666667)</f>
        <v>44957.66667</v>
      </c>
      <c r="B757" s="5">
        <f>IFERROR(__xludf.DUMMYFUNCTION("""COMPUTED_VALUE"""),3420.0)</f>
        <v>3420</v>
      </c>
      <c r="C757" s="5">
        <f>IFERROR(__xludf.DUMMYFUNCTION("""COMPUTED_VALUE"""),3480.0)</f>
        <v>3480</v>
      </c>
      <c r="D757" s="5">
        <f>IFERROR(__xludf.DUMMYFUNCTION("""COMPUTED_VALUE"""),3400.0)</f>
        <v>3400</v>
      </c>
      <c r="E757" s="5">
        <f>IFERROR(__xludf.DUMMYFUNCTION("""COMPUTED_VALUE"""),3400.0)</f>
        <v>3400</v>
      </c>
      <c r="F757" s="5">
        <f>IFERROR(__xludf.DUMMYFUNCTION("""COMPUTED_VALUE"""),1.62098E7)</f>
        <v>16209800</v>
      </c>
      <c r="G757" s="5">
        <f t="shared" si="1"/>
        <v>80</v>
      </c>
    </row>
    <row r="758">
      <c r="A758" s="4">
        <f>IFERROR(__xludf.DUMMYFUNCTION("""COMPUTED_VALUE"""),44958.66666666667)</f>
        <v>44958.66667</v>
      </c>
      <c r="B758" s="5">
        <f>IFERROR(__xludf.DUMMYFUNCTION("""COMPUTED_VALUE"""),3400.0)</f>
        <v>3400</v>
      </c>
      <c r="C758" s="5">
        <f>IFERROR(__xludf.DUMMYFUNCTION("""COMPUTED_VALUE"""),3430.0)</f>
        <v>3430</v>
      </c>
      <c r="D758" s="5">
        <f>IFERROR(__xludf.DUMMYFUNCTION("""COMPUTED_VALUE"""),3360.0)</f>
        <v>3360</v>
      </c>
      <c r="E758" s="5">
        <f>IFERROR(__xludf.DUMMYFUNCTION("""COMPUTED_VALUE"""),3380.0)</f>
        <v>3380</v>
      </c>
      <c r="F758" s="5">
        <f>IFERROR(__xludf.DUMMYFUNCTION("""COMPUTED_VALUE"""),1.37517E7)</f>
        <v>13751700</v>
      </c>
      <c r="G758" s="5">
        <f t="shared" si="1"/>
        <v>70</v>
      </c>
    </row>
    <row r="759">
      <c r="A759" s="4">
        <f>IFERROR(__xludf.DUMMYFUNCTION("""COMPUTED_VALUE"""),44959.66666666667)</f>
        <v>44959.66667</v>
      </c>
      <c r="B759" s="5">
        <f>IFERROR(__xludf.DUMMYFUNCTION("""COMPUTED_VALUE"""),3390.0)</f>
        <v>3390</v>
      </c>
      <c r="C759" s="5">
        <f>IFERROR(__xludf.DUMMYFUNCTION("""COMPUTED_VALUE"""),3420.0)</f>
        <v>3420</v>
      </c>
      <c r="D759" s="5">
        <f>IFERROR(__xludf.DUMMYFUNCTION("""COMPUTED_VALUE"""),3370.0)</f>
        <v>3370</v>
      </c>
      <c r="E759" s="5">
        <f>IFERROR(__xludf.DUMMYFUNCTION("""COMPUTED_VALUE"""),3420.0)</f>
        <v>3420</v>
      </c>
      <c r="F759" s="5">
        <f>IFERROR(__xludf.DUMMYFUNCTION("""COMPUTED_VALUE"""),1.27611E7)</f>
        <v>12761100</v>
      </c>
      <c r="G759" s="5">
        <f t="shared" si="1"/>
        <v>50</v>
      </c>
    </row>
    <row r="760">
      <c r="A760" s="4">
        <f>IFERROR(__xludf.DUMMYFUNCTION("""COMPUTED_VALUE"""),44960.66666666667)</f>
        <v>44960.66667</v>
      </c>
      <c r="B760" s="5">
        <f>IFERROR(__xludf.DUMMYFUNCTION("""COMPUTED_VALUE"""),3390.0)</f>
        <v>3390</v>
      </c>
      <c r="C760" s="5">
        <f>IFERROR(__xludf.DUMMYFUNCTION("""COMPUTED_VALUE"""),3400.0)</f>
        <v>3400</v>
      </c>
      <c r="D760" s="5">
        <f>IFERROR(__xludf.DUMMYFUNCTION("""COMPUTED_VALUE"""),3320.0)</f>
        <v>3320</v>
      </c>
      <c r="E760" s="5">
        <f>IFERROR(__xludf.DUMMYFUNCTION("""COMPUTED_VALUE"""),3330.0)</f>
        <v>3330</v>
      </c>
      <c r="F760" s="5">
        <f>IFERROR(__xludf.DUMMYFUNCTION("""COMPUTED_VALUE"""),1.75341E7)</f>
        <v>17534100</v>
      </c>
      <c r="G760" s="5">
        <f t="shared" si="1"/>
        <v>100</v>
      </c>
    </row>
    <row r="761">
      <c r="A761" s="4">
        <f>IFERROR(__xludf.DUMMYFUNCTION("""COMPUTED_VALUE"""),44963.66666666667)</f>
        <v>44963.66667</v>
      </c>
      <c r="B761" s="5">
        <f>IFERROR(__xludf.DUMMYFUNCTION("""COMPUTED_VALUE"""),3330.0)</f>
        <v>3330</v>
      </c>
      <c r="C761" s="5">
        <f>IFERROR(__xludf.DUMMYFUNCTION("""COMPUTED_VALUE"""),3350.0)</f>
        <v>3350</v>
      </c>
      <c r="D761" s="5">
        <f>IFERROR(__xludf.DUMMYFUNCTION("""COMPUTED_VALUE"""),3250.0)</f>
        <v>3250</v>
      </c>
      <c r="E761" s="5">
        <f>IFERROR(__xludf.DUMMYFUNCTION("""COMPUTED_VALUE"""),3260.0)</f>
        <v>3260</v>
      </c>
      <c r="F761" s="5">
        <f>IFERROR(__xludf.DUMMYFUNCTION("""COMPUTED_VALUE"""),3.18406E7)</f>
        <v>31840600</v>
      </c>
      <c r="G761" s="5">
        <f t="shared" si="1"/>
        <v>100</v>
      </c>
    </row>
    <row r="762">
      <c r="A762" s="4">
        <f>IFERROR(__xludf.DUMMYFUNCTION("""COMPUTED_VALUE"""),44964.66666666667)</f>
        <v>44964.66667</v>
      </c>
      <c r="B762" s="5">
        <f>IFERROR(__xludf.DUMMYFUNCTION("""COMPUTED_VALUE"""),3340.0)</f>
        <v>3340</v>
      </c>
      <c r="C762" s="5">
        <f>IFERROR(__xludf.DUMMYFUNCTION("""COMPUTED_VALUE"""),3470.0)</f>
        <v>3470</v>
      </c>
      <c r="D762" s="5">
        <f>IFERROR(__xludf.DUMMYFUNCTION("""COMPUTED_VALUE"""),3330.0)</f>
        <v>3330</v>
      </c>
      <c r="E762" s="5">
        <f>IFERROR(__xludf.DUMMYFUNCTION("""COMPUTED_VALUE"""),3470.0)</f>
        <v>3470</v>
      </c>
      <c r="F762" s="5">
        <f>IFERROR(__xludf.DUMMYFUNCTION("""COMPUTED_VALUE"""),3.48086E7)</f>
        <v>34808600</v>
      </c>
      <c r="G762" s="5">
        <f t="shared" si="1"/>
        <v>210</v>
      </c>
    </row>
    <row r="763">
      <c r="A763" s="4">
        <f>IFERROR(__xludf.DUMMYFUNCTION("""COMPUTED_VALUE"""),44965.66666666667)</f>
        <v>44965.66667</v>
      </c>
      <c r="B763" s="5">
        <f>IFERROR(__xludf.DUMMYFUNCTION("""COMPUTED_VALUE"""),3500.0)</f>
        <v>3500</v>
      </c>
      <c r="C763" s="5">
        <f>IFERROR(__xludf.DUMMYFUNCTION("""COMPUTED_VALUE"""),3530.0)</f>
        <v>3530</v>
      </c>
      <c r="D763" s="5">
        <f>IFERROR(__xludf.DUMMYFUNCTION("""COMPUTED_VALUE"""),3420.0)</f>
        <v>3420</v>
      </c>
      <c r="E763" s="5">
        <f>IFERROR(__xludf.DUMMYFUNCTION("""COMPUTED_VALUE"""),3490.0)</f>
        <v>3490</v>
      </c>
      <c r="F763" s="5">
        <f>IFERROR(__xludf.DUMMYFUNCTION("""COMPUTED_VALUE"""),1.52729E7)</f>
        <v>15272900</v>
      </c>
      <c r="G763" s="5">
        <f t="shared" si="1"/>
        <v>110</v>
      </c>
    </row>
    <row r="764">
      <c r="A764" s="4">
        <f>IFERROR(__xludf.DUMMYFUNCTION("""COMPUTED_VALUE"""),44966.66666666667)</f>
        <v>44966.66667</v>
      </c>
      <c r="B764" s="5">
        <f>IFERROR(__xludf.DUMMYFUNCTION("""COMPUTED_VALUE"""),3450.0)</f>
        <v>3450</v>
      </c>
      <c r="C764" s="5">
        <f>IFERROR(__xludf.DUMMYFUNCTION("""COMPUTED_VALUE"""),3490.0)</f>
        <v>3490</v>
      </c>
      <c r="D764" s="5">
        <f>IFERROR(__xludf.DUMMYFUNCTION("""COMPUTED_VALUE"""),3400.0)</f>
        <v>3400</v>
      </c>
      <c r="E764" s="5">
        <f>IFERROR(__xludf.DUMMYFUNCTION("""COMPUTED_VALUE"""),3480.0)</f>
        <v>3480</v>
      </c>
      <c r="F764" s="5">
        <f>IFERROR(__xludf.DUMMYFUNCTION("""COMPUTED_VALUE"""),1.53679E7)</f>
        <v>15367900</v>
      </c>
      <c r="G764" s="5">
        <f t="shared" si="1"/>
        <v>90</v>
      </c>
    </row>
    <row r="765">
      <c r="A765" s="4">
        <f>IFERROR(__xludf.DUMMYFUNCTION("""COMPUTED_VALUE"""),44967.66666666667)</f>
        <v>44967.66667</v>
      </c>
      <c r="B765" s="5">
        <f>IFERROR(__xludf.DUMMYFUNCTION("""COMPUTED_VALUE"""),3430.0)</f>
        <v>3430</v>
      </c>
      <c r="C765" s="5">
        <f>IFERROR(__xludf.DUMMYFUNCTION("""COMPUTED_VALUE"""),3430.0)</f>
        <v>3430</v>
      </c>
      <c r="D765" s="5">
        <f>IFERROR(__xludf.DUMMYFUNCTION("""COMPUTED_VALUE"""),3350.0)</f>
        <v>3350</v>
      </c>
      <c r="E765" s="5">
        <f>IFERROR(__xludf.DUMMYFUNCTION("""COMPUTED_VALUE"""),3370.0)</f>
        <v>3370</v>
      </c>
      <c r="F765" s="5">
        <f>IFERROR(__xludf.DUMMYFUNCTION("""COMPUTED_VALUE"""),2.01999E7)</f>
        <v>20199900</v>
      </c>
      <c r="G765" s="5">
        <f t="shared" si="1"/>
        <v>130</v>
      </c>
    </row>
    <row r="766">
      <c r="A766" s="4">
        <f>IFERROR(__xludf.DUMMYFUNCTION("""COMPUTED_VALUE"""),44970.66666666667)</f>
        <v>44970.66667</v>
      </c>
      <c r="B766" s="5">
        <f>IFERROR(__xludf.DUMMYFUNCTION("""COMPUTED_VALUE"""),3400.0)</f>
        <v>3400</v>
      </c>
      <c r="C766" s="5">
        <f>IFERROR(__xludf.DUMMYFUNCTION("""COMPUTED_VALUE"""),3440.0)</f>
        <v>3440</v>
      </c>
      <c r="D766" s="5">
        <f>IFERROR(__xludf.DUMMYFUNCTION("""COMPUTED_VALUE"""),3360.0)</f>
        <v>3360</v>
      </c>
      <c r="E766" s="5">
        <f>IFERROR(__xludf.DUMMYFUNCTION("""COMPUTED_VALUE"""),3370.0)</f>
        <v>3370</v>
      </c>
      <c r="F766" s="5">
        <f>IFERROR(__xludf.DUMMYFUNCTION("""COMPUTED_VALUE"""),1.23848E7)</f>
        <v>12384800</v>
      </c>
      <c r="G766" s="5">
        <f t="shared" si="1"/>
        <v>80</v>
      </c>
    </row>
    <row r="767">
      <c r="A767" s="4">
        <f>IFERROR(__xludf.DUMMYFUNCTION("""COMPUTED_VALUE"""),44971.66666666667)</f>
        <v>44971.66667</v>
      </c>
      <c r="B767" s="5">
        <f>IFERROR(__xludf.DUMMYFUNCTION("""COMPUTED_VALUE"""),3370.0)</f>
        <v>3370</v>
      </c>
      <c r="C767" s="5">
        <f>IFERROR(__xludf.DUMMYFUNCTION("""COMPUTED_VALUE"""),3430.0)</f>
        <v>3430</v>
      </c>
      <c r="D767" s="5">
        <f>IFERROR(__xludf.DUMMYFUNCTION("""COMPUTED_VALUE"""),3360.0)</f>
        <v>3360</v>
      </c>
      <c r="E767" s="5">
        <f>IFERROR(__xludf.DUMMYFUNCTION("""COMPUTED_VALUE"""),3400.0)</f>
        <v>3400</v>
      </c>
      <c r="F767" s="5">
        <f>IFERROR(__xludf.DUMMYFUNCTION("""COMPUTED_VALUE"""),7805600.0)</f>
        <v>7805600</v>
      </c>
      <c r="G767" s="5">
        <f t="shared" si="1"/>
        <v>70</v>
      </c>
    </row>
    <row r="768">
      <c r="A768" s="4">
        <f>IFERROR(__xludf.DUMMYFUNCTION("""COMPUTED_VALUE"""),44972.66666666667)</f>
        <v>44972.66667</v>
      </c>
      <c r="B768" s="5">
        <f>IFERROR(__xludf.DUMMYFUNCTION("""COMPUTED_VALUE"""),3400.0)</f>
        <v>3400</v>
      </c>
      <c r="C768" s="5">
        <f>IFERROR(__xludf.DUMMYFUNCTION("""COMPUTED_VALUE"""),3510.0)</f>
        <v>3510</v>
      </c>
      <c r="D768" s="5">
        <f>IFERROR(__xludf.DUMMYFUNCTION("""COMPUTED_VALUE"""),3400.0)</f>
        <v>3400</v>
      </c>
      <c r="E768" s="5">
        <f>IFERROR(__xludf.DUMMYFUNCTION("""COMPUTED_VALUE"""),3440.0)</f>
        <v>3440</v>
      </c>
      <c r="F768" s="5">
        <f>IFERROR(__xludf.DUMMYFUNCTION("""COMPUTED_VALUE"""),1.82791E7)</f>
        <v>18279100</v>
      </c>
      <c r="G768" s="5">
        <f t="shared" si="1"/>
        <v>110</v>
      </c>
    </row>
    <row r="769">
      <c r="A769" s="4">
        <f>IFERROR(__xludf.DUMMYFUNCTION("""COMPUTED_VALUE"""),44973.66666666667)</f>
        <v>44973.66667</v>
      </c>
      <c r="B769" s="5">
        <f>IFERROR(__xludf.DUMMYFUNCTION("""COMPUTED_VALUE"""),3450.0)</f>
        <v>3450</v>
      </c>
      <c r="C769" s="5">
        <f>IFERROR(__xludf.DUMMYFUNCTION("""COMPUTED_VALUE"""),3520.0)</f>
        <v>3520</v>
      </c>
      <c r="D769" s="5">
        <f>IFERROR(__xludf.DUMMYFUNCTION("""COMPUTED_VALUE"""),3430.0)</f>
        <v>3430</v>
      </c>
      <c r="E769" s="5">
        <f>IFERROR(__xludf.DUMMYFUNCTION("""COMPUTED_VALUE"""),3510.0)</f>
        <v>3510</v>
      </c>
      <c r="F769" s="5">
        <f>IFERROR(__xludf.DUMMYFUNCTION("""COMPUTED_VALUE"""),1.38027E7)</f>
        <v>13802700</v>
      </c>
      <c r="G769" s="5">
        <f t="shared" si="1"/>
        <v>90</v>
      </c>
    </row>
    <row r="770">
      <c r="A770" s="4">
        <f>IFERROR(__xludf.DUMMYFUNCTION("""COMPUTED_VALUE"""),44974.66666666667)</f>
        <v>44974.66667</v>
      </c>
      <c r="B770" s="5">
        <f>IFERROR(__xludf.DUMMYFUNCTION("""COMPUTED_VALUE"""),3490.0)</f>
        <v>3490</v>
      </c>
      <c r="C770" s="5">
        <f>IFERROR(__xludf.DUMMYFUNCTION("""COMPUTED_VALUE"""),3500.0)</f>
        <v>3500</v>
      </c>
      <c r="D770" s="5">
        <f>IFERROR(__xludf.DUMMYFUNCTION("""COMPUTED_VALUE"""),3470.0)</f>
        <v>3470</v>
      </c>
      <c r="E770" s="5">
        <f>IFERROR(__xludf.DUMMYFUNCTION("""COMPUTED_VALUE"""),3490.0)</f>
        <v>3490</v>
      </c>
      <c r="F770" s="5">
        <f>IFERROR(__xludf.DUMMYFUNCTION("""COMPUTED_VALUE"""),8531200.0)</f>
        <v>8531200</v>
      </c>
      <c r="G770" s="5">
        <f t="shared" si="1"/>
        <v>40</v>
      </c>
    </row>
    <row r="771">
      <c r="A771" s="4">
        <f>IFERROR(__xludf.DUMMYFUNCTION("""COMPUTED_VALUE"""),44977.66666666667)</f>
        <v>44977.66667</v>
      </c>
      <c r="B771" s="5">
        <f>IFERROR(__xludf.DUMMYFUNCTION("""COMPUTED_VALUE"""),3490.0)</f>
        <v>3490</v>
      </c>
      <c r="C771" s="5">
        <f>IFERROR(__xludf.DUMMYFUNCTION("""COMPUTED_VALUE"""),3580.0)</f>
        <v>3580</v>
      </c>
      <c r="D771" s="5">
        <f>IFERROR(__xludf.DUMMYFUNCTION("""COMPUTED_VALUE"""),3470.0)</f>
        <v>3470</v>
      </c>
      <c r="E771" s="5">
        <f>IFERROR(__xludf.DUMMYFUNCTION("""COMPUTED_VALUE"""),3570.0)</f>
        <v>3570</v>
      </c>
      <c r="F771" s="5">
        <f>IFERROR(__xludf.DUMMYFUNCTION("""COMPUTED_VALUE"""),1.13453E7)</f>
        <v>11345300</v>
      </c>
      <c r="G771" s="5">
        <f t="shared" si="1"/>
        <v>110</v>
      </c>
    </row>
    <row r="772">
      <c r="A772" s="4">
        <f>IFERROR(__xludf.DUMMYFUNCTION("""COMPUTED_VALUE"""),44978.66666666667)</f>
        <v>44978.66667</v>
      </c>
      <c r="B772" s="5">
        <f>IFERROR(__xludf.DUMMYFUNCTION("""COMPUTED_VALUE"""),3580.0)</f>
        <v>3580</v>
      </c>
      <c r="C772" s="5">
        <f>IFERROR(__xludf.DUMMYFUNCTION("""COMPUTED_VALUE"""),3580.0)</f>
        <v>3580</v>
      </c>
      <c r="D772" s="5">
        <f>IFERROR(__xludf.DUMMYFUNCTION("""COMPUTED_VALUE"""),3520.0)</f>
        <v>3520</v>
      </c>
      <c r="E772" s="5">
        <f>IFERROR(__xludf.DUMMYFUNCTION("""COMPUTED_VALUE"""),3520.0)</f>
        <v>3520</v>
      </c>
      <c r="F772" s="5">
        <f>IFERROR(__xludf.DUMMYFUNCTION("""COMPUTED_VALUE"""),5918800.0)</f>
        <v>5918800</v>
      </c>
      <c r="G772" s="5">
        <f t="shared" si="1"/>
        <v>60</v>
      </c>
    </row>
    <row r="773">
      <c r="A773" s="4">
        <f>IFERROR(__xludf.DUMMYFUNCTION("""COMPUTED_VALUE"""),44979.66666666667)</f>
        <v>44979.66667</v>
      </c>
      <c r="B773" s="5">
        <f>IFERROR(__xludf.DUMMYFUNCTION("""COMPUTED_VALUE"""),3550.0)</f>
        <v>3550</v>
      </c>
      <c r="C773" s="5">
        <f>IFERROR(__xludf.DUMMYFUNCTION("""COMPUTED_VALUE"""),3590.0)</f>
        <v>3590</v>
      </c>
      <c r="D773" s="5">
        <f>IFERROR(__xludf.DUMMYFUNCTION("""COMPUTED_VALUE"""),3510.0)</f>
        <v>3510</v>
      </c>
      <c r="E773" s="5">
        <f>IFERROR(__xludf.DUMMYFUNCTION("""COMPUTED_VALUE"""),3540.0)</f>
        <v>3540</v>
      </c>
      <c r="F773" s="5">
        <f>IFERROR(__xludf.DUMMYFUNCTION("""COMPUTED_VALUE"""),6890700.0)</f>
        <v>6890700</v>
      </c>
      <c r="G773" s="5">
        <f t="shared" si="1"/>
        <v>80</v>
      </c>
    </row>
    <row r="774">
      <c r="A774" s="4">
        <f>IFERROR(__xludf.DUMMYFUNCTION("""COMPUTED_VALUE"""),44980.66666666667)</f>
        <v>44980.66667</v>
      </c>
      <c r="B774" s="5">
        <f>IFERROR(__xludf.DUMMYFUNCTION("""COMPUTED_VALUE"""),3560.0)</f>
        <v>3560</v>
      </c>
      <c r="C774" s="5">
        <f>IFERROR(__xludf.DUMMYFUNCTION("""COMPUTED_VALUE"""),3610.0)</f>
        <v>3610</v>
      </c>
      <c r="D774" s="5">
        <f>IFERROR(__xludf.DUMMYFUNCTION("""COMPUTED_VALUE"""),3540.0)</f>
        <v>3540</v>
      </c>
      <c r="E774" s="5">
        <f>IFERROR(__xludf.DUMMYFUNCTION("""COMPUTED_VALUE"""),3560.0)</f>
        <v>3560</v>
      </c>
      <c r="F774" s="5">
        <f>IFERROR(__xludf.DUMMYFUNCTION("""COMPUTED_VALUE"""),8374700.0)</f>
        <v>8374700</v>
      </c>
      <c r="G774" s="5">
        <f t="shared" si="1"/>
        <v>70</v>
      </c>
    </row>
    <row r="775">
      <c r="A775" s="4">
        <f>IFERROR(__xludf.DUMMYFUNCTION("""COMPUTED_VALUE"""),44981.66666666667)</f>
        <v>44981.66667</v>
      </c>
      <c r="B775" s="5">
        <f>IFERROR(__xludf.DUMMYFUNCTION("""COMPUTED_VALUE"""),3600.0)</f>
        <v>3600</v>
      </c>
      <c r="C775" s="5">
        <f>IFERROR(__xludf.DUMMYFUNCTION("""COMPUTED_VALUE"""),3680.0)</f>
        <v>3680</v>
      </c>
      <c r="D775" s="5">
        <f>IFERROR(__xludf.DUMMYFUNCTION("""COMPUTED_VALUE"""),3570.0)</f>
        <v>3570</v>
      </c>
      <c r="E775" s="5">
        <f>IFERROR(__xludf.DUMMYFUNCTION("""COMPUTED_VALUE"""),3660.0)</f>
        <v>3660</v>
      </c>
      <c r="F775" s="5">
        <f>IFERROR(__xludf.DUMMYFUNCTION("""COMPUTED_VALUE"""),1.56292E7)</f>
        <v>15629200</v>
      </c>
      <c r="G775" s="5">
        <f t="shared" si="1"/>
        <v>120</v>
      </c>
    </row>
    <row r="776">
      <c r="A776" s="4">
        <f>IFERROR(__xludf.DUMMYFUNCTION("""COMPUTED_VALUE"""),44984.66666666667)</f>
        <v>44984.66667</v>
      </c>
      <c r="B776" s="5">
        <f>IFERROR(__xludf.DUMMYFUNCTION("""COMPUTED_VALUE"""),3710.0)</f>
        <v>3710</v>
      </c>
      <c r="C776" s="5">
        <f>IFERROR(__xludf.DUMMYFUNCTION("""COMPUTED_VALUE"""),3780.0)</f>
        <v>3780</v>
      </c>
      <c r="D776" s="5">
        <f>IFERROR(__xludf.DUMMYFUNCTION("""COMPUTED_VALUE"""),3700.0)</f>
        <v>3700</v>
      </c>
      <c r="E776" s="5">
        <f>IFERROR(__xludf.DUMMYFUNCTION("""COMPUTED_VALUE"""),3730.0)</f>
        <v>3730</v>
      </c>
      <c r="F776" s="5">
        <f>IFERROR(__xludf.DUMMYFUNCTION("""COMPUTED_VALUE"""),1.71464E7)</f>
        <v>17146400</v>
      </c>
      <c r="G776" s="5">
        <f t="shared" si="1"/>
        <v>120</v>
      </c>
    </row>
    <row r="777">
      <c r="A777" s="4">
        <f>IFERROR(__xludf.DUMMYFUNCTION("""COMPUTED_VALUE"""),44985.66666666667)</f>
        <v>44985.66667</v>
      </c>
      <c r="B777" s="5">
        <f>IFERROR(__xludf.DUMMYFUNCTION("""COMPUTED_VALUE"""),3730.0)</f>
        <v>3730</v>
      </c>
      <c r="C777" s="5">
        <f>IFERROR(__xludf.DUMMYFUNCTION("""COMPUTED_VALUE"""),3870.0)</f>
        <v>3870</v>
      </c>
      <c r="D777" s="5">
        <f>IFERROR(__xludf.DUMMYFUNCTION("""COMPUTED_VALUE"""),3730.0)</f>
        <v>3730</v>
      </c>
      <c r="E777" s="5">
        <f>IFERROR(__xludf.DUMMYFUNCTION("""COMPUTED_VALUE"""),3860.0)</f>
        <v>3860</v>
      </c>
      <c r="F777" s="5">
        <f>IFERROR(__xludf.DUMMYFUNCTION("""COMPUTED_VALUE"""),3.68768E7)</f>
        <v>36876800</v>
      </c>
      <c r="G777" s="5">
        <f t="shared" si="1"/>
        <v>140</v>
      </c>
    </row>
    <row r="778">
      <c r="A778" s="4">
        <f>IFERROR(__xludf.DUMMYFUNCTION("""COMPUTED_VALUE"""),44986.66666666667)</f>
        <v>44986.66667</v>
      </c>
      <c r="B778" s="5">
        <f>IFERROR(__xludf.DUMMYFUNCTION("""COMPUTED_VALUE"""),3860.0)</f>
        <v>3860</v>
      </c>
      <c r="C778" s="5">
        <f>IFERROR(__xludf.DUMMYFUNCTION("""COMPUTED_VALUE"""),3900.0)</f>
        <v>3900</v>
      </c>
      <c r="D778" s="5">
        <f>IFERROR(__xludf.DUMMYFUNCTION("""COMPUTED_VALUE"""),3860.0)</f>
        <v>3860</v>
      </c>
      <c r="E778" s="5">
        <f>IFERROR(__xludf.DUMMYFUNCTION("""COMPUTED_VALUE"""),3880.0)</f>
        <v>3880</v>
      </c>
      <c r="F778" s="5">
        <f>IFERROR(__xludf.DUMMYFUNCTION("""COMPUTED_VALUE"""),1.95261E7)</f>
        <v>19526100</v>
      </c>
      <c r="G778" s="5">
        <f t="shared" si="1"/>
        <v>40</v>
      </c>
    </row>
    <row r="779">
      <c r="A779" s="4">
        <f>IFERROR(__xludf.DUMMYFUNCTION("""COMPUTED_VALUE"""),44987.66666666667)</f>
        <v>44987.66667</v>
      </c>
      <c r="B779" s="5">
        <f>IFERROR(__xludf.DUMMYFUNCTION("""COMPUTED_VALUE"""),3880.0)</f>
        <v>3880</v>
      </c>
      <c r="C779" s="5">
        <f>IFERROR(__xludf.DUMMYFUNCTION("""COMPUTED_VALUE"""),4000.0)</f>
        <v>4000</v>
      </c>
      <c r="D779" s="5">
        <f>IFERROR(__xludf.DUMMYFUNCTION("""COMPUTED_VALUE"""),3820.0)</f>
        <v>3820</v>
      </c>
      <c r="E779" s="5">
        <f>IFERROR(__xludf.DUMMYFUNCTION("""COMPUTED_VALUE"""),4000.0)</f>
        <v>4000</v>
      </c>
      <c r="F779" s="5">
        <f>IFERROR(__xludf.DUMMYFUNCTION("""COMPUTED_VALUE"""),3.64039E7)</f>
        <v>36403900</v>
      </c>
      <c r="G779" s="5">
        <f t="shared" si="1"/>
        <v>180</v>
      </c>
    </row>
    <row r="780">
      <c r="A780" s="4">
        <f>IFERROR(__xludf.DUMMYFUNCTION("""COMPUTED_VALUE"""),44988.66666666667)</f>
        <v>44988.66667</v>
      </c>
      <c r="B780" s="5">
        <f>IFERROR(__xludf.DUMMYFUNCTION("""COMPUTED_VALUE"""),4010.0)</f>
        <v>4010</v>
      </c>
      <c r="C780" s="5">
        <f>IFERROR(__xludf.DUMMYFUNCTION("""COMPUTED_VALUE"""),4020.0)</f>
        <v>4020</v>
      </c>
      <c r="D780" s="5">
        <f>IFERROR(__xludf.DUMMYFUNCTION("""COMPUTED_VALUE"""),3940.0)</f>
        <v>3940</v>
      </c>
      <c r="E780" s="5">
        <f>IFERROR(__xludf.DUMMYFUNCTION("""COMPUTED_VALUE"""),4010.0)</f>
        <v>4010</v>
      </c>
      <c r="F780" s="5">
        <f>IFERROR(__xludf.DUMMYFUNCTION("""COMPUTED_VALUE"""),2.45679E7)</f>
        <v>24567900</v>
      </c>
      <c r="G780" s="5">
        <f t="shared" si="1"/>
        <v>80</v>
      </c>
    </row>
    <row r="781">
      <c r="A781" s="4">
        <f>IFERROR(__xludf.DUMMYFUNCTION("""COMPUTED_VALUE"""),44991.66666666667)</f>
        <v>44991.66667</v>
      </c>
      <c r="B781" s="5">
        <f>IFERROR(__xludf.DUMMYFUNCTION("""COMPUTED_VALUE"""),4000.0)</f>
        <v>4000</v>
      </c>
      <c r="C781" s="5">
        <f>IFERROR(__xludf.DUMMYFUNCTION("""COMPUTED_VALUE"""),4000.0)</f>
        <v>4000</v>
      </c>
      <c r="D781" s="5">
        <f>IFERROR(__xludf.DUMMYFUNCTION("""COMPUTED_VALUE"""),3900.0)</f>
        <v>3900</v>
      </c>
      <c r="E781" s="5">
        <f>IFERROR(__xludf.DUMMYFUNCTION("""COMPUTED_VALUE"""),3990.0)</f>
        <v>3990</v>
      </c>
      <c r="F781" s="5">
        <f>IFERROR(__xludf.DUMMYFUNCTION("""COMPUTED_VALUE"""),1.95507E7)</f>
        <v>19550700</v>
      </c>
      <c r="G781" s="5">
        <f t="shared" si="1"/>
        <v>110</v>
      </c>
    </row>
    <row r="782">
      <c r="A782" s="4">
        <f>IFERROR(__xludf.DUMMYFUNCTION("""COMPUTED_VALUE"""),44992.66666666667)</f>
        <v>44992.66667</v>
      </c>
      <c r="B782" s="5">
        <f>IFERROR(__xludf.DUMMYFUNCTION("""COMPUTED_VALUE"""),3950.0)</f>
        <v>3950</v>
      </c>
      <c r="C782" s="5">
        <f>IFERROR(__xludf.DUMMYFUNCTION("""COMPUTED_VALUE"""),3970.0)</f>
        <v>3970</v>
      </c>
      <c r="D782" s="5">
        <f>IFERROR(__xludf.DUMMYFUNCTION("""COMPUTED_VALUE"""),3830.0)</f>
        <v>3830</v>
      </c>
      <c r="E782" s="5">
        <f>IFERROR(__xludf.DUMMYFUNCTION("""COMPUTED_VALUE"""),3830.0)</f>
        <v>3830</v>
      </c>
      <c r="F782" s="5">
        <f>IFERROR(__xludf.DUMMYFUNCTION("""COMPUTED_VALUE"""),2.40368E7)</f>
        <v>24036800</v>
      </c>
      <c r="G782" s="5">
        <f t="shared" si="1"/>
        <v>160</v>
      </c>
    </row>
    <row r="783">
      <c r="A783" s="4">
        <f>IFERROR(__xludf.DUMMYFUNCTION("""COMPUTED_VALUE"""),44993.66666666667)</f>
        <v>44993.66667</v>
      </c>
      <c r="B783" s="5">
        <f>IFERROR(__xludf.DUMMYFUNCTION("""COMPUTED_VALUE"""),3790.0)</f>
        <v>3790</v>
      </c>
      <c r="C783" s="5">
        <f>IFERROR(__xludf.DUMMYFUNCTION("""COMPUTED_VALUE"""),3890.0)</f>
        <v>3890</v>
      </c>
      <c r="D783" s="5">
        <f>IFERROR(__xludf.DUMMYFUNCTION("""COMPUTED_VALUE"""),3770.0)</f>
        <v>3770</v>
      </c>
      <c r="E783" s="5">
        <f>IFERROR(__xludf.DUMMYFUNCTION("""COMPUTED_VALUE"""),3860.0)</f>
        <v>3860</v>
      </c>
      <c r="F783" s="5">
        <f>IFERROR(__xludf.DUMMYFUNCTION("""COMPUTED_VALUE"""),2.2532E7)</f>
        <v>22532000</v>
      </c>
      <c r="G783" s="5">
        <f t="shared" si="1"/>
        <v>120</v>
      </c>
    </row>
    <row r="784">
      <c r="A784" s="4">
        <f>IFERROR(__xludf.DUMMYFUNCTION("""COMPUTED_VALUE"""),44994.66666666667)</f>
        <v>44994.66667</v>
      </c>
      <c r="B784" s="5">
        <f>IFERROR(__xludf.DUMMYFUNCTION("""COMPUTED_VALUE"""),3860.0)</f>
        <v>3860</v>
      </c>
      <c r="C784" s="5">
        <f>IFERROR(__xludf.DUMMYFUNCTION("""COMPUTED_VALUE"""),3940.0)</f>
        <v>3940</v>
      </c>
      <c r="D784" s="5">
        <f>IFERROR(__xludf.DUMMYFUNCTION("""COMPUTED_VALUE"""),3860.0)</f>
        <v>3860</v>
      </c>
      <c r="E784" s="5">
        <f>IFERROR(__xludf.DUMMYFUNCTION("""COMPUTED_VALUE"""),3940.0)</f>
        <v>3940</v>
      </c>
      <c r="F784" s="5">
        <f>IFERROR(__xludf.DUMMYFUNCTION("""COMPUTED_VALUE"""),2.37421E7)</f>
        <v>23742100</v>
      </c>
      <c r="G784" s="5">
        <f t="shared" si="1"/>
        <v>80</v>
      </c>
    </row>
    <row r="785">
      <c r="A785" s="4">
        <f>IFERROR(__xludf.DUMMYFUNCTION("""COMPUTED_VALUE"""),44995.66666666667)</f>
        <v>44995.66667</v>
      </c>
      <c r="B785" s="5">
        <f>IFERROR(__xludf.DUMMYFUNCTION("""COMPUTED_VALUE"""),3940.0)</f>
        <v>3940</v>
      </c>
      <c r="C785" s="5">
        <f>IFERROR(__xludf.DUMMYFUNCTION("""COMPUTED_VALUE"""),3940.0)</f>
        <v>3940</v>
      </c>
      <c r="D785" s="5">
        <f>IFERROR(__xludf.DUMMYFUNCTION("""COMPUTED_VALUE"""),3880.0)</f>
        <v>3880</v>
      </c>
      <c r="E785" s="5">
        <f>IFERROR(__xludf.DUMMYFUNCTION("""COMPUTED_VALUE"""),3890.0)</f>
        <v>3890</v>
      </c>
      <c r="F785" s="5">
        <f>IFERROR(__xludf.DUMMYFUNCTION("""COMPUTED_VALUE"""),1.22002E7)</f>
        <v>12200200</v>
      </c>
      <c r="G785" s="5">
        <f t="shared" si="1"/>
        <v>60</v>
      </c>
    </row>
    <row r="786">
      <c r="A786" s="4">
        <f>IFERROR(__xludf.DUMMYFUNCTION("""COMPUTED_VALUE"""),44998.66666666667)</f>
        <v>44998.66667</v>
      </c>
      <c r="B786" s="5">
        <f>IFERROR(__xludf.DUMMYFUNCTION("""COMPUTED_VALUE"""),3890.0)</f>
        <v>3890</v>
      </c>
      <c r="C786" s="5">
        <f>IFERROR(__xludf.DUMMYFUNCTION("""COMPUTED_VALUE"""),3930.0)</f>
        <v>3930</v>
      </c>
      <c r="D786" s="5">
        <f>IFERROR(__xludf.DUMMYFUNCTION("""COMPUTED_VALUE"""),3860.0)</f>
        <v>3860</v>
      </c>
      <c r="E786" s="5">
        <f>IFERROR(__xludf.DUMMYFUNCTION("""COMPUTED_VALUE"""),3930.0)</f>
        <v>3930</v>
      </c>
      <c r="F786" s="5">
        <f>IFERROR(__xludf.DUMMYFUNCTION("""COMPUTED_VALUE"""),1.62189E7)</f>
        <v>16218900</v>
      </c>
      <c r="G786" s="5">
        <f t="shared" si="1"/>
        <v>70</v>
      </c>
    </row>
    <row r="787">
      <c r="A787" s="4">
        <f>IFERROR(__xludf.DUMMYFUNCTION("""COMPUTED_VALUE"""),44999.66666666667)</f>
        <v>44999.66667</v>
      </c>
      <c r="B787" s="5">
        <f>IFERROR(__xludf.DUMMYFUNCTION("""COMPUTED_VALUE"""),3920.0)</f>
        <v>3920</v>
      </c>
      <c r="C787" s="5">
        <f>IFERROR(__xludf.DUMMYFUNCTION("""COMPUTED_VALUE"""),3920.0)</f>
        <v>3920</v>
      </c>
      <c r="D787" s="5">
        <f>IFERROR(__xludf.DUMMYFUNCTION("""COMPUTED_VALUE"""),3830.0)</f>
        <v>3830</v>
      </c>
      <c r="E787" s="5">
        <f>IFERROR(__xludf.DUMMYFUNCTION("""COMPUTED_VALUE"""),3830.0)</f>
        <v>3830</v>
      </c>
      <c r="F787" s="5">
        <f>IFERROR(__xludf.DUMMYFUNCTION("""COMPUTED_VALUE"""),2.30284E7)</f>
        <v>23028400</v>
      </c>
      <c r="G787" s="5">
        <f t="shared" si="1"/>
        <v>100</v>
      </c>
    </row>
    <row r="788">
      <c r="A788" s="4">
        <f>IFERROR(__xludf.DUMMYFUNCTION("""COMPUTED_VALUE"""),45000.66666666667)</f>
        <v>45000.66667</v>
      </c>
      <c r="B788" s="5">
        <f>IFERROR(__xludf.DUMMYFUNCTION("""COMPUTED_VALUE"""),3850.0)</f>
        <v>3850</v>
      </c>
      <c r="C788" s="5">
        <f>IFERROR(__xludf.DUMMYFUNCTION("""COMPUTED_VALUE"""),3880.0)</f>
        <v>3880</v>
      </c>
      <c r="D788" s="5">
        <f>IFERROR(__xludf.DUMMYFUNCTION("""COMPUTED_VALUE"""),3810.0)</f>
        <v>3810</v>
      </c>
      <c r="E788" s="5">
        <f>IFERROR(__xludf.DUMMYFUNCTION("""COMPUTED_VALUE"""),3810.0)</f>
        <v>3810</v>
      </c>
      <c r="F788" s="5">
        <f>IFERROR(__xludf.DUMMYFUNCTION("""COMPUTED_VALUE"""),1.18393E7)</f>
        <v>11839300</v>
      </c>
      <c r="G788" s="5">
        <f t="shared" si="1"/>
        <v>70</v>
      </c>
    </row>
    <row r="789">
      <c r="A789" s="4">
        <f>IFERROR(__xludf.DUMMYFUNCTION("""COMPUTED_VALUE"""),45001.66666666667)</f>
        <v>45001.66667</v>
      </c>
      <c r="B789" s="5">
        <f>IFERROR(__xludf.DUMMYFUNCTION("""COMPUTED_VALUE"""),3790.0)</f>
        <v>3790</v>
      </c>
      <c r="C789" s="5">
        <f>IFERROR(__xludf.DUMMYFUNCTION("""COMPUTED_VALUE"""),3820.0)</f>
        <v>3820</v>
      </c>
      <c r="D789" s="5">
        <f>IFERROR(__xludf.DUMMYFUNCTION("""COMPUTED_VALUE"""),3640.0)</f>
        <v>3640</v>
      </c>
      <c r="E789" s="5">
        <f>IFERROR(__xludf.DUMMYFUNCTION("""COMPUTED_VALUE"""),3650.0)</f>
        <v>3650</v>
      </c>
      <c r="F789" s="5">
        <f>IFERROR(__xludf.DUMMYFUNCTION("""COMPUTED_VALUE"""),2.89053E7)</f>
        <v>28905300</v>
      </c>
      <c r="G789" s="5">
        <f t="shared" si="1"/>
        <v>180</v>
      </c>
    </row>
    <row r="790">
      <c r="A790" s="4">
        <f>IFERROR(__xludf.DUMMYFUNCTION("""COMPUTED_VALUE"""),45002.66666666667)</f>
        <v>45002.66667</v>
      </c>
      <c r="B790" s="5">
        <f>IFERROR(__xludf.DUMMYFUNCTION("""COMPUTED_VALUE"""),3660.0)</f>
        <v>3660</v>
      </c>
      <c r="C790" s="5">
        <f>IFERROR(__xludf.DUMMYFUNCTION("""COMPUTED_VALUE"""),3880.0)</f>
        <v>3880</v>
      </c>
      <c r="D790" s="5">
        <f>IFERROR(__xludf.DUMMYFUNCTION("""COMPUTED_VALUE"""),3660.0)</f>
        <v>3660</v>
      </c>
      <c r="E790" s="5">
        <f>IFERROR(__xludf.DUMMYFUNCTION("""COMPUTED_VALUE"""),3880.0)</f>
        <v>3880</v>
      </c>
      <c r="F790" s="5">
        <f>IFERROR(__xludf.DUMMYFUNCTION("""COMPUTED_VALUE"""),1.449382E8)</f>
        <v>144938200</v>
      </c>
      <c r="G790" s="5">
        <f t="shared" si="1"/>
        <v>230</v>
      </c>
    </row>
    <row r="791">
      <c r="A791" s="4">
        <f>IFERROR(__xludf.DUMMYFUNCTION("""COMPUTED_VALUE"""),45005.66666666667)</f>
        <v>45005.66667</v>
      </c>
      <c r="B791" s="5">
        <f>IFERROR(__xludf.DUMMYFUNCTION("""COMPUTED_VALUE"""),3810.0)</f>
        <v>3810</v>
      </c>
      <c r="C791" s="5">
        <f>IFERROR(__xludf.DUMMYFUNCTION("""COMPUTED_VALUE"""),3840.0)</f>
        <v>3840</v>
      </c>
      <c r="D791" s="5">
        <f>IFERROR(__xludf.DUMMYFUNCTION("""COMPUTED_VALUE"""),3760.0)</f>
        <v>3760</v>
      </c>
      <c r="E791" s="5">
        <f>IFERROR(__xludf.DUMMYFUNCTION("""COMPUTED_VALUE"""),3830.0)</f>
        <v>3830</v>
      </c>
      <c r="F791" s="5">
        <f>IFERROR(__xludf.DUMMYFUNCTION("""COMPUTED_VALUE"""),1.34208E7)</f>
        <v>13420800</v>
      </c>
      <c r="G791" s="5">
        <f t="shared" si="1"/>
        <v>120</v>
      </c>
    </row>
    <row r="792">
      <c r="A792" s="4">
        <f>IFERROR(__xludf.DUMMYFUNCTION("""COMPUTED_VALUE"""),45006.66666666667)</f>
        <v>45006.66667</v>
      </c>
      <c r="B792" s="5">
        <f>IFERROR(__xludf.DUMMYFUNCTION("""COMPUTED_VALUE"""),3810.0)</f>
        <v>3810</v>
      </c>
      <c r="C792" s="5">
        <f>IFERROR(__xludf.DUMMYFUNCTION("""COMPUTED_VALUE"""),3810.0)</f>
        <v>3810</v>
      </c>
      <c r="D792" s="5">
        <f>IFERROR(__xludf.DUMMYFUNCTION("""COMPUTED_VALUE"""),3750.0)</f>
        <v>3750</v>
      </c>
      <c r="E792" s="5">
        <f>IFERROR(__xludf.DUMMYFUNCTION("""COMPUTED_VALUE"""),3750.0)</f>
        <v>3750</v>
      </c>
      <c r="F792" s="5">
        <f>IFERROR(__xludf.DUMMYFUNCTION("""COMPUTED_VALUE"""),9262600.0)</f>
        <v>9262600</v>
      </c>
      <c r="G792" s="5">
        <f t="shared" si="1"/>
        <v>80</v>
      </c>
    </row>
    <row r="793">
      <c r="A793" s="4">
        <f>IFERROR(__xludf.DUMMYFUNCTION("""COMPUTED_VALUE"""),45009.66666666667)</f>
        <v>45009.66667</v>
      </c>
      <c r="B793" s="5">
        <f>IFERROR(__xludf.DUMMYFUNCTION("""COMPUTED_VALUE"""),3770.0)</f>
        <v>3770</v>
      </c>
      <c r="C793" s="5">
        <f>IFERROR(__xludf.DUMMYFUNCTION("""COMPUTED_VALUE"""),3800.0)</f>
        <v>3800</v>
      </c>
      <c r="D793" s="5">
        <f>IFERROR(__xludf.DUMMYFUNCTION("""COMPUTED_VALUE"""),3710.0)</f>
        <v>3710</v>
      </c>
      <c r="E793" s="5">
        <f>IFERROR(__xludf.DUMMYFUNCTION("""COMPUTED_VALUE"""),3710.0)</f>
        <v>3710</v>
      </c>
      <c r="F793" s="5">
        <f>IFERROR(__xludf.DUMMYFUNCTION("""COMPUTED_VALUE"""),1.10713E7)</f>
        <v>11071300</v>
      </c>
      <c r="G793" s="5">
        <f t="shared" si="1"/>
        <v>90</v>
      </c>
    </row>
    <row r="794">
      <c r="A794" s="4">
        <f>IFERROR(__xludf.DUMMYFUNCTION("""COMPUTED_VALUE"""),45012.66666666667)</f>
        <v>45012.66667</v>
      </c>
      <c r="B794" s="5">
        <f>IFERROR(__xludf.DUMMYFUNCTION("""COMPUTED_VALUE"""),3730.0)</f>
        <v>3730</v>
      </c>
      <c r="C794" s="5">
        <f>IFERROR(__xludf.DUMMYFUNCTION("""COMPUTED_VALUE"""),3770.0)</f>
        <v>3770</v>
      </c>
      <c r="D794" s="5">
        <f>IFERROR(__xludf.DUMMYFUNCTION("""COMPUTED_VALUE"""),3700.0)</f>
        <v>3700</v>
      </c>
      <c r="E794" s="5">
        <f>IFERROR(__xludf.DUMMYFUNCTION("""COMPUTED_VALUE"""),3700.0)</f>
        <v>3700</v>
      </c>
      <c r="F794" s="5">
        <f>IFERROR(__xludf.DUMMYFUNCTION("""COMPUTED_VALUE"""),1.10441E7)</f>
        <v>11044100</v>
      </c>
      <c r="G794" s="5">
        <f t="shared" si="1"/>
        <v>70</v>
      </c>
    </row>
    <row r="795">
      <c r="A795" s="4">
        <f>IFERROR(__xludf.DUMMYFUNCTION("""COMPUTED_VALUE"""),45013.66666666667)</f>
        <v>45013.66667</v>
      </c>
      <c r="B795" s="5">
        <f>IFERROR(__xludf.DUMMYFUNCTION("""COMPUTED_VALUE"""),3740.0)</f>
        <v>3740</v>
      </c>
      <c r="C795" s="5">
        <f>IFERROR(__xludf.DUMMYFUNCTION("""COMPUTED_VALUE"""),3840.0)</f>
        <v>3840</v>
      </c>
      <c r="D795" s="5">
        <f>IFERROR(__xludf.DUMMYFUNCTION("""COMPUTED_VALUE"""),3710.0)</f>
        <v>3710</v>
      </c>
      <c r="E795" s="5">
        <f>IFERROR(__xludf.DUMMYFUNCTION("""COMPUTED_VALUE"""),3810.0)</f>
        <v>3810</v>
      </c>
      <c r="F795" s="5">
        <f>IFERROR(__xludf.DUMMYFUNCTION("""COMPUTED_VALUE"""),2.03425E7)</f>
        <v>20342500</v>
      </c>
      <c r="G795" s="5">
        <f t="shared" si="1"/>
        <v>140</v>
      </c>
    </row>
    <row r="796">
      <c r="A796" s="4">
        <f>IFERROR(__xludf.DUMMYFUNCTION("""COMPUTED_VALUE"""),45014.66666666667)</f>
        <v>45014.66667</v>
      </c>
      <c r="B796" s="5">
        <f>IFERROR(__xludf.DUMMYFUNCTION("""COMPUTED_VALUE"""),3860.0)</f>
        <v>3860</v>
      </c>
      <c r="C796" s="5">
        <f>IFERROR(__xludf.DUMMYFUNCTION("""COMPUTED_VALUE"""),3960.0)</f>
        <v>3960</v>
      </c>
      <c r="D796" s="5">
        <f>IFERROR(__xludf.DUMMYFUNCTION("""COMPUTED_VALUE"""),3830.0)</f>
        <v>3830</v>
      </c>
      <c r="E796" s="5">
        <f>IFERROR(__xludf.DUMMYFUNCTION("""COMPUTED_VALUE"""),3910.0)</f>
        <v>3910</v>
      </c>
      <c r="F796" s="5">
        <f>IFERROR(__xludf.DUMMYFUNCTION("""COMPUTED_VALUE"""),2.79573E7)</f>
        <v>27957300</v>
      </c>
      <c r="G796" s="5">
        <f t="shared" si="1"/>
        <v>150</v>
      </c>
    </row>
    <row r="797">
      <c r="A797" s="4">
        <f>IFERROR(__xludf.DUMMYFUNCTION("""COMPUTED_VALUE"""),45015.66666666667)</f>
        <v>45015.66667</v>
      </c>
      <c r="B797" s="5">
        <f>IFERROR(__xludf.DUMMYFUNCTION("""COMPUTED_VALUE"""),3920.0)</f>
        <v>3920</v>
      </c>
      <c r="C797" s="5">
        <f>IFERROR(__xludf.DUMMYFUNCTION("""COMPUTED_VALUE"""),3950.0)</f>
        <v>3950</v>
      </c>
      <c r="D797" s="5">
        <f>IFERROR(__xludf.DUMMYFUNCTION("""COMPUTED_VALUE"""),3850.0)</f>
        <v>3850</v>
      </c>
      <c r="E797" s="5">
        <f>IFERROR(__xludf.DUMMYFUNCTION("""COMPUTED_VALUE"""),3870.0)</f>
        <v>3870</v>
      </c>
      <c r="F797" s="5">
        <f>IFERROR(__xludf.DUMMYFUNCTION("""COMPUTED_VALUE"""),1.60503E7)</f>
        <v>16050300</v>
      </c>
      <c r="G797" s="5">
        <f t="shared" si="1"/>
        <v>100</v>
      </c>
    </row>
    <row r="798">
      <c r="A798" s="4">
        <f>IFERROR(__xludf.DUMMYFUNCTION("""COMPUTED_VALUE"""),45016.66666666667)</f>
        <v>45016.66667</v>
      </c>
      <c r="B798" s="5">
        <f>IFERROR(__xludf.DUMMYFUNCTION("""COMPUTED_VALUE"""),3870.0)</f>
        <v>3870</v>
      </c>
      <c r="C798" s="5">
        <f>IFERROR(__xludf.DUMMYFUNCTION("""COMPUTED_VALUE"""),3990.0)</f>
        <v>3990</v>
      </c>
      <c r="D798" s="5">
        <f>IFERROR(__xludf.DUMMYFUNCTION("""COMPUTED_VALUE"""),3870.0)</f>
        <v>3870</v>
      </c>
      <c r="E798" s="5">
        <f>IFERROR(__xludf.DUMMYFUNCTION("""COMPUTED_VALUE"""),3990.0)</f>
        <v>3990</v>
      </c>
      <c r="F798" s="5">
        <f>IFERROR(__xludf.DUMMYFUNCTION("""COMPUTED_VALUE"""),2.22789E7)</f>
        <v>22278900</v>
      </c>
      <c r="G798" s="5">
        <f t="shared" si="1"/>
        <v>120</v>
      </c>
    </row>
    <row r="799">
      <c r="A799" s="4">
        <f>IFERROR(__xludf.DUMMYFUNCTION("""COMPUTED_VALUE"""),45019.66666666667)</f>
        <v>45019.66667</v>
      </c>
      <c r="B799" s="5">
        <f>IFERROR(__xludf.DUMMYFUNCTION("""COMPUTED_VALUE"""),4000.0)</f>
        <v>4000</v>
      </c>
      <c r="C799" s="5">
        <f>IFERROR(__xludf.DUMMYFUNCTION("""COMPUTED_VALUE"""),4060.0)</f>
        <v>4060</v>
      </c>
      <c r="D799" s="5">
        <f>IFERROR(__xludf.DUMMYFUNCTION("""COMPUTED_VALUE"""),3990.0)</f>
        <v>3990</v>
      </c>
      <c r="E799" s="5">
        <f>IFERROR(__xludf.DUMMYFUNCTION("""COMPUTED_VALUE"""),4040.0)</f>
        <v>4040</v>
      </c>
      <c r="F799" s="5">
        <f>IFERROR(__xludf.DUMMYFUNCTION("""COMPUTED_VALUE"""),3.15233E7)</f>
        <v>31523300</v>
      </c>
      <c r="G799" s="5">
        <f t="shared" si="1"/>
        <v>70</v>
      </c>
    </row>
    <row r="800">
      <c r="A800" s="4">
        <f>IFERROR(__xludf.DUMMYFUNCTION("""COMPUTED_VALUE"""),45020.66666666667)</f>
        <v>45020.66667</v>
      </c>
      <c r="B800" s="5">
        <f>IFERROR(__xludf.DUMMYFUNCTION("""COMPUTED_VALUE"""),4090.0)</f>
        <v>4090</v>
      </c>
      <c r="C800" s="5">
        <f>IFERROR(__xludf.DUMMYFUNCTION("""COMPUTED_VALUE"""),4150.0)</f>
        <v>4150</v>
      </c>
      <c r="D800" s="5">
        <f>IFERROR(__xludf.DUMMYFUNCTION("""COMPUTED_VALUE"""),4050.0)</f>
        <v>4050</v>
      </c>
      <c r="E800" s="5">
        <f>IFERROR(__xludf.DUMMYFUNCTION("""COMPUTED_VALUE"""),4100.0)</f>
        <v>4100</v>
      </c>
      <c r="F800" s="5">
        <f>IFERROR(__xludf.DUMMYFUNCTION("""COMPUTED_VALUE"""),2.50672E7)</f>
        <v>25067200</v>
      </c>
      <c r="G800" s="5">
        <f t="shared" si="1"/>
        <v>110</v>
      </c>
    </row>
    <row r="801">
      <c r="A801" s="4">
        <f>IFERROR(__xludf.DUMMYFUNCTION("""COMPUTED_VALUE"""),45021.66666666667)</f>
        <v>45021.66667</v>
      </c>
      <c r="B801" s="5">
        <f>IFERROR(__xludf.DUMMYFUNCTION("""COMPUTED_VALUE"""),4100.0)</f>
        <v>4100</v>
      </c>
      <c r="C801" s="5">
        <f>IFERROR(__xludf.DUMMYFUNCTION("""COMPUTED_VALUE"""),4100.0)</f>
        <v>4100</v>
      </c>
      <c r="D801" s="5">
        <f>IFERROR(__xludf.DUMMYFUNCTION("""COMPUTED_VALUE"""),4050.0)</f>
        <v>4050</v>
      </c>
      <c r="E801" s="5">
        <f>IFERROR(__xludf.DUMMYFUNCTION("""COMPUTED_VALUE"""),4070.0)</f>
        <v>4070</v>
      </c>
      <c r="F801" s="5">
        <f>IFERROR(__xludf.DUMMYFUNCTION("""COMPUTED_VALUE"""),1.21054E7)</f>
        <v>12105400</v>
      </c>
      <c r="G801" s="5">
        <f t="shared" si="1"/>
        <v>50</v>
      </c>
    </row>
    <row r="802">
      <c r="A802" s="4">
        <f>IFERROR(__xludf.DUMMYFUNCTION("""COMPUTED_VALUE"""),45022.66666666667)</f>
        <v>45022.66667</v>
      </c>
      <c r="B802" s="5">
        <f>IFERROR(__xludf.DUMMYFUNCTION("""COMPUTED_VALUE"""),4060.0)</f>
        <v>4060</v>
      </c>
      <c r="C802" s="5">
        <f>IFERROR(__xludf.DUMMYFUNCTION("""COMPUTED_VALUE"""),4090.0)</f>
        <v>4090</v>
      </c>
      <c r="D802" s="5">
        <f>IFERROR(__xludf.DUMMYFUNCTION("""COMPUTED_VALUE"""),4030.0)</f>
        <v>4030</v>
      </c>
      <c r="E802" s="5">
        <f>IFERROR(__xludf.DUMMYFUNCTION("""COMPUTED_VALUE"""),4030.0)</f>
        <v>4030</v>
      </c>
      <c r="F802" s="5">
        <f>IFERROR(__xludf.DUMMYFUNCTION("""COMPUTED_VALUE"""),9000200.0)</f>
        <v>9000200</v>
      </c>
      <c r="G802" s="5">
        <f t="shared" si="1"/>
        <v>60</v>
      </c>
    </row>
    <row r="803">
      <c r="A803" s="4">
        <f>IFERROR(__xludf.DUMMYFUNCTION("""COMPUTED_VALUE"""),45026.66666666667)</f>
        <v>45026.66667</v>
      </c>
      <c r="B803" s="5">
        <f>IFERROR(__xludf.DUMMYFUNCTION("""COMPUTED_VALUE"""),4030.0)</f>
        <v>4030</v>
      </c>
      <c r="C803" s="5">
        <f>IFERROR(__xludf.DUMMYFUNCTION("""COMPUTED_VALUE"""),4050.0)</f>
        <v>4050</v>
      </c>
      <c r="D803" s="5">
        <f>IFERROR(__xludf.DUMMYFUNCTION("""COMPUTED_VALUE"""),3930.0)</f>
        <v>3930</v>
      </c>
      <c r="E803" s="5">
        <f>IFERROR(__xludf.DUMMYFUNCTION("""COMPUTED_VALUE"""),3960.0)</f>
        <v>3960</v>
      </c>
      <c r="F803" s="5">
        <f>IFERROR(__xludf.DUMMYFUNCTION("""COMPUTED_VALUE"""),1.33636E7)</f>
        <v>13363600</v>
      </c>
      <c r="G803" s="5">
        <f t="shared" si="1"/>
        <v>120</v>
      </c>
    </row>
    <row r="804">
      <c r="A804" s="4">
        <f>IFERROR(__xludf.DUMMYFUNCTION("""COMPUTED_VALUE"""),45027.66666666667)</f>
        <v>45027.66667</v>
      </c>
      <c r="B804" s="5">
        <f>IFERROR(__xludf.DUMMYFUNCTION("""COMPUTED_VALUE"""),3960.0)</f>
        <v>3960</v>
      </c>
      <c r="C804" s="5">
        <f>IFERROR(__xludf.DUMMYFUNCTION("""COMPUTED_VALUE"""),4010.0)</f>
        <v>4010</v>
      </c>
      <c r="D804" s="5">
        <f>IFERROR(__xludf.DUMMYFUNCTION("""COMPUTED_VALUE"""),3950.0)</f>
        <v>3950</v>
      </c>
      <c r="E804" s="5">
        <f>IFERROR(__xludf.DUMMYFUNCTION("""COMPUTED_VALUE"""),3980.0)</f>
        <v>3980</v>
      </c>
      <c r="F804" s="5">
        <f>IFERROR(__xludf.DUMMYFUNCTION("""COMPUTED_VALUE"""),1.21513E7)</f>
        <v>12151300</v>
      </c>
      <c r="G804" s="5">
        <f t="shared" si="1"/>
        <v>60</v>
      </c>
    </row>
    <row r="805">
      <c r="A805" s="4">
        <f>IFERROR(__xludf.DUMMYFUNCTION("""COMPUTED_VALUE"""),45028.66666666667)</f>
        <v>45028.66667</v>
      </c>
      <c r="B805" s="5">
        <f>IFERROR(__xludf.DUMMYFUNCTION("""COMPUTED_VALUE"""),3990.0)</f>
        <v>3990</v>
      </c>
      <c r="C805" s="5">
        <f>IFERROR(__xludf.DUMMYFUNCTION("""COMPUTED_VALUE"""),3990.0)</f>
        <v>3990</v>
      </c>
      <c r="D805" s="5">
        <f>IFERROR(__xludf.DUMMYFUNCTION("""COMPUTED_VALUE"""),3920.0)</f>
        <v>3920</v>
      </c>
      <c r="E805" s="5">
        <f>IFERROR(__xludf.DUMMYFUNCTION("""COMPUTED_VALUE"""),3920.0)</f>
        <v>3920</v>
      </c>
      <c r="F805" s="5">
        <f>IFERROR(__xludf.DUMMYFUNCTION("""COMPUTED_VALUE"""),1.60029E7)</f>
        <v>16002900</v>
      </c>
      <c r="G805" s="5">
        <f t="shared" si="1"/>
        <v>70</v>
      </c>
    </row>
    <row r="806">
      <c r="A806" s="4">
        <f>IFERROR(__xludf.DUMMYFUNCTION("""COMPUTED_VALUE"""),45029.66666666667)</f>
        <v>45029.66667</v>
      </c>
      <c r="B806" s="5">
        <f>IFERROR(__xludf.DUMMYFUNCTION("""COMPUTED_VALUE"""),3940.0)</f>
        <v>3940</v>
      </c>
      <c r="C806" s="5">
        <f>IFERROR(__xludf.DUMMYFUNCTION("""COMPUTED_VALUE"""),4060.0)</f>
        <v>4060</v>
      </c>
      <c r="D806" s="5">
        <f>IFERROR(__xludf.DUMMYFUNCTION("""COMPUTED_VALUE"""),3940.0)</f>
        <v>3940</v>
      </c>
      <c r="E806" s="5">
        <f>IFERROR(__xludf.DUMMYFUNCTION("""COMPUTED_VALUE"""),3980.0)</f>
        <v>3980</v>
      </c>
      <c r="F806" s="5">
        <f>IFERROR(__xludf.DUMMYFUNCTION("""COMPUTED_VALUE"""),2.19282E7)</f>
        <v>21928200</v>
      </c>
      <c r="G806" s="5">
        <f t="shared" si="1"/>
        <v>140</v>
      </c>
    </row>
    <row r="807">
      <c r="A807" s="4">
        <f>IFERROR(__xludf.DUMMYFUNCTION("""COMPUTED_VALUE"""),45030.66666666667)</f>
        <v>45030.66667</v>
      </c>
      <c r="B807" s="5">
        <f>IFERROR(__xludf.DUMMYFUNCTION("""COMPUTED_VALUE"""),3980.0)</f>
        <v>3980</v>
      </c>
      <c r="C807" s="5">
        <f>IFERROR(__xludf.DUMMYFUNCTION("""COMPUTED_VALUE"""),4030.0)</f>
        <v>4030</v>
      </c>
      <c r="D807" s="5">
        <f>IFERROR(__xludf.DUMMYFUNCTION("""COMPUTED_VALUE"""),3930.0)</f>
        <v>3930</v>
      </c>
      <c r="E807" s="5">
        <f>IFERROR(__xludf.DUMMYFUNCTION("""COMPUTED_VALUE"""),3970.0)</f>
        <v>3970</v>
      </c>
      <c r="F807" s="5">
        <f>IFERROR(__xludf.DUMMYFUNCTION("""COMPUTED_VALUE"""),1.83293E7)</f>
        <v>18329300</v>
      </c>
      <c r="G807" s="5">
        <f t="shared" si="1"/>
        <v>100</v>
      </c>
    </row>
    <row r="808">
      <c r="A808" s="4">
        <f>IFERROR(__xludf.DUMMYFUNCTION("""COMPUTED_VALUE"""),45033.66666666667)</f>
        <v>45033.66667</v>
      </c>
      <c r="B808" s="5">
        <f>IFERROR(__xludf.DUMMYFUNCTION("""COMPUTED_VALUE"""),3970.0)</f>
        <v>3970</v>
      </c>
      <c r="C808" s="5">
        <f>IFERROR(__xludf.DUMMYFUNCTION("""COMPUTED_VALUE"""),4000.0)</f>
        <v>4000</v>
      </c>
      <c r="D808" s="5">
        <f>IFERROR(__xludf.DUMMYFUNCTION("""COMPUTED_VALUE"""),3940.0)</f>
        <v>3940</v>
      </c>
      <c r="E808" s="5">
        <f>IFERROR(__xludf.DUMMYFUNCTION("""COMPUTED_VALUE"""),3950.0)</f>
        <v>3950</v>
      </c>
      <c r="F808" s="5">
        <f>IFERROR(__xludf.DUMMYFUNCTION("""COMPUTED_VALUE"""),1.45435E7)</f>
        <v>14543500</v>
      </c>
      <c r="G808" s="5">
        <f t="shared" si="1"/>
        <v>60</v>
      </c>
    </row>
    <row r="809">
      <c r="A809" s="4">
        <f>IFERROR(__xludf.DUMMYFUNCTION("""COMPUTED_VALUE"""),45034.66666666667)</f>
        <v>45034.66667</v>
      </c>
      <c r="B809" s="5">
        <f>IFERROR(__xludf.DUMMYFUNCTION("""COMPUTED_VALUE"""),3950.0)</f>
        <v>3950</v>
      </c>
      <c r="C809" s="5">
        <f>IFERROR(__xludf.DUMMYFUNCTION("""COMPUTED_VALUE"""),4080.0)</f>
        <v>4080</v>
      </c>
      <c r="D809" s="5">
        <f>IFERROR(__xludf.DUMMYFUNCTION("""COMPUTED_VALUE"""),3950.0)</f>
        <v>3950</v>
      </c>
      <c r="E809" s="5">
        <f>IFERROR(__xludf.DUMMYFUNCTION("""COMPUTED_VALUE"""),4040.0)</f>
        <v>4040</v>
      </c>
      <c r="F809" s="5">
        <f>IFERROR(__xludf.DUMMYFUNCTION("""COMPUTED_VALUE"""),2.24579E7)</f>
        <v>22457900</v>
      </c>
      <c r="G809" s="5">
        <f t="shared" si="1"/>
        <v>130</v>
      </c>
    </row>
    <row r="810">
      <c r="A810" s="4">
        <f>IFERROR(__xludf.DUMMYFUNCTION("""COMPUTED_VALUE"""),45042.66666666667)</f>
        <v>45042.66667</v>
      </c>
      <c r="B810" s="5">
        <f>IFERROR(__xludf.DUMMYFUNCTION("""COMPUTED_VALUE"""),4040.0)</f>
        <v>4040</v>
      </c>
      <c r="C810" s="5">
        <f>IFERROR(__xludf.DUMMYFUNCTION("""COMPUTED_VALUE"""),4140.0)</f>
        <v>4140</v>
      </c>
      <c r="D810" s="5">
        <f>IFERROR(__xludf.DUMMYFUNCTION("""COMPUTED_VALUE"""),4040.0)</f>
        <v>4040</v>
      </c>
      <c r="E810" s="5">
        <f>IFERROR(__xludf.DUMMYFUNCTION("""COMPUTED_VALUE"""),4140.0)</f>
        <v>4140</v>
      </c>
      <c r="F810" s="5">
        <f>IFERROR(__xludf.DUMMYFUNCTION("""COMPUTED_VALUE"""),3.53103E7)</f>
        <v>35310300</v>
      </c>
      <c r="G810" s="5">
        <f t="shared" si="1"/>
        <v>100</v>
      </c>
    </row>
    <row r="811">
      <c r="A811" s="4">
        <f>IFERROR(__xludf.DUMMYFUNCTION("""COMPUTED_VALUE"""),45043.66666666667)</f>
        <v>45043.66667</v>
      </c>
      <c r="B811" s="5">
        <f>IFERROR(__xludf.DUMMYFUNCTION("""COMPUTED_VALUE"""),4140.0)</f>
        <v>4140</v>
      </c>
      <c r="C811" s="5">
        <f>IFERROR(__xludf.DUMMYFUNCTION("""COMPUTED_VALUE"""),4140.0)</f>
        <v>4140</v>
      </c>
      <c r="D811" s="5">
        <f>IFERROR(__xludf.DUMMYFUNCTION("""COMPUTED_VALUE"""),4110.0)</f>
        <v>4110</v>
      </c>
      <c r="E811" s="5">
        <f>IFERROR(__xludf.DUMMYFUNCTION("""COMPUTED_VALUE"""),4130.0)</f>
        <v>4130</v>
      </c>
      <c r="F811" s="5">
        <f>IFERROR(__xludf.DUMMYFUNCTION("""COMPUTED_VALUE"""),1.07752E7)</f>
        <v>10775200</v>
      </c>
      <c r="G811" s="5">
        <f t="shared" si="1"/>
        <v>30</v>
      </c>
    </row>
    <row r="812">
      <c r="A812" s="4">
        <f>IFERROR(__xludf.DUMMYFUNCTION("""COMPUTED_VALUE"""),45044.66666666667)</f>
        <v>45044.66667</v>
      </c>
      <c r="B812" s="5">
        <f>IFERROR(__xludf.DUMMYFUNCTION("""COMPUTED_VALUE"""),4130.0)</f>
        <v>4130</v>
      </c>
      <c r="C812" s="5">
        <f>IFERROR(__xludf.DUMMYFUNCTION("""COMPUTED_VALUE"""),4200.0)</f>
        <v>4200</v>
      </c>
      <c r="D812" s="5">
        <f>IFERROR(__xludf.DUMMYFUNCTION("""COMPUTED_VALUE"""),4120.0)</f>
        <v>4120</v>
      </c>
      <c r="E812" s="5">
        <f>IFERROR(__xludf.DUMMYFUNCTION("""COMPUTED_VALUE"""),4140.0)</f>
        <v>4140</v>
      </c>
      <c r="F812" s="5">
        <f>IFERROR(__xludf.DUMMYFUNCTION("""COMPUTED_VALUE"""),1.84291E7)</f>
        <v>18429100</v>
      </c>
      <c r="G812" s="5">
        <f t="shared" si="1"/>
        <v>80</v>
      </c>
    </row>
    <row r="813">
      <c r="A813" s="4">
        <f>IFERROR(__xludf.DUMMYFUNCTION("""COMPUTED_VALUE"""),45048.66666666667)</f>
        <v>45048.66667</v>
      </c>
      <c r="B813" s="5">
        <f>IFERROR(__xludf.DUMMYFUNCTION("""COMPUTED_VALUE"""),3860.0)</f>
        <v>3860</v>
      </c>
      <c r="C813" s="5">
        <f>IFERROR(__xludf.DUMMYFUNCTION("""COMPUTED_VALUE"""),3860.0)</f>
        <v>3860</v>
      </c>
      <c r="D813" s="5">
        <f>IFERROR(__xludf.DUMMYFUNCTION("""COMPUTED_VALUE"""),3860.0)</f>
        <v>3860</v>
      </c>
      <c r="E813" s="5">
        <f>IFERROR(__xludf.DUMMYFUNCTION("""COMPUTED_VALUE"""),3860.0)</f>
        <v>3860</v>
      </c>
      <c r="F813" s="5">
        <f>IFERROR(__xludf.DUMMYFUNCTION("""COMPUTED_VALUE"""),1.43011E7)</f>
        <v>14301100</v>
      </c>
      <c r="G813" s="5">
        <f t="shared" si="1"/>
        <v>280</v>
      </c>
    </row>
    <row r="814">
      <c r="A814" s="4">
        <f>IFERROR(__xludf.DUMMYFUNCTION("""COMPUTED_VALUE"""),45049.66666666667)</f>
        <v>45049.66667</v>
      </c>
      <c r="B814" s="5">
        <f>IFERROR(__xludf.DUMMYFUNCTION("""COMPUTED_VALUE"""),3590.0)</f>
        <v>3590</v>
      </c>
      <c r="C814" s="5">
        <f>IFERROR(__xludf.DUMMYFUNCTION("""COMPUTED_VALUE"""),3590.0)</f>
        <v>3590</v>
      </c>
      <c r="D814" s="5">
        <f>IFERROR(__xludf.DUMMYFUNCTION("""COMPUTED_VALUE"""),3590.0)</f>
        <v>3590</v>
      </c>
      <c r="E814" s="5">
        <f>IFERROR(__xludf.DUMMYFUNCTION("""COMPUTED_VALUE"""),3590.0)</f>
        <v>3590</v>
      </c>
      <c r="F814" s="5">
        <f>IFERROR(__xludf.DUMMYFUNCTION("""COMPUTED_VALUE"""),2.44357E7)</f>
        <v>24435700</v>
      </c>
      <c r="G814" s="5">
        <f t="shared" si="1"/>
        <v>270</v>
      </c>
    </row>
    <row r="815">
      <c r="A815" s="4">
        <f>IFERROR(__xludf.DUMMYFUNCTION("""COMPUTED_VALUE"""),45050.66666666667)</f>
        <v>45050.66667</v>
      </c>
      <c r="B815" s="5">
        <f>IFERROR(__xludf.DUMMYFUNCTION("""COMPUTED_VALUE"""),3510.0)</f>
        <v>3510</v>
      </c>
      <c r="C815" s="5">
        <f>IFERROR(__xludf.DUMMYFUNCTION("""COMPUTED_VALUE"""),3610.0)</f>
        <v>3610</v>
      </c>
      <c r="D815" s="5">
        <f>IFERROR(__xludf.DUMMYFUNCTION("""COMPUTED_VALUE"""),3390.0)</f>
        <v>3390</v>
      </c>
      <c r="E815" s="5">
        <f>IFERROR(__xludf.DUMMYFUNCTION("""COMPUTED_VALUE"""),3410.0)</f>
        <v>3410</v>
      </c>
      <c r="F815" s="5">
        <f>IFERROR(__xludf.DUMMYFUNCTION("""COMPUTED_VALUE"""),1.258466E8)</f>
        <v>125846600</v>
      </c>
      <c r="G815" s="5">
        <f t="shared" si="1"/>
        <v>220</v>
      </c>
    </row>
    <row r="816">
      <c r="A816" s="4">
        <f>IFERROR(__xludf.DUMMYFUNCTION("""COMPUTED_VALUE"""),45051.66666666667)</f>
        <v>45051.66667</v>
      </c>
      <c r="B816" s="5">
        <f>IFERROR(__xludf.DUMMYFUNCTION("""COMPUTED_VALUE"""),3400.0)</f>
        <v>3400</v>
      </c>
      <c r="C816" s="5">
        <f>IFERROR(__xludf.DUMMYFUNCTION("""COMPUTED_VALUE"""),3400.0)</f>
        <v>3400</v>
      </c>
      <c r="D816" s="5">
        <f>IFERROR(__xludf.DUMMYFUNCTION("""COMPUTED_VALUE"""),3310.0)</f>
        <v>3310</v>
      </c>
      <c r="E816" s="5">
        <f>IFERROR(__xludf.DUMMYFUNCTION("""COMPUTED_VALUE"""),3360.0)</f>
        <v>3360</v>
      </c>
      <c r="F816" s="5">
        <f>IFERROR(__xludf.DUMMYFUNCTION("""COMPUTED_VALUE"""),5.358E7)</f>
        <v>53580000</v>
      </c>
      <c r="G816" s="5">
        <f t="shared" si="1"/>
        <v>100</v>
      </c>
    </row>
    <row r="817">
      <c r="A817" s="4">
        <f>IFERROR(__xludf.DUMMYFUNCTION("""COMPUTED_VALUE"""),45054.66666666667)</f>
        <v>45054.66667</v>
      </c>
      <c r="B817" s="5">
        <f>IFERROR(__xludf.DUMMYFUNCTION("""COMPUTED_VALUE"""),3380.0)</f>
        <v>3380</v>
      </c>
      <c r="C817" s="5">
        <f>IFERROR(__xludf.DUMMYFUNCTION("""COMPUTED_VALUE"""),3520.0)</f>
        <v>3520</v>
      </c>
      <c r="D817" s="5">
        <f>IFERROR(__xludf.DUMMYFUNCTION("""COMPUTED_VALUE"""),3380.0)</f>
        <v>3380</v>
      </c>
      <c r="E817" s="5">
        <f>IFERROR(__xludf.DUMMYFUNCTION("""COMPUTED_VALUE"""),3490.0)</f>
        <v>3490</v>
      </c>
      <c r="F817" s="5">
        <f>IFERROR(__xludf.DUMMYFUNCTION("""COMPUTED_VALUE"""),4.15055E7)</f>
        <v>41505500</v>
      </c>
      <c r="G817" s="5">
        <f t="shared" si="1"/>
        <v>160</v>
      </c>
    </row>
    <row r="818">
      <c r="A818" s="4">
        <f>IFERROR(__xludf.DUMMYFUNCTION("""COMPUTED_VALUE"""),45055.66666666667)</f>
        <v>45055.66667</v>
      </c>
      <c r="B818" s="5">
        <f>IFERROR(__xludf.DUMMYFUNCTION("""COMPUTED_VALUE"""),3510.0)</f>
        <v>3510</v>
      </c>
      <c r="C818" s="5">
        <f>IFERROR(__xludf.DUMMYFUNCTION("""COMPUTED_VALUE"""),3520.0)</f>
        <v>3520</v>
      </c>
      <c r="D818" s="5">
        <f>IFERROR(__xludf.DUMMYFUNCTION("""COMPUTED_VALUE"""),3470.0)</f>
        <v>3470</v>
      </c>
      <c r="E818" s="5">
        <f>IFERROR(__xludf.DUMMYFUNCTION("""COMPUTED_VALUE"""),3490.0)</f>
        <v>3490</v>
      </c>
      <c r="F818" s="5">
        <f>IFERROR(__xludf.DUMMYFUNCTION("""COMPUTED_VALUE"""),1.78108E7)</f>
        <v>17810800</v>
      </c>
      <c r="G818" s="5">
        <f t="shared" si="1"/>
        <v>50</v>
      </c>
    </row>
    <row r="819">
      <c r="A819" s="4">
        <f>IFERROR(__xludf.DUMMYFUNCTION("""COMPUTED_VALUE"""),45056.66666666667)</f>
        <v>45056.66667</v>
      </c>
      <c r="B819" s="5">
        <f>IFERROR(__xludf.DUMMYFUNCTION("""COMPUTED_VALUE"""),3490.0)</f>
        <v>3490</v>
      </c>
      <c r="C819" s="5">
        <f>IFERROR(__xludf.DUMMYFUNCTION("""COMPUTED_VALUE"""),3540.0)</f>
        <v>3540</v>
      </c>
      <c r="D819" s="5">
        <f>IFERROR(__xludf.DUMMYFUNCTION("""COMPUTED_VALUE"""),3480.0)</f>
        <v>3480</v>
      </c>
      <c r="E819" s="5">
        <f>IFERROR(__xludf.DUMMYFUNCTION("""COMPUTED_VALUE"""),3490.0)</f>
        <v>3490</v>
      </c>
      <c r="F819" s="5">
        <f>IFERROR(__xludf.DUMMYFUNCTION("""COMPUTED_VALUE"""),1.38565E7)</f>
        <v>13856500</v>
      </c>
      <c r="G819" s="5">
        <f t="shared" si="1"/>
        <v>60</v>
      </c>
    </row>
    <row r="820">
      <c r="A820" s="4">
        <f>IFERROR(__xludf.DUMMYFUNCTION("""COMPUTED_VALUE"""),45057.66666666667)</f>
        <v>45057.66667</v>
      </c>
      <c r="B820" s="5">
        <f>IFERROR(__xludf.DUMMYFUNCTION("""COMPUTED_VALUE"""),3500.0)</f>
        <v>3500</v>
      </c>
      <c r="C820" s="5">
        <f>IFERROR(__xludf.DUMMYFUNCTION("""COMPUTED_VALUE"""),3510.0)</f>
        <v>3510</v>
      </c>
      <c r="D820" s="5">
        <f>IFERROR(__xludf.DUMMYFUNCTION("""COMPUTED_VALUE"""),3420.0)</f>
        <v>3420</v>
      </c>
      <c r="E820" s="5">
        <f>IFERROR(__xludf.DUMMYFUNCTION("""COMPUTED_VALUE"""),3440.0)</f>
        <v>3440</v>
      </c>
      <c r="F820" s="5">
        <f>IFERROR(__xludf.DUMMYFUNCTION("""COMPUTED_VALUE"""),1.81512E7)</f>
        <v>18151200</v>
      </c>
      <c r="G820" s="5">
        <f t="shared" si="1"/>
        <v>90</v>
      </c>
    </row>
    <row r="821">
      <c r="A821" s="4">
        <f>IFERROR(__xludf.DUMMYFUNCTION("""COMPUTED_VALUE"""),45058.66666666667)</f>
        <v>45058.66667</v>
      </c>
      <c r="B821" s="5">
        <f>IFERROR(__xludf.DUMMYFUNCTION("""COMPUTED_VALUE"""),3440.0)</f>
        <v>3440</v>
      </c>
      <c r="C821" s="5">
        <f>IFERROR(__xludf.DUMMYFUNCTION("""COMPUTED_VALUE"""),3460.0)</f>
        <v>3460</v>
      </c>
      <c r="D821" s="5">
        <f>IFERROR(__xludf.DUMMYFUNCTION("""COMPUTED_VALUE"""),3400.0)</f>
        <v>3400</v>
      </c>
      <c r="E821" s="5">
        <f>IFERROR(__xludf.DUMMYFUNCTION("""COMPUTED_VALUE"""),3400.0)</f>
        <v>3400</v>
      </c>
      <c r="F821" s="5">
        <f>IFERROR(__xludf.DUMMYFUNCTION("""COMPUTED_VALUE"""),1.33026E7)</f>
        <v>13302600</v>
      </c>
      <c r="G821" s="5">
        <f t="shared" si="1"/>
        <v>60</v>
      </c>
    </row>
    <row r="822">
      <c r="A822" s="4">
        <f>IFERROR(__xludf.DUMMYFUNCTION("""COMPUTED_VALUE"""),45061.66666666667)</f>
        <v>45061.66667</v>
      </c>
      <c r="B822" s="5">
        <f>IFERROR(__xludf.DUMMYFUNCTION("""COMPUTED_VALUE"""),3400.0)</f>
        <v>3400</v>
      </c>
      <c r="C822" s="5">
        <f>IFERROR(__xludf.DUMMYFUNCTION("""COMPUTED_VALUE"""),3460.0)</f>
        <v>3460</v>
      </c>
      <c r="D822" s="5">
        <f>IFERROR(__xludf.DUMMYFUNCTION("""COMPUTED_VALUE"""),3380.0)</f>
        <v>3380</v>
      </c>
      <c r="E822" s="5">
        <f>IFERROR(__xludf.DUMMYFUNCTION("""COMPUTED_VALUE"""),3410.0)</f>
        <v>3410</v>
      </c>
      <c r="F822" s="5">
        <f>IFERROR(__xludf.DUMMYFUNCTION("""COMPUTED_VALUE"""),1.27687E7)</f>
        <v>12768700</v>
      </c>
      <c r="G822" s="5">
        <f t="shared" si="1"/>
        <v>80</v>
      </c>
    </row>
    <row r="823">
      <c r="A823" s="4">
        <f>IFERROR(__xludf.DUMMYFUNCTION("""COMPUTED_VALUE"""),45062.66666666667)</f>
        <v>45062.66667</v>
      </c>
      <c r="B823" s="5">
        <f>IFERROR(__xludf.DUMMYFUNCTION("""COMPUTED_VALUE"""),3430.0)</f>
        <v>3430</v>
      </c>
      <c r="C823" s="5">
        <f>IFERROR(__xludf.DUMMYFUNCTION("""COMPUTED_VALUE"""),3450.0)</f>
        <v>3450</v>
      </c>
      <c r="D823" s="5">
        <f>IFERROR(__xludf.DUMMYFUNCTION("""COMPUTED_VALUE"""),3340.0)</f>
        <v>3340</v>
      </c>
      <c r="E823" s="5">
        <f>IFERROR(__xludf.DUMMYFUNCTION("""COMPUTED_VALUE"""),3370.0)</f>
        <v>3370</v>
      </c>
      <c r="F823" s="5">
        <f>IFERROR(__xludf.DUMMYFUNCTION("""COMPUTED_VALUE"""),1.44211E7)</f>
        <v>14421100</v>
      </c>
      <c r="G823" s="5">
        <f t="shared" si="1"/>
        <v>110</v>
      </c>
    </row>
    <row r="824">
      <c r="A824" s="4">
        <f>IFERROR(__xludf.DUMMYFUNCTION("""COMPUTED_VALUE"""),45063.66666666667)</f>
        <v>45063.66667</v>
      </c>
      <c r="B824" s="5">
        <f>IFERROR(__xludf.DUMMYFUNCTION("""COMPUTED_VALUE"""),3370.0)</f>
        <v>3370</v>
      </c>
      <c r="C824" s="5">
        <f>IFERROR(__xludf.DUMMYFUNCTION("""COMPUTED_VALUE"""),3370.0)</f>
        <v>3370</v>
      </c>
      <c r="D824" s="5">
        <f>IFERROR(__xludf.DUMMYFUNCTION("""COMPUTED_VALUE"""),3250.0)</f>
        <v>3250</v>
      </c>
      <c r="E824" s="5">
        <f>IFERROR(__xludf.DUMMYFUNCTION("""COMPUTED_VALUE"""),3270.0)</f>
        <v>3270</v>
      </c>
      <c r="F824" s="5">
        <f>IFERROR(__xludf.DUMMYFUNCTION("""COMPUTED_VALUE"""),3.75557E7)</f>
        <v>37555700</v>
      </c>
      <c r="G824" s="5">
        <f t="shared" si="1"/>
        <v>120</v>
      </c>
    </row>
    <row r="825">
      <c r="A825" s="4">
        <f>IFERROR(__xludf.DUMMYFUNCTION("""COMPUTED_VALUE"""),45065.66666666667)</f>
        <v>45065.66667</v>
      </c>
      <c r="B825" s="5">
        <f>IFERROR(__xludf.DUMMYFUNCTION("""COMPUTED_VALUE"""),3250.0)</f>
        <v>3250</v>
      </c>
      <c r="C825" s="5">
        <f>IFERROR(__xludf.DUMMYFUNCTION("""COMPUTED_VALUE"""),3250.0)</f>
        <v>3250</v>
      </c>
      <c r="D825" s="5">
        <f>IFERROR(__xludf.DUMMYFUNCTION("""COMPUTED_VALUE"""),3100.0)</f>
        <v>3100</v>
      </c>
      <c r="E825" s="5">
        <f>IFERROR(__xludf.DUMMYFUNCTION("""COMPUTED_VALUE"""),3120.0)</f>
        <v>3120</v>
      </c>
      <c r="F825" s="5">
        <f>IFERROR(__xludf.DUMMYFUNCTION("""COMPUTED_VALUE"""),4.342E7)</f>
        <v>43420000</v>
      </c>
      <c r="G825" s="5">
        <f t="shared" si="1"/>
        <v>170</v>
      </c>
    </row>
    <row r="826">
      <c r="A826" s="4">
        <f>IFERROR(__xludf.DUMMYFUNCTION("""COMPUTED_VALUE"""),45068.66666666667)</f>
        <v>45068.66667</v>
      </c>
      <c r="B826" s="5">
        <f>IFERROR(__xludf.DUMMYFUNCTION("""COMPUTED_VALUE"""),3140.0)</f>
        <v>3140</v>
      </c>
      <c r="C826" s="5">
        <f>IFERROR(__xludf.DUMMYFUNCTION("""COMPUTED_VALUE"""),3220.0)</f>
        <v>3220</v>
      </c>
      <c r="D826" s="5">
        <f>IFERROR(__xludf.DUMMYFUNCTION("""COMPUTED_VALUE"""),3140.0)</f>
        <v>3140</v>
      </c>
      <c r="E826" s="5">
        <f>IFERROR(__xludf.DUMMYFUNCTION("""COMPUTED_VALUE"""),3160.0)</f>
        <v>3160</v>
      </c>
      <c r="F826" s="5">
        <f>IFERROR(__xludf.DUMMYFUNCTION("""COMPUTED_VALUE"""),3.32565E7)</f>
        <v>33256500</v>
      </c>
      <c r="G826" s="5">
        <f t="shared" si="1"/>
        <v>100</v>
      </c>
    </row>
    <row r="827">
      <c r="A827" s="4">
        <f>IFERROR(__xludf.DUMMYFUNCTION("""COMPUTED_VALUE"""),45069.66666666667)</f>
        <v>45069.66667</v>
      </c>
      <c r="B827" s="5">
        <f>IFERROR(__xludf.DUMMYFUNCTION("""COMPUTED_VALUE"""),3160.0)</f>
        <v>3160</v>
      </c>
      <c r="C827" s="5">
        <f>IFERROR(__xludf.DUMMYFUNCTION("""COMPUTED_VALUE"""),3250.0)</f>
        <v>3250</v>
      </c>
      <c r="D827" s="5">
        <f>IFERROR(__xludf.DUMMYFUNCTION("""COMPUTED_VALUE"""),3150.0)</f>
        <v>3150</v>
      </c>
      <c r="E827" s="5">
        <f>IFERROR(__xludf.DUMMYFUNCTION("""COMPUTED_VALUE"""),3150.0)</f>
        <v>3150</v>
      </c>
      <c r="F827" s="5">
        <f>IFERROR(__xludf.DUMMYFUNCTION("""COMPUTED_VALUE"""),2.30835E7)</f>
        <v>23083500</v>
      </c>
      <c r="G827" s="5">
        <f t="shared" si="1"/>
        <v>100</v>
      </c>
    </row>
    <row r="828">
      <c r="A828" s="4">
        <f>IFERROR(__xludf.DUMMYFUNCTION("""COMPUTED_VALUE"""),45070.66666666667)</f>
        <v>45070.66667</v>
      </c>
      <c r="B828" s="5">
        <f>IFERROR(__xludf.DUMMYFUNCTION("""COMPUTED_VALUE"""),3150.0)</f>
        <v>3150</v>
      </c>
      <c r="C828" s="5">
        <f>IFERROR(__xludf.DUMMYFUNCTION("""COMPUTED_VALUE"""),3190.0)</f>
        <v>3190</v>
      </c>
      <c r="D828" s="5">
        <f>IFERROR(__xludf.DUMMYFUNCTION("""COMPUTED_VALUE"""),3110.0)</f>
        <v>3110</v>
      </c>
      <c r="E828" s="5">
        <f>IFERROR(__xludf.DUMMYFUNCTION("""COMPUTED_VALUE"""),3110.0)</f>
        <v>3110</v>
      </c>
      <c r="F828" s="5">
        <f>IFERROR(__xludf.DUMMYFUNCTION("""COMPUTED_VALUE"""),1.62403E7)</f>
        <v>16240300</v>
      </c>
      <c r="G828" s="5">
        <f t="shared" si="1"/>
        <v>80</v>
      </c>
    </row>
    <row r="829">
      <c r="A829" s="4">
        <f>IFERROR(__xludf.DUMMYFUNCTION("""COMPUTED_VALUE"""),45071.66666666667)</f>
        <v>45071.66667</v>
      </c>
      <c r="B829" s="5">
        <f>IFERROR(__xludf.DUMMYFUNCTION("""COMPUTED_VALUE"""),3050.0)</f>
        <v>3050</v>
      </c>
      <c r="C829" s="5">
        <f>IFERROR(__xludf.DUMMYFUNCTION("""COMPUTED_VALUE"""),3090.0)</f>
        <v>3090</v>
      </c>
      <c r="D829" s="5">
        <f>IFERROR(__xludf.DUMMYFUNCTION("""COMPUTED_VALUE"""),3010.0)</f>
        <v>3010</v>
      </c>
      <c r="E829" s="5">
        <f>IFERROR(__xludf.DUMMYFUNCTION("""COMPUTED_VALUE"""),3010.0)</f>
        <v>3010</v>
      </c>
      <c r="F829" s="5">
        <f>IFERROR(__xludf.DUMMYFUNCTION("""COMPUTED_VALUE"""),4.01491E7)</f>
        <v>40149100</v>
      </c>
      <c r="G829" s="5">
        <f t="shared" si="1"/>
        <v>100</v>
      </c>
    </row>
    <row r="830">
      <c r="A830" s="4">
        <f>IFERROR(__xludf.DUMMYFUNCTION("""COMPUTED_VALUE"""),45072.66666666667)</f>
        <v>45072.66667</v>
      </c>
      <c r="B830" s="5">
        <f>IFERROR(__xludf.DUMMYFUNCTION("""COMPUTED_VALUE"""),3000.0)</f>
        <v>3000</v>
      </c>
      <c r="C830" s="5">
        <f>IFERROR(__xludf.DUMMYFUNCTION("""COMPUTED_VALUE"""),3060.0)</f>
        <v>3060</v>
      </c>
      <c r="D830" s="5">
        <f>IFERROR(__xludf.DUMMYFUNCTION("""COMPUTED_VALUE"""),2930.0)</f>
        <v>2930</v>
      </c>
      <c r="E830" s="5">
        <f>IFERROR(__xludf.DUMMYFUNCTION("""COMPUTED_VALUE"""),2940.0)</f>
        <v>2940</v>
      </c>
      <c r="F830" s="5">
        <f>IFERROR(__xludf.DUMMYFUNCTION("""COMPUTED_VALUE"""),3.03212E7)</f>
        <v>30321200</v>
      </c>
      <c r="G830" s="5">
        <f t="shared" si="1"/>
        <v>130</v>
      </c>
    </row>
    <row r="831">
      <c r="A831" s="4">
        <f>IFERROR(__xludf.DUMMYFUNCTION("""COMPUTED_VALUE"""),45075.66666666667)</f>
        <v>45075.66667</v>
      </c>
      <c r="B831" s="5">
        <f>IFERROR(__xludf.DUMMYFUNCTION("""COMPUTED_VALUE"""),2980.0)</f>
        <v>2980</v>
      </c>
      <c r="C831" s="5">
        <f>IFERROR(__xludf.DUMMYFUNCTION("""COMPUTED_VALUE"""),2980.0)</f>
        <v>2980</v>
      </c>
      <c r="D831" s="5">
        <f>IFERROR(__xludf.DUMMYFUNCTION("""COMPUTED_VALUE"""),2840.0)</f>
        <v>2840</v>
      </c>
      <c r="E831" s="5">
        <f>IFERROR(__xludf.DUMMYFUNCTION("""COMPUTED_VALUE"""),2960.0)</f>
        <v>2960</v>
      </c>
      <c r="F831" s="5">
        <f>IFERROR(__xludf.DUMMYFUNCTION("""COMPUTED_VALUE"""),3.63538E7)</f>
        <v>36353800</v>
      </c>
      <c r="G831" s="5">
        <f t="shared" si="1"/>
        <v>140</v>
      </c>
    </row>
    <row r="832">
      <c r="A832" s="4">
        <f>IFERROR(__xludf.DUMMYFUNCTION("""COMPUTED_VALUE"""),45076.66666666667)</f>
        <v>45076.66667</v>
      </c>
      <c r="B832" s="5">
        <f>IFERROR(__xludf.DUMMYFUNCTION("""COMPUTED_VALUE"""),2960.0)</f>
        <v>2960</v>
      </c>
      <c r="C832" s="5">
        <f>IFERROR(__xludf.DUMMYFUNCTION("""COMPUTED_VALUE"""),3120.0)</f>
        <v>3120</v>
      </c>
      <c r="D832" s="5">
        <f>IFERROR(__xludf.DUMMYFUNCTION("""COMPUTED_VALUE"""),2930.0)</f>
        <v>2930</v>
      </c>
      <c r="E832" s="5">
        <f>IFERROR(__xludf.DUMMYFUNCTION("""COMPUTED_VALUE"""),3090.0)</f>
        <v>3090</v>
      </c>
      <c r="F832" s="5">
        <f>IFERROR(__xludf.DUMMYFUNCTION("""COMPUTED_VALUE"""),3.10656E7)</f>
        <v>31065600</v>
      </c>
      <c r="G832" s="5">
        <f t="shared" si="1"/>
        <v>190</v>
      </c>
    </row>
    <row r="833">
      <c r="A833" s="4">
        <f>IFERROR(__xludf.DUMMYFUNCTION("""COMPUTED_VALUE"""),45077.66666666667)</f>
        <v>45077.66667</v>
      </c>
      <c r="B833" s="5">
        <f>IFERROR(__xludf.DUMMYFUNCTION("""COMPUTED_VALUE"""),3040.0)</f>
        <v>3040</v>
      </c>
      <c r="C833" s="5">
        <f>IFERROR(__xludf.DUMMYFUNCTION("""COMPUTED_VALUE"""),3100.0)</f>
        <v>3100</v>
      </c>
      <c r="D833" s="5">
        <f>IFERROR(__xludf.DUMMYFUNCTION("""COMPUTED_VALUE"""),2990.0)</f>
        <v>2990</v>
      </c>
      <c r="E833" s="5">
        <f>IFERROR(__xludf.DUMMYFUNCTION("""COMPUTED_VALUE"""),3060.0)</f>
        <v>3060</v>
      </c>
      <c r="F833" s="5">
        <f>IFERROR(__xludf.DUMMYFUNCTION("""COMPUTED_VALUE"""),3.07294E7)</f>
        <v>30729400</v>
      </c>
      <c r="G833" s="5">
        <f t="shared" si="1"/>
        <v>110</v>
      </c>
    </row>
    <row r="834">
      <c r="A834" s="4">
        <f>IFERROR(__xludf.DUMMYFUNCTION("""COMPUTED_VALUE"""),45082.66666666667)</f>
        <v>45082.66667</v>
      </c>
      <c r="B834" s="5">
        <f>IFERROR(__xludf.DUMMYFUNCTION("""COMPUTED_VALUE"""),3090.0)</f>
        <v>3090</v>
      </c>
      <c r="C834" s="5">
        <f>IFERROR(__xludf.DUMMYFUNCTION("""COMPUTED_VALUE"""),3170.0)</f>
        <v>3170</v>
      </c>
      <c r="D834" s="5">
        <f>IFERROR(__xludf.DUMMYFUNCTION("""COMPUTED_VALUE"""),3080.0)</f>
        <v>3080</v>
      </c>
      <c r="E834" s="5">
        <f>IFERROR(__xludf.DUMMYFUNCTION("""COMPUTED_VALUE"""),3150.0)</f>
        <v>3150</v>
      </c>
      <c r="F834" s="5">
        <f>IFERROR(__xludf.DUMMYFUNCTION("""COMPUTED_VALUE"""),2.20839E7)</f>
        <v>22083900</v>
      </c>
      <c r="G834" s="5">
        <f t="shared" si="1"/>
        <v>110</v>
      </c>
    </row>
    <row r="835">
      <c r="A835" s="4">
        <f>IFERROR(__xludf.DUMMYFUNCTION("""COMPUTED_VALUE"""),45083.66666666667)</f>
        <v>45083.66667</v>
      </c>
      <c r="B835" s="5">
        <f>IFERROR(__xludf.DUMMYFUNCTION("""COMPUTED_VALUE"""),3240.0)</f>
        <v>3240</v>
      </c>
      <c r="C835" s="5">
        <f>IFERROR(__xludf.DUMMYFUNCTION("""COMPUTED_VALUE"""),3300.0)</f>
        <v>3300</v>
      </c>
      <c r="D835" s="5">
        <f>IFERROR(__xludf.DUMMYFUNCTION("""COMPUTED_VALUE"""),3200.0)</f>
        <v>3200</v>
      </c>
      <c r="E835" s="5">
        <f>IFERROR(__xludf.DUMMYFUNCTION("""COMPUTED_VALUE"""),3280.0)</f>
        <v>3280</v>
      </c>
      <c r="F835" s="5">
        <f>IFERROR(__xludf.DUMMYFUNCTION("""COMPUTED_VALUE"""),4.10698E7)</f>
        <v>41069800</v>
      </c>
      <c r="G835" s="5">
        <f t="shared" si="1"/>
        <v>150</v>
      </c>
    </row>
    <row r="836">
      <c r="A836" s="4">
        <f>IFERROR(__xludf.DUMMYFUNCTION("""COMPUTED_VALUE"""),45084.66666666667)</f>
        <v>45084.66667</v>
      </c>
      <c r="B836" s="5">
        <f>IFERROR(__xludf.DUMMYFUNCTION("""COMPUTED_VALUE"""),3260.0)</f>
        <v>3260</v>
      </c>
      <c r="C836" s="5">
        <f>IFERROR(__xludf.DUMMYFUNCTION("""COMPUTED_VALUE"""),3260.0)</f>
        <v>3260</v>
      </c>
      <c r="D836" s="5">
        <f>IFERROR(__xludf.DUMMYFUNCTION("""COMPUTED_VALUE"""),3170.0)</f>
        <v>3170</v>
      </c>
      <c r="E836" s="5">
        <f>IFERROR(__xludf.DUMMYFUNCTION("""COMPUTED_VALUE"""),3190.0)</f>
        <v>3190</v>
      </c>
      <c r="F836" s="5">
        <f>IFERROR(__xludf.DUMMYFUNCTION("""COMPUTED_VALUE"""),3.58339E7)</f>
        <v>35833900</v>
      </c>
      <c r="G836" s="5">
        <f t="shared" si="1"/>
        <v>110</v>
      </c>
    </row>
    <row r="837">
      <c r="A837" s="4">
        <f>IFERROR(__xludf.DUMMYFUNCTION("""COMPUTED_VALUE"""),45085.66666666667)</f>
        <v>45085.66667</v>
      </c>
      <c r="B837" s="5">
        <f>IFERROR(__xludf.DUMMYFUNCTION("""COMPUTED_VALUE"""),3230.0)</f>
        <v>3230</v>
      </c>
      <c r="C837" s="5">
        <f>IFERROR(__xludf.DUMMYFUNCTION("""COMPUTED_VALUE"""),3310.0)</f>
        <v>3310</v>
      </c>
      <c r="D837" s="5">
        <f>IFERROR(__xludf.DUMMYFUNCTION("""COMPUTED_VALUE"""),3210.0)</f>
        <v>3210</v>
      </c>
      <c r="E837" s="5">
        <f>IFERROR(__xludf.DUMMYFUNCTION("""COMPUTED_VALUE"""),3300.0)</f>
        <v>3300</v>
      </c>
      <c r="F837" s="5">
        <f>IFERROR(__xludf.DUMMYFUNCTION("""COMPUTED_VALUE"""),2.68533E7)</f>
        <v>26853300</v>
      </c>
      <c r="G837" s="5">
        <f t="shared" si="1"/>
        <v>120</v>
      </c>
    </row>
    <row r="838">
      <c r="A838" s="4">
        <f>IFERROR(__xludf.DUMMYFUNCTION("""COMPUTED_VALUE"""),45086.66666666667)</f>
        <v>45086.66667</v>
      </c>
      <c r="B838" s="5">
        <f>IFERROR(__xludf.DUMMYFUNCTION("""COMPUTED_VALUE"""),3320.0)</f>
        <v>3320</v>
      </c>
      <c r="C838" s="5">
        <f>IFERROR(__xludf.DUMMYFUNCTION("""COMPUTED_VALUE"""),3390.0)</f>
        <v>3390</v>
      </c>
      <c r="D838" s="5">
        <f>IFERROR(__xludf.DUMMYFUNCTION("""COMPUTED_VALUE"""),3270.0)</f>
        <v>3270</v>
      </c>
      <c r="E838" s="5">
        <f>IFERROR(__xludf.DUMMYFUNCTION("""COMPUTED_VALUE"""),3380.0)</f>
        <v>3380</v>
      </c>
      <c r="F838" s="5">
        <f>IFERROR(__xludf.DUMMYFUNCTION("""COMPUTED_VALUE"""),2.82425E7)</f>
        <v>28242500</v>
      </c>
      <c r="G838" s="5">
        <f t="shared" si="1"/>
        <v>120</v>
      </c>
    </row>
    <row r="839">
      <c r="A839" s="4">
        <f>IFERROR(__xludf.DUMMYFUNCTION("""COMPUTED_VALUE"""),45089.66666666667)</f>
        <v>45089.66667</v>
      </c>
      <c r="B839" s="5">
        <f>IFERROR(__xludf.DUMMYFUNCTION("""COMPUTED_VALUE"""),3390.0)</f>
        <v>3390</v>
      </c>
      <c r="C839" s="5">
        <f>IFERROR(__xludf.DUMMYFUNCTION("""COMPUTED_VALUE"""),3540.0)</f>
        <v>3540</v>
      </c>
      <c r="D839" s="5">
        <f>IFERROR(__xludf.DUMMYFUNCTION("""COMPUTED_VALUE"""),3390.0)</f>
        <v>3390</v>
      </c>
      <c r="E839" s="5">
        <f>IFERROR(__xludf.DUMMYFUNCTION("""COMPUTED_VALUE"""),3530.0)</f>
        <v>3530</v>
      </c>
      <c r="F839" s="5">
        <f>IFERROR(__xludf.DUMMYFUNCTION("""COMPUTED_VALUE"""),4.47337E7)</f>
        <v>44733700</v>
      </c>
      <c r="G839" s="5">
        <f t="shared" si="1"/>
        <v>160</v>
      </c>
    </row>
    <row r="840">
      <c r="A840" s="4">
        <f>IFERROR(__xludf.DUMMYFUNCTION("""COMPUTED_VALUE"""),45090.66666666667)</f>
        <v>45090.66667</v>
      </c>
      <c r="B840" s="5">
        <f>IFERROR(__xludf.DUMMYFUNCTION("""COMPUTED_VALUE"""),3520.0)</f>
        <v>3520</v>
      </c>
      <c r="C840" s="5">
        <f>IFERROR(__xludf.DUMMYFUNCTION("""COMPUTED_VALUE"""),3550.0)</f>
        <v>3550</v>
      </c>
      <c r="D840" s="5">
        <f>IFERROR(__xludf.DUMMYFUNCTION("""COMPUTED_VALUE"""),3460.0)</f>
        <v>3460</v>
      </c>
      <c r="E840" s="5">
        <f>IFERROR(__xludf.DUMMYFUNCTION("""COMPUTED_VALUE"""),3490.0)</f>
        <v>3490</v>
      </c>
      <c r="F840" s="5">
        <f>IFERROR(__xludf.DUMMYFUNCTION("""COMPUTED_VALUE"""),5.11908E7)</f>
        <v>51190800</v>
      </c>
      <c r="G840" s="5">
        <f t="shared" si="1"/>
        <v>90</v>
      </c>
    </row>
    <row r="841">
      <c r="A841" s="4">
        <f>IFERROR(__xludf.DUMMYFUNCTION("""COMPUTED_VALUE"""),45091.66666666667)</f>
        <v>45091.66667</v>
      </c>
      <c r="B841" s="5">
        <f>IFERROR(__xludf.DUMMYFUNCTION("""COMPUTED_VALUE"""),3510.0)</f>
        <v>3510</v>
      </c>
      <c r="C841" s="5">
        <f>IFERROR(__xludf.DUMMYFUNCTION("""COMPUTED_VALUE"""),3530.0)</f>
        <v>3530</v>
      </c>
      <c r="D841" s="5">
        <f>IFERROR(__xludf.DUMMYFUNCTION("""COMPUTED_VALUE"""),3440.0)</f>
        <v>3440</v>
      </c>
      <c r="E841" s="5">
        <f>IFERROR(__xludf.DUMMYFUNCTION("""COMPUTED_VALUE"""),3480.0)</f>
        <v>3480</v>
      </c>
      <c r="F841" s="5">
        <f>IFERROR(__xludf.DUMMYFUNCTION("""COMPUTED_VALUE"""),4.43442E7)</f>
        <v>44344200</v>
      </c>
      <c r="G841" s="5">
        <f t="shared" si="1"/>
        <v>90</v>
      </c>
    </row>
    <row r="842">
      <c r="A842" s="4">
        <f>IFERROR(__xludf.DUMMYFUNCTION("""COMPUTED_VALUE"""),45092.66666666667)</f>
        <v>45092.66667</v>
      </c>
      <c r="B842" s="5">
        <f>IFERROR(__xludf.DUMMYFUNCTION("""COMPUTED_VALUE"""),3490.0)</f>
        <v>3490</v>
      </c>
      <c r="C842" s="5">
        <f>IFERROR(__xludf.DUMMYFUNCTION("""COMPUTED_VALUE"""),3640.0)</f>
        <v>3640</v>
      </c>
      <c r="D842" s="5">
        <f>IFERROR(__xludf.DUMMYFUNCTION("""COMPUTED_VALUE"""),3460.0)</f>
        <v>3460</v>
      </c>
      <c r="E842" s="5">
        <f>IFERROR(__xludf.DUMMYFUNCTION("""COMPUTED_VALUE"""),3630.0)</f>
        <v>3630</v>
      </c>
      <c r="F842" s="5">
        <f>IFERROR(__xludf.DUMMYFUNCTION("""COMPUTED_VALUE"""),9.71547E7)</f>
        <v>97154700</v>
      </c>
      <c r="G842" s="5">
        <f t="shared" si="1"/>
        <v>180</v>
      </c>
    </row>
    <row r="843">
      <c r="A843" s="4">
        <f>IFERROR(__xludf.DUMMYFUNCTION("""COMPUTED_VALUE"""),45093.66666666667)</f>
        <v>45093.66667</v>
      </c>
      <c r="B843" s="5">
        <f>IFERROR(__xludf.DUMMYFUNCTION("""COMPUTED_VALUE"""),4000.0)</f>
        <v>4000</v>
      </c>
      <c r="C843" s="5">
        <f>IFERROR(__xludf.DUMMYFUNCTION("""COMPUTED_VALUE"""),4060.0)</f>
        <v>4060</v>
      </c>
      <c r="D843" s="5">
        <f>IFERROR(__xludf.DUMMYFUNCTION("""COMPUTED_VALUE"""),3820.0)</f>
        <v>3820</v>
      </c>
      <c r="E843" s="5">
        <f>IFERROR(__xludf.DUMMYFUNCTION("""COMPUTED_VALUE"""),3820.0)</f>
        <v>3820</v>
      </c>
      <c r="F843" s="5">
        <f>IFERROR(__xludf.DUMMYFUNCTION("""COMPUTED_VALUE"""),2.840149E8)</f>
        <v>284014900</v>
      </c>
      <c r="G843" s="5">
        <f t="shared" si="1"/>
        <v>430</v>
      </c>
    </row>
    <row r="844">
      <c r="A844" s="4">
        <f>IFERROR(__xludf.DUMMYFUNCTION("""COMPUTED_VALUE"""),45096.66666666667)</f>
        <v>45096.66667</v>
      </c>
      <c r="B844" s="5">
        <f>IFERROR(__xludf.DUMMYFUNCTION("""COMPUTED_VALUE"""),3820.0)</f>
        <v>3820</v>
      </c>
      <c r="C844" s="5">
        <f>IFERROR(__xludf.DUMMYFUNCTION("""COMPUTED_VALUE"""),3870.0)</f>
        <v>3870</v>
      </c>
      <c r="D844" s="5">
        <f>IFERROR(__xludf.DUMMYFUNCTION("""COMPUTED_VALUE"""),3770.0)</f>
        <v>3770</v>
      </c>
      <c r="E844" s="5">
        <f>IFERROR(__xludf.DUMMYFUNCTION("""COMPUTED_VALUE"""),3790.0)</f>
        <v>3790</v>
      </c>
      <c r="F844" s="5">
        <f>IFERROR(__xludf.DUMMYFUNCTION("""COMPUTED_VALUE"""),6.34499E7)</f>
        <v>63449900</v>
      </c>
      <c r="G844" s="5">
        <f t="shared" si="1"/>
        <v>100</v>
      </c>
    </row>
    <row r="845">
      <c r="A845" s="4">
        <f>IFERROR(__xludf.DUMMYFUNCTION("""COMPUTED_VALUE"""),45097.66666666667)</f>
        <v>45097.66667</v>
      </c>
      <c r="B845" s="5">
        <f>IFERROR(__xludf.DUMMYFUNCTION("""COMPUTED_VALUE"""),3810.0)</f>
        <v>3810</v>
      </c>
      <c r="C845" s="5">
        <f>IFERROR(__xludf.DUMMYFUNCTION("""COMPUTED_VALUE"""),3870.0)</f>
        <v>3870</v>
      </c>
      <c r="D845" s="5">
        <f>IFERROR(__xludf.DUMMYFUNCTION("""COMPUTED_VALUE"""),3810.0)</f>
        <v>3810</v>
      </c>
      <c r="E845" s="5">
        <f>IFERROR(__xludf.DUMMYFUNCTION("""COMPUTED_VALUE"""),3850.0)</f>
        <v>3850</v>
      </c>
      <c r="F845" s="5">
        <f>IFERROR(__xludf.DUMMYFUNCTION("""COMPUTED_VALUE"""),6.29613E7)</f>
        <v>62961300</v>
      </c>
      <c r="G845" s="5">
        <f t="shared" si="1"/>
        <v>80</v>
      </c>
    </row>
    <row r="846">
      <c r="A846" s="4">
        <f>IFERROR(__xludf.DUMMYFUNCTION("""COMPUTED_VALUE"""),45098.66666666667)</f>
        <v>45098.66667</v>
      </c>
      <c r="B846" s="5">
        <f>IFERROR(__xludf.DUMMYFUNCTION("""COMPUTED_VALUE"""),3870.0)</f>
        <v>3870</v>
      </c>
      <c r="C846" s="5">
        <f>IFERROR(__xludf.DUMMYFUNCTION("""COMPUTED_VALUE"""),3880.0)</f>
        <v>3880</v>
      </c>
      <c r="D846" s="5">
        <f>IFERROR(__xludf.DUMMYFUNCTION("""COMPUTED_VALUE"""),3840.0)</f>
        <v>3840</v>
      </c>
      <c r="E846" s="5">
        <f>IFERROR(__xludf.DUMMYFUNCTION("""COMPUTED_VALUE"""),3850.0)</f>
        <v>3850</v>
      </c>
      <c r="F846" s="5">
        <f>IFERROR(__xludf.DUMMYFUNCTION("""COMPUTED_VALUE"""),6.1158E7)</f>
        <v>61158000</v>
      </c>
      <c r="G846" s="5">
        <f t="shared" si="1"/>
        <v>40</v>
      </c>
    </row>
    <row r="847">
      <c r="A847" s="4">
        <f>IFERROR(__xludf.DUMMYFUNCTION("""COMPUTED_VALUE"""),45099.66666666667)</f>
        <v>45099.66667</v>
      </c>
      <c r="B847" s="5">
        <f>IFERROR(__xludf.DUMMYFUNCTION("""COMPUTED_VALUE"""),3850.0)</f>
        <v>3850</v>
      </c>
      <c r="C847" s="5">
        <f>IFERROR(__xludf.DUMMYFUNCTION("""COMPUTED_VALUE"""),3870.0)</f>
        <v>3870</v>
      </c>
      <c r="D847" s="5">
        <f>IFERROR(__xludf.DUMMYFUNCTION("""COMPUTED_VALUE"""),3750.0)</f>
        <v>3750</v>
      </c>
      <c r="E847" s="5">
        <f>IFERROR(__xludf.DUMMYFUNCTION("""COMPUTED_VALUE"""),3780.0)</f>
        <v>3780</v>
      </c>
      <c r="F847" s="5">
        <f>IFERROR(__xludf.DUMMYFUNCTION("""COMPUTED_VALUE"""),1.116523E8)</f>
        <v>111652300</v>
      </c>
      <c r="G847" s="5">
        <f t="shared" si="1"/>
        <v>120</v>
      </c>
    </row>
    <row r="848">
      <c r="A848" s="4">
        <f>IFERROR(__xludf.DUMMYFUNCTION("""COMPUTED_VALUE"""),45100.66666666667)</f>
        <v>45100.66667</v>
      </c>
      <c r="B848" s="5">
        <f>IFERROR(__xludf.DUMMYFUNCTION("""COMPUTED_VALUE"""),3780.0)</f>
        <v>3780</v>
      </c>
      <c r="C848" s="5">
        <f>IFERROR(__xludf.DUMMYFUNCTION("""COMPUTED_VALUE"""),3810.0)</f>
        <v>3810</v>
      </c>
      <c r="D848" s="5">
        <f>IFERROR(__xludf.DUMMYFUNCTION("""COMPUTED_VALUE"""),3680.0)</f>
        <v>3680</v>
      </c>
      <c r="E848" s="5">
        <f>IFERROR(__xludf.DUMMYFUNCTION("""COMPUTED_VALUE"""),3700.0)</f>
        <v>3700</v>
      </c>
      <c r="F848" s="5">
        <f>IFERROR(__xludf.DUMMYFUNCTION("""COMPUTED_VALUE"""),2.253475E8)</f>
        <v>225347500</v>
      </c>
      <c r="G848" s="5">
        <f t="shared" si="1"/>
        <v>130</v>
      </c>
    </row>
    <row r="849">
      <c r="A849" s="4">
        <f>IFERROR(__xludf.DUMMYFUNCTION("""COMPUTED_VALUE"""),45103.66666666667)</f>
        <v>45103.66667</v>
      </c>
      <c r="B849" s="5">
        <f>IFERROR(__xludf.DUMMYFUNCTION("""COMPUTED_VALUE"""),3150.0)</f>
        <v>3150</v>
      </c>
      <c r="C849" s="5">
        <f>IFERROR(__xludf.DUMMYFUNCTION("""COMPUTED_VALUE"""),3150.0)</f>
        <v>3150</v>
      </c>
      <c r="D849" s="5">
        <f>IFERROR(__xludf.DUMMYFUNCTION("""COMPUTED_VALUE"""),3150.0)</f>
        <v>3150</v>
      </c>
      <c r="E849" s="5">
        <f>IFERROR(__xludf.DUMMYFUNCTION("""COMPUTED_VALUE"""),3150.0)</f>
        <v>3150</v>
      </c>
      <c r="F849" s="5">
        <f>IFERROR(__xludf.DUMMYFUNCTION("""COMPUTED_VALUE"""),4857300.0)</f>
        <v>4857300</v>
      </c>
      <c r="G849" s="5">
        <f t="shared" si="1"/>
        <v>550</v>
      </c>
    </row>
    <row r="850">
      <c r="A850" s="4">
        <f>IFERROR(__xludf.DUMMYFUNCTION("""COMPUTED_VALUE"""),45104.66666666667)</f>
        <v>45104.66667</v>
      </c>
      <c r="B850" s="5">
        <f>IFERROR(__xludf.DUMMYFUNCTION("""COMPUTED_VALUE"""),2680.0)</f>
        <v>2680</v>
      </c>
      <c r="C850" s="5">
        <f>IFERROR(__xludf.DUMMYFUNCTION("""COMPUTED_VALUE"""),2680.0)</f>
        <v>2680</v>
      </c>
      <c r="D850" s="5">
        <f>IFERROR(__xludf.DUMMYFUNCTION("""COMPUTED_VALUE"""),2680.0)</f>
        <v>2680</v>
      </c>
      <c r="E850" s="5">
        <f>IFERROR(__xludf.DUMMYFUNCTION("""COMPUTED_VALUE"""),2680.0)</f>
        <v>2680</v>
      </c>
      <c r="F850" s="5">
        <f>IFERROR(__xludf.DUMMYFUNCTION("""COMPUTED_VALUE"""),6.41681E7)</f>
        <v>64168100</v>
      </c>
      <c r="G850" s="5">
        <f t="shared" si="1"/>
        <v>470</v>
      </c>
    </row>
    <row r="851">
      <c r="A851" s="4">
        <f>IFERROR(__xludf.DUMMYFUNCTION("""COMPUTED_VALUE"""),45110.66666666667)</f>
        <v>45110.66667</v>
      </c>
      <c r="B851" s="5">
        <f>IFERROR(__xludf.DUMMYFUNCTION("""COMPUTED_VALUE"""),2670.0)</f>
        <v>2670</v>
      </c>
      <c r="C851" s="5">
        <f>IFERROR(__xludf.DUMMYFUNCTION("""COMPUTED_VALUE"""),2750.0)</f>
        <v>2750</v>
      </c>
      <c r="D851" s="5">
        <f>IFERROR(__xludf.DUMMYFUNCTION("""COMPUTED_VALUE"""),2660.0)</f>
        <v>2660</v>
      </c>
      <c r="E851" s="5">
        <f>IFERROR(__xludf.DUMMYFUNCTION("""COMPUTED_VALUE"""),2720.0)</f>
        <v>2720</v>
      </c>
      <c r="F851" s="5">
        <f>IFERROR(__xludf.DUMMYFUNCTION("""COMPUTED_VALUE"""),1.16625E8)</f>
        <v>116625000</v>
      </c>
      <c r="G851" s="5">
        <f t="shared" si="1"/>
        <v>90</v>
      </c>
    </row>
    <row r="852">
      <c r="A852" s="4">
        <f>IFERROR(__xludf.DUMMYFUNCTION("""COMPUTED_VALUE"""),45111.66666666667)</f>
        <v>45111.66667</v>
      </c>
      <c r="B852" s="5">
        <f>IFERROR(__xludf.DUMMYFUNCTION("""COMPUTED_VALUE"""),2730.0)</f>
        <v>2730</v>
      </c>
      <c r="C852" s="5">
        <f>IFERROR(__xludf.DUMMYFUNCTION("""COMPUTED_VALUE"""),2750.0)</f>
        <v>2750</v>
      </c>
      <c r="D852" s="5">
        <f>IFERROR(__xludf.DUMMYFUNCTION("""COMPUTED_VALUE"""),2720.0)</f>
        <v>2720</v>
      </c>
      <c r="E852" s="5">
        <f>IFERROR(__xludf.DUMMYFUNCTION("""COMPUTED_VALUE"""),2730.0)</f>
        <v>2730</v>
      </c>
      <c r="F852" s="5">
        <f>IFERROR(__xludf.DUMMYFUNCTION("""COMPUTED_VALUE"""),3.39082E7)</f>
        <v>33908200</v>
      </c>
      <c r="G852" s="5">
        <f t="shared" si="1"/>
        <v>30</v>
      </c>
    </row>
    <row r="853">
      <c r="A853" s="4">
        <f>IFERROR(__xludf.DUMMYFUNCTION("""COMPUTED_VALUE"""),45112.66666666667)</f>
        <v>45112.66667</v>
      </c>
      <c r="B853" s="5">
        <f>IFERROR(__xludf.DUMMYFUNCTION("""COMPUTED_VALUE"""),2740.0)</f>
        <v>2740</v>
      </c>
      <c r="C853" s="5">
        <f>IFERROR(__xludf.DUMMYFUNCTION("""COMPUTED_VALUE"""),2810.0)</f>
        <v>2810</v>
      </c>
      <c r="D853" s="5">
        <f>IFERROR(__xludf.DUMMYFUNCTION("""COMPUTED_VALUE"""),2740.0)</f>
        <v>2740</v>
      </c>
      <c r="E853" s="5">
        <f>IFERROR(__xludf.DUMMYFUNCTION("""COMPUTED_VALUE"""),2780.0)</f>
        <v>2780</v>
      </c>
      <c r="F853" s="5">
        <f>IFERROR(__xludf.DUMMYFUNCTION("""COMPUTED_VALUE"""),4.70964E7)</f>
        <v>47096400</v>
      </c>
      <c r="G853" s="5">
        <f t="shared" si="1"/>
        <v>80</v>
      </c>
    </row>
    <row r="854">
      <c r="A854" s="4">
        <f>IFERROR(__xludf.DUMMYFUNCTION("""COMPUTED_VALUE"""),45113.66666666667)</f>
        <v>45113.66667</v>
      </c>
      <c r="B854" s="5">
        <f>IFERROR(__xludf.DUMMYFUNCTION("""COMPUTED_VALUE"""),2790.0)</f>
        <v>2790</v>
      </c>
      <c r="C854" s="5">
        <f>IFERROR(__xludf.DUMMYFUNCTION("""COMPUTED_VALUE"""),2830.0)</f>
        <v>2830</v>
      </c>
      <c r="D854" s="5">
        <f>IFERROR(__xludf.DUMMYFUNCTION("""COMPUTED_VALUE"""),2790.0)</f>
        <v>2790</v>
      </c>
      <c r="E854" s="5">
        <f>IFERROR(__xludf.DUMMYFUNCTION("""COMPUTED_VALUE"""),2810.0)</f>
        <v>2810</v>
      </c>
      <c r="F854" s="5">
        <f>IFERROR(__xludf.DUMMYFUNCTION("""COMPUTED_VALUE"""),3.37252E7)</f>
        <v>33725200</v>
      </c>
      <c r="G854" s="5">
        <f t="shared" si="1"/>
        <v>50</v>
      </c>
    </row>
    <row r="855">
      <c r="A855" s="4">
        <f>IFERROR(__xludf.DUMMYFUNCTION("""COMPUTED_VALUE"""),45114.66666666667)</f>
        <v>45114.66667</v>
      </c>
      <c r="B855" s="5">
        <f>IFERROR(__xludf.DUMMYFUNCTION("""COMPUTED_VALUE"""),2800.0)</f>
        <v>2800</v>
      </c>
      <c r="C855" s="5">
        <f>IFERROR(__xludf.DUMMYFUNCTION("""COMPUTED_VALUE"""),2800.0)</f>
        <v>2800</v>
      </c>
      <c r="D855" s="5">
        <f>IFERROR(__xludf.DUMMYFUNCTION("""COMPUTED_VALUE"""),2760.0)</f>
        <v>2760</v>
      </c>
      <c r="E855" s="5">
        <f>IFERROR(__xludf.DUMMYFUNCTION("""COMPUTED_VALUE"""),2770.0)</f>
        <v>2770</v>
      </c>
      <c r="F855" s="5">
        <f>IFERROR(__xludf.DUMMYFUNCTION("""COMPUTED_VALUE"""),2.68536E7)</f>
        <v>26853600</v>
      </c>
      <c r="G855" s="5">
        <f t="shared" si="1"/>
        <v>50</v>
      </c>
    </row>
    <row r="856">
      <c r="A856" s="4">
        <f>IFERROR(__xludf.DUMMYFUNCTION("""COMPUTED_VALUE"""),45117.66666666667)</f>
        <v>45117.66667</v>
      </c>
      <c r="B856" s="5">
        <f>IFERROR(__xludf.DUMMYFUNCTION("""COMPUTED_VALUE"""),2770.0)</f>
        <v>2770</v>
      </c>
      <c r="C856" s="5">
        <f>IFERROR(__xludf.DUMMYFUNCTION("""COMPUTED_VALUE"""),2800.0)</f>
        <v>2800</v>
      </c>
      <c r="D856" s="5">
        <f>IFERROR(__xludf.DUMMYFUNCTION("""COMPUTED_VALUE"""),2770.0)</f>
        <v>2770</v>
      </c>
      <c r="E856" s="5">
        <f>IFERROR(__xludf.DUMMYFUNCTION("""COMPUTED_VALUE"""),2780.0)</f>
        <v>2780</v>
      </c>
      <c r="F856" s="5">
        <f>IFERROR(__xludf.DUMMYFUNCTION("""COMPUTED_VALUE"""),2.02344E7)</f>
        <v>20234400</v>
      </c>
      <c r="G856" s="5">
        <f t="shared" si="1"/>
        <v>30</v>
      </c>
    </row>
    <row r="857">
      <c r="A857" s="4">
        <f>IFERROR(__xludf.DUMMYFUNCTION("""COMPUTED_VALUE"""),45118.66666666667)</f>
        <v>45118.66667</v>
      </c>
      <c r="B857" s="5">
        <f>IFERROR(__xludf.DUMMYFUNCTION("""COMPUTED_VALUE"""),2770.0)</f>
        <v>2770</v>
      </c>
      <c r="C857" s="5">
        <f>IFERROR(__xludf.DUMMYFUNCTION("""COMPUTED_VALUE"""),2770.0)</f>
        <v>2770</v>
      </c>
      <c r="D857" s="5">
        <f>IFERROR(__xludf.DUMMYFUNCTION("""COMPUTED_VALUE"""),2730.0)</f>
        <v>2730</v>
      </c>
      <c r="E857" s="5">
        <f>IFERROR(__xludf.DUMMYFUNCTION("""COMPUTED_VALUE"""),2760.0)</f>
        <v>2760</v>
      </c>
      <c r="F857" s="5">
        <f>IFERROR(__xludf.DUMMYFUNCTION("""COMPUTED_VALUE"""),2.42862E7)</f>
        <v>24286200</v>
      </c>
      <c r="G857" s="5">
        <f t="shared" si="1"/>
        <v>50</v>
      </c>
    </row>
    <row r="858">
      <c r="A858" s="4">
        <f>IFERROR(__xludf.DUMMYFUNCTION("""COMPUTED_VALUE"""),45119.66666666667)</f>
        <v>45119.66667</v>
      </c>
      <c r="B858" s="5">
        <f>IFERROR(__xludf.DUMMYFUNCTION("""COMPUTED_VALUE"""),2760.0)</f>
        <v>2760</v>
      </c>
      <c r="C858" s="5">
        <f>IFERROR(__xludf.DUMMYFUNCTION("""COMPUTED_VALUE"""),2760.0)</f>
        <v>2760</v>
      </c>
      <c r="D858" s="5">
        <f>IFERROR(__xludf.DUMMYFUNCTION("""COMPUTED_VALUE"""),2730.0)</f>
        <v>2730</v>
      </c>
      <c r="E858" s="5">
        <f>IFERROR(__xludf.DUMMYFUNCTION("""COMPUTED_VALUE"""),2730.0)</f>
        <v>2730</v>
      </c>
      <c r="F858" s="5">
        <f>IFERROR(__xludf.DUMMYFUNCTION("""COMPUTED_VALUE"""),2.64308E7)</f>
        <v>26430800</v>
      </c>
      <c r="G858" s="5">
        <f t="shared" si="1"/>
        <v>30</v>
      </c>
    </row>
    <row r="859">
      <c r="A859" s="4">
        <f>IFERROR(__xludf.DUMMYFUNCTION("""COMPUTED_VALUE"""),45120.66666666667)</f>
        <v>45120.66667</v>
      </c>
      <c r="B859" s="5">
        <f>IFERROR(__xludf.DUMMYFUNCTION("""COMPUTED_VALUE"""),2720.0)</f>
        <v>2720</v>
      </c>
      <c r="C859" s="5">
        <f>IFERROR(__xludf.DUMMYFUNCTION("""COMPUTED_VALUE"""),2740.0)</f>
        <v>2740</v>
      </c>
      <c r="D859" s="5">
        <f>IFERROR(__xludf.DUMMYFUNCTION("""COMPUTED_VALUE"""),2710.0)</f>
        <v>2710</v>
      </c>
      <c r="E859" s="5">
        <f>IFERROR(__xludf.DUMMYFUNCTION("""COMPUTED_VALUE"""),2740.0)</f>
        <v>2740</v>
      </c>
      <c r="F859" s="5">
        <f>IFERROR(__xludf.DUMMYFUNCTION("""COMPUTED_VALUE"""),1.69243E7)</f>
        <v>16924300</v>
      </c>
      <c r="G859" s="5">
        <f t="shared" si="1"/>
        <v>30</v>
      </c>
    </row>
    <row r="860">
      <c r="A860" s="4">
        <f>IFERROR(__xludf.DUMMYFUNCTION("""COMPUTED_VALUE"""),45121.66666666667)</f>
        <v>45121.66667</v>
      </c>
      <c r="B860" s="5">
        <f>IFERROR(__xludf.DUMMYFUNCTION("""COMPUTED_VALUE"""),2740.0)</f>
        <v>2740</v>
      </c>
      <c r="C860" s="5">
        <f>IFERROR(__xludf.DUMMYFUNCTION("""COMPUTED_VALUE"""),2790.0)</f>
        <v>2790</v>
      </c>
      <c r="D860" s="5">
        <f>IFERROR(__xludf.DUMMYFUNCTION("""COMPUTED_VALUE"""),2740.0)</f>
        <v>2740</v>
      </c>
      <c r="E860" s="5">
        <f>IFERROR(__xludf.DUMMYFUNCTION("""COMPUTED_VALUE"""),2770.0)</f>
        <v>2770</v>
      </c>
      <c r="F860" s="5">
        <f>IFERROR(__xludf.DUMMYFUNCTION("""COMPUTED_VALUE"""),2.28418E7)</f>
        <v>22841800</v>
      </c>
      <c r="G860" s="5">
        <f t="shared" si="1"/>
        <v>50</v>
      </c>
    </row>
    <row r="861">
      <c r="A861" s="4">
        <f>IFERROR(__xludf.DUMMYFUNCTION("""COMPUTED_VALUE"""),45124.66666666667)</f>
        <v>45124.66667</v>
      </c>
      <c r="B861" s="5">
        <f>IFERROR(__xludf.DUMMYFUNCTION("""COMPUTED_VALUE"""),2790.0)</f>
        <v>2790</v>
      </c>
      <c r="C861" s="5">
        <f>IFERROR(__xludf.DUMMYFUNCTION("""COMPUTED_VALUE"""),2810.0)</f>
        <v>2810</v>
      </c>
      <c r="D861" s="5">
        <f>IFERROR(__xludf.DUMMYFUNCTION("""COMPUTED_VALUE"""),2780.0)</f>
        <v>2780</v>
      </c>
      <c r="E861" s="5">
        <f>IFERROR(__xludf.DUMMYFUNCTION("""COMPUTED_VALUE"""),2790.0)</f>
        <v>2790</v>
      </c>
      <c r="F861" s="5">
        <f>IFERROR(__xludf.DUMMYFUNCTION("""COMPUTED_VALUE"""),2.09665E7)</f>
        <v>20966500</v>
      </c>
      <c r="G861" s="5">
        <f t="shared" si="1"/>
        <v>40</v>
      </c>
    </row>
    <row r="862">
      <c r="A862" s="4">
        <f>IFERROR(__xludf.DUMMYFUNCTION("""COMPUTED_VALUE"""),45125.66666666667)</f>
        <v>45125.66667</v>
      </c>
      <c r="B862" s="5">
        <f>IFERROR(__xludf.DUMMYFUNCTION("""COMPUTED_VALUE"""),2790.0)</f>
        <v>2790</v>
      </c>
      <c r="C862" s="5">
        <f>IFERROR(__xludf.DUMMYFUNCTION("""COMPUTED_VALUE"""),2800.0)</f>
        <v>2800</v>
      </c>
      <c r="D862" s="5">
        <f>IFERROR(__xludf.DUMMYFUNCTION("""COMPUTED_VALUE"""),2750.0)</f>
        <v>2750</v>
      </c>
      <c r="E862" s="5">
        <f>IFERROR(__xludf.DUMMYFUNCTION("""COMPUTED_VALUE"""),2750.0)</f>
        <v>2750</v>
      </c>
      <c r="F862" s="5">
        <f>IFERROR(__xludf.DUMMYFUNCTION("""COMPUTED_VALUE"""),1.72287E7)</f>
        <v>17228700</v>
      </c>
      <c r="G862" s="5">
        <f t="shared" si="1"/>
        <v>50</v>
      </c>
    </row>
    <row r="863">
      <c r="A863" s="4">
        <f>IFERROR(__xludf.DUMMYFUNCTION("""COMPUTED_VALUE"""),45127.66666666667)</f>
        <v>45127.66667</v>
      </c>
      <c r="B863" s="5">
        <f>IFERROR(__xludf.DUMMYFUNCTION("""COMPUTED_VALUE"""),2770.0)</f>
        <v>2770</v>
      </c>
      <c r="C863" s="5">
        <f>IFERROR(__xludf.DUMMYFUNCTION("""COMPUTED_VALUE"""),2790.0)</f>
        <v>2790</v>
      </c>
      <c r="D863" s="5">
        <f>IFERROR(__xludf.DUMMYFUNCTION("""COMPUTED_VALUE"""),2760.0)</f>
        <v>2760</v>
      </c>
      <c r="E863" s="5">
        <f>IFERROR(__xludf.DUMMYFUNCTION("""COMPUTED_VALUE"""),2770.0)</f>
        <v>2770</v>
      </c>
      <c r="F863" s="5">
        <f>IFERROR(__xludf.DUMMYFUNCTION("""COMPUTED_VALUE"""),9100600.0)</f>
        <v>9100600</v>
      </c>
      <c r="G863" s="5">
        <f t="shared" si="1"/>
        <v>40</v>
      </c>
    </row>
    <row r="864">
      <c r="A864" s="4">
        <f>IFERROR(__xludf.DUMMYFUNCTION("""COMPUTED_VALUE"""),45128.66666666667)</f>
        <v>45128.66667</v>
      </c>
      <c r="B864" s="5">
        <f>IFERROR(__xludf.DUMMYFUNCTION("""COMPUTED_VALUE"""),2780.0)</f>
        <v>2780</v>
      </c>
      <c r="C864" s="5">
        <f>IFERROR(__xludf.DUMMYFUNCTION("""COMPUTED_VALUE"""),2800.0)</f>
        <v>2800</v>
      </c>
      <c r="D864" s="5">
        <f>IFERROR(__xludf.DUMMYFUNCTION("""COMPUTED_VALUE"""),2770.0)</f>
        <v>2770</v>
      </c>
      <c r="E864" s="5">
        <f>IFERROR(__xludf.DUMMYFUNCTION("""COMPUTED_VALUE"""),2790.0)</f>
        <v>2790</v>
      </c>
      <c r="F864" s="5">
        <f>IFERROR(__xludf.DUMMYFUNCTION("""COMPUTED_VALUE"""),1.60078E7)</f>
        <v>16007800</v>
      </c>
      <c r="G864" s="5">
        <f t="shared" si="1"/>
        <v>30</v>
      </c>
    </row>
    <row r="865">
      <c r="A865" s="4">
        <f>IFERROR(__xludf.DUMMYFUNCTION("""COMPUTED_VALUE"""),45131.66666666667)</f>
        <v>45131.66667</v>
      </c>
      <c r="B865" s="5">
        <f>IFERROR(__xludf.DUMMYFUNCTION("""COMPUTED_VALUE"""),2820.0)</f>
        <v>2820</v>
      </c>
      <c r="C865" s="5">
        <f>IFERROR(__xludf.DUMMYFUNCTION("""COMPUTED_VALUE"""),2880.0)</f>
        <v>2880</v>
      </c>
      <c r="D865" s="5">
        <f>IFERROR(__xludf.DUMMYFUNCTION("""COMPUTED_VALUE"""),2800.0)</f>
        <v>2800</v>
      </c>
      <c r="E865" s="5">
        <f>IFERROR(__xludf.DUMMYFUNCTION("""COMPUTED_VALUE"""),2880.0)</f>
        <v>2880</v>
      </c>
      <c r="F865" s="5">
        <f>IFERROR(__xludf.DUMMYFUNCTION("""COMPUTED_VALUE"""),5.20066E7)</f>
        <v>52006600</v>
      </c>
      <c r="G865" s="5">
        <f t="shared" si="1"/>
        <v>90</v>
      </c>
    </row>
    <row r="866">
      <c r="A866" s="4">
        <f>IFERROR(__xludf.DUMMYFUNCTION("""COMPUTED_VALUE"""),45132.66666666667)</f>
        <v>45132.66667</v>
      </c>
      <c r="B866" s="5">
        <f>IFERROR(__xludf.DUMMYFUNCTION("""COMPUTED_VALUE"""),2890.0)</f>
        <v>2890</v>
      </c>
      <c r="C866" s="5">
        <f>IFERROR(__xludf.DUMMYFUNCTION("""COMPUTED_VALUE"""),2910.0)</f>
        <v>2910</v>
      </c>
      <c r="D866" s="5">
        <f>IFERROR(__xludf.DUMMYFUNCTION("""COMPUTED_VALUE"""),2840.0)</f>
        <v>2840</v>
      </c>
      <c r="E866" s="5">
        <f>IFERROR(__xludf.DUMMYFUNCTION("""COMPUTED_VALUE"""),2850.0)</f>
        <v>2850</v>
      </c>
      <c r="F866" s="5">
        <f>IFERROR(__xludf.DUMMYFUNCTION("""COMPUTED_VALUE"""),5.16917E7)</f>
        <v>51691700</v>
      </c>
      <c r="G866" s="5">
        <f t="shared" si="1"/>
        <v>70</v>
      </c>
    </row>
    <row r="867">
      <c r="A867" s="4">
        <f>IFERROR(__xludf.DUMMYFUNCTION("""COMPUTED_VALUE"""),45133.66666666667)</f>
        <v>45133.66667</v>
      </c>
      <c r="B867" s="5">
        <f>IFERROR(__xludf.DUMMYFUNCTION("""COMPUTED_VALUE"""),2860.0)</f>
        <v>2860</v>
      </c>
      <c r="C867" s="5">
        <f>IFERROR(__xludf.DUMMYFUNCTION("""COMPUTED_VALUE"""),2890.0)</f>
        <v>2890</v>
      </c>
      <c r="D867" s="5">
        <f>IFERROR(__xludf.DUMMYFUNCTION("""COMPUTED_VALUE"""),2850.0)</f>
        <v>2850</v>
      </c>
      <c r="E867" s="5">
        <f>IFERROR(__xludf.DUMMYFUNCTION("""COMPUTED_VALUE"""),2880.0)</f>
        <v>2880</v>
      </c>
      <c r="F867" s="5">
        <f>IFERROR(__xludf.DUMMYFUNCTION("""COMPUTED_VALUE"""),2.59358E7)</f>
        <v>25935800</v>
      </c>
      <c r="G867" s="5">
        <f t="shared" si="1"/>
        <v>40</v>
      </c>
    </row>
    <row r="868">
      <c r="A868" s="4">
        <f>IFERROR(__xludf.DUMMYFUNCTION("""COMPUTED_VALUE"""),45134.66666666667)</f>
        <v>45134.66667</v>
      </c>
      <c r="B868" s="5">
        <f>IFERROR(__xludf.DUMMYFUNCTION("""COMPUTED_VALUE"""),2880.0)</f>
        <v>2880</v>
      </c>
      <c r="C868" s="5">
        <f>IFERROR(__xludf.DUMMYFUNCTION("""COMPUTED_VALUE"""),2880.0)</f>
        <v>2880</v>
      </c>
      <c r="D868" s="5">
        <f>IFERROR(__xludf.DUMMYFUNCTION("""COMPUTED_VALUE"""),2830.0)</f>
        <v>2830</v>
      </c>
      <c r="E868" s="5">
        <f>IFERROR(__xludf.DUMMYFUNCTION("""COMPUTED_VALUE"""),2830.0)</f>
        <v>2830</v>
      </c>
      <c r="F868" s="5">
        <f>IFERROR(__xludf.DUMMYFUNCTION("""COMPUTED_VALUE"""),1.98288E7)</f>
        <v>19828800</v>
      </c>
      <c r="G868" s="5">
        <f t="shared" si="1"/>
        <v>50</v>
      </c>
    </row>
    <row r="869">
      <c r="A869" s="4">
        <f>IFERROR(__xludf.DUMMYFUNCTION("""COMPUTED_VALUE"""),45135.66666666667)</f>
        <v>45135.66667</v>
      </c>
      <c r="B869" s="5">
        <f>IFERROR(__xludf.DUMMYFUNCTION("""COMPUTED_VALUE"""),2820.0)</f>
        <v>2820</v>
      </c>
      <c r="C869" s="5">
        <f>IFERROR(__xludf.DUMMYFUNCTION("""COMPUTED_VALUE"""),2820.0)</f>
        <v>2820</v>
      </c>
      <c r="D869" s="5">
        <f>IFERROR(__xludf.DUMMYFUNCTION("""COMPUTED_VALUE"""),2760.0)</f>
        <v>2760</v>
      </c>
      <c r="E869" s="5">
        <f>IFERROR(__xludf.DUMMYFUNCTION("""COMPUTED_VALUE"""),2800.0)</f>
        <v>2800</v>
      </c>
      <c r="F869" s="5">
        <f>IFERROR(__xludf.DUMMYFUNCTION("""COMPUTED_VALUE"""),1.54069E7)</f>
        <v>15406900</v>
      </c>
      <c r="G869" s="5">
        <f t="shared" si="1"/>
        <v>70</v>
      </c>
    </row>
    <row r="870">
      <c r="A870" s="4">
        <f>IFERROR(__xludf.DUMMYFUNCTION("""COMPUTED_VALUE"""),45138.66666666667)</f>
        <v>45138.66667</v>
      </c>
      <c r="B870" s="5">
        <f>IFERROR(__xludf.DUMMYFUNCTION("""COMPUTED_VALUE"""),2790.0)</f>
        <v>2790</v>
      </c>
      <c r="C870" s="5">
        <f>IFERROR(__xludf.DUMMYFUNCTION("""COMPUTED_VALUE"""),2820.0)</f>
        <v>2820</v>
      </c>
      <c r="D870" s="5">
        <f>IFERROR(__xludf.DUMMYFUNCTION("""COMPUTED_VALUE"""),2760.0)</f>
        <v>2760</v>
      </c>
      <c r="E870" s="5">
        <f>IFERROR(__xludf.DUMMYFUNCTION("""COMPUTED_VALUE"""),2770.0)</f>
        <v>2770</v>
      </c>
      <c r="F870" s="5">
        <f>IFERROR(__xludf.DUMMYFUNCTION("""COMPUTED_VALUE"""),2.52516E7)</f>
        <v>25251600</v>
      </c>
      <c r="G870" s="5">
        <f t="shared" si="1"/>
        <v>60</v>
      </c>
    </row>
    <row r="871">
      <c r="A871" s="4">
        <f>IFERROR(__xludf.DUMMYFUNCTION("""COMPUTED_VALUE"""),45139.66666666667)</f>
        <v>45139.66667</v>
      </c>
      <c r="B871" s="5">
        <f>IFERROR(__xludf.DUMMYFUNCTION("""COMPUTED_VALUE"""),2770.0)</f>
        <v>2770</v>
      </c>
      <c r="C871" s="5">
        <f>IFERROR(__xludf.DUMMYFUNCTION("""COMPUTED_VALUE"""),2790.0)</f>
        <v>2790</v>
      </c>
      <c r="D871" s="5">
        <f>IFERROR(__xludf.DUMMYFUNCTION("""COMPUTED_VALUE"""),2730.0)</f>
        <v>2730</v>
      </c>
      <c r="E871" s="5">
        <f>IFERROR(__xludf.DUMMYFUNCTION("""COMPUTED_VALUE"""),2730.0)</f>
        <v>2730</v>
      </c>
      <c r="F871" s="5">
        <f>IFERROR(__xludf.DUMMYFUNCTION("""COMPUTED_VALUE"""),2.32709E7)</f>
        <v>23270900</v>
      </c>
      <c r="G871" s="5">
        <f t="shared" si="1"/>
        <v>60</v>
      </c>
    </row>
    <row r="872">
      <c r="A872" s="4">
        <f>IFERROR(__xludf.DUMMYFUNCTION("""COMPUTED_VALUE"""),45140.66666666667)</f>
        <v>45140.66667</v>
      </c>
      <c r="B872" s="5">
        <f>IFERROR(__xludf.DUMMYFUNCTION("""COMPUTED_VALUE"""),2730.0)</f>
        <v>2730</v>
      </c>
      <c r="C872" s="5">
        <f>IFERROR(__xludf.DUMMYFUNCTION("""COMPUTED_VALUE"""),2760.0)</f>
        <v>2760</v>
      </c>
      <c r="D872" s="5">
        <f>IFERROR(__xludf.DUMMYFUNCTION("""COMPUTED_VALUE"""),2720.0)</f>
        <v>2720</v>
      </c>
      <c r="E872" s="5">
        <f>IFERROR(__xludf.DUMMYFUNCTION("""COMPUTED_VALUE"""),2740.0)</f>
        <v>2740</v>
      </c>
      <c r="F872" s="5">
        <f>IFERROR(__xludf.DUMMYFUNCTION("""COMPUTED_VALUE"""),1.34981E7)</f>
        <v>13498100</v>
      </c>
      <c r="G872" s="5">
        <f t="shared" si="1"/>
        <v>40</v>
      </c>
    </row>
    <row r="873">
      <c r="A873" s="4">
        <f>IFERROR(__xludf.DUMMYFUNCTION("""COMPUTED_VALUE"""),45141.66666666667)</f>
        <v>45141.66667</v>
      </c>
      <c r="B873" s="5">
        <f>IFERROR(__xludf.DUMMYFUNCTION("""COMPUTED_VALUE"""),2740.0)</f>
        <v>2740</v>
      </c>
      <c r="C873" s="5">
        <f>IFERROR(__xludf.DUMMYFUNCTION("""COMPUTED_VALUE"""),2760.0)</f>
        <v>2760</v>
      </c>
      <c r="D873" s="5">
        <f>IFERROR(__xludf.DUMMYFUNCTION("""COMPUTED_VALUE"""),2730.0)</f>
        <v>2730</v>
      </c>
      <c r="E873" s="5">
        <f>IFERROR(__xludf.DUMMYFUNCTION("""COMPUTED_VALUE"""),2740.0)</f>
        <v>2740</v>
      </c>
      <c r="F873" s="5">
        <f>IFERROR(__xludf.DUMMYFUNCTION("""COMPUTED_VALUE"""),8719400.0)</f>
        <v>8719400</v>
      </c>
      <c r="G873" s="5">
        <f t="shared" si="1"/>
        <v>30</v>
      </c>
    </row>
    <row r="874">
      <c r="A874" s="4">
        <f>IFERROR(__xludf.DUMMYFUNCTION("""COMPUTED_VALUE"""),45142.66666666667)</f>
        <v>45142.66667</v>
      </c>
      <c r="B874" s="5">
        <f>IFERROR(__xludf.DUMMYFUNCTION("""COMPUTED_VALUE"""),2760.0)</f>
        <v>2760</v>
      </c>
      <c r="C874" s="5">
        <f>IFERROR(__xludf.DUMMYFUNCTION("""COMPUTED_VALUE"""),2810.0)</f>
        <v>2810</v>
      </c>
      <c r="D874" s="5">
        <f>IFERROR(__xludf.DUMMYFUNCTION("""COMPUTED_VALUE"""),2760.0)</f>
        <v>2760</v>
      </c>
      <c r="E874" s="5">
        <f>IFERROR(__xludf.DUMMYFUNCTION("""COMPUTED_VALUE"""),2780.0)</f>
        <v>2780</v>
      </c>
      <c r="F874" s="5">
        <f>IFERROR(__xludf.DUMMYFUNCTION("""COMPUTED_VALUE"""),1.79406E7)</f>
        <v>17940600</v>
      </c>
      <c r="G874" s="5">
        <f t="shared" si="1"/>
        <v>70</v>
      </c>
    </row>
    <row r="875">
      <c r="A875" s="4">
        <f>IFERROR(__xludf.DUMMYFUNCTION("""COMPUTED_VALUE"""),45145.66666666667)</f>
        <v>45145.66667</v>
      </c>
      <c r="B875" s="5">
        <f>IFERROR(__xludf.DUMMYFUNCTION("""COMPUTED_VALUE"""),2780.0)</f>
        <v>2780</v>
      </c>
      <c r="C875" s="5">
        <f>IFERROR(__xludf.DUMMYFUNCTION("""COMPUTED_VALUE"""),2790.0)</f>
        <v>2790</v>
      </c>
      <c r="D875" s="5">
        <f>IFERROR(__xludf.DUMMYFUNCTION("""COMPUTED_VALUE"""),2760.0)</f>
        <v>2760</v>
      </c>
      <c r="E875" s="5">
        <f>IFERROR(__xludf.DUMMYFUNCTION("""COMPUTED_VALUE"""),2770.0)</f>
        <v>2770</v>
      </c>
      <c r="F875" s="5">
        <f>IFERROR(__xludf.DUMMYFUNCTION("""COMPUTED_VALUE"""),8800700.0)</f>
        <v>8800700</v>
      </c>
      <c r="G875" s="5">
        <f t="shared" si="1"/>
        <v>30</v>
      </c>
    </row>
    <row r="876">
      <c r="A876" s="4">
        <f>IFERROR(__xludf.DUMMYFUNCTION("""COMPUTED_VALUE"""),45146.66666666667)</f>
        <v>45146.66667</v>
      </c>
      <c r="B876" s="5">
        <f>IFERROR(__xludf.DUMMYFUNCTION("""COMPUTED_VALUE"""),2780.0)</f>
        <v>2780</v>
      </c>
      <c r="C876" s="5">
        <f>IFERROR(__xludf.DUMMYFUNCTION("""COMPUTED_VALUE"""),2800.0)</f>
        <v>2800</v>
      </c>
      <c r="D876" s="5">
        <f>IFERROR(__xludf.DUMMYFUNCTION("""COMPUTED_VALUE"""),2760.0)</f>
        <v>2760</v>
      </c>
      <c r="E876" s="5">
        <f>IFERROR(__xludf.DUMMYFUNCTION("""COMPUTED_VALUE"""),2770.0)</f>
        <v>2770</v>
      </c>
      <c r="F876" s="5">
        <f>IFERROR(__xludf.DUMMYFUNCTION("""COMPUTED_VALUE"""),1.22993E7)</f>
        <v>12299300</v>
      </c>
      <c r="G876" s="5">
        <f t="shared" si="1"/>
        <v>40</v>
      </c>
    </row>
    <row r="877">
      <c r="A877" s="4">
        <f>IFERROR(__xludf.DUMMYFUNCTION("""COMPUTED_VALUE"""),45147.66666666667)</f>
        <v>45147.66667</v>
      </c>
      <c r="B877" s="5">
        <f>IFERROR(__xludf.DUMMYFUNCTION("""COMPUTED_VALUE"""),2770.0)</f>
        <v>2770</v>
      </c>
      <c r="C877" s="5">
        <f>IFERROR(__xludf.DUMMYFUNCTION("""COMPUTED_VALUE"""),2800.0)</f>
        <v>2800</v>
      </c>
      <c r="D877" s="5">
        <f>IFERROR(__xludf.DUMMYFUNCTION("""COMPUTED_VALUE"""),2760.0)</f>
        <v>2760</v>
      </c>
      <c r="E877" s="5">
        <f>IFERROR(__xludf.DUMMYFUNCTION("""COMPUTED_VALUE"""),2780.0)</f>
        <v>2780</v>
      </c>
      <c r="F877" s="5">
        <f>IFERROR(__xludf.DUMMYFUNCTION("""COMPUTED_VALUE"""),1.22247E7)</f>
        <v>12224700</v>
      </c>
      <c r="G877" s="5">
        <f t="shared" si="1"/>
        <v>40</v>
      </c>
    </row>
    <row r="878">
      <c r="A878" s="4">
        <f>IFERROR(__xludf.DUMMYFUNCTION("""COMPUTED_VALUE"""),45148.66666666667)</f>
        <v>45148.66667</v>
      </c>
      <c r="B878" s="5">
        <f>IFERROR(__xludf.DUMMYFUNCTION("""COMPUTED_VALUE"""),2800.0)</f>
        <v>2800</v>
      </c>
      <c r="C878" s="5">
        <f>IFERROR(__xludf.DUMMYFUNCTION("""COMPUTED_VALUE"""),2820.0)</f>
        <v>2820</v>
      </c>
      <c r="D878" s="5">
        <f>IFERROR(__xludf.DUMMYFUNCTION("""COMPUTED_VALUE"""),2780.0)</f>
        <v>2780</v>
      </c>
      <c r="E878" s="5">
        <f>IFERROR(__xludf.DUMMYFUNCTION("""COMPUTED_VALUE"""),2790.0)</f>
        <v>2790</v>
      </c>
      <c r="F878" s="5">
        <f>IFERROR(__xludf.DUMMYFUNCTION("""COMPUTED_VALUE"""),1.31189E7)</f>
        <v>13118900</v>
      </c>
      <c r="G878" s="5">
        <f t="shared" si="1"/>
        <v>40</v>
      </c>
    </row>
    <row r="879">
      <c r="A879" s="4">
        <f>IFERROR(__xludf.DUMMYFUNCTION("""COMPUTED_VALUE"""),45149.66666666667)</f>
        <v>45149.66667</v>
      </c>
      <c r="B879" s="5">
        <f>IFERROR(__xludf.DUMMYFUNCTION("""COMPUTED_VALUE"""),2800.0)</f>
        <v>2800</v>
      </c>
      <c r="C879" s="5">
        <f>IFERROR(__xludf.DUMMYFUNCTION("""COMPUTED_VALUE"""),2800.0)</f>
        <v>2800</v>
      </c>
      <c r="D879" s="5">
        <f>IFERROR(__xludf.DUMMYFUNCTION("""COMPUTED_VALUE"""),2770.0)</f>
        <v>2770</v>
      </c>
      <c r="E879" s="5">
        <f>IFERROR(__xludf.DUMMYFUNCTION("""COMPUTED_VALUE"""),2770.0)</f>
        <v>2770</v>
      </c>
      <c r="F879" s="5">
        <f>IFERROR(__xludf.DUMMYFUNCTION("""COMPUTED_VALUE"""),9851300.0)</f>
        <v>9851300</v>
      </c>
      <c r="G879" s="5">
        <f t="shared" si="1"/>
        <v>30</v>
      </c>
    </row>
    <row r="880">
      <c r="A880" s="4">
        <f>IFERROR(__xludf.DUMMYFUNCTION("""COMPUTED_VALUE"""),45152.66666666667)</f>
        <v>45152.66667</v>
      </c>
      <c r="B880" s="5">
        <f>IFERROR(__xludf.DUMMYFUNCTION("""COMPUTED_VALUE"""),2770.0)</f>
        <v>2770</v>
      </c>
      <c r="C880" s="5">
        <f>IFERROR(__xludf.DUMMYFUNCTION("""COMPUTED_VALUE"""),2790.0)</f>
        <v>2790</v>
      </c>
      <c r="D880" s="5">
        <f>IFERROR(__xludf.DUMMYFUNCTION("""COMPUTED_VALUE"""),2750.0)</f>
        <v>2750</v>
      </c>
      <c r="E880" s="5">
        <f>IFERROR(__xludf.DUMMYFUNCTION("""COMPUTED_VALUE"""),2780.0)</f>
        <v>2780</v>
      </c>
      <c r="F880" s="5">
        <f>IFERROR(__xludf.DUMMYFUNCTION("""COMPUTED_VALUE"""),1.17581E7)</f>
        <v>11758100</v>
      </c>
      <c r="G880" s="5">
        <f t="shared" si="1"/>
        <v>40</v>
      </c>
    </row>
    <row r="881">
      <c r="A881" s="4">
        <f>IFERROR(__xludf.DUMMYFUNCTION("""COMPUTED_VALUE"""),45153.66666666667)</f>
        <v>45153.66667</v>
      </c>
      <c r="B881" s="5">
        <f>IFERROR(__xludf.DUMMYFUNCTION("""COMPUTED_VALUE"""),2780.0)</f>
        <v>2780</v>
      </c>
      <c r="C881" s="5">
        <f>IFERROR(__xludf.DUMMYFUNCTION("""COMPUTED_VALUE"""),2810.0)</f>
        <v>2810</v>
      </c>
      <c r="D881" s="5">
        <f>IFERROR(__xludf.DUMMYFUNCTION("""COMPUTED_VALUE"""),2770.0)</f>
        <v>2770</v>
      </c>
      <c r="E881" s="5">
        <f>IFERROR(__xludf.DUMMYFUNCTION("""COMPUTED_VALUE"""),2790.0)</f>
        <v>2790</v>
      </c>
      <c r="F881" s="5">
        <f>IFERROR(__xludf.DUMMYFUNCTION("""COMPUTED_VALUE"""),1.56203E7)</f>
        <v>15620300</v>
      </c>
      <c r="G881" s="5">
        <f t="shared" si="1"/>
        <v>40</v>
      </c>
    </row>
    <row r="882">
      <c r="A882" s="4">
        <f>IFERROR(__xludf.DUMMYFUNCTION("""COMPUTED_VALUE"""),45154.66666666667)</f>
        <v>45154.66667</v>
      </c>
      <c r="B882" s="5">
        <f>IFERROR(__xludf.DUMMYFUNCTION("""COMPUTED_VALUE"""),2800.0)</f>
        <v>2800</v>
      </c>
      <c r="C882" s="5">
        <f>IFERROR(__xludf.DUMMYFUNCTION("""COMPUTED_VALUE"""),2800.0)</f>
        <v>2800</v>
      </c>
      <c r="D882" s="5">
        <f>IFERROR(__xludf.DUMMYFUNCTION("""COMPUTED_VALUE"""),2770.0)</f>
        <v>2770</v>
      </c>
      <c r="E882" s="5">
        <f>IFERROR(__xludf.DUMMYFUNCTION("""COMPUTED_VALUE"""),2770.0)</f>
        <v>2770</v>
      </c>
      <c r="F882" s="5">
        <f>IFERROR(__xludf.DUMMYFUNCTION("""COMPUTED_VALUE"""),8650100.0)</f>
        <v>8650100</v>
      </c>
      <c r="G882" s="5">
        <f t="shared" si="1"/>
        <v>30</v>
      </c>
    </row>
    <row r="883">
      <c r="A883" s="4">
        <f>IFERROR(__xludf.DUMMYFUNCTION("""COMPUTED_VALUE"""),45156.66666666667)</f>
        <v>45156.66667</v>
      </c>
      <c r="B883" s="5">
        <f>IFERROR(__xludf.DUMMYFUNCTION("""COMPUTED_VALUE"""),2780.0)</f>
        <v>2780</v>
      </c>
      <c r="C883" s="5">
        <f>IFERROR(__xludf.DUMMYFUNCTION("""COMPUTED_VALUE"""),2820.0)</f>
        <v>2820</v>
      </c>
      <c r="D883" s="5">
        <f>IFERROR(__xludf.DUMMYFUNCTION("""COMPUTED_VALUE"""),2770.0)</f>
        <v>2770</v>
      </c>
      <c r="E883" s="5">
        <f>IFERROR(__xludf.DUMMYFUNCTION("""COMPUTED_VALUE"""),2790.0)</f>
        <v>2790</v>
      </c>
      <c r="F883" s="5">
        <f>IFERROR(__xludf.DUMMYFUNCTION("""COMPUTED_VALUE"""),2.18527E7)</f>
        <v>21852700</v>
      </c>
      <c r="G883" s="5">
        <f t="shared" si="1"/>
        <v>50</v>
      </c>
    </row>
    <row r="884">
      <c r="A884" s="4">
        <f>IFERROR(__xludf.DUMMYFUNCTION("""COMPUTED_VALUE"""),45159.66666666667)</f>
        <v>45159.66667</v>
      </c>
      <c r="B884" s="5">
        <f>IFERROR(__xludf.DUMMYFUNCTION("""COMPUTED_VALUE"""),2800.0)</f>
        <v>2800</v>
      </c>
      <c r="C884" s="5">
        <f>IFERROR(__xludf.DUMMYFUNCTION("""COMPUTED_VALUE"""),2820.0)</f>
        <v>2820</v>
      </c>
      <c r="D884" s="5">
        <f>IFERROR(__xludf.DUMMYFUNCTION("""COMPUTED_VALUE"""),2790.0)</f>
        <v>2790</v>
      </c>
      <c r="E884" s="5">
        <f>IFERROR(__xludf.DUMMYFUNCTION("""COMPUTED_VALUE"""),2800.0)</f>
        <v>2800</v>
      </c>
      <c r="F884" s="5">
        <f>IFERROR(__xludf.DUMMYFUNCTION("""COMPUTED_VALUE"""),1.9218E7)</f>
        <v>19218000</v>
      </c>
      <c r="G884" s="5">
        <f t="shared" si="1"/>
        <v>30</v>
      </c>
    </row>
    <row r="885">
      <c r="A885" s="4">
        <f>IFERROR(__xludf.DUMMYFUNCTION("""COMPUTED_VALUE"""),45160.66666666667)</f>
        <v>45160.66667</v>
      </c>
      <c r="B885" s="5">
        <f>IFERROR(__xludf.DUMMYFUNCTION("""COMPUTED_VALUE"""),2810.0)</f>
        <v>2810</v>
      </c>
      <c r="C885" s="5">
        <f>IFERROR(__xludf.DUMMYFUNCTION("""COMPUTED_VALUE"""),2990.0)</f>
        <v>2990</v>
      </c>
      <c r="D885" s="5">
        <f>IFERROR(__xludf.DUMMYFUNCTION("""COMPUTED_VALUE"""),2810.0)</f>
        <v>2810</v>
      </c>
      <c r="E885" s="5">
        <f>IFERROR(__xludf.DUMMYFUNCTION("""COMPUTED_VALUE"""),2990.0)</f>
        <v>2990</v>
      </c>
      <c r="F885" s="5">
        <f>IFERROR(__xludf.DUMMYFUNCTION("""COMPUTED_VALUE"""),1.160912E8)</f>
        <v>116091200</v>
      </c>
      <c r="G885" s="5">
        <f t="shared" si="1"/>
        <v>190</v>
      </c>
    </row>
    <row r="886">
      <c r="A886" s="4">
        <f>IFERROR(__xludf.DUMMYFUNCTION("""COMPUTED_VALUE"""),45161.66666666667)</f>
        <v>45161.66667</v>
      </c>
      <c r="B886" s="5">
        <f>IFERROR(__xludf.DUMMYFUNCTION("""COMPUTED_VALUE"""),3010.0)</f>
        <v>3010</v>
      </c>
      <c r="C886" s="5">
        <f>IFERROR(__xludf.DUMMYFUNCTION("""COMPUTED_VALUE"""),3070.0)</f>
        <v>3070</v>
      </c>
      <c r="D886" s="5">
        <f>IFERROR(__xludf.DUMMYFUNCTION("""COMPUTED_VALUE"""),3010.0)</f>
        <v>3010</v>
      </c>
      <c r="E886" s="5">
        <f>IFERROR(__xludf.DUMMYFUNCTION("""COMPUTED_VALUE"""),3020.0)</f>
        <v>3020</v>
      </c>
      <c r="F886" s="5">
        <f>IFERROR(__xludf.DUMMYFUNCTION("""COMPUTED_VALUE"""),6.48878E7)</f>
        <v>64887800</v>
      </c>
      <c r="G886" s="5">
        <f t="shared" si="1"/>
        <v>80</v>
      </c>
    </row>
    <row r="887">
      <c r="A887" s="4">
        <f>IFERROR(__xludf.DUMMYFUNCTION("""COMPUTED_VALUE"""),45162.66666666667)</f>
        <v>45162.66667</v>
      </c>
      <c r="B887" s="5">
        <f>IFERROR(__xludf.DUMMYFUNCTION("""COMPUTED_VALUE"""),3000.0)</f>
        <v>3000</v>
      </c>
      <c r="C887" s="5">
        <f>IFERROR(__xludf.DUMMYFUNCTION("""COMPUTED_VALUE"""),3020.0)</f>
        <v>3020</v>
      </c>
      <c r="D887" s="5">
        <f>IFERROR(__xludf.DUMMYFUNCTION("""COMPUTED_VALUE"""),2950.0)</f>
        <v>2950</v>
      </c>
      <c r="E887" s="5">
        <f>IFERROR(__xludf.DUMMYFUNCTION("""COMPUTED_VALUE"""),2950.0)</f>
        <v>2950</v>
      </c>
      <c r="F887" s="5">
        <f>IFERROR(__xludf.DUMMYFUNCTION("""COMPUTED_VALUE"""),3.50754E7)</f>
        <v>35075400</v>
      </c>
      <c r="G887" s="5">
        <f t="shared" si="1"/>
        <v>70</v>
      </c>
    </row>
    <row r="888">
      <c r="A888" s="4">
        <f>IFERROR(__xludf.DUMMYFUNCTION("""COMPUTED_VALUE"""),45163.66666666667)</f>
        <v>45163.66667</v>
      </c>
      <c r="B888" s="5">
        <f>IFERROR(__xludf.DUMMYFUNCTION("""COMPUTED_VALUE"""),2940.0)</f>
        <v>2940</v>
      </c>
      <c r="C888" s="5">
        <f>IFERROR(__xludf.DUMMYFUNCTION("""COMPUTED_VALUE"""),2950.0)</f>
        <v>2950</v>
      </c>
      <c r="D888" s="5">
        <f>IFERROR(__xludf.DUMMYFUNCTION("""COMPUTED_VALUE"""),2880.0)</f>
        <v>2880</v>
      </c>
      <c r="E888" s="5">
        <f>IFERROR(__xludf.DUMMYFUNCTION("""COMPUTED_VALUE"""),2910.0)</f>
        <v>2910</v>
      </c>
      <c r="F888" s="5">
        <f>IFERROR(__xludf.DUMMYFUNCTION("""COMPUTED_VALUE"""),1.95946E7)</f>
        <v>19594600</v>
      </c>
      <c r="G888" s="5">
        <f t="shared" si="1"/>
        <v>70</v>
      </c>
    </row>
    <row r="889">
      <c r="A889" s="4">
        <f>IFERROR(__xludf.DUMMYFUNCTION("""COMPUTED_VALUE"""),45166.66666666667)</f>
        <v>45166.66667</v>
      </c>
      <c r="B889" s="5">
        <f>IFERROR(__xludf.DUMMYFUNCTION("""COMPUTED_VALUE"""),2930.0)</f>
        <v>2930</v>
      </c>
      <c r="C889" s="5">
        <f>IFERROR(__xludf.DUMMYFUNCTION("""COMPUTED_VALUE"""),2980.0)</f>
        <v>2980</v>
      </c>
      <c r="D889" s="5">
        <f>IFERROR(__xludf.DUMMYFUNCTION("""COMPUTED_VALUE"""),2930.0)</f>
        <v>2930</v>
      </c>
      <c r="E889" s="5">
        <f>IFERROR(__xludf.DUMMYFUNCTION("""COMPUTED_VALUE"""),2970.0)</f>
        <v>2970</v>
      </c>
      <c r="F889" s="5">
        <f>IFERROR(__xludf.DUMMYFUNCTION("""COMPUTED_VALUE"""),1.76005E7)</f>
        <v>17600500</v>
      </c>
      <c r="G889" s="5">
        <f t="shared" si="1"/>
        <v>70</v>
      </c>
    </row>
    <row r="890">
      <c r="A890" s="4">
        <f>IFERROR(__xludf.DUMMYFUNCTION("""COMPUTED_VALUE"""),45167.66666666667)</f>
        <v>45167.66667</v>
      </c>
      <c r="B890" s="5">
        <f>IFERROR(__xludf.DUMMYFUNCTION("""COMPUTED_VALUE"""),3000.0)</f>
        <v>3000</v>
      </c>
      <c r="C890" s="5">
        <f>IFERROR(__xludf.DUMMYFUNCTION("""COMPUTED_VALUE"""),3010.0)</f>
        <v>3010</v>
      </c>
      <c r="D890" s="5">
        <f>IFERROR(__xludf.DUMMYFUNCTION("""COMPUTED_VALUE"""),2960.0)</f>
        <v>2960</v>
      </c>
      <c r="E890" s="5">
        <f>IFERROR(__xludf.DUMMYFUNCTION("""COMPUTED_VALUE"""),2960.0)</f>
        <v>2960</v>
      </c>
      <c r="F890" s="5">
        <f>IFERROR(__xludf.DUMMYFUNCTION("""COMPUTED_VALUE"""),2.574E7)</f>
        <v>25740000</v>
      </c>
      <c r="G890" s="5">
        <f t="shared" si="1"/>
        <v>50</v>
      </c>
    </row>
    <row r="891">
      <c r="A891" s="4">
        <f>IFERROR(__xludf.DUMMYFUNCTION("""COMPUTED_VALUE"""),45168.66666666667)</f>
        <v>45168.66667</v>
      </c>
      <c r="B891" s="5">
        <f>IFERROR(__xludf.DUMMYFUNCTION("""COMPUTED_VALUE"""),2930.0)</f>
        <v>2930</v>
      </c>
      <c r="C891" s="5">
        <f>IFERROR(__xludf.DUMMYFUNCTION("""COMPUTED_VALUE"""),2940.0)</f>
        <v>2940</v>
      </c>
      <c r="D891" s="5">
        <f>IFERROR(__xludf.DUMMYFUNCTION("""COMPUTED_VALUE"""),2880.0)</f>
        <v>2880</v>
      </c>
      <c r="E891" s="5">
        <f>IFERROR(__xludf.DUMMYFUNCTION("""COMPUTED_VALUE"""),2910.0)</f>
        <v>2910</v>
      </c>
      <c r="F891" s="5">
        <f>IFERROR(__xludf.DUMMYFUNCTION("""COMPUTED_VALUE"""),2.68626E7)</f>
        <v>26862600</v>
      </c>
      <c r="G891" s="5">
        <f t="shared" si="1"/>
        <v>80</v>
      </c>
    </row>
    <row r="892">
      <c r="A892" s="4">
        <f>IFERROR(__xludf.DUMMYFUNCTION("""COMPUTED_VALUE"""),45169.66666666667)</f>
        <v>45169.66667</v>
      </c>
      <c r="B892" s="5">
        <f>IFERROR(__xludf.DUMMYFUNCTION("""COMPUTED_VALUE"""),2900.0)</f>
        <v>2900</v>
      </c>
      <c r="C892" s="5">
        <f>IFERROR(__xludf.DUMMYFUNCTION("""COMPUTED_VALUE"""),2900.0)</f>
        <v>2900</v>
      </c>
      <c r="D892" s="5">
        <f>IFERROR(__xludf.DUMMYFUNCTION("""COMPUTED_VALUE"""),2850.0)</f>
        <v>2850</v>
      </c>
      <c r="E892" s="5">
        <f>IFERROR(__xludf.DUMMYFUNCTION("""COMPUTED_VALUE"""),2860.0)</f>
        <v>2860</v>
      </c>
      <c r="F892" s="5">
        <f>IFERROR(__xludf.DUMMYFUNCTION("""COMPUTED_VALUE"""),1.74223E7)</f>
        <v>17422300</v>
      </c>
      <c r="G892" s="5">
        <f t="shared" si="1"/>
        <v>60</v>
      </c>
    </row>
    <row r="893">
      <c r="A893" s="4">
        <f>IFERROR(__xludf.DUMMYFUNCTION("""COMPUTED_VALUE"""),45170.66666666667)</f>
        <v>45170.66667</v>
      </c>
      <c r="B893" s="5">
        <f>IFERROR(__xludf.DUMMYFUNCTION("""COMPUTED_VALUE"""),2860.0)</f>
        <v>2860</v>
      </c>
      <c r="C893" s="5">
        <f>IFERROR(__xludf.DUMMYFUNCTION("""COMPUTED_VALUE"""),2890.0)</f>
        <v>2890</v>
      </c>
      <c r="D893" s="5">
        <f>IFERROR(__xludf.DUMMYFUNCTION("""COMPUTED_VALUE"""),2850.0)</f>
        <v>2850</v>
      </c>
      <c r="E893" s="5">
        <f>IFERROR(__xludf.DUMMYFUNCTION("""COMPUTED_VALUE"""),2880.0)</f>
        <v>2880</v>
      </c>
      <c r="F893" s="5">
        <f>IFERROR(__xludf.DUMMYFUNCTION("""COMPUTED_VALUE"""),9102500.0)</f>
        <v>9102500</v>
      </c>
      <c r="G893" s="5">
        <f t="shared" si="1"/>
        <v>40</v>
      </c>
    </row>
    <row r="894">
      <c r="A894" s="4">
        <f>IFERROR(__xludf.DUMMYFUNCTION("""COMPUTED_VALUE"""),45173.66666666667)</f>
        <v>45173.66667</v>
      </c>
      <c r="B894" s="5">
        <f>IFERROR(__xludf.DUMMYFUNCTION("""COMPUTED_VALUE"""),2880.0)</f>
        <v>2880</v>
      </c>
      <c r="C894" s="5">
        <f>IFERROR(__xludf.DUMMYFUNCTION("""COMPUTED_VALUE"""),2960.0)</f>
        <v>2960</v>
      </c>
      <c r="D894" s="5">
        <f>IFERROR(__xludf.DUMMYFUNCTION("""COMPUTED_VALUE"""),2880.0)</f>
        <v>2880</v>
      </c>
      <c r="E894" s="5">
        <f>IFERROR(__xludf.DUMMYFUNCTION("""COMPUTED_VALUE"""),2920.0)</f>
        <v>2920</v>
      </c>
      <c r="F894" s="5">
        <f>IFERROR(__xludf.DUMMYFUNCTION("""COMPUTED_VALUE"""),2.40171E7)</f>
        <v>24017100</v>
      </c>
      <c r="G894" s="5">
        <f t="shared" si="1"/>
        <v>80</v>
      </c>
    </row>
    <row r="895">
      <c r="A895" s="4">
        <f>IFERROR(__xludf.DUMMYFUNCTION("""COMPUTED_VALUE"""),45174.66666666667)</f>
        <v>45174.66667</v>
      </c>
      <c r="B895" s="5">
        <f>IFERROR(__xludf.DUMMYFUNCTION("""COMPUTED_VALUE"""),2920.0)</f>
        <v>2920</v>
      </c>
      <c r="C895" s="5">
        <f>IFERROR(__xludf.DUMMYFUNCTION("""COMPUTED_VALUE"""),2960.0)</f>
        <v>2960</v>
      </c>
      <c r="D895" s="5">
        <f>IFERROR(__xludf.DUMMYFUNCTION("""COMPUTED_VALUE"""),2900.0)</f>
        <v>2900</v>
      </c>
      <c r="E895" s="5">
        <f>IFERROR(__xludf.DUMMYFUNCTION("""COMPUTED_VALUE"""),2930.0)</f>
        <v>2930</v>
      </c>
      <c r="F895" s="5">
        <f>IFERROR(__xludf.DUMMYFUNCTION("""COMPUTED_VALUE"""),2.1273E7)</f>
        <v>21273000</v>
      </c>
      <c r="G895" s="5">
        <f t="shared" si="1"/>
        <v>60</v>
      </c>
    </row>
    <row r="896">
      <c r="A896" s="4">
        <f>IFERROR(__xludf.DUMMYFUNCTION("""COMPUTED_VALUE"""),45175.66666666667)</f>
        <v>45175.66667</v>
      </c>
      <c r="B896" s="5">
        <f>IFERROR(__xludf.DUMMYFUNCTION("""COMPUTED_VALUE"""),2950.0)</f>
        <v>2950</v>
      </c>
      <c r="C896" s="5">
        <f>IFERROR(__xludf.DUMMYFUNCTION("""COMPUTED_VALUE"""),3000.0)</f>
        <v>3000</v>
      </c>
      <c r="D896" s="5">
        <f>IFERROR(__xludf.DUMMYFUNCTION("""COMPUTED_VALUE"""),2940.0)</f>
        <v>2940</v>
      </c>
      <c r="E896" s="5">
        <f>IFERROR(__xludf.DUMMYFUNCTION("""COMPUTED_VALUE"""),2990.0)</f>
        <v>2990</v>
      </c>
      <c r="F896" s="5">
        <f>IFERROR(__xludf.DUMMYFUNCTION("""COMPUTED_VALUE"""),4.03929E7)</f>
        <v>40392900</v>
      </c>
      <c r="G896" s="5">
        <f t="shared" si="1"/>
        <v>70</v>
      </c>
    </row>
    <row r="897">
      <c r="A897" s="4">
        <f>IFERROR(__xludf.DUMMYFUNCTION("""COMPUTED_VALUE"""),45176.66666666667)</f>
        <v>45176.66667</v>
      </c>
      <c r="B897" s="5">
        <f>IFERROR(__xludf.DUMMYFUNCTION("""COMPUTED_VALUE"""),2970.0)</f>
        <v>2970</v>
      </c>
      <c r="C897" s="5">
        <f>IFERROR(__xludf.DUMMYFUNCTION("""COMPUTED_VALUE"""),2980.0)</f>
        <v>2980</v>
      </c>
      <c r="D897" s="5">
        <f>IFERROR(__xludf.DUMMYFUNCTION("""COMPUTED_VALUE"""),2920.0)</f>
        <v>2920</v>
      </c>
      <c r="E897" s="5">
        <f>IFERROR(__xludf.DUMMYFUNCTION("""COMPUTED_VALUE"""),2920.0)</f>
        <v>2920</v>
      </c>
      <c r="F897" s="5">
        <f>IFERROR(__xludf.DUMMYFUNCTION("""COMPUTED_VALUE"""),2.32887E7)</f>
        <v>23288700</v>
      </c>
      <c r="G897" s="5">
        <f t="shared" si="1"/>
        <v>70</v>
      </c>
    </row>
    <row r="898">
      <c r="A898" s="4">
        <f>IFERROR(__xludf.DUMMYFUNCTION("""COMPUTED_VALUE"""),45177.66666666667)</f>
        <v>45177.66667</v>
      </c>
      <c r="B898" s="5">
        <f>IFERROR(__xludf.DUMMYFUNCTION("""COMPUTED_VALUE"""),2910.0)</f>
        <v>2910</v>
      </c>
      <c r="C898" s="5">
        <f>IFERROR(__xludf.DUMMYFUNCTION("""COMPUTED_VALUE"""),2960.0)</f>
        <v>2960</v>
      </c>
      <c r="D898" s="5">
        <f>IFERROR(__xludf.DUMMYFUNCTION("""COMPUTED_VALUE"""),2910.0)</f>
        <v>2910</v>
      </c>
      <c r="E898" s="5">
        <f>IFERROR(__xludf.DUMMYFUNCTION("""COMPUTED_VALUE"""),2930.0)</f>
        <v>2930</v>
      </c>
      <c r="F898" s="5">
        <f>IFERROR(__xludf.DUMMYFUNCTION("""COMPUTED_VALUE"""),1.23256E7)</f>
        <v>12325600</v>
      </c>
      <c r="G898" s="5">
        <f t="shared" si="1"/>
        <v>50</v>
      </c>
    </row>
    <row r="899">
      <c r="A899" s="4">
        <f>IFERROR(__xludf.DUMMYFUNCTION("""COMPUTED_VALUE"""),45180.66666666667)</f>
        <v>45180.66667</v>
      </c>
      <c r="B899" s="5">
        <f>IFERROR(__xludf.DUMMYFUNCTION("""COMPUTED_VALUE"""),2940.0)</f>
        <v>2940</v>
      </c>
      <c r="C899" s="5">
        <f>IFERROR(__xludf.DUMMYFUNCTION("""COMPUTED_VALUE"""),2950.0)</f>
        <v>2950</v>
      </c>
      <c r="D899" s="5">
        <f>IFERROR(__xludf.DUMMYFUNCTION("""COMPUTED_VALUE"""),2880.0)</f>
        <v>2880</v>
      </c>
      <c r="E899" s="5">
        <f>IFERROR(__xludf.DUMMYFUNCTION("""COMPUTED_VALUE"""),2880.0)</f>
        <v>2880</v>
      </c>
      <c r="F899" s="5">
        <f>IFERROR(__xludf.DUMMYFUNCTION("""COMPUTED_VALUE"""),1.63949E7)</f>
        <v>16394900</v>
      </c>
      <c r="G899" s="5">
        <f t="shared" si="1"/>
        <v>70</v>
      </c>
    </row>
    <row r="900">
      <c r="A900" s="4">
        <f>IFERROR(__xludf.DUMMYFUNCTION("""COMPUTED_VALUE"""),45181.66666666667)</f>
        <v>45181.66667</v>
      </c>
      <c r="B900" s="5">
        <f>IFERROR(__xludf.DUMMYFUNCTION("""COMPUTED_VALUE"""),2890.0)</f>
        <v>2890</v>
      </c>
      <c r="C900" s="5">
        <f>IFERROR(__xludf.DUMMYFUNCTION("""COMPUTED_VALUE"""),2910.0)</f>
        <v>2910</v>
      </c>
      <c r="D900" s="5">
        <f>IFERROR(__xludf.DUMMYFUNCTION("""COMPUTED_VALUE"""),2870.0)</f>
        <v>2870</v>
      </c>
      <c r="E900" s="5">
        <f>IFERROR(__xludf.DUMMYFUNCTION("""COMPUTED_VALUE"""),2870.0)</f>
        <v>2870</v>
      </c>
      <c r="F900" s="5">
        <f>IFERROR(__xludf.DUMMYFUNCTION("""COMPUTED_VALUE"""),1.07078E7)</f>
        <v>10707800</v>
      </c>
      <c r="G900" s="5">
        <f t="shared" si="1"/>
        <v>40</v>
      </c>
    </row>
    <row r="901">
      <c r="A901" s="4">
        <f>IFERROR(__xludf.DUMMYFUNCTION("""COMPUTED_VALUE"""),45182.66666666667)</f>
        <v>45182.66667</v>
      </c>
      <c r="B901" s="5">
        <f>IFERROR(__xludf.DUMMYFUNCTION("""COMPUTED_VALUE"""),2890.0)</f>
        <v>2890</v>
      </c>
      <c r="C901" s="5">
        <f>IFERROR(__xludf.DUMMYFUNCTION("""COMPUTED_VALUE"""),2900.0)</f>
        <v>2900</v>
      </c>
      <c r="D901" s="5">
        <f>IFERROR(__xludf.DUMMYFUNCTION("""COMPUTED_VALUE"""),2830.0)</f>
        <v>2830</v>
      </c>
      <c r="E901" s="5">
        <f>IFERROR(__xludf.DUMMYFUNCTION("""COMPUTED_VALUE"""),2830.0)</f>
        <v>2830</v>
      </c>
      <c r="F901" s="5">
        <f>IFERROR(__xludf.DUMMYFUNCTION("""COMPUTED_VALUE"""),2.21791E7)</f>
        <v>22179100</v>
      </c>
      <c r="G901" s="5">
        <f t="shared" si="1"/>
        <v>70</v>
      </c>
    </row>
    <row r="902">
      <c r="A902" s="4">
        <f>IFERROR(__xludf.DUMMYFUNCTION("""COMPUTED_VALUE"""),45183.66666666667)</f>
        <v>45183.66667</v>
      </c>
      <c r="B902" s="5">
        <f>IFERROR(__xludf.DUMMYFUNCTION("""COMPUTED_VALUE"""),2860.0)</f>
        <v>2860</v>
      </c>
      <c r="C902" s="5">
        <f>IFERROR(__xludf.DUMMYFUNCTION("""COMPUTED_VALUE"""),2910.0)</f>
        <v>2910</v>
      </c>
      <c r="D902" s="5">
        <f>IFERROR(__xludf.DUMMYFUNCTION("""COMPUTED_VALUE"""),2860.0)</f>
        <v>2860</v>
      </c>
      <c r="E902" s="5">
        <f>IFERROR(__xludf.DUMMYFUNCTION("""COMPUTED_VALUE"""),2890.0)</f>
        <v>2890</v>
      </c>
      <c r="F902" s="5">
        <f>IFERROR(__xludf.DUMMYFUNCTION("""COMPUTED_VALUE"""),1.98741E7)</f>
        <v>19874100</v>
      </c>
      <c r="G902" s="5">
        <f t="shared" si="1"/>
        <v>80</v>
      </c>
    </row>
    <row r="903">
      <c r="A903" s="4">
        <f>IFERROR(__xludf.DUMMYFUNCTION("""COMPUTED_VALUE"""),45184.66666666667)</f>
        <v>45184.66667</v>
      </c>
      <c r="B903" s="5">
        <f>IFERROR(__xludf.DUMMYFUNCTION("""COMPUTED_VALUE"""),2890.0)</f>
        <v>2890</v>
      </c>
      <c r="C903" s="5">
        <f>IFERROR(__xludf.DUMMYFUNCTION("""COMPUTED_VALUE"""),2900.0)</f>
        <v>2900</v>
      </c>
      <c r="D903" s="5">
        <f>IFERROR(__xludf.DUMMYFUNCTION("""COMPUTED_VALUE"""),2850.0)</f>
        <v>2850</v>
      </c>
      <c r="E903" s="5">
        <f>IFERROR(__xludf.DUMMYFUNCTION("""COMPUTED_VALUE"""),2850.0)</f>
        <v>2850</v>
      </c>
      <c r="F903" s="5">
        <f>IFERROR(__xludf.DUMMYFUNCTION("""COMPUTED_VALUE"""),1.52487E7)</f>
        <v>15248700</v>
      </c>
      <c r="G903" s="5">
        <f t="shared" si="1"/>
        <v>50</v>
      </c>
    </row>
    <row r="904">
      <c r="A904" s="4">
        <f>IFERROR(__xludf.DUMMYFUNCTION("""COMPUTED_VALUE"""),45187.66666666667)</f>
        <v>45187.66667</v>
      </c>
      <c r="B904" s="5">
        <f>IFERROR(__xludf.DUMMYFUNCTION("""COMPUTED_VALUE"""),2850.0)</f>
        <v>2850</v>
      </c>
      <c r="C904" s="5">
        <f>IFERROR(__xludf.DUMMYFUNCTION("""COMPUTED_VALUE"""),2880.0)</f>
        <v>2880</v>
      </c>
      <c r="D904" s="5">
        <f>IFERROR(__xludf.DUMMYFUNCTION("""COMPUTED_VALUE"""),2830.0)</f>
        <v>2830</v>
      </c>
      <c r="E904" s="5">
        <f>IFERROR(__xludf.DUMMYFUNCTION("""COMPUTED_VALUE"""),2840.0)</f>
        <v>2840</v>
      </c>
      <c r="F904" s="5">
        <f>IFERROR(__xludf.DUMMYFUNCTION("""COMPUTED_VALUE"""),9005200.0)</f>
        <v>9005200</v>
      </c>
      <c r="G904" s="5">
        <f t="shared" si="1"/>
        <v>50</v>
      </c>
    </row>
    <row r="905">
      <c r="A905" s="4">
        <f>IFERROR(__xludf.DUMMYFUNCTION("""COMPUTED_VALUE"""),45188.66666666667)</f>
        <v>45188.66667</v>
      </c>
      <c r="B905" s="5">
        <f>IFERROR(__xludf.DUMMYFUNCTION("""COMPUTED_VALUE"""),2850.0)</f>
        <v>2850</v>
      </c>
      <c r="C905" s="5">
        <f>IFERROR(__xludf.DUMMYFUNCTION("""COMPUTED_VALUE"""),2900.0)</f>
        <v>2900</v>
      </c>
      <c r="D905" s="5">
        <f>IFERROR(__xludf.DUMMYFUNCTION("""COMPUTED_VALUE"""),2800.0)</f>
        <v>2800</v>
      </c>
      <c r="E905" s="5">
        <f>IFERROR(__xludf.DUMMYFUNCTION("""COMPUTED_VALUE"""),2880.0)</f>
        <v>2880</v>
      </c>
      <c r="F905" s="5">
        <f>IFERROR(__xludf.DUMMYFUNCTION("""COMPUTED_VALUE"""),2.41057E7)</f>
        <v>24105700</v>
      </c>
      <c r="G905" s="5">
        <f t="shared" si="1"/>
        <v>100</v>
      </c>
    </row>
    <row r="906">
      <c r="A906" s="4">
        <f>IFERROR(__xludf.DUMMYFUNCTION("""COMPUTED_VALUE"""),45189.66666666667)</f>
        <v>45189.66667</v>
      </c>
      <c r="B906" s="5">
        <f>IFERROR(__xludf.DUMMYFUNCTION("""COMPUTED_VALUE"""),2880.0)</f>
        <v>2880</v>
      </c>
      <c r="C906" s="5">
        <f>IFERROR(__xludf.DUMMYFUNCTION("""COMPUTED_VALUE"""),2930.0)</f>
        <v>2930</v>
      </c>
      <c r="D906" s="5">
        <f>IFERROR(__xludf.DUMMYFUNCTION("""COMPUTED_VALUE"""),2860.0)</f>
        <v>2860</v>
      </c>
      <c r="E906" s="5">
        <f>IFERROR(__xludf.DUMMYFUNCTION("""COMPUTED_VALUE"""),2870.0)</f>
        <v>2870</v>
      </c>
      <c r="F906" s="5">
        <f>IFERROR(__xludf.DUMMYFUNCTION("""COMPUTED_VALUE"""),2.25696E7)</f>
        <v>22569600</v>
      </c>
      <c r="G906" s="5">
        <f t="shared" si="1"/>
        <v>70</v>
      </c>
    </row>
    <row r="907">
      <c r="A907" s="4">
        <f>IFERROR(__xludf.DUMMYFUNCTION("""COMPUTED_VALUE"""),45190.66666666667)</f>
        <v>45190.66667</v>
      </c>
      <c r="B907" s="5">
        <f>IFERROR(__xludf.DUMMYFUNCTION("""COMPUTED_VALUE"""),2870.0)</f>
        <v>2870</v>
      </c>
      <c r="C907" s="5">
        <f>IFERROR(__xludf.DUMMYFUNCTION("""COMPUTED_VALUE"""),2870.0)</f>
        <v>2870</v>
      </c>
      <c r="D907" s="5">
        <f>IFERROR(__xludf.DUMMYFUNCTION("""COMPUTED_VALUE"""),2810.0)</f>
        <v>2810</v>
      </c>
      <c r="E907" s="5">
        <f>IFERROR(__xludf.DUMMYFUNCTION("""COMPUTED_VALUE"""),2820.0)</f>
        <v>2820</v>
      </c>
      <c r="F907" s="5">
        <f>IFERROR(__xludf.DUMMYFUNCTION("""COMPUTED_VALUE"""),2.63477E7)</f>
        <v>26347700</v>
      </c>
      <c r="G907" s="5">
        <f t="shared" si="1"/>
        <v>60</v>
      </c>
    </row>
    <row r="908">
      <c r="A908" s="4">
        <f>IFERROR(__xludf.DUMMYFUNCTION("""COMPUTED_VALUE"""),45191.66666666667)</f>
        <v>45191.66667</v>
      </c>
      <c r="B908" s="5">
        <f>IFERROR(__xludf.DUMMYFUNCTION("""COMPUTED_VALUE"""),2800.0)</f>
        <v>2800</v>
      </c>
      <c r="C908" s="5">
        <f>IFERROR(__xludf.DUMMYFUNCTION("""COMPUTED_VALUE"""),2870.0)</f>
        <v>2870</v>
      </c>
      <c r="D908" s="5">
        <f>IFERROR(__xludf.DUMMYFUNCTION("""COMPUTED_VALUE"""),2780.0)</f>
        <v>2780</v>
      </c>
      <c r="E908" s="5">
        <f>IFERROR(__xludf.DUMMYFUNCTION("""COMPUTED_VALUE"""),2860.0)</f>
        <v>2860</v>
      </c>
      <c r="F908" s="5">
        <f>IFERROR(__xludf.DUMMYFUNCTION("""COMPUTED_VALUE"""),1.51506E7)</f>
        <v>15150600</v>
      </c>
      <c r="G908" s="5">
        <f t="shared" si="1"/>
        <v>90</v>
      </c>
    </row>
    <row r="909">
      <c r="A909" s="4">
        <f>IFERROR(__xludf.DUMMYFUNCTION("""COMPUTED_VALUE"""),45194.66666666667)</f>
        <v>45194.66667</v>
      </c>
      <c r="B909" s="5">
        <f>IFERROR(__xludf.DUMMYFUNCTION("""COMPUTED_VALUE"""),2870.0)</f>
        <v>2870</v>
      </c>
      <c r="C909" s="5">
        <f>IFERROR(__xludf.DUMMYFUNCTION("""COMPUTED_VALUE"""),2890.0)</f>
        <v>2890</v>
      </c>
      <c r="D909" s="5">
        <f>IFERROR(__xludf.DUMMYFUNCTION("""COMPUTED_VALUE"""),2840.0)</f>
        <v>2840</v>
      </c>
      <c r="E909" s="5">
        <f>IFERROR(__xludf.DUMMYFUNCTION("""COMPUTED_VALUE"""),2850.0)</f>
        <v>2850</v>
      </c>
      <c r="F909" s="5">
        <f>IFERROR(__xludf.DUMMYFUNCTION("""COMPUTED_VALUE"""),1.14482E7)</f>
        <v>11448200</v>
      </c>
      <c r="G909" s="5">
        <f t="shared" si="1"/>
        <v>50</v>
      </c>
    </row>
    <row r="910">
      <c r="A910" s="4">
        <f>IFERROR(__xludf.DUMMYFUNCTION("""COMPUTED_VALUE"""),45195.66666666667)</f>
        <v>45195.66667</v>
      </c>
      <c r="B910" s="5">
        <f>IFERROR(__xludf.DUMMYFUNCTION("""COMPUTED_VALUE"""),2870.0)</f>
        <v>2870</v>
      </c>
      <c r="C910" s="5">
        <f>IFERROR(__xludf.DUMMYFUNCTION("""COMPUTED_VALUE"""),2870.0)</f>
        <v>2870</v>
      </c>
      <c r="D910" s="5">
        <f>IFERROR(__xludf.DUMMYFUNCTION("""COMPUTED_VALUE"""),2800.0)</f>
        <v>2800</v>
      </c>
      <c r="E910" s="5">
        <f>IFERROR(__xludf.DUMMYFUNCTION("""COMPUTED_VALUE"""),2810.0)</f>
        <v>2810</v>
      </c>
      <c r="F910" s="5">
        <f>IFERROR(__xludf.DUMMYFUNCTION("""COMPUTED_VALUE"""),1.21754E7)</f>
        <v>12175400</v>
      </c>
      <c r="G910" s="5">
        <f t="shared" si="1"/>
        <v>70</v>
      </c>
    </row>
    <row r="911">
      <c r="A911" s="4">
        <f>IFERROR(__xludf.DUMMYFUNCTION("""COMPUTED_VALUE"""),45196.66666666667)</f>
        <v>45196.66667</v>
      </c>
      <c r="B911" s="5">
        <f>IFERROR(__xludf.DUMMYFUNCTION("""COMPUTED_VALUE"""),2810.0)</f>
        <v>2810</v>
      </c>
      <c r="C911" s="5">
        <f>IFERROR(__xludf.DUMMYFUNCTION("""COMPUTED_VALUE"""),2840.0)</f>
        <v>2840</v>
      </c>
      <c r="D911" s="5">
        <f>IFERROR(__xludf.DUMMYFUNCTION("""COMPUTED_VALUE"""),2790.0)</f>
        <v>2790</v>
      </c>
      <c r="E911" s="5">
        <f>IFERROR(__xludf.DUMMYFUNCTION("""COMPUTED_VALUE"""),2800.0)</f>
        <v>2800</v>
      </c>
      <c r="F911" s="5">
        <f>IFERROR(__xludf.DUMMYFUNCTION("""COMPUTED_VALUE"""),1.67305E7)</f>
        <v>16730500</v>
      </c>
      <c r="G911" s="5">
        <f t="shared" si="1"/>
        <v>50</v>
      </c>
    </row>
    <row r="912">
      <c r="A912" s="4">
        <f>IFERROR(__xludf.DUMMYFUNCTION("""COMPUTED_VALUE"""),45198.66666666667)</f>
        <v>45198.66667</v>
      </c>
      <c r="B912" s="5">
        <f>IFERROR(__xludf.DUMMYFUNCTION("""COMPUTED_VALUE"""),2810.0)</f>
        <v>2810</v>
      </c>
      <c r="C912" s="5">
        <f>IFERROR(__xludf.DUMMYFUNCTION("""COMPUTED_VALUE"""),2820.0)</f>
        <v>2820</v>
      </c>
      <c r="D912" s="5">
        <f>IFERROR(__xludf.DUMMYFUNCTION("""COMPUTED_VALUE"""),2790.0)</f>
        <v>2790</v>
      </c>
      <c r="E912" s="5">
        <f>IFERROR(__xludf.DUMMYFUNCTION("""COMPUTED_VALUE"""),2800.0)</f>
        <v>2800</v>
      </c>
      <c r="F912" s="5">
        <f>IFERROR(__xludf.DUMMYFUNCTION("""COMPUTED_VALUE"""),1.32387E7)</f>
        <v>13238700</v>
      </c>
      <c r="G912" s="5">
        <f t="shared" si="1"/>
        <v>30</v>
      </c>
    </row>
    <row r="913">
      <c r="A913" s="4">
        <f>IFERROR(__xludf.DUMMYFUNCTION("""COMPUTED_VALUE"""),45201.66666666667)</f>
        <v>45201.66667</v>
      </c>
      <c r="B913" s="5">
        <f>IFERROR(__xludf.DUMMYFUNCTION("""COMPUTED_VALUE"""),2810.0)</f>
        <v>2810</v>
      </c>
      <c r="C913" s="5">
        <f>IFERROR(__xludf.DUMMYFUNCTION("""COMPUTED_VALUE"""),2830.0)</f>
        <v>2830</v>
      </c>
      <c r="D913" s="5">
        <f>IFERROR(__xludf.DUMMYFUNCTION("""COMPUTED_VALUE"""),2790.0)</f>
        <v>2790</v>
      </c>
      <c r="E913" s="5">
        <f>IFERROR(__xludf.DUMMYFUNCTION("""COMPUTED_VALUE"""),2800.0)</f>
        <v>2800</v>
      </c>
      <c r="F913" s="5">
        <f>IFERROR(__xludf.DUMMYFUNCTION("""COMPUTED_VALUE"""),1.09955E7)</f>
        <v>10995500</v>
      </c>
      <c r="G913" s="5">
        <f t="shared" si="1"/>
        <v>40</v>
      </c>
    </row>
    <row r="914">
      <c r="A914" s="4">
        <f>IFERROR(__xludf.DUMMYFUNCTION("""COMPUTED_VALUE"""),45202.66666666667)</f>
        <v>45202.66667</v>
      </c>
      <c r="B914" s="5">
        <f>IFERROR(__xludf.DUMMYFUNCTION("""COMPUTED_VALUE"""),2800.0)</f>
        <v>2800</v>
      </c>
      <c r="C914" s="5">
        <f>IFERROR(__xludf.DUMMYFUNCTION("""COMPUTED_VALUE"""),2810.0)</f>
        <v>2810</v>
      </c>
      <c r="D914" s="5">
        <f>IFERROR(__xludf.DUMMYFUNCTION("""COMPUTED_VALUE"""),2740.0)</f>
        <v>2740</v>
      </c>
      <c r="E914" s="5">
        <f>IFERROR(__xludf.DUMMYFUNCTION("""COMPUTED_VALUE"""),2740.0)</f>
        <v>2740</v>
      </c>
      <c r="F914" s="5">
        <f>IFERROR(__xludf.DUMMYFUNCTION("""COMPUTED_VALUE"""),2.98901E7)</f>
        <v>29890100</v>
      </c>
      <c r="G914" s="5">
        <f t="shared" si="1"/>
        <v>70</v>
      </c>
    </row>
    <row r="915">
      <c r="A915" s="4">
        <f>IFERROR(__xludf.DUMMYFUNCTION("""COMPUTED_VALUE"""),45203.66666666667)</f>
        <v>45203.66667</v>
      </c>
      <c r="B915" s="5">
        <f>IFERROR(__xludf.DUMMYFUNCTION("""COMPUTED_VALUE"""),2710.0)</f>
        <v>2710</v>
      </c>
      <c r="C915" s="5">
        <f>IFERROR(__xludf.DUMMYFUNCTION("""COMPUTED_VALUE"""),2720.0)</f>
        <v>2720</v>
      </c>
      <c r="D915" s="5">
        <f>IFERROR(__xludf.DUMMYFUNCTION("""COMPUTED_VALUE"""),2680.0)</f>
        <v>2680</v>
      </c>
      <c r="E915" s="5">
        <f>IFERROR(__xludf.DUMMYFUNCTION("""COMPUTED_VALUE"""),2690.0)</f>
        <v>2690</v>
      </c>
      <c r="F915" s="5">
        <f>IFERROR(__xludf.DUMMYFUNCTION("""COMPUTED_VALUE"""),2.76728E7)</f>
        <v>27672800</v>
      </c>
      <c r="G915" s="5">
        <f t="shared" si="1"/>
        <v>60</v>
      </c>
    </row>
    <row r="916">
      <c r="A916" s="4">
        <f>IFERROR(__xludf.DUMMYFUNCTION("""COMPUTED_VALUE"""),45204.66666666667)</f>
        <v>45204.66667</v>
      </c>
      <c r="B916" s="5">
        <f>IFERROR(__xludf.DUMMYFUNCTION("""COMPUTED_VALUE"""),2680.0)</f>
        <v>2680</v>
      </c>
      <c r="C916" s="5">
        <f>IFERROR(__xludf.DUMMYFUNCTION("""COMPUTED_VALUE"""),2710.0)</f>
        <v>2710</v>
      </c>
      <c r="D916" s="5">
        <f>IFERROR(__xludf.DUMMYFUNCTION("""COMPUTED_VALUE"""),2650.0)</f>
        <v>2650</v>
      </c>
      <c r="E916" s="5">
        <f>IFERROR(__xludf.DUMMYFUNCTION("""COMPUTED_VALUE"""),2660.0)</f>
        <v>2660</v>
      </c>
      <c r="F916" s="5">
        <f>IFERROR(__xludf.DUMMYFUNCTION("""COMPUTED_VALUE"""),2.20598E7)</f>
        <v>22059800</v>
      </c>
      <c r="G916" s="5">
        <f t="shared" si="1"/>
        <v>60</v>
      </c>
    </row>
    <row r="917">
      <c r="A917" s="4">
        <f>IFERROR(__xludf.DUMMYFUNCTION("""COMPUTED_VALUE"""),45205.66666666667)</f>
        <v>45205.66667</v>
      </c>
      <c r="B917" s="5">
        <f>IFERROR(__xludf.DUMMYFUNCTION("""COMPUTED_VALUE"""),2660.0)</f>
        <v>2660</v>
      </c>
      <c r="C917" s="5">
        <f>IFERROR(__xludf.DUMMYFUNCTION("""COMPUTED_VALUE"""),2690.0)</f>
        <v>2690</v>
      </c>
      <c r="D917" s="5">
        <f>IFERROR(__xludf.DUMMYFUNCTION("""COMPUTED_VALUE"""),2640.0)</f>
        <v>2640</v>
      </c>
      <c r="E917" s="5">
        <f>IFERROR(__xludf.DUMMYFUNCTION("""COMPUTED_VALUE"""),2660.0)</f>
        <v>2660</v>
      </c>
      <c r="F917" s="5">
        <f>IFERROR(__xludf.DUMMYFUNCTION("""COMPUTED_VALUE"""),1.50541E7)</f>
        <v>15054100</v>
      </c>
      <c r="G917" s="5">
        <f t="shared" si="1"/>
        <v>50</v>
      </c>
    </row>
    <row r="918">
      <c r="A918" s="4">
        <f>IFERROR(__xludf.DUMMYFUNCTION("""COMPUTED_VALUE"""),45208.66666666667)</f>
        <v>45208.66667</v>
      </c>
      <c r="B918" s="5">
        <f>IFERROR(__xludf.DUMMYFUNCTION("""COMPUTED_VALUE"""),2690.0)</f>
        <v>2690</v>
      </c>
      <c r="C918" s="5">
        <f>IFERROR(__xludf.DUMMYFUNCTION("""COMPUTED_VALUE"""),2740.0)</f>
        <v>2740</v>
      </c>
      <c r="D918" s="5">
        <f>IFERROR(__xludf.DUMMYFUNCTION("""COMPUTED_VALUE"""),2680.0)</f>
        <v>2680</v>
      </c>
      <c r="E918" s="5">
        <f>IFERROR(__xludf.DUMMYFUNCTION("""COMPUTED_VALUE"""),2720.0)</f>
        <v>2720</v>
      </c>
      <c r="F918" s="5">
        <f>IFERROR(__xludf.DUMMYFUNCTION("""COMPUTED_VALUE"""),1.79385E7)</f>
        <v>17938500</v>
      </c>
      <c r="G918" s="5">
        <f t="shared" si="1"/>
        <v>80</v>
      </c>
    </row>
    <row r="919">
      <c r="A919" s="4">
        <f>IFERROR(__xludf.DUMMYFUNCTION("""COMPUTED_VALUE"""),45209.66666666667)</f>
        <v>45209.66667</v>
      </c>
      <c r="B919" s="5">
        <f>IFERROR(__xludf.DUMMYFUNCTION("""COMPUTED_VALUE"""),2750.0)</f>
        <v>2750</v>
      </c>
      <c r="C919" s="5">
        <f>IFERROR(__xludf.DUMMYFUNCTION("""COMPUTED_VALUE"""),2780.0)</f>
        <v>2780</v>
      </c>
      <c r="D919" s="5">
        <f>IFERROR(__xludf.DUMMYFUNCTION("""COMPUTED_VALUE"""),2740.0)</f>
        <v>2740</v>
      </c>
      <c r="E919" s="5">
        <f>IFERROR(__xludf.DUMMYFUNCTION("""COMPUTED_VALUE"""),2750.0)</f>
        <v>2750</v>
      </c>
      <c r="F919" s="5">
        <f>IFERROR(__xludf.DUMMYFUNCTION("""COMPUTED_VALUE"""),1.64672E7)</f>
        <v>16467200</v>
      </c>
      <c r="G919" s="5">
        <f t="shared" si="1"/>
        <v>60</v>
      </c>
    </row>
    <row r="920">
      <c r="A920" s="4">
        <f>IFERROR(__xludf.DUMMYFUNCTION("""COMPUTED_VALUE"""),45210.66666666667)</f>
        <v>45210.66667</v>
      </c>
      <c r="B920" s="5">
        <f>IFERROR(__xludf.DUMMYFUNCTION("""COMPUTED_VALUE"""),2780.0)</f>
        <v>2780</v>
      </c>
      <c r="C920" s="5">
        <f>IFERROR(__xludf.DUMMYFUNCTION("""COMPUTED_VALUE"""),2780.0)</f>
        <v>2780</v>
      </c>
      <c r="D920" s="5">
        <f>IFERROR(__xludf.DUMMYFUNCTION("""COMPUTED_VALUE"""),2700.0)</f>
        <v>2700</v>
      </c>
      <c r="E920" s="5">
        <f>IFERROR(__xludf.DUMMYFUNCTION("""COMPUTED_VALUE"""),2740.0)</f>
        <v>2740</v>
      </c>
      <c r="F920" s="5">
        <f>IFERROR(__xludf.DUMMYFUNCTION("""COMPUTED_VALUE"""),1.41386E7)</f>
        <v>14138600</v>
      </c>
      <c r="G920" s="5">
        <f t="shared" si="1"/>
        <v>80</v>
      </c>
    </row>
    <row r="921">
      <c r="A921" s="4">
        <f>IFERROR(__xludf.DUMMYFUNCTION("""COMPUTED_VALUE"""),45211.66666666667)</f>
        <v>45211.66667</v>
      </c>
      <c r="B921" s="5">
        <f>IFERROR(__xludf.DUMMYFUNCTION("""COMPUTED_VALUE"""),2740.0)</f>
        <v>2740</v>
      </c>
      <c r="C921" s="5">
        <f>IFERROR(__xludf.DUMMYFUNCTION("""COMPUTED_VALUE"""),2760.0)</f>
        <v>2760</v>
      </c>
      <c r="D921" s="5">
        <f>IFERROR(__xludf.DUMMYFUNCTION("""COMPUTED_VALUE"""),2700.0)</f>
        <v>2700</v>
      </c>
      <c r="E921" s="5">
        <f>IFERROR(__xludf.DUMMYFUNCTION("""COMPUTED_VALUE"""),2710.0)</f>
        <v>2710</v>
      </c>
      <c r="F921" s="5">
        <f>IFERROR(__xludf.DUMMYFUNCTION("""COMPUTED_VALUE"""),6972300.0)</f>
        <v>6972300</v>
      </c>
      <c r="G921" s="5">
        <f t="shared" si="1"/>
        <v>60</v>
      </c>
    </row>
    <row r="922">
      <c r="A922" s="4">
        <f>IFERROR(__xludf.DUMMYFUNCTION("""COMPUTED_VALUE"""),45212.66666666667)</f>
        <v>45212.66667</v>
      </c>
      <c r="B922" s="5">
        <f>IFERROR(__xludf.DUMMYFUNCTION("""COMPUTED_VALUE"""),2740.0)</f>
        <v>2740</v>
      </c>
      <c r="C922" s="5">
        <f>IFERROR(__xludf.DUMMYFUNCTION("""COMPUTED_VALUE"""),2740.0)</f>
        <v>2740</v>
      </c>
      <c r="D922" s="5">
        <f>IFERROR(__xludf.DUMMYFUNCTION("""COMPUTED_VALUE"""),2690.0)</f>
        <v>2690</v>
      </c>
      <c r="E922" s="5">
        <f>IFERROR(__xludf.DUMMYFUNCTION("""COMPUTED_VALUE"""),2690.0)</f>
        <v>2690</v>
      </c>
      <c r="F922" s="5">
        <f>IFERROR(__xludf.DUMMYFUNCTION("""COMPUTED_VALUE"""),9031100.0)</f>
        <v>9031100</v>
      </c>
      <c r="G922" s="5">
        <f t="shared" si="1"/>
        <v>50</v>
      </c>
    </row>
    <row r="923">
      <c r="A923" s="4">
        <f>IFERROR(__xludf.DUMMYFUNCTION("""COMPUTED_VALUE"""),45215.66666666667)</f>
        <v>45215.66667</v>
      </c>
      <c r="B923" s="5">
        <f>IFERROR(__xludf.DUMMYFUNCTION("""COMPUTED_VALUE"""),2700.0)</f>
        <v>2700</v>
      </c>
      <c r="C923" s="5">
        <f>IFERROR(__xludf.DUMMYFUNCTION("""COMPUTED_VALUE"""),2740.0)</f>
        <v>2740</v>
      </c>
      <c r="D923" s="5">
        <f>IFERROR(__xludf.DUMMYFUNCTION("""COMPUTED_VALUE"""),2700.0)</f>
        <v>2700</v>
      </c>
      <c r="E923" s="5">
        <f>IFERROR(__xludf.DUMMYFUNCTION("""COMPUTED_VALUE"""),2710.0)</f>
        <v>2710</v>
      </c>
      <c r="F923" s="5">
        <f>IFERROR(__xludf.DUMMYFUNCTION("""COMPUTED_VALUE"""),1.05594E7)</f>
        <v>10559400</v>
      </c>
      <c r="G923" s="5">
        <f t="shared" si="1"/>
        <v>50</v>
      </c>
    </row>
    <row r="924">
      <c r="A924" s="4">
        <f>IFERROR(__xludf.DUMMYFUNCTION("""COMPUTED_VALUE"""),45216.66666666667)</f>
        <v>45216.66667</v>
      </c>
      <c r="B924" s="5">
        <f>IFERROR(__xludf.DUMMYFUNCTION("""COMPUTED_VALUE"""),2710.0)</f>
        <v>2710</v>
      </c>
      <c r="C924" s="5">
        <f>IFERROR(__xludf.DUMMYFUNCTION("""COMPUTED_VALUE"""),2740.0)</f>
        <v>2740</v>
      </c>
      <c r="D924" s="5">
        <f>IFERROR(__xludf.DUMMYFUNCTION("""COMPUTED_VALUE"""),2710.0)</f>
        <v>2710</v>
      </c>
      <c r="E924" s="5">
        <f>IFERROR(__xludf.DUMMYFUNCTION("""COMPUTED_VALUE"""),2720.0)</f>
        <v>2720</v>
      </c>
      <c r="F924" s="5">
        <f>IFERROR(__xludf.DUMMYFUNCTION("""COMPUTED_VALUE"""),4603300.0)</f>
        <v>4603300</v>
      </c>
      <c r="G924" s="5">
        <f t="shared" si="1"/>
        <v>30</v>
      </c>
    </row>
    <row r="925">
      <c r="A925" s="4">
        <f>IFERROR(__xludf.DUMMYFUNCTION("""COMPUTED_VALUE"""),45217.66666666667)</f>
        <v>45217.66667</v>
      </c>
      <c r="B925" s="5">
        <f>IFERROR(__xludf.DUMMYFUNCTION("""COMPUTED_VALUE"""),2720.0)</f>
        <v>2720</v>
      </c>
      <c r="C925" s="5">
        <f>IFERROR(__xludf.DUMMYFUNCTION("""COMPUTED_VALUE"""),2750.0)</f>
        <v>2750</v>
      </c>
      <c r="D925" s="5">
        <f>IFERROR(__xludf.DUMMYFUNCTION("""COMPUTED_VALUE"""),2700.0)</f>
        <v>2700</v>
      </c>
      <c r="E925" s="5">
        <f>IFERROR(__xludf.DUMMYFUNCTION("""COMPUTED_VALUE"""),2720.0)</f>
        <v>2720</v>
      </c>
      <c r="F925" s="5">
        <f>IFERROR(__xludf.DUMMYFUNCTION("""COMPUTED_VALUE"""),8393100.0)</f>
        <v>8393100</v>
      </c>
      <c r="G925" s="5">
        <f t="shared" si="1"/>
        <v>50</v>
      </c>
    </row>
    <row r="926">
      <c r="A926" s="4">
        <f>IFERROR(__xludf.DUMMYFUNCTION("""COMPUTED_VALUE"""),45218.66666666667)</f>
        <v>45218.66667</v>
      </c>
      <c r="B926" s="5">
        <f>IFERROR(__xludf.DUMMYFUNCTION("""COMPUTED_VALUE"""),2730.0)</f>
        <v>2730</v>
      </c>
      <c r="C926" s="5">
        <f>IFERROR(__xludf.DUMMYFUNCTION("""COMPUTED_VALUE"""),2730.0)</f>
        <v>2730</v>
      </c>
      <c r="D926" s="5">
        <f>IFERROR(__xludf.DUMMYFUNCTION("""COMPUTED_VALUE"""),2680.0)</f>
        <v>2680</v>
      </c>
      <c r="E926" s="5">
        <f>IFERROR(__xludf.DUMMYFUNCTION("""COMPUTED_VALUE"""),2690.0)</f>
        <v>2690</v>
      </c>
      <c r="F926" s="5">
        <f>IFERROR(__xludf.DUMMYFUNCTION("""COMPUTED_VALUE"""),1.00485E7)</f>
        <v>10048500</v>
      </c>
      <c r="G926" s="5">
        <f t="shared" si="1"/>
        <v>50</v>
      </c>
    </row>
    <row r="927">
      <c r="A927" s="4">
        <f>IFERROR(__xludf.DUMMYFUNCTION("""COMPUTED_VALUE"""),45219.66666666667)</f>
        <v>45219.66667</v>
      </c>
      <c r="B927" s="5">
        <f>IFERROR(__xludf.DUMMYFUNCTION("""COMPUTED_VALUE"""),2700.0)</f>
        <v>2700</v>
      </c>
      <c r="C927" s="5">
        <f>IFERROR(__xludf.DUMMYFUNCTION("""COMPUTED_VALUE"""),2720.0)</f>
        <v>2720</v>
      </c>
      <c r="D927" s="5">
        <f>IFERROR(__xludf.DUMMYFUNCTION("""COMPUTED_VALUE"""),2670.0)</f>
        <v>2670</v>
      </c>
      <c r="E927" s="5">
        <f>IFERROR(__xludf.DUMMYFUNCTION("""COMPUTED_VALUE"""),2720.0)</f>
        <v>2720</v>
      </c>
      <c r="F927" s="5">
        <f>IFERROR(__xludf.DUMMYFUNCTION("""COMPUTED_VALUE"""),8034000.0)</f>
        <v>8034000</v>
      </c>
      <c r="G927" s="5">
        <f t="shared" si="1"/>
        <v>50</v>
      </c>
    </row>
    <row r="928">
      <c r="A928" s="4">
        <f>IFERROR(__xludf.DUMMYFUNCTION("""COMPUTED_VALUE"""),45222.66666666667)</f>
        <v>45222.66667</v>
      </c>
      <c r="B928" s="5">
        <f>IFERROR(__xludf.DUMMYFUNCTION("""COMPUTED_VALUE"""),2720.0)</f>
        <v>2720</v>
      </c>
      <c r="C928" s="5">
        <f>IFERROR(__xludf.DUMMYFUNCTION("""COMPUTED_VALUE"""),2720.0)</f>
        <v>2720</v>
      </c>
      <c r="D928" s="5">
        <f>IFERROR(__xludf.DUMMYFUNCTION("""COMPUTED_VALUE"""),2650.0)</f>
        <v>2650</v>
      </c>
      <c r="E928" s="5">
        <f>IFERROR(__xludf.DUMMYFUNCTION("""COMPUTED_VALUE"""),2660.0)</f>
        <v>2660</v>
      </c>
      <c r="F928" s="5">
        <f>IFERROR(__xludf.DUMMYFUNCTION("""COMPUTED_VALUE"""),1.55627E7)</f>
        <v>15562700</v>
      </c>
      <c r="G928" s="5">
        <f t="shared" si="1"/>
        <v>70</v>
      </c>
    </row>
    <row r="929">
      <c r="A929" s="4">
        <f>IFERROR(__xludf.DUMMYFUNCTION("""COMPUTED_VALUE"""),45223.66666666667)</f>
        <v>45223.66667</v>
      </c>
      <c r="B929" s="5">
        <f>IFERROR(__xludf.DUMMYFUNCTION("""COMPUTED_VALUE"""),2660.0)</f>
        <v>2660</v>
      </c>
      <c r="C929" s="5">
        <f>IFERROR(__xludf.DUMMYFUNCTION("""COMPUTED_VALUE"""),2690.0)</f>
        <v>2690</v>
      </c>
      <c r="D929" s="5">
        <f>IFERROR(__xludf.DUMMYFUNCTION("""COMPUTED_VALUE"""),2660.0)</f>
        <v>2660</v>
      </c>
      <c r="E929" s="5">
        <f>IFERROR(__xludf.DUMMYFUNCTION("""COMPUTED_VALUE"""),2670.0)</f>
        <v>2670</v>
      </c>
      <c r="F929" s="5">
        <f>IFERROR(__xludf.DUMMYFUNCTION("""COMPUTED_VALUE"""),4910200.0)</f>
        <v>4910200</v>
      </c>
      <c r="G929" s="5">
        <f t="shared" si="1"/>
        <v>30</v>
      </c>
    </row>
    <row r="930">
      <c r="A930" s="4">
        <f>IFERROR(__xludf.DUMMYFUNCTION("""COMPUTED_VALUE"""),45224.66666666667)</f>
        <v>45224.66667</v>
      </c>
      <c r="B930" s="5">
        <f>IFERROR(__xludf.DUMMYFUNCTION("""COMPUTED_VALUE"""),2670.0)</f>
        <v>2670</v>
      </c>
      <c r="C930" s="5">
        <f>IFERROR(__xludf.DUMMYFUNCTION("""COMPUTED_VALUE"""),2710.0)</f>
        <v>2710</v>
      </c>
      <c r="D930" s="5">
        <f>IFERROR(__xludf.DUMMYFUNCTION("""COMPUTED_VALUE"""),2660.0)</f>
        <v>2660</v>
      </c>
      <c r="E930" s="5">
        <f>IFERROR(__xludf.DUMMYFUNCTION("""COMPUTED_VALUE"""),2690.0)</f>
        <v>2690</v>
      </c>
      <c r="F930" s="5">
        <f>IFERROR(__xludf.DUMMYFUNCTION("""COMPUTED_VALUE"""),7822600.0)</f>
        <v>7822600</v>
      </c>
      <c r="G930" s="5">
        <f t="shared" si="1"/>
        <v>50</v>
      </c>
    </row>
    <row r="931">
      <c r="A931" s="4">
        <f>IFERROR(__xludf.DUMMYFUNCTION("""COMPUTED_VALUE"""),45225.66666666667)</f>
        <v>45225.66667</v>
      </c>
      <c r="B931" s="5">
        <f>IFERROR(__xludf.DUMMYFUNCTION("""COMPUTED_VALUE"""),2690.0)</f>
        <v>2690</v>
      </c>
      <c r="C931" s="5">
        <f>IFERROR(__xludf.DUMMYFUNCTION("""COMPUTED_VALUE"""),2700.0)</f>
        <v>2700</v>
      </c>
      <c r="D931" s="5">
        <f>IFERROR(__xludf.DUMMYFUNCTION("""COMPUTED_VALUE"""),2640.0)</f>
        <v>2640</v>
      </c>
      <c r="E931" s="5">
        <f>IFERROR(__xludf.DUMMYFUNCTION("""COMPUTED_VALUE"""),2660.0)</f>
        <v>2660</v>
      </c>
      <c r="F931" s="5">
        <f>IFERROR(__xludf.DUMMYFUNCTION("""COMPUTED_VALUE"""),8877200.0)</f>
        <v>8877200</v>
      </c>
      <c r="G931" s="5">
        <f t="shared" si="1"/>
        <v>60</v>
      </c>
    </row>
    <row r="932">
      <c r="A932" s="4">
        <f>IFERROR(__xludf.DUMMYFUNCTION("""COMPUTED_VALUE"""),45226.66666666667)</f>
        <v>45226.66667</v>
      </c>
      <c r="B932" s="5">
        <f>IFERROR(__xludf.DUMMYFUNCTION("""COMPUTED_VALUE"""),2660.0)</f>
        <v>2660</v>
      </c>
      <c r="C932" s="5">
        <f>IFERROR(__xludf.DUMMYFUNCTION("""COMPUTED_VALUE"""),2680.0)</f>
        <v>2680</v>
      </c>
      <c r="D932" s="5">
        <f>IFERROR(__xludf.DUMMYFUNCTION("""COMPUTED_VALUE"""),2650.0)</f>
        <v>2650</v>
      </c>
      <c r="E932" s="5">
        <f>IFERROR(__xludf.DUMMYFUNCTION("""COMPUTED_VALUE"""),2660.0)</f>
        <v>2660</v>
      </c>
      <c r="F932" s="5">
        <f>IFERROR(__xludf.DUMMYFUNCTION("""COMPUTED_VALUE"""),3865600.0)</f>
        <v>3865600</v>
      </c>
      <c r="G932" s="5">
        <f t="shared" si="1"/>
        <v>30</v>
      </c>
    </row>
    <row r="933">
      <c r="A933" s="4">
        <f>IFERROR(__xludf.DUMMYFUNCTION("""COMPUTED_VALUE"""),45229.66666666667)</f>
        <v>45229.66667</v>
      </c>
      <c r="B933" s="5">
        <f>IFERROR(__xludf.DUMMYFUNCTION("""COMPUTED_VALUE"""),2660.0)</f>
        <v>2660</v>
      </c>
      <c r="C933" s="5">
        <f>IFERROR(__xludf.DUMMYFUNCTION("""COMPUTED_VALUE"""),2680.0)</f>
        <v>2680</v>
      </c>
      <c r="D933" s="5">
        <f>IFERROR(__xludf.DUMMYFUNCTION("""COMPUTED_VALUE"""),2590.0)</f>
        <v>2590</v>
      </c>
      <c r="E933" s="5">
        <f>IFERROR(__xludf.DUMMYFUNCTION("""COMPUTED_VALUE"""),2590.0)</f>
        <v>2590</v>
      </c>
      <c r="F933" s="5">
        <f>IFERROR(__xludf.DUMMYFUNCTION("""COMPUTED_VALUE"""),1.39717E7)</f>
        <v>13971700</v>
      </c>
      <c r="G933" s="5">
        <f t="shared" si="1"/>
        <v>90</v>
      </c>
    </row>
    <row r="934">
      <c r="A934" s="4">
        <f>IFERROR(__xludf.DUMMYFUNCTION("""COMPUTED_VALUE"""),45230.66666666667)</f>
        <v>45230.66667</v>
      </c>
      <c r="B934" s="5">
        <f>IFERROR(__xludf.DUMMYFUNCTION("""COMPUTED_VALUE"""),2510.0)</f>
        <v>2510</v>
      </c>
      <c r="C934" s="5">
        <f>IFERROR(__xludf.DUMMYFUNCTION("""COMPUTED_VALUE"""),2540.0)</f>
        <v>2540</v>
      </c>
      <c r="D934" s="5">
        <f>IFERROR(__xludf.DUMMYFUNCTION("""COMPUTED_VALUE"""),2450.0)</f>
        <v>2450</v>
      </c>
      <c r="E934" s="5">
        <f>IFERROR(__xludf.DUMMYFUNCTION("""COMPUTED_VALUE"""),2480.0)</f>
        <v>2480</v>
      </c>
      <c r="F934" s="5">
        <f>IFERROR(__xludf.DUMMYFUNCTION("""COMPUTED_VALUE"""),3.50096E7)</f>
        <v>35009600</v>
      </c>
      <c r="G934" s="5">
        <f t="shared" si="1"/>
        <v>140</v>
      </c>
    </row>
    <row r="935">
      <c r="A935" s="4">
        <f>IFERROR(__xludf.DUMMYFUNCTION("""COMPUTED_VALUE"""),45231.66666666667)</f>
        <v>45231.66667</v>
      </c>
      <c r="B935" s="5">
        <f>IFERROR(__xludf.DUMMYFUNCTION("""COMPUTED_VALUE"""),2460.0)</f>
        <v>2460</v>
      </c>
      <c r="C935" s="5">
        <f>IFERROR(__xludf.DUMMYFUNCTION("""COMPUTED_VALUE"""),2470.0)</f>
        <v>2470</v>
      </c>
      <c r="D935" s="5">
        <f>IFERROR(__xludf.DUMMYFUNCTION("""COMPUTED_VALUE"""),2350.0)</f>
        <v>2350</v>
      </c>
      <c r="E935" s="5">
        <f>IFERROR(__xludf.DUMMYFUNCTION("""COMPUTED_VALUE"""),2360.0)</f>
        <v>2360</v>
      </c>
      <c r="F935" s="5">
        <f>IFERROR(__xludf.DUMMYFUNCTION("""COMPUTED_VALUE"""),2.97462E7)</f>
        <v>29746200</v>
      </c>
      <c r="G935" s="5">
        <f t="shared" si="1"/>
        <v>130</v>
      </c>
    </row>
    <row r="936">
      <c r="A936" s="4">
        <f>IFERROR(__xludf.DUMMYFUNCTION("""COMPUTED_VALUE"""),45232.66666666667)</f>
        <v>45232.66667</v>
      </c>
      <c r="B936" s="5">
        <f>IFERROR(__xludf.DUMMYFUNCTION("""COMPUTED_VALUE"""),2360.0)</f>
        <v>2360</v>
      </c>
      <c r="C936" s="5">
        <f>IFERROR(__xludf.DUMMYFUNCTION("""COMPUTED_VALUE"""),2410.0)</f>
        <v>2410</v>
      </c>
      <c r="D936" s="5">
        <f>IFERROR(__xludf.DUMMYFUNCTION("""COMPUTED_VALUE"""),2360.0)</f>
        <v>2360</v>
      </c>
      <c r="E936" s="5">
        <f>IFERROR(__xludf.DUMMYFUNCTION("""COMPUTED_VALUE"""),2380.0)</f>
        <v>2380</v>
      </c>
      <c r="F936" s="5">
        <f>IFERROR(__xludf.DUMMYFUNCTION("""COMPUTED_VALUE"""),1.47685E7)</f>
        <v>14768500</v>
      </c>
      <c r="G936" s="5">
        <f t="shared" si="1"/>
        <v>50</v>
      </c>
    </row>
    <row r="937">
      <c r="A937" s="4">
        <f>IFERROR(__xludf.DUMMYFUNCTION("""COMPUTED_VALUE"""),45233.66666666667)</f>
        <v>45233.66667</v>
      </c>
      <c r="B937" s="5">
        <f>IFERROR(__xludf.DUMMYFUNCTION("""COMPUTED_VALUE"""),2390.0)</f>
        <v>2390</v>
      </c>
      <c r="C937" s="5">
        <f>IFERROR(__xludf.DUMMYFUNCTION("""COMPUTED_VALUE"""),2420.0)</f>
        <v>2420</v>
      </c>
      <c r="D937" s="5">
        <f>IFERROR(__xludf.DUMMYFUNCTION("""COMPUTED_VALUE"""),2380.0)</f>
        <v>2380</v>
      </c>
      <c r="E937" s="5">
        <f>IFERROR(__xludf.DUMMYFUNCTION("""COMPUTED_VALUE"""),2390.0)</f>
        <v>2390</v>
      </c>
      <c r="F937" s="5">
        <f>IFERROR(__xludf.DUMMYFUNCTION("""COMPUTED_VALUE"""),1.54753E7)</f>
        <v>15475300</v>
      </c>
      <c r="G937" s="5">
        <f t="shared" si="1"/>
        <v>40</v>
      </c>
    </row>
    <row r="938">
      <c r="A938" s="4">
        <f>IFERROR(__xludf.DUMMYFUNCTION("""COMPUTED_VALUE"""),45236.66666666667)</f>
        <v>45236.66667</v>
      </c>
      <c r="B938" s="5">
        <f>IFERROR(__xludf.DUMMYFUNCTION("""COMPUTED_VALUE"""),2400.0)</f>
        <v>2400</v>
      </c>
      <c r="C938" s="5">
        <f>IFERROR(__xludf.DUMMYFUNCTION("""COMPUTED_VALUE"""),2420.0)</f>
        <v>2420</v>
      </c>
      <c r="D938" s="5">
        <f>IFERROR(__xludf.DUMMYFUNCTION("""COMPUTED_VALUE"""),2390.0)</f>
        <v>2390</v>
      </c>
      <c r="E938" s="5">
        <f>IFERROR(__xludf.DUMMYFUNCTION("""COMPUTED_VALUE"""),2400.0)</f>
        <v>2400</v>
      </c>
      <c r="F938" s="5">
        <f>IFERROR(__xludf.DUMMYFUNCTION("""COMPUTED_VALUE"""),1.03894E7)</f>
        <v>10389400</v>
      </c>
      <c r="G938" s="5">
        <f t="shared" si="1"/>
        <v>30</v>
      </c>
    </row>
    <row r="939">
      <c r="A939" s="4">
        <f>IFERROR(__xludf.DUMMYFUNCTION("""COMPUTED_VALUE"""),45237.66666666667)</f>
        <v>45237.66667</v>
      </c>
      <c r="B939" s="5">
        <f>IFERROR(__xludf.DUMMYFUNCTION("""COMPUTED_VALUE"""),2400.0)</f>
        <v>2400</v>
      </c>
      <c r="C939" s="5">
        <f>IFERROR(__xludf.DUMMYFUNCTION("""COMPUTED_VALUE"""),2410.0)</f>
        <v>2410</v>
      </c>
      <c r="D939" s="5">
        <f>IFERROR(__xludf.DUMMYFUNCTION("""COMPUTED_VALUE"""),2350.0)</f>
        <v>2350</v>
      </c>
      <c r="E939" s="5">
        <f>IFERROR(__xludf.DUMMYFUNCTION("""COMPUTED_VALUE"""),2360.0)</f>
        <v>2360</v>
      </c>
      <c r="F939" s="5">
        <f>IFERROR(__xludf.DUMMYFUNCTION("""COMPUTED_VALUE"""),1.13167E7)</f>
        <v>11316700</v>
      </c>
      <c r="G939" s="5">
        <f t="shared" si="1"/>
        <v>60</v>
      </c>
    </row>
    <row r="940">
      <c r="A940" s="4">
        <f>IFERROR(__xludf.DUMMYFUNCTION("""COMPUTED_VALUE"""),45238.66666666667)</f>
        <v>45238.66667</v>
      </c>
      <c r="B940" s="5">
        <f>IFERROR(__xludf.DUMMYFUNCTION("""COMPUTED_VALUE"""),2360.0)</f>
        <v>2360</v>
      </c>
      <c r="C940" s="5">
        <f>IFERROR(__xludf.DUMMYFUNCTION("""COMPUTED_VALUE"""),2370.0)</f>
        <v>2370</v>
      </c>
      <c r="D940" s="5">
        <f>IFERROR(__xludf.DUMMYFUNCTION("""COMPUTED_VALUE"""),2310.0)</f>
        <v>2310</v>
      </c>
      <c r="E940" s="5">
        <f>IFERROR(__xludf.DUMMYFUNCTION("""COMPUTED_VALUE"""),2330.0)</f>
        <v>2330</v>
      </c>
      <c r="F940" s="5">
        <f>IFERROR(__xludf.DUMMYFUNCTION("""COMPUTED_VALUE"""),1.0537E7)</f>
        <v>10537000</v>
      </c>
      <c r="G940" s="5">
        <f t="shared" si="1"/>
        <v>60</v>
      </c>
    </row>
    <row r="941">
      <c r="A941" s="4">
        <f>IFERROR(__xludf.DUMMYFUNCTION("""COMPUTED_VALUE"""),45239.66666666667)</f>
        <v>45239.66667</v>
      </c>
      <c r="B941" s="5">
        <f>IFERROR(__xludf.DUMMYFUNCTION("""COMPUTED_VALUE"""),2350.0)</f>
        <v>2350</v>
      </c>
      <c r="C941" s="5">
        <f>IFERROR(__xludf.DUMMYFUNCTION("""COMPUTED_VALUE"""),2370.0)</f>
        <v>2370</v>
      </c>
      <c r="D941" s="5">
        <f>IFERROR(__xludf.DUMMYFUNCTION("""COMPUTED_VALUE"""),2330.0)</f>
        <v>2330</v>
      </c>
      <c r="E941" s="5">
        <f>IFERROR(__xludf.DUMMYFUNCTION("""COMPUTED_VALUE"""),2350.0)</f>
        <v>2350</v>
      </c>
      <c r="F941" s="5">
        <f>IFERROR(__xludf.DUMMYFUNCTION("""COMPUTED_VALUE"""),9197100.0)</f>
        <v>9197100</v>
      </c>
      <c r="G941" s="5">
        <f t="shared" si="1"/>
        <v>40</v>
      </c>
    </row>
    <row r="942">
      <c r="A942" s="4">
        <f>IFERROR(__xludf.DUMMYFUNCTION("""COMPUTED_VALUE"""),45240.66666666667)</f>
        <v>45240.66667</v>
      </c>
      <c r="B942" s="5">
        <f>IFERROR(__xludf.DUMMYFUNCTION("""COMPUTED_VALUE"""),2350.0)</f>
        <v>2350</v>
      </c>
      <c r="C942" s="5">
        <f>IFERROR(__xludf.DUMMYFUNCTION("""COMPUTED_VALUE"""),2370.0)</f>
        <v>2370</v>
      </c>
      <c r="D942" s="5">
        <f>IFERROR(__xludf.DUMMYFUNCTION("""COMPUTED_VALUE"""),2340.0)</f>
        <v>2340</v>
      </c>
      <c r="E942" s="5">
        <f>IFERROR(__xludf.DUMMYFUNCTION("""COMPUTED_VALUE"""),2340.0)</f>
        <v>2340</v>
      </c>
      <c r="F942" s="5">
        <f>IFERROR(__xludf.DUMMYFUNCTION("""COMPUTED_VALUE"""),5557200.0)</f>
        <v>5557200</v>
      </c>
      <c r="G942" s="5">
        <f t="shared" si="1"/>
        <v>30</v>
      </c>
    </row>
    <row r="943">
      <c r="A943" s="4">
        <f>IFERROR(__xludf.DUMMYFUNCTION("""COMPUTED_VALUE"""),45243.66666666667)</f>
        <v>45243.66667</v>
      </c>
      <c r="B943" s="5">
        <f>IFERROR(__xludf.DUMMYFUNCTION("""COMPUTED_VALUE"""),2340.0)</f>
        <v>2340</v>
      </c>
      <c r="C943" s="5">
        <f>IFERROR(__xludf.DUMMYFUNCTION("""COMPUTED_VALUE"""),2370.0)</f>
        <v>2370</v>
      </c>
      <c r="D943" s="5">
        <f>IFERROR(__xludf.DUMMYFUNCTION("""COMPUTED_VALUE"""),2340.0)</f>
        <v>2340</v>
      </c>
      <c r="E943" s="5">
        <f>IFERROR(__xludf.DUMMYFUNCTION("""COMPUTED_VALUE"""),2360.0)</f>
        <v>2360</v>
      </c>
      <c r="F943" s="5">
        <f>IFERROR(__xludf.DUMMYFUNCTION("""COMPUTED_VALUE"""),6214200.0)</f>
        <v>6214200</v>
      </c>
      <c r="G943" s="5">
        <f t="shared" si="1"/>
        <v>30</v>
      </c>
    </row>
    <row r="944">
      <c r="A944" s="4">
        <f>IFERROR(__xludf.DUMMYFUNCTION("""COMPUTED_VALUE"""),45244.66666666667)</f>
        <v>45244.66667</v>
      </c>
      <c r="B944" s="5">
        <f>IFERROR(__xludf.DUMMYFUNCTION("""COMPUTED_VALUE"""),2360.0)</f>
        <v>2360</v>
      </c>
      <c r="C944" s="5">
        <f>IFERROR(__xludf.DUMMYFUNCTION("""COMPUTED_VALUE"""),2400.0)</f>
        <v>2400</v>
      </c>
      <c r="D944" s="5">
        <f>IFERROR(__xludf.DUMMYFUNCTION("""COMPUTED_VALUE"""),2360.0)</f>
        <v>2360</v>
      </c>
      <c r="E944" s="5">
        <f>IFERROR(__xludf.DUMMYFUNCTION("""COMPUTED_VALUE"""),2390.0)</f>
        <v>2390</v>
      </c>
      <c r="F944" s="5">
        <f>IFERROR(__xludf.DUMMYFUNCTION("""COMPUTED_VALUE"""),6851600.0)</f>
        <v>6851600</v>
      </c>
      <c r="G944" s="5">
        <f t="shared" si="1"/>
        <v>40</v>
      </c>
    </row>
    <row r="945">
      <c r="A945" s="4">
        <f>IFERROR(__xludf.DUMMYFUNCTION("""COMPUTED_VALUE"""),45245.66666666667)</f>
        <v>45245.66667</v>
      </c>
      <c r="B945" s="5">
        <f>IFERROR(__xludf.DUMMYFUNCTION("""COMPUTED_VALUE"""),2400.0)</f>
        <v>2400</v>
      </c>
      <c r="C945" s="5">
        <f>IFERROR(__xludf.DUMMYFUNCTION("""COMPUTED_VALUE"""),2430.0)</f>
        <v>2430</v>
      </c>
      <c r="D945" s="5">
        <f>IFERROR(__xludf.DUMMYFUNCTION("""COMPUTED_VALUE"""),2400.0)</f>
        <v>2400</v>
      </c>
      <c r="E945" s="5">
        <f>IFERROR(__xludf.DUMMYFUNCTION("""COMPUTED_VALUE"""),2400.0)</f>
        <v>2400</v>
      </c>
      <c r="F945" s="5">
        <f>IFERROR(__xludf.DUMMYFUNCTION("""COMPUTED_VALUE"""),7956100.0)</f>
        <v>7956100</v>
      </c>
      <c r="G945" s="5">
        <f t="shared" si="1"/>
        <v>40</v>
      </c>
    </row>
    <row r="946">
      <c r="A946" s="4">
        <f>IFERROR(__xludf.DUMMYFUNCTION("""COMPUTED_VALUE"""),45246.66666666667)</f>
        <v>45246.66667</v>
      </c>
      <c r="B946" s="5">
        <f>IFERROR(__xludf.DUMMYFUNCTION("""COMPUTED_VALUE"""),2400.0)</f>
        <v>2400</v>
      </c>
      <c r="C946" s="5">
        <f>IFERROR(__xludf.DUMMYFUNCTION("""COMPUTED_VALUE"""),2410.0)</f>
        <v>2410</v>
      </c>
      <c r="D946" s="5">
        <f>IFERROR(__xludf.DUMMYFUNCTION("""COMPUTED_VALUE"""),2370.0)</f>
        <v>2370</v>
      </c>
      <c r="E946" s="5">
        <f>IFERROR(__xludf.DUMMYFUNCTION("""COMPUTED_VALUE"""),2380.0)</f>
        <v>2380</v>
      </c>
      <c r="F946" s="5">
        <f>IFERROR(__xludf.DUMMYFUNCTION("""COMPUTED_VALUE"""),4849600.0)</f>
        <v>4849600</v>
      </c>
      <c r="G946" s="5">
        <f t="shared" si="1"/>
        <v>40</v>
      </c>
    </row>
    <row r="947">
      <c r="A947" s="4">
        <f>IFERROR(__xludf.DUMMYFUNCTION("""COMPUTED_VALUE"""),45247.66666666667)</f>
        <v>45247.66667</v>
      </c>
      <c r="B947" s="5">
        <f>IFERROR(__xludf.DUMMYFUNCTION("""COMPUTED_VALUE"""),2380.0)</f>
        <v>2380</v>
      </c>
      <c r="C947" s="5">
        <f>IFERROR(__xludf.DUMMYFUNCTION("""COMPUTED_VALUE"""),2410.0)</f>
        <v>2410</v>
      </c>
      <c r="D947" s="5">
        <f>IFERROR(__xludf.DUMMYFUNCTION("""COMPUTED_VALUE"""),2380.0)</f>
        <v>2380</v>
      </c>
      <c r="E947" s="5">
        <f>IFERROR(__xludf.DUMMYFUNCTION("""COMPUTED_VALUE"""),2400.0)</f>
        <v>2400</v>
      </c>
      <c r="F947" s="5">
        <f>IFERROR(__xludf.DUMMYFUNCTION("""COMPUTED_VALUE"""),4944200.0)</f>
        <v>4944200</v>
      </c>
      <c r="G947" s="5">
        <f t="shared" si="1"/>
        <v>30</v>
      </c>
    </row>
    <row r="948">
      <c r="A948" s="4">
        <f>IFERROR(__xludf.DUMMYFUNCTION("""COMPUTED_VALUE"""),45250.66666666667)</f>
        <v>45250.66667</v>
      </c>
      <c r="B948" s="5">
        <f>IFERROR(__xludf.DUMMYFUNCTION("""COMPUTED_VALUE"""),2400.0)</f>
        <v>2400</v>
      </c>
      <c r="C948" s="5">
        <f>IFERROR(__xludf.DUMMYFUNCTION("""COMPUTED_VALUE"""),2440.0)</f>
        <v>2440</v>
      </c>
      <c r="D948" s="5">
        <f>IFERROR(__xludf.DUMMYFUNCTION("""COMPUTED_VALUE"""),2400.0)</f>
        <v>2400</v>
      </c>
      <c r="E948" s="5">
        <f>IFERROR(__xludf.DUMMYFUNCTION("""COMPUTED_VALUE"""),2420.0)</f>
        <v>2420</v>
      </c>
      <c r="F948" s="5">
        <f>IFERROR(__xludf.DUMMYFUNCTION("""COMPUTED_VALUE"""),5072600.0)</f>
        <v>5072600</v>
      </c>
      <c r="G948" s="5">
        <f t="shared" si="1"/>
        <v>40</v>
      </c>
    </row>
    <row r="949">
      <c r="A949" s="4">
        <f>IFERROR(__xludf.DUMMYFUNCTION("""COMPUTED_VALUE"""),45251.66666666667)</f>
        <v>45251.66667</v>
      </c>
      <c r="B949" s="5">
        <f>IFERROR(__xludf.DUMMYFUNCTION("""COMPUTED_VALUE"""),2420.0)</f>
        <v>2420</v>
      </c>
      <c r="C949" s="5">
        <f>IFERROR(__xludf.DUMMYFUNCTION("""COMPUTED_VALUE"""),2440.0)</f>
        <v>2440</v>
      </c>
      <c r="D949" s="5">
        <f>IFERROR(__xludf.DUMMYFUNCTION("""COMPUTED_VALUE"""),2410.0)</f>
        <v>2410</v>
      </c>
      <c r="E949" s="5">
        <f>IFERROR(__xludf.DUMMYFUNCTION("""COMPUTED_VALUE"""),2430.0)</f>
        <v>2430</v>
      </c>
      <c r="F949" s="5">
        <f>IFERROR(__xludf.DUMMYFUNCTION("""COMPUTED_VALUE"""),4335600.0)</f>
        <v>4335600</v>
      </c>
      <c r="G949" s="5">
        <f t="shared" si="1"/>
        <v>30</v>
      </c>
    </row>
    <row r="950">
      <c r="A950" s="4">
        <f>IFERROR(__xludf.DUMMYFUNCTION("""COMPUTED_VALUE"""),45252.66666666667)</f>
        <v>45252.66667</v>
      </c>
      <c r="B950" s="5">
        <f>IFERROR(__xludf.DUMMYFUNCTION("""COMPUTED_VALUE"""),2440.0)</f>
        <v>2440</v>
      </c>
      <c r="C950" s="5">
        <f>IFERROR(__xludf.DUMMYFUNCTION("""COMPUTED_VALUE"""),2490.0)</f>
        <v>2490</v>
      </c>
      <c r="D950" s="5">
        <f>IFERROR(__xludf.DUMMYFUNCTION("""COMPUTED_VALUE"""),2420.0)</f>
        <v>2420</v>
      </c>
      <c r="E950" s="5">
        <f>IFERROR(__xludf.DUMMYFUNCTION("""COMPUTED_VALUE"""),2420.0)</f>
        <v>2420</v>
      </c>
      <c r="F950" s="5">
        <f>IFERROR(__xludf.DUMMYFUNCTION("""COMPUTED_VALUE"""),8969300.0)</f>
        <v>8969300</v>
      </c>
      <c r="G950" s="5">
        <f t="shared" si="1"/>
        <v>70</v>
      </c>
    </row>
    <row r="951">
      <c r="A951" s="4">
        <f>IFERROR(__xludf.DUMMYFUNCTION("""COMPUTED_VALUE"""),45253.66666666667)</f>
        <v>45253.66667</v>
      </c>
      <c r="B951" s="5">
        <f>IFERROR(__xludf.DUMMYFUNCTION("""COMPUTED_VALUE"""),2420.0)</f>
        <v>2420</v>
      </c>
      <c r="C951" s="5">
        <f>IFERROR(__xludf.DUMMYFUNCTION("""COMPUTED_VALUE"""),2440.0)</f>
        <v>2440</v>
      </c>
      <c r="D951" s="5">
        <f>IFERROR(__xludf.DUMMYFUNCTION("""COMPUTED_VALUE"""),2400.0)</f>
        <v>2400</v>
      </c>
      <c r="E951" s="5">
        <f>IFERROR(__xludf.DUMMYFUNCTION("""COMPUTED_VALUE"""),2430.0)</f>
        <v>2430</v>
      </c>
      <c r="F951" s="5">
        <f>IFERROR(__xludf.DUMMYFUNCTION("""COMPUTED_VALUE"""),3260600.0)</f>
        <v>3260600</v>
      </c>
      <c r="G951" s="5">
        <f t="shared" si="1"/>
        <v>40</v>
      </c>
    </row>
    <row r="952">
      <c r="A952" s="4">
        <f>IFERROR(__xludf.DUMMYFUNCTION("""COMPUTED_VALUE"""),45254.66666666667)</f>
        <v>45254.66667</v>
      </c>
      <c r="B952" s="5">
        <f>IFERROR(__xludf.DUMMYFUNCTION("""COMPUTED_VALUE"""),2440.0)</f>
        <v>2440</v>
      </c>
      <c r="C952" s="5">
        <f>IFERROR(__xludf.DUMMYFUNCTION("""COMPUTED_VALUE"""),2480.0)</f>
        <v>2480</v>
      </c>
      <c r="D952" s="5">
        <f>IFERROR(__xludf.DUMMYFUNCTION("""COMPUTED_VALUE"""),2440.0)</f>
        <v>2440</v>
      </c>
      <c r="E952" s="5">
        <f>IFERROR(__xludf.DUMMYFUNCTION("""COMPUTED_VALUE"""),2460.0)</f>
        <v>2460</v>
      </c>
      <c r="F952" s="5">
        <f>IFERROR(__xludf.DUMMYFUNCTION("""COMPUTED_VALUE"""),5179400.0)</f>
        <v>5179400</v>
      </c>
      <c r="G952" s="5">
        <f t="shared" si="1"/>
        <v>50</v>
      </c>
    </row>
    <row r="953">
      <c r="A953" s="4">
        <f>IFERROR(__xludf.DUMMYFUNCTION("""COMPUTED_VALUE"""),45257.66666666667)</f>
        <v>45257.66667</v>
      </c>
      <c r="B953" s="5">
        <f>IFERROR(__xludf.DUMMYFUNCTION("""COMPUTED_VALUE"""),2460.0)</f>
        <v>2460</v>
      </c>
      <c r="C953" s="5">
        <f>IFERROR(__xludf.DUMMYFUNCTION("""COMPUTED_VALUE"""),2480.0)</f>
        <v>2480</v>
      </c>
      <c r="D953" s="5">
        <f>IFERROR(__xludf.DUMMYFUNCTION("""COMPUTED_VALUE"""),2440.0)</f>
        <v>2440</v>
      </c>
      <c r="E953" s="5">
        <f>IFERROR(__xludf.DUMMYFUNCTION("""COMPUTED_VALUE"""),2440.0)</f>
        <v>2440</v>
      </c>
      <c r="F953" s="5">
        <f>IFERROR(__xludf.DUMMYFUNCTION("""COMPUTED_VALUE"""),7940300.0)</f>
        <v>7940300</v>
      </c>
      <c r="G953" s="5">
        <f t="shared" si="1"/>
        <v>40</v>
      </c>
    </row>
    <row r="954">
      <c r="A954" s="4">
        <f>IFERROR(__xludf.DUMMYFUNCTION("""COMPUTED_VALUE"""),45258.66666666667)</f>
        <v>45258.66667</v>
      </c>
      <c r="B954" s="5">
        <f>IFERROR(__xludf.DUMMYFUNCTION("""COMPUTED_VALUE"""),2450.0)</f>
        <v>2450</v>
      </c>
      <c r="C954" s="5">
        <f>IFERROR(__xludf.DUMMYFUNCTION("""COMPUTED_VALUE"""),2470.0)</f>
        <v>2470</v>
      </c>
      <c r="D954" s="5">
        <f>IFERROR(__xludf.DUMMYFUNCTION("""COMPUTED_VALUE"""),2440.0)</f>
        <v>2440</v>
      </c>
      <c r="E954" s="5">
        <f>IFERROR(__xludf.DUMMYFUNCTION("""COMPUTED_VALUE"""),2440.0)</f>
        <v>2440</v>
      </c>
      <c r="F954" s="5">
        <f>IFERROR(__xludf.DUMMYFUNCTION("""COMPUTED_VALUE"""),4994200.0)</f>
        <v>4994200</v>
      </c>
      <c r="G954" s="5">
        <f t="shared" si="1"/>
        <v>30</v>
      </c>
    </row>
    <row r="955">
      <c r="A955" s="4">
        <f>IFERROR(__xludf.DUMMYFUNCTION("""COMPUTED_VALUE"""),45259.66666666667)</f>
        <v>45259.66667</v>
      </c>
      <c r="B955" s="5">
        <f>IFERROR(__xludf.DUMMYFUNCTION("""COMPUTED_VALUE"""),2450.0)</f>
        <v>2450</v>
      </c>
      <c r="C955" s="5">
        <f>IFERROR(__xludf.DUMMYFUNCTION("""COMPUTED_VALUE"""),2460.0)</f>
        <v>2460</v>
      </c>
      <c r="D955" s="5">
        <f>IFERROR(__xludf.DUMMYFUNCTION("""COMPUTED_VALUE"""),2420.0)</f>
        <v>2420</v>
      </c>
      <c r="E955" s="5">
        <f>IFERROR(__xludf.DUMMYFUNCTION("""COMPUTED_VALUE"""),2420.0)</f>
        <v>2420</v>
      </c>
      <c r="F955" s="5">
        <f>IFERROR(__xludf.DUMMYFUNCTION("""COMPUTED_VALUE"""),5818000.0)</f>
        <v>5818000</v>
      </c>
      <c r="G955" s="5">
        <f t="shared" si="1"/>
        <v>40</v>
      </c>
    </row>
    <row r="956">
      <c r="A956" s="4">
        <f>IFERROR(__xludf.DUMMYFUNCTION("""COMPUTED_VALUE"""),45260.66666666667)</f>
        <v>45260.66667</v>
      </c>
      <c r="B956" s="5">
        <f>IFERROR(__xludf.DUMMYFUNCTION("""COMPUTED_VALUE"""),2420.0)</f>
        <v>2420</v>
      </c>
      <c r="C956" s="5">
        <f>IFERROR(__xludf.DUMMYFUNCTION("""COMPUTED_VALUE"""),2440.0)</f>
        <v>2440</v>
      </c>
      <c r="D956" s="5">
        <f>IFERROR(__xludf.DUMMYFUNCTION("""COMPUTED_VALUE"""),2410.0)</f>
        <v>2410</v>
      </c>
      <c r="E956" s="5">
        <f>IFERROR(__xludf.DUMMYFUNCTION("""COMPUTED_VALUE"""),2420.0)</f>
        <v>2420</v>
      </c>
      <c r="F956" s="5">
        <f>IFERROR(__xludf.DUMMYFUNCTION("""COMPUTED_VALUE"""),6078200.0)</f>
        <v>6078200</v>
      </c>
      <c r="G956" s="5">
        <f t="shared" si="1"/>
        <v>30</v>
      </c>
    </row>
    <row r="957">
      <c r="A957" s="4">
        <f>IFERROR(__xludf.DUMMYFUNCTION("""COMPUTED_VALUE"""),45261.66666666667)</f>
        <v>45261.66667</v>
      </c>
      <c r="B957" s="5">
        <f>IFERROR(__xludf.DUMMYFUNCTION("""COMPUTED_VALUE"""),2440.0)</f>
        <v>2440</v>
      </c>
      <c r="C957" s="5">
        <f>IFERROR(__xludf.DUMMYFUNCTION("""COMPUTED_VALUE"""),2450.0)</f>
        <v>2450</v>
      </c>
      <c r="D957" s="5">
        <f>IFERROR(__xludf.DUMMYFUNCTION("""COMPUTED_VALUE"""),2430.0)</f>
        <v>2430</v>
      </c>
      <c r="E957" s="5">
        <f>IFERROR(__xludf.DUMMYFUNCTION("""COMPUTED_VALUE"""),2430.0)</f>
        <v>2430</v>
      </c>
      <c r="F957" s="5">
        <f>IFERROR(__xludf.DUMMYFUNCTION("""COMPUTED_VALUE"""),6114400.0)</f>
        <v>6114400</v>
      </c>
      <c r="G957" s="5">
        <f t="shared" si="1"/>
        <v>30</v>
      </c>
    </row>
    <row r="958">
      <c r="A958" s="4">
        <f>IFERROR(__xludf.DUMMYFUNCTION("""COMPUTED_VALUE"""),45264.66666666667)</f>
        <v>45264.66667</v>
      </c>
      <c r="B958" s="5">
        <f>IFERROR(__xludf.DUMMYFUNCTION("""COMPUTED_VALUE"""),2450.0)</f>
        <v>2450</v>
      </c>
      <c r="C958" s="5">
        <f>IFERROR(__xludf.DUMMYFUNCTION("""COMPUTED_VALUE"""),2470.0)</f>
        <v>2470</v>
      </c>
      <c r="D958" s="5">
        <f>IFERROR(__xludf.DUMMYFUNCTION("""COMPUTED_VALUE"""),2440.0)</f>
        <v>2440</v>
      </c>
      <c r="E958" s="5">
        <f>IFERROR(__xludf.DUMMYFUNCTION("""COMPUTED_VALUE"""),2460.0)</f>
        <v>2460</v>
      </c>
      <c r="F958" s="5">
        <f>IFERROR(__xludf.DUMMYFUNCTION("""COMPUTED_VALUE"""),7547600.0)</f>
        <v>7547600</v>
      </c>
      <c r="G958" s="5">
        <f t="shared" si="1"/>
        <v>40</v>
      </c>
    </row>
    <row r="959">
      <c r="A959" s="4">
        <f>IFERROR(__xludf.DUMMYFUNCTION("""COMPUTED_VALUE"""),45265.66666666667)</f>
        <v>45265.66667</v>
      </c>
      <c r="B959" s="5">
        <f>IFERROR(__xludf.DUMMYFUNCTION("""COMPUTED_VALUE"""),2470.0)</f>
        <v>2470</v>
      </c>
      <c r="C959" s="5">
        <f>IFERROR(__xludf.DUMMYFUNCTION("""COMPUTED_VALUE"""),2470.0)</f>
        <v>2470</v>
      </c>
      <c r="D959" s="5">
        <f>IFERROR(__xludf.DUMMYFUNCTION("""COMPUTED_VALUE"""),2420.0)</f>
        <v>2420</v>
      </c>
      <c r="E959" s="5">
        <f>IFERROR(__xludf.DUMMYFUNCTION("""COMPUTED_VALUE"""),2420.0)</f>
        <v>2420</v>
      </c>
      <c r="F959" s="5">
        <f>IFERROR(__xludf.DUMMYFUNCTION("""COMPUTED_VALUE"""),5829600.0)</f>
        <v>5829600</v>
      </c>
      <c r="G959" s="5">
        <f t="shared" si="1"/>
        <v>50</v>
      </c>
    </row>
    <row r="960">
      <c r="A960" s="4">
        <f>IFERROR(__xludf.DUMMYFUNCTION("""COMPUTED_VALUE"""),45266.66666666667)</f>
        <v>45266.66667</v>
      </c>
      <c r="B960" s="5">
        <f>IFERROR(__xludf.DUMMYFUNCTION("""COMPUTED_VALUE"""),2420.0)</f>
        <v>2420</v>
      </c>
      <c r="C960" s="5">
        <f>IFERROR(__xludf.DUMMYFUNCTION("""COMPUTED_VALUE"""),2440.0)</f>
        <v>2440</v>
      </c>
      <c r="D960" s="5">
        <f>IFERROR(__xludf.DUMMYFUNCTION("""COMPUTED_VALUE"""),2400.0)</f>
        <v>2400</v>
      </c>
      <c r="E960" s="5">
        <f>IFERROR(__xludf.DUMMYFUNCTION("""COMPUTED_VALUE"""),2410.0)</f>
        <v>2410</v>
      </c>
      <c r="F960" s="5">
        <f>IFERROR(__xludf.DUMMYFUNCTION("""COMPUTED_VALUE"""),7407000.0)</f>
        <v>7407000</v>
      </c>
      <c r="G960" s="5">
        <f t="shared" si="1"/>
        <v>40</v>
      </c>
    </row>
    <row r="961">
      <c r="A961" s="4">
        <f>IFERROR(__xludf.DUMMYFUNCTION("""COMPUTED_VALUE"""),45267.66666666667)</f>
        <v>45267.66667</v>
      </c>
      <c r="B961" s="5">
        <f>IFERROR(__xludf.DUMMYFUNCTION("""COMPUTED_VALUE"""),2410.0)</f>
        <v>2410</v>
      </c>
      <c r="C961" s="5">
        <f>IFERROR(__xludf.DUMMYFUNCTION("""COMPUTED_VALUE"""),2440.0)</f>
        <v>2440</v>
      </c>
      <c r="D961" s="5">
        <f>IFERROR(__xludf.DUMMYFUNCTION("""COMPUTED_VALUE"""),2400.0)</f>
        <v>2400</v>
      </c>
      <c r="E961" s="5">
        <f>IFERROR(__xludf.DUMMYFUNCTION("""COMPUTED_VALUE"""),2420.0)</f>
        <v>2420</v>
      </c>
      <c r="F961" s="5">
        <f>IFERROR(__xludf.DUMMYFUNCTION("""COMPUTED_VALUE"""),9757500.0)</f>
        <v>9757500</v>
      </c>
      <c r="G961" s="5">
        <f t="shared" si="1"/>
        <v>40</v>
      </c>
    </row>
    <row r="962">
      <c r="A962" s="4">
        <f>IFERROR(__xludf.DUMMYFUNCTION("""COMPUTED_VALUE"""),45268.66666666667)</f>
        <v>45268.66667</v>
      </c>
      <c r="B962" s="5">
        <f>IFERROR(__xludf.DUMMYFUNCTION("""COMPUTED_VALUE"""),2440.0)</f>
        <v>2440</v>
      </c>
      <c r="C962" s="5">
        <f>IFERROR(__xludf.DUMMYFUNCTION("""COMPUTED_VALUE"""),2440.0)</f>
        <v>2440</v>
      </c>
      <c r="D962" s="5">
        <f>IFERROR(__xludf.DUMMYFUNCTION("""COMPUTED_VALUE"""),2410.0)</f>
        <v>2410</v>
      </c>
      <c r="E962" s="5">
        <f>IFERROR(__xludf.DUMMYFUNCTION("""COMPUTED_VALUE"""),2410.0)</f>
        <v>2410</v>
      </c>
      <c r="F962" s="5">
        <f>IFERROR(__xludf.DUMMYFUNCTION("""COMPUTED_VALUE"""),1.03575E7)</f>
        <v>10357500</v>
      </c>
      <c r="G962" s="5">
        <f t="shared" si="1"/>
        <v>30</v>
      </c>
    </row>
    <row r="963">
      <c r="A963" s="4">
        <f>IFERROR(__xludf.DUMMYFUNCTION("""COMPUTED_VALUE"""),45271.66666666667)</f>
        <v>45271.66667</v>
      </c>
      <c r="B963" s="5">
        <f>IFERROR(__xludf.DUMMYFUNCTION("""COMPUTED_VALUE"""),2420.0)</f>
        <v>2420</v>
      </c>
      <c r="C963" s="5">
        <f>IFERROR(__xludf.DUMMYFUNCTION("""COMPUTED_VALUE"""),2440.0)</f>
        <v>2440</v>
      </c>
      <c r="D963" s="5">
        <f>IFERROR(__xludf.DUMMYFUNCTION("""COMPUTED_VALUE"""),2360.0)</f>
        <v>2360</v>
      </c>
      <c r="E963" s="5">
        <f>IFERROR(__xludf.DUMMYFUNCTION("""COMPUTED_VALUE"""),2370.0)</f>
        <v>2370</v>
      </c>
      <c r="F963" s="5">
        <f>IFERROR(__xludf.DUMMYFUNCTION("""COMPUTED_VALUE"""),1.18965E7)</f>
        <v>11896500</v>
      </c>
      <c r="G963" s="5">
        <f t="shared" si="1"/>
        <v>80</v>
      </c>
    </row>
    <row r="964">
      <c r="A964" s="4">
        <f>IFERROR(__xludf.DUMMYFUNCTION("""COMPUTED_VALUE"""),45272.66666666667)</f>
        <v>45272.66667</v>
      </c>
      <c r="B964" s="5">
        <f>IFERROR(__xludf.DUMMYFUNCTION("""COMPUTED_VALUE"""),2380.0)</f>
        <v>2380</v>
      </c>
      <c r="C964" s="5">
        <f>IFERROR(__xludf.DUMMYFUNCTION("""COMPUTED_VALUE"""),2400.0)</f>
        <v>2400</v>
      </c>
      <c r="D964" s="5">
        <f>IFERROR(__xludf.DUMMYFUNCTION("""COMPUTED_VALUE"""),2340.0)</f>
        <v>2340</v>
      </c>
      <c r="E964" s="5">
        <f>IFERROR(__xludf.DUMMYFUNCTION("""COMPUTED_VALUE"""),2350.0)</f>
        <v>2350</v>
      </c>
      <c r="F964" s="5">
        <f>IFERROR(__xludf.DUMMYFUNCTION("""COMPUTED_VALUE"""),9805900.0)</f>
        <v>9805900</v>
      </c>
      <c r="G964" s="5">
        <f t="shared" si="1"/>
        <v>60</v>
      </c>
    </row>
    <row r="965">
      <c r="A965" s="4">
        <f>IFERROR(__xludf.DUMMYFUNCTION("""COMPUTED_VALUE"""),45273.66666666667)</f>
        <v>45273.66667</v>
      </c>
      <c r="B965" s="5">
        <f>IFERROR(__xludf.DUMMYFUNCTION("""COMPUTED_VALUE"""),2350.0)</f>
        <v>2350</v>
      </c>
      <c r="C965" s="5">
        <f>IFERROR(__xludf.DUMMYFUNCTION("""COMPUTED_VALUE"""),2350.0)</f>
        <v>2350</v>
      </c>
      <c r="D965" s="5">
        <f>IFERROR(__xludf.DUMMYFUNCTION("""COMPUTED_VALUE"""),2300.0)</f>
        <v>2300</v>
      </c>
      <c r="E965" s="5">
        <f>IFERROR(__xludf.DUMMYFUNCTION("""COMPUTED_VALUE"""),2300.0)</f>
        <v>2300</v>
      </c>
      <c r="F965" s="5">
        <f>IFERROR(__xludf.DUMMYFUNCTION("""COMPUTED_VALUE"""),1.07453E7)</f>
        <v>10745300</v>
      </c>
      <c r="G965" s="5">
        <f t="shared" si="1"/>
        <v>50</v>
      </c>
    </row>
    <row r="966">
      <c r="A966" s="4">
        <f>IFERROR(__xludf.DUMMYFUNCTION("""COMPUTED_VALUE"""),45274.66666666667)</f>
        <v>45274.66667</v>
      </c>
      <c r="B966" s="5">
        <f>IFERROR(__xludf.DUMMYFUNCTION("""COMPUTED_VALUE"""),2300.0)</f>
        <v>2300</v>
      </c>
      <c r="C966" s="5">
        <f>IFERROR(__xludf.DUMMYFUNCTION("""COMPUTED_VALUE"""),2340.0)</f>
        <v>2340</v>
      </c>
      <c r="D966" s="5">
        <f>IFERROR(__xludf.DUMMYFUNCTION("""COMPUTED_VALUE"""),2300.0)</f>
        <v>2300</v>
      </c>
      <c r="E966" s="5">
        <f>IFERROR(__xludf.DUMMYFUNCTION("""COMPUTED_VALUE"""),2310.0)</f>
        <v>2310</v>
      </c>
      <c r="F966" s="5">
        <f>IFERROR(__xludf.DUMMYFUNCTION("""COMPUTED_VALUE"""),6876400.0)</f>
        <v>6876400</v>
      </c>
      <c r="G966" s="5">
        <f t="shared" si="1"/>
        <v>40</v>
      </c>
    </row>
    <row r="967">
      <c r="A967" s="4">
        <f>IFERROR(__xludf.DUMMYFUNCTION("""COMPUTED_VALUE"""),45275.66666666667)</f>
        <v>45275.66667</v>
      </c>
      <c r="B967" s="5">
        <f>IFERROR(__xludf.DUMMYFUNCTION("""COMPUTED_VALUE"""),2320.0)</f>
        <v>2320</v>
      </c>
      <c r="C967" s="5">
        <f>IFERROR(__xludf.DUMMYFUNCTION("""COMPUTED_VALUE"""),2410.0)</f>
        <v>2410</v>
      </c>
      <c r="D967" s="5">
        <f>IFERROR(__xludf.DUMMYFUNCTION("""COMPUTED_VALUE"""),2310.0)</f>
        <v>2310</v>
      </c>
      <c r="E967" s="5">
        <f>IFERROR(__xludf.DUMMYFUNCTION("""COMPUTED_VALUE"""),2310.0)</f>
        <v>2310</v>
      </c>
      <c r="F967" s="5">
        <f>IFERROR(__xludf.DUMMYFUNCTION("""COMPUTED_VALUE"""),2.31655E7)</f>
        <v>23165500</v>
      </c>
      <c r="G967" s="5">
        <f t="shared" si="1"/>
        <v>100</v>
      </c>
    </row>
    <row r="968">
      <c r="A968" s="4">
        <f>IFERROR(__xludf.DUMMYFUNCTION("""COMPUTED_VALUE"""),45278.66666666667)</f>
        <v>45278.66667</v>
      </c>
      <c r="B968" s="5">
        <f>IFERROR(__xludf.DUMMYFUNCTION("""COMPUTED_VALUE"""),2320.0)</f>
        <v>2320</v>
      </c>
      <c r="C968" s="5">
        <f>IFERROR(__xludf.DUMMYFUNCTION("""COMPUTED_VALUE"""),2360.0)</f>
        <v>2360</v>
      </c>
      <c r="D968" s="5">
        <f>IFERROR(__xludf.DUMMYFUNCTION("""COMPUTED_VALUE"""),2310.0)</f>
        <v>2310</v>
      </c>
      <c r="E968" s="5">
        <f>IFERROR(__xludf.DUMMYFUNCTION("""COMPUTED_VALUE"""),2330.0)</f>
        <v>2330</v>
      </c>
      <c r="F968" s="5">
        <f>IFERROR(__xludf.DUMMYFUNCTION("""COMPUTED_VALUE"""),1.1128E7)</f>
        <v>11128000</v>
      </c>
      <c r="G968" s="5">
        <f t="shared" si="1"/>
        <v>50</v>
      </c>
    </row>
    <row r="969">
      <c r="A969" s="4">
        <f>IFERROR(__xludf.DUMMYFUNCTION("""COMPUTED_VALUE"""),45279.66666666667)</f>
        <v>45279.66667</v>
      </c>
      <c r="B969" s="5">
        <f>IFERROR(__xludf.DUMMYFUNCTION("""COMPUTED_VALUE"""),2340.0)</f>
        <v>2340</v>
      </c>
      <c r="C969" s="5">
        <f>IFERROR(__xludf.DUMMYFUNCTION("""COMPUTED_VALUE"""),2370.0)</f>
        <v>2370</v>
      </c>
      <c r="D969" s="5">
        <f>IFERROR(__xludf.DUMMYFUNCTION("""COMPUTED_VALUE"""),2330.0)</f>
        <v>2330</v>
      </c>
      <c r="E969" s="5">
        <f>IFERROR(__xludf.DUMMYFUNCTION("""COMPUTED_VALUE"""),2370.0)</f>
        <v>2370</v>
      </c>
      <c r="F969" s="5">
        <f>IFERROR(__xludf.DUMMYFUNCTION("""COMPUTED_VALUE"""),7665600.0)</f>
        <v>7665600</v>
      </c>
      <c r="G969" s="5">
        <f t="shared" si="1"/>
        <v>40</v>
      </c>
    </row>
    <row r="970">
      <c r="A970" s="4">
        <f>IFERROR(__xludf.DUMMYFUNCTION("""COMPUTED_VALUE"""),45280.66666666667)</f>
        <v>45280.66667</v>
      </c>
      <c r="B970" s="5">
        <f>IFERROR(__xludf.DUMMYFUNCTION("""COMPUTED_VALUE"""),2370.0)</f>
        <v>2370</v>
      </c>
      <c r="C970" s="5">
        <f>IFERROR(__xludf.DUMMYFUNCTION("""COMPUTED_VALUE"""),2410.0)</f>
        <v>2410</v>
      </c>
      <c r="D970" s="5">
        <f>IFERROR(__xludf.DUMMYFUNCTION("""COMPUTED_VALUE"""),2350.0)</f>
        <v>2350</v>
      </c>
      <c r="E970" s="5">
        <f>IFERROR(__xludf.DUMMYFUNCTION("""COMPUTED_VALUE"""),2360.0)</f>
        <v>2360</v>
      </c>
      <c r="F970" s="5">
        <f>IFERROR(__xludf.DUMMYFUNCTION("""COMPUTED_VALUE"""),9858700.0)</f>
        <v>9858700</v>
      </c>
      <c r="G970" s="5">
        <f t="shared" si="1"/>
        <v>60</v>
      </c>
    </row>
    <row r="971">
      <c r="A971" s="4">
        <f>IFERROR(__xludf.DUMMYFUNCTION("""COMPUTED_VALUE"""),45281.66666666667)</f>
        <v>45281.66667</v>
      </c>
      <c r="B971" s="5">
        <f>IFERROR(__xludf.DUMMYFUNCTION("""COMPUTED_VALUE"""),2370.0)</f>
        <v>2370</v>
      </c>
      <c r="C971" s="5">
        <f>IFERROR(__xludf.DUMMYFUNCTION("""COMPUTED_VALUE"""),2390.0)</f>
        <v>2390</v>
      </c>
      <c r="D971" s="5">
        <f>IFERROR(__xludf.DUMMYFUNCTION("""COMPUTED_VALUE"""),2350.0)</f>
        <v>2350</v>
      </c>
      <c r="E971" s="5">
        <f>IFERROR(__xludf.DUMMYFUNCTION("""COMPUTED_VALUE"""),2380.0)</f>
        <v>2380</v>
      </c>
      <c r="F971" s="5">
        <f>IFERROR(__xludf.DUMMYFUNCTION("""COMPUTED_VALUE"""),6161100.0)</f>
        <v>6161100</v>
      </c>
      <c r="G971" s="5">
        <f t="shared" si="1"/>
        <v>40</v>
      </c>
    </row>
    <row r="972">
      <c r="A972" s="4">
        <f>IFERROR(__xludf.DUMMYFUNCTION("""COMPUTED_VALUE"""),45282.66666666667)</f>
        <v>45282.66667</v>
      </c>
      <c r="B972" s="5">
        <f>IFERROR(__xludf.DUMMYFUNCTION("""COMPUTED_VALUE"""),2390.0)</f>
        <v>2390</v>
      </c>
      <c r="C972" s="5">
        <f>IFERROR(__xludf.DUMMYFUNCTION("""COMPUTED_VALUE"""),2410.0)</f>
        <v>2410</v>
      </c>
      <c r="D972" s="5">
        <f>IFERROR(__xludf.DUMMYFUNCTION("""COMPUTED_VALUE"""),2380.0)</f>
        <v>2380</v>
      </c>
      <c r="E972" s="5">
        <f>IFERROR(__xludf.DUMMYFUNCTION("""COMPUTED_VALUE"""),2400.0)</f>
        <v>2400</v>
      </c>
      <c r="F972" s="5">
        <f>IFERROR(__xludf.DUMMYFUNCTION("""COMPUTED_VALUE"""),7311600.0)</f>
        <v>7311600</v>
      </c>
      <c r="G972" s="5">
        <f t="shared" si="1"/>
        <v>30</v>
      </c>
    </row>
    <row r="973">
      <c r="A973" s="4">
        <f>IFERROR(__xludf.DUMMYFUNCTION("""COMPUTED_VALUE"""),45287.66666666667)</f>
        <v>45287.66667</v>
      </c>
      <c r="B973" s="5">
        <f>IFERROR(__xludf.DUMMYFUNCTION("""COMPUTED_VALUE"""),2400.0)</f>
        <v>2400</v>
      </c>
      <c r="C973" s="5">
        <f>IFERROR(__xludf.DUMMYFUNCTION("""COMPUTED_VALUE"""),2450.0)</f>
        <v>2450</v>
      </c>
      <c r="D973" s="5">
        <f>IFERROR(__xludf.DUMMYFUNCTION("""COMPUTED_VALUE"""),2400.0)</f>
        <v>2400</v>
      </c>
      <c r="E973" s="5">
        <f>IFERROR(__xludf.DUMMYFUNCTION("""COMPUTED_VALUE"""),2440.0)</f>
        <v>2440</v>
      </c>
      <c r="F973" s="5">
        <f>IFERROR(__xludf.DUMMYFUNCTION("""COMPUTED_VALUE"""),1.06536E7)</f>
        <v>10653600</v>
      </c>
      <c r="G973" s="5">
        <f t="shared" si="1"/>
        <v>50</v>
      </c>
    </row>
    <row r="974">
      <c r="A974" s="4">
        <f>IFERROR(__xludf.DUMMYFUNCTION("""COMPUTED_VALUE"""),45288.66666666667)</f>
        <v>45288.66667</v>
      </c>
      <c r="B974" s="5">
        <f>IFERROR(__xludf.DUMMYFUNCTION("""COMPUTED_VALUE"""),2440.0)</f>
        <v>2440</v>
      </c>
      <c r="C974" s="5">
        <f>IFERROR(__xludf.DUMMYFUNCTION("""COMPUTED_VALUE"""),2470.0)</f>
        <v>2470</v>
      </c>
      <c r="D974" s="5">
        <f>IFERROR(__xludf.DUMMYFUNCTION("""COMPUTED_VALUE"""),2440.0)</f>
        <v>2440</v>
      </c>
      <c r="E974" s="5">
        <f>IFERROR(__xludf.DUMMYFUNCTION("""COMPUTED_VALUE"""),2460.0)</f>
        <v>2460</v>
      </c>
      <c r="F974" s="5">
        <f>IFERROR(__xludf.DUMMYFUNCTION("""COMPUTED_VALUE"""),8040000.0)</f>
        <v>8040000</v>
      </c>
      <c r="G974" s="5">
        <f t="shared" si="1"/>
        <v>30</v>
      </c>
    </row>
    <row r="975">
      <c r="A975" s="4">
        <f>IFERROR(__xludf.DUMMYFUNCTION("""COMPUTED_VALUE"""),45289.66666666667)</f>
        <v>45289.66667</v>
      </c>
      <c r="B975" s="5">
        <f>IFERROR(__xludf.DUMMYFUNCTION("""COMPUTED_VALUE"""),2470.0)</f>
        <v>2470</v>
      </c>
      <c r="C975" s="5">
        <f>IFERROR(__xludf.DUMMYFUNCTION("""COMPUTED_VALUE"""),2470.0)</f>
        <v>2470</v>
      </c>
      <c r="D975" s="5">
        <f>IFERROR(__xludf.DUMMYFUNCTION("""COMPUTED_VALUE"""),2430.0)</f>
        <v>2430</v>
      </c>
      <c r="E975" s="5">
        <f>IFERROR(__xludf.DUMMYFUNCTION("""COMPUTED_VALUE"""),2440.0)</f>
        <v>2440</v>
      </c>
      <c r="F975" s="5">
        <f>IFERROR(__xludf.DUMMYFUNCTION("""COMPUTED_VALUE"""),8144200.0)</f>
        <v>8144200</v>
      </c>
      <c r="G975" s="5">
        <f t="shared" si="1"/>
        <v>40</v>
      </c>
    </row>
    <row r="976">
      <c r="A976" s="4">
        <f>IFERROR(__xludf.DUMMYFUNCTION("""COMPUTED_VALUE"""),45293.66666666667)</f>
        <v>45293.66667</v>
      </c>
      <c r="B976" s="5">
        <f>IFERROR(__xludf.DUMMYFUNCTION("""COMPUTED_VALUE"""),2440.0)</f>
        <v>2440</v>
      </c>
      <c r="C976" s="5">
        <f>IFERROR(__xludf.DUMMYFUNCTION("""COMPUTED_VALUE"""),2550.0)</f>
        <v>2550</v>
      </c>
      <c r="D976" s="5">
        <f>IFERROR(__xludf.DUMMYFUNCTION("""COMPUTED_VALUE"""),2440.0)</f>
        <v>2440</v>
      </c>
      <c r="E976" s="5">
        <f>IFERROR(__xludf.DUMMYFUNCTION("""COMPUTED_VALUE"""),2530.0)</f>
        <v>2530</v>
      </c>
      <c r="F976" s="5">
        <f>IFERROR(__xludf.DUMMYFUNCTION("""COMPUTED_VALUE"""),2.05889E7)</f>
        <v>20588900</v>
      </c>
      <c r="G976" s="5">
        <f t="shared" si="1"/>
        <v>110</v>
      </c>
    </row>
    <row r="977">
      <c r="A977" s="4">
        <f>IFERROR(__xludf.DUMMYFUNCTION("""COMPUTED_VALUE"""),45294.66666666667)</f>
        <v>45294.66667</v>
      </c>
      <c r="B977" s="5">
        <f>IFERROR(__xludf.DUMMYFUNCTION("""COMPUTED_VALUE"""),2520.0)</f>
        <v>2520</v>
      </c>
      <c r="C977" s="5">
        <f>IFERROR(__xludf.DUMMYFUNCTION("""COMPUTED_VALUE"""),2540.0)</f>
        <v>2540</v>
      </c>
      <c r="D977" s="5">
        <f>IFERROR(__xludf.DUMMYFUNCTION("""COMPUTED_VALUE"""),2480.0)</f>
        <v>2480</v>
      </c>
      <c r="E977" s="5">
        <f>IFERROR(__xludf.DUMMYFUNCTION("""COMPUTED_VALUE"""),2530.0)</f>
        <v>2530</v>
      </c>
      <c r="F977" s="5">
        <f>IFERROR(__xludf.DUMMYFUNCTION("""COMPUTED_VALUE"""),1.57827E7)</f>
        <v>15782700</v>
      </c>
      <c r="G977" s="5">
        <f t="shared" si="1"/>
        <v>60</v>
      </c>
    </row>
    <row r="978">
      <c r="A978" s="4">
        <f>IFERROR(__xludf.DUMMYFUNCTION("""COMPUTED_VALUE"""),45295.66666666667)</f>
        <v>45295.66667</v>
      </c>
      <c r="B978" s="5">
        <f>IFERROR(__xludf.DUMMYFUNCTION("""COMPUTED_VALUE"""),2540.0)</f>
        <v>2540</v>
      </c>
      <c r="C978" s="5">
        <f>IFERROR(__xludf.DUMMYFUNCTION("""COMPUTED_VALUE"""),2690.0)</f>
        <v>2690</v>
      </c>
      <c r="D978" s="5">
        <f>IFERROR(__xludf.DUMMYFUNCTION("""COMPUTED_VALUE"""),2540.0)</f>
        <v>2540</v>
      </c>
      <c r="E978" s="5">
        <f>IFERROR(__xludf.DUMMYFUNCTION("""COMPUTED_VALUE"""),2650.0)</f>
        <v>2650</v>
      </c>
      <c r="F978" s="5">
        <f>IFERROR(__xludf.DUMMYFUNCTION("""COMPUTED_VALUE"""),3.63044E7)</f>
        <v>36304400</v>
      </c>
      <c r="G978" s="5">
        <f t="shared" si="1"/>
        <v>160</v>
      </c>
    </row>
    <row r="979">
      <c r="A979" s="4">
        <f>IFERROR(__xludf.DUMMYFUNCTION("""COMPUTED_VALUE"""),45296.66666666667)</f>
        <v>45296.66667</v>
      </c>
      <c r="B979" s="5">
        <f>IFERROR(__xludf.DUMMYFUNCTION("""COMPUTED_VALUE"""),2650.0)</f>
        <v>2650</v>
      </c>
      <c r="C979" s="5">
        <f>IFERROR(__xludf.DUMMYFUNCTION("""COMPUTED_VALUE"""),2700.0)</f>
        <v>2700</v>
      </c>
      <c r="D979" s="5">
        <f>IFERROR(__xludf.DUMMYFUNCTION("""COMPUTED_VALUE"""),2650.0)</f>
        <v>2650</v>
      </c>
      <c r="E979" s="5">
        <f>IFERROR(__xludf.DUMMYFUNCTION("""COMPUTED_VALUE"""),2660.0)</f>
        <v>2660</v>
      </c>
      <c r="F979" s="5">
        <f>IFERROR(__xludf.DUMMYFUNCTION("""COMPUTED_VALUE"""),2.07809E7)</f>
        <v>20780900</v>
      </c>
      <c r="G979" s="5">
        <f t="shared" si="1"/>
        <v>50</v>
      </c>
    </row>
    <row r="980">
      <c r="A980" s="4">
        <f>IFERROR(__xludf.DUMMYFUNCTION("""COMPUTED_VALUE"""),45299.66666666667)</f>
        <v>45299.66667</v>
      </c>
      <c r="B980" s="5">
        <f>IFERROR(__xludf.DUMMYFUNCTION("""COMPUTED_VALUE"""),2660.0)</f>
        <v>2660</v>
      </c>
      <c r="C980" s="5">
        <f>IFERROR(__xludf.DUMMYFUNCTION("""COMPUTED_VALUE"""),2680.0)</f>
        <v>2680</v>
      </c>
      <c r="D980" s="5">
        <f>IFERROR(__xludf.DUMMYFUNCTION("""COMPUTED_VALUE"""),2620.0)</f>
        <v>2620</v>
      </c>
      <c r="E980" s="5">
        <f>IFERROR(__xludf.DUMMYFUNCTION("""COMPUTED_VALUE"""),2630.0)</f>
        <v>2630</v>
      </c>
      <c r="F980" s="5">
        <f>IFERROR(__xludf.DUMMYFUNCTION("""COMPUTED_VALUE"""),1.44041E7)</f>
        <v>14404100</v>
      </c>
      <c r="G980" s="5">
        <f t="shared" si="1"/>
        <v>60</v>
      </c>
    </row>
    <row r="981">
      <c r="A981" s="4">
        <f>IFERROR(__xludf.DUMMYFUNCTION("""COMPUTED_VALUE"""),45300.66666666667)</f>
        <v>45300.66667</v>
      </c>
      <c r="B981" s="5">
        <f>IFERROR(__xludf.DUMMYFUNCTION("""COMPUTED_VALUE"""),2640.0)</f>
        <v>2640</v>
      </c>
      <c r="C981" s="5">
        <f>IFERROR(__xludf.DUMMYFUNCTION("""COMPUTED_VALUE"""),2650.0)</f>
        <v>2650</v>
      </c>
      <c r="D981" s="5">
        <f>IFERROR(__xludf.DUMMYFUNCTION("""COMPUTED_VALUE"""),2590.0)</f>
        <v>2590</v>
      </c>
      <c r="E981" s="5">
        <f>IFERROR(__xludf.DUMMYFUNCTION("""COMPUTED_VALUE"""),2630.0)</f>
        <v>2630</v>
      </c>
      <c r="F981" s="5">
        <f>IFERROR(__xludf.DUMMYFUNCTION("""COMPUTED_VALUE"""),1.20858E7)</f>
        <v>12085800</v>
      </c>
      <c r="G981" s="5">
        <f t="shared" si="1"/>
        <v>60</v>
      </c>
    </row>
    <row r="982">
      <c r="A982" s="4">
        <f>IFERROR(__xludf.DUMMYFUNCTION("""COMPUTED_VALUE"""),45301.66666666667)</f>
        <v>45301.66667</v>
      </c>
      <c r="B982" s="5">
        <f>IFERROR(__xludf.DUMMYFUNCTION("""COMPUTED_VALUE"""),2640.0)</f>
        <v>2640</v>
      </c>
      <c r="C982" s="5">
        <f>IFERROR(__xludf.DUMMYFUNCTION("""COMPUTED_VALUE"""),2660.0)</f>
        <v>2660</v>
      </c>
      <c r="D982" s="5">
        <f>IFERROR(__xludf.DUMMYFUNCTION("""COMPUTED_VALUE"""),2620.0)</f>
        <v>2620</v>
      </c>
      <c r="E982" s="5">
        <f>IFERROR(__xludf.DUMMYFUNCTION("""COMPUTED_VALUE"""),2650.0)</f>
        <v>2650</v>
      </c>
      <c r="F982" s="5">
        <f>IFERROR(__xludf.DUMMYFUNCTION("""COMPUTED_VALUE"""),1.03514E7)</f>
        <v>10351400</v>
      </c>
      <c r="G982" s="5">
        <f t="shared" si="1"/>
        <v>40</v>
      </c>
    </row>
    <row r="983">
      <c r="A983" s="4">
        <f>IFERROR(__xludf.DUMMYFUNCTION("""COMPUTED_VALUE"""),45302.66666666667)</f>
        <v>45302.66667</v>
      </c>
      <c r="B983" s="5">
        <f>IFERROR(__xludf.DUMMYFUNCTION("""COMPUTED_VALUE"""),2650.0)</f>
        <v>2650</v>
      </c>
      <c r="C983" s="5">
        <f>IFERROR(__xludf.DUMMYFUNCTION("""COMPUTED_VALUE"""),2650.0)</f>
        <v>2650</v>
      </c>
      <c r="D983" s="5">
        <f>IFERROR(__xludf.DUMMYFUNCTION("""COMPUTED_VALUE"""),2610.0)</f>
        <v>2610</v>
      </c>
      <c r="E983" s="5">
        <f>IFERROR(__xludf.DUMMYFUNCTION("""COMPUTED_VALUE"""),2620.0)</f>
        <v>2620</v>
      </c>
      <c r="F983" s="5">
        <f>IFERROR(__xludf.DUMMYFUNCTION("""COMPUTED_VALUE"""),6832800.0)</f>
        <v>6832800</v>
      </c>
      <c r="G983" s="5">
        <f t="shared" si="1"/>
        <v>40</v>
      </c>
    </row>
    <row r="984">
      <c r="A984" s="4">
        <f>IFERROR(__xludf.DUMMYFUNCTION("""COMPUTED_VALUE"""),45303.66666666667)</f>
        <v>45303.66667</v>
      </c>
      <c r="B984" s="5">
        <f>IFERROR(__xludf.DUMMYFUNCTION("""COMPUTED_VALUE"""),2620.0)</f>
        <v>2620</v>
      </c>
      <c r="C984" s="5">
        <f>IFERROR(__xludf.DUMMYFUNCTION("""COMPUTED_VALUE"""),2650.0)</f>
        <v>2650</v>
      </c>
      <c r="D984" s="5">
        <f>IFERROR(__xludf.DUMMYFUNCTION("""COMPUTED_VALUE"""),2610.0)</f>
        <v>2610</v>
      </c>
      <c r="E984" s="5">
        <f>IFERROR(__xludf.DUMMYFUNCTION("""COMPUTED_VALUE"""),2640.0)</f>
        <v>2640</v>
      </c>
      <c r="F984" s="5">
        <f>IFERROR(__xludf.DUMMYFUNCTION("""COMPUTED_VALUE"""),7291900.0)</f>
        <v>7291900</v>
      </c>
      <c r="G984" s="5">
        <f t="shared" si="1"/>
        <v>40</v>
      </c>
    </row>
    <row r="985">
      <c r="A985" s="4">
        <f>IFERROR(__xludf.DUMMYFUNCTION("""COMPUTED_VALUE"""),45306.66666666667)</f>
        <v>45306.66667</v>
      </c>
      <c r="B985" s="5">
        <f>IFERROR(__xludf.DUMMYFUNCTION("""COMPUTED_VALUE"""),2650.0)</f>
        <v>2650</v>
      </c>
      <c r="C985" s="5">
        <f>IFERROR(__xludf.DUMMYFUNCTION("""COMPUTED_VALUE"""),2720.0)</f>
        <v>2720</v>
      </c>
      <c r="D985" s="5">
        <f>IFERROR(__xludf.DUMMYFUNCTION("""COMPUTED_VALUE"""),2650.0)</f>
        <v>2650</v>
      </c>
      <c r="E985" s="5">
        <f>IFERROR(__xludf.DUMMYFUNCTION("""COMPUTED_VALUE"""),2710.0)</f>
        <v>2710</v>
      </c>
      <c r="F985" s="5">
        <f>IFERROR(__xludf.DUMMYFUNCTION("""COMPUTED_VALUE"""),2.05752E7)</f>
        <v>20575200</v>
      </c>
      <c r="G985" s="5">
        <f t="shared" si="1"/>
        <v>80</v>
      </c>
    </row>
    <row r="986">
      <c r="A986" s="4">
        <f>IFERROR(__xludf.DUMMYFUNCTION("""COMPUTED_VALUE"""),45307.66666666667)</f>
        <v>45307.66667</v>
      </c>
      <c r="B986" s="5">
        <f>IFERROR(__xludf.DUMMYFUNCTION("""COMPUTED_VALUE"""),2720.0)</f>
        <v>2720</v>
      </c>
      <c r="C986" s="5">
        <f>IFERROR(__xludf.DUMMYFUNCTION("""COMPUTED_VALUE"""),2720.0)</f>
        <v>2720</v>
      </c>
      <c r="D986" s="5">
        <f>IFERROR(__xludf.DUMMYFUNCTION("""COMPUTED_VALUE"""),2680.0)</f>
        <v>2680</v>
      </c>
      <c r="E986" s="5">
        <f>IFERROR(__xludf.DUMMYFUNCTION("""COMPUTED_VALUE"""),2700.0)</f>
        <v>2700</v>
      </c>
      <c r="F986" s="5">
        <f>IFERROR(__xludf.DUMMYFUNCTION("""COMPUTED_VALUE"""),9765000.0)</f>
        <v>9765000</v>
      </c>
      <c r="G986" s="5">
        <f t="shared" si="1"/>
        <v>40</v>
      </c>
    </row>
    <row r="987">
      <c r="A987" s="4">
        <f>IFERROR(__xludf.DUMMYFUNCTION("""COMPUTED_VALUE"""),45308.66666666667)</f>
        <v>45308.66667</v>
      </c>
      <c r="B987" s="5">
        <f>IFERROR(__xludf.DUMMYFUNCTION("""COMPUTED_VALUE"""),2700.0)</f>
        <v>2700</v>
      </c>
      <c r="C987" s="5">
        <f>IFERROR(__xludf.DUMMYFUNCTION("""COMPUTED_VALUE"""),2720.0)</f>
        <v>2720</v>
      </c>
      <c r="D987" s="5">
        <f>IFERROR(__xludf.DUMMYFUNCTION("""COMPUTED_VALUE"""),2660.0)</f>
        <v>2660</v>
      </c>
      <c r="E987" s="5">
        <f>IFERROR(__xludf.DUMMYFUNCTION("""COMPUTED_VALUE"""),2660.0)</f>
        <v>2660</v>
      </c>
      <c r="F987" s="5">
        <f>IFERROR(__xludf.DUMMYFUNCTION("""COMPUTED_VALUE"""),1.28194E7)</f>
        <v>12819400</v>
      </c>
      <c r="G987" s="5">
        <f t="shared" si="1"/>
        <v>60</v>
      </c>
    </row>
    <row r="988">
      <c r="A988" s="4">
        <f>IFERROR(__xludf.DUMMYFUNCTION("""COMPUTED_VALUE"""),45309.66666666667)</f>
        <v>45309.66667</v>
      </c>
      <c r="B988" s="5">
        <f>IFERROR(__xludf.DUMMYFUNCTION("""COMPUTED_VALUE"""),2660.0)</f>
        <v>2660</v>
      </c>
      <c r="C988" s="5">
        <f>IFERROR(__xludf.DUMMYFUNCTION("""COMPUTED_VALUE"""),2660.0)</f>
        <v>2660</v>
      </c>
      <c r="D988" s="5">
        <f>IFERROR(__xludf.DUMMYFUNCTION("""COMPUTED_VALUE"""),2620.0)</f>
        <v>2620</v>
      </c>
      <c r="E988" s="5">
        <f>IFERROR(__xludf.DUMMYFUNCTION("""COMPUTED_VALUE"""),2640.0)</f>
        <v>2640</v>
      </c>
      <c r="F988" s="5">
        <f>IFERROR(__xludf.DUMMYFUNCTION("""COMPUTED_VALUE"""),8669100.0)</f>
        <v>8669100</v>
      </c>
      <c r="G988" s="5">
        <f t="shared" si="1"/>
        <v>40</v>
      </c>
    </row>
    <row r="989">
      <c r="A989" s="4">
        <f>IFERROR(__xludf.DUMMYFUNCTION("""COMPUTED_VALUE"""),45310.66666666667)</f>
        <v>45310.66667</v>
      </c>
      <c r="B989" s="5">
        <f>IFERROR(__xludf.DUMMYFUNCTION("""COMPUTED_VALUE"""),2650.0)</f>
        <v>2650</v>
      </c>
      <c r="C989" s="5">
        <f>IFERROR(__xludf.DUMMYFUNCTION("""COMPUTED_VALUE"""),2650.0)</f>
        <v>2650</v>
      </c>
      <c r="D989" s="5">
        <f>IFERROR(__xludf.DUMMYFUNCTION("""COMPUTED_VALUE"""),2610.0)</f>
        <v>2610</v>
      </c>
      <c r="E989" s="5">
        <f>IFERROR(__xludf.DUMMYFUNCTION("""COMPUTED_VALUE"""),2620.0)</f>
        <v>2620</v>
      </c>
      <c r="F989" s="5">
        <f>IFERROR(__xludf.DUMMYFUNCTION("""COMPUTED_VALUE"""),6349700.0)</f>
        <v>6349700</v>
      </c>
      <c r="G989" s="5">
        <f t="shared" si="1"/>
        <v>40</v>
      </c>
    </row>
    <row r="990">
      <c r="A990" s="4">
        <f>IFERROR(__xludf.DUMMYFUNCTION("""COMPUTED_VALUE"""),45313.66666666667)</f>
        <v>45313.66667</v>
      </c>
      <c r="B990" s="5">
        <f>IFERROR(__xludf.DUMMYFUNCTION("""COMPUTED_VALUE"""),2610.0)</f>
        <v>2610</v>
      </c>
      <c r="C990" s="5">
        <f>IFERROR(__xludf.DUMMYFUNCTION("""COMPUTED_VALUE"""),2630.0)</f>
        <v>2630</v>
      </c>
      <c r="D990" s="5">
        <f>IFERROR(__xludf.DUMMYFUNCTION("""COMPUTED_VALUE"""),2550.0)</f>
        <v>2550</v>
      </c>
      <c r="E990" s="5">
        <f>IFERROR(__xludf.DUMMYFUNCTION("""COMPUTED_VALUE"""),2550.0)</f>
        <v>2550</v>
      </c>
      <c r="F990" s="5">
        <f>IFERROR(__xludf.DUMMYFUNCTION("""COMPUTED_VALUE"""),1.58472E7)</f>
        <v>15847200</v>
      </c>
      <c r="G990" s="5">
        <f t="shared" si="1"/>
        <v>80</v>
      </c>
    </row>
    <row r="991">
      <c r="A991" s="4">
        <f>IFERROR(__xludf.DUMMYFUNCTION("""COMPUTED_VALUE"""),45314.66666666667)</f>
        <v>45314.66667</v>
      </c>
      <c r="B991" s="5">
        <f>IFERROR(__xludf.DUMMYFUNCTION("""COMPUTED_VALUE"""),2550.0)</f>
        <v>2550</v>
      </c>
      <c r="C991" s="5">
        <f>IFERROR(__xludf.DUMMYFUNCTION("""COMPUTED_VALUE"""),2590.0)</f>
        <v>2590</v>
      </c>
      <c r="D991" s="5">
        <f>IFERROR(__xludf.DUMMYFUNCTION("""COMPUTED_VALUE"""),2520.0)</f>
        <v>2520</v>
      </c>
      <c r="E991" s="5">
        <f>IFERROR(__xludf.DUMMYFUNCTION("""COMPUTED_VALUE"""),2540.0)</f>
        <v>2540</v>
      </c>
      <c r="F991" s="5">
        <f>IFERROR(__xludf.DUMMYFUNCTION("""COMPUTED_VALUE"""),8693800.0)</f>
        <v>8693800</v>
      </c>
      <c r="G991" s="5">
        <f t="shared" si="1"/>
        <v>70</v>
      </c>
    </row>
    <row r="992">
      <c r="A992" s="4">
        <f>IFERROR(__xludf.DUMMYFUNCTION("""COMPUTED_VALUE"""),45315.66666666667)</f>
        <v>45315.66667</v>
      </c>
      <c r="B992" s="5">
        <f>IFERROR(__xludf.DUMMYFUNCTION("""COMPUTED_VALUE"""),2560.0)</f>
        <v>2560</v>
      </c>
      <c r="C992" s="5">
        <f>IFERROR(__xludf.DUMMYFUNCTION("""COMPUTED_VALUE"""),2580.0)</f>
        <v>2580</v>
      </c>
      <c r="D992" s="5">
        <f>IFERROR(__xludf.DUMMYFUNCTION("""COMPUTED_VALUE"""),2500.0)</f>
        <v>2500</v>
      </c>
      <c r="E992" s="5">
        <f>IFERROR(__xludf.DUMMYFUNCTION("""COMPUTED_VALUE"""),2510.0)</f>
        <v>2510</v>
      </c>
      <c r="F992" s="5">
        <f>IFERROR(__xludf.DUMMYFUNCTION("""COMPUTED_VALUE"""),7820000.0)</f>
        <v>7820000</v>
      </c>
      <c r="G992" s="5">
        <f t="shared" si="1"/>
        <v>80</v>
      </c>
    </row>
    <row r="993">
      <c r="A993" s="4">
        <f>IFERROR(__xludf.DUMMYFUNCTION("""COMPUTED_VALUE"""),45316.66666666667)</f>
        <v>45316.66667</v>
      </c>
      <c r="B993" s="5">
        <f>IFERROR(__xludf.DUMMYFUNCTION("""COMPUTED_VALUE"""),2510.0)</f>
        <v>2510</v>
      </c>
      <c r="C993" s="5">
        <f>IFERROR(__xludf.DUMMYFUNCTION("""COMPUTED_VALUE"""),2580.0)</f>
        <v>2580</v>
      </c>
      <c r="D993" s="5">
        <f>IFERROR(__xludf.DUMMYFUNCTION("""COMPUTED_VALUE"""),2510.0)</f>
        <v>2510</v>
      </c>
      <c r="E993" s="5">
        <f>IFERROR(__xludf.DUMMYFUNCTION("""COMPUTED_VALUE"""),2570.0)</f>
        <v>2570</v>
      </c>
      <c r="F993" s="5">
        <f>IFERROR(__xludf.DUMMYFUNCTION("""COMPUTED_VALUE"""),9744300.0)</f>
        <v>9744300</v>
      </c>
      <c r="G993" s="5">
        <f t="shared" si="1"/>
        <v>70</v>
      </c>
    </row>
    <row r="994">
      <c r="A994" s="4">
        <f>IFERROR(__xludf.DUMMYFUNCTION("""COMPUTED_VALUE"""),45317.66666666667)</f>
        <v>45317.66667</v>
      </c>
      <c r="B994" s="5">
        <f>IFERROR(__xludf.DUMMYFUNCTION("""COMPUTED_VALUE"""),2600.0)</f>
        <v>2600</v>
      </c>
      <c r="C994" s="5">
        <f>IFERROR(__xludf.DUMMYFUNCTION("""COMPUTED_VALUE"""),2600.0)</f>
        <v>2600</v>
      </c>
      <c r="D994" s="5">
        <f>IFERROR(__xludf.DUMMYFUNCTION("""COMPUTED_VALUE"""),2540.0)</f>
        <v>2540</v>
      </c>
      <c r="E994" s="5">
        <f>IFERROR(__xludf.DUMMYFUNCTION("""COMPUTED_VALUE"""),2570.0)</f>
        <v>2570</v>
      </c>
      <c r="F994" s="5">
        <f>IFERROR(__xludf.DUMMYFUNCTION("""COMPUTED_VALUE"""),5259500.0)</f>
        <v>5259500</v>
      </c>
      <c r="G994" s="5">
        <f t="shared" si="1"/>
        <v>60</v>
      </c>
    </row>
    <row r="995">
      <c r="A995" s="4">
        <f>IFERROR(__xludf.DUMMYFUNCTION("""COMPUTED_VALUE"""),45320.66666666667)</f>
        <v>45320.66667</v>
      </c>
      <c r="B995" s="5">
        <f>IFERROR(__xludf.DUMMYFUNCTION("""COMPUTED_VALUE"""),2570.0)</f>
        <v>2570</v>
      </c>
      <c r="C995" s="5">
        <f>IFERROR(__xludf.DUMMYFUNCTION("""COMPUTED_VALUE"""),2590.0)</f>
        <v>2590</v>
      </c>
      <c r="D995" s="5">
        <f>IFERROR(__xludf.DUMMYFUNCTION("""COMPUTED_VALUE"""),2560.0)</f>
        <v>2560</v>
      </c>
      <c r="E995" s="5">
        <f>IFERROR(__xludf.DUMMYFUNCTION("""COMPUTED_VALUE"""),2570.0)</f>
        <v>2570</v>
      </c>
      <c r="F995" s="5">
        <f>IFERROR(__xludf.DUMMYFUNCTION("""COMPUTED_VALUE"""),5576600.0)</f>
        <v>5576600</v>
      </c>
      <c r="G995" s="5">
        <f t="shared" si="1"/>
        <v>30</v>
      </c>
    </row>
    <row r="996">
      <c r="A996" s="4">
        <f>IFERROR(__xludf.DUMMYFUNCTION("""COMPUTED_VALUE"""),45321.66666666667)</f>
        <v>45321.66667</v>
      </c>
      <c r="B996" s="5">
        <f>IFERROR(__xludf.DUMMYFUNCTION("""COMPUTED_VALUE"""),2560.0)</f>
        <v>2560</v>
      </c>
      <c r="C996" s="5">
        <f>IFERROR(__xludf.DUMMYFUNCTION("""COMPUTED_VALUE"""),2610.0)</f>
        <v>2610</v>
      </c>
      <c r="D996" s="5">
        <f>IFERROR(__xludf.DUMMYFUNCTION("""COMPUTED_VALUE"""),2540.0)</f>
        <v>2540</v>
      </c>
      <c r="E996" s="5">
        <f>IFERROR(__xludf.DUMMYFUNCTION("""COMPUTED_VALUE"""),2590.0)</f>
        <v>2590</v>
      </c>
      <c r="F996" s="5">
        <f>IFERROR(__xludf.DUMMYFUNCTION("""COMPUTED_VALUE"""),8538000.0)</f>
        <v>8538000</v>
      </c>
      <c r="G996" s="5">
        <f t="shared" si="1"/>
        <v>70</v>
      </c>
    </row>
    <row r="997">
      <c r="A997" s="4">
        <f>IFERROR(__xludf.DUMMYFUNCTION("""COMPUTED_VALUE"""),45322.66666666667)</f>
        <v>45322.66667</v>
      </c>
      <c r="B997" s="5">
        <f>IFERROR(__xludf.DUMMYFUNCTION("""COMPUTED_VALUE"""),2610.0)</f>
        <v>2610</v>
      </c>
      <c r="C997" s="5">
        <f>IFERROR(__xludf.DUMMYFUNCTION("""COMPUTED_VALUE"""),2660.0)</f>
        <v>2660</v>
      </c>
      <c r="D997" s="5">
        <f>IFERROR(__xludf.DUMMYFUNCTION("""COMPUTED_VALUE"""),2600.0)</f>
        <v>2600</v>
      </c>
      <c r="E997" s="5">
        <f>IFERROR(__xludf.DUMMYFUNCTION("""COMPUTED_VALUE"""),2610.0)</f>
        <v>2610</v>
      </c>
      <c r="F997" s="5">
        <f>IFERROR(__xludf.DUMMYFUNCTION("""COMPUTED_VALUE"""),1.4814E7)</f>
        <v>14814000</v>
      </c>
      <c r="G997" s="5">
        <f t="shared" si="1"/>
        <v>70</v>
      </c>
    </row>
    <row r="998">
      <c r="A998" s="4">
        <f>IFERROR(__xludf.DUMMYFUNCTION("""COMPUTED_VALUE"""),45323.66666666667)</f>
        <v>45323.66667</v>
      </c>
      <c r="B998" s="5">
        <f>IFERROR(__xludf.DUMMYFUNCTION("""COMPUTED_VALUE"""),2610.0)</f>
        <v>2610</v>
      </c>
      <c r="C998" s="5">
        <f>IFERROR(__xludf.DUMMYFUNCTION("""COMPUTED_VALUE"""),2610.0)</f>
        <v>2610</v>
      </c>
      <c r="D998" s="5">
        <f>IFERROR(__xludf.DUMMYFUNCTION("""COMPUTED_VALUE"""),2560.0)</f>
        <v>2560</v>
      </c>
      <c r="E998" s="5">
        <f>IFERROR(__xludf.DUMMYFUNCTION("""COMPUTED_VALUE"""),2560.0)</f>
        <v>2560</v>
      </c>
      <c r="F998" s="5">
        <f>IFERROR(__xludf.DUMMYFUNCTION("""COMPUTED_VALUE"""),1.22642E7)</f>
        <v>12264200</v>
      </c>
      <c r="G998" s="5">
        <f t="shared" si="1"/>
        <v>50</v>
      </c>
    </row>
    <row r="999">
      <c r="A999" s="4">
        <f>IFERROR(__xludf.DUMMYFUNCTION("""COMPUTED_VALUE"""),45324.66666666667)</f>
        <v>45324.66667</v>
      </c>
      <c r="B999" s="5">
        <f>IFERROR(__xludf.DUMMYFUNCTION("""COMPUTED_VALUE"""),2560.0)</f>
        <v>2560</v>
      </c>
      <c r="C999" s="5">
        <f>IFERROR(__xludf.DUMMYFUNCTION("""COMPUTED_VALUE"""),2580.0)</f>
        <v>2580</v>
      </c>
      <c r="D999" s="5">
        <f>IFERROR(__xludf.DUMMYFUNCTION("""COMPUTED_VALUE"""),2540.0)</f>
        <v>2540</v>
      </c>
      <c r="E999" s="5">
        <f>IFERROR(__xludf.DUMMYFUNCTION("""COMPUTED_VALUE"""),2540.0)</f>
        <v>2540</v>
      </c>
      <c r="F999" s="5">
        <f>IFERROR(__xludf.DUMMYFUNCTION("""COMPUTED_VALUE"""),6281100.0)</f>
        <v>6281100</v>
      </c>
      <c r="G999" s="5">
        <f t="shared" si="1"/>
        <v>40</v>
      </c>
    </row>
    <row r="1000">
      <c r="A1000" s="4">
        <f>IFERROR(__xludf.DUMMYFUNCTION("""COMPUTED_VALUE"""),45327.66666666667)</f>
        <v>45327.66667</v>
      </c>
      <c r="B1000" s="5">
        <f>IFERROR(__xludf.DUMMYFUNCTION("""COMPUTED_VALUE"""),2550.0)</f>
        <v>2550</v>
      </c>
      <c r="C1000" s="5">
        <f>IFERROR(__xludf.DUMMYFUNCTION("""COMPUTED_VALUE"""),2590.0)</f>
        <v>2590</v>
      </c>
      <c r="D1000" s="5">
        <f>IFERROR(__xludf.DUMMYFUNCTION("""COMPUTED_VALUE"""),2540.0)</f>
        <v>2540</v>
      </c>
      <c r="E1000" s="5">
        <f>IFERROR(__xludf.DUMMYFUNCTION("""COMPUTED_VALUE"""),2540.0)</f>
        <v>2540</v>
      </c>
      <c r="F1000" s="5">
        <f>IFERROR(__xludf.DUMMYFUNCTION("""COMPUTED_VALUE"""),8566700.0)</f>
        <v>8566700</v>
      </c>
      <c r="G1000" s="5">
        <f t="shared" si="1"/>
        <v>50</v>
      </c>
    </row>
    <row r="1001">
      <c r="A1001" s="4">
        <f>IFERROR(__xludf.DUMMYFUNCTION("""COMPUTED_VALUE"""),45328.66666666667)</f>
        <v>45328.66667</v>
      </c>
      <c r="B1001" s="5">
        <f>IFERROR(__xludf.DUMMYFUNCTION("""COMPUTED_VALUE"""),2550.0)</f>
        <v>2550</v>
      </c>
      <c r="C1001" s="5">
        <f>IFERROR(__xludf.DUMMYFUNCTION("""COMPUTED_VALUE"""),2570.0)</f>
        <v>2570</v>
      </c>
      <c r="D1001" s="5">
        <f>IFERROR(__xludf.DUMMYFUNCTION("""COMPUTED_VALUE"""),2540.0)</f>
        <v>2540</v>
      </c>
      <c r="E1001" s="5">
        <f>IFERROR(__xludf.DUMMYFUNCTION("""COMPUTED_VALUE"""),2560.0)</f>
        <v>2560</v>
      </c>
      <c r="F1001" s="5">
        <f>IFERROR(__xludf.DUMMYFUNCTION("""COMPUTED_VALUE"""),8824400.0)</f>
        <v>8824400</v>
      </c>
      <c r="G1001" s="5">
        <f t="shared" si="1"/>
        <v>30</v>
      </c>
    </row>
    <row r="1002">
      <c r="A1002" s="4">
        <f>IFERROR(__xludf.DUMMYFUNCTION("""COMPUTED_VALUE"""),45329.66666666667)</f>
        <v>45329.66667</v>
      </c>
      <c r="B1002" s="5">
        <f>IFERROR(__xludf.DUMMYFUNCTION("""COMPUTED_VALUE"""),2560.0)</f>
        <v>2560</v>
      </c>
      <c r="C1002" s="5">
        <f>IFERROR(__xludf.DUMMYFUNCTION("""COMPUTED_VALUE"""),2610.0)</f>
        <v>2610</v>
      </c>
      <c r="D1002" s="5">
        <f>IFERROR(__xludf.DUMMYFUNCTION("""COMPUTED_VALUE"""),2560.0)</f>
        <v>2560</v>
      </c>
      <c r="E1002" s="5">
        <f>IFERROR(__xludf.DUMMYFUNCTION("""COMPUTED_VALUE"""),2610.0)</f>
        <v>2610</v>
      </c>
      <c r="F1002" s="5">
        <f>IFERROR(__xludf.DUMMYFUNCTION("""COMPUTED_VALUE"""),6168100.0)</f>
        <v>6168100</v>
      </c>
      <c r="G1002" s="5">
        <f t="shared" si="1"/>
        <v>50</v>
      </c>
    </row>
    <row r="1003">
      <c r="A1003" s="4">
        <f>IFERROR(__xludf.DUMMYFUNCTION("""COMPUTED_VALUE"""),45334.66666666667)</f>
        <v>45334.66667</v>
      </c>
      <c r="B1003" s="5">
        <f>IFERROR(__xludf.DUMMYFUNCTION("""COMPUTED_VALUE"""),2610.0)</f>
        <v>2610</v>
      </c>
      <c r="C1003" s="5">
        <f>IFERROR(__xludf.DUMMYFUNCTION("""COMPUTED_VALUE"""),2660.0)</f>
        <v>2660</v>
      </c>
      <c r="D1003" s="5">
        <f>IFERROR(__xludf.DUMMYFUNCTION("""COMPUTED_VALUE"""),2610.0)</f>
        <v>2610</v>
      </c>
      <c r="E1003" s="5">
        <f>IFERROR(__xludf.DUMMYFUNCTION("""COMPUTED_VALUE"""),2650.0)</f>
        <v>2650</v>
      </c>
      <c r="F1003" s="5">
        <f>IFERROR(__xludf.DUMMYFUNCTION("""COMPUTED_VALUE"""),1.18541E7)</f>
        <v>11854100</v>
      </c>
      <c r="G1003" s="5">
        <f t="shared" si="1"/>
        <v>50</v>
      </c>
    </row>
    <row r="1004">
      <c r="A1004" s="4">
        <f>IFERROR(__xludf.DUMMYFUNCTION("""COMPUTED_VALUE"""),45335.66666666667)</f>
        <v>45335.66667</v>
      </c>
      <c r="B1004" s="5">
        <f>IFERROR(__xludf.DUMMYFUNCTION("""COMPUTED_VALUE"""),2650.0)</f>
        <v>2650</v>
      </c>
      <c r="C1004" s="5">
        <f>IFERROR(__xludf.DUMMYFUNCTION("""COMPUTED_VALUE"""),2660.0)</f>
        <v>2660</v>
      </c>
      <c r="D1004" s="5">
        <f>IFERROR(__xludf.DUMMYFUNCTION("""COMPUTED_VALUE"""),2630.0)</f>
        <v>2630</v>
      </c>
      <c r="E1004" s="5">
        <f>IFERROR(__xludf.DUMMYFUNCTION("""COMPUTED_VALUE"""),2640.0)</f>
        <v>2640</v>
      </c>
      <c r="F1004" s="5">
        <f>IFERROR(__xludf.DUMMYFUNCTION("""COMPUTED_VALUE"""),5620100.0)</f>
        <v>5620100</v>
      </c>
      <c r="G1004" s="5">
        <f t="shared" si="1"/>
        <v>30</v>
      </c>
    </row>
    <row r="1005">
      <c r="A1005" s="4">
        <f>IFERROR(__xludf.DUMMYFUNCTION("""COMPUTED_VALUE"""),45337.66666666667)</f>
        <v>45337.66667</v>
      </c>
      <c r="B1005" s="5">
        <f>IFERROR(__xludf.DUMMYFUNCTION("""COMPUTED_VALUE"""),2660.0)</f>
        <v>2660</v>
      </c>
      <c r="C1005" s="5">
        <f>IFERROR(__xludf.DUMMYFUNCTION("""COMPUTED_VALUE"""),2700.0)</f>
        <v>2700</v>
      </c>
      <c r="D1005" s="5">
        <f>IFERROR(__xludf.DUMMYFUNCTION("""COMPUTED_VALUE"""),2650.0)</f>
        <v>2650</v>
      </c>
      <c r="E1005" s="5">
        <f>IFERROR(__xludf.DUMMYFUNCTION("""COMPUTED_VALUE"""),2660.0)</f>
        <v>2660</v>
      </c>
      <c r="F1005" s="5">
        <f>IFERROR(__xludf.DUMMYFUNCTION("""COMPUTED_VALUE"""),1.06714E7)</f>
        <v>10671400</v>
      </c>
      <c r="G1005" s="5">
        <f t="shared" si="1"/>
        <v>60</v>
      </c>
    </row>
    <row r="1006">
      <c r="A1006" s="4">
        <f>IFERROR(__xludf.DUMMYFUNCTION("""COMPUTED_VALUE"""),45338.66666666667)</f>
        <v>45338.66667</v>
      </c>
      <c r="B1006" s="5">
        <f>IFERROR(__xludf.DUMMYFUNCTION("""COMPUTED_VALUE"""),2680.0)</f>
        <v>2680</v>
      </c>
      <c r="C1006" s="5">
        <f>IFERROR(__xludf.DUMMYFUNCTION("""COMPUTED_VALUE"""),2690.0)</f>
        <v>2690</v>
      </c>
      <c r="D1006" s="5">
        <f>IFERROR(__xludf.DUMMYFUNCTION("""COMPUTED_VALUE"""),2650.0)</f>
        <v>2650</v>
      </c>
      <c r="E1006" s="5">
        <f>IFERROR(__xludf.DUMMYFUNCTION("""COMPUTED_VALUE"""),2680.0)</f>
        <v>2680</v>
      </c>
      <c r="F1006" s="5">
        <f>IFERROR(__xludf.DUMMYFUNCTION("""COMPUTED_VALUE"""),1.30902E7)</f>
        <v>13090200</v>
      </c>
      <c r="G1006" s="5">
        <f t="shared" si="1"/>
        <v>40</v>
      </c>
    </row>
    <row r="1007">
      <c r="A1007" s="4">
        <f>IFERROR(__xludf.DUMMYFUNCTION("""COMPUTED_VALUE"""),45341.66666666667)</f>
        <v>45341.66667</v>
      </c>
      <c r="B1007" s="5">
        <f>IFERROR(__xludf.DUMMYFUNCTION("""COMPUTED_VALUE"""),2680.0)</f>
        <v>2680</v>
      </c>
      <c r="C1007" s="5">
        <f>IFERROR(__xludf.DUMMYFUNCTION("""COMPUTED_VALUE"""),2690.0)</f>
        <v>2690</v>
      </c>
      <c r="D1007" s="5">
        <f>IFERROR(__xludf.DUMMYFUNCTION("""COMPUTED_VALUE"""),2650.0)</f>
        <v>2650</v>
      </c>
      <c r="E1007" s="5">
        <f>IFERROR(__xludf.DUMMYFUNCTION("""COMPUTED_VALUE"""),2690.0)</f>
        <v>2690</v>
      </c>
      <c r="F1007" s="5">
        <f>IFERROR(__xludf.DUMMYFUNCTION("""COMPUTED_VALUE"""),1.00441E7)</f>
        <v>10044100</v>
      </c>
      <c r="G1007" s="5">
        <f t="shared" si="1"/>
        <v>40</v>
      </c>
    </row>
    <row r="1008">
      <c r="A1008" s="4">
        <f>IFERROR(__xludf.DUMMYFUNCTION("""COMPUTED_VALUE"""),45342.66666666667)</f>
        <v>45342.66667</v>
      </c>
      <c r="B1008" s="5">
        <f>IFERROR(__xludf.DUMMYFUNCTION("""COMPUTED_VALUE"""),2690.0)</f>
        <v>2690</v>
      </c>
      <c r="C1008" s="5">
        <f>IFERROR(__xludf.DUMMYFUNCTION("""COMPUTED_VALUE"""),2690.0)</f>
        <v>2690</v>
      </c>
      <c r="D1008" s="5">
        <f>IFERROR(__xludf.DUMMYFUNCTION("""COMPUTED_VALUE"""),2640.0)</f>
        <v>2640</v>
      </c>
      <c r="E1008" s="5">
        <f>IFERROR(__xludf.DUMMYFUNCTION("""COMPUTED_VALUE"""),2640.0)</f>
        <v>2640</v>
      </c>
      <c r="F1008" s="5">
        <f>IFERROR(__xludf.DUMMYFUNCTION("""COMPUTED_VALUE"""),9295000.0)</f>
        <v>9295000</v>
      </c>
      <c r="G1008" s="5">
        <f t="shared" si="1"/>
        <v>50</v>
      </c>
    </row>
    <row r="1009">
      <c r="A1009" s="4">
        <f>IFERROR(__xludf.DUMMYFUNCTION("""COMPUTED_VALUE"""),45343.66666666667)</f>
        <v>45343.66667</v>
      </c>
      <c r="B1009" s="5">
        <f>IFERROR(__xludf.DUMMYFUNCTION("""COMPUTED_VALUE"""),2640.0)</f>
        <v>2640</v>
      </c>
      <c r="C1009" s="5">
        <f>IFERROR(__xludf.DUMMYFUNCTION("""COMPUTED_VALUE"""),2640.0)</f>
        <v>2640</v>
      </c>
      <c r="D1009" s="5">
        <f>IFERROR(__xludf.DUMMYFUNCTION("""COMPUTED_VALUE"""),2600.0)</f>
        <v>2600</v>
      </c>
      <c r="E1009" s="5">
        <f>IFERROR(__xludf.DUMMYFUNCTION("""COMPUTED_VALUE"""),2610.0)</f>
        <v>2610</v>
      </c>
      <c r="F1009" s="5">
        <f>IFERROR(__xludf.DUMMYFUNCTION("""COMPUTED_VALUE"""),7854800.0)</f>
        <v>7854800</v>
      </c>
      <c r="G1009" s="5">
        <f t="shared" si="1"/>
        <v>40</v>
      </c>
    </row>
    <row r="1010">
      <c r="A1010" s="4">
        <f>IFERROR(__xludf.DUMMYFUNCTION("""COMPUTED_VALUE"""),45344.66666666667)</f>
        <v>45344.66667</v>
      </c>
      <c r="B1010" s="5">
        <f>IFERROR(__xludf.DUMMYFUNCTION("""COMPUTED_VALUE"""),2610.0)</f>
        <v>2610</v>
      </c>
      <c r="C1010" s="5">
        <f>IFERROR(__xludf.DUMMYFUNCTION("""COMPUTED_VALUE"""),2650.0)</f>
        <v>2650</v>
      </c>
      <c r="D1010" s="5">
        <f>IFERROR(__xludf.DUMMYFUNCTION("""COMPUTED_VALUE"""),2600.0)</f>
        <v>2600</v>
      </c>
      <c r="E1010" s="5">
        <f>IFERROR(__xludf.DUMMYFUNCTION("""COMPUTED_VALUE"""),2630.0)</f>
        <v>2630</v>
      </c>
      <c r="F1010" s="5">
        <f>IFERROR(__xludf.DUMMYFUNCTION("""COMPUTED_VALUE"""),6881000.0)</f>
        <v>6881000</v>
      </c>
      <c r="G1010" s="5">
        <f t="shared" si="1"/>
        <v>50</v>
      </c>
    </row>
    <row r="1011">
      <c r="A1011" s="4">
        <f>IFERROR(__xludf.DUMMYFUNCTION("""COMPUTED_VALUE"""),45345.66666666667)</f>
        <v>45345.66667</v>
      </c>
      <c r="B1011" s="5">
        <f>IFERROR(__xludf.DUMMYFUNCTION("""COMPUTED_VALUE"""),2630.0)</f>
        <v>2630</v>
      </c>
      <c r="C1011" s="5">
        <f>IFERROR(__xludf.DUMMYFUNCTION("""COMPUTED_VALUE"""),2640.0)</f>
        <v>2640</v>
      </c>
      <c r="D1011" s="5">
        <f>IFERROR(__xludf.DUMMYFUNCTION("""COMPUTED_VALUE"""),2610.0)</f>
        <v>2610</v>
      </c>
      <c r="E1011" s="5">
        <f>IFERROR(__xludf.DUMMYFUNCTION("""COMPUTED_VALUE"""),2630.0)</f>
        <v>2630</v>
      </c>
      <c r="F1011" s="5">
        <f>IFERROR(__xludf.DUMMYFUNCTION("""COMPUTED_VALUE"""),3933700.0)</f>
        <v>3933700</v>
      </c>
      <c r="G1011" s="5">
        <f t="shared" si="1"/>
        <v>30</v>
      </c>
    </row>
    <row r="1012">
      <c r="A1012" s="4">
        <f>IFERROR(__xludf.DUMMYFUNCTION("""COMPUTED_VALUE"""),45348.66666666667)</f>
        <v>45348.66667</v>
      </c>
      <c r="B1012" s="5">
        <f>IFERROR(__xludf.DUMMYFUNCTION("""COMPUTED_VALUE"""),2640.0)</f>
        <v>2640</v>
      </c>
      <c r="C1012" s="5">
        <f>IFERROR(__xludf.DUMMYFUNCTION("""COMPUTED_VALUE"""),2640.0)</f>
        <v>2640</v>
      </c>
      <c r="D1012" s="5">
        <f>IFERROR(__xludf.DUMMYFUNCTION("""COMPUTED_VALUE"""),2580.0)</f>
        <v>2580</v>
      </c>
      <c r="E1012" s="5">
        <f>IFERROR(__xludf.DUMMYFUNCTION("""COMPUTED_VALUE"""),2580.0)</f>
        <v>2580</v>
      </c>
      <c r="F1012" s="5">
        <f>IFERROR(__xludf.DUMMYFUNCTION("""COMPUTED_VALUE"""),1.10712E7)</f>
        <v>11071200</v>
      </c>
      <c r="G1012" s="5">
        <f t="shared" si="1"/>
        <v>60</v>
      </c>
    </row>
    <row r="1013">
      <c r="A1013" s="4">
        <f>IFERROR(__xludf.DUMMYFUNCTION("""COMPUTED_VALUE"""),45349.66666666667)</f>
        <v>45349.66667</v>
      </c>
      <c r="B1013" s="5">
        <f>IFERROR(__xludf.DUMMYFUNCTION("""COMPUTED_VALUE"""),2600.0)</f>
        <v>2600</v>
      </c>
      <c r="C1013" s="5">
        <f>IFERROR(__xludf.DUMMYFUNCTION("""COMPUTED_VALUE"""),2610.0)</f>
        <v>2610</v>
      </c>
      <c r="D1013" s="5">
        <f>IFERROR(__xludf.DUMMYFUNCTION("""COMPUTED_VALUE"""),2590.0)</f>
        <v>2590</v>
      </c>
      <c r="E1013" s="5">
        <f>IFERROR(__xludf.DUMMYFUNCTION("""COMPUTED_VALUE"""),2590.0)</f>
        <v>2590</v>
      </c>
      <c r="F1013" s="5">
        <f>IFERROR(__xludf.DUMMYFUNCTION("""COMPUTED_VALUE"""),5649800.0)</f>
        <v>5649800</v>
      </c>
      <c r="G1013" s="5">
        <f t="shared" si="1"/>
        <v>30</v>
      </c>
    </row>
    <row r="1014">
      <c r="A1014" s="4">
        <f>IFERROR(__xludf.DUMMYFUNCTION("""COMPUTED_VALUE"""),45350.66666666667)</f>
        <v>45350.66667</v>
      </c>
      <c r="B1014" s="5">
        <f>IFERROR(__xludf.DUMMYFUNCTION("""COMPUTED_VALUE"""),2600.0)</f>
        <v>2600</v>
      </c>
      <c r="C1014" s="5">
        <f>IFERROR(__xludf.DUMMYFUNCTION("""COMPUTED_VALUE"""),2630.0)</f>
        <v>2630</v>
      </c>
      <c r="D1014" s="5">
        <f>IFERROR(__xludf.DUMMYFUNCTION("""COMPUTED_VALUE"""),2600.0)</f>
        <v>2600</v>
      </c>
      <c r="E1014" s="5">
        <f>IFERROR(__xludf.DUMMYFUNCTION("""COMPUTED_VALUE"""),2620.0)</f>
        <v>2620</v>
      </c>
      <c r="F1014" s="5">
        <f>IFERROR(__xludf.DUMMYFUNCTION("""COMPUTED_VALUE"""),4858100.0)</f>
        <v>4858100</v>
      </c>
      <c r="G1014" s="5">
        <f t="shared" si="1"/>
        <v>40</v>
      </c>
    </row>
    <row r="1015">
      <c r="A1015" s="4">
        <f>IFERROR(__xludf.DUMMYFUNCTION("""COMPUTED_VALUE"""),45351.66666666667)</f>
        <v>45351.66667</v>
      </c>
      <c r="B1015" s="5">
        <f>IFERROR(__xludf.DUMMYFUNCTION("""COMPUTED_VALUE"""),2620.0)</f>
        <v>2620</v>
      </c>
      <c r="C1015" s="5">
        <f>IFERROR(__xludf.DUMMYFUNCTION("""COMPUTED_VALUE"""),2630.0)</f>
        <v>2630</v>
      </c>
      <c r="D1015" s="5">
        <f>IFERROR(__xludf.DUMMYFUNCTION("""COMPUTED_VALUE"""),2560.0)</f>
        <v>2560</v>
      </c>
      <c r="E1015" s="5">
        <f>IFERROR(__xludf.DUMMYFUNCTION("""COMPUTED_VALUE"""),2560.0)</f>
        <v>2560</v>
      </c>
      <c r="F1015" s="5">
        <f>IFERROR(__xludf.DUMMYFUNCTION("""COMPUTED_VALUE"""),1.6546E7)</f>
        <v>16546000</v>
      </c>
      <c r="G1015" s="5">
        <f t="shared" si="1"/>
        <v>70</v>
      </c>
    </row>
    <row r="1016">
      <c r="A1016" s="4">
        <f>IFERROR(__xludf.DUMMYFUNCTION("""COMPUTED_VALUE"""),45352.66666666667)</f>
        <v>45352.66667</v>
      </c>
      <c r="B1016" s="5">
        <f>IFERROR(__xludf.DUMMYFUNCTION("""COMPUTED_VALUE"""),2590.0)</f>
        <v>2590</v>
      </c>
      <c r="C1016" s="5">
        <f>IFERROR(__xludf.DUMMYFUNCTION("""COMPUTED_VALUE"""),2610.0)</f>
        <v>2610</v>
      </c>
      <c r="D1016" s="5">
        <f>IFERROR(__xludf.DUMMYFUNCTION("""COMPUTED_VALUE"""),2570.0)</f>
        <v>2570</v>
      </c>
      <c r="E1016" s="5">
        <f>IFERROR(__xludf.DUMMYFUNCTION("""COMPUTED_VALUE"""),2580.0)</f>
        <v>2580</v>
      </c>
      <c r="F1016" s="5">
        <f>IFERROR(__xludf.DUMMYFUNCTION("""COMPUTED_VALUE"""),8631800.0)</f>
        <v>8631800</v>
      </c>
      <c r="G1016" s="5">
        <f t="shared" si="1"/>
        <v>50</v>
      </c>
    </row>
    <row r="1017">
      <c r="A1017" s="4">
        <f>IFERROR(__xludf.DUMMYFUNCTION("""COMPUTED_VALUE"""),45355.66666666667)</f>
        <v>45355.66667</v>
      </c>
      <c r="B1017" s="5">
        <f>IFERROR(__xludf.DUMMYFUNCTION("""COMPUTED_VALUE"""),2590.0)</f>
        <v>2590</v>
      </c>
      <c r="C1017" s="5">
        <f>IFERROR(__xludf.DUMMYFUNCTION("""COMPUTED_VALUE"""),2690.0)</f>
        <v>2690</v>
      </c>
      <c r="D1017" s="5">
        <f>IFERROR(__xludf.DUMMYFUNCTION("""COMPUTED_VALUE"""),2590.0)</f>
        <v>2590</v>
      </c>
      <c r="E1017" s="5">
        <f>IFERROR(__xludf.DUMMYFUNCTION("""COMPUTED_VALUE"""),2690.0)</f>
        <v>2690</v>
      </c>
      <c r="F1017" s="5">
        <f>IFERROR(__xludf.DUMMYFUNCTION("""COMPUTED_VALUE"""),2.7146E7)</f>
        <v>27146000</v>
      </c>
      <c r="G1017" s="5">
        <f t="shared" si="1"/>
        <v>110</v>
      </c>
    </row>
    <row r="1018">
      <c r="A1018" s="4">
        <f>IFERROR(__xludf.DUMMYFUNCTION("""COMPUTED_VALUE"""),45356.66666666667)</f>
        <v>45356.66667</v>
      </c>
      <c r="B1018" s="5">
        <f>IFERROR(__xludf.DUMMYFUNCTION("""COMPUTED_VALUE"""),2740.0)</f>
        <v>2740</v>
      </c>
      <c r="C1018" s="5">
        <f>IFERROR(__xludf.DUMMYFUNCTION("""COMPUTED_VALUE"""),2800.0)</f>
        <v>2800</v>
      </c>
      <c r="D1018" s="5">
        <f>IFERROR(__xludf.DUMMYFUNCTION("""COMPUTED_VALUE"""),2740.0)</f>
        <v>2740</v>
      </c>
      <c r="E1018" s="5">
        <f>IFERROR(__xludf.DUMMYFUNCTION("""COMPUTED_VALUE"""),2740.0)</f>
        <v>2740</v>
      </c>
      <c r="F1018" s="5">
        <f>IFERROR(__xludf.DUMMYFUNCTION("""COMPUTED_VALUE"""),6.99211E7)</f>
        <v>69921100</v>
      </c>
      <c r="G1018" s="5">
        <f t="shared" si="1"/>
        <v>110</v>
      </c>
    </row>
    <row r="1019">
      <c r="A1019" s="4">
        <f>IFERROR(__xludf.DUMMYFUNCTION("""COMPUTED_VALUE"""),45357.66666666667)</f>
        <v>45357.66667</v>
      </c>
      <c r="B1019" s="5">
        <f>IFERROR(__xludf.DUMMYFUNCTION("""COMPUTED_VALUE"""),2760.0)</f>
        <v>2760</v>
      </c>
      <c r="C1019" s="5">
        <f>IFERROR(__xludf.DUMMYFUNCTION("""COMPUTED_VALUE"""),2790.0)</f>
        <v>2790</v>
      </c>
      <c r="D1019" s="5">
        <f>IFERROR(__xludf.DUMMYFUNCTION("""COMPUTED_VALUE"""),2730.0)</f>
        <v>2730</v>
      </c>
      <c r="E1019" s="5">
        <f>IFERROR(__xludf.DUMMYFUNCTION("""COMPUTED_VALUE"""),2780.0)</f>
        <v>2780</v>
      </c>
      <c r="F1019" s="5">
        <f>IFERROR(__xludf.DUMMYFUNCTION("""COMPUTED_VALUE"""),2.79987E7)</f>
        <v>27998700</v>
      </c>
      <c r="G1019" s="5">
        <f t="shared" si="1"/>
        <v>60</v>
      </c>
    </row>
    <row r="1020">
      <c r="A1020" s="4">
        <f>IFERROR(__xludf.DUMMYFUNCTION("""COMPUTED_VALUE"""),45358.66666666667)</f>
        <v>45358.66667</v>
      </c>
      <c r="B1020" s="5">
        <f>IFERROR(__xludf.DUMMYFUNCTION("""COMPUTED_VALUE"""),2780.0)</f>
        <v>2780</v>
      </c>
      <c r="C1020" s="5">
        <f>IFERROR(__xludf.DUMMYFUNCTION("""COMPUTED_VALUE"""),2840.0)</f>
        <v>2840</v>
      </c>
      <c r="D1020" s="5">
        <f>IFERROR(__xludf.DUMMYFUNCTION("""COMPUTED_VALUE"""),2750.0)</f>
        <v>2750</v>
      </c>
      <c r="E1020" s="5">
        <f>IFERROR(__xludf.DUMMYFUNCTION("""COMPUTED_VALUE"""),2840.0)</f>
        <v>2840</v>
      </c>
      <c r="F1020" s="5">
        <f>IFERROR(__xludf.DUMMYFUNCTION("""COMPUTED_VALUE"""),3.0004E7)</f>
        <v>30004000</v>
      </c>
      <c r="G1020" s="5">
        <f t="shared" si="1"/>
        <v>90</v>
      </c>
    </row>
    <row r="1021">
      <c r="A1021" s="4">
        <f>IFERROR(__xludf.DUMMYFUNCTION("""COMPUTED_VALUE"""),45359.66666666667)</f>
        <v>45359.66667</v>
      </c>
      <c r="B1021" s="5">
        <f>IFERROR(__xludf.DUMMYFUNCTION("""COMPUTED_VALUE"""),2840.0)</f>
        <v>2840</v>
      </c>
      <c r="C1021" s="5">
        <f>IFERROR(__xludf.DUMMYFUNCTION("""COMPUTED_VALUE"""),2900.0)</f>
        <v>2900</v>
      </c>
      <c r="D1021" s="5">
        <f>IFERROR(__xludf.DUMMYFUNCTION("""COMPUTED_VALUE"""),2810.0)</f>
        <v>2810</v>
      </c>
      <c r="E1021" s="5">
        <f>IFERROR(__xludf.DUMMYFUNCTION("""COMPUTED_VALUE"""),2900.0)</f>
        <v>2900</v>
      </c>
      <c r="F1021" s="5">
        <f>IFERROR(__xludf.DUMMYFUNCTION("""COMPUTED_VALUE"""),3.48453E7)</f>
        <v>34845300</v>
      </c>
      <c r="G1021" s="5">
        <f t="shared" si="1"/>
        <v>90</v>
      </c>
    </row>
    <row r="1022">
      <c r="A1022" s="4">
        <f>IFERROR(__xludf.DUMMYFUNCTION("""COMPUTED_VALUE"""),45364.66666666667)</f>
        <v>45364.66667</v>
      </c>
      <c r="B1022" s="5">
        <f>IFERROR(__xludf.DUMMYFUNCTION("""COMPUTED_VALUE"""),2900.0)</f>
        <v>2900</v>
      </c>
      <c r="C1022" s="5">
        <f>IFERROR(__xludf.DUMMYFUNCTION("""COMPUTED_VALUE"""),2900.0)</f>
        <v>2900</v>
      </c>
      <c r="D1022" s="5">
        <f>IFERROR(__xludf.DUMMYFUNCTION("""COMPUTED_VALUE"""),2800.0)</f>
        <v>2800</v>
      </c>
      <c r="E1022" s="5">
        <f>IFERROR(__xludf.DUMMYFUNCTION("""COMPUTED_VALUE"""),2800.0)</f>
        <v>2800</v>
      </c>
      <c r="F1022" s="5">
        <f>IFERROR(__xludf.DUMMYFUNCTION("""COMPUTED_VALUE"""),3.36781E7)</f>
        <v>33678100</v>
      </c>
      <c r="G1022" s="5">
        <f t="shared" si="1"/>
        <v>100</v>
      </c>
    </row>
    <row r="1023">
      <c r="A1023" s="4">
        <f>IFERROR(__xludf.DUMMYFUNCTION("""COMPUTED_VALUE"""),45365.66666666667)</f>
        <v>45365.66667</v>
      </c>
      <c r="B1023" s="5">
        <f>IFERROR(__xludf.DUMMYFUNCTION("""COMPUTED_VALUE"""),2800.0)</f>
        <v>2800</v>
      </c>
      <c r="C1023" s="5">
        <f>IFERROR(__xludf.DUMMYFUNCTION("""COMPUTED_VALUE"""),2890.0)</f>
        <v>2890</v>
      </c>
      <c r="D1023" s="5">
        <f>IFERROR(__xludf.DUMMYFUNCTION("""COMPUTED_VALUE"""),2800.0)</f>
        <v>2800</v>
      </c>
      <c r="E1023" s="5">
        <f>IFERROR(__xludf.DUMMYFUNCTION("""COMPUTED_VALUE"""),2880.0)</f>
        <v>2880</v>
      </c>
      <c r="F1023" s="5">
        <f>IFERROR(__xludf.DUMMYFUNCTION("""COMPUTED_VALUE"""),3.1781E7)</f>
        <v>31781000</v>
      </c>
      <c r="G1023" s="5">
        <f t="shared" si="1"/>
        <v>90</v>
      </c>
    </row>
    <row r="1024">
      <c r="A1024" s="4">
        <f>IFERROR(__xludf.DUMMYFUNCTION("""COMPUTED_VALUE"""),45366.66666666667)</f>
        <v>45366.66667</v>
      </c>
      <c r="B1024" s="5">
        <f>IFERROR(__xludf.DUMMYFUNCTION("""COMPUTED_VALUE"""),2890.0)</f>
        <v>2890</v>
      </c>
      <c r="C1024" s="5">
        <f>IFERROR(__xludf.DUMMYFUNCTION("""COMPUTED_VALUE"""),2940.0)</f>
        <v>2940</v>
      </c>
      <c r="D1024" s="5">
        <f>IFERROR(__xludf.DUMMYFUNCTION("""COMPUTED_VALUE"""),2840.0)</f>
        <v>2840</v>
      </c>
      <c r="E1024" s="5">
        <f>IFERROR(__xludf.DUMMYFUNCTION("""COMPUTED_VALUE"""),2840.0)</f>
        <v>2840</v>
      </c>
      <c r="F1024" s="5">
        <f>IFERROR(__xludf.DUMMYFUNCTION("""COMPUTED_VALUE"""),4.98665E7)</f>
        <v>49866500</v>
      </c>
      <c r="G1024" s="5">
        <f t="shared" si="1"/>
        <v>100</v>
      </c>
    </row>
    <row r="1025">
      <c r="A1025" s="4">
        <f>IFERROR(__xludf.DUMMYFUNCTION("""COMPUTED_VALUE"""),45369.66666666667)</f>
        <v>45369.66667</v>
      </c>
      <c r="B1025" s="5">
        <f>IFERROR(__xludf.DUMMYFUNCTION("""COMPUTED_VALUE"""),2860.0)</f>
        <v>2860</v>
      </c>
      <c r="C1025" s="5">
        <f>IFERROR(__xludf.DUMMYFUNCTION("""COMPUTED_VALUE"""),2880.0)</f>
        <v>2880</v>
      </c>
      <c r="D1025" s="5">
        <f>IFERROR(__xludf.DUMMYFUNCTION("""COMPUTED_VALUE"""),2840.0)</f>
        <v>2840</v>
      </c>
      <c r="E1025" s="5">
        <f>IFERROR(__xludf.DUMMYFUNCTION("""COMPUTED_VALUE"""),2850.0)</f>
        <v>2850</v>
      </c>
      <c r="F1025" s="5">
        <f>IFERROR(__xludf.DUMMYFUNCTION("""COMPUTED_VALUE"""),1.28023E7)</f>
        <v>12802300</v>
      </c>
      <c r="G1025" s="5">
        <f t="shared" si="1"/>
        <v>40</v>
      </c>
    </row>
    <row r="1026">
      <c r="A1026" s="4">
        <f>IFERROR(__xludf.DUMMYFUNCTION("""COMPUTED_VALUE"""),45370.66666666667)</f>
        <v>45370.66667</v>
      </c>
      <c r="B1026" s="5">
        <f>IFERROR(__xludf.DUMMYFUNCTION("""COMPUTED_VALUE"""),2850.0)</f>
        <v>2850</v>
      </c>
      <c r="C1026" s="5">
        <f>IFERROR(__xludf.DUMMYFUNCTION("""COMPUTED_VALUE"""),2930.0)</f>
        <v>2930</v>
      </c>
      <c r="D1026" s="5">
        <f>IFERROR(__xludf.DUMMYFUNCTION("""COMPUTED_VALUE"""),2850.0)</f>
        <v>2850</v>
      </c>
      <c r="E1026" s="5">
        <f>IFERROR(__xludf.DUMMYFUNCTION("""COMPUTED_VALUE"""),2930.0)</f>
        <v>2930</v>
      </c>
      <c r="F1026" s="5">
        <f>IFERROR(__xludf.DUMMYFUNCTION("""COMPUTED_VALUE"""),2.17663E7)</f>
        <v>21766300</v>
      </c>
      <c r="G1026" s="5">
        <f t="shared" si="1"/>
        <v>80</v>
      </c>
    </row>
    <row r="1027">
      <c r="A1027" s="4">
        <f>IFERROR(__xludf.DUMMYFUNCTION("""COMPUTED_VALUE"""),45371.66666666667)</f>
        <v>45371.66667</v>
      </c>
      <c r="B1027" s="5">
        <f>IFERROR(__xludf.DUMMYFUNCTION("""COMPUTED_VALUE"""),2920.0)</f>
        <v>2920</v>
      </c>
      <c r="C1027" s="5">
        <f>IFERROR(__xludf.DUMMYFUNCTION("""COMPUTED_VALUE"""),2930.0)</f>
        <v>2930</v>
      </c>
      <c r="D1027" s="5">
        <f>IFERROR(__xludf.DUMMYFUNCTION("""COMPUTED_VALUE"""),2890.0)</f>
        <v>2890</v>
      </c>
      <c r="E1027" s="5">
        <f>IFERROR(__xludf.DUMMYFUNCTION("""COMPUTED_VALUE"""),2890.0)</f>
        <v>2890</v>
      </c>
      <c r="F1027" s="5">
        <f>IFERROR(__xludf.DUMMYFUNCTION("""COMPUTED_VALUE"""),1.48283E7)</f>
        <v>14828300</v>
      </c>
      <c r="G1027" s="5">
        <f t="shared" si="1"/>
        <v>40</v>
      </c>
    </row>
    <row r="1028">
      <c r="A1028" s="4">
        <f>IFERROR(__xludf.DUMMYFUNCTION("""COMPUTED_VALUE"""),45372.66666666667)</f>
        <v>45372.66667</v>
      </c>
      <c r="B1028" s="5">
        <f>IFERROR(__xludf.DUMMYFUNCTION("""COMPUTED_VALUE"""),2900.0)</f>
        <v>2900</v>
      </c>
      <c r="C1028" s="5">
        <f>IFERROR(__xludf.DUMMYFUNCTION("""COMPUTED_VALUE"""),2980.0)</f>
        <v>2980</v>
      </c>
      <c r="D1028" s="5">
        <f>IFERROR(__xludf.DUMMYFUNCTION("""COMPUTED_VALUE"""),2900.0)</f>
        <v>2900</v>
      </c>
      <c r="E1028" s="5">
        <f>IFERROR(__xludf.DUMMYFUNCTION("""COMPUTED_VALUE"""),2950.0)</f>
        <v>2950</v>
      </c>
      <c r="F1028" s="5">
        <f>IFERROR(__xludf.DUMMYFUNCTION("""COMPUTED_VALUE"""),2.66029E7)</f>
        <v>26602900</v>
      </c>
      <c r="G1028" s="5">
        <f t="shared" si="1"/>
        <v>90</v>
      </c>
    </row>
    <row r="1029">
      <c r="A1029" s="4">
        <f>IFERROR(__xludf.DUMMYFUNCTION("""COMPUTED_VALUE"""),45373.66666666667)</f>
        <v>45373.66667</v>
      </c>
      <c r="B1029" s="5">
        <f>IFERROR(__xludf.DUMMYFUNCTION("""COMPUTED_VALUE"""),2950.0)</f>
        <v>2950</v>
      </c>
      <c r="C1029" s="5">
        <f>IFERROR(__xludf.DUMMYFUNCTION("""COMPUTED_VALUE"""),2980.0)</f>
        <v>2980</v>
      </c>
      <c r="D1029" s="5">
        <f>IFERROR(__xludf.DUMMYFUNCTION("""COMPUTED_VALUE"""),2940.0)</f>
        <v>2940</v>
      </c>
      <c r="E1029" s="5">
        <f>IFERROR(__xludf.DUMMYFUNCTION("""COMPUTED_VALUE"""),2940.0)</f>
        <v>2940</v>
      </c>
      <c r="F1029" s="5">
        <f>IFERROR(__xludf.DUMMYFUNCTION("""COMPUTED_VALUE"""),1.56433E7)</f>
        <v>15643300</v>
      </c>
      <c r="G1029" s="5">
        <f t="shared" si="1"/>
        <v>40</v>
      </c>
    </row>
    <row r="1030">
      <c r="A1030" s="4">
        <f>IFERROR(__xludf.DUMMYFUNCTION("""COMPUTED_VALUE"""),45376.66666666667)</f>
        <v>45376.66667</v>
      </c>
      <c r="B1030" s="5">
        <f>IFERROR(__xludf.DUMMYFUNCTION("""COMPUTED_VALUE"""),2950.0)</f>
        <v>2950</v>
      </c>
      <c r="C1030" s="5">
        <f>IFERROR(__xludf.DUMMYFUNCTION("""COMPUTED_VALUE"""),2950.0)</f>
        <v>2950</v>
      </c>
      <c r="D1030" s="5">
        <f>IFERROR(__xludf.DUMMYFUNCTION("""COMPUTED_VALUE"""),2900.0)</f>
        <v>2900</v>
      </c>
      <c r="E1030" s="5">
        <f>IFERROR(__xludf.DUMMYFUNCTION("""COMPUTED_VALUE"""),2930.0)</f>
        <v>2930</v>
      </c>
      <c r="F1030" s="5">
        <f>IFERROR(__xludf.DUMMYFUNCTION("""COMPUTED_VALUE"""),1.34023E7)</f>
        <v>13402300</v>
      </c>
      <c r="G1030" s="5">
        <f t="shared" si="1"/>
        <v>50</v>
      </c>
    </row>
    <row r="1031">
      <c r="A1031" s="4">
        <f>IFERROR(__xludf.DUMMYFUNCTION("""COMPUTED_VALUE"""),45377.66666666667)</f>
        <v>45377.66667</v>
      </c>
      <c r="B1031" s="5">
        <f>IFERROR(__xludf.DUMMYFUNCTION("""COMPUTED_VALUE"""),2950.0)</f>
        <v>2950</v>
      </c>
      <c r="C1031" s="5">
        <f>IFERROR(__xludf.DUMMYFUNCTION("""COMPUTED_VALUE"""),2950.0)</f>
        <v>2950</v>
      </c>
      <c r="D1031" s="5">
        <f>IFERROR(__xludf.DUMMYFUNCTION("""COMPUTED_VALUE"""),2900.0)</f>
        <v>2900</v>
      </c>
      <c r="E1031" s="5">
        <f>IFERROR(__xludf.DUMMYFUNCTION("""COMPUTED_VALUE"""),2940.0)</f>
        <v>2940</v>
      </c>
      <c r="F1031" s="5">
        <f>IFERROR(__xludf.DUMMYFUNCTION("""COMPUTED_VALUE"""),1.32184E7)</f>
        <v>13218400</v>
      </c>
      <c r="G1031" s="5">
        <f t="shared" si="1"/>
        <v>50</v>
      </c>
    </row>
    <row r="1032">
      <c r="A1032" s="4">
        <f>IFERROR(__xludf.DUMMYFUNCTION("""COMPUTED_VALUE"""),45378.66666666667)</f>
        <v>45378.66667</v>
      </c>
      <c r="B1032" s="5">
        <f>IFERROR(__xludf.DUMMYFUNCTION("""COMPUTED_VALUE"""),2940.0)</f>
        <v>2940</v>
      </c>
      <c r="C1032" s="5">
        <f>IFERROR(__xludf.DUMMYFUNCTION("""COMPUTED_VALUE"""),2960.0)</f>
        <v>2960</v>
      </c>
      <c r="D1032" s="5">
        <f>IFERROR(__xludf.DUMMYFUNCTION("""COMPUTED_VALUE"""),2940.0)</f>
        <v>2940</v>
      </c>
      <c r="E1032" s="5">
        <f>IFERROR(__xludf.DUMMYFUNCTION("""COMPUTED_VALUE"""),2950.0)</f>
        <v>2950</v>
      </c>
      <c r="F1032" s="5">
        <f>IFERROR(__xludf.DUMMYFUNCTION("""COMPUTED_VALUE"""),1.2763E7)</f>
        <v>12763000</v>
      </c>
      <c r="G1032" s="5">
        <f t="shared" si="1"/>
        <v>20</v>
      </c>
    </row>
    <row r="1033">
      <c r="A1033" s="4">
        <f>IFERROR(__xludf.DUMMYFUNCTION("""COMPUTED_VALUE"""),45379.66666666667)</f>
        <v>45379.66667</v>
      </c>
      <c r="B1033" s="5">
        <f>IFERROR(__xludf.DUMMYFUNCTION("""COMPUTED_VALUE"""),2970.0)</f>
        <v>2970</v>
      </c>
      <c r="C1033" s="5">
        <f>IFERROR(__xludf.DUMMYFUNCTION("""COMPUTED_VALUE"""),2990.0)</f>
        <v>2990</v>
      </c>
      <c r="D1033" s="5">
        <f>IFERROR(__xludf.DUMMYFUNCTION("""COMPUTED_VALUE"""),2950.0)</f>
        <v>2950</v>
      </c>
      <c r="E1033" s="5">
        <f>IFERROR(__xludf.DUMMYFUNCTION("""COMPUTED_VALUE"""),2970.0)</f>
        <v>2970</v>
      </c>
      <c r="F1033" s="5">
        <f>IFERROR(__xludf.DUMMYFUNCTION("""COMPUTED_VALUE"""),2.46373E7)</f>
        <v>24637300</v>
      </c>
      <c r="G1033" s="5">
        <f t="shared" si="1"/>
        <v>40</v>
      </c>
    </row>
    <row r="1034">
      <c r="A1034" s="4">
        <f>IFERROR(__xludf.DUMMYFUNCTION("""COMPUTED_VALUE"""),45383.66666666667)</f>
        <v>45383.66667</v>
      </c>
      <c r="B1034" s="5">
        <f>IFERROR(__xludf.DUMMYFUNCTION("""COMPUTED_VALUE"""),2970.0)</f>
        <v>2970</v>
      </c>
      <c r="C1034" s="5">
        <f>IFERROR(__xludf.DUMMYFUNCTION("""COMPUTED_VALUE"""),2970.0)</f>
        <v>2970</v>
      </c>
      <c r="D1034" s="5">
        <f>IFERROR(__xludf.DUMMYFUNCTION("""COMPUTED_VALUE"""),2850.0)</f>
        <v>2850</v>
      </c>
      <c r="E1034" s="5">
        <f>IFERROR(__xludf.DUMMYFUNCTION("""COMPUTED_VALUE"""),2890.0)</f>
        <v>2890</v>
      </c>
      <c r="F1034" s="5">
        <f>IFERROR(__xludf.DUMMYFUNCTION("""COMPUTED_VALUE"""),3.23643E7)</f>
        <v>32364300</v>
      </c>
      <c r="G1034" s="5">
        <f t="shared" si="1"/>
        <v>120</v>
      </c>
    </row>
    <row r="1035">
      <c r="A1035" s="4">
        <f>IFERROR(__xludf.DUMMYFUNCTION("""COMPUTED_VALUE"""),45384.66666666667)</f>
        <v>45384.66667</v>
      </c>
      <c r="B1035" s="5">
        <f>IFERROR(__xludf.DUMMYFUNCTION("""COMPUTED_VALUE"""),2890.0)</f>
        <v>2890</v>
      </c>
      <c r="C1035" s="5">
        <f>IFERROR(__xludf.DUMMYFUNCTION("""COMPUTED_VALUE"""),2920.0)</f>
        <v>2920</v>
      </c>
      <c r="D1035" s="5">
        <f>IFERROR(__xludf.DUMMYFUNCTION("""COMPUTED_VALUE"""),2860.0)</f>
        <v>2860</v>
      </c>
      <c r="E1035" s="5">
        <f>IFERROR(__xludf.DUMMYFUNCTION("""COMPUTED_VALUE"""),2920.0)</f>
        <v>2920</v>
      </c>
      <c r="F1035" s="5">
        <f>IFERROR(__xludf.DUMMYFUNCTION("""COMPUTED_VALUE"""),1.63279E7)</f>
        <v>16327900</v>
      </c>
      <c r="G1035" s="5">
        <f t="shared" si="1"/>
        <v>60</v>
      </c>
    </row>
    <row r="1036">
      <c r="A1036" s="4">
        <f>IFERROR(__xludf.DUMMYFUNCTION("""COMPUTED_VALUE"""),45385.66666666667)</f>
        <v>45385.66667</v>
      </c>
      <c r="B1036" s="5">
        <f>IFERROR(__xludf.DUMMYFUNCTION("""COMPUTED_VALUE"""),2920.0)</f>
        <v>2920</v>
      </c>
      <c r="C1036" s="5">
        <f>IFERROR(__xludf.DUMMYFUNCTION("""COMPUTED_VALUE"""),2950.0)</f>
        <v>2950</v>
      </c>
      <c r="D1036" s="5">
        <f>IFERROR(__xludf.DUMMYFUNCTION("""COMPUTED_VALUE"""),2900.0)</f>
        <v>2900</v>
      </c>
      <c r="E1036" s="5">
        <f>IFERROR(__xludf.DUMMYFUNCTION("""COMPUTED_VALUE"""),2920.0)</f>
        <v>2920</v>
      </c>
      <c r="F1036" s="5">
        <f>IFERROR(__xludf.DUMMYFUNCTION("""COMPUTED_VALUE"""),1.78029E7)</f>
        <v>17802900</v>
      </c>
      <c r="G1036" s="5">
        <f t="shared" si="1"/>
        <v>50</v>
      </c>
    </row>
    <row r="1037">
      <c r="A1037" s="4">
        <f>IFERROR(__xludf.DUMMYFUNCTION("""COMPUTED_VALUE"""),45386.66666666667)</f>
        <v>45386.66667</v>
      </c>
      <c r="B1037" s="5">
        <f>IFERROR(__xludf.DUMMYFUNCTION("""COMPUTED_VALUE"""),2910.0)</f>
        <v>2910</v>
      </c>
      <c r="C1037" s="5">
        <f>IFERROR(__xludf.DUMMYFUNCTION("""COMPUTED_VALUE"""),2940.0)</f>
        <v>2940</v>
      </c>
      <c r="D1037" s="5">
        <f>IFERROR(__xludf.DUMMYFUNCTION("""COMPUTED_VALUE"""),2880.0)</f>
        <v>2880</v>
      </c>
      <c r="E1037" s="5">
        <f>IFERROR(__xludf.DUMMYFUNCTION("""COMPUTED_VALUE"""),2930.0)</f>
        <v>2930</v>
      </c>
      <c r="F1037" s="5">
        <f>IFERROR(__xludf.DUMMYFUNCTION("""COMPUTED_VALUE"""),9335400.0)</f>
        <v>9335400</v>
      </c>
      <c r="G1037" s="5">
        <f t="shared" si="1"/>
        <v>60</v>
      </c>
    </row>
    <row r="1038">
      <c r="A1038" s="4">
        <f>IFERROR(__xludf.DUMMYFUNCTION("""COMPUTED_VALUE"""),45387.66666666667)</f>
        <v>45387.66667</v>
      </c>
      <c r="B1038" s="5">
        <f>IFERROR(__xludf.DUMMYFUNCTION("""COMPUTED_VALUE"""),2930.0)</f>
        <v>2930</v>
      </c>
      <c r="C1038" s="5">
        <f>IFERROR(__xludf.DUMMYFUNCTION("""COMPUTED_VALUE"""),2940.0)</f>
        <v>2940</v>
      </c>
      <c r="D1038" s="5">
        <f>IFERROR(__xludf.DUMMYFUNCTION("""COMPUTED_VALUE"""),2910.0)</f>
        <v>2910</v>
      </c>
      <c r="E1038" s="5">
        <f>IFERROR(__xludf.DUMMYFUNCTION("""COMPUTED_VALUE"""),2930.0)</f>
        <v>2930</v>
      </c>
      <c r="F1038" s="5">
        <f>IFERROR(__xludf.DUMMYFUNCTION("""COMPUTED_VALUE"""),9068600.0)</f>
        <v>9068600</v>
      </c>
      <c r="G1038" s="5">
        <f t="shared" si="1"/>
        <v>30</v>
      </c>
    </row>
    <row r="1039">
      <c r="A1039" s="4">
        <f>IFERROR(__xludf.DUMMYFUNCTION("""COMPUTED_VALUE"""),45398.66666666667)</f>
        <v>45398.66667</v>
      </c>
      <c r="B1039" s="5">
        <f>IFERROR(__xludf.DUMMYFUNCTION("""COMPUTED_VALUE"""),2940.0)</f>
        <v>2940</v>
      </c>
      <c r="C1039" s="5">
        <f>IFERROR(__xludf.DUMMYFUNCTION("""COMPUTED_VALUE"""),3130.0)</f>
        <v>3130</v>
      </c>
      <c r="D1039" s="5">
        <f>IFERROR(__xludf.DUMMYFUNCTION("""COMPUTED_VALUE"""),2930.0)</f>
        <v>2930</v>
      </c>
      <c r="E1039" s="5">
        <f>IFERROR(__xludf.DUMMYFUNCTION("""COMPUTED_VALUE"""),3100.0)</f>
        <v>3100</v>
      </c>
      <c r="F1039" s="5">
        <f>IFERROR(__xludf.DUMMYFUNCTION("""COMPUTED_VALUE"""),5.808E7)</f>
        <v>58080000</v>
      </c>
      <c r="G1039" s="5">
        <f t="shared" si="1"/>
        <v>200</v>
      </c>
    </row>
    <row r="1040">
      <c r="A1040" s="4">
        <f>IFERROR(__xludf.DUMMYFUNCTION("""COMPUTED_VALUE"""),45399.66666666667)</f>
        <v>45399.66667</v>
      </c>
      <c r="B1040" s="5">
        <f>IFERROR(__xludf.DUMMYFUNCTION("""COMPUTED_VALUE"""),3120.0)</f>
        <v>3120</v>
      </c>
      <c r="C1040" s="5">
        <f>IFERROR(__xludf.DUMMYFUNCTION("""COMPUTED_VALUE"""),3160.0)</f>
        <v>3160</v>
      </c>
      <c r="D1040" s="5">
        <f>IFERROR(__xludf.DUMMYFUNCTION("""COMPUTED_VALUE"""),3060.0)</f>
        <v>3060</v>
      </c>
      <c r="E1040" s="5">
        <f>IFERROR(__xludf.DUMMYFUNCTION("""COMPUTED_VALUE"""),3090.0)</f>
        <v>3090</v>
      </c>
      <c r="F1040" s="5">
        <f>IFERROR(__xludf.DUMMYFUNCTION("""COMPUTED_VALUE"""),3.67836E7)</f>
        <v>36783600</v>
      </c>
      <c r="G1040" s="5">
        <f t="shared" si="1"/>
        <v>100</v>
      </c>
    </row>
    <row r="1041">
      <c r="A1041" s="4">
        <f>IFERROR(__xludf.DUMMYFUNCTION("""COMPUTED_VALUE"""),45400.66666666667)</f>
        <v>45400.66667</v>
      </c>
      <c r="B1041" s="5">
        <f>IFERROR(__xludf.DUMMYFUNCTION("""COMPUTED_VALUE"""),3100.0)</f>
        <v>3100</v>
      </c>
      <c r="C1041" s="5">
        <f>IFERROR(__xludf.DUMMYFUNCTION("""COMPUTED_VALUE"""),3130.0)</f>
        <v>3130</v>
      </c>
      <c r="D1041" s="5">
        <f>IFERROR(__xludf.DUMMYFUNCTION("""COMPUTED_VALUE"""),3030.0)</f>
        <v>3030</v>
      </c>
      <c r="E1041" s="5">
        <f>IFERROR(__xludf.DUMMYFUNCTION("""COMPUTED_VALUE"""),3130.0)</f>
        <v>3130</v>
      </c>
      <c r="F1041" s="5">
        <f>IFERROR(__xludf.DUMMYFUNCTION("""COMPUTED_VALUE"""),2.681E7)</f>
        <v>26810000</v>
      </c>
      <c r="G1041" s="5">
        <f t="shared" si="1"/>
        <v>100</v>
      </c>
    </row>
    <row r="1042">
      <c r="A1042" s="4">
        <f>IFERROR(__xludf.DUMMYFUNCTION("""COMPUTED_VALUE"""),45401.66666666667)</f>
        <v>45401.66667</v>
      </c>
      <c r="B1042" s="5">
        <f>IFERROR(__xludf.DUMMYFUNCTION("""COMPUTED_VALUE"""),3130.0)</f>
        <v>3130</v>
      </c>
      <c r="C1042" s="5">
        <f>IFERROR(__xludf.DUMMYFUNCTION("""COMPUTED_VALUE"""),3150.0)</f>
        <v>3150</v>
      </c>
      <c r="D1042" s="5">
        <f>IFERROR(__xludf.DUMMYFUNCTION("""COMPUTED_VALUE"""),3090.0)</f>
        <v>3090</v>
      </c>
      <c r="E1042" s="5">
        <f>IFERROR(__xludf.DUMMYFUNCTION("""COMPUTED_VALUE"""),3140.0)</f>
        <v>3140</v>
      </c>
      <c r="F1042" s="5">
        <f>IFERROR(__xludf.DUMMYFUNCTION("""COMPUTED_VALUE"""),2.29193E7)</f>
        <v>22919300</v>
      </c>
      <c r="G1042" s="5">
        <f t="shared" si="1"/>
        <v>60</v>
      </c>
    </row>
    <row r="1043">
      <c r="A1043" s="4">
        <f>IFERROR(__xludf.DUMMYFUNCTION("""COMPUTED_VALUE"""),45404.66666666667)</f>
        <v>45404.66667</v>
      </c>
      <c r="B1043" s="5">
        <f>IFERROR(__xludf.DUMMYFUNCTION("""COMPUTED_VALUE"""),3140.0)</f>
        <v>3140</v>
      </c>
      <c r="C1043" s="5">
        <f>IFERROR(__xludf.DUMMYFUNCTION("""COMPUTED_VALUE"""),3150.0)</f>
        <v>3150</v>
      </c>
      <c r="D1043" s="5">
        <f>IFERROR(__xludf.DUMMYFUNCTION("""COMPUTED_VALUE"""),3060.0)</f>
        <v>3060</v>
      </c>
      <c r="E1043" s="5">
        <f>IFERROR(__xludf.DUMMYFUNCTION("""COMPUTED_VALUE"""),3080.0)</f>
        <v>3080</v>
      </c>
      <c r="F1043" s="5">
        <f>IFERROR(__xludf.DUMMYFUNCTION("""COMPUTED_VALUE"""),1.96186E7)</f>
        <v>19618600</v>
      </c>
      <c r="G1043" s="5">
        <f t="shared" si="1"/>
        <v>90</v>
      </c>
    </row>
    <row r="1044">
      <c r="A1044" s="4">
        <f>IFERROR(__xludf.DUMMYFUNCTION("""COMPUTED_VALUE"""),45405.66666666667)</f>
        <v>45405.66667</v>
      </c>
      <c r="B1044" s="5">
        <f>IFERROR(__xludf.DUMMYFUNCTION("""COMPUTED_VALUE"""),3080.0)</f>
        <v>3080</v>
      </c>
      <c r="C1044" s="5">
        <f>IFERROR(__xludf.DUMMYFUNCTION("""COMPUTED_VALUE"""),3090.0)</f>
        <v>3090</v>
      </c>
      <c r="D1044" s="5">
        <f>IFERROR(__xludf.DUMMYFUNCTION("""COMPUTED_VALUE"""),3050.0)</f>
        <v>3050</v>
      </c>
      <c r="E1044" s="5">
        <f>IFERROR(__xludf.DUMMYFUNCTION("""COMPUTED_VALUE"""),3060.0)</f>
        <v>3060</v>
      </c>
      <c r="F1044" s="5">
        <f>IFERROR(__xludf.DUMMYFUNCTION("""COMPUTED_VALUE"""),8395600.0)</f>
        <v>8395600</v>
      </c>
      <c r="G1044" s="5">
        <f t="shared" si="1"/>
        <v>40</v>
      </c>
    </row>
    <row r="1045">
      <c r="A1045" s="4">
        <f>IFERROR(__xludf.DUMMYFUNCTION("""COMPUTED_VALUE"""),45406.66666666667)</f>
        <v>45406.66667</v>
      </c>
      <c r="B1045" s="5">
        <f>IFERROR(__xludf.DUMMYFUNCTION("""COMPUTED_VALUE"""),3080.0)</f>
        <v>3080</v>
      </c>
      <c r="C1045" s="5">
        <f>IFERROR(__xludf.DUMMYFUNCTION("""COMPUTED_VALUE"""),3100.0)</f>
        <v>3100</v>
      </c>
      <c r="D1045" s="5">
        <f>IFERROR(__xludf.DUMMYFUNCTION("""COMPUTED_VALUE"""),2870.0)</f>
        <v>2870</v>
      </c>
      <c r="E1045" s="5">
        <f>IFERROR(__xludf.DUMMYFUNCTION("""COMPUTED_VALUE"""),2960.0)</f>
        <v>2960</v>
      </c>
      <c r="F1045" s="5">
        <f>IFERROR(__xludf.DUMMYFUNCTION("""COMPUTED_VALUE"""),3.10185E7)</f>
        <v>31018500</v>
      </c>
      <c r="G1045" s="5">
        <f t="shared" si="1"/>
        <v>230</v>
      </c>
    </row>
    <row r="1046">
      <c r="A1046" s="4">
        <f>IFERROR(__xludf.DUMMYFUNCTION("""COMPUTED_VALUE"""),45407.66666666667)</f>
        <v>45407.66667</v>
      </c>
      <c r="B1046" s="5">
        <f>IFERROR(__xludf.DUMMYFUNCTION("""COMPUTED_VALUE"""),2960.0)</f>
        <v>2960</v>
      </c>
      <c r="C1046" s="5">
        <f>IFERROR(__xludf.DUMMYFUNCTION("""COMPUTED_VALUE"""),2960.0)</f>
        <v>2960</v>
      </c>
      <c r="D1046" s="5">
        <f>IFERROR(__xludf.DUMMYFUNCTION("""COMPUTED_VALUE"""),2870.0)</f>
        <v>2870</v>
      </c>
      <c r="E1046" s="5">
        <f>IFERROR(__xludf.DUMMYFUNCTION("""COMPUTED_VALUE"""),2890.0)</f>
        <v>2890</v>
      </c>
      <c r="F1046" s="5">
        <f>IFERROR(__xludf.DUMMYFUNCTION("""COMPUTED_VALUE"""),2.35827E7)</f>
        <v>23582700</v>
      </c>
      <c r="G1046" s="5">
        <f t="shared" si="1"/>
        <v>90</v>
      </c>
    </row>
    <row r="1047">
      <c r="A1047" s="4">
        <f>IFERROR(__xludf.DUMMYFUNCTION("""COMPUTED_VALUE"""),45408.66666666667)</f>
        <v>45408.66667</v>
      </c>
      <c r="B1047" s="5">
        <f>IFERROR(__xludf.DUMMYFUNCTION("""COMPUTED_VALUE"""),2900.0)</f>
        <v>2900</v>
      </c>
      <c r="C1047" s="5">
        <f>IFERROR(__xludf.DUMMYFUNCTION("""COMPUTED_VALUE"""),2940.0)</f>
        <v>2940</v>
      </c>
      <c r="D1047" s="5">
        <f>IFERROR(__xludf.DUMMYFUNCTION("""COMPUTED_VALUE"""),2880.0)</f>
        <v>2880</v>
      </c>
      <c r="E1047" s="5">
        <f>IFERROR(__xludf.DUMMYFUNCTION("""COMPUTED_VALUE"""),2880.0)</f>
        <v>2880</v>
      </c>
      <c r="F1047" s="5">
        <f>IFERROR(__xludf.DUMMYFUNCTION("""COMPUTED_VALUE"""),1.15574E7)</f>
        <v>11557400</v>
      </c>
      <c r="G1047" s="5">
        <f t="shared" si="1"/>
        <v>60</v>
      </c>
    </row>
    <row r="1048">
      <c r="A1048" s="4">
        <f>IFERROR(__xludf.DUMMYFUNCTION("""COMPUTED_VALUE"""),45411.66666666667)</f>
        <v>45411.66667</v>
      </c>
      <c r="B1048" s="5">
        <f>IFERROR(__xludf.DUMMYFUNCTION("""COMPUTED_VALUE"""),2900.0)</f>
        <v>2900</v>
      </c>
      <c r="C1048" s="5">
        <f>IFERROR(__xludf.DUMMYFUNCTION("""COMPUTED_VALUE"""),3000.0)</f>
        <v>3000</v>
      </c>
      <c r="D1048" s="5">
        <f>IFERROR(__xludf.DUMMYFUNCTION("""COMPUTED_VALUE"""),2860.0)</f>
        <v>2860</v>
      </c>
      <c r="E1048" s="5">
        <f>IFERROR(__xludf.DUMMYFUNCTION("""COMPUTED_VALUE"""),3000.0)</f>
        <v>3000</v>
      </c>
      <c r="F1048" s="5">
        <f>IFERROR(__xludf.DUMMYFUNCTION("""COMPUTED_VALUE"""),1.12676E7)</f>
        <v>11267600</v>
      </c>
      <c r="G1048" s="5">
        <f t="shared" si="1"/>
        <v>140</v>
      </c>
    </row>
    <row r="1049">
      <c r="A1049" s="4">
        <f>IFERROR(__xludf.DUMMYFUNCTION("""COMPUTED_VALUE"""),45412.66666666667)</f>
        <v>45412.66667</v>
      </c>
      <c r="B1049" s="5">
        <f>IFERROR(__xludf.DUMMYFUNCTION("""COMPUTED_VALUE"""),3000.0)</f>
        <v>3000</v>
      </c>
      <c r="C1049" s="5">
        <f>IFERROR(__xludf.DUMMYFUNCTION("""COMPUTED_VALUE"""),3030.0)</f>
        <v>3030</v>
      </c>
      <c r="D1049" s="5">
        <f>IFERROR(__xludf.DUMMYFUNCTION("""COMPUTED_VALUE"""),2980.0)</f>
        <v>2980</v>
      </c>
      <c r="E1049" s="5">
        <f>IFERROR(__xludf.DUMMYFUNCTION("""COMPUTED_VALUE"""),3030.0)</f>
        <v>3030</v>
      </c>
      <c r="F1049" s="5">
        <f>IFERROR(__xludf.DUMMYFUNCTION("""COMPUTED_VALUE"""),1.43226E7)</f>
        <v>14322600</v>
      </c>
      <c r="G1049" s="5">
        <f t="shared" si="1"/>
        <v>50</v>
      </c>
    </row>
    <row r="1050">
      <c r="A1050" s="4">
        <f>IFERROR(__xludf.DUMMYFUNCTION("""COMPUTED_VALUE"""),45414.66666666667)</f>
        <v>45414.66667</v>
      </c>
      <c r="B1050" s="5">
        <f>IFERROR(__xludf.DUMMYFUNCTION("""COMPUTED_VALUE"""),2760.0)</f>
        <v>2760</v>
      </c>
      <c r="C1050" s="5">
        <f>IFERROR(__xludf.DUMMYFUNCTION("""COMPUTED_VALUE"""),2920.0)</f>
        <v>2920</v>
      </c>
      <c r="D1050" s="5">
        <f>IFERROR(__xludf.DUMMYFUNCTION("""COMPUTED_VALUE"""),2750.0)</f>
        <v>2750</v>
      </c>
      <c r="E1050" s="5">
        <f>IFERROR(__xludf.DUMMYFUNCTION("""COMPUTED_VALUE"""),2890.0)</f>
        <v>2890</v>
      </c>
      <c r="F1050" s="5">
        <f>IFERROR(__xludf.DUMMYFUNCTION("""COMPUTED_VALUE"""),4.53987E7)</f>
        <v>45398700</v>
      </c>
      <c r="G1050" s="5">
        <f t="shared" si="1"/>
        <v>280</v>
      </c>
    </row>
    <row r="1051">
      <c r="A1051" s="4">
        <f>IFERROR(__xludf.DUMMYFUNCTION("""COMPUTED_VALUE"""),45415.66666666667)</f>
        <v>45415.66667</v>
      </c>
      <c r="B1051" s="5">
        <f>IFERROR(__xludf.DUMMYFUNCTION("""COMPUTED_VALUE"""),2910.0)</f>
        <v>2910</v>
      </c>
      <c r="C1051" s="5">
        <f>IFERROR(__xludf.DUMMYFUNCTION("""COMPUTED_VALUE"""),2950.0)</f>
        <v>2950</v>
      </c>
      <c r="D1051" s="5">
        <f>IFERROR(__xludf.DUMMYFUNCTION("""COMPUTED_VALUE"""),2890.0)</f>
        <v>2890</v>
      </c>
      <c r="E1051" s="5">
        <f>IFERROR(__xludf.DUMMYFUNCTION("""COMPUTED_VALUE"""),2930.0)</f>
        <v>2930</v>
      </c>
      <c r="F1051" s="5">
        <f>IFERROR(__xludf.DUMMYFUNCTION("""COMPUTED_VALUE"""),1.50447E7)</f>
        <v>15044700</v>
      </c>
      <c r="G1051" s="5">
        <f t="shared" si="1"/>
        <v>60</v>
      </c>
    </row>
    <row r="1052">
      <c r="A1052" s="4">
        <f>IFERROR(__xludf.DUMMYFUNCTION("""COMPUTED_VALUE"""),45418.66666666667)</f>
        <v>45418.66667</v>
      </c>
      <c r="B1052" s="5">
        <f>IFERROR(__xludf.DUMMYFUNCTION("""COMPUTED_VALUE"""),2940.0)</f>
        <v>2940</v>
      </c>
      <c r="C1052" s="5">
        <f>IFERROR(__xludf.DUMMYFUNCTION("""COMPUTED_VALUE"""),2950.0)</f>
        <v>2950</v>
      </c>
      <c r="D1052" s="5">
        <f>IFERROR(__xludf.DUMMYFUNCTION("""COMPUTED_VALUE"""),2910.0)</f>
        <v>2910</v>
      </c>
      <c r="E1052" s="5">
        <f>IFERROR(__xludf.DUMMYFUNCTION("""COMPUTED_VALUE"""),2930.0)</f>
        <v>2930</v>
      </c>
      <c r="F1052" s="5">
        <f>IFERROR(__xludf.DUMMYFUNCTION("""COMPUTED_VALUE"""),1.48222E7)</f>
        <v>14822200</v>
      </c>
      <c r="G1052" s="5">
        <f t="shared" si="1"/>
        <v>40</v>
      </c>
    </row>
    <row r="1053">
      <c r="A1053" s="4">
        <f>IFERROR(__xludf.DUMMYFUNCTION("""COMPUTED_VALUE"""),45419.66666666667)</f>
        <v>45419.66667</v>
      </c>
      <c r="B1053" s="5">
        <f>IFERROR(__xludf.DUMMYFUNCTION("""COMPUTED_VALUE"""),2940.0)</f>
        <v>2940</v>
      </c>
      <c r="C1053" s="5">
        <f>IFERROR(__xludf.DUMMYFUNCTION("""COMPUTED_VALUE"""),2950.0)</f>
        <v>2950</v>
      </c>
      <c r="D1053" s="5">
        <f>IFERROR(__xludf.DUMMYFUNCTION("""COMPUTED_VALUE"""),2870.0)</f>
        <v>2870</v>
      </c>
      <c r="E1053" s="5">
        <f>IFERROR(__xludf.DUMMYFUNCTION("""COMPUTED_VALUE"""),2880.0)</f>
        <v>2880</v>
      </c>
      <c r="F1053" s="5">
        <f>IFERROR(__xludf.DUMMYFUNCTION("""COMPUTED_VALUE"""),1.98362E7)</f>
        <v>19836200</v>
      </c>
      <c r="G1053" s="5">
        <f t="shared" si="1"/>
        <v>80</v>
      </c>
    </row>
    <row r="1054">
      <c r="A1054" s="4">
        <f>IFERROR(__xludf.DUMMYFUNCTION("""COMPUTED_VALUE"""),45420.66666666667)</f>
        <v>45420.66667</v>
      </c>
      <c r="B1054" s="5">
        <f>IFERROR(__xludf.DUMMYFUNCTION("""COMPUTED_VALUE"""),2900.0)</f>
        <v>2900</v>
      </c>
      <c r="C1054" s="5">
        <f>IFERROR(__xludf.DUMMYFUNCTION("""COMPUTED_VALUE"""),3020.0)</f>
        <v>3020</v>
      </c>
      <c r="D1054" s="5">
        <f>IFERROR(__xludf.DUMMYFUNCTION("""COMPUTED_VALUE"""),2790.0)</f>
        <v>2790</v>
      </c>
      <c r="E1054" s="5">
        <f>IFERROR(__xludf.DUMMYFUNCTION("""COMPUTED_VALUE"""),2930.0)</f>
        <v>2930</v>
      </c>
      <c r="F1054" s="5">
        <f>IFERROR(__xludf.DUMMYFUNCTION("""COMPUTED_VALUE"""),8.95082E7)</f>
        <v>89508200</v>
      </c>
      <c r="G1054" s="5">
        <f t="shared" si="1"/>
        <v>230</v>
      </c>
    </row>
    <row r="1055">
      <c r="A1055" s="4">
        <f>IFERROR(__xludf.DUMMYFUNCTION("""COMPUTED_VALUE"""),45425.66666666667)</f>
        <v>45425.66667</v>
      </c>
      <c r="B1055" s="5">
        <f>IFERROR(__xludf.DUMMYFUNCTION("""COMPUTED_VALUE"""),2950.0)</f>
        <v>2950</v>
      </c>
      <c r="C1055" s="5">
        <f>IFERROR(__xludf.DUMMYFUNCTION("""COMPUTED_VALUE"""),2970.0)</f>
        <v>2970</v>
      </c>
      <c r="D1055" s="5">
        <f>IFERROR(__xludf.DUMMYFUNCTION("""COMPUTED_VALUE"""),2910.0)</f>
        <v>2910</v>
      </c>
      <c r="E1055" s="5">
        <f>IFERROR(__xludf.DUMMYFUNCTION("""COMPUTED_VALUE"""),2930.0)</f>
        <v>2930</v>
      </c>
      <c r="F1055" s="5">
        <f>IFERROR(__xludf.DUMMYFUNCTION("""COMPUTED_VALUE"""),2.06045E7)</f>
        <v>20604500</v>
      </c>
      <c r="G1055" s="5">
        <f t="shared" si="1"/>
        <v>60</v>
      </c>
    </row>
    <row r="1056">
      <c r="A1056" s="4">
        <f>IFERROR(__xludf.DUMMYFUNCTION("""COMPUTED_VALUE"""),45426.66666666667)</f>
        <v>45426.66667</v>
      </c>
      <c r="B1056" s="5">
        <f>IFERROR(__xludf.DUMMYFUNCTION("""COMPUTED_VALUE"""),2940.0)</f>
        <v>2940</v>
      </c>
      <c r="C1056" s="5">
        <f>IFERROR(__xludf.DUMMYFUNCTION("""COMPUTED_VALUE"""),2960.0)</f>
        <v>2960</v>
      </c>
      <c r="D1056" s="5">
        <f>IFERROR(__xludf.DUMMYFUNCTION("""COMPUTED_VALUE"""),2920.0)</f>
        <v>2920</v>
      </c>
      <c r="E1056" s="5">
        <f>IFERROR(__xludf.DUMMYFUNCTION("""COMPUTED_VALUE"""),2920.0)</f>
        <v>2920</v>
      </c>
      <c r="F1056" s="5">
        <f>IFERROR(__xludf.DUMMYFUNCTION("""COMPUTED_VALUE"""),2.23261E7)</f>
        <v>22326100</v>
      </c>
      <c r="G1056" s="5">
        <f t="shared" si="1"/>
        <v>40</v>
      </c>
    </row>
    <row r="1057">
      <c r="A1057" s="4">
        <f>IFERROR(__xludf.DUMMYFUNCTION("""COMPUTED_VALUE"""),45427.66666666667)</f>
        <v>45427.66667</v>
      </c>
      <c r="B1057" s="5">
        <f>IFERROR(__xludf.DUMMYFUNCTION("""COMPUTED_VALUE"""),2940.0)</f>
        <v>2940</v>
      </c>
      <c r="C1057" s="5">
        <f>IFERROR(__xludf.DUMMYFUNCTION("""COMPUTED_VALUE"""),2950.0)</f>
        <v>2950</v>
      </c>
      <c r="D1057" s="5">
        <f>IFERROR(__xludf.DUMMYFUNCTION("""COMPUTED_VALUE"""),2900.0)</f>
        <v>2900</v>
      </c>
      <c r="E1057" s="5">
        <f>IFERROR(__xludf.DUMMYFUNCTION("""COMPUTED_VALUE"""),2910.0)</f>
        <v>2910</v>
      </c>
      <c r="F1057" s="5">
        <f>IFERROR(__xludf.DUMMYFUNCTION("""COMPUTED_VALUE"""),1.63381E7)</f>
        <v>16338100</v>
      </c>
      <c r="G1057" s="5">
        <f t="shared" si="1"/>
        <v>50</v>
      </c>
    </row>
    <row r="1058">
      <c r="A1058" s="4">
        <f>IFERROR(__xludf.DUMMYFUNCTION("""COMPUTED_VALUE"""),45428.66666666667)</f>
        <v>45428.66667</v>
      </c>
      <c r="B1058" s="5">
        <f>IFERROR(__xludf.DUMMYFUNCTION("""COMPUTED_VALUE"""),2920.0)</f>
        <v>2920</v>
      </c>
      <c r="C1058" s="5">
        <f>IFERROR(__xludf.DUMMYFUNCTION("""COMPUTED_VALUE"""),2930.0)</f>
        <v>2930</v>
      </c>
      <c r="D1058" s="5">
        <f>IFERROR(__xludf.DUMMYFUNCTION("""COMPUTED_VALUE"""),2900.0)</f>
        <v>2900</v>
      </c>
      <c r="E1058" s="5">
        <f>IFERROR(__xludf.DUMMYFUNCTION("""COMPUTED_VALUE"""),2930.0)</f>
        <v>2930</v>
      </c>
      <c r="F1058" s="5">
        <f>IFERROR(__xludf.DUMMYFUNCTION("""COMPUTED_VALUE"""),2.1537E7)</f>
        <v>21537000</v>
      </c>
      <c r="G1058" s="5">
        <f t="shared" si="1"/>
        <v>30</v>
      </c>
    </row>
    <row r="1059">
      <c r="A1059" s="4">
        <f>IFERROR(__xludf.DUMMYFUNCTION("""COMPUTED_VALUE"""),45429.66666666667)</f>
        <v>45429.66667</v>
      </c>
      <c r="B1059" s="5">
        <f>IFERROR(__xludf.DUMMYFUNCTION("""COMPUTED_VALUE"""),2930.0)</f>
        <v>2930</v>
      </c>
      <c r="C1059" s="5">
        <f>IFERROR(__xludf.DUMMYFUNCTION("""COMPUTED_VALUE"""),2950.0)</f>
        <v>2950</v>
      </c>
      <c r="D1059" s="5">
        <f>IFERROR(__xludf.DUMMYFUNCTION("""COMPUTED_VALUE"""),2910.0)</f>
        <v>2910</v>
      </c>
      <c r="E1059" s="5">
        <f>IFERROR(__xludf.DUMMYFUNCTION("""COMPUTED_VALUE"""),2920.0)</f>
        <v>2920</v>
      </c>
      <c r="F1059" s="5">
        <f>IFERROR(__xludf.DUMMYFUNCTION("""COMPUTED_VALUE"""),3.07692E7)</f>
        <v>30769200</v>
      </c>
      <c r="G1059" s="5">
        <f t="shared" si="1"/>
        <v>40</v>
      </c>
    </row>
    <row r="1060">
      <c r="A1060" s="4">
        <f>IFERROR(__xludf.DUMMYFUNCTION("""COMPUTED_VALUE"""),45432.66666666667)</f>
        <v>45432.66667</v>
      </c>
      <c r="B1060" s="5">
        <f>IFERROR(__xludf.DUMMYFUNCTION("""COMPUTED_VALUE"""),2930.0)</f>
        <v>2930</v>
      </c>
      <c r="C1060" s="5">
        <f>IFERROR(__xludf.DUMMYFUNCTION("""COMPUTED_VALUE"""),2960.0)</f>
        <v>2960</v>
      </c>
      <c r="D1060" s="5">
        <f>IFERROR(__xludf.DUMMYFUNCTION("""COMPUTED_VALUE"""),2910.0)</f>
        <v>2910</v>
      </c>
      <c r="E1060" s="5">
        <f>IFERROR(__xludf.DUMMYFUNCTION("""COMPUTED_VALUE"""),2930.0)</f>
        <v>2930</v>
      </c>
      <c r="F1060" s="5">
        <f>IFERROR(__xludf.DUMMYFUNCTION("""COMPUTED_VALUE"""),7.20806E7)</f>
        <v>72080600</v>
      </c>
      <c r="G1060" s="5">
        <f t="shared" si="1"/>
        <v>50</v>
      </c>
    </row>
    <row r="1061">
      <c r="A1061" s="4">
        <f>IFERROR(__xludf.DUMMYFUNCTION("""COMPUTED_VALUE"""),45433.66666666667)</f>
        <v>45433.66667</v>
      </c>
      <c r="B1061" s="5">
        <f>IFERROR(__xludf.DUMMYFUNCTION("""COMPUTED_VALUE"""),2550.0)</f>
        <v>2550</v>
      </c>
      <c r="C1061" s="5">
        <f>IFERROR(__xludf.DUMMYFUNCTION("""COMPUTED_VALUE"""),2640.0)</f>
        <v>2640</v>
      </c>
      <c r="D1061" s="5">
        <f>IFERROR(__xludf.DUMMYFUNCTION("""COMPUTED_VALUE"""),2530.0)</f>
        <v>2530</v>
      </c>
      <c r="E1061" s="5">
        <f>IFERROR(__xludf.DUMMYFUNCTION("""COMPUTED_VALUE"""),2570.0)</f>
        <v>2570</v>
      </c>
      <c r="F1061" s="5">
        <f>IFERROR(__xludf.DUMMYFUNCTION("""COMPUTED_VALUE"""),6.15314E7)</f>
        <v>61531400</v>
      </c>
      <c r="G1061" s="5">
        <f t="shared" si="1"/>
        <v>400</v>
      </c>
    </row>
    <row r="1062">
      <c r="A1062" s="4">
        <f>IFERROR(__xludf.DUMMYFUNCTION("""COMPUTED_VALUE"""),45434.66666666667)</f>
        <v>45434.66667</v>
      </c>
      <c r="B1062" s="5">
        <f>IFERROR(__xludf.DUMMYFUNCTION("""COMPUTED_VALUE"""),2570.0)</f>
        <v>2570</v>
      </c>
      <c r="C1062" s="5">
        <f>IFERROR(__xludf.DUMMYFUNCTION("""COMPUTED_VALUE"""),2600.0)</f>
        <v>2600</v>
      </c>
      <c r="D1062" s="5">
        <f>IFERROR(__xludf.DUMMYFUNCTION("""COMPUTED_VALUE"""),2570.0)</f>
        <v>2570</v>
      </c>
      <c r="E1062" s="5">
        <f>IFERROR(__xludf.DUMMYFUNCTION("""COMPUTED_VALUE"""),2590.0)</f>
        <v>2590</v>
      </c>
      <c r="F1062" s="5">
        <f>IFERROR(__xludf.DUMMYFUNCTION("""COMPUTED_VALUE"""),1.82297E7)</f>
        <v>18229700</v>
      </c>
      <c r="G1062" s="5">
        <f t="shared" si="1"/>
        <v>30</v>
      </c>
    </row>
    <row r="1063">
      <c r="A1063" s="4">
        <f>IFERROR(__xludf.DUMMYFUNCTION("""COMPUTED_VALUE"""),45439.66666666667)</f>
        <v>45439.66667</v>
      </c>
      <c r="B1063" s="5">
        <f>IFERROR(__xludf.DUMMYFUNCTION("""COMPUTED_VALUE"""),2600.0)</f>
        <v>2600</v>
      </c>
      <c r="C1063" s="5">
        <f>IFERROR(__xludf.DUMMYFUNCTION("""COMPUTED_VALUE"""),2600.0)</f>
        <v>2600</v>
      </c>
      <c r="D1063" s="5">
        <f>IFERROR(__xludf.DUMMYFUNCTION("""COMPUTED_VALUE"""),2520.0)</f>
        <v>2520</v>
      </c>
      <c r="E1063" s="5">
        <f>IFERROR(__xludf.DUMMYFUNCTION("""COMPUTED_VALUE"""),2520.0)</f>
        <v>2520</v>
      </c>
      <c r="F1063" s="5">
        <f>IFERROR(__xludf.DUMMYFUNCTION("""COMPUTED_VALUE"""),2.1414E7)</f>
        <v>21414000</v>
      </c>
      <c r="G1063" s="5">
        <f t="shared" si="1"/>
        <v>80</v>
      </c>
    </row>
    <row r="1064">
      <c r="A1064" s="4">
        <f>IFERROR(__xludf.DUMMYFUNCTION("""COMPUTED_VALUE"""),45440.66666666667)</f>
        <v>45440.66667</v>
      </c>
      <c r="B1064" s="5">
        <f>IFERROR(__xludf.DUMMYFUNCTION("""COMPUTED_VALUE"""),2540.0)</f>
        <v>2540</v>
      </c>
      <c r="C1064" s="5">
        <f>IFERROR(__xludf.DUMMYFUNCTION("""COMPUTED_VALUE"""),2560.0)</f>
        <v>2560</v>
      </c>
      <c r="D1064" s="5">
        <f>IFERROR(__xludf.DUMMYFUNCTION("""COMPUTED_VALUE"""),2510.0)</f>
        <v>2510</v>
      </c>
      <c r="E1064" s="5">
        <f>IFERROR(__xludf.DUMMYFUNCTION("""COMPUTED_VALUE"""),2510.0)</f>
        <v>2510</v>
      </c>
      <c r="F1064" s="5">
        <f>IFERROR(__xludf.DUMMYFUNCTION("""COMPUTED_VALUE"""),1.19107E7)</f>
        <v>11910700</v>
      </c>
      <c r="G1064" s="5">
        <f t="shared" si="1"/>
        <v>50</v>
      </c>
    </row>
    <row r="1065">
      <c r="A1065" s="4">
        <f>IFERROR(__xludf.DUMMYFUNCTION("""COMPUTED_VALUE"""),45441.66666666667)</f>
        <v>45441.66667</v>
      </c>
      <c r="B1065" s="5">
        <f>IFERROR(__xludf.DUMMYFUNCTION("""COMPUTED_VALUE"""),2520.0)</f>
        <v>2520</v>
      </c>
      <c r="C1065" s="5">
        <f>IFERROR(__xludf.DUMMYFUNCTION("""COMPUTED_VALUE"""),2530.0)</f>
        <v>2530</v>
      </c>
      <c r="D1065" s="5">
        <f>IFERROR(__xludf.DUMMYFUNCTION("""COMPUTED_VALUE"""),2460.0)</f>
        <v>2460</v>
      </c>
      <c r="E1065" s="5">
        <f>IFERROR(__xludf.DUMMYFUNCTION("""COMPUTED_VALUE"""),2470.0)</f>
        <v>2470</v>
      </c>
      <c r="F1065" s="5">
        <f>IFERROR(__xludf.DUMMYFUNCTION("""COMPUTED_VALUE"""),1.47436E7)</f>
        <v>14743600</v>
      </c>
      <c r="G1065" s="5">
        <f t="shared" si="1"/>
        <v>70</v>
      </c>
    </row>
    <row r="1066">
      <c r="A1066" s="4">
        <f>IFERROR(__xludf.DUMMYFUNCTION("""COMPUTED_VALUE"""),45442.66666666667)</f>
        <v>45442.66667</v>
      </c>
      <c r="B1066" s="5">
        <f>IFERROR(__xludf.DUMMYFUNCTION("""COMPUTED_VALUE"""),2470.0)</f>
        <v>2470</v>
      </c>
      <c r="C1066" s="5">
        <f>IFERROR(__xludf.DUMMYFUNCTION("""COMPUTED_VALUE"""),2500.0)</f>
        <v>2500</v>
      </c>
      <c r="D1066" s="5">
        <f>IFERROR(__xludf.DUMMYFUNCTION("""COMPUTED_VALUE"""),2420.0)</f>
        <v>2420</v>
      </c>
      <c r="E1066" s="5">
        <f>IFERROR(__xludf.DUMMYFUNCTION("""COMPUTED_VALUE"""),2490.0)</f>
        <v>2490</v>
      </c>
      <c r="F1066" s="5">
        <f>IFERROR(__xludf.DUMMYFUNCTION("""COMPUTED_VALUE"""),9640300.0)</f>
        <v>9640300</v>
      </c>
      <c r="G1066" s="5">
        <f t="shared" si="1"/>
        <v>80</v>
      </c>
    </row>
    <row r="1067">
      <c r="A1067" s="4">
        <f>IFERROR(__xludf.DUMMYFUNCTION("""COMPUTED_VALUE"""),45443.66666666667)</f>
        <v>45443.66667</v>
      </c>
      <c r="B1067" s="5">
        <f>IFERROR(__xludf.DUMMYFUNCTION("""COMPUTED_VALUE"""),2500.0)</f>
        <v>2500</v>
      </c>
      <c r="C1067" s="5">
        <f>IFERROR(__xludf.DUMMYFUNCTION("""COMPUTED_VALUE"""),2520.0)</f>
        <v>2520</v>
      </c>
      <c r="D1067" s="5">
        <f>IFERROR(__xludf.DUMMYFUNCTION("""COMPUTED_VALUE"""),2490.0)</f>
        <v>2490</v>
      </c>
      <c r="E1067" s="5">
        <f>IFERROR(__xludf.DUMMYFUNCTION("""COMPUTED_VALUE"""),2490.0)</f>
        <v>2490</v>
      </c>
      <c r="F1067" s="5">
        <f>IFERROR(__xludf.DUMMYFUNCTION("""COMPUTED_VALUE"""),1.5709E7)</f>
        <v>15709000</v>
      </c>
      <c r="G1067" s="5">
        <f t="shared" si="1"/>
        <v>30</v>
      </c>
    </row>
    <row r="1068">
      <c r="A1068" s="4">
        <f>IFERROR(__xludf.DUMMYFUNCTION("""COMPUTED_VALUE"""),45446.66666666667)</f>
        <v>45446.66667</v>
      </c>
      <c r="B1068" s="5">
        <f>IFERROR(__xludf.DUMMYFUNCTION("""COMPUTED_VALUE"""),2500.0)</f>
        <v>2500</v>
      </c>
      <c r="C1068" s="5">
        <f>IFERROR(__xludf.DUMMYFUNCTION("""COMPUTED_VALUE"""),2590.0)</f>
        <v>2590</v>
      </c>
      <c r="D1068" s="5">
        <f>IFERROR(__xludf.DUMMYFUNCTION("""COMPUTED_VALUE"""),2500.0)</f>
        <v>2500</v>
      </c>
      <c r="E1068" s="5">
        <f>IFERROR(__xludf.DUMMYFUNCTION("""COMPUTED_VALUE"""),2580.0)</f>
        <v>2580</v>
      </c>
      <c r="F1068" s="5">
        <f>IFERROR(__xludf.DUMMYFUNCTION("""COMPUTED_VALUE"""),1.67233E7)</f>
        <v>16723300</v>
      </c>
      <c r="G1068" s="5">
        <f t="shared" si="1"/>
        <v>100</v>
      </c>
    </row>
    <row r="1069">
      <c r="A1069" s="4">
        <f>IFERROR(__xludf.DUMMYFUNCTION("""COMPUTED_VALUE"""),45447.66666666667)</f>
        <v>45447.66667</v>
      </c>
      <c r="B1069" s="5">
        <f>IFERROR(__xludf.DUMMYFUNCTION("""COMPUTED_VALUE"""),2590.0)</f>
        <v>2590</v>
      </c>
      <c r="C1069" s="5">
        <f>IFERROR(__xludf.DUMMYFUNCTION("""COMPUTED_VALUE"""),2590.0)</f>
        <v>2590</v>
      </c>
      <c r="D1069" s="5">
        <f>IFERROR(__xludf.DUMMYFUNCTION("""COMPUTED_VALUE"""),2560.0)</f>
        <v>2560</v>
      </c>
      <c r="E1069" s="5">
        <f>IFERROR(__xludf.DUMMYFUNCTION("""COMPUTED_VALUE"""),2570.0)</f>
        <v>2570</v>
      </c>
      <c r="F1069" s="5">
        <f>IFERROR(__xludf.DUMMYFUNCTION("""COMPUTED_VALUE"""),1.13335E7)</f>
        <v>11333500</v>
      </c>
      <c r="G1069" s="5">
        <f t="shared" si="1"/>
        <v>30</v>
      </c>
    </row>
    <row r="1070">
      <c r="A1070" s="4">
        <f>IFERROR(__xludf.DUMMYFUNCTION("""COMPUTED_VALUE"""),45448.66666666667)</f>
        <v>45448.66667</v>
      </c>
      <c r="B1070" s="5">
        <f>IFERROR(__xludf.DUMMYFUNCTION("""COMPUTED_VALUE"""),2570.0)</f>
        <v>2570</v>
      </c>
      <c r="C1070" s="5">
        <f>IFERROR(__xludf.DUMMYFUNCTION("""COMPUTED_VALUE"""),2580.0)</f>
        <v>2580</v>
      </c>
      <c r="D1070" s="5">
        <f>IFERROR(__xludf.DUMMYFUNCTION("""COMPUTED_VALUE"""),2500.0)</f>
        <v>2500</v>
      </c>
      <c r="E1070" s="5">
        <f>IFERROR(__xludf.DUMMYFUNCTION("""COMPUTED_VALUE"""),2530.0)</f>
        <v>2530</v>
      </c>
      <c r="F1070" s="5">
        <f>IFERROR(__xludf.DUMMYFUNCTION("""COMPUTED_VALUE"""),9835700.0)</f>
        <v>9835700</v>
      </c>
      <c r="G1070" s="5">
        <f t="shared" si="1"/>
        <v>80</v>
      </c>
    </row>
    <row r="1071">
      <c r="A1071" s="4">
        <f>IFERROR(__xludf.DUMMYFUNCTION("""COMPUTED_VALUE"""),45449.66666666667)</f>
        <v>45449.66667</v>
      </c>
      <c r="B1071" s="5">
        <f>IFERROR(__xludf.DUMMYFUNCTION("""COMPUTED_VALUE"""),2530.0)</f>
        <v>2530</v>
      </c>
      <c r="C1071" s="5">
        <f>IFERROR(__xludf.DUMMYFUNCTION("""COMPUTED_VALUE"""),2540.0)</f>
        <v>2540</v>
      </c>
      <c r="D1071" s="5">
        <f>IFERROR(__xludf.DUMMYFUNCTION("""COMPUTED_VALUE"""),2500.0)</f>
        <v>2500</v>
      </c>
      <c r="E1071" s="5">
        <f>IFERROR(__xludf.DUMMYFUNCTION("""COMPUTED_VALUE"""),2510.0)</f>
        <v>2510</v>
      </c>
      <c r="F1071" s="5">
        <f>IFERROR(__xludf.DUMMYFUNCTION("""COMPUTED_VALUE"""),4891100.0)</f>
        <v>4891100</v>
      </c>
      <c r="G1071" s="5">
        <f t="shared" si="1"/>
        <v>40</v>
      </c>
    </row>
    <row r="1072">
      <c r="A1072" s="4">
        <f>IFERROR(__xludf.DUMMYFUNCTION("""COMPUTED_VALUE"""),45450.66666666667)</f>
        <v>45450.66667</v>
      </c>
      <c r="B1072" s="5">
        <f>IFERROR(__xludf.DUMMYFUNCTION("""COMPUTED_VALUE"""),2520.0)</f>
        <v>2520</v>
      </c>
      <c r="C1072" s="5">
        <f>IFERROR(__xludf.DUMMYFUNCTION("""COMPUTED_VALUE"""),2550.0)</f>
        <v>2550</v>
      </c>
      <c r="D1072" s="5">
        <f>IFERROR(__xludf.DUMMYFUNCTION("""COMPUTED_VALUE"""),2510.0)</f>
        <v>2510</v>
      </c>
      <c r="E1072" s="5">
        <f>IFERROR(__xludf.DUMMYFUNCTION("""COMPUTED_VALUE"""),2530.0)</f>
        <v>2530</v>
      </c>
      <c r="F1072" s="5">
        <f>IFERROR(__xludf.DUMMYFUNCTION("""COMPUTED_VALUE"""),7711700.0)</f>
        <v>7711700</v>
      </c>
      <c r="G1072" s="5">
        <f t="shared" si="1"/>
        <v>40</v>
      </c>
    </row>
    <row r="1073">
      <c r="A1073" s="4">
        <f>IFERROR(__xludf.DUMMYFUNCTION("""COMPUTED_VALUE"""),45453.66666666667)</f>
        <v>45453.66667</v>
      </c>
      <c r="B1073" s="5">
        <f>IFERROR(__xludf.DUMMYFUNCTION("""COMPUTED_VALUE"""),2530.0)</f>
        <v>2530</v>
      </c>
      <c r="C1073" s="5">
        <f>IFERROR(__xludf.DUMMYFUNCTION("""COMPUTED_VALUE"""),2540.0)</f>
        <v>2540</v>
      </c>
      <c r="D1073" s="5">
        <f>IFERROR(__xludf.DUMMYFUNCTION("""COMPUTED_VALUE"""),2470.0)</f>
        <v>2470</v>
      </c>
      <c r="E1073" s="5">
        <f>IFERROR(__xludf.DUMMYFUNCTION("""COMPUTED_VALUE"""),2480.0)</f>
        <v>2480</v>
      </c>
      <c r="F1073" s="5">
        <f>IFERROR(__xludf.DUMMYFUNCTION("""COMPUTED_VALUE"""),1.34482E7)</f>
        <v>13448200</v>
      </c>
      <c r="G1073" s="5">
        <f t="shared" si="1"/>
        <v>70</v>
      </c>
    </row>
    <row r="1074">
      <c r="A1074" s="4">
        <f>IFERROR(__xludf.DUMMYFUNCTION("""COMPUTED_VALUE"""),45454.66666666667)</f>
        <v>45454.66667</v>
      </c>
      <c r="B1074" s="5">
        <f>IFERROR(__xludf.DUMMYFUNCTION("""COMPUTED_VALUE"""),2480.0)</f>
        <v>2480</v>
      </c>
      <c r="C1074" s="5">
        <f>IFERROR(__xludf.DUMMYFUNCTION("""COMPUTED_VALUE"""),2500.0)</f>
        <v>2500</v>
      </c>
      <c r="D1074" s="5">
        <f>IFERROR(__xludf.DUMMYFUNCTION("""COMPUTED_VALUE"""),2440.0)</f>
        <v>2440</v>
      </c>
      <c r="E1074" s="5">
        <f>IFERROR(__xludf.DUMMYFUNCTION("""COMPUTED_VALUE"""),2440.0)</f>
        <v>2440</v>
      </c>
      <c r="F1074" s="5">
        <f>IFERROR(__xludf.DUMMYFUNCTION("""COMPUTED_VALUE"""),1.21711E7)</f>
        <v>12171100</v>
      </c>
      <c r="G1074" s="5">
        <f t="shared" si="1"/>
        <v>60</v>
      </c>
    </row>
    <row r="1075">
      <c r="A1075" s="4">
        <f>IFERROR(__xludf.DUMMYFUNCTION("""COMPUTED_VALUE"""),45455.66666666667)</f>
        <v>45455.66667</v>
      </c>
      <c r="B1075" s="5">
        <f>IFERROR(__xludf.DUMMYFUNCTION("""COMPUTED_VALUE"""),2440.0)</f>
        <v>2440</v>
      </c>
      <c r="C1075" s="5">
        <f>IFERROR(__xludf.DUMMYFUNCTION("""COMPUTED_VALUE"""),2460.0)</f>
        <v>2460</v>
      </c>
      <c r="D1075" s="5">
        <f>IFERROR(__xludf.DUMMYFUNCTION("""COMPUTED_VALUE"""),2420.0)</f>
        <v>2420</v>
      </c>
      <c r="E1075" s="5">
        <f>IFERROR(__xludf.DUMMYFUNCTION("""COMPUTED_VALUE"""),2430.0)</f>
        <v>2430</v>
      </c>
      <c r="F1075" s="5">
        <f>IFERROR(__xludf.DUMMYFUNCTION("""COMPUTED_VALUE"""),6485000.0)</f>
        <v>6485000</v>
      </c>
      <c r="G1075" s="5">
        <f t="shared" si="1"/>
        <v>40</v>
      </c>
    </row>
    <row r="1076">
      <c r="A1076" s="4">
        <f>IFERROR(__xludf.DUMMYFUNCTION("""COMPUTED_VALUE"""),45456.66666666667)</f>
        <v>45456.66667</v>
      </c>
      <c r="B1076" s="5">
        <f>IFERROR(__xludf.DUMMYFUNCTION("""COMPUTED_VALUE"""),2430.0)</f>
        <v>2430</v>
      </c>
      <c r="C1076" s="5">
        <f>IFERROR(__xludf.DUMMYFUNCTION("""COMPUTED_VALUE"""),2520.0)</f>
        <v>2520</v>
      </c>
      <c r="D1076" s="5">
        <f>IFERROR(__xludf.DUMMYFUNCTION("""COMPUTED_VALUE"""),2430.0)</f>
        <v>2430</v>
      </c>
      <c r="E1076" s="5">
        <f>IFERROR(__xludf.DUMMYFUNCTION("""COMPUTED_VALUE"""),2520.0)</f>
        <v>2520</v>
      </c>
      <c r="F1076" s="5">
        <f>IFERROR(__xludf.DUMMYFUNCTION("""COMPUTED_VALUE"""),1.4098E7)</f>
        <v>14098000</v>
      </c>
      <c r="G1076" s="5">
        <f t="shared" si="1"/>
        <v>90</v>
      </c>
    </row>
    <row r="1077">
      <c r="A1077" s="4">
        <f>IFERROR(__xludf.DUMMYFUNCTION("""COMPUTED_VALUE"""),45457.66666666667)</f>
        <v>45457.66667</v>
      </c>
      <c r="B1077" s="5">
        <f>IFERROR(__xludf.DUMMYFUNCTION("""COMPUTED_VALUE"""),2520.0)</f>
        <v>2520</v>
      </c>
      <c r="C1077" s="5">
        <f>IFERROR(__xludf.DUMMYFUNCTION("""COMPUTED_VALUE"""),2520.0)</f>
        <v>2520</v>
      </c>
      <c r="D1077" s="5">
        <f>IFERROR(__xludf.DUMMYFUNCTION("""COMPUTED_VALUE"""),2450.0)</f>
        <v>2450</v>
      </c>
      <c r="E1077" s="5">
        <f>IFERROR(__xludf.DUMMYFUNCTION("""COMPUTED_VALUE"""),2460.0)</f>
        <v>2460</v>
      </c>
      <c r="F1077" s="5">
        <f>IFERROR(__xludf.DUMMYFUNCTION("""COMPUTED_VALUE"""),5659700.0)</f>
        <v>5659700</v>
      </c>
      <c r="G1077" s="5">
        <f t="shared" si="1"/>
        <v>70</v>
      </c>
    </row>
    <row r="1078">
      <c r="A1078" s="4">
        <f>IFERROR(__xludf.DUMMYFUNCTION("""COMPUTED_VALUE"""),45462.66666666667)</f>
        <v>45462.66667</v>
      </c>
      <c r="B1078" s="5">
        <f>IFERROR(__xludf.DUMMYFUNCTION("""COMPUTED_VALUE"""),2460.0)</f>
        <v>2460</v>
      </c>
      <c r="C1078" s="5">
        <f>IFERROR(__xludf.DUMMYFUNCTION("""COMPUTED_VALUE"""),2470.0)</f>
        <v>2470</v>
      </c>
      <c r="D1078" s="5">
        <f>IFERROR(__xludf.DUMMYFUNCTION("""COMPUTED_VALUE"""),2420.0)</f>
        <v>2420</v>
      </c>
      <c r="E1078" s="5">
        <f>IFERROR(__xludf.DUMMYFUNCTION("""COMPUTED_VALUE"""),2430.0)</f>
        <v>2430</v>
      </c>
      <c r="F1078" s="5">
        <f>IFERROR(__xludf.DUMMYFUNCTION("""COMPUTED_VALUE"""),5276200.0)</f>
        <v>5276200</v>
      </c>
      <c r="G1078" s="5">
        <f t="shared" si="1"/>
        <v>50</v>
      </c>
    </row>
    <row r="1079">
      <c r="A1079" s="4">
        <f>IFERROR(__xludf.DUMMYFUNCTION("""COMPUTED_VALUE"""),45463.66666666667)</f>
        <v>45463.66667</v>
      </c>
      <c r="B1079" s="5">
        <f>IFERROR(__xludf.DUMMYFUNCTION("""COMPUTED_VALUE"""),2430.0)</f>
        <v>2430</v>
      </c>
      <c r="C1079" s="5">
        <f>IFERROR(__xludf.DUMMYFUNCTION("""COMPUTED_VALUE"""),2450.0)</f>
        <v>2450</v>
      </c>
      <c r="D1079" s="5">
        <f>IFERROR(__xludf.DUMMYFUNCTION("""COMPUTED_VALUE"""),2420.0)</f>
        <v>2420</v>
      </c>
      <c r="E1079" s="5">
        <f>IFERROR(__xludf.DUMMYFUNCTION("""COMPUTED_VALUE"""),2420.0)</f>
        <v>2420</v>
      </c>
      <c r="F1079" s="5">
        <f>IFERROR(__xludf.DUMMYFUNCTION("""COMPUTED_VALUE"""),6492600.0)</f>
        <v>6492600</v>
      </c>
      <c r="G1079" s="5">
        <f t="shared" si="1"/>
        <v>30</v>
      </c>
    </row>
    <row r="1080">
      <c r="A1080" s="4">
        <f>IFERROR(__xludf.DUMMYFUNCTION("""COMPUTED_VALUE"""),45464.66666666667)</f>
        <v>45464.66667</v>
      </c>
      <c r="B1080" s="5">
        <f>IFERROR(__xludf.DUMMYFUNCTION("""COMPUTED_VALUE"""),2430.0)</f>
        <v>2430</v>
      </c>
      <c r="C1080" s="5">
        <f>IFERROR(__xludf.DUMMYFUNCTION("""COMPUTED_VALUE"""),2450.0)</f>
        <v>2450</v>
      </c>
      <c r="D1080" s="5">
        <f>IFERROR(__xludf.DUMMYFUNCTION("""COMPUTED_VALUE"""),2380.0)</f>
        <v>2380</v>
      </c>
      <c r="E1080" s="5">
        <f>IFERROR(__xludf.DUMMYFUNCTION("""COMPUTED_VALUE"""),2420.0)</f>
        <v>2420</v>
      </c>
      <c r="F1080" s="5">
        <f>IFERROR(__xludf.DUMMYFUNCTION("""COMPUTED_VALUE"""),1.89365E7)</f>
        <v>18936500</v>
      </c>
      <c r="G1080" s="5">
        <f t="shared" si="1"/>
        <v>70</v>
      </c>
    </row>
    <row r="1081">
      <c r="A1081" s="4">
        <f>IFERROR(__xludf.DUMMYFUNCTION("""COMPUTED_VALUE"""),45467.66666666667)</f>
        <v>45467.66667</v>
      </c>
      <c r="B1081" s="5">
        <f>IFERROR(__xludf.DUMMYFUNCTION("""COMPUTED_VALUE"""),2430.0)</f>
        <v>2430</v>
      </c>
      <c r="C1081" s="5">
        <f>IFERROR(__xludf.DUMMYFUNCTION("""COMPUTED_VALUE"""),2440.0)</f>
        <v>2440</v>
      </c>
      <c r="D1081" s="5">
        <f>IFERROR(__xludf.DUMMYFUNCTION("""COMPUTED_VALUE"""),2420.0)</f>
        <v>2420</v>
      </c>
      <c r="E1081" s="5">
        <f>IFERROR(__xludf.DUMMYFUNCTION("""COMPUTED_VALUE"""),2430.0)</f>
        <v>2430</v>
      </c>
      <c r="F1081" s="5">
        <f>IFERROR(__xludf.DUMMYFUNCTION("""COMPUTED_VALUE"""),6459100.0)</f>
        <v>6459100</v>
      </c>
      <c r="G1081" s="5">
        <f t="shared" si="1"/>
        <v>20</v>
      </c>
    </row>
    <row r="1082">
      <c r="A1082" s="4">
        <f>IFERROR(__xludf.DUMMYFUNCTION("""COMPUTED_VALUE"""),45468.66666666667)</f>
        <v>45468.66667</v>
      </c>
      <c r="B1082" s="5">
        <f>IFERROR(__xludf.DUMMYFUNCTION("""COMPUTED_VALUE"""),2440.0)</f>
        <v>2440</v>
      </c>
      <c r="C1082" s="5">
        <f>IFERROR(__xludf.DUMMYFUNCTION("""COMPUTED_VALUE"""),2450.0)</f>
        <v>2450</v>
      </c>
      <c r="D1082" s="5">
        <f>IFERROR(__xludf.DUMMYFUNCTION("""COMPUTED_VALUE"""),2410.0)</f>
        <v>2410</v>
      </c>
      <c r="E1082" s="5">
        <f>IFERROR(__xludf.DUMMYFUNCTION("""COMPUTED_VALUE"""),2410.0)</f>
        <v>2410</v>
      </c>
      <c r="F1082" s="5">
        <f>IFERROR(__xludf.DUMMYFUNCTION("""COMPUTED_VALUE"""),6880400.0)</f>
        <v>6880400</v>
      </c>
      <c r="G1082" s="5">
        <f t="shared" si="1"/>
        <v>40</v>
      </c>
    </row>
    <row r="1083">
      <c r="A1083" s="4">
        <f>IFERROR(__xludf.DUMMYFUNCTION("""COMPUTED_VALUE"""),45469.66666666667)</f>
        <v>45469.66667</v>
      </c>
      <c r="B1083" s="5">
        <f>IFERROR(__xludf.DUMMYFUNCTION("""COMPUTED_VALUE"""),2410.0)</f>
        <v>2410</v>
      </c>
      <c r="C1083" s="5">
        <f>IFERROR(__xludf.DUMMYFUNCTION("""COMPUTED_VALUE"""),2440.0)</f>
        <v>2440</v>
      </c>
      <c r="D1083" s="5">
        <f>IFERROR(__xludf.DUMMYFUNCTION("""COMPUTED_VALUE"""),2400.0)</f>
        <v>2400</v>
      </c>
      <c r="E1083" s="5">
        <f>IFERROR(__xludf.DUMMYFUNCTION("""COMPUTED_VALUE"""),2440.0)</f>
        <v>2440</v>
      </c>
      <c r="F1083" s="5">
        <f>IFERROR(__xludf.DUMMYFUNCTION("""COMPUTED_VALUE"""),6341900.0)</f>
        <v>6341900</v>
      </c>
      <c r="G1083" s="5">
        <f t="shared" si="1"/>
        <v>40</v>
      </c>
    </row>
    <row r="1084">
      <c r="A1084" s="4">
        <f>IFERROR(__xludf.DUMMYFUNCTION("""COMPUTED_VALUE"""),45470.66666666667)</f>
        <v>45470.66667</v>
      </c>
      <c r="B1084" s="5">
        <f>IFERROR(__xludf.DUMMYFUNCTION("""COMPUTED_VALUE"""),2440.0)</f>
        <v>2440</v>
      </c>
      <c r="C1084" s="5">
        <f>IFERROR(__xludf.DUMMYFUNCTION("""COMPUTED_VALUE"""),2440.0)</f>
        <v>2440</v>
      </c>
      <c r="D1084" s="5">
        <f>IFERROR(__xludf.DUMMYFUNCTION("""COMPUTED_VALUE"""),2420.0)</f>
        <v>2420</v>
      </c>
      <c r="E1084" s="5">
        <f>IFERROR(__xludf.DUMMYFUNCTION("""COMPUTED_VALUE"""),2430.0)</f>
        <v>2430</v>
      </c>
      <c r="F1084" s="5">
        <f>IFERROR(__xludf.DUMMYFUNCTION("""COMPUTED_VALUE"""),4573400.0)</f>
        <v>4573400</v>
      </c>
      <c r="G1084" s="5">
        <f t="shared" si="1"/>
        <v>20</v>
      </c>
    </row>
    <row r="1085">
      <c r="A1085" s="4">
        <f>IFERROR(__xludf.DUMMYFUNCTION("""COMPUTED_VALUE"""),45471.66666666667)</f>
        <v>45471.66667</v>
      </c>
      <c r="B1085" s="5">
        <f>IFERROR(__xludf.DUMMYFUNCTION("""COMPUTED_VALUE"""),2430.0)</f>
        <v>2430</v>
      </c>
      <c r="C1085" s="5">
        <f>IFERROR(__xludf.DUMMYFUNCTION("""COMPUTED_VALUE"""),2470.0)</f>
        <v>2470</v>
      </c>
      <c r="D1085" s="5">
        <f>IFERROR(__xludf.DUMMYFUNCTION("""COMPUTED_VALUE"""),2430.0)</f>
        <v>2430</v>
      </c>
      <c r="E1085" s="5">
        <f>IFERROR(__xludf.DUMMYFUNCTION("""COMPUTED_VALUE"""),2450.0)</f>
        <v>2450</v>
      </c>
      <c r="F1085" s="5">
        <f>IFERROR(__xludf.DUMMYFUNCTION("""COMPUTED_VALUE"""),1.28598E7)</f>
        <v>12859800</v>
      </c>
      <c r="G1085" s="5">
        <f t="shared" si="1"/>
        <v>40</v>
      </c>
    </row>
    <row r="1086">
      <c r="A1086" s="4">
        <f>IFERROR(__xludf.DUMMYFUNCTION("""COMPUTED_VALUE"""),45474.66666666667)</f>
        <v>45474.66667</v>
      </c>
      <c r="B1086" s="5">
        <f>IFERROR(__xludf.DUMMYFUNCTION("""COMPUTED_VALUE"""),2460.0)</f>
        <v>2460</v>
      </c>
      <c r="C1086" s="5">
        <f>IFERROR(__xludf.DUMMYFUNCTION("""COMPUTED_VALUE"""),2500.0)</f>
        <v>2500</v>
      </c>
      <c r="D1086" s="5">
        <f>IFERROR(__xludf.DUMMYFUNCTION("""COMPUTED_VALUE"""),2450.0)</f>
        <v>2450</v>
      </c>
      <c r="E1086" s="5">
        <f>IFERROR(__xludf.DUMMYFUNCTION("""COMPUTED_VALUE"""),2500.0)</f>
        <v>2500</v>
      </c>
      <c r="F1086" s="5">
        <f>IFERROR(__xludf.DUMMYFUNCTION("""COMPUTED_VALUE"""),9767100.0)</f>
        <v>9767100</v>
      </c>
      <c r="G1086" s="5">
        <f t="shared" si="1"/>
        <v>50</v>
      </c>
    </row>
    <row r="1087">
      <c r="A1087" s="4">
        <f>IFERROR(__xludf.DUMMYFUNCTION("""COMPUTED_VALUE"""),45475.66666666667)</f>
        <v>45475.66667</v>
      </c>
      <c r="B1087" s="5">
        <f>IFERROR(__xludf.DUMMYFUNCTION("""COMPUTED_VALUE"""),2500.0)</f>
        <v>2500</v>
      </c>
      <c r="C1087" s="5">
        <f>IFERROR(__xludf.DUMMYFUNCTION("""COMPUTED_VALUE"""),2520.0)</f>
        <v>2520</v>
      </c>
      <c r="D1087" s="5">
        <f>IFERROR(__xludf.DUMMYFUNCTION("""COMPUTED_VALUE"""),2490.0)</f>
        <v>2490</v>
      </c>
      <c r="E1087" s="5">
        <f>IFERROR(__xludf.DUMMYFUNCTION("""COMPUTED_VALUE"""),2490.0)</f>
        <v>2490</v>
      </c>
      <c r="F1087" s="5">
        <f>IFERROR(__xludf.DUMMYFUNCTION("""COMPUTED_VALUE"""),9422500.0)</f>
        <v>9422500</v>
      </c>
      <c r="G1087" s="5">
        <f t="shared" si="1"/>
        <v>30</v>
      </c>
    </row>
    <row r="1088">
      <c r="A1088" s="4">
        <f>IFERROR(__xludf.DUMMYFUNCTION("""COMPUTED_VALUE"""),45476.66666666667)</f>
        <v>45476.66667</v>
      </c>
      <c r="B1088" s="5">
        <f>IFERROR(__xludf.DUMMYFUNCTION("""COMPUTED_VALUE"""),2500.0)</f>
        <v>2500</v>
      </c>
      <c r="C1088" s="5">
        <f>IFERROR(__xludf.DUMMYFUNCTION("""COMPUTED_VALUE"""),2530.0)</f>
        <v>2530</v>
      </c>
      <c r="D1088" s="5">
        <f>IFERROR(__xludf.DUMMYFUNCTION("""COMPUTED_VALUE"""),2490.0)</f>
        <v>2490</v>
      </c>
      <c r="E1088" s="5">
        <f>IFERROR(__xludf.DUMMYFUNCTION("""COMPUTED_VALUE"""),2500.0)</f>
        <v>2500</v>
      </c>
      <c r="F1088" s="5">
        <f>IFERROR(__xludf.DUMMYFUNCTION("""COMPUTED_VALUE"""),1.00303E7)</f>
        <v>10030300</v>
      </c>
      <c r="G1088" s="5">
        <f t="shared" si="1"/>
        <v>40</v>
      </c>
    </row>
    <row r="1089">
      <c r="A1089" s="4">
        <f>IFERROR(__xludf.DUMMYFUNCTION("""COMPUTED_VALUE"""),45477.66666666667)</f>
        <v>45477.66667</v>
      </c>
      <c r="B1089" s="5">
        <f>IFERROR(__xludf.DUMMYFUNCTION("""COMPUTED_VALUE"""),2520.0)</f>
        <v>2520</v>
      </c>
      <c r="C1089" s="5">
        <f>IFERROR(__xludf.DUMMYFUNCTION("""COMPUTED_VALUE"""),2570.0)</f>
        <v>2570</v>
      </c>
      <c r="D1089" s="5">
        <f>IFERROR(__xludf.DUMMYFUNCTION("""COMPUTED_VALUE"""),2510.0)</f>
        <v>2510</v>
      </c>
      <c r="E1089" s="5">
        <f>IFERROR(__xludf.DUMMYFUNCTION("""COMPUTED_VALUE"""),2530.0)</f>
        <v>2530</v>
      </c>
      <c r="F1089" s="5">
        <f>IFERROR(__xludf.DUMMYFUNCTION("""COMPUTED_VALUE"""),1.87949E7)</f>
        <v>18794900</v>
      </c>
      <c r="G1089" s="5">
        <f t="shared" si="1"/>
        <v>70</v>
      </c>
    </row>
    <row r="1090">
      <c r="A1090" s="4">
        <f>IFERROR(__xludf.DUMMYFUNCTION("""COMPUTED_VALUE"""),45478.66666666667)</f>
        <v>45478.66667</v>
      </c>
      <c r="B1090" s="5">
        <f>IFERROR(__xludf.DUMMYFUNCTION("""COMPUTED_VALUE"""),2540.0)</f>
        <v>2540</v>
      </c>
      <c r="C1090" s="5">
        <f>IFERROR(__xludf.DUMMYFUNCTION("""COMPUTED_VALUE"""),2570.0)</f>
        <v>2570</v>
      </c>
      <c r="D1090" s="5">
        <f>IFERROR(__xludf.DUMMYFUNCTION("""COMPUTED_VALUE"""),2520.0)</f>
        <v>2520</v>
      </c>
      <c r="E1090" s="5">
        <f>IFERROR(__xludf.DUMMYFUNCTION("""COMPUTED_VALUE"""),2540.0)</f>
        <v>2540</v>
      </c>
      <c r="F1090" s="5">
        <f>IFERROR(__xludf.DUMMYFUNCTION("""COMPUTED_VALUE"""),9942000.0)</f>
        <v>9942000</v>
      </c>
      <c r="G1090" s="5">
        <f t="shared" si="1"/>
        <v>50</v>
      </c>
    </row>
    <row r="1091">
      <c r="A1091" s="4">
        <f>IFERROR(__xludf.DUMMYFUNCTION("""COMPUTED_VALUE"""),45481.66666666667)</f>
        <v>45481.66667</v>
      </c>
      <c r="B1091" s="5">
        <f>IFERROR(__xludf.DUMMYFUNCTION("""COMPUTED_VALUE"""),2540.0)</f>
        <v>2540</v>
      </c>
      <c r="C1091" s="5">
        <f>IFERROR(__xludf.DUMMYFUNCTION("""COMPUTED_VALUE"""),2560.0)</f>
        <v>2560</v>
      </c>
      <c r="D1091" s="5">
        <f>IFERROR(__xludf.DUMMYFUNCTION("""COMPUTED_VALUE"""),2530.0)</f>
        <v>2530</v>
      </c>
      <c r="E1091" s="5">
        <f>IFERROR(__xludf.DUMMYFUNCTION("""COMPUTED_VALUE"""),2550.0)</f>
        <v>2550</v>
      </c>
      <c r="F1091" s="5">
        <f>IFERROR(__xludf.DUMMYFUNCTION("""COMPUTED_VALUE"""),7491700.0)</f>
        <v>7491700</v>
      </c>
      <c r="G1091" s="5">
        <f t="shared" si="1"/>
        <v>30</v>
      </c>
    </row>
    <row r="1092">
      <c r="A1092" s="4">
        <f>IFERROR(__xludf.DUMMYFUNCTION("""COMPUTED_VALUE"""),45482.66666666667)</f>
        <v>45482.66667</v>
      </c>
      <c r="B1092" s="5">
        <f>IFERROR(__xludf.DUMMYFUNCTION("""COMPUTED_VALUE"""),2550.0)</f>
        <v>2550</v>
      </c>
      <c r="C1092" s="5">
        <f>IFERROR(__xludf.DUMMYFUNCTION("""COMPUTED_VALUE"""),2570.0)</f>
        <v>2570</v>
      </c>
      <c r="D1092" s="5">
        <f>IFERROR(__xludf.DUMMYFUNCTION("""COMPUTED_VALUE"""),2530.0)</f>
        <v>2530</v>
      </c>
      <c r="E1092" s="5">
        <f>IFERROR(__xludf.DUMMYFUNCTION("""COMPUTED_VALUE"""),2530.0)</f>
        <v>2530</v>
      </c>
      <c r="F1092" s="5">
        <f>IFERROR(__xludf.DUMMYFUNCTION("""COMPUTED_VALUE"""),1.04777E7)</f>
        <v>10477700</v>
      </c>
      <c r="G1092" s="5">
        <f t="shared" si="1"/>
        <v>40</v>
      </c>
    </row>
    <row r="1093">
      <c r="A1093" s="4">
        <f>IFERROR(__xludf.DUMMYFUNCTION("""COMPUTED_VALUE"""),45483.66666666667)</f>
        <v>45483.66667</v>
      </c>
      <c r="B1093" s="5">
        <f>IFERROR(__xludf.DUMMYFUNCTION("""COMPUTED_VALUE"""),2530.0)</f>
        <v>2530</v>
      </c>
      <c r="C1093" s="5">
        <f>IFERROR(__xludf.DUMMYFUNCTION("""COMPUTED_VALUE"""),2560.0)</f>
        <v>2560</v>
      </c>
      <c r="D1093" s="5">
        <f>IFERROR(__xludf.DUMMYFUNCTION("""COMPUTED_VALUE"""),2530.0)</f>
        <v>2530</v>
      </c>
      <c r="E1093" s="5">
        <f>IFERROR(__xludf.DUMMYFUNCTION("""COMPUTED_VALUE"""),2540.0)</f>
        <v>2540</v>
      </c>
      <c r="F1093" s="5">
        <f>IFERROR(__xludf.DUMMYFUNCTION("""COMPUTED_VALUE"""),7337200.0)</f>
        <v>7337200</v>
      </c>
      <c r="G1093" s="5">
        <f t="shared" si="1"/>
        <v>30</v>
      </c>
    </row>
    <row r="1094">
      <c r="A1094" s="4">
        <f>IFERROR(__xludf.DUMMYFUNCTION("""COMPUTED_VALUE"""),45484.66666666667)</f>
        <v>45484.66667</v>
      </c>
      <c r="B1094" s="5">
        <f>IFERROR(__xludf.DUMMYFUNCTION("""COMPUTED_VALUE"""),2550.0)</f>
        <v>2550</v>
      </c>
      <c r="C1094" s="5">
        <f>IFERROR(__xludf.DUMMYFUNCTION("""COMPUTED_VALUE"""),2560.0)</f>
        <v>2560</v>
      </c>
      <c r="D1094" s="5">
        <f>IFERROR(__xludf.DUMMYFUNCTION("""COMPUTED_VALUE"""),2540.0)</f>
        <v>2540</v>
      </c>
      <c r="E1094" s="5">
        <f>IFERROR(__xludf.DUMMYFUNCTION("""COMPUTED_VALUE"""),2550.0)</f>
        <v>2550</v>
      </c>
      <c r="F1094" s="5">
        <f>IFERROR(__xludf.DUMMYFUNCTION("""COMPUTED_VALUE"""),4841300.0)</f>
        <v>4841300</v>
      </c>
      <c r="G1094" s="5">
        <f t="shared" si="1"/>
        <v>20</v>
      </c>
    </row>
    <row r="1095">
      <c r="A1095" s="4">
        <f>IFERROR(__xludf.DUMMYFUNCTION("""COMPUTED_VALUE"""),45485.66666666667)</f>
        <v>45485.66667</v>
      </c>
      <c r="B1095" s="5">
        <f>IFERROR(__xludf.DUMMYFUNCTION("""COMPUTED_VALUE"""),2550.0)</f>
        <v>2550</v>
      </c>
      <c r="C1095" s="5">
        <f>IFERROR(__xludf.DUMMYFUNCTION("""COMPUTED_VALUE"""),2560.0)</f>
        <v>2560</v>
      </c>
      <c r="D1095" s="5">
        <f>IFERROR(__xludf.DUMMYFUNCTION("""COMPUTED_VALUE"""),2530.0)</f>
        <v>2530</v>
      </c>
      <c r="E1095" s="5">
        <f>IFERROR(__xludf.DUMMYFUNCTION("""COMPUTED_VALUE"""),2530.0)</f>
        <v>2530</v>
      </c>
      <c r="F1095" s="5">
        <f>IFERROR(__xludf.DUMMYFUNCTION("""COMPUTED_VALUE"""),7888600.0)</f>
        <v>7888600</v>
      </c>
      <c r="G1095" s="5">
        <f t="shared" si="1"/>
        <v>30</v>
      </c>
    </row>
    <row r="1096">
      <c r="A1096" s="4">
        <f>IFERROR(__xludf.DUMMYFUNCTION("""COMPUTED_VALUE"""),45488.66666666667)</f>
        <v>45488.66667</v>
      </c>
      <c r="B1096" s="5">
        <f>IFERROR(__xludf.DUMMYFUNCTION("""COMPUTED_VALUE"""),2560.0)</f>
        <v>2560</v>
      </c>
      <c r="C1096" s="5">
        <f>IFERROR(__xludf.DUMMYFUNCTION("""COMPUTED_VALUE"""),2560.0)</f>
        <v>2560</v>
      </c>
      <c r="D1096" s="5">
        <f>IFERROR(__xludf.DUMMYFUNCTION("""COMPUTED_VALUE"""),2500.0)</f>
        <v>2500</v>
      </c>
      <c r="E1096" s="5">
        <f>IFERROR(__xludf.DUMMYFUNCTION("""COMPUTED_VALUE"""),2520.0)</f>
        <v>2520</v>
      </c>
      <c r="F1096" s="5">
        <f>IFERROR(__xludf.DUMMYFUNCTION("""COMPUTED_VALUE"""),1.22662E7)</f>
        <v>12266200</v>
      </c>
      <c r="G1096" s="5">
        <f t="shared" si="1"/>
        <v>60</v>
      </c>
    </row>
    <row r="1097">
      <c r="A1097" s="4">
        <f>IFERROR(__xludf.DUMMYFUNCTION("""COMPUTED_VALUE"""),45489.66666666667)</f>
        <v>45489.66667</v>
      </c>
      <c r="B1097" s="5">
        <f>IFERROR(__xludf.DUMMYFUNCTION("""COMPUTED_VALUE"""),2530.0)</f>
        <v>2530</v>
      </c>
      <c r="C1097" s="5">
        <f>IFERROR(__xludf.DUMMYFUNCTION("""COMPUTED_VALUE"""),2550.0)</f>
        <v>2550</v>
      </c>
      <c r="D1097" s="5">
        <f>IFERROR(__xludf.DUMMYFUNCTION("""COMPUTED_VALUE"""),2520.0)</f>
        <v>2520</v>
      </c>
      <c r="E1097" s="5">
        <f>IFERROR(__xludf.DUMMYFUNCTION("""COMPUTED_VALUE"""),2530.0)</f>
        <v>2530</v>
      </c>
      <c r="F1097" s="5">
        <f>IFERROR(__xludf.DUMMYFUNCTION("""COMPUTED_VALUE"""),6947800.0)</f>
        <v>6947800</v>
      </c>
      <c r="G1097" s="5">
        <f t="shared" si="1"/>
        <v>30</v>
      </c>
    </row>
    <row r="1098">
      <c r="A1098" s="4">
        <f>IFERROR(__xludf.DUMMYFUNCTION("""COMPUTED_VALUE"""),45490.66666666667)</f>
        <v>45490.66667</v>
      </c>
      <c r="B1098" s="5">
        <f>IFERROR(__xludf.DUMMYFUNCTION("""COMPUTED_VALUE"""),2550.0)</f>
        <v>2550</v>
      </c>
      <c r="C1098" s="5">
        <f>IFERROR(__xludf.DUMMYFUNCTION("""COMPUTED_VALUE"""),2550.0)</f>
        <v>2550</v>
      </c>
      <c r="D1098" s="5">
        <f>IFERROR(__xludf.DUMMYFUNCTION("""COMPUTED_VALUE"""),2530.0)</f>
        <v>2530</v>
      </c>
      <c r="E1098" s="5">
        <f>IFERROR(__xludf.DUMMYFUNCTION("""COMPUTED_VALUE"""),2540.0)</f>
        <v>2540</v>
      </c>
      <c r="F1098" s="5">
        <f>IFERROR(__xludf.DUMMYFUNCTION("""COMPUTED_VALUE"""),7325200.0)</f>
        <v>7325200</v>
      </c>
      <c r="G1098" s="5">
        <f t="shared" si="1"/>
        <v>20</v>
      </c>
    </row>
    <row r="1099">
      <c r="A1099" s="4">
        <f>IFERROR(__xludf.DUMMYFUNCTION("""COMPUTED_VALUE"""),45491.66666666667)</f>
        <v>45491.66667</v>
      </c>
      <c r="B1099" s="5">
        <f>IFERROR(__xludf.DUMMYFUNCTION("""COMPUTED_VALUE"""),2540.0)</f>
        <v>2540</v>
      </c>
      <c r="C1099" s="5">
        <f>IFERROR(__xludf.DUMMYFUNCTION("""COMPUTED_VALUE"""),2630.0)</f>
        <v>2630</v>
      </c>
      <c r="D1099" s="5">
        <f>IFERROR(__xludf.DUMMYFUNCTION("""COMPUTED_VALUE"""),2520.0)</f>
        <v>2520</v>
      </c>
      <c r="E1099" s="5">
        <f>IFERROR(__xludf.DUMMYFUNCTION("""COMPUTED_VALUE"""),2620.0)</f>
        <v>2620</v>
      </c>
      <c r="F1099" s="5">
        <f>IFERROR(__xludf.DUMMYFUNCTION("""COMPUTED_VALUE"""),2.6806E7)</f>
        <v>26806000</v>
      </c>
      <c r="G1099" s="5">
        <f t="shared" si="1"/>
        <v>110</v>
      </c>
    </row>
    <row r="1100">
      <c r="A1100" s="4">
        <f>IFERROR(__xludf.DUMMYFUNCTION("""COMPUTED_VALUE"""),45492.66666666667)</f>
        <v>45492.66667</v>
      </c>
      <c r="B1100" s="5">
        <f>IFERROR(__xludf.DUMMYFUNCTION("""COMPUTED_VALUE"""),2620.0)</f>
        <v>2620</v>
      </c>
      <c r="C1100" s="5">
        <f>IFERROR(__xludf.DUMMYFUNCTION("""COMPUTED_VALUE"""),2680.0)</f>
        <v>2680</v>
      </c>
      <c r="D1100" s="5">
        <f>IFERROR(__xludf.DUMMYFUNCTION("""COMPUTED_VALUE"""),2620.0)</f>
        <v>2620</v>
      </c>
      <c r="E1100" s="5">
        <f>IFERROR(__xludf.DUMMYFUNCTION("""COMPUTED_VALUE"""),2630.0)</f>
        <v>2630</v>
      </c>
      <c r="F1100" s="5">
        <f>IFERROR(__xludf.DUMMYFUNCTION("""COMPUTED_VALUE"""),3.03563E7)</f>
        <v>30356300</v>
      </c>
      <c r="G1100" s="5">
        <f t="shared" si="1"/>
        <v>60</v>
      </c>
    </row>
    <row r="1101">
      <c r="A1101" s="4">
        <f>IFERROR(__xludf.DUMMYFUNCTION("""COMPUTED_VALUE"""),45495.66666666667)</f>
        <v>45495.66667</v>
      </c>
      <c r="B1101" s="5">
        <f>IFERROR(__xludf.DUMMYFUNCTION("""COMPUTED_VALUE"""),2640.0)</f>
        <v>2640</v>
      </c>
      <c r="C1101" s="5">
        <f>IFERROR(__xludf.DUMMYFUNCTION("""COMPUTED_VALUE"""),2700.0)</f>
        <v>2700</v>
      </c>
      <c r="D1101" s="5">
        <f>IFERROR(__xludf.DUMMYFUNCTION("""COMPUTED_VALUE"""),2640.0)</f>
        <v>2640</v>
      </c>
      <c r="E1101" s="5">
        <f>IFERROR(__xludf.DUMMYFUNCTION("""COMPUTED_VALUE"""),2680.0)</f>
        <v>2680</v>
      </c>
      <c r="F1101" s="5">
        <f>IFERROR(__xludf.DUMMYFUNCTION("""COMPUTED_VALUE"""),1.87864E7)</f>
        <v>18786400</v>
      </c>
      <c r="G1101" s="5">
        <f t="shared" si="1"/>
        <v>70</v>
      </c>
    </row>
    <row r="1102">
      <c r="A1102" s="4">
        <f>IFERROR(__xludf.DUMMYFUNCTION("""COMPUTED_VALUE"""),45496.66666666667)</f>
        <v>45496.66667</v>
      </c>
      <c r="B1102" s="5">
        <f>IFERROR(__xludf.DUMMYFUNCTION("""COMPUTED_VALUE"""),2690.0)</f>
        <v>2690</v>
      </c>
      <c r="C1102" s="5">
        <f>IFERROR(__xludf.DUMMYFUNCTION("""COMPUTED_VALUE"""),2720.0)</f>
        <v>2720</v>
      </c>
      <c r="D1102" s="5">
        <f>IFERROR(__xludf.DUMMYFUNCTION("""COMPUTED_VALUE"""),2650.0)</f>
        <v>2650</v>
      </c>
      <c r="E1102" s="5">
        <f>IFERROR(__xludf.DUMMYFUNCTION("""COMPUTED_VALUE"""),2650.0)</f>
        <v>2650</v>
      </c>
      <c r="F1102" s="5">
        <f>IFERROR(__xludf.DUMMYFUNCTION("""COMPUTED_VALUE"""),2.11427E7)</f>
        <v>21142700</v>
      </c>
      <c r="G1102" s="5">
        <f t="shared" si="1"/>
        <v>70</v>
      </c>
    </row>
    <row r="1103">
      <c r="A1103" s="4">
        <f>IFERROR(__xludf.DUMMYFUNCTION("""COMPUTED_VALUE"""),45497.66666666667)</f>
        <v>45497.66667</v>
      </c>
      <c r="B1103" s="5">
        <f>IFERROR(__xludf.DUMMYFUNCTION("""COMPUTED_VALUE"""),2650.0)</f>
        <v>2650</v>
      </c>
      <c r="C1103" s="5">
        <f>IFERROR(__xludf.DUMMYFUNCTION("""COMPUTED_VALUE"""),2680.0)</f>
        <v>2680</v>
      </c>
      <c r="D1103" s="5">
        <f>IFERROR(__xludf.DUMMYFUNCTION("""COMPUTED_VALUE"""),2610.0)</f>
        <v>2610</v>
      </c>
      <c r="E1103" s="5">
        <f>IFERROR(__xludf.DUMMYFUNCTION("""COMPUTED_VALUE"""),2620.0)</f>
        <v>2620</v>
      </c>
      <c r="F1103" s="5">
        <f>IFERROR(__xludf.DUMMYFUNCTION("""COMPUTED_VALUE"""),1.11154E7)</f>
        <v>11115400</v>
      </c>
      <c r="G1103" s="5">
        <f t="shared" si="1"/>
        <v>70</v>
      </c>
    </row>
    <row r="1104">
      <c r="A1104" s="4">
        <f>IFERROR(__xludf.DUMMYFUNCTION("""COMPUTED_VALUE"""),45498.66666666667)</f>
        <v>45498.66667</v>
      </c>
      <c r="B1104" s="5">
        <f>IFERROR(__xludf.DUMMYFUNCTION("""COMPUTED_VALUE"""),2620.0)</f>
        <v>2620</v>
      </c>
      <c r="C1104" s="5">
        <f>IFERROR(__xludf.DUMMYFUNCTION("""COMPUTED_VALUE"""),2660.0)</f>
        <v>2660</v>
      </c>
      <c r="D1104" s="5">
        <f>IFERROR(__xludf.DUMMYFUNCTION("""COMPUTED_VALUE"""),2600.0)</f>
        <v>2600</v>
      </c>
      <c r="E1104" s="5">
        <f>IFERROR(__xludf.DUMMYFUNCTION("""COMPUTED_VALUE"""),2610.0)</f>
        <v>2610</v>
      </c>
      <c r="F1104" s="5">
        <f>IFERROR(__xludf.DUMMYFUNCTION("""COMPUTED_VALUE"""),1.0327E7)</f>
        <v>10327000</v>
      </c>
      <c r="G1104" s="5">
        <f t="shared" si="1"/>
        <v>60</v>
      </c>
    </row>
    <row r="1105">
      <c r="A1105" s="4">
        <f>IFERROR(__xludf.DUMMYFUNCTION("""COMPUTED_VALUE"""),45499.66666666667)</f>
        <v>45499.66667</v>
      </c>
      <c r="B1105" s="5">
        <f>IFERROR(__xludf.DUMMYFUNCTION("""COMPUTED_VALUE"""),2620.0)</f>
        <v>2620</v>
      </c>
      <c r="C1105" s="5">
        <f>IFERROR(__xludf.DUMMYFUNCTION("""COMPUTED_VALUE"""),2670.0)</f>
        <v>2670</v>
      </c>
      <c r="D1105" s="5">
        <f>IFERROR(__xludf.DUMMYFUNCTION("""COMPUTED_VALUE"""),2620.0)</f>
        <v>2620</v>
      </c>
      <c r="E1105" s="5">
        <f>IFERROR(__xludf.DUMMYFUNCTION("""COMPUTED_VALUE"""),2660.0)</f>
        <v>2660</v>
      </c>
      <c r="F1105" s="5">
        <f>IFERROR(__xludf.DUMMYFUNCTION("""COMPUTED_VALUE"""),8478400.0)</f>
        <v>8478400</v>
      </c>
      <c r="G1105" s="5">
        <f t="shared" si="1"/>
        <v>60</v>
      </c>
    </row>
    <row r="1106">
      <c r="A1106" s="4">
        <f>IFERROR(__xludf.DUMMYFUNCTION("""COMPUTED_VALUE"""),45502.66666666667)</f>
        <v>45502.66667</v>
      </c>
      <c r="B1106" s="5">
        <f>IFERROR(__xludf.DUMMYFUNCTION("""COMPUTED_VALUE"""),2680.0)</f>
        <v>2680</v>
      </c>
      <c r="C1106" s="5">
        <f>IFERROR(__xludf.DUMMYFUNCTION("""COMPUTED_VALUE"""),2700.0)</f>
        <v>2700</v>
      </c>
      <c r="D1106" s="5">
        <f>IFERROR(__xludf.DUMMYFUNCTION("""COMPUTED_VALUE"""),2660.0)</f>
        <v>2660</v>
      </c>
      <c r="E1106" s="5">
        <f>IFERROR(__xludf.DUMMYFUNCTION("""COMPUTED_VALUE"""),2670.0)</f>
        <v>2670</v>
      </c>
      <c r="F1106" s="5">
        <f>IFERROR(__xludf.DUMMYFUNCTION("""COMPUTED_VALUE"""),1.09908E7)</f>
        <v>10990800</v>
      </c>
      <c r="G1106" s="5">
        <f t="shared" si="1"/>
        <v>40</v>
      </c>
    </row>
    <row r="1107">
      <c r="A1107" s="4">
        <f>IFERROR(__xludf.DUMMYFUNCTION("""COMPUTED_VALUE"""),45503.66666666667)</f>
        <v>45503.66667</v>
      </c>
      <c r="B1107" s="5">
        <f>IFERROR(__xludf.DUMMYFUNCTION("""COMPUTED_VALUE"""),2680.0)</f>
        <v>2680</v>
      </c>
      <c r="C1107" s="5">
        <f>IFERROR(__xludf.DUMMYFUNCTION("""COMPUTED_VALUE"""),2690.0)</f>
        <v>2690</v>
      </c>
      <c r="D1107" s="5">
        <f>IFERROR(__xludf.DUMMYFUNCTION("""COMPUTED_VALUE"""),2640.0)</f>
        <v>2640</v>
      </c>
      <c r="E1107" s="5">
        <f>IFERROR(__xludf.DUMMYFUNCTION("""COMPUTED_VALUE"""),2640.0)</f>
        <v>2640</v>
      </c>
      <c r="F1107" s="5">
        <f>IFERROR(__xludf.DUMMYFUNCTION("""COMPUTED_VALUE"""),7184600.0)</f>
        <v>7184600</v>
      </c>
      <c r="G1107" s="5">
        <f t="shared" si="1"/>
        <v>50</v>
      </c>
    </row>
    <row r="1108">
      <c r="A1108" s="4">
        <f>IFERROR(__xludf.DUMMYFUNCTION("""COMPUTED_VALUE"""),45504.66666666667)</f>
        <v>45504.66667</v>
      </c>
      <c r="B1108" s="5">
        <f>IFERROR(__xludf.DUMMYFUNCTION("""COMPUTED_VALUE"""),2640.0)</f>
        <v>2640</v>
      </c>
      <c r="C1108" s="5">
        <f>IFERROR(__xludf.DUMMYFUNCTION("""COMPUTED_VALUE"""),2680.0)</f>
        <v>2680</v>
      </c>
      <c r="D1108" s="5">
        <f>IFERROR(__xludf.DUMMYFUNCTION("""COMPUTED_VALUE"""),2640.0)</f>
        <v>2640</v>
      </c>
      <c r="E1108" s="5">
        <f>IFERROR(__xludf.DUMMYFUNCTION("""COMPUTED_VALUE"""),2680.0)</f>
        <v>2680</v>
      </c>
      <c r="F1108" s="5">
        <f>IFERROR(__xludf.DUMMYFUNCTION("""COMPUTED_VALUE"""),1.02667E7)</f>
        <v>10266700</v>
      </c>
      <c r="G1108" s="5">
        <f t="shared" si="1"/>
        <v>40</v>
      </c>
    </row>
    <row r="1109">
      <c r="A1109" s="4">
        <f>IFERROR(__xludf.DUMMYFUNCTION("""COMPUTED_VALUE"""),45505.66666666667)</f>
        <v>45505.66667</v>
      </c>
      <c r="B1109" s="5">
        <f>IFERROR(__xludf.DUMMYFUNCTION("""COMPUTED_VALUE"""),2700.0)</f>
        <v>2700</v>
      </c>
      <c r="C1109" s="5">
        <f>IFERROR(__xludf.DUMMYFUNCTION("""COMPUTED_VALUE"""),2700.0)</f>
        <v>2700</v>
      </c>
      <c r="D1109" s="5">
        <f>IFERROR(__xludf.DUMMYFUNCTION("""COMPUTED_VALUE"""),2640.0)</f>
        <v>2640</v>
      </c>
      <c r="E1109" s="5">
        <f>IFERROR(__xludf.DUMMYFUNCTION("""COMPUTED_VALUE"""),2670.0)</f>
        <v>2670</v>
      </c>
      <c r="F1109" s="5">
        <f>IFERROR(__xludf.DUMMYFUNCTION("""COMPUTED_VALUE"""),9702200.0)</f>
        <v>9702200</v>
      </c>
      <c r="G1109" s="5">
        <f t="shared" si="1"/>
        <v>60</v>
      </c>
    </row>
    <row r="1110">
      <c r="A1110" s="4">
        <f>IFERROR(__xludf.DUMMYFUNCTION("""COMPUTED_VALUE"""),45506.66666666667)</f>
        <v>45506.66667</v>
      </c>
      <c r="B1110" s="5">
        <f>IFERROR(__xludf.DUMMYFUNCTION("""COMPUTED_VALUE"""),2670.0)</f>
        <v>2670</v>
      </c>
      <c r="C1110" s="5">
        <f>IFERROR(__xludf.DUMMYFUNCTION("""COMPUTED_VALUE"""),2740.0)</f>
        <v>2740</v>
      </c>
      <c r="D1110" s="5">
        <f>IFERROR(__xludf.DUMMYFUNCTION("""COMPUTED_VALUE"""),2660.0)</f>
        <v>2660</v>
      </c>
      <c r="E1110" s="5">
        <f>IFERROR(__xludf.DUMMYFUNCTION("""COMPUTED_VALUE"""),2720.0)</f>
        <v>2720</v>
      </c>
      <c r="F1110" s="5">
        <f>IFERROR(__xludf.DUMMYFUNCTION("""COMPUTED_VALUE"""),2.28358E7)</f>
        <v>22835800</v>
      </c>
      <c r="G1110" s="5">
        <f t="shared" si="1"/>
        <v>80</v>
      </c>
    </row>
    <row r="1111">
      <c r="A1111" s="4">
        <f>IFERROR(__xludf.DUMMYFUNCTION("""COMPUTED_VALUE"""),45509.66666666667)</f>
        <v>45509.66667</v>
      </c>
      <c r="B1111" s="5">
        <f>IFERROR(__xludf.DUMMYFUNCTION("""COMPUTED_VALUE"""),2710.0)</f>
        <v>2710</v>
      </c>
      <c r="C1111" s="5">
        <f>IFERROR(__xludf.DUMMYFUNCTION("""COMPUTED_VALUE"""),2710.0)</f>
        <v>2710</v>
      </c>
      <c r="D1111" s="5">
        <f>IFERROR(__xludf.DUMMYFUNCTION("""COMPUTED_VALUE"""),2510.0)</f>
        <v>2510</v>
      </c>
      <c r="E1111" s="5">
        <f>IFERROR(__xludf.DUMMYFUNCTION("""COMPUTED_VALUE"""),2560.0)</f>
        <v>2560</v>
      </c>
      <c r="F1111" s="5">
        <f>IFERROR(__xludf.DUMMYFUNCTION("""COMPUTED_VALUE"""),4.85017E7)</f>
        <v>48501700</v>
      </c>
      <c r="G1111" s="5">
        <f t="shared" si="1"/>
        <v>210</v>
      </c>
    </row>
    <row r="1112">
      <c r="A1112" s="4">
        <f>IFERROR(__xludf.DUMMYFUNCTION("""COMPUTED_VALUE"""),45510.66666666667)</f>
        <v>45510.66667</v>
      </c>
      <c r="B1112" s="5">
        <f>IFERROR(__xludf.DUMMYFUNCTION("""COMPUTED_VALUE"""),2600.0)</f>
        <v>2600</v>
      </c>
      <c r="C1112" s="5">
        <f>IFERROR(__xludf.DUMMYFUNCTION("""COMPUTED_VALUE"""),2630.0)</f>
        <v>2630</v>
      </c>
      <c r="D1112" s="5">
        <f>IFERROR(__xludf.DUMMYFUNCTION("""COMPUTED_VALUE"""),2540.0)</f>
        <v>2540</v>
      </c>
      <c r="E1112" s="5">
        <f>IFERROR(__xludf.DUMMYFUNCTION("""COMPUTED_VALUE"""),2590.0)</f>
        <v>2590</v>
      </c>
      <c r="F1112" s="5">
        <f>IFERROR(__xludf.DUMMYFUNCTION("""COMPUTED_VALUE"""),1.91666E7)</f>
        <v>19166600</v>
      </c>
      <c r="G1112" s="5">
        <f t="shared" si="1"/>
        <v>90</v>
      </c>
    </row>
    <row r="1113">
      <c r="A1113" s="4">
        <f>IFERROR(__xludf.DUMMYFUNCTION("""COMPUTED_VALUE"""),45511.66666666667)</f>
        <v>45511.66667</v>
      </c>
      <c r="B1113" s="5">
        <f>IFERROR(__xludf.DUMMYFUNCTION("""COMPUTED_VALUE"""),2600.0)</f>
        <v>2600</v>
      </c>
      <c r="C1113" s="5">
        <f>IFERROR(__xludf.DUMMYFUNCTION("""COMPUTED_VALUE"""),2630.0)</f>
        <v>2630</v>
      </c>
      <c r="D1113" s="5">
        <f>IFERROR(__xludf.DUMMYFUNCTION("""COMPUTED_VALUE"""),2590.0)</f>
        <v>2590</v>
      </c>
      <c r="E1113" s="5">
        <f>IFERROR(__xludf.DUMMYFUNCTION("""COMPUTED_VALUE"""),2610.0)</f>
        <v>2610</v>
      </c>
      <c r="F1113" s="5">
        <f>IFERROR(__xludf.DUMMYFUNCTION("""COMPUTED_VALUE"""),1.0482E7)</f>
        <v>10482000</v>
      </c>
      <c r="G1113" s="5">
        <f t="shared" si="1"/>
        <v>40</v>
      </c>
    </row>
    <row r="1114">
      <c r="A1114" s="4">
        <f>IFERROR(__xludf.DUMMYFUNCTION("""COMPUTED_VALUE"""),45512.66666666667)</f>
        <v>45512.66667</v>
      </c>
      <c r="B1114" s="5">
        <f>IFERROR(__xludf.DUMMYFUNCTION("""COMPUTED_VALUE"""),2610.0)</f>
        <v>2610</v>
      </c>
      <c r="C1114" s="5">
        <f>IFERROR(__xludf.DUMMYFUNCTION("""COMPUTED_VALUE"""),2620.0)</f>
        <v>2620</v>
      </c>
      <c r="D1114" s="5">
        <f>IFERROR(__xludf.DUMMYFUNCTION("""COMPUTED_VALUE"""),2580.0)</f>
        <v>2580</v>
      </c>
      <c r="E1114" s="5">
        <f>IFERROR(__xludf.DUMMYFUNCTION("""COMPUTED_VALUE"""),2590.0)</f>
        <v>2590</v>
      </c>
      <c r="F1114" s="5">
        <f>IFERROR(__xludf.DUMMYFUNCTION("""COMPUTED_VALUE"""),8760900.0)</f>
        <v>8760900</v>
      </c>
      <c r="G1114" s="5">
        <f t="shared" si="1"/>
        <v>40</v>
      </c>
    </row>
    <row r="1115">
      <c r="A1115" s="4">
        <f>IFERROR(__xludf.DUMMYFUNCTION("""COMPUTED_VALUE"""),45513.66666666667)</f>
        <v>45513.66667</v>
      </c>
      <c r="B1115" s="5">
        <f>IFERROR(__xludf.DUMMYFUNCTION("""COMPUTED_VALUE"""),2600.0)</f>
        <v>2600</v>
      </c>
      <c r="C1115" s="5">
        <f>IFERROR(__xludf.DUMMYFUNCTION("""COMPUTED_VALUE"""),2620.0)</f>
        <v>2620</v>
      </c>
      <c r="D1115" s="5">
        <f>IFERROR(__xludf.DUMMYFUNCTION("""COMPUTED_VALUE"""),2580.0)</f>
        <v>2580</v>
      </c>
      <c r="E1115" s="5">
        <f>IFERROR(__xludf.DUMMYFUNCTION("""COMPUTED_VALUE"""),2580.0)</f>
        <v>2580</v>
      </c>
      <c r="F1115" s="5">
        <f>IFERROR(__xludf.DUMMYFUNCTION("""COMPUTED_VALUE"""),7434400.0)</f>
        <v>7434400</v>
      </c>
      <c r="G1115" s="5">
        <f t="shared" si="1"/>
        <v>40</v>
      </c>
    </row>
    <row r="1116">
      <c r="A1116" s="4">
        <f>IFERROR(__xludf.DUMMYFUNCTION("""COMPUTED_VALUE"""),45516.66666666667)</f>
        <v>45516.66667</v>
      </c>
      <c r="B1116" s="5">
        <f>IFERROR(__xludf.DUMMYFUNCTION("""COMPUTED_VALUE"""),2590.0)</f>
        <v>2590</v>
      </c>
      <c r="C1116" s="5">
        <f>IFERROR(__xludf.DUMMYFUNCTION("""COMPUTED_VALUE"""),2650.0)</f>
        <v>2650</v>
      </c>
      <c r="D1116" s="5">
        <f>IFERROR(__xludf.DUMMYFUNCTION("""COMPUTED_VALUE"""),2590.0)</f>
        <v>2590</v>
      </c>
      <c r="E1116" s="5">
        <f>IFERROR(__xludf.DUMMYFUNCTION("""COMPUTED_VALUE"""),2650.0)</f>
        <v>2650</v>
      </c>
      <c r="F1116" s="5">
        <f>IFERROR(__xludf.DUMMYFUNCTION("""COMPUTED_VALUE"""),1.34834E7)</f>
        <v>13483400</v>
      </c>
      <c r="G1116" s="5">
        <f t="shared" si="1"/>
        <v>70</v>
      </c>
    </row>
    <row r="1117">
      <c r="A1117" s="4">
        <f>IFERROR(__xludf.DUMMYFUNCTION("""COMPUTED_VALUE"""),45517.66666666667)</f>
        <v>45517.66667</v>
      </c>
      <c r="B1117" s="5">
        <f>IFERROR(__xludf.DUMMYFUNCTION("""COMPUTED_VALUE"""),2670.0)</f>
        <v>2670</v>
      </c>
      <c r="C1117" s="5">
        <f>IFERROR(__xludf.DUMMYFUNCTION("""COMPUTED_VALUE"""),2680.0)</f>
        <v>2680</v>
      </c>
      <c r="D1117" s="5">
        <f>IFERROR(__xludf.DUMMYFUNCTION("""COMPUTED_VALUE"""),2650.0)</f>
        <v>2650</v>
      </c>
      <c r="E1117" s="5">
        <f>IFERROR(__xludf.DUMMYFUNCTION("""COMPUTED_VALUE"""),2660.0)</f>
        <v>2660</v>
      </c>
      <c r="F1117" s="5">
        <f>IFERROR(__xludf.DUMMYFUNCTION("""COMPUTED_VALUE"""),8739100.0)</f>
        <v>8739100</v>
      </c>
      <c r="G1117" s="5">
        <f t="shared" si="1"/>
        <v>30</v>
      </c>
    </row>
    <row r="1118">
      <c r="A1118" s="4">
        <f>IFERROR(__xludf.DUMMYFUNCTION("""COMPUTED_VALUE"""),45518.66666666667)</f>
        <v>45518.66667</v>
      </c>
      <c r="B1118" s="5">
        <f>IFERROR(__xludf.DUMMYFUNCTION("""COMPUTED_VALUE"""),2660.0)</f>
        <v>2660</v>
      </c>
      <c r="C1118" s="5">
        <f>IFERROR(__xludf.DUMMYFUNCTION("""COMPUTED_VALUE"""),2720.0)</f>
        <v>2720</v>
      </c>
      <c r="D1118" s="5">
        <f>IFERROR(__xludf.DUMMYFUNCTION("""COMPUTED_VALUE"""),2640.0)</f>
        <v>2640</v>
      </c>
      <c r="E1118" s="5">
        <f>IFERROR(__xludf.DUMMYFUNCTION("""COMPUTED_VALUE"""),2720.0)</f>
        <v>2720</v>
      </c>
      <c r="F1118" s="5">
        <f>IFERROR(__xludf.DUMMYFUNCTION("""COMPUTED_VALUE"""),2.20314E7)</f>
        <v>22031400</v>
      </c>
      <c r="G1118" s="5">
        <f t="shared" si="1"/>
        <v>80</v>
      </c>
    </row>
    <row r="1119">
      <c r="A1119" s="4">
        <f>IFERROR(__xludf.DUMMYFUNCTION("""COMPUTED_VALUE"""),45519.66666666667)</f>
        <v>45519.66667</v>
      </c>
      <c r="B1119" s="5">
        <f>IFERROR(__xludf.DUMMYFUNCTION("""COMPUTED_VALUE"""),2720.0)</f>
        <v>2720</v>
      </c>
      <c r="C1119" s="5">
        <f>IFERROR(__xludf.DUMMYFUNCTION("""COMPUTED_VALUE"""),2720.0)</f>
        <v>2720</v>
      </c>
      <c r="D1119" s="5">
        <f>IFERROR(__xludf.DUMMYFUNCTION("""COMPUTED_VALUE"""),2670.0)</f>
        <v>2670</v>
      </c>
      <c r="E1119" s="5">
        <f>IFERROR(__xludf.DUMMYFUNCTION("""COMPUTED_VALUE"""),2700.0)</f>
        <v>2700</v>
      </c>
      <c r="F1119" s="5">
        <f>IFERROR(__xludf.DUMMYFUNCTION("""COMPUTED_VALUE"""),1.94101E7)</f>
        <v>19410100</v>
      </c>
      <c r="G1119" s="5">
        <f t="shared" si="1"/>
        <v>50</v>
      </c>
    </row>
    <row r="1120">
      <c r="A1120" s="4">
        <f>IFERROR(__xludf.DUMMYFUNCTION("""COMPUTED_VALUE"""),45520.66666666667)</f>
        <v>45520.66667</v>
      </c>
      <c r="B1120" s="5">
        <f>IFERROR(__xludf.DUMMYFUNCTION("""COMPUTED_VALUE"""),2720.0)</f>
        <v>2720</v>
      </c>
      <c r="C1120" s="5">
        <f>IFERROR(__xludf.DUMMYFUNCTION("""COMPUTED_VALUE"""),2750.0)</f>
        <v>2750</v>
      </c>
      <c r="D1120" s="5">
        <f>IFERROR(__xludf.DUMMYFUNCTION("""COMPUTED_VALUE"""),2700.0)</f>
        <v>2700</v>
      </c>
      <c r="E1120" s="5">
        <f>IFERROR(__xludf.DUMMYFUNCTION("""COMPUTED_VALUE"""),2730.0)</f>
        <v>2730</v>
      </c>
      <c r="F1120" s="5">
        <f>IFERROR(__xludf.DUMMYFUNCTION("""COMPUTED_VALUE"""),2.5829E7)</f>
        <v>25829000</v>
      </c>
      <c r="G1120" s="5">
        <f t="shared" si="1"/>
        <v>50</v>
      </c>
    </row>
    <row r="1121">
      <c r="A1121" s="4">
        <f>IFERROR(__xludf.DUMMYFUNCTION("""COMPUTED_VALUE"""),45523.66666666667)</f>
        <v>45523.66667</v>
      </c>
      <c r="B1121" s="5">
        <f>IFERROR(__xludf.DUMMYFUNCTION("""COMPUTED_VALUE"""),2730.0)</f>
        <v>2730</v>
      </c>
      <c r="C1121" s="5">
        <f>IFERROR(__xludf.DUMMYFUNCTION("""COMPUTED_VALUE"""),2730.0)</f>
        <v>2730</v>
      </c>
      <c r="D1121" s="5">
        <f>IFERROR(__xludf.DUMMYFUNCTION("""COMPUTED_VALUE"""),2700.0)</f>
        <v>2700</v>
      </c>
      <c r="E1121" s="5">
        <f>IFERROR(__xludf.DUMMYFUNCTION("""COMPUTED_VALUE"""),2710.0)</f>
        <v>2710</v>
      </c>
      <c r="F1121" s="5">
        <f>IFERROR(__xludf.DUMMYFUNCTION("""COMPUTED_VALUE"""),1.11159E7)</f>
        <v>11115900</v>
      </c>
      <c r="G1121" s="5">
        <f t="shared" si="1"/>
        <v>30</v>
      </c>
    </row>
    <row r="1122">
      <c r="A1122" s="4">
        <f>IFERROR(__xludf.DUMMYFUNCTION("""COMPUTED_VALUE"""),45524.66666666667)</f>
        <v>45524.66667</v>
      </c>
      <c r="B1122" s="5">
        <f>IFERROR(__xludf.DUMMYFUNCTION("""COMPUTED_VALUE"""),2720.0)</f>
        <v>2720</v>
      </c>
      <c r="C1122" s="5">
        <f>IFERROR(__xludf.DUMMYFUNCTION("""COMPUTED_VALUE"""),2730.0)</f>
        <v>2730</v>
      </c>
      <c r="D1122" s="5">
        <f>IFERROR(__xludf.DUMMYFUNCTION("""COMPUTED_VALUE"""),2700.0)</f>
        <v>2700</v>
      </c>
      <c r="E1122" s="5">
        <f>IFERROR(__xludf.DUMMYFUNCTION("""COMPUTED_VALUE"""),2720.0)</f>
        <v>2720</v>
      </c>
      <c r="F1122" s="5">
        <f>IFERROR(__xludf.DUMMYFUNCTION("""COMPUTED_VALUE"""),9550300.0)</f>
        <v>9550300</v>
      </c>
      <c r="G1122" s="5">
        <f t="shared" si="1"/>
        <v>30</v>
      </c>
    </row>
    <row r="1123">
      <c r="A1123" s="4">
        <f>IFERROR(__xludf.DUMMYFUNCTION("""COMPUTED_VALUE"""),45525.66666666667)</f>
        <v>45525.66667</v>
      </c>
      <c r="B1123" s="5">
        <f>IFERROR(__xludf.DUMMYFUNCTION("""COMPUTED_VALUE"""),2720.0)</f>
        <v>2720</v>
      </c>
      <c r="C1123" s="5">
        <f>IFERROR(__xludf.DUMMYFUNCTION("""COMPUTED_VALUE"""),2740.0)</f>
        <v>2740</v>
      </c>
      <c r="D1123" s="5">
        <f>IFERROR(__xludf.DUMMYFUNCTION("""COMPUTED_VALUE"""),2710.0)</f>
        <v>2710</v>
      </c>
      <c r="E1123" s="5">
        <f>IFERROR(__xludf.DUMMYFUNCTION("""COMPUTED_VALUE"""),2710.0)</f>
        <v>2710</v>
      </c>
      <c r="F1123" s="5">
        <f>IFERROR(__xludf.DUMMYFUNCTION("""COMPUTED_VALUE"""),1.2353E7)</f>
        <v>12353000</v>
      </c>
      <c r="G1123" s="5">
        <f t="shared" si="1"/>
        <v>30</v>
      </c>
    </row>
    <row r="1124">
      <c r="A1124" s="4">
        <f>IFERROR(__xludf.DUMMYFUNCTION("""COMPUTED_VALUE"""),45526.66666666667)</f>
        <v>45526.66667</v>
      </c>
      <c r="B1124" s="5">
        <f>IFERROR(__xludf.DUMMYFUNCTION("""COMPUTED_VALUE"""),2700.0)</f>
        <v>2700</v>
      </c>
      <c r="C1124" s="5">
        <f>IFERROR(__xludf.DUMMYFUNCTION("""COMPUTED_VALUE"""),2740.0)</f>
        <v>2740</v>
      </c>
      <c r="D1124" s="5">
        <f>IFERROR(__xludf.DUMMYFUNCTION("""COMPUTED_VALUE"""),2670.0)</f>
        <v>2670</v>
      </c>
      <c r="E1124" s="5">
        <f>IFERROR(__xludf.DUMMYFUNCTION("""COMPUTED_VALUE"""),2720.0)</f>
        <v>2720</v>
      </c>
      <c r="F1124" s="5">
        <f>IFERROR(__xludf.DUMMYFUNCTION("""COMPUTED_VALUE"""),1.76287E7)</f>
        <v>17628700</v>
      </c>
      <c r="G1124" s="5">
        <f t="shared" si="1"/>
        <v>70</v>
      </c>
    </row>
    <row r="1125">
      <c r="A1125" s="4">
        <f>IFERROR(__xludf.DUMMYFUNCTION("""COMPUTED_VALUE"""),45527.66666666667)</f>
        <v>45527.66667</v>
      </c>
      <c r="B1125" s="5">
        <f>IFERROR(__xludf.DUMMYFUNCTION("""COMPUTED_VALUE"""),2720.0)</f>
        <v>2720</v>
      </c>
      <c r="C1125" s="5">
        <f>IFERROR(__xludf.DUMMYFUNCTION("""COMPUTED_VALUE"""),2790.0)</f>
        <v>2790</v>
      </c>
      <c r="D1125" s="5">
        <f>IFERROR(__xludf.DUMMYFUNCTION("""COMPUTED_VALUE"""),2720.0)</f>
        <v>2720</v>
      </c>
      <c r="E1125" s="5">
        <f>IFERROR(__xludf.DUMMYFUNCTION("""COMPUTED_VALUE"""),2760.0)</f>
        <v>2760</v>
      </c>
      <c r="F1125" s="5">
        <f>IFERROR(__xludf.DUMMYFUNCTION("""COMPUTED_VALUE"""),2.21799E7)</f>
        <v>22179900</v>
      </c>
      <c r="G1125" s="5">
        <f t="shared" si="1"/>
        <v>70</v>
      </c>
    </row>
    <row r="1126">
      <c r="A1126" s="4">
        <f>IFERROR(__xludf.DUMMYFUNCTION("""COMPUTED_VALUE"""),45530.66666666667)</f>
        <v>45530.66667</v>
      </c>
      <c r="B1126" s="5">
        <f>IFERROR(__xludf.DUMMYFUNCTION("""COMPUTED_VALUE"""),2770.0)</f>
        <v>2770</v>
      </c>
      <c r="C1126" s="5">
        <f>IFERROR(__xludf.DUMMYFUNCTION("""COMPUTED_VALUE"""),2790.0)</f>
        <v>2790</v>
      </c>
      <c r="D1126" s="5">
        <f>IFERROR(__xludf.DUMMYFUNCTION("""COMPUTED_VALUE"""),2760.0)</f>
        <v>2760</v>
      </c>
      <c r="E1126" s="5">
        <f>IFERROR(__xludf.DUMMYFUNCTION("""COMPUTED_VALUE"""),2770.0)</f>
        <v>2770</v>
      </c>
      <c r="F1126" s="5">
        <f>IFERROR(__xludf.DUMMYFUNCTION("""COMPUTED_VALUE"""),1.22277E7)</f>
        <v>12227700</v>
      </c>
      <c r="G1126" s="5">
        <f t="shared" si="1"/>
        <v>30</v>
      </c>
    </row>
    <row r="1127">
      <c r="A1127" s="4">
        <f>IFERROR(__xludf.DUMMYFUNCTION("""COMPUTED_VALUE"""),45531.66666666667)</f>
        <v>45531.66667</v>
      </c>
      <c r="B1127" s="5">
        <f>IFERROR(__xludf.DUMMYFUNCTION("""COMPUTED_VALUE"""),2780.0)</f>
        <v>2780</v>
      </c>
      <c r="C1127" s="5">
        <f>IFERROR(__xludf.DUMMYFUNCTION("""COMPUTED_VALUE"""),2820.0)</f>
        <v>2820</v>
      </c>
      <c r="D1127" s="5">
        <f>IFERROR(__xludf.DUMMYFUNCTION("""COMPUTED_VALUE"""),2760.0)</f>
        <v>2760</v>
      </c>
      <c r="E1127" s="5">
        <f>IFERROR(__xludf.DUMMYFUNCTION("""COMPUTED_VALUE"""),2780.0)</f>
        <v>2780</v>
      </c>
      <c r="F1127" s="5">
        <f>IFERROR(__xludf.DUMMYFUNCTION("""COMPUTED_VALUE"""),1.67906E7)</f>
        <v>16790600</v>
      </c>
      <c r="G1127" s="5">
        <f t="shared" si="1"/>
        <v>60</v>
      </c>
    </row>
    <row r="1128">
      <c r="A1128" s="4">
        <f>IFERROR(__xludf.DUMMYFUNCTION("""COMPUTED_VALUE"""),45532.66666666667)</f>
        <v>45532.66667</v>
      </c>
      <c r="B1128" s="5">
        <f>IFERROR(__xludf.DUMMYFUNCTION("""COMPUTED_VALUE"""),2790.0)</f>
        <v>2790</v>
      </c>
      <c r="C1128" s="5">
        <f>IFERROR(__xludf.DUMMYFUNCTION("""COMPUTED_VALUE"""),2800.0)</f>
        <v>2800</v>
      </c>
      <c r="D1128" s="5">
        <f>IFERROR(__xludf.DUMMYFUNCTION("""COMPUTED_VALUE"""),2770.0)</f>
        <v>2770</v>
      </c>
      <c r="E1128" s="5">
        <f>IFERROR(__xludf.DUMMYFUNCTION("""COMPUTED_VALUE"""),2780.0)</f>
        <v>2780</v>
      </c>
      <c r="F1128" s="5">
        <f>IFERROR(__xludf.DUMMYFUNCTION("""COMPUTED_VALUE"""),1.07442E7)</f>
        <v>10744200</v>
      </c>
      <c r="G1128" s="5">
        <f t="shared" si="1"/>
        <v>30</v>
      </c>
    </row>
    <row r="1129">
      <c r="A1129" s="4">
        <f>IFERROR(__xludf.DUMMYFUNCTION("""COMPUTED_VALUE"""),45533.66666666667)</f>
        <v>45533.66667</v>
      </c>
      <c r="B1129" s="5">
        <f>IFERROR(__xludf.DUMMYFUNCTION("""COMPUTED_VALUE"""),2780.0)</f>
        <v>2780</v>
      </c>
      <c r="C1129" s="5">
        <f>IFERROR(__xludf.DUMMYFUNCTION("""COMPUTED_VALUE"""),2810.0)</f>
        <v>2810</v>
      </c>
      <c r="D1129" s="5">
        <f>IFERROR(__xludf.DUMMYFUNCTION("""COMPUTED_VALUE"""),2760.0)</f>
        <v>2760</v>
      </c>
      <c r="E1129" s="5">
        <f>IFERROR(__xludf.DUMMYFUNCTION("""COMPUTED_VALUE"""),2780.0)</f>
        <v>2780</v>
      </c>
      <c r="F1129" s="5">
        <f>IFERROR(__xludf.DUMMYFUNCTION("""COMPUTED_VALUE"""),1.50323E7)</f>
        <v>15032300</v>
      </c>
      <c r="G1129" s="5">
        <f t="shared" si="1"/>
        <v>50</v>
      </c>
    </row>
    <row r="1130">
      <c r="A1130" s="4">
        <f>IFERROR(__xludf.DUMMYFUNCTION("""COMPUTED_VALUE"""),45534.66666666667)</f>
        <v>45534.66667</v>
      </c>
      <c r="B1130" s="5">
        <f>IFERROR(__xludf.DUMMYFUNCTION("""COMPUTED_VALUE"""),2780.0)</f>
        <v>2780</v>
      </c>
      <c r="C1130" s="5">
        <f>IFERROR(__xludf.DUMMYFUNCTION("""COMPUTED_VALUE"""),2780.0)</f>
        <v>2780</v>
      </c>
      <c r="D1130" s="5">
        <f>IFERROR(__xludf.DUMMYFUNCTION("""COMPUTED_VALUE"""),2730.0)</f>
        <v>2730</v>
      </c>
      <c r="E1130" s="5">
        <f>IFERROR(__xludf.DUMMYFUNCTION("""COMPUTED_VALUE"""),2730.0)</f>
        <v>2730</v>
      </c>
      <c r="F1130" s="5">
        <f>IFERROR(__xludf.DUMMYFUNCTION("""COMPUTED_VALUE"""),2.14592E7)</f>
        <v>21459200</v>
      </c>
      <c r="G1130" s="5">
        <f t="shared" si="1"/>
        <v>50</v>
      </c>
    </row>
    <row r="1131">
      <c r="A1131" s="4">
        <f>IFERROR(__xludf.DUMMYFUNCTION("""COMPUTED_VALUE"""),45537.66666666667)</f>
        <v>45537.66667</v>
      </c>
      <c r="B1131" s="5">
        <f>IFERROR(__xludf.DUMMYFUNCTION("""COMPUTED_VALUE"""),2740.0)</f>
        <v>2740</v>
      </c>
      <c r="C1131" s="5">
        <f>IFERROR(__xludf.DUMMYFUNCTION("""COMPUTED_VALUE"""),2820.0)</f>
        <v>2820</v>
      </c>
      <c r="D1131" s="5">
        <f>IFERROR(__xludf.DUMMYFUNCTION("""COMPUTED_VALUE"""),2730.0)</f>
        <v>2730</v>
      </c>
      <c r="E1131" s="5">
        <f>IFERROR(__xludf.DUMMYFUNCTION("""COMPUTED_VALUE"""),2820.0)</f>
        <v>2820</v>
      </c>
      <c r="F1131" s="5">
        <f>IFERROR(__xludf.DUMMYFUNCTION("""COMPUTED_VALUE"""),3.06656E7)</f>
        <v>30665600</v>
      </c>
      <c r="G1131" s="5">
        <f t="shared" si="1"/>
        <v>90</v>
      </c>
    </row>
    <row r="1132">
      <c r="A1132" s="4">
        <f>IFERROR(__xludf.DUMMYFUNCTION("""COMPUTED_VALUE"""),45538.66666666667)</f>
        <v>45538.66667</v>
      </c>
      <c r="B1132" s="5">
        <f>IFERROR(__xludf.DUMMYFUNCTION("""COMPUTED_VALUE"""),2820.0)</f>
        <v>2820</v>
      </c>
      <c r="C1132" s="5">
        <f>IFERROR(__xludf.DUMMYFUNCTION("""COMPUTED_VALUE"""),2850.0)</f>
        <v>2850</v>
      </c>
      <c r="D1132" s="5">
        <f>IFERROR(__xludf.DUMMYFUNCTION("""COMPUTED_VALUE"""),2790.0)</f>
        <v>2790</v>
      </c>
      <c r="E1132" s="5">
        <f>IFERROR(__xludf.DUMMYFUNCTION("""COMPUTED_VALUE"""),2800.0)</f>
        <v>2800</v>
      </c>
      <c r="F1132" s="5">
        <f>IFERROR(__xludf.DUMMYFUNCTION("""COMPUTED_VALUE"""),1.49537E7)</f>
        <v>14953700</v>
      </c>
      <c r="G1132" s="5">
        <f t="shared" si="1"/>
        <v>60</v>
      </c>
    </row>
    <row r="1133">
      <c r="A1133" s="4">
        <f>IFERROR(__xludf.DUMMYFUNCTION("""COMPUTED_VALUE"""),45539.66666666667)</f>
        <v>45539.66667</v>
      </c>
      <c r="B1133" s="5">
        <f>IFERROR(__xludf.DUMMYFUNCTION("""COMPUTED_VALUE"""),2770.0)</f>
        <v>2770</v>
      </c>
      <c r="C1133" s="5">
        <f>IFERROR(__xludf.DUMMYFUNCTION("""COMPUTED_VALUE"""),2810.0)</f>
        <v>2810</v>
      </c>
      <c r="D1133" s="5">
        <f>IFERROR(__xludf.DUMMYFUNCTION("""COMPUTED_VALUE"""),2740.0)</f>
        <v>2740</v>
      </c>
      <c r="E1133" s="5">
        <f>IFERROR(__xludf.DUMMYFUNCTION("""COMPUTED_VALUE"""),2760.0)</f>
        <v>2760</v>
      </c>
      <c r="F1133" s="5">
        <f>IFERROR(__xludf.DUMMYFUNCTION("""COMPUTED_VALUE"""),1.47673E7)</f>
        <v>14767300</v>
      </c>
      <c r="G1133" s="5">
        <f t="shared" si="1"/>
        <v>70</v>
      </c>
    </row>
    <row r="1134">
      <c r="A1134" s="4">
        <f>IFERROR(__xludf.DUMMYFUNCTION("""COMPUTED_VALUE"""),45540.66666666667)</f>
        <v>45540.66667</v>
      </c>
      <c r="B1134" s="5">
        <f>IFERROR(__xludf.DUMMYFUNCTION("""COMPUTED_VALUE"""),2760.0)</f>
        <v>2760</v>
      </c>
      <c r="C1134" s="5">
        <f>IFERROR(__xludf.DUMMYFUNCTION("""COMPUTED_VALUE"""),2780.0)</f>
        <v>2780</v>
      </c>
      <c r="D1134" s="5">
        <f>IFERROR(__xludf.DUMMYFUNCTION("""COMPUTED_VALUE"""),2710.0)</f>
        <v>2710</v>
      </c>
      <c r="E1134" s="5">
        <f>IFERROR(__xludf.DUMMYFUNCTION("""COMPUTED_VALUE"""),2750.0)</f>
        <v>2750</v>
      </c>
      <c r="F1134" s="5">
        <f>IFERROR(__xludf.DUMMYFUNCTION("""COMPUTED_VALUE"""),1.46142E7)</f>
        <v>14614200</v>
      </c>
      <c r="G1134" s="5">
        <f t="shared" si="1"/>
        <v>70</v>
      </c>
    </row>
    <row r="1135">
      <c r="A1135" s="4">
        <f>IFERROR(__xludf.DUMMYFUNCTION("""COMPUTED_VALUE"""),45541.66666666667)</f>
        <v>45541.66667</v>
      </c>
      <c r="B1135" s="5">
        <f>IFERROR(__xludf.DUMMYFUNCTION("""COMPUTED_VALUE"""),2750.0)</f>
        <v>2750</v>
      </c>
      <c r="C1135" s="5">
        <f>IFERROR(__xludf.DUMMYFUNCTION("""COMPUTED_VALUE"""),2750.0)</f>
        <v>2750</v>
      </c>
      <c r="D1135" s="5">
        <f>IFERROR(__xludf.DUMMYFUNCTION("""COMPUTED_VALUE"""),2710.0)</f>
        <v>2710</v>
      </c>
      <c r="E1135" s="5">
        <f>IFERROR(__xludf.DUMMYFUNCTION("""COMPUTED_VALUE"""),2710.0)</f>
        <v>2710</v>
      </c>
      <c r="F1135" s="5">
        <f>IFERROR(__xludf.DUMMYFUNCTION("""COMPUTED_VALUE"""),1.38164E7)</f>
        <v>13816400</v>
      </c>
      <c r="G1135" s="5">
        <f t="shared" si="1"/>
        <v>40</v>
      </c>
    </row>
    <row r="1136">
      <c r="A1136" s="4">
        <f>IFERROR(__xludf.DUMMYFUNCTION("""COMPUTED_VALUE"""),45544.66666666667)</f>
        <v>45544.66667</v>
      </c>
      <c r="B1136" s="5">
        <f>IFERROR(__xludf.DUMMYFUNCTION("""COMPUTED_VALUE"""),2720.0)</f>
        <v>2720</v>
      </c>
      <c r="C1136" s="5">
        <f>IFERROR(__xludf.DUMMYFUNCTION("""COMPUTED_VALUE"""),2730.0)</f>
        <v>2730</v>
      </c>
      <c r="D1136" s="5">
        <f>IFERROR(__xludf.DUMMYFUNCTION("""COMPUTED_VALUE"""),2650.0)</f>
        <v>2650</v>
      </c>
      <c r="E1136" s="5">
        <f>IFERROR(__xludf.DUMMYFUNCTION("""COMPUTED_VALUE"""),2680.0)</f>
        <v>2680</v>
      </c>
      <c r="F1136" s="5">
        <f>IFERROR(__xludf.DUMMYFUNCTION("""COMPUTED_VALUE"""),2.26016E7)</f>
        <v>22601600</v>
      </c>
      <c r="G1136" s="5">
        <f t="shared" si="1"/>
        <v>80</v>
      </c>
    </row>
    <row r="1137">
      <c r="A1137" s="4">
        <f>IFERROR(__xludf.DUMMYFUNCTION("""COMPUTED_VALUE"""),45545.66666666667)</f>
        <v>45545.66667</v>
      </c>
      <c r="B1137" s="5">
        <f>IFERROR(__xludf.DUMMYFUNCTION("""COMPUTED_VALUE"""),2690.0)</f>
        <v>2690</v>
      </c>
      <c r="C1137" s="5">
        <f>IFERROR(__xludf.DUMMYFUNCTION("""COMPUTED_VALUE"""),2710.0)</f>
        <v>2710</v>
      </c>
      <c r="D1137" s="5">
        <f>IFERROR(__xludf.DUMMYFUNCTION("""COMPUTED_VALUE"""),2650.0)</f>
        <v>2650</v>
      </c>
      <c r="E1137" s="5">
        <f>IFERROR(__xludf.DUMMYFUNCTION("""COMPUTED_VALUE"""),2670.0)</f>
        <v>2670</v>
      </c>
      <c r="F1137" s="5">
        <f>IFERROR(__xludf.DUMMYFUNCTION("""COMPUTED_VALUE"""),1.70355E7)</f>
        <v>17035500</v>
      </c>
      <c r="G1137" s="5">
        <f t="shared" si="1"/>
        <v>60</v>
      </c>
    </row>
    <row r="1138">
      <c r="A1138" s="4">
        <f>IFERROR(__xludf.DUMMYFUNCTION("""COMPUTED_VALUE"""),45546.66666666667)</f>
        <v>45546.66667</v>
      </c>
      <c r="B1138" s="5">
        <f>IFERROR(__xludf.DUMMYFUNCTION("""COMPUTED_VALUE"""),2650.0)</f>
        <v>2650</v>
      </c>
      <c r="C1138" s="5">
        <f>IFERROR(__xludf.DUMMYFUNCTION("""COMPUTED_VALUE"""),2690.0)</f>
        <v>2690</v>
      </c>
      <c r="D1138" s="5">
        <f>IFERROR(__xludf.DUMMYFUNCTION("""COMPUTED_VALUE"""),2650.0)</f>
        <v>2650</v>
      </c>
      <c r="E1138" s="5">
        <f>IFERROR(__xludf.DUMMYFUNCTION("""COMPUTED_VALUE"""),2660.0)</f>
        <v>2660</v>
      </c>
      <c r="F1138" s="5">
        <f>IFERROR(__xludf.DUMMYFUNCTION("""COMPUTED_VALUE"""),9549300.0)</f>
        <v>9549300</v>
      </c>
      <c r="G1138" s="5">
        <f t="shared" si="1"/>
        <v>40</v>
      </c>
    </row>
    <row r="1139">
      <c r="A1139" s="4">
        <f>IFERROR(__xludf.DUMMYFUNCTION("""COMPUTED_VALUE"""),45547.66666666667)</f>
        <v>45547.66667</v>
      </c>
      <c r="B1139" s="5">
        <f>IFERROR(__xludf.DUMMYFUNCTION("""COMPUTED_VALUE"""),2690.0)</f>
        <v>2690</v>
      </c>
      <c r="C1139" s="5">
        <f>IFERROR(__xludf.DUMMYFUNCTION("""COMPUTED_VALUE"""),2750.0)</f>
        <v>2750</v>
      </c>
      <c r="D1139" s="5">
        <f>IFERROR(__xludf.DUMMYFUNCTION("""COMPUTED_VALUE"""),2690.0)</f>
        <v>2690</v>
      </c>
      <c r="E1139" s="5">
        <f>IFERROR(__xludf.DUMMYFUNCTION("""COMPUTED_VALUE"""),2720.0)</f>
        <v>2720</v>
      </c>
      <c r="F1139" s="5">
        <f>IFERROR(__xludf.DUMMYFUNCTION("""COMPUTED_VALUE"""),2.08966E7)</f>
        <v>20896600</v>
      </c>
      <c r="G1139" s="5">
        <f t="shared" si="1"/>
        <v>90</v>
      </c>
    </row>
    <row r="1140">
      <c r="A1140" s="4">
        <f>IFERROR(__xludf.DUMMYFUNCTION("""COMPUTED_VALUE"""),45548.66666666667)</f>
        <v>45548.66667</v>
      </c>
      <c r="B1140" s="5">
        <f>IFERROR(__xludf.DUMMYFUNCTION("""COMPUTED_VALUE"""),2720.0)</f>
        <v>2720</v>
      </c>
      <c r="C1140" s="5">
        <f>IFERROR(__xludf.DUMMYFUNCTION("""COMPUTED_VALUE"""),2740.0)</f>
        <v>2740</v>
      </c>
      <c r="D1140" s="5">
        <f>IFERROR(__xludf.DUMMYFUNCTION("""COMPUTED_VALUE"""),2700.0)</f>
        <v>2700</v>
      </c>
      <c r="E1140" s="5">
        <f>IFERROR(__xludf.DUMMYFUNCTION("""COMPUTED_VALUE"""),2730.0)</f>
        <v>2730</v>
      </c>
      <c r="F1140" s="5">
        <f>IFERROR(__xludf.DUMMYFUNCTION("""COMPUTED_VALUE"""),1.09969E7)</f>
        <v>10996900</v>
      </c>
      <c r="G1140" s="5">
        <f t="shared" si="1"/>
        <v>40</v>
      </c>
    </row>
    <row r="1141">
      <c r="A1141" s="4">
        <f>IFERROR(__xludf.DUMMYFUNCTION("""COMPUTED_VALUE"""),45552.66666666667)</f>
        <v>45552.66667</v>
      </c>
      <c r="B1141" s="5">
        <f>IFERROR(__xludf.DUMMYFUNCTION("""COMPUTED_VALUE"""),2730.0)</f>
        <v>2730</v>
      </c>
      <c r="C1141" s="5">
        <f>IFERROR(__xludf.DUMMYFUNCTION("""COMPUTED_VALUE"""),2820.0)</f>
        <v>2820</v>
      </c>
      <c r="D1141" s="5">
        <f>IFERROR(__xludf.DUMMYFUNCTION("""COMPUTED_VALUE"""),2710.0)</f>
        <v>2710</v>
      </c>
      <c r="E1141" s="5">
        <f>IFERROR(__xludf.DUMMYFUNCTION("""COMPUTED_VALUE"""),2800.0)</f>
        <v>2800</v>
      </c>
      <c r="F1141" s="5">
        <f>IFERROR(__xludf.DUMMYFUNCTION("""COMPUTED_VALUE"""),3.28285E7)</f>
        <v>32828500</v>
      </c>
      <c r="G1141" s="5">
        <f t="shared" si="1"/>
        <v>110</v>
      </c>
    </row>
    <row r="1142">
      <c r="A1142" s="4">
        <f>IFERROR(__xludf.DUMMYFUNCTION("""COMPUTED_VALUE"""),45553.66666666667)</f>
        <v>45553.66667</v>
      </c>
      <c r="B1142" s="5">
        <f>IFERROR(__xludf.DUMMYFUNCTION("""COMPUTED_VALUE"""),2810.0)</f>
        <v>2810</v>
      </c>
      <c r="C1142" s="5">
        <f>IFERROR(__xludf.DUMMYFUNCTION("""COMPUTED_VALUE"""),2820.0)</f>
        <v>2820</v>
      </c>
      <c r="D1142" s="5">
        <f>IFERROR(__xludf.DUMMYFUNCTION("""COMPUTED_VALUE"""),2780.0)</f>
        <v>2780</v>
      </c>
      <c r="E1142" s="5">
        <f>IFERROR(__xludf.DUMMYFUNCTION("""COMPUTED_VALUE"""),2780.0)</f>
        <v>2780</v>
      </c>
      <c r="F1142" s="5">
        <f>IFERROR(__xludf.DUMMYFUNCTION("""COMPUTED_VALUE"""),9166700.0)</f>
        <v>9166700</v>
      </c>
      <c r="G1142" s="5">
        <f t="shared" si="1"/>
        <v>40</v>
      </c>
    </row>
    <row r="1143">
      <c r="A1143" s="4">
        <f>IFERROR(__xludf.DUMMYFUNCTION("""COMPUTED_VALUE"""),45554.66666666667)</f>
        <v>45554.66667</v>
      </c>
      <c r="B1143" s="5">
        <f>IFERROR(__xludf.DUMMYFUNCTION("""COMPUTED_VALUE"""),2780.0)</f>
        <v>2780</v>
      </c>
      <c r="C1143" s="5">
        <f>IFERROR(__xludf.DUMMYFUNCTION("""COMPUTED_VALUE"""),2800.0)</f>
        <v>2800</v>
      </c>
      <c r="D1143" s="5">
        <f>IFERROR(__xludf.DUMMYFUNCTION("""COMPUTED_VALUE"""),2760.0)</f>
        <v>2760</v>
      </c>
      <c r="E1143" s="5">
        <f>IFERROR(__xludf.DUMMYFUNCTION("""COMPUTED_VALUE"""),2780.0)</f>
        <v>2780</v>
      </c>
      <c r="F1143" s="5">
        <f>IFERROR(__xludf.DUMMYFUNCTION("""COMPUTED_VALUE"""),1.00197E7)</f>
        <v>10019700</v>
      </c>
      <c r="G1143" s="5">
        <f t="shared" si="1"/>
        <v>40</v>
      </c>
    </row>
    <row r="1144">
      <c r="A1144" s="4">
        <f>IFERROR(__xludf.DUMMYFUNCTION("""COMPUTED_VALUE"""),45555.66666666667)</f>
        <v>45555.66667</v>
      </c>
      <c r="B1144" s="5">
        <f>IFERROR(__xludf.DUMMYFUNCTION("""COMPUTED_VALUE"""),2790.0)</f>
        <v>2790</v>
      </c>
      <c r="C1144" s="5">
        <f>IFERROR(__xludf.DUMMYFUNCTION("""COMPUTED_VALUE"""),2950.0)</f>
        <v>2950</v>
      </c>
      <c r="D1144" s="5">
        <f>IFERROR(__xludf.DUMMYFUNCTION("""COMPUTED_VALUE"""),2760.0)</f>
        <v>2760</v>
      </c>
      <c r="E1144" s="5">
        <f>IFERROR(__xludf.DUMMYFUNCTION("""COMPUTED_VALUE"""),2950.0)</f>
        <v>2950</v>
      </c>
      <c r="F1144" s="5">
        <f>IFERROR(__xludf.DUMMYFUNCTION("""COMPUTED_VALUE"""),8.5703E7)</f>
        <v>85703000</v>
      </c>
      <c r="G1144" s="5">
        <f t="shared" si="1"/>
        <v>190</v>
      </c>
    </row>
    <row r="1145">
      <c r="A1145" s="4">
        <f>IFERROR(__xludf.DUMMYFUNCTION("""COMPUTED_VALUE"""),45558.66666666667)</f>
        <v>45558.66667</v>
      </c>
      <c r="B1145" s="5">
        <f>IFERROR(__xludf.DUMMYFUNCTION("""COMPUTED_VALUE"""),2950.0)</f>
        <v>2950</v>
      </c>
      <c r="C1145" s="5">
        <f>IFERROR(__xludf.DUMMYFUNCTION("""COMPUTED_VALUE"""),3130.0)</f>
        <v>3130</v>
      </c>
      <c r="D1145" s="5">
        <f>IFERROR(__xludf.DUMMYFUNCTION("""COMPUTED_VALUE"""),2930.0)</f>
        <v>2930</v>
      </c>
      <c r="E1145" s="5">
        <f>IFERROR(__xludf.DUMMYFUNCTION("""COMPUTED_VALUE"""),3120.0)</f>
        <v>3120</v>
      </c>
      <c r="F1145" s="5">
        <f>IFERROR(__xludf.DUMMYFUNCTION("""COMPUTED_VALUE"""),1.279934E8)</f>
        <v>127993400</v>
      </c>
      <c r="G1145" s="5">
        <f t="shared" si="1"/>
        <v>200</v>
      </c>
    </row>
    <row r="1146">
      <c r="A1146" s="4">
        <f>IFERROR(__xludf.DUMMYFUNCTION("""COMPUTED_VALUE"""),45559.66666666667)</f>
        <v>45559.66667</v>
      </c>
      <c r="B1146" s="5">
        <f>IFERROR(__xludf.DUMMYFUNCTION("""COMPUTED_VALUE"""),3120.0)</f>
        <v>3120</v>
      </c>
      <c r="C1146" s="5">
        <f>IFERROR(__xludf.DUMMYFUNCTION("""COMPUTED_VALUE"""),3140.0)</f>
        <v>3140</v>
      </c>
      <c r="D1146" s="5">
        <f>IFERROR(__xludf.DUMMYFUNCTION("""COMPUTED_VALUE"""),3060.0)</f>
        <v>3060</v>
      </c>
      <c r="E1146" s="5">
        <f>IFERROR(__xludf.DUMMYFUNCTION("""COMPUTED_VALUE"""),3100.0)</f>
        <v>3100</v>
      </c>
      <c r="F1146" s="5">
        <f>IFERROR(__xludf.DUMMYFUNCTION("""COMPUTED_VALUE"""),4.29005E7)</f>
        <v>42900500</v>
      </c>
      <c r="G1146" s="5">
        <f t="shared" si="1"/>
        <v>80</v>
      </c>
    </row>
    <row r="1147">
      <c r="A1147" s="4">
        <f>IFERROR(__xludf.DUMMYFUNCTION("""COMPUTED_VALUE"""),45560.66666666667)</f>
        <v>45560.66667</v>
      </c>
      <c r="B1147" s="5">
        <f>IFERROR(__xludf.DUMMYFUNCTION("""COMPUTED_VALUE"""),3120.0)</f>
        <v>3120</v>
      </c>
      <c r="C1147" s="5">
        <f>IFERROR(__xludf.DUMMYFUNCTION("""COMPUTED_VALUE"""),3160.0)</f>
        <v>3160</v>
      </c>
      <c r="D1147" s="5">
        <f>IFERROR(__xludf.DUMMYFUNCTION("""COMPUTED_VALUE"""),3040.0)</f>
        <v>3040</v>
      </c>
      <c r="E1147" s="5">
        <f>IFERROR(__xludf.DUMMYFUNCTION("""COMPUTED_VALUE"""),3080.0)</f>
        <v>3080</v>
      </c>
      <c r="F1147" s="5">
        <f>IFERROR(__xludf.DUMMYFUNCTION("""COMPUTED_VALUE"""),4.16026E7)</f>
        <v>41602600</v>
      </c>
      <c r="G1147" s="5">
        <f t="shared" si="1"/>
        <v>120</v>
      </c>
    </row>
    <row r="1148">
      <c r="A1148" s="4">
        <f>IFERROR(__xludf.DUMMYFUNCTION("""COMPUTED_VALUE"""),45561.66666666667)</f>
        <v>45561.66667</v>
      </c>
      <c r="B1148" s="5">
        <f>IFERROR(__xludf.DUMMYFUNCTION("""COMPUTED_VALUE"""),3100.0)</f>
        <v>3100</v>
      </c>
      <c r="C1148" s="5">
        <f>IFERROR(__xludf.DUMMYFUNCTION("""COMPUTED_VALUE"""),3120.0)</f>
        <v>3120</v>
      </c>
      <c r="D1148" s="5">
        <f>IFERROR(__xludf.DUMMYFUNCTION("""COMPUTED_VALUE"""),3070.0)</f>
        <v>3070</v>
      </c>
      <c r="E1148" s="5">
        <f>IFERROR(__xludf.DUMMYFUNCTION("""COMPUTED_VALUE"""),3110.0)</f>
        <v>3110</v>
      </c>
      <c r="F1148" s="5">
        <f>IFERROR(__xludf.DUMMYFUNCTION("""COMPUTED_VALUE"""),3.00745E7)</f>
        <v>30074500</v>
      </c>
      <c r="G1148" s="5">
        <f t="shared" si="1"/>
        <v>50</v>
      </c>
    </row>
    <row r="1149">
      <c r="A1149" s="4">
        <f>IFERROR(__xludf.DUMMYFUNCTION("""COMPUTED_VALUE"""),45562.66666666667)</f>
        <v>45562.66667</v>
      </c>
      <c r="B1149" s="5">
        <f>IFERROR(__xludf.DUMMYFUNCTION("""COMPUTED_VALUE"""),3110.0)</f>
        <v>3110</v>
      </c>
      <c r="C1149" s="5">
        <f>IFERROR(__xludf.DUMMYFUNCTION("""COMPUTED_VALUE"""),3140.0)</f>
        <v>3140</v>
      </c>
      <c r="D1149" s="5">
        <f>IFERROR(__xludf.DUMMYFUNCTION("""COMPUTED_VALUE"""),3040.0)</f>
        <v>3040</v>
      </c>
      <c r="E1149" s="5">
        <f>IFERROR(__xludf.DUMMYFUNCTION("""COMPUTED_VALUE"""),3140.0)</f>
        <v>3140</v>
      </c>
      <c r="F1149" s="5">
        <f>IFERROR(__xludf.DUMMYFUNCTION("""COMPUTED_VALUE"""),4.31173E7)</f>
        <v>43117300</v>
      </c>
      <c r="G1149" s="5">
        <f t="shared" si="1"/>
        <v>100</v>
      </c>
    </row>
    <row r="1150">
      <c r="A1150" s="4">
        <f>IFERROR(__xludf.DUMMYFUNCTION("""COMPUTED_VALUE"""),45565.66666666667)</f>
        <v>45565.66667</v>
      </c>
      <c r="B1150" s="5">
        <f>IFERROR(__xludf.DUMMYFUNCTION("""COMPUTED_VALUE"""),3150.0)</f>
        <v>3150</v>
      </c>
      <c r="C1150" s="5">
        <f>IFERROR(__xludf.DUMMYFUNCTION("""COMPUTED_VALUE"""),3180.0)</f>
        <v>3180</v>
      </c>
      <c r="D1150" s="5">
        <f>IFERROR(__xludf.DUMMYFUNCTION("""COMPUTED_VALUE"""),3070.0)</f>
        <v>3070</v>
      </c>
      <c r="E1150" s="5">
        <f>IFERROR(__xludf.DUMMYFUNCTION("""COMPUTED_VALUE"""),3080.0)</f>
        <v>3080</v>
      </c>
      <c r="F1150" s="5">
        <f>IFERROR(__xludf.DUMMYFUNCTION("""COMPUTED_VALUE"""),3.74137E7)</f>
        <v>37413700</v>
      </c>
      <c r="G1150" s="5">
        <f t="shared" si="1"/>
        <v>110</v>
      </c>
    </row>
    <row r="1151">
      <c r="A1151" s="4">
        <f>IFERROR(__xludf.DUMMYFUNCTION("""COMPUTED_VALUE"""),45566.66666666667)</f>
        <v>45566.66667</v>
      </c>
      <c r="B1151" s="5">
        <f>IFERROR(__xludf.DUMMYFUNCTION("""COMPUTED_VALUE"""),3080.0)</f>
        <v>3080</v>
      </c>
      <c r="C1151" s="5">
        <f>IFERROR(__xludf.DUMMYFUNCTION("""COMPUTED_VALUE"""),3120.0)</f>
        <v>3120</v>
      </c>
      <c r="D1151" s="5">
        <f>IFERROR(__xludf.DUMMYFUNCTION("""COMPUTED_VALUE"""),2990.0)</f>
        <v>2990</v>
      </c>
      <c r="E1151" s="5">
        <f>IFERROR(__xludf.DUMMYFUNCTION("""COMPUTED_VALUE"""),3070.0)</f>
        <v>3070</v>
      </c>
      <c r="F1151" s="5">
        <f>IFERROR(__xludf.DUMMYFUNCTION("""COMPUTED_VALUE"""),5.58145E7)</f>
        <v>55814500</v>
      </c>
      <c r="G1151" s="5">
        <f t="shared" si="1"/>
        <v>130</v>
      </c>
    </row>
    <row r="1152">
      <c r="A1152" s="4">
        <f>IFERROR(__xludf.DUMMYFUNCTION("""COMPUTED_VALUE"""),45567.66666666667)</f>
        <v>45567.66667</v>
      </c>
      <c r="B1152" s="5">
        <f>IFERROR(__xludf.DUMMYFUNCTION("""COMPUTED_VALUE"""),3070.0)</f>
        <v>3070</v>
      </c>
      <c r="C1152" s="5">
        <f>IFERROR(__xludf.DUMMYFUNCTION("""COMPUTED_VALUE"""),3080.0)</f>
        <v>3080</v>
      </c>
      <c r="D1152" s="5">
        <f>IFERROR(__xludf.DUMMYFUNCTION("""COMPUTED_VALUE"""),3010.0)</f>
        <v>3010</v>
      </c>
      <c r="E1152" s="5">
        <f>IFERROR(__xludf.DUMMYFUNCTION("""COMPUTED_VALUE"""),3050.0)</f>
        <v>3050</v>
      </c>
      <c r="F1152" s="5">
        <f>IFERROR(__xludf.DUMMYFUNCTION("""COMPUTED_VALUE"""),2.32545E7)</f>
        <v>23254500</v>
      </c>
      <c r="G1152" s="5">
        <f t="shared" si="1"/>
        <v>70</v>
      </c>
    </row>
    <row r="1153">
      <c r="A1153" s="4">
        <f>IFERROR(__xludf.DUMMYFUNCTION("""COMPUTED_VALUE"""),45568.66666666667)</f>
        <v>45568.66667</v>
      </c>
      <c r="B1153" s="5">
        <f>IFERROR(__xludf.DUMMYFUNCTION("""COMPUTED_VALUE"""),3050.0)</f>
        <v>3050</v>
      </c>
      <c r="C1153" s="5">
        <f>IFERROR(__xludf.DUMMYFUNCTION("""COMPUTED_VALUE"""),3080.0)</f>
        <v>3080</v>
      </c>
      <c r="D1153" s="5">
        <f>IFERROR(__xludf.DUMMYFUNCTION("""COMPUTED_VALUE"""),3030.0)</f>
        <v>3030</v>
      </c>
      <c r="E1153" s="5">
        <f>IFERROR(__xludf.DUMMYFUNCTION("""COMPUTED_VALUE"""),3060.0)</f>
        <v>3060</v>
      </c>
      <c r="F1153" s="5">
        <f>IFERROR(__xludf.DUMMYFUNCTION("""COMPUTED_VALUE"""),1.81925E7)</f>
        <v>18192500</v>
      </c>
      <c r="G1153" s="5">
        <f t="shared" si="1"/>
        <v>50</v>
      </c>
    </row>
    <row r="1154">
      <c r="A1154" s="4">
        <f>IFERROR(__xludf.DUMMYFUNCTION("""COMPUTED_VALUE"""),45569.66666666667)</f>
        <v>45569.66667</v>
      </c>
      <c r="B1154" s="5">
        <f>IFERROR(__xludf.DUMMYFUNCTION("""COMPUTED_VALUE"""),3060.0)</f>
        <v>3060</v>
      </c>
      <c r="C1154" s="5">
        <f>IFERROR(__xludf.DUMMYFUNCTION("""COMPUTED_VALUE"""),3100.0)</f>
        <v>3100</v>
      </c>
      <c r="D1154" s="5">
        <f>IFERROR(__xludf.DUMMYFUNCTION("""COMPUTED_VALUE"""),2990.0)</f>
        <v>2990</v>
      </c>
      <c r="E1154" s="5">
        <f>IFERROR(__xludf.DUMMYFUNCTION("""COMPUTED_VALUE"""),2990.0)</f>
        <v>2990</v>
      </c>
      <c r="F1154" s="5">
        <f>IFERROR(__xludf.DUMMYFUNCTION("""COMPUTED_VALUE"""),2.70428E7)</f>
        <v>27042800</v>
      </c>
      <c r="G1154" s="5">
        <f t="shared" si="1"/>
        <v>110</v>
      </c>
    </row>
    <row r="1155">
      <c r="A1155" s="4">
        <f>IFERROR(__xludf.DUMMYFUNCTION("""COMPUTED_VALUE"""),45572.66666666667)</f>
        <v>45572.66667</v>
      </c>
      <c r="B1155" s="5">
        <f>IFERROR(__xludf.DUMMYFUNCTION("""COMPUTED_VALUE"""),3060.0)</f>
        <v>3060</v>
      </c>
      <c r="C1155" s="5">
        <f>IFERROR(__xludf.DUMMYFUNCTION("""COMPUTED_VALUE"""),3140.0)</f>
        <v>3140</v>
      </c>
      <c r="D1155" s="5">
        <f>IFERROR(__xludf.DUMMYFUNCTION("""COMPUTED_VALUE"""),3060.0)</f>
        <v>3060</v>
      </c>
      <c r="E1155" s="5">
        <f>IFERROR(__xludf.DUMMYFUNCTION("""COMPUTED_VALUE"""),3100.0)</f>
        <v>3100</v>
      </c>
      <c r="F1155" s="5">
        <f>IFERROR(__xludf.DUMMYFUNCTION("""COMPUTED_VALUE"""),3.17748E7)</f>
        <v>31774800</v>
      </c>
      <c r="G1155" s="5">
        <f t="shared" si="1"/>
        <v>150</v>
      </c>
    </row>
    <row r="1156">
      <c r="A1156" s="4">
        <f>IFERROR(__xludf.DUMMYFUNCTION("""COMPUTED_VALUE"""),45573.66666666667)</f>
        <v>45573.66667</v>
      </c>
      <c r="B1156" s="5">
        <f>IFERROR(__xludf.DUMMYFUNCTION("""COMPUTED_VALUE"""),3110.0)</f>
        <v>3110</v>
      </c>
      <c r="C1156" s="5">
        <f>IFERROR(__xludf.DUMMYFUNCTION("""COMPUTED_VALUE"""),3120.0)</f>
        <v>3120</v>
      </c>
      <c r="D1156" s="5">
        <f>IFERROR(__xludf.DUMMYFUNCTION("""COMPUTED_VALUE"""),3060.0)</f>
        <v>3060</v>
      </c>
      <c r="E1156" s="5">
        <f>IFERROR(__xludf.DUMMYFUNCTION("""COMPUTED_VALUE"""),3080.0)</f>
        <v>3080</v>
      </c>
      <c r="F1156" s="5">
        <f>IFERROR(__xludf.DUMMYFUNCTION("""COMPUTED_VALUE"""),2.12669E7)</f>
        <v>21266900</v>
      </c>
      <c r="G1156" s="5">
        <f t="shared" si="1"/>
        <v>60</v>
      </c>
    </row>
    <row r="1157">
      <c r="A1157" s="4">
        <f>IFERROR(__xludf.DUMMYFUNCTION("""COMPUTED_VALUE"""),45574.66666666667)</f>
        <v>45574.66667</v>
      </c>
      <c r="B1157" s="5">
        <f>IFERROR(__xludf.DUMMYFUNCTION("""COMPUTED_VALUE"""),3080.0)</f>
        <v>3080</v>
      </c>
      <c r="C1157" s="5">
        <f>IFERROR(__xludf.DUMMYFUNCTION("""COMPUTED_VALUE"""),3080.0)</f>
        <v>3080</v>
      </c>
      <c r="D1157" s="5">
        <f>IFERROR(__xludf.DUMMYFUNCTION("""COMPUTED_VALUE"""),3020.0)</f>
        <v>3020</v>
      </c>
      <c r="E1157" s="5">
        <f>IFERROR(__xludf.DUMMYFUNCTION("""COMPUTED_VALUE"""),3050.0)</f>
        <v>3050</v>
      </c>
      <c r="F1157" s="5">
        <f>IFERROR(__xludf.DUMMYFUNCTION("""COMPUTED_VALUE"""),1.44049E7)</f>
        <v>14404900</v>
      </c>
      <c r="G1157" s="5">
        <f t="shared" si="1"/>
        <v>60</v>
      </c>
    </row>
    <row r="1158">
      <c r="A1158" s="4">
        <f>IFERROR(__xludf.DUMMYFUNCTION("""COMPUTED_VALUE"""),45575.66666666667)</f>
        <v>45575.66667</v>
      </c>
      <c r="B1158" s="5">
        <f>IFERROR(__xludf.DUMMYFUNCTION("""COMPUTED_VALUE"""),3050.0)</f>
        <v>3050</v>
      </c>
      <c r="C1158" s="5">
        <f>IFERROR(__xludf.DUMMYFUNCTION("""COMPUTED_VALUE"""),3070.0)</f>
        <v>3070</v>
      </c>
      <c r="D1158" s="5">
        <f>IFERROR(__xludf.DUMMYFUNCTION("""COMPUTED_VALUE"""),3020.0)</f>
        <v>3020</v>
      </c>
      <c r="E1158" s="5">
        <f>IFERROR(__xludf.DUMMYFUNCTION("""COMPUTED_VALUE"""),3020.0)</f>
        <v>3020</v>
      </c>
      <c r="F1158" s="5">
        <f>IFERROR(__xludf.DUMMYFUNCTION("""COMPUTED_VALUE"""),1.5849E7)</f>
        <v>15849000</v>
      </c>
      <c r="G1158" s="5">
        <f t="shared" si="1"/>
        <v>50</v>
      </c>
    </row>
    <row r="1159">
      <c r="A1159" s="4">
        <f>IFERROR(__xludf.DUMMYFUNCTION("""COMPUTED_VALUE"""),45576.66666666667)</f>
        <v>45576.66667</v>
      </c>
      <c r="B1159" s="5">
        <f>IFERROR(__xludf.DUMMYFUNCTION("""COMPUTED_VALUE"""),3050.0)</f>
        <v>3050</v>
      </c>
      <c r="C1159" s="5">
        <f>IFERROR(__xludf.DUMMYFUNCTION("""COMPUTED_VALUE"""),3060.0)</f>
        <v>3060</v>
      </c>
      <c r="D1159" s="5">
        <f>IFERROR(__xludf.DUMMYFUNCTION("""COMPUTED_VALUE"""),3020.0)</f>
        <v>3020</v>
      </c>
      <c r="E1159" s="5">
        <f>IFERROR(__xludf.DUMMYFUNCTION("""COMPUTED_VALUE"""),3030.0)</f>
        <v>3030</v>
      </c>
      <c r="F1159" s="5">
        <f>IFERROR(__xludf.DUMMYFUNCTION("""COMPUTED_VALUE"""),1.00163E7)</f>
        <v>10016300</v>
      </c>
      <c r="G1159" s="5">
        <f t="shared" si="1"/>
        <v>40</v>
      </c>
    </row>
    <row r="1160">
      <c r="A1160" s="4">
        <f>IFERROR(__xludf.DUMMYFUNCTION("""COMPUTED_VALUE"""),45579.66666666667)</f>
        <v>45579.66667</v>
      </c>
      <c r="B1160" s="5">
        <f>IFERROR(__xludf.DUMMYFUNCTION("""COMPUTED_VALUE"""),3040.0)</f>
        <v>3040</v>
      </c>
      <c r="C1160" s="5">
        <f>IFERROR(__xludf.DUMMYFUNCTION("""COMPUTED_VALUE"""),3120.0)</f>
        <v>3120</v>
      </c>
      <c r="D1160" s="5">
        <f>IFERROR(__xludf.DUMMYFUNCTION("""COMPUTED_VALUE"""),3030.0)</f>
        <v>3030</v>
      </c>
      <c r="E1160" s="5">
        <f>IFERROR(__xludf.DUMMYFUNCTION("""COMPUTED_VALUE"""),3100.0)</f>
        <v>3100</v>
      </c>
      <c r="F1160" s="5">
        <f>IFERROR(__xludf.DUMMYFUNCTION("""COMPUTED_VALUE"""),3.04551E7)</f>
        <v>30455100</v>
      </c>
      <c r="G1160" s="5">
        <f t="shared" si="1"/>
        <v>90</v>
      </c>
    </row>
    <row r="1161">
      <c r="A1161" s="4">
        <f>IFERROR(__xludf.DUMMYFUNCTION("""COMPUTED_VALUE"""),45580.66666666667)</f>
        <v>45580.66667</v>
      </c>
      <c r="B1161" s="5">
        <f>IFERROR(__xludf.DUMMYFUNCTION("""COMPUTED_VALUE"""),3100.0)</f>
        <v>3100</v>
      </c>
      <c r="C1161" s="5">
        <f>IFERROR(__xludf.DUMMYFUNCTION("""COMPUTED_VALUE"""),3140.0)</f>
        <v>3140</v>
      </c>
      <c r="D1161" s="5">
        <f>IFERROR(__xludf.DUMMYFUNCTION("""COMPUTED_VALUE"""),3080.0)</f>
        <v>3080</v>
      </c>
      <c r="E1161" s="5">
        <f>IFERROR(__xludf.DUMMYFUNCTION("""COMPUTED_VALUE"""),3100.0)</f>
        <v>3100</v>
      </c>
      <c r="F1161" s="5">
        <f>IFERROR(__xludf.DUMMYFUNCTION("""COMPUTED_VALUE"""),2.4711E7)</f>
        <v>24711000</v>
      </c>
      <c r="G1161" s="5">
        <f t="shared" si="1"/>
        <v>60</v>
      </c>
    </row>
    <row r="1162">
      <c r="A1162" s="4">
        <f>IFERROR(__xludf.DUMMYFUNCTION("""COMPUTED_VALUE"""),45581.66666666667)</f>
        <v>45581.66667</v>
      </c>
      <c r="B1162" s="5">
        <f>IFERROR(__xludf.DUMMYFUNCTION("""COMPUTED_VALUE"""),3120.0)</f>
        <v>3120</v>
      </c>
      <c r="C1162" s="5">
        <f>IFERROR(__xludf.DUMMYFUNCTION("""COMPUTED_VALUE"""),3120.0)</f>
        <v>3120</v>
      </c>
      <c r="D1162" s="5">
        <f>IFERROR(__xludf.DUMMYFUNCTION("""COMPUTED_VALUE"""),3050.0)</f>
        <v>3050</v>
      </c>
      <c r="E1162" s="5">
        <f>IFERROR(__xludf.DUMMYFUNCTION("""COMPUTED_VALUE"""),3080.0)</f>
        <v>3080</v>
      </c>
      <c r="F1162" s="5">
        <f>IFERROR(__xludf.DUMMYFUNCTION("""COMPUTED_VALUE"""),2.19074E7)</f>
        <v>21907400</v>
      </c>
      <c r="G1162" s="5">
        <f t="shared" si="1"/>
        <v>70</v>
      </c>
    </row>
    <row r="1163">
      <c r="A1163" s="4">
        <f>IFERROR(__xludf.DUMMYFUNCTION("""COMPUTED_VALUE"""),45582.66666666667)</f>
        <v>45582.66667</v>
      </c>
      <c r="B1163" s="5">
        <f>IFERROR(__xludf.DUMMYFUNCTION("""COMPUTED_VALUE"""),3080.0)</f>
        <v>3080</v>
      </c>
      <c r="C1163" s="5">
        <f>IFERROR(__xludf.DUMMYFUNCTION("""COMPUTED_VALUE"""),3090.0)</f>
        <v>3090</v>
      </c>
      <c r="D1163" s="5">
        <f>IFERROR(__xludf.DUMMYFUNCTION("""COMPUTED_VALUE"""),3060.0)</f>
        <v>3060</v>
      </c>
      <c r="E1163" s="5">
        <f>IFERROR(__xludf.DUMMYFUNCTION("""COMPUTED_VALUE"""),3060.0)</f>
        <v>3060</v>
      </c>
      <c r="F1163" s="5">
        <f>IFERROR(__xludf.DUMMYFUNCTION("""COMPUTED_VALUE"""),1.23489E7)</f>
        <v>12348900</v>
      </c>
      <c r="G1163" s="5">
        <f t="shared" si="1"/>
        <v>30</v>
      </c>
    </row>
    <row r="1164">
      <c r="A1164" s="4">
        <f>IFERROR(__xludf.DUMMYFUNCTION("""COMPUTED_VALUE"""),45583.66666666667)</f>
        <v>45583.66667</v>
      </c>
      <c r="B1164" s="5">
        <f>IFERROR(__xludf.DUMMYFUNCTION("""COMPUTED_VALUE"""),3070.0)</f>
        <v>3070</v>
      </c>
      <c r="C1164" s="5">
        <f>IFERROR(__xludf.DUMMYFUNCTION("""COMPUTED_VALUE"""),3080.0)</f>
        <v>3080</v>
      </c>
      <c r="D1164" s="5">
        <f>IFERROR(__xludf.DUMMYFUNCTION("""COMPUTED_VALUE"""),3030.0)</f>
        <v>3030</v>
      </c>
      <c r="E1164" s="5">
        <f>IFERROR(__xludf.DUMMYFUNCTION("""COMPUTED_VALUE"""),3050.0)</f>
        <v>3050</v>
      </c>
      <c r="F1164" s="5">
        <f>IFERROR(__xludf.DUMMYFUNCTION("""COMPUTED_VALUE"""),1.22618E7)</f>
        <v>12261800</v>
      </c>
      <c r="G1164" s="5">
        <f t="shared" si="1"/>
        <v>50</v>
      </c>
    </row>
    <row r="1165">
      <c r="A1165" s="4">
        <f>IFERROR(__xludf.DUMMYFUNCTION("""COMPUTED_VALUE"""),45586.66666666667)</f>
        <v>45586.66667</v>
      </c>
      <c r="B1165" s="5">
        <f>IFERROR(__xludf.DUMMYFUNCTION("""COMPUTED_VALUE"""),3050.0)</f>
        <v>3050</v>
      </c>
      <c r="C1165" s="5">
        <f>IFERROR(__xludf.DUMMYFUNCTION("""COMPUTED_VALUE"""),3050.0)</f>
        <v>3050</v>
      </c>
      <c r="D1165" s="5">
        <f>IFERROR(__xludf.DUMMYFUNCTION("""COMPUTED_VALUE"""),3010.0)</f>
        <v>3010</v>
      </c>
      <c r="E1165" s="5">
        <f>IFERROR(__xludf.DUMMYFUNCTION("""COMPUTED_VALUE"""),3020.0)</f>
        <v>3020</v>
      </c>
      <c r="F1165" s="5">
        <f>IFERROR(__xludf.DUMMYFUNCTION("""COMPUTED_VALUE"""),1.51969E7)</f>
        <v>15196900</v>
      </c>
      <c r="G1165" s="5">
        <f t="shared" si="1"/>
        <v>40</v>
      </c>
    </row>
    <row r="1166">
      <c r="A1166" s="4">
        <f>IFERROR(__xludf.DUMMYFUNCTION("""COMPUTED_VALUE"""),45587.66666666667)</f>
        <v>45587.66667</v>
      </c>
      <c r="B1166" s="5">
        <f>IFERROR(__xludf.DUMMYFUNCTION("""COMPUTED_VALUE"""),3020.0)</f>
        <v>3020</v>
      </c>
      <c r="C1166" s="5">
        <f>IFERROR(__xludf.DUMMYFUNCTION("""COMPUTED_VALUE"""),3050.0)</f>
        <v>3050</v>
      </c>
      <c r="D1166" s="5">
        <f>IFERROR(__xludf.DUMMYFUNCTION("""COMPUTED_VALUE"""),3020.0)</f>
        <v>3020</v>
      </c>
      <c r="E1166" s="5">
        <f>IFERROR(__xludf.DUMMYFUNCTION("""COMPUTED_VALUE"""),3040.0)</f>
        <v>3040</v>
      </c>
      <c r="F1166" s="5">
        <f>IFERROR(__xludf.DUMMYFUNCTION("""COMPUTED_VALUE"""),7584100.0)</f>
        <v>7584100</v>
      </c>
      <c r="G1166" s="5">
        <f t="shared" si="1"/>
        <v>30</v>
      </c>
    </row>
    <row r="1167">
      <c r="A1167" s="4">
        <f>IFERROR(__xludf.DUMMYFUNCTION("""COMPUTED_VALUE"""),45588.66666666667)</f>
        <v>45588.66667</v>
      </c>
      <c r="B1167" s="5">
        <f>IFERROR(__xludf.DUMMYFUNCTION("""COMPUTED_VALUE"""),3040.0)</f>
        <v>3040</v>
      </c>
      <c r="C1167" s="5">
        <f>IFERROR(__xludf.DUMMYFUNCTION("""COMPUTED_VALUE"""),3050.0)</f>
        <v>3050</v>
      </c>
      <c r="D1167" s="5">
        <f>IFERROR(__xludf.DUMMYFUNCTION("""COMPUTED_VALUE"""),2950.0)</f>
        <v>2950</v>
      </c>
      <c r="E1167" s="5">
        <f>IFERROR(__xludf.DUMMYFUNCTION("""COMPUTED_VALUE"""),2950.0)</f>
        <v>2950</v>
      </c>
      <c r="F1167" s="5">
        <f>IFERROR(__xludf.DUMMYFUNCTION("""COMPUTED_VALUE"""),2.90926E7)</f>
        <v>29092600</v>
      </c>
      <c r="G1167" s="5">
        <f t="shared" si="1"/>
        <v>100</v>
      </c>
    </row>
    <row r="1168">
      <c r="A1168" s="4">
        <f>IFERROR(__xludf.DUMMYFUNCTION("""COMPUTED_VALUE"""),45589.66666666667)</f>
        <v>45589.66667</v>
      </c>
      <c r="B1168" s="5">
        <f>IFERROR(__xludf.DUMMYFUNCTION("""COMPUTED_VALUE"""),2950.0)</f>
        <v>2950</v>
      </c>
      <c r="C1168" s="5">
        <f>IFERROR(__xludf.DUMMYFUNCTION("""COMPUTED_VALUE"""),2970.0)</f>
        <v>2970</v>
      </c>
      <c r="D1168" s="5">
        <f>IFERROR(__xludf.DUMMYFUNCTION("""COMPUTED_VALUE"""),2920.0)</f>
        <v>2920</v>
      </c>
      <c r="E1168" s="5">
        <f>IFERROR(__xludf.DUMMYFUNCTION("""COMPUTED_VALUE"""),2920.0)</f>
        <v>2920</v>
      </c>
      <c r="F1168" s="5">
        <f>IFERROR(__xludf.DUMMYFUNCTION("""COMPUTED_VALUE"""),1.39219E7)</f>
        <v>13921900</v>
      </c>
      <c r="G1168" s="5">
        <f t="shared" si="1"/>
        <v>50</v>
      </c>
    </row>
    <row r="1169">
      <c r="A1169" s="4">
        <f>IFERROR(__xludf.DUMMYFUNCTION("""COMPUTED_VALUE"""),45590.66666666667)</f>
        <v>45590.66667</v>
      </c>
      <c r="B1169" s="5">
        <f>IFERROR(__xludf.DUMMYFUNCTION("""COMPUTED_VALUE"""),2920.0)</f>
        <v>2920</v>
      </c>
      <c r="C1169" s="5">
        <f>IFERROR(__xludf.DUMMYFUNCTION("""COMPUTED_VALUE"""),2940.0)</f>
        <v>2940</v>
      </c>
      <c r="D1169" s="5">
        <f>IFERROR(__xludf.DUMMYFUNCTION("""COMPUTED_VALUE"""),2870.0)</f>
        <v>2870</v>
      </c>
      <c r="E1169" s="5">
        <f>IFERROR(__xludf.DUMMYFUNCTION("""COMPUTED_VALUE"""),2880.0)</f>
        <v>2880</v>
      </c>
      <c r="F1169" s="5">
        <f>IFERROR(__xludf.DUMMYFUNCTION("""COMPUTED_VALUE"""),1.73728E7)</f>
        <v>17372800</v>
      </c>
      <c r="G1169" s="5">
        <f t="shared" si="1"/>
        <v>70</v>
      </c>
    </row>
    <row r="1170">
      <c r="A1170" s="4">
        <f>IFERROR(__xludf.DUMMYFUNCTION("""COMPUTED_VALUE"""),45593.66666666667)</f>
        <v>45593.66667</v>
      </c>
      <c r="B1170" s="5">
        <f>IFERROR(__xludf.DUMMYFUNCTION("""COMPUTED_VALUE"""),2880.0)</f>
        <v>2880</v>
      </c>
      <c r="C1170" s="5">
        <f>IFERROR(__xludf.DUMMYFUNCTION("""COMPUTED_VALUE"""),2910.0)</f>
        <v>2910</v>
      </c>
      <c r="D1170" s="5">
        <f>IFERROR(__xludf.DUMMYFUNCTION("""COMPUTED_VALUE"""),2840.0)</f>
        <v>2840</v>
      </c>
      <c r="E1170" s="5">
        <f>IFERROR(__xludf.DUMMYFUNCTION("""COMPUTED_VALUE"""),2870.0)</f>
        <v>2870</v>
      </c>
      <c r="F1170" s="5">
        <f>IFERROR(__xludf.DUMMYFUNCTION("""COMPUTED_VALUE"""),1.65002E7)</f>
        <v>16500200</v>
      </c>
      <c r="G1170" s="5">
        <f t="shared" si="1"/>
        <v>70</v>
      </c>
    </row>
    <row r="1171">
      <c r="A1171" s="4">
        <f>IFERROR(__xludf.DUMMYFUNCTION("""COMPUTED_VALUE"""),45594.66666666667)</f>
        <v>45594.66667</v>
      </c>
      <c r="B1171" s="5">
        <f>IFERROR(__xludf.DUMMYFUNCTION("""COMPUTED_VALUE"""),2850.0)</f>
        <v>2850</v>
      </c>
      <c r="C1171" s="5">
        <f>IFERROR(__xludf.DUMMYFUNCTION("""COMPUTED_VALUE"""),2870.0)</f>
        <v>2870</v>
      </c>
      <c r="D1171" s="5">
        <f>IFERROR(__xludf.DUMMYFUNCTION("""COMPUTED_VALUE"""),2830.0)</f>
        <v>2830</v>
      </c>
      <c r="E1171" s="5">
        <f>IFERROR(__xludf.DUMMYFUNCTION("""COMPUTED_VALUE"""),2850.0)</f>
        <v>2850</v>
      </c>
      <c r="F1171" s="5">
        <f>IFERROR(__xludf.DUMMYFUNCTION("""COMPUTED_VALUE"""),9846900.0)</f>
        <v>9846900</v>
      </c>
      <c r="G1171" s="5">
        <f t="shared" si="1"/>
        <v>40</v>
      </c>
    </row>
    <row r="1172">
      <c r="A1172" s="4">
        <f>IFERROR(__xludf.DUMMYFUNCTION("""COMPUTED_VALUE"""),45595.66666666667)</f>
        <v>45595.66667</v>
      </c>
      <c r="B1172" s="5">
        <f>IFERROR(__xludf.DUMMYFUNCTION("""COMPUTED_VALUE"""),2850.0)</f>
        <v>2850</v>
      </c>
      <c r="C1172" s="5">
        <f>IFERROR(__xludf.DUMMYFUNCTION("""COMPUTED_VALUE"""),2880.0)</f>
        <v>2880</v>
      </c>
      <c r="D1172" s="5">
        <f>IFERROR(__xludf.DUMMYFUNCTION("""COMPUTED_VALUE"""),2800.0)</f>
        <v>2800</v>
      </c>
      <c r="E1172" s="5">
        <f>IFERROR(__xludf.DUMMYFUNCTION("""COMPUTED_VALUE"""),2840.0)</f>
        <v>2840</v>
      </c>
      <c r="F1172" s="5">
        <f>IFERROR(__xludf.DUMMYFUNCTION("""COMPUTED_VALUE"""),1.71224E7)</f>
        <v>17122400</v>
      </c>
      <c r="G1172" s="5">
        <f t="shared" si="1"/>
        <v>80</v>
      </c>
    </row>
    <row r="1173">
      <c r="A1173" s="4">
        <f>IFERROR(__xludf.DUMMYFUNCTION("""COMPUTED_VALUE"""),45596.66666666667)</f>
        <v>45596.66667</v>
      </c>
      <c r="B1173" s="5">
        <f>IFERROR(__xludf.DUMMYFUNCTION("""COMPUTED_VALUE"""),2850.0)</f>
        <v>2850</v>
      </c>
      <c r="C1173" s="5">
        <f>IFERROR(__xludf.DUMMYFUNCTION("""COMPUTED_VALUE"""),2960.0)</f>
        <v>2960</v>
      </c>
      <c r="D1173" s="5">
        <f>IFERROR(__xludf.DUMMYFUNCTION("""COMPUTED_VALUE"""),2840.0)</f>
        <v>2840</v>
      </c>
      <c r="E1173" s="5">
        <f>IFERROR(__xludf.DUMMYFUNCTION("""COMPUTED_VALUE"""),2960.0)</f>
        <v>2960</v>
      </c>
      <c r="F1173" s="5">
        <f>IFERROR(__xludf.DUMMYFUNCTION("""COMPUTED_VALUE"""),2.28041E7)</f>
        <v>22804100</v>
      </c>
      <c r="G1173" s="5">
        <f t="shared" si="1"/>
        <v>120</v>
      </c>
    </row>
    <row r="1174">
      <c r="A1174" s="4">
        <f>IFERROR(__xludf.DUMMYFUNCTION("""COMPUTED_VALUE"""),45597.66666666667)</f>
        <v>45597.66667</v>
      </c>
      <c r="B1174" s="5">
        <f>IFERROR(__xludf.DUMMYFUNCTION("""COMPUTED_VALUE"""),2950.0)</f>
        <v>2950</v>
      </c>
      <c r="C1174" s="5">
        <f>IFERROR(__xludf.DUMMYFUNCTION("""COMPUTED_VALUE"""),2950.0)</f>
        <v>2950</v>
      </c>
      <c r="D1174" s="5">
        <f>IFERROR(__xludf.DUMMYFUNCTION("""COMPUTED_VALUE"""),2880.0)</f>
        <v>2880</v>
      </c>
      <c r="E1174" s="5">
        <f>IFERROR(__xludf.DUMMYFUNCTION("""COMPUTED_VALUE"""),2920.0)</f>
        <v>2920</v>
      </c>
      <c r="F1174" s="5">
        <f>IFERROR(__xludf.DUMMYFUNCTION("""COMPUTED_VALUE"""),1.42654E7)</f>
        <v>14265400</v>
      </c>
      <c r="G1174" s="5">
        <f t="shared" si="1"/>
        <v>80</v>
      </c>
    </row>
    <row r="1175">
      <c r="A1175" s="4">
        <f>IFERROR(__xludf.DUMMYFUNCTION("""COMPUTED_VALUE"""),45600.66666666667)</f>
        <v>45600.66667</v>
      </c>
      <c r="B1175" s="5">
        <f>IFERROR(__xludf.DUMMYFUNCTION("""COMPUTED_VALUE"""),2920.0)</f>
        <v>2920</v>
      </c>
      <c r="C1175" s="5">
        <f>IFERROR(__xludf.DUMMYFUNCTION("""COMPUTED_VALUE"""),2920.0)</f>
        <v>2920</v>
      </c>
      <c r="D1175" s="5">
        <f>IFERROR(__xludf.DUMMYFUNCTION("""COMPUTED_VALUE"""),2850.0)</f>
        <v>2850</v>
      </c>
      <c r="E1175" s="5">
        <f>IFERROR(__xludf.DUMMYFUNCTION("""COMPUTED_VALUE"""),2870.0)</f>
        <v>2870</v>
      </c>
      <c r="F1175" s="5">
        <f>IFERROR(__xludf.DUMMYFUNCTION("""COMPUTED_VALUE"""),9847800.0)</f>
        <v>9847800</v>
      </c>
      <c r="G1175" s="5">
        <f t="shared" si="1"/>
        <v>70</v>
      </c>
    </row>
    <row r="1176">
      <c r="A1176" s="4">
        <f>IFERROR(__xludf.DUMMYFUNCTION("""COMPUTED_VALUE"""),45601.66666666667)</f>
        <v>45601.66667</v>
      </c>
      <c r="B1176" s="5">
        <f>IFERROR(__xludf.DUMMYFUNCTION("""COMPUTED_VALUE"""),2880.0)</f>
        <v>2880</v>
      </c>
      <c r="C1176" s="5">
        <f>IFERROR(__xludf.DUMMYFUNCTION("""COMPUTED_VALUE"""),2920.0)</f>
        <v>2920</v>
      </c>
      <c r="D1176" s="5">
        <f>IFERROR(__xludf.DUMMYFUNCTION("""COMPUTED_VALUE"""),2860.0)</f>
        <v>2860</v>
      </c>
      <c r="E1176" s="5">
        <f>IFERROR(__xludf.DUMMYFUNCTION("""COMPUTED_VALUE"""),2890.0)</f>
        <v>2890</v>
      </c>
      <c r="F1176" s="5">
        <f>IFERROR(__xludf.DUMMYFUNCTION("""COMPUTED_VALUE"""),1.33937E7)</f>
        <v>13393700</v>
      </c>
      <c r="G1176" s="5">
        <f t="shared" si="1"/>
        <v>60</v>
      </c>
    </row>
    <row r="1177">
      <c r="A1177" s="4">
        <f>IFERROR(__xludf.DUMMYFUNCTION("""COMPUTED_VALUE"""),45602.66666666667)</f>
        <v>45602.66667</v>
      </c>
      <c r="B1177" s="5">
        <f>IFERROR(__xludf.DUMMYFUNCTION("""COMPUTED_VALUE"""),2900.0)</f>
        <v>2900</v>
      </c>
      <c r="C1177" s="5">
        <f>IFERROR(__xludf.DUMMYFUNCTION("""COMPUTED_VALUE"""),2900.0)</f>
        <v>2900</v>
      </c>
      <c r="D1177" s="5">
        <f>IFERROR(__xludf.DUMMYFUNCTION("""COMPUTED_VALUE"""),2840.0)</f>
        <v>2840</v>
      </c>
      <c r="E1177" s="5">
        <f>IFERROR(__xludf.DUMMYFUNCTION("""COMPUTED_VALUE"""),2860.0)</f>
        <v>2860</v>
      </c>
      <c r="F1177" s="5">
        <f>IFERROR(__xludf.DUMMYFUNCTION("""COMPUTED_VALUE"""),9440000.0)</f>
        <v>9440000</v>
      </c>
      <c r="G1177" s="5">
        <f t="shared" si="1"/>
        <v>60</v>
      </c>
    </row>
    <row r="1178">
      <c r="A1178" s="4">
        <f>IFERROR(__xludf.DUMMYFUNCTION("""COMPUTED_VALUE"""),45603.66666666667)</f>
        <v>45603.66667</v>
      </c>
      <c r="B1178" s="5">
        <f>IFERROR(__xludf.DUMMYFUNCTION("""COMPUTED_VALUE"""),2860.0)</f>
        <v>2860</v>
      </c>
      <c r="C1178" s="5">
        <f>IFERROR(__xludf.DUMMYFUNCTION("""COMPUTED_VALUE"""),2860.0)</f>
        <v>2860</v>
      </c>
      <c r="D1178" s="5">
        <f>IFERROR(__xludf.DUMMYFUNCTION("""COMPUTED_VALUE"""),2810.0)</f>
        <v>2810</v>
      </c>
      <c r="E1178" s="5">
        <f>IFERROR(__xludf.DUMMYFUNCTION("""COMPUTED_VALUE"""),2830.0)</f>
        <v>2830</v>
      </c>
      <c r="F1178" s="5">
        <f>IFERROR(__xludf.DUMMYFUNCTION("""COMPUTED_VALUE"""),9943500.0)</f>
        <v>9943500</v>
      </c>
      <c r="G1178" s="5">
        <f t="shared" si="1"/>
        <v>50</v>
      </c>
    </row>
    <row r="1179">
      <c r="A1179" s="4">
        <f>IFERROR(__xludf.DUMMYFUNCTION("""COMPUTED_VALUE"""),45604.66666666667)</f>
        <v>45604.66667</v>
      </c>
      <c r="B1179" s="5">
        <f>IFERROR(__xludf.DUMMYFUNCTION("""COMPUTED_VALUE"""),2830.0)</f>
        <v>2830</v>
      </c>
      <c r="C1179" s="5">
        <f>IFERROR(__xludf.DUMMYFUNCTION("""COMPUTED_VALUE"""),2840.0)</f>
        <v>2840</v>
      </c>
      <c r="D1179" s="5">
        <f>IFERROR(__xludf.DUMMYFUNCTION("""COMPUTED_VALUE"""),2800.0)</f>
        <v>2800</v>
      </c>
      <c r="E1179" s="5">
        <f>IFERROR(__xludf.DUMMYFUNCTION("""COMPUTED_VALUE"""),2800.0)</f>
        <v>2800</v>
      </c>
      <c r="F1179" s="5">
        <f>IFERROR(__xludf.DUMMYFUNCTION("""COMPUTED_VALUE"""),9178900.0)</f>
        <v>9178900</v>
      </c>
      <c r="G1179" s="5">
        <f t="shared" si="1"/>
        <v>40</v>
      </c>
    </row>
    <row r="1180">
      <c r="A1180" s="4">
        <f>IFERROR(__xludf.DUMMYFUNCTION("""COMPUTED_VALUE"""),45607.66666666667)</f>
        <v>45607.66667</v>
      </c>
      <c r="B1180" s="5">
        <f>IFERROR(__xludf.DUMMYFUNCTION("""COMPUTED_VALUE"""),2800.0)</f>
        <v>2800</v>
      </c>
      <c r="C1180" s="5">
        <f>IFERROR(__xludf.DUMMYFUNCTION("""COMPUTED_VALUE"""),2800.0)</f>
        <v>2800</v>
      </c>
      <c r="D1180" s="5">
        <f>IFERROR(__xludf.DUMMYFUNCTION("""COMPUTED_VALUE"""),2750.0)</f>
        <v>2750</v>
      </c>
      <c r="E1180" s="5">
        <f>IFERROR(__xludf.DUMMYFUNCTION("""COMPUTED_VALUE"""),2770.0)</f>
        <v>2770</v>
      </c>
      <c r="F1180" s="5">
        <f>IFERROR(__xludf.DUMMYFUNCTION("""COMPUTED_VALUE"""),1.66465E7)</f>
        <v>16646500</v>
      </c>
      <c r="G1180" s="5">
        <f t="shared" si="1"/>
        <v>50</v>
      </c>
    </row>
    <row r="1181">
      <c r="A1181" s="4">
        <f>IFERROR(__xludf.DUMMYFUNCTION("""COMPUTED_VALUE"""),45608.66666666667)</f>
        <v>45608.66667</v>
      </c>
      <c r="B1181" s="5">
        <f>IFERROR(__xludf.DUMMYFUNCTION("""COMPUTED_VALUE"""),2780.0)</f>
        <v>2780</v>
      </c>
      <c r="C1181" s="5">
        <f>IFERROR(__xludf.DUMMYFUNCTION("""COMPUTED_VALUE"""),2890.0)</f>
        <v>2890</v>
      </c>
      <c r="D1181" s="5">
        <f>IFERROR(__xludf.DUMMYFUNCTION("""COMPUTED_VALUE"""),2780.0)</f>
        <v>2780</v>
      </c>
      <c r="E1181" s="5">
        <f>IFERROR(__xludf.DUMMYFUNCTION("""COMPUTED_VALUE"""),2870.0)</f>
        <v>2870</v>
      </c>
      <c r="F1181" s="5">
        <f>IFERROR(__xludf.DUMMYFUNCTION("""COMPUTED_VALUE"""),1.82971E7)</f>
        <v>18297100</v>
      </c>
      <c r="G1181" s="5">
        <f t="shared" si="1"/>
        <v>120</v>
      </c>
    </row>
    <row r="1182">
      <c r="A1182" s="4">
        <f>IFERROR(__xludf.DUMMYFUNCTION("""COMPUTED_VALUE"""),45609.66666666667)</f>
        <v>45609.66667</v>
      </c>
      <c r="B1182" s="5">
        <f>IFERROR(__xludf.DUMMYFUNCTION("""COMPUTED_VALUE"""),2870.0)</f>
        <v>2870</v>
      </c>
      <c r="C1182" s="5">
        <f>IFERROR(__xludf.DUMMYFUNCTION("""COMPUTED_VALUE"""),2890.0)</f>
        <v>2890</v>
      </c>
      <c r="D1182" s="5">
        <f>IFERROR(__xludf.DUMMYFUNCTION("""COMPUTED_VALUE"""),2810.0)</f>
        <v>2810</v>
      </c>
      <c r="E1182" s="5">
        <f>IFERROR(__xludf.DUMMYFUNCTION("""COMPUTED_VALUE"""),2810.0)</f>
        <v>2810</v>
      </c>
      <c r="F1182" s="5">
        <f>IFERROR(__xludf.DUMMYFUNCTION("""COMPUTED_VALUE"""),1.139E7)</f>
        <v>11390000</v>
      </c>
      <c r="G1182" s="5">
        <f t="shared" si="1"/>
        <v>80</v>
      </c>
    </row>
    <row r="1183">
      <c r="A1183" s="4">
        <f>IFERROR(__xludf.DUMMYFUNCTION("""COMPUTED_VALUE"""),45610.66666666667)</f>
        <v>45610.66667</v>
      </c>
      <c r="B1183" s="5">
        <f>IFERROR(__xludf.DUMMYFUNCTION("""COMPUTED_VALUE"""),2810.0)</f>
        <v>2810</v>
      </c>
      <c r="C1183" s="5">
        <f>IFERROR(__xludf.DUMMYFUNCTION("""COMPUTED_VALUE"""),2810.0)</f>
        <v>2810</v>
      </c>
      <c r="D1183" s="5">
        <f>IFERROR(__xludf.DUMMYFUNCTION("""COMPUTED_VALUE"""),2770.0)</f>
        <v>2770</v>
      </c>
      <c r="E1183" s="5">
        <f>IFERROR(__xludf.DUMMYFUNCTION("""COMPUTED_VALUE"""),2770.0)</f>
        <v>2770</v>
      </c>
      <c r="F1183" s="5">
        <f>IFERROR(__xludf.DUMMYFUNCTION("""COMPUTED_VALUE"""),8777600.0)</f>
        <v>8777600</v>
      </c>
      <c r="G1183" s="5">
        <f t="shared" si="1"/>
        <v>40</v>
      </c>
    </row>
    <row r="1184">
      <c r="A1184" s="4">
        <f>IFERROR(__xludf.DUMMYFUNCTION("""COMPUTED_VALUE"""),45611.66666666667)</f>
        <v>45611.66667</v>
      </c>
      <c r="B1184" s="5">
        <f>IFERROR(__xludf.DUMMYFUNCTION("""COMPUTED_VALUE"""),2770.0)</f>
        <v>2770</v>
      </c>
      <c r="C1184" s="5">
        <f>IFERROR(__xludf.DUMMYFUNCTION("""COMPUTED_VALUE"""),2800.0)</f>
        <v>2800</v>
      </c>
      <c r="D1184" s="5">
        <f>IFERROR(__xludf.DUMMYFUNCTION("""COMPUTED_VALUE"""),2750.0)</f>
        <v>2750</v>
      </c>
      <c r="E1184" s="5">
        <f>IFERROR(__xludf.DUMMYFUNCTION("""COMPUTED_VALUE"""),2750.0)</f>
        <v>2750</v>
      </c>
      <c r="F1184" s="5">
        <f>IFERROR(__xludf.DUMMYFUNCTION("""COMPUTED_VALUE"""),8098700.0)</f>
        <v>8098700</v>
      </c>
      <c r="G1184" s="5">
        <f t="shared" si="1"/>
        <v>50</v>
      </c>
    </row>
    <row r="1185">
      <c r="A1185" s="4">
        <f>IFERROR(__xludf.DUMMYFUNCTION("""COMPUTED_VALUE"""),45614.66666666667)</f>
        <v>45614.66667</v>
      </c>
      <c r="B1185" s="5">
        <f>IFERROR(__xludf.DUMMYFUNCTION("""COMPUTED_VALUE"""),2750.0)</f>
        <v>2750</v>
      </c>
      <c r="C1185" s="5">
        <f>IFERROR(__xludf.DUMMYFUNCTION("""COMPUTED_VALUE"""),2770.0)</f>
        <v>2770</v>
      </c>
      <c r="D1185" s="5">
        <f>IFERROR(__xludf.DUMMYFUNCTION("""COMPUTED_VALUE"""),2700.0)</f>
        <v>2700</v>
      </c>
      <c r="E1185" s="5">
        <f>IFERROR(__xludf.DUMMYFUNCTION("""COMPUTED_VALUE"""),2720.0)</f>
        <v>2720</v>
      </c>
      <c r="F1185" s="5">
        <f>IFERROR(__xludf.DUMMYFUNCTION("""COMPUTED_VALUE"""),1.10155E7)</f>
        <v>11015500</v>
      </c>
      <c r="G1185" s="5">
        <f t="shared" si="1"/>
        <v>70</v>
      </c>
    </row>
    <row r="1186">
      <c r="A1186" s="4">
        <f>IFERROR(__xludf.DUMMYFUNCTION("""COMPUTED_VALUE"""),45615.66666666667)</f>
        <v>45615.66667</v>
      </c>
      <c r="B1186" s="5">
        <f>IFERROR(__xludf.DUMMYFUNCTION("""COMPUTED_VALUE"""),2720.0)</f>
        <v>2720</v>
      </c>
      <c r="C1186" s="5">
        <f>IFERROR(__xludf.DUMMYFUNCTION("""COMPUTED_VALUE"""),2790.0)</f>
        <v>2790</v>
      </c>
      <c r="D1186" s="5">
        <f>IFERROR(__xludf.DUMMYFUNCTION("""COMPUTED_VALUE"""),2720.0)</f>
        <v>2720</v>
      </c>
      <c r="E1186" s="5">
        <f>IFERROR(__xludf.DUMMYFUNCTION("""COMPUTED_VALUE"""),2770.0)</f>
        <v>2770</v>
      </c>
      <c r="F1186" s="5">
        <f>IFERROR(__xludf.DUMMYFUNCTION("""COMPUTED_VALUE"""),6834200.0)</f>
        <v>6834200</v>
      </c>
      <c r="G1186" s="5">
        <f t="shared" si="1"/>
        <v>70</v>
      </c>
    </row>
    <row r="1187">
      <c r="A1187" s="4">
        <f>IFERROR(__xludf.DUMMYFUNCTION("""COMPUTED_VALUE"""),45616.66666666667)</f>
        <v>45616.66667</v>
      </c>
      <c r="B1187" s="5">
        <f>IFERROR(__xludf.DUMMYFUNCTION("""COMPUTED_VALUE"""),2770.0)</f>
        <v>2770</v>
      </c>
      <c r="C1187" s="5">
        <f>IFERROR(__xludf.DUMMYFUNCTION("""COMPUTED_VALUE"""),2780.0)</f>
        <v>2780</v>
      </c>
      <c r="D1187" s="5">
        <f>IFERROR(__xludf.DUMMYFUNCTION("""COMPUTED_VALUE"""),2720.0)</f>
        <v>2720</v>
      </c>
      <c r="E1187" s="5">
        <f>IFERROR(__xludf.DUMMYFUNCTION("""COMPUTED_VALUE"""),2740.0)</f>
        <v>2740</v>
      </c>
      <c r="F1187" s="5">
        <f>IFERROR(__xludf.DUMMYFUNCTION("""COMPUTED_VALUE"""),5495500.0)</f>
        <v>5495500</v>
      </c>
      <c r="G1187" s="5">
        <f t="shared" si="1"/>
        <v>60</v>
      </c>
    </row>
    <row r="1188">
      <c r="A1188" s="4">
        <f>IFERROR(__xludf.DUMMYFUNCTION("""COMPUTED_VALUE"""),45617.66666666667)</f>
        <v>45617.66667</v>
      </c>
      <c r="B1188" s="5">
        <f>IFERROR(__xludf.DUMMYFUNCTION("""COMPUTED_VALUE"""),2740.0)</f>
        <v>2740</v>
      </c>
      <c r="C1188" s="5">
        <f>IFERROR(__xludf.DUMMYFUNCTION("""COMPUTED_VALUE"""),2770.0)</f>
        <v>2770</v>
      </c>
      <c r="D1188" s="5">
        <f>IFERROR(__xludf.DUMMYFUNCTION("""COMPUTED_VALUE"""),2720.0)</f>
        <v>2720</v>
      </c>
      <c r="E1188" s="5">
        <f>IFERROR(__xludf.DUMMYFUNCTION("""COMPUTED_VALUE"""),2720.0)</f>
        <v>2720</v>
      </c>
      <c r="F1188" s="5">
        <f>IFERROR(__xludf.DUMMYFUNCTION("""COMPUTED_VALUE"""),4713200.0)</f>
        <v>4713200</v>
      </c>
      <c r="G1188" s="5">
        <f t="shared" si="1"/>
        <v>50</v>
      </c>
    </row>
    <row r="1189">
      <c r="A1189" s="4">
        <f>IFERROR(__xludf.DUMMYFUNCTION("""COMPUTED_VALUE"""),45618.66666666667)</f>
        <v>45618.66667</v>
      </c>
      <c r="B1189" s="5">
        <f>IFERROR(__xludf.DUMMYFUNCTION("""COMPUTED_VALUE"""),2750.0)</f>
        <v>2750</v>
      </c>
      <c r="C1189" s="5">
        <f>IFERROR(__xludf.DUMMYFUNCTION("""COMPUTED_VALUE"""),2780.0)</f>
        <v>2780</v>
      </c>
      <c r="D1189" s="5">
        <f>IFERROR(__xludf.DUMMYFUNCTION("""COMPUTED_VALUE"""),2740.0)</f>
        <v>2740</v>
      </c>
      <c r="E1189" s="5">
        <f>IFERROR(__xludf.DUMMYFUNCTION("""COMPUTED_VALUE"""),2770.0)</f>
        <v>2770</v>
      </c>
      <c r="F1189" s="5">
        <f>IFERROR(__xludf.DUMMYFUNCTION("""COMPUTED_VALUE"""),5347300.0)</f>
        <v>5347300</v>
      </c>
      <c r="G1189" s="5">
        <f t="shared" si="1"/>
        <v>60</v>
      </c>
    </row>
    <row r="1190">
      <c r="A1190" s="4">
        <f>IFERROR(__xludf.DUMMYFUNCTION("""COMPUTED_VALUE"""),45621.66666666667)</f>
        <v>45621.66667</v>
      </c>
      <c r="B1190" s="5">
        <f>IFERROR(__xludf.DUMMYFUNCTION("""COMPUTED_VALUE"""),2770.0)</f>
        <v>2770</v>
      </c>
      <c r="C1190" s="5">
        <f>IFERROR(__xludf.DUMMYFUNCTION("""COMPUTED_VALUE"""),2830.0)</f>
        <v>2830</v>
      </c>
      <c r="D1190" s="5">
        <f>IFERROR(__xludf.DUMMYFUNCTION("""COMPUTED_VALUE"""),2760.0)</f>
        <v>2760</v>
      </c>
      <c r="E1190" s="5">
        <f>IFERROR(__xludf.DUMMYFUNCTION("""COMPUTED_VALUE"""),2800.0)</f>
        <v>2800</v>
      </c>
      <c r="F1190" s="5">
        <f>IFERROR(__xludf.DUMMYFUNCTION("""COMPUTED_VALUE"""),1.22854E7)</f>
        <v>12285400</v>
      </c>
      <c r="G1190" s="5">
        <f t="shared" si="1"/>
        <v>70</v>
      </c>
    </row>
    <row r="1191">
      <c r="A1191" s="4">
        <f>IFERROR(__xludf.DUMMYFUNCTION("""COMPUTED_VALUE"""),45622.66666666667)</f>
        <v>45622.66667</v>
      </c>
      <c r="B1191" s="5">
        <f>IFERROR(__xludf.DUMMYFUNCTION("""COMPUTED_VALUE"""),2830.0)</f>
        <v>2830</v>
      </c>
      <c r="C1191" s="5">
        <f>IFERROR(__xludf.DUMMYFUNCTION("""COMPUTED_VALUE"""),2830.0)</f>
        <v>2830</v>
      </c>
      <c r="D1191" s="5">
        <f>IFERROR(__xludf.DUMMYFUNCTION("""COMPUTED_VALUE"""),2760.0)</f>
        <v>2760</v>
      </c>
      <c r="E1191" s="5">
        <f>IFERROR(__xludf.DUMMYFUNCTION("""COMPUTED_VALUE"""),2760.0)</f>
        <v>2760</v>
      </c>
      <c r="F1191" s="5">
        <f>IFERROR(__xludf.DUMMYFUNCTION("""COMPUTED_VALUE"""),6816800.0)</f>
        <v>6816800</v>
      </c>
      <c r="G1191" s="5">
        <f t="shared" si="1"/>
        <v>70</v>
      </c>
    </row>
    <row r="1192">
      <c r="A1192" s="4">
        <f>IFERROR(__xludf.DUMMYFUNCTION("""COMPUTED_VALUE"""),45624.66666666667)</f>
        <v>45624.66667</v>
      </c>
      <c r="B1192" s="5">
        <f>IFERROR(__xludf.DUMMYFUNCTION("""COMPUTED_VALUE"""),2760.0)</f>
        <v>2760</v>
      </c>
      <c r="C1192" s="5">
        <f>IFERROR(__xludf.DUMMYFUNCTION("""COMPUTED_VALUE"""),2790.0)</f>
        <v>2790</v>
      </c>
      <c r="D1192" s="5">
        <f>IFERROR(__xludf.DUMMYFUNCTION("""COMPUTED_VALUE"""),2740.0)</f>
        <v>2740</v>
      </c>
      <c r="E1192" s="5">
        <f>IFERROR(__xludf.DUMMYFUNCTION("""COMPUTED_VALUE"""),2790.0)</f>
        <v>2790</v>
      </c>
      <c r="F1192" s="5">
        <f>IFERROR(__xludf.DUMMYFUNCTION("""COMPUTED_VALUE"""),5875400.0)</f>
        <v>5875400</v>
      </c>
      <c r="G1192" s="5">
        <f t="shared" si="1"/>
        <v>50</v>
      </c>
    </row>
    <row r="1193">
      <c r="A1193" s="4">
        <f>IFERROR(__xludf.DUMMYFUNCTION("""COMPUTED_VALUE"""),45625.66666666667)</f>
        <v>45625.66667</v>
      </c>
      <c r="B1193" s="5">
        <f>IFERROR(__xludf.DUMMYFUNCTION("""COMPUTED_VALUE"""),2790.0)</f>
        <v>2790</v>
      </c>
      <c r="C1193" s="5">
        <f>IFERROR(__xludf.DUMMYFUNCTION("""COMPUTED_VALUE"""),2790.0)</f>
        <v>2790</v>
      </c>
      <c r="D1193" s="5">
        <f>IFERROR(__xludf.DUMMYFUNCTION("""COMPUTED_VALUE"""),2700.0)</f>
        <v>2700</v>
      </c>
      <c r="E1193" s="5">
        <f>IFERROR(__xludf.DUMMYFUNCTION("""COMPUTED_VALUE"""),2700.0)</f>
        <v>2700</v>
      </c>
      <c r="F1193" s="5">
        <f>IFERROR(__xludf.DUMMYFUNCTION("""COMPUTED_VALUE"""),1.07445E7)</f>
        <v>10744500</v>
      </c>
      <c r="G1193" s="5">
        <f t="shared" si="1"/>
        <v>90</v>
      </c>
    </row>
    <row r="1194">
      <c r="A1194" s="4">
        <f>IFERROR(__xludf.DUMMYFUNCTION("""COMPUTED_VALUE"""),45628.66666666667)</f>
        <v>45628.66667</v>
      </c>
      <c r="B1194" s="5">
        <f>IFERROR(__xludf.DUMMYFUNCTION("""COMPUTED_VALUE"""),2700.0)</f>
        <v>2700</v>
      </c>
      <c r="C1194" s="5">
        <f>IFERROR(__xludf.DUMMYFUNCTION("""COMPUTED_VALUE"""),2730.0)</f>
        <v>2730</v>
      </c>
      <c r="D1194" s="5">
        <f>IFERROR(__xludf.DUMMYFUNCTION("""COMPUTED_VALUE"""),2660.0)</f>
        <v>2660</v>
      </c>
      <c r="E1194" s="5">
        <f>IFERROR(__xludf.DUMMYFUNCTION("""COMPUTED_VALUE"""),2670.0)</f>
        <v>2670</v>
      </c>
      <c r="F1194" s="5">
        <f>IFERROR(__xludf.DUMMYFUNCTION("""COMPUTED_VALUE"""),1.23118E7)</f>
        <v>12311800</v>
      </c>
      <c r="G1194" s="5">
        <f t="shared" si="1"/>
        <v>70</v>
      </c>
    </row>
    <row r="1195">
      <c r="A1195" s="4">
        <f>IFERROR(__xludf.DUMMYFUNCTION("""COMPUTED_VALUE"""),45629.66666666667)</f>
        <v>45629.66667</v>
      </c>
      <c r="B1195" s="5">
        <f>IFERROR(__xludf.DUMMYFUNCTION("""COMPUTED_VALUE"""),2670.0)</f>
        <v>2670</v>
      </c>
      <c r="C1195" s="5">
        <f>IFERROR(__xludf.DUMMYFUNCTION("""COMPUTED_VALUE"""),2710.0)</f>
        <v>2710</v>
      </c>
      <c r="D1195" s="5">
        <f>IFERROR(__xludf.DUMMYFUNCTION("""COMPUTED_VALUE"""),2670.0)</f>
        <v>2670</v>
      </c>
      <c r="E1195" s="5">
        <f>IFERROR(__xludf.DUMMYFUNCTION("""COMPUTED_VALUE"""),2700.0)</f>
        <v>2700</v>
      </c>
      <c r="F1195" s="5">
        <f>IFERROR(__xludf.DUMMYFUNCTION("""COMPUTED_VALUE"""),6349300.0)</f>
        <v>6349300</v>
      </c>
      <c r="G1195" s="5">
        <f t="shared" si="1"/>
        <v>40</v>
      </c>
    </row>
    <row r="1196">
      <c r="A1196" s="4">
        <f>IFERROR(__xludf.DUMMYFUNCTION("""COMPUTED_VALUE"""),45630.66666666667)</f>
        <v>45630.66667</v>
      </c>
      <c r="B1196" s="5">
        <f>IFERROR(__xludf.DUMMYFUNCTION("""COMPUTED_VALUE"""),2700.0)</f>
        <v>2700</v>
      </c>
      <c r="C1196" s="5">
        <f>IFERROR(__xludf.DUMMYFUNCTION("""COMPUTED_VALUE"""),2750.0)</f>
        <v>2750</v>
      </c>
      <c r="D1196" s="5">
        <f>IFERROR(__xludf.DUMMYFUNCTION("""COMPUTED_VALUE"""),2700.0)</f>
        <v>2700</v>
      </c>
      <c r="E1196" s="5">
        <f>IFERROR(__xludf.DUMMYFUNCTION("""COMPUTED_VALUE"""),2710.0)</f>
        <v>2710</v>
      </c>
      <c r="F1196" s="5">
        <f>IFERROR(__xludf.DUMMYFUNCTION("""COMPUTED_VALUE"""),1.05738E7)</f>
        <v>10573800</v>
      </c>
      <c r="G1196" s="5">
        <f t="shared" si="1"/>
        <v>50</v>
      </c>
    </row>
    <row r="1197">
      <c r="A1197" s="4">
        <f>IFERROR(__xludf.DUMMYFUNCTION("""COMPUTED_VALUE"""),45631.66666666667)</f>
        <v>45631.66667</v>
      </c>
      <c r="B1197" s="5">
        <f>IFERROR(__xludf.DUMMYFUNCTION("""COMPUTED_VALUE"""),2730.0)</f>
        <v>2730</v>
      </c>
      <c r="C1197" s="5">
        <f>IFERROR(__xludf.DUMMYFUNCTION("""COMPUTED_VALUE"""),2770.0)</f>
        <v>2770</v>
      </c>
      <c r="D1197" s="5">
        <f>IFERROR(__xludf.DUMMYFUNCTION("""COMPUTED_VALUE"""),2700.0)</f>
        <v>2700</v>
      </c>
      <c r="E1197" s="5">
        <f>IFERROR(__xludf.DUMMYFUNCTION("""COMPUTED_VALUE"""),2740.0)</f>
        <v>2740</v>
      </c>
      <c r="F1197" s="5">
        <f>IFERROR(__xludf.DUMMYFUNCTION("""COMPUTED_VALUE"""),8311500.0)</f>
        <v>8311500</v>
      </c>
      <c r="G1197" s="5">
        <f t="shared" si="1"/>
        <v>70</v>
      </c>
    </row>
    <row r="1198">
      <c r="A1198" s="4">
        <f>IFERROR(__xludf.DUMMYFUNCTION("""COMPUTED_VALUE"""),45632.66666666667)</f>
        <v>45632.66667</v>
      </c>
      <c r="B1198" s="5">
        <f>IFERROR(__xludf.DUMMYFUNCTION("""COMPUTED_VALUE"""),2730.0)</f>
        <v>2730</v>
      </c>
      <c r="C1198" s="5">
        <f>IFERROR(__xludf.DUMMYFUNCTION("""COMPUTED_VALUE"""),2730.0)</f>
        <v>2730</v>
      </c>
      <c r="D1198" s="5">
        <f>IFERROR(__xludf.DUMMYFUNCTION("""COMPUTED_VALUE"""),2700.0)</f>
        <v>2700</v>
      </c>
      <c r="E1198" s="5">
        <f>IFERROR(__xludf.DUMMYFUNCTION("""COMPUTED_VALUE"""),2730.0)</f>
        <v>2730</v>
      </c>
      <c r="F1198" s="5">
        <f>IFERROR(__xludf.DUMMYFUNCTION("""COMPUTED_VALUE"""),7213200.0)</f>
        <v>7213200</v>
      </c>
      <c r="G1198" s="5">
        <f t="shared" si="1"/>
        <v>40</v>
      </c>
    </row>
    <row r="1199">
      <c r="A1199" s="4">
        <f>IFERROR(__xludf.DUMMYFUNCTION("""COMPUTED_VALUE"""),45635.66666666667)</f>
        <v>45635.66667</v>
      </c>
      <c r="B1199" s="5">
        <f>IFERROR(__xludf.DUMMYFUNCTION("""COMPUTED_VALUE"""),2730.0)</f>
        <v>2730</v>
      </c>
      <c r="C1199" s="5">
        <f>IFERROR(__xludf.DUMMYFUNCTION("""COMPUTED_VALUE"""),2760.0)</f>
        <v>2760</v>
      </c>
      <c r="D1199" s="5">
        <f>IFERROR(__xludf.DUMMYFUNCTION("""COMPUTED_VALUE"""),2730.0)</f>
        <v>2730</v>
      </c>
      <c r="E1199" s="5">
        <f>IFERROR(__xludf.DUMMYFUNCTION("""COMPUTED_VALUE"""),2750.0)</f>
        <v>2750</v>
      </c>
      <c r="F1199" s="5">
        <f>IFERROR(__xludf.DUMMYFUNCTION("""COMPUTED_VALUE"""),1.08585E7)</f>
        <v>10858500</v>
      </c>
      <c r="G1199" s="5">
        <f t="shared" si="1"/>
        <v>30</v>
      </c>
    </row>
    <row r="1200">
      <c r="A1200" s="4">
        <f>IFERROR(__xludf.DUMMYFUNCTION("""COMPUTED_VALUE"""),45636.66666666667)</f>
        <v>45636.66667</v>
      </c>
      <c r="B1200" s="5">
        <f>IFERROR(__xludf.DUMMYFUNCTION("""COMPUTED_VALUE"""),2760.0)</f>
        <v>2760</v>
      </c>
      <c r="C1200" s="5">
        <f>IFERROR(__xludf.DUMMYFUNCTION("""COMPUTED_VALUE"""),2860.0)</f>
        <v>2860</v>
      </c>
      <c r="D1200" s="5">
        <f>IFERROR(__xludf.DUMMYFUNCTION("""COMPUTED_VALUE"""),2740.0)</f>
        <v>2740</v>
      </c>
      <c r="E1200" s="5">
        <f>IFERROR(__xludf.DUMMYFUNCTION("""COMPUTED_VALUE"""),2830.0)</f>
        <v>2830</v>
      </c>
      <c r="F1200" s="5">
        <f>IFERROR(__xludf.DUMMYFUNCTION("""COMPUTED_VALUE"""),2.82272E7)</f>
        <v>28227200</v>
      </c>
      <c r="G1200" s="5">
        <f t="shared" si="1"/>
        <v>120</v>
      </c>
    </row>
    <row r="1201">
      <c r="A1201" s="4">
        <f>IFERROR(__xludf.DUMMYFUNCTION("""COMPUTED_VALUE"""),45637.66666666667)</f>
        <v>45637.66667</v>
      </c>
      <c r="B1201" s="5">
        <f>IFERROR(__xludf.DUMMYFUNCTION("""COMPUTED_VALUE"""),2830.0)</f>
        <v>2830</v>
      </c>
      <c r="C1201" s="5">
        <f>IFERROR(__xludf.DUMMYFUNCTION("""COMPUTED_VALUE"""),2860.0)</f>
        <v>2860</v>
      </c>
      <c r="D1201" s="5">
        <f>IFERROR(__xludf.DUMMYFUNCTION("""COMPUTED_VALUE"""),2790.0)</f>
        <v>2790</v>
      </c>
      <c r="E1201" s="5">
        <f>IFERROR(__xludf.DUMMYFUNCTION("""COMPUTED_VALUE"""),2800.0)</f>
        <v>2800</v>
      </c>
      <c r="F1201" s="5">
        <f>IFERROR(__xludf.DUMMYFUNCTION("""COMPUTED_VALUE"""),1.31208E7)</f>
        <v>13120800</v>
      </c>
      <c r="G1201" s="5">
        <f t="shared" si="1"/>
        <v>70</v>
      </c>
    </row>
    <row r="1202">
      <c r="A1202" s="4">
        <f>IFERROR(__xludf.DUMMYFUNCTION("""COMPUTED_VALUE"""),45638.66666666667)</f>
        <v>45638.66667</v>
      </c>
      <c r="B1202" s="5">
        <f>IFERROR(__xludf.DUMMYFUNCTION("""COMPUTED_VALUE"""),2800.0)</f>
        <v>2800</v>
      </c>
      <c r="C1202" s="5">
        <f>IFERROR(__xludf.DUMMYFUNCTION("""COMPUTED_VALUE"""),2830.0)</f>
        <v>2830</v>
      </c>
      <c r="D1202" s="5">
        <f>IFERROR(__xludf.DUMMYFUNCTION("""COMPUTED_VALUE"""),2780.0)</f>
        <v>2780</v>
      </c>
      <c r="E1202" s="5">
        <f>IFERROR(__xludf.DUMMYFUNCTION("""COMPUTED_VALUE"""),2800.0)</f>
        <v>2800</v>
      </c>
      <c r="F1202" s="5">
        <f>IFERROR(__xludf.DUMMYFUNCTION("""COMPUTED_VALUE"""),9050900.0)</f>
        <v>9050900</v>
      </c>
      <c r="G1202" s="5">
        <f t="shared" si="1"/>
        <v>50</v>
      </c>
    </row>
    <row r="1203">
      <c r="A1203" s="4">
        <f>IFERROR(__xludf.DUMMYFUNCTION("""COMPUTED_VALUE"""),45639.66666666667)</f>
        <v>45639.66667</v>
      </c>
      <c r="B1203" s="5">
        <f>IFERROR(__xludf.DUMMYFUNCTION("""COMPUTED_VALUE"""),2800.0)</f>
        <v>2800</v>
      </c>
      <c r="C1203" s="5">
        <f>IFERROR(__xludf.DUMMYFUNCTION("""COMPUTED_VALUE"""),2810.0)</f>
        <v>2810</v>
      </c>
      <c r="D1203" s="5">
        <f>IFERROR(__xludf.DUMMYFUNCTION("""COMPUTED_VALUE"""),2770.0)</f>
        <v>2770</v>
      </c>
      <c r="E1203" s="5">
        <f>IFERROR(__xludf.DUMMYFUNCTION("""COMPUTED_VALUE"""),2780.0)</f>
        <v>2780</v>
      </c>
      <c r="F1203" s="5">
        <f>IFERROR(__xludf.DUMMYFUNCTION("""COMPUTED_VALUE"""),4660300.0)</f>
        <v>4660300</v>
      </c>
      <c r="G1203" s="5">
        <f t="shared" si="1"/>
        <v>40</v>
      </c>
    </row>
    <row r="1204">
      <c r="A1204" s="4">
        <f>IFERROR(__xludf.DUMMYFUNCTION("""COMPUTED_VALUE"""),45642.66666666667)</f>
        <v>45642.66667</v>
      </c>
      <c r="B1204" s="5">
        <f>IFERROR(__xludf.DUMMYFUNCTION("""COMPUTED_VALUE"""),2780.0)</f>
        <v>2780</v>
      </c>
      <c r="C1204" s="5">
        <f>IFERROR(__xludf.DUMMYFUNCTION("""COMPUTED_VALUE"""),2790.0)</f>
        <v>2790</v>
      </c>
      <c r="D1204" s="5">
        <f>IFERROR(__xludf.DUMMYFUNCTION("""COMPUTED_VALUE"""),2720.0)</f>
        <v>2720</v>
      </c>
      <c r="E1204" s="5">
        <f>IFERROR(__xludf.DUMMYFUNCTION("""COMPUTED_VALUE"""),2740.0)</f>
        <v>2740</v>
      </c>
      <c r="F1204" s="5">
        <f>IFERROR(__xludf.DUMMYFUNCTION("""COMPUTED_VALUE"""),9329800.0)</f>
        <v>9329800</v>
      </c>
      <c r="G1204" s="5">
        <f t="shared" si="1"/>
        <v>70</v>
      </c>
    </row>
    <row r="1205">
      <c r="A1205" s="4">
        <f>IFERROR(__xludf.DUMMYFUNCTION("""COMPUTED_VALUE"""),45643.66666666667)</f>
        <v>45643.66667</v>
      </c>
      <c r="B1205" s="5">
        <f>IFERROR(__xludf.DUMMYFUNCTION("""COMPUTED_VALUE"""),2740.0)</f>
        <v>2740</v>
      </c>
      <c r="C1205" s="5">
        <f>IFERROR(__xludf.DUMMYFUNCTION("""COMPUTED_VALUE"""),2740.0)</f>
        <v>2740</v>
      </c>
      <c r="D1205" s="5">
        <f>IFERROR(__xludf.DUMMYFUNCTION("""COMPUTED_VALUE"""),2670.0)</f>
        <v>2670</v>
      </c>
      <c r="E1205" s="5">
        <f>IFERROR(__xludf.DUMMYFUNCTION("""COMPUTED_VALUE"""),2670.0)</f>
        <v>2670</v>
      </c>
      <c r="F1205" s="5">
        <f>IFERROR(__xludf.DUMMYFUNCTION("""COMPUTED_VALUE"""),1.20492E7)</f>
        <v>12049200</v>
      </c>
      <c r="G1205" s="5">
        <f t="shared" si="1"/>
        <v>70</v>
      </c>
    </row>
    <row r="1206">
      <c r="A1206" s="4">
        <f>IFERROR(__xludf.DUMMYFUNCTION("""COMPUTED_VALUE"""),45644.66666666667)</f>
        <v>45644.66667</v>
      </c>
      <c r="B1206" s="5">
        <f>IFERROR(__xludf.DUMMYFUNCTION("""COMPUTED_VALUE"""),2670.0)</f>
        <v>2670</v>
      </c>
      <c r="C1206" s="5">
        <f>IFERROR(__xludf.DUMMYFUNCTION("""COMPUTED_VALUE"""),2710.0)</f>
        <v>2710</v>
      </c>
      <c r="D1206" s="5">
        <f>IFERROR(__xludf.DUMMYFUNCTION("""COMPUTED_VALUE"""),2660.0)</f>
        <v>2660</v>
      </c>
      <c r="E1206" s="5">
        <f>IFERROR(__xludf.DUMMYFUNCTION("""COMPUTED_VALUE"""),2680.0)</f>
        <v>2680</v>
      </c>
      <c r="F1206" s="5">
        <f>IFERROR(__xludf.DUMMYFUNCTION("""COMPUTED_VALUE"""),5529700.0)</f>
        <v>5529700</v>
      </c>
      <c r="G1206" s="5">
        <f t="shared" si="1"/>
        <v>50</v>
      </c>
    </row>
    <row r="1207">
      <c r="A1207" s="4">
        <f>IFERROR(__xludf.DUMMYFUNCTION("""COMPUTED_VALUE"""),45645.66666666667)</f>
        <v>45645.66667</v>
      </c>
      <c r="B1207" s="5">
        <f>IFERROR(__xludf.DUMMYFUNCTION("""COMPUTED_VALUE"""),2680.0)</f>
        <v>2680</v>
      </c>
      <c r="C1207" s="5">
        <f>IFERROR(__xludf.DUMMYFUNCTION("""COMPUTED_VALUE"""),2680.0)</f>
        <v>2680</v>
      </c>
      <c r="D1207" s="5">
        <f>IFERROR(__xludf.DUMMYFUNCTION("""COMPUTED_VALUE"""),2570.0)</f>
        <v>2570</v>
      </c>
      <c r="E1207" s="5">
        <f>IFERROR(__xludf.DUMMYFUNCTION("""COMPUTED_VALUE"""),2580.0)</f>
        <v>2580</v>
      </c>
      <c r="F1207" s="5">
        <f>IFERROR(__xludf.DUMMYFUNCTION("""COMPUTED_VALUE"""),2.3987E7)</f>
        <v>23987000</v>
      </c>
      <c r="G1207" s="5">
        <f t="shared" si="1"/>
        <v>110</v>
      </c>
    </row>
    <row r="1208">
      <c r="A1208" s="4">
        <f>IFERROR(__xludf.DUMMYFUNCTION("""COMPUTED_VALUE"""),45646.66666666667)</f>
        <v>45646.66667</v>
      </c>
      <c r="B1208" s="5">
        <f>IFERROR(__xludf.DUMMYFUNCTION("""COMPUTED_VALUE"""),2590.0)</f>
        <v>2590</v>
      </c>
      <c r="C1208" s="5">
        <f>IFERROR(__xludf.DUMMYFUNCTION("""COMPUTED_VALUE"""),2630.0)</f>
        <v>2630</v>
      </c>
      <c r="D1208" s="5">
        <f>IFERROR(__xludf.DUMMYFUNCTION("""COMPUTED_VALUE"""),2590.0)</f>
        <v>2590</v>
      </c>
      <c r="E1208" s="5">
        <f>IFERROR(__xludf.DUMMYFUNCTION("""COMPUTED_VALUE"""),2590.0)</f>
        <v>2590</v>
      </c>
      <c r="F1208" s="5">
        <f>IFERROR(__xludf.DUMMYFUNCTION("""COMPUTED_VALUE"""),6238800.0)</f>
        <v>6238800</v>
      </c>
      <c r="G1208" s="5">
        <f t="shared" si="1"/>
        <v>50</v>
      </c>
    </row>
    <row r="1209">
      <c r="A1209" s="4">
        <f>IFERROR(__xludf.DUMMYFUNCTION("""COMPUTED_VALUE"""),45649.66666666667)</f>
        <v>45649.66667</v>
      </c>
      <c r="B1209" s="5">
        <f>IFERROR(__xludf.DUMMYFUNCTION("""COMPUTED_VALUE"""),2600.0)</f>
        <v>2600</v>
      </c>
      <c r="C1209" s="5">
        <f>IFERROR(__xludf.DUMMYFUNCTION("""COMPUTED_VALUE"""),2620.0)</f>
        <v>2620</v>
      </c>
      <c r="D1209" s="5">
        <f>IFERROR(__xludf.DUMMYFUNCTION("""COMPUTED_VALUE"""),2590.0)</f>
        <v>2590</v>
      </c>
      <c r="E1209" s="5">
        <f>IFERROR(__xludf.DUMMYFUNCTION("""COMPUTED_VALUE"""),2590.0)</f>
        <v>2590</v>
      </c>
      <c r="F1209" s="5">
        <f>IFERROR(__xludf.DUMMYFUNCTION("""COMPUTED_VALUE"""),7109000.0)</f>
        <v>7109000</v>
      </c>
      <c r="G1209" s="5">
        <f t="shared" si="1"/>
        <v>30</v>
      </c>
    </row>
    <row r="1210">
      <c r="A1210" s="4">
        <f>IFERROR(__xludf.DUMMYFUNCTION("""COMPUTED_VALUE"""),45650.66666666667)</f>
        <v>45650.66667</v>
      </c>
      <c r="B1210" s="5">
        <f>IFERROR(__xludf.DUMMYFUNCTION("""COMPUTED_VALUE"""),2600.0)</f>
        <v>2600</v>
      </c>
      <c r="C1210" s="5">
        <f>IFERROR(__xludf.DUMMYFUNCTION("""COMPUTED_VALUE"""),2620.0)</f>
        <v>2620</v>
      </c>
      <c r="D1210" s="5">
        <f>IFERROR(__xludf.DUMMYFUNCTION("""COMPUTED_VALUE"""),2590.0)</f>
        <v>2590</v>
      </c>
      <c r="E1210" s="5">
        <f>IFERROR(__xludf.DUMMYFUNCTION("""COMPUTED_VALUE"""),2590.0)</f>
        <v>2590</v>
      </c>
      <c r="F1210" s="5">
        <f>IFERROR(__xludf.DUMMYFUNCTION("""COMPUTED_VALUE"""),5148700.0)</f>
        <v>5148700</v>
      </c>
      <c r="G1210" s="5">
        <f t="shared" si="1"/>
        <v>30</v>
      </c>
    </row>
    <row r="1211">
      <c r="A1211" s="4">
        <f>IFERROR(__xludf.DUMMYFUNCTION("""COMPUTED_VALUE"""),45653.66666666667)</f>
        <v>45653.66667</v>
      </c>
      <c r="B1211" s="5">
        <f>IFERROR(__xludf.DUMMYFUNCTION("""COMPUTED_VALUE"""),2600.0)</f>
        <v>2600</v>
      </c>
      <c r="C1211" s="5">
        <f>IFERROR(__xludf.DUMMYFUNCTION("""COMPUTED_VALUE"""),2640.0)</f>
        <v>2640</v>
      </c>
      <c r="D1211" s="5">
        <f>IFERROR(__xludf.DUMMYFUNCTION("""COMPUTED_VALUE"""),2600.0)</f>
        <v>2600</v>
      </c>
      <c r="E1211" s="5">
        <f>IFERROR(__xludf.DUMMYFUNCTION("""COMPUTED_VALUE"""),2620.0)</f>
        <v>2620</v>
      </c>
      <c r="F1211" s="5">
        <f>IFERROR(__xludf.DUMMYFUNCTION("""COMPUTED_VALUE"""),7571900.0)</f>
        <v>7571900</v>
      </c>
      <c r="G1211" s="5">
        <f t="shared" si="1"/>
        <v>50</v>
      </c>
    </row>
    <row r="1212">
      <c r="A1212" s="4">
        <f>IFERROR(__xludf.DUMMYFUNCTION("""COMPUTED_VALUE"""),45656.66666666667)</f>
        <v>45656.66667</v>
      </c>
      <c r="B1212" s="5">
        <f>IFERROR(__xludf.DUMMYFUNCTION("""COMPUTED_VALUE"""),2630.0)</f>
        <v>2630</v>
      </c>
      <c r="C1212" s="5">
        <f>IFERROR(__xludf.DUMMYFUNCTION("""COMPUTED_VALUE"""),2750.0)</f>
        <v>2750</v>
      </c>
      <c r="D1212" s="5">
        <f>IFERROR(__xludf.DUMMYFUNCTION("""COMPUTED_VALUE"""),2620.0)</f>
        <v>2620</v>
      </c>
      <c r="E1212" s="5">
        <f>IFERROR(__xludf.DUMMYFUNCTION("""COMPUTED_VALUE"""),2750.0)</f>
        <v>2750</v>
      </c>
      <c r="F1212" s="5">
        <f>IFERROR(__xludf.DUMMYFUNCTION("""COMPUTED_VALUE"""),1.64235E7)</f>
        <v>16423500</v>
      </c>
      <c r="G1212" s="5">
        <f t="shared" si="1"/>
        <v>130</v>
      </c>
    </row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>
    <row r="1">
      <c r="A1" s="4" t="str">
        <f>IFERROR(__xludf.DUMMYFUNCTION("GOOGLEFINANCE(""IDX:PTPP"", ""all"", DATE(2020,1,1), DATE(2025,1,1), ""DAILY"")
"),"Date")</f>
        <v>Date</v>
      </c>
      <c r="B1" s="5" t="str">
        <f>IFERROR(__xludf.DUMMYFUNCTION("""COMPUTED_VALUE"""),"Open")</f>
        <v>Open</v>
      </c>
      <c r="C1" s="5" t="str">
        <f>IFERROR(__xludf.DUMMYFUNCTION("""COMPUTED_VALUE"""),"High")</f>
        <v>High</v>
      </c>
      <c r="D1" s="5" t="str">
        <f>IFERROR(__xludf.DUMMYFUNCTION("""COMPUTED_VALUE"""),"Low")</f>
        <v>Low</v>
      </c>
      <c r="E1" s="5" t="str">
        <f>IFERROR(__xludf.DUMMYFUNCTION("""COMPUTED_VALUE"""),"Close")</f>
        <v>Close</v>
      </c>
      <c r="F1" s="5" t="str">
        <f>IFERROR(__xludf.DUMMYFUNCTION("""COMPUTED_VALUE"""),"Volume")</f>
        <v>Volume</v>
      </c>
      <c r="G1" s="6" t="s">
        <v>0</v>
      </c>
    </row>
    <row r="2">
      <c r="A2" s="4">
        <f>IFERROR(__xludf.DUMMYFUNCTION("""COMPUTED_VALUE"""),43832.66666666667)</f>
        <v>43832.66667</v>
      </c>
      <c r="B2" s="5">
        <f>IFERROR(__xludf.DUMMYFUNCTION("""COMPUTED_VALUE"""),1585.0)</f>
        <v>1585</v>
      </c>
      <c r="C2" s="5">
        <f>IFERROR(__xludf.DUMMYFUNCTION("""COMPUTED_VALUE"""),1620.0)</f>
        <v>1620</v>
      </c>
      <c r="D2" s="5">
        <f>IFERROR(__xludf.DUMMYFUNCTION("""COMPUTED_VALUE"""),1580.0)</f>
        <v>1580</v>
      </c>
      <c r="E2" s="5">
        <f>IFERROR(__xludf.DUMMYFUNCTION("""COMPUTED_VALUE"""),1610.0)</f>
        <v>1610</v>
      </c>
      <c r="F2" s="5">
        <f>IFERROR(__xludf.DUMMYFUNCTION("""COMPUTED_VALUE"""),9820100.0)</f>
        <v>9820100</v>
      </c>
    </row>
    <row r="3">
      <c r="A3" s="4">
        <f>IFERROR(__xludf.DUMMYFUNCTION("""COMPUTED_VALUE"""),43833.66666666667)</f>
        <v>43833.66667</v>
      </c>
      <c r="B3" s="5">
        <f>IFERROR(__xludf.DUMMYFUNCTION("""COMPUTED_VALUE"""),1620.0)</f>
        <v>1620</v>
      </c>
      <c r="C3" s="5">
        <f>IFERROR(__xludf.DUMMYFUNCTION("""COMPUTED_VALUE"""),1710.0)</f>
        <v>1710</v>
      </c>
      <c r="D3" s="5">
        <f>IFERROR(__xludf.DUMMYFUNCTION("""COMPUTED_VALUE"""),1615.0)</f>
        <v>1615</v>
      </c>
      <c r="E3" s="5">
        <f>IFERROR(__xludf.DUMMYFUNCTION("""COMPUTED_VALUE"""),1710.0)</f>
        <v>1710</v>
      </c>
      <c r="F3" s="5">
        <f>IFERROR(__xludf.DUMMYFUNCTION("""COMPUTED_VALUE"""),5.29516E7)</f>
        <v>52951600</v>
      </c>
      <c r="G3" s="5">
        <f t="shared" ref="G3:G1212" si="1">MAX(C3-D3, ABS(C3-E2), ABS(D3-E2))</f>
        <v>100</v>
      </c>
    </row>
    <row r="4">
      <c r="A4" s="4">
        <f>IFERROR(__xludf.DUMMYFUNCTION("""COMPUTED_VALUE"""),43836.66666666667)</f>
        <v>43836.66667</v>
      </c>
      <c r="B4" s="5">
        <f>IFERROR(__xludf.DUMMYFUNCTION("""COMPUTED_VALUE"""),1715.0)</f>
        <v>1715</v>
      </c>
      <c r="C4" s="5">
        <f>IFERROR(__xludf.DUMMYFUNCTION("""COMPUTED_VALUE"""),1750.0)</f>
        <v>1750</v>
      </c>
      <c r="D4" s="5">
        <f>IFERROR(__xludf.DUMMYFUNCTION("""COMPUTED_VALUE"""),1670.0)</f>
        <v>1670</v>
      </c>
      <c r="E4" s="5">
        <f>IFERROR(__xludf.DUMMYFUNCTION("""COMPUTED_VALUE"""),1695.0)</f>
        <v>1695</v>
      </c>
      <c r="F4" s="5">
        <f>IFERROR(__xludf.DUMMYFUNCTION("""COMPUTED_VALUE"""),4.07539E7)</f>
        <v>40753900</v>
      </c>
      <c r="G4" s="5">
        <f t="shared" si="1"/>
        <v>80</v>
      </c>
    </row>
    <row r="5">
      <c r="A5" s="4">
        <f>IFERROR(__xludf.DUMMYFUNCTION("""COMPUTED_VALUE"""),43837.66666666667)</f>
        <v>43837.66667</v>
      </c>
      <c r="B5" s="5">
        <f>IFERROR(__xludf.DUMMYFUNCTION("""COMPUTED_VALUE"""),1705.0)</f>
        <v>1705</v>
      </c>
      <c r="C5" s="5">
        <f>IFERROR(__xludf.DUMMYFUNCTION("""COMPUTED_VALUE"""),1725.0)</f>
        <v>1725</v>
      </c>
      <c r="D5" s="5">
        <f>IFERROR(__xludf.DUMMYFUNCTION("""COMPUTED_VALUE"""),1675.0)</f>
        <v>1675</v>
      </c>
      <c r="E5" s="5">
        <f>IFERROR(__xludf.DUMMYFUNCTION("""COMPUTED_VALUE"""),1690.0)</f>
        <v>1690</v>
      </c>
      <c r="F5" s="5">
        <f>IFERROR(__xludf.DUMMYFUNCTION("""COMPUTED_VALUE"""),2.24885E7)</f>
        <v>22488500</v>
      </c>
      <c r="G5" s="5">
        <f t="shared" si="1"/>
        <v>50</v>
      </c>
    </row>
    <row r="6">
      <c r="A6" s="4">
        <f>IFERROR(__xludf.DUMMYFUNCTION("""COMPUTED_VALUE"""),43838.66666666667)</f>
        <v>43838.66667</v>
      </c>
      <c r="B6" s="5">
        <f>IFERROR(__xludf.DUMMYFUNCTION("""COMPUTED_VALUE"""),1665.0)</f>
        <v>1665</v>
      </c>
      <c r="C6" s="5">
        <f>IFERROR(__xludf.DUMMYFUNCTION("""COMPUTED_VALUE"""),1665.0)</f>
        <v>1665</v>
      </c>
      <c r="D6" s="5">
        <f>IFERROR(__xludf.DUMMYFUNCTION("""COMPUTED_VALUE"""),1610.0)</f>
        <v>1610</v>
      </c>
      <c r="E6" s="5">
        <f>IFERROR(__xludf.DUMMYFUNCTION("""COMPUTED_VALUE"""),1625.0)</f>
        <v>1625</v>
      </c>
      <c r="F6" s="5">
        <f>IFERROR(__xludf.DUMMYFUNCTION("""COMPUTED_VALUE"""),3.09766E7)</f>
        <v>30976600</v>
      </c>
      <c r="G6" s="5">
        <f t="shared" si="1"/>
        <v>80</v>
      </c>
    </row>
    <row r="7">
      <c r="A7" s="4">
        <f>IFERROR(__xludf.DUMMYFUNCTION("""COMPUTED_VALUE"""),43839.66666666667)</f>
        <v>43839.66667</v>
      </c>
      <c r="B7" s="5">
        <f>IFERROR(__xludf.DUMMYFUNCTION("""COMPUTED_VALUE"""),1645.0)</f>
        <v>1645</v>
      </c>
      <c r="C7" s="5">
        <f>IFERROR(__xludf.DUMMYFUNCTION("""COMPUTED_VALUE"""),1680.0)</f>
        <v>1680</v>
      </c>
      <c r="D7" s="5">
        <f>IFERROR(__xludf.DUMMYFUNCTION("""COMPUTED_VALUE"""),1640.0)</f>
        <v>1640</v>
      </c>
      <c r="E7" s="5">
        <f>IFERROR(__xludf.DUMMYFUNCTION("""COMPUTED_VALUE"""),1675.0)</f>
        <v>1675</v>
      </c>
      <c r="F7" s="5">
        <f>IFERROR(__xludf.DUMMYFUNCTION("""COMPUTED_VALUE"""),2.29445E7)</f>
        <v>22944500</v>
      </c>
      <c r="G7" s="5">
        <f t="shared" si="1"/>
        <v>55</v>
      </c>
    </row>
    <row r="8">
      <c r="A8" s="4">
        <f>IFERROR(__xludf.DUMMYFUNCTION("""COMPUTED_VALUE"""),43840.66666666667)</f>
        <v>43840.66667</v>
      </c>
      <c r="B8" s="5">
        <f>IFERROR(__xludf.DUMMYFUNCTION("""COMPUTED_VALUE"""),1690.0)</f>
        <v>1690</v>
      </c>
      <c r="C8" s="5">
        <f>IFERROR(__xludf.DUMMYFUNCTION("""COMPUTED_VALUE"""),1705.0)</f>
        <v>1705</v>
      </c>
      <c r="D8" s="5">
        <f>IFERROR(__xludf.DUMMYFUNCTION("""COMPUTED_VALUE"""),1665.0)</f>
        <v>1665</v>
      </c>
      <c r="E8" s="5">
        <f>IFERROR(__xludf.DUMMYFUNCTION("""COMPUTED_VALUE"""),1700.0)</f>
        <v>1700</v>
      </c>
      <c r="F8" s="5">
        <f>IFERROR(__xludf.DUMMYFUNCTION("""COMPUTED_VALUE"""),1.6615E7)</f>
        <v>16615000</v>
      </c>
      <c r="G8" s="5">
        <f t="shared" si="1"/>
        <v>40</v>
      </c>
    </row>
    <row r="9">
      <c r="A9" s="4">
        <f>IFERROR(__xludf.DUMMYFUNCTION("""COMPUTED_VALUE"""),43843.66666666667)</f>
        <v>43843.66667</v>
      </c>
      <c r="B9" s="5">
        <f>IFERROR(__xludf.DUMMYFUNCTION("""COMPUTED_VALUE"""),1710.0)</f>
        <v>1710</v>
      </c>
      <c r="C9" s="5">
        <f>IFERROR(__xludf.DUMMYFUNCTION("""COMPUTED_VALUE"""),1730.0)</f>
        <v>1730</v>
      </c>
      <c r="D9" s="5">
        <f>IFERROR(__xludf.DUMMYFUNCTION("""COMPUTED_VALUE"""),1690.0)</f>
        <v>1690</v>
      </c>
      <c r="E9" s="5">
        <f>IFERROR(__xludf.DUMMYFUNCTION("""COMPUTED_VALUE"""),1700.0)</f>
        <v>1700</v>
      </c>
      <c r="F9" s="5">
        <f>IFERROR(__xludf.DUMMYFUNCTION("""COMPUTED_VALUE"""),1.44218E7)</f>
        <v>14421800</v>
      </c>
      <c r="G9" s="5">
        <f t="shared" si="1"/>
        <v>40</v>
      </c>
    </row>
    <row r="10">
      <c r="A10" s="4">
        <f>IFERROR(__xludf.DUMMYFUNCTION("""COMPUTED_VALUE"""),43844.66666666667)</f>
        <v>43844.66667</v>
      </c>
      <c r="B10" s="5">
        <f>IFERROR(__xludf.DUMMYFUNCTION("""COMPUTED_VALUE"""),1700.0)</f>
        <v>1700</v>
      </c>
      <c r="C10" s="5">
        <f>IFERROR(__xludf.DUMMYFUNCTION("""COMPUTED_VALUE"""),1720.0)</f>
        <v>1720</v>
      </c>
      <c r="D10" s="5">
        <f>IFERROR(__xludf.DUMMYFUNCTION("""COMPUTED_VALUE"""),1675.0)</f>
        <v>1675</v>
      </c>
      <c r="E10" s="5">
        <f>IFERROR(__xludf.DUMMYFUNCTION("""COMPUTED_VALUE"""),1695.0)</f>
        <v>1695</v>
      </c>
      <c r="F10" s="5">
        <f>IFERROR(__xludf.DUMMYFUNCTION("""COMPUTED_VALUE"""),1.47241E7)</f>
        <v>14724100</v>
      </c>
      <c r="G10" s="5">
        <f t="shared" si="1"/>
        <v>45</v>
      </c>
    </row>
    <row r="11">
      <c r="A11" s="4">
        <f>IFERROR(__xludf.DUMMYFUNCTION("""COMPUTED_VALUE"""),43845.66666666667)</f>
        <v>43845.66667</v>
      </c>
      <c r="B11" s="5">
        <f>IFERROR(__xludf.DUMMYFUNCTION("""COMPUTED_VALUE"""),1685.0)</f>
        <v>1685</v>
      </c>
      <c r="C11" s="5">
        <f>IFERROR(__xludf.DUMMYFUNCTION("""COMPUTED_VALUE"""),1685.0)</f>
        <v>1685</v>
      </c>
      <c r="D11" s="5">
        <f>IFERROR(__xludf.DUMMYFUNCTION("""COMPUTED_VALUE"""),1610.0)</f>
        <v>1610</v>
      </c>
      <c r="E11" s="5">
        <f>IFERROR(__xludf.DUMMYFUNCTION("""COMPUTED_VALUE"""),1625.0)</f>
        <v>1625</v>
      </c>
      <c r="F11" s="5">
        <f>IFERROR(__xludf.DUMMYFUNCTION("""COMPUTED_VALUE"""),2.86441E7)</f>
        <v>28644100</v>
      </c>
      <c r="G11" s="5">
        <f t="shared" si="1"/>
        <v>85</v>
      </c>
    </row>
    <row r="12">
      <c r="A12" s="4">
        <f>IFERROR(__xludf.DUMMYFUNCTION("""COMPUTED_VALUE"""),43846.66666666667)</f>
        <v>43846.66667</v>
      </c>
      <c r="B12" s="5">
        <f>IFERROR(__xludf.DUMMYFUNCTION("""COMPUTED_VALUE"""),1625.0)</f>
        <v>1625</v>
      </c>
      <c r="C12" s="5">
        <f>IFERROR(__xludf.DUMMYFUNCTION("""COMPUTED_VALUE"""),1640.0)</f>
        <v>1640</v>
      </c>
      <c r="D12" s="5">
        <f>IFERROR(__xludf.DUMMYFUNCTION("""COMPUTED_VALUE"""),1600.0)</f>
        <v>1600</v>
      </c>
      <c r="E12" s="5">
        <f>IFERROR(__xludf.DUMMYFUNCTION("""COMPUTED_VALUE"""),1620.0)</f>
        <v>1620</v>
      </c>
      <c r="F12" s="5">
        <f>IFERROR(__xludf.DUMMYFUNCTION("""COMPUTED_VALUE"""),1.1661E7)</f>
        <v>11661000</v>
      </c>
      <c r="G12" s="5">
        <f t="shared" si="1"/>
        <v>40</v>
      </c>
    </row>
    <row r="13">
      <c r="A13" s="4">
        <f>IFERROR(__xludf.DUMMYFUNCTION("""COMPUTED_VALUE"""),43847.66666666667)</f>
        <v>43847.66667</v>
      </c>
      <c r="B13" s="5">
        <f>IFERROR(__xludf.DUMMYFUNCTION("""COMPUTED_VALUE"""),1630.0)</f>
        <v>1630</v>
      </c>
      <c r="C13" s="5">
        <f>IFERROR(__xludf.DUMMYFUNCTION("""COMPUTED_VALUE"""),1650.0)</f>
        <v>1650</v>
      </c>
      <c r="D13" s="5">
        <f>IFERROR(__xludf.DUMMYFUNCTION("""COMPUTED_VALUE"""),1605.0)</f>
        <v>1605</v>
      </c>
      <c r="E13" s="5">
        <f>IFERROR(__xludf.DUMMYFUNCTION("""COMPUTED_VALUE"""),1610.0)</f>
        <v>1610</v>
      </c>
      <c r="F13" s="5">
        <f>IFERROR(__xludf.DUMMYFUNCTION("""COMPUTED_VALUE"""),1.23227E7)</f>
        <v>12322700</v>
      </c>
      <c r="G13" s="5">
        <f t="shared" si="1"/>
        <v>45</v>
      </c>
    </row>
    <row r="14">
      <c r="A14" s="4">
        <f>IFERROR(__xludf.DUMMYFUNCTION("""COMPUTED_VALUE"""),43850.66666666667)</f>
        <v>43850.66667</v>
      </c>
      <c r="B14" s="5">
        <f>IFERROR(__xludf.DUMMYFUNCTION("""COMPUTED_VALUE"""),1615.0)</f>
        <v>1615</v>
      </c>
      <c r="C14" s="5">
        <f>IFERROR(__xludf.DUMMYFUNCTION("""COMPUTED_VALUE"""),1620.0)</f>
        <v>1620</v>
      </c>
      <c r="D14" s="5">
        <f>IFERROR(__xludf.DUMMYFUNCTION("""COMPUTED_VALUE"""),1535.0)</f>
        <v>1535</v>
      </c>
      <c r="E14" s="5">
        <f>IFERROR(__xludf.DUMMYFUNCTION("""COMPUTED_VALUE"""),1545.0)</f>
        <v>1545</v>
      </c>
      <c r="F14" s="5">
        <f>IFERROR(__xludf.DUMMYFUNCTION("""COMPUTED_VALUE"""),2.07223E7)</f>
        <v>20722300</v>
      </c>
      <c r="G14" s="5">
        <f t="shared" si="1"/>
        <v>85</v>
      </c>
    </row>
    <row r="15">
      <c r="A15" s="4">
        <f>IFERROR(__xludf.DUMMYFUNCTION("""COMPUTED_VALUE"""),43851.66666666667)</f>
        <v>43851.66667</v>
      </c>
      <c r="B15" s="5">
        <f>IFERROR(__xludf.DUMMYFUNCTION("""COMPUTED_VALUE"""),1525.0)</f>
        <v>1525</v>
      </c>
      <c r="C15" s="5">
        <f>IFERROR(__xludf.DUMMYFUNCTION("""COMPUTED_VALUE"""),1545.0)</f>
        <v>1545</v>
      </c>
      <c r="D15" s="5">
        <f>IFERROR(__xludf.DUMMYFUNCTION("""COMPUTED_VALUE"""),1510.0)</f>
        <v>1510</v>
      </c>
      <c r="E15" s="5">
        <f>IFERROR(__xludf.DUMMYFUNCTION("""COMPUTED_VALUE"""),1520.0)</f>
        <v>1520</v>
      </c>
      <c r="F15" s="5">
        <f>IFERROR(__xludf.DUMMYFUNCTION("""COMPUTED_VALUE"""),1.45982E7)</f>
        <v>14598200</v>
      </c>
      <c r="G15" s="5">
        <f t="shared" si="1"/>
        <v>35</v>
      </c>
    </row>
    <row r="16">
      <c r="A16" s="4">
        <f>IFERROR(__xludf.DUMMYFUNCTION("""COMPUTED_VALUE"""),43852.66666666667)</f>
        <v>43852.66667</v>
      </c>
      <c r="B16" s="5">
        <f>IFERROR(__xludf.DUMMYFUNCTION("""COMPUTED_VALUE"""),1525.0)</f>
        <v>1525</v>
      </c>
      <c r="C16" s="5">
        <f>IFERROR(__xludf.DUMMYFUNCTION("""COMPUTED_VALUE"""),1575.0)</f>
        <v>1575</v>
      </c>
      <c r="D16" s="5">
        <f>IFERROR(__xludf.DUMMYFUNCTION("""COMPUTED_VALUE"""),1510.0)</f>
        <v>1510</v>
      </c>
      <c r="E16" s="5">
        <f>IFERROR(__xludf.DUMMYFUNCTION("""COMPUTED_VALUE"""),1515.0)</f>
        <v>1515</v>
      </c>
      <c r="F16" s="5">
        <f>IFERROR(__xludf.DUMMYFUNCTION("""COMPUTED_VALUE"""),1.67937E7)</f>
        <v>16793700</v>
      </c>
      <c r="G16" s="5">
        <f t="shared" si="1"/>
        <v>65</v>
      </c>
    </row>
    <row r="17">
      <c r="A17" s="4">
        <f>IFERROR(__xludf.DUMMYFUNCTION("""COMPUTED_VALUE"""),43853.66666666667)</f>
        <v>43853.66667</v>
      </c>
      <c r="B17" s="5">
        <f>IFERROR(__xludf.DUMMYFUNCTION("""COMPUTED_VALUE"""),1515.0)</f>
        <v>1515</v>
      </c>
      <c r="C17" s="5">
        <f>IFERROR(__xludf.DUMMYFUNCTION("""COMPUTED_VALUE"""),1525.0)</f>
        <v>1525</v>
      </c>
      <c r="D17" s="5">
        <f>IFERROR(__xludf.DUMMYFUNCTION("""COMPUTED_VALUE"""),1470.0)</f>
        <v>1470</v>
      </c>
      <c r="E17" s="5">
        <f>IFERROR(__xludf.DUMMYFUNCTION("""COMPUTED_VALUE"""),1500.0)</f>
        <v>1500</v>
      </c>
      <c r="F17" s="5">
        <f>IFERROR(__xludf.DUMMYFUNCTION("""COMPUTED_VALUE"""),1.52691E7)</f>
        <v>15269100</v>
      </c>
      <c r="G17" s="5">
        <f t="shared" si="1"/>
        <v>55</v>
      </c>
    </row>
    <row r="18">
      <c r="A18" s="4">
        <f>IFERROR(__xludf.DUMMYFUNCTION("""COMPUTED_VALUE"""),43854.66666666667)</f>
        <v>43854.66667</v>
      </c>
      <c r="B18" s="5">
        <f>IFERROR(__xludf.DUMMYFUNCTION("""COMPUTED_VALUE"""),1500.0)</f>
        <v>1500</v>
      </c>
      <c r="C18" s="5">
        <f>IFERROR(__xludf.DUMMYFUNCTION("""COMPUTED_VALUE"""),1510.0)</f>
        <v>1510</v>
      </c>
      <c r="D18" s="5">
        <f>IFERROR(__xludf.DUMMYFUNCTION("""COMPUTED_VALUE"""),1485.0)</f>
        <v>1485</v>
      </c>
      <c r="E18" s="5">
        <f>IFERROR(__xludf.DUMMYFUNCTION("""COMPUTED_VALUE"""),1495.0)</f>
        <v>1495</v>
      </c>
      <c r="F18" s="5">
        <f>IFERROR(__xludf.DUMMYFUNCTION("""COMPUTED_VALUE"""),6402900.0)</f>
        <v>6402900</v>
      </c>
      <c r="G18" s="5">
        <f t="shared" si="1"/>
        <v>25</v>
      </c>
    </row>
    <row r="19">
      <c r="A19" s="4">
        <f>IFERROR(__xludf.DUMMYFUNCTION("""COMPUTED_VALUE"""),43857.66666666667)</f>
        <v>43857.66667</v>
      </c>
      <c r="B19" s="5">
        <f>IFERROR(__xludf.DUMMYFUNCTION("""COMPUTED_VALUE"""),1490.0)</f>
        <v>1490</v>
      </c>
      <c r="C19" s="5">
        <f>IFERROR(__xludf.DUMMYFUNCTION("""COMPUTED_VALUE"""),1490.0)</f>
        <v>1490</v>
      </c>
      <c r="D19" s="5">
        <f>IFERROR(__xludf.DUMMYFUNCTION("""COMPUTED_VALUE"""),1420.0)</f>
        <v>1420</v>
      </c>
      <c r="E19" s="5">
        <f>IFERROR(__xludf.DUMMYFUNCTION("""COMPUTED_VALUE"""),1420.0)</f>
        <v>1420</v>
      </c>
      <c r="F19" s="5">
        <f>IFERROR(__xludf.DUMMYFUNCTION("""COMPUTED_VALUE"""),1.38086E7)</f>
        <v>13808600</v>
      </c>
      <c r="G19" s="5">
        <f t="shared" si="1"/>
        <v>75</v>
      </c>
    </row>
    <row r="20">
      <c r="A20" s="4">
        <f>IFERROR(__xludf.DUMMYFUNCTION("""COMPUTED_VALUE"""),43858.66666666667)</f>
        <v>43858.66667</v>
      </c>
      <c r="B20" s="5">
        <f>IFERROR(__xludf.DUMMYFUNCTION("""COMPUTED_VALUE"""),1410.0)</f>
        <v>1410</v>
      </c>
      <c r="C20" s="5">
        <f>IFERROR(__xludf.DUMMYFUNCTION("""COMPUTED_VALUE"""),1475.0)</f>
        <v>1475</v>
      </c>
      <c r="D20" s="5">
        <f>IFERROR(__xludf.DUMMYFUNCTION("""COMPUTED_VALUE"""),1385.0)</f>
        <v>1385</v>
      </c>
      <c r="E20" s="5">
        <f>IFERROR(__xludf.DUMMYFUNCTION("""COMPUTED_VALUE"""),1465.0)</f>
        <v>1465</v>
      </c>
      <c r="F20" s="5">
        <f>IFERROR(__xludf.DUMMYFUNCTION("""COMPUTED_VALUE"""),1.57051E7)</f>
        <v>15705100</v>
      </c>
      <c r="G20" s="5">
        <f t="shared" si="1"/>
        <v>90</v>
      </c>
    </row>
    <row r="21">
      <c r="A21" s="4">
        <f>IFERROR(__xludf.DUMMYFUNCTION("""COMPUTED_VALUE"""),43859.66666666667)</f>
        <v>43859.66667</v>
      </c>
      <c r="B21" s="5">
        <f>IFERROR(__xludf.DUMMYFUNCTION("""COMPUTED_VALUE"""),1480.0)</f>
        <v>1480</v>
      </c>
      <c r="C21" s="5">
        <f>IFERROR(__xludf.DUMMYFUNCTION("""COMPUTED_VALUE"""),1495.0)</f>
        <v>1495</v>
      </c>
      <c r="D21" s="5">
        <f>IFERROR(__xludf.DUMMYFUNCTION("""COMPUTED_VALUE"""),1430.0)</f>
        <v>1430</v>
      </c>
      <c r="E21" s="5">
        <f>IFERROR(__xludf.DUMMYFUNCTION("""COMPUTED_VALUE"""),1435.0)</f>
        <v>1435</v>
      </c>
      <c r="F21" s="5">
        <f>IFERROR(__xludf.DUMMYFUNCTION("""COMPUTED_VALUE"""),1.17626E7)</f>
        <v>11762600</v>
      </c>
      <c r="G21" s="5">
        <f t="shared" si="1"/>
        <v>65</v>
      </c>
    </row>
    <row r="22">
      <c r="A22" s="4">
        <f>IFERROR(__xludf.DUMMYFUNCTION("""COMPUTED_VALUE"""),43860.66666666667)</f>
        <v>43860.66667</v>
      </c>
      <c r="B22" s="5">
        <f>IFERROR(__xludf.DUMMYFUNCTION("""COMPUTED_VALUE"""),1440.0)</f>
        <v>1440</v>
      </c>
      <c r="C22" s="5">
        <f>IFERROR(__xludf.DUMMYFUNCTION("""COMPUTED_VALUE"""),1450.0)</f>
        <v>1450</v>
      </c>
      <c r="D22" s="5">
        <f>IFERROR(__xludf.DUMMYFUNCTION("""COMPUTED_VALUE"""),1380.0)</f>
        <v>1380</v>
      </c>
      <c r="E22" s="5">
        <f>IFERROR(__xludf.DUMMYFUNCTION("""COMPUTED_VALUE"""),1395.0)</f>
        <v>1395</v>
      </c>
      <c r="F22" s="5">
        <f>IFERROR(__xludf.DUMMYFUNCTION("""COMPUTED_VALUE"""),1.43155E7)</f>
        <v>14315500</v>
      </c>
      <c r="G22" s="5">
        <f t="shared" si="1"/>
        <v>70</v>
      </c>
    </row>
    <row r="23">
      <c r="A23" s="4">
        <f>IFERROR(__xludf.DUMMYFUNCTION("""COMPUTED_VALUE"""),43861.66666666667)</f>
        <v>43861.66667</v>
      </c>
      <c r="B23" s="5">
        <f>IFERROR(__xludf.DUMMYFUNCTION("""COMPUTED_VALUE"""),1405.0)</f>
        <v>1405</v>
      </c>
      <c r="C23" s="5">
        <f>IFERROR(__xludf.DUMMYFUNCTION("""COMPUTED_VALUE"""),1415.0)</f>
        <v>1415</v>
      </c>
      <c r="D23" s="5">
        <f>IFERROR(__xludf.DUMMYFUNCTION("""COMPUTED_VALUE"""),1355.0)</f>
        <v>1355</v>
      </c>
      <c r="E23" s="5">
        <f>IFERROR(__xludf.DUMMYFUNCTION("""COMPUTED_VALUE"""),1380.0)</f>
        <v>1380</v>
      </c>
      <c r="F23" s="5">
        <f>IFERROR(__xludf.DUMMYFUNCTION("""COMPUTED_VALUE"""),1.44481E7)</f>
        <v>14448100</v>
      </c>
      <c r="G23" s="5">
        <f t="shared" si="1"/>
        <v>60</v>
      </c>
    </row>
    <row r="24">
      <c r="A24" s="4">
        <f>IFERROR(__xludf.DUMMYFUNCTION("""COMPUTED_VALUE"""),43864.66666666667)</f>
        <v>43864.66667</v>
      </c>
      <c r="B24" s="5">
        <f>IFERROR(__xludf.DUMMYFUNCTION("""COMPUTED_VALUE"""),1350.0)</f>
        <v>1350</v>
      </c>
      <c r="C24" s="5">
        <f>IFERROR(__xludf.DUMMYFUNCTION("""COMPUTED_VALUE"""),1400.0)</f>
        <v>1400</v>
      </c>
      <c r="D24" s="5">
        <f>IFERROR(__xludf.DUMMYFUNCTION("""COMPUTED_VALUE"""),1350.0)</f>
        <v>1350</v>
      </c>
      <c r="E24" s="5">
        <f>IFERROR(__xludf.DUMMYFUNCTION("""COMPUTED_VALUE"""),1380.0)</f>
        <v>1380</v>
      </c>
      <c r="F24" s="5">
        <f>IFERROR(__xludf.DUMMYFUNCTION("""COMPUTED_VALUE"""),1.31162E7)</f>
        <v>13116200</v>
      </c>
      <c r="G24" s="5">
        <f t="shared" si="1"/>
        <v>50</v>
      </c>
    </row>
    <row r="25">
      <c r="A25" s="4">
        <f>IFERROR(__xludf.DUMMYFUNCTION("""COMPUTED_VALUE"""),43865.66666666667)</f>
        <v>43865.66667</v>
      </c>
      <c r="B25" s="5">
        <f>IFERROR(__xludf.DUMMYFUNCTION("""COMPUTED_VALUE"""),1395.0)</f>
        <v>1395</v>
      </c>
      <c r="C25" s="5">
        <f>IFERROR(__xludf.DUMMYFUNCTION("""COMPUTED_VALUE"""),1420.0)</f>
        <v>1420</v>
      </c>
      <c r="D25" s="5">
        <f>IFERROR(__xludf.DUMMYFUNCTION("""COMPUTED_VALUE"""),1370.0)</f>
        <v>1370</v>
      </c>
      <c r="E25" s="5">
        <f>IFERROR(__xludf.DUMMYFUNCTION("""COMPUTED_VALUE"""),1375.0)</f>
        <v>1375</v>
      </c>
      <c r="F25" s="5">
        <f>IFERROR(__xludf.DUMMYFUNCTION("""COMPUTED_VALUE"""),9469200.0)</f>
        <v>9469200</v>
      </c>
      <c r="G25" s="5">
        <f t="shared" si="1"/>
        <v>50</v>
      </c>
    </row>
    <row r="26">
      <c r="A26" s="4">
        <f>IFERROR(__xludf.DUMMYFUNCTION("""COMPUTED_VALUE"""),43866.66666666667)</f>
        <v>43866.66667</v>
      </c>
      <c r="B26" s="5">
        <f>IFERROR(__xludf.DUMMYFUNCTION("""COMPUTED_VALUE"""),1390.0)</f>
        <v>1390</v>
      </c>
      <c r="C26" s="5">
        <f>IFERROR(__xludf.DUMMYFUNCTION("""COMPUTED_VALUE"""),1405.0)</f>
        <v>1405</v>
      </c>
      <c r="D26" s="5">
        <f>IFERROR(__xludf.DUMMYFUNCTION("""COMPUTED_VALUE"""),1360.0)</f>
        <v>1360</v>
      </c>
      <c r="E26" s="5">
        <f>IFERROR(__xludf.DUMMYFUNCTION("""COMPUTED_VALUE"""),1375.0)</f>
        <v>1375</v>
      </c>
      <c r="F26" s="5">
        <f>IFERROR(__xludf.DUMMYFUNCTION("""COMPUTED_VALUE"""),1.23646E7)</f>
        <v>12364600</v>
      </c>
      <c r="G26" s="5">
        <f t="shared" si="1"/>
        <v>45</v>
      </c>
    </row>
    <row r="27">
      <c r="A27" s="4">
        <f>IFERROR(__xludf.DUMMYFUNCTION("""COMPUTED_VALUE"""),43867.66666666667)</f>
        <v>43867.66667</v>
      </c>
      <c r="B27" s="5">
        <f>IFERROR(__xludf.DUMMYFUNCTION("""COMPUTED_VALUE"""),1395.0)</f>
        <v>1395</v>
      </c>
      <c r="C27" s="5">
        <f>IFERROR(__xludf.DUMMYFUNCTION("""COMPUTED_VALUE"""),1465.0)</f>
        <v>1465</v>
      </c>
      <c r="D27" s="5">
        <f>IFERROR(__xludf.DUMMYFUNCTION("""COMPUTED_VALUE"""),1385.0)</f>
        <v>1385</v>
      </c>
      <c r="E27" s="5">
        <f>IFERROR(__xludf.DUMMYFUNCTION("""COMPUTED_VALUE"""),1450.0)</f>
        <v>1450</v>
      </c>
      <c r="F27" s="5">
        <f>IFERROR(__xludf.DUMMYFUNCTION("""COMPUTED_VALUE"""),2.58862E7)</f>
        <v>25886200</v>
      </c>
      <c r="G27" s="5">
        <f t="shared" si="1"/>
        <v>90</v>
      </c>
    </row>
    <row r="28">
      <c r="A28" s="4">
        <f>IFERROR(__xludf.DUMMYFUNCTION("""COMPUTED_VALUE"""),43868.66666666667)</f>
        <v>43868.66667</v>
      </c>
      <c r="B28" s="5">
        <f>IFERROR(__xludf.DUMMYFUNCTION("""COMPUTED_VALUE"""),1450.0)</f>
        <v>1450</v>
      </c>
      <c r="C28" s="5">
        <f>IFERROR(__xludf.DUMMYFUNCTION("""COMPUTED_VALUE"""),1490.0)</f>
        <v>1490</v>
      </c>
      <c r="D28" s="5">
        <f>IFERROR(__xludf.DUMMYFUNCTION("""COMPUTED_VALUE"""),1430.0)</f>
        <v>1430</v>
      </c>
      <c r="E28" s="5">
        <f>IFERROR(__xludf.DUMMYFUNCTION("""COMPUTED_VALUE"""),1475.0)</f>
        <v>1475</v>
      </c>
      <c r="F28" s="5">
        <f>IFERROR(__xludf.DUMMYFUNCTION("""COMPUTED_VALUE"""),1.78235E7)</f>
        <v>17823500</v>
      </c>
      <c r="G28" s="5">
        <f t="shared" si="1"/>
        <v>60</v>
      </c>
    </row>
    <row r="29">
      <c r="A29" s="4">
        <f>IFERROR(__xludf.DUMMYFUNCTION("""COMPUTED_VALUE"""),43871.66666666667)</f>
        <v>43871.66667</v>
      </c>
      <c r="B29" s="5">
        <f>IFERROR(__xludf.DUMMYFUNCTION("""COMPUTED_VALUE"""),1460.0)</f>
        <v>1460</v>
      </c>
      <c r="C29" s="5">
        <f>IFERROR(__xludf.DUMMYFUNCTION("""COMPUTED_VALUE"""),1475.0)</f>
        <v>1475</v>
      </c>
      <c r="D29" s="5">
        <f>IFERROR(__xludf.DUMMYFUNCTION("""COMPUTED_VALUE"""),1400.0)</f>
        <v>1400</v>
      </c>
      <c r="E29" s="5">
        <f>IFERROR(__xludf.DUMMYFUNCTION("""COMPUTED_VALUE"""),1405.0)</f>
        <v>1405</v>
      </c>
      <c r="F29" s="5">
        <f>IFERROR(__xludf.DUMMYFUNCTION("""COMPUTED_VALUE"""),1.33337E7)</f>
        <v>13333700</v>
      </c>
      <c r="G29" s="5">
        <f t="shared" si="1"/>
        <v>75</v>
      </c>
    </row>
    <row r="30">
      <c r="A30" s="4">
        <f>IFERROR(__xludf.DUMMYFUNCTION("""COMPUTED_VALUE"""),43872.66666666667)</f>
        <v>43872.66667</v>
      </c>
      <c r="B30" s="5">
        <f>IFERROR(__xludf.DUMMYFUNCTION("""COMPUTED_VALUE"""),1420.0)</f>
        <v>1420</v>
      </c>
      <c r="C30" s="5">
        <f>IFERROR(__xludf.DUMMYFUNCTION("""COMPUTED_VALUE"""),1440.0)</f>
        <v>1440</v>
      </c>
      <c r="D30" s="5">
        <f>IFERROR(__xludf.DUMMYFUNCTION("""COMPUTED_VALUE"""),1400.0)</f>
        <v>1400</v>
      </c>
      <c r="E30" s="5">
        <f>IFERROR(__xludf.DUMMYFUNCTION("""COMPUTED_VALUE"""),1440.0)</f>
        <v>1440</v>
      </c>
      <c r="F30" s="5">
        <f>IFERROR(__xludf.DUMMYFUNCTION("""COMPUTED_VALUE"""),9688700.0)</f>
        <v>9688700</v>
      </c>
      <c r="G30" s="5">
        <f t="shared" si="1"/>
        <v>40</v>
      </c>
    </row>
    <row r="31">
      <c r="A31" s="4">
        <f>IFERROR(__xludf.DUMMYFUNCTION("""COMPUTED_VALUE"""),43873.66666666667)</f>
        <v>43873.66667</v>
      </c>
      <c r="B31" s="5">
        <f>IFERROR(__xludf.DUMMYFUNCTION("""COMPUTED_VALUE"""),1445.0)</f>
        <v>1445</v>
      </c>
      <c r="C31" s="5">
        <f>IFERROR(__xludf.DUMMYFUNCTION("""COMPUTED_VALUE"""),1455.0)</f>
        <v>1455</v>
      </c>
      <c r="D31" s="5">
        <f>IFERROR(__xludf.DUMMYFUNCTION("""COMPUTED_VALUE"""),1400.0)</f>
        <v>1400</v>
      </c>
      <c r="E31" s="5">
        <f>IFERROR(__xludf.DUMMYFUNCTION("""COMPUTED_VALUE"""),1415.0)</f>
        <v>1415</v>
      </c>
      <c r="F31" s="5">
        <f>IFERROR(__xludf.DUMMYFUNCTION("""COMPUTED_VALUE"""),1.03708E7)</f>
        <v>10370800</v>
      </c>
      <c r="G31" s="5">
        <f t="shared" si="1"/>
        <v>55</v>
      </c>
    </row>
    <row r="32">
      <c r="A32" s="4">
        <f>IFERROR(__xludf.DUMMYFUNCTION("""COMPUTED_VALUE"""),43874.66666666667)</f>
        <v>43874.66667</v>
      </c>
      <c r="B32" s="5">
        <f>IFERROR(__xludf.DUMMYFUNCTION("""COMPUTED_VALUE"""),1420.0)</f>
        <v>1420</v>
      </c>
      <c r="C32" s="5">
        <f>IFERROR(__xludf.DUMMYFUNCTION("""COMPUTED_VALUE"""),1425.0)</f>
        <v>1425</v>
      </c>
      <c r="D32" s="5">
        <f>IFERROR(__xludf.DUMMYFUNCTION("""COMPUTED_VALUE"""),1340.0)</f>
        <v>1340</v>
      </c>
      <c r="E32" s="5">
        <f>IFERROR(__xludf.DUMMYFUNCTION("""COMPUTED_VALUE"""),1350.0)</f>
        <v>1350</v>
      </c>
      <c r="F32" s="5">
        <f>IFERROR(__xludf.DUMMYFUNCTION("""COMPUTED_VALUE"""),2.19363E7)</f>
        <v>21936300</v>
      </c>
      <c r="G32" s="5">
        <f t="shared" si="1"/>
        <v>85</v>
      </c>
    </row>
    <row r="33">
      <c r="A33" s="4">
        <f>IFERROR(__xludf.DUMMYFUNCTION("""COMPUTED_VALUE"""),43875.66666666667)</f>
        <v>43875.66667</v>
      </c>
      <c r="B33" s="5">
        <f>IFERROR(__xludf.DUMMYFUNCTION("""COMPUTED_VALUE"""),1350.0)</f>
        <v>1350</v>
      </c>
      <c r="C33" s="5">
        <f>IFERROR(__xludf.DUMMYFUNCTION("""COMPUTED_VALUE"""),1370.0)</f>
        <v>1370</v>
      </c>
      <c r="D33" s="5">
        <f>IFERROR(__xludf.DUMMYFUNCTION("""COMPUTED_VALUE"""),1340.0)</f>
        <v>1340</v>
      </c>
      <c r="E33" s="5">
        <f>IFERROR(__xludf.DUMMYFUNCTION("""COMPUTED_VALUE"""),1360.0)</f>
        <v>1360</v>
      </c>
      <c r="F33" s="5">
        <f>IFERROR(__xludf.DUMMYFUNCTION("""COMPUTED_VALUE"""),8176300.0)</f>
        <v>8176300</v>
      </c>
      <c r="G33" s="5">
        <f t="shared" si="1"/>
        <v>30</v>
      </c>
    </row>
    <row r="34">
      <c r="A34" s="4">
        <f>IFERROR(__xludf.DUMMYFUNCTION("""COMPUTED_VALUE"""),43878.66666666667)</f>
        <v>43878.66667</v>
      </c>
      <c r="B34" s="5">
        <f>IFERROR(__xludf.DUMMYFUNCTION("""COMPUTED_VALUE"""),1360.0)</f>
        <v>1360</v>
      </c>
      <c r="C34" s="5">
        <f>IFERROR(__xludf.DUMMYFUNCTION("""COMPUTED_VALUE"""),1420.0)</f>
        <v>1420</v>
      </c>
      <c r="D34" s="5">
        <f>IFERROR(__xludf.DUMMYFUNCTION("""COMPUTED_VALUE"""),1355.0)</f>
        <v>1355</v>
      </c>
      <c r="E34" s="5">
        <f>IFERROR(__xludf.DUMMYFUNCTION("""COMPUTED_VALUE"""),1400.0)</f>
        <v>1400</v>
      </c>
      <c r="F34" s="5">
        <f>IFERROR(__xludf.DUMMYFUNCTION("""COMPUTED_VALUE"""),1.57902E7)</f>
        <v>15790200</v>
      </c>
      <c r="G34" s="5">
        <f t="shared" si="1"/>
        <v>65</v>
      </c>
    </row>
    <row r="35">
      <c r="A35" s="4">
        <f>IFERROR(__xludf.DUMMYFUNCTION("""COMPUTED_VALUE"""),43879.66666666667)</f>
        <v>43879.66667</v>
      </c>
      <c r="B35" s="5">
        <f>IFERROR(__xludf.DUMMYFUNCTION("""COMPUTED_VALUE"""),1405.0)</f>
        <v>1405</v>
      </c>
      <c r="C35" s="5">
        <f>IFERROR(__xludf.DUMMYFUNCTION("""COMPUTED_VALUE"""),1505.0)</f>
        <v>1505</v>
      </c>
      <c r="D35" s="5">
        <f>IFERROR(__xludf.DUMMYFUNCTION("""COMPUTED_VALUE"""),1400.0)</f>
        <v>1400</v>
      </c>
      <c r="E35" s="5">
        <f>IFERROR(__xludf.DUMMYFUNCTION("""COMPUTED_VALUE"""),1485.0)</f>
        <v>1485</v>
      </c>
      <c r="F35" s="5">
        <f>IFERROR(__xludf.DUMMYFUNCTION("""COMPUTED_VALUE"""),2.88649E7)</f>
        <v>28864900</v>
      </c>
      <c r="G35" s="5">
        <f t="shared" si="1"/>
        <v>105</v>
      </c>
    </row>
    <row r="36">
      <c r="A36" s="4">
        <f>IFERROR(__xludf.DUMMYFUNCTION("""COMPUTED_VALUE"""),43880.66666666667)</f>
        <v>43880.66667</v>
      </c>
      <c r="B36" s="5">
        <f>IFERROR(__xludf.DUMMYFUNCTION("""COMPUTED_VALUE"""),1485.0)</f>
        <v>1485</v>
      </c>
      <c r="C36" s="5">
        <f>IFERROR(__xludf.DUMMYFUNCTION("""COMPUTED_VALUE"""),1520.0)</f>
        <v>1520</v>
      </c>
      <c r="D36" s="5">
        <f>IFERROR(__xludf.DUMMYFUNCTION("""COMPUTED_VALUE"""),1475.0)</f>
        <v>1475</v>
      </c>
      <c r="E36" s="5">
        <f>IFERROR(__xludf.DUMMYFUNCTION("""COMPUTED_VALUE"""),1495.0)</f>
        <v>1495</v>
      </c>
      <c r="F36" s="5">
        <f>IFERROR(__xludf.DUMMYFUNCTION("""COMPUTED_VALUE"""),3.82293E7)</f>
        <v>38229300</v>
      </c>
      <c r="G36" s="5">
        <f t="shared" si="1"/>
        <v>45</v>
      </c>
    </row>
    <row r="37">
      <c r="A37" s="4">
        <f>IFERROR(__xludf.DUMMYFUNCTION("""COMPUTED_VALUE"""),43881.66666666667)</f>
        <v>43881.66667</v>
      </c>
      <c r="B37" s="5">
        <f>IFERROR(__xludf.DUMMYFUNCTION("""COMPUTED_VALUE"""),1500.0)</f>
        <v>1500</v>
      </c>
      <c r="C37" s="5">
        <f>IFERROR(__xludf.DUMMYFUNCTION("""COMPUTED_VALUE"""),1505.0)</f>
        <v>1505</v>
      </c>
      <c r="D37" s="5">
        <f>IFERROR(__xludf.DUMMYFUNCTION("""COMPUTED_VALUE"""),1440.0)</f>
        <v>1440</v>
      </c>
      <c r="E37" s="5">
        <f>IFERROR(__xludf.DUMMYFUNCTION("""COMPUTED_VALUE"""),1475.0)</f>
        <v>1475</v>
      </c>
      <c r="F37" s="5">
        <f>IFERROR(__xludf.DUMMYFUNCTION("""COMPUTED_VALUE"""),1.77931E7)</f>
        <v>17793100</v>
      </c>
      <c r="G37" s="5">
        <f t="shared" si="1"/>
        <v>65</v>
      </c>
    </row>
    <row r="38">
      <c r="A38" s="4">
        <f>IFERROR(__xludf.DUMMYFUNCTION("""COMPUTED_VALUE"""),43882.66666666667)</f>
        <v>43882.66667</v>
      </c>
      <c r="B38" s="5">
        <f>IFERROR(__xludf.DUMMYFUNCTION("""COMPUTED_VALUE"""),1460.0)</f>
        <v>1460</v>
      </c>
      <c r="C38" s="5">
        <f>IFERROR(__xludf.DUMMYFUNCTION("""COMPUTED_VALUE"""),1465.0)</f>
        <v>1465</v>
      </c>
      <c r="D38" s="5">
        <f>IFERROR(__xludf.DUMMYFUNCTION("""COMPUTED_VALUE"""),1405.0)</f>
        <v>1405</v>
      </c>
      <c r="E38" s="5">
        <f>IFERROR(__xludf.DUMMYFUNCTION("""COMPUTED_VALUE"""),1410.0)</f>
        <v>1410</v>
      </c>
      <c r="F38" s="5">
        <f>IFERROR(__xludf.DUMMYFUNCTION("""COMPUTED_VALUE"""),1.22386E7)</f>
        <v>12238600</v>
      </c>
      <c r="G38" s="5">
        <f t="shared" si="1"/>
        <v>70</v>
      </c>
    </row>
    <row r="39">
      <c r="A39" s="4">
        <f>IFERROR(__xludf.DUMMYFUNCTION("""COMPUTED_VALUE"""),43885.66666666667)</f>
        <v>43885.66667</v>
      </c>
      <c r="B39" s="5">
        <f>IFERROR(__xludf.DUMMYFUNCTION("""COMPUTED_VALUE"""),1395.0)</f>
        <v>1395</v>
      </c>
      <c r="C39" s="5">
        <f>IFERROR(__xludf.DUMMYFUNCTION("""COMPUTED_VALUE"""),1395.0)</f>
        <v>1395</v>
      </c>
      <c r="D39" s="5">
        <f>IFERROR(__xludf.DUMMYFUNCTION("""COMPUTED_VALUE"""),1330.0)</f>
        <v>1330</v>
      </c>
      <c r="E39" s="5">
        <f>IFERROR(__xludf.DUMMYFUNCTION("""COMPUTED_VALUE"""),1335.0)</f>
        <v>1335</v>
      </c>
      <c r="F39" s="5">
        <f>IFERROR(__xludf.DUMMYFUNCTION("""COMPUTED_VALUE"""),2.38683E7)</f>
        <v>23868300</v>
      </c>
      <c r="G39" s="5">
        <f t="shared" si="1"/>
        <v>80</v>
      </c>
    </row>
    <row r="40">
      <c r="A40" s="4">
        <f>IFERROR(__xludf.DUMMYFUNCTION("""COMPUTED_VALUE"""),43886.66666666667)</f>
        <v>43886.66667</v>
      </c>
      <c r="B40" s="5">
        <f>IFERROR(__xludf.DUMMYFUNCTION("""COMPUTED_VALUE"""),1325.0)</f>
        <v>1325</v>
      </c>
      <c r="C40" s="5">
        <f>IFERROR(__xludf.DUMMYFUNCTION("""COMPUTED_VALUE"""),1345.0)</f>
        <v>1345</v>
      </c>
      <c r="D40" s="5">
        <f>IFERROR(__xludf.DUMMYFUNCTION("""COMPUTED_VALUE"""),1300.0)</f>
        <v>1300</v>
      </c>
      <c r="E40" s="5">
        <f>IFERROR(__xludf.DUMMYFUNCTION("""COMPUTED_VALUE"""),1330.0)</f>
        <v>1330</v>
      </c>
      <c r="F40" s="5">
        <f>IFERROR(__xludf.DUMMYFUNCTION("""COMPUTED_VALUE"""),2.40166E7)</f>
        <v>24016600</v>
      </c>
      <c r="G40" s="5">
        <f t="shared" si="1"/>
        <v>45</v>
      </c>
    </row>
    <row r="41">
      <c r="A41" s="4">
        <f>IFERROR(__xludf.DUMMYFUNCTION("""COMPUTED_VALUE"""),43887.66666666667)</f>
        <v>43887.66667</v>
      </c>
      <c r="B41" s="5">
        <f>IFERROR(__xludf.DUMMYFUNCTION("""COMPUTED_VALUE"""),1305.0)</f>
        <v>1305</v>
      </c>
      <c r="C41" s="5">
        <f>IFERROR(__xludf.DUMMYFUNCTION("""COMPUTED_VALUE"""),1340.0)</f>
        <v>1340</v>
      </c>
      <c r="D41" s="5">
        <f>IFERROR(__xludf.DUMMYFUNCTION("""COMPUTED_VALUE"""),1250.0)</f>
        <v>1250</v>
      </c>
      <c r="E41" s="5">
        <f>IFERROR(__xludf.DUMMYFUNCTION("""COMPUTED_VALUE"""),1250.0)</f>
        <v>1250</v>
      </c>
      <c r="F41" s="5">
        <f>IFERROR(__xludf.DUMMYFUNCTION("""COMPUTED_VALUE"""),2.48278E7)</f>
        <v>24827800</v>
      </c>
      <c r="G41" s="5">
        <f t="shared" si="1"/>
        <v>90</v>
      </c>
    </row>
    <row r="42">
      <c r="A42" s="4">
        <f>IFERROR(__xludf.DUMMYFUNCTION("""COMPUTED_VALUE"""),43888.66666666667)</f>
        <v>43888.66667</v>
      </c>
      <c r="B42" s="5">
        <f>IFERROR(__xludf.DUMMYFUNCTION("""COMPUTED_VALUE"""),1255.0)</f>
        <v>1255</v>
      </c>
      <c r="C42" s="5">
        <f>IFERROR(__xludf.DUMMYFUNCTION("""COMPUTED_VALUE"""),1260.0)</f>
        <v>1260</v>
      </c>
      <c r="D42" s="5">
        <f>IFERROR(__xludf.DUMMYFUNCTION("""COMPUTED_VALUE"""),1150.0)</f>
        <v>1150</v>
      </c>
      <c r="E42" s="5">
        <f>IFERROR(__xludf.DUMMYFUNCTION("""COMPUTED_VALUE"""),1195.0)</f>
        <v>1195</v>
      </c>
      <c r="F42" s="5">
        <f>IFERROR(__xludf.DUMMYFUNCTION("""COMPUTED_VALUE"""),4.64277E7)</f>
        <v>46427700</v>
      </c>
      <c r="G42" s="5">
        <f t="shared" si="1"/>
        <v>110</v>
      </c>
    </row>
    <row r="43">
      <c r="A43" s="4">
        <f>IFERROR(__xludf.DUMMYFUNCTION("""COMPUTED_VALUE"""),43889.66666666667)</f>
        <v>43889.66667</v>
      </c>
      <c r="B43" s="5">
        <f>IFERROR(__xludf.DUMMYFUNCTION("""COMPUTED_VALUE"""),1145.0)</f>
        <v>1145</v>
      </c>
      <c r="C43" s="5">
        <f>IFERROR(__xludf.DUMMYFUNCTION("""COMPUTED_VALUE"""),1205.0)</f>
        <v>1205</v>
      </c>
      <c r="D43" s="5">
        <f>IFERROR(__xludf.DUMMYFUNCTION("""COMPUTED_VALUE"""),1065.0)</f>
        <v>1065</v>
      </c>
      <c r="E43" s="5">
        <f>IFERROR(__xludf.DUMMYFUNCTION("""COMPUTED_VALUE"""),1205.0)</f>
        <v>1205</v>
      </c>
      <c r="F43" s="5">
        <f>IFERROR(__xludf.DUMMYFUNCTION("""COMPUTED_VALUE"""),3.78394E7)</f>
        <v>37839400</v>
      </c>
      <c r="G43" s="5">
        <f t="shared" si="1"/>
        <v>140</v>
      </c>
    </row>
    <row r="44">
      <c r="A44" s="4">
        <f>IFERROR(__xludf.DUMMYFUNCTION("""COMPUTED_VALUE"""),43892.66666666667)</f>
        <v>43892.66667</v>
      </c>
      <c r="B44" s="5">
        <f>IFERROR(__xludf.DUMMYFUNCTION("""COMPUTED_VALUE"""),1175.0)</f>
        <v>1175</v>
      </c>
      <c r="C44" s="5">
        <f>IFERROR(__xludf.DUMMYFUNCTION("""COMPUTED_VALUE"""),1220.0)</f>
        <v>1220</v>
      </c>
      <c r="D44" s="5">
        <f>IFERROR(__xludf.DUMMYFUNCTION("""COMPUTED_VALUE"""),1100.0)</f>
        <v>1100</v>
      </c>
      <c r="E44" s="5">
        <f>IFERROR(__xludf.DUMMYFUNCTION("""COMPUTED_VALUE"""),1120.0)</f>
        <v>1120</v>
      </c>
      <c r="F44" s="5">
        <f>IFERROR(__xludf.DUMMYFUNCTION("""COMPUTED_VALUE"""),5.70339E7)</f>
        <v>57033900</v>
      </c>
      <c r="G44" s="5">
        <f t="shared" si="1"/>
        <v>120</v>
      </c>
    </row>
    <row r="45">
      <c r="A45" s="4">
        <f>IFERROR(__xludf.DUMMYFUNCTION("""COMPUTED_VALUE"""),43893.66666666667)</f>
        <v>43893.66667</v>
      </c>
      <c r="B45" s="5">
        <f>IFERROR(__xludf.DUMMYFUNCTION("""COMPUTED_VALUE"""),1150.0)</f>
        <v>1150</v>
      </c>
      <c r="C45" s="5">
        <f>IFERROR(__xludf.DUMMYFUNCTION("""COMPUTED_VALUE"""),1165.0)</f>
        <v>1165</v>
      </c>
      <c r="D45" s="5">
        <f>IFERROR(__xludf.DUMMYFUNCTION("""COMPUTED_VALUE"""),1120.0)</f>
        <v>1120</v>
      </c>
      <c r="E45" s="5">
        <f>IFERROR(__xludf.DUMMYFUNCTION("""COMPUTED_VALUE"""),1125.0)</f>
        <v>1125</v>
      </c>
      <c r="F45" s="5">
        <f>IFERROR(__xludf.DUMMYFUNCTION("""COMPUTED_VALUE"""),4.69688E7)</f>
        <v>46968800</v>
      </c>
      <c r="G45" s="5">
        <f t="shared" si="1"/>
        <v>45</v>
      </c>
    </row>
    <row r="46">
      <c r="A46" s="4">
        <f>IFERROR(__xludf.DUMMYFUNCTION("""COMPUTED_VALUE"""),43894.66666666667)</f>
        <v>43894.66667</v>
      </c>
      <c r="B46" s="5">
        <f>IFERROR(__xludf.DUMMYFUNCTION("""COMPUTED_VALUE"""),1120.0)</f>
        <v>1120</v>
      </c>
      <c r="C46" s="5">
        <f>IFERROR(__xludf.DUMMYFUNCTION("""COMPUTED_VALUE"""),1180.0)</f>
        <v>1180</v>
      </c>
      <c r="D46" s="5">
        <f>IFERROR(__xludf.DUMMYFUNCTION("""COMPUTED_VALUE"""),1105.0)</f>
        <v>1105</v>
      </c>
      <c r="E46" s="5">
        <f>IFERROR(__xludf.DUMMYFUNCTION("""COMPUTED_VALUE"""),1170.0)</f>
        <v>1170</v>
      </c>
      <c r="F46" s="5">
        <f>IFERROR(__xludf.DUMMYFUNCTION("""COMPUTED_VALUE"""),5.64824E7)</f>
        <v>56482400</v>
      </c>
      <c r="G46" s="5">
        <f t="shared" si="1"/>
        <v>75</v>
      </c>
    </row>
    <row r="47">
      <c r="A47" s="4">
        <f>IFERROR(__xludf.DUMMYFUNCTION("""COMPUTED_VALUE"""),43895.66666666667)</f>
        <v>43895.66667</v>
      </c>
      <c r="B47" s="5">
        <f>IFERROR(__xludf.DUMMYFUNCTION("""COMPUTED_VALUE"""),1195.0)</f>
        <v>1195</v>
      </c>
      <c r="C47" s="5">
        <f>IFERROR(__xludf.DUMMYFUNCTION("""COMPUTED_VALUE"""),1220.0)</f>
        <v>1220</v>
      </c>
      <c r="D47" s="5">
        <f>IFERROR(__xludf.DUMMYFUNCTION("""COMPUTED_VALUE"""),1155.0)</f>
        <v>1155</v>
      </c>
      <c r="E47" s="5">
        <f>IFERROR(__xludf.DUMMYFUNCTION("""COMPUTED_VALUE"""),1160.0)</f>
        <v>1160</v>
      </c>
      <c r="F47" s="5">
        <f>IFERROR(__xludf.DUMMYFUNCTION("""COMPUTED_VALUE"""),3.64789E7)</f>
        <v>36478900</v>
      </c>
      <c r="G47" s="5">
        <f t="shared" si="1"/>
        <v>65</v>
      </c>
    </row>
    <row r="48">
      <c r="A48" s="4">
        <f>IFERROR(__xludf.DUMMYFUNCTION("""COMPUTED_VALUE"""),43896.66666666667)</f>
        <v>43896.66667</v>
      </c>
      <c r="B48" s="5">
        <f>IFERROR(__xludf.DUMMYFUNCTION("""COMPUTED_VALUE"""),1120.0)</f>
        <v>1120</v>
      </c>
      <c r="C48" s="5">
        <f>IFERROR(__xludf.DUMMYFUNCTION("""COMPUTED_VALUE"""),1130.0)</f>
        <v>1130</v>
      </c>
      <c r="D48" s="5">
        <f>IFERROR(__xludf.DUMMYFUNCTION("""COMPUTED_VALUE"""),1100.0)</f>
        <v>1100</v>
      </c>
      <c r="E48" s="5">
        <f>IFERROR(__xludf.DUMMYFUNCTION("""COMPUTED_VALUE"""),1105.0)</f>
        <v>1105</v>
      </c>
      <c r="F48" s="5">
        <f>IFERROR(__xludf.DUMMYFUNCTION("""COMPUTED_VALUE"""),2.20103E7)</f>
        <v>22010300</v>
      </c>
      <c r="G48" s="5">
        <f t="shared" si="1"/>
        <v>60</v>
      </c>
    </row>
    <row r="49">
      <c r="A49" s="4">
        <f>IFERROR(__xludf.DUMMYFUNCTION("""COMPUTED_VALUE"""),43899.66666666667)</f>
        <v>43899.66667</v>
      </c>
      <c r="B49" s="5">
        <f>IFERROR(__xludf.DUMMYFUNCTION("""COMPUTED_VALUE"""),1050.0)</f>
        <v>1050</v>
      </c>
      <c r="C49" s="5">
        <f>IFERROR(__xludf.DUMMYFUNCTION("""COMPUTED_VALUE"""),1050.0)</f>
        <v>1050</v>
      </c>
      <c r="D49" s="5">
        <f>IFERROR(__xludf.DUMMYFUNCTION("""COMPUTED_VALUE"""),920.0)</f>
        <v>920</v>
      </c>
      <c r="E49" s="5">
        <f>IFERROR(__xludf.DUMMYFUNCTION("""COMPUTED_VALUE"""),950.0)</f>
        <v>950</v>
      </c>
      <c r="F49" s="5">
        <f>IFERROR(__xludf.DUMMYFUNCTION("""COMPUTED_VALUE"""),3.77016E7)</f>
        <v>37701600</v>
      </c>
      <c r="G49" s="5">
        <f t="shared" si="1"/>
        <v>185</v>
      </c>
    </row>
    <row r="50">
      <c r="A50" s="4">
        <f>IFERROR(__xludf.DUMMYFUNCTION("""COMPUTED_VALUE"""),43900.66666666667)</f>
        <v>43900.66667</v>
      </c>
      <c r="B50" s="5">
        <f>IFERROR(__xludf.DUMMYFUNCTION("""COMPUTED_VALUE"""),950.0)</f>
        <v>950</v>
      </c>
      <c r="C50" s="5">
        <f>IFERROR(__xludf.DUMMYFUNCTION("""COMPUTED_VALUE"""),1035.0)</f>
        <v>1035</v>
      </c>
      <c r="D50" s="5">
        <f>IFERROR(__xludf.DUMMYFUNCTION("""COMPUTED_VALUE"""),950.0)</f>
        <v>950</v>
      </c>
      <c r="E50" s="5">
        <f>IFERROR(__xludf.DUMMYFUNCTION("""COMPUTED_VALUE"""),980.0)</f>
        <v>980</v>
      </c>
      <c r="F50" s="5">
        <f>IFERROR(__xludf.DUMMYFUNCTION("""COMPUTED_VALUE"""),5.46834E7)</f>
        <v>54683400</v>
      </c>
      <c r="G50" s="5">
        <f t="shared" si="1"/>
        <v>85</v>
      </c>
    </row>
    <row r="51">
      <c r="A51" s="4">
        <f>IFERROR(__xludf.DUMMYFUNCTION("""COMPUTED_VALUE"""),43901.66666666667)</f>
        <v>43901.66667</v>
      </c>
      <c r="B51" s="5">
        <f>IFERROR(__xludf.DUMMYFUNCTION("""COMPUTED_VALUE"""),995.0)</f>
        <v>995</v>
      </c>
      <c r="C51" s="5">
        <f>IFERROR(__xludf.DUMMYFUNCTION("""COMPUTED_VALUE"""),1000.0)</f>
        <v>1000</v>
      </c>
      <c r="D51" s="5">
        <f>IFERROR(__xludf.DUMMYFUNCTION("""COMPUTED_VALUE"""),900.0)</f>
        <v>900</v>
      </c>
      <c r="E51" s="5">
        <f>IFERROR(__xludf.DUMMYFUNCTION("""COMPUTED_VALUE"""),900.0)</f>
        <v>900</v>
      </c>
      <c r="F51" s="5">
        <f>IFERROR(__xludf.DUMMYFUNCTION("""COMPUTED_VALUE"""),3.51545E7)</f>
        <v>35154500</v>
      </c>
      <c r="G51" s="5">
        <f t="shared" si="1"/>
        <v>100</v>
      </c>
    </row>
    <row r="52">
      <c r="A52" s="4">
        <f>IFERROR(__xludf.DUMMYFUNCTION("""COMPUTED_VALUE"""),43902.66666666667)</f>
        <v>43902.66667</v>
      </c>
      <c r="B52" s="5">
        <f>IFERROR(__xludf.DUMMYFUNCTION("""COMPUTED_VALUE"""),820.0)</f>
        <v>820</v>
      </c>
      <c r="C52" s="5">
        <f>IFERROR(__xludf.DUMMYFUNCTION("""COMPUTED_VALUE"""),850.0)</f>
        <v>850</v>
      </c>
      <c r="D52" s="5">
        <f>IFERROR(__xludf.DUMMYFUNCTION("""COMPUTED_VALUE"""),745.0)</f>
        <v>745</v>
      </c>
      <c r="E52" s="5">
        <f>IFERROR(__xludf.DUMMYFUNCTION("""COMPUTED_VALUE"""),785.0)</f>
        <v>785</v>
      </c>
      <c r="F52" s="5">
        <f>IFERROR(__xludf.DUMMYFUNCTION("""COMPUTED_VALUE"""),5.32796E7)</f>
        <v>53279600</v>
      </c>
      <c r="G52" s="5">
        <f t="shared" si="1"/>
        <v>155</v>
      </c>
    </row>
    <row r="53">
      <c r="A53" s="4">
        <f>IFERROR(__xludf.DUMMYFUNCTION("""COMPUTED_VALUE"""),43903.66666666667)</f>
        <v>43903.66667</v>
      </c>
      <c r="B53" s="5">
        <f>IFERROR(__xludf.DUMMYFUNCTION("""COMPUTED_VALUE"""),750.0)</f>
        <v>750</v>
      </c>
      <c r="C53" s="5">
        <f>IFERROR(__xludf.DUMMYFUNCTION("""COMPUTED_VALUE"""),820.0)</f>
        <v>820</v>
      </c>
      <c r="D53" s="5">
        <f>IFERROR(__xludf.DUMMYFUNCTION("""COMPUTED_VALUE"""),735.0)</f>
        <v>735</v>
      </c>
      <c r="E53" s="5">
        <f>IFERROR(__xludf.DUMMYFUNCTION("""COMPUTED_VALUE"""),780.0)</f>
        <v>780</v>
      </c>
      <c r="F53" s="5">
        <f>IFERROR(__xludf.DUMMYFUNCTION("""COMPUTED_VALUE"""),6.14645E7)</f>
        <v>61464500</v>
      </c>
      <c r="G53" s="5">
        <f t="shared" si="1"/>
        <v>85</v>
      </c>
    </row>
    <row r="54">
      <c r="A54" s="4">
        <f>IFERROR(__xludf.DUMMYFUNCTION("""COMPUTED_VALUE"""),43906.66666666667)</f>
        <v>43906.66667</v>
      </c>
      <c r="B54" s="5">
        <f>IFERROR(__xludf.DUMMYFUNCTION("""COMPUTED_VALUE"""),730.0)</f>
        <v>730</v>
      </c>
      <c r="C54" s="5">
        <f>IFERROR(__xludf.DUMMYFUNCTION("""COMPUTED_VALUE"""),755.0)</f>
        <v>755</v>
      </c>
      <c r="D54" s="5">
        <f>IFERROR(__xludf.DUMMYFUNCTION("""COMPUTED_VALUE"""),730.0)</f>
        <v>730</v>
      </c>
      <c r="E54" s="5">
        <f>IFERROR(__xludf.DUMMYFUNCTION("""COMPUTED_VALUE"""),730.0)</f>
        <v>730</v>
      </c>
      <c r="F54" s="5">
        <f>IFERROR(__xludf.DUMMYFUNCTION("""COMPUTED_VALUE"""),2.13724E7)</f>
        <v>21372400</v>
      </c>
      <c r="G54" s="5">
        <f t="shared" si="1"/>
        <v>50</v>
      </c>
    </row>
    <row r="55">
      <c r="A55" s="4">
        <f>IFERROR(__xludf.DUMMYFUNCTION("""COMPUTED_VALUE"""),43907.66666666667)</f>
        <v>43907.66667</v>
      </c>
      <c r="B55" s="5">
        <f>IFERROR(__xludf.DUMMYFUNCTION("""COMPUTED_VALUE"""),720.0)</f>
        <v>720</v>
      </c>
      <c r="C55" s="5">
        <f>IFERROR(__xludf.DUMMYFUNCTION("""COMPUTED_VALUE"""),740.0)</f>
        <v>740</v>
      </c>
      <c r="D55" s="5">
        <f>IFERROR(__xludf.DUMMYFUNCTION("""COMPUTED_VALUE"""),680.0)</f>
        <v>680</v>
      </c>
      <c r="E55" s="5">
        <f>IFERROR(__xludf.DUMMYFUNCTION("""COMPUTED_VALUE"""),680.0)</f>
        <v>680</v>
      </c>
      <c r="F55" s="5">
        <f>IFERROR(__xludf.DUMMYFUNCTION("""COMPUTED_VALUE"""),1.30693E7)</f>
        <v>13069300</v>
      </c>
      <c r="G55" s="5">
        <f t="shared" si="1"/>
        <v>60</v>
      </c>
    </row>
    <row r="56">
      <c r="A56" s="4">
        <f>IFERROR(__xludf.DUMMYFUNCTION("""COMPUTED_VALUE"""),43908.66666666667)</f>
        <v>43908.66667</v>
      </c>
      <c r="B56" s="5">
        <f>IFERROR(__xludf.DUMMYFUNCTION("""COMPUTED_VALUE"""),660.0)</f>
        <v>660</v>
      </c>
      <c r="C56" s="5">
        <f>IFERROR(__xludf.DUMMYFUNCTION("""COMPUTED_VALUE"""),660.0)</f>
        <v>660</v>
      </c>
      <c r="D56" s="5">
        <f>IFERROR(__xludf.DUMMYFUNCTION("""COMPUTED_VALUE"""),635.0)</f>
        <v>635</v>
      </c>
      <c r="E56" s="5">
        <f>IFERROR(__xludf.DUMMYFUNCTION("""COMPUTED_VALUE"""),635.0)</f>
        <v>635</v>
      </c>
      <c r="F56" s="5">
        <f>IFERROR(__xludf.DUMMYFUNCTION("""COMPUTED_VALUE"""),2.48384E7)</f>
        <v>24838400</v>
      </c>
      <c r="G56" s="5">
        <f t="shared" si="1"/>
        <v>45</v>
      </c>
    </row>
    <row r="57">
      <c r="A57" s="4">
        <f>IFERROR(__xludf.DUMMYFUNCTION("""COMPUTED_VALUE"""),43909.66666666667)</f>
        <v>43909.66667</v>
      </c>
      <c r="B57" s="5">
        <f>IFERROR(__xludf.DUMMYFUNCTION("""COMPUTED_VALUE"""),595.0)</f>
        <v>595</v>
      </c>
      <c r="C57" s="5">
        <f>IFERROR(__xludf.DUMMYFUNCTION("""COMPUTED_VALUE"""),595.0)</f>
        <v>595</v>
      </c>
      <c r="D57" s="5">
        <f>IFERROR(__xludf.DUMMYFUNCTION("""COMPUTED_VALUE"""),595.0)</f>
        <v>595</v>
      </c>
      <c r="E57" s="5">
        <f>IFERROR(__xludf.DUMMYFUNCTION("""COMPUTED_VALUE"""),595.0)</f>
        <v>595</v>
      </c>
      <c r="F57" s="5">
        <f>IFERROR(__xludf.DUMMYFUNCTION("""COMPUTED_VALUE"""),1.10088E7)</f>
        <v>11008800</v>
      </c>
      <c r="G57" s="5">
        <f t="shared" si="1"/>
        <v>40</v>
      </c>
    </row>
    <row r="58">
      <c r="A58" s="4">
        <f>IFERROR(__xludf.DUMMYFUNCTION("""COMPUTED_VALUE"""),43910.66666666667)</f>
        <v>43910.66667</v>
      </c>
      <c r="B58" s="5">
        <f>IFERROR(__xludf.DUMMYFUNCTION("""COMPUTED_VALUE"""),555.0)</f>
        <v>555</v>
      </c>
      <c r="C58" s="5">
        <f>IFERROR(__xludf.DUMMYFUNCTION("""COMPUTED_VALUE"""),585.0)</f>
        <v>585</v>
      </c>
      <c r="D58" s="5">
        <f>IFERROR(__xludf.DUMMYFUNCTION("""COMPUTED_VALUE"""),555.0)</f>
        <v>555</v>
      </c>
      <c r="E58" s="5">
        <f>IFERROR(__xludf.DUMMYFUNCTION("""COMPUTED_VALUE"""),555.0)</f>
        <v>555</v>
      </c>
      <c r="F58" s="5">
        <f>IFERROR(__xludf.DUMMYFUNCTION("""COMPUTED_VALUE"""),6.88458E7)</f>
        <v>68845800</v>
      </c>
      <c r="G58" s="5">
        <f t="shared" si="1"/>
        <v>40</v>
      </c>
    </row>
    <row r="59">
      <c r="A59" s="4">
        <f>IFERROR(__xludf.DUMMYFUNCTION("""COMPUTED_VALUE"""),43913.66666666667)</f>
        <v>43913.66667</v>
      </c>
      <c r="B59" s="5">
        <f>IFERROR(__xludf.DUMMYFUNCTION("""COMPUTED_VALUE"""),520.0)</f>
        <v>520</v>
      </c>
      <c r="C59" s="5">
        <f>IFERROR(__xludf.DUMMYFUNCTION("""COMPUTED_VALUE"""),530.0)</f>
        <v>530</v>
      </c>
      <c r="D59" s="5">
        <f>IFERROR(__xludf.DUMMYFUNCTION("""COMPUTED_VALUE"""),520.0)</f>
        <v>520</v>
      </c>
      <c r="E59" s="5">
        <f>IFERROR(__xludf.DUMMYFUNCTION("""COMPUTED_VALUE"""),520.0)</f>
        <v>520</v>
      </c>
      <c r="F59" s="5">
        <f>IFERROR(__xludf.DUMMYFUNCTION("""COMPUTED_VALUE"""),1.47031E7)</f>
        <v>14703100</v>
      </c>
      <c r="G59" s="5">
        <f t="shared" si="1"/>
        <v>35</v>
      </c>
    </row>
    <row r="60">
      <c r="A60" s="4">
        <f>IFERROR(__xludf.DUMMYFUNCTION("""COMPUTED_VALUE"""),43914.66666666667)</f>
        <v>43914.66667</v>
      </c>
      <c r="B60" s="5">
        <f>IFERROR(__xludf.DUMMYFUNCTION("""COMPUTED_VALUE"""),492.0)</f>
        <v>492</v>
      </c>
      <c r="C60" s="5">
        <f>IFERROR(__xludf.DUMMYFUNCTION("""COMPUTED_VALUE"""),550.0)</f>
        <v>550</v>
      </c>
      <c r="D60" s="5">
        <f>IFERROR(__xludf.DUMMYFUNCTION("""COMPUTED_VALUE"""),484.0)</f>
        <v>484</v>
      </c>
      <c r="E60" s="5">
        <f>IFERROR(__xludf.DUMMYFUNCTION("""COMPUTED_VALUE"""),486.0)</f>
        <v>486</v>
      </c>
      <c r="F60" s="5">
        <f>IFERROR(__xludf.DUMMYFUNCTION("""COMPUTED_VALUE"""),4.16863E7)</f>
        <v>41686300</v>
      </c>
      <c r="G60" s="5">
        <f t="shared" si="1"/>
        <v>66</v>
      </c>
    </row>
    <row r="61">
      <c r="A61" s="4">
        <f>IFERROR(__xludf.DUMMYFUNCTION("""COMPUTED_VALUE"""),43916.66666666667)</f>
        <v>43916.66667</v>
      </c>
      <c r="B61" s="5">
        <f>IFERROR(__xludf.DUMMYFUNCTION("""COMPUTED_VALUE"""),486.0)</f>
        <v>486</v>
      </c>
      <c r="C61" s="5">
        <f>IFERROR(__xludf.DUMMYFUNCTION("""COMPUTED_VALUE"""),575.0)</f>
        <v>575</v>
      </c>
      <c r="D61" s="5">
        <f>IFERROR(__xludf.DUMMYFUNCTION("""COMPUTED_VALUE"""),486.0)</f>
        <v>486</v>
      </c>
      <c r="E61" s="5">
        <f>IFERROR(__xludf.DUMMYFUNCTION("""COMPUTED_VALUE"""),530.0)</f>
        <v>530</v>
      </c>
      <c r="F61" s="5">
        <f>IFERROR(__xludf.DUMMYFUNCTION("""COMPUTED_VALUE"""),1.262179E8)</f>
        <v>126217900</v>
      </c>
      <c r="G61" s="5">
        <f t="shared" si="1"/>
        <v>89</v>
      </c>
    </row>
    <row r="62">
      <c r="A62" s="4">
        <f>IFERROR(__xludf.DUMMYFUNCTION("""COMPUTED_VALUE"""),43917.66666666667)</f>
        <v>43917.66667</v>
      </c>
      <c r="B62" s="5">
        <f>IFERROR(__xludf.DUMMYFUNCTION("""COMPUTED_VALUE"""),550.0)</f>
        <v>550</v>
      </c>
      <c r="C62" s="5">
        <f>IFERROR(__xludf.DUMMYFUNCTION("""COMPUTED_VALUE"""),630.0)</f>
        <v>630</v>
      </c>
      <c r="D62" s="5">
        <f>IFERROR(__xludf.DUMMYFUNCTION("""COMPUTED_VALUE"""),540.0)</f>
        <v>540</v>
      </c>
      <c r="E62" s="5">
        <f>IFERROR(__xludf.DUMMYFUNCTION("""COMPUTED_VALUE"""),585.0)</f>
        <v>585</v>
      </c>
      <c r="F62" s="5">
        <f>IFERROR(__xludf.DUMMYFUNCTION("""COMPUTED_VALUE"""),1.673982E8)</f>
        <v>167398200</v>
      </c>
      <c r="G62" s="5">
        <f t="shared" si="1"/>
        <v>100</v>
      </c>
    </row>
    <row r="63">
      <c r="A63" s="4">
        <f>IFERROR(__xludf.DUMMYFUNCTION("""COMPUTED_VALUE"""),43920.66666666667)</f>
        <v>43920.66667</v>
      </c>
      <c r="B63" s="5">
        <f>IFERROR(__xludf.DUMMYFUNCTION("""COMPUTED_VALUE"""),585.0)</f>
        <v>585</v>
      </c>
      <c r="C63" s="5">
        <f>IFERROR(__xludf.DUMMYFUNCTION("""COMPUTED_VALUE"""),585.0)</f>
        <v>585</v>
      </c>
      <c r="D63" s="5">
        <f>IFERROR(__xludf.DUMMYFUNCTION("""COMPUTED_VALUE"""),545.0)</f>
        <v>545</v>
      </c>
      <c r="E63" s="5">
        <f>IFERROR(__xludf.DUMMYFUNCTION("""COMPUTED_VALUE"""),545.0)</f>
        <v>545</v>
      </c>
      <c r="F63" s="5">
        <f>IFERROR(__xludf.DUMMYFUNCTION("""COMPUTED_VALUE"""),1.9405E7)</f>
        <v>19405000</v>
      </c>
      <c r="G63" s="5">
        <f t="shared" si="1"/>
        <v>40</v>
      </c>
    </row>
    <row r="64">
      <c r="A64" s="4">
        <f>IFERROR(__xludf.DUMMYFUNCTION("""COMPUTED_VALUE"""),43921.66666666667)</f>
        <v>43921.66667</v>
      </c>
      <c r="B64" s="5">
        <f>IFERROR(__xludf.DUMMYFUNCTION("""COMPUTED_VALUE"""),560.0)</f>
        <v>560</v>
      </c>
      <c r="C64" s="5">
        <f>IFERROR(__xludf.DUMMYFUNCTION("""COMPUTED_VALUE"""),585.0)</f>
        <v>585</v>
      </c>
      <c r="D64" s="5">
        <f>IFERROR(__xludf.DUMMYFUNCTION("""COMPUTED_VALUE"""),545.0)</f>
        <v>545</v>
      </c>
      <c r="E64" s="5">
        <f>IFERROR(__xludf.DUMMYFUNCTION("""COMPUTED_VALUE"""),550.0)</f>
        <v>550</v>
      </c>
      <c r="F64" s="5">
        <f>IFERROR(__xludf.DUMMYFUNCTION("""COMPUTED_VALUE"""),3.36139E7)</f>
        <v>33613900</v>
      </c>
      <c r="G64" s="5">
        <f t="shared" si="1"/>
        <v>40</v>
      </c>
    </row>
    <row r="65">
      <c r="A65" s="4">
        <f>IFERROR(__xludf.DUMMYFUNCTION("""COMPUTED_VALUE"""),43922.66666666667)</f>
        <v>43922.66667</v>
      </c>
      <c r="B65" s="5">
        <f>IFERROR(__xludf.DUMMYFUNCTION("""COMPUTED_VALUE"""),560.0)</f>
        <v>560</v>
      </c>
      <c r="C65" s="5">
        <f>IFERROR(__xludf.DUMMYFUNCTION("""COMPUTED_VALUE"""),580.0)</f>
        <v>580</v>
      </c>
      <c r="D65" s="5">
        <f>IFERROR(__xludf.DUMMYFUNCTION("""COMPUTED_VALUE"""),515.0)</f>
        <v>515</v>
      </c>
      <c r="E65" s="5">
        <f>IFERROR(__xludf.DUMMYFUNCTION("""COMPUTED_VALUE"""),515.0)</f>
        <v>515</v>
      </c>
      <c r="F65" s="5">
        <f>IFERROR(__xludf.DUMMYFUNCTION("""COMPUTED_VALUE"""),6.63671E7)</f>
        <v>66367100</v>
      </c>
      <c r="G65" s="5">
        <f t="shared" si="1"/>
        <v>65</v>
      </c>
    </row>
    <row r="66">
      <c r="A66" s="4">
        <f>IFERROR(__xludf.DUMMYFUNCTION("""COMPUTED_VALUE"""),43923.66666666667)</f>
        <v>43923.66667</v>
      </c>
      <c r="B66" s="5">
        <f>IFERROR(__xludf.DUMMYFUNCTION("""COMPUTED_VALUE"""),510.0)</f>
        <v>510</v>
      </c>
      <c r="C66" s="5">
        <f>IFERROR(__xludf.DUMMYFUNCTION("""COMPUTED_VALUE"""),535.0)</f>
        <v>535</v>
      </c>
      <c r="D66" s="5">
        <f>IFERROR(__xludf.DUMMYFUNCTION("""COMPUTED_VALUE"""),490.0)</f>
        <v>490</v>
      </c>
      <c r="E66" s="5">
        <f>IFERROR(__xludf.DUMMYFUNCTION("""COMPUTED_VALUE"""),525.0)</f>
        <v>525</v>
      </c>
      <c r="F66" s="5">
        <f>IFERROR(__xludf.DUMMYFUNCTION("""COMPUTED_VALUE"""),5.93938E7)</f>
        <v>59393800</v>
      </c>
      <c r="G66" s="5">
        <f t="shared" si="1"/>
        <v>45</v>
      </c>
    </row>
    <row r="67">
      <c r="A67" s="4">
        <f>IFERROR(__xludf.DUMMYFUNCTION("""COMPUTED_VALUE"""),43924.66666666667)</f>
        <v>43924.66667</v>
      </c>
      <c r="B67" s="5">
        <f>IFERROR(__xludf.DUMMYFUNCTION("""COMPUTED_VALUE"""),530.0)</f>
        <v>530</v>
      </c>
      <c r="C67" s="5">
        <f>IFERROR(__xludf.DUMMYFUNCTION("""COMPUTED_VALUE"""),585.0)</f>
        <v>585</v>
      </c>
      <c r="D67" s="5">
        <f>IFERROR(__xludf.DUMMYFUNCTION("""COMPUTED_VALUE"""),525.0)</f>
        <v>525</v>
      </c>
      <c r="E67" s="5">
        <f>IFERROR(__xludf.DUMMYFUNCTION("""COMPUTED_VALUE"""),570.0)</f>
        <v>570</v>
      </c>
      <c r="F67" s="5">
        <f>IFERROR(__xludf.DUMMYFUNCTION("""COMPUTED_VALUE"""),6.94488E7)</f>
        <v>69448800</v>
      </c>
      <c r="G67" s="5">
        <f t="shared" si="1"/>
        <v>60</v>
      </c>
    </row>
    <row r="68">
      <c r="A68" s="4">
        <f>IFERROR(__xludf.DUMMYFUNCTION("""COMPUTED_VALUE"""),43927.66666666667)</f>
        <v>43927.66667</v>
      </c>
      <c r="B68" s="5">
        <f>IFERROR(__xludf.DUMMYFUNCTION("""COMPUTED_VALUE"""),595.0)</f>
        <v>595</v>
      </c>
      <c r="C68" s="5">
        <f>IFERROR(__xludf.DUMMYFUNCTION("""COMPUTED_VALUE"""),710.0)</f>
        <v>710</v>
      </c>
      <c r="D68" s="5">
        <f>IFERROR(__xludf.DUMMYFUNCTION("""COMPUTED_VALUE"""),580.0)</f>
        <v>580</v>
      </c>
      <c r="E68" s="5">
        <f>IFERROR(__xludf.DUMMYFUNCTION("""COMPUTED_VALUE"""),710.0)</f>
        <v>710</v>
      </c>
      <c r="F68" s="5">
        <f>IFERROR(__xludf.DUMMYFUNCTION("""COMPUTED_VALUE"""),1.196723E8)</f>
        <v>119672300</v>
      </c>
      <c r="G68" s="5">
        <f t="shared" si="1"/>
        <v>140</v>
      </c>
    </row>
    <row r="69">
      <c r="A69" s="4">
        <f>IFERROR(__xludf.DUMMYFUNCTION("""COMPUTED_VALUE"""),43928.66666666667)</f>
        <v>43928.66667</v>
      </c>
      <c r="B69" s="5">
        <f>IFERROR(__xludf.DUMMYFUNCTION("""COMPUTED_VALUE"""),770.0)</f>
        <v>770</v>
      </c>
      <c r="C69" s="5">
        <f>IFERROR(__xludf.DUMMYFUNCTION("""COMPUTED_VALUE"""),830.0)</f>
        <v>830</v>
      </c>
      <c r="D69" s="5">
        <f>IFERROR(__xludf.DUMMYFUNCTION("""COMPUTED_VALUE"""),730.0)</f>
        <v>730</v>
      </c>
      <c r="E69" s="5">
        <f>IFERROR(__xludf.DUMMYFUNCTION("""COMPUTED_VALUE"""),760.0)</f>
        <v>760</v>
      </c>
      <c r="F69" s="5">
        <f>IFERROR(__xludf.DUMMYFUNCTION("""COMPUTED_VALUE"""),1.750276E8)</f>
        <v>175027600</v>
      </c>
      <c r="G69" s="5">
        <f t="shared" si="1"/>
        <v>120</v>
      </c>
    </row>
    <row r="70">
      <c r="A70" s="4">
        <f>IFERROR(__xludf.DUMMYFUNCTION("""COMPUTED_VALUE"""),43929.66666666667)</f>
        <v>43929.66667</v>
      </c>
      <c r="B70" s="5">
        <f>IFERROR(__xludf.DUMMYFUNCTION("""COMPUTED_VALUE"""),755.0)</f>
        <v>755</v>
      </c>
      <c r="C70" s="5">
        <f>IFERROR(__xludf.DUMMYFUNCTION("""COMPUTED_VALUE"""),760.0)</f>
        <v>760</v>
      </c>
      <c r="D70" s="5">
        <f>IFERROR(__xludf.DUMMYFUNCTION("""COMPUTED_VALUE"""),710.0)</f>
        <v>710</v>
      </c>
      <c r="E70" s="5">
        <f>IFERROR(__xludf.DUMMYFUNCTION("""COMPUTED_VALUE"""),710.0)</f>
        <v>710</v>
      </c>
      <c r="F70" s="5">
        <f>IFERROR(__xludf.DUMMYFUNCTION("""COMPUTED_VALUE"""),5.59242E7)</f>
        <v>55924200</v>
      </c>
      <c r="G70" s="5">
        <f t="shared" si="1"/>
        <v>50</v>
      </c>
    </row>
    <row r="71">
      <c r="A71" s="4">
        <f>IFERROR(__xludf.DUMMYFUNCTION("""COMPUTED_VALUE"""),43930.66666666667)</f>
        <v>43930.66667</v>
      </c>
      <c r="B71" s="5">
        <f>IFERROR(__xludf.DUMMYFUNCTION("""COMPUTED_VALUE"""),710.0)</f>
        <v>710</v>
      </c>
      <c r="C71" s="5">
        <f>IFERROR(__xludf.DUMMYFUNCTION("""COMPUTED_VALUE"""),740.0)</f>
        <v>740</v>
      </c>
      <c r="D71" s="5">
        <f>IFERROR(__xludf.DUMMYFUNCTION("""COMPUTED_VALUE"""),665.0)</f>
        <v>665</v>
      </c>
      <c r="E71" s="5">
        <f>IFERROR(__xludf.DUMMYFUNCTION("""COMPUTED_VALUE"""),695.0)</f>
        <v>695</v>
      </c>
      <c r="F71" s="5">
        <f>IFERROR(__xludf.DUMMYFUNCTION("""COMPUTED_VALUE"""),8.525E7)</f>
        <v>85250000</v>
      </c>
      <c r="G71" s="5">
        <f t="shared" si="1"/>
        <v>75</v>
      </c>
    </row>
    <row r="72">
      <c r="A72" s="4">
        <f>IFERROR(__xludf.DUMMYFUNCTION("""COMPUTED_VALUE"""),43934.66666666667)</f>
        <v>43934.66667</v>
      </c>
      <c r="B72" s="5">
        <f>IFERROR(__xludf.DUMMYFUNCTION("""COMPUTED_VALUE"""),705.0)</f>
        <v>705</v>
      </c>
      <c r="C72" s="5">
        <f>IFERROR(__xludf.DUMMYFUNCTION("""COMPUTED_VALUE"""),760.0)</f>
        <v>760</v>
      </c>
      <c r="D72" s="5">
        <f>IFERROR(__xludf.DUMMYFUNCTION("""COMPUTED_VALUE"""),665.0)</f>
        <v>665</v>
      </c>
      <c r="E72" s="5">
        <f>IFERROR(__xludf.DUMMYFUNCTION("""COMPUTED_VALUE"""),730.0)</f>
        <v>730</v>
      </c>
      <c r="F72" s="5">
        <f>IFERROR(__xludf.DUMMYFUNCTION("""COMPUTED_VALUE"""),8.74939E7)</f>
        <v>87493900</v>
      </c>
      <c r="G72" s="5">
        <f t="shared" si="1"/>
        <v>95</v>
      </c>
    </row>
    <row r="73">
      <c r="A73" s="4">
        <f>IFERROR(__xludf.DUMMYFUNCTION("""COMPUTED_VALUE"""),43935.66666666667)</f>
        <v>43935.66667</v>
      </c>
      <c r="B73" s="5">
        <f>IFERROR(__xludf.DUMMYFUNCTION("""COMPUTED_VALUE"""),730.0)</f>
        <v>730</v>
      </c>
      <c r="C73" s="5">
        <f>IFERROR(__xludf.DUMMYFUNCTION("""COMPUTED_VALUE"""),780.0)</f>
        <v>780</v>
      </c>
      <c r="D73" s="5">
        <f>IFERROR(__xludf.DUMMYFUNCTION("""COMPUTED_VALUE"""),730.0)</f>
        <v>730</v>
      </c>
      <c r="E73" s="5">
        <f>IFERROR(__xludf.DUMMYFUNCTION("""COMPUTED_VALUE"""),775.0)</f>
        <v>775</v>
      </c>
      <c r="F73" s="5">
        <f>IFERROR(__xludf.DUMMYFUNCTION("""COMPUTED_VALUE"""),8.9194E7)</f>
        <v>89194000</v>
      </c>
      <c r="G73" s="5">
        <f t="shared" si="1"/>
        <v>50</v>
      </c>
    </row>
    <row r="74">
      <c r="A74" s="4">
        <f>IFERROR(__xludf.DUMMYFUNCTION("""COMPUTED_VALUE"""),43936.66666666667)</f>
        <v>43936.66667</v>
      </c>
      <c r="B74" s="5">
        <f>IFERROR(__xludf.DUMMYFUNCTION("""COMPUTED_VALUE"""),785.0)</f>
        <v>785</v>
      </c>
      <c r="C74" s="5">
        <f>IFERROR(__xludf.DUMMYFUNCTION("""COMPUTED_VALUE"""),810.0)</f>
        <v>810</v>
      </c>
      <c r="D74" s="5">
        <f>IFERROR(__xludf.DUMMYFUNCTION("""COMPUTED_VALUE"""),740.0)</f>
        <v>740</v>
      </c>
      <c r="E74" s="5">
        <f>IFERROR(__xludf.DUMMYFUNCTION("""COMPUTED_VALUE"""),740.0)</f>
        <v>740</v>
      </c>
      <c r="F74" s="5">
        <f>IFERROR(__xludf.DUMMYFUNCTION("""COMPUTED_VALUE"""),8.52323E7)</f>
        <v>85232300</v>
      </c>
      <c r="G74" s="5">
        <f t="shared" si="1"/>
        <v>70</v>
      </c>
    </row>
    <row r="75">
      <c r="A75" s="4">
        <f>IFERROR(__xludf.DUMMYFUNCTION("""COMPUTED_VALUE"""),43937.66666666667)</f>
        <v>43937.66667</v>
      </c>
      <c r="B75" s="5">
        <f>IFERROR(__xludf.DUMMYFUNCTION("""COMPUTED_VALUE"""),715.0)</f>
        <v>715</v>
      </c>
      <c r="C75" s="5">
        <f>IFERROR(__xludf.DUMMYFUNCTION("""COMPUTED_VALUE"""),750.0)</f>
        <v>750</v>
      </c>
      <c r="D75" s="5">
        <f>IFERROR(__xludf.DUMMYFUNCTION("""COMPUTED_VALUE"""),690.0)</f>
        <v>690</v>
      </c>
      <c r="E75" s="5">
        <f>IFERROR(__xludf.DUMMYFUNCTION("""COMPUTED_VALUE"""),705.0)</f>
        <v>705</v>
      </c>
      <c r="F75" s="5">
        <f>IFERROR(__xludf.DUMMYFUNCTION("""COMPUTED_VALUE"""),6.93841E7)</f>
        <v>69384100</v>
      </c>
      <c r="G75" s="5">
        <f t="shared" si="1"/>
        <v>60</v>
      </c>
    </row>
    <row r="76">
      <c r="A76" s="4">
        <f>IFERROR(__xludf.DUMMYFUNCTION("""COMPUTED_VALUE"""),43938.66666666667)</f>
        <v>43938.66667</v>
      </c>
      <c r="B76" s="5">
        <f>IFERROR(__xludf.DUMMYFUNCTION("""COMPUTED_VALUE"""),735.0)</f>
        <v>735</v>
      </c>
      <c r="C76" s="5">
        <f>IFERROR(__xludf.DUMMYFUNCTION("""COMPUTED_VALUE"""),740.0)</f>
        <v>740</v>
      </c>
      <c r="D76" s="5">
        <f>IFERROR(__xludf.DUMMYFUNCTION("""COMPUTED_VALUE"""),695.0)</f>
        <v>695</v>
      </c>
      <c r="E76" s="5">
        <f>IFERROR(__xludf.DUMMYFUNCTION("""COMPUTED_VALUE"""),715.0)</f>
        <v>715</v>
      </c>
      <c r="F76" s="5">
        <f>IFERROR(__xludf.DUMMYFUNCTION("""COMPUTED_VALUE"""),7.21318E7)</f>
        <v>72131800</v>
      </c>
      <c r="G76" s="5">
        <f t="shared" si="1"/>
        <v>45</v>
      </c>
    </row>
    <row r="77">
      <c r="A77" s="4">
        <f>IFERROR(__xludf.DUMMYFUNCTION("""COMPUTED_VALUE"""),43941.66666666667)</f>
        <v>43941.66667</v>
      </c>
      <c r="B77" s="5">
        <f>IFERROR(__xludf.DUMMYFUNCTION("""COMPUTED_VALUE"""),715.0)</f>
        <v>715</v>
      </c>
      <c r="C77" s="5">
        <f>IFERROR(__xludf.DUMMYFUNCTION("""COMPUTED_VALUE"""),725.0)</f>
        <v>725</v>
      </c>
      <c r="D77" s="5">
        <f>IFERROR(__xludf.DUMMYFUNCTION("""COMPUTED_VALUE"""),680.0)</f>
        <v>680</v>
      </c>
      <c r="E77" s="5">
        <f>IFERROR(__xludf.DUMMYFUNCTION("""COMPUTED_VALUE"""),685.0)</f>
        <v>685</v>
      </c>
      <c r="F77" s="5">
        <f>IFERROR(__xludf.DUMMYFUNCTION("""COMPUTED_VALUE"""),3.46237E7)</f>
        <v>34623700</v>
      </c>
      <c r="G77" s="5">
        <f t="shared" si="1"/>
        <v>45</v>
      </c>
    </row>
    <row r="78">
      <c r="A78" s="4">
        <f>IFERROR(__xludf.DUMMYFUNCTION("""COMPUTED_VALUE"""),43942.66666666667)</f>
        <v>43942.66667</v>
      </c>
      <c r="B78" s="5">
        <f>IFERROR(__xludf.DUMMYFUNCTION("""COMPUTED_VALUE"""),675.0)</f>
        <v>675</v>
      </c>
      <c r="C78" s="5">
        <f>IFERROR(__xludf.DUMMYFUNCTION("""COMPUTED_VALUE"""),680.0)</f>
        <v>680</v>
      </c>
      <c r="D78" s="5">
        <f>IFERROR(__xludf.DUMMYFUNCTION("""COMPUTED_VALUE"""),640.0)</f>
        <v>640</v>
      </c>
      <c r="E78" s="5">
        <f>IFERROR(__xludf.DUMMYFUNCTION("""COMPUTED_VALUE"""),645.0)</f>
        <v>645</v>
      </c>
      <c r="F78" s="5">
        <f>IFERROR(__xludf.DUMMYFUNCTION("""COMPUTED_VALUE"""),4.37259E7)</f>
        <v>43725900</v>
      </c>
      <c r="G78" s="5">
        <f t="shared" si="1"/>
        <v>45</v>
      </c>
    </row>
    <row r="79">
      <c r="A79" s="4">
        <f>IFERROR(__xludf.DUMMYFUNCTION("""COMPUTED_VALUE"""),43943.66666666667)</f>
        <v>43943.66667</v>
      </c>
      <c r="B79" s="5">
        <f>IFERROR(__xludf.DUMMYFUNCTION("""COMPUTED_VALUE"""),640.0)</f>
        <v>640</v>
      </c>
      <c r="C79" s="5">
        <f>IFERROR(__xludf.DUMMYFUNCTION("""COMPUTED_VALUE"""),665.0)</f>
        <v>665</v>
      </c>
      <c r="D79" s="5">
        <f>IFERROR(__xludf.DUMMYFUNCTION("""COMPUTED_VALUE"""),610.0)</f>
        <v>610</v>
      </c>
      <c r="E79" s="5">
        <f>IFERROR(__xludf.DUMMYFUNCTION("""COMPUTED_VALUE"""),655.0)</f>
        <v>655</v>
      </c>
      <c r="F79" s="5">
        <f>IFERROR(__xludf.DUMMYFUNCTION("""COMPUTED_VALUE"""),4.74955E7)</f>
        <v>47495500</v>
      </c>
      <c r="G79" s="5">
        <f t="shared" si="1"/>
        <v>55</v>
      </c>
    </row>
    <row r="80">
      <c r="A80" s="4">
        <f>IFERROR(__xludf.DUMMYFUNCTION("""COMPUTED_VALUE"""),43944.66666666667)</f>
        <v>43944.66667</v>
      </c>
      <c r="B80" s="5">
        <f>IFERROR(__xludf.DUMMYFUNCTION("""COMPUTED_VALUE"""),670.0)</f>
        <v>670</v>
      </c>
      <c r="C80" s="5">
        <f>IFERROR(__xludf.DUMMYFUNCTION("""COMPUTED_VALUE"""),670.0)</f>
        <v>670</v>
      </c>
      <c r="D80" s="5">
        <f>IFERROR(__xludf.DUMMYFUNCTION("""COMPUTED_VALUE"""),630.0)</f>
        <v>630</v>
      </c>
      <c r="E80" s="5">
        <f>IFERROR(__xludf.DUMMYFUNCTION("""COMPUTED_VALUE"""),635.0)</f>
        <v>635</v>
      </c>
      <c r="F80" s="5">
        <f>IFERROR(__xludf.DUMMYFUNCTION("""COMPUTED_VALUE"""),3.15218E7)</f>
        <v>31521800</v>
      </c>
      <c r="G80" s="5">
        <f t="shared" si="1"/>
        <v>40</v>
      </c>
    </row>
    <row r="81">
      <c r="A81" s="4">
        <f>IFERROR(__xludf.DUMMYFUNCTION("""COMPUTED_VALUE"""),43945.66666666667)</f>
        <v>43945.66667</v>
      </c>
      <c r="B81" s="5">
        <f>IFERROR(__xludf.DUMMYFUNCTION("""COMPUTED_VALUE"""),635.0)</f>
        <v>635</v>
      </c>
      <c r="C81" s="5">
        <f>IFERROR(__xludf.DUMMYFUNCTION("""COMPUTED_VALUE"""),635.0)</f>
        <v>635</v>
      </c>
      <c r="D81" s="5">
        <f>IFERROR(__xludf.DUMMYFUNCTION("""COMPUTED_VALUE"""),595.0)</f>
        <v>595</v>
      </c>
      <c r="E81" s="5">
        <f>IFERROR(__xludf.DUMMYFUNCTION("""COMPUTED_VALUE"""),600.0)</f>
        <v>600</v>
      </c>
      <c r="F81" s="5">
        <f>IFERROR(__xludf.DUMMYFUNCTION("""COMPUTED_VALUE"""),3.0849E7)</f>
        <v>30849000</v>
      </c>
      <c r="G81" s="5">
        <f t="shared" si="1"/>
        <v>40</v>
      </c>
    </row>
    <row r="82">
      <c r="A82" s="4">
        <f>IFERROR(__xludf.DUMMYFUNCTION("""COMPUTED_VALUE"""),43948.66666666667)</f>
        <v>43948.66667</v>
      </c>
      <c r="B82" s="5">
        <f>IFERROR(__xludf.DUMMYFUNCTION("""COMPUTED_VALUE"""),625.0)</f>
        <v>625</v>
      </c>
      <c r="C82" s="5">
        <f>IFERROR(__xludf.DUMMYFUNCTION("""COMPUTED_VALUE"""),630.0)</f>
        <v>630</v>
      </c>
      <c r="D82" s="5">
        <f>IFERROR(__xludf.DUMMYFUNCTION("""COMPUTED_VALUE"""),585.0)</f>
        <v>585</v>
      </c>
      <c r="E82" s="5">
        <f>IFERROR(__xludf.DUMMYFUNCTION("""COMPUTED_VALUE"""),605.0)</f>
        <v>605</v>
      </c>
      <c r="F82" s="5">
        <f>IFERROR(__xludf.DUMMYFUNCTION("""COMPUTED_VALUE"""),1.5625E7)</f>
        <v>15625000</v>
      </c>
      <c r="G82" s="5">
        <f t="shared" si="1"/>
        <v>45</v>
      </c>
    </row>
    <row r="83">
      <c r="A83" s="4">
        <f>IFERROR(__xludf.DUMMYFUNCTION("""COMPUTED_VALUE"""),43949.66666666667)</f>
        <v>43949.66667</v>
      </c>
      <c r="B83" s="5">
        <f>IFERROR(__xludf.DUMMYFUNCTION("""COMPUTED_VALUE"""),605.0)</f>
        <v>605</v>
      </c>
      <c r="C83" s="5">
        <f>IFERROR(__xludf.DUMMYFUNCTION("""COMPUTED_VALUE"""),650.0)</f>
        <v>650</v>
      </c>
      <c r="D83" s="5">
        <f>IFERROR(__xludf.DUMMYFUNCTION("""COMPUTED_VALUE"""),595.0)</f>
        <v>595</v>
      </c>
      <c r="E83" s="5">
        <f>IFERROR(__xludf.DUMMYFUNCTION("""COMPUTED_VALUE"""),645.0)</f>
        <v>645</v>
      </c>
      <c r="F83" s="5">
        <f>IFERROR(__xludf.DUMMYFUNCTION("""COMPUTED_VALUE"""),4.37395E7)</f>
        <v>43739500</v>
      </c>
      <c r="G83" s="5">
        <f t="shared" si="1"/>
        <v>55</v>
      </c>
    </row>
    <row r="84">
      <c r="A84" s="4">
        <f>IFERROR(__xludf.DUMMYFUNCTION("""COMPUTED_VALUE"""),43950.66666666667)</f>
        <v>43950.66667</v>
      </c>
      <c r="B84" s="5">
        <f>IFERROR(__xludf.DUMMYFUNCTION("""COMPUTED_VALUE"""),650.0)</f>
        <v>650</v>
      </c>
      <c r="C84" s="5">
        <f>IFERROR(__xludf.DUMMYFUNCTION("""COMPUTED_VALUE"""),665.0)</f>
        <v>665</v>
      </c>
      <c r="D84" s="5">
        <f>IFERROR(__xludf.DUMMYFUNCTION("""COMPUTED_VALUE"""),640.0)</f>
        <v>640</v>
      </c>
      <c r="E84" s="5">
        <f>IFERROR(__xludf.DUMMYFUNCTION("""COMPUTED_VALUE"""),645.0)</f>
        <v>645</v>
      </c>
      <c r="F84" s="5">
        <f>IFERROR(__xludf.DUMMYFUNCTION("""COMPUTED_VALUE"""),3.76302E7)</f>
        <v>37630200</v>
      </c>
      <c r="G84" s="5">
        <f t="shared" si="1"/>
        <v>25</v>
      </c>
    </row>
    <row r="85">
      <c r="A85" s="4">
        <f>IFERROR(__xludf.DUMMYFUNCTION("""COMPUTED_VALUE"""),43951.66666666667)</f>
        <v>43951.66667</v>
      </c>
      <c r="B85" s="5">
        <f>IFERROR(__xludf.DUMMYFUNCTION("""COMPUTED_VALUE"""),655.0)</f>
        <v>655</v>
      </c>
      <c r="C85" s="5">
        <f>IFERROR(__xludf.DUMMYFUNCTION("""COMPUTED_VALUE"""),695.0)</f>
        <v>695</v>
      </c>
      <c r="D85" s="5">
        <f>IFERROR(__xludf.DUMMYFUNCTION("""COMPUTED_VALUE"""),650.0)</f>
        <v>650</v>
      </c>
      <c r="E85" s="5">
        <f>IFERROR(__xludf.DUMMYFUNCTION("""COMPUTED_VALUE"""),670.0)</f>
        <v>670</v>
      </c>
      <c r="F85" s="5">
        <f>IFERROR(__xludf.DUMMYFUNCTION("""COMPUTED_VALUE"""),6.24497E7)</f>
        <v>62449700</v>
      </c>
      <c r="G85" s="5">
        <f t="shared" si="1"/>
        <v>50</v>
      </c>
    </row>
    <row r="86">
      <c r="A86" s="4">
        <f>IFERROR(__xludf.DUMMYFUNCTION("""COMPUTED_VALUE"""),43955.66666666667)</f>
        <v>43955.66667</v>
      </c>
      <c r="B86" s="5">
        <f>IFERROR(__xludf.DUMMYFUNCTION("""COMPUTED_VALUE"""),645.0)</f>
        <v>645</v>
      </c>
      <c r="C86" s="5">
        <f>IFERROR(__xludf.DUMMYFUNCTION("""COMPUTED_VALUE"""),660.0)</f>
        <v>660</v>
      </c>
      <c r="D86" s="5">
        <f>IFERROR(__xludf.DUMMYFUNCTION("""COMPUTED_VALUE"""),630.0)</f>
        <v>630</v>
      </c>
      <c r="E86" s="5">
        <f>IFERROR(__xludf.DUMMYFUNCTION("""COMPUTED_VALUE"""),630.0)</f>
        <v>630</v>
      </c>
      <c r="F86" s="5">
        <f>IFERROR(__xludf.DUMMYFUNCTION("""COMPUTED_VALUE"""),3.23007E7)</f>
        <v>32300700</v>
      </c>
      <c r="G86" s="5">
        <f t="shared" si="1"/>
        <v>40</v>
      </c>
    </row>
    <row r="87">
      <c r="A87" s="4">
        <f>IFERROR(__xludf.DUMMYFUNCTION("""COMPUTED_VALUE"""),43956.66666666667)</f>
        <v>43956.66667</v>
      </c>
      <c r="B87" s="5">
        <f>IFERROR(__xludf.DUMMYFUNCTION("""COMPUTED_VALUE"""),650.0)</f>
        <v>650</v>
      </c>
      <c r="C87" s="5">
        <f>IFERROR(__xludf.DUMMYFUNCTION("""COMPUTED_VALUE"""),660.0)</f>
        <v>660</v>
      </c>
      <c r="D87" s="5">
        <f>IFERROR(__xludf.DUMMYFUNCTION("""COMPUTED_VALUE"""),635.0)</f>
        <v>635</v>
      </c>
      <c r="E87" s="5">
        <f>IFERROR(__xludf.DUMMYFUNCTION("""COMPUTED_VALUE"""),655.0)</f>
        <v>655</v>
      </c>
      <c r="F87" s="5">
        <f>IFERROR(__xludf.DUMMYFUNCTION("""COMPUTED_VALUE"""),2.03031E7)</f>
        <v>20303100</v>
      </c>
      <c r="G87" s="5">
        <f t="shared" si="1"/>
        <v>30</v>
      </c>
    </row>
    <row r="88">
      <c r="A88" s="4">
        <f>IFERROR(__xludf.DUMMYFUNCTION("""COMPUTED_VALUE"""),43957.66666666667)</f>
        <v>43957.66667</v>
      </c>
      <c r="B88" s="5">
        <f>IFERROR(__xludf.DUMMYFUNCTION("""COMPUTED_VALUE"""),665.0)</f>
        <v>665</v>
      </c>
      <c r="C88" s="5">
        <f>IFERROR(__xludf.DUMMYFUNCTION("""COMPUTED_VALUE"""),675.0)</f>
        <v>675</v>
      </c>
      <c r="D88" s="5">
        <f>IFERROR(__xludf.DUMMYFUNCTION("""COMPUTED_VALUE"""),645.0)</f>
        <v>645</v>
      </c>
      <c r="E88" s="5">
        <f>IFERROR(__xludf.DUMMYFUNCTION("""COMPUTED_VALUE"""),660.0)</f>
        <v>660</v>
      </c>
      <c r="F88" s="5">
        <f>IFERROR(__xludf.DUMMYFUNCTION("""COMPUTED_VALUE"""),2.59156E7)</f>
        <v>25915600</v>
      </c>
      <c r="G88" s="5">
        <f t="shared" si="1"/>
        <v>30</v>
      </c>
    </row>
    <row r="89">
      <c r="A89" s="4">
        <f>IFERROR(__xludf.DUMMYFUNCTION("""COMPUTED_VALUE"""),43959.66666666667)</f>
        <v>43959.66667</v>
      </c>
      <c r="B89" s="5">
        <f>IFERROR(__xludf.DUMMYFUNCTION("""COMPUTED_VALUE"""),670.0)</f>
        <v>670</v>
      </c>
      <c r="C89" s="5">
        <f>IFERROR(__xludf.DUMMYFUNCTION("""COMPUTED_VALUE"""),680.0)</f>
        <v>680</v>
      </c>
      <c r="D89" s="5">
        <f>IFERROR(__xludf.DUMMYFUNCTION("""COMPUTED_VALUE"""),660.0)</f>
        <v>660</v>
      </c>
      <c r="E89" s="5">
        <f>IFERROR(__xludf.DUMMYFUNCTION("""COMPUTED_VALUE"""),665.0)</f>
        <v>665</v>
      </c>
      <c r="F89" s="5">
        <f>IFERROR(__xludf.DUMMYFUNCTION("""COMPUTED_VALUE"""),1.73625E7)</f>
        <v>17362500</v>
      </c>
      <c r="G89" s="5">
        <f t="shared" si="1"/>
        <v>20</v>
      </c>
    </row>
    <row r="90">
      <c r="A90" s="4">
        <f>IFERROR(__xludf.DUMMYFUNCTION("""COMPUTED_VALUE"""),43962.66666666667)</f>
        <v>43962.66667</v>
      </c>
      <c r="B90" s="5">
        <f>IFERROR(__xludf.DUMMYFUNCTION("""COMPUTED_VALUE"""),680.0)</f>
        <v>680</v>
      </c>
      <c r="C90" s="5">
        <f>IFERROR(__xludf.DUMMYFUNCTION("""COMPUTED_VALUE"""),710.0)</f>
        <v>710</v>
      </c>
      <c r="D90" s="5">
        <f>IFERROR(__xludf.DUMMYFUNCTION("""COMPUTED_VALUE"""),670.0)</f>
        <v>670</v>
      </c>
      <c r="E90" s="5">
        <f>IFERROR(__xludf.DUMMYFUNCTION("""COMPUTED_VALUE"""),685.0)</f>
        <v>685</v>
      </c>
      <c r="F90" s="5">
        <f>IFERROR(__xludf.DUMMYFUNCTION("""COMPUTED_VALUE"""),5.82983E7)</f>
        <v>58298300</v>
      </c>
      <c r="G90" s="5">
        <f t="shared" si="1"/>
        <v>45</v>
      </c>
    </row>
    <row r="91">
      <c r="A91" s="4">
        <f>IFERROR(__xludf.DUMMYFUNCTION("""COMPUTED_VALUE"""),43963.66666666667)</f>
        <v>43963.66667</v>
      </c>
      <c r="B91" s="5">
        <f>IFERROR(__xludf.DUMMYFUNCTION("""COMPUTED_VALUE"""),700.0)</f>
        <v>700</v>
      </c>
      <c r="C91" s="5">
        <f>IFERROR(__xludf.DUMMYFUNCTION("""COMPUTED_VALUE"""),700.0)</f>
        <v>700</v>
      </c>
      <c r="D91" s="5">
        <f>IFERROR(__xludf.DUMMYFUNCTION("""COMPUTED_VALUE"""),640.0)</f>
        <v>640</v>
      </c>
      <c r="E91" s="5">
        <f>IFERROR(__xludf.DUMMYFUNCTION("""COMPUTED_VALUE"""),645.0)</f>
        <v>645</v>
      </c>
      <c r="F91" s="5">
        <f>IFERROR(__xludf.DUMMYFUNCTION("""COMPUTED_VALUE"""),3.83758E7)</f>
        <v>38375800</v>
      </c>
      <c r="G91" s="5">
        <f t="shared" si="1"/>
        <v>60</v>
      </c>
    </row>
    <row r="92">
      <c r="A92" s="4">
        <f>IFERROR(__xludf.DUMMYFUNCTION("""COMPUTED_VALUE"""),43964.66666666667)</f>
        <v>43964.66667</v>
      </c>
      <c r="B92" s="5">
        <f>IFERROR(__xludf.DUMMYFUNCTION("""COMPUTED_VALUE"""),600.0)</f>
        <v>600</v>
      </c>
      <c r="C92" s="5">
        <f>IFERROR(__xludf.DUMMYFUNCTION("""COMPUTED_VALUE"""),655.0)</f>
        <v>655</v>
      </c>
      <c r="D92" s="5">
        <f>IFERROR(__xludf.DUMMYFUNCTION("""COMPUTED_VALUE"""),600.0)</f>
        <v>600</v>
      </c>
      <c r="E92" s="5">
        <f>IFERROR(__xludf.DUMMYFUNCTION("""COMPUTED_VALUE"""),640.0)</f>
        <v>640</v>
      </c>
      <c r="F92" s="5">
        <f>IFERROR(__xludf.DUMMYFUNCTION("""COMPUTED_VALUE"""),2.51591E7)</f>
        <v>25159100</v>
      </c>
      <c r="G92" s="5">
        <f t="shared" si="1"/>
        <v>55</v>
      </c>
    </row>
    <row r="93">
      <c r="A93" s="4">
        <f>IFERROR(__xludf.DUMMYFUNCTION("""COMPUTED_VALUE"""),43965.66666666667)</f>
        <v>43965.66667</v>
      </c>
      <c r="B93" s="5">
        <f>IFERROR(__xludf.DUMMYFUNCTION("""COMPUTED_VALUE"""),630.0)</f>
        <v>630</v>
      </c>
      <c r="C93" s="5">
        <f>IFERROR(__xludf.DUMMYFUNCTION("""COMPUTED_VALUE"""),645.0)</f>
        <v>645</v>
      </c>
      <c r="D93" s="5">
        <f>IFERROR(__xludf.DUMMYFUNCTION("""COMPUTED_VALUE"""),610.0)</f>
        <v>610</v>
      </c>
      <c r="E93" s="5">
        <f>IFERROR(__xludf.DUMMYFUNCTION("""COMPUTED_VALUE"""),620.0)</f>
        <v>620</v>
      </c>
      <c r="F93" s="5">
        <f>IFERROR(__xludf.DUMMYFUNCTION("""COMPUTED_VALUE"""),1.97151E7)</f>
        <v>19715100</v>
      </c>
      <c r="G93" s="5">
        <f t="shared" si="1"/>
        <v>35</v>
      </c>
    </row>
    <row r="94">
      <c r="A94" s="4">
        <f>IFERROR(__xludf.DUMMYFUNCTION("""COMPUTED_VALUE"""),43966.66666666667)</f>
        <v>43966.66667</v>
      </c>
      <c r="B94" s="5">
        <f>IFERROR(__xludf.DUMMYFUNCTION("""COMPUTED_VALUE"""),630.0)</f>
        <v>630</v>
      </c>
      <c r="C94" s="5">
        <f>IFERROR(__xludf.DUMMYFUNCTION("""COMPUTED_VALUE"""),635.0)</f>
        <v>635</v>
      </c>
      <c r="D94" s="5">
        <f>IFERROR(__xludf.DUMMYFUNCTION("""COMPUTED_VALUE"""),600.0)</f>
        <v>600</v>
      </c>
      <c r="E94" s="5">
        <f>IFERROR(__xludf.DUMMYFUNCTION("""COMPUTED_VALUE"""),610.0)</f>
        <v>610</v>
      </c>
      <c r="F94" s="5">
        <f>IFERROR(__xludf.DUMMYFUNCTION("""COMPUTED_VALUE"""),2.11096E7)</f>
        <v>21109600</v>
      </c>
      <c r="G94" s="5">
        <f t="shared" si="1"/>
        <v>35</v>
      </c>
    </row>
    <row r="95">
      <c r="A95" s="4">
        <f>IFERROR(__xludf.DUMMYFUNCTION("""COMPUTED_VALUE"""),43969.66666666667)</f>
        <v>43969.66667</v>
      </c>
      <c r="B95" s="5">
        <f>IFERROR(__xludf.DUMMYFUNCTION("""COMPUTED_VALUE"""),615.0)</f>
        <v>615</v>
      </c>
      <c r="C95" s="5">
        <f>IFERROR(__xludf.DUMMYFUNCTION("""COMPUTED_VALUE"""),625.0)</f>
        <v>625</v>
      </c>
      <c r="D95" s="5">
        <f>IFERROR(__xludf.DUMMYFUNCTION("""COMPUTED_VALUE"""),605.0)</f>
        <v>605</v>
      </c>
      <c r="E95" s="5">
        <f>IFERROR(__xludf.DUMMYFUNCTION("""COMPUTED_VALUE"""),610.0)</f>
        <v>610</v>
      </c>
      <c r="F95" s="5">
        <f>IFERROR(__xludf.DUMMYFUNCTION("""COMPUTED_VALUE"""),1.4612E7)</f>
        <v>14612000</v>
      </c>
      <c r="G95" s="5">
        <f t="shared" si="1"/>
        <v>20</v>
      </c>
    </row>
    <row r="96">
      <c r="A96" s="4">
        <f>IFERROR(__xludf.DUMMYFUNCTION("""COMPUTED_VALUE"""),43970.66666666667)</f>
        <v>43970.66667</v>
      </c>
      <c r="B96" s="5">
        <f>IFERROR(__xludf.DUMMYFUNCTION("""COMPUTED_VALUE"""),625.0)</f>
        <v>625</v>
      </c>
      <c r="C96" s="5">
        <f>IFERROR(__xludf.DUMMYFUNCTION("""COMPUTED_VALUE"""),655.0)</f>
        <v>655</v>
      </c>
      <c r="D96" s="5">
        <f>IFERROR(__xludf.DUMMYFUNCTION("""COMPUTED_VALUE"""),625.0)</f>
        <v>625</v>
      </c>
      <c r="E96" s="5">
        <f>IFERROR(__xludf.DUMMYFUNCTION("""COMPUTED_VALUE"""),640.0)</f>
        <v>640</v>
      </c>
      <c r="F96" s="5">
        <f>IFERROR(__xludf.DUMMYFUNCTION("""COMPUTED_VALUE"""),3.79651E7)</f>
        <v>37965100</v>
      </c>
      <c r="G96" s="5">
        <f t="shared" si="1"/>
        <v>45</v>
      </c>
    </row>
    <row r="97">
      <c r="A97" s="4">
        <f>IFERROR(__xludf.DUMMYFUNCTION("""COMPUTED_VALUE"""),43971.66666666667)</f>
        <v>43971.66667</v>
      </c>
      <c r="B97" s="5">
        <f>IFERROR(__xludf.DUMMYFUNCTION("""COMPUTED_VALUE"""),650.0)</f>
        <v>650</v>
      </c>
      <c r="C97" s="5">
        <f>IFERROR(__xludf.DUMMYFUNCTION("""COMPUTED_VALUE"""),650.0)</f>
        <v>650</v>
      </c>
      <c r="D97" s="5">
        <f>IFERROR(__xludf.DUMMYFUNCTION("""COMPUTED_VALUE"""),630.0)</f>
        <v>630</v>
      </c>
      <c r="E97" s="5">
        <f>IFERROR(__xludf.DUMMYFUNCTION("""COMPUTED_VALUE"""),640.0)</f>
        <v>640</v>
      </c>
      <c r="F97" s="5">
        <f>IFERROR(__xludf.DUMMYFUNCTION("""COMPUTED_VALUE"""),1.5365E7)</f>
        <v>15365000</v>
      </c>
      <c r="G97" s="5">
        <f t="shared" si="1"/>
        <v>20</v>
      </c>
    </row>
    <row r="98">
      <c r="A98" s="4">
        <f>IFERROR(__xludf.DUMMYFUNCTION("""COMPUTED_VALUE"""),43977.66666666667)</f>
        <v>43977.66667</v>
      </c>
      <c r="B98" s="5">
        <f>IFERROR(__xludf.DUMMYFUNCTION("""COMPUTED_VALUE"""),645.0)</f>
        <v>645</v>
      </c>
      <c r="C98" s="5">
        <f>IFERROR(__xludf.DUMMYFUNCTION("""COMPUTED_VALUE"""),675.0)</f>
        <v>675</v>
      </c>
      <c r="D98" s="5">
        <f>IFERROR(__xludf.DUMMYFUNCTION("""COMPUTED_VALUE"""),635.0)</f>
        <v>635</v>
      </c>
      <c r="E98" s="5">
        <f>IFERROR(__xludf.DUMMYFUNCTION("""COMPUTED_VALUE"""),670.0)</f>
        <v>670</v>
      </c>
      <c r="F98" s="5">
        <f>IFERROR(__xludf.DUMMYFUNCTION("""COMPUTED_VALUE"""),5.02569E7)</f>
        <v>50256900</v>
      </c>
      <c r="G98" s="5">
        <f t="shared" si="1"/>
        <v>40</v>
      </c>
    </row>
    <row r="99">
      <c r="A99" s="4">
        <f>IFERROR(__xludf.DUMMYFUNCTION("""COMPUTED_VALUE"""),43978.66666666667)</f>
        <v>43978.66667</v>
      </c>
      <c r="B99" s="5">
        <f>IFERROR(__xludf.DUMMYFUNCTION("""COMPUTED_VALUE"""),675.0)</f>
        <v>675</v>
      </c>
      <c r="C99" s="5">
        <f>IFERROR(__xludf.DUMMYFUNCTION("""COMPUTED_VALUE"""),690.0)</f>
        <v>690</v>
      </c>
      <c r="D99" s="5">
        <f>IFERROR(__xludf.DUMMYFUNCTION("""COMPUTED_VALUE"""),660.0)</f>
        <v>660</v>
      </c>
      <c r="E99" s="5">
        <f>IFERROR(__xludf.DUMMYFUNCTION("""COMPUTED_VALUE"""),680.0)</f>
        <v>680</v>
      </c>
      <c r="F99" s="5">
        <f>IFERROR(__xludf.DUMMYFUNCTION("""COMPUTED_VALUE"""),6.7432E7)</f>
        <v>67432000</v>
      </c>
      <c r="G99" s="5">
        <f t="shared" si="1"/>
        <v>30</v>
      </c>
    </row>
    <row r="100">
      <c r="A100" s="4">
        <f>IFERROR(__xludf.DUMMYFUNCTION("""COMPUTED_VALUE"""),43979.66666666667)</f>
        <v>43979.66667</v>
      </c>
      <c r="B100" s="5">
        <f>IFERROR(__xludf.DUMMYFUNCTION("""COMPUTED_VALUE"""),690.0)</f>
        <v>690</v>
      </c>
      <c r="C100" s="5">
        <f>IFERROR(__xludf.DUMMYFUNCTION("""COMPUTED_VALUE"""),750.0)</f>
        <v>750</v>
      </c>
      <c r="D100" s="5">
        <f>IFERROR(__xludf.DUMMYFUNCTION("""COMPUTED_VALUE"""),690.0)</f>
        <v>690</v>
      </c>
      <c r="E100" s="5">
        <f>IFERROR(__xludf.DUMMYFUNCTION("""COMPUTED_VALUE"""),720.0)</f>
        <v>720</v>
      </c>
      <c r="F100" s="5">
        <f>IFERROR(__xludf.DUMMYFUNCTION("""COMPUTED_VALUE"""),1.270015E8)</f>
        <v>127001500</v>
      </c>
      <c r="G100" s="5">
        <f t="shared" si="1"/>
        <v>70</v>
      </c>
    </row>
    <row r="101">
      <c r="A101" s="4">
        <f>IFERROR(__xludf.DUMMYFUNCTION("""COMPUTED_VALUE"""),43980.66666666667)</f>
        <v>43980.66667</v>
      </c>
      <c r="B101" s="5">
        <f>IFERROR(__xludf.DUMMYFUNCTION("""COMPUTED_VALUE"""),730.0)</f>
        <v>730</v>
      </c>
      <c r="C101" s="5">
        <f>IFERROR(__xludf.DUMMYFUNCTION("""COMPUTED_VALUE"""),740.0)</f>
        <v>740</v>
      </c>
      <c r="D101" s="5">
        <f>IFERROR(__xludf.DUMMYFUNCTION("""COMPUTED_VALUE"""),710.0)</f>
        <v>710</v>
      </c>
      <c r="E101" s="5">
        <f>IFERROR(__xludf.DUMMYFUNCTION("""COMPUTED_VALUE"""),725.0)</f>
        <v>725</v>
      </c>
      <c r="F101" s="5">
        <f>IFERROR(__xludf.DUMMYFUNCTION("""COMPUTED_VALUE"""),3.61448E7)</f>
        <v>36144800</v>
      </c>
      <c r="G101" s="5">
        <f t="shared" si="1"/>
        <v>30</v>
      </c>
    </row>
    <row r="102">
      <c r="A102" s="4">
        <f>IFERROR(__xludf.DUMMYFUNCTION("""COMPUTED_VALUE"""),43984.66666666667)</f>
        <v>43984.66667</v>
      </c>
      <c r="B102" s="5">
        <f>IFERROR(__xludf.DUMMYFUNCTION("""COMPUTED_VALUE"""),735.0)</f>
        <v>735</v>
      </c>
      <c r="C102" s="5">
        <f>IFERROR(__xludf.DUMMYFUNCTION("""COMPUTED_VALUE"""),755.0)</f>
        <v>755</v>
      </c>
      <c r="D102" s="5">
        <f>IFERROR(__xludf.DUMMYFUNCTION("""COMPUTED_VALUE"""),730.0)</f>
        <v>730</v>
      </c>
      <c r="E102" s="5">
        <f>IFERROR(__xludf.DUMMYFUNCTION("""COMPUTED_VALUE"""),740.0)</f>
        <v>740</v>
      </c>
      <c r="F102" s="5">
        <f>IFERROR(__xludf.DUMMYFUNCTION("""COMPUTED_VALUE"""),4.47627E7)</f>
        <v>44762700</v>
      </c>
      <c r="G102" s="5">
        <f t="shared" si="1"/>
        <v>30</v>
      </c>
    </row>
    <row r="103">
      <c r="A103" s="4">
        <f>IFERROR(__xludf.DUMMYFUNCTION("""COMPUTED_VALUE"""),43985.66666666667)</f>
        <v>43985.66667</v>
      </c>
      <c r="B103" s="5">
        <f>IFERROR(__xludf.DUMMYFUNCTION("""COMPUTED_VALUE"""),755.0)</f>
        <v>755</v>
      </c>
      <c r="C103" s="5">
        <f>IFERROR(__xludf.DUMMYFUNCTION("""COMPUTED_VALUE"""),775.0)</f>
        <v>775</v>
      </c>
      <c r="D103" s="5">
        <f>IFERROR(__xludf.DUMMYFUNCTION("""COMPUTED_VALUE"""),730.0)</f>
        <v>730</v>
      </c>
      <c r="E103" s="5">
        <f>IFERROR(__xludf.DUMMYFUNCTION("""COMPUTED_VALUE"""),760.0)</f>
        <v>760</v>
      </c>
      <c r="F103" s="5">
        <f>IFERROR(__xludf.DUMMYFUNCTION("""COMPUTED_VALUE"""),8.83191E7)</f>
        <v>88319100</v>
      </c>
      <c r="G103" s="5">
        <f t="shared" si="1"/>
        <v>45</v>
      </c>
    </row>
    <row r="104">
      <c r="A104" s="4">
        <f>IFERROR(__xludf.DUMMYFUNCTION("""COMPUTED_VALUE"""),43986.66666666667)</f>
        <v>43986.66667</v>
      </c>
      <c r="B104" s="5">
        <f>IFERROR(__xludf.DUMMYFUNCTION("""COMPUTED_VALUE"""),780.0)</f>
        <v>780</v>
      </c>
      <c r="C104" s="5">
        <f>IFERROR(__xludf.DUMMYFUNCTION("""COMPUTED_VALUE"""),885.0)</f>
        <v>885</v>
      </c>
      <c r="D104" s="5">
        <f>IFERROR(__xludf.DUMMYFUNCTION("""COMPUTED_VALUE"""),775.0)</f>
        <v>775</v>
      </c>
      <c r="E104" s="5">
        <f>IFERROR(__xludf.DUMMYFUNCTION("""COMPUTED_VALUE"""),820.0)</f>
        <v>820</v>
      </c>
      <c r="F104" s="5">
        <f>IFERROR(__xludf.DUMMYFUNCTION("""COMPUTED_VALUE"""),2.891004E8)</f>
        <v>289100400</v>
      </c>
      <c r="G104" s="5">
        <f t="shared" si="1"/>
        <v>125</v>
      </c>
    </row>
    <row r="105">
      <c r="A105" s="4">
        <f>IFERROR(__xludf.DUMMYFUNCTION("""COMPUTED_VALUE"""),43987.66666666667)</f>
        <v>43987.66667</v>
      </c>
      <c r="B105" s="5">
        <f>IFERROR(__xludf.DUMMYFUNCTION("""COMPUTED_VALUE"""),830.0)</f>
        <v>830</v>
      </c>
      <c r="C105" s="5">
        <f>IFERROR(__xludf.DUMMYFUNCTION("""COMPUTED_VALUE"""),880.0)</f>
        <v>880</v>
      </c>
      <c r="D105" s="5">
        <f>IFERROR(__xludf.DUMMYFUNCTION("""COMPUTED_VALUE"""),820.0)</f>
        <v>820</v>
      </c>
      <c r="E105" s="5">
        <f>IFERROR(__xludf.DUMMYFUNCTION("""COMPUTED_VALUE"""),870.0)</f>
        <v>870</v>
      </c>
      <c r="F105" s="5">
        <f>IFERROR(__xludf.DUMMYFUNCTION("""COMPUTED_VALUE"""),9.95651E7)</f>
        <v>99565100</v>
      </c>
      <c r="G105" s="5">
        <f t="shared" si="1"/>
        <v>60</v>
      </c>
    </row>
    <row r="106">
      <c r="A106" s="4">
        <f>IFERROR(__xludf.DUMMYFUNCTION("""COMPUTED_VALUE"""),43990.66666666667)</f>
        <v>43990.66667</v>
      </c>
      <c r="B106" s="5">
        <f>IFERROR(__xludf.DUMMYFUNCTION("""COMPUTED_VALUE"""),880.0)</f>
        <v>880</v>
      </c>
      <c r="C106" s="5">
        <f>IFERROR(__xludf.DUMMYFUNCTION("""COMPUTED_VALUE"""),955.0)</f>
        <v>955</v>
      </c>
      <c r="D106" s="5">
        <f>IFERROR(__xludf.DUMMYFUNCTION("""COMPUTED_VALUE"""),880.0)</f>
        <v>880</v>
      </c>
      <c r="E106" s="5">
        <f>IFERROR(__xludf.DUMMYFUNCTION("""COMPUTED_VALUE"""),935.0)</f>
        <v>935</v>
      </c>
      <c r="F106" s="5">
        <f>IFERROR(__xludf.DUMMYFUNCTION("""COMPUTED_VALUE"""),1.064428E8)</f>
        <v>106442800</v>
      </c>
      <c r="G106" s="5">
        <f t="shared" si="1"/>
        <v>85</v>
      </c>
    </row>
    <row r="107">
      <c r="A107" s="4">
        <f>IFERROR(__xludf.DUMMYFUNCTION("""COMPUTED_VALUE"""),43991.66666666667)</f>
        <v>43991.66667</v>
      </c>
      <c r="B107" s="5">
        <f>IFERROR(__xludf.DUMMYFUNCTION("""COMPUTED_VALUE"""),960.0)</f>
        <v>960</v>
      </c>
      <c r="C107" s="5">
        <f>IFERROR(__xludf.DUMMYFUNCTION("""COMPUTED_VALUE"""),995.0)</f>
        <v>995</v>
      </c>
      <c r="D107" s="5">
        <f>IFERROR(__xludf.DUMMYFUNCTION("""COMPUTED_VALUE"""),905.0)</f>
        <v>905</v>
      </c>
      <c r="E107" s="5">
        <f>IFERROR(__xludf.DUMMYFUNCTION("""COMPUTED_VALUE"""),935.0)</f>
        <v>935</v>
      </c>
      <c r="F107" s="5">
        <f>IFERROR(__xludf.DUMMYFUNCTION("""COMPUTED_VALUE"""),1.394558E8)</f>
        <v>139455800</v>
      </c>
      <c r="G107" s="5">
        <f t="shared" si="1"/>
        <v>90</v>
      </c>
    </row>
    <row r="108">
      <c r="A108" s="4">
        <f>IFERROR(__xludf.DUMMYFUNCTION("""COMPUTED_VALUE"""),43992.66666666667)</f>
        <v>43992.66667</v>
      </c>
      <c r="B108" s="5">
        <f>IFERROR(__xludf.DUMMYFUNCTION("""COMPUTED_VALUE"""),950.0)</f>
        <v>950</v>
      </c>
      <c r="C108" s="5">
        <f>IFERROR(__xludf.DUMMYFUNCTION("""COMPUTED_VALUE"""),965.0)</f>
        <v>965</v>
      </c>
      <c r="D108" s="5">
        <f>IFERROR(__xludf.DUMMYFUNCTION("""COMPUTED_VALUE"""),870.0)</f>
        <v>870</v>
      </c>
      <c r="E108" s="5">
        <f>IFERROR(__xludf.DUMMYFUNCTION("""COMPUTED_VALUE"""),890.0)</f>
        <v>890</v>
      </c>
      <c r="F108" s="5">
        <f>IFERROR(__xludf.DUMMYFUNCTION("""COMPUTED_VALUE"""),1.060708E8)</f>
        <v>106070800</v>
      </c>
      <c r="G108" s="5">
        <f t="shared" si="1"/>
        <v>95</v>
      </c>
    </row>
    <row r="109">
      <c r="A109" s="4">
        <f>IFERROR(__xludf.DUMMYFUNCTION("""COMPUTED_VALUE"""),43993.66666666667)</f>
        <v>43993.66667</v>
      </c>
      <c r="B109" s="5">
        <f>IFERROR(__xludf.DUMMYFUNCTION("""COMPUTED_VALUE"""),875.0)</f>
        <v>875</v>
      </c>
      <c r="C109" s="5">
        <f>IFERROR(__xludf.DUMMYFUNCTION("""COMPUTED_VALUE"""),900.0)</f>
        <v>900</v>
      </c>
      <c r="D109" s="5">
        <f>IFERROR(__xludf.DUMMYFUNCTION("""COMPUTED_VALUE"""),840.0)</f>
        <v>840</v>
      </c>
      <c r="E109" s="5">
        <f>IFERROR(__xludf.DUMMYFUNCTION("""COMPUTED_VALUE"""),845.0)</f>
        <v>845</v>
      </c>
      <c r="F109" s="5">
        <f>IFERROR(__xludf.DUMMYFUNCTION("""COMPUTED_VALUE"""),7.31064E7)</f>
        <v>73106400</v>
      </c>
      <c r="G109" s="5">
        <f t="shared" si="1"/>
        <v>60</v>
      </c>
    </row>
    <row r="110">
      <c r="A110" s="4">
        <f>IFERROR(__xludf.DUMMYFUNCTION("""COMPUTED_VALUE"""),43994.66666666667)</f>
        <v>43994.66667</v>
      </c>
      <c r="B110" s="5">
        <f>IFERROR(__xludf.DUMMYFUNCTION("""COMPUTED_VALUE"""),810.0)</f>
        <v>810</v>
      </c>
      <c r="C110" s="5">
        <f>IFERROR(__xludf.DUMMYFUNCTION("""COMPUTED_VALUE"""),875.0)</f>
        <v>875</v>
      </c>
      <c r="D110" s="5">
        <f>IFERROR(__xludf.DUMMYFUNCTION("""COMPUTED_VALUE"""),795.0)</f>
        <v>795</v>
      </c>
      <c r="E110" s="5">
        <f>IFERROR(__xludf.DUMMYFUNCTION("""COMPUTED_VALUE"""),870.0)</f>
        <v>870</v>
      </c>
      <c r="F110" s="5">
        <f>IFERROR(__xludf.DUMMYFUNCTION("""COMPUTED_VALUE"""),8.44426E7)</f>
        <v>84442600</v>
      </c>
      <c r="G110" s="5">
        <f t="shared" si="1"/>
        <v>80</v>
      </c>
    </row>
    <row r="111">
      <c r="A111" s="4">
        <f>IFERROR(__xludf.DUMMYFUNCTION("""COMPUTED_VALUE"""),43997.66666666667)</f>
        <v>43997.66667</v>
      </c>
      <c r="B111" s="5">
        <f>IFERROR(__xludf.DUMMYFUNCTION("""COMPUTED_VALUE"""),845.0)</f>
        <v>845</v>
      </c>
      <c r="C111" s="5">
        <f>IFERROR(__xludf.DUMMYFUNCTION("""COMPUTED_VALUE"""),880.0)</f>
        <v>880</v>
      </c>
      <c r="D111" s="5">
        <f>IFERROR(__xludf.DUMMYFUNCTION("""COMPUTED_VALUE"""),810.0)</f>
        <v>810</v>
      </c>
      <c r="E111" s="5">
        <f>IFERROR(__xludf.DUMMYFUNCTION("""COMPUTED_VALUE"""),815.0)</f>
        <v>815</v>
      </c>
      <c r="F111" s="5">
        <f>IFERROR(__xludf.DUMMYFUNCTION("""COMPUTED_VALUE"""),1.065572E8)</f>
        <v>106557200</v>
      </c>
      <c r="G111" s="5">
        <f t="shared" si="1"/>
        <v>70</v>
      </c>
    </row>
    <row r="112">
      <c r="A112" s="4">
        <f>IFERROR(__xludf.DUMMYFUNCTION("""COMPUTED_VALUE"""),43998.66666666667)</f>
        <v>43998.66667</v>
      </c>
      <c r="B112" s="5">
        <f>IFERROR(__xludf.DUMMYFUNCTION("""COMPUTED_VALUE"""),840.0)</f>
        <v>840</v>
      </c>
      <c r="C112" s="5">
        <f>IFERROR(__xludf.DUMMYFUNCTION("""COMPUTED_VALUE"""),880.0)</f>
        <v>880</v>
      </c>
      <c r="D112" s="5">
        <f>IFERROR(__xludf.DUMMYFUNCTION("""COMPUTED_VALUE"""),840.0)</f>
        <v>840</v>
      </c>
      <c r="E112" s="5">
        <f>IFERROR(__xludf.DUMMYFUNCTION("""COMPUTED_VALUE"""),870.0)</f>
        <v>870</v>
      </c>
      <c r="F112" s="5">
        <f>IFERROR(__xludf.DUMMYFUNCTION("""COMPUTED_VALUE"""),6.00865E7)</f>
        <v>60086500</v>
      </c>
      <c r="G112" s="5">
        <f t="shared" si="1"/>
        <v>65</v>
      </c>
    </row>
    <row r="113">
      <c r="A113" s="4">
        <f>IFERROR(__xludf.DUMMYFUNCTION("""COMPUTED_VALUE"""),43999.66666666667)</f>
        <v>43999.66667</v>
      </c>
      <c r="B113" s="5">
        <f>IFERROR(__xludf.DUMMYFUNCTION("""COMPUTED_VALUE"""),890.0)</f>
        <v>890</v>
      </c>
      <c r="C113" s="5">
        <f>IFERROR(__xludf.DUMMYFUNCTION("""COMPUTED_VALUE"""),905.0)</f>
        <v>905</v>
      </c>
      <c r="D113" s="5">
        <f>IFERROR(__xludf.DUMMYFUNCTION("""COMPUTED_VALUE"""),855.0)</f>
        <v>855</v>
      </c>
      <c r="E113" s="5">
        <f>IFERROR(__xludf.DUMMYFUNCTION("""COMPUTED_VALUE"""),900.0)</f>
        <v>900</v>
      </c>
      <c r="F113" s="5">
        <f>IFERROR(__xludf.DUMMYFUNCTION("""COMPUTED_VALUE"""),6.50091E7)</f>
        <v>65009100</v>
      </c>
      <c r="G113" s="5">
        <f t="shared" si="1"/>
        <v>50</v>
      </c>
    </row>
    <row r="114">
      <c r="A114" s="4">
        <f>IFERROR(__xludf.DUMMYFUNCTION("""COMPUTED_VALUE"""),44000.66666666667)</f>
        <v>44000.66667</v>
      </c>
      <c r="B114" s="5">
        <f>IFERROR(__xludf.DUMMYFUNCTION("""COMPUTED_VALUE"""),900.0)</f>
        <v>900</v>
      </c>
      <c r="C114" s="5">
        <f>IFERROR(__xludf.DUMMYFUNCTION("""COMPUTED_VALUE"""),920.0)</f>
        <v>920</v>
      </c>
      <c r="D114" s="5">
        <f>IFERROR(__xludf.DUMMYFUNCTION("""COMPUTED_VALUE"""),880.0)</f>
        <v>880</v>
      </c>
      <c r="E114" s="5">
        <f>IFERROR(__xludf.DUMMYFUNCTION("""COMPUTED_VALUE"""),885.0)</f>
        <v>885</v>
      </c>
      <c r="F114" s="5">
        <f>IFERROR(__xludf.DUMMYFUNCTION("""COMPUTED_VALUE"""),7.87815E7)</f>
        <v>78781500</v>
      </c>
      <c r="G114" s="5">
        <f t="shared" si="1"/>
        <v>40</v>
      </c>
    </row>
    <row r="115">
      <c r="A115" s="4">
        <f>IFERROR(__xludf.DUMMYFUNCTION("""COMPUTED_VALUE"""),44001.66666666667)</f>
        <v>44001.66667</v>
      </c>
      <c r="B115" s="5">
        <f>IFERROR(__xludf.DUMMYFUNCTION("""COMPUTED_VALUE"""),895.0)</f>
        <v>895</v>
      </c>
      <c r="C115" s="5">
        <f>IFERROR(__xludf.DUMMYFUNCTION("""COMPUTED_VALUE"""),895.0)</f>
        <v>895</v>
      </c>
      <c r="D115" s="5">
        <f>IFERROR(__xludf.DUMMYFUNCTION("""COMPUTED_VALUE"""),850.0)</f>
        <v>850</v>
      </c>
      <c r="E115" s="5">
        <f>IFERROR(__xludf.DUMMYFUNCTION("""COMPUTED_VALUE"""),860.0)</f>
        <v>860</v>
      </c>
      <c r="F115" s="5">
        <f>IFERROR(__xludf.DUMMYFUNCTION("""COMPUTED_VALUE"""),3.85213E7)</f>
        <v>38521300</v>
      </c>
      <c r="G115" s="5">
        <f t="shared" si="1"/>
        <v>45</v>
      </c>
    </row>
    <row r="116">
      <c r="A116" s="4">
        <f>IFERROR(__xludf.DUMMYFUNCTION("""COMPUTED_VALUE"""),44004.66666666667)</f>
        <v>44004.66667</v>
      </c>
      <c r="B116" s="5">
        <f>IFERROR(__xludf.DUMMYFUNCTION("""COMPUTED_VALUE"""),860.0)</f>
        <v>860</v>
      </c>
      <c r="C116" s="5">
        <f>IFERROR(__xludf.DUMMYFUNCTION("""COMPUTED_VALUE"""),880.0)</f>
        <v>880</v>
      </c>
      <c r="D116" s="5">
        <f>IFERROR(__xludf.DUMMYFUNCTION("""COMPUTED_VALUE"""),835.0)</f>
        <v>835</v>
      </c>
      <c r="E116" s="5">
        <f>IFERROR(__xludf.DUMMYFUNCTION("""COMPUTED_VALUE"""),840.0)</f>
        <v>840</v>
      </c>
      <c r="F116" s="5">
        <f>IFERROR(__xludf.DUMMYFUNCTION("""COMPUTED_VALUE"""),2.39969E7)</f>
        <v>23996900</v>
      </c>
      <c r="G116" s="5">
        <f t="shared" si="1"/>
        <v>45</v>
      </c>
    </row>
    <row r="117">
      <c r="A117" s="4">
        <f>IFERROR(__xludf.DUMMYFUNCTION("""COMPUTED_VALUE"""),44005.66666666667)</f>
        <v>44005.66667</v>
      </c>
      <c r="B117" s="5">
        <f>IFERROR(__xludf.DUMMYFUNCTION("""COMPUTED_VALUE"""),840.0)</f>
        <v>840</v>
      </c>
      <c r="C117" s="5">
        <f>IFERROR(__xludf.DUMMYFUNCTION("""COMPUTED_VALUE"""),855.0)</f>
        <v>855</v>
      </c>
      <c r="D117" s="5">
        <f>IFERROR(__xludf.DUMMYFUNCTION("""COMPUTED_VALUE"""),825.0)</f>
        <v>825</v>
      </c>
      <c r="E117" s="5">
        <f>IFERROR(__xludf.DUMMYFUNCTION("""COMPUTED_VALUE"""),835.0)</f>
        <v>835</v>
      </c>
      <c r="F117" s="5">
        <f>IFERROR(__xludf.DUMMYFUNCTION("""COMPUTED_VALUE"""),1.57069E7)</f>
        <v>15706900</v>
      </c>
      <c r="G117" s="5">
        <f t="shared" si="1"/>
        <v>30</v>
      </c>
    </row>
    <row r="118">
      <c r="A118" s="4">
        <f>IFERROR(__xludf.DUMMYFUNCTION("""COMPUTED_VALUE"""),44006.66666666667)</f>
        <v>44006.66667</v>
      </c>
      <c r="B118" s="5">
        <f>IFERROR(__xludf.DUMMYFUNCTION("""COMPUTED_VALUE"""),850.0)</f>
        <v>850</v>
      </c>
      <c r="C118" s="5">
        <f>IFERROR(__xludf.DUMMYFUNCTION("""COMPUTED_VALUE"""),870.0)</f>
        <v>870</v>
      </c>
      <c r="D118" s="5">
        <f>IFERROR(__xludf.DUMMYFUNCTION("""COMPUTED_VALUE"""),835.0)</f>
        <v>835</v>
      </c>
      <c r="E118" s="5">
        <f>IFERROR(__xludf.DUMMYFUNCTION("""COMPUTED_VALUE"""),855.0)</f>
        <v>855</v>
      </c>
      <c r="F118" s="5">
        <f>IFERROR(__xludf.DUMMYFUNCTION("""COMPUTED_VALUE"""),2.4648E7)</f>
        <v>24648000</v>
      </c>
      <c r="G118" s="5">
        <f t="shared" si="1"/>
        <v>35</v>
      </c>
    </row>
    <row r="119">
      <c r="A119" s="4">
        <f>IFERROR(__xludf.DUMMYFUNCTION("""COMPUTED_VALUE"""),44007.66666666667)</f>
        <v>44007.66667</v>
      </c>
      <c r="B119" s="5">
        <f>IFERROR(__xludf.DUMMYFUNCTION("""COMPUTED_VALUE"""),835.0)</f>
        <v>835</v>
      </c>
      <c r="C119" s="5">
        <f>IFERROR(__xludf.DUMMYFUNCTION("""COMPUTED_VALUE"""),870.0)</f>
        <v>870</v>
      </c>
      <c r="D119" s="5">
        <f>IFERROR(__xludf.DUMMYFUNCTION("""COMPUTED_VALUE"""),835.0)</f>
        <v>835</v>
      </c>
      <c r="E119" s="5">
        <f>IFERROR(__xludf.DUMMYFUNCTION("""COMPUTED_VALUE"""),845.0)</f>
        <v>845</v>
      </c>
      <c r="F119" s="5">
        <f>IFERROR(__xludf.DUMMYFUNCTION("""COMPUTED_VALUE"""),3.58629E7)</f>
        <v>35862900</v>
      </c>
      <c r="G119" s="5">
        <f t="shared" si="1"/>
        <v>35</v>
      </c>
    </row>
    <row r="120">
      <c r="A120" s="4">
        <f>IFERROR(__xludf.DUMMYFUNCTION("""COMPUTED_VALUE"""),44008.66666666667)</f>
        <v>44008.66667</v>
      </c>
      <c r="B120" s="5">
        <f>IFERROR(__xludf.DUMMYFUNCTION("""COMPUTED_VALUE"""),850.0)</f>
        <v>850</v>
      </c>
      <c r="C120" s="5">
        <f>IFERROR(__xludf.DUMMYFUNCTION("""COMPUTED_VALUE"""),905.0)</f>
        <v>905</v>
      </c>
      <c r="D120" s="5">
        <f>IFERROR(__xludf.DUMMYFUNCTION("""COMPUTED_VALUE"""),850.0)</f>
        <v>850</v>
      </c>
      <c r="E120" s="5">
        <f>IFERROR(__xludf.DUMMYFUNCTION("""COMPUTED_VALUE"""),890.0)</f>
        <v>890</v>
      </c>
      <c r="F120" s="5">
        <f>IFERROR(__xludf.DUMMYFUNCTION("""COMPUTED_VALUE"""),6.13346E7)</f>
        <v>61334600</v>
      </c>
      <c r="G120" s="5">
        <f t="shared" si="1"/>
        <v>60</v>
      </c>
    </row>
    <row r="121">
      <c r="A121" s="4">
        <f>IFERROR(__xludf.DUMMYFUNCTION("""COMPUTED_VALUE"""),44011.66666666667)</f>
        <v>44011.66667</v>
      </c>
      <c r="B121" s="5">
        <f>IFERROR(__xludf.DUMMYFUNCTION("""COMPUTED_VALUE"""),885.0)</f>
        <v>885</v>
      </c>
      <c r="C121" s="5">
        <f>IFERROR(__xludf.DUMMYFUNCTION("""COMPUTED_VALUE"""),895.0)</f>
        <v>895</v>
      </c>
      <c r="D121" s="5">
        <f>IFERROR(__xludf.DUMMYFUNCTION("""COMPUTED_VALUE"""),870.0)</f>
        <v>870</v>
      </c>
      <c r="E121" s="5">
        <f>IFERROR(__xludf.DUMMYFUNCTION("""COMPUTED_VALUE"""),875.0)</f>
        <v>875</v>
      </c>
      <c r="F121" s="5">
        <f>IFERROR(__xludf.DUMMYFUNCTION("""COMPUTED_VALUE"""),3.71283E7)</f>
        <v>37128300</v>
      </c>
      <c r="G121" s="5">
        <f t="shared" si="1"/>
        <v>25</v>
      </c>
    </row>
    <row r="122">
      <c r="A122" s="4">
        <f>IFERROR(__xludf.DUMMYFUNCTION("""COMPUTED_VALUE"""),44012.66666666667)</f>
        <v>44012.66667</v>
      </c>
      <c r="B122" s="5">
        <f>IFERROR(__xludf.DUMMYFUNCTION("""COMPUTED_VALUE"""),890.0)</f>
        <v>890</v>
      </c>
      <c r="C122" s="5">
        <f>IFERROR(__xludf.DUMMYFUNCTION("""COMPUTED_VALUE"""),900.0)</f>
        <v>900</v>
      </c>
      <c r="D122" s="5">
        <f>IFERROR(__xludf.DUMMYFUNCTION("""COMPUTED_VALUE"""),870.0)</f>
        <v>870</v>
      </c>
      <c r="E122" s="5">
        <f>IFERROR(__xludf.DUMMYFUNCTION("""COMPUTED_VALUE"""),870.0)</f>
        <v>870</v>
      </c>
      <c r="F122" s="5">
        <f>IFERROR(__xludf.DUMMYFUNCTION("""COMPUTED_VALUE"""),2.72775E7)</f>
        <v>27277500</v>
      </c>
      <c r="G122" s="5">
        <f t="shared" si="1"/>
        <v>30</v>
      </c>
    </row>
    <row r="123">
      <c r="A123" s="4">
        <f>IFERROR(__xludf.DUMMYFUNCTION("""COMPUTED_VALUE"""),44013.66666666667)</f>
        <v>44013.66667</v>
      </c>
      <c r="B123" s="5">
        <f>IFERROR(__xludf.DUMMYFUNCTION("""COMPUTED_VALUE"""),885.0)</f>
        <v>885</v>
      </c>
      <c r="C123" s="5">
        <f>IFERROR(__xludf.DUMMYFUNCTION("""COMPUTED_VALUE"""),895.0)</f>
        <v>895</v>
      </c>
      <c r="D123" s="5">
        <f>IFERROR(__xludf.DUMMYFUNCTION("""COMPUTED_VALUE"""),855.0)</f>
        <v>855</v>
      </c>
      <c r="E123" s="5">
        <f>IFERROR(__xludf.DUMMYFUNCTION("""COMPUTED_VALUE"""),880.0)</f>
        <v>880</v>
      </c>
      <c r="F123" s="5">
        <f>IFERROR(__xludf.DUMMYFUNCTION("""COMPUTED_VALUE"""),2.73911E7)</f>
        <v>27391100</v>
      </c>
      <c r="G123" s="5">
        <f t="shared" si="1"/>
        <v>40</v>
      </c>
    </row>
    <row r="124">
      <c r="A124" s="4">
        <f>IFERROR(__xludf.DUMMYFUNCTION("""COMPUTED_VALUE"""),44014.66666666667)</f>
        <v>44014.66667</v>
      </c>
      <c r="B124" s="5">
        <f>IFERROR(__xludf.DUMMYFUNCTION("""COMPUTED_VALUE"""),885.0)</f>
        <v>885</v>
      </c>
      <c r="C124" s="5">
        <f>IFERROR(__xludf.DUMMYFUNCTION("""COMPUTED_VALUE"""),980.0)</f>
        <v>980</v>
      </c>
      <c r="D124" s="5">
        <f>IFERROR(__xludf.DUMMYFUNCTION("""COMPUTED_VALUE"""),885.0)</f>
        <v>885</v>
      </c>
      <c r="E124" s="5">
        <f>IFERROR(__xludf.DUMMYFUNCTION("""COMPUTED_VALUE"""),980.0)</f>
        <v>980</v>
      </c>
      <c r="F124" s="5">
        <f>IFERROR(__xludf.DUMMYFUNCTION("""COMPUTED_VALUE"""),2.741783E8)</f>
        <v>274178300</v>
      </c>
      <c r="G124" s="5">
        <f t="shared" si="1"/>
        <v>100</v>
      </c>
    </row>
    <row r="125">
      <c r="A125" s="4">
        <f>IFERROR(__xludf.DUMMYFUNCTION("""COMPUTED_VALUE"""),44015.66666666667)</f>
        <v>44015.66667</v>
      </c>
      <c r="B125" s="5">
        <f>IFERROR(__xludf.DUMMYFUNCTION("""COMPUTED_VALUE"""),990.0)</f>
        <v>990</v>
      </c>
      <c r="C125" s="5">
        <f>IFERROR(__xludf.DUMMYFUNCTION("""COMPUTED_VALUE"""),1035.0)</f>
        <v>1035</v>
      </c>
      <c r="D125" s="5">
        <f>IFERROR(__xludf.DUMMYFUNCTION("""COMPUTED_VALUE"""),955.0)</f>
        <v>955</v>
      </c>
      <c r="E125" s="5">
        <f>IFERROR(__xludf.DUMMYFUNCTION("""COMPUTED_VALUE"""),955.0)</f>
        <v>955</v>
      </c>
      <c r="F125" s="5">
        <f>IFERROR(__xludf.DUMMYFUNCTION("""COMPUTED_VALUE"""),2.58425E8)</f>
        <v>258425000</v>
      </c>
      <c r="G125" s="5">
        <f t="shared" si="1"/>
        <v>80</v>
      </c>
    </row>
    <row r="126">
      <c r="A126" s="4">
        <f>IFERROR(__xludf.DUMMYFUNCTION("""COMPUTED_VALUE"""),44018.66666666667)</f>
        <v>44018.66667</v>
      </c>
      <c r="B126" s="5">
        <f>IFERROR(__xludf.DUMMYFUNCTION("""COMPUTED_VALUE"""),965.0)</f>
        <v>965</v>
      </c>
      <c r="C126" s="5">
        <f>IFERROR(__xludf.DUMMYFUNCTION("""COMPUTED_VALUE"""),1020.0)</f>
        <v>1020</v>
      </c>
      <c r="D126" s="5">
        <f>IFERROR(__xludf.DUMMYFUNCTION("""COMPUTED_VALUE"""),955.0)</f>
        <v>955</v>
      </c>
      <c r="E126" s="5">
        <f>IFERROR(__xludf.DUMMYFUNCTION("""COMPUTED_VALUE"""),1020.0)</f>
        <v>1020</v>
      </c>
      <c r="F126" s="5">
        <f>IFERROR(__xludf.DUMMYFUNCTION("""COMPUTED_VALUE"""),1.090215E8)</f>
        <v>109021500</v>
      </c>
      <c r="G126" s="5">
        <f t="shared" si="1"/>
        <v>65</v>
      </c>
    </row>
    <row r="127">
      <c r="A127" s="4">
        <f>IFERROR(__xludf.DUMMYFUNCTION("""COMPUTED_VALUE"""),44019.66666666667)</f>
        <v>44019.66667</v>
      </c>
      <c r="B127" s="5">
        <f>IFERROR(__xludf.DUMMYFUNCTION("""COMPUTED_VALUE"""),1035.0)</f>
        <v>1035</v>
      </c>
      <c r="C127" s="5">
        <f>IFERROR(__xludf.DUMMYFUNCTION("""COMPUTED_VALUE"""),1040.0)</f>
        <v>1040</v>
      </c>
      <c r="D127" s="5">
        <f>IFERROR(__xludf.DUMMYFUNCTION("""COMPUTED_VALUE"""),990.0)</f>
        <v>990</v>
      </c>
      <c r="E127" s="5">
        <f>IFERROR(__xludf.DUMMYFUNCTION("""COMPUTED_VALUE"""),990.0)</f>
        <v>990</v>
      </c>
      <c r="F127" s="5">
        <f>IFERROR(__xludf.DUMMYFUNCTION("""COMPUTED_VALUE"""),1.004628E8)</f>
        <v>100462800</v>
      </c>
      <c r="G127" s="5">
        <f t="shared" si="1"/>
        <v>50</v>
      </c>
    </row>
    <row r="128">
      <c r="A128" s="4">
        <f>IFERROR(__xludf.DUMMYFUNCTION("""COMPUTED_VALUE"""),44020.66666666667)</f>
        <v>44020.66667</v>
      </c>
      <c r="B128" s="5">
        <f>IFERROR(__xludf.DUMMYFUNCTION("""COMPUTED_VALUE"""),990.0)</f>
        <v>990</v>
      </c>
      <c r="C128" s="5">
        <f>IFERROR(__xludf.DUMMYFUNCTION("""COMPUTED_VALUE"""),1020.0)</f>
        <v>1020</v>
      </c>
      <c r="D128" s="5">
        <f>IFERROR(__xludf.DUMMYFUNCTION("""COMPUTED_VALUE"""),990.0)</f>
        <v>990</v>
      </c>
      <c r="E128" s="5">
        <f>IFERROR(__xludf.DUMMYFUNCTION("""COMPUTED_VALUE"""),1005.0)</f>
        <v>1005</v>
      </c>
      <c r="F128" s="5">
        <f>IFERROR(__xludf.DUMMYFUNCTION("""COMPUTED_VALUE"""),6.75417E7)</f>
        <v>67541700</v>
      </c>
      <c r="G128" s="5">
        <f t="shared" si="1"/>
        <v>30</v>
      </c>
    </row>
    <row r="129">
      <c r="A129" s="4">
        <f>IFERROR(__xludf.DUMMYFUNCTION("""COMPUTED_VALUE"""),44021.66666666667)</f>
        <v>44021.66667</v>
      </c>
      <c r="B129" s="5">
        <f>IFERROR(__xludf.DUMMYFUNCTION("""COMPUTED_VALUE"""),1015.0)</f>
        <v>1015</v>
      </c>
      <c r="C129" s="5">
        <f>IFERROR(__xludf.DUMMYFUNCTION("""COMPUTED_VALUE"""),1030.0)</f>
        <v>1030</v>
      </c>
      <c r="D129" s="5">
        <f>IFERROR(__xludf.DUMMYFUNCTION("""COMPUTED_VALUE"""),990.0)</f>
        <v>990</v>
      </c>
      <c r="E129" s="5">
        <f>IFERROR(__xludf.DUMMYFUNCTION("""COMPUTED_VALUE"""),995.0)</f>
        <v>995</v>
      </c>
      <c r="F129" s="5">
        <f>IFERROR(__xludf.DUMMYFUNCTION("""COMPUTED_VALUE"""),6.01746E7)</f>
        <v>60174600</v>
      </c>
      <c r="G129" s="5">
        <f t="shared" si="1"/>
        <v>40</v>
      </c>
    </row>
    <row r="130">
      <c r="A130" s="4">
        <f>IFERROR(__xludf.DUMMYFUNCTION("""COMPUTED_VALUE"""),44022.66666666667)</f>
        <v>44022.66667</v>
      </c>
      <c r="B130" s="5">
        <f>IFERROR(__xludf.DUMMYFUNCTION("""COMPUTED_VALUE"""),990.0)</f>
        <v>990</v>
      </c>
      <c r="C130" s="5">
        <f>IFERROR(__xludf.DUMMYFUNCTION("""COMPUTED_VALUE"""),1005.0)</f>
        <v>1005</v>
      </c>
      <c r="D130" s="5">
        <f>IFERROR(__xludf.DUMMYFUNCTION("""COMPUTED_VALUE"""),980.0)</f>
        <v>980</v>
      </c>
      <c r="E130" s="5">
        <f>IFERROR(__xludf.DUMMYFUNCTION("""COMPUTED_VALUE"""),985.0)</f>
        <v>985</v>
      </c>
      <c r="F130" s="5">
        <f>IFERROR(__xludf.DUMMYFUNCTION("""COMPUTED_VALUE"""),3.20167E7)</f>
        <v>32016700</v>
      </c>
      <c r="G130" s="5">
        <f t="shared" si="1"/>
        <v>25</v>
      </c>
    </row>
    <row r="131">
      <c r="A131" s="4">
        <f>IFERROR(__xludf.DUMMYFUNCTION("""COMPUTED_VALUE"""),44025.66666666667)</f>
        <v>44025.66667</v>
      </c>
      <c r="B131" s="5">
        <f>IFERROR(__xludf.DUMMYFUNCTION("""COMPUTED_VALUE"""),985.0)</f>
        <v>985</v>
      </c>
      <c r="C131" s="5">
        <f>IFERROR(__xludf.DUMMYFUNCTION("""COMPUTED_VALUE"""),1005.0)</f>
        <v>1005</v>
      </c>
      <c r="D131" s="5">
        <f>IFERROR(__xludf.DUMMYFUNCTION("""COMPUTED_VALUE"""),980.0)</f>
        <v>980</v>
      </c>
      <c r="E131" s="5">
        <f>IFERROR(__xludf.DUMMYFUNCTION("""COMPUTED_VALUE"""),995.0)</f>
        <v>995</v>
      </c>
      <c r="F131" s="5">
        <f>IFERROR(__xludf.DUMMYFUNCTION("""COMPUTED_VALUE"""),1.97447E7)</f>
        <v>19744700</v>
      </c>
      <c r="G131" s="5">
        <f t="shared" si="1"/>
        <v>25</v>
      </c>
    </row>
    <row r="132">
      <c r="A132" s="4">
        <f>IFERROR(__xludf.DUMMYFUNCTION("""COMPUTED_VALUE"""),44026.66666666667)</f>
        <v>44026.66667</v>
      </c>
      <c r="B132" s="5">
        <f>IFERROR(__xludf.DUMMYFUNCTION("""COMPUTED_VALUE"""),1000.0)</f>
        <v>1000</v>
      </c>
      <c r="C132" s="5">
        <f>IFERROR(__xludf.DUMMYFUNCTION("""COMPUTED_VALUE"""),1000.0)</f>
        <v>1000</v>
      </c>
      <c r="D132" s="5">
        <f>IFERROR(__xludf.DUMMYFUNCTION("""COMPUTED_VALUE"""),970.0)</f>
        <v>970</v>
      </c>
      <c r="E132" s="5">
        <f>IFERROR(__xludf.DUMMYFUNCTION("""COMPUTED_VALUE"""),980.0)</f>
        <v>980</v>
      </c>
      <c r="F132" s="5">
        <f>IFERROR(__xludf.DUMMYFUNCTION("""COMPUTED_VALUE"""),2.50188E7)</f>
        <v>25018800</v>
      </c>
      <c r="G132" s="5">
        <f t="shared" si="1"/>
        <v>30</v>
      </c>
    </row>
    <row r="133">
      <c r="A133" s="4">
        <f>IFERROR(__xludf.DUMMYFUNCTION("""COMPUTED_VALUE"""),44027.66666666667)</f>
        <v>44027.66667</v>
      </c>
      <c r="B133" s="5">
        <f>IFERROR(__xludf.DUMMYFUNCTION("""COMPUTED_VALUE"""),990.0)</f>
        <v>990</v>
      </c>
      <c r="C133" s="5">
        <f>IFERROR(__xludf.DUMMYFUNCTION("""COMPUTED_VALUE"""),1015.0)</f>
        <v>1015</v>
      </c>
      <c r="D133" s="5">
        <f>IFERROR(__xludf.DUMMYFUNCTION("""COMPUTED_VALUE"""),980.0)</f>
        <v>980</v>
      </c>
      <c r="E133" s="5">
        <f>IFERROR(__xludf.DUMMYFUNCTION("""COMPUTED_VALUE"""),990.0)</f>
        <v>990</v>
      </c>
      <c r="F133" s="5">
        <f>IFERROR(__xludf.DUMMYFUNCTION("""COMPUTED_VALUE"""),6.80271E7)</f>
        <v>68027100</v>
      </c>
      <c r="G133" s="5">
        <f t="shared" si="1"/>
        <v>35</v>
      </c>
    </row>
    <row r="134">
      <c r="A134" s="4">
        <f>IFERROR(__xludf.DUMMYFUNCTION("""COMPUTED_VALUE"""),44028.66666666667)</f>
        <v>44028.66667</v>
      </c>
      <c r="B134" s="5">
        <f>IFERROR(__xludf.DUMMYFUNCTION("""COMPUTED_VALUE"""),1010.0)</f>
        <v>1010</v>
      </c>
      <c r="C134" s="5">
        <f>IFERROR(__xludf.DUMMYFUNCTION("""COMPUTED_VALUE"""),1010.0)</f>
        <v>1010</v>
      </c>
      <c r="D134" s="5">
        <f>IFERROR(__xludf.DUMMYFUNCTION("""COMPUTED_VALUE"""),990.0)</f>
        <v>990</v>
      </c>
      <c r="E134" s="5">
        <f>IFERROR(__xludf.DUMMYFUNCTION("""COMPUTED_VALUE"""),995.0)</f>
        <v>995</v>
      </c>
      <c r="F134" s="5">
        <f>IFERROR(__xludf.DUMMYFUNCTION("""COMPUTED_VALUE"""),3.67787E7)</f>
        <v>36778700</v>
      </c>
      <c r="G134" s="5">
        <f t="shared" si="1"/>
        <v>20</v>
      </c>
    </row>
    <row r="135">
      <c r="A135" s="4">
        <f>IFERROR(__xludf.DUMMYFUNCTION("""COMPUTED_VALUE"""),44029.66666666667)</f>
        <v>44029.66667</v>
      </c>
      <c r="B135" s="5">
        <f>IFERROR(__xludf.DUMMYFUNCTION("""COMPUTED_VALUE"""),1005.0)</f>
        <v>1005</v>
      </c>
      <c r="C135" s="5">
        <f>IFERROR(__xludf.DUMMYFUNCTION("""COMPUTED_VALUE"""),1005.0)</f>
        <v>1005</v>
      </c>
      <c r="D135" s="5">
        <f>IFERROR(__xludf.DUMMYFUNCTION("""COMPUTED_VALUE"""),985.0)</f>
        <v>985</v>
      </c>
      <c r="E135" s="5">
        <f>IFERROR(__xludf.DUMMYFUNCTION("""COMPUTED_VALUE"""),985.0)</f>
        <v>985</v>
      </c>
      <c r="F135" s="5">
        <f>IFERROR(__xludf.DUMMYFUNCTION("""COMPUTED_VALUE"""),1.93564E7)</f>
        <v>19356400</v>
      </c>
      <c r="G135" s="5">
        <f t="shared" si="1"/>
        <v>20</v>
      </c>
    </row>
    <row r="136">
      <c r="A136" s="4">
        <f>IFERROR(__xludf.DUMMYFUNCTION("""COMPUTED_VALUE"""),44032.66666666667)</f>
        <v>44032.66667</v>
      </c>
      <c r="B136" s="5">
        <f>IFERROR(__xludf.DUMMYFUNCTION("""COMPUTED_VALUE"""),985.0)</f>
        <v>985</v>
      </c>
      <c r="C136" s="5">
        <f>IFERROR(__xludf.DUMMYFUNCTION("""COMPUTED_VALUE"""),995.0)</f>
        <v>995</v>
      </c>
      <c r="D136" s="5">
        <f>IFERROR(__xludf.DUMMYFUNCTION("""COMPUTED_VALUE"""),960.0)</f>
        <v>960</v>
      </c>
      <c r="E136" s="5">
        <f>IFERROR(__xludf.DUMMYFUNCTION("""COMPUTED_VALUE"""),960.0)</f>
        <v>960</v>
      </c>
      <c r="F136" s="5">
        <f>IFERROR(__xludf.DUMMYFUNCTION("""COMPUTED_VALUE"""),3.87887E7)</f>
        <v>38788700</v>
      </c>
      <c r="G136" s="5">
        <f t="shared" si="1"/>
        <v>35</v>
      </c>
    </row>
    <row r="137">
      <c r="A137" s="4">
        <f>IFERROR(__xludf.DUMMYFUNCTION("""COMPUTED_VALUE"""),44033.66666666667)</f>
        <v>44033.66667</v>
      </c>
      <c r="B137" s="5">
        <f>IFERROR(__xludf.DUMMYFUNCTION("""COMPUTED_VALUE"""),965.0)</f>
        <v>965</v>
      </c>
      <c r="C137" s="5">
        <f>IFERROR(__xludf.DUMMYFUNCTION("""COMPUTED_VALUE"""),1010.0)</f>
        <v>1010</v>
      </c>
      <c r="D137" s="5">
        <f>IFERROR(__xludf.DUMMYFUNCTION("""COMPUTED_VALUE"""),965.0)</f>
        <v>965</v>
      </c>
      <c r="E137" s="5">
        <f>IFERROR(__xludf.DUMMYFUNCTION("""COMPUTED_VALUE"""),1000.0)</f>
        <v>1000</v>
      </c>
      <c r="F137" s="5">
        <f>IFERROR(__xludf.DUMMYFUNCTION("""COMPUTED_VALUE"""),4.07321E7)</f>
        <v>40732100</v>
      </c>
      <c r="G137" s="5">
        <f t="shared" si="1"/>
        <v>50</v>
      </c>
    </row>
    <row r="138">
      <c r="A138" s="4">
        <f>IFERROR(__xludf.DUMMYFUNCTION("""COMPUTED_VALUE"""),44034.66666666667)</f>
        <v>44034.66667</v>
      </c>
      <c r="B138" s="5">
        <f>IFERROR(__xludf.DUMMYFUNCTION("""COMPUTED_VALUE"""),1005.0)</f>
        <v>1005</v>
      </c>
      <c r="C138" s="5">
        <f>IFERROR(__xludf.DUMMYFUNCTION("""COMPUTED_VALUE"""),1005.0)</f>
        <v>1005</v>
      </c>
      <c r="D138" s="5">
        <f>IFERROR(__xludf.DUMMYFUNCTION("""COMPUTED_VALUE"""),980.0)</f>
        <v>980</v>
      </c>
      <c r="E138" s="5">
        <f>IFERROR(__xludf.DUMMYFUNCTION("""COMPUTED_VALUE"""),985.0)</f>
        <v>985</v>
      </c>
      <c r="F138" s="5">
        <f>IFERROR(__xludf.DUMMYFUNCTION("""COMPUTED_VALUE"""),1.96538E7)</f>
        <v>19653800</v>
      </c>
      <c r="G138" s="5">
        <f t="shared" si="1"/>
        <v>25</v>
      </c>
    </row>
    <row r="139">
      <c r="A139" s="4">
        <f>IFERROR(__xludf.DUMMYFUNCTION("""COMPUTED_VALUE"""),44035.66666666667)</f>
        <v>44035.66667</v>
      </c>
      <c r="B139" s="5">
        <f>IFERROR(__xludf.DUMMYFUNCTION("""COMPUTED_VALUE"""),995.0)</f>
        <v>995</v>
      </c>
      <c r="C139" s="5">
        <f>IFERROR(__xludf.DUMMYFUNCTION("""COMPUTED_VALUE"""),1070.0)</f>
        <v>1070</v>
      </c>
      <c r="D139" s="5">
        <f>IFERROR(__xludf.DUMMYFUNCTION("""COMPUTED_VALUE"""),985.0)</f>
        <v>985</v>
      </c>
      <c r="E139" s="5">
        <f>IFERROR(__xludf.DUMMYFUNCTION("""COMPUTED_VALUE"""),1070.0)</f>
        <v>1070</v>
      </c>
      <c r="F139" s="5">
        <f>IFERROR(__xludf.DUMMYFUNCTION("""COMPUTED_VALUE"""),1.842302E8)</f>
        <v>184230200</v>
      </c>
      <c r="G139" s="5">
        <f t="shared" si="1"/>
        <v>85</v>
      </c>
    </row>
    <row r="140">
      <c r="A140" s="4">
        <f>IFERROR(__xludf.DUMMYFUNCTION("""COMPUTED_VALUE"""),44036.66666666667)</f>
        <v>44036.66667</v>
      </c>
      <c r="B140" s="5">
        <f>IFERROR(__xludf.DUMMYFUNCTION("""COMPUTED_VALUE"""),1060.0)</f>
        <v>1060</v>
      </c>
      <c r="C140" s="5">
        <f>IFERROR(__xludf.DUMMYFUNCTION("""COMPUTED_VALUE"""),1075.0)</f>
        <v>1075</v>
      </c>
      <c r="D140" s="5">
        <f>IFERROR(__xludf.DUMMYFUNCTION("""COMPUTED_VALUE"""),1040.0)</f>
        <v>1040</v>
      </c>
      <c r="E140" s="5">
        <f>IFERROR(__xludf.DUMMYFUNCTION("""COMPUTED_VALUE"""),1045.0)</f>
        <v>1045</v>
      </c>
      <c r="F140" s="5">
        <f>IFERROR(__xludf.DUMMYFUNCTION("""COMPUTED_VALUE"""),7.20459E7)</f>
        <v>72045900</v>
      </c>
      <c r="G140" s="5">
        <f t="shared" si="1"/>
        <v>35</v>
      </c>
    </row>
    <row r="141">
      <c r="A141" s="4">
        <f>IFERROR(__xludf.DUMMYFUNCTION("""COMPUTED_VALUE"""),44039.66666666667)</f>
        <v>44039.66667</v>
      </c>
      <c r="B141" s="5">
        <f>IFERROR(__xludf.DUMMYFUNCTION("""COMPUTED_VALUE"""),1045.0)</f>
        <v>1045</v>
      </c>
      <c r="C141" s="5">
        <f>IFERROR(__xludf.DUMMYFUNCTION("""COMPUTED_VALUE"""),1050.0)</f>
        <v>1050</v>
      </c>
      <c r="D141" s="5">
        <f>IFERROR(__xludf.DUMMYFUNCTION("""COMPUTED_VALUE"""),1000.0)</f>
        <v>1000</v>
      </c>
      <c r="E141" s="5">
        <f>IFERROR(__xludf.DUMMYFUNCTION("""COMPUTED_VALUE"""),1000.0)</f>
        <v>1000</v>
      </c>
      <c r="F141" s="5">
        <f>IFERROR(__xludf.DUMMYFUNCTION("""COMPUTED_VALUE"""),5.87081E7)</f>
        <v>58708100</v>
      </c>
      <c r="G141" s="5">
        <f t="shared" si="1"/>
        <v>50</v>
      </c>
    </row>
    <row r="142">
      <c r="A142" s="4">
        <f>IFERROR(__xludf.DUMMYFUNCTION("""COMPUTED_VALUE"""),44040.66666666667)</f>
        <v>44040.66667</v>
      </c>
      <c r="B142" s="5">
        <f>IFERROR(__xludf.DUMMYFUNCTION("""COMPUTED_VALUE"""),1015.0)</f>
        <v>1015</v>
      </c>
      <c r="C142" s="5">
        <f>IFERROR(__xludf.DUMMYFUNCTION("""COMPUTED_VALUE"""),1025.0)</f>
        <v>1025</v>
      </c>
      <c r="D142" s="5">
        <f>IFERROR(__xludf.DUMMYFUNCTION("""COMPUTED_VALUE"""),985.0)</f>
        <v>985</v>
      </c>
      <c r="E142" s="5">
        <f>IFERROR(__xludf.DUMMYFUNCTION("""COMPUTED_VALUE"""),995.0)</f>
        <v>995</v>
      </c>
      <c r="F142" s="5">
        <f>IFERROR(__xludf.DUMMYFUNCTION("""COMPUTED_VALUE"""),5.11727E7)</f>
        <v>51172700</v>
      </c>
      <c r="G142" s="5">
        <f t="shared" si="1"/>
        <v>40</v>
      </c>
    </row>
    <row r="143">
      <c r="A143" s="4">
        <f>IFERROR(__xludf.DUMMYFUNCTION("""COMPUTED_VALUE"""),44041.66666666667)</f>
        <v>44041.66667</v>
      </c>
      <c r="B143" s="5">
        <f>IFERROR(__xludf.DUMMYFUNCTION("""COMPUTED_VALUE"""),995.0)</f>
        <v>995</v>
      </c>
      <c r="C143" s="5">
        <f>IFERROR(__xludf.DUMMYFUNCTION("""COMPUTED_VALUE"""),1025.0)</f>
        <v>1025</v>
      </c>
      <c r="D143" s="5">
        <f>IFERROR(__xludf.DUMMYFUNCTION("""COMPUTED_VALUE"""),990.0)</f>
        <v>990</v>
      </c>
      <c r="E143" s="5">
        <f>IFERROR(__xludf.DUMMYFUNCTION("""COMPUTED_VALUE"""),1005.0)</f>
        <v>1005</v>
      </c>
      <c r="F143" s="5">
        <f>IFERROR(__xludf.DUMMYFUNCTION("""COMPUTED_VALUE"""),4.05134E7)</f>
        <v>40513400</v>
      </c>
      <c r="G143" s="5">
        <f t="shared" si="1"/>
        <v>35</v>
      </c>
    </row>
    <row r="144">
      <c r="A144" s="4">
        <f>IFERROR(__xludf.DUMMYFUNCTION("""COMPUTED_VALUE"""),44042.66666666667)</f>
        <v>44042.66667</v>
      </c>
      <c r="B144" s="5">
        <f>IFERROR(__xludf.DUMMYFUNCTION("""COMPUTED_VALUE"""),1010.0)</f>
        <v>1010</v>
      </c>
      <c r="C144" s="5">
        <f>IFERROR(__xludf.DUMMYFUNCTION("""COMPUTED_VALUE"""),1015.0)</f>
        <v>1015</v>
      </c>
      <c r="D144" s="5">
        <f>IFERROR(__xludf.DUMMYFUNCTION("""COMPUTED_VALUE"""),970.0)</f>
        <v>970</v>
      </c>
      <c r="E144" s="5">
        <f>IFERROR(__xludf.DUMMYFUNCTION("""COMPUTED_VALUE"""),975.0)</f>
        <v>975</v>
      </c>
      <c r="F144" s="5">
        <f>IFERROR(__xludf.DUMMYFUNCTION("""COMPUTED_VALUE"""),4.37311E7)</f>
        <v>43731100</v>
      </c>
      <c r="G144" s="5">
        <f t="shared" si="1"/>
        <v>45</v>
      </c>
    </row>
    <row r="145">
      <c r="A145" s="4">
        <f>IFERROR(__xludf.DUMMYFUNCTION("""COMPUTED_VALUE"""),44046.66666666667)</f>
        <v>44046.66667</v>
      </c>
      <c r="B145" s="5">
        <f>IFERROR(__xludf.DUMMYFUNCTION("""COMPUTED_VALUE"""),975.0)</f>
        <v>975</v>
      </c>
      <c r="C145" s="5">
        <f>IFERROR(__xludf.DUMMYFUNCTION("""COMPUTED_VALUE"""),1000.0)</f>
        <v>1000</v>
      </c>
      <c r="D145" s="5">
        <f>IFERROR(__xludf.DUMMYFUNCTION("""COMPUTED_VALUE"""),910.0)</f>
        <v>910</v>
      </c>
      <c r="E145" s="5">
        <f>IFERROR(__xludf.DUMMYFUNCTION("""COMPUTED_VALUE"""),910.0)</f>
        <v>910</v>
      </c>
      <c r="F145" s="5">
        <f>IFERROR(__xludf.DUMMYFUNCTION("""COMPUTED_VALUE"""),7.56605E7)</f>
        <v>75660500</v>
      </c>
      <c r="G145" s="5">
        <f t="shared" si="1"/>
        <v>90</v>
      </c>
    </row>
    <row r="146">
      <c r="A146" s="4">
        <f>IFERROR(__xludf.DUMMYFUNCTION("""COMPUTED_VALUE"""),44047.66666666667)</f>
        <v>44047.66667</v>
      </c>
      <c r="B146" s="5">
        <f>IFERROR(__xludf.DUMMYFUNCTION("""COMPUTED_VALUE"""),910.0)</f>
        <v>910</v>
      </c>
      <c r="C146" s="5">
        <f>IFERROR(__xludf.DUMMYFUNCTION("""COMPUTED_VALUE"""),920.0)</f>
        <v>920</v>
      </c>
      <c r="D146" s="5">
        <f>IFERROR(__xludf.DUMMYFUNCTION("""COMPUTED_VALUE"""),880.0)</f>
        <v>880</v>
      </c>
      <c r="E146" s="5">
        <f>IFERROR(__xludf.DUMMYFUNCTION("""COMPUTED_VALUE"""),890.0)</f>
        <v>890</v>
      </c>
      <c r="F146" s="5">
        <f>IFERROR(__xludf.DUMMYFUNCTION("""COMPUTED_VALUE"""),6.19108E7)</f>
        <v>61910800</v>
      </c>
      <c r="G146" s="5">
        <f t="shared" si="1"/>
        <v>40</v>
      </c>
    </row>
    <row r="147">
      <c r="A147" s="4">
        <f>IFERROR(__xludf.DUMMYFUNCTION("""COMPUTED_VALUE"""),44048.66666666667)</f>
        <v>44048.66667</v>
      </c>
      <c r="B147" s="5">
        <f>IFERROR(__xludf.DUMMYFUNCTION("""COMPUTED_VALUE"""),890.0)</f>
        <v>890</v>
      </c>
      <c r="C147" s="5">
        <f>IFERROR(__xludf.DUMMYFUNCTION("""COMPUTED_VALUE"""),945.0)</f>
        <v>945</v>
      </c>
      <c r="D147" s="5">
        <f>IFERROR(__xludf.DUMMYFUNCTION("""COMPUTED_VALUE"""),880.0)</f>
        <v>880</v>
      </c>
      <c r="E147" s="5">
        <f>IFERROR(__xludf.DUMMYFUNCTION("""COMPUTED_VALUE"""),940.0)</f>
        <v>940</v>
      </c>
      <c r="F147" s="5">
        <f>IFERROR(__xludf.DUMMYFUNCTION("""COMPUTED_VALUE"""),1.01214E8)</f>
        <v>101214000</v>
      </c>
      <c r="G147" s="5">
        <f t="shared" si="1"/>
        <v>65</v>
      </c>
    </row>
    <row r="148">
      <c r="A148" s="4">
        <f>IFERROR(__xludf.DUMMYFUNCTION("""COMPUTED_VALUE"""),44049.66666666667)</f>
        <v>44049.66667</v>
      </c>
      <c r="B148" s="5">
        <f>IFERROR(__xludf.DUMMYFUNCTION("""COMPUTED_VALUE"""),950.0)</f>
        <v>950</v>
      </c>
      <c r="C148" s="5">
        <f>IFERROR(__xludf.DUMMYFUNCTION("""COMPUTED_VALUE"""),965.0)</f>
        <v>965</v>
      </c>
      <c r="D148" s="5">
        <f>IFERROR(__xludf.DUMMYFUNCTION("""COMPUTED_VALUE"""),940.0)</f>
        <v>940</v>
      </c>
      <c r="E148" s="5">
        <f>IFERROR(__xludf.DUMMYFUNCTION("""COMPUTED_VALUE"""),940.0)</f>
        <v>940</v>
      </c>
      <c r="F148" s="5">
        <f>IFERROR(__xludf.DUMMYFUNCTION("""COMPUTED_VALUE"""),5.19405E7)</f>
        <v>51940500</v>
      </c>
      <c r="G148" s="5">
        <f t="shared" si="1"/>
        <v>25</v>
      </c>
    </row>
    <row r="149">
      <c r="A149" s="4">
        <f>IFERROR(__xludf.DUMMYFUNCTION("""COMPUTED_VALUE"""),44050.66666666667)</f>
        <v>44050.66667</v>
      </c>
      <c r="B149" s="5">
        <f>IFERROR(__xludf.DUMMYFUNCTION("""COMPUTED_VALUE"""),940.0)</f>
        <v>940</v>
      </c>
      <c r="C149" s="5">
        <f>IFERROR(__xludf.DUMMYFUNCTION("""COMPUTED_VALUE"""),950.0)</f>
        <v>950</v>
      </c>
      <c r="D149" s="5">
        <f>IFERROR(__xludf.DUMMYFUNCTION("""COMPUTED_VALUE"""),915.0)</f>
        <v>915</v>
      </c>
      <c r="E149" s="5">
        <f>IFERROR(__xludf.DUMMYFUNCTION("""COMPUTED_VALUE"""),925.0)</f>
        <v>925</v>
      </c>
      <c r="F149" s="5">
        <f>IFERROR(__xludf.DUMMYFUNCTION("""COMPUTED_VALUE"""),1.8076E7)</f>
        <v>18076000</v>
      </c>
      <c r="G149" s="5">
        <f t="shared" si="1"/>
        <v>35</v>
      </c>
    </row>
    <row r="150">
      <c r="A150" s="4">
        <f>IFERROR(__xludf.DUMMYFUNCTION("""COMPUTED_VALUE"""),44053.66666666667)</f>
        <v>44053.66667</v>
      </c>
      <c r="B150" s="5">
        <f>IFERROR(__xludf.DUMMYFUNCTION("""COMPUTED_VALUE"""),925.0)</f>
        <v>925</v>
      </c>
      <c r="C150" s="5">
        <f>IFERROR(__xludf.DUMMYFUNCTION("""COMPUTED_VALUE"""),950.0)</f>
        <v>950</v>
      </c>
      <c r="D150" s="5">
        <f>IFERROR(__xludf.DUMMYFUNCTION("""COMPUTED_VALUE"""),925.0)</f>
        <v>925</v>
      </c>
      <c r="E150" s="5">
        <f>IFERROR(__xludf.DUMMYFUNCTION("""COMPUTED_VALUE"""),940.0)</f>
        <v>940</v>
      </c>
      <c r="F150" s="5">
        <f>IFERROR(__xludf.DUMMYFUNCTION("""COMPUTED_VALUE"""),1.64147E7)</f>
        <v>16414700</v>
      </c>
      <c r="G150" s="5">
        <f t="shared" si="1"/>
        <v>25</v>
      </c>
    </row>
    <row r="151">
      <c r="A151" s="4">
        <f>IFERROR(__xludf.DUMMYFUNCTION("""COMPUTED_VALUE"""),44054.66666666667)</f>
        <v>44054.66667</v>
      </c>
      <c r="B151" s="5">
        <f>IFERROR(__xludf.DUMMYFUNCTION("""COMPUTED_VALUE"""),945.0)</f>
        <v>945</v>
      </c>
      <c r="C151" s="5">
        <f>IFERROR(__xludf.DUMMYFUNCTION("""COMPUTED_VALUE"""),985.0)</f>
        <v>985</v>
      </c>
      <c r="D151" s="5">
        <f>IFERROR(__xludf.DUMMYFUNCTION("""COMPUTED_VALUE"""),940.0)</f>
        <v>940</v>
      </c>
      <c r="E151" s="5">
        <f>IFERROR(__xludf.DUMMYFUNCTION("""COMPUTED_VALUE"""),985.0)</f>
        <v>985</v>
      </c>
      <c r="F151" s="5">
        <f>IFERROR(__xludf.DUMMYFUNCTION("""COMPUTED_VALUE"""),7.23244E7)</f>
        <v>72324400</v>
      </c>
      <c r="G151" s="5">
        <f t="shared" si="1"/>
        <v>45</v>
      </c>
    </row>
    <row r="152">
      <c r="A152" s="4">
        <f>IFERROR(__xludf.DUMMYFUNCTION("""COMPUTED_VALUE"""),44055.66666666667)</f>
        <v>44055.66667</v>
      </c>
      <c r="B152" s="5">
        <f>IFERROR(__xludf.DUMMYFUNCTION("""COMPUTED_VALUE"""),990.0)</f>
        <v>990</v>
      </c>
      <c r="C152" s="5">
        <f>IFERROR(__xludf.DUMMYFUNCTION("""COMPUTED_VALUE"""),1025.0)</f>
        <v>1025</v>
      </c>
      <c r="D152" s="5">
        <f>IFERROR(__xludf.DUMMYFUNCTION("""COMPUTED_VALUE"""),960.0)</f>
        <v>960</v>
      </c>
      <c r="E152" s="5">
        <f>IFERROR(__xludf.DUMMYFUNCTION("""COMPUTED_VALUE"""),1010.0)</f>
        <v>1010</v>
      </c>
      <c r="F152" s="5">
        <f>IFERROR(__xludf.DUMMYFUNCTION("""COMPUTED_VALUE"""),1.052437E8)</f>
        <v>105243700</v>
      </c>
      <c r="G152" s="5">
        <f t="shared" si="1"/>
        <v>65</v>
      </c>
    </row>
    <row r="153">
      <c r="A153" s="4">
        <f>IFERROR(__xludf.DUMMYFUNCTION("""COMPUTED_VALUE"""),44056.66666666667)</f>
        <v>44056.66667</v>
      </c>
      <c r="B153" s="5">
        <f>IFERROR(__xludf.DUMMYFUNCTION("""COMPUTED_VALUE"""),1025.0)</f>
        <v>1025</v>
      </c>
      <c r="C153" s="5">
        <f>IFERROR(__xludf.DUMMYFUNCTION("""COMPUTED_VALUE"""),1035.0)</f>
        <v>1035</v>
      </c>
      <c r="D153" s="5">
        <f>IFERROR(__xludf.DUMMYFUNCTION("""COMPUTED_VALUE"""),980.0)</f>
        <v>980</v>
      </c>
      <c r="E153" s="5">
        <f>IFERROR(__xludf.DUMMYFUNCTION("""COMPUTED_VALUE"""),990.0)</f>
        <v>990</v>
      </c>
      <c r="F153" s="5">
        <f>IFERROR(__xludf.DUMMYFUNCTION("""COMPUTED_VALUE"""),3.40172E7)</f>
        <v>34017200</v>
      </c>
      <c r="G153" s="5">
        <f t="shared" si="1"/>
        <v>55</v>
      </c>
    </row>
    <row r="154">
      <c r="A154" s="4">
        <f>IFERROR(__xludf.DUMMYFUNCTION("""COMPUTED_VALUE"""),44057.66666666667)</f>
        <v>44057.66667</v>
      </c>
      <c r="B154" s="5">
        <f>IFERROR(__xludf.DUMMYFUNCTION("""COMPUTED_VALUE"""),995.0)</f>
        <v>995</v>
      </c>
      <c r="C154" s="5">
        <f>IFERROR(__xludf.DUMMYFUNCTION("""COMPUTED_VALUE"""),1000.0)</f>
        <v>1000</v>
      </c>
      <c r="D154" s="5">
        <f>IFERROR(__xludf.DUMMYFUNCTION("""COMPUTED_VALUE"""),980.0)</f>
        <v>980</v>
      </c>
      <c r="E154" s="5">
        <f>IFERROR(__xludf.DUMMYFUNCTION("""COMPUTED_VALUE"""),985.0)</f>
        <v>985</v>
      </c>
      <c r="F154" s="5">
        <f>IFERROR(__xludf.DUMMYFUNCTION("""COMPUTED_VALUE"""),1.386E7)</f>
        <v>13860000</v>
      </c>
      <c r="G154" s="5">
        <f t="shared" si="1"/>
        <v>20</v>
      </c>
    </row>
    <row r="155">
      <c r="A155" s="4">
        <f>IFERROR(__xludf.DUMMYFUNCTION("""COMPUTED_VALUE"""),44061.66666666667)</f>
        <v>44061.66667</v>
      </c>
      <c r="B155" s="5">
        <f>IFERROR(__xludf.DUMMYFUNCTION("""COMPUTED_VALUE"""),1000.0)</f>
        <v>1000</v>
      </c>
      <c r="C155" s="5">
        <f>IFERROR(__xludf.DUMMYFUNCTION("""COMPUTED_VALUE"""),1050.0)</f>
        <v>1050</v>
      </c>
      <c r="D155" s="5">
        <f>IFERROR(__xludf.DUMMYFUNCTION("""COMPUTED_VALUE"""),990.0)</f>
        <v>990</v>
      </c>
      <c r="E155" s="5">
        <f>IFERROR(__xludf.DUMMYFUNCTION("""COMPUTED_VALUE"""),1020.0)</f>
        <v>1020</v>
      </c>
      <c r="F155" s="5">
        <f>IFERROR(__xludf.DUMMYFUNCTION("""COMPUTED_VALUE"""),1.599089E8)</f>
        <v>159908900</v>
      </c>
      <c r="G155" s="5">
        <f t="shared" si="1"/>
        <v>65</v>
      </c>
    </row>
    <row r="156">
      <c r="A156" s="4">
        <f>IFERROR(__xludf.DUMMYFUNCTION("""COMPUTED_VALUE"""),44062.66666666667)</f>
        <v>44062.66667</v>
      </c>
      <c r="B156" s="5">
        <f>IFERROR(__xludf.DUMMYFUNCTION("""COMPUTED_VALUE"""),1015.0)</f>
        <v>1015</v>
      </c>
      <c r="C156" s="5">
        <f>IFERROR(__xludf.DUMMYFUNCTION("""COMPUTED_VALUE"""),1025.0)</f>
        <v>1025</v>
      </c>
      <c r="D156" s="5">
        <f>IFERROR(__xludf.DUMMYFUNCTION("""COMPUTED_VALUE"""),1000.0)</f>
        <v>1000</v>
      </c>
      <c r="E156" s="5">
        <f>IFERROR(__xludf.DUMMYFUNCTION("""COMPUTED_VALUE"""),1015.0)</f>
        <v>1015</v>
      </c>
      <c r="F156" s="5">
        <f>IFERROR(__xludf.DUMMYFUNCTION("""COMPUTED_VALUE"""),3.49151E7)</f>
        <v>34915100</v>
      </c>
      <c r="G156" s="5">
        <f t="shared" si="1"/>
        <v>25</v>
      </c>
    </row>
    <row r="157">
      <c r="A157" s="4">
        <f>IFERROR(__xludf.DUMMYFUNCTION("""COMPUTED_VALUE"""),44067.66666666667)</f>
        <v>44067.66667</v>
      </c>
      <c r="B157" s="5">
        <f>IFERROR(__xludf.DUMMYFUNCTION("""COMPUTED_VALUE"""),1015.0)</f>
        <v>1015</v>
      </c>
      <c r="C157" s="5">
        <f>IFERROR(__xludf.DUMMYFUNCTION("""COMPUTED_VALUE"""),1055.0)</f>
        <v>1055</v>
      </c>
      <c r="D157" s="5">
        <f>IFERROR(__xludf.DUMMYFUNCTION("""COMPUTED_VALUE"""),1005.0)</f>
        <v>1005</v>
      </c>
      <c r="E157" s="5">
        <f>IFERROR(__xludf.DUMMYFUNCTION("""COMPUTED_VALUE"""),1040.0)</f>
        <v>1040</v>
      </c>
      <c r="F157" s="5">
        <f>IFERROR(__xludf.DUMMYFUNCTION("""COMPUTED_VALUE"""),7.66303E7)</f>
        <v>76630300</v>
      </c>
      <c r="G157" s="5">
        <f t="shared" si="1"/>
        <v>50</v>
      </c>
    </row>
    <row r="158">
      <c r="A158" s="4">
        <f>IFERROR(__xludf.DUMMYFUNCTION("""COMPUTED_VALUE"""),44068.66666666667)</f>
        <v>44068.66667</v>
      </c>
      <c r="B158" s="5">
        <f>IFERROR(__xludf.DUMMYFUNCTION("""COMPUTED_VALUE"""),1055.0)</f>
        <v>1055</v>
      </c>
      <c r="C158" s="5">
        <f>IFERROR(__xludf.DUMMYFUNCTION("""COMPUTED_VALUE"""),1060.0)</f>
        <v>1060</v>
      </c>
      <c r="D158" s="5">
        <f>IFERROR(__xludf.DUMMYFUNCTION("""COMPUTED_VALUE"""),1035.0)</f>
        <v>1035</v>
      </c>
      <c r="E158" s="5">
        <f>IFERROR(__xludf.DUMMYFUNCTION("""COMPUTED_VALUE"""),1035.0)</f>
        <v>1035</v>
      </c>
      <c r="F158" s="5">
        <f>IFERROR(__xludf.DUMMYFUNCTION("""COMPUTED_VALUE"""),2.78552E7)</f>
        <v>27855200</v>
      </c>
      <c r="G158" s="5">
        <f t="shared" si="1"/>
        <v>25</v>
      </c>
    </row>
    <row r="159">
      <c r="A159" s="4">
        <f>IFERROR(__xludf.DUMMYFUNCTION("""COMPUTED_VALUE"""),44069.66666666667)</f>
        <v>44069.66667</v>
      </c>
      <c r="B159" s="5">
        <f>IFERROR(__xludf.DUMMYFUNCTION("""COMPUTED_VALUE"""),1045.0)</f>
        <v>1045</v>
      </c>
      <c r="C159" s="5">
        <f>IFERROR(__xludf.DUMMYFUNCTION("""COMPUTED_VALUE"""),1045.0)</f>
        <v>1045</v>
      </c>
      <c r="D159" s="5">
        <f>IFERROR(__xludf.DUMMYFUNCTION("""COMPUTED_VALUE"""),1015.0)</f>
        <v>1015</v>
      </c>
      <c r="E159" s="5">
        <f>IFERROR(__xludf.DUMMYFUNCTION("""COMPUTED_VALUE"""),1020.0)</f>
        <v>1020</v>
      </c>
      <c r="F159" s="5">
        <f>IFERROR(__xludf.DUMMYFUNCTION("""COMPUTED_VALUE"""),1.99985E7)</f>
        <v>19998500</v>
      </c>
      <c r="G159" s="5">
        <f t="shared" si="1"/>
        <v>30</v>
      </c>
    </row>
    <row r="160">
      <c r="A160" s="4">
        <f>IFERROR(__xludf.DUMMYFUNCTION("""COMPUTED_VALUE"""),44070.66666666667)</f>
        <v>44070.66667</v>
      </c>
      <c r="B160" s="5">
        <f>IFERROR(__xludf.DUMMYFUNCTION("""COMPUTED_VALUE"""),1020.0)</f>
        <v>1020</v>
      </c>
      <c r="C160" s="5">
        <f>IFERROR(__xludf.DUMMYFUNCTION("""COMPUTED_VALUE"""),1030.0)</f>
        <v>1030</v>
      </c>
      <c r="D160" s="5">
        <f>IFERROR(__xludf.DUMMYFUNCTION("""COMPUTED_VALUE"""),995.0)</f>
        <v>995</v>
      </c>
      <c r="E160" s="5">
        <f>IFERROR(__xludf.DUMMYFUNCTION("""COMPUTED_VALUE"""),1005.0)</f>
        <v>1005</v>
      </c>
      <c r="F160" s="5">
        <f>IFERROR(__xludf.DUMMYFUNCTION("""COMPUTED_VALUE"""),3.38155E7)</f>
        <v>33815500</v>
      </c>
      <c r="G160" s="5">
        <f t="shared" si="1"/>
        <v>35</v>
      </c>
    </row>
    <row r="161">
      <c r="A161" s="4">
        <f>IFERROR(__xludf.DUMMYFUNCTION("""COMPUTED_VALUE"""),44071.66666666667)</f>
        <v>44071.66667</v>
      </c>
      <c r="B161" s="5">
        <f>IFERROR(__xludf.DUMMYFUNCTION("""COMPUTED_VALUE"""),1010.0)</f>
        <v>1010</v>
      </c>
      <c r="C161" s="5">
        <f>IFERROR(__xludf.DUMMYFUNCTION("""COMPUTED_VALUE"""),1025.0)</f>
        <v>1025</v>
      </c>
      <c r="D161" s="5">
        <f>IFERROR(__xludf.DUMMYFUNCTION("""COMPUTED_VALUE"""),995.0)</f>
        <v>995</v>
      </c>
      <c r="E161" s="5">
        <f>IFERROR(__xludf.DUMMYFUNCTION("""COMPUTED_VALUE"""),1000.0)</f>
        <v>1000</v>
      </c>
      <c r="F161" s="5">
        <f>IFERROR(__xludf.DUMMYFUNCTION("""COMPUTED_VALUE"""),3.92519E7)</f>
        <v>39251900</v>
      </c>
      <c r="G161" s="5">
        <f t="shared" si="1"/>
        <v>30</v>
      </c>
    </row>
    <row r="162">
      <c r="A162" s="4">
        <f>IFERROR(__xludf.DUMMYFUNCTION("""COMPUTED_VALUE"""),44074.66666666667)</f>
        <v>44074.66667</v>
      </c>
      <c r="B162" s="5">
        <f>IFERROR(__xludf.DUMMYFUNCTION("""COMPUTED_VALUE"""),1010.0)</f>
        <v>1010</v>
      </c>
      <c r="C162" s="5">
        <f>IFERROR(__xludf.DUMMYFUNCTION("""COMPUTED_VALUE"""),1020.0)</f>
        <v>1020</v>
      </c>
      <c r="D162" s="5">
        <f>IFERROR(__xludf.DUMMYFUNCTION("""COMPUTED_VALUE"""),960.0)</f>
        <v>960</v>
      </c>
      <c r="E162" s="5">
        <f>IFERROR(__xludf.DUMMYFUNCTION("""COMPUTED_VALUE"""),970.0)</f>
        <v>970</v>
      </c>
      <c r="F162" s="5">
        <f>IFERROR(__xludf.DUMMYFUNCTION("""COMPUTED_VALUE"""),3.68322E7)</f>
        <v>36832200</v>
      </c>
      <c r="G162" s="5">
        <f t="shared" si="1"/>
        <v>60</v>
      </c>
    </row>
    <row r="163">
      <c r="A163" s="4">
        <f>IFERROR(__xludf.DUMMYFUNCTION("""COMPUTED_VALUE"""),44075.66666666667)</f>
        <v>44075.66667</v>
      </c>
      <c r="B163" s="5">
        <f>IFERROR(__xludf.DUMMYFUNCTION("""COMPUTED_VALUE"""),975.0)</f>
        <v>975</v>
      </c>
      <c r="C163" s="5">
        <f>IFERROR(__xludf.DUMMYFUNCTION("""COMPUTED_VALUE"""),995.0)</f>
        <v>995</v>
      </c>
      <c r="D163" s="5">
        <f>IFERROR(__xludf.DUMMYFUNCTION("""COMPUTED_VALUE"""),970.0)</f>
        <v>970</v>
      </c>
      <c r="E163" s="5">
        <f>IFERROR(__xludf.DUMMYFUNCTION("""COMPUTED_VALUE"""),980.0)</f>
        <v>980</v>
      </c>
      <c r="F163" s="5">
        <f>IFERROR(__xludf.DUMMYFUNCTION("""COMPUTED_VALUE"""),2.55345E7)</f>
        <v>25534500</v>
      </c>
      <c r="G163" s="5">
        <f t="shared" si="1"/>
        <v>25</v>
      </c>
    </row>
    <row r="164">
      <c r="A164" s="4">
        <f>IFERROR(__xludf.DUMMYFUNCTION("""COMPUTED_VALUE"""),44076.66666666667)</f>
        <v>44076.66667</v>
      </c>
      <c r="B164" s="5">
        <f>IFERROR(__xludf.DUMMYFUNCTION("""COMPUTED_VALUE"""),995.0)</f>
        <v>995</v>
      </c>
      <c r="C164" s="5">
        <f>IFERROR(__xludf.DUMMYFUNCTION("""COMPUTED_VALUE"""),1005.0)</f>
        <v>1005</v>
      </c>
      <c r="D164" s="5">
        <f>IFERROR(__xludf.DUMMYFUNCTION("""COMPUTED_VALUE"""),975.0)</f>
        <v>975</v>
      </c>
      <c r="E164" s="5">
        <f>IFERROR(__xludf.DUMMYFUNCTION("""COMPUTED_VALUE"""),985.0)</f>
        <v>985</v>
      </c>
      <c r="F164" s="5">
        <f>IFERROR(__xludf.DUMMYFUNCTION("""COMPUTED_VALUE"""),2.85493E7)</f>
        <v>28549300</v>
      </c>
      <c r="G164" s="5">
        <f t="shared" si="1"/>
        <v>30</v>
      </c>
    </row>
    <row r="165">
      <c r="A165" s="4">
        <f>IFERROR(__xludf.DUMMYFUNCTION("""COMPUTED_VALUE"""),44077.66666666667)</f>
        <v>44077.66667</v>
      </c>
      <c r="B165" s="5">
        <f>IFERROR(__xludf.DUMMYFUNCTION("""COMPUTED_VALUE"""),990.0)</f>
        <v>990</v>
      </c>
      <c r="C165" s="5">
        <f>IFERROR(__xludf.DUMMYFUNCTION("""COMPUTED_VALUE"""),995.0)</f>
        <v>995</v>
      </c>
      <c r="D165" s="5">
        <f>IFERROR(__xludf.DUMMYFUNCTION("""COMPUTED_VALUE"""),960.0)</f>
        <v>960</v>
      </c>
      <c r="E165" s="5">
        <f>IFERROR(__xludf.DUMMYFUNCTION("""COMPUTED_VALUE"""),965.0)</f>
        <v>965</v>
      </c>
      <c r="F165" s="5">
        <f>IFERROR(__xludf.DUMMYFUNCTION("""COMPUTED_VALUE"""),2.64456E7)</f>
        <v>26445600</v>
      </c>
      <c r="G165" s="5">
        <f t="shared" si="1"/>
        <v>35</v>
      </c>
    </row>
    <row r="166">
      <c r="A166" s="4">
        <f>IFERROR(__xludf.DUMMYFUNCTION("""COMPUTED_VALUE"""),44078.66666666667)</f>
        <v>44078.66667</v>
      </c>
      <c r="B166" s="5">
        <f>IFERROR(__xludf.DUMMYFUNCTION("""COMPUTED_VALUE"""),955.0)</f>
        <v>955</v>
      </c>
      <c r="C166" s="5">
        <f>IFERROR(__xludf.DUMMYFUNCTION("""COMPUTED_VALUE"""),955.0)</f>
        <v>955</v>
      </c>
      <c r="D166" s="5">
        <f>IFERROR(__xludf.DUMMYFUNCTION("""COMPUTED_VALUE"""),930.0)</f>
        <v>930</v>
      </c>
      <c r="E166" s="5">
        <f>IFERROR(__xludf.DUMMYFUNCTION("""COMPUTED_VALUE"""),950.0)</f>
        <v>950</v>
      </c>
      <c r="F166" s="5">
        <f>IFERROR(__xludf.DUMMYFUNCTION("""COMPUTED_VALUE"""),3.3048E7)</f>
        <v>33048000</v>
      </c>
      <c r="G166" s="5">
        <f t="shared" si="1"/>
        <v>35</v>
      </c>
    </row>
    <row r="167">
      <c r="A167" s="4">
        <f>IFERROR(__xludf.DUMMYFUNCTION("""COMPUTED_VALUE"""),44081.66666666667)</f>
        <v>44081.66667</v>
      </c>
      <c r="B167" s="5">
        <f>IFERROR(__xludf.DUMMYFUNCTION("""COMPUTED_VALUE"""),950.0)</f>
        <v>950</v>
      </c>
      <c r="C167" s="5">
        <f>IFERROR(__xludf.DUMMYFUNCTION("""COMPUTED_VALUE"""),960.0)</f>
        <v>960</v>
      </c>
      <c r="D167" s="5">
        <f>IFERROR(__xludf.DUMMYFUNCTION("""COMPUTED_VALUE"""),930.0)</f>
        <v>930</v>
      </c>
      <c r="E167" s="5">
        <f>IFERROR(__xludf.DUMMYFUNCTION("""COMPUTED_VALUE"""),940.0)</f>
        <v>940</v>
      </c>
      <c r="F167" s="5">
        <f>IFERROR(__xludf.DUMMYFUNCTION("""COMPUTED_VALUE"""),2.7962E7)</f>
        <v>27962000</v>
      </c>
      <c r="G167" s="5">
        <f t="shared" si="1"/>
        <v>30</v>
      </c>
    </row>
    <row r="168">
      <c r="A168" s="4">
        <f>IFERROR(__xludf.DUMMYFUNCTION("""COMPUTED_VALUE"""),44082.66666666667)</f>
        <v>44082.66667</v>
      </c>
      <c r="B168" s="5">
        <f>IFERROR(__xludf.DUMMYFUNCTION("""COMPUTED_VALUE"""),945.0)</f>
        <v>945</v>
      </c>
      <c r="C168" s="5">
        <f>IFERROR(__xludf.DUMMYFUNCTION("""COMPUTED_VALUE"""),965.0)</f>
        <v>965</v>
      </c>
      <c r="D168" s="5">
        <f>IFERROR(__xludf.DUMMYFUNCTION("""COMPUTED_VALUE"""),930.0)</f>
        <v>930</v>
      </c>
      <c r="E168" s="5">
        <f>IFERROR(__xludf.DUMMYFUNCTION("""COMPUTED_VALUE"""),935.0)</f>
        <v>935</v>
      </c>
      <c r="F168" s="5">
        <f>IFERROR(__xludf.DUMMYFUNCTION("""COMPUTED_VALUE"""),2.25101E7)</f>
        <v>22510100</v>
      </c>
      <c r="G168" s="5">
        <f t="shared" si="1"/>
        <v>35</v>
      </c>
    </row>
    <row r="169">
      <c r="A169" s="4">
        <f>IFERROR(__xludf.DUMMYFUNCTION("""COMPUTED_VALUE"""),44083.66666666667)</f>
        <v>44083.66667</v>
      </c>
      <c r="B169" s="5">
        <f>IFERROR(__xludf.DUMMYFUNCTION("""COMPUTED_VALUE"""),925.0)</f>
        <v>925</v>
      </c>
      <c r="C169" s="5">
        <f>IFERROR(__xludf.DUMMYFUNCTION("""COMPUTED_VALUE"""),925.0)</f>
        <v>925</v>
      </c>
      <c r="D169" s="5">
        <f>IFERROR(__xludf.DUMMYFUNCTION("""COMPUTED_VALUE"""),905.0)</f>
        <v>905</v>
      </c>
      <c r="E169" s="5">
        <f>IFERROR(__xludf.DUMMYFUNCTION("""COMPUTED_VALUE"""),910.0)</f>
        <v>910</v>
      </c>
      <c r="F169" s="5">
        <f>IFERROR(__xludf.DUMMYFUNCTION("""COMPUTED_VALUE"""),2.206E7)</f>
        <v>22060000</v>
      </c>
      <c r="G169" s="5">
        <f t="shared" si="1"/>
        <v>30</v>
      </c>
    </row>
    <row r="170">
      <c r="A170" s="4">
        <f>IFERROR(__xludf.DUMMYFUNCTION("""COMPUTED_VALUE"""),44084.66666666667)</f>
        <v>44084.66667</v>
      </c>
      <c r="B170" s="5">
        <f>IFERROR(__xludf.DUMMYFUNCTION("""COMPUTED_VALUE"""),850.0)</f>
        <v>850</v>
      </c>
      <c r="C170" s="5">
        <f>IFERROR(__xludf.DUMMYFUNCTION("""COMPUTED_VALUE"""),895.0)</f>
        <v>895</v>
      </c>
      <c r="D170" s="5">
        <f>IFERROR(__xludf.DUMMYFUNCTION("""COMPUTED_VALUE"""),850.0)</f>
        <v>850</v>
      </c>
      <c r="E170" s="5">
        <f>IFERROR(__xludf.DUMMYFUNCTION("""COMPUTED_VALUE"""),850.0)</f>
        <v>850</v>
      </c>
      <c r="F170" s="5">
        <f>IFERROR(__xludf.DUMMYFUNCTION("""COMPUTED_VALUE"""),2.72338E7)</f>
        <v>27233800</v>
      </c>
      <c r="G170" s="5">
        <f t="shared" si="1"/>
        <v>60</v>
      </c>
    </row>
    <row r="171">
      <c r="A171" s="4">
        <f>IFERROR(__xludf.DUMMYFUNCTION("""COMPUTED_VALUE"""),44085.66666666667)</f>
        <v>44085.66667</v>
      </c>
      <c r="B171" s="5">
        <f>IFERROR(__xludf.DUMMYFUNCTION("""COMPUTED_VALUE"""),800.0)</f>
        <v>800</v>
      </c>
      <c r="C171" s="5">
        <f>IFERROR(__xludf.DUMMYFUNCTION("""COMPUTED_VALUE"""),870.0)</f>
        <v>870</v>
      </c>
      <c r="D171" s="5">
        <f>IFERROR(__xludf.DUMMYFUNCTION("""COMPUTED_VALUE"""),795.0)</f>
        <v>795</v>
      </c>
      <c r="E171" s="5">
        <f>IFERROR(__xludf.DUMMYFUNCTION("""COMPUTED_VALUE"""),845.0)</f>
        <v>845</v>
      </c>
      <c r="F171" s="5">
        <f>IFERROR(__xludf.DUMMYFUNCTION("""COMPUTED_VALUE"""),6.68534E7)</f>
        <v>66853400</v>
      </c>
      <c r="G171" s="5">
        <f t="shared" si="1"/>
        <v>75</v>
      </c>
    </row>
    <row r="172">
      <c r="A172" s="4">
        <f>IFERROR(__xludf.DUMMYFUNCTION("""COMPUTED_VALUE"""),44088.66666666667)</f>
        <v>44088.66667</v>
      </c>
      <c r="B172" s="5">
        <f>IFERROR(__xludf.DUMMYFUNCTION("""COMPUTED_VALUE"""),900.0)</f>
        <v>900</v>
      </c>
      <c r="C172" s="5">
        <f>IFERROR(__xludf.DUMMYFUNCTION("""COMPUTED_VALUE"""),905.0)</f>
        <v>905</v>
      </c>
      <c r="D172" s="5">
        <f>IFERROR(__xludf.DUMMYFUNCTION("""COMPUTED_VALUE"""),875.0)</f>
        <v>875</v>
      </c>
      <c r="E172" s="5">
        <f>IFERROR(__xludf.DUMMYFUNCTION("""COMPUTED_VALUE"""),885.0)</f>
        <v>885</v>
      </c>
      <c r="F172" s="5">
        <f>IFERROR(__xludf.DUMMYFUNCTION("""COMPUTED_VALUE"""),5.00542E7)</f>
        <v>50054200</v>
      </c>
      <c r="G172" s="5">
        <f t="shared" si="1"/>
        <v>60</v>
      </c>
    </row>
    <row r="173">
      <c r="A173" s="4">
        <f>IFERROR(__xludf.DUMMYFUNCTION("""COMPUTED_VALUE"""),44089.66666666667)</f>
        <v>44089.66667</v>
      </c>
      <c r="B173" s="5">
        <f>IFERROR(__xludf.DUMMYFUNCTION("""COMPUTED_VALUE"""),895.0)</f>
        <v>895</v>
      </c>
      <c r="C173" s="5">
        <f>IFERROR(__xludf.DUMMYFUNCTION("""COMPUTED_VALUE"""),900.0)</f>
        <v>900</v>
      </c>
      <c r="D173" s="5">
        <f>IFERROR(__xludf.DUMMYFUNCTION("""COMPUTED_VALUE"""),865.0)</f>
        <v>865</v>
      </c>
      <c r="E173" s="5">
        <f>IFERROR(__xludf.DUMMYFUNCTION("""COMPUTED_VALUE"""),870.0)</f>
        <v>870</v>
      </c>
      <c r="F173" s="5">
        <f>IFERROR(__xludf.DUMMYFUNCTION("""COMPUTED_VALUE"""),2.94999E7)</f>
        <v>29499900</v>
      </c>
      <c r="G173" s="5">
        <f t="shared" si="1"/>
        <v>35</v>
      </c>
    </row>
    <row r="174">
      <c r="A174" s="4">
        <f>IFERROR(__xludf.DUMMYFUNCTION("""COMPUTED_VALUE"""),44090.66666666667)</f>
        <v>44090.66667</v>
      </c>
      <c r="B174" s="5">
        <f>IFERROR(__xludf.DUMMYFUNCTION("""COMPUTED_VALUE"""),870.0)</f>
        <v>870</v>
      </c>
      <c r="C174" s="5">
        <f>IFERROR(__xludf.DUMMYFUNCTION("""COMPUTED_VALUE"""),875.0)</f>
        <v>875</v>
      </c>
      <c r="D174" s="5">
        <f>IFERROR(__xludf.DUMMYFUNCTION("""COMPUTED_VALUE"""),835.0)</f>
        <v>835</v>
      </c>
      <c r="E174" s="5">
        <f>IFERROR(__xludf.DUMMYFUNCTION("""COMPUTED_VALUE"""),845.0)</f>
        <v>845</v>
      </c>
      <c r="F174" s="5">
        <f>IFERROR(__xludf.DUMMYFUNCTION("""COMPUTED_VALUE"""),2.33113E7)</f>
        <v>23311300</v>
      </c>
      <c r="G174" s="5">
        <f t="shared" si="1"/>
        <v>40</v>
      </c>
    </row>
    <row r="175">
      <c r="A175" s="4">
        <f>IFERROR(__xludf.DUMMYFUNCTION("""COMPUTED_VALUE"""),44091.66666666667)</f>
        <v>44091.66667</v>
      </c>
      <c r="B175" s="5">
        <f>IFERROR(__xludf.DUMMYFUNCTION("""COMPUTED_VALUE"""),845.0)</f>
        <v>845</v>
      </c>
      <c r="C175" s="5">
        <f>IFERROR(__xludf.DUMMYFUNCTION("""COMPUTED_VALUE"""),855.0)</f>
        <v>855</v>
      </c>
      <c r="D175" s="5">
        <f>IFERROR(__xludf.DUMMYFUNCTION("""COMPUTED_VALUE"""),825.0)</f>
        <v>825</v>
      </c>
      <c r="E175" s="5">
        <f>IFERROR(__xludf.DUMMYFUNCTION("""COMPUTED_VALUE"""),830.0)</f>
        <v>830</v>
      </c>
      <c r="F175" s="5">
        <f>IFERROR(__xludf.DUMMYFUNCTION("""COMPUTED_VALUE"""),1.45761E7)</f>
        <v>14576100</v>
      </c>
      <c r="G175" s="5">
        <f t="shared" si="1"/>
        <v>30</v>
      </c>
    </row>
    <row r="176">
      <c r="A176" s="4">
        <f>IFERROR(__xludf.DUMMYFUNCTION("""COMPUTED_VALUE"""),44092.66666666667)</f>
        <v>44092.66667</v>
      </c>
      <c r="B176" s="5">
        <f>IFERROR(__xludf.DUMMYFUNCTION("""COMPUTED_VALUE"""),835.0)</f>
        <v>835</v>
      </c>
      <c r="C176" s="5">
        <f>IFERROR(__xludf.DUMMYFUNCTION("""COMPUTED_VALUE"""),845.0)</f>
        <v>845</v>
      </c>
      <c r="D176" s="5">
        <f>IFERROR(__xludf.DUMMYFUNCTION("""COMPUTED_VALUE"""),830.0)</f>
        <v>830</v>
      </c>
      <c r="E176" s="5">
        <f>IFERROR(__xludf.DUMMYFUNCTION("""COMPUTED_VALUE"""),835.0)</f>
        <v>835</v>
      </c>
      <c r="F176" s="5">
        <f>IFERROR(__xludf.DUMMYFUNCTION("""COMPUTED_VALUE"""),1.90812E7)</f>
        <v>19081200</v>
      </c>
      <c r="G176" s="5">
        <f t="shared" si="1"/>
        <v>15</v>
      </c>
    </row>
    <row r="177">
      <c r="A177" s="4">
        <f>IFERROR(__xludf.DUMMYFUNCTION("""COMPUTED_VALUE"""),44095.66666666667)</f>
        <v>44095.66667</v>
      </c>
      <c r="B177" s="5">
        <f>IFERROR(__xludf.DUMMYFUNCTION("""COMPUTED_VALUE"""),840.0)</f>
        <v>840</v>
      </c>
      <c r="C177" s="5">
        <f>IFERROR(__xludf.DUMMYFUNCTION("""COMPUTED_VALUE"""),870.0)</f>
        <v>870</v>
      </c>
      <c r="D177" s="5">
        <f>IFERROR(__xludf.DUMMYFUNCTION("""COMPUTED_VALUE"""),830.0)</f>
        <v>830</v>
      </c>
      <c r="E177" s="5">
        <f>IFERROR(__xludf.DUMMYFUNCTION("""COMPUTED_VALUE"""),835.0)</f>
        <v>835</v>
      </c>
      <c r="F177" s="5">
        <f>IFERROR(__xludf.DUMMYFUNCTION("""COMPUTED_VALUE"""),4.38522E7)</f>
        <v>43852200</v>
      </c>
      <c r="G177" s="5">
        <f t="shared" si="1"/>
        <v>40</v>
      </c>
    </row>
    <row r="178">
      <c r="A178" s="4">
        <f>IFERROR(__xludf.DUMMYFUNCTION("""COMPUTED_VALUE"""),44096.66666666667)</f>
        <v>44096.66667</v>
      </c>
      <c r="B178" s="5">
        <f>IFERROR(__xludf.DUMMYFUNCTION("""COMPUTED_VALUE"""),820.0)</f>
        <v>820</v>
      </c>
      <c r="C178" s="5">
        <f>IFERROR(__xludf.DUMMYFUNCTION("""COMPUTED_VALUE"""),855.0)</f>
        <v>855</v>
      </c>
      <c r="D178" s="5">
        <f>IFERROR(__xludf.DUMMYFUNCTION("""COMPUTED_VALUE"""),810.0)</f>
        <v>810</v>
      </c>
      <c r="E178" s="5">
        <f>IFERROR(__xludf.DUMMYFUNCTION("""COMPUTED_VALUE"""),830.0)</f>
        <v>830</v>
      </c>
      <c r="F178" s="5">
        <f>IFERROR(__xludf.DUMMYFUNCTION("""COMPUTED_VALUE"""),2.19996E7)</f>
        <v>21999600</v>
      </c>
      <c r="G178" s="5">
        <f t="shared" si="1"/>
        <v>45</v>
      </c>
    </row>
    <row r="179">
      <c r="A179" s="4">
        <f>IFERROR(__xludf.DUMMYFUNCTION("""COMPUTED_VALUE"""),44097.66666666667)</f>
        <v>44097.66667</v>
      </c>
      <c r="B179" s="5">
        <f>IFERROR(__xludf.DUMMYFUNCTION("""COMPUTED_VALUE"""),840.0)</f>
        <v>840</v>
      </c>
      <c r="C179" s="5">
        <f>IFERROR(__xludf.DUMMYFUNCTION("""COMPUTED_VALUE"""),855.0)</f>
        <v>855</v>
      </c>
      <c r="D179" s="5">
        <f>IFERROR(__xludf.DUMMYFUNCTION("""COMPUTED_VALUE"""),805.0)</f>
        <v>805</v>
      </c>
      <c r="E179" s="5">
        <f>IFERROR(__xludf.DUMMYFUNCTION("""COMPUTED_VALUE"""),815.0)</f>
        <v>815</v>
      </c>
      <c r="F179" s="5">
        <f>IFERROR(__xludf.DUMMYFUNCTION("""COMPUTED_VALUE"""),1.65802E7)</f>
        <v>16580200</v>
      </c>
      <c r="G179" s="5">
        <f t="shared" si="1"/>
        <v>50</v>
      </c>
    </row>
    <row r="180">
      <c r="A180" s="4">
        <f>IFERROR(__xludf.DUMMYFUNCTION("""COMPUTED_VALUE"""),44098.66666666667)</f>
        <v>44098.66667</v>
      </c>
      <c r="B180" s="5">
        <f>IFERROR(__xludf.DUMMYFUNCTION("""COMPUTED_VALUE"""),805.0)</f>
        <v>805</v>
      </c>
      <c r="C180" s="5">
        <f>IFERROR(__xludf.DUMMYFUNCTION("""COMPUTED_VALUE"""),815.0)</f>
        <v>815</v>
      </c>
      <c r="D180" s="5">
        <f>IFERROR(__xludf.DUMMYFUNCTION("""COMPUTED_VALUE"""),785.0)</f>
        <v>785</v>
      </c>
      <c r="E180" s="5">
        <f>IFERROR(__xludf.DUMMYFUNCTION("""COMPUTED_VALUE"""),810.0)</f>
        <v>810</v>
      </c>
      <c r="F180" s="5">
        <f>IFERROR(__xludf.DUMMYFUNCTION("""COMPUTED_VALUE"""),2.36774E7)</f>
        <v>23677400</v>
      </c>
      <c r="G180" s="5">
        <f t="shared" si="1"/>
        <v>30</v>
      </c>
    </row>
    <row r="181">
      <c r="A181" s="4">
        <f>IFERROR(__xludf.DUMMYFUNCTION("""COMPUTED_VALUE"""),44099.66666666667)</f>
        <v>44099.66667</v>
      </c>
      <c r="B181" s="5">
        <f>IFERROR(__xludf.DUMMYFUNCTION("""COMPUTED_VALUE"""),820.0)</f>
        <v>820</v>
      </c>
      <c r="C181" s="5">
        <f>IFERROR(__xludf.DUMMYFUNCTION("""COMPUTED_VALUE"""),845.0)</f>
        <v>845</v>
      </c>
      <c r="D181" s="5">
        <f>IFERROR(__xludf.DUMMYFUNCTION("""COMPUTED_VALUE"""),810.0)</f>
        <v>810</v>
      </c>
      <c r="E181" s="5">
        <f>IFERROR(__xludf.DUMMYFUNCTION("""COMPUTED_VALUE"""),840.0)</f>
        <v>840</v>
      </c>
      <c r="F181" s="5">
        <f>IFERROR(__xludf.DUMMYFUNCTION("""COMPUTED_VALUE"""),2.4565E7)</f>
        <v>24565000</v>
      </c>
      <c r="G181" s="5">
        <f t="shared" si="1"/>
        <v>35</v>
      </c>
    </row>
    <row r="182">
      <c r="A182" s="4">
        <f>IFERROR(__xludf.DUMMYFUNCTION("""COMPUTED_VALUE"""),44102.66666666667)</f>
        <v>44102.66667</v>
      </c>
      <c r="B182" s="5">
        <f>IFERROR(__xludf.DUMMYFUNCTION("""COMPUTED_VALUE"""),850.0)</f>
        <v>850</v>
      </c>
      <c r="C182" s="5">
        <f>IFERROR(__xludf.DUMMYFUNCTION("""COMPUTED_VALUE"""),860.0)</f>
        <v>860</v>
      </c>
      <c r="D182" s="5">
        <f>IFERROR(__xludf.DUMMYFUNCTION("""COMPUTED_VALUE"""),825.0)</f>
        <v>825</v>
      </c>
      <c r="E182" s="5">
        <f>IFERROR(__xludf.DUMMYFUNCTION("""COMPUTED_VALUE"""),855.0)</f>
        <v>855</v>
      </c>
      <c r="F182" s="5">
        <f>IFERROR(__xludf.DUMMYFUNCTION("""COMPUTED_VALUE"""),2.17576E7)</f>
        <v>21757600</v>
      </c>
      <c r="G182" s="5">
        <f t="shared" si="1"/>
        <v>35</v>
      </c>
    </row>
    <row r="183">
      <c r="A183" s="4">
        <f>IFERROR(__xludf.DUMMYFUNCTION("""COMPUTED_VALUE"""),44103.66666666667)</f>
        <v>44103.66667</v>
      </c>
      <c r="B183" s="5">
        <f>IFERROR(__xludf.DUMMYFUNCTION("""COMPUTED_VALUE"""),860.0)</f>
        <v>860</v>
      </c>
      <c r="C183" s="5">
        <f>IFERROR(__xludf.DUMMYFUNCTION("""COMPUTED_VALUE"""),875.0)</f>
        <v>875</v>
      </c>
      <c r="D183" s="5">
        <f>IFERROR(__xludf.DUMMYFUNCTION("""COMPUTED_VALUE"""),830.0)</f>
        <v>830</v>
      </c>
      <c r="E183" s="5">
        <f>IFERROR(__xludf.DUMMYFUNCTION("""COMPUTED_VALUE"""),840.0)</f>
        <v>840</v>
      </c>
      <c r="F183" s="5">
        <f>IFERROR(__xludf.DUMMYFUNCTION("""COMPUTED_VALUE"""),2.17978E7)</f>
        <v>21797800</v>
      </c>
      <c r="G183" s="5">
        <f t="shared" si="1"/>
        <v>45</v>
      </c>
    </row>
    <row r="184">
      <c r="A184" s="4">
        <f>IFERROR(__xludf.DUMMYFUNCTION("""COMPUTED_VALUE"""),44104.66666666667)</f>
        <v>44104.66667</v>
      </c>
      <c r="B184" s="5">
        <f>IFERROR(__xludf.DUMMYFUNCTION("""COMPUTED_VALUE"""),840.0)</f>
        <v>840</v>
      </c>
      <c r="C184" s="5">
        <f>IFERROR(__xludf.DUMMYFUNCTION("""COMPUTED_VALUE"""),845.0)</f>
        <v>845</v>
      </c>
      <c r="D184" s="5">
        <f>IFERROR(__xludf.DUMMYFUNCTION("""COMPUTED_VALUE"""),820.0)</f>
        <v>820</v>
      </c>
      <c r="E184" s="5">
        <f>IFERROR(__xludf.DUMMYFUNCTION("""COMPUTED_VALUE"""),825.0)</f>
        <v>825</v>
      </c>
      <c r="F184" s="5">
        <f>IFERROR(__xludf.DUMMYFUNCTION("""COMPUTED_VALUE"""),7886900.0)</f>
        <v>7886900</v>
      </c>
      <c r="G184" s="5">
        <f t="shared" si="1"/>
        <v>25</v>
      </c>
    </row>
    <row r="185">
      <c r="A185" s="4">
        <f>IFERROR(__xludf.DUMMYFUNCTION("""COMPUTED_VALUE"""),44105.66666666667)</f>
        <v>44105.66667</v>
      </c>
      <c r="B185" s="5">
        <f>IFERROR(__xludf.DUMMYFUNCTION("""COMPUTED_VALUE"""),835.0)</f>
        <v>835</v>
      </c>
      <c r="C185" s="5">
        <f>IFERROR(__xludf.DUMMYFUNCTION("""COMPUTED_VALUE"""),850.0)</f>
        <v>850</v>
      </c>
      <c r="D185" s="5">
        <f>IFERROR(__xludf.DUMMYFUNCTION("""COMPUTED_VALUE"""),825.0)</f>
        <v>825</v>
      </c>
      <c r="E185" s="5">
        <f>IFERROR(__xludf.DUMMYFUNCTION("""COMPUTED_VALUE"""),840.0)</f>
        <v>840</v>
      </c>
      <c r="F185" s="5">
        <f>IFERROR(__xludf.DUMMYFUNCTION("""COMPUTED_VALUE"""),1.26591E7)</f>
        <v>12659100</v>
      </c>
      <c r="G185" s="5">
        <f t="shared" si="1"/>
        <v>25</v>
      </c>
    </row>
    <row r="186">
      <c r="A186" s="4">
        <f>IFERROR(__xludf.DUMMYFUNCTION("""COMPUTED_VALUE"""),44106.66666666667)</f>
        <v>44106.66667</v>
      </c>
      <c r="B186" s="5">
        <f>IFERROR(__xludf.DUMMYFUNCTION("""COMPUTED_VALUE"""),835.0)</f>
        <v>835</v>
      </c>
      <c r="C186" s="5">
        <f>IFERROR(__xludf.DUMMYFUNCTION("""COMPUTED_VALUE"""),845.0)</f>
        <v>845</v>
      </c>
      <c r="D186" s="5">
        <f>IFERROR(__xludf.DUMMYFUNCTION("""COMPUTED_VALUE"""),790.0)</f>
        <v>790</v>
      </c>
      <c r="E186" s="5">
        <f>IFERROR(__xludf.DUMMYFUNCTION("""COMPUTED_VALUE"""),805.0)</f>
        <v>805</v>
      </c>
      <c r="F186" s="5">
        <f>IFERROR(__xludf.DUMMYFUNCTION("""COMPUTED_VALUE"""),3.28061E7)</f>
        <v>32806100</v>
      </c>
      <c r="G186" s="5">
        <f t="shared" si="1"/>
        <v>55</v>
      </c>
    </row>
    <row r="187">
      <c r="A187" s="4">
        <f>IFERROR(__xludf.DUMMYFUNCTION("""COMPUTED_VALUE"""),44109.66666666667)</f>
        <v>44109.66667</v>
      </c>
      <c r="B187" s="5">
        <f>IFERROR(__xludf.DUMMYFUNCTION("""COMPUTED_VALUE"""),820.0)</f>
        <v>820</v>
      </c>
      <c r="C187" s="5">
        <f>IFERROR(__xludf.DUMMYFUNCTION("""COMPUTED_VALUE"""),830.0)</f>
        <v>830</v>
      </c>
      <c r="D187" s="5">
        <f>IFERROR(__xludf.DUMMYFUNCTION("""COMPUTED_VALUE"""),800.0)</f>
        <v>800</v>
      </c>
      <c r="E187" s="5">
        <f>IFERROR(__xludf.DUMMYFUNCTION("""COMPUTED_VALUE"""),820.0)</f>
        <v>820</v>
      </c>
      <c r="F187" s="5">
        <f>IFERROR(__xludf.DUMMYFUNCTION("""COMPUTED_VALUE"""),1.11782E7)</f>
        <v>11178200</v>
      </c>
      <c r="G187" s="5">
        <f t="shared" si="1"/>
        <v>30</v>
      </c>
    </row>
    <row r="188">
      <c r="A188" s="4">
        <f>IFERROR(__xludf.DUMMYFUNCTION("""COMPUTED_VALUE"""),44110.66666666667)</f>
        <v>44110.66667</v>
      </c>
      <c r="B188" s="5">
        <f>IFERROR(__xludf.DUMMYFUNCTION("""COMPUTED_VALUE"""),840.0)</f>
        <v>840</v>
      </c>
      <c r="C188" s="5">
        <f>IFERROR(__xludf.DUMMYFUNCTION("""COMPUTED_VALUE"""),870.0)</f>
        <v>870</v>
      </c>
      <c r="D188" s="5">
        <f>IFERROR(__xludf.DUMMYFUNCTION("""COMPUTED_VALUE"""),830.0)</f>
        <v>830</v>
      </c>
      <c r="E188" s="5">
        <f>IFERROR(__xludf.DUMMYFUNCTION("""COMPUTED_VALUE"""),865.0)</f>
        <v>865</v>
      </c>
      <c r="F188" s="5">
        <f>IFERROR(__xludf.DUMMYFUNCTION("""COMPUTED_VALUE"""),7.24443E7)</f>
        <v>72444300</v>
      </c>
      <c r="G188" s="5">
        <f t="shared" si="1"/>
        <v>50</v>
      </c>
    </row>
    <row r="189">
      <c r="A189" s="4">
        <f>IFERROR(__xludf.DUMMYFUNCTION("""COMPUTED_VALUE"""),44111.66666666667)</f>
        <v>44111.66667</v>
      </c>
      <c r="B189" s="5">
        <f>IFERROR(__xludf.DUMMYFUNCTION("""COMPUTED_VALUE"""),860.0)</f>
        <v>860</v>
      </c>
      <c r="C189" s="5">
        <f>IFERROR(__xludf.DUMMYFUNCTION("""COMPUTED_VALUE"""),885.0)</f>
        <v>885</v>
      </c>
      <c r="D189" s="5">
        <f>IFERROR(__xludf.DUMMYFUNCTION("""COMPUTED_VALUE"""),850.0)</f>
        <v>850</v>
      </c>
      <c r="E189" s="5">
        <f>IFERROR(__xludf.DUMMYFUNCTION("""COMPUTED_VALUE"""),870.0)</f>
        <v>870</v>
      </c>
      <c r="F189" s="5">
        <f>IFERROR(__xludf.DUMMYFUNCTION("""COMPUTED_VALUE"""),3.57957E7)</f>
        <v>35795700</v>
      </c>
      <c r="G189" s="5">
        <f t="shared" si="1"/>
        <v>35</v>
      </c>
    </row>
    <row r="190">
      <c r="A190" s="4">
        <f>IFERROR(__xludf.DUMMYFUNCTION("""COMPUTED_VALUE"""),44112.66666666667)</f>
        <v>44112.66667</v>
      </c>
      <c r="B190" s="5">
        <f>IFERROR(__xludf.DUMMYFUNCTION("""COMPUTED_VALUE"""),880.0)</f>
        <v>880</v>
      </c>
      <c r="C190" s="5">
        <f>IFERROR(__xludf.DUMMYFUNCTION("""COMPUTED_VALUE"""),885.0)</f>
        <v>885</v>
      </c>
      <c r="D190" s="5">
        <f>IFERROR(__xludf.DUMMYFUNCTION("""COMPUTED_VALUE"""),860.0)</f>
        <v>860</v>
      </c>
      <c r="E190" s="5">
        <f>IFERROR(__xludf.DUMMYFUNCTION("""COMPUTED_VALUE"""),865.0)</f>
        <v>865</v>
      </c>
      <c r="F190" s="5">
        <f>IFERROR(__xludf.DUMMYFUNCTION("""COMPUTED_VALUE"""),2.13324E7)</f>
        <v>21332400</v>
      </c>
      <c r="G190" s="5">
        <f t="shared" si="1"/>
        <v>25</v>
      </c>
    </row>
    <row r="191">
      <c r="A191" s="4">
        <f>IFERROR(__xludf.DUMMYFUNCTION("""COMPUTED_VALUE"""),44113.66666666667)</f>
        <v>44113.66667</v>
      </c>
      <c r="B191" s="5">
        <f>IFERROR(__xludf.DUMMYFUNCTION("""COMPUTED_VALUE"""),865.0)</f>
        <v>865</v>
      </c>
      <c r="C191" s="5">
        <f>IFERROR(__xludf.DUMMYFUNCTION("""COMPUTED_VALUE"""),900.0)</f>
        <v>900</v>
      </c>
      <c r="D191" s="5">
        <f>IFERROR(__xludf.DUMMYFUNCTION("""COMPUTED_VALUE"""),855.0)</f>
        <v>855</v>
      </c>
      <c r="E191" s="5">
        <f>IFERROR(__xludf.DUMMYFUNCTION("""COMPUTED_VALUE"""),895.0)</f>
        <v>895</v>
      </c>
      <c r="F191" s="5">
        <f>IFERROR(__xludf.DUMMYFUNCTION("""COMPUTED_VALUE"""),4.78102E7)</f>
        <v>47810200</v>
      </c>
      <c r="G191" s="5">
        <f t="shared" si="1"/>
        <v>45</v>
      </c>
    </row>
    <row r="192">
      <c r="A192" s="4">
        <f>IFERROR(__xludf.DUMMYFUNCTION("""COMPUTED_VALUE"""),44116.66666666667)</f>
        <v>44116.66667</v>
      </c>
      <c r="B192" s="5">
        <f>IFERROR(__xludf.DUMMYFUNCTION("""COMPUTED_VALUE"""),900.0)</f>
        <v>900</v>
      </c>
      <c r="C192" s="5">
        <f>IFERROR(__xludf.DUMMYFUNCTION("""COMPUTED_VALUE"""),935.0)</f>
        <v>935</v>
      </c>
      <c r="D192" s="5">
        <f>IFERROR(__xludf.DUMMYFUNCTION("""COMPUTED_VALUE"""),900.0)</f>
        <v>900</v>
      </c>
      <c r="E192" s="5">
        <f>IFERROR(__xludf.DUMMYFUNCTION("""COMPUTED_VALUE"""),905.0)</f>
        <v>905</v>
      </c>
      <c r="F192" s="5">
        <f>IFERROR(__xludf.DUMMYFUNCTION("""COMPUTED_VALUE"""),5.19671E7)</f>
        <v>51967100</v>
      </c>
      <c r="G192" s="5">
        <f t="shared" si="1"/>
        <v>40</v>
      </c>
    </row>
    <row r="193">
      <c r="A193" s="4">
        <f>IFERROR(__xludf.DUMMYFUNCTION("""COMPUTED_VALUE"""),44117.66666666667)</f>
        <v>44117.66667</v>
      </c>
      <c r="B193" s="5">
        <f>IFERROR(__xludf.DUMMYFUNCTION("""COMPUTED_VALUE"""),910.0)</f>
        <v>910</v>
      </c>
      <c r="C193" s="5">
        <f>IFERROR(__xludf.DUMMYFUNCTION("""COMPUTED_VALUE"""),950.0)</f>
        <v>950</v>
      </c>
      <c r="D193" s="5">
        <f>IFERROR(__xludf.DUMMYFUNCTION("""COMPUTED_VALUE"""),890.0)</f>
        <v>890</v>
      </c>
      <c r="E193" s="5">
        <f>IFERROR(__xludf.DUMMYFUNCTION("""COMPUTED_VALUE"""),930.0)</f>
        <v>930</v>
      </c>
      <c r="F193" s="5">
        <f>IFERROR(__xludf.DUMMYFUNCTION("""COMPUTED_VALUE"""),6.37591E7)</f>
        <v>63759100</v>
      </c>
      <c r="G193" s="5">
        <f t="shared" si="1"/>
        <v>60</v>
      </c>
    </row>
    <row r="194">
      <c r="A194" s="4">
        <f>IFERROR(__xludf.DUMMYFUNCTION("""COMPUTED_VALUE"""),44118.66666666667)</f>
        <v>44118.66667</v>
      </c>
      <c r="B194" s="5">
        <f>IFERROR(__xludf.DUMMYFUNCTION("""COMPUTED_VALUE"""),930.0)</f>
        <v>930</v>
      </c>
      <c r="C194" s="5">
        <f>IFERROR(__xludf.DUMMYFUNCTION("""COMPUTED_VALUE"""),950.0)</f>
        <v>950</v>
      </c>
      <c r="D194" s="5">
        <f>IFERROR(__xludf.DUMMYFUNCTION("""COMPUTED_VALUE"""),925.0)</f>
        <v>925</v>
      </c>
      <c r="E194" s="5">
        <f>IFERROR(__xludf.DUMMYFUNCTION("""COMPUTED_VALUE"""),935.0)</f>
        <v>935</v>
      </c>
      <c r="F194" s="5">
        <f>IFERROR(__xludf.DUMMYFUNCTION("""COMPUTED_VALUE"""),2.1551E7)</f>
        <v>21551000</v>
      </c>
      <c r="G194" s="5">
        <f t="shared" si="1"/>
        <v>25</v>
      </c>
    </row>
    <row r="195">
      <c r="A195" s="4">
        <f>IFERROR(__xludf.DUMMYFUNCTION("""COMPUTED_VALUE"""),44119.66666666667)</f>
        <v>44119.66667</v>
      </c>
      <c r="B195" s="5">
        <f>IFERROR(__xludf.DUMMYFUNCTION("""COMPUTED_VALUE"""),935.0)</f>
        <v>935</v>
      </c>
      <c r="C195" s="5">
        <f>IFERROR(__xludf.DUMMYFUNCTION("""COMPUTED_VALUE"""),940.0)</f>
        <v>940</v>
      </c>
      <c r="D195" s="5">
        <f>IFERROR(__xludf.DUMMYFUNCTION("""COMPUTED_VALUE"""),910.0)</f>
        <v>910</v>
      </c>
      <c r="E195" s="5">
        <f>IFERROR(__xludf.DUMMYFUNCTION("""COMPUTED_VALUE"""),910.0)</f>
        <v>910</v>
      </c>
      <c r="F195" s="5">
        <f>IFERROR(__xludf.DUMMYFUNCTION("""COMPUTED_VALUE"""),1.89041E7)</f>
        <v>18904100</v>
      </c>
      <c r="G195" s="5">
        <f t="shared" si="1"/>
        <v>30</v>
      </c>
    </row>
    <row r="196">
      <c r="A196" s="4">
        <f>IFERROR(__xludf.DUMMYFUNCTION("""COMPUTED_VALUE"""),44120.66666666667)</f>
        <v>44120.66667</v>
      </c>
      <c r="B196" s="5">
        <f>IFERROR(__xludf.DUMMYFUNCTION("""COMPUTED_VALUE"""),915.0)</f>
        <v>915</v>
      </c>
      <c r="C196" s="5">
        <f>IFERROR(__xludf.DUMMYFUNCTION("""COMPUTED_VALUE"""),935.0)</f>
        <v>935</v>
      </c>
      <c r="D196" s="5">
        <f>IFERROR(__xludf.DUMMYFUNCTION("""COMPUTED_VALUE"""),910.0)</f>
        <v>910</v>
      </c>
      <c r="E196" s="5">
        <f>IFERROR(__xludf.DUMMYFUNCTION("""COMPUTED_VALUE"""),925.0)</f>
        <v>925</v>
      </c>
      <c r="F196" s="5">
        <f>IFERROR(__xludf.DUMMYFUNCTION("""COMPUTED_VALUE"""),1.61904E7)</f>
        <v>16190400</v>
      </c>
      <c r="G196" s="5">
        <f t="shared" si="1"/>
        <v>25</v>
      </c>
    </row>
    <row r="197">
      <c r="A197" s="4">
        <f>IFERROR(__xludf.DUMMYFUNCTION("""COMPUTED_VALUE"""),44123.66666666667)</f>
        <v>44123.66667</v>
      </c>
      <c r="B197" s="5">
        <f>IFERROR(__xludf.DUMMYFUNCTION("""COMPUTED_VALUE"""),930.0)</f>
        <v>930</v>
      </c>
      <c r="C197" s="5">
        <f>IFERROR(__xludf.DUMMYFUNCTION("""COMPUTED_VALUE"""),940.0)</f>
        <v>940</v>
      </c>
      <c r="D197" s="5">
        <f>IFERROR(__xludf.DUMMYFUNCTION("""COMPUTED_VALUE"""),910.0)</f>
        <v>910</v>
      </c>
      <c r="E197" s="5">
        <f>IFERROR(__xludf.DUMMYFUNCTION("""COMPUTED_VALUE"""),925.0)</f>
        <v>925</v>
      </c>
      <c r="F197" s="5">
        <f>IFERROR(__xludf.DUMMYFUNCTION("""COMPUTED_VALUE"""),2.20471E7)</f>
        <v>22047100</v>
      </c>
      <c r="G197" s="5">
        <f t="shared" si="1"/>
        <v>30</v>
      </c>
    </row>
    <row r="198">
      <c r="A198" s="4">
        <f>IFERROR(__xludf.DUMMYFUNCTION("""COMPUTED_VALUE"""),44124.66666666667)</f>
        <v>44124.66667</v>
      </c>
      <c r="B198" s="5">
        <f>IFERROR(__xludf.DUMMYFUNCTION("""COMPUTED_VALUE"""),925.0)</f>
        <v>925</v>
      </c>
      <c r="C198" s="5">
        <f>IFERROR(__xludf.DUMMYFUNCTION("""COMPUTED_VALUE"""),935.0)</f>
        <v>935</v>
      </c>
      <c r="D198" s="5">
        <f>IFERROR(__xludf.DUMMYFUNCTION("""COMPUTED_VALUE"""),905.0)</f>
        <v>905</v>
      </c>
      <c r="E198" s="5">
        <f>IFERROR(__xludf.DUMMYFUNCTION("""COMPUTED_VALUE"""),915.0)</f>
        <v>915</v>
      </c>
      <c r="F198" s="5">
        <f>IFERROR(__xludf.DUMMYFUNCTION("""COMPUTED_VALUE"""),1.3871E7)</f>
        <v>13871000</v>
      </c>
      <c r="G198" s="5">
        <f t="shared" si="1"/>
        <v>30</v>
      </c>
    </row>
    <row r="199">
      <c r="A199" s="4">
        <f>IFERROR(__xludf.DUMMYFUNCTION("""COMPUTED_VALUE"""),44125.66666666667)</f>
        <v>44125.66667</v>
      </c>
      <c r="B199" s="5">
        <f>IFERROR(__xludf.DUMMYFUNCTION("""COMPUTED_VALUE"""),920.0)</f>
        <v>920</v>
      </c>
      <c r="C199" s="5">
        <f>IFERROR(__xludf.DUMMYFUNCTION("""COMPUTED_VALUE"""),970.0)</f>
        <v>970</v>
      </c>
      <c r="D199" s="5">
        <f>IFERROR(__xludf.DUMMYFUNCTION("""COMPUTED_VALUE"""),920.0)</f>
        <v>920</v>
      </c>
      <c r="E199" s="5">
        <f>IFERROR(__xludf.DUMMYFUNCTION("""COMPUTED_VALUE"""),935.0)</f>
        <v>935</v>
      </c>
      <c r="F199" s="5">
        <f>IFERROR(__xludf.DUMMYFUNCTION("""COMPUTED_VALUE"""),6.26286E7)</f>
        <v>62628600</v>
      </c>
      <c r="G199" s="5">
        <f t="shared" si="1"/>
        <v>55</v>
      </c>
    </row>
    <row r="200">
      <c r="A200" s="4">
        <f>IFERROR(__xludf.DUMMYFUNCTION("""COMPUTED_VALUE"""),44126.66666666667)</f>
        <v>44126.66667</v>
      </c>
      <c r="B200" s="5">
        <f>IFERROR(__xludf.DUMMYFUNCTION("""COMPUTED_VALUE"""),935.0)</f>
        <v>935</v>
      </c>
      <c r="C200" s="5">
        <f>IFERROR(__xludf.DUMMYFUNCTION("""COMPUTED_VALUE"""),955.0)</f>
        <v>955</v>
      </c>
      <c r="D200" s="5">
        <f>IFERROR(__xludf.DUMMYFUNCTION("""COMPUTED_VALUE"""),925.0)</f>
        <v>925</v>
      </c>
      <c r="E200" s="5">
        <f>IFERROR(__xludf.DUMMYFUNCTION("""COMPUTED_VALUE"""),930.0)</f>
        <v>930</v>
      </c>
      <c r="F200" s="5">
        <f>IFERROR(__xludf.DUMMYFUNCTION("""COMPUTED_VALUE"""),2.98728E7)</f>
        <v>29872800</v>
      </c>
      <c r="G200" s="5">
        <f t="shared" si="1"/>
        <v>30</v>
      </c>
    </row>
    <row r="201">
      <c r="A201" s="4">
        <f>IFERROR(__xludf.DUMMYFUNCTION("""COMPUTED_VALUE"""),44127.66666666667)</f>
        <v>44127.66667</v>
      </c>
      <c r="B201" s="5">
        <f>IFERROR(__xludf.DUMMYFUNCTION("""COMPUTED_VALUE"""),930.0)</f>
        <v>930</v>
      </c>
      <c r="C201" s="5">
        <f>IFERROR(__xludf.DUMMYFUNCTION("""COMPUTED_VALUE"""),945.0)</f>
        <v>945</v>
      </c>
      <c r="D201" s="5">
        <f>IFERROR(__xludf.DUMMYFUNCTION("""COMPUTED_VALUE"""),920.0)</f>
        <v>920</v>
      </c>
      <c r="E201" s="5">
        <f>IFERROR(__xludf.DUMMYFUNCTION("""COMPUTED_VALUE"""),920.0)</f>
        <v>920</v>
      </c>
      <c r="F201" s="5">
        <f>IFERROR(__xludf.DUMMYFUNCTION("""COMPUTED_VALUE"""),1.90296E7)</f>
        <v>19029600</v>
      </c>
      <c r="G201" s="5">
        <f t="shared" si="1"/>
        <v>25</v>
      </c>
    </row>
    <row r="202">
      <c r="A202" s="4">
        <f>IFERROR(__xludf.DUMMYFUNCTION("""COMPUTED_VALUE"""),44130.66666666667)</f>
        <v>44130.66667</v>
      </c>
      <c r="B202" s="5">
        <f>IFERROR(__xludf.DUMMYFUNCTION("""COMPUTED_VALUE"""),920.0)</f>
        <v>920</v>
      </c>
      <c r="C202" s="5">
        <f>IFERROR(__xludf.DUMMYFUNCTION("""COMPUTED_VALUE"""),940.0)</f>
        <v>940</v>
      </c>
      <c r="D202" s="5">
        <f>IFERROR(__xludf.DUMMYFUNCTION("""COMPUTED_VALUE"""),920.0)</f>
        <v>920</v>
      </c>
      <c r="E202" s="5">
        <f>IFERROR(__xludf.DUMMYFUNCTION("""COMPUTED_VALUE"""),930.0)</f>
        <v>930</v>
      </c>
      <c r="F202" s="5">
        <f>IFERROR(__xludf.DUMMYFUNCTION("""COMPUTED_VALUE"""),1.63239E7)</f>
        <v>16323900</v>
      </c>
      <c r="G202" s="5">
        <f t="shared" si="1"/>
        <v>20</v>
      </c>
    </row>
    <row r="203">
      <c r="A203" s="4">
        <f>IFERROR(__xludf.DUMMYFUNCTION("""COMPUTED_VALUE"""),44131.66666666667)</f>
        <v>44131.66667</v>
      </c>
      <c r="B203" s="5">
        <f>IFERROR(__xludf.DUMMYFUNCTION("""COMPUTED_VALUE"""),925.0)</f>
        <v>925</v>
      </c>
      <c r="C203" s="5">
        <f>IFERROR(__xludf.DUMMYFUNCTION("""COMPUTED_VALUE"""),925.0)</f>
        <v>925</v>
      </c>
      <c r="D203" s="5">
        <f>IFERROR(__xludf.DUMMYFUNCTION("""COMPUTED_VALUE"""),915.0)</f>
        <v>915</v>
      </c>
      <c r="E203" s="5">
        <f>IFERROR(__xludf.DUMMYFUNCTION("""COMPUTED_VALUE"""),915.0)</f>
        <v>915</v>
      </c>
      <c r="F203" s="5">
        <f>IFERROR(__xludf.DUMMYFUNCTION("""COMPUTED_VALUE"""),1.15922E7)</f>
        <v>11592200</v>
      </c>
      <c r="G203" s="5">
        <f t="shared" si="1"/>
        <v>15</v>
      </c>
    </row>
    <row r="204">
      <c r="A204" s="4">
        <f>IFERROR(__xludf.DUMMYFUNCTION("""COMPUTED_VALUE"""),44137.66666666667)</f>
        <v>44137.66667</v>
      </c>
      <c r="B204" s="5">
        <f>IFERROR(__xludf.DUMMYFUNCTION("""COMPUTED_VALUE"""),905.0)</f>
        <v>905</v>
      </c>
      <c r="C204" s="5">
        <f>IFERROR(__xludf.DUMMYFUNCTION("""COMPUTED_VALUE"""),910.0)</f>
        <v>910</v>
      </c>
      <c r="D204" s="5">
        <f>IFERROR(__xludf.DUMMYFUNCTION("""COMPUTED_VALUE"""),880.0)</f>
        <v>880</v>
      </c>
      <c r="E204" s="5">
        <f>IFERROR(__xludf.DUMMYFUNCTION("""COMPUTED_VALUE"""),890.0)</f>
        <v>890</v>
      </c>
      <c r="F204" s="5">
        <f>IFERROR(__xludf.DUMMYFUNCTION("""COMPUTED_VALUE"""),2.02104E7)</f>
        <v>20210400</v>
      </c>
      <c r="G204" s="5">
        <f t="shared" si="1"/>
        <v>35</v>
      </c>
    </row>
    <row r="205">
      <c r="A205" s="4">
        <f>IFERROR(__xludf.DUMMYFUNCTION("""COMPUTED_VALUE"""),44138.66666666667)</f>
        <v>44138.66667</v>
      </c>
      <c r="B205" s="5">
        <f>IFERROR(__xludf.DUMMYFUNCTION("""COMPUTED_VALUE"""),910.0)</f>
        <v>910</v>
      </c>
      <c r="C205" s="5">
        <f>IFERROR(__xludf.DUMMYFUNCTION("""COMPUTED_VALUE"""),915.0)</f>
        <v>915</v>
      </c>
      <c r="D205" s="5">
        <f>IFERROR(__xludf.DUMMYFUNCTION("""COMPUTED_VALUE"""),895.0)</f>
        <v>895</v>
      </c>
      <c r="E205" s="5">
        <f>IFERROR(__xludf.DUMMYFUNCTION("""COMPUTED_VALUE"""),910.0)</f>
        <v>910</v>
      </c>
      <c r="F205" s="5">
        <f>IFERROR(__xludf.DUMMYFUNCTION("""COMPUTED_VALUE"""),1.93965E7)</f>
        <v>19396500</v>
      </c>
      <c r="G205" s="5">
        <f t="shared" si="1"/>
        <v>25</v>
      </c>
    </row>
    <row r="206">
      <c r="A206" s="4">
        <f>IFERROR(__xludf.DUMMYFUNCTION("""COMPUTED_VALUE"""),44139.66666666667)</f>
        <v>44139.66667</v>
      </c>
      <c r="B206" s="5">
        <f>IFERROR(__xludf.DUMMYFUNCTION("""COMPUTED_VALUE"""),915.0)</f>
        <v>915</v>
      </c>
      <c r="C206" s="5">
        <f>IFERROR(__xludf.DUMMYFUNCTION("""COMPUTED_VALUE"""),925.0)</f>
        <v>925</v>
      </c>
      <c r="D206" s="5">
        <f>IFERROR(__xludf.DUMMYFUNCTION("""COMPUTED_VALUE"""),890.0)</f>
        <v>890</v>
      </c>
      <c r="E206" s="5">
        <f>IFERROR(__xludf.DUMMYFUNCTION("""COMPUTED_VALUE"""),895.0)</f>
        <v>895</v>
      </c>
      <c r="F206" s="5">
        <f>IFERROR(__xludf.DUMMYFUNCTION("""COMPUTED_VALUE"""),1.56451E7)</f>
        <v>15645100</v>
      </c>
      <c r="G206" s="5">
        <f t="shared" si="1"/>
        <v>35</v>
      </c>
    </row>
    <row r="207">
      <c r="A207" s="4">
        <f>IFERROR(__xludf.DUMMYFUNCTION("""COMPUTED_VALUE"""),44140.66666666667)</f>
        <v>44140.66667</v>
      </c>
      <c r="B207" s="5">
        <f>IFERROR(__xludf.DUMMYFUNCTION("""COMPUTED_VALUE"""),910.0)</f>
        <v>910</v>
      </c>
      <c r="C207" s="5">
        <f>IFERROR(__xludf.DUMMYFUNCTION("""COMPUTED_VALUE"""),925.0)</f>
        <v>925</v>
      </c>
      <c r="D207" s="5">
        <f>IFERROR(__xludf.DUMMYFUNCTION("""COMPUTED_VALUE"""),905.0)</f>
        <v>905</v>
      </c>
      <c r="E207" s="5">
        <f>IFERROR(__xludf.DUMMYFUNCTION("""COMPUTED_VALUE"""),920.0)</f>
        <v>920</v>
      </c>
      <c r="F207" s="5">
        <f>IFERROR(__xludf.DUMMYFUNCTION("""COMPUTED_VALUE"""),2.72233E7)</f>
        <v>27223300</v>
      </c>
      <c r="G207" s="5">
        <f t="shared" si="1"/>
        <v>30</v>
      </c>
    </row>
    <row r="208">
      <c r="A208" s="4">
        <f>IFERROR(__xludf.DUMMYFUNCTION("""COMPUTED_VALUE"""),44141.66666666667)</f>
        <v>44141.66667</v>
      </c>
      <c r="B208" s="5">
        <f>IFERROR(__xludf.DUMMYFUNCTION("""COMPUTED_VALUE"""),930.0)</f>
        <v>930</v>
      </c>
      <c r="C208" s="5">
        <f>IFERROR(__xludf.DUMMYFUNCTION("""COMPUTED_VALUE"""),940.0)</f>
        <v>940</v>
      </c>
      <c r="D208" s="5">
        <f>IFERROR(__xludf.DUMMYFUNCTION("""COMPUTED_VALUE"""),915.0)</f>
        <v>915</v>
      </c>
      <c r="E208" s="5">
        <f>IFERROR(__xludf.DUMMYFUNCTION("""COMPUTED_VALUE"""),935.0)</f>
        <v>935</v>
      </c>
      <c r="F208" s="5">
        <f>IFERROR(__xludf.DUMMYFUNCTION("""COMPUTED_VALUE"""),3.21109E7)</f>
        <v>32110900</v>
      </c>
      <c r="G208" s="5">
        <f t="shared" si="1"/>
        <v>25</v>
      </c>
    </row>
    <row r="209">
      <c r="A209" s="4">
        <f>IFERROR(__xludf.DUMMYFUNCTION("""COMPUTED_VALUE"""),44144.66666666667)</f>
        <v>44144.66667</v>
      </c>
      <c r="B209" s="5">
        <f>IFERROR(__xludf.DUMMYFUNCTION("""COMPUTED_VALUE"""),955.0)</f>
        <v>955</v>
      </c>
      <c r="C209" s="5">
        <f>IFERROR(__xludf.DUMMYFUNCTION("""COMPUTED_VALUE"""),975.0)</f>
        <v>975</v>
      </c>
      <c r="D209" s="5">
        <f>IFERROR(__xludf.DUMMYFUNCTION("""COMPUTED_VALUE"""),945.0)</f>
        <v>945</v>
      </c>
      <c r="E209" s="5">
        <f>IFERROR(__xludf.DUMMYFUNCTION("""COMPUTED_VALUE"""),960.0)</f>
        <v>960</v>
      </c>
      <c r="F209" s="5">
        <f>IFERROR(__xludf.DUMMYFUNCTION("""COMPUTED_VALUE"""),7.20299E7)</f>
        <v>72029900</v>
      </c>
      <c r="G209" s="5">
        <f t="shared" si="1"/>
        <v>40</v>
      </c>
    </row>
    <row r="210">
      <c r="A210" s="4">
        <f>IFERROR(__xludf.DUMMYFUNCTION("""COMPUTED_VALUE"""),44145.66666666667)</f>
        <v>44145.66667</v>
      </c>
      <c r="B210" s="5">
        <f>IFERROR(__xludf.DUMMYFUNCTION("""COMPUTED_VALUE"""),985.0)</f>
        <v>985</v>
      </c>
      <c r="C210" s="5">
        <f>IFERROR(__xludf.DUMMYFUNCTION("""COMPUTED_VALUE"""),1015.0)</f>
        <v>1015</v>
      </c>
      <c r="D210" s="5">
        <f>IFERROR(__xludf.DUMMYFUNCTION("""COMPUTED_VALUE"""),965.0)</f>
        <v>965</v>
      </c>
      <c r="E210" s="5">
        <f>IFERROR(__xludf.DUMMYFUNCTION("""COMPUTED_VALUE"""),1005.0)</f>
        <v>1005</v>
      </c>
      <c r="F210" s="5">
        <f>IFERROR(__xludf.DUMMYFUNCTION("""COMPUTED_VALUE"""),1.317662E8)</f>
        <v>131766200</v>
      </c>
      <c r="G210" s="5">
        <f t="shared" si="1"/>
        <v>55</v>
      </c>
    </row>
    <row r="211">
      <c r="A211" s="4">
        <f>IFERROR(__xludf.DUMMYFUNCTION("""COMPUTED_VALUE"""),44146.66666666667)</f>
        <v>44146.66667</v>
      </c>
      <c r="B211" s="5">
        <f>IFERROR(__xludf.DUMMYFUNCTION("""COMPUTED_VALUE"""),1010.0)</f>
        <v>1010</v>
      </c>
      <c r="C211" s="5">
        <f>IFERROR(__xludf.DUMMYFUNCTION("""COMPUTED_VALUE"""),1045.0)</f>
        <v>1045</v>
      </c>
      <c r="D211" s="5">
        <f>IFERROR(__xludf.DUMMYFUNCTION("""COMPUTED_VALUE"""),990.0)</f>
        <v>990</v>
      </c>
      <c r="E211" s="5">
        <f>IFERROR(__xludf.DUMMYFUNCTION("""COMPUTED_VALUE"""),1020.0)</f>
        <v>1020</v>
      </c>
      <c r="F211" s="5">
        <f>IFERROR(__xludf.DUMMYFUNCTION("""COMPUTED_VALUE"""),9.09654E7)</f>
        <v>90965400</v>
      </c>
      <c r="G211" s="5">
        <f t="shared" si="1"/>
        <v>55</v>
      </c>
    </row>
    <row r="212">
      <c r="A212" s="4">
        <f>IFERROR(__xludf.DUMMYFUNCTION("""COMPUTED_VALUE"""),44147.66666666667)</f>
        <v>44147.66667</v>
      </c>
      <c r="B212" s="5">
        <f>IFERROR(__xludf.DUMMYFUNCTION("""COMPUTED_VALUE"""),1025.0)</f>
        <v>1025</v>
      </c>
      <c r="C212" s="5">
        <f>IFERROR(__xludf.DUMMYFUNCTION("""COMPUTED_VALUE"""),1025.0)</f>
        <v>1025</v>
      </c>
      <c r="D212" s="5">
        <f>IFERROR(__xludf.DUMMYFUNCTION("""COMPUTED_VALUE"""),995.0)</f>
        <v>995</v>
      </c>
      <c r="E212" s="5">
        <f>IFERROR(__xludf.DUMMYFUNCTION("""COMPUTED_VALUE"""),995.0)</f>
        <v>995</v>
      </c>
      <c r="F212" s="5">
        <f>IFERROR(__xludf.DUMMYFUNCTION("""COMPUTED_VALUE"""),2.67519E7)</f>
        <v>26751900</v>
      </c>
      <c r="G212" s="5">
        <f t="shared" si="1"/>
        <v>30</v>
      </c>
    </row>
    <row r="213">
      <c r="A213" s="4">
        <f>IFERROR(__xludf.DUMMYFUNCTION("""COMPUTED_VALUE"""),44148.66666666667)</f>
        <v>44148.66667</v>
      </c>
      <c r="B213" s="5">
        <f>IFERROR(__xludf.DUMMYFUNCTION("""COMPUTED_VALUE"""),990.0)</f>
        <v>990</v>
      </c>
      <c r="C213" s="5">
        <f>IFERROR(__xludf.DUMMYFUNCTION("""COMPUTED_VALUE"""),1040.0)</f>
        <v>1040</v>
      </c>
      <c r="D213" s="5">
        <f>IFERROR(__xludf.DUMMYFUNCTION("""COMPUTED_VALUE"""),980.0)</f>
        <v>980</v>
      </c>
      <c r="E213" s="5">
        <f>IFERROR(__xludf.DUMMYFUNCTION("""COMPUTED_VALUE"""),1025.0)</f>
        <v>1025</v>
      </c>
      <c r="F213" s="5">
        <f>IFERROR(__xludf.DUMMYFUNCTION("""COMPUTED_VALUE"""),5.15179E7)</f>
        <v>51517900</v>
      </c>
      <c r="G213" s="5">
        <f t="shared" si="1"/>
        <v>60</v>
      </c>
    </row>
    <row r="214">
      <c r="A214" s="4">
        <f>IFERROR(__xludf.DUMMYFUNCTION("""COMPUTED_VALUE"""),44151.66666666667)</f>
        <v>44151.66667</v>
      </c>
      <c r="B214" s="5">
        <f>IFERROR(__xludf.DUMMYFUNCTION("""COMPUTED_VALUE"""),1050.0)</f>
        <v>1050</v>
      </c>
      <c r="C214" s="5">
        <f>IFERROR(__xludf.DUMMYFUNCTION("""COMPUTED_VALUE"""),1100.0)</f>
        <v>1100</v>
      </c>
      <c r="D214" s="5">
        <f>IFERROR(__xludf.DUMMYFUNCTION("""COMPUTED_VALUE"""),1050.0)</f>
        <v>1050</v>
      </c>
      <c r="E214" s="5">
        <f>IFERROR(__xludf.DUMMYFUNCTION("""COMPUTED_VALUE"""),1100.0)</f>
        <v>1100</v>
      </c>
      <c r="F214" s="5">
        <f>IFERROR(__xludf.DUMMYFUNCTION("""COMPUTED_VALUE"""),1.315893E8)</f>
        <v>131589300</v>
      </c>
      <c r="G214" s="5">
        <f t="shared" si="1"/>
        <v>75</v>
      </c>
    </row>
    <row r="215">
      <c r="A215" s="4">
        <f>IFERROR(__xludf.DUMMYFUNCTION("""COMPUTED_VALUE"""),44152.66666666667)</f>
        <v>44152.66667</v>
      </c>
      <c r="B215" s="5">
        <f>IFERROR(__xludf.DUMMYFUNCTION("""COMPUTED_VALUE"""),1130.0)</f>
        <v>1130</v>
      </c>
      <c r="C215" s="5">
        <f>IFERROR(__xludf.DUMMYFUNCTION("""COMPUTED_VALUE"""),1225.0)</f>
        <v>1225</v>
      </c>
      <c r="D215" s="5">
        <f>IFERROR(__xludf.DUMMYFUNCTION("""COMPUTED_VALUE"""),1115.0)</f>
        <v>1115</v>
      </c>
      <c r="E215" s="5">
        <f>IFERROR(__xludf.DUMMYFUNCTION("""COMPUTED_VALUE"""),1140.0)</f>
        <v>1140</v>
      </c>
      <c r="F215" s="5">
        <f>IFERROR(__xludf.DUMMYFUNCTION("""COMPUTED_VALUE"""),2.126511E8)</f>
        <v>212651100</v>
      </c>
      <c r="G215" s="5">
        <f t="shared" si="1"/>
        <v>125</v>
      </c>
    </row>
    <row r="216">
      <c r="A216" s="4">
        <f>IFERROR(__xludf.DUMMYFUNCTION("""COMPUTED_VALUE"""),44153.66666666667)</f>
        <v>44153.66667</v>
      </c>
      <c r="B216" s="5">
        <f>IFERROR(__xludf.DUMMYFUNCTION("""COMPUTED_VALUE"""),1140.0)</f>
        <v>1140</v>
      </c>
      <c r="C216" s="5">
        <f>IFERROR(__xludf.DUMMYFUNCTION("""COMPUTED_VALUE"""),1170.0)</f>
        <v>1170</v>
      </c>
      <c r="D216" s="5">
        <f>IFERROR(__xludf.DUMMYFUNCTION("""COMPUTED_VALUE"""),1115.0)</f>
        <v>1115</v>
      </c>
      <c r="E216" s="5">
        <f>IFERROR(__xludf.DUMMYFUNCTION("""COMPUTED_VALUE"""),1150.0)</f>
        <v>1150</v>
      </c>
      <c r="F216" s="5">
        <f>IFERROR(__xludf.DUMMYFUNCTION("""COMPUTED_VALUE"""),5.33904E7)</f>
        <v>53390400</v>
      </c>
      <c r="G216" s="5">
        <f t="shared" si="1"/>
        <v>55</v>
      </c>
    </row>
    <row r="217">
      <c r="A217" s="4">
        <f>IFERROR(__xludf.DUMMYFUNCTION("""COMPUTED_VALUE"""),44154.66666666667)</f>
        <v>44154.66667</v>
      </c>
      <c r="B217" s="5">
        <f>IFERROR(__xludf.DUMMYFUNCTION("""COMPUTED_VALUE"""),1150.0)</f>
        <v>1150</v>
      </c>
      <c r="C217" s="5">
        <f>IFERROR(__xludf.DUMMYFUNCTION("""COMPUTED_VALUE"""),1175.0)</f>
        <v>1175</v>
      </c>
      <c r="D217" s="5">
        <f>IFERROR(__xludf.DUMMYFUNCTION("""COMPUTED_VALUE"""),1140.0)</f>
        <v>1140</v>
      </c>
      <c r="E217" s="5">
        <f>IFERROR(__xludf.DUMMYFUNCTION("""COMPUTED_VALUE"""),1175.0)</f>
        <v>1175</v>
      </c>
      <c r="F217" s="5">
        <f>IFERROR(__xludf.DUMMYFUNCTION("""COMPUTED_VALUE"""),5.9702E7)</f>
        <v>59702000</v>
      </c>
      <c r="G217" s="5">
        <f t="shared" si="1"/>
        <v>35</v>
      </c>
    </row>
    <row r="218">
      <c r="A218" s="4">
        <f>IFERROR(__xludf.DUMMYFUNCTION("""COMPUTED_VALUE"""),44155.66666666667)</f>
        <v>44155.66667</v>
      </c>
      <c r="B218" s="5">
        <f>IFERROR(__xludf.DUMMYFUNCTION("""COMPUTED_VALUE"""),1180.0)</f>
        <v>1180</v>
      </c>
      <c r="C218" s="5">
        <f>IFERROR(__xludf.DUMMYFUNCTION("""COMPUTED_VALUE"""),1195.0)</f>
        <v>1195</v>
      </c>
      <c r="D218" s="5">
        <f>IFERROR(__xludf.DUMMYFUNCTION("""COMPUTED_VALUE"""),1140.0)</f>
        <v>1140</v>
      </c>
      <c r="E218" s="5">
        <f>IFERROR(__xludf.DUMMYFUNCTION("""COMPUTED_VALUE"""),1150.0)</f>
        <v>1150</v>
      </c>
      <c r="F218" s="5">
        <f>IFERROR(__xludf.DUMMYFUNCTION("""COMPUTED_VALUE"""),4.09193E7)</f>
        <v>40919300</v>
      </c>
      <c r="G218" s="5">
        <f t="shared" si="1"/>
        <v>55</v>
      </c>
    </row>
    <row r="219">
      <c r="A219" s="4">
        <f>IFERROR(__xludf.DUMMYFUNCTION("""COMPUTED_VALUE"""),44158.66666666667)</f>
        <v>44158.66667</v>
      </c>
      <c r="B219" s="5">
        <f>IFERROR(__xludf.DUMMYFUNCTION("""COMPUTED_VALUE"""),1155.0)</f>
        <v>1155</v>
      </c>
      <c r="C219" s="5">
        <f>IFERROR(__xludf.DUMMYFUNCTION("""COMPUTED_VALUE"""),1215.0)</f>
        <v>1215</v>
      </c>
      <c r="D219" s="5">
        <f>IFERROR(__xludf.DUMMYFUNCTION("""COMPUTED_VALUE"""),1155.0)</f>
        <v>1155</v>
      </c>
      <c r="E219" s="5">
        <f>IFERROR(__xludf.DUMMYFUNCTION("""COMPUTED_VALUE"""),1215.0)</f>
        <v>1215</v>
      </c>
      <c r="F219" s="5">
        <f>IFERROR(__xludf.DUMMYFUNCTION("""COMPUTED_VALUE"""),5.89821E7)</f>
        <v>58982100</v>
      </c>
      <c r="G219" s="5">
        <f t="shared" si="1"/>
        <v>65</v>
      </c>
    </row>
    <row r="220">
      <c r="A220" s="4">
        <f>IFERROR(__xludf.DUMMYFUNCTION("""COMPUTED_VALUE"""),44159.66666666667)</f>
        <v>44159.66667</v>
      </c>
      <c r="B220" s="5">
        <f>IFERROR(__xludf.DUMMYFUNCTION("""COMPUTED_VALUE"""),1250.0)</f>
        <v>1250</v>
      </c>
      <c r="C220" s="5">
        <f>IFERROR(__xludf.DUMMYFUNCTION("""COMPUTED_VALUE"""),1285.0)</f>
        <v>1285</v>
      </c>
      <c r="D220" s="5">
        <f>IFERROR(__xludf.DUMMYFUNCTION("""COMPUTED_VALUE"""),1230.0)</f>
        <v>1230</v>
      </c>
      <c r="E220" s="5">
        <f>IFERROR(__xludf.DUMMYFUNCTION("""COMPUTED_VALUE"""),1260.0)</f>
        <v>1260</v>
      </c>
      <c r="F220" s="5">
        <f>IFERROR(__xludf.DUMMYFUNCTION("""COMPUTED_VALUE"""),9.06029E7)</f>
        <v>90602900</v>
      </c>
      <c r="G220" s="5">
        <f t="shared" si="1"/>
        <v>70</v>
      </c>
    </row>
    <row r="221">
      <c r="A221" s="4">
        <f>IFERROR(__xludf.DUMMYFUNCTION("""COMPUTED_VALUE"""),44160.66666666667)</f>
        <v>44160.66667</v>
      </c>
      <c r="B221" s="5">
        <f>IFERROR(__xludf.DUMMYFUNCTION("""COMPUTED_VALUE"""),1280.0)</f>
        <v>1280</v>
      </c>
      <c r="C221" s="5">
        <f>IFERROR(__xludf.DUMMYFUNCTION("""COMPUTED_VALUE"""),1305.0)</f>
        <v>1305</v>
      </c>
      <c r="D221" s="5">
        <f>IFERROR(__xludf.DUMMYFUNCTION("""COMPUTED_VALUE"""),1250.0)</f>
        <v>1250</v>
      </c>
      <c r="E221" s="5">
        <f>IFERROR(__xludf.DUMMYFUNCTION("""COMPUTED_VALUE"""),1280.0)</f>
        <v>1280</v>
      </c>
      <c r="F221" s="5">
        <f>IFERROR(__xludf.DUMMYFUNCTION("""COMPUTED_VALUE"""),8.26625E7)</f>
        <v>82662500</v>
      </c>
      <c r="G221" s="5">
        <f t="shared" si="1"/>
        <v>55</v>
      </c>
    </row>
    <row r="222">
      <c r="A222" s="4">
        <f>IFERROR(__xludf.DUMMYFUNCTION("""COMPUTED_VALUE"""),44161.66666666667)</f>
        <v>44161.66667</v>
      </c>
      <c r="B222" s="5">
        <f>IFERROR(__xludf.DUMMYFUNCTION("""COMPUTED_VALUE"""),1280.0)</f>
        <v>1280</v>
      </c>
      <c r="C222" s="5">
        <f>IFERROR(__xludf.DUMMYFUNCTION("""COMPUTED_VALUE"""),1325.0)</f>
        <v>1325</v>
      </c>
      <c r="D222" s="5">
        <f>IFERROR(__xludf.DUMMYFUNCTION("""COMPUTED_VALUE"""),1270.0)</f>
        <v>1270</v>
      </c>
      <c r="E222" s="5">
        <f>IFERROR(__xludf.DUMMYFUNCTION("""COMPUTED_VALUE"""),1320.0)</f>
        <v>1320</v>
      </c>
      <c r="F222" s="5">
        <f>IFERROR(__xludf.DUMMYFUNCTION("""COMPUTED_VALUE"""),3.63721E7)</f>
        <v>36372100</v>
      </c>
      <c r="G222" s="5">
        <f t="shared" si="1"/>
        <v>55</v>
      </c>
    </row>
    <row r="223">
      <c r="A223" s="4">
        <f>IFERROR(__xludf.DUMMYFUNCTION("""COMPUTED_VALUE"""),44162.66666666667)</f>
        <v>44162.66667</v>
      </c>
      <c r="B223" s="5">
        <f>IFERROR(__xludf.DUMMYFUNCTION("""COMPUTED_VALUE"""),1330.0)</f>
        <v>1330</v>
      </c>
      <c r="C223" s="5">
        <f>IFERROR(__xludf.DUMMYFUNCTION("""COMPUTED_VALUE"""),1415.0)</f>
        <v>1415</v>
      </c>
      <c r="D223" s="5">
        <f>IFERROR(__xludf.DUMMYFUNCTION("""COMPUTED_VALUE"""),1305.0)</f>
        <v>1305</v>
      </c>
      <c r="E223" s="5">
        <f>IFERROR(__xludf.DUMMYFUNCTION("""COMPUTED_VALUE"""),1400.0)</f>
        <v>1400</v>
      </c>
      <c r="F223" s="5">
        <f>IFERROR(__xludf.DUMMYFUNCTION("""COMPUTED_VALUE"""),8.60142E7)</f>
        <v>86014200</v>
      </c>
      <c r="G223" s="5">
        <f t="shared" si="1"/>
        <v>110</v>
      </c>
    </row>
    <row r="224">
      <c r="A224" s="4">
        <f>IFERROR(__xludf.DUMMYFUNCTION("""COMPUTED_VALUE"""),44165.66666666667)</f>
        <v>44165.66667</v>
      </c>
      <c r="B224" s="5">
        <f>IFERROR(__xludf.DUMMYFUNCTION("""COMPUTED_VALUE"""),1410.0)</f>
        <v>1410</v>
      </c>
      <c r="C224" s="5">
        <f>IFERROR(__xludf.DUMMYFUNCTION("""COMPUTED_VALUE"""),1435.0)</f>
        <v>1435</v>
      </c>
      <c r="D224" s="5">
        <f>IFERROR(__xludf.DUMMYFUNCTION("""COMPUTED_VALUE"""),1305.0)</f>
        <v>1305</v>
      </c>
      <c r="E224" s="5">
        <f>IFERROR(__xludf.DUMMYFUNCTION("""COMPUTED_VALUE"""),1360.0)</f>
        <v>1360</v>
      </c>
      <c r="F224" s="5">
        <f>IFERROR(__xludf.DUMMYFUNCTION("""COMPUTED_VALUE"""),1.086883E8)</f>
        <v>108688300</v>
      </c>
      <c r="G224" s="5">
        <f t="shared" si="1"/>
        <v>130</v>
      </c>
    </row>
    <row r="225">
      <c r="A225" s="4">
        <f>IFERROR(__xludf.DUMMYFUNCTION("""COMPUTED_VALUE"""),44166.66666666667)</f>
        <v>44166.66667</v>
      </c>
      <c r="B225" s="5">
        <f>IFERROR(__xludf.DUMMYFUNCTION("""COMPUTED_VALUE"""),1360.0)</f>
        <v>1360</v>
      </c>
      <c r="C225" s="5">
        <f>IFERROR(__xludf.DUMMYFUNCTION("""COMPUTED_VALUE"""),1410.0)</f>
        <v>1410</v>
      </c>
      <c r="D225" s="5">
        <f>IFERROR(__xludf.DUMMYFUNCTION("""COMPUTED_VALUE"""),1295.0)</f>
        <v>1295</v>
      </c>
      <c r="E225" s="5">
        <f>IFERROR(__xludf.DUMMYFUNCTION("""COMPUTED_VALUE"""),1395.0)</f>
        <v>1395</v>
      </c>
      <c r="F225" s="5">
        <f>IFERROR(__xludf.DUMMYFUNCTION("""COMPUTED_VALUE"""),5.7995E7)</f>
        <v>57995000</v>
      </c>
      <c r="G225" s="5">
        <f t="shared" si="1"/>
        <v>115</v>
      </c>
    </row>
    <row r="226">
      <c r="A226" s="4">
        <f>IFERROR(__xludf.DUMMYFUNCTION("""COMPUTED_VALUE"""),44167.66666666667)</f>
        <v>44167.66667</v>
      </c>
      <c r="B226" s="5">
        <f>IFERROR(__xludf.DUMMYFUNCTION("""COMPUTED_VALUE"""),1395.0)</f>
        <v>1395</v>
      </c>
      <c r="C226" s="5">
        <f>IFERROR(__xludf.DUMMYFUNCTION("""COMPUTED_VALUE"""),1520.0)</f>
        <v>1520</v>
      </c>
      <c r="D226" s="5">
        <f>IFERROR(__xludf.DUMMYFUNCTION("""COMPUTED_VALUE"""),1385.0)</f>
        <v>1385</v>
      </c>
      <c r="E226" s="5">
        <f>IFERROR(__xludf.DUMMYFUNCTION("""COMPUTED_VALUE"""),1520.0)</f>
        <v>1520</v>
      </c>
      <c r="F226" s="5">
        <f>IFERROR(__xludf.DUMMYFUNCTION("""COMPUTED_VALUE"""),8.2376E7)</f>
        <v>82376000</v>
      </c>
      <c r="G226" s="5">
        <f t="shared" si="1"/>
        <v>135</v>
      </c>
    </row>
    <row r="227">
      <c r="A227" s="4">
        <f>IFERROR(__xludf.DUMMYFUNCTION("""COMPUTED_VALUE"""),44168.66666666667)</f>
        <v>44168.66667</v>
      </c>
      <c r="B227" s="5">
        <f>IFERROR(__xludf.DUMMYFUNCTION("""COMPUTED_VALUE"""),1540.0)</f>
        <v>1540</v>
      </c>
      <c r="C227" s="5">
        <f>IFERROR(__xludf.DUMMYFUNCTION("""COMPUTED_VALUE"""),1680.0)</f>
        <v>1680</v>
      </c>
      <c r="D227" s="5">
        <f>IFERROR(__xludf.DUMMYFUNCTION("""COMPUTED_VALUE"""),1540.0)</f>
        <v>1540</v>
      </c>
      <c r="E227" s="5">
        <f>IFERROR(__xludf.DUMMYFUNCTION("""COMPUTED_VALUE"""),1595.0)</f>
        <v>1595</v>
      </c>
      <c r="F227" s="5">
        <f>IFERROR(__xludf.DUMMYFUNCTION("""COMPUTED_VALUE"""),9.10581E7)</f>
        <v>91058100</v>
      </c>
      <c r="G227" s="5">
        <f t="shared" si="1"/>
        <v>160</v>
      </c>
    </row>
    <row r="228">
      <c r="A228" s="4">
        <f>IFERROR(__xludf.DUMMYFUNCTION("""COMPUTED_VALUE"""),44169.66666666667)</f>
        <v>44169.66667</v>
      </c>
      <c r="B228" s="5">
        <f>IFERROR(__xludf.DUMMYFUNCTION("""COMPUTED_VALUE"""),1595.0)</f>
        <v>1595</v>
      </c>
      <c r="C228" s="5">
        <f>IFERROR(__xludf.DUMMYFUNCTION("""COMPUTED_VALUE"""),1645.0)</f>
        <v>1645</v>
      </c>
      <c r="D228" s="5">
        <f>IFERROR(__xludf.DUMMYFUNCTION("""COMPUTED_VALUE"""),1565.0)</f>
        <v>1565</v>
      </c>
      <c r="E228" s="5">
        <f>IFERROR(__xludf.DUMMYFUNCTION("""COMPUTED_VALUE"""),1600.0)</f>
        <v>1600</v>
      </c>
      <c r="F228" s="5">
        <f>IFERROR(__xludf.DUMMYFUNCTION("""COMPUTED_VALUE"""),7.2722E7)</f>
        <v>72722000</v>
      </c>
      <c r="G228" s="5">
        <f t="shared" si="1"/>
        <v>80</v>
      </c>
    </row>
    <row r="229">
      <c r="A229" s="4">
        <f>IFERROR(__xludf.DUMMYFUNCTION("""COMPUTED_VALUE"""),44172.66666666667)</f>
        <v>44172.66667</v>
      </c>
      <c r="B229" s="5">
        <f>IFERROR(__xludf.DUMMYFUNCTION("""COMPUTED_VALUE"""),1650.0)</f>
        <v>1650</v>
      </c>
      <c r="C229" s="5">
        <f>IFERROR(__xludf.DUMMYFUNCTION("""COMPUTED_VALUE"""),1665.0)</f>
        <v>1665</v>
      </c>
      <c r="D229" s="5">
        <f>IFERROR(__xludf.DUMMYFUNCTION("""COMPUTED_VALUE"""),1620.0)</f>
        <v>1620</v>
      </c>
      <c r="E229" s="5">
        <f>IFERROR(__xludf.DUMMYFUNCTION("""COMPUTED_VALUE"""),1665.0)</f>
        <v>1665</v>
      </c>
      <c r="F229" s="5">
        <f>IFERROR(__xludf.DUMMYFUNCTION("""COMPUTED_VALUE"""),5.70726E7)</f>
        <v>57072600</v>
      </c>
      <c r="G229" s="5">
        <f t="shared" si="1"/>
        <v>65</v>
      </c>
    </row>
    <row r="230">
      <c r="A230" s="4">
        <f>IFERROR(__xludf.DUMMYFUNCTION("""COMPUTED_VALUE"""),44173.66666666667)</f>
        <v>44173.66667</v>
      </c>
      <c r="B230" s="5">
        <f>IFERROR(__xludf.DUMMYFUNCTION("""COMPUTED_VALUE"""),1675.0)</f>
        <v>1675</v>
      </c>
      <c r="C230" s="5">
        <f>IFERROR(__xludf.DUMMYFUNCTION("""COMPUTED_VALUE"""),1675.0)</f>
        <v>1675</v>
      </c>
      <c r="D230" s="5">
        <f>IFERROR(__xludf.DUMMYFUNCTION("""COMPUTED_VALUE"""),1600.0)</f>
        <v>1600</v>
      </c>
      <c r="E230" s="5">
        <f>IFERROR(__xludf.DUMMYFUNCTION("""COMPUTED_VALUE"""),1605.0)</f>
        <v>1605</v>
      </c>
      <c r="F230" s="5">
        <f>IFERROR(__xludf.DUMMYFUNCTION("""COMPUTED_VALUE"""),4.80249E7)</f>
        <v>48024900</v>
      </c>
      <c r="G230" s="5">
        <f t="shared" si="1"/>
        <v>75</v>
      </c>
    </row>
    <row r="231">
      <c r="A231" s="4">
        <f>IFERROR(__xludf.DUMMYFUNCTION("""COMPUTED_VALUE"""),44175.66666666667)</f>
        <v>44175.66667</v>
      </c>
      <c r="B231" s="5">
        <f>IFERROR(__xludf.DUMMYFUNCTION("""COMPUTED_VALUE"""),1630.0)</f>
        <v>1630</v>
      </c>
      <c r="C231" s="5">
        <f>IFERROR(__xludf.DUMMYFUNCTION("""COMPUTED_VALUE"""),1630.0)</f>
        <v>1630</v>
      </c>
      <c r="D231" s="5">
        <f>IFERROR(__xludf.DUMMYFUNCTION("""COMPUTED_VALUE"""),1565.0)</f>
        <v>1565</v>
      </c>
      <c r="E231" s="5">
        <f>IFERROR(__xludf.DUMMYFUNCTION("""COMPUTED_VALUE"""),1585.0)</f>
        <v>1585</v>
      </c>
      <c r="F231" s="5">
        <f>IFERROR(__xludf.DUMMYFUNCTION("""COMPUTED_VALUE"""),4.74338E7)</f>
        <v>47433800</v>
      </c>
      <c r="G231" s="5">
        <f t="shared" si="1"/>
        <v>65</v>
      </c>
    </row>
    <row r="232">
      <c r="A232" s="4">
        <f>IFERROR(__xludf.DUMMYFUNCTION("""COMPUTED_VALUE"""),44176.66666666667)</f>
        <v>44176.66667</v>
      </c>
      <c r="B232" s="5">
        <f>IFERROR(__xludf.DUMMYFUNCTION("""COMPUTED_VALUE"""),1585.0)</f>
        <v>1585</v>
      </c>
      <c r="C232" s="5">
        <f>IFERROR(__xludf.DUMMYFUNCTION("""COMPUTED_VALUE"""),1605.0)</f>
        <v>1605</v>
      </c>
      <c r="D232" s="5">
        <f>IFERROR(__xludf.DUMMYFUNCTION("""COMPUTED_VALUE"""),1535.0)</f>
        <v>1535</v>
      </c>
      <c r="E232" s="5">
        <f>IFERROR(__xludf.DUMMYFUNCTION("""COMPUTED_VALUE"""),1565.0)</f>
        <v>1565</v>
      </c>
      <c r="F232" s="5">
        <f>IFERROR(__xludf.DUMMYFUNCTION("""COMPUTED_VALUE"""),3.71527E7)</f>
        <v>37152700</v>
      </c>
      <c r="G232" s="5">
        <f t="shared" si="1"/>
        <v>70</v>
      </c>
    </row>
    <row r="233">
      <c r="A233" s="4">
        <f>IFERROR(__xludf.DUMMYFUNCTION("""COMPUTED_VALUE"""),44179.66666666667)</f>
        <v>44179.66667</v>
      </c>
      <c r="B233" s="5">
        <f>IFERROR(__xludf.DUMMYFUNCTION("""COMPUTED_VALUE"""),1570.0)</f>
        <v>1570</v>
      </c>
      <c r="C233" s="5">
        <f>IFERROR(__xludf.DUMMYFUNCTION("""COMPUTED_VALUE"""),1620.0)</f>
        <v>1620</v>
      </c>
      <c r="D233" s="5">
        <f>IFERROR(__xludf.DUMMYFUNCTION("""COMPUTED_VALUE"""),1555.0)</f>
        <v>1555</v>
      </c>
      <c r="E233" s="5">
        <f>IFERROR(__xludf.DUMMYFUNCTION("""COMPUTED_VALUE"""),1610.0)</f>
        <v>1610</v>
      </c>
      <c r="F233" s="5">
        <f>IFERROR(__xludf.DUMMYFUNCTION("""COMPUTED_VALUE"""),3.76183E7)</f>
        <v>37618300</v>
      </c>
      <c r="G233" s="5">
        <f t="shared" si="1"/>
        <v>65</v>
      </c>
    </row>
    <row r="234">
      <c r="A234" s="4">
        <f>IFERROR(__xludf.DUMMYFUNCTION("""COMPUTED_VALUE"""),44180.66666666667)</f>
        <v>44180.66667</v>
      </c>
      <c r="B234" s="5">
        <f>IFERROR(__xludf.DUMMYFUNCTION("""COMPUTED_VALUE"""),1610.0)</f>
        <v>1610</v>
      </c>
      <c r="C234" s="5">
        <f>IFERROR(__xludf.DUMMYFUNCTION("""COMPUTED_VALUE"""),1615.0)</f>
        <v>1615</v>
      </c>
      <c r="D234" s="5">
        <f>IFERROR(__xludf.DUMMYFUNCTION("""COMPUTED_VALUE"""),1570.0)</f>
        <v>1570</v>
      </c>
      <c r="E234" s="5">
        <f>IFERROR(__xludf.DUMMYFUNCTION("""COMPUTED_VALUE"""),1580.0)</f>
        <v>1580</v>
      </c>
      <c r="F234" s="5">
        <f>IFERROR(__xludf.DUMMYFUNCTION("""COMPUTED_VALUE"""),3.04195E7)</f>
        <v>30419500</v>
      </c>
      <c r="G234" s="5">
        <f t="shared" si="1"/>
        <v>45</v>
      </c>
    </row>
    <row r="235">
      <c r="A235" s="4">
        <f>IFERROR(__xludf.DUMMYFUNCTION("""COMPUTED_VALUE"""),44181.66666666667)</f>
        <v>44181.66667</v>
      </c>
      <c r="B235" s="5">
        <f>IFERROR(__xludf.DUMMYFUNCTION("""COMPUTED_VALUE"""),1585.0)</f>
        <v>1585</v>
      </c>
      <c r="C235" s="5">
        <f>IFERROR(__xludf.DUMMYFUNCTION("""COMPUTED_VALUE"""),1615.0)</f>
        <v>1615</v>
      </c>
      <c r="D235" s="5">
        <f>IFERROR(__xludf.DUMMYFUNCTION("""COMPUTED_VALUE"""),1565.0)</f>
        <v>1565</v>
      </c>
      <c r="E235" s="5">
        <f>IFERROR(__xludf.DUMMYFUNCTION("""COMPUTED_VALUE"""),1570.0)</f>
        <v>1570</v>
      </c>
      <c r="F235" s="5">
        <f>IFERROR(__xludf.DUMMYFUNCTION("""COMPUTED_VALUE"""),5.1233E7)</f>
        <v>51233000</v>
      </c>
      <c r="G235" s="5">
        <f t="shared" si="1"/>
        <v>50</v>
      </c>
    </row>
    <row r="236">
      <c r="A236" s="4">
        <f>IFERROR(__xludf.DUMMYFUNCTION("""COMPUTED_VALUE"""),44182.66666666667)</f>
        <v>44182.66667</v>
      </c>
      <c r="B236" s="5">
        <f>IFERROR(__xludf.DUMMYFUNCTION("""COMPUTED_VALUE"""),1610.0)</f>
        <v>1610</v>
      </c>
      <c r="C236" s="5">
        <f>IFERROR(__xludf.DUMMYFUNCTION("""COMPUTED_VALUE"""),1795.0)</f>
        <v>1795</v>
      </c>
      <c r="D236" s="5">
        <f>IFERROR(__xludf.DUMMYFUNCTION("""COMPUTED_VALUE"""),1610.0)</f>
        <v>1610</v>
      </c>
      <c r="E236" s="5">
        <f>IFERROR(__xludf.DUMMYFUNCTION("""COMPUTED_VALUE"""),1705.0)</f>
        <v>1705</v>
      </c>
      <c r="F236" s="5">
        <f>IFERROR(__xludf.DUMMYFUNCTION("""COMPUTED_VALUE"""),2.748111E8)</f>
        <v>274811100</v>
      </c>
      <c r="G236" s="5">
        <f t="shared" si="1"/>
        <v>225</v>
      </c>
    </row>
    <row r="237">
      <c r="A237" s="4">
        <f>IFERROR(__xludf.DUMMYFUNCTION("""COMPUTED_VALUE"""),44183.66666666667)</f>
        <v>44183.66667</v>
      </c>
      <c r="B237" s="5">
        <f>IFERROR(__xludf.DUMMYFUNCTION("""COMPUTED_VALUE"""),1725.0)</f>
        <v>1725</v>
      </c>
      <c r="C237" s="5">
        <f>IFERROR(__xludf.DUMMYFUNCTION("""COMPUTED_VALUE"""),1790.0)</f>
        <v>1790</v>
      </c>
      <c r="D237" s="5">
        <f>IFERROR(__xludf.DUMMYFUNCTION("""COMPUTED_VALUE"""),1705.0)</f>
        <v>1705</v>
      </c>
      <c r="E237" s="5">
        <f>IFERROR(__xludf.DUMMYFUNCTION("""COMPUTED_VALUE"""),1770.0)</f>
        <v>1770</v>
      </c>
      <c r="F237" s="5">
        <f>IFERROR(__xludf.DUMMYFUNCTION("""COMPUTED_VALUE"""),1.534817E8)</f>
        <v>153481700</v>
      </c>
      <c r="G237" s="5">
        <f t="shared" si="1"/>
        <v>85</v>
      </c>
    </row>
    <row r="238">
      <c r="A238" s="4">
        <f>IFERROR(__xludf.DUMMYFUNCTION("""COMPUTED_VALUE"""),44186.66666666667)</f>
        <v>44186.66667</v>
      </c>
      <c r="B238" s="5">
        <f>IFERROR(__xludf.DUMMYFUNCTION("""COMPUTED_VALUE"""),1870.0)</f>
        <v>1870</v>
      </c>
      <c r="C238" s="5">
        <f>IFERROR(__xludf.DUMMYFUNCTION("""COMPUTED_VALUE"""),1970.0)</f>
        <v>1970</v>
      </c>
      <c r="D238" s="5">
        <f>IFERROR(__xludf.DUMMYFUNCTION("""COMPUTED_VALUE"""),1870.0)</f>
        <v>1870</v>
      </c>
      <c r="E238" s="5">
        <f>IFERROR(__xludf.DUMMYFUNCTION("""COMPUTED_VALUE"""),1920.0)</f>
        <v>1920</v>
      </c>
      <c r="F238" s="5">
        <f>IFERROR(__xludf.DUMMYFUNCTION("""COMPUTED_VALUE"""),1.737242E8)</f>
        <v>173724200</v>
      </c>
      <c r="G238" s="5">
        <f t="shared" si="1"/>
        <v>200</v>
      </c>
    </row>
    <row r="239">
      <c r="A239" s="4">
        <f>IFERROR(__xludf.DUMMYFUNCTION("""COMPUTED_VALUE"""),44187.66666666667)</f>
        <v>44187.66667</v>
      </c>
      <c r="B239" s="5">
        <f>IFERROR(__xludf.DUMMYFUNCTION("""COMPUTED_VALUE"""),1920.0)</f>
        <v>1920</v>
      </c>
      <c r="C239" s="5">
        <f>IFERROR(__xludf.DUMMYFUNCTION("""COMPUTED_VALUE"""),1925.0)</f>
        <v>1925</v>
      </c>
      <c r="D239" s="5">
        <f>IFERROR(__xludf.DUMMYFUNCTION("""COMPUTED_VALUE"""),1790.0)</f>
        <v>1790</v>
      </c>
      <c r="E239" s="5">
        <f>IFERROR(__xludf.DUMMYFUNCTION("""COMPUTED_VALUE"""),1795.0)</f>
        <v>1795</v>
      </c>
      <c r="F239" s="5">
        <f>IFERROR(__xludf.DUMMYFUNCTION("""COMPUTED_VALUE"""),1.327205E8)</f>
        <v>132720500</v>
      </c>
      <c r="G239" s="5">
        <f t="shared" si="1"/>
        <v>135</v>
      </c>
    </row>
    <row r="240">
      <c r="A240" s="4">
        <f>IFERROR(__xludf.DUMMYFUNCTION("""COMPUTED_VALUE"""),44188.66666666667)</f>
        <v>44188.66667</v>
      </c>
      <c r="B240" s="5">
        <f>IFERROR(__xludf.DUMMYFUNCTION("""COMPUTED_VALUE"""),1810.0)</f>
        <v>1810</v>
      </c>
      <c r="C240" s="5">
        <f>IFERROR(__xludf.DUMMYFUNCTION("""COMPUTED_VALUE"""),1850.0)</f>
        <v>1850</v>
      </c>
      <c r="D240" s="5">
        <f>IFERROR(__xludf.DUMMYFUNCTION("""COMPUTED_VALUE"""),1675.0)</f>
        <v>1675</v>
      </c>
      <c r="E240" s="5">
        <f>IFERROR(__xludf.DUMMYFUNCTION("""COMPUTED_VALUE"""),1780.0)</f>
        <v>1780</v>
      </c>
      <c r="F240" s="5">
        <f>IFERROR(__xludf.DUMMYFUNCTION("""COMPUTED_VALUE"""),1.250192E8)</f>
        <v>125019200</v>
      </c>
      <c r="G240" s="5">
        <f t="shared" si="1"/>
        <v>175</v>
      </c>
    </row>
    <row r="241">
      <c r="A241" s="4">
        <f>IFERROR(__xludf.DUMMYFUNCTION("""COMPUTED_VALUE"""),44193.66666666667)</f>
        <v>44193.66667</v>
      </c>
      <c r="B241" s="5">
        <f>IFERROR(__xludf.DUMMYFUNCTION("""COMPUTED_VALUE"""),1830.0)</f>
        <v>1830</v>
      </c>
      <c r="C241" s="5">
        <f>IFERROR(__xludf.DUMMYFUNCTION("""COMPUTED_VALUE"""),1845.0)</f>
        <v>1845</v>
      </c>
      <c r="D241" s="5">
        <f>IFERROR(__xludf.DUMMYFUNCTION("""COMPUTED_VALUE"""),1755.0)</f>
        <v>1755</v>
      </c>
      <c r="E241" s="5">
        <f>IFERROR(__xludf.DUMMYFUNCTION("""COMPUTED_VALUE"""),1780.0)</f>
        <v>1780</v>
      </c>
      <c r="F241" s="5">
        <f>IFERROR(__xludf.DUMMYFUNCTION("""COMPUTED_VALUE"""),5.75521E7)</f>
        <v>57552100</v>
      </c>
      <c r="G241" s="5">
        <f t="shared" si="1"/>
        <v>90</v>
      </c>
    </row>
    <row r="242">
      <c r="A242" s="4">
        <f>IFERROR(__xludf.DUMMYFUNCTION("""COMPUTED_VALUE"""),44194.66666666667)</f>
        <v>44194.66667</v>
      </c>
      <c r="B242" s="5">
        <f>IFERROR(__xludf.DUMMYFUNCTION("""COMPUTED_VALUE"""),1800.0)</f>
        <v>1800</v>
      </c>
      <c r="C242" s="5">
        <f>IFERROR(__xludf.DUMMYFUNCTION("""COMPUTED_VALUE"""),1860.0)</f>
        <v>1860</v>
      </c>
      <c r="D242" s="5">
        <f>IFERROR(__xludf.DUMMYFUNCTION("""COMPUTED_VALUE"""),1765.0)</f>
        <v>1765</v>
      </c>
      <c r="E242" s="5">
        <f>IFERROR(__xludf.DUMMYFUNCTION("""COMPUTED_VALUE"""),1845.0)</f>
        <v>1845</v>
      </c>
      <c r="F242" s="5">
        <f>IFERROR(__xludf.DUMMYFUNCTION("""COMPUTED_VALUE"""),1.199486E8)</f>
        <v>119948600</v>
      </c>
      <c r="G242" s="5">
        <f t="shared" si="1"/>
        <v>95</v>
      </c>
    </row>
    <row r="243">
      <c r="A243" s="4">
        <f>IFERROR(__xludf.DUMMYFUNCTION("""COMPUTED_VALUE"""),44195.66666666667)</f>
        <v>44195.66667</v>
      </c>
      <c r="B243" s="5">
        <f>IFERROR(__xludf.DUMMYFUNCTION("""COMPUTED_VALUE"""),1920.0)</f>
        <v>1920</v>
      </c>
      <c r="C243" s="5">
        <f>IFERROR(__xludf.DUMMYFUNCTION("""COMPUTED_VALUE"""),1960.0)</f>
        <v>1960</v>
      </c>
      <c r="D243" s="5">
        <f>IFERROR(__xludf.DUMMYFUNCTION("""COMPUTED_VALUE"""),1855.0)</f>
        <v>1855</v>
      </c>
      <c r="E243" s="5">
        <f>IFERROR(__xludf.DUMMYFUNCTION("""COMPUTED_VALUE"""),1865.0)</f>
        <v>1865</v>
      </c>
      <c r="F243" s="5">
        <f>IFERROR(__xludf.DUMMYFUNCTION("""COMPUTED_VALUE"""),2.12443E8)</f>
        <v>212443000</v>
      </c>
      <c r="G243" s="5">
        <f t="shared" si="1"/>
        <v>115</v>
      </c>
    </row>
    <row r="244">
      <c r="A244" s="4">
        <f>IFERROR(__xludf.DUMMYFUNCTION("""COMPUTED_VALUE"""),44200.625)</f>
        <v>44200.625</v>
      </c>
      <c r="B244" s="5">
        <f>IFERROR(__xludf.DUMMYFUNCTION("""COMPUTED_VALUE"""),1865.0)</f>
        <v>1865</v>
      </c>
      <c r="C244" s="5">
        <f>IFERROR(__xludf.DUMMYFUNCTION("""COMPUTED_VALUE"""),1890.0)</f>
        <v>1890</v>
      </c>
      <c r="D244" s="5">
        <f>IFERROR(__xludf.DUMMYFUNCTION("""COMPUTED_VALUE"""),1800.0)</f>
        <v>1800</v>
      </c>
      <c r="E244" s="5">
        <f>IFERROR(__xludf.DUMMYFUNCTION("""COMPUTED_VALUE"""),1885.0)</f>
        <v>1885</v>
      </c>
      <c r="F244" s="5">
        <f>IFERROR(__xludf.DUMMYFUNCTION("""COMPUTED_VALUE"""),6.53819E7)</f>
        <v>65381900</v>
      </c>
      <c r="G244" s="5">
        <f t="shared" si="1"/>
        <v>90</v>
      </c>
    </row>
    <row r="245">
      <c r="A245" s="4">
        <f>IFERROR(__xludf.DUMMYFUNCTION("""COMPUTED_VALUE"""),44201.625)</f>
        <v>44201.625</v>
      </c>
      <c r="B245" s="5">
        <f>IFERROR(__xludf.DUMMYFUNCTION("""COMPUTED_VALUE"""),1880.0)</f>
        <v>1880</v>
      </c>
      <c r="C245" s="5">
        <f>IFERROR(__xludf.DUMMYFUNCTION("""COMPUTED_VALUE"""),1925.0)</f>
        <v>1925</v>
      </c>
      <c r="D245" s="5">
        <f>IFERROR(__xludf.DUMMYFUNCTION("""COMPUTED_VALUE"""),1855.0)</f>
        <v>1855</v>
      </c>
      <c r="E245" s="5">
        <f>IFERROR(__xludf.DUMMYFUNCTION("""COMPUTED_VALUE"""),1875.0)</f>
        <v>1875</v>
      </c>
      <c r="F245" s="5">
        <f>IFERROR(__xludf.DUMMYFUNCTION("""COMPUTED_VALUE"""),5.09966E7)</f>
        <v>50996600</v>
      </c>
      <c r="G245" s="5">
        <f t="shared" si="1"/>
        <v>70</v>
      </c>
    </row>
    <row r="246">
      <c r="A246" s="4">
        <f>IFERROR(__xludf.DUMMYFUNCTION("""COMPUTED_VALUE"""),44202.625)</f>
        <v>44202.625</v>
      </c>
      <c r="B246" s="5">
        <f>IFERROR(__xludf.DUMMYFUNCTION("""COMPUTED_VALUE"""),1905.0)</f>
        <v>1905</v>
      </c>
      <c r="C246" s="5">
        <f>IFERROR(__xludf.DUMMYFUNCTION("""COMPUTED_VALUE"""),1920.0)</f>
        <v>1920</v>
      </c>
      <c r="D246" s="5">
        <f>IFERROR(__xludf.DUMMYFUNCTION("""COMPUTED_VALUE"""),1775.0)</f>
        <v>1775</v>
      </c>
      <c r="E246" s="5">
        <f>IFERROR(__xludf.DUMMYFUNCTION("""COMPUTED_VALUE"""),1900.0)</f>
        <v>1900</v>
      </c>
      <c r="F246" s="5">
        <f>IFERROR(__xludf.DUMMYFUNCTION("""COMPUTED_VALUE"""),8.1801E7)</f>
        <v>81801000</v>
      </c>
      <c r="G246" s="5">
        <f t="shared" si="1"/>
        <v>145</v>
      </c>
    </row>
    <row r="247">
      <c r="A247" s="4">
        <f>IFERROR(__xludf.DUMMYFUNCTION("""COMPUTED_VALUE"""),44203.66666666667)</f>
        <v>44203.66667</v>
      </c>
      <c r="B247" s="5">
        <f>IFERROR(__xludf.DUMMYFUNCTION("""COMPUTED_VALUE"""),1940.0)</f>
        <v>1940</v>
      </c>
      <c r="C247" s="5">
        <f>IFERROR(__xludf.DUMMYFUNCTION("""COMPUTED_VALUE"""),2080.0)</f>
        <v>2080</v>
      </c>
      <c r="D247" s="5">
        <f>IFERROR(__xludf.DUMMYFUNCTION("""COMPUTED_VALUE"""),1900.0)</f>
        <v>1900</v>
      </c>
      <c r="E247" s="5">
        <f>IFERROR(__xludf.DUMMYFUNCTION("""COMPUTED_VALUE"""),2070.0)</f>
        <v>2070</v>
      </c>
      <c r="F247" s="5">
        <f>IFERROR(__xludf.DUMMYFUNCTION("""COMPUTED_VALUE"""),2.277718E8)</f>
        <v>227771800</v>
      </c>
      <c r="G247" s="5">
        <f t="shared" si="1"/>
        <v>180</v>
      </c>
    </row>
    <row r="248">
      <c r="A248" s="4">
        <f>IFERROR(__xludf.DUMMYFUNCTION("""COMPUTED_VALUE"""),44204.66666666667)</f>
        <v>44204.66667</v>
      </c>
      <c r="B248" s="5">
        <f>IFERROR(__xludf.DUMMYFUNCTION("""COMPUTED_VALUE"""),2110.0)</f>
        <v>2110</v>
      </c>
      <c r="C248" s="5">
        <f>IFERROR(__xludf.DUMMYFUNCTION("""COMPUTED_VALUE"""),2170.0)</f>
        <v>2170</v>
      </c>
      <c r="D248" s="5">
        <f>IFERROR(__xludf.DUMMYFUNCTION("""COMPUTED_VALUE"""),2060.0)</f>
        <v>2060</v>
      </c>
      <c r="E248" s="5">
        <f>IFERROR(__xludf.DUMMYFUNCTION("""COMPUTED_VALUE"""),2100.0)</f>
        <v>2100</v>
      </c>
      <c r="F248" s="5">
        <f>IFERROR(__xludf.DUMMYFUNCTION("""COMPUTED_VALUE"""),1.415602E8)</f>
        <v>141560200</v>
      </c>
      <c r="G248" s="5">
        <f t="shared" si="1"/>
        <v>110</v>
      </c>
    </row>
    <row r="249">
      <c r="A249" s="4">
        <f>IFERROR(__xludf.DUMMYFUNCTION("""COMPUTED_VALUE"""),44207.625)</f>
        <v>44207.625</v>
      </c>
      <c r="B249" s="5">
        <f>IFERROR(__xludf.DUMMYFUNCTION("""COMPUTED_VALUE"""),2100.0)</f>
        <v>2100</v>
      </c>
      <c r="C249" s="5">
        <f>IFERROR(__xludf.DUMMYFUNCTION("""COMPUTED_VALUE"""),2140.0)</f>
        <v>2140</v>
      </c>
      <c r="D249" s="5">
        <f>IFERROR(__xludf.DUMMYFUNCTION("""COMPUTED_VALUE"""),2030.0)</f>
        <v>2030</v>
      </c>
      <c r="E249" s="5">
        <f>IFERROR(__xludf.DUMMYFUNCTION("""COMPUTED_VALUE"""),2090.0)</f>
        <v>2090</v>
      </c>
      <c r="F249" s="5">
        <f>IFERROR(__xludf.DUMMYFUNCTION("""COMPUTED_VALUE"""),7.43142E7)</f>
        <v>74314200</v>
      </c>
      <c r="G249" s="5">
        <f t="shared" si="1"/>
        <v>110</v>
      </c>
    </row>
    <row r="250">
      <c r="A250" s="4">
        <f>IFERROR(__xludf.DUMMYFUNCTION("""COMPUTED_VALUE"""),44208.625)</f>
        <v>44208.625</v>
      </c>
      <c r="B250" s="5">
        <f>IFERROR(__xludf.DUMMYFUNCTION("""COMPUTED_VALUE"""),2090.0)</f>
        <v>2090</v>
      </c>
      <c r="C250" s="5">
        <f>IFERROR(__xludf.DUMMYFUNCTION("""COMPUTED_VALUE"""),2110.0)</f>
        <v>2110</v>
      </c>
      <c r="D250" s="5">
        <f>IFERROR(__xludf.DUMMYFUNCTION("""COMPUTED_VALUE"""),2010.0)</f>
        <v>2010</v>
      </c>
      <c r="E250" s="5">
        <f>IFERROR(__xludf.DUMMYFUNCTION("""COMPUTED_VALUE"""),2080.0)</f>
        <v>2080</v>
      </c>
      <c r="F250" s="5">
        <f>IFERROR(__xludf.DUMMYFUNCTION("""COMPUTED_VALUE"""),5.55081E7)</f>
        <v>55508100</v>
      </c>
      <c r="G250" s="5">
        <f t="shared" si="1"/>
        <v>100</v>
      </c>
    </row>
    <row r="251">
      <c r="A251" s="4">
        <f>IFERROR(__xludf.DUMMYFUNCTION("""COMPUTED_VALUE"""),44209.625)</f>
        <v>44209.625</v>
      </c>
      <c r="B251" s="5">
        <f>IFERROR(__xludf.DUMMYFUNCTION("""COMPUTED_VALUE"""),2100.0)</f>
        <v>2100</v>
      </c>
      <c r="C251" s="5">
        <f>IFERROR(__xludf.DUMMYFUNCTION("""COMPUTED_VALUE"""),2150.0)</f>
        <v>2150</v>
      </c>
      <c r="D251" s="5">
        <f>IFERROR(__xludf.DUMMYFUNCTION("""COMPUTED_VALUE"""),2060.0)</f>
        <v>2060</v>
      </c>
      <c r="E251" s="5">
        <f>IFERROR(__xludf.DUMMYFUNCTION("""COMPUTED_VALUE"""),2070.0)</f>
        <v>2070</v>
      </c>
      <c r="F251" s="5">
        <f>IFERROR(__xludf.DUMMYFUNCTION("""COMPUTED_VALUE"""),9.70141E7)</f>
        <v>97014100</v>
      </c>
      <c r="G251" s="5">
        <f t="shared" si="1"/>
        <v>90</v>
      </c>
    </row>
    <row r="252">
      <c r="A252" s="4">
        <f>IFERROR(__xludf.DUMMYFUNCTION("""COMPUTED_VALUE"""),44210.625)</f>
        <v>44210.625</v>
      </c>
      <c r="B252" s="5">
        <f>IFERROR(__xludf.DUMMYFUNCTION("""COMPUTED_VALUE"""),2080.0)</f>
        <v>2080</v>
      </c>
      <c r="C252" s="5">
        <f>IFERROR(__xludf.DUMMYFUNCTION("""COMPUTED_VALUE"""),2100.0)</f>
        <v>2100</v>
      </c>
      <c r="D252" s="5">
        <f>IFERROR(__xludf.DUMMYFUNCTION("""COMPUTED_VALUE"""),2020.0)</f>
        <v>2020</v>
      </c>
      <c r="E252" s="5">
        <f>IFERROR(__xludf.DUMMYFUNCTION("""COMPUTED_VALUE"""),2050.0)</f>
        <v>2050</v>
      </c>
      <c r="F252" s="5">
        <f>IFERROR(__xludf.DUMMYFUNCTION("""COMPUTED_VALUE"""),4.39954E7)</f>
        <v>43995400</v>
      </c>
      <c r="G252" s="5">
        <f t="shared" si="1"/>
        <v>80</v>
      </c>
    </row>
    <row r="253">
      <c r="A253" s="4">
        <f>IFERROR(__xludf.DUMMYFUNCTION("""COMPUTED_VALUE"""),44211.625)</f>
        <v>44211.625</v>
      </c>
      <c r="B253" s="5">
        <f>IFERROR(__xludf.DUMMYFUNCTION("""COMPUTED_VALUE"""),2070.0)</f>
        <v>2070</v>
      </c>
      <c r="C253" s="5">
        <f>IFERROR(__xludf.DUMMYFUNCTION("""COMPUTED_VALUE"""),2230.0)</f>
        <v>2230</v>
      </c>
      <c r="D253" s="5">
        <f>IFERROR(__xludf.DUMMYFUNCTION("""COMPUTED_VALUE"""),2050.0)</f>
        <v>2050</v>
      </c>
      <c r="E253" s="5">
        <f>IFERROR(__xludf.DUMMYFUNCTION("""COMPUTED_VALUE"""),2230.0)</f>
        <v>2230</v>
      </c>
      <c r="F253" s="5">
        <f>IFERROR(__xludf.DUMMYFUNCTION("""COMPUTED_VALUE"""),2.387846E8)</f>
        <v>238784600</v>
      </c>
      <c r="G253" s="5">
        <f t="shared" si="1"/>
        <v>180</v>
      </c>
    </row>
    <row r="254">
      <c r="A254" s="4">
        <f>IFERROR(__xludf.DUMMYFUNCTION("""COMPUTED_VALUE"""),44214.625)</f>
        <v>44214.625</v>
      </c>
      <c r="B254" s="5">
        <f>IFERROR(__xludf.DUMMYFUNCTION("""COMPUTED_VALUE"""),2300.0)</f>
        <v>2300</v>
      </c>
      <c r="C254" s="5">
        <f>IFERROR(__xludf.DUMMYFUNCTION("""COMPUTED_VALUE"""),2360.0)</f>
        <v>2360</v>
      </c>
      <c r="D254" s="5">
        <f>IFERROR(__xludf.DUMMYFUNCTION("""COMPUTED_VALUE"""),2130.0)</f>
        <v>2130</v>
      </c>
      <c r="E254" s="5">
        <f>IFERROR(__xludf.DUMMYFUNCTION("""COMPUTED_VALUE"""),2130.0)</f>
        <v>2130</v>
      </c>
      <c r="F254" s="5">
        <f>IFERROR(__xludf.DUMMYFUNCTION("""COMPUTED_VALUE"""),2.799038E8)</f>
        <v>279903800</v>
      </c>
      <c r="G254" s="5">
        <f t="shared" si="1"/>
        <v>230</v>
      </c>
    </row>
    <row r="255">
      <c r="A255" s="4">
        <f>IFERROR(__xludf.DUMMYFUNCTION("""COMPUTED_VALUE"""),44215.625)</f>
        <v>44215.625</v>
      </c>
      <c r="B255" s="5">
        <f>IFERROR(__xludf.DUMMYFUNCTION("""COMPUTED_VALUE"""),2160.0)</f>
        <v>2160</v>
      </c>
      <c r="C255" s="5">
        <f>IFERROR(__xludf.DUMMYFUNCTION("""COMPUTED_VALUE"""),2180.0)</f>
        <v>2180</v>
      </c>
      <c r="D255" s="5">
        <f>IFERROR(__xludf.DUMMYFUNCTION("""COMPUTED_VALUE"""),1985.0)</f>
        <v>1985</v>
      </c>
      <c r="E255" s="5">
        <f>IFERROR(__xludf.DUMMYFUNCTION("""COMPUTED_VALUE"""),1985.0)</f>
        <v>1985</v>
      </c>
      <c r="F255" s="5">
        <f>IFERROR(__xludf.DUMMYFUNCTION("""COMPUTED_VALUE"""),2.492958E8)</f>
        <v>249295800</v>
      </c>
      <c r="G255" s="5">
        <f t="shared" si="1"/>
        <v>195</v>
      </c>
    </row>
    <row r="256">
      <c r="A256" s="4">
        <f>IFERROR(__xludf.DUMMYFUNCTION("""COMPUTED_VALUE"""),44216.625)</f>
        <v>44216.625</v>
      </c>
      <c r="B256" s="5">
        <f>IFERROR(__xludf.DUMMYFUNCTION("""COMPUTED_VALUE"""),1875.0)</f>
        <v>1875</v>
      </c>
      <c r="C256" s="5">
        <f>IFERROR(__xludf.DUMMYFUNCTION("""COMPUTED_VALUE"""),2090.0)</f>
        <v>2090</v>
      </c>
      <c r="D256" s="5">
        <f>IFERROR(__xludf.DUMMYFUNCTION("""COMPUTED_VALUE"""),1865.0)</f>
        <v>1865</v>
      </c>
      <c r="E256" s="5">
        <f>IFERROR(__xludf.DUMMYFUNCTION("""COMPUTED_VALUE"""),2090.0)</f>
        <v>2090</v>
      </c>
      <c r="F256" s="5">
        <f>IFERROR(__xludf.DUMMYFUNCTION("""COMPUTED_VALUE"""),1.110163E8)</f>
        <v>111016300</v>
      </c>
      <c r="G256" s="5">
        <f t="shared" si="1"/>
        <v>225</v>
      </c>
    </row>
    <row r="257">
      <c r="A257" s="4">
        <f>IFERROR(__xludf.DUMMYFUNCTION("""COMPUTED_VALUE"""),44217.625)</f>
        <v>44217.625</v>
      </c>
      <c r="B257" s="5">
        <f>IFERROR(__xludf.DUMMYFUNCTION("""COMPUTED_VALUE"""),2180.0)</f>
        <v>2180</v>
      </c>
      <c r="C257" s="5">
        <f>IFERROR(__xludf.DUMMYFUNCTION("""COMPUTED_VALUE"""),2220.0)</f>
        <v>2220</v>
      </c>
      <c r="D257" s="5">
        <f>IFERROR(__xludf.DUMMYFUNCTION("""COMPUTED_VALUE"""),2060.0)</f>
        <v>2060</v>
      </c>
      <c r="E257" s="5">
        <f>IFERROR(__xludf.DUMMYFUNCTION("""COMPUTED_VALUE"""),2090.0)</f>
        <v>2090</v>
      </c>
      <c r="F257" s="5">
        <f>IFERROR(__xludf.DUMMYFUNCTION("""COMPUTED_VALUE"""),1.041544E8)</f>
        <v>104154400</v>
      </c>
      <c r="G257" s="5">
        <f t="shared" si="1"/>
        <v>160</v>
      </c>
    </row>
    <row r="258">
      <c r="A258" s="4">
        <f>IFERROR(__xludf.DUMMYFUNCTION("""COMPUTED_VALUE"""),44218.625)</f>
        <v>44218.625</v>
      </c>
      <c r="B258" s="5">
        <f>IFERROR(__xludf.DUMMYFUNCTION("""COMPUTED_VALUE"""),2090.0)</f>
        <v>2090</v>
      </c>
      <c r="C258" s="5">
        <f>IFERROR(__xludf.DUMMYFUNCTION("""COMPUTED_VALUE"""),2090.0)</f>
        <v>2090</v>
      </c>
      <c r="D258" s="5">
        <f>IFERROR(__xludf.DUMMYFUNCTION("""COMPUTED_VALUE"""),1945.0)</f>
        <v>1945</v>
      </c>
      <c r="E258" s="5">
        <f>IFERROR(__xludf.DUMMYFUNCTION("""COMPUTED_VALUE"""),1945.0)</f>
        <v>1945</v>
      </c>
      <c r="F258" s="5">
        <f>IFERROR(__xludf.DUMMYFUNCTION("""COMPUTED_VALUE"""),1.280638E8)</f>
        <v>128063800</v>
      </c>
      <c r="G258" s="5">
        <f t="shared" si="1"/>
        <v>145</v>
      </c>
    </row>
    <row r="259">
      <c r="A259" s="4">
        <f>IFERROR(__xludf.DUMMYFUNCTION("""COMPUTED_VALUE"""),44221.625)</f>
        <v>44221.625</v>
      </c>
      <c r="B259" s="5">
        <f>IFERROR(__xludf.DUMMYFUNCTION("""COMPUTED_VALUE"""),1910.0)</f>
        <v>1910</v>
      </c>
      <c r="C259" s="5">
        <f>IFERROR(__xludf.DUMMYFUNCTION("""COMPUTED_VALUE"""),1915.0)</f>
        <v>1915</v>
      </c>
      <c r="D259" s="5">
        <f>IFERROR(__xludf.DUMMYFUNCTION("""COMPUTED_VALUE"""),1810.0)</f>
        <v>1810</v>
      </c>
      <c r="E259" s="5">
        <f>IFERROR(__xludf.DUMMYFUNCTION("""COMPUTED_VALUE"""),1810.0)</f>
        <v>1810</v>
      </c>
      <c r="F259" s="5">
        <f>IFERROR(__xludf.DUMMYFUNCTION("""COMPUTED_VALUE"""),1.163734E8)</f>
        <v>116373400</v>
      </c>
      <c r="G259" s="5">
        <f t="shared" si="1"/>
        <v>135</v>
      </c>
    </row>
    <row r="260">
      <c r="A260" s="4">
        <f>IFERROR(__xludf.DUMMYFUNCTION("""COMPUTED_VALUE"""),44222.625)</f>
        <v>44222.625</v>
      </c>
      <c r="B260" s="5">
        <f>IFERROR(__xludf.DUMMYFUNCTION("""COMPUTED_VALUE"""),1780.0)</f>
        <v>1780</v>
      </c>
      <c r="C260" s="5">
        <f>IFERROR(__xludf.DUMMYFUNCTION("""COMPUTED_VALUE"""),1855.0)</f>
        <v>1855</v>
      </c>
      <c r="D260" s="5">
        <f>IFERROR(__xludf.DUMMYFUNCTION("""COMPUTED_VALUE"""),1685.0)</f>
        <v>1685</v>
      </c>
      <c r="E260" s="5">
        <f>IFERROR(__xludf.DUMMYFUNCTION("""COMPUTED_VALUE"""),1685.0)</f>
        <v>1685</v>
      </c>
      <c r="F260" s="5">
        <f>IFERROR(__xludf.DUMMYFUNCTION("""COMPUTED_VALUE"""),9.09274E7)</f>
        <v>90927400</v>
      </c>
      <c r="G260" s="5">
        <f t="shared" si="1"/>
        <v>170</v>
      </c>
    </row>
    <row r="261">
      <c r="A261" s="4">
        <f>IFERROR(__xludf.DUMMYFUNCTION("""COMPUTED_VALUE"""),44223.625)</f>
        <v>44223.625</v>
      </c>
      <c r="B261" s="5">
        <f>IFERROR(__xludf.DUMMYFUNCTION("""COMPUTED_VALUE"""),1660.0)</f>
        <v>1660</v>
      </c>
      <c r="C261" s="5">
        <f>IFERROR(__xludf.DUMMYFUNCTION("""COMPUTED_VALUE"""),1860.0)</f>
        <v>1860</v>
      </c>
      <c r="D261" s="5">
        <f>IFERROR(__xludf.DUMMYFUNCTION("""COMPUTED_VALUE"""),1570.0)</f>
        <v>1570</v>
      </c>
      <c r="E261" s="5">
        <f>IFERROR(__xludf.DUMMYFUNCTION("""COMPUTED_VALUE"""),1860.0)</f>
        <v>1860</v>
      </c>
      <c r="F261" s="5">
        <f>IFERROR(__xludf.DUMMYFUNCTION("""COMPUTED_VALUE"""),2.688319E8)</f>
        <v>268831900</v>
      </c>
      <c r="G261" s="5">
        <f t="shared" si="1"/>
        <v>290</v>
      </c>
    </row>
    <row r="262">
      <c r="A262" s="4">
        <f>IFERROR(__xludf.DUMMYFUNCTION("""COMPUTED_VALUE"""),44224.625)</f>
        <v>44224.625</v>
      </c>
      <c r="B262" s="5">
        <f>IFERROR(__xludf.DUMMYFUNCTION("""COMPUTED_VALUE"""),1800.0)</f>
        <v>1800</v>
      </c>
      <c r="C262" s="5">
        <f>IFERROR(__xludf.DUMMYFUNCTION("""COMPUTED_VALUE"""),1845.0)</f>
        <v>1845</v>
      </c>
      <c r="D262" s="5">
        <f>IFERROR(__xludf.DUMMYFUNCTION("""COMPUTED_VALUE"""),1730.0)</f>
        <v>1730</v>
      </c>
      <c r="E262" s="5">
        <f>IFERROR(__xludf.DUMMYFUNCTION("""COMPUTED_VALUE"""),1730.0)</f>
        <v>1730</v>
      </c>
      <c r="F262" s="5">
        <f>IFERROR(__xludf.DUMMYFUNCTION("""COMPUTED_VALUE"""),1.199179E8)</f>
        <v>119917900</v>
      </c>
      <c r="G262" s="5">
        <f t="shared" si="1"/>
        <v>130</v>
      </c>
    </row>
    <row r="263">
      <c r="A263" s="4">
        <f>IFERROR(__xludf.DUMMYFUNCTION("""COMPUTED_VALUE"""),44225.625)</f>
        <v>44225.625</v>
      </c>
      <c r="B263" s="5">
        <f>IFERROR(__xludf.DUMMYFUNCTION("""COMPUTED_VALUE"""),1705.0)</f>
        <v>1705</v>
      </c>
      <c r="C263" s="5">
        <f>IFERROR(__xludf.DUMMYFUNCTION("""COMPUTED_VALUE"""),1760.0)</f>
        <v>1760</v>
      </c>
      <c r="D263" s="5">
        <f>IFERROR(__xludf.DUMMYFUNCTION("""COMPUTED_VALUE"""),1610.0)</f>
        <v>1610</v>
      </c>
      <c r="E263" s="5">
        <f>IFERROR(__xludf.DUMMYFUNCTION("""COMPUTED_VALUE"""),1635.0)</f>
        <v>1635</v>
      </c>
      <c r="F263" s="5">
        <f>IFERROR(__xludf.DUMMYFUNCTION("""COMPUTED_VALUE"""),1.284844E8)</f>
        <v>128484400</v>
      </c>
      <c r="G263" s="5">
        <f t="shared" si="1"/>
        <v>150</v>
      </c>
    </row>
    <row r="264">
      <c r="A264" s="4">
        <f>IFERROR(__xludf.DUMMYFUNCTION("""COMPUTED_VALUE"""),44228.625)</f>
        <v>44228.625</v>
      </c>
      <c r="B264" s="5">
        <f>IFERROR(__xludf.DUMMYFUNCTION("""COMPUTED_VALUE"""),1625.0)</f>
        <v>1625</v>
      </c>
      <c r="C264" s="5">
        <f>IFERROR(__xludf.DUMMYFUNCTION("""COMPUTED_VALUE"""),1800.0)</f>
        <v>1800</v>
      </c>
      <c r="D264" s="5">
        <f>IFERROR(__xludf.DUMMYFUNCTION("""COMPUTED_VALUE"""),1525.0)</f>
        <v>1525</v>
      </c>
      <c r="E264" s="5">
        <f>IFERROR(__xludf.DUMMYFUNCTION("""COMPUTED_VALUE"""),1795.0)</f>
        <v>1795</v>
      </c>
      <c r="F264" s="5">
        <f>IFERROR(__xludf.DUMMYFUNCTION("""COMPUTED_VALUE"""),1.469316E8)</f>
        <v>146931600</v>
      </c>
      <c r="G264" s="5">
        <f t="shared" si="1"/>
        <v>275</v>
      </c>
    </row>
    <row r="265">
      <c r="A265" s="4">
        <f>IFERROR(__xludf.DUMMYFUNCTION("""COMPUTED_VALUE"""),44229.625)</f>
        <v>44229.625</v>
      </c>
      <c r="B265" s="5">
        <f>IFERROR(__xludf.DUMMYFUNCTION("""COMPUTED_VALUE"""),1840.0)</f>
        <v>1840</v>
      </c>
      <c r="C265" s="5">
        <f>IFERROR(__xludf.DUMMYFUNCTION("""COMPUTED_VALUE"""),1845.0)</f>
        <v>1845</v>
      </c>
      <c r="D265" s="5">
        <f>IFERROR(__xludf.DUMMYFUNCTION("""COMPUTED_VALUE"""),1670.0)</f>
        <v>1670</v>
      </c>
      <c r="E265" s="5">
        <f>IFERROR(__xludf.DUMMYFUNCTION("""COMPUTED_VALUE"""),1670.0)</f>
        <v>1670</v>
      </c>
      <c r="F265" s="5">
        <f>IFERROR(__xludf.DUMMYFUNCTION("""COMPUTED_VALUE"""),1.024552E8)</f>
        <v>102455200</v>
      </c>
      <c r="G265" s="5">
        <f t="shared" si="1"/>
        <v>175</v>
      </c>
    </row>
    <row r="266">
      <c r="A266" s="4">
        <f>IFERROR(__xludf.DUMMYFUNCTION("""COMPUTED_VALUE"""),44230.625)</f>
        <v>44230.625</v>
      </c>
      <c r="B266" s="5">
        <f>IFERROR(__xludf.DUMMYFUNCTION("""COMPUTED_VALUE"""),1710.0)</f>
        <v>1710</v>
      </c>
      <c r="C266" s="5">
        <f>IFERROR(__xludf.DUMMYFUNCTION("""COMPUTED_VALUE"""),1750.0)</f>
        <v>1750</v>
      </c>
      <c r="D266" s="5">
        <f>IFERROR(__xludf.DUMMYFUNCTION("""COMPUTED_VALUE"""),1640.0)</f>
        <v>1640</v>
      </c>
      <c r="E266" s="5">
        <f>IFERROR(__xludf.DUMMYFUNCTION("""COMPUTED_VALUE"""),1660.0)</f>
        <v>1660</v>
      </c>
      <c r="F266" s="5">
        <f>IFERROR(__xludf.DUMMYFUNCTION("""COMPUTED_VALUE"""),7.31324E7)</f>
        <v>73132400</v>
      </c>
      <c r="G266" s="5">
        <f t="shared" si="1"/>
        <v>110</v>
      </c>
    </row>
    <row r="267">
      <c r="A267" s="4">
        <f>IFERROR(__xludf.DUMMYFUNCTION("""COMPUTED_VALUE"""),44231.625)</f>
        <v>44231.625</v>
      </c>
      <c r="B267" s="5">
        <f>IFERROR(__xludf.DUMMYFUNCTION("""COMPUTED_VALUE"""),1665.0)</f>
        <v>1665</v>
      </c>
      <c r="C267" s="5">
        <f>IFERROR(__xludf.DUMMYFUNCTION("""COMPUTED_VALUE"""),1715.0)</f>
        <v>1715</v>
      </c>
      <c r="D267" s="5">
        <f>IFERROR(__xludf.DUMMYFUNCTION("""COMPUTED_VALUE"""),1630.0)</f>
        <v>1630</v>
      </c>
      <c r="E267" s="5">
        <f>IFERROR(__xludf.DUMMYFUNCTION("""COMPUTED_VALUE"""),1655.0)</f>
        <v>1655</v>
      </c>
      <c r="F267" s="5">
        <f>IFERROR(__xludf.DUMMYFUNCTION("""COMPUTED_VALUE"""),5.03157E7)</f>
        <v>50315700</v>
      </c>
      <c r="G267" s="5">
        <f t="shared" si="1"/>
        <v>85</v>
      </c>
    </row>
    <row r="268">
      <c r="A268" s="4">
        <f>IFERROR(__xludf.DUMMYFUNCTION("""COMPUTED_VALUE"""),44232.625)</f>
        <v>44232.625</v>
      </c>
      <c r="B268" s="5">
        <f>IFERROR(__xludf.DUMMYFUNCTION("""COMPUTED_VALUE"""),1675.0)</f>
        <v>1675</v>
      </c>
      <c r="C268" s="5">
        <f>IFERROR(__xludf.DUMMYFUNCTION("""COMPUTED_VALUE"""),1710.0)</f>
        <v>1710</v>
      </c>
      <c r="D268" s="5">
        <f>IFERROR(__xludf.DUMMYFUNCTION("""COMPUTED_VALUE"""),1655.0)</f>
        <v>1655</v>
      </c>
      <c r="E268" s="5">
        <f>IFERROR(__xludf.DUMMYFUNCTION("""COMPUTED_VALUE"""),1690.0)</f>
        <v>1690</v>
      </c>
      <c r="F268" s="5">
        <f>IFERROR(__xludf.DUMMYFUNCTION("""COMPUTED_VALUE"""),4.57221E7)</f>
        <v>45722100</v>
      </c>
      <c r="G268" s="5">
        <f t="shared" si="1"/>
        <v>55</v>
      </c>
    </row>
    <row r="269">
      <c r="A269" s="4">
        <f>IFERROR(__xludf.DUMMYFUNCTION("""COMPUTED_VALUE"""),44235.625)</f>
        <v>44235.625</v>
      </c>
      <c r="B269" s="5">
        <f>IFERROR(__xludf.DUMMYFUNCTION("""COMPUTED_VALUE"""),1715.0)</f>
        <v>1715</v>
      </c>
      <c r="C269" s="5">
        <f>IFERROR(__xludf.DUMMYFUNCTION("""COMPUTED_VALUE"""),1815.0)</f>
        <v>1815</v>
      </c>
      <c r="D269" s="5">
        <f>IFERROR(__xludf.DUMMYFUNCTION("""COMPUTED_VALUE"""),1680.0)</f>
        <v>1680</v>
      </c>
      <c r="E269" s="5">
        <f>IFERROR(__xludf.DUMMYFUNCTION("""COMPUTED_VALUE"""),1800.0)</f>
        <v>1800</v>
      </c>
      <c r="F269" s="5">
        <f>IFERROR(__xludf.DUMMYFUNCTION("""COMPUTED_VALUE"""),8.75048E7)</f>
        <v>87504800</v>
      </c>
      <c r="G269" s="5">
        <f t="shared" si="1"/>
        <v>135</v>
      </c>
    </row>
    <row r="270">
      <c r="A270" s="4">
        <f>IFERROR(__xludf.DUMMYFUNCTION("""COMPUTED_VALUE"""),44236.625)</f>
        <v>44236.625</v>
      </c>
      <c r="B270" s="5">
        <f>IFERROR(__xludf.DUMMYFUNCTION("""COMPUTED_VALUE"""),1825.0)</f>
        <v>1825</v>
      </c>
      <c r="C270" s="5">
        <f>IFERROR(__xludf.DUMMYFUNCTION("""COMPUTED_VALUE"""),1825.0)</f>
        <v>1825</v>
      </c>
      <c r="D270" s="5">
        <f>IFERROR(__xludf.DUMMYFUNCTION("""COMPUTED_VALUE"""),1720.0)</f>
        <v>1720</v>
      </c>
      <c r="E270" s="5">
        <f>IFERROR(__xludf.DUMMYFUNCTION("""COMPUTED_VALUE"""),1730.0)</f>
        <v>1730</v>
      </c>
      <c r="F270" s="5">
        <f>IFERROR(__xludf.DUMMYFUNCTION("""COMPUTED_VALUE"""),7.21788E7)</f>
        <v>72178800</v>
      </c>
      <c r="G270" s="5">
        <f t="shared" si="1"/>
        <v>105</v>
      </c>
    </row>
    <row r="271">
      <c r="A271" s="4">
        <f>IFERROR(__xludf.DUMMYFUNCTION("""COMPUTED_VALUE"""),44237.625)</f>
        <v>44237.625</v>
      </c>
      <c r="B271" s="5">
        <f>IFERROR(__xludf.DUMMYFUNCTION("""COMPUTED_VALUE"""),1750.0)</f>
        <v>1750</v>
      </c>
      <c r="C271" s="5">
        <f>IFERROR(__xludf.DUMMYFUNCTION("""COMPUTED_VALUE"""),1795.0)</f>
        <v>1795</v>
      </c>
      <c r="D271" s="5">
        <f>IFERROR(__xludf.DUMMYFUNCTION("""COMPUTED_VALUE"""),1705.0)</f>
        <v>1705</v>
      </c>
      <c r="E271" s="5">
        <f>IFERROR(__xludf.DUMMYFUNCTION("""COMPUTED_VALUE"""),1775.0)</f>
        <v>1775</v>
      </c>
      <c r="F271" s="5">
        <f>IFERROR(__xludf.DUMMYFUNCTION("""COMPUTED_VALUE"""),3.79431E7)</f>
        <v>37943100</v>
      </c>
      <c r="G271" s="5">
        <f t="shared" si="1"/>
        <v>90</v>
      </c>
    </row>
    <row r="272">
      <c r="A272" s="4">
        <f>IFERROR(__xludf.DUMMYFUNCTION("""COMPUTED_VALUE"""),44238.625)</f>
        <v>44238.625</v>
      </c>
      <c r="B272" s="5">
        <f>IFERROR(__xludf.DUMMYFUNCTION("""COMPUTED_VALUE"""),1780.0)</f>
        <v>1780</v>
      </c>
      <c r="C272" s="5">
        <f>IFERROR(__xludf.DUMMYFUNCTION("""COMPUTED_VALUE"""),1790.0)</f>
        <v>1790</v>
      </c>
      <c r="D272" s="5">
        <f>IFERROR(__xludf.DUMMYFUNCTION("""COMPUTED_VALUE"""),1745.0)</f>
        <v>1745</v>
      </c>
      <c r="E272" s="5">
        <f>IFERROR(__xludf.DUMMYFUNCTION("""COMPUTED_VALUE"""),1755.0)</f>
        <v>1755</v>
      </c>
      <c r="F272" s="5">
        <f>IFERROR(__xludf.DUMMYFUNCTION("""COMPUTED_VALUE"""),2.76374E7)</f>
        <v>27637400</v>
      </c>
      <c r="G272" s="5">
        <f t="shared" si="1"/>
        <v>45</v>
      </c>
    </row>
    <row r="273">
      <c r="A273" s="4">
        <f>IFERROR(__xludf.DUMMYFUNCTION("""COMPUTED_VALUE"""),44242.625)</f>
        <v>44242.625</v>
      </c>
      <c r="B273" s="5">
        <f>IFERROR(__xludf.DUMMYFUNCTION("""COMPUTED_VALUE"""),1770.0)</f>
        <v>1770</v>
      </c>
      <c r="C273" s="5">
        <f>IFERROR(__xludf.DUMMYFUNCTION("""COMPUTED_VALUE"""),1865.0)</f>
        <v>1865</v>
      </c>
      <c r="D273" s="5">
        <f>IFERROR(__xludf.DUMMYFUNCTION("""COMPUTED_VALUE"""),1755.0)</f>
        <v>1755</v>
      </c>
      <c r="E273" s="5">
        <f>IFERROR(__xludf.DUMMYFUNCTION("""COMPUTED_VALUE"""),1840.0)</f>
        <v>1840</v>
      </c>
      <c r="F273" s="5">
        <f>IFERROR(__xludf.DUMMYFUNCTION("""COMPUTED_VALUE"""),8.03212E7)</f>
        <v>80321200</v>
      </c>
      <c r="G273" s="5">
        <f t="shared" si="1"/>
        <v>110</v>
      </c>
    </row>
    <row r="274">
      <c r="A274" s="4">
        <f>IFERROR(__xludf.DUMMYFUNCTION("""COMPUTED_VALUE"""),44243.625)</f>
        <v>44243.625</v>
      </c>
      <c r="B274" s="5">
        <f>IFERROR(__xludf.DUMMYFUNCTION("""COMPUTED_VALUE"""),1860.0)</f>
        <v>1860</v>
      </c>
      <c r="C274" s="5">
        <f>IFERROR(__xludf.DUMMYFUNCTION("""COMPUTED_VALUE"""),1890.0)</f>
        <v>1890</v>
      </c>
      <c r="D274" s="5">
        <f>IFERROR(__xludf.DUMMYFUNCTION("""COMPUTED_VALUE"""),1805.0)</f>
        <v>1805</v>
      </c>
      <c r="E274" s="5">
        <f>IFERROR(__xludf.DUMMYFUNCTION("""COMPUTED_VALUE"""),1815.0)</f>
        <v>1815</v>
      </c>
      <c r="F274" s="5">
        <f>IFERROR(__xludf.DUMMYFUNCTION("""COMPUTED_VALUE"""),7.11031E7)</f>
        <v>71103100</v>
      </c>
      <c r="G274" s="5">
        <f t="shared" si="1"/>
        <v>85</v>
      </c>
    </row>
    <row r="275">
      <c r="A275" s="4">
        <f>IFERROR(__xludf.DUMMYFUNCTION("""COMPUTED_VALUE"""),44244.625)</f>
        <v>44244.625</v>
      </c>
      <c r="B275" s="5">
        <f>IFERROR(__xludf.DUMMYFUNCTION("""COMPUTED_VALUE"""),1825.0)</f>
        <v>1825</v>
      </c>
      <c r="C275" s="5">
        <f>IFERROR(__xludf.DUMMYFUNCTION("""COMPUTED_VALUE"""),1840.0)</f>
        <v>1840</v>
      </c>
      <c r="D275" s="5">
        <f>IFERROR(__xludf.DUMMYFUNCTION("""COMPUTED_VALUE"""),1695.0)</f>
        <v>1695</v>
      </c>
      <c r="E275" s="5">
        <f>IFERROR(__xludf.DUMMYFUNCTION("""COMPUTED_VALUE"""),1710.0)</f>
        <v>1710</v>
      </c>
      <c r="F275" s="5">
        <f>IFERROR(__xludf.DUMMYFUNCTION("""COMPUTED_VALUE"""),8.37219E7)</f>
        <v>83721900</v>
      </c>
      <c r="G275" s="5">
        <f t="shared" si="1"/>
        <v>145</v>
      </c>
    </row>
    <row r="276">
      <c r="A276" s="4">
        <f>IFERROR(__xludf.DUMMYFUNCTION("""COMPUTED_VALUE"""),44245.625)</f>
        <v>44245.625</v>
      </c>
      <c r="B276" s="5">
        <f>IFERROR(__xludf.DUMMYFUNCTION("""COMPUTED_VALUE"""),1720.0)</f>
        <v>1720</v>
      </c>
      <c r="C276" s="5">
        <f>IFERROR(__xludf.DUMMYFUNCTION("""COMPUTED_VALUE"""),1735.0)</f>
        <v>1735</v>
      </c>
      <c r="D276" s="5">
        <f>IFERROR(__xludf.DUMMYFUNCTION("""COMPUTED_VALUE"""),1650.0)</f>
        <v>1650</v>
      </c>
      <c r="E276" s="5">
        <f>IFERROR(__xludf.DUMMYFUNCTION("""COMPUTED_VALUE"""),1665.0)</f>
        <v>1665</v>
      </c>
      <c r="F276" s="5">
        <f>IFERROR(__xludf.DUMMYFUNCTION("""COMPUTED_VALUE"""),6.42099E7)</f>
        <v>64209900</v>
      </c>
      <c r="G276" s="5">
        <f t="shared" si="1"/>
        <v>85</v>
      </c>
    </row>
    <row r="277">
      <c r="A277" s="4">
        <f>IFERROR(__xludf.DUMMYFUNCTION("""COMPUTED_VALUE"""),44246.625)</f>
        <v>44246.625</v>
      </c>
      <c r="B277" s="5">
        <f>IFERROR(__xludf.DUMMYFUNCTION("""COMPUTED_VALUE"""),1665.0)</f>
        <v>1665</v>
      </c>
      <c r="C277" s="5">
        <f>IFERROR(__xludf.DUMMYFUNCTION("""COMPUTED_VALUE"""),1675.0)</f>
        <v>1675</v>
      </c>
      <c r="D277" s="5">
        <f>IFERROR(__xludf.DUMMYFUNCTION("""COMPUTED_VALUE"""),1620.0)</f>
        <v>1620</v>
      </c>
      <c r="E277" s="5">
        <f>IFERROR(__xludf.DUMMYFUNCTION("""COMPUTED_VALUE"""),1660.0)</f>
        <v>1660</v>
      </c>
      <c r="F277" s="5">
        <f>IFERROR(__xludf.DUMMYFUNCTION("""COMPUTED_VALUE"""),5.0631E7)</f>
        <v>50631000</v>
      </c>
      <c r="G277" s="5">
        <f t="shared" si="1"/>
        <v>55</v>
      </c>
    </row>
    <row r="278">
      <c r="A278" s="4">
        <f>IFERROR(__xludf.DUMMYFUNCTION("""COMPUTED_VALUE"""),44249.625)</f>
        <v>44249.625</v>
      </c>
      <c r="B278" s="5">
        <f>IFERROR(__xludf.DUMMYFUNCTION("""COMPUTED_VALUE"""),1680.0)</f>
        <v>1680</v>
      </c>
      <c r="C278" s="5">
        <f>IFERROR(__xludf.DUMMYFUNCTION("""COMPUTED_VALUE"""),1720.0)</f>
        <v>1720</v>
      </c>
      <c r="D278" s="5">
        <f>IFERROR(__xludf.DUMMYFUNCTION("""COMPUTED_VALUE"""),1660.0)</f>
        <v>1660</v>
      </c>
      <c r="E278" s="5">
        <f>IFERROR(__xludf.DUMMYFUNCTION("""COMPUTED_VALUE"""),1690.0)</f>
        <v>1690</v>
      </c>
      <c r="F278" s="5">
        <f>IFERROR(__xludf.DUMMYFUNCTION("""COMPUTED_VALUE"""),4.62998E7)</f>
        <v>46299800</v>
      </c>
      <c r="G278" s="5">
        <f t="shared" si="1"/>
        <v>60</v>
      </c>
    </row>
    <row r="279">
      <c r="A279" s="4">
        <f>IFERROR(__xludf.DUMMYFUNCTION("""COMPUTED_VALUE"""),44250.66666666667)</f>
        <v>44250.66667</v>
      </c>
      <c r="B279" s="5">
        <f>IFERROR(__xludf.DUMMYFUNCTION("""COMPUTED_VALUE"""),1705.0)</f>
        <v>1705</v>
      </c>
      <c r="C279" s="5">
        <f>IFERROR(__xludf.DUMMYFUNCTION("""COMPUTED_VALUE"""),1705.0)</f>
        <v>1705</v>
      </c>
      <c r="D279" s="5">
        <f>IFERROR(__xludf.DUMMYFUNCTION("""COMPUTED_VALUE"""),1665.0)</f>
        <v>1665</v>
      </c>
      <c r="E279" s="5">
        <f>IFERROR(__xludf.DUMMYFUNCTION("""COMPUTED_VALUE"""),1675.0)</f>
        <v>1675</v>
      </c>
      <c r="F279" s="5">
        <f>IFERROR(__xludf.DUMMYFUNCTION("""COMPUTED_VALUE"""),1.95675E7)</f>
        <v>19567500</v>
      </c>
      <c r="G279" s="5">
        <f t="shared" si="1"/>
        <v>40</v>
      </c>
    </row>
    <row r="280">
      <c r="A280" s="4">
        <f>IFERROR(__xludf.DUMMYFUNCTION("""COMPUTED_VALUE"""),44251.625)</f>
        <v>44251.625</v>
      </c>
      <c r="B280" s="5">
        <f>IFERROR(__xludf.DUMMYFUNCTION("""COMPUTED_VALUE"""),1685.0)</f>
        <v>1685</v>
      </c>
      <c r="C280" s="5">
        <f>IFERROR(__xludf.DUMMYFUNCTION("""COMPUTED_VALUE"""),1695.0)</f>
        <v>1695</v>
      </c>
      <c r="D280" s="5">
        <f>IFERROR(__xludf.DUMMYFUNCTION("""COMPUTED_VALUE"""),1650.0)</f>
        <v>1650</v>
      </c>
      <c r="E280" s="5">
        <f>IFERROR(__xludf.DUMMYFUNCTION("""COMPUTED_VALUE"""),1660.0)</f>
        <v>1660</v>
      </c>
      <c r="F280" s="5">
        <f>IFERROR(__xludf.DUMMYFUNCTION("""COMPUTED_VALUE"""),1.85934E7)</f>
        <v>18593400</v>
      </c>
      <c r="G280" s="5">
        <f t="shared" si="1"/>
        <v>45</v>
      </c>
    </row>
    <row r="281">
      <c r="A281" s="4">
        <f>IFERROR(__xludf.DUMMYFUNCTION("""COMPUTED_VALUE"""),44252.625)</f>
        <v>44252.625</v>
      </c>
      <c r="B281" s="5">
        <f>IFERROR(__xludf.DUMMYFUNCTION("""COMPUTED_VALUE"""),1680.0)</f>
        <v>1680</v>
      </c>
      <c r="C281" s="5">
        <f>IFERROR(__xludf.DUMMYFUNCTION("""COMPUTED_VALUE"""),1710.0)</f>
        <v>1710</v>
      </c>
      <c r="D281" s="5">
        <f>IFERROR(__xludf.DUMMYFUNCTION("""COMPUTED_VALUE"""),1660.0)</f>
        <v>1660</v>
      </c>
      <c r="E281" s="5">
        <f>IFERROR(__xludf.DUMMYFUNCTION("""COMPUTED_VALUE"""),1675.0)</f>
        <v>1675</v>
      </c>
      <c r="F281" s="5">
        <f>IFERROR(__xludf.DUMMYFUNCTION("""COMPUTED_VALUE"""),2.56961E7)</f>
        <v>25696100</v>
      </c>
      <c r="G281" s="5">
        <f t="shared" si="1"/>
        <v>50</v>
      </c>
    </row>
    <row r="282">
      <c r="A282" s="4">
        <f>IFERROR(__xludf.DUMMYFUNCTION("""COMPUTED_VALUE"""),44253.625)</f>
        <v>44253.625</v>
      </c>
      <c r="B282" s="5">
        <f>IFERROR(__xludf.DUMMYFUNCTION("""COMPUTED_VALUE"""),1625.0)</f>
        <v>1625</v>
      </c>
      <c r="C282" s="5">
        <f>IFERROR(__xludf.DUMMYFUNCTION("""COMPUTED_VALUE"""),1655.0)</f>
        <v>1655</v>
      </c>
      <c r="D282" s="5">
        <f>IFERROR(__xludf.DUMMYFUNCTION("""COMPUTED_VALUE"""),1600.0)</f>
        <v>1600</v>
      </c>
      <c r="E282" s="5">
        <f>IFERROR(__xludf.DUMMYFUNCTION("""COMPUTED_VALUE"""),1615.0)</f>
        <v>1615</v>
      </c>
      <c r="F282" s="5">
        <f>IFERROR(__xludf.DUMMYFUNCTION("""COMPUTED_VALUE"""),4.41655E7)</f>
        <v>44165500</v>
      </c>
      <c r="G282" s="5">
        <f t="shared" si="1"/>
        <v>75</v>
      </c>
    </row>
    <row r="283">
      <c r="A283" s="4">
        <f>IFERROR(__xludf.DUMMYFUNCTION("""COMPUTED_VALUE"""),44256.625)</f>
        <v>44256.625</v>
      </c>
      <c r="B283" s="5">
        <f>IFERROR(__xludf.DUMMYFUNCTION("""COMPUTED_VALUE"""),1630.0)</f>
        <v>1630</v>
      </c>
      <c r="C283" s="5">
        <f>IFERROR(__xludf.DUMMYFUNCTION("""COMPUTED_VALUE"""),1715.0)</f>
        <v>1715</v>
      </c>
      <c r="D283" s="5">
        <f>IFERROR(__xludf.DUMMYFUNCTION("""COMPUTED_VALUE"""),1615.0)</f>
        <v>1615</v>
      </c>
      <c r="E283" s="5">
        <f>IFERROR(__xludf.DUMMYFUNCTION("""COMPUTED_VALUE"""),1705.0)</f>
        <v>1705</v>
      </c>
      <c r="F283" s="5">
        <f>IFERROR(__xludf.DUMMYFUNCTION("""COMPUTED_VALUE"""),6.38106E7)</f>
        <v>63810600</v>
      </c>
      <c r="G283" s="5">
        <f t="shared" si="1"/>
        <v>100</v>
      </c>
    </row>
    <row r="284">
      <c r="A284" s="4">
        <f>IFERROR(__xludf.DUMMYFUNCTION("""COMPUTED_VALUE"""),44257.625)</f>
        <v>44257.625</v>
      </c>
      <c r="B284" s="5">
        <f>IFERROR(__xludf.DUMMYFUNCTION("""COMPUTED_VALUE"""),1725.0)</f>
        <v>1725</v>
      </c>
      <c r="C284" s="5">
        <f>IFERROR(__xludf.DUMMYFUNCTION("""COMPUTED_VALUE"""),1735.0)</f>
        <v>1735</v>
      </c>
      <c r="D284" s="5">
        <f>IFERROR(__xludf.DUMMYFUNCTION("""COMPUTED_VALUE"""),1680.0)</f>
        <v>1680</v>
      </c>
      <c r="E284" s="5">
        <f>IFERROR(__xludf.DUMMYFUNCTION("""COMPUTED_VALUE"""),1685.0)</f>
        <v>1685</v>
      </c>
      <c r="F284" s="5">
        <f>IFERROR(__xludf.DUMMYFUNCTION("""COMPUTED_VALUE"""),2.95697E7)</f>
        <v>29569700</v>
      </c>
      <c r="G284" s="5">
        <f t="shared" si="1"/>
        <v>55</v>
      </c>
    </row>
    <row r="285">
      <c r="A285" s="4">
        <f>IFERROR(__xludf.DUMMYFUNCTION("""COMPUTED_VALUE"""),44258.625)</f>
        <v>44258.625</v>
      </c>
      <c r="B285" s="5">
        <f>IFERROR(__xludf.DUMMYFUNCTION("""COMPUTED_VALUE"""),1690.0)</f>
        <v>1690</v>
      </c>
      <c r="C285" s="5">
        <f>IFERROR(__xludf.DUMMYFUNCTION("""COMPUTED_VALUE"""),1700.0)</f>
        <v>1700</v>
      </c>
      <c r="D285" s="5">
        <f>IFERROR(__xludf.DUMMYFUNCTION("""COMPUTED_VALUE"""),1630.0)</f>
        <v>1630</v>
      </c>
      <c r="E285" s="5">
        <f>IFERROR(__xludf.DUMMYFUNCTION("""COMPUTED_VALUE"""),1635.0)</f>
        <v>1635</v>
      </c>
      <c r="F285" s="5">
        <f>IFERROR(__xludf.DUMMYFUNCTION("""COMPUTED_VALUE"""),2.86788E7)</f>
        <v>28678800</v>
      </c>
      <c r="G285" s="5">
        <f t="shared" si="1"/>
        <v>70</v>
      </c>
    </row>
    <row r="286">
      <c r="A286" s="4">
        <f>IFERROR(__xludf.DUMMYFUNCTION("""COMPUTED_VALUE"""),44259.625)</f>
        <v>44259.625</v>
      </c>
      <c r="B286" s="5">
        <f>IFERROR(__xludf.DUMMYFUNCTION("""COMPUTED_VALUE"""),1600.0)</f>
        <v>1600</v>
      </c>
      <c r="C286" s="5">
        <f>IFERROR(__xludf.DUMMYFUNCTION("""COMPUTED_VALUE"""),1635.0)</f>
        <v>1635</v>
      </c>
      <c r="D286" s="5">
        <f>IFERROR(__xludf.DUMMYFUNCTION("""COMPUTED_VALUE"""),1585.0)</f>
        <v>1585</v>
      </c>
      <c r="E286" s="5">
        <f>IFERROR(__xludf.DUMMYFUNCTION("""COMPUTED_VALUE"""),1595.0)</f>
        <v>1595</v>
      </c>
      <c r="F286" s="5">
        <f>IFERROR(__xludf.DUMMYFUNCTION("""COMPUTED_VALUE"""),5.95767E7)</f>
        <v>59576700</v>
      </c>
      <c r="G286" s="5">
        <f t="shared" si="1"/>
        <v>50</v>
      </c>
    </row>
    <row r="287">
      <c r="A287" s="4">
        <f>IFERROR(__xludf.DUMMYFUNCTION("""COMPUTED_VALUE"""),44260.625)</f>
        <v>44260.625</v>
      </c>
      <c r="B287" s="5">
        <f>IFERROR(__xludf.DUMMYFUNCTION("""COMPUTED_VALUE"""),1570.0)</f>
        <v>1570</v>
      </c>
      <c r="C287" s="5">
        <f>IFERROR(__xludf.DUMMYFUNCTION("""COMPUTED_VALUE"""),1585.0)</f>
        <v>1585</v>
      </c>
      <c r="D287" s="5">
        <f>IFERROR(__xludf.DUMMYFUNCTION("""COMPUTED_VALUE"""),1525.0)</f>
        <v>1525</v>
      </c>
      <c r="E287" s="5">
        <f>IFERROR(__xludf.DUMMYFUNCTION("""COMPUTED_VALUE"""),1535.0)</f>
        <v>1535</v>
      </c>
      <c r="F287" s="5">
        <f>IFERROR(__xludf.DUMMYFUNCTION("""COMPUTED_VALUE"""),5.98569E7)</f>
        <v>59856900</v>
      </c>
      <c r="G287" s="5">
        <f t="shared" si="1"/>
        <v>70</v>
      </c>
    </row>
    <row r="288">
      <c r="A288" s="4">
        <f>IFERROR(__xludf.DUMMYFUNCTION("""COMPUTED_VALUE"""),44263.66666666667)</f>
        <v>44263.66667</v>
      </c>
      <c r="B288" s="5">
        <f>IFERROR(__xludf.DUMMYFUNCTION("""COMPUTED_VALUE"""),1560.0)</f>
        <v>1560</v>
      </c>
      <c r="C288" s="5">
        <f>IFERROR(__xludf.DUMMYFUNCTION("""COMPUTED_VALUE"""),1575.0)</f>
        <v>1575</v>
      </c>
      <c r="D288" s="5">
        <f>IFERROR(__xludf.DUMMYFUNCTION("""COMPUTED_VALUE"""),1530.0)</f>
        <v>1530</v>
      </c>
      <c r="E288" s="5">
        <f>IFERROR(__xludf.DUMMYFUNCTION("""COMPUTED_VALUE"""),1540.0)</f>
        <v>1540</v>
      </c>
      <c r="F288" s="5">
        <f>IFERROR(__xludf.DUMMYFUNCTION("""COMPUTED_VALUE"""),2.45653E7)</f>
        <v>24565300</v>
      </c>
      <c r="G288" s="5">
        <f t="shared" si="1"/>
        <v>45</v>
      </c>
    </row>
    <row r="289">
      <c r="A289" s="4">
        <f>IFERROR(__xludf.DUMMYFUNCTION("""COMPUTED_VALUE"""),44264.625)</f>
        <v>44264.625</v>
      </c>
      <c r="B289" s="5">
        <f>IFERROR(__xludf.DUMMYFUNCTION("""COMPUTED_VALUE"""),1555.0)</f>
        <v>1555</v>
      </c>
      <c r="C289" s="5">
        <f>IFERROR(__xludf.DUMMYFUNCTION("""COMPUTED_VALUE"""),1605.0)</f>
        <v>1605</v>
      </c>
      <c r="D289" s="5">
        <f>IFERROR(__xludf.DUMMYFUNCTION("""COMPUTED_VALUE"""),1515.0)</f>
        <v>1515</v>
      </c>
      <c r="E289" s="5">
        <f>IFERROR(__xludf.DUMMYFUNCTION("""COMPUTED_VALUE"""),1535.0)</f>
        <v>1535</v>
      </c>
      <c r="F289" s="5">
        <f>IFERROR(__xludf.DUMMYFUNCTION("""COMPUTED_VALUE"""),3.76259E7)</f>
        <v>37625900</v>
      </c>
      <c r="G289" s="5">
        <f t="shared" si="1"/>
        <v>90</v>
      </c>
    </row>
    <row r="290">
      <c r="A290" s="4">
        <f>IFERROR(__xludf.DUMMYFUNCTION("""COMPUTED_VALUE"""),44265.625)</f>
        <v>44265.625</v>
      </c>
      <c r="B290" s="5">
        <f>IFERROR(__xludf.DUMMYFUNCTION("""COMPUTED_VALUE"""),1540.0)</f>
        <v>1540</v>
      </c>
      <c r="C290" s="5">
        <f>IFERROR(__xludf.DUMMYFUNCTION("""COMPUTED_VALUE"""),1570.0)</f>
        <v>1570</v>
      </c>
      <c r="D290" s="5">
        <f>IFERROR(__xludf.DUMMYFUNCTION("""COMPUTED_VALUE"""),1490.0)</f>
        <v>1490</v>
      </c>
      <c r="E290" s="5">
        <f>IFERROR(__xludf.DUMMYFUNCTION("""COMPUTED_VALUE"""),1500.0)</f>
        <v>1500</v>
      </c>
      <c r="F290" s="5">
        <f>IFERROR(__xludf.DUMMYFUNCTION("""COMPUTED_VALUE"""),3.55524E7)</f>
        <v>35552400</v>
      </c>
      <c r="G290" s="5">
        <f t="shared" si="1"/>
        <v>80</v>
      </c>
    </row>
    <row r="291">
      <c r="A291" s="4">
        <f>IFERROR(__xludf.DUMMYFUNCTION("""COMPUTED_VALUE"""),44267.625)</f>
        <v>44267.625</v>
      </c>
      <c r="B291" s="5">
        <f>IFERROR(__xludf.DUMMYFUNCTION("""COMPUTED_VALUE"""),1525.0)</f>
        <v>1525</v>
      </c>
      <c r="C291" s="5">
        <f>IFERROR(__xludf.DUMMYFUNCTION("""COMPUTED_VALUE"""),1565.0)</f>
        <v>1565</v>
      </c>
      <c r="D291" s="5">
        <f>IFERROR(__xludf.DUMMYFUNCTION("""COMPUTED_VALUE"""),1510.0)</f>
        <v>1510</v>
      </c>
      <c r="E291" s="5">
        <f>IFERROR(__xludf.DUMMYFUNCTION("""COMPUTED_VALUE"""),1525.0)</f>
        <v>1525</v>
      </c>
      <c r="F291" s="5">
        <f>IFERROR(__xludf.DUMMYFUNCTION("""COMPUTED_VALUE"""),3.32704E7)</f>
        <v>33270400</v>
      </c>
      <c r="G291" s="5">
        <f t="shared" si="1"/>
        <v>65</v>
      </c>
    </row>
    <row r="292">
      <c r="A292" s="4">
        <f>IFERROR(__xludf.DUMMYFUNCTION("""COMPUTED_VALUE"""),44270.625)</f>
        <v>44270.625</v>
      </c>
      <c r="B292" s="5">
        <f>IFERROR(__xludf.DUMMYFUNCTION("""COMPUTED_VALUE"""),1535.0)</f>
        <v>1535</v>
      </c>
      <c r="C292" s="5">
        <f>IFERROR(__xludf.DUMMYFUNCTION("""COMPUTED_VALUE"""),1575.0)</f>
        <v>1575</v>
      </c>
      <c r="D292" s="5">
        <f>IFERROR(__xludf.DUMMYFUNCTION("""COMPUTED_VALUE"""),1535.0)</f>
        <v>1535</v>
      </c>
      <c r="E292" s="5">
        <f>IFERROR(__xludf.DUMMYFUNCTION("""COMPUTED_VALUE"""),1555.0)</f>
        <v>1555</v>
      </c>
      <c r="F292" s="5">
        <f>IFERROR(__xludf.DUMMYFUNCTION("""COMPUTED_VALUE"""),1.91901E7)</f>
        <v>19190100</v>
      </c>
      <c r="G292" s="5">
        <f t="shared" si="1"/>
        <v>50</v>
      </c>
    </row>
    <row r="293">
      <c r="A293" s="4">
        <f>IFERROR(__xludf.DUMMYFUNCTION("""COMPUTED_VALUE"""),44271.625)</f>
        <v>44271.625</v>
      </c>
      <c r="B293" s="5">
        <f>IFERROR(__xludf.DUMMYFUNCTION("""COMPUTED_VALUE"""),1565.0)</f>
        <v>1565</v>
      </c>
      <c r="C293" s="5">
        <f>IFERROR(__xludf.DUMMYFUNCTION("""COMPUTED_VALUE"""),1585.0)</f>
        <v>1585</v>
      </c>
      <c r="D293" s="5">
        <f>IFERROR(__xludf.DUMMYFUNCTION("""COMPUTED_VALUE"""),1545.0)</f>
        <v>1545</v>
      </c>
      <c r="E293" s="5">
        <f>IFERROR(__xludf.DUMMYFUNCTION("""COMPUTED_VALUE"""),1555.0)</f>
        <v>1555</v>
      </c>
      <c r="F293" s="5">
        <f>IFERROR(__xludf.DUMMYFUNCTION("""COMPUTED_VALUE"""),2.29144E7)</f>
        <v>22914400</v>
      </c>
      <c r="G293" s="5">
        <f t="shared" si="1"/>
        <v>40</v>
      </c>
    </row>
    <row r="294">
      <c r="A294" s="4">
        <f>IFERROR(__xludf.DUMMYFUNCTION("""COMPUTED_VALUE"""),44272.625)</f>
        <v>44272.625</v>
      </c>
      <c r="B294" s="5">
        <f>IFERROR(__xludf.DUMMYFUNCTION("""COMPUTED_VALUE"""),1575.0)</f>
        <v>1575</v>
      </c>
      <c r="C294" s="5">
        <f>IFERROR(__xludf.DUMMYFUNCTION("""COMPUTED_VALUE"""),1655.0)</f>
        <v>1655</v>
      </c>
      <c r="D294" s="5">
        <f>IFERROR(__xludf.DUMMYFUNCTION("""COMPUTED_VALUE"""),1575.0)</f>
        <v>1575</v>
      </c>
      <c r="E294" s="5">
        <f>IFERROR(__xludf.DUMMYFUNCTION("""COMPUTED_VALUE"""),1630.0)</f>
        <v>1630</v>
      </c>
      <c r="F294" s="5">
        <f>IFERROR(__xludf.DUMMYFUNCTION("""COMPUTED_VALUE"""),8.88834E7)</f>
        <v>88883400</v>
      </c>
      <c r="G294" s="5">
        <f t="shared" si="1"/>
        <v>100</v>
      </c>
    </row>
    <row r="295">
      <c r="A295" s="4">
        <f>IFERROR(__xludf.DUMMYFUNCTION("""COMPUTED_VALUE"""),44273.625)</f>
        <v>44273.625</v>
      </c>
      <c r="B295" s="5">
        <f>IFERROR(__xludf.DUMMYFUNCTION("""COMPUTED_VALUE"""),1645.0)</f>
        <v>1645</v>
      </c>
      <c r="C295" s="5">
        <f>IFERROR(__xludf.DUMMYFUNCTION("""COMPUTED_VALUE"""),1650.0)</f>
        <v>1650</v>
      </c>
      <c r="D295" s="5">
        <f>IFERROR(__xludf.DUMMYFUNCTION("""COMPUTED_VALUE"""),1625.0)</f>
        <v>1625</v>
      </c>
      <c r="E295" s="5">
        <f>IFERROR(__xludf.DUMMYFUNCTION("""COMPUTED_VALUE"""),1635.0)</f>
        <v>1635</v>
      </c>
      <c r="F295" s="5">
        <f>IFERROR(__xludf.DUMMYFUNCTION("""COMPUTED_VALUE"""),4.35618E7)</f>
        <v>43561800</v>
      </c>
      <c r="G295" s="5">
        <f t="shared" si="1"/>
        <v>25</v>
      </c>
    </row>
    <row r="296">
      <c r="A296" s="4">
        <f>IFERROR(__xludf.DUMMYFUNCTION("""COMPUTED_VALUE"""),44274.625)</f>
        <v>44274.625</v>
      </c>
      <c r="B296" s="5">
        <f>IFERROR(__xludf.DUMMYFUNCTION("""COMPUTED_VALUE"""),1630.0)</f>
        <v>1630</v>
      </c>
      <c r="C296" s="5">
        <f>IFERROR(__xludf.DUMMYFUNCTION("""COMPUTED_VALUE"""),1635.0)</f>
        <v>1635</v>
      </c>
      <c r="D296" s="5">
        <f>IFERROR(__xludf.DUMMYFUNCTION("""COMPUTED_VALUE"""),1600.0)</f>
        <v>1600</v>
      </c>
      <c r="E296" s="5">
        <f>IFERROR(__xludf.DUMMYFUNCTION("""COMPUTED_VALUE"""),1610.0)</f>
        <v>1610</v>
      </c>
      <c r="F296" s="5">
        <f>IFERROR(__xludf.DUMMYFUNCTION("""COMPUTED_VALUE"""),1.4099E7)</f>
        <v>14099000</v>
      </c>
      <c r="G296" s="5">
        <f t="shared" si="1"/>
        <v>35</v>
      </c>
    </row>
    <row r="297">
      <c r="A297" s="4">
        <f>IFERROR(__xludf.DUMMYFUNCTION("""COMPUTED_VALUE"""),44277.625)</f>
        <v>44277.625</v>
      </c>
      <c r="B297" s="5">
        <f>IFERROR(__xludf.DUMMYFUNCTION("""COMPUTED_VALUE"""),1610.0)</f>
        <v>1610</v>
      </c>
      <c r="C297" s="5">
        <f>IFERROR(__xludf.DUMMYFUNCTION("""COMPUTED_VALUE"""),1615.0)</f>
        <v>1615</v>
      </c>
      <c r="D297" s="5">
        <f>IFERROR(__xludf.DUMMYFUNCTION("""COMPUTED_VALUE"""),1580.0)</f>
        <v>1580</v>
      </c>
      <c r="E297" s="5">
        <f>IFERROR(__xludf.DUMMYFUNCTION("""COMPUTED_VALUE"""),1585.0)</f>
        <v>1585</v>
      </c>
      <c r="F297" s="5">
        <f>IFERROR(__xludf.DUMMYFUNCTION("""COMPUTED_VALUE"""),1.2197E7)</f>
        <v>12197000</v>
      </c>
      <c r="G297" s="5">
        <f t="shared" si="1"/>
        <v>35</v>
      </c>
    </row>
    <row r="298">
      <c r="A298" s="4">
        <f>IFERROR(__xludf.DUMMYFUNCTION("""COMPUTED_VALUE"""),44278.625)</f>
        <v>44278.625</v>
      </c>
      <c r="B298" s="5">
        <f>IFERROR(__xludf.DUMMYFUNCTION("""COMPUTED_VALUE"""),1585.0)</f>
        <v>1585</v>
      </c>
      <c r="C298" s="5">
        <f>IFERROR(__xludf.DUMMYFUNCTION("""COMPUTED_VALUE"""),1600.0)</f>
        <v>1600</v>
      </c>
      <c r="D298" s="5">
        <f>IFERROR(__xludf.DUMMYFUNCTION("""COMPUTED_VALUE"""),1505.0)</f>
        <v>1505</v>
      </c>
      <c r="E298" s="5">
        <f>IFERROR(__xludf.DUMMYFUNCTION("""COMPUTED_VALUE"""),1525.0)</f>
        <v>1525</v>
      </c>
      <c r="F298" s="5">
        <f>IFERROR(__xludf.DUMMYFUNCTION("""COMPUTED_VALUE"""),3.14709E7)</f>
        <v>31470900</v>
      </c>
      <c r="G298" s="5">
        <f t="shared" si="1"/>
        <v>95</v>
      </c>
    </row>
    <row r="299">
      <c r="A299" s="4">
        <f>IFERROR(__xludf.DUMMYFUNCTION("""COMPUTED_VALUE"""),44279.625)</f>
        <v>44279.625</v>
      </c>
      <c r="B299" s="5">
        <f>IFERROR(__xludf.DUMMYFUNCTION("""COMPUTED_VALUE"""),1525.0)</f>
        <v>1525</v>
      </c>
      <c r="C299" s="5">
        <f>IFERROR(__xludf.DUMMYFUNCTION("""COMPUTED_VALUE"""),1570.0)</f>
        <v>1570</v>
      </c>
      <c r="D299" s="5">
        <f>IFERROR(__xludf.DUMMYFUNCTION("""COMPUTED_VALUE"""),1500.0)</f>
        <v>1500</v>
      </c>
      <c r="E299" s="5">
        <f>IFERROR(__xludf.DUMMYFUNCTION("""COMPUTED_VALUE"""),1510.0)</f>
        <v>1510</v>
      </c>
      <c r="F299" s="5">
        <f>IFERROR(__xludf.DUMMYFUNCTION("""COMPUTED_VALUE"""),3.38046E7)</f>
        <v>33804600</v>
      </c>
      <c r="G299" s="5">
        <f t="shared" si="1"/>
        <v>70</v>
      </c>
    </row>
    <row r="300">
      <c r="A300" s="4">
        <f>IFERROR(__xludf.DUMMYFUNCTION("""COMPUTED_VALUE"""),44280.625)</f>
        <v>44280.625</v>
      </c>
      <c r="B300" s="5">
        <f>IFERROR(__xludf.DUMMYFUNCTION("""COMPUTED_VALUE"""),1510.0)</f>
        <v>1510</v>
      </c>
      <c r="C300" s="5">
        <f>IFERROR(__xludf.DUMMYFUNCTION("""COMPUTED_VALUE"""),1520.0)</f>
        <v>1520</v>
      </c>
      <c r="D300" s="5">
        <f>IFERROR(__xludf.DUMMYFUNCTION("""COMPUTED_VALUE"""),1450.0)</f>
        <v>1450</v>
      </c>
      <c r="E300" s="5">
        <f>IFERROR(__xludf.DUMMYFUNCTION("""COMPUTED_VALUE"""),1480.0)</f>
        <v>1480</v>
      </c>
      <c r="F300" s="5">
        <f>IFERROR(__xludf.DUMMYFUNCTION("""COMPUTED_VALUE"""),3.67461E7)</f>
        <v>36746100</v>
      </c>
      <c r="G300" s="5">
        <f t="shared" si="1"/>
        <v>70</v>
      </c>
    </row>
    <row r="301">
      <c r="A301" s="4">
        <f>IFERROR(__xludf.DUMMYFUNCTION("""COMPUTED_VALUE"""),44281.625)</f>
        <v>44281.625</v>
      </c>
      <c r="B301" s="5">
        <f>IFERROR(__xludf.DUMMYFUNCTION("""COMPUTED_VALUE"""),1490.0)</f>
        <v>1490</v>
      </c>
      <c r="C301" s="5">
        <f>IFERROR(__xludf.DUMMYFUNCTION("""COMPUTED_VALUE"""),1510.0)</f>
        <v>1510</v>
      </c>
      <c r="D301" s="5">
        <f>IFERROR(__xludf.DUMMYFUNCTION("""COMPUTED_VALUE"""),1460.0)</f>
        <v>1460</v>
      </c>
      <c r="E301" s="5">
        <f>IFERROR(__xludf.DUMMYFUNCTION("""COMPUTED_VALUE"""),1495.0)</f>
        <v>1495</v>
      </c>
      <c r="F301" s="5">
        <f>IFERROR(__xludf.DUMMYFUNCTION("""COMPUTED_VALUE"""),2.11966E7)</f>
        <v>21196600</v>
      </c>
      <c r="G301" s="5">
        <f t="shared" si="1"/>
        <v>50</v>
      </c>
    </row>
    <row r="302">
      <c r="A302" s="4">
        <f>IFERROR(__xludf.DUMMYFUNCTION("""COMPUTED_VALUE"""),44284.625)</f>
        <v>44284.625</v>
      </c>
      <c r="B302" s="5">
        <f>IFERROR(__xludf.DUMMYFUNCTION("""COMPUTED_VALUE"""),1500.0)</f>
        <v>1500</v>
      </c>
      <c r="C302" s="5">
        <f>IFERROR(__xludf.DUMMYFUNCTION("""COMPUTED_VALUE"""),1510.0)</f>
        <v>1510</v>
      </c>
      <c r="D302" s="5">
        <f>IFERROR(__xludf.DUMMYFUNCTION("""COMPUTED_VALUE"""),1460.0)</f>
        <v>1460</v>
      </c>
      <c r="E302" s="5">
        <f>IFERROR(__xludf.DUMMYFUNCTION("""COMPUTED_VALUE"""),1475.0)</f>
        <v>1475</v>
      </c>
      <c r="F302" s="5">
        <f>IFERROR(__xludf.DUMMYFUNCTION("""COMPUTED_VALUE"""),1.45231E7)</f>
        <v>14523100</v>
      </c>
      <c r="G302" s="5">
        <f t="shared" si="1"/>
        <v>50</v>
      </c>
    </row>
    <row r="303">
      <c r="A303" s="4">
        <f>IFERROR(__xludf.DUMMYFUNCTION("""COMPUTED_VALUE"""),44285.625)</f>
        <v>44285.625</v>
      </c>
      <c r="B303" s="5">
        <f>IFERROR(__xludf.DUMMYFUNCTION("""COMPUTED_VALUE"""),1475.0)</f>
        <v>1475</v>
      </c>
      <c r="C303" s="5">
        <f>IFERROR(__xludf.DUMMYFUNCTION("""COMPUTED_VALUE"""),1475.0)</f>
        <v>1475</v>
      </c>
      <c r="D303" s="5">
        <f>IFERROR(__xludf.DUMMYFUNCTION("""COMPUTED_VALUE"""),1375.0)</f>
        <v>1375</v>
      </c>
      <c r="E303" s="5">
        <f>IFERROR(__xludf.DUMMYFUNCTION("""COMPUTED_VALUE"""),1375.0)</f>
        <v>1375</v>
      </c>
      <c r="F303" s="5">
        <f>IFERROR(__xludf.DUMMYFUNCTION("""COMPUTED_VALUE"""),7.48186E7)</f>
        <v>74818600</v>
      </c>
      <c r="G303" s="5">
        <f t="shared" si="1"/>
        <v>100</v>
      </c>
    </row>
    <row r="304">
      <c r="A304" s="4">
        <f>IFERROR(__xludf.DUMMYFUNCTION("""COMPUTED_VALUE"""),44286.625)</f>
        <v>44286.625</v>
      </c>
      <c r="B304" s="5">
        <f>IFERROR(__xludf.DUMMYFUNCTION("""COMPUTED_VALUE"""),1370.0)</f>
        <v>1370</v>
      </c>
      <c r="C304" s="5">
        <f>IFERROR(__xludf.DUMMYFUNCTION("""COMPUTED_VALUE"""),1415.0)</f>
        <v>1415</v>
      </c>
      <c r="D304" s="5">
        <f>IFERROR(__xludf.DUMMYFUNCTION("""COMPUTED_VALUE"""),1315.0)</f>
        <v>1315</v>
      </c>
      <c r="E304" s="5">
        <f>IFERROR(__xludf.DUMMYFUNCTION("""COMPUTED_VALUE"""),1370.0)</f>
        <v>1370</v>
      </c>
      <c r="F304" s="5">
        <f>IFERROR(__xludf.DUMMYFUNCTION("""COMPUTED_VALUE"""),5.87735E7)</f>
        <v>58773500</v>
      </c>
      <c r="G304" s="5">
        <f t="shared" si="1"/>
        <v>100</v>
      </c>
    </row>
    <row r="305">
      <c r="A305" s="4">
        <f>IFERROR(__xludf.DUMMYFUNCTION("""COMPUTED_VALUE"""),44287.625)</f>
        <v>44287.625</v>
      </c>
      <c r="B305" s="5">
        <f>IFERROR(__xludf.DUMMYFUNCTION("""COMPUTED_VALUE"""),1400.0)</f>
        <v>1400</v>
      </c>
      <c r="C305" s="5">
        <f>IFERROR(__xludf.DUMMYFUNCTION("""COMPUTED_VALUE"""),1400.0)</f>
        <v>1400</v>
      </c>
      <c r="D305" s="5">
        <f>IFERROR(__xludf.DUMMYFUNCTION("""COMPUTED_VALUE"""),1355.0)</f>
        <v>1355</v>
      </c>
      <c r="E305" s="5">
        <f>IFERROR(__xludf.DUMMYFUNCTION("""COMPUTED_VALUE"""),1375.0)</f>
        <v>1375</v>
      </c>
      <c r="F305" s="5">
        <f>IFERROR(__xludf.DUMMYFUNCTION("""COMPUTED_VALUE"""),2.37722E7)</f>
        <v>23772200</v>
      </c>
      <c r="G305" s="5">
        <f t="shared" si="1"/>
        <v>45</v>
      </c>
    </row>
    <row r="306">
      <c r="A306" s="4">
        <f>IFERROR(__xludf.DUMMYFUNCTION("""COMPUTED_VALUE"""),44291.625)</f>
        <v>44291.625</v>
      </c>
      <c r="B306" s="5">
        <f>IFERROR(__xludf.DUMMYFUNCTION("""COMPUTED_VALUE"""),1380.0)</f>
        <v>1380</v>
      </c>
      <c r="C306" s="5">
        <f>IFERROR(__xludf.DUMMYFUNCTION("""COMPUTED_VALUE"""),1385.0)</f>
        <v>1385</v>
      </c>
      <c r="D306" s="5">
        <f>IFERROR(__xludf.DUMMYFUNCTION("""COMPUTED_VALUE"""),1280.0)</f>
        <v>1280</v>
      </c>
      <c r="E306" s="5">
        <f>IFERROR(__xludf.DUMMYFUNCTION("""COMPUTED_VALUE"""),1280.0)</f>
        <v>1280</v>
      </c>
      <c r="F306" s="5">
        <f>IFERROR(__xludf.DUMMYFUNCTION("""COMPUTED_VALUE"""),4.06307E7)</f>
        <v>40630700</v>
      </c>
      <c r="G306" s="5">
        <f t="shared" si="1"/>
        <v>105</v>
      </c>
    </row>
    <row r="307">
      <c r="A307" s="4">
        <f>IFERROR(__xludf.DUMMYFUNCTION("""COMPUTED_VALUE"""),44292.625)</f>
        <v>44292.625</v>
      </c>
      <c r="B307" s="5">
        <f>IFERROR(__xludf.DUMMYFUNCTION("""COMPUTED_VALUE"""),1260.0)</f>
        <v>1260</v>
      </c>
      <c r="C307" s="5">
        <f>IFERROR(__xludf.DUMMYFUNCTION("""COMPUTED_VALUE"""),1340.0)</f>
        <v>1340</v>
      </c>
      <c r="D307" s="5">
        <f>IFERROR(__xludf.DUMMYFUNCTION("""COMPUTED_VALUE"""),1200.0)</f>
        <v>1200</v>
      </c>
      <c r="E307" s="5">
        <f>IFERROR(__xludf.DUMMYFUNCTION("""COMPUTED_VALUE"""),1335.0)</f>
        <v>1335</v>
      </c>
      <c r="F307" s="5">
        <f>IFERROR(__xludf.DUMMYFUNCTION("""COMPUTED_VALUE"""),6.33667E7)</f>
        <v>63366700</v>
      </c>
      <c r="G307" s="5">
        <f t="shared" si="1"/>
        <v>140</v>
      </c>
    </row>
    <row r="308">
      <c r="A308" s="4">
        <f>IFERROR(__xludf.DUMMYFUNCTION("""COMPUTED_VALUE"""),44293.625)</f>
        <v>44293.625</v>
      </c>
      <c r="B308" s="5">
        <f>IFERROR(__xludf.DUMMYFUNCTION("""COMPUTED_VALUE"""),1325.0)</f>
        <v>1325</v>
      </c>
      <c r="C308" s="5">
        <f>IFERROR(__xludf.DUMMYFUNCTION("""COMPUTED_VALUE"""),1325.0)</f>
        <v>1325</v>
      </c>
      <c r="D308" s="5">
        <f>IFERROR(__xludf.DUMMYFUNCTION("""COMPUTED_VALUE"""),1255.0)</f>
        <v>1255</v>
      </c>
      <c r="E308" s="5">
        <f>IFERROR(__xludf.DUMMYFUNCTION("""COMPUTED_VALUE"""),1280.0)</f>
        <v>1280</v>
      </c>
      <c r="F308" s="5">
        <f>IFERROR(__xludf.DUMMYFUNCTION("""COMPUTED_VALUE"""),4.07081E7)</f>
        <v>40708100</v>
      </c>
      <c r="G308" s="5">
        <f t="shared" si="1"/>
        <v>80</v>
      </c>
    </row>
    <row r="309">
      <c r="A309" s="4">
        <f>IFERROR(__xludf.DUMMYFUNCTION("""COMPUTED_VALUE"""),44294.625)</f>
        <v>44294.625</v>
      </c>
      <c r="B309" s="5">
        <f>IFERROR(__xludf.DUMMYFUNCTION("""COMPUTED_VALUE"""),1280.0)</f>
        <v>1280</v>
      </c>
      <c r="C309" s="5">
        <f>IFERROR(__xludf.DUMMYFUNCTION("""COMPUTED_VALUE"""),1320.0)</f>
        <v>1320</v>
      </c>
      <c r="D309" s="5">
        <f>IFERROR(__xludf.DUMMYFUNCTION("""COMPUTED_VALUE"""),1250.0)</f>
        <v>1250</v>
      </c>
      <c r="E309" s="5">
        <f>IFERROR(__xludf.DUMMYFUNCTION("""COMPUTED_VALUE"""),1310.0)</f>
        <v>1310</v>
      </c>
      <c r="F309" s="5">
        <f>IFERROR(__xludf.DUMMYFUNCTION("""COMPUTED_VALUE"""),2.8898E7)</f>
        <v>28898000</v>
      </c>
      <c r="G309" s="5">
        <f t="shared" si="1"/>
        <v>70</v>
      </c>
    </row>
    <row r="310">
      <c r="A310" s="4">
        <f>IFERROR(__xludf.DUMMYFUNCTION("""COMPUTED_VALUE"""),44295.625)</f>
        <v>44295.625</v>
      </c>
      <c r="B310" s="5">
        <f>IFERROR(__xludf.DUMMYFUNCTION("""COMPUTED_VALUE"""),1310.0)</f>
        <v>1310</v>
      </c>
      <c r="C310" s="5">
        <f>IFERROR(__xludf.DUMMYFUNCTION("""COMPUTED_VALUE"""),1380.0)</f>
        <v>1380</v>
      </c>
      <c r="D310" s="5">
        <f>IFERROR(__xludf.DUMMYFUNCTION("""COMPUTED_VALUE"""),1305.0)</f>
        <v>1305</v>
      </c>
      <c r="E310" s="5">
        <f>IFERROR(__xludf.DUMMYFUNCTION("""COMPUTED_VALUE"""),1320.0)</f>
        <v>1320</v>
      </c>
      <c r="F310" s="5">
        <f>IFERROR(__xludf.DUMMYFUNCTION("""COMPUTED_VALUE"""),2.92507E7)</f>
        <v>29250700</v>
      </c>
      <c r="G310" s="5">
        <f t="shared" si="1"/>
        <v>75</v>
      </c>
    </row>
    <row r="311">
      <c r="A311" s="4">
        <f>IFERROR(__xludf.DUMMYFUNCTION("""COMPUTED_VALUE"""),44298.625)</f>
        <v>44298.625</v>
      </c>
      <c r="B311" s="5">
        <f>IFERROR(__xludf.DUMMYFUNCTION("""COMPUTED_VALUE"""),1320.0)</f>
        <v>1320</v>
      </c>
      <c r="C311" s="5">
        <f>IFERROR(__xludf.DUMMYFUNCTION("""COMPUTED_VALUE"""),1325.0)</f>
        <v>1325</v>
      </c>
      <c r="D311" s="5">
        <f>IFERROR(__xludf.DUMMYFUNCTION("""COMPUTED_VALUE"""),1230.0)</f>
        <v>1230</v>
      </c>
      <c r="E311" s="5">
        <f>IFERROR(__xludf.DUMMYFUNCTION("""COMPUTED_VALUE"""),1230.0)</f>
        <v>1230</v>
      </c>
      <c r="F311" s="5">
        <f>IFERROR(__xludf.DUMMYFUNCTION("""COMPUTED_VALUE"""),3.57198E7)</f>
        <v>35719800</v>
      </c>
      <c r="G311" s="5">
        <f t="shared" si="1"/>
        <v>95</v>
      </c>
    </row>
    <row r="312">
      <c r="A312" s="4">
        <f>IFERROR(__xludf.DUMMYFUNCTION("""COMPUTED_VALUE"""),44299.625)</f>
        <v>44299.625</v>
      </c>
      <c r="B312" s="5">
        <f>IFERROR(__xludf.DUMMYFUNCTION("""COMPUTED_VALUE"""),1230.0)</f>
        <v>1230</v>
      </c>
      <c r="C312" s="5">
        <f>IFERROR(__xludf.DUMMYFUNCTION("""COMPUTED_VALUE"""),1240.0)</f>
        <v>1240</v>
      </c>
      <c r="D312" s="5">
        <f>IFERROR(__xludf.DUMMYFUNCTION("""COMPUTED_VALUE"""),1175.0)</f>
        <v>1175</v>
      </c>
      <c r="E312" s="5">
        <f>IFERROR(__xludf.DUMMYFUNCTION("""COMPUTED_VALUE"""),1230.0)</f>
        <v>1230</v>
      </c>
      <c r="F312" s="5">
        <f>IFERROR(__xludf.DUMMYFUNCTION("""COMPUTED_VALUE"""),5.73571E7)</f>
        <v>57357100</v>
      </c>
      <c r="G312" s="5">
        <f t="shared" si="1"/>
        <v>65</v>
      </c>
    </row>
    <row r="313">
      <c r="A313" s="4">
        <f>IFERROR(__xludf.DUMMYFUNCTION("""COMPUTED_VALUE"""),44300.625)</f>
        <v>44300.625</v>
      </c>
      <c r="B313" s="5">
        <f>IFERROR(__xludf.DUMMYFUNCTION("""COMPUTED_VALUE"""),1245.0)</f>
        <v>1245</v>
      </c>
      <c r="C313" s="5">
        <f>IFERROR(__xludf.DUMMYFUNCTION("""COMPUTED_VALUE"""),1265.0)</f>
        <v>1265</v>
      </c>
      <c r="D313" s="5">
        <f>IFERROR(__xludf.DUMMYFUNCTION("""COMPUTED_VALUE"""),1225.0)</f>
        <v>1225</v>
      </c>
      <c r="E313" s="5">
        <f>IFERROR(__xludf.DUMMYFUNCTION("""COMPUTED_VALUE"""),1255.0)</f>
        <v>1255</v>
      </c>
      <c r="F313" s="5">
        <f>IFERROR(__xludf.DUMMYFUNCTION("""COMPUTED_VALUE"""),3.79954E7)</f>
        <v>37995400</v>
      </c>
      <c r="G313" s="5">
        <f t="shared" si="1"/>
        <v>40</v>
      </c>
    </row>
    <row r="314">
      <c r="A314" s="4">
        <f>IFERROR(__xludf.DUMMYFUNCTION("""COMPUTED_VALUE"""),44301.625)</f>
        <v>44301.625</v>
      </c>
      <c r="B314" s="5">
        <f>IFERROR(__xludf.DUMMYFUNCTION("""COMPUTED_VALUE"""),1250.0)</f>
        <v>1250</v>
      </c>
      <c r="C314" s="5">
        <f>IFERROR(__xludf.DUMMYFUNCTION("""COMPUTED_VALUE"""),1275.0)</f>
        <v>1275</v>
      </c>
      <c r="D314" s="5">
        <f>IFERROR(__xludf.DUMMYFUNCTION("""COMPUTED_VALUE"""),1225.0)</f>
        <v>1225</v>
      </c>
      <c r="E314" s="5">
        <f>IFERROR(__xludf.DUMMYFUNCTION("""COMPUTED_VALUE"""),1225.0)</f>
        <v>1225</v>
      </c>
      <c r="F314" s="5">
        <f>IFERROR(__xludf.DUMMYFUNCTION("""COMPUTED_VALUE"""),2.37312E7)</f>
        <v>23731200</v>
      </c>
      <c r="G314" s="5">
        <f t="shared" si="1"/>
        <v>50</v>
      </c>
    </row>
    <row r="315">
      <c r="A315" s="4">
        <f>IFERROR(__xludf.DUMMYFUNCTION("""COMPUTED_VALUE"""),44302.625)</f>
        <v>44302.625</v>
      </c>
      <c r="B315" s="5">
        <f>IFERROR(__xludf.DUMMYFUNCTION("""COMPUTED_VALUE"""),1240.0)</f>
        <v>1240</v>
      </c>
      <c r="C315" s="5">
        <f>IFERROR(__xludf.DUMMYFUNCTION("""COMPUTED_VALUE"""),1250.0)</f>
        <v>1250</v>
      </c>
      <c r="D315" s="5">
        <f>IFERROR(__xludf.DUMMYFUNCTION("""COMPUTED_VALUE"""),1210.0)</f>
        <v>1210</v>
      </c>
      <c r="E315" s="5">
        <f>IFERROR(__xludf.DUMMYFUNCTION("""COMPUTED_VALUE"""),1220.0)</f>
        <v>1220</v>
      </c>
      <c r="F315" s="5">
        <f>IFERROR(__xludf.DUMMYFUNCTION("""COMPUTED_VALUE"""),1.42399E7)</f>
        <v>14239900</v>
      </c>
      <c r="G315" s="5">
        <f t="shared" si="1"/>
        <v>40</v>
      </c>
    </row>
    <row r="316">
      <c r="A316" s="4">
        <f>IFERROR(__xludf.DUMMYFUNCTION("""COMPUTED_VALUE"""),44305.625)</f>
        <v>44305.625</v>
      </c>
      <c r="B316" s="5">
        <f>IFERROR(__xludf.DUMMYFUNCTION("""COMPUTED_VALUE"""),1225.0)</f>
        <v>1225</v>
      </c>
      <c r="C316" s="5">
        <f>IFERROR(__xludf.DUMMYFUNCTION("""COMPUTED_VALUE"""),1270.0)</f>
        <v>1270</v>
      </c>
      <c r="D316" s="5">
        <f>IFERROR(__xludf.DUMMYFUNCTION("""COMPUTED_VALUE"""),1220.0)</f>
        <v>1220</v>
      </c>
      <c r="E316" s="5">
        <f>IFERROR(__xludf.DUMMYFUNCTION("""COMPUTED_VALUE"""),1245.0)</f>
        <v>1245</v>
      </c>
      <c r="F316" s="5">
        <f>IFERROR(__xludf.DUMMYFUNCTION("""COMPUTED_VALUE"""),3.81519E7)</f>
        <v>38151900</v>
      </c>
      <c r="G316" s="5">
        <f t="shared" si="1"/>
        <v>50</v>
      </c>
    </row>
    <row r="317">
      <c r="A317" s="4">
        <f>IFERROR(__xludf.DUMMYFUNCTION("""COMPUTED_VALUE"""),44306.625)</f>
        <v>44306.625</v>
      </c>
      <c r="B317" s="5">
        <f>IFERROR(__xludf.DUMMYFUNCTION("""COMPUTED_VALUE"""),1245.0)</f>
        <v>1245</v>
      </c>
      <c r="C317" s="5">
        <f>IFERROR(__xludf.DUMMYFUNCTION("""COMPUTED_VALUE"""),1260.0)</f>
        <v>1260</v>
      </c>
      <c r="D317" s="5">
        <f>IFERROR(__xludf.DUMMYFUNCTION("""COMPUTED_VALUE"""),1220.0)</f>
        <v>1220</v>
      </c>
      <c r="E317" s="5">
        <f>IFERROR(__xludf.DUMMYFUNCTION("""COMPUTED_VALUE"""),1230.0)</f>
        <v>1230</v>
      </c>
      <c r="F317" s="5">
        <f>IFERROR(__xludf.DUMMYFUNCTION("""COMPUTED_VALUE"""),1.06849E7)</f>
        <v>10684900</v>
      </c>
      <c r="G317" s="5">
        <f t="shared" si="1"/>
        <v>40</v>
      </c>
    </row>
    <row r="318">
      <c r="A318" s="4">
        <f>IFERROR(__xludf.DUMMYFUNCTION("""COMPUTED_VALUE"""),44307.625)</f>
        <v>44307.625</v>
      </c>
      <c r="B318" s="5">
        <f>IFERROR(__xludf.DUMMYFUNCTION("""COMPUTED_VALUE"""),1220.0)</f>
        <v>1220</v>
      </c>
      <c r="C318" s="5">
        <f>IFERROR(__xludf.DUMMYFUNCTION("""COMPUTED_VALUE"""),1245.0)</f>
        <v>1245</v>
      </c>
      <c r="D318" s="5">
        <f>IFERROR(__xludf.DUMMYFUNCTION("""COMPUTED_VALUE"""),1205.0)</f>
        <v>1205</v>
      </c>
      <c r="E318" s="5">
        <f>IFERROR(__xludf.DUMMYFUNCTION("""COMPUTED_VALUE"""),1235.0)</f>
        <v>1235</v>
      </c>
      <c r="F318" s="5">
        <f>IFERROR(__xludf.DUMMYFUNCTION("""COMPUTED_VALUE"""),1.59386E7)</f>
        <v>15938600</v>
      </c>
      <c r="G318" s="5">
        <f t="shared" si="1"/>
        <v>40</v>
      </c>
    </row>
    <row r="319">
      <c r="A319" s="4">
        <f>IFERROR(__xludf.DUMMYFUNCTION("""COMPUTED_VALUE"""),44308.625)</f>
        <v>44308.625</v>
      </c>
      <c r="B319" s="5">
        <f>IFERROR(__xludf.DUMMYFUNCTION("""COMPUTED_VALUE"""),1245.0)</f>
        <v>1245</v>
      </c>
      <c r="C319" s="5">
        <f>IFERROR(__xludf.DUMMYFUNCTION("""COMPUTED_VALUE"""),1255.0)</f>
        <v>1255</v>
      </c>
      <c r="D319" s="5">
        <f>IFERROR(__xludf.DUMMYFUNCTION("""COMPUTED_VALUE"""),1220.0)</f>
        <v>1220</v>
      </c>
      <c r="E319" s="5">
        <f>IFERROR(__xludf.DUMMYFUNCTION("""COMPUTED_VALUE"""),1225.0)</f>
        <v>1225</v>
      </c>
      <c r="F319" s="5">
        <f>IFERROR(__xludf.DUMMYFUNCTION("""COMPUTED_VALUE"""),1.48781E7)</f>
        <v>14878100</v>
      </c>
      <c r="G319" s="5">
        <f t="shared" si="1"/>
        <v>35</v>
      </c>
    </row>
    <row r="320">
      <c r="A320" s="4">
        <f>IFERROR(__xludf.DUMMYFUNCTION("""COMPUTED_VALUE"""),44309.625)</f>
        <v>44309.625</v>
      </c>
      <c r="B320" s="5">
        <f>IFERROR(__xludf.DUMMYFUNCTION("""COMPUTED_VALUE"""),1215.0)</f>
        <v>1215</v>
      </c>
      <c r="C320" s="5">
        <f>IFERROR(__xludf.DUMMYFUNCTION("""COMPUTED_VALUE"""),1230.0)</f>
        <v>1230</v>
      </c>
      <c r="D320" s="5">
        <f>IFERROR(__xludf.DUMMYFUNCTION("""COMPUTED_VALUE"""),1205.0)</f>
        <v>1205</v>
      </c>
      <c r="E320" s="5">
        <f>IFERROR(__xludf.DUMMYFUNCTION("""COMPUTED_VALUE"""),1215.0)</f>
        <v>1215</v>
      </c>
      <c r="F320" s="5">
        <f>IFERROR(__xludf.DUMMYFUNCTION("""COMPUTED_VALUE"""),1.23619E7)</f>
        <v>12361900</v>
      </c>
      <c r="G320" s="5">
        <f t="shared" si="1"/>
        <v>25</v>
      </c>
    </row>
    <row r="321">
      <c r="A321" s="4">
        <f>IFERROR(__xludf.DUMMYFUNCTION("""COMPUTED_VALUE"""),44312.625)</f>
        <v>44312.625</v>
      </c>
      <c r="B321" s="5">
        <f>IFERROR(__xludf.DUMMYFUNCTION("""COMPUTED_VALUE"""),1220.0)</f>
        <v>1220</v>
      </c>
      <c r="C321" s="5">
        <f>IFERROR(__xludf.DUMMYFUNCTION("""COMPUTED_VALUE"""),1270.0)</f>
        <v>1270</v>
      </c>
      <c r="D321" s="5">
        <f>IFERROR(__xludf.DUMMYFUNCTION("""COMPUTED_VALUE"""),1220.0)</f>
        <v>1220</v>
      </c>
      <c r="E321" s="5">
        <f>IFERROR(__xludf.DUMMYFUNCTION("""COMPUTED_VALUE"""),1265.0)</f>
        <v>1265</v>
      </c>
      <c r="F321" s="5">
        <f>IFERROR(__xludf.DUMMYFUNCTION("""COMPUTED_VALUE"""),3.76411E7)</f>
        <v>37641100</v>
      </c>
      <c r="G321" s="5">
        <f t="shared" si="1"/>
        <v>55</v>
      </c>
    </row>
    <row r="322">
      <c r="A322" s="4">
        <f>IFERROR(__xludf.DUMMYFUNCTION("""COMPUTED_VALUE"""),44313.625)</f>
        <v>44313.625</v>
      </c>
      <c r="B322" s="5">
        <f>IFERROR(__xludf.DUMMYFUNCTION("""COMPUTED_VALUE"""),1270.0)</f>
        <v>1270</v>
      </c>
      <c r="C322" s="5">
        <f>IFERROR(__xludf.DUMMYFUNCTION("""COMPUTED_VALUE"""),1275.0)</f>
        <v>1275</v>
      </c>
      <c r="D322" s="5">
        <f>IFERROR(__xludf.DUMMYFUNCTION("""COMPUTED_VALUE"""),1235.0)</f>
        <v>1235</v>
      </c>
      <c r="E322" s="5">
        <f>IFERROR(__xludf.DUMMYFUNCTION("""COMPUTED_VALUE"""),1235.0)</f>
        <v>1235</v>
      </c>
      <c r="F322" s="5">
        <f>IFERROR(__xludf.DUMMYFUNCTION("""COMPUTED_VALUE"""),1.49127E7)</f>
        <v>14912700</v>
      </c>
      <c r="G322" s="5">
        <f t="shared" si="1"/>
        <v>40</v>
      </c>
    </row>
    <row r="323">
      <c r="A323" s="4">
        <f>IFERROR(__xludf.DUMMYFUNCTION("""COMPUTED_VALUE"""),44314.625)</f>
        <v>44314.625</v>
      </c>
      <c r="B323" s="5">
        <f>IFERROR(__xludf.DUMMYFUNCTION("""COMPUTED_VALUE"""),1235.0)</f>
        <v>1235</v>
      </c>
      <c r="C323" s="5">
        <f>IFERROR(__xludf.DUMMYFUNCTION("""COMPUTED_VALUE"""),1240.0)</f>
        <v>1240</v>
      </c>
      <c r="D323" s="5">
        <f>IFERROR(__xludf.DUMMYFUNCTION("""COMPUTED_VALUE"""),1215.0)</f>
        <v>1215</v>
      </c>
      <c r="E323" s="5">
        <f>IFERROR(__xludf.DUMMYFUNCTION("""COMPUTED_VALUE"""),1220.0)</f>
        <v>1220</v>
      </c>
      <c r="F323" s="5">
        <f>IFERROR(__xludf.DUMMYFUNCTION("""COMPUTED_VALUE"""),1.73553E7)</f>
        <v>17355300</v>
      </c>
      <c r="G323" s="5">
        <f t="shared" si="1"/>
        <v>25</v>
      </c>
    </row>
    <row r="324">
      <c r="A324" s="4">
        <f>IFERROR(__xludf.DUMMYFUNCTION("""COMPUTED_VALUE"""),44315.625)</f>
        <v>44315.625</v>
      </c>
      <c r="B324" s="5">
        <f>IFERROR(__xludf.DUMMYFUNCTION("""COMPUTED_VALUE"""),1220.0)</f>
        <v>1220</v>
      </c>
      <c r="C324" s="5">
        <f>IFERROR(__xludf.DUMMYFUNCTION("""COMPUTED_VALUE"""),1265.0)</f>
        <v>1265</v>
      </c>
      <c r="D324" s="5">
        <f>IFERROR(__xludf.DUMMYFUNCTION("""COMPUTED_VALUE"""),1220.0)</f>
        <v>1220</v>
      </c>
      <c r="E324" s="5">
        <f>IFERROR(__xludf.DUMMYFUNCTION("""COMPUTED_VALUE"""),1240.0)</f>
        <v>1240</v>
      </c>
      <c r="F324" s="5">
        <f>IFERROR(__xludf.DUMMYFUNCTION("""COMPUTED_VALUE"""),2.67869E7)</f>
        <v>26786900</v>
      </c>
      <c r="G324" s="5">
        <f t="shared" si="1"/>
        <v>45</v>
      </c>
    </row>
    <row r="325">
      <c r="A325" s="4">
        <f>IFERROR(__xludf.DUMMYFUNCTION("""COMPUTED_VALUE"""),44316.625)</f>
        <v>44316.625</v>
      </c>
      <c r="B325" s="5">
        <f>IFERROR(__xludf.DUMMYFUNCTION("""COMPUTED_VALUE"""),1250.0)</f>
        <v>1250</v>
      </c>
      <c r="C325" s="5">
        <f>IFERROR(__xludf.DUMMYFUNCTION("""COMPUTED_VALUE"""),1255.0)</f>
        <v>1255</v>
      </c>
      <c r="D325" s="5">
        <f>IFERROR(__xludf.DUMMYFUNCTION("""COMPUTED_VALUE"""),1220.0)</f>
        <v>1220</v>
      </c>
      <c r="E325" s="5">
        <f>IFERROR(__xludf.DUMMYFUNCTION("""COMPUTED_VALUE"""),1220.0)</f>
        <v>1220</v>
      </c>
      <c r="F325" s="5">
        <f>IFERROR(__xludf.DUMMYFUNCTION("""COMPUTED_VALUE"""),1.21634E7)</f>
        <v>12163400</v>
      </c>
      <c r="G325" s="5">
        <f t="shared" si="1"/>
        <v>35</v>
      </c>
    </row>
    <row r="326">
      <c r="A326" s="4">
        <f>IFERROR(__xludf.DUMMYFUNCTION("""COMPUTED_VALUE"""),44319.66666666667)</f>
        <v>44319.66667</v>
      </c>
      <c r="B326" s="5">
        <f>IFERROR(__xludf.DUMMYFUNCTION("""COMPUTED_VALUE"""),1225.0)</f>
        <v>1225</v>
      </c>
      <c r="C326" s="5">
        <f>IFERROR(__xludf.DUMMYFUNCTION("""COMPUTED_VALUE"""),1230.0)</f>
        <v>1230</v>
      </c>
      <c r="D326" s="5">
        <f>IFERROR(__xludf.DUMMYFUNCTION("""COMPUTED_VALUE"""),1195.0)</f>
        <v>1195</v>
      </c>
      <c r="E326" s="5">
        <f>IFERROR(__xludf.DUMMYFUNCTION("""COMPUTED_VALUE"""),1205.0)</f>
        <v>1205</v>
      </c>
      <c r="F326" s="5">
        <f>IFERROR(__xludf.DUMMYFUNCTION("""COMPUTED_VALUE"""),2.40696E7)</f>
        <v>24069600</v>
      </c>
      <c r="G326" s="5">
        <f t="shared" si="1"/>
        <v>35</v>
      </c>
    </row>
    <row r="327">
      <c r="A327" s="4">
        <f>IFERROR(__xludf.DUMMYFUNCTION("""COMPUTED_VALUE"""),44320.66666666667)</f>
        <v>44320.66667</v>
      </c>
      <c r="B327" s="5">
        <f>IFERROR(__xludf.DUMMYFUNCTION("""COMPUTED_VALUE"""),1210.0)</f>
        <v>1210</v>
      </c>
      <c r="C327" s="5">
        <f>IFERROR(__xludf.DUMMYFUNCTION("""COMPUTED_VALUE"""),1305.0)</f>
        <v>1305</v>
      </c>
      <c r="D327" s="5">
        <f>IFERROR(__xludf.DUMMYFUNCTION("""COMPUTED_VALUE"""),1205.0)</f>
        <v>1205</v>
      </c>
      <c r="E327" s="5">
        <f>IFERROR(__xludf.DUMMYFUNCTION("""COMPUTED_VALUE"""),1285.0)</f>
        <v>1285</v>
      </c>
      <c r="F327" s="5">
        <f>IFERROR(__xludf.DUMMYFUNCTION("""COMPUTED_VALUE"""),4.42428E7)</f>
        <v>44242800</v>
      </c>
      <c r="G327" s="5">
        <f t="shared" si="1"/>
        <v>100</v>
      </c>
    </row>
    <row r="328">
      <c r="A328" s="4">
        <f>IFERROR(__xludf.DUMMYFUNCTION("""COMPUTED_VALUE"""),44321.625)</f>
        <v>44321.625</v>
      </c>
      <c r="B328" s="5">
        <f>IFERROR(__xludf.DUMMYFUNCTION("""COMPUTED_VALUE"""),1285.0)</f>
        <v>1285</v>
      </c>
      <c r="C328" s="5">
        <f>IFERROR(__xludf.DUMMYFUNCTION("""COMPUTED_VALUE"""),1290.0)</f>
        <v>1290</v>
      </c>
      <c r="D328" s="5">
        <f>IFERROR(__xludf.DUMMYFUNCTION("""COMPUTED_VALUE"""),1260.0)</f>
        <v>1260</v>
      </c>
      <c r="E328" s="5">
        <f>IFERROR(__xludf.DUMMYFUNCTION("""COMPUTED_VALUE"""),1265.0)</f>
        <v>1265</v>
      </c>
      <c r="F328" s="5">
        <f>IFERROR(__xludf.DUMMYFUNCTION("""COMPUTED_VALUE"""),1.60617E7)</f>
        <v>16061700</v>
      </c>
      <c r="G328" s="5">
        <f t="shared" si="1"/>
        <v>30</v>
      </c>
    </row>
    <row r="329">
      <c r="A329" s="4">
        <f>IFERROR(__xludf.DUMMYFUNCTION("""COMPUTED_VALUE"""),44322.625)</f>
        <v>44322.625</v>
      </c>
      <c r="B329" s="5">
        <f>IFERROR(__xludf.DUMMYFUNCTION("""COMPUTED_VALUE"""),1275.0)</f>
        <v>1275</v>
      </c>
      <c r="C329" s="5">
        <f>IFERROR(__xludf.DUMMYFUNCTION("""COMPUTED_VALUE"""),1315.0)</f>
        <v>1315</v>
      </c>
      <c r="D329" s="5">
        <f>IFERROR(__xludf.DUMMYFUNCTION("""COMPUTED_VALUE"""),1270.0)</f>
        <v>1270</v>
      </c>
      <c r="E329" s="5">
        <f>IFERROR(__xludf.DUMMYFUNCTION("""COMPUTED_VALUE"""),1290.0)</f>
        <v>1290</v>
      </c>
      <c r="F329" s="5">
        <f>IFERROR(__xludf.DUMMYFUNCTION("""COMPUTED_VALUE"""),3.49091E7)</f>
        <v>34909100</v>
      </c>
      <c r="G329" s="5">
        <f t="shared" si="1"/>
        <v>50</v>
      </c>
    </row>
    <row r="330">
      <c r="A330" s="4">
        <f>IFERROR(__xludf.DUMMYFUNCTION("""COMPUTED_VALUE"""),44323.625)</f>
        <v>44323.625</v>
      </c>
      <c r="B330" s="5">
        <f>IFERROR(__xludf.DUMMYFUNCTION("""COMPUTED_VALUE"""),1300.0)</f>
        <v>1300</v>
      </c>
      <c r="C330" s="5">
        <f>IFERROR(__xludf.DUMMYFUNCTION("""COMPUTED_VALUE"""),1305.0)</f>
        <v>1305</v>
      </c>
      <c r="D330" s="5">
        <f>IFERROR(__xludf.DUMMYFUNCTION("""COMPUTED_VALUE"""),1255.0)</f>
        <v>1255</v>
      </c>
      <c r="E330" s="5">
        <f>IFERROR(__xludf.DUMMYFUNCTION("""COMPUTED_VALUE"""),1255.0)</f>
        <v>1255</v>
      </c>
      <c r="F330" s="5">
        <f>IFERROR(__xludf.DUMMYFUNCTION("""COMPUTED_VALUE"""),1.68502E7)</f>
        <v>16850200</v>
      </c>
      <c r="G330" s="5">
        <f t="shared" si="1"/>
        <v>50</v>
      </c>
    </row>
    <row r="331">
      <c r="A331" s="4">
        <f>IFERROR(__xludf.DUMMYFUNCTION("""COMPUTED_VALUE"""),44326.66666666667)</f>
        <v>44326.66667</v>
      </c>
      <c r="B331" s="5">
        <f>IFERROR(__xludf.DUMMYFUNCTION("""COMPUTED_VALUE"""),1265.0)</f>
        <v>1265</v>
      </c>
      <c r="C331" s="5">
        <f>IFERROR(__xludf.DUMMYFUNCTION("""COMPUTED_VALUE"""),1305.0)</f>
        <v>1305</v>
      </c>
      <c r="D331" s="5">
        <f>IFERROR(__xludf.DUMMYFUNCTION("""COMPUTED_VALUE"""),1240.0)</f>
        <v>1240</v>
      </c>
      <c r="E331" s="5">
        <f>IFERROR(__xludf.DUMMYFUNCTION("""COMPUTED_VALUE"""),1290.0)</f>
        <v>1290</v>
      </c>
      <c r="F331" s="5">
        <f>IFERROR(__xludf.DUMMYFUNCTION("""COMPUTED_VALUE"""),2.18533E7)</f>
        <v>21853300</v>
      </c>
      <c r="G331" s="5">
        <f t="shared" si="1"/>
        <v>65</v>
      </c>
    </row>
    <row r="332">
      <c r="A332" s="4">
        <f>IFERROR(__xludf.DUMMYFUNCTION("""COMPUTED_VALUE"""),44327.66666666667)</f>
        <v>44327.66667</v>
      </c>
      <c r="B332" s="5">
        <f>IFERROR(__xludf.DUMMYFUNCTION("""COMPUTED_VALUE"""),1275.0)</f>
        <v>1275</v>
      </c>
      <c r="C332" s="5">
        <f>IFERROR(__xludf.DUMMYFUNCTION("""COMPUTED_VALUE"""),1285.0)</f>
        <v>1285</v>
      </c>
      <c r="D332" s="5">
        <f>IFERROR(__xludf.DUMMYFUNCTION("""COMPUTED_VALUE"""),1260.0)</f>
        <v>1260</v>
      </c>
      <c r="E332" s="5">
        <f>IFERROR(__xludf.DUMMYFUNCTION("""COMPUTED_VALUE"""),1265.0)</f>
        <v>1265</v>
      </c>
      <c r="F332" s="5">
        <f>IFERROR(__xludf.DUMMYFUNCTION("""COMPUTED_VALUE"""),1.42148E7)</f>
        <v>14214800</v>
      </c>
      <c r="G332" s="5">
        <f t="shared" si="1"/>
        <v>30</v>
      </c>
    </row>
    <row r="333">
      <c r="A333" s="4">
        <f>IFERROR(__xludf.DUMMYFUNCTION("""COMPUTED_VALUE"""),44333.625)</f>
        <v>44333.625</v>
      </c>
      <c r="B333" s="5">
        <f>IFERROR(__xludf.DUMMYFUNCTION("""COMPUTED_VALUE"""),1265.0)</f>
        <v>1265</v>
      </c>
      <c r="C333" s="5">
        <f>IFERROR(__xludf.DUMMYFUNCTION("""COMPUTED_VALUE"""),1270.0)</f>
        <v>1270</v>
      </c>
      <c r="D333" s="5">
        <f>IFERROR(__xludf.DUMMYFUNCTION("""COMPUTED_VALUE"""),1180.0)</f>
        <v>1180</v>
      </c>
      <c r="E333" s="5">
        <f>IFERROR(__xludf.DUMMYFUNCTION("""COMPUTED_VALUE"""),1180.0)</f>
        <v>1180</v>
      </c>
      <c r="F333" s="5">
        <f>IFERROR(__xludf.DUMMYFUNCTION("""COMPUTED_VALUE"""),4.67163E7)</f>
        <v>46716300</v>
      </c>
      <c r="G333" s="5">
        <f t="shared" si="1"/>
        <v>90</v>
      </c>
    </row>
    <row r="334">
      <c r="A334" s="4">
        <f>IFERROR(__xludf.DUMMYFUNCTION("""COMPUTED_VALUE"""),44334.625)</f>
        <v>44334.625</v>
      </c>
      <c r="B334" s="5">
        <f>IFERROR(__xludf.DUMMYFUNCTION("""COMPUTED_VALUE"""),1185.0)</f>
        <v>1185</v>
      </c>
      <c r="C334" s="5">
        <f>IFERROR(__xludf.DUMMYFUNCTION("""COMPUTED_VALUE"""),1195.0)</f>
        <v>1195</v>
      </c>
      <c r="D334" s="5">
        <f>IFERROR(__xludf.DUMMYFUNCTION("""COMPUTED_VALUE"""),1130.0)</f>
        <v>1130</v>
      </c>
      <c r="E334" s="5">
        <f>IFERROR(__xludf.DUMMYFUNCTION("""COMPUTED_VALUE"""),1175.0)</f>
        <v>1175</v>
      </c>
      <c r="F334" s="5">
        <f>IFERROR(__xludf.DUMMYFUNCTION("""COMPUTED_VALUE"""),2.8953E7)</f>
        <v>28953000</v>
      </c>
      <c r="G334" s="5">
        <f t="shared" si="1"/>
        <v>65</v>
      </c>
    </row>
    <row r="335">
      <c r="A335" s="4">
        <f>IFERROR(__xludf.DUMMYFUNCTION("""COMPUTED_VALUE"""),44335.625)</f>
        <v>44335.625</v>
      </c>
      <c r="B335" s="5">
        <f>IFERROR(__xludf.DUMMYFUNCTION("""COMPUTED_VALUE"""),1175.0)</f>
        <v>1175</v>
      </c>
      <c r="C335" s="5">
        <f>IFERROR(__xludf.DUMMYFUNCTION("""COMPUTED_VALUE"""),1180.0)</f>
        <v>1180</v>
      </c>
      <c r="D335" s="5">
        <f>IFERROR(__xludf.DUMMYFUNCTION("""COMPUTED_VALUE"""),1125.0)</f>
        <v>1125</v>
      </c>
      <c r="E335" s="5">
        <f>IFERROR(__xludf.DUMMYFUNCTION("""COMPUTED_VALUE"""),1135.0)</f>
        <v>1135</v>
      </c>
      <c r="F335" s="5">
        <f>IFERROR(__xludf.DUMMYFUNCTION("""COMPUTED_VALUE"""),1.67756E7)</f>
        <v>16775600</v>
      </c>
      <c r="G335" s="5">
        <f t="shared" si="1"/>
        <v>55</v>
      </c>
    </row>
    <row r="336">
      <c r="A336" s="4">
        <f>IFERROR(__xludf.DUMMYFUNCTION("""COMPUTED_VALUE"""),44336.625)</f>
        <v>44336.625</v>
      </c>
      <c r="B336" s="5">
        <f>IFERROR(__xludf.DUMMYFUNCTION("""COMPUTED_VALUE"""),1130.0)</f>
        <v>1130</v>
      </c>
      <c r="C336" s="5">
        <f>IFERROR(__xludf.DUMMYFUNCTION("""COMPUTED_VALUE"""),1145.0)</f>
        <v>1145</v>
      </c>
      <c r="D336" s="5">
        <f>IFERROR(__xludf.DUMMYFUNCTION("""COMPUTED_VALUE"""),1105.0)</f>
        <v>1105</v>
      </c>
      <c r="E336" s="5">
        <f>IFERROR(__xludf.DUMMYFUNCTION("""COMPUTED_VALUE"""),1115.0)</f>
        <v>1115</v>
      </c>
      <c r="F336" s="5">
        <f>IFERROR(__xludf.DUMMYFUNCTION("""COMPUTED_VALUE"""),2.34734E7)</f>
        <v>23473400</v>
      </c>
      <c r="G336" s="5">
        <f t="shared" si="1"/>
        <v>40</v>
      </c>
    </row>
    <row r="337">
      <c r="A337" s="4">
        <f>IFERROR(__xludf.DUMMYFUNCTION("""COMPUTED_VALUE"""),44337.625)</f>
        <v>44337.625</v>
      </c>
      <c r="B337" s="5">
        <f>IFERROR(__xludf.DUMMYFUNCTION("""COMPUTED_VALUE"""),1120.0)</f>
        <v>1120</v>
      </c>
      <c r="C337" s="5">
        <f>IFERROR(__xludf.DUMMYFUNCTION("""COMPUTED_VALUE"""),1130.0)</f>
        <v>1130</v>
      </c>
      <c r="D337" s="5">
        <f>IFERROR(__xludf.DUMMYFUNCTION("""COMPUTED_VALUE"""),1055.0)</f>
        <v>1055</v>
      </c>
      <c r="E337" s="5">
        <f>IFERROR(__xludf.DUMMYFUNCTION("""COMPUTED_VALUE"""),1080.0)</f>
        <v>1080</v>
      </c>
      <c r="F337" s="5">
        <f>IFERROR(__xludf.DUMMYFUNCTION("""COMPUTED_VALUE"""),3.2789E7)</f>
        <v>32789000</v>
      </c>
      <c r="G337" s="5">
        <f t="shared" si="1"/>
        <v>75</v>
      </c>
    </row>
    <row r="338">
      <c r="A338" s="4">
        <f>IFERROR(__xludf.DUMMYFUNCTION("""COMPUTED_VALUE"""),44340.625)</f>
        <v>44340.625</v>
      </c>
      <c r="B338" s="5">
        <f>IFERROR(__xludf.DUMMYFUNCTION("""COMPUTED_VALUE"""),1085.0)</f>
        <v>1085</v>
      </c>
      <c r="C338" s="5">
        <f>IFERROR(__xludf.DUMMYFUNCTION("""COMPUTED_VALUE"""),1125.0)</f>
        <v>1125</v>
      </c>
      <c r="D338" s="5">
        <f>IFERROR(__xludf.DUMMYFUNCTION("""COMPUTED_VALUE"""),1065.0)</f>
        <v>1065</v>
      </c>
      <c r="E338" s="5">
        <f>IFERROR(__xludf.DUMMYFUNCTION("""COMPUTED_VALUE"""),1080.0)</f>
        <v>1080</v>
      </c>
      <c r="F338" s="5">
        <f>IFERROR(__xludf.DUMMYFUNCTION("""COMPUTED_VALUE"""),2.42367E7)</f>
        <v>24236700</v>
      </c>
      <c r="G338" s="5">
        <f t="shared" si="1"/>
        <v>60</v>
      </c>
    </row>
    <row r="339">
      <c r="A339" s="4">
        <f>IFERROR(__xludf.DUMMYFUNCTION("""COMPUTED_VALUE"""),44341.625)</f>
        <v>44341.625</v>
      </c>
      <c r="B339" s="5">
        <f>IFERROR(__xludf.DUMMYFUNCTION("""COMPUTED_VALUE"""),1090.0)</f>
        <v>1090</v>
      </c>
      <c r="C339" s="5">
        <f>IFERROR(__xludf.DUMMYFUNCTION("""COMPUTED_VALUE"""),1140.0)</f>
        <v>1140</v>
      </c>
      <c r="D339" s="5">
        <f>IFERROR(__xludf.DUMMYFUNCTION("""COMPUTED_VALUE"""),1085.0)</f>
        <v>1085</v>
      </c>
      <c r="E339" s="5">
        <f>IFERROR(__xludf.DUMMYFUNCTION("""COMPUTED_VALUE"""),1115.0)</f>
        <v>1115</v>
      </c>
      <c r="F339" s="5">
        <f>IFERROR(__xludf.DUMMYFUNCTION("""COMPUTED_VALUE"""),4.08644E7)</f>
        <v>40864400</v>
      </c>
      <c r="G339" s="5">
        <f t="shared" si="1"/>
        <v>60</v>
      </c>
    </row>
    <row r="340">
      <c r="A340" s="4">
        <f>IFERROR(__xludf.DUMMYFUNCTION("""COMPUTED_VALUE"""),44343.625)</f>
        <v>44343.625</v>
      </c>
      <c r="B340" s="5">
        <f>IFERROR(__xludf.DUMMYFUNCTION("""COMPUTED_VALUE"""),1125.0)</f>
        <v>1125</v>
      </c>
      <c r="C340" s="5">
        <f>IFERROR(__xludf.DUMMYFUNCTION("""COMPUTED_VALUE"""),1145.0)</f>
        <v>1145</v>
      </c>
      <c r="D340" s="5">
        <f>IFERROR(__xludf.DUMMYFUNCTION("""COMPUTED_VALUE"""),1110.0)</f>
        <v>1110</v>
      </c>
      <c r="E340" s="5">
        <f>IFERROR(__xludf.DUMMYFUNCTION("""COMPUTED_VALUE"""),1115.0)</f>
        <v>1115</v>
      </c>
      <c r="F340" s="5">
        <f>IFERROR(__xludf.DUMMYFUNCTION("""COMPUTED_VALUE"""),2.23765E7)</f>
        <v>22376500</v>
      </c>
      <c r="G340" s="5">
        <f t="shared" si="1"/>
        <v>35</v>
      </c>
    </row>
    <row r="341">
      <c r="A341" s="4">
        <f>IFERROR(__xludf.DUMMYFUNCTION("""COMPUTED_VALUE"""),44344.625)</f>
        <v>44344.625</v>
      </c>
      <c r="B341" s="5">
        <f>IFERROR(__xludf.DUMMYFUNCTION("""COMPUTED_VALUE"""),1115.0)</f>
        <v>1115</v>
      </c>
      <c r="C341" s="5">
        <f>IFERROR(__xludf.DUMMYFUNCTION("""COMPUTED_VALUE"""),1130.0)</f>
        <v>1130</v>
      </c>
      <c r="D341" s="5">
        <f>IFERROR(__xludf.DUMMYFUNCTION("""COMPUTED_VALUE"""),1090.0)</f>
        <v>1090</v>
      </c>
      <c r="E341" s="5">
        <f>IFERROR(__xludf.DUMMYFUNCTION("""COMPUTED_VALUE"""),1095.0)</f>
        <v>1095</v>
      </c>
      <c r="F341" s="5">
        <f>IFERROR(__xludf.DUMMYFUNCTION("""COMPUTED_VALUE"""),1.64373E7)</f>
        <v>16437300</v>
      </c>
      <c r="G341" s="5">
        <f t="shared" si="1"/>
        <v>40</v>
      </c>
    </row>
    <row r="342">
      <c r="A342" s="4">
        <f>IFERROR(__xludf.DUMMYFUNCTION("""COMPUTED_VALUE"""),44347.625)</f>
        <v>44347.625</v>
      </c>
      <c r="B342" s="5">
        <f>IFERROR(__xludf.DUMMYFUNCTION("""COMPUTED_VALUE"""),1095.0)</f>
        <v>1095</v>
      </c>
      <c r="C342" s="5">
        <f>IFERROR(__xludf.DUMMYFUNCTION("""COMPUTED_VALUE"""),1125.0)</f>
        <v>1125</v>
      </c>
      <c r="D342" s="5">
        <f>IFERROR(__xludf.DUMMYFUNCTION("""COMPUTED_VALUE"""),1085.0)</f>
        <v>1085</v>
      </c>
      <c r="E342" s="5">
        <f>IFERROR(__xludf.DUMMYFUNCTION("""COMPUTED_VALUE"""),1115.0)</f>
        <v>1115</v>
      </c>
      <c r="F342" s="5">
        <f>IFERROR(__xludf.DUMMYFUNCTION("""COMPUTED_VALUE"""),2.40821E7)</f>
        <v>24082100</v>
      </c>
      <c r="G342" s="5">
        <f t="shared" si="1"/>
        <v>40</v>
      </c>
    </row>
    <row r="343">
      <c r="A343" s="4">
        <f>IFERROR(__xludf.DUMMYFUNCTION("""COMPUTED_VALUE"""),44349.625)</f>
        <v>44349.625</v>
      </c>
      <c r="B343" s="5">
        <f>IFERROR(__xludf.DUMMYFUNCTION("""COMPUTED_VALUE"""),1120.0)</f>
        <v>1120</v>
      </c>
      <c r="C343" s="5">
        <f>IFERROR(__xludf.DUMMYFUNCTION("""COMPUTED_VALUE"""),1185.0)</f>
        <v>1185</v>
      </c>
      <c r="D343" s="5">
        <f>IFERROR(__xludf.DUMMYFUNCTION("""COMPUTED_VALUE"""),1115.0)</f>
        <v>1115</v>
      </c>
      <c r="E343" s="5">
        <f>IFERROR(__xludf.DUMMYFUNCTION("""COMPUTED_VALUE"""),1165.0)</f>
        <v>1165</v>
      </c>
      <c r="F343" s="5">
        <f>IFERROR(__xludf.DUMMYFUNCTION("""COMPUTED_VALUE"""),4.71564E7)</f>
        <v>47156400</v>
      </c>
      <c r="G343" s="5">
        <f t="shared" si="1"/>
        <v>70</v>
      </c>
    </row>
    <row r="344">
      <c r="A344" s="4">
        <f>IFERROR(__xludf.DUMMYFUNCTION("""COMPUTED_VALUE"""),44350.625)</f>
        <v>44350.625</v>
      </c>
      <c r="B344" s="5">
        <f>IFERROR(__xludf.DUMMYFUNCTION("""COMPUTED_VALUE"""),1165.0)</f>
        <v>1165</v>
      </c>
      <c r="C344" s="5">
        <f>IFERROR(__xludf.DUMMYFUNCTION("""COMPUTED_VALUE"""),1175.0)</f>
        <v>1175</v>
      </c>
      <c r="D344" s="5">
        <f>IFERROR(__xludf.DUMMYFUNCTION("""COMPUTED_VALUE"""),1140.0)</f>
        <v>1140</v>
      </c>
      <c r="E344" s="5">
        <f>IFERROR(__xludf.DUMMYFUNCTION("""COMPUTED_VALUE"""),1140.0)</f>
        <v>1140</v>
      </c>
      <c r="F344" s="5">
        <f>IFERROR(__xludf.DUMMYFUNCTION("""COMPUTED_VALUE"""),2.15067E7)</f>
        <v>21506700</v>
      </c>
      <c r="G344" s="5">
        <f t="shared" si="1"/>
        <v>35</v>
      </c>
    </row>
    <row r="345">
      <c r="A345" s="4">
        <f>IFERROR(__xludf.DUMMYFUNCTION("""COMPUTED_VALUE"""),44351.625)</f>
        <v>44351.625</v>
      </c>
      <c r="B345" s="5">
        <f>IFERROR(__xludf.DUMMYFUNCTION("""COMPUTED_VALUE"""),1130.0)</f>
        <v>1130</v>
      </c>
      <c r="C345" s="5">
        <f>IFERROR(__xludf.DUMMYFUNCTION("""COMPUTED_VALUE"""),1155.0)</f>
        <v>1155</v>
      </c>
      <c r="D345" s="5">
        <f>IFERROR(__xludf.DUMMYFUNCTION("""COMPUTED_VALUE"""),1130.0)</f>
        <v>1130</v>
      </c>
      <c r="E345" s="5">
        <f>IFERROR(__xludf.DUMMYFUNCTION("""COMPUTED_VALUE"""),1145.0)</f>
        <v>1145</v>
      </c>
      <c r="F345" s="5">
        <f>IFERROR(__xludf.DUMMYFUNCTION("""COMPUTED_VALUE"""),1.49549E7)</f>
        <v>14954900</v>
      </c>
      <c r="G345" s="5">
        <f t="shared" si="1"/>
        <v>25</v>
      </c>
    </row>
    <row r="346">
      <c r="A346" s="4">
        <f>IFERROR(__xludf.DUMMYFUNCTION("""COMPUTED_VALUE"""),44354.625)</f>
        <v>44354.625</v>
      </c>
      <c r="B346" s="5">
        <f>IFERROR(__xludf.DUMMYFUNCTION("""COMPUTED_VALUE"""),1145.0)</f>
        <v>1145</v>
      </c>
      <c r="C346" s="5">
        <f>IFERROR(__xludf.DUMMYFUNCTION("""COMPUTED_VALUE"""),1175.0)</f>
        <v>1175</v>
      </c>
      <c r="D346" s="5">
        <f>IFERROR(__xludf.DUMMYFUNCTION("""COMPUTED_VALUE"""),1140.0)</f>
        <v>1140</v>
      </c>
      <c r="E346" s="5">
        <f>IFERROR(__xludf.DUMMYFUNCTION("""COMPUTED_VALUE"""),1140.0)</f>
        <v>1140</v>
      </c>
      <c r="F346" s="5">
        <f>IFERROR(__xludf.DUMMYFUNCTION("""COMPUTED_VALUE"""),1.78885E7)</f>
        <v>17888500</v>
      </c>
      <c r="G346" s="5">
        <f t="shared" si="1"/>
        <v>35</v>
      </c>
    </row>
    <row r="347">
      <c r="A347" s="4">
        <f>IFERROR(__xludf.DUMMYFUNCTION("""COMPUTED_VALUE"""),44355.625)</f>
        <v>44355.625</v>
      </c>
      <c r="B347" s="5">
        <f>IFERROR(__xludf.DUMMYFUNCTION("""COMPUTED_VALUE"""),1140.0)</f>
        <v>1140</v>
      </c>
      <c r="C347" s="5">
        <f>IFERROR(__xludf.DUMMYFUNCTION("""COMPUTED_VALUE"""),1150.0)</f>
        <v>1150</v>
      </c>
      <c r="D347" s="5">
        <f>IFERROR(__xludf.DUMMYFUNCTION("""COMPUTED_VALUE"""),1105.0)</f>
        <v>1105</v>
      </c>
      <c r="E347" s="5">
        <f>IFERROR(__xludf.DUMMYFUNCTION("""COMPUTED_VALUE"""),1115.0)</f>
        <v>1115</v>
      </c>
      <c r="F347" s="5">
        <f>IFERROR(__xludf.DUMMYFUNCTION("""COMPUTED_VALUE"""),1.47672E7)</f>
        <v>14767200</v>
      </c>
      <c r="G347" s="5">
        <f t="shared" si="1"/>
        <v>45</v>
      </c>
    </row>
    <row r="348">
      <c r="A348" s="4">
        <f>IFERROR(__xludf.DUMMYFUNCTION("""COMPUTED_VALUE"""),44356.625)</f>
        <v>44356.625</v>
      </c>
      <c r="B348" s="5">
        <f>IFERROR(__xludf.DUMMYFUNCTION("""COMPUTED_VALUE"""),1115.0)</f>
        <v>1115</v>
      </c>
      <c r="C348" s="5">
        <f>IFERROR(__xludf.DUMMYFUNCTION("""COMPUTED_VALUE"""),1130.0)</f>
        <v>1130</v>
      </c>
      <c r="D348" s="5">
        <f>IFERROR(__xludf.DUMMYFUNCTION("""COMPUTED_VALUE"""),1095.0)</f>
        <v>1095</v>
      </c>
      <c r="E348" s="5">
        <f>IFERROR(__xludf.DUMMYFUNCTION("""COMPUTED_VALUE"""),1105.0)</f>
        <v>1105</v>
      </c>
      <c r="F348" s="5">
        <f>IFERROR(__xludf.DUMMYFUNCTION("""COMPUTED_VALUE"""),2.05317E7)</f>
        <v>20531700</v>
      </c>
      <c r="G348" s="5">
        <f t="shared" si="1"/>
        <v>35</v>
      </c>
    </row>
    <row r="349">
      <c r="A349" s="4">
        <f>IFERROR(__xludf.DUMMYFUNCTION("""COMPUTED_VALUE"""),44357.625)</f>
        <v>44357.625</v>
      </c>
      <c r="B349" s="5">
        <f>IFERROR(__xludf.DUMMYFUNCTION("""COMPUTED_VALUE"""),1110.0)</f>
        <v>1110</v>
      </c>
      <c r="C349" s="5">
        <f>IFERROR(__xludf.DUMMYFUNCTION("""COMPUTED_VALUE"""),1145.0)</f>
        <v>1145</v>
      </c>
      <c r="D349" s="5">
        <f>IFERROR(__xludf.DUMMYFUNCTION("""COMPUTED_VALUE"""),1110.0)</f>
        <v>1110</v>
      </c>
      <c r="E349" s="5">
        <f>IFERROR(__xludf.DUMMYFUNCTION("""COMPUTED_VALUE"""),1120.0)</f>
        <v>1120</v>
      </c>
      <c r="F349" s="5">
        <f>IFERROR(__xludf.DUMMYFUNCTION("""COMPUTED_VALUE"""),2.0485E7)</f>
        <v>20485000</v>
      </c>
      <c r="G349" s="5">
        <f t="shared" si="1"/>
        <v>40</v>
      </c>
    </row>
    <row r="350">
      <c r="A350" s="4">
        <f>IFERROR(__xludf.DUMMYFUNCTION("""COMPUTED_VALUE"""),44358.625)</f>
        <v>44358.625</v>
      </c>
      <c r="B350" s="5">
        <f>IFERROR(__xludf.DUMMYFUNCTION("""COMPUTED_VALUE"""),1125.0)</f>
        <v>1125</v>
      </c>
      <c r="C350" s="5">
        <f>IFERROR(__xludf.DUMMYFUNCTION("""COMPUTED_VALUE"""),1145.0)</f>
        <v>1145</v>
      </c>
      <c r="D350" s="5">
        <f>IFERROR(__xludf.DUMMYFUNCTION("""COMPUTED_VALUE"""),1110.0)</f>
        <v>1110</v>
      </c>
      <c r="E350" s="5">
        <f>IFERROR(__xludf.DUMMYFUNCTION("""COMPUTED_VALUE"""),1140.0)</f>
        <v>1140</v>
      </c>
      <c r="F350" s="5">
        <f>IFERROR(__xludf.DUMMYFUNCTION("""COMPUTED_VALUE"""),3.34101E7)</f>
        <v>33410100</v>
      </c>
      <c r="G350" s="5">
        <f t="shared" si="1"/>
        <v>35</v>
      </c>
    </row>
    <row r="351">
      <c r="A351" s="4">
        <f>IFERROR(__xludf.DUMMYFUNCTION("""COMPUTED_VALUE"""),44361.66666666667)</f>
        <v>44361.66667</v>
      </c>
      <c r="B351" s="5">
        <f>IFERROR(__xludf.DUMMYFUNCTION("""COMPUTED_VALUE"""),1130.0)</f>
        <v>1130</v>
      </c>
      <c r="C351" s="5">
        <f>IFERROR(__xludf.DUMMYFUNCTION("""COMPUTED_VALUE"""),1145.0)</f>
        <v>1145</v>
      </c>
      <c r="D351" s="5">
        <f>IFERROR(__xludf.DUMMYFUNCTION("""COMPUTED_VALUE"""),1090.0)</f>
        <v>1090</v>
      </c>
      <c r="E351" s="5">
        <f>IFERROR(__xludf.DUMMYFUNCTION("""COMPUTED_VALUE"""),1090.0)</f>
        <v>1090</v>
      </c>
      <c r="F351" s="5">
        <f>IFERROR(__xludf.DUMMYFUNCTION("""COMPUTED_VALUE"""),2.41926E7)</f>
        <v>24192600</v>
      </c>
      <c r="G351" s="5">
        <f t="shared" si="1"/>
        <v>55</v>
      </c>
    </row>
    <row r="352">
      <c r="A352" s="4">
        <f>IFERROR(__xludf.DUMMYFUNCTION("""COMPUTED_VALUE"""),44362.625)</f>
        <v>44362.625</v>
      </c>
      <c r="B352" s="5">
        <f>IFERROR(__xludf.DUMMYFUNCTION("""COMPUTED_VALUE"""),1080.0)</f>
        <v>1080</v>
      </c>
      <c r="C352" s="5">
        <f>IFERROR(__xludf.DUMMYFUNCTION("""COMPUTED_VALUE"""),1090.0)</f>
        <v>1090</v>
      </c>
      <c r="D352" s="5">
        <f>IFERROR(__xludf.DUMMYFUNCTION("""COMPUTED_VALUE"""),1055.0)</f>
        <v>1055</v>
      </c>
      <c r="E352" s="5">
        <f>IFERROR(__xludf.DUMMYFUNCTION("""COMPUTED_VALUE"""),1065.0)</f>
        <v>1065</v>
      </c>
      <c r="F352" s="5">
        <f>IFERROR(__xludf.DUMMYFUNCTION("""COMPUTED_VALUE"""),2.24193E7)</f>
        <v>22419300</v>
      </c>
      <c r="G352" s="5">
        <f t="shared" si="1"/>
        <v>35</v>
      </c>
    </row>
    <row r="353">
      <c r="A353" s="4">
        <f>IFERROR(__xludf.DUMMYFUNCTION("""COMPUTED_VALUE"""),44363.625)</f>
        <v>44363.625</v>
      </c>
      <c r="B353" s="5">
        <f>IFERROR(__xludf.DUMMYFUNCTION("""COMPUTED_VALUE"""),1080.0)</f>
        <v>1080</v>
      </c>
      <c r="C353" s="5">
        <f>IFERROR(__xludf.DUMMYFUNCTION("""COMPUTED_VALUE"""),1080.0)</f>
        <v>1080</v>
      </c>
      <c r="D353" s="5">
        <f>IFERROR(__xludf.DUMMYFUNCTION("""COMPUTED_VALUE"""),1030.0)</f>
        <v>1030</v>
      </c>
      <c r="E353" s="5">
        <f>IFERROR(__xludf.DUMMYFUNCTION("""COMPUTED_VALUE"""),1035.0)</f>
        <v>1035</v>
      </c>
      <c r="F353" s="5">
        <f>IFERROR(__xludf.DUMMYFUNCTION("""COMPUTED_VALUE"""),2.41509E7)</f>
        <v>24150900</v>
      </c>
      <c r="G353" s="5">
        <f t="shared" si="1"/>
        <v>50</v>
      </c>
    </row>
    <row r="354">
      <c r="A354" s="4">
        <f>IFERROR(__xludf.DUMMYFUNCTION("""COMPUTED_VALUE"""),44364.625)</f>
        <v>44364.625</v>
      </c>
      <c r="B354" s="5">
        <f>IFERROR(__xludf.DUMMYFUNCTION("""COMPUTED_VALUE"""),1030.0)</f>
        <v>1030</v>
      </c>
      <c r="C354" s="5">
        <f>IFERROR(__xludf.DUMMYFUNCTION("""COMPUTED_VALUE"""),1045.0)</f>
        <v>1045</v>
      </c>
      <c r="D354" s="5">
        <f>IFERROR(__xludf.DUMMYFUNCTION("""COMPUTED_VALUE"""),1000.0)</f>
        <v>1000</v>
      </c>
      <c r="E354" s="5">
        <f>IFERROR(__xludf.DUMMYFUNCTION("""COMPUTED_VALUE"""),1010.0)</f>
        <v>1010</v>
      </c>
      <c r="F354" s="5">
        <f>IFERROR(__xludf.DUMMYFUNCTION("""COMPUTED_VALUE"""),2.90474E7)</f>
        <v>29047400</v>
      </c>
      <c r="G354" s="5">
        <f t="shared" si="1"/>
        <v>45</v>
      </c>
    </row>
    <row r="355">
      <c r="A355" s="4">
        <f>IFERROR(__xludf.DUMMYFUNCTION("""COMPUTED_VALUE"""),44365.625)</f>
        <v>44365.625</v>
      </c>
      <c r="B355" s="5">
        <f>IFERROR(__xludf.DUMMYFUNCTION("""COMPUTED_VALUE"""),1010.0)</f>
        <v>1010</v>
      </c>
      <c r="C355" s="5">
        <f>IFERROR(__xludf.DUMMYFUNCTION("""COMPUTED_VALUE"""),1015.0)</f>
        <v>1015</v>
      </c>
      <c r="D355" s="5">
        <f>IFERROR(__xludf.DUMMYFUNCTION("""COMPUTED_VALUE"""),955.0)</f>
        <v>955</v>
      </c>
      <c r="E355" s="5">
        <f>IFERROR(__xludf.DUMMYFUNCTION("""COMPUTED_VALUE"""),970.0)</f>
        <v>970</v>
      </c>
      <c r="F355" s="5">
        <f>IFERROR(__xludf.DUMMYFUNCTION("""COMPUTED_VALUE"""),4.23677E7)</f>
        <v>42367700</v>
      </c>
      <c r="G355" s="5">
        <f t="shared" si="1"/>
        <v>60</v>
      </c>
    </row>
    <row r="356">
      <c r="A356" s="4">
        <f>IFERROR(__xludf.DUMMYFUNCTION("""COMPUTED_VALUE"""),44368.66666666667)</f>
        <v>44368.66667</v>
      </c>
      <c r="B356" s="5">
        <f>IFERROR(__xludf.DUMMYFUNCTION("""COMPUTED_VALUE"""),950.0)</f>
        <v>950</v>
      </c>
      <c r="C356" s="5">
        <f>IFERROR(__xludf.DUMMYFUNCTION("""COMPUTED_VALUE"""),970.0)</f>
        <v>970</v>
      </c>
      <c r="D356" s="5">
        <f>IFERROR(__xludf.DUMMYFUNCTION("""COMPUTED_VALUE"""),925.0)</f>
        <v>925</v>
      </c>
      <c r="E356" s="5">
        <f>IFERROR(__xludf.DUMMYFUNCTION("""COMPUTED_VALUE"""),960.0)</f>
        <v>960</v>
      </c>
      <c r="F356" s="5">
        <f>IFERROR(__xludf.DUMMYFUNCTION("""COMPUTED_VALUE"""),2.76029E7)</f>
        <v>27602900</v>
      </c>
      <c r="G356" s="5">
        <f t="shared" si="1"/>
        <v>45</v>
      </c>
    </row>
    <row r="357">
      <c r="A357" s="4">
        <f>IFERROR(__xludf.DUMMYFUNCTION("""COMPUTED_VALUE"""),44369.625)</f>
        <v>44369.625</v>
      </c>
      <c r="B357" s="5">
        <f>IFERROR(__xludf.DUMMYFUNCTION("""COMPUTED_VALUE"""),975.0)</f>
        <v>975</v>
      </c>
      <c r="C357" s="5">
        <f>IFERROR(__xludf.DUMMYFUNCTION("""COMPUTED_VALUE"""),1000.0)</f>
        <v>1000</v>
      </c>
      <c r="D357" s="5">
        <f>IFERROR(__xludf.DUMMYFUNCTION("""COMPUTED_VALUE"""),965.0)</f>
        <v>965</v>
      </c>
      <c r="E357" s="5">
        <f>IFERROR(__xludf.DUMMYFUNCTION("""COMPUTED_VALUE"""),975.0)</f>
        <v>975</v>
      </c>
      <c r="F357" s="5">
        <f>IFERROR(__xludf.DUMMYFUNCTION("""COMPUTED_VALUE"""),2.77677E7)</f>
        <v>27767700</v>
      </c>
      <c r="G357" s="5">
        <f t="shared" si="1"/>
        <v>40</v>
      </c>
    </row>
    <row r="358">
      <c r="A358" s="4">
        <f>IFERROR(__xludf.DUMMYFUNCTION("""COMPUTED_VALUE"""),44370.625)</f>
        <v>44370.625</v>
      </c>
      <c r="B358" s="5">
        <f>IFERROR(__xludf.DUMMYFUNCTION("""COMPUTED_VALUE"""),980.0)</f>
        <v>980</v>
      </c>
      <c r="C358" s="5">
        <f>IFERROR(__xludf.DUMMYFUNCTION("""COMPUTED_VALUE"""),990.0)</f>
        <v>990</v>
      </c>
      <c r="D358" s="5">
        <f>IFERROR(__xludf.DUMMYFUNCTION("""COMPUTED_VALUE"""),955.0)</f>
        <v>955</v>
      </c>
      <c r="E358" s="5">
        <f>IFERROR(__xludf.DUMMYFUNCTION("""COMPUTED_VALUE"""),955.0)</f>
        <v>955</v>
      </c>
      <c r="F358" s="5">
        <f>IFERROR(__xludf.DUMMYFUNCTION("""COMPUTED_VALUE"""),1.77388E7)</f>
        <v>17738800</v>
      </c>
      <c r="G358" s="5">
        <f t="shared" si="1"/>
        <v>35</v>
      </c>
    </row>
    <row r="359">
      <c r="A359" s="4">
        <f>IFERROR(__xludf.DUMMYFUNCTION("""COMPUTED_VALUE"""),44371.625)</f>
        <v>44371.625</v>
      </c>
      <c r="B359" s="5">
        <f>IFERROR(__xludf.DUMMYFUNCTION("""COMPUTED_VALUE"""),950.0)</f>
        <v>950</v>
      </c>
      <c r="C359" s="5">
        <f>IFERROR(__xludf.DUMMYFUNCTION("""COMPUTED_VALUE"""),965.0)</f>
        <v>965</v>
      </c>
      <c r="D359" s="5">
        <f>IFERROR(__xludf.DUMMYFUNCTION("""COMPUTED_VALUE"""),925.0)</f>
        <v>925</v>
      </c>
      <c r="E359" s="5">
        <f>IFERROR(__xludf.DUMMYFUNCTION("""COMPUTED_VALUE"""),935.0)</f>
        <v>935</v>
      </c>
      <c r="F359" s="5">
        <f>IFERROR(__xludf.DUMMYFUNCTION("""COMPUTED_VALUE"""),2.27042E7)</f>
        <v>22704200</v>
      </c>
      <c r="G359" s="5">
        <f t="shared" si="1"/>
        <v>40</v>
      </c>
    </row>
    <row r="360">
      <c r="A360" s="4">
        <f>IFERROR(__xludf.DUMMYFUNCTION("""COMPUTED_VALUE"""),44372.625)</f>
        <v>44372.625</v>
      </c>
      <c r="B360" s="5">
        <f>IFERROR(__xludf.DUMMYFUNCTION("""COMPUTED_VALUE"""),935.0)</f>
        <v>935</v>
      </c>
      <c r="C360" s="5">
        <f>IFERROR(__xludf.DUMMYFUNCTION("""COMPUTED_VALUE"""),950.0)</f>
        <v>950</v>
      </c>
      <c r="D360" s="5">
        <f>IFERROR(__xludf.DUMMYFUNCTION("""COMPUTED_VALUE"""),920.0)</f>
        <v>920</v>
      </c>
      <c r="E360" s="5">
        <f>IFERROR(__xludf.DUMMYFUNCTION("""COMPUTED_VALUE"""),930.0)</f>
        <v>930</v>
      </c>
      <c r="F360" s="5">
        <f>IFERROR(__xludf.DUMMYFUNCTION("""COMPUTED_VALUE"""),2.95276E7)</f>
        <v>29527600</v>
      </c>
      <c r="G360" s="5">
        <f t="shared" si="1"/>
        <v>30</v>
      </c>
    </row>
    <row r="361">
      <c r="A361" s="4">
        <f>IFERROR(__xludf.DUMMYFUNCTION("""COMPUTED_VALUE"""),44375.66666666667)</f>
        <v>44375.66667</v>
      </c>
      <c r="B361" s="5">
        <f>IFERROR(__xludf.DUMMYFUNCTION("""COMPUTED_VALUE"""),935.0)</f>
        <v>935</v>
      </c>
      <c r="C361" s="5">
        <f>IFERROR(__xludf.DUMMYFUNCTION("""COMPUTED_VALUE"""),940.0)</f>
        <v>940</v>
      </c>
      <c r="D361" s="5">
        <f>IFERROR(__xludf.DUMMYFUNCTION("""COMPUTED_VALUE"""),870.0)</f>
        <v>870</v>
      </c>
      <c r="E361" s="5">
        <f>IFERROR(__xludf.DUMMYFUNCTION("""COMPUTED_VALUE"""),880.0)</f>
        <v>880</v>
      </c>
      <c r="F361" s="5">
        <f>IFERROR(__xludf.DUMMYFUNCTION("""COMPUTED_VALUE"""),3.42273E7)</f>
        <v>34227300</v>
      </c>
      <c r="G361" s="5">
        <f t="shared" si="1"/>
        <v>70</v>
      </c>
    </row>
    <row r="362">
      <c r="A362" s="4">
        <f>IFERROR(__xludf.DUMMYFUNCTION("""COMPUTED_VALUE"""),44376.625)</f>
        <v>44376.625</v>
      </c>
      <c r="B362" s="5">
        <f>IFERROR(__xludf.DUMMYFUNCTION("""COMPUTED_VALUE"""),875.0)</f>
        <v>875</v>
      </c>
      <c r="C362" s="5">
        <f>IFERROR(__xludf.DUMMYFUNCTION("""COMPUTED_VALUE"""),960.0)</f>
        <v>960</v>
      </c>
      <c r="D362" s="5">
        <f>IFERROR(__xludf.DUMMYFUNCTION("""COMPUTED_VALUE"""),875.0)</f>
        <v>875</v>
      </c>
      <c r="E362" s="5">
        <f>IFERROR(__xludf.DUMMYFUNCTION("""COMPUTED_VALUE"""),905.0)</f>
        <v>905</v>
      </c>
      <c r="F362" s="5">
        <f>IFERROR(__xludf.DUMMYFUNCTION("""COMPUTED_VALUE"""),6.89116E7)</f>
        <v>68911600</v>
      </c>
      <c r="G362" s="5">
        <f t="shared" si="1"/>
        <v>85</v>
      </c>
    </row>
    <row r="363">
      <c r="A363" s="4">
        <f>IFERROR(__xludf.DUMMYFUNCTION("""COMPUTED_VALUE"""),44377.625)</f>
        <v>44377.625</v>
      </c>
      <c r="B363" s="5">
        <f>IFERROR(__xludf.DUMMYFUNCTION("""COMPUTED_VALUE"""),910.0)</f>
        <v>910</v>
      </c>
      <c r="C363" s="5">
        <f>IFERROR(__xludf.DUMMYFUNCTION("""COMPUTED_VALUE"""),925.0)</f>
        <v>925</v>
      </c>
      <c r="D363" s="5">
        <f>IFERROR(__xludf.DUMMYFUNCTION("""COMPUTED_VALUE"""),895.0)</f>
        <v>895</v>
      </c>
      <c r="E363" s="5">
        <f>IFERROR(__xludf.DUMMYFUNCTION("""COMPUTED_VALUE"""),915.0)</f>
        <v>915</v>
      </c>
      <c r="F363" s="5">
        <f>IFERROR(__xludf.DUMMYFUNCTION("""COMPUTED_VALUE"""),2.15802E7)</f>
        <v>21580200</v>
      </c>
      <c r="G363" s="5">
        <f t="shared" si="1"/>
        <v>30</v>
      </c>
    </row>
    <row r="364">
      <c r="A364" s="4">
        <f>IFERROR(__xludf.DUMMYFUNCTION("""COMPUTED_VALUE"""),44378.625)</f>
        <v>44378.625</v>
      </c>
      <c r="B364" s="5">
        <f>IFERROR(__xludf.DUMMYFUNCTION("""COMPUTED_VALUE"""),920.0)</f>
        <v>920</v>
      </c>
      <c r="C364" s="5">
        <f>IFERROR(__xludf.DUMMYFUNCTION("""COMPUTED_VALUE"""),945.0)</f>
        <v>945</v>
      </c>
      <c r="D364" s="5">
        <f>IFERROR(__xludf.DUMMYFUNCTION("""COMPUTED_VALUE"""),905.0)</f>
        <v>905</v>
      </c>
      <c r="E364" s="5">
        <f>IFERROR(__xludf.DUMMYFUNCTION("""COMPUTED_VALUE"""),920.0)</f>
        <v>920</v>
      </c>
      <c r="F364" s="5">
        <f>IFERROR(__xludf.DUMMYFUNCTION("""COMPUTED_VALUE"""),2.95051E7)</f>
        <v>29505100</v>
      </c>
      <c r="G364" s="5">
        <f t="shared" si="1"/>
        <v>40</v>
      </c>
    </row>
    <row r="365">
      <c r="A365" s="4">
        <f>IFERROR(__xludf.DUMMYFUNCTION("""COMPUTED_VALUE"""),44379.625)</f>
        <v>44379.625</v>
      </c>
      <c r="B365" s="5">
        <f>IFERROR(__xludf.DUMMYFUNCTION("""COMPUTED_VALUE"""),925.0)</f>
        <v>925</v>
      </c>
      <c r="C365" s="5">
        <f>IFERROR(__xludf.DUMMYFUNCTION("""COMPUTED_VALUE"""),945.0)</f>
        <v>945</v>
      </c>
      <c r="D365" s="5">
        <f>IFERROR(__xludf.DUMMYFUNCTION("""COMPUTED_VALUE"""),925.0)</f>
        <v>925</v>
      </c>
      <c r="E365" s="5">
        <f>IFERROR(__xludf.DUMMYFUNCTION("""COMPUTED_VALUE"""),940.0)</f>
        <v>940</v>
      </c>
      <c r="F365" s="5">
        <f>IFERROR(__xludf.DUMMYFUNCTION("""COMPUTED_VALUE"""),2.17084E7)</f>
        <v>21708400</v>
      </c>
      <c r="G365" s="5">
        <f t="shared" si="1"/>
        <v>25</v>
      </c>
    </row>
    <row r="366">
      <c r="A366" s="4">
        <f>IFERROR(__xludf.DUMMYFUNCTION("""COMPUTED_VALUE"""),44382.625)</f>
        <v>44382.625</v>
      </c>
      <c r="B366" s="5">
        <f>IFERROR(__xludf.DUMMYFUNCTION("""COMPUTED_VALUE"""),940.0)</f>
        <v>940</v>
      </c>
      <c r="C366" s="5">
        <f>IFERROR(__xludf.DUMMYFUNCTION("""COMPUTED_VALUE"""),940.0)</f>
        <v>940</v>
      </c>
      <c r="D366" s="5">
        <f>IFERROR(__xludf.DUMMYFUNCTION("""COMPUTED_VALUE"""),885.0)</f>
        <v>885</v>
      </c>
      <c r="E366" s="5">
        <f>IFERROR(__xludf.DUMMYFUNCTION("""COMPUTED_VALUE"""),890.0)</f>
        <v>890</v>
      </c>
      <c r="F366" s="5">
        <f>IFERROR(__xludf.DUMMYFUNCTION("""COMPUTED_VALUE"""),2.8419E7)</f>
        <v>28419000</v>
      </c>
      <c r="G366" s="5">
        <f t="shared" si="1"/>
        <v>55</v>
      </c>
    </row>
    <row r="367">
      <c r="A367" s="4">
        <f>IFERROR(__xludf.DUMMYFUNCTION("""COMPUTED_VALUE"""),44383.625)</f>
        <v>44383.625</v>
      </c>
      <c r="B367" s="5">
        <f>IFERROR(__xludf.DUMMYFUNCTION("""COMPUTED_VALUE"""),890.0)</f>
        <v>890</v>
      </c>
      <c r="C367" s="5">
        <f>IFERROR(__xludf.DUMMYFUNCTION("""COMPUTED_VALUE"""),905.0)</f>
        <v>905</v>
      </c>
      <c r="D367" s="5">
        <f>IFERROR(__xludf.DUMMYFUNCTION("""COMPUTED_VALUE"""),865.0)</f>
        <v>865</v>
      </c>
      <c r="E367" s="5">
        <f>IFERROR(__xludf.DUMMYFUNCTION("""COMPUTED_VALUE"""),880.0)</f>
        <v>880</v>
      </c>
      <c r="F367" s="5">
        <f>IFERROR(__xludf.DUMMYFUNCTION("""COMPUTED_VALUE"""),3.94574E7)</f>
        <v>39457400</v>
      </c>
      <c r="G367" s="5">
        <f t="shared" si="1"/>
        <v>40</v>
      </c>
    </row>
    <row r="368">
      <c r="A368" s="4">
        <f>IFERROR(__xludf.DUMMYFUNCTION("""COMPUTED_VALUE"""),44384.625)</f>
        <v>44384.625</v>
      </c>
      <c r="B368" s="5">
        <f>IFERROR(__xludf.DUMMYFUNCTION("""COMPUTED_VALUE"""),875.0)</f>
        <v>875</v>
      </c>
      <c r="C368" s="5">
        <f>IFERROR(__xludf.DUMMYFUNCTION("""COMPUTED_VALUE"""),900.0)</f>
        <v>900</v>
      </c>
      <c r="D368" s="5">
        <f>IFERROR(__xludf.DUMMYFUNCTION("""COMPUTED_VALUE"""),860.0)</f>
        <v>860</v>
      </c>
      <c r="E368" s="5">
        <f>IFERROR(__xludf.DUMMYFUNCTION("""COMPUTED_VALUE"""),880.0)</f>
        <v>880</v>
      </c>
      <c r="F368" s="5">
        <f>IFERROR(__xludf.DUMMYFUNCTION("""COMPUTED_VALUE"""),6.85085E7)</f>
        <v>68508500</v>
      </c>
      <c r="G368" s="5">
        <f t="shared" si="1"/>
        <v>40</v>
      </c>
    </row>
    <row r="369">
      <c r="A369" s="4">
        <f>IFERROR(__xludf.DUMMYFUNCTION("""COMPUTED_VALUE"""),44385.625)</f>
        <v>44385.625</v>
      </c>
      <c r="B369" s="5">
        <f>IFERROR(__xludf.DUMMYFUNCTION("""COMPUTED_VALUE"""),885.0)</f>
        <v>885</v>
      </c>
      <c r="C369" s="5">
        <f>IFERROR(__xludf.DUMMYFUNCTION("""COMPUTED_VALUE"""),890.0)</f>
        <v>890</v>
      </c>
      <c r="D369" s="5">
        <f>IFERROR(__xludf.DUMMYFUNCTION("""COMPUTED_VALUE"""),855.0)</f>
        <v>855</v>
      </c>
      <c r="E369" s="5">
        <f>IFERROR(__xludf.DUMMYFUNCTION("""COMPUTED_VALUE"""),860.0)</f>
        <v>860</v>
      </c>
      <c r="F369" s="5">
        <f>IFERROR(__xludf.DUMMYFUNCTION("""COMPUTED_VALUE"""),3.0277E7)</f>
        <v>30277000</v>
      </c>
      <c r="G369" s="5">
        <f t="shared" si="1"/>
        <v>35</v>
      </c>
    </row>
    <row r="370">
      <c r="A370" s="4">
        <f>IFERROR(__xludf.DUMMYFUNCTION("""COMPUTED_VALUE"""),44386.625)</f>
        <v>44386.625</v>
      </c>
      <c r="B370" s="5">
        <f>IFERROR(__xludf.DUMMYFUNCTION("""COMPUTED_VALUE"""),860.0)</f>
        <v>860</v>
      </c>
      <c r="C370" s="5">
        <f>IFERROR(__xludf.DUMMYFUNCTION("""COMPUTED_VALUE"""),890.0)</f>
        <v>890</v>
      </c>
      <c r="D370" s="5">
        <f>IFERROR(__xludf.DUMMYFUNCTION("""COMPUTED_VALUE"""),855.0)</f>
        <v>855</v>
      </c>
      <c r="E370" s="5">
        <f>IFERROR(__xludf.DUMMYFUNCTION("""COMPUTED_VALUE"""),880.0)</f>
        <v>880</v>
      </c>
      <c r="F370" s="5">
        <f>IFERROR(__xludf.DUMMYFUNCTION("""COMPUTED_VALUE"""),2.66693E7)</f>
        <v>26669300</v>
      </c>
      <c r="G370" s="5">
        <f t="shared" si="1"/>
        <v>35</v>
      </c>
    </row>
    <row r="371">
      <c r="A371" s="4">
        <f>IFERROR(__xludf.DUMMYFUNCTION("""COMPUTED_VALUE"""),44389.625)</f>
        <v>44389.625</v>
      </c>
      <c r="B371" s="5">
        <f>IFERROR(__xludf.DUMMYFUNCTION("""COMPUTED_VALUE"""),880.0)</f>
        <v>880</v>
      </c>
      <c r="C371" s="5">
        <f>IFERROR(__xludf.DUMMYFUNCTION("""COMPUTED_VALUE"""),910.0)</f>
        <v>910</v>
      </c>
      <c r="D371" s="5">
        <f>IFERROR(__xludf.DUMMYFUNCTION("""COMPUTED_VALUE"""),870.0)</f>
        <v>870</v>
      </c>
      <c r="E371" s="5">
        <f>IFERROR(__xludf.DUMMYFUNCTION("""COMPUTED_VALUE"""),875.0)</f>
        <v>875</v>
      </c>
      <c r="F371" s="5">
        <f>IFERROR(__xludf.DUMMYFUNCTION("""COMPUTED_VALUE"""),3.79175E7)</f>
        <v>37917500</v>
      </c>
      <c r="G371" s="5">
        <f t="shared" si="1"/>
        <v>40</v>
      </c>
    </row>
    <row r="372">
      <c r="A372" s="4">
        <f>IFERROR(__xludf.DUMMYFUNCTION("""COMPUTED_VALUE"""),44390.625)</f>
        <v>44390.625</v>
      </c>
      <c r="B372" s="5">
        <f>IFERROR(__xludf.DUMMYFUNCTION("""COMPUTED_VALUE"""),880.0)</f>
        <v>880</v>
      </c>
      <c r="C372" s="5">
        <f>IFERROR(__xludf.DUMMYFUNCTION("""COMPUTED_VALUE"""),890.0)</f>
        <v>890</v>
      </c>
      <c r="D372" s="5">
        <f>IFERROR(__xludf.DUMMYFUNCTION("""COMPUTED_VALUE"""),845.0)</f>
        <v>845</v>
      </c>
      <c r="E372" s="5">
        <f>IFERROR(__xludf.DUMMYFUNCTION("""COMPUTED_VALUE"""),850.0)</f>
        <v>850</v>
      </c>
      <c r="F372" s="5">
        <f>IFERROR(__xludf.DUMMYFUNCTION("""COMPUTED_VALUE"""),2.88995E7)</f>
        <v>28899500</v>
      </c>
      <c r="G372" s="5">
        <f t="shared" si="1"/>
        <v>45</v>
      </c>
    </row>
    <row r="373">
      <c r="A373" s="4">
        <f>IFERROR(__xludf.DUMMYFUNCTION("""COMPUTED_VALUE"""),44391.625)</f>
        <v>44391.625</v>
      </c>
      <c r="B373" s="5">
        <f>IFERROR(__xludf.DUMMYFUNCTION("""COMPUTED_VALUE"""),850.0)</f>
        <v>850</v>
      </c>
      <c r="C373" s="5">
        <f>IFERROR(__xludf.DUMMYFUNCTION("""COMPUTED_VALUE"""),880.0)</f>
        <v>880</v>
      </c>
      <c r="D373" s="5">
        <f>IFERROR(__xludf.DUMMYFUNCTION("""COMPUTED_VALUE"""),835.0)</f>
        <v>835</v>
      </c>
      <c r="E373" s="5">
        <f>IFERROR(__xludf.DUMMYFUNCTION("""COMPUTED_VALUE"""),845.0)</f>
        <v>845</v>
      </c>
      <c r="F373" s="5">
        <f>IFERROR(__xludf.DUMMYFUNCTION("""COMPUTED_VALUE"""),3.23996E7)</f>
        <v>32399600</v>
      </c>
      <c r="G373" s="5">
        <f t="shared" si="1"/>
        <v>45</v>
      </c>
    </row>
    <row r="374">
      <c r="A374" s="4">
        <f>IFERROR(__xludf.DUMMYFUNCTION("""COMPUTED_VALUE"""),44392.625)</f>
        <v>44392.625</v>
      </c>
      <c r="B374" s="5">
        <f>IFERROR(__xludf.DUMMYFUNCTION("""COMPUTED_VALUE"""),850.0)</f>
        <v>850</v>
      </c>
      <c r="C374" s="5">
        <f>IFERROR(__xludf.DUMMYFUNCTION("""COMPUTED_VALUE"""),855.0)</f>
        <v>855</v>
      </c>
      <c r="D374" s="5">
        <f>IFERROR(__xludf.DUMMYFUNCTION("""COMPUTED_VALUE"""),830.0)</f>
        <v>830</v>
      </c>
      <c r="E374" s="5">
        <f>IFERROR(__xludf.DUMMYFUNCTION("""COMPUTED_VALUE"""),835.0)</f>
        <v>835</v>
      </c>
      <c r="F374" s="5">
        <f>IFERROR(__xludf.DUMMYFUNCTION("""COMPUTED_VALUE"""),1.95492E7)</f>
        <v>19549200</v>
      </c>
      <c r="G374" s="5">
        <f t="shared" si="1"/>
        <v>25</v>
      </c>
    </row>
    <row r="375">
      <c r="A375" s="4">
        <f>IFERROR(__xludf.DUMMYFUNCTION("""COMPUTED_VALUE"""),44393.625)</f>
        <v>44393.625</v>
      </c>
      <c r="B375" s="5">
        <f>IFERROR(__xludf.DUMMYFUNCTION("""COMPUTED_VALUE"""),850.0)</f>
        <v>850</v>
      </c>
      <c r="C375" s="5">
        <f>IFERROR(__xludf.DUMMYFUNCTION("""COMPUTED_VALUE"""),855.0)</f>
        <v>855</v>
      </c>
      <c r="D375" s="5">
        <f>IFERROR(__xludf.DUMMYFUNCTION("""COMPUTED_VALUE"""),835.0)</f>
        <v>835</v>
      </c>
      <c r="E375" s="5">
        <f>IFERROR(__xludf.DUMMYFUNCTION("""COMPUTED_VALUE"""),850.0)</f>
        <v>850</v>
      </c>
      <c r="F375" s="5">
        <f>IFERROR(__xludf.DUMMYFUNCTION("""COMPUTED_VALUE"""),1.85641E7)</f>
        <v>18564100</v>
      </c>
      <c r="G375" s="5">
        <f t="shared" si="1"/>
        <v>20</v>
      </c>
    </row>
    <row r="376">
      <c r="A376" s="4">
        <f>IFERROR(__xludf.DUMMYFUNCTION("""COMPUTED_VALUE"""),44396.625)</f>
        <v>44396.625</v>
      </c>
      <c r="B376" s="5">
        <f>IFERROR(__xludf.DUMMYFUNCTION("""COMPUTED_VALUE"""),840.0)</f>
        <v>840</v>
      </c>
      <c r="C376" s="5">
        <f>IFERROR(__xludf.DUMMYFUNCTION("""COMPUTED_VALUE"""),850.0)</f>
        <v>850</v>
      </c>
      <c r="D376" s="5">
        <f>IFERROR(__xludf.DUMMYFUNCTION("""COMPUTED_VALUE"""),830.0)</f>
        <v>830</v>
      </c>
      <c r="E376" s="5">
        <f>IFERROR(__xludf.DUMMYFUNCTION("""COMPUTED_VALUE"""),840.0)</f>
        <v>840</v>
      </c>
      <c r="F376" s="5">
        <f>IFERROR(__xludf.DUMMYFUNCTION("""COMPUTED_VALUE"""),2.53348E7)</f>
        <v>25334800</v>
      </c>
      <c r="G376" s="5">
        <f t="shared" si="1"/>
        <v>20</v>
      </c>
    </row>
    <row r="377">
      <c r="A377" s="4">
        <f>IFERROR(__xludf.DUMMYFUNCTION("""COMPUTED_VALUE"""),44398.625)</f>
        <v>44398.625</v>
      </c>
      <c r="B377" s="5">
        <f>IFERROR(__xludf.DUMMYFUNCTION("""COMPUTED_VALUE"""),840.0)</f>
        <v>840</v>
      </c>
      <c r="C377" s="5">
        <f>IFERROR(__xludf.DUMMYFUNCTION("""COMPUTED_VALUE"""),935.0)</f>
        <v>935</v>
      </c>
      <c r="D377" s="5">
        <f>IFERROR(__xludf.DUMMYFUNCTION("""COMPUTED_VALUE"""),840.0)</f>
        <v>840</v>
      </c>
      <c r="E377" s="5">
        <f>IFERROR(__xludf.DUMMYFUNCTION("""COMPUTED_VALUE"""),915.0)</f>
        <v>915</v>
      </c>
      <c r="F377" s="5">
        <f>IFERROR(__xludf.DUMMYFUNCTION("""COMPUTED_VALUE"""),1.344118E8)</f>
        <v>134411800</v>
      </c>
      <c r="G377" s="5">
        <f t="shared" si="1"/>
        <v>95</v>
      </c>
    </row>
    <row r="378">
      <c r="A378" s="4">
        <f>IFERROR(__xludf.DUMMYFUNCTION("""COMPUTED_VALUE"""),44399.625)</f>
        <v>44399.625</v>
      </c>
      <c r="B378" s="5">
        <f>IFERROR(__xludf.DUMMYFUNCTION("""COMPUTED_VALUE"""),935.0)</f>
        <v>935</v>
      </c>
      <c r="C378" s="5">
        <f>IFERROR(__xludf.DUMMYFUNCTION("""COMPUTED_VALUE"""),960.0)</f>
        <v>960</v>
      </c>
      <c r="D378" s="5">
        <f>IFERROR(__xludf.DUMMYFUNCTION("""COMPUTED_VALUE"""),915.0)</f>
        <v>915</v>
      </c>
      <c r="E378" s="5">
        <f>IFERROR(__xludf.DUMMYFUNCTION("""COMPUTED_VALUE"""),915.0)</f>
        <v>915</v>
      </c>
      <c r="F378" s="5">
        <f>IFERROR(__xludf.DUMMYFUNCTION("""COMPUTED_VALUE"""),1.02635E8)</f>
        <v>102635000</v>
      </c>
      <c r="G378" s="5">
        <f t="shared" si="1"/>
        <v>45</v>
      </c>
    </row>
    <row r="379">
      <c r="A379" s="4">
        <f>IFERROR(__xludf.DUMMYFUNCTION("""COMPUTED_VALUE"""),44400.625)</f>
        <v>44400.625</v>
      </c>
      <c r="B379" s="5">
        <f>IFERROR(__xludf.DUMMYFUNCTION("""COMPUTED_VALUE"""),920.0)</f>
        <v>920</v>
      </c>
      <c r="C379" s="5">
        <f>IFERROR(__xludf.DUMMYFUNCTION("""COMPUTED_VALUE"""),940.0)</f>
        <v>940</v>
      </c>
      <c r="D379" s="5">
        <f>IFERROR(__xludf.DUMMYFUNCTION("""COMPUTED_VALUE"""),900.0)</f>
        <v>900</v>
      </c>
      <c r="E379" s="5">
        <f>IFERROR(__xludf.DUMMYFUNCTION("""COMPUTED_VALUE"""),915.0)</f>
        <v>915</v>
      </c>
      <c r="F379" s="5">
        <f>IFERROR(__xludf.DUMMYFUNCTION("""COMPUTED_VALUE"""),3.16493E7)</f>
        <v>31649300</v>
      </c>
      <c r="G379" s="5">
        <f t="shared" si="1"/>
        <v>40</v>
      </c>
    </row>
    <row r="380">
      <c r="A380" s="4">
        <f>IFERROR(__xludf.DUMMYFUNCTION("""COMPUTED_VALUE"""),44403.625)</f>
        <v>44403.625</v>
      </c>
      <c r="B380" s="5">
        <f>IFERROR(__xludf.DUMMYFUNCTION("""COMPUTED_VALUE"""),915.0)</f>
        <v>915</v>
      </c>
      <c r="C380" s="5">
        <f>IFERROR(__xludf.DUMMYFUNCTION("""COMPUTED_VALUE"""),930.0)</f>
        <v>930</v>
      </c>
      <c r="D380" s="5">
        <f>IFERROR(__xludf.DUMMYFUNCTION("""COMPUTED_VALUE"""),895.0)</f>
        <v>895</v>
      </c>
      <c r="E380" s="5">
        <f>IFERROR(__xludf.DUMMYFUNCTION("""COMPUTED_VALUE"""),900.0)</f>
        <v>900</v>
      </c>
      <c r="F380" s="5">
        <f>IFERROR(__xludf.DUMMYFUNCTION("""COMPUTED_VALUE"""),2.72015E7)</f>
        <v>27201500</v>
      </c>
      <c r="G380" s="5">
        <f t="shared" si="1"/>
        <v>35</v>
      </c>
    </row>
    <row r="381">
      <c r="A381" s="4">
        <f>IFERROR(__xludf.DUMMYFUNCTION("""COMPUTED_VALUE"""),44404.625)</f>
        <v>44404.625</v>
      </c>
      <c r="B381" s="5">
        <f>IFERROR(__xludf.DUMMYFUNCTION("""COMPUTED_VALUE"""),910.0)</f>
        <v>910</v>
      </c>
      <c r="C381" s="5">
        <f>IFERROR(__xludf.DUMMYFUNCTION("""COMPUTED_VALUE"""),930.0)</f>
        <v>930</v>
      </c>
      <c r="D381" s="5">
        <f>IFERROR(__xludf.DUMMYFUNCTION("""COMPUTED_VALUE"""),890.0)</f>
        <v>890</v>
      </c>
      <c r="E381" s="5">
        <f>IFERROR(__xludf.DUMMYFUNCTION("""COMPUTED_VALUE"""),895.0)</f>
        <v>895</v>
      </c>
      <c r="F381" s="5">
        <f>IFERROR(__xludf.DUMMYFUNCTION("""COMPUTED_VALUE"""),3.08667E7)</f>
        <v>30866700</v>
      </c>
      <c r="G381" s="5">
        <f t="shared" si="1"/>
        <v>40</v>
      </c>
    </row>
    <row r="382">
      <c r="A382" s="4">
        <f>IFERROR(__xludf.DUMMYFUNCTION("""COMPUTED_VALUE"""),44405.625)</f>
        <v>44405.625</v>
      </c>
      <c r="B382" s="5">
        <f>IFERROR(__xludf.DUMMYFUNCTION("""COMPUTED_VALUE"""),895.0)</f>
        <v>895</v>
      </c>
      <c r="C382" s="5">
        <f>IFERROR(__xludf.DUMMYFUNCTION("""COMPUTED_VALUE"""),905.0)</f>
        <v>905</v>
      </c>
      <c r="D382" s="5">
        <f>IFERROR(__xludf.DUMMYFUNCTION("""COMPUTED_VALUE"""),845.0)</f>
        <v>845</v>
      </c>
      <c r="E382" s="5">
        <f>IFERROR(__xludf.DUMMYFUNCTION("""COMPUTED_VALUE"""),850.0)</f>
        <v>850</v>
      </c>
      <c r="F382" s="5">
        <f>IFERROR(__xludf.DUMMYFUNCTION("""COMPUTED_VALUE"""),3.56409E7)</f>
        <v>35640900</v>
      </c>
      <c r="G382" s="5">
        <f t="shared" si="1"/>
        <v>60</v>
      </c>
    </row>
    <row r="383">
      <c r="A383" s="4">
        <f>IFERROR(__xludf.DUMMYFUNCTION("""COMPUTED_VALUE"""),44406.625)</f>
        <v>44406.625</v>
      </c>
      <c r="B383" s="5">
        <f>IFERROR(__xludf.DUMMYFUNCTION("""COMPUTED_VALUE"""),855.0)</f>
        <v>855</v>
      </c>
      <c r="C383" s="5">
        <f>IFERROR(__xludf.DUMMYFUNCTION("""COMPUTED_VALUE"""),870.0)</f>
        <v>870</v>
      </c>
      <c r="D383" s="5">
        <f>IFERROR(__xludf.DUMMYFUNCTION("""COMPUTED_VALUE"""),845.0)</f>
        <v>845</v>
      </c>
      <c r="E383" s="5">
        <f>IFERROR(__xludf.DUMMYFUNCTION("""COMPUTED_VALUE"""),860.0)</f>
        <v>860</v>
      </c>
      <c r="F383" s="5">
        <f>IFERROR(__xludf.DUMMYFUNCTION("""COMPUTED_VALUE"""),3.41187E7)</f>
        <v>34118700</v>
      </c>
      <c r="G383" s="5">
        <f t="shared" si="1"/>
        <v>25</v>
      </c>
    </row>
    <row r="384">
      <c r="A384" s="4">
        <f>IFERROR(__xludf.DUMMYFUNCTION("""COMPUTED_VALUE"""),44407.625)</f>
        <v>44407.625</v>
      </c>
      <c r="B384" s="5">
        <f>IFERROR(__xludf.DUMMYFUNCTION("""COMPUTED_VALUE"""),860.0)</f>
        <v>860</v>
      </c>
      <c r="C384" s="5">
        <f>IFERROR(__xludf.DUMMYFUNCTION("""COMPUTED_VALUE"""),870.0)</f>
        <v>870</v>
      </c>
      <c r="D384" s="5">
        <f>IFERROR(__xludf.DUMMYFUNCTION("""COMPUTED_VALUE"""),835.0)</f>
        <v>835</v>
      </c>
      <c r="E384" s="5">
        <f>IFERROR(__xludf.DUMMYFUNCTION("""COMPUTED_VALUE"""),840.0)</f>
        <v>840</v>
      </c>
      <c r="F384" s="5">
        <f>IFERROR(__xludf.DUMMYFUNCTION("""COMPUTED_VALUE"""),2.57015E7)</f>
        <v>25701500</v>
      </c>
      <c r="G384" s="5">
        <f t="shared" si="1"/>
        <v>35</v>
      </c>
    </row>
    <row r="385">
      <c r="A385" s="4">
        <f>IFERROR(__xludf.DUMMYFUNCTION("""COMPUTED_VALUE"""),44410.625)</f>
        <v>44410.625</v>
      </c>
      <c r="B385" s="5">
        <f>IFERROR(__xludf.DUMMYFUNCTION("""COMPUTED_VALUE"""),840.0)</f>
        <v>840</v>
      </c>
      <c r="C385" s="5">
        <f>IFERROR(__xludf.DUMMYFUNCTION("""COMPUTED_VALUE"""),875.0)</f>
        <v>875</v>
      </c>
      <c r="D385" s="5">
        <f>IFERROR(__xludf.DUMMYFUNCTION("""COMPUTED_VALUE"""),820.0)</f>
        <v>820</v>
      </c>
      <c r="E385" s="5">
        <f>IFERROR(__xludf.DUMMYFUNCTION("""COMPUTED_VALUE"""),865.0)</f>
        <v>865</v>
      </c>
      <c r="F385" s="5">
        <f>IFERROR(__xludf.DUMMYFUNCTION("""COMPUTED_VALUE"""),5.75376E7)</f>
        <v>57537600</v>
      </c>
      <c r="G385" s="5">
        <f t="shared" si="1"/>
        <v>55</v>
      </c>
    </row>
    <row r="386">
      <c r="A386" s="4">
        <f>IFERROR(__xludf.DUMMYFUNCTION("""COMPUTED_VALUE"""),44411.625)</f>
        <v>44411.625</v>
      </c>
      <c r="B386" s="5">
        <f>IFERROR(__xludf.DUMMYFUNCTION("""COMPUTED_VALUE"""),865.0)</f>
        <v>865</v>
      </c>
      <c r="C386" s="5">
        <f>IFERROR(__xludf.DUMMYFUNCTION("""COMPUTED_VALUE"""),900.0)</f>
        <v>900</v>
      </c>
      <c r="D386" s="5">
        <f>IFERROR(__xludf.DUMMYFUNCTION("""COMPUTED_VALUE"""),860.0)</f>
        <v>860</v>
      </c>
      <c r="E386" s="5">
        <f>IFERROR(__xludf.DUMMYFUNCTION("""COMPUTED_VALUE"""),895.0)</f>
        <v>895</v>
      </c>
      <c r="F386" s="5">
        <f>IFERROR(__xludf.DUMMYFUNCTION("""COMPUTED_VALUE"""),3.62715E7)</f>
        <v>36271500</v>
      </c>
      <c r="G386" s="5">
        <f t="shared" si="1"/>
        <v>40</v>
      </c>
    </row>
    <row r="387">
      <c r="A387" s="4">
        <f>IFERROR(__xludf.DUMMYFUNCTION("""COMPUTED_VALUE"""),44412.625)</f>
        <v>44412.625</v>
      </c>
      <c r="B387" s="5">
        <f>IFERROR(__xludf.DUMMYFUNCTION("""COMPUTED_VALUE"""),900.0)</f>
        <v>900</v>
      </c>
      <c r="C387" s="5">
        <f>IFERROR(__xludf.DUMMYFUNCTION("""COMPUTED_VALUE"""),910.0)</f>
        <v>910</v>
      </c>
      <c r="D387" s="5">
        <f>IFERROR(__xludf.DUMMYFUNCTION("""COMPUTED_VALUE"""),870.0)</f>
        <v>870</v>
      </c>
      <c r="E387" s="5">
        <f>IFERROR(__xludf.DUMMYFUNCTION("""COMPUTED_VALUE"""),875.0)</f>
        <v>875</v>
      </c>
      <c r="F387" s="5">
        <f>IFERROR(__xludf.DUMMYFUNCTION("""COMPUTED_VALUE"""),2.5964E7)</f>
        <v>25964000</v>
      </c>
      <c r="G387" s="5">
        <f t="shared" si="1"/>
        <v>40</v>
      </c>
    </row>
    <row r="388">
      <c r="A388" s="4">
        <f>IFERROR(__xludf.DUMMYFUNCTION("""COMPUTED_VALUE"""),44413.625)</f>
        <v>44413.625</v>
      </c>
      <c r="B388" s="5">
        <f>IFERROR(__xludf.DUMMYFUNCTION("""COMPUTED_VALUE"""),875.0)</f>
        <v>875</v>
      </c>
      <c r="C388" s="5">
        <f>IFERROR(__xludf.DUMMYFUNCTION("""COMPUTED_VALUE"""),905.0)</f>
        <v>905</v>
      </c>
      <c r="D388" s="5">
        <f>IFERROR(__xludf.DUMMYFUNCTION("""COMPUTED_VALUE"""),870.0)</f>
        <v>870</v>
      </c>
      <c r="E388" s="5">
        <f>IFERROR(__xludf.DUMMYFUNCTION("""COMPUTED_VALUE"""),885.0)</f>
        <v>885</v>
      </c>
      <c r="F388" s="5">
        <f>IFERROR(__xludf.DUMMYFUNCTION("""COMPUTED_VALUE"""),2.24969E7)</f>
        <v>22496900</v>
      </c>
      <c r="G388" s="5">
        <f t="shared" si="1"/>
        <v>35</v>
      </c>
    </row>
    <row r="389">
      <c r="A389" s="4">
        <f>IFERROR(__xludf.DUMMYFUNCTION("""COMPUTED_VALUE"""),44414.625)</f>
        <v>44414.625</v>
      </c>
      <c r="B389" s="5">
        <f>IFERROR(__xludf.DUMMYFUNCTION("""COMPUTED_VALUE"""),890.0)</f>
        <v>890</v>
      </c>
      <c r="C389" s="5">
        <f>IFERROR(__xludf.DUMMYFUNCTION("""COMPUTED_VALUE"""),900.0)</f>
        <v>900</v>
      </c>
      <c r="D389" s="5">
        <f>IFERROR(__xludf.DUMMYFUNCTION("""COMPUTED_VALUE"""),870.0)</f>
        <v>870</v>
      </c>
      <c r="E389" s="5">
        <f>IFERROR(__xludf.DUMMYFUNCTION("""COMPUTED_VALUE"""),880.0)</f>
        <v>880</v>
      </c>
      <c r="F389" s="5">
        <f>IFERROR(__xludf.DUMMYFUNCTION("""COMPUTED_VALUE"""),1.45417E7)</f>
        <v>14541700</v>
      </c>
      <c r="G389" s="5">
        <f t="shared" si="1"/>
        <v>30</v>
      </c>
    </row>
    <row r="390">
      <c r="A390" s="4">
        <f>IFERROR(__xludf.DUMMYFUNCTION("""COMPUTED_VALUE"""),44417.625)</f>
        <v>44417.625</v>
      </c>
      <c r="B390" s="5">
        <f>IFERROR(__xludf.DUMMYFUNCTION("""COMPUTED_VALUE"""),880.0)</f>
        <v>880</v>
      </c>
      <c r="C390" s="5">
        <f>IFERROR(__xludf.DUMMYFUNCTION("""COMPUTED_VALUE"""),900.0)</f>
        <v>900</v>
      </c>
      <c r="D390" s="5">
        <f>IFERROR(__xludf.DUMMYFUNCTION("""COMPUTED_VALUE"""),860.0)</f>
        <v>860</v>
      </c>
      <c r="E390" s="5">
        <f>IFERROR(__xludf.DUMMYFUNCTION("""COMPUTED_VALUE"""),870.0)</f>
        <v>870</v>
      </c>
      <c r="F390" s="5">
        <f>IFERROR(__xludf.DUMMYFUNCTION("""COMPUTED_VALUE"""),2.34773E7)</f>
        <v>23477300</v>
      </c>
      <c r="G390" s="5">
        <f t="shared" si="1"/>
        <v>40</v>
      </c>
    </row>
    <row r="391">
      <c r="A391" s="4">
        <f>IFERROR(__xludf.DUMMYFUNCTION("""COMPUTED_VALUE"""),44418.625)</f>
        <v>44418.625</v>
      </c>
      <c r="B391" s="5">
        <f>IFERROR(__xludf.DUMMYFUNCTION("""COMPUTED_VALUE"""),870.0)</f>
        <v>870</v>
      </c>
      <c r="C391" s="5">
        <f>IFERROR(__xludf.DUMMYFUNCTION("""COMPUTED_VALUE"""),880.0)</f>
        <v>880</v>
      </c>
      <c r="D391" s="5">
        <f>IFERROR(__xludf.DUMMYFUNCTION("""COMPUTED_VALUE"""),855.0)</f>
        <v>855</v>
      </c>
      <c r="E391" s="5">
        <f>IFERROR(__xludf.DUMMYFUNCTION("""COMPUTED_VALUE"""),865.0)</f>
        <v>865</v>
      </c>
      <c r="F391" s="5">
        <f>IFERROR(__xludf.DUMMYFUNCTION("""COMPUTED_VALUE"""),1.43027E7)</f>
        <v>14302700</v>
      </c>
      <c r="G391" s="5">
        <f t="shared" si="1"/>
        <v>25</v>
      </c>
    </row>
    <row r="392">
      <c r="A392" s="4">
        <f>IFERROR(__xludf.DUMMYFUNCTION("""COMPUTED_VALUE"""),44420.625)</f>
        <v>44420.625</v>
      </c>
      <c r="B392" s="5">
        <f>IFERROR(__xludf.DUMMYFUNCTION("""COMPUTED_VALUE"""),865.0)</f>
        <v>865</v>
      </c>
      <c r="C392" s="5">
        <f>IFERROR(__xludf.DUMMYFUNCTION("""COMPUTED_VALUE"""),910.0)</f>
        <v>910</v>
      </c>
      <c r="D392" s="5">
        <f>IFERROR(__xludf.DUMMYFUNCTION("""COMPUTED_VALUE"""),860.0)</f>
        <v>860</v>
      </c>
      <c r="E392" s="5">
        <f>IFERROR(__xludf.DUMMYFUNCTION("""COMPUTED_VALUE"""),885.0)</f>
        <v>885</v>
      </c>
      <c r="F392" s="5">
        <f>IFERROR(__xludf.DUMMYFUNCTION("""COMPUTED_VALUE"""),2.23575E7)</f>
        <v>22357500</v>
      </c>
      <c r="G392" s="5">
        <f t="shared" si="1"/>
        <v>50</v>
      </c>
    </row>
    <row r="393">
      <c r="A393" s="4">
        <f>IFERROR(__xludf.DUMMYFUNCTION("""COMPUTED_VALUE"""),44421.625)</f>
        <v>44421.625</v>
      </c>
      <c r="B393" s="5">
        <f>IFERROR(__xludf.DUMMYFUNCTION("""COMPUTED_VALUE"""),890.0)</f>
        <v>890</v>
      </c>
      <c r="C393" s="5">
        <f>IFERROR(__xludf.DUMMYFUNCTION("""COMPUTED_VALUE"""),900.0)</f>
        <v>900</v>
      </c>
      <c r="D393" s="5">
        <f>IFERROR(__xludf.DUMMYFUNCTION("""COMPUTED_VALUE"""),870.0)</f>
        <v>870</v>
      </c>
      <c r="E393" s="5">
        <f>IFERROR(__xludf.DUMMYFUNCTION("""COMPUTED_VALUE"""),880.0)</f>
        <v>880</v>
      </c>
      <c r="F393" s="5">
        <f>IFERROR(__xludf.DUMMYFUNCTION("""COMPUTED_VALUE"""),1.0332E7)</f>
        <v>10332000</v>
      </c>
      <c r="G393" s="5">
        <f t="shared" si="1"/>
        <v>30</v>
      </c>
    </row>
    <row r="394">
      <c r="A394" s="4">
        <f>IFERROR(__xludf.DUMMYFUNCTION("""COMPUTED_VALUE"""),44424.625)</f>
        <v>44424.625</v>
      </c>
      <c r="B394" s="5">
        <f>IFERROR(__xludf.DUMMYFUNCTION("""COMPUTED_VALUE"""),880.0)</f>
        <v>880</v>
      </c>
      <c r="C394" s="5">
        <f>IFERROR(__xludf.DUMMYFUNCTION("""COMPUTED_VALUE"""),895.0)</f>
        <v>895</v>
      </c>
      <c r="D394" s="5">
        <f>IFERROR(__xludf.DUMMYFUNCTION("""COMPUTED_VALUE"""),870.0)</f>
        <v>870</v>
      </c>
      <c r="E394" s="5">
        <f>IFERROR(__xludf.DUMMYFUNCTION("""COMPUTED_VALUE"""),880.0)</f>
        <v>880</v>
      </c>
      <c r="F394" s="5">
        <f>IFERROR(__xludf.DUMMYFUNCTION("""COMPUTED_VALUE"""),2.18637E7)</f>
        <v>21863700</v>
      </c>
      <c r="G394" s="5">
        <f t="shared" si="1"/>
        <v>25</v>
      </c>
    </row>
    <row r="395">
      <c r="A395" s="4">
        <f>IFERROR(__xludf.DUMMYFUNCTION("""COMPUTED_VALUE"""),44426.625)</f>
        <v>44426.625</v>
      </c>
      <c r="B395" s="5">
        <f>IFERROR(__xludf.DUMMYFUNCTION("""COMPUTED_VALUE"""),880.0)</f>
        <v>880</v>
      </c>
      <c r="C395" s="5">
        <f>IFERROR(__xludf.DUMMYFUNCTION("""COMPUTED_VALUE"""),885.0)</f>
        <v>885</v>
      </c>
      <c r="D395" s="5">
        <f>IFERROR(__xludf.DUMMYFUNCTION("""COMPUTED_VALUE"""),840.0)</f>
        <v>840</v>
      </c>
      <c r="E395" s="5">
        <f>IFERROR(__xludf.DUMMYFUNCTION("""COMPUTED_VALUE"""),860.0)</f>
        <v>860</v>
      </c>
      <c r="F395" s="5">
        <f>IFERROR(__xludf.DUMMYFUNCTION("""COMPUTED_VALUE"""),2.82014E7)</f>
        <v>28201400</v>
      </c>
      <c r="G395" s="5">
        <f t="shared" si="1"/>
        <v>45</v>
      </c>
    </row>
    <row r="396">
      <c r="A396" s="4">
        <f>IFERROR(__xludf.DUMMYFUNCTION("""COMPUTED_VALUE"""),44427.625)</f>
        <v>44427.625</v>
      </c>
      <c r="B396" s="5">
        <f>IFERROR(__xludf.DUMMYFUNCTION("""COMPUTED_VALUE"""),855.0)</f>
        <v>855</v>
      </c>
      <c r="C396" s="5">
        <f>IFERROR(__xludf.DUMMYFUNCTION("""COMPUTED_VALUE"""),865.0)</f>
        <v>865</v>
      </c>
      <c r="D396" s="5">
        <f>IFERROR(__xludf.DUMMYFUNCTION("""COMPUTED_VALUE"""),820.0)</f>
        <v>820</v>
      </c>
      <c r="E396" s="5">
        <f>IFERROR(__xludf.DUMMYFUNCTION("""COMPUTED_VALUE"""),825.0)</f>
        <v>825</v>
      </c>
      <c r="F396" s="5">
        <f>IFERROR(__xludf.DUMMYFUNCTION("""COMPUTED_VALUE"""),2.53918E7)</f>
        <v>25391800</v>
      </c>
      <c r="G396" s="5">
        <f t="shared" si="1"/>
        <v>45</v>
      </c>
    </row>
    <row r="397">
      <c r="A397" s="4">
        <f>IFERROR(__xludf.DUMMYFUNCTION("""COMPUTED_VALUE"""),44428.625)</f>
        <v>44428.625</v>
      </c>
      <c r="B397" s="5">
        <f>IFERROR(__xludf.DUMMYFUNCTION("""COMPUTED_VALUE"""),825.0)</f>
        <v>825</v>
      </c>
      <c r="C397" s="5">
        <f>IFERROR(__xludf.DUMMYFUNCTION("""COMPUTED_VALUE"""),830.0)</f>
        <v>830</v>
      </c>
      <c r="D397" s="5">
        <f>IFERROR(__xludf.DUMMYFUNCTION("""COMPUTED_VALUE"""),800.0)</f>
        <v>800</v>
      </c>
      <c r="E397" s="5">
        <f>IFERROR(__xludf.DUMMYFUNCTION("""COMPUTED_VALUE"""),820.0)</f>
        <v>820</v>
      </c>
      <c r="F397" s="5">
        <f>IFERROR(__xludf.DUMMYFUNCTION("""COMPUTED_VALUE"""),1.75849E7)</f>
        <v>17584900</v>
      </c>
      <c r="G397" s="5">
        <f t="shared" si="1"/>
        <v>30</v>
      </c>
    </row>
    <row r="398">
      <c r="A398" s="4">
        <f>IFERROR(__xludf.DUMMYFUNCTION("""COMPUTED_VALUE"""),44431.66666666667)</f>
        <v>44431.66667</v>
      </c>
      <c r="B398" s="5">
        <f>IFERROR(__xludf.DUMMYFUNCTION("""COMPUTED_VALUE"""),835.0)</f>
        <v>835</v>
      </c>
      <c r="C398" s="5">
        <f>IFERROR(__xludf.DUMMYFUNCTION("""COMPUTED_VALUE"""),865.0)</f>
        <v>865</v>
      </c>
      <c r="D398" s="5">
        <f>IFERROR(__xludf.DUMMYFUNCTION("""COMPUTED_VALUE"""),830.0)</f>
        <v>830</v>
      </c>
      <c r="E398" s="5">
        <f>IFERROR(__xludf.DUMMYFUNCTION("""COMPUTED_VALUE"""),865.0)</f>
        <v>865</v>
      </c>
      <c r="F398" s="5">
        <f>IFERROR(__xludf.DUMMYFUNCTION("""COMPUTED_VALUE"""),2.24956E7)</f>
        <v>22495600</v>
      </c>
      <c r="G398" s="5">
        <f t="shared" si="1"/>
        <v>45</v>
      </c>
    </row>
    <row r="399">
      <c r="A399" s="4">
        <f>IFERROR(__xludf.DUMMYFUNCTION("""COMPUTED_VALUE"""),44432.66666666667)</f>
        <v>44432.66667</v>
      </c>
      <c r="B399" s="5">
        <f>IFERROR(__xludf.DUMMYFUNCTION("""COMPUTED_VALUE"""),875.0)</f>
        <v>875</v>
      </c>
      <c r="C399" s="5">
        <f>IFERROR(__xludf.DUMMYFUNCTION("""COMPUTED_VALUE"""),890.0)</f>
        <v>890</v>
      </c>
      <c r="D399" s="5">
        <f>IFERROR(__xludf.DUMMYFUNCTION("""COMPUTED_VALUE"""),855.0)</f>
        <v>855</v>
      </c>
      <c r="E399" s="5">
        <f>IFERROR(__xludf.DUMMYFUNCTION("""COMPUTED_VALUE"""),855.0)</f>
        <v>855</v>
      </c>
      <c r="F399" s="5">
        <f>IFERROR(__xludf.DUMMYFUNCTION("""COMPUTED_VALUE"""),2.04477E7)</f>
        <v>20447700</v>
      </c>
      <c r="G399" s="5">
        <f t="shared" si="1"/>
        <v>35</v>
      </c>
    </row>
    <row r="400">
      <c r="A400" s="4">
        <f>IFERROR(__xludf.DUMMYFUNCTION("""COMPUTED_VALUE"""),44433.625)</f>
        <v>44433.625</v>
      </c>
      <c r="B400" s="5">
        <f>IFERROR(__xludf.DUMMYFUNCTION("""COMPUTED_VALUE"""),870.0)</f>
        <v>870</v>
      </c>
      <c r="C400" s="5">
        <f>IFERROR(__xludf.DUMMYFUNCTION("""COMPUTED_VALUE"""),910.0)</f>
        <v>910</v>
      </c>
      <c r="D400" s="5">
        <f>IFERROR(__xludf.DUMMYFUNCTION("""COMPUTED_VALUE"""),865.0)</f>
        <v>865</v>
      </c>
      <c r="E400" s="5">
        <f>IFERROR(__xludf.DUMMYFUNCTION("""COMPUTED_VALUE"""),880.0)</f>
        <v>880</v>
      </c>
      <c r="F400" s="5">
        <f>IFERROR(__xludf.DUMMYFUNCTION("""COMPUTED_VALUE"""),4.94695E7)</f>
        <v>49469500</v>
      </c>
      <c r="G400" s="5">
        <f t="shared" si="1"/>
        <v>55</v>
      </c>
    </row>
    <row r="401">
      <c r="A401" s="4">
        <f>IFERROR(__xludf.DUMMYFUNCTION("""COMPUTED_VALUE"""),44434.625)</f>
        <v>44434.625</v>
      </c>
      <c r="B401" s="5">
        <f>IFERROR(__xludf.DUMMYFUNCTION("""COMPUTED_VALUE"""),885.0)</f>
        <v>885</v>
      </c>
      <c r="C401" s="5">
        <f>IFERROR(__xludf.DUMMYFUNCTION("""COMPUTED_VALUE"""),890.0)</f>
        <v>890</v>
      </c>
      <c r="D401" s="5">
        <f>IFERROR(__xludf.DUMMYFUNCTION("""COMPUTED_VALUE"""),860.0)</f>
        <v>860</v>
      </c>
      <c r="E401" s="5">
        <f>IFERROR(__xludf.DUMMYFUNCTION("""COMPUTED_VALUE"""),865.0)</f>
        <v>865</v>
      </c>
      <c r="F401" s="5">
        <f>IFERROR(__xludf.DUMMYFUNCTION("""COMPUTED_VALUE"""),1.12723E7)</f>
        <v>11272300</v>
      </c>
      <c r="G401" s="5">
        <f t="shared" si="1"/>
        <v>30</v>
      </c>
    </row>
    <row r="402">
      <c r="A402" s="4">
        <f>IFERROR(__xludf.DUMMYFUNCTION("""COMPUTED_VALUE"""),44435.625)</f>
        <v>44435.625</v>
      </c>
      <c r="B402" s="5">
        <f>IFERROR(__xludf.DUMMYFUNCTION("""COMPUTED_VALUE"""),865.0)</f>
        <v>865</v>
      </c>
      <c r="C402" s="5">
        <f>IFERROR(__xludf.DUMMYFUNCTION("""COMPUTED_VALUE"""),875.0)</f>
        <v>875</v>
      </c>
      <c r="D402" s="5">
        <f>IFERROR(__xludf.DUMMYFUNCTION("""COMPUTED_VALUE"""),855.0)</f>
        <v>855</v>
      </c>
      <c r="E402" s="5">
        <f>IFERROR(__xludf.DUMMYFUNCTION("""COMPUTED_VALUE"""),870.0)</f>
        <v>870</v>
      </c>
      <c r="F402" s="5">
        <f>IFERROR(__xludf.DUMMYFUNCTION("""COMPUTED_VALUE"""),1.01726E7)</f>
        <v>10172600</v>
      </c>
      <c r="G402" s="5">
        <f t="shared" si="1"/>
        <v>20</v>
      </c>
    </row>
    <row r="403">
      <c r="A403" s="4">
        <f>IFERROR(__xludf.DUMMYFUNCTION("""COMPUTED_VALUE"""),44438.625)</f>
        <v>44438.625</v>
      </c>
      <c r="B403" s="5">
        <f>IFERROR(__xludf.DUMMYFUNCTION("""COMPUTED_VALUE"""),880.0)</f>
        <v>880</v>
      </c>
      <c r="C403" s="5">
        <f>IFERROR(__xludf.DUMMYFUNCTION("""COMPUTED_VALUE"""),915.0)</f>
        <v>915</v>
      </c>
      <c r="D403" s="5">
        <f>IFERROR(__xludf.DUMMYFUNCTION("""COMPUTED_VALUE"""),865.0)</f>
        <v>865</v>
      </c>
      <c r="E403" s="5">
        <f>IFERROR(__xludf.DUMMYFUNCTION("""COMPUTED_VALUE"""),900.0)</f>
        <v>900</v>
      </c>
      <c r="F403" s="5">
        <f>IFERROR(__xludf.DUMMYFUNCTION("""COMPUTED_VALUE"""),3.95156E7)</f>
        <v>39515600</v>
      </c>
      <c r="G403" s="5">
        <f t="shared" si="1"/>
        <v>50</v>
      </c>
    </row>
    <row r="404">
      <c r="A404" s="4">
        <f>IFERROR(__xludf.DUMMYFUNCTION("""COMPUTED_VALUE"""),44439.625)</f>
        <v>44439.625</v>
      </c>
      <c r="B404" s="5">
        <f>IFERROR(__xludf.DUMMYFUNCTION("""COMPUTED_VALUE"""),910.0)</f>
        <v>910</v>
      </c>
      <c r="C404" s="5">
        <f>IFERROR(__xludf.DUMMYFUNCTION("""COMPUTED_VALUE"""),910.0)</f>
        <v>910</v>
      </c>
      <c r="D404" s="5">
        <f>IFERROR(__xludf.DUMMYFUNCTION("""COMPUTED_VALUE"""),890.0)</f>
        <v>890</v>
      </c>
      <c r="E404" s="5">
        <f>IFERROR(__xludf.DUMMYFUNCTION("""COMPUTED_VALUE"""),905.0)</f>
        <v>905</v>
      </c>
      <c r="F404" s="5">
        <f>IFERROR(__xludf.DUMMYFUNCTION("""COMPUTED_VALUE"""),1.45566E7)</f>
        <v>14556600</v>
      </c>
      <c r="G404" s="5">
        <f t="shared" si="1"/>
        <v>20</v>
      </c>
    </row>
    <row r="405">
      <c r="A405" s="4">
        <f>IFERROR(__xludf.DUMMYFUNCTION("""COMPUTED_VALUE"""),44440.625)</f>
        <v>44440.625</v>
      </c>
      <c r="B405" s="5">
        <f>IFERROR(__xludf.DUMMYFUNCTION("""COMPUTED_VALUE"""),910.0)</f>
        <v>910</v>
      </c>
      <c r="C405" s="5">
        <f>IFERROR(__xludf.DUMMYFUNCTION("""COMPUTED_VALUE"""),930.0)</f>
        <v>930</v>
      </c>
      <c r="D405" s="5">
        <f>IFERROR(__xludf.DUMMYFUNCTION("""COMPUTED_VALUE"""),905.0)</f>
        <v>905</v>
      </c>
      <c r="E405" s="5">
        <f>IFERROR(__xludf.DUMMYFUNCTION("""COMPUTED_VALUE"""),910.0)</f>
        <v>910</v>
      </c>
      <c r="F405" s="5">
        <f>IFERROR(__xludf.DUMMYFUNCTION("""COMPUTED_VALUE"""),2.176E7)</f>
        <v>21760000</v>
      </c>
      <c r="G405" s="5">
        <f t="shared" si="1"/>
        <v>25</v>
      </c>
    </row>
    <row r="406">
      <c r="A406" s="4">
        <f>IFERROR(__xludf.DUMMYFUNCTION("""COMPUTED_VALUE"""),44441.625)</f>
        <v>44441.625</v>
      </c>
      <c r="B406" s="5">
        <f>IFERROR(__xludf.DUMMYFUNCTION("""COMPUTED_VALUE"""),920.0)</f>
        <v>920</v>
      </c>
      <c r="C406" s="5">
        <f>IFERROR(__xludf.DUMMYFUNCTION("""COMPUTED_VALUE"""),925.0)</f>
        <v>925</v>
      </c>
      <c r="D406" s="5">
        <f>IFERROR(__xludf.DUMMYFUNCTION("""COMPUTED_VALUE"""),875.0)</f>
        <v>875</v>
      </c>
      <c r="E406" s="5">
        <f>IFERROR(__xludf.DUMMYFUNCTION("""COMPUTED_VALUE"""),885.0)</f>
        <v>885</v>
      </c>
      <c r="F406" s="5">
        <f>IFERROR(__xludf.DUMMYFUNCTION("""COMPUTED_VALUE"""),2.72413E7)</f>
        <v>27241300</v>
      </c>
      <c r="G406" s="5">
        <f t="shared" si="1"/>
        <v>50</v>
      </c>
    </row>
    <row r="407">
      <c r="A407" s="4">
        <f>IFERROR(__xludf.DUMMYFUNCTION("""COMPUTED_VALUE"""),44442.625)</f>
        <v>44442.625</v>
      </c>
      <c r="B407" s="5">
        <f>IFERROR(__xludf.DUMMYFUNCTION("""COMPUTED_VALUE"""),890.0)</f>
        <v>890</v>
      </c>
      <c r="C407" s="5">
        <f>IFERROR(__xludf.DUMMYFUNCTION("""COMPUTED_VALUE"""),920.0)</f>
        <v>920</v>
      </c>
      <c r="D407" s="5">
        <f>IFERROR(__xludf.DUMMYFUNCTION("""COMPUTED_VALUE"""),880.0)</f>
        <v>880</v>
      </c>
      <c r="E407" s="5">
        <f>IFERROR(__xludf.DUMMYFUNCTION("""COMPUTED_VALUE"""),920.0)</f>
        <v>920</v>
      </c>
      <c r="F407" s="5">
        <f>IFERROR(__xludf.DUMMYFUNCTION("""COMPUTED_VALUE"""),2.33767E7)</f>
        <v>23376700</v>
      </c>
      <c r="G407" s="5">
        <f t="shared" si="1"/>
        <v>40</v>
      </c>
    </row>
    <row r="408">
      <c r="A408" s="4">
        <f>IFERROR(__xludf.DUMMYFUNCTION("""COMPUTED_VALUE"""),44445.625)</f>
        <v>44445.625</v>
      </c>
      <c r="B408" s="5">
        <f>IFERROR(__xludf.DUMMYFUNCTION("""COMPUTED_VALUE"""),925.0)</f>
        <v>925</v>
      </c>
      <c r="C408" s="5">
        <f>IFERROR(__xludf.DUMMYFUNCTION("""COMPUTED_VALUE"""),1035.0)</f>
        <v>1035</v>
      </c>
      <c r="D408" s="5">
        <f>IFERROR(__xludf.DUMMYFUNCTION("""COMPUTED_VALUE"""),925.0)</f>
        <v>925</v>
      </c>
      <c r="E408" s="5">
        <f>IFERROR(__xludf.DUMMYFUNCTION("""COMPUTED_VALUE"""),1035.0)</f>
        <v>1035</v>
      </c>
      <c r="F408" s="5">
        <f>IFERROR(__xludf.DUMMYFUNCTION("""COMPUTED_VALUE"""),1.276004E8)</f>
        <v>127600400</v>
      </c>
      <c r="G408" s="5">
        <f t="shared" si="1"/>
        <v>115</v>
      </c>
    </row>
    <row r="409">
      <c r="A409" s="4">
        <f>IFERROR(__xludf.DUMMYFUNCTION("""COMPUTED_VALUE"""),44446.625)</f>
        <v>44446.625</v>
      </c>
      <c r="B409" s="5">
        <f>IFERROR(__xludf.DUMMYFUNCTION("""COMPUTED_VALUE"""),1035.0)</f>
        <v>1035</v>
      </c>
      <c r="C409" s="5">
        <f>IFERROR(__xludf.DUMMYFUNCTION("""COMPUTED_VALUE"""),1070.0)</f>
        <v>1070</v>
      </c>
      <c r="D409" s="5">
        <f>IFERROR(__xludf.DUMMYFUNCTION("""COMPUTED_VALUE"""),995.0)</f>
        <v>995</v>
      </c>
      <c r="E409" s="5">
        <f>IFERROR(__xludf.DUMMYFUNCTION("""COMPUTED_VALUE"""),1025.0)</f>
        <v>1025</v>
      </c>
      <c r="F409" s="5">
        <f>IFERROR(__xludf.DUMMYFUNCTION("""COMPUTED_VALUE"""),1.049974E8)</f>
        <v>104997400</v>
      </c>
      <c r="G409" s="5">
        <f t="shared" si="1"/>
        <v>75</v>
      </c>
    </row>
    <row r="410">
      <c r="A410" s="4">
        <f>IFERROR(__xludf.DUMMYFUNCTION("""COMPUTED_VALUE"""),44447.625)</f>
        <v>44447.625</v>
      </c>
      <c r="B410" s="5">
        <f>IFERROR(__xludf.DUMMYFUNCTION("""COMPUTED_VALUE"""),1020.0)</f>
        <v>1020</v>
      </c>
      <c r="C410" s="5">
        <f>IFERROR(__xludf.DUMMYFUNCTION("""COMPUTED_VALUE"""),1050.0)</f>
        <v>1050</v>
      </c>
      <c r="D410" s="5">
        <f>IFERROR(__xludf.DUMMYFUNCTION("""COMPUTED_VALUE"""),1005.0)</f>
        <v>1005</v>
      </c>
      <c r="E410" s="5">
        <f>IFERROR(__xludf.DUMMYFUNCTION("""COMPUTED_VALUE"""),1020.0)</f>
        <v>1020</v>
      </c>
      <c r="F410" s="5">
        <f>IFERROR(__xludf.DUMMYFUNCTION("""COMPUTED_VALUE"""),6.14683E7)</f>
        <v>61468300</v>
      </c>
      <c r="G410" s="5">
        <f t="shared" si="1"/>
        <v>45</v>
      </c>
    </row>
    <row r="411">
      <c r="A411" s="4">
        <f>IFERROR(__xludf.DUMMYFUNCTION("""COMPUTED_VALUE"""),44448.625)</f>
        <v>44448.625</v>
      </c>
      <c r="B411" s="5">
        <f>IFERROR(__xludf.DUMMYFUNCTION("""COMPUTED_VALUE"""),1020.0)</f>
        <v>1020</v>
      </c>
      <c r="C411" s="5">
        <f>IFERROR(__xludf.DUMMYFUNCTION("""COMPUTED_VALUE"""),1040.0)</f>
        <v>1040</v>
      </c>
      <c r="D411" s="5">
        <f>IFERROR(__xludf.DUMMYFUNCTION("""COMPUTED_VALUE"""),955.0)</f>
        <v>955</v>
      </c>
      <c r="E411" s="5">
        <f>IFERROR(__xludf.DUMMYFUNCTION("""COMPUTED_VALUE"""),985.0)</f>
        <v>985</v>
      </c>
      <c r="F411" s="5">
        <f>IFERROR(__xludf.DUMMYFUNCTION("""COMPUTED_VALUE"""),5.58735E7)</f>
        <v>55873500</v>
      </c>
      <c r="G411" s="5">
        <f t="shared" si="1"/>
        <v>85</v>
      </c>
    </row>
    <row r="412">
      <c r="A412" s="4">
        <f>IFERROR(__xludf.DUMMYFUNCTION("""COMPUTED_VALUE"""),44449.625)</f>
        <v>44449.625</v>
      </c>
      <c r="B412" s="5">
        <f>IFERROR(__xludf.DUMMYFUNCTION("""COMPUTED_VALUE"""),985.0)</f>
        <v>985</v>
      </c>
      <c r="C412" s="5">
        <f>IFERROR(__xludf.DUMMYFUNCTION("""COMPUTED_VALUE"""),1015.0)</f>
        <v>1015</v>
      </c>
      <c r="D412" s="5">
        <f>IFERROR(__xludf.DUMMYFUNCTION("""COMPUTED_VALUE"""),985.0)</f>
        <v>985</v>
      </c>
      <c r="E412" s="5">
        <f>IFERROR(__xludf.DUMMYFUNCTION("""COMPUTED_VALUE"""),995.0)</f>
        <v>995</v>
      </c>
      <c r="F412" s="5">
        <f>IFERROR(__xludf.DUMMYFUNCTION("""COMPUTED_VALUE"""),2.47485E7)</f>
        <v>24748500</v>
      </c>
      <c r="G412" s="5">
        <f t="shared" si="1"/>
        <v>30</v>
      </c>
    </row>
    <row r="413">
      <c r="A413" s="4">
        <f>IFERROR(__xludf.DUMMYFUNCTION("""COMPUTED_VALUE"""),44452.625)</f>
        <v>44452.625</v>
      </c>
      <c r="B413" s="5">
        <f>IFERROR(__xludf.DUMMYFUNCTION("""COMPUTED_VALUE"""),995.0)</f>
        <v>995</v>
      </c>
      <c r="C413" s="5">
        <f>IFERROR(__xludf.DUMMYFUNCTION("""COMPUTED_VALUE"""),1010.0)</f>
        <v>1010</v>
      </c>
      <c r="D413" s="5">
        <f>IFERROR(__xludf.DUMMYFUNCTION("""COMPUTED_VALUE"""),985.0)</f>
        <v>985</v>
      </c>
      <c r="E413" s="5">
        <f>IFERROR(__xludf.DUMMYFUNCTION("""COMPUTED_VALUE"""),995.0)</f>
        <v>995</v>
      </c>
      <c r="F413" s="5">
        <f>IFERROR(__xludf.DUMMYFUNCTION("""COMPUTED_VALUE"""),1.67481E7)</f>
        <v>16748100</v>
      </c>
      <c r="G413" s="5">
        <f t="shared" si="1"/>
        <v>25</v>
      </c>
    </row>
    <row r="414">
      <c r="A414" s="4">
        <f>IFERROR(__xludf.DUMMYFUNCTION("""COMPUTED_VALUE"""),44453.625)</f>
        <v>44453.625</v>
      </c>
      <c r="B414" s="5">
        <f>IFERROR(__xludf.DUMMYFUNCTION("""COMPUTED_VALUE"""),1000.0)</f>
        <v>1000</v>
      </c>
      <c r="C414" s="5">
        <f>IFERROR(__xludf.DUMMYFUNCTION("""COMPUTED_VALUE"""),1045.0)</f>
        <v>1045</v>
      </c>
      <c r="D414" s="5">
        <f>IFERROR(__xludf.DUMMYFUNCTION("""COMPUTED_VALUE"""),1000.0)</f>
        <v>1000</v>
      </c>
      <c r="E414" s="5">
        <f>IFERROR(__xludf.DUMMYFUNCTION("""COMPUTED_VALUE"""),1010.0)</f>
        <v>1010</v>
      </c>
      <c r="F414" s="5">
        <f>IFERROR(__xludf.DUMMYFUNCTION("""COMPUTED_VALUE"""),4.78196E7)</f>
        <v>47819600</v>
      </c>
      <c r="G414" s="5">
        <f t="shared" si="1"/>
        <v>50</v>
      </c>
    </row>
    <row r="415">
      <c r="A415" s="4">
        <f>IFERROR(__xludf.DUMMYFUNCTION("""COMPUTED_VALUE"""),44454.625)</f>
        <v>44454.625</v>
      </c>
      <c r="B415" s="5">
        <f>IFERROR(__xludf.DUMMYFUNCTION("""COMPUTED_VALUE"""),1005.0)</f>
        <v>1005</v>
      </c>
      <c r="C415" s="5">
        <f>IFERROR(__xludf.DUMMYFUNCTION("""COMPUTED_VALUE"""),1070.0)</f>
        <v>1070</v>
      </c>
      <c r="D415" s="5">
        <f>IFERROR(__xludf.DUMMYFUNCTION("""COMPUTED_VALUE"""),1000.0)</f>
        <v>1000</v>
      </c>
      <c r="E415" s="5">
        <f>IFERROR(__xludf.DUMMYFUNCTION("""COMPUTED_VALUE"""),1060.0)</f>
        <v>1060</v>
      </c>
      <c r="F415" s="5">
        <f>IFERROR(__xludf.DUMMYFUNCTION("""COMPUTED_VALUE"""),6.7998E7)</f>
        <v>67998000</v>
      </c>
      <c r="G415" s="5">
        <f t="shared" si="1"/>
        <v>70</v>
      </c>
    </row>
    <row r="416">
      <c r="A416" s="4">
        <f>IFERROR(__xludf.DUMMYFUNCTION("""COMPUTED_VALUE"""),44455.625)</f>
        <v>44455.625</v>
      </c>
      <c r="B416" s="5">
        <f>IFERROR(__xludf.DUMMYFUNCTION("""COMPUTED_VALUE"""),1075.0)</f>
        <v>1075</v>
      </c>
      <c r="C416" s="5">
        <f>IFERROR(__xludf.DUMMYFUNCTION("""COMPUTED_VALUE"""),1080.0)</f>
        <v>1080</v>
      </c>
      <c r="D416" s="5">
        <f>IFERROR(__xludf.DUMMYFUNCTION("""COMPUTED_VALUE"""),1030.0)</f>
        <v>1030</v>
      </c>
      <c r="E416" s="5">
        <f>IFERROR(__xludf.DUMMYFUNCTION("""COMPUTED_VALUE"""),1035.0)</f>
        <v>1035</v>
      </c>
      <c r="F416" s="5">
        <f>IFERROR(__xludf.DUMMYFUNCTION("""COMPUTED_VALUE"""),4.33756E7)</f>
        <v>43375600</v>
      </c>
      <c r="G416" s="5">
        <f t="shared" si="1"/>
        <v>50</v>
      </c>
    </row>
    <row r="417">
      <c r="A417" s="4">
        <f>IFERROR(__xludf.DUMMYFUNCTION("""COMPUTED_VALUE"""),44456.625)</f>
        <v>44456.625</v>
      </c>
      <c r="B417" s="5">
        <f>IFERROR(__xludf.DUMMYFUNCTION("""COMPUTED_VALUE"""),1035.0)</f>
        <v>1035</v>
      </c>
      <c r="C417" s="5">
        <f>IFERROR(__xludf.DUMMYFUNCTION("""COMPUTED_VALUE"""),1085.0)</f>
        <v>1085</v>
      </c>
      <c r="D417" s="5">
        <f>IFERROR(__xludf.DUMMYFUNCTION("""COMPUTED_VALUE"""),1030.0)</f>
        <v>1030</v>
      </c>
      <c r="E417" s="5">
        <f>IFERROR(__xludf.DUMMYFUNCTION("""COMPUTED_VALUE"""),1050.0)</f>
        <v>1050</v>
      </c>
      <c r="F417" s="5">
        <f>IFERROR(__xludf.DUMMYFUNCTION("""COMPUTED_VALUE"""),5.71008E7)</f>
        <v>57100800</v>
      </c>
      <c r="G417" s="5">
        <f t="shared" si="1"/>
        <v>55</v>
      </c>
    </row>
    <row r="418">
      <c r="A418" s="4">
        <f>IFERROR(__xludf.DUMMYFUNCTION("""COMPUTED_VALUE"""),44459.625)</f>
        <v>44459.625</v>
      </c>
      <c r="B418" s="5">
        <f>IFERROR(__xludf.DUMMYFUNCTION("""COMPUTED_VALUE"""),1045.0)</f>
        <v>1045</v>
      </c>
      <c r="C418" s="5">
        <f>IFERROR(__xludf.DUMMYFUNCTION("""COMPUTED_VALUE"""),1065.0)</f>
        <v>1065</v>
      </c>
      <c r="D418" s="5">
        <f>IFERROR(__xludf.DUMMYFUNCTION("""COMPUTED_VALUE"""),1015.0)</f>
        <v>1015</v>
      </c>
      <c r="E418" s="5">
        <f>IFERROR(__xludf.DUMMYFUNCTION("""COMPUTED_VALUE"""),1025.0)</f>
        <v>1025</v>
      </c>
      <c r="F418" s="5">
        <f>IFERROR(__xludf.DUMMYFUNCTION("""COMPUTED_VALUE"""),3.15246E7)</f>
        <v>31524600</v>
      </c>
      <c r="G418" s="5">
        <f t="shared" si="1"/>
        <v>50</v>
      </c>
    </row>
    <row r="419">
      <c r="A419" s="4">
        <f>IFERROR(__xludf.DUMMYFUNCTION("""COMPUTED_VALUE"""),44460.625)</f>
        <v>44460.625</v>
      </c>
      <c r="B419" s="5">
        <f>IFERROR(__xludf.DUMMYFUNCTION("""COMPUTED_VALUE"""),1005.0)</f>
        <v>1005</v>
      </c>
      <c r="C419" s="5">
        <f>IFERROR(__xludf.DUMMYFUNCTION("""COMPUTED_VALUE"""),1050.0)</f>
        <v>1050</v>
      </c>
      <c r="D419" s="5">
        <f>IFERROR(__xludf.DUMMYFUNCTION("""COMPUTED_VALUE"""),1005.0)</f>
        <v>1005</v>
      </c>
      <c r="E419" s="5">
        <f>IFERROR(__xludf.DUMMYFUNCTION("""COMPUTED_VALUE"""),1050.0)</f>
        <v>1050</v>
      </c>
      <c r="F419" s="5">
        <f>IFERROR(__xludf.DUMMYFUNCTION("""COMPUTED_VALUE"""),3.19957E7)</f>
        <v>31995700</v>
      </c>
      <c r="G419" s="5">
        <f t="shared" si="1"/>
        <v>45</v>
      </c>
    </row>
    <row r="420">
      <c r="A420" s="4">
        <f>IFERROR(__xludf.DUMMYFUNCTION("""COMPUTED_VALUE"""),44461.625)</f>
        <v>44461.625</v>
      </c>
      <c r="B420" s="5">
        <f>IFERROR(__xludf.DUMMYFUNCTION("""COMPUTED_VALUE"""),1050.0)</f>
        <v>1050</v>
      </c>
      <c r="C420" s="5">
        <f>IFERROR(__xludf.DUMMYFUNCTION("""COMPUTED_VALUE"""),1060.0)</f>
        <v>1060</v>
      </c>
      <c r="D420" s="5">
        <f>IFERROR(__xludf.DUMMYFUNCTION("""COMPUTED_VALUE"""),1040.0)</f>
        <v>1040</v>
      </c>
      <c r="E420" s="5">
        <f>IFERROR(__xludf.DUMMYFUNCTION("""COMPUTED_VALUE"""),1045.0)</f>
        <v>1045</v>
      </c>
      <c r="F420" s="5">
        <f>IFERROR(__xludf.DUMMYFUNCTION("""COMPUTED_VALUE"""),2.33481E7)</f>
        <v>23348100</v>
      </c>
      <c r="G420" s="5">
        <f t="shared" si="1"/>
        <v>20</v>
      </c>
    </row>
    <row r="421">
      <c r="A421" s="4">
        <f>IFERROR(__xludf.DUMMYFUNCTION("""COMPUTED_VALUE"""),44462.625)</f>
        <v>44462.625</v>
      </c>
      <c r="B421" s="5">
        <f>IFERROR(__xludf.DUMMYFUNCTION("""COMPUTED_VALUE"""),1055.0)</f>
        <v>1055</v>
      </c>
      <c r="C421" s="5">
        <f>IFERROR(__xludf.DUMMYFUNCTION("""COMPUTED_VALUE"""),1100.0)</f>
        <v>1100</v>
      </c>
      <c r="D421" s="5">
        <f>IFERROR(__xludf.DUMMYFUNCTION("""COMPUTED_VALUE"""),1050.0)</f>
        <v>1050</v>
      </c>
      <c r="E421" s="5">
        <f>IFERROR(__xludf.DUMMYFUNCTION("""COMPUTED_VALUE"""),1070.0)</f>
        <v>1070</v>
      </c>
      <c r="F421" s="5">
        <f>IFERROR(__xludf.DUMMYFUNCTION("""COMPUTED_VALUE"""),7.07203E7)</f>
        <v>70720300</v>
      </c>
      <c r="G421" s="5">
        <f t="shared" si="1"/>
        <v>55</v>
      </c>
    </row>
    <row r="422">
      <c r="A422" s="4">
        <f>IFERROR(__xludf.DUMMYFUNCTION("""COMPUTED_VALUE"""),44463.625)</f>
        <v>44463.625</v>
      </c>
      <c r="B422" s="5">
        <f>IFERROR(__xludf.DUMMYFUNCTION("""COMPUTED_VALUE"""),1085.0)</f>
        <v>1085</v>
      </c>
      <c r="C422" s="5">
        <f>IFERROR(__xludf.DUMMYFUNCTION("""COMPUTED_VALUE"""),1090.0)</f>
        <v>1090</v>
      </c>
      <c r="D422" s="5">
        <f>IFERROR(__xludf.DUMMYFUNCTION("""COMPUTED_VALUE"""),1050.0)</f>
        <v>1050</v>
      </c>
      <c r="E422" s="5">
        <f>IFERROR(__xludf.DUMMYFUNCTION("""COMPUTED_VALUE"""),1060.0)</f>
        <v>1060</v>
      </c>
      <c r="F422" s="5">
        <f>IFERROR(__xludf.DUMMYFUNCTION("""COMPUTED_VALUE"""),2.7425E7)</f>
        <v>27425000</v>
      </c>
      <c r="G422" s="5">
        <f t="shared" si="1"/>
        <v>40</v>
      </c>
    </row>
    <row r="423">
      <c r="A423" s="4">
        <f>IFERROR(__xludf.DUMMYFUNCTION("""COMPUTED_VALUE"""),44466.625)</f>
        <v>44466.625</v>
      </c>
      <c r="B423" s="5">
        <f>IFERROR(__xludf.DUMMYFUNCTION("""COMPUTED_VALUE"""),1065.0)</f>
        <v>1065</v>
      </c>
      <c r="C423" s="5">
        <f>IFERROR(__xludf.DUMMYFUNCTION("""COMPUTED_VALUE"""),1100.0)</f>
        <v>1100</v>
      </c>
      <c r="D423" s="5">
        <f>IFERROR(__xludf.DUMMYFUNCTION("""COMPUTED_VALUE"""),1065.0)</f>
        <v>1065</v>
      </c>
      <c r="E423" s="5">
        <f>IFERROR(__xludf.DUMMYFUNCTION("""COMPUTED_VALUE"""),1075.0)</f>
        <v>1075</v>
      </c>
      <c r="F423" s="5">
        <f>IFERROR(__xludf.DUMMYFUNCTION("""COMPUTED_VALUE"""),2.82512E7)</f>
        <v>28251200</v>
      </c>
      <c r="G423" s="5">
        <f t="shared" si="1"/>
        <v>40</v>
      </c>
    </row>
    <row r="424">
      <c r="A424" s="4">
        <f>IFERROR(__xludf.DUMMYFUNCTION("""COMPUTED_VALUE"""),44467.625)</f>
        <v>44467.625</v>
      </c>
      <c r="B424" s="5">
        <f>IFERROR(__xludf.DUMMYFUNCTION("""COMPUTED_VALUE"""),1075.0)</f>
        <v>1075</v>
      </c>
      <c r="C424" s="5">
        <f>IFERROR(__xludf.DUMMYFUNCTION("""COMPUTED_VALUE"""),1085.0)</f>
        <v>1085</v>
      </c>
      <c r="D424" s="5">
        <f>IFERROR(__xludf.DUMMYFUNCTION("""COMPUTED_VALUE"""),1065.0)</f>
        <v>1065</v>
      </c>
      <c r="E424" s="5">
        <f>IFERROR(__xludf.DUMMYFUNCTION("""COMPUTED_VALUE"""),1065.0)</f>
        <v>1065</v>
      </c>
      <c r="F424" s="5">
        <f>IFERROR(__xludf.DUMMYFUNCTION("""COMPUTED_VALUE"""),1.89006E7)</f>
        <v>18900600</v>
      </c>
      <c r="G424" s="5">
        <f t="shared" si="1"/>
        <v>20</v>
      </c>
    </row>
    <row r="425">
      <c r="A425" s="4">
        <f>IFERROR(__xludf.DUMMYFUNCTION("""COMPUTED_VALUE"""),44468.625)</f>
        <v>44468.625</v>
      </c>
      <c r="B425" s="5">
        <f>IFERROR(__xludf.DUMMYFUNCTION("""COMPUTED_VALUE"""),1055.0)</f>
        <v>1055</v>
      </c>
      <c r="C425" s="5">
        <f>IFERROR(__xludf.DUMMYFUNCTION("""COMPUTED_VALUE"""),1110.0)</f>
        <v>1110</v>
      </c>
      <c r="D425" s="5">
        <f>IFERROR(__xludf.DUMMYFUNCTION("""COMPUTED_VALUE"""),1045.0)</f>
        <v>1045</v>
      </c>
      <c r="E425" s="5">
        <f>IFERROR(__xludf.DUMMYFUNCTION("""COMPUTED_VALUE"""),1085.0)</f>
        <v>1085</v>
      </c>
      <c r="F425" s="5">
        <f>IFERROR(__xludf.DUMMYFUNCTION("""COMPUTED_VALUE"""),7.88727E7)</f>
        <v>78872700</v>
      </c>
      <c r="G425" s="5">
        <f t="shared" si="1"/>
        <v>65</v>
      </c>
    </row>
    <row r="426">
      <c r="A426" s="4">
        <f>IFERROR(__xludf.DUMMYFUNCTION("""COMPUTED_VALUE"""),44469.625)</f>
        <v>44469.625</v>
      </c>
      <c r="B426" s="5">
        <f>IFERROR(__xludf.DUMMYFUNCTION("""COMPUTED_VALUE"""),1090.0)</f>
        <v>1090</v>
      </c>
      <c r="C426" s="5">
        <f>IFERROR(__xludf.DUMMYFUNCTION("""COMPUTED_VALUE"""),1105.0)</f>
        <v>1105</v>
      </c>
      <c r="D426" s="5">
        <f>IFERROR(__xludf.DUMMYFUNCTION("""COMPUTED_VALUE"""),1085.0)</f>
        <v>1085</v>
      </c>
      <c r="E426" s="5">
        <f>IFERROR(__xludf.DUMMYFUNCTION("""COMPUTED_VALUE"""),1090.0)</f>
        <v>1090</v>
      </c>
      <c r="F426" s="5">
        <f>IFERROR(__xludf.DUMMYFUNCTION("""COMPUTED_VALUE"""),3.5006E7)</f>
        <v>35006000</v>
      </c>
      <c r="G426" s="5">
        <f t="shared" si="1"/>
        <v>20</v>
      </c>
    </row>
    <row r="427">
      <c r="A427" s="4">
        <f>IFERROR(__xludf.DUMMYFUNCTION("""COMPUTED_VALUE"""),44470.625)</f>
        <v>44470.625</v>
      </c>
      <c r="B427" s="5">
        <f>IFERROR(__xludf.DUMMYFUNCTION("""COMPUTED_VALUE"""),1085.0)</f>
        <v>1085</v>
      </c>
      <c r="C427" s="5">
        <f>IFERROR(__xludf.DUMMYFUNCTION("""COMPUTED_VALUE"""),1180.0)</f>
        <v>1180</v>
      </c>
      <c r="D427" s="5">
        <f>IFERROR(__xludf.DUMMYFUNCTION("""COMPUTED_VALUE"""),1080.0)</f>
        <v>1080</v>
      </c>
      <c r="E427" s="5">
        <f>IFERROR(__xludf.DUMMYFUNCTION("""COMPUTED_VALUE"""),1150.0)</f>
        <v>1150</v>
      </c>
      <c r="F427" s="5">
        <f>IFERROR(__xludf.DUMMYFUNCTION("""COMPUTED_VALUE"""),1.134949E8)</f>
        <v>113494900</v>
      </c>
      <c r="G427" s="5">
        <f t="shared" si="1"/>
        <v>100</v>
      </c>
    </row>
    <row r="428">
      <c r="A428" s="4">
        <f>IFERROR(__xludf.DUMMYFUNCTION("""COMPUTED_VALUE"""),44473.625)</f>
        <v>44473.625</v>
      </c>
      <c r="B428" s="5">
        <f>IFERROR(__xludf.DUMMYFUNCTION("""COMPUTED_VALUE"""),1160.0)</f>
        <v>1160</v>
      </c>
      <c r="C428" s="5">
        <f>IFERROR(__xludf.DUMMYFUNCTION("""COMPUTED_VALUE"""),1200.0)</f>
        <v>1200</v>
      </c>
      <c r="D428" s="5">
        <f>IFERROR(__xludf.DUMMYFUNCTION("""COMPUTED_VALUE"""),1150.0)</f>
        <v>1150</v>
      </c>
      <c r="E428" s="5">
        <f>IFERROR(__xludf.DUMMYFUNCTION("""COMPUTED_VALUE"""),1170.0)</f>
        <v>1170</v>
      </c>
      <c r="F428" s="5">
        <f>IFERROR(__xludf.DUMMYFUNCTION("""COMPUTED_VALUE"""),6.14345E7)</f>
        <v>61434500</v>
      </c>
      <c r="G428" s="5">
        <f t="shared" si="1"/>
        <v>50</v>
      </c>
    </row>
    <row r="429">
      <c r="A429" s="4">
        <f>IFERROR(__xludf.DUMMYFUNCTION("""COMPUTED_VALUE"""),44474.625)</f>
        <v>44474.625</v>
      </c>
      <c r="B429" s="5">
        <f>IFERROR(__xludf.DUMMYFUNCTION("""COMPUTED_VALUE"""),1160.0)</f>
        <v>1160</v>
      </c>
      <c r="C429" s="5">
        <f>IFERROR(__xludf.DUMMYFUNCTION("""COMPUTED_VALUE"""),1215.0)</f>
        <v>1215</v>
      </c>
      <c r="D429" s="5">
        <f>IFERROR(__xludf.DUMMYFUNCTION("""COMPUTED_VALUE"""),1155.0)</f>
        <v>1155</v>
      </c>
      <c r="E429" s="5">
        <f>IFERROR(__xludf.DUMMYFUNCTION("""COMPUTED_VALUE"""),1165.0)</f>
        <v>1165</v>
      </c>
      <c r="F429" s="5">
        <f>IFERROR(__xludf.DUMMYFUNCTION("""COMPUTED_VALUE"""),5.41468E7)</f>
        <v>54146800</v>
      </c>
      <c r="G429" s="5">
        <f t="shared" si="1"/>
        <v>60</v>
      </c>
    </row>
    <row r="430">
      <c r="A430" s="4">
        <f>IFERROR(__xludf.DUMMYFUNCTION("""COMPUTED_VALUE"""),44475.625)</f>
        <v>44475.625</v>
      </c>
      <c r="B430" s="5">
        <f>IFERROR(__xludf.DUMMYFUNCTION("""COMPUTED_VALUE"""),1175.0)</f>
        <v>1175</v>
      </c>
      <c r="C430" s="5">
        <f>IFERROR(__xludf.DUMMYFUNCTION("""COMPUTED_VALUE"""),1205.0)</f>
        <v>1205</v>
      </c>
      <c r="D430" s="5">
        <f>IFERROR(__xludf.DUMMYFUNCTION("""COMPUTED_VALUE"""),1165.0)</f>
        <v>1165</v>
      </c>
      <c r="E430" s="5">
        <f>IFERROR(__xludf.DUMMYFUNCTION("""COMPUTED_VALUE"""),1170.0)</f>
        <v>1170</v>
      </c>
      <c r="F430" s="5">
        <f>IFERROR(__xludf.DUMMYFUNCTION("""COMPUTED_VALUE"""),4.67459E7)</f>
        <v>46745900</v>
      </c>
      <c r="G430" s="5">
        <f t="shared" si="1"/>
        <v>40</v>
      </c>
    </row>
    <row r="431">
      <c r="A431" s="4">
        <f>IFERROR(__xludf.DUMMYFUNCTION("""COMPUTED_VALUE"""),44476.625)</f>
        <v>44476.625</v>
      </c>
      <c r="B431" s="5">
        <f>IFERROR(__xludf.DUMMYFUNCTION("""COMPUTED_VALUE"""),1185.0)</f>
        <v>1185</v>
      </c>
      <c r="C431" s="5">
        <f>IFERROR(__xludf.DUMMYFUNCTION("""COMPUTED_VALUE"""),1200.0)</f>
        <v>1200</v>
      </c>
      <c r="D431" s="5">
        <f>IFERROR(__xludf.DUMMYFUNCTION("""COMPUTED_VALUE"""),1165.0)</f>
        <v>1165</v>
      </c>
      <c r="E431" s="5">
        <f>IFERROR(__xludf.DUMMYFUNCTION("""COMPUTED_VALUE"""),1170.0)</f>
        <v>1170</v>
      </c>
      <c r="F431" s="5">
        <f>IFERROR(__xludf.DUMMYFUNCTION("""COMPUTED_VALUE"""),3.61373E7)</f>
        <v>36137300</v>
      </c>
      <c r="G431" s="5">
        <f t="shared" si="1"/>
        <v>35</v>
      </c>
    </row>
    <row r="432">
      <c r="A432" s="4">
        <f>IFERROR(__xludf.DUMMYFUNCTION("""COMPUTED_VALUE"""),44477.625)</f>
        <v>44477.625</v>
      </c>
      <c r="B432" s="5">
        <f>IFERROR(__xludf.DUMMYFUNCTION("""COMPUTED_VALUE"""),1180.0)</f>
        <v>1180</v>
      </c>
      <c r="C432" s="5">
        <f>IFERROR(__xludf.DUMMYFUNCTION("""COMPUTED_VALUE"""),1190.0)</f>
        <v>1190</v>
      </c>
      <c r="D432" s="5">
        <f>IFERROR(__xludf.DUMMYFUNCTION("""COMPUTED_VALUE"""),1165.0)</f>
        <v>1165</v>
      </c>
      <c r="E432" s="5">
        <f>IFERROR(__xludf.DUMMYFUNCTION("""COMPUTED_VALUE"""),1185.0)</f>
        <v>1185</v>
      </c>
      <c r="F432" s="5">
        <f>IFERROR(__xludf.DUMMYFUNCTION("""COMPUTED_VALUE"""),2.18375E7)</f>
        <v>21837500</v>
      </c>
      <c r="G432" s="5">
        <f t="shared" si="1"/>
        <v>25</v>
      </c>
    </row>
    <row r="433">
      <c r="A433" s="4">
        <f>IFERROR(__xludf.DUMMYFUNCTION("""COMPUTED_VALUE"""),44480.625)</f>
        <v>44480.625</v>
      </c>
      <c r="B433" s="5">
        <f>IFERROR(__xludf.DUMMYFUNCTION("""COMPUTED_VALUE"""),1190.0)</f>
        <v>1190</v>
      </c>
      <c r="C433" s="5">
        <f>IFERROR(__xludf.DUMMYFUNCTION("""COMPUTED_VALUE"""),1200.0)</f>
        <v>1200</v>
      </c>
      <c r="D433" s="5">
        <f>IFERROR(__xludf.DUMMYFUNCTION("""COMPUTED_VALUE"""),1170.0)</f>
        <v>1170</v>
      </c>
      <c r="E433" s="5">
        <f>IFERROR(__xludf.DUMMYFUNCTION("""COMPUTED_VALUE"""),1175.0)</f>
        <v>1175</v>
      </c>
      <c r="F433" s="5">
        <f>IFERROR(__xludf.DUMMYFUNCTION("""COMPUTED_VALUE"""),1.93764E7)</f>
        <v>19376400</v>
      </c>
      <c r="G433" s="5">
        <f t="shared" si="1"/>
        <v>30</v>
      </c>
    </row>
    <row r="434">
      <c r="A434" s="4">
        <f>IFERROR(__xludf.DUMMYFUNCTION("""COMPUTED_VALUE"""),44481.66666666667)</f>
        <v>44481.66667</v>
      </c>
      <c r="B434" s="5">
        <f>IFERROR(__xludf.DUMMYFUNCTION("""COMPUTED_VALUE"""),1170.0)</f>
        <v>1170</v>
      </c>
      <c r="C434" s="5">
        <f>IFERROR(__xludf.DUMMYFUNCTION("""COMPUTED_VALUE"""),1275.0)</f>
        <v>1275</v>
      </c>
      <c r="D434" s="5">
        <f>IFERROR(__xludf.DUMMYFUNCTION("""COMPUTED_VALUE"""),1170.0)</f>
        <v>1170</v>
      </c>
      <c r="E434" s="5">
        <f>IFERROR(__xludf.DUMMYFUNCTION("""COMPUTED_VALUE"""),1255.0)</f>
        <v>1255</v>
      </c>
      <c r="F434" s="5">
        <f>IFERROR(__xludf.DUMMYFUNCTION("""COMPUTED_VALUE"""),1.258286E8)</f>
        <v>125828600</v>
      </c>
      <c r="G434" s="5">
        <f t="shared" si="1"/>
        <v>105</v>
      </c>
    </row>
    <row r="435">
      <c r="A435" s="4">
        <f>IFERROR(__xludf.DUMMYFUNCTION("""COMPUTED_VALUE"""),44482.625)</f>
        <v>44482.625</v>
      </c>
      <c r="B435" s="5">
        <f>IFERROR(__xludf.DUMMYFUNCTION("""COMPUTED_VALUE"""),1260.0)</f>
        <v>1260</v>
      </c>
      <c r="C435" s="5">
        <f>IFERROR(__xludf.DUMMYFUNCTION("""COMPUTED_VALUE"""),1270.0)</f>
        <v>1270</v>
      </c>
      <c r="D435" s="5">
        <f>IFERROR(__xludf.DUMMYFUNCTION("""COMPUTED_VALUE"""),1235.0)</f>
        <v>1235</v>
      </c>
      <c r="E435" s="5">
        <f>IFERROR(__xludf.DUMMYFUNCTION("""COMPUTED_VALUE"""),1255.0)</f>
        <v>1255</v>
      </c>
      <c r="F435" s="5">
        <f>IFERROR(__xludf.DUMMYFUNCTION("""COMPUTED_VALUE"""),3.11562E7)</f>
        <v>31156200</v>
      </c>
      <c r="G435" s="5">
        <f t="shared" si="1"/>
        <v>35</v>
      </c>
    </row>
    <row r="436">
      <c r="A436" s="4">
        <f>IFERROR(__xludf.DUMMYFUNCTION("""COMPUTED_VALUE"""),44483.66666666667)</f>
        <v>44483.66667</v>
      </c>
      <c r="B436" s="5">
        <f>IFERROR(__xludf.DUMMYFUNCTION("""COMPUTED_VALUE"""),1265.0)</f>
        <v>1265</v>
      </c>
      <c r="C436" s="5">
        <f>IFERROR(__xludf.DUMMYFUNCTION("""COMPUTED_VALUE"""),1315.0)</f>
        <v>1315</v>
      </c>
      <c r="D436" s="5">
        <f>IFERROR(__xludf.DUMMYFUNCTION("""COMPUTED_VALUE"""),1260.0)</f>
        <v>1260</v>
      </c>
      <c r="E436" s="5">
        <f>IFERROR(__xludf.DUMMYFUNCTION("""COMPUTED_VALUE"""),1295.0)</f>
        <v>1295</v>
      </c>
      <c r="F436" s="5">
        <f>IFERROR(__xludf.DUMMYFUNCTION("""COMPUTED_VALUE"""),5.69706E7)</f>
        <v>56970600</v>
      </c>
      <c r="G436" s="5">
        <f t="shared" si="1"/>
        <v>60</v>
      </c>
    </row>
    <row r="437">
      <c r="A437" s="4">
        <f>IFERROR(__xludf.DUMMYFUNCTION("""COMPUTED_VALUE"""),44484.66666666667)</f>
        <v>44484.66667</v>
      </c>
      <c r="B437" s="5">
        <f>IFERROR(__xludf.DUMMYFUNCTION("""COMPUTED_VALUE"""),1310.0)</f>
        <v>1310</v>
      </c>
      <c r="C437" s="5">
        <f>IFERROR(__xludf.DUMMYFUNCTION("""COMPUTED_VALUE"""),1330.0)</f>
        <v>1330</v>
      </c>
      <c r="D437" s="5">
        <f>IFERROR(__xludf.DUMMYFUNCTION("""COMPUTED_VALUE"""),1285.0)</f>
        <v>1285</v>
      </c>
      <c r="E437" s="5">
        <f>IFERROR(__xludf.DUMMYFUNCTION("""COMPUTED_VALUE"""),1330.0)</f>
        <v>1330</v>
      </c>
      <c r="F437" s="5">
        <f>IFERROR(__xludf.DUMMYFUNCTION("""COMPUTED_VALUE"""),3.41961E7)</f>
        <v>34196100</v>
      </c>
      <c r="G437" s="5">
        <f t="shared" si="1"/>
        <v>45</v>
      </c>
    </row>
    <row r="438">
      <c r="A438" s="4">
        <f>IFERROR(__xludf.DUMMYFUNCTION("""COMPUTED_VALUE"""),44487.625)</f>
        <v>44487.625</v>
      </c>
      <c r="B438" s="5">
        <f>IFERROR(__xludf.DUMMYFUNCTION("""COMPUTED_VALUE"""),1340.0)</f>
        <v>1340</v>
      </c>
      <c r="C438" s="5">
        <f>IFERROR(__xludf.DUMMYFUNCTION("""COMPUTED_VALUE"""),1370.0)</f>
        <v>1370</v>
      </c>
      <c r="D438" s="5">
        <f>IFERROR(__xludf.DUMMYFUNCTION("""COMPUTED_VALUE"""),1330.0)</f>
        <v>1330</v>
      </c>
      <c r="E438" s="5">
        <f>IFERROR(__xludf.DUMMYFUNCTION("""COMPUTED_VALUE"""),1330.0)</f>
        <v>1330</v>
      </c>
      <c r="F438" s="5">
        <f>IFERROR(__xludf.DUMMYFUNCTION("""COMPUTED_VALUE"""),3.83504E7)</f>
        <v>38350400</v>
      </c>
      <c r="G438" s="5">
        <f t="shared" si="1"/>
        <v>40</v>
      </c>
    </row>
    <row r="439">
      <c r="A439" s="4">
        <f>IFERROR(__xludf.DUMMYFUNCTION("""COMPUTED_VALUE"""),44488.625)</f>
        <v>44488.625</v>
      </c>
      <c r="B439" s="5">
        <f>IFERROR(__xludf.DUMMYFUNCTION("""COMPUTED_VALUE"""),1350.0)</f>
        <v>1350</v>
      </c>
      <c r="C439" s="5">
        <f>IFERROR(__xludf.DUMMYFUNCTION("""COMPUTED_VALUE"""),1360.0)</f>
        <v>1360</v>
      </c>
      <c r="D439" s="5">
        <f>IFERROR(__xludf.DUMMYFUNCTION("""COMPUTED_VALUE"""),1330.0)</f>
        <v>1330</v>
      </c>
      <c r="E439" s="5">
        <f>IFERROR(__xludf.DUMMYFUNCTION("""COMPUTED_VALUE"""),1340.0)</f>
        <v>1340</v>
      </c>
      <c r="F439" s="5">
        <f>IFERROR(__xludf.DUMMYFUNCTION("""COMPUTED_VALUE"""),2.85705E7)</f>
        <v>28570500</v>
      </c>
      <c r="G439" s="5">
        <f t="shared" si="1"/>
        <v>30</v>
      </c>
    </row>
    <row r="440">
      <c r="A440" s="4">
        <f>IFERROR(__xludf.DUMMYFUNCTION("""COMPUTED_VALUE"""),44490.625)</f>
        <v>44490.625</v>
      </c>
      <c r="B440" s="5">
        <f>IFERROR(__xludf.DUMMYFUNCTION("""COMPUTED_VALUE"""),1350.0)</f>
        <v>1350</v>
      </c>
      <c r="C440" s="5">
        <f>IFERROR(__xludf.DUMMYFUNCTION("""COMPUTED_VALUE"""),1355.0)</f>
        <v>1355</v>
      </c>
      <c r="D440" s="5">
        <f>IFERROR(__xludf.DUMMYFUNCTION("""COMPUTED_VALUE"""),1250.0)</f>
        <v>1250</v>
      </c>
      <c r="E440" s="5">
        <f>IFERROR(__xludf.DUMMYFUNCTION("""COMPUTED_VALUE"""),1250.0)</f>
        <v>1250</v>
      </c>
      <c r="F440" s="5">
        <f>IFERROR(__xludf.DUMMYFUNCTION("""COMPUTED_VALUE"""),7.07175E7)</f>
        <v>70717500</v>
      </c>
      <c r="G440" s="5">
        <f t="shared" si="1"/>
        <v>105</v>
      </c>
    </row>
    <row r="441">
      <c r="A441" s="4">
        <f>IFERROR(__xludf.DUMMYFUNCTION("""COMPUTED_VALUE"""),44491.625)</f>
        <v>44491.625</v>
      </c>
      <c r="B441" s="5">
        <f>IFERROR(__xludf.DUMMYFUNCTION("""COMPUTED_VALUE"""),1240.0)</f>
        <v>1240</v>
      </c>
      <c r="C441" s="5">
        <f>IFERROR(__xludf.DUMMYFUNCTION("""COMPUTED_VALUE"""),1290.0)</f>
        <v>1290</v>
      </c>
      <c r="D441" s="5">
        <f>IFERROR(__xludf.DUMMYFUNCTION("""COMPUTED_VALUE"""),1195.0)</f>
        <v>1195</v>
      </c>
      <c r="E441" s="5">
        <f>IFERROR(__xludf.DUMMYFUNCTION("""COMPUTED_VALUE"""),1285.0)</f>
        <v>1285</v>
      </c>
      <c r="F441" s="5">
        <f>IFERROR(__xludf.DUMMYFUNCTION("""COMPUTED_VALUE"""),6.9182E7)</f>
        <v>69182000</v>
      </c>
      <c r="G441" s="5">
        <f t="shared" si="1"/>
        <v>95</v>
      </c>
    </row>
    <row r="442">
      <c r="A442" s="4">
        <f>IFERROR(__xludf.DUMMYFUNCTION("""COMPUTED_VALUE"""),44494.625)</f>
        <v>44494.625</v>
      </c>
      <c r="B442" s="5">
        <f>IFERROR(__xludf.DUMMYFUNCTION("""COMPUTED_VALUE"""),1295.0)</f>
        <v>1295</v>
      </c>
      <c r="C442" s="5">
        <f>IFERROR(__xludf.DUMMYFUNCTION("""COMPUTED_VALUE"""),1320.0)</f>
        <v>1320</v>
      </c>
      <c r="D442" s="5">
        <f>IFERROR(__xludf.DUMMYFUNCTION("""COMPUTED_VALUE"""),1280.0)</f>
        <v>1280</v>
      </c>
      <c r="E442" s="5">
        <f>IFERROR(__xludf.DUMMYFUNCTION("""COMPUTED_VALUE"""),1295.0)</f>
        <v>1295</v>
      </c>
      <c r="F442" s="5">
        <f>IFERROR(__xludf.DUMMYFUNCTION("""COMPUTED_VALUE"""),3.17979E7)</f>
        <v>31797900</v>
      </c>
      <c r="G442" s="5">
        <f t="shared" si="1"/>
        <v>40</v>
      </c>
    </row>
    <row r="443">
      <c r="A443" s="4">
        <f>IFERROR(__xludf.DUMMYFUNCTION("""COMPUTED_VALUE"""),44495.625)</f>
        <v>44495.625</v>
      </c>
      <c r="B443" s="5">
        <f>IFERROR(__xludf.DUMMYFUNCTION("""COMPUTED_VALUE"""),1295.0)</f>
        <v>1295</v>
      </c>
      <c r="C443" s="5">
        <f>IFERROR(__xludf.DUMMYFUNCTION("""COMPUTED_VALUE"""),1305.0)</f>
        <v>1305</v>
      </c>
      <c r="D443" s="5">
        <f>IFERROR(__xludf.DUMMYFUNCTION("""COMPUTED_VALUE"""),1245.0)</f>
        <v>1245</v>
      </c>
      <c r="E443" s="5">
        <f>IFERROR(__xludf.DUMMYFUNCTION("""COMPUTED_VALUE"""),1260.0)</f>
        <v>1260</v>
      </c>
      <c r="F443" s="5">
        <f>IFERROR(__xludf.DUMMYFUNCTION("""COMPUTED_VALUE"""),3.23715E7)</f>
        <v>32371500</v>
      </c>
      <c r="G443" s="5">
        <f t="shared" si="1"/>
        <v>60</v>
      </c>
    </row>
    <row r="444">
      <c r="A444" s="4">
        <f>IFERROR(__xludf.DUMMYFUNCTION("""COMPUTED_VALUE"""),44496.625)</f>
        <v>44496.625</v>
      </c>
      <c r="B444" s="5">
        <f>IFERROR(__xludf.DUMMYFUNCTION("""COMPUTED_VALUE"""),1260.0)</f>
        <v>1260</v>
      </c>
      <c r="C444" s="5">
        <f>IFERROR(__xludf.DUMMYFUNCTION("""COMPUTED_VALUE"""),1270.0)</f>
        <v>1270</v>
      </c>
      <c r="D444" s="5">
        <f>IFERROR(__xludf.DUMMYFUNCTION("""COMPUTED_VALUE"""),1205.0)</f>
        <v>1205</v>
      </c>
      <c r="E444" s="5">
        <f>IFERROR(__xludf.DUMMYFUNCTION("""COMPUTED_VALUE"""),1210.0)</f>
        <v>1210</v>
      </c>
      <c r="F444" s="5">
        <f>IFERROR(__xludf.DUMMYFUNCTION("""COMPUTED_VALUE"""),3.71627E7)</f>
        <v>37162700</v>
      </c>
      <c r="G444" s="5">
        <f t="shared" si="1"/>
        <v>65</v>
      </c>
    </row>
    <row r="445">
      <c r="A445" s="4">
        <f>IFERROR(__xludf.DUMMYFUNCTION("""COMPUTED_VALUE"""),44497.625)</f>
        <v>44497.625</v>
      </c>
      <c r="B445" s="5">
        <f>IFERROR(__xludf.DUMMYFUNCTION("""COMPUTED_VALUE"""),1210.0)</f>
        <v>1210</v>
      </c>
      <c r="C445" s="5">
        <f>IFERROR(__xludf.DUMMYFUNCTION("""COMPUTED_VALUE"""),1240.0)</f>
        <v>1240</v>
      </c>
      <c r="D445" s="5">
        <f>IFERROR(__xludf.DUMMYFUNCTION("""COMPUTED_VALUE"""),1155.0)</f>
        <v>1155</v>
      </c>
      <c r="E445" s="5">
        <f>IFERROR(__xludf.DUMMYFUNCTION("""COMPUTED_VALUE"""),1175.0)</f>
        <v>1175</v>
      </c>
      <c r="F445" s="5">
        <f>IFERROR(__xludf.DUMMYFUNCTION("""COMPUTED_VALUE"""),5.35302E7)</f>
        <v>53530200</v>
      </c>
      <c r="G445" s="5">
        <f t="shared" si="1"/>
        <v>85</v>
      </c>
    </row>
    <row r="446">
      <c r="A446" s="4">
        <f>IFERROR(__xludf.DUMMYFUNCTION("""COMPUTED_VALUE"""),44498.625)</f>
        <v>44498.625</v>
      </c>
      <c r="B446" s="5">
        <f>IFERROR(__xludf.DUMMYFUNCTION("""COMPUTED_VALUE"""),1185.0)</f>
        <v>1185</v>
      </c>
      <c r="C446" s="5">
        <f>IFERROR(__xludf.DUMMYFUNCTION("""COMPUTED_VALUE"""),1220.0)</f>
        <v>1220</v>
      </c>
      <c r="D446" s="5">
        <f>IFERROR(__xludf.DUMMYFUNCTION("""COMPUTED_VALUE"""),1175.0)</f>
        <v>1175</v>
      </c>
      <c r="E446" s="5">
        <f>IFERROR(__xludf.DUMMYFUNCTION("""COMPUTED_VALUE"""),1205.0)</f>
        <v>1205</v>
      </c>
      <c r="F446" s="5">
        <f>IFERROR(__xludf.DUMMYFUNCTION("""COMPUTED_VALUE"""),3.13266E7)</f>
        <v>31326600</v>
      </c>
      <c r="G446" s="5">
        <f t="shared" si="1"/>
        <v>45</v>
      </c>
    </row>
    <row r="447">
      <c r="A447" s="4">
        <f>IFERROR(__xludf.DUMMYFUNCTION("""COMPUTED_VALUE"""),44501.625)</f>
        <v>44501.625</v>
      </c>
      <c r="B447" s="5">
        <f>IFERROR(__xludf.DUMMYFUNCTION("""COMPUTED_VALUE"""),1205.0)</f>
        <v>1205</v>
      </c>
      <c r="C447" s="5">
        <f>IFERROR(__xludf.DUMMYFUNCTION("""COMPUTED_VALUE"""),1225.0)</f>
        <v>1225</v>
      </c>
      <c r="D447" s="5">
        <f>IFERROR(__xludf.DUMMYFUNCTION("""COMPUTED_VALUE"""),1195.0)</f>
        <v>1195</v>
      </c>
      <c r="E447" s="5">
        <f>IFERROR(__xludf.DUMMYFUNCTION("""COMPUTED_VALUE"""),1200.0)</f>
        <v>1200</v>
      </c>
      <c r="F447" s="5">
        <f>IFERROR(__xludf.DUMMYFUNCTION("""COMPUTED_VALUE"""),2.63433E7)</f>
        <v>26343300</v>
      </c>
      <c r="G447" s="5">
        <f t="shared" si="1"/>
        <v>30</v>
      </c>
    </row>
    <row r="448">
      <c r="A448" s="4">
        <f>IFERROR(__xludf.DUMMYFUNCTION("""COMPUTED_VALUE"""),44502.625)</f>
        <v>44502.625</v>
      </c>
      <c r="B448" s="5">
        <f>IFERROR(__xludf.DUMMYFUNCTION("""COMPUTED_VALUE"""),1200.0)</f>
        <v>1200</v>
      </c>
      <c r="C448" s="5">
        <f>IFERROR(__xludf.DUMMYFUNCTION("""COMPUTED_VALUE"""),1210.0)</f>
        <v>1210</v>
      </c>
      <c r="D448" s="5">
        <f>IFERROR(__xludf.DUMMYFUNCTION("""COMPUTED_VALUE"""),1160.0)</f>
        <v>1160</v>
      </c>
      <c r="E448" s="5">
        <f>IFERROR(__xludf.DUMMYFUNCTION("""COMPUTED_VALUE"""),1160.0)</f>
        <v>1160</v>
      </c>
      <c r="F448" s="5">
        <f>IFERROR(__xludf.DUMMYFUNCTION("""COMPUTED_VALUE"""),2.91477E7)</f>
        <v>29147700</v>
      </c>
      <c r="G448" s="5">
        <f t="shared" si="1"/>
        <v>50</v>
      </c>
    </row>
    <row r="449">
      <c r="A449" s="4">
        <f>IFERROR(__xludf.DUMMYFUNCTION("""COMPUTED_VALUE"""),44503.625)</f>
        <v>44503.625</v>
      </c>
      <c r="B449" s="5">
        <f>IFERROR(__xludf.DUMMYFUNCTION("""COMPUTED_VALUE"""),1160.0)</f>
        <v>1160</v>
      </c>
      <c r="C449" s="5">
        <f>IFERROR(__xludf.DUMMYFUNCTION("""COMPUTED_VALUE"""),1215.0)</f>
        <v>1215</v>
      </c>
      <c r="D449" s="5">
        <f>IFERROR(__xludf.DUMMYFUNCTION("""COMPUTED_VALUE"""),1155.0)</f>
        <v>1155</v>
      </c>
      <c r="E449" s="5">
        <f>IFERROR(__xludf.DUMMYFUNCTION("""COMPUTED_VALUE"""),1200.0)</f>
        <v>1200</v>
      </c>
      <c r="F449" s="5">
        <f>IFERROR(__xludf.DUMMYFUNCTION("""COMPUTED_VALUE"""),2.74132E7)</f>
        <v>27413200</v>
      </c>
      <c r="G449" s="5">
        <f t="shared" si="1"/>
        <v>60</v>
      </c>
    </row>
    <row r="450">
      <c r="A450" s="4">
        <f>IFERROR(__xludf.DUMMYFUNCTION("""COMPUTED_VALUE"""),44504.66666666667)</f>
        <v>44504.66667</v>
      </c>
      <c r="B450" s="5">
        <f>IFERROR(__xludf.DUMMYFUNCTION("""COMPUTED_VALUE"""),1220.0)</f>
        <v>1220</v>
      </c>
      <c r="C450" s="5">
        <f>IFERROR(__xludf.DUMMYFUNCTION("""COMPUTED_VALUE"""),1250.0)</f>
        <v>1250</v>
      </c>
      <c r="D450" s="5">
        <f>IFERROR(__xludf.DUMMYFUNCTION("""COMPUTED_VALUE"""),1215.0)</f>
        <v>1215</v>
      </c>
      <c r="E450" s="5">
        <f>IFERROR(__xludf.DUMMYFUNCTION("""COMPUTED_VALUE"""),1225.0)</f>
        <v>1225</v>
      </c>
      <c r="F450" s="5">
        <f>IFERROR(__xludf.DUMMYFUNCTION("""COMPUTED_VALUE"""),3.29316E7)</f>
        <v>32931600</v>
      </c>
      <c r="G450" s="5">
        <f t="shared" si="1"/>
        <v>50</v>
      </c>
    </row>
    <row r="451">
      <c r="A451" s="4">
        <f>IFERROR(__xludf.DUMMYFUNCTION("""COMPUTED_VALUE"""),44505.625)</f>
        <v>44505.625</v>
      </c>
      <c r="B451" s="5">
        <f>IFERROR(__xludf.DUMMYFUNCTION("""COMPUTED_VALUE"""),1225.0)</f>
        <v>1225</v>
      </c>
      <c r="C451" s="5">
        <f>IFERROR(__xludf.DUMMYFUNCTION("""COMPUTED_VALUE"""),1225.0)</f>
        <v>1225</v>
      </c>
      <c r="D451" s="5">
        <f>IFERROR(__xludf.DUMMYFUNCTION("""COMPUTED_VALUE"""),1205.0)</f>
        <v>1205</v>
      </c>
      <c r="E451" s="5">
        <f>IFERROR(__xludf.DUMMYFUNCTION("""COMPUTED_VALUE"""),1205.0)</f>
        <v>1205</v>
      </c>
      <c r="F451" s="5">
        <f>IFERROR(__xludf.DUMMYFUNCTION("""COMPUTED_VALUE"""),1.14382E7)</f>
        <v>11438200</v>
      </c>
      <c r="G451" s="5">
        <f t="shared" si="1"/>
        <v>20</v>
      </c>
    </row>
    <row r="452">
      <c r="A452" s="4">
        <f>IFERROR(__xludf.DUMMYFUNCTION("""COMPUTED_VALUE"""),44508.625)</f>
        <v>44508.625</v>
      </c>
      <c r="B452" s="5">
        <f>IFERROR(__xludf.DUMMYFUNCTION("""COMPUTED_VALUE"""),1220.0)</f>
        <v>1220</v>
      </c>
      <c r="C452" s="5">
        <f>IFERROR(__xludf.DUMMYFUNCTION("""COMPUTED_VALUE"""),1235.0)</f>
        <v>1235</v>
      </c>
      <c r="D452" s="5">
        <f>IFERROR(__xludf.DUMMYFUNCTION("""COMPUTED_VALUE"""),1210.0)</f>
        <v>1210</v>
      </c>
      <c r="E452" s="5">
        <f>IFERROR(__xludf.DUMMYFUNCTION("""COMPUTED_VALUE"""),1215.0)</f>
        <v>1215</v>
      </c>
      <c r="F452" s="5">
        <f>IFERROR(__xludf.DUMMYFUNCTION("""COMPUTED_VALUE"""),1.43174E7)</f>
        <v>14317400</v>
      </c>
      <c r="G452" s="5">
        <f t="shared" si="1"/>
        <v>30</v>
      </c>
    </row>
    <row r="453">
      <c r="A453" s="4">
        <f>IFERROR(__xludf.DUMMYFUNCTION("""COMPUTED_VALUE"""),44509.625)</f>
        <v>44509.625</v>
      </c>
      <c r="B453" s="5">
        <f>IFERROR(__xludf.DUMMYFUNCTION("""COMPUTED_VALUE"""),1225.0)</f>
        <v>1225</v>
      </c>
      <c r="C453" s="5">
        <f>IFERROR(__xludf.DUMMYFUNCTION("""COMPUTED_VALUE"""),1250.0)</f>
        <v>1250</v>
      </c>
      <c r="D453" s="5">
        <f>IFERROR(__xludf.DUMMYFUNCTION("""COMPUTED_VALUE"""),1215.0)</f>
        <v>1215</v>
      </c>
      <c r="E453" s="5">
        <f>IFERROR(__xludf.DUMMYFUNCTION("""COMPUTED_VALUE"""),1235.0)</f>
        <v>1235</v>
      </c>
      <c r="F453" s="5">
        <f>IFERROR(__xludf.DUMMYFUNCTION("""COMPUTED_VALUE"""),2.03527E7)</f>
        <v>20352700</v>
      </c>
      <c r="G453" s="5">
        <f t="shared" si="1"/>
        <v>35</v>
      </c>
    </row>
    <row r="454">
      <c r="A454" s="4">
        <f>IFERROR(__xludf.DUMMYFUNCTION("""COMPUTED_VALUE"""),44510.625)</f>
        <v>44510.625</v>
      </c>
      <c r="B454" s="5">
        <f>IFERROR(__xludf.DUMMYFUNCTION("""COMPUTED_VALUE"""),1235.0)</f>
        <v>1235</v>
      </c>
      <c r="C454" s="5">
        <f>IFERROR(__xludf.DUMMYFUNCTION("""COMPUTED_VALUE"""),1275.0)</f>
        <v>1275</v>
      </c>
      <c r="D454" s="5">
        <f>IFERROR(__xludf.DUMMYFUNCTION("""COMPUTED_VALUE"""),1235.0)</f>
        <v>1235</v>
      </c>
      <c r="E454" s="5">
        <f>IFERROR(__xludf.DUMMYFUNCTION("""COMPUTED_VALUE"""),1270.0)</f>
        <v>1270</v>
      </c>
      <c r="F454" s="5">
        <f>IFERROR(__xludf.DUMMYFUNCTION("""COMPUTED_VALUE"""),3.44373E7)</f>
        <v>34437300</v>
      </c>
      <c r="G454" s="5">
        <f t="shared" si="1"/>
        <v>40</v>
      </c>
    </row>
    <row r="455">
      <c r="A455" s="4">
        <f>IFERROR(__xludf.DUMMYFUNCTION("""COMPUTED_VALUE"""),44511.625)</f>
        <v>44511.625</v>
      </c>
      <c r="B455" s="5">
        <f>IFERROR(__xludf.DUMMYFUNCTION("""COMPUTED_VALUE"""),1270.0)</f>
        <v>1270</v>
      </c>
      <c r="C455" s="5">
        <f>IFERROR(__xludf.DUMMYFUNCTION("""COMPUTED_VALUE"""),1280.0)</f>
        <v>1280</v>
      </c>
      <c r="D455" s="5">
        <f>IFERROR(__xludf.DUMMYFUNCTION("""COMPUTED_VALUE"""),1250.0)</f>
        <v>1250</v>
      </c>
      <c r="E455" s="5">
        <f>IFERROR(__xludf.DUMMYFUNCTION("""COMPUTED_VALUE"""),1260.0)</f>
        <v>1260</v>
      </c>
      <c r="F455" s="5">
        <f>IFERROR(__xludf.DUMMYFUNCTION("""COMPUTED_VALUE"""),1.37744E7)</f>
        <v>13774400</v>
      </c>
      <c r="G455" s="5">
        <f t="shared" si="1"/>
        <v>30</v>
      </c>
    </row>
    <row r="456">
      <c r="A456" s="4">
        <f>IFERROR(__xludf.DUMMYFUNCTION("""COMPUTED_VALUE"""),44512.625)</f>
        <v>44512.625</v>
      </c>
      <c r="B456" s="5">
        <f>IFERROR(__xludf.DUMMYFUNCTION("""COMPUTED_VALUE"""),1260.0)</f>
        <v>1260</v>
      </c>
      <c r="C456" s="5">
        <f>IFERROR(__xludf.DUMMYFUNCTION("""COMPUTED_VALUE"""),1280.0)</f>
        <v>1280</v>
      </c>
      <c r="D456" s="5">
        <f>IFERROR(__xludf.DUMMYFUNCTION("""COMPUTED_VALUE"""),1220.0)</f>
        <v>1220</v>
      </c>
      <c r="E456" s="5">
        <f>IFERROR(__xludf.DUMMYFUNCTION("""COMPUTED_VALUE"""),1245.0)</f>
        <v>1245</v>
      </c>
      <c r="F456" s="5">
        <f>IFERROR(__xludf.DUMMYFUNCTION("""COMPUTED_VALUE"""),3.17415E7)</f>
        <v>31741500</v>
      </c>
      <c r="G456" s="5">
        <f t="shared" si="1"/>
        <v>60</v>
      </c>
    </row>
    <row r="457">
      <c r="A457" s="4">
        <f>IFERROR(__xludf.DUMMYFUNCTION("""COMPUTED_VALUE"""),44515.625)</f>
        <v>44515.625</v>
      </c>
      <c r="B457" s="5">
        <f>IFERROR(__xludf.DUMMYFUNCTION("""COMPUTED_VALUE"""),1255.0)</f>
        <v>1255</v>
      </c>
      <c r="C457" s="5">
        <f>IFERROR(__xludf.DUMMYFUNCTION("""COMPUTED_VALUE"""),1260.0)</f>
        <v>1260</v>
      </c>
      <c r="D457" s="5">
        <f>IFERROR(__xludf.DUMMYFUNCTION("""COMPUTED_VALUE"""),1215.0)</f>
        <v>1215</v>
      </c>
      <c r="E457" s="5">
        <f>IFERROR(__xludf.DUMMYFUNCTION("""COMPUTED_VALUE"""),1225.0)</f>
        <v>1225</v>
      </c>
      <c r="F457" s="5">
        <f>IFERROR(__xludf.DUMMYFUNCTION("""COMPUTED_VALUE"""),1.61113E7)</f>
        <v>16111300</v>
      </c>
      <c r="G457" s="5">
        <f t="shared" si="1"/>
        <v>45</v>
      </c>
    </row>
    <row r="458">
      <c r="A458" s="4">
        <f>IFERROR(__xludf.DUMMYFUNCTION("""COMPUTED_VALUE"""),44516.625)</f>
        <v>44516.625</v>
      </c>
      <c r="B458" s="5">
        <f>IFERROR(__xludf.DUMMYFUNCTION("""COMPUTED_VALUE"""),1235.0)</f>
        <v>1235</v>
      </c>
      <c r="C458" s="5">
        <f>IFERROR(__xludf.DUMMYFUNCTION("""COMPUTED_VALUE"""),1245.0)</f>
        <v>1245</v>
      </c>
      <c r="D458" s="5">
        <f>IFERROR(__xludf.DUMMYFUNCTION("""COMPUTED_VALUE"""),1220.0)</f>
        <v>1220</v>
      </c>
      <c r="E458" s="5">
        <f>IFERROR(__xludf.DUMMYFUNCTION("""COMPUTED_VALUE"""),1225.0)</f>
        <v>1225</v>
      </c>
      <c r="F458" s="5">
        <f>IFERROR(__xludf.DUMMYFUNCTION("""COMPUTED_VALUE"""),1.62615E7)</f>
        <v>16261500</v>
      </c>
      <c r="G458" s="5">
        <f t="shared" si="1"/>
        <v>25</v>
      </c>
    </row>
    <row r="459">
      <c r="A459" s="4">
        <f>IFERROR(__xludf.DUMMYFUNCTION("""COMPUTED_VALUE"""),44517.625)</f>
        <v>44517.625</v>
      </c>
      <c r="B459" s="5">
        <f>IFERROR(__xludf.DUMMYFUNCTION("""COMPUTED_VALUE"""),1230.0)</f>
        <v>1230</v>
      </c>
      <c r="C459" s="5">
        <f>IFERROR(__xludf.DUMMYFUNCTION("""COMPUTED_VALUE"""),1260.0)</f>
        <v>1260</v>
      </c>
      <c r="D459" s="5">
        <f>IFERROR(__xludf.DUMMYFUNCTION("""COMPUTED_VALUE"""),1230.0)</f>
        <v>1230</v>
      </c>
      <c r="E459" s="5">
        <f>IFERROR(__xludf.DUMMYFUNCTION("""COMPUTED_VALUE"""),1250.0)</f>
        <v>1250</v>
      </c>
      <c r="F459" s="5">
        <f>IFERROR(__xludf.DUMMYFUNCTION("""COMPUTED_VALUE"""),2.41032E7)</f>
        <v>24103200</v>
      </c>
      <c r="G459" s="5">
        <f t="shared" si="1"/>
        <v>35</v>
      </c>
    </row>
    <row r="460">
      <c r="A460" s="4">
        <f>IFERROR(__xludf.DUMMYFUNCTION("""COMPUTED_VALUE"""),44518.625)</f>
        <v>44518.625</v>
      </c>
      <c r="B460" s="5">
        <f>IFERROR(__xludf.DUMMYFUNCTION("""COMPUTED_VALUE"""),1250.0)</f>
        <v>1250</v>
      </c>
      <c r="C460" s="5">
        <f>IFERROR(__xludf.DUMMYFUNCTION("""COMPUTED_VALUE"""),1265.0)</f>
        <v>1265</v>
      </c>
      <c r="D460" s="5">
        <f>IFERROR(__xludf.DUMMYFUNCTION("""COMPUTED_VALUE"""),1235.0)</f>
        <v>1235</v>
      </c>
      <c r="E460" s="5">
        <f>IFERROR(__xludf.DUMMYFUNCTION("""COMPUTED_VALUE"""),1250.0)</f>
        <v>1250</v>
      </c>
      <c r="F460" s="5">
        <f>IFERROR(__xludf.DUMMYFUNCTION("""COMPUTED_VALUE"""),1.63029E7)</f>
        <v>16302900</v>
      </c>
      <c r="G460" s="5">
        <f t="shared" si="1"/>
        <v>30</v>
      </c>
    </row>
    <row r="461">
      <c r="A461" s="4">
        <f>IFERROR(__xludf.DUMMYFUNCTION("""COMPUTED_VALUE"""),44519.625)</f>
        <v>44519.625</v>
      </c>
      <c r="B461" s="5">
        <f>IFERROR(__xludf.DUMMYFUNCTION("""COMPUTED_VALUE"""),1250.0)</f>
        <v>1250</v>
      </c>
      <c r="C461" s="5">
        <f>IFERROR(__xludf.DUMMYFUNCTION("""COMPUTED_VALUE"""),1265.0)</f>
        <v>1265</v>
      </c>
      <c r="D461" s="5">
        <f>IFERROR(__xludf.DUMMYFUNCTION("""COMPUTED_VALUE"""),1230.0)</f>
        <v>1230</v>
      </c>
      <c r="E461" s="5">
        <f>IFERROR(__xludf.DUMMYFUNCTION("""COMPUTED_VALUE"""),1250.0)</f>
        <v>1250</v>
      </c>
      <c r="F461" s="5">
        <f>IFERROR(__xludf.DUMMYFUNCTION("""COMPUTED_VALUE"""),1.53495E7)</f>
        <v>15349500</v>
      </c>
      <c r="G461" s="5">
        <f t="shared" si="1"/>
        <v>35</v>
      </c>
    </row>
    <row r="462">
      <c r="A462" s="4">
        <f>IFERROR(__xludf.DUMMYFUNCTION("""COMPUTED_VALUE"""),44522.625)</f>
        <v>44522.625</v>
      </c>
      <c r="B462" s="5">
        <f>IFERROR(__xludf.DUMMYFUNCTION("""COMPUTED_VALUE"""),1250.0)</f>
        <v>1250</v>
      </c>
      <c r="C462" s="5">
        <f>IFERROR(__xludf.DUMMYFUNCTION("""COMPUTED_VALUE"""),1315.0)</f>
        <v>1315</v>
      </c>
      <c r="D462" s="5">
        <f>IFERROR(__xludf.DUMMYFUNCTION("""COMPUTED_VALUE"""),1250.0)</f>
        <v>1250</v>
      </c>
      <c r="E462" s="5">
        <f>IFERROR(__xludf.DUMMYFUNCTION("""COMPUTED_VALUE"""),1290.0)</f>
        <v>1290</v>
      </c>
      <c r="F462" s="5">
        <f>IFERROR(__xludf.DUMMYFUNCTION("""COMPUTED_VALUE"""),5.46364E7)</f>
        <v>54636400</v>
      </c>
      <c r="G462" s="5">
        <f t="shared" si="1"/>
        <v>65</v>
      </c>
    </row>
    <row r="463">
      <c r="A463" s="4">
        <f>IFERROR(__xludf.DUMMYFUNCTION("""COMPUTED_VALUE"""),44523.625)</f>
        <v>44523.625</v>
      </c>
      <c r="B463" s="5">
        <f>IFERROR(__xludf.DUMMYFUNCTION("""COMPUTED_VALUE"""),1300.0)</f>
        <v>1300</v>
      </c>
      <c r="C463" s="5">
        <f>IFERROR(__xludf.DUMMYFUNCTION("""COMPUTED_VALUE"""),1300.0)</f>
        <v>1300</v>
      </c>
      <c r="D463" s="5">
        <f>IFERROR(__xludf.DUMMYFUNCTION("""COMPUTED_VALUE"""),1270.0)</f>
        <v>1270</v>
      </c>
      <c r="E463" s="5">
        <f>IFERROR(__xludf.DUMMYFUNCTION("""COMPUTED_VALUE"""),1290.0)</f>
        <v>1290</v>
      </c>
      <c r="F463" s="5">
        <f>IFERROR(__xludf.DUMMYFUNCTION("""COMPUTED_VALUE"""),1.81813E7)</f>
        <v>18181300</v>
      </c>
      <c r="G463" s="5">
        <f t="shared" si="1"/>
        <v>30</v>
      </c>
    </row>
    <row r="464">
      <c r="A464" s="4">
        <f>IFERROR(__xludf.DUMMYFUNCTION("""COMPUTED_VALUE"""),44524.625)</f>
        <v>44524.625</v>
      </c>
      <c r="B464" s="5">
        <f>IFERROR(__xludf.DUMMYFUNCTION("""COMPUTED_VALUE"""),1290.0)</f>
        <v>1290</v>
      </c>
      <c r="C464" s="5">
        <f>IFERROR(__xludf.DUMMYFUNCTION("""COMPUTED_VALUE"""),1315.0)</f>
        <v>1315</v>
      </c>
      <c r="D464" s="5">
        <f>IFERROR(__xludf.DUMMYFUNCTION("""COMPUTED_VALUE"""),1275.0)</f>
        <v>1275</v>
      </c>
      <c r="E464" s="5">
        <f>IFERROR(__xludf.DUMMYFUNCTION("""COMPUTED_VALUE"""),1285.0)</f>
        <v>1285</v>
      </c>
      <c r="F464" s="5">
        <f>IFERROR(__xludf.DUMMYFUNCTION("""COMPUTED_VALUE"""),2.61743E7)</f>
        <v>26174300</v>
      </c>
      <c r="G464" s="5">
        <f t="shared" si="1"/>
        <v>40</v>
      </c>
    </row>
    <row r="465">
      <c r="A465" s="4">
        <f>IFERROR(__xludf.DUMMYFUNCTION("""COMPUTED_VALUE"""),44525.625)</f>
        <v>44525.625</v>
      </c>
      <c r="B465" s="5">
        <f>IFERROR(__xludf.DUMMYFUNCTION("""COMPUTED_VALUE"""),1285.0)</f>
        <v>1285</v>
      </c>
      <c r="C465" s="5">
        <f>IFERROR(__xludf.DUMMYFUNCTION("""COMPUTED_VALUE"""),1320.0)</f>
        <v>1320</v>
      </c>
      <c r="D465" s="5">
        <f>IFERROR(__xludf.DUMMYFUNCTION("""COMPUTED_VALUE"""),1285.0)</f>
        <v>1285</v>
      </c>
      <c r="E465" s="5">
        <f>IFERROR(__xludf.DUMMYFUNCTION("""COMPUTED_VALUE"""),1300.0)</f>
        <v>1300</v>
      </c>
      <c r="F465" s="5">
        <f>IFERROR(__xludf.DUMMYFUNCTION("""COMPUTED_VALUE"""),2.52238E7)</f>
        <v>25223800</v>
      </c>
      <c r="G465" s="5">
        <f t="shared" si="1"/>
        <v>35</v>
      </c>
    </row>
    <row r="466">
      <c r="A466" s="4">
        <f>IFERROR(__xludf.DUMMYFUNCTION("""COMPUTED_VALUE"""),44526.625)</f>
        <v>44526.625</v>
      </c>
      <c r="B466" s="5">
        <f>IFERROR(__xludf.DUMMYFUNCTION("""COMPUTED_VALUE"""),1295.0)</f>
        <v>1295</v>
      </c>
      <c r="C466" s="5">
        <f>IFERROR(__xludf.DUMMYFUNCTION("""COMPUTED_VALUE"""),1295.0)</f>
        <v>1295</v>
      </c>
      <c r="D466" s="5">
        <f>IFERROR(__xludf.DUMMYFUNCTION("""COMPUTED_VALUE"""),1230.0)</f>
        <v>1230</v>
      </c>
      <c r="E466" s="5">
        <f>IFERROR(__xludf.DUMMYFUNCTION("""COMPUTED_VALUE"""),1235.0)</f>
        <v>1235</v>
      </c>
      <c r="F466" s="5">
        <f>IFERROR(__xludf.DUMMYFUNCTION("""COMPUTED_VALUE"""),3.50019E7)</f>
        <v>35001900</v>
      </c>
      <c r="G466" s="5">
        <f t="shared" si="1"/>
        <v>70</v>
      </c>
    </row>
    <row r="467">
      <c r="A467" s="4">
        <f>IFERROR(__xludf.DUMMYFUNCTION("""COMPUTED_VALUE"""),44529.625)</f>
        <v>44529.625</v>
      </c>
      <c r="B467" s="5">
        <f>IFERROR(__xludf.DUMMYFUNCTION("""COMPUTED_VALUE"""),1215.0)</f>
        <v>1215</v>
      </c>
      <c r="C467" s="5">
        <f>IFERROR(__xludf.DUMMYFUNCTION("""COMPUTED_VALUE"""),1235.0)</f>
        <v>1235</v>
      </c>
      <c r="D467" s="5">
        <f>IFERROR(__xludf.DUMMYFUNCTION("""COMPUTED_VALUE"""),1175.0)</f>
        <v>1175</v>
      </c>
      <c r="E467" s="5">
        <f>IFERROR(__xludf.DUMMYFUNCTION("""COMPUTED_VALUE"""),1205.0)</f>
        <v>1205</v>
      </c>
      <c r="F467" s="5">
        <f>IFERROR(__xludf.DUMMYFUNCTION("""COMPUTED_VALUE"""),5.6051E7)</f>
        <v>56051000</v>
      </c>
      <c r="G467" s="5">
        <f t="shared" si="1"/>
        <v>60</v>
      </c>
    </row>
    <row r="468">
      <c r="A468" s="4">
        <f>IFERROR(__xludf.DUMMYFUNCTION("""COMPUTED_VALUE"""),44530.625)</f>
        <v>44530.625</v>
      </c>
      <c r="B468" s="5">
        <f>IFERROR(__xludf.DUMMYFUNCTION("""COMPUTED_VALUE"""),1215.0)</f>
        <v>1215</v>
      </c>
      <c r="C468" s="5">
        <f>IFERROR(__xludf.DUMMYFUNCTION("""COMPUTED_VALUE"""),1225.0)</f>
        <v>1225</v>
      </c>
      <c r="D468" s="5">
        <f>IFERROR(__xludf.DUMMYFUNCTION("""COMPUTED_VALUE"""),1130.0)</f>
        <v>1130</v>
      </c>
      <c r="E468" s="5">
        <f>IFERROR(__xludf.DUMMYFUNCTION("""COMPUTED_VALUE"""),1130.0)</f>
        <v>1130</v>
      </c>
      <c r="F468" s="5">
        <f>IFERROR(__xludf.DUMMYFUNCTION("""COMPUTED_VALUE"""),6.42927E7)</f>
        <v>64292700</v>
      </c>
      <c r="G468" s="5">
        <f t="shared" si="1"/>
        <v>95</v>
      </c>
    </row>
    <row r="469">
      <c r="A469" s="4">
        <f>IFERROR(__xludf.DUMMYFUNCTION("""COMPUTED_VALUE"""),44531.66666666667)</f>
        <v>44531.66667</v>
      </c>
      <c r="B469" s="5">
        <f>IFERROR(__xludf.DUMMYFUNCTION("""COMPUTED_VALUE"""),1125.0)</f>
        <v>1125</v>
      </c>
      <c r="C469" s="5">
        <f>IFERROR(__xludf.DUMMYFUNCTION("""COMPUTED_VALUE"""),1145.0)</f>
        <v>1145</v>
      </c>
      <c r="D469" s="5">
        <f>IFERROR(__xludf.DUMMYFUNCTION("""COMPUTED_VALUE"""),1085.0)</f>
        <v>1085</v>
      </c>
      <c r="E469" s="5">
        <f>IFERROR(__xludf.DUMMYFUNCTION("""COMPUTED_VALUE"""),1090.0)</f>
        <v>1090</v>
      </c>
      <c r="F469" s="5">
        <f>IFERROR(__xludf.DUMMYFUNCTION("""COMPUTED_VALUE"""),6.0622E7)</f>
        <v>60622000</v>
      </c>
      <c r="G469" s="5">
        <f t="shared" si="1"/>
        <v>60</v>
      </c>
    </row>
    <row r="470">
      <c r="A470" s="4">
        <f>IFERROR(__xludf.DUMMYFUNCTION("""COMPUTED_VALUE"""),44532.66666666667)</f>
        <v>44532.66667</v>
      </c>
      <c r="B470" s="5">
        <f>IFERROR(__xludf.DUMMYFUNCTION("""COMPUTED_VALUE"""),1085.0)</f>
        <v>1085</v>
      </c>
      <c r="C470" s="5">
        <f>IFERROR(__xludf.DUMMYFUNCTION("""COMPUTED_VALUE"""),1115.0)</f>
        <v>1115</v>
      </c>
      <c r="D470" s="5">
        <f>IFERROR(__xludf.DUMMYFUNCTION("""COMPUTED_VALUE"""),1060.0)</f>
        <v>1060</v>
      </c>
      <c r="E470" s="5">
        <f>IFERROR(__xludf.DUMMYFUNCTION("""COMPUTED_VALUE"""),1100.0)</f>
        <v>1100</v>
      </c>
      <c r="F470" s="5">
        <f>IFERROR(__xludf.DUMMYFUNCTION("""COMPUTED_VALUE"""),3.95902E7)</f>
        <v>39590200</v>
      </c>
      <c r="G470" s="5">
        <f t="shared" si="1"/>
        <v>55</v>
      </c>
    </row>
    <row r="471">
      <c r="A471" s="4">
        <f>IFERROR(__xludf.DUMMYFUNCTION("""COMPUTED_VALUE"""),44533.66666666667)</f>
        <v>44533.66667</v>
      </c>
      <c r="B471" s="5">
        <f>IFERROR(__xludf.DUMMYFUNCTION("""COMPUTED_VALUE"""),1105.0)</f>
        <v>1105</v>
      </c>
      <c r="C471" s="5">
        <f>IFERROR(__xludf.DUMMYFUNCTION("""COMPUTED_VALUE"""),1115.0)</f>
        <v>1115</v>
      </c>
      <c r="D471" s="5">
        <f>IFERROR(__xludf.DUMMYFUNCTION("""COMPUTED_VALUE"""),1080.0)</f>
        <v>1080</v>
      </c>
      <c r="E471" s="5">
        <f>IFERROR(__xludf.DUMMYFUNCTION("""COMPUTED_VALUE"""),1085.0)</f>
        <v>1085</v>
      </c>
      <c r="F471" s="5">
        <f>IFERROR(__xludf.DUMMYFUNCTION("""COMPUTED_VALUE"""),2.37577E7)</f>
        <v>23757700</v>
      </c>
      <c r="G471" s="5">
        <f t="shared" si="1"/>
        <v>35</v>
      </c>
    </row>
    <row r="472">
      <c r="A472" s="4">
        <f>IFERROR(__xludf.DUMMYFUNCTION("""COMPUTED_VALUE"""),44536.66666666667)</f>
        <v>44536.66667</v>
      </c>
      <c r="B472" s="5">
        <f>IFERROR(__xludf.DUMMYFUNCTION("""COMPUTED_VALUE"""),1080.0)</f>
        <v>1080</v>
      </c>
      <c r="C472" s="5">
        <f>IFERROR(__xludf.DUMMYFUNCTION("""COMPUTED_VALUE"""),1110.0)</f>
        <v>1110</v>
      </c>
      <c r="D472" s="5">
        <f>IFERROR(__xludf.DUMMYFUNCTION("""COMPUTED_VALUE"""),1080.0)</f>
        <v>1080</v>
      </c>
      <c r="E472" s="5">
        <f>IFERROR(__xludf.DUMMYFUNCTION("""COMPUTED_VALUE"""),1095.0)</f>
        <v>1095</v>
      </c>
      <c r="F472" s="5">
        <f>IFERROR(__xludf.DUMMYFUNCTION("""COMPUTED_VALUE"""),1.81284E7)</f>
        <v>18128400</v>
      </c>
      <c r="G472" s="5">
        <f t="shared" si="1"/>
        <v>30</v>
      </c>
    </row>
    <row r="473">
      <c r="A473" s="4">
        <f>IFERROR(__xludf.DUMMYFUNCTION("""COMPUTED_VALUE"""),44537.66666666667)</f>
        <v>44537.66667</v>
      </c>
      <c r="B473" s="5">
        <f>IFERROR(__xludf.DUMMYFUNCTION("""COMPUTED_VALUE"""),1105.0)</f>
        <v>1105</v>
      </c>
      <c r="C473" s="5">
        <f>IFERROR(__xludf.DUMMYFUNCTION("""COMPUTED_VALUE"""),1155.0)</f>
        <v>1155</v>
      </c>
      <c r="D473" s="5">
        <f>IFERROR(__xludf.DUMMYFUNCTION("""COMPUTED_VALUE"""),1105.0)</f>
        <v>1105</v>
      </c>
      <c r="E473" s="5">
        <f>IFERROR(__xludf.DUMMYFUNCTION("""COMPUTED_VALUE"""),1140.0)</f>
        <v>1140</v>
      </c>
      <c r="F473" s="5">
        <f>IFERROR(__xludf.DUMMYFUNCTION("""COMPUTED_VALUE"""),4.40634E7)</f>
        <v>44063400</v>
      </c>
      <c r="G473" s="5">
        <f t="shared" si="1"/>
        <v>60</v>
      </c>
    </row>
    <row r="474">
      <c r="A474" s="4">
        <f>IFERROR(__xludf.DUMMYFUNCTION("""COMPUTED_VALUE"""),44538.66666666667)</f>
        <v>44538.66667</v>
      </c>
      <c r="B474" s="5">
        <f>IFERROR(__xludf.DUMMYFUNCTION("""COMPUTED_VALUE"""),1150.0)</f>
        <v>1150</v>
      </c>
      <c r="C474" s="5">
        <f>IFERROR(__xludf.DUMMYFUNCTION("""COMPUTED_VALUE"""),1165.0)</f>
        <v>1165</v>
      </c>
      <c r="D474" s="5">
        <f>IFERROR(__xludf.DUMMYFUNCTION("""COMPUTED_VALUE"""),1115.0)</f>
        <v>1115</v>
      </c>
      <c r="E474" s="5">
        <f>IFERROR(__xludf.DUMMYFUNCTION("""COMPUTED_VALUE"""),1125.0)</f>
        <v>1125</v>
      </c>
      <c r="F474" s="5">
        <f>IFERROR(__xludf.DUMMYFUNCTION("""COMPUTED_VALUE"""),3.6086E7)</f>
        <v>36086000</v>
      </c>
      <c r="G474" s="5">
        <f t="shared" si="1"/>
        <v>50</v>
      </c>
    </row>
    <row r="475">
      <c r="A475" s="4">
        <f>IFERROR(__xludf.DUMMYFUNCTION("""COMPUTED_VALUE"""),44539.66666666667)</f>
        <v>44539.66667</v>
      </c>
      <c r="B475" s="5">
        <f>IFERROR(__xludf.DUMMYFUNCTION("""COMPUTED_VALUE"""),1125.0)</f>
        <v>1125</v>
      </c>
      <c r="C475" s="5">
        <f>IFERROR(__xludf.DUMMYFUNCTION("""COMPUTED_VALUE"""),1135.0)</f>
        <v>1135</v>
      </c>
      <c r="D475" s="5">
        <f>IFERROR(__xludf.DUMMYFUNCTION("""COMPUTED_VALUE"""),1105.0)</f>
        <v>1105</v>
      </c>
      <c r="E475" s="5">
        <f>IFERROR(__xludf.DUMMYFUNCTION("""COMPUTED_VALUE"""),1115.0)</f>
        <v>1115</v>
      </c>
      <c r="F475" s="5">
        <f>IFERROR(__xludf.DUMMYFUNCTION("""COMPUTED_VALUE"""),1.13205E7)</f>
        <v>11320500</v>
      </c>
      <c r="G475" s="5">
        <f t="shared" si="1"/>
        <v>30</v>
      </c>
    </row>
    <row r="476">
      <c r="A476" s="4">
        <f>IFERROR(__xludf.DUMMYFUNCTION("""COMPUTED_VALUE"""),44540.66666666667)</f>
        <v>44540.66667</v>
      </c>
      <c r="B476" s="5">
        <f>IFERROR(__xludf.DUMMYFUNCTION("""COMPUTED_VALUE"""),1110.0)</f>
        <v>1110</v>
      </c>
      <c r="C476" s="5">
        <f>IFERROR(__xludf.DUMMYFUNCTION("""COMPUTED_VALUE"""),1115.0)</f>
        <v>1115</v>
      </c>
      <c r="D476" s="5">
        <f>IFERROR(__xludf.DUMMYFUNCTION("""COMPUTED_VALUE"""),1095.0)</f>
        <v>1095</v>
      </c>
      <c r="E476" s="5">
        <f>IFERROR(__xludf.DUMMYFUNCTION("""COMPUTED_VALUE"""),1100.0)</f>
        <v>1100</v>
      </c>
      <c r="F476" s="5">
        <f>IFERROR(__xludf.DUMMYFUNCTION("""COMPUTED_VALUE"""),2.06289E7)</f>
        <v>20628900</v>
      </c>
      <c r="G476" s="5">
        <f t="shared" si="1"/>
        <v>20</v>
      </c>
    </row>
    <row r="477">
      <c r="A477" s="4">
        <f>IFERROR(__xludf.DUMMYFUNCTION("""COMPUTED_VALUE"""),44543.66666666667)</f>
        <v>44543.66667</v>
      </c>
      <c r="B477" s="5">
        <f>IFERROR(__xludf.DUMMYFUNCTION("""COMPUTED_VALUE"""),1110.0)</f>
        <v>1110</v>
      </c>
      <c r="C477" s="5">
        <f>IFERROR(__xludf.DUMMYFUNCTION("""COMPUTED_VALUE"""),1120.0)</f>
        <v>1120</v>
      </c>
      <c r="D477" s="5">
        <f>IFERROR(__xludf.DUMMYFUNCTION("""COMPUTED_VALUE"""),1095.0)</f>
        <v>1095</v>
      </c>
      <c r="E477" s="5">
        <f>IFERROR(__xludf.DUMMYFUNCTION("""COMPUTED_VALUE"""),1095.0)</f>
        <v>1095</v>
      </c>
      <c r="F477" s="5">
        <f>IFERROR(__xludf.DUMMYFUNCTION("""COMPUTED_VALUE"""),1.07384E7)</f>
        <v>10738400</v>
      </c>
      <c r="G477" s="5">
        <f t="shared" si="1"/>
        <v>25</v>
      </c>
    </row>
    <row r="478">
      <c r="A478" s="4">
        <f>IFERROR(__xludf.DUMMYFUNCTION("""COMPUTED_VALUE"""),44544.66666666667)</f>
        <v>44544.66667</v>
      </c>
      <c r="B478" s="5">
        <f>IFERROR(__xludf.DUMMYFUNCTION("""COMPUTED_VALUE"""),1090.0)</f>
        <v>1090</v>
      </c>
      <c r="C478" s="5">
        <f>IFERROR(__xludf.DUMMYFUNCTION("""COMPUTED_VALUE"""),1095.0)</f>
        <v>1095</v>
      </c>
      <c r="D478" s="5">
        <f>IFERROR(__xludf.DUMMYFUNCTION("""COMPUTED_VALUE"""),1065.0)</f>
        <v>1065</v>
      </c>
      <c r="E478" s="5">
        <f>IFERROR(__xludf.DUMMYFUNCTION("""COMPUTED_VALUE"""),1075.0)</f>
        <v>1075</v>
      </c>
      <c r="F478" s="5">
        <f>IFERROR(__xludf.DUMMYFUNCTION("""COMPUTED_VALUE"""),2.04166E7)</f>
        <v>20416600</v>
      </c>
      <c r="G478" s="5">
        <f t="shared" si="1"/>
        <v>30</v>
      </c>
    </row>
    <row r="479">
      <c r="A479" s="4">
        <f>IFERROR(__xludf.DUMMYFUNCTION("""COMPUTED_VALUE"""),44545.66666666667)</f>
        <v>44545.66667</v>
      </c>
      <c r="B479" s="5">
        <f>IFERROR(__xludf.DUMMYFUNCTION("""COMPUTED_VALUE"""),1075.0)</f>
        <v>1075</v>
      </c>
      <c r="C479" s="5">
        <f>IFERROR(__xludf.DUMMYFUNCTION("""COMPUTED_VALUE"""),1100.0)</f>
        <v>1100</v>
      </c>
      <c r="D479" s="5">
        <f>IFERROR(__xludf.DUMMYFUNCTION("""COMPUTED_VALUE"""),1065.0)</f>
        <v>1065</v>
      </c>
      <c r="E479" s="5">
        <f>IFERROR(__xludf.DUMMYFUNCTION("""COMPUTED_VALUE"""),1065.0)</f>
        <v>1065</v>
      </c>
      <c r="F479" s="5">
        <f>IFERROR(__xludf.DUMMYFUNCTION("""COMPUTED_VALUE"""),1.69742E7)</f>
        <v>16974200</v>
      </c>
      <c r="G479" s="5">
        <f t="shared" si="1"/>
        <v>35</v>
      </c>
    </row>
    <row r="480">
      <c r="A480" s="4">
        <f>IFERROR(__xludf.DUMMYFUNCTION("""COMPUTED_VALUE"""),44546.66666666667)</f>
        <v>44546.66667</v>
      </c>
      <c r="B480" s="5">
        <f>IFERROR(__xludf.DUMMYFUNCTION("""COMPUTED_VALUE"""),1080.0)</f>
        <v>1080</v>
      </c>
      <c r="C480" s="5">
        <f>IFERROR(__xludf.DUMMYFUNCTION("""COMPUTED_VALUE"""),1090.0)</f>
        <v>1090</v>
      </c>
      <c r="D480" s="5">
        <f>IFERROR(__xludf.DUMMYFUNCTION("""COMPUTED_VALUE"""),1040.0)</f>
        <v>1040</v>
      </c>
      <c r="E480" s="5">
        <f>IFERROR(__xludf.DUMMYFUNCTION("""COMPUTED_VALUE"""),1055.0)</f>
        <v>1055</v>
      </c>
      <c r="F480" s="5">
        <f>IFERROR(__xludf.DUMMYFUNCTION("""COMPUTED_VALUE"""),2.65363E7)</f>
        <v>26536300</v>
      </c>
      <c r="G480" s="5">
        <f t="shared" si="1"/>
        <v>50</v>
      </c>
    </row>
    <row r="481">
      <c r="A481" s="4">
        <f>IFERROR(__xludf.DUMMYFUNCTION("""COMPUTED_VALUE"""),44547.66666666667)</f>
        <v>44547.66667</v>
      </c>
      <c r="B481" s="5">
        <f>IFERROR(__xludf.DUMMYFUNCTION("""COMPUTED_VALUE"""),1045.0)</f>
        <v>1045</v>
      </c>
      <c r="C481" s="5">
        <f>IFERROR(__xludf.DUMMYFUNCTION("""COMPUTED_VALUE"""),1055.0)</f>
        <v>1055</v>
      </c>
      <c r="D481" s="5">
        <f>IFERROR(__xludf.DUMMYFUNCTION("""COMPUTED_VALUE"""),1010.0)</f>
        <v>1010</v>
      </c>
      <c r="E481" s="5">
        <f>IFERROR(__xludf.DUMMYFUNCTION("""COMPUTED_VALUE"""),1010.0)</f>
        <v>1010</v>
      </c>
      <c r="F481" s="5">
        <f>IFERROR(__xludf.DUMMYFUNCTION("""COMPUTED_VALUE"""),3.44984E7)</f>
        <v>34498400</v>
      </c>
      <c r="G481" s="5">
        <f t="shared" si="1"/>
        <v>45</v>
      </c>
    </row>
    <row r="482">
      <c r="A482" s="4">
        <f>IFERROR(__xludf.DUMMYFUNCTION("""COMPUTED_VALUE"""),44550.66666666667)</f>
        <v>44550.66667</v>
      </c>
      <c r="B482" s="5">
        <f>IFERROR(__xludf.DUMMYFUNCTION("""COMPUTED_VALUE"""),1005.0)</f>
        <v>1005</v>
      </c>
      <c r="C482" s="5">
        <f>IFERROR(__xludf.DUMMYFUNCTION("""COMPUTED_VALUE"""),1005.0)</f>
        <v>1005</v>
      </c>
      <c r="D482" s="5">
        <f>IFERROR(__xludf.DUMMYFUNCTION("""COMPUTED_VALUE"""),975.0)</f>
        <v>975</v>
      </c>
      <c r="E482" s="5">
        <f>IFERROR(__xludf.DUMMYFUNCTION("""COMPUTED_VALUE"""),985.0)</f>
        <v>985</v>
      </c>
      <c r="F482" s="5">
        <f>IFERROR(__xludf.DUMMYFUNCTION("""COMPUTED_VALUE"""),3.23115E7)</f>
        <v>32311500</v>
      </c>
      <c r="G482" s="5">
        <f t="shared" si="1"/>
        <v>35</v>
      </c>
    </row>
    <row r="483">
      <c r="A483" s="4">
        <f>IFERROR(__xludf.DUMMYFUNCTION("""COMPUTED_VALUE"""),44551.66666666667)</f>
        <v>44551.66667</v>
      </c>
      <c r="B483" s="5">
        <f>IFERROR(__xludf.DUMMYFUNCTION("""COMPUTED_VALUE"""),985.0)</f>
        <v>985</v>
      </c>
      <c r="C483" s="5">
        <f>IFERROR(__xludf.DUMMYFUNCTION("""COMPUTED_VALUE"""),1020.0)</f>
        <v>1020</v>
      </c>
      <c r="D483" s="5">
        <f>IFERROR(__xludf.DUMMYFUNCTION("""COMPUTED_VALUE"""),980.0)</f>
        <v>980</v>
      </c>
      <c r="E483" s="5">
        <f>IFERROR(__xludf.DUMMYFUNCTION("""COMPUTED_VALUE"""),1000.0)</f>
        <v>1000</v>
      </c>
      <c r="F483" s="5">
        <f>IFERROR(__xludf.DUMMYFUNCTION("""COMPUTED_VALUE"""),4.16911E7)</f>
        <v>41691100</v>
      </c>
      <c r="G483" s="5">
        <f t="shared" si="1"/>
        <v>40</v>
      </c>
    </row>
    <row r="484">
      <c r="A484" s="4">
        <f>IFERROR(__xludf.DUMMYFUNCTION("""COMPUTED_VALUE"""),44552.66666666667)</f>
        <v>44552.66667</v>
      </c>
      <c r="B484" s="5">
        <f>IFERROR(__xludf.DUMMYFUNCTION("""COMPUTED_VALUE"""),1010.0)</f>
        <v>1010</v>
      </c>
      <c r="C484" s="5">
        <f>IFERROR(__xludf.DUMMYFUNCTION("""COMPUTED_VALUE"""),1020.0)</f>
        <v>1020</v>
      </c>
      <c r="D484" s="5">
        <f>IFERROR(__xludf.DUMMYFUNCTION("""COMPUTED_VALUE"""),980.0)</f>
        <v>980</v>
      </c>
      <c r="E484" s="5">
        <f>IFERROR(__xludf.DUMMYFUNCTION("""COMPUTED_VALUE"""),980.0)</f>
        <v>980</v>
      </c>
      <c r="F484" s="5">
        <f>IFERROR(__xludf.DUMMYFUNCTION("""COMPUTED_VALUE"""),2.71328E7)</f>
        <v>27132800</v>
      </c>
      <c r="G484" s="5">
        <f t="shared" si="1"/>
        <v>40</v>
      </c>
    </row>
    <row r="485">
      <c r="A485" s="4">
        <f>IFERROR(__xludf.DUMMYFUNCTION("""COMPUTED_VALUE"""),44553.66666666667)</f>
        <v>44553.66667</v>
      </c>
      <c r="B485" s="5">
        <f>IFERROR(__xludf.DUMMYFUNCTION("""COMPUTED_VALUE"""),985.0)</f>
        <v>985</v>
      </c>
      <c r="C485" s="5">
        <f>IFERROR(__xludf.DUMMYFUNCTION("""COMPUTED_VALUE"""),990.0)</f>
        <v>990</v>
      </c>
      <c r="D485" s="5">
        <f>IFERROR(__xludf.DUMMYFUNCTION("""COMPUTED_VALUE"""),970.0)</f>
        <v>970</v>
      </c>
      <c r="E485" s="5">
        <f>IFERROR(__xludf.DUMMYFUNCTION("""COMPUTED_VALUE"""),975.0)</f>
        <v>975</v>
      </c>
      <c r="F485" s="5">
        <f>IFERROR(__xludf.DUMMYFUNCTION("""COMPUTED_VALUE"""),1.4026E7)</f>
        <v>14026000</v>
      </c>
      <c r="G485" s="5">
        <f t="shared" si="1"/>
        <v>20</v>
      </c>
    </row>
    <row r="486">
      <c r="A486" s="4">
        <f>IFERROR(__xludf.DUMMYFUNCTION("""COMPUTED_VALUE"""),44554.66666666667)</f>
        <v>44554.66667</v>
      </c>
      <c r="B486" s="5">
        <f>IFERROR(__xludf.DUMMYFUNCTION("""COMPUTED_VALUE"""),975.0)</f>
        <v>975</v>
      </c>
      <c r="C486" s="5">
        <f>IFERROR(__xludf.DUMMYFUNCTION("""COMPUTED_VALUE"""),1000.0)</f>
        <v>1000</v>
      </c>
      <c r="D486" s="5">
        <f>IFERROR(__xludf.DUMMYFUNCTION("""COMPUTED_VALUE"""),975.0)</f>
        <v>975</v>
      </c>
      <c r="E486" s="5">
        <f>IFERROR(__xludf.DUMMYFUNCTION("""COMPUTED_VALUE"""),980.0)</f>
        <v>980</v>
      </c>
      <c r="F486" s="5">
        <f>IFERROR(__xludf.DUMMYFUNCTION("""COMPUTED_VALUE"""),1.52458E7)</f>
        <v>15245800</v>
      </c>
      <c r="G486" s="5">
        <f t="shared" si="1"/>
        <v>25</v>
      </c>
    </row>
    <row r="487">
      <c r="A487" s="4">
        <f>IFERROR(__xludf.DUMMYFUNCTION("""COMPUTED_VALUE"""),44557.66666666667)</f>
        <v>44557.66667</v>
      </c>
      <c r="B487" s="5">
        <f>IFERROR(__xludf.DUMMYFUNCTION("""COMPUTED_VALUE"""),990.0)</f>
        <v>990</v>
      </c>
      <c r="C487" s="5">
        <f>IFERROR(__xludf.DUMMYFUNCTION("""COMPUTED_VALUE"""),1035.0)</f>
        <v>1035</v>
      </c>
      <c r="D487" s="5">
        <f>IFERROR(__xludf.DUMMYFUNCTION("""COMPUTED_VALUE"""),985.0)</f>
        <v>985</v>
      </c>
      <c r="E487" s="5">
        <f>IFERROR(__xludf.DUMMYFUNCTION("""COMPUTED_VALUE"""),1035.0)</f>
        <v>1035</v>
      </c>
      <c r="F487" s="5">
        <f>IFERROR(__xludf.DUMMYFUNCTION("""COMPUTED_VALUE"""),3.44142E7)</f>
        <v>34414200</v>
      </c>
      <c r="G487" s="5">
        <f t="shared" si="1"/>
        <v>55</v>
      </c>
    </row>
    <row r="488">
      <c r="A488" s="4">
        <f>IFERROR(__xludf.DUMMYFUNCTION("""COMPUTED_VALUE"""),44558.66666666667)</f>
        <v>44558.66667</v>
      </c>
      <c r="B488" s="5">
        <f>IFERROR(__xludf.DUMMYFUNCTION("""COMPUTED_VALUE"""),1050.0)</f>
        <v>1050</v>
      </c>
      <c r="C488" s="5">
        <f>IFERROR(__xludf.DUMMYFUNCTION("""COMPUTED_VALUE"""),1050.0)</f>
        <v>1050</v>
      </c>
      <c r="D488" s="5">
        <f>IFERROR(__xludf.DUMMYFUNCTION("""COMPUTED_VALUE"""),1000.0)</f>
        <v>1000</v>
      </c>
      <c r="E488" s="5">
        <f>IFERROR(__xludf.DUMMYFUNCTION("""COMPUTED_VALUE"""),1015.0)</f>
        <v>1015</v>
      </c>
      <c r="F488" s="5">
        <f>IFERROR(__xludf.DUMMYFUNCTION("""COMPUTED_VALUE"""),3.47891E7)</f>
        <v>34789100</v>
      </c>
      <c r="G488" s="5">
        <f t="shared" si="1"/>
        <v>50</v>
      </c>
    </row>
    <row r="489">
      <c r="A489" s="4">
        <f>IFERROR(__xludf.DUMMYFUNCTION("""COMPUTED_VALUE"""),44559.66666666667)</f>
        <v>44559.66667</v>
      </c>
      <c r="B489" s="5">
        <f>IFERROR(__xludf.DUMMYFUNCTION("""COMPUTED_VALUE"""),1015.0)</f>
        <v>1015</v>
      </c>
      <c r="C489" s="5">
        <f>IFERROR(__xludf.DUMMYFUNCTION("""COMPUTED_VALUE"""),1015.0)</f>
        <v>1015</v>
      </c>
      <c r="D489" s="5">
        <f>IFERROR(__xludf.DUMMYFUNCTION("""COMPUTED_VALUE"""),995.0)</f>
        <v>995</v>
      </c>
      <c r="E489" s="5">
        <f>IFERROR(__xludf.DUMMYFUNCTION("""COMPUTED_VALUE"""),1005.0)</f>
        <v>1005</v>
      </c>
      <c r="F489" s="5">
        <f>IFERROR(__xludf.DUMMYFUNCTION("""COMPUTED_VALUE"""),1.12617E7)</f>
        <v>11261700</v>
      </c>
      <c r="G489" s="5">
        <f t="shared" si="1"/>
        <v>20</v>
      </c>
    </row>
    <row r="490">
      <c r="A490" s="4">
        <f>IFERROR(__xludf.DUMMYFUNCTION("""COMPUTED_VALUE"""),44560.66666666667)</f>
        <v>44560.66667</v>
      </c>
      <c r="B490" s="5">
        <f>IFERROR(__xludf.DUMMYFUNCTION("""COMPUTED_VALUE"""),1005.0)</f>
        <v>1005</v>
      </c>
      <c r="C490" s="5">
        <f>IFERROR(__xludf.DUMMYFUNCTION("""COMPUTED_VALUE"""),1010.0)</f>
        <v>1010</v>
      </c>
      <c r="D490" s="5">
        <f>IFERROR(__xludf.DUMMYFUNCTION("""COMPUTED_VALUE"""),990.0)</f>
        <v>990</v>
      </c>
      <c r="E490" s="5">
        <f>IFERROR(__xludf.DUMMYFUNCTION("""COMPUTED_VALUE"""),990.0)</f>
        <v>990</v>
      </c>
      <c r="F490" s="5">
        <f>IFERROR(__xludf.DUMMYFUNCTION("""COMPUTED_VALUE"""),1.05687E7)</f>
        <v>10568700</v>
      </c>
      <c r="G490" s="5">
        <f t="shared" si="1"/>
        <v>20</v>
      </c>
    </row>
    <row r="491">
      <c r="A491" s="4">
        <f>IFERROR(__xludf.DUMMYFUNCTION("""COMPUTED_VALUE"""),44564.66666666667)</f>
        <v>44564.66667</v>
      </c>
      <c r="B491" s="5">
        <f>IFERROR(__xludf.DUMMYFUNCTION("""COMPUTED_VALUE"""),995.0)</f>
        <v>995</v>
      </c>
      <c r="C491" s="5">
        <f>IFERROR(__xludf.DUMMYFUNCTION("""COMPUTED_VALUE"""),1025.0)</f>
        <v>1025</v>
      </c>
      <c r="D491" s="5">
        <f>IFERROR(__xludf.DUMMYFUNCTION("""COMPUTED_VALUE"""),995.0)</f>
        <v>995</v>
      </c>
      <c r="E491" s="5">
        <f>IFERROR(__xludf.DUMMYFUNCTION("""COMPUTED_VALUE"""),1020.0)</f>
        <v>1020</v>
      </c>
      <c r="F491" s="5">
        <f>IFERROR(__xludf.DUMMYFUNCTION("""COMPUTED_VALUE"""),1.54176E7)</f>
        <v>15417600</v>
      </c>
      <c r="G491" s="5">
        <f t="shared" si="1"/>
        <v>35</v>
      </c>
    </row>
    <row r="492">
      <c r="A492" s="4">
        <f>IFERROR(__xludf.DUMMYFUNCTION("""COMPUTED_VALUE"""),44565.66666666667)</f>
        <v>44565.66667</v>
      </c>
      <c r="B492" s="5">
        <f>IFERROR(__xludf.DUMMYFUNCTION("""COMPUTED_VALUE"""),1030.0)</f>
        <v>1030</v>
      </c>
      <c r="C492" s="5">
        <f>IFERROR(__xludf.DUMMYFUNCTION("""COMPUTED_VALUE"""),1035.0)</f>
        <v>1035</v>
      </c>
      <c r="D492" s="5">
        <f>IFERROR(__xludf.DUMMYFUNCTION("""COMPUTED_VALUE"""),1005.0)</f>
        <v>1005</v>
      </c>
      <c r="E492" s="5">
        <f>IFERROR(__xludf.DUMMYFUNCTION("""COMPUTED_VALUE"""),1010.0)</f>
        <v>1010</v>
      </c>
      <c r="F492" s="5">
        <f>IFERROR(__xludf.DUMMYFUNCTION("""COMPUTED_VALUE"""),1.21777E7)</f>
        <v>12177700</v>
      </c>
      <c r="G492" s="5">
        <f t="shared" si="1"/>
        <v>30</v>
      </c>
    </row>
    <row r="493">
      <c r="A493" s="4">
        <f>IFERROR(__xludf.DUMMYFUNCTION("""COMPUTED_VALUE"""),44566.66666666667)</f>
        <v>44566.66667</v>
      </c>
      <c r="B493" s="5">
        <f>IFERROR(__xludf.DUMMYFUNCTION("""COMPUTED_VALUE"""),1010.0)</f>
        <v>1010</v>
      </c>
      <c r="C493" s="5">
        <f>IFERROR(__xludf.DUMMYFUNCTION("""COMPUTED_VALUE"""),1025.0)</f>
        <v>1025</v>
      </c>
      <c r="D493" s="5">
        <f>IFERROR(__xludf.DUMMYFUNCTION("""COMPUTED_VALUE"""),1000.0)</f>
        <v>1000</v>
      </c>
      <c r="E493" s="5">
        <f>IFERROR(__xludf.DUMMYFUNCTION("""COMPUTED_VALUE"""),1010.0)</f>
        <v>1010</v>
      </c>
      <c r="F493" s="5">
        <f>IFERROR(__xludf.DUMMYFUNCTION("""COMPUTED_VALUE"""),7327100.0)</f>
        <v>7327100</v>
      </c>
      <c r="G493" s="5">
        <f t="shared" si="1"/>
        <v>25</v>
      </c>
    </row>
    <row r="494">
      <c r="A494" s="4">
        <f>IFERROR(__xludf.DUMMYFUNCTION("""COMPUTED_VALUE"""),44567.66666666667)</f>
        <v>44567.66667</v>
      </c>
      <c r="B494" s="5">
        <f>IFERROR(__xludf.DUMMYFUNCTION("""COMPUTED_VALUE"""),1010.0)</f>
        <v>1010</v>
      </c>
      <c r="C494" s="5">
        <f>IFERROR(__xludf.DUMMYFUNCTION("""COMPUTED_VALUE"""),1035.0)</f>
        <v>1035</v>
      </c>
      <c r="D494" s="5">
        <f>IFERROR(__xludf.DUMMYFUNCTION("""COMPUTED_VALUE"""),1000.0)</f>
        <v>1000</v>
      </c>
      <c r="E494" s="5">
        <f>IFERROR(__xludf.DUMMYFUNCTION("""COMPUTED_VALUE"""),1025.0)</f>
        <v>1025</v>
      </c>
      <c r="F494" s="5">
        <f>IFERROR(__xludf.DUMMYFUNCTION("""COMPUTED_VALUE"""),1.82262E7)</f>
        <v>18226200</v>
      </c>
      <c r="G494" s="5">
        <f t="shared" si="1"/>
        <v>35</v>
      </c>
    </row>
    <row r="495">
      <c r="A495" s="4">
        <f>IFERROR(__xludf.DUMMYFUNCTION("""COMPUTED_VALUE"""),44568.66666666667)</f>
        <v>44568.66667</v>
      </c>
      <c r="B495" s="5">
        <f>IFERROR(__xludf.DUMMYFUNCTION("""COMPUTED_VALUE"""),1025.0)</f>
        <v>1025</v>
      </c>
      <c r="C495" s="5">
        <f>IFERROR(__xludf.DUMMYFUNCTION("""COMPUTED_VALUE"""),1075.0)</f>
        <v>1075</v>
      </c>
      <c r="D495" s="5">
        <f>IFERROR(__xludf.DUMMYFUNCTION("""COMPUTED_VALUE"""),1015.0)</f>
        <v>1015</v>
      </c>
      <c r="E495" s="5">
        <f>IFERROR(__xludf.DUMMYFUNCTION("""COMPUTED_VALUE"""),1065.0)</f>
        <v>1065</v>
      </c>
      <c r="F495" s="5">
        <f>IFERROR(__xludf.DUMMYFUNCTION("""COMPUTED_VALUE"""),3.70453E7)</f>
        <v>37045300</v>
      </c>
      <c r="G495" s="5">
        <f t="shared" si="1"/>
        <v>60</v>
      </c>
    </row>
    <row r="496">
      <c r="A496" s="4">
        <f>IFERROR(__xludf.DUMMYFUNCTION("""COMPUTED_VALUE"""),44571.66666666667)</f>
        <v>44571.66667</v>
      </c>
      <c r="B496" s="5">
        <f>IFERROR(__xludf.DUMMYFUNCTION("""COMPUTED_VALUE"""),1065.0)</f>
        <v>1065</v>
      </c>
      <c r="C496" s="5">
        <f>IFERROR(__xludf.DUMMYFUNCTION("""COMPUTED_VALUE"""),1070.0)</f>
        <v>1070</v>
      </c>
      <c r="D496" s="5">
        <f>IFERROR(__xludf.DUMMYFUNCTION("""COMPUTED_VALUE"""),1045.0)</f>
        <v>1045</v>
      </c>
      <c r="E496" s="5">
        <f>IFERROR(__xludf.DUMMYFUNCTION("""COMPUTED_VALUE"""),1050.0)</f>
        <v>1050</v>
      </c>
      <c r="F496" s="5">
        <f>IFERROR(__xludf.DUMMYFUNCTION("""COMPUTED_VALUE"""),1.41591E7)</f>
        <v>14159100</v>
      </c>
      <c r="G496" s="5">
        <f t="shared" si="1"/>
        <v>25</v>
      </c>
    </row>
    <row r="497">
      <c r="A497" s="4">
        <f>IFERROR(__xludf.DUMMYFUNCTION("""COMPUTED_VALUE"""),44572.66666666667)</f>
        <v>44572.66667</v>
      </c>
      <c r="B497" s="5">
        <f>IFERROR(__xludf.DUMMYFUNCTION("""COMPUTED_VALUE"""),1050.0)</f>
        <v>1050</v>
      </c>
      <c r="C497" s="5">
        <f>IFERROR(__xludf.DUMMYFUNCTION("""COMPUTED_VALUE"""),1050.0)</f>
        <v>1050</v>
      </c>
      <c r="D497" s="5">
        <f>IFERROR(__xludf.DUMMYFUNCTION("""COMPUTED_VALUE"""),980.0)</f>
        <v>980</v>
      </c>
      <c r="E497" s="5">
        <f>IFERROR(__xludf.DUMMYFUNCTION("""COMPUTED_VALUE"""),995.0)</f>
        <v>995</v>
      </c>
      <c r="F497" s="5">
        <f>IFERROR(__xludf.DUMMYFUNCTION("""COMPUTED_VALUE"""),5.17625E7)</f>
        <v>51762500</v>
      </c>
      <c r="G497" s="5">
        <f t="shared" si="1"/>
        <v>70</v>
      </c>
    </row>
    <row r="498">
      <c r="A498" s="4">
        <f>IFERROR(__xludf.DUMMYFUNCTION("""COMPUTED_VALUE"""),44573.66666666667)</f>
        <v>44573.66667</v>
      </c>
      <c r="B498" s="5">
        <f>IFERROR(__xludf.DUMMYFUNCTION("""COMPUTED_VALUE"""),1000.0)</f>
        <v>1000</v>
      </c>
      <c r="C498" s="5">
        <f>IFERROR(__xludf.DUMMYFUNCTION("""COMPUTED_VALUE"""),1010.0)</f>
        <v>1010</v>
      </c>
      <c r="D498" s="5">
        <f>IFERROR(__xludf.DUMMYFUNCTION("""COMPUTED_VALUE"""),970.0)</f>
        <v>970</v>
      </c>
      <c r="E498" s="5">
        <f>IFERROR(__xludf.DUMMYFUNCTION("""COMPUTED_VALUE"""),995.0)</f>
        <v>995</v>
      </c>
      <c r="F498" s="5">
        <f>IFERROR(__xludf.DUMMYFUNCTION("""COMPUTED_VALUE"""),2.48268E7)</f>
        <v>24826800</v>
      </c>
      <c r="G498" s="5">
        <f t="shared" si="1"/>
        <v>40</v>
      </c>
    </row>
    <row r="499">
      <c r="A499" s="4">
        <f>IFERROR(__xludf.DUMMYFUNCTION("""COMPUTED_VALUE"""),44574.66666666667)</f>
        <v>44574.66667</v>
      </c>
      <c r="B499" s="5">
        <f>IFERROR(__xludf.DUMMYFUNCTION("""COMPUTED_VALUE"""),995.0)</f>
        <v>995</v>
      </c>
      <c r="C499" s="5">
        <f>IFERROR(__xludf.DUMMYFUNCTION("""COMPUTED_VALUE"""),1025.0)</f>
        <v>1025</v>
      </c>
      <c r="D499" s="5">
        <f>IFERROR(__xludf.DUMMYFUNCTION("""COMPUTED_VALUE"""),990.0)</f>
        <v>990</v>
      </c>
      <c r="E499" s="5">
        <f>IFERROR(__xludf.DUMMYFUNCTION("""COMPUTED_VALUE"""),1010.0)</f>
        <v>1010</v>
      </c>
      <c r="F499" s="5">
        <f>IFERROR(__xludf.DUMMYFUNCTION("""COMPUTED_VALUE"""),2.54816E7)</f>
        <v>25481600</v>
      </c>
      <c r="G499" s="5">
        <f t="shared" si="1"/>
        <v>35</v>
      </c>
    </row>
    <row r="500">
      <c r="A500" s="4">
        <f>IFERROR(__xludf.DUMMYFUNCTION("""COMPUTED_VALUE"""),44575.66666666667)</f>
        <v>44575.66667</v>
      </c>
      <c r="B500" s="5">
        <f>IFERROR(__xludf.DUMMYFUNCTION("""COMPUTED_VALUE"""),1005.0)</f>
        <v>1005</v>
      </c>
      <c r="C500" s="5">
        <f>IFERROR(__xludf.DUMMYFUNCTION("""COMPUTED_VALUE"""),1010.0)</f>
        <v>1010</v>
      </c>
      <c r="D500" s="5">
        <f>IFERROR(__xludf.DUMMYFUNCTION("""COMPUTED_VALUE"""),990.0)</f>
        <v>990</v>
      </c>
      <c r="E500" s="5">
        <f>IFERROR(__xludf.DUMMYFUNCTION("""COMPUTED_VALUE"""),1000.0)</f>
        <v>1000</v>
      </c>
      <c r="F500" s="5">
        <f>IFERROR(__xludf.DUMMYFUNCTION("""COMPUTED_VALUE"""),9286200.0)</f>
        <v>9286200</v>
      </c>
      <c r="G500" s="5">
        <f t="shared" si="1"/>
        <v>20</v>
      </c>
    </row>
    <row r="501">
      <c r="A501" s="4">
        <f>IFERROR(__xludf.DUMMYFUNCTION("""COMPUTED_VALUE"""),44578.66666666667)</f>
        <v>44578.66667</v>
      </c>
      <c r="B501" s="5">
        <f>IFERROR(__xludf.DUMMYFUNCTION("""COMPUTED_VALUE"""),1000.0)</f>
        <v>1000</v>
      </c>
      <c r="C501" s="5">
        <f>IFERROR(__xludf.DUMMYFUNCTION("""COMPUTED_VALUE"""),1005.0)</f>
        <v>1005</v>
      </c>
      <c r="D501" s="5">
        <f>IFERROR(__xludf.DUMMYFUNCTION("""COMPUTED_VALUE"""),930.0)</f>
        <v>930</v>
      </c>
      <c r="E501" s="5">
        <f>IFERROR(__xludf.DUMMYFUNCTION("""COMPUTED_VALUE"""),930.0)</f>
        <v>930</v>
      </c>
      <c r="F501" s="5">
        <f>IFERROR(__xludf.DUMMYFUNCTION("""COMPUTED_VALUE"""),3.72784E7)</f>
        <v>37278400</v>
      </c>
      <c r="G501" s="5">
        <f t="shared" si="1"/>
        <v>75</v>
      </c>
    </row>
    <row r="502">
      <c r="A502" s="4">
        <f>IFERROR(__xludf.DUMMYFUNCTION("""COMPUTED_VALUE"""),44579.66666666667)</f>
        <v>44579.66667</v>
      </c>
      <c r="B502" s="5">
        <f>IFERROR(__xludf.DUMMYFUNCTION("""COMPUTED_VALUE"""),930.0)</f>
        <v>930</v>
      </c>
      <c r="C502" s="5">
        <f>IFERROR(__xludf.DUMMYFUNCTION("""COMPUTED_VALUE"""),940.0)</f>
        <v>940</v>
      </c>
      <c r="D502" s="5">
        <f>IFERROR(__xludf.DUMMYFUNCTION("""COMPUTED_VALUE"""),870.0)</f>
        <v>870</v>
      </c>
      <c r="E502" s="5">
        <f>IFERROR(__xludf.DUMMYFUNCTION("""COMPUTED_VALUE"""),905.0)</f>
        <v>905</v>
      </c>
      <c r="F502" s="5">
        <f>IFERROR(__xludf.DUMMYFUNCTION("""COMPUTED_VALUE"""),7.12193E7)</f>
        <v>71219300</v>
      </c>
      <c r="G502" s="5">
        <f t="shared" si="1"/>
        <v>70</v>
      </c>
    </row>
    <row r="503">
      <c r="A503" s="4">
        <f>IFERROR(__xludf.DUMMYFUNCTION("""COMPUTED_VALUE"""),44580.66666666667)</f>
        <v>44580.66667</v>
      </c>
      <c r="B503" s="5">
        <f>IFERROR(__xludf.DUMMYFUNCTION("""COMPUTED_VALUE"""),895.0)</f>
        <v>895</v>
      </c>
      <c r="C503" s="5">
        <f>IFERROR(__xludf.DUMMYFUNCTION("""COMPUTED_VALUE"""),920.0)</f>
        <v>920</v>
      </c>
      <c r="D503" s="5">
        <f>IFERROR(__xludf.DUMMYFUNCTION("""COMPUTED_VALUE"""),880.0)</f>
        <v>880</v>
      </c>
      <c r="E503" s="5">
        <f>IFERROR(__xludf.DUMMYFUNCTION("""COMPUTED_VALUE"""),890.0)</f>
        <v>890</v>
      </c>
      <c r="F503" s="5">
        <f>IFERROR(__xludf.DUMMYFUNCTION("""COMPUTED_VALUE"""),2.18747E7)</f>
        <v>21874700</v>
      </c>
      <c r="G503" s="5">
        <f t="shared" si="1"/>
        <v>40</v>
      </c>
    </row>
    <row r="504">
      <c r="A504" s="4">
        <f>IFERROR(__xludf.DUMMYFUNCTION("""COMPUTED_VALUE"""),44581.66666666667)</f>
        <v>44581.66667</v>
      </c>
      <c r="B504" s="5">
        <f>IFERROR(__xludf.DUMMYFUNCTION("""COMPUTED_VALUE"""),890.0)</f>
        <v>890</v>
      </c>
      <c r="C504" s="5">
        <f>IFERROR(__xludf.DUMMYFUNCTION("""COMPUTED_VALUE"""),925.0)</f>
        <v>925</v>
      </c>
      <c r="D504" s="5">
        <f>IFERROR(__xludf.DUMMYFUNCTION("""COMPUTED_VALUE"""),890.0)</f>
        <v>890</v>
      </c>
      <c r="E504" s="5">
        <f>IFERROR(__xludf.DUMMYFUNCTION("""COMPUTED_VALUE"""),910.0)</f>
        <v>910</v>
      </c>
      <c r="F504" s="5">
        <f>IFERROR(__xludf.DUMMYFUNCTION("""COMPUTED_VALUE"""),1.91669E7)</f>
        <v>19166900</v>
      </c>
      <c r="G504" s="5">
        <f t="shared" si="1"/>
        <v>35</v>
      </c>
    </row>
    <row r="505">
      <c r="A505" s="4">
        <f>IFERROR(__xludf.DUMMYFUNCTION("""COMPUTED_VALUE"""),44582.66666666667)</f>
        <v>44582.66667</v>
      </c>
      <c r="B505" s="5">
        <f>IFERROR(__xludf.DUMMYFUNCTION("""COMPUTED_VALUE"""),910.0)</f>
        <v>910</v>
      </c>
      <c r="C505" s="5">
        <f>IFERROR(__xludf.DUMMYFUNCTION("""COMPUTED_VALUE"""),940.0)</f>
        <v>940</v>
      </c>
      <c r="D505" s="5">
        <f>IFERROR(__xludf.DUMMYFUNCTION("""COMPUTED_VALUE"""),900.0)</f>
        <v>900</v>
      </c>
      <c r="E505" s="5">
        <f>IFERROR(__xludf.DUMMYFUNCTION("""COMPUTED_VALUE"""),930.0)</f>
        <v>930</v>
      </c>
      <c r="F505" s="5">
        <f>IFERROR(__xludf.DUMMYFUNCTION("""COMPUTED_VALUE"""),1.98623E7)</f>
        <v>19862300</v>
      </c>
      <c r="G505" s="5">
        <f t="shared" si="1"/>
        <v>40</v>
      </c>
    </row>
    <row r="506">
      <c r="A506" s="4">
        <f>IFERROR(__xludf.DUMMYFUNCTION("""COMPUTED_VALUE"""),44585.66666666667)</f>
        <v>44585.66667</v>
      </c>
      <c r="B506" s="5">
        <f>IFERROR(__xludf.DUMMYFUNCTION("""COMPUTED_VALUE"""),930.0)</f>
        <v>930</v>
      </c>
      <c r="C506" s="5">
        <f>IFERROR(__xludf.DUMMYFUNCTION("""COMPUTED_VALUE"""),945.0)</f>
        <v>945</v>
      </c>
      <c r="D506" s="5">
        <f>IFERROR(__xludf.DUMMYFUNCTION("""COMPUTED_VALUE"""),915.0)</f>
        <v>915</v>
      </c>
      <c r="E506" s="5">
        <f>IFERROR(__xludf.DUMMYFUNCTION("""COMPUTED_VALUE"""),935.0)</f>
        <v>935</v>
      </c>
      <c r="F506" s="5">
        <f>IFERROR(__xludf.DUMMYFUNCTION("""COMPUTED_VALUE"""),1.47467E7)</f>
        <v>14746700</v>
      </c>
      <c r="G506" s="5">
        <f t="shared" si="1"/>
        <v>30</v>
      </c>
    </row>
    <row r="507">
      <c r="A507" s="4">
        <f>IFERROR(__xludf.DUMMYFUNCTION("""COMPUTED_VALUE"""),44586.66666666667)</f>
        <v>44586.66667</v>
      </c>
      <c r="B507" s="5">
        <f>IFERROR(__xludf.DUMMYFUNCTION("""COMPUTED_VALUE"""),930.0)</f>
        <v>930</v>
      </c>
      <c r="C507" s="5">
        <f>IFERROR(__xludf.DUMMYFUNCTION("""COMPUTED_VALUE"""),930.0)</f>
        <v>930</v>
      </c>
      <c r="D507" s="5">
        <f>IFERROR(__xludf.DUMMYFUNCTION("""COMPUTED_VALUE"""),910.0)</f>
        <v>910</v>
      </c>
      <c r="E507" s="5">
        <f>IFERROR(__xludf.DUMMYFUNCTION("""COMPUTED_VALUE"""),910.0)</f>
        <v>910</v>
      </c>
      <c r="F507" s="5">
        <f>IFERROR(__xludf.DUMMYFUNCTION("""COMPUTED_VALUE"""),1.08259E7)</f>
        <v>10825900</v>
      </c>
      <c r="G507" s="5">
        <f t="shared" si="1"/>
        <v>25</v>
      </c>
    </row>
    <row r="508">
      <c r="A508" s="4">
        <f>IFERROR(__xludf.DUMMYFUNCTION("""COMPUTED_VALUE"""),44587.66666666667)</f>
        <v>44587.66667</v>
      </c>
      <c r="B508" s="5">
        <f>IFERROR(__xludf.DUMMYFUNCTION("""COMPUTED_VALUE"""),910.0)</f>
        <v>910</v>
      </c>
      <c r="C508" s="5">
        <f>IFERROR(__xludf.DUMMYFUNCTION("""COMPUTED_VALUE"""),940.0)</f>
        <v>940</v>
      </c>
      <c r="D508" s="5">
        <f>IFERROR(__xludf.DUMMYFUNCTION("""COMPUTED_VALUE"""),910.0)</f>
        <v>910</v>
      </c>
      <c r="E508" s="5">
        <f>IFERROR(__xludf.DUMMYFUNCTION("""COMPUTED_VALUE"""),925.0)</f>
        <v>925</v>
      </c>
      <c r="F508" s="5">
        <f>IFERROR(__xludf.DUMMYFUNCTION("""COMPUTED_VALUE"""),1.30821E7)</f>
        <v>13082100</v>
      </c>
      <c r="G508" s="5">
        <f t="shared" si="1"/>
        <v>30</v>
      </c>
    </row>
    <row r="509">
      <c r="A509" s="4">
        <f>IFERROR(__xludf.DUMMYFUNCTION("""COMPUTED_VALUE"""),44588.66666666667)</f>
        <v>44588.66667</v>
      </c>
      <c r="B509" s="5">
        <f>IFERROR(__xludf.DUMMYFUNCTION("""COMPUTED_VALUE"""),915.0)</f>
        <v>915</v>
      </c>
      <c r="C509" s="5">
        <f>IFERROR(__xludf.DUMMYFUNCTION("""COMPUTED_VALUE"""),930.0)</f>
        <v>930</v>
      </c>
      <c r="D509" s="5">
        <f>IFERROR(__xludf.DUMMYFUNCTION("""COMPUTED_VALUE"""),910.0)</f>
        <v>910</v>
      </c>
      <c r="E509" s="5">
        <f>IFERROR(__xludf.DUMMYFUNCTION("""COMPUTED_VALUE"""),910.0)</f>
        <v>910</v>
      </c>
      <c r="F509" s="5">
        <f>IFERROR(__xludf.DUMMYFUNCTION("""COMPUTED_VALUE"""),8562000.0)</f>
        <v>8562000</v>
      </c>
      <c r="G509" s="5">
        <f t="shared" si="1"/>
        <v>20</v>
      </c>
    </row>
    <row r="510">
      <c r="A510" s="4">
        <f>IFERROR(__xludf.DUMMYFUNCTION("""COMPUTED_VALUE"""),44589.66666666667)</f>
        <v>44589.66667</v>
      </c>
      <c r="B510" s="5">
        <f>IFERROR(__xludf.DUMMYFUNCTION("""COMPUTED_VALUE"""),915.0)</f>
        <v>915</v>
      </c>
      <c r="C510" s="5">
        <f>IFERROR(__xludf.DUMMYFUNCTION("""COMPUTED_VALUE"""),925.0)</f>
        <v>925</v>
      </c>
      <c r="D510" s="5">
        <f>IFERROR(__xludf.DUMMYFUNCTION("""COMPUTED_VALUE"""),910.0)</f>
        <v>910</v>
      </c>
      <c r="E510" s="5">
        <f>IFERROR(__xludf.DUMMYFUNCTION("""COMPUTED_VALUE"""),925.0)</f>
        <v>925</v>
      </c>
      <c r="F510" s="5">
        <f>IFERROR(__xludf.DUMMYFUNCTION("""COMPUTED_VALUE"""),7525200.0)</f>
        <v>7525200</v>
      </c>
      <c r="G510" s="5">
        <f t="shared" si="1"/>
        <v>15</v>
      </c>
    </row>
    <row r="511">
      <c r="A511" s="4">
        <f>IFERROR(__xludf.DUMMYFUNCTION("""COMPUTED_VALUE"""),44592.66666666667)</f>
        <v>44592.66667</v>
      </c>
      <c r="B511" s="5">
        <f>IFERROR(__xludf.DUMMYFUNCTION("""COMPUTED_VALUE"""),920.0)</f>
        <v>920</v>
      </c>
      <c r="C511" s="5">
        <f>IFERROR(__xludf.DUMMYFUNCTION("""COMPUTED_VALUE"""),945.0)</f>
        <v>945</v>
      </c>
      <c r="D511" s="5">
        <f>IFERROR(__xludf.DUMMYFUNCTION("""COMPUTED_VALUE"""),920.0)</f>
        <v>920</v>
      </c>
      <c r="E511" s="5">
        <f>IFERROR(__xludf.DUMMYFUNCTION("""COMPUTED_VALUE"""),930.0)</f>
        <v>930</v>
      </c>
      <c r="F511" s="5">
        <f>IFERROR(__xludf.DUMMYFUNCTION("""COMPUTED_VALUE"""),1.18349E7)</f>
        <v>11834900</v>
      </c>
      <c r="G511" s="5">
        <f t="shared" si="1"/>
        <v>25</v>
      </c>
    </row>
    <row r="512">
      <c r="A512" s="4">
        <f>IFERROR(__xludf.DUMMYFUNCTION("""COMPUTED_VALUE"""),44594.66666666667)</f>
        <v>44594.66667</v>
      </c>
      <c r="B512" s="5">
        <f>IFERROR(__xludf.DUMMYFUNCTION("""COMPUTED_VALUE"""),940.0)</f>
        <v>940</v>
      </c>
      <c r="C512" s="5">
        <f>IFERROR(__xludf.DUMMYFUNCTION("""COMPUTED_VALUE"""),970.0)</f>
        <v>970</v>
      </c>
      <c r="D512" s="5">
        <f>IFERROR(__xludf.DUMMYFUNCTION("""COMPUTED_VALUE"""),935.0)</f>
        <v>935</v>
      </c>
      <c r="E512" s="5">
        <f>IFERROR(__xludf.DUMMYFUNCTION("""COMPUTED_VALUE"""),960.0)</f>
        <v>960</v>
      </c>
      <c r="F512" s="5">
        <f>IFERROR(__xludf.DUMMYFUNCTION("""COMPUTED_VALUE"""),2.20971E7)</f>
        <v>22097100</v>
      </c>
      <c r="G512" s="5">
        <f t="shared" si="1"/>
        <v>40</v>
      </c>
    </row>
    <row r="513">
      <c r="A513" s="4">
        <f>IFERROR(__xludf.DUMMYFUNCTION("""COMPUTED_VALUE"""),44595.66666666667)</f>
        <v>44595.66667</v>
      </c>
      <c r="B513" s="5">
        <f>IFERROR(__xludf.DUMMYFUNCTION("""COMPUTED_VALUE"""),965.0)</f>
        <v>965</v>
      </c>
      <c r="C513" s="5">
        <f>IFERROR(__xludf.DUMMYFUNCTION("""COMPUTED_VALUE"""),1000.0)</f>
        <v>1000</v>
      </c>
      <c r="D513" s="5">
        <f>IFERROR(__xludf.DUMMYFUNCTION("""COMPUTED_VALUE"""),940.0)</f>
        <v>940</v>
      </c>
      <c r="E513" s="5">
        <f>IFERROR(__xludf.DUMMYFUNCTION("""COMPUTED_VALUE"""),995.0)</f>
        <v>995</v>
      </c>
      <c r="F513" s="5">
        <f>IFERROR(__xludf.DUMMYFUNCTION("""COMPUTED_VALUE"""),3.82771E7)</f>
        <v>38277100</v>
      </c>
      <c r="G513" s="5">
        <f t="shared" si="1"/>
        <v>60</v>
      </c>
    </row>
    <row r="514">
      <c r="A514" s="4">
        <f>IFERROR(__xludf.DUMMYFUNCTION("""COMPUTED_VALUE"""),44596.66666666667)</f>
        <v>44596.66667</v>
      </c>
      <c r="B514" s="5">
        <f>IFERROR(__xludf.DUMMYFUNCTION("""COMPUTED_VALUE"""),990.0)</f>
        <v>990</v>
      </c>
      <c r="C514" s="5">
        <f>IFERROR(__xludf.DUMMYFUNCTION("""COMPUTED_VALUE"""),1020.0)</f>
        <v>1020</v>
      </c>
      <c r="D514" s="5">
        <f>IFERROR(__xludf.DUMMYFUNCTION("""COMPUTED_VALUE"""),980.0)</f>
        <v>980</v>
      </c>
      <c r="E514" s="5">
        <f>IFERROR(__xludf.DUMMYFUNCTION("""COMPUTED_VALUE"""),985.0)</f>
        <v>985</v>
      </c>
      <c r="F514" s="5">
        <f>IFERROR(__xludf.DUMMYFUNCTION("""COMPUTED_VALUE"""),2.80147E7)</f>
        <v>28014700</v>
      </c>
      <c r="G514" s="5">
        <f t="shared" si="1"/>
        <v>40</v>
      </c>
    </row>
    <row r="515">
      <c r="A515" s="4">
        <f>IFERROR(__xludf.DUMMYFUNCTION("""COMPUTED_VALUE"""),44599.66666666667)</f>
        <v>44599.66667</v>
      </c>
      <c r="B515" s="5">
        <f>IFERROR(__xludf.DUMMYFUNCTION("""COMPUTED_VALUE"""),990.0)</f>
        <v>990</v>
      </c>
      <c r="C515" s="5">
        <f>IFERROR(__xludf.DUMMYFUNCTION("""COMPUTED_VALUE"""),1025.0)</f>
        <v>1025</v>
      </c>
      <c r="D515" s="5">
        <f>IFERROR(__xludf.DUMMYFUNCTION("""COMPUTED_VALUE"""),985.0)</f>
        <v>985</v>
      </c>
      <c r="E515" s="5">
        <f>IFERROR(__xludf.DUMMYFUNCTION("""COMPUTED_VALUE"""),1025.0)</f>
        <v>1025</v>
      </c>
      <c r="F515" s="5">
        <f>IFERROR(__xludf.DUMMYFUNCTION("""COMPUTED_VALUE"""),3.56188E7)</f>
        <v>35618800</v>
      </c>
      <c r="G515" s="5">
        <f t="shared" si="1"/>
        <v>40</v>
      </c>
    </row>
    <row r="516">
      <c r="A516" s="4">
        <f>IFERROR(__xludf.DUMMYFUNCTION("""COMPUTED_VALUE"""),44600.66666666667)</f>
        <v>44600.66667</v>
      </c>
      <c r="B516" s="5">
        <f>IFERROR(__xludf.DUMMYFUNCTION("""COMPUTED_VALUE"""),1030.0)</f>
        <v>1030</v>
      </c>
      <c r="C516" s="5">
        <f>IFERROR(__xludf.DUMMYFUNCTION("""COMPUTED_VALUE"""),1045.0)</f>
        <v>1045</v>
      </c>
      <c r="D516" s="5">
        <f>IFERROR(__xludf.DUMMYFUNCTION("""COMPUTED_VALUE"""),1010.0)</f>
        <v>1010</v>
      </c>
      <c r="E516" s="5">
        <f>IFERROR(__xludf.DUMMYFUNCTION("""COMPUTED_VALUE"""),1040.0)</f>
        <v>1040</v>
      </c>
      <c r="F516" s="5">
        <f>IFERROR(__xludf.DUMMYFUNCTION("""COMPUTED_VALUE"""),2.77165E7)</f>
        <v>27716500</v>
      </c>
      <c r="G516" s="5">
        <f t="shared" si="1"/>
        <v>35</v>
      </c>
    </row>
    <row r="517">
      <c r="A517" s="4">
        <f>IFERROR(__xludf.DUMMYFUNCTION("""COMPUTED_VALUE"""),44601.66666666667)</f>
        <v>44601.66667</v>
      </c>
      <c r="B517" s="5">
        <f>IFERROR(__xludf.DUMMYFUNCTION("""COMPUTED_VALUE"""),1045.0)</f>
        <v>1045</v>
      </c>
      <c r="C517" s="5">
        <f>IFERROR(__xludf.DUMMYFUNCTION("""COMPUTED_VALUE"""),1065.0)</f>
        <v>1065</v>
      </c>
      <c r="D517" s="5">
        <f>IFERROR(__xludf.DUMMYFUNCTION("""COMPUTED_VALUE"""),1040.0)</f>
        <v>1040</v>
      </c>
      <c r="E517" s="5">
        <f>IFERROR(__xludf.DUMMYFUNCTION("""COMPUTED_VALUE"""),1045.0)</f>
        <v>1045</v>
      </c>
      <c r="F517" s="5">
        <f>IFERROR(__xludf.DUMMYFUNCTION("""COMPUTED_VALUE"""),2.89191E7)</f>
        <v>28919100</v>
      </c>
      <c r="G517" s="5">
        <f t="shared" si="1"/>
        <v>25</v>
      </c>
    </row>
    <row r="518">
      <c r="A518" s="4">
        <f>IFERROR(__xludf.DUMMYFUNCTION("""COMPUTED_VALUE"""),44602.66666666667)</f>
        <v>44602.66667</v>
      </c>
      <c r="B518" s="5">
        <f>IFERROR(__xludf.DUMMYFUNCTION("""COMPUTED_VALUE"""),1045.0)</f>
        <v>1045</v>
      </c>
      <c r="C518" s="5">
        <f>IFERROR(__xludf.DUMMYFUNCTION("""COMPUTED_VALUE"""),1050.0)</f>
        <v>1050</v>
      </c>
      <c r="D518" s="5">
        <f>IFERROR(__xludf.DUMMYFUNCTION("""COMPUTED_VALUE"""),995.0)</f>
        <v>995</v>
      </c>
      <c r="E518" s="5">
        <f>IFERROR(__xludf.DUMMYFUNCTION("""COMPUTED_VALUE"""),1005.0)</f>
        <v>1005</v>
      </c>
      <c r="F518" s="5">
        <f>IFERROR(__xludf.DUMMYFUNCTION("""COMPUTED_VALUE"""),3.67835E7)</f>
        <v>36783500</v>
      </c>
      <c r="G518" s="5">
        <f t="shared" si="1"/>
        <v>55</v>
      </c>
    </row>
    <row r="519">
      <c r="A519" s="4">
        <f>IFERROR(__xludf.DUMMYFUNCTION("""COMPUTED_VALUE"""),44603.66666666667)</f>
        <v>44603.66667</v>
      </c>
      <c r="B519" s="5">
        <f>IFERROR(__xludf.DUMMYFUNCTION("""COMPUTED_VALUE"""),1000.0)</f>
        <v>1000</v>
      </c>
      <c r="C519" s="5">
        <f>IFERROR(__xludf.DUMMYFUNCTION("""COMPUTED_VALUE"""),1010.0)</f>
        <v>1010</v>
      </c>
      <c r="D519" s="5">
        <f>IFERROR(__xludf.DUMMYFUNCTION("""COMPUTED_VALUE"""),985.0)</f>
        <v>985</v>
      </c>
      <c r="E519" s="5">
        <f>IFERROR(__xludf.DUMMYFUNCTION("""COMPUTED_VALUE"""),1005.0)</f>
        <v>1005</v>
      </c>
      <c r="F519" s="5">
        <f>IFERROR(__xludf.DUMMYFUNCTION("""COMPUTED_VALUE"""),2.31003E7)</f>
        <v>23100300</v>
      </c>
      <c r="G519" s="5">
        <f t="shared" si="1"/>
        <v>25</v>
      </c>
    </row>
    <row r="520">
      <c r="A520" s="4">
        <f>IFERROR(__xludf.DUMMYFUNCTION("""COMPUTED_VALUE"""),44606.66666666667)</f>
        <v>44606.66667</v>
      </c>
      <c r="B520" s="5">
        <f>IFERROR(__xludf.DUMMYFUNCTION("""COMPUTED_VALUE"""),995.0)</f>
        <v>995</v>
      </c>
      <c r="C520" s="5">
        <f>IFERROR(__xludf.DUMMYFUNCTION("""COMPUTED_VALUE"""),995.0)</f>
        <v>995</v>
      </c>
      <c r="D520" s="5">
        <f>IFERROR(__xludf.DUMMYFUNCTION("""COMPUTED_VALUE"""),970.0)</f>
        <v>970</v>
      </c>
      <c r="E520" s="5">
        <f>IFERROR(__xludf.DUMMYFUNCTION("""COMPUTED_VALUE"""),975.0)</f>
        <v>975</v>
      </c>
      <c r="F520" s="5">
        <f>IFERROR(__xludf.DUMMYFUNCTION("""COMPUTED_VALUE"""),2.36117E7)</f>
        <v>23611700</v>
      </c>
      <c r="G520" s="5">
        <f t="shared" si="1"/>
        <v>35</v>
      </c>
    </row>
    <row r="521">
      <c r="A521" s="4">
        <f>IFERROR(__xludf.DUMMYFUNCTION("""COMPUTED_VALUE"""),44607.66666666667)</f>
        <v>44607.66667</v>
      </c>
      <c r="B521" s="5">
        <f>IFERROR(__xludf.DUMMYFUNCTION("""COMPUTED_VALUE"""),975.0)</f>
        <v>975</v>
      </c>
      <c r="C521" s="5">
        <f>IFERROR(__xludf.DUMMYFUNCTION("""COMPUTED_VALUE"""),995.0)</f>
        <v>995</v>
      </c>
      <c r="D521" s="5">
        <f>IFERROR(__xludf.DUMMYFUNCTION("""COMPUTED_VALUE"""),975.0)</f>
        <v>975</v>
      </c>
      <c r="E521" s="5">
        <f>IFERROR(__xludf.DUMMYFUNCTION("""COMPUTED_VALUE"""),980.0)</f>
        <v>980</v>
      </c>
      <c r="F521" s="5">
        <f>IFERROR(__xludf.DUMMYFUNCTION("""COMPUTED_VALUE"""),1.77813E7)</f>
        <v>17781300</v>
      </c>
      <c r="G521" s="5">
        <f t="shared" si="1"/>
        <v>20</v>
      </c>
    </row>
    <row r="522">
      <c r="A522" s="4">
        <f>IFERROR(__xludf.DUMMYFUNCTION("""COMPUTED_VALUE"""),44608.66666666667)</f>
        <v>44608.66667</v>
      </c>
      <c r="B522" s="5">
        <f>IFERROR(__xludf.DUMMYFUNCTION("""COMPUTED_VALUE"""),1000.0)</f>
        <v>1000</v>
      </c>
      <c r="C522" s="5">
        <f>IFERROR(__xludf.DUMMYFUNCTION("""COMPUTED_VALUE"""),1035.0)</f>
        <v>1035</v>
      </c>
      <c r="D522" s="5">
        <f>IFERROR(__xludf.DUMMYFUNCTION("""COMPUTED_VALUE"""),995.0)</f>
        <v>995</v>
      </c>
      <c r="E522" s="5">
        <f>IFERROR(__xludf.DUMMYFUNCTION("""COMPUTED_VALUE"""),1020.0)</f>
        <v>1020</v>
      </c>
      <c r="F522" s="5">
        <f>IFERROR(__xludf.DUMMYFUNCTION("""COMPUTED_VALUE"""),3.82695E7)</f>
        <v>38269500</v>
      </c>
      <c r="G522" s="5">
        <f t="shared" si="1"/>
        <v>55</v>
      </c>
    </row>
    <row r="523">
      <c r="A523" s="4">
        <f>IFERROR(__xludf.DUMMYFUNCTION("""COMPUTED_VALUE"""),44609.66666666667)</f>
        <v>44609.66667</v>
      </c>
      <c r="B523" s="5">
        <f>IFERROR(__xludf.DUMMYFUNCTION("""COMPUTED_VALUE"""),1025.0)</f>
        <v>1025</v>
      </c>
      <c r="C523" s="5">
        <f>IFERROR(__xludf.DUMMYFUNCTION("""COMPUTED_VALUE"""),1040.0)</f>
        <v>1040</v>
      </c>
      <c r="D523" s="5">
        <f>IFERROR(__xludf.DUMMYFUNCTION("""COMPUTED_VALUE"""),1010.0)</f>
        <v>1010</v>
      </c>
      <c r="E523" s="5">
        <f>IFERROR(__xludf.DUMMYFUNCTION("""COMPUTED_VALUE"""),1025.0)</f>
        <v>1025</v>
      </c>
      <c r="F523" s="5">
        <f>IFERROR(__xludf.DUMMYFUNCTION("""COMPUTED_VALUE"""),1.4856E7)</f>
        <v>14856000</v>
      </c>
      <c r="G523" s="5">
        <f t="shared" si="1"/>
        <v>30</v>
      </c>
    </row>
    <row r="524">
      <c r="A524" s="4">
        <f>IFERROR(__xludf.DUMMYFUNCTION("""COMPUTED_VALUE"""),44610.66666666667)</f>
        <v>44610.66667</v>
      </c>
      <c r="B524" s="5">
        <f>IFERROR(__xludf.DUMMYFUNCTION("""COMPUTED_VALUE"""),1025.0)</f>
        <v>1025</v>
      </c>
      <c r="C524" s="5">
        <f>IFERROR(__xludf.DUMMYFUNCTION("""COMPUTED_VALUE"""),1040.0)</f>
        <v>1040</v>
      </c>
      <c r="D524" s="5">
        <f>IFERROR(__xludf.DUMMYFUNCTION("""COMPUTED_VALUE"""),1020.0)</f>
        <v>1020</v>
      </c>
      <c r="E524" s="5">
        <f>IFERROR(__xludf.DUMMYFUNCTION("""COMPUTED_VALUE"""),1025.0)</f>
        <v>1025</v>
      </c>
      <c r="F524" s="5">
        <f>IFERROR(__xludf.DUMMYFUNCTION("""COMPUTED_VALUE"""),2.07578E7)</f>
        <v>20757800</v>
      </c>
      <c r="G524" s="5">
        <f t="shared" si="1"/>
        <v>20</v>
      </c>
    </row>
    <row r="525">
      <c r="A525" s="4">
        <f>IFERROR(__xludf.DUMMYFUNCTION("""COMPUTED_VALUE"""),44613.66666666667)</f>
        <v>44613.66667</v>
      </c>
      <c r="B525" s="5">
        <f>IFERROR(__xludf.DUMMYFUNCTION("""COMPUTED_VALUE"""),1030.0)</f>
        <v>1030</v>
      </c>
      <c r="C525" s="5">
        <f>IFERROR(__xludf.DUMMYFUNCTION("""COMPUTED_VALUE"""),1060.0)</f>
        <v>1060</v>
      </c>
      <c r="D525" s="5">
        <f>IFERROR(__xludf.DUMMYFUNCTION("""COMPUTED_VALUE"""),1020.0)</f>
        <v>1020</v>
      </c>
      <c r="E525" s="5">
        <f>IFERROR(__xludf.DUMMYFUNCTION("""COMPUTED_VALUE"""),1025.0)</f>
        <v>1025</v>
      </c>
      <c r="F525" s="5">
        <f>IFERROR(__xludf.DUMMYFUNCTION("""COMPUTED_VALUE"""),2.70325E7)</f>
        <v>27032500</v>
      </c>
      <c r="G525" s="5">
        <f t="shared" si="1"/>
        <v>40</v>
      </c>
    </row>
    <row r="526">
      <c r="A526" s="4">
        <f>IFERROR(__xludf.DUMMYFUNCTION("""COMPUTED_VALUE"""),44614.66666666667)</f>
        <v>44614.66667</v>
      </c>
      <c r="B526" s="5">
        <f>IFERROR(__xludf.DUMMYFUNCTION("""COMPUTED_VALUE"""),1020.0)</f>
        <v>1020</v>
      </c>
      <c r="C526" s="5">
        <f>IFERROR(__xludf.DUMMYFUNCTION("""COMPUTED_VALUE"""),1025.0)</f>
        <v>1025</v>
      </c>
      <c r="D526" s="5">
        <f>IFERROR(__xludf.DUMMYFUNCTION("""COMPUTED_VALUE"""),990.0)</f>
        <v>990</v>
      </c>
      <c r="E526" s="5">
        <f>IFERROR(__xludf.DUMMYFUNCTION("""COMPUTED_VALUE"""),1015.0)</f>
        <v>1015</v>
      </c>
      <c r="F526" s="5">
        <f>IFERROR(__xludf.DUMMYFUNCTION("""COMPUTED_VALUE"""),2.36467E7)</f>
        <v>23646700</v>
      </c>
      <c r="G526" s="5">
        <f t="shared" si="1"/>
        <v>35</v>
      </c>
    </row>
    <row r="527">
      <c r="A527" s="4">
        <f>IFERROR(__xludf.DUMMYFUNCTION("""COMPUTED_VALUE"""),44615.66666666667)</f>
        <v>44615.66667</v>
      </c>
      <c r="B527" s="5">
        <f>IFERROR(__xludf.DUMMYFUNCTION("""COMPUTED_VALUE"""),1015.0)</f>
        <v>1015</v>
      </c>
      <c r="C527" s="5">
        <f>IFERROR(__xludf.DUMMYFUNCTION("""COMPUTED_VALUE"""),1015.0)</f>
        <v>1015</v>
      </c>
      <c r="D527" s="5">
        <f>IFERROR(__xludf.DUMMYFUNCTION("""COMPUTED_VALUE"""),975.0)</f>
        <v>975</v>
      </c>
      <c r="E527" s="5">
        <f>IFERROR(__xludf.DUMMYFUNCTION("""COMPUTED_VALUE"""),985.0)</f>
        <v>985</v>
      </c>
      <c r="F527" s="5">
        <f>IFERROR(__xludf.DUMMYFUNCTION("""COMPUTED_VALUE"""),4.4214E7)</f>
        <v>44214000</v>
      </c>
      <c r="G527" s="5">
        <f t="shared" si="1"/>
        <v>40</v>
      </c>
    </row>
    <row r="528">
      <c r="A528" s="4">
        <f>IFERROR(__xludf.DUMMYFUNCTION("""COMPUTED_VALUE"""),44616.66666666667)</f>
        <v>44616.66667</v>
      </c>
      <c r="B528" s="5">
        <f>IFERROR(__xludf.DUMMYFUNCTION("""COMPUTED_VALUE"""),975.0)</f>
        <v>975</v>
      </c>
      <c r="C528" s="5">
        <f>IFERROR(__xludf.DUMMYFUNCTION("""COMPUTED_VALUE"""),980.0)</f>
        <v>980</v>
      </c>
      <c r="D528" s="5">
        <f>IFERROR(__xludf.DUMMYFUNCTION("""COMPUTED_VALUE"""),925.0)</f>
        <v>925</v>
      </c>
      <c r="E528" s="5">
        <f>IFERROR(__xludf.DUMMYFUNCTION("""COMPUTED_VALUE"""),935.0)</f>
        <v>935</v>
      </c>
      <c r="F528" s="5">
        <f>IFERROR(__xludf.DUMMYFUNCTION("""COMPUTED_VALUE"""),7.35252E7)</f>
        <v>73525200</v>
      </c>
      <c r="G528" s="5">
        <f t="shared" si="1"/>
        <v>60</v>
      </c>
    </row>
    <row r="529">
      <c r="A529" s="4">
        <f>IFERROR(__xludf.DUMMYFUNCTION("""COMPUTED_VALUE"""),44617.66666666667)</f>
        <v>44617.66667</v>
      </c>
      <c r="B529" s="5">
        <f>IFERROR(__xludf.DUMMYFUNCTION("""COMPUTED_VALUE"""),935.0)</f>
        <v>935</v>
      </c>
      <c r="C529" s="5">
        <f>IFERROR(__xludf.DUMMYFUNCTION("""COMPUTED_VALUE"""),965.0)</f>
        <v>965</v>
      </c>
      <c r="D529" s="5">
        <f>IFERROR(__xludf.DUMMYFUNCTION("""COMPUTED_VALUE"""),930.0)</f>
        <v>930</v>
      </c>
      <c r="E529" s="5">
        <f>IFERROR(__xludf.DUMMYFUNCTION("""COMPUTED_VALUE"""),955.0)</f>
        <v>955</v>
      </c>
      <c r="F529" s="5">
        <f>IFERROR(__xludf.DUMMYFUNCTION("""COMPUTED_VALUE"""),3.41308E7)</f>
        <v>34130800</v>
      </c>
      <c r="G529" s="5">
        <f t="shared" si="1"/>
        <v>35</v>
      </c>
    </row>
    <row r="530">
      <c r="A530" s="4">
        <f>IFERROR(__xludf.DUMMYFUNCTION("""COMPUTED_VALUE"""),44621.66666666667)</f>
        <v>44621.66667</v>
      </c>
      <c r="B530" s="5">
        <f>IFERROR(__xludf.DUMMYFUNCTION("""COMPUTED_VALUE"""),970.0)</f>
        <v>970</v>
      </c>
      <c r="C530" s="5">
        <f>IFERROR(__xludf.DUMMYFUNCTION("""COMPUTED_VALUE"""),975.0)</f>
        <v>975</v>
      </c>
      <c r="D530" s="5">
        <f>IFERROR(__xludf.DUMMYFUNCTION("""COMPUTED_VALUE"""),945.0)</f>
        <v>945</v>
      </c>
      <c r="E530" s="5">
        <f>IFERROR(__xludf.DUMMYFUNCTION("""COMPUTED_VALUE"""),950.0)</f>
        <v>950</v>
      </c>
      <c r="F530" s="5">
        <f>IFERROR(__xludf.DUMMYFUNCTION("""COMPUTED_VALUE"""),1.79651E7)</f>
        <v>17965100</v>
      </c>
      <c r="G530" s="5">
        <f t="shared" si="1"/>
        <v>30</v>
      </c>
    </row>
    <row r="531">
      <c r="A531" s="4">
        <f>IFERROR(__xludf.DUMMYFUNCTION("""COMPUTED_VALUE"""),44622.66666666667)</f>
        <v>44622.66667</v>
      </c>
      <c r="B531" s="5">
        <f>IFERROR(__xludf.DUMMYFUNCTION("""COMPUTED_VALUE"""),950.0)</f>
        <v>950</v>
      </c>
      <c r="C531" s="5">
        <f>IFERROR(__xludf.DUMMYFUNCTION("""COMPUTED_VALUE"""),960.0)</f>
        <v>960</v>
      </c>
      <c r="D531" s="5">
        <f>IFERROR(__xludf.DUMMYFUNCTION("""COMPUTED_VALUE"""),930.0)</f>
        <v>930</v>
      </c>
      <c r="E531" s="5">
        <f>IFERROR(__xludf.DUMMYFUNCTION("""COMPUTED_VALUE"""),940.0)</f>
        <v>940</v>
      </c>
      <c r="F531" s="5">
        <f>IFERROR(__xludf.DUMMYFUNCTION("""COMPUTED_VALUE"""),2.43419E7)</f>
        <v>24341900</v>
      </c>
      <c r="G531" s="5">
        <f t="shared" si="1"/>
        <v>30</v>
      </c>
    </row>
    <row r="532">
      <c r="A532" s="4">
        <f>IFERROR(__xludf.DUMMYFUNCTION("""COMPUTED_VALUE"""),44624.66666666667)</f>
        <v>44624.66667</v>
      </c>
      <c r="B532" s="5">
        <f>IFERROR(__xludf.DUMMYFUNCTION("""COMPUTED_VALUE"""),940.0)</f>
        <v>940</v>
      </c>
      <c r="C532" s="5">
        <f>IFERROR(__xludf.DUMMYFUNCTION("""COMPUTED_VALUE"""),940.0)</f>
        <v>940</v>
      </c>
      <c r="D532" s="5">
        <f>IFERROR(__xludf.DUMMYFUNCTION("""COMPUTED_VALUE"""),910.0)</f>
        <v>910</v>
      </c>
      <c r="E532" s="5">
        <f>IFERROR(__xludf.DUMMYFUNCTION("""COMPUTED_VALUE"""),915.0)</f>
        <v>915</v>
      </c>
      <c r="F532" s="5">
        <f>IFERROR(__xludf.DUMMYFUNCTION("""COMPUTED_VALUE"""),2.99988E7)</f>
        <v>29998800</v>
      </c>
      <c r="G532" s="5">
        <f t="shared" si="1"/>
        <v>30</v>
      </c>
    </row>
    <row r="533">
      <c r="A533" s="4">
        <f>IFERROR(__xludf.DUMMYFUNCTION("""COMPUTED_VALUE"""),44627.66666666667)</f>
        <v>44627.66667</v>
      </c>
      <c r="B533" s="5">
        <f>IFERROR(__xludf.DUMMYFUNCTION("""COMPUTED_VALUE"""),910.0)</f>
        <v>910</v>
      </c>
      <c r="C533" s="5">
        <f>IFERROR(__xludf.DUMMYFUNCTION("""COMPUTED_VALUE"""),910.0)</f>
        <v>910</v>
      </c>
      <c r="D533" s="5">
        <f>IFERROR(__xludf.DUMMYFUNCTION("""COMPUTED_VALUE"""),885.0)</f>
        <v>885</v>
      </c>
      <c r="E533" s="5">
        <f>IFERROR(__xludf.DUMMYFUNCTION("""COMPUTED_VALUE"""),885.0)</f>
        <v>885</v>
      </c>
      <c r="F533" s="5">
        <f>IFERROR(__xludf.DUMMYFUNCTION("""COMPUTED_VALUE"""),2.84738E7)</f>
        <v>28473800</v>
      </c>
      <c r="G533" s="5">
        <f t="shared" si="1"/>
        <v>30</v>
      </c>
    </row>
    <row r="534">
      <c r="A534" s="4">
        <f>IFERROR(__xludf.DUMMYFUNCTION("""COMPUTED_VALUE"""),44628.66666666667)</f>
        <v>44628.66667</v>
      </c>
      <c r="B534" s="5">
        <f>IFERROR(__xludf.DUMMYFUNCTION("""COMPUTED_VALUE"""),880.0)</f>
        <v>880</v>
      </c>
      <c r="C534" s="5">
        <f>IFERROR(__xludf.DUMMYFUNCTION("""COMPUTED_VALUE"""),940.0)</f>
        <v>940</v>
      </c>
      <c r="D534" s="5">
        <f>IFERROR(__xludf.DUMMYFUNCTION("""COMPUTED_VALUE"""),875.0)</f>
        <v>875</v>
      </c>
      <c r="E534" s="5">
        <f>IFERROR(__xludf.DUMMYFUNCTION("""COMPUTED_VALUE"""),910.0)</f>
        <v>910</v>
      </c>
      <c r="F534" s="5">
        <f>IFERROR(__xludf.DUMMYFUNCTION("""COMPUTED_VALUE"""),3.02385E7)</f>
        <v>30238500</v>
      </c>
      <c r="G534" s="5">
        <f t="shared" si="1"/>
        <v>65</v>
      </c>
    </row>
    <row r="535">
      <c r="A535" s="4">
        <f>IFERROR(__xludf.DUMMYFUNCTION("""COMPUTED_VALUE"""),44629.66666666667)</f>
        <v>44629.66667</v>
      </c>
      <c r="B535" s="5">
        <f>IFERROR(__xludf.DUMMYFUNCTION("""COMPUTED_VALUE"""),935.0)</f>
        <v>935</v>
      </c>
      <c r="C535" s="5">
        <f>IFERROR(__xludf.DUMMYFUNCTION("""COMPUTED_VALUE"""),1010.0)</f>
        <v>1010</v>
      </c>
      <c r="D535" s="5">
        <f>IFERROR(__xludf.DUMMYFUNCTION("""COMPUTED_VALUE"""),925.0)</f>
        <v>925</v>
      </c>
      <c r="E535" s="5">
        <f>IFERROR(__xludf.DUMMYFUNCTION("""COMPUTED_VALUE"""),1005.0)</f>
        <v>1005</v>
      </c>
      <c r="F535" s="5">
        <f>IFERROR(__xludf.DUMMYFUNCTION("""COMPUTED_VALUE"""),6.68989E7)</f>
        <v>66898900</v>
      </c>
      <c r="G535" s="5">
        <f t="shared" si="1"/>
        <v>100</v>
      </c>
    </row>
    <row r="536">
      <c r="A536" s="4">
        <f>IFERROR(__xludf.DUMMYFUNCTION("""COMPUTED_VALUE"""),44630.66666666667)</f>
        <v>44630.66667</v>
      </c>
      <c r="B536" s="5">
        <f>IFERROR(__xludf.DUMMYFUNCTION("""COMPUTED_VALUE"""),1025.0)</f>
        <v>1025</v>
      </c>
      <c r="C536" s="5">
        <f>IFERROR(__xludf.DUMMYFUNCTION("""COMPUTED_VALUE"""),1035.0)</f>
        <v>1035</v>
      </c>
      <c r="D536" s="5">
        <f>IFERROR(__xludf.DUMMYFUNCTION("""COMPUTED_VALUE"""),980.0)</f>
        <v>980</v>
      </c>
      <c r="E536" s="5">
        <f>IFERROR(__xludf.DUMMYFUNCTION("""COMPUTED_VALUE"""),1000.0)</f>
        <v>1000</v>
      </c>
      <c r="F536" s="5">
        <f>IFERROR(__xludf.DUMMYFUNCTION("""COMPUTED_VALUE"""),4.18329E7)</f>
        <v>41832900</v>
      </c>
      <c r="G536" s="5">
        <f t="shared" si="1"/>
        <v>55</v>
      </c>
    </row>
    <row r="537">
      <c r="A537" s="4">
        <f>IFERROR(__xludf.DUMMYFUNCTION("""COMPUTED_VALUE"""),44631.66666666667)</f>
        <v>44631.66667</v>
      </c>
      <c r="B537" s="5">
        <f>IFERROR(__xludf.DUMMYFUNCTION("""COMPUTED_VALUE"""),1000.0)</f>
        <v>1000</v>
      </c>
      <c r="C537" s="5">
        <f>IFERROR(__xludf.DUMMYFUNCTION("""COMPUTED_VALUE"""),1090.0)</f>
        <v>1090</v>
      </c>
      <c r="D537" s="5">
        <f>IFERROR(__xludf.DUMMYFUNCTION("""COMPUTED_VALUE"""),985.0)</f>
        <v>985</v>
      </c>
      <c r="E537" s="5">
        <f>IFERROR(__xludf.DUMMYFUNCTION("""COMPUTED_VALUE"""),1090.0)</f>
        <v>1090</v>
      </c>
      <c r="F537" s="5">
        <f>IFERROR(__xludf.DUMMYFUNCTION("""COMPUTED_VALUE"""),1.236615E8)</f>
        <v>123661500</v>
      </c>
      <c r="G537" s="5">
        <f t="shared" si="1"/>
        <v>105</v>
      </c>
    </row>
    <row r="538">
      <c r="A538" s="4">
        <f>IFERROR(__xludf.DUMMYFUNCTION("""COMPUTED_VALUE"""),44634.66666666667)</f>
        <v>44634.66667</v>
      </c>
      <c r="B538" s="5">
        <f>IFERROR(__xludf.DUMMYFUNCTION("""COMPUTED_VALUE"""),1095.0)</f>
        <v>1095</v>
      </c>
      <c r="C538" s="5">
        <f>IFERROR(__xludf.DUMMYFUNCTION("""COMPUTED_VALUE"""),1120.0)</f>
        <v>1120</v>
      </c>
      <c r="D538" s="5">
        <f>IFERROR(__xludf.DUMMYFUNCTION("""COMPUTED_VALUE"""),1070.0)</f>
        <v>1070</v>
      </c>
      <c r="E538" s="5">
        <f>IFERROR(__xludf.DUMMYFUNCTION("""COMPUTED_VALUE"""),1090.0)</f>
        <v>1090</v>
      </c>
      <c r="F538" s="5">
        <f>IFERROR(__xludf.DUMMYFUNCTION("""COMPUTED_VALUE"""),8.0186E7)</f>
        <v>80186000</v>
      </c>
      <c r="G538" s="5">
        <f t="shared" si="1"/>
        <v>50</v>
      </c>
    </row>
    <row r="539">
      <c r="A539" s="4">
        <f>IFERROR(__xludf.DUMMYFUNCTION("""COMPUTED_VALUE"""),44635.66666666667)</f>
        <v>44635.66667</v>
      </c>
      <c r="B539" s="5">
        <f>IFERROR(__xludf.DUMMYFUNCTION("""COMPUTED_VALUE"""),1090.0)</f>
        <v>1090</v>
      </c>
      <c r="C539" s="5">
        <f>IFERROR(__xludf.DUMMYFUNCTION("""COMPUTED_VALUE"""),1100.0)</f>
        <v>1100</v>
      </c>
      <c r="D539" s="5">
        <f>IFERROR(__xludf.DUMMYFUNCTION("""COMPUTED_VALUE"""),1015.0)</f>
        <v>1015</v>
      </c>
      <c r="E539" s="5">
        <f>IFERROR(__xludf.DUMMYFUNCTION("""COMPUTED_VALUE"""),1015.0)</f>
        <v>1015</v>
      </c>
      <c r="F539" s="5">
        <f>IFERROR(__xludf.DUMMYFUNCTION("""COMPUTED_VALUE"""),5.43875E7)</f>
        <v>54387500</v>
      </c>
      <c r="G539" s="5">
        <f t="shared" si="1"/>
        <v>85</v>
      </c>
    </row>
    <row r="540">
      <c r="A540" s="4">
        <f>IFERROR(__xludf.DUMMYFUNCTION("""COMPUTED_VALUE"""),44636.66666666667)</f>
        <v>44636.66667</v>
      </c>
      <c r="B540" s="5">
        <f>IFERROR(__xludf.DUMMYFUNCTION("""COMPUTED_VALUE"""),1000.0)</f>
        <v>1000</v>
      </c>
      <c r="C540" s="5">
        <f>IFERROR(__xludf.DUMMYFUNCTION("""COMPUTED_VALUE"""),1025.0)</f>
        <v>1025</v>
      </c>
      <c r="D540" s="5">
        <f>IFERROR(__xludf.DUMMYFUNCTION("""COMPUTED_VALUE"""),975.0)</f>
        <v>975</v>
      </c>
      <c r="E540" s="5">
        <f>IFERROR(__xludf.DUMMYFUNCTION("""COMPUTED_VALUE"""),1000.0)</f>
        <v>1000</v>
      </c>
      <c r="F540" s="5">
        <f>IFERROR(__xludf.DUMMYFUNCTION("""COMPUTED_VALUE"""),6.58078E7)</f>
        <v>65807800</v>
      </c>
      <c r="G540" s="5">
        <f t="shared" si="1"/>
        <v>50</v>
      </c>
    </row>
    <row r="541">
      <c r="A541" s="4">
        <f>IFERROR(__xludf.DUMMYFUNCTION("""COMPUTED_VALUE"""),44637.66666666667)</f>
        <v>44637.66667</v>
      </c>
      <c r="B541" s="5">
        <f>IFERROR(__xludf.DUMMYFUNCTION("""COMPUTED_VALUE"""),1020.0)</f>
        <v>1020</v>
      </c>
      <c r="C541" s="5">
        <f>IFERROR(__xludf.DUMMYFUNCTION("""COMPUTED_VALUE"""),1020.0)</f>
        <v>1020</v>
      </c>
      <c r="D541" s="5">
        <f>IFERROR(__xludf.DUMMYFUNCTION("""COMPUTED_VALUE"""),990.0)</f>
        <v>990</v>
      </c>
      <c r="E541" s="5">
        <f>IFERROR(__xludf.DUMMYFUNCTION("""COMPUTED_VALUE"""),1000.0)</f>
        <v>1000</v>
      </c>
      <c r="F541" s="5">
        <f>IFERROR(__xludf.DUMMYFUNCTION("""COMPUTED_VALUE"""),3.26605E7)</f>
        <v>32660500</v>
      </c>
      <c r="G541" s="5">
        <f t="shared" si="1"/>
        <v>30</v>
      </c>
    </row>
    <row r="542">
      <c r="A542" s="4">
        <f>IFERROR(__xludf.DUMMYFUNCTION("""COMPUTED_VALUE"""),44638.66666666667)</f>
        <v>44638.66667</v>
      </c>
      <c r="B542" s="5">
        <f>IFERROR(__xludf.DUMMYFUNCTION("""COMPUTED_VALUE"""),1005.0)</f>
        <v>1005</v>
      </c>
      <c r="C542" s="5">
        <f>IFERROR(__xludf.DUMMYFUNCTION("""COMPUTED_VALUE"""),1015.0)</f>
        <v>1015</v>
      </c>
      <c r="D542" s="5">
        <f>IFERROR(__xludf.DUMMYFUNCTION("""COMPUTED_VALUE"""),990.0)</f>
        <v>990</v>
      </c>
      <c r="E542" s="5">
        <f>IFERROR(__xludf.DUMMYFUNCTION("""COMPUTED_VALUE"""),1000.0)</f>
        <v>1000</v>
      </c>
      <c r="F542" s="5">
        <f>IFERROR(__xludf.DUMMYFUNCTION("""COMPUTED_VALUE"""),1.72932E7)</f>
        <v>17293200</v>
      </c>
      <c r="G542" s="5">
        <f t="shared" si="1"/>
        <v>25</v>
      </c>
    </row>
    <row r="543">
      <c r="A543" s="4">
        <f>IFERROR(__xludf.DUMMYFUNCTION("""COMPUTED_VALUE"""),44641.66666666667)</f>
        <v>44641.66667</v>
      </c>
      <c r="B543" s="5">
        <f>IFERROR(__xludf.DUMMYFUNCTION("""COMPUTED_VALUE"""),1000.0)</f>
        <v>1000</v>
      </c>
      <c r="C543" s="5">
        <f>IFERROR(__xludf.DUMMYFUNCTION("""COMPUTED_VALUE"""),1010.0)</f>
        <v>1010</v>
      </c>
      <c r="D543" s="5">
        <f>IFERROR(__xludf.DUMMYFUNCTION("""COMPUTED_VALUE"""),990.0)</f>
        <v>990</v>
      </c>
      <c r="E543" s="5">
        <f>IFERROR(__xludf.DUMMYFUNCTION("""COMPUTED_VALUE"""),990.0)</f>
        <v>990</v>
      </c>
      <c r="F543" s="5">
        <f>IFERROR(__xludf.DUMMYFUNCTION("""COMPUTED_VALUE"""),1.42834E7)</f>
        <v>14283400</v>
      </c>
      <c r="G543" s="5">
        <f t="shared" si="1"/>
        <v>20</v>
      </c>
    </row>
    <row r="544">
      <c r="A544" s="4">
        <f>IFERROR(__xludf.DUMMYFUNCTION("""COMPUTED_VALUE"""),44642.66666666667)</f>
        <v>44642.66667</v>
      </c>
      <c r="B544" s="5">
        <f>IFERROR(__xludf.DUMMYFUNCTION("""COMPUTED_VALUE"""),990.0)</f>
        <v>990</v>
      </c>
      <c r="C544" s="5">
        <f>IFERROR(__xludf.DUMMYFUNCTION("""COMPUTED_VALUE"""),1005.0)</f>
        <v>1005</v>
      </c>
      <c r="D544" s="5">
        <f>IFERROR(__xludf.DUMMYFUNCTION("""COMPUTED_VALUE"""),980.0)</f>
        <v>980</v>
      </c>
      <c r="E544" s="5">
        <f>IFERROR(__xludf.DUMMYFUNCTION("""COMPUTED_VALUE"""),985.0)</f>
        <v>985</v>
      </c>
      <c r="F544" s="5">
        <f>IFERROR(__xludf.DUMMYFUNCTION("""COMPUTED_VALUE"""),2.39302E7)</f>
        <v>23930200</v>
      </c>
      <c r="G544" s="5">
        <f t="shared" si="1"/>
        <v>25</v>
      </c>
    </row>
    <row r="545">
      <c r="A545" s="4">
        <f>IFERROR(__xludf.DUMMYFUNCTION("""COMPUTED_VALUE"""),44643.66666666667)</f>
        <v>44643.66667</v>
      </c>
      <c r="B545" s="5">
        <f>IFERROR(__xludf.DUMMYFUNCTION("""COMPUTED_VALUE"""),990.0)</f>
        <v>990</v>
      </c>
      <c r="C545" s="5">
        <f>IFERROR(__xludf.DUMMYFUNCTION("""COMPUTED_VALUE"""),995.0)</f>
        <v>995</v>
      </c>
      <c r="D545" s="5">
        <f>IFERROR(__xludf.DUMMYFUNCTION("""COMPUTED_VALUE"""),955.0)</f>
        <v>955</v>
      </c>
      <c r="E545" s="5">
        <f>IFERROR(__xludf.DUMMYFUNCTION("""COMPUTED_VALUE"""),960.0)</f>
        <v>960</v>
      </c>
      <c r="F545" s="5">
        <f>IFERROR(__xludf.DUMMYFUNCTION("""COMPUTED_VALUE"""),5.50889E7)</f>
        <v>55088900</v>
      </c>
      <c r="G545" s="5">
        <f t="shared" si="1"/>
        <v>40</v>
      </c>
    </row>
    <row r="546">
      <c r="A546" s="4">
        <f>IFERROR(__xludf.DUMMYFUNCTION("""COMPUTED_VALUE"""),44644.66666666667)</f>
        <v>44644.66667</v>
      </c>
      <c r="B546" s="5">
        <f>IFERROR(__xludf.DUMMYFUNCTION("""COMPUTED_VALUE"""),960.0)</f>
        <v>960</v>
      </c>
      <c r="C546" s="5">
        <f>IFERROR(__xludf.DUMMYFUNCTION("""COMPUTED_VALUE"""),1010.0)</f>
        <v>1010</v>
      </c>
      <c r="D546" s="5">
        <f>IFERROR(__xludf.DUMMYFUNCTION("""COMPUTED_VALUE"""),950.0)</f>
        <v>950</v>
      </c>
      <c r="E546" s="5">
        <f>IFERROR(__xludf.DUMMYFUNCTION("""COMPUTED_VALUE"""),995.0)</f>
        <v>995</v>
      </c>
      <c r="F546" s="5">
        <f>IFERROR(__xludf.DUMMYFUNCTION("""COMPUTED_VALUE"""),5.12385E7)</f>
        <v>51238500</v>
      </c>
      <c r="G546" s="5">
        <f t="shared" si="1"/>
        <v>60</v>
      </c>
    </row>
    <row r="547">
      <c r="A547" s="4">
        <f>IFERROR(__xludf.DUMMYFUNCTION("""COMPUTED_VALUE"""),44645.66666666667)</f>
        <v>44645.66667</v>
      </c>
      <c r="B547" s="5">
        <f>IFERROR(__xludf.DUMMYFUNCTION("""COMPUTED_VALUE"""),1005.0)</f>
        <v>1005</v>
      </c>
      <c r="C547" s="5">
        <f>IFERROR(__xludf.DUMMYFUNCTION("""COMPUTED_VALUE"""),1005.0)</f>
        <v>1005</v>
      </c>
      <c r="D547" s="5">
        <f>IFERROR(__xludf.DUMMYFUNCTION("""COMPUTED_VALUE"""),985.0)</f>
        <v>985</v>
      </c>
      <c r="E547" s="5">
        <f>IFERROR(__xludf.DUMMYFUNCTION("""COMPUTED_VALUE"""),990.0)</f>
        <v>990</v>
      </c>
      <c r="F547" s="5">
        <f>IFERROR(__xludf.DUMMYFUNCTION("""COMPUTED_VALUE"""),1.45404E7)</f>
        <v>14540400</v>
      </c>
      <c r="G547" s="5">
        <f t="shared" si="1"/>
        <v>20</v>
      </c>
    </row>
    <row r="548">
      <c r="A548" s="4">
        <f>IFERROR(__xludf.DUMMYFUNCTION("""COMPUTED_VALUE"""),44648.66666666667)</f>
        <v>44648.66667</v>
      </c>
      <c r="B548" s="5">
        <f>IFERROR(__xludf.DUMMYFUNCTION("""COMPUTED_VALUE"""),985.0)</f>
        <v>985</v>
      </c>
      <c r="C548" s="5">
        <f>IFERROR(__xludf.DUMMYFUNCTION("""COMPUTED_VALUE"""),995.0)</f>
        <v>995</v>
      </c>
      <c r="D548" s="5">
        <f>IFERROR(__xludf.DUMMYFUNCTION("""COMPUTED_VALUE"""),980.0)</f>
        <v>980</v>
      </c>
      <c r="E548" s="5">
        <f>IFERROR(__xludf.DUMMYFUNCTION("""COMPUTED_VALUE"""),990.0)</f>
        <v>990</v>
      </c>
      <c r="F548" s="5">
        <f>IFERROR(__xludf.DUMMYFUNCTION("""COMPUTED_VALUE"""),1.50008E7)</f>
        <v>15000800</v>
      </c>
      <c r="G548" s="5">
        <f t="shared" si="1"/>
        <v>15</v>
      </c>
    </row>
    <row r="549">
      <c r="A549" s="4">
        <f>IFERROR(__xludf.DUMMYFUNCTION("""COMPUTED_VALUE"""),44649.66666666667)</f>
        <v>44649.66667</v>
      </c>
      <c r="B549" s="5">
        <f>IFERROR(__xludf.DUMMYFUNCTION("""COMPUTED_VALUE"""),990.0)</f>
        <v>990</v>
      </c>
      <c r="C549" s="5">
        <f>IFERROR(__xludf.DUMMYFUNCTION("""COMPUTED_VALUE"""),1015.0)</f>
        <v>1015</v>
      </c>
      <c r="D549" s="5">
        <f>IFERROR(__xludf.DUMMYFUNCTION("""COMPUTED_VALUE"""),990.0)</f>
        <v>990</v>
      </c>
      <c r="E549" s="5">
        <f>IFERROR(__xludf.DUMMYFUNCTION("""COMPUTED_VALUE"""),1000.0)</f>
        <v>1000</v>
      </c>
      <c r="F549" s="5">
        <f>IFERROR(__xludf.DUMMYFUNCTION("""COMPUTED_VALUE"""),2.54469E7)</f>
        <v>25446900</v>
      </c>
      <c r="G549" s="5">
        <f t="shared" si="1"/>
        <v>25</v>
      </c>
    </row>
    <row r="550">
      <c r="A550" s="4">
        <f>IFERROR(__xludf.DUMMYFUNCTION("""COMPUTED_VALUE"""),44650.66666666667)</f>
        <v>44650.66667</v>
      </c>
      <c r="B550" s="5">
        <f>IFERROR(__xludf.DUMMYFUNCTION("""COMPUTED_VALUE"""),1005.0)</f>
        <v>1005</v>
      </c>
      <c r="C550" s="5">
        <f>IFERROR(__xludf.DUMMYFUNCTION("""COMPUTED_VALUE"""),1030.0)</f>
        <v>1030</v>
      </c>
      <c r="D550" s="5">
        <f>IFERROR(__xludf.DUMMYFUNCTION("""COMPUTED_VALUE"""),995.0)</f>
        <v>995</v>
      </c>
      <c r="E550" s="5">
        <f>IFERROR(__xludf.DUMMYFUNCTION("""COMPUTED_VALUE"""),1000.0)</f>
        <v>1000</v>
      </c>
      <c r="F550" s="5">
        <f>IFERROR(__xludf.DUMMYFUNCTION("""COMPUTED_VALUE"""),4.95651E7)</f>
        <v>49565100</v>
      </c>
      <c r="G550" s="5">
        <f t="shared" si="1"/>
        <v>35</v>
      </c>
    </row>
    <row r="551">
      <c r="A551" s="4">
        <f>IFERROR(__xludf.DUMMYFUNCTION("""COMPUTED_VALUE"""),44651.66666666667)</f>
        <v>44651.66667</v>
      </c>
      <c r="B551" s="5">
        <f>IFERROR(__xludf.DUMMYFUNCTION("""COMPUTED_VALUE"""),1000.0)</f>
        <v>1000</v>
      </c>
      <c r="C551" s="5">
        <f>IFERROR(__xludf.DUMMYFUNCTION("""COMPUTED_VALUE"""),1005.0)</f>
        <v>1005</v>
      </c>
      <c r="D551" s="5">
        <f>IFERROR(__xludf.DUMMYFUNCTION("""COMPUTED_VALUE"""),995.0)</f>
        <v>995</v>
      </c>
      <c r="E551" s="5">
        <f>IFERROR(__xludf.DUMMYFUNCTION("""COMPUTED_VALUE"""),995.0)</f>
        <v>995</v>
      </c>
      <c r="F551" s="5">
        <f>IFERROR(__xludf.DUMMYFUNCTION("""COMPUTED_VALUE"""),9902500.0)</f>
        <v>9902500</v>
      </c>
      <c r="G551" s="5">
        <f t="shared" si="1"/>
        <v>10</v>
      </c>
    </row>
    <row r="552">
      <c r="A552" s="4">
        <f>IFERROR(__xludf.DUMMYFUNCTION("""COMPUTED_VALUE"""),44652.66666666667)</f>
        <v>44652.66667</v>
      </c>
      <c r="B552" s="5">
        <f>IFERROR(__xludf.DUMMYFUNCTION("""COMPUTED_VALUE"""),995.0)</f>
        <v>995</v>
      </c>
      <c r="C552" s="5">
        <f>IFERROR(__xludf.DUMMYFUNCTION("""COMPUTED_VALUE"""),995.0)</f>
        <v>995</v>
      </c>
      <c r="D552" s="5">
        <f>IFERROR(__xludf.DUMMYFUNCTION("""COMPUTED_VALUE"""),975.0)</f>
        <v>975</v>
      </c>
      <c r="E552" s="5">
        <f>IFERROR(__xludf.DUMMYFUNCTION("""COMPUTED_VALUE"""),980.0)</f>
        <v>980</v>
      </c>
      <c r="F552" s="5">
        <f>IFERROR(__xludf.DUMMYFUNCTION("""COMPUTED_VALUE"""),2.20537E7)</f>
        <v>22053700</v>
      </c>
      <c r="G552" s="5">
        <f t="shared" si="1"/>
        <v>20</v>
      </c>
    </row>
    <row r="553">
      <c r="A553" s="4">
        <f>IFERROR(__xludf.DUMMYFUNCTION("""COMPUTED_VALUE"""),44655.66666666667)</f>
        <v>44655.66667</v>
      </c>
      <c r="B553" s="5">
        <f>IFERROR(__xludf.DUMMYFUNCTION("""COMPUTED_VALUE"""),980.0)</f>
        <v>980</v>
      </c>
      <c r="C553" s="5">
        <f>IFERROR(__xludf.DUMMYFUNCTION("""COMPUTED_VALUE"""),985.0)</f>
        <v>985</v>
      </c>
      <c r="D553" s="5">
        <f>IFERROR(__xludf.DUMMYFUNCTION("""COMPUTED_VALUE"""),960.0)</f>
        <v>960</v>
      </c>
      <c r="E553" s="5">
        <f>IFERROR(__xludf.DUMMYFUNCTION("""COMPUTED_VALUE"""),980.0)</f>
        <v>980</v>
      </c>
      <c r="F553" s="5">
        <f>IFERROR(__xludf.DUMMYFUNCTION("""COMPUTED_VALUE"""),1.21403E7)</f>
        <v>12140300</v>
      </c>
      <c r="G553" s="5">
        <f t="shared" si="1"/>
        <v>25</v>
      </c>
    </row>
    <row r="554">
      <c r="A554" s="4">
        <f>IFERROR(__xludf.DUMMYFUNCTION("""COMPUTED_VALUE"""),44656.66666666667)</f>
        <v>44656.66667</v>
      </c>
      <c r="B554" s="5">
        <f>IFERROR(__xludf.DUMMYFUNCTION("""COMPUTED_VALUE"""),980.0)</f>
        <v>980</v>
      </c>
      <c r="C554" s="5">
        <f>IFERROR(__xludf.DUMMYFUNCTION("""COMPUTED_VALUE"""),995.0)</f>
        <v>995</v>
      </c>
      <c r="D554" s="5">
        <f>IFERROR(__xludf.DUMMYFUNCTION("""COMPUTED_VALUE"""),975.0)</f>
        <v>975</v>
      </c>
      <c r="E554" s="5">
        <f>IFERROR(__xludf.DUMMYFUNCTION("""COMPUTED_VALUE"""),980.0)</f>
        <v>980</v>
      </c>
      <c r="F554" s="5">
        <f>IFERROR(__xludf.DUMMYFUNCTION("""COMPUTED_VALUE"""),1.58754E7)</f>
        <v>15875400</v>
      </c>
      <c r="G554" s="5">
        <f t="shared" si="1"/>
        <v>20</v>
      </c>
    </row>
    <row r="555">
      <c r="A555" s="4">
        <f>IFERROR(__xludf.DUMMYFUNCTION("""COMPUTED_VALUE"""),44657.66666666667)</f>
        <v>44657.66667</v>
      </c>
      <c r="B555" s="5">
        <f>IFERROR(__xludf.DUMMYFUNCTION("""COMPUTED_VALUE"""),980.0)</f>
        <v>980</v>
      </c>
      <c r="C555" s="5">
        <f>IFERROR(__xludf.DUMMYFUNCTION("""COMPUTED_VALUE"""),985.0)</f>
        <v>985</v>
      </c>
      <c r="D555" s="5">
        <f>IFERROR(__xludf.DUMMYFUNCTION("""COMPUTED_VALUE"""),965.0)</f>
        <v>965</v>
      </c>
      <c r="E555" s="5">
        <f>IFERROR(__xludf.DUMMYFUNCTION("""COMPUTED_VALUE"""),965.0)</f>
        <v>965</v>
      </c>
      <c r="F555" s="5">
        <f>IFERROR(__xludf.DUMMYFUNCTION("""COMPUTED_VALUE"""),1.06085E7)</f>
        <v>10608500</v>
      </c>
      <c r="G555" s="5">
        <f t="shared" si="1"/>
        <v>20</v>
      </c>
    </row>
    <row r="556">
      <c r="A556" s="4">
        <f>IFERROR(__xludf.DUMMYFUNCTION("""COMPUTED_VALUE"""),44658.66666666667)</f>
        <v>44658.66667</v>
      </c>
      <c r="B556" s="5">
        <f>IFERROR(__xludf.DUMMYFUNCTION("""COMPUTED_VALUE"""),965.0)</f>
        <v>965</v>
      </c>
      <c r="C556" s="5">
        <f>IFERROR(__xludf.DUMMYFUNCTION("""COMPUTED_VALUE"""),975.0)</f>
        <v>975</v>
      </c>
      <c r="D556" s="5">
        <f>IFERROR(__xludf.DUMMYFUNCTION("""COMPUTED_VALUE"""),950.0)</f>
        <v>950</v>
      </c>
      <c r="E556" s="5">
        <f>IFERROR(__xludf.DUMMYFUNCTION("""COMPUTED_VALUE"""),960.0)</f>
        <v>960</v>
      </c>
      <c r="F556" s="5">
        <f>IFERROR(__xludf.DUMMYFUNCTION("""COMPUTED_VALUE"""),1.36487E7)</f>
        <v>13648700</v>
      </c>
      <c r="G556" s="5">
        <f t="shared" si="1"/>
        <v>25</v>
      </c>
    </row>
    <row r="557">
      <c r="A557" s="4">
        <f>IFERROR(__xludf.DUMMYFUNCTION("""COMPUTED_VALUE"""),44659.66666666667)</f>
        <v>44659.66667</v>
      </c>
      <c r="B557" s="5">
        <f>IFERROR(__xludf.DUMMYFUNCTION("""COMPUTED_VALUE"""),960.0)</f>
        <v>960</v>
      </c>
      <c r="C557" s="5">
        <f>IFERROR(__xludf.DUMMYFUNCTION("""COMPUTED_VALUE"""),975.0)</f>
        <v>975</v>
      </c>
      <c r="D557" s="5">
        <f>IFERROR(__xludf.DUMMYFUNCTION("""COMPUTED_VALUE"""),955.0)</f>
        <v>955</v>
      </c>
      <c r="E557" s="5">
        <f>IFERROR(__xludf.DUMMYFUNCTION("""COMPUTED_VALUE"""),960.0)</f>
        <v>960</v>
      </c>
      <c r="F557" s="5">
        <f>IFERROR(__xludf.DUMMYFUNCTION("""COMPUTED_VALUE"""),1.25859E7)</f>
        <v>12585900</v>
      </c>
      <c r="G557" s="5">
        <f t="shared" si="1"/>
        <v>20</v>
      </c>
    </row>
    <row r="558">
      <c r="A558" s="4">
        <f>IFERROR(__xludf.DUMMYFUNCTION("""COMPUTED_VALUE"""),44662.66666666667)</f>
        <v>44662.66667</v>
      </c>
      <c r="B558" s="5">
        <f>IFERROR(__xludf.DUMMYFUNCTION("""COMPUTED_VALUE"""),960.0)</f>
        <v>960</v>
      </c>
      <c r="C558" s="5">
        <f>IFERROR(__xludf.DUMMYFUNCTION("""COMPUTED_VALUE"""),965.0)</f>
        <v>965</v>
      </c>
      <c r="D558" s="5">
        <f>IFERROR(__xludf.DUMMYFUNCTION("""COMPUTED_VALUE"""),930.0)</f>
        <v>930</v>
      </c>
      <c r="E558" s="5">
        <f>IFERROR(__xludf.DUMMYFUNCTION("""COMPUTED_VALUE"""),930.0)</f>
        <v>930</v>
      </c>
      <c r="F558" s="5">
        <f>IFERROR(__xludf.DUMMYFUNCTION("""COMPUTED_VALUE"""),2.13548E7)</f>
        <v>21354800</v>
      </c>
      <c r="G558" s="5">
        <f t="shared" si="1"/>
        <v>35</v>
      </c>
    </row>
    <row r="559">
      <c r="A559" s="4">
        <f>IFERROR(__xludf.DUMMYFUNCTION("""COMPUTED_VALUE"""),44663.66666666667)</f>
        <v>44663.66667</v>
      </c>
      <c r="B559" s="5">
        <f>IFERROR(__xludf.DUMMYFUNCTION("""COMPUTED_VALUE"""),930.0)</f>
        <v>930</v>
      </c>
      <c r="C559" s="5">
        <f>IFERROR(__xludf.DUMMYFUNCTION("""COMPUTED_VALUE"""),955.0)</f>
        <v>955</v>
      </c>
      <c r="D559" s="5">
        <f>IFERROR(__xludf.DUMMYFUNCTION("""COMPUTED_VALUE"""),925.0)</f>
        <v>925</v>
      </c>
      <c r="E559" s="5">
        <f>IFERROR(__xludf.DUMMYFUNCTION("""COMPUTED_VALUE"""),940.0)</f>
        <v>940</v>
      </c>
      <c r="F559" s="5">
        <f>IFERROR(__xludf.DUMMYFUNCTION("""COMPUTED_VALUE"""),1.01018E7)</f>
        <v>10101800</v>
      </c>
      <c r="G559" s="5">
        <f t="shared" si="1"/>
        <v>30</v>
      </c>
    </row>
    <row r="560">
      <c r="A560" s="4">
        <f>IFERROR(__xludf.DUMMYFUNCTION("""COMPUTED_VALUE"""),44664.66666666667)</f>
        <v>44664.66667</v>
      </c>
      <c r="B560" s="5">
        <f>IFERROR(__xludf.DUMMYFUNCTION("""COMPUTED_VALUE"""),950.0)</f>
        <v>950</v>
      </c>
      <c r="C560" s="5">
        <f>IFERROR(__xludf.DUMMYFUNCTION("""COMPUTED_VALUE"""),955.0)</f>
        <v>955</v>
      </c>
      <c r="D560" s="5">
        <f>IFERROR(__xludf.DUMMYFUNCTION("""COMPUTED_VALUE"""),925.0)</f>
        <v>925</v>
      </c>
      <c r="E560" s="5">
        <f>IFERROR(__xludf.DUMMYFUNCTION("""COMPUTED_VALUE"""),930.0)</f>
        <v>930</v>
      </c>
      <c r="F560" s="5">
        <f>IFERROR(__xludf.DUMMYFUNCTION("""COMPUTED_VALUE"""),1.56734E7)</f>
        <v>15673400</v>
      </c>
      <c r="G560" s="5">
        <f t="shared" si="1"/>
        <v>30</v>
      </c>
    </row>
    <row r="561">
      <c r="A561" s="4">
        <f>IFERROR(__xludf.DUMMYFUNCTION("""COMPUTED_VALUE"""),44665.66666666667)</f>
        <v>44665.66667</v>
      </c>
      <c r="B561" s="5">
        <f>IFERROR(__xludf.DUMMYFUNCTION("""COMPUTED_VALUE"""),930.0)</f>
        <v>930</v>
      </c>
      <c r="C561" s="5">
        <f>IFERROR(__xludf.DUMMYFUNCTION("""COMPUTED_VALUE"""),945.0)</f>
        <v>945</v>
      </c>
      <c r="D561" s="5">
        <f>IFERROR(__xludf.DUMMYFUNCTION("""COMPUTED_VALUE"""),925.0)</f>
        <v>925</v>
      </c>
      <c r="E561" s="5">
        <f>IFERROR(__xludf.DUMMYFUNCTION("""COMPUTED_VALUE"""),930.0)</f>
        <v>930</v>
      </c>
      <c r="F561" s="5">
        <f>IFERROR(__xludf.DUMMYFUNCTION("""COMPUTED_VALUE"""),8202300.0)</f>
        <v>8202300</v>
      </c>
      <c r="G561" s="5">
        <f t="shared" si="1"/>
        <v>20</v>
      </c>
    </row>
    <row r="562">
      <c r="A562" s="4">
        <f>IFERROR(__xludf.DUMMYFUNCTION("""COMPUTED_VALUE"""),44669.66666666667)</f>
        <v>44669.66667</v>
      </c>
      <c r="B562" s="5">
        <f>IFERROR(__xludf.DUMMYFUNCTION("""COMPUTED_VALUE"""),940.0)</f>
        <v>940</v>
      </c>
      <c r="C562" s="5">
        <f>IFERROR(__xludf.DUMMYFUNCTION("""COMPUTED_VALUE"""),945.0)</f>
        <v>945</v>
      </c>
      <c r="D562" s="5">
        <f>IFERROR(__xludf.DUMMYFUNCTION("""COMPUTED_VALUE"""),925.0)</f>
        <v>925</v>
      </c>
      <c r="E562" s="5">
        <f>IFERROR(__xludf.DUMMYFUNCTION("""COMPUTED_VALUE"""),930.0)</f>
        <v>930</v>
      </c>
      <c r="F562" s="5">
        <f>IFERROR(__xludf.DUMMYFUNCTION("""COMPUTED_VALUE"""),9271800.0)</f>
        <v>9271800</v>
      </c>
      <c r="G562" s="5">
        <f t="shared" si="1"/>
        <v>20</v>
      </c>
    </row>
    <row r="563">
      <c r="A563" s="4">
        <f>IFERROR(__xludf.DUMMYFUNCTION("""COMPUTED_VALUE"""),44670.66666666667)</f>
        <v>44670.66667</v>
      </c>
      <c r="B563" s="5">
        <f>IFERROR(__xludf.DUMMYFUNCTION("""COMPUTED_VALUE"""),930.0)</f>
        <v>930</v>
      </c>
      <c r="C563" s="5">
        <f>IFERROR(__xludf.DUMMYFUNCTION("""COMPUTED_VALUE"""),945.0)</f>
        <v>945</v>
      </c>
      <c r="D563" s="5">
        <f>IFERROR(__xludf.DUMMYFUNCTION("""COMPUTED_VALUE"""),925.0)</f>
        <v>925</v>
      </c>
      <c r="E563" s="5">
        <f>IFERROR(__xludf.DUMMYFUNCTION("""COMPUTED_VALUE"""),930.0)</f>
        <v>930</v>
      </c>
      <c r="F563" s="5">
        <f>IFERROR(__xludf.DUMMYFUNCTION("""COMPUTED_VALUE"""),1.12E7)</f>
        <v>11200000</v>
      </c>
      <c r="G563" s="5">
        <f t="shared" si="1"/>
        <v>20</v>
      </c>
    </row>
    <row r="564">
      <c r="A564" s="4">
        <f>IFERROR(__xludf.DUMMYFUNCTION("""COMPUTED_VALUE"""),44671.66666666667)</f>
        <v>44671.66667</v>
      </c>
      <c r="B564" s="5">
        <f>IFERROR(__xludf.DUMMYFUNCTION("""COMPUTED_VALUE"""),935.0)</f>
        <v>935</v>
      </c>
      <c r="C564" s="5">
        <f>IFERROR(__xludf.DUMMYFUNCTION("""COMPUTED_VALUE"""),940.0)</f>
        <v>940</v>
      </c>
      <c r="D564" s="5">
        <f>IFERROR(__xludf.DUMMYFUNCTION("""COMPUTED_VALUE"""),905.0)</f>
        <v>905</v>
      </c>
      <c r="E564" s="5">
        <f>IFERROR(__xludf.DUMMYFUNCTION("""COMPUTED_VALUE"""),910.0)</f>
        <v>910</v>
      </c>
      <c r="F564" s="5">
        <f>IFERROR(__xludf.DUMMYFUNCTION("""COMPUTED_VALUE"""),2.33466E7)</f>
        <v>23346600</v>
      </c>
      <c r="G564" s="5">
        <f t="shared" si="1"/>
        <v>35</v>
      </c>
    </row>
    <row r="565">
      <c r="A565" s="4">
        <f>IFERROR(__xludf.DUMMYFUNCTION("""COMPUTED_VALUE"""),44672.66666666667)</f>
        <v>44672.66667</v>
      </c>
      <c r="B565" s="5">
        <f>IFERROR(__xludf.DUMMYFUNCTION("""COMPUTED_VALUE"""),915.0)</f>
        <v>915</v>
      </c>
      <c r="C565" s="5">
        <f>IFERROR(__xludf.DUMMYFUNCTION("""COMPUTED_VALUE"""),955.0)</f>
        <v>955</v>
      </c>
      <c r="D565" s="5">
        <f>IFERROR(__xludf.DUMMYFUNCTION("""COMPUTED_VALUE"""),910.0)</f>
        <v>910</v>
      </c>
      <c r="E565" s="5">
        <f>IFERROR(__xludf.DUMMYFUNCTION("""COMPUTED_VALUE"""),945.0)</f>
        <v>945</v>
      </c>
      <c r="F565" s="5">
        <f>IFERROR(__xludf.DUMMYFUNCTION("""COMPUTED_VALUE"""),3.08323E7)</f>
        <v>30832300</v>
      </c>
      <c r="G565" s="5">
        <f t="shared" si="1"/>
        <v>45</v>
      </c>
    </row>
    <row r="566">
      <c r="A566" s="4">
        <f>IFERROR(__xludf.DUMMYFUNCTION("""COMPUTED_VALUE"""),44673.66666666667)</f>
        <v>44673.66667</v>
      </c>
      <c r="B566" s="5">
        <f>IFERROR(__xludf.DUMMYFUNCTION("""COMPUTED_VALUE"""),945.0)</f>
        <v>945</v>
      </c>
      <c r="C566" s="5">
        <f>IFERROR(__xludf.DUMMYFUNCTION("""COMPUTED_VALUE"""),950.0)</f>
        <v>950</v>
      </c>
      <c r="D566" s="5">
        <f>IFERROR(__xludf.DUMMYFUNCTION("""COMPUTED_VALUE"""),925.0)</f>
        <v>925</v>
      </c>
      <c r="E566" s="5">
        <f>IFERROR(__xludf.DUMMYFUNCTION("""COMPUTED_VALUE"""),935.0)</f>
        <v>935</v>
      </c>
      <c r="F566" s="5">
        <f>IFERROR(__xludf.DUMMYFUNCTION("""COMPUTED_VALUE"""),8288200.0)</f>
        <v>8288200</v>
      </c>
      <c r="G566" s="5">
        <f t="shared" si="1"/>
        <v>25</v>
      </c>
    </row>
    <row r="567">
      <c r="A567" s="4">
        <f>IFERROR(__xludf.DUMMYFUNCTION("""COMPUTED_VALUE"""),44676.66666666667)</f>
        <v>44676.66667</v>
      </c>
      <c r="B567" s="5">
        <f>IFERROR(__xludf.DUMMYFUNCTION("""COMPUTED_VALUE"""),930.0)</f>
        <v>930</v>
      </c>
      <c r="C567" s="5">
        <f>IFERROR(__xludf.DUMMYFUNCTION("""COMPUTED_VALUE"""),930.0)</f>
        <v>930</v>
      </c>
      <c r="D567" s="5">
        <f>IFERROR(__xludf.DUMMYFUNCTION("""COMPUTED_VALUE"""),900.0)</f>
        <v>900</v>
      </c>
      <c r="E567" s="5">
        <f>IFERROR(__xludf.DUMMYFUNCTION("""COMPUTED_VALUE"""),910.0)</f>
        <v>910</v>
      </c>
      <c r="F567" s="5">
        <f>IFERROR(__xludf.DUMMYFUNCTION("""COMPUTED_VALUE"""),1.85083E7)</f>
        <v>18508300</v>
      </c>
      <c r="G567" s="5">
        <f t="shared" si="1"/>
        <v>35</v>
      </c>
    </row>
    <row r="568">
      <c r="A568" s="4">
        <f>IFERROR(__xludf.DUMMYFUNCTION("""COMPUTED_VALUE"""),44677.66666666667)</f>
        <v>44677.66667</v>
      </c>
      <c r="B568" s="5">
        <f>IFERROR(__xludf.DUMMYFUNCTION("""COMPUTED_VALUE"""),910.0)</f>
        <v>910</v>
      </c>
      <c r="C568" s="5">
        <f>IFERROR(__xludf.DUMMYFUNCTION("""COMPUTED_VALUE"""),925.0)</f>
        <v>925</v>
      </c>
      <c r="D568" s="5">
        <f>IFERROR(__xludf.DUMMYFUNCTION("""COMPUTED_VALUE"""),905.0)</f>
        <v>905</v>
      </c>
      <c r="E568" s="5">
        <f>IFERROR(__xludf.DUMMYFUNCTION("""COMPUTED_VALUE"""),915.0)</f>
        <v>915</v>
      </c>
      <c r="F568" s="5">
        <f>IFERROR(__xludf.DUMMYFUNCTION("""COMPUTED_VALUE"""),1.15577E7)</f>
        <v>11557700</v>
      </c>
      <c r="G568" s="5">
        <f t="shared" si="1"/>
        <v>20</v>
      </c>
    </row>
    <row r="569">
      <c r="A569" s="4">
        <f>IFERROR(__xludf.DUMMYFUNCTION("""COMPUTED_VALUE"""),44678.66666666667)</f>
        <v>44678.66667</v>
      </c>
      <c r="B569" s="5">
        <f>IFERROR(__xludf.DUMMYFUNCTION("""COMPUTED_VALUE"""),915.0)</f>
        <v>915</v>
      </c>
      <c r="C569" s="5">
        <f>IFERROR(__xludf.DUMMYFUNCTION("""COMPUTED_VALUE"""),935.0)</f>
        <v>935</v>
      </c>
      <c r="D569" s="5">
        <f>IFERROR(__xludf.DUMMYFUNCTION("""COMPUTED_VALUE"""),910.0)</f>
        <v>910</v>
      </c>
      <c r="E569" s="5">
        <f>IFERROR(__xludf.DUMMYFUNCTION("""COMPUTED_VALUE"""),930.0)</f>
        <v>930</v>
      </c>
      <c r="F569" s="5">
        <f>IFERROR(__xludf.DUMMYFUNCTION("""COMPUTED_VALUE"""),1.15906E7)</f>
        <v>11590600</v>
      </c>
      <c r="G569" s="5">
        <f t="shared" si="1"/>
        <v>25</v>
      </c>
    </row>
    <row r="570">
      <c r="A570" s="4">
        <f>IFERROR(__xludf.DUMMYFUNCTION("""COMPUTED_VALUE"""),44679.66666666667)</f>
        <v>44679.66667</v>
      </c>
      <c r="B570" s="5">
        <f>IFERROR(__xludf.DUMMYFUNCTION("""COMPUTED_VALUE"""),940.0)</f>
        <v>940</v>
      </c>
      <c r="C570" s="5">
        <f>IFERROR(__xludf.DUMMYFUNCTION("""COMPUTED_VALUE"""),940.0)</f>
        <v>940</v>
      </c>
      <c r="D570" s="5">
        <f>IFERROR(__xludf.DUMMYFUNCTION("""COMPUTED_VALUE"""),920.0)</f>
        <v>920</v>
      </c>
      <c r="E570" s="5">
        <f>IFERROR(__xludf.DUMMYFUNCTION("""COMPUTED_VALUE"""),935.0)</f>
        <v>935</v>
      </c>
      <c r="F570" s="5">
        <f>IFERROR(__xludf.DUMMYFUNCTION("""COMPUTED_VALUE"""),1.06874E7)</f>
        <v>10687400</v>
      </c>
      <c r="G570" s="5">
        <f t="shared" si="1"/>
        <v>20</v>
      </c>
    </row>
    <row r="571">
      <c r="A571" s="4">
        <f>IFERROR(__xludf.DUMMYFUNCTION("""COMPUTED_VALUE"""),44690.66666666667)</f>
        <v>44690.66667</v>
      </c>
      <c r="B571" s="5">
        <f>IFERROR(__xludf.DUMMYFUNCTION("""COMPUTED_VALUE"""),935.0)</f>
        <v>935</v>
      </c>
      <c r="C571" s="5">
        <f>IFERROR(__xludf.DUMMYFUNCTION("""COMPUTED_VALUE"""),935.0)</f>
        <v>935</v>
      </c>
      <c r="D571" s="5">
        <f>IFERROR(__xludf.DUMMYFUNCTION("""COMPUTED_VALUE"""),890.0)</f>
        <v>890</v>
      </c>
      <c r="E571" s="5">
        <f>IFERROR(__xludf.DUMMYFUNCTION("""COMPUTED_VALUE"""),895.0)</f>
        <v>895</v>
      </c>
      <c r="F571" s="5">
        <f>IFERROR(__xludf.DUMMYFUNCTION("""COMPUTED_VALUE"""),1.8101E7)</f>
        <v>18101000</v>
      </c>
      <c r="G571" s="5">
        <f t="shared" si="1"/>
        <v>45</v>
      </c>
    </row>
    <row r="572">
      <c r="A572" s="4">
        <f>IFERROR(__xludf.DUMMYFUNCTION("""COMPUTED_VALUE"""),44691.66666666667)</f>
        <v>44691.66667</v>
      </c>
      <c r="B572" s="5">
        <f>IFERROR(__xludf.DUMMYFUNCTION("""COMPUTED_VALUE"""),895.0)</f>
        <v>895</v>
      </c>
      <c r="C572" s="5">
        <f>IFERROR(__xludf.DUMMYFUNCTION("""COMPUTED_VALUE"""),905.0)</f>
        <v>905</v>
      </c>
      <c r="D572" s="5">
        <f>IFERROR(__xludf.DUMMYFUNCTION("""COMPUTED_VALUE"""),875.0)</f>
        <v>875</v>
      </c>
      <c r="E572" s="5">
        <f>IFERROR(__xludf.DUMMYFUNCTION("""COMPUTED_VALUE"""),895.0)</f>
        <v>895</v>
      </c>
      <c r="F572" s="5">
        <f>IFERROR(__xludf.DUMMYFUNCTION("""COMPUTED_VALUE"""),1.25229E7)</f>
        <v>12522900</v>
      </c>
      <c r="G572" s="5">
        <f t="shared" si="1"/>
        <v>30</v>
      </c>
    </row>
    <row r="573">
      <c r="A573" s="4">
        <f>IFERROR(__xludf.DUMMYFUNCTION("""COMPUTED_VALUE"""),44692.66666666667)</f>
        <v>44692.66667</v>
      </c>
      <c r="B573" s="5">
        <f>IFERROR(__xludf.DUMMYFUNCTION("""COMPUTED_VALUE"""),900.0)</f>
        <v>900</v>
      </c>
      <c r="C573" s="5">
        <f>IFERROR(__xludf.DUMMYFUNCTION("""COMPUTED_VALUE"""),915.0)</f>
        <v>915</v>
      </c>
      <c r="D573" s="5">
        <f>IFERROR(__xludf.DUMMYFUNCTION("""COMPUTED_VALUE"""),895.0)</f>
        <v>895</v>
      </c>
      <c r="E573" s="5">
        <f>IFERROR(__xludf.DUMMYFUNCTION("""COMPUTED_VALUE"""),895.0)</f>
        <v>895</v>
      </c>
      <c r="F573" s="5">
        <f>IFERROR(__xludf.DUMMYFUNCTION("""COMPUTED_VALUE"""),1.39647E7)</f>
        <v>13964700</v>
      </c>
      <c r="G573" s="5">
        <f t="shared" si="1"/>
        <v>20</v>
      </c>
    </row>
    <row r="574">
      <c r="A574" s="4">
        <f>IFERROR(__xludf.DUMMYFUNCTION("""COMPUTED_VALUE"""),44693.66666666667)</f>
        <v>44693.66667</v>
      </c>
      <c r="B574" s="5">
        <f>IFERROR(__xludf.DUMMYFUNCTION("""COMPUTED_VALUE"""),900.0)</f>
        <v>900</v>
      </c>
      <c r="C574" s="5">
        <f>IFERROR(__xludf.DUMMYFUNCTION("""COMPUTED_VALUE"""),900.0)</f>
        <v>900</v>
      </c>
      <c r="D574" s="5">
        <f>IFERROR(__xludf.DUMMYFUNCTION("""COMPUTED_VALUE"""),860.0)</f>
        <v>860</v>
      </c>
      <c r="E574" s="5">
        <f>IFERROR(__xludf.DUMMYFUNCTION("""COMPUTED_VALUE"""),875.0)</f>
        <v>875</v>
      </c>
      <c r="F574" s="5">
        <f>IFERROR(__xludf.DUMMYFUNCTION("""COMPUTED_VALUE"""),1.99952E7)</f>
        <v>19995200</v>
      </c>
      <c r="G574" s="5">
        <f t="shared" si="1"/>
        <v>40</v>
      </c>
    </row>
    <row r="575">
      <c r="A575" s="4">
        <f>IFERROR(__xludf.DUMMYFUNCTION("""COMPUTED_VALUE"""),44694.66666666667)</f>
        <v>44694.66667</v>
      </c>
      <c r="B575" s="5">
        <f>IFERROR(__xludf.DUMMYFUNCTION("""COMPUTED_VALUE"""),875.0)</f>
        <v>875</v>
      </c>
      <c r="C575" s="5">
        <f>IFERROR(__xludf.DUMMYFUNCTION("""COMPUTED_VALUE"""),900.0)</f>
        <v>900</v>
      </c>
      <c r="D575" s="5">
        <f>IFERROR(__xludf.DUMMYFUNCTION("""COMPUTED_VALUE"""),860.0)</f>
        <v>860</v>
      </c>
      <c r="E575" s="5">
        <f>IFERROR(__xludf.DUMMYFUNCTION("""COMPUTED_VALUE"""),890.0)</f>
        <v>890</v>
      </c>
      <c r="F575" s="5">
        <f>IFERROR(__xludf.DUMMYFUNCTION("""COMPUTED_VALUE"""),1.54936E7)</f>
        <v>15493600</v>
      </c>
      <c r="G575" s="5">
        <f t="shared" si="1"/>
        <v>40</v>
      </c>
    </row>
    <row r="576">
      <c r="A576" s="4">
        <f>IFERROR(__xludf.DUMMYFUNCTION("""COMPUTED_VALUE"""),44698.66666666667)</f>
        <v>44698.66667</v>
      </c>
      <c r="B576" s="5">
        <f>IFERROR(__xludf.DUMMYFUNCTION("""COMPUTED_VALUE"""),890.0)</f>
        <v>890</v>
      </c>
      <c r="C576" s="5">
        <f>IFERROR(__xludf.DUMMYFUNCTION("""COMPUTED_VALUE"""),900.0)</f>
        <v>900</v>
      </c>
      <c r="D576" s="5">
        <f>IFERROR(__xludf.DUMMYFUNCTION("""COMPUTED_VALUE"""),880.0)</f>
        <v>880</v>
      </c>
      <c r="E576" s="5">
        <f>IFERROR(__xludf.DUMMYFUNCTION("""COMPUTED_VALUE"""),885.0)</f>
        <v>885</v>
      </c>
      <c r="F576" s="5">
        <f>IFERROR(__xludf.DUMMYFUNCTION("""COMPUTED_VALUE"""),9951400.0)</f>
        <v>9951400</v>
      </c>
      <c r="G576" s="5">
        <f t="shared" si="1"/>
        <v>20</v>
      </c>
    </row>
    <row r="577">
      <c r="A577" s="4">
        <f>IFERROR(__xludf.DUMMYFUNCTION("""COMPUTED_VALUE"""),44699.66666666667)</f>
        <v>44699.66667</v>
      </c>
      <c r="B577" s="5">
        <f>IFERROR(__xludf.DUMMYFUNCTION("""COMPUTED_VALUE"""),885.0)</f>
        <v>885</v>
      </c>
      <c r="C577" s="5">
        <f>IFERROR(__xludf.DUMMYFUNCTION("""COMPUTED_VALUE"""),900.0)</f>
        <v>900</v>
      </c>
      <c r="D577" s="5">
        <f>IFERROR(__xludf.DUMMYFUNCTION("""COMPUTED_VALUE"""),880.0)</f>
        <v>880</v>
      </c>
      <c r="E577" s="5">
        <f>IFERROR(__xludf.DUMMYFUNCTION("""COMPUTED_VALUE"""),885.0)</f>
        <v>885</v>
      </c>
      <c r="F577" s="5">
        <f>IFERROR(__xludf.DUMMYFUNCTION("""COMPUTED_VALUE"""),6479200.0)</f>
        <v>6479200</v>
      </c>
      <c r="G577" s="5">
        <f t="shared" si="1"/>
        <v>20</v>
      </c>
    </row>
    <row r="578">
      <c r="A578" s="4">
        <f>IFERROR(__xludf.DUMMYFUNCTION("""COMPUTED_VALUE"""),44700.66666666667)</f>
        <v>44700.66667</v>
      </c>
      <c r="B578" s="5">
        <f>IFERROR(__xludf.DUMMYFUNCTION("""COMPUTED_VALUE"""),870.0)</f>
        <v>870</v>
      </c>
      <c r="C578" s="5">
        <f>IFERROR(__xludf.DUMMYFUNCTION("""COMPUTED_VALUE"""),880.0)</f>
        <v>880</v>
      </c>
      <c r="D578" s="5">
        <f>IFERROR(__xludf.DUMMYFUNCTION("""COMPUTED_VALUE"""),865.0)</f>
        <v>865</v>
      </c>
      <c r="E578" s="5">
        <f>IFERROR(__xludf.DUMMYFUNCTION("""COMPUTED_VALUE"""),875.0)</f>
        <v>875</v>
      </c>
      <c r="F578" s="5">
        <f>IFERROR(__xludf.DUMMYFUNCTION("""COMPUTED_VALUE"""),1.14049E7)</f>
        <v>11404900</v>
      </c>
      <c r="G578" s="5">
        <f t="shared" si="1"/>
        <v>20</v>
      </c>
    </row>
    <row r="579">
      <c r="A579" s="4">
        <f>IFERROR(__xludf.DUMMYFUNCTION("""COMPUTED_VALUE"""),44701.66666666667)</f>
        <v>44701.66667</v>
      </c>
      <c r="B579" s="5">
        <f>IFERROR(__xludf.DUMMYFUNCTION("""COMPUTED_VALUE"""),880.0)</f>
        <v>880</v>
      </c>
      <c r="C579" s="5">
        <f>IFERROR(__xludf.DUMMYFUNCTION("""COMPUTED_VALUE"""),885.0)</f>
        <v>885</v>
      </c>
      <c r="D579" s="5">
        <f>IFERROR(__xludf.DUMMYFUNCTION("""COMPUTED_VALUE"""),870.0)</f>
        <v>870</v>
      </c>
      <c r="E579" s="5">
        <f>IFERROR(__xludf.DUMMYFUNCTION("""COMPUTED_VALUE"""),880.0)</f>
        <v>880</v>
      </c>
      <c r="F579" s="5">
        <f>IFERROR(__xludf.DUMMYFUNCTION("""COMPUTED_VALUE"""),1.04102E7)</f>
        <v>10410200</v>
      </c>
      <c r="G579" s="5">
        <f t="shared" si="1"/>
        <v>15</v>
      </c>
    </row>
    <row r="580">
      <c r="A580" s="4">
        <f>IFERROR(__xludf.DUMMYFUNCTION("""COMPUTED_VALUE"""),44704.66666666667)</f>
        <v>44704.66667</v>
      </c>
      <c r="B580" s="5">
        <f>IFERROR(__xludf.DUMMYFUNCTION("""COMPUTED_VALUE"""),880.0)</f>
        <v>880</v>
      </c>
      <c r="C580" s="5">
        <f>IFERROR(__xludf.DUMMYFUNCTION("""COMPUTED_VALUE"""),890.0)</f>
        <v>890</v>
      </c>
      <c r="D580" s="5">
        <f>IFERROR(__xludf.DUMMYFUNCTION("""COMPUTED_VALUE"""),870.0)</f>
        <v>870</v>
      </c>
      <c r="E580" s="5">
        <f>IFERROR(__xludf.DUMMYFUNCTION("""COMPUTED_VALUE"""),880.0)</f>
        <v>880</v>
      </c>
      <c r="F580" s="5">
        <f>IFERROR(__xludf.DUMMYFUNCTION("""COMPUTED_VALUE"""),6641200.0)</f>
        <v>6641200</v>
      </c>
      <c r="G580" s="5">
        <f t="shared" si="1"/>
        <v>20</v>
      </c>
    </row>
    <row r="581">
      <c r="A581" s="4">
        <f>IFERROR(__xludf.DUMMYFUNCTION("""COMPUTED_VALUE"""),44705.66666666667)</f>
        <v>44705.66667</v>
      </c>
      <c r="B581" s="5">
        <f>IFERROR(__xludf.DUMMYFUNCTION("""COMPUTED_VALUE"""),880.0)</f>
        <v>880</v>
      </c>
      <c r="C581" s="5">
        <f>IFERROR(__xludf.DUMMYFUNCTION("""COMPUTED_VALUE"""),925.0)</f>
        <v>925</v>
      </c>
      <c r="D581" s="5">
        <f>IFERROR(__xludf.DUMMYFUNCTION("""COMPUTED_VALUE"""),875.0)</f>
        <v>875</v>
      </c>
      <c r="E581" s="5">
        <f>IFERROR(__xludf.DUMMYFUNCTION("""COMPUTED_VALUE"""),910.0)</f>
        <v>910</v>
      </c>
      <c r="F581" s="5">
        <f>IFERROR(__xludf.DUMMYFUNCTION("""COMPUTED_VALUE"""),4.31248E7)</f>
        <v>43124800</v>
      </c>
      <c r="G581" s="5">
        <f t="shared" si="1"/>
        <v>50</v>
      </c>
    </row>
    <row r="582">
      <c r="A582" s="4">
        <f>IFERROR(__xludf.DUMMYFUNCTION("""COMPUTED_VALUE"""),44706.66666666667)</f>
        <v>44706.66667</v>
      </c>
      <c r="B582" s="5">
        <f>IFERROR(__xludf.DUMMYFUNCTION("""COMPUTED_VALUE"""),910.0)</f>
        <v>910</v>
      </c>
      <c r="C582" s="5">
        <f>IFERROR(__xludf.DUMMYFUNCTION("""COMPUTED_VALUE"""),925.0)</f>
        <v>925</v>
      </c>
      <c r="D582" s="5">
        <f>IFERROR(__xludf.DUMMYFUNCTION("""COMPUTED_VALUE"""),900.0)</f>
        <v>900</v>
      </c>
      <c r="E582" s="5">
        <f>IFERROR(__xludf.DUMMYFUNCTION("""COMPUTED_VALUE"""),905.0)</f>
        <v>905</v>
      </c>
      <c r="F582" s="5">
        <f>IFERROR(__xludf.DUMMYFUNCTION("""COMPUTED_VALUE"""),1.33382E7)</f>
        <v>13338200</v>
      </c>
      <c r="G582" s="5">
        <f t="shared" si="1"/>
        <v>25</v>
      </c>
    </row>
    <row r="583">
      <c r="A583" s="4">
        <f>IFERROR(__xludf.DUMMYFUNCTION("""COMPUTED_VALUE"""),44708.66666666667)</f>
        <v>44708.66667</v>
      </c>
      <c r="B583" s="5">
        <f>IFERROR(__xludf.DUMMYFUNCTION("""COMPUTED_VALUE"""),910.0)</f>
        <v>910</v>
      </c>
      <c r="C583" s="5">
        <f>IFERROR(__xludf.DUMMYFUNCTION("""COMPUTED_VALUE"""),940.0)</f>
        <v>940</v>
      </c>
      <c r="D583" s="5">
        <f>IFERROR(__xludf.DUMMYFUNCTION("""COMPUTED_VALUE"""),910.0)</f>
        <v>910</v>
      </c>
      <c r="E583" s="5">
        <f>IFERROR(__xludf.DUMMYFUNCTION("""COMPUTED_VALUE"""),920.0)</f>
        <v>920</v>
      </c>
      <c r="F583" s="5">
        <f>IFERROR(__xludf.DUMMYFUNCTION("""COMPUTED_VALUE"""),2.17864E7)</f>
        <v>21786400</v>
      </c>
      <c r="G583" s="5">
        <f t="shared" si="1"/>
        <v>35</v>
      </c>
    </row>
    <row r="584">
      <c r="A584" s="4">
        <f>IFERROR(__xludf.DUMMYFUNCTION("""COMPUTED_VALUE"""),44711.66666666667)</f>
        <v>44711.66667</v>
      </c>
      <c r="B584" s="5">
        <f>IFERROR(__xludf.DUMMYFUNCTION("""COMPUTED_VALUE"""),945.0)</f>
        <v>945</v>
      </c>
      <c r="C584" s="5">
        <f>IFERROR(__xludf.DUMMYFUNCTION("""COMPUTED_VALUE"""),945.0)</f>
        <v>945</v>
      </c>
      <c r="D584" s="5">
        <f>IFERROR(__xludf.DUMMYFUNCTION("""COMPUTED_VALUE"""),920.0)</f>
        <v>920</v>
      </c>
      <c r="E584" s="5">
        <f>IFERROR(__xludf.DUMMYFUNCTION("""COMPUTED_VALUE"""),940.0)</f>
        <v>940</v>
      </c>
      <c r="F584" s="5">
        <f>IFERROR(__xludf.DUMMYFUNCTION("""COMPUTED_VALUE"""),2.23178E7)</f>
        <v>22317800</v>
      </c>
      <c r="G584" s="5">
        <f t="shared" si="1"/>
        <v>25</v>
      </c>
    </row>
    <row r="585">
      <c r="A585" s="4">
        <f>IFERROR(__xludf.DUMMYFUNCTION("""COMPUTED_VALUE"""),44712.66666666667)</f>
        <v>44712.66667</v>
      </c>
      <c r="B585" s="5">
        <f>IFERROR(__xludf.DUMMYFUNCTION("""COMPUTED_VALUE"""),940.0)</f>
        <v>940</v>
      </c>
      <c r="C585" s="5">
        <f>IFERROR(__xludf.DUMMYFUNCTION("""COMPUTED_VALUE"""),945.0)</f>
        <v>945</v>
      </c>
      <c r="D585" s="5">
        <f>IFERROR(__xludf.DUMMYFUNCTION("""COMPUTED_VALUE"""),925.0)</f>
        <v>925</v>
      </c>
      <c r="E585" s="5">
        <f>IFERROR(__xludf.DUMMYFUNCTION("""COMPUTED_VALUE"""),935.0)</f>
        <v>935</v>
      </c>
      <c r="F585" s="5">
        <f>IFERROR(__xludf.DUMMYFUNCTION("""COMPUTED_VALUE"""),1.58371E7)</f>
        <v>15837100</v>
      </c>
      <c r="G585" s="5">
        <f t="shared" si="1"/>
        <v>20</v>
      </c>
    </row>
    <row r="586">
      <c r="A586" s="4">
        <f>IFERROR(__xludf.DUMMYFUNCTION("""COMPUTED_VALUE"""),44714.66666666667)</f>
        <v>44714.66667</v>
      </c>
      <c r="B586" s="5">
        <f>IFERROR(__xludf.DUMMYFUNCTION("""COMPUTED_VALUE"""),935.0)</f>
        <v>935</v>
      </c>
      <c r="C586" s="5">
        <f>IFERROR(__xludf.DUMMYFUNCTION("""COMPUTED_VALUE"""),960.0)</f>
        <v>960</v>
      </c>
      <c r="D586" s="5">
        <f>IFERROR(__xludf.DUMMYFUNCTION("""COMPUTED_VALUE"""),915.0)</f>
        <v>915</v>
      </c>
      <c r="E586" s="5">
        <f>IFERROR(__xludf.DUMMYFUNCTION("""COMPUTED_VALUE"""),920.0)</f>
        <v>920</v>
      </c>
      <c r="F586" s="5">
        <f>IFERROR(__xludf.DUMMYFUNCTION("""COMPUTED_VALUE"""),3.30146E7)</f>
        <v>33014600</v>
      </c>
      <c r="G586" s="5">
        <f t="shared" si="1"/>
        <v>45</v>
      </c>
    </row>
    <row r="587">
      <c r="A587" s="4">
        <f>IFERROR(__xludf.DUMMYFUNCTION("""COMPUTED_VALUE"""),44715.66666666667)</f>
        <v>44715.66667</v>
      </c>
      <c r="B587" s="5">
        <f>IFERROR(__xludf.DUMMYFUNCTION("""COMPUTED_VALUE"""),925.0)</f>
        <v>925</v>
      </c>
      <c r="C587" s="5">
        <f>IFERROR(__xludf.DUMMYFUNCTION("""COMPUTED_VALUE"""),940.0)</f>
        <v>940</v>
      </c>
      <c r="D587" s="5">
        <f>IFERROR(__xludf.DUMMYFUNCTION("""COMPUTED_VALUE"""),920.0)</f>
        <v>920</v>
      </c>
      <c r="E587" s="5">
        <f>IFERROR(__xludf.DUMMYFUNCTION("""COMPUTED_VALUE"""),920.0)</f>
        <v>920</v>
      </c>
      <c r="F587" s="5">
        <f>IFERROR(__xludf.DUMMYFUNCTION("""COMPUTED_VALUE"""),1.98349E7)</f>
        <v>19834900</v>
      </c>
      <c r="G587" s="5">
        <f t="shared" si="1"/>
        <v>20</v>
      </c>
    </row>
    <row r="588">
      <c r="A588" s="4">
        <f>IFERROR(__xludf.DUMMYFUNCTION("""COMPUTED_VALUE"""),44718.66666666667)</f>
        <v>44718.66667</v>
      </c>
      <c r="B588" s="5">
        <f>IFERROR(__xludf.DUMMYFUNCTION("""COMPUTED_VALUE"""),920.0)</f>
        <v>920</v>
      </c>
      <c r="C588" s="5">
        <f>IFERROR(__xludf.DUMMYFUNCTION("""COMPUTED_VALUE"""),935.0)</f>
        <v>935</v>
      </c>
      <c r="D588" s="5">
        <f>IFERROR(__xludf.DUMMYFUNCTION("""COMPUTED_VALUE"""),905.0)</f>
        <v>905</v>
      </c>
      <c r="E588" s="5">
        <f>IFERROR(__xludf.DUMMYFUNCTION("""COMPUTED_VALUE"""),925.0)</f>
        <v>925</v>
      </c>
      <c r="F588" s="5">
        <f>IFERROR(__xludf.DUMMYFUNCTION("""COMPUTED_VALUE"""),1.37338E7)</f>
        <v>13733800</v>
      </c>
      <c r="G588" s="5">
        <f t="shared" si="1"/>
        <v>30</v>
      </c>
    </row>
    <row r="589">
      <c r="A589" s="4">
        <f>IFERROR(__xludf.DUMMYFUNCTION("""COMPUTED_VALUE"""),44719.66666666667)</f>
        <v>44719.66667</v>
      </c>
      <c r="B589" s="5">
        <f>IFERROR(__xludf.DUMMYFUNCTION("""COMPUTED_VALUE"""),925.0)</f>
        <v>925</v>
      </c>
      <c r="C589" s="5">
        <f>IFERROR(__xludf.DUMMYFUNCTION("""COMPUTED_VALUE"""),930.0)</f>
        <v>930</v>
      </c>
      <c r="D589" s="5">
        <f>IFERROR(__xludf.DUMMYFUNCTION("""COMPUTED_VALUE"""),910.0)</f>
        <v>910</v>
      </c>
      <c r="E589" s="5">
        <f>IFERROR(__xludf.DUMMYFUNCTION("""COMPUTED_VALUE"""),915.0)</f>
        <v>915</v>
      </c>
      <c r="F589" s="5">
        <f>IFERROR(__xludf.DUMMYFUNCTION("""COMPUTED_VALUE"""),6553600.0)</f>
        <v>6553600</v>
      </c>
      <c r="G589" s="5">
        <f t="shared" si="1"/>
        <v>20</v>
      </c>
    </row>
    <row r="590">
      <c r="A590" s="4">
        <f>IFERROR(__xludf.DUMMYFUNCTION("""COMPUTED_VALUE"""),44720.66666666667)</f>
        <v>44720.66667</v>
      </c>
      <c r="B590" s="5">
        <f>IFERROR(__xludf.DUMMYFUNCTION("""COMPUTED_VALUE"""),915.0)</f>
        <v>915</v>
      </c>
      <c r="C590" s="5">
        <f>IFERROR(__xludf.DUMMYFUNCTION("""COMPUTED_VALUE"""),970.0)</f>
        <v>970</v>
      </c>
      <c r="D590" s="5">
        <f>IFERROR(__xludf.DUMMYFUNCTION("""COMPUTED_VALUE"""),915.0)</f>
        <v>915</v>
      </c>
      <c r="E590" s="5">
        <f>IFERROR(__xludf.DUMMYFUNCTION("""COMPUTED_VALUE"""),970.0)</f>
        <v>970</v>
      </c>
      <c r="F590" s="5">
        <f>IFERROR(__xludf.DUMMYFUNCTION("""COMPUTED_VALUE"""),5.59193E7)</f>
        <v>55919300</v>
      </c>
      <c r="G590" s="5">
        <f t="shared" si="1"/>
        <v>55</v>
      </c>
    </row>
    <row r="591">
      <c r="A591" s="4">
        <f>IFERROR(__xludf.DUMMYFUNCTION("""COMPUTED_VALUE"""),44721.66666666667)</f>
        <v>44721.66667</v>
      </c>
      <c r="B591" s="5">
        <f>IFERROR(__xludf.DUMMYFUNCTION("""COMPUTED_VALUE"""),975.0)</f>
        <v>975</v>
      </c>
      <c r="C591" s="5">
        <f>IFERROR(__xludf.DUMMYFUNCTION("""COMPUTED_VALUE"""),990.0)</f>
        <v>990</v>
      </c>
      <c r="D591" s="5">
        <f>IFERROR(__xludf.DUMMYFUNCTION("""COMPUTED_VALUE"""),950.0)</f>
        <v>950</v>
      </c>
      <c r="E591" s="5">
        <f>IFERROR(__xludf.DUMMYFUNCTION("""COMPUTED_VALUE"""),950.0)</f>
        <v>950</v>
      </c>
      <c r="F591" s="5">
        <f>IFERROR(__xludf.DUMMYFUNCTION("""COMPUTED_VALUE"""),3.86533E7)</f>
        <v>38653300</v>
      </c>
      <c r="G591" s="5">
        <f t="shared" si="1"/>
        <v>40</v>
      </c>
    </row>
    <row r="592">
      <c r="A592" s="4">
        <f>IFERROR(__xludf.DUMMYFUNCTION("""COMPUTED_VALUE"""),44722.66666666667)</f>
        <v>44722.66667</v>
      </c>
      <c r="B592" s="5">
        <f>IFERROR(__xludf.DUMMYFUNCTION("""COMPUTED_VALUE"""),945.0)</f>
        <v>945</v>
      </c>
      <c r="C592" s="5">
        <f>IFERROR(__xludf.DUMMYFUNCTION("""COMPUTED_VALUE"""),945.0)</f>
        <v>945</v>
      </c>
      <c r="D592" s="5">
        <f>IFERROR(__xludf.DUMMYFUNCTION("""COMPUTED_VALUE"""),925.0)</f>
        <v>925</v>
      </c>
      <c r="E592" s="5">
        <f>IFERROR(__xludf.DUMMYFUNCTION("""COMPUTED_VALUE"""),935.0)</f>
        <v>935</v>
      </c>
      <c r="F592" s="5">
        <f>IFERROR(__xludf.DUMMYFUNCTION("""COMPUTED_VALUE"""),1.26242E7)</f>
        <v>12624200</v>
      </c>
      <c r="G592" s="5">
        <f t="shared" si="1"/>
        <v>25</v>
      </c>
    </row>
    <row r="593">
      <c r="A593" s="4">
        <f>IFERROR(__xludf.DUMMYFUNCTION("""COMPUTED_VALUE"""),44725.66666666667)</f>
        <v>44725.66667</v>
      </c>
      <c r="B593" s="5">
        <f>IFERROR(__xludf.DUMMYFUNCTION("""COMPUTED_VALUE"""),910.0)</f>
        <v>910</v>
      </c>
      <c r="C593" s="5">
        <f>IFERROR(__xludf.DUMMYFUNCTION("""COMPUTED_VALUE"""),915.0)</f>
        <v>915</v>
      </c>
      <c r="D593" s="5">
        <f>IFERROR(__xludf.DUMMYFUNCTION("""COMPUTED_VALUE"""),890.0)</f>
        <v>890</v>
      </c>
      <c r="E593" s="5">
        <f>IFERROR(__xludf.DUMMYFUNCTION("""COMPUTED_VALUE"""),900.0)</f>
        <v>900</v>
      </c>
      <c r="F593" s="5">
        <f>IFERROR(__xludf.DUMMYFUNCTION("""COMPUTED_VALUE"""),2.75897E7)</f>
        <v>27589700</v>
      </c>
      <c r="G593" s="5">
        <f t="shared" si="1"/>
        <v>45</v>
      </c>
    </row>
    <row r="594">
      <c r="A594" s="4">
        <f>IFERROR(__xludf.DUMMYFUNCTION("""COMPUTED_VALUE"""),44726.66666666667)</f>
        <v>44726.66667</v>
      </c>
      <c r="B594" s="5">
        <f>IFERROR(__xludf.DUMMYFUNCTION("""COMPUTED_VALUE"""),890.0)</f>
        <v>890</v>
      </c>
      <c r="C594" s="5">
        <f>IFERROR(__xludf.DUMMYFUNCTION("""COMPUTED_VALUE"""),910.0)</f>
        <v>910</v>
      </c>
      <c r="D594" s="5">
        <f>IFERROR(__xludf.DUMMYFUNCTION("""COMPUTED_VALUE"""),890.0)</f>
        <v>890</v>
      </c>
      <c r="E594" s="5">
        <f>IFERROR(__xludf.DUMMYFUNCTION("""COMPUTED_VALUE"""),905.0)</f>
        <v>905</v>
      </c>
      <c r="F594" s="5">
        <f>IFERROR(__xludf.DUMMYFUNCTION("""COMPUTED_VALUE"""),1.2151E7)</f>
        <v>12151000</v>
      </c>
      <c r="G594" s="5">
        <f t="shared" si="1"/>
        <v>20</v>
      </c>
    </row>
    <row r="595">
      <c r="A595" s="4">
        <f>IFERROR(__xludf.DUMMYFUNCTION("""COMPUTED_VALUE"""),44727.66666666667)</f>
        <v>44727.66667</v>
      </c>
      <c r="B595" s="5">
        <f>IFERROR(__xludf.DUMMYFUNCTION("""COMPUTED_VALUE"""),905.0)</f>
        <v>905</v>
      </c>
      <c r="C595" s="5">
        <f>IFERROR(__xludf.DUMMYFUNCTION("""COMPUTED_VALUE"""),920.0)</f>
        <v>920</v>
      </c>
      <c r="D595" s="5">
        <f>IFERROR(__xludf.DUMMYFUNCTION("""COMPUTED_VALUE"""),885.0)</f>
        <v>885</v>
      </c>
      <c r="E595" s="5">
        <f>IFERROR(__xludf.DUMMYFUNCTION("""COMPUTED_VALUE"""),905.0)</f>
        <v>905</v>
      </c>
      <c r="F595" s="5">
        <f>IFERROR(__xludf.DUMMYFUNCTION("""COMPUTED_VALUE"""),1.88643E7)</f>
        <v>18864300</v>
      </c>
      <c r="G595" s="5">
        <f t="shared" si="1"/>
        <v>35</v>
      </c>
    </row>
    <row r="596">
      <c r="A596" s="4">
        <f>IFERROR(__xludf.DUMMYFUNCTION("""COMPUTED_VALUE"""),44728.66666666667)</f>
        <v>44728.66667</v>
      </c>
      <c r="B596" s="5">
        <f>IFERROR(__xludf.DUMMYFUNCTION("""COMPUTED_VALUE"""),915.0)</f>
        <v>915</v>
      </c>
      <c r="C596" s="5">
        <f>IFERROR(__xludf.DUMMYFUNCTION("""COMPUTED_VALUE"""),935.0)</f>
        <v>935</v>
      </c>
      <c r="D596" s="5">
        <f>IFERROR(__xludf.DUMMYFUNCTION("""COMPUTED_VALUE"""),905.0)</f>
        <v>905</v>
      </c>
      <c r="E596" s="5">
        <f>IFERROR(__xludf.DUMMYFUNCTION("""COMPUTED_VALUE"""),915.0)</f>
        <v>915</v>
      </c>
      <c r="F596" s="5">
        <f>IFERROR(__xludf.DUMMYFUNCTION("""COMPUTED_VALUE"""),2.48791E7)</f>
        <v>24879100</v>
      </c>
      <c r="G596" s="5">
        <f t="shared" si="1"/>
        <v>30</v>
      </c>
    </row>
    <row r="597">
      <c r="A597" s="4">
        <f>IFERROR(__xludf.DUMMYFUNCTION("""COMPUTED_VALUE"""),44729.66666666667)</f>
        <v>44729.66667</v>
      </c>
      <c r="B597" s="5">
        <f>IFERROR(__xludf.DUMMYFUNCTION("""COMPUTED_VALUE"""),905.0)</f>
        <v>905</v>
      </c>
      <c r="C597" s="5">
        <f>IFERROR(__xludf.DUMMYFUNCTION("""COMPUTED_VALUE"""),920.0)</f>
        <v>920</v>
      </c>
      <c r="D597" s="5">
        <f>IFERROR(__xludf.DUMMYFUNCTION("""COMPUTED_VALUE"""),900.0)</f>
        <v>900</v>
      </c>
      <c r="E597" s="5">
        <f>IFERROR(__xludf.DUMMYFUNCTION("""COMPUTED_VALUE"""),920.0)</f>
        <v>920</v>
      </c>
      <c r="F597" s="5">
        <f>IFERROR(__xludf.DUMMYFUNCTION("""COMPUTED_VALUE"""),9697000.0)</f>
        <v>9697000</v>
      </c>
      <c r="G597" s="5">
        <f t="shared" si="1"/>
        <v>20</v>
      </c>
    </row>
    <row r="598">
      <c r="A598" s="4">
        <f>IFERROR(__xludf.DUMMYFUNCTION("""COMPUTED_VALUE"""),44732.66666666667)</f>
        <v>44732.66667</v>
      </c>
      <c r="B598" s="5">
        <f>IFERROR(__xludf.DUMMYFUNCTION("""COMPUTED_VALUE"""),920.0)</f>
        <v>920</v>
      </c>
      <c r="C598" s="5">
        <f>IFERROR(__xludf.DUMMYFUNCTION("""COMPUTED_VALUE"""),925.0)</f>
        <v>925</v>
      </c>
      <c r="D598" s="5">
        <f>IFERROR(__xludf.DUMMYFUNCTION("""COMPUTED_VALUE"""),895.0)</f>
        <v>895</v>
      </c>
      <c r="E598" s="5">
        <f>IFERROR(__xludf.DUMMYFUNCTION("""COMPUTED_VALUE"""),900.0)</f>
        <v>900</v>
      </c>
      <c r="F598" s="5">
        <f>IFERROR(__xludf.DUMMYFUNCTION("""COMPUTED_VALUE"""),1.416E7)</f>
        <v>14160000</v>
      </c>
      <c r="G598" s="5">
        <f t="shared" si="1"/>
        <v>30</v>
      </c>
    </row>
    <row r="599">
      <c r="A599" s="4">
        <f>IFERROR(__xludf.DUMMYFUNCTION("""COMPUTED_VALUE"""),44733.66666666667)</f>
        <v>44733.66667</v>
      </c>
      <c r="B599" s="5">
        <f>IFERROR(__xludf.DUMMYFUNCTION("""COMPUTED_VALUE"""),905.0)</f>
        <v>905</v>
      </c>
      <c r="C599" s="5">
        <f>IFERROR(__xludf.DUMMYFUNCTION("""COMPUTED_VALUE"""),915.0)</f>
        <v>915</v>
      </c>
      <c r="D599" s="5">
        <f>IFERROR(__xludf.DUMMYFUNCTION("""COMPUTED_VALUE"""),900.0)</f>
        <v>900</v>
      </c>
      <c r="E599" s="5">
        <f>IFERROR(__xludf.DUMMYFUNCTION("""COMPUTED_VALUE"""),905.0)</f>
        <v>905</v>
      </c>
      <c r="F599" s="5">
        <f>IFERROR(__xludf.DUMMYFUNCTION("""COMPUTED_VALUE"""),8686300.0)</f>
        <v>8686300</v>
      </c>
      <c r="G599" s="5">
        <f t="shared" si="1"/>
        <v>15</v>
      </c>
    </row>
    <row r="600">
      <c r="A600" s="4">
        <f>IFERROR(__xludf.DUMMYFUNCTION("""COMPUTED_VALUE"""),44734.66666666667)</f>
        <v>44734.66667</v>
      </c>
      <c r="B600" s="5">
        <f>IFERROR(__xludf.DUMMYFUNCTION("""COMPUTED_VALUE"""),915.0)</f>
        <v>915</v>
      </c>
      <c r="C600" s="5">
        <f>IFERROR(__xludf.DUMMYFUNCTION("""COMPUTED_VALUE"""),920.0)</f>
        <v>920</v>
      </c>
      <c r="D600" s="5">
        <f>IFERROR(__xludf.DUMMYFUNCTION("""COMPUTED_VALUE"""),895.0)</f>
        <v>895</v>
      </c>
      <c r="E600" s="5">
        <f>IFERROR(__xludf.DUMMYFUNCTION("""COMPUTED_VALUE"""),905.0)</f>
        <v>905</v>
      </c>
      <c r="F600" s="5">
        <f>IFERROR(__xludf.DUMMYFUNCTION("""COMPUTED_VALUE"""),7690200.0)</f>
        <v>7690200</v>
      </c>
      <c r="G600" s="5">
        <f t="shared" si="1"/>
        <v>25</v>
      </c>
    </row>
    <row r="601">
      <c r="A601" s="4">
        <f>IFERROR(__xludf.DUMMYFUNCTION("""COMPUTED_VALUE"""),44735.66666666667)</f>
        <v>44735.66667</v>
      </c>
      <c r="B601" s="5">
        <f>IFERROR(__xludf.DUMMYFUNCTION("""COMPUTED_VALUE"""),910.0)</f>
        <v>910</v>
      </c>
      <c r="C601" s="5">
        <f>IFERROR(__xludf.DUMMYFUNCTION("""COMPUTED_VALUE"""),950.0)</f>
        <v>950</v>
      </c>
      <c r="D601" s="5">
        <f>IFERROR(__xludf.DUMMYFUNCTION("""COMPUTED_VALUE"""),895.0)</f>
        <v>895</v>
      </c>
      <c r="E601" s="5">
        <f>IFERROR(__xludf.DUMMYFUNCTION("""COMPUTED_VALUE"""),950.0)</f>
        <v>950</v>
      </c>
      <c r="F601" s="5">
        <f>IFERROR(__xludf.DUMMYFUNCTION("""COMPUTED_VALUE"""),4.208E7)</f>
        <v>42080000</v>
      </c>
      <c r="G601" s="5">
        <f t="shared" si="1"/>
        <v>55</v>
      </c>
    </row>
    <row r="602">
      <c r="A602" s="4">
        <f>IFERROR(__xludf.DUMMYFUNCTION("""COMPUTED_VALUE"""),44736.66666666667)</f>
        <v>44736.66667</v>
      </c>
      <c r="B602" s="5">
        <f>IFERROR(__xludf.DUMMYFUNCTION("""COMPUTED_VALUE"""),950.0)</f>
        <v>950</v>
      </c>
      <c r="C602" s="5">
        <f>IFERROR(__xludf.DUMMYFUNCTION("""COMPUTED_VALUE"""),975.0)</f>
        <v>975</v>
      </c>
      <c r="D602" s="5">
        <f>IFERROR(__xludf.DUMMYFUNCTION("""COMPUTED_VALUE"""),950.0)</f>
        <v>950</v>
      </c>
      <c r="E602" s="5">
        <f>IFERROR(__xludf.DUMMYFUNCTION("""COMPUTED_VALUE"""),960.0)</f>
        <v>960</v>
      </c>
      <c r="F602" s="5">
        <f>IFERROR(__xludf.DUMMYFUNCTION("""COMPUTED_VALUE"""),5.25803E7)</f>
        <v>52580300</v>
      </c>
      <c r="G602" s="5">
        <f t="shared" si="1"/>
        <v>25</v>
      </c>
    </row>
    <row r="603">
      <c r="A603" s="4">
        <f>IFERROR(__xludf.DUMMYFUNCTION("""COMPUTED_VALUE"""),44739.66666666667)</f>
        <v>44739.66667</v>
      </c>
      <c r="B603" s="5">
        <f>IFERROR(__xludf.DUMMYFUNCTION("""COMPUTED_VALUE"""),965.0)</f>
        <v>965</v>
      </c>
      <c r="C603" s="5">
        <f>IFERROR(__xludf.DUMMYFUNCTION("""COMPUTED_VALUE"""),970.0)</f>
        <v>970</v>
      </c>
      <c r="D603" s="5">
        <f>IFERROR(__xludf.DUMMYFUNCTION("""COMPUTED_VALUE"""),940.0)</f>
        <v>940</v>
      </c>
      <c r="E603" s="5">
        <f>IFERROR(__xludf.DUMMYFUNCTION("""COMPUTED_VALUE"""),960.0)</f>
        <v>960</v>
      </c>
      <c r="F603" s="5">
        <f>IFERROR(__xludf.DUMMYFUNCTION("""COMPUTED_VALUE"""),2.2059E7)</f>
        <v>22059000</v>
      </c>
      <c r="G603" s="5">
        <f t="shared" si="1"/>
        <v>30</v>
      </c>
    </row>
    <row r="604">
      <c r="A604" s="4">
        <f>IFERROR(__xludf.DUMMYFUNCTION("""COMPUTED_VALUE"""),44740.66666666667)</f>
        <v>44740.66667</v>
      </c>
      <c r="B604" s="5">
        <f>IFERROR(__xludf.DUMMYFUNCTION("""COMPUTED_VALUE"""),970.0)</f>
        <v>970</v>
      </c>
      <c r="C604" s="5">
        <f>IFERROR(__xludf.DUMMYFUNCTION("""COMPUTED_VALUE"""),995.0)</f>
        <v>995</v>
      </c>
      <c r="D604" s="5">
        <f>IFERROR(__xludf.DUMMYFUNCTION("""COMPUTED_VALUE"""),955.0)</f>
        <v>955</v>
      </c>
      <c r="E604" s="5">
        <f>IFERROR(__xludf.DUMMYFUNCTION("""COMPUTED_VALUE"""),990.0)</f>
        <v>990</v>
      </c>
      <c r="F604" s="5">
        <f>IFERROR(__xludf.DUMMYFUNCTION("""COMPUTED_VALUE"""),3.56366E7)</f>
        <v>35636600</v>
      </c>
      <c r="G604" s="5">
        <f t="shared" si="1"/>
        <v>40</v>
      </c>
    </row>
    <row r="605">
      <c r="A605" s="4">
        <f>IFERROR(__xludf.DUMMYFUNCTION("""COMPUTED_VALUE"""),44741.66666666667)</f>
        <v>44741.66667</v>
      </c>
      <c r="B605" s="5">
        <f>IFERROR(__xludf.DUMMYFUNCTION("""COMPUTED_VALUE"""),985.0)</f>
        <v>985</v>
      </c>
      <c r="C605" s="5">
        <f>IFERROR(__xludf.DUMMYFUNCTION("""COMPUTED_VALUE"""),1000.0)</f>
        <v>1000</v>
      </c>
      <c r="D605" s="5">
        <f>IFERROR(__xludf.DUMMYFUNCTION("""COMPUTED_VALUE"""),960.0)</f>
        <v>960</v>
      </c>
      <c r="E605" s="5">
        <f>IFERROR(__xludf.DUMMYFUNCTION("""COMPUTED_VALUE"""),960.0)</f>
        <v>960</v>
      </c>
      <c r="F605" s="5">
        <f>IFERROR(__xludf.DUMMYFUNCTION("""COMPUTED_VALUE"""),2.01419E7)</f>
        <v>20141900</v>
      </c>
      <c r="G605" s="5">
        <f t="shared" si="1"/>
        <v>40</v>
      </c>
    </row>
    <row r="606">
      <c r="A606" s="4">
        <f>IFERROR(__xludf.DUMMYFUNCTION("""COMPUTED_VALUE"""),44742.66666666667)</f>
        <v>44742.66667</v>
      </c>
      <c r="B606" s="5">
        <f>IFERROR(__xludf.DUMMYFUNCTION("""COMPUTED_VALUE"""),960.0)</f>
        <v>960</v>
      </c>
      <c r="C606" s="5">
        <f>IFERROR(__xludf.DUMMYFUNCTION("""COMPUTED_VALUE"""),970.0)</f>
        <v>970</v>
      </c>
      <c r="D606" s="5">
        <f>IFERROR(__xludf.DUMMYFUNCTION("""COMPUTED_VALUE"""),940.0)</f>
        <v>940</v>
      </c>
      <c r="E606" s="5">
        <f>IFERROR(__xludf.DUMMYFUNCTION("""COMPUTED_VALUE"""),945.0)</f>
        <v>945</v>
      </c>
      <c r="F606" s="5">
        <f>IFERROR(__xludf.DUMMYFUNCTION("""COMPUTED_VALUE"""),1.73256E7)</f>
        <v>17325600</v>
      </c>
      <c r="G606" s="5">
        <f t="shared" si="1"/>
        <v>30</v>
      </c>
    </row>
    <row r="607">
      <c r="A607" s="4">
        <f>IFERROR(__xludf.DUMMYFUNCTION("""COMPUTED_VALUE"""),44743.66666666667)</f>
        <v>44743.66667</v>
      </c>
      <c r="B607" s="5">
        <f>IFERROR(__xludf.DUMMYFUNCTION("""COMPUTED_VALUE"""),945.0)</f>
        <v>945</v>
      </c>
      <c r="C607" s="5">
        <f>IFERROR(__xludf.DUMMYFUNCTION("""COMPUTED_VALUE"""),955.0)</f>
        <v>955</v>
      </c>
      <c r="D607" s="5">
        <f>IFERROR(__xludf.DUMMYFUNCTION("""COMPUTED_VALUE"""),920.0)</f>
        <v>920</v>
      </c>
      <c r="E607" s="5">
        <f>IFERROR(__xludf.DUMMYFUNCTION("""COMPUTED_VALUE"""),930.0)</f>
        <v>930</v>
      </c>
      <c r="F607" s="5">
        <f>IFERROR(__xludf.DUMMYFUNCTION("""COMPUTED_VALUE"""),1.65948E7)</f>
        <v>16594800</v>
      </c>
      <c r="G607" s="5">
        <f t="shared" si="1"/>
        <v>35</v>
      </c>
    </row>
    <row r="608">
      <c r="A608" s="4">
        <f>IFERROR(__xludf.DUMMYFUNCTION("""COMPUTED_VALUE"""),44746.66666666667)</f>
        <v>44746.66667</v>
      </c>
      <c r="B608" s="5">
        <f>IFERROR(__xludf.DUMMYFUNCTION("""COMPUTED_VALUE"""),940.0)</f>
        <v>940</v>
      </c>
      <c r="C608" s="5">
        <f>IFERROR(__xludf.DUMMYFUNCTION("""COMPUTED_VALUE"""),945.0)</f>
        <v>945</v>
      </c>
      <c r="D608" s="5">
        <f>IFERROR(__xludf.DUMMYFUNCTION("""COMPUTED_VALUE"""),885.0)</f>
        <v>885</v>
      </c>
      <c r="E608" s="5">
        <f>IFERROR(__xludf.DUMMYFUNCTION("""COMPUTED_VALUE"""),905.0)</f>
        <v>905</v>
      </c>
      <c r="F608" s="5">
        <f>IFERROR(__xludf.DUMMYFUNCTION("""COMPUTED_VALUE"""),2.03247E7)</f>
        <v>20324700</v>
      </c>
      <c r="G608" s="5">
        <f t="shared" si="1"/>
        <v>60</v>
      </c>
    </row>
    <row r="609">
      <c r="A609" s="4">
        <f>IFERROR(__xludf.DUMMYFUNCTION("""COMPUTED_VALUE"""),44747.66666666667)</f>
        <v>44747.66667</v>
      </c>
      <c r="B609" s="5">
        <f>IFERROR(__xludf.DUMMYFUNCTION("""COMPUTED_VALUE"""),910.0)</f>
        <v>910</v>
      </c>
      <c r="C609" s="5">
        <f>IFERROR(__xludf.DUMMYFUNCTION("""COMPUTED_VALUE"""),925.0)</f>
        <v>925</v>
      </c>
      <c r="D609" s="5">
        <f>IFERROR(__xludf.DUMMYFUNCTION("""COMPUTED_VALUE"""),910.0)</f>
        <v>910</v>
      </c>
      <c r="E609" s="5">
        <f>IFERROR(__xludf.DUMMYFUNCTION("""COMPUTED_VALUE"""),910.0)</f>
        <v>910</v>
      </c>
      <c r="F609" s="5">
        <f>IFERROR(__xludf.DUMMYFUNCTION("""COMPUTED_VALUE"""),6214300.0)</f>
        <v>6214300</v>
      </c>
      <c r="G609" s="5">
        <f t="shared" si="1"/>
        <v>20</v>
      </c>
    </row>
    <row r="610">
      <c r="A610" s="4">
        <f>IFERROR(__xludf.DUMMYFUNCTION("""COMPUTED_VALUE"""),44748.66666666667)</f>
        <v>44748.66667</v>
      </c>
      <c r="B610" s="5">
        <f>IFERROR(__xludf.DUMMYFUNCTION("""COMPUTED_VALUE"""),910.0)</f>
        <v>910</v>
      </c>
      <c r="C610" s="5">
        <f>IFERROR(__xludf.DUMMYFUNCTION("""COMPUTED_VALUE"""),910.0)</f>
        <v>910</v>
      </c>
      <c r="D610" s="5">
        <f>IFERROR(__xludf.DUMMYFUNCTION("""COMPUTED_VALUE"""),890.0)</f>
        <v>890</v>
      </c>
      <c r="E610" s="5">
        <f>IFERROR(__xludf.DUMMYFUNCTION("""COMPUTED_VALUE"""),895.0)</f>
        <v>895</v>
      </c>
      <c r="F610" s="5">
        <f>IFERROR(__xludf.DUMMYFUNCTION("""COMPUTED_VALUE"""),1.68632E7)</f>
        <v>16863200</v>
      </c>
      <c r="G610" s="5">
        <f t="shared" si="1"/>
        <v>20</v>
      </c>
    </row>
    <row r="611">
      <c r="A611" s="4">
        <f>IFERROR(__xludf.DUMMYFUNCTION("""COMPUTED_VALUE"""),44749.66666666667)</f>
        <v>44749.66667</v>
      </c>
      <c r="B611" s="5">
        <f>IFERROR(__xludf.DUMMYFUNCTION("""COMPUTED_VALUE"""),895.0)</f>
        <v>895</v>
      </c>
      <c r="C611" s="5">
        <f>IFERROR(__xludf.DUMMYFUNCTION("""COMPUTED_VALUE"""),915.0)</f>
        <v>915</v>
      </c>
      <c r="D611" s="5">
        <f>IFERROR(__xludf.DUMMYFUNCTION("""COMPUTED_VALUE"""),890.0)</f>
        <v>890</v>
      </c>
      <c r="E611" s="5">
        <f>IFERROR(__xludf.DUMMYFUNCTION("""COMPUTED_VALUE"""),900.0)</f>
        <v>900</v>
      </c>
      <c r="F611" s="5">
        <f>IFERROR(__xludf.DUMMYFUNCTION("""COMPUTED_VALUE"""),1.5188E7)</f>
        <v>15188000</v>
      </c>
      <c r="G611" s="5">
        <f t="shared" si="1"/>
        <v>25</v>
      </c>
    </row>
    <row r="612">
      <c r="A612" s="4">
        <f>IFERROR(__xludf.DUMMYFUNCTION("""COMPUTED_VALUE"""),44750.66666666667)</f>
        <v>44750.66667</v>
      </c>
      <c r="B612" s="5">
        <f>IFERROR(__xludf.DUMMYFUNCTION("""COMPUTED_VALUE"""),910.0)</f>
        <v>910</v>
      </c>
      <c r="C612" s="5">
        <f>IFERROR(__xludf.DUMMYFUNCTION("""COMPUTED_VALUE"""),915.0)</f>
        <v>915</v>
      </c>
      <c r="D612" s="5">
        <f>IFERROR(__xludf.DUMMYFUNCTION("""COMPUTED_VALUE"""),895.0)</f>
        <v>895</v>
      </c>
      <c r="E612" s="5">
        <f>IFERROR(__xludf.DUMMYFUNCTION("""COMPUTED_VALUE"""),900.0)</f>
        <v>900</v>
      </c>
      <c r="F612" s="5">
        <f>IFERROR(__xludf.DUMMYFUNCTION("""COMPUTED_VALUE"""),1.02685E7)</f>
        <v>10268500</v>
      </c>
      <c r="G612" s="5">
        <f t="shared" si="1"/>
        <v>20</v>
      </c>
    </row>
    <row r="613">
      <c r="A613" s="4">
        <f>IFERROR(__xludf.DUMMYFUNCTION("""COMPUTED_VALUE"""),44753.66666666667)</f>
        <v>44753.66667</v>
      </c>
      <c r="B613" s="5">
        <f>IFERROR(__xludf.DUMMYFUNCTION("""COMPUTED_VALUE"""),875.0)</f>
        <v>875</v>
      </c>
      <c r="C613" s="5">
        <f>IFERROR(__xludf.DUMMYFUNCTION("""COMPUTED_VALUE"""),900.0)</f>
        <v>900</v>
      </c>
      <c r="D613" s="5">
        <f>IFERROR(__xludf.DUMMYFUNCTION("""COMPUTED_VALUE"""),875.0)</f>
        <v>875</v>
      </c>
      <c r="E613" s="5">
        <f>IFERROR(__xludf.DUMMYFUNCTION("""COMPUTED_VALUE"""),890.0)</f>
        <v>890</v>
      </c>
      <c r="F613" s="5">
        <f>IFERROR(__xludf.DUMMYFUNCTION("""COMPUTED_VALUE"""),1.42808E7)</f>
        <v>14280800</v>
      </c>
      <c r="G613" s="5">
        <f t="shared" si="1"/>
        <v>25</v>
      </c>
    </row>
    <row r="614">
      <c r="A614" s="4">
        <f>IFERROR(__xludf.DUMMYFUNCTION("""COMPUTED_VALUE"""),44754.66666666667)</f>
        <v>44754.66667</v>
      </c>
      <c r="B614" s="5">
        <f>IFERROR(__xludf.DUMMYFUNCTION("""COMPUTED_VALUE"""),890.0)</f>
        <v>890</v>
      </c>
      <c r="C614" s="5">
        <f>IFERROR(__xludf.DUMMYFUNCTION("""COMPUTED_VALUE"""),895.0)</f>
        <v>895</v>
      </c>
      <c r="D614" s="5">
        <f>IFERROR(__xludf.DUMMYFUNCTION("""COMPUTED_VALUE"""),885.0)</f>
        <v>885</v>
      </c>
      <c r="E614" s="5">
        <f>IFERROR(__xludf.DUMMYFUNCTION("""COMPUTED_VALUE"""),890.0)</f>
        <v>890</v>
      </c>
      <c r="F614" s="5">
        <f>IFERROR(__xludf.DUMMYFUNCTION("""COMPUTED_VALUE"""),1.25897E7)</f>
        <v>12589700</v>
      </c>
      <c r="G614" s="5">
        <f t="shared" si="1"/>
        <v>10</v>
      </c>
    </row>
    <row r="615">
      <c r="A615" s="4">
        <f>IFERROR(__xludf.DUMMYFUNCTION("""COMPUTED_VALUE"""),44755.66666666667)</f>
        <v>44755.66667</v>
      </c>
      <c r="B615" s="5">
        <f>IFERROR(__xludf.DUMMYFUNCTION("""COMPUTED_VALUE"""),895.0)</f>
        <v>895</v>
      </c>
      <c r="C615" s="5">
        <f>IFERROR(__xludf.DUMMYFUNCTION("""COMPUTED_VALUE"""),900.0)</f>
        <v>900</v>
      </c>
      <c r="D615" s="5">
        <f>IFERROR(__xludf.DUMMYFUNCTION("""COMPUTED_VALUE"""),880.0)</f>
        <v>880</v>
      </c>
      <c r="E615" s="5">
        <f>IFERROR(__xludf.DUMMYFUNCTION("""COMPUTED_VALUE"""),890.0)</f>
        <v>890</v>
      </c>
      <c r="F615" s="5">
        <f>IFERROR(__xludf.DUMMYFUNCTION("""COMPUTED_VALUE"""),9194400.0)</f>
        <v>9194400</v>
      </c>
      <c r="G615" s="5">
        <f t="shared" si="1"/>
        <v>20</v>
      </c>
    </row>
    <row r="616">
      <c r="A616" s="4">
        <f>IFERROR(__xludf.DUMMYFUNCTION("""COMPUTED_VALUE"""),44756.66666666667)</f>
        <v>44756.66667</v>
      </c>
      <c r="B616" s="5">
        <f>IFERROR(__xludf.DUMMYFUNCTION("""COMPUTED_VALUE"""),890.0)</f>
        <v>890</v>
      </c>
      <c r="C616" s="5">
        <f>IFERROR(__xludf.DUMMYFUNCTION("""COMPUTED_VALUE"""),895.0)</f>
        <v>895</v>
      </c>
      <c r="D616" s="5">
        <f>IFERROR(__xludf.DUMMYFUNCTION("""COMPUTED_VALUE"""),880.0)</f>
        <v>880</v>
      </c>
      <c r="E616" s="5">
        <f>IFERROR(__xludf.DUMMYFUNCTION("""COMPUTED_VALUE"""),895.0)</f>
        <v>895</v>
      </c>
      <c r="F616" s="5">
        <f>IFERROR(__xludf.DUMMYFUNCTION("""COMPUTED_VALUE"""),7113400.0)</f>
        <v>7113400</v>
      </c>
      <c r="G616" s="5">
        <f t="shared" si="1"/>
        <v>15</v>
      </c>
    </row>
    <row r="617">
      <c r="A617" s="4">
        <f>IFERROR(__xludf.DUMMYFUNCTION("""COMPUTED_VALUE"""),44757.66666666667)</f>
        <v>44757.66667</v>
      </c>
      <c r="B617" s="5">
        <f>IFERROR(__xludf.DUMMYFUNCTION("""COMPUTED_VALUE"""),895.0)</f>
        <v>895</v>
      </c>
      <c r="C617" s="5">
        <f>IFERROR(__xludf.DUMMYFUNCTION("""COMPUTED_VALUE"""),900.0)</f>
        <v>900</v>
      </c>
      <c r="D617" s="5">
        <f>IFERROR(__xludf.DUMMYFUNCTION("""COMPUTED_VALUE"""),880.0)</f>
        <v>880</v>
      </c>
      <c r="E617" s="5">
        <f>IFERROR(__xludf.DUMMYFUNCTION("""COMPUTED_VALUE"""),890.0)</f>
        <v>890</v>
      </c>
      <c r="F617" s="5">
        <f>IFERROR(__xludf.DUMMYFUNCTION("""COMPUTED_VALUE"""),8592700.0)</f>
        <v>8592700</v>
      </c>
      <c r="G617" s="5">
        <f t="shared" si="1"/>
        <v>20</v>
      </c>
    </row>
    <row r="618">
      <c r="A618" s="4">
        <f>IFERROR(__xludf.DUMMYFUNCTION("""COMPUTED_VALUE"""),44760.66666666667)</f>
        <v>44760.66667</v>
      </c>
      <c r="B618" s="5">
        <f>IFERROR(__xludf.DUMMYFUNCTION("""COMPUTED_VALUE"""),895.0)</f>
        <v>895</v>
      </c>
      <c r="C618" s="5">
        <f>IFERROR(__xludf.DUMMYFUNCTION("""COMPUTED_VALUE"""),900.0)</f>
        <v>900</v>
      </c>
      <c r="D618" s="5">
        <f>IFERROR(__xludf.DUMMYFUNCTION("""COMPUTED_VALUE"""),880.0)</f>
        <v>880</v>
      </c>
      <c r="E618" s="5">
        <f>IFERROR(__xludf.DUMMYFUNCTION("""COMPUTED_VALUE"""),885.0)</f>
        <v>885</v>
      </c>
      <c r="F618" s="5">
        <f>IFERROR(__xludf.DUMMYFUNCTION("""COMPUTED_VALUE"""),6243400.0)</f>
        <v>6243400</v>
      </c>
      <c r="G618" s="5">
        <f t="shared" si="1"/>
        <v>20</v>
      </c>
    </row>
    <row r="619">
      <c r="A619" s="4">
        <f>IFERROR(__xludf.DUMMYFUNCTION("""COMPUTED_VALUE"""),44761.66666666667)</f>
        <v>44761.66667</v>
      </c>
      <c r="B619" s="5">
        <f>IFERROR(__xludf.DUMMYFUNCTION("""COMPUTED_VALUE"""),885.0)</f>
        <v>885</v>
      </c>
      <c r="C619" s="5">
        <f>IFERROR(__xludf.DUMMYFUNCTION("""COMPUTED_VALUE"""),895.0)</f>
        <v>895</v>
      </c>
      <c r="D619" s="5">
        <f>IFERROR(__xludf.DUMMYFUNCTION("""COMPUTED_VALUE"""),880.0)</f>
        <v>880</v>
      </c>
      <c r="E619" s="5">
        <f>IFERROR(__xludf.DUMMYFUNCTION("""COMPUTED_VALUE"""),890.0)</f>
        <v>890</v>
      </c>
      <c r="F619" s="5">
        <f>IFERROR(__xludf.DUMMYFUNCTION("""COMPUTED_VALUE"""),1.59355E7)</f>
        <v>15935500</v>
      </c>
      <c r="G619" s="5">
        <f t="shared" si="1"/>
        <v>15</v>
      </c>
    </row>
    <row r="620">
      <c r="A620" s="4">
        <f>IFERROR(__xludf.DUMMYFUNCTION("""COMPUTED_VALUE"""),44762.66666666667)</f>
        <v>44762.66667</v>
      </c>
      <c r="B620" s="5">
        <f>IFERROR(__xludf.DUMMYFUNCTION("""COMPUTED_VALUE"""),910.0)</f>
        <v>910</v>
      </c>
      <c r="C620" s="5">
        <f>IFERROR(__xludf.DUMMYFUNCTION("""COMPUTED_VALUE"""),910.0)</f>
        <v>910</v>
      </c>
      <c r="D620" s="5">
        <f>IFERROR(__xludf.DUMMYFUNCTION("""COMPUTED_VALUE"""),895.0)</f>
        <v>895</v>
      </c>
      <c r="E620" s="5">
        <f>IFERROR(__xludf.DUMMYFUNCTION("""COMPUTED_VALUE"""),895.0)</f>
        <v>895</v>
      </c>
      <c r="F620" s="5">
        <f>IFERROR(__xludf.DUMMYFUNCTION("""COMPUTED_VALUE"""),2.26483E7)</f>
        <v>22648300</v>
      </c>
      <c r="G620" s="5">
        <f t="shared" si="1"/>
        <v>20</v>
      </c>
    </row>
    <row r="621">
      <c r="A621" s="4">
        <f>IFERROR(__xludf.DUMMYFUNCTION("""COMPUTED_VALUE"""),44763.66666666667)</f>
        <v>44763.66667</v>
      </c>
      <c r="B621" s="5">
        <f>IFERROR(__xludf.DUMMYFUNCTION("""COMPUTED_VALUE"""),900.0)</f>
        <v>900</v>
      </c>
      <c r="C621" s="5">
        <f>IFERROR(__xludf.DUMMYFUNCTION("""COMPUTED_VALUE"""),900.0)</f>
        <v>900</v>
      </c>
      <c r="D621" s="5">
        <f>IFERROR(__xludf.DUMMYFUNCTION("""COMPUTED_VALUE"""),885.0)</f>
        <v>885</v>
      </c>
      <c r="E621" s="5">
        <f>IFERROR(__xludf.DUMMYFUNCTION("""COMPUTED_VALUE"""),900.0)</f>
        <v>900</v>
      </c>
      <c r="F621" s="5">
        <f>IFERROR(__xludf.DUMMYFUNCTION("""COMPUTED_VALUE"""),1.08535E7)</f>
        <v>10853500</v>
      </c>
      <c r="G621" s="5">
        <f t="shared" si="1"/>
        <v>15</v>
      </c>
    </row>
    <row r="622">
      <c r="A622" s="4">
        <f>IFERROR(__xludf.DUMMYFUNCTION("""COMPUTED_VALUE"""),44764.66666666667)</f>
        <v>44764.66667</v>
      </c>
      <c r="B622" s="5">
        <f>IFERROR(__xludf.DUMMYFUNCTION("""COMPUTED_VALUE"""),900.0)</f>
        <v>900</v>
      </c>
      <c r="C622" s="5">
        <f>IFERROR(__xludf.DUMMYFUNCTION("""COMPUTED_VALUE"""),910.0)</f>
        <v>910</v>
      </c>
      <c r="D622" s="5">
        <f>IFERROR(__xludf.DUMMYFUNCTION("""COMPUTED_VALUE"""),885.0)</f>
        <v>885</v>
      </c>
      <c r="E622" s="5">
        <f>IFERROR(__xludf.DUMMYFUNCTION("""COMPUTED_VALUE"""),895.0)</f>
        <v>895</v>
      </c>
      <c r="F622" s="5">
        <f>IFERROR(__xludf.DUMMYFUNCTION("""COMPUTED_VALUE"""),1.95886E7)</f>
        <v>19588600</v>
      </c>
      <c r="G622" s="5">
        <f t="shared" si="1"/>
        <v>25</v>
      </c>
    </row>
    <row r="623">
      <c r="A623" s="4">
        <f>IFERROR(__xludf.DUMMYFUNCTION("""COMPUTED_VALUE"""),44767.66666666667)</f>
        <v>44767.66667</v>
      </c>
      <c r="B623" s="5">
        <f>IFERROR(__xludf.DUMMYFUNCTION("""COMPUTED_VALUE"""),900.0)</f>
        <v>900</v>
      </c>
      <c r="C623" s="5">
        <f>IFERROR(__xludf.DUMMYFUNCTION("""COMPUTED_VALUE"""),930.0)</f>
        <v>930</v>
      </c>
      <c r="D623" s="5">
        <f>IFERROR(__xludf.DUMMYFUNCTION("""COMPUTED_VALUE"""),890.0)</f>
        <v>890</v>
      </c>
      <c r="E623" s="5">
        <f>IFERROR(__xludf.DUMMYFUNCTION("""COMPUTED_VALUE"""),930.0)</f>
        <v>930</v>
      </c>
      <c r="F623" s="5">
        <f>IFERROR(__xludf.DUMMYFUNCTION("""COMPUTED_VALUE"""),3.65996E7)</f>
        <v>36599600</v>
      </c>
      <c r="G623" s="5">
        <f t="shared" si="1"/>
        <v>40</v>
      </c>
    </row>
    <row r="624">
      <c r="A624" s="4">
        <f>IFERROR(__xludf.DUMMYFUNCTION("""COMPUTED_VALUE"""),44768.66666666667)</f>
        <v>44768.66667</v>
      </c>
      <c r="B624" s="5">
        <f>IFERROR(__xludf.DUMMYFUNCTION("""COMPUTED_VALUE"""),935.0)</f>
        <v>935</v>
      </c>
      <c r="C624" s="5">
        <f>IFERROR(__xludf.DUMMYFUNCTION("""COMPUTED_VALUE"""),940.0)</f>
        <v>940</v>
      </c>
      <c r="D624" s="5">
        <f>IFERROR(__xludf.DUMMYFUNCTION("""COMPUTED_VALUE"""),910.0)</f>
        <v>910</v>
      </c>
      <c r="E624" s="5">
        <f>IFERROR(__xludf.DUMMYFUNCTION("""COMPUTED_VALUE"""),915.0)</f>
        <v>915</v>
      </c>
      <c r="F624" s="5">
        <f>IFERROR(__xludf.DUMMYFUNCTION("""COMPUTED_VALUE"""),1.99835E7)</f>
        <v>19983500</v>
      </c>
      <c r="G624" s="5">
        <f t="shared" si="1"/>
        <v>30</v>
      </c>
    </row>
    <row r="625">
      <c r="A625" s="4">
        <f>IFERROR(__xludf.DUMMYFUNCTION("""COMPUTED_VALUE"""),44769.66666666667)</f>
        <v>44769.66667</v>
      </c>
      <c r="B625" s="5">
        <f>IFERROR(__xludf.DUMMYFUNCTION("""COMPUTED_VALUE"""),910.0)</f>
        <v>910</v>
      </c>
      <c r="C625" s="5">
        <f>IFERROR(__xludf.DUMMYFUNCTION("""COMPUTED_VALUE"""),920.0)</f>
        <v>920</v>
      </c>
      <c r="D625" s="5">
        <f>IFERROR(__xludf.DUMMYFUNCTION("""COMPUTED_VALUE"""),900.0)</f>
        <v>900</v>
      </c>
      <c r="E625" s="5">
        <f>IFERROR(__xludf.DUMMYFUNCTION("""COMPUTED_VALUE"""),900.0)</f>
        <v>900</v>
      </c>
      <c r="F625" s="5">
        <f>IFERROR(__xludf.DUMMYFUNCTION("""COMPUTED_VALUE"""),1.41319E7)</f>
        <v>14131900</v>
      </c>
      <c r="G625" s="5">
        <f t="shared" si="1"/>
        <v>20</v>
      </c>
    </row>
    <row r="626">
      <c r="A626" s="4">
        <f>IFERROR(__xludf.DUMMYFUNCTION("""COMPUTED_VALUE"""),44770.66666666667)</f>
        <v>44770.66667</v>
      </c>
      <c r="B626" s="5">
        <f>IFERROR(__xludf.DUMMYFUNCTION("""COMPUTED_VALUE"""),910.0)</f>
        <v>910</v>
      </c>
      <c r="C626" s="5">
        <f>IFERROR(__xludf.DUMMYFUNCTION("""COMPUTED_VALUE"""),920.0)</f>
        <v>920</v>
      </c>
      <c r="D626" s="5">
        <f>IFERROR(__xludf.DUMMYFUNCTION("""COMPUTED_VALUE"""),900.0)</f>
        <v>900</v>
      </c>
      <c r="E626" s="5">
        <f>IFERROR(__xludf.DUMMYFUNCTION("""COMPUTED_VALUE"""),910.0)</f>
        <v>910</v>
      </c>
      <c r="F626" s="5">
        <f>IFERROR(__xludf.DUMMYFUNCTION("""COMPUTED_VALUE"""),1.55998E7)</f>
        <v>15599800</v>
      </c>
      <c r="G626" s="5">
        <f t="shared" si="1"/>
        <v>20</v>
      </c>
    </row>
    <row r="627">
      <c r="A627" s="4">
        <f>IFERROR(__xludf.DUMMYFUNCTION("""COMPUTED_VALUE"""),44771.66666666667)</f>
        <v>44771.66667</v>
      </c>
      <c r="B627" s="5">
        <f>IFERROR(__xludf.DUMMYFUNCTION("""COMPUTED_VALUE"""),915.0)</f>
        <v>915</v>
      </c>
      <c r="C627" s="5">
        <f>IFERROR(__xludf.DUMMYFUNCTION("""COMPUTED_VALUE"""),925.0)</f>
        <v>925</v>
      </c>
      <c r="D627" s="5">
        <f>IFERROR(__xludf.DUMMYFUNCTION("""COMPUTED_VALUE"""),905.0)</f>
        <v>905</v>
      </c>
      <c r="E627" s="5">
        <f>IFERROR(__xludf.DUMMYFUNCTION("""COMPUTED_VALUE"""),910.0)</f>
        <v>910</v>
      </c>
      <c r="F627" s="5">
        <f>IFERROR(__xludf.DUMMYFUNCTION("""COMPUTED_VALUE"""),1.64619E7)</f>
        <v>16461900</v>
      </c>
      <c r="G627" s="5">
        <f t="shared" si="1"/>
        <v>20</v>
      </c>
    </row>
    <row r="628">
      <c r="A628" s="4">
        <f>IFERROR(__xludf.DUMMYFUNCTION("""COMPUTED_VALUE"""),44774.66666666667)</f>
        <v>44774.66667</v>
      </c>
      <c r="B628" s="5">
        <f>IFERROR(__xludf.DUMMYFUNCTION("""COMPUTED_VALUE"""),910.0)</f>
        <v>910</v>
      </c>
      <c r="C628" s="5">
        <f>IFERROR(__xludf.DUMMYFUNCTION("""COMPUTED_VALUE"""),935.0)</f>
        <v>935</v>
      </c>
      <c r="D628" s="5">
        <f>IFERROR(__xludf.DUMMYFUNCTION("""COMPUTED_VALUE"""),905.0)</f>
        <v>905</v>
      </c>
      <c r="E628" s="5">
        <f>IFERROR(__xludf.DUMMYFUNCTION("""COMPUTED_VALUE"""),910.0)</f>
        <v>910</v>
      </c>
      <c r="F628" s="5">
        <f>IFERROR(__xludf.DUMMYFUNCTION("""COMPUTED_VALUE"""),1.65913E7)</f>
        <v>16591300</v>
      </c>
      <c r="G628" s="5">
        <f t="shared" si="1"/>
        <v>30</v>
      </c>
    </row>
    <row r="629">
      <c r="A629" s="4">
        <f>IFERROR(__xludf.DUMMYFUNCTION("""COMPUTED_VALUE"""),44775.66666666667)</f>
        <v>44775.66667</v>
      </c>
      <c r="B629" s="5">
        <f>IFERROR(__xludf.DUMMYFUNCTION("""COMPUTED_VALUE"""),915.0)</f>
        <v>915</v>
      </c>
      <c r="C629" s="5">
        <f>IFERROR(__xludf.DUMMYFUNCTION("""COMPUTED_VALUE"""),915.0)</f>
        <v>915</v>
      </c>
      <c r="D629" s="5">
        <f>IFERROR(__xludf.DUMMYFUNCTION("""COMPUTED_VALUE"""),900.0)</f>
        <v>900</v>
      </c>
      <c r="E629" s="5">
        <f>IFERROR(__xludf.DUMMYFUNCTION("""COMPUTED_VALUE"""),905.0)</f>
        <v>905</v>
      </c>
      <c r="F629" s="5">
        <f>IFERROR(__xludf.DUMMYFUNCTION("""COMPUTED_VALUE"""),1.0915E7)</f>
        <v>10915000</v>
      </c>
      <c r="G629" s="5">
        <f t="shared" si="1"/>
        <v>15</v>
      </c>
    </row>
    <row r="630">
      <c r="A630" s="4">
        <f>IFERROR(__xludf.DUMMYFUNCTION("""COMPUTED_VALUE"""),44776.66666666667)</f>
        <v>44776.66667</v>
      </c>
      <c r="B630" s="5">
        <f>IFERROR(__xludf.DUMMYFUNCTION("""COMPUTED_VALUE"""),905.0)</f>
        <v>905</v>
      </c>
      <c r="C630" s="5">
        <f>IFERROR(__xludf.DUMMYFUNCTION("""COMPUTED_VALUE"""),920.0)</f>
        <v>920</v>
      </c>
      <c r="D630" s="5">
        <f>IFERROR(__xludf.DUMMYFUNCTION("""COMPUTED_VALUE"""),905.0)</f>
        <v>905</v>
      </c>
      <c r="E630" s="5">
        <f>IFERROR(__xludf.DUMMYFUNCTION("""COMPUTED_VALUE"""),905.0)</f>
        <v>905</v>
      </c>
      <c r="F630" s="5">
        <f>IFERROR(__xludf.DUMMYFUNCTION("""COMPUTED_VALUE"""),3817700.0)</f>
        <v>3817700</v>
      </c>
      <c r="G630" s="5">
        <f t="shared" si="1"/>
        <v>15</v>
      </c>
    </row>
    <row r="631">
      <c r="A631" s="4">
        <f>IFERROR(__xludf.DUMMYFUNCTION("""COMPUTED_VALUE"""),44777.66666666667)</f>
        <v>44777.66667</v>
      </c>
      <c r="B631" s="5">
        <f>IFERROR(__xludf.DUMMYFUNCTION("""COMPUTED_VALUE"""),905.0)</f>
        <v>905</v>
      </c>
      <c r="C631" s="5">
        <f>IFERROR(__xludf.DUMMYFUNCTION("""COMPUTED_VALUE"""),935.0)</f>
        <v>935</v>
      </c>
      <c r="D631" s="5">
        <f>IFERROR(__xludf.DUMMYFUNCTION("""COMPUTED_VALUE"""),905.0)</f>
        <v>905</v>
      </c>
      <c r="E631" s="5">
        <f>IFERROR(__xludf.DUMMYFUNCTION("""COMPUTED_VALUE"""),925.0)</f>
        <v>925</v>
      </c>
      <c r="F631" s="5">
        <f>IFERROR(__xludf.DUMMYFUNCTION("""COMPUTED_VALUE"""),1.61347E7)</f>
        <v>16134700</v>
      </c>
      <c r="G631" s="5">
        <f t="shared" si="1"/>
        <v>30</v>
      </c>
    </row>
    <row r="632">
      <c r="A632" s="4">
        <f>IFERROR(__xludf.DUMMYFUNCTION("""COMPUTED_VALUE"""),44778.66666666667)</f>
        <v>44778.66667</v>
      </c>
      <c r="B632" s="5">
        <f>IFERROR(__xludf.DUMMYFUNCTION("""COMPUTED_VALUE"""),930.0)</f>
        <v>930</v>
      </c>
      <c r="C632" s="5">
        <f>IFERROR(__xludf.DUMMYFUNCTION("""COMPUTED_VALUE"""),975.0)</f>
        <v>975</v>
      </c>
      <c r="D632" s="5">
        <f>IFERROR(__xludf.DUMMYFUNCTION("""COMPUTED_VALUE"""),920.0)</f>
        <v>920</v>
      </c>
      <c r="E632" s="5">
        <f>IFERROR(__xludf.DUMMYFUNCTION("""COMPUTED_VALUE"""),955.0)</f>
        <v>955</v>
      </c>
      <c r="F632" s="5">
        <f>IFERROR(__xludf.DUMMYFUNCTION("""COMPUTED_VALUE"""),5.32007E7)</f>
        <v>53200700</v>
      </c>
      <c r="G632" s="5">
        <f t="shared" si="1"/>
        <v>55</v>
      </c>
    </row>
    <row r="633">
      <c r="A633" s="4">
        <f>IFERROR(__xludf.DUMMYFUNCTION("""COMPUTED_VALUE"""),44781.66666666667)</f>
        <v>44781.66667</v>
      </c>
      <c r="B633" s="5">
        <f>IFERROR(__xludf.DUMMYFUNCTION("""COMPUTED_VALUE"""),955.0)</f>
        <v>955</v>
      </c>
      <c r="C633" s="5">
        <f>IFERROR(__xludf.DUMMYFUNCTION("""COMPUTED_VALUE"""),985.0)</f>
        <v>985</v>
      </c>
      <c r="D633" s="5">
        <f>IFERROR(__xludf.DUMMYFUNCTION("""COMPUTED_VALUE"""),950.0)</f>
        <v>950</v>
      </c>
      <c r="E633" s="5">
        <f>IFERROR(__xludf.DUMMYFUNCTION("""COMPUTED_VALUE"""),960.0)</f>
        <v>960</v>
      </c>
      <c r="F633" s="5">
        <f>IFERROR(__xludf.DUMMYFUNCTION("""COMPUTED_VALUE"""),4.14707E7)</f>
        <v>41470700</v>
      </c>
      <c r="G633" s="5">
        <f t="shared" si="1"/>
        <v>35</v>
      </c>
    </row>
    <row r="634">
      <c r="A634" s="4">
        <f>IFERROR(__xludf.DUMMYFUNCTION("""COMPUTED_VALUE"""),44782.66666666667)</f>
        <v>44782.66667</v>
      </c>
      <c r="B634" s="5">
        <f>IFERROR(__xludf.DUMMYFUNCTION("""COMPUTED_VALUE"""),960.0)</f>
        <v>960</v>
      </c>
      <c r="C634" s="5">
        <f>IFERROR(__xludf.DUMMYFUNCTION("""COMPUTED_VALUE"""),975.0)</f>
        <v>975</v>
      </c>
      <c r="D634" s="5">
        <f>IFERROR(__xludf.DUMMYFUNCTION("""COMPUTED_VALUE"""),950.0)</f>
        <v>950</v>
      </c>
      <c r="E634" s="5">
        <f>IFERROR(__xludf.DUMMYFUNCTION("""COMPUTED_VALUE"""),960.0)</f>
        <v>960</v>
      </c>
      <c r="F634" s="5">
        <f>IFERROR(__xludf.DUMMYFUNCTION("""COMPUTED_VALUE"""),1.05555E7)</f>
        <v>10555500</v>
      </c>
      <c r="G634" s="5">
        <f t="shared" si="1"/>
        <v>25</v>
      </c>
    </row>
    <row r="635">
      <c r="A635" s="4">
        <f>IFERROR(__xludf.DUMMYFUNCTION("""COMPUTED_VALUE"""),44783.66666666667)</f>
        <v>44783.66667</v>
      </c>
      <c r="B635" s="5">
        <f>IFERROR(__xludf.DUMMYFUNCTION("""COMPUTED_VALUE"""),960.0)</f>
        <v>960</v>
      </c>
      <c r="C635" s="5">
        <f>IFERROR(__xludf.DUMMYFUNCTION("""COMPUTED_VALUE"""),965.0)</f>
        <v>965</v>
      </c>
      <c r="D635" s="5">
        <f>IFERROR(__xludf.DUMMYFUNCTION("""COMPUTED_VALUE"""),940.0)</f>
        <v>940</v>
      </c>
      <c r="E635" s="5">
        <f>IFERROR(__xludf.DUMMYFUNCTION("""COMPUTED_VALUE"""),940.0)</f>
        <v>940</v>
      </c>
      <c r="F635" s="5">
        <f>IFERROR(__xludf.DUMMYFUNCTION("""COMPUTED_VALUE"""),1.07951E7)</f>
        <v>10795100</v>
      </c>
      <c r="G635" s="5">
        <f t="shared" si="1"/>
        <v>25</v>
      </c>
    </row>
    <row r="636">
      <c r="A636" s="4">
        <f>IFERROR(__xludf.DUMMYFUNCTION("""COMPUTED_VALUE"""),44784.66666666667)</f>
        <v>44784.66667</v>
      </c>
      <c r="B636" s="5">
        <f>IFERROR(__xludf.DUMMYFUNCTION("""COMPUTED_VALUE"""),950.0)</f>
        <v>950</v>
      </c>
      <c r="C636" s="5">
        <f>IFERROR(__xludf.DUMMYFUNCTION("""COMPUTED_VALUE"""),965.0)</f>
        <v>965</v>
      </c>
      <c r="D636" s="5">
        <f>IFERROR(__xludf.DUMMYFUNCTION("""COMPUTED_VALUE"""),940.0)</f>
        <v>940</v>
      </c>
      <c r="E636" s="5">
        <f>IFERROR(__xludf.DUMMYFUNCTION("""COMPUTED_VALUE"""),955.0)</f>
        <v>955</v>
      </c>
      <c r="F636" s="5">
        <f>IFERROR(__xludf.DUMMYFUNCTION("""COMPUTED_VALUE"""),1.3087E7)</f>
        <v>13087000</v>
      </c>
      <c r="G636" s="5">
        <f t="shared" si="1"/>
        <v>25</v>
      </c>
    </row>
    <row r="637">
      <c r="A637" s="4">
        <f>IFERROR(__xludf.DUMMYFUNCTION("""COMPUTED_VALUE"""),44785.66666666667)</f>
        <v>44785.66667</v>
      </c>
      <c r="B637" s="5">
        <f>IFERROR(__xludf.DUMMYFUNCTION("""COMPUTED_VALUE"""),955.0)</f>
        <v>955</v>
      </c>
      <c r="C637" s="5">
        <f>IFERROR(__xludf.DUMMYFUNCTION("""COMPUTED_VALUE"""),1010.0)</f>
        <v>1010</v>
      </c>
      <c r="D637" s="5">
        <f>IFERROR(__xludf.DUMMYFUNCTION("""COMPUTED_VALUE"""),955.0)</f>
        <v>955</v>
      </c>
      <c r="E637" s="5">
        <f>IFERROR(__xludf.DUMMYFUNCTION("""COMPUTED_VALUE"""),985.0)</f>
        <v>985</v>
      </c>
      <c r="F637" s="5">
        <f>IFERROR(__xludf.DUMMYFUNCTION("""COMPUTED_VALUE"""),7.63792E7)</f>
        <v>76379200</v>
      </c>
      <c r="G637" s="5">
        <f t="shared" si="1"/>
        <v>55</v>
      </c>
    </row>
    <row r="638">
      <c r="A638" s="4">
        <f>IFERROR(__xludf.DUMMYFUNCTION("""COMPUTED_VALUE"""),44788.66666666667)</f>
        <v>44788.66667</v>
      </c>
      <c r="B638" s="5">
        <f>IFERROR(__xludf.DUMMYFUNCTION("""COMPUTED_VALUE"""),985.0)</f>
        <v>985</v>
      </c>
      <c r="C638" s="5">
        <f>IFERROR(__xludf.DUMMYFUNCTION("""COMPUTED_VALUE"""),1030.0)</f>
        <v>1030</v>
      </c>
      <c r="D638" s="5">
        <f>IFERROR(__xludf.DUMMYFUNCTION("""COMPUTED_VALUE"""),985.0)</f>
        <v>985</v>
      </c>
      <c r="E638" s="5">
        <f>IFERROR(__xludf.DUMMYFUNCTION("""COMPUTED_VALUE"""),1025.0)</f>
        <v>1025</v>
      </c>
      <c r="F638" s="5">
        <f>IFERROR(__xludf.DUMMYFUNCTION("""COMPUTED_VALUE"""),6.53581E7)</f>
        <v>65358100</v>
      </c>
      <c r="G638" s="5">
        <f t="shared" si="1"/>
        <v>45</v>
      </c>
    </row>
    <row r="639">
      <c r="A639" s="4">
        <f>IFERROR(__xludf.DUMMYFUNCTION("""COMPUTED_VALUE"""),44789.66666666667)</f>
        <v>44789.66667</v>
      </c>
      <c r="B639" s="5">
        <f>IFERROR(__xludf.DUMMYFUNCTION("""COMPUTED_VALUE"""),1025.0)</f>
        <v>1025</v>
      </c>
      <c r="C639" s="5">
        <f>IFERROR(__xludf.DUMMYFUNCTION("""COMPUTED_VALUE"""),1030.0)</f>
        <v>1030</v>
      </c>
      <c r="D639" s="5">
        <f>IFERROR(__xludf.DUMMYFUNCTION("""COMPUTED_VALUE"""),1005.0)</f>
        <v>1005</v>
      </c>
      <c r="E639" s="5">
        <f>IFERROR(__xludf.DUMMYFUNCTION("""COMPUTED_VALUE"""),1015.0)</f>
        <v>1015</v>
      </c>
      <c r="F639" s="5">
        <f>IFERROR(__xludf.DUMMYFUNCTION("""COMPUTED_VALUE"""),2.89387E7)</f>
        <v>28938700</v>
      </c>
      <c r="G639" s="5">
        <f t="shared" si="1"/>
        <v>25</v>
      </c>
    </row>
    <row r="640">
      <c r="A640" s="4">
        <f>IFERROR(__xludf.DUMMYFUNCTION("""COMPUTED_VALUE"""),44791.66666666667)</f>
        <v>44791.66667</v>
      </c>
      <c r="B640" s="5">
        <f>IFERROR(__xludf.DUMMYFUNCTION("""COMPUTED_VALUE"""),1015.0)</f>
        <v>1015</v>
      </c>
      <c r="C640" s="5">
        <f>IFERROR(__xludf.DUMMYFUNCTION("""COMPUTED_VALUE"""),1045.0)</f>
        <v>1045</v>
      </c>
      <c r="D640" s="5">
        <f>IFERROR(__xludf.DUMMYFUNCTION("""COMPUTED_VALUE"""),1010.0)</f>
        <v>1010</v>
      </c>
      <c r="E640" s="5">
        <f>IFERROR(__xludf.DUMMYFUNCTION("""COMPUTED_VALUE"""),1030.0)</f>
        <v>1030</v>
      </c>
      <c r="F640" s="5">
        <f>IFERROR(__xludf.DUMMYFUNCTION("""COMPUTED_VALUE"""),2.93687E7)</f>
        <v>29368700</v>
      </c>
      <c r="G640" s="5">
        <f t="shared" si="1"/>
        <v>35</v>
      </c>
    </row>
    <row r="641">
      <c r="A641" s="4">
        <f>IFERROR(__xludf.DUMMYFUNCTION("""COMPUTED_VALUE"""),44792.66666666667)</f>
        <v>44792.66667</v>
      </c>
      <c r="B641" s="5">
        <f>IFERROR(__xludf.DUMMYFUNCTION("""COMPUTED_VALUE"""),1030.0)</f>
        <v>1030</v>
      </c>
      <c r="C641" s="5">
        <f>IFERROR(__xludf.DUMMYFUNCTION("""COMPUTED_VALUE"""),1035.0)</f>
        <v>1035</v>
      </c>
      <c r="D641" s="5">
        <f>IFERROR(__xludf.DUMMYFUNCTION("""COMPUTED_VALUE"""),1010.0)</f>
        <v>1010</v>
      </c>
      <c r="E641" s="5">
        <f>IFERROR(__xludf.DUMMYFUNCTION("""COMPUTED_VALUE"""),1015.0)</f>
        <v>1015</v>
      </c>
      <c r="F641" s="5">
        <f>IFERROR(__xludf.DUMMYFUNCTION("""COMPUTED_VALUE"""),1.1659E7)</f>
        <v>11659000</v>
      </c>
      <c r="G641" s="5">
        <f t="shared" si="1"/>
        <v>25</v>
      </c>
    </row>
    <row r="642">
      <c r="A642" s="4">
        <f>IFERROR(__xludf.DUMMYFUNCTION("""COMPUTED_VALUE"""),44795.66666666667)</f>
        <v>44795.66667</v>
      </c>
      <c r="B642" s="5">
        <f>IFERROR(__xludf.DUMMYFUNCTION("""COMPUTED_VALUE"""),1015.0)</f>
        <v>1015</v>
      </c>
      <c r="C642" s="5">
        <f>IFERROR(__xludf.DUMMYFUNCTION("""COMPUTED_VALUE"""),1015.0)</f>
        <v>1015</v>
      </c>
      <c r="D642" s="5">
        <f>IFERROR(__xludf.DUMMYFUNCTION("""COMPUTED_VALUE"""),975.0)</f>
        <v>975</v>
      </c>
      <c r="E642" s="5">
        <f>IFERROR(__xludf.DUMMYFUNCTION("""COMPUTED_VALUE"""),985.0)</f>
        <v>985</v>
      </c>
      <c r="F642" s="5">
        <f>IFERROR(__xludf.DUMMYFUNCTION("""COMPUTED_VALUE"""),3.3102E7)</f>
        <v>33102000</v>
      </c>
      <c r="G642" s="5">
        <f t="shared" si="1"/>
        <v>40</v>
      </c>
    </row>
    <row r="643">
      <c r="A643" s="4">
        <f>IFERROR(__xludf.DUMMYFUNCTION("""COMPUTED_VALUE"""),44796.66666666667)</f>
        <v>44796.66667</v>
      </c>
      <c r="B643" s="5">
        <f>IFERROR(__xludf.DUMMYFUNCTION("""COMPUTED_VALUE"""),980.0)</f>
        <v>980</v>
      </c>
      <c r="C643" s="5">
        <f>IFERROR(__xludf.DUMMYFUNCTION("""COMPUTED_VALUE"""),995.0)</f>
        <v>995</v>
      </c>
      <c r="D643" s="5">
        <f>IFERROR(__xludf.DUMMYFUNCTION("""COMPUTED_VALUE"""),965.0)</f>
        <v>965</v>
      </c>
      <c r="E643" s="5">
        <f>IFERROR(__xludf.DUMMYFUNCTION("""COMPUTED_VALUE"""),980.0)</f>
        <v>980</v>
      </c>
      <c r="F643" s="5">
        <f>IFERROR(__xludf.DUMMYFUNCTION("""COMPUTED_VALUE"""),2.19567E7)</f>
        <v>21956700</v>
      </c>
      <c r="G643" s="5">
        <f t="shared" si="1"/>
        <v>30</v>
      </c>
    </row>
    <row r="644">
      <c r="A644" s="4">
        <f>IFERROR(__xludf.DUMMYFUNCTION("""COMPUTED_VALUE"""),44797.66666666667)</f>
        <v>44797.66667</v>
      </c>
      <c r="B644" s="5">
        <f>IFERROR(__xludf.DUMMYFUNCTION("""COMPUTED_VALUE"""),990.0)</f>
        <v>990</v>
      </c>
      <c r="C644" s="5">
        <f>IFERROR(__xludf.DUMMYFUNCTION("""COMPUTED_VALUE"""),1020.0)</f>
        <v>1020</v>
      </c>
      <c r="D644" s="5">
        <f>IFERROR(__xludf.DUMMYFUNCTION("""COMPUTED_VALUE"""),980.0)</f>
        <v>980</v>
      </c>
      <c r="E644" s="5">
        <f>IFERROR(__xludf.DUMMYFUNCTION("""COMPUTED_VALUE"""),1000.0)</f>
        <v>1000</v>
      </c>
      <c r="F644" s="5">
        <f>IFERROR(__xludf.DUMMYFUNCTION("""COMPUTED_VALUE"""),2.81269E7)</f>
        <v>28126900</v>
      </c>
      <c r="G644" s="5">
        <f t="shared" si="1"/>
        <v>40</v>
      </c>
    </row>
    <row r="645">
      <c r="A645" s="4">
        <f>IFERROR(__xludf.DUMMYFUNCTION("""COMPUTED_VALUE"""),44798.66666666667)</f>
        <v>44798.66667</v>
      </c>
      <c r="B645" s="5">
        <f>IFERROR(__xludf.DUMMYFUNCTION("""COMPUTED_VALUE"""),1000.0)</f>
        <v>1000</v>
      </c>
      <c r="C645" s="5">
        <f>IFERROR(__xludf.DUMMYFUNCTION("""COMPUTED_VALUE"""),1010.0)</f>
        <v>1010</v>
      </c>
      <c r="D645" s="5">
        <f>IFERROR(__xludf.DUMMYFUNCTION("""COMPUTED_VALUE"""),985.0)</f>
        <v>985</v>
      </c>
      <c r="E645" s="5">
        <f>IFERROR(__xludf.DUMMYFUNCTION("""COMPUTED_VALUE"""),1000.0)</f>
        <v>1000</v>
      </c>
      <c r="F645" s="5">
        <f>IFERROR(__xludf.DUMMYFUNCTION("""COMPUTED_VALUE"""),1.01862E7)</f>
        <v>10186200</v>
      </c>
      <c r="G645" s="5">
        <f t="shared" si="1"/>
        <v>25</v>
      </c>
    </row>
    <row r="646">
      <c r="A646" s="4">
        <f>IFERROR(__xludf.DUMMYFUNCTION("""COMPUTED_VALUE"""),44799.66666666667)</f>
        <v>44799.66667</v>
      </c>
      <c r="B646" s="5">
        <f>IFERROR(__xludf.DUMMYFUNCTION("""COMPUTED_VALUE"""),1000.0)</f>
        <v>1000</v>
      </c>
      <c r="C646" s="5">
        <f>IFERROR(__xludf.DUMMYFUNCTION("""COMPUTED_VALUE"""),1010.0)</f>
        <v>1010</v>
      </c>
      <c r="D646" s="5">
        <f>IFERROR(__xludf.DUMMYFUNCTION("""COMPUTED_VALUE"""),990.0)</f>
        <v>990</v>
      </c>
      <c r="E646" s="5">
        <f>IFERROR(__xludf.DUMMYFUNCTION("""COMPUTED_VALUE"""),990.0)</f>
        <v>990</v>
      </c>
      <c r="F646" s="5">
        <f>IFERROR(__xludf.DUMMYFUNCTION("""COMPUTED_VALUE"""),8953500.0)</f>
        <v>8953500</v>
      </c>
      <c r="G646" s="5">
        <f t="shared" si="1"/>
        <v>20</v>
      </c>
    </row>
    <row r="647">
      <c r="A647" s="4">
        <f>IFERROR(__xludf.DUMMYFUNCTION("""COMPUTED_VALUE"""),44802.66666666667)</f>
        <v>44802.66667</v>
      </c>
      <c r="B647" s="5">
        <f>IFERROR(__xludf.DUMMYFUNCTION("""COMPUTED_VALUE"""),965.0)</f>
        <v>965</v>
      </c>
      <c r="C647" s="5">
        <f>IFERROR(__xludf.DUMMYFUNCTION("""COMPUTED_VALUE"""),975.0)</f>
        <v>975</v>
      </c>
      <c r="D647" s="5">
        <f>IFERROR(__xludf.DUMMYFUNCTION("""COMPUTED_VALUE"""),940.0)</f>
        <v>940</v>
      </c>
      <c r="E647" s="5">
        <f>IFERROR(__xludf.DUMMYFUNCTION("""COMPUTED_VALUE"""),950.0)</f>
        <v>950</v>
      </c>
      <c r="F647" s="5">
        <f>IFERROR(__xludf.DUMMYFUNCTION("""COMPUTED_VALUE"""),3.78221E7)</f>
        <v>37822100</v>
      </c>
      <c r="G647" s="5">
        <f t="shared" si="1"/>
        <v>50</v>
      </c>
    </row>
    <row r="648">
      <c r="A648" s="4">
        <f>IFERROR(__xludf.DUMMYFUNCTION("""COMPUTED_VALUE"""),44803.66666666667)</f>
        <v>44803.66667</v>
      </c>
      <c r="B648" s="5">
        <f>IFERROR(__xludf.DUMMYFUNCTION("""COMPUTED_VALUE"""),960.0)</f>
        <v>960</v>
      </c>
      <c r="C648" s="5">
        <f>IFERROR(__xludf.DUMMYFUNCTION("""COMPUTED_VALUE"""),990.0)</f>
        <v>990</v>
      </c>
      <c r="D648" s="5">
        <f>IFERROR(__xludf.DUMMYFUNCTION("""COMPUTED_VALUE"""),955.0)</f>
        <v>955</v>
      </c>
      <c r="E648" s="5">
        <f>IFERROR(__xludf.DUMMYFUNCTION("""COMPUTED_VALUE"""),990.0)</f>
        <v>990</v>
      </c>
      <c r="F648" s="5">
        <f>IFERROR(__xludf.DUMMYFUNCTION("""COMPUTED_VALUE"""),2.93097E7)</f>
        <v>29309700</v>
      </c>
      <c r="G648" s="5">
        <f t="shared" si="1"/>
        <v>40</v>
      </c>
    </row>
    <row r="649">
      <c r="A649" s="4">
        <f>IFERROR(__xludf.DUMMYFUNCTION("""COMPUTED_VALUE"""),44804.66666666667)</f>
        <v>44804.66667</v>
      </c>
      <c r="B649" s="5">
        <f>IFERROR(__xludf.DUMMYFUNCTION("""COMPUTED_VALUE"""),1000.0)</f>
        <v>1000</v>
      </c>
      <c r="C649" s="5">
        <f>IFERROR(__xludf.DUMMYFUNCTION("""COMPUTED_VALUE"""),1025.0)</f>
        <v>1025</v>
      </c>
      <c r="D649" s="5">
        <f>IFERROR(__xludf.DUMMYFUNCTION("""COMPUTED_VALUE"""),990.0)</f>
        <v>990</v>
      </c>
      <c r="E649" s="5">
        <f>IFERROR(__xludf.DUMMYFUNCTION("""COMPUTED_VALUE"""),1010.0)</f>
        <v>1010</v>
      </c>
      <c r="F649" s="5">
        <f>IFERROR(__xludf.DUMMYFUNCTION("""COMPUTED_VALUE"""),5.61673E7)</f>
        <v>56167300</v>
      </c>
      <c r="G649" s="5">
        <f t="shared" si="1"/>
        <v>35</v>
      </c>
    </row>
    <row r="650">
      <c r="A650" s="4">
        <f>IFERROR(__xludf.DUMMYFUNCTION("""COMPUTED_VALUE"""),44805.625)</f>
        <v>44805.625</v>
      </c>
      <c r="B650" s="5">
        <f>IFERROR(__xludf.DUMMYFUNCTION("""COMPUTED_VALUE"""),1010.0)</f>
        <v>1010</v>
      </c>
      <c r="C650" s="5">
        <f>IFERROR(__xludf.DUMMYFUNCTION("""COMPUTED_VALUE"""),1030.0)</f>
        <v>1030</v>
      </c>
      <c r="D650" s="5">
        <f>IFERROR(__xludf.DUMMYFUNCTION("""COMPUTED_VALUE"""),995.0)</f>
        <v>995</v>
      </c>
      <c r="E650" s="5">
        <f>IFERROR(__xludf.DUMMYFUNCTION("""COMPUTED_VALUE"""),1000.0)</f>
        <v>1000</v>
      </c>
      <c r="F650" s="5">
        <f>IFERROR(__xludf.DUMMYFUNCTION("""COMPUTED_VALUE"""),2.97707E7)</f>
        <v>29770700</v>
      </c>
      <c r="G650" s="5">
        <f t="shared" si="1"/>
        <v>35</v>
      </c>
    </row>
    <row r="651">
      <c r="A651" s="4">
        <f>IFERROR(__xludf.DUMMYFUNCTION("""COMPUTED_VALUE"""),44806.625)</f>
        <v>44806.625</v>
      </c>
      <c r="B651" s="5">
        <f>IFERROR(__xludf.DUMMYFUNCTION("""COMPUTED_VALUE"""),1005.0)</f>
        <v>1005</v>
      </c>
      <c r="C651" s="5">
        <f>IFERROR(__xludf.DUMMYFUNCTION("""COMPUTED_VALUE"""),1020.0)</f>
        <v>1020</v>
      </c>
      <c r="D651" s="5">
        <f>IFERROR(__xludf.DUMMYFUNCTION("""COMPUTED_VALUE"""),985.0)</f>
        <v>985</v>
      </c>
      <c r="E651" s="5">
        <f>IFERROR(__xludf.DUMMYFUNCTION("""COMPUTED_VALUE"""),995.0)</f>
        <v>995</v>
      </c>
      <c r="F651" s="5">
        <f>IFERROR(__xludf.DUMMYFUNCTION("""COMPUTED_VALUE"""),1.90547E7)</f>
        <v>19054700</v>
      </c>
      <c r="G651" s="5">
        <f t="shared" si="1"/>
        <v>35</v>
      </c>
    </row>
    <row r="652">
      <c r="A652" s="4">
        <f>IFERROR(__xludf.DUMMYFUNCTION("""COMPUTED_VALUE"""),44809.66666666667)</f>
        <v>44809.66667</v>
      </c>
      <c r="B652" s="5">
        <f>IFERROR(__xludf.DUMMYFUNCTION("""COMPUTED_VALUE"""),990.0)</f>
        <v>990</v>
      </c>
      <c r="C652" s="5">
        <f>IFERROR(__xludf.DUMMYFUNCTION("""COMPUTED_VALUE"""),1025.0)</f>
        <v>1025</v>
      </c>
      <c r="D652" s="5">
        <f>IFERROR(__xludf.DUMMYFUNCTION("""COMPUTED_VALUE"""),985.0)</f>
        <v>985</v>
      </c>
      <c r="E652" s="5">
        <f>IFERROR(__xludf.DUMMYFUNCTION("""COMPUTED_VALUE"""),1010.0)</f>
        <v>1010</v>
      </c>
      <c r="F652" s="5">
        <f>IFERROR(__xludf.DUMMYFUNCTION("""COMPUTED_VALUE"""),2.48901E7)</f>
        <v>24890100</v>
      </c>
      <c r="G652" s="5">
        <f t="shared" si="1"/>
        <v>40</v>
      </c>
    </row>
    <row r="653">
      <c r="A653" s="4">
        <f>IFERROR(__xludf.DUMMYFUNCTION("""COMPUTED_VALUE"""),44810.66666666667)</f>
        <v>44810.66667</v>
      </c>
      <c r="B653" s="5">
        <f>IFERROR(__xludf.DUMMYFUNCTION("""COMPUTED_VALUE"""),1015.0)</f>
        <v>1015</v>
      </c>
      <c r="C653" s="5">
        <f>IFERROR(__xludf.DUMMYFUNCTION("""COMPUTED_VALUE"""),1025.0)</f>
        <v>1025</v>
      </c>
      <c r="D653" s="5">
        <f>IFERROR(__xludf.DUMMYFUNCTION("""COMPUTED_VALUE"""),1005.0)</f>
        <v>1005</v>
      </c>
      <c r="E653" s="5">
        <f>IFERROR(__xludf.DUMMYFUNCTION("""COMPUTED_VALUE"""),1015.0)</f>
        <v>1015</v>
      </c>
      <c r="F653" s="5">
        <f>IFERROR(__xludf.DUMMYFUNCTION("""COMPUTED_VALUE"""),1.46692E7)</f>
        <v>14669200</v>
      </c>
      <c r="G653" s="5">
        <f t="shared" si="1"/>
        <v>20</v>
      </c>
    </row>
    <row r="654">
      <c r="A654" s="4">
        <f>IFERROR(__xludf.DUMMYFUNCTION("""COMPUTED_VALUE"""),44811.66666666667)</f>
        <v>44811.66667</v>
      </c>
      <c r="B654" s="5">
        <f>IFERROR(__xludf.DUMMYFUNCTION("""COMPUTED_VALUE"""),1030.0)</f>
        <v>1030</v>
      </c>
      <c r="C654" s="5">
        <f>IFERROR(__xludf.DUMMYFUNCTION("""COMPUTED_VALUE"""),1030.0)</f>
        <v>1030</v>
      </c>
      <c r="D654" s="5">
        <f>IFERROR(__xludf.DUMMYFUNCTION("""COMPUTED_VALUE"""),980.0)</f>
        <v>980</v>
      </c>
      <c r="E654" s="5">
        <f>IFERROR(__xludf.DUMMYFUNCTION("""COMPUTED_VALUE"""),980.0)</f>
        <v>980</v>
      </c>
      <c r="F654" s="5">
        <f>IFERROR(__xludf.DUMMYFUNCTION("""COMPUTED_VALUE"""),2.73525E7)</f>
        <v>27352500</v>
      </c>
      <c r="G654" s="5">
        <f t="shared" si="1"/>
        <v>50</v>
      </c>
    </row>
    <row r="655">
      <c r="A655" s="4">
        <f>IFERROR(__xludf.DUMMYFUNCTION("""COMPUTED_VALUE"""),44812.66666666667)</f>
        <v>44812.66667</v>
      </c>
      <c r="B655" s="5">
        <f>IFERROR(__xludf.DUMMYFUNCTION("""COMPUTED_VALUE"""),985.0)</f>
        <v>985</v>
      </c>
      <c r="C655" s="5">
        <f>IFERROR(__xludf.DUMMYFUNCTION("""COMPUTED_VALUE"""),1020.0)</f>
        <v>1020</v>
      </c>
      <c r="D655" s="5">
        <f>IFERROR(__xludf.DUMMYFUNCTION("""COMPUTED_VALUE"""),980.0)</f>
        <v>980</v>
      </c>
      <c r="E655" s="5">
        <f>IFERROR(__xludf.DUMMYFUNCTION("""COMPUTED_VALUE"""),1010.0)</f>
        <v>1010</v>
      </c>
      <c r="F655" s="5">
        <f>IFERROR(__xludf.DUMMYFUNCTION("""COMPUTED_VALUE"""),3.47634E7)</f>
        <v>34763400</v>
      </c>
      <c r="G655" s="5">
        <f t="shared" si="1"/>
        <v>40</v>
      </c>
    </row>
    <row r="656">
      <c r="A656" s="4">
        <f>IFERROR(__xludf.DUMMYFUNCTION("""COMPUTED_VALUE"""),44813.66666666667)</f>
        <v>44813.66667</v>
      </c>
      <c r="B656" s="5">
        <f>IFERROR(__xludf.DUMMYFUNCTION("""COMPUTED_VALUE"""),1015.0)</f>
        <v>1015</v>
      </c>
      <c r="C656" s="5">
        <f>IFERROR(__xludf.DUMMYFUNCTION("""COMPUTED_VALUE"""),1025.0)</f>
        <v>1025</v>
      </c>
      <c r="D656" s="5">
        <f>IFERROR(__xludf.DUMMYFUNCTION("""COMPUTED_VALUE"""),1000.0)</f>
        <v>1000</v>
      </c>
      <c r="E656" s="5">
        <f>IFERROR(__xludf.DUMMYFUNCTION("""COMPUTED_VALUE"""),1005.0)</f>
        <v>1005</v>
      </c>
      <c r="F656" s="5">
        <f>IFERROR(__xludf.DUMMYFUNCTION("""COMPUTED_VALUE"""),1.21224E7)</f>
        <v>12122400</v>
      </c>
      <c r="G656" s="5">
        <f t="shared" si="1"/>
        <v>25</v>
      </c>
    </row>
    <row r="657">
      <c r="A657" s="4">
        <f>IFERROR(__xludf.DUMMYFUNCTION("""COMPUTED_VALUE"""),44816.66666666667)</f>
        <v>44816.66667</v>
      </c>
      <c r="B657" s="5">
        <f>IFERROR(__xludf.DUMMYFUNCTION("""COMPUTED_VALUE"""),1015.0)</f>
        <v>1015</v>
      </c>
      <c r="C657" s="5">
        <f>IFERROR(__xludf.DUMMYFUNCTION("""COMPUTED_VALUE"""),1015.0)</f>
        <v>1015</v>
      </c>
      <c r="D657" s="5">
        <f>IFERROR(__xludf.DUMMYFUNCTION("""COMPUTED_VALUE"""),1000.0)</f>
        <v>1000</v>
      </c>
      <c r="E657" s="5">
        <f>IFERROR(__xludf.DUMMYFUNCTION("""COMPUTED_VALUE"""),1005.0)</f>
        <v>1005</v>
      </c>
      <c r="F657" s="5">
        <f>IFERROR(__xludf.DUMMYFUNCTION("""COMPUTED_VALUE"""),4672200.0)</f>
        <v>4672200</v>
      </c>
      <c r="G657" s="5">
        <f t="shared" si="1"/>
        <v>15</v>
      </c>
    </row>
    <row r="658">
      <c r="A658" s="4">
        <f>IFERROR(__xludf.DUMMYFUNCTION("""COMPUTED_VALUE"""),44817.66666666667)</f>
        <v>44817.66667</v>
      </c>
      <c r="B658" s="5">
        <f>IFERROR(__xludf.DUMMYFUNCTION("""COMPUTED_VALUE"""),1005.0)</f>
        <v>1005</v>
      </c>
      <c r="C658" s="5">
        <f>IFERROR(__xludf.DUMMYFUNCTION("""COMPUTED_VALUE"""),1050.0)</f>
        <v>1050</v>
      </c>
      <c r="D658" s="5">
        <f>IFERROR(__xludf.DUMMYFUNCTION("""COMPUTED_VALUE"""),1005.0)</f>
        <v>1005</v>
      </c>
      <c r="E658" s="5">
        <f>IFERROR(__xludf.DUMMYFUNCTION("""COMPUTED_VALUE"""),1050.0)</f>
        <v>1050</v>
      </c>
      <c r="F658" s="5">
        <f>IFERROR(__xludf.DUMMYFUNCTION("""COMPUTED_VALUE"""),4.07064E7)</f>
        <v>40706400</v>
      </c>
      <c r="G658" s="5">
        <f t="shared" si="1"/>
        <v>45</v>
      </c>
    </row>
    <row r="659">
      <c r="A659" s="4">
        <f>IFERROR(__xludf.DUMMYFUNCTION("""COMPUTED_VALUE"""),44818.66666666667)</f>
        <v>44818.66667</v>
      </c>
      <c r="B659" s="5">
        <f>IFERROR(__xludf.DUMMYFUNCTION("""COMPUTED_VALUE"""),1050.0)</f>
        <v>1050</v>
      </c>
      <c r="C659" s="5">
        <f>IFERROR(__xludf.DUMMYFUNCTION("""COMPUTED_VALUE"""),1060.0)</f>
        <v>1060</v>
      </c>
      <c r="D659" s="5">
        <f>IFERROR(__xludf.DUMMYFUNCTION("""COMPUTED_VALUE"""),1025.0)</f>
        <v>1025</v>
      </c>
      <c r="E659" s="5">
        <f>IFERROR(__xludf.DUMMYFUNCTION("""COMPUTED_VALUE"""),1035.0)</f>
        <v>1035</v>
      </c>
      <c r="F659" s="5">
        <f>IFERROR(__xludf.DUMMYFUNCTION("""COMPUTED_VALUE"""),4.26869E7)</f>
        <v>42686900</v>
      </c>
      <c r="G659" s="5">
        <f t="shared" si="1"/>
        <v>35</v>
      </c>
    </row>
    <row r="660">
      <c r="A660" s="4">
        <f>IFERROR(__xludf.DUMMYFUNCTION("""COMPUTED_VALUE"""),44819.66666666667)</f>
        <v>44819.66667</v>
      </c>
      <c r="B660" s="5">
        <f>IFERROR(__xludf.DUMMYFUNCTION("""COMPUTED_VALUE"""),1035.0)</f>
        <v>1035</v>
      </c>
      <c r="C660" s="5">
        <f>IFERROR(__xludf.DUMMYFUNCTION("""COMPUTED_VALUE"""),1070.0)</f>
        <v>1070</v>
      </c>
      <c r="D660" s="5">
        <f>IFERROR(__xludf.DUMMYFUNCTION("""COMPUTED_VALUE"""),1025.0)</f>
        <v>1025</v>
      </c>
      <c r="E660" s="5">
        <f>IFERROR(__xludf.DUMMYFUNCTION("""COMPUTED_VALUE"""),1030.0)</f>
        <v>1030</v>
      </c>
      <c r="F660" s="5">
        <f>IFERROR(__xludf.DUMMYFUNCTION("""COMPUTED_VALUE"""),4.20035E7)</f>
        <v>42003500</v>
      </c>
      <c r="G660" s="5">
        <f t="shared" si="1"/>
        <v>45</v>
      </c>
    </row>
    <row r="661">
      <c r="A661" s="4">
        <f>IFERROR(__xludf.DUMMYFUNCTION("""COMPUTED_VALUE"""),44820.66666666667)</f>
        <v>44820.66667</v>
      </c>
      <c r="B661" s="5">
        <f>IFERROR(__xludf.DUMMYFUNCTION("""COMPUTED_VALUE"""),1030.0)</f>
        <v>1030</v>
      </c>
      <c r="C661" s="5">
        <f>IFERROR(__xludf.DUMMYFUNCTION("""COMPUTED_VALUE"""),1065.0)</f>
        <v>1065</v>
      </c>
      <c r="D661" s="5">
        <f>IFERROR(__xludf.DUMMYFUNCTION("""COMPUTED_VALUE"""),1025.0)</f>
        <v>1025</v>
      </c>
      <c r="E661" s="5">
        <f>IFERROR(__xludf.DUMMYFUNCTION("""COMPUTED_VALUE"""),1060.0)</f>
        <v>1060</v>
      </c>
      <c r="F661" s="5">
        <f>IFERROR(__xludf.DUMMYFUNCTION("""COMPUTED_VALUE"""),4.92202E7)</f>
        <v>49220200</v>
      </c>
      <c r="G661" s="5">
        <f t="shared" si="1"/>
        <v>40</v>
      </c>
    </row>
    <row r="662">
      <c r="A662" s="4">
        <f>IFERROR(__xludf.DUMMYFUNCTION("""COMPUTED_VALUE"""),44823.66666666667)</f>
        <v>44823.66667</v>
      </c>
      <c r="B662" s="5">
        <f>IFERROR(__xludf.DUMMYFUNCTION("""COMPUTED_VALUE"""),1060.0)</f>
        <v>1060</v>
      </c>
      <c r="C662" s="5">
        <f>IFERROR(__xludf.DUMMYFUNCTION("""COMPUTED_VALUE"""),1075.0)</f>
        <v>1075</v>
      </c>
      <c r="D662" s="5">
        <f>IFERROR(__xludf.DUMMYFUNCTION("""COMPUTED_VALUE"""),1030.0)</f>
        <v>1030</v>
      </c>
      <c r="E662" s="5">
        <f>IFERROR(__xludf.DUMMYFUNCTION("""COMPUTED_VALUE"""),1050.0)</f>
        <v>1050</v>
      </c>
      <c r="F662" s="5">
        <f>IFERROR(__xludf.DUMMYFUNCTION("""COMPUTED_VALUE"""),3.86894E7)</f>
        <v>38689400</v>
      </c>
      <c r="G662" s="5">
        <f t="shared" si="1"/>
        <v>45</v>
      </c>
    </row>
    <row r="663">
      <c r="A663" s="4">
        <f>IFERROR(__xludf.DUMMYFUNCTION("""COMPUTED_VALUE"""),44824.66666666667)</f>
        <v>44824.66667</v>
      </c>
      <c r="B663" s="5">
        <f>IFERROR(__xludf.DUMMYFUNCTION("""COMPUTED_VALUE"""),1050.0)</f>
        <v>1050</v>
      </c>
      <c r="C663" s="5">
        <f>IFERROR(__xludf.DUMMYFUNCTION("""COMPUTED_VALUE"""),1055.0)</f>
        <v>1055</v>
      </c>
      <c r="D663" s="5">
        <f>IFERROR(__xludf.DUMMYFUNCTION("""COMPUTED_VALUE"""),1015.0)</f>
        <v>1015</v>
      </c>
      <c r="E663" s="5">
        <f>IFERROR(__xludf.DUMMYFUNCTION("""COMPUTED_VALUE"""),1025.0)</f>
        <v>1025</v>
      </c>
      <c r="F663" s="5">
        <f>IFERROR(__xludf.DUMMYFUNCTION("""COMPUTED_VALUE"""),1.65675E7)</f>
        <v>16567500</v>
      </c>
      <c r="G663" s="5">
        <f t="shared" si="1"/>
        <v>40</v>
      </c>
    </row>
    <row r="664">
      <c r="A664" s="4">
        <f>IFERROR(__xludf.DUMMYFUNCTION("""COMPUTED_VALUE"""),44825.66666666667)</f>
        <v>44825.66667</v>
      </c>
      <c r="B664" s="5">
        <f>IFERROR(__xludf.DUMMYFUNCTION("""COMPUTED_VALUE"""),1025.0)</f>
        <v>1025</v>
      </c>
      <c r="C664" s="5">
        <f>IFERROR(__xludf.DUMMYFUNCTION("""COMPUTED_VALUE"""),1030.0)</f>
        <v>1030</v>
      </c>
      <c r="D664" s="5">
        <f>IFERROR(__xludf.DUMMYFUNCTION("""COMPUTED_VALUE"""),975.0)</f>
        <v>975</v>
      </c>
      <c r="E664" s="5">
        <f>IFERROR(__xludf.DUMMYFUNCTION("""COMPUTED_VALUE"""),990.0)</f>
        <v>990</v>
      </c>
      <c r="F664" s="5">
        <f>IFERROR(__xludf.DUMMYFUNCTION("""COMPUTED_VALUE"""),4.80408E7)</f>
        <v>48040800</v>
      </c>
      <c r="G664" s="5">
        <f t="shared" si="1"/>
        <v>55</v>
      </c>
    </row>
    <row r="665">
      <c r="A665" s="4">
        <f>IFERROR(__xludf.DUMMYFUNCTION("""COMPUTED_VALUE"""),44826.66666666667)</f>
        <v>44826.66667</v>
      </c>
      <c r="B665" s="5">
        <f>IFERROR(__xludf.DUMMYFUNCTION("""COMPUTED_VALUE"""),990.0)</f>
        <v>990</v>
      </c>
      <c r="C665" s="5">
        <f>IFERROR(__xludf.DUMMYFUNCTION("""COMPUTED_VALUE"""),995.0)</f>
        <v>995</v>
      </c>
      <c r="D665" s="5">
        <f>IFERROR(__xludf.DUMMYFUNCTION("""COMPUTED_VALUE"""),975.0)</f>
        <v>975</v>
      </c>
      <c r="E665" s="5">
        <f>IFERROR(__xludf.DUMMYFUNCTION("""COMPUTED_VALUE"""),990.0)</f>
        <v>990</v>
      </c>
      <c r="F665" s="5">
        <f>IFERROR(__xludf.DUMMYFUNCTION("""COMPUTED_VALUE"""),2.14716E7)</f>
        <v>21471600</v>
      </c>
      <c r="G665" s="5">
        <f t="shared" si="1"/>
        <v>20</v>
      </c>
    </row>
    <row r="666">
      <c r="A666" s="4">
        <f>IFERROR(__xludf.DUMMYFUNCTION("""COMPUTED_VALUE"""),44827.66666666667)</f>
        <v>44827.66667</v>
      </c>
      <c r="B666" s="5">
        <f>IFERROR(__xludf.DUMMYFUNCTION("""COMPUTED_VALUE"""),995.0)</f>
        <v>995</v>
      </c>
      <c r="C666" s="5">
        <f>IFERROR(__xludf.DUMMYFUNCTION("""COMPUTED_VALUE"""),1005.0)</f>
        <v>1005</v>
      </c>
      <c r="D666" s="5">
        <f>IFERROR(__xludf.DUMMYFUNCTION("""COMPUTED_VALUE"""),980.0)</f>
        <v>980</v>
      </c>
      <c r="E666" s="5">
        <f>IFERROR(__xludf.DUMMYFUNCTION("""COMPUTED_VALUE"""),990.0)</f>
        <v>990</v>
      </c>
      <c r="F666" s="5">
        <f>IFERROR(__xludf.DUMMYFUNCTION("""COMPUTED_VALUE"""),2.19651E7)</f>
        <v>21965100</v>
      </c>
      <c r="G666" s="5">
        <f t="shared" si="1"/>
        <v>25</v>
      </c>
    </row>
    <row r="667">
      <c r="A667" s="4">
        <f>IFERROR(__xludf.DUMMYFUNCTION("""COMPUTED_VALUE"""),44830.66666666667)</f>
        <v>44830.66667</v>
      </c>
      <c r="B667" s="5">
        <f>IFERROR(__xludf.DUMMYFUNCTION("""COMPUTED_VALUE"""),980.0)</f>
        <v>980</v>
      </c>
      <c r="C667" s="5">
        <f>IFERROR(__xludf.DUMMYFUNCTION("""COMPUTED_VALUE"""),980.0)</f>
        <v>980</v>
      </c>
      <c r="D667" s="5">
        <f>IFERROR(__xludf.DUMMYFUNCTION("""COMPUTED_VALUE"""),925.0)</f>
        <v>925</v>
      </c>
      <c r="E667" s="5">
        <f>IFERROR(__xludf.DUMMYFUNCTION("""COMPUTED_VALUE"""),925.0)</f>
        <v>925</v>
      </c>
      <c r="F667" s="5">
        <f>IFERROR(__xludf.DUMMYFUNCTION("""COMPUTED_VALUE"""),9.97909E7)</f>
        <v>99790900</v>
      </c>
      <c r="G667" s="5">
        <f t="shared" si="1"/>
        <v>65</v>
      </c>
    </row>
    <row r="668">
      <c r="A668" s="4">
        <f>IFERROR(__xludf.DUMMYFUNCTION("""COMPUTED_VALUE"""),44831.66666666667)</f>
        <v>44831.66667</v>
      </c>
      <c r="B668" s="5">
        <f>IFERROR(__xludf.DUMMYFUNCTION("""COMPUTED_VALUE"""),930.0)</f>
        <v>930</v>
      </c>
      <c r="C668" s="5">
        <f>IFERROR(__xludf.DUMMYFUNCTION("""COMPUTED_VALUE"""),935.0)</f>
        <v>935</v>
      </c>
      <c r="D668" s="5">
        <f>IFERROR(__xludf.DUMMYFUNCTION("""COMPUTED_VALUE"""),915.0)</f>
        <v>915</v>
      </c>
      <c r="E668" s="5">
        <f>IFERROR(__xludf.DUMMYFUNCTION("""COMPUTED_VALUE"""),925.0)</f>
        <v>925</v>
      </c>
      <c r="F668" s="5">
        <f>IFERROR(__xludf.DUMMYFUNCTION("""COMPUTED_VALUE"""),2.9621E7)</f>
        <v>29621000</v>
      </c>
      <c r="G668" s="5">
        <f t="shared" si="1"/>
        <v>20</v>
      </c>
    </row>
    <row r="669">
      <c r="A669" s="4">
        <f>IFERROR(__xludf.DUMMYFUNCTION("""COMPUTED_VALUE"""),44832.66666666667)</f>
        <v>44832.66667</v>
      </c>
      <c r="B669" s="5">
        <f>IFERROR(__xludf.DUMMYFUNCTION("""COMPUTED_VALUE"""),925.0)</f>
        <v>925</v>
      </c>
      <c r="C669" s="5">
        <f>IFERROR(__xludf.DUMMYFUNCTION("""COMPUTED_VALUE"""),925.0)</f>
        <v>925</v>
      </c>
      <c r="D669" s="5">
        <f>IFERROR(__xludf.DUMMYFUNCTION("""COMPUTED_VALUE"""),905.0)</f>
        <v>905</v>
      </c>
      <c r="E669" s="5">
        <f>IFERROR(__xludf.DUMMYFUNCTION("""COMPUTED_VALUE"""),905.0)</f>
        <v>905</v>
      </c>
      <c r="F669" s="5">
        <f>IFERROR(__xludf.DUMMYFUNCTION("""COMPUTED_VALUE"""),2.08412E7)</f>
        <v>20841200</v>
      </c>
      <c r="G669" s="5">
        <f t="shared" si="1"/>
        <v>20</v>
      </c>
    </row>
    <row r="670">
      <c r="A670" s="4">
        <f>IFERROR(__xludf.DUMMYFUNCTION("""COMPUTED_VALUE"""),44833.66666666667)</f>
        <v>44833.66667</v>
      </c>
      <c r="B670" s="5">
        <f>IFERROR(__xludf.DUMMYFUNCTION("""COMPUTED_VALUE"""),915.0)</f>
        <v>915</v>
      </c>
      <c r="C670" s="5">
        <f>IFERROR(__xludf.DUMMYFUNCTION("""COMPUTED_VALUE"""),920.0)</f>
        <v>920</v>
      </c>
      <c r="D670" s="5">
        <f>IFERROR(__xludf.DUMMYFUNCTION("""COMPUTED_VALUE"""),885.0)</f>
        <v>885</v>
      </c>
      <c r="E670" s="5">
        <f>IFERROR(__xludf.DUMMYFUNCTION("""COMPUTED_VALUE"""),890.0)</f>
        <v>890</v>
      </c>
      <c r="F670" s="5">
        <f>IFERROR(__xludf.DUMMYFUNCTION("""COMPUTED_VALUE"""),2.42374E7)</f>
        <v>24237400</v>
      </c>
      <c r="G670" s="5">
        <f t="shared" si="1"/>
        <v>35</v>
      </c>
    </row>
    <row r="671">
      <c r="A671" s="4">
        <f>IFERROR(__xludf.DUMMYFUNCTION("""COMPUTED_VALUE"""),44834.66666666667)</f>
        <v>44834.66667</v>
      </c>
      <c r="B671" s="5">
        <f>IFERROR(__xludf.DUMMYFUNCTION("""COMPUTED_VALUE"""),900.0)</f>
        <v>900</v>
      </c>
      <c r="C671" s="5">
        <f>IFERROR(__xludf.DUMMYFUNCTION("""COMPUTED_VALUE"""),900.0)</f>
        <v>900</v>
      </c>
      <c r="D671" s="5">
        <f>IFERROR(__xludf.DUMMYFUNCTION("""COMPUTED_VALUE"""),875.0)</f>
        <v>875</v>
      </c>
      <c r="E671" s="5">
        <f>IFERROR(__xludf.DUMMYFUNCTION("""COMPUTED_VALUE"""),885.0)</f>
        <v>885</v>
      </c>
      <c r="F671" s="5">
        <f>IFERROR(__xludf.DUMMYFUNCTION("""COMPUTED_VALUE"""),2.93913E7)</f>
        <v>29391300</v>
      </c>
      <c r="G671" s="5">
        <f t="shared" si="1"/>
        <v>25</v>
      </c>
    </row>
    <row r="672">
      <c r="A672" s="4">
        <f>IFERROR(__xludf.DUMMYFUNCTION("""COMPUTED_VALUE"""),44837.66666666667)</f>
        <v>44837.66667</v>
      </c>
      <c r="B672" s="5">
        <f>IFERROR(__xludf.DUMMYFUNCTION("""COMPUTED_VALUE"""),885.0)</f>
        <v>885</v>
      </c>
      <c r="C672" s="5">
        <f>IFERROR(__xludf.DUMMYFUNCTION("""COMPUTED_VALUE"""),905.0)</f>
        <v>905</v>
      </c>
      <c r="D672" s="5">
        <f>IFERROR(__xludf.DUMMYFUNCTION("""COMPUTED_VALUE"""),885.0)</f>
        <v>885</v>
      </c>
      <c r="E672" s="5">
        <f>IFERROR(__xludf.DUMMYFUNCTION("""COMPUTED_VALUE"""),895.0)</f>
        <v>895</v>
      </c>
      <c r="F672" s="5">
        <f>IFERROR(__xludf.DUMMYFUNCTION("""COMPUTED_VALUE"""),1.48789E7)</f>
        <v>14878900</v>
      </c>
      <c r="G672" s="5">
        <f t="shared" si="1"/>
        <v>20</v>
      </c>
    </row>
    <row r="673">
      <c r="A673" s="4">
        <f>IFERROR(__xludf.DUMMYFUNCTION("""COMPUTED_VALUE"""),44838.66666666667)</f>
        <v>44838.66667</v>
      </c>
      <c r="B673" s="5">
        <f>IFERROR(__xludf.DUMMYFUNCTION("""COMPUTED_VALUE"""),895.0)</f>
        <v>895</v>
      </c>
      <c r="C673" s="5">
        <f>IFERROR(__xludf.DUMMYFUNCTION("""COMPUTED_VALUE"""),915.0)</f>
        <v>915</v>
      </c>
      <c r="D673" s="5">
        <f>IFERROR(__xludf.DUMMYFUNCTION("""COMPUTED_VALUE"""),895.0)</f>
        <v>895</v>
      </c>
      <c r="E673" s="5">
        <f>IFERROR(__xludf.DUMMYFUNCTION("""COMPUTED_VALUE"""),900.0)</f>
        <v>900</v>
      </c>
      <c r="F673" s="5">
        <f>IFERROR(__xludf.DUMMYFUNCTION("""COMPUTED_VALUE"""),1.36024E7)</f>
        <v>13602400</v>
      </c>
      <c r="G673" s="5">
        <f t="shared" si="1"/>
        <v>20</v>
      </c>
    </row>
    <row r="674">
      <c r="A674" s="4">
        <f>IFERROR(__xludf.DUMMYFUNCTION("""COMPUTED_VALUE"""),44839.66666666667)</f>
        <v>44839.66667</v>
      </c>
      <c r="B674" s="5">
        <f>IFERROR(__xludf.DUMMYFUNCTION("""COMPUTED_VALUE"""),905.0)</f>
        <v>905</v>
      </c>
      <c r="C674" s="5">
        <f>IFERROR(__xludf.DUMMYFUNCTION("""COMPUTED_VALUE"""),915.0)</f>
        <v>915</v>
      </c>
      <c r="D674" s="5">
        <f>IFERROR(__xludf.DUMMYFUNCTION("""COMPUTED_VALUE"""),900.0)</f>
        <v>900</v>
      </c>
      <c r="E674" s="5">
        <f>IFERROR(__xludf.DUMMYFUNCTION("""COMPUTED_VALUE"""),905.0)</f>
        <v>905</v>
      </c>
      <c r="F674" s="5">
        <f>IFERROR(__xludf.DUMMYFUNCTION("""COMPUTED_VALUE"""),1.09492E7)</f>
        <v>10949200</v>
      </c>
      <c r="G674" s="5">
        <f t="shared" si="1"/>
        <v>15</v>
      </c>
    </row>
    <row r="675">
      <c r="A675" s="4">
        <f>IFERROR(__xludf.DUMMYFUNCTION("""COMPUTED_VALUE"""),44840.66666666667)</f>
        <v>44840.66667</v>
      </c>
      <c r="B675" s="5">
        <f>IFERROR(__xludf.DUMMYFUNCTION("""COMPUTED_VALUE"""),905.0)</f>
        <v>905</v>
      </c>
      <c r="C675" s="5">
        <f>IFERROR(__xludf.DUMMYFUNCTION("""COMPUTED_VALUE"""),925.0)</f>
        <v>925</v>
      </c>
      <c r="D675" s="5">
        <f>IFERROR(__xludf.DUMMYFUNCTION("""COMPUTED_VALUE"""),905.0)</f>
        <v>905</v>
      </c>
      <c r="E675" s="5">
        <f>IFERROR(__xludf.DUMMYFUNCTION("""COMPUTED_VALUE"""),915.0)</f>
        <v>915</v>
      </c>
      <c r="F675" s="5">
        <f>IFERROR(__xludf.DUMMYFUNCTION("""COMPUTED_VALUE"""),1.25942E7)</f>
        <v>12594200</v>
      </c>
      <c r="G675" s="5">
        <f t="shared" si="1"/>
        <v>20</v>
      </c>
    </row>
    <row r="676">
      <c r="A676" s="4">
        <f>IFERROR(__xludf.DUMMYFUNCTION("""COMPUTED_VALUE"""),44841.66666666667)</f>
        <v>44841.66667</v>
      </c>
      <c r="B676" s="5">
        <f>IFERROR(__xludf.DUMMYFUNCTION("""COMPUTED_VALUE"""),925.0)</f>
        <v>925</v>
      </c>
      <c r="C676" s="5">
        <f>IFERROR(__xludf.DUMMYFUNCTION("""COMPUTED_VALUE"""),925.0)</f>
        <v>925</v>
      </c>
      <c r="D676" s="5">
        <f>IFERROR(__xludf.DUMMYFUNCTION("""COMPUTED_VALUE"""),900.0)</f>
        <v>900</v>
      </c>
      <c r="E676" s="5">
        <f>IFERROR(__xludf.DUMMYFUNCTION("""COMPUTED_VALUE"""),910.0)</f>
        <v>910</v>
      </c>
      <c r="F676" s="5">
        <f>IFERROR(__xludf.DUMMYFUNCTION("""COMPUTED_VALUE"""),6967800.0)</f>
        <v>6967800</v>
      </c>
      <c r="G676" s="5">
        <f t="shared" si="1"/>
        <v>25</v>
      </c>
    </row>
    <row r="677">
      <c r="A677" s="4">
        <f>IFERROR(__xludf.DUMMYFUNCTION("""COMPUTED_VALUE"""),44844.66666666667)</f>
        <v>44844.66667</v>
      </c>
      <c r="B677" s="5">
        <f>IFERROR(__xludf.DUMMYFUNCTION("""COMPUTED_VALUE"""),905.0)</f>
        <v>905</v>
      </c>
      <c r="C677" s="5">
        <f>IFERROR(__xludf.DUMMYFUNCTION("""COMPUTED_VALUE"""),910.0)</f>
        <v>910</v>
      </c>
      <c r="D677" s="5">
        <f>IFERROR(__xludf.DUMMYFUNCTION("""COMPUTED_VALUE"""),885.0)</f>
        <v>885</v>
      </c>
      <c r="E677" s="5">
        <f>IFERROR(__xludf.DUMMYFUNCTION("""COMPUTED_VALUE"""),890.0)</f>
        <v>890</v>
      </c>
      <c r="F677" s="5">
        <f>IFERROR(__xludf.DUMMYFUNCTION("""COMPUTED_VALUE"""),2.00293E7)</f>
        <v>20029300</v>
      </c>
      <c r="G677" s="5">
        <f t="shared" si="1"/>
        <v>25</v>
      </c>
    </row>
    <row r="678">
      <c r="A678" s="4">
        <f>IFERROR(__xludf.DUMMYFUNCTION("""COMPUTED_VALUE"""),44845.66666666667)</f>
        <v>44845.66667</v>
      </c>
      <c r="B678" s="5">
        <f>IFERROR(__xludf.DUMMYFUNCTION("""COMPUTED_VALUE"""),895.0)</f>
        <v>895</v>
      </c>
      <c r="C678" s="5">
        <f>IFERROR(__xludf.DUMMYFUNCTION("""COMPUTED_VALUE"""),905.0)</f>
        <v>905</v>
      </c>
      <c r="D678" s="5">
        <f>IFERROR(__xludf.DUMMYFUNCTION("""COMPUTED_VALUE"""),885.0)</f>
        <v>885</v>
      </c>
      <c r="E678" s="5">
        <f>IFERROR(__xludf.DUMMYFUNCTION("""COMPUTED_VALUE"""),890.0)</f>
        <v>890</v>
      </c>
      <c r="F678" s="5">
        <f>IFERROR(__xludf.DUMMYFUNCTION("""COMPUTED_VALUE"""),8534900.0)</f>
        <v>8534900</v>
      </c>
      <c r="G678" s="5">
        <f t="shared" si="1"/>
        <v>20</v>
      </c>
    </row>
    <row r="679">
      <c r="A679" s="4">
        <f>IFERROR(__xludf.DUMMYFUNCTION("""COMPUTED_VALUE"""),44846.66666666667)</f>
        <v>44846.66667</v>
      </c>
      <c r="B679" s="5">
        <f>IFERROR(__xludf.DUMMYFUNCTION("""COMPUTED_VALUE"""),895.0)</f>
        <v>895</v>
      </c>
      <c r="C679" s="5">
        <f>IFERROR(__xludf.DUMMYFUNCTION("""COMPUTED_VALUE"""),910.0)</f>
        <v>910</v>
      </c>
      <c r="D679" s="5">
        <f>IFERROR(__xludf.DUMMYFUNCTION("""COMPUTED_VALUE"""),885.0)</f>
        <v>885</v>
      </c>
      <c r="E679" s="5">
        <f>IFERROR(__xludf.DUMMYFUNCTION("""COMPUTED_VALUE"""),900.0)</f>
        <v>900</v>
      </c>
      <c r="F679" s="5">
        <f>IFERROR(__xludf.DUMMYFUNCTION("""COMPUTED_VALUE"""),1.47348E7)</f>
        <v>14734800</v>
      </c>
      <c r="G679" s="5">
        <f t="shared" si="1"/>
        <v>25</v>
      </c>
    </row>
    <row r="680">
      <c r="A680" s="4">
        <f>IFERROR(__xludf.DUMMYFUNCTION("""COMPUTED_VALUE"""),44847.66666666667)</f>
        <v>44847.66667</v>
      </c>
      <c r="B680" s="5">
        <f>IFERROR(__xludf.DUMMYFUNCTION("""COMPUTED_VALUE"""),900.0)</f>
        <v>900</v>
      </c>
      <c r="C680" s="5">
        <f>IFERROR(__xludf.DUMMYFUNCTION("""COMPUTED_VALUE"""),900.0)</f>
        <v>900</v>
      </c>
      <c r="D680" s="5">
        <f>IFERROR(__xludf.DUMMYFUNCTION("""COMPUTED_VALUE"""),885.0)</f>
        <v>885</v>
      </c>
      <c r="E680" s="5">
        <f>IFERROR(__xludf.DUMMYFUNCTION("""COMPUTED_VALUE"""),895.0)</f>
        <v>895</v>
      </c>
      <c r="F680" s="5">
        <f>IFERROR(__xludf.DUMMYFUNCTION("""COMPUTED_VALUE"""),8058100.0)</f>
        <v>8058100</v>
      </c>
      <c r="G680" s="5">
        <f t="shared" si="1"/>
        <v>15</v>
      </c>
    </row>
    <row r="681">
      <c r="A681" s="4">
        <f>IFERROR(__xludf.DUMMYFUNCTION("""COMPUTED_VALUE"""),44848.66666666667)</f>
        <v>44848.66667</v>
      </c>
      <c r="B681" s="5">
        <f>IFERROR(__xludf.DUMMYFUNCTION("""COMPUTED_VALUE"""),900.0)</f>
        <v>900</v>
      </c>
      <c r="C681" s="5">
        <f>IFERROR(__xludf.DUMMYFUNCTION("""COMPUTED_VALUE"""),905.0)</f>
        <v>905</v>
      </c>
      <c r="D681" s="5">
        <f>IFERROR(__xludf.DUMMYFUNCTION("""COMPUTED_VALUE"""),880.0)</f>
        <v>880</v>
      </c>
      <c r="E681" s="5">
        <f>IFERROR(__xludf.DUMMYFUNCTION("""COMPUTED_VALUE"""),890.0)</f>
        <v>890</v>
      </c>
      <c r="F681" s="5">
        <f>IFERROR(__xludf.DUMMYFUNCTION("""COMPUTED_VALUE"""),7738600.0)</f>
        <v>7738600</v>
      </c>
      <c r="G681" s="5">
        <f t="shared" si="1"/>
        <v>25</v>
      </c>
    </row>
    <row r="682">
      <c r="A682" s="4">
        <f>IFERROR(__xludf.DUMMYFUNCTION("""COMPUTED_VALUE"""),44851.66666666667)</f>
        <v>44851.66667</v>
      </c>
      <c r="B682" s="5">
        <f>IFERROR(__xludf.DUMMYFUNCTION("""COMPUTED_VALUE"""),890.0)</f>
        <v>890</v>
      </c>
      <c r="C682" s="5">
        <f>IFERROR(__xludf.DUMMYFUNCTION("""COMPUTED_VALUE"""),895.0)</f>
        <v>895</v>
      </c>
      <c r="D682" s="5">
        <f>IFERROR(__xludf.DUMMYFUNCTION("""COMPUTED_VALUE"""),880.0)</f>
        <v>880</v>
      </c>
      <c r="E682" s="5">
        <f>IFERROR(__xludf.DUMMYFUNCTION("""COMPUTED_VALUE"""),890.0)</f>
        <v>890</v>
      </c>
      <c r="F682" s="5">
        <f>IFERROR(__xludf.DUMMYFUNCTION("""COMPUTED_VALUE"""),7817100.0)</f>
        <v>7817100</v>
      </c>
      <c r="G682" s="5">
        <f t="shared" si="1"/>
        <v>15</v>
      </c>
    </row>
    <row r="683">
      <c r="A683" s="4">
        <f>IFERROR(__xludf.DUMMYFUNCTION("""COMPUTED_VALUE"""),44852.66666666667)</f>
        <v>44852.66667</v>
      </c>
      <c r="B683" s="5">
        <f>IFERROR(__xludf.DUMMYFUNCTION("""COMPUTED_VALUE"""),895.0)</f>
        <v>895</v>
      </c>
      <c r="C683" s="5">
        <f>IFERROR(__xludf.DUMMYFUNCTION("""COMPUTED_VALUE"""),895.0)</f>
        <v>895</v>
      </c>
      <c r="D683" s="5">
        <f>IFERROR(__xludf.DUMMYFUNCTION("""COMPUTED_VALUE"""),840.0)</f>
        <v>840</v>
      </c>
      <c r="E683" s="5">
        <f>IFERROR(__xludf.DUMMYFUNCTION("""COMPUTED_VALUE"""),845.0)</f>
        <v>845</v>
      </c>
      <c r="F683" s="5">
        <f>IFERROR(__xludf.DUMMYFUNCTION("""COMPUTED_VALUE"""),3.54769E7)</f>
        <v>35476900</v>
      </c>
      <c r="G683" s="5">
        <f t="shared" si="1"/>
        <v>55</v>
      </c>
    </row>
    <row r="684">
      <c r="A684" s="4">
        <f>IFERROR(__xludf.DUMMYFUNCTION("""COMPUTED_VALUE"""),44853.66666666667)</f>
        <v>44853.66667</v>
      </c>
      <c r="B684" s="5">
        <f>IFERROR(__xludf.DUMMYFUNCTION("""COMPUTED_VALUE"""),845.0)</f>
        <v>845</v>
      </c>
      <c r="C684" s="5">
        <f>IFERROR(__xludf.DUMMYFUNCTION("""COMPUTED_VALUE"""),850.0)</f>
        <v>850</v>
      </c>
      <c r="D684" s="5">
        <f>IFERROR(__xludf.DUMMYFUNCTION("""COMPUTED_VALUE"""),820.0)</f>
        <v>820</v>
      </c>
      <c r="E684" s="5">
        <f>IFERROR(__xludf.DUMMYFUNCTION("""COMPUTED_VALUE"""),850.0)</f>
        <v>850</v>
      </c>
      <c r="F684" s="5">
        <f>IFERROR(__xludf.DUMMYFUNCTION("""COMPUTED_VALUE"""),1.78797E7)</f>
        <v>17879700</v>
      </c>
      <c r="G684" s="5">
        <f t="shared" si="1"/>
        <v>30</v>
      </c>
    </row>
    <row r="685">
      <c r="A685" s="4">
        <f>IFERROR(__xludf.DUMMYFUNCTION("""COMPUTED_VALUE"""),44854.66666666667)</f>
        <v>44854.66667</v>
      </c>
      <c r="B685" s="5">
        <f>IFERROR(__xludf.DUMMYFUNCTION("""COMPUTED_VALUE"""),850.0)</f>
        <v>850</v>
      </c>
      <c r="C685" s="5">
        <f>IFERROR(__xludf.DUMMYFUNCTION("""COMPUTED_VALUE"""),865.0)</f>
        <v>865</v>
      </c>
      <c r="D685" s="5">
        <f>IFERROR(__xludf.DUMMYFUNCTION("""COMPUTED_VALUE"""),845.0)</f>
        <v>845</v>
      </c>
      <c r="E685" s="5">
        <f>IFERROR(__xludf.DUMMYFUNCTION("""COMPUTED_VALUE"""),855.0)</f>
        <v>855</v>
      </c>
      <c r="F685" s="5">
        <f>IFERROR(__xludf.DUMMYFUNCTION("""COMPUTED_VALUE"""),8154000.0)</f>
        <v>8154000</v>
      </c>
      <c r="G685" s="5">
        <f t="shared" si="1"/>
        <v>20</v>
      </c>
    </row>
    <row r="686">
      <c r="A686" s="4">
        <f>IFERROR(__xludf.DUMMYFUNCTION("""COMPUTED_VALUE"""),44855.66666666667)</f>
        <v>44855.66667</v>
      </c>
      <c r="B686" s="5">
        <f>IFERROR(__xludf.DUMMYFUNCTION("""COMPUTED_VALUE"""),855.0)</f>
        <v>855</v>
      </c>
      <c r="C686" s="5">
        <f>IFERROR(__xludf.DUMMYFUNCTION("""COMPUTED_VALUE"""),880.0)</f>
        <v>880</v>
      </c>
      <c r="D686" s="5">
        <f>IFERROR(__xludf.DUMMYFUNCTION("""COMPUTED_VALUE"""),855.0)</f>
        <v>855</v>
      </c>
      <c r="E686" s="5">
        <f>IFERROR(__xludf.DUMMYFUNCTION("""COMPUTED_VALUE"""),865.0)</f>
        <v>865</v>
      </c>
      <c r="F686" s="5">
        <f>IFERROR(__xludf.DUMMYFUNCTION("""COMPUTED_VALUE"""),6220900.0)</f>
        <v>6220900</v>
      </c>
      <c r="G686" s="5">
        <f t="shared" si="1"/>
        <v>25</v>
      </c>
    </row>
    <row r="687">
      <c r="A687" s="4">
        <f>IFERROR(__xludf.DUMMYFUNCTION("""COMPUTED_VALUE"""),44858.66666666667)</f>
        <v>44858.66667</v>
      </c>
      <c r="B687" s="5">
        <f>IFERROR(__xludf.DUMMYFUNCTION("""COMPUTED_VALUE"""),875.0)</f>
        <v>875</v>
      </c>
      <c r="C687" s="5">
        <f>IFERROR(__xludf.DUMMYFUNCTION("""COMPUTED_VALUE"""),885.0)</f>
        <v>885</v>
      </c>
      <c r="D687" s="5">
        <f>IFERROR(__xludf.DUMMYFUNCTION("""COMPUTED_VALUE"""),865.0)</f>
        <v>865</v>
      </c>
      <c r="E687" s="5">
        <f>IFERROR(__xludf.DUMMYFUNCTION("""COMPUTED_VALUE"""),865.0)</f>
        <v>865</v>
      </c>
      <c r="F687" s="5">
        <f>IFERROR(__xludf.DUMMYFUNCTION("""COMPUTED_VALUE"""),9501000.0)</f>
        <v>9501000</v>
      </c>
      <c r="G687" s="5">
        <f t="shared" si="1"/>
        <v>20</v>
      </c>
    </row>
    <row r="688">
      <c r="A688" s="4">
        <f>IFERROR(__xludf.DUMMYFUNCTION("""COMPUTED_VALUE"""),44859.66666666667)</f>
        <v>44859.66667</v>
      </c>
      <c r="B688" s="5">
        <f>IFERROR(__xludf.DUMMYFUNCTION("""COMPUTED_VALUE"""),880.0)</f>
        <v>880</v>
      </c>
      <c r="C688" s="5">
        <f>IFERROR(__xludf.DUMMYFUNCTION("""COMPUTED_VALUE"""),895.0)</f>
        <v>895</v>
      </c>
      <c r="D688" s="5">
        <f>IFERROR(__xludf.DUMMYFUNCTION("""COMPUTED_VALUE"""),870.0)</f>
        <v>870</v>
      </c>
      <c r="E688" s="5">
        <f>IFERROR(__xludf.DUMMYFUNCTION("""COMPUTED_VALUE"""),885.0)</f>
        <v>885</v>
      </c>
      <c r="F688" s="5">
        <f>IFERROR(__xludf.DUMMYFUNCTION("""COMPUTED_VALUE"""),1.67659E7)</f>
        <v>16765900</v>
      </c>
      <c r="G688" s="5">
        <f t="shared" si="1"/>
        <v>30</v>
      </c>
    </row>
    <row r="689">
      <c r="A689" s="4">
        <f>IFERROR(__xludf.DUMMYFUNCTION("""COMPUTED_VALUE"""),44860.66666666667)</f>
        <v>44860.66667</v>
      </c>
      <c r="B689" s="5">
        <f>IFERROR(__xludf.DUMMYFUNCTION("""COMPUTED_VALUE"""),885.0)</f>
        <v>885</v>
      </c>
      <c r="C689" s="5">
        <f>IFERROR(__xludf.DUMMYFUNCTION("""COMPUTED_VALUE"""),910.0)</f>
        <v>910</v>
      </c>
      <c r="D689" s="5">
        <f>IFERROR(__xludf.DUMMYFUNCTION("""COMPUTED_VALUE"""),885.0)</f>
        <v>885</v>
      </c>
      <c r="E689" s="5">
        <f>IFERROR(__xludf.DUMMYFUNCTION("""COMPUTED_VALUE"""),900.0)</f>
        <v>900</v>
      </c>
      <c r="F689" s="5">
        <f>IFERROR(__xludf.DUMMYFUNCTION("""COMPUTED_VALUE"""),1.11624E7)</f>
        <v>11162400</v>
      </c>
      <c r="G689" s="5">
        <f t="shared" si="1"/>
        <v>25</v>
      </c>
    </row>
    <row r="690">
      <c r="A690" s="4">
        <f>IFERROR(__xludf.DUMMYFUNCTION("""COMPUTED_VALUE"""),44861.66666666667)</f>
        <v>44861.66667</v>
      </c>
      <c r="B690" s="5">
        <f>IFERROR(__xludf.DUMMYFUNCTION("""COMPUTED_VALUE"""),910.0)</f>
        <v>910</v>
      </c>
      <c r="C690" s="5">
        <f>IFERROR(__xludf.DUMMYFUNCTION("""COMPUTED_VALUE"""),910.0)</f>
        <v>910</v>
      </c>
      <c r="D690" s="5">
        <f>IFERROR(__xludf.DUMMYFUNCTION("""COMPUTED_VALUE"""),890.0)</f>
        <v>890</v>
      </c>
      <c r="E690" s="5">
        <f>IFERROR(__xludf.DUMMYFUNCTION("""COMPUTED_VALUE"""),895.0)</f>
        <v>895</v>
      </c>
      <c r="F690" s="5">
        <f>IFERROR(__xludf.DUMMYFUNCTION("""COMPUTED_VALUE"""),8440300.0)</f>
        <v>8440300</v>
      </c>
      <c r="G690" s="5">
        <f t="shared" si="1"/>
        <v>20</v>
      </c>
    </row>
    <row r="691">
      <c r="A691" s="4">
        <f>IFERROR(__xludf.DUMMYFUNCTION("""COMPUTED_VALUE"""),44862.66666666667)</f>
        <v>44862.66667</v>
      </c>
      <c r="B691" s="5">
        <f>IFERROR(__xludf.DUMMYFUNCTION("""COMPUTED_VALUE"""),890.0)</f>
        <v>890</v>
      </c>
      <c r="C691" s="5">
        <f>IFERROR(__xludf.DUMMYFUNCTION("""COMPUTED_VALUE"""),895.0)</f>
        <v>895</v>
      </c>
      <c r="D691" s="5">
        <f>IFERROR(__xludf.DUMMYFUNCTION("""COMPUTED_VALUE"""),870.0)</f>
        <v>870</v>
      </c>
      <c r="E691" s="5">
        <f>IFERROR(__xludf.DUMMYFUNCTION("""COMPUTED_VALUE"""),880.0)</f>
        <v>880</v>
      </c>
      <c r="F691" s="5">
        <f>IFERROR(__xludf.DUMMYFUNCTION("""COMPUTED_VALUE"""),8929100.0)</f>
        <v>8929100</v>
      </c>
      <c r="G691" s="5">
        <f t="shared" si="1"/>
        <v>25</v>
      </c>
    </row>
    <row r="692">
      <c r="A692" s="4">
        <f>IFERROR(__xludf.DUMMYFUNCTION("""COMPUTED_VALUE"""),44865.66666666667)</f>
        <v>44865.66667</v>
      </c>
      <c r="B692" s="5">
        <f>IFERROR(__xludf.DUMMYFUNCTION("""COMPUTED_VALUE"""),880.0)</f>
        <v>880</v>
      </c>
      <c r="C692" s="5">
        <f>IFERROR(__xludf.DUMMYFUNCTION("""COMPUTED_VALUE"""),895.0)</f>
        <v>895</v>
      </c>
      <c r="D692" s="5">
        <f>IFERROR(__xludf.DUMMYFUNCTION("""COMPUTED_VALUE"""),875.0)</f>
        <v>875</v>
      </c>
      <c r="E692" s="5">
        <f>IFERROR(__xludf.DUMMYFUNCTION("""COMPUTED_VALUE"""),880.0)</f>
        <v>880</v>
      </c>
      <c r="F692" s="5">
        <f>IFERROR(__xludf.DUMMYFUNCTION("""COMPUTED_VALUE"""),7164000.0)</f>
        <v>7164000</v>
      </c>
      <c r="G692" s="5">
        <f t="shared" si="1"/>
        <v>20</v>
      </c>
    </row>
    <row r="693">
      <c r="A693" s="4">
        <f>IFERROR(__xludf.DUMMYFUNCTION("""COMPUTED_VALUE"""),44866.625)</f>
        <v>44866.625</v>
      </c>
      <c r="B693" s="5">
        <f>IFERROR(__xludf.DUMMYFUNCTION("""COMPUTED_VALUE"""),885.0)</f>
        <v>885</v>
      </c>
      <c r="C693" s="5">
        <f>IFERROR(__xludf.DUMMYFUNCTION("""COMPUTED_VALUE"""),905.0)</f>
        <v>905</v>
      </c>
      <c r="D693" s="5">
        <f>IFERROR(__xludf.DUMMYFUNCTION("""COMPUTED_VALUE"""),880.0)</f>
        <v>880</v>
      </c>
      <c r="E693" s="5">
        <f>IFERROR(__xludf.DUMMYFUNCTION("""COMPUTED_VALUE"""),890.0)</f>
        <v>890</v>
      </c>
      <c r="F693" s="5">
        <f>IFERROR(__xludf.DUMMYFUNCTION("""COMPUTED_VALUE"""),1.27856E7)</f>
        <v>12785600</v>
      </c>
      <c r="G693" s="5">
        <f t="shared" si="1"/>
        <v>25</v>
      </c>
    </row>
    <row r="694">
      <c r="A694" s="4">
        <f>IFERROR(__xludf.DUMMYFUNCTION("""COMPUTED_VALUE"""),44867.625)</f>
        <v>44867.625</v>
      </c>
      <c r="B694" s="5">
        <f>IFERROR(__xludf.DUMMYFUNCTION("""COMPUTED_VALUE"""),890.0)</f>
        <v>890</v>
      </c>
      <c r="C694" s="5">
        <f>IFERROR(__xludf.DUMMYFUNCTION("""COMPUTED_VALUE"""),905.0)</f>
        <v>905</v>
      </c>
      <c r="D694" s="5">
        <f>IFERROR(__xludf.DUMMYFUNCTION("""COMPUTED_VALUE"""),885.0)</f>
        <v>885</v>
      </c>
      <c r="E694" s="5">
        <f>IFERROR(__xludf.DUMMYFUNCTION("""COMPUTED_VALUE"""),895.0)</f>
        <v>895</v>
      </c>
      <c r="F694" s="5">
        <f>IFERROR(__xludf.DUMMYFUNCTION("""COMPUTED_VALUE"""),9091900.0)</f>
        <v>9091900</v>
      </c>
      <c r="G694" s="5">
        <f t="shared" si="1"/>
        <v>20</v>
      </c>
    </row>
    <row r="695">
      <c r="A695" s="4">
        <f>IFERROR(__xludf.DUMMYFUNCTION("""COMPUTED_VALUE"""),44868.66666666667)</f>
        <v>44868.66667</v>
      </c>
      <c r="B695" s="5">
        <f>IFERROR(__xludf.DUMMYFUNCTION("""COMPUTED_VALUE"""),885.0)</f>
        <v>885</v>
      </c>
      <c r="C695" s="5">
        <f>IFERROR(__xludf.DUMMYFUNCTION("""COMPUTED_VALUE"""),895.0)</f>
        <v>895</v>
      </c>
      <c r="D695" s="5">
        <f>IFERROR(__xludf.DUMMYFUNCTION("""COMPUTED_VALUE"""),885.0)</f>
        <v>885</v>
      </c>
      <c r="E695" s="5">
        <f>IFERROR(__xludf.DUMMYFUNCTION("""COMPUTED_VALUE"""),890.0)</f>
        <v>890</v>
      </c>
      <c r="F695" s="5">
        <f>IFERROR(__xludf.DUMMYFUNCTION("""COMPUTED_VALUE"""),4876100.0)</f>
        <v>4876100</v>
      </c>
      <c r="G695" s="5">
        <f t="shared" si="1"/>
        <v>10</v>
      </c>
    </row>
    <row r="696">
      <c r="A696" s="4">
        <f>IFERROR(__xludf.DUMMYFUNCTION("""COMPUTED_VALUE"""),44869.66666666667)</f>
        <v>44869.66667</v>
      </c>
      <c r="B696" s="5">
        <f>IFERROR(__xludf.DUMMYFUNCTION("""COMPUTED_VALUE"""),885.0)</f>
        <v>885</v>
      </c>
      <c r="C696" s="5">
        <f>IFERROR(__xludf.DUMMYFUNCTION("""COMPUTED_VALUE"""),890.0)</f>
        <v>890</v>
      </c>
      <c r="D696" s="5">
        <f>IFERROR(__xludf.DUMMYFUNCTION("""COMPUTED_VALUE"""),865.0)</f>
        <v>865</v>
      </c>
      <c r="E696" s="5">
        <f>IFERROR(__xludf.DUMMYFUNCTION("""COMPUTED_VALUE"""),870.0)</f>
        <v>870</v>
      </c>
      <c r="F696" s="5">
        <f>IFERROR(__xludf.DUMMYFUNCTION("""COMPUTED_VALUE"""),1.49676E7)</f>
        <v>14967600</v>
      </c>
      <c r="G696" s="5">
        <f t="shared" si="1"/>
        <v>25</v>
      </c>
    </row>
    <row r="697">
      <c r="A697" s="4">
        <f>IFERROR(__xludf.DUMMYFUNCTION("""COMPUTED_VALUE"""),44872.66666666667)</f>
        <v>44872.66667</v>
      </c>
      <c r="B697" s="5">
        <f>IFERROR(__xludf.DUMMYFUNCTION("""COMPUTED_VALUE"""),875.0)</f>
        <v>875</v>
      </c>
      <c r="C697" s="5">
        <f>IFERROR(__xludf.DUMMYFUNCTION("""COMPUTED_VALUE"""),915.0)</f>
        <v>915</v>
      </c>
      <c r="D697" s="5">
        <f>IFERROR(__xludf.DUMMYFUNCTION("""COMPUTED_VALUE"""),865.0)</f>
        <v>865</v>
      </c>
      <c r="E697" s="5">
        <f>IFERROR(__xludf.DUMMYFUNCTION("""COMPUTED_VALUE"""),915.0)</f>
        <v>915</v>
      </c>
      <c r="F697" s="5">
        <f>IFERROR(__xludf.DUMMYFUNCTION("""COMPUTED_VALUE"""),2.18076E7)</f>
        <v>21807600</v>
      </c>
      <c r="G697" s="5">
        <f t="shared" si="1"/>
        <v>50</v>
      </c>
    </row>
    <row r="698">
      <c r="A698" s="4">
        <f>IFERROR(__xludf.DUMMYFUNCTION("""COMPUTED_VALUE"""),44873.66666666667)</f>
        <v>44873.66667</v>
      </c>
      <c r="B698" s="5">
        <f>IFERROR(__xludf.DUMMYFUNCTION("""COMPUTED_VALUE"""),920.0)</f>
        <v>920</v>
      </c>
      <c r="C698" s="5">
        <f>IFERROR(__xludf.DUMMYFUNCTION("""COMPUTED_VALUE"""),930.0)</f>
        <v>930</v>
      </c>
      <c r="D698" s="5">
        <f>IFERROR(__xludf.DUMMYFUNCTION("""COMPUTED_VALUE"""),905.0)</f>
        <v>905</v>
      </c>
      <c r="E698" s="5">
        <f>IFERROR(__xludf.DUMMYFUNCTION("""COMPUTED_VALUE"""),910.0)</f>
        <v>910</v>
      </c>
      <c r="F698" s="5">
        <f>IFERROR(__xludf.DUMMYFUNCTION("""COMPUTED_VALUE"""),2.3544E7)</f>
        <v>23544000</v>
      </c>
      <c r="G698" s="5">
        <f t="shared" si="1"/>
        <v>25</v>
      </c>
    </row>
    <row r="699">
      <c r="A699" s="4">
        <f>IFERROR(__xludf.DUMMYFUNCTION("""COMPUTED_VALUE"""),44874.66666666667)</f>
        <v>44874.66667</v>
      </c>
      <c r="B699" s="5">
        <f>IFERROR(__xludf.DUMMYFUNCTION("""COMPUTED_VALUE"""),910.0)</f>
        <v>910</v>
      </c>
      <c r="C699" s="5">
        <f>IFERROR(__xludf.DUMMYFUNCTION("""COMPUTED_VALUE"""),935.0)</f>
        <v>935</v>
      </c>
      <c r="D699" s="5">
        <f>IFERROR(__xludf.DUMMYFUNCTION("""COMPUTED_VALUE"""),910.0)</f>
        <v>910</v>
      </c>
      <c r="E699" s="5">
        <f>IFERROR(__xludf.DUMMYFUNCTION("""COMPUTED_VALUE"""),915.0)</f>
        <v>915</v>
      </c>
      <c r="F699" s="5">
        <f>IFERROR(__xludf.DUMMYFUNCTION("""COMPUTED_VALUE"""),2.00873E7)</f>
        <v>20087300</v>
      </c>
      <c r="G699" s="5">
        <f t="shared" si="1"/>
        <v>25</v>
      </c>
    </row>
    <row r="700">
      <c r="A700" s="4">
        <f>IFERROR(__xludf.DUMMYFUNCTION("""COMPUTED_VALUE"""),44875.66666666667)</f>
        <v>44875.66667</v>
      </c>
      <c r="B700" s="5">
        <f>IFERROR(__xludf.DUMMYFUNCTION("""COMPUTED_VALUE"""),920.0)</f>
        <v>920</v>
      </c>
      <c r="C700" s="5">
        <f>IFERROR(__xludf.DUMMYFUNCTION("""COMPUTED_VALUE"""),920.0)</f>
        <v>920</v>
      </c>
      <c r="D700" s="5">
        <f>IFERROR(__xludf.DUMMYFUNCTION("""COMPUTED_VALUE"""),900.0)</f>
        <v>900</v>
      </c>
      <c r="E700" s="5">
        <f>IFERROR(__xludf.DUMMYFUNCTION("""COMPUTED_VALUE"""),905.0)</f>
        <v>905</v>
      </c>
      <c r="F700" s="5">
        <f>IFERROR(__xludf.DUMMYFUNCTION("""COMPUTED_VALUE"""),1.16741E7)</f>
        <v>11674100</v>
      </c>
      <c r="G700" s="5">
        <f t="shared" si="1"/>
        <v>20</v>
      </c>
    </row>
    <row r="701">
      <c r="A701" s="4">
        <f>IFERROR(__xludf.DUMMYFUNCTION("""COMPUTED_VALUE"""),44876.66666666667)</f>
        <v>44876.66667</v>
      </c>
      <c r="B701" s="5">
        <f>IFERROR(__xludf.DUMMYFUNCTION("""COMPUTED_VALUE"""),915.0)</f>
        <v>915</v>
      </c>
      <c r="C701" s="5">
        <f>IFERROR(__xludf.DUMMYFUNCTION("""COMPUTED_VALUE"""),925.0)</f>
        <v>925</v>
      </c>
      <c r="D701" s="5">
        <f>IFERROR(__xludf.DUMMYFUNCTION("""COMPUTED_VALUE"""),905.0)</f>
        <v>905</v>
      </c>
      <c r="E701" s="5">
        <f>IFERROR(__xludf.DUMMYFUNCTION("""COMPUTED_VALUE"""),910.0)</f>
        <v>910</v>
      </c>
      <c r="F701" s="5">
        <f>IFERROR(__xludf.DUMMYFUNCTION("""COMPUTED_VALUE"""),1.70031E7)</f>
        <v>17003100</v>
      </c>
      <c r="G701" s="5">
        <f t="shared" si="1"/>
        <v>20</v>
      </c>
    </row>
    <row r="702">
      <c r="A702" s="4">
        <f>IFERROR(__xludf.DUMMYFUNCTION("""COMPUTED_VALUE"""),44879.66666666667)</f>
        <v>44879.66667</v>
      </c>
      <c r="B702" s="5">
        <f>IFERROR(__xludf.DUMMYFUNCTION("""COMPUTED_VALUE"""),915.0)</f>
        <v>915</v>
      </c>
      <c r="C702" s="5">
        <f>IFERROR(__xludf.DUMMYFUNCTION("""COMPUTED_VALUE"""),925.0)</f>
        <v>925</v>
      </c>
      <c r="D702" s="5">
        <f>IFERROR(__xludf.DUMMYFUNCTION("""COMPUTED_VALUE"""),910.0)</f>
        <v>910</v>
      </c>
      <c r="E702" s="5">
        <f>IFERROR(__xludf.DUMMYFUNCTION("""COMPUTED_VALUE"""),920.0)</f>
        <v>920</v>
      </c>
      <c r="F702" s="5">
        <f>IFERROR(__xludf.DUMMYFUNCTION("""COMPUTED_VALUE"""),8569700.0)</f>
        <v>8569700</v>
      </c>
      <c r="G702" s="5">
        <f t="shared" si="1"/>
        <v>15</v>
      </c>
    </row>
    <row r="703">
      <c r="A703" s="4">
        <f>IFERROR(__xludf.DUMMYFUNCTION("""COMPUTED_VALUE"""),44880.66666666667)</f>
        <v>44880.66667</v>
      </c>
      <c r="B703" s="5">
        <f>IFERROR(__xludf.DUMMYFUNCTION("""COMPUTED_VALUE"""),920.0)</f>
        <v>920</v>
      </c>
      <c r="C703" s="5">
        <f>IFERROR(__xludf.DUMMYFUNCTION("""COMPUTED_VALUE"""),925.0)</f>
        <v>925</v>
      </c>
      <c r="D703" s="5">
        <f>IFERROR(__xludf.DUMMYFUNCTION("""COMPUTED_VALUE"""),905.0)</f>
        <v>905</v>
      </c>
      <c r="E703" s="5">
        <f>IFERROR(__xludf.DUMMYFUNCTION("""COMPUTED_VALUE"""),915.0)</f>
        <v>915</v>
      </c>
      <c r="F703" s="5">
        <f>IFERROR(__xludf.DUMMYFUNCTION("""COMPUTED_VALUE"""),7099900.0)</f>
        <v>7099900</v>
      </c>
      <c r="G703" s="5">
        <f t="shared" si="1"/>
        <v>20</v>
      </c>
    </row>
    <row r="704">
      <c r="A704" s="4">
        <f>IFERROR(__xludf.DUMMYFUNCTION("""COMPUTED_VALUE"""),44881.66666666667)</f>
        <v>44881.66667</v>
      </c>
      <c r="B704" s="5">
        <f>IFERROR(__xludf.DUMMYFUNCTION("""COMPUTED_VALUE"""),915.0)</f>
        <v>915</v>
      </c>
      <c r="C704" s="5">
        <f>IFERROR(__xludf.DUMMYFUNCTION("""COMPUTED_VALUE"""),925.0)</f>
        <v>925</v>
      </c>
      <c r="D704" s="5">
        <f>IFERROR(__xludf.DUMMYFUNCTION("""COMPUTED_VALUE"""),900.0)</f>
        <v>900</v>
      </c>
      <c r="E704" s="5">
        <f>IFERROR(__xludf.DUMMYFUNCTION("""COMPUTED_VALUE"""),910.0)</f>
        <v>910</v>
      </c>
      <c r="F704" s="5">
        <f>IFERROR(__xludf.DUMMYFUNCTION("""COMPUTED_VALUE"""),8979600.0)</f>
        <v>8979600</v>
      </c>
      <c r="G704" s="5">
        <f t="shared" si="1"/>
        <v>25</v>
      </c>
    </row>
    <row r="705">
      <c r="A705" s="4">
        <f>IFERROR(__xludf.DUMMYFUNCTION("""COMPUTED_VALUE"""),44882.66666666667)</f>
        <v>44882.66667</v>
      </c>
      <c r="B705" s="5">
        <f>IFERROR(__xludf.DUMMYFUNCTION("""COMPUTED_VALUE"""),905.0)</f>
        <v>905</v>
      </c>
      <c r="C705" s="5">
        <f>IFERROR(__xludf.DUMMYFUNCTION("""COMPUTED_VALUE"""),950.0)</f>
        <v>950</v>
      </c>
      <c r="D705" s="5">
        <f>IFERROR(__xludf.DUMMYFUNCTION("""COMPUTED_VALUE"""),900.0)</f>
        <v>900</v>
      </c>
      <c r="E705" s="5">
        <f>IFERROR(__xludf.DUMMYFUNCTION("""COMPUTED_VALUE"""),935.0)</f>
        <v>935</v>
      </c>
      <c r="F705" s="5">
        <f>IFERROR(__xludf.DUMMYFUNCTION("""COMPUTED_VALUE"""),3.55559E7)</f>
        <v>35555900</v>
      </c>
      <c r="G705" s="5">
        <f t="shared" si="1"/>
        <v>50</v>
      </c>
    </row>
    <row r="706">
      <c r="A706" s="4">
        <f>IFERROR(__xludf.DUMMYFUNCTION("""COMPUTED_VALUE"""),44883.66666666667)</f>
        <v>44883.66667</v>
      </c>
      <c r="B706" s="5">
        <f>IFERROR(__xludf.DUMMYFUNCTION("""COMPUTED_VALUE"""),935.0)</f>
        <v>935</v>
      </c>
      <c r="C706" s="5">
        <f>IFERROR(__xludf.DUMMYFUNCTION("""COMPUTED_VALUE"""),950.0)</f>
        <v>950</v>
      </c>
      <c r="D706" s="5">
        <f>IFERROR(__xludf.DUMMYFUNCTION("""COMPUTED_VALUE"""),920.0)</f>
        <v>920</v>
      </c>
      <c r="E706" s="5">
        <f>IFERROR(__xludf.DUMMYFUNCTION("""COMPUTED_VALUE"""),920.0)</f>
        <v>920</v>
      </c>
      <c r="F706" s="5">
        <f>IFERROR(__xludf.DUMMYFUNCTION("""COMPUTED_VALUE"""),1.49652E7)</f>
        <v>14965200</v>
      </c>
      <c r="G706" s="5">
        <f t="shared" si="1"/>
        <v>30</v>
      </c>
    </row>
    <row r="707">
      <c r="A707" s="4">
        <f>IFERROR(__xludf.DUMMYFUNCTION("""COMPUTED_VALUE"""),44886.66666666667)</f>
        <v>44886.66667</v>
      </c>
      <c r="B707" s="5">
        <f>IFERROR(__xludf.DUMMYFUNCTION("""COMPUTED_VALUE"""),950.0)</f>
        <v>950</v>
      </c>
      <c r="C707" s="5">
        <f>IFERROR(__xludf.DUMMYFUNCTION("""COMPUTED_VALUE"""),950.0)</f>
        <v>950</v>
      </c>
      <c r="D707" s="5">
        <f>IFERROR(__xludf.DUMMYFUNCTION("""COMPUTED_VALUE"""),910.0)</f>
        <v>910</v>
      </c>
      <c r="E707" s="5">
        <f>IFERROR(__xludf.DUMMYFUNCTION("""COMPUTED_VALUE"""),915.0)</f>
        <v>915</v>
      </c>
      <c r="F707" s="5">
        <f>IFERROR(__xludf.DUMMYFUNCTION("""COMPUTED_VALUE"""),8342000.0)</f>
        <v>8342000</v>
      </c>
      <c r="G707" s="5">
        <f t="shared" si="1"/>
        <v>40</v>
      </c>
    </row>
    <row r="708">
      <c r="A708" s="4">
        <f>IFERROR(__xludf.DUMMYFUNCTION("""COMPUTED_VALUE"""),44887.66666666667)</f>
        <v>44887.66667</v>
      </c>
      <c r="B708" s="5">
        <f>IFERROR(__xludf.DUMMYFUNCTION("""COMPUTED_VALUE"""),915.0)</f>
        <v>915</v>
      </c>
      <c r="C708" s="5">
        <f>IFERROR(__xludf.DUMMYFUNCTION("""COMPUTED_VALUE"""),925.0)</f>
        <v>925</v>
      </c>
      <c r="D708" s="5">
        <f>IFERROR(__xludf.DUMMYFUNCTION("""COMPUTED_VALUE"""),905.0)</f>
        <v>905</v>
      </c>
      <c r="E708" s="5">
        <f>IFERROR(__xludf.DUMMYFUNCTION("""COMPUTED_VALUE"""),905.0)</f>
        <v>905</v>
      </c>
      <c r="F708" s="5">
        <f>IFERROR(__xludf.DUMMYFUNCTION("""COMPUTED_VALUE"""),7905500.0)</f>
        <v>7905500</v>
      </c>
      <c r="G708" s="5">
        <f t="shared" si="1"/>
        <v>20</v>
      </c>
    </row>
    <row r="709">
      <c r="A709" s="4">
        <f>IFERROR(__xludf.DUMMYFUNCTION("""COMPUTED_VALUE"""),44888.66666666667)</f>
        <v>44888.66667</v>
      </c>
      <c r="B709" s="5">
        <f>IFERROR(__xludf.DUMMYFUNCTION("""COMPUTED_VALUE"""),910.0)</f>
        <v>910</v>
      </c>
      <c r="C709" s="5">
        <f>IFERROR(__xludf.DUMMYFUNCTION("""COMPUTED_VALUE"""),925.0)</f>
        <v>925</v>
      </c>
      <c r="D709" s="5">
        <f>IFERROR(__xludf.DUMMYFUNCTION("""COMPUTED_VALUE"""),905.0)</f>
        <v>905</v>
      </c>
      <c r="E709" s="5">
        <f>IFERROR(__xludf.DUMMYFUNCTION("""COMPUTED_VALUE"""),920.0)</f>
        <v>920</v>
      </c>
      <c r="F709" s="5">
        <f>IFERROR(__xludf.DUMMYFUNCTION("""COMPUTED_VALUE"""),5549200.0)</f>
        <v>5549200</v>
      </c>
      <c r="G709" s="5">
        <f t="shared" si="1"/>
        <v>20</v>
      </c>
    </row>
    <row r="710">
      <c r="A710" s="4">
        <f>IFERROR(__xludf.DUMMYFUNCTION("""COMPUTED_VALUE"""),44889.66666666667)</f>
        <v>44889.66667</v>
      </c>
      <c r="B710" s="5">
        <f>IFERROR(__xludf.DUMMYFUNCTION("""COMPUTED_VALUE"""),920.0)</f>
        <v>920</v>
      </c>
      <c r="C710" s="5">
        <f>IFERROR(__xludf.DUMMYFUNCTION("""COMPUTED_VALUE"""),935.0)</f>
        <v>935</v>
      </c>
      <c r="D710" s="5">
        <f>IFERROR(__xludf.DUMMYFUNCTION("""COMPUTED_VALUE"""),910.0)</f>
        <v>910</v>
      </c>
      <c r="E710" s="5">
        <f>IFERROR(__xludf.DUMMYFUNCTION("""COMPUTED_VALUE"""),925.0)</f>
        <v>925</v>
      </c>
      <c r="F710" s="5">
        <f>IFERROR(__xludf.DUMMYFUNCTION("""COMPUTED_VALUE"""),1.88364E7)</f>
        <v>18836400</v>
      </c>
      <c r="G710" s="5">
        <f t="shared" si="1"/>
        <v>25</v>
      </c>
    </row>
    <row r="711">
      <c r="A711" s="4">
        <f>IFERROR(__xludf.DUMMYFUNCTION("""COMPUTED_VALUE"""),44890.66666666667)</f>
        <v>44890.66667</v>
      </c>
      <c r="B711" s="5">
        <f>IFERROR(__xludf.DUMMYFUNCTION("""COMPUTED_VALUE"""),935.0)</f>
        <v>935</v>
      </c>
      <c r="C711" s="5">
        <f>IFERROR(__xludf.DUMMYFUNCTION("""COMPUTED_VALUE"""),945.0)</f>
        <v>945</v>
      </c>
      <c r="D711" s="5">
        <f>IFERROR(__xludf.DUMMYFUNCTION("""COMPUTED_VALUE"""),920.0)</f>
        <v>920</v>
      </c>
      <c r="E711" s="5">
        <f>IFERROR(__xludf.DUMMYFUNCTION("""COMPUTED_VALUE"""),925.0)</f>
        <v>925</v>
      </c>
      <c r="F711" s="5">
        <f>IFERROR(__xludf.DUMMYFUNCTION("""COMPUTED_VALUE"""),1.19467E7)</f>
        <v>11946700</v>
      </c>
      <c r="G711" s="5">
        <f t="shared" si="1"/>
        <v>25</v>
      </c>
    </row>
    <row r="712">
      <c r="A712" s="4">
        <f>IFERROR(__xludf.DUMMYFUNCTION("""COMPUTED_VALUE"""),44893.66666666667)</f>
        <v>44893.66667</v>
      </c>
      <c r="B712" s="5">
        <f>IFERROR(__xludf.DUMMYFUNCTION("""COMPUTED_VALUE"""),925.0)</f>
        <v>925</v>
      </c>
      <c r="C712" s="5">
        <f>IFERROR(__xludf.DUMMYFUNCTION("""COMPUTED_VALUE"""),930.0)</f>
        <v>930</v>
      </c>
      <c r="D712" s="5">
        <f>IFERROR(__xludf.DUMMYFUNCTION("""COMPUTED_VALUE"""),900.0)</f>
        <v>900</v>
      </c>
      <c r="E712" s="5">
        <f>IFERROR(__xludf.DUMMYFUNCTION("""COMPUTED_VALUE"""),910.0)</f>
        <v>910</v>
      </c>
      <c r="F712" s="5">
        <f>IFERROR(__xludf.DUMMYFUNCTION("""COMPUTED_VALUE"""),1.48187E7)</f>
        <v>14818700</v>
      </c>
      <c r="G712" s="5">
        <f t="shared" si="1"/>
        <v>30</v>
      </c>
    </row>
    <row r="713">
      <c r="A713" s="4">
        <f>IFERROR(__xludf.DUMMYFUNCTION("""COMPUTED_VALUE"""),44894.66666666667)</f>
        <v>44894.66667</v>
      </c>
      <c r="B713" s="5">
        <f>IFERROR(__xludf.DUMMYFUNCTION("""COMPUTED_VALUE"""),910.0)</f>
        <v>910</v>
      </c>
      <c r="C713" s="5">
        <f>IFERROR(__xludf.DUMMYFUNCTION("""COMPUTED_VALUE"""),915.0)</f>
        <v>915</v>
      </c>
      <c r="D713" s="5">
        <f>IFERROR(__xludf.DUMMYFUNCTION("""COMPUTED_VALUE"""),900.0)</f>
        <v>900</v>
      </c>
      <c r="E713" s="5">
        <f>IFERROR(__xludf.DUMMYFUNCTION("""COMPUTED_VALUE"""),900.0)</f>
        <v>900</v>
      </c>
      <c r="F713" s="5">
        <f>IFERROR(__xludf.DUMMYFUNCTION("""COMPUTED_VALUE"""),7356400.0)</f>
        <v>7356400</v>
      </c>
      <c r="G713" s="5">
        <f t="shared" si="1"/>
        <v>15</v>
      </c>
    </row>
    <row r="714">
      <c r="A714" s="4">
        <f>IFERROR(__xludf.DUMMYFUNCTION("""COMPUTED_VALUE"""),44895.66666666667)</f>
        <v>44895.66667</v>
      </c>
      <c r="B714" s="5">
        <f>IFERROR(__xludf.DUMMYFUNCTION("""COMPUTED_VALUE"""),905.0)</f>
        <v>905</v>
      </c>
      <c r="C714" s="5">
        <f>IFERROR(__xludf.DUMMYFUNCTION("""COMPUTED_VALUE"""),910.0)</f>
        <v>910</v>
      </c>
      <c r="D714" s="5">
        <f>IFERROR(__xludf.DUMMYFUNCTION("""COMPUTED_VALUE"""),880.0)</f>
        <v>880</v>
      </c>
      <c r="E714" s="5">
        <f>IFERROR(__xludf.DUMMYFUNCTION("""COMPUTED_VALUE"""),890.0)</f>
        <v>890</v>
      </c>
      <c r="F714" s="5">
        <f>IFERROR(__xludf.DUMMYFUNCTION("""COMPUTED_VALUE"""),2.35803E7)</f>
        <v>23580300</v>
      </c>
      <c r="G714" s="5">
        <f t="shared" si="1"/>
        <v>30</v>
      </c>
    </row>
    <row r="715">
      <c r="A715" s="4">
        <f>IFERROR(__xludf.DUMMYFUNCTION("""COMPUTED_VALUE"""),44896.66666666667)</f>
        <v>44896.66667</v>
      </c>
      <c r="B715" s="5">
        <f>IFERROR(__xludf.DUMMYFUNCTION("""COMPUTED_VALUE"""),890.0)</f>
        <v>890</v>
      </c>
      <c r="C715" s="5">
        <f>IFERROR(__xludf.DUMMYFUNCTION("""COMPUTED_VALUE"""),900.0)</f>
        <v>900</v>
      </c>
      <c r="D715" s="5">
        <f>IFERROR(__xludf.DUMMYFUNCTION("""COMPUTED_VALUE"""),885.0)</f>
        <v>885</v>
      </c>
      <c r="E715" s="5">
        <f>IFERROR(__xludf.DUMMYFUNCTION("""COMPUTED_VALUE"""),890.0)</f>
        <v>890</v>
      </c>
      <c r="F715" s="5">
        <f>IFERROR(__xludf.DUMMYFUNCTION("""COMPUTED_VALUE"""),1.50731E7)</f>
        <v>15073100</v>
      </c>
      <c r="G715" s="5">
        <f t="shared" si="1"/>
        <v>15</v>
      </c>
    </row>
    <row r="716">
      <c r="A716" s="4">
        <f>IFERROR(__xludf.DUMMYFUNCTION("""COMPUTED_VALUE"""),44897.66666666667)</f>
        <v>44897.66667</v>
      </c>
      <c r="B716" s="5">
        <f>IFERROR(__xludf.DUMMYFUNCTION("""COMPUTED_VALUE"""),890.0)</f>
        <v>890</v>
      </c>
      <c r="C716" s="5">
        <f>IFERROR(__xludf.DUMMYFUNCTION("""COMPUTED_VALUE"""),900.0)</f>
        <v>900</v>
      </c>
      <c r="D716" s="5">
        <f>IFERROR(__xludf.DUMMYFUNCTION("""COMPUTED_VALUE"""),885.0)</f>
        <v>885</v>
      </c>
      <c r="E716" s="5">
        <f>IFERROR(__xludf.DUMMYFUNCTION("""COMPUTED_VALUE"""),895.0)</f>
        <v>895</v>
      </c>
      <c r="F716" s="5">
        <f>IFERROR(__xludf.DUMMYFUNCTION("""COMPUTED_VALUE"""),7161600.0)</f>
        <v>7161600</v>
      </c>
      <c r="G716" s="5">
        <f t="shared" si="1"/>
        <v>15</v>
      </c>
    </row>
    <row r="717">
      <c r="A717" s="4">
        <f>IFERROR(__xludf.DUMMYFUNCTION("""COMPUTED_VALUE"""),44900.66666666667)</f>
        <v>44900.66667</v>
      </c>
      <c r="B717" s="5">
        <f>IFERROR(__xludf.DUMMYFUNCTION("""COMPUTED_VALUE"""),895.0)</f>
        <v>895</v>
      </c>
      <c r="C717" s="5">
        <f>IFERROR(__xludf.DUMMYFUNCTION("""COMPUTED_VALUE"""),905.0)</f>
        <v>905</v>
      </c>
      <c r="D717" s="5">
        <f>IFERROR(__xludf.DUMMYFUNCTION("""COMPUTED_VALUE"""),890.0)</f>
        <v>890</v>
      </c>
      <c r="E717" s="5">
        <f>IFERROR(__xludf.DUMMYFUNCTION("""COMPUTED_VALUE"""),890.0)</f>
        <v>890</v>
      </c>
      <c r="F717" s="5">
        <f>IFERROR(__xludf.DUMMYFUNCTION("""COMPUTED_VALUE"""),7211200.0)</f>
        <v>7211200</v>
      </c>
      <c r="G717" s="5">
        <f t="shared" si="1"/>
        <v>15</v>
      </c>
    </row>
    <row r="718">
      <c r="A718" s="4">
        <f>IFERROR(__xludf.DUMMYFUNCTION("""COMPUTED_VALUE"""),44901.66666666667)</f>
        <v>44901.66667</v>
      </c>
      <c r="B718" s="5">
        <f>IFERROR(__xludf.DUMMYFUNCTION("""COMPUTED_VALUE"""),890.0)</f>
        <v>890</v>
      </c>
      <c r="C718" s="5">
        <f>IFERROR(__xludf.DUMMYFUNCTION("""COMPUTED_VALUE"""),890.0)</f>
        <v>890</v>
      </c>
      <c r="D718" s="5">
        <f>IFERROR(__xludf.DUMMYFUNCTION("""COMPUTED_VALUE"""),850.0)</f>
        <v>850</v>
      </c>
      <c r="E718" s="5">
        <f>IFERROR(__xludf.DUMMYFUNCTION("""COMPUTED_VALUE"""),855.0)</f>
        <v>855</v>
      </c>
      <c r="F718" s="5">
        <f>IFERROR(__xludf.DUMMYFUNCTION("""COMPUTED_VALUE"""),2.4214E7)</f>
        <v>24214000</v>
      </c>
      <c r="G718" s="5">
        <f t="shared" si="1"/>
        <v>40</v>
      </c>
    </row>
    <row r="719">
      <c r="A719" s="4">
        <f>IFERROR(__xludf.DUMMYFUNCTION("""COMPUTED_VALUE"""),44902.66666666667)</f>
        <v>44902.66667</v>
      </c>
      <c r="B719" s="5">
        <f>IFERROR(__xludf.DUMMYFUNCTION("""COMPUTED_VALUE"""),855.0)</f>
        <v>855</v>
      </c>
      <c r="C719" s="5">
        <f>IFERROR(__xludf.DUMMYFUNCTION("""COMPUTED_VALUE"""),855.0)</f>
        <v>855</v>
      </c>
      <c r="D719" s="5">
        <f>IFERROR(__xludf.DUMMYFUNCTION("""COMPUTED_VALUE"""),800.0)</f>
        <v>800</v>
      </c>
      <c r="E719" s="5">
        <f>IFERROR(__xludf.DUMMYFUNCTION("""COMPUTED_VALUE"""),805.0)</f>
        <v>805</v>
      </c>
      <c r="F719" s="5">
        <f>IFERROR(__xludf.DUMMYFUNCTION("""COMPUTED_VALUE"""),4.34996E7)</f>
        <v>43499600</v>
      </c>
      <c r="G719" s="5">
        <f t="shared" si="1"/>
        <v>55</v>
      </c>
    </row>
    <row r="720">
      <c r="A720" s="4">
        <f>IFERROR(__xludf.DUMMYFUNCTION("""COMPUTED_VALUE"""),44903.66666666667)</f>
        <v>44903.66667</v>
      </c>
      <c r="B720" s="5">
        <f>IFERROR(__xludf.DUMMYFUNCTION("""COMPUTED_VALUE"""),810.0)</f>
        <v>810</v>
      </c>
      <c r="C720" s="5">
        <f>IFERROR(__xludf.DUMMYFUNCTION("""COMPUTED_VALUE"""),850.0)</f>
        <v>850</v>
      </c>
      <c r="D720" s="5">
        <f>IFERROR(__xludf.DUMMYFUNCTION("""COMPUTED_VALUE"""),785.0)</f>
        <v>785</v>
      </c>
      <c r="E720" s="5">
        <f>IFERROR(__xludf.DUMMYFUNCTION("""COMPUTED_VALUE"""),850.0)</f>
        <v>850</v>
      </c>
      <c r="F720" s="5">
        <f>IFERROR(__xludf.DUMMYFUNCTION("""COMPUTED_VALUE"""),1.91094E7)</f>
        <v>19109400</v>
      </c>
      <c r="G720" s="5">
        <f t="shared" si="1"/>
        <v>65</v>
      </c>
    </row>
    <row r="721">
      <c r="A721" s="4">
        <f>IFERROR(__xludf.DUMMYFUNCTION("""COMPUTED_VALUE"""),44904.66666666667)</f>
        <v>44904.66667</v>
      </c>
      <c r="B721" s="5">
        <f>IFERROR(__xludf.DUMMYFUNCTION("""COMPUTED_VALUE"""),860.0)</f>
        <v>860</v>
      </c>
      <c r="C721" s="5">
        <f>IFERROR(__xludf.DUMMYFUNCTION("""COMPUTED_VALUE"""),860.0)</f>
        <v>860</v>
      </c>
      <c r="D721" s="5">
        <f>IFERROR(__xludf.DUMMYFUNCTION("""COMPUTED_VALUE"""),815.0)</f>
        <v>815</v>
      </c>
      <c r="E721" s="5">
        <f>IFERROR(__xludf.DUMMYFUNCTION("""COMPUTED_VALUE"""),820.0)</f>
        <v>820</v>
      </c>
      <c r="F721" s="5">
        <f>IFERROR(__xludf.DUMMYFUNCTION("""COMPUTED_VALUE"""),1.0344E7)</f>
        <v>10344000</v>
      </c>
      <c r="G721" s="5">
        <f t="shared" si="1"/>
        <v>45</v>
      </c>
    </row>
    <row r="722">
      <c r="A722" s="4">
        <f>IFERROR(__xludf.DUMMYFUNCTION("""COMPUTED_VALUE"""),44907.66666666667)</f>
        <v>44907.66667</v>
      </c>
      <c r="B722" s="5">
        <f>IFERROR(__xludf.DUMMYFUNCTION("""COMPUTED_VALUE"""),820.0)</f>
        <v>820</v>
      </c>
      <c r="C722" s="5">
        <f>IFERROR(__xludf.DUMMYFUNCTION("""COMPUTED_VALUE"""),830.0)</f>
        <v>830</v>
      </c>
      <c r="D722" s="5">
        <f>IFERROR(__xludf.DUMMYFUNCTION("""COMPUTED_VALUE"""),805.0)</f>
        <v>805</v>
      </c>
      <c r="E722" s="5">
        <f>IFERROR(__xludf.DUMMYFUNCTION("""COMPUTED_VALUE"""),805.0)</f>
        <v>805</v>
      </c>
      <c r="F722" s="5">
        <f>IFERROR(__xludf.DUMMYFUNCTION("""COMPUTED_VALUE"""),9501400.0)</f>
        <v>9501400</v>
      </c>
      <c r="G722" s="5">
        <f t="shared" si="1"/>
        <v>25</v>
      </c>
    </row>
    <row r="723">
      <c r="A723" s="4">
        <f>IFERROR(__xludf.DUMMYFUNCTION("""COMPUTED_VALUE"""),44908.66666666667)</f>
        <v>44908.66667</v>
      </c>
      <c r="B723" s="5">
        <f>IFERROR(__xludf.DUMMYFUNCTION("""COMPUTED_VALUE"""),805.0)</f>
        <v>805</v>
      </c>
      <c r="C723" s="5">
        <f>IFERROR(__xludf.DUMMYFUNCTION("""COMPUTED_VALUE"""),815.0)</f>
        <v>815</v>
      </c>
      <c r="D723" s="5">
        <f>IFERROR(__xludf.DUMMYFUNCTION("""COMPUTED_VALUE"""),780.0)</f>
        <v>780</v>
      </c>
      <c r="E723" s="5">
        <f>IFERROR(__xludf.DUMMYFUNCTION("""COMPUTED_VALUE"""),780.0)</f>
        <v>780</v>
      </c>
      <c r="F723" s="5">
        <f>IFERROR(__xludf.DUMMYFUNCTION("""COMPUTED_VALUE"""),2.55517E7)</f>
        <v>25551700</v>
      </c>
      <c r="G723" s="5">
        <f t="shared" si="1"/>
        <v>35</v>
      </c>
    </row>
    <row r="724">
      <c r="A724" s="4">
        <f>IFERROR(__xludf.DUMMYFUNCTION("""COMPUTED_VALUE"""),44909.66666666667)</f>
        <v>44909.66667</v>
      </c>
      <c r="B724" s="5">
        <f>IFERROR(__xludf.DUMMYFUNCTION("""COMPUTED_VALUE"""),785.0)</f>
        <v>785</v>
      </c>
      <c r="C724" s="5">
        <f>IFERROR(__xludf.DUMMYFUNCTION("""COMPUTED_VALUE"""),785.0)</f>
        <v>785</v>
      </c>
      <c r="D724" s="5">
        <f>IFERROR(__xludf.DUMMYFUNCTION("""COMPUTED_VALUE"""),730.0)</f>
        <v>730</v>
      </c>
      <c r="E724" s="5">
        <f>IFERROR(__xludf.DUMMYFUNCTION("""COMPUTED_VALUE"""),745.0)</f>
        <v>745</v>
      </c>
      <c r="F724" s="5">
        <f>IFERROR(__xludf.DUMMYFUNCTION("""COMPUTED_VALUE"""),7.11329E7)</f>
        <v>71132900</v>
      </c>
      <c r="G724" s="5">
        <f t="shared" si="1"/>
        <v>55</v>
      </c>
    </row>
    <row r="725">
      <c r="A725" s="4">
        <f>IFERROR(__xludf.DUMMYFUNCTION("""COMPUTED_VALUE"""),44910.66666666667)</f>
        <v>44910.66667</v>
      </c>
      <c r="B725" s="5">
        <f>IFERROR(__xludf.DUMMYFUNCTION("""COMPUTED_VALUE"""),750.0)</f>
        <v>750</v>
      </c>
      <c r="C725" s="5">
        <f>IFERROR(__xludf.DUMMYFUNCTION("""COMPUTED_VALUE"""),765.0)</f>
        <v>765</v>
      </c>
      <c r="D725" s="5">
        <f>IFERROR(__xludf.DUMMYFUNCTION("""COMPUTED_VALUE"""),745.0)</f>
        <v>745</v>
      </c>
      <c r="E725" s="5">
        <f>IFERROR(__xludf.DUMMYFUNCTION("""COMPUTED_VALUE"""),755.0)</f>
        <v>755</v>
      </c>
      <c r="F725" s="5">
        <f>IFERROR(__xludf.DUMMYFUNCTION("""COMPUTED_VALUE"""),1.39673E7)</f>
        <v>13967300</v>
      </c>
      <c r="G725" s="5">
        <f t="shared" si="1"/>
        <v>20</v>
      </c>
    </row>
    <row r="726">
      <c r="A726" s="4">
        <f>IFERROR(__xludf.DUMMYFUNCTION("""COMPUTED_VALUE"""),44911.66666666667)</f>
        <v>44911.66667</v>
      </c>
      <c r="B726" s="5">
        <f>IFERROR(__xludf.DUMMYFUNCTION("""COMPUTED_VALUE"""),750.0)</f>
        <v>750</v>
      </c>
      <c r="C726" s="5">
        <f>IFERROR(__xludf.DUMMYFUNCTION("""COMPUTED_VALUE"""),755.0)</f>
        <v>755</v>
      </c>
      <c r="D726" s="5">
        <f>IFERROR(__xludf.DUMMYFUNCTION("""COMPUTED_VALUE"""),735.0)</f>
        <v>735</v>
      </c>
      <c r="E726" s="5">
        <f>IFERROR(__xludf.DUMMYFUNCTION("""COMPUTED_VALUE"""),740.0)</f>
        <v>740</v>
      </c>
      <c r="F726" s="5">
        <f>IFERROR(__xludf.DUMMYFUNCTION("""COMPUTED_VALUE"""),1.03076E7)</f>
        <v>10307600</v>
      </c>
      <c r="G726" s="5">
        <f t="shared" si="1"/>
        <v>20</v>
      </c>
    </row>
    <row r="727">
      <c r="A727" s="4">
        <f>IFERROR(__xludf.DUMMYFUNCTION("""COMPUTED_VALUE"""),44914.66666666667)</f>
        <v>44914.66667</v>
      </c>
      <c r="B727" s="5">
        <f>IFERROR(__xludf.DUMMYFUNCTION("""COMPUTED_VALUE"""),740.0)</f>
        <v>740</v>
      </c>
      <c r="C727" s="5">
        <f>IFERROR(__xludf.DUMMYFUNCTION("""COMPUTED_VALUE"""),745.0)</f>
        <v>745</v>
      </c>
      <c r="D727" s="5">
        <f>IFERROR(__xludf.DUMMYFUNCTION("""COMPUTED_VALUE"""),725.0)</f>
        <v>725</v>
      </c>
      <c r="E727" s="5">
        <f>IFERROR(__xludf.DUMMYFUNCTION("""COMPUTED_VALUE"""),730.0)</f>
        <v>730</v>
      </c>
      <c r="F727" s="5">
        <f>IFERROR(__xludf.DUMMYFUNCTION("""COMPUTED_VALUE"""),8915100.0)</f>
        <v>8915100</v>
      </c>
      <c r="G727" s="5">
        <f t="shared" si="1"/>
        <v>20</v>
      </c>
    </row>
    <row r="728">
      <c r="A728" s="4">
        <f>IFERROR(__xludf.DUMMYFUNCTION("""COMPUTED_VALUE"""),44915.66666666667)</f>
        <v>44915.66667</v>
      </c>
      <c r="B728" s="5">
        <f>IFERROR(__xludf.DUMMYFUNCTION("""COMPUTED_VALUE"""),730.0)</f>
        <v>730</v>
      </c>
      <c r="C728" s="5">
        <f>IFERROR(__xludf.DUMMYFUNCTION("""COMPUTED_VALUE"""),735.0)</f>
        <v>735</v>
      </c>
      <c r="D728" s="5">
        <f>IFERROR(__xludf.DUMMYFUNCTION("""COMPUTED_VALUE"""),705.0)</f>
        <v>705</v>
      </c>
      <c r="E728" s="5">
        <f>IFERROR(__xludf.DUMMYFUNCTION("""COMPUTED_VALUE"""),705.0)</f>
        <v>705</v>
      </c>
      <c r="F728" s="5">
        <f>IFERROR(__xludf.DUMMYFUNCTION("""COMPUTED_VALUE"""),1.84046E7)</f>
        <v>18404600</v>
      </c>
      <c r="G728" s="5">
        <f t="shared" si="1"/>
        <v>30</v>
      </c>
    </row>
    <row r="729">
      <c r="A729" s="4">
        <f>IFERROR(__xludf.DUMMYFUNCTION("""COMPUTED_VALUE"""),44916.66666666667)</f>
        <v>44916.66667</v>
      </c>
      <c r="B729" s="5">
        <f>IFERROR(__xludf.DUMMYFUNCTION("""COMPUTED_VALUE"""),705.0)</f>
        <v>705</v>
      </c>
      <c r="C729" s="5">
        <f>IFERROR(__xludf.DUMMYFUNCTION("""COMPUTED_VALUE"""),725.0)</f>
        <v>725</v>
      </c>
      <c r="D729" s="5">
        <f>IFERROR(__xludf.DUMMYFUNCTION("""COMPUTED_VALUE"""),700.0)</f>
        <v>700</v>
      </c>
      <c r="E729" s="5">
        <f>IFERROR(__xludf.DUMMYFUNCTION("""COMPUTED_VALUE"""),715.0)</f>
        <v>715</v>
      </c>
      <c r="F729" s="5">
        <f>IFERROR(__xludf.DUMMYFUNCTION("""COMPUTED_VALUE"""),9722400.0)</f>
        <v>9722400</v>
      </c>
      <c r="G729" s="5">
        <f t="shared" si="1"/>
        <v>25</v>
      </c>
    </row>
    <row r="730">
      <c r="A730" s="4">
        <f>IFERROR(__xludf.DUMMYFUNCTION("""COMPUTED_VALUE"""),44917.66666666667)</f>
        <v>44917.66667</v>
      </c>
      <c r="B730" s="5">
        <f>IFERROR(__xludf.DUMMYFUNCTION("""COMPUTED_VALUE"""),715.0)</f>
        <v>715</v>
      </c>
      <c r="C730" s="5">
        <f>IFERROR(__xludf.DUMMYFUNCTION("""COMPUTED_VALUE"""),735.0)</f>
        <v>735</v>
      </c>
      <c r="D730" s="5">
        <f>IFERROR(__xludf.DUMMYFUNCTION("""COMPUTED_VALUE"""),715.0)</f>
        <v>715</v>
      </c>
      <c r="E730" s="5">
        <f>IFERROR(__xludf.DUMMYFUNCTION("""COMPUTED_VALUE"""),725.0)</f>
        <v>725</v>
      </c>
      <c r="F730" s="5">
        <f>IFERROR(__xludf.DUMMYFUNCTION("""COMPUTED_VALUE"""),6754900.0)</f>
        <v>6754900</v>
      </c>
      <c r="G730" s="5">
        <f t="shared" si="1"/>
        <v>20</v>
      </c>
    </row>
    <row r="731">
      <c r="A731" s="4">
        <f>IFERROR(__xludf.DUMMYFUNCTION("""COMPUTED_VALUE"""),44918.66666666667)</f>
        <v>44918.66667</v>
      </c>
      <c r="B731" s="5">
        <f>IFERROR(__xludf.DUMMYFUNCTION("""COMPUTED_VALUE"""),715.0)</f>
        <v>715</v>
      </c>
      <c r="C731" s="5">
        <f>IFERROR(__xludf.DUMMYFUNCTION("""COMPUTED_VALUE"""),730.0)</f>
        <v>730</v>
      </c>
      <c r="D731" s="5">
        <f>IFERROR(__xludf.DUMMYFUNCTION("""COMPUTED_VALUE"""),715.0)</f>
        <v>715</v>
      </c>
      <c r="E731" s="5">
        <f>IFERROR(__xludf.DUMMYFUNCTION("""COMPUTED_VALUE"""),725.0)</f>
        <v>725</v>
      </c>
      <c r="F731" s="5">
        <f>IFERROR(__xludf.DUMMYFUNCTION("""COMPUTED_VALUE"""),4392600.0)</f>
        <v>4392600</v>
      </c>
      <c r="G731" s="5">
        <f t="shared" si="1"/>
        <v>15</v>
      </c>
    </row>
    <row r="732">
      <c r="A732" s="4">
        <f>IFERROR(__xludf.DUMMYFUNCTION("""COMPUTED_VALUE"""),44921.66666666667)</f>
        <v>44921.66667</v>
      </c>
      <c r="B732" s="5">
        <f>IFERROR(__xludf.DUMMYFUNCTION("""COMPUTED_VALUE"""),730.0)</f>
        <v>730</v>
      </c>
      <c r="C732" s="5">
        <f>IFERROR(__xludf.DUMMYFUNCTION("""COMPUTED_VALUE"""),735.0)</f>
        <v>735</v>
      </c>
      <c r="D732" s="5">
        <f>IFERROR(__xludf.DUMMYFUNCTION("""COMPUTED_VALUE"""),720.0)</f>
        <v>720</v>
      </c>
      <c r="E732" s="5">
        <f>IFERROR(__xludf.DUMMYFUNCTION("""COMPUTED_VALUE"""),720.0)</f>
        <v>720</v>
      </c>
      <c r="F732" s="5">
        <f>IFERROR(__xludf.DUMMYFUNCTION("""COMPUTED_VALUE"""),6866500.0)</f>
        <v>6866500</v>
      </c>
      <c r="G732" s="5">
        <f t="shared" si="1"/>
        <v>15</v>
      </c>
    </row>
    <row r="733">
      <c r="A733" s="4">
        <f>IFERROR(__xludf.DUMMYFUNCTION("""COMPUTED_VALUE"""),44922.66666666667)</f>
        <v>44922.66667</v>
      </c>
      <c r="B733" s="5">
        <f>IFERROR(__xludf.DUMMYFUNCTION("""COMPUTED_VALUE"""),720.0)</f>
        <v>720</v>
      </c>
      <c r="C733" s="5">
        <f>IFERROR(__xludf.DUMMYFUNCTION("""COMPUTED_VALUE"""),730.0)</f>
        <v>730</v>
      </c>
      <c r="D733" s="5">
        <f>IFERROR(__xludf.DUMMYFUNCTION("""COMPUTED_VALUE"""),715.0)</f>
        <v>715</v>
      </c>
      <c r="E733" s="5">
        <f>IFERROR(__xludf.DUMMYFUNCTION("""COMPUTED_VALUE"""),720.0)</f>
        <v>720</v>
      </c>
      <c r="F733" s="5">
        <f>IFERROR(__xludf.DUMMYFUNCTION("""COMPUTED_VALUE"""),5496400.0)</f>
        <v>5496400</v>
      </c>
      <c r="G733" s="5">
        <f t="shared" si="1"/>
        <v>15</v>
      </c>
    </row>
    <row r="734">
      <c r="A734" s="4">
        <f>IFERROR(__xludf.DUMMYFUNCTION("""COMPUTED_VALUE"""),44923.66666666667)</f>
        <v>44923.66667</v>
      </c>
      <c r="B734" s="5">
        <f>IFERROR(__xludf.DUMMYFUNCTION("""COMPUTED_VALUE"""),720.0)</f>
        <v>720</v>
      </c>
      <c r="C734" s="5">
        <f>IFERROR(__xludf.DUMMYFUNCTION("""COMPUTED_VALUE"""),720.0)</f>
        <v>720</v>
      </c>
      <c r="D734" s="5">
        <f>IFERROR(__xludf.DUMMYFUNCTION("""COMPUTED_VALUE"""),710.0)</f>
        <v>710</v>
      </c>
      <c r="E734" s="5">
        <f>IFERROR(__xludf.DUMMYFUNCTION("""COMPUTED_VALUE"""),715.0)</f>
        <v>715</v>
      </c>
      <c r="F734" s="5">
        <f>IFERROR(__xludf.DUMMYFUNCTION("""COMPUTED_VALUE"""),9912500.0)</f>
        <v>9912500</v>
      </c>
      <c r="G734" s="5">
        <f t="shared" si="1"/>
        <v>10</v>
      </c>
    </row>
    <row r="735">
      <c r="A735" s="4">
        <f>IFERROR(__xludf.DUMMYFUNCTION("""COMPUTED_VALUE"""),44924.66666666667)</f>
        <v>44924.66667</v>
      </c>
      <c r="B735" s="5">
        <f>IFERROR(__xludf.DUMMYFUNCTION("""COMPUTED_VALUE"""),715.0)</f>
        <v>715</v>
      </c>
      <c r="C735" s="5">
        <f>IFERROR(__xludf.DUMMYFUNCTION("""COMPUTED_VALUE"""),735.0)</f>
        <v>735</v>
      </c>
      <c r="D735" s="5">
        <f>IFERROR(__xludf.DUMMYFUNCTION("""COMPUTED_VALUE"""),710.0)</f>
        <v>710</v>
      </c>
      <c r="E735" s="5">
        <f>IFERROR(__xludf.DUMMYFUNCTION("""COMPUTED_VALUE"""),735.0)</f>
        <v>735</v>
      </c>
      <c r="F735" s="5">
        <f>IFERROR(__xludf.DUMMYFUNCTION("""COMPUTED_VALUE"""),6731600.0)</f>
        <v>6731600</v>
      </c>
      <c r="G735" s="5">
        <f t="shared" si="1"/>
        <v>25</v>
      </c>
    </row>
    <row r="736">
      <c r="A736" s="4">
        <f>IFERROR(__xludf.DUMMYFUNCTION("""COMPUTED_VALUE"""),44925.66666666667)</f>
        <v>44925.66667</v>
      </c>
      <c r="B736" s="5">
        <f>IFERROR(__xludf.DUMMYFUNCTION("""COMPUTED_VALUE"""),735.0)</f>
        <v>735</v>
      </c>
      <c r="C736" s="5">
        <f>IFERROR(__xludf.DUMMYFUNCTION("""COMPUTED_VALUE"""),740.0)</f>
        <v>740</v>
      </c>
      <c r="D736" s="5">
        <f>IFERROR(__xludf.DUMMYFUNCTION("""COMPUTED_VALUE"""),715.0)</f>
        <v>715</v>
      </c>
      <c r="E736" s="5">
        <f>IFERROR(__xludf.DUMMYFUNCTION("""COMPUTED_VALUE"""),715.0)</f>
        <v>715</v>
      </c>
      <c r="F736" s="5">
        <f>IFERROR(__xludf.DUMMYFUNCTION("""COMPUTED_VALUE"""),7003300.0)</f>
        <v>7003300</v>
      </c>
      <c r="G736" s="5">
        <f t="shared" si="1"/>
        <v>25</v>
      </c>
    </row>
    <row r="737">
      <c r="A737" s="4">
        <f>IFERROR(__xludf.DUMMYFUNCTION("""COMPUTED_VALUE"""),44928.66666666667)</f>
        <v>44928.66667</v>
      </c>
      <c r="B737" s="5">
        <f>IFERROR(__xludf.DUMMYFUNCTION("""COMPUTED_VALUE"""),720.0)</f>
        <v>720</v>
      </c>
      <c r="C737" s="5">
        <f>IFERROR(__xludf.DUMMYFUNCTION("""COMPUTED_VALUE"""),735.0)</f>
        <v>735</v>
      </c>
      <c r="D737" s="5">
        <f>IFERROR(__xludf.DUMMYFUNCTION("""COMPUTED_VALUE"""),715.0)</f>
        <v>715</v>
      </c>
      <c r="E737" s="5">
        <f>IFERROR(__xludf.DUMMYFUNCTION("""COMPUTED_VALUE"""),720.0)</f>
        <v>720</v>
      </c>
      <c r="F737" s="5">
        <f>IFERROR(__xludf.DUMMYFUNCTION("""COMPUTED_VALUE"""),5129800.0)</f>
        <v>5129800</v>
      </c>
      <c r="G737" s="5">
        <f t="shared" si="1"/>
        <v>20</v>
      </c>
    </row>
    <row r="738">
      <c r="A738" s="4">
        <f>IFERROR(__xludf.DUMMYFUNCTION("""COMPUTED_VALUE"""),44929.66666666667)</f>
        <v>44929.66667</v>
      </c>
      <c r="B738" s="5">
        <f>IFERROR(__xludf.DUMMYFUNCTION("""COMPUTED_VALUE"""),720.0)</f>
        <v>720</v>
      </c>
      <c r="C738" s="5">
        <f>IFERROR(__xludf.DUMMYFUNCTION("""COMPUTED_VALUE"""),735.0)</f>
        <v>735</v>
      </c>
      <c r="D738" s="5">
        <f>IFERROR(__xludf.DUMMYFUNCTION("""COMPUTED_VALUE"""),720.0)</f>
        <v>720</v>
      </c>
      <c r="E738" s="5">
        <f>IFERROR(__xludf.DUMMYFUNCTION("""COMPUTED_VALUE"""),730.0)</f>
        <v>730</v>
      </c>
      <c r="F738" s="5">
        <f>IFERROR(__xludf.DUMMYFUNCTION("""COMPUTED_VALUE"""),3527700.0)</f>
        <v>3527700</v>
      </c>
      <c r="G738" s="5">
        <f t="shared" si="1"/>
        <v>15</v>
      </c>
    </row>
    <row r="739">
      <c r="A739" s="4">
        <f>IFERROR(__xludf.DUMMYFUNCTION("""COMPUTED_VALUE"""),44930.66666666667)</f>
        <v>44930.66667</v>
      </c>
      <c r="B739" s="5">
        <f>IFERROR(__xludf.DUMMYFUNCTION("""COMPUTED_VALUE"""),730.0)</f>
        <v>730</v>
      </c>
      <c r="C739" s="5">
        <f>IFERROR(__xludf.DUMMYFUNCTION("""COMPUTED_VALUE"""),745.0)</f>
        <v>745</v>
      </c>
      <c r="D739" s="5">
        <f>IFERROR(__xludf.DUMMYFUNCTION("""COMPUTED_VALUE"""),720.0)</f>
        <v>720</v>
      </c>
      <c r="E739" s="5">
        <f>IFERROR(__xludf.DUMMYFUNCTION("""COMPUTED_VALUE"""),725.0)</f>
        <v>725</v>
      </c>
      <c r="F739" s="5">
        <f>IFERROR(__xludf.DUMMYFUNCTION("""COMPUTED_VALUE"""),7278800.0)</f>
        <v>7278800</v>
      </c>
      <c r="G739" s="5">
        <f t="shared" si="1"/>
        <v>25</v>
      </c>
    </row>
    <row r="740">
      <c r="A740" s="4">
        <f>IFERROR(__xludf.DUMMYFUNCTION("""COMPUTED_VALUE"""),44931.66666666667)</f>
        <v>44931.66667</v>
      </c>
      <c r="B740" s="5">
        <f>IFERROR(__xludf.DUMMYFUNCTION("""COMPUTED_VALUE"""),725.0)</f>
        <v>725</v>
      </c>
      <c r="C740" s="5">
        <f>IFERROR(__xludf.DUMMYFUNCTION("""COMPUTED_VALUE"""),730.0)</f>
        <v>730</v>
      </c>
      <c r="D740" s="5">
        <f>IFERROR(__xludf.DUMMYFUNCTION("""COMPUTED_VALUE"""),680.0)</f>
        <v>680</v>
      </c>
      <c r="E740" s="5">
        <f>IFERROR(__xludf.DUMMYFUNCTION("""COMPUTED_VALUE"""),705.0)</f>
        <v>705</v>
      </c>
      <c r="F740" s="5">
        <f>IFERROR(__xludf.DUMMYFUNCTION("""COMPUTED_VALUE"""),1.48159E7)</f>
        <v>14815900</v>
      </c>
      <c r="G740" s="5">
        <f t="shared" si="1"/>
        <v>50</v>
      </c>
    </row>
    <row r="741">
      <c r="A741" s="4">
        <f>IFERROR(__xludf.DUMMYFUNCTION("""COMPUTED_VALUE"""),44932.66666666667)</f>
        <v>44932.66667</v>
      </c>
      <c r="B741" s="5">
        <f>IFERROR(__xludf.DUMMYFUNCTION("""COMPUTED_VALUE"""),700.0)</f>
        <v>700</v>
      </c>
      <c r="C741" s="5">
        <f>IFERROR(__xludf.DUMMYFUNCTION("""COMPUTED_VALUE"""),705.0)</f>
        <v>705</v>
      </c>
      <c r="D741" s="5">
        <f>IFERROR(__xludf.DUMMYFUNCTION("""COMPUTED_VALUE"""),680.0)</f>
        <v>680</v>
      </c>
      <c r="E741" s="5">
        <f>IFERROR(__xludf.DUMMYFUNCTION("""COMPUTED_VALUE"""),695.0)</f>
        <v>695</v>
      </c>
      <c r="F741" s="5">
        <f>IFERROR(__xludf.DUMMYFUNCTION("""COMPUTED_VALUE"""),8270300.0)</f>
        <v>8270300</v>
      </c>
      <c r="G741" s="5">
        <f t="shared" si="1"/>
        <v>25</v>
      </c>
    </row>
    <row r="742">
      <c r="A742" s="4">
        <f>IFERROR(__xludf.DUMMYFUNCTION("""COMPUTED_VALUE"""),44935.66666666667)</f>
        <v>44935.66667</v>
      </c>
      <c r="B742" s="5">
        <f>IFERROR(__xludf.DUMMYFUNCTION("""COMPUTED_VALUE"""),695.0)</f>
        <v>695</v>
      </c>
      <c r="C742" s="5">
        <f>IFERROR(__xludf.DUMMYFUNCTION("""COMPUTED_VALUE"""),705.0)</f>
        <v>705</v>
      </c>
      <c r="D742" s="5">
        <f>IFERROR(__xludf.DUMMYFUNCTION("""COMPUTED_VALUE"""),665.0)</f>
        <v>665</v>
      </c>
      <c r="E742" s="5">
        <f>IFERROR(__xludf.DUMMYFUNCTION("""COMPUTED_VALUE"""),665.0)</f>
        <v>665</v>
      </c>
      <c r="F742" s="5">
        <f>IFERROR(__xludf.DUMMYFUNCTION("""COMPUTED_VALUE"""),1.0911E7)</f>
        <v>10911000</v>
      </c>
      <c r="G742" s="5">
        <f t="shared" si="1"/>
        <v>40</v>
      </c>
    </row>
    <row r="743">
      <c r="A743" s="4">
        <f>IFERROR(__xludf.DUMMYFUNCTION("""COMPUTED_VALUE"""),44936.66666666667)</f>
        <v>44936.66667</v>
      </c>
      <c r="B743" s="5">
        <f>IFERROR(__xludf.DUMMYFUNCTION("""COMPUTED_VALUE"""),665.0)</f>
        <v>665</v>
      </c>
      <c r="C743" s="5">
        <f>IFERROR(__xludf.DUMMYFUNCTION("""COMPUTED_VALUE"""),670.0)</f>
        <v>670</v>
      </c>
      <c r="D743" s="5">
        <f>IFERROR(__xludf.DUMMYFUNCTION("""COMPUTED_VALUE"""),620.0)</f>
        <v>620</v>
      </c>
      <c r="E743" s="5">
        <f>IFERROR(__xludf.DUMMYFUNCTION("""COMPUTED_VALUE"""),625.0)</f>
        <v>625</v>
      </c>
      <c r="F743" s="5">
        <f>IFERROR(__xludf.DUMMYFUNCTION("""COMPUTED_VALUE"""),2.1135E7)</f>
        <v>21135000</v>
      </c>
      <c r="G743" s="5">
        <f t="shared" si="1"/>
        <v>50</v>
      </c>
    </row>
    <row r="744">
      <c r="A744" s="4">
        <f>IFERROR(__xludf.DUMMYFUNCTION("""COMPUTED_VALUE"""),44937.66666666667)</f>
        <v>44937.66667</v>
      </c>
      <c r="B744" s="5">
        <f>IFERROR(__xludf.DUMMYFUNCTION("""COMPUTED_VALUE"""),625.0)</f>
        <v>625</v>
      </c>
      <c r="C744" s="5">
        <f>IFERROR(__xludf.DUMMYFUNCTION("""COMPUTED_VALUE"""),635.0)</f>
        <v>635</v>
      </c>
      <c r="D744" s="5">
        <f>IFERROR(__xludf.DUMMYFUNCTION("""COMPUTED_VALUE"""),600.0)</f>
        <v>600</v>
      </c>
      <c r="E744" s="5">
        <f>IFERROR(__xludf.DUMMYFUNCTION("""COMPUTED_VALUE"""),605.0)</f>
        <v>605</v>
      </c>
      <c r="F744" s="5">
        <f>IFERROR(__xludf.DUMMYFUNCTION("""COMPUTED_VALUE"""),1.86519E7)</f>
        <v>18651900</v>
      </c>
      <c r="G744" s="5">
        <f t="shared" si="1"/>
        <v>35</v>
      </c>
    </row>
    <row r="745">
      <c r="A745" s="4">
        <f>IFERROR(__xludf.DUMMYFUNCTION("""COMPUTED_VALUE"""),44938.66666666667)</f>
        <v>44938.66667</v>
      </c>
      <c r="B745" s="5">
        <f>IFERROR(__xludf.DUMMYFUNCTION("""COMPUTED_VALUE"""),605.0)</f>
        <v>605</v>
      </c>
      <c r="C745" s="5">
        <f>IFERROR(__xludf.DUMMYFUNCTION("""COMPUTED_VALUE"""),635.0)</f>
        <v>635</v>
      </c>
      <c r="D745" s="5">
        <f>IFERROR(__xludf.DUMMYFUNCTION("""COMPUTED_VALUE"""),605.0)</f>
        <v>605</v>
      </c>
      <c r="E745" s="5">
        <f>IFERROR(__xludf.DUMMYFUNCTION("""COMPUTED_VALUE"""),620.0)</f>
        <v>620</v>
      </c>
      <c r="F745" s="5">
        <f>IFERROR(__xludf.DUMMYFUNCTION("""COMPUTED_VALUE"""),1.75625E7)</f>
        <v>17562500</v>
      </c>
      <c r="G745" s="5">
        <f t="shared" si="1"/>
        <v>30</v>
      </c>
    </row>
    <row r="746">
      <c r="A746" s="4">
        <f>IFERROR(__xludf.DUMMYFUNCTION("""COMPUTED_VALUE"""),44939.66666666667)</f>
        <v>44939.66667</v>
      </c>
      <c r="B746" s="5">
        <f>IFERROR(__xludf.DUMMYFUNCTION("""COMPUTED_VALUE"""),620.0)</f>
        <v>620</v>
      </c>
      <c r="C746" s="5">
        <f>IFERROR(__xludf.DUMMYFUNCTION("""COMPUTED_VALUE"""),630.0)</f>
        <v>630</v>
      </c>
      <c r="D746" s="5">
        <f>IFERROR(__xludf.DUMMYFUNCTION("""COMPUTED_VALUE"""),610.0)</f>
        <v>610</v>
      </c>
      <c r="E746" s="5">
        <f>IFERROR(__xludf.DUMMYFUNCTION("""COMPUTED_VALUE"""),615.0)</f>
        <v>615</v>
      </c>
      <c r="F746" s="5">
        <f>IFERROR(__xludf.DUMMYFUNCTION("""COMPUTED_VALUE"""),1.13859E7)</f>
        <v>11385900</v>
      </c>
      <c r="G746" s="5">
        <f t="shared" si="1"/>
        <v>20</v>
      </c>
    </row>
    <row r="747">
      <c r="A747" s="4">
        <f>IFERROR(__xludf.DUMMYFUNCTION("""COMPUTED_VALUE"""),44942.66666666667)</f>
        <v>44942.66667</v>
      </c>
      <c r="B747" s="5">
        <f>IFERROR(__xludf.DUMMYFUNCTION("""COMPUTED_VALUE"""),620.0)</f>
        <v>620</v>
      </c>
      <c r="C747" s="5">
        <f>IFERROR(__xludf.DUMMYFUNCTION("""COMPUTED_VALUE"""),630.0)</f>
        <v>630</v>
      </c>
      <c r="D747" s="5">
        <f>IFERROR(__xludf.DUMMYFUNCTION("""COMPUTED_VALUE"""),610.0)</f>
        <v>610</v>
      </c>
      <c r="E747" s="5">
        <f>IFERROR(__xludf.DUMMYFUNCTION("""COMPUTED_VALUE"""),625.0)</f>
        <v>625</v>
      </c>
      <c r="F747" s="5">
        <f>IFERROR(__xludf.DUMMYFUNCTION("""COMPUTED_VALUE"""),7286700.0)</f>
        <v>7286700</v>
      </c>
      <c r="G747" s="5">
        <f t="shared" si="1"/>
        <v>20</v>
      </c>
    </row>
    <row r="748">
      <c r="A748" s="4">
        <f>IFERROR(__xludf.DUMMYFUNCTION("""COMPUTED_VALUE"""),44943.66666666667)</f>
        <v>44943.66667</v>
      </c>
      <c r="B748" s="5">
        <f>IFERROR(__xludf.DUMMYFUNCTION("""COMPUTED_VALUE"""),625.0)</f>
        <v>625</v>
      </c>
      <c r="C748" s="5">
        <f>IFERROR(__xludf.DUMMYFUNCTION("""COMPUTED_VALUE"""),640.0)</f>
        <v>640</v>
      </c>
      <c r="D748" s="5">
        <f>IFERROR(__xludf.DUMMYFUNCTION("""COMPUTED_VALUE"""),615.0)</f>
        <v>615</v>
      </c>
      <c r="E748" s="5">
        <f>IFERROR(__xludf.DUMMYFUNCTION("""COMPUTED_VALUE"""),620.0)</f>
        <v>620</v>
      </c>
      <c r="F748" s="5">
        <f>IFERROR(__xludf.DUMMYFUNCTION("""COMPUTED_VALUE"""),1.75517E7)</f>
        <v>17551700</v>
      </c>
      <c r="G748" s="5">
        <f t="shared" si="1"/>
        <v>25</v>
      </c>
    </row>
    <row r="749">
      <c r="A749" s="4">
        <f>IFERROR(__xludf.DUMMYFUNCTION("""COMPUTED_VALUE"""),44944.66666666667)</f>
        <v>44944.66667</v>
      </c>
      <c r="B749" s="5">
        <f>IFERROR(__xludf.DUMMYFUNCTION("""COMPUTED_VALUE"""),615.0)</f>
        <v>615</v>
      </c>
      <c r="C749" s="5">
        <f>IFERROR(__xludf.DUMMYFUNCTION("""COMPUTED_VALUE"""),625.0)</f>
        <v>625</v>
      </c>
      <c r="D749" s="5">
        <f>IFERROR(__xludf.DUMMYFUNCTION("""COMPUTED_VALUE"""),610.0)</f>
        <v>610</v>
      </c>
      <c r="E749" s="5">
        <f>IFERROR(__xludf.DUMMYFUNCTION("""COMPUTED_VALUE"""),615.0)</f>
        <v>615</v>
      </c>
      <c r="F749" s="5">
        <f>IFERROR(__xludf.DUMMYFUNCTION("""COMPUTED_VALUE"""),6159200.0)</f>
        <v>6159200</v>
      </c>
      <c r="G749" s="5">
        <f t="shared" si="1"/>
        <v>15</v>
      </c>
    </row>
    <row r="750">
      <c r="A750" s="4">
        <f>IFERROR(__xludf.DUMMYFUNCTION("""COMPUTED_VALUE"""),44945.66666666667)</f>
        <v>44945.66667</v>
      </c>
      <c r="B750" s="5">
        <f>IFERROR(__xludf.DUMMYFUNCTION("""COMPUTED_VALUE"""),610.0)</f>
        <v>610</v>
      </c>
      <c r="C750" s="5">
        <f>IFERROR(__xludf.DUMMYFUNCTION("""COMPUTED_VALUE"""),640.0)</f>
        <v>640</v>
      </c>
      <c r="D750" s="5">
        <f>IFERROR(__xludf.DUMMYFUNCTION("""COMPUTED_VALUE"""),605.0)</f>
        <v>605</v>
      </c>
      <c r="E750" s="5">
        <f>IFERROR(__xludf.DUMMYFUNCTION("""COMPUTED_VALUE"""),635.0)</f>
        <v>635</v>
      </c>
      <c r="F750" s="5">
        <f>IFERROR(__xludf.DUMMYFUNCTION("""COMPUTED_VALUE"""),9148500.0)</f>
        <v>9148500</v>
      </c>
      <c r="G750" s="5">
        <f t="shared" si="1"/>
        <v>35</v>
      </c>
    </row>
    <row r="751">
      <c r="A751" s="4">
        <f>IFERROR(__xludf.DUMMYFUNCTION("""COMPUTED_VALUE"""),44946.66666666667)</f>
        <v>44946.66667</v>
      </c>
      <c r="B751" s="5">
        <f>IFERROR(__xludf.DUMMYFUNCTION("""COMPUTED_VALUE"""),635.0)</f>
        <v>635</v>
      </c>
      <c r="C751" s="5">
        <f>IFERROR(__xludf.DUMMYFUNCTION("""COMPUTED_VALUE"""),645.0)</f>
        <v>645</v>
      </c>
      <c r="D751" s="5">
        <f>IFERROR(__xludf.DUMMYFUNCTION("""COMPUTED_VALUE"""),630.0)</f>
        <v>630</v>
      </c>
      <c r="E751" s="5">
        <f>IFERROR(__xludf.DUMMYFUNCTION("""COMPUTED_VALUE"""),640.0)</f>
        <v>640</v>
      </c>
      <c r="F751" s="5">
        <f>IFERROR(__xludf.DUMMYFUNCTION("""COMPUTED_VALUE"""),5542500.0)</f>
        <v>5542500</v>
      </c>
      <c r="G751" s="5">
        <f t="shared" si="1"/>
        <v>15</v>
      </c>
    </row>
    <row r="752">
      <c r="A752" s="4">
        <f>IFERROR(__xludf.DUMMYFUNCTION("""COMPUTED_VALUE"""),44950.66666666667)</f>
        <v>44950.66667</v>
      </c>
      <c r="B752" s="5">
        <f>IFERROR(__xludf.DUMMYFUNCTION("""COMPUTED_VALUE"""),640.0)</f>
        <v>640</v>
      </c>
      <c r="C752" s="5">
        <f>IFERROR(__xludf.DUMMYFUNCTION("""COMPUTED_VALUE"""),650.0)</f>
        <v>650</v>
      </c>
      <c r="D752" s="5">
        <f>IFERROR(__xludf.DUMMYFUNCTION("""COMPUTED_VALUE"""),625.0)</f>
        <v>625</v>
      </c>
      <c r="E752" s="5">
        <f>IFERROR(__xludf.DUMMYFUNCTION("""COMPUTED_VALUE"""),635.0)</f>
        <v>635</v>
      </c>
      <c r="F752" s="5">
        <f>IFERROR(__xludf.DUMMYFUNCTION("""COMPUTED_VALUE"""),1.00175E7)</f>
        <v>10017500</v>
      </c>
      <c r="G752" s="5">
        <f t="shared" si="1"/>
        <v>25</v>
      </c>
    </row>
    <row r="753">
      <c r="A753" s="4">
        <f>IFERROR(__xludf.DUMMYFUNCTION("""COMPUTED_VALUE"""),44951.66666666667)</f>
        <v>44951.66667</v>
      </c>
      <c r="B753" s="5">
        <f>IFERROR(__xludf.DUMMYFUNCTION("""COMPUTED_VALUE"""),635.0)</f>
        <v>635</v>
      </c>
      <c r="C753" s="5">
        <f>IFERROR(__xludf.DUMMYFUNCTION("""COMPUTED_VALUE"""),670.0)</f>
        <v>670</v>
      </c>
      <c r="D753" s="5">
        <f>IFERROR(__xludf.DUMMYFUNCTION("""COMPUTED_VALUE"""),630.0)</f>
        <v>630</v>
      </c>
      <c r="E753" s="5">
        <f>IFERROR(__xludf.DUMMYFUNCTION("""COMPUTED_VALUE"""),650.0)</f>
        <v>650</v>
      </c>
      <c r="F753" s="5">
        <f>IFERROR(__xludf.DUMMYFUNCTION("""COMPUTED_VALUE"""),1.63524E7)</f>
        <v>16352400</v>
      </c>
      <c r="G753" s="5">
        <f t="shared" si="1"/>
        <v>40</v>
      </c>
    </row>
    <row r="754">
      <c r="A754" s="4">
        <f>IFERROR(__xludf.DUMMYFUNCTION("""COMPUTED_VALUE"""),44952.66666666667)</f>
        <v>44952.66667</v>
      </c>
      <c r="B754" s="5">
        <f>IFERROR(__xludf.DUMMYFUNCTION("""COMPUTED_VALUE"""),655.0)</f>
        <v>655</v>
      </c>
      <c r="C754" s="5">
        <f>IFERROR(__xludf.DUMMYFUNCTION("""COMPUTED_VALUE"""),665.0)</f>
        <v>665</v>
      </c>
      <c r="D754" s="5">
        <f>IFERROR(__xludf.DUMMYFUNCTION("""COMPUTED_VALUE"""),650.0)</f>
        <v>650</v>
      </c>
      <c r="E754" s="5">
        <f>IFERROR(__xludf.DUMMYFUNCTION("""COMPUTED_VALUE"""),655.0)</f>
        <v>655</v>
      </c>
      <c r="F754" s="5">
        <f>IFERROR(__xludf.DUMMYFUNCTION("""COMPUTED_VALUE"""),1.56241E7)</f>
        <v>15624100</v>
      </c>
      <c r="G754" s="5">
        <f t="shared" si="1"/>
        <v>15</v>
      </c>
    </row>
    <row r="755">
      <c r="A755" s="4">
        <f>IFERROR(__xludf.DUMMYFUNCTION("""COMPUTED_VALUE"""),44953.66666666667)</f>
        <v>44953.66667</v>
      </c>
      <c r="B755" s="5">
        <f>IFERROR(__xludf.DUMMYFUNCTION("""COMPUTED_VALUE"""),665.0)</f>
        <v>665</v>
      </c>
      <c r="C755" s="5">
        <f>IFERROR(__xludf.DUMMYFUNCTION("""COMPUTED_VALUE"""),700.0)</f>
        <v>700</v>
      </c>
      <c r="D755" s="5">
        <f>IFERROR(__xludf.DUMMYFUNCTION("""COMPUTED_VALUE"""),660.0)</f>
        <v>660</v>
      </c>
      <c r="E755" s="5">
        <f>IFERROR(__xludf.DUMMYFUNCTION("""COMPUTED_VALUE"""),695.0)</f>
        <v>695</v>
      </c>
      <c r="F755" s="5">
        <f>IFERROR(__xludf.DUMMYFUNCTION("""COMPUTED_VALUE"""),3.29788E7)</f>
        <v>32978800</v>
      </c>
      <c r="G755" s="5">
        <f t="shared" si="1"/>
        <v>45</v>
      </c>
    </row>
    <row r="756">
      <c r="A756" s="4">
        <f>IFERROR(__xludf.DUMMYFUNCTION("""COMPUTED_VALUE"""),44956.66666666667)</f>
        <v>44956.66667</v>
      </c>
      <c r="B756" s="5">
        <f>IFERROR(__xludf.DUMMYFUNCTION("""COMPUTED_VALUE"""),685.0)</f>
        <v>685</v>
      </c>
      <c r="C756" s="5">
        <f>IFERROR(__xludf.DUMMYFUNCTION("""COMPUTED_VALUE"""),695.0)</f>
        <v>695</v>
      </c>
      <c r="D756" s="5">
        <f>IFERROR(__xludf.DUMMYFUNCTION("""COMPUTED_VALUE"""),670.0)</f>
        <v>670</v>
      </c>
      <c r="E756" s="5">
        <f>IFERROR(__xludf.DUMMYFUNCTION("""COMPUTED_VALUE"""),675.0)</f>
        <v>675</v>
      </c>
      <c r="F756" s="5">
        <f>IFERROR(__xludf.DUMMYFUNCTION("""COMPUTED_VALUE"""),1.46942E7)</f>
        <v>14694200</v>
      </c>
      <c r="G756" s="5">
        <f t="shared" si="1"/>
        <v>25</v>
      </c>
    </row>
    <row r="757">
      <c r="A757" s="4">
        <f>IFERROR(__xludf.DUMMYFUNCTION("""COMPUTED_VALUE"""),44957.66666666667)</f>
        <v>44957.66667</v>
      </c>
      <c r="B757" s="5">
        <f>IFERROR(__xludf.DUMMYFUNCTION("""COMPUTED_VALUE"""),680.0)</f>
        <v>680</v>
      </c>
      <c r="C757" s="5">
        <f>IFERROR(__xludf.DUMMYFUNCTION("""COMPUTED_VALUE"""),705.0)</f>
        <v>705</v>
      </c>
      <c r="D757" s="5">
        <f>IFERROR(__xludf.DUMMYFUNCTION("""COMPUTED_VALUE"""),670.0)</f>
        <v>670</v>
      </c>
      <c r="E757" s="5">
        <f>IFERROR(__xludf.DUMMYFUNCTION("""COMPUTED_VALUE"""),695.0)</f>
        <v>695</v>
      </c>
      <c r="F757" s="5">
        <f>IFERROR(__xludf.DUMMYFUNCTION("""COMPUTED_VALUE"""),2.28783E7)</f>
        <v>22878300</v>
      </c>
      <c r="G757" s="5">
        <f t="shared" si="1"/>
        <v>35</v>
      </c>
    </row>
    <row r="758">
      <c r="A758" s="4">
        <f>IFERROR(__xludf.DUMMYFUNCTION("""COMPUTED_VALUE"""),44958.66666666667)</f>
        <v>44958.66667</v>
      </c>
      <c r="B758" s="5">
        <f>IFERROR(__xludf.DUMMYFUNCTION("""COMPUTED_VALUE"""),695.0)</f>
        <v>695</v>
      </c>
      <c r="C758" s="5">
        <f>IFERROR(__xludf.DUMMYFUNCTION("""COMPUTED_VALUE"""),710.0)</f>
        <v>710</v>
      </c>
      <c r="D758" s="5">
        <f>IFERROR(__xludf.DUMMYFUNCTION("""COMPUTED_VALUE"""),695.0)</f>
        <v>695</v>
      </c>
      <c r="E758" s="5">
        <f>IFERROR(__xludf.DUMMYFUNCTION("""COMPUTED_VALUE"""),695.0)</f>
        <v>695</v>
      </c>
      <c r="F758" s="5">
        <f>IFERROR(__xludf.DUMMYFUNCTION("""COMPUTED_VALUE"""),6797800.0)</f>
        <v>6797800</v>
      </c>
      <c r="G758" s="5">
        <f t="shared" si="1"/>
        <v>15</v>
      </c>
    </row>
    <row r="759">
      <c r="A759" s="4">
        <f>IFERROR(__xludf.DUMMYFUNCTION("""COMPUTED_VALUE"""),44959.66666666667)</f>
        <v>44959.66667</v>
      </c>
      <c r="B759" s="5">
        <f>IFERROR(__xludf.DUMMYFUNCTION("""COMPUTED_VALUE"""),700.0)</f>
        <v>700</v>
      </c>
      <c r="C759" s="5">
        <f>IFERROR(__xludf.DUMMYFUNCTION("""COMPUTED_VALUE"""),715.0)</f>
        <v>715</v>
      </c>
      <c r="D759" s="5">
        <f>IFERROR(__xludf.DUMMYFUNCTION("""COMPUTED_VALUE"""),695.0)</f>
        <v>695</v>
      </c>
      <c r="E759" s="5">
        <f>IFERROR(__xludf.DUMMYFUNCTION("""COMPUTED_VALUE"""),700.0)</f>
        <v>700</v>
      </c>
      <c r="F759" s="5">
        <f>IFERROR(__xludf.DUMMYFUNCTION("""COMPUTED_VALUE"""),1.07512E7)</f>
        <v>10751200</v>
      </c>
      <c r="G759" s="5">
        <f t="shared" si="1"/>
        <v>20</v>
      </c>
    </row>
    <row r="760">
      <c r="A760" s="4">
        <f>IFERROR(__xludf.DUMMYFUNCTION("""COMPUTED_VALUE"""),44960.66666666667)</f>
        <v>44960.66667</v>
      </c>
      <c r="B760" s="5">
        <f>IFERROR(__xludf.DUMMYFUNCTION("""COMPUTED_VALUE"""),700.0)</f>
        <v>700</v>
      </c>
      <c r="C760" s="5">
        <f>IFERROR(__xludf.DUMMYFUNCTION("""COMPUTED_VALUE"""),725.0)</f>
        <v>725</v>
      </c>
      <c r="D760" s="5">
        <f>IFERROR(__xludf.DUMMYFUNCTION("""COMPUTED_VALUE"""),700.0)</f>
        <v>700</v>
      </c>
      <c r="E760" s="5">
        <f>IFERROR(__xludf.DUMMYFUNCTION("""COMPUTED_VALUE"""),710.0)</f>
        <v>710</v>
      </c>
      <c r="F760" s="5">
        <f>IFERROR(__xludf.DUMMYFUNCTION("""COMPUTED_VALUE"""),1.41336E7)</f>
        <v>14133600</v>
      </c>
      <c r="G760" s="5">
        <f t="shared" si="1"/>
        <v>25</v>
      </c>
    </row>
    <row r="761">
      <c r="A761" s="4">
        <f>IFERROR(__xludf.DUMMYFUNCTION("""COMPUTED_VALUE"""),44963.66666666667)</f>
        <v>44963.66667</v>
      </c>
      <c r="B761" s="5">
        <f>IFERROR(__xludf.DUMMYFUNCTION("""COMPUTED_VALUE"""),710.0)</f>
        <v>710</v>
      </c>
      <c r="C761" s="5">
        <f>IFERROR(__xludf.DUMMYFUNCTION("""COMPUTED_VALUE"""),740.0)</f>
        <v>740</v>
      </c>
      <c r="D761" s="5">
        <f>IFERROR(__xludf.DUMMYFUNCTION("""COMPUTED_VALUE"""),705.0)</f>
        <v>705</v>
      </c>
      <c r="E761" s="5">
        <f>IFERROR(__xludf.DUMMYFUNCTION("""COMPUTED_VALUE"""),725.0)</f>
        <v>725</v>
      </c>
      <c r="F761" s="5">
        <f>IFERROR(__xludf.DUMMYFUNCTION("""COMPUTED_VALUE"""),1.8697E7)</f>
        <v>18697000</v>
      </c>
      <c r="G761" s="5">
        <f t="shared" si="1"/>
        <v>35</v>
      </c>
    </row>
    <row r="762">
      <c r="A762" s="4">
        <f>IFERROR(__xludf.DUMMYFUNCTION("""COMPUTED_VALUE"""),44964.66666666667)</f>
        <v>44964.66667</v>
      </c>
      <c r="B762" s="5">
        <f>IFERROR(__xludf.DUMMYFUNCTION("""COMPUTED_VALUE"""),725.0)</f>
        <v>725</v>
      </c>
      <c r="C762" s="5">
        <f>IFERROR(__xludf.DUMMYFUNCTION("""COMPUTED_VALUE"""),735.0)</f>
        <v>735</v>
      </c>
      <c r="D762" s="5">
        <f>IFERROR(__xludf.DUMMYFUNCTION("""COMPUTED_VALUE"""),715.0)</f>
        <v>715</v>
      </c>
      <c r="E762" s="5">
        <f>IFERROR(__xludf.DUMMYFUNCTION("""COMPUTED_VALUE"""),720.0)</f>
        <v>720</v>
      </c>
      <c r="F762" s="5">
        <f>IFERROR(__xludf.DUMMYFUNCTION("""COMPUTED_VALUE"""),1.06317E7)</f>
        <v>10631700</v>
      </c>
      <c r="G762" s="5">
        <f t="shared" si="1"/>
        <v>20</v>
      </c>
    </row>
    <row r="763">
      <c r="A763" s="4">
        <f>IFERROR(__xludf.DUMMYFUNCTION("""COMPUTED_VALUE"""),44965.66666666667)</f>
        <v>44965.66667</v>
      </c>
      <c r="B763" s="5">
        <f>IFERROR(__xludf.DUMMYFUNCTION("""COMPUTED_VALUE"""),720.0)</f>
        <v>720</v>
      </c>
      <c r="C763" s="5">
        <f>IFERROR(__xludf.DUMMYFUNCTION("""COMPUTED_VALUE"""),725.0)</f>
        <v>725</v>
      </c>
      <c r="D763" s="5">
        <f>IFERROR(__xludf.DUMMYFUNCTION("""COMPUTED_VALUE"""),715.0)</f>
        <v>715</v>
      </c>
      <c r="E763" s="5">
        <f>IFERROR(__xludf.DUMMYFUNCTION("""COMPUTED_VALUE"""),720.0)</f>
        <v>720</v>
      </c>
      <c r="F763" s="5">
        <f>IFERROR(__xludf.DUMMYFUNCTION("""COMPUTED_VALUE"""),3028500.0)</f>
        <v>3028500</v>
      </c>
      <c r="G763" s="5">
        <f t="shared" si="1"/>
        <v>10</v>
      </c>
    </row>
    <row r="764">
      <c r="A764" s="4">
        <f>IFERROR(__xludf.DUMMYFUNCTION("""COMPUTED_VALUE"""),44966.66666666667)</f>
        <v>44966.66667</v>
      </c>
      <c r="B764" s="5">
        <f>IFERROR(__xludf.DUMMYFUNCTION("""COMPUTED_VALUE"""),720.0)</f>
        <v>720</v>
      </c>
      <c r="C764" s="5">
        <f>IFERROR(__xludf.DUMMYFUNCTION("""COMPUTED_VALUE"""),735.0)</f>
        <v>735</v>
      </c>
      <c r="D764" s="5">
        <f>IFERROR(__xludf.DUMMYFUNCTION("""COMPUTED_VALUE"""),715.0)</f>
        <v>715</v>
      </c>
      <c r="E764" s="5">
        <f>IFERROR(__xludf.DUMMYFUNCTION("""COMPUTED_VALUE"""),725.0)</f>
        <v>725</v>
      </c>
      <c r="F764" s="5">
        <f>IFERROR(__xludf.DUMMYFUNCTION("""COMPUTED_VALUE"""),9001800.0)</f>
        <v>9001800</v>
      </c>
      <c r="G764" s="5">
        <f t="shared" si="1"/>
        <v>20</v>
      </c>
    </row>
    <row r="765">
      <c r="A765" s="4">
        <f>IFERROR(__xludf.DUMMYFUNCTION("""COMPUTED_VALUE"""),44967.66666666667)</f>
        <v>44967.66667</v>
      </c>
      <c r="B765" s="5">
        <f>IFERROR(__xludf.DUMMYFUNCTION("""COMPUTED_VALUE"""),720.0)</f>
        <v>720</v>
      </c>
      <c r="C765" s="5">
        <f>IFERROR(__xludf.DUMMYFUNCTION("""COMPUTED_VALUE"""),730.0)</f>
        <v>730</v>
      </c>
      <c r="D765" s="5">
        <f>IFERROR(__xludf.DUMMYFUNCTION("""COMPUTED_VALUE"""),690.0)</f>
        <v>690</v>
      </c>
      <c r="E765" s="5">
        <f>IFERROR(__xludf.DUMMYFUNCTION("""COMPUTED_VALUE"""),710.0)</f>
        <v>710</v>
      </c>
      <c r="F765" s="5">
        <f>IFERROR(__xludf.DUMMYFUNCTION("""COMPUTED_VALUE"""),1.30186E7)</f>
        <v>13018600</v>
      </c>
      <c r="G765" s="5">
        <f t="shared" si="1"/>
        <v>40</v>
      </c>
    </row>
    <row r="766">
      <c r="A766" s="4">
        <f>IFERROR(__xludf.DUMMYFUNCTION("""COMPUTED_VALUE"""),44970.66666666667)</f>
        <v>44970.66667</v>
      </c>
      <c r="B766" s="5">
        <f>IFERROR(__xludf.DUMMYFUNCTION("""COMPUTED_VALUE"""),710.0)</f>
        <v>710</v>
      </c>
      <c r="C766" s="5">
        <f>IFERROR(__xludf.DUMMYFUNCTION("""COMPUTED_VALUE"""),715.0)</f>
        <v>715</v>
      </c>
      <c r="D766" s="5">
        <f>IFERROR(__xludf.DUMMYFUNCTION("""COMPUTED_VALUE"""),695.0)</f>
        <v>695</v>
      </c>
      <c r="E766" s="5">
        <f>IFERROR(__xludf.DUMMYFUNCTION("""COMPUTED_VALUE"""),705.0)</f>
        <v>705</v>
      </c>
      <c r="F766" s="5">
        <f>IFERROR(__xludf.DUMMYFUNCTION("""COMPUTED_VALUE"""),4487900.0)</f>
        <v>4487900</v>
      </c>
      <c r="G766" s="5">
        <f t="shared" si="1"/>
        <v>20</v>
      </c>
    </row>
    <row r="767">
      <c r="A767" s="4">
        <f>IFERROR(__xludf.DUMMYFUNCTION("""COMPUTED_VALUE"""),44971.66666666667)</f>
        <v>44971.66667</v>
      </c>
      <c r="B767" s="5">
        <f>IFERROR(__xludf.DUMMYFUNCTION("""COMPUTED_VALUE"""),710.0)</f>
        <v>710</v>
      </c>
      <c r="C767" s="5">
        <f>IFERROR(__xludf.DUMMYFUNCTION("""COMPUTED_VALUE"""),715.0)</f>
        <v>715</v>
      </c>
      <c r="D767" s="5">
        <f>IFERROR(__xludf.DUMMYFUNCTION("""COMPUTED_VALUE"""),690.0)</f>
        <v>690</v>
      </c>
      <c r="E767" s="5">
        <f>IFERROR(__xludf.DUMMYFUNCTION("""COMPUTED_VALUE"""),695.0)</f>
        <v>695</v>
      </c>
      <c r="F767" s="5">
        <f>IFERROR(__xludf.DUMMYFUNCTION("""COMPUTED_VALUE"""),6587900.0)</f>
        <v>6587900</v>
      </c>
      <c r="G767" s="5">
        <f t="shared" si="1"/>
        <v>25</v>
      </c>
    </row>
    <row r="768">
      <c r="A768" s="4">
        <f>IFERROR(__xludf.DUMMYFUNCTION("""COMPUTED_VALUE"""),44972.66666666667)</f>
        <v>44972.66667</v>
      </c>
      <c r="B768" s="5">
        <f>IFERROR(__xludf.DUMMYFUNCTION("""COMPUTED_VALUE"""),695.0)</f>
        <v>695</v>
      </c>
      <c r="C768" s="5">
        <f>IFERROR(__xludf.DUMMYFUNCTION("""COMPUTED_VALUE"""),700.0)</f>
        <v>700</v>
      </c>
      <c r="D768" s="5">
        <f>IFERROR(__xludf.DUMMYFUNCTION("""COMPUTED_VALUE"""),685.0)</f>
        <v>685</v>
      </c>
      <c r="E768" s="5">
        <f>IFERROR(__xludf.DUMMYFUNCTION("""COMPUTED_VALUE"""),695.0)</f>
        <v>695</v>
      </c>
      <c r="F768" s="5">
        <f>IFERROR(__xludf.DUMMYFUNCTION("""COMPUTED_VALUE"""),4558100.0)</f>
        <v>4558100</v>
      </c>
      <c r="G768" s="5">
        <f t="shared" si="1"/>
        <v>15</v>
      </c>
    </row>
    <row r="769">
      <c r="A769" s="4">
        <f>IFERROR(__xludf.DUMMYFUNCTION("""COMPUTED_VALUE"""),44973.66666666667)</f>
        <v>44973.66667</v>
      </c>
      <c r="B769" s="5">
        <f>IFERROR(__xludf.DUMMYFUNCTION("""COMPUTED_VALUE"""),695.0)</f>
        <v>695</v>
      </c>
      <c r="C769" s="5">
        <f>IFERROR(__xludf.DUMMYFUNCTION("""COMPUTED_VALUE"""),695.0)</f>
        <v>695</v>
      </c>
      <c r="D769" s="5">
        <f>IFERROR(__xludf.DUMMYFUNCTION("""COMPUTED_VALUE"""),660.0)</f>
        <v>660</v>
      </c>
      <c r="E769" s="5">
        <f>IFERROR(__xludf.DUMMYFUNCTION("""COMPUTED_VALUE"""),660.0)</f>
        <v>660</v>
      </c>
      <c r="F769" s="5">
        <f>IFERROR(__xludf.DUMMYFUNCTION("""COMPUTED_VALUE"""),2.36194E7)</f>
        <v>23619400</v>
      </c>
      <c r="G769" s="5">
        <f t="shared" si="1"/>
        <v>35</v>
      </c>
    </row>
    <row r="770">
      <c r="A770" s="4">
        <f>IFERROR(__xludf.DUMMYFUNCTION("""COMPUTED_VALUE"""),44974.66666666667)</f>
        <v>44974.66667</v>
      </c>
      <c r="B770" s="5">
        <f>IFERROR(__xludf.DUMMYFUNCTION("""COMPUTED_VALUE"""),660.0)</f>
        <v>660</v>
      </c>
      <c r="C770" s="5">
        <f>IFERROR(__xludf.DUMMYFUNCTION("""COMPUTED_VALUE"""),685.0)</f>
        <v>685</v>
      </c>
      <c r="D770" s="5">
        <f>IFERROR(__xludf.DUMMYFUNCTION("""COMPUTED_VALUE"""),660.0)</f>
        <v>660</v>
      </c>
      <c r="E770" s="5">
        <f>IFERROR(__xludf.DUMMYFUNCTION("""COMPUTED_VALUE"""),665.0)</f>
        <v>665</v>
      </c>
      <c r="F770" s="5">
        <f>IFERROR(__xludf.DUMMYFUNCTION("""COMPUTED_VALUE"""),1.0665E7)</f>
        <v>10665000</v>
      </c>
      <c r="G770" s="5">
        <f t="shared" si="1"/>
        <v>25</v>
      </c>
    </row>
    <row r="771">
      <c r="A771" s="4">
        <f>IFERROR(__xludf.DUMMYFUNCTION("""COMPUTED_VALUE"""),44977.66666666667)</f>
        <v>44977.66667</v>
      </c>
      <c r="B771" s="5">
        <f>IFERROR(__xludf.DUMMYFUNCTION("""COMPUTED_VALUE"""),665.0)</f>
        <v>665</v>
      </c>
      <c r="C771" s="5">
        <f>IFERROR(__xludf.DUMMYFUNCTION("""COMPUTED_VALUE"""),675.0)</f>
        <v>675</v>
      </c>
      <c r="D771" s="5">
        <f>IFERROR(__xludf.DUMMYFUNCTION("""COMPUTED_VALUE"""),665.0)</f>
        <v>665</v>
      </c>
      <c r="E771" s="5">
        <f>IFERROR(__xludf.DUMMYFUNCTION("""COMPUTED_VALUE"""),665.0)</f>
        <v>665</v>
      </c>
      <c r="F771" s="5">
        <f>IFERROR(__xludf.DUMMYFUNCTION("""COMPUTED_VALUE"""),3786300.0)</f>
        <v>3786300</v>
      </c>
      <c r="G771" s="5">
        <f t="shared" si="1"/>
        <v>10</v>
      </c>
    </row>
    <row r="772">
      <c r="A772" s="4">
        <f>IFERROR(__xludf.DUMMYFUNCTION("""COMPUTED_VALUE"""),44978.66666666667)</f>
        <v>44978.66667</v>
      </c>
      <c r="B772" s="5">
        <f>IFERROR(__xludf.DUMMYFUNCTION("""COMPUTED_VALUE"""),665.0)</f>
        <v>665</v>
      </c>
      <c r="C772" s="5">
        <f>IFERROR(__xludf.DUMMYFUNCTION("""COMPUTED_VALUE"""),675.0)</f>
        <v>675</v>
      </c>
      <c r="D772" s="5">
        <f>IFERROR(__xludf.DUMMYFUNCTION("""COMPUTED_VALUE"""),660.0)</f>
        <v>660</v>
      </c>
      <c r="E772" s="5">
        <f>IFERROR(__xludf.DUMMYFUNCTION("""COMPUTED_VALUE"""),665.0)</f>
        <v>665</v>
      </c>
      <c r="F772" s="5">
        <f>IFERROR(__xludf.DUMMYFUNCTION("""COMPUTED_VALUE"""),5518100.0)</f>
        <v>5518100</v>
      </c>
      <c r="G772" s="5">
        <f t="shared" si="1"/>
        <v>15</v>
      </c>
    </row>
    <row r="773">
      <c r="A773" s="4">
        <f>IFERROR(__xludf.DUMMYFUNCTION("""COMPUTED_VALUE"""),44979.66666666667)</f>
        <v>44979.66667</v>
      </c>
      <c r="B773" s="5">
        <f>IFERROR(__xludf.DUMMYFUNCTION("""COMPUTED_VALUE"""),665.0)</f>
        <v>665</v>
      </c>
      <c r="C773" s="5">
        <f>IFERROR(__xludf.DUMMYFUNCTION("""COMPUTED_VALUE"""),670.0)</f>
        <v>670</v>
      </c>
      <c r="D773" s="5">
        <f>IFERROR(__xludf.DUMMYFUNCTION("""COMPUTED_VALUE"""),640.0)</f>
        <v>640</v>
      </c>
      <c r="E773" s="5">
        <f>IFERROR(__xludf.DUMMYFUNCTION("""COMPUTED_VALUE"""),645.0)</f>
        <v>645</v>
      </c>
      <c r="F773" s="5">
        <f>IFERROR(__xludf.DUMMYFUNCTION("""COMPUTED_VALUE"""),8481600.0)</f>
        <v>8481600</v>
      </c>
      <c r="G773" s="5">
        <f t="shared" si="1"/>
        <v>30</v>
      </c>
    </row>
    <row r="774">
      <c r="A774" s="4">
        <f>IFERROR(__xludf.DUMMYFUNCTION("""COMPUTED_VALUE"""),44980.66666666667)</f>
        <v>44980.66667</v>
      </c>
      <c r="B774" s="5">
        <f>IFERROR(__xludf.DUMMYFUNCTION("""COMPUTED_VALUE"""),650.0)</f>
        <v>650</v>
      </c>
      <c r="C774" s="5">
        <f>IFERROR(__xludf.DUMMYFUNCTION("""COMPUTED_VALUE"""),655.0)</f>
        <v>655</v>
      </c>
      <c r="D774" s="5">
        <f>IFERROR(__xludf.DUMMYFUNCTION("""COMPUTED_VALUE"""),630.0)</f>
        <v>630</v>
      </c>
      <c r="E774" s="5">
        <f>IFERROR(__xludf.DUMMYFUNCTION("""COMPUTED_VALUE"""),640.0)</f>
        <v>640</v>
      </c>
      <c r="F774" s="5">
        <f>IFERROR(__xludf.DUMMYFUNCTION("""COMPUTED_VALUE"""),5362200.0)</f>
        <v>5362200</v>
      </c>
      <c r="G774" s="5">
        <f t="shared" si="1"/>
        <v>25</v>
      </c>
    </row>
    <row r="775">
      <c r="A775" s="4">
        <f>IFERROR(__xludf.DUMMYFUNCTION("""COMPUTED_VALUE"""),44981.66666666667)</f>
        <v>44981.66667</v>
      </c>
      <c r="B775" s="5">
        <f>IFERROR(__xludf.DUMMYFUNCTION("""COMPUTED_VALUE"""),650.0)</f>
        <v>650</v>
      </c>
      <c r="C775" s="5">
        <f>IFERROR(__xludf.DUMMYFUNCTION("""COMPUTED_VALUE"""),660.0)</f>
        <v>660</v>
      </c>
      <c r="D775" s="5">
        <f>IFERROR(__xludf.DUMMYFUNCTION("""COMPUTED_VALUE"""),640.0)</f>
        <v>640</v>
      </c>
      <c r="E775" s="5">
        <f>IFERROR(__xludf.DUMMYFUNCTION("""COMPUTED_VALUE"""),660.0)</f>
        <v>660</v>
      </c>
      <c r="F775" s="5">
        <f>IFERROR(__xludf.DUMMYFUNCTION("""COMPUTED_VALUE"""),3661100.0)</f>
        <v>3661100</v>
      </c>
      <c r="G775" s="5">
        <f t="shared" si="1"/>
        <v>20</v>
      </c>
    </row>
    <row r="776">
      <c r="A776" s="4">
        <f>IFERROR(__xludf.DUMMYFUNCTION("""COMPUTED_VALUE"""),44984.66666666667)</f>
        <v>44984.66667</v>
      </c>
      <c r="B776" s="5">
        <f>IFERROR(__xludf.DUMMYFUNCTION("""COMPUTED_VALUE"""),685.0)</f>
        <v>685</v>
      </c>
      <c r="C776" s="5">
        <f>IFERROR(__xludf.DUMMYFUNCTION("""COMPUTED_VALUE"""),685.0)</f>
        <v>685</v>
      </c>
      <c r="D776" s="5">
        <f>IFERROR(__xludf.DUMMYFUNCTION("""COMPUTED_VALUE"""),645.0)</f>
        <v>645</v>
      </c>
      <c r="E776" s="5">
        <f>IFERROR(__xludf.DUMMYFUNCTION("""COMPUTED_VALUE"""),645.0)</f>
        <v>645</v>
      </c>
      <c r="F776" s="5">
        <f>IFERROR(__xludf.DUMMYFUNCTION("""COMPUTED_VALUE"""),4161300.0)</f>
        <v>4161300</v>
      </c>
      <c r="G776" s="5">
        <f t="shared" si="1"/>
        <v>40</v>
      </c>
    </row>
    <row r="777">
      <c r="A777" s="4">
        <f>IFERROR(__xludf.DUMMYFUNCTION("""COMPUTED_VALUE"""),44985.66666666667)</f>
        <v>44985.66667</v>
      </c>
      <c r="B777" s="5">
        <f>IFERROR(__xludf.DUMMYFUNCTION("""COMPUTED_VALUE"""),645.0)</f>
        <v>645</v>
      </c>
      <c r="C777" s="5">
        <f>IFERROR(__xludf.DUMMYFUNCTION("""COMPUTED_VALUE"""),655.0)</f>
        <v>655</v>
      </c>
      <c r="D777" s="5">
        <f>IFERROR(__xludf.DUMMYFUNCTION("""COMPUTED_VALUE"""),640.0)</f>
        <v>640</v>
      </c>
      <c r="E777" s="5">
        <f>IFERROR(__xludf.DUMMYFUNCTION("""COMPUTED_VALUE"""),640.0)</f>
        <v>640</v>
      </c>
      <c r="F777" s="5">
        <f>IFERROR(__xludf.DUMMYFUNCTION("""COMPUTED_VALUE"""),4918400.0)</f>
        <v>4918400</v>
      </c>
      <c r="G777" s="5">
        <f t="shared" si="1"/>
        <v>15</v>
      </c>
    </row>
    <row r="778">
      <c r="A778" s="4">
        <f>IFERROR(__xludf.DUMMYFUNCTION("""COMPUTED_VALUE"""),44986.66666666667)</f>
        <v>44986.66667</v>
      </c>
      <c r="B778" s="5">
        <f>IFERROR(__xludf.DUMMYFUNCTION("""COMPUTED_VALUE"""),640.0)</f>
        <v>640</v>
      </c>
      <c r="C778" s="5">
        <f>IFERROR(__xludf.DUMMYFUNCTION("""COMPUTED_VALUE"""),655.0)</f>
        <v>655</v>
      </c>
      <c r="D778" s="5">
        <f>IFERROR(__xludf.DUMMYFUNCTION("""COMPUTED_VALUE"""),640.0)</f>
        <v>640</v>
      </c>
      <c r="E778" s="5">
        <f>IFERROR(__xludf.DUMMYFUNCTION("""COMPUTED_VALUE"""),640.0)</f>
        <v>640</v>
      </c>
      <c r="F778" s="5">
        <f>IFERROR(__xludf.DUMMYFUNCTION("""COMPUTED_VALUE"""),2808100.0)</f>
        <v>2808100</v>
      </c>
      <c r="G778" s="5">
        <f t="shared" si="1"/>
        <v>15</v>
      </c>
    </row>
    <row r="779">
      <c r="A779" s="4">
        <f>IFERROR(__xludf.DUMMYFUNCTION("""COMPUTED_VALUE"""),44987.66666666667)</f>
        <v>44987.66667</v>
      </c>
      <c r="B779" s="5">
        <f>IFERROR(__xludf.DUMMYFUNCTION("""COMPUTED_VALUE"""),640.0)</f>
        <v>640</v>
      </c>
      <c r="C779" s="5">
        <f>IFERROR(__xludf.DUMMYFUNCTION("""COMPUTED_VALUE"""),650.0)</f>
        <v>650</v>
      </c>
      <c r="D779" s="5">
        <f>IFERROR(__xludf.DUMMYFUNCTION("""COMPUTED_VALUE"""),630.0)</f>
        <v>630</v>
      </c>
      <c r="E779" s="5">
        <f>IFERROR(__xludf.DUMMYFUNCTION("""COMPUTED_VALUE"""),640.0)</f>
        <v>640</v>
      </c>
      <c r="F779" s="5">
        <f>IFERROR(__xludf.DUMMYFUNCTION("""COMPUTED_VALUE"""),5160100.0)</f>
        <v>5160100</v>
      </c>
      <c r="G779" s="5">
        <f t="shared" si="1"/>
        <v>20</v>
      </c>
    </row>
    <row r="780">
      <c r="A780" s="4">
        <f>IFERROR(__xludf.DUMMYFUNCTION("""COMPUTED_VALUE"""),44988.66666666667)</f>
        <v>44988.66667</v>
      </c>
      <c r="B780" s="5">
        <f>IFERROR(__xludf.DUMMYFUNCTION("""COMPUTED_VALUE"""),640.0)</f>
        <v>640</v>
      </c>
      <c r="C780" s="5">
        <f>IFERROR(__xludf.DUMMYFUNCTION("""COMPUTED_VALUE"""),650.0)</f>
        <v>650</v>
      </c>
      <c r="D780" s="5">
        <f>IFERROR(__xludf.DUMMYFUNCTION("""COMPUTED_VALUE"""),635.0)</f>
        <v>635</v>
      </c>
      <c r="E780" s="5">
        <f>IFERROR(__xludf.DUMMYFUNCTION("""COMPUTED_VALUE"""),645.0)</f>
        <v>645</v>
      </c>
      <c r="F780" s="5">
        <f>IFERROR(__xludf.DUMMYFUNCTION("""COMPUTED_VALUE"""),2969200.0)</f>
        <v>2969200</v>
      </c>
      <c r="G780" s="5">
        <f t="shared" si="1"/>
        <v>15</v>
      </c>
    </row>
    <row r="781">
      <c r="A781" s="4">
        <f>IFERROR(__xludf.DUMMYFUNCTION("""COMPUTED_VALUE"""),44991.66666666667)</f>
        <v>44991.66667</v>
      </c>
      <c r="B781" s="5">
        <f>IFERROR(__xludf.DUMMYFUNCTION("""COMPUTED_VALUE"""),645.0)</f>
        <v>645</v>
      </c>
      <c r="C781" s="5">
        <f>IFERROR(__xludf.DUMMYFUNCTION("""COMPUTED_VALUE"""),650.0)</f>
        <v>650</v>
      </c>
      <c r="D781" s="5">
        <f>IFERROR(__xludf.DUMMYFUNCTION("""COMPUTED_VALUE"""),610.0)</f>
        <v>610</v>
      </c>
      <c r="E781" s="5">
        <f>IFERROR(__xludf.DUMMYFUNCTION("""COMPUTED_VALUE"""),615.0)</f>
        <v>615</v>
      </c>
      <c r="F781" s="5">
        <f>IFERROR(__xludf.DUMMYFUNCTION("""COMPUTED_VALUE"""),1.50551E7)</f>
        <v>15055100</v>
      </c>
      <c r="G781" s="5">
        <f t="shared" si="1"/>
        <v>40</v>
      </c>
    </row>
    <row r="782">
      <c r="A782" s="4">
        <f>IFERROR(__xludf.DUMMYFUNCTION("""COMPUTED_VALUE"""),44992.66666666667)</f>
        <v>44992.66667</v>
      </c>
      <c r="B782" s="5">
        <f>IFERROR(__xludf.DUMMYFUNCTION("""COMPUTED_VALUE"""),615.0)</f>
        <v>615</v>
      </c>
      <c r="C782" s="5">
        <f>IFERROR(__xludf.DUMMYFUNCTION("""COMPUTED_VALUE"""),625.0)</f>
        <v>625</v>
      </c>
      <c r="D782" s="5">
        <f>IFERROR(__xludf.DUMMYFUNCTION("""COMPUTED_VALUE"""),600.0)</f>
        <v>600</v>
      </c>
      <c r="E782" s="5">
        <f>IFERROR(__xludf.DUMMYFUNCTION("""COMPUTED_VALUE"""),600.0)</f>
        <v>600</v>
      </c>
      <c r="F782" s="5">
        <f>IFERROR(__xludf.DUMMYFUNCTION("""COMPUTED_VALUE"""),7685700.0)</f>
        <v>7685700</v>
      </c>
      <c r="G782" s="5">
        <f t="shared" si="1"/>
        <v>25</v>
      </c>
    </row>
    <row r="783">
      <c r="A783" s="4">
        <f>IFERROR(__xludf.DUMMYFUNCTION("""COMPUTED_VALUE"""),44993.66666666667)</f>
        <v>44993.66667</v>
      </c>
      <c r="B783" s="5">
        <f>IFERROR(__xludf.DUMMYFUNCTION("""COMPUTED_VALUE"""),610.0)</f>
        <v>610</v>
      </c>
      <c r="C783" s="5">
        <f>IFERROR(__xludf.DUMMYFUNCTION("""COMPUTED_VALUE"""),615.0)</f>
        <v>615</v>
      </c>
      <c r="D783" s="5">
        <f>IFERROR(__xludf.DUMMYFUNCTION("""COMPUTED_VALUE"""),590.0)</f>
        <v>590</v>
      </c>
      <c r="E783" s="5">
        <f>IFERROR(__xludf.DUMMYFUNCTION("""COMPUTED_VALUE"""),600.0)</f>
        <v>600</v>
      </c>
      <c r="F783" s="5">
        <f>IFERROR(__xludf.DUMMYFUNCTION("""COMPUTED_VALUE"""),7604400.0)</f>
        <v>7604400</v>
      </c>
      <c r="G783" s="5">
        <f t="shared" si="1"/>
        <v>25</v>
      </c>
    </row>
    <row r="784">
      <c r="A784" s="4">
        <f>IFERROR(__xludf.DUMMYFUNCTION("""COMPUTED_VALUE"""),44994.66666666667)</f>
        <v>44994.66667</v>
      </c>
      <c r="B784" s="5">
        <f>IFERROR(__xludf.DUMMYFUNCTION("""COMPUTED_VALUE"""),600.0)</f>
        <v>600</v>
      </c>
      <c r="C784" s="5">
        <f>IFERROR(__xludf.DUMMYFUNCTION("""COMPUTED_VALUE"""),615.0)</f>
        <v>615</v>
      </c>
      <c r="D784" s="5">
        <f>IFERROR(__xludf.DUMMYFUNCTION("""COMPUTED_VALUE"""),590.0)</f>
        <v>590</v>
      </c>
      <c r="E784" s="5">
        <f>IFERROR(__xludf.DUMMYFUNCTION("""COMPUTED_VALUE"""),610.0)</f>
        <v>610</v>
      </c>
      <c r="F784" s="5">
        <f>IFERROR(__xludf.DUMMYFUNCTION("""COMPUTED_VALUE"""),4409700.0)</f>
        <v>4409700</v>
      </c>
      <c r="G784" s="5">
        <f t="shared" si="1"/>
        <v>25</v>
      </c>
    </row>
    <row r="785">
      <c r="A785" s="4">
        <f>IFERROR(__xludf.DUMMYFUNCTION("""COMPUTED_VALUE"""),44995.66666666667)</f>
        <v>44995.66667</v>
      </c>
      <c r="B785" s="5">
        <f>IFERROR(__xludf.DUMMYFUNCTION("""COMPUTED_VALUE"""),610.0)</f>
        <v>610</v>
      </c>
      <c r="C785" s="5">
        <f>IFERROR(__xludf.DUMMYFUNCTION("""COMPUTED_VALUE"""),615.0)</f>
        <v>615</v>
      </c>
      <c r="D785" s="5">
        <f>IFERROR(__xludf.DUMMYFUNCTION("""COMPUTED_VALUE"""),600.0)</f>
        <v>600</v>
      </c>
      <c r="E785" s="5">
        <f>IFERROR(__xludf.DUMMYFUNCTION("""COMPUTED_VALUE"""),600.0)</f>
        <v>600</v>
      </c>
      <c r="F785" s="5">
        <f>IFERROR(__xludf.DUMMYFUNCTION("""COMPUTED_VALUE"""),5071900.0)</f>
        <v>5071900</v>
      </c>
      <c r="G785" s="5">
        <f t="shared" si="1"/>
        <v>15</v>
      </c>
    </row>
    <row r="786">
      <c r="A786" s="4">
        <f>IFERROR(__xludf.DUMMYFUNCTION("""COMPUTED_VALUE"""),44998.66666666667)</f>
        <v>44998.66667</v>
      </c>
      <c r="B786" s="5">
        <f>IFERROR(__xludf.DUMMYFUNCTION("""COMPUTED_VALUE"""),600.0)</f>
        <v>600</v>
      </c>
      <c r="C786" s="5">
        <f>IFERROR(__xludf.DUMMYFUNCTION("""COMPUTED_VALUE"""),635.0)</f>
        <v>635</v>
      </c>
      <c r="D786" s="5">
        <f>IFERROR(__xludf.DUMMYFUNCTION("""COMPUTED_VALUE"""),590.0)</f>
        <v>590</v>
      </c>
      <c r="E786" s="5">
        <f>IFERROR(__xludf.DUMMYFUNCTION("""COMPUTED_VALUE"""),615.0)</f>
        <v>615</v>
      </c>
      <c r="F786" s="5">
        <f>IFERROR(__xludf.DUMMYFUNCTION("""COMPUTED_VALUE"""),1.99378E7)</f>
        <v>19937800</v>
      </c>
      <c r="G786" s="5">
        <f t="shared" si="1"/>
        <v>45</v>
      </c>
    </row>
    <row r="787">
      <c r="A787" s="4">
        <f>IFERROR(__xludf.DUMMYFUNCTION("""COMPUTED_VALUE"""),44999.66666666667)</f>
        <v>44999.66667</v>
      </c>
      <c r="B787" s="5">
        <f>IFERROR(__xludf.DUMMYFUNCTION("""COMPUTED_VALUE"""),620.0)</f>
        <v>620</v>
      </c>
      <c r="C787" s="5">
        <f>IFERROR(__xludf.DUMMYFUNCTION("""COMPUTED_VALUE"""),620.0)</f>
        <v>620</v>
      </c>
      <c r="D787" s="5">
        <f>IFERROR(__xludf.DUMMYFUNCTION("""COMPUTED_VALUE"""),590.0)</f>
        <v>590</v>
      </c>
      <c r="E787" s="5">
        <f>IFERROR(__xludf.DUMMYFUNCTION("""COMPUTED_VALUE"""),600.0)</f>
        <v>600</v>
      </c>
      <c r="F787" s="5">
        <f>IFERROR(__xludf.DUMMYFUNCTION("""COMPUTED_VALUE"""),9750500.0)</f>
        <v>9750500</v>
      </c>
      <c r="G787" s="5">
        <f t="shared" si="1"/>
        <v>30</v>
      </c>
    </row>
    <row r="788">
      <c r="A788" s="4">
        <f>IFERROR(__xludf.DUMMYFUNCTION("""COMPUTED_VALUE"""),45000.66666666667)</f>
        <v>45000.66667</v>
      </c>
      <c r="B788" s="5">
        <f>IFERROR(__xludf.DUMMYFUNCTION("""COMPUTED_VALUE"""),605.0)</f>
        <v>605</v>
      </c>
      <c r="C788" s="5">
        <f>IFERROR(__xludf.DUMMYFUNCTION("""COMPUTED_VALUE"""),615.0)</f>
        <v>615</v>
      </c>
      <c r="D788" s="5">
        <f>IFERROR(__xludf.DUMMYFUNCTION("""COMPUTED_VALUE"""),590.0)</f>
        <v>590</v>
      </c>
      <c r="E788" s="5">
        <f>IFERROR(__xludf.DUMMYFUNCTION("""COMPUTED_VALUE"""),590.0)</f>
        <v>590</v>
      </c>
      <c r="F788" s="5">
        <f>IFERROR(__xludf.DUMMYFUNCTION("""COMPUTED_VALUE"""),6135500.0)</f>
        <v>6135500</v>
      </c>
      <c r="G788" s="5">
        <f t="shared" si="1"/>
        <v>25</v>
      </c>
    </row>
    <row r="789">
      <c r="A789" s="4">
        <f>IFERROR(__xludf.DUMMYFUNCTION("""COMPUTED_VALUE"""),45001.66666666667)</f>
        <v>45001.66667</v>
      </c>
      <c r="B789" s="5">
        <f>IFERROR(__xludf.DUMMYFUNCTION("""COMPUTED_VALUE"""),585.0)</f>
        <v>585</v>
      </c>
      <c r="C789" s="5">
        <f>IFERROR(__xludf.DUMMYFUNCTION("""COMPUTED_VALUE"""),595.0)</f>
        <v>595</v>
      </c>
      <c r="D789" s="5">
        <f>IFERROR(__xludf.DUMMYFUNCTION("""COMPUTED_VALUE"""),560.0)</f>
        <v>560</v>
      </c>
      <c r="E789" s="5">
        <f>IFERROR(__xludf.DUMMYFUNCTION("""COMPUTED_VALUE"""),560.0)</f>
        <v>560</v>
      </c>
      <c r="F789" s="5">
        <f>IFERROR(__xludf.DUMMYFUNCTION("""COMPUTED_VALUE"""),9952000.0)</f>
        <v>9952000</v>
      </c>
      <c r="G789" s="5">
        <f t="shared" si="1"/>
        <v>35</v>
      </c>
    </row>
    <row r="790">
      <c r="A790" s="4">
        <f>IFERROR(__xludf.DUMMYFUNCTION("""COMPUTED_VALUE"""),45002.66666666667)</f>
        <v>45002.66667</v>
      </c>
      <c r="B790" s="5">
        <f>IFERROR(__xludf.DUMMYFUNCTION("""COMPUTED_VALUE"""),560.0)</f>
        <v>560</v>
      </c>
      <c r="C790" s="5">
        <f>IFERROR(__xludf.DUMMYFUNCTION("""COMPUTED_VALUE"""),585.0)</f>
        <v>585</v>
      </c>
      <c r="D790" s="5">
        <f>IFERROR(__xludf.DUMMYFUNCTION("""COMPUTED_VALUE"""),555.0)</f>
        <v>555</v>
      </c>
      <c r="E790" s="5">
        <f>IFERROR(__xludf.DUMMYFUNCTION("""COMPUTED_VALUE"""),580.0)</f>
        <v>580</v>
      </c>
      <c r="F790" s="5">
        <f>IFERROR(__xludf.DUMMYFUNCTION("""COMPUTED_VALUE"""),7911800.0)</f>
        <v>7911800</v>
      </c>
      <c r="G790" s="5">
        <f t="shared" si="1"/>
        <v>30</v>
      </c>
    </row>
    <row r="791">
      <c r="A791" s="4">
        <f>IFERROR(__xludf.DUMMYFUNCTION("""COMPUTED_VALUE"""),45005.66666666667)</f>
        <v>45005.66667</v>
      </c>
      <c r="B791" s="5">
        <f>IFERROR(__xludf.DUMMYFUNCTION("""COMPUTED_VALUE"""),580.0)</f>
        <v>580</v>
      </c>
      <c r="C791" s="5">
        <f>IFERROR(__xludf.DUMMYFUNCTION("""COMPUTED_VALUE"""),585.0)</f>
        <v>585</v>
      </c>
      <c r="D791" s="5">
        <f>IFERROR(__xludf.DUMMYFUNCTION("""COMPUTED_VALUE"""),560.0)</f>
        <v>560</v>
      </c>
      <c r="E791" s="5">
        <f>IFERROR(__xludf.DUMMYFUNCTION("""COMPUTED_VALUE"""),565.0)</f>
        <v>565</v>
      </c>
      <c r="F791" s="5">
        <f>IFERROR(__xludf.DUMMYFUNCTION("""COMPUTED_VALUE"""),4754400.0)</f>
        <v>4754400</v>
      </c>
      <c r="G791" s="5">
        <f t="shared" si="1"/>
        <v>25</v>
      </c>
    </row>
    <row r="792">
      <c r="A792" s="4">
        <f>IFERROR(__xludf.DUMMYFUNCTION("""COMPUTED_VALUE"""),45006.66666666667)</f>
        <v>45006.66667</v>
      </c>
      <c r="B792" s="5">
        <f>IFERROR(__xludf.DUMMYFUNCTION("""COMPUTED_VALUE"""),565.0)</f>
        <v>565</v>
      </c>
      <c r="C792" s="5">
        <f>IFERROR(__xludf.DUMMYFUNCTION("""COMPUTED_VALUE"""),580.0)</f>
        <v>580</v>
      </c>
      <c r="D792" s="5">
        <f>IFERROR(__xludf.DUMMYFUNCTION("""COMPUTED_VALUE"""),555.0)</f>
        <v>555</v>
      </c>
      <c r="E792" s="5">
        <f>IFERROR(__xludf.DUMMYFUNCTION("""COMPUTED_VALUE"""),580.0)</f>
        <v>580</v>
      </c>
      <c r="F792" s="5">
        <f>IFERROR(__xludf.DUMMYFUNCTION("""COMPUTED_VALUE"""),4921500.0)</f>
        <v>4921500</v>
      </c>
      <c r="G792" s="5">
        <f t="shared" si="1"/>
        <v>25</v>
      </c>
    </row>
    <row r="793">
      <c r="A793" s="4">
        <f>IFERROR(__xludf.DUMMYFUNCTION("""COMPUTED_VALUE"""),45009.66666666667)</f>
        <v>45009.66667</v>
      </c>
      <c r="B793" s="5">
        <f>IFERROR(__xludf.DUMMYFUNCTION("""COMPUTED_VALUE"""),585.0)</f>
        <v>585</v>
      </c>
      <c r="C793" s="5">
        <f>IFERROR(__xludf.DUMMYFUNCTION("""COMPUTED_VALUE"""),590.0)</f>
        <v>590</v>
      </c>
      <c r="D793" s="5">
        <f>IFERROR(__xludf.DUMMYFUNCTION("""COMPUTED_VALUE"""),565.0)</f>
        <v>565</v>
      </c>
      <c r="E793" s="5">
        <f>IFERROR(__xludf.DUMMYFUNCTION("""COMPUTED_VALUE"""),565.0)</f>
        <v>565</v>
      </c>
      <c r="F793" s="5">
        <f>IFERROR(__xludf.DUMMYFUNCTION("""COMPUTED_VALUE"""),1.10157E7)</f>
        <v>11015700</v>
      </c>
      <c r="G793" s="5">
        <f t="shared" si="1"/>
        <v>25</v>
      </c>
    </row>
    <row r="794">
      <c r="A794" s="4">
        <f>IFERROR(__xludf.DUMMYFUNCTION("""COMPUTED_VALUE"""),45012.66666666667)</f>
        <v>45012.66667</v>
      </c>
      <c r="B794" s="5">
        <f>IFERROR(__xludf.DUMMYFUNCTION("""COMPUTED_VALUE"""),575.0)</f>
        <v>575</v>
      </c>
      <c r="C794" s="5">
        <f>IFERROR(__xludf.DUMMYFUNCTION("""COMPUTED_VALUE"""),575.0)</f>
        <v>575</v>
      </c>
      <c r="D794" s="5">
        <f>IFERROR(__xludf.DUMMYFUNCTION("""COMPUTED_VALUE"""),565.0)</f>
        <v>565</v>
      </c>
      <c r="E794" s="5">
        <f>IFERROR(__xludf.DUMMYFUNCTION("""COMPUTED_VALUE"""),575.0)</f>
        <v>575</v>
      </c>
      <c r="F794" s="5">
        <f>IFERROR(__xludf.DUMMYFUNCTION("""COMPUTED_VALUE"""),3967000.0)</f>
        <v>3967000</v>
      </c>
      <c r="G794" s="5">
        <f t="shared" si="1"/>
        <v>10</v>
      </c>
    </row>
    <row r="795">
      <c r="A795" s="4">
        <f>IFERROR(__xludf.DUMMYFUNCTION("""COMPUTED_VALUE"""),45013.66666666667)</f>
        <v>45013.66667</v>
      </c>
      <c r="B795" s="5">
        <f>IFERROR(__xludf.DUMMYFUNCTION("""COMPUTED_VALUE"""),575.0)</f>
        <v>575</v>
      </c>
      <c r="C795" s="5">
        <f>IFERROR(__xludf.DUMMYFUNCTION("""COMPUTED_VALUE"""),595.0)</f>
        <v>595</v>
      </c>
      <c r="D795" s="5">
        <f>IFERROR(__xludf.DUMMYFUNCTION("""COMPUTED_VALUE"""),570.0)</f>
        <v>570</v>
      </c>
      <c r="E795" s="5">
        <f>IFERROR(__xludf.DUMMYFUNCTION("""COMPUTED_VALUE"""),580.0)</f>
        <v>580</v>
      </c>
      <c r="F795" s="5">
        <f>IFERROR(__xludf.DUMMYFUNCTION("""COMPUTED_VALUE"""),8216700.0)</f>
        <v>8216700</v>
      </c>
      <c r="G795" s="5">
        <f t="shared" si="1"/>
        <v>25</v>
      </c>
    </row>
    <row r="796">
      <c r="A796" s="4">
        <f>IFERROR(__xludf.DUMMYFUNCTION("""COMPUTED_VALUE"""),45014.66666666667)</f>
        <v>45014.66667</v>
      </c>
      <c r="B796" s="5">
        <f>IFERROR(__xludf.DUMMYFUNCTION("""COMPUTED_VALUE"""),585.0)</f>
        <v>585</v>
      </c>
      <c r="C796" s="5">
        <f>IFERROR(__xludf.DUMMYFUNCTION("""COMPUTED_VALUE"""),600.0)</f>
        <v>600</v>
      </c>
      <c r="D796" s="5">
        <f>IFERROR(__xludf.DUMMYFUNCTION("""COMPUTED_VALUE"""),580.0)</f>
        <v>580</v>
      </c>
      <c r="E796" s="5">
        <f>IFERROR(__xludf.DUMMYFUNCTION("""COMPUTED_VALUE"""),585.0)</f>
        <v>585</v>
      </c>
      <c r="F796" s="5">
        <f>IFERROR(__xludf.DUMMYFUNCTION("""COMPUTED_VALUE"""),5695500.0)</f>
        <v>5695500</v>
      </c>
      <c r="G796" s="5">
        <f t="shared" si="1"/>
        <v>20</v>
      </c>
    </row>
    <row r="797">
      <c r="A797" s="4">
        <f>IFERROR(__xludf.DUMMYFUNCTION("""COMPUTED_VALUE"""),45015.66666666667)</f>
        <v>45015.66667</v>
      </c>
      <c r="B797" s="5">
        <f>IFERROR(__xludf.DUMMYFUNCTION("""COMPUTED_VALUE"""),585.0)</f>
        <v>585</v>
      </c>
      <c r="C797" s="5">
        <f>IFERROR(__xludf.DUMMYFUNCTION("""COMPUTED_VALUE"""),595.0)</f>
        <v>595</v>
      </c>
      <c r="D797" s="5">
        <f>IFERROR(__xludf.DUMMYFUNCTION("""COMPUTED_VALUE"""),580.0)</f>
        <v>580</v>
      </c>
      <c r="E797" s="5">
        <f>IFERROR(__xludf.DUMMYFUNCTION("""COMPUTED_VALUE"""),585.0)</f>
        <v>585</v>
      </c>
      <c r="F797" s="5">
        <f>IFERROR(__xludf.DUMMYFUNCTION("""COMPUTED_VALUE"""),6602100.0)</f>
        <v>6602100</v>
      </c>
      <c r="G797" s="5">
        <f t="shared" si="1"/>
        <v>15</v>
      </c>
    </row>
    <row r="798">
      <c r="A798" s="4">
        <f>IFERROR(__xludf.DUMMYFUNCTION("""COMPUTED_VALUE"""),45016.66666666667)</f>
        <v>45016.66667</v>
      </c>
      <c r="B798" s="5">
        <f>IFERROR(__xludf.DUMMYFUNCTION("""COMPUTED_VALUE"""),590.0)</f>
        <v>590</v>
      </c>
      <c r="C798" s="5">
        <f>IFERROR(__xludf.DUMMYFUNCTION("""COMPUTED_VALUE"""),590.0)</f>
        <v>590</v>
      </c>
      <c r="D798" s="5">
        <f>IFERROR(__xludf.DUMMYFUNCTION("""COMPUTED_VALUE"""),575.0)</f>
        <v>575</v>
      </c>
      <c r="E798" s="5">
        <f>IFERROR(__xludf.DUMMYFUNCTION("""COMPUTED_VALUE"""),580.0)</f>
        <v>580</v>
      </c>
      <c r="F798" s="5">
        <f>IFERROR(__xludf.DUMMYFUNCTION("""COMPUTED_VALUE"""),4047400.0)</f>
        <v>4047400</v>
      </c>
      <c r="G798" s="5">
        <f t="shared" si="1"/>
        <v>15</v>
      </c>
    </row>
    <row r="799">
      <c r="A799" s="4">
        <f>IFERROR(__xludf.DUMMYFUNCTION("""COMPUTED_VALUE"""),45019.66666666667)</f>
        <v>45019.66667</v>
      </c>
      <c r="B799" s="5">
        <f>IFERROR(__xludf.DUMMYFUNCTION("""COMPUTED_VALUE"""),580.0)</f>
        <v>580</v>
      </c>
      <c r="C799" s="5">
        <f>IFERROR(__xludf.DUMMYFUNCTION("""COMPUTED_VALUE"""),590.0)</f>
        <v>590</v>
      </c>
      <c r="D799" s="5">
        <f>IFERROR(__xludf.DUMMYFUNCTION("""COMPUTED_VALUE"""),575.0)</f>
        <v>575</v>
      </c>
      <c r="E799" s="5">
        <f>IFERROR(__xludf.DUMMYFUNCTION("""COMPUTED_VALUE"""),590.0)</f>
        <v>590</v>
      </c>
      <c r="F799" s="5">
        <f>IFERROR(__xludf.DUMMYFUNCTION("""COMPUTED_VALUE"""),4649300.0)</f>
        <v>4649300</v>
      </c>
      <c r="G799" s="5">
        <f t="shared" si="1"/>
        <v>15</v>
      </c>
    </row>
    <row r="800">
      <c r="A800" s="4">
        <f>IFERROR(__xludf.DUMMYFUNCTION("""COMPUTED_VALUE"""),45020.66666666667)</f>
        <v>45020.66667</v>
      </c>
      <c r="B800" s="5">
        <f>IFERROR(__xludf.DUMMYFUNCTION("""COMPUTED_VALUE"""),590.0)</f>
        <v>590</v>
      </c>
      <c r="C800" s="5">
        <f>IFERROR(__xludf.DUMMYFUNCTION("""COMPUTED_VALUE"""),590.0)</f>
        <v>590</v>
      </c>
      <c r="D800" s="5">
        <f>IFERROR(__xludf.DUMMYFUNCTION("""COMPUTED_VALUE"""),575.0)</f>
        <v>575</v>
      </c>
      <c r="E800" s="5">
        <f>IFERROR(__xludf.DUMMYFUNCTION("""COMPUTED_VALUE"""),580.0)</f>
        <v>580</v>
      </c>
      <c r="F800" s="5">
        <f>IFERROR(__xludf.DUMMYFUNCTION("""COMPUTED_VALUE"""),4046300.0)</f>
        <v>4046300</v>
      </c>
      <c r="G800" s="5">
        <f t="shared" si="1"/>
        <v>15</v>
      </c>
    </row>
    <row r="801">
      <c r="A801" s="4">
        <f>IFERROR(__xludf.DUMMYFUNCTION("""COMPUTED_VALUE"""),45021.66666666667)</f>
        <v>45021.66667</v>
      </c>
      <c r="B801" s="5">
        <f>IFERROR(__xludf.DUMMYFUNCTION("""COMPUTED_VALUE"""),580.0)</f>
        <v>580</v>
      </c>
      <c r="C801" s="5">
        <f>IFERROR(__xludf.DUMMYFUNCTION("""COMPUTED_VALUE"""),590.0)</f>
        <v>590</v>
      </c>
      <c r="D801" s="5">
        <f>IFERROR(__xludf.DUMMYFUNCTION("""COMPUTED_VALUE"""),575.0)</f>
        <v>575</v>
      </c>
      <c r="E801" s="5">
        <f>IFERROR(__xludf.DUMMYFUNCTION("""COMPUTED_VALUE"""),575.0)</f>
        <v>575</v>
      </c>
      <c r="F801" s="5">
        <f>IFERROR(__xludf.DUMMYFUNCTION("""COMPUTED_VALUE"""),5724700.0)</f>
        <v>5724700</v>
      </c>
      <c r="G801" s="5">
        <f t="shared" si="1"/>
        <v>15</v>
      </c>
    </row>
    <row r="802">
      <c r="A802" s="4">
        <f>IFERROR(__xludf.DUMMYFUNCTION("""COMPUTED_VALUE"""),45022.66666666667)</f>
        <v>45022.66667</v>
      </c>
      <c r="B802" s="5">
        <f>IFERROR(__xludf.DUMMYFUNCTION("""COMPUTED_VALUE"""),575.0)</f>
        <v>575</v>
      </c>
      <c r="C802" s="5">
        <f>IFERROR(__xludf.DUMMYFUNCTION("""COMPUTED_VALUE"""),580.0)</f>
        <v>580</v>
      </c>
      <c r="D802" s="5">
        <f>IFERROR(__xludf.DUMMYFUNCTION("""COMPUTED_VALUE"""),560.0)</f>
        <v>560</v>
      </c>
      <c r="E802" s="5">
        <f>IFERROR(__xludf.DUMMYFUNCTION("""COMPUTED_VALUE"""),565.0)</f>
        <v>565</v>
      </c>
      <c r="F802" s="5">
        <f>IFERROR(__xludf.DUMMYFUNCTION("""COMPUTED_VALUE"""),6407900.0)</f>
        <v>6407900</v>
      </c>
      <c r="G802" s="5">
        <f t="shared" si="1"/>
        <v>20</v>
      </c>
    </row>
    <row r="803">
      <c r="A803" s="4">
        <f>IFERROR(__xludf.DUMMYFUNCTION("""COMPUTED_VALUE"""),45026.66666666667)</f>
        <v>45026.66667</v>
      </c>
      <c r="B803" s="5">
        <f>IFERROR(__xludf.DUMMYFUNCTION("""COMPUTED_VALUE"""),565.0)</f>
        <v>565</v>
      </c>
      <c r="C803" s="5">
        <f>IFERROR(__xludf.DUMMYFUNCTION("""COMPUTED_VALUE"""),570.0)</f>
        <v>570</v>
      </c>
      <c r="D803" s="5">
        <f>IFERROR(__xludf.DUMMYFUNCTION("""COMPUTED_VALUE"""),530.0)</f>
        <v>530</v>
      </c>
      <c r="E803" s="5">
        <f>IFERROR(__xludf.DUMMYFUNCTION("""COMPUTED_VALUE"""),535.0)</f>
        <v>535</v>
      </c>
      <c r="F803" s="5">
        <f>IFERROR(__xludf.DUMMYFUNCTION("""COMPUTED_VALUE"""),1.66043E7)</f>
        <v>16604300</v>
      </c>
      <c r="G803" s="5">
        <f t="shared" si="1"/>
        <v>40</v>
      </c>
    </row>
    <row r="804">
      <c r="A804" s="4">
        <f>IFERROR(__xludf.DUMMYFUNCTION("""COMPUTED_VALUE"""),45027.66666666667)</f>
        <v>45027.66667</v>
      </c>
      <c r="B804" s="5">
        <f>IFERROR(__xludf.DUMMYFUNCTION("""COMPUTED_VALUE"""),540.0)</f>
        <v>540</v>
      </c>
      <c r="C804" s="5">
        <f>IFERROR(__xludf.DUMMYFUNCTION("""COMPUTED_VALUE"""),565.0)</f>
        <v>565</v>
      </c>
      <c r="D804" s="5">
        <f>IFERROR(__xludf.DUMMYFUNCTION("""COMPUTED_VALUE"""),530.0)</f>
        <v>530</v>
      </c>
      <c r="E804" s="5">
        <f>IFERROR(__xludf.DUMMYFUNCTION("""COMPUTED_VALUE"""),555.0)</f>
        <v>555</v>
      </c>
      <c r="F804" s="5">
        <f>IFERROR(__xludf.DUMMYFUNCTION("""COMPUTED_VALUE"""),1.0706E7)</f>
        <v>10706000</v>
      </c>
      <c r="G804" s="5">
        <f t="shared" si="1"/>
        <v>35</v>
      </c>
    </row>
    <row r="805">
      <c r="A805" s="4">
        <f>IFERROR(__xludf.DUMMYFUNCTION("""COMPUTED_VALUE"""),45028.66666666667)</f>
        <v>45028.66667</v>
      </c>
      <c r="B805" s="5">
        <f>IFERROR(__xludf.DUMMYFUNCTION("""COMPUTED_VALUE"""),555.0)</f>
        <v>555</v>
      </c>
      <c r="C805" s="5">
        <f>IFERROR(__xludf.DUMMYFUNCTION("""COMPUTED_VALUE"""),595.0)</f>
        <v>595</v>
      </c>
      <c r="D805" s="5">
        <f>IFERROR(__xludf.DUMMYFUNCTION("""COMPUTED_VALUE"""),545.0)</f>
        <v>545</v>
      </c>
      <c r="E805" s="5">
        <f>IFERROR(__xludf.DUMMYFUNCTION("""COMPUTED_VALUE"""),585.0)</f>
        <v>585</v>
      </c>
      <c r="F805" s="5">
        <f>IFERROR(__xludf.DUMMYFUNCTION("""COMPUTED_VALUE"""),1.52225E7)</f>
        <v>15222500</v>
      </c>
      <c r="G805" s="5">
        <f t="shared" si="1"/>
        <v>50</v>
      </c>
    </row>
    <row r="806">
      <c r="A806" s="4">
        <f>IFERROR(__xludf.DUMMYFUNCTION("""COMPUTED_VALUE"""),45029.66666666667)</f>
        <v>45029.66667</v>
      </c>
      <c r="B806" s="5">
        <f>IFERROR(__xludf.DUMMYFUNCTION("""COMPUTED_VALUE"""),590.0)</f>
        <v>590</v>
      </c>
      <c r="C806" s="5">
        <f>IFERROR(__xludf.DUMMYFUNCTION("""COMPUTED_VALUE"""),605.0)</f>
        <v>605</v>
      </c>
      <c r="D806" s="5">
        <f>IFERROR(__xludf.DUMMYFUNCTION("""COMPUTED_VALUE"""),585.0)</f>
        <v>585</v>
      </c>
      <c r="E806" s="5">
        <f>IFERROR(__xludf.DUMMYFUNCTION("""COMPUTED_VALUE"""),590.0)</f>
        <v>590</v>
      </c>
      <c r="F806" s="5">
        <f>IFERROR(__xludf.DUMMYFUNCTION("""COMPUTED_VALUE"""),9636000.0)</f>
        <v>9636000</v>
      </c>
      <c r="G806" s="5">
        <f t="shared" si="1"/>
        <v>20</v>
      </c>
    </row>
    <row r="807">
      <c r="A807" s="4">
        <f>IFERROR(__xludf.DUMMYFUNCTION("""COMPUTED_VALUE"""),45030.66666666667)</f>
        <v>45030.66667</v>
      </c>
      <c r="B807" s="5">
        <f>IFERROR(__xludf.DUMMYFUNCTION("""COMPUTED_VALUE"""),590.0)</f>
        <v>590</v>
      </c>
      <c r="C807" s="5">
        <f>IFERROR(__xludf.DUMMYFUNCTION("""COMPUTED_VALUE"""),600.0)</f>
        <v>600</v>
      </c>
      <c r="D807" s="5">
        <f>IFERROR(__xludf.DUMMYFUNCTION("""COMPUTED_VALUE"""),565.0)</f>
        <v>565</v>
      </c>
      <c r="E807" s="5">
        <f>IFERROR(__xludf.DUMMYFUNCTION("""COMPUTED_VALUE"""),570.0)</f>
        <v>570</v>
      </c>
      <c r="F807" s="5">
        <f>IFERROR(__xludf.DUMMYFUNCTION("""COMPUTED_VALUE"""),7595900.0)</f>
        <v>7595900</v>
      </c>
      <c r="G807" s="5">
        <f t="shared" si="1"/>
        <v>35</v>
      </c>
    </row>
    <row r="808">
      <c r="A808" s="4">
        <f>IFERROR(__xludf.DUMMYFUNCTION("""COMPUTED_VALUE"""),45033.66666666667)</f>
        <v>45033.66667</v>
      </c>
      <c r="B808" s="5">
        <f>IFERROR(__xludf.DUMMYFUNCTION("""COMPUTED_VALUE"""),575.0)</f>
        <v>575</v>
      </c>
      <c r="C808" s="5">
        <f>IFERROR(__xludf.DUMMYFUNCTION("""COMPUTED_VALUE"""),595.0)</f>
        <v>595</v>
      </c>
      <c r="D808" s="5">
        <f>IFERROR(__xludf.DUMMYFUNCTION("""COMPUTED_VALUE"""),570.0)</f>
        <v>570</v>
      </c>
      <c r="E808" s="5">
        <f>IFERROR(__xludf.DUMMYFUNCTION("""COMPUTED_VALUE"""),585.0)</f>
        <v>585</v>
      </c>
      <c r="F808" s="5">
        <f>IFERROR(__xludf.DUMMYFUNCTION("""COMPUTED_VALUE"""),7352100.0)</f>
        <v>7352100</v>
      </c>
      <c r="G808" s="5">
        <f t="shared" si="1"/>
        <v>25</v>
      </c>
    </row>
    <row r="809">
      <c r="A809" s="4">
        <f>IFERROR(__xludf.DUMMYFUNCTION("""COMPUTED_VALUE"""),45034.66666666667)</f>
        <v>45034.66667</v>
      </c>
      <c r="B809" s="5">
        <f>IFERROR(__xludf.DUMMYFUNCTION("""COMPUTED_VALUE"""),595.0)</f>
        <v>595</v>
      </c>
      <c r="C809" s="5">
        <f>IFERROR(__xludf.DUMMYFUNCTION("""COMPUTED_VALUE"""),600.0)</f>
        <v>600</v>
      </c>
      <c r="D809" s="5">
        <f>IFERROR(__xludf.DUMMYFUNCTION("""COMPUTED_VALUE"""),575.0)</f>
        <v>575</v>
      </c>
      <c r="E809" s="5">
        <f>IFERROR(__xludf.DUMMYFUNCTION("""COMPUTED_VALUE"""),585.0)</f>
        <v>585</v>
      </c>
      <c r="F809" s="5">
        <f>IFERROR(__xludf.DUMMYFUNCTION("""COMPUTED_VALUE"""),7882100.0)</f>
        <v>7882100</v>
      </c>
      <c r="G809" s="5">
        <f t="shared" si="1"/>
        <v>25</v>
      </c>
    </row>
    <row r="810">
      <c r="A810" s="4">
        <f>IFERROR(__xludf.DUMMYFUNCTION("""COMPUTED_VALUE"""),45042.66666666667)</f>
        <v>45042.66667</v>
      </c>
      <c r="B810" s="5">
        <f>IFERROR(__xludf.DUMMYFUNCTION("""COMPUTED_VALUE"""),595.0)</f>
        <v>595</v>
      </c>
      <c r="C810" s="5">
        <f>IFERROR(__xludf.DUMMYFUNCTION("""COMPUTED_VALUE"""),630.0)</f>
        <v>630</v>
      </c>
      <c r="D810" s="5">
        <f>IFERROR(__xludf.DUMMYFUNCTION("""COMPUTED_VALUE"""),580.0)</f>
        <v>580</v>
      </c>
      <c r="E810" s="5">
        <f>IFERROR(__xludf.DUMMYFUNCTION("""COMPUTED_VALUE"""),630.0)</f>
        <v>630</v>
      </c>
      <c r="F810" s="5">
        <f>IFERROR(__xludf.DUMMYFUNCTION("""COMPUTED_VALUE"""),1.80424E7)</f>
        <v>18042400</v>
      </c>
      <c r="G810" s="5">
        <f t="shared" si="1"/>
        <v>50</v>
      </c>
    </row>
    <row r="811">
      <c r="A811" s="4">
        <f>IFERROR(__xludf.DUMMYFUNCTION("""COMPUTED_VALUE"""),45043.66666666667)</f>
        <v>45043.66667</v>
      </c>
      <c r="B811" s="5">
        <f>IFERROR(__xludf.DUMMYFUNCTION("""COMPUTED_VALUE"""),630.0)</f>
        <v>630</v>
      </c>
      <c r="C811" s="5">
        <f>IFERROR(__xludf.DUMMYFUNCTION("""COMPUTED_VALUE"""),655.0)</f>
        <v>655</v>
      </c>
      <c r="D811" s="5">
        <f>IFERROR(__xludf.DUMMYFUNCTION("""COMPUTED_VALUE"""),620.0)</f>
        <v>620</v>
      </c>
      <c r="E811" s="5">
        <f>IFERROR(__xludf.DUMMYFUNCTION("""COMPUTED_VALUE"""),645.0)</f>
        <v>645</v>
      </c>
      <c r="F811" s="5">
        <f>IFERROR(__xludf.DUMMYFUNCTION("""COMPUTED_VALUE"""),2.03167E7)</f>
        <v>20316700</v>
      </c>
      <c r="G811" s="5">
        <f t="shared" si="1"/>
        <v>35</v>
      </c>
    </row>
    <row r="812">
      <c r="A812" s="4">
        <f>IFERROR(__xludf.DUMMYFUNCTION("""COMPUTED_VALUE"""),45044.66666666667)</f>
        <v>45044.66667</v>
      </c>
      <c r="B812" s="5">
        <f>IFERROR(__xludf.DUMMYFUNCTION("""COMPUTED_VALUE"""),650.0)</f>
        <v>650</v>
      </c>
      <c r="C812" s="5">
        <f>IFERROR(__xludf.DUMMYFUNCTION("""COMPUTED_VALUE"""),660.0)</f>
        <v>660</v>
      </c>
      <c r="D812" s="5">
        <f>IFERROR(__xludf.DUMMYFUNCTION("""COMPUTED_VALUE"""),630.0)</f>
        <v>630</v>
      </c>
      <c r="E812" s="5">
        <f>IFERROR(__xludf.DUMMYFUNCTION("""COMPUTED_VALUE"""),650.0)</f>
        <v>650</v>
      </c>
      <c r="F812" s="5">
        <f>IFERROR(__xludf.DUMMYFUNCTION("""COMPUTED_VALUE"""),1.2426E7)</f>
        <v>12426000</v>
      </c>
      <c r="G812" s="5">
        <f t="shared" si="1"/>
        <v>30</v>
      </c>
    </row>
    <row r="813">
      <c r="A813" s="4">
        <f>IFERROR(__xludf.DUMMYFUNCTION("""COMPUTED_VALUE"""),45048.66666666667)</f>
        <v>45048.66667</v>
      </c>
      <c r="B813" s="5">
        <f>IFERROR(__xludf.DUMMYFUNCTION("""COMPUTED_VALUE"""),645.0)</f>
        <v>645</v>
      </c>
      <c r="C813" s="5">
        <f>IFERROR(__xludf.DUMMYFUNCTION("""COMPUTED_VALUE"""),660.0)</f>
        <v>660</v>
      </c>
      <c r="D813" s="5">
        <f>IFERROR(__xludf.DUMMYFUNCTION("""COMPUTED_VALUE"""),610.0)</f>
        <v>610</v>
      </c>
      <c r="E813" s="5">
        <f>IFERROR(__xludf.DUMMYFUNCTION("""COMPUTED_VALUE"""),630.0)</f>
        <v>630</v>
      </c>
      <c r="F813" s="5">
        <f>IFERROR(__xludf.DUMMYFUNCTION("""COMPUTED_VALUE"""),1.53399E7)</f>
        <v>15339900</v>
      </c>
      <c r="G813" s="5">
        <f t="shared" si="1"/>
        <v>50</v>
      </c>
    </row>
    <row r="814">
      <c r="A814" s="4">
        <f>IFERROR(__xludf.DUMMYFUNCTION("""COMPUTED_VALUE"""),45049.66666666667)</f>
        <v>45049.66667</v>
      </c>
      <c r="B814" s="5">
        <f>IFERROR(__xludf.DUMMYFUNCTION("""COMPUTED_VALUE"""),630.0)</f>
        <v>630</v>
      </c>
      <c r="C814" s="5">
        <f>IFERROR(__xludf.DUMMYFUNCTION("""COMPUTED_VALUE"""),630.0)</f>
        <v>630</v>
      </c>
      <c r="D814" s="5">
        <f>IFERROR(__xludf.DUMMYFUNCTION("""COMPUTED_VALUE"""),590.0)</f>
        <v>590</v>
      </c>
      <c r="E814" s="5">
        <f>IFERROR(__xludf.DUMMYFUNCTION("""COMPUTED_VALUE"""),590.0)</f>
        <v>590</v>
      </c>
      <c r="F814" s="5">
        <f>IFERROR(__xludf.DUMMYFUNCTION("""COMPUTED_VALUE"""),1.35312E7)</f>
        <v>13531200</v>
      </c>
      <c r="G814" s="5">
        <f t="shared" si="1"/>
        <v>40</v>
      </c>
    </row>
    <row r="815">
      <c r="A815" s="4">
        <f>IFERROR(__xludf.DUMMYFUNCTION("""COMPUTED_VALUE"""),45050.66666666667)</f>
        <v>45050.66667</v>
      </c>
      <c r="B815" s="5">
        <f>IFERROR(__xludf.DUMMYFUNCTION("""COMPUTED_VALUE"""),590.0)</f>
        <v>590</v>
      </c>
      <c r="C815" s="5">
        <f>IFERROR(__xludf.DUMMYFUNCTION("""COMPUTED_VALUE"""),605.0)</f>
        <v>605</v>
      </c>
      <c r="D815" s="5">
        <f>IFERROR(__xludf.DUMMYFUNCTION("""COMPUTED_VALUE"""),580.0)</f>
        <v>580</v>
      </c>
      <c r="E815" s="5">
        <f>IFERROR(__xludf.DUMMYFUNCTION("""COMPUTED_VALUE"""),600.0)</f>
        <v>600</v>
      </c>
      <c r="F815" s="5">
        <f>IFERROR(__xludf.DUMMYFUNCTION("""COMPUTED_VALUE"""),1.19244E7)</f>
        <v>11924400</v>
      </c>
      <c r="G815" s="5">
        <f t="shared" si="1"/>
        <v>25</v>
      </c>
    </row>
    <row r="816">
      <c r="A816" s="4">
        <f>IFERROR(__xludf.DUMMYFUNCTION("""COMPUTED_VALUE"""),45051.66666666667)</f>
        <v>45051.66667</v>
      </c>
      <c r="B816" s="5">
        <f>IFERROR(__xludf.DUMMYFUNCTION("""COMPUTED_VALUE"""),605.0)</f>
        <v>605</v>
      </c>
      <c r="C816" s="5">
        <f>IFERROR(__xludf.DUMMYFUNCTION("""COMPUTED_VALUE"""),610.0)</f>
        <v>610</v>
      </c>
      <c r="D816" s="5">
        <f>IFERROR(__xludf.DUMMYFUNCTION("""COMPUTED_VALUE"""),570.0)</f>
        <v>570</v>
      </c>
      <c r="E816" s="5">
        <f>IFERROR(__xludf.DUMMYFUNCTION("""COMPUTED_VALUE"""),575.0)</f>
        <v>575</v>
      </c>
      <c r="F816" s="5">
        <f>IFERROR(__xludf.DUMMYFUNCTION("""COMPUTED_VALUE"""),1.1974E7)</f>
        <v>11974000</v>
      </c>
      <c r="G816" s="5">
        <f t="shared" si="1"/>
        <v>40</v>
      </c>
    </row>
    <row r="817">
      <c r="A817" s="4">
        <f>IFERROR(__xludf.DUMMYFUNCTION("""COMPUTED_VALUE"""),45054.66666666667)</f>
        <v>45054.66667</v>
      </c>
      <c r="B817" s="5">
        <f>IFERROR(__xludf.DUMMYFUNCTION("""COMPUTED_VALUE"""),575.0)</f>
        <v>575</v>
      </c>
      <c r="C817" s="5">
        <f>IFERROR(__xludf.DUMMYFUNCTION("""COMPUTED_VALUE"""),590.0)</f>
        <v>590</v>
      </c>
      <c r="D817" s="5">
        <f>IFERROR(__xludf.DUMMYFUNCTION("""COMPUTED_VALUE"""),550.0)</f>
        <v>550</v>
      </c>
      <c r="E817" s="5">
        <f>IFERROR(__xludf.DUMMYFUNCTION("""COMPUTED_VALUE"""),550.0)</f>
        <v>550</v>
      </c>
      <c r="F817" s="5">
        <f>IFERROR(__xludf.DUMMYFUNCTION("""COMPUTED_VALUE"""),1.18405E7)</f>
        <v>11840500</v>
      </c>
      <c r="G817" s="5">
        <f t="shared" si="1"/>
        <v>40</v>
      </c>
    </row>
    <row r="818">
      <c r="A818" s="4">
        <f>IFERROR(__xludf.DUMMYFUNCTION("""COMPUTED_VALUE"""),45055.66666666667)</f>
        <v>45055.66667</v>
      </c>
      <c r="B818" s="5">
        <f>IFERROR(__xludf.DUMMYFUNCTION("""COMPUTED_VALUE"""),560.0)</f>
        <v>560</v>
      </c>
      <c r="C818" s="5">
        <f>IFERROR(__xludf.DUMMYFUNCTION("""COMPUTED_VALUE"""),580.0)</f>
        <v>580</v>
      </c>
      <c r="D818" s="5">
        <f>IFERROR(__xludf.DUMMYFUNCTION("""COMPUTED_VALUE"""),550.0)</f>
        <v>550</v>
      </c>
      <c r="E818" s="5">
        <f>IFERROR(__xludf.DUMMYFUNCTION("""COMPUTED_VALUE"""),580.0)</f>
        <v>580</v>
      </c>
      <c r="F818" s="5">
        <f>IFERROR(__xludf.DUMMYFUNCTION("""COMPUTED_VALUE"""),7783800.0)</f>
        <v>7783800</v>
      </c>
      <c r="G818" s="5">
        <f t="shared" si="1"/>
        <v>30</v>
      </c>
    </row>
    <row r="819">
      <c r="A819" s="4">
        <f>IFERROR(__xludf.DUMMYFUNCTION("""COMPUTED_VALUE"""),45056.66666666667)</f>
        <v>45056.66667</v>
      </c>
      <c r="B819" s="5">
        <f>IFERROR(__xludf.DUMMYFUNCTION("""COMPUTED_VALUE"""),580.0)</f>
        <v>580</v>
      </c>
      <c r="C819" s="5">
        <f>IFERROR(__xludf.DUMMYFUNCTION("""COMPUTED_VALUE"""),590.0)</f>
        <v>590</v>
      </c>
      <c r="D819" s="5">
        <f>IFERROR(__xludf.DUMMYFUNCTION("""COMPUTED_VALUE"""),575.0)</f>
        <v>575</v>
      </c>
      <c r="E819" s="5">
        <f>IFERROR(__xludf.DUMMYFUNCTION("""COMPUTED_VALUE"""),575.0)</f>
        <v>575</v>
      </c>
      <c r="F819" s="5">
        <f>IFERROR(__xludf.DUMMYFUNCTION("""COMPUTED_VALUE"""),5699400.0)</f>
        <v>5699400</v>
      </c>
      <c r="G819" s="5">
        <f t="shared" si="1"/>
        <v>15</v>
      </c>
    </row>
    <row r="820">
      <c r="A820" s="4">
        <f>IFERROR(__xludf.DUMMYFUNCTION("""COMPUTED_VALUE"""),45057.66666666667)</f>
        <v>45057.66667</v>
      </c>
      <c r="B820" s="5">
        <f>IFERROR(__xludf.DUMMYFUNCTION("""COMPUTED_VALUE"""),575.0)</f>
        <v>575</v>
      </c>
      <c r="C820" s="5">
        <f>IFERROR(__xludf.DUMMYFUNCTION("""COMPUTED_VALUE"""),585.0)</f>
        <v>585</v>
      </c>
      <c r="D820" s="5">
        <f>IFERROR(__xludf.DUMMYFUNCTION("""COMPUTED_VALUE"""),550.0)</f>
        <v>550</v>
      </c>
      <c r="E820" s="5">
        <f>IFERROR(__xludf.DUMMYFUNCTION("""COMPUTED_VALUE"""),560.0)</f>
        <v>560</v>
      </c>
      <c r="F820" s="5">
        <f>IFERROR(__xludf.DUMMYFUNCTION("""COMPUTED_VALUE"""),1.10677E7)</f>
        <v>11067700</v>
      </c>
      <c r="G820" s="5">
        <f t="shared" si="1"/>
        <v>35</v>
      </c>
    </row>
    <row r="821">
      <c r="A821" s="4">
        <f>IFERROR(__xludf.DUMMYFUNCTION("""COMPUTED_VALUE"""),45058.66666666667)</f>
        <v>45058.66667</v>
      </c>
      <c r="B821" s="5">
        <f>IFERROR(__xludf.DUMMYFUNCTION("""COMPUTED_VALUE"""),560.0)</f>
        <v>560</v>
      </c>
      <c r="C821" s="5">
        <f>IFERROR(__xludf.DUMMYFUNCTION("""COMPUTED_VALUE"""),570.0)</f>
        <v>570</v>
      </c>
      <c r="D821" s="5">
        <f>IFERROR(__xludf.DUMMYFUNCTION("""COMPUTED_VALUE"""),555.0)</f>
        <v>555</v>
      </c>
      <c r="E821" s="5">
        <f>IFERROR(__xludf.DUMMYFUNCTION("""COMPUTED_VALUE"""),565.0)</f>
        <v>565</v>
      </c>
      <c r="F821" s="5">
        <f>IFERROR(__xludf.DUMMYFUNCTION("""COMPUTED_VALUE"""),4004000.0)</f>
        <v>4004000</v>
      </c>
      <c r="G821" s="5">
        <f t="shared" si="1"/>
        <v>15</v>
      </c>
    </row>
    <row r="822">
      <c r="A822" s="4">
        <f>IFERROR(__xludf.DUMMYFUNCTION("""COMPUTED_VALUE"""),45061.66666666667)</f>
        <v>45061.66667</v>
      </c>
      <c r="B822" s="5">
        <f>IFERROR(__xludf.DUMMYFUNCTION("""COMPUTED_VALUE"""),565.0)</f>
        <v>565</v>
      </c>
      <c r="C822" s="5">
        <f>IFERROR(__xludf.DUMMYFUNCTION("""COMPUTED_VALUE"""),570.0)</f>
        <v>570</v>
      </c>
      <c r="D822" s="5">
        <f>IFERROR(__xludf.DUMMYFUNCTION("""COMPUTED_VALUE"""),550.0)</f>
        <v>550</v>
      </c>
      <c r="E822" s="5">
        <f>IFERROR(__xludf.DUMMYFUNCTION("""COMPUTED_VALUE"""),560.0)</f>
        <v>560</v>
      </c>
      <c r="F822" s="5">
        <f>IFERROR(__xludf.DUMMYFUNCTION("""COMPUTED_VALUE"""),5326400.0)</f>
        <v>5326400</v>
      </c>
      <c r="G822" s="5">
        <f t="shared" si="1"/>
        <v>20</v>
      </c>
    </row>
    <row r="823">
      <c r="A823" s="4">
        <f>IFERROR(__xludf.DUMMYFUNCTION("""COMPUTED_VALUE"""),45062.66666666667)</f>
        <v>45062.66667</v>
      </c>
      <c r="B823" s="5">
        <f>IFERROR(__xludf.DUMMYFUNCTION("""COMPUTED_VALUE"""),560.0)</f>
        <v>560</v>
      </c>
      <c r="C823" s="5">
        <f>IFERROR(__xludf.DUMMYFUNCTION("""COMPUTED_VALUE"""),560.0)</f>
        <v>560</v>
      </c>
      <c r="D823" s="5">
        <f>IFERROR(__xludf.DUMMYFUNCTION("""COMPUTED_VALUE"""),540.0)</f>
        <v>540</v>
      </c>
      <c r="E823" s="5">
        <f>IFERROR(__xludf.DUMMYFUNCTION("""COMPUTED_VALUE"""),545.0)</f>
        <v>545</v>
      </c>
      <c r="F823" s="5">
        <f>IFERROR(__xludf.DUMMYFUNCTION("""COMPUTED_VALUE"""),6804200.0)</f>
        <v>6804200</v>
      </c>
      <c r="G823" s="5">
        <f t="shared" si="1"/>
        <v>20</v>
      </c>
    </row>
    <row r="824">
      <c r="A824" s="4">
        <f>IFERROR(__xludf.DUMMYFUNCTION("""COMPUTED_VALUE"""),45063.66666666667)</f>
        <v>45063.66667</v>
      </c>
      <c r="B824" s="5">
        <f>IFERROR(__xludf.DUMMYFUNCTION("""COMPUTED_VALUE"""),545.0)</f>
        <v>545</v>
      </c>
      <c r="C824" s="5">
        <f>IFERROR(__xludf.DUMMYFUNCTION("""COMPUTED_VALUE"""),550.0)</f>
        <v>550</v>
      </c>
      <c r="D824" s="5">
        <f>IFERROR(__xludf.DUMMYFUNCTION("""COMPUTED_VALUE"""),530.0)</f>
        <v>530</v>
      </c>
      <c r="E824" s="5">
        <f>IFERROR(__xludf.DUMMYFUNCTION("""COMPUTED_VALUE"""),530.0)</f>
        <v>530</v>
      </c>
      <c r="F824" s="5">
        <f>IFERROR(__xludf.DUMMYFUNCTION("""COMPUTED_VALUE"""),6949600.0)</f>
        <v>6949600</v>
      </c>
      <c r="G824" s="5">
        <f t="shared" si="1"/>
        <v>20</v>
      </c>
    </row>
    <row r="825">
      <c r="A825" s="4">
        <f>IFERROR(__xludf.DUMMYFUNCTION("""COMPUTED_VALUE"""),45065.66666666667)</f>
        <v>45065.66667</v>
      </c>
      <c r="B825" s="5">
        <f>IFERROR(__xludf.DUMMYFUNCTION("""COMPUTED_VALUE"""),525.0)</f>
        <v>525</v>
      </c>
      <c r="C825" s="5">
        <f>IFERROR(__xludf.DUMMYFUNCTION("""COMPUTED_VALUE"""),540.0)</f>
        <v>540</v>
      </c>
      <c r="D825" s="5">
        <f>IFERROR(__xludf.DUMMYFUNCTION("""COMPUTED_VALUE"""),498.0)</f>
        <v>498</v>
      </c>
      <c r="E825" s="5">
        <f>IFERROR(__xludf.DUMMYFUNCTION("""COMPUTED_VALUE"""),505.0)</f>
        <v>505</v>
      </c>
      <c r="F825" s="5">
        <f>IFERROR(__xludf.DUMMYFUNCTION("""COMPUTED_VALUE"""),2.31435E7)</f>
        <v>23143500</v>
      </c>
      <c r="G825" s="5">
        <f t="shared" si="1"/>
        <v>42</v>
      </c>
    </row>
    <row r="826">
      <c r="A826" s="4">
        <f>IFERROR(__xludf.DUMMYFUNCTION("""COMPUTED_VALUE"""),45068.66666666667)</f>
        <v>45068.66667</v>
      </c>
      <c r="B826" s="5">
        <f>IFERROR(__xludf.DUMMYFUNCTION("""COMPUTED_VALUE"""),505.0)</f>
        <v>505</v>
      </c>
      <c r="C826" s="5">
        <f>IFERROR(__xludf.DUMMYFUNCTION("""COMPUTED_VALUE"""),520.0)</f>
        <v>520</v>
      </c>
      <c r="D826" s="5">
        <f>IFERROR(__xludf.DUMMYFUNCTION("""COMPUTED_VALUE"""),498.0)</f>
        <v>498</v>
      </c>
      <c r="E826" s="5">
        <f>IFERROR(__xludf.DUMMYFUNCTION("""COMPUTED_VALUE"""),505.0)</f>
        <v>505</v>
      </c>
      <c r="F826" s="5">
        <f>IFERROR(__xludf.DUMMYFUNCTION("""COMPUTED_VALUE"""),1.14756E7)</f>
        <v>11475600</v>
      </c>
      <c r="G826" s="5">
        <f t="shared" si="1"/>
        <v>22</v>
      </c>
    </row>
    <row r="827">
      <c r="A827" s="4">
        <f>IFERROR(__xludf.DUMMYFUNCTION("""COMPUTED_VALUE"""),45069.66666666667)</f>
        <v>45069.66667</v>
      </c>
      <c r="B827" s="5">
        <f>IFERROR(__xludf.DUMMYFUNCTION("""COMPUTED_VALUE"""),515.0)</f>
        <v>515</v>
      </c>
      <c r="C827" s="5">
        <f>IFERROR(__xludf.DUMMYFUNCTION("""COMPUTED_VALUE"""),520.0)</f>
        <v>520</v>
      </c>
      <c r="D827" s="5">
        <f>IFERROR(__xludf.DUMMYFUNCTION("""COMPUTED_VALUE"""),505.0)</f>
        <v>505</v>
      </c>
      <c r="E827" s="5">
        <f>IFERROR(__xludf.DUMMYFUNCTION("""COMPUTED_VALUE"""),505.0)</f>
        <v>505</v>
      </c>
      <c r="F827" s="5">
        <f>IFERROR(__xludf.DUMMYFUNCTION("""COMPUTED_VALUE"""),1.16506E7)</f>
        <v>11650600</v>
      </c>
      <c r="G827" s="5">
        <f t="shared" si="1"/>
        <v>15</v>
      </c>
    </row>
    <row r="828">
      <c r="A828" s="4">
        <f>IFERROR(__xludf.DUMMYFUNCTION("""COMPUTED_VALUE"""),45070.66666666667)</f>
        <v>45070.66667</v>
      </c>
      <c r="B828" s="5">
        <f>IFERROR(__xludf.DUMMYFUNCTION("""COMPUTED_VALUE"""),505.0)</f>
        <v>505</v>
      </c>
      <c r="C828" s="5">
        <f>IFERROR(__xludf.DUMMYFUNCTION("""COMPUTED_VALUE"""),515.0)</f>
        <v>515</v>
      </c>
      <c r="D828" s="5">
        <f>IFERROR(__xludf.DUMMYFUNCTION("""COMPUTED_VALUE"""),500.0)</f>
        <v>500</v>
      </c>
      <c r="E828" s="5">
        <f>IFERROR(__xludf.DUMMYFUNCTION("""COMPUTED_VALUE"""),505.0)</f>
        <v>505</v>
      </c>
      <c r="F828" s="5">
        <f>IFERROR(__xludf.DUMMYFUNCTION("""COMPUTED_VALUE"""),5682400.0)</f>
        <v>5682400</v>
      </c>
      <c r="G828" s="5">
        <f t="shared" si="1"/>
        <v>15</v>
      </c>
    </row>
    <row r="829">
      <c r="A829" s="4">
        <f>IFERROR(__xludf.DUMMYFUNCTION("""COMPUTED_VALUE"""),45071.66666666667)</f>
        <v>45071.66667</v>
      </c>
      <c r="B829" s="5">
        <f>IFERROR(__xludf.DUMMYFUNCTION("""COMPUTED_VALUE"""),515.0)</f>
        <v>515</v>
      </c>
      <c r="C829" s="5">
        <f>IFERROR(__xludf.DUMMYFUNCTION("""COMPUTED_VALUE"""),515.0)</f>
        <v>515</v>
      </c>
      <c r="D829" s="5">
        <f>IFERROR(__xludf.DUMMYFUNCTION("""COMPUTED_VALUE"""),500.0)</f>
        <v>500</v>
      </c>
      <c r="E829" s="5">
        <f>IFERROR(__xludf.DUMMYFUNCTION("""COMPUTED_VALUE"""),510.0)</f>
        <v>510</v>
      </c>
      <c r="F829" s="5">
        <f>IFERROR(__xludf.DUMMYFUNCTION("""COMPUTED_VALUE"""),5076200.0)</f>
        <v>5076200</v>
      </c>
      <c r="G829" s="5">
        <f t="shared" si="1"/>
        <v>15</v>
      </c>
    </row>
    <row r="830">
      <c r="A830" s="4">
        <f>IFERROR(__xludf.DUMMYFUNCTION("""COMPUTED_VALUE"""),45072.66666666667)</f>
        <v>45072.66667</v>
      </c>
      <c r="B830" s="5">
        <f>IFERROR(__xludf.DUMMYFUNCTION("""COMPUTED_VALUE"""),510.0)</f>
        <v>510</v>
      </c>
      <c r="C830" s="5">
        <f>IFERROR(__xludf.DUMMYFUNCTION("""COMPUTED_VALUE"""),520.0)</f>
        <v>520</v>
      </c>
      <c r="D830" s="5">
        <f>IFERROR(__xludf.DUMMYFUNCTION("""COMPUTED_VALUE"""),505.0)</f>
        <v>505</v>
      </c>
      <c r="E830" s="5">
        <f>IFERROR(__xludf.DUMMYFUNCTION("""COMPUTED_VALUE"""),510.0)</f>
        <v>510</v>
      </c>
      <c r="F830" s="5">
        <f>IFERROR(__xludf.DUMMYFUNCTION("""COMPUTED_VALUE"""),4611300.0)</f>
        <v>4611300</v>
      </c>
      <c r="G830" s="5">
        <f t="shared" si="1"/>
        <v>15</v>
      </c>
    </row>
    <row r="831">
      <c r="A831" s="4">
        <f>IFERROR(__xludf.DUMMYFUNCTION("""COMPUTED_VALUE"""),45075.66666666667)</f>
        <v>45075.66667</v>
      </c>
      <c r="B831" s="5">
        <f>IFERROR(__xludf.DUMMYFUNCTION("""COMPUTED_VALUE"""),510.0)</f>
        <v>510</v>
      </c>
      <c r="C831" s="5">
        <f>IFERROR(__xludf.DUMMYFUNCTION("""COMPUTED_VALUE"""),515.0)</f>
        <v>515</v>
      </c>
      <c r="D831" s="5">
        <f>IFERROR(__xludf.DUMMYFUNCTION("""COMPUTED_VALUE"""),500.0)</f>
        <v>500</v>
      </c>
      <c r="E831" s="5">
        <f>IFERROR(__xludf.DUMMYFUNCTION("""COMPUTED_VALUE"""),510.0)</f>
        <v>510</v>
      </c>
      <c r="F831" s="5">
        <f>IFERROR(__xludf.DUMMYFUNCTION("""COMPUTED_VALUE"""),6389400.0)</f>
        <v>6389400</v>
      </c>
      <c r="G831" s="5">
        <f t="shared" si="1"/>
        <v>15</v>
      </c>
    </row>
    <row r="832">
      <c r="A832" s="4">
        <f>IFERROR(__xludf.DUMMYFUNCTION("""COMPUTED_VALUE"""),45076.66666666667)</f>
        <v>45076.66667</v>
      </c>
      <c r="B832" s="5">
        <f>IFERROR(__xludf.DUMMYFUNCTION("""COMPUTED_VALUE"""),510.0)</f>
        <v>510</v>
      </c>
      <c r="C832" s="5">
        <f>IFERROR(__xludf.DUMMYFUNCTION("""COMPUTED_VALUE"""),525.0)</f>
        <v>525</v>
      </c>
      <c r="D832" s="5">
        <f>IFERROR(__xludf.DUMMYFUNCTION("""COMPUTED_VALUE"""),505.0)</f>
        <v>505</v>
      </c>
      <c r="E832" s="5">
        <f>IFERROR(__xludf.DUMMYFUNCTION("""COMPUTED_VALUE"""),515.0)</f>
        <v>515</v>
      </c>
      <c r="F832" s="5">
        <f>IFERROR(__xludf.DUMMYFUNCTION("""COMPUTED_VALUE"""),9382500.0)</f>
        <v>9382500</v>
      </c>
      <c r="G832" s="5">
        <f t="shared" si="1"/>
        <v>20</v>
      </c>
    </row>
    <row r="833">
      <c r="A833" s="4">
        <f>IFERROR(__xludf.DUMMYFUNCTION("""COMPUTED_VALUE"""),45077.66666666667)</f>
        <v>45077.66667</v>
      </c>
      <c r="B833" s="5">
        <f>IFERROR(__xludf.DUMMYFUNCTION("""COMPUTED_VALUE"""),510.0)</f>
        <v>510</v>
      </c>
      <c r="C833" s="5">
        <f>IFERROR(__xludf.DUMMYFUNCTION("""COMPUTED_VALUE"""),520.0)</f>
        <v>520</v>
      </c>
      <c r="D833" s="5">
        <f>IFERROR(__xludf.DUMMYFUNCTION("""COMPUTED_VALUE"""),500.0)</f>
        <v>500</v>
      </c>
      <c r="E833" s="5">
        <f>IFERROR(__xludf.DUMMYFUNCTION("""COMPUTED_VALUE"""),510.0)</f>
        <v>510</v>
      </c>
      <c r="F833" s="5">
        <f>IFERROR(__xludf.DUMMYFUNCTION("""COMPUTED_VALUE"""),9529600.0)</f>
        <v>9529600</v>
      </c>
      <c r="G833" s="5">
        <f t="shared" si="1"/>
        <v>20</v>
      </c>
    </row>
    <row r="834">
      <c r="A834" s="4">
        <f>IFERROR(__xludf.DUMMYFUNCTION("""COMPUTED_VALUE"""),45082.66666666667)</f>
        <v>45082.66667</v>
      </c>
      <c r="B834" s="5">
        <f>IFERROR(__xludf.DUMMYFUNCTION("""COMPUTED_VALUE"""),515.0)</f>
        <v>515</v>
      </c>
      <c r="C834" s="5">
        <f>IFERROR(__xludf.DUMMYFUNCTION("""COMPUTED_VALUE"""),530.0)</f>
        <v>530</v>
      </c>
      <c r="D834" s="5">
        <f>IFERROR(__xludf.DUMMYFUNCTION("""COMPUTED_VALUE"""),505.0)</f>
        <v>505</v>
      </c>
      <c r="E834" s="5">
        <f>IFERROR(__xludf.DUMMYFUNCTION("""COMPUTED_VALUE"""),520.0)</f>
        <v>520</v>
      </c>
      <c r="F834" s="5">
        <f>IFERROR(__xludf.DUMMYFUNCTION("""COMPUTED_VALUE"""),1.29488E7)</f>
        <v>12948800</v>
      </c>
      <c r="G834" s="5">
        <f t="shared" si="1"/>
        <v>25</v>
      </c>
    </row>
    <row r="835">
      <c r="A835" s="4">
        <f>IFERROR(__xludf.DUMMYFUNCTION("""COMPUTED_VALUE"""),45083.66666666667)</f>
        <v>45083.66667</v>
      </c>
      <c r="B835" s="5">
        <f>IFERROR(__xludf.DUMMYFUNCTION("""COMPUTED_VALUE"""),520.0)</f>
        <v>520</v>
      </c>
      <c r="C835" s="5">
        <f>IFERROR(__xludf.DUMMYFUNCTION("""COMPUTED_VALUE"""),605.0)</f>
        <v>605</v>
      </c>
      <c r="D835" s="5">
        <f>IFERROR(__xludf.DUMMYFUNCTION("""COMPUTED_VALUE"""),520.0)</f>
        <v>520</v>
      </c>
      <c r="E835" s="5">
        <f>IFERROR(__xludf.DUMMYFUNCTION("""COMPUTED_VALUE"""),565.0)</f>
        <v>565</v>
      </c>
      <c r="F835" s="5">
        <f>IFERROR(__xludf.DUMMYFUNCTION("""COMPUTED_VALUE"""),7.38775E7)</f>
        <v>73877500</v>
      </c>
      <c r="G835" s="5">
        <f t="shared" si="1"/>
        <v>85</v>
      </c>
    </row>
    <row r="836">
      <c r="A836" s="4">
        <f>IFERROR(__xludf.DUMMYFUNCTION("""COMPUTED_VALUE"""),45084.66666666667)</f>
        <v>45084.66667</v>
      </c>
      <c r="B836" s="5">
        <f>IFERROR(__xludf.DUMMYFUNCTION("""COMPUTED_VALUE"""),570.0)</f>
        <v>570</v>
      </c>
      <c r="C836" s="5">
        <f>IFERROR(__xludf.DUMMYFUNCTION("""COMPUTED_VALUE"""),580.0)</f>
        <v>580</v>
      </c>
      <c r="D836" s="5">
        <f>IFERROR(__xludf.DUMMYFUNCTION("""COMPUTED_VALUE"""),545.0)</f>
        <v>545</v>
      </c>
      <c r="E836" s="5">
        <f>IFERROR(__xludf.DUMMYFUNCTION("""COMPUTED_VALUE"""),570.0)</f>
        <v>570</v>
      </c>
      <c r="F836" s="5">
        <f>IFERROR(__xludf.DUMMYFUNCTION("""COMPUTED_VALUE"""),2.90936E7)</f>
        <v>29093600</v>
      </c>
      <c r="G836" s="5">
        <f t="shared" si="1"/>
        <v>35</v>
      </c>
    </row>
    <row r="837">
      <c r="A837" s="4">
        <f>IFERROR(__xludf.DUMMYFUNCTION("""COMPUTED_VALUE"""),45085.66666666667)</f>
        <v>45085.66667</v>
      </c>
      <c r="B837" s="5">
        <f>IFERROR(__xludf.DUMMYFUNCTION("""COMPUTED_VALUE"""),570.0)</f>
        <v>570</v>
      </c>
      <c r="C837" s="5">
        <f>IFERROR(__xludf.DUMMYFUNCTION("""COMPUTED_VALUE"""),595.0)</f>
        <v>595</v>
      </c>
      <c r="D837" s="5">
        <f>IFERROR(__xludf.DUMMYFUNCTION("""COMPUTED_VALUE"""),555.0)</f>
        <v>555</v>
      </c>
      <c r="E837" s="5">
        <f>IFERROR(__xludf.DUMMYFUNCTION("""COMPUTED_VALUE"""),580.0)</f>
        <v>580</v>
      </c>
      <c r="F837" s="5">
        <f>IFERROR(__xludf.DUMMYFUNCTION("""COMPUTED_VALUE"""),3.02957E7)</f>
        <v>30295700</v>
      </c>
      <c r="G837" s="5">
        <f t="shared" si="1"/>
        <v>40</v>
      </c>
    </row>
    <row r="838">
      <c r="A838" s="4">
        <f>IFERROR(__xludf.DUMMYFUNCTION("""COMPUTED_VALUE"""),45086.66666666667)</f>
        <v>45086.66667</v>
      </c>
      <c r="B838" s="5">
        <f>IFERROR(__xludf.DUMMYFUNCTION("""COMPUTED_VALUE"""),580.0)</f>
        <v>580</v>
      </c>
      <c r="C838" s="5">
        <f>IFERROR(__xludf.DUMMYFUNCTION("""COMPUTED_VALUE"""),600.0)</f>
        <v>600</v>
      </c>
      <c r="D838" s="5">
        <f>IFERROR(__xludf.DUMMYFUNCTION("""COMPUTED_VALUE"""),575.0)</f>
        <v>575</v>
      </c>
      <c r="E838" s="5">
        <f>IFERROR(__xludf.DUMMYFUNCTION("""COMPUTED_VALUE"""),580.0)</f>
        <v>580</v>
      </c>
      <c r="F838" s="5">
        <f>IFERROR(__xludf.DUMMYFUNCTION("""COMPUTED_VALUE"""),1.09246E7)</f>
        <v>10924600</v>
      </c>
      <c r="G838" s="5">
        <f t="shared" si="1"/>
        <v>25</v>
      </c>
    </row>
    <row r="839">
      <c r="A839" s="4">
        <f>IFERROR(__xludf.DUMMYFUNCTION("""COMPUTED_VALUE"""),45089.66666666667)</f>
        <v>45089.66667</v>
      </c>
      <c r="B839" s="5">
        <f>IFERROR(__xludf.DUMMYFUNCTION("""COMPUTED_VALUE"""),580.0)</f>
        <v>580</v>
      </c>
      <c r="C839" s="5">
        <f>IFERROR(__xludf.DUMMYFUNCTION("""COMPUTED_VALUE"""),595.0)</f>
        <v>595</v>
      </c>
      <c r="D839" s="5">
        <f>IFERROR(__xludf.DUMMYFUNCTION("""COMPUTED_VALUE"""),565.0)</f>
        <v>565</v>
      </c>
      <c r="E839" s="5">
        <f>IFERROR(__xludf.DUMMYFUNCTION("""COMPUTED_VALUE"""),585.0)</f>
        <v>585</v>
      </c>
      <c r="F839" s="5">
        <f>IFERROR(__xludf.DUMMYFUNCTION("""COMPUTED_VALUE"""),1.36923E7)</f>
        <v>13692300</v>
      </c>
      <c r="G839" s="5">
        <f t="shared" si="1"/>
        <v>30</v>
      </c>
    </row>
    <row r="840">
      <c r="A840" s="4">
        <f>IFERROR(__xludf.DUMMYFUNCTION("""COMPUTED_VALUE"""),45090.66666666667)</f>
        <v>45090.66667</v>
      </c>
      <c r="B840" s="5">
        <f>IFERROR(__xludf.DUMMYFUNCTION("""COMPUTED_VALUE"""),585.0)</f>
        <v>585</v>
      </c>
      <c r="C840" s="5">
        <f>IFERROR(__xludf.DUMMYFUNCTION("""COMPUTED_VALUE"""),620.0)</f>
        <v>620</v>
      </c>
      <c r="D840" s="5">
        <f>IFERROR(__xludf.DUMMYFUNCTION("""COMPUTED_VALUE"""),580.0)</f>
        <v>580</v>
      </c>
      <c r="E840" s="5">
        <f>IFERROR(__xludf.DUMMYFUNCTION("""COMPUTED_VALUE"""),605.0)</f>
        <v>605</v>
      </c>
      <c r="F840" s="5">
        <f>IFERROR(__xludf.DUMMYFUNCTION("""COMPUTED_VALUE"""),2.60014E7)</f>
        <v>26001400</v>
      </c>
      <c r="G840" s="5">
        <f t="shared" si="1"/>
        <v>40</v>
      </c>
    </row>
    <row r="841">
      <c r="A841" s="4">
        <f>IFERROR(__xludf.DUMMYFUNCTION("""COMPUTED_VALUE"""),45091.66666666667)</f>
        <v>45091.66667</v>
      </c>
      <c r="B841" s="5">
        <f>IFERROR(__xludf.DUMMYFUNCTION("""COMPUTED_VALUE"""),610.0)</f>
        <v>610</v>
      </c>
      <c r="C841" s="5">
        <f>IFERROR(__xludf.DUMMYFUNCTION("""COMPUTED_VALUE"""),615.0)</f>
        <v>615</v>
      </c>
      <c r="D841" s="5">
        <f>IFERROR(__xludf.DUMMYFUNCTION("""COMPUTED_VALUE"""),595.0)</f>
        <v>595</v>
      </c>
      <c r="E841" s="5">
        <f>IFERROR(__xludf.DUMMYFUNCTION("""COMPUTED_VALUE"""),600.0)</f>
        <v>600</v>
      </c>
      <c r="F841" s="5">
        <f>IFERROR(__xludf.DUMMYFUNCTION("""COMPUTED_VALUE"""),1.33582E7)</f>
        <v>13358200</v>
      </c>
      <c r="G841" s="5">
        <f t="shared" si="1"/>
        <v>20</v>
      </c>
    </row>
    <row r="842">
      <c r="A842" s="4">
        <f>IFERROR(__xludf.DUMMYFUNCTION("""COMPUTED_VALUE"""),45092.66666666667)</f>
        <v>45092.66667</v>
      </c>
      <c r="B842" s="5">
        <f>IFERROR(__xludf.DUMMYFUNCTION("""COMPUTED_VALUE"""),600.0)</f>
        <v>600</v>
      </c>
      <c r="C842" s="5">
        <f>IFERROR(__xludf.DUMMYFUNCTION("""COMPUTED_VALUE"""),605.0)</f>
        <v>605</v>
      </c>
      <c r="D842" s="5">
        <f>IFERROR(__xludf.DUMMYFUNCTION("""COMPUTED_VALUE"""),575.0)</f>
        <v>575</v>
      </c>
      <c r="E842" s="5">
        <f>IFERROR(__xludf.DUMMYFUNCTION("""COMPUTED_VALUE"""),590.0)</f>
        <v>590</v>
      </c>
      <c r="F842" s="5">
        <f>IFERROR(__xludf.DUMMYFUNCTION("""COMPUTED_VALUE"""),1.08906E7)</f>
        <v>10890600</v>
      </c>
      <c r="G842" s="5">
        <f t="shared" si="1"/>
        <v>30</v>
      </c>
    </row>
    <row r="843">
      <c r="A843" s="4">
        <f>IFERROR(__xludf.DUMMYFUNCTION("""COMPUTED_VALUE"""),45093.66666666667)</f>
        <v>45093.66667</v>
      </c>
      <c r="B843" s="5">
        <f>IFERROR(__xludf.DUMMYFUNCTION("""COMPUTED_VALUE"""),585.0)</f>
        <v>585</v>
      </c>
      <c r="C843" s="5">
        <f>IFERROR(__xludf.DUMMYFUNCTION("""COMPUTED_VALUE"""),595.0)</f>
        <v>595</v>
      </c>
      <c r="D843" s="5">
        <f>IFERROR(__xludf.DUMMYFUNCTION("""COMPUTED_VALUE"""),575.0)</f>
        <v>575</v>
      </c>
      <c r="E843" s="5">
        <f>IFERROR(__xludf.DUMMYFUNCTION("""COMPUTED_VALUE"""),585.0)</f>
        <v>585</v>
      </c>
      <c r="F843" s="5">
        <f>IFERROR(__xludf.DUMMYFUNCTION("""COMPUTED_VALUE"""),7173800.0)</f>
        <v>7173800</v>
      </c>
      <c r="G843" s="5">
        <f t="shared" si="1"/>
        <v>20</v>
      </c>
    </row>
    <row r="844">
      <c r="A844" s="4">
        <f>IFERROR(__xludf.DUMMYFUNCTION("""COMPUTED_VALUE"""),45096.66666666667)</f>
        <v>45096.66667</v>
      </c>
      <c r="B844" s="5">
        <f>IFERROR(__xludf.DUMMYFUNCTION("""COMPUTED_VALUE"""),585.0)</f>
        <v>585</v>
      </c>
      <c r="C844" s="5">
        <f>IFERROR(__xludf.DUMMYFUNCTION("""COMPUTED_VALUE"""),625.0)</f>
        <v>625</v>
      </c>
      <c r="D844" s="5">
        <f>IFERROR(__xludf.DUMMYFUNCTION("""COMPUTED_VALUE"""),580.0)</f>
        <v>580</v>
      </c>
      <c r="E844" s="5">
        <f>IFERROR(__xludf.DUMMYFUNCTION("""COMPUTED_VALUE"""),620.0)</f>
        <v>620</v>
      </c>
      <c r="F844" s="5">
        <f>IFERROR(__xludf.DUMMYFUNCTION("""COMPUTED_VALUE"""),2.62705E7)</f>
        <v>26270500</v>
      </c>
      <c r="G844" s="5">
        <f t="shared" si="1"/>
        <v>45</v>
      </c>
    </row>
    <row r="845">
      <c r="A845" s="4">
        <f>IFERROR(__xludf.DUMMYFUNCTION("""COMPUTED_VALUE"""),45097.66666666667)</f>
        <v>45097.66667</v>
      </c>
      <c r="B845" s="5">
        <f>IFERROR(__xludf.DUMMYFUNCTION("""COMPUTED_VALUE"""),620.0)</f>
        <v>620</v>
      </c>
      <c r="C845" s="5">
        <f>IFERROR(__xludf.DUMMYFUNCTION("""COMPUTED_VALUE"""),635.0)</f>
        <v>635</v>
      </c>
      <c r="D845" s="5">
        <f>IFERROR(__xludf.DUMMYFUNCTION("""COMPUTED_VALUE"""),595.0)</f>
        <v>595</v>
      </c>
      <c r="E845" s="5">
        <f>IFERROR(__xludf.DUMMYFUNCTION("""COMPUTED_VALUE"""),600.0)</f>
        <v>600</v>
      </c>
      <c r="F845" s="5">
        <f>IFERROR(__xludf.DUMMYFUNCTION("""COMPUTED_VALUE"""),1.51505E7)</f>
        <v>15150500</v>
      </c>
      <c r="G845" s="5">
        <f t="shared" si="1"/>
        <v>40</v>
      </c>
    </row>
    <row r="846">
      <c r="A846" s="4">
        <f>IFERROR(__xludf.DUMMYFUNCTION("""COMPUTED_VALUE"""),45098.66666666667)</f>
        <v>45098.66667</v>
      </c>
      <c r="B846" s="5">
        <f>IFERROR(__xludf.DUMMYFUNCTION("""COMPUTED_VALUE"""),605.0)</f>
        <v>605</v>
      </c>
      <c r="C846" s="5">
        <f>IFERROR(__xludf.DUMMYFUNCTION("""COMPUTED_VALUE"""),620.0)</f>
        <v>620</v>
      </c>
      <c r="D846" s="5">
        <f>IFERROR(__xludf.DUMMYFUNCTION("""COMPUTED_VALUE"""),600.0)</f>
        <v>600</v>
      </c>
      <c r="E846" s="5">
        <f>IFERROR(__xludf.DUMMYFUNCTION("""COMPUTED_VALUE"""),605.0)</f>
        <v>605</v>
      </c>
      <c r="F846" s="5">
        <f>IFERROR(__xludf.DUMMYFUNCTION("""COMPUTED_VALUE"""),7269600.0)</f>
        <v>7269600</v>
      </c>
      <c r="G846" s="5">
        <f t="shared" si="1"/>
        <v>20</v>
      </c>
    </row>
    <row r="847">
      <c r="A847" s="4">
        <f>IFERROR(__xludf.DUMMYFUNCTION("""COMPUTED_VALUE"""),45099.66666666667)</f>
        <v>45099.66667</v>
      </c>
      <c r="B847" s="5">
        <f>IFERROR(__xludf.DUMMYFUNCTION("""COMPUTED_VALUE"""),610.0)</f>
        <v>610</v>
      </c>
      <c r="C847" s="5">
        <f>IFERROR(__xludf.DUMMYFUNCTION("""COMPUTED_VALUE"""),615.0)</f>
        <v>615</v>
      </c>
      <c r="D847" s="5">
        <f>IFERROR(__xludf.DUMMYFUNCTION("""COMPUTED_VALUE"""),595.0)</f>
        <v>595</v>
      </c>
      <c r="E847" s="5">
        <f>IFERROR(__xludf.DUMMYFUNCTION("""COMPUTED_VALUE"""),600.0)</f>
        <v>600</v>
      </c>
      <c r="F847" s="5">
        <f>IFERROR(__xludf.DUMMYFUNCTION("""COMPUTED_VALUE"""),1.17494E7)</f>
        <v>11749400</v>
      </c>
      <c r="G847" s="5">
        <f t="shared" si="1"/>
        <v>20</v>
      </c>
    </row>
    <row r="848">
      <c r="A848" s="4">
        <f>IFERROR(__xludf.DUMMYFUNCTION("""COMPUTED_VALUE"""),45100.66666666667)</f>
        <v>45100.66667</v>
      </c>
      <c r="B848" s="5">
        <f>IFERROR(__xludf.DUMMYFUNCTION("""COMPUTED_VALUE"""),600.0)</f>
        <v>600</v>
      </c>
      <c r="C848" s="5">
        <f>IFERROR(__xludf.DUMMYFUNCTION("""COMPUTED_VALUE"""),605.0)</f>
        <v>605</v>
      </c>
      <c r="D848" s="5">
        <f>IFERROR(__xludf.DUMMYFUNCTION("""COMPUTED_VALUE"""),585.0)</f>
        <v>585</v>
      </c>
      <c r="E848" s="5">
        <f>IFERROR(__xludf.DUMMYFUNCTION("""COMPUTED_VALUE"""),590.0)</f>
        <v>590</v>
      </c>
      <c r="F848" s="5">
        <f>IFERROR(__xludf.DUMMYFUNCTION("""COMPUTED_VALUE"""),8066100.0)</f>
        <v>8066100</v>
      </c>
      <c r="G848" s="5">
        <f t="shared" si="1"/>
        <v>20</v>
      </c>
    </row>
    <row r="849">
      <c r="A849" s="4">
        <f>IFERROR(__xludf.DUMMYFUNCTION("""COMPUTED_VALUE"""),45103.66666666667)</f>
        <v>45103.66667</v>
      </c>
      <c r="B849" s="5">
        <f>IFERROR(__xludf.DUMMYFUNCTION("""COMPUTED_VALUE"""),590.0)</f>
        <v>590</v>
      </c>
      <c r="C849" s="5">
        <f>IFERROR(__xludf.DUMMYFUNCTION("""COMPUTED_VALUE"""),595.0)</f>
        <v>595</v>
      </c>
      <c r="D849" s="5">
        <f>IFERROR(__xludf.DUMMYFUNCTION("""COMPUTED_VALUE"""),575.0)</f>
        <v>575</v>
      </c>
      <c r="E849" s="5">
        <f>IFERROR(__xludf.DUMMYFUNCTION("""COMPUTED_VALUE"""),585.0)</f>
        <v>585</v>
      </c>
      <c r="F849" s="5">
        <f>IFERROR(__xludf.DUMMYFUNCTION("""COMPUTED_VALUE"""),5501300.0)</f>
        <v>5501300</v>
      </c>
      <c r="G849" s="5">
        <f t="shared" si="1"/>
        <v>20</v>
      </c>
    </row>
    <row r="850">
      <c r="A850" s="4">
        <f>IFERROR(__xludf.DUMMYFUNCTION("""COMPUTED_VALUE"""),45104.66666666667)</f>
        <v>45104.66667</v>
      </c>
      <c r="B850" s="5">
        <f>IFERROR(__xludf.DUMMYFUNCTION("""COMPUTED_VALUE"""),585.0)</f>
        <v>585</v>
      </c>
      <c r="C850" s="5">
        <f>IFERROR(__xludf.DUMMYFUNCTION("""COMPUTED_VALUE"""),605.0)</f>
        <v>605</v>
      </c>
      <c r="D850" s="5">
        <f>IFERROR(__xludf.DUMMYFUNCTION("""COMPUTED_VALUE"""),580.0)</f>
        <v>580</v>
      </c>
      <c r="E850" s="5">
        <f>IFERROR(__xludf.DUMMYFUNCTION("""COMPUTED_VALUE"""),605.0)</f>
        <v>605</v>
      </c>
      <c r="F850" s="5">
        <f>IFERROR(__xludf.DUMMYFUNCTION("""COMPUTED_VALUE"""),9555100.0)</f>
        <v>9555100</v>
      </c>
      <c r="G850" s="5">
        <f t="shared" si="1"/>
        <v>25</v>
      </c>
    </row>
    <row r="851">
      <c r="A851" s="4">
        <f>IFERROR(__xludf.DUMMYFUNCTION("""COMPUTED_VALUE"""),45110.66666666667)</f>
        <v>45110.66667</v>
      </c>
      <c r="B851" s="5">
        <f>IFERROR(__xludf.DUMMYFUNCTION("""COMPUTED_VALUE"""),605.0)</f>
        <v>605</v>
      </c>
      <c r="C851" s="5">
        <f>IFERROR(__xludf.DUMMYFUNCTION("""COMPUTED_VALUE"""),610.0)</f>
        <v>610</v>
      </c>
      <c r="D851" s="5">
        <f>IFERROR(__xludf.DUMMYFUNCTION("""COMPUTED_VALUE"""),590.0)</f>
        <v>590</v>
      </c>
      <c r="E851" s="5">
        <f>IFERROR(__xludf.DUMMYFUNCTION("""COMPUTED_VALUE"""),590.0)</f>
        <v>590</v>
      </c>
      <c r="F851" s="5">
        <f>IFERROR(__xludf.DUMMYFUNCTION("""COMPUTED_VALUE"""),6915300.0)</f>
        <v>6915300</v>
      </c>
      <c r="G851" s="5">
        <f t="shared" si="1"/>
        <v>20</v>
      </c>
    </row>
    <row r="852">
      <c r="A852" s="4">
        <f>IFERROR(__xludf.DUMMYFUNCTION("""COMPUTED_VALUE"""),45111.66666666667)</f>
        <v>45111.66667</v>
      </c>
      <c r="B852" s="5">
        <f>IFERROR(__xludf.DUMMYFUNCTION("""COMPUTED_VALUE"""),590.0)</f>
        <v>590</v>
      </c>
      <c r="C852" s="5">
        <f>IFERROR(__xludf.DUMMYFUNCTION("""COMPUTED_VALUE"""),600.0)</f>
        <v>600</v>
      </c>
      <c r="D852" s="5">
        <f>IFERROR(__xludf.DUMMYFUNCTION("""COMPUTED_VALUE"""),580.0)</f>
        <v>580</v>
      </c>
      <c r="E852" s="5">
        <f>IFERROR(__xludf.DUMMYFUNCTION("""COMPUTED_VALUE"""),585.0)</f>
        <v>585</v>
      </c>
      <c r="F852" s="5">
        <f>IFERROR(__xludf.DUMMYFUNCTION("""COMPUTED_VALUE"""),6298700.0)</f>
        <v>6298700</v>
      </c>
      <c r="G852" s="5">
        <f t="shared" si="1"/>
        <v>20</v>
      </c>
    </row>
    <row r="853">
      <c r="A853" s="4">
        <f>IFERROR(__xludf.DUMMYFUNCTION("""COMPUTED_VALUE"""),45112.66666666667)</f>
        <v>45112.66667</v>
      </c>
      <c r="B853" s="5">
        <f>IFERROR(__xludf.DUMMYFUNCTION("""COMPUTED_VALUE"""),585.0)</f>
        <v>585</v>
      </c>
      <c r="C853" s="5">
        <f>IFERROR(__xludf.DUMMYFUNCTION("""COMPUTED_VALUE"""),615.0)</f>
        <v>615</v>
      </c>
      <c r="D853" s="5">
        <f>IFERROR(__xludf.DUMMYFUNCTION("""COMPUTED_VALUE"""),580.0)</f>
        <v>580</v>
      </c>
      <c r="E853" s="5">
        <f>IFERROR(__xludf.DUMMYFUNCTION("""COMPUTED_VALUE"""),605.0)</f>
        <v>605</v>
      </c>
      <c r="F853" s="5">
        <f>IFERROR(__xludf.DUMMYFUNCTION("""COMPUTED_VALUE"""),1.18263E7)</f>
        <v>11826300</v>
      </c>
      <c r="G853" s="5">
        <f t="shared" si="1"/>
        <v>35</v>
      </c>
    </row>
    <row r="854">
      <c r="A854" s="4">
        <f>IFERROR(__xludf.DUMMYFUNCTION("""COMPUTED_VALUE"""),45113.66666666667)</f>
        <v>45113.66667</v>
      </c>
      <c r="B854" s="5">
        <f>IFERROR(__xludf.DUMMYFUNCTION("""COMPUTED_VALUE"""),610.0)</f>
        <v>610</v>
      </c>
      <c r="C854" s="5">
        <f>IFERROR(__xludf.DUMMYFUNCTION("""COMPUTED_VALUE"""),610.0)</f>
        <v>610</v>
      </c>
      <c r="D854" s="5">
        <f>IFERROR(__xludf.DUMMYFUNCTION("""COMPUTED_VALUE"""),595.0)</f>
        <v>595</v>
      </c>
      <c r="E854" s="5">
        <f>IFERROR(__xludf.DUMMYFUNCTION("""COMPUTED_VALUE"""),605.0)</f>
        <v>605</v>
      </c>
      <c r="F854" s="5">
        <f>IFERROR(__xludf.DUMMYFUNCTION("""COMPUTED_VALUE"""),6571600.0)</f>
        <v>6571600</v>
      </c>
      <c r="G854" s="5">
        <f t="shared" si="1"/>
        <v>15</v>
      </c>
    </row>
    <row r="855">
      <c r="A855" s="4">
        <f>IFERROR(__xludf.DUMMYFUNCTION("""COMPUTED_VALUE"""),45114.66666666667)</f>
        <v>45114.66667</v>
      </c>
      <c r="B855" s="5">
        <f>IFERROR(__xludf.DUMMYFUNCTION("""COMPUTED_VALUE"""),605.0)</f>
        <v>605</v>
      </c>
      <c r="C855" s="5">
        <f>IFERROR(__xludf.DUMMYFUNCTION("""COMPUTED_VALUE"""),610.0)</f>
        <v>610</v>
      </c>
      <c r="D855" s="5">
        <f>IFERROR(__xludf.DUMMYFUNCTION("""COMPUTED_VALUE"""),595.0)</f>
        <v>595</v>
      </c>
      <c r="E855" s="5">
        <f>IFERROR(__xludf.DUMMYFUNCTION("""COMPUTED_VALUE"""),600.0)</f>
        <v>600</v>
      </c>
      <c r="F855" s="5">
        <f>IFERROR(__xludf.DUMMYFUNCTION("""COMPUTED_VALUE"""),3765100.0)</f>
        <v>3765100</v>
      </c>
      <c r="G855" s="5">
        <f t="shared" si="1"/>
        <v>15</v>
      </c>
    </row>
    <row r="856">
      <c r="A856" s="4">
        <f>IFERROR(__xludf.DUMMYFUNCTION("""COMPUTED_VALUE"""),45117.66666666667)</f>
        <v>45117.66667</v>
      </c>
      <c r="B856" s="5">
        <f>IFERROR(__xludf.DUMMYFUNCTION("""COMPUTED_VALUE"""),600.0)</f>
        <v>600</v>
      </c>
      <c r="C856" s="5">
        <f>IFERROR(__xludf.DUMMYFUNCTION("""COMPUTED_VALUE"""),615.0)</f>
        <v>615</v>
      </c>
      <c r="D856" s="5">
        <f>IFERROR(__xludf.DUMMYFUNCTION("""COMPUTED_VALUE"""),590.0)</f>
        <v>590</v>
      </c>
      <c r="E856" s="5">
        <f>IFERROR(__xludf.DUMMYFUNCTION("""COMPUTED_VALUE"""),590.0)</f>
        <v>590</v>
      </c>
      <c r="F856" s="5">
        <f>IFERROR(__xludf.DUMMYFUNCTION("""COMPUTED_VALUE"""),1.10447E7)</f>
        <v>11044700</v>
      </c>
      <c r="G856" s="5">
        <f t="shared" si="1"/>
        <v>25</v>
      </c>
    </row>
    <row r="857">
      <c r="A857" s="4">
        <f>IFERROR(__xludf.DUMMYFUNCTION("""COMPUTED_VALUE"""),45118.66666666667)</f>
        <v>45118.66667</v>
      </c>
      <c r="B857" s="5">
        <f>IFERROR(__xludf.DUMMYFUNCTION("""COMPUTED_VALUE"""),595.0)</f>
        <v>595</v>
      </c>
      <c r="C857" s="5">
        <f>IFERROR(__xludf.DUMMYFUNCTION("""COMPUTED_VALUE"""),600.0)</f>
        <v>600</v>
      </c>
      <c r="D857" s="5">
        <f>IFERROR(__xludf.DUMMYFUNCTION("""COMPUTED_VALUE"""),590.0)</f>
        <v>590</v>
      </c>
      <c r="E857" s="5">
        <f>IFERROR(__xludf.DUMMYFUNCTION("""COMPUTED_VALUE"""),590.0)</f>
        <v>590</v>
      </c>
      <c r="F857" s="5">
        <f>IFERROR(__xludf.DUMMYFUNCTION("""COMPUTED_VALUE"""),3342900.0)</f>
        <v>3342900</v>
      </c>
      <c r="G857" s="5">
        <f t="shared" si="1"/>
        <v>10</v>
      </c>
    </row>
    <row r="858">
      <c r="A858" s="4">
        <f>IFERROR(__xludf.DUMMYFUNCTION("""COMPUTED_VALUE"""),45119.66666666667)</f>
        <v>45119.66667</v>
      </c>
      <c r="B858" s="5">
        <f>IFERROR(__xludf.DUMMYFUNCTION("""COMPUTED_VALUE"""),590.0)</f>
        <v>590</v>
      </c>
      <c r="C858" s="5">
        <f>IFERROR(__xludf.DUMMYFUNCTION("""COMPUTED_VALUE"""),605.0)</f>
        <v>605</v>
      </c>
      <c r="D858" s="5">
        <f>IFERROR(__xludf.DUMMYFUNCTION("""COMPUTED_VALUE"""),585.0)</f>
        <v>585</v>
      </c>
      <c r="E858" s="5">
        <f>IFERROR(__xludf.DUMMYFUNCTION("""COMPUTED_VALUE"""),590.0)</f>
        <v>590</v>
      </c>
      <c r="F858" s="5">
        <f>IFERROR(__xludf.DUMMYFUNCTION("""COMPUTED_VALUE"""),5081500.0)</f>
        <v>5081500</v>
      </c>
      <c r="G858" s="5">
        <f t="shared" si="1"/>
        <v>20</v>
      </c>
    </row>
    <row r="859">
      <c r="A859" s="4">
        <f>IFERROR(__xludf.DUMMYFUNCTION("""COMPUTED_VALUE"""),45120.66666666667)</f>
        <v>45120.66667</v>
      </c>
      <c r="B859" s="5">
        <f>IFERROR(__xludf.DUMMYFUNCTION("""COMPUTED_VALUE"""),595.0)</f>
        <v>595</v>
      </c>
      <c r="C859" s="5">
        <f>IFERROR(__xludf.DUMMYFUNCTION("""COMPUTED_VALUE"""),610.0)</f>
        <v>610</v>
      </c>
      <c r="D859" s="5">
        <f>IFERROR(__xludf.DUMMYFUNCTION("""COMPUTED_VALUE"""),590.0)</f>
        <v>590</v>
      </c>
      <c r="E859" s="5">
        <f>IFERROR(__xludf.DUMMYFUNCTION("""COMPUTED_VALUE"""),610.0)</f>
        <v>610</v>
      </c>
      <c r="F859" s="5">
        <f>IFERROR(__xludf.DUMMYFUNCTION("""COMPUTED_VALUE"""),1.01693E7)</f>
        <v>10169300</v>
      </c>
      <c r="G859" s="5">
        <f t="shared" si="1"/>
        <v>20</v>
      </c>
    </row>
    <row r="860">
      <c r="A860" s="4">
        <f>IFERROR(__xludf.DUMMYFUNCTION("""COMPUTED_VALUE"""),45121.66666666667)</f>
        <v>45121.66667</v>
      </c>
      <c r="B860" s="5">
        <f>IFERROR(__xludf.DUMMYFUNCTION("""COMPUTED_VALUE"""),610.0)</f>
        <v>610</v>
      </c>
      <c r="C860" s="5">
        <f>IFERROR(__xludf.DUMMYFUNCTION("""COMPUTED_VALUE"""),635.0)</f>
        <v>635</v>
      </c>
      <c r="D860" s="5">
        <f>IFERROR(__xludf.DUMMYFUNCTION("""COMPUTED_VALUE"""),605.0)</f>
        <v>605</v>
      </c>
      <c r="E860" s="5">
        <f>IFERROR(__xludf.DUMMYFUNCTION("""COMPUTED_VALUE"""),625.0)</f>
        <v>625</v>
      </c>
      <c r="F860" s="5">
        <f>IFERROR(__xludf.DUMMYFUNCTION("""COMPUTED_VALUE"""),2.79169E7)</f>
        <v>27916900</v>
      </c>
      <c r="G860" s="5">
        <f t="shared" si="1"/>
        <v>30</v>
      </c>
    </row>
    <row r="861">
      <c r="A861" s="4">
        <f>IFERROR(__xludf.DUMMYFUNCTION("""COMPUTED_VALUE"""),45124.66666666667)</f>
        <v>45124.66667</v>
      </c>
      <c r="B861" s="5">
        <f>IFERROR(__xludf.DUMMYFUNCTION("""COMPUTED_VALUE"""),630.0)</f>
        <v>630</v>
      </c>
      <c r="C861" s="5">
        <f>IFERROR(__xludf.DUMMYFUNCTION("""COMPUTED_VALUE"""),655.0)</f>
        <v>655</v>
      </c>
      <c r="D861" s="5">
        <f>IFERROR(__xludf.DUMMYFUNCTION("""COMPUTED_VALUE"""),625.0)</f>
        <v>625</v>
      </c>
      <c r="E861" s="5">
        <f>IFERROR(__xludf.DUMMYFUNCTION("""COMPUTED_VALUE"""),645.0)</f>
        <v>645</v>
      </c>
      <c r="F861" s="5">
        <f>IFERROR(__xludf.DUMMYFUNCTION("""COMPUTED_VALUE"""),2.66602E7)</f>
        <v>26660200</v>
      </c>
      <c r="G861" s="5">
        <f t="shared" si="1"/>
        <v>30</v>
      </c>
    </row>
    <row r="862">
      <c r="A862" s="4">
        <f>IFERROR(__xludf.DUMMYFUNCTION("""COMPUTED_VALUE"""),45125.66666666667)</f>
        <v>45125.66667</v>
      </c>
      <c r="B862" s="5">
        <f>IFERROR(__xludf.DUMMYFUNCTION("""COMPUTED_VALUE"""),650.0)</f>
        <v>650</v>
      </c>
      <c r="C862" s="5">
        <f>IFERROR(__xludf.DUMMYFUNCTION("""COMPUTED_VALUE"""),660.0)</f>
        <v>660</v>
      </c>
      <c r="D862" s="5">
        <f>IFERROR(__xludf.DUMMYFUNCTION("""COMPUTED_VALUE"""),620.0)</f>
        <v>620</v>
      </c>
      <c r="E862" s="5">
        <f>IFERROR(__xludf.DUMMYFUNCTION("""COMPUTED_VALUE"""),635.0)</f>
        <v>635</v>
      </c>
      <c r="F862" s="5">
        <f>IFERROR(__xludf.DUMMYFUNCTION("""COMPUTED_VALUE"""),2.80771E7)</f>
        <v>28077100</v>
      </c>
      <c r="G862" s="5">
        <f t="shared" si="1"/>
        <v>40</v>
      </c>
    </row>
    <row r="863">
      <c r="A863" s="4">
        <f>IFERROR(__xludf.DUMMYFUNCTION("""COMPUTED_VALUE"""),45127.66666666667)</f>
        <v>45127.66667</v>
      </c>
      <c r="B863" s="5">
        <f>IFERROR(__xludf.DUMMYFUNCTION("""COMPUTED_VALUE"""),635.0)</f>
        <v>635</v>
      </c>
      <c r="C863" s="5">
        <f>IFERROR(__xludf.DUMMYFUNCTION("""COMPUTED_VALUE"""),640.0)</f>
        <v>640</v>
      </c>
      <c r="D863" s="5">
        <f>IFERROR(__xludf.DUMMYFUNCTION("""COMPUTED_VALUE"""),625.0)</f>
        <v>625</v>
      </c>
      <c r="E863" s="5">
        <f>IFERROR(__xludf.DUMMYFUNCTION("""COMPUTED_VALUE"""),625.0)</f>
        <v>625</v>
      </c>
      <c r="F863" s="5">
        <f>IFERROR(__xludf.DUMMYFUNCTION("""COMPUTED_VALUE"""),6239600.0)</f>
        <v>6239600</v>
      </c>
      <c r="G863" s="5">
        <f t="shared" si="1"/>
        <v>15</v>
      </c>
    </row>
    <row r="864">
      <c r="A864" s="4">
        <f>IFERROR(__xludf.DUMMYFUNCTION("""COMPUTED_VALUE"""),45128.66666666667)</f>
        <v>45128.66667</v>
      </c>
      <c r="B864" s="5">
        <f>IFERROR(__xludf.DUMMYFUNCTION("""COMPUTED_VALUE"""),625.0)</f>
        <v>625</v>
      </c>
      <c r="C864" s="5">
        <f>IFERROR(__xludf.DUMMYFUNCTION("""COMPUTED_VALUE"""),635.0)</f>
        <v>635</v>
      </c>
      <c r="D864" s="5">
        <f>IFERROR(__xludf.DUMMYFUNCTION("""COMPUTED_VALUE"""),620.0)</f>
        <v>620</v>
      </c>
      <c r="E864" s="5">
        <f>IFERROR(__xludf.DUMMYFUNCTION("""COMPUTED_VALUE"""),630.0)</f>
        <v>630</v>
      </c>
      <c r="F864" s="5">
        <f>IFERROR(__xludf.DUMMYFUNCTION("""COMPUTED_VALUE"""),5274500.0)</f>
        <v>5274500</v>
      </c>
      <c r="G864" s="5">
        <f t="shared" si="1"/>
        <v>15</v>
      </c>
    </row>
    <row r="865">
      <c r="A865" s="4">
        <f>IFERROR(__xludf.DUMMYFUNCTION("""COMPUTED_VALUE"""),45131.66666666667)</f>
        <v>45131.66667</v>
      </c>
      <c r="B865" s="5">
        <f>IFERROR(__xludf.DUMMYFUNCTION("""COMPUTED_VALUE"""),630.0)</f>
        <v>630</v>
      </c>
      <c r="C865" s="5">
        <f>IFERROR(__xludf.DUMMYFUNCTION("""COMPUTED_VALUE"""),640.0)</f>
        <v>640</v>
      </c>
      <c r="D865" s="5">
        <f>IFERROR(__xludf.DUMMYFUNCTION("""COMPUTED_VALUE"""),625.0)</f>
        <v>625</v>
      </c>
      <c r="E865" s="5">
        <f>IFERROR(__xludf.DUMMYFUNCTION("""COMPUTED_VALUE"""),625.0)</f>
        <v>625</v>
      </c>
      <c r="F865" s="5">
        <f>IFERROR(__xludf.DUMMYFUNCTION("""COMPUTED_VALUE"""),9144400.0)</f>
        <v>9144400</v>
      </c>
      <c r="G865" s="5">
        <f t="shared" si="1"/>
        <v>15</v>
      </c>
    </row>
    <row r="866">
      <c r="A866" s="4">
        <f>IFERROR(__xludf.DUMMYFUNCTION("""COMPUTED_VALUE"""),45132.66666666667)</f>
        <v>45132.66667</v>
      </c>
      <c r="B866" s="5">
        <f>IFERROR(__xludf.DUMMYFUNCTION("""COMPUTED_VALUE"""),625.0)</f>
        <v>625</v>
      </c>
      <c r="C866" s="5">
        <f>IFERROR(__xludf.DUMMYFUNCTION("""COMPUTED_VALUE"""),630.0)</f>
        <v>630</v>
      </c>
      <c r="D866" s="5">
        <f>IFERROR(__xludf.DUMMYFUNCTION("""COMPUTED_VALUE"""),600.0)</f>
        <v>600</v>
      </c>
      <c r="E866" s="5">
        <f>IFERROR(__xludf.DUMMYFUNCTION("""COMPUTED_VALUE"""),605.0)</f>
        <v>605</v>
      </c>
      <c r="F866" s="5">
        <f>IFERROR(__xludf.DUMMYFUNCTION("""COMPUTED_VALUE"""),1.44303E7)</f>
        <v>14430300</v>
      </c>
      <c r="G866" s="5">
        <f t="shared" si="1"/>
        <v>30</v>
      </c>
    </row>
    <row r="867">
      <c r="A867" s="4">
        <f>IFERROR(__xludf.DUMMYFUNCTION("""COMPUTED_VALUE"""),45133.66666666667)</f>
        <v>45133.66667</v>
      </c>
      <c r="B867" s="5">
        <f>IFERROR(__xludf.DUMMYFUNCTION("""COMPUTED_VALUE"""),605.0)</f>
        <v>605</v>
      </c>
      <c r="C867" s="5">
        <f>IFERROR(__xludf.DUMMYFUNCTION("""COMPUTED_VALUE"""),620.0)</f>
        <v>620</v>
      </c>
      <c r="D867" s="5">
        <f>IFERROR(__xludf.DUMMYFUNCTION("""COMPUTED_VALUE"""),600.0)</f>
        <v>600</v>
      </c>
      <c r="E867" s="5">
        <f>IFERROR(__xludf.DUMMYFUNCTION("""COMPUTED_VALUE"""),615.0)</f>
        <v>615</v>
      </c>
      <c r="F867" s="5">
        <f>IFERROR(__xludf.DUMMYFUNCTION("""COMPUTED_VALUE"""),8379300.0)</f>
        <v>8379300</v>
      </c>
      <c r="G867" s="5">
        <f t="shared" si="1"/>
        <v>20</v>
      </c>
    </row>
    <row r="868">
      <c r="A868" s="4">
        <f>IFERROR(__xludf.DUMMYFUNCTION("""COMPUTED_VALUE"""),45134.66666666667)</f>
        <v>45134.66667</v>
      </c>
      <c r="B868" s="5">
        <f>IFERROR(__xludf.DUMMYFUNCTION("""COMPUTED_VALUE"""),615.0)</f>
        <v>615</v>
      </c>
      <c r="C868" s="5">
        <f>IFERROR(__xludf.DUMMYFUNCTION("""COMPUTED_VALUE"""),625.0)</f>
        <v>625</v>
      </c>
      <c r="D868" s="5">
        <f>IFERROR(__xludf.DUMMYFUNCTION("""COMPUTED_VALUE"""),605.0)</f>
        <v>605</v>
      </c>
      <c r="E868" s="5">
        <f>IFERROR(__xludf.DUMMYFUNCTION("""COMPUTED_VALUE"""),605.0)</f>
        <v>605</v>
      </c>
      <c r="F868" s="5">
        <f>IFERROR(__xludf.DUMMYFUNCTION("""COMPUTED_VALUE"""),6196800.0)</f>
        <v>6196800</v>
      </c>
      <c r="G868" s="5">
        <f t="shared" si="1"/>
        <v>20</v>
      </c>
    </row>
    <row r="869">
      <c r="A869" s="4">
        <f>IFERROR(__xludf.DUMMYFUNCTION("""COMPUTED_VALUE"""),45135.66666666667)</f>
        <v>45135.66667</v>
      </c>
      <c r="B869" s="5">
        <f>IFERROR(__xludf.DUMMYFUNCTION("""COMPUTED_VALUE"""),605.0)</f>
        <v>605</v>
      </c>
      <c r="C869" s="5">
        <f>IFERROR(__xludf.DUMMYFUNCTION("""COMPUTED_VALUE"""),610.0)</f>
        <v>610</v>
      </c>
      <c r="D869" s="5">
        <f>IFERROR(__xludf.DUMMYFUNCTION("""COMPUTED_VALUE"""),590.0)</f>
        <v>590</v>
      </c>
      <c r="E869" s="5">
        <f>IFERROR(__xludf.DUMMYFUNCTION("""COMPUTED_VALUE"""),605.0)</f>
        <v>605</v>
      </c>
      <c r="F869" s="5">
        <f>IFERROR(__xludf.DUMMYFUNCTION("""COMPUTED_VALUE"""),1.01178E7)</f>
        <v>10117800</v>
      </c>
      <c r="G869" s="5">
        <f t="shared" si="1"/>
        <v>20</v>
      </c>
    </row>
    <row r="870">
      <c r="A870" s="4">
        <f>IFERROR(__xludf.DUMMYFUNCTION("""COMPUTED_VALUE"""),45138.66666666667)</f>
        <v>45138.66667</v>
      </c>
      <c r="B870" s="5">
        <f>IFERROR(__xludf.DUMMYFUNCTION("""COMPUTED_VALUE"""),610.0)</f>
        <v>610</v>
      </c>
      <c r="C870" s="5">
        <f>IFERROR(__xludf.DUMMYFUNCTION("""COMPUTED_VALUE"""),615.0)</f>
        <v>615</v>
      </c>
      <c r="D870" s="5">
        <f>IFERROR(__xludf.DUMMYFUNCTION("""COMPUTED_VALUE"""),600.0)</f>
        <v>600</v>
      </c>
      <c r="E870" s="5">
        <f>IFERROR(__xludf.DUMMYFUNCTION("""COMPUTED_VALUE"""),605.0)</f>
        <v>605</v>
      </c>
      <c r="F870" s="5">
        <f>IFERROR(__xludf.DUMMYFUNCTION("""COMPUTED_VALUE"""),4660100.0)</f>
        <v>4660100</v>
      </c>
      <c r="G870" s="5">
        <f t="shared" si="1"/>
        <v>15</v>
      </c>
    </row>
    <row r="871">
      <c r="A871" s="4">
        <f>IFERROR(__xludf.DUMMYFUNCTION("""COMPUTED_VALUE"""),45139.66666666667)</f>
        <v>45139.66667</v>
      </c>
      <c r="B871" s="5">
        <f>IFERROR(__xludf.DUMMYFUNCTION("""COMPUTED_VALUE"""),605.0)</f>
        <v>605</v>
      </c>
      <c r="C871" s="5">
        <f>IFERROR(__xludf.DUMMYFUNCTION("""COMPUTED_VALUE"""),615.0)</f>
        <v>615</v>
      </c>
      <c r="D871" s="5">
        <f>IFERROR(__xludf.DUMMYFUNCTION("""COMPUTED_VALUE"""),585.0)</f>
        <v>585</v>
      </c>
      <c r="E871" s="5">
        <f>IFERROR(__xludf.DUMMYFUNCTION("""COMPUTED_VALUE"""),600.0)</f>
        <v>600</v>
      </c>
      <c r="F871" s="5">
        <f>IFERROR(__xludf.DUMMYFUNCTION("""COMPUTED_VALUE"""),7403300.0)</f>
        <v>7403300</v>
      </c>
      <c r="G871" s="5">
        <f t="shared" si="1"/>
        <v>30</v>
      </c>
    </row>
    <row r="872">
      <c r="A872" s="4">
        <f>IFERROR(__xludf.DUMMYFUNCTION("""COMPUTED_VALUE"""),45140.66666666667)</f>
        <v>45140.66667</v>
      </c>
      <c r="B872" s="5">
        <f>IFERROR(__xludf.DUMMYFUNCTION("""COMPUTED_VALUE"""),600.0)</f>
        <v>600</v>
      </c>
      <c r="C872" s="5">
        <f>IFERROR(__xludf.DUMMYFUNCTION("""COMPUTED_VALUE"""),600.0)</f>
        <v>600</v>
      </c>
      <c r="D872" s="5">
        <f>IFERROR(__xludf.DUMMYFUNCTION("""COMPUTED_VALUE"""),585.0)</f>
        <v>585</v>
      </c>
      <c r="E872" s="5">
        <f>IFERROR(__xludf.DUMMYFUNCTION("""COMPUTED_VALUE"""),595.0)</f>
        <v>595</v>
      </c>
      <c r="F872" s="5">
        <f>IFERROR(__xludf.DUMMYFUNCTION("""COMPUTED_VALUE"""),4853000.0)</f>
        <v>4853000</v>
      </c>
      <c r="G872" s="5">
        <f t="shared" si="1"/>
        <v>15</v>
      </c>
    </row>
    <row r="873">
      <c r="A873" s="4">
        <f>IFERROR(__xludf.DUMMYFUNCTION("""COMPUTED_VALUE"""),45141.66666666667)</f>
        <v>45141.66667</v>
      </c>
      <c r="B873" s="5">
        <f>IFERROR(__xludf.DUMMYFUNCTION("""COMPUTED_VALUE"""),590.0)</f>
        <v>590</v>
      </c>
      <c r="C873" s="5">
        <f>IFERROR(__xludf.DUMMYFUNCTION("""COMPUTED_VALUE"""),600.0)</f>
        <v>600</v>
      </c>
      <c r="D873" s="5">
        <f>IFERROR(__xludf.DUMMYFUNCTION("""COMPUTED_VALUE"""),580.0)</f>
        <v>580</v>
      </c>
      <c r="E873" s="5">
        <f>IFERROR(__xludf.DUMMYFUNCTION("""COMPUTED_VALUE"""),580.0)</f>
        <v>580</v>
      </c>
      <c r="F873" s="5">
        <f>IFERROR(__xludf.DUMMYFUNCTION("""COMPUTED_VALUE"""),5791500.0)</f>
        <v>5791500</v>
      </c>
      <c r="G873" s="5">
        <f t="shared" si="1"/>
        <v>20</v>
      </c>
    </row>
    <row r="874">
      <c r="A874" s="4">
        <f>IFERROR(__xludf.DUMMYFUNCTION("""COMPUTED_VALUE"""),45142.66666666667)</f>
        <v>45142.66667</v>
      </c>
      <c r="B874" s="5">
        <f>IFERROR(__xludf.DUMMYFUNCTION("""COMPUTED_VALUE"""),580.0)</f>
        <v>580</v>
      </c>
      <c r="C874" s="5">
        <f>IFERROR(__xludf.DUMMYFUNCTION("""COMPUTED_VALUE"""),600.0)</f>
        <v>600</v>
      </c>
      <c r="D874" s="5">
        <f>IFERROR(__xludf.DUMMYFUNCTION("""COMPUTED_VALUE"""),580.0)</f>
        <v>580</v>
      </c>
      <c r="E874" s="5">
        <f>IFERROR(__xludf.DUMMYFUNCTION("""COMPUTED_VALUE"""),595.0)</f>
        <v>595</v>
      </c>
      <c r="F874" s="5">
        <f>IFERROR(__xludf.DUMMYFUNCTION("""COMPUTED_VALUE"""),4785600.0)</f>
        <v>4785600</v>
      </c>
      <c r="G874" s="5">
        <f t="shared" si="1"/>
        <v>20</v>
      </c>
    </row>
    <row r="875">
      <c r="A875" s="4">
        <f>IFERROR(__xludf.DUMMYFUNCTION("""COMPUTED_VALUE"""),45145.66666666667)</f>
        <v>45145.66667</v>
      </c>
      <c r="B875" s="5">
        <f>IFERROR(__xludf.DUMMYFUNCTION("""COMPUTED_VALUE"""),595.0)</f>
        <v>595</v>
      </c>
      <c r="C875" s="5">
        <f>IFERROR(__xludf.DUMMYFUNCTION("""COMPUTED_VALUE"""),600.0)</f>
        <v>600</v>
      </c>
      <c r="D875" s="5">
        <f>IFERROR(__xludf.DUMMYFUNCTION("""COMPUTED_VALUE"""),555.0)</f>
        <v>555</v>
      </c>
      <c r="E875" s="5">
        <f>IFERROR(__xludf.DUMMYFUNCTION("""COMPUTED_VALUE"""),555.0)</f>
        <v>555</v>
      </c>
      <c r="F875" s="5">
        <f>IFERROR(__xludf.DUMMYFUNCTION("""COMPUTED_VALUE"""),2.69968E7)</f>
        <v>26996800</v>
      </c>
      <c r="G875" s="5">
        <f t="shared" si="1"/>
        <v>45</v>
      </c>
    </row>
    <row r="876">
      <c r="A876" s="4">
        <f>IFERROR(__xludf.DUMMYFUNCTION("""COMPUTED_VALUE"""),45146.66666666667)</f>
        <v>45146.66667</v>
      </c>
      <c r="B876" s="5">
        <f>IFERROR(__xludf.DUMMYFUNCTION("""COMPUTED_VALUE"""),555.0)</f>
        <v>555</v>
      </c>
      <c r="C876" s="5">
        <f>IFERROR(__xludf.DUMMYFUNCTION("""COMPUTED_VALUE"""),565.0)</f>
        <v>565</v>
      </c>
      <c r="D876" s="5">
        <f>IFERROR(__xludf.DUMMYFUNCTION("""COMPUTED_VALUE"""),550.0)</f>
        <v>550</v>
      </c>
      <c r="E876" s="5">
        <f>IFERROR(__xludf.DUMMYFUNCTION("""COMPUTED_VALUE"""),560.0)</f>
        <v>560</v>
      </c>
      <c r="F876" s="5">
        <f>IFERROR(__xludf.DUMMYFUNCTION("""COMPUTED_VALUE"""),9630100.0)</f>
        <v>9630100</v>
      </c>
      <c r="G876" s="5">
        <f t="shared" si="1"/>
        <v>15</v>
      </c>
    </row>
    <row r="877">
      <c r="A877" s="4">
        <f>IFERROR(__xludf.DUMMYFUNCTION("""COMPUTED_VALUE"""),45147.66666666667)</f>
        <v>45147.66667</v>
      </c>
      <c r="B877" s="5">
        <f>IFERROR(__xludf.DUMMYFUNCTION("""COMPUTED_VALUE"""),560.0)</f>
        <v>560</v>
      </c>
      <c r="C877" s="5">
        <f>IFERROR(__xludf.DUMMYFUNCTION("""COMPUTED_VALUE"""),565.0)</f>
        <v>565</v>
      </c>
      <c r="D877" s="5">
        <f>IFERROR(__xludf.DUMMYFUNCTION("""COMPUTED_VALUE"""),530.0)</f>
        <v>530</v>
      </c>
      <c r="E877" s="5">
        <f>IFERROR(__xludf.DUMMYFUNCTION("""COMPUTED_VALUE"""),530.0)</f>
        <v>530</v>
      </c>
      <c r="F877" s="5">
        <f>IFERROR(__xludf.DUMMYFUNCTION("""COMPUTED_VALUE"""),1.16799E7)</f>
        <v>11679900</v>
      </c>
      <c r="G877" s="5">
        <f t="shared" si="1"/>
        <v>35</v>
      </c>
    </row>
    <row r="878">
      <c r="A878" s="4">
        <f>IFERROR(__xludf.DUMMYFUNCTION("""COMPUTED_VALUE"""),45148.66666666667)</f>
        <v>45148.66667</v>
      </c>
      <c r="B878" s="5">
        <f>IFERROR(__xludf.DUMMYFUNCTION("""COMPUTED_VALUE"""),530.0)</f>
        <v>530</v>
      </c>
      <c r="C878" s="5">
        <f>IFERROR(__xludf.DUMMYFUNCTION("""COMPUTED_VALUE"""),560.0)</f>
        <v>560</v>
      </c>
      <c r="D878" s="5">
        <f>IFERROR(__xludf.DUMMYFUNCTION("""COMPUTED_VALUE"""),530.0)</f>
        <v>530</v>
      </c>
      <c r="E878" s="5">
        <f>IFERROR(__xludf.DUMMYFUNCTION("""COMPUTED_VALUE"""),540.0)</f>
        <v>540</v>
      </c>
      <c r="F878" s="5">
        <f>IFERROR(__xludf.DUMMYFUNCTION("""COMPUTED_VALUE"""),8018600.0)</f>
        <v>8018600</v>
      </c>
      <c r="G878" s="5">
        <f t="shared" si="1"/>
        <v>30</v>
      </c>
    </row>
    <row r="879">
      <c r="A879" s="4">
        <f>IFERROR(__xludf.DUMMYFUNCTION("""COMPUTED_VALUE"""),45149.66666666667)</f>
        <v>45149.66667</v>
      </c>
      <c r="B879" s="5">
        <f>IFERROR(__xludf.DUMMYFUNCTION("""COMPUTED_VALUE"""),540.0)</f>
        <v>540</v>
      </c>
      <c r="C879" s="5">
        <f>IFERROR(__xludf.DUMMYFUNCTION("""COMPUTED_VALUE"""),575.0)</f>
        <v>575</v>
      </c>
      <c r="D879" s="5">
        <f>IFERROR(__xludf.DUMMYFUNCTION("""COMPUTED_VALUE"""),540.0)</f>
        <v>540</v>
      </c>
      <c r="E879" s="5">
        <f>IFERROR(__xludf.DUMMYFUNCTION("""COMPUTED_VALUE"""),570.0)</f>
        <v>570</v>
      </c>
      <c r="F879" s="5">
        <f>IFERROR(__xludf.DUMMYFUNCTION("""COMPUTED_VALUE"""),1.22583E7)</f>
        <v>12258300</v>
      </c>
      <c r="G879" s="5">
        <f t="shared" si="1"/>
        <v>35</v>
      </c>
    </row>
    <row r="880">
      <c r="A880" s="4">
        <f>IFERROR(__xludf.DUMMYFUNCTION("""COMPUTED_VALUE"""),45152.66666666667)</f>
        <v>45152.66667</v>
      </c>
      <c r="B880" s="5">
        <f>IFERROR(__xludf.DUMMYFUNCTION("""COMPUTED_VALUE"""),570.0)</f>
        <v>570</v>
      </c>
      <c r="C880" s="5">
        <f>IFERROR(__xludf.DUMMYFUNCTION("""COMPUTED_VALUE"""),575.0)</f>
        <v>575</v>
      </c>
      <c r="D880" s="5">
        <f>IFERROR(__xludf.DUMMYFUNCTION("""COMPUTED_VALUE"""),555.0)</f>
        <v>555</v>
      </c>
      <c r="E880" s="5">
        <f>IFERROR(__xludf.DUMMYFUNCTION("""COMPUTED_VALUE"""),575.0)</f>
        <v>575</v>
      </c>
      <c r="F880" s="5">
        <f>IFERROR(__xludf.DUMMYFUNCTION("""COMPUTED_VALUE"""),5556500.0)</f>
        <v>5556500</v>
      </c>
      <c r="G880" s="5">
        <f t="shared" si="1"/>
        <v>20</v>
      </c>
    </row>
    <row r="881">
      <c r="A881" s="4">
        <f>IFERROR(__xludf.DUMMYFUNCTION("""COMPUTED_VALUE"""),45153.66666666667)</f>
        <v>45153.66667</v>
      </c>
      <c r="B881" s="5">
        <f>IFERROR(__xludf.DUMMYFUNCTION("""COMPUTED_VALUE"""),575.0)</f>
        <v>575</v>
      </c>
      <c r="C881" s="5">
        <f>IFERROR(__xludf.DUMMYFUNCTION("""COMPUTED_VALUE"""),580.0)</f>
        <v>580</v>
      </c>
      <c r="D881" s="5">
        <f>IFERROR(__xludf.DUMMYFUNCTION("""COMPUTED_VALUE"""),565.0)</f>
        <v>565</v>
      </c>
      <c r="E881" s="5">
        <f>IFERROR(__xludf.DUMMYFUNCTION("""COMPUTED_VALUE"""),575.0)</f>
        <v>575</v>
      </c>
      <c r="F881" s="5">
        <f>IFERROR(__xludf.DUMMYFUNCTION("""COMPUTED_VALUE"""),4728700.0)</f>
        <v>4728700</v>
      </c>
      <c r="G881" s="5">
        <f t="shared" si="1"/>
        <v>15</v>
      </c>
    </row>
    <row r="882">
      <c r="A882" s="4">
        <f>IFERROR(__xludf.DUMMYFUNCTION("""COMPUTED_VALUE"""),45154.66666666667)</f>
        <v>45154.66667</v>
      </c>
      <c r="B882" s="5">
        <f>IFERROR(__xludf.DUMMYFUNCTION("""COMPUTED_VALUE"""),575.0)</f>
        <v>575</v>
      </c>
      <c r="C882" s="5">
        <f>IFERROR(__xludf.DUMMYFUNCTION("""COMPUTED_VALUE"""),575.0)</f>
        <v>575</v>
      </c>
      <c r="D882" s="5">
        <f>IFERROR(__xludf.DUMMYFUNCTION("""COMPUTED_VALUE"""),560.0)</f>
        <v>560</v>
      </c>
      <c r="E882" s="5">
        <f>IFERROR(__xludf.DUMMYFUNCTION("""COMPUTED_VALUE"""),570.0)</f>
        <v>570</v>
      </c>
      <c r="F882" s="5">
        <f>IFERROR(__xludf.DUMMYFUNCTION("""COMPUTED_VALUE"""),4537400.0)</f>
        <v>4537400</v>
      </c>
      <c r="G882" s="5">
        <f t="shared" si="1"/>
        <v>15</v>
      </c>
    </row>
    <row r="883">
      <c r="A883" s="4">
        <f>IFERROR(__xludf.DUMMYFUNCTION("""COMPUTED_VALUE"""),45156.66666666667)</f>
        <v>45156.66667</v>
      </c>
      <c r="B883" s="5">
        <f>IFERROR(__xludf.DUMMYFUNCTION("""COMPUTED_VALUE"""),570.0)</f>
        <v>570</v>
      </c>
      <c r="C883" s="5">
        <f>IFERROR(__xludf.DUMMYFUNCTION("""COMPUTED_VALUE"""),580.0)</f>
        <v>580</v>
      </c>
      <c r="D883" s="5">
        <f>IFERROR(__xludf.DUMMYFUNCTION("""COMPUTED_VALUE"""),565.0)</f>
        <v>565</v>
      </c>
      <c r="E883" s="5">
        <f>IFERROR(__xludf.DUMMYFUNCTION("""COMPUTED_VALUE"""),580.0)</f>
        <v>580</v>
      </c>
      <c r="F883" s="5">
        <f>IFERROR(__xludf.DUMMYFUNCTION("""COMPUTED_VALUE"""),5134400.0)</f>
        <v>5134400</v>
      </c>
      <c r="G883" s="5">
        <f t="shared" si="1"/>
        <v>15</v>
      </c>
    </row>
    <row r="884">
      <c r="A884" s="4">
        <f>IFERROR(__xludf.DUMMYFUNCTION("""COMPUTED_VALUE"""),45159.66666666667)</f>
        <v>45159.66667</v>
      </c>
      <c r="B884" s="5">
        <f>IFERROR(__xludf.DUMMYFUNCTION("""COMPUTED_VALUE"""),580.0)</f>
        <v>580</v>
      </c>
      <c r="C884" s="5">
        <f>IFERROR(__xludf.DUMMYFUNCTION("""COMPUTED_VALUE"""),585.0)</f>
        <v>585</v>
      </c>
      <c r="D884" s="5">
        <f>IFERROR(__xludf.DUMMYFUNCTION("""COMPUTED_VALUE"""),570.0)</f>
        <v>570</v>
      </c>
      <c r="E884" s="5">
        <f>IFERROR(__xludf.DUMMYFUNCTION("""COMPUTED_VALUE"""),575.0)</f>
        <v>575</v>
      </c>
      <c r="F884" s="5">
        <f>IFERROR(__xludf.DUMMYFUNCTION("""COMPUTED_VALUE"""),3687500.0)</f>
        <v>3687500</v>
      </c>
      <c r="G884" s="5">
        <f t="shared" si="1"/>
        <v>15</v>
      </c>
    </row>
    <row r="885">
      <c r="A885" s="4">
        <f>IFERROR(__xludf.DUMMYFUNCTION("""COMPUTED_VALUE"""),45160.66666666667)</f>
        <v>45160.66667</v>
      </c>
      <c r="B885" s="5">
        <f>IFERROR(__xludf.DUMMYFUNCTION("""COMPUTED_VALUE"""),575.0)</f>
        <v>575</v>
      </c>
      <c r="C885" s="5">
        <f>IFERROR(__xludf.DUMMYFUNCTION("""COMPUTED_VALUE"""),585.0)</f>
        <v>585</v>
      </c>
      <c r="D885" s="5">
        <f>IFERROR(__xludf.DUMMYFUNCTION("""COMPUTED_VALUE"""),560.0)</f>
        <v>560</v>
      </c>
      <c r="E885" s="5">
        <f>IFERROR(__xludf.DUMMYFUNCTION("""COMPUTED_VALUE"""),585.0)</f>
        <v>585</v>
      </c>
      <c r="F885" s="5">
        <f>IFERROR(__xludf.DUMMYFUNCTION("""COMPUTED_VALUE"""),7696700.0)</f>
        <v>7696700</v>
      </c>
      <c r="G885" s="5">
        <f t="shared" si="1"/>
        <v>25</v>
      </c>
    </row>
    <row r="886">
      <c r="A886" s="4">
        <f>IFERROR(__xludf.DUMMYFUNCTION("""COMPUTED_VALUE"""),45161.66666666667)</f>
        <v>45161.66667</v>
      </c>
      <c r="B886" s="5">
        <f>IFERROR(__xludf.DUMMYFUNCTION("""COMPUTED_VALUE"""),580.0)</f>
        <v>580</v>
      </c>
      <c r="C886" s="5">
        <f>IFERROR(__xludf.DUMMYFUNCTION("""COMPUTED_VALUE"""),600.0)</f>
        <v>600</v>
      </c>
      <c r="D886" s="5">
        <f>IFERROR(__xludf.DUMMYFUNCTION("""COMPUTED_VALUE"""),580.0)</f>
        <v>580</v>
      </c>
      <c r="E886" s="5">
        <f>IFERROR(__xludf.DUMMYFUNCTION("""COMPUTED_VALUE"""),600.0)</f>
        <v>600</v>
      </c>
      <c r="F886" s="5">
        <f>IFERROR(__xludf.DUMMYFUNCTION("""COMPUTED_VALUE"""),1.03524E7)</f>
        <v>10352400</v>
      </c>
      <c r="G886" s="5">
        <f t="shared" si="1"/>
        <v>20</v>
      </c>
    </row>
    <row r="887">
      <c r="A887" s="4">
        <f>IFERROR(__xludf.DUMMYFUNCTION("""COMPUTED_VALUE"""),45162.66666666667)</f>
        <v>45162.66667</v>
      </c>
      <c r="B887" s="5">
        <f>IFERROR(__xludf.DUMMYFUNCTION("""COMPUTED_VALUE"""),600.0)</f>
        <v>600</v>
      </c>
      <c r="C887" s="5">
        <f>IFERROR(__xludf.DUMMYFUNCTION("""COMPUTED_VALUE"""),605.0)</f>
        <v>605</v>
      </c>
      <c r="D887" s="5">
        <f>IFERROR(__xludf.DUMMYFUNCTION("""COMPUTED_VALUE"""),585.0)</f>
        <v>585</v>
      </c>
      <c r="E887" s="5">
        <f>IFERROR(__xludf.DUMMYFUNCTION("""COMPUTED_VALUE"""),590.0)</f>
        <v>590</v>
      </c>
      <c r="F887" s="5">
        <f>IFERROR(__xludf.DUMMYFUNCTION("""COMPUTED_VALUE"""),4339000.0)</f>
        <v>4339000</v>
      </c>
      <c r="G887" s="5">
        <f t="shared" si="1"/>
        <v>20</v>
      </c>
    </row>
    <row r="888">
      <c r="A888" s="4">
        <f>IFERROR(__xludf.DUMMYFUNCTION("""COMPUTED_VALUE"""),45163.66666666667)</f>
        <v>45163.66667</v>
      </c>
      <c r="B888" s="5">
        <f>IFERROR(__xludf.DUMMYFUNCTION("""COMPUTED_VALUE"""),590.0)</f>
        <v>590</v>
      </c>
      <c r="C888" s="5">
        <f>IFERROR(__xludf.DUMMYFUNCTION("""COMPUTED_VALUE"""),595.0)</f>
        <v>595</v>
      </c>
      <c r="D888" s="5">
        <f>IFERROR(__xludf.DUMMYFUNCTION("""COMPUTED_VALUE"""),580.0)</f>
        <v>580</v>
      </c>
      <c r="E888" s="5">
        <f>IFERROR(__xludf.DUMMYFUNCTION("""COMPUTED_VALUE"""),595.0)</f>
        <v>595</v>
      </c>
      <c r="F888" s="5">
        <f>IFERROR(__xludf.DUMMYFUNCTION("""COMPUTED_VALUE"""),3454600.0)</f>
        <v>3454600</v>
      </c>
      <c r="G888" s="5">
        <f t="shared" si="1"/>
        <v>15</v>
      </c>
    </row>
    <row r="889">
      <c r="A889" s="4">
        <f>IFERROR(__xludf.DUMMYFUNCTION("""COMPUTED_VALUE"""),45166.66666666667)</f>
        <v>45166.66667</v>
      </c>
      <c r="B889" s="5">
        <f>IFERROR(__xludf.DUMMYFUNCTION("""COMPUTED_VALUE"""),595.0)</f>
        <v>595</v>
      </c>
      <c r="C889" s="5">
        <f>IFERROR(__xludf.DUMMYFUNCTION("""COMPUTED_VALUE"""),595.0)</f>
        <v>595</v>
      </c>
      <c r="D889" s="5">
        <f>IFERROR(__xludf.DUMMYFUNCTION("""COMPUTED_VALUE"""),580.0)</f>
        <v>580</v>
      </c>
      <c r="E889" s="5">
        <f>IFERROR(__xludf.DUMMYFUNCTION("""COMPUTED_VALUE"""),585.0)</f>
        <v>585</v>
      </c>
      <c r="F889" s="5">
        <f>IFERROR(__xludf.DUMMYFUNCTION("""COMPUTED_VALUE"""),2317100.0)</f>
        <v>2317100</v>
      </c>
      <c r="G889" s="5">
        <f t="shared" si="1"/>
        <v>15</v>
      </c>
    </row>
    <row r="890">
      <c r="A890" s="4">
        <f>IFERROR(__xludf.DUMMYFUNCTION("""COMPUTED_VALUE"""),45167.66666666667)</f>
        <v>45167.66667</v>
      </c>
      <c r="B890" s="5">
        <f>IFERROR(__xludf.DUMMYFUNCTION("""COMPUTED_VALUE"""),590.0)</f>
        <v>590</v>
      </c>
      <c r="C890" s="5">
        <f>IFERROR(__xludf.DUMMYFUNCTION("""COMPUTED_VALUE"""),615.0)</f>
        <v>615</v>
      </c>
      <c r="D890" s="5">
        <f>IFERROR(__xludf.DUMMYFUNCTION("""COMPUTED_VALUE"""),580.0)</f>
        <v>580</v>
      </c>
      <c r="E890" s="5">
        <f>IFERROR(__xludf.DUMMYFUNCTION("""COMPUTED_VALUE"""),605.0)</f>
        <v>605</v>
      </c>
      <c r="F890" s="5">
        <f>IFERROR(__xludf.DUMMYFUNCTION("""COMPUTED_VALUE"""),2.08201E7)</f>
        <v>20820100</v>
      </c>
      <c r="G890" s="5">
        <f t="shared" si="1"/>
        <v>35</v>
      </c>
    </row>
    <row r="891">
      <c r="A891" s="4">
        <f>IFERROR(__xludf.DUMMYFUNCTION("""COMPUTED_VALUE"""),45168.66666666667)</f>
        <v>45168.66667</v>
      </c>
      <c r="B891" s="5">
        <f>IFERROR(__xludf.DUMMYFUNCTION("""COMPUTED_VALUE"""),610.0)</f>
        <v>610</v>
      </c>
      <c r="C891" s="5">
        <f>IFERROR(__xludf.DUMMYFUNCTION("""COMPUTED_VALUE"""),615.0)</f>
        <v>615</v>
      </c>
      <c r="D891" s="5">
        <f>IFERROR(__xludf.DUMMYFUNCTION("""COMPUTED_VALUE"""),595.0)</f>
        <v>595</v>
      </c>
      <c r="E891" s="5">
        <f>IFERROR(__xludf.DUMMYFUNCTION("""COMPUTED_VALUE"""),595.0)</f>
        <v>595</v>
      </c>
      <c r="F891" s="5">
        <f>IFERROR(__xludf.DUMMYFUNCTION("""COMPUTED_VALUE"""),6942300.0)</f>
        <v>6942300</v>
      </c>
      <c r="G891" s="5">
        <f t="shared" si="1"/>
        <v>20</v>
      </c>
    </row>
    <row r="892">
      <c r="A892" s="4">
        <f>IFERROR(__xludf.DUMMYFUNCTION("""COMPUTED_VALUE"""),45169.66666666667)</f>
        <v>45169.66667</v>
      </c>
      <c r="B892" s="5">
        <f>IFERROR(__xludf.DUMMYFUNCTION("""COMPUTED_VALUE"""),600.0)</f>
        <v>600</v>
      </c>
      <c r="C892" s="5">
        <f>IFERROR(__xludf.DUMMYFUNCTION("""COMPUTED_VALUE"""),600.0)</f>
        <v>600</v>
      </c>
      <c r="D892" s="5">
        <f>IFERROR(__xludf.DUMMYFUNCTION("""COMPUTED_VALUE"""),580.0)</f>
        <v>580</v>
      </c>
      <c r="E892" s="5">
        <f>IFERROR(__xludf.DUMMYFUNCTION("""COMPUTED_VALUE"""),580.0)</f>
        <v>580</v>
      </c>
      <c r="F892" s="5">
        <f>IFERROR(__xludf.DUMMYFUNCTION("""COMPUTED_VALUE"""),7333900.0)</f>
        <v>7333900</v>
      </c>
      <c r="G892" s="5">
        <f t="shared" si="1"/>
        <v>20</v>
      </c>
    </row>
    <row r="893">
      <c r="A893" s="4">
        <f>IFERROR(__xludf.DUMMYFUNCTION("""COMPUTED_VALUE"""),45170.66666666667)</f>
        <v>45170.66667</v>
      </c>
      <c r="B893" s="5">
        <f>IFERROR(__xludf.DUMMYFUNCTION("""COMPUTED_VALUE"""),580.0)</f>
        <v>580</v>
      </c>
      <c r="C893" s="5">
        <f>IFERROR(__xludf.DUMMYFUNCTION("""COMPUTED_VALUE"""),600.0)</f>
        <v>600</v>
      </c>
      <c r="D893" s="5">
        <f>IFERROR(__xludf.DUMMYFUNCTION("""COMPUTED_VALUE"""),575.0)</f>
        <v>575</v>
      </c>
      <c r="E893" s="5">
        <f>IFERROR(__xludf.DUMMYFUNCTION("""COMPUTED_VALUE"""),585.0)</f>
        <v>585</v>
      </c>
      <c r="F893" s="5">
        <f>IFERROR(__xludf.DUMMYFUNCTION("""COMPUTED_VALUE"""),9048100.0)</f>
        <v>9048100</v>
      </c>
      <c r="G893" s="5">
        <f t="shared" si="1"/>
        <v>25</v>
      </c>
    </row>
    <row r="894">
      <c r="A894" s="4">
        <f>IFERROR(__xludf.DUMMYFUNCTION("""COMPUTED_VALUE"""),45173.66666666667)</f>
        <v>45173.66667</v>
      </c>
      <c r="B894" s="5">
        <f>IFERROR(__xludf.DUMMYFUNCTION("""COMPUTED_VALUE"""),580.0)</f>
        <v>580</v>
      </c>
      <c r="C894" s="5">
        <f>IFERROR(__xludf.DUMMYFUNCTION("""COMPUTED_VALUE"""),585.0)</f>
        <v>585</v>
      </c>
      <c r="D894" s="5">
        <f>IFERROR(__xludf.DUMMYFUNCTION("""COMPUTED_VALUE"""),550.0)</f>
        <v>550</v>
      </c>
      <c r="E894" s="5">
        <f>IFERROR(__xludf.DUMMYFUNCTION("""COMPUTED_VALUE"""),555.0)</f>
        <v>555</v>
      </c>
      <c r="F894" s="5">
        <f>IFERROR(__xludf.DUMMYFUNCTION("""COMPUTED_VALUE"""),1.76143E7)</f>
        <v>17614300</v>
      </c>
      <c r="G894" s="5">
        <f t="shared" si="1"/>
        <v>35</v>
      </c>
    </row>
    <row r="895">
      <c r="A895" s="4">
        <f>IFERROR(__xludf.DUMMYFUNCTION("""COMPUTED_VALUE"""),45174.66666666667)</f>
        <v>45174.66667</v>
      </c>
      <c r="B895" s="5">
        <f>IFERROR(__xludf.DUMMYFUNCTION("""COMPUTED_VALUE"""),555.0)</f>
        <v>555</v>
      </c>
      <c r="C895" s="5">
        <f>IFERROR(__xludf.DUMMYFUNCTION("""COMPUTED_VALUE"""),590.0)</f>
        <v>590</v>
      </c>
      <c r="D895" s="5">
        <f>IFERROR(__xludf.DUMMYFUNCTION("""COMPUTED_VALUE"""),550.0)</f>
        <v>550</v>
      </c>
      <c r="E895" s="5">
        <f>IFERROR(__xludf.DUMMYFUNCTION("""COMPUTED_VALUE"""),580.0)</f>
        <v>580</v>
      </c>
      <c r="F895" s="5">
        <f>IFERROR(__xludf.DUMMYFUNCTION("""COMPUTED_VALUE"""),2.08372E7)</f>
        <v>20837200</v>
      </c>
      <c r="G895" s="5">
        <f t="shared" si="1"/>
        <v>40</v>
      </c>
    </row>
    <row r="896">
      <c r="A896" s="4">
        <f>IFERROR(__xludf.DUMMYFUNCTION("""COMPUTED_VALUE"""),45175.66666666667)</f>
        <v>45175.66667</v>
      </c>
      <c r="B896" s="5">
        <f>IFERROR(__xludf.DUMMYFUNCTION("""COMPUTED_VALUE"""),565.0)</f>
        <v>565</v>
      </c>
      <c r="C896" s="5">
        <f>IFERROR(__xludf.DUMMYFUNCTION("""COMPUTED_VALUE"""),640.0)</f>
        <v>640</v>
      </c>
      <c r="D896" s="5">
        <f>IFERROR(__xludf.DUMMYFUNCTION("""COMPUTED_VALUE"""),565.0)</f>
        <v>565</v>
      </c>
      <c r="E896" s="5">
        <f>IFERROR(__xludf.DUMMYFUNCTION("""COMPUTED_VALUE"""),635.0)</f>
        <v>635</v>
      </c>
      <c r="F896" s="5">
        <f>IFERROR(__xludf.DUMMYFUNCTION("""COMPUTED_VALUE"""),5.369E7)</f>
        <v>53690000</v>
      </c>
      <c r="G896" s="5">
        <f t="shared" si="1"/>
        <v>75</v>
      </c>
    </row>
    <row r="897">
      <c r="A897" s="4">
        <f>IFERROR(__xludf.DUMMYFUNCTION("""COMPUTED_VALUE"""),45176.66666666667)</f>
        <v>45176.66667</v>
      </c>
      <c r="B897" s="5">
        <f>IFERROR(__xludf.DUMMYFUNCTION("""COMPUTED_VALUE"""),645.0)</f>
        <v>645</v>
      </c>
      <c r="C897" s="5">
        <f>IFERROR(__xludf.DUMMYFUNCTION("""COMPUTED_VALUE"""),645.0)</f>
        <v>645</v>
      </c>
      <c r="D897" s="5">
        <f>IFERROR(__xludf.DUMMYFUNCTION("""COMPUTED_VALUE"""),625.0)</f>
        <v>625</v>
      </c>
      <c r="E897" s="5">
        <f>IFERROR(__xludf.DUMMYFUNCTION("""COMPUTED_VALUE"""),645.0)</f>
        <v>645</v>
      </c>
      <c r="F897" s="5">
        <f>IFERROR(__xludf.DUMMYFUNCTION("""COMPUTED_VALUE"""),2.57807E7)</f>
        <v>25780700</v>
      </c>
      <c r="G897" s="5">
        <f t="shared" si="1"/>
        <v>20</v>
      </c>
    </row>
    <row r="898">
      <c r="A898" s="4">
        <f>IFERROR(__xludf.DUMMYFUNCTION("""COMPUTED_VALUE"""),45177.66666666667)</f>
        <v>45177.66667</v>
      </c>
      <c r="B898" s="5">
        <f>IFERROR(__xludf.DUMMYFUNCTION("""COMPUTED_VALUE"""),660.0)</f>
        <v>660</v>
      </c>
      <c r="C898" s="5">
        <f>IFERROR(__xludf.DUMMYFUNCTION("""COMPUTED_VALUE"""),740.0)</f>
        <v>740</v>
      </c>
      <c r="D898" s="5">
        <f>IFERROR(__xludf.DUMMYFUNCTION("""COMPUTED_VALUE"""),645.0)</f>
        <v>645</v>
      </c>
      <c r="E898" s="5">
        <f>IFERROR(__xludf.DUMMYFUNCTION("""COMPUTED_VALUE"""),725.0)</f>
        <v>725</v>
      </c>
      <c r="F898" s="5">
        <f>IFERROR(__xludf.DUMMYFUNCTION("""COMPUTED_VALUE"""),1.313221E8)</f>
        <v>131322100</v>
      </c>
      <c r="G898" s="5">
        <f t="shared" si="1"/>
        <v>95</v>
      </c>
    </row>
    <row r="899">
      <c r="A899" s="4">
        <f>IFERROR(__xludf.DUMMYFUNCTION("""COMPUTED_VALUE"""),45180.66666666667)</f>
        <v>45180.66667</v>
      </c>
      <c r="B899" s="5">
        <f>IFERROR(__xludf.DUMMYFUNCTION("""COMPUTED_VALUE"""),725.0)</f>
        <v>725</v>
      </c>
      <c r="C899" s="5">
        <f>IFERROR(__xludf.DUMMYFUNCTION("""COMPUTED_VALUE"""),790.0)</f>
        <v>790</v>
      </c>
      <c r="D899" s="5">
        <f>IFERROR(__xludf.DUMMYFUNCTION("""COMPUTED_VALUE"""),715.0)</f>
        <v>715</v>
      </c>
      <c r="E899" s="5">
        <f>IFERROR(__xludf.DUMMYFUNCTION("""COMPUTED_VALUE"""),755.0)</f>
        <v>755</v>
      </c>
      <c r="F899" s="5">
        <f>IFERROR(__xludf.DUMMYFUNCTION("""COMPUTED_VALUE"""),8.09294E7)</f>
        <v>80929400</v>
      </c>
      <c r="G899" s="5">
        <f t="shared" si="1"/>
        <v>75</v>
      </c>
    </row>
    <row r="900">
      <c r="A900" s="4">
        <f>IFERROR(__xludf.DUMMYFUNCTION("""COMPUTED_VALUE"""),45181.66666666667)</f>
        <v>45181.66667</v>
      </c>
      <c r="B900" s="5">
        <f>IFERROR(__xludf.DUMMYFUNCTION("""COMPUTED_VALUE"""),760.0)</f>
        <v>760</v>
      </c>
      <c r="C900" s="5">
        <f>IFERROR(__xludf.DUMMYFUNCTION("""COMPUTED_VALUE"""),770.0)</f>
        <v>770</v>
      </c>
      <c r="D900" s="5">
        <f>IFERROR(__xludf.DUMMYFUNCTION("""COMPUTED_VALUE"""),705.0)</f>
        <v>705</v>
      </c>
      <c r="E900" s="5">
        <f>IFERROR(__xludf.DUMMYFUNCTION("""COMPUTED_VALUE"""),725.0)</f>
        <v>725</v>
      </c>
      <c r="F900" s="5">
        <f>IFERROR(__xludf.DUMMYFUNCTION("""COMPUTED_VALUE"""),4.16523E7)</f>
        <v>41652300</v>
      </c>
      <c r="G900" s="5">
        <f t="shared" si="1"/>
        <v>65</v>
      </c>
    </row>
    <row r="901">
      <c r="A901" s="4">
        <f>IFERROR(__xludf.DUMMYFUNCTION("""COMPUTED_VALUE"""),45182.66666666667)</f>
        <v>45182.66667</v>
      </c>
      <c r="B901" s="5">
        <f>IFERROR(__xludf.DUMMYFUNCTION("""COMPUTED_VALUE"""),725.0)</f>
        <v>725</v>
      </c>
      <c r="C901" s="5">
        <f>IFERROR(__xludf.DUMMYFUNCTION("""COMPUTED_VALUE"""),785.0)</f>
        <v>785</v>
      </c>
      <c r="D901" s="5">
        <f>IFERROR(__xludf.DUMMYFUNCTION("""COMPUTED_VALUE"""),725.0)</f>
        <v>725</v>
      </c>
      <c r="E901" s="5">
        <f>IFERROR(__xludf.DUMMYFUNCTION("""COMPUTED_VALUE"""),785.0)</f>
        <v>785</v>
      </c>
      <c r="F901" s="5">
        <f>IFERROR(__xludf.DUMMYFUNCTION("""COMPUTED_VALUE"""),6.23497E7)</f>
        <v>62349700</v>
      </c>
      <c r="G901" s="5">
        <f t="shared" si="1"/>
        <v>60</v>
      </c>
    </row>
    <row r="902">
      <c r="A902" s="4">
        <f>IFERROR(__xludf.DUMMYFUNCTION("""COMPUTED_VALUE"""),45183.66666666667)</f>
        <v>45183.66667</v>
      </c>
      <c r="B902" s="5">
        <f>IFERROR(__xludf.DUMMYFUNCTION("""COMPUTED_VALUE"""),785.0)</f>
        <v>785</v>
      </c>
      <c r="C902" s="5">
        <f>IFERROR(__xludf.DUMMYFUNCTION("""COMPUTED_VALUE"""),790.0)</f>
        <v>790</v>
      </c>
      <c r="D902" s="5">
        <f>IFERROR(__xludf.DUMMYFUNCTION("""COMPUTED_VALUE"""),745.0)</f>
        <v>745</v>
      </c>
      <c r="E902" s="5">
        <f>IFERROR(__xludf.DUMMYFUNCTION("""COMPUTED_VALUE"""),770.0)</f>
        <v>770</v>
      </c>
      <c r="F902" s="5">
        <f>IFERROR(__xludf.DUMMYFUNCTION("""COMPUTED_VALUE"""),3.20237E7)</f>
        <v>32023700</v>
      </c>
      <c r="G902" s="5">
        <f t="shared" si="1"/>
        <v>45</v>
      </c>
    </row>
    <row r="903">
      <c r="A903" s="4">
        <f>IFERROR(__xludf.DUMMYFUNCTION("""COMPUTED_VALUE"""),45184.66666666667)</f>
        <v>45184.66667</v>
      </c>
      <c r="B903" s="5">
        <f>IFERROR(__xludf.DUMMYFUNCTION("""COMPUTED_VALUE"""),765.0)</f>
        <v>765</v>
      </c>
      <c r="C903" s="5">
        <f>IFERROR(__xludf.DUMMYFUNCTION("""COMPUTED_VALUE"""),770.0)</f>
        <v>770</v>
      </c>
      <c r="D903" s="5">
        <f>IFERROR(__xludf.DUMMYFUNCTION("""COMPUTED_VALUE"""),730.0)</f>
        <v>730</v>
      </c>
      <c r="E903" s="5">
        <f>IFERROR(__xludf.DUMMYFUNCTION("""COMPUTED_VALUE"""),730.0)</f>
        <v>730</v>
      </c>
      <c r="F903" s="5">
        <f>IFERROR(__xludf.DUMMYFUNCTION("""COMPUTED_VALUE"""),2.13509E7)</f>
        <v>21350900</v>
      </c>
      <c r="G903" s="5">
        <f t="shared" si="1"/>
        <v>40</v>
      </c>
    </row>
    <row r="904">
      <c r="A904" s="4">
        <f>IFERROR(__xludf.DUMMYFUNCTION("""COMPUTED_VALUE"""),45187.66666666667)</f>
        <v>45187.66667</v>
      </c>
      <c r="B904" s="5">
        <f>IFERROR(__xludf.DUMMYFUNCTION("""COMPUTED_VALUE"""),730.0)</f>
        <v>730</v>
      </c>
      <c r="C904" s="5">
        <f>IFERROR(__xludf.DUMMYFUNCTION("""COMPUTED_VALUE"""),745.0)</f>
        <v>745</v>
      </c>
      <c r="D904" s="5">
        <f>IFERROR(__xludf.DUMMYFUNCTION("""COMPUTED_VALUE"""),710.0)</f>
        <v>710</v>
      </c>
      <c r="E904" s="5">
        <f>IFERROR(__xludf.DUMMYFUNCTION("""COMPUTED_VALUE"""),730.0)</f>
        <v>730</v>
      </c>
      <c r="F904" s="5">
        <f>IFERROR(__xludf.DUMMYFUNCTION("""COMPUTED_VALUE"""),2.34436E7)</f>
        <v>23443600</v>
      </c>
      <c r="G904" s="5">
        <f t="shared" si="1"/>
        <v>35</v>
      </c>
    </row>
    <row r="905">
      <c r="A905" s="4">
        <f>IFERROR(__xludf.DUMMYFUNCTION("""COMPUTED_VALUE"""),45188.66666666667)</f>
        <v>45188.66667</v>
      </c>
      <c r="B905" s="5">
        <f>IFERROR(__xludf.DUMMYFUNCTION("""COMPUTED_VALUE"""),735.0)</f>
        <v>735</v>
      </c>
      <c r="C905" s="5">
        <f>IFERROR(__xludf.DUMMYFUNCTION("""COMPUTED_VALUE"""),775.0)</f>
        <v>775</v>
      </c>
      <c r="D905" s="5">
        <f>IFERROR(__xludf.DUMMYFUNCTION("""COMPUTED_VALUE"""),730.0)</f>
        <v>730</v>
      </c>
      <c r="E905" s="5">
        <f>IFERROR(__xludf.DUMMYFUNCTION("""COMPUTED_VALUE"""),760.0)</f>
        <v>760</v>
      </c>
      <c r="F905" s="5">
        <f>IFERROR(__xludf.DUMMYFUNCTION("""COMPUTED_VALUE"""),4.01859E7)</f>
        <v>40185900</v>
      </c>
      <c r="G905" s="5">
        <f t="shared" si="1"/>
        <v>45</v>
      </c>
    </row>
    <row r="906">
      <c r="A906" s="4">
        <f>IFERROR(__xludf.DUMMYFUNCTION("""COMPUTED_VALUE"""),45189.66666666667)</f>
        <v>45189.66667</v>
      </c>
      <c r="B906" s="5">
        <f>IFERROR(__xludf.DUMMYFUNCTION("""COMPUTED_VALUE"""),755.0)</f>
        <v>755</v>
      </c>
      <c r="C906" s="5">
        <f>IFERROR(__xludf.DUMMYFUNCTION("""COMPUTED_VALUE"""),820.0)</f>
        <v>820</v>
      </c>
      <c r="D906" s="5">
        <f>IFERROR(__xludf.DUMMYFUNCTION("""COMPUTED_VALUE"""),755.0)</f>
        <v>755</v>
      </c>
      <c r="E906" s="5">
        <f>IFERROR(__xludf.DUMMYFUNCTION("""COMPUTED_VALUE"""),795.0)</f>
        <v>795</v>
      </c>
      <c r="F906" s="5">
        <f>IFERROR(__xludf.DUMMYFUNCTION("""COMPUTED_VALUE"""),8.42954E7)</f>
        <v>84295400</v>
      </c>
      <c r="G906" s="5">
        <f t="shared" si="1"/>
        <v>65</v>
      </c>
    </row>
    <row r="907">
      <c r="A907" s="4">
        <f>IFERROR(__xludf.DUMMYFUNCTION("""COMPUTED_VALUE"""),45190.66666666667)</f>
        <v>45190.66667</v>
      </c>
      <c r="B907" s="5">
        <f>IFERROR(__xludf.DUMMYFUNCTION("""COMPUTED_VALUE"""),800.0)</f>
        <v>800</v>
      </c>
      <c r="C907" s="5">
        <f>IFERROR(__xludf.DUMMYFUNCTION("""COMPUTED_VALUE"""),800.0)</f>
        <v>800</v>
      </c>
      <c r="D907" s="5">
        <f>IFERROR(__xludf.DUMMYFUNCTION("""COMPUTED_VALUE"""),760.0)</f>
        <v>760</v>
      </c>
      <c r="E907" s="5">
        <f>IFERROR(__xludf.DUMMYFUNCTION("""COMPUTED_VALUE"""),765.0)</f>
        <v>765</v>
      </c>
      <c r="F907" s="5">
        <f>IFERROR(__xludf.DUMMYFUNCTION("""COMPUTED_VALUE"""),1.81506E7)</f>
        <v>18150600</v>
      </c>
      <c r="G907" s="5">
        <f t="shared" si="1"/>
        <v>40</v>
      </c>
    </row>
    <row r="908">
      <c r="A908" s="4">
        <f>IFERROR(__xludf.DUMMYFUNCTION("""COMPUTED_VALUE"""),45191.66666666667)</f>
        <v>45191.66667</v>
      </c>
      <c r="B908" s="5">
        <f>IFERROR(__xludf.DUMMYFUNCTION("""COMPUTED_VALUE"""),765.0)</f>
        <v>765</v>
      </c>
      <c r="C908" s="5">
        <f>IFERROR(__xludf.DUMMYFUNCTION("""COMPUTED_VALUE"""),810.0)</f>
        <v>810</v>
      </c>
      <c r="D908" s="5">
        <f>IFERROR(__xludf.DUMMYFUNCTION("""COMPUTED_VALUE"""),765.0)</f>
        <v>765</v>
      </c>
      <c r="E908" s="5">
        <f>IFERROR(__xludf.DUMMYFUNCTION("""COMPUTED_VALUE"""),810.0)</f>
        <v>810</v>
      </c>
      <c r="F908" s="5">
        <f>IFERROR(__xludf.DUMMYFUNCTION("""COMPUTED_VALUE"""),4.15659E7)</f>
        <v>41565900</v>
      </c>
      <c r="G908" s="5">
        <f t="shared" si="1"/>
        <v>45</v>
      </c>
    </row>
    <row r="909">
      <c r="A909" s="4">
        <f>IFERROR(__xludf.DUMMYFUNCTION("""COMPUTED_VALUE"""),45194.66666666667)</f>
        <v>45194.66667</v>
      </c>
      <c r="B909" s="5">
        <f>IFERROR(__xludf.DUMMYFUNCTION("""COMPUTED_VALUE"""),835.0)</f>
        <v>835</v>
      </c>
      <c r="C909" s="5">
        <f>IFERROR(__xludf.DUMMYFUNCTION("""COMPUTED_VALUE"""),835.0)</f>
        <v>835</v>
      </c>
      <c r="D909" s="5">
        <f>IFERROR(__xludf.DUMMYFUNCTION("""COMPUTED_VALUE"""),785.0)</f>
        <v>785</v>
      </c>
      <c r="E909" s="5">
        <f>IFERROR(__xludf.DUMMYFUNCTION("""COMPUTED_VALUE"""),785.0)</f>
        <v>785</v>
      </c>
      <c r="F909" s="5">
        <f>IFERROR(__xludf.DUMMYFUNCTION("""COMPUTED_VALUE"""),1.35148E7)</f>
        <v>13514800</v>
      </c>
      <c r="G909" s="5">
        <f t="shared" si="1"/>
        <v>50</v>
      </c>
    </row>
    <row r="910">
      <c r="A910" s="4">
        <f>IFERROR(__xludf.DUMMYFUNCTION("""COMPUTED_VALUE"""),45195.66666666667)</f>
        <v>45195.66667</v>
      </c>
      <c r="B910" s="5">
        <f>IFERROR(__xludf.DUMMYFUNCTION("""COMPUTED_VALUE"""),790.0)</f>
        <v>790</v>
      </c>
      <c r="C910" s="5">
        <f>IFERROR(__xludf.DUMMYFUNCTION("""COMPUTED_VALUE"""),815.0)</f>
        <v>815</v>
      </c>
      <c r="D910" s="5">
        <f>IFERROR(__xludf.DUMMYFUNCTION("""COMPUTED_VALUE"""),745.0)</f>
        <v>745</v>
      </c>
      <c r="E910" s="5">
        <f>IFERROR(__xludf.DUMMYFUNCTION("""COMPUTED_VALUE"""),755.0)</f>
        <v>755</v>
      </c>
      <c r="F910" s="5">
        <f>IFERROR(__xludf.DUMMYFUNCTION("""COMPUTED_VALUE"""),3.38662E7)</f>
        <v>33866200</v>
      </c>
      <c r="G910" s="5">
        <f t="shared" si="1"/>
        <v>70</v>
      </c>
    </row>
    <row r="911">
      <c r="A911" s="4">
        <f>IFERROR(__xludf.DUMMYFUNCTION("""COMPUTED_VALUE"""),45196.66666666667)</f>
        <v>45196.66667</v>
      </c>
      <c r="B911" s="5">
        <f>IFERROR(__xludf.DUMMYFUNCTION("""COMPUTED_VALUE"""),755.0)</f>
        <v>755</v>
      </c>
      <c r="C911" s="5">
        <f>IFERROR(__xludf.DUMMYFUNCTION("""COMPUTED_VALUE"""),780.0)</f>
        <v>780</v>
      </c>
      <c r="D911" s="5">
        <f>IFERROR(__xludf.DUMMYFUNCTION("""COMPUTED_VALUE"""),750.0)</f>
        <v>750</v>
      </c>
      <c r="E911" s="5">
        <f>IFERROR(__xludf.DUMMYFUNCTION("""COMPUTED_VALUE"""),770.0)</f>
        <v>770</v>
      </c>
      <c r="F911" s="5">
        <f>IFERROR(__xludf.DUMMYFUNCTION("""COMPUTED_VALUE"""),1.20504E7)</f>
        <v>12050400</v>
      </c>
      <c r="G911" s="5">
        <f t="shared" si="1"/>
        <v>30</v>
      </c>
    </row>
    <row r="912">
      <c r="A912" s="4">
        <f>IFERROR(__xludf.DUMMYFUNCTION("""COMPUTED_VALUE"""),45198.66666666667)</f>
        <v>45198.66667</v>
      </c>
      <c r="B912" s="5">
        <f>IFERROR(__xludf.DUMMYFUNCTION("""COMPUTED_VALUE"""),770.0)</f>
        <v>770</v>
      </c>
      <c r="C912" s="5">
        <f>IFERROR(__xludf.DUMMYFUNCTION("""COMPUTED_VALUE"""),795.0)</f>
        <v>795</v>
      </c>
      <c r="D912" s="5">
        <f>IFERROR(__xludf.DUMMYFUNCTION("""COMPUTED_VALUE"""),755.0)</f>
        <v>755</v>
      </c>
      <c r="E912" s="5">
        <f>IFERROR(__xludf.DUMMYFUNCTION("""COMPUTED_VALUE"""),755.0)</f>
        <v>755</v>
      </c>
      <c r="F912" s="5">
        <f>IFERROR(__xludf.DUMMYFUNCTION("""COMPUTED_VALUE"""),1.11498E7)</f>
        <v>11149800</v>
      </c>
      <c r="G912" s="5">
        <f t="shared" si="1"/>
        <v>40</v>
      </c>
    </row>
    <row r="913">
      <c r="A913" s="4">
        <f>IFERROR(__xludf.DUMMYFUNCTION("""COMPUTED_VALUE"""),45201.66666666667)</f>
        <v>45201.66667</v>
      </c>
      <c r="B913" s="5">
        <f>IFERROR(__xludf.DUMMYFUNCTION("""COMPUTED_VALUE"""),760.0)</f>
        <v>760</v>
      </c>
      <c r="C913" s="5">
        <f>IFERROR(__xludf.DUMMYFUNCTION("""COMPUTED_VALUE"""),765.0)</f>
        <v>765</v>
      </c>
      <c r="D913" s="5">
        <f>IFERROR(__xludf.DUMMYFUNCTION("""COMPUTED_VALUE"""),725.0)</f>
        <v>725</v>
      </c>
      <c r="E913" s="5">
        <f>IFERROR(__xludf.DUMMYFUNCTION("""COMPUTED_VALUE"""),755.0)</f>
        <v>755</v>
      </c>
      <c r="F913" s="5">
        <f>IFERROR(__xludf.DUMMYFUNCTION("""COMPUTED_VALUE"""),2.08898E7)</f>
        <v>20889800</v>
      </c>
      <c r="G913" s="5">
        <f t="shared" si="1"/>
        <v>40</v>
      </c>
    </row>
    <row r="914">
      <c r="A914" s="4">
        <f>IFERROR(__xludf.DUMMYFUNCTION("""COMPUTED_VALUE"""),45202.66666666667)</f>
        <v>45202.66667</v>
      </c>
      <c r="B914" s="5">
        <f>IFERROR(__xludf.DUMMYFUNCTION("""COMPUTED_VALUE"""),750.0)</f>
        <v>750</v>
      </c>
      <c r="C914" s="5">
        <f>IFERROR(__xludf.DUMMYFUNCTION("""COMPUTED_VALUE"""),760.0)</f>
        <v>760</v>
      </c>
      <c r="D914" s="5">
        <f>IFERROR(__xludf.DUMMYFUNCTION("""COMPUTED_VALUE"""),720.0)</f>
        <v>720</v>
      </c>
      <c r="E914" s="5">
        <f>IFERROR(__xludf.DUMMYFUNCTION("""COMPUTED_VALUE"""),720.0)</f>
        <v>720</v>
      </c>
      <c r="F914" s="5">
        <f>IFERROR(__xludf.DUMMYFUNCTION("""COMPUTED_VALUE"""),1.99992E7)</f>
        <v>19999200</v>
      </c>
      <c r="G914" s="5">
        <f t="shared" si="1"/>
        <v>40</v>
      </c>
    </row>
    <row r="915">
      <c r="A915" s="4">
        <f>IFERROR(__xludf.DUMMYFUNCTION("""COMPUTED_VALUE"""),45203.66666666667)</f>
        <v>45203.66667</v>
      </c>
      <c r="B915" s="5">
        <f>IFERROR(__xludf.DUMMYFUNCTION("""COMPUTED_VALUE"""),720.0)</f>
        <v>720</v>
      </c>
      <c r="C915" s="5">
        <f>IFERROR(__xludf.DUMMYFUNCTION("""COMPUTED_VALUE"""),720.0)</f>
        <v>720</v>
      </c>
      <c r="D915" s="5">
        <f>IFERROR(__xludf.DUMMYFUNCTION("""COMPUTED_VALUE"""),660.0)</f>
        <v>660</v>
      </c>
      <c r="E915" s="5">
        <f>IFERROR(__xludf.DUMMYFUNCTION("""COMPUTED_VALUE"""),675.0)</f>
        <v>675</v>
      </c>
      <c r="F915" s="5">
        <f>IFERROR(__xludf.DUMMYFUNCTION("""COMPUTED_VALUE"""),3.04811E7)</f>
        <v>30481100</v>
      </c>
      <c r="G915" s="5">
        <f t="shared" si="1"/>
        <v>60</v>
      </c>
    </row>
    <row r="916">
      <c r="A916" s="4">
        <f>IFERROR(__xludf.DUMMYFUNCTION("""COMPUTED_VALUE"""),45204.66666666667)</f>
        <v>45204.66667</v>
      </c>
      <c r="B916" s="5">
        <f>IFERROR(__xludf.DUMMYFUNCTION("""COMPUTED_VALUE"""),675.0)</f>
        <v>675</v>
      </c>
      <c r="C916" s="5">
        <f>IFERROR(__xludf.DUMMYFUNCTION("""COMPUTED_VALUE"""),760.0)</f>
        <v>760</v>
      </c>
      <c r="D916" s="5">
        <f>IFERROR(__xludf.DUMMYFUNCTION("""COMPUTED_VALUE"""),675.0)</f>
        <v>675</v>
      </c>
      <c r="E916" s="5">
        <f>IFERROR(__xludf.DUMMYFUNCTION("""COMPUTED_VALUE"""),745.0)</f>
        <v>745</v>
      </c>
      <c r="F916" s="5">
        <f>IFERROR(__xludf.DUMMYFUNCTION("""COMPUTED_VALUE"""),3.47268E7)</f>
        <v>34726800</v>
      </c>
      <c r="G916" s="5">
        <f t="shared" si="1"/>
        <v>85</v>
      </c>
    </row>
    <row r="917">
      <c r="A917" s="4">
        <f>IFERROR(__xludf.DUMMYFUNCTION("""COMPUTED_VALUE"""),45205.66666666667)</f>
        <v>45205.66667</v>
      </c>
      <c r="B917" s="5">
        <f>IFERROR(__xludf.DUMMYFUNCTION("""COMPUTED_VALUE"""),745.0)</f>
        <v>745</v>
      </c>
      <c r="C917" s="5">
        <f>IFERROR(__xludf.DUMMYFUNCTION("""COMPUTED_VALUE"""),755.0)</f>
        <v>755</v>
      </c>
      <c r="D917" s="5">
        <f>IFERROR(__xludf.DUMMYFUNCTION("""COMPUTED_VALUE"""),710.0)</f>
        <v>710</v>
      </c>
      <c r="E917" s="5">
        <f>IFERROR(__xludf.DUMMYFUNCTION("""COMPUTED_VALUE"""),710.0)</f>
        <v>710</v>
      </c>
      <c r="F917" s="5">
        <f>IFERROR(__xludf.DUMMYFUNCTION("""COMPUTED_VALUE"""),1.49634E7)</f>
        <v>14963400</v>
      </c>
      <c r="G917" s="5">
        <f t="shared" si="1"/>
        <v>45</v>
      </c>
    </row>
    <row r="918">
      <c r="A918" s="4">
        <f>IFERROR(__xludf.DUMMYFUNCTION("""COMPUTED_VALUE"""),45208.66666666667)</f>
        <v>45208.66667</v>
      </c>
      <c r="B918" s="5">
        <f>IFERROR(__xludf.DUMMYFUNCTION("""COMPUTED_VALUE"""),720.0)</f>
        <v>720</v>
      </c>
      <c r="C918" s="5">
        <f>IFERROR(__xludf.DUMMYFUNCTION("""COMPUTED_VALUE"""),735.0)</f>
        <v>735</v>
      </c>
      <c r="D918" s="5">
        <f>IFERROR(__xludf.DUMMYFUNCTION("""COMPUTED_VALUE"""),700.0)</f>
        <v>700</v>
      </c>
      <c r="E918" s="5">
        <f>IFERROR(__xludf.DUMMYFUNCTION("""COMPUTED_VALUE"""),715.0)</f>
        <v>715</v>
      </c>
      <c r="F918" s="5">
        <f>IFERROR(__xludf.DUMMYFUNCTION("""COMPUTED_VALUE"""),9065800.0)</f>
        <v>9065800</v>
      </c>
      <c r="G918" s="5">
        <f t="shared" si="1"/>
        <v>35</v>
      </c>
    </row>
    <row r="919">
      <c r="A919" s="4">
        <f>IFERROR(__xludf.DUMMYFUNCTION("""COMPUTED_VALUE"""),45209.66666666667)</f>
        <v>45209.66667</v>
      </c>
      <c r="B919" s="5">
        <f>IFERROR(__xludf.DUMMYFUNCTION("""COMPUTED_VALUE"""),725.0)</f>
        <v>725</v>
      </c>
      <c r="C919" s="5">
        <f>IFERROR(__xludf.DUMMYFUNCTION("""COMPUTED_VALUE"""),750.0)</f>
        <v>750</v>
      </c>
      <c r="D919" s="5">
        <f>IFERROR(__xludf.DUMMYFUNCTION("""COMPUTED_VALUE"""),715.0)</f>
        <v>715</v>
      </c>
      <c r="E919" s="5">
        <f>IFERROR(__xludf.DUMMYFUNCTION("""COMPUTED_VALUE"""),735.0)</f>
        <v>735</v>
      </c>
      <c r="F919" s="5">
        <f>IFERROR(__xludf.DUMMYFUNCTION("""COMPUTED_VALUE"""),1.18839E7)</f>
        <v>11883900</v>
      </c>
      <c r="G919" s="5">
        <f t="shared" si="1"/>
        <v>35</v>
      </c>
    </row>
    <row r="920">
      <c r="A920" s="4">
        <f>IFERROR(__xludf.DUMMYFUNCTION("""COMPUTED_VALUE"""),45210.66666666667)</f>
        <v>45210.66667</v>
      </c>
      <c r="B920" s="5">
        <f>IFERROR(__xludf.DUMMYFUNCTION("""COMPUTED_VALUE"""),735.0)</f>
        <v>735</v>
      </c>
      <c r="C920" s="5">
        <f>IFERROR(__xludf.DUMMYFUNCTION("""COMPUTED_VALUE"""),785.0)</f>
        <v>785</v>
      </c>
      <c r="D920" s="5">
        <f>IFERROR(__xludf.DUMMYFUNCTION("""COMPUTED_VALUE"""),730.0)</f>
        <v>730</v>
      </c>
      <c r="E920" s="5">
        <f>IFERROR(__xludf.DUMMYFUNCTION("""COMPUTED_VALUE"""),775.0)</f>
        <v>775</v>
      </c>
      <c r="F920" s="5">
        <f>IFERROR(__xludf.DUMMYFUNCTION("""COMPUTED_VALUE"""),3.24995E7)</f>
        <v>32499500</v>
      </c>
      <c r="G920" s="5">
        <f t="shared" si="1"/>
        <v>55</v>
      </c>
    </row>
    <row r="921">
      <c r="A921" s="4">
        <f>IFERROR(__xludf.DUMMYFUNCTION("""COMPUTED_VALUE"""),45211.66666666667)</f>
        <v>45211.66667</v>
      </c>
      <c r="B921" s="5">
        <f>IFERROR(__xludf.DUMMYFUNCTION("""COMPUTED_VALUE"""),780.0)</f>
        <v>780</v>
      </c>
      <c r="C921" s="5">
        <f>IFERROR(__xludf.DUMMYFUNCTION("""COMPUTED_VALUE"""),785.0)</f>
        <v>785</v>
      </c>
      <c r="D921" s="5">
        <f>IFERROR(__xludf.DUMMYFUNCTION("""COMPUTED_VALUE"""),750.0)</f>
        <v>750</v>
      </c>
      <c r="E921" s="5">
        <f>IFERROR(__xludf.DUMMYFUNCTION("""COMPUTED_VALUE"""),750.0)</f>
        <v>750</v>
      </c>
      <c r="F921" s="5">
        <f>IFERROR(__xludf.DUMMYFUNCTION("""COMPUTED_VALUE"""),1.31855E7)</f>
        <v>13185500</v>
      </c>
      <c r="G921" s="5">
        <f t="shared" si="1"/>
        <v>35</v>
      </c>
    </row>
    <row r="922">
      <c r="A922" s="4">
        <f>IFERROR(__xludf.DUMMYFUNCTION("""COMPUTED_VALUE"""),45212.66666666667)</f>
        <v>45212.66667</v>
      </c>
      <c r="B922" s="5">
        <f>IFERROR(__xludf.DUMMYFUNCTION("""COMPUTED_VALUE"""),755.0)</f>
        <v>755</v>
      </c>
      <c r="C922" s="5">
        <f>IFERROR(__xludf.DUMMYFUNCTION("""COMPUTED_VALUE"""),790.0)</f>
        <v>790</v>
      </c>
      <c r="D922" s="5">
        <f>IFERROR(__xludf.DUMMYFUNCTION("""COMPUTED_VALUE"""),740.0)</f>
        <v>740</v>
      </c>
      <c r="E922" s="5">
        <f>IFERROR(__xludf.DUMMYFUNCTION("""COMPUTED_VALUE"""),755.0)</f>
        <v>755</v>
      </c>
      <c r="F922" s="5">
        <f>IFERROR(__xludf.DUMMYFUNCTION("""COMPUTED_VALUE"""),1.8149E7)</f>
        <v>18149000</v>
      </c>
      <c r="G922" s="5">
        <f t="shared" si="1"/>
        <v>50</v>
      </c>
    </row>
    <row r="923">
      <c r="A923" s="4">
        <f>IFERROR(__xludf.DUMMYFUNCTION("""COMPUTED_VALUE"""),45215.66666666667)</f>
        <v>45215.66667</v>
      </c>
      <c r="B923" s="5">
        <f>IFERROR(__xludf.DUMMYFUNCTION("""COMPUTED_VALUE"""),755.0)</f>
        <v>755</v>
      </c>
      <c r="C923" s="5">
        <f>IFERROR(__xludf.DUMMYFUNCTION("""COMPUTED_VALUE"""),755.0)</f>
        <v>755</v>
      </c>
      <c r="D923" s="5">
        <f>IFERROR(__xludf.DUMMYFUNCTION("""COMPUTED_VALUE"""),710.0)</f>
        <v>710</v>
      </c>
      <c r="E923" s="5">
        <f>IFERROR(__xludf.DUMMYFUNCTION("""COMPUTED_VALUE"""),720.0)</f>
        <v>720</v>
      </c>
      <c r="F923" s="5">
        <f>IFERROR(__xludf.DUMMYFUNCTION("""COMPUTED_VALUE"""),1.26317E7)</f>
        <v>12631700</v>
      </c>
      <c r="G923" s="5">
        <f t="shared" si="1"/>
        <v>45</v>
      </c>
    </row>
    <row r="924">
      <c r="A924" s="4">
        <f>IFERROR(__xludf.DUMMYFUNCTION("""COMPUTED_VALUE"""),45216.66666666667)</f>
        <v>45216.66667</v>
      </c>
      <c r="B924" s="5">
        <f>IFERROR(__xludf.DUMMYFUNCTION("""COMPUTED_VALUE"""),725.0)</f>
        <v>725</v>
      </c>
      <c r="C924" s="5">
        <f>IFERROR(__xludf.DUMMYFUNCTION("""COMPUTED_VALUE"""),755.0)</f>
        <v>755</v>
      </c>
      <c r="D924" s="5">
        <f>IFERROR(__xludf.DUMMYFUNCTION("""COMPUTED_VALUE"""),720.0)</f>
        <v>720</v>
      </c>
      <c r="E924" s="5">
        <f>IFERROR(__xludf.DUMMYFUNCTION("""COMPUTED_VALUE"""),730.0)</f>
        <v>730</v>
      </c>
      <c r="F924" s="5">
        <f>IFERROR(__xludf.DUMMYFUNCTION("""COMPUTED_VALUE"""),1.43049E7)</f>
        <v>14304900</v>
      </c>
      <c r="G924" s="5">
        <f t="shared" si="1"/>
        <v>35</v>
      </c>
    </row>
    <row r="925">
      <c r="A925" s="4">
        <f>IFERROR(__xludf.DUMMYFUNCTION("""COMPUTED_VALUE"""),45217.66666666667)</f>
        <v>45217.66667</v>
      </c>
      <c r="B925" s="5">
        <f>IFERROR(__xludf.DUMMYFUNCTION("""COMPUTED_VALUE"""),735.0)</f>
        <v>735</v>
      </c>
      <c r="C925" s="5">
        <f>IFERROR(__xludf.DUMMYFUNCTION("""COMPUTED_VALUE"""),735.0)</f>
        <v>735</v>
      </c>
      <c r="D925" s="5">
        <f>IFERROR(__xludf.DUMMYFUNCTION("""COMPUTED_VALUE"""),690.0)</f>
        <v>690</v>
      </c>
      <c r="E925" s="5">
        <f>IFERROR(__xludf.DUMMYFUNCTION("""COMPUTED_VALUE"""),700.0)</f>
        <v>700</v>
      </c>
      <c r="F925" s="5">
        <f>IFERROR(__xludf.DUMMYFUNCTION("""COMPUTED_VALUE"""),1.70427E7)</f>
        <v>17042700</v>
      </c>
      <c r="G925" s="5">
        <f t="shared" si="1"/>
        <v>45</v>
      </c>
    </row>
    <row r="926">
      <c r="A926" s="4">
        <f>IFERROR(__xludf.DUMMYFUNCTION("""COMPUTED_VALUE"""),45218.66666666667)</f>
        <v>45218.66667</v>
      </c>
      <c r="B926" s="5">
        <f>IFERROR(__xludf.DUMMYFUNCTION("""COMPUTED_VALUE"""),700.0)</f>
        <v>700</v>
      </c>
      <c r="C926" s="5">
        <f>IFERROR(__xludf.DUMMYFUNCTION("""COMPUTED_VALUE"""),715.0)</f>
        <v>715</v>
      </c>
      <c r="D926" s="5">
        <f>IFERROR(__xludf.DUMMYFUNCTION("""COMPUTED_VALUE"""),675.0)</f>
        <v>675</v>
      </c>
      <c r="E926" s="5">
        <f>IFERROR(__xludf.DUMMYFUNCTION("""COMPUTED_VALUE"""),685.0)</f>
        <v>685</v>
      </c>
      <c r="F926" s="5">
        <f>IFERROR(__xludf.DUMMYFUNCTION("""COMPUTED_VALUE"""),1.02104E7)</f>
        <v>10210400</v>
      </c>
      <c r="G926" s="5">
        <f t="shared" si="1"/>
        <v>40</v>
      </c>
    </row>
    <row r="927">
      <c r="A927" s="4">
        <f>IFERROR(__xludf.DUMMYFUNCTION("""COMPUTED_VALUE"""),45219.66666666667)</f>
        <v>45219.66667</v>
      </c>
      <c r="B927" s="5">
        <f>IFERROR(__xludf.DUMMYFUNCTION("""COMPUTED_VALUE"""),690.0)</f>
        <v>690</v>
      </c>
      <c r="C927" s="5">
        <f>IFERROR(__xludf.DUMMYFUNCTION("""COMPUTED_VALUE"""),715.0)</f>
        <v>715</v>
      </c>
      <c r="D927" s="5">
        <f>IFERROR(__xludf.DUMMYFUNCTION("""COMPUTED_VALUE"""),680.0)</f>
        <v>680</v>
      </c>
      <c r="E927" s="5">
        <f>IFERROR(__xludf.DUMMYFUNCTION("""COMPUTED_VALUE"""),695.0)</f>
        <v>695</v>
      </c>
      <c r="F927" s="5">
        <f>IFERROR(__xludf.DUMMYFUNCTION("""COMPUTED_VALUE"""),7486800.0)</f>
        <v>7486800</v>
      </c>
      <c r="G927" s="5">
        <f t="shared" si="1"/>
        <v>35</v>
      </c>
    </row>
    <row r="928">
      <c r="A928" s="4">
        <f>IFERROR(__xludf.DUMMYFUNCTION("""COMPUTED_VALUE"""),45222.66666666667)</f>
        <v>45222.66667</v>
      </c>
      <c r="B928" s="5">
        <f>IFERROR(__xludf.DUMMYFUNCTION("""COMPUTED_VALUE"""),695.0)</f>
        <v>695</v>
      </c>
      <c r="C928" s="5">
        <f>IFERROR(__xludf.DUMMYFUNCTION("""COMPUTED_VALUE"""),705.0)</f>
        <v>705</v>
      </c>
      <c r="D928" s="5">
        <f>IFERROR(__xludf.DUMMYFUNCTION("""COMPUTED_VALUE"""),655.0)</f>
        <v>655</v>
      </c>
      <c r="E928" s="5">
        <f>IFERROR(__xludf.DUMMYFUNCTION("""COMPUTED_VALUE"""),675.0)</f>
        <v>675</v>
      </c>
      <c r="F928" s="5">
        <f>IFERROR(__xludf.DUMMYFUNCTION("""COMPUTED_VALUE"""),1.15385E7)</f>
        <v>11538500</v>
      </c>
      <c r="G928" s="5">
        <f t="shared" si="1"/>
        <v>50</v>
      </c>
    </row>
    <row r="929">
      <c r="A929" s="4">
        <f>IFERROR(__xludf.DUMMYFUNCTION("""COMPUTED_VALUE"""),45223.66666666667)</f>
        <v>45223.66667</v>
      </c>
      <c r="B929" s="5">
        <f>IFERROR(__xludf.DUMMYFUNCTION("""COMPUTED_VALUE"""),675.0)</f>
        <v>675</v>
      </c>
      <c r="C929" s="5">
        <f>IFERROR(__xludf.DUMMYFUNCTION("""COMPUTED_VALUE"""),685.0)</f>
        <v>685</v>
      </c>
      <c r="D929" s="5">
        <f>IFERROR(__xludf.DUMMYFUNCTION("""COMPUTED_VALUE"""),635.0)</f>
        <v>635</v>
      </c>
      <c r="E929" s="5">
        <f>IFERROR(__xludf.DUMMYFUNCTION("""COMPUTED_VALUE"""),640.0)</f>
        <v>640</v>
      </c>
      <c r="F929" s="5">
        <f>IFERROR(__xludf.DUMMYFUNCTION("""COMPUTED_VALUE"""),2.80989E7)</f>
        <v>28098900</v>
      </c>
      <c r="G929" s="5">
        <f t="shared" si="1"/>
        <v>50</v>
      </c>
    </row>
    <row r="930">
      <c r="A930" s="4">
        <f>IFERROR(__xludf.DUMMYFUNCTION("""COMPUTED_VALUE"""),45224.66666666667)</f>
        <v>45224.66667</v>
      </c>
      <c r="B930" s="5">
        <f>IFERROR(__xludf.DUMMYFUNCTION("""COMPUTED_VALUE"""),665.0)</f>
        <v>665</v>
      </c>
      <c r="C930" s="5">
        <f>IFERROR(__xludf.DUMMYFUNCTION("""COMPUTED_VALUE"""),665.0)</f>
        <v>665</v>
      </c>
      <c r="D930" s="5">
        <f>IFERROR(__xludf.DUMMYFUNCTION("""COMPUTED_VALUE"""),615.0)</f>
        <v>615</v>
      </c>
      <c r="E930" s="5">
        <f>IFERROR(__xludf.DUMMYFUNCTION("""COMPUTED_VALUE"""),615.0)</f>
        <v>615</v>
      </c>
      <c r="F930" s="5">
        <f>IFERROR(__xludf.DUMMYFUNCTION("""COMPUTED_VALUE"""),1.94411E7)</f>
        <v>19441100</v>
      </c>
      <c r="G930" s="5">
        <f t="shared" si="1"/>
        <v>50</v>
      </c>
    </row>
    <row r="931">
      <c r="A931" s="4">
        <f>IFERROR(__xludf.DUMMYFUNCTION("""COMPUTED_VALUE"""),45225.66666666667)</f>
        <v>45225.66667</v>
      </c>
      <c r="B931" s="5">
        <f>IFERROR(__xludf.DUMMYFUNCTION("""COMPUTED_VALUE"""),615.0)</f>
        <v>615</v>
      </c>
      <c r="C931" s="5">
        <f>IFERROR(__xludf.DUMMYFUNCTION("""COMPUTED_VALUE"""),620.0)</f>
        <v>620</v>
      </c>
      <c r="D931" s="5">
        <f>IFERROR(__xludf.DUMMYFUNCTION("""COMPUTED_VALUE"""),580.0)</f>
        <v>580</v>
      </c>
      <c r="E931" s="5">
        <f>IFERROR(__xludf.DUMMYFUNCTION("""COMPUTED_VALUE"""),605.0)</f>
        <v>605</v>
      </c>
      <c r="F931" s="5">
        <f>IFERROR(__xludf.DUMMYFUNCTION("""COMPUTED_VALUE"""),2.90029E7)</f>
        <v>29002900</v>
      </c>
      <c r="G931" s="5">
        <f t="shared" si="1"/>
        <v>40</v>
      </c>
    </row>
    <row r="932">
      <c r="A932" s="4">
        <f>IFERROR(__xludf.DUMMYFUNCTION("""COMPUTED_VALUE"""),45226.66666666667)</f>
        <v>45226.66667</v>
      </c>
      <c r="B932" s="5">
        <f>IFERROR(__xludf.DUMMYFUNCTION("""COMPUTED_VALUE"""),605.0)</f>
        <v>605</v>
      </c>
      <c r="C932" s="5">
        <f>IFERROR(__xludf.DUMMYFUNCTION("""COMPUTED_VALUE"""),610.0)</f>
        <v>610</v>
      </c>
      <c r="D932" s="5">
        <f>IFERROR(__xludf.DUMMYFUNCTION("""COMPUTED_VALUE"""),580.0)</f>
        <v>580</v>
      </c>
      <c r="E932" s="5">
        <f>IFERROR(__xludf.DUMMYFUNCTION("""COMPUTED_VALUE"""),590.0)</f>
        <v>590</v>
      </c>
      <c r="F932" s="5">
        <f>IFERROR(__xludf.DUMMYFUNCTION("""COMPUTED_VALUE"""),1.42649E7)</f>
        <v>14264900</v>
      </c>
      <c r="G932" s="5">
        <f t="shared" si="1"/>
        <v>30</v>
      </c>
    </row>
    <row r="933">
      <c r="A933" s="4">
        <f>IFERROR(__xludf.DUMMYFUNCTION("""COMPUTED_VALUE"""),45229.66666666667)</f>
        <v>45229.66667</v>
      </c>
      <c r="B933" s="5">
        <f>IFERROR(__xludf.DUMMYFUNCTION("""COMPUTED_VALUE"""),590.0)</f>
        <v>590</v>
      </c>
      <c r="C933" s="5">
        <f>IFERROR(__xludf.DUMMYFUNCTION("""COMPUTED_VALUE"""),600.0)</f>
        <v>600</v>
      </c>
      <c r="D933" s="5">
        <f>IFERROR(__xludf.DUMMYFUNCTION("""COMPUTED_VALUE"""),565.0)</f>
        <v>565</v>
      </c>
      <c r="E933" s="5">
        <f>IFERROR(__xludf.DUMMYFUNCTION("""COMPUTED_VALUE"""),565.0)</f>
        <v>565</v>
      </c>
      <c r="F933" s="5">
        <f>IFERROR(__xludf.DUMMYFUNCTION("""COMPUTED_VALUE"""),1.4119E7)</f>
        <v>14119000</v>
      </c>
      <c r="G933" s="5">
        <f t="shared" si="1"/>
        <v>35</v>
      </c>
    </row>
    <row r="934">
      <c r="A934" s="4">
        <f>IFERROR(__xludf.DUMMYFUNCTION("""COMPUTED_VALUE"""),45230.66666666667)</f>
        <v>45230.66667</v>
      </c>
      <c r="B934" s="5">
        <f>IFERROR(__xludf.DUMMYFUNCTION("""COMPUTED_VALUE"""),565.0)</f>
        <v>565</v>
      </c>
      <c r="C934" s="5">
        <f>IFERROR(__xludf.DUMMYFUNCTION("""COMPUTED_VALUE"""),580.0)</f>
        <v>580</v>
      </c>
      <c r="D934" s="5">
        <f>IFERROR(__xludf.DUMMYFUNCTION("""COMPUTED_VALUE"""),560.0)</f>
        <v>560</v>
      </c>
      <c r="E934" s="5">
        <f>IFERROR(__xludf.DUMMYFUNCTION("""COMPUTED_VALUE"""),565.0)</f>
        <v>565</v>
      </c>
      <c r="F934" s="5">
        <f>IFERROR(__xludf.DUMMYFUNCTION("""COMPUTED_VALUE"""),1.43578E7)</f>
        <v>14357800</v>
      </c>
      <c r="G934" s="5">
        <f t="shared" si="1"/>
        <v>20</v>
      </c>
    </row>
    <row r="935">
      <c r="A935" s="4">
        <f>IFERROR(__xludf.DUMMYFUNCTION("""COMPUTED_VALUE"""),45231.66666666667)</f>
        <v>45231.66667</v>
      </c>
      <c r="B935" s="5">
        <f>IFERROR(__xludf.DUMMYFUNCTION("""COMPUTED_VALUE"""),580.0)</f>
        <v>580</v>
      </c>
      <c r="C935" s="5">
        <f>IFERROR(__xludf.DUMMYFUNCTION("""COMPUTED_VALUE"""),585.0)</f>
        <v>585</v>
      </c>
      <c r="D935" s="5">
        <f>IFERROR(__xludf.DUMMYFUNCTION("""COMPUTED_VALUE"""),550.0)</f>
        <v>550</v>
      </c>
      <c r="E935" s="5">
        <f>IFERROR(__xludf.DUMMYFUNCTION("""COMPUTED_VALUE"""),560.0)</f>
        <v>560</v>
      </c>
      <c r="F935" s="5">
        <f>IFERROR(__xludf.DUMMYFUNCTION("""COMPUTED_VALUE"""),2.43757E7)</f>
        <v>24375700</v>
      </c>
      <c r="G935" s="5">
        <f t="shared" si="1"/>
        <v>35</v>
      </c>
    </row>
    <row r="936">
      <c r="A936" s="4">
        <f>IFERROR(__xludf.DUMMYFUNCTION("""COMPUTED_VALUE"""),45232.66666666667)</f>
        <v>45232.66667</v>
      </c>
      <c r="B936" s="5">
        <f>IFERROR(__xludf.DUMMYFUNCTION("""COMPUTED_VALUE"""),565.0)</f>
        <v>565</v>
      </c>
      <c r="C936" s="5">
        <f>IFERROR(__xludf.DUMMYFUNCTION("""COMPUTED_VALUE"""),580.0)</f>
        <v>580</v>
      </c>
      <c r="D936" s="5">
        <f>IFERROR(__xludf.DUMMYFUNCTION("""COMPUTED_VALUE"""),545.0)</f>
        <v>545</v>
      </c>
      <c r="E936" s="5">
        <f>IFERROR(__xludf.DUMMYFUNCTION("""COMPUTED_VALUE"""),560.0)</f>
        <v>560</v>
      </c>
      <c r="F936" s="5">
        <f>IFERROR(__xludf.DUMMYFUNCTION("""COMPUTED_VALUE"""),4.432E7)</f>
        <v>44320000</v>
      </c>
      <c r="G936" s="5">
        <f t="shared" si="1"/>
        <v>35</v>
      </c>
    </row>
    <row r="937">
      <c r="A937" s="4">
        <f>IFERROR(__xludf.DUMMYFUNCTION("""COMPUTED_VALUE"""),45233.66666666667)</f>
        <v>45233.66667</v>
      </c>
      <c r="B937" s="5">
        <f>IFERROR(__xludf.DUMMYFUNCTION("""COMPUTED_VALUE"""),575.0)</f>
        <v>575</v>
      </c>
      <c r="C937" s="5">
        <f>IFERROR(__xludf.DUMMYFUNCTION("""COMPUTED_VALUE"""),620.0)</f>
        <v>620</v>
      </c>
      <c r="D937" s="5">
        <f>IFERROR(__xludf.DUMMYFUNCTION("""COMPUTED_VALUE"""),560.0)</f>
        <v>560</v>
      </c>
      <c r="E937" s="5">
        <f>IFERROR(__xludf.DUMMYFUNCTION("""COMPUTED_VALUE"""),595.0)</f>
        <v>595</v>
      </c>
      <c r="F937" s="5">
        <f>IFERROR(__xludf.DUMMYFUNCTION("""COMPUTED_VALUE"""),5.60771E7)</f>
        <v>56077100</v>
      </c>
      <c r="G937" s="5">
        <f t="shared" si="1"/>
        <v>60</v>
      </c>
    </row>
    <row r="938">
      <c r="A938" s="4">
        <f>IFERROR(__xludf.DUMMYFUNCTION("""COMPUTED_VALUE"""),45236.66666666667)</f>
        <v>45236.66667</v>
      </c>
      <c r="B938" s="5">
        <f>IFERROR(__xludf.DUMMYFUNCTION("""COMPUTED_VALUE"""),610.0)</f>
        <v>610</v>
      </c>
      <c r="C938" s="5">
        <f>IFERROR(__xludf.DUMMYFUNCTION("""COMPUTED_VALUE"""),615.0)</f>
        <v>615</v>
      </c>
      <c r="D938" s="5">
        <f>IFERROR(__xludf.DUMMYFUNCTION("""COMPUTED_VALUE"""),585.0)</f>
        <v>585</v>
      </c>
      <c r="E938" s="5">
        <f>IFERROR(__xludf.DUMMYFUNCTION("""COMPUTED_VALUE"""),585.0)</f>
        <v>585</v>
      </c>
      <c r="F938" s="5">
        <f>IFERROR(__xludf.DUMMYFUNCTION("""COMPUTED_VALUE"""),2.71493E7)</f>
        <v>27149300</v>
      </c>
      <c r="G938" s="5">
        <f t="shared" si="1"/>
        <v>30</v>
      </c>
    </row>
    <row r="939">
      <c r="A939" s="4">
        <f>IFERROR(__xludf.DUMMYFUNCTION("""COMPUTED_VALUE"""),45237.66666666667)</f>
        <v>45237.66667</v>
      </c>
      <c r="B939" s="5">
        <f>IFERROR(__xludf.DUMMYFUNCTION("""COMPUTED_VALUE"""),585.0)</f>
        <v>585</v>
      </c>
      <c r="C939" s="5">
        <f>IFERROR(__xludf.DUMMYFUNCTION("""COMPUTED_VALUE"""),590.0)</f>
        <v>590</v>
      </c>
      <c r="D939" s="5">
        <f>IFERROR(__xludf.DUMMYFUNCTION("""COMPUTED_VALUE"""),570.0)</f>
        <v>570</v>
      </c>
      <c r="E939" s="5">
        <f>IFERROR(__xludf.DUMMYFUNCTION("""COMPUTED_VALUE"""),580.0)</f>
        <v>580</v>
      </c>
      <c r="F939" s="5">
        <f>IFERROR(__xludf.DUMMYFUNCTION("""COMPUTED_VALUE"""),1.04877E7)</f>
        <v>10487700</v>
      </c>
      <c r="G939" s="5">
        <f t="shared" si="1"/>
        <v>20</v>
      </c>
    </row>
    <row r="940">
      <c r="A940" s="4">
        <f>IFERROR(__xludf.DUMMYFUNCTION("""COMPUTED_VALUE"""),45238.66666666667)</f>
        <v>45238.66667</v>
      </c>
      <c r="B940" s="5">
        <f>IFERROR(__xludf.DUMMYFUNCTION("""COMPUTED_VALUE"""),580.0)</f>
        <v>580</v>
      </c>
      <c r="C940" s="5">
        <f>IFERROR(__xludf.DUMMYFUNCTION("""COMPUTED_VALUE"""),600.0)</f>
        <v>600</v>
      </c>
      <c r="D940" s="5">
        <f>IFERROR(__xludf.DUMMYFUNCTION("""COMPUTED_VALUE"""),560.0)</f>
        <v>560</v>
      </c>
      <c r="E940" s="5">
        <f>IFERROR(__xludf.DUMMYFUNCTION("""COMPUTED_VALUE"""),585.0)</f>
        <v>585</v>
      </c>
      <c r="F940" s="5">
        <f>IFERROR(__xludf.DUMMYFUNCTION("""COMPUTED_VALUE"""),3.06238E7)</f>
        <v>30623800</v>
      </c>
      <c r="G940" s="5">
        <f t="shared" si="1"/>
        <v>40</v>
      </c>
    </row>
    <row r="941">
      <c r="A941" s="4">
        <f>IFERROR(__xludf.DUMMYFUNCTION("""COMPUTED_VALUE"""),45239.66666666667)</f>
        <v>45239.66667</v>
      </c>
      <c r="B941" s="5">
        <f>IFERROR(__xludf.DUMMYFUNCTION("""COMPUTED_VALUE"""),585.0)</f>
        <v>585</v>
      </c>
      <c r="C941" s="5">
        <f>IFERROR(__xludf.DUMMYFUNCTION("""COMPUTED_VALUE"""),600.0)</f>
        <v>600</v>
      </c>
      <c r="D941" s="5">
        <f>IFERROR(__xludf.DUMMYFUNCTION("""COMPUTED_VALUE"""),570.0)</f>
        <v>570</v>
      </c>
      <c r="E941" s="5">
        <f>IFERROR(__xludf.DUMMYFUNCTION("""COMPUTED_VALUE"""),575.0)</f>
        <v>575</v>
      </c>
      <c r="F941" s="5">
        <f>IFERROR(__xludf.DUMMYFUNCTION("""COMPUTED_VALUE"""),1.75997E7)</f>
        <v>17599700</v>
      </c>
      <c r="G941" s="5">
        <f t="shared" si="1"/>
        <v>30</v>
      </c>
    </row>
    <row r="942">
      <c r="A942" s="4">
        <f>IFERROR(__xludf.DUMMYFUNCTION("""COMPUTED_VALUE"""),45240.66666666667)</f>
        <v>45240.66667</v>
      </c>
      <c r="B942" s="5">
        <f>IFERROR(__xludf.DUMMYFUNCTION("""COMPUTED_VALUE"""),575.0)</f>
        <v>575</v>
      </c>
      <c r="C942" s="5">
        <f>IFERROR(__xludf.DUMMYFUNCTION("""COMPUTED_VALUE"""),585.0)</f>
        <v>585</v>
      </c>
      <c r="D942" s="5">
        <f>IFERROR(__xludf.DUMMYFUNCTION("""COMPUTED_VALUE"""),565.0)</f>
        <v>565</v>
      </c>
      <c r="E942" s="5">
        <f>IFERROR(__xludf.DUMMYFUNCTION("""COMPUTED_VALUE"""),570.0)</f>
        <v>570</v>
      </c>
      <c r="F942" s="5">
        <f>IFERROR(__xludf.DUMMYFUNCTION("""COMPUTED_VALUE"""),1.19677E7)</f>
        <v>11967700</v>
      </c>
      <c r="G942" s="5">
        <f t="shared" si="1"/>
        <v>20</v>
      </c>
    </row>
    <row r="943">
      <c r="A943" s="4">
        <f>IFERROR(__xludf.DUMMYFUNCTION("""COMPUTED_VALUE"""),45243.66666666667)</f>
        <v>45243.66667</v>
      </c>
      <c r="B943" s="5">
        <f>IFERROR(__xludf.DUMMYFUNCTION("""COMPUTED_VALUE"""),575.0)</f>
        <v>575</v>
      </c>
      <c r="C943" s="5">
        <f>IFERROR(__xludf.DUMMYFUNCTION("""COMPUTED_VALUE"""),580.0)</f>
        <v>580</v>
      </c>
      <c r="D943" s="5">
        <f>IFERROR(__xludf.DUMMYFUNCTION("""COMPUTED_VALUE"""),565.0)</f>
        <v>565</v>
      </c>
      <c r="E943" s="5">
        <f>IFERROR(__xludf.DUMMYFUNCTION("""COMPUTED_VALUE"""),575.0)</f>
        <v>575</v>
      </c>
      <c r="F943" s="5">
        <f>IFERROR(__xludf.DUMMYFUNCTION("""COMPUTED_VALUE"""),9120800.0)</f>
        <v>9120800</v>
      </c>
      <c r="G943" s="5">
        <f t="shared" si="1"/>
        <v>15</v>
      </c>
    </row>
    <row r="944">
      <c r="A944" s="4">
        <f>IFERROR(__xludf.DUMMYFUNCTION("""COMPUTED_VALUE"""),45244.66666666667)</f>
        <v>45244.66667</v>
      </c>
      <c r="B944" s="5">
        <f>IFERROR(__xludf.DUMMYFUNCTION("""COMPUTED_VALUE"""),575.0)</f>
        <v>575</v>
      </c>
      <c r="C944" s="5">
        <f>IFERROR(__xludf.DUMMYFUNCTION("""COMPUTED_VALUE"""),600.0)</f>
        <v>600</v>
      </c>
      <c r="D944" s="5">
        <f>IFERROR(__xludf.DUMMYFUNCTION("""COMPUTED_VALUE"""),575.0)</f>
        <v>575</v>
      </c>
      <c r="E944" s="5">
        <f>IFERROR(__xludf.DUMMYFUNCTION("""COMPUTED_VALUE"""),585.0)</f>
        <v>585</v>
      </c>
      <c r="F944" s="5">
        <f>IFERROR(__xludf.DUMMYFUNCTION("""COMPUTED_VALUE"""),2.69E7)</f>
        <v>26900000</v>
      </c>
      <c r="G944" s="5">
        <f t="shared" si="1"/>
        <v>25</v>
      </c>
    </row>
    <row r="945">
      <c r="A945" s="4">
        <f>IFERROR(__xludf.DUMMYFUNCTION("""COMPUTED_VALUE"""),45245.66666666667)</f>
        <v>45245.66667</v>
      </c>
      <c r="B945" s="5">
        <f>IFERROR(__xludf.DUMMYFUNCTION("""COMPUTED_VALUE"""),585.0)</f>
        <v>585</v>
      </c>
      <c r="C945" s="5">
        <f>IFERROR(__xludf.DUMMYFUNCTION("""COMPUTED_VALUE"""),595.0)</f>
        <v>595</v>
      </c>
      <c r="D945" s="5">
        <f>IFERROR(__xludf.DUMMYFUNCTION("""COMPUTED_VALUE"""),580.0)</f>
        <v>580</v>
      </c>
      <c r="E945" s="5">
        <f>IFERROR(__xludf.DUMMYFUNCTION("""COMPUTED_VALUE"""),585.0)</f>
        <v>585</v>
      </c>
      <c r="F945" s="5">
        <f>IFERROR(__xludf.DUMMYFUNCTION("""COMPUTED_VALUE"""),1.26758E7)</f>
        <v>12675800</v>
      </c>
      <c r="G945" s="5">
        <f t="shared" si="1"/>
        <v>15</v>
      </c>
    </row>
    <row r="946">
      <c r="A946" s="4">
        <f>IFERROR(__xludf.DUMMYFUNCTION("""COMPUTED_VALUE"""),45246.66666666667)</f>
        <v>45246.66667</v>
      </c>
      <c r="B946" s="5">
        <f>IFERROR(__xludf.DUMMYFUNCTION("""COMPUTED_VALUE"""),585.0)</f>
        <v>585</v>
      </c>
      <c r="C946" s="5">
        <f>IFERROR(__xludf.DUMMYFUNCTION("""COMPUTED_VALUE"""),625.0)</f>
        <v>625</v>
      </c>
      <c r="D946" s="5">
        <f>IFERROR(__xludf.DUMMYFUNCTION("""COMPUTED_VALUE"""),580.0)</f>
        <v>580</v>
      </c>
      <c r="E946" s="5">
        <f>IFERROR(__xludf.DUMMYFUNCTION("""COMPUTED_VALUE"""),610.0)</f>
        <v>610</v>
      </c>
      <c r="F946" s="5">
        <f>IFERROR(__xludf.DUMMYFUNCTION("""COMPUTED_VALUE"""),3.87004E7)</f>
        <v>38700400</v>
      </c>
      <c r="G946" s="5">
        <f t="shared" si="1"/>
        <v>45</v>
      </c>
    </row>
    <row r="947">
      <c r="A947" s="4">
        <f>IFERROR(__xludf.DUMMYFUNCTION("""COMPUTED_VALUE"""),45247.66666666667)</f>
        <v>45247.66667</v>
      </c>
      <c r="B947" s="5">
        <f>IFERROR(__xludf.DUMMYFUNCTION("""COMPUTED_VALUE"""),615.0)</f>
        <v>615</v>
      </c>
      <c r="C947" s="5">
        <f>IFERROR(__xludf.DUMMYFUNCTION("""COMPUTED_VALUE"""),640.0)</f>
        <v>640</v>
      </c>
      <c r="D947" s="5">
        <f>IFERROR(__xludf.DUMMYFUNCTION("""COMPUTED_VALUE"""),605.0)</f>
        <v>605</v>
      </c>
      <c r="E947" s="5">
        <f>IFERROR(__xludf.DUMMYFUNCTION("""COMPUTED_VALUE"""),605.0)</f>
        <v>605</v>
      </c>
      <c r="F947" s="5">
        <f>IFERROR(__xludf.DUMMYFUNCTION("""COMPUTED_VALUE"""),3.7816E7)</f>
        <v>37816000</v>
      </c>
      <c r="G947" s="5">
        <f t="shared" si="1"/>
        <v>35</v>
      </c>
    </row>
    <row r="948">
      <c r="A948" s="4">
        <f>IFERROR(__xludf.DUMMYFUNCTION("""COMPUTED_VALUE"""),45250.66666666667)</f>
        <v>45250.66667</v>
      </c>
      <c r="B948" s="5">
        <f>IFERROR(__xludf.DUMMYFUNCTION("""COMPUTED_VALUE"""),610.0)</f>
        <v>610</v>
      </c>
      <c r="C948" s="5">
        <f>IFERROR(__xludf.DUMMYFUNCTION("""COMPUTED_VALUE"""),625.0)</f>
        <v>625</v>
      </c>
      <c r="D948" s="5">
        <f>IFERROR(__xludf.DUMMYFUNCTION("""COMPUTED_VALUE"""),605.0)</f>
        <v>605</v>
      </c>
      <c r="E948" s="5">
        <f>IFERROR(__xludf.DUMMYFUNCTION("""COMPUTED_VALUE"""),610.0)</f>
        <v>610</v>
      </c>
      <c r="F948" s="5">
        <f>IFERROR(__xludf.DUMMYFUNCTION("""COMPUTED_VALUE"""),1.86407E7)</f>
        <v>18640700</v>
      </c>
      <c r="G948" s="5">
        <f t="shared" si="1"/>
        <v>20</v>
      </c>
    </row>
    <row r="949">
      <c r="A949" s="4">
        <f>IFERROR(__xludf.DUMMYFUNCTION("""COMPUTED_VALUE"""),45251.66666666667)</f>
        <v>45251.66667</v>
      </c>
      <c r="B949" s="5">
        <f>IFERROR(__xludf.DUMMYFUNCTION("""COMPUTED_VALUE"""),615.0)</f>
        <v>615</v>
      </c>
      <c r="C949" s="5">
        <f>IFERROR(__xludf.DUMMYFUNCTION("""COMPUTED_VALUE"""),620.0)</f>
        <v>620</v>
      </c>
      <c r="D949" s="5">
        <f>IFERROR(__xludf.DUMMYFUNCTION("""COMPUTED_VALUE"""),590.0)</f>
        <v>590</v>
      </c>
      <c r="E949" s="5">
        <f>IFERROR(__xludf.DUMMYFUNCTION("""COMPUTED_VALUE"""),600.0)</f>
        <v>600</v>
      </c>
      <c r="F949" s="5">
        <f>IFERROR(__xludf.DUMMYFUNCTION("""COMPUTED_VALUE"""),1.34932E7)</f>
        <v>13493200</v>
      </c>
      <c r="G949" s="5">
        <f t="shared" si="1"/>
        <v>30</v>
      </c>
    </row>
    <row r="950">
      <c r="A950" s="4">
        <f>IFERROR(__xludf.DUMMYFUNCTION("""COMPUTED_VALUE"""),45252.66666666667)</f>
        <v>45252.66667</v>
      </c>
      <c r="B950" s="5">
        <f>IFERROR(__xludf.DUMMYFUNCTION("""COMPUTED_VALUE"""),600.0)</f>
        <v>600</v>
      </c>
      <c r="C950" s="5">
        <f>IFERROR(__xludf.DUMMYFUNCTION("""COMPUTED_VALUE"""),600.0)</f>
        <v>600</v>
      </c>
      <c r="D950" s="5">
        <f>IFERROR(__xludf.DUMMYFUNCTION("""COMPUTED_VALUE"""),585.0)</f>
        <v>585</v>
      </c>
      <c r="E950" s="5">
        <f>IFERROR(__xludf.DUMMYFUNCTION("""COMPUTED_VALUE"""),585.0)</f>
        <v>585</v>
      </c>
      <c r="F950" s="5">
        <f>IFERROR(__xludf.DUMMYFUNCTION("""COMPUTED_VALUE"""),1.05759E7)</f>
        <v>10575900</v>
      </c>
      <c r="G950" s="5">
        <f t="shared" si="1"/>
        <v>15</v>
      </c>
    </row>
    <row r="951">
      <c r="A951" s="4">
        <f>IFERROR(__xludf.DUMMYFUNCTION("""COMPUTED_VALUE"""),45253.66666666667)</f>
        <v>45253.66667</v>
      </c>
      <c r="B951" s="5">
        <f>IFERROR(__xludf.DUMMYFUNCTION("""COMPUTED_VALUE"""),590.0)</f>
        <v>590</v>
      </c>
      <c r="C951" s="5">
        <f>IFERROR(__xludf.DUMMYFUNCTION("""COMPUTED_VALUE"""),605.0)</f>
        <v>605</v>
      </c>
      <c r="D951" s="5">
        <f>IFERROR(__xludf.DUMMYFUNCTION("""COMPUTED_VALUE"""),575.0)</f>
        <v>575</v>
      </c>
      <c r="E951" s="5">
        <f>IFERROR(__xludf.DUMMYFUNCTION("""COMPUTED_VALUE"""),575.0)</f>
        <v>575</v>
      </c>
      <c r="F951" s="5">
        <f>IFERROR(__xludf.DUMMYFUNCTION("""COMPUTED_VALUE"""),2.51787E7)</f>
        <v>25178700</v>
      </c>
      <c r="G951" s="5">
        <f t="shared" si="1"/>
        <v>30</v>
      </c>
    </row>
    <row r="952">
      <c r="A952" s="4">
        <f>IFERROR(__xludf.DUMMYFUNCTION("""COMPUTED_VALUE"""),45254.66666666667)</f>
        <v>45254.66667</v>
      </c>
      <c r="B952" s="5">
        <f>IFERROR(__xludf.DUMMYFUNCTION("""COMPUTED_VALUE"""),590.0)</f>
        <v>590</v>
      </c>
      <c r="C952" s="5">
        <f>IFERROR(__xludf.DUMMYFUNCTION("""COMPUTED_VALUE"""),590.0)</f>
        <v>590</v>
      </c>
      <c r="D952" s="5">
        <f>IFERROR(__xludf.DUMMYFUNCTION("""COMPUTED_VALUE"""),570.0)</f>
        <v>570</v>
      </c>
      <c r="E952" s="5">
        <f>IFERROR(__xludf.DUMMYFUNCTION("""COMPUTED_VALUE"""),570.0)</f>
        <v>570</v>
      </c>
      <c r="F952" s="5">
        <f>IFERROR(__xludf.DUMMYFUNCTION("""COMPUTED_VALUE"""),9766700.0)</f>
        <v>9766700</v>
      </c>
      <c r="G952" s="5">
        <f t="shared" si="1"/>
        <v>20</v>
      </c>
    </row>
    <row r="953">
      <c r="A953" s="4">
        <f>IFERROR(__xludf.DUMMYFUNCTION("""COMPUTED_VALUE"""),45257.66666666667)</f>
        <v>45257.66667</v>
      </c>
      <c r="B953" s="5">
        <f>IFERROR(__xludf.DUMMYFUNCTION("""COMPUTED_VALUE"""),595.0)</f>
        <v>595</v>
      </c>
      <c r="C953" s="5">
        <f>IFERROR(__xludf.DUMMYFUNCTION("""COMPUTED_VALUE"""),595.0)</f>
        <v>595</v>
      </c>
      <c r="D953" s="5">
        <f>IFERROR(__xludf.DUMMYFUNCTION("""COMPUTED_VALUE"""),565.0)</f>
        <v>565</v>
      </c>
      <c r="E953" s="5">
        <f>IFERROR(__xludf.DUMMYFUNCTION("""COMPUTED_VALUE"""),570.0)</f>
        <v>570</v>
      </c>
      <c r="F953" s="5">
        <f>IFERROR(__xludf.DUMMYFUNCTION("""COMPUTED_VALUE"""),2.58624E7)</f>
        <v>25862400</v>
      </c>
      <c r="G953" s="5">
        <f t="shared" si="1"/>
        <v>30</v>
      </c>
    </row>
    <row r="954">
      <c r="A954" s="4">
        <f>IFERROR(__xludf.DUMMYFUNCTION("""COMPUTED_VALUE"""),45258.66666666667)</f>
        <v>45258.66667</v>
      </c>
      <c r="B954" s="5">
        <f>IFERROR(__xludf.DUMMYFUNCTION("""COMPUTED_VALUE"""),570.0)</f>
        <v>570</v>
      </c>
      <c r="C954" s="5">
        <f>IFERROR(__xludf.DUMMYFUNCTION("""COMPUTED_VALUE"""),615.0)</f>
        <v>615</v>
      </c>
      <c r="D954" s="5">
        <f>IFERROR(__xludf.DUMMYFUNCTION("""COMPUTED_VALUE"""),570.0)</f>
        <v>570</v>
      </c>
      <c r="E954" s="5">
        <f>IFERROR(__xludf.DUMMYFUNCTION("""COMPUTED_VALUE"""),600.0)</f>
        <v>600</v>
      </c>
      <c r="F954" s="5">
        <f>IFERROR(__xludf.DUMMYFUNCTION("""COMPUTED_VALUE"""),4.73175E7)</f>
        <v>47317500</v>
      </c>
      <c r="G954" s="5">
        <f t="shared" si="1"/>
        <v>45</v>
      </c>
    </row>
    <row r="955">
      <c r="A955" s="4">
        <f>IFERROR(__xludf.DUMMYFUNCTION("""COMPUTED_VALUE"""),45259.66666666667)</f>
        <v>45259.66667</v>
      </c>
      <c r="B955" s="5">
        <f>IFERROR(__xludf.DUMMYFUNCTION("""COMPUTED_VALUE"""),605.0)</f>
        <v>605</v>
      </c>
      <c r="C955" s="5">
        <f>IFERROR(__xludf.DUMMYFUNCTION("""COMPUTED_VALUE"""),610.0)</f>
        <v>610</v>
      </c>
      <c r="D955" s="5">
        <f>IFERROR(__xludf.DUMMYFUNCTION("""COMPUTED_VALUE"""),585.0)</f>
        <v>585</v>
      </c>
      <c r="E955" s="5">
        <f>IFERROR(__xludf.DUMMYFUNCTION("""COMPUTED_VALUE"""),585.0)</f>
        <v>585</v>
      </c>
      <c r="F955" s="5">
        <f>IFERROR(__xludf.DUMMYFUNCTION("""COMPUTED_VALUE"""),1.26748E7)</f>
        <v>12674800</v>
      </c>
      <c r="G955" s="5">
        <f t="shared" si="1"/>
        <v>25</v>
      </c>
    </row>
    <row r="956">
      <c r="A956" s="4">
        <f>IFERROR(__xludf.DUMMYFUNCTION("""COMPUTED_VALUE"""),45260.66666666667)</f>
        <v>45260.66667</v>
      </c>
      <c r="B956" s="5">
        <f>IFERROR(__xludf.DUMMYFUNCTION("""COMPUTED_VALUE"""),585.0)</f>
        <v>585</v>
      </c>
      <c r="C956" s="5">
        <f>IFERROR(__xludf.DUMMYFUNCTION("""COMPUTED_VALUE"""),600.0)</f>
        <v>600</v>
      </c>
      <c r="D956" s="5">
        <f>IFERROR(__xludf.DUMMYFUNCTION("""COMPUTED_VALUE"""),555.0)</f>
        <v>555</v>
      </c>
      <c r="E956" s="5">
        <f>IFERROR(__xludf.DUMMYFUNCTION("""COMPUTED_VALUE"""),555.0)</f>
        <v>555</v>
      </c>
      <c r="F956" s="5">
        <f>IFERROR(__xludf.DUMMYFUNCTION("""COMPUTED_VALUE"""),1.375965E8)</f>
        <v>137596500</v>
      </c>
      <c r="G956" s="5">
        <f t="shared" si="1"/>
        <v>45</v>
      </c>
    </row>
    <row r="957">
      <c r="A957" s="4">
        <f>IFERROR(__xludf.DUMMYFUNCTION("""COMPUTED_VALUE"""),45261.66666666667)</f>
        <v>45261.66667</v>
      </c>
      <c r="B957" s="5">
        <f>IFERROR(__xludf.DUMMYFUNCTION("""COMPUTED_VALUE"""),565.0)</f>
        <v>565</v>
      </c>
      <c r="C957" s="5">
        <f>IFERROR(__xludf.DUMMYFUNCTION("""COMPUTED_VALUE"""),580.0)</f>
        <v>580</v>
      </c>
      <c r="D957" s="5">
        <f>IFERROR(__xludf.DUMMYFUNCTION("""COMPUTED_VALUE"""),550.0)</f>
        <v>550</v>
      </c>
      <c r="E957" s="5">
        <f>IFERROR(__xludf.DUMMYFUNCTION("""COMPUTED_VALUE"""),565.0)</f>
        <v>565</v>
      </c>
      <c r="F957" s="5">
        <f>IFERROR(__xludf.DUMMYFUNCTION("""COMPUTED_VALUE"""),5.16007E7)</f>
        <v>51600700</v>
      </c>
      <c r="G957" s="5">
        <f t="shared" si="1"/>
        <v>30</v>
      </c>
    </row>
    <row r="958">
      <c r="A958" s="4">
        <f>IFERROR(__xludf.DUMMYFUNCTION("""COMPUTED_VALUE"""),45264.66666666667)</f>
        <v>45264.66667</v>
      </c>
      <c r="B958" s="5">
        <f>IFERROR(__xludf.DUMMYFUNCTION("""COMPUTED_VALUE"""),565.0)</f>
        <v>565</v>
      </c>
      <c r="C958" s="5">
        <f>IFERROR(__xludf.DUMMYFUNCTION("""COMPUTED_VALUE"""),580.0)</f>
        <v>580</v>
      </c>
      <c r="D958" s="5">
        <f>IFERROR(__xludf.DUMMYFUNCTION("""COMPUTED_VALUE"""),555.0)</f>
        <v>555</v>
      </c>
      <c r="E958" s="5">
        <f>IFERROR(__xludf.DUMMYFUNCTION("""COMPUTED_VALUE"""),555.0)</f>
        <v>555</v>
      </c>
      <c r="F958" s="5">
        <f>IFERROR(__xludf.DUMMYFUNCTION("""COMPUTED_VALUE"""),3.38833E7)</f>
        <v>33883300</v>
      </c>
      <c r="G958" s="5">
        <f t="shared" si="1"/>
        <v>25</v>
      </c>
    </row>
    <row r="959">
      <c r="A959" s="4">
        <f>IFERROR(__xludf.DUMMYFUNCTION("""COMPUTED_VALUE"""),45265.66666666667)</f>
        <v>45265.66667</v>
      </c>
      <c r="B959" s="5">
        <f>IFERROR(__xludf.DUMMYFUNCTION("""COMPUTED_VALUE"""),560.0)</f>
        <v>560</v>
      </c>
      <c r="C959" s="5">
        <f>IFERROR(__xludf.DUMMYFUNCTION("""COMPUTED_VALUE"""),560.0)</f>
        <v>560</v>
      </c>
      <c r="D959" s="5">
        <f>IFERROR(__xludf.DUMMYFUNCTION("""COMPUTED_VALUE"""),545.0)</f>
        <v>545</v>
      </c>
      <c r="E959" s="5">
        <f>IFERROR(__xludf.DUMMYFUNCTION("""COMPUTED_VALUE"""),545.0)</f>
        <v>545</v>
      </c>
      <c r="F959" s="5">
        <f>IFERROR(__xludf.DUMMYFUNCTION("""COMPUTED_VALUE"""),2.58771E7)</f>
        <v>25877100</v>
      </c>
      <c r="G959" s="5">
        <f t="shared" si="1"/>
        <v>15</v>
      </c>
    </row>
    <row r="960">
      <c r="A960" s="4">
        <f>IFERROR(__xludf.DUMMYFUNCTION("""COMPUTED_VALUE"""),45266.66666666667)</f>
        <v>45266.66667</v>
      </c>
      <c r="B960" s="5">
        <f>IFERROR(__xludf.DUMMYFUNCTION("""COMPUTED_VALUE"""),545.0)</f>
        <v>545</v>
      </c>
      <c r="C960" s="5">
        <f>IFERROR(__xludf.DUMMYFUNCTION("""COMPUTED_VALUE"""),565.0)</f>
        <v>565</v>
      </c>
      <c r="D960" s="5">
        <f>IFERROR(__xludf.DUMMYFUNCTION("""COMPUTED_VALUE"""),545.0)</f>
        <v>545</v>
      </c>
      <c r="E960" s="5">
        <f>IFERROR(__xludf.DUMMYFUNCTION("""COMPUTED_VALUE"""),550.0)</f>
        <v>550</v>
      </c>
      <c r="F960" s="5">
        <f>IFERROR(__xludf.DUMMYFUNCTION("""COMPUTED_VALUE"""),2.24465E7)</f>
        <v>22446500</v>
      </c>
      <c r="G960" s="5">
        <f t="shared" si="1"/>
        <v>20</v>
      </c>
    </row>
    <row r="961">
      <c r="A961" s="4">
        <f>IFERROR(__xludf.DUMMYFUNCTION("""COMPUTED_VALUE"""),45267.66666666667)</f>
        <v>45267.66667</v>
      </c>
      <c r="B961" s="5">
        <f>IFERROR(__xludf.DUMMYFUNCTION("""COMPUTED_VALUE"""),550.0)</f>
        <v>550</v>
      </c>
      <c r="C961" s="5">
        <f>IFERROR(__xludf.DUMMYFUNCTION("""COMPUTED_VALUE"""),555.0)</f>
        <v>555</v>
      </c>
      <c r="D961" s="5">
        <f>IFERROR(__xludf.DUMMYFUNCTION("""COMPUTED_VALUE"""),535.0)</f>
        <v>535</v>
      </c>
      <c r="E961" s="5">
        <f>IFERROR(__xludf.DUMMYFUNCTION("""COMPUTED_VALUE"""),535.0)</f>
        <v>535</v>
      </c>
      <c r="F961" s="5">
        <f>IFERROR(__xludf.DUMMYFUNCTION("""COMPUTED_VALUE"""),1.59931E7)</f>
        <v>15993100</v>
      </c>
      <c r="G961" s="5">
        <f t="shared" si="1"/>
        <v>20</v>
      </c>
    </row>
    <row r="962">
      <c r="A962" s="4">
        <f>IFERROR(__xludf.DUMMYFUNCTION("""COMPUTED_VALUE"""),45268.66666666667)</f>
        <v>45268.66667</v>
      </c>
      <c r="B962" s="5">
        <f>IFERROR(__xludf.DUMMYFUNCTION("""COMPUTED_VALUE"""),535.0)</f>
        <v>535</v>
      </c>
      <c r="C962" s="5">
        <f>IFERROR(__xludf.DUMMYFUNCTION("""COMPUTED_VALUE"""),545.0)</f>
        <v>545</v>
      </c>
      <c r="D962" s="5">
        <f>IFERROR(__xludf.DUMMYFUNCTION("""COMPUTED_VALUE"""),525.0)</f>
        <v>525</v>
      </c>
      <c r="E962" s="5">
        <f>IFERROR(__xludf.DUMMYFUNCTION("""COMPUTED_VALUE"""),525.0)</f>
        <v>525</v>
      </c>
      <c r="F962" s="5">
        <f>IFERROR(__xludf.DUMMYFUNCTION("""COMPUTED_VALUE"""),1.78286E7)</f>
        <v>17828600</v>
      </c>
      <c r="G962" s="5">
        <f t="shared" si="1"/>
        <v>20</v>
      </c>
    </row>
    <row r="963">
      <c r="A963" s="4">
        <f>IFERROR(__xludf.DUMMYFUNCTION("""COMPUTED_VALUE"""),45271.66666666667)</f>
        <v>45271.66667</v>
      </c>
      <c r="B963" s="5">
        <f>IFERROR(__xludf.DUMMYFUNCTION("""COMPUTED_VALUE"""),520.0)</f>
        <v>520</v>
      </c>
      <c r="C963" s="5">
        <f>IFERROR(__xludf.DUMMYFUNCTION("""COMPUTED_VALUE"""),530.0)</f>
        <v>530</v>
      </c>
      <c r="D963" s="5">
        <f>IFERROR(__xludf.DUMMYFUNCTION("""COMPUTED_VALUE"""),505.0)</f>
        <v>505</v>
      </c>
      <c r="E963" s="5">
        <f>IFERROR(__xludf.DUMMYFUNCTION("""COMPUTED_VALUE"""),505.0)</f>
        <v>505</v>
      </c>
      <c r="F963" s="5">
        <f>IFERROR(__xludf.DUMMYFUNCTION("""COMPUTED_VALUE"""),3.3611E7)</f>
        <v>33611000</v>
      </c>
      <c r="G963" s="5">
        <f t="shared" si="1"/>
        <v>25</v>
      </c>
    </row>
    <row r="964">
      <c r="A964" s="4">
        <f>IFERROR(__xludf.DUMMYFUNCTION("""COMPUTED_VALUE"""),45272.66666666667)</f>
        <v>45272.66667</v>
      </c>
      <c r="B964" s="5">
        <f>IFERROR(__xludf.DUMMYFUNCTION("""COMPUTED_VALUE"""),505.0)</f>
        <v>505</v>
      </c>
      <c r="C964" s="5">
        <f>IFERROR(__xludf.DUMMYFUNCTION("""COMPUTED_VALUE"""),515.0)</f>
        <v>515</v>
      </c>
      <c r="D964" s="5">
        <f>IFERROR(__xludf.DUMMYFUNCTION("""COMPUTED_VALUE"""),500.0)</f>
        <v>500</v>
      </c>
      <c r="E964" s="5">
        <f>IFERROR(__xludf.DUMMYFUNCTION("""COMPUTED_VALUE"""),510.0)</f>
        <v>510</v>
      </c>
      <c r="F964" s="5">
        <f>IFERROR(__xludf.DUMMYFUNCTION("""COMPUTED_VALUE"""),1.16804E7)</f>
        <v>11680400</v>
      </c>
      <c r="G964" s="5">
        <f t="shared" si="1"/>
        <v>15</v>
      </c>
    </row>
    <row r="965">
      <c r="A965" s="4">
        <f>IFERROR(__xludf.DUMMYFUNCTION("""COMPUTED_VALUE"""),45273.66666666667)</f>
        <v>45273.66667</v>
      </c>
      <c r="B965" s="5">
        <f>IFERROR(__xludf.DUMMYFUNCTION("""COMPUTED_VALUE"""),515.0)</f>
        <v>515</v>
      </c>
      <c r="C965" s="5">
        <f>IFERROR(__xludf.DUMMYFUNCTION("""COMPUTED_VALUE"""),530.0)</f>
        <v>530</v>
      </c>
      <c r="D965" s="5">
        <f>IFERROR(__xludf.DUMMYFUNCTION("""COMPUTED_VALUE"""),510.0)</f>
        <v>510</v>
      </c>
      <c r="E965" s="5">
        <f>IFERROR(__xludf.DUMMYFUNCTION("""COMPUTED_VALUE"""),515.0)</f>
        <v>515</v>
      </c>
      <c r="F965" s="5">
        <f>IFERROR(__xludf.DUMMYFUNCTION("""COMPUTED_VALUE"""),2.31789E7)</f>
        <v>23178900</v>
      </c>
      <c r="G965" s="5">
        <f t="shared" si="1"/>
        <v>20</v>
      </c>
    </row>
    <row r="966">
      <c r="A966" s="4">
        <f>IFERROR(__xludf.DUMMYFUNCTION("""COMPUTED_VALUE"""),45274.66666666667)</f>
        <v>45274.66667</v>
      </c>
      <c r="B966" s="5">
        <f>IFERROR(__xludf.DUMMYFUNCTION("""COMPUTED_VALUE"""),525.0)</f>
        <v>525</v>
      </c>
      <c r="C966" s="5">
        <f>IFERROR(__xludf.DUMMYFUNCTION("""COMPUTED_VALUE"""),570.0)</f>
        <v>570</v>
      </c>
      <c r="D966" s="5">
        <f>IFERROR(__xludf.DUMMYFUNCTION("""COMPUTED_VALUE"""),505.0)</f>
        <v>505</v>
      </c>
      <c r="E966" s="5">
        <f>IFERROR(__xludf.DUMMYFUNCTION("""COMPUTED_VALUE"""),540.0)</f>
        <v>540</v>
      </c>
      <c r="F966" s="5">
        <f>IFERROR(__xludf.DUMMYFUNCTION("""COMPUTED_VALUE"""),1.174452E8)</f>
        <v>117445200</v>
      </c>
      <c r="G966" s="5">
        <f t="shared" si="1"/>
        <v>65</v>
      </c>
    </row>
    <row r="967">
      <c r="A967" s="4">
        <f>IFERROR(__xludf.DUMMYFUNCTION("""COMPUTED_VALUE"""),45275.66666666667)</f>
        <v>45275.66667</v>
      </c>
      <c r="B967" s="5">
        <f>IFERROR(__xludf.DUMMYFUNCTION("""COMPUTED_VALUE"""),540.0)</f>
        <v>540</v>
      </c>
      <c r="C967" s="5">
        <f>IFERROR(__xludf.DUMMYFUNCTION("""COMPUTED_VALUE"""),560.0)</f>
        <v>560</v>
      </c>
      <c r="D967" s="5">
        <f>IFERROR(__xludf.DUMMYFUNCTION("""COMPUTED_VALUE"""),525.0)</f>
        <v>525</v>
      </c>
      <c r="E967" s="5">
        <f>IFERROR(__xludf.DUMMYFUNCTION("""COMPUTED_VALUE"""),530.0)</f>
        <v>530</v>
      </c>
      <c r="F967" s="5">
        <f>IFERROR(__xludf.DUMMYFUNCTION("""COMPUTED_VALUE"""),4.94972E7)</f>
        <v>49497200</v>
      </c>
      <c r="G967" s="5">
        <f t="shared" si="1"/>
        <v>35</v>
      </c>
    </row>
    <row r="968">
      <c r="A968" s="4">
        <f>IFERROR(__xludf.DUMMYFUNCTION("""COMPUTED_VALUE"""),45278.66666666667)</f>
        <v>45278.66667</v>
      </c>
      <c r="B968" s="5">
        <f>IFERROR(__xludf.DUMMYFUNCTION("""COMPUTED_VALUE"""),530.0)</f>
        <v>530</v>
      </c>
      <c r="C968" s="5">
        <f>IFERROR(__xludf.DUMMYFUNCTION("""COMPUTED_VALUE"""),540.0)</f>
        <v>540</v>
      </c>
      <c r="D968" s="5">
        <f>IFERROR(__xludf.DUMMYFUNCTION("""COMPUTED_VALUE"""),505.0)</f>
        <v>505</v>
      </c>
      <c r="E968" s="5">
        <f>IFERROR(__xludf.DUMMYFUNCTION("""COMPUTED_VALUE"""),505.0)</f>
        <v>505</v>
      </c>
      <c r="F968" s="5">
        <f>IFERROR(__xludf.DUMMYFUNCTION("""COMPUTED_VALUE"""),2.91054E7)</f>
        <v>29105400</v>
      </c>
      <c r="G968" s="5">
        <f t="shared" si="1"/>
        <v>35</v>
      </c>
    </row>
    <row r="969">
      <c r="A969" s="4">
        <f>IFERROR(__xludf.DUMMYFUNCTION("""COMPUTED_VALUE"""),45279.66666666667)</f>
        <v>45279.66667</v>
      </c>
      <c r="B969" s="5">
        <f>IFERROR(__xludf.DUMMYFUNCTION("""COMPUTED_VALUE"""),505.0)</f>
        <v>505</v>
      </c>
      <c r="C969" s="5">
        <f>IFERROR(__xludf.DUMMYFUNCTION("""COMPUTED_VALUE"""),515.0)</f>
        <v>515</v>
      </c>
      <c r="D969" s="5">
        <f>IFERROR(__xludf.DUMMYFUNCTION("""COMPUTED_VALUE"""),505.0)</f>
        <v>505</v>
      </c>
      <c r="E969" s="5">
        <f>IFERROR(__xludf.DUMMYFUNCTION("""COMPUTED_VALUE"""),510.0)</f>
        <v>510</v>
      </c>
      <c r="F969" s="5">
        <f>IFERROR(__xludf.DUMMYFUNCTION("""COMPUTED_VALUE"""),1.22187E7)</f>
        <v>12218700</v>
      </c>
      <c r="G969" s="5">
        <f t="shared" si="1"/>
        <v>10</v>
      </c>
    </row>
    <row r="970">
      <c r="A970" s="4">
        <f>IFERROR(__xludf.DUMMYFUNCTION("""COMPUTED_VALUE"""),45280.66666666667)</f>
        <v>45280.66667</v>
      </c>
      <c r="B970" s="5">
        <f>IFERROR(__xludf.DUMMYFUNCTION("""COMPUTED_VALUE"""),510.0)</f>
        <v>510</v>
      </c>
      <c r="C970" s="5">
        <f>IFERROR(__xludf.DUMMYFUNCTION("""COMPUTED_VALUE"""),515.0)</f>
        <v>515</v>
      </c>
      <c r="D970" s="5">
        <f>IFERROR(__xludf.DUMMYFUNCTION("""COMPUTED_VALUE"""),500.0)</f>
        <v>500</v>
      </c>
      <c r="E970" s="5">
        <f>IFERROR(__xludf.DUMMYFUNCTION("""COMPUTED_VALUE"""),510.0)</f>
        <v>510</v>
      </c>
      <c r="F970" s="5">
        <f>IFERROR(__xludf.DUMMYFUNCTION("""COMPUTED_VALUE"""),1.36895E7)</f>
        <v>13689500</v>
      </c>
      <c r="G970" s="5">
        <f t="shared" si="1"/>
        <v>15</v>
      </c>
    </row>
    <row r="971">
      <c r="A971" s="4">
        <f>IFERROR(__xludf.DUMMYFUNCTION("""COMPUTED_VALUE"""),45281.66666666667)</f>
        <v>45281.66667</v>
      </c>
      <c r="B971" s="5">
        <f>IFERROR(__xludf.DUMMYFUNCTION("""COMPUTED_VALUE"""),510.0)</f>
        <v>510</v>
      </c>
      <c r="C971" s="5">
        <f>IFERROR(__xludf.DUMMYFUNCTION("""COMPUTED_VALUE"""),515.0)</f>
        <v>515</v>
      </c>
      <c r="D971" s="5">
        <f>IFERROR(__xludf.DUMMYFUNCTION("""COMPUTED_VALUE"""),500.0)</f>
        <v>500</v>
      </c>
      <c r="E971" s="5">
        <f>IFERROR(__xludf.DUMMYFUNCTION("""COMPUTED_VALUE"""),500.0)</f>
        <v>500</v>
      </c>
      <c r="F971" s="5">
        <f>IFERROR(__xludf.DUMMYFUNCTION("""COMPUTED_VALUE"""),2.04025E7)</f>
        <v>20402500</v>
      </c>
      <c r="G971" s="5">
        <f t="shared" si="1"/>
        <v>15</v>
      </c>
    </row>
    <row r="972">
      <c r="A972" s="4">
        <f>IFERROR(__xludf.DUMMYFUNCTION("""COMPUTED_VALUE"""),45282.66666666667)</f>
        <v>45282.66667</v>
      </c>
      <c r="B972" s="5">
        <f>IFERROR(__xludf.DUMMYFUNCTION("""COMPUTED_VALUE"""),500.0)</f>
        <v>500</v>
      </c>
      <c r="C972" s="5">
        <f>IFERROR(__xludf.DUMMYFUNCTION("""COMPUTED_VALUE"""),500.0)</f>
        <v>500</v>
      </c>
      <c r="D972" s="5">
        <f>IFERROR(__xludf.DUMMYFUNCTION("""COMPUTED_VALUE"""),456.0)</f>
        <v>456</v>
      </c>
      <c r="E972" s="5">
        <f>IFERROR(__xludf.DUMMYFUNCTION("""COMPUTED_VALUE"""),458.0)</f>
        <v>458</v>
      </c>
      <c r="F972" s="5">
        <f>IFERROR(__xludf.DUMMYFUNCTION("""COMPUTED_VALUE"""),1.002131E8)</f>
        <v>100213100</v>
      </c>
      <c r="G972" s="5">
        <f t="shared" si="1"/>
        <v>44</v>
      </c>
    </row>
    <row r="973">
      <c r="A973" s="4">
        <f>IFERROR(__xludf.DUMMYFUNCTION("""COMPUTED_VALUE"""),45287.66666666667)</f>
        <v>45287.66667</v>
      </c>
      <c r="B973" s="5">
        <f>IFERROR(__xludf.DUMMYFUNCTION("""COMPUTED_VALUE"""),458.0)</f>
        <v>458</v>
      </c>
      <c r="C973" s="5">
        <f>IFERROR(__xludf.DUMMYFUNCTION("""COMPUTED_VALUE"""),468.0)</f>
        <v>468</v>
      </c>
      <c r="D973" s="5">
        <f>IFERROR(__xludf.DUMMYFUNCTION("""COMPUTED_VALUE"""),450.0)</f>
        <v>450</v>
      </c>
      <c r="E973" s="5">
        <f>IFERROR(__xludf.DUMMYFUNCTION("""COMPUTED_VALUE"""),458.0)</f>
        <v>458</v>
      </c>
      <c r="F973" s="5">
        <f>IFERROR(__xludf.DUMMYFUNCTION("""COMPUTED_VALUE"""),1.93555E7)</f>
        <v>19355500</v>
      </c>
      <c r="G973" s="5">
        <f t="shared" si="1"/>
        <v>18</v>
      </c>
    </row>
    <row r="974">
      <c r="A974" s="4">
        <f>IFERROR(__xludf.DUMMYFUNCTION("""COMPUTED_VALUE"""),45288.66666666667)</f>
        <v>45288.66667</v>
      </c>
      <c r="B974" s="5">
        <f>IFERROR(__xludf.DUMMYFUNCTION("""COMPUTED_VALUE"""),458.0)</f>
        <v>458</v>
      </c>
      <c r="C974" s="5">
        <f>IFERROR(__xludf.DUMMYFUNCTION("""COMPUTED_VALUE"""),462.0)</f>
        <v>462</v>
      </c>
      <c r="D974" s="5">
        <f>IFERROR(__xludf.DUMMYFUNCTION("""COMPUTED_VALUE"""),446.0)</f>
        <v>446</v>
      </c>
      <c r="E974" s="5">
        <f>IFERROR(__xludf.DUMMYFUNCTION("""COMPUTED_VALUE"""),446.0)</f>
        <v>446</v>
      </c>
      <c r="F974" s="5">
        <f>IFERROR(__xludf.DUMMYFUNCTION("""COMPUTED_VALUE"""),4.87959E7)</f>
        <v>48795900</v>
      </c>
      <c r="G974" s="5">
        <f t="shared" si="1"/>
        <v>16</v>
      </c>
    </row>
    <row r="975">
      <c r="A975" s="4">
        <f>IFERROR(__xludf.DUMMYFUNCTION("""COMPUTED_VALUE"""),45289.66666666667)</f>
        <v>45289.66667</v>
      </c>
      <c r="B975" s="5">
        <f>IFERROR(__xludf.DUMMYFUNCTION("""COMPUTED_VALUE"""),418.0)</f>
        <v>418</v>
      </c>
      <c r="C975" s="5">
        <f>IFERROR(__xludf.DUMMYFUNCTION("""COMPUTED_VALUE"""),446.0)</f>
        <v>446</v>
      </c>
      <c r="D975" s="5">
        <f>IFERROR(__xludf.DUMMYFUNCTION("""COMPUTED_VALUE"""),418.0)</f>
        <v>418</v>
      </c>
      <c r="E975" s="5">
        <f>IFERROR(__xludf.DUMMYFUNCTION("""COMPUTED_VALUE"""),428.0)</f>
        <v>428</v>
      </c>
      <c r="F975" s="5">
        <f>IFERROR(__xludf.DUMMYFUNCTION("""COMPUTED_VALUE"""),3.84673E7)</f>
        <v>38467300</v>
      </c>
      <c r="G975" s="5">
        <f t="shared" si="1"/>
        <v>28</v>
      </c>
    </row>
    <row r="976">
      <c r="A976" s="4">
        <f>IFERROR(__xludf.DUMMYFUNCTION("""COMPUTED_VALUE"""),45293.66666666667)</f>
        <v>45293.66667</v>
      </c>
      <c r="B976" s="5">
        <f>IFERROR(__xludf.DUMMYFUNCTION("""COMPUTED_VALUE"""),428.0)</f>
        <v>428</v>
      </c>
      <c r="C976" s="5">
        <f>IFERROR(__xludf.DUMMYFUNCTION("""COMPUTED_VALUE"""),458.0)</f>
        <v>458</v>
      </c>
      <c r="D976" s="5">
        <f>IFERROR(__xludf.DUMMYFUNCTION("""COMPUTED_VALUE"""),426.0)</f>
        <v>426</v>
      </c>
      <c r="E976" s="5">
        <f>IFERROR(__xludf.DUMMYFUNCTION("""COMPUTED_VALUE"""),450.0)</f>
        <v>450</v>
      </c>
      <c r="F976" s="5">
        <f>IFERROR(__xludf.DUMMYFUNCTION("""COMPUTED_VALUE"""),3.28247E7)</f>
        <v>32824700</v>
      </c>
      <c r="G976" s="5">
        <f t="shared" si="1"/>
        <v>32</v>
      </c>
    </row>
    <row r="977">
      <c r="A977" s="4">
        <f>IFERROR(__xludf.DUMMYFUNCTION("""COMPUTED_VALUE"""),45294.66666666667)</f>
        <v>45294.66667</v>
      </c>
      <c r="B977" s="5">
        <f>IFERROR(__xludf.DUMMYFUNCTION("""COMPUTED_VALUE"""),452.0)</f>
        <v>452</v>
      </c>
      <c r="C977" s="5">
        <f>IFERROR(__xludf.DUMMYFUNCTION("""COMPUTED_VALUE"""),456.0)</f>
        <v>456</v>
      </c>
      <c r="D977" s="5">
        <f>IFERROR(__xludf.DUMMYFUNCTION("""COMPUTED_VALUE"""),444.0)</f>
        <v>444</v>
      </c>
      <c r="E977" s="5">
        <f>IFERROR(__xludf.DUMMYFUNCTION("""COMPUTED_VALUE"""),448.0)</f>
        <v>448</v>
      </c>
      <c r="F977" s="5">
        <f>IFERROR(__xludf.DUMMYFUNCTION("""COMPUTED_VALUE"""),1.87673E7)</f>
        <v>18767300</v>
      </c>
      <c r="G977" s="5">
        <f t="shared" si="1"/>
        <v>12</v>
      </c>
    </row>
    <row r="978">
      <c r="A978" s="4">
        <f>IFERROR(__xludf.DUMMYFUNCTION("""COMPUTED_VALUE"""),45295.66666666667)</f>
        <v>45295.66667</v>
      </c>
      <c r="B978" s="5">
        <f>IFERROR(__xludf.DUMMYFUNCTION("""COMPUTED_VALUE"""),450.0)</f>
        <v>450</v>
      </c>
      <c r="C978" s="5">
        <f>IFERROR(__xludf.DUMMYFUNCTION("""COMPUTED_VALUE"""),458.0)</f>
        <v>458</v>
      </c>
      <c r="D978" s="5">
        <f>IFERROR(__xludf.DUMMYFUNCTION("""COMPUTED_VALUE"""),446.0)</f>
        <v>446</v>
      </c>
      <c r="E978" s="5">
        <f>IFERROR(__xludf.DUMMYFUNCTION("""COMPUTED_VALUE"""),452.0)</f>
        <v>452</v>
      </c>
      <c r="F978" s="5">
        <f>IFERROR(__xludf.DUMMYFUNCTION("""COMPUTED_VALUE"""),1.56278E7)</f>
        <v>15627800</v>
      </c>
      <c r="G978" s="5">
        <f t="shared" si="1"/>
        <v>12</v>
      </c>
    </row>
    <row r="979">
      <c r="A979" s="4">
        <f>IFERROR(__xludf.DUMMYFUNCTION("""COMPUTED_VALUE"""),45296.66666666667)</f>
        <v>45296.66667</v>
      </c>
      <c r="B979" s="5">
        <f>IFERROR(__xludf.DUMMYFUNCTION("""COMPUTED_VALUE"""),454.0)</f>
        <v>454</v>
      </c>
      <c r="C979" s="5">
        <f>IFERROR(__xludf.DUMMYFUNCTION("""COMPUTED_VALUE"""),460.0)</f>
        <v>460</v>
      </c>
      <c r="D979" s="5">
        <f>IFERROR(__xludf.DUMMYFUNCTION("""COMPUTED_VALUE"""),446.0)</f>
        <v>446</v>
      </c>
      <c r="E979" s="5">
        <f>IFERROR(__xludf.DUMMYFUNCTION("""COMPUTED_VALUE"""),448.0)</f>
        <v>448</v>
      </c>
      <c r="F979" s="5">
        <f>IFERROR(__xludf.DUMMYFUNCTION("""COMPUTED_VALUE"""),1.33137E7)</f>
        <v>13313700</v>
      </c>
      <c r="G979" s="5">
        <f t="shared" si="1"/>
        <v>14</v>
      </c>
    </row>
    <row r="980">
      <c r="A980" s="4">
        <f>IFERROR(__xludf.DUMMYFUNCTION("""COMPUTED_VALUE"""),45299.66666666667)</f>
        <v>45299.66667</v>
      </c>
      <c r="B980" s="5">
        <f>IFERROR(__xludf.DUMMYFUNCTION("""COMPUTED_VALUE"""),448.0)</f>
        <v>448</v>
      </c>
      <c r="C980" s="5">
        <f>IFERROR(__xludf.DUMMYFUNCTION("""COMPUTED_VALUE"""),468.0)</f>
        <v>468</v>
      </c>
      <c r="D980" s="5">
        <f>IFERROR(__xludf.DUMMYFUNCTION("""COMPUTED_VALUE"""),446.0)</f>
        <v>446</v>
      </c>
      <c r="E980" s="5">
        <f>IFERROR(__xludf.DUMMYFUNCTION("""COMPUTED_VALUE"""),452.0)</f>
        <v>452</v>
      </c>
      <c r="F980" s="5">
        <f>IFERROR(__xludf.DUMMYFUNCTION("""COMPUTED_VALUE"""),2.5242E7)</f>
        <v>25242000</v>
      </c>
      <c r="G980" s="5">
        <f t="shared" si="1"/>
        <v>22</v>
      </c>
    </row>
    <row r="981">
      <c r="A981" s="4">
        <f>IFERROR(__xludf.DUMMYFUNCTION("""COMPUTED_VALUE"""),45300.66666666667)</f>
        <v>45300.66667</v>
      </c>
      <c r="B981" s="5">
        <f>IFERROR(__xludf.DUMMYFUNCTION("""COMPUTED_VALUE"""),454.0)</f>
        <v>454</v>
      </c>
      <c r="C981" s="5">
        <f>IFERROR(__xludf.DUMMYFUNCTION("""COMPUTED_VALUE"""),458.0)</f>
        <v>458</v>
      </c>
      <c r="D981" s="5">
        <f>IFERROR(__xludf.DUMMYFUNCTION("""COMPUTED_VALUE"""),446.0)</f>
        <v>446</v>
      </c>
      <c r="E981" s="5">
        <f>IFERROR(__xludf.DUMMYFUNCTION("""COMPUTED_VALUE"""),450.0)</f>
        <v>450</v>
      </c>
      <c r="F981" s="5">
        <f>IFERROR(__xludf.DUMMYFUNCTION("""COMPUTED_VALUE"""),1.53173E7)</f>
        <v>15317300</v>
      </c>
      <c r="G981" s="5">
        <f t="shared" si="1"/>
        <v>12</v>
      </c>
    </row>
    <row r="982">
      <c r="A982" s="4">
        <f>IFERROR(__xludf.DUMMYFUNCTION("""COMPUTED_VALUE"""),45301.66666666667)</f>
        <v>45301.66667</v>
      </c>
      <c r="B982" s="5">
        <f>IFERROR(__xludf.DUMMYFUNCTION("""COMPUTED_VALUE"""),450.0)</f>
        <v>450</v>
      </c>
      <c r="C982" s="5">
        <f>IFERROR(__xludf.DUMMYFUNCTION("""COMPUTED_VALUE"""),462.0)</f>
        <v>462</v>
      </c>
      <c r="D982" s="5">
        <f>IFERROR(__xludf.DUMMYFUNCTION("""COMPUTED_VALUE"""),446.0)</f>
        <v>446</v>
      </c>
      <c r="E982" s="5">
        <f>IFERROR(__xludf.DUMMYFUNCTION("""COMPUTED_VALUE"""),454.0)</f>
        <v>454</v>
      </c>
      <c r="F982" s="5">
        <f>IFERROR(__xludf.DUMMYFUNCTION("""COMPUTED_VALUE"""),1.13409E7)</f>
        <v>11340900</v>
      </c>
      <c r="G982" s="5">
        <f t="shared" si="1"/>
        <v>16</v>
      </c>
    </row>
    <row r="983">
      <c r="A983" s="4">
        <f>IFERROR(__xludf.DUMMYFUNCTION("""COMPUTED_VALUE"""),45302.66666666667)</f>
        <v>45302.66667</v>
      </c>
      <c r="B983" s="5">
        <f>IFERROR(__xludf.DUMMYFUNCTION("""COMPUTED_VALUE"""),458.0)</f>
        <v>458</v>
      </c>
      <c r="C983" s="5">
        <f>IFERROR(__xludf.DUMMYFUNCTION("""COMPUTED_VALUE"""),464.0)</f>
        <v>464</v>
      </c>
      <c r="D983" s="5">
        <f>IFERROR(__xludf.DUMMYFUNCTION("""COMPUTED_VALUE"""),454.0)</f>
        <v>454</v>
      </c>
      <c r="E983" s="5">
        <f>IFERROR(__xludf.DUMMYFUNCTION("""COMPUTED_VALUE"""),456.0)</f>
        <v>456</v>
      </c>
      <c r="F983" s="5">
        <f>IFERROR(__xludf.DUMMYFUNCTION("""COMPUTED_VALUE"""),1.53399E7)</f>
        <v>15339900</v>
      </c>
      <c r="G983" s="5">
        <f t="shared" si="1"/>
        <v>10</v>
      </c>
    </row>
    <row r="984">
      <c r="A984" s="4">
        <f>IFERROR(__xludf.DUMMYFUNCTION("""COMPUTED_VALUE"""),45303.66666666667)</f>
        <v>45303.66667</v>
      </c>
      <c r="B984" s="5">
        <f>IFERROR(__xludf.DUMMYFUNCTION("""COMPUTED_VALUE"""),458.0)</f>
        <v>458</v>
      </c>
      <c r="C984" s="5">
        <f>IFERROR(__xludf.DUMMYFUNCTION("""COMPUTED_VALUE"""),460.0)</f>
        <v>460</v>
      </c>
      <c r="D984" s="5">
        <f>IFERROR(__xludf.DUMMYFUNCTION("""COMPUTED_VALUE"""),450.0)</f>
        <v>450</v>
      </c>
      <c r="E984" s="5">
        <f>IFERROR(__xludf.DUMMYFUNCTION("""COMPUTED_VALUE"""),452.0)</f>
        <v>452</v>
      </c>
      <c r="F984" s="5">
        <f>IFERROR(__xludf.DUMMYFUNCTION("""COMPUTED_VALUE"""),8629100.0)</f>
        <v>8629100</v>
      </c>
      <c r="G984" s="5">
        <f t="shared" si="1"/>
        <v>10</v>
      </c>
    </row>
    <row r="985">
      <c r="A985" s="4">
        <f>IFERROR(__xludf.DUMMYFUNCTION("""COMPUTED_VALUE"""),45306.66666666667)</f>
        <v>45306.66667</v>
      </c>
      <c r="B985" s="5">
        <f>IFERROR(__xludf.DUMMYFUNCTION("""COMPUTED_VALUE"""),452.0)</f>
        <v>452</v>
      </c>
      <c r="C985" s="5">
        <f>IFERROR(__xludf.DUMMYFUNCTION("""COMPUTED_VALUE"""),454.0)</f>
        <v>454</v>
      </c>
      <c r="D985" s="5">
        <f>IFERROR(__xludf.DUMMYFUNCTION("""COMPUTED_VALUE"""),448.0)</f>
        <v>448</v>
      </c>
      <c r="E985" s="5">
        <f>IFERROR(__xludf.DUMMYFUNCTION("""COMPUTED_VALUE"""),452.0)</f>
        <v>452</v>
      </c>
      <c r="F985" s="5">
        <f>IFERROR(__xludf.DUMMYFUNCTION("""COMPUTED_VALUE"""),5378800.0)</f>
        <v>5378800</v>
      </c>
      <c r="G985" s="5">
        <f t="shared" si="1"/>
        <v>6</v>
      </c>
    </row>
    <row r="986">
      <c r="A986" s="4">
        <f>IFERROR(__xludf.DUMMYFUNCTION("""COMPUTED_VALUE"""),45307.66666666667)</f>
        <v>45307.66667</v>
      </c>
      <c r="B986" s="5">
        <f>IFERROR(__xludf.DUMMYFUNCTION("""COMPUTED_VALUE"""),452.0)</f>
        <v>452</v>
      </c>
      <c r="C986" s="5">
        <f>IFERROR(__xludf.DUMMYFUNCTION("""COMPUTED_VALUE"""),458.0)</f>
        <v>458</v>
      </c>
      <c r="D986" s="5">
        <f>IFERROR(__xludf.DUMMYFUNCTION("""COMPUTED_VALUE"""),450.0)</f>
        <v>450</v>
      </c>
      <c r="E986" s="5">
        <f>IFERROR(__xludf.DUMMYFUNCTION("""COMPUTED_VALUE"""),458.0)</f>
        <v>458</v>
      </c>
      <c r="F986" s="5">
        <f>IFERROR(__xludf.DUMMYFUNCTION("""COMPUTED_VALUE"""),3566200.0)</f>
        <v>3566200</v>
      </c>
      <c r="G986" s="5">
        <f t="shared" si="1"/>
        <v>8</v>
      </c>
    </row>
    <row r="987">
      <c r="A987" s="4">
        <f>IFERROR(__xludf.DUMMYFUNCTION("""COMPUTED_VALUE"""),45308.66666666667)</f>
        <v>45308.66667</v>
      </c>
      <c r="B987" s="5">
        <f>IFERROR(__xludf.DUMMYFUNCTION("""COMPUTED_VALUE"""),458.0)</f>
        <v>458</v>
      </c>
      <c r="C987" s="5">
        <f>IFERROR(__xludf.DUMMYFUNCTION("""COMPUTED_VALUE"""),470.0)</f>
        <v>470</v>
      </c>
      <c r="D987" s="5">
        <f>IFERROR(__xludf.DUMMYFUNCTION("""COMPUTED_VALUE"""),452.0)</f>
        <v>452</v>
      </c>
      <c r="E987" s="5">
        <f>IFERROR(__xludf.DUMMYFUNCTION("""COMPUTED_VALUE"""),454.0)</f>
        <v>454</v>
      </c>
      <c r="F987" s="5">
        <f>IFERROR(__xludf.DUMMYFUNCTION("""COMPUTED_VALUE"""),2.82647E7)</f>
        <v>28264700</v>
      </c>
      <c r="G987" s="5">
        <f t="shared" si="1"/>
        <v>18</v>
      </c>
    </row>
    <row r="988">
      <c r="A988" s="4">
        <f>IFERROR(__xludf.DUMMYFUNCTION("""COMPUTED_VALUE"""),45309.66666666667)</f>
        <v>45309.66667</v>
      </c>
      <c r="B988" s="5">
        <f>IFERROR(__xludf.DUMMYFUNCTION("""COMPUTED_VALUE"""),462.0)</f>
        <v>462</v>
      </c>
      <c r="C988" s="5">
        <f>IFERROR(__xludf.DUMMYFUNCTION("""COMPUTED_VALUE"""),462.0)</f>
        <v>462</v>
      </c>
      <c r="D988" s="5">
        <f>IFERROR(__xludf.DUMMYFUNCTION("""COMPUTED_VALUE"""),448.0)</f>
        <v>448</v>
      </c>
      <c r="E988" s="5">
        <f>IFERROR(__xludf.DUMMYFUNCTION("""COMPUTED_VALUE"""),450.0)</f>
        <v>450</v>
      </c>
      <c r="F988" s="5">
        <f>IFERROR(__xludf.DUMMYFUNCTION("""COMPUTED_VALUE"""),1.1395E7)</f>
        <v>11395000</v>
      </c>
      <c r="G988" s="5">
        <f t="shared" si="1"/>
        <v>14</v>
      </c>
    </row>
    <row r="989">
      <c r="A989" s="4">
        <f>IFERROR(__xludf.DUMMYFUNCTION("""COMPUTED_VALUE"""),45310.66666666667)</f>
        <v>45310.66667</v>
      </c>
      <c r="B989" s="5">
        <f>IFERROR(__xludf.DUMMYFUNCTION("""COMPUTED_VALUE"""),454.0)</f>
        <v>454</v>
      </c>
      <c r="C989" s="5">
        <f>IFERROR(__xludf.DUMMYFUNCTION("""COMPUTED_VALUE"""),458.0)</f>
        <v>458</v>
      </c>
      <c r="D989" s="5">
        <f>IFERROR(__xludf.DUMMYFUNCTION("""COMPUTED_VALUE"""),448.0)</f>
        <v>448</v>
      </c>
      <c r="E989" s="5">
        <f>IFERROR(__xludf.DUMMYFUNCTION("""COMPUTED_VALUE"""),450.0)</f>
        <v>450</v>
      </c>
      <c r="F989" s="5">
        <f>IFERROR(__xludf.DUMMYFUNCTION("""COMPUTED_VALUE"""),8743900.0)</f>
        <v>8743900</v>
      </c>
      <c r="G989" s="5">
        <f t="shared" si="1"/>
        <v>10</v>
      </c>
    </row>
    <row r="990">
      <c r="A990" s="4">
        <f>IFERROR(__xludf.DUMMYFUNCTION("""COMPUTED_VALUE"""),45313.66666666667)</f>
        <v>45313.66667</v>
      </c>
      <c r="B990" s="5">
        <f>IFERROR(__xludf.DUMMYFUNCTION("""COMPUTED_VALUE"""),452.0)</f>
        <v>452</v>
      </c>
      <c r="C990" s="5">
        <f>IFERROR(__xludf.DUMMYFUNCTION("""COMPUTED_VALUE"""),452.0)</f>
        <v>452</v>
      </c>
      <c r="D990" s="5">
        <f>IFERROR(__xludf.DUMMYFUNCTION("""COMPUTED_VALUE"""),438.0)</f>
        <v>438</v>
      </c>
      <c r="E990" s="5">
        <f>IFERROR(__xludf.DUMMYFUNCTION("""COMPUTED_VALUE"""),440.0)</f>
        <v>440</v>
      </c>
      <c r="F990" s="5">
        <f>IFERROR(__xludf.DUMMYFUNCTION("""COMPUTED_VALUE"""),1.48405E7)</f>
        <v>14840500</v>
      </c>
      <c r="G990" s="5">
        <f t="shared" si="1"/>
        <v>14</v>
      </c>
    </row>
    <row r="991">
      <c r="A991" s="4">
        <f>IFERROR(__xludf.DUMMYFUNCTION("""COMPUTED_VALUE"""),45314.66666666667)</f>
        <v>45314.66667</v>
      </c>
      <c r="B991" s="5">
        <f>IFERROR(__xludf.DUMMYFUNCTION("""COMPUTED_VALUE"""),440.0)</f>
        <v>440</v>
      </c>
      <c r="C991" s="5">
        <f>IFERROR(__xludf.DUMMYFUNCTION("""COMPUTED_VALUE"""),442.0)</f>
        <v>442</v>
      </c>
      <c r="D991" s="5">
        <f>IFERROR(__xludf.DUMMYFUNCTION("""COMPUTED_VALUE"""),430.0)</f>
        <v>430</v>
      </c>
      <c r="E991" s="5">
        <f>IFERROR(__xludf.DUMMYFUNCTION("""COMPUTED_VALUE"""),432.0)</f>
        <v>432</v>
      </c>
      <c r="F991" s="5">
        <f>IFERROR(__xludf.DUMMYFUNCTION("""COMPUTED_VALUE"""),9825100.0)</f>
        <v>9825100</v>
      </c>
      <c r="G991" s="5">
        <f t="shared" si="1"/>
        <v>12</v>
      </c>
    </row>
    <row r="992">
      <c r="A992" s="4">
        <f>IFERROR(__xludf.DUMMYFUNCTION("""COMPUTED_VALUE"""),45315.66666666667)</f>
        <v>45315.66667</v>
      </c>
      <c r="B992" s="5">
        <f>IFERROR(__xludf.DUMMYFUNCTION("""COMPUTED_VALUE"""),432.0)</f>
        <v>432</v>
      </c>
      <c r="C992" s="5">
        <f>IFERROR(__xludf.DUMMYFUNCTION("""COMPUTED_VALUE"""),434.0)</f>
        <v>434</v>
      </c>
      <c r="D992" s="5">
        <f>IFERROR(__xludf.DUMMYFUNCTION("""COMPUTED_VALUE"""),420.0)</f>
        <v>420</v>
      </c>
      <c r="E992" s="5">
        <f>IFERROR(__xludf.DUMMYFUNCTION("""COMPUTED_VALUE"""),420.0)</f>
        <v>420</v>
      </c>
      <c r="F992" s="5">
        <f>IFERROR(__xludf.DUMMYFUNCTION("""COMPUTED_VALUE"""),1.23506E7)</f>
        <v>12350600</v>
      </c>
      <c r="G992" s="5">
        <f t="shared" si="1"/>
        <v>14</v>
      </c>
    </row>
    <row r="993">
      <c r="A993" s="4">
        <f>IFERROR(__xludf.DUMMYFUNCTION("""COMPUTED_VALUE"""),45316.66666666667)</f>
        <v>45316.66667</v>
      </c>
      <c r="B993" s="5">
        <f>IFERROR(__xludf.DUMMYFUNCTION("""COMPUTED_VALUE"""),420.0)</f>
        <v>420</v>
      </c>
      <c r="C993" s="5">
        <f>IFERROR(__xludf.DUMMYFUNCTION("""COMPUTED_VALUE"""),428.0)</f>
        <v>428</v>
      </c>
      <c r="D993" s="5">
        <f>IFERROR(__xludf.DUMMYFUNCTION("""COMPUTED_VALUE"""),414.0)</f>
        <v>414</v>
      </c>
      <c r="E993" s="5">
        <f>IFERROR(__xludf.DUMMYFUNCTION("""COMPUTED_VALUE"""),416.0)</f>
        <v>416</v>
      </c>
      <c r="F993" s="5">
        <f>IFERROR(__xludf.DUMMYFUNCTION("""COMPUTED_VALUE"""),1.36898E7)</f>
        <v>13689800</v>
      </c>
      <c r="G993" s="5">
        <f t="shared" si="1"/>
        <v>14</v>
      </c>
    </row>
    <row r="994">
      <c r="A994" s="4">
        <f>IFERROR(__xludf.DUMMYFUNCTION("""COMPUTED_VALUE"""),45317.66666666667)</f>
        <v>45317.66667</v>
      </c>
      <c r="B994" s="5">
        <f>IFERROR(__xludf.DUMMYFUNCTION("""COMPUTED_VALUE"""),418.0)</f>
        <v>418</v>
      </c>
      <c r="C994" s="5">
        <f>IFERROR(__xludf.DUMMYFUNCTION("""COMPUTED_VALUE"""),424.0)</f>
        <v>424</v>
      </c>
      <c r="D994" s="5">
        <f>IFERROR(__xludf.DUMMYFUNCTION("""COMPUTED_VALUE"""),408.0)</f>
        <v>408</v>
      </c>
      <c r="E994" s="5">
        <f>IFERROR(__xludf.DUMMYFUNCTION("""COMPUTED_VALUE"""),410.0)</f>
        <v>410</v>
      </c>
      <c r="F994" s="5">
        <f>IFERROR(__xludf.DUMMYFUNCTION("""COMPUTED_VALUE"""),9896400.0)</f>
        <v>9896400</v>
      </c>
      <c r="G994" s="5">
        <f t="shared" si="1"/>
        <v>16</v>
      </c>
    </row>
    <row r="995">
      <c r="A995" s="4">
        <f>IFERROR(__xludf.DUMMYFUNCTION("""COMPUTED_VALUE"""),45320.66666666667)</f>
        <v>45320.66667</v>
      </c>
      <c r="B995" s="5">
        <f>IFERROR(__xludf.DUMMYFUNCTION("""COMPUTED_VALUE"""),410.0)</f>
        <v>410</v>
      </c>
      <c r="C995" s="5">
        <f>IFERROR(__xludf.DUMMYFUNCTION("""COMPUTED_VALUE"""),426.0)</f>
        <v>426</v>
      </c>
      <c r="D995" s="5">
        <f>IFERROR(__xludf.DUMMYFUNCTION("""COMPUTED_VALUE"""),410.0)</f>
        <v>410</v>
      </c>
      <c r="E995" s="5">
        <f>IFERROR(__xludf.DUMMYFUNCTION("""COMPUTED_VALUE"""),416.0)</f>
        <v>416</v>
      </c>
      <c r="F995" s="5">
        <f>IFERROR(__xludf.DUMMYFUNCTION("""COMPUTED_VALUE"""),1.02805E7)</f>
        <v>10280500</v>
      </c>
      <c r="G995" s="5">
        <f t="shared" si="1"/>
        <v>16</v>
      </c>
    </row>
    <row r="996">
      <c r="A996" s="4">
        <f>IFERROR(__xludf.DUMMYFUNCTION("""COMPUTED_VALUE"""),45321.66666666667)</f>
        <v>45321.66667</v>
      </c>
      <c r="B996" s="5">
        <f>IFERROR(__xludf.DUMMYFUNCTION("""COMPUTED_VALUE"""),418.0)</f>
        <v>418</v>
      </c>
      <c r="C996" s="5">
        <f>IFERROR(__xludf.DUMMYFUNCTION("""COMPUTED_VALUE"""),420.0)</f>
        <v>420</v>
      </c>
      <c r="D996" s="5">
        <f>IFERROR(__xludf.DUMMYFUNCTION("""COMPUTED_VALUE"""),406.0)</f>
        <v>406</v>
      </c>
      <c r="E996" s="5">
        <f>IFERROR(__xludf.DUMMYFUNCTION("""COMPUTED_VALUE"""),414.0)</f>
        <v>414</v>
      </c>
      <c r="F996" s="5">
        <f>IFERROR(__xludf.DUMMYFUNCTION("""COMPUTED_VALUE"""),1.04527E7)</f>
        <v>10452700</v>
      </c>
      <c r="G996" s="5">
        <f t="shared" si="1"/>
        <v>14</v>
      </c>
    </row>
    <row r="997">
      <c r="A997" s="4">
        <f>IFERROR(__xludf.DUMMYFUNCTION("""COMPUTED_VALUE"""),45322.66666666667)</f>
        <v>45322.66667</v>
      </c>
      <c r="B997" s="5">
        <f>IFERROR(__xludf.DUMMYFUNCTION("""COMPUTED_VALUE"""),418.0)</f>
        <v>418</v>
      </c>
      <c r="C997" s="5">
        <f>IFERROR(__xludf.DUMMYFUNCTION("""COMPUTED_VALUE"""),420.0)</f>
        <v>420</v>
      </c>
      <c r="D997" s="5">
        <f>IFERROR(__xludf.DUMMYFUNCTION("""COMPUTED_VALUE"""),412.0)</f>
        <v>412</v>
      </c>
      <c r="E997" s="5">
        <f>IFERROR(__xludf.DUMMYFUNCTION("""COMPUTED_VALUE"""),412.0)</f>
        <v>412</v>
      </c>
      <c r="F997" s="5">
        <f>IFERROR(__xludf.DUMMYFUNCTION("""COMPUTED_VALUE"""),4210000.0)</f>
        <v>4210000</v>
      </c>
      <c r="G997" s="5">
        <f t="shared" si="1"/>
        <v>8</v>
      </c>
    </row>
    <row r="998">
      <c r="A998" s="4">
        <f>IFERROR(__xludf.DUMMYFUNCTION("""COMPUTED_VALUE"""),45323.66666666667)</f>
        <v>45323.66667</v>
      </c>
      <c r="B998" s="5">
        <f>IFERROR(__xludf.DUMMYFUNCTION("""COMPUTED_VALUE"""),414.0)</f>
        <v>414</v>
      </c>
      <c r="C998" s="5">
        <f>IFERROR(__xludf.DUMMYFUNCTION("""COMPUTED_VALUE"""),416.0)</f>
        <v>416</v>
      </c>
      <c r="D998" s="5">
        <f>IFERROR(__xludf.DUMMYFUNCTION("""COMPUTED_VALUE"""),404.0)</f>
        <v>404</v>
      </c>
      <c r="E998" s="5">
        <f>IFERROR(__xludf.DUMMYFUNCTION("""COMPUTED_VALUE"""),404.0)</f>
        <v>404</v>
      </c>
      <c r="F998" s="5">
        <f>IFERROR(__xludf.DUMMYFUNCTION("""COMPUTED_VALUE"""),1.19418E7)</f>
        <v>11941800</v>
      </c>
      <c r="G998" s="5">
        <f t="shared" si="1"/>
        <v>12</v>
      </c>
    </row>
    <row r="999">
      <c r="A999" s="4">
        <f>IFERROR(__xludf.DUMMYFUNCTION("""COMPUTED_VALUE"""),45324.66666666667)</f>
        <v>45324.66667</v>
      </c>
      <c r="B999" s="5">
        <f>IFERROR(__xludf.DUMMYFUNCTION("""COMPUTED_VALUE"""),404.0)</f>
        <v>404</v>
      </c>
      <c r="C999" s="5">
        <f>IFERROR(__xludf.DUMMYFUNCTION("""COMPUTED_VALUE"""),408.0)</f>
        <v>408</v>
      </c>
      <c r="D999" s="5">
        <f>IFERROR(__xludf.DUMMYFUNCTION("""COMPUTED_VALUE"""),402.0)</f>
        <v>402</v>
      </c>
      <c r="E999" s="5">
        <f>IFERROR(__xludf.DUMMYFUNCTION("""COMPUTED_VALUE"""),404.0)</f>
        <v>404</v>
      </c>
      <c r="F999" s="5">
        <f>IFERROR(__xludf.DUMMYFUNCTION("""COMPUTED_VALUE"""),6274700.0)</f>
        <v>6274700</v>
      </c>
      <c r="G999" s="5">
        <f t="shared" si="1"/>
        <v>6</v>
      </c>
    </row>
    <row r="1000">
      <c r="A1000" s="4">
        <f>IFERROR(__xludf.DUMMYFUNCTION("""COMPUTED_VALUE"""),45327.66666666667)</f>
        <v>45327.66667</v>
      </c>
      <c r="B1000" s="5">
        <f>IFERROR(__xludf.DUMMYFUNCTION("""COMPUTED_VALUE"""),404.0)</f>
        <v>404</v>
      </c>
      <c r="C1000" s="5">
        <f>IFERROR(__xludf.DUMMYFUNCTION("""COMPUTED_VALUE"""),452.0)</f>
        <v>452</v>
      </c>
      <c r="D1000" s="5">
        <f>IFERROR(__xludf.DUMMYFUNCTION("""COMPUTED_VALUE"""),394.0)</f>
        <v>394</v>
      </c>
      <c r="E1000" s="5">
        <f>IFERROR(__xludf.DUMMYFUNCTION("""COMPUTED_VALUE"""),410.0)</f>
        <v>410</v>
      </c>
      <c r="F1000" s="5">
        <f>IFERROR(__xludf.DUMMYFUNCTION("""COMPUTED_VALUE"""),6.76619E7)</f>
        <v>67661900</v>
      </c>
      <c r="G1000" s="5">
        <f t="shared" si="1"/>
        <v>58</v>
      </c>
    </row>
    <row r="1001">
      <c r="A1001" s="4">
        <f>IFERROR(__xludf.DUMMYFUNCTION("""COMPUTED_VALUE"""),45328.66666666667)</f>
        <v>45328.66667</v>
      </c>
      <c r="B1001" s="5">
        <f>IFERROR(__xludf.DUMMYFUNCTION("""COMPUTED_VALUE"""),412.0)</f>
        <v>412</v>
      </c>
      <c r="C1001" s="5">
        <f>IFERROR(__xludf.DUMMYFUNCTION("""COMPUTED_VALUE"""),430.0)</f>
        <v>430</v>
      </c>
      <c r="D1001" s="5">
        <f>IFERROR(__xludf.DUMMYFUNCTION("""COMPUTED_VALUE"""),412.0)</f>
        <v>412</v>
      </c>
      <c r="E1001" s="5">
        <f>IFERROR(__xludf.DUMMYFUNCTION("""COMPUTED_VALUE"""),420.0)</f>
        <v>420</v>
      </c>
      <c r="F1001" s="5">
        <f>IFERROR(__xludf.DUMMYFUNCTION("""COMPUTED_VALUE"""),2.0385E7)</f>
        <v>20385000</v>
      </c>
      <c r="G1001" s="5">
        <f t="shared" si="1"/>
        <v>20</v>
      </c>
    </row>
    <row r="1002">
      <c r="A1002" s="4">
        <f>IFERROR(__xludf.DUMMYFUNCTION("""COMPUTED_VALUE"""),45329.66666666667)</f>
        <v>45329.66667</v>
      </c>
      <c r="B1002" s="5">
        <f>IFERROR(__xludf.DUMMYFUNCTION("""COMPUTED_VALUE"""),422.0)</f>
        <v>422</v>
      </c>
      <c r="C1002" s="5">
        <f>IFERROR(__xludf.DUMMYFUNCTION("""COMPUTED_VALUE"""),426.0)</f>
        <v>426</v>
      </c>
      <c r="D1002" s="5">
        <f>IFERROR(__xludf.DUMMYFUNCTION("""COMPUTED_VALUE"""),410.0)</f>
        <v>410</v>
      </c>
      <c r="E1002" s="5">
        <f>IFERROR(__xludf.DUMMYFUNCTION("""COMPUTED_VALUE"""),410.0)</f>
        <v>410</v>
      </c>
      <c r="F1002" s="5">
        <f>IFERROR(__xludf.DUMMYFUNCTION("""COMPUTED_VALUE"""),1.20169E7)</f>
        <v>12016900</v>
      </c>
      <c r="G1002" s="5">
        <f t="shared" si="1"/>
        <v>16</v>
      </c>
    </row>
    <row r="1003">
      <c r="A1003" s="4">
        <f>IFERROR(__xludf.DUMMYFUNCTION("""COMPUTED_VALUE"""),45334.66666666667)</f>
        <v>45334.66667</v>
      </c>
      <c r="B1003" s="5">
        <f>IFERROR(__xludf.DUMMYFUNCTION("""COMPUTED_VALUE"""),410.0)</f>
        <v>410</v>
      </c>
      <c r="C1003" s="5">
        <f>IFERROR(__xludf.DUMMYFUNCTION("""COMPUTED_VALUE"""),432.0)</f>
        <v>432</v>
      </c>
      <c r="D1003" s="5">
        <f>IFERROR(__xludf.DUMMYFUNCTION("""COMPUTED_VALUE"""),410.0)</f>
        <v>410</v>
      </c>
      <c r="E1003" s="5">
        <f>IFERROR(__xludf.DUMMYFUNCTION("""COMPUTED_VALUE"""),422.0)</f>
        <v>422</v>
      </c>
      <c r="F1003" s="5">
        <f>IFERROR(__xludf.DUMMYFUNCTION("""COMPUTED_VALUE"""),3.27958E7)</f>
        <v>32795800</v>
      </c>
      <c r="G1003" s="5">
        <f t="shared" si="1"/>
        <v>22</v>
      </c>
    </row>
    <row r="1004">
      <c r="A1004" s="4">
        <f>IFERROR(__xludf.DUMMYFUNCTION("""COMPUTED_VALUE"""),45335.66666666667)</f>
        <v>45335.66667</v>
      </c>
      <c r="B1004" s="5">
        <f>IFERROR(__xludf.DUMMYFUNCTION("""COMPUTED_VALUE"""),424.0)</f>
        <v>424</v>
      </c>
      <c r="C1004" s="5">
        <f>IFERROR(__xludf.DUMMYFUNCTION("""COMPUTED_VALUE"""),452.0)</f>
        <v>452</v>
      </c>
      <c r="D1004" s="5">
        <f>IFERROR(__xludf.DUMMYFUNCTION("""COMPUTED_VALUE"""),420.0)</f>
        <v>420</v>
      </c>
      <c r="E1004" s="5">
        <f>IFERROR(__xludf.DUMMYFUNCTION("""COMPUTED_VALUE"""),450.0)</f>
        <v>450</v>
      </c>
      <c r="F1004" s="5">
        <f>IFERROR(__xludf.DUMMYFUNCTION("""COMPUTED_VALUE"""),4.37964E7)</f>
        <v>43796400</v>
      </c>
      <c r="G1004" s="5">
        <f t="shared" si="1"/>
        <v>32</v>
      </c>
    </row>
    <row r="1005">
      <c r="A1005" s="4">
        <f>IFERROR(__xludf.DUMMYFUNCTION("""COMPUTED_VALUE"""),45337.66666666667)</f>
        <v>45337.66667</v>
      </c>
      <c r="B1005" s="5">
        <f>IFERROR(__xludf.DUMMYFUNCTION("""COMPUTED_VALUE"""),460.0)</f>
        <v>460</v>
      </c>
      <c r="C1005" s="5">
        <f>IFERROR(__xludf.DUMMYFUNCTION("""COMPUTED_VALUE"""),560.0)</f>
        <v>560</v>
      </c>
      <c r="D1005" s="5">
        <f>IFERROR(__xludf.DUMMYFUNCTION("""COMPUTED_VALUE"""),460.0)</f>
        <v>460</v>
      </c>
      <c r="E1005" s="5">
        <f>IFERROR(__xludf.DUMMYFUNCTION("""COMPUTED_VALUE"""),560.0)</f>
        <v>560</v>
      </c>
      <c r="F1005" s="5">
        <f>IFERROR(__xludf.DUMMYFUNCTION("""COMPUTED_VALUE"""),3.135894E8)</f>
        <v>313589400</v>
      </c>
      <c r="G1005" s="5">
        <f t="shared" si="1"/>
        <v>110</v>
      </c>
    </row>
    <row r="1006">
      <c r="A1006" s="4">
        <f>IFERROR(__xludf.DUMMYFUNCTION("""COMPUTED_VALUE"""),45338.66666666667)</f>
        <v>45338.66667</v>
      </c>
      <c r="B1006" s="5">
        <f>IFERROR(__xludf.DUMMYFUNCTION("""COMPUTED_VALUE"""),620.0)</f>
        <v>620</v>
      </c>
      <c r="C1006" s="5">
        <f>IFERROR(__xludf.DUMMYFUNCTION("""COMPUTED_VALUE"""),625.0)</f>
        <v>625</v>
      </c>
      <c r="D1006" s="5">
        <f>IFERROR(__xludf.DUMMYFUNCTION("""COMPUTED_VALUE"""),520.0)</f>
        <v>520</v>
      </c>
      <c r="E1006" s="5">
        <f>IFERROR(__xludf.DUMMYFUNCTION("""COMPUTED_VALUE"""),560.0)</f>
        <v>560</v>
      </c>
      <c r="F1006" s="5">
        <f>IFERROR(__xludf.DUMMYFUNCTION("""COMPUTED_VALUE"""),2.366737E8)</f>
        <v>236673700</v>
      </c>
      <c r="G1006" s="5">
        <f t="shared" si="1"/>
        <v>105</v>
      </c>
    </row>
    <row r="1007">
      <c r="A1007" s="4">
        <f>IFERROR(__xludf.DUMMYFUNCTION("""COMPUTED_VALUE"""),45341.66666666667)</f>
        <v>45341.66667</v>
      </c>
      <c r="B1007" s="5">
        <f>IFERROR(__xludf.DUMMYFUNCTION("""COMPUTED_VALUE"""),560.0)</f>
        <v>560</v>
      </c>
      <c r="C1007" s="5">
        <f>IFERROR(__xludf.DUMMYFUNCTION("""COMPUTED_VALUE"""),575.0)</f>
        <v>575</v>
      </c>
      <c r="D1007" s="5">
        <f>IFERROR(__xludf.DUMMYFUNCTION("""COMPUTED_VALUE"""),510.0)</f>
        <v>510</v>
      </c>
      <c r="E1007" s="5">
        <f>IFERROR(__xludf.DUMMYFUNCTION("""COMPUTED_VALUE"""),515.0)</f>
        <v>515</v>
      </c>
      <c r="F1007" s="5">
        <f>IFERROR(__xludf.DUMMYFUNCTION("""COMPUTED_VALUE"""),7.91839E7)</f>
        <v>79183900</v>
      </c>
      <c r="G1007" s="5">
        <f t="shared" si="1"/>
        <v>65</v>
      </c>
    </row>
    <row r="1008">
      <c r="A1008" s="4">
        <f>IFERROR(__xludf.DUMMYFUNCTION("""COMPUTED_VALUE"""),45342.66666666667)</f>
        <v>45342.66667</v>
      </c>
      <c r="B1008" s="5">
        <f>IFERROR(__xludf.DUMMYFUNCTION("""COMPUTED_VALUE"""),515.0)</f>
        <v>515</v>
      </c>
      <c r="C1008" s="5">
        <f>IFERROR(__xludf.DUMMYFUNCTION("""COMPUTED_VALUE"""),545.0)</f>
        <v>545</v>
      </c>
      <c r="D1008" s="5">
        <f>IFERROR(__xludf.DUMMYFUNCTION("""COMPUTED_VALUE"""),498.0)</f>
        <v>498</v>
      </c>
      <c r="E1008" s="5">
        <f>IFERROR(__xludf.DUMMYFUNCTION("""COMPUTED_VALUE"""),530.0)</f>
        <v>530</v>
      </c>
      <c r="F1008" s="5">
        <f>IFERROR(__xludf.DUMMYFUNCTION("""COMPUTED_VALUE"""),8.289E7)</f>
        <v>82890000</v>
      </c>
      <c r="G1008" s="5">
        <f t="shared" si="1"/>
        <v>47</v>
      </c>
    </row>
    <row r="1009">
      <c r="A1009" s="4">
        <f>IFERROR(__xludf.DUMMYFUNCTION("""COMPUTED_VALUE"""),45343.66666666667)</f>
        <v>45343.66667</v>
      </c>
      <c r="B1009" s="5">
        <f>IFERROR(__xludf.DUMMYFUNCTION("""COMPUTED_VALUE"""),530.0)</f>
        <v>530</v>
      </c>
      <c r="C1009" s="5">
        <f>IFERROR(__xludf.DUMMYFUNCTION("""COMPUTED_VALUE"""),535.0)</f>
        <v>535</v>
      </c>
      <c r="D1009" s="5">
        <f>IFERROR(__xludf.DUMMYFUNCTION("""COMPUTED_VALUE"""),505.0)</f>
        <v>505</v>
      </c>
      <c r="E1009" s="5">
        <f>IFERROR(__xludf.DUMMYFUNCTION("""COMPUTED_VALUE"""),505.0)</f>
        <v>505</v>
      </c>
      <c r="F1009" s="5">
        <f>IFERROR(__xludf.DUMMYFUNCTION("""COMPUTED_VALUE"""),2.67677E7)</f>
        <v>26767700</v>
      </c>
      <c r="G1009" s="5">
        <f t="shared" si="1"/>
        <v>30</v>
      </c>
    </row>
    <row r="1010">
      <c r="A1010" s="4">
        <f>IFERROR(__xludf.DUMMYFUNCTION("""COMPUTED_VALUE"""),45344.66666666667)</f>
        <v>45344.66667</v>
      </c>
      <c r="B1010" s="5">
        <f>IFERROR(__xludf.DUMMYFUNCTION("""COMPUTED_VALUE"""),515.0)</f>
        <v>515</v>
      </c>
      <c r="C1010" s="5">
        <f>IFERROR(__xludf.DUMMYFUNCTION("""COMPUTED_VALUE"""),530.0)</f>
        <v>530</v>
      </c>
      <c r="D1010" s="5">
        <f>IFERROR(__xludf.DUMMYFUNCTION("""COMPUTED_VALUE"""),500.0)</f>
        <v>500</v>
      </c>
      <c r="E1010" s="5">
        <f>IFERROR(__xludf.DUMMYFUNCTION("""COMPUTED_VALUE"""),515.0)</f>
        <v>515</v>
      </c>
      <c r="F1010" s="5">
        <f>IFERROR(__xludf.DUMMYFUNCTION("""COMPUTED_VALUE"""),3.05182E7)</f>
        <v>30518200</v>
      </c>
      <c r="G1010" s="5">
        <f t="shared" si="1"/>
        <v>30</v>
      </c>
    </row>
    <row r="1011">
      <c r="A1011" s="4">
        <f>IFERROR(__xludf.DUMMYFUNCTION("""COMPUTED_VALUE"""),45345.66666666667)</f>
        <v>45345.66667</v>
      </c>
      <c r="B1011" s="5">
        <f>IFERROR(__xludf.DUMMYFUNCTION("""COMPUTED_VALUE"""),515.0)</f>
        <v>515</v>
      </c>
      <c r="C1011" s="5">
        <f>IFERROR(__xludf.DUMMYFUNCTION("""COMPUTED_VALUE"""),525.0)</f>
        <v>525</v>
      </c>
      <c r="D1011" s="5">
        <f>IFERROR(__xludf.DUMMYFUNCTION("""COMPUTED_VALUE"""),500.0)</f>
        <v>500</v>
      </c>
      <c r="E1011" s="5">
        <f>IFERROR(__xludf.DUMMYFUNCTION("""COMPUTED_VALUE"""),505.0)</f>
        <v>505</v>
      </c>
      <c r="F1011" s="5">
        <f>IFERROR(__xludf.DUMMYFUNCTION("""COMPUTED_VALUE"""),1.90676E7)</f>
        <v>19067600</v>
      </c>
      <c r="G1011" s="5">
        <f t="shared" si="1"/>
        <v>25</v>
      </c>
    </row>
    <row r="1012">
      <c r="A1012" s="4">
        <f>IFERROR(__xludf.DUMMYFUNCTION("""COMPUTED_VALUE"""),45348.66666666667)</f>
        <v>45348.66667</v>
      </c>
      <c r="B1012" s="5">
        <f>IFERROR(__xludf.DUMMYFUNCTION("""COMPUTED_VALUE"""),505.0)</f>
        <v>505</v>
      </c>
      <c r="C1012" s="5">
        <f>IFERROR(__xludf.DUMMYFUNCTION("""COMPUTED_VALUE"""),530.0)</f>
        <v>530</v>
      </c>
      <c r="D1012" s="5">
        <f>IFERROR(__xludf.DUMMYFUNCTION("""COMPUTED_VALUE"""),500.0)</f>
        <v>500</v>
      </c>
      <c r="E1012" s="5">
        <f>IFERROR(__xludf.DUMMYFUNCTION("""COMPUTED_VALUE"""),500.0)</f>
        <v>500</v>
      </c>
      <c r="F1012" s="5">
        <f>IFERROR(__xludf.DUMMYFUNCTION("""COMPUTED_VALUE"""),2.93108E7)</f>
        <v>29310800</v>
      </c>
      <c r="G1012" s="5">
        <f t="shared" si="1"/>
        <v>30</v>
      </c>
    </row>
    <row r="1013">
      <c r="A1013" s="4">
        <f>IFERROR(__xludf.DUMMYFUNCTION("""COMPUTED_VALUE"""),45349.66666666667)</f>
        <v>45349.66667</v>
      </c>
      <c r="B1013" s="5">
        <f>IFERROR(__xludf.DUMMYFUNCTION("""COMPUTED_VALUE"""),505.0)</f>
        <v>505</v>
      </c>
      <c r="C1013" s="5">
        <f>IFERROR(__xludf.DUMMYFUNCTION("""COMPUTED_VALUE"""),510.0)</f>
        <v>510</v>
      </c>
      <c r="D1013" s="5">
        <f>IFERROR(__xludf.DUMMYFUNCTION("""COMPUTED_VALUE"""),480.0)</f>
        <v>480</v>
      </c>
      <c r="E1013" s="5">
        <f>IFERROR(__xludf.DUMMYFUNCTION("""COMPUTED_VALUE"""),490.0)</f>
        <v>490</v>
      </c>
      <c r="F1013" s="5">
        <f>IFERROR(__xludf.DUMMYFUNCTION("""COMPUTED_VALUE"""),2.42871E7)</f>
        <v>24287100</v>
      </c>
      <c r="G1013" s="5">
        <f t="shared" si="1"/>
        <v>30</v>
      </c>
    </row>
    <row r="1014">
      <c r="A1014" s="4">
        <f>IFERROR(__xludf.DUMMYFUNCTION("""COMPUTED_VALUE"""),45350.66666666667)</f>
        <v>45350.66667</v>
      </c>
      <c r="B1014" s="5">
        <f>IFERROR(__xludf.DUMMYFUNCTION("""COMPUTED_VALUE"""),490.0)</f>
        <v>490</v>
      </c>
      <c r="C1014" s="5">
        <f>IFERROR(__xludf.DUMMYFUNCTION("""COMPUTED_VALUE"""),500.0)</f>
        <v>500</v>
      </c>
      <c r="D1014" s="5">
        <f>IFERROR(__xludf.DUMMYFUNCTION("""COMPUTED_VALUE"""),484.0)</f>
        <v>484</v>
      </c>
      <c r="E1014" s="5">
        <f>IFERROR(__xludf.DUMMYFUNCTION("""COMPUTED_VALUE"""),486.0)</f>
        <v>486</v>
      </c>
      <c r="F1014" s="5">
        <f>IFERROR(__xludf.DUMMYFUNCTION("""COMPUTED_VALUE"""),1.37533E7)</f>
        <v>13753300</v>
      </c>
      <c r="G1014" s="5">
        <f t="shared" si="1"/>
        <v>16</v>
      </c>
    </row>
    <row r="1015">
      <c r="A1015" s="4">
        <f>IFERROR(__xludf.DUMMYFUNCTION("""COMPUTED_VALUE"""),45351.66666666667)</f>
        <v>45351.66667</v>
      </c>
      <c r="B1015" s="5">
        <f>IFERROR(__xludf.DUMMYFUNCTION("""COMPUTED_VALUE"""),490.0)</f>
        <v>490</v>
      </c>
      <c r="C1015" s="5">
        <f>IFERROR(__xludf.DUMMYFUNCTION("""COMPUTED_VALUE"""),515.0)</f>
        <v>515</v>
      </c>
      <c r="D1015" s="5">
        <f>IFERROR(__xludf.DUMMYFUNCTION("""COMPUTED_VALUE"""),490.0)</f>
        <v>490</v>
      </c>
      <c r="E1015" s="5">
        <f>IFERROR(__xludf.DUMMYFUNCTION("""COMPUTED_VALUE"""),496.0)</f>
        <v>496</v>
      </c>
      <c r="F1015" s="5">
        <f>IFERROR(__xludf.DUMMYFUNCTION("""COMPUTED_VALUE"""),3.48563E7)</f>
        <v>34856300</v>
      </c>
      <c r="G1015" s="5">
        <f t="shared" si="1"/>
        <v>29</v>
      </c>
    </row>
    <row r="1016">
      <c r="A1016" s="4">
        <f>IFERROR(__xludf.DUMMYFUNCTION("""COMPUTED_VALUE"""),45352.66666666667)</f>
        <v>45352.66667</v>
      </c>
      <c r="B1016" s="5">
        <f>IFERROR(__xludf.DUMMYFUNCTION("""COMPUTED_VALUE"""),498.0)</f>
        <v>498</v>
      </c>
      <c r="C1016" s="5">
        <f>IFERROR(__xludf.DUMMYFUNCTION("""COMPUTED_VALUE"""),500.0)</f>
        <v>500</v>
      </c>
      <c r="D1016" s="5">
        <f>IFERROR(__xludf.DUMMYFUNCTION("""COMPUTED_VALUE"""),474.0)</f>
        <v>474</v>
      </c>
      <c r="E1016" s="5">
        <f>IFERROR(__xludf.DUMMYFUNCTION("""COMPUTED_VALUE"""),478.0)</f>
        <v>478</v>
      </c>
      <c r="F1016" s="5">
        <f>IFERROR(__xludf.DUMMYFUNCTION("""COMPUTED_VALUE"""),2.89883E7)</f>
        <v>28988300</v>
      </c>
      <c r="G1016" s="5">
        <f t="shared" si="1"/>
        <v>26</v>
      </c>
    </row>
    <row r="1017">
      <c r="A1017" s="4">
        <f>IFERROR(__xludf.DUMMYFUNCTION("""COMPUTED_VALUE"""),45355.66666666667)</f>
        <v>45355.66667</v>
      </c>
      <c r="B1017" s="5">
        <f>IFERROR(__xludf.DUMMYFUNCTION("""COMPUTED_VALUE"""),478.0)</f>
        <v>478</v>
      </c>
      <c r="C1017" s="5">
        <f>IFERROR(__xludf.DUMMYFUNCTION("""COMPUTED_VALUE"""),480.0)</f>
        <v>480</v>
      </c>
      <c r="D1017" s="5">
        <f>IFERROR(__xludf.DUMMYFUNCTION("""COMPUTED_VALUE"""),460.0)</f>
        <v>460</v>
      </c>
      <c r="E1017" s="5">
        <f>IFERROR(__xludf.DUMMYFUNCTION("""COMPUTED_VALUE"""),462.0)</f>
        <v>462</v>
      </c>
      <c r="F1017" s="5">
        <f>IFERROR(__xludf.DUMMYFUNCTION("""COMPUTED_VALUE"""),2.08743E7)</f>
        <v>20874300</v>
      </c>
      <c r="G1017" s="5">
        <f t="shared" si="1"/>
        <v>20</v>
      </c>
    </row>
    <row r="1018">
      <c r="A1018" s="4">
        <f>IFERROR(__xludf.DUMMYFUNCTION("""COMPUTED_VALUE"""),45356.66666666667)</f>
        <v>45356.66667</v>
      </c>
      <c r="B1018" s="5">
        <f>IFERROR(__xludf.DUMMYFUNCTION("""COMPUTED_VALUE"""),482.0)</f>
        <v>482</v>
      </c>
      <c r="C1018" s="5">
        <f>IFERROR(__xludf.DUMMYFUNCTION("""COMPUTED_VALUE"""),545.0)</f>
        <v>545</v>
      </c>
      <c r="D1018" s="5">
        <f>IFERROR(__xludf.DUMMYFUNCTION("""COMPUTED_VALUE"""),472.0)</f>
        <v>472</v>
      </c>
      <c r="E1018" s="5">
        <f>IFERROR(__xludf.DUMMYFUNCTION("""COMPUTED_VALUE"""),510.0)</f>
        <v>510</v>
      </c>
      <c r="F1018" s="5">
        <f>IFERROR(__xludf.DUMMYFUNCTION("""COMPUTED_VALUE"""),1.717178E8)</f>
        <v>171717800</v>
      </c>
      <c r="G1018" s="5">
        <f t="shared" si="1"/>
        <v>83</v>
      </c>
    </row>
    <row r="1019">
      <c r="A1019" s="4">
        <f>IFERROR(__xludf.DUMMYFUNCTION("""COMPUTED_VALUE"""),45357.66666666667)</f>
        <v>45357.66667</v>
      </c>
      <c r="B1019" s="5">
        <f>IFERROR(__xludf.DUMMYFUNCTION("""COMPUTED_VALUE"""),515.0)</f>
        <v>515</v>
      </c>
      <c r="C1019" s="5">
        <f>IFERROR(__xludf.DUMMYFUNCTION("""COMPUTED_VALUE"""),520.0)</f>
        <v>520</v>
      </c>
      <c r="D1019" s="5">
        <f>IFERROR(__xludf.DUMMYFUNCTION("""COMPUTED_VALUE"""),494.0)</f>
        <v>494</v>
      </c>
      <c r="E1019" s="5">
        <f>IFERROR(__xludf.DUMMYFUNCTION("""COMPUTED_VALUE"""),500.0)</f>
        <v>500</v>
      </c>
      <c r="F1019" s="5">
        <f>IFERROR(__xludf.DUMMYFUNCTION("""COMPUTED_VALUE"""),4.93446E7)</f>
        <v>49344600</v>
      </c>
      <c r="G1019" s="5">
        <f t="shared" si="1"/>
        <v>26</v>
      </c>
    </row>
    <row r="1020">
      <c r="A1020" s="4">
        <f>IFERROR(__xludf.DUMMYFUNCTION("""COMPUTED_VALUE"""),45358.66666666667)</f>
        <v>45358.66667</v>
      </c>
      <c r="B1020" s="5">
        <f>IFERROR(__xludf.DUMMYFUNCTION("""COMPUTED_VALUE"""),505.0)</f>
        <v>505</v>
      </c>
      <c r="C1020" s="5">
        <f>IFERROR(__xludf.DUMMYFUNCTION("""COMPUTED_VALUE"""),510.0)</f>
        <v>510</v>
      </c>
      <c r="D1020" s="5">
        <f>IFERROR(__xludf.DUMMYFUNCTION("""COMPUTED_VALUE"""),496.0)</f>
        <v>496</v>
      </c>
      <c r="E1020" s="5">
        <f>IFERROR(__xludf.DUMMYFUNCTION("""COMPUTED_VALUE"""),498.0)</f>
        <v>498</v>
      </c>
      <c r="F1020" s="5">
        <f>IFERROR(__xludf.DUMMYFUNCTION("""COMPUTED_VALUE"""),1.55872E7)</f>
        <v>15587200</v>
      </c>
      <c r="G1020" s="5">
        <f t="shared" si="1"/>
        <v>14</v>
      </c>
    </row>
    <row r="1021">
      <c r="A1021" s="4">
        <f>IFERROR(__xludf.DUMMYFUNCTION("""COMPUTED_VALUE"""),45359.66666666667)</f>
        <v>45359.66667</v>
      </c>
      <c r="B1021" s="5">
        <f>IFERROR(__xludf.DUMMYFUNCTION("""COMPUTED_VALUE"""),510.0)</f>
        <v>510</v>
      </c>
      <c r="C1021" s="5">
        <f>IFERROR(__xludf.DUMMYFUNCTION("""COMPUTED_VALUE"""),535.0)</f>
        <v>535</v>
      </c>
      <c r="D1021" s="5">
        <f>IFERROR(__xludf.DUMMYFUNCTION("""COMPUTED_VALUE"""),500.0)</f>
        <v>500</v>
      </c>
      <c r="E1021" s="5">
        <f>IFERROR(__xludf.DUMMYFUNCTION("""COMPUTED_VALUE"""),505.0)</f>
        <v>505</v>
      </c>
      <c r="F1021" s="5">
        <f>IFERROR(__xludf.DUMMYFUNCTION("""COMPUTED_VALUE"""),5.95467E7)</f>
        <v>59546700</v>
      </c>
      <c r="G1021" s="5">
        <f t="shared" si="1"/>
        <v>37</v>
      </c>
    </row>
    <row r="1022">
      <c r="A1022" s="4">
        <f>IFERROR(__xludf.DUMMYFUNCTION("""COMPUTED_VALUE"""),45364.66666666667)</f>
        <v>45364.66667</v>
      </c>
      <c r="B1022" s="5">
        <f>IFERROR(__xludf.DUMMYFUNCTION("""COMPUTED_VALUE"""),505.0)</f>
        <v>505</v>
      </c>
      <c r="C1022" s="5">
        <f>IFERROR(__xludf.DUMMYFUNCTION("""COMPUTED_VALUE"""),510.0)</f>
        <v>510</v>
      </c>
      <c r="D1022" s="5">
        <f>IFERROR(__xludf.DUMMYFUNCTION("""COMPUTED_VALUE"""),494.0)</f>
        <v>494</v>
      </c>
      <c r="E1022" s="5">
        <f>IFERROR(__xludf.DUMMYFUNCTION("""COMPUTED_VALUE"""),496.0)</f>
        <v>496</v>
      </c>
      <c r="F1022" s="5">
        <f>IFERROR(__xludf.DUMMYFUNCTION("""COMPUTED_VALUE"""),2.40846E7)</f>
        <v>24084600</v>
      </c>
      <c r="G1022" s="5">
        <f t="shared" si="1"/>
        <v>16</v>
      </c>
    </row>
    <row r="1023">
      <c r="A1023" s="4">
        <f>IFERROR(__xludf.DUMMYFUNCTION("""COMPUTED_VALUE"""),45365.66666666667)</f>
        <v>45365.66667</v>
      </c>
      <c r="B1023" s="5">
        <f>IFERROR(__xludf.DUMMYFUNCTION("""COMPUTED_VALUE"""),498.0)</f>
        <v>498</v>
      </c>
      <c r="C1023" s="5">
        <f>IFERROR(__xludf.DUMMYFUNCTION("""COMPUTED_VALUE"""),505.0)</f>
        <v>505</v>
      </c>
      <c r="D1023" s="5">
        <f>IFERROR(__xludf.DUMMYFUNCTION("""COMPUTED_VALUE"""),488.0)</f>
        <v>488</v>
      </c>
      <c r="E1023" s="5">
        <f>IFERROR(__xludf.DUMMYFUNCTION("""COMPUTED_VALUE"""),494.0)</f>
        <v>494</v>
      </c>
      <c r="F1023" s="5">
        <f>IFERROR(__xludf.DUMMYFUNCTION("""COMPUTED_VALUE"""),2.13779E7)</f>
        <v>21377900</v>
      </c>
      <c r="G1023" s="5">
        <f t="shared" si="1"/>
        <v>17</v>
      </c>
    </row>
    <row r="1024">
      <c r="A1024" s="4">
        <f>IFERROR(__xludf.DUMMYFUNCTION("""COMPUTED_VALUE"""),45366.66666666667)</f>
        <v>45366.66667</v>
      </c>
      <c r="B1024" s="5">
        <f>IFERROR(__xludf.DUMMYFUNCTION("""COMPUTED_VALUE"""),492.0)</f>
        <v>492</v>
      </c>
      <c r="C1024" s="5">
        <f>IFERROR(__xludf.DUMMYFUNCTION("""COMPUTED_VALUE"""),496.0)</f>
        <v>496</v>
      </c>
      <c r="D1024" s="5">
        <f>IFERROR(__xludf.DUMMYFUNCTION("""COMPUTED_VALUE"""),482.0)</f>
        <v>482</v>
      </c>
      <c r="E1024" s="5">
        <f>IFERROR(__xludf.DUMMYFUNCTION("""COMPUTED_VALUE"""),490.0)</f>
        <v>490</v>
      </c>
      <c r="F1024" s="5">
        <f>IFERROR(__xludf.DUMMYFUNCTION("""COMPUTED_VALUE"""),4.08989E7)</f>
        <v>40898900</v>
      </c>
      <c r="G1024" s="5">
        <f t="shared" si="1"/>
        <v>14</v>
      </c>
    </row>
    <row r="1025">
      <c r="A1025" s="4">
        <f>IFERROR(__xludf.DUMMYFUNCTION("""COMPUTED_VALUE"""),45369.66666666667)</f>
        <v>45369.66667</v>
      </c>
      <c r="B1025" s="5">
        <f>IFERROR(__xludf.DUMMYFUNCTION("""COMPUTED_VALUE"""),492.0)</f>
        <v>492</v>
      </c>
      <c r="C1025" s="5">
        <f>IFERROR(__xludf.DUMMYFUNCTION("""COMPUTED_VALUE"""),520.0)</f>
        <v>520</v>
      </c>
      <c r="D1025" s="5">
        <f>IFERROR(__xludf.DUMMYFUNCTION("""COMPUTED_VALUE"""),492.0)</f>
        <v>492</v>
      </c>
      <c r="E1025" s="5">
        <f>IFERROR(__xludf.DUMMYFUNCTION("""COMPUTED_VALUE"""),510.0)</f>
        <v>510</v>
      </c>
      <c r="F1025" s="5">
        <f>IFERROR(__xludf.DUMMYFUNCTION("""COMPUTED_VALUE"""),4.15265E7)</f>
        <v>41526500</v>
      </c>
      <c r="G1025" s="5">
        <f t="shared" si="1"/>
        <v>30</v>
      </c>
    </row>
    <row r="1026">
      <c r="A1026" s="4">
        <f>IFERROR(__xludf.DUMMYFUNCTION("""COMPUTED_VALUE"""),45370.66666666667)</f>
        <v>45370.66667</v>
      </c>
      <c r="B1026" s="5">
        <f>IFERROR(__xludf.DUMMYFUNCTION("""COMPUTED_VALUE"""),510.0)</f>
        <v>510</v>
      </c>
      <c r="C1026" s="5">
        <f>IFERROR(__xludf.DUMMYFUNCTION("""COMPUTED_VALUE"""),570.0)</f>
        <v>570</v>
      </c>
      <c r="D1026" s="5">
        <f>IFERROR(__xludf.DUMMYFUNCTION("""COMPUTED_VALUE"""),498.0)</f>
        <v>498</v>
      </c>
      <c r="E1026" s="5">
        <f>IFERROR(__xludf.DUMMYFUNCTION("""COMPUTED_VALUE"""),555.0)</f>
        <v>555</v>
      </c>
      <c r="F1026" s="5">
        <f>IFERROR(__xludf.DUMMYFUNCTION("""COMPUTED_VALUE"""),1.342338E8)</f>
        <v>134233800</v>
      </c>
      <c r="G1026" s="5">
        <f t="shared" si="1"/>
        <v>72</v>
      </c>
    </row>
    <row r="1027">
      <c r="A1027" s="4">
        <f>IFERROR(__xludf.DUMMYFUNCTION("""COMPUTED_VALUE"""),45371.66666666667)</f>
        <v>45371.66667</v>
      </c>
      <c r="B1027" s="5">
        <f>IFERROR(__xludf.DUMMYFUNCTION("""COMPUTED_VALUE"""),565.0)</f>
        <v>565</v>
      </c>
      <c r="C1027" s="5">
        <f>IFERROR(__xludf.DUMMYFUNCTION("""COMPUTED_VALUE"""),575.0)</f>
        <v>575</v>
      </c>
      <c r="D1027" s="5">
        <f>IFERROR(__xludf.DUMMYFUNCTION("""COMPUTED_VALUE"""),525.0)</f>
        <v>525</v>
      </c>
      <c r="E1027" s="5">
        <f>IFERROR(__xludf.DUMMYFUNCTION("""COMPUTED_VALUE"""),530.0)</f>
        <v>530</v>
      </c>
      <c r="F1027" s="5">
        <f>IFERROR(__xludf.DUMMYFUNCTION("""COMPUTED_VALUE"""),1.190987E8)</f>
        <v>119098700</v>
      </c>
      <c r="G1027" s="5">
        <f t="shared" si="1"/>
        <v>50</v>
      </c>
    </row>
    <row r="1028">
      <c r="A1028" s="4">
        <f>IFERROR(__xludf.DUMMYFUNCTION("""COMPUTED_VALUE"""),45372.66666666667)</f>
        <v>45372.66667</v>
      </c>
      <c r="B1028" s="5">
        <f>IFERROR(__xludf.DUMMYFUNCTION("""COMPUTED_VALUE"""),540.0)</f>
        <v>540</v>
      </c>
      <c r="C1028" s="5">
        <f>IFERROR(__xludf.DUMMYFUNCTION("""COMPUTED_VALUE"""),545.0)</f>
        <v>545</v>
      </c>
      <c r="D1028" s="5">
        <f>IFERROR(__xludf.DUMMYFUNCTION("""COMPUTED_VALUE"""),530.0)</f>
        <v>530</v>
      </c>
      <c r="E1028" s="5">
        <f>IFERROR(__xludf.DUMMYFUNCTION("""COMPUTED_VALUE"""),540.0)</f>
        <v>540</v>
      </c>
      <c r="F1028" s="5">
        <f>IFERROR(__xludf.DUMMYFUNCTION("""COMPUTED_VALUE"""),2.96303E7)</f>
        <v>29630300</v>
      </c>
      <c r="G1028" s="5">
        <f t="shared" si="1"/>
        <v>15</v>
      </c>
    </row>
    <row r="1029">
      <c r="A1029" s="4">
        <f>IFERROR(__xludf.DUMMYFUNCTION("""COMPUTED_VALUE"""),45373.66666666667)</f>
        <v>45373.66667</v>
      </c>
      <c r="B1029" s="5">
        <f>IFERROR(__xludf.DUMMYFUNCTION("""COMPUTED_VALUE"""),540.0)</f>
        <v>540</v>
      </c>
      <c r="C1029" s="5">
        <f>IFERROR(__xludf.DUMMYFUNCTION("""COMPUTED_VALUE"""),545.0)</f>
        <v>545</v>
      </c>
      <c r="D1029" s="5">
        <f>IFERROR(__xludf.DUMMYFUNCTION("""COMPUTED_VALUE"""),520.0)</f>
        <v>520</v>
      </c>
      <c r="E1029" s="5">
        <f>IFERROR(__xludf.DUMMYFUNCTION("""COMPUTED_VALUE"""),525.0)</f>
        <v>525</v>
      </c>
      <c r="F1029" s="5">
        <f>IFERROR(__xludf.DUMMYFUNCTION("""COMPUTED_VALUE"""),2.55148E7)</f>
        <v>25514800</v>
      </c>
      <c r="G1029" s="5">
        <f t="shared" si="1"/>
        <v>25</v>
      </c>
    </row>
    <row r="1030">
      <c r="A1030" s="4">
        <f>IFERROR(__xludf.DUMMYFUNCTION("""COMPUTED_VALUE"""),45376.66666666667)</f>
        <v>45376.66667</v>
      </c>
      <c r="B1030" s="5">
        <f>IFERROR(__xludf.DUMMYFUNCTION("""COMPUTED_VALUE"""),535.0)</f>
        <v>535</v>
      </c>
      <c r="C1030" s="5">
        <f>IFERROR(__xludf.DUMMYFUNCTION("""COMPUTED_VALUE"""),535.0)</f>
        <v>535</v>
      </c>
      <c r="D1030" s="5">
        <f>IFERROR(__xludf.DUMMYFUNCTION("""COMPUTED_VALUE"""),505.0)</f>
        <v>505</v>
      </c>
      <c r="E1030" s="5">
        <f>IFERROR(__xludf.DUMMYFUNCTION("""COMPUTED_VALUE"""),515.0)</f>
        <v>515</v>
      </c>
      <c r="F1030" s="5">
        <f>IFERROR(__xludf.DUMMYFUNCTION("""COMPUTED_VALUE"""),2.52069E7)</f>
        <v>25206900</v>
      </c>
      <c r="G1030" s="5">
        <f t="shared" si="1"/>
        <v>30</v>
      </c>
    </row>
    <row r="1031">
      <c r="A1031" s="4">
        <f>IFERROR(__xludf.DUMMYFUNCTION("""COMPUTED_VALUE"""),45377.66666666667)</f>
        <v>45377.66667</v>
      </c>
      <c r="B1031" s="5">
        <f>IFERROR(__xludf.DUMMYFUNCTION("""COMPUTED_VALUE"""),520.0)</f>
        <v>520</v>
      </c>
      <c r="C1031" s="5">
        <f>IFERROR(__xludf.DUMMYFUNCTION("""COMPUTED_VALUE"""),520.0)</f>
        <v>520</v>
      </c>
      <c r="D1031" s="5">
        <f>IFERROR(__xludf.DUMMYFUNCTION("""COMPUTED_VALUE"""),500.0)</f>
        <v>500</v>
      </c>
      <c r="E1031" s="5">
        <f>IFERROR(__xludf.DUMMYFUNCTION("""COMPUTED_VALUE"""),505.0)</f>
        <v>505</v>
      </c>
      <c r="F1031" s="5">
        <f>IFERROR(__xludf.DUMMYFUNCTION("""COMPUTED_VALUE"""),1.82224E7)</f>
        <v>18222400</v>
      </c>
      <c r="G1031" s="5">
        <f t="shared" si="1"/>
        <v>20</v>
      </c>
    </row>
    <row r="1032">
      <c r="A1032" s="4">
        <f>IFERROR(__xludf.DUMMYFUNCTION("""COMPUTED_VALUE"""),45378.66666666667)</f>
        <v>45378.66667</v>
      </c>
      <c r="B1032" s="5">
        <f>IFERROR(__xludf.DUMMYFUNCTION("""COMPUTED_VALUE"""),505.0)</f>
        <v>505</v>
      </c>
      <c r="C1032" s="5">
        <f>IFERROR(__xludf.DUMMYFUNCTION("""COMPUTED_VALUE"""),520.0)</f>
        <v>520</v>
      </c>
      <c r="D1032" s="5">
        <f>IFERROR(__xludf.DUMMYFUNCTION("""COMPUTED_VALUE"""),496.0)</f>
        <v>496</v>
      </c>
      <c r="E1032" s="5">
        <f>IFERROR(__xludf.DUMMYFUNCTION("""COMPUTED_VALUE"""),500.0)</f>
        <v>500</v>
      </c>
      <c r="F1032" s="5">
        <f>IFERROR(__xludf.DUMMYFUNCTION("""COMPUTED_VALUE"""),3.04808E7)</f>
        <v>30480800</v>
      </c>
      <c r="G1032" s="5">
        <f t="shared" si="1"/>
        <v>24</v>
      </c>
    </row>
    <row r="1033">
      <c r="A1033" s="4">
        <f>IFERROR(__xludf.DUMMYFUNCTION("""COMPUTED_VALUE"""),45379.66666666667)</f>
        <v>45379.66667</v>
      </c>
      <c r="B1033" s="5">
        <f>IFERROR(__xludf.DUMMYFUNCTION("""COMPUTED_VALUE"""),505.0)</f>
        <v>505</v>
      </c>
      <c r="C1033" s="5">
        <f>IFERROR(__xludf.DUMMYFUNCTION("""COMPUTED_VALUE"""),505.0)</f>
        <v>505</v>
      </c>
      <c r="D1033" s="5">
        <f>IFERROR(__xludf.DUMMYFUNCTION("""COMPUTED_VALUE"""),482.0)</f>
        <v>482</v>
      </c>
      <c r="E1033" s="5">
        <f>IFERROR(__xludf.DUMMYFUNCTION("""COMPUTED_VALUE"""),482.0)</f>
        <v>482</v>
      </c>
      <c r="F1033" s="5">
        <f>IFERROR(__xludf.DUMMYFUNCTION("""COMPUTED_VALUE"""),3.37669E7)</f>
        <v>33766900</v>
      </c>
      <c r="G1033" s="5">
        <f t="shared" si="1"/>
        <v>23</v>
      </c>
    </row>
    <row r="1034">
      <c r="A1034" s="4">
        <f>IFERROR(__xludf.DUMMYFUNCTION("""COMPUTED_VALUE"""),45383.66666666667)</f>
        <v>45383.66667</v>
      </c>
      <c r="B1034" s="5">
        <f>IFERROR(__xludf.DUMMYFUNCTION("""COMPUTED_VALUE"""),482.0)</f>
        <v>482</v>
      </c>
      <c r="C1034" s="5">
        <f>IFERROR(__xludf.DUMMYFUNCTION("""COMPUTED_VALUE"""),486.0)</f>
        <v>486</v>
      </c>
      <c r="D1034" s="5">
        <f>IFERROR(__xludf.DUMMYFUNCTION("""COMPUTED_VALUE"""),454.0)</f>
        <v>454</v>
      </c>
      <c r="E1034" s="5">
        <f>IFERROR(__xludf.DUMMYFUNCTION("""COMPUTED_VALUE"""),462.0)</f>
        <v>462</v>
      </c>
      <c r="F1034" s="5">
        <f>IFERROR(__xludf.DUMMYFUNCTION("""COMPUTED_VALUE"""),4.15666E7)</f>
        <v>41566600</v>
      </c>
      <c r="G1034" s="5">
        <f t="shared" si="1"/>
        <v>32</v>
      </c>
    </row>
    <row r="1035">
      <c r="A1035" s="4">
        <f>IFERROR(__xludf.DUMMYFUNCTION("""COMPUTED_VALUE"""),45384.66666666667)</f>
        <v>45384.66667</v>
      </c>
      <c r="B1035" s="5">
        <f>IFERROR(__xludf.DUMMYFUNCTION("""COMPUTED_VALUE"""),462.0)</f>
        <v>462</v>
      </c>
      <c r="C1035" s="5">
        <f>IFERROR(__xludf.DUMMYFUNCTION("""COMPUTED_VALUE"""),466.0)</f>
        <v>466</v>
      </c>
      <c r="D1035" s="5">
        <f>IFERROR(__xludf.DUMMYFUNCTION("""COMPUTED_VALUE"""),456.0)</f>
        <v>456</v>
      </c>
      <c r="E1035" s="5">
        <f>IFERROR(__xludf.DUMMYFUNCTION("""COMPUTED_VALUE"""),460.0)</f>
        <v>460</v>
      </c>
      <c r="F1035" s="5">
        <f>IFERROR(__xludf.DUMMYFUNCTION("""COMPUTED_VALUE"""),1.75559E7)</f>
        <v>17555900</v>
      </c>
      <c r="G1035" s="5">
        <f t="shared" si="1"/>
        <v>10</v>
      </c>
    </row>
    <row r="1036">
      <c r="A1036" s="4">
        <f>IFERROR(__xludf.DUMMYFUNCTION("""COMPUTED_VALUE"""),45385.66666666667)</f>
        <v>45385.66667</v>
      </c>
      <c r="B1036" s="5">
        <f>IFERROR(__xludf.DUMMYFUNCTION("""COMPUTED_VALUE"""),460.0)</f>
        <v>460</v>
      </c>
      <c r="C1036" s="5">
        <f>IFERROR(__xludf.DUMMYFUNCTION("""COMPUTED_VALUE"""),460.0)</f>
        <v>460</v>
      </c>
      <c r="D1036" s="5">
        <f>IFERROR(__xludf.DUMMYFUNCTION("""COMPUTED_VALUE"""),446.0)</f>
        <v>446</v>
      </c>
      <c r="E1036" s="5">
        <f>IFERROR(__xludf.DUMMYFUNCTION("""COMPUTED_VALUE"""),446.0)</f>
        <v>446</v>
      </c>
      <c r="F1036" s="5">
        <f>IFERROR(__xludf.DUMMYFUNCTION("""COMPUTED_VALUE"""),2.56206E7)</f>
        <v>25620600</v>
      </c>
      <c r="G1036" s="5">
        <f t="shared" si="1"/>
        <v>14</v>
      </c>
    </row>
    <row r="1037">
      <c r="A1037" s="4">
        <f>IFERROR(__xludf.DUMMYFUNCTION("""COMPUTED_VALUE"""),45386.66666666667)</f>
        <v>45386.66667</v>
      </c>
      <c r="B1037" s="5">
        <f>IFERROR(__xludf.DUMMYFUNCTION("""COMPUTED_VALUE"""),446.0)</f>
        <v>446</v>
      </c>
      <c r="C1037" s="5">
        <f>IFERROR(__xludf.DUMMYFUNCTION("""COMPUTED_VALUE"""),464.0)</f>
        <v>464</v>
      </c>
      <c r="D1037" s="5">
        <f>IFERROR(__xludf.DUMMYFUNCTION("""COMPUTED_VALUE"""),446.0)</f>
        <v>446</v>
      </c>
      <c r="E1037" s="5">
        <f>IFERROR(__xludf.DUMMYFUNCTION("""COMPUTED_VALUE"""),454.0)</f>
        <v>454</v>
      </c>
      <c r="F1037" s="5">
        <f>IFERROR(__xludf.DUMMYFUNCTION("""COMPUTED_VALUE"""),4.82059E7)</f>
        <v>48205900</v>
      </c>
      <c r="G1037" s="5">
        <f t="shared" si="1"/>
        <v>18</v>
      </c>
    </row>
    <row r="1038">
      <c r="A1038" s="4">
        <f>IFERROR(__xludf.DUMMYFUNCTION("""COMPUTED_VALUE"""),45387.66666666667)</f>
        <v>45387.66667</v>
      </c>
      <c r="B1038" s="5">
        <f>IFERROR(__xludf.DUMMYFUNCTION("""COMPUTED_VALUE"""),450.0)</f>
        <v>450</v>
      </c>
      <c r="C1038" s="5">
        <f>IFERROR(__xludf.DUMMYFUNCTION("""COMPUTED_VALUE"""),454.0)</f>
        <v>454</v>
      </c>
      <c r="D1038" s="5">
        <f>IFERROR(__xludf.DUMMYFUNCTION("""COMPUTED_VALUE"""),446.0)</f>
        <v>446</v>
      </c>
      <c r="E1038" s="5">
        <f>IFERROR(__xludf.DUMMYFUNCTION("""COMPUTED_VALUE"""),448.0)</f>
        <v>448</v>
      </c>
      <c r="F1038" s="5">
        <f>IFERROR(__xludf.DUMMYFUNCTION("""COMPUTED_VALUE"""),1.95095E7)</f>
        <v>19509500</v>
      </c>
      <c r="G1038" s="5">
        <f t="shared" si="1"/>
        <v>8</v>
      </c>
    </row>
    <row r="1039">
      <c r="A1039" s="4">
        <f>IFERROR(__xludf.DUMMYFUNCTION("""COMPUTED_VALUE"""),45398.66666666667)</f>
        <v>45398.66667</v>
      </c>
      <c r="B1039" s="5">
        <f>IFERROR(__xludf.DUMMYFUNCTION("""COMPUTED_VALUE"""),448.0)</f>
        <v>448</v>
      </c>
      <c r="C1039" s="5">
        <f>IFERROR(__xludf.DUMMYFUNCTION("""COMPUTED_VALUE"""),448.0)</f>
        <v>448</v>
      </c>
      <c r="D1039" s="5">
        <f>IFERROR(__xludf.DUMMYFUNCTION("""COMPUTED_VALUE"""),428.0)</f>
        <v>428</v>
      </c>
      <c r="E1039" s="5">
        <f>IFERROR(__xludf.DUMMYFUNCTION("""COMPUTED_VALUE"""),428.0)</f>
        <v>428</v>
      </c>
      <c r="F1039" s="5">
        <f>IFERROR(__xludf.DUMMYFUNCTION("""COMPUTED_VALUE"""),3.07611E7)</f>
        <v>30761100</v>
      </c>
      <c r="G1039" s="5">
        <f t="shared" si="1"/>
        <v>20</v>
      </c>
    </row>
    <row r="1040">
      <c r="A1040" s="4">
        <f>IFERROR(__xludf.DUMMYFUNCTION("""COMPUTED_VALUE"""),45399.66666666667)</f>
        <v>45399.66667</v>
      </c>
      <c r="B1040" s="5">
        <f>IFERROR(__xludf.DUMMYFUNCTION("""COMPUTED_VALUE"""),430.0)</f>
        <v>430</v>
      </c>
      <c r="C1040" s="5">
        <f>IFERROR(__xludf.DUMMYFUNCTION("""COMPUTED_VALUE"""),444.0)</f>
        <v>444</v>
      </c>
      <c r="D1040" s="5">
        <f>IFERROR(__xludf.DUMMYFUNCTION("""COMPUTED_VALUE"""),428.0)</f>
        <v>428</v>
      </c>
      <c r="E1040" s="5">
        <f>IFERROR(__xludf.DUMMYFUNCTION("""COMPUTED_VALUE"""),430.0)</f>
        <v>430</v>
      </c>
      <c r="F1040" s="5">
        <f>IFERROR(__xludf.DUMMYFUNCTION("""COMPUTED_VALUE"""),1.77154E7)</f>
        <v>17715400</v>
      </c>
      <c r="G1040" s="5">
        <f t="shared" si="1"/>
        <v>16</v>
      </c>
    </row>
    <row r="1041">
      <c r="A1041" s="4">
        <f>IFERROR(__xludf.DUMMYFUNCTION("""COMPUTED_VALUE"""),45400.66666666667)</f>
        <v>45400.66667</v>
      </c>
      <c r="B1041" s="5">
        <f>IFERROR(__xludf.DUMMYFUNCTION("""COMPUTED_VALUE"""),426.0)</f>
        <v>426</v>
      </c>
      <c r="C1041" s="5">
        <f>IFERROR(__xludf.DUMMYFUNCTION("""COMPUTED_VALUE"""),440.0)</f>
        <v>440</v>
      </c>
      <c r="D1041" s="5">
        <f>IFERROR(__xludf.DUMMYFUNCTION("""COMPUTED_VALUE"""),424.0)</f>
        <v>424</v>
      </c>
      <c r="E1041" s="5">
        <f>IFERROR(__xludf.DUMMYFUNCTION("""COMPUTED_VALUE"""),436.0)</f>
        <v>436</v>
      </c>
      <c r="F1041" s="5">
        <f>IFERROR(__xludf.DUMMYFUNCTION("""COMPUTED_VALUE"""),1.24316E7)</f>
        <v>12431600</v>
      </c>
      <c r="G1041" s="5">
        <f t="shared" si="1"/>
        <v>16</v>
      </c>
    </row>
    <row r="1042">
      <c r="A1042" s="4">
        <f>IFERROR(__xludf.DUMMYFUNCTION("""COMPUTED_VALUE"""),45401.66666666667)</f>
        <v>45401.66667</v>
      </c>
      <c r="B1042" s="5">
        <f>IFERROR(__xludf.DUMMYFUNCTION("""COMPUTED_VALUE"""),436.0)</f>
        <v>436</v>
      </c>
      <c r="C1042" s="5">
        <f>IFERROR(__xludf.DUMMYFUNCTION("""COMPUTED_VALUE"""),440.0)</f>
        <v>440</v>
      </c>
      <c r="D1042" s="5">
        <f>IFERROR(__xludf.DUMMYFUNCTION("""COMPUTED_VALUE"""),412.0)</f>
        <v>412</v>
      </c>
      <c r="E1042" s="5">
        <f>IFERROR(__xludf.DUMMYFUNCTION("""COMPUTED_VALUE"""),414.0)</f>
        <v>414</v>
      </c>
      <c r="F1042" s="5">
        <f>IFERROR(__xludf.DUMMYFUNCTION("""COMPUTED_VALUE"""),2.69433E7)</f>
        <v>26943300</v>
      </c>
      <c r="G1042" s="5">
        <f t="shared" si="1"/>
        <v>28</v>
      </c>
    </row>
    <row r="1043">
      <c r="A1043" s="4">
        <f>IFERROR(__xludf.DUMMYFUNCTION("""COMPUTED_VALUE"""),45404.66666666667)</f>
        <v>45404.66667</v>
      </c>
      <c r="B1043" s="5">
        <f>IFERROR(__xludf.DUMMYFUNCTION("""COMPUTED_VALUE"""),414.0)</f>
        <v>414</v>
      </c>
      <c r="C1043" s="5">
        <f>IFERROR(__xludf.DUMMYFUNCTION("""COMPUTED_VALUE"""),450.0)</f>
        <v>450</v>
      </c>
      <c r="D1043" s="5">
        <f>IFERROR(__xludf.DUMMYFUNCTION("""COMPUTED_VALUE"""),410.0)</f>
        <v>410</v>
      </c>
      <c r="E1043" s="5">
        <f>IFERROR(__xludf.DUMMYFUNCTION("""COMPUTED_VALUE"""),440.0)</f>
        <v>440</v>
      </c>
      <c r="F1043" s="5">
        <f>IFERROR(__xludf.DUMMYFUNCTION("""COMPUTED_VALUE"""),5.79799E7)</f>
        <v>57979900</v>
      </c>
      <c r="G1043" s="5">
        <f t="shared" si="1"/>
        <v>40</v>
      </c>
    </row>
    <row r="1044">
      <c r="A1044" s="4">
        <f>IFERROR(__xludf.DUMMYFUNCTION("""COMPUTED_VALUE"""),45405.66666666667)</f>
        <v>45405.66667</v>
      </c>
      <c r="B1044" s="5">
        <f>IFERROR(__xludf.DUMMYFUNCTION("""COMPUTED_VALUE"""),440.0)</f>
        <v>440</v>
      </c>
      <c r="C1044" s="5">
        <f>IFERROR(__xludf.DUMMYFUNCTION("""COMPUTED_VALUE"""),450.0)</f>
        <v>450</v>
      </c>
      <c r="D1044" s="5">
        <f>IFERROR(__xludf.DUMMYFUNCTION("""COMPUTED_VALUE"""),434.0)</f>
        <v>434</v>
      </c>
      <c r="E1044" s="5">
        <f>IFERROR(__xludf.DUMMYFUNCTION("""COMPUTED_VALUE"""),436.0)</f>
        <v>436</v>
      </c>
      <c r="F1044" s="5">
        <f>IFERROR(__xludf.DUMMYFUNCTION("""COMPUTED_VALUE"""),1.7705E7)</f>
        <v>17705000</v>
      </c>
      <c r="G1044" s="5">
        <f t="shared" si="1"/>
        <v>16</v>
      </c>
    </row>
    <row r="1045">
      <c r="A1045" s="4">
        <f>IFERROR(__xludf.DUMMYFUNCTION("""COMPUTED_VALUE"""),45406.66666666667)</f>
        <v>45406.66667</v>
      </c>
      <c r="B1045" s="5">
        <f>IFERROR(__xludf.DUMMYFUNCTION("""COMPUTED_VALUE"""),438.0)</f>
        <v>438</v>
      </c>
      <c r="C1045" s="5">
        <f>IFERROR(__xludf.DUMMYFUNCTION("""COMPUTED_VALUE"""),442.0)</f>
        <v>442</v>
      </c>
      <c r="D1045" s="5">
        <f>IFERROR(__xludf.DUMMYFUNCTION("""COMPUTED_VALUE"""),428.0)</f>
        <v>428</v>
      </c>
      <c r="E1045" s="5">
        <f>IFERROR(__xludf.DUMMYFUNCTION("""COMPUTED_VALUE"""),428.0)</f>
        <v>428</v>
      </c>
      <c r="F1045" s="5">
        <f>IFERROR(__xludf.DUMMYFUNCTION("""COMPUTED_VALUE"""),1.34298E7)</f>
        <v>13429800</v>
      </c>
      <c r="G1045" s="5">
        <f t="shared" si="1"/>
        <v>14</v>
      </c>
    </row>
    <row r="1046">
      <c r="A1046" s="4">
        <f>IFERROR(__xludf.DUMMYFUNCTION("""COMPUTED_VALUE"""),45407.66666666667)</f>
        <v>45407.66667</v>
      </c>
      <c r="B1046" s="5">
        <f>IFERROR(__xludf.DUMMYFUNCTION("""COMPUTED_VALUE"""),426.0)</f>
        <v>426</v>
      </c>
      <c r="C1046" s="5">
        <f>IFERROR(__xludf.DUMMYFUNCTION("""COMPUTED_VALUE"""),436.0)</f>
        <v>436</v>
      </c>
      <c r="D1046" s="5">
        <f>IFERROR(__xludf.DUMMYFUNCTION("""COMPUTED_VALUE"""),422.0)</f>
        <v>422</v>
      </c>
      <c r="E1046" s="5">
        <f>IFERROR(__xludf.DUMMYFUNCTION("""COMPUTED_VALUE"""),422.0)</f>
        <v>422</v>
      </c>
      <c r="F1046" s="5">
        <f>IFERROR(__xludf.DUMMYFUNCTION("""COMPUTED_VALUE"""),9957000.0)</f>
        <v>9957000</v>
      </c>
      <c r="G1046" s="5">
        <f t="shared" si="1"/>
        <v>14</v>
      </c>
    </row>
    <row r="1047">
      <c r="A1047" s="4">
        <f>IFERROR(__xludf.DUMMYFUNCTION("""COMPUTED_VALUE"""),45408.66666666667)</f>
        <v>45408.66667</v>
      </c>
      <c r="B1047" s="5">
        <f>IFERROR(__xludf.DUMMYFUNCTION("""COMPUTED_VALUE"""),422.0)</f>
        <v>422</v>
      </c>
      <c r="C1047" s="5">
        <f>IFERROR(__xludf.DUMMYFUNCTION("""COMPUTED_VALUE"""),430.0)</f>
        <v>430</v>
      </c>
      <c r="D1047" s="5">
        <f>IFERROR(__xludf.DUMMYFUNCTION("""COMPUTED_VALUE"""),410.0)</f>
        <v>410</v>
      </c>
      <c r="E1047" s="5">
        <f>IFERROR(__xludf.DUMMYFUNCTION("""COMPUTED_VALUE"""),412.0)</f>
        <v>412</v>
      </c>
      <c r="F1047" s="5">
        <f>IFERROR(__xludf.DUMMYFUNCTION("""COMPUTED_VALUE"""),1.46262E7)</f>
        <v>14626200</v>
      </c>
      <c r="G1047" s="5">
        <f t="shared" si="1"/>
        <v>20</v>
      </c>
    </row>
    <row r="1048">
      <c r="A1048" s="4">
        <f>IFERROR(__xludf.DUMMYFUNCTION("""COMPUTED_VALUE"""),45411.66666666667)</f>
        <v>45411.66667</v>
      </c>
      <c r="B1048" s="5">
        <f>IFERROR(__xludf.DUMMYFUNCTION("""COMPUTED_VALUE"""),412.0)</f>
        <v>412</v>
      </c>
      <c r="C1048" s="5">
        <f>IFERROR(__xludf.DUMMYFUNCTION("""COMPUTED_VALUE"""),422.0)</f>
        <v>422</v>
      </c>
      <c r="D1048" s="5">
        <f>IFERROR(__xludf.DUMMYFUNCTION("""COMPUTED_VALUE"""),410.0)</f>
        <v>410</v>
      </c>
      <c r="E1048" s="5">
        <f>IFERROR(__xludf.DUMMYFUNCTION("""COMPUTED_VALUE"""),410.0)</f>
        <v>410</v>
      </c>
      <c r="F1048" s="5">
        <f>IFERROR(__xludf.DUMMYFUNCTION("""COMPUTED_VALUE"""),1.51685E7)</f>
        <v>15168500</v>
      </c>
      <c r="G1048" s="5">
        <f t="shared" si="1"/>
        <v>12</v>
      </c>
    </row>
    <row r="1049">
      <c r="A1049" s="4">
        <f>IFERROR(__xludf.DUMMYFUNCTION("""COMPUTED_VALUE"""),45412.66666666667)</f>
        <v>45412.66667</v>
      </c>
      <c r="B1049" s="5">
        <f>IFERROR(__xludf.DUMMYFUNCTION("""COMPUTED_VALUE"""),412.0)</f>
        <v>412</v>
      </c>
      <c r="C1049" s="5">
        <f>IFERROR(__xludf.DUMMYFUNCTION("""COMPUTED_VALUE"""),420.0)</f>
        <v>420</v>
      </c>
      <c r="D1049" s="5">
        <f>IFERROR(__xludf.DUMMYFUNCTION("""COMPUTED_VALUE"""),410.0)</f>
        <v>410</v>
      </c>
      <c r="E1049" s="5">
        <f>IFERROR(__xludf.DUMMYFUNCTION("""COMPUTED_VALUE"""),420.0)</f>
        <v>420</v>
      </c>
      <c r="F1049" s="5">
        <f>IFERROR(__xludf.DUMMYFUNCTION("""COMPUTED_VALUE"""),1.72555E7)</f>
        <v>17255500</v>
      </c>
      <c r="G1049" s="5">
        <f t="shared" si="1"/>
        <v>10</v>
      </c>
    </row>
    <row r="1050">
      <c r="A1050" s="4">
        <f>IFERROR(__xludf.DUMMYFUNCTION("""COMPUTED_VALUE"""),45414.66666666667)</f>
        <v>45414.66667</v>
      </c>
      <c r="B1050" s="5">
        <f>IFERROR(__xludf.DUMMYFUNCTION("""COMPUTED_VALUE"""),420.0)</f>
        <v>420</v>
      </c>
      <c r="C1050" s="5">
        <f>IFERROR(__xludf.DUMMYFUNCTION("""COMPUTED_VALUE"""),430.0)</f>
        <v>430</v>
      </c>
      <c r="D1050" s="5">
        <f>IFERROR(__xludf.DUMMYFUNCTION("""COMPUTED_VALUE"""),402.0)</f>
        <v>402</v>
      </c>
      <c r="E1050" s="5">
        <f>IFERROR(__xludf.DUMMYFUNCTION("""COMPUTED_VALUE"""),406.0)</f>
        <v>406</v>
      </c>
      <c r="F1050" s="5">
        <f>IFERROR(__xludf.DUMMYFUNCTION("""COMPUTED_VALUE"""),3.14016E7)</f>
        <v>31401600</v>
      </c>
      <c r="G1050" s="5">
        <f t="shared" si="1"/>
        <v>28</v>
      </c>
    </row>
    <row r="1051">
      <c r="A1051" s="4">
        <f>IFERROR(__xludf.DUMMYFUNCTION("""COMPUTED_VALUE"""),45415.66666666667)</f>
        <v>45415.66667</v>
      </c>
      <c r="B1051" s="5">
        <f>IFERROR(__xludf.DUMMYFUNCTION("""COMPUTED_VALUE"""),410.0)</f>
        <v>410</v>
      </c>
      <c r="C1051" s="5">
        <f>IFERROR(__xludf.DUMMYFUNCTION("""COMPUTED_VALUE"""),412.0)</f>
        <v>412</v>
      </c>
      <c r="D1051" s="5">
        <f>IFERROR(__xludf.DUMMYFUNCTION("""COMPUTED_VALUE"""),398.0)</f>
        <v>398</v>
      </c>
      <c r="E1051" s="5">
        <f>IFERROR(__xludf.DUMMYFUNCTION("""COMPUTED_VALUE"""),398.0)</f>
        <v>398</v>
      </c>
      <c r="F1051" s="5">
        <f>IFERROR(__xludf.DUMMYFUNCTION("""COMPUTED_VALUE"""),1.44963E7)</f>
        <v>14496300</v>
      </c>
      <c r="G1051" s="5">
        <f t="shared" si="1"/>
        <v>14</v>
      </c>
    </row>
    <row r="1052">
      <c r="A1052" s="4">
        <f>IFERROR(__xludf.DUMMYFUNCTION("""COMPUTED_VALUE"""),45418.66666666667)</f>
        <v>45418.66667</v>
      </c>
      <c r="B1052" s="5">
        <f>IFERROR(__xludf.DUMMYFUNCTION("""COMPUTED_VALUE"""),398.0)</f>
        <v>398</v>
      </c>
      <c r="C1052" s="5">
        <f>IFERROR(__xludf.DUMMYFUNCTION("""COMPUTED_VALUE"""),408.0)</f>
        <v>408</v>
      </c>
      <c r="D1052" s="5">
        <f>IFERROR(__xludf.DUMMYFUNCTION("""COMPUTED_VALUE"""),398.0)</f>
        <v>398</v>
      </c>
      <c r="E1052" s="5">
        <f>IFERROR(__xludf.DUMMYFUNCTION("""COMPUTED_VALUE"""),400.0)</f>
        <v>400</v>
      </c>
      <c r="F1052" s="5">
        <f>IFERROR(__xludf.DUMMYFUNCTION("""COMPUTED_VALUE"""),1.89924E7)</f>
        <v>18992400</v>
      </c>
      <c r="G1052" s="5">
        <f t="shared" si="1"/>
        <v>10</v>
      </c>
    </row>
    <row r="1053">
      <c r="A1053" s="4">
        <f>IFERROR(__xludf.DUMMYFUNCTION("""COMPUTED_VALUE"""),45419.66666666667)</f>
        <v>45419.66667</v>
      </c>
      <c r="B1053" s="5">
        <f>IFERROR(__xludf.DUMMYFUNCTION("""COMPUTED_VALUE"""),400.0)</f>
        <v>400</v>
      </c>
      <c r="C1053" s="5">
        <f>IFERROR(__xludf.DUMMYFUNCTION("""COMPUTED_VALUE"""),408.0)</f>
        <v>408</v>
      </c>
      <c r="D1053" s="5">
        <f>IFERROR(__xludf.DUMMYFUNCTION("""COMPUTED_VALUE"""),398.0)</f>
        <v>398</v>
      </c>
      <c r="E1053" s="5">
        <f>IFERROR(__xludf.DUMMYFUNCTION("""COMPUTED_VALUE"""),398.0)</f>
        <v>398</v>
      </c>
      <c r="F1053" s="5">
        <f>IFERROR(__xludf.DUMMYFUNCTION("""COMPUTED_VALUE"""),1.33664E7)</f>
        <v>13366400</v>
      </c>
      <c r="G1053" s="5">
        <f t="shared" si="1"/>
        <v>10</v>
      </c>
    </row>
    <row r="1054">
      <c r="A1054" s="4">
        <f>IFERROR(__xludf.DUMMYFUNCTION("""COMPUTED_VALUE"""),45420.66666666667)</f>
        <v>45420.66667</v>
      </c>
      <c r="B1054" s="5">
        <f>IFERROR(__xludf.DUMMYFUNCTION("""COMPUTED_VALUE"""),400.0)</f>
        <v>400</v>
      </c>
      <c r="C1054" s="5">
        <f>IFERROR(__xludf.DUMMYFUNCTION("""COMPUTED_VALUE"""),402.0)</f>
        <v>402</v>
      </c>
      <c r="D1054" s="5">
        <f>IFERROR(__xludf.DUMMYFUNCTION("""COMPUTED_VALUE"""),378.0)</f>
        <v>378</v>
      </c>
      <c r="E1054" s="5">
        <f>IFERROR(__xludf.DUMMYFUNCTION("""COMPUTED_VALUE"""),382.0)</f>
        <v>382</v>
      </c>
      <c r="F1054" s="5">
        <f>IFERROR(__xludf.DUMMYFUNCTION("""COMPUTED_VALUE"""),3.19536E7)</f>
        <v>31953600</v>
      </c>
      <c r="G1054" s="5">
        <f t="shared" si="1"/>
        <v>24</v>
      </c>
    </row>
    <row r="1055">
      <c r="A1055" s="4">
        <f>IFERROR(__xludf.DUMMYFUNCTION("""COMPUTED_VALUE"""),45425.66666666667)</f>
        <v>45425.66667</v>
      </c>
      <c r="B1055" s="5">
        <f>IFERROR(__xludf.DUMMYFUNCTION("""COMPUTED_VALUE"""),380.0)</f>
        <v>380</v>
      </c>
      <c r="C1055" s="5">
        <f>IFERROR(__xludf.DUMMYFUNCTION("""COMPUTED_VALUE"""),386.0)</f>
        <v>386</v>
      </c>
      <c r="D1055" s="5">
        <f>IFERROR(__xludf.DUMMYFUNCTION("""COMPUTED_VALUE"""),368.0)</f>
        <v>368</v>
      </c>
      <c r="E1055" s="5">
        <f>IFERROR(__xludf.DUMMYFUNCTION("""COMPUTED_VALUE"""),370.0)</f>
        <v>370</v>
      </c>
      <c r="F1055" s="5">
        <f>IFERROR(__xludf.DUMMYFUNCTION("""COMPUTED_VALUE"""),2.17444E7)</f>
        <v>21744400</v>
      </c>
      <c r="G1055" s="5">
        <f t="shared" si="1"/>
        <v>18</v>
      </c>
    </row>
    <row r="1056">
      <c r="A1056" s="4">
        <f>IFERROR(__xludf.DUMMYFUNCTION("""COMPUTED_VALUE"""),45426.66666666667)</f>
        <v>45426.66667</v>
      </c>
      <c r="B1056" s="5">
        <f>IFERROR(__xludf.DUMMYFUNCTION("""COMPUTED_VALUE"""),370.0)</f>
        <v>370</v>
      </c>
      <c r="C1056" s="5">
        <f>IFERROR(__xludf.DUMMYFUNCTION("""COMPUTED_VALUE"""),374.0)</f>
        <v>374</v>
      </c>
      <c r="D1056" s="5">
        <f>IFERROR(__xludf.DUMMYFUNCTION("""COMPUTED_VALUE"""),362.0)</f>
        <v>362</v>
      </c>
      <c r="E1056" s="5">
        <f>IFERROR(__xludf.DUMMYFUNCTION("""COMPUTED_VALUE"""),366.0)</f>
        <v>366</v>
      </c>
      <c r="F1056" s="5">
        <f>IFERROR(__xludf.DUMMYFUNCTION("""COMPUTED_VALUE"""),1.71989E7)</f>
        <v>17198900</v>
      </c>
      <c r="G1056" s="5">
        <f t="shared" si="1"/>
        <v>12</v>
      </c>
    </row>
    <row r="1057">
      <c r="A1057" s="4">
        <f>IFERROR(__xludf.DUMMYFUNCTION("""COMPUTED_VALUE"""),45427.66666666667)</f>
        <v>45427.66667</v>
      </c>
      <c r="B1057" s="5">
        <f>IFERROR(__xludf.DUMMYFUNCTION("""COMPUTED_VALUE"""),386.0)</f>
        <v>386</v>
      </c>
      <c r="C1057" s="5">
        <f>IFERROR(__xludf.DUMMYFUNCTION("""COMPUTED_VALUE"""),386.0)</f>
        <v>386</v>
      </c>
      <c r="D1057" s="5">
        <f>IFERROR(__xludf.DUMMYFUNCTION("""COMPUTED_VALUE"""),366.0)</f>
        <v>366</v>
      </c>
      <c r="E1057" s="5">
        <f>IFERROR(__xludf.DUMMYFUNCTION("""COMPUTED_VALUE"""),368.0)</f>
        <v>368</v>
      </c>
      <c r="F1057" s="5">
        <f>IFERROR(__xludf.DUMMYFUNCTION("""COMPUTED_VALUE"""),2.27042E7)</f>
        <v>22704200</v>
      </c>
      <c r="G1057" s="5">
        <f t="shared" si="1"/>
        <v>20</v>
      </c>
    </row>
    <row r="1058">
      <c r="A1058" s="4">
        <f>IFERROR(__xludf.DUMMYFUNCTION("""COMPUTED_VALUE"""),45428.66666666667)</f>
        <v>45428.66667</v>
      </c>
      <c r="B1058" s="5">
        <f>IFERROR(__xludf.DUMMYFUNCTION("""COMPUTED_VALUE"""),372.0)</f>
        <v>372</v>
      </c>
      <c r="C1058" s="5">
        <f>IFERROR(__xludf.DUMMYFUNCTION("""COMPUTED_VALUE"""),378.0)</f>
        <v>378</v>
      </c>
      <c r="D1058" s="5">
        <f>IFERROR(__xludf.DUMMYFUNCTION("""COMPUTED_VALUE"""),368.0)</f>
        <v>368</v>
      </c>
      <c r="E1058" s="5">
        <f>IFERROR(__xludf.DUMMYFUNCTION("""COMPUTED_VALUE"""),372.0)</f>
        <v>372</v>
      </c>
      <c r="F1058" s="5">
        <f>IFERROR(__xludf.DUMMYFUNCTION("""COMPUTED_VALUE"""),1.63527E7)</f>
        <v>16352700</v>
      </c>
      <c r="G1058" s="5">
        <f t="shared" si="1"/>
        <v>10</v>
      </c>
    </row>
    <row r="1059">
      <c r="A1059" s="4">
        <f>IFERROR(__xludf.DUMMYFUNCTION("""COMPUTED_VALUE"""),45429.66666666667)</f>
        <v>45429.66667</v>
      </c>
      <c r="B1059" s="5">
        <f>IFERROR(__xludf.DUMMYFUNCTION("""COMPUTED_VALUE"""),374.0)</f>
        <v>374</v>
      </c>
      <c r="C1059" s="5">
        <f>IFERROR(__xludf.DUMMYFUNCTION("""COMPUTED_VALUE"""),380.0)</f>
        <v>380</v>
      </c>
      <c r="D1059" s="5">
        <f>IFERROR(__xludf.DUMMYFUNCTION("""COMPUTED_VALUE"""),368.0)</f>
        <v>368</v>
      </c>
      <c r="E1059" s="5">
        <f>IFERROR(__xludf.DUMMYFUNCTION("""COMPUTED_VALUE"""),376.0)</f>
        <v>376</v>
      </c>
      <c r="F1059" s="5">
        <f>IFERROR(__xludf.DUMMYFUNCTION("""COMPUTED_VALUE"""),1.63444E7)</f>
        <v>16344400</v>
      </c>
      <c r="G1059" s="5">
        <f t="shared" si="1"/>
        <v>12</v>
      </c>
    </row>
    <row r="1060">
      <c r="A1060" s="4">
        <f>IFERROR(__xludf.DUMMYFUNCTION("""COMPUTED_VALUE"""),45432.66666666667)</f>
        <v>45432.66667</v>
      </c>
      <c r="B1060" s="5">
        <f>IFERROR(__xludf.DUMMYFUNCTION("""COMPUTED_VALUE"""),376.0)</f>
        <v>376</v>
      </c>
      <c r="C1060" s="5">
        <f>IFERROR(__xludf.DUMMYFUNCTION("""COMPUTED_VALUE"""),392.0)</f>
        <v>392</v>
      </c>
      <c r="D1060" s="5">
        <f>IFERROR(__xludf.DUMMYFUNCTION("""COMPUTED_VALUE"""),370.0)</f>
        <v>370</v>
      </c>
      <c r="E1060" s="5">
        <f>IFERROR(__xludf.DUMMYFUNCTION("""COMPUTED_VALUE"""),370.0)</f>
        <v>370</v>
      </c>
      <c r="F1060" s="5">
        <f>IFERROR(__xludf.DUMMYFUNCTION("""COMPUTED_VALUE"""),2.92718E7)</f>
        <v>29271800</v>
      </c>
      <c r="G1060" s="5">
        <f t="shared" si="1"/>
        <v>22</v>
      </c>
    </row>
    <row r="1061">
      <c r="A1061" s="4">
        <f>IFERROR(__xludf.DUMMYFUNCTION("""COMPUTED_VALUE"""),45433.66666666667)</f>
        <v>45433.66667</v>
      </c>
      <c r="B1061" s="5">
        <f>IFERROR(__xludf.DUMMYFUNCTION("""COMPUTED_VALUE"""),376.0)</f>
        <v>376</v>
      </c>
      <c r="C1061" s="5">
        <f>IFERROR(__xludf.DUMMYFUNCTION("""COMPUTED_VALUE"""),378.0)</f>
        <v>378</v>
      </c>
      <c r="D1061" s="5">
        <f>IFERROR(__xludf.DUMMYFUNCTION("""COMPUTED_VALUE"""),364.0)</f>
        <v>364</v>
      </c>
      <c r="E1061" s="5">
        <f>IFERROR(__xludf.DUMMYFUNCTION("""COMPUTED_VALUE"""),366.0)</f>
        <v>366</v>
      </c>
      <c r="F1061" s="5">
        <f>IFERROR(__xludf.DUMMYFUNCTION("""COMPUTED_VALUE"""),2.29711E7)</f>
        <v>22971100</v>
      </c>
      <c r="G1061" s="5">
        <f t="shared" si="1"/>
        <v>14</v>
      </c>
    </row>
    <row r="1062">
      <c r="A1062" s="4">
        <f>IFERROR(__xludf.DUMMYFUNCTION("""COMPUTED_VALUE"""),45434.66666666667)</f>
        <v>45434.66667</v>
      </c>
      <c r="B1062" s="5">
        <f>IFERROR(__xludf.DUMMYFUNCTION("""COMPUTED_VALUE"""),366.0)</f>
        <v>366</v>
      </c>
      <c r="C1062" s="5">
        <f>IFERROR(__xludf.DUMMYFUNCTION("""COMPUTED_VALUE"""),372.0)</f>
        <v>372</v>
      </c>
      <c r="D1062" s="5">
        <f>IFERROR(__xludf.DUMMYFUNCTION("""COMPUTED_VALUE"""),364.0)</f>
        <v>364</v>
      </c>
      <c r="E1062" s="5">
        <f>IFERROR(__xludf.DUMMYFUNCTION("""COMPUTED_VALUE"""),368.0)</f>
        <v>368</v>
      </c>
      <c r="F1062" s="5">
        <f>IFERROR(__xludf.DUMMYFUNCTION("""COMPUTED_VALUE"""),9264400.0)</f>
        <v>9264400</v>
      </c>
      <c r="G1062" s="5">
        <f t="shared" si="1"/>
        <v>8</v>
      </c>
    </row>
    <row r="1063">
      <c r="A1063" s="4">
        <f>IFERROR(__xludf.DUMMYFUNCTION("""COMPUTED_VALUE"""),45439.66666666667)</f>
        <v>45439.66667</v>
      </c>
      <c r="B1063" s="5">
        <f>IFERROR(__xludf.DUMMYFUNCTION("""COMPUTED_VALUE"""),368.0)</f>
        <v>368</v>
      </c>
      <c r="C1063" s="5">
        <f>IFERROR(__xludf.DUMMYFUNCTION("""COMPUTED_VALUE"""),372.0)</f>
        <v>372</v>
      </c>
      <c r="D1063" s="5">
        <f>IFERROR(__xludf.DUMMYFUNCTION("""COMPUTED_VALUE"""),352.0)</f>
        <v>352</v>
      </c>
      <c r="E1063" s="5">
        <f>IFERROR(__xludf.DUMMYFUNCTION("""COMPUTED_VALUE"""),356.0)</f>
        <v>356</v>
      </c>
      <c r="F1063" s="5">
        <f>IFERROR(__xludf.DUMMYFUNCTION("""COMPUTED_VALUE"""),2.22438E7)</f>
        <v>22243800</v>
      </c>
      <c r="G1063" s="5">
        <f t="shared" si="1"/>
        <v>20</v>
      </c>
    </row>
    <row r="1064">
      <c r="A1064" s="4">
        <f>IFERROR(__xludf.DUMMYFUNCTION("""COMPUTED_VALUE"""),45440.66666666667)</f>
        <v>45440.66667</v>
      </c>
      <c r="B1064" s="5">
        <f>IFERROR(__xludf.DUMMYFUNCTION("""COMPUTED_VALUE"""),356.0)</f>
        <v>356</v>
      </c>
      <c r="C1064" s="5">
        <f>IFERROR(__xludf.DUMMYFUNCTION("""COMPUTED_VALUE"""),378.0)</f>
        <v>378</v>
      </c>
      <c r="D1064" s="5">
        <f>IFERROR(__xludf.DUMMYFUNCTION("""COMPUTED_VALUE"""),356.0)</f>
        <v>356</v>
      </c>
      <c r="E1064" s="5">
        <f>IFERROR(__xludf.DUMMYFUNCTION("""COMPUTED_VALUE"""),362.0)</f>
        <v>362</v>
      </c>
      <c r="F1064" s="5">
        <f>IFERROR(__xludf.DUMMYFUNCTION("""COMPUTED_VALUE"""),6.41035E7)</f>
        <v>64103500</v>
      </c>
      <c r="G1064" s="5">
        <f t="shared" si="1"/>
        <v>22</v>
      </c>
    </row>
    <row r="1065">
      <c r="A1065" s="4">
        <f>IFERROR(__xludf.DUMMYFUNCTION("""COMPUTED_VALUE"""),45441.66666666667)</f>
        <v>45441.66667</v>
      </c>
      <c r="B1065" s="5">
        <f>IFERROR(__xludf.DUMMYFUNCTION("""COMPUTED_VALUE"""),372.0)</f>
        <v>372</v>
      </c>
      <c r="C1065" s="5">
        <f>IFERROR(__xludf.DUMMYFUNCTION("""COMPUTED_VALUE"""),382.0)</f>
        <v>382</v>
      </c>
      <c r="D1065" s="5">
        <f>IFERROR(__xludf.DUMMYFUNCTION("""COMPUTED_VALUE"""),350.0)</f>
        <v>350</v>
      </c>
      <c r="E1065" s="5">
        <f>IFERROR(__xludf.DUMMYFUNCTION("""COMPUTED_VALUE"""),354.0)</f>
        <v>354</v>
      </c>
      <c r="F1065" s="5">
        <f>IFERROR(__xludf.DUMMYFUNCTION("""COMPUTED_VALUE"""),2.22467E7)</f>
        <v>22246700</v>
      </c>
      <c r="G1065" s="5">
        <f t="shared" si="1"/>
        <v>32</v>
      </c>
    </row>
    <row r="1066">
      <c r="A1066" s="4">
        <f>IFERROR(__xludf.DUMMYFUNCTION("""COMPUTED_VALUE"""),45442.66666666667)</f>
        <v>45442.66667</v>
      </c>
      <c r="B1066" s="5">
        <f>IFERROR(__xludf.DUMMYFUNCTION("""COMPUTED_VALUE"""),340.0)</f>
        <v>340</v>
      </c>
      <c r="C1066" s="5">
        <f>IFERROR(__xludf.DUMMYFUNCTION("""COMPUTED_VALUE"""),356.0)</f>
        <v>356</v>
      </c>
      <c r="D1066" s="5">
        <f>IFERROR(__xludf.DUMMYFUNCTION("""COMPUTED_VALUE"""),340.0)</f>
        <v>340</v>
      </c>
      <c r="E1066" s="5">
        <f>IFERROR(__xludf.DUMMYFUNCTION("""COMPUTED_VALUE"""),346.0)</f>
        <v>346</v>
      </c>
      <c r="F1066" s="5">
        <f>IFERROR(__xludf.DUMMYFUNCTION("""COMPUTED_VALUE"""),1.65644E7)</f>
        <v>16564400</v>
      </c>
      <c r="G1066" s="5">
        <f t="shared" si="1"/>
        <v>16</v>
      </c>
    </row>
    <row r="1067">
      <c r="A1067" s="4">
        <f>IFERROR(__xludf.DUMMYFUNCTION("""COMPUTED_VALUE"""),45443.66666666667)</f>
        <v>45443.66667</v>
      </c>
      <c r="B1067" s="5">
        <f>IFERROR(__xludf.DUMMYFUNCTION("""COMPUTED_VALUE"""),346.0)</f>
        <v>346</v>
      </c>
      <c r="C1067" s="5">
        <f>IFERROR(__xludf.DUMMYFUNCTION("""COMPUTED_VALUE"""),348.0)</f>
        <v>348</v>
      </c>
      <c r="D1067" s="5">
        <f>IFERROR(__xludf.DUMMYFUNCTION("""COMPUTED_VALUE"""),338.0)</f>
        <v>338</v>
      </c>
      <c r="E1067" s="5">
        <f>IFERROR(__xludf.DUMMYFUNCTION("""COMPUTED_VALUE"""),340.0)</f>
        <v>340</v>
      </c>
      <c r="F1067" s="5">
        <f>IFERROR(__xludf.DUMMYFUNCTION("""COMPUTED_VALUE"""),1.39624E7)</f>
        <v>13962400</v>
      </c>
      <c r="G1067" s="5">
        <f t="shared" si="1"/>
        <v>10</v>
      </c>
    </row>
    <row r="1068">
      <c r="A1068" s="4">
        <f>IFERROR(__xludf.DUMMYFUNCTION("""COMPUTED_VALUE"""),45446.66666666667)</f>
        <v>45446.66667</v>
      </c>
      <c r="B1068" s="5">
        <f>IFERROR(__xludf.DUMMYFUNCTION("""COMPUTED_VALUE"""),340.0)</f>
        <v>340</v>
      </c>
      <c r="C1068" s="5">
        <f>IFERROR(__xludf.DUMMYFUNCTION("""COMPUTED_VALUE"""),346.0)</f>
        <v>346</v>
      </c>
      <c r="D1068" s="5">
        <f>IFERROR(__xludf.DUMMYFUNCTION("""COMPUTED_VALUE"""),334.0)</f>
        <v>334</v>
      </c>
      <c r="E1068" s="5">
        <f>IFERROR(__xludf.DUMMYFUNCTION("""COMPUTED_VALUE"""),338.0)</f>
        <v>338</v>
      </c>
      <c r="F1068" s="5">
        <f>IFERROR(__xludf.DUMMYFUNCTION("""COMPUTED_VALUE"""),1.18109E7)</f>
        <v>11810900</v>
      </c>
      <c r="G1068" s="5">
        <f t="shared" si="1"/>
        <v>12</v>
      </c>
    </row>
    <row r="1069">
      <c r="A1069" s="4">
        <f>IFERROR(__xludf.DUMMYFUNCTION("""COMPUTED_VALUE"""),45447.66666666667)</f>
        <v>45447.66667</v>
      </c>
      <c r="B1069" s="5">
        <f>IFERROR(__xludf.DUMMYFUNCTION("""COMPUTED_VALUE"""),340.0)</f>
        <v>340</v>
      </c>
      <c r="C1069" s="5">
        <f>IFERROR(__xludf.DUMMYFUNCTION("""COMPUTED_VALUE"""),354.0)</f>
        <v>354</v>
      </c>
      <c r="D1069" s="5">
        <f>IFERROR(__xludf.DUMMYFUNCTION("""COMPUTED_VALUE"""),330.0)</f>
        <v>330</v>
      </c>
      <c r="E1069" s="5">
        <f>IFERROR(__xludf.DUMMYFUNCTION("""COMPUTED_VALUE"""),346.0)</f>
        <v>346</v>
      </c>
      <c r="F1069" s="5">
        <f>IFERROR(__xludf.DUMMYFUNCTION("""COMPUTED_VALUE"""),2.92578E7)</f>
        <v>29257800</v>
      </c>
      <c r="G1069" s="5">
        <f t="shared" si="1"/>
        <v>24</v>
      </c>
    </row>
    <row r="1070">
      <c r="A1070" s="4">
        <f>IFERROR(__xludf.DUMMYFUNCTION("""COMPUTED_VALUE"""),45448.66666666667)</f>
        <v>45448.66667</v>
      </c>
      <c r="B1070" s="5">
        <f>IFERROR(__xludf.DUMMYFUNCTION("""COMPUTED_VALUE"""),346.0)</f>
        <v>346</v>
      </c>
      <c r="C1070" s="5">
        <f>IFERROR(__xludf.DUMMYFUNCTION("""COMPUTED_VALUE"""),350.0)</f>
        <v>350</v>
      </c>
      <c r="D1070" s="5">
        <f>IFERROR(__xludf.DUMMYFUNCTION("""COMPUTED_VALUE"""),336.0)</f>
        <v>336</v>
      </c>
      <c r="E1070" s="5">
        <f>IFERROR(__xludf.DUMMYFUNCTION("""COMPUTED_VALUE"""),338.0)</f>
        <v>338</v>
      </c>
      <c r="F1070" s="5">
        <f>IFERROR(__xludf.DUMMYFUNCTION("""COMPUTED_VALUE"""),1.87782E7)</f>
        <v>18778200</v>
      </c>
      <c r="G1070" s="5">
        <f t="shared" si="1"/>
        <v>14</v>
      </c>
    </row>
    <row r="1071">
      <c r="A1071" s="4">
        <f>IFERROR(__xludf.DUMMYFUNCTION("""COMPUTED_VALUE"""),45449.66666666667)</f>
        <v>45449.66667</v>
      </c>
      <c r="B1071" s="5">
        <f>IFERROR(__xludf.DUMMYFUNCTION("""COMPUTED_VALUE"""),338.0)</f>
        <v>338</v>
      </c>
      <c r="C1071" s="5">
        <f>IFERROR(__xludf.DUMMYFUNCTION("""COMPUTED_VALUE"""),350.0)</f>
        <v>350</v>
      </c>
      <c r="D1071" s="5">
        <f>IFERROR(__xludf.DUMMYFUNCTION("""COMPUTED_VALUE"""),332.0)</f>
        <v>332</v>
      </c>
      <c r="E1071" s="5">
        <f>IFERROR(__xludf.DUMMYFUNCTION("""COMPUTED_VALUE"""),348.0)</f>
        <v>348</v>
      </c>
      <c r="F1071" s="5">
        <f>IFERROR(__xludf.DUMMYFUNCTION("""COMPUTED_VALUE"""),1.34857E7)</f>
        <v>13485700</v>
      </c>
      <c r="G1071" s="5">
        <f t="shared" si="1"/>
        <v>18</v>
      </c>
    </row>
    <row r="1072">
      <c r="A1072" s="4">
        <f>IFERROR(__xludf.DUMMYFUNCTION("""COMPUTED_VALUE"""),45450.66666666667)</f>
        <v>45450.66667</v>
      </c>
      <c r="B1072" s="5">
        <f>IFERROR(__xludf.DUMMYFUNCTION("""COMPUTED_VALUE"""),348.0)</f>
        <v>348</v>
      </c>
      <c r="C1072" s="5">
        <f>IFERROR(__xludf.DUMMYFUNCTION("""COMPUTED_VALUE"""),358.0)</f>
        <v>358</v>
      </c>
      <c r="D1072" s="5">
        <f>IFERROR(__xludf.DUMMYFUNCTION("""COMPUTED_VALUE"""),348.0)</f>
        <v>348</v>
      </c>
      <c r="E1072" s="5">
        <f>IFERROR(__xludf.DUMMYFUNCTION("""COMPUTED_VALUE"""),352.0)</f>
        <v>352</v>
      </c>
      <c r="F1072" s="5">
        <f>IFERROR(__xludf.DUMMYFUNCTION("""COMPUTED_VALUE"""),2.37556E7)</f>
        <v>23755600</v>
      </c>
      <c r="G1072" s="5">
        <f t="shared" si="1"/>
        <v>10</v>
      </c>
    </row>
    <row r="1073">
      <c r="A1073" s="4">
        <f>IFERROR(__xludf.DUMMYFUNCTION("""COMPUTED_VALUE"""),45453.66666666667)</f>
        <v>45453.66667</v>
      </c>
      <c r="B1073" s="5">
        <f>IFERROR(__xludf.DUMMYFUNCTION("""COMPUTED_VALUE"""),354.0)</f>
        <v>354</v>
      </c>
      <c r="C1073" s="5">
        <f>IFERROR(__xludf.DUMMYFUNCTION("""COMPUTED_VALUE"""),356.0)</f>
        <v>356</v>
      </c>
      <c r="D1073" s="5">
        <f>IFERROR(__xludf.DUMMYFUNCTION("""COMPUTED_VALUE"""),346.0)</f>
        <v>346</v>
      </c>
      <c r="E1073" s="5">
        <f>IFERROR(__xludf.DUMMYFUNCTION("""COMPUTED_VALUE"""),348.0)</f>
        <v>348</v>
      </c>
      <c r="F1073" s="5">
        <f>IFERROR(__xludf.DUMMYFUNCTION("""COMPUTED_VALUE"""),1.02746E7)</f>
        <v>10274600</v>
      </c>
      <c r="G1073" s="5">
        <f t="shared" si="1"/>
        <v>10</v>
      </c>
    </row>
    <row r="1074">
      <c r="A1074" s="4">
        <f>IFERROR(__xludf.DUMMYFUNCTION("""COMPUTED_VALUE"""),45454.66666666667)</f>
        <v>45454.66667</v>
      </c>
      <c r="B1074" s="5">
        <f>IFERROR(__xludf.DUMMYFUNCTION("""COMPUTED_VALUE"""),348.0)</f>
        <v>348</v>
      </c>
      <c r="C1074" s="5">
        <f>IFERROR(__xludf.DUMMYFUNCTION("""COMPUTED_VALUE"""),356.0)</f>
        <v>356</v>
      </c>
      <c r="D1074" s="5">
        <f>IFERROR(__xludf.DUMMYFUNCTION("""COMPUTED_VALUE"""),342.0)</f>
        <v>342</v>
      </c>
      <c r="E1074" s="5">
        <f>IFERROR(__xludf.DUMMYFUNCTION("""COMPUTED_VALUE"""),342.0)</f>
        <v>342</v>
      </c>
      <c r="F1074" s="5">
        <f>IFERROR(__xludf.DUMMYFUNCTION("""COMPUTED_VALUE"""),8820500.0)</f>
        <v>8820500</v>
      </c>
      <c r="G1074" s="5">
        <f t="shared" si="1"/>
        <v>14</v>
      </c>
    </row>
    <row r="1075">
      <c r="A1075" s="4">
        <f>IFERROR(__xludf.DUMMYFUNCTION("""COMPUTED_VALUE"""),45455.66666666667)</f>
        <v>45455.66667</v>
      </c>
      <c r="B1075" s="5">
        <f>IFERROR(__xludf.DUMMYFUNCTION("""COMPUTED_VALUE"""),348.0)</f>
        <v>348</v>
      </c>
      <c r="C1075" s="5">
        <f>IFERROR(__xludf.DUMMYFUNCTION("""COMPUTED_VALUE"""),348.0)</f>
        <v>348</v>
      </c>
      <c r="D1075" s="5">
        <f>IFERROR(__xludf.DUMMYFUNCTION("""COMPUTED_VALUE"""),324.0)</f>
        <v>324</v>
      </c>
      <c r="E1075" s="5">
        <f>IFERROR(__xludf.DUMMYFUNCTION("""COMPUTED_VALUE"""),328.0)</f>
        <v>328</v>
      </c>
      <c r="F1075" s="5">
        <f>IFERROR(__xludf.DUMMYFUNCTION("""COMPUTED_VALUE"""),2.28804E7)</f>
        <v>22880400</v>
      </c>
      <c r="G1075" s="5">
        <f t="shared" si="1"/>
        <v>24</v>
      </c>
    </row>
    <row r="1076">
      <c r="A1076" s="4">
        <f>IFERROR(__xludf.DUMMYFUNCTION("""COMPUTED_VALUE"""),45456.66666666667)</f>
        <v>45456.66667</v>
      </c>
      <c r="B1076" s="5">
        <f>IFERROR(__xludf.DUMMYFUNCTION("""COMPUTED_VALUE"""),330.0)</f>
        <v>330</v>
      </c>
      <c r="C1076" s="5">
        <f>IFERROR(__xludf.DUMMYFUNCTION("""COMPUTED_VALUE"""),338.0)</f>
        <v>338</v>
      </c>
      <c r="D1076" s="5">
        <f>IFERROR(__xludf.DUMMYFUNCTION("""COMPUTED_VALUE"""),322.0)</f>
        <v>322</v>
      </c>
      <c r="E1076" s="5">
        <f>IFERROR(__xludf.DUMMYFUNCTION("""COMPUTED_VALUE"""),328.0)</f>
        <v>328</v>
      </c>
      <c r="F1076" s="5">
        <f>IFERROR(__xludf.DUMMYFUNCTION("""COMPUTED_VALUE"""),1.64324E7)</f>
        <v>16432400</v>
      </c>
      <c r="G1076" s="5">
        <f t="shared" si="1"/>
        <v>16</v>
      </c>
    </row>
    <row r="1077">
      <c r="A1077" s="4">
        <f>IFERROR(__xludf.DUMMYFUNCTION("""COMPUTED_VALUE"""),45457.66666666667)</f>
        <v>45457.66667</v>
      </c>
      <c r="B1077" s="5">
        <f>IFERROR(__xludf.DUMMYFUNCTION("""COMPUTED_VALUE"""),324.0)</f>
        <v>324</v>
      </c>
      <c r="C1077" s="5">
        <f>IFERROR(__xludf.DUMMYFUNCTION("""COMPUTED_VALUE"""),330.0)</f>
        <v>330</v>
      </c>
      <c r="D1077" s="5">
        <f>IFERROR(__xludf.DUMMYFUNCTION("""COMPUTED_VALUE"""),310.0)</f>
        <v>310</v>
      </c>
      <c r="E1077" s="5">
        <f>IFERROR(__xludf.DUMMYFUNCTION("""COMPUTED_VALUE"""),310.0)</f>
        <v>310</v>
      </c>
      <c r="F1077" s="5">
        <f>IFERROR(__xludf.DUMMYFUNCTION("""COMPUTED_VALUE"""),1.87447E7)</f>
        <v>18744700</v>
      </c>
      <c r="G1077" s="5">
        <f t="shared" si="1"/>
        <v>20</v>
      </c>
    </row>
    <row r="1078">
      <c r="A1078" s="4">
        <f>IFERROR(__xludf.DUMMYFUNCTION("""COMPUTED_VALUE"""),45462.66666666667)</f>
        <v>45462.66667</v>
      </c>
      <c r="B1078" s="5">
        <f>IFERROR(__xludf.DUMMYFUNCTION("""COMPUTED_VALUE"""),296.0)</f>
        <v>296</v>
      </c>
      <c r="C1078" s="5">
        <f>IFERROR(__xludf.DUMMYFUNCTION("""COMPUTED_VALUE"""),312.0)</f>
        <v>312</v>
      </c>
      <c r="D1078" s="5">
        <f>IFERROR(__xludf.DUMMYFUNCTION("""COMPUTED_VALUE"""),278.0)</f>
        <v>278</v>
      </c>
      <c r="E1078" s="5">
        <f>IFERROR(__xludf.DUMMYFUNCTION("""COMPUTED_VALUE"""),278.0)</f>
        <v>278</v>
      </c>
      <c r="F1078" s="5">
        <f>IFERROR(__xludf.DUMMYFUNCTION("""COMPUTED_VALUE"""),5.56691E7)</f>
        <v>55669100</v>
      </c>
      <c r="G1078" s="5">
        <f t="shared" si="1"/>
        <v>34</v>
      </c>
    </row>
    <row r="1079">
      <c r="A1079" s="4">
        <f>IFERROR(__xludf.DUMMYFUNCTION("""COMPUTED_VALUE"""),45463.66666666667)</f>
        <v>45463.66667</v>
      </c>
      <c r="B1079" s="5">
        <f>IFERROR(__xludf.DUMMYFUNCTION("""COMPUTED_VALUE"""),280.0)</f>
        <v>280</v>
      </c>
      <c r="C1079" s="5">
        <f>IFERROR(__xludf.DUMMYFUNCTION("""COMPUTED_VALUE"""),294.0)</f>
        <v>294</v>
      </c>
      <c r="D1079" s="5">
        <f>IFERROR(__xludf.DUMMYFUNCTION("""COMPUTED_VALUE"""),278.0)</f>
        <v>278</v>
      </c>
      <c r="E1079" s="5">
        <f>IFERROR(__xludf.DUMMYFUNCTION("""COMPUTED_VALUE"""),284.0)</f>
        <v>284</v>
      </c>
      <c r="F1079" s="5">
        <f>IFERROR(__xludf.DUMMYFUNCTION("""COMPUTED_VALUE"""),2.14556E7)</f>
        <v>21455600</v>
      </c>
      <c r="G1079" s="5">
        <f t="shared" si="1"/>
        <v>16</v>
      </c>
    </row>
    <row r="1080">
      <c r="A1080" s="4">
        <f>IFERROR(__xludf.DUMMYFUNCTION("""COMPUTED_VALUE"""),45464.66666666667)</f>
        <v>45464.66667</v>
      </c>
      <c r="B1080" s="5">
        <f>IFERROR(__xludf.DUMMYFUNCTION("""COMPUTED_VALUE"""),286.0)</f>
        <v>286</v>
      </c>
      <c r="C1080" s="5">
        <f>IFERROR(__xludf.DUMMYFUNCTION("""COMPUTED_VALUE"""),308.0)</f>
        <v>308</v>
      </c>
      <c r="D1080" s="5">
        <f>IFERROR(__xludf.DUMMYFUNCTION("""COMPUTED_VALUE"""),284.0)</f>
        <v>284</v>
      </c>
      <c r="E1080" s="5">
        <f>IFERROR(__xludf.DUMMYFUNCTION("""COMPUTED_VALUE"""),300.0)</f>
        <v>300</v>
      </c>
      <c r="F1080" s="5">
        <f>IFERROR(__xludf.DUMMYFUNCTION("""COMPUTED_VALUE"""),3.15139E7)</f>
        <v>31513900</v>
      </c>
      <c r="G1080" s="5">
        <f t="shared" si="1"/>
        <v>24</v>
      </c>
    </row>
    <row r="1081">
      <c r="A1081" s="4">
        <f>IFERROR(__xludf.DUMMYFUNCTION("""COMPUTED_VALUE"""),45467.66666666667)</f>
        <v>45467.66667</v>
      </c>
      <c r="B1081" s="5">
        <f>IFERROR(__xludf.DUMMYFUNCTION("""COMPUTED_VALUE"""),300.0)</f>
        <v>300</v>
      </c>
      <c r="C1081" s="5">
        <f>IFERROR(__xludf.DUMMYFUNCTION("""COMPUTED_VALUE"""),308.0)</f>
        <v>308</v>
      </c>
      <c r="D1081" s="5">
        <f>IFERROR(__xludf.DUMMYFUNCTION("""COMPUTED_VALUE"""),298.0)</f>
        <v>298</v>
      </c>
      <c r="E1081" s="5">
        <f>IFERROR(__xludf.DUMMYFUNCTION("""COMPUTED_VALUE"""),298.0)</f>
        <v>298</v>
      </c>
      <c r="F1081" s="5">
        <f>IFERROR(__xludf.DUMMYFUNCTION("""COMPUTED_VALUE"""),1.3753E7)</f>
        <v>13753000</v>
      </c>
      <c r="G1081" s="5">
        <f t="shared" si="1"/>
        <v>10</v>
      </c>
    </row>
    <row r="1082">
      <c r="A1082" s="4">
        <f>IFERROR(__xludf.DUMMYFUNCTION("""COMPUTED_VALUE"""),45468.66666666667)</f>
        <v>45468.66667</v>
      </c>
      <c r="B1082" s="5">
        <f>IFERROR(__xludf.DUMMYFUNCTION("""COMPUTED_VALUE"""),298.0)</f>
        <v>298</v>
      </c>
      <c r="C1082" s="5">
        <f>IFERROR(__xludf.DUMMYFUNCTION("""COMPUTED_VALUE"""),302.0)</f>
        <v>302</v>
      </c>
      <c r="D1082" s="5">
        <f>IFERROR(__xludf.DUMMYFUNCTION("""COMPUTED_VALUE"""),286.0)</f>
        <v>286</v>
      </c>
      <c r="E1082" s="5">
        <f>IFERROR(__xludf.DUMMYFUNCTION("""COMPUTED_VALUE"""),288.0)</f>
        <v>288</v>
      </c>
      <c r="F1082" s="5">
        <f>IFERROR(__xludf.DUMMYFUNCTION("""COMPUTED_VALUE"""),1.41547E7)</f>
        <v>14154700</v>
      </c>
      <c r="G1082" s="5">
        <f t="shared" si="1"/>
        <v>16</v>
      </c>
    </row>
    <row r="1083">
      <c r="A1083" s="4">
        <f>IFERROR(__xludf.DUMMYFUNCTION("""COMPUTED_VALUE"""),45469.66666666667)</f>
        <v>45469.66667</v>
      </c>
      <c r="B1083" s="5">
        <f>IFERROR(__xludf.DUMMYFUNCTION("""COMPUTED_VALUE"""),286.0)</f>
        <v>286</v>
      </c>
      <c r="C1083" s="5">
        <f>IFERROR(__xludf.DUMMYFUNCTION("""COMPUTED_VALUE"""),296.0)</f>
        <v>296</v>
      </c>
      <c r="D1083" s="5">
        <f>IFERROR(__xludf.DUMMYFUNCTION("""COMPUTED_VALUE"""),286.0)</f>
        <v>286</v>
      </c>
      <c r="E1083" s="5">
        <f>IFERROR(__xludf.DUMMYFUNCTION("""COMPUTED_VALUE"""),290.0)</f>
        <v>290</v>
      </c>
      <c r="F1083" s="5">
        <f>IFERROR(__xludf.DUMMYFUNCTION("""COMPUTED_VALUE"""),1.04954E7)</f>
        <v>10495400</v>
      </c>
      <c r="G1083" s="5">
        <f t="shared" si="1"/>
        <v>10</v>
      </c>
    </row>
    <row r="1084">
      <c r="A1084" s="4">
        <f>IFERROR(__xludf.DUMMYFUNCTION("""COMPUTED_VALUE"""),45470.66666666667)</f>
        <v>45470.66667</v>
      </c>
      <c r="B1084" s="5">
        <f>IFERROR(__xludf.DUMMYFUNCTION("""COMPUTED_VALUE"""),272.0)</f>
        <v>272</v>
      </c>
      <c r="C1084" s="5">
        <f>IFERROR(__xludf.DUMMYFUNCTION("""COMPUTED_VALUE"""),300.0)</f>
        <v>300</v>
      </c>
      <c r="D1084" s="5">
        <f>IFERROR(__xludf.DUMMYFUNCTION("""COMPUTED_VALUE"""),272.0)</f>
        <v>272</v>
      </c>
      <c r="E1084" s="5">
        <f>IFERROR(__xludf.DUMMYFUNCTION("""COMPUTED_VALUE"""),286.0)</f>
        <v>286</v>
      </c>
      <c r="F1084" s="5">
        <f>IFERROR(__xludf.DUMMYFUNCTION("""COMPUTED_VALUE"""),8548500.0)</f>
        <v>8548500</v>
      </c>
      <c r="G1084" s="5">
        <f t="shared" si="1"/>
        <v>28</v>
      </c>
    </row>
    <row r="1085">
      <c r="A1085" s="4">
        <f>IFERROR(__xludf.DUMMYFUNCTION("""COMPUTED_VALUE"""),45471.66666666667)</f>
        <v>45471.66667</v>
      </c>
      <c r="B1085" s="5">
        <f>IFERROR(__xludf.DUMMYFUNCTION("""COMPUTED_VALUE"""),288.0)</f>
        <v>288</v>
      </c>
      <c r="C1085" s="5">
        <f>IFERROR(__xludf.DUMMYFUNCTION("""COMPUTED_VALUE"""),302.0)</f>
        <v>302</v>
      </c>
      <c r="D1085" s="5">
        <f>IFERROR(__xludf.DUMMYFUNCTION("""COMPUTED_VALUE"""),286.0)</f>
        <v>286</v>
      </c>
      <c r="E1085" s="5">
        <f>IFERROR(__xludf.DUMMYFUNCTION("""COMPUTED_VALUE"""),290.0)</f>
        <v>290</v>
      </c>
      <c r="F1085" s="5">
        <f>IFERROR(__xludf.DUMMYFUNCTION("""COMPUTED_VALUE"""),3.06797E7)</f>
        <v>30679700</v>
      </c>
      <c r="G1085" s="5">
        <f t="shared" si="1"/>
        <v>16</v>
      </c>
    </row>
    <row r="1086">
      <c r="A1086" s="4">
        <f>IFERROR(__xludf.DUMMYFUNCTION("""COMPUTED_VALUE"""),45474.66666666667)</f>
        <v>45474.66667</v>
      </c>
      <c r="B1086" s="5">
        <f>IFERROR(__xludf.DUMMYFUNCTION("""COMPUTED_VALUE"""),280.0)</f>
        <v>280</v>
      </c>
      <c r="C1086" s="5">
        <f>IFERROR(__xludf.DUMMYFUNCTION("""COMPUTED_VALUE"""),310.0)</f>
        <v>310</v>
      </c>
      <c r="D1086" s="5">
        <f>IFERROR(__xludf.DUMMYFUNCTION("""COMPUTED_VALUE"""),280.0)</f>
        <v>280</v>
      </c>
      <c r="E1086" s="5">
        <f>IFERROR(__xludf.DUMMYFUNCTION("""COMPUTED_VALUE"""),302.0)</f>
        <v>302</v>
      </c>
      <c r="F1086" s="5">
        <f>IFERROR(__xludf.DUMMYFUNCTION("""COMPUTED_VALUE"""),1.2166E8)</f>
        <v>121660000</v>
      </c>
      <c r="G1086" s="5">
        <f t="shared" si="1"/>
        <v>30</v>
      </c>
    </row>
    <row r="1087">
      <c r="A1087" s="4">
        <f>IFERROR(__xludf.DUMMYFUNCTION("""COMPUTED_VALUE"""),45475.66666666667)</f>
        <v>45475.66667</v>
      </c>
      <c r="B1087" s="5">
        <f>IFERROR(__xludf.DUMMYFUNCTION("""COMPUTED_VALUE"""),302.0)</f>
        <v>302</v>
      </c>
      <c r="C1087" s="5">
        <f>IFERROR(__xludf.DUMMYFUNCTION("""COMPUTED_VALUE"""),322.0)</f>
        <v>322</v>
      </c>
      <c r="D1087" s="5">
        <f>IFERROR(__xludf.DUMMYFUNCTION("""COMPUTED_VALUE"""),298.0)</f>
        <v>298</v>
      </c>
      <c r="E1087" s="5">
        <f>IFERROR(__xludf.DUMMYFUNCTION("""COMPUTED_VALUE"""),312.0)</f>
        <v>312</v>
      </c>
      <c r="F1087" s="5">
        <f>IFERROR(__xludf.DUMMYFUNCTION("""COMPUTED_VALUE"""),1.37739E8)</f>
        <v>137739000</v>
      </c>
      <c r="G1087" s="5">
        <f t="shared" si="1"/>
        <v>24</v>
      </c>
    </row>
    <row r="1088">
      <c r="A1088" s="4">
        <f>IFERROR(__xludf.DUMMYFUNCTION("""COMPUTED_VALUE"""),45476.66666666667)</f>
        <v>45476.66667</v>
      </c>
      <c r="B1088" s="5">
        <f>IFERROR(__xludf.DUMMYFUNCTION("""COMPUTED_VALUE"""),314.0)</f>
        <v>314</v>
      </c>
      <c r="C1088" s="5">
        <f>IFERROR(__xludf.DUMMYFUNCTION("""COMPUTED_VALUE"""),354.0)</f>
        <v>354</v>
      </c>
      <c r="D1088" s="5">
        <f>IFERROR(__xludf.DUMMYFUNCTION("""COMPUTED_VALUE"""),310.0)</f>
        <v>310</v>
      </c>
      <c r="E1088" s="5">
        <f>IFERROR(__xludf.DUMMYFUNCTION("""COMPUTED_VALUE"""),342.0)</f>
        <v>342</v>
      </c>
      <c r="F1088" s="5">
        <f>IFERROR(__xludf.DUMMYFUNCTION("""COMPUTED_VALUE"""),2.220325E8)</f>
        <v>222032500</v>
      </c>
      <c r="G1088" s="5">
        <f t="shared" si="1"/>
        <v>44</v>
      </c>
    </row>
    <row r="1089">
      <c r="A1089" s="4">
        <f>IFERROR(__xludf.DUMMYFUNCTION("""COMPUTED_VALUE"""),45477.66666666667)</f>
        <v>45477.66667</v>
      </c>
      <c r="B1089" s="5">
        <f>IFERROR(__xludf.DUMMYFUNCTION("""COMPUTED_VALUE"""),344.0)</f>
        <v>344</v>
      </c>
      <c r="C1089" s="5">
        <f>IFERROR(__xludf.DUMMYFUNCTION("""COMPUTED_VALUE"""),350.0)</f>
        <v>350</v>
      </c>
      <c r="D1089" s="5">
        <f>IFERROR(__xludf.DUMMYFUNCTION("""COMPUTED_VALUE"""),328.0)</f>
        <v>328</v>
      </c>
      <c r="E1089" s="5">
        <f>IFERROR(__xludf.DUMMYFUNCTION("""COMPUTED_VALUE"""),332.0)</f>
        <v>332</v>
      </c>
      <c r="F1089" s="5">
        <f>IFERROR(__xludf.DUMMYFUNCTION("""COMPUTED_VALUE"""),8.59006E7)</f>
        <v>85900600</v>
      </c>
      <c r="G1089" s="5">
        <f t="shared" si="1"/>
        <v>22</v>
      </c>
    </row>
    <row r="1090">
      <c r="A1090" s="4">
        <f>IFERROR(__xludf.DUMMYFUNCTION("""COMPUTED_VALUE"""),45478.66666666667)</f>
        <v>45478.66667</v>
      </c>
      <c r="B1090" s="5">
        <f>IFERROR(__xludf.DUMMYFUNCTION("""COMPUTED_VALUE"""),332.0)</f>
        <v>332</v>
      </c>
      <c r="C1090" s="5">
        <f>IFERROR(__xludf.DUMMYFUNCTION("""COMPUTED_VALUE"""),346.0)</f>
        <v>346</v>
      </c>
      <c r="D1090" s="5">
        <f>IFERROR(__xludf.DUMMYFUNCTION("""COMPUTED_VALUE"""),328.0)</f>
        <v>328</v>
      </c>
      <c r="E1090" s="5">
        <f>IFERROR(__xludf.DUMMYFUNCTION("""COMPUTED_VALUE"""),332.0)</f>
        <v>332</v>
      </c>
      <c r="F1090" s="5">
        <f>IFERROR(__xludf.DUMMYFUNCTION("""COMPUTED_VALUE"""),6.21167E7)</f>
        <v>62116700</v>
      </c>
      <c r="G1090" s="5">
        <f t="shared" si="1"/>
        <v>18</v>
      </c>
    </row>
    <row r="1091">
      <c r="A1091" s="4">
        <f>IFERROR(__xludf.DUMMYFUNCTION("""COMPUTED_VALUE"""),45481.66666666667)</f>
        <v>45481.66667</v>
      </c>
      <c r="B1091" s="5">
        <f>IFERROR(__xludf.DUMMYFUNCTION("""COMPUTED_VALUE"""),334.0)</f>
        <v>334</v>
      </c>
      <c r="C1091" s="5">
        <f>IFERROR(__xludf.DUMMYFUNCTION("""COMPUTED_VALUE"""),408.0)</f>
        <v>408</v>
      </c>
      <c r="D1091" s="5">
        <f>IFERROR(__xludf.DUMMYFUNCTION("""COMPUTED_VALUE"""),330.0)</f>
        <v>330</v>
      </c>
      <c r="E1091" s="5">
        <f>IFERROR(__xludf.DUMMYFUNCTION("""COMPUTED_VALUE"""),404.0)</f>
        <v>404</v>
      </c>
      <c r="F1091" s="5">
        <f>IFERROR(__xludf.DUMMYFUNCTION("""COMPUTED_VALUE"""),2.885926E8)</f>
        <v>288592600</v>
      </c>
      <c r="G1091" s="5">
        <f t="shared" si="1"/>
        <v>78</v>
      </c>
    </row>
    <row r="1092">
      <c r="A1092" s="4">
        <f>IFERROR(__xludf.DUMMYFUNCTION("""COMPUTED_VALUE"""),45482.66666666667)</f>
        <v>45482.66667</v>
      </c>
      <c r="B1092" s="5">
        <f>IFERROR(__xludf.DUMMYFUNCTION("""COMPUTED_VALUE"""),404.0)</f>
        <v>404</v>
      </c>
      <c r="C1092" s="5">
        <f>IFERROR(__xludf.DUMMYFUNCTION("""COMPUTED_VALUE"""),434.0)</f>
        <v>434</v>
      </c>
      <c r="D1092" s="5">
        <f>IFERROR(__xludf.DUMMYFUNCTION("""COMPUTED_VALUE"""),396.0)</f>
        <v>396</v>
      </c>
      <c r="E1092" s="5">
        <f>IFERROR(__xludf.DUMMYFUNCTION("""COMPUTED_VALUE"""),400.0)</f>
        <v>400</v>
      </c>
      <c r="F1092" s="5">
        <f>IFERROR(__xludf.DUMMYFUNCTION("""COMPUTED_VALUE"""),3.641927E8)</f>
        <v>364192700</v>
      </c>
      <c r="G1092" s="5">
        <f t="shared" si="1"/>
        <v>38</v>
      </c>
    </row>
    <row r="1093">
      <c r="A1093" s="4">
        <f>IFERROR(__xludf.DUMMYFUNCTION("""COMPUTED_VALUE"""),45483.66666666667)</f>
        <v>45483.66667</v>
      </c>
      <c r="B1093" s="5">
        <f>IFERROR(__xludf.DUMMYFUNCTION("""COMPUTED_VALUE"""),400.0)</f>
        <v>400</v>
      </c>
      <c r="C1093" s="5">
        <f>IFERROR(__xludf.DUMMYFUNCTION("""COMPUTED_VALUE"""),418.0)</f>
        <v>418</v>
      </c>
      <c r="D1093" s="5">
        <f>IFERROR(__xludf.DUMMYFUNCTION("""COMPUTED_VALUE"""),392.0)</f>
        <v>392</v>
      </c>
      <c r="E1093" s="5">
        <f>IFERROR(__xludf.DUMMYFUNCTION("""COMPUTED_VALUE"""),392.0)</f>
        <v>392</v>
      </c>
      <c r="F1093" s="5">
        <f>IFERROR(__xludf.DUMMYFUNCTION("""COMPUTED_VALUE"""),8.41891E7)</f>
        <v>84189100</v>
      </c>
      <c r="G1093" s="5">
        <f t="shared" si="1"/>
        <v>26</v>
      </c>
    </row>
    <row r="1094">
      <c r="A1094" s="4">
        <f>IFERROR(__xludf.DUMMYFUNCTION("""COMPUTED_VALUE"""),45484.66666666667)</f>
        <v>45484.66667</v>
      </c>
      <c r="B1094" s="5">
        <f>IFERROR(__xludf.DUMMYFUNCTION("""COMPUTED_VALUE"""),394.0)</f>
        <v>394</v>
      </c>
      <c r="C1094" s="5">
        <f>IFERROR(__xludf.DUMMYFUNCTION("""COMPUTED_VALUE"""),406.0)</f>
        <v>406</v>
      </c>
      <c r="D1094" s="5">
        <f>IFERROR(__xludf.DUMMYFUNCTION("""COMPUTED_VALUE"""),380.0)</f>
        <v>380</v>
      </c>
      <c r="E1094" s="5">
        <f>IFERROR(__xludf.DUMMYFUNCTION("""COMPUTED_VALUE"""),388.0)</f>
        <v>388</v>
      </c>
      <c r="F1094" s="5">
        <f>IFERROR(__xludf.DUMMYFUNCTION("""COMPUTED_VALUE"""),5.74415E7)</f>
        <v>57441500</v>
      </c>
      <c r="G1094" s="5">
        <f t="shared" si="1"/>
        <v>26</v>
      </c>
    </row>
    <row r="1095">
      <c r="A1095" s="4">
        <f>IFERROR(__xludf.DUMMYFUNCTION("""COMPUTED_VALUE"""),45485.66666666667)</f>
        <v>45485.66667</v>
      </c>
      <c r="B1095" s="5">
        <f>IFERROR(__xludf.DUMMYFUNCTION("""COMPUTED_VALUE"""),388.0)</f>
        <v>388</v>
      </c>
      <c r="C1095" s="5">
        <f>IFERROR(__xludf.DUMMYFUNCTION("""COMPUTED_VALUE"""),424.0)</f>
        <v>424</v>
      </c>
      <c r="D1095" s="5">
        <f>IFERROR(__xludf.DUMMYFUNCTION("""COMPUTED_VALUE"""),388.0)</f>
        <v>388</v>
      </c>
      <c r="E1095" s="5">
        <f>IFERROR(__xludf.DUMMYFUNCTION("""COMPUTED_VALUE"""),416.0)</f>
        <v>416</v>
      </c>
      <c r="F1095" s="5">
        <f>IFERROR(__xludf.DUMMYFUNCTION("""COMPUTED_VALUE"""),2.031213E8)</f>
        <v>203121300</v>
      </c>
      <c r="G1095" s="5">
        <f t="shared" si="1"/>
        <v>36</v>
      </c>
    </row>
    <row r="1096">
      <c r="A1096" s="4">
        <f>IFERROR(__xludf.DUMMYFUNCTION("""COMPUTED_VALUE"""),45488.66666666667)</f>
        <v>45488.66667</v>
      </c>
      <c r="B1096" s="5">
        <f>IFERROR(__xludf.DUMMYFUNCTION("""COMPUTED_VALUE"""),418.0)</f>
        <v>418</v>
      </c>
      <c r="C1096" s="5">
        <f>IFERROR(__xludf.DUMMYFUNCTION("""COMPUTED_VALUE"""),424.0)</f>
        <v>424</v>
      </c>
      <c r="D1096" s="5">
        <f>IFERROR(__xludf.DUMMYFUNCTION("""COMPUTED_VALUE"""),396.0)</f>
        <v>396</v>
      </c>
      <c r="E1096" s="5">
        <f>IFERROR(__xludf.DUMMYFUNCTION("""COMPUTED_VALUE"""),406.0)</f>
        <v>406</v>
      </c>
      <c r="F1096" s="5">
        <f>IFERROR(__xludf.DUMMYFUNCTION("""COMPUTED_VALUE"""),9.93755E7)</f>
        <v>99375500</v>
      </c>
      <c r="G1096" s="5">
        <f t="shared" si="1"/>
        <v>28</v>
      </c>
    </row>
    <row r="1097">
      <c r="A1097" s="4">
        <f>IFERROR(__xludf.DUMMYFUNCTION("""COMPUTED_VALUE"""),45489.66666666667)</f>
        <v>45489.66667</v>
      </c>
      <c r="B1097" s="5">
        <f>IFERROR(__xludf.DUMMYFUNCTION("""COMPUTED_VALUE"""),406.0)</f>
        <v>406</v>
      </c>
      <c r="C1097" s="5">
        <f>IFERROR(__xludf.DUMMYFUNCTION("""COMPUTED_VALUE"""),408.0)</f>
        <v>408</v>
      </c>
      <c r="D1097" s="5">
        <f>IFERROR(__xludf.DUMMYFUNCTION("""COMPUTED_VALUE"""),396.0)</f>
        <v>396</v>
      </c>
      <c r="E1097" s="5">
        <f>IFERROR(__xludf.DUMMYFUNCTION("""COMPUTED_VALUE"""),398.0)</f>
        <v>398</v>
      </c>
      <c r="F1097" s="5">
        <f>IFERROR(__xludf.DUMMYFUNCTION("""COMPUTED_VALUE"""),5.1526E7)</f>
        <v>51526000</v>
      </c>
      <c r="G1097" s="5">
        <f t="shared" si="1"/>
        <v>12</v>
      </c>
    </row>
    <row r="1098">
      <c r="A1098" s="4">
        <f>IFERROR(__xludf.DUMMYFUNCTION("""COMPUTED_VALUE"""),45490.66666666667)</f>
        <v>45490.66667</v>
      </c>
      <c r="B1098" s="5">
        <f>IFERROR(__xludf.DUMMYFUNCTION("""COMPUTED_VALUE"""),400.0)</f>
        <v>400</v>
      </c>
      <c r="C1098" s="5">
        <f>IFERROR(__xludf.DUMMYFUNCTION("""COMPUTED_VALUE"""),418.0)</f>
        <v>418</v>
      </c>
      <c r="D1098" s="5">
        <f>IFERROR(__xludf.DUMMYFUNCTION("""COMPUTED_VALUE"""),398.0)</f>
        <v>398</v>
      </c>
      <c r="E1098" s="5">
        <f>IFERROR(__xludf.DUMMYFUNCTION("""COMPUTED_VALUE"""),410.0)</f>
        <v>410</v>
      </c>
      <c r="F1098" s="5">
        <f>IFERROR(__xludf.DUMMYFUNCTION("""COMPUTED_VALUE"""),7.62585E7)</f>
        <v>76258500</v>
      </c>
      <c r="G1098" s="5">
        <f t="shared" si="1"/>
        <v>20</v>
      </c>
    </row>
    <row r="1099">
      <c r="A1099" s="4">
        <f>IFERROR(__xludf.DUMMYFUNCTION("""COMPUTED_VALUE"""),45491.66666666667)</f>
        <v>45491.66667</v>
      </c>
      <c r="B1099" s="5">
        <f>IFERROR(__xludf.DUMMYFUNCTION("""COMPUTED_VALUE"""),410.0)</f>
        <v>410</v>
      </c>
      <c r="C1099" s="5">
        <f>IFERROR(__xludf.DUMMYFUNCTION("""COMPUTED_VALUE"""),414.0)</f>
        <v>414</v>
      </c>
      <c r="D1099" s="5">
        <f>IFERROR(__xludf.DUMMYFUNCTION("""COMPUTED_VALUE"""),404.0)</f>
        <v>404</v>
      </c>
      <c r="E1099" s="5">
        <f>IFERROR(__xludf.DUMMYFUNCTION("""COMPUTED_VALUE"""),408.0)</f>
        <v>408</v>
      </c>
      <c r="F1099" s="5">
        <f>IFERROR(__xludf.DUMMYFUNCTION("""COMPUTED_VALUE"""),3.99786E7)</f>
        <v>39978600</v>
      </c>
      <c r="G1099" s="5">
        <f t="shared" si="1"/>
        <v>10</v>
      </c>
    </row>
    <row r="1100">
      <c r="A1100" s="4">
        <f>IFERROR(__xludf.DUMMYFUNCTION("""COMPUTED_VALUE"""),45492.66666666667)</f>
        <v>45492.66667</v>
      </c>
      <c r="B1100" s="5">
        <f>IFERROR(__xludf.DUMMYFUNCTION("""COMPUTED_VALUE"""),410.0)</f>
        <v>410</v>
      </c>
      <c r="C1100" s="5">
        <f>IFERROR(__xludf.DUMMYFUNCTION("""COMPUTED_VALUE"""),410.0)</f>
        <v>410</v>
      </c>
      <c r="D1100" s="5">
        <f>IFERROR(__xludf.DUMMYFUNCTION("""COMPUTED_VALUE"""),396.0)</f>
        <v>396</v>
      </c>
      <c r="E1100" s="5">
        <f>IFERROR(__xludf.DUMMYFUNCTION("""COMPUTED_VALUE"""),398.0)</f>
        <v>398</v>
      </c>
      <c r="F1100" s="5">
        <f>IFERROR(__xludf.DUMMYFUNCTION("""COMPUTED_VALUE"""),3.27994E7)</f>
        <v>32799400</v>
      </c>
      <c r="G1100" s="5">
        <f t="shared" si="1"/>
        <v>14</v>
      </c>
    </row>
    <row r="1101">
      <c r="A1101" s="4">
        <f>IFERROR(__xludf.DUMMYFUNCTION("""COMPUTED_VALUE"""),45495.66666666667)</f>
        <v>45495.66667</v>
      </c>
      <c r="B1101" s="5">
        <f>IFERROR(__xludf.DUMMYFUNCTION("""COMPUTED_VALUE"""),400.0)</f>
        <v>400</v>
      </c>
      <c r="C1101" s="5">
        <f>IFERROR(__xludf.DUMMYFUNCTION("""COMPUTED_VALUE"""),412.0)</f>
        <v>412</v>
      </c>
      <c r="D1101" s="5">
        <f>IFERROR(__xludf.DUMMYFUNCTION("""COMPUTED_VALUE"""),400.0)</f>
        <v>400</v>
      </c>
      <c r="E1101" s="5">
        <f>IFERROR(__xludf.DUMMYFUNCTION("""COMPUTED_VALUE"""),404.0)</f>
        <v>404</v>
      </c>
      <c r="F1101" s="5">
        <f>IFERROR(__xludf.DUMMYFUNCTION("""COMPUTED_VALUE"""),4.40991E7)</f>
        <v>44099100</v>
      </c>
      <c r="G1101" s="5">
        <f t="shared" si="1"/>
        <v>14</v>
      </c>
    </row>
    <row r="1102">
      <c r="A1102" s="4">
        <f>IFERROR(__xludf.DUMMYFUNCTION("""COMPUTED_VALUE"""),45496.66666666667)</f>
        <v>45496.66667</v>
      </c>
      <c r="B1102" s="5">
        <f>IFERROR(__xludf.DUMMYFUNCTION("""COMPUTED_VALUE"""),404.0)</f>
        <v>404</v>
      </c>
      <c r="C1102" s="5">
        <f>IFERROR(__xludf.DUMMYFUNCTION("""COMPUTED_VALUE"""),410.0)</f>
        <v>410</v>
      </c>
      <c r="D1102" s="5">
        <f>IFERROR(__xludf.DUMMYFUNCTION("""COMPUTED_VALUE"""),398.0)</f>
        <v>398</v>
      </c>
      <c r="E1102" s="5">
        <f>IFERROR(__xludf.DUMMYFUNCTION("""COMPUTED_VALUE"""),406.0)</f>
        <v>406</v>
      </c>
      <c r="F1102" s="5">
        <f>IFERROR(__xludf.DUMMYFUNCTION("""COMPUTED_VALUE"""),3.53777E7)</f>
        <v>35377700</v>
      </c>
      <c r="G1102" s="5">
        <f t="shared" si="1"/>
        <v>12</v>
      </c>
    </row>
    <row r="1103">
      <c r="A1103" s="4">
        <f>IFERROR(__xludf.DUMMYFUNCTION("""COMPUTED_VALUE"""),45497.66666666667)</f>
        <v>45497.66667</v>
      </c>
      <c r="B1103" s="5">
        <f>IFERROR(__xludf.DUMMYFUNCTION("""COMPUTED_VALUE"""),406.0)</f>
        <v>406</v>
      </c>
      <c r="C1103" s="5">
        <f>IFERROR(__xludf.DUMMYFUNCTION("""COMPUTED_VALUE"""),408.0)</f>
        <v>408</v>
      </c>
      <c r="D1103" s="5">
        <f>IFERROR(__xludf.DUMMYFUNCTION("""COMPUTED_VALUE"""),378.0)</f>
        <v>378</v>
      </c>
      <c r="E1103" s="5">
        <f>IFERROR(__xludf.DUMMYFUNCTION("""COMPUTED_VALUE"""),378.0)</f>
        <v>378</v>
      </c>
      <c r="F1103" s="5">
        <f>IFERROR(__xludf.DUMMYFUNCTION("""COMPUTED_VALUE"""),4.67856E7)</f>
        <v>46785600</v>
      </c>
      <c r="G1103" s="5">
        <f t="shared" si="1"/>
        <v>30</v>
      </c>
    </row>
    <row r="1104">
      <c r="A1104" s="4">
        <f>IFERROR(__xludf.DUMMYFUNCTION("""COMPUTED_VALUE"""),45498.66666666667)</f>
        <v>45498.66667</v>
      </c>
      <c r="B1104" s="5">
        <f>IFERROR(__xludf.DUMMYFUNCTION("""COMPUTED_VALUE"""),378.0)</f>
        <v>378</v>
      </c>
      <c r="C1104" s="5">
        <f>IFERROR(__xludf.DUMMYFUNCTION("""COMPUTED_VALUE"""),392.0)</f>
        <v>392</v>
      </c>
      <c r="D1104" s="5">
        <f>IFERROR(__xludf.DUMMYFUNCTION("""COMPUTED_VALUE"""),370.0)</f>
        <v>370</v>
      </c>
      <c r="E1104" s="5">
        <f>IFERROR(__xludf.DUMMYFUNCTION("""COMPUTED_VALUE"""),382.0)</f>
        <v>382</v>
      </c>
      <c r="F1104" s="5">
        <f>IFERROR(__xludf.DUMMYFUNCTION("""COMPUTED_VALUE"""),3.62799E7)</f>
        <v>36279900</v>
      </c>
      <c r="G1104" s="5">
        <f t="shared" si="1"/>
        <v>22</v>
      </c>
    </row>
    <row r="1105">
      <c r="A1105" s="4">
        <f>IFERROR(__xludf.DUMMYFUNCTION("""COMPUTED_VALUE"""),45499.66666666667)</f>
        <v>45499.66667</v>
      </c>
      <c r="B1105" s="5">
        <f>IFERROR(__xludf.DUMMYFUNCTION("""COMPUTED_VALUE"""),382.0)</f>
        <v>382</v>
      </c>
      <c r="C1105" s="5">
        <f>IFERROR(__xludf.DUMMYFUNCTION("""COMPUTED_VALUE"""),396.0)</f>
        <v>396</v>
      </c>
      <c r="D1105" s="5">
        <f>IFERROR(__xludf.DUMMYFUNCTION("""COMPUTED_VALUE"""),382.0)</f>
        <v>382</v>
      </c>
      <c r="E1105" s="5">
        <f>IFERROR(__xludf.DUMMYFUNCTION("""COMPUTED_VALUE"""),386.0)</f>
        <v>386</v>
      </c>
      <c r="F1105" s="5">
        <f>IFERROR(__xludf.DUMMYFUNCTION("""COMPUTED_VALUE"""),2.445E7)</f>
        <v>24450000</v>
      </c>
      <c r="G1105" s="5">
        <f t="shared" si="1"/>
        <v>14</v>
      </c>
    </row>
    <row r="1106">
      <c r="A1106" s="4">
        <f>IFERROR(__xludf.DUMMYFUNCTION("""COMPUTED_VALUE"""),45502.66666666667)</f>
        <v>45502.66667</v>
      </c>
      <c r="B1106" s="5">
        <f>IFERROR(__xludf.DUMMYFUNCTION("""COMPUTED_VALUE"""),388.0)</f>
        <v>388</v>
      </c>
      <c r="C1106" s="5">
        <f>IFERROR(__xludf.DUMMYFUNCTION("""COMPUTED_VALUE"""),394.0)</f>
        <v>394</v>
      </c>
      <c r="D1106" s="5">
        <f>IFERROR(__xludf.DUMMYFUNCTION("""COMPUTED_VALUE"""),384.0)</f>
        <v>384</v>
      </c>
      <c r="E1106" s="5">
        <f>IFERROR(__xludf.DUMMYFUNCTION("""COMPUTED_VALUE"""),390.0)</f>
        <v>390</v>
      </c>
      <c r="F1106" s="5">
        <f>IFERROR(__xludf.DUMMYFUNCTION("""COMPUTED_VALUE"""),2.4002E7)</f>
        <v>24002000</v>
      </c>
      <c r="G1106" s="5">
        <f t="shared" si="1"/>
        <v>10</v>
      </c>
    </row>
    <row r="1107">
      <c r="A1107" s="4">
        <f>IFERROR(__xludf.DUMMYFUNCTION("""COMPUTED_VALUE"""),45503.66666666667)</f>
        <v>45503.66667</v>
      </c>
      <c r="B1107" s="5">
        <f>IFERROR(__xludf.DUMMYFUNCTION("""COMPUTED_VALUE"""),390.0)</f>
        <v>390</v>
      </c>
      <c r="C1107" s="5">
        <f>IFERROR(__xludf.DUMMYFUNCTION("""COMPUTED_VALUE"""),394.0)</f>
        <v>394</v>
      </c>
      <c r="D1107" s="5">
        <f>IFERROR(__xludf.DUMMYFUNCTION("""COMPUTED_VALUE"""),376.0)</f>
        <v>376</v>
      </c>
      <c r="E1107" s="5">
        <f>IFERROR(__xludf.DUMMYFUNCTION("""COMPUTED_VALUE"""),378.0)</f>
        <v>378</v>
      </c>
      <c r="F1107" s="5">
        <f>IFERROR(__xludf.DUMMYFUNCTION("""COMPUTED_VALUE"""),2.79494E7)</f>
        <v>27949400</v>
      </c>
      <c r="G1107" s="5">
        <f t="shared" si="1"/>
        <v>18</v>
      </c>
    </row>
    <row r="1108">
      <c r="A1108" s="4">
        <f>IFERROR(__xludf.DUMMYFUNCTION("""COMPUTED_VALUE"""),45504.66666666667)</f>
        <v>45504.66667</v>
      </c>
      <c r="B1108" s="5">
        <f>IFERROR(__xludf.DUMMYFUNCTION("""COMPUTED_VALUE"""),380.0)</f>
        <v>380</v>
      </c>
      <c r="C1108" s="5">
        <f>IFERROR(__xludf.DUMMYFUNCTION("""COMPUTED_VALUE"""),382.0)</f>
        <v>382</v>
      </c>
      <c r="D1108" s="5">
        <f>IFERROR(__xludf.DUMMYFUNCTION("""COMPUTED_VALUE"""),370.0)</f>
        <v>370</v>
      </c>
      <c r="E1108" s="5">
        <f>IFERROR(__xludf.DUMMYFUNCTION("""COMPUTED_VALUE"""),376.0)</f>
        <v>376</v>
      </c>
      <c r="F1108" s="5">
        <f>IFERROR(__xludf.DUMMYFUNCTION("""COMPUTED_VALUE"""),2.90762E7)</f>
        <v>29076200</v>
      </c>
      <c r="G1108" s="5">
        <f t="shared" si="1"/>
        <v>12</v>
      </c>
    </row>
    <row r="1109">
      <c r="A1109" s="4">
        <f>IFERROR(__xludf.DUMMYFUNCTION("""COMPUTED_VALUE"""),45505.66666666667)</f>
        <v>45505.66667</v>
      </c>
      <c r="B1109" s="5">
        <f>IFERROR(__xludf.DUMMYFUNCTION("""COMPUTED_VALUE"""),378.0)</f>
        <v>378</v>
      </c>
      <c r="C1109" s="5">
        <f>IFERROR(__xludf.DUMMYFUNCTION("""COMPUTED_VALUE"""),398.0)</f>
        <v>398</v>
      </c>
      <c r="D1109" s="5">
        <f>IFERROR(__xludf.DUMMYFUNCTION("""COMPUTED_VALUE"""),370.0)</f>
        <v>370</v>
      </c>
      <c r="E1109" s="5">
        <f>IFERROR(__xludf.DUMMYFUNCTION("""COMPUTED_VALUE"""),394.0)</f>
        <v>394</v>
      </c>
      <c r="F1109" s="5">
        <f>IFERROR(__xludf.DUMMYFUNCTION("""COMPUTED_VALUE"""),1.148873E8)</f>
        <v>114887300</v>
      </c>
      <c r="G1109" s="5">
        <f t="shared" si="1"/>
        <v>28</v>
      </c>
    </row>
    <row r="1110">
      <c r="A1110" s="4">
        <f>IFERROR(__xludf.DUMMYFUNCTION("""COMPUTED_VALUE"""),45506.66666666667)</f>
        <v>45506.66667</v>
      </c>
      <c r="B1110" s="5">
        <f>IFERROR(__xludf.DUMMYFUNCTION("""COMPUTED_VALUE"""),394.0)</f>
        <v>394</v>
      </c>
      <c r="C1110" s="5">
        <f>IFERROR(__xludf.DUMMYFUNCTION("""COMPUTED_VALUE"""),394.0)</f>
        <v>394</v>
      </c>
      <c r="D1110" s="5">
        <f>IFERROR(__xludf.DUMMYFUNCTION("""COMPUTED_VALUE"""),386.0)</f>
        <v>386</v>
      </c>
      <c r="E1110" s="5">
        <f>IFERROR(__xludf.DUMMYFUNCTION("""COMPUTED_VALUE"""),388.0)</f>
        <v>388</v>
      </c>
      <c r="F1110" s="5">
        <f>IFERROR(__xludf.DUMMYFUNCTION("""COMPUTED_VALUE"""),2.73524E7)</f>
        <v>27352400</v>
      </c>
      <c r="G1110" s="5">
        <f t="shared" si="1"/>
        <v>8</v>
      </c>
    </row>
    <row r="1111">
      <c r="A1111" s="4">
        <f>IFERROR(__xludf.DUMMYFUNCTION("""COMPUTED_VALUE"""),45509.66666666667)</f>
        <v>45509.66667</v>
      </c>
      <c r="B1111" s="5">
        <f>IFERROR(__xludf.DUMMYFUNCTION("""COMPUTED_VALUE"""),386.0)</f>
        <v>386</v>
      </c>
      <c r="C1111" s="5">
        <f>IFERROR(__xludf.DUMMYFUNCTION("""COMPUTED_VALUE"""),388.0)</f>
        <v>388</v>
      </c>
      <c r="D1111" s="5">
        <f>IFERROR(__xludf.DUMMYFUNCTION("""COMPUTED_VALUE"""),360.0)</f>
        <v>360</v>
      </c>
      <c r="E1111" s="5">
        <f>IFERROR(__xludf.DUMMYFUNCTION("""COMPUTED_VALUE"""),362.0)</f>
        <v>362</v>
      </c>
      <c r="F1111" s="5">
        <f>IFERROR(__xludf.DUMMYFUNCTION("""COMPUTED_VALUE"""),7.22794E7)</f>
        <v>72279400</v>
      </c>
      <c r="G1111" s="5">
        <f t="shared" si="1"/>
        <v>28</v>
      </c>
    </row>
    <row r="1112">
      <c r="A1112" s="4">
        <f>IFERROR(__xludf.DUMMYFUNCTION("""COMPUTED_VALUE"""),45510.66666666667)</f>
        <v>45510.66667</v>
      </c>
      <c r="B1112" s="5">
        <f>IFERROR(__xludf.DUMMYFUNCTION("""COMPUTED_VALUE"""),366.0)</f>
        <v>366</v>
      </c>
      <c r="C1112" s="5">
        <f>IFERROR(__xludf.DUMMYFUNCTION("""COMPUTED_VALUE"""),376.0)</f>
        <v>376</v>
      </c>
      <c r="D1112" s="5">
        <f>IFERROR(__xludf.DUMMYFUNCTION("""COMPUTED_VALUE"""),362.0)</f>
        <v>362</v>
      </c>
      <c r="E1112" s="5">
        <f>IFERROR(__xludf.DUMMYFUNCTION("""COMPUTED_VALUE"""),370.0)</f>
        <v>370</v>
      </c>
      <c r="F1112" s="5">
        <f>IFERROR(__xludf.DUMMYFUNCTION("""COMPUTED_VALUE"""),3.24739E7)</f>
        <v>32473900</v>
      </c>
      <c r="G1112" s="5">
        <f t="shared" si="1"/>
        <v>14</v>
      </c>
    </row>
    <row r="1113">
      <c r="A1113" s="4">
        <f>IFERROR(__xludf.DUMMYFUNCTION("""COMPUTED_VALUE"""),45511.66666666667)</f>
        <v>45511.66667</v>
      </c>
      <c r="B1113" s="5">
        <f>IFERROR(__xludf.DUMMYFUNCTION("""COMPUTED_VALUE"""),372.0)</f>
        <v>372</v>
      </c>
      <c r="C1113" s="5">
        <f>IFERROR(__xludf.DUMMYFUNCTION("""COMPUTED_VALUE"""),380.0)</f>
        <v>380</v>
      </c>
      <c r="D1113" s="5">
        <f>IFERROR(__xludf.DUMMYFUNCTION("""COMPUTED_VALUE"""),368.0)</f>
        <v>368</v>
      </c>
      <c r="E1113" s="5">
        <f>IFERROR(__xludf.DUMMYFUNCTION("""COMPUTED_VALUE"""),370.0)</f>
        <v>370</v>
      </c>
      <c r="F1113" s="5">
        <f>IFERROR(__xludf.DUMMYFUNCTION("""COMPUTED_VALUE"""),3.21913E7)</f>
        <v>32191300</v>
      </c>
      <c r="G1113" s="5">
        <f t="shared" si="1"/>
        <v>12</v>
      </c>
    </row>
    <row r="1114">
      <c r="A1114" s="4">
        <f>IFERROR(__xludf.DUMMYFUNCTION("""COMPUTED_VALUE"""),45512.66666666667)</f>
        <v>45512.66667</v>
      </c>
      <c r="B1114" s="5">
        <f>IFERROR(__xludf.DUMMYFUNCTION("""COMPUTED_VALUE"""),368.0)</f>
        <v>368</v>
      </c>
      <c r="C1114" s="5">
        <f>IFERROR(__xludf.DUMMYFUNCTION("""COMPUTED_VALUE"""),374.0)</f>
        <v>374</v>
      </c>
      <c r="D1114" s="5">
        <f>IFERROR(__xludf.DUMMYFUNCTION("""COMPUTED_VALUE"""),366.0)</f>
        <v>366</v>
      </c>
      <c r="E1114" s="5">
        <f>IFERROR(__xludf.DUMMYFUNCTION("""COMPUTED_VALUE"""),368.0)</f>
        <v>368</v>
      </c>
      <c r="F1114" s="5">
        <f>IFERROR(__xludf.DUMMYFUNCTION("""COMPUTED_VALUE"""),1.56134E7)</f>
        <v>15613400</v>
      </c>
      <c r="G1114" s="5">
        <f t="shared" si="1"/>
        <v>8</v>
      </c>
    </row>
    <row r="1115">
      <c r="A1115" s="4">
        <f>IFERROR(__xludf.DUMMYFUNCTION("""COMPUTED_VALUE"""),45513.66666666667)</f>
        <v>45513.66667</v>
      </c>
      <c r="B1115" s="5">
        <f>IFERROR(__xludf.DUMMYFUNCTION("""COMPUTED_VALUE"""),368.0)</f>
        <v>368</v>
      </c>
      <c r="C1115" s="5">
        <f>IFERROR(__xludf.DUMMYFUNCTION("""COMPUTED_VALUE"""),394.0)</f>
        <v>394</v>
      </c>
      <c r="D1115" s="5">
        <f>IFERROR(__xludf.DUMMYFUNCTION("""COMPUTED_VALUE"""),368.0)</f>
        <v>368</v>
      </c>
      <c r="E1115" s="5">
        <f>IFERROR(__xludf.DUMMYFUNCTION("""COMPUTED_VALUE"""),384.0)</f>
        <v>384</v>
      </c>
      <c r="F1115" s="5">
        <f>IFERROR(__xludf.DUMMYFUNCTION("""COMPUTED_VALUE"""),6.43285E7)</f>
        <v>64328500</v>
      </c>
      <c r="G1115" s="5">
        <f t="shared" si="1"/>
        <v>26</v>
      </c>
    </row>
    <row r="1116">
      <c r="A1116" s="4">
        <f>IFERROR(__xludf.DUMMYFUNCTION("""COMPUTED_VALUE"""),45516.66666666667)</f>
        <v>45516.66667</v>
      </c>
      <c r="B1116" s="5">
        <f>IFERROR(__xludf.DUMMYFUNCTION("""COMPUTED_VALUE"""),388.0)</f>
        <v>388</v>
      </c>
      <c r="C1116" s="5">
        <f>IFERROR(__xludf.DUMMYFUNCTION("""COMPUTED_VALUE"""),396.0)</f>
        <v>396</v>
      </c>
      <c r="D1116" s="5">
        <f>IFERROR(__xludf.DUMMYFUNCTION("""COMPUTED_VALUE"""),384.0)</f>
        <v>384</v>
      </c>
      <c r="E1116" s="5">
        <f>IFERROR(__xludf.DUMMYFUNCTION("""COMPUTED_VALUE"""),388.0)</f>
        <v>388</v>
      </c>
      <c r="F1116" s="5">
        <f>IFERROR(__xludf.DUMMYFUNCTION("""COMPUTED_VALUE"""),4.68569E7)</f>
        <v>46856900</v>
      </c>
      <c r="G1116" s="5">
        <f t="shared" si="1"/>
        <v>12</v>
      </c>
    </row>
    <row r="1117">
      <c r="A1117" s="4">
        <f>IFERROR(__xludf.DUMMYFUNCTION("""COMPUTED_VALUE"""),45517.66666666667)</f>
        <v>45517.66667</v>
      </c>
      <c r="B1117" s="5">
        <f>IFERROR(__xludf.DUMMYFUNCTION("""COMPUTED_VALUE"""),388.0)</f>
        <v>388</v>
      </c>
      <c r="C1117" s="5">
        <f>IFERROR(__xludf.DUMMYFUNCTION("""COMPUTED_VALUE"""),482.0)</f>
        <v>482</v>
      </c>
      <c r="D1117" s="5">
        <f>IFERROR(__xludf.DUMMYFUNCTION("""COMPUTED_VALUE"""),388.0)</f>
        <v>388</v>
      </c>
      <c r="E1117" s="5">
        <f>IFERROR(__xludf.DUMMYFUNCTION("""COMPUTED_VALUE"""),476.0)</f>
        <v>476</v>
      </c>
      <c r="F1117" s="5">
        <f>IFERROR(__xludf.DUMMYFUNCTION("""COMPUTED_VALUE"""),5.694695E8)</f>
        <v>569469500</v>
      </c>
      <c r="G1117" s="5">
        <f t="shared" si="1"/>
        <v>94</v>
      </c>
    </row>
    <row r="1118">
      <c r="A1118" s="4">
        <f>IFERROR(__xludf.DUMMYFUNCTION("""COMPUTED_VALUE"""),45518.66666666667)</f>
        <v>45518.66667</v>
      </c>
      <c r="B1118" s="5">
        <f>IFERROR(__xludf.DUMMYFUNCTION("""COMPUTED_VALUE"""),474.0)</f>
        <v>474</v>
      </c>
      <c r="C1118" s="5">
        <f>IFERROR(__xludf.DUMMYFUNCTION("""COMPUTED_VALUE"""),486.0)</f>
        <v>486</v>
      </c>
      <c r="D1118" s="5">
        <f>IFERROR(__xludf.DUMMYFUNCTION("""COMPUTED_VALUE"""),448.0)</f>
        <v>448</v>
      </c>
      <c r="E1118" s="5">
        <f>IFERROR(__xludf.DUMMYFUNCTION("""COMPUTED_VALUE"""),466.0)</f>
        <v>466</v>
      </c>
      <c r="F1118" s="5">
        <f>IFERROR(__xludf.DUMMYFUNCTION("""COMPUTED_VALUE"""),5.711745E8)</f>
        <v>571174500</v>
      </c>
      <c r="G1118" s="5">
        <f t="shared" si="1"/>
        <v>38</v>
      </c>
    </row>
    <row r="1119">
      <c r="A1119" s="4">
        <f>IFERROR(__xludf.DUMMYFUNCTION("""COMPUTED_VALUE"""),45519.66666666667)</f>
        <v>45519.66667</v>
      </c>
      <c r="B1119" s="5">
        <f>IFERROR(__xludf.DUMMYFUNCTION("""COMPUTED_VALUE"""),470.0)</f>
        <v>470</v>
      </c>
      <c r="C1119" s="5">
        <f>IFERROR(__xludf.DUMMYFUNCTION("""COMPUTED_VALUE"""),486.0)</f>
        <v>486</v>
      </c>
      <c r="D1119" s="5">
        <f>IFERROR(__xludf.DUMMYFUNCTION("""COMPUTED_VALUE"""),446.0)</f>
        <v>446</v>
      </c>
      <c r="E1119" s="5">
        <f>IFERROR(__xludf.DUMMYFUNCTION("""COMPUTED_VALUE"""),448.0)</f>
        <v>448</v>
      </c>
      <c r="F1119" s="5">
        <f>IFERROR(__xludf.DUMMYFUNCTION("""COMPUTED_VALUE"""),2.979771E8)</f>
        <v>297977100</v>
      </c>
      <c r="G1119" s="5">
        <f t="shared" si="1"/>
        <v>40</v>
      </c>
    </row>
    <row r="1120">
      <c r="A1120" s="4">
        <f>IFERROR(__xludf.DUMMYFUNCTION("""COMPUTED_VALUE"""),45520.66666666667)</f>
        <v>45520.66667</v>
      </c>
      <c r="B1120" s="5">
        <f>IFERROR(__xludf.DUMMYFUNCTION("""COMPUTED_VALUE"""),448.0)</f>
        <v>448</v>
      </c>
      <c r="C1120" s="5">
        <f>IFERROR(__xludf.DUMMYFUNCTION("""COMPUTED_VALUE"""),464.0)</f>
        <v>464</v>
      </c>
      <c r="D1120" s="5">
        <f>IFERROR(__xludf.DUMMYFUNCTION("""COMPUTED_VALUE"""),440.0)</f>
        <v>440</v>
      </c>
      <c r="E1120" s="5">
        <f>IFERROR(__xludf.DUMMYFUNCTION("""COMPUTED_VALUE"""),444.0)</f>
        <v>444</v>
      </c>
      <c r="F1120" s="5">
        <f>IFERROR(__xludf.DUMMYFUNCTION("""COMPUTED_VALUE"""),9.0026E7)</f>
        <v>90026000</v>
      </c>
      <c r="G1120" s="5">
        <f t="shared" si="1"/>
        <v>24</v>
      </c>
    </row>
    <row r="1121">
      <c r="A1121" s="4">
        <f>IFERROR(__xludf.DUMMYFUNCTION("""COMPUTED_VALUE"""),45523.66666666667)</f>
        <v>45523.66667</v>
      </c>
      <c r="B1121" s="5">
        <f>IFERROR(__xludf.DUMMYFUNCTION("""COMPUTED_VALUE"""),446.0)</f>
        <v>446</v>
      </c>
      <c r="C1121" s="5">
        <f>IFERROR(__xludf.DUMMYFUNCTION("""COMPUTED_VALUE"""),462.0)</f>
        <v>462</v>
      </c>
      <c r="D1121" s="5">
        <f>IFERROR(__xludf.DUMMYFUNCTION("""COMPUTED_VALUE"""),440.0)</f>
        <v>440</v>
      </c>
      <c r="E1121" s="5">
        <f>IFERROR(__xludf.DUMMYFUNCTION("""COMPUTED_VALUE"""),444.0)</f>
        <v>444</v>
      </c>
      <c r="F1121" s="5">
        <f>IFERROR(__xludf.DUMMYFUNCTION("""COMPUTED_VALUE"""),1.004834E8)</f>
        <v>100483400</v>
      </c>
      <c r="G1121" s="5">
        <f t="shared" si="1"/>
        <v>22</v>
      </c>
    </row>
    <row r="1122">
      <c r="A1122" s="4">
        <f>IFERROR(__xludf.DUMMYFUNCTION("""COMPUTED_VALUE"""),45524.66666666667)</f>
        <v>45524.66667</v>
      </c>
      <c r="B1122" s="5">
        <f>IFERROR(__xludf.DUMMYFUNCTION("""COMPUTED_VALUE"""),446.0)</f>
        <v>446</v>
      </c>
      <c r="C1122" s="5">
        <f>IFERROR(__xludf.DUMMYFUNCTION("""COMPUTED_VALUE"""),450.0)</f>
        <v>450</v>
      </c>
      <c r="D1122" s="5">
        <f>IFERROR(__xludf.DUMMYFUNCTION("""COMPUTED_VALUE"""),428.0)</f>
        <v>428</v>
      </c>
      <c r="E1122" s="5">
        <f>IFERROR(__xludf.DUMMYFUNCTION("""COMPUTED_VALUE"""),432.0)</f>
        <v>432</v>
      </c>
      <c r="F1122" s="5">
        <f>IFERROR(__xludf.DUMMYFUNCTION("""COMPUTED_VALUE"""),7.68647E7)</f>
        <v>76864700</v>
      </c>
      <c r="G1122" s="5">
        <f t="shared" si="1"/>
        <v>22</v>
      </c>
    </row>
    <row r="1123">
      <c r="A1123" s="4">
        <f>IFERROR(__xludf.DUMMYFUNCTION("""COMPUTED_VALUE"""),45525.66666666667)</f>
        <v>45525.66667</v>
      </c>
      <c r="B1123" s="5">
        <f>IFERROR(__xludf.DUMMYFUNCTION("""COMPUTED_VALUE"""),432.0)</f>
        <v>432</v>
      </c>
      <c r="C1123" s="5">
        <f>IFERROR(__xludf.DUMMYFUNCTION("""COMPUTED_VALUE"""),446.0)</f>
        <v>446</v>
      </c>
      <c r="D1123" s="5">
        <f>IFERROR(__xludf.DUMMYFUNCTION("""COMPUTED_VALUE"""),432.0)</f>
        <v>432</v>
      </c>
      <c r="E1123" s="5">
        <f>IFERROR(__xludf.DUMMYFUNCTION("""COMPUTED_VALUE"""),434.0)</f>
        <v>434</v>
      </c>
      <c r="F1123" s="5">
        <f>IFERROR(__xludf.DUMMYFUNCTION("""COMPUTED_VALUE"""),5.38785E7)</f>
        <v>53878500</v>
      </c>
      <c r="G1123" s="5">
        <f t="shared" si="1"/>
        <v>14</v>
      </c>
    </row>
    <row r="1124">
      <c r="A1124" s="4">
        <f>IFERROR(__xludf.DUMMYFUNCTION("""COMPUTED_VALUE"""),45526.66666666667)</f>
        <v>45526.66667</v>
      </c>
      <c r="B1124" s="5">
        <f>IFERROR(__xludf.DUMMYFUNCTION("""COMPUTED_VALUE"""),434.0)</f>
        <v>434</v>
      </c>
      <c r="C1124" s="5">
        <f>IFERROR(__xludf.DUMMYFUNCTION("""COMPUTED_VALUE"""),436.0)</f>
        <v>436</v>
      </c>
      <c r="D1124" s="5">
        <f>IFERROR(__xludf.DUMMYFUNCTION("""COMPUTED_VALUE"""),424.0)</f>
        <v>424</v>
      </c>
      <c r="E1124" s="5">
        <f>IFERROR(__xludf.DUMMYFUNCTION("""COMPUTED_VALUE"""),424.0)</f>
        <v>424</v>
      </c>
      <c r="F1124" s="5">
        <f>IFERROR(__xludf.DUMMYFUNCTION("""COMPUTED_VALUE"""),4.43667E7)</f>
        <v>44366700</v>
      </c>
      <c r="G1124" s="5">
        <f t="shared" si="1"/>
        <v>12</v>
      </c>
    </row>
    <row r="1125">
      <c r="A1125" s="4">
        <f>IFERROR(__xludf.DUMMYFUNCTION("""COMPUTED_VALUE"""),45527.66666666667)</f>
        <v>45527.66667</v>
      </c>
      <c r="B1125" s="5">
        <f>IFERROR(__xludf.DUMMYFUNCTION("""COMPUTED_VALUE"""),424.0)</f>
        <v>424</v>
      </c>
      <c r="C1125" s="5">
        <f>IFERROR(__xludf.DUMMYFUNCTION("""COMPUTED_VALUE"""),448.0)</f>
        <v>448</v>
      </c>
      <c r="D1125" s="5">
        <f>IFERROR(__xludf.DUMMYFUNCTION("""COMPUTED_VALUE"""),422.0)</f>
        <v>422</v>
      </c>
      <c r="E1125" s="5">
        <f>IFERROR(__xludf.DUMMYFUNCTION("""COMPUTED_VALUE"""),442.0)</f>
        <v>442</v>
      </c>
      <c r="F1125" s="5">
        <f>IFERROR(__xludf.DUMMYFUNCTION("""COMPUTED_VALUE"""),9.10689E7)</f>
        <v>91068900</v>
      </c>
      <c r="G1125" s="5">
        <f t="shared" si="1"/>
        <v>26</v>
      </c>
    </row>
    <row r="1126">
      <c r="A1126" s="4">
        <f>IFERROR(__xludf.DUMMYFUNCTION("""COMPUTED_VALUE"""),45530.66666666667)</f>
        <v>45530.66667</v>
      </c>
      <c r="B1126" s="5">
        <f>IFERROR(__xludf.DUMMYFUNCTION("""COMPUTED_VALUE"""),444.0)</f>
        <v>444</v>
      </c>
      <c r="C1126" s="5">
        <f>IFERROR(__xludf.DUMMYFUNCTION("""COMPUTED_VALUE"""),460.0)</f>
        <v>460</v>
      </c>
      <c r="D1126" s="5">
        <f>IFERROR(__xludf.DUMMYFUNCTION("""COMPUTED_VALUE"""),442.0)</f>
        <v>442</v>
      </c>
      <c r="E1126" s="5">
        <f>IFERROR(__xludf.DUMMYFUNCTION("""COMPUTED_VALUE"""),456.0)</f>
        <v>456</v>
      </c>
      <c r="F1126" s="5">
        <f>IFERROR(__xludf.DUMMYFUNCTION("""COMPUTED_VALUE"""),8.72304E7)</f>
        <v>87230400</v>
      </c>
      <c r="G1126" s="5">
        <f t="shared" si="1"/>
        <v>18</v>
      </c>
    </row>
    <row r="1127">
      <c r="A1127" s="4">
        <f>IFERROR(__xludf.DUMMYFUNCTION("""COMPUTED_VALUE"""),45531.66666666667)</f>
        <v>45531.66667</v>
      </c>
      <c r="B1127" s="5">
        <f>IFERROR(__xludf.DUMMYFUNCTION("""COMPUTED_VALUE"""),456.0)</f>
        <v>456</v>
      </c>
      <c r="C1127" s="5">
        <f>IFERROR(__xludf.DUMMYFUNCTION("""COMPUTED_VALUE"""),460.0)</f>
        <v>460</v>
      </c>
      <c r="D1127" s="5">
        <f>IFERROR(__xludf.DUMMYFUNCTION("""COMPUTED_VALUE"""),442.0)</f>
        <v>442</v>
      </c>
      <c r="E1127" s="5">
        <f>IFERROR(__xludf.DUMMYFUNCTION("""COMPUTED_VALUE"""),442.0)</f>
        <v>442</v>
      </c>
      <c r="F1127" s="5">
        <f>IFERROR(__xludf.DUMMYFUNCTION("""COMPUTED_VALUE"""),4.85176E7)</f>
        <v>48517600</v>
      </c>
      <c r="G1127" s="5">
        <f t="shared" si="1"/>
        <v>18</v>
      </c>
    </row>
    <row r="1128">
      <c r="A1128" s="4">
        <f>IFERROR(__xludf.DUMMYFUNCTION("""COMPUTED_VALUE"""),45532.66666666667)</f>
        <v>45532.66667</v>
      </c>
      <c r="B1128" s="5">
        <f>IFERROR(__xludf.DUMMYFUNCTION("""COMPUTED_VALUE"""),448.0)</f>
        <v>448</v>
      </c>
      <c r="C1128" s="5">
        <f>IFERROR(__xludf.DUMMYFUNCTION("""COMPUTED_VALUE"""),448.0)</f>
        <v>448</v>
      </c>
      <c r="D1128" s="5">
        <f>IFERROR(__xludf.DUMMYFUNCTION("""COMPUTED_VALUE"""),434.0)</f>
        <v>434</v>
      </c>
      <c r="E1128" s="5">
        <f>IFERROR(__xludf.DUMMYFUNCTION("""COMPUTED_VALUE"""),434.0)</f>
        <v>434</v>
      </c>
      <c r="F1128" s="5">
        <f>IFERROR(__xludf.DUMMYFUNCTION("""COMPUTED_VALUE"""),3.69596E7)</f>
        <v>36959600</v>
      </c>
      <c r="G1128" s="5">
        <f t="shared" si="1"/>
        <v>14</v>
      </c>
    </row>
    <row r="1129">
      <c r="A1129" s="4">
        <f>IFERROR(__xludf.DUMMYFUNCTION("""COMPUTED_VALUE"""),45533.66666666667)</f>
        <v>45533.66667</v>
      </c>
      <c r="B1129" s="5">
        <f>IFERROR(__xludf.DUMMYFUNCTION("""COMPUTED_VALUE"""),434.0)</f>
        <v>434</v>
      </c>
      <c r="C1129" s="5">
        <f>IFERROR(__xludf.DUMMYFUNCTION("""COMPUTED_VALUE"""),458.0)</f>
        <v>458</v>
      </c>
      <c r="D1129" s="5">
        <f>IFERROR(__xludf.DUMMYFUNCTION("""COMPUTED_VALUE"""),434.0)</f>
        <v>434</v>
      </c>
      <c r="E1129" s="5">
        <f>IFERROR(__xludf.DUMMYFUNCTION("""COMPUTED_VALUE"""),446.0)</f>
        <v>446</v>
      </c>
      <c r="F1129" s="5">
        <f>IFERROR(__xludf.DUMMYFUNCTION("""COMPUTED_VALUE"""),8.32139E7)</f>
        <v>83213900</v>
      </c>
      <c r="G1129" s="5">
        <f t="shared" si="1"/>
        <v>24</v>
      </c>
    </row>
    <row r="1130">
      <c r="A1130" s="4">
        <f>IFERROR(__xludf.DUMMYFUNCTION("""COMPUTED_VALUE"""),45534.66666666667)</f>
        <v>45534.66667</v>
      </c>
      <c r="B1130" s="5">
        <f>IFERROR(__xludf.DUMMYFUNCTION("""COMPUTED_VALUE"""),450.0)</f>
        <v>450</v>
      </c>
      <c r="C1130" s="5">
        <f>IFERROR(__xludf.DUMMYFUNCTION("""COMPUTED_VALUE"""),456.0)</f>
        <v>456</v>
      </c>
      <c r="D1130" s="5">
        <f>IFERROR(__xludf.DUMMYFUNCTION("""COMPUTED_VALUE"""),444.0)</f>
        <v>444</v>
      </c>
      <c r="E1130" s="5">
        <f>IFERROR(__xludf.DUMMYFUNCTION("""COMPUTED_VALUE"""),454.0)</f>
        <v>454</v>
      </c>
      <c r="F1130" s="5">
        <f>IFERROR(__xludf.DUMMYFUNCTION("""COMPUTED_VALUE"""),5.8724E7)</f>
        <v>58724000</v>
      </c>
      <c r="G1130" s="5">
        <f t="shared" si="1"/>
        <v>12</v>
      </c>
    </row>
    <row r="1131">
      <c r="A1131" s="4">
        <f>IFERROR(__xludf.DUMMYFUNCTION("""COMPUTED_VALUE"""),45537.66666666667)</f>
        <v>45537.66667</v>
      </c>
      <c r="B1131" s="5">
        <f>IFERROR(__xludf.DUMMYFUNCTION("""COMPUTED_VALUE"""),454.0)</f>
        <v>454</v>
      </c>
      <c r="C1131" s="5">
        <f>IFERROR(__xludf.DUMMYFUNCTION("""COMPUTED_VALUE"""),525.0)</f>
        <v>525</v>
      </c>
      <c r="D1131" s="5">
        <f>IFERROR(__xludf.DUMMYFUNCTION("""COMPUTED_VALUE"""),454.0)</f>
        <v>454</v>
      </c>
      <c r="E1131" s="5">
        <f>IFERROR(__xludf.DUMMYFUNCTION("""COMPUTED_VALUE"""),482.0)</f>
        <v>482</v>
      </c>
      <c r="F1131" s="5">
        <f>IFERROR(__xludf.DUMMYFUNCTION("""COMPUTED_VALUE"""),5.470634E8)</f>
        <v>547063400</v>
      </c>
      <c r="G1131" s="5">
        <f t="shared" si="1"/>
        <v>71</v>
      </c>
    </row>
    <row r="1132">
      <c r="A1132" s="4">
        <f>IFERROR(__xludf.DUMMYFUNCTION("""COMPUTED_VALUE"""),45538.66666666667)</f>
        <v>45538.66667</v>
      </c>
      <c r="B1132" s="5">
        <f>IFERROR(__xludf.DUMMYFUNCTION("""COMPUTED_VALUE"""),486.0)</f>
        <v>486</v>
      </c>
      <c r="C1132" s="5">
        <f>IFERROR(__xludf.DUMMYFUNCTION("""COMPUTED_VALUE"""),494.0)</f>
        <v>494</v>
      </c>
      <c r="D1132" s="5">
        <f>IFERROR(__xludf.DUMMYFUNCTION("""COMPUTED_VALUE"""),472.0)</f>
        <v>472</v>
      </c>
      <c r="E1132" s="5">
        <f>IFERROR(__xludf.DUMMYFUNCTION("""COMPUTED_VALUE"""),476.0)</f>
        <v>476</v>
      </c>
      <c r="F1132" s="5">
        <f>IFERROR(__xludf.DUMMYFUNCTION("""COMPUTED_VALUE"""),1.48028E8)</f>
        <v>148028000</v>
      </c>
      <c r="G1132" s="5">
        <f t="shared" si="1"/>
        <v>22</v>
      </c>
    </row>
    <row r="1133">
      <c r="A1133" s="4">
        <f>IFERROR(__xludf.DUMMYFUNCTION("""COMPUTED_VALUE"""),45539.66666666667)</f>
        <v>45539.66667</v>
      </c>
      <c r="B1133" s="5">
        <f>IFERROR(__xludf.DUMMYFUNCTION("""COMPUTED_VALUE"""),476.0)</f>
        <v>476</v>
      </c>
      <c r="C1133" s="5">
        <f>IFERROR(__xludf.DUMMYFUNCTION("""COMPUTED_VALUE"""),482.0)</f>
        <v>482</v>
      </c>
      <c r="D1133" s="5">
        <f>IFERROR(__xludf.DUMMYFUNCTION("""COMPUTED_VALUE"""),460.0)</f>
        <v>460</v>
      </c>
      <c r="E1133" s="5">
        <f>IFERROR(__xludf.DUMMYFUNCTION("""COMPUTED_VALUE"""),466.0)</f>
        <v>466</v>
      </c>
      <c r="F1133" s="5">
        <f>IFERROR(__xludf.DUMMYFUNCTION("""COMPUTED_VALUE"""),1.062673E8)</f>
        <v>106267300</v>
      </c>
      <c r="G1133" s="5">
        <f t="shared" si="1"/>
        <v>22</v>
      </c>
    </row>
    <row r="1134">
      <c r="A1134" s="4">
        <f>IFERROR(__xludf.DUMMYFUNCTION("""COMPUTED_VALUE"""),45540.66666666667)</f>
        <v>45540.66667</v>
      </c>
      <c r="B1134" s="5">
        <f>IFERROR(__xludf.DUMMYFUNCTION("""COMPUTED_VALUE"""),466.0)</f>
        <v>466</v>
      </c>
      <c r="C1134" s="5">
        <f>IFERROR(__xludf.DUMMYFUNCTION("""COMPUTED_VALUE"""),478.0)</f>
        <v>478</v>
      </c>
      <c r="D1134" s="5">
        <f>IFERROR(__xludf.DUMMYFUNCTION("""COMPUTED_VALUE"""),460.0)</f>
        <v>460</v>
      </c>
      <c r="E1134" s="5">
        <f>IFERROR(__xludf.DUMMYFUNCTION("""COMPUTED_VALUE"""),476.0)</f>
        <v>476</v>
      </c>
      <c r="F1134" s="5">
        <f>IFERROR(__xludf.DUMMYFUNCTION("""COMPUTED_VALUE"""),7.00888E7)</f>
        <v>70088800</v>
      </c>
      <c r="G1134" s="5">
        <f t="shared" si="1"/>
        <v>18</v>
      </c>
    </row>
    <row r="1135">
      <c r="A1135" s="4">
        <f>IFERROR(__xludf.DUMMYFUNCTION("""COMPUTED_VALUE"""),45541.66666666667)</f>
        <v>45541.66667</v>
      </c>
      <c r="B1135" s="5">
        <f>IFERROR(__xludf.DUMMYFUNCTION("""COMPUTED_VALUE"""),476.0)</f>
        <v>476</v>
      </c>
      <c r="C1135" s="5">
        <f>IFERROR(__xludf.DUMMYFUNCTION("""COMPUTED_VALUE"""),482.0)</f>
        <v>482</v>
      </c>
      <c r="D1135" s="5">
        <f>IFERROR(__xludf.DUMMYFUNCTION("""COMPUTED_VALUE"""),462.0)</f>
        <v>462</v>
      </c>
      <c r="E1135" s="5">
        <f>IFERROR(__xludf.DUMMYFUNCTION("""COMPUTED_VALUE"""),464.0)</f>
        <v>464</v>
      </c>
      <c r="F1135" s="5">
        <f>IFERROR(__xludf.DUMMYFUNCTION("""COMPUTED_VALUE"""),5.60805E7)</f>
        <v>56080500</v>
      </c>
      <c r="G1135" s="5">
        <f t="shared" si="1"/>
        <v>20</v>
      </c>
    </row>
    <row r="1136">
      <c r="A1136" s="4">
        <f>IFERROR(__xludf.DUMMYFUNCTION("""COMPUTED_VALUE"""),45544.66666666667)</f>
        <v>45544.66667</v>
      </c>
      <c r="B1136" s="5">
        <f>IFERROR(__xludf.DUMMYFUNCTION("""COMPUTED_VALUE"""),464.0)</f>
        <v>464</v>
      </c>
      <c r="C1136" s="5">
        <f>IFERROR(__xludf.DUMMYFUNCTION("""COMPUTED_VALUE"""),472.0)</f>
        <v>472</v>
      </c>
      <c r="D1136" s="5">
        <f>IFERROR(__xludf.DUMMYFUNCTION("""COMPUTED_VALUE"""),460.0)</f>
        <v>460</v>
      </c>
      <c r="E1136" s="5">
        <f>IFERROR(__xludf.DUMMYFUNCTION("""COMPUTED_VALUE"""),464.0)</f>
        <v>464</v>
      </c>
      <c r="F1136" s="5">
        <f>IFERROR(__xludf.DUMMYFUNCTION("""COMPUTED_VALUE"""),3.35095E7)</f>
        <v>33509500</v>
      </c>
      <c r="G1136" s="5">
        <f t="shared" si="1"/>
        <v>12</v>
      </c>
    </row>
    <row r="1137">
      <c r="A1137" s="4">
        <f>IFERROR(__xludf.DUMMYFUNCTION("""COMPUTED_VALUE"""),45545.66666666667)</f>
        <v>45545.66667</v>
      </c>
      <c r="B1137" s="5">
        <f>IFERROR(__xludf.DUMMYFUNCTION("""COMPUTED_VALUE"""),466.0)</f>
        <v>466</v>
      </c>
      <c r="C1137" s="5">
        <f>IFERROR(__xludf.DUMMYFUNCTION("""COMPUTED_VALUE"""),496.0)</f>
        <v>496</v>
      </c>
      <c r="D1137" s="5">
        <f>IFERROR(__xludf.DUMMYFUNCTION("""COMPUTED_VALUE"""),466.0)</f>
        <v>466</v>
      </c>
      <c r="E1137" s="5">
        <f>IFERROR(__xludf.DUMMYFUNCTION("""COMPUTED_VALUE"""),480.0)</f>
        <v>480</v>
      </c>
      <c r="F1137" s="5">
        <f>IFERROR(__xludf.DUMMYFUNCTION("""COMPUTED_VALUE"""),1.800845E8)</f>
        <v>180084500</v>
      </c>
      <c r="G1137" s="5">
        <f t="shared" si="1"/>
        <v>32</v>
      </c>
    </row>
    <row r="1138">
      <c r="A1138" s="4">
        <f>IFERROR(__xludf.DUMMYFUNCTION("""COMPUTED_VALUE"""),45546.66666666667)</f>
        <v>45546.66667</v>
      </c>
      <c r="B1138" s="5">
        <f>IFERROR(__xludf.DUMMYFUNCTION("""COMPUTED_VALUE"""),480.0)</f>
        <v>480</v>
      </c>
      <c r="C1138" s="5">
        <f>IFERROR(__xludf.DUMMYFUNCTION("""COMPUTED_VALUE"""),486.0)</f>
        <v>486</v>
      </c>
      <c r="D1138" s="5">
        <f>IFERROR(__xludf.DUMMYFUNCTION("""COMPUTED_VALUE"""),444.0)</f>
        <v>444</v>
      </c>
      <c r="E1138" s="5">
        <f>IFERROR(__xludf.DUMMYFUNCTION("""COMPUTED_VALUE"""),448.0)</f>
        <v>448</v>
      </c>
      <c r="F1138" s="5">
        <f>IFERROR(__xludf.DUMMYFUNCTION("""COMPUTED_VALUE"""),1.834794E8)</f>
        <v>183479400</v>
      </c>
      <c r="G1138" s="5">
        <f t="shared" si="1"/>
        <v>42</v>
      </c>
    </row>
    <row r="1139">
      <c r="A1139" s="4">
        <f>IFERROR(__xludf.DUMMYFUNCTION("""COMPUTED_VALUE"""),45547.66666666667)</f>
        <v>45547.66667</v>
      </c>
      <c r="B1139" s="5">
        <f>IFERROR(__xludf.DUMMYFUNCTION("""COMPUTED_VALUE"""),446.0)</f>
        <v>446</v>
      </c>
      <c r="C1139" s="5">
        <f>IFERROR(__xludf.DUMMYFUNCTION("""COMPUTED_VALUE"""),452.0)</f>
        <v>452</v>
      </c>
      <c r="D1139" s="5">
        <f>IFERROR(__xludf.DUMMYFUNCTION("""COMPUTED_VALUE"""),436.0)</f>
        <v>436</v>
      </c>
      <c r="E1139" s="5">
        <f>IFERROR(__xludf.DUMMYFUNCTION("""COMPUTED_VALUE"""),448.0)</f>
        <v>448</v>
      </c>
      <c r="F1139" s="5">
        <f>IFERROR(__xludf.DUMMYFUNCTION("""COMPUTED_VALUE"""),6.78395E7)</f>
        <v>67839500</v>
      </c>
      <c r="G1139" s="5">
        <f t="shared" si="1"/>
        <v>16</v>
      </c>
    </row>
    <row r="1140">
      <c r="A1140" s="4">
        <f>IFERROR(__xludf.DUMMYFUNCTION("""COMPUTED_VALUE"""),45548.66666666667)</f>
        <v>45548.66667</v>
      </c>
      <c r="B1140" s="5">
        <f>IFERROR(__xludf.DUMMYFUNCTION("""COMPUTED_VALUE"""),450.0)</f>
        <v>450</v>
      </c>
      <c r="C1140" s="5">
        <f>IFERROR(__xludf.DUMMYFUNCTION("""COMPUTED_VALUE"""),464.0)</f>
        <v>464</v>
      </c>
      <c r="D1140" s="5">
        <f>IFERROR(__xludf.DUMMYFUNCTION("""COMPUTED_VALUE"""),446.0)</f>
        <v>446</v>
      </c>
      <c r="E1140" s="5">
        <f>IFERROR(__xludf.DUMMYFUNCTION("""COMPUTED_VALUE"""),448.0)</f>
        <v>448</v>
      </c>
      <c r="F1140" s="5">
        <f>IFERROR(__xludf.DUMMYFUNCTION("""COMPUTED_VALUE"""),7.51874E7)</f>
        <v>75187400</v>
      </c>
      <c r="G1140" s="5">
        <f t="shared" si="1"/>
        <v>18</v>
      </c>
    </row>
    <row r="1141">
      <c r="A1141" s="4">
        <f>IFERROR(__xludf.DUMMYFUNCTION("""COMPUTED_VALUE"""),45552.66666666667)</f>
        <v>45552.66667</v>
      </c>
      <c r="B1141" s="5">
        <f>IFERROR(__xludf.DUMMYFUNCTION("""COMPUTED_VALUE"""),450.0)</f>
        <v>450</v>
      </c>
      <c r="C1141" s="5">
        <f>IFERROR(__xludf.DUMMYFUNCTION("""COMPUTED_VALUE"""),462.0)</f>
        <v>462</v>
      </c>
      <c r="D1141" s="5">
        <f>IFERROR(__xludf.DUMMYFUNCTION("""COMPUTED_VALUE"""),448.0)</f>
        <v>448</v>
      </c>
      <c r="E1141" s="5">
        <f>IFERROR(__xludf.DUMMYFUNCTION("""COMPUTED_VALUE"""),454.0)</f>
        <v>454</v>
      </c>
      <c r="F1141" s="5">
        <f>IFERROR(__xludf.DUMMYFUNCTION("""COMPUTED_VALUE"""),3.67876E7)</f>
        <v>36787600</v>
      </c>
      <c r="G1141" s="5">
        <f t="shared" si="1"/>
        <v>14</v>
      </c>
    </row>
    <row r="1142">
      <c r="A1142" s="4">
        <f>IFERROR(__xludf.DUMMYFUNCTION("""COMPUTED_VALUE"""),45553.66666666667)</f>
        <v>45553.66667</v>
      </c>
      <c r="B1142" s="5">
        <f>IFERROR(__xludf.DUMMYFUNCTION("""COMPUTED_VALUE"""),454.0)</f>
        <v>454</v>
      </c>
      <c r="C1142" s="5">
        <f>IFERROR(__xludf.DUMMYFUNCTION("""COMPUTED_VALUE"""),460.0)</f>
        <v>460</v>
      </c>
      <c r="D1142" s="5">
        <f>IFERROR(__xludf.DUMMYFUNCTION("""COMPUTED_VALUE"""),448.0)</f>
        <v>448</v>
      </c>
      <c r="E1142" s="5">
        <f>IFERROR(__xludf.DUMMYFUNCTION("""COMPUTED_VALUE"""),454.0)</f>
        <v>454</v>
      </c>
      <c r="F1142" s="5">
        <f>IFERROR(__xludf.DUMMYFUNCTION("""COMPUTED_VALUE"""),3.74903E7)</f>
        <v>37490300</v>
      </c>
      <c r="G1142" s="5">
        <f t="shared" si="1"/>
        <v>12</v>
      </c>
    </row>
    <row r="1143">
      <c r="A1143" s="4">
        <f>IFERROR(__xludf.DUMMYFUNCTION("""COMPUTED_VALUE"""),45554.66666666667)</f>
        <v>45554.66667</v>
      </c>
      <c r="B1143" s="5">
        <f>IFERROR(__xludf.DUMMYFUNCTION("""COMPUTED_VALUE"""),456.0)</f>
        <v>456</v>
      </c>
      <c r="C1143" s="5">
        <f>IFERROR(__xludf.DUMMYFUNCTION("""COMPUTED_VALUE"""),466.0)</f>
        <v>466</v>
      </c>
      <c r="D1143" s="5">
        <f>IFERROR(__xludf.DUMMYFUNCTION("""COMPUTED_VALUE"""),454.0)</f>
        <v>454</v>
      </c>
      <c r="E1143" s="5">
        <f>IFERROR(__xludf.DUMMYFUNCTION("""COMPUTED_VALUE"""),456.0)</f>
        <v>456</v>
      </c>
      <c r="F1143" s="5">
        <f>IFERROR(__xludf.DUMMYFUNCTION("""COMPUTED_VALUE"""),4.1779E7)</f>
        <v>41779000</v>
      </c>
      <c r="G1143" s="5">
        <f t="shared" si="1"/>
        <v>12</v>
      </c>
    </row>
    <row r="1144">
      <c r="A1144" s="4">
        <f>IFERROR(__xludf.DUMMYFUNCTION("""COMPUTED_VALUE"""),45555.66666666667)</f>
        <v>45555.66667</v>
      </c>
      <c r="B1144" s="5">
        <f>IFERROR(__xludf.DUMMYFUNCTION("""COMPUTED_VALUE"""),456.0)</f>
        <v>456</v>
      </c>
      <c r="C1144" s="5">
        <f>IFERROR(__xludf.DUMMYFUNCTION("""COMPUTED_VALUE"""),462.0)</f>
        <v>462</v>
      </c>
      <c r="D1144" s="5">
        <f>IFERROR(__xludf.DUMMYFUNCTION("""COMPUTED_VALUE"""),442.0)</f>
        <v>442</v>
      </c>
      <c r="E1144" s="5">
        <f>IFERROR(__xludf.DUMMYFUNCTION("""COMPUTED_VALUE"""),442.0)</f>
        <v>442</v>
      </c>
      <c r="F1144" s="5">
        <f>IFERROR(__xludf.DUMMYFUNCTION("""COMPUTED_VALUE"""),5.02652E7)</f>
        <v>50265200</v>
      </c>
      <c r="G1144" s="5">
        <f t="shared" si="1"/>
        <v>20</v>
      </c>
    </row>
    <row r="1145">
      <c r="A1145" s="4">
        <f>IFERROR(__xludf.DUMMYFUNCTION("""COMPUTED_VALUE"""),45558.66666666667)</f>
        <v>45558.66667</v>
      </c>
      <c r="B1145" s="5">
        <f>IFERROR(__xludf.DUMMYFUNCTION("""COMPUTED_VALUE"""),444.0)</f>
        <v>444</v>
      </c>
      <c r="C1145" s="5">
        <f>IFERROR(__xludf.DUMMYFUNCTION("""COMPUTED_VALUE"""),448.0)</f>
        <v>448</v>
      </c>
      <c r="D1145" s="5">
        <f>IFERROR(__xludf.DUMMYFUNCTION("""COMPUTED_VALUE"""),432.0)</f>
        <v>432</v>
      </c>
      <c r="E1145" s="5">
        <f>IFERROR(__xludf.DUMMYFUNCTION("""COMPUTED_VALUE"""),434.0)</f>
        <v>434</v>
      </c>
      <c r="F1145" s="5">
        <f>IFERROR(__xludf.DUMMYFUNCTION("""COMPUTED_VALUE"""),3.21659E7)</f>
        <v>32165900</v>
      </c>
      <c r="G1145" s="5">
        <f t="shared" si="1"/>
        <v>16</v>
      </c>
    </row>
    <row r="1146">
      <c r="A1146" s="4">
        <f>IFERROR(__xludf.DUMMYFUNCTION("""COMPUTED_VALUE"""),45559.66666666667)</f>
        <v>45559.66667</v>
      </c>
      <c r="B1146" s="5">
        <f>IFERROR(__xludf.DUMMYFUNCTION("""COMPUTED_VALUE"""),434.0)</f>
        <v>434</v>
      </c>
      <c r="C1146" s="5">
        <f>IFERROR(__xludf.DUMMYFUNCTION("""COMPUTED_VALUE"""),454.0)</f>
        <v>454</v>
      </c>
      <c r="D1146" s="5">
        <f>IFERROR(__xludf.DUMMYFUNCTION("""COMPUTED_VALUE"""),430.0)</f>
        <v>430</v>
      </c>
      <c r="E1146" s="5">
        <f>IFERROR(__xludf.DUMMYFUNCTION("""COMPUTED_VALUE"""),448.0)</f>
        <v>448</v>
      </c>
      <c r="F1146" s="5">
        <f>IFERROR(__xludf.DUMMYFUNCTION("""COMPUTED_VALUE"""),7.55545E7)</f>
        <v>75554500</v>
      </c>
      <c r="G1146" s="5">
        <f t="shared" si="1"/>
        <v>24</v>
      </c>
    </row>
    <row r="1147">
      <c r="A1147" s="4">
        <f>IFERROR(__xludf.DUMMYFUNCTION("""COMPUTED_VALUE"""),45560.66666666667)</f>
        <v>45560.66667</v>
      </c>
      <c r="B1147" s="5">
        <f>IFERROR(__xludf.DUMMYFUNCTION("""COMPUTED_VALUE"""),448.0)</f>
        <v>448</v>
      </c>
      <c r="C1147" s="5">
        <f>IFERROR(__xludf.DUMMYFUNCTION("""COMPUTED_VALUE"""),458.0)</f>
        <v>458</v>
      </c>
      <c r="D1147" s="5">
        <f>IFERROR(__xludf.DUMMYFUNCTION("""COMPUTED_VALUE"""),442.0)</f>
        <v>442</v>
      </c>
      <c r="E1147" s="5">
        <f>IFERROR(__xludf.DUMMYFUNCTION("""COMPUTED_VALUE"""),446.0)</f>
        <v>446</v>
      </c>
      <c r="F1147" s="5">
        <f>IFERROR(__xludf.DUMMYFUNCTION("""COMPUTED_VALUE"""),4.73647E7)</f>
        <v>47364700</v>
      </c>
      <c r="G1147" s="5">
        <f t="shared" si="1"/>
        <v>16</v>
      </c>
    </row>
    <row r="1148">
      <c r="A1148" s="4">
        <f>IFERROR(__xludf.DUMMYFUNCTION("""COMPUTED_VALUE"""),45561.66666666667)</f>
        <v>45561.66667</v>
      </c>
      <c r="B1148" s="5">
        <f>IFERROR(__xludf.DUMMYFUNCTION("""COMPUTED_VALUE"""),452.0)</f>
        <v>452</v>
      </c>
      <c r="C1148" s="5">
        <f>IFERROR(__xludf.DUMMYFUNCTION("""COMPUTED_VALUE"""),460.0)</f>
        <v>460</v>
      </c>
      <c r="D1148" s="5">
        <f>IFERROR(__xludf.DUMMYFUNCTION("""COMPUTED_VALUE"""),444.0)</f>
        <v>444</v>
      </c>
      <c r="E1148" s="5">
        <f>IFERROR(__xludf.DUMMYFUNCTION("""COMPUTED_VALUE"""),446.0)</f>
        <v>446</v>
      </c>
      <c r="F1148" s="5">
        <f>IFERROR(__xludf.DUMMYFUNCTION("""COMPUTED_VALUE"""),2.74902E7)</f>
        <v>27490200</v>
      </c>
      <c r="G1148" s="5">
        <f t="shared" si="1"/>
        <v>16</v>
      </c>
    </row>
    <row r="1149">
      <c r="A1149" s="4">
        <f>IFERROR(__xludf.DUMMYFUNCTION("""COMPUTED_VALUE"""),45562.66666666667)</f>
        <v>45562.66667</v>
      </c>
      <c r="B1149" s="5">
        <f>IFERROR(__xludf.DUMMYFUNCTION("""COMPUTED_VALUE"""),446.0)</f>
        <v>446</v>
      </c>
      <c r="C1149" s="5">
        <f>IFERROR(__xludf.DUMMYFUNCTION("""COMPUTED_VALUE"""),450.0)</f>
        <v>450</v>
      </c>
      <c r="D1149" s="5">
        <f>IFERROR(__xludf.DUMMYFUNCTION("""COMPUTED_VALUE"""),442.0)</f>
        <v>442</v>
      </c>
      <c r="E1149" s="5">
        <f>IFERROR(__xludf.DUMMYFUNCTION("""COMPUTED_VALUE"""),446.0)</f>
        <v>446</v>
      </c>
      <c r="F1149" s="5">
        <f>IFERROR(__xludf.DUMMYFUNCTION("""COMPUTED_VALUE"""),1.87059E7)</f>
        <v>18705900</v>
      </c>
      <c r="G1149" s="5">
        <f t="shared" si="1"/>
        <v>8</v>
      </c>
    </row>
    <row r="1150">
      <c r="A1150" s="4">
        <f>IFERROR(__xludf.DUMMYFUNCTION("""COMPUTED_VALUE"""),45565.66666666667)</f>
        <v>45565.66667</v>
      </c>
      <c r="B1150" s="5">
        <f>IFERROR(__xludf.DUMMYFUNCTION("""COMPUTED_VALUE"""),446.0)</f>
        <v>446</v>
      </c>
      <c r="C1150" s="5">
        <f>IFERROR(__xludf.DUMMYFUNCTION("""COMPUTED_VALUE"""),446.0)</f>
        <v>446</v>
      </c>
      <c r="D1150" s="5">
        <f>IFERROR(__xludf.DUMMYFUNCTION("""COMPUTED_VALUE"""),432.0)</f>
        <v>432</v>
      </c>
      <c r="E1150" s="5">
        <f>IFERROR(__xludf.DUMMYFUNCTION("""COMPUTED_VALUE"""),438.0)</f>
        <v>438</v>
      </c>
      <c r="F1150" s="5">
        <f>IFERROR(__xludf.DUMMYFUNCTION("""COMPUTED_VALUE"""),2.53623E7)</f>
        <v>25362300</v>
      </c>
      <c r="G1150" s="5">
        <f t="shared" si="1"/>
        <v>14</v>
      </c>
    </row>
    <row r="1151">
      <c r="A1151" s="4">
        <f>IFERROR(__xludf.DUMMYFUNCTION("""COMPUTED_VALUE"""),45566.66666666667)</f>
        <v>45566.66667</v>
      </c>
      <c r="B1151" s="5">
        <f>IFERROR(__xludf.DUMMYFUNCTION("""COMPUTED_VALUE"""),438.0)</f>
        <v>438</v>
      </c>
      <c r="C1151" s="5">
        <f>IFERROR(__xludf.DUMMYFUNCTION("""COMPUTED_VALUE"""),460.0)</f>
        <v>460</v>
      </c>
      <c r="D1151" s="5">
        <f>IFERROR(__xludf.DUMMYFUNCTION("""COMPUTED_VALUE"""),436.0)</f>
        <v>436</v>
      </c>
      <c r="E1151" s="5">
        <f>IFERROR(__xludf.DUMMYFUNCTION("""COMPUTED_VALUE"""),456.0)</f>
        <v>456</v>
      </c>
      <c r="F1151" s="5">
        <f>IFERROR(__xludf.DUMMYFUNCTION("""COMPUTED_VALUE"""),6.88892E7)</f>
        <v>68889200</v>
      </c>
      <c r="G1151" s="5">
        <f t="shared" si="1"/>
        <v>24</v>
      </c>
    </row>
    <row r="1152">
      <c r="A1152" s="4">
        <f>IFERROR(__xludf.DUMMYFUNCTION("""COMPUTED_VALUE"""),45567.66666666667)</f>
        <v>45567.66667</v>
      </c>
      <c r="B1152" s="5">
        <f>IFERROR(__xludf.DUMMYFUNCTION("""COMPUTED_VALUE"""),456.0)</f>
        <v>456</v>
      </c>
      <c r="C1152" s="5">
        <f>IFERROR(__xludf.DUMMYFUNCTION("""COMPUTED_VALUE"""),470.0)</f>
        <v>470</v>
      </c>
      <c r="D1152" s="5">
        <f>IFERROR(__xludf.DUMMYFUNCTION("""COMPUTED_VALUE"""),446.0)</f>
        <v>446</v>
      </c>
      <c r="E1152" s="5">
        <f>IFERROR(__xludf.DUMMYFUNCTION("""COMPUTED_VALUE"""),448.0)</f>
        <v>448</v>
      </c>
      <c r="F1152" s="5">
        <f>IFERROR(__xludf.DUMMYFUNCTION("""COMPUTED_VALUE"""),7.33744E7)</f>
        <v>73374400</v>
      </c>
      <c r="G1152" s="5">
        <f t="shared" si="1"/>
        <v>24</v>
      </c>
    </row>
    <row r="1153">
      <c r="A1153" s="4">
        <f>IFERROR(__xludf.DUMMYFUNCTION("""COMPUTED_VALUE"""),45568.66666666667)</f>
        <v>45568.66667</v>
      </c>
      <c r="B1153" s="5">
        <f>IFERROR(__xludf.DUMMYFUNCTION("""COMPUTED_VALUE"""),452.0)</f>
        <v>452</v>
      </c>
      <c r="C1153" s="5">
        <f>IFERROR(__xludf.DUMMYFUNCTION("""COMPUTED_VALUE"""),458.0)</f>
        <v>458</v>
      </c>
      <c r="D1153" s="5">
        <f>IFERROR(__xludf.DUMMYFUNCTION("""COMPUTED_VALUE"""),450.0)</f>
        <v>450</v>
      </c>
      <c r="E1153" s="5">
        <f>IFERROR(__xludf.DUMMYFUNCTION("""COMPUTED_VALUE"""),456.0)</f>
        <v>456</v>
      </c>
      <c r="F1153" s="5">
        <f>IFERROR(__xludf.DUMMYFUNCTION("""COMPUTED_VALUE"""),2.38065E7)</f>
        <v>23806500</v>
      </c>
      <c r="G1153" s="5">
        <f t="shared" si="1"/>
        <v>10</v>
      </c>
    </row>
    <row r="1154">
      <c r="A1154" s="4">
        <f>IFERROR(__xludf.DUMMYFUNCTION("""COMPUTED_VALUE"""),45569.66666666667)</f>
        <v>45569.66667</v>
      </c>
      <c r="B1154" s="5">
        <f>IFERROR(__xludf.DUMMYFUNCTION("""COMPUTED_VALUE"""),458.0)</f>
        <v>458</v>
      </c>
      <c r="C1154" s="5">
        <f>IFERROR(__xludf.DUMMYFUNCTION("""COMPUTED_VALUE"""),460.0)</f>
        <v>460</v>
      </c>
      <c r="D1154" s="5">
        <f>IFERROR(__xludf.DUMMYFUNCTION("""COMPUTED_VALUE"""),446.0)</f>
        <v>446</v>
      </c>
      <c r="E1154" s="5">
        <f>IFERROR(__xludf.DUMMYFUNCTION("""COMPUTED_VALUE"""),450.0)</f>
        <v>450</v>
      </c>
      <c r="F1154" s="5">
        <f>IFERROR(__xludf.DUMMYFUNCTION("""COMPUTED_VALUE"""),2.16315E7)</f>
        <v>21631500</v>
      </c>
      <c r="G1154" s="5">
        <f t="shared" si="1"/>
        <v>14</v>
      </c>
    </row>
    <row r="1155">
      <c r="A1155" s="4">
        <f>IFERROR(__xludf.DUMMYFUNCTION("""COMPUTED_VALUE"""),45572.66666666667)</f>
        <v>45572.66667</v>
      </c>
      <c r="B1155" s="5">
        <f>IFERROR(__xludf.DUMMYFUNCTION("""COMPUTED_VALUE"""),448.0)</f>
        <v>448</v>
      </c>
      <c r="C1155" s="5">
        <f>IFERROR(__xludf.DUMMYFUNCTION("""COMPUTED_VALUE"""),456.0)</f>
        <v>456</v>
      </c>
      <c r="D1155" s="5">
        <f>IFERROR(__xludf.DUMMYFUNCTION("""COMPUTED_VALUE"""),442.0)</f>
        <v>442</v>
      </c>
      <c r="E1155" s="5">
        <f>IFERROR(__xludf.DUMMYFUNCTION("""COMPUTED_VALUE"""),446.0)</f>
        <v>446</v>
      </c>
      <c r="F1155" s="5">
        <f>IFERROR(__xludf.DUMMYFUNCTION("""COMPUTED_VALUE"""),2.29058E7)</f>
        <v>22905800</v>
      </c>
      <c r="G1155" s="5">
        <f t="shared" si="1"/>
        <v>14</v>
      </c>
    </row>
    <row r="1156">
      <c r="A1156" s="4">
        <f>IFERROR(__xludf.DUMMYFUNCTION("""COMPUTED_VALUE"""),45573.66666666667)</f>
        <v>45573.66667</v>
      </c>
      <c r="B1156" s="5">
        <f>IFERROR(__xludf.DUMMYFUNCTION("""COMPUTED_VALUE"""),446.0)</f>
        <v>446</v>
      </c>
      <c r="C1156" s="5">
        <f>IFERROR(__xludf.DUMMYFUNCTION("""COMPUTED_VALUE"""),456.0)</f>
        <v>456</v>
      </c>
      <c r="D1156" s="5">
        <f>IFERROR(__xludf.DUMMYFUNCTION("""COMPUTED_VALUE"""),442.0)</f>
        <v>442</v>
      </c>
      <c r="E1156" s="5">
        <f>IFERROR(__xludf.DUMMYFUNCTION("""COMPUTED_VALUE"""),452.0)</f>
        <v>452</v>
      </c>
      <c r="F1156" s="5">
        <f>IFERROR(__xludf.DUMMYFUNCTION("""COMPUTED_VALUE"""),4.44619E7)</f>
        <v>44461900</v>
      </c>
      <c r="G1156" s="5">
        <f t="shared" si="1"/>
        <v>14</v>
      </c>
    </row>
    <row r="1157">
      <c r="A1157" s="4">
        <f>IFERROR(__xludf.DUMMYFUNCTION("""COMPUTED_VALUE"""),45574.66666666667)</f>
        <v>45574.66667</v>
      </c>
      <c r="B1157" s="5">
        <f>IFERROR(__xludf.DUMMYFUNCTION("""COMPUTED_VALUE"""),452.0)</f>
        <v>452</v>
      </c>
      <c r="C1157" s="5">
        <f>IFERROR(__xludf.DUMMYFUNCTION("""COMPUTED_VALUE"""),476.0)</f>
        <v>476</v>
      </c>
      <c r="D1157" s="5">
        <f>IFERROR(__xludf.DUMMYFUNCTION("""COMPUTED_VALUE"""),452.0)</f>
        <v>452</v>
      </c>
      <c r="E1157" s="5">
        <f>IFERROR(__xludf.DUMMYFUNCTION("""COMPUTED_VALUE"""),472.0)</f>
        <v>472</v>
      </c>
      <c r="F1157" s="5">
        <f>IFERROR(__xludf.DUMMYFUNCTION("""COMPUTED_VALUE"""),1.10991E8)</f>
        <v>110991000</v>
      </c>
      <c r="G1157" s="5">
        <f t="shared" si="1"/>
        <v>24</v>
      </c>
    </row>
    <row r="1158">
      <c r="A1158" s="4">
        <f>IFERROR(__xludf.DUMMYFUNCTION("""COMPUTED_VALUE"""),45575.66666666667)</f>
        <v>45575.66667</v>
      </c>
      <c r="B1158" s="5">
        <f>IFERROR(__xludf.DUMMYFUNCTION("""COMPUTED_VALUE"""),472.0)</f>
        <v>472</v>
      </c>
      <c r="C1158" s="5">
        <f>IFERROR(__xludf.DUMMYFUNCTION("""COMPUTED_VALUE"""),482.0)</f>
        <v>482</v>
      </c>
      <c r="D1158" s="5">
        <f>IFERROR(__xludf.DUMMYFUNCTION("""COMPUTED_VALUE"""),460.0)</f>
        <v>460</v>
      </c>
      <c r="E1158" s="5">
        <f>IFERROR(__xludf.DUMMYFUNCTION("""COMPUTED_VALUE"""),464.0)</f>
        <v>464</v>
      </c>
      <c r="F1158" s="5">
        <f>IFERROR(__xludf.DUMMYFUNCTION("""COMPUTED_VALUE"""),7.6316E7)</f>
        <v>76316000</v>
      </c>
      <c r="G1158" s="5">
        <f t="shared" si="1"/>
        <v>22</v>
      </c>
    </row>
    <row r="1159">
      <c r="A1159" s="4">
        <f>IFERROR(__xludf.DUMMYFUNCTION("""COMPUTED_VALUE"""),45576.66666666667)</f>
        <v>45576.66667</v>
      </c>
      <c r="B1159" s="5">
        <f>IFERROR(__xludf.DUMMYFUNCTION("""COMPUTED_VALUE"""),464.0)</f>
        <v>464</v>
      </c>
      <c r="C1159" s="5">
        <f>IFERROR(__xludf.DUMMYFUNCTION("""COMPUTED_VALUE"""),472.0)</f>
        <v>472</v>
      </c>
      <c r="D1159" s="5">
        <f>IFERROR(__xludf.DUMMYFUNCTION("""COMPUTED_VALUE"""),460.0)</f>
        <v>460</v>
      </c>
      <c r="E1159" s="5">
        <f>IFERROR(__xludf.DUMMYFUNCTION("""COMPUTED_VALUE"""),462.0)</f>
        <v>462</v>
      </c>
      <c r="F1159" s="5">
        <f>IFERROR(__xludf.DUMMYFUNCTION("""COMPUTED_VALUE"""),2.25443E7)</f>
        <v>22544300</v>
      </c>
      <c r="G1159" s="5">
        <f t="shared" si="1"/>
        <v>12</v>
      </c>
    </row>
    <row r="1160">
      <c r="A1160" s="4">
        <f>IFERROR(__xludf.DUMMYFUNCTION("""COMPUTED_VALUE"""),45579.66666666667)</f>
        <v>45579.66667</v>
      </c>
      <c r="B1160" s="5">
        <f>IFERROR(__xludf.DUMMYFUNCTION("""COMPUTED_VALUE"""),462.0)</f>
        <v>462</v>
      </c>
      <c r="C1160" s="5">
        <f>IFERROR(__xludf.DUMMYFUNCTION("""COMPUTED_VALUE"""),468.0)</f>
        <v>468</v>
      </c>
      <c r="D1160" s="5">
        <f>IFERROR(__xludf.DUMMYFUNCTION("""COMPUTED_VALUE"""),456.0)</f>
        <v>456</v>
      </c>
      <c r="E1160" s="5">
        <f>IFERROR(__xludf.DUMMYFUNCTION("""COMPUTED_VALUE"""),462.0)</f>
        <v>462</v>
      </c>
      <c r="F1160" s="5">
        <f>IFERROR(__xludf.DUMMYFUNCTION("""COMPUTED_VALUE"""),2.17294E7)</f>
        <v>21729400</v>
      </c>
      <c r="G1160" s="5">
        <f t="shared" si="1"/>
        <v>12</v>
      </c>
    </row>
    <row r="1161">
      <c r="A1161" s="4">
        <f>IFERROR(__xludf.DUMMYFUNCTION("""COMPUTED_VALUE"""),45580.66666666667)</f>
        <v>45580.66667</v>
      </c>
      <c r="B1161" s="5">
        <f>IFERROR(__xludf.DUMMYFUNCTION("""COMPUTED_VALUE"""),464.0)</f>
        <v>464</v>
      </c>
      <c r="C1161" s="5">
        <f>IFERROR(__xludf.DUMMYFUNCTION("""COMPUTED_VALUE"""),474.0)</f>
        <v>474</v>
      </c>
      <c r="D1161" s="5">
        <f>IFERROR(__xludf.DUMMYFUNCTION("""COMPUTED_VALUE"""),456.0)</f>
        <v>456</v>
      </c>
      <c r="E1161" s="5">
        <f>IFERROR(__xludf.DUMMYFUNCTION("""COMPUTED_VALUE"""),462.0)</f>
        <v>462</v>
      </c>
      <c r="F1161" s="5">
        <f>IFERROR(__xludf.DUMMYFUNCTION("""COMPUTED_VALUE"""),4.29392E7)</f>
        <v>42939200</v>
      </c>
      <c r="G1161" s="5">
        <f t="shared" si="1"/>
        <v>18</v>
      </c>
    </row>
    <row r="1162">
      <c r="A1162" s="4">
        <f>IFERROR(__xludf.DUMMYFUNCTION("""COMPUTED_VALUE"""),45581.66666666667)</f>
        <v>45581.66667</v>
      </c>
      <c r="B1162" s="5">
        <f>IFERROR(__xludf.DUMMYFUNCTION("""COMPUTED_VALUE"""),462.0)</f>
        <v>462</v>
      </c>
      <c r="C1162" s="5">
        <f>IFERROR(__xludf.DUMMYFUNCTION("""COMPUTED_VALUE"""),476.0)</f>
        <v>476</v>
      </c>
      <c r="D1162" s="5">
        <f>IFERROR(__xludf.DUMMYFUNCTION("""COMPUTED_VALUE"""),462.0)</f>
        <v>462</v>
      </c>
      <c r="E1162" s="5">
        <f>IFERROR(__xludf.DUMMYFUNCTION("""COMPUTED_VALUE"""),468.0)</f>
        <v>468</v>
      </c>
      <c r="F1162" s="5">
        <f>IFERROR(__xludf.DUMMYFUNCTION("""COMPUTED_VALUE"""),6.50261E7)</f>
        <v>65026100</v>
      </c>
      <c r="G1162" s="5">
        <f t="shared" si="1"/>
        <v>14</v>
      </c>
    </row>
    <row r="1163">
      <c r="A1163" s="4">
        <f>IFERROR(__xludf.DUMMYFUNCTION("""COMPUTED_VALUE"""),45582.66666666667)</f>
        <v>45582.66667</v>
      </c>
      <c r="B1163" s="5">
        <f>IFERROR(__xludf.DUMMYFUNCTION("""COMPUTED_VALUE"""),470.0)</f>
        <v>470</v>
      </c>
      <c r="C1163" s="5">
        <f>IFERROR(__xludf.DUMMYFUNCTION("""COMPUTED_VALUE"""),472.0)</f>
        <v>472</v>
      </c>
      <c r="D1163" s="5">
        <f>IFERROR(__xludf.DUMMYFUNCTION("""COMPUTED_VALUE"""),466.0)</f>
        <v>466</v>
      </c>
      <c r="E1163" s="5">
        <f>IFERROR(__xludf.DUMMYFUNCTION("""COMPUTED_VALUE"""),470.0)</f>
        <v>470</v>
      </c>
      <c r="F1163" s="5">
        <f>IFERROR(__xludf.DUMMYFUNCTION("""COMPUTED_VALUE"""),3.24724E7)</f>
        <v>32472400</v>
      </c>
      <c r="G1163" s="5">
        <f t="shared" si="1"/>
        <v>6</v>
      </c>
    </row>
    <row r="1164">
      <c r="A1164" s="4">
        <f>IFERROR(__xludf.DUMMYFUNCTION("""COMPUTED_VALUE"""),45583.66666666667)</f>
        <v>45583.66667</v>
      </c>
      <c r="B1164" s="5">
        <f>IFERROR(__xludf.DUMMYFUNCTION("""COMPUTED_VALUE"""),472.0)</f>
        <v>472</v>
      </c>
      <c r="C1164" s="5">
        <f>IFERROR(__xludf.DUMMYFUNCTION("""COMPUTED_VALUE"""),478.0)</f>
        <v>478</v>
      </c>
      <c r="D1164" s="5">
        <f>IFERROR(__xludf.DUMMYFUNCTION("""COMPUTED_VALUE"""),468.0)</f>
        <v>468</v>
      </c>
      <c r="E1164" s="5">
        <f>IFERROR(__xludf.DUMMYFUNCTION("""COMPUTED_VALUE"""),474.0)</f>
        <v>474</v>
      </c>
      <c r="F1164" s="5">
        <f>IFERROR(__xludf.DUMMYFUNCTION("""COMPUTED_VALUE"""),3.76507E7)</f>
        <v>37650700</v>
      </c>
      <c r="G1164" s="5">
        <f t="shared" si="1"/>
        <v>10</v>
      </c>
    </row>
    <row r="1165">
      <c r="A1165" s="4">
        <f>IFERROR(__xludf.DUMMYFUNCTION("""COMPUTED_VALUE"""),45586.66666666667)</f>
        <v>45586.66667</v>
      </c>
      <c r="B1165" s="5">
        <f>IFERROR(__xludf.DUMMYFUNCTION("""COMPUTED_VALUE"""),476.0)</f>
        <v>476</v>
      </c>
      <c r="C1165" s="5">
        <f>IFERROR(__xludf.DUMMYFUNCTION("""COMPUTED_VALUE"""),490.0)</f>
        <v>490</v>
      </c>
      <c r="D1165" s="5">
        <f>IFERROR(__xludf.DUMMYFUNCTION("""COMPUTED_VALUE"""),462.0)</f>
        <v>462</v>
      </c>
      <c r="E1165" s="5">
        <f>IFERROR(__xludf.DUMMYFUNCTION("""COMPUTED_VALUE"""),464.0)</f>
        <v>464</v>
      </c>
      <c r="F1165" s="5">
        <f>IFERROR(__xludf.DUMMYFUNCTION("""COMPUTED_VALUE"""),7.39232E7)</f>
        <v>73923200</v>
      </c>
      <c r="G1165" s="5">
        <f t="shared" si="1"/>
        <v>28</v>
      </c>
    </row>
    <row r="1166">
      <c r="A1166" s="4">
        <f>IFERROR(__xludf.DUMMYFUNCTION("""COMPUTED_VALUE"""),45587.66666666667)</f>
        <v>45587.66667</v>
      </c>
      <c r="B1166" s="5">
        <f>IFERROR(__xludf.DUMMYFUNCTION("""COMPUTED_VALUE"""),466.0)</f>
        <v>466</v>
      </c>
      <c r="C1166" s="5">
        <f>IFERROR(__xludf.DUMMYFUNCTION("""COMPUTED_VALUE"""),466.0)</f>
        <v>466</v>
      </c>
      <c r="D1166" s="5">
        <f>IFERROR(__xludf.DUMMYFUNCTION("""COMPUTED_VALUE"""),450.0)</f>
        <v>450</v>
      </c>
      <c r="E1166" s="5">
        <f>IFERROR(__xludf.DUMMYFUNCTION("""COMPUTED_VALUE"""),452.0)</f>
        <v>452</v>
      </c>
      <c r="F1166" s="5">
        <f>IFERROR(__xludf.DUMMYFUNCTION("""COMPUTED_VALUE"""),5.23328E7)</f>
        <v>52332800</v>
      </c>
      <c r="G1166" s="5">
        <f t="shared" si="1"/>
        <v>16</v>
      </c>
    </row>
    <row r="1167">
      <c r="A1167" s="4">
        <f>IFERROR(__xludf.DUMMYFUNCTION("""COMPUTED_VALUE"""),45588.66666666667)</f>
        <v>45588.66667</v>
      </c>
      <c r="B1167" s="5">
        <f>IFERROR(__xludf.DUMMYFUNCTION("""COMPUTED_VALUE"""),452.0)</f>
        <v>452</v>
      </c>
      <c r="C1167" s="5">
        <f>IFERROR(__xludf.DUMMYFUNCTION("""COMPUTED_VALUE"""),460.0)</f>
        <v>460</v>
      </c>
      <c r="D1167" s="5">
        <f>IFERROR(__xludf.DUMMYFUNCTION("""COMPUTED_VALUE"""),450.0)</f>
        <v>450</v>
      </c>
      <c r="E1167" s="5">
        <f>IFERROR(__xludf.DUMMYFUNCTION("""COMPUTED_VALUE"""),450.0)</f>
        <v>450</v>
      </c>
      <c r="F1167" s="5">
        <f>IFERROR(__xludf.DUMMYFUNCTION("""COMPUTED_VALUE"""),2.65897E7)</f>
        <v>26589700</v>
      </c>
      <c r="G1167" s="5">
        <f t="shared" si="1"/>
        <v>10</v>
      </c>
    </row>
    <row r="1168">
      <c r="A1168" s="4">
        <f>IFERROR(__xludf.DUMMYFUNCTION("""COMPUTED_VALUE"""),45589.66666666667)</f>
        <v>45589.66667</v>
      </c>
      <c r="B1168" s="5">
        <f>IFERROR(__xludf.DUMMYFUNCTION("""COMPUTED_VALUE"""),450.0)</f>
        <v>450</v>
      </c>
      <c r="C1168" s="5">
        <f>IFERROR(__xludf.DUMMYFUNCTION("""COMPUTED_VALUE"""),456.0)</f>
        <v>456</v>
      </c>
      <c r="D1168" s="5">
        <f>IFERROR(__xludf.DUMMYFUNCTION("""COMPUTED_VALUE"""),442.0)</f>
        <v>442</v>
      </c>
      <c r="E1168" s="5">
        <f>IFERROR(__xludf.DUMMYFUNCTION("""COMPUTED_VALUE"""),444.0)</f>
        <v>444</v>
      </c>
      <c r="F1168" s="5">
        <f>IFERROR(__xludf.DUMMYFUNCTION("""COMPUTED_VALUE"""),3.55177E7)</f>
        <v>35517700</v>
      </c>
      <c r="G1168" s="5">
        <f t="shared" si="1"/>
        <v>14</v>
      </c>
    </row>
    <row r="1169">
      <c r="A1169" s="4">
        <f>IFERROR(__xludf.DUMMYFUNCTION("""COMPUTED_VALUE"""),45590.66666666667)</f>
        <v>45590.66667</v>
      </c>
      <c r="B1169" s="5">
        <f>IFERROR(__xludf.DUMMYFUNCTION("""COMPUTED_VALUE"""),444.0)</f>
        <v>444</v>
      </c>
      <c r="C1169" s="5">
        <f>IFERROR(__xludf.DUMMYFUNCTION("""COMPUTED_VALUE"""),448.0)</f>
        <v>448</v>
      </c>
      <c r="D1169" s="5">
        <f>IFERROR(__xludf.DUMMYFUNCTION("""COMPUTED_VALUE"""),436.0)</f>
        <v>436</v>
      </c>
      <c r="E1169" s="5">
        <f>IFERROR(__xludf.DUMMYFUNCTION("""COMPUTED_VALUE"""),438.0)</f>
        <v>438</v>
      </c>
      <c r="F1169" s="5">
        <f>IFERROR(__xludf.DUMMYFUNCTION("""COMPUTED_VALUE"""),1.63479E7)</f>
        <v>16347900</v>
      </c>
      <c r="G1169" s="5">
        <f t="shared" si="1"/>
        <v>12</v>
      </c>
    </row>
    <row r="1170">
      <c r="A1170" s="4">
        <f>IFERROR(__xludf.DUMMYFUNCTION("""COMPUTED_VALUE"""),45593.66666666667)</f>
        <v>45593.66667</v>
      </c>
      <c r="B1170" s="5">
        <f>IFERROR(__xludf.DUMMYFUNCTION("""COMPUTED_VALUE"""),440.0)</f>
        <v>440</v>
      </c>
      <c r="C1170" s="5">
        <f>IFERROR(__xludf.DUMMYFUNCTION("""COMPUTED_VALUE"""),448.0)</f>
        <v>448</v>
      </c>
      <c r="D1170" s="5">
        <f>IFERROR(__xludf.DUMMYFUNCTION("""COMPUTED_VALUE"""),434.0)</f>
        <v>434</v>
      </c>
      <c r="E1170" s="5">
        <f>IFERROR(__xludf.DUMMYFUNCTION("""COMPUTED_VALUE"""),444.0)</f>
        <v>444</v>
      </c>
      <c r="F1170" s="5">
        <f>IFERROR(__xludf.DUMMYFUNCTION("""COMPUTED_VALUE"""),2.31695E7)</f>
        <v>23169500</v>
      </c>
      <c r="G1170" s="5">
        <f t="shared" si="1"/>
        <v>14</v>
      </c>
    </row>
    <row r="1171">
      <c r="A1171" s="4">
        <f>IFERROR(__xludf.DUMMYFUNCTION("""COMPUTED_VALUE"""),45594.66666666667)</f>
        <v>45594.66667</v>
      </c>
      <c r="B1171" s="5">
        <f>IFERROR(__xludf.DUMMYFUNCTION("""COMPUTED_VALUE"""),450.0)</f>
        <v>450</v>
      </c>
      <c r="C1171" s="5">
        <f>IFERROR(__xludf.DUMMYFUNCTION("""COMPUTED_VALUE"""),464.0)</f>
        <v>464</v>
      </c>
      <c r="D1171" s="5">
        <f>IFERROR(__xludf.DUMMYFUNCTION("""COMPUTED_VALUE"""),446.0)</f>
        <v>446</v>
      </c>
      <c r="E1171" s="5">
        <f>IFERROR(__xludf.DUMMYFUNCTION("""COMPUTED_VALUE"""),454.0)</f>
        <v>454</v>
      </c>
      <c r="F1171" s="5">
        <f>IFERROR(__xludf.DUMMYFUNCTION("""COMPUTED_VALUE"""),4.21868E7)</f>
        <v>42186800</v>
      </c>
      <c r="G1171" s="5">
        <f t="shared" si="1"/>
        <v>20</v>
      </c>
    </row>
    <row r="1172">
      <c r="A1172" s="4">
        <f>IFERROR(__xludf.DUMMYFUNCTION("""COMPUTED_VALUE"""),45595.66666666667)</f>
        <v>45595.66667</v>
      </c>
      <c r="B1172" s="5">
        <f>IFERROR(__xludf.DUMMYFUNCTION("""COMPUTED_VALUE"""),454.0)</f>
        <v>454</v>
      </c>
      <c r="C1172" s="5">
        <f>IFERROR(__xludf.DUMMYFUNCTION("""COMPUTED_VALUE"""),460.0)</f>
        <v>460</v>
      </c>
      <c r="D1172" s="5">
        <f>IFERROR(__xludf.DUMMYFUNCTION("""COMPUTED_VALUE"""),444.0)</f>
        <v>444</v>
      </c>
      <c r="E1172" s="5">
        <f>IFERROR(__xludf.DUMMYFUNCTION("""COMPUTED_VALUE"""),444.0)</f>
        <v>444</v>
      </c>
      <c r="F1172" s="5">
        <f>IFERROR(__xludf.DUMMYFUNCTION("""COMPUTED_VALUE"""),1.6987E7)</f>
        <v>16987000</v>
      </c>
      <c r="G1172" s="5">
        <f t="shared" si="1"/>
        <v>16</v>
      </c>
    </row>
    <row r="1173">
      <c r="A1173" s="4">
        <f>IFERROR(__xludf.DUMMYFUNCTION("""COMPUTED_VALUE"""),45596.66666666667)</f>
        <v>45596.66667</v>
      </c>
      <c r="B1173" s="5">
        <f>IFERROR(__xludf.DUMMYFUNCTION("""COMPUTED_VALUE"""),448.0)</f>
        <v>448</v>
      </c>
      <c r="C1173" s="5">
        <f>IFERROR(__xludf.DUMMYFUNCTION("""COMPUTED_VALUE"""),450.0)</f>
        <v>450</v>
      </c>
      <c r="D1173" s="5">
        <f>IFERROR(__xludf.DUMMYFUNCTION("""COMPUTED_VALUE"""),444.0)</f>
        <v>444</v>
      </c>
      <c r="E1173" s="5">
        <f>IFERROR(__xludf.DUMMYFUNCTION("""COMPUTED_VALUE"""),446.0)</f>
        <v>446</v>
      </c>
      <c r="F1173" s="5">
        <f>IFERROR(__xludf.DUMMYFUNCTION("""COMPUTED_VALUE"""),9103000.0)</f>
        <v>9103000</v>
      </c>
      <c r="G1173" s="5">
        <f t="shared" si="1"/>
        <v>6</v>
      </c>
    </row>
    <row r="1174">
      <c r="A1174" s="4">
        <f>IFERROR(__xludf.DUMMYFUNCTION("""COMPUTED_VALUE"""),45597.66666666667)</f>
        <v>45597.66667</v>
      </c>
      <c r="B1174" s="5">
        <f>IFERROR(__xludf.DUMMYFUNCTION("""COMPUTED_VALUE"""),446.0)</f>
        <v>446</v>
      </c>
      <c r="C1174" s="5">
        <f>IFERROR(__xludf.DUMMYFUNCTION("""COMPUTED_VALUE"""),462.0)</f>
        <v>462</v>
      </c>
      <c r="D1174" s="5">
        <f>IFERROR(__xludf.DUMMYFUNCTION("""COMPUTED_VALUE"""),440.0)</f>
        <v>440</v>
      </c>
      <c r="E1174" s="5">
        <f>IFERROR(__xludf.DUMMYFUNCTION("""COMPUTED_VALUE"""),446.0)</f>
        <v>446</v>
      </c>
      <c r="F1174" s="5">
        <f>IFERROR(__xludf.DUMMYFUNCTION("""COMPUTED_VALUE"""),3.48165E7)</f>
        <v>34816500</v>
      </c>
      <c r="G1174" s="5">
        <f t="shared" si="1"/>
        <v>22</v>
      </c>
    </row>
    <row r="1175">
      <c r="A1175" s="4">
        <f>IFERROR(__xludf.DUMMYFUNCTION("""COMPUTED_VALUE"""),45600.66666666667)</f>
        <v>45600.66667</v>
      </c>
      <c r="B1175" s="5">
        <f>IFERROR(__xludf.DUMMYFUNCTION("""COMPUTED_VALUE"""),446.0)</f>
        <v>446</v>
      </c>
      <c r="C1175" s="5">
        <f>IFERROR(__xludf.DUMMYFUNCTION("""COMPUTED_VALUE"""),450.0)</f>
        <v>450</v>
      </c>
      <c r="D1175" s="5">
        <f>IFERROR(__xludf.DUMMYFUNCTION("""COMPUTED_VALUE"""),430.0)</f>
        <v>430</v>
      </c>
      <c r="E1175" s="5">
        <f>IFERROR(__xludf.DUMMYFUNCTION("""COMPUTED_VALUE"""),432.0)</f>
        <v>432</v>
      </c>
      <c r="F1175" s="5">
        <f>IFERROR(__xludf.DUMMYFUNCTION("""COMPUTED_VALUE"""),3.29724E7)</f>
        <v>32972400</v>
      </c>
      <c r="G1175" s="5">
        <f t="shared" si="1"/>
        <v>20</v>
      </c>
    </row>
    <row r="1176">
      <c r="A1176" s="4">
        <f>IFERROR(__xludf.DUMMYFUNCTION("""COMPUTED_VALUE"""),45601.66666666667)</f>
        <v>45601.66667</v>
      </c>
      <c r="B1176" s="5">
        <f>IFERROR(__xludf.DUMMYFUNCTION("""COMPUTED_VALUE"""),432.0)</f>
        <v>432</v>
      </c>
      <c r="C1176" s="5">
        <f>IFERROR(__xludf.DUMMYFUNCTION("""COMPUTED_VALUE"""),436.0)</f>
        <v>436</v>
      </c>
      <c r="D1176" s="5">
        <f>IFERROR(__xludf.DUMMYFUNCTION("""COMPUTED_VALUE"""),422.0)</f>
        <v>422</v>
      </c>
      <c r="E1176" s="5">
        <f>IFERROR(__xludf.DUMMYFUNCTION("""COMPUTED_VALUE"""),430.0)</f>
        <v>430</v>
      </c>
      <c r="F1176" s="5">
        <f>IFERROR(__xludf.DUMMYFUNCTION("""COMPUTED_VALUE"""),1.97217E7)</f>
        <v>19721700</v>
      </c>
      <c r="G1176" s="5">
        <f t="shared" si="1"/>
        <v>14</v>
      </c>
    </row>
    <row r="1177">
      <c r="A1177" s="4">
        <f>IFERROR(__xludf.DUMMYFUNCTION("""COMPUTED_VALUE"""),45602.66666666667)</f>
        <v>45602.66667</v>
      </c>
      <c r="B1177" s="5">
        <f>IFERROR(__xludf.DUMMYFUNCTION("""COMPUTED_VALUE"""),430.0)</f>
        <v>430</v>
      </c>
      <c r="C1177" s="5">
        <f>IFERROR(__xludf.DUMMYFUNCTION("""COMPUTED_VALUE"""),440.0)</f>
        <v>440</v>
      </c>
      <c r="D1177" s="5">
        <f>IFERROR(__xludf.DUMMYFUNCTION("""COMPUTED_VALUE"""),416.0)</f>
        <v>416</v>
      </c>
      <c r="E1177" s="5">
        <f>IFERROR(__xludf.DUMMYFUNCTION("""COMPUTED_VALUE"""),416.0)</f>
        <v>416</v>
      </c>
      <c r="F1177" s="5">
        <f>IFERROR(__xludf.DUMMYFUNCTION("""COMPUTED_VALUE"""),3.27171E7)</f>
        <v>32717100</v>
      </c>
      <c r="G1177" s="5">
        <f t="shared" si="1"/>
        <v>24</v>
      </c>
    </row>
    <row r="1178">
      <c r="A1178" s="4">
        <f>IFERROR(__xludf.DUMMYFUNCTION("""COMPUTED_VALUE"""),45603.66666666667)</f>
        <v>45603.66667</v>
      </c>
      <c r="B1178" s="5">
        <f>IFERROR(__xludf.DUMMYFUNCTION("""COMPUTED_VALUE"""),422.0)</f>
        <v>422</v>
      </c>
      <c r="C1178" s="5">
        <f>IFERROR(__xludf.DUMMYFUNCTION("""COMPUTED_VALUE"""),422.0)</f>
        <v>422</v>
      </c>
      <c r="D1178" s="5">
        <f>IFERROR(__xludf.DUMMYFUNCTION("""COMPUTED_VALUE"""),400.0)</f>
        <v>400</v>
      </c>
      <c r="E1178" s="5">
        <f>IFERROR(__xludf.DUMMYFUNCTION("""COMPUTED_VALUE"""),408.0)</f>
        <v>408</v>
      </c>
      <c r="F1178" s="5">
        <f>IFERROR(__xludf.DUMMYFUNCTION("""COMPUTED_VALUE"""),2.71863E7)</f>
        <v>27186300</v>
      </c>
      <c r="G1178" s="5">
        <f t="shared" si="1"/>
        <v>22</v>
      </c>
    </row>
    <row r="1179">
      <c r="A1179" s="4">
        <f>IFERROR(__xludf.DUMMYFUNCTION("""COMPUTED_VALUE"""),45604.66666666667)</f>
        <v>45604.66667</v>
      </c>
      <c r="B1179" s="5">
        <f>IFERROR(__xludf.DUMMYFUNCTION("""COMPUTED_VALUE"""),408.0)</f>
        <v>408</v>
      </c>
      <c r="C1179" s="5">
        <f>IFERROR(__xludf.DUMMYFUNCTION("""COMPUTED_VALUE"""),418.0)</f>
        <v>418</v>
      </c>
      <c r="D1179" s="5">
        <f>IFERROR(__xludf.DUMMYFUNCTION("""COMPUTED_VALUE"""),398.0)</f>
        <v>398</v>
      </c>
      <c r="E1179" s="5">
        <f>IFERROR(__xludf.DUMMYFUNCTION("""COMPUTED_VALUE"""),402.0)</f>
        <v>402</v>
      </c>
      <c r="F1179" s="5">
        <f>IFERROR(__xludf.DUMMYFUNCTION("""COMPUTED_VALUE"""),1.44806E7)</f>
        <v>14480600</v>
      </c>
      <c r="G1179" s="5">
        <f t="shared" si="1"/>
        <v>20</v>
      </c>
    </row>
    <row r="1180">
      <c r="A1180" s="4">
        <f>IFERROR(__xludf.DUMMYFUNCTION("""COMPUTED_VALUE"""),45607.66666666667)</f>
        <v>45607.66667</v>
      </c>
      <c r="B1180" s="5">
        <f>IFERROR(__xludf.DUMMYFUNCTION("""COMPUTED_VALUE"""),404.0)</f>
        <v>404</v>
      </c>
      <c r="C1180" s="5">
        <f>IFERROR(__xludf.DUMMYFUNCTION("""COMPUTED_VALUE"""),408.0)</f>
        <v>408</v>
      </c>
      <c r="D1180" s="5">
        <f>IFERROR(__xludf.DUMMYFUNCTION("""COMPUTED_VALUE"""),388.0)</f>
        <v>388</v>
      </c>
      <c r="E1180" s="5">
        <f>IFERROR(__xludf.DUMMYFUNCTION("""COMPUTED_VALUE"""),396.0)</f>
        <v>396</v>
      </c>
      <c r="F1180" s="5">
        <f>IFERROR(__xludf.DUMMYFUNCTION("""COMPUTED_VALUE"""),1.87944E7)</f>
        <v>18794400</v>
      </c>
      <c r="G1180" s="5">
        <f t="shared" si="1"/>
        <v>20</v>
      </c>
    </row>
    <row r="1181">
      <c r="A1181" s="4">
        <f>IFERROR(__xludf.DUMMYFUNCTION("""COMPUTED_VALUE"""),45608.66666666667)</f>
        <v>45608.66667</v>
      </c>
      <c r="B1181" s="5">
        <f>IFERROR(__xludf.DUMMYFUNCTION("""COMPUTED_VALUE"""),396.0)</f>
        <v>396</v>
      </c>
      <c r="C1181" s="5">
        <f>IFERROR(__xludf.DUMMYFUNCTION("""COMPUTED_VALUE"""),408.0)</f>
        <v>408</v>
      </c>
      <c r="D1181" s="5">
        <f>IFERROR(__xludf.DUMMYFUNCTION("""COMPUTED_VALUE"""),394.0)</f>
        <v>394</v>
      </c>
      <c r="E1181" s="5">
        <f>IFERROR(__xludf.DUMMYFUNCTION("""COMPUTED_VALUE"""),404.0)</f>
        <v>404</v>
      </c>
      <c r="F1181" s="5">
        <f>IFERROR(__xludf.DUMMYFUNCTION("""COMPUTED_VALUE"""),1.31807E7)</f>
        <v>13180700</v>
      </c>
      <c r="G1181" s="5">
        <f t="shared" si="1"/>
        <v>14</v>
      </c>
    </row>
    <row r="1182">
      <c r="A1182" s="4">
        <f>IFERROR(__xludf.DUMMYFUNCTION("""COMPUTED_VALUE"""),45609.66666666667)</f>
        <v>45609.66667</v>
      </c>
      <c r="B1182" s="5">
        <f>IFERROR(__xludf.DUMMYFUNCTION("""COMPUTED_VALUE"""),408.0)</f>
        <v>408</v>
      </c>
      <c r="C1182" s="5">
        <f>IFERROR(__xludf.DUMMYFUNCTION("""COMPUTED_VALUE"""),414.0)</f>
        <v>414</v>
      </c>
      <c r="D1182" s="5">
        <f>IFERROR(__xludf.DUMMYFUNCTION("""COMPUTED_VALUE"""),402.0)</f>
        <v>402</v>
      </c>
      <c r="E1182" s="5">
        <f>IFERROR(__xludf.DUMMYFUNCTION("""COMPUTED_VALUE"""),402.0)</f>
        <v>402</v>
      </c>
      <c r="F1182" s="5">
        <f>IFERROR(__xludf.DUMMYFUNCTION("""COMPUTED_VALUE"""),9915800.0)</f>
        <v>9915800</v>
      </c>
      <c r="G1182" s="5">
        <f t="shared" si="1"/>
        <v>12</v>
      </c>
    </row>
    <row r="1183">
      <c r="A1183" s="4">
        <f>IFERROR(__xludf.DUMMYFUNCTION("""COMPUTED_VALUE"""),45610.66666666667)</f>
        <v>45610.66667</v>
      </c>
      <c r="B1183" s="5">
        <f>IFERROR(__xludf.DUMMYFUNCTION("""COMPUTED_VALUE"""),408.0)</f>
        <v>408</v>
      </c>
      <c r="C1183" s="5">
        <f>IFERROR(__xludf.DUMMYFUNCTION("""COMPUTED_VALUE"""),408.0)</f>
        <v>408</v>
      </c>
      <c r="D1183" s="5">
        <f>IFERROR(__xludf.DUMMYFUNCTION("""COMPUTED_VALUE"""),394.0)</f>
        <v>394</v>
      </c>
      <c r="E1183" s="5">
        <f>IFERROR(__xludf.DUMMYFUNCTION("""COMPUTED_VALUE"""),394.0)</f>
        <v>394</v>
      </c>
      <c r="F1183" s="5">
        <f>IFERROR(__xludf.DUMMYFUNCTION("""COMPUTED_VALUE"""),1.04733E7)</f>
        <v>10473300</v>
      </c>
      <c r="G1183" s="5">
        <f t="shared" si="1"/>
        <v>14</v>
      </c>
    </row>
    <row r="1184">
      <c r="A1184" s="4">
        <f>IFERROR(__xludf.DUMMYFUNCTION("""COMPUTED_VALUE"""),45611.66666666667)</f>
        <v>45611.66667</v>
      </c>
      <c r="B1184" s="5">
        <f>IFERROR(__xludf.DUMMYFUNCTION("""COMPUTED_VALUE"""),396.0)</f>
        <v>396</v>
      </c>
      <c r="C1184" s="5">
        <f>IFERROR(__xludf.DUMMYFUNCTION("""COMPUTED_VALUE"""),398.0)</f>
        <v>398</v>
      </c>
      <c r="D1184" s="5">
        <f>IFERROR(__xludf.DUMMYFUNCTION("""COMPUTED_VALUE"""),386.0)</f>
        <v>386</v>
      </c>
      <c r="E1184" s="5">
        <f>IFERROR(__xludf.DUMMYFUNCTION("""COMPUTED_VALUE"""),388.0)</f>
        <v>388</v>
      </c>
      <c r="F1184" s="5">
        <f>IFERROR(__xludf.DUMMYFUNCTION("""COMPUTED_VALUE"""),7528300.0)</f>
        <v>7528300</v>
      </c>
      <c r="G1184" s="5">
        <f t="shared" si="1"/>
        <v>12</v>
      </c>
    </row>
    <row r="1185">
      <c r="A1185" s="4">
        <f>IFERROR(__xludf.DUMMYFUNCTION("""COMPUTED_VALUE"""),45614.66666666667)</f>
        <v>45614.66667</v>
      </c>
      <c r="B1185" s="5">
        <f>IFERROR(__xludf.DUMMYFUNCTION("""COMPUTED_VALUE"""),388.0)</f>
        <v>388</v>
      </c>
      <c r="C1185" s="5">
        <f>IFERROR(__xludf.DUMMYFUNCTION("""COMPUTED_VALUE"""),394.0)</f>
        <v>394</v>
      </c>
      <c r="D1185" s="5">
        <f>IFERROR(__xludf.DUMMYFUNCTION("""COMPUTED_VALUE"""),376.0)</f>
        <v>376</v>
      </c>
      <c r="E1185" s="5">
        <f>IFERROR(__xludf.DUMMYFUNCTION("""COMPUTED_VALUE"""),378.0)</f>
        <v>378</v>
      </c>
      <c r="F1185" s="5">
        <f>IFERROR(__xludf.DUMMYFUNCTION("""COMPUTED_VALUE"""),1.42704E7)</f>
        <v>14270400</v>
      </c>
      <c r="G1185" s="5">
        <f t="shared" si="1"/>
        <v>18</v>
      </c>
    </row>
    <row r="1186">
      <c r="A1186" s="4">
        <f>IFERROR(__xludf.DUMMYFUNCTION("""COMPUTED_VALUE"""),45615.66666666667)</f>
        <v>45615.66667</v>
      </c>
      <c r="B1186" s="5">
        <f>IFERROR(__xludf.DUMMYFUNCTION("""COMPUTED_VALUE"""),380.0)</f>
        <v>380</v>
      </c>
      <c r="C1186" s="5">
        <f>IFERROR(__xludf.DUMMYFUNCTION("""COMPUTED_VALUE"""),396.0)</f>
        <v>396</v>
      </c>
      <c r="D1186" s="5">
        <f>IFERROR(__xludf.DUMMYFUNCTION("""COMPUTED_VALUE"""),374.0)</f>
        <v>374</v>
      </c>
      <c r="E1186" s="5">
        <f>IFERROR(__xludf.DUMMYFUNCTION("""COMPUTED_VALUE"""),392.0)</f>
        <v>392</v>
      </c>
      <c r="F1186" s="5">
        <f>IFERROR(__xludf.DUMMYFUNCTION("""COMPUTED_VALUE"""),1.17124E7)</f>
        <v>11712400</v>
      </c>
      <c r="G1186" s="5">
        <f t="shared" si="1"/>
        <v>22</v>
      </c>
    </row>
    <row r="1187">
      <c r="A1187" s="4">
        <f>IFERROR(__xludf.DUMMYFUNCTION("""COMPUTED_VALUE"""),45616.66666666667)</f>
        <v>45616.66667</v>
      </c>
      <c r="B1187" s="5">
        <f>IFERROR(__xludf.DUMMYFUNCTION("""COMPUTED_VALUE"""),396.0)</f>
        <v>396</v>
      </c>
      <c r="C1187" s="5">
        <f>IFERROR(__xludf.DUMMYFUNCTION("""COMPUTED_VALUE"""),418.0)</f>
        <v>418</v>
      </c>
      <c r="D1187" s="5">
        <f>IFERROR(__xludf.DUMMYFUNCTION("""COMPUTED_VALUE"""),392.0)</f>
        <v>392</v>
      </c>
      <c r="E1187" s="5">
        <f>IFERROR(__xludf.DUMMYFUNCTION("""COMPUTED_VALUE"""),396.0)</f>
        <v>396</v>
      </c>
      <c r="F1187" s="5">
        <f>IFERROR(__xludf.DUMMYFUNCTION("""COMPUTED_VALUE"""),3.42404E7)</f>
        <v>34240400</v>
      </c>
      <c r="G1187" s="5">
        <f t="shared" si="1"/>
        <v>26</v>
      </c>
    </row>
    <row r="1188">
      <c r="A1188" s="4">
        <f>IFERROR(__xludf.DUMMYFUNCTION("""COMPUTED_VALUE"""),45617.66666666667)</f>
        <v>45617.66667</v>
      </c>
      <c r="B1188" s="5">
        <f>IFERROR(__xludf.DUMMYFUNCTION("""COMPUTED_VALUE"""),400.0)</f>
        <v>400</v>
      </c>
      <c r="C1188" s="5">
        <f>IFERROR(__xludf.DUMMYFUNCTION("""COMPUTED_VALUE"""),406.0)</f>
        <v>406</v>
      </c>
      <c r="D1188" s="5">
        <f>IFERROR(__xludf.DUMMYFUNCTION("""COMPUTED_VALUE"""),394.0)</f>
        <v>394</v>
      </c>
      <c r="E1188" s="5">
        <f>IFERROR(__xludf.DUMMYFUNCTION("""COMPUTED_VALUE"""),402.0)</f>
        <v>402</v>
      </c>
      <c r="F1188" s="5">
        <f>IFERROR(__xludf.DUMMYFUNCTION("""COMPUTED_VALUE"""),1.02837E7)</f>
        <v>10283700</v>
      </c>
      <c r="G1188" s="5">
        <f t="shared" si="1"/>
        <v>12</v>
      </c>
    </row>
    <row r="1189">
      <c r="A1189" s="4">
        <f>IFERROR(__xludf.DUMMYFUNCTION("""COMPUTED_VALUE"""),45618.66666666667)</f>
        <v>45618.66667</v>
      </c>
      <c r="B1189" s="5">
        <f>IFERROR(__xludf.DUMMYFUNCTION("""COMPUTED_VALUE"""),402.0)</f>
        <v>402</v>
      </c>
      <c r="C1189" s="5">
        <f>IFERROR(__xludf.DUMMYFUNCTION("""COMPUTED_VALUE"""),406.0)</f>
        <v>406</v>
      </c>
      <c r="D1189" s="5">
        <f>IFERROR(__xludf.DUMMYFUNCTION("""COMPUTED_VALUE"""),396.0)</f>
        <v>396</v>
      </c>
      <c r="E1189" s="5">
        <f>IFERROR(__xludf.DUMMYFUNCTION("""COMPUTED_VALUE"""),396.0)</f>
        <v>396</v>
      </c>
      <c r="F1189" s="5">
        <f>IFERROR(__xludf.DUMMYFUNCTION("""COMPUTED_VALUE"""),5220800.0)</f>
        <v>5220800</v>
      </c>
      <c r="G1189" s="5">
        <f t="shared" si="1"/>
        <v>10</v>
      </c>
    </row>
    <row r="1190">
      <c r="A1190" s="4">
        <f>IFERROR(__xludf.DUMMYFUNCTION("""COMPUTED_VALUE"""),45621.66666666667)</f>
        <v>45621.66667</v>
      </c>
      <c r="B1190" s="5">
        <f>IFERROR(__xludf.DUMMYFUNCTION("""COMPUTED_VALUE"""),396.0)</f>
        <v>396</v>
      </c>
      <c r="C1190" s="5">
        <f>IFERROR(__xludf.DUMMYFUNCTION("""COMPUTED_VALUE"""),406.0)</f>
        <v>406</v>
      </c>
      <c r="D1190" s="5">
        <f>IFERROR(__xludf.DUMMYFUNCTION("""COMPUTED_VALUE"""),396.0)</f>
        <v>396</v>
      </c>
      <c r="E1190" s="5">
        <f>IFERROR(__xludf.DUMMYFUNCTION("""COMPUTED_VALUE"""),404.0)</f>
        <v>404</v>
      </c>
      <c r="F1190" s="5">
        <f>IFERROR(__xludf.DUMMYFUNCTION("""COMPUTED_VALUE"""),9241300.0)</f>
        <v>9241300</v>
      </c>
      <c r="G1190" s="5">
        <f t="shared" si="1"/>
        <v>10</v>
      </c>
    </row>
    <row r="1191">
      <c r="A1191" s="4">
        <f>IFERROR(__xludf.DUMMYFUNCTION("""COMPUTED_VALUE"""),45622.66666666667)</f>
        <v>45622.66667</v>
      </c>
      <c r="B1191" s="5">
        <f>IFERROR(__xludf.DUMMYFUNCTION("""COMPUTED_VALUE"""),404.0)</f>
        <v>404</v>
      </c>
      <c r="C1191" s="5">
        <f>IFERROR(__xludf.DUMMYFUNCTION("""COMPUTED_VALUE"""),406.0)</f>
        <v>406</v>
      </c>
      <c r="D1191" s="5">
        <f>IFERROR(__xludf.DUMMYFUNCTION("""COMPUTED_VALUE"""),394.0)</f>
        <v>394</v>
      </c>
      <c r="E1191" s="5">
        <f>IFERROR(__xludf.DUMMYFUNCTION("""COMPUTED_VALUE"""),398.0)</f>
        <v>398</v>
      </c>
      <c r="F1191" s="5">
        <f>IFERROR(__xludf.DUMMYFUNCTION("""COMPUTED_VALUE"""),8297400.0)</f>
        <v>8297400</v>
      </c>
      <c r="G1191" s="5">
        <f t="shared" si="1"/>
        <v>12</v>
      </c>
    </row>
    <row r="1192">
      <c r="A1192" s="4">
        <f>IFERROR(__xludf.DUMMYFUNCTION("""COMPUTED_VALUE"""),45624.66666666667)</f>
        <v>45624.66667</v>
      </c>
      <c r="B1192" s="5">
        <f>IFERROR(__xludf.DUMMYFUNCTION("""COMPUTED_VALUE"""),400.0)</f>
        <v>400</v>
      </c>
      <c r="C1192" s="5">
        <f>IFERROR(__xludf.DUMMYFUNCTION("""COMPUTED_VALUE"""),404.0)</f>
        <v>404</v>
      </c>
      <c r="D1192" s="5">
        <f>IFERROR(__xludf.DUMMYFUNCTION("""COMPUTED_VALUE"""),390.0)</f>
        <v>390</v>
      </c>
      <c r="E1192" s="5">
        <f>IFERROR(__xludf.DUMMYFUNCTION("""COMPUTED_VALUE"""),392.0)</f>
        <v>392</v>
      </c>
      <c r="F1192" s="5">
        <f>IFERROR(__xludf.DUMMYFUNCTION("""COMPUTED_VALUE"""),8348300.0)</f>
        <v>8348300</v>
      </c>
      <c r="G1192" s="5">
        <f t="shared" si="1"/>
        <v>14</v>
      </c>
    </row>
    <row r="1193">
      <c r="A1193" s="4">
        <f>IFERROR(__xludf.DUMMYFUNCTION("""COMPUTED_VALUE"""),45625.66666666667)</f>
        <v>45625.66667</v>
      </c>
      <c r="B1193" s="5">
        <f>IFERROR(__xludf.DUMMYFUNCTION("""COMPUTED_VALUE"""),396.0)</f>
        <v>396</v>
      </c>
      <c r="C1193" s="5">
        <f>IFERROR(__xludf.DUMMYFUNCTION("""COMPUTED_VALUE"""),402.0)</f>
        <v>402</v>
      </c>
      <c r="D1193" s="5">
        <f>IFERROR(__xludf.DUMMYFUNCTION("""COMPUTED_VALUE"""),382.0)</f>
        <v>382</v>
      </c>
      <c r="E1193" s="5">
        <f>IFERROR(__xludf.DUMMYFUNCTION("""COMPUTED_VALUE"""),390.0)</f>
        <v>390</v>
      </c>
      <c r="F1193" s="5">
        <f>IFERROR(__xludf.DUMMYFUNCTION("""COMPUTED_VALUE"""),1.01323E7)</f>
        <v>10132300</v>
      </c>
      <c r="G1193" s="5">
        <f t="shared" si="1"/>
        <v>20</v>
      </c>
    </row>
    <row r="1194">
      <c r="A1194" s="4">
        <f>IFERROR(__xludf.DUMMYFUNCTION("""COMPUTED_VALUE"""),45628.66666666667)</f>
        <v>45628.66667</v>
      </c>
      <c r="B1194" s="5">
        <f>IFERROR(__xludf.DUMMYFUNCTION("""COMPUTED_VALUE"""),388.0)</f>
        <v>388</v>
      </c>
      <c r="C1194" s="5">
        <f>IFERROR(__xludf.DUMMYFUNCTION("""COMPUTED_VALUE"""),396.0)</f>
        <v>396</v>
      </c>
      <c r="D1194" s="5">
        <f>IFERROR(__xludf.DUMMYFUNCTION("""COMPUTED_VALUE"""),374.0)</f>
        <v>374</v>
      </c>
      <c r="E1194" s="5">
        <f>IFERROR(__xludf.DUMMYFUNCTION("""COMPUTED_VALUE"""),378.0)</f>
        <v>378</v>
      </c>
      <c r="F1194" s="5">
        <f>IFERROR(__xludf.DUMMYFUNCTION("""COMPUTED_VALUE"""),1.38675E7)</f>
        <v>13867500</v>
      </c>
      <c r="G1194" s="5">
        <f t="shared" si="1"/>
        <v>22</v>
      </c>
    </row>
    <row r="1195">
      <c r="A1195" s="4">
        <f>IFERROR(__xludf.DUMMYFUNCTION("""COMPUTED_VALUE"""),45629.66666666667)</f>
        <v>45629.66667</v>
      </c>
      <c r="B1195" s="5">
        <f>IFERROR(__xludf.DUMMYFUNCTION("""COMPUTED_VALUE"""),380.0)</f>
        <v>380</v>
      </c>
      <c r="C1195" s="5">
        <f>IFERROR(__xludf.DUMMYFUNCTION("""COMPUTED_VALUE"""),388.0)</f>
        <v>388</v>
      </c>
      <c r="D1195" s="5">
        <f>IFERROR(__xludf.DUMMYFUNCTION("""COMPUTED_VALUE"""),378.0)</f>
        <v>378</v>
      </c>
      <c r="E1195" s="5">
        <f>IFERROR(__xludf.DUMMYFUNCTION("""COMPUTED_VALUE"""),380.0)</f>
        <v>380</v>
      </c>
      <c r="F1195" s="5">
        <f>IFERROR(__xludf.DUMMYFUNCTION("""COMPUTED_VALUE"""),8712400.0)</f>
        <v>8712400</v>
      </c>
      <c r="G1195" s="5">
        <f t="shared" si="1"/>
        <v>10</v>
      </c>
    </row>
    <row r="1196">
      <c r="A1196" s="4">
        <f>IFERROR(__xludf.DUMMYFUNCTION("""COMPUTED_VALUE"""),45630.66666666667)</f>
        <v>45630.66667</v>
      </c>
      <c r="B1196" s="5">
        <f>IFERROR(__xludf.DUMMYFUNCTION("""COMPUTED_VALUE"""),380.0)</f>
        <v>380</v>
      </c>
      <c r="C1196" s="5">
        <f>IFERROR(__xludf.DUMMYFUNCTION("""COMPUTED_VALUE"""),390.0)</f>
        <v>390</v>
      </c>
      <c r="D1196" s="5">
        <f>IFERROR(__xludf.DUMMYFUNCTION("""COMPUTED_VALUE"""),380.0)</f>
        <v>380</v>
      </c>
      <c r="E1196" s="5">
        <f>IFERROR(__xludf.DUMMYFUNCTION("""COMPUTED_VALUE"""),388.0)</f>
        <v>388</v>
      </c>
      <c r="F1196" s="5">
        <f>IFERROR(__xludf.DUMMYFUNCTION("""COMPUTED_VALUE"""),1.2866E7)</f>
        <v>12866000</v>
      </c>
      <c r="G1196" s="5">
        <f t="shared" si="1"/>
        <v>10</v>
      </c>
    </row>
    <row r="1197">
      <c r="A1197" s="4">
        <f>IFERROR(__xludf.DUMMYFUNCTION("""COMPUTED_VALUE"""),45631.66666666667)</f>
        <v>45631.66667</v>
      </c>
      <c r="B1197" s="5">
        <f>IFERROR(__xludf.DUMMYFUNCTION("""COMPUTED_VALUE"""),390.0)</f>
        <v>390</v>
      </c>
      <c r="C1197" s="5">
        <f>IFERROR(__xludf.DUMMYFUNCTION("""COMPUTED_VALUE"""),392.0)</f>
        <v>392</v>
      </c>
      <c r="D1197" s="5">
        <f>IFERROR(__xludf.DUMMYFUNCTION("""COMPUTED_VALUE"""),380.0)</f>
        <v>380</v>
      </c>
      <c r="E1197" s="5">
        <f>IFERROR(__xludf.DUMMYFUNCTION("""COMPUTED_VALUE"""),384.0)</f>
        <v>384</v>
      </c>
      <c r="F1197" s="5">
        <f>IFERROR(__xludf.DUMMYFUNCTION("""COMPUTED_VALUE"""),1.2103E7)</f>
        <v>12103000</v>
      </c>
      <c r="G1197" s="5">
        <f t="shared" si="1"/>
        <v>12</v>
      </c>
    </row>
    <row r="1198">
      <c r="A1198" s="4">
        <f>IFERROR(__xludf.DUMMYFUNCTION("""COMPUTED_VALUE"""),45632.66666666667)</f>
        <v>45632.66667</v>
      </c>
      <c r="B1198" s="5">
        <f>IFERROR(__xludf.DUMMYFUNCTION("""COMPUTED_VALUE"""),384.0)</f>
        <v>384</v>
      </c>
      <c r="C1198" s="5">
        <f>IFERROR(__xludf.DUMMYFUNCTION("""COMPUTED_VALUE"""),386.0)</f>
        <v>386</v>
      </c>
      <c r="D1198" s="5">
        <f>IFERROR(__xludf.DUMMYFUNCTION("""COMPUTED_VALUE"""),378.0)</f>
        <v>378</v>
      </c>
      <c r="E1198" s="5">
        <f>IFERROR(__xludf.DUMMYFUNCTION("""COMPUTED_VALUE"""),380.0)</f>
        <v>380</v>
      </c>
      <c r="F1198" s="5">
        <f>IFERROR(__xludf.DUMMYFUNCTION("""COMPUTED_VALUE"""),6287900.0)</f>
        <v>6287900</v>
      </c>
      <c r="G1198" s="5">
        <f t="shared" si="1"/>
        <v>8</v>
      </c>
    </row>
    <row r="1199">
      <c r="A1199" s="4">
        <f>IFERROR(__xludf.DUMMYFUNCTION("""COMPUTED_VALUE"""),45635.66666666667)</f>
        <v>45635.66667</v>
      </c>
      <c r="B1199" s="5">
        <f>IFERROR(__xludf.DUMMYFUNCTION("""COMPUTED_VALUE"""),382.0)</f>
        <v>382</v>
      </c>
      <c r="C1199" s="5">
        <f>IFERROR(__xludf.DUMMYFUNCTION("""COMPUTED_VALUE"""),396.0)</f>
        <v>396</v>
      </c>
      <c r="D1199" s="5">
        <f>IFERROR(__xludf.DUMMYFUNCTION("""COMPUTED_VALUE"""),382.0)</f>
        <v>382</v>
      </c>
      <c r="E1199" s="5">
        <f>IFERROR(__xludf.DUMMYFUNCTION("""COMPUTED_VALUE"""),396.0)</f>
        <v>396</v>
      </c>
      <c r="F1199" s="5">
        <f>IFERROR(__xludf.DUMMYFUNCTION("""COMPUTED_VALUE"""),1.74025E7)</f>
        <v>17402500</v>
      </c>
      <c r="G1199" s="5">
        <f t="shared" si="1"/>
        <v>16</v>
      </c>
    </row>
    <row r="1200">
      <c r="A1200" s="4">
        <f>IFERROR(__xludf.DUMMYFUNCTION("""COMPUTED_VALUE"""),45636.66666666667)</f>
        <v>45636.66667</v>
      </c>
      <c r="B1200" s="5">
        <f>IFERROR(__xludf.DUMMYFUNCTION("""COMPUTED_VALUE"""),400.0)</f>
        <v>400</v>
      </c>
      <c r="C1200" s="5">
        <f>IFERROR(__xludf.DUMMYFUNCTION("""COMPUTED_VALUE"""),404.0)</f>
        <v>404</v>
      </c>
      <c r="D1200" s="5">
        <f>IFERROR(__xludf.DUMMYFUNCTION("""COMPUTED_VALUE"""),396.0)</f>
        <v>396</v>
      </c>
      <c r="E1200" s="5">
        <f>IFERROR(__xludf.DUMMYFUNCTION("""COMPUTED_VALUE"""),398.0)</f>
        <v>398</v>
      </c>
      <c r="F1200" s="5">
        <f>IFERROR(__xludf.DUMMYFUNCTION("""COMPUTED_VALUE"""),1.08435E7)</f>
        <v>10843500</v>
      </c>
      <c r="G1200" s="5">
        <f t="shared" si="1"/>
        <v>8</v>
      </c>
    </row>
    <row r="1201">
      <c r="A1201" s="4">
        <f>IFERROR(__xludf.DUMMYFUNCTION("""COMPUTED_VALUE"""),45637.66666666667)</f>
        <v>45637.66667</v>
      </c>
      <c r="B1201" s="5">
        <f>IFERROR(__xludf.DUMMYFUNCTION("""COMPUTED_VALUE"""),400.0)</f>
        <v>400</v>
      </c>
      <c r="C1201" s="5">
        <f>IFERROR(__xludf.DUMMYFUNCTION("""COMPUTED_VALUE"""),408.0)</f>
        <v>408</v>
      </c>
      <c r="D1201" s="5">
        <f>IFERROR(__xludf.DUMMYFUNCTION("""COMPUTED_VALUE"""),396.0)</f>
        <v>396</v>
      </c>
      <c r="E1201" s="5">
        <f>IFERROR(__xludf.DUMMYFUNCTION("""COMPUTED_VALUE"""),402.0)</f>
        <v>402</v>
      </c>
      <c r="F1201" s="5">
        <f>IFERROR(__xludf.DUMMYFUNCTION("""COMPUTED_VALUE"""),1.02981E7)</f>
        <v>10298100</v>
      </c>
      <c r="G1201" s="5">
        <f t="shared" si="1"/>
        <v>12</v>
      </c>
    </row>
    <row r="1202">
      <c r="A1202" s="4">
        <f>IFERROR(__xludf.DUMMYFUNCTION("""COMPUTED_VALUE"""),45638.66666666667)</f>
        <v>45638.66667</v>
      </c>
      <c r="B1202" s="5">
        <f>IFERROR(__xludf.DUMMYFUNCTION("""COMPUTED_VALUE"""),402.0)</f>
        <v>402</v>
      </c>
      <c r="C1202" s="5">
        <f>IFERROR(__xludf.DUMMYFUNCTION("""COMPUTED_VALUE"""),404.0)</f>
        <v>404</v>
      </c>
      <c r="D1202" s="5">
        <f>IFERROR(__xludf.DUMMYFUNCTION("""COMPUTED_VALUE"""),394.0)</f>
        <v>394</v>
      </c>
      <c r="E1202" s="5">
        <f>IFERROR(__xludf.DUMMYFUNCTION("""COMPUTED_VALUE"""),394.0)</f>
        <v>394</v>
      </c>
      <c r="F1202" s="5">
        <f>IFERROR(__xludf.DUMMYFUNCTION("""COMPUTED_VALUE"""),3882700.0)</f>
        <v>3882700</v>
      </c>
      <c r="G1202" s="5">
        <f t="shared" si="1"/>
        <v>10</v>
      </c>
    </row>
    <row r="1203">
      <c r="A1203" s="4">
        <f>IFERROR(__xludf.DUMMYFUNCTION("""COMPUTED_VALUE"""),45639.66666666667)</f>
        <v>45639.66667</v>
      </c>
      <c r="B1203" s="5">
        <f>IFERROR(__xludf.DUMMYFUNCTION("""COMPUTED_VALUE"""),394.0)</f>
        <v>394</v>
      </c>
      <c r="C1203" s="5">
        <f>IFERROR(__xludf.DUMMYFUNCTION("""COMPUTED_VALUE"""),396.0)</f>
        <v>396</v>
      </c>
      <c r="D1203" s="5">
        <f>IFERROR(__xludf.DUMMYFUNCTION("""COMPUTED_VALUE"""),380.0)</f>
        <v>380</v>
      </c>
      <c r="E1203" s="5">
        <f>IFERROR(__xludf.DUMMYFUNCTION("""COMPUTED_VALUE"""),382.0)</f>
        <v>382</v>
      </c>
      <c r="F1203" s="5">
        <f>IFERROR(__xludf.DUMMYFUNCTION("""COMPUTED_VALUE"""),9893000.0)</f>
        <v>9893000</v>
      </c>
      <c r="G1203" s="5">
        <f t="shared" si="1"/>
        <v>16</v>
      </c>
    </row>
    <row r="1204">
      <c r="A1204" s="4">
        <f>IFERROR(__xludf.DUMMYFUNCTION("""COMPUTED_VALUE"""),45642.66666666667)</f>
        <v>45642.66667</v>
      </c>
      <c r="B1204" s="5">
        <f>IFERROR(__xludf.DUMMYFUNCTION("""COMPUTED_VALUE"""),384.0)</f>
        <v>384</v>
      </c>
      <c r="C1204" s="5">
        <f>IFERROR(__xludf.DUMMYFUNCTION("""COMPUTED_VALUE"""),386.0)</f>
        <v>386</v>
      </c>
      <c r="D1204" s="5">
        <f>IFERROR(__xludf.DUMMYFUNCTION("""COMPUTED_VALUE"""),370.0)</f>
        <v>370</v>
      </c>
      <c r="E1204" s="5">
        <f>IFERROR(__xludf.DUMMYFUNCTION("""COMPUTED_VALUE"""),370.0)</f>
        <v>370</v>
      </c>
      <c r="F1204" s="5">
        <f>IFERROR(__xludf.DUMMYFUNCTION("""COMPUTED_VALUE"""),1.27989E7)</f>
        <v>12798900</v>
      </c>
      <c r="G1204" s="5">
        <f t="shared" si="1"/>
        <v>16</v>
      </c>
    </row>
    <row r="1205">
      <c r="A1205" s="4">
        <f>IFERROR(__xludf.DUMMYFUNCTION("""COMPUTED_VALUE"""),45643.66666666667)</f>
        <v>45643.66667</v>
      </c>
      <c r="B1205" s="5">
        <f>IFERROR(__xludf.DUMMYFUNCTION("""COMPUTED_VALUE"""),370.0)</f>
        <v>370</v>
      </c>
      <c r="C1205" s="5">
        <f>IFERROR(__xludf.DUMMYFUNCTION("""COMPUTED_VALUE"""),374.0)</f>
        <v>374</v>
      </c>
      <c r="D1205" s="5">
        <f>IFERROR(__xludf.DUMMYFUNCTION("""COMPUTED_VALUE"""),366.0)</f>
        <v>366</v>
      </c>
      <c r="E1205" s="5">
        <f>IFERROR(__xludf.DUMMYFUNCTION("""COMPUTED_VALUE"""),368.0)</f>
        <v>368</v>
      </c>
      <c r="F1205" s="5">
        <f>IFERROR(__xludf.DUMMYFUNCTION("""COMPUTED_VALUE"""),6806700.0)</f>
        <v>6806700</v>
      </c>
      <c r="G1205" s="5">
        <f t="shared" si="1"/>
        <v>8</v>
      </c>
    </row>
    <row r="1206">
      <c r="A1206" s="4">
        <f>IFERROR(__xludf.DUMMYFUNCTION("""COMPUTED_VALUE"""),45644.66666666667)</f>
        <v>45644.66667</v>
      </c>
      <c r="B1206" s="5">
        <f>IFERROR(__xludf.DUMMYFUNCTION("""COMPUTED_VALUE"""),372.0)</f>
        <v>372</v>
      </c>
      <c r="C1206" s="5">
        <f>IFERROR(__xludf.DUMMYFUNCTION("""COMPUTED_VALUE"""),378.0)</f>
        <v>378</v>
      </c>
      <c r="D1206" s="5">
        <f>IFERROR(__xludf.DUMMYFUNCTION("""COMPUTED_VALUE"""),362.0)</f>
        <v>362</v>
      </c>
      <c r="E1206" s="5">
        <f>IFERROR(__xludf.DUMMYFUNCTION("""COMPUTED_VALUE"""),366.0)</f>
        <v>366</v>
      </c>
      <c r="F1206" s="5">
        <f>IFERROR(__xludf.DUMMYFUNCTION("""COMPUTED_VALUE"""),5722400.0)</f>
        <v>5722400</v>
      </c>
      <c r="G1206" s="5">
        <f t="shared" si="1"/>
        <v>16</v>
      </c>
    </row>
    <row r="1207">
      <c r="A1207" s="4">
        <f>IFERROR(__xludf.DUMMYFUNCTION("""COMPUTED_VALUE"""),45645.66666666667)</f>
        <v>45645.66667</v>
      </c>
      <c r="B1207" s="5">
        <f>IFERROR(__xludf.DUMMYFUNCTION("""COMPUTED_VALUE"""),362.0)</f>
        <v>362</v>
      </c>
      <c r="C1207" s="5">
        <f>IFERROR(__xludf.DUMMYFUNCTION("""COMPUTED_VALUE"""),362.0)</f>
        <v>362</v>
      </c>
      <c r="D1207" s="5">
        <f>IFERROR(__xludf.DUMMYFUNCTION("""COMPUTED_VALUE"""),342.0)</f>
        <v>342</v>
      </c>
      <c r="E1207" s="5">
        <f>IFERROR(__xludf.DUMMYFUNCTION("""COMPUTED_VALUE"""),344.0)</f>
        <v>344</v>
      </c>
      <c r="F1207" s="5">
        <f>IFERROR(__xludf.DUMMYFUNCTION("""COMPUTED_VALUE"""),1.49794E7)</f>
        <v>14979400</v>
      </c>
      <c r="G1207" s="5">
        <f t="shared" si="1"/>
        <v>24</v>
      </c>
    </row>
    <row r="1208">
      <c r="A1208" s="4">
        <f>IFERROR(__xludf.DUMMYFUNCTION("""COMPUTED_VALUE"""),45646.66666666667)</f>
        <v>45646.66667</v>
      </c>
      <c r="B1208" s="5">
        <f>IFERROR(__xludf.DUMMYFUNCTION("""COMPUTED_VALUE"""),344.0)</f>
        <v>344</v>
      </c>
      <c r="C1208" s="5">
        <f>IFERROR(__xludf.DUMMYFUNCTION("""COMPUTED_VALUE"""),350.0)</f>
        <v>350</v>
      </c>
      <c r="D1208" s="5">
        <f>IFERROR(__xludf.DUMMYFUNCTION("""COMPUTED_VALUE"""),334.0)</f>
        <v>334</v>
      </c>
      <c r="E1208" s="5">
        <f>IFERROR(__xludf.DUMMYFUNCTION("""COMPUTED_VALUE"""),340.0)</f>
        <v>340</v>
      </c>
      <c r="F1208" s="5">
        <f>IFERROR(__xludf.DUMMYFUNCTION("""COMPUTED_VALUE"""),8367000.0)</f>
        <v>8367000</v>
      </c>
      <c r="G1208" s="5">
        <f t="shared" si="1"/>
        <v>16</v>
      </c>
    </row>
    <row r="1209">
      <c r="A1209" s="4">
        <f>IFERROR(__xludf.DUMMYFUNCTION("""COMPUTED_VALUE"""),45649.66666666667)</f>
        <v>45649.66667</v>
      </c>
      <c r="B1209" s="5">
        <f>IFERROR(__xludf.DUMMYFUNCTION("""COMPUTED_VALUE"""),340.0)</f>
        <v>340</v>
      </c>
      <c r="C1209" s="5">
        <f>IFERROR(__xludf.DUMMYFUNCTION("""COMPUTED_VALUE"""),344.0)</f>
        <v>344</v>
      </c>
      <c r="D1209" s="5">
        <f>IFERROR(__xludf.DUMMYFUNCTION("""COMPUTED_VALUE"""),336.0)</f>
        <v>336</v>
      </c>
      <c r="E1209" s="5">
        <f>IFERROR(__xludf.DUMMYFUNCTION("""COMPUTED_VALUE"""),338.0)</f>
        <v>338</v>
      </c>
      <c r="F1209" s="5">
        <f>IFERROR(__xludf.DUMMYFUNCTION("""COMPUTED_VALUE"""),7141700.0)</f>
        <v>7141700</v>
      </c>
      <c r="G1209" s="5">
        <f t="shared" si="1"/>
        <v>8</v>
      </c>
    </row>
    <row r="1210">
      <c r="A1210" s="4">
        <f>IFERROR(__xludf.DUMMYFUNCTION("""COMPUTED_VALUE"""),45650.66666666667)</f>
        <v>45650.66667</v>
      </c>
      <c r="B1210" s="5">
        <f>IFERROR(__xludf.DUMMYFUNCTION("""COMPUTED_VALUE"""),338.0)</f>
        <v>338</v>
      </c>
      <c r="C1210" s="5">
        <f>IFERROR(__xludf.DUMMYFUNCTION("""COMPUTED_VALUE"""),342.0)</f>
        <v>342</v>
      </c>
      <c r="D1210" s="5">
        <f>IFERROR(__xludf.DUMMYFUNCTION("""COMPUTED_VALUE"""),334.0)</f>
        <v>334</v>
      </c>
      <c r="E1210" s="5">
        <f>IFERROR(__xludf.DUMMYFUNCTION("""COMPUTED_VALUE"""),334.0)</f>
        <v>334</v>
      </c>
      <c r="F1210" s="5">
        <f>IFERROR(__xludf.DUMMYFUNCTION("""COMPUTED_VALUE"""),6213700.0)</f>
        <v>6213700</v>
      </c>
      <c r="G1210" s="5">
        <f t="shared" si="1"/>
        <v>8</v>
      </c>
    </row>
    <row r="1211">
      <c r="A1211" s="4">
        <f>IFERROR(__xludf.DUMMYFUNCTION("""COMPUTED_VALUE"""),45653.66666666667)</f>
        <v>45653.66667</v>
      </c>
      <c r="B1211" s="5">
        <f>IFERROR(__xludf.DUMMYFUNCTION("""COMPUTED_VALUE"""),334.0)</f>
        <v>334</v>
      </c>
      <c r="C1211" s="5">
        <f>IFERROR(__xludf.DUMMYFUNCTION("""COMPUTED_VALUE"""),342.0)</f>
        <v>342</v>
      </c>
      <c r="D1211" s="5">
        <f>IFERROR(__xludf.DUMMYFUNCTION("""COMPUTED_VALUE"""),334.0)</f>
        <v>334</v>
      </c>
      <c r="E1211" s="5">
        <f>IFERROR(__xludf.DUMMYFUNCTION("""COMPUTED_VALUE"""),336.0)</f>
        <v>336</v>
      </c>
      <c r="F1211" s="5">
        <f>IFERROR(__xludf.DUMMYFUNCTION("""COMPUTED_VALUE"""),3693800.0)</f>
        <v>3693800</v>
      </c>
      <c r="G1211" s="5">
        <f t="shared" si="1"/>
        <v>8</v>
      </c>
    </row>
    <row r="1212">
      <c r="A1212" s="4">
        <f>IFERROR(__xludf.DUMMYFUNCTION("""COMPUTED_VALUE"""),45656.66666666667)</f>
        <v>45656.66667</v>
      </c>
      <c r="B1212" s="5">
        <f>IFERROR(__xludf.DUMMYFUNCTION("""COMPUTED_VALUE"""),340.0)</f>
        <v>340</v>
      </c>
      <c r="C1212" s="5">
        <f>IFERROR(__xludf.DUMMYFUNCTION("""COMPUTED_VALUE"""),342.0)</f>
        <v>342</v>
      </c>
      <c r="D1212" s="5">
        <f>IFERROR(__xludf.DUMMYFUNCTION("""COMPUTED_VALUE"""),330.0)</f>
        <v>330</v>
      </c>
      <c r="E1212" s="5">
        <f>IFERROR(__xludf.DUMMYFUNCTION("""COMPUTED_VALUE"""),336.0)</f>
        <v>336</v>
      </c>
      <c r="F1212" s="5">
        <f>IFERROR(__xludf.DUMMYFUNCTION("""COMPUTED_VALUE"""),6286400.0)</f>
        <v>6286400</v>
      </c>
      <c r="G1212" s="5">
        <f t="shared" si="1"/>
        <v>12</v>
      </c>
    </row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>
    <row r="1">
      <c r="A1" s="4" t="str">
        <f>IFERROR(__xludf.DUMMYFUNCTION("GOOGLEFINANCE(""IDX:SMGR"", ""all"", DATE(2020,1,1), DATE(2025,1,1), ""DAILY"")
"),"Date")</f>
        <v>Date</v>
      </c>
      <c r="B1" s="5" t="str">
        <f>IFERROR(__xludf.DUMMYFUNCTION("""COMPUTED_VALUE"""),"Open")</f>
        <v>Open</v>
      </c>
      <c r="C1" s="5" t="str">
        <f>IFERROR(__xludf.DUMMYFUNCTION("""COMPUTED_VALUE"""),"High")</f>
        <v>High</v>
      </c>
      <c r="D1" s="5" t="str">
        <f>IFERROR(__xludf.DUMMYFUNCTION("""COMPUTED_VALUE"""),"Low")</f>
        <v>Low</v>
      </c>
      <c r="E1" s="5" t="str">
        <f>IFERROR(__xludf.DUMMYFUNCTION("""COMPUTED_VALUE"""),"Close")</f>
        <v>Close</v>
      </c>
      <c r="F1" s="5" t="str">
        <f>IFERROR(__xludf.DUMMYFUNCTION("""COMPUTED_VALUE"""),"Volume")</f>
        <v>Volume</v>
      </c>
      <c r="G1" s="6" t="s">
        <v>0</v>
      </c>
    </row>
    <row r="2">
      <c r="A2" s="4">
        <f>IFERROR(__xludf.DUMMYFUNCTION("""COMPUTED_VALUE"""),43832.66666666667)</f>
        <v>43832.66667</v>
      </c>
      <c r="B2" s="5">
        <f>IFERROR(__xludf.DUMMYFUNCTION("""COMPUTED_VALUE"""),12150.0)</f>
        <v>12150</v>
      </c>
      <c r="C2" s="5">
        <f>IFERROR(__xludf.DUMMYFUNCTION("""COMPUTED_VALUE"""),12225.0)</f>
        <v>12225</v>
      </c>
      <c r="D2" s="5">
        <f>IFERROR(__xludf.DUMMYFUNCTION("""COMPUTED_VALUE"""),12000.0)</f>
        <v>12000</v>
      </c>
      <c r="E2" s="5">
        <f>IFERROR(__xludf.DUMMYFUNCTION("""COMPUTED_VALUE"""),12200.0)</f>
        <v>12200</v>
      </c>
      <c r="F2" s="5">
        <f>IFERROR(__xludf.DUMMYFUNCTION("""COMPUTED_VALUE"""),4494500.0)</f>
        <v>4494500</v>
      </c>
    </row>
    <row r="3">
      <c r="A3" s="4">
        <f>IFERROR(__xludf.DUMMYFUNCTION("""COMPUTED_VALUE"""),43833.66666666667)</f>
        <v>43833.66667</v>
      </c>
      <c r="B3" s="5">
        <f>IFERROR(__xludf.DUMMYFUNCTION("""COMPUTED_VALUE"""),12300.0)</f>
        <v>12300</v>
      </c>
      <c r="C3" s="5">
        <f>IFERROR(__xludf.DUMMYFUNCTION("""COMPUTED_VALUE"""),12400.0)</f>
        <v>12400</v>
      </c>
      <c r="D3" s="5">
        <f>IFERROR(__xludf.DUMMYFUNCTION("""COMPUTED_VALUE"""),12250.0)</f>
        <v>12250</v>
      </c>
      <c r="E3" s="5">
        <f>IFERROR(__xludf.DUMMYFUNCTION("""COMPUTED_VALUE"""),12325.0)</f>
        <v>12325</v>
      </c>
      <c r="F3" s="5">
        <f>IFERROR(__xludf.DUMMYFUNCTION("""COMPUTED_VALUE"""),3119300.0)</f>
        <v>3119300</v>
      </c>
      <c r="G3" s="5">
        <f t="shared" ref="G3:G1212" si="1">MAX(C3-D3, ABS(C3-E2), ABS(D3-E2))</f>
        <v>200</v>
      </c>
    </row>
    <row r="4">
      <c r="A4" s="4">
        <f>IFERROR(__xludf.DUMMYFUNCTION("""COMPUTED_VALUE"""),43836.66666666667)</f>
        <v>43836.66667</v>
      </c>
      <c r="B4" s="5">
        <f>IFERROR(__xludf.DUMMYFUNCTION("""COMPUTED_VALUE"""),12200.0)</f>
        <v>12200</v>
      </c>
      <c r="C4" s="5">
        <f>IFERROR(__xludf.DUMMYFUNCTION("""COMPUTED_VALUE"""),12325.0)</f>
        <v>12325</v>
      </c>
      <c r="D4" s="5">
        <f>IFERROR(__xludf.DUMMYFUNCTION("""COMPUTED_VALUE"""),12075.0)</f>
        <v>12075</v>
      </c>
      <c r="E4" s="5">
        <f>IFERROR(__xludf.DUMMYFUNCTION("""COMPUTED_VALUE"""),12275.0)</f>
        <v>12275</v>
      </c>
      <c r="F4" s="5">
        <f>IFERROR(__xludf.DUMMYFUNCTION("""COMPUTED_VALUE"""),1859400.0)</f>
        <v>1859400</v>
      </c>
      <c r="G4" s="5">
        <f t="shared" si="1"/>
        <v>250</v>
      </c>
    </row>
    <row r="5">
      <c r="A5" s="4">
        <f>IFERROR(__xludf.DUMMYFUNCTION("""COMPUTED_VALUE"""),43837.66666666667)</f>
        <v>43837.66667</v>
      </c>
      <c r="B5" s="5">
        <f>IFERROR(__xludf.DUMMYFUNCTION("""COMPUTED_VALUE"""),12275.0)</f>
        <v>12275</v>
      </c>
      <c r="C5" s="5">
        <f>IFERROR(__xludf.DUMMYFUNCTION("""COMPUTED_VALUE"""),12300.0)</f>
        <v>12300</v>
      </c>
      <c r="D5" s="5">
        <f>IFERROR(__xludf.DUMMYFUNCTION("""COMPUTED_VALUE"""),12200.0)</f>
        <v>12200</v>
      </c>
      <c r="E5" s="5">
        <f>IFERROR(__xludf.DUMMYFUNCTION("""COMPUTED_VALUE"""),12300.0)</f>
        <v>12300</v>
      </c>
      <c r="F5" s="5">
        <f>IFERROR(__xludf.DUMMYFUNCTION("""COMPUTED_VALUE"""),3682700.0)</f>
        <v>3682700</v>
      </c>
      <c r="G5" s="5">
        <f t="shared" si="1"/>
        <v>100</v>
      </c>
    </row>
    <row r="6">
      <c r="A6" s="4">
        <f>IFERROR(__xludf.DUMMYFUNCTION("""COMPUTED_VALUE"""),43838.66666666667)</f>
        <v>43838.66667</v>
      </c>
      <c r="B6" s="5">
        <f>IFERROR(__xludf.DUMMYFUNCTION("""COMPUTED_VALUE"""),11950.0)</f>
        <v>11950</v>
      </c>
      <c r="C6" s="5">
        <f>IFERROR(__xludf.DUMMYFUNCTION("""COMPUTED_VALUE"""),12150.0)</f>
        <v>12150</v>
      </c>
      <c r="D6" s="5">
        <f>IFERROR(__xludf.DUMMYFUNCTION("""COMPUTED_VALUE"""),11850.0)</f>
        <v>11850</v>
      </c>
      <c r="E6" s="5">
        <f>IFERROR(__xludf.DUMMYFUNCTION("""COMPUTED_VALUE"""),12000.0)</f>
        <v>12000</v>
      </c>
      <c r="F6" s="5">
        <f>IFERROR(__xludf.DUMMYFUNCTION("""COMPUTED_VALUE"""),1.30941E7)</f>
        <v>13094100</v>
      </c>
      <c r="G6" s="5">
        <f t="shared" si="1"/>
        <v>450</v>
      </c>
    </row>
    <row r="7">
      <c r="A7" s="4">
        <f>IFERROR(__xludf.DUMMYFUNCTION("""COMPUTED_VALUE"""),43839.66666666667)</f>
        <v>43839.66667</v>
      </c>
      <c r="B7" s="5">
        <f>IFERROR(__xludf.DUMMYFUNCTION("""COMPUTED_VALUE"""),12250.0)</f>
        <v>12250</v>
      </c>
      <c r="C7" s="5">
        <f>IFERROR(__xludf.DUMMYFUNCTION("""COMPUTED_VALUE"""),12250.0)</f>
        <v>12250</v>
      </c>
      <c r="D7" s="5">
        <f>IFERROR(__xludf.DUMMYFUNCTION("""COMPUTED_VALUE"""),11975.0)</f>
        <v>11975</v>
      </c>
      <c r="E7" s="5">
        <f>IFERROR(__xludf.DUMMYFUNCTION("""COMPUTED_VALUE"""),12200.0)</f>
        <v>12200</v>
      </c>
      <c r="F7" s="5">
        <f>IFERROR(__xludf.DUMMYFUNCTION("""COMPUTED_VALUE"""),6428100.0)</f>
        <v>6428100</v>
      </c>
      <c r="G7" s="5">
        <f t="shared" si="1"/>
        <v>275</v>
      </c>
    </row>
    <row r="8">
      <c r="A8" s="4">
        <f>IFERROR(__xludf.DUMMYFUNCTION("""COMPUTED_VALUE"""),43840.66666666667)</f>
        <v>43840.66667</v>
      </c>
      <c r="B8" s="5">
        <f>IFERROR(__xludf.DUMMYFUNCTION("""COMPUTED_VALUE"""),12225.0)</f>
        <v>12225</v>
      </c>
      <c r="C8" s="5">
        <f>IFERROR(__xludf.DUMMYFUNCTION("""COMPUTED_VALUE"""),12300.0)</f>
        <v>12300</v>
      </c>
      <c r="D8" s="5">
        <f>IFERROR(__xludf.DUMMYFUNCTION("""COMPUTED_VALUE"""),12150.0)</f>
        <v>12150</v>
      </c>
      <c r="E8" s="5">
        <f>IFERROR(__xludf.DUMMYFUNCTION("""COMPUTED_VALUE"""),12200.0)</f>
        <v>12200</v>
      </c>
      <c r="F8" s="5">
        <f>IFERROR(__xludf.DUMMYFUNCTION("""COMPUTED_VALUE"""),5100400.0)</f>
        <v>5100400</v>
      </c>
      <c r="G8" s="5">
        <f t="shared" si="1"/>
        <v>150</v>
      </c>
    </row>
    <row r="9">
      <c r="A9" s="4">
        <f>IFERROR(__xludf.DUMMYFUNCTION("""COMPUTED_VALUE"""),43843.66666666667)</f>
        <v>43843.66667</v>
      </c>
      <c r="B9" s="5">
        <f>IFERROR(__xludf.DUMMYFUNCTION("""COMPUTED_VALUE"""),12325.0)</f>
        <v>12325</v>
      </c>
      <c r="C9" s="5">
        <f>IFERROR(__xludf.DUMMYFUNCTION("""COMPUTED_VALUE"""),12325.0)</f>
        <v>12325</v>
      </c>
      <c r="D9" s="5">
        <f>IFERROR(__xludf.DUMMYFUNCTION("""COMPUTED_VALUE"""),12100.0)</f>
        <v>12100</v>
      </c>
      <c r="E9" s="5">
        <f>IFERROR(__xludf.DUMMYFUNCTION("""COMPUTED_VALUE"""),12175.0)</f>
        <v>12175</v>
      </c>
      <c r="F9" s="5">
        <f>IFERROR(__xludf.DUMMYFUNCTION("""COMPUTED_VALUE"""),3147800.0)</f>
        <v>3147800</v>
      </c>
      <c r="G9" s="5">
        <f t="shared" si="1"/>
        <v>225</v>
      </c>
    </row>
    <row r="10">
      <c r="A10" s="4">
        <f>IFERROR(__xludf.DUMMYFUNCTION("""COMPUTED_VALUE"""),43844.66666666667)</f>
        <v>43844.66667</v>
      </c>
      <c r="B10" s="5">
        <f>IFERROR(__xludf.DUMMYFUNCTION("""COMPUTED_VALUE"""),12225.0)</f>
        <v>12225</v>
      </c>
      <c r="C10" s="5">
        <f>IFERROR(__xludf.DUMMYFUNCTION("""COMPUTED_VALUE"""),12350.0)</f>
        <v>12350</v>
      </c>
      <c r="D10" s="5">
        <f>IFERROR(__xludf.DUMMYFUNCTION("""COMPUTED_VALUE"""),12175.0)</f>
        <v>12175</v>
      </c>
      <c r="E10" s="5">
        <f>IFERROR(__xludf.DUMMYFUNCTION("""COMPUTED_VALUE"""),12300.0)</f>
        <v>12300</v>
      </c>
      <c r="F10" s="5">
        <f>IFERROR(__xludf.DUMMYFUNCTION("""COMPUTED_VALUE"""),7059700.0)</f>
        <v>7059700</v>
      </c>
      <c r="G10" s="5">
        <f t="shared" si="1"/>
        <v>175</v>
      </c>
    </row>
    <row r="11">
      <c r="A11" s="4">
        <f>IFERROR(__xludf.DUMMYFUNCTION("""COMPUTED_VALUE"""),43845.66666666667)</f>
        <v>43845.66667</v>
      </c>
      <c r="B11" s="5">
        <f>IFERROR(__xludf.DUMMYFUNCTION("""COMPUTED_VALUE"""),12375.0)</f>
        <v>12375</v>
      </c>
      <c r="C11" s="5">
        <f>IFERROR(__xludf.DUMMYFUNCTION("""COMPUTED_VALUE"""),12375.0)</f>
        <v>12375</v>
      </c>
      <c r="D11" s="5">
        <f>IFERROR(__xludf.DUMMYFUNCTION("""COMPUTED_VALUE"""),11950.0)</f>
        <v>11950</v>
      </c>
      <c r="E11" s="5">
        <f>IFERROR(__xludf.DUMMYFUNCTION("""COMPUTED_VALUE"""),12050.0)</f>
        <v>12050</v>
      </c>
      <c r="F11" s="5">
        <f>IFERROR(__xludf.DUMMYFUNCTION("""COMPUTED_VALUE"""),3680500.0)</f>
        <v>3680500</v>
      </c>
      <c r="G11" s="5">
        <f t="shared" si="1"/>
        <v>425</v>
      </c>
    </row>
    <row r="12">
      <c r="A12" s="4">
        <f>IFERROR(__xludf.DUMMYFUNCTION("""COMPUTED_VALUE"""),43846.66666666667)</f>
        <v>43846.66667</v>
      </c>
      <c r="B12" s="5">
        <f>IFERROR(__xludf.DUMMYFUNCTION("""COMPUTED_VALUE"""),12050.0)</f>
        <v>12050</v>
      </c>
      <c r="C12" s="5">
        <f>IFERROR(__xludf.DUMMYFUNCTION("""COMPUTED_VALUE"""),12475.0)</f>
        <v>12475</v>
      </c>
      <c r="D12" s="5">
        <f>IFERROR(__xludf.DUMMYFUNCTION("""COMPUTED_VALUE"""),11975.0)</f>
        <v>11975</v>
      </c>
      <c r="E12" s="5">
        <f>IFERROR(__xludf.DUMMYFUNCTION("""COMPUTED_VALUE"""),12450.0)</f>
        <v>12450</v>
      </c>
      <c r="F12" s="5">
        <f>IFERROR(__xludf.DUMMYFUNCTION("""COMPUTED_VALUE"""),4803500.0)</f>
        <v>4803500</v>
      </c>
      <c r="G12" s="5">
        <f t="shared" si="1"/>
        <v>500</v>
      </c>
    </row>
    <row r="13">
      <c r="A13" s="4">
        <f>IFERROR(__xludf.DUMMYFUNCTION("""COMPUTED_VALUE"""),43847.66666666667)</f>
        <v>43847.66667</v>
      </c>
      <c r="B13" s="5">
        <f>IFERROR(__xludf.DUMMYFUNCTION("""COMPUTED_VALUE"""),12400.0)</f>
        <v>12400</v>
      </c>
      <c r="C13" s="5">
        <f>IFERROR(__xludf.DUMMYFUNCTION("""COMPUTED_VALUE"""),12950.0)</f>
        <v>12950</v>
      </c>
      <c r="D13" s="5">
        <f>IFERROR(__xludf.DUMMYFUNCTION("""COMPUTED_VALUE"""),12300.0)</f>
        <v>12300</v>
      </c>
      <c r="E13" s="5">
        <f>IFERROR(__xludf.DUMMYFUNCTION("""COMPUTED_VALUE"""),12850.0)</f>
        <v>12850</v>
      </c>
      <c r="F13" s="5">
        <f>IFERROR(__xludf.DUMMYFUNCTION("""COMPUTED_VALUE"""),4599100.0)</f>
        <v>4599100</v>
      </c>
      <c r="G13" s="5">
        <f t="shared" si="1"/>
        <v>650</v>
      </c>
    </row>
    <row r="14">
      <c r="A14" s="4">
        <f>IFERROR(__xludf.DUMMYFUNCTION("""COMPUTED_VALUE"""),43850.66666666667)</f>
        <v>43850.66667</v>
      </c>
      <c r="B14" s="5">
        <f>IFERROR(__xludf.DUMMYFUNCTION("""COMPUTED_VALUE"""),12925.0)</f>
        <v>12925</v>
      </c>
      <c r="C14" s="5">
        <f>IFERROR(__xludf.DUMMYFUNCTION("""COMPUTED_VALUE"""),12925.0)</f>
        <v>12925</v>
      </c>
      <c r="D14" s="5">
        <f>IFERROR(__xludf.DUMMYFUNCTION("""COMPUTED_VALUE"""),12525.0)</f>
        <v>12525</v>
      </c>
      <c r="E14" s="5">
        <f>IFERROR(__xludf.DUMMYFUNCTION("""COMPUTED_VALUE"""),12750.0)</f>
        <v>12750</v>
      </c>
      <c r="F14" s="5">
        <f>IFERROR(__xludf.DUMMYFUNCTION("""COMPUTED_VALUE"""),2607400.0)</f>
        <v>2607400</v>
      </c>
      <c r="G14" s="5">
        <f t="shared" si="1"/>
        <v>400</v>
      </c>
    </row>
    <row r="15">
      <c r="A15" s="4">
        <f>IFERROR(__xludf.DUMMYFUNCTION("""COMPUTED_VALUE"""),43851.66666666667)</f>
        <v>43851.66667</v>
      </c>
      <c r="B15" s="5">
        <f>IFERROR(__xludf.DUMMYFUNCTION("""COMPUTED_VALUE"""),12875.0)</f>
        <v>12875</v>
      </c>
      <c r="C15" s="5">
        <f>IFERROR(__xludf.DUMMYFUNCTION("""COMPUTED_VALUE"""),12875.0)</f>
        <v>12875</v>
      </c>
      <c r="D15" s="5">
        <f>IFERROR(__xludf.DUMMYFUNCTION("""COMPUTED_VALUE"""),12600.0)</f>
        <v>12600</v>
      </c>
      <c r="E15" s="5">
        <f>IFERROR(__xludf.DUMMYFUNCTION("""COMPUTED_VALUE"""),12700.0)</f>
        <v>12700</v>
      </c>
      <c r="F15" s="5">
        <f>IFERROR(__xludf.DUMMYFUNCTION("""COMPUTED_VALUE"""),2739300.0)</f>
        <v>2739300</v>
      </c>
      <c r="G15" s="5">
        <f t="shared" si="1"/>
        <v>275</v>
      </c>
    </row>
    <row r="16">
      <c r="A16" s="4">
        <f>IFERROR(__xludf.DUMMYFUNCTION("""COMPUTED_VALUE"""),43852.66666666667)</f>
        <v>43852.66667</v>
      </c>
      <c r="B16" s="5">
        <f>IFERROR(__xludf.DUMMYFUNCTION("""COMPUTED_VALUE"""),12900.0)</f>
        <v>12900</v>
      </c>
      <c r="C16" s="5">
        <f>IFERROR(__xludf.DUMMYFUNCTION("""COMPUTED_VALUE"""),13000.0)</f>
        <v>13000</v>
      </c>
      <c r="D16" s="5">
        <f>IFERROR(__xludf.DUMMYFUNCTION("""COMPUTED_VALUE"""),12700.0)</f>
        <v>12700</v>
      </c>
      <c r="E16" s="5">
        <f>IFERROR(__xludf.DUMMYFUNCTION("""COMPUTED_VALUE"""),12975.0)</f>
        <v>12975</v>
      </c>
      <c r="F16" s="5">
        <f>IFERROR(__xludf.DUMMYFUNCTION("""COMPUTED_VALUE"""),4971300.0)</f>
        <v>4971300</v>
      </c>
      <c r="G16" s="5">
        <f t="shared" si="1"/>
        <v>300</v>
      </c>
    </row>
    <row r="17">
      <c r="A17" s="4">
        <f>IFERROR(__xludf.DUMMYFUNCTION("""COMPUTED_VALUE"""),43853.66666666667)</f>
        <v>43853.66667</v>
      </c>
      <c r="B17" s="5">
        <f>IFERROR(__xludf.DUMMYFUNCTION("""COMPUTED_VALUE"""),13250.0)</f>
        <v>13250</v>
      </c>
      <c r="C17" s="5">
        <f>IFERROR(__xludf.DUMMYFUNCTION("""COMPUTED_VALUE"""),13250.0)</f>
        <v>13250</v>
      </c>
      <c r="D17" s="5">
        <f>IFERROR(__xludf.DUMMYFUNCTION("""COMPUTED_VALUE"""),12875.0)</f>
        <v>12875</v>
      </c>
      <c r="E17" s="5">
        <f>IFERROR(__xludf.DUMMYFUNCTION("""COMPUTED_VALUE"""),13050.0)</f>
        <v>13050</v>
      </c>
      <c r="F17" s="5">
        <f>IFERROR(__xludf.DUMMYFUNCTION("""COMPUTED_VALUE"""),3986000.0)</f>
        <v>3986000</v>
      </c>
      <c r="G17" s="5">
        <f t="shared" si="1"/>
        <v>375</v>
      </c>
    </row>
    <row r="18">
      <c r="A18" s="4">
        <f>IFERROR(__xludf.DUMMYFUNCTION("""COMPUTED_VALUE"""),43854.66666666667)</f>
        <v>43854.66667</v>
      </c>
      <c r="B18" s="5">
        <f>IFERROR(__xludf.DUMMYFUNCTION("""COMPUTED_VALUE"""),12800.0)</f>
        <v>12800</v>
      </c>
      <c r="C18" s="5">
        <f>IFERROR(__xludf.DUMMYFUNCTION("""COMPUTED_VALUE"""),13025.0)</f>
        <v>13025</v>
      </c>
      <c r="D18" s="5">
        <f>IFERROR(__xludf.DUMMYFUNCTION("""COMPUTED_VALUE"""),12800.0)</f>
        <v>12800</v>
      </c>
      <c r="E18" s="5">
        <f>IFERROR(__xludf.DUMMYFUNCTION("""COMPUTED_VALUE"""),12975.0)</f>
        <v>12975</v>
      </c>
      <c r="F18" s="5">
        <f>IFERROR(__xludf.DUMMYFUNCTION("""COMPUTED_VALUE"""),2011700.0)</f>
        <v>2011700</v>
      </c>
      <c r="G18" s="5">
        <f t="shared" si="1"/>
        <v>250</v>
      </c>
    </row>
    <row r="19">
      <c r="A19" s="4">
        <f>IFERROR(__xludf.DUMMYFUNCTION("""COMPUTED_VALUE"""),43857.66666666667)</f>
        <v>43857.66667</v>
      </c>
      <c r="B19" s="5">
        <f>IFERROR(__xludf.DUMMYFUNCTION("""COMPUTED_VALUE"""),13000.0)</f>
        <v>13000</v>
      </c>
      <c r="C19" s="5">
        <f>IFERROR(__xludf.DUMMYFUNCTION("""COMPUTED_VALUE"""),13050.0)</f>
        <v>13050</v>
      </c>
      <c r="D19" s="5">
        <f>IFERROR(__xludf.DUMMYFUNCTION("""COMPUTED_VALUE"""),12575.0)</f>
        <v>12575</v>
      </c>
      <c r="E19" s="5">
        <f>IFERROR(__xludf.DUMMYFUNCTION("""COMPUTED_VALUE"""),12650.0)</f>
        <v>12650</v>
      </c>
      <c r="F19" s="5">
        <f>IFERROR(__xludf.DUMMYFUNCTION("""COMPUTED_VALUE"""),1681800.0)</f>
        <v>1681800</v>
      </c>
      <c r="G19" s="5">
        <f t="shared" si="1"/>
        <v>475</v>
      </c>
    </row>
    <row r="20">
      <c r="A20" s="4">
        <f>IFERROR(__xludf.DUMMYFUNCTION("""COMPUTED_VALUE"""),43858.66666666667)</f>
        <v>43858.66667</v>
      </c>
      <c r="B20" s="5">
        <f>IFERROR(__xludf.DUMMYFUNCTION("""COMPUTED_VALUE"""),12650.0)</f>
        <v>12650</v>
      </c>
      <c r="C20" s="5">
        <f>IFERROR(__xludf.DUMMYFUNCTION("""COMPUTED_VALUE"""),13025.0)</f>
        <v>13025</v>
      </c>
      <c r="D20" s="5">
        <f>IFERROR(__xludf.DUMMYFUNCTION("""COMPUTED_VALUE"""),12450.0)</f>
        <v>12450</v>
      </c>
      <c r="E20" s="5">
        <f>IFERROR(__xludf.DUMMYFUNCTION("""COMPUTED_VALUE"""),12700.0)</f>
        <v>12700</v>
      </c>
      <c r="F20" s="5">
        <f>IFERROR(__xludf.DUMMYFUNCTION("""COMPUTED_VALUE"""),2825200.0)</f>
        <v>2825200</v>
      </c>
      <c r="G20" s="5">
        <f t="shared" si="1"/>
        <v>575</v>
      </c>
    </row>
    <row r="21">
      <c r="A21" s="4">
        <f>IFERROR(__xludf.DUMMYFUNCTION("""COMPUTED_VALUE"""),43859.66666666667)</f>
        <v>43859.66667</v>
      </c>
      <c r="B21" s="5">
        <f>IFERROR(__xludf.DUMMYFUNCTION("""COMPUTED_VALUE"""),12700.0)</f>
        <v>12700</v>
      </c>
      <c r="C21" s="5">
        <f>IFERROR(__xludf.DUMMYFUNCTION("""COMPUTED_VALUE"""),12800.0)</f>
        <v>12800</v>
      </c>
      <c r="D21" s="5">
        <f>IFERROR(__xludf.DUMMYFUNCTION("""COMPUTED_VALUE"""),12250.0)</f>
        <v>12250</v>
      </c>
      <c r="E21" s="5">
        <f>IFERROR(__xludf.DUMMYFUNCTION("""COMPUTED_VALUE"""),12300.0)</f>
        <v>12300</v>
      </c>
      <c r="F21" s="5">
        <f>IFERROR(__xludf.DUMMYFUNCTION("""COMPUTED_VALUE"""),4893700.0)</f>
        <v>4893700</v>
      </c>
      <c r="G21" s="5">
        <f t="shared" si="1"/>
        <v>550</v>
      </c>
    </row>
    <row r="22">
      <c r="A22" s="4">
        <f>IFERROR(__xludf.DUMMYFUNCTION("""COMPUTED_VALUE"""),43860.66666666667)</f>
        <v>43860.66667</v>
      </c>
      <c r="B22" s="5">
        <f>IFERROR(__xludf.DUMMYFUNCTION("""COMPUTED_VALUE"""),12350.0)</f>
        <v>12350</v>
      </c>
      <c r="C22" s="5">
        <f>IFERROR(__xludf.DUMMYFUNCTION("""COMPUTED_VALUE"""),12450.0)</f>
        <v>12450</v>
      </c>
      <c r="D22" s="5">
        <f>IFERROR(__xludf.DUMMYFUNCTION("""COMPUTED_VALUE"""),12150.0)</f>
        <v>12150</v>
      </c>
      <c r="E22" s="5">
        <f>IFERROR(__xludf.DUMMYFUNCTION("""COMPUTED_VALUE"""),12300.0)</f>
        <v>12300</v>
      </c>
      <c r="F22" s="5">
        <f>IFERROR(__xludf.DUMMYFUNCTION("""COMPUTED_VALUE"""),3721400.0)</f>
        <v>3721400</v>
      </c>
      <c r="G22" s="5">
        <f t="shared" si="1"/>
        <v>300</v>
      </c>
    </row>
    <row r="23">
      <c r="A23" s="4">
        <f>IFERROR(__xludf.DUMMYFUNCTION("""COMPUTED_VALUE"""),43861.66666666667)</f>
        <v>43861.66667</v>
      </c>
      <c r="B23" s="5">
        <f>IFERROR(__xludf.DUMMYFUNCTION("""COMPUTED_VALUE"""),12000.0)</f>
        <v>12000</v>
      </c>
      <c r="C23" s="5">
        <f>IFERROR(__xludf.DUMMYFUNCTION("""COMPUTED_VALUE"""),12300.0)</f>
        <v>12300</v>
      </c>
      <c r="D23" s="5">
        <f>IFERROR(__xludf.DUMMYFUNCTION("""COMPUTED_VALUE"""),11950.0)</f>
        <v>11950</v>
      </c>
      <c r="E23" s="5">
        <f>IFERROR(__xludf.DUMMYFUNCTION("""COMPUTED_VALUE"""),11950.0)</f>
        <v>11950</v>
      </c>
      <c r="F23" s="5">
        <f>IFERROR(__xludf.DUMMYFUNCTION("""COMPUTED_VALUE"""),8604400.0)</f>
        <v>8604400</v>
      </c>
      <c r="G23" s="5">
        <f t="shared" si="1"/>
        <v>350</v>
      </c>
    </row>
    <row r="24">
      <c r="A24" s="4">
        <f>IFERROR(__xludf.DUMMYFUNCTION("""COMPUTED_VALUE"""),43864.66666666667)</f>
        <v>43864.66667</v>
      </c>
      <c r="B24" s="5">
        <f>IFERROR(__xludf.DUMMYFUNCTION("""COMPUTED_VALUE"""),11900.0)</f>
        <v>11900</v>
      </c>
      <c r="C24" s="5">
        <f>IFERROR(__xludf.DUMMYFUNCTION("""COMPUTED_VALUE"""),12200.0)</f>
        <v>12200</v>
      </c>
      <c r="D24" s="5">
        <f>IFERROR(__xludf.DUMMYFUNCTION("""COMPUTED_VALUE"""),11700.0)</f>
        <v>11700</v>
      </c>
      <c r="E24" s="5">
        <f>IFERROR(__xludf.DUMMYFUNCTION("""COMPUTED_VALUE"""),12000.0)</f>
        <v>12000</v>
      </c>
      <c r="F24" s="5">
        <f>IFERROR(__xludf.DUMMYFUNCTION("""COMPUTED_VALUE"""),2766800.0)</f>
        <v>2766800</v>
      </c>
      <c r="G24" s="5">
        <f t="shared" si="1"/>
        <v>500</v>
      </c>
    </row>
    <row r="25">
      <c r="A25" s="4">
        <f>IFERROR(__xludf.DUMMYFUNCTION("""COMPUTED_VALUE"""),43865.66666666667)</f>
        <v>43865.66667</v>
      </c>
      <c r="B25" s="5">
        <f>IFERROR(__xludf.DUMMYFUNCTION("""COMPUTED_VALUE"""),12125.0)</f>
        <v>12125</v>
      </c>
      <c r="C25" s="5">
        <f>IFERROR(__xludf.DUMMYFUNCTION("""COMPUTED_VALUE"""),12150.0)</f>
        <v>12150</v>
      </c>
      <c r="D25" s="5">
        <f>IFERROR(__xludf.DUMMYFUNCTION("""COMPUTED_VALUE"""),11975.0)</f>
        <v>11975</v>
      </c>
      <c r="E25" s="5">
        <f>IFERROR(__xludf.DUMMYFUNCTION("""COMPUTED_VALUE"""),12025.0)</f>
        <v>12025</v>
      </c>
      <c r="F25" s="5">
        <f>IFERROR(__xludf.DUMMYFUNCTION("""COMPUTED_VALUE"""),2951300.0)</f>
        <v>2951300</v>
      </c>
      <c r="G25" s="5">
        <f t="shared" si="1"/>
        <v>175</v>
      </c>
    </row>
    <row r="26">
      <c r="A26" s="4">
        <f>IFERROR(__xludf.DUMMYFUNCTION("""COMPUTED_VALUE"""),43866.66666666667)</f>
        <v>43866.66667</v>
      </c>
      <c r="B26" s="5">
        <f>IFERROR(__xludf.DUMMYFUNCTION("""COMPUTED_VALUE"""),12100.0)</f>
        <v>12100</v>
      </c>
      <c r="C26" s="5">
        <f>IFERROR(__xludf.DUMMYFUNCTION("""COMPUTED_VALUE"""),12375.0)</f>
        <v>12375</v>
      </c>
      <c r="D26" s="5">
        <f>IFERROR(__xludf.DUMMYFUNCTION("""COMPUTED_VALUE"""),12000.0)</f>
        <v>12000</v>
      </c>
      <c r="E26" s="5">
        <f>IFERROR(__xludf.DUMMYFUNCTION("""COMPUTED_VALUE"""),12375.0)</f>
        <v>12375</v>
      </c>
      <c r="F26" s="5">
        <f>IFERROR(__xludf.DUMMYFUNCTION("""COMPUTED_VALUE"""),6688000.0)</f>
        <v>6688000</v>
      </c>
      <c r="G26" s="5">
        <f t="shared" si="1"/>
        <v>375</v>
      </c>
    </row>
    <row r="27">
      <c r="A27" s="4">
        <f>IFERROR(__xludf.DUMMYFUNCTION("""COMPUTED_VALUE"""),43867.66666666667)</f>
        <v>43867.66667</v>
      </c>
      <c r="B27" s="5">
        <f>IFERROR(__xludf.DUMMYFUNCTION("""COMPUTED_VALUE"""),12600.0)</f>
        <v>12600</v>
      </c>
      <c r="C27" s="5">
        <f>IFERROR(__xludf.DUMMYFUNCTION("""COMPUTED_VALUE"""),12600.0)</f>
        <v>12600</v>
      </c>
      <c r="D27" s="5">
        <f>IFERROR(__xludf.DUMMYFUNCTION("""COMPUTED_VALUE"""),12375.0)</f>
        <v>12375</v>
      </c>
      <c r="E27" s="5">
        <f>IFERROR(__xludf.DUMMYFUNCTION("""COMPUTED_VALUE"""),12400.0)</f>
        <v>12400</v>
      </c>
      <c r="F27" s="5">
        <f>IFERROR(__xludf.DUMMYFUNCTION("""COMPUTED_VALUE"""),6796200.0)</f>
        <v>6796200</v>
      </c>
      <c r="G27" s="5">
        <f t="shared" si="1"/>
        <v>225</v>
      </c>
    </row>
    <row r="28">
      <c r="A28" s="4">
        <f>IFERROR(__xludf.DUMMYFUNCTION("""COMPUTED_VALUE"""),43868.66666666667)</f>
        <v>43868.66667</v>
      </c>
      <c r="B28" s="5">
        <f>IFERROR(__xludf.DUMMYFUNCTION("""COMPUTED_VALUE"""),12325.0)</f>
        <v>12325</v>
      </c>
      <c r="C28" s="5">
        <f>IFERROR(__xludf.DUMMYFUNCTION("""COMPUTED_VALUE"""),12500.0)</f>
        <v>12500</v>
      </c>
      <c r="D28" s="5">
        <f>IFERROR(__xludf.DUMMYFUNCTION("""COMPUTED_VALUE"""),12325.0)</f>
        <v>12325</v>
      </c>
      <c r="E28" s="5">
        <f>IFERROR(__xludf.DUMMYFUNCTION("""COMPUTED_VALUE"""),12350.0)</f>
        <v>12350</v>
      </c>
      <c r="F28" s="5">
        <f>IFERROR(__xludf.DUMMYFUNCTION("""COMPUTED_VALUE"""),5738200.0)</f>
        <v>5738200</v>
      </c>
      <c r="G28" s="5">
        <f t="shared" si="1"/>
        <v>175</v>
      </c>
    </row>
    <row r="29">
      <c r="A29" s="4">
        <f>IFERROR(__xludf.DUMMYFUNCTION("""COMPUTED_VALUE"""),43871.66666666667)</f>
        <v>43871.66667</v>
      </c>
      <c r="B29" s="5">
        <f>IFERROR(__xludf.DUMMYFUNCTION("""COMPUTED_VALUE"""),12350.0)</f>
        <v>12350</v>
      </c>
      <c r="C29" s="5">
        <f>IFERROR(__xludf.DUMMYFUNCTION("""COMPUTED_VALUE"""),12350.0)</f>
        <v>12350</v>
      </c>
      <c r="D29" s="5">
        <f>IFERROR(__xludf.DUMMYFUNCTION("""COMPUTED_VALUE"""),12000.0)</f>
        <v>12000</v>
      </c>
      <c r="E29" s="5">
        <f>IFERROR(__xludf.DUMMYFUNCTION("""COMPUTED_VALUE"""),12300.0)</f>
        <v>12300</v>
      </c>
      <c r="F29" s="5">
        <f>IFERROR(__xludf.DUMMYFUNCTION("""COMPUTED_VALUE"""),2107500.0)</f>
        <v>2107500</v>
      </c>
      <c r="G29" s="5">
        <f t="shared" si="1"/>
        <v>350</v>
      </c>
    </row>
    <row r="30">
      <c r="A30" s="4">
        <f>IFERROR(__xludf.DUMMYFUNCTION("""COMPUTED_VALUE"""),43872.66666666667)</f>
        <v>43872.66667</v>
      </c>
      <c r="B30" s="5">
        <f>IFERROR(__xludf.DUMMYFUNCTION("""COMPUTED_VALUE"""),12275.0)</f>
        <v>12275</v>
      </c>
      <c r="C30" s="5">
        <f>IFERROR(__xludf.DUMMYFUNCTION("""COMPUTED_VALUE"""),12375.0)</f>
        <v>12375</v>
      </c>
      <c r="D30" s="5">
        <f>IFERROR(__xludf.DUMMYFUNCTION("""COMPUTED_VALUE"""),12000.0)</f>
        <v>12000</v>
      </c>
      <c r="E30" s="5">
        <f>IFERROR(__xludf.DUMMYFUNCTION("""COMPUTED_VALUE"""),12025.0)</f>
        <v>12025</v>
      </c>
      <c r="F30" s="5">
        <f>IFERROR(__xludf.DUMMYFUNCTION("""COMPUTED_VALUE"""),2077200.0)</f>
        <v>2077200</v>
      </c>
      <c r="G30" s="5">
        <f t="shared" si="1"/>
        <v>375</v>
      </c>
    </row>
    <row r="31">
      <c r="A31" s="4">
        <f>IFERROR(__xludf.DUMMYFUNCTION("""COMPUTED_VALUE"""),43873.66666666667)</f>
        <v>43873.66667</v>
      </c>
      <c r="B31" s="5">
        <f>IFERROR(__xludf.DUMMYFUNCTION("""COMPUTED_VALUE"""),12000.0)</f>
        <v>12000</v>
      </c>
      <c r="C31" s="5">
        <f>IFERROR(__xludf.DUMMYFUNCTION("""COMPUTED_VALUE"""),12025.0)</f>
        <v>12025</v>
      </c>
      <c r="D31" s="5">
        <f>IFERROR(__xludf.DUMMYFUNCTION("""COMPUTED_VALUE"""),11075.0)</f>
        <v>11075</v>
      </c>
      <c r="E31" s="5">
        <f>IFERROR(__xludf.DUMMYFUNCTION("""COMPUTED_VALUE"""),11400.0)</f>
        <v>11400</v>
      </c>
      <c r="F31" s="5">
        <f>IFERROR(__xludf.DUMMYFUNCTION("""COMPUTED_VALUE"""),7644500.0)</f>
        <v>7644500</v>
      </c>
      <c r="G31" s="5">
        <f t="shared" si="1"/>
        <v>950</v>
      </c>
    </row>
    <row r="32">
      <c r="A32" s="4">
        <f>IFERROR(__xludf.DUMMYFUNCTION("""COMPUTED_VALUE"""),43874.66666666667)</f>
        <v>43874.66667</v>
      </c>
      <c r="B32" s="5">
        <f>IFERROR(__xludf.DUMMYFUNCTION("""COMPUTED_VALUE"""),11325.0)</f>
        <v>11325</v>
      </c>
      <c r="C32" s="5">
        <f>IFERROR(__xludf.DUMMYFUNCTION("""COMPUTED_VALUE"""),11350.0)</f>
        <v>11350</v>
      </c>
      <c r="D32" s="5">
        <f>IFERROR(__xludf.DUMMYFUNCTION("""COMPUTED_VALUE"""),10950.0)</f>
        <v>10950</v>
      </c>
      <c r="E32" s="5">
        <f>IFERROR(__xludf.DUMMYFUNCTION("""COMPUTED_VALUE"""),11175.0)</f>
        <v>11175</v>
      </c>
      <c r="F32" s="5">
        <f>IFERROR(__xludf.DUMMYFUNCTION("""COMPUTED_VALUE"""),8015000.0)</f>
        <v>8015000</v>
      </c>
      <c r="G32" s="5">
        <f t="shared" si="1"/>
        <v>450</v>
      </c>
    </row>
    <row r="33">
      <c r="A33" s="4">
        <f>IFERROR(__xludf.DUMMYFUNCTION("""COMPUTED_VALUE"""),43875.66666666667)</f>
        <v>43875.66667</v>
      </c>
      <c r="B33" s="5">
        <f>IFERROR(__xludf.DUMMYFUNCTION("""COMPUTED_VALUE"""),11175.0)</f>
        <v>11175</v>
      </c>
      <c r="C33" s="5">
        <f>IFERROR(__xludf.DUMMYFUNCTION("""COMPUTED_VALUE"""),11500.0)</f>
        <v>11500</v>
      </c>
      <c r="D33" s="5">
        <f>IFERROR(__xludf.DUMMYFUNCTION("""COMPUTED_VALUE"""),11050.0)</f>
        <v>11050</v>
      </c>
      <c r="E33" s="5">
        <f>IFERROR(__xludf.DUMMYFUNCTION("""COMPUTED_VALUE"""),11375.0)</f>
        <v>11375</v>
      </c>
      <c r="F33" s="5">
        <f>IFERROR(__xludf.DUMMYFUNCTION("""COMPUTED_VALUE"""),2351000.0)</f>
        <v>2351000</v>
      </c>
      <c r="G33" s="5">
        <f t="shared" si="1"/>
        <v>450</v>
      </c>
    </row>
    <row r="34">
      <c r="A34" s="4">
        <f>IFERROR(__xludf.DUMMYFUNCTION("""COMPUTED_VALUE"""),43878.66666666667)</f>
        <v>43878.66667</v>
      </c>
      <c r="B34" s="5">
        <f>IFERROR(__xludf.DUMMYFUNCTION("""COMPUTED_VALUE"""),11425.0)</f>
        <v>11425</v>
      </c>
      <c r="C34" s="5">
        <f>IFERROR(__xludf.DUMMYFUNCTION("""COMPUTED_VALUE"""),11675.0)</f>
        <v>11675</v>
      </c>
      <c r="D34" s="5">
        <f>IFERROR(__xludf.DUMMYFUNCTION("""COMPUTED_VALUE"""),11350.0)</f>
        <v>11350</v>
      </c>
      <c r="E34" s="5">
        <f>IFERROR(__xludf.DUMMYFUNCTION("""COMPUTED_VALUE"""),11575.0)</f>
        <v>11575</v>
      </c>
      <c r="F34" s="5">
        <f>IFERROR(__xludf.DUMMYFUNCTION("""COMPUTED_VALUE"""),2862900.0)</f>
        <v>2862900</v>
      </c>
      <c r="G34" s="5">
        <f t="shared" si="1"/>
        <v>325</v>
      </c>
    </row>
    <row r="35">
      <c r="A35" s="4">
        <f>IFERROR(__xludf.DUMMYFUNCTION("""COMPUTED_VALUE"""),43879.66666666667)</f>
        <v>43879.66667</v>
      </c>
      <c r="B35" s="5">
        <f>IFERROR(__xludf.DUMMYFUNCTION("""COMPUTED_VALUE"""),11625.0)</f>
        <v>11625</v>
      </c>
      <c r="C35" s="5">
        <f>IFERROR(__xludf.DUMMYFUNCTION("""COMPUTED_VALUE"""),12000.0)</f>
        <v>12000</v>
      </c>
      <c r="D35" s="5">
        <f>IFERROR(__xludf.DUMMYFUNCTION("""COMPUTED_VALUE"""),11500.0)</f>
        <v>11500</v>
      </c>
      <c r="E35" s="5">
        <f>IFERROR(__xludf.DUMMYFUNCTION("""COMPUTED_VALUE"""),11775.0)</f>
        <v>11775</v>
      </c>
      <c r="F35" s="5">
        <f>IFERROR(__xludf.DUMMYFUNCTION("""COMPUTED_VALUE"""),4925400.0)</f>
        <v>4925400</v>
      </c>
      <c r="G35" s="5">
        <f t="shared" si="1"/>
        <v>500</v>
      </c>
    </row>
    <row r="36">
      <c r="A36" s="4">
        <f>IFERROR(__xludf.DUMMYFUNCTION("""COMPUTED_VALUE"""),43880.66666666667)</f>
        <v>43880.66667</v>
      </c>
      <c r="B36" s="5">
        <f>IFERROR(__xludf.DUMMYFUNCTION("""COMPUTED_VALUE"""),11875.0)</f>
        <v>11875</v>
      </c>
      <c r="C36" s="5">
        <f>IFERROR(__xludf.DUMMYFUNCTION("""COMPUTED_VALUE"""),12150.0)</f>
        <v>12150</v>
      </c>
      <c r="D36" s="5">
        <f>IFERROR(__xludf.DUMMYFUNCTION("""COMPUTED_VALUE"""),11600.0)</f>
        <v>11600</v>
      </c>
      <c r="E36" s="5">
        <f>IFERROR(__xludf.DUMMYFUNCTION("""COMPUTED_VALUE"""),11750.0)</f>
        <v>11750</v>
      </c>
      <c r="F36" s="5">
        <f>IFERROR(__xludf.DUMMYFUNCTION("""COMPUTED_VALUE"""),6025600.0)</f>
        <v>6025600</v>
      </c>
      <c r="G36" s="5">
        <f t="shared" si="1"/>
        <v>550</v>
      </c>
    </row>
    <row r="37">
      <c r="A37" s="4">
        <f>IFERROR(__xludf.DUMMYFUNCTION("""COMPUTED_VALUE"""),43881.66666666667)</f>
        <v>43881.66667</v>
      </c>
      <c r="B37" s="5">
        <f>IFERROR(__xludf.DUMMYFUNCTION("""COMPUTED_VALUE"""),11800.0)</f>
        <v>11800</v>
      </c>
      <c r="C37" s="5">
        <f>IFERROR(__xludf.DUMMYFUNCTION("""COMPUTED_VALUE"""),11950.0)</f>
        <v>11950</v>
      </c>
      <c r="D37" s="5">
        <f>IFERROR(__xludf.DUMMYFUNCTION("""COMPUTED_VALUE"""),11700.0)</f>
        <v>11700</v>
      </c>
      <c r="E37" s="5">
        <f>IFERROR(__xludf.DUMMYFUNCTION("""COMPUTED_VALUE"""),11775.0)</f>
        <v>11775</v>
      </c>
      <c r="F37" s="5">
        <f>IFERROR(__xludf.DUMMYFUNCTION("""COMPUTED_VALUE"""),7488000.0)</f>
        <v>7488000</v>
      </c>
      <c r="G37" s="5">
        <f t="shared" si="1"/>
        <v>250</v>
      </c>
    </row>
    <row r="38">
      <c r="A38" s="4">
        <f>IFERROR(__xludf.DUMMYFUNCTION("""COMPUTED_VALUE"""),43882.66666666667)</f>
        <v>43882.66667</v>
      </c>
      <c r="B38" s="5">
        <f>IFERROR(__xludf.DUMMYFUNCTION("""COMPUTED_VALUE"""),11800.0)</f>
        <v>11800</v>
      </c>
      <c r="C38" s="5">
        <f>IFERROR(__xludf.DUMMYFUNCTION("""COMPUTED_VALUE"""),11800.0)</f>
        <v>11800</v>
      </c>
      <c r="D38" s="5">
        <f>IFERROR(__xludf.DUMMYFUNCTION("""COMPUTED_VALUE"""),11600.0)</f>
        <v>11600</v>
      </c>
      <c r="E38" s="5">
        <f>IFERROR(__xludf.DUMMYFUNCTION("""COMPUTED_VALUE"""),11600.0)</f>
        <v>11600</v>
      </c>
      <c r="F38" s="5">
        <f>IFERROR(__xludf.DUMMYFUNCTION("""COMPUTED_VALUE"""),7439300.0)</f>
        <v>7439300</v>
      </c>
      <c r="G38" s="5">
        <f t="shared" si="1"/>
        <v>200</v>
      </c>
    </row>
    <row r="39">
      <c r="A39" s="4">
        <f>IFERROR(__xludf.DUMMYFUNCTION("""COMPUTED_VALUE"""),43885.66666666667)</f>
        <v>43885.66667</v>
      </c>
      <c r="B39" s="5">
        <f>IFERROR(__xludf.DUMMYFUNCTION("""COMPUTED_VALUE"""),11200.0)</f>
        <v>11200</v>
      </c>
      <c r="C39" s="5">
        <f>IFERROR(__xludf.DUMMYFUNCTION("""COMPUTED_VALUE"""),11500.0)</f>
        <v>11500</v>
      </c>
      <c r="D39" s="5">
        <f>IFERROR(__xludf.DUMMYFUNCTION("""COMPUTED_VALUE"""),11100.0)</f>
        <v>11100</v>
      </c>
      <c r="E39" s="5">
        <f>IFERROR(__xludf.DUMMYFUNCTION("""COMPUTED_VALUE"""),11250.0)</f>
        <v>11250</v>
      </c>
      <c r="F39" s="5">
        <f>IFERROR(__xludf.DUMMYFUNCTION("""COMPUTED_VALUE"""),4493800.0)</f>
        <v>4493800</v>
      </c>
      <c r="G39" s="5">
        <f t="shared" si="1"/>
        <v>500</v>
      </c>
    </row>
    <row r="40">
      <c r="A40" s="4">
        <f>IFERROR(__xludf.DUMMYFUNCTION("""COMPUTED_VALUE"""),43886.66666666667)</f>
        <v>43886.66667</v>
      </c>
      <c r="B40" s="5">
        <f>IFERROR(__xludf.DUMMYFUNCTION("""COMPUTED_VALUE"""),11350.0)</f>
        <v>11350</v>
      </c>
      <c r="C40" s="5">
        <f>IFERROR(__xludf.DUMMYFUNCTION("""COMPUTED_VALUE"""),11400.0)</f>
        <v>11400</v>
      </c>
      <c r="D40" s="5">
        <f>IFERROR(__xludf.DUMMYFUNCTION("""COMPUTED_VALUE"""),11000.0)</f>
        <v>11000</v>
      </c>
      <c r="E40" s="5">
        <f>IFERROR(__xludf.DUMMYFUNCTION("""COMPUTED_VALUE"""),11200.0)</f>
        <v>11200</v>
      </c>
      <c r="F40" s="5">
        <f>IFERROR(__xludf.DUMMYFUNCTION("""COMPUTED_VALUE"""),2501500.0)</f>
        <v>2501500</v>
      </c>
      <c r="G40" s="5">
        <f t="shared" si="1"/>
        <v>400</v>
      </c>
    </row>
    <row r="41">
      <c r="A41" s="4">
        <f>IFERROR(__xludf.DUMMYFUNCTION("""COMPUTED_VALUE"""),43887.66666666667)</f>
        <v>43887.66667</v>
      </c>
      <c r="B41" s="5">
        <f>IFERROR(__xludf.DUMMYFUNCTION("""COMPUTED_VALUE"""),11000.0)</f>
        <v>11000</v>
      </c>
      <c r="C41" s="5">
        <f>IFERROR(__xludf.DUMMYFUNCTION("""COMPUTED_VALUE"""),11275.0)</f>
        <v>11275</v>
      </c>
      <c r="D41" s="5">
        <f>IFERROR(__xludf.DUMMYFUNCTION("""COMPUTED_VALUE"""),11000.0)</f>
        <v>11000</v>
      </c>
      <c r="E41" s="5">
        <f>IFERROR(__xludf.DUMMYFUNCTION("""COMPUTED_VALUE"""),11000.0)</f>
        <v>11000</v>
      </c>
      <c r="F41" s="5">
        <f>IFERROR(__xludf.DUMMYFUNCTION("""COMPUTED_VALUE"""),3946400.0)</f>
        <v>3946400</v>
      </c>
      <c r="G41" s="5">
        <f t="shared" si="1"/>
        <v>275</v>
      </c>
    </row>
    <row r="42">
      <c r="A42" s="4">
        <f>IFERROR(__xludf.DUMMYFUNCTION("""COMPUTED_VALUE"""),43888.66666666667)</f>
        <v>43888.66667</v>
      </c>
      <c r="B42" s="5">
        <f>IFERROR(__xludf.DUMMYFUNCTION("""COMPUTED_VALUE"""),10975.0)</f>
        <v>10975</v>
      </c>
      <c r="C42" s="5">
        <f>IFERROR(__xludf.DUMMYFUNCTION("""COMPUTED_VALUE"""),11125.0)</f>
        <v>11125</v>
      </c>
      <c r="D42" s="5">
        <f>IFERROR(__xludf.DUMMYFUNCTION("""COMPUTED_VALUE"""),10650.0)</f>
        <v>10650</v>
      </c>
      <c r="E42" s="5">
        <f>IFERROR(__xludf.DUMMYFUNCTION("""COMPUTED_VALUE"""),10875.0)</f>
        <v>10875</v>
      </c>
      <c r="F42" s="5">
        <f>IFERROR(__xludf.DUMMYFUNCTION("""COMPUTED_VALUE"""),4957000.0)</f>
        <v>4957000</v>
      </c>
      <c r="G42" s="5">
        <f t="shared" si="1"/>
        <v>475</v>
      </c>
    </row>
    <row r="43">
      <c r="A43" s="4">
        <f>IFERROR(__xludf.DUMMYFUNCTION("""COMPUTED_VALUE"""),43889.66666666667)</f>
        <v>43889.66667</v>
      </c>
      <c r="B43" s="5">
        <f>IFERROR(__xludf.DUMMYFUNCTION("""COMPUTED_VALUE"""),10600.0)</f>
        <v>10600</v>
      </c>
      <c r="C43" s="5">
        <f>IFERROR(__xludf.DUMMYFUNCTION("""COMPUTED_VALUE"""),10650.0)</f>
        <v>10650</v>
      </c>
      <c r="D43" s="5">
        <f>IFERROR(__xludf.DUMMYFUNCTION("""COMPUTED_VALUE"""),9600.0)</f>
        <v>9600</v>
      </c>
      <c r="E43" s="5">
        <f>IFERROR(__xludf.DUMMYFUNCTION("""COMPUTED_VALUE"""),10475.0)</f>
        <v>10475</v>
      </c>
      <c r="F43" s="5">
        <f>IFERROR(__xludf.DUMMYFUNCTION("""COMPUTED_VALUE"""),7767200.0)</f>
        <v>7767200</v>
      </c>
      <c r="G43" s="5">
        <f t="shared" si="1"/>
        <v>1275</v>
      </c>
    </row>
    <row r="44">
      <c r="A44" s="4">
        <f>IFERROR(__xludf.DUMMYFUNCTION("""COMPUTED_VALUE"""),43892.66666666667)</f>
        <v>43892.66667</v>
      </c>
      <c r="B44" s="5">
        <f>IFERROR(__xludf.DUMMYFUNCTION("""COMPUTED_VALUE"""),10400.0)</f>
        <v>10400</v>
      </c>
      <c r="C44" s="5">
        <f>IFERROR(__xludf.DUMMYFUNCTION("""COMPUTED_VALUE"""),10800.0)</f>
        <v>10800</v>
      </c>
      <c r="D44" s="5">
        <f>IFERROR(__xludf.DUMMYFUNCTION("""COMPUTED_VALUE"""),10300.0)</f>
        <v>10300</v>
      </c>
      <c r="E44" s="5">
        <f>IFERROR(__xludf.DUMMYFUNCTION("""COMPUTED_VALUE"""),10400.0)</f>
        <v>10400</v>
      </c>
      <c r="F44" s="5">
        <f>IFERROR(__xludf.DUMMYFUNCTION("""COMPUTED_VALUE"""),5128300.0)</f>
        <v>5128300</v>
      </c>
      <c r="G44" s="5">
        <f t="shared" si="1"/>
        <v>500</v>
      </c>
    </row>
    <row r="45">
      <c r="A45" s="4">
        <f>IFERROR(__xludf.DUMMYFUNCTION("""COMPUTED_VALUE"""),43893.66666666667)</f>
        <v>43893.66667</v>
      </c>
      <c r="B45" s="5">
        <f>IFERROR(__xludf.DUMMYFUNCTION("""COMPUTED_VALUE"""),10675.0)</f>
        <v>10675</v>
      </c>
      <c r="C45" s="5">
        <f>IFERROR(__xludf.DUMMYFUNCTION("""COMPUTED_VALUE"""),11225.0)</f>
        <v>11225</v>
      </c>
      <c r="D45" s="5">
        <f>IFERROR(__xludf.DUMMYFUNCTION("""COMPUTED_VALUE"""),10550.0)</f>
        <v>10550</v>
      </c>
      <c r="E45" s="5">
        <f>IFERROR(__xludf.DUMMYFUNCTION("""COMPUTED_VALUE"""),10925.0)</f>
        <v>10925</v>
      </c>
      <c r="F45" s="5">
        <f>IFERROR(__xludf.DUMMYFUNCTION("""COMPUTED_VALUE"""),3641300.0)</f>
        <v>3641300</v>
      </c>
      <c r="G45" s="5">
        <f t="shared" si="1"/>
        <v>825</v>
      </c>
    </row>
    <row r="46">
      <c r="A46" s="4">
        <f>IFERROR(__xludf.DUMMYFUNCTION("""COMPUTED_VALUE"""),43894.66666666667)</f>
        <v>43894.66667</v>
      </c>
      <c r="B46" s="5">
        <f>IFERROR(__xludf.DUMMYFUNCTION("""COMPUTED_VALUE"""),10925.0)</f>
        <v>10925</v>
      </c>
      <c r="C46" s="5">
        <f>IFERROR(__xludf.DUMMYFUNCTION("""COMPUTED_VALUE"""),11575.0)</f>
        <v>11575</v>
      </c>
      <c r="D46" s="5">
        <f>IFERROR(__xludf.DUMMYFUNCTION("""COMPUTED_VALUE"""),10750.0)</f>
        <v>10750</v>
      </c>
      <c r="E46" s="5">
        <f>IFERROR(__xludf.DUMMYFUNCTION("""COMPUTED_VALUE"""),11200.0)</f>
        <v>11200</v>
      </c>
      <c r="F46" s="5">
        <f>IFERROR(__xludf.DUMMYFUNCTION("""COMPUTED_VALUE"""),6562000.0)</f>
        <v>6562000</v>
      </c>
      <c r="G46" s="5">
        <f t="shared" si="1"/>
        <v>825</v>
      </c>
    </row>
    <row r="47">
      <c r="A47" s="4">
        <f>IFERROR(__xludf.DUMMYFUNCTION("""COMPUTED_VALUE"""),43895.66666666667)</f>
        <v>43895.66667</v>
      </c>
      <c r="B47" s="5">
        <f>IFERROR(__xludf.DUMMYFUNCTION("""COMPUTED_VALUE"""),11250.0)</f>
        <v>11250</v>
      </c>
      <c r="C47" s="5">
        <f>IFERROR(__xludf.DUMMYFUNCTION("""COMPUTED_VALUE"""),11550.0)</f>
        <v>11550</v>
      </c>
      <c r="D47" s="5">
        <f>IFERROR(__xludf.DUMMYFUNCTION("""COMPUTED_VALUE"""),10900.0)</f>
        <v>10900</v>
      </c>
      <c r="E47" s="5">
        <f>IFERROR(__xludf.DUMMYFUNCTION("""COMPUTED_VALUE"""),11100.0)</f>
        <v>11100</v>
      </c>
      <c r="F47" s="5">
        <f>IFERROR(__xludf.DUMMYFUNCTION("""COMPUTED_VALUE"""),4816000.0)</f>
        <v>4816000</v>
      </c>
      <c r="G47" s="5">
        <f t="shared" si="1"/>
        <v>650</v>
      </c>
    </row>
    <row r="48">
      <c r="A48" s="4">
        <f>IFERROR(__xludf.DUMMYFUNCTION("""COMPUTED_VALUE"""),43896.66666666667)</f>
        <v>43896.66667</v>
      </c>
      <c r="B48" s="5">
        <f>IFERROR(__xludf.DUMMYFUNCTION("""COMPUTED_VALUE"""),10900.0)</f>
        <v>10900</v>
      </c>
      <c r="C48" s="5">
        <f>IFERROR(__xludf.DUMMYFUNCTION("""COMPUTED_VALUE"""),11000.0)</f>
        <v>11000</v>
      </c>
      <c r="D48" s="5">
        <f>IFERROR(__xludf.DUMMYFUNCTION("""COMPUTED_VALUE"""),10600.0)</f>
        <v>10600</v>
      </c>
      <c r="E48" s="5">
        <f>IFERROR(__xludf.DUMMYFUNCTION("""COMPUTED_VALUE"""),10800.0)</f>
        <v>10800</v>
      </c>
      <c r="F48" s="5">
        <f>IFERROR(__xludf.DUMMYFUNCTION("""COMPUTED_VALUE"""),3818900.0)</f>
        <v>3818900</v>
      </c>
      <c r="G48" s="5">
        <f t="shared" si="1"/>
        <v>500</v>
      </c>
    </row>
    <row r="49">
      <c r="A49" s="4">
        <f>IFERROR(__xludf.DUMMYFUNCTION("""COMPUTED_VALUE"""),43899.66666666667)</f>
        <v>43899.66667</v>
      </c>
      <c r="B49" s="5">
        <f>IFERROR(__xludf.DUMMYFUNCTION("""COMPUTED_VALUE"""),10500.0)</f>
        <v>10500</v>
      </c>
      <c r="C49" s="5">
        <f>IFERROR(__xludf.DUMMYFUNCTION("""COMPUTED_VALUE"""),10600.0)</f>
        <v>10600</v>
      </c>
      <c r="D49" s="5">
        <f>IFERROR(__xludf.DUMMYFUNCTION("""COMPUTED_VALUE"""),9525.0)</f>
        <v>9525</v>
      </c>
      <c r="E49" s="5">
        <f>IFERROR(__xludf.DUMMYFUNCTION("""COMPUTED_VALUE"""),9525.0)</f>
        <v>9525</v>
      </c>
      <c r="F49" s="5">
        <f>IFERROR(__xludf.DUMMYFUNCTION("""COMPUTED_VALUE"""),4296000.0)</f>
        <v>4296000</v>
      </c>
      <c r="G49" s="5">
        <f t="shared" si="1"/>
        <v>1275</v>
      </c>
    </row>
    <row r="50">
      <c r="A50" s="4">
        <f>IFERROR(__xludf.DUMMYFUNCTION("""COMPUTED_VALUE"""),43900.66666666667)</f>
        <v>43900.66667</v>
      </c>
      <c r="B50" s="5">
        <f>IFERROR(__xludf.DUMMYFUNCTION("""COMPUTED_VALUE"""),9600.0)</f>
        <v>9600</v>
      </c>
      <c r="C50" s="5">
        <f>IFERROR(__xludf.DUMMYFUNCTION("""COMPUTED_VALUE"""),9950.0)</f>
        <v>9950</v>
      </c>
      <c r="D50" s="5">
        <f>IFERROR(__xludf.DUMMYFUNCTION("""COMPUTED_VALUE"""),9250.0)</f>
        <v>9250</v>
      </c>
      <c r="E50" s="5">
        <f>IFERROR(__xludf.DUMMYFUNCTION("""COMPUTED_VALUE"""),9500.0)</f>
        <v>9500</v>
      </c>
      <c r="F50" s="5">
        <f>IFERROR(__xludf.DUMMYFUNCTION("""COMPUTED_VALUE"""),6485700.0)</f>
        <v>6485700</v>
      </c>
      <c r="G50" s="5">
        <f t="shared" si="1"/>
        <v>700</v>
      </c>
    </row>
    <row r="51">
      <c r="A51" s="4">
        <f>IFERROR(__xludf.DUMMYFUNCTION("""COMPUTED_VALUE"""),43901.66666666667)</f>
        <v>43901.66667</v>
      </c>
      <c r="B51" s="5">
        <f>IFERROR(__xludf.DUMMYFUNCTION("""COMPUTED_VALUE"""),9600.0)</f>
        <v>9600</v>
      </c>
      <c r="C51" s="5">
        <f>IFERROR(__xludf.DUMMYFUNCTION("""COMPUTED_VALUE"""),9725.0)</f>
        <v>9725</v>
      </c>
      <c r="D51" s="5">
        <f>IFERROR(__xludf.DUMMYFUNCTION("""COMPUTED_VALUE"""),9025.0)</f>
        <v>9025</v>
      </c>
      <c r="E51" s="5">
        <f>IFERROR(__xludf.DUMMYFUNCTION("""COMPUTED_VALUE"""),9075.0)</f>
        <v>9075</v>
      </c>
      <c r="F51" s="5">
        <f>IFERROR(__xludf.DUMMYFUNCTION("""COMPUTED_VALUE"""),4192500.0)</f>
        <v>4192500</v>
      </c>
      <c r="G51" s="5">
        <f t="shared" si="1"/>
        <v>700</v>
      </c>
    </row>
    <row r="52">
      <c r="A52" s="4">
        <f>IFERROR(__xludf.DUMMYFUNCTION("""COMPUTED_VALUE"""),43902.66666666667)</f>
        <v>43902.66667</v>
      </c>
      <c r="B52" s="5">
        <f>IFERROR(__xludf.DUMMYFUNCTION("""COMPUTED_VALUE"""),8900.0)</f>
        <v>8900</v>
      </c>
      <c r="C52" s="5">
        <f>IFERROR(__xludf.DUMMYFUNCTION("""COMPUTED_VALUE"""),8900.0)</f>
        <v>8900</v>
      </c>
      <c r="D52" s="5">
        <f>IFERROR(__xludf.DUMMYFUNCTION("""COMPUTED_VALUE"""),8025.0)</f>
        <v>8025</v>
      </c>
      <c r="E52" s="5">
        <f>IFERROR(__xludf.DUMMYFUNCTION("""COMPUTED_VALUE"""),8025.0)</f>
        <v>8025</v>
      </c>
      <c r="F52" s="5">
        <f>IFERROR(__xludf.DUMMYFUNCTION("""COMPUTED_VALUE"""),7836200.0)</f>
        <v>7836200</v>
      </c>
      <c r="G52" s="5">
        <f t="shared" si="1"/>
        <v>1050</v>
      </c>
    </row>
    <row r="53">
      <c r="A53" s="4">
        <f>IFERROR(__xludf.DUMMYFUNCTION("""COMPUTED_VALUE"""),43903.66666666667)</f>
        <v>43903.66667</v>
      </c>
      <c r="B53" s="5">
        <f>IFERROR(__xludf.DUMMYFUNCTION("""COMPUTED_VALUE"""),8000.0)</f>
        <v>8000</v>
      </c>
      <c r="C53" s="5">
        <f>IFERROR(__xludf.DUMMYFUNCTION("""COMPUTED_VALUE"""),8000.0)</f>
        <v>8000</v>
      </c>
      <c r="D53" s="5">
        <f>IFERROR(__xludf.DUMMYFUNCTION("""COMPUTED_VALUE"""),7475.0)</f>
        <v>7475</v>
      </c>
      <c r="E53" s="5">
        <f>IFERROR(__xludf.DUMMYFUNCTION("""COMPUTED_VALUE"""),7575.0)</f>
        <v>7575</v>
      </c>
      <c r="F53" s="5">
        <f>IFERROR(__xludf.DUMMYFUNCTION("""COMPUTED_VALUE"""),1.81382E7)</f>
        <v>18138200</v>
      </c>
      <c r="G53" s="5">
        <f t="shared" si="1"/>
        <v>550</v>
      </c>
    </row>
    <row r="54">
      <c r="A54" s="4">
        <f>IFERROR(__xludf.DUMMYFUNCTION("""COMPUTED_VALUE"""),43906.66666666667)</f>
        <v>43906.66667</v>
      </c>
      <c r="B54" s="5">
        <f>IFERROR(__xludf.DUMMYFUNCTION("""COMPUTED_VALUE"""),7475.0)</f>
        <v>7475</v>
      </c>
      <c r="C54" s="5">
        <f>IFERROR(__xludf.DUMMYFUNCTION("""COMPUTED_VALUE"""),7650.0)</f>
        <v>7650</v>
      </c>
      <c r="D54" s="5">
        <f>IFERROR(__xludf.DUMMYFUNCTION("""COMPUTED_VALUE"""),7050.0)</f>
        <v>7050</v>
      </c>
      <c r="E54" s="5">
        <f>IFERROR(__xludf.DUMMYFUNCTION("""COMPUTED_VALUE"""),7050.0)</f>
        <v>7050</v>
      </c>
      <c r="F54" s="5">
        <f>IFERROR(__xludf.DUMMYFUNCTION("""COMPUTED_VALUE"""),4238900.0)</f>
        <v>4238900</v>
      </c>
      <c r="G54" s="5">
        <f t="shared" si="1"/>
        <v>600</v>
      </c>
    </row>
    <row r="55">
      <c r="A55" s="4">
        <f>IFERROR(__xludf.DUMMYFUNCTION("""COMPUTED_VALUE"""),43907.66666666667)</f>
        <v>43907.66667</v>
      </c>
      <c r="B55" s="5">
        <f>IFERROR(__xludf.DUMMYFUNCTION("""COMPUTED_VALUE"""),6975.0)</f>
        <v>6975</v>
      </c>
      <c r="C55" s="5">
        <f>IFERROR(__xludf.DUMMYFUNCTION("""COMPUTED_VALUE"""),7050.0)</f>
        <v>7050</v>
      </c>
      <c r="D55" s="5">
        <f>IFERROR(__xludf.DUMMYFUNCTION("""COMPUTED_VALUE"""),6575.0)</f>
        <v>6575</v>
      </c>
      <c r="E55" s="5">
        <f>IFERROR(__xludf.DUMMYFUNCTION("""COMPUTED_VALUE"""),6575.0)</f>
        <v>6575</v>
      </c>
      <c r="F55" s="5">
        <f>IFERROR(__xludf.DUMMYFUNCTION("""COMPUTED_VALUE"""),1.21884E7)</f>
        <v>12188400</v>
      </c>
      <c r="G55" s="5">
        <f t="shared" si="1"/>
        <v>475</v>
      </c>
    </row>
    <row r="56">
      <c r="A56" s="4">
        <f>IFERROR(__xludf.DUMMYFUNCTION("""COMPUTED_VALUE"""),43908.66666666667)</f>
        <v>43908.66667</v>
      </c>
      <c r="B56" s="5">
        <f>IFERROR(__xludf.DUMMYFUNCTION("""COMPUTED_VALUE"""),6625.0)</f>
        <v>6625</v>
      </c>
      <c r="C56" s="5">
        <f>IFERROR(__xludf.DUMMYFUNCTION("""COMPUTED_VALUE"""),6775.0)</f>
        <v>6775</v>
      </c>
      <c r="D56" s="5">
        <f>IFERROR(__xludf.DUMMYFUNCTION("""COMPUTED_VALUE"""),6125.0)</f>
        <v>6125</v>
      </c>
      <c r="E56" s="5">
        <f>IFERROR(__xludf.DUMMYFUNCTION("""COMPUTED_VALUE"""),6300.0)</f>
        <v>6300</v>
      </c>
      <c r="F56" s="5">
        <f>IFERROR(__xludf.DUMMYFUNCTION("""COMPUTED_VALUE"""),9030900.0)</f>
        <v>9030900</v>
      </c>
      <c r="G56" s="5">
        <f t="shared" si="1"/>
        <v>650</v>
      </c>
    </row>
    <row r="57">
      <c r="A57" s="4">
        <f>IFERROR(__xludf.DUMMYFUNCTION("""COMPUTED_VALUE"""),43909.66666666667)</f>
        <v>43909.66667</v>
      </c>
      <c r="B57" s="5">
        <f>IFERROR(__xludf.DUMMYFUNCTION("""COMPUTED_VALUE"""),6300.0)</f>
        <v>6300</v>
      </c>
      <c r="C57" s="5">
        <f>IFERROR(__xludf.DUMMYFUNCTION("""COMPUTED_VALUE"""),6300.0)</f>
        <v>6300</v>
      </c>
      <c r="D57" s="5">
        <f>IFERROR(__xludf.DUMMYFUNCTION("""COMPUTED_VALUE"""),5875.0)</f>
        <v>5875</v>
      </c>
      <c r="E57" s="5">
        <f>IFERROR(__xludf.DUMMYFUNCTION("""COMPUTED_VALUE"""),5875.0)</f>
        <v>5875</v>
      </c>
      <c r="F57" s="5">
        <f>IFERROR(__xludf.DUMMYFUNCTION("""COMPUTED_VALUE"""),6210800.0)</f>
        <v>6210800</v>
      </c>
      <c r="G57" s="5">
        <f t="shared" si="1"/>
        <v>425</v>
      </c>
    </row>
    <row r="58">
      <c r="A58" s="4">
        <f>IFERROR(__xludf.DUMMYFUNCTION("""COMPUTED_VALUE"""),43910.66666666667)</f>
        <v>43910.66667</v>
      </c>
      <c r="B58" s="5">
        <f>IFERROR(__xludf.DUMMYFUNCTION("""COMPUTED_VALUE"""),5950.0)</f>
        <v>5950</v>
      </c>
      <c r="C58" s="5">
        <f>IFERROR(__xludf.DUMMYFUNCTION("""COMPUTED_VALUE"""),7050.0)</f>
        <v>7050</v>
      </c>
      <c r="D58" s="5">
        <f>IFERROR(__xludf.DUMMYFUNCTION("""COMPUTED_VALUE"""),5475.0)</f>
        <v>5475</v>
      </c>
      <c r="E58" s="5">
        <f>IFERROR(__xludf.DUMMYFUNCTION("""COMPUTED_VALUE"""),7050.0)</f>
        <v>7050</v>
      </c>
      <c r="F58" s="5">
        <f>IFERROR(__xludf.DUMMYFUNCTION("""COMPUTED_VALUE"""),1.64315E7)</f>
        <v>16431500</v>
      </c>
      <c r="G58" s="5">
        <f t="shared" si="1"/>
        <v>1575</v>
      </c>
    </row>
    <row r="59">
      <c r="A59" s="4">
        <f>IFERROR(__xludf.DUMMYFUNCTION("""COMPUTED_VALUE"""),43913.66666666667)</f>
        <v>43913.66667</v>
      </c>
      <c r="B59" s="5">
        <f>IFERROR(__xludf.DUMMYFUNCTION("""COMPUTED_VALUE"""),6900.0)</f>
        <v>6900</v>
      </c>
      <c r="C59" s="5">
        <f>IFERROR(__xludf.DUMMYFUNCTION("""COMPUTED_VALUE"""),6900.0)</f>
        <v>6900</v>
      </c>
      <c r="D59" s="5">
        <f>IFERROR(__xludf.DUMMYFUNCTION("""COMPUTED_VALUE"""),6575.0)</f>
        <v>6575</v>
      </c>
      <c r="E59" s="5">
        <f>IFERROR(__xludf.DUMMYFUNCTION("""COMPUTED_VALUE"""),6575.0)</f>
        <v>6575</v>
      </c>
      <c r="F59" s="5">
        <f>IFERROR(__xludf.DUMMYFUNCTION("""COMPUTED_VALUE"""),8332400.0)</f>
        <v>8332400</v>
      </c>
      <c r="G59" s="5">
        <f t="shared" si="1"/>
        <v>475</v>
      </c>
    </row>
    <row r="60">
      <c r="A60" s="4">
        <f>IFERROR(__xludf.DUMMYFUNCTION("""COMPUTED_VALUE"""),43914.66666666667)</f>
        <v>43914.66667</v>
      </c>
      <c r="B60" s="5">
        <f>IFERROR(__xludf.DUMMYFUNCTION("""COMPUTED_VALUE"""),6750.0)</f>
        <v>6750</v>
      </c>
      <c r="C60" s="5">
        <f>IFERROR(__xludf.DUMMYFUNCTION("""COMPUTED_VALUE"""),6775.0)</f>
        <v>6775</v>
      </c>
      <c r="D60" s="5">
        <f>IFERROR(__xludf.DUMMYFUNCTION("""COMPUTED_VALUE"""),6125.0)</f>
        <v>6125</v>
      </c>
      <c r="E60" s="5">
        <f>IFERROR(__xludf.DUMMYFUNCTION("""COMPUTED_VALUE"""),6125.0)</f>
        <v>6125</v>
      </c>
      <c r="F60" s="5">
        <f>IFERROR(__xludf.DUMMYFUNCTION("""COMPUTED_VALUE"""),9943300.0)</f>
        <v>9943300</v>
      </c>
      <c r="G60" s="5">
        <f t="shared" si="1"/>
        <v>650</v>
      </c>
    </row>
    <row r="61">
      <c r="A61" s="4">
        <f>IFERROR(__xludf.DUMMYFUNCTION("""COMPUTED_VALUE"""),43916.66666666667)</f>
        <v>43916.66667</v>
      </c>
      <c r="B61" s="5">
        <f>IFERROR(__xludf.DUMMYFUNCTION("""COMPUTED_VALUE"""),6125.0)</f>
        <v>6125</v>
      </c>
      <c r="C61" s="5">
        <f>IFERROR(__xludf.DUMMYFUNCTION("""COMPUTED_VALUE"""),7275.0)</f>
        <v>7275</v>
      </c>
      <c r="D61" s="5">
        <f>IFERROR(__xludf.DUMMYFUNCTION("""COMPUTED_VALUE"""),5975.0)</f>
        <v>5975</v>
      </c>
      <c r="E61" s="5">
        <f>IFERROR(__xludf.DUMMYFUNCTION("""COMPUTED_VALUE"""),6800.0)</f>
        <v>6800</v>
      </c>
      <c r="F61" s="5">
        <f>IFERROR(__xludf.DUMMYFUNCTION("""COMPUTED_VALUE"""),9778300.0)</f>
        <v>9778300</v>
      </c>
      <c r="G61" s="5">
        <f t="shared" si="1"/>
        <v>1300</v>
      </c>
    </row>
    <row r="62">
      <c r="A62" s="4">
        <f>IFERROR(__xludf.DUMMYFUNCTION("""COMPUTED_VALUE"""),43917.66666666667)</f>
        <v>43917.66667</v>
      </c>
      <c r="B62" s="5">
        <f>IFERROR(__xludf.DUMMYFUNCTION("""COMPUTED_VALUE"""),6950.0)</f>
        <v>6950</v>
      </c>
      <c r="C62" s="5">
        <f>IFERROR(__xludf.DUMMYFUNCTION("""COMPUTED_VALUE"""),8150.0)</f>
        <v>8150</v>
      </c>
      <c r="D62" s="5">
        <f>IFERROR(__xludf.DUMMYFUNCTION("""COMPUTED_VALUE"""),6950.0)</f>
        <v>6950</v>
      </c>
      <c r="E62" s="5">
        <f>IFERROR(__xludf.DUMMYFUNCTION("""COMPUTED_VALUE"""),7975.0)</f>
        <v>7975</v>
      </c>
      <c r="F62" s="5">
        <f>IFERROR(__xludf.DUMMYFUNCTION("""COMPUTED_VALUE"""),1.40529E7)</f>
        <v>14052900</v>
      </c>
      <c r="G62" s="5">
        <f t="shared" si="1"/>
        <v>1350</v>
      </c>
    </row>
    <row r="63">
      <c r="A63" s="4">
        <f>IFERROR(__xludf.DUMMYFUNCTION("""COMPUTED_VALUE"""),43920.66666666667)</f>
        <v>43920.66667</v>
      </c>
      <c r="B63" s="5">
        <f>IFERROR(__xludf.DUMMYFUNCTION("""COMPUTED_VALUE"""),7975.0)</f>
        <v>7975</v>
      </c>
      <c r="C63" s="5">
        <f>IFERROR(__xludf.DUMMYFUNCTION("""COMPUTED_VALUE"""),7975.0)</f>
        <v>7975</v>
      </c>
      <c r="D63" s="5">
        <f>IFERROR(__xludf.DUMMYFUNCTION("""COMPUTED_VALUE"""),7425.0)</f>
        <v>7425</v>
      </c>
      <c r="E63" s="5">
        <f>IFERROR(__xludf.DUMMYFUNCTION("""COMPUTED_VALUE"""),7425.0)</f>
        <v>7425</v>
      </c>
      <c r="F63" s="5">
        <f>IFERROR(__xludf.DUMMYFUNCTION("""COMPUTED_VALUE"""),5186600.0)</f>
        <v>5186600</v>
      </c>
      <c r="G63" s="5">
        <f t="shared" si="1"/>
        <v>550</v>
      </c>
    </row>
    <row r="64">
      <c r="A64" s="4">
        <f>IFERROR(__xludf.DUMMYFUNCTION("""COMPUTED_VALUE"""),43921.66666666667)</f>
        <v>43921.66667</v>
      </c>
      <c r="B64" s="5">
        <f>IFERROR(__xludf.DUMMYFUNCTION("""COMPUTED_VALUE"""),7425.0)</f>
        <v>7425</v>
      </c>
      <c r="C64" s="5">
        <f>IFERROR(__xludf.DUMMYFUNCTION("""COMPUTED_VALUE"""),7700.0)</f>
        <v>7700</v>
      </c>
      <c r="D64" s="5">
        <f>IFERROR(__xludf.DUMMYFUNCTION("""COMPUTED_VALUE"""),6950.0)</f>
        <v>6950</v>
      </c>
      <c r="E64" s="5">
        <f>IFERROR(__xludf.DUMMYFUNCTION("""COMPUTED_VALUE"""),7625.0)</f>
        <v>7625</v>
      </c>
      <c r="F64" s="5">
        <f>IFERROR(__xludf.DUMMYFUNCTION("""COMPUTED_VALUE"""),9630700.0)</f>
        <v>9630700</v>
      </c>
      <c r="G64" s="5">
        <f t="shared" si="1"/>
        <v>750</v>
      </c>
    </row>
    <row r="65">
      <c r="A65" s="4">
        <f>IFERROR(__xludf.DUMMYFUNCTION("""COMPUTED_VALUE"""),43922.66666666667)</f>
        <v>43922.66667</v>
      </c>
      <c r="B65" s="5">
        <f>IFERROR(__xludf.DUMMYFUNCTION("""COMPUTED_VALUE"""),7600.0)</f>
        <v>7600</v>
      </c>
      <c r="C65" s="5">
        <f>IFERROR(__xludf.DUMMYFUNCTION("""COMPUTED_VALUE"""),7850.0)</f>
        <v>7850</v>
      </c>
      <c r="D65" s="5">
        <f>IFERROR(__xludf.DUMMYFUNCTION("""COMPUTED_VALUE"""),7300.0)</f>
        <v>7300</v>
      </c>
      <c r="E65" s="5">
        <f>IFERROR(__xludf.DUMMYFUNCTION("""COMPUTED_VALUE"""),7700.0)</f>
        <v>7700</v>
      </c>
      <c r="F65" s="5">
        <f>IFERROR(__xludf.DUMMYFUNCTION("""COMPUTED_VALUE"""),6605300.0)</f>
        <v>6605300</v>
      </c>
      <c r="G65" s="5">
        <f t="shared" si="1"/>
        <v>550</v>
      </c>
    </row>
    <row r="66">
      <c r="A66" s="4">
        <f>IFERROR(__xludf.DUMMYFUNCTION("""COMPUTED_VALUE"""),43923.66666666667)</f>
        <v>43923.66667</v>
      </c>
      <c r="B66" s="5">
        <f>IFERROR(__xludf.DUMMYFUNCTION("""COMPUTED_VALUE"""),7550.0)</f>
        <v>7550</v>
      </c>
      <c r="C66" s="5">
        <f>IFERROR(__xludf.DUMMYFUNCTION("""COMPUTED_VALUE"""),7675.0)</f>
        <v>7675</v>
      </c>
      <c r="D66" s="5">
        <f>IFERROR(__xludf.DUMMYFUNCTION("""COMPUTED_VALUE"""),7300.0)</f>
        <v>7300</v>
      </c>
      <c r="E66" s="5">
        <f>IFERROR(__xludf.DUMMYFUNCTION("""COMPUTED_VALUE"""),7500.0)</f>
        <v>7500</v>
      </c>
      <c r="F66" s="5">
        <f>IFERROR(__xludf.DUMMYFUNCTION("""COMPUTED_VALUE"""),7011900.0)</f>
        <v>7011900</v>
      </c>
      <c r="G66" s="5">
        <f t="shared" si="1"/>
        <v>400</v>
      </c>
    </row>
    <row r="67">
      <c r="A67" s="4">
        <f>IFERROR(__xludf.DUMMYFUNCTION("""COMPUTED_VALUE"""),43924.66666666667)</f>
        <v>43924.66667</v>
      </c>
      <c r="B67" s="5">
        <f>IFERROR(__xludf.DUMMYFUNCTION("""COMPUTED_VALUE"""),7500.0)</f>
        <v>7500</v>
      </c>
      <c r="C67" s="5">
        <f>IFERROR(__xludf.DUMMYFUNCTION("""COMPUTED_VALUE"""),7775.0)</f>
        <v>7775</v>
      </c>
      <c r="D67" s="5">
        <f>IFERROR(__xludf.DUMMYFUNCTION("""COMPUTED_VALUE"""),7500.0)</f>
        <v>7500</v>
      </c>
      <c r="E67" s="5">
        <f>IFERROR(__xludf.DUMMYFUNCTION("""COMPUTED_VALUE"""),7700.0)</f>
        <v>7700</v>
      </c>
      <c r="F67" s="5">
        <f>IFERROR(__xludf.DUMMYFUNCTION("""COMPUTED_VALUE"""),3988100.0)</f>
        <v>3988100</v>
      </c>
      <c r="G67" s="5">
        <f t="shared" si="1"/>
        <v>275</v>
      </c>
    </row>
    <row r="68">
      <c r="A68" s="4">
        <f>IFERROR(__xludf.DUMMYFUNCTION("""COMPUTED_VALUE"""),43927.66666666667)</f>
        <v>43927.66667</v>
      </c>
      <c r="B68" s="5">
        <f>IFERROR(__xludf.DUMMYFUNCTION("""COMPUTED_VALUE"""),7825.0)</f>
        <v>7825</v>
      </c>
      <c r="C68" s="5">
        <f>IFERROR(__xludf.DUMMYFUNCTION("""COMPUTED_VALUE"""),8275.0)</f>
        <v>8275</v>
      </c>
      <c r="D68" s="5">
        <f>IFERROR(__xludf.DUMMYFUNCTION("""COMPUTED_VALUE"""),7675.0)</f>
        <v>7675</v>
      </c>
      <c r="E68" s="5">
        <f>IFERROR(__xludf.DUMMYFUNCTION("""COMPUTED_VALUE"""),8125.0)</f>
        <v>8125</v>
      </c>
      <c r="F68" s="5">
        <f>IFERROR(__xludf.DUMMYFUNCTION("""COMPUTED_VALUE"""),7254800.0)</f>
        <v>7254800</v>
      </c>
      <c r="G68" s="5">
        <f t="shared" si="1"/>
        <v>600</v>
      </c>
    </row>
    <row r="69">
      <c r="A69" s="4">
        <f>IFERROR(__xludf.DUMMYFUNCTION("""COMPUTED_VALUE"""),43928.66666666667)</f>
        <v>43928.66667</v>
      </c>
      <c r="B69" s="5">
        <f>IFERROR(__xludf.DUMMYFUNCTION("""COMPUTED_VALUE"""),8300.0)</f>
        <v>8300</v>
      </c>
      <c r="C69" s="5">
        <f>IFERROR(__xludf.DUMMYFUNCTION("""COMPUTED_VALUE"""),8500.0)</f>
        <v>8500</v>
      </c>
      <c r="D69" s="5">
        <f>IFERROR(__xludf.DUMMYFUNCTION("""COMPUTED_VALUE"""),7850.0)</f>
        <v>7850</v>
      </c>
      <c r="E69" s="5">
        <f>IFERROR(__xludf.DUMMYFUNCTION("""COMPUTED_VALUE"""),8100.0)</f>
        <v>8100</v>
      </c>
      <c r="F69" s="5">
        <f>IFERROR(__xludf.DUMMYFUNCTION("""COMPUTED_VALUE"""),7242200.0)</f>
        <v>7242200</v>
      </c>
      <c r="G69" s="5">
        <f t="shared" si="1"/>
        <v>650</v>
      </c>
    </row>
    <row r="70">
      <c r="A70" s="4">
        <f>IFERROR(__xludf.DUMMYFUNCTION("""COMPUTED_VALUE"""),43929.66666666667)</f>
        <v>43929.66667</v>
      </c>
      <c r="B70" s="5">
        <f>IFERROR(__xludf.DUMMYFUNCTION("""COMPUTED_VALUE"""),8050.0)</f>
        <v>8050</v>
      </c>
      <c r="C70" s="5">
        <f>IFERROR(__xludf.DUMMYFUNCTION("""COMPUTED_VALUE"""),8100.0)</f>
        <v>8100</v>
      </c>
      <c r="D70" s="5">
        <f>IFERROR(__xludf.DUMMYFUNCTION("""COMPUTED_VALUE"""),7550.0)</f>
        <v>7550</v>
      </c>
      <c r="E70" s="5">
        <f>IFERROR(__xludf.DUMMYFUNCTION("""COMPUTED_VALUE"""),7925.0)</f>
        <v>7925</v>
      </c>
      <c r="F70" s="5">
        <f>IFERROR(__xludf.DUMMYFUNCTION("""COMPUTED_VALUE"""),6394700.0)</f>
        <v>6394700</v>
      </c>
      <c r="G70" s="5">
        <f t="shared" si="1"/>
        <v>550</v>
      </c>
    </row>
    <row r="71">
      <c r="A71" s="4">
        <f>IFERROR(__xludf.DUMMYFUNCTION("""COMPUTED_VALUE"""),43930.66666666667)</f>
        <v>43930.66667</v>
      </c>
      <c r="B71" s="5">
        <f>IFERROR(__xludf.DUMMYFUNCTION("""COMPUTED_VALUE"""),7900.0)</f>
        <v>7900</v>
      </c>
      <c r="C71" s="5">
        <f>IFERROR(__xludf.DUMMYFUNCTION("""COMPUTED_VALUE"""),8100.0)</f>
        <v>8100</v>
      </c>
      <c r="D71" s="5">
        <f>IFERROR(__xludf.DUMMYFUNCTION("""COMPUTED_VALUE"""),7400.0)</f>
        <v>7400</v>
      </c>
      <c r="E71" s="5">
        <f>IFERROR(__xludf.DUMMYFUNCTION("""COMPUTED_VALUE"""),8100.0)</f>
        <v>8100</v>
      </c>
      <c r="F71" s="5">
        <f>IFERROR(__xludf.DUMMYFUNCTION("""COMPUTED_VALUE"""),3664600.0)</f>
        <v>3664600</v>
      </c>
      <c r="G71" s="5">
        <f t="shared" si="1"/>
        <v>700</v>
      </c>
    </row>
    <row r="72">
      <c r="A72" s="4">
        <f>IFERROR(__xludf.DUMMYFUNCTION("""COMPUTED_VALUE"""),43934.66666666667)</f>
        <v>43934.66667</v>
      </c>
      <c r="B72" s="5">
        <f>IFERROR(__xludf.DUMMYFUNCTION("""COMPUTED_VALUE"""),8100.0)</f>
        <v>8100</v>
      </c>
      <c r="C72" s="5">
        <f>IFERROR(__xludf.DUMMYFUNCTION("""COMPUTED_VALUE"""),8100.0)</f>
        <v>8100</v>
      </c>
      <c r="D72" s="5">
        <f>IFERROR(__xludf.DUMMYFUNCTION("""COMPUTED_VALUE"""),7700.0)</f>
        <v>7700</v>
      </c>
      <c r="E72" s="5">
        <f>IFERROR(__xludf.DUMMYFUNCTION("""COMPUTED_VALUE"""),7700.0)</f>
        <v>7700</v>
      </c>
      <c r="F72" s="5">
        <f>IFERROR(__xludf.DUMMYFUNCTION("""COMPUTED_VALUE"""),2716200.0)</f>
        <v>2716200</v>
      </c>
      <c r="G72" s="5">
        <f t="shared" si="1"/>
        <v>400</v>
      </c>
    </row>
    <row r="73">
      <c r="A73" s="4">
        <f>IFERROR(__xludf.DUMMYFUNCTION("""COMPUTED_VALUE"""),43935.66666666667)</f>
        <v>43935.66667</v>
      </c>
      <c r="B73" s="5">
        <f>IFERROR(__xludf.DUMMYFUNCTION("""COMPUTED_VALUE"""),7700.0)</f>
        <v>7700</v>
      </c>
      <c r="C73" s="5">
        <f>IFERROR(__xludf.DUMMYFUNCTION("""COMPUTED_VALUE"""),7800.0)</f>
        <v>7800</v>
      </c>
      <c r="D73" s="5">
        <f>IFERROR(__xludf.DUMMYFUNCTION("""COMPUTED_VALUE"""),7350.0)</f>
        <v>7350</v>
      </c>
      <c r="E73" s="5">
        <f>IFERROR(__xludf.DUMMYFUNCTION("""COMPUTED_VALUE"""),7650.0)</f>
        <v>7650</v>
      </c>
      <c r="F73" s="5">
        <f>IFERROR(__xludf.DUMMYFUNCTION("""COMPUTED_VALUE"""),8020400.0)</f>
        <v>8020400</v>
      </c>
      <c r="G73" s="5">
        <f t="shared" si="1"/>
        <v>450</v>
      </c>
    </row>
    <row r="74">
      <c r="A74" s="4">
        <f>IFERROR(__xludf.DUMMYFUNCTION("""COMPUTED_VALUE"""),43936.66666666667)</f>
        <v>43936.66667</v>
      </c>
      <c r="B74" s="5">
        <f>IFERROR(__xludf.DUMMYFUNCTION("""COMPUTED_VALUE"""),7700.0)</f>
        <v>7700</v>
      </c>
      <c r="C74" s="5">
        <f>IFERROR(__xludf.DUMMYFUNCTION("""COMPUTED_VALUE"""),7725.0)</f>
        <v>7725</v>
      </c>
      <c r="D74" s="5">
        <f>IFERROR(__xludf.DUMMYFUNCTION("""COMPUTED_VALUE"""),7125.0)</f>
        <v>7125</v>
      </c>
      <c r="E74" s="5">
        <f>IFERROR(__xludf.DUMMYFUNCTION("""COMPUTED_VALUE"""),7125.0)</f>
        <v>7125</v>
      </c>
      <c r="F74" s="5">
        <f>IFERROR(__xludf.DUMMYFUNCTION("""COMPUTED_VALUE"""),8354700.0)</f>
        <v>8354700</v>
      </c>
      <c r="G74" s="5">
        <f t="shared" si="1"/>
        <v>600</v>
      </c>
    </row>
    <row r="75">
      <c r="A75" s="4">
        <f>IFERROR(__xludf.DUMMYFUNCTION("""COMPUTED_VALUE"""),43937.66666666667)</f>
        <v>43937.66667</v>
      </c>
      <c r="B75" s="5">
        <f>IFERROR(__xludf.DUMMYFUNCTION("""COMPUTED_VALUE"""),7125.0)</f>
        <v>7125</v>
      </c>
      <c r="C75" s="5">
        <f>IFERROR(__xludf.DUMMYFUNCTION("""COMPUTED_VALUE"""),7125.0)</f>
        <v>7125</v>
      </c>
      <c r="D75" s="5">
        <f>IFERROR(__xludf.DUMMYFUNCTION("""COMPUTED_VALUE"""),6650.0)</f>
        <v>6650</v>
      </c>
      <c r="E75" s="5">
        <f>IFERROR(__xludf.DUMMYFUNCTION("""COMPUTED_VALUE"""),6650.0)</f>
        <v>6650</v>
      </c>
      <c r="F75" s="5">
        <f>IFERROR(__xludf.DUMMYFUNCTION("""COMPUTED_VALUE"""),9865000.0)</f>
        <v>9865000</v>
      </c>
      <c r="G75" s="5">
        <f t="shared" si="1"/>
        <v>475</v>
      </c>
    </row>
    <row r="76">
      <c r="A76" s="4">
        <f>IFERROR(__xludf.DUMMYFUNCTION("""COMPUTED_VALUE"""),43938.66666666667)</f>
        <v>43938.66667</v>
      </c>
      <c r="B76" s="5">
        <f>IFERROR(__xludf.DUMMYFUNCTION("""COMPUTED_VALUE"""),6800.0)</f>
        <v>6800</v>
      </c>
      <c r="C76" s="5">
        <f>IFERROR(__xludf.DUMMYFUNCTION("""COMPUTED_VALUE"""),6875.0)</f>
        <v>6875</v>
      </c>
      <c r="D76" s="5">
        <f>IFERROR(__xludf.DUMMYFUNCTION("""COMPUTED_VALUE"""),6325.0)</f>
        <v>6325</v>
      </c>
      <c r="E76" s="5">
        <f>IFERROR(__xludf.DUMMYFUNCTION("""COMPUTED_VALUE"""),6475.0)</f>
        <v>6475</v>
      </c>
      <c r="F76" s="5">
        <f>IFERROR(__xludf.DUMMYFUNCTION("""COMPUTED_VALUE"""),1.88484E7)</f>
        <v>18848400</v>
      </c>
      <c r="G76" s="5">
        <f t="shared" si="1"/>
        <v>550</v>
      </c>
    </row>
    <row r="77">
      <c r="A77" s="4">
        <f>IFERROR(__xludf.DUMMYFUNCTION("""COMPUTED_VALUE"""),43941.66666666667)</f>
        <v>43941.66667</v>
      </c>
      <c r="B77" s="5">
        <f>IFERROR(__xludf.DUMMYFUNCTION("""COMPUTED_VALUE"""),6500.0)</f>
        <v>6500</v>
      </c>
      <c r="C77" s="5">
        <f>IFERROR(__xludf.DUMMYFUNCTION("""COMPUTED_VALUE"""),6725.0)</f>
        <v>6725</v>
      </c>
      <c r="D77" s="5">
        <f>IFERROR(__xludf.DUMMYFUNCTION("""COMPUTED_VALUE"""),6275.0)</f>
        <v>6275</v>
      </c>
      <c r="E77" s="5">
        <f>IFERROR(__xludf.DUMMYFUNCTION("""COMPUTED_VALUE"""),6300.0)</f>
        <v>6300</v>
      </c>
      <c r="F77" s="5">
        <f>IFERROR(__xludf.DUMMYFUNCTION("""COMPUTED_VALUE"""),1.61798E7)</f>
        <v>16179800</v>
      </c>
      <c r="G77" s="5">
        <f t="shared" si="1"/>
        <v>450</v>
      </c>
    </row>
    <row r="78">
      <c r="A78" s="4">
        <f>IFERROR(__xludf.DUMMYFUNCTION("""COMPUTED_VALUE"""),43942.66666666667)</f>
        <v>43942.66667</v>
      </c>
      <c r="B78" s="5">
        <f>IFERROR(__xludf.DUMMYFUNCTION("""COMPUTED_VALUE"""),6175.0)</f>
        <v>6175</v>
      </c>
      <c r="C78" s="5">
        <f>IFERROR(__xludf.DUMMYFUNCTION("""COMPUTED_VALUE"""),6250.0)</f>
        <v>6250</v>
      </c>
      <c r="D78" s="5">
        <f>IFERROR(__xludf.DUMMYFUNCTION("""COMPUTED_VALUE"""),5875.0)</f>
        <v>5875</v>
      </c>
      <c r="E78" s="5">
        <f>IFERROR(__xludf.DUMMYFUNCTION("""COMPUTED_VALUE"""),5900.0)</f>
        <v>5900</v>
      </c>
      <c r="F78" s="5">
        <f>IFERROR(__xludf.DUMMYFUNCTION("""COMPUTED_VALUE"""),1.38972E7)</f>
        <v>13897200</v>
      </c>
      <c r="G78" s="5">
        <f t="shared" si="1"/>
        <v>425</v>
      </c>
    </row>
    <row r="79">
      <c r="A79" s="4">
        <f>IFERROR(__xludf.DUMMYFUNCTION("""COMPUTED_VALUE"""),43943.66666666667)</f>
        <v>43943.66667</v>
      </c>
      <c r="B79" s="5">
        <f>IFERROR(__xludf.DUMMYFUNCTION("""COMPUTED_VALUE"""),5875.0)</f>
        <v>5875</v>
      </c>
      <c r="C79" s="5">
        <f>IFERROR(__xludf.DUMMYFUNCTION("""COMPUTED_VALUE"""),7075.0)</f>
        <v>7075</v>
      </c>
      <c r="D79" s="5">
        <f>IFERROR(__xludf.DUMMYFUNCTION("""COMPUTED_VALUE"""),5800.0)</f>
        <v>5800</v>
      </c>
      <c r="E79" s="5">
        <f>IFERROR(__xludf.DUMMYFUNCTION("""COMPUTED_VALUE"""),6900.0)</f>
        <v>6900</v>
      </c>
      <c r="F79" s="5">
        <f>IFERROR(__xludf.DUMMYFUNCTION("""COMPUTED_VALUE"""),2.44847E7)</f>
        <v>24484700</v>
      </c>
      <c r="G79" s="5">
        <f t="shared" si="1"/>
        <v>1275</v>
      </c>
    </row>
    <row r="80">
      <c r="A80" s="4">
        <f>IFERROR(__xludf.DUMMYFUNCTION("""COMPUTED_VALUE"""),43944.66666666667)</f>
        <v>43944.66667</v>
      </c>
      <c r="B80" s="5">
        <f>IFERROR(__xludf.DUMMYFUNCTION("""COMPUTED_VALUE"""),7000.0)</f>
        <v>7000</v>
      </c>
      <c r="C80" s="5">
        <f>IFERROR(__xludf.DUMMYFUNCTION("""COMPUTED_VALUE"""),7400.0)</f>
        <v>7400</v>
      </c>
      <c r="D80" s="5">
        <f>IFERROR(__xludf.DUMMYFUNCTION("""COMPUTED_VALUE"""),6825.0)</f>
        <v>6825</v>
      </c>
      <c r="E80" s="5">
        <f>IFERROR(__xludf.DUMMYFUNCTION("""COMPUTED_VALUE"""),6900.0)</f>
        <v>6900</v>
      </c>
      <c r="F80" s="5">
        <f>IFERROR(__xludf.DUMMYFUNCTION("""COMPUTED_VALUE"""),1.61366E7)</f>
        <v>16136600</v>
      </c>
      <c r="G80" s="5">
        <f t="shared" si="1"/>
        <v>575</v>
      </c>
    </row>
    <row r="81">
      <c r="A81" s="4">
        <f>IFERROR(__xludf.DUMMYFUNCTION("""COMPUTED_VALUE"""),43945.66666666667)</f>
        <v>43945.66667</v>
      </c>
      <c r="B81" s="5">
        <f>IFERROR(__xludf.DUMMYFUNCTION("""COMPUTED_VALUE"""),6900.0)</f>
        <v>6900</v>
      </c>
      <c r="C81" s="5">
        <f>IFERROR(__xludf.DUMMYFUNCTION("""COMPUTED_VALUE"""),7000.0)</f>
        <v>7000</v>
      </c>
      <c r="D81" s="5">
        <f>IFERROR(__xludf.DUMMYFUNCTION("""COMPUTED_VALUE"""),6575.0)</f>
        <v>6575</v>
      </c>
      <c r="E81" s="5">
        <f>IFERROR(__xludf.DUMMYFUNCTION("""COMPUTED_VALUE"""),6700.0)</f>
        <v>6700</v>
      </c>
      <c r="F81" s="5">
        <f>IFERROR(__xludf.DUMMYFUNCTION("""COMPUTED_VALUE"""),1.13249E7)</f>
        <v>11324900</v>
      </c>
      <c r="G81" s="5">
        <f t="shared" si="1"/>
        <v>425</v>
      </c>
    </row>
    <row r="82">
      <c r="A82" s="4">
        <f>IFERROR(__xludf.DUMMYFUNCTION("""COMPUTED_VALUE"""),43948.66666666667)</f>
        <v>43948.66667</v>
      </c>
      <c r="B82" s="5">
        <f>IFERROR(__xludf.DUMMYFUNCTION("""COMPUTED_VALUE"""),6750.0)</f>
        <v>6750</v>
      </c>
      <c r="C82" s="5">
        <f>IFERROR(__xludf.DUMMYFUNCTION("""COMPUTED_VALUE"""),7150.0)</f>
        <v>7150</v>
      </c>
      <c r="D82" s="5">
        <f>IFERROR(__xludf.DUMMYFUNCTION("""COMPUTED_VALUE"""),6600.0)</f>
        <v>6600</v>
      </c>
      <c r="E82" s="5">
        <f>IFERROR(__xludf.DUMMYFUNCTION("""COMPUTED_VALUE"""),7150.0)</f>
        <v>7150</v>
      </c>
      <c r="F82" s="5">
        <f>IFERROR(__xludf.DUMMYFUNCTION("""COMPUTED_VALUE"""),8112700.0)</f>
        <v>8112700</v>
      </c>
      <c r="G82" s="5">
        <f t="shared" si="1"/>
        <v>550</v>
      </c>
    </row>
    <row r="83">
      <c r="A83" s="4">
        <f>IFERROR(__xludf.DUMMYFUNCTION("""COMPUTED_VALUE"""),43949.66666666667)</f>
        <v>43949.66667</v>
      </c>
      <c r="B83" s="5">
        <f>IFERROR(__xludf.DUMMYFUNCTION("""COMPUTED_VALUE"""),7200.0)</f>
        <v>7200</v>
      </c>
      <c r="C83" s="5">
        <f>IFERROR(__xludf.DUMMYFUNCTION("""COMPUTED_VALUE"""),7250.0)</f>
        <v>7250</v>
      </c>
      <c r="D83" s="5">
        <f>IFERROR(__xludf.DUMMYFUNCTION("""COMPUTED_VALUE"""),6950.0)</f>
        <v>6950</v>
      </c>
      <c r="E83" s="5">
        <f>IFERROR(__xludf.DUMMYFUNCTION("""COMPUTED_VALUE"""),6950.0)</f>
        <v>6950</v>
      </c>
      <c r="F83" s="5">
        <f>IFERROR(__xludf.DUMMYFUNCTION("""COMPUTED_VALUE"""),6028300.0)</f>
        <v>6028300</v>
      </c>
      <c r="G83" s="5">
        <f t="shared" si="1"/>
        <v>300</v>
      </c>
    </row>
    <row r="84">
      <c r="A84" s="4">
        <f>IFERROR(__xludf.DUMMYFUNCTION("""COMPUTED_VALUE"""),43950.66666666667)</f>
        <v>43950.66667</v>
      </c>
      <c r="B84" s="5">
        <f>IFERROR(__xludf.DUMMYFUNCTION("""COMPUTED_VALUE"""),6975.0)</f>
        <v>6975</v>
      </c>
      <c r="C84" s="5">
        <f>IFERROR(__xludf.DUMMYFUNCTION("""COMPUTED_VALUE"""),7375.0)</f>
        <v>7375</v>
      </c>
      <c r="D84" s="5">
        <f>IFERROR(__xludf.DUMMYFUNCTION("""COMPUTED_VALUE"""),6950.0)</f>
        <v>6950</v>
      </c>
      <c r="E84" s="5">
        <f>IFERROR(__xludf.DUMMYFUNCTION("""COMPUTED_VALUE"""),7350.0)</f>
        <v>7350</v>
      </c>
      <c r="F84" s="5">
        <f>IFERROR(__xludf.DUMMYFUNCTION("""COMPUTED_VALUE"""),5591400.0)</f>
        <v>5591400</v>
      </c>
      <c r="G84" s="5">
        <f t="shared" si="1"/>
        <v>425</v>
      </c>
    </row>
    <row r="85">
      <c r="A85" s="4">
        <f>IFERROR(__xludf.DUMMYFUNCTION("""COMPUTED_VALUE"""),43951.66666666667)</f>
        <v>43951.66667</v>
      </c>
      <c r="B85" s="5">
        <f>IFERROR(__xludf.DUMMYFUNCTION("""COMPUTED_VALUE"""),7500.0)</f>
        <v>7500</v>
      </c>
      <c r="C85" s="5">
        <f>IFERROR(__xludf.DUMMYFUNCTION("""COMPUTED_VALUE"""),7950.0)</f>
        <v>7950</v>
      </c>
      <c r="D85" s="5">
        <f>IFERROR(__xludf.DUMMYFUNCTION("""COMPUTED_VALUE"""),7350.0)</f>
        <v>7350</v>
      </c>
      <c r="E85" s="5">
        <f>IFERROR(__xludf.DUMMYFUNCTION("""COMPUTED_VALUE"""),7950.0)</f>
        <v>7950</v>
      </c>
      <c r="F85" s="5">
        <f>IFERROR(__xludf.DUMMYFUNCTION("""COMPUTED_VALUE"""),1.58572E7)</f>
        <v>15857200</v>
      </c>
      <c r="G85" s="5">
        <f t="shared" si="1"/>
        <v>600</v>
      </c>
    </row>
    <row r="86">
      <c r="A86" s="4">
        <f>IFERROR(__xludf.DUMMYFUNCTION("""COMPUTED_VALUE"""),43955.66666666667)</f>
        <v>43955.66667</v>
      </c>
      <c r="B86" s="5">
        <f>IFERROR(__xludf.DUMMYFUNCTION("""COMPUTED_VALUE"""),7775.0)</f>
        <v>7775</v>
      </c>
      <c r="C86" s="5">
        <f>IFERROR(__xludf.DUMMYFUNCTION("""COMPUTED_VALUE"""),7800.0)</f>
        <v>7800</v>
      </c>
      <c r="D86" s="5">
        <f>IFERROR(__xludf.DUMMYFUNCTION("""COMPUTED_VALUE"""),7400.0)</f>
        <v>7400</v>
      </c>
      <c r="E86" s="5">
        <f>IFERROR(__xludf.DUMMYFUNCTION("""COMPUTED_VALUE"""),7525.0)</f>
        <v>7525</v>
      </c>
      <c r="F86" s="5">
        <f>IFERROR(__xludf.DUMMYFUNCTION("""COMPUTED_VALUE"""),7680100.0)</f>
        <v>7680100</v>
      </c>
      <c r="G86" s="5">
        <f t="shared" si="1"/>
        <v>550</v>
      </c>
    </row>
    <row r="87">
      <c r="A87" s="4">
        <f>IFERROR(__xludf.DUMMYFUNCTION("""COMPUTED_VALUE"""),43956.66666666667)</f>
        <v>43956.66667</v>
      </c>
      <c r="B87" s="5">
        <f>IFERROR(__xludf.DUMMYFUNCTION("""COMPUTED_VALUE"""),7600.0)</f>
        <v>7600</v>
      </c>
      <c r="C87" s="5">
        <f>IFERROR(__xludf.DUMMYFUNCTION("""COMPUTED_VALUE"""),7650.0)</f>
        <v>7650</v>
      </c>
      <c r="D87" s="5">
        <f>IFERROR(__xludf.DUMMYFUNCTION("""COMPUTED_VALUE"""),7475.0)</f>
        <v>7475</v>
      </c>
      <c r="E87" s="5">
        <f>IFERROR(__xludf.DUMMYFUNCTION("""COMPUTED_VALUE"""),7500.0)</f>
        <v>7500</v>
      </c>
      <c r="F87" s="5">
        <f>IFERROR(__xludf.DUMMYFUNCTION("""COMPUTED_VALUE"""),7460000.0)</f>
        <v>7460000</v>
      </c>
      <c r="G87" s="5">
        <f t="shared" si="1"/>
        <v>175</v>
      </c>
    </row>
    <row r="88">
      <c r="A88" s="4">
        <f>IFERROR(__xludf.DUMMYFUNCTION("""COMPUTED_VALUE"""),43957.66666666667)</f>
        <v>43957.66667</v>
      </c>
      <c r="B88" s="5">
        <f>IFERROR(__xludf.DUMMYFUNCTION("""COMPUTED_VALUE"""),7500.0)</f>
        <v>7500</v>
      </c>
      <c r="C88" s="5">
        <f>IFERROR(__xludf.DUMMYFUNCTION("""COMPUTED_VALUE"""),7550.0)</f>
        <v>7550</v>
      </c>
      <c r="D88" s="5">
        <f>IFERROR(__xludf.DUMMYFUNCTION("""COMPUTED_VALUE"""),7400.0)</f>
        <v>7400</v>
      </c>
      <c r="E88" s="5">
        <f>IFERROR(__xludf.DUMMYFUNCTION("""COMPUTED_VALUE"""),7450.0)</f>
        <v>7450</v>
      </c>
      <c r="F88" s="5">
        <f>IFERROR(__xludf.DUMMYFUNCTION("""COMPUTED_VALUE"""),5932000.0)</f>
        <v>5932000</v>
      </c>
      <c r="G88" s="5">
        <f t="shared" si="1"/>
        <v>150</v>
      </c>
    </row>
    <row r="89">
      <c r="A89" s="4">
        <f>IFERROR(__xludf.DUMMYFUNCTION("""COMPUTED_VALUE"""),43959.66666666667)</f>
        <v>43959.66667</v>
      </c>
      <c r="B89" s="5">
        <f>IFERROR(__xludf.DUMMYFUNCTION("""COMPUTED_VALUE"""),7475.0)</f>
        <v>7475</v>
      </c>
      <c r="C89" s="5">
        <f>IFERROR(__xludf.DUMMYFUNCTION("""COMPUTED_VALUE"""),7625.0)</f>
        <v>7625</v>
      </c>
      <c r="D89" s="5">
        <f>IFERROR(__xludf.DUMMYFUNCTION("""COMPUTED_VALUE"""),7250.0)</f>
        <v>7250</v>
      </c>
      <c r="E89" s="5">
        <f>IFERROR(__xludf.DUMMYFUNCTION("""COMPUTED_VALUE"""),7450.0)</f>
        <v>7450</v>
      </c>
      <c r="F89" s="5">
        <f>IFERROR(__xludf.DUMMYFUNCTION("""COMPUTED_VALUE"""),5640000.0)</f>
        <v>5640000</v>
      </c>
      <c r="G89" s="5">
        <f t="shared" si="1"/>
        <v>375</v>
      </c>
    </row>
    <row r="90">
      <c r="A90" s="4">
        <f>IFERROR(__xludf.DUMMYFUNCTION("""COMPUTED_VALUE"""),43962.66666666667)</f>
        <v>43962.66667</v>
      </c>
      <c r="B90" s="5">
        <f>IFERROR(__xludf.DUMMYFUNCTION("""COMPUTED_VALUE"""),7550.0)</f>
        <v>7550</v>
      </c>
      <c r="C90" s="5">
        <f>IFERROR(__xludf.DUMMYFUNCTION("""COMPUTED_VALUE"""),8150.0)</f>
        <v>8150</v>
      </c>
      <c r="D90" s="5">
        <f>IFERROR(__xludf.DUMMYFUNCTION("""COMPUTED_VALUE"""),7550.0)</f>
        <v>7550</v>
      </c>
      <c r="E90" s="5">
        <f>IFERROR(__xludf.DUMMYFUNCTION("""COMPUTED_VALUE"""),8000.0)</f>
        <v>8000</v>
      </c>
      <c r="F90" s="5">
        <f>IFERROR(__xludf.DUMMYFUNCTION("""COMPUTED_VALUE"""),1.46029E7)</f>
        <v>14602900</v>
      </c>
      <c r="G90" s="5">
        <f t="shared" si="1"/>
        <v>700</v>
      </c>
    </row>
    <row r="91">
      <c r="A91" s="4">
        <f>IFERROR(__xludf.DUMMYFUNCTION("""COMPUTED_VALUE"""),43963.66666666667)</f>
        <v>43963.66667</v>
      </c>
      <c r="B91" s="5">
        <f>IFERROR(__xludf.DUMMYFUNCTION("""COMPUTED_VALUE"""),8200.0)</f>
        <v>8200</v>
      </c>
      <c r="C91" s="5">
        <f>IFERROR(__xludf.DUMMYFUNCTION("""COMPUTED_VALUE"""),8225.0)</f>
        <v>8225</v>
      </c>
      <c r="D91" s="5">
        <f>IFERROR(__xludf.DUMMYFUNCTION("""COMPUTED_VALUE"""),7825.0)</f>
        <v>7825</v>
      </c>
      <c r="E91" s="5">
        <f>IFERROR(__xludf.DUMMYFUNCTION("""COMPUTED_VALUE"""),8100.0)</f>
        <v>8100</v>
      </c>
      <c r="F91" s="5">
        <f>IFERROR(__xludf.DUMMYFUNCTION("""COMPUTED_VALUE"""),1.05368E7)</f>
        <v>10536800</v>
      </c>
      <c r="G91" s="5">
        <f t="shared" si="1"/>
        <v>400</v>
      </c>
    </row>
    <row r="92">
      <c r="A92" s="4">
        <f>IFERROR(__xludf.DUMMYFUNCTION("""COMPUTED_VALUE"""),43964.66666666667)</f>
        <v>43964.66667</v>
      </c>
      <c r="B92" s="5">
        <f>IFERROR(__xludf.DUMMYFUNCTION("""COMPUTED_VALUE"""),8000.0)</f>
        <v>8000</v>
      </c>
      <c r="C92" s="5">
        <f>IFERROR(__xludf.DUMMYFUNCTION("""COMPUTED_VALUE"""),8375.0)</f>
        <v>8375</v>
      </c>
      <c r="D92" s="5">
        <f>IFERROR(__xludf.DUMMYFUNCTION("""COMPUTED_VALUE"""),7875.0)</f>
        <v>7875</v>
      </c>
      <c r="E92" s="5">
        <f>IFERROR(__xludf.DUMMYFUNCTION("""COMPUTED_VALUE"""),8225.0)</f>
        <v>8225</v>
      </c>
      <c r="F92" s="5">
        <f>IFERROR(__xludf.DUMMYFUNCTION("""COMPUTED_VALUE"""),6072200.0)</f>
        <v>6072200</v>
      </c>
      <c r="G92" s="5">
        <f t="shared" si="1"/>
        <v>500</v>
      </c>
    </row>
    <row r="93">
      <c r="A93" s="4">
        <f>IFERROR(__xludf.DUMMYFUNCTION("""COMPUTED_VALUE"""),43965.66666666667)</f>
        <v>43965.66667</v>
      </c>
      <c r="B93" s="5">
        <f>IFERROR(__xludf.DUMMYFUNCTION("""COMPUTED_VALUE"""),8225.0)</f>
        <v>8225</v>
      </c>
      <c r="C93" s="5">
        <f>IFERROR(__xludf.DUMMYFUNCTION("""COMPUTED_VALUE"""),8575.0)</f>
        <v>8575</v>
      </c>
      <c r="D93" s="5">
        <f>IFERROR(__xludf.DUMMYFUNCTION("""COMPUTED_VALUE"""),8100.0)</f>
        <v>8100</v>
      </c>
      <c r="E93" s="5">
        <f>IFERROR(__xludf.DUMMYFUNCTION("""COMPUTED_VALUE"""),8575.0)</f>
        <v>8575</v>
      </c>
      <c r="F93" s="5">
        <f>IFERROR(__xludf.DUMMYFUNCTION("""COMPUTED_VALUE"""),8010700.0)</f>
        <v>8010700</v>
      </c>
      <c r="G93" s="5">
        <f t="shared" si="1"/>
        <v>475</v>
      </c>
    </row>
    <row r="94">
      <c r="A94" s="4">
        <f>IFERROR(__xludf.DUMMYFUNCTION("""COMPUTED_VALUE"""),43966.66666666667)</f>
        <v>43966.66667</v>
      </c>
      <c r="B94" s="5">
        <f>IFERROR(__xludf.DUMMYFUNCTION("""COMPUTED_VALUE"""),8575.0)</f>
        <v>8575</v>
      </c>
      <c r="C94" s="5">
        <f>IFERROR(__xludf.DUMMYFUNCTION("""COMPUTED_VALUE"""),8725.0)</f>
        <v>8725</v>
      </c>
      <c r="D94" s="5">
        <f>IFERROR(__xludf.DUMMYFUNCTION("""COMPUTED_VALUE"""),8275.0)</f>
        <v>8275</v>
      </c>
      <c r="E94" s="5">
        <f>IFERROR(__xludf.DUMMYFUNCTION("""COMPUTED_VALUE"""),8525.0)</f>
        <v>8525</v>
      </c>
      <c r="F94" s="5">
        <f>IFERROR(__xludf.DUMMYFUNCTION("""COMPUTED_VALUE"""),6597100.0)</f>
        <v>6597100</v>
      </c>
      <c r="G94" s="5">
        <f t="shared" si="1"/>
        <v>450</v>
      </c>
    </row>
    <row r="95">
      <c r="A95" s="4">
        <f>IFERROR(__xludf.DUMMYFUNCTION("""COMPUTED_VALUE"""),43969.66666666667)</f>
        <v>43969.66667</v>
      </c>
      <c r="B95" s="5">
        <f>IFERROR(__xludf.DUMMYFUNCTION("""COMPUTED_VALUE"""),8525.0)</f>
        <v>8525</v>
      </c>
      <c r="C95" s="5">
        <f>IFERROR(__xludf.DUMMYFUNCTION("""COMPUTED_VALUE"""),9375.0)</f>
        <v>9375</v>
      </c>
      <c r="D95" s="5">
        <f>IFERROR(__xludf.DUMMYFUNCTION("""COMPUTED_VALUE"""),8500.0)</f>
        <v>8500</v>
      </c>
      <c r="E95" s="5">
        <f>IFERROR(__xludf.DUMMYFUNCTION("""COMPUTED_VALUE"""),8600.0)</f>
        <v>8600</v>
      </c>
      <c r="F95" s="5">
        <f>IFERROR(__xludf.DUMMYFUNCTION("""COMPUTED_VALUE"""),8058900.0)</f>
        <v>8058900</v>
      </c>
      <c r="G95" s="5">
        <f t="shared" si="1"/>
        <v>875</v>
      </c>
    </row>
    <row r="96">
      <c r="A96" s="4">
        <f>IFERROR(__xludf.DUMMYFUNCTION("""COMPUTED_VALUE"""),43970.66666666667)</f>
        <v>43970.66667</v>
      </c>
      <c r="B96" s="5">
        <f>IFERROR(__xludf.DUMMYFUNCTION("""COMPUTED_VALUE"""),8800.0)</f>
        <v>8800</v>
      </c>
      <c r="C96" s="5">
        <f>IFERROR(__xludf.DUMMYFUNCTION("""COMPUTED_VALUE"""),8975.0)</f>
        <v>8975</v>
      </c>
      <c r="D96" s="5">
        <f>IFERROR(__xludf.DUMMYFUNCTION("""COMPUTED_VALUE"""),8375.0)</f>
        <v>8375</v>
      </c>
      <c r="E96" s="5">
        <f>IFERROR(__xludf.DUMMYFUNCTION("""COMPUTED_VALUE"""),8500.0)</f>
        <v>8500</v>
      </c>
      <c r="F96" s="5">
        <f>IFERROR(__xludf.DUMMYFUNCTION("""COMPUTED_VALUE"""),5123500.0)</f>
        <v>5123500</v>
      </c>
      <c r="G96" s="5">
        <f t="shared" si="1"/>
        <v>600</v>
      </c>
    </row>
    <row r="97">
      <c r="A97" s="4">
        <f>IFERROR(__xludf.DUMMYFUNCTION("""COMPUTED_VALUE"""),43971.66666666667)</f>
        <v>43971.66667</v>
      </c>
      <c r="B97" s="5">
        <f>IFERROR(__xludf.DUMMYFUNCTION("""COMPUTED_VALUE"""),8600.0)</f>
        <v>8600</v>
      </c>
      <c r="C97" s="5">
        <f>IFERROR(__xludf.DUMMYFUNCTION("""COMPUTED_VALUE"""),8675.0)</f>
        <v>8675</v>
      </c>
      <c r="D97" s="5">
        <f>IFERROR(__xludf.DUMMYFUNCTION("""COMPUTED_VALUE"""),8450.0)</f>
        <v>8450</v>
      </c>
      <c r="E97" s="5">
        <f>IFERROR(__xludf.DUMMYFUNCTION("""COMPUTED_VALUE"""),8525.0)</f>
        <v>8525</v>
      </c>
      <c r="F97" s="5">
        <f>IFERROR(__xludf.DUMMYFUNCTION("""COMPUTED_VALUE"""),3420300.0)</f>
        <v>3420300</v>
      </c>
      <c r="G97" s="5">
        <f t="shared" si="1"/>
        <v>225</v>
      </c>
    </row>
    <row r="98">
      <c r="A98" s="4">
        <f>IFERROR(__xludf.DUMMYFUNCTION("""COMPUTED_VALUE"""),43977.66666666667)</f>
        <v>43977.66667</v>
      </c>
      <c r="B98" s="5">
        <f>IFERROR(__xludf.DUMMYFUNCTION("""COMPUTED_VALUE"""),8450.0)</f>
        <v>8450</v>
      </c>
      <c r="C98" s="5">
        <f>IFERROR(__xludf.DUMMYFUNCTION("""COMPUTED_VALUE"""),8875.0)</f>
        <v>8875</v>
      </c>
      <c r="D98" s="5">
        <f>IFERROR(__xludf.DUMMYFUNCTION("""COMPUTED_VALUE"""),8300.0)</f>
        <v>8300</v>
      </c>
      <c r="E98" s="5">
        <f>IFERROR(__xludf.DUMMYFUNCTION("""COMPUTED_VALUE"""),8575.0)</f>
        <v>8575</v>
      </c>
      <c r="F98" s="5">
        <f>IFERROR(__xludf.DUMMYFUNCTION("""COMPUTED_VALUE"""),3069900.0)</f>
        <v>3069900</v>
      </c>
      <c r="G98" s="5">
        <f t="shared" si="1"/>
        <v>575</v>
      </c>
    </row>
    <row r="99">
      <c r="A99" s="4">
        <f>IFERROR(__xludf.DUMMYFUNCTION("""COMPUTED_VALUE"""),43978.66666666667)</f>
        <v>43978.66667</v>
      </c>
      <c r="B99" s="5">
        <f>IFERROR(__xludf.DUMMYFUNCTION("""COMPUTED_VALUE"""),8600.0)</f>
        <v>8600</v>
      </c>
      <c r="C99" s="5">
        <f>IFERROR(__xludf.DUMMYFUNCTION("""COMPUTED_VALUE"""),9300.0)</f>
        <v>9300</v>
      </c>
      <c r="D99" s="5">
        <f>IFERROR(__xludf.DUMMYFUNCTION("""COMPUTED_VALUE"""),8575.0)</f>
        <v>8575</v>
      </c>
      <c r="E99" s="5">
        <f>IFERROR(__xludf.DUMMYFUNCTION("""COMPUTED_VALUE"""),9250.0)</f>
        <v>9250</v>
      </c>
      <c r="F99" s="5">
        <f>IFERROR(__xludf.DUMMYFUNCTION("""COMPUTED_VALUE"""),5807400.0)</f>
        <v>5807400</v>
      </c>
      <c r="G99" s="5">
        <f t="shared" si="1"/>
        <v>725</v>
      </c>
    </row>
    <row r="100">
      <c r="A100" s="4">
        <f>IFERROR(__xludf.DUMMYFUNCTION("""COMPUTED_VALUE"""),43979.66666666667)</f>
        <v>43979.66667</v>
      </c>
      <c r="B100" s="5">
        <f>IFERROR(__xludf.DUMMYFUNCTION("""COMPUTED_VALUE"""),9325.0)</f>
        <v>9325</v>
      </c>
      <c r="C100" s="5">
        <f>IFERROR(__xludf.DUMMYFUNCTION("""COMPUTED_VALUE"""),9725.0)</f>
        <v>9725</v>
      </c>
      <c r="D100" s="5">
        <f>IFERROR(__xludf.DUMMYFUNCTION("""COMPUTED_VALUE"""),9250.0)</f>
        <v>9250</v>
      </c>
      <c r="E100" s="5">
        <f>IFERROR(__xludf.DUMMYFUNCTION("""COMPUTED_VALUE"""),9600.0)</f>
        <v>9600</v>
      </c>
      <c r="F100" s="5">
        <f>IFERROR(__xludf.DUMMYFUNCTION("""COMPUTED_VALUE"""),9911800.0)</f>
        <v>9911800</v>
      </c>
      <c r="G100" s="5">
        <f t="shared" si="1"/>
        <v>475</v>
      </c>
    </row>
    <row r="101">
      <c r="A101" s="4">
        <f>IFERROR(__xludf.DUMMYFUNCTION("""COMPUTED_VALUE"""),43980.66666666667)</f>
        <v>43980.66667</v>
      </c>
      <c r="B101" s="5">
        <f>IFERROR(__xludf.DUMMYFUNCTION("""COMPUTED_VALUE"""),9600.0)</f>
        <v>9600</v>
      </c>
      <c r="C101" s="5">
        <f>IFERROR(__xludf.DUMMYFUNCTION("""COMPUTED_VALUE"""),9825.0)</f>
        <v>9825</v>
      </c>
      <c r="D101" s="5">
        <f>IFERROR(__xludf.DUMMYFUNCTION("""COMPUTED_VALUE"""),9400.0)</f>
        <v>9400</v>
      </c>
      <c r="E101" s="5">
        <f>IFERROR(__xludf.DUMMYFUNCTION("""COMPUTED_VALUE"""),9800.0)</f>
        <v>9800</v>
      </c>
      <c r="F101" s="5">
        <f>IFERROR(__xludf.DUMMYFUNCTION("""COMPUTED_VALUE"""),1.23204E7)</f>
        <v>12320400</v>
      </c>
      <c r="G101" s="5">
        <f t="shared" si="1"/>
        <v>425</v>
      </c>
    </row>
    <row r="102">
      <c r="A102" s="4">
        <f>IFERROR(__xludf.DUMMYFUNCTION("""COMPUTED_VALUE"""),43984.66666666667)</f>
        <v>43984.66667</v>
      </c>
      <c r="B102" s="5">
        <f>IFERROR(__xludf.DUMMYFUNCTION("""COMPUTED_VALUE"""),9900.0)</f>
        <v>9900</v>
      </c>
      <c r="C102" s="5">
        <f>IFERROR(__xludf.DUMMYFUNCTION("""COMPUTED_VALUE"""),9900.0)</f>
        <v>9900</v>
      </c>
      <c r="D102" s="5">
        <f>IFERROR(__xludf.DUMMYFUNCTION("""COMPUTED_VALUE"""),9700.0)</f>
        <v>9700</v>
      </c>
      <c r="E102" s="5">
        <f>IFERROR(__xludf.DUMMYFUNCTION("""COMPUTED_VALUE"""),9725.0)</f>
        <v>9725</v>
      </c>
      <c r="F102" s="5">
        <f>IFERROR(__xludf.DUMMYFUNCTION("""COMPUTED_VALUE"""),7020800.0)</f>
        <v>7020800</v>
      </c>
      <c r="G102" s="5">
        <f t="shared" si="1"/>
        <v>200</v>
      </c>
    </row>
    <row r="103">
      <c r="A103" s="4">
        <f>IFERROR(__xludf.DUMMYFUNCTION("""COMPUTED_VALUE"""),43985.66666666667)</f>
        <v>43985.66667</v>
      </c>
      <c r="B103" s="5">
        <f>IFERROR(__xludf.DUMMYFUNCTION("""COMPUTED_VALUE"""),9775.0)</f>
        <v>9775</v>
      </c>
      <c r="C103" s="5">
        <f>IFERROR(__xludf.DUMMYFUNCTION("""COMPUTED_VALUE"""),9925.0)</f>
        <v>9925</v>
      </c>
      <c r="D103" s="5">
        <f>IFERROR(__xludf.DUMMYFUNCTION("""COMPUTED_VALUE"""),9600.0)</f>
        <v>9600</v>
      </c>
      <c r="E103" s="5">
        <f>IFERROR(__xludf.DUMMYFUNCTION("""COMPUTED_VALUE"""),9700.0)</f>
        <v>9700</v>
      </c>
      <c r="F103" s="5">
        <f>IFERROR(__xludf.DUMMYFUNCTION("""COMPUTED_VALUE"""),5900900.0)</f>
        <v>5900900</v>
      </c>
      <c r="G103" s="5">
        <f t="shared" si="1"/>
        <v>325</v>
      </c>
    </row>
    <row r="104">
      <c r="A104" s="4">
        <f>IFERROR(__xludf.DUMMYFUNCTION("""COMPUTED_VALUE"""),43986.66666666667)</f>
        <v>43986.66667</v>
      </c>
      <c r="B104" s="5">
        <f>IFERROR(__xludf.DUMMYFUNCTION("""COMPUTED_VALUE"""),9800.0)</f>
        <v>9800</v>
      </c>
      <c r="C104" s="5">
        <f>IFERROR(__xludf.DUMMYFUNCTION("""COMPUTED_VALUE"""),9875.0)</f>
        <v>9875</v>
      </c>
      <c r="D104" s="5">
        <f>IFERROR(__xludf.DUMMYFUNCTION("""COMPUTED_VALUE"""),9400.0)</f>
        <v>9400</v>
      </c>
      <c r="E104" s="5">
        <f>IFERROR(__xludf.DUMMYFUNCTION("""COMPUTED_VALUE"""),9600.0)</f>
        <v>9600</v>
      </c>
      <c r="F104" s="5">
        <f>IFERROR(__xludf.DUMMYFUNCTION("""COMPUTED_VALUE"""),6201900.0)</f>
        <v>6201900</v>
      </c>
      <c r="G104" s="5">
        <f t="shared" si="1"/>
        <v>475</v>
      </c>
    </row>
    <row r="105">
      <c r="A105" s="4">
        <f>IFERROR(__xludf.DUMMYFUNCTION("""COMPUTED_VALUE"""),43987.66666666667)</f>
        <v>43987.66667</v>
      </c>
      <c r="B105" s="5">
        <f>IFERROR(__xludf.DUMMYFUNCTION("""COMPUTED_VALUE"""),9700.0)</f>
        <v>9700</v>
      </c>
      <c r="C105" s="5">
        <f>IFERROR(__xludf.DUMMYFUNCTION("""COMPUTED_VALUE"""),9700.0)</f>
        <v>9700</v>
      </c>
      <c r="D105" s="5">
        <f>IFERROR(__xludf.DUMMYFUNCTION("""COMPUTED_VALUE"""),9275.0)</f>
        <v>9275</v>
      </c>
      <c r="E105" s="5">
        <f>IFERROR(__xludf.DUMMYFUNCTION("""COMPUTED_VALUE"""),9425.0)</f>
        <v>9425</v>
      </c>
      <c r="F105" s="5">
        <f>IFERROR(__xludf.DUMMYFUNCTION("""COMPUTED_VALUE"""),5500900.0)</f>
        <v>5500900</v>
      </c>
      <c r="G105" s="5">
        <f t="shared" si="1"/>
        <v>425</v>
      </c>
    </row>
    <row r="106">
      <c r="A106" s="4">
        <f>IFERROR(__xludf.DUMMYFUNCTION("""COMPUTED_VALUE"""),43990.66666666667)</f>
        <v>43990.66667</v>
      </c>
      <c r="B106" s="5">
        <f>IFERROR(__xludf.DUMMYFUNCTION("""COMPUTED_VALUE"""),9550.0)</f>
        <v>9550</v>
      </c>
      <c r="C106" s="5">
        <f>IFERROR(__xludf.DUMMYFUNCTION("""COMPUTED_VALUE"""),10200.0)</f>
        <v>10200</v>
      </c>
      <c r="D106" s="5">
        <f>IFERROR(__xludf.DUMMYFUNCTION("""COMPUTED_VALUE"""),9500.0)</f>
        <v>9500</v>
      </c>
      <c r="E106" s="5">
        <f>IFERROR(__xludf.DUMMYFUNCTION("""COMPUTED_VALUE"""),10150.0)</f>
        <v>10150</v>
      </c>
      <c r="F106" s="5">
        <f>IFERROR(__xludf.DUMMYFUNCTION("""COMPUTED_VALUE"""),8659800.0)</f>
        <v>8659800</v>
      </c>
      <c r="G106" s="5">
        <f t="shared" si="1"/>
        <v>775</v>
      </c>
    </row>
    <row r="107">
      <c r="A107" s="4">
        <f>IFERROR(__xludf.DUMMYFUNCTION("""COMPUTED_VALUE"""),43991.66666666667)</f>
        <v>43991.66667</v>
      </c>
      <c r="B107" s="5">
        <f>IFERROR(__xludf.DUMMYFUNCTION("""COMPUTED_VALUE"""),10150.0)</f>
        <v>10150</v>
      </c>
      <c r="C107" s="5">
        <f>IFERROR(__xludf.DUMMYFUNCTION("""COMPUTED_VALUE"""),10400.0)</f>
        <v>10400</v>
      </c>
      <c r="D107" s="5">
        <f>IFERROR(__xludf.DUMMYFUNCTION("""COMPUTED_VALUE"""),9450.0)</f>
        <v>9450</v>
      </c>
      <c r="E107" s="5">
        <f>IFERROR(__xludf.DUMMYFUNCTION("""COMPUTED_VALUE"""),9450.0)</f>
        <v>9450</v>
      </c>
      <c r="F107" s="5">
        <f>IFERROR(__xludf.DUMMYFUNCTION("""COMPUTED_VALUE"""),7380000.0)</f>
        <v>7380000</v>
      </c>
      <c r="G107" s="5">
        <f t="shared" si="1"/>
        <v>950</v>
      </c>
    </row>
    <row r="108">
      <c r="A108" s="4">
        <f>IFERROR(__xludf.DUMMYFUNCTION("""COMPUTED_VALUE"""),43992.66666666667)</f>
        <v>43992.66667</v>
      </c>
      <c r="B108" s="5">
        <f>IFERROR(__xludf.DUMMYFUNCTION("""COMPUTED_VALUE"""),9250.0)</f>
        <v>9250</v>
      </c>
      <c r="C108" s="5">
        <f>IFERROR(__xludf.DUMMYFUNCTION("""COMPUTED_VALUE"""),9300.0)</f>
        <v>9300</v>
      </c>
      <c r="D108" s="5">
        <f>IFERROR(__xludf.DUMMYFUNCTION("""COMPUTED_VALUE"""),8900.0)</f>
        <v>8900</v>
      </c>
      <c r="E108" s="5">
        <f>IFERROR(__xludf.DUMMYFUNCTION("""COMPUTED_VALUE"""),9225.0)</f>
        <v>9225</v>
      </c>
      <c r="F108" s="5">
        <f>IFERROR(__xludf.DUMMYFUNCTION("""COMPUTED_VALUE"""),1.0537E7)</f>
        <v>10537000</v>
      </c>
      <c r="G108" s="5">
        <f t="shared" si="1"/>
        <v>550</v>
      </c>
    </row>
    <row r="109">
      <c r="A109" s="4">
        <f>IFERROR(__xludf.DUMMYFUNCTION("""COMPUTED_VALUE"""),43993.66666666667)</f>
        <v>43993.66667</v>
      </c>
      <c r="B109" s="5">
        <f>IFERROR(__xludf.DUMMYFUNCTION("""COMPUTED_VALUE"""),9200.0)</f>
        <v>9200</v>
      </c>
      <c r="C109" s="5">
        <f>IFERROR(__xludf.DUMMYFUNCTION("""COMPUTED_VALUE"""),9500.0)</f>
        <v>9500</v>
      </c>
      <c r="D109" s="5">
        <f>IFERROR(__xludf.DUMMYFUNCTION("""COMPUTED_VALUE"""),9050.0)</f>
        <v>9050</v>
      </c>
      <c r="E109" s="5">
        <f>IFERROR(__xludf.DUMMYFUNCTION("""COMPUTED_VALUE"""),9450.0)</f>
        <v>9450</v>
      </c>
      <c r="F109" s="5">
        <f>IFERROR(__xludf.DUMMYFUNCTION("""COMPUTED_VALUE"""),5593700.0)</f>
        <v>5593700</v>
      </c>
      <c r="G109" s="5">
        <f t="shared" si="1"/>
        <v>450</v>
      </c>
    </row>
    <row r="110">
      <c r="A110" s="4">
        <f>IFERROR(__xludf.DUMMYFUNCTION("""COMPUTED_VALUE"""),43994.66666666667)</f>
        <v>43994.66667</v>
      </c>
      <c r="B110" s="5">
        <f>IFERROR(__xludf.DUMMYFUNCTION("""COMPUTED_VALUE"""),9250.0)</f>
        <v>9250</v>
      </c>
      <c r="C110" s="5">
        <f>IFERROR(__xludf.DUMMYFUNCTION("""COMPUTED_VALUE"""),9450.0)</f>
        <v>9450</v>
      </c>
      <c r="D110" s="5">
        <f>IFERROR(__xludf.DUMMYFUNCTION("""COMPUTED_VALUE"""),9050.0)</f>
        <v>9050</v>
      </c>
      <c r="E110" s="5">
        <f>IFERROR(__xludf.DUMMYFUNCTION("""COMPUTED_VALUE"""),9400.0)</f>
        <v>9400</v>
      </c>
      <c r="F110" s="5">
        <f>IFERROR(__xludf.DUMMYFUNCTION("""COMPUTED_VALUE"""),3234600.0)</f>
        <v>3234600</v>
      </c>
      <c r="G110" s="5">
        <f t="shared" si="1"/>
        <v>400</v>
      </c>
    </row>
    <row r="111">
      <c r="A111" s="4">
        <f>IFERROR(__xludf.DUMMYFUNCTION("""COMPUTED_VALUE"""),43997.66666666667)</f>
        <v>43997.66667</v>
      </c>
      <c r="B111" s="5">
        <f>IFERROR(__xludf.DUMMYFUNCTION("""COMPUTED_VALUE"""),9425.0)</f>
        <v>9425</v>
      </c>
      <c r="C111" s="5">
        <f>IFERROR(__xludf.DUMMYFUNCTION("""COMPUTED_VALUE"""),9600.0)</f>
        <v>9600</v>
      </c>
      <c r="D111" s="5">
        <f>IFERROR(__xludf.DUMMYFUNCTION("""COMPUTED_VALUE"""),9175.0)</f>
        <v>9175</v>
      </c>
      <c r="E111" s="5">
        <f>IFERROR(__xludf.DUMMYFUNCTION("""COMPUTED_VALUE"""),9425.0)</f>
        <v>9425</v>
      </c>
      <c r="F111" s="5">
        <f>IFERROR(__xludf.DUMMYFUNCTION("""COMPUTED_VALUE"""),6943300.0)</f>
        <v>6943300</v>
      </c>
      <c r="G111" s="5">
        <f t="shared" si="1"/>
        <v>425</v>
      </c>
    </row>
    <row r="112">
      <c r="A112" s="4">
        <f>IFERROR(__xludf.DUMMYFUNCTION("""COMPUTED_VALUE"""),43998.66666666667)</f>
        <v>43998.66667</v>
      </c>
      <c r="B112" s="5">
        <f>IFERROR(__xludf.DUMMYFUNCTION("""COMPUTED_VALUE"""),9550.0)</f>
        <v>9550</v>
      </c>
      <c r="C112" s="5">
        <f>IFERROR(__xludf.DUMMYFUNCTION("""COMPUTED_VALUE"""),9775.0)</f>
        <v>9775</v>
      </c>
      <c r="D112" s="5">
        <f>IFERROR(__xludf.DUMMYFUNCTION("""COMPUTED_VALUE"""),9475.0)</f>
        <v>9475</v>
      </c>
      <c r="E112" s="5">
        <f>IFERROR(__xludf.DUMMYFUNCTION("""COMPUTED_VALUE"""),9725.0)</f>
        <v>9725</v>
      </c>
      <c r="F112" s="5">
        <f>IFERROR(__xludf.DUMMYFUNCTION("""COMPUTED_VALUE"""),2930800.0)</f>
        <v>2930800</v>
      </c>
      <c r="G112" s="5">
        <f t="shared" si="1"/>
        <v>350</v>
      </c>
    </row>
    <row r="113">
      <c r="A113" s="4">
        <f>IFERROR(__xludf.DUMMYFUNCTION("""COMPUTED_VALUE"""),43999.66666666667)</f>
        <v>43999.66667</v>
      </c>
      <c r="B113" s="5">
        <f>IFERROR(__xludf.DUMMYFUNCTION("""COMPUTED_VALUE"""),9775.0)</f>
        <v>9775</v>
      </c>
      <c r="C113" s="5">
        <f>IFERROR(__xludf.DUMMYFUNCTION("""COMPUTED_VALUE"""),9825.0)</f>
        <v>9825</v>
      </c>
      <c r="D113" s="5">
        <f>IFERROR(__xludf.DUMMYFUNCTION("""COMPUTED_VALUE"""),9600.0)</f>
        <v>9600</v>
      </c>
      <c r="E113" s="5">
        <f>IFERROR(__xludf.DUMMYFUNCTION("""COMPUTED_VALUE"""),9625.0)</f>
        <v>9625</v>
      </c>
      <c r="F113" s="5">
        <f>IFERROR(__xludf.DUMMYFUNCTION("""COMPUTED_VALUE"""),2715200.0)</f>
        <v>2715200</v>
      </c>
      <c r="G113" s="5">
        <f t="shared" si="1"/>
        <v>225</v>
      </c>
    </row>
    <row r="114">
      <c r="A114" s="4">
        <f>IFERROR(__xludf.DUMMYFUNCTION("""COMPUTED_VALUE"""),44000.66666666667)</f>
        <v>44000.66667</v>
      </c>
      <c r="B114" s="5">
        <f>IFERROR(__xludf.DUMMYFUNCTION("""COMPUTED_VALUE"""),9625.0)</f>
        <v>9625</v>
      </c>
      <c r="C114" s="5">
        <f>IFERROR(__xludf.DUMMYFUNCTION("""COMPUTED_VALUE"""),9725.0)</f>
        <v>9725</v>
      </c>
      <c r="D114" s="5">
        <f>IFERROR(__xludf.DUMMYFUNCTION("""COMPUTED_VALUE"""),9325.0)</f>
        <v>9325</v>
      </c>
      <c r="E114" s="5">
        <f>IFERROR(__xludf.DUMMYFUNCTION("""COMPUTED_VALUE"""),9325.0)</f>
        <v>9325</v>
      </c>
      <c r="F114" s="5">
        <f>IFERROR(__xludf.DUMMYFUNCTION("""COMPUTED_VALUE"""),3879800.0)</f>
        <v>3879800</v>
      </c>
      <c r="G114" s="5">
        <f t="shared" si="1"/>
        <v>400</v>
      </c>
    </row>
    <row r="115">
      <c r="A115" s="4">
        <f>IFERROR(__xludf.DUMMYFUNCTION("""COMPUTED_VALUE"""),44001.66666666667)</f>
        <v>44001.66667</v>
      </c>
      <c r="B115" s="5">
        <f>IFERROR(__xludf.DUMMYFUNCTION("""COMPUTED_VALUE"""),9475.0)</f>
        <v>9475</v>
      </c>
      <c r="C115" s="5">
        <f>IFERROR(__xludf.DUMMYFUNCTION("""COMPUTED_VALUE"""),9700.0)</f>
        <v>9700</v>
      </c>
      <c r="D115" s="5">
        <f>IFERROR(__xludf.DUMMYFUNCTION("""COMPUTED_VALUE"""),9450.0)</f>
        <v>9450</v>
      </c>
      <c r="E115" s="5">
        <f>IFERROR(__xludf.DUMMYFUNCTION("""COMPUTED_VALUE"""),9500.0)</f>
        <v>9500</v>
      </c>
      <c r="F115" s="5">
        <f>IFERROR(__xludf.DUMMYFUNCTION("""COMPUTED_VALUE"""),7046100.0)</f>
        <v>7046100</v>
      </c>
      <c r="G115" s="5">
        <f t="shared" si="1"/>
        <v>375</v>
      </c>
    </row>
    <row r="116">
      <c r="A116" s="4">
        <f>IFERROR(__xludf.DUMMYFUNCTION("""COMPUTED_VALUE"""),44004.66666666667)</f>
        <v>44004.66667</v>
      </c>
      <c r="B116" s="5">
        <f>IFERROR(__xludf.DUMMYFUNCTION("""COMPUTED_VALUE"""),9650.0)</f>
        <v>9650</v>
      </c>
      <c r="C116" s="5">
        <f>IFERROR(__xludf.DUMMYFUNCTION("""COMPUTED_VALUE"""),9650.0)</f>
        <v>9650</v>
      </c>
      <c r="D116" s="5">
        <f>IFERROR(__xludf.DUMMYFUNCTION("""COMPUTED_VALUE"""),9500.0)</f>
        <v>9500</v>
      </c>
      <c r="E116" s="5">
        <f>IFERROR(__xludf.DUMMYFUNCTION("""COMPUTED_VALUE"""),9575.0)</f>
        <v>9575</v>
      </c>
      <c r="F116" s="5">
        <f>IFERROR(__xludf.DUMMYFUNCTION("""COMPUTED_VALUE"""),2607900.0)</f>
        <v>2607900</v>
      </c>
      <c r="G116" s="5">
        <f t="shared" si="1"/>
        <v>150</v>
      </c>
    </row>
    <row r="117">
      <c r="A117" s="4">
        <f>IFERROR(__xludf.DUMMYFUNCTION("""COMPUTED_VALUE"""),44005.66666666667)</f>
        <v>44005.66667</v>
      </c>
      <c r="B117" s="5">
        <f>IFERROR(__xludf.DUMMYFUNCTION("""COMPUTED_VALUE"""),9525.0)</f>
        <v>9525</v>
      </c>
      <c r="C117" s="5">
        <f>IFERROR(__xludf.DUMMYFUNCTION("""COMPUTED_VALUE"""),9700.0)</f>
        <v>9700</v>
      </c>
      <c r="D117" s="5">
        <f>IFERROR(__xludf.DUMMYFUNCTION("""COMPUTED_VALUE"""),9400.0)</f>
        <v>9400</v>
      </c>
      <c r="E117" s="5">
        <f>IFERROR(__xludf.DUMMYFUNCTION("""COMPUTED_VALUE"""),9550.0)</f>
        <v>9550</v>
      </c>
      <c r="F117" s="5">
        <f>IFERROR(__xludf.DUMMYFUNCTION("""COMPUTED_VALUE"""),3373100.0)</f>
        <v>3373100</v>
      </c>
      <c r="G117" s="5">
        <f t="shared" si="1"/>
        <v>300</v>
      </c>
    </row>
    <row r="118">
      <c r="A118" s="4">
        <f>IFERROR(__xludf.DUMMYFUNCTION("""COMPUTED_VALUE"""),44006.66666666667)</f>
        <v>44006.66667</v>
      </c>
      <c r="B118" s="5">
        <f>IFERROR(__xludf.DUMMYFUNCTION("""COMPUTED_VALUE"""),9600.0)</f>
        <v>9600</v>
      </c>
      <c r="C118" s="5">
        <f>IFERROR(__xludf.DUMMYFUNCTION("""COMPUTED_VALUE"""),9675.0)</f>
        <v>9675</v>
      </c>
      <c r="D118" s="5">
        <f>IFERROR(__xludf.DUMMYFUNCTION("""COMPUTED_VALUE"""),9400.0)</f>
        <v>9400</v>
      </c>
      <c r="E118" s="5">
        <f>IFERROR(__xludf.DUMMYFUNCTION("""COMPUTED_VALUE"""),9475.0)</f>
        <v>9475</v>
      </c>
      <c r="F118" s="5">
        <f>IFERROR(__xludf.DUMMYFUNCTION("""COMPUTED_VALUE"""),5170600.0)</f>
        <v>5170600</v>
      </c>
      <c r="G118" s="5">
        <f t="shared" si="1"/>
        <v>275</v>
      </c>
    </row>
    <row r="119">
      <c r="A119" s="4">
        <f>IFERROR(__xludf.DUMMYFUNCTION("""COMPUTED_VALUE"""),44007.66666666667)</f>
        <v>44007.66667</v>
      </c>
      <c r="B119" s="5">
        <f>IFERROR(__xludf.DUMMYFUNCTION("""COMPUTED_VALUE"""),9475.0)</f>
        <v>9475</v>
      </c>
      <c r="C119" s="5">
        <f>IFERROR(__xludf.DUMMYFUNCTION("""COMPUTED_VALUE"""),9575.0)</f>
        <v>9575</v>
      </c>
      <c r="D119" s="5">
        <f>IFERROR(__xludf.DUMMYFUNCTION("""COMPUTED_VALUE"""),9375.0)</f>
        <v>9375</v>
      </c>
      <c r="E119" s="5">
        <f>IFERROR(__xludf.DUMMYFUNCTION("""COMPUTED_VALUE"""),9450.0)</f>
        <v>9450</v>
      </c>
      <c r="F119" s="5">
        <f>IFERROR(__xludf.DUMMYFUNCTION("""COMPUTED_VALUE"""),2661900.0)</f>
        <v>2661900</v>
      </c>
      <c r="G119" s="5">
        <f t="shared" si="1"/>
        <v>200</v>
      </c>
    </row>
    <row r="120">
      <c r="A120" s="4">
        <f>IFERROR(__xludf.DUMMYFUNCTION("""COMPUTED_VALUE"""),44008.66666666667)</f>
        <v>44008.66667</v>
      </c>
      <c r="B120" s="5">
        <f>IFERROR(__xludf.DUMMYFUNCTION("""COMPUTED_VALUE"""),9525.0)</f>
        <v>9525</v>
      </c>
      <c r="C120" s="5">
        <f>IFERROR(__xludf.DUMMYFUNCTION("""COMPUTED_VALUE"""),9575.0)</f>
        <v>9575</v>
      </c>
      <c r="D120" s="5">
        <f>IFERROR(__xludf.DUMMYFUNCTION("""COMPUTED_VALUE"""),9450.0)</f>
        <v>9450</v>
      </c>
      <c r="E120" s="5">
        <f>IFERROR(__xludf.DUMMYFUNCTION("""COMPUTED_VALUE"""),9500.0)</f>
        <v>9500</v>
      </c>
      <c r="F120" s="5">
        <f>IFERROR(__xludf.DUMMYFUNCTION("""COMPUTED_VALUE"""),2737400.0)</f>
        <v>2737400</v>
      </c>
      <c r="G120" s="5">
        <f t="shared" si="1"/>
        <v>125</v>
      </c>
    </row>
    <row r="121">
      <c r="A121" s="4">
        <f>IFERROR(__xludf.DUMMYFUNCTION("""COMPUTED_VALUE"""),44011.66666666667)</f>
        <v>44011.66667</v>
      </c>
      <c r="B121" s="5">
        <f>IFERROR(__xludf.DUMMYFUNCTION("""COMPUTED_VALUE"""),9500.0)</f>
        <v>9500</v>
      </c>
      <c r="C121" s="5">
        <f>IFERROR(__xludf.DUMMYFUNCTION("""COMPUTED_VALUE"""),9575.0)</f>
        <v>9575</v>
      </c>
      <c r="D121" s="5">
        <f>IFERROR(__xludf.DUMMYFUNCTION("""COMPUTED_VALUE"""),9425.0)</f>
        <v>9425</v>
      </c>
      <c r="E121" s="5">
        <f>IFERROR(__xludf.DUMMYFUNCTION("""COMPUTED_VALUE"""),9475.0)</f>
        <v>9475</v>
      </c>
      <c r="F121" s="5">
        <f>IFERROR(__xludf.DUMMYFUNCTION("""COMPUTED_VALUE"""),2388700.0)</f>
        <v>2388700</v>
      </c>
      <c r="G121" s="5">
        <f t="shared" si="1"/>
        <v>150</v>
      </c>
    </row>
    <row r="122">
      <c r="A122" s="4">
        <f>IFERROR(__xludf.DUMMYFUNCTION("""COMPUTED_VALUE"""),44012.66666666667)</f>
        <v>44012.66667</v>
      </c>
      <c r="B122" s="5">
        <f>IFERROR(__xludf.DUMMYFUNCTION("""COMPUTED_VALUE"""),9550.0)</f>
        <v>9550</v>
      </c>
      <c r="C122" s="5">
        <f>IFERROR(__xludf.DUMMYFUNCTION("""COMPUTED_VALUE"""),9725.0)</f>
        <v>9725</v>
      </c>
      <c r="D122" s="5">
        <f>IFERROR(__xludf.DUMMYFUNCTION("""COMPUTED_VALUE"""),9500.0)</f>
        <v>9500</v>
      </c>
      <c r="E122" s="5">
        <f>IFERROR(__xludf.DUMMYFUNCTION("""COMPUTED_VALUE"""),9625.0)</f>
        <v>9625</v>
      </c>
      <c r="F122" s="5">
        <f>IFERROR(__xludf.DUMMYFUNCTION("""COMPUTED_VALUE"""),5578000.0)</f>
        <v>5578000</v>
      </c>
      <c r="G122" s="5">
        <f t="shared" si="1"/>
        <v>250</v>
      </c>
    </row>
    <row r="123">
      <c r="A123" s="4">
        <f>IFERROR(__xludf.DUMMYFUNCTION("""COMPUTED_VALUE"""),44013.66666666667)</f>
        <v>44013.66667</v>
      </c>
      <c r="B123" s="5">
        <f>IFERROR(__xludf.DUMMYFUNCTION("""COMPUTED_VALUE"""),9700.0)</f>
        <v>9700</v>
      </c>
      <c r="C123" s="5">
        <f>IFERROR(__xludf.DUMMYFUNCTION("""COMPUTED_VALUE"""),9775.0)</f>
        <v>9775</v>
      </c>
      <c r="D123" s="5">
        <f>IFERROR(__xludf.DUMMYFUNCTION("""COMPUTED_VALUE"""),9575.0)</f>
        <v>9575</v>
      </c>
      <c r="E123" s="5">
        <f>IFERROR(__xludf.DUMMYFUNCTION("""COMPUTED_VALUE"""),9650.0)</f>
        <v>9650</v>
      </c>
      <c r="F123" s="5">
        <f>IFERROR(__xludf.DUMMYFUNCTION("""COMPUTED_VALUE"""),2677600.0)</f>
        <v>2677600</v>
      </c>
      <c r="G123" s="5">
        <f t="shared" si="1"/>
        <v>200</v>
      </c>
    </row>
    <row r="124">
      <c r="A124" s="4">
        <f>IFERROR(__xludf.DUMMYFUNCTION("""COMPUTED_VALUE"""),44014.66666666667)</f>
        <v>44014.66667</v>
      </c>
      <c r="B124" s="5">
        <f>IFERROR(__xludf.DUMMYFUNCTION("""COMPUTED_VALUE"""),9650.0)</f>
        <v>9650</v>
      </c>
      <c r="C124" s="5">
        <f>IFERROR(__xludf.DUMMYFUNCTION("""COMPUTED_VALUE"""),9675.0)</f>
        <v>9675</v>
      </c>
      <c r="D124" s="5">
        <f>IFERROR(__xludf.DUMMYFUNCTION("""COMPUTED_VALUE"""),9625.0)</f>
        <v>9625</v>
      </c>
      <c r="E124" s="5">
        <f>IFERROR(__xludf.DUMMYFUNCTION("""COMPUTED_VALUE"""),9625.0)</f>
        <v>9625</v>
      </c>
      <c r="F124" s="5">
        <f>IFERROR(__xludf.DUMMYFUNCTION("""COMPUTED_VALUE"""),1498500.0)</f>
        <v>1498500</v>
      </c>
      <c r="G124" s="5">
        <f t="shared" si="1"/>
        <v>50</v>
      </c>
    </row>
    <row r="125">
      <c r="A125" s="4">
        <f>IFERROR(__xludf.DUMMYFUNCTION("""COMPUTED_VALUE"""),44015.66666666667)</f>
        <v>44015.66667</v>
      </c>
      <c r="B125" s="5">
        <f>IFERROR(__xludf.DUMMYFUNCTION("""COMPUTED_VALUE"""),9650.0)</f>
        <v>9650</v>
      </c>
      <c r="C125" s="5">
        <f>IFERROR(__xludf.DUMMYFUNCTION("""COMPUTED_VALUE"""),10100.0)</f>
        <v>10100</v>
      </c>
      <c r="D125" s="5">
        <f>IFERROR(__xludf.DUMMYFUNCTION("""COMPUTED_VALUE"""),9625.0)</f>
        <v>9625</v>
      </c>
      <c r="E125" s="5">
        <f>IFERROR(__xludf.DUMMYFUNCTION("""COMPUTED_VALUE"""),9775.0)</f>
        <v>9775</v>
      </c>
      <c r="F125" s="5">
        <f>IFERROR(__xludf.DUMMYFUNCTION("""COMPUTED_VALUE"""),5684700.0)</f>
        <v>5684700</v>
      </c>
      <c r="G125" s="5">
        <f t="shared" si="1"/>
        <v>475</v>
      </c>
    </row>
    <row r="126">
      <c r="A126" s="4">
        <f>IFERROR(__xludf.DUMMYFUNCTION("""COMPUTED_VALUE"""),44018.66666666667)</f>
        <v>44018.66667</v>
      </c>
      <c r="B126" s="5">
        <f>IFERROR(__xludf.DUMMYFUNCTION("""COMPUTED_VALUE"""),9750.0)</f>
        <v>9750</v>
      </c>
      <c r="C126" s="5">
        <f>IFERROR(__xludf.DUMMYFUNCTION("""COMPUTED_VALUE"""),10000.0)</f>
        <v>10000</v>
      </c>
      <c r="D126" s="5">
        <f>IFERROR(__xludf.DUMMYFUNCTION("""COMPUTED_VALUE"""),9675.0)</f>
        <v>9675</v>
      </c>
      <c r="E126" s="5">
        <f>IFERROR(__xludf.DUMMYFUNCTION("""COMPUTED_VALUE"""),9950.0)</f>
        <v>9950</v>
      </c>
      <c r="F126" s="5">
        <f>IFERROR(__xludf.DUMMYFUNCTION("""COMPUTED_VALUE"""),3231500.0)</f>
        <v>3231500</v>
      </c>
      <c r="G126" s="5">
        <f t="shared" si="1"/>
        <v>325</v>
      </c>
    </row>
    <row r="127">
      <c r="A127" s="4">
        <f>IFERROR(__xludf.DUMMYFUNCTION("""COMPUTED_VALUE"""),44019.66666666667)</f>
        <v>44019.66667</v>
      </c>
      <c r="B127" s="5">
        <f>IFERROR(__xludf.DUMMYFUNCTION("""COMPUTED_VALUE"""),10150.0)</f>
        <v>10150</v>
      </c>
      <c r="C127" s="5">
        <f>IFERROR(__xludf.DUMMYFUNCTION("""COMPUTED_VALUE"""),10150.0)</f>
        <v>10150</v>
      </c>
      <c r="D127" s="5">
        <f>IFERROR(__xludf.DUMMYFUNCTION("""COMPUTED_VALUE"""),9550.0)</f>
        <v>9550</v>
      </c>
      <c r="E127" s="5">
        <f>IFERROR(__xludf.DUMMYFUNCTION("""COMPUTED_VALUE"""),9675.0)</f>
        <v>9675</v>
      </c>
      <c r="F127" s="5">
        <f>IFERROR(__xludf.DUMMYFUNCTION("""COMPUTED_VALUE"""),5695800.0)</f>
        <v>5695800</v>
      </c>
      <c r="G127" s="5">
        <f t="shared" si="1"/>
        <v>600</v>
      </c>
    </row>
    <row r="128">
      <c r="A128" s="4">
        <f>IFERROR(__xludf.DUMMYFUNCTION("""COMPUTED_VALUE"""),44020.66666666667)</f>
        <v>44020.66667</v>
      </c>
      <c r="B128" s="5">
        <f>IFERROR(__xludf.DUMMYFUNCTION("""COMPUTED_VALUE"""),9675.0)</f>
        <v>9675</v>
      </c>
      <c r="C128" s="5">
        <f>IFERROR(__xludf.DUMMYFUNCTION("""COMPUTED_VALUE"""),9800.0)</f>
        <v>9800</v>
      </c>
      <c r="D128" s="5">
        <f>IFERROR(__xludf.DUMMYFUNCTION("""COMPUTED_VALUE"""),9600.0)</f>
        <v>9600</v>
      </c>
      <c r="E128" s="5">
        <f>IFERROR(__xludf.DUMMYFUNCTION("""COMPUTED_VALUE"""),9725.0)</f>
        <v>9725</v>
      </c>
      <c r="F128" s="5">
        <f>IFERROR(__xludf.DUMMYFUNCTION("""COMPUTED_VALUE"""),3362400.0)</f>
        <v>3362400</v>
      </c>
      <c r="G128" s="5">
        <f t="shared" si="1"/>
        <v>200</v>
      </c>
    </row>
    <row r="129">
      <c r="A129" s="4">
        <f>IFERROR(__xludf.DUMMYFUNCTION("""COMPUTED_VALUE"""),44021.66666666667)</f>
        <v>44021.66667</v>
      </c>
      <c r="B129" s="5">
        <f>IFERROR(__xludf.DUMMYFUNCTION("""COMPUTED_VALUE"""),9725.0)</f>
        <v>9725</v>
      </c>
      <c r="C129" s="5">
        <f>IFERROR(__xludf.DUMMYFUNCTION("""COMPUTED_VALUE"""),9850.0)</f>
        <v>9850</v>
      </c>
      <c r="D129" s="5">
        <f>IFERROR(__xludf.DUMMYFUNCTION("""COMPUTED_VALUE"""),9500.0)</f>
        <v>9500</v>
      </c>
      <c r="E129" s="5">
        <f>IFERROR(__xludf.DUMMYFUNCTION("""COMPUTED_VALUE"""),9500.0)</f>
        <v>9500</v>
      </c>
      <c r="F129" s="5">
        <f>IFERROR(__xludf.DUMMYFUNCTION("""COMPUTED_VALUE"""),3679100.0)</f>
        <v>3679100</v>
      </c>
      <c r="G129" s="5">
        <f t="shared" si="1"/>
        <v>350</v>
      </c>
    </row>
    <row r="130">
      <c r="A130" s="4">
        <f>IFERROR(__xludf.DUMMYFUNCTION("""COMPUTED_VALUE"""),44022.66666666667)</f>
        <v>44022.66667</v>
      </c>
      <c r="B130" s="5">
        <f>IFERROR(__xludf.DUMMYFUNCTION("""COMPUTED_VALUE"""),9500.0)</f>
        <v>9500</v>
      </c>
      <c r="C130" s="5">
        <f>IFERROR(__xludf.DUMMYFUNCTION("""COMPUTED_VALUE"""),9625.0)</f>
        <v>9625</v>
      </c>
      <c r="D130" s="5">
        <f>IFERROR(__xludf.DUMMYFUNCTION("""COMPUTED_VALUE"""),9375.0)</f>
        <v>9375</v>
      </c>
      <c r="E130" s="5">
        <f>IFERROR(__xludf.DUMMYFUNCTION("""COMPUTED_VALUE"""),9425.0)</f>
        <v>9425</v>
      </c>
      <c r="F130" s="5">
        <f>IFERROR(__xludf.DUMMYFUNCTION("""COMPUTED_VALUE"""),3776100.0)</f>
        <v>3776100</v>
      </c>
      <c r="G130" s="5">
        <f t="shared" si="1"/>
        <v>250</v>
      </c>
    </row>
    <row r="131">
      <c r="A131" s="4">
        <f>IFERROR(__xludf.DUMMYFUNCTION("""COMPUTED_VALUE"""),44025.66666666667)</f>
        <v>44025.66667</v>
      </c>
      <c r="B131" s="5">
        <f>IFERROR(__xludf.DUMMYFUNCTION("""COMPUTED_VALUE"""),9500.0)</f>
        <v>9500</v>
      </c>
      <c r="C131" s="5">
        <f>IFERROR(__xludf.DUMMYFUNCTION("""COMPUTED_VALUE"""),9600.0)</f>
        <v>9600</v>
      </c>
      <c r="D131" s="5">
        <f>IFERROR(__xludf.DUMMYFUNCTION("""COMPUTED_VALUE"""),9325.0)</f>
        <v>9325</v>
      </c>
      <c r="E131" s="5">
        <f>IFERROR(__xludf.DUMMYFUNCTION("""COMPUTED_VALUE"""),9350.0)</f>
        <v>9350</v>
      </c>
      <c r="F131" s="5">
        <f>IFERROR(__xludf.DUMMYFUNCTION("""COMPUTED_VALUE"""),3635900.0)</f>
        <v>3635900</v>
      </c>
      <c r="G131" s="5">
        <f t="shared" si="1"/>
        <v>275</v>
      </c>
    </row>
    <row r="132">
      <c r="A132" s="4">
        <f>IFERROR(__xludf.DUMMYFUNCTION("""COMPUTED_VALUE"""),44026.66666666667)</f>
        <v>44026.66667</v>
      </c>
      <c r="B132" s="5">
        <f>IFERROR(__xludf.DUMMYFUNCTION("""COMPUTED_VALUE"""),9425.0)</f>
        <v>9425</v>
      </c>
      <c r="C132" s="5">
        <f>IFERROR(__xludf.DUMMYFUNCTION("""COMPUTED_VALUE"""),9650.0)</f>
        <v>9650</v>
      </c>
      <c r="D132" s="5">
        <f>IFERROR(__xludf.DUMMYFUNCTION("""COMPUTED_VALUE"""),9375.0)</f>
        <v>9375</v>
      </c>
      <c r="E132" s="5">
        <f>IFERROR(__xludf.DUMMYFUNCTION("""COMPUTED_VALUE"""),9650.0)</f>
        <v>9650</v>
      </c>
      <c r="F132" s="5">
        <f>IFERROR(__xludf.DUMMYFUNCTION("""COMPUTED_VALUE"""),4904100.0)</f>
        <v>4904100</v>
      </c>
      <c r="G132" s="5">
        <f t="shared" si="1"/>
        <v>300</v>
      </c>
    </row>
    <row r="133">
      <c r="A133" s="4">
        <f>IFERROR(__xludf.DUMMYFUNCTION("""COMPUTED_VALUE"""),44027.66666666667)</f>
        <v>44027.66667</v>
      </c>
      <c r="B133" s="5">
        <f>IFERROR(__xludf.DUMMYFUNCTION("""COMPUTED_VALUE"""),9650.0)</f>
        <v>9650</v>
      </c>
      <c r="C133" s="5">
        <f>IFERROR(__xludf.DUMMYFUNCTION("""COMPUTED_VALUE"""),9750.0)</f>
        <v>9750</v>
      </c>
      <c r="D133" s="5">
        <f>IFERROR(__xludf.DUMMYFUNCTION("""COMPUTED_VALUE"""),9450.0)</f>
        <v>9450</v>
      </c>
      <c r="E133" s="5">
        <f>IFERROR(__xludf.DUMMYFUNCTION("""COMPUTED_VALUE"""),9450.0)</f>
        <v>9450</v>
      </c>
      <c r="F133" s="5">
        <f>IFERROR(__xludf.DUMMYFUNCTION("""COMPUTED_VALUE"""),3434100.0)</f>
        <v>3434100</v>
      </c>
      <c r="G133" s="5">
        <f t="shared" si="1"/>
        <v>300</v>
      </c>
    </row>
    <row r="134">
      <c r="A134" s="4">
        <f>IFERROR(__xludf.DUMMYFUNCTION("""COMPUTED_VALUE"""),44028.66666666667)</f>
        <v>44028.66667</v>
      </c>
      <c r="B134" s="5">
        <f>IFERROR(__xludf.DUMMYFUNCTION("""COMPUTED_VALUE"""),9550.0)</f>
        <v>9550</v>
      </c>
      <c r="C134" s="5">
        <f>IFERROR(__xludf.DUMMYFUNCTION("""COMPUTED_VALUE"""),9575.0)</f>
        <v>9575</v>
      </c>
      <c r="D134" s="5">
        <f>IFERROR(__xludf.DUMMYFUNCTION("""COMPUTED_VALUE"""),9325.0)</f>
        <v>9325</v>
      </c>
      <c r="E134" s="5">
        <f>IFERROR(__xludf.DUMMYFUNCTION("""COMPUTED_VALUE"""),9400.0)</f>
        <v>9400</v>
      </c>
      <c r="F134" s="5">
        <f>IFERROR(__xludf.DUMMYFUNCTION("""COMPUTED_VALUE"""),2868800.0)</f>
        <v>2868800</v>
      </c>
      <c r="G134" s="5">
        <f t="shared" si="1"/>
        <v>250</v>
      </c>
    </row>
    <row r="135">
      <c r="A135" s="4">
        <f>IFERROR(__xludf.DUMMYFUNCTION("""COMPUTED_VALUE"""),44029.66666666667)</f>
        <v>44029.66667</v>
      </c>
      <c r="B135" s="5">
        <f>IFERROR(__xludf.DUMMYFUNCTION("""COMPUTED_VALUE"""),9325.0)</f>
        <v>9325</v>
      </c>
      <c r="C135" s="5">
        <f>IFERROR(__xludf.DUMMYFUNCTION("""COMPUTED_VALUE"""),9550.0)</f>
        <v>9550</v>
      </c>
      <c r="D135" s="5">
        <f>IFERROR(__xludf.DUMMYFUNCTION("""COMPUTED_VALUE"""),9300.0)</f>
        <v>9300</v>
      </c>
      <c r="E135" s="5">
        <f>IFERROR(__xludf.DUMMYFUNCTION("""COMPUTED_VALUE"""),9350.0)</f>
        <v>9350</v>
      </c>
      <c r="F135" s="5">
        <f>IFERROR(__xludf.DUMMYFUNCTION("""COMPUTED_VALUE"""),6304800.0)</f>
        <v>6304800</v>
      </c>
      <c r="G135" s="5">
        <f t="shared" si="1"/>
        <v>250</v>
      </c>
    </row>
    <row r="136">
      <c r="A136" s="4">
        <f>IFERROR(__xludf.DUMMYFUNCTION("""COMPUTED_VALUE"""),44032.66666666667)</f>
        <v>44032.66667</v>
      </c>
      <c r="B136" s="5">
        <f>IFERROR(__xludf.DUMMYFUNCTION("""COMPUTED_VALUE"""),9400.0)</f>
        <v>9400</v>
      </c>
      <c r="C136" s="5">
        <f>IFERROR(__xludf.DUMMYFUNCTION("""COMPUTED_VALUE"""),9475.0)</f>
        <v>9475</v>
      </c>
      <c r="D136" s="5">
        <f>IFERROR(__xludf.DUMMYFUNCTION("""COMPUTED_VALUE"""),9300.0)</f>
        <v>9300</v>
      </c>
      <c r="E136" s="5">
        <f>IFERROR(__xludf.DUMMYFUNCTION("""COMPUTED_VALUE"""),9450.0)</f>
        <v>9450</v>
      </c>
      <c r="F136" s="5">
        <f>IFERROR(__xludf.DUMMYFUNCTION("""COMPUTED_VALUE"""),3087900.0)</f>
        <v>3087900</v>
      </c>
      <c r="G136" s="5">
        <f t="shared" si="1"/>
        <v>175</v>
      </c>
    </row>
    <row r="137">
      <c r="A137" s="4">
        <f>IFERROR(__xludf.DUMMYFUNCTION("""COMPUTED_VALUE"""),44033.66666666667)</f>
        <v>44033.66667</v>
      </c>
      <c r="B137" s="5">
        <f>IFERROR(__xludf.DUMMYFUNCTION("""COMPUTED_VALUE"""),9500.0)</f>
        <v>9500</v>
      </c>
      <c r="C137" s="5">
        <f>IFERROR(__xludf.DUMMYFUNCTION("""COMPUTED_VALUE"""),9700.0)</f>
        <v>9700</v>
      </c>
      <c r="D137" s="5">
        <f>IFERROR(__xludf.DUMMYFUNCTION("""COMPUTED_VALUE"""),9375.0)</f>
        <v>9375</v>
      </c>
      <c r="E137" s="5">
        <f>IFERROR(__xludf.DUMMYFUNCTION("""COMPUTED_VALUE"""),9475.0)</f>
        <v>9475</v>
      </c>
      <c r="F137" s="5">
        <f>IFERROR(__xludf.DUMMYFUNCTION("""COMPUTED_VALUE"""),5687400.0)</f>
        <v>5687400</v>
      </c>
      <c r="G137" s="5">
        <f t="shared" si="1"/>
        <v>325</v>
      </c>
    </row>
    <row r="138">
      <c r="A138" s="4">
        <f>IFERROR(__xludf.DUMMYFUNCTION("""COMPUTED_VALUE"""),44034.66666666667)</f>
        <v>44034.66667</v>
      </c>
      <c r="B138" s="5">
        <f>IFERROR(__xludf.DUMMYFUNCTION("""COMPUTED_VALUE"""),9625.0)</f>
        <v>9625</v>
      </c>
      <c r="C138" s="5">
        <f>IFERROR(__xludf.DUMMYFUNCTION("""COMPUTED_VALUE"""),9675.0)</f>
        <v>9675</v>
      </c>
      <c r="D138" s="5">
        <f>IFERROR(__xludf.DUMMYFUNCTION("""COMPUTED_VALUE"""),9475.0)</f>
        <v>9475</v>
      </c>
      <c r="E138" s="5">
        <f>IFERROR(__xludf.DUMMYFUNCTION("""COMPUTED_VALUE"""),9600.0)</f>
        <v>9600</v>
      </c>
      <c r="F138" s="5">
        <f>IFERROR(__xludf.DUMMYFUNCTION("""COMPUTED_VALUE"""),3583200.0)</f>
        <v>3583200</v>
      </c>
      <c r="G138" s="5">
        <f t="shared" si="1"/>
        <v>200</v>
      </c>
    </row>
    <row r="139">
      <c r="A139" s="4">
        <f>IFERROR(__xludf.DUMMYFUNCTION("""COMPUTED_VALUE"""),44035.66666666667)</f>
        <v>44035.66667</v>
      </c>
      <c r="B139" s="5">
        <f>IFERROR(__xludf.DUMMYFUNCTION("""COMPUTED_VALUE"""),9600.0)</f>
        <v>9600</v>
      </c>
      <c r="C139" s="5">
        <f>IFERROR(__xludf.DUMMYFUNCTION("""COMPUTED_VALUE"""),9700.0)</f>
        <v>9700</v>
      </c>
      <c r="D139" s="5">
        <f>IFERROR(__xludf.DUMMYFUNCTION("""COMPUTED_VALUE"""),9375.0)</f>
        <v>9375</v>
      </c>
      <c r="E139" s="5">
        <f>IFERROR(__xludf.DUMMYFUNCTION("""COMPUTED_VALUE"""),9450.0)</f>
        <v>9450</v>
      </c>
      <c r="F139" s="5">
        <f>IFERROR(__xludf.DUMMYFUNCTION("""COMPUTED_VALUE"""),3401600.0)</f>
        <v>3401600</v>
      </c>
      <c r="G139" s="5">
        <f t="shared" si="1"/>
        <v>325</v>
      </c>
    </row>
    <row r="140">
      <c r="A140" s="4">
        <f>IFERROR(__xludf.DUMMYFUNCTION("""COMPUTED_VALUE"""),44036.66666666667)</f>
        <v>44036.66667</v>
      </c>
      <c r="B140" s="5">
        <f>IFERROR(__xludf.DUMMYFUNCTION("""COMPUTED_VALUE"""),9425.0)</f>
        <v>9425</v>
      </c>
      <c r="C140" s="5">
        <f>IFERROR(__xludf.DUMMYFUNCTION("""COMPUTED_VALUE"""),9425.0)</f>
        <v>9425</v>
      </c>
      <c r="D140" s="5">
        <f>IFERROR(__xludf.DUMMYFUNCTION("""COMPUTED_VALUE"""),9250.0)</f>
        <v>9250</v>
      </c>
      <c r="E140" s="5">
        <f>IFERROR(__xludf.DUMMYFUNCTION("""COMPUTED_VALUE"""),9275.0)</f>
        <v>9275</v>
      </c>
      <c r="F140" s="5">
        <f>IFERROR(__xludf.DUMMYFUNCTION("""COMPUTED_VALUE"""),3519200.0)</f>
        <v>3519200</v>
      </c>
      <c r="G140" s="5">
        <f t="shared" si="1"/>
        <v>200</v>
      </c>
    </row>
    <row r="141">
      <c r="A141" s="4">
        <f>IFERROR(__xludf.DUMMYFUNCTION("""COMPUTED_VALUE"""),44039.66666666667)</f>
        <v>44039.66667</v>
      </c>
      <c r="B141" s="5">
        <f>IFERROR(__xludf.DUMMYFUNCTION("""COMPUTED_VALUE"""),9150.0)</f>
        <v>9150</v>
      </c>
      <c r="C141" s="5">
        <f>IFERROR(__xludf.DUMMYFUNCTION("""COMPUTED_VALUE"""),9375.0)</f>
        <v>9375</v>
      </c>
      <c r="D141" s="5">
        <f>IFERROR(__xludf.DUMMYFUNCTION("""COMPUTED_VALUE"""),9150.0)</f>
        <v>9150</v>
      </c>
      <c r="E141" s="5">
        <f>IFERROR(__xludf.DUMMYFUNCTION("""COMPUTED_VALUE"""),9375.0)</f>
        <v>9375</v>
      </c>
      <c r="F141" s="5">
        <f>IFERROR(__xludf.DUMMYFUNCTION("""COMPUTED_VALUE"""),2572100.0)</f>
        <v>2572100</v>
      </c>
      <c r="G141" s="5">
        <f t="shared" si="1"/>
        <v>225</v>
      </c>
    </row>
    <row r="142">
      <c r="A142" s="4">
        <f>IFERROR(__xludf.DUMMYFUNCTION("""COMPUTED_VALUE"""),44040.66666666667)</f>
        <v>44040.66667</v>
      </c>
      <c r="B142" s="5">
        <f>IFERROR(__xludf.DUMMYFUNCTION("""COMPUTED_VALUE"""),9400.0)</f>
        <v>9400</v>
      </c>
      <c r="C142" s="5">
        <f>IFERROR(__xludf.DUMMYFUNCTION("""COMPUTED_VALUE"""),9525.0)</f>
        <v>9525</v>
      </c>
      <c r="D142" s="5">
        <f>IFERROR(__xludf.DUMMYFUNCTION("""COMPUTED_VALUE"""),9325.0)</f>
        <v>9325</v>
      </c>
      <c r="E142" s="5">
        <f>IFERROR(__xludf.DUMMYFUNCTION("""COMPUTED_VALUE"""),9400.0)</f>
        <v>9400</v>
      </c>
      <c r="F142" s="5">
        <f>IFERROR(__xludf.DUMMYFUNCTION("""COMPUTED_VALUE"""),5009700.0)</f>
        <v>5009700</v>
      </c>
      <c r="G142" s="5">
        <f t="shared" si="1"/>
        <v>200</v>
      </c>
    </row>
    <row r="143">
      <c r="A143" s="4">
        <f>IFERROR(__xludf.DUMMYFUNCTION("""COMPUTED_VALUE"""),44041.66666666667)</f>
        <v>44041.66667</v>
      </c>
      <c r="B143" s="5">
        <f>IFERROR(__xludf.DUMMYFUNCTION("""COMPUTED_VALUE"""),9500.0)</f>
        <v>9500</v>
      </c>
      <c r="C143" s="5">
        <f>IFERROR(__xludf.DUMMYFUNCTION("""COMPUTED_VALUE"""),9525.0)</f>
        <v>9525</v>
      </c>
      <c r="D143" s="5">
        <f>IFERROR(__xludf.DUMMYFUNCTION("""COMPUTED_VALUE"""),9375.0)</f>
        <v>9375</v>
      </c>
      <c r="E143" s="5">
        <f>IFERROR(__xludf.DUMMYFUNCTION("""COMPUTED_VALUE"""),9475.0)</f>
        <v>9475</v>
      </c>
      <c r="F143" s="5">
        <f>IFERROR(__xludf.DUMMYFUNCTION("""COMPUTED_VALUE"""),2241000.0)</f>
        <v>2241000</v>
      </c>
      <c r="G143" s="5">
        <f t="shared" si="1"/>
        <v>150</v>
      </c>
    </row>
    <row r="144">
      <c r="A144" s="4">
        <f>IFERROR(__xludf.DUMMYFUNCTION("""COMPUTED_VALUE"""),44042.66666666667)</f>
        <v>44042.66667</v>
      </c>
      <c r="B144" s="5">
        <f>IFERROR(__xludf.DUMMYFUNCTION("""COMPUTED_VALUE"""),9475.0)</f>
        <v>9475</v>
      </c>
      <c r="C144" s="5">
        <f>IFERROR(__xludf.DUMMYFUNCTION("""COMPUTED_VALUE"""),9500.0)</f>
        <v>9500</v>
      </c>
      <c r="D144" s="5">
        <f>IFERROR(__xludf.DUMMYFUNCTION("""COMPUTED_VALUE"""),9225.0)</f>
        <v>9225</v>
      </c>
      <c r="E144" s="5">
        <f>IFERROR(__xludf.DUMMYFUNCTION("""COMPUTED_VALUE"""),9225.0)</f>
        <v>9225</v>
      </c>
      <c r="F144" s="5">
        <f>IFERROR(__xludf.DUMMYFUNCTION("""COMPUTED_VALUE"""),3745200.0)</f>
        <v>3745200</v>
      </c>
      <c r="G144" s="5">
        <f t="shared" si="1"/>
        <v>275</v>
      </c>
    </row>
    <row r="145">
      <c r="A145" s="4">
        <f>IFERROR(__xludf.DUMMYFUNCTION("""COMPUTED_VALUE"""),44046.66666666667)</f>
        <v>44046.66667</v>
      </c>
      <c r="B145" s="5">
        <f>IFERROR(__xludf.DUMMYFUNCTION("""COMPUTED_VALUE"""),9250.0)</f>
        <v>9250</v>
      </c>
      <c r="C145" s="5">
        <f>IFERROR(__xludf.DUMMYFUNCTION("""COMPUTED_VALUE"""),9400.0)</f>
        <v>9400</v>
      </c>
      <c r="D145" s="5">
        <f>IFERROR(__xludf.DUMMYFUNCTION("""COMPUTED_VALUE"""),8825.0)</f>
        <v>8825</v>
      </c>
      <c r="E145" s="5">
        <f>IFERROR(__xludf.DUMMYFUNCTION("""COMPUTED_VALUE"""),9125.0)</f>
        <v>9125</v>
      </c>
      <c r="F145" s="5">
        <f>IFERROR(__xludf.DUMMYFUNCTION("""COMPUTED_VALUE"""),5676700.0)</f>
        <v>5676700</v>
      </c>
      <c r="G145" s="5">
        <f t="shared" si="1"/>
        <v>575</v>
      </c>
    </row>
    <row r="146">
      <c r="A146" s="4">
        <f>IFERROR(__xludf.DUMMYFUNCTION("""COMPUTED_VALUE"""),44047.66666666667)</f>
        <v>44047.66667</v>
      </c>
      <c r="B146" s="5">
        <f>IFERROR(__xludf.DUMMYFUNCTION("""COMPUTED_VALUE"""),9100.0)</f>
        <v>9100</v>
      </c>
      <c r="C146" s="5">
        <f>IFERROR(__xludf.DUMMYFUNCTION("""COMPUTED_VALUE"""),9350.0)</f>
        <v>9350</v>
      </c>
      <c r="D146" s="5">
        <f>IFERROR(__xludf.DUMMYFUNCTION("""COMPUTED_VALUE"""),9050.0)</f>
        <v>9050</v>
      </c>
      <c r="E146" s="5">
        <f>IFERROR(__xludf.DUMMYFUNCTION("""COMPUTED_VALUE"""),9200.0)</f>
        <v>9200</v>
      </c>
      <c r="F146" s="5">
        <f>IFERROR(__xludf.DUMMYFUNCTION("""COMPUTED_VALUE"""),2420500.0)</f>
        <v>2420500</v>
      </c>
      <c r="G146" s="5">
        <f t="shared" si="1"/>
        <v>300</v>
      </c>
    </row>
    <row r="147">
      <c r="A147" s="4">
        <f>IFERROR(__xludf.DUMMYFUNCTION("""COMPUTED_VALUE"""),44048.66666666667)</f>
        <v>44048.66667</v>
      </c>
      <c r="B147" s="5">
        <f>IFERROR(__xludf.DUMMYFUNCTION("""COMPUTED_VALUE"""),9200.0)</f>
        <v>9200</v>
      </c>
      <c r="C147" s="5">
        <f>IFERROR(__xludf.DUMMYFUNCTION("""COMPUTED_VALUE"""),9475.0)</f>
        <v>9475</v>
      </c>
      <c r="D147" s="5">
        <f>IFERROR(__xludf.DUMMYFUNCTION("""COMPUTED_VALUE"""),9150.0)</f>
        <v>9150</v>
      </c>
      <c r="E147" s="5">
        <f>IFERROR(__xludf.DUMMYFUNCTION("""COMPUTED_VALUE"""),9450.0)</f>
        <v>9450</v>
      </c>
      <c r="F147" s="5">
        <f>IFERROR(__xludf.DUMMYFUNCTION("""COMPUTED_VALUE"""),5206000.0)</f>
        <v>5206000</v>
      </c>
      <c r="G147" s="5">
        <f t="shared" si="1"/>
        <v>325</v>
      </c>
    </row>
    <row r="148">
      <c r="A148" s="4">
        <f>IFERROR(__xludf.DUMMYFUNCTION("""COMPUTED_VALUE"""),44049.66666666667)</f>
        <v>44049.66667</v>
      </c>
      <c r="B148" s="5">
        <f>IFERROR(__xludf.DUMMYFUNCTION("""COMPUTED_VALUE"""),9450.0)</f>
        <v>9450</v>
      </c>
      <c r="C148" s="5">
        <f>IFERROR(__xludf.DUMMYFUNCTION("""COMPUTED_VALUE"""),9675.0)</f>
        <v>9675</v>
      </c>
      <c r="D148" s="5">
        <f>IFERROR(__xludf.DUMMYFUNCTION("""COMPUTED_VALUE"""),9450.0)</f>
        <v>9450</v>
      </c>
      <c r="E148" s="5">
        <f>IFERROR(__xludf.DUMMYFUNCTION("""COMPUTED_VALUE"""),9600.0)</f>
        <v>9600</v>
      </c>
      <c r="F148" s="5">
        <f>IFERROR(__xludf.DUMMYFUNCTION("""COMPUTED_VALUE"""),8240100.0)</f>
        <v>8240100</v>
      </c>
      <c r="G148" s="5">
        <f t="shared" si="1"/>
        <v>225</v>
      </c>
    </row>
    <row r="149">
      <c r="A149" s="4">
        <f>IFERROR(__xludf.DUMMYFUNCTION("""COMPUTED_VALUE"""),44050.66666666667)</f>
        <v>44050.66667</v>
      </c>
      <c r="B149" s="5">
        <f>IFERROR(__xludf.DUMMYFUNCTION("""COMPUTED_VALUE"""),9600.0)</f>
        <v>9600</v>
      </c>
      <c r="C149" s="5">
        <f>IFERROR(__xludf.DUMMYFUNCTION("""COMPUTED_VALUE"""),9875.0)</f>
        <v>9875</v>
      </c>
      <c r="D149" s="5">
        <f>IFERROR(__xludf.DUMMYFUNCTION("""COMPUTED_VALUE"""),9575.0)</f>
        <v>9575</v>
      </c>
      <c r="E149" s="5">
        <f>IFERROR(__xludf.DUMMYFUNCTION("""COMPUTED_VALUE"""),9675.0)</f>
        <v>9675</v>
      </c>
      <c r="F149" s="5">
        <f>IFERROR(__xludf.DUMMYFUNCTION("""COMPUTED_VALUE"""),5920600.0)</f>
        <v>5920600</v>
      </c>
      <c r="G149" s="5">
        <f t="shared" si="1"/>
        <v>300</v>
      </c>
    </row>
    <row r="150">
      <c r="A150" s="4">
        <f>IFERROR(__xludf.DUMMYFUNCTION("""COMPUTED_VALUE"""),44053.66666666667)</f>
        <v>44053.66667</v>
      </c>
      <c r="B150" s="5">
        <f>IFERROR(__xludf.DUMMYFUNCTION("""COMPUTED_VALUE"""),9700.0)</f>
        <v>9700</v>
      </c>
      <c r="C150" s="5">
        <f>IFERROR(__xludf.DUMMYFUNCTION("""COMPUTED_VALUE"""),9700.0)</f>
        <v>9700</v>
      </c>
      <c r="D150" s="5">
        <f>IFERROR(__xludf.DUMMYFUNCTION("""COMPUTED_VALUE"""),9525.0)</f>
        <v>9525</v>
      </c>
      <c r="E150" s="5">
        <f>IFERROR(__xludf.DUMMYFUNCTION("""COMPUTED_VALUE"""),9600.0)</f>
        <v>9600</v>
      </c>
      <c r="F150" s="5">
        <f>IFERROR(__xludf.DUMMYFUNCTION("""COMPUTED_VALUE"""),1779400.0)</f>
        <v>1779400</v>
      </c>
      <c r="G150" s="5">
        <f t="shared" si="1"/>
        <v>175</v>
      </c>
    </row>
    <row r="151">
      <c r="A151" s="4">
        <f>IFERROR(__xludf.DUMMYFUNCTION("""COMPUTED_VALUE"""),44054.66666666667)</f>
        <v>44054.66667</v>
      </c>
      <c r="B151" s="5">
        <f>IFERROR(__xludf.DUMMYFUNCTION("""COMPUTED_VALUE"""),9600.0)</f>
        <v>9600</v>
      </c>
      <c r="C151" s="5">
        <f>IFERROR(__xludf.DUMMYFUNCTION("""COMPUTED_VALUE"""),9700.0)</f>
        <v>9700</v>
      </c>
      <c r="D151" s="5">
        <f>IFERROR(__xludf.DUMMYFUNCTION("""COMPUTED_VALUE"""),9550.0)</f>
        <v>9550</v>
      </c>
      <c r="E151" s="5">
        <f>IFERROR(__xludf.DUMMYFUNCTION("""COMPUTED_VALUE"""),9600.0)</f>
        <v>9600</v>
      </c>
      <c r="F151" s="5">
        <f>IFERROR(__xludf.DUMMYFUNCTION("""COMPUTED_VALUE"""),4729000.0)</f>
        <v>4729000</v>
      </c>
      <c r="G151" s="5">
        <f t="shared" si="1"/>
        <v>150</v>
      </c>
    </row>
    <row r="152">
      <c r="A152" s="4">
        <f>IFERROR(__xludf.DUMMYFUNCTION("""COMPUTED_VALUE"""),44055.66666666667)</f>
        <v>44055.66667</v>
      </c>
      <c r="B152" s="5">
        <f>IFERROR(__xludf.DUMMYFUNCTION("""COMPUTED_VALUE"""),9550.0)</f>
        <v>9550</v>
      </c>
      <c r="C152" s="5">
        <f>IFERROR(__xludf.DUMMYFUNCTION("""COMPUTED_VALUE"""),10000.0)</f>
        <v>10000</v>
      </c>
      <c r="D152" s="5">
        <f>IFERROR(__xludf.DUMMYFUNCTION("""COMPUTED_VALUE"""),9500.0)</f>
        <v>9500</v>
      </c>
      <c r="E152" s="5">
        <f>IFERROR(__xludf.DUMMYFUNCTION("""COMPUTED_VALUE"""),9850.0)</f>
        <v>9850</v>
      </c>
      <c r="F152" s="5">
        <f>IFERROR(__xludf.DUMMYFUNCTION("""COMPUTED_VALUE"""),1.27879E7)</f>
        <v>12787900</v>
      </c>
      <c r="G152" s="5">
        <f t="shared" si="1"/>
        <v>500</v>
      </c>
    </row>
    <row r="153">
      <c r="A153" s="4">
        <f>IFERROR(__xludf.DUMMYFUNCTION("""COMPUTED_VALUE"""),44056.66666666667)</f>
        <v>44056.66667</v>
      </c>
      <c r="B153" s="5">
        <f>IFERROR(__xludf.DUMMYFUNCTION("""COMPUTED_VALUE"""),9900.0)</f>
        <v>9900</v>
      </c>
      <c r="C153" s="5">
        <f>IFERROR(__xludf.DUMMYFUNCTION("""COMPUTED_VALUE"""),9950.0)</f>
        <v>9950</v>
      </c>
      <c r="D153" s="5">
        <f>IFERROR(__xludf.DUMMYFUNCTION("""COMPUTED_VALUE"""),9650.0)</f>
        <v>9650</v>
      </c>
      <c r="E153" s="5">
        <f>IFERROR(__xludf.DUMMYFUNCTION("""COMPUTED_VALUE"""),9725.0)</f>
        <v>9725</v>
      </c>
      <c r="F153" s="5">
        <f>IFERROR(__xludf.DUMMYFUNCTION("""COMPUTED_VALUE"""),3567000.0)</f>
        <v>3567000</v>
      </c>
      <c r="G153" s="5">
        <f t="shared" si="1"/>
        <v>300</v>
      </c>
    </row>
    <row r="154">
      <c r="A154" s="4">
        <f>IFERROR(__xludf.DUMMYFUNCTION("""COMPUTED_VALUE"""),44057.66666666667)</f>
        <v>44057.66667</v>
      </c>
      <c r="B154" s="5">
        <f>IFERROR(__xludf.DUMMYFUNCTION("""COMPUTED_VALUE"""),9725.0)</f>
        <v>9725</v>
      </c>
      <c r="C154" s="5">
        <f>IFERROR(__xludf.DUMMYFUNCTION("""COMPUTED_VALUE"""),9800.0)</f>
        <v>9800</v>
      </c>
      <c r="D154" s="5">
        <f>IFERROR(__xludf.DUMMYFUNCTION("""COMPUTED_VALUE"""),9500.0)</f>
        <v>9500</v>
      </c>
      <c r="E154" s="5">
        <f>IFERROR(__xludf.DUMMYFUNCTION("""COMPUTED_VALUE"""),9500.0)</f>
        <v>9500</v>
      </c>
      <c r="F154" s="5">
        <f>IFERROR(__xludf.DUMMYFUNCTION("""COMPUTED_VALUE"""),5627500.0)</f>
        <v>5627500</v>
      </c>
      <c r="G154" s="5">
        <f t="shared" si="1"/>
        <v>300</v>
      </c>
    </row>
    <row r="155">
      <c r="A155" s="4">
        <f>IFERROR(__xludf.DUMMYFUNCTION("""COMPUTED_VALUE"""),44061.66666666667)</f>
        <v>44061.66667</v>
      </c>
      <c r="B155" s="5">
        <f>IFERROR(__xludf.DUMMYFUNCTION("""COMPUTED_VALUE"""),9500.0)</f>
        <v>9500</v>
      </c>
      <c r="C155" s="5">
        <f>IFERROR(__xludf.DUMMYFUNCTION("""COMPUTED_VALUE"""),9850.0)</f>
        <v>9850</v>
      </c>
      <c r="D155" s="5">
        <f>IFERROR(__xludf.DUMMYFUNCTION("""COMPUTED_VALUE"""),9500.0)</f>
        <v>9500</v>
      </c>
      <c r="E155" s="5">
        <f>IFERROR(__xludf.DUMMYFUNCTION("""COMPUTED_VALUE"""),9750.0)</f>
        <v>9750</v>
      </c>
      <c r="F155" s="5">
        <f>IFERROR(__xludf.DUMMYFUNCTION("""COMPUTED_VALUE"""),8872400.0)</f>
        <v>8872400</v>
      </c>
      <c r="G155" s="5">
        <f t="shared" si="1"/>
        <v>350</v>
      </c>
    </row>
    <row r="156">
      <c r="A156" s="4">
        <f>IFERROR(__xludf.DUMMYFUNCTION("""COMPUTED_VALUE"""),44062.66666666667)</f>
        <v>44062.66667</v>
      </c>
      <c r="B156" s="5">
        <f>IFERROR(__xludf.DUMMYFUNCTION("""COMPUTED_VALUE"""),9800.0)</f>
        <v>9800</v>
      </c>
      <c r="C156" s="5">
        <f>IFERROR(__xludf.DUMMYFUNCTION("""COMPUTED_VALUE"""),9850.0)</f>
        <v>9850</v>
      </c>
      <c r="D156" s="5">
        <f>IFERROR(__xludf.DUMMYFUNCTION("""COMPUTED_VALUE"""),9550.0)</f>
        <v>9550</v>
      </c>
      <c r="E156" s="5">
        <f>IFERROR(__xludf.DUMMYFUNCTION("""COMPUTED_VALUE"""),9550.0)</f>
        <v>9550</v>
      </c>
      <c r="F156" s="5">
        <f>IFERROR(__xludf.DUMMYFUNCTION("""COMPUTED_VALUE"""),3280400.0)</f>
        <v>3280400</v>
      </c>
      <c r="G156" s="5">
        <f t="shared" si="1"/>
        <v>300</v>
      </c>
    </row>
    <row r="157">
      <c r="A157" s="4">
        <f>IFERROR(__xludf.DUMMYFUNCTION("""COMPUTED_VALUE"""),44067.66666666667)</f>
        <v>44067.66667</v>
      </c>
      <c r="B157" s="5">
        <f>IFERROR(__xludf.DUMMYFUNCTION("""COMPUTED_VALUE"""),9550.0)</f>
        <v>9550</v>
      </c>
      <c r="C157" s="5">
        <f>IFERROR(__xludf.DUMMYFUNCTION("""COMPUTED_VALUE"""),9775.0)</f>
        <v>9775</v>
      </c>
      <c r="D157" s="5">
        <f>IFERROR(__xludf.DUMMYFUNCTION("""COMPUTED_VALUE"""),9550.0)</f>
        <v>9550</v>
      </c>
      <c r="E157" s="5">
        <f>IFERROR(__xludf.DUMMYFUNCTION("""COMPUTED_VALUE"""),9700.0)</f>
        <v>9700</v>
      </c>
      <c r="F157" s="5">
        <f>IFERROR(__xludf.DUMMYFUNCTION("""COMPUTED_VALUE"""),4114800.0)</f>
        <v>4114800</v>
      </c>
      <c r="G157" s="5">
        <f t="shared" si="1"/>
        <v>225</v>
      </c>
    </row>
    <row r="158">
      <c r="A158" s="4">
        <f>IFERROR(__xludf.DUMMYFUNCTION("""COMPUTED_VALUE"""),44068.66666666667)</f>
        <v>44068.66667</v>
      </c>
      <c r="B158" s="5">
        <f>IFERROR(__xludf.DUMMYFUNCTION("""COMPUTED_VALUE"""),9800.0)</f>
        <v>9800</v>
      </c>
      <c r="C158" s="5">
        <f>IFERROR(__xludf.DUMMYFUNCTION("""COMPUTED_VALUE"""),10525.0)</f>
        <v>10525</v>
      </c>
      <c r="D158" s="5">
        <f>IFERROR(__xludf.DUMMYFUNCTION("""COMPUTED_VALUE"""),9725.0)</f>
        <v>9725</v>
      </c>
      <c r="E158" s="5">
        <f>IFERROR(__xludf.DUMMYFUNCTION("""COMPUTED_VALUE"""),10300.0)</f>
        <v>10300</v>
      </c>
      <c r="F158" s="5">
        <f>IFERROR(__xludf.DUMMYFUNCTION("""COMPUTED_VALUE"""),1.82544E7)</f>
        <v>18254400</v>
      </c>
      <c r="G158" s="5">
        <f t="shared" si="1"/>
        <v>825</v>
      </c>
    </row>
    <row r="159">
      <c r="A159" s="4">
        <f>IFERROR(__xludf.DUMMYFUNCTION("""COMPUTED_VALUE"""),44069.66666666667)</f>
        <v>44069.66667</v>
      </c>
      <c r="B159" s="5">
        <f>IFERROR(__xludf.DUMMYFUNCTION("""COMPUTED_VALUE"""),10400.0)</f>
        <v>10400</v>
      </c>
      <c r="C159" s="5">
        <f>IFERROR(__xludf.DUMMYFUNCTION("""COMPUTED_VALUE"""),10550.0)</f>
        <v>10550</v>
      </c>
      <c r="D159" s="5">
        <f>IFERROR(__xludf.DUMMYFUNCTION("""COMPUTED_VALUE"""),10250.0)</f>
        <v>10250</v>
      </c>
      <c r="E159" s="5">
        <f>IFERROR(__xludf.DUMMYFUNCTION("""COMPUTED_VALUE"""),10450.0)</f>
        <v>10450</v>
      </c>
      <c r="F159" s="5">
        <f>IFERROR(__xludf.DUMMYFUNCTION("""COMPUTED_VALUE"""),7422000.0)</f>
        <v>7422000</v>
      </c>
      <c r="G159" s="5">
        <f t="shared" si="1"/>
        <v>300</v>
      </c>
    </row>
    <row r="160">
      <c r="A160" s="4">
        <f>IFERROR(__xludf.DUMMYFUNCTION("""COMPUTED_VALUE"""),44070.66666666667)</f>
        <v>44070.66667</v>
      </c>
      <c r="B160" s="5">
        <f>IFERROR(__xludf.DUMMYFUNCTION("""COMPUTED_VALUE"""),10450.0)</f>
        <v>10450</v>
      </c>
      <c r="C160" s="5">
        <f>IFERROR(__xludf.DUMMYFUNCTION("""COMPUTED_VALUE"""),10700.0)</f>
        <v>10700</v>
      </c>
      <c r="D160" s="5">
        <f>IFERROR(__xludf.DUMMYFUNCTION("""COMPUTED_VALUE"""),10325.0)</f>
        <v>10325</v>
      </c>
      <c r="E160" s="5">
        <f>IFERROR(__xludf.DUMMYFUNCTION("""COMPUTED_VALUE"""),10675.0)</f>
        <v>10675</v>
      </c>
      <c r="F160" s="5">
        <f>IFERROR(__xludf.DUMMYFUNCTION("""COMPUTED_VALUE"""),4458700.0)</f>
        <v>4458700</v>
      </c>
      <c r="G160" s="5">
        <f t="shared" si="1"/>
        <v>375</v>
      </c>
    </row>
    <row r="161">
      <c r="A161" s="4">
        <f>IFERROR(__xludf.DUMMYFUNCTION("""COMPUTED_VALUE"""),44071.66666666667)</f>
        <v>44071.66667</v>
      </c>
      <c r="B161" s="5">
        <f>IFERROR(__xludf.DUMMYFUNCTION("""COMPUTED_VALUE"""),10675.0)</f>
        <v>10675</v>
      </c>
      <c r="C161" s="5">
        <f>IFERROR(__xludf.DUMMYFUNCTION("""COMPUTED_VALUE"""),10850.0)</f>
        <v>10850</v>
      </c>
      <c r="D161" s="5">
        <f>IFERROR(__xludf.DUMMYFUNCTION("""COMPUTED_VALUE"""),10525.0)</f>
        <v>10525</v>
      </c>
      <c r="E161" s="5">
        <f>IFERROR(__xludf.DUMMYFUNCTION("""COMPUTED_VALUE"""),10650.0)</f>
        <v>10650</v>
      </c>
      <c r="F161" s="5">
        <f>IFERROR(__xludf.DUMMYFUNCTION("""COMPUTED_VALUE"""),5236900.0)</f>
        <v>5236900</v>
      </c>
      <c r="G161" s="5">
        <f t="shared" si="1"/>
        <v>325</v>
      </c>
    </row>
    <row r="162">
      <c r="A162" s="4">
        <f>IFERROR(__xludf.DUMMYFUNCTION("""COMPUTED_VALUE"""),44074.66666666667)</f>
        <v>44074.66667</v>
      </c>
      <c r="B162" s="5">
        <f>IFERROR(__xludf.DUMMYFUNCTION("""COMPUTED_VALUE"""),10650.0)</f>
        <v>10650</v>
      </c>
      <c r="C162" s="5">
        <f>IFERROR(__xludf.DUMMYFUNCTION("""COMPUTED_VALUE"""),10800.0)</f>
        <v>10800</v>
      </c>
      <c r="D162" s="5">
        <f>IFERROR(__xludf.DUMMYFUNCTION("""COMPUTED_VALUE"""),10150.0)</f>
        <v>10150</v>
      </c>
      <c r="E162" s="5">
        <f>IFERROR(__xludf.DUMMYFUNCTION("""COMPUTED_VALUE"""),10550.0)</f>
        <v>10550</v>
      </c>
      <c r="F162" s="5">
        <f>IFERROR(__xludf.DUMMYFUNCTION("""COMPUTED_VALUE"""),9855700.0)</f>
        <v>9855700</v>
      </c>
      <c r="G162" s="5">
        <f t="shared" si="1"/>
        <v>650</v>
      </c>
    </row>
    <row r="163">
      <c r="A163" s="4">
        <f>IFERROR(__xludf.DUMMYFUNCTION("""COMPUTED_VALUE"""),44075.66666666667)</f>
        <v>44075.66667</v>
      </c>
      <c r="B163" s="5">
        <f>IFERROR(__xludf.DUMMYFUNCTION("""COMPUTED_VALUE"""),10500.0)</f>
        <v>10500</v>
      </c>
      <c r="C163" s="5">
        <f>IFERROR(__xludf.DUMMYFUNCTION("""COMPUTED_VALUE"""),11000.0)</f>
        <v>11000</v>
      </c>
      <c r="D163" s="5">
        <f>IFERROR(__xludf.DUMMYFUNCTION("""COMPUTED_VALUE"""),10400.0)</f>
        <v>10400</v>
      </c>
      <c r="E163" s="5">
        <f>IFERROR(__xludf.DUMMYFUNCTION("""COMPUTED_VALUE"""),11000.0)</f>
        <v>11000</v>
      </c>
      <c r="F163" s="5">
        <f>IFERROR(__xludf.DUMMYFUNCTION("""COMPUTED_VALUE"""),4721700.0)</f>
        <v>4721700</v>
      </c>
      <c r="G163" s="5">
        <f t="shared" si="1"/>
        <v>600</v>
      </c>
    </row>
    <row r="164">
      <c r="A164" s="4">
        <f>IFERROR(__xludf.DUMMYFUNCTION("""COMPUTED_VALUE"""),44076.66666666667)</f>
        <v>44076.66667</v>
      </c>
      <c r="B164" s="5">
        <f>IFERROR(__xludf.DUMMYFUNCTION("""COMPUTED_VALUE"""),11200.0)</f>
        <v>11200</v>
      </c>
      <c r="C164" s="5">
        <f>IFERROR(__xludf.DUMMYFUNCTION("""COMPUTED_VALUE"""),11275.0)</f>
        <v>11275</v>
      </c>
      <c r="D164" s="5">
        <f>IFERROR(__xludf.DUMMYFUNCTION("""COMPUTED_VALUE"""),10650.0)</f>
        <v>10650</v>
      </c>
      <c r="E164" s="5">
        <f>IFERROR(__xludf.DUMMYFUNCTION("""COMPUTED_VALUE"""),10700.0)</f>
        <v>10700</v>
      </c>
      <c r="F164" s="5">
        <f>IFERROR(__xludf.DUMMYFUNCTION("""COMPUTED_VALUE"""),6311600.0)</f>
        <v>6311600</v>
      </c>
      <c r="G164" s="5">
        <f t="shared" si="1"/>
        <v>625</v>
      </c>
    </row>
    <row r="165">
      <c r="A165" s="4">
        <f>IFERROR(__xludf.DUMMYFUNCTION("""COMPUTED_VALUE"""),44077.66666666667)</f>
        <v>44077.66667</v>
      </c>
      <c r="B165" s="5">
        <f>IFERROR(__xludf.DUMMYFUNCTION("""COMPUTED_VALUE"""),10700.0)</f>
        <v>10700</v>
      </c>
      <c r="C165" s="5">
        <f>IFERROR(__xludf.DUMMYFUNCTION("""COMPUTED_VALUE"""),10850.0)</f>
        <v>10850</v>
      </c>
      <c r="D165" s="5">
        <f>IFERROR(__xludf.DUMMYFUNCTION("""COMPUTED_VALUE"""),10400.0)</f>
        <v>10400</v>
      </c>
      <c r="E165" s="5">
        <f>IFERROR(__xludf.DUMMYFUNCTION("""COMPUTED_VALUE"""),10525.0)</f>
        <v>10525</v>
      </c>
      <c r="F165" s="5">
        <f>IFERROR(__xludf.DUMMYFUNCTION("""COMPUTED_VALUE"""),4580000.0)</f>
        <v>4580000</v>
      </c>
      <c r="G165" s="5">
        <f t="shared" si="1"/>
        <v>450</v>
      </c>
    </row>
    <row r="166">
      <c r="A166" s="4">
        <f>IFERROR(__xludf.DUMMYFUNCTION("""COMPUTED_VALUE"""),44078.66666666667)</f>
        <v>44078.66667</v>
      </c>
      <c r="B166" s="5">
        <f>IFERROR(__xludf.DUMMYFUNCTION("""COMPUTED_VALUE"""),10400.0)</f>
        <v>10400</v>
      </c>
      <c r="C166" s="5">
        <f>IFERROR(__xludf.DUMMYFUNCTION("""COMPUTED_VALUE"""),10500.0)</f>
        <v>10500</v>
      </c>
      <c r="D166" s="5">
        <f>IFERROR(__xludf.DUMMYFUNCTION("""COMPUTED_VALUE"""),10250.0)</f>
        <v>10250</v>
      </c>
      <c r="E166" s="5">
        <f>IFERROR(__xludf.DUMMYFUNCTION("""COMPUTED_VALUE"""),10350.0)</f>
        <v>10350</v>
      </c>
      <c r="F166" s="5">
        <f>IFERROR(__xludf.DUMMYFUNCTION("""COMPUTED_VALUE"""),6055500.0)</f>
        <v>6055500</v>
      </c>
      <c r="G166" s="5">
        <f t="shared" si="1"/>
        <v>275</v>
      </c>
    </row>
    <row r="167">
      <c r="A167" s="4">
        <f>IFERROR(__xludf.DUMMYFUNCTION("""COMPUTED_VALUE"""),44081.66666666667)</f>
        <v>44081.66667</v>
      </c>
      <c r="B167" s="5">
        <f>IFERROR(__xludf.DUMMYFUNCTION("""COMPUTED_VALUE"""),10400.0)</f>
        <v>10400</v>
      </c>
      <c r="C167" s="5">
        <f>IFERROR(__xludf.DUMMYFUNCTION("""COMPUTED_VALUE"""),10600.0)</f>
        <v>10600</v>
      </c>
      <c r="D167" s="5">
        <f>IFERROR(__xludf.DUMMYFUNCTION("""COMPUTED_VALUE"""),10350.0)</f>
        <v>10350</v>
      </c>
      <c r="E167" s="5">
        <f>IFERROR(__xludf.DUMMYFUNCTION("""COMPUTED_VALUE"""),10575.0)</f>
        <v>10575</v>
      </c>
      <c r="F167" s="5">
        <f>IFERROR(__xludf.DUMMYFUNCTION("""COMPUTED_VALUE"""),1916800.0)</f>
        <v>1916800</v>
      </c>
      <c r="G167" s="5">
        <f t="shared" si="1"/>
        <v>250</v>
      </c>
    </row>
    <row r="168">
      <c r="A168" s="4">
        <f>IFERROR(__xludf.DUMMYFUNCTION("""COMPUTED_VALUE"""),44082.66666666667)</f>
        <v>44082.66667</v>
      </c>
      <c r="B168" s="5">
        <f>IFERROR(__xludf.DUMMYFUNCTION("""COMPUTED_VALUE"""),10575.0)</f>
        <v>10575</v>
      </c>
      <c r="C168" s="5">
        <f>IFERROR(__xludf.DUMMYFUNCTION("""COMPUTED_VALUE"""),10625.0)</f>
        <v>10625</v>
      </c>
      <c r="D168" s="5">
        <f>IFERROR(__xludf.DUMMYFUNCTION("""COMPUTED_VALUE"""),10200.0)</f>
        <v>10200</v>
      </c>
      <c r="E168" s="5">
        <f>IFERROR(__xludf.DUMMYFUNCTION("""COMPUTED_VALUE"""),10200.0)</f>
        <v>10200</v>
      </c>
      <c r="F168" s="5">
        <f>IFERROR(__xludf.DUMMYFUNCTION("""COMPUTED_VALUE"""),3405800.0)</f>
        <v>3405800</v>
      </c>
      <c r="G168" s="5">
        <f t="shared" si="1"/>
        <v>425</v>
      </c>
    </row>
    <row r="169">
      <c r="A169" s="4">
        <f>IFERROR(__xludf.DUMMYFUNCTION("""COMPUTED_VALUE"""),44083.66666666667)</f>
        <v>44083.66667</v>
      </c>
      <c r="B169" s="5">
        <f>IFERROR(__xludf.DUMMYFUNCTION("""COMPUTED_VALUE"""),10200.0)</f>
        <v>10200</v>
      </c>
      <c r="C169" s="5">
        <f>IFERROR(__xludf.DUMMYFUNCTION("""COMPUTED_VALUE"""),10275.0)</f>
        <v>10275</v>
      </c>
      <c r="D169" s="5">
        <f>IFERROR(__xludf.DUMMYFUNCTION("""COMPUTED_VALUE"""),10025.0)</f>
        <v>10025</v>
      </c>
      <c r="E169" s="5">
        <f>IFERROR(__xludf.DUMMYFUNCTION("""COMPUTED_VALUE"""),10100.0)</f>
        <v>10100</v>
      </c>
      <c r="F169" s="5">
        <f>IFERROR(__xludf.DUMMYFUNCTION("""COMPUTED_VALUE"""),5598200.0)</f>
        <v>5598200</v>
      </c>
      <c r="G169" s="5">
        <f t="shared" si="1"/>
        <v>250</v>
      </c>
    </row>
    <row r="170">
      <c r="A170" s="4">
        <f>IFERROR(__xludf.DUMMYFUNCTION("""COMPUTED_VALUE"""),44084.66666666667)</f>
        <v>44084.66667</v>
      </c>
      <c r="B170" s="5">
        <f>IFERROR(__xludf.DUMMYFUNCTION("""COMPUTED_VALUE"""),9800.0)</f>
        <v>9800</v>
      </c>
      <c r="C170" s="5">
        <f>IFERROR(__xludf.DUMMYFUNCTION("""COMPUTED_VALUE"""),9800.0)</f>
        <v>9800</v>
      </c>
      <c r="D170" s="5">
        <f>IFERROR(__xludf.DUMMYFUNCTION("""COMPUTED_VALUE"""),9400.0)</f>
        <v>9400</v>
      </c>
      <c r="E170" s="5">
        <f>IFERROR(__xludf.DUMMYFUNCTION("""COMPUTED_VALUE"""),9400.0)</f>
        <v>9400</v>
      </c>
      <c r="F170" s="5">
        <f>IFERROR(__xludf.DUMMYFUNCTION("""COMPUTED_VALUE"""),6534700.0)</f>
        <v>6534700</v>
      </c>
      <c r="G170" s="5">
        <f t="shared" si="1"/>
        <v>700</v>
      </c>
    </row>
    <row r="171">
      <c r="A171" s="4">
        <f>IFERROR(__xludf.DUMMYFUNCTION("""COMPUTED_VALUE"""),44085.66666666667)</f>
        <v>44085.66667</v>
      </c>
      <c r="B171" s="5">
        <f>IFERROR(__xludf.DUMMYFUNCTION("""COMPUTED_VALUE"""),8750.0)</f>
        <v>8750</v>
      </c>
      <c r="C171" s="5">
        <f>IFERROR(__xludf.DUMMYFUNCTION("""COMPUTED_VALUE"""),9550.0)</f>
        <v>9550</v>
      </c>
      <c r="D171" s="5">
        <f>IFERROR(__xludf.DUMMYFUNCTION("""COMPUTED_VALUE"""),8750.0)</f>
        <v>8750</v>
      </c>
      <c r="E171" s="5">
        <f>IFERROR(__xludf.DUMMYFUNCTION("""COMPUTED_VALUE"""),9400.0)</f>
        <v>9400</v>
      </c>
      <c r="F171" s="5">
        <f>IFERROR(__xludf.DUMMYFUNCTION("""COMPUTED_VALUE"""),1.41784E7)</f>
        <v>14178400</v>
      </c>
      <c r="G171" s="5">
        <f t="shared" si="1"/>
        <v>800</v>
      </c>
    </row>
    <row r="172">
      <c r="A172" s="4">
        <f>IFERROR(__xludf.DUMMYFUNCTION("""COMPUTED_VALUE"""),44088.66666666667)</f>
        <v>44088.66667</v>
      </c>
      <c r="B172" s="5">
        <f>IFERROR(__xludf.DUMMYFUNCTION("""COMPUTED_VALUE"""),9700.0)</f>
        <v>9700</v>
      </c>
      <c r="C172" s="5">
        <f>IFERROR(__xludf.DUMMYFUNCTION("""COMPUTED_VALUE"""),9900.0)</f>
        <v>9900</v>
      </c>
      <c r="D172" s="5">
        <f>IFERROR(__xludf.DUMMYFUNCTION("""COMPUTED_VALUE"""),9600.0)</f>
        <v>9600</v>
      </c>
      <c r="E172" s="5">
        <f>IFERROR(__xludf.DUMMYFUNCTION("""COMPUTED_VALUE"""),9850.0)</f>
        <v>9850</v>
      </c>
      <c r="F172" s="5">
        <f>IFERROR(__xludf.DUMMYFUNCTION("""COMPUTED_VALUE"""),4866800.0)</f>
        <v>4866800</v>
      </c>
      <c r="G172" s="5">
        <f t="shared" si="1"/>
        <v>500</v>
      </c>
    </row>
    <row r="173">
      <c r="A173" s="4">
        <f>IFERROR(__xludf.DUMMYFUNCTION("""COMPUTED_VALUE"""),44089.66666666667)</f>
        <v>44089.66667</v>
      </c>
      <c r="B173" s="5">
        <f>IFERROR(__xludf.DUMMYFUNCTION("""COMPUTED_VALUE"""),9800.0)</f>
        <v>9800</v>
      </c>
      <c r="C173" s="5">
        <f>IFERROR(__xludf.DUMMYFUNCTION("""COMPUTED_VALUE"""),9900.0)</f>
        <v>9900</v>
      </c>
      <c r="D173" s="5">
        <f>IFERROR(__xludf.DUMMYFUNCTION("""COMPUTED_VALUE"""),9600.0)</f>
        <v>9600</v>
      </c>
      <c r="E173" s="5">
        <f>IFERROR(__xludf.DUMMYFUNCTION("""COMPUTED_VALUE"""),9625.0)</f>
        <v>9625</v>
      </c>
      <c r="F173" s="5">
        <f>IFERROR(__xludf.DUMMYFUNCTION("""COMPUTED_VALUE"""),3279600.0)</f>
        <v>3279600</v>
      </c>
      <c r="G173" s="5">
        <f t="shared" si="1"/>
        <v>300</v>
      </c>
    </row>
    <row r="174">
      <c r="A174" s="4">
        <f>IFERROR(__xludf.DUMMYFUNCTION("""COMPUTED_VALUE"""),44090.66666666667)</f>
        <v>44090.66667</v>
      </c>
      <c r="B174" s="5">
        <f>IFERROR(__xludf.DUMMYFUNCTION("""COMPUTED_VALUE"""),9650.0)</f>
        <v>9650</v>
      </c>
      <c r="C174" s="5">
        <f>IFERROR(__xludf.DUMMYFUNCTION("""COMPUTED_VALUE"""),9725.0)</f>
        <v>9725</v>
      </c>
      <c r="D174" s="5">
        <f>IFERROR(__xludf.DUMMYFUNCTION("""COMPUTED_VALUE"""),9400.0)</f>
        <v>9400</v>
      </c>
      <c r="E174" s="5">
        <f>IFERROR(__xludf.DUMMYFUNCTION("""COMPUTED_VALUE"""),9400.0)</f>
        <v>9400</v>
      </c>
      <c r="F174" s="5">
        <f>IFERROR(__xludf.DUMMYFUNCTION("""COMPUTED_VALUE"""),3086100.0)</f>
        <v>3086100</v>
      </c>
      <c r="G174" s="5">
        <f t="shared" si="1"/>
        <v>325</v>
      </c>
    </row>
    <row r="175">
      <c r="A175" s="4">
        <f>IFERROR(__xludf.DUMMYFUNCTION("""COMPUTED_VALUE"""),44091.66666666667)</f>
        <v>44091.66667</v>
      </c>
      <c r="B175" s="5">
        <f>IFERROR(__xludf.DUMMYFUNCTION("""COMPUTED_VALUE"""),9400.0)</f>
        <v>9400</v>
      </c>
      <c r="C175" s="5">
        <f>IFERROR(__xludf.DUMMYFUNCTION("""COMPUTED_VALUE"""),9450.0)</f>
        <v>9450</v>
      </c>
      <c r="D175" s="5">
        <f>IFERROR(__xludf.DUMMYFUNCTION("""COMPUTED_VALUE"""),9150.0)</f>
        <v>9150</v>
      </c>
      <c r="E175" s="5">
        <f>IFERROR(__xludf.DUMMYFUNCTION("""COMPUTED_VALUE"""),9300.0)</f>
        <v>9300</v>
      </c>
      <c r="F175" s="5">
        <f>IFERROR(__xludf.DUMMYFUNCTION("""COMPUTED_VALUE"""),3337800.0)</f>
        <v>3337800</v>
      </c>
      <c r="G175" s="5">
        <f t="shared" si="1"/>
        <v>300</v>
      </c>
    </row>
    <row r="176">
      <c r="A176" s="4">
        <f>IFERROR(__xludf.DUMMYFUNCTION("""COMPUTED_VALUE"""),44092.66666666667)</f>
        <v>44092.66667</v>
      </c>
      <c r="B176" s="5">
        <f>IFERROR(__xludf.DUMMYFUNCTION("""COMPUTED_VALUE"""),9300.0)</f>
        <v>9300</v>
      </c>
      <c r="C176" s="5">
        <f>IFERROR(__xludf.DUMMYFUNCTION("""COMPUTED_VALUE"""),9325.0)</f>
        <v>9325</v>
      </c>
      <c r="D176" s="5">
        <f>IFERROR(__xludf.DUMMYFUNCTION("""COMPUTED_VALUE"""),9175.0)</f>
        <v>9175</v>
      </c>
      <c r="E176" s="5">
        <f>IFERROR(__xludf.DUMMYFUNCTION("""COMPUTED_VALUE"""),9325.0)</f>
        <v>9325</v>
      </c>
      <c r="F176" s="5">
        <f>IFERROR(__xludf.DUMMYFUNCTION("""COMPUTED_VALUE"""),4125100.0)</f>
        <v>4125100</v>
      </c>
      <c r="G176" s="5">
        <f t="shared" si="1"/>
        <v>150</v>
      </c>
    </row>
    <row r="177">
      <c r="A177" s="4">
        <f>IFERROR(__xludf.DUMMYFUNCTION("""COMPUTED_VALUE"""),44095.66666666667)</f>
        <v>44095.66667</v>
      </c>
      <c r="B177" s="5">
        <f>IFERROR(__xludf.DUMMYFUNCTION("""COMPUTED_VALUE"""),9325.0)</f>
        <v>9325</v>
      </c>
      <c r="C177" s="5">
        <f>IFERROR(__xludf.DUMMYFUNCTION("""COMPUTED_VALUE"""),9375.0)</f>
        <v>9375</v>
      </c>
      <c r="D177" s="5">
        <f>IFERROR(__xludf.DUMMYFUNCTION("""COMPUTED_VALUE"""),9075.0)</f>
        <v>9075</v>
      </c>
      <c r="E177" s="5">
        <f>IFERROR(__xludf.DUMMYFUNCTION("""COMPUTED_VALUE"""),9200.0)</f>
        <v>9200</v>
      </c>
      <c r="F177" s="5">
        <f>IFERROR(__xludf.DUMMYFUNCTION("""COMPUTED_VALUE"""),3759500.0)</f>
        <v>3759500</v>
      </c>
      <c r="G177" s="5">
        <f t="shared" si="1"/>
        <v>300</v>
      </c>
    </row>
    <row r="178">
      <c r="A178" s="4">
        <f>IFERROR(__xludf.DUMMYFUNCTION("""COMPUTED_VALUE"""),44096.66666666667)</f>
        <v>44096.66667</v>
      </c>
      <c r="B178" s="5">
        <f>IFERROR(__xludf.DUMMYFUNCTION("""COMPUTED_VALUE"""),9000.0)</f>
        <v>9000</v>
      </c>
      <c r="C178" s="5">
        <f>IFERROR(__xludf.DUMMYFUNCTION("""COMPUTED_VALUE"""),9150.0)</f>
        <v>9150</v>
      </c>
      <c r="D178" s="5">
        <f>IFERROR(__xludf.DUMMYFUNCTION("""COMPUTED_VALUE"""),8975.0)</f>
        <v>8975</v>
      </c>
      <c r="E178" s="5">
        <f>IFERROR(__xludf.DUMMYFUNCTION("""COMPUTED_VALUE"""),9025.0)</f>
        <v>9025</v>
      </c>
      <c r="F178" s="5">
        <f>IFERROR(__xludf.DUMMYFUNCTION("""COMPUTED_VALUE"""),5843000.0)</f>
        <v>5843000</v>
      </c>
      <c r="G178" s="5">
        <f t="shared" si="1"/>
        <v>225</v>
      </c>
    </row>
    <row r="179">
      <c r="A179" s="4">
        <f>IFERROR(__xludf.DUMMYFUNCTION("""COMPUTED_VALUE"""),44097.66666666667)</f>
        <v>44097.66667</v>
      </c>
      <c r="B179" s="5">
        <f>IFERROR(__xludf.DUMMYFUNCTION("""COMPUTED_VALUE"""),9050.0)</f>
        <v>9050</v>
      </c>
      <c r="C179" s="5">
        <f>IFERROR(__xludf.DUMMYFUNCTION("""COMPUTED_VALUE"""),9150.0)</f>
        <v>9150</v>
      </c>
      <c r="D179" s="5">
        <f>IFERROR(__xludf.DUMMYFUNCTION("""COMPUTED_VALUE"""),8725.0)</f>
        <v>8725</v>
      </c>
      <c r="E179" s="5">
        <f>IFERROR(__xludf.DUMMYFUNCTION("""COMPUTED_VALUE"""),8900.0)</f>
        <v>8900</v>
      </c>
      <c r="F179" s="5">
        <f>IFERROR(__xludf.DUMMYFUNCTION("""COMPUTED_VALUE"""),4843000.0)</f>
        <v>4843000</v>
      </c>
      <c r="G179" s="5">
        <f t="shared" si="1"/>
        <v>425</v>
      </c>
    </row>
    <row r="180">
      <c r="A180" s="4">
        <f>IFERROR(__xludf.DUMMYFUNCTION("""COMPUTED_VALUE"""),44098.66666666667)</f>
        <v>44098.66667</v>
      </c>
      <c r="B180" s="5">
        <f>IFERROR(__xludf.DUMMYFUNCTION("""COMPUTED_VALUE"""),8700.0)</f>
        <v>8700</v>
      </c>
      <c r="C180" s="5">
        <f>IFERROR(__xludf.DUMMYFUNCTION("""COMPUTED_VALUE"""),8850.0)</f>
        <v>8850</v>
      </c>
      <c r="D180" s="5">
        <f>IFERROR(__xludf.DUMMYFUNCTION("""COMPUTED_VALUE"""),8600.0)</f>
        <v>8600</v>
      </c>
      <c r="E180" s="5">
        <f>IFERROR(__xludf.DUMMYFUNCTION("""COMPUTED_VALUE"""),8800.0)</f>
        <v>8800</v>
      </c>
      <c r="F180" s="5">
        <f>IFERROR(__xludf.DUMMYFUNCTION("""COMPUTED_VALUE"""),7570800.0)</f>
        <v>7570800</v>
      </c>
      <c r="G180" s="5">
        <f t="shared" si="1"/>
        <v>300</v>
      </c>
    </row>
    <row r="181">
      <c r="A181" s="4">
        <f>IFERROR(__xludf.DUMMYFUNCTION("""COMPUTED_VALUE"""),44099.66666666667)</f>
        <v>44099.66667</v>
      </c>
      <c r="B181" s="5">
        <f>IFERROR(__xludf.DUMMYFUNCTION("""COMPUTED_VALUE"""),8750.0)</f>
        <v>8750</v>
      </c>
      <c r="C181" s="5">
        <f>IFERROR(__xludf.DUMMYFUNCTION("""COMPUTED_VALUE"""),8900.0)</f>
        <v>8900</v>
      </c>
      <c r="D181" s="5">
        <f>IFERROR(__xludf.DUMMYFUNCTION("""COMPUTED_VALUE"""),8700.0)</f>
        <v>8700</v>
      </c>
      <c r="E181" s="5">
        <f>IFERROR(__xludf.DUMMYFUNCTION("""COMPUTED_VALUE"""),8800.0)</f>
        <v>8800</v>
      </c>
      <c r="F181" s="5">
        <f>IFERROR(__xludf.DUMMYFUNCTION("""COMPUTED_VALUE"""),6476100.0)</f>
        <v>6476100</v>
      </c>
      <c r="G181" s="5">
        <f t="shared" si="1"/>
        <v>200</v>
      </c>
    </row>
    <row r="182">
      <c r="A182" s="4">
        <f>IFERROR(__xludf.DUMMYFUNCTION("""COMPUTED_VALUE"""),44102.66666666667)</f>
        <v>44102.66667</v>
      </c>
      <c r="B182" s="5">
        <f>IFERROR(__xludf.DUMMYFUNCTION("""COMPUTED_VALUE"""),9000.0)</f>
        <v>9000</v>
      </c>
      <c r="C182" s="5">
        <f>IFERROR(__xludf.DUMMYFUNCTION("""COMPUTED_VALUE"""),9200.0)</f>
        <v>9200</v>
      </c>
      <c r="D182" s="5">
        <f>IFERROR(__xludf.DUMMYFUNCTION("""COMPUTED_VALUE"""),8850.0)</f>
        <v>8850</v>
      </c>
      <c r="E182" s="5">
        <f>IFERROR(__xludf.DUMMYFUNCTION("""COMPUTED_VALUE"""),9125.0)</f>
        <v>9125</v>
      </c>
      <c r="F182" s="5">
        <f>IFERROR(__xludf.DUMMYFUNCTION("""COMPUTED_VALUE"""),4453000.0)</f>
        <v>4453000</v>
      </c>
      <c r="G182" s="5">
        <f t="shared" si="1"/>
        <v>400</v>
      </c>
    </row>
    <row r="183">
      <c r="A183" s="4">
        <f>IFERROR(__xludf.DUMMYFUNCTION("""COMPUTED_VALUE"""),44103.66666666667)</f>
        <v>44103.66667</v>
      </c>
      <c r="B183" s="5">
        <f>IFERROR(__xludf.DUMMYFUNCTION("""COMPUTED_VALUE"""),9225.0)</f>
        <v>9225</v>
      </c>
      <c r="C183" s="5">
        <f>IFERROR(__xludf.DUMMYFUNCTION("""COMPUTED_VALUE"""),9250.0)</f>
        <v>9250</v>
      </c>
      <c r="D183" s="5">
        <f>IFERROR(__xludf.DUMMYFUNCTION("""COMPUTED_VALUE"""),9025.0)</f>
        <v>9025</v>
      </c>
      <c r="E183" s="5">
        <f>IFERROR(__xludf.DUMMYFUNCTION("""COMPUTED_VALUE"""),9100.0)</f>
        <v>9100</v>
      </c>
      <c r="F183" s="5">
        <f>IFERROR(__xludf.DUMMYFUNCTION("""COMPUTED_VALUE"""),3533600.0)</f>
        <v>3533600</v>
      </c>
      <c r="G183" s="5">
        <f t="shared" si="1"/>
        <v>225</v>
      </c>
    </row>
    <row r="184">
      <c r="A184" s="4">
        <f>IFERROR(__xludf.DUMMYFUNCTION("""COMPUTED_VALUE"""),44104.66666666667)</f>
        <v>44104.66667</v>
      </c>
      <c r="B184" s="5">
        <f>IFERROR(__xludf.DUMMYFUNCTION("""COMPUTED_VALUE"""),9250.0)</f>
        <v>9250</v>
      </c>
      <c r="C184" s="5">
        <f>IFERROR(__xludf.DUMMYFUNCTION("""COMPUTED_VALUE"""),9300.0)</f>
        <v>9300</v>
      </c>
      <c r="D184" s="5">
        <f>IFERROR(__xludf.DUMMYFUNCTION("""COMPUTED_VALUE"""),9025.0)</f>
        <v>9025</v>
      </c>
      <c r="E184" s="5">
        <f>IFERROR(__xludf.DUMMYFUNCTION("""COMPUTED_VALUE"""),9175.0)</f>
        <v>9175</v>
      </c>
      <c r="F184" s="5">
        <f>IFERROR(__xludf.DUMMYFUNCTION("""COMPUTED_VALUE"""),5021600.0)</f>
        <v>5021600</v>
      </c>
      <c r="G184" s="5">
        <f t="shared" si="1"/>
        <v>275</v>
      </c>
    </row>
    <row r="185">
      <c r="A185" s="4">
        <f>IFERROR(__xludf.DUMMYFUNCTION("""COMPUTED_VALUE"""),44105.66666666667)</f>
        <v>44105.66667</v>
      </c>
      <c r="B185" s="5">
        <f>IFERROR(__xludf.DUMMYFUNCTION("""COMPUTED_VALUE"""),9300.0)</f>
        <v>9300</v>
      </c>
      <c r="C185" s="5">
        <f>IFERROR(__xludf.DUMMYFUNCTION("""COMPUTED_VALUE"""),9575.0)</f>
        <v>9575</v>
      </c>
      <c r="D185" s="5">
        <f>IFERROR(__xludf.DUMMYFUNCTION("""COMPUTED_VALUE"""),9275.0)</f>
        <v>9275</v>
      </c>
      <c r="E185" s="5">
        <f>IFERROR(__xludf.DUMMYFUNCTION("""COMPUTED_VALUE"""),9575.0)</f>
        <v>9575</v>
      </c>
      <c r="F185" s="5">
        <f>IFERROR(__xludf.DUMMYFUNCTION("""COMPUTED_VALUE"""),4183800.0)</f>
        <v>4183800</v>
      </c>
      <c r="G185" s="5">
        <f t="shared" si="1"/>
        <v>400</v>
      </c>
    </row>
    <row r="186">
      <c r="A186" s="4">
        <f>IFERROR(__xludf.DUMMYFUNCTION("""COMPUTED_VALUE"""),44106.66666666667)</f>
        <v>44106.66667</v>
      </c>
      <c r="B186" s="5">
        <f>IFERROR(__xludf.DUMMYFUNCTION("""COMPUTED_VALUE"""),9625.0)</f>
        <v>9625</v>
      </c>
      <c r="C186" s="5">
        <f>IFERROR(__xludf.DUMMYFUNCTION("""COMPUTED_VALUE"""),9650.0)</f>
        <v>9650</v>
      </c>
      <c r="D186" s="5">
        <f>IFERROR(__xludf.DUMMYFUNCTION("""COMPUTED_VALUE"""),9200.0)</f>
        <v>9200</v>
      </c>
      <c r="E186" s="5">
        <f>IFERROR(__xludf.DUMMYFUNCTION("""COMPUTED_VALUE"""),9450.0)</f>
        <v>9450</v>
      </c>
      <c r="F186" s="5">
        <f>IFERROR(__xludf.DUMMYFUNCTION("""COMPUTED_VALUE"""),1766500.0)</f>
        <v>1766500</v>
      </c>
      <c r="G186" s="5">
        <f t="shared" si="1"/>
        <v>450</v>
      </c>
    </row>
    <row r="187">
      <c r="A187" s="4">
        <f>IFERROR(__xludf.DUMMYFUNCTION("""COMPUTED_VALUE"""),44109.66666666667)</f>
        <v>44109.66667</v>
      </c>
      <c r="B187" s="5">
        <f>IFERROR(__xludf.DUMMYFUNCTION("""COMPUTED_VALUE"""),9475.0)</f>
        <v>9475</v>
      </c>
      <c r="C187" s="5">
        <f>IFERROR(__xludf.DUMMYFUNCTION("""COMPUTED_VALUE"""),9575.0)</f>
        <v>9575</v>
      </c>
      <c r="D187" s="5">
        <f>IFERROR(__xludf.DUMMYFUNCTION("""COMPUTED_VALUE"""),9375.0)</f>
        <v>9375</v>
      </c>
      <c r="E187" s="5">
        <f>IFERROR(__xludf.DUMMYFUNCTION("""COMPUTED_VALUE"""),9450.0)</f>
        <v>9450</v>
      </c>
      <c r="F187" s="5">
        <f>IFERROR(__xludf.DUMMYFUNCTION("""COMPUTED_VALUE"""),1949800.0)</f>
        <v>1949800</v>
      </c>
      <c r="G187" s="5">
        <f t="shared" si="1"/>
        <v>200</v>
      </c>
    </row>
    <row r="188">
      <c r="A188" s="4">
        <f>IFERROR(__xludf.DUMMYFUNCTION("""COMPUTED_VALUE"""),44110.66666666667)</f>
        <v>44110.66667</v>
      </c>
      <c r="B188" s="5">
        <f>IFERROR(__xludf.DUMMYFUNCTION("""COMPUTED_VALUE"""),9600.0)</f>
        <v>9600</v>
      </c>
      <c r="C188" s="5">
        <f>IFERROR(__xludf.DUMMYFUNCTION("""COMPUTED_VALUE"""),9650.0)</f>
        <v>9650</v>
      </c>
      <c r="D188" s="5">
        <f>IFERROR(__xludf.DUMMYFUNCTION("""COMPUTED_VALUE"""),9325.0)</f>
        <v>9325</v>
      </c>
      <c r="E188" s="5">
        <f>IFERROR(__xludf.DUMMYFUNCTION("""COMPUTED_VALUE"""),9425.0)</f>
        <v>9425</v>
      </c>
      <c r="F188" s="5">
        <f>IFERROR(__xludf.DUMMYFUNCTION("""COMPUTED_VALUE"""),1677200.0)</f>
        <v>1677200</v>
      </c>
      <c r="G188" s="5">
        <f t="shared" si="1"/>
        <v>325</v>
      </c>
    </row>
    <row r="189">
      <c r="A189" s="4">
        <f>IFERROR(__xludf.DUMMYFUNCTION("""COMPUTED_VALUE"""),44111.66666666667)</f>
        <v>44111.66667</v>
      </c>
      <c r="B189" s="5">
        <f>IFERROR(__xludf.DUMMYFUNCTION("""COMPUTED_VALUE"""),9375.0)</f>
        <v>9375</v>
      </c>
      <c r="C189" s="5">
        <f>IFERROR(__xludf.DUMMYFUNCTION("""COMPUTED_VALUE"""),9475.0)</f>
        <v>9475</v>
      </c>
      <c r="D189" s="5">
        <f>IFERROR(__xludf.DUMMYFUNCTION("""COMPUTED_VALUE"""),9325.0)</f>
        <v>9325</v>
      </c>
      <c r="E189" s="5">
        <f>IFERROR(__xludf.DUMMYFUNCTION("""COMPUTED_VALUE"""),9475.0)</f>
        <v>9475</v>
      </c>
      <c r="F189" s="5">
        <f>IFERROR(__xludf.DUMMYFUNCTION("""COMPUTED_VALUE"""),1380100.0)</f>
        <v>1380100</v>
      </c>
      <c r="G189" s="5">
        <f t="shared" si="1"/>
        <v>150</v>
      </c>
    </row>
    <row r="190">
      <c r="A190" s="4">
        <f>IFERROR(__xludf.DUMMYFUNCTION("""COMPUTED_VALUE"""),44112.66666666667)</f>
        <v>44112.66667</v>
      </c>
      <c r="B190" s="5">
        <f>IFERROR(__xludf.DUMMYFUNCTION("""COMPUTED_VALUE"""),9450.0)</f>
        <v>9450</v>
      </c>
      <c r="C190" s="5">
        <f>IFERROR(__xludf.DUMMYFUNCTION("""COMPUTED_VALUE"""),9650.0)</f>
        <v>9650</v>
      </c>
      <c r="D190" s="5">
        <f>IFERROR(__xludf.DUMMYFUNCTION("""COMPUTED_VALUE"""),9350.0)</f>
        <v>9350</v>
      </c>
      <c r="E190" s="5">
        <f>IFERROR(__xludf.DUMMYFUNCTION("""COMPUTED_VALUE"""),9650.0)</f>
        <v>9650</v>
      </c>
      <c r="F190" s="5">
        <f>IFERROR(__xludf.DUMMYFUNCTION("""COMPUTED_VALUE"""),1036900.0)</f>
        <v>1036900</v>
      </c>
      <c r="G190" s="5">
        <f t="shared" si="1"/>
        <v>300</v>
      </c>
    </row>
    <row r="191">
      <c r="A191" s="4">
        <f>IFERROR(__xludf.DUMMYFUNCTION("""COMPUTED_VALUE"""),44113.66666666667)</f>
        <v>44113.66667</v>
      </c>
      <c r="B191" s="5">
        <f>IFERROR(__xludf.DUMMYFUNCTION("""COMPUTED_VALUE"""),9575.0)</f>
        <v>9575</v>
      </c>
      <c r="C191" s="5">
        <f>IFERROR(__xludf.DUMMYFUNCTION("""COMPUTED_VALUE"""),9575.0)</f>
        <v>9575</v>
      </c>
      <c r="D191" s="5">
        <f>IFERROR(__xludf.DUMMYFUNCTION("""COMPUTED_VALUE"""),9350.0)</f>
        <v>9350</v>
      </c>
      <c r="E191" s="5">
        <f>IFERROR(__xludf.DUMMYFUNCTION("""COMPUTED_VALUE"""),9375.0)</f>
        <v>9375</v>
      </c>
      <c r="F191" s="5">
        <f>IFERROR(__xludf.DUMMYFUNCTION("""COMPUTED_VALUE"""),2736100.0)</f>
        <v>2736100</v>
      </c>
      <c r="G191" s="5">
        <f t="shared" si="1"/>
        <v>300</v>
      </c>
    </row>
    <row r="192">
      <c r="A192" s="4">
        <f>IFERROR(__xludf.DUMMYFUNCTION("""COMPUTED_VALUE"""),44116.66666666667)</f>
        <v>44116.66667</v>
      </c>
      <c r="B192" s="5">
        <f>IFERROR(__xludf.DUMMYFUNCTION("""COMPUTED_VALUE"""),9375.0)</f>
        <v>9375</v>
      </c>
      <c r="C192" s="5">
        <f>IFERROR(__xludf.DUMMYFUNCTION("""COMPUTED_VALUE"""),9450.0)</f>
        <v>9450</v>
      </c>
      <c r="D192" s="5">
        <f>IFERROR(__xludf.DUMMYFUNCTION("""COMPUTED_VALUE"""),9250.0)</f>
        <v>9250</v>
      </c>
      <c r="E192" s="5">
        <f>IFERROR(__xludf.DUMMYFUNCTION("""COMPUTED_VALUE"""),9400.0)</f>
        <v>9400</v>
      </c>
      <c r="F192" s="5">
        <f>IFERROR(__xludf.DUMMYFUNCTION("""COMPUTED_VALUE"""),5312400.0)</f>
        <v>5312400</v>
      </c>
      <c r="G192" s="5">
        <f t="shared" si="1"/>
        <v>200</v>
      </c>
    </row>
    <row r="193">
      <c r="A193" s="4">
        <f>IFERROR(__xludf.DUMMYFUNCTION("""COMPUTED_VALUE"""),44117.66666666667)</f>
        <v>44117.66667</v>
      </c>
      <c r="B193" s="5">
        <f>IFERROR(__xludf.DUMMYFUNCTION("""COMPUTED_VALUE"""),9400.0)</f>
        <v>9400</v>
      </c>
      <c r="C193" s="5">
        <f>IFERROR(__xludf.DUMMYFUNCTION("""COMPUTED_VALUE"""),9450.0)</f>
        <v>9450</v>
      </c>
      <c r="D193" s="5">
        <f>IFERROR(__xludf.DUMMYFUNCTION("""COMPUTED_VALUE"""),9300.0)</f>
        <v>9300</v>
      </c>
      <c r="E193" s="5">
        <f>IFERROR(__xludf.DUMMYFUNCTION("""COMPUTED_VALUE"""),9350.0)</f>
        <v>9350</v>
      </c>
      <c r="F193" s="5">
        <f>IFERROR(__xludf.DUMMYFUNCTION("""COMPUTED_VALUE"""),2686300.0)</f>
        <v>2686300</v>
      </c>
      <c r="G193" s="5">
        <f t="shared" si="1"/>
        <v>150</v>
      </c>
    </row>
    <row r="194">
      <c r="A194" s="4">
        <f>IFERROR(__xludf.DUMMYFUNCTION("""COMPUTED_VALUE"""),44118.66666666667)</f>
        <v>44118.66667</v>
      </c>
      <c r="B194" s="5">
        <f>IFERROR(__xludf.DUMMYFUNCTION("""COMPUTED_VALUE"""),9350.0)</f>
        <v>9350</v>
      </c>
      <c r="C194" s="5">
        <f>IFERROR(__xludf.DUMMYFUNCTION("""COMPUTED_VALUE"""),9375.0)</f>
        <v>9375</v>
      </c>
      <c r="D194" s="5">
        <f>IFERROR(__xludf.DUMMYFUNCTION("""COMPUTED_VALUE"""),9250.0)</f>
        <v>9250</v>
      </c>
      <c r="E194" s="5">
        <f>IFERROR(__xludf.DUMMYFUNCTION("""COMPUTED_VALUE"""),9300.0)</f>
        <v>9300</v>
      </c>
      <c r="F194" s="5">
        <f>IFERROR(__xludf.DUMMYFUNCTION("""COMPUTED_VALUE"""),5697400.0)</f>
        <v>5697400</v>
      </c>
      <c r="G194" s="5">
        <f t="shared" si="1"/>
        <v>125</v>
      </c>
    </row>
    <row r="195">
      <c r="A195" s="4">
        <f>IFERROR(__xludf.DUMMYFUNCTION("""COMPUTED_VALUE"""),44119.66666666667)</f>
        <v>44119.66667</v>
      </c>
      <c r="B195" s="5">
        <f>IFERROR(__xludf.DUMMYFUNCTION("""COMPUTED_VALUE"""),9300.0)</f>
        <v>9300</v>
      </c>
      <c r="C195" s="5">
        <f>IFERROR(__xludf.DUMMYFUNCTION("""COMPUTED_VALUE"""),9400.0)</f>
        <v>9400</v>
      </c>
      <c r="D195" s="5">
        <f>IFERROR(__xludf.DUMMYFUNCTION("""COMPUTED_VALUE"""),9025.0)</f>
        <v>9025</v>
      </c>
      <c r="E195" s="5">
        <f>IFERROR(__xludf.DUMMYFUNCTION("""COMPUTED_VALUE"""),9100.0)</f>
        <v>9100</v>
      </c>
      <c r="F195" s="5">
        <f>IFERROR(__xludf.DUMMYFUNCTION("""COMPUTED_VALUE"""),5448800.0)</f>
        <v>5448800</v>
      </c>
      <c r="G195" s="5">
        <f t="shared" si="1"/>
        <v>375</v>
      </c>
    </row>
    <row r="196">
      <c r="A196" s="4">
        <f>IFERROR(__xludf.DUMMYFUNCTION("""COMPUTED_VALUE"""),44120.66666666667)</f>
        <v>44120.66667</v>
      </c>
      <c r="B196" s="5">
        <f>IFERROR(__xludf.DUMMYFUNCTION("""COMPUTED_VALUE"""),9100.0)</f>
        <v>9100</v>
      </c>
      <c r="C196" s="5">
        <f>IFERROR(__xludf.DUMMYFUNCTION("""COMPUTED_VALUE"""),9200.0)</f>
        <v>9200</v>
      </c>
      <c r="D196" s="5">
        <f>IFERROR(__xludf.DUMMYFUNCTION("""COMPUTED_VALUE"""),9075.0)</f>
        <v>9075</v>
      </c>
      <c r="E196" s="5">
        <f>IFERROR(__xludf.DUMMYFUNCTION("""COMPUTED_VALUE"""),9175.0)</f>
        <v>9175</v>
      </c>
      <c r="F196" s="5">
        <f>IFERROR(__xludf.DUMMYFUNCTION("""COMPUTED_VALUE"""),2755200.0)</f>
        <v>2755200</v>
      </c>
      <c r="G196" s="5">
        <f t="shared" si="1"/>
        <v>125</v>
      </c>
    </row>
    <row r="197">
      <c r="A197" s="4">
        <f>IFERROR(__xludf.DUMMYFUNCTION("""COMPUTED_VALUE"""),44123.66666666667)</f>
        <v>44123.66667</v>
      </c>
      <c r="B197" s="5">
        <f>IFERROR(__xludf.DUMMYFUNCTION("""COMPUTED_VALUE"""),9175.0)</f>
        <v>9175</v>
      </c>
      <c r="C197" s="5">
        <f>IFERROR(__xludf.DUMMYFUNCTION("""COMPUTED_VALUE"""),9225.0)</f>
        <v>9225</v>
      </c>
      <c r="D197" s="5">
        <f>IFERROR(__xludf.DUMMYFUNCTION("""COMPUTED_VALUE"""),9150.0)</f>
        <v>9150</v>
      </c>
      <c r="E197" s="5">
        <f>IFERROR(__xludf.DUMMYFUNCTION("""COMPUTED_VALUE"""),9175.0)</f>
        <v>9175</v>
      </c>
      <c r="F197" s="5">
        <f>IFERROR(__xludf.DUMMYFUNCTION("""COMPUTED_VALUE"""),1915400.0)</f>
        <v>1915400</v>
      </c>
      <c r="G197" s="5">
        <f t="shared" si="1"/>
        <v>75</v>
      </c>
    </row>
    <row r="198">
      <c r="A198" s="4">
        <f>IFERROR(__xludf.DUMMYFUNCTION("""COMPUTED_VALUE"""),44124.66666666667)</f>
        <v>44124.66667</v>
      </c>
      <c r="B198" s="5">
        <f>IFERROR(__xludf.DUMMYFUNCTION("""COMPUTED_VALUE"""),9150.0)</f>
        <v>9150</v>
      </c>
      <c r="C198" s="5">
        <f>IFERROR(__xludf.DUMMYFUNCTION("""COMPUTED_VALUE"""),9475.0)</f>
        <v>9475</v>
      </c>
      <c r="D198" s="5">
        <f>IFERROR(__xludf.DUMMYFUNCTION("""COMPUTED_VALUE"""),9150.0)</f>
        <v>9150</v>
      </c>
      <c r="E198" s="5">
        <f>IFERROR(__xludf.DUMMYFUNCTION("""COMPUTED_VALUE"""),9475.0)</f>
        <v>9475</v>
      </c>
      <c r="F198" s="5">
        <f>IFERROR(__xludf.DUMMYFUNCTION("""COMPUTED_VALUE"""),6069600.0)</f>
        <v>6069600</v>
      </c>
      <c r="G198" s="5">
        <f t="shared" si="1"/>
        <v>325</v>
      </c>
    </row>
    <row r="199">
      <c r="A199" s="4">
        <f>IFERROR(__xludf.DUMMYFUNCTION("""COMPUTED_VALUE"""),44125.66666666667)</f>
        <v>44125.66667</v>
      </c>
      <c r="B199" s="5">
        <f>IFERROR(__xludf.DUMMYFUNCTION("""COMPUTED_VALUE"""),9550.0)</f>
        <v>9550</v>
      </c>
      <c r="C199" s="5">
        <f>IFERROR(__xludf.DUMMYFUNCTION("""COMPUTED_VALUE"""),9600.0)</f>
        <v>9600</v>
      </c>
      <c r="D199" s="5">
        <f>IFERROR(__xludf.DUMMYFUNCTION("""COMPUTED_VALUE"""),9425.0)</f>
        <v>9425</v>
      </c>
      <c r="E199" s="5">
        <f>IFERROR(__xludf.DUMMYFUNCTION("""COMPUTED_VALUE"""),9500.0)</f>
        <v>9500</v>
      </c>
      <c r="F199" s="5">
        <f>IFERROR(__xludf.DUMMYFUNCTION("""COMPUTED_VALUE"""),3769500.0)</f>
        <v>3769500</v>
      </c>
      <c r="G199" s="5">
        <f t="shared" si="1"/>
        <v>175</v>
      </c>
    </row>
    <row r="200">
      <c r="A200" s="4">
        <f>IFERROR(__xludf.DUMMYFUNCTION("""COMPUTED_VALUE"""),44126.66666666667)</f>
        <v>44126.66667</v>
      </c>
      <c r="B200" s="5">
        <f>IFERROR(__xludf.DUMMYFUNCTION("""COMPUTED_VALUE"""),9425.0)</f>
        <v>9425</v>
      </c>
      <c r="C200" s="5">
        <f>IFERROR(__xludf.DUMMYFUNCTION("""COMPUTED_VALUE"""),9500.0)</f>
        <v>9500</v>
      </c>
      <c r="D200" s="5">
        <f>IFERROR(__xludf.DUMMYFUNCTION("""COMPUTED_VALUE"""),9300.0)</f>
        <v>9300</v>
      </c>
      <c r="E200" s="5">
        <f>IFERROR(__xludf.DUMMYFUNCTION("""COMPUTED_VALUE"""),9325.0)</f>
        <v>9325</v>
      </c>
      <c r="F200" s="5">
        <f>IFERROR(__xludf.DUMMYFUNCTION("""COMPUTED_VALUE"""),4262800.0)</f>
        <v>4262800</v>
      </c>
      <c r="G200" s="5">
        <f t="shared" si="1"/>
        <v>200</v>
      </c>
    </row>
    <row r="201">
      <c r="A201" s="4">
        <f>IFERROR(__xludf.DUMMYFUNCTION("""COMPUTED_VALUE"""),44127.66666666667)</f>
        <v>44127.66667</v>
      </c>
      <c r="B201" s="5">
        <f>IFERROR(__xludf.DUMMYFUNCTION("""COMPUTED_VALUE"""),9325.0)</f>
        <v>9325</v>
      </c>
      <c r="C201" s="5">
        <f>IFERROR(__xludf.DUMMYFUNCTION("""COMPUTED_VALUE"""),9425.0)</f>
        <v>9425</v>
      </c>
      <c r="D201" s="5">
        <f>IFERROR(__xludf.DUMMYFUNCTION("""COMPUTED_VALUE"""),9250.0)</f>
        <v>9250</v>
      </c>
      <c r="E201" s="5">
        <f>IFERROR(__xludf.DUMMYFUNCTION("""COMPUTED_VALUE"""),9425.0)</f>
        <v>9425</v>
      </c>
      <c r="F201" s="5">
        <f>IFERROR(__xludf.DUMMYFUNCTION("""COMPUTED_VALUE"""),1040700.0)</f>
        <v>1040700</v>
      </c>
      <c r="G201" s="5">
        <f t="shared" si="1"/>
        <v>175</v>
      </c>
    </row>
    <row r="202">
      <c r="A202" s="4">
        <f>IFERROR(__xludf.DUMMYFUNCTION("""COMPUTED_VALUE"""),44130.66666666667)</f>
        <v>44130.66667</v>
      </c>
      <c r="B202" s="5">
        <f>IFERROR(__xludf.DUMMYFUNCTION("""COMPUTED_VALUE"""),9450.0)</f>
        <v>9450</v>
      </c>
      <c r="C202" s="5">
        <f>IFERROR(__xludf.DUMMYFUNCTION("""COMPUTED_VALUE"""),9600.0)</f>
        <v>9600</v>
      </c>
      <c r="D202" s="5">
        <f>IFERROR(__xludf.DUMMYFUNCTION("""COMPUTED_VALUE"""),9375.0)</f>
        <v>9375</v>
      </c>
      <c r="E202" s="5">
        <f>IFERROR(__xludf.DUMMYFUNCTION("""COMPUTED_VALUE"""),9600.0)</f>
        <v>9600</v>
      </c>
      <c r="F202" s="5">
        <f>IFERROR(__xludf.DUMMYFUNCTION("""COMPUTED_VALUE"""),4079800.0)</f>
        <v>4079800</v>
      </c>
      <c r="G202" s="5">
        <f t="shared" si="1"/>
        <v>225</v>
      </c>
    </row>
    <row r="203">
      <c r="A203" s="4">
        <f>IFERROR(__xludf.DUMMYFUNCTION("""COMPUTED_VALUE"""),44131.66666666667)</f>
        <v>44131.66667</v>
      </c>
      <c r="B203" s="5">
        <f>IFERROR(__xludf.DUMMYFUNCTION("""COMPUTED_VALUE"""),9600.0)</f>
        <v>9600</v>
      </c>
      <c r="C203" s="5">
        <f>IFERROR(__xludf.DUMMYFUNCTION("""COMPUTED_VALUE"""),9700.0)</f>
        <v>9700</v>
      </c>
      <c r="D203" s="5">
        <f>IFERROR(__xludf.DUMMYFUNCTION("""COMPUTED_VALUE"""),9425.0)</f>
        <v>9425</v>
      </c>
      <c r="E203" s="5">
        <f>IFERROR(__xludf.DUMMYFUNCTION("""COMPUTED_VALUE"""),9575.0)</f>
        <v>9575</v>
      </c>
      <c r="F203" s="5">
        <f>IFERROR(__xludf.DUMMYFUNCTION("""COMPUTED_VALUE"""),4034100.0)</f>
        <v>4034100</v>
      </c>
      <c r="G203" s="5">
        <f t="shared" si="1"/>
        <v>275</v>
      </c>
    </row>
    <row r="204">
      <c r="A204" s="4">
        <f>IFERROR(__xludf.DUMMYFUNCTION("""COMPUTED_VALUE"""),44137.66666666667)</f>
        <v>44137.66667</v>
      </c>
      <c r="B204" s="5">
        <f>IFERROR(__xludf.DUMMYFUNCTION("""COMPUTED_VALUE"""),9475.0)</f>
        <v>9475</v>
      </c>
      <c r="C204" s="5">
        <f>IFERROR(__xludf.DUMMYFUNCTION("""COMPUTED_VALUE"""),9475.0)</f>
        <v>9475</v>
      </c>
      <c r="D204" s="5">
        <f>IFERROR(__xludf.DUMMYFUNCTION("""COMPUTED_VALUE"""),8925.0)</f>
        <v>8925</v>
      </c>
      <c r="E204" s="5">
        <f>IFERROR(__xludf.DUMMYFUNCTION("""COMPUTED_VALUE"""),9125.0)</f>
        <v>9125</v>
      </c>
      <c r="F204" s="5">
        <f>IFERROR(__xludf.DUMMYFUNCTION("""COMPUTED_VALUE"""),6867000.0)</f>
        <v>6867000</v>
      </c>
      <c r="G204" s="5">
        <f t="shared" si="1"/>
        <v>650</v>
      </c>
    </row>
    <row r="205">
      <c r="A205" s="4">
        <f>IFERROR(__xludf.DUMMYFUNCTION("""COMPUTED_VALUE"""),44138.66666666667)</f>
        <v>44138.66667</v>
      </c>
      <c r="B205" s="5">
        <f>IFERROR(__xludf.DUMMYFUNCTION("""COMPUTED_VALUE"""),9225.0)</f>
        <v>9225</v>
      </c>
      <c r="C205" s="5">
        <f>IFERROR(__xludf.DUMMYFUNCTION("""COMPUTED_VALUE"""),9275.0)</f>
        <v>9275</v>
      </c>
      <c r="D205" s="5">
        <f>IFERROR(__xludf.DUMMYFUNCTION("""COMPUTED_VALUE"""),8850.0)</f>
        <v>8850</v>
      </c>
      <c r="E205" s="5">
        <f>IFERROR(__xludf.DUMMYFUNCTION("""COMPUTED_VALUE"""),8925.0)</f>
        <v>8925</v>
      </c>
      <c r="F205" s="5">
        <f>IFERROR(__xludf.DUMMYFUNCTION("""COMPUTED_VALUE"""),1.2142E7)</f>
        <v>12142000</v>
      </c>
      <c r="G205" s="5">
        <f t="shared" si="1"/>
        <v>425</v>
      </c>
    </row>
    <row r="206">
      <c r="A206" s="4">
        <f>IFERROR(__xludf.DUMMYFUNCTION("""COMPUTED_VALUE"""),44139.66666666667)</f>
        <v>44139.66667</v>
      </c>
      <c r="B206" s="5">
        <f>IFERROR(__xludf.DUMMYFUNCTION("""COMPUTED_VALUE"""),9150.0)</f>
        <v>9150</v>
      </c>
      <c r="C206" s="5">
        <f>IFERROR(__xludf.DUMMYFUNCTION("""COMPUTED_VALUE"""),9625.0)</f>
        <v>9625</v>
      </c>
      <c r="D206" s="5">
        <f>IFERROR(__xludf.DUMMYFUNCTION("""COMPUTED_VALUE"""),9100.0)</f>
        <v>9100</v>
      </c>
      <c r="E206" s="5">
        <f>IFERROR(__xludf.DUMMYFUNCTION("""COMPUTED_VALUE"""),9125.0)</f>
        <v>9125</v>
      </c>
      <c r="F206" s="5">
        <f>IFERROR(__xludf.DUMMYFUNCTION("""COMPUTED_VALUE"""),2.20804E7)</f>
        <v>22080400</v>
      </c>
      <c r="G206" s="5">
        <f t="shared" si="1"/>
        <v>700</v>
      </c>
    </row>
    <row r="207">
      <c r="A207" s="4">
        <f>IFERROR(__xludf.DUMMYFUNCTION("""COMPUTED_VALUE"""),44140.66666666667)</f>
        <v>44140.66667</v>
      </c>
      <c r="B207" s="5">
        <f>IFERROR(__xludf.DUMMYFUNCTION("""COMPUTED_VALUE"""),9325.0)</f>
        <v>9325</v>
      </c>
      <c r="C207" s="5">
        <f>IFERROR(__xludf.DUMMYFUNCTION("""COMPUTED_VALUE"""),9975.0)</f>
        <v>9975</v>
      </c>
      <c r="D207" s="5">
        <f>IFERROR(__xludf.DUMMYFUNCTION("""COMPUTED_VALUE"""),9325.0)</f>
        <v>9325</v>
      </c>
      <c r="E207" s="5">
        <f>IFERROR(__xludf.DUMMYFUNCTION("""COMPUTED_VALUE"""),9950.0)</f>
        <v>9950</v>
      </c>
      <c r="F207" s="5">
        <f>IFERROR(__xludf.DUMMYFUNCTION("""COMPUTED_VALUE"""),1.25134E7)</f>
        <v>12513400</v>
      </c>
      <c r="G207" s="5">
        <f t="shared" si="1"/>
        <v>850</v>
      </c>
    </row>
    <row r="208">
      <c r="A208" s="4">
        <f>IFERROR(__xludf.DUMMYFUNCTION("""COMPUTED_VALUE"""),44141.66666666667)</f>
        <v>44141.66667</v>
      </c>
      <c r="B208" s="5">
        <f>IFERROR(__xludf.DUMMYFUNCTION("""COMPUTED_VALUE"""),9975.0)</f>
        <v>9975</v>
      </c>
      <c r="C208" s="5">
        <f>IFERROR(__xludf.DUMMYFUNCTION("""COMPUTED_VALUE"""),10375.0)</f>
        <v>10375</v>
      </c>
      <c r="D208" s="5">
        <f>IFERROR(__xludf.DUMMYFUNCTION("""COMPUTED_VALUE"""),9750.0)</f>
        <v>9750</v>
      </c>
      <c r="E208" s="5">
        <f>IFERROR(__xludf.DUMMYFUNCTION("""COMPUTED_VALUE"""),10350.0)</f>
        <v>10350</v>
      </c>
      <c r="F208" s="5">
        <f>IFERROR(__xludf.DUMMYFUNCTION("""COMPUTED_VALUE"""),9910900.0)</f>
        <v>9910900</v>
      </c>
      <c r="G208" s="5">
        <f t="shared" si="1"/>
        <v>625</v>
      </c>
    </row>
    <row r="209">
      <c r="A209" s="4">
        <f>IFERROR(__xludf.DUMMYFUNCTION("""COMPUTED_VALUE"""),44144.66666666667)</f>
        <v>44144.66667</v>
      </c>
      <c r="B209" s="5">
        <f>IFERROR(__xludf.DUMMYFUNCTION("""COMPUTED_VALUE"""),10500.0)</f>
        <v>10500</v>
      </c>
      <c r="C209" s="5">
        <f>IFERROR(__xludf.DUMMYFUNCTION("""COMPUTED_VALUE"""),10575.0)</f>
        <v>10575</v>
      </c>
      <c r="D209" s="5">
        <f>IFERROR(__xludf.DUMMYFUNCTION("""COMPUTED_VALUE"""),10050.0)</f>
        <v>10050</v>
      </c>
      <c r="E209" s="5">
        <f>IFERROR(__xludf.DUMMYFUNCTION("""COMPUTED_VALUE"""),10225.0)</f>
        <v>10225</v>
      </c>
      <c r="F209" s="5">
        <f>IFERROR(__xludf.DUMMYFUNCTION("""COMPUTED_VALUE"""),4423700.0)</f>
        <v>4423700</v>
      </c>
      <c r="G209" s="5">
        <f t="shared" si="1"/>
        <v>525</v>
      </c>
    </row>
    <row r="210">
      <c r="A210" s="4">
        <f>IFERROR(__xludf.DUMMYFUNCTION("""COMPUTED_VALUE"""),44145.66666666667)</f>
        <v>44145.66667</v>
      </c>
      <c r="B210" s="5">
        <f>IFERROR(__xludf.DUMMYFUNCTION("""COMPUTED_VALUE"""),10325.0)</f>
        <v>10325</v>
      </c>
      <c r="C210" s="5">
        <f>IFERROR(__xludf.DUMMYFUNCTION("""COMPUTED_VALUE"""),10650.0)</f>
        <v>10650</v>
      </c>
      <c r="D210" s="5">
        <f>IFERROR(__xludf.DUMMYFUNCTION("""COMPUTED_VALUE"""),10275.0)</f>
        <v>10275</v>
      </c>
      <c r="E210" s="5">
        <f>IFERROR(__xludf.DUMMYFUNCTION("""COMPUTED_VALUE"""),10600.0)</f>
        <v>10600</v>
      </c>
      <c r="F210" s="5">
        <f>IFERROR(__xludf.DUMMYFUNCTION("""COMPUTED_VALUE"""),1.72946E7)</f>
        <v>17294600</v>
      </c>
      <c r="G210" s="5">
        <f t="shared" si="1"/>
        <v>425</v>
      </c>
    </row>
    <row r="211">
      <c r="A211" s="4">
        <f>IFERROR(__xludf.DUMMYFUNCTION("""COMPUTED_VALUE"""),44146.66666666667)</f>
        <v>44146.66667</v>
      </c>
      <c r="B211" s="5">
        <f>IFERROR(__xludf.DUMMYFUNCTION("""COMPUTED_VALUE"""),10700.0)</f>
        <v>10700</v>
      </c>
      <c r="C211" s="5">
        <f>IFERROR(__xludf.DUMMYFUNCTION("""COMPUTED_VALUE"""),11200.0)</f>
        <v>11200</v>
      </c>
      <c r="D211" s="5">
        <f>IFERROR(__xludf.DUMMYFUNCTION("""COMPUTED_VALUE"""),10650.0)</f>
        <v>10650</v>
      </c>
      <c r="E211" s="5">
        <f>IFERROR(__xludf.DUMMYFUNCTION("""COMPUTED_VALUE"""),11200.0)</f>
        <v>11200</v>
      </c>
      <c r="F211" s="5">
        <f>IFERROR(__xludf.DUMMYFUNCTION("""COMPUTED_VALUE"""),6177400.0)</f>
        <v>6177400</v>
      </c>
      <c r="G211" s="5">
        <f t="shared" si="1"/>
        <v>600</v>
      </c>
    </row>
    <row r="212">
      <c r="A212" s="4">
        <f>IFERROR(__xludf.DUMMYFUNCTION("""COMPUTED_VALUE"""),44147.66666666667)</f>
        <v>44147.66667</v>
      </c>
      <c r="B212" s="5">
        <f>IFERROR(__xludf.DUMMYFUNCTION("""COMPUTED_VALUE"""),11175.0)</f>
        <v>11175</v>
      </c>
      <c r="C212" s="5">
        <f>IFERROR(__xludf.DUMMYFUNCTION("""COMPUTED_VALUE"""),11575.0)</f>
        <v>11575</v>
      </c>
      <c r="D212" s="5">
        <f>IFERROR(__xludf.DUMMYFUNCTION("""COMPUTED_VALUE"""),10725.0)</f>
        <v>10725</v>
      </c>
      <c r="E212" s="5">
        <f>IFERROR(__xludf.DUMMYFUNCTION("""COMPUTED_VALUE"""),11325.0)</f>
        <v>11325</v>
      </c>
      <c r="F212" s="5">
        <f>IFERROR(__xludf.DUMMYFUNCTION("""COMPUTED_VALUE"""),9679000.0)</f>
        <v>9679000</v>
      </c>
      <c r="G212" s="5">
        <f t="shared" si="1"/>
        <v>850</v>
      </c>
    </row>
    <row r="213">
      <c r="A213" s="4">
        <f>IFERROR(__xludf.DUMMYFUNCTION("""COMPUTED_VALUE"""),44148.66666666667)</f>
        <v>44148.66667</v>
      </c>
      <c r="B213" s="5">
        <f>IFERROR(__xludf.DUMMYFUNCTION("""COMPUTED_VALUE"""),11300.0)</f>
        <v>11300</v>
      </c>
      <c r="C213" s="5">
        <f>IFERROR(__xludf.DUMMYFUNCTION("""COMPUTED_VALUE"""),11300.0)</f>
        <v>11300</v>
      </c>
      <c r="D213" s="5">
        <f>IFERROR(__xludf.DUMMYFUNCTION("""COMPUTED_VALUE"""),10900.0)</f>
        <v>10900</v>
      </c>
      <c r="E213" s="5">
        <f>IFERROR(__xludf.DUMMYFUNCTION("""COMPUTED_VALUE"""),11200.0)</f>
        <v>11200</v>
      </c>
      <c r="F213" s="5">
        <f>IFERROR(__xludf.DUMMYFUNCTION("""COMPUTED_VALUE"""),3584300.0)</f>
        <v>3584300</v>
      </c>
      <c r="G213" s="5">
        <f t="shared" si="1"/>
        <v>425</v>
      </c>
    </row>
    <row r="214">
      <c r="A214" s="4">
        <f>IFERROR(__xludf.DUMMYFUNCTION("""COMPUTED_VALUE"""),44151.66666666667)</f>
        <v>44151.66667</v>
      </c>
      <c r="B214" s="5">
        <f>IFERROR(__xludf.DUMMYFUNCTION("""COMPUTED_VALUE"""),11200.0)</f>
        <v>11200</v>
      </c>
      <c r="C214" s="5">
        <f>IFERROR(__xludf.DUMMYFUNCTION("""COMPUTED_VALUE"""),11275.0)</f>
        <v>11275</v>
      </c>
      <c r="D214" s="5">
        <f>IFERROR(__xludf.DUMMYFUNCTION("""COMPUTED_VALUE"""),10775.0)</f>
        <v>10775</v>
      </c>
      <c r="E214" s="5">
        <f>IFERROR(__xludf.DUMMYFUNCTION("""COMPUTED_VALUE"""),10950.0)</f>
        <v>10950</v>
      </c>
      <c r="F214" s="5">
        <f>IFERROR(__xludf.DUMMYFUNCTION("""COMPUTED_VALUE"""),6039700.0)</f>
        <v>6039700</v>
      </c>
      <c r="G214" s="5">
        <f t="shared" si="1"/>
        <v>500</v>
      </c>
    </row>
    <row r="215">
      <c r="A215" s="4">
        <f>IFERROR(__xludf.DUMMYFUNCTION("""COMPUTED_VALUE"""),44152.66666666667)</f>
        <v>44152.66667</v>
      </c>
      <c r="B215" s="5">
        <f>IFERROR(__xludf.DUMMYFUNCTION("""COMPUTED_VALUE"""),11000.0)</f>
        <v>11000</v>
      </c>
      <c r="C215" s="5">
        <f>IFERROR(__xludf.DUMMYFUNCTION("""COMPUTED_VALUE"""),11175.0)</f>
        <v>11175</v>
      </c>
      <c r="D215" s="5">
        <f>IFERROR(__xludf.DUMMYFUNCTION("""COMPUTED_VALUE"""),10900.0)</f>
        <v>10900</v>
      </c>
      <c r="E215" s="5">
        <f>IFERROR(__xludf.DUMMYFUNCTION("""COMPUTED_VALUE"""),10975.0)</f>
        <v>10975</v>
      </c>
      <c r="F215" s="5">
        <f>IFERROR(__xludf.DUMMYFUNCTION("""COMPUTED_VALUE"""),7345700.0)</f>
        <v>7345700</v>
      </c>
      <c r="G215" s="5">
        <f t="shared" si="1"/>
        <v>275</v>
      </c>
    </row>
    <row r="216">
      <c r="A216" s="4">
        <f>IFERROR(__xludf.DUMMYFUNCTION("""COMPUTED_VALUE"""),44153.66666666667)</f>
        <v>44153.66667</v>
      </c>
      <c r="B216" s="5">
        <f>IFERROR(__xludf.DUMMYFUNCTION("""COMPUTED_VALUE"""),11200.0)</f>
        <v>11200</v>
      </c>
      <c r="C216" s="5">
        <f>IFERROR(__xludf.DUMMYFUNCTION("""COMPUTED_VALUE"""),11250.0)</f>
        <v>11250</v>
      </c>
      <c r="D216" s="5">
        <f>IFERROR(__xludf.DUMMYFUNCTION("""COMPUTED_VALUE"""),11025.0)</f>
        <v>11025</v>
      </c>
      <c r="E216" s="5">
        <f>IFERROR(__xludf.DUMMYFUNCTION("""COMPUTED_VALUE"""),11150.0)</f>
        <v>11150</v>
      </c>
      <c r="F216" s="5">
        <f>IFERROR(__xludf.DUMMYFUNCTION("""COMPUTED_VALUE"""),4525100.0)</f>
        <v>4525100</v>
      </c>
      <c r="G216" s="5">
        <f t="shared" si="1"/>
        <v>275</v>
      </c>
    </row>
    <row r="217">
      <c r="A217" s="4">
        <f>IFERROR(__xludf.DUMMYFUNCTION("""COMPUTED_VALUE"""),44154.66666666667)</f>
        <v>44154.66667</v>
      </c>
      <c r="B217" s="5">
        <f>IFERROR(__xludf.DUMMYFUNCTION("""COMPUTED_VALUE"""),11000.0)</f>
        <v>11000</v>
      </c>
      <c r="C217" s="5">
        <f>IFERROR(__xludf.DUMMYFUNCTION("""COMPUTED_VALUE"""),11275.0)</f>
        <v>11275</v>
      </c>
      <c r="D217" s="5">
        <f>IFERROR(__xludf.DUMMYFUNCTION("""COMPUTED_VALUE"""),10975.0)</f>
        <v>10975</v>
      </c>
      <c r="E217" s="5">
        <f>IFERROR(__xludf.DUMMYFUNCTION("""COMPUTED_VALUE"""),11150.0)</f>
        <v>11150</v>
      </c>
      <c r="F217" s="5">
        <f>IFERROR(__xludf.DUMMYFUNCTION("""COMPUTED_VALUE"""),3866900.0)</f>
        <v>3866900</v>
      </c>
      <c r="G217" s="5">
        <f t="shared" si="1"/>
        <v>300</v>
      </c>
    </row>
    <row r="218">
      <c r="A218" s="4">
        <f>IFERROR(__xludf.DUMMYFUNCTION("""COMPUTED_VALUE"""),44155.66666666667)</f>
        <v>44155.66667</v>
      </c>
      <c r="B218" s="5">
        <f>IFERROR(__xludf.DUMMYFUNCTION("""COMPUTED_VALUE"""),11300.0)</f>
        <v>11300</v>
      </c>
      <c r="C218" s="5">
        <f>IFERROR(__xludf.DUMMYFUNCTION("""COMPUTED_VALUE"""),11375.0)</f>
        <v>11375</v>
      </c>
      <c r="D218" s="5">
        <f>IFERROR(__xludf.DUMMYFUNCTION("""COMPUTED_VALUE"""),11175.0)</f>
        <v>11175</v>
      </c>
      <c r="E218" s="5">
        <f>IFERROR(__xludf.DUMMYFUNCTION("""COMPUTED_VALUE"""),11350.0)</f>
        <v>11350</v>
      </c>
      <c r="F218" s="5">
        <f>IFERROR(__xludf.DUMMYFUNCTION("""COMPUTED_VALUE"""),3347000.0)</f>
        <v>3347000</v>
      </c>
      <c r="G218" s="5">
        <f t="shared" si="1"/>
        <v>225</v>
      </c>
    </row>
    <row r="219">
      <c r="A219" s="4">
        <f>IFERROR(__xludf.DUMMYFUNCTION("""COMPUTED_VALUE"""),44158.66666666667)</f>
        <v>44158.66667</v>
      </c>
      <c r="B219" s="5">
        <f>IFERROR(__xludf.DUMMYFUNCTION("""COMPUTED_VALUE"""),11600.0)</f>
        <v>11600</v>
      </c>
      <c r="C219" s="5">
        <f>IFERROR(__xludf.DUMMYFUNCTION("""COMPUTED_VALUE"""),12200.0)</f>
        <v>12200</v>
      </c>
      <c r="D219" s="5">
        <f>IFERROR(__xludf.DUMMYFUNCTION("""COMPUTED_VALUE"""),11500.0)</f>
        <v>11500</v>
      </c>
      <c r="E219" s="5">
        <f>IFERROR(__xludf.DUMMYFUNCTION("""COMPUTED_VALUE"""),12100.0)</f>
        <v>12100</v>
      </c>
      <c r="F219" s="5">
        <f>IFERROR(__xludf.DUMMYFUNCTION("""COMPUTED_VALUE"""),5001600.0)</f>
        <v>5001600</v>
      </c>
      <c r="G219" s="5">
        <f t="shared" si="1"/>
        <v>850</v>
      </c>
    </row>
    <row r="220">
      <c r="A220" s="4">
        <f>IFERROR(__xludf.DUMMYFUNCTION("""COMPUTED_VALUE"""),44159.66666666667)</f>
        <v>44159.66667</v>
      </c>
      <c r="B220" s="5">
        <f>IFERROR(__xludf.DUMMYFUNCTION("""COMPUTED_VALUE"""),12100.0)</f>
        <v>12100</v>
      </c>
      <c r="C220" s="5">
        <f>IFERROR(__xludf.DUMMYFUNCTION("""COMPUTED_VALUE"""),12125.0)</f>
        <v>12125</v>
      </c>
      <c r="D220" s="5">
        <f>IFERROR(__xludf.DUMMYFUNCTION("""COMPUTED_VALUE"""),11725.0)</f>
        <v>11725</v>
      </c>
      <c r="E220" s="5">
        <f>IFERROR(__xludf.DUMMYFUNCTION("""COMPUTED_VALUE"""),11725.0)</f>
        <v>11725</v>
      </c>
      <c r="F220" s="5">
        <f>IFERROR(__xludf.DUMMYFUNCTION("""COMPUTED_VALUE"""),6988900.0)</f>
        <v>6988900</v>
      </c>
      <c r="G220" s="5">
        <f t="shared" si="1"/>
        <v>400</v>
      </c>
    </row>
    <row r="221">
      <c r="A221" s="4">
        <f>IFERROR(__xludf.DUMMYFUNCTION("""COMPUTED_VALUE"""),44160.66666666667)</f>
        <v>44160.66667</v>
      </c>
      <c r="B221" s="5">
        <f>IFERROR(__xludf.DUMMYFUNCTION("""COMPUTED_VALUE"""),11900.0)</f>
        <v>11900</v>
      </c>
      <c r="C221" s="5">
        <f>IFERROR(__xludf.DUMMYFUNCTION("""COMPUTED_VALUE"""),12100.0)</f>
        <v>12100</v>
      </c>
      <c r="D221" s="5">
        <f>IFERROR(__xludf.DUMMYFUNCTION("""COMPUTED_VALUE"""),11850.0)</f>
        <v>11850</v>
      </c>
      <c r="E221" s="5">
        <f>IFERROR(__xludf.DUMMYFUNCTION("""COMPUTED_VALUE"""),11900.0)</f>
        <v>11900</v>
      </c>
      <c r="F221" s="5">
        <f>IFERROR(__xludf.DUMMYFUNCTION("""COMPUTED_VALUE"""),6526900.0)</f>
        <v>6526900</v>
      </c>
      <c r="G221" s="5">
        <f t="shared" si="1"/>
        <v>375</v>
      </c>
    </row>
    <row r="222">
      <c r="A222" s="4">
        <f>IFERROR(__xludf.DUMMYFUNCTION("""COMPUTED_VALUE"""),44161.66666666667)</f>
        <v>44161.66667</v>
      </c>
      <c r="B222" s="5">
        <f>IFERROR(__xludf.DUMMYFUNCTION("""COMPUTED_VALUE"""),11950.0)</f>
        <v>11950</v>
      </c>
      <c r="C222" s="5">
        <f>IFERROR(__xludf.DUMMYFUNCTION("""COMPUTED_VALUE"""),12000.0)</f>
        <v>12000</v>
      </c>
      <c r="D222" s="5">
        <f>IFERROR(__xludf.DUMMYFUNCTION("""COMPUTED_VALUE"""),11675.0)</f>
        <v>11675</v>
      </c>
      <c r="E222" s="5">
        <f>IFERROR(__xludf.DUMMYFUNCTION("""COMPUTED_VALUE"""),11925.0)</f>
        <v>11925</v>
      </c>
      <c r="F222" s="5">
        <f>IFERROR(__xludf.DUMMYFUNCTION("""COMPUTED_VALUE"""),3719300.0)</f>
        <v>3719300</v>
      </c>
      <c r="G222" s="5">
        <f t="shared" si="1"/>
        <v>325</v>
      </c>
    </row>
    <row r="223">
      <c r="A223" s="4">
        <f>IFERROR(__xludf.DUMMYFUNCTION("""COMPUTED_VALUE"""),44162.66666666667)</f>
        <v>44162.66667</v>
      </c>
      <c r="B223" s="5">
        <f>IFERROR(__xludf.DUMMYFUNCTION("""COMPUTED_VALUE"""),11925.0)</f>
        <v>11925</v>
      </c>
      <c r="C223" s="5">
        <f>IFERROR(__xludf.DUMMYFUNCTION("""COMPUTED_VALUE"""),12000.0)</f>
        <v>12000</v>
      </c>
      <c r="D223" s="5">
        <f>IFERROR(__xludf.DUMMYFUNCTION("""COMPUTED_VALUE"""),11850.0)</f>
        <v>11850</v>
      </c>
      <c r="E223" s="5">
        <f>IFERROR(__xludf.DUMMYFUNCTION("""COMPUTED_VALUE"""),11925.0)</f>
        <v>11925</v>
      </c>
      <c r="F223" s="5">
        <f>IFERROR(__xludf.DUMMYFUNCTION("""COMPUTED_VALUE"""),7046100.0)</f>
        <v>7046100</v>
      </c>
      <c r="G223" s="5">
        <f t="shared" si="1"/>
        <v>150</v>
      </c>
    </row>
    <row r="224">
      <c r="A224" s="4">
        <f>IFERROR(__xludf.DUMMYFUNCTION("""COMPUTED_VALUE"""),44165.66666666667)</f>
        <v>44165.66667</v>
      </c>
      <c r="B224" s="5">
        <f>IFERROR(__xludf.DUMMYFUNCTION("""COMPUTED_VALUE"""),11925.0)</f>
        <v>11925</v>
      </c>
      <c r="C224" s="5">
        <f>IFERROR(__xludf.DUMMYFUNCTION("""COMPUTED_VALUE"""),12000.0)</f>
        <v>12000</v>
      </c>
      <c r="D224" s="5">
        <f>IFERROR(__xludf.DUMMYFUNCTION("""COMPUTED_VALUE"""),11100.0)</f>
        <v>11100</v>
      </c>
      <c r="E224" s="5">
        <f>IFERROR(__xludf.DUMMYFUNCTION("""COMPUTED_VALUE"""),11700.0)</f>
        <v>11700</v>
      </c>
      <c r="F224" s="5">
        <f>IFERROR(__xludf.DUMMYFUNCTION("""COMPUTED_VALUE"""),1.47022E7)</f>
        <v>14702200</v>
      </c>
      <c r="G224" s="5">
        <f t="shared" si="1"/>
        <v>900</v>
      </c>
    </row>
    <row r="225">
      <c r="A225" s="4">
        <f>IFERROR(__xludf.DUMMYFUNCTION("""COMPUTED_VALUE"""),44166.66666666667)</f>
        <v>44166.66667</v>
      </c>
      <c r="B225" s="5">
        <f>IFERROR(__xludf.DUMMYFUNCTION("""COMPUTED_VALUE"""),11925.0)</f>
        <v>11925</v>
      </c>
      <c r="C225" s="5">
        <f>IFERROR(__xludf.DUMMYFUNCTION("""COMPUTED_VALUE"""),12200.0)</f>
        <v>12200</v>
      </c>
      <c r="D225" s="5">
        <f>IFERROR(__xludf.DUMMYFUNCTION("""COMPUTED_VALUE"""),11775.0)</f>
        <v>11775</v>
      </c>
      <c r="E225" s="5">
        <f>IFERROR(__xludf.DUMMYFUNCTION("""COMPUTED_VALUE"""),12000.0)</f>
        <v>12000</v>
      </c>
      <c r="F225" s="5">
        <f>IFERROR(__xludf.DUMMYFUNCTION("""COMPUTED_VALUE"""),7196900.0)</f>
        <v>7196900</v>
      </c>
      <c r="G225" s="5">
        <f t="shared" si="1"/>
        <v>500</v>
      </c>
    </row>
    <row r="226">
      <c r="A226" s="4">
        <f>IFERROR(__xludf.DUMMYFUNCTION("""COMPUTED_VALUE"""),44167.66666666667)</f>
        <v>44167.66667</v>
      </c>
      <c r="B226" s="5">
        <f>IFERROR(__xludf.DUMMYFUNCTION("""COMPUTED_VALUE"""),12000.0)</f>
        <v>12000</v>
      </c>
      <c r="C226" s="5">
        <f>IFERROR(__xludf.DUMMYFUNCTION("""COMPUTED_VALUE"""),12000.0)</f>
        <v>12000</v>
      </c>
      <c r="D226" s="5">
        <f>IFERROR(__xludf.DUMMYFUNCTION("""COMPUTED_VALUE"""),11775.0)</f>
        <v>11775</v>
      </c>
      <c r="E226" s="5">
        <f>IFERROR(__xludf.DUMMYFUNCTION("""COMPUTED_VALUE"""),11950.0)</f>
        <v>11950</v>
      </c>
      <c r="F226" s="5">
        <f>IFERROR(__xludf.DUMMYFUNCTION("""COMPUTED_VALUE"""),3738800.0)</f>
        <v>3738800</v>
      </c>
      <c r="G226" s="5">
        <f t="shared" si="1"/>
        <v>225</v>
      </c>
    </row>
    <row r="227">
      <c r="A227" s="4">
        <f>IFERROR(__xludf.DUMMYFUNCTION("""COMPUTED_VALUE"""),44168.66666666667)</f>
        <v>44168.66667</v>
      </c>
      <c r="B227" s="5">
        <f>IFERROR(__xludf.DUMMYFUNCTION("""COMPUTED_VALUE"""),11950.0)</f>
        <v>11950</v>
      </c>
      <c r="C227" s="5">
        <f>IFERROR(__xludf.DUMMYFUNCTION("""COMPUTED_VALUE"""),12000.0)</f>
        <v>12000</v>
      </c>
      <c r="D227" s="5">
        <f>IFERROR(__xludf.DUMMYFUNCTION("""COMPUTED_VALUE"""),11800.0)</f>
        <v>11800</v>
      </c>
      <c r="E227" s="5">
        <f>IFERROR(__xludf.DUMMYFUNCTION("""COMPUTED_VALUE"""),12000.0)</f>
        <v>12000</v>
      </c>
      <c r="F227" s="5">
        <f>IFERROR(__xludf.DUMMYFUNCTION("""COMPUTED_VALUE"""),3309800.0)</f>
        <v>3309800</v>
      </c>
      <c r="G227" s="5">
        <f t="shared" si="1"/>
        <v>200</v>
      </c>
    </row>
    <row r="228">
      <c r="A228" s="4">
        <f>IFERROR(__xludf.DUMMYFUNCTION("""COMPUTED_VALUE"""),44169.66666666667)</f>
        <v>44169.66667</v>
      </c>
      <c r="B228" s="5">
        <f>IFERROR(__xludf.DUMMYFUNCTION("""COMPUTED_VALUE"""),12000.0)</f>
        <v>12000</v>
      </c>
      <c r="C228" s="5">
        <f>IFERROR(__xludf.DUMMYFUNCTION("""COMPUTED_VALUE"""),12000.0)</f>
        <v>12000</v>
      </c>
      <c r="D228" s="5">
        <f>IFERROR(__xludf.DUMMYFUNCTION("""COMPUTED_VALUE"""),11600.0)</f>
        <v>11600</v>
      </c>
      <c r="E228" s="5">
        <f>IFERROR(__xludf.DUMMYFUNCTION("""COMPUTED_VALUE"""),11675.0)</f>
        <v>11675</v>
      </c>
      <c r="F228" s="5">
        <f>IFERROR(__xludf.DUMMYFUNCTION("""COMPUTED_VALUE"""),3230000.0)</f>
        <v>3230000</v>
      </c>
      <c r="G228" s="5">
        <f t="shared" si="1"/>
        <v>400</v>
      </c>
    </row>
    <row r="229">
      <c r="A229" s="4">
        <f>IFERROR(__xludf.DUMMYFUNCTION("""COMPUTED_VALUE"""),44172.66666666667)</f>
        <v>44172.66667</v>
      </c>
      <c r="B229" s="5">
        <f>IFERROR(__xludf.DUMMYFUNCTION("""COMPUTED_VALUE"""),11850.0)</f>
        <v>11850</v>
      </c>
      <c r="C229" s="5">
        <f>IFERROR(__xludf.DUMMYFUNCTION("""COMPUTED_VALUE"""),11900.0)</f>
        <v>11900</v>
      </c>
      <c r="D229" s="5">
        <f>IFERROR(__xludf.DUMMYFUNCTION("""COMPUTED_VALUE"""),11700.0)</f>
        <v>11700</v>
      </c>
      <c r="E229" s="5">
        <f>IFERROR(__xludf.DUMMYFUNCTION("""COMPUTED_VALUE"""),11750.0)</f>
        <v>11750</v>
      </c>
      <c r="F229" s="5">
        <f>IFERROR(__xludf.DUMMYFUNCTION("""COMPUTED_VALUE"""),6570000.0)</f>
        <v>6570000</v>
      </c>
      <c r="G229" s="5">
        <f t="shared" si="1"/>
        <v>225</v>
      </c>
    </row>
    <row r="230">
      <c r="A230" s="4">
        <f>IFERROR(__xludf.DUMMYFUNCTION("""COMPUTED_VALUE"""),44173.66666666667)</f>
        <v>44173.66667</v>
      </c>
      <c r="B230" s="5">
        <f>IFERROR(__xludf.DUMMYFUNCTION("""COMPUTED_VALUE"""),11750.0)</f>
        <v>11750</v>
      </c>
      <c r="C230" s="5">
        <f>IFERROR(__xludf.DUMMYFUNCTION("""COMPUTED_VALUE"""),11850.0)</f>
        <v>11850</v>
      </c>
      <c r="D230" s="5">
        <f>IFERROR(__xludf.DUMMYFUNCTION("""COMPUTED_VALUE"""),11500.0)</f>
        <v>11500</v>
      </c>
      <c r="E230" s="5">
        <f>IFERROR(__xludf.DUMMYFUNCTION("""COMPUTED_VALUE"""),11575.0)</f>
        <v>11575</v>
      </c>
      <c r="F230" s="5">
        <f>IFERROR(__xludf.DUMMYFUNCTION("""COMPUTED_VALUE"""),4079000.0)</f>
        <v>4079000</v>
      </c>
      <c r="G230" s="5">
        <f t="shared" si="1"/>
        <v>350</v>
      </c>
    </row>
    <row r="231">
      <c r="A231" s="4">
        <f>IFERROR(__xludf.DUMMYFUNCTION("""COMPUTED_VALUE"""),44175.66666666667)</f>
        <v>44175.66667</v>
      </c>
      <c r="B231" s="5">
        <f>IFERROR(__xludf.DUMMYFUNCTION("""COMPUTED_VALUE"""),11575.0)</f>
        <v>11575</v>
      </c>
      <c r="C231" s="5">
        <f>IFERROR(__xludf.DUMMYFUNCTION("""COMPUTED_VALUE"""),11875.0)</f>
        <v>11875</v>
      </c>
      <c r="D231" s="5">
        <f>IFERROR(__xludf.DUMMYFUNCTION("""COMPUTED_VALUE"""),11575.0)</f>
        <v>11575</v>
      </c>
      <c r="E231" s="5">
        <f>IFERROR(__xludf.DUMMYFUNCTION("""COMPUTED_VALUE"""),11700.0)</f>
        <v>11700</v>
      </c>
      <c r="F231" s="5">
        <f>IFERROR(__xludf.DUMMYFUNCTION("""COMPUTED_VALUE"""),6911900.0)</f>
        <v>6911900</v>
      </c>
      <c r="G231" s="5">
        <f t="shared" si="1"/>
        <v>300</v>
      </c>
    </row>
    <row r="232">
      <c r="A232" s="4">
        <f>IFERROR(__xludf.DUMMYFUNCTION("""COMPUTED_VALUE"""),44176.66666666667)</f>
        <v>44176.66667</v>
      </c>
      <c r="B232" s="5">
        <f>IFERROR(__xludf.DUMMYFUNCTION("""COMPUTED_VALUE"""),11775.0)</f>
        <v>11775</v>
      </c>
      <c r="C232" s="5">
        <f>IFERROR(__xludf.DUMMYFUNCTION("""COMPUTED_VALUE"""),11775.0)</f>
        <v>11775</v>
      </c>
      <c r="D232" s="5">
        <f>IFERROR(__xludf.DUMMYFUNCTION("""COMPUTED_VALUE"""),11450.0)</f>
        <v>11450</v>
      </c>
      <c r="E232" s="5">
        <f>IFERROR(__xludf.DUMMYFUNCTION("""COMPUTED_VALUE"""),11475.0)</f>
        <v>11475</v>
      </c>
      <c r="F232" s="5">
        <f>IFERROR(__xludf.DUMMYFUNCTION("""COMPUTED_VALUE"""),4186300.0)</f>
        <v>4186300</v>
      </c>
      <c r="G232" s="5">
        <f t="shared" si="1"/>
        <v>325</v>
      </c>
    </row>
    <row r="233">
      <c r="A233" s="4">
        <f>IFERROR(__xludf.DUMMYFUNCTION("""COMPUTED_VALUE"""),44179.66666666667)</f>
        <v>44179.66667</v>
      </c>
      <c r="B233" s="5">
        <f>IFERROR(__xludf.DUMMYFUNCTION("""COMPUTED_VALUE"""),11550.0)</f>
        <v>11550</v>
      </c>
      <c r="C233" s="5">
        <f>IFERROR(__xludf.DUMMYFUNCTION("""COMPUTED_VALUE"""),12000.0)</f>
        <v>12000</v>
      </c>
      <c r="D233" s="5">
        <f>IFERROR(__xludf.DUMMYFUNCTION("""COMPUTED_VALUE"""),11550.0)</f>
        <v>11550</v>
      </c>
      <c r="E233" s="5">
        <f>IFERROR(__xludf.DUMMYFUNCTION("""COMPUTED_VALUE"""),12000.0)</f>
        <v>12000</v>
      </c>
      <c r="F233" s="5">
        <f>IFERROR(__xludf.DUMMYFUNCTION("""COMPUTED_VALUE"""),9498000.0)</f>
        <v>9498000</v>
      </c>
      <c r="G233" s="5">
        <f t="shared" si="1"/>
        <v>525</v>
      </c>
    </row>
    <row r="234">
      <c r="A234" s="4">
        <f>IFERROR(__xludf.DUMMYFUNCTION("""COMPUTED_VALUE"""),44180.66666666667)</f>
        <v>44180.66667</v>
      </c>
      <c r="B234" s="5">
        <f>IFERROR(__xludf.DUMMYFUNCTION("""COMPUTED_VALUE"""),12000.0)</f>
        <v>12000</v>
      </c>
      <c r="C234" s="5">
        <f>IFERROR(__xludf.DUMMYFUNCTION("""COMPUTED_VALUE"""),12275.0)</f>
        <v>12275</v>
      </c>
      <c r="D234" s="5">
        <f>IFERROR(__xludf.DUMMYFUNCTION("""COMPUTED_VALUE"""),11650.0)</f>
        <v>11650</v>
      </c>
      <c r="E234" s="5">
        <f>IFERROR(__xludf.DUMMYFUNCTION("""COMPUTED_VALUE"""),12250.0)</f>
        <v>12250</v>
      </c>
      <c r="F234" s="5">
        <f>IFERROR(__xludf.DUMMYFUNCTION("""COMPUTED_VALUE"""),5212500.0)</f>
        <v>5212500</v>
      </c>
      <c r="G234" s="5">
        <f t="shared" si="1"/>
        <v>625</v>
      </c>
    </row>
    <row r="235">
      <c r="A235" s="4">
        <f>IFERROR(__xludf.DUMMYFUNCTION("""COMPUTED_VALUE"""),44181.66666666667)</f>
        <v>44181.66667</v>
      </c>
      <c r="B235" s="5">
        <f>IFERROR(__xludf.DUMMYFUNCTION("""COMPUTED_VALUE"""),12350.0)</f>
        <v>12350</v>
      </c>
      <c r="C235" s="5">
        <f>IFERROR(__xludf.DUMMYFUNCTION("""COMPUTED_VALUE"""),12800.0)</f>
        <v>12800</v>
      </c>
      <c r="D235" s="5">
        <f>IFERROR(__xludf.DUMMYFUNCTION("""COMPUTED_VALUE"""),12350.0)</f>
        <v>12350</v>
      </c>
      <c r="E235" s="5">
        <f>IFERROR(__xludf.DUMMYFUNCTION("""COMPUTED_VALUE"""),12600.0)</f>
        <v>12600</v>
      </c>
      <c r="F235" s="5">
        <f>IFERROR(__xludf.DUMMYFUNCTION("""COMPUTED_VALUE"""),1.09569E7)</f>
        <v>10956900</v>
      </c>
      <c r="G235" s="5">
        <f t="shared" si="1"/>
        <v>550</v>
      </c>
    </row>
    <row r="236">
      <c r="A236" s="4">
        <f>IFERROR(__xludf.DUMMYFUNCTION("""COMPUTED_VALUE"""),44182.66666666667)</f>
        <v>44182.66667</v>
      </c>
      <c r="B236" s="5">
        <f>IFERROR(__xludf.DUMMYFUNCTION("""COMPUTED_VALUE"""),12700.0)</f>
        <v>12700</v>
      </c>
      <c r="C236" s="5">
        <f>IFERROR(__xludf.DUMMYFUNCTION("""COMPUTED_VALUE"""),13000.0)</f>
        <v>13000</v>
      </c>
      <c r="D236" s="5">
        <f>IFERROR(__xludf.DUMMYFUNCTION("""COMPUTED_VALUE"""),12675.0)</f>
        <v>12675</v>
      </c>
      <c r="E236" s="5">
        <f>IFERROR(__xludf.DUMMYFUNCTION("""COMPUTED_VALUE"""),12925.0)</f>
        <v>12925</v>
      </c>
      <c r="F236" s="5">
        <f>IFERROR(__xludf.DUMMYFUNCTION("""COMPUTED_VALUE"""),8374600.0)</f>
        <v>8374600</v>
      </c>
      <c r="G236" s="5">
        <f t="shared" si="1"/>
        <v>400</v>
      </c>
    </row>
    <row r="237">
      <c r="A237" s="4">
        <f>IFERROR(__xludf.DUMMYFUNCTION("""COMPUTED_VALUE"""),44183.66666666667)</f>
        <v>44183.66667</v>
      </c>
      <c r="B237" s="5">
        <f>IFERROR(__xludf.DUMMYFUNCTION("""COMPUTED_VALUE"""),12925.0)</f>
        <v>12925</v>
      </c>
      <c r="C237" s="5">
        <f>IFERROR(__xludf.DUMMYFUNCTION("""COMPUTED_VALUE"""),12950.0)</f>
        <v>12950</v>
      </c>
      <c r="D237" s="5">
        <f>IFERROR(__xludf.DUMMYFUNCTION("""COMPUTED_VALUE"""),12475.0)</f>
        <v>12475</v>
      </c>
      <c r="E237" s="5">
        <f>IFERROR(__xludf.DUMMYFUNCTION("""COMPUTED_VALUE"""),12550.0)</f>
        <v>12550</v>
      </c>
      <c r="F237" s="5">
        <f>IFERROR(__xludf.DUMMYFUNCTION("""COMPUTED_VALUE"""),7859300.0)</f>
        <v>7859300</v>
      </c>
      <c r="G237" s="5">
        <f t="shared" si="1"/>
        <v>475</v>
      </c>
    </row>
    <row r="238">
      <c r="A238" s="4">
        <f>IFERROR(__xludf.DUMMYFUNCTION("""COMPUTED_VALUE"""),44186.66666666667)</f>
        <v>44186.66667</v>
      </c>
      <c r="B238" s="5">
        <f>IFERROR(__xludf.DUMMYFUNCTION("""COMPUTED_VALUE"""),12550.0)</f>
        <v>12550</v>
      </c>
      <c r="C238" s="5">
        <f>IFERROR(__xludf.DUMMYFUNCTION("""COMPUTED_VALUE"""),12700.0)</f>
        <v>12700</v>
      </c>
      <c r="D238" s="5">
        <f>IFERROR(__xludf.DUMMYFUNCTION("""COMPUTED_VALUE"""),12275.0)</f>
        <v>12275</v>
      </c>
      <c r="E238" s="5">
        <f>IFERROR(__xludf.DUMMYFUNCTION("""COMPUTED_VALUE"""),12500.0)</f>
        <v>12500</v>
      </c>
      <c r="F238" s="5">
        <f>IFERROR(__xludf.DUMMYFUNCTION("""COMPUTED_VALUE"""),5408400.0)</f>
        <v>5408400</v>
      </c>
      <c r="G238" s="5">
        <f t="shared" si="1"/>
        <v>425</v>
      </c>
    </row>
    <row r="239">
      <c r="A239" s="4">
        <f>IFERROR(__xludf.DUMMYFUNCTION("""COMPUTED_VALUE"""),44187.66666666667)</f>
        <v>44187.66667</v>
      </c>
      <c r="B239" s="5">
        <f>IFERROR(__xludf.DUMMYFUNCTION("""COMPUTED_VALUE"""),12300.0)</f>
        <v>12300</v>
      </c>
      <c r="C239" s="5">
        <f>IFERROR(__xludf.DUMMYFUNCTION("""COMPUTED_VALUE"""),12700.0)</f>
        <v>12700</v>
      </c>
      <c r="D239" s="5">
        <f>IFERROR(__xludf.DUMMYFUNCTION("""COMPUTED_VALUE"""),12300.0)</f>
        <v>12300</v>
      </c>
      <c r="E239" s="5">
        <f>IFERROR(__xludf.DUMMYFUNCTION("""COMPUTED_VALUE"""),12450.0)</f>
        <v>12450</v>
      </c>
      <c r="F239" s="5">
        <f>IFERROR(__xludf.DUMMYFUNCTION("""COMPUTED_VALUE"""),6325300.0)</f>
        <v>6325300</v>
      </c>
      <c r="G239" s="5">
        <f t="shared" si="1"/>
        <v>400</v>
      </c>
    </row>
    <row r="240">
      <c r="A240" s="4">
        <f>IFERROR(__xludf.DUMMYFUNCTION("""COMPUTED_VALUE"""),44188.66666666667)</f>
        <v>44188.66667</v>
      </c>
      <c r="B240" s="5">
        <f>IFERROR(__xludf.DUMMYFUNCTION("""COMPUTED_VALUE"""),12650.0)</f>
        <v>12650</v>
      </c>
      <c r="C240" s="5">
        <f>IFERROR(__xludf.DUMMYFUNCTION("""COMPUTED_VALUE"""),12650.0)</f>
        <v>12650</v>
      </c>
      <c r="D240" s="5">
        <f>IFERROR(__xludf.DUMMYFUNCTION("""COMPUTED_VALUE"""),12000.0)</f>
        <v>12000</v>
      </c>
      <c r="E240" s="5">
        <f>IFERROR(__xludf.DUMMYFUNCTION("""COMPUTED_VALUE"""),12350.0)</f>
        <v>12350</v>
      </c>
      <c r="F240" s="5">
        <f>IFERROR(__xludf.DUMMYFUNCTION("""COMPUTED_VALUE"""),3828300.0)</f>
        <v>3828300</v>
      </c>
      <c r="G240" s="5">
        <f t="shared" si="1"/>
        <v>650</v>
      </c>
    </row>
    <row r="241">
      <c r="A241" s="4">
        <f>IFERROR(__xludf.DUMMYFUNCTION("""COMPUTED_VALUE"""),44193.66666666667)</f>
        <v>44193.66667</v>
      </c>
      <c r="B241" s="5">
        <f>IFERROR(__xludf.DUMMYFUNCTION("""COMPUTED_VALUE"""),12650.0)</f>
        <v>12650</v>
      </c>
      <c r="C241" s="5">
        <f>IFERROR(__xludf.DUMMYFUNCTION("""COMPUTED_VALUE"""),12650.0)</f>
        <v>12650</v>
      </c>
      <c r="D241" s="5">
        <f>IFERROR(__xludf.DUMMYFUNCTION("""COMPUTED_VALUE"""),12350.0)</f>
        <v>12350</v>
      </c>
      <c r="E241" s="5">
        <f>IFERROR(__xludf.DUMMYFUNCTION("""COMPUTED_VALUE"""),12550.0)</f>
        <v>12550</v>
      </c>
      <c r="F241" s="5">
        <f>IFERROR(__xludf.DUMMYFUNCTION("""COMPUTED_VALUE"""),3306700.0)</f>
        <v>3306700</v>
      </c>
      <c r="G241" s="5">
        <f t="shared" si="1"/>
        <v>300</v>
      </c>
    </row>
    <row r="242">
      <c r="A242" s="4">
        <f>IFERROR(__xludf.DUMMYFUNCTION("""COMPUTED_VALUE"""),44194.66666666667)</f>
        <v>44194.66667</v>
      </c>
      <c r="B242" s="5">
        <f>IFERROR(__xludf.DUMMYFUNCTION("""COMPUTED_VALUE"""),12700.0)</f>
        <v>12700</v>
      </c>
      <c r="C242" s="5">
        <f>IFERROR(__xludf.DUMMYFUNCTION("""COMPUTED_VALUE"""),12750.0)</f>
        <v>12750</v>
      </c>
      <c r="D242" s="5">
        <f>IFERROR(__xludf.DUMMYFUNCTION("""COMPUTED_VALUE"""),12550.0)</f>
        <v>12550</v>
      </c>
      <c r="E242" s="5">
        <f>IFERROR(__xludf.DUMMYFUNCTION("""COMPUTED_VALUE"""),12575.0)</f>
        <v>12575</v>
      </c>
      <c r="F242" s="5">
        <f>IFERROR(__xludf.DUMMYFUNCTION("""COMPUTED_VALUE"""),2617200.0)</f>
        <v>2617200</v>
      </c>
      <c r="G242" s="5">
        <f t="shared" si="1"/>
        <v>200</v>
      </c>
    </row>
    <row r="243">
      <c r="A243" s="4">
        <f>IFERROR(__xludf.DUMMYFUNCTION("""COMPUTED_VALUE"""),44195.66666666667)</f>
        <v>44195.66667</v>
      </c>
      <c r="B243" s="5">
        <f>IFERROR(__xludf.DUMMYFUNCTION("""COMPUTED_VALUE"""),12575.0)</f>
        <v>12575</v>
      </c>
      <c r="C243" s="5">
        <f>IFERROR(__xludf.DUMMYFUNCTION("""COMPUTED_VALUE"""),12650.0)</f>
        <v>12650</v>
      </c>
      <c r="D243" s="5">
        <f>IFERROR(__xludf.DUMMYFUNCTION("""COMPUTED_VALUE"""),12300.0)</f>
        <v>12300</v>
      </c>
      <c r="E243" s="5">
        <f>IFERROR(__xludf.DUMMYFUNCTION("""COMPUTED_VALUE"""),12425.0)</f>
        <v>12425</v>
      </c>
      <c r="F243" s="5">
        <f>IFERROR(__xludf.DUMMYFUNCTION("""COMPUTED_VALUE"""),2559000.0)</f>
        <v>2559000</v>
      </c>
      <c r="G243" s="5">
        <f t="shared" si="1"/>
        <v>350</v>
      </c>
    </row>
    <row r="244">
      <c r="A244" s="4">
        <f>IFERROR(__xludf.DUMMYFUNCTION("""COMPUTED_VALUE"""),44200.625)</f>
        <v>44200.625</v>
      </c>
      <c r="B244" s="5">
        <f>IFERROR(__xludf.DUMMYFUNCTION("""COMPUTED_VALUE"""),12425.0)</f>
        <v>12425</v>
      </c>
      <c r="C244" s="5">
        <f>IFERROR(__xludf.DUMMYFUNCTION("""COMPUTED_VALUE"""),12700.0)</f>
        <v>12700</v>
      </c>
      <c r="D244" s="5">
        <f>IFERROR(__xludf.DUMMYFUNCTION("""COMPUTED_VALUE"""),12250.0)</f>
        <v>12250</v>
      </c>
      <c r="E244" s="5">
        <f>IFERROR(__xludf.DUMMYFUNCTION("""COMPUTED_VALUE"""),12575.0)</f>
        <v>12575</v>
      </c>
      <c r="F244" s="5">
        <f>IFERROR(__xludf.DUMMYFUNCTION("""COMPUTED_VALUE"""),1655400.0)</f>
        <v>1655400</v>
      </c>
      <c r="G244" s="5">
        <f t="shared" si="1"/>
        <v>450</v>
      </c>
    </row>
    <row r="245">
      <c r="A245" s="4">
        <f>IFERROR(__xludf.DUMMYFUNCTION("""COMPUTED_VALUE"""),44201.625)</f>
        <v>44201.625</v>
      </c>
      <c r="B245" s="5">
        <f>IFERROR(__xludf.DUMMYFUNCTION("""COMPUTED_VALUE"""),12575.0)</f>
        <v>12575</v>
      </c>
      <c r="C245" s="5">
        <f>IFERROR(__xludf.DUMMYFUNCTION("""COMPUTED_VALUE"""),12575.0)</f>
        <v>12575</v>
      </c>
      <c r="D245" s="5">
        <f>IFERROR(__xludf.DUMMYFUNCTION("""COMPUTED_VALUE"""),12350.0)</f>
        <v>12350</v>
      </c>
      <c r="E245" s="5">
        <f>IFERROR(__xludf.DUMMYFUNCTION("""COMPUTED_VALUE"""),12400.0)</f>
        <v>12400</v>
      </c>
      <c r="F245" s="5">
        <f>IFERROR(__xludf.DUMMYFUNCTION("""COMPUTED_VALUE"""),2932600.0)</f>
        <v>2932600</v>
      </c>
      <c r="G245" s="5">
        <f t="shared" si="1"/>
        <v>225</v>
      </c>
    </row>
    <row r="246">
      <c r="A246" s="4">
        <f>IFERROR(__xludf.DUMMYFUNCTION("""COMPUTED_VALUE"""),44202.625)</f>
        <v>44202.625</v>
      </c>
      <c r="B246" s="5">
        <f>IFERROR(__xludf.DUMMYFUNCTION("""COMPUTED_VALUE"""),12250.0)</f>
        <v>12250</v>
      </c>
      <c r="C246" s="5">
        <f>IFERROR(__xludf.DUMMYFUNCTION("""COMPUTED_VALUE"""),12425.0)</f>
        <v>12425</v>
      </c>
      <c r="D246" s="5">
        <f>IFERROR(__xludf.DUMMYFUNCTION("""COMPUTED_VALUE"""),11550.0)</f>
        <v>11550</v>
      </c>
      <c r="E246" s="5">
        <f>IFERROR(__xludf.DUMMYFUNCTION("""COMPUTED_VALUE"""),12025.0)</f>
        <v>12025</v>
      </c>
      <c r="F246" s="5">
        <f>IFERROR(__xludf.DUMMYFUNCTION("""COMPUTED_VALUE"""),8782900.0)</f>
        <v>8782900</v>
      </c>
      <c r="G246" s="5">
        <f t="shared" si="1"/>
        <v>875</v>
      </c>
    </row>
    <row r="247">
      <c r="A247" s="4">
        <f>IFERROR(__xludf.DUMMYFUNCTION("""COMPUTED_VALUE"""),44203.66666666667)</f>
        <v>44203.66667</v>
      </c>
      <c r="B247" s="5">
        <f>IFERROR(__xludf.DUMMYFUNCTION("""COMPUTED_VALUE"""),12050.0)</f>
        <v>12050</v>
      </c>
      <c r="C247" s="5">
        <f>IFERROR(__xludf.DUMMYFUNCTION("""COMPUTED_VALUE"""),12400.0)</f>
        <v>12400</v>
      </c>
      <c r="D247" s="5">
        <f>IFERROR(__xludf.DUMMYFUNCTION("""COMPUTED_VALUE"""),12050.0)</f>
        <v>12050</v>
      </c>
      <c r="E247" s="5">
        <f>IFERROR(__xludf.DUMMYFUNCTION("""COMPUTED_VALUE"""),12300.0)</f>
        <v>12300</v>
      </c>
      <c r="F247" s="5">
        <f>IFERROR(__xludf.DUMMYFUNCTION("""COMPUTED_VALUE"""),8835500.0)</f>
        <v>8835500</v>
      </c>
      <c r="G247" s="5">
        <f t="shared" si="1"/>
        <v>375</v>
      </c>
    </row>
    <row r="248">
      <c r="A248" s="4">
        <f>IFERROR(__xludf.DUMMYFUNCTION("""COMPUTED_VALUE"""),44204.66666666667)</f>
        <v>44204.66667</v>
      </c>
      <c r="B248" s="5">
        <f>IFERROR(__xludf.DUMMYFUNCTION("""COMPUTED_VALUE"""),12400.0)</f>
        <v>12400</v>
      </c>
      <c r="C248" s="5">
        <f>IFERROR(__xludf.DUMMYFUNCTION("""COMPUTED_VALUE"""),12500.0)</f>
        <v>12500</v>
      </c>
      <c r="D248" s="5">
        <f>IFERROR(__xludf.DUMMYFUNCTION("""COMPUTED_VALUE"""),12150.0)</f>
        <v>12150</v>
      </c>
      <c r="E248" s="5">
        <f>IFERROR(__xludf.DUMMYFUNCTION("""COMPUTED_VALUE"""),12325.0)</f>
        <v>12325</v>
      </c>
      <c r="F248" s="5">
        <f>IFERROR(__xludf.DUMMYFUNCTION("""COMPUTED_VALUE"""),4878000.0)</f>
        <v>4878000</v>
      </c>
      <c r="G248" s="5">
        <f t="shared" si="1"/>
        <v>350</v>
      </c>
    </row>
    <row r="249">
      <c r="A249" s="4">
        <f>IFERROR(__xludf.DUMMYFUNCTION("""COMPUTED_VALUE"""),44207.625)</f>
        <v>44207.625</v>
      </c>
      <c r="B249" s="5">
        <f>IFERROR(__xludf.DUMMYFUNCTION("""COMPUTED_VALUE"""),12350.0)</f>
        <v>12350</v>
      </c>
      <c r="C249" s="5">
        <f>IFERROR(__xludf.DUMMYFUNCTION("""COMPUTED_VALUE"""),12400.0)</f>
        <v>12400</v>
      </c>
      <c r="D249" s="5">
        <f>IFERROR(__xludf.DUMMYFUNCTION("""COMPUTED_VALUE"""),11950.0)</f>
        <v>11950</v>
      </c>
      <c r="E249" s="5">
        <f>IFERROR(__xludf.DUMMYFUNCTION("""COMPUTED_VALUE"""),12025.0)</f>
        <v>12025</v>
      </c>
      <c r="F249" s="5">
        <f>IFERROR(__xludf.DUMMYFUNCTION("""COMPUTED_VALUE"""),6312100.0)</f>
        <v>6312100</v>
      </c>
      <c r="G249" s="5">
        <f t="shared" si="1"/>
        <v>450</v>
      </c>
    </row>
    <row r="250">
      <c r="A250" s="4">
        <f>IFERROR(__xludf.DUMMYFUNCTION("""COMPUTED_VALUE"""),44208.625)</f>
        <v>44208.625</v>
      </c>
      <c r="B250" s="5">
        <f>IFERROR(__xludf.DUMMYFUNCTION("""COMPUTED_VALUE"""),12200.0)</f>
        <v>12200</v>
      </c>
      <c r="C250" s="5">
        <f>IFERROR(__xludf.DUMMYFUNCTION("""COMPUTED_VALUE"""),12425.0)</f>
        <v>12425</v>
      </c>
      <c r="D250" s="5">
        <f>IFERROR(__xludf.DUMMYFUNCTION("""COMPUTED_VALUE"""),12050.0)</f>
        <v>12050</v>
      </c>
      <c r="E250" s="5">
        <f>IFERROR(__xludf.DUMMYFUNCTION("""COMPUTED_VALUE"""),12125.0)</f>
        <v>12125</v>
      </c>
      <c r="F250" s="5">
        <f>IFERROR(__xludf.DUMMYFUNCTION("""COMPUTED_VALUE"""),5097400.0)</f>
        <v>5097400</v>
      </c>
      <c r="G250" s="5">
        <f t="shared" si="1"/>
        <v>400</v>
      </c>
    </row>
    <row r="251">
      <c r="A251" s="4">
        <f>IFERROR(__xludf.DUMMYFUNCTION("""COMPUTED_VALUE"""),44209.625)</f>
        <v>44209.625</v>
      </c>
      <c r="B251" s="5">
        <f>IFERROR(__xludf.DUMMYFUNCTION("""COMPUTED_VALUE"""),12200.0)</f>
        <v>12200</v>
      </c>
      <c r="C251" s="5">
        <f>IFERROR(__xludf.DUMMYFUNCTION("""COMPUTED_VALUE"""),12250.0)</f>
        <v>12250</v>
      </c>
      <c r="D251" s="5">
        <f>IFERROR(__xludf.DUMMYFUNCTION("""COMPUTED_VALUE"""),11900.0)</f>
        <v>11900</v>
      </c>
      <c r="E251" s="5">
        <f>IFERROR(__xludf.DUMMYFUNCTION("""COMPUTED_VALUE"""),12050.0)</f>
        <v>12050</v>
      </c>
      <c r="F251" s="5">
        <f>IFERROR(__xludf.DUMMYFUNCTION("""COMPUTED_VALUE"""),4955000.0)</f>
        <v>4955000</v>
      </c>
      <c r="G251" s="5">
        <f t="shared" si="1"/>
        <v>350</v>
      </c>
    </row>
    <row r="252">
      <c r="A252" s="4">
        <f>IFERROR(__xludf.DUMMYFUNCTION("""COMPUTED_VALUE"""),44210.625)</f>
        <v>44210.625</v>
      </c>
      <c r="B252" s="5">
        <f>IFERROR(__xludf.DUMMYFUNCTION("""COMPUTED_VALUE"""),12200.0)</f>
        <v>12200</v>
      </c>
      <c r="C252" s="5">
        <f>IFERROR(__xludf.DUMMYFUNCTION("""COMPUTED_VALUE"""),12200.0)</f>
        <v>12200</v>
      </c>
      <c r="D252" s="5">
        <f>IFERROR(__xludf.DUMMYFUNCTION("""COMPUTED_VALUE"""),11925.0)</f>
        <v>11925</v>
      </c>
      <c r="E252" s="5">
        <f>IFERROR(__xludf.DUMMYFUNCTION("""COMPUTED_VALUE"""),11925.0)</f>
        <v>11925</v>
      </c>
      <c r="F252" s="5">
        <f>IFERROR(__xludf.DUMMYFUNCTION("""COMPUTED_VALUE"""),4433200.0)</f>
        <v>4433200</v>
      </c>
      <c r="G252" s="5">
        <f t="shared" si="1"/>
        <v>275</v>
      </c>
    </row>
    <row r="253">
      <c r="A253" s="4">
        <f>IFERROR(__xludf.DUMMYFUNCTION("""COMPUTED_VALUE"""),44211.625)</f>
        <v>44211.625</v>
      </c>
      <c r="B253" s="5">
        <f>IFERROR(__xludf.DUMMYFUNCTION("""COMPUTED_VALUE"""),11925.0)</f>
        <v>11925</v>
      </c>
      <c r="C253" s="5">
        <f>IFERROR(__xludf.DUMMYFUNCTION("""COMPUTED_VALUE"""),12250.0)</f>
        <v>12250</v>
      </c>
      <c r="D253" s="5">
        <f>IFERROR(__xludf.DUMMYFUNCTION("""COMPUTED_VALUE"""),11775.0)</f>
        <v>11775</v>
      </c>
      <c r="E253" s="5">
        <f>IFERROR(__xludf.DUMMYFUNCTION("""COMPUTED_VALUE"""),11950.0)</f>
        <v>11950</v>
      </c>
      <c r="F253" s="5">
        <f>IFERROR(__xludf.DUMMYFUNCTION("""COMPUTED_VALUE"""),5731100.0)</f>
        <v>5731100</v>
      </c>
      <c r="G253" s="5">
        <f t="shared" si="1"/>
        <v>475</v>
      </c>
    </row>
    <row r="254">
      <c r="A254" s="4">
        <f>IFERROR(__xludf.DUMMYFUNCTION("""COMPUTED_VALUE"""),44214.625)</f>
        <v>44214.625</v>
      </c>
      <c r="B254" s="5">
        <f>IFERROR(__xludf.DUMMYFUNCTION("""COMPUTED_VALUE"""),11975.0)</f>
        <v>11975</v>
      </c>
      <c r="C254" s="5">
        <f>IFERROR(__xludf.DUMMYFUNCTION("""COMPUTED_VALUE"""),12975.0)</f>
        <v>12975</v>
      </c>
      <c r="D254" s="5">
        <f>IFERROR(__xludf.DUMMYFUNCTION("""COMPUTED_VALUE"""),11975.0)</f>
        <v>11975</v>
      </c>
      <c r="E254" s="5">
        <f>IFERROR(__xludf.DUMMYFUNCTION("""COMPUTED_VALUE"""),12650.0)</f>
        <v>12650</v>
      </c>
      <c r="F254" s="5">
        <f>IFERROR(__xludf.DUMMYFUNCTION("""COMPUTED_VALUE"""),2.34626E7)</f>
        <v>23462600</v>
      </c>
      <c r="G254" s="5">
        <f t="shared" si="1"/>
        <v>1025</v>
      </c>
    </row>
    <row r="255">
      <c r="A255" s="4">
        <f>IFERROR(__xludf.DUMMYFUNCTION("""COMPUTED_VALUE"""),44215.625)</f>
        <v>44215.625</v>
      </c>
      <c r="B255" s="5">
        <f>IFERROR(__xludf.DUMMYFUNCTION("""COMPUTED_VALUE"""),12800.0)</f>
        <v>12800</v>
      </c>
      <c r="C255" s="5">
        <f>IFERROR(__xludf.DUMMYFUNCTION("""COMPUTED_VALUE"""),12800.0)</f>
        <v>12800</v>
      </c>
      <c r="D255" s="5">
        <f>IFERROR(__xludf.DUMMYFUNCTION("""COMPUTED_VALUE"""),12000.0)</f>
        <v>12000</v>
      </c>
      <c r="E255" s="5">
        <f>IFERROR(__xludf.DUMMYFUNCTION("""COMPUTED_VALUE"""),12400.0)</f>
        <v>12400</v>
      </c>
      <c r="F255" s="5">
        <f>IFERROR(__xludf.DUMMYFUNCTION("""COMPUTED_VALUE"""),5394700.0)</f>
        <v>5394700</v>
      </c>
      <c r="G255" s="5">
        <f t="shared" si="1"/>
        <v>800</v>
      </c>
    </row>
    <row r="256">
      <c r="A256" s="4">
        <f>IFERROR(__xludf.DUMMYFUNCTION("""COMPUTED_VALUE"""),44216.625)</f>
        <v>44216.625</v>
      </c>
      <c r="B256" s="5">
        <f>IFERROR(__xludf.DUMMYFUNCTION("""COMPUTED_VALUE"""),12275.0)</f>
        <v>12275</v>
      </c>
      <c r="C256" s="5">
        <f>IFERROR(__xludf.DUMMYFUNCTION("""COMPUTED_VALUE"""),12550.0)</f>
        <v>12550</v>
      </c>
      <c r="D256" s="5">
        <f>IFERROR(__xludf.DUMMYFUNCTION("""COMPUTED_VALUE"""),12150.0)</f>
        <v>12150</v>
      </c>
      <c r="E256" s="5">
        <f>IFERROR(__xludf.DUMMYFUNCTION("""COMPUTED_VALUE"""),12450.0)</f>
        <v>12450</v>
      </c>
      <c r="F256" s="5">
        <f>IFERROR(__xludf.DUMMYFUNCTION("""COMPUTED_VALUE"""),4608700.0)</f>
        <v>4608700</v>
      </c>
      <c r="G256" s="5">
        <f t="shared" si="1"/>
        <v>400</v>
      </c>
    </row>
    <row r="257">
      <c r="A257" s="4">
        <f>IFERROR(__xludf.DUMMYFUNCTION("""COMPUTED_VALUE"""),44217.625)</f>
        <v>44217.625</v>
      </c>
      <c r="B257" s="5">
        <f>IFERROR(__xludf.DUMMYFUNCTION("""COMPUTED_VALUE"""),12500.0)</f>
        <v>12500</v>
      </c>
      <c r="C257" s="5">
        <f>IFERROR(__xludf.DUMMYFUNCTION("""COMPUTED_VALUE"""),12575.0)</f>
        <v>12575</v>
      </c>
      <c r="D257" s="5">
        <f>IFERROR(__xludf.DUMMYFUNCTION("""COMPUTED_VALUE"""),12225.0)</f>
        <v>12225</v>
      </c>
      <c r="E257" s="5">
        <f>IFERROR(__xludf.DUMMYFUNCTION("""COMPUTED_VALUE"""),12250.0)</f>
        <v>12250</v>
      </c>
      <c r="F257" s="5">
        <f>IFERROR(__xludf.DUMMYFUNCTION("""COMPUTED_VALUE"""),6421900.0)</f>
        <v>6421900</v>
      </c>
      <c r="G257" s="5">
        <f t="shared" si="1"/>
        <v>350</v>
      </c>
    </row>
    <row r="258">
      <c r="A258" s="4">
        <f>IFERROR(__xludf.DUMMYFUNCTION("""COMPUTED_VALUE"""),44218.625)</f>
        <v>44218.625</v>
      </c>
      <c r="B258" s="5">
        <f>IFERROR(__xludf.DUMMYFUNCTION("""COMPUTED_VALUE"""),12150.0)</f>
        <v>12150</v>
      </c>
      <c r="C258" s="5">
        <f>IFERROR(__xludf.DUMMYFUNCTION("""COMPUTED_VALUE"""),12375.0)</f>
        <v>12375</v>
      </c>
      <c r="D258" s="5">
        <f>IFERROR(__xludf.DUMMYFUNCTION("""COMPUTED_VALUE"""),12100.0)</f>
        <v>12100</v>
      </c>
      <c r="E258" s="5">
        <f>IFERROR(__xludf.DUMMYFUNCTION("""COMPUTED_VALUE"""),12150.0)</f>
        <v>12150</v>
      </c>
      <c r="F258" s="5">
        <f>IFERROR(__xludf.DUMMYFUNCTION("""COMPUTED_VALUE"""),4557400.0)</f>
        <v>4557400</v>
      </c>
      <c r="G258" s="5">
        <f t="shared" si="1"/>
        <v>275</v>
      </c>
    </row>
    <row r="259">
      <c r="A259" s="4">
        <f>IFERROR(__xludf.DUMMYFUNCTION("""COMPUTED_VALUE"""),44221.625)</f>
        <v>44221.625</v>
      </c>
      <c r="B259" s="5">
        <f>IFERROR(__xludf.DUMMYFUNCTION("""COMPUTED_VALUE"""),12000.0)</f>
        <v>12000</v>
      </c>
      <c r="C259" s="5">
        <f>IFERROR(__xludf.DUMMYFUNCTION("""COMPUTED_VALUE"""),12000.0)</f>
        <v>12000</v>
      </c>
      <c r="D259" s="5">
        <f>IFERROR(__xludf.DUMMYFUNCTION("""COMPUTED_VALUE"""),11300.0)</f>
        <v>11300</v>
      </c>
      <c r="E259" s="5">
        <f>IFERROR(__xludf.DUMMYFUNCTION("""COMPUTED_VALUE"""),11775.0)</f>
        <v>11775</v>
      </c>
      <c r="F259" s="5">
        <f>IFERROR(__xludf.DUMMYFUNCTION("""COMPUTED_VALUE"""),5983000.0)</f>
        <v>5983000</v>
      </c>
      <c r="G259" s="5">
        <f t="shared" si="1"/>
        <v>850</v>
      </c>
    </row>
    <row r="260">
      <c r="A260" s="4">
        <f>IFERROR(__xludf.DUMMYFUNCTION("""COMPUTED_VALUE"""),44222.625)</f>
        <v>44222.625</v>
      </c>
      <c r="B260" s="5">
        <f>IFERROR(__xludf.DUMMYFUNCTION("""COMPUTED_VALUE"""),11850.0)</f>
        <v>11850</v>
      </c>
      <c r="C260" s="5">
        <f>IFERROR(__xludf.DUMMYFUNCTION("""COMPUTED_VALUE"""),11900.0)</f>
        <v>11900</v>
      </c>
      <c r="D260" s="5">
        <f>IFERROR(__xludf.DUMMYFUNCTION("""COMPUTED_VALUE"""),11650.0)</f>
        <v>11650</v>
      </c>
      <c r="E260" s="5">
        <f>IFERROR(__xludf.DUMMYFUNCTION("""COMPUTED_VALUE"""),11750.0)</f>
        <v>11750</v>
      </c>
      <c r="F260" s="5">
        <f>IFERROR(__xludf.DUMMYFUNCTION("""COMPUTED_VALUE"""),3703300.0)</f>
        <v>3703300</v>
      </c>
      <c r="G260" s="5">
        <f t="shared" si="1"/>
        <v>250</v>
      </c>
    </row>
    <row r="261">
      <c r="A261" s="4">
        <f>IFERROR(__xludf.DUMMYFUNCTION("""COMPUTED_VALUE"""),44223.625)</f>
        <v>44223.625</v>
      </c>
      <c r="B261" s="5">
        <f>IFERROR(__xludf.DUMMYFUNCTION("""COMPUTED_VALUE"""),12025.0)</f>
        <v>12025</v>
      </c>
      <c r="C261" s="5">
        <f>IFERROR(__xludf.DUMMYFUNCTION("""COMPUTED_VALUE"""),12125.0)</f>
        <v>12125</v>
      </c>
      <c r="D261" s="5">
        <f>IFERROR(__xludf.DUMMYFUNCTION("""COMPUTED_VALUE"""),11125.0)</f>
        <v>11125</v>
      </c>
      <c r="E261" s="5">
        <f>IFERROR(__xludf.DUMMYFUNCTION("""COMPUTED_VALUE"""),11575.0)</f>
        <v>11575</v>
      </c>
      <c r="F261" s="5">
        <f>IFERROR(__xludf.DUMMYFUNCTION("""COMPUTED_VALUE"""),8193400.0)</f>
        <v>8193400</v>
      </c>
      <c r="G261" s="5">
        <f t="shared" si="1"/>
        <v>1000</v>
      </c>
    </row>
    <row r="262">
      <c r="A262" s="4">
        <f>IFERROR(__xludf.DUMMYFUNCTION("""COMPUTED_VALUE"""),44224.625)</f>
        <v>44224.625</v>
      </c>
      <c r="B262" s="5">
        <f>IFERROR(__xludf.DUMMYFUNCTION("""COMPUTED_VALUE"""),11575.0)</f>
        <v>11575</v>
      </c>
      <c r="C262" s="5">
        <f>IFERROR(__xludf.DUMMYFUNCTION("""COMPUTED_VALUE"""),11725.0)</f>
        <v>11725</v>
      </c>
      <c r="D262" s="5">
        <f>IFERROR(__xludf.DUMMYFUNCTION("""COMPUTED_VALUE"""),11050.0)</f>
        <v>11050</v>
      </c>
      <c r="E262" s="5">
        <f>IFERROR(__xludf.DUMMYFUNCTION("""COMPUTED_VALUE"""),11275.0)</f>
        <v>11275</v>
      </c>
      <c r="F262" s="5">
        <f>IFERROR(__xludf.DUMMYFUNCTION("""COMPUTED_VALUE"""),5036100.0)</f>
        <v>5036100</v>
      </c>
      <c r="G262" s="5">
        <f t="shared" si="1"/>
        <v>675</v>
      </c>
    </row>
    <row r="263">
      <c r="A263" s="4">
        <f>IFERROR(__xludf.DUMMYFUNCTION("""COMPUTED_VALUE"""),44225.625)</f>
        <v>44225.625</v>
      </c>
      <c r="B263" s="5">
        <f>IFERROR(__xludf.DUMMYFUNCTION("""COMPUTED_VALUE"""),11000.0)</f>
        <v>11000</v>
      </c>
      <c r="C263" s="5">
        <f>IFERROR(__xludf.DUMMYFUNCTION("""COMPUTED_VALUE"""),11500.0)</f>
        <v>11500</v>
      </c>
      <c r="D263" s="5">
        <f>IFERROR(__xludf.DUMMYFUNCTION("""COMPUTED_VALUE"""),10600.0)</f>
        <v>10600</v>
      </c>
      <c r="E263" s="5">
        <f>IFERROR(__xludf.DUMMYFUNCTION("""COMPUTED_VALUE"""),10600.0)</f>
        <v>10600</v>
      </c>
      <c r="F263" s="5">
        <f>IFERROR(__xludf.DUMMYFUNCTION("""COMPUTED_VALUE"""),7940900.0)</f>
        <v>7940900</v>
      </c>
      <c r="G263" s="5">
        <f t="shared" si="1"/>
        <v>900</v>
      </c>
    </row>
    <row r="264">
      <c r="A264" s="4">
        <f>IFERROR(__xludf.DUMMYFUNCTION("""COMPUTED_VALUE"""),44228.625)</f>
        <v>44228.625</v>
      </c>
      <c r="B264" s="5">
        <f>IFERROR(__xludf.DUMMYFUNCTION("""COMPUTED_VALUE"""),10775.0)</f>
        <v>10775</v>
      </c>
      <c r="C264" s="5">
        <f>IFERROR(__xludf.DUMMYFUNCTION("""COMPUTED_VALUE"""),12000.0)</f>
        <v>12000</v>
      </c>
      <c r="D264" s="5">
        <f>IFERROR(__xludf.DUMMYFUNCTION("""COMPUTED_VALUE"""),10450.0)</f>
        <v>10450</v>
      </c>
      <c r="E264" s="5">
        <f>IFERROR(__xludf.DUMMYFUNCTION("""COMPUTED_VALUE"""),11525.0)</f>
        <v>11525</v>
      </c>
      <c r="F264" s="5">
        <f>IFERROR(__xludf.DUMMYFUNCTION("""COMPUTED_VALUE"""),7173800.0)</f>
        <v>7173800</v>
      </c>
      <c r="G264" s="5">
        <f t="shared" si="1"/>
        <v>1550</v>
      </c>
    </row>
    <row r="265">
      <c r="A265" s="4">
        <f>IFERROR(__xludf.DUMMYFUNCTION("""COMPUTED_VALUE"""),44229.625)</f>
        <v>44229.625</v>
      </c>
      <c r="B265" s="5">
        <f>IFERROR(__xludf.DUMMYFUNCTION("""COMPUTED_VALUE"""),11600.0)</f>
        <v>11600</v>
      </c>
      <c r="C265" s="5">
        <f>IFERROR(__xludf.DUMMYFUNCTION("""COMPUTED_VALUE"""),11925.0)</f>
        <v>11925</v>
      </c>
      <c r="D265" s="5">
        <f>IFERROR(__xludf.DUMMYFUNCTION("""COMPUTED_VALUE"""),10875.0)</f>
        <v>10875</v>
      </c>
      <c r="E265" s="5">
        <f>IFERROR(__xludf.DUMMYFUNCTION("""COMPUTED_VALUE"""),10950.0)</f>
        <v>10950</v>
      </c>
      <c r="F265" s="5">
        <f>IFERROR(__xludf.DUMMYFUNCTION("""COMPUTED_VALUE"""),7644100.0)</f>
        <v>7644100</v>
      </c>
      <c r="G265" s="5">
        <f t="shared" si="1"/>
        <v>1050</v>
      </c>
    </row>
    <row r="266">
      <c r="A266" s="4">
        <f>IFERROR(__xludf.DUMMYFUNCTION("""COMPUTED_VALUE"""),44230.625)</f>
        <v>44230.625</v>
      </c>
      <c r="B266" s="5">
        <f>IFERROR(__xludf.DUMMYFUNCTION("""COMPUTED_VALUE"""),11075.0)</f>
        <v>11075</v>
      </c>
      <c r="C266" s="5">
        <f>IFERROR(__xludf.DUMMYFUNCTION("""COMPUTED_VALUE"""),11300.0)</f>
        <v>11300</v>
      </c>
      <c r="D266" s="5">
        <f>IFERROR(__xludf.DUMMYFUNCTION("""COMPUTED_VALUE"""),10850.0)</f>
        <v>10850</v>
      </c>
      <c r="E266" s="5">
        <f>IFERROR(__xludf.DUMMYFUNCTION("""COMPUTED_VALUE"""),10875.0)</f>
        <v>10875</v>
      </c>
      <c r="F266" s="5">
        <f>IFERROR(__xludf.DUMMYFUNCTION("""COMPUTED_VALUE"""),6801400.0)</f>
        <v>6801400</v>
      </c>
      <c r="G266" s="5">
        <f t="shared" si="1"/>
        <v>450</v>
      </c>
    </row>
    <row r="267">
      <c r="A267" s="4">
        <f>IFERROR(__xludf.DUMMYFUNCTION("""COMPUTED_VALUE"""),44231.625)</f>
        <v>44231.625</v>
      </c>
      <c r="B267" s="5">
        <f>IFERROR(__xludf.DUMMYFUNCTION("""COMPUTED_VALUE"""),11000.0)</f>
        <v>11000</v>
      </c>
      <c r="C267" s="5">
        <f>IFERROR(__xludf.DUMMYFUNCTION("""COMPUTED_VALUE"""),11100.0)</f>
        <v>11100</v>
      </c>
      <c r="D267" s="5">
        <f>IFERROR(__xludf.DUMMYFUNCTION("""COMPUTED_VALUE"""),10525.0)</f>
        <v>10525</v>
      </c>
      <c r="E267" s="5">
        <f>IFERROR(__xludf.DUMMYFUNCTION("""COMPUTED_VALUE"""),10625.0)</f>
        <v>10625</v>
      </c>
      <c r="F267" s="5">
        <f>IFERROR(__xludf.DUMMYFUNCTION("""COMPUTED_VALUE"""),6231300.0)</f>
        <v>6231300</v>
      </c>
      <c r="G267" s="5">
        <f t="shared" si="1"/>
        <v>575</v>
      </c>
    </row>
    <row r="268">
      <c r="A268" s="4">
        <f>IFERROR(__xludf.DUMMYFUNCTION("""COMPUTED_VALUE"""),44232.625)</f>
        <v>44232.625</v>
      </c>
      <c r="B268" s="5">
        <f>IFERROR(__xludf.DUMMYFUNCTION("""COMPUTED_VALUE"""),10700.0)</f>
        <v>10700</v>
      </c>
      <c r="C268" s="5">
        <f>IFERROR(__xludf.DUMMYFUNCTION("""COMPUTED_VALUE"""),11450.0)</f>
        <v>11450</v>
      </c>
      <c r="D268" s="5">
        <f>IFERROR(__xludf.DUMMYFUNCTION("""COMPUTED_VALUE"""),10700.0)</f>
        <v>10700</v>
      </c>
      <c r="E268" s="5">
        <f>IFERROR(__xludf.DUMMYFUNCTION("""COMPUTED_VALUE"""),11250.0)</f>
        <v>11250</v>
      </c>
      <c r="F268" s="5">
        <f>IFERROR(__xludf.DUMMYFUNCTION("""COMPUTED_VALUE"""),3929300.0)</f>
        <v>3929300</v>
      </c>
      <c r="G268" s="5">
        <f t="shared" si="1"/>
        <v>825</v>
      </c>
    </row>
    <row r="269">
      <c r="A269" s="4">
        <f>IFERROR(__xludf.DUMMYFUNCTION("""COMPUTED_VALUE"""),44235.625)</f>
        <v>44235.625</v>
      </c>
      <c r="B269" s="5">
        <f>IFERROR(__xludf.DUMMYFUNCTION("""COMPUTED_VALUE"""),11400.0)</f>
        <v>11400</v>
      </c>
      <c r="C269" s="5">
        <f>IFERROR(__xludf.DUMMYFUNCTION("""COMPUTED_VALUE"""),11400.0)</f>
        <v>11400</v>
      </c>
      <c r="D269" s="5">
        <f>IFERROR(__xludf.DUMMYFUNCTION("""COMPUTED_VALUE"""),11050.0)</f>
        <v>11050</v>
      </c>
      <c r="E269" s="5">
        <f>IFERROR(__xludf.DUMMYFUNCTION("""COMPUTED_VALUE"""),11050.0)</f>
        <v>11050</v>
      </c>
      <c r="F269" s="5">
        <f>IFERROR(__xludf.DUMMYFUNCTION("""COMPUTED_VALUE"""),2174300.0)</f>
        <v>2174300</v>
      </c>
      <c r="G269" s="5">
        <f t="shared" si="1"/>
        <v>350</v>
      </c>
    </row>
    <row r="270">
      <c r="A270" s="4">
        <f>IFERROR(__xludf.DUMMYFUNCTION("""COMPUTED_VALUE"""),44236.625)</f>
        <v>44236.625</v>
      </c>
      <c r="B270" s="5">
        <f>IFERROR(__xludf.DUMMYFUNCTION("""COMPUTED_VALUE"""),11050.0)</f>
        <v>11050</v>
      </c>
      <c r="C270" s="5">
        <f>IFERROR(__xludf.DUMMYFUNCTION("""COMPUTED_VALUE"""),11200.0)</f>
        <v>11200</v>
      </c>
      <c r="D270" s="5">
        <f>IFERROR(__xludf.DUMMYFUNCTION("""COMPUTED_VALUE"""),10825.0)</f>
        <v>10825</v>
      </c>
      <c r="E270" s="5">
        <f>IFERROR(__xludf.DUMMYFUNCTION("""COMPUTED_VALUE"""),10900.0)</f>
        <v>10900</v>
      </c>
      <c r="F270" s="5">
        <f>IFERROR(__xludf.DUMMYFUNCTION("""COMPUTED_VALUE"""),6105200.0)</f>
        <v>6105200</v>
      </c>
      <c r="G270" s="5">
        <f t="shared" si="1"/>
        <v>375</v>
      </c>
    </row>
    <row r="271">
      <c r="A271" s="4">
        <f>IFERROR(__xludf.DUMMYFUNCTION("""COMPUTED_VALUE"""),44237.625)</f>
        <v>44237.625</v>
      </c>
      <c r="B271" s="5">
        <f>IFERROR(__xludf.DUMMYFUNCTION("""COMPUTED_VALUE"""),11000.0)</f>
        <v>11000</v>
      </c>
      <c r="C271" s="5">
        <f>IFERROR(__xludf.DUMMYFUNCTION("""COMPUTED_VALUE"""),11150.0)</f>
        <v>11150</v>
      </c>
      <c r="D271" s="5">
        <f>IFERROR(__xludf.DUMMYFUNCTION("""COMPUTED_VALUE"""),10800.0)</f>
        <v>10800</v>
      </c>
      <c r="E271" s="5">
        <f>IFERROR(__xludf.DUMMYFUNCTION("""COMPUTED_VALUE"""),11050.0)</f>
        <v>11050</v>
      </c>
      <c r="F271" s="5">
        <f>IFERROR(__xludf.DUMMYFUNCTION("""COMPUTED_VALUE"""),2170900.0)</f>
        <v>2170900</v>
      </c>
      <c r="G271" s="5">
        <f t="shared" si="1"/>
        <v>350</v>
      </c>
    </row>
    <row r="272">
      <c r="A272" s="4">
        <f>IFERROR(__xludf.DUMMYFUNCTION("""COMPUTED_VALUE"""),44238.625)</f>
        <v>44238.625</v>
      </c>
      <c r="B272" s="5">
        <f>IFERROR(__xludf.DUMMYFUNCTION("""COMPUTED_VALUE"""),11050.0)</f>
        <v>11050</v>
      </c>
      <c r="C272" s="5">
        <f>IFERROR(__xludf.DUMMYFUNCTION("""COMPUTED_VALUE"""),11100.0)</f>
        <v>11100</v>
      </c>
      <c r="D272" s="5">
        <f>IFERROR(__xludf.DUMMYFUNCTION("""COMPUTED_VALUE"""),10875.0)</f>
        <v>10875</v>
      </c>
      <c r="E272" s="5">
        <f>IFERROR(__xludf.DUMMYFUNCTION("""COMPUTED_VALUE"""),10950.0)</f>
        <v>10950</v>
      </c>
      <c r="F272" s="5">
        <f>IFERROR(__xludf.DUMMYFUNCTION("""COMPUTED_VALUE"""),1595600.0)</f>
        <v>1595600</v>
      </c>
      <c r="G272" s="5">
        <f t="shared" si="1"/>
        <v>225</v>
      </c>
    </row>
    <row r="273">
      <c r="A273" s="4">
        <f>IFERROR(__xludf.DUMMYFUNCTION("""COMPUTED_VALUE"""),44242.625)</f>
        <v>44242.625</v>
      </c>
      <c r="B273" s="5">
        <f>IFERROR(__xludf.DUMMYFUNCTION("""COMPUTED_VALUE"""),11100.0)</f>
        <v>11100</v>
      </c>
      <c r="C273" s="5">
        <f>IFERROR(__xludf.DUMMYFUNCTION("""COMPUTED_VALUE"""),11225.0)</f>
        <v>11225</v>
      </c>
      <c r="D273" s="5">
        <f>IFERROR(__xludf.DUMMYFUNCTION("""COMPUTED_VALUE"""),10925.0)</f>
        <v>10925</v>
      </c>
      <c r="E273" s="5">
        <f>IFERROR(__xludf.DUMMYFUNCTION("""COMPUTED_VALUE"""),11175.0)</f>
        <v>11175</v>
      </c>
      <c r="F273" s="5">
        <f>IFERROR(__xludf.DUMMYFUNCTION("""COMPUTED_VALUE"""),2334700.0)</f>
        <v>2334700</v>
      </c>
      <c r="G273" s="5">
        <f t="shared" si="1"/>
        <v>300</v>
      </c>
    </row>
    <row r="274">
      <c r="A274" s="4">
        <f>IFERROR(__xludf.DUMMYFUNCTION("""COMPUTED_VALUE"""),44243.625)</f>
        <v>44243.625</v>
      </c>
      <c r="B274" s="5">
        <f>IFERROR(__xludf.DUMMYFUNCTION("""COMPUTED_VALUE"""),11200.0)</f>
        <v>11200</v>
      </c>
      <c r="C274" s="5">
        <f>IFERROR(__xludf.DUMMYFUNCTION("""COMPUTED_VALUE"""),11200.0)</f>
        <v>11200</v>
      </c>
      <c r="D274" s="5">
        <f>IFERROR(__xludf.DUMMYFUNCTION("""COMPUTED_VALUE"""),10925.0)</f>
        <v>10925</v>
      </c>
      <c r="E274" s="5">
        <f>IFERROR(__xludf.DUMMYFUNCTION("""COMPUTED_VALUE"""),11025.0)</f>
        <v>11025</v>
      </c>
      <c r="F274" s="5">
        <f>IFERROR(__xludf.DUMMYFUNCTION("""COMPUTED_VALUE"""),2427000.0)</f>
        <v>2427000</v>
      </c>
      <c r="G274" s="5">
        <f t="shared" si="1"/>
        <v>275</v>
      </c>
    </row>
    <row r="275">
      <c r="A275" s="4">
        <f>IFERROR(__xludf.DUMMYFUNCTION("""COMPUTED_VALUE"""),44244.625)</f>
        <v>44244.625</v>
      </c>
      <c r="B275" s="5">
        <f>IFERROR(__xludf.DUMMYFUNCTION("""COMPUTED_VALUE"""),11025.0)</f>
        <v>11025</v>
      </c>
      <c r="C275" s="5">
        <f>IFERROR(__xludf.DUMMYFUNCTION("""COMPUTED_VALUE"""),11075.0)</f>
        <v>11075</v>
      </c>
      <c r="D275" s="5">
        <f>IFERROR(__xludf.DUMMYFUNCTION("""COMPUTED_VALUE"""),10850.0)</f>
        <v>10850</v>
      </c>
      <c r="E275" s="5">
        <f>IFERROR(__xludf.DUMMYFUNCTION("""COMPUTED_VALUE"""),10975.0)</f>
        <v>10975</v>
      </c>
      <c r="F275" s="5">
        <f>IFERROR(__xludf.DUMMYFUNCTION("""COMPUTED_VALUE"""),2343200.0)</f>
        <v>2343200</v>
      </c>
      <c r="G275" s="5">
        <f t="shared" si="1"/>
        <v>225</v>
      </c>
    </row>
    <row r="276">
      <c r="A276" s="4">
        <f>IFERROR(__xludf.DUMMYFUNCTION("""COMPUTED_VALUE"""),44245.625)</f>
        <v>44245.625</v>
      </c>
      <c r="B276" s="5">
        <f>IFERROR(__xludf.DUMMYFUNCTION("""COMPUTED_VALUE"""),11100.0)</f>
        <v>11100</v>
      </c>
      <c r="C276" s="5">
        <f>IFERROR(__xludf.DUMMYFUNCTION("""COMPUTED_VALUE"""),11100.0)</f>
        <v>11100</v>
      </c>
      <c r="D276" s="5">
        <f>IFERROR(__xludf.DUMMYFUNCTION("""COMPUTED_VALUE"""),10700.0)</f>
        <v>10700</v>
      </c>
      <c r="E276" s="5">
        <f>IFERROR(__xludf.DUMMYFUNCTION("""COMPUTED_VALUE"""),10700.0)</f>
        <v>10700</v>
      </c>
      <c r="F276" s="5">
        <f>IFERROR(__xludf.DUMMYFUNCTION("""COMPUTED_VALUE"""),2906200.0)</f>
        <v>2906200</v>
      </c>
      <c r="G276" s="5">
        <f t="shared" si="1"/>
        <v>400</v>
      </c>
    </row>
    <row r="277">
      <c r="A277" s="4">
        <f>IFERROR(__xludf.DUMMYFUNCTION("""COMPUTED_VALUE"""),44246.625)</f>
        <v>44246.625</v>
      </c>
      <c r="B277" s="5">
        <f>IFERROR(__xludf.DUMMYFUNCTION("""COMPUTED_VALUE"""),10600.0)</f>
        <v>10600</v>
      </c>
      <c r="C277" s="5">
        <f>IFERROR(__xludf.DUMMYFUNCTION("""COMPUTED_VALUE"""),10775.0)</f>
        <v>10775</v>
      </c>
      <c r="D277" s="5">
        <f>IFERROR(__xludf.DUMMYFUNCTION("""COMPUTED_VALUE"""),10600.0)</f>
        <v>10600</v>
      </c>
      <c r="E277" s="5">
        <f>IFERROR(__xludf.DUMMYFUNCTION("""COMPUTED_VALUE"""),10750.0)</f>
        <v>10750</v>
      </c>
      <c r="F277" s="5">
        <f>IFERROR(__xludf.DUMMYFUNCTION("""COMPUTED_VALUE"""),2138300.0)</f>
        <v>2138300</v>
      </c>
      <c r="G277" s="5">
        <f t="shared" si="1"/>
        <v>175</v>
      </c>
    </row>
    <row r="278">
      <c r="A278" s="4">
        <f>IFERROR(__xludf.DUMMYFUNCTION("""COMPUTED_VALUE"""),44249.625)</f>
        <v>44249.625</v>
      </c>
      <c r="B278" s="5">
        <f>IFERROR(__xludf.DUMMYFUNCTION("""COMPUTED_VALUE"""),10750.0)</f>
        <v>10750</v>
      </c>
      <c r="C278" s="5">
        <f>IFERROR(__xludf.DUMMYFUNCTION("""COMPUTED_VALUE"""),10800.0)</f>
        <v>10800</v>
      </c>
      <c r="D278" s="5">
        <f>IFERROR(__xludf.DUMMYFUNCTION("""COMPUTED_VALUE"""),10525.0)</f>
        <v>10525</v>
      </c>
      <c r="E278" s="5">
        <f>IFERROR(__xludf.DUMMYFUNCTION("""COMPUTED_VALUE"""),10525.0)</f>
        <v>10525</v>
      </c>
      <c r="F278" s="5">
        <f>IFERROR(__xludf.DUMMYFUNCTION("""COMPUTED_VALUE"""),4574400.0)</f>
        <v>4574400</v>
      </c>
      <c r="G278" s="5">
        <f t="shared" si="1"/>
        <v>275</v>
      </c>
    </row>
    <row r="279">
      <c r="A279" s="4">
        <f>IFERROR(__xludf.DUMMYFUNCTION("""COMPUTED_VALUE"""),44250.66666666667)</f>
        <v>44250.66667</v>
      </c>
      <c r="B279" s="5">
        <f>IFERROR(__xludf.DUMMYFUNCTION("""COMPUTED_VALUE"""),10575.0)</f>
        <v>10575</v>
      </c>
      <c r="C279" s="5">
        <f>IFERROR(__xludf.DUMMYFUNCTION("""COMPUTED_VALUE"""),10650.0)</f>
        <v>10650</v>
      </c>
      <c r="D279" s="5">
        <f>IFERROR(__xludf.DUMMYFUNCTION("""COMPUTED_VALUE"""),10400.0)</f>
        <v>10400</v>
      </c>
      <c r="E279" s="5">
        <f>IFERROR(__xludf.DUMMYFUNCTION("""COMPUTED_VALUE"""),10450.0)</f>
        <v>10450</v>
      </c>
      <c r="F279" s="5">
        <f>IFERROR(__xludf.DUMMYFUNCTION("""COMPUTED_VALUE"""),5020100.0)</f>
        <v>5020100</v>
      </c>
      <c r="G279" s="5">
        <f t="shared" si="1"/>
        <v>250</v>
      </c>
    </row>
    <row r="280">
      <c r="A280" s="4">
        <f>IFERROR(__xludf.DUMMYFUNCTION("""COMPUTED_VALUE"""),44251.625)</f>
        <v>44251.625</v>
      </c>
      <c r="B280" s="5">
        <f>IFERROR(__xludf.DUMMYFUNCTION("""COMPUTED_VALUE"""),10450.0)</f>
        <v>10450</v>
      </c>
      <c r="C280" s="5">
        <f>IFERROR(__xludf.DUMMYFUNCTION("""COMPUTED_VALUE"""),10500.0)</f>
        <v>10500</v>
      </c>
      <c r="D280" s="5">
        <f>IFERROR(__xludf.DUMMYFUNCTION("""COMPUTED_VALUE"""),10200.0)</f>
        <v>10200</v>
      </c>
      <c r="E280" s="5">
        <f>IFERROR(__xludf.DUMMYFUNCTION("""COMPUTED_VALUE"""),10275.0)</f>
        <v>10275</v>
      </c>
      <c r="F280" s="5">
        <f>IFERROR(__xludf.DUMMYFUNCTION("""COMPUTED_VALUE"""),5519900.0)</f>
        <v>5519900</v>
      </c>
      <c r="G280" s="5">
        <f t="shared" si="1"/>
        <v>300</v>
      </c>
    </row>
    <row r="281">
      <c r="A281" s="4">
        <f>IFERROR(__xludf.DUMMYFUNCTION("""COMPUTED_VALUE"""),44252.625)</f>
        <v>44252.625</v>
      </c>
      <c r="B281" s="5">
        <f>IFERROR(__xludf.DUMMYFUNCTION("""COMPUTED_VALUE"""),10350.0)</f>
        <v>10350</v>
      </c>
      <c r="C281" s="5">
        <f>IFERROR(__xludf.DUMMYFUNCTION("""COMPUTED_VALUE"""),10500.0)</f>
        <v>10500</v>
      </c>
      <c r="D281" s="5">
        <f>IFERROR(__xludf.DUMMYFUNCTION("""COMPUTED_VALUE"""),10200.0)</f>
        <v>10200</v>
      </c>
      <c r="E281" s="5">
        <f>IFERROR(__xludf.DUMMYFUNCTION("""COMPUTED_VALUE"""),10325.0)</f>
        <v>10325</v>
      </c>
      <c r="F281" s="5">
        <f>IFERROR(__xludf.DUMMYFUNCTION("""COMPUTED_VALUE"""),5761900.0)</f>
        <v>5761900</v>
      </c>
      <c r="G281" s="5">
        <f t="shared" si="1"/>
        <v>300</v>
      </c>
    </row>
    <row r="282">
      <c r="A282" s="4">
        <f>IFERROR(__xludf.DUMMYFUNCTION("""COMPUTED_VALUE"""),44253.625)</f>
        <v>44253.625</v>
      </c>
      <c r="B282" s="5">
        <f>IFERROR(__xludf.DUMMYFUNCTION("""COMPUTED_VALUE"""),10000.0)</f>
        <v>10000</v>
      </c>
      <c r="C282" s="5">
        <f>IFERROR(__xludf.DUMMYFUNCTION("""COMPUTED_VALUE"""),10300.0)</f>
        <v>10300</v>
      </c>
      <c r="D282" s="5">
        <f>IFERROR(__xludf.DUMMYFUNCTION("""COMPUTED_VALUE"""),9950.0)</f>
        <v>9950</v>
      </c>
      <c r="E282" s="5">
        <f>IFERROR(__xludf.DUMMYFUNCTION("""COMPUTED_VALUE"""),10200.0)</f>
        <v>10200</v>
      </c>
      <c r="F282" s="5">
        <f>IFERROR(__xludf.DUMMYFUNCTION("""COMPUTED_VALUE"""),1.22424E7)</f>
        <v>12242400</v>
      </c>
      <c r="G282" s="5">
        <f t="shared" si="1"/>
        <v>375</v>
      </c>
    </row>
    <row r="283">
      <c r="A283" s="4">
        <f>IFERROR(__xludf.DUMMYFUNCTION("""COMPUTED_VALUE"""),44256.625)</f>
        <v>44256.625</v>
      </c>
      <c r="B283" s="5">
        <f>IFERROR(__xludf.DUMMYFUNCTION("""COMPUTED_VALUE"""),10425.0)</f>
        <v>10425</v>
      </c>
      <c r="C283" s="5">
        <f>IFERROR(__xludf.DUMMYFUNCTION("""COMPUTED_VALUE"""),10725.0)</f>
        <v>10725</v>
      </c>
      <c r="D283" s="5">
        <f>IFERROR(__xludf.DUMMYFUNCTION("""COMPUTED_VALUE"""),10425.0)</f>
        <v>10425</v>
      </c>
      <c r="E283" s="5">
        <f>IFERROR(__xludf.DUMMYFUNCTION("""COMPUTED_VALUE"""),10675.0)</f>
        <v>10675</v>
      </c>
      <c r="F283" s="5">
        <f>IFERROR(__xludf.DUMMYFUNCTION("""COMPUTED_VALUE"""),8124600.0)</f>
        <v>8124600</v>
      </c>
      <c r="G283" s="5">
        <f t="shared" si="1"/>
        <v>525</v>
      </c>
    </row>
    <row r="284">
      <c r="A284" s="4">
        <f>IFERROR(__xludf.DUMMYFUNCTION("""COMPUTED_VALUE"""),44257.625)</f>
        <v>44257.625</v>
      </c>
      <c r="B284" s="5">
        <f>IFERROR(__xludf.DUMMYFUNCTION("""COMPUTED_VALUE"""),10800.0)</f>
        <v>10800</v>
      </c>
      <c r="C284" s="5">
        <f>IFERROR(__xludf.DUMMYFUNCTION("""COMPUTED_VALUE"""),11800.0)</f>
        <v>11800</v>
      </c>
      <c r="D284" s="5">
        <f>IFERROR(__xludf.DUMMYFUNCTION("""COMPUTED_VALUE"""),10775.0)</f>
        <v>10775</v>
      </c>
      <c r="E284" s="5">
        <f>IFERROR(__xludf.DUMMYFUNCTION("""COMPUTED_VALUE"""),11700.0)</f>
        <v>11700</v>
      </c>
      <c r="F284" s="5">
        <f>IFERROR(__xludf.DUMMYFUNCTION("""COMPUTED_VALUE"""),1.87058E7)</f>
        <v>18705800</v>
      </c>
      <c r="G284" s="5">
        <f t="shared" si="1"/>
        <v>1125</v>
      </c>
    </row>
    <row r="285">
      <c r="A285" s="4">
        <f>IFERROR(__xludf.DUMMYFUNCTION("""COMPUTED_VALUE"""),44258.625)</f>
        <v>44258.625</v>
      </c>
      <c r="B285" s="5">
        <f>IFERROR(__xludf.DUMMYFUNCTION("""COMPUTED_VALUE"""),11700.0)</f>
        <v>11700</v>
      </c>
      <c r="C285" s="5">
        <f>IFERROR(__xludf.DUMMYFUNCTION("""COMPUTED_VALUE"""),11700.0)</f>
        <v>11700</v>
      </c>
      <c r="D285" s="5">
        <f>IFERROR(__xludf.DUMMYFUNCTION("""COMPUTED_VALUE"""),11275.0)</f>
        <v>11275</v>
      </c>
      <c r="E285" s="5">
        <f>IFERROR(__xludf.DUMMYFUNCTION("""COMPUTED_VALUE"""),11325.0)</f>
        <v>11325</v>
      </c>
      <c r="F285" s="5">
        <f>IFERROR(__xludf.DUMMYFUNCTION("""COMPUTED_VALUE"""),5494700.0)</f>
        <v>5494700</v>
      </c>
      <c r="G285" s="5">
        <f t="shared" si="1"/>
        <v>425</v>
      </c>
    </row>
    <row r="286">
      <c r="A286" s="4">
        <f>IFERROR(__xludf.DUMMYFUNCTION("""COMPUTED_VALUE"""),44259.625)</f>
        <v>44259.625</v>
      </c>
      <c r="B286" s="5">
        <f>IFERROR(__xludf.DUMMYFUNCTION("""COMPUTED_VALUE"""),11225.0)</f>
        <v>11225</v>
      </c>
      <c r="C286" s="5">
        <f>IFERROR(__xludf.DUMMYFUNCTION("""COMPUTED_VALUE"""),11325.0)</f>
        <v>11325</v>
      </c>
      <c r="D286" s="5">
        <f>IFERROR(__xludf.DUMMYFUNCTION("""COMPUTED_VALUE"""),11050.0)</f>
        <v>11050</v>
      </c>
      <c r="E286" s="5">
        <f>IFERROR(__xludf.DUMMYFUNCTION("""COMPUTED_VALUE"""),11200.0)</f>
        <v>11200</v>
      </c>
      <c r="F286" s="5">
        <f>IFERROR(__xludf.DUMMYFUNCTION("""COMPUTED_VALUE"""),4700500.0)</f>
        <v>4700500</v>
      </c>
      <c r="G286" s="5">
        <f t="shared" si="1"/>
        <v>275</v>
      </c>
    </row>
    <row r="287">
      <c r="A287" s="4">
        <f>IFERROR(__xludf.DUMMYFUNCTION("""COMPUTED_VALUE"""),44260.625)</f>
        <v>44260.625</v>
      </c>
      <c r="B287" s="5">
        <f>IFERROR(__xludf.DUMMYFUNCTION("""COMPUTED_VALUE"""),11050.0)</f>
        <v>11050</v>
      </c>
      <c r="C287" s="5">
        <f>IFERROR(__xludf.DUMMYFUNCTION("""COMPUTED_VALUE"""),11225.0)</f>
        <v>11225</v>
      </c>
      <c r="D287" s="5">
        <f>IFERROR(__xludf.DUMMYFUNCTION("""COMPUTED_VALUE"""),10750.0)</f>
        <v>10750</v>
      </c>
      <c r="E287" s="5">
        <f>IFERROR(__xludf.DUMMYFUNCTION("""COMPUTED_VALUE"""),11200.0)</f>
        <v>11200</v>
      </c>
      <c r="F287" s="5">
        <f>IFERROR(__xludf.DUMMYFUNCTION("""COMPUTED_VALUE"""),1.15751E7)</f>
        <v>11575100</v>
      </c>
      <c r="G287" s="5">
        <f t="shared" si="1"/>
        <v>475</v>
      </c>
    </row>
    <row r="288">
      <c r="A288" s="4">
        <f>IFERROR(__xludf.DUMMYFUNCTION("""COMPUTED_VALUE"""),44263.66666666667)</f>
        <v>44263.66667</v>
      </c>
      <c r="B288" s="5">
        <f>IFERROR(__xludf.DUMMYFUNCTION("""COMPUTED_VALUE"""),11500.0)</f>
        <v>11500</v>
      </c>
      <c r="C288" s="5">
        <f>IFERROR(__xludf.DUMMYFUNCTION("""COMPUTED_VALUE"""),11550.0)</f>
        <v>11550</v>
      </c>
      <c r="D288" s="5">
        <f>IFERROR(__xludf.DUMMYFUNCTION("""COMPUTED_VALUE"""),10850.0)</f>
        <v>10850</v>
      </c>
      <c r="E288" s="5">
        <f>IFERROR(__xludf.DUMMYFUNCTION("""COMPUTED_VALUE"""),10925.0)</f>
        <v>10925</v>
      </c>
      <c r="F288" s="5">
        <f>IFERROR(__xludf.DUMMYFUNCTION("""COMPUTED_VALUE"""),7743100.0)</f>
        <v>7743100</v>
      </c>
      <c r="G288" s="5">
        <f t="shared" si="1"/>
        <v>700</v>
      </c>
    </row>
    <row r="289">
      <c r="A289" s="4">
        <f>IFERROR(__xludf.DUMMYFUNCTION("""COMPUTED_VALUE"""),44264.625)</f>
        <v>44264.625</v>
      </c>
      <c r="B289" s="5">
        <f>IFERROR(__xludf.DUMMYFUNCTION("""COMPUTED_VALUE"""),11100.0)</f>
        <v>11100</v>
      </c>
      <c r="C289" s="5">
        <f>IFERROR(__xludf.DUMMYFUNCTION("""COMPUTED_VALUE"""),11150.0)</f>
        <v>11150</v>
      </c>
      <c r="D289" s="5">
        <f>IFERROR(__xludf.DUMMYFUNCTION("""COMPUTED_VALUE"""),10850.0)</f>
        <v>10850</v>
      </c>
      <c r="E289" s="5">
        <f>IFERROR(__xludf.DUMMYFUNCTION("""COMPUTED_VALUE"""),11000.0)</f>
        <v>11000</v>
      </c>
      <c r="F289" s="5">
        <f>IFERROR(__xludf.DUMMYFUNCTION("""COMPUTED_VALUE"""),6031600.0)</f>
        <v>6031600</v>
      </c>
      <c r="G289" s="5">
        <f t="shared" si="1"/>
        <v>300</v>
      </c>
    </row>
    <row r="290">
      <c r="A290" s="4">
        <f>IFERROR(__xludf.DUMMYFUNCTION("""COMPUTED_VALUE"""),44265.625)</f>
        <v>44265.625</v>
      </c>
      <c r="B290" s="5">
        <f>IFERROR(__xludf.DUMMYFUNCTION("""COMPUTED_VALUE"""),11100.0)</f>
        <v>11100</v>
      </c>
      <c r="C290" s="5">
        <f>IFERROR(__xludf.DUMMYFUNCTION("""COMPUTED_VALUE"""),11375.0)</f>
        <v>11375</v>
      </c>
      <c r="D290" s="5">
        <f>IFERROR(__xludf.DUMMYFUNCTION("""COMPUTED_VALUE"""),10925.0)</f>
        <v>10925</v>
      </c>
      <c r="E290" s="5">
        <f>IFERROR(__xludf.DUMMYFUNCTION("""COMPUTED_VALUE"""),11300.0)</f>
        <v>11300</v>
      </c>
      <c r="F290" s="5">
        <f>IFERROR(__xludf.DUMMYFUNCTION("""COMPUTED_VALUE"""),3597100.0)</f>
        <v>3597100</v>
      </c>
      <c r="G290" s="5">
        <f t="shared" si="1"/>
        <v>450</v>
      </c>
    </row>
    <row r="291">
      <c r="A291" s="4">
        <f>IFERROR(__xludf.DUMMYFUNCTION("""COMPUTED_VALUE"""),44267.625)</f>
        <v>44267.625</v>
      </c>
      <c r="B291" s="5">
        <f>IFERROR(__xludf.DUMMYFUNCTION("""COMPUTED_VALUE"""),11500.0)</f>
        <v>11500</v>
      </c>
      <c r="C291" s="5">
        <f>IFERROR(__xludf.DUMMYFUNCTION("""COMPUTED_VALUE"""),11525.0)</f>
        <v>11525</v>
      </c>
      <c r="D291" s="5">
        <f>IFERROR(__xludf.DUMMYFUNCTION("""COMPUTED_VALUE"""),11175.0)</f>
        <v>11175</v>
      </c>
      <c r="E291" s="5">
        <f>IFERROR(__xludf.DUMMYFUNCTION("""COMPUTED_VALUE"""),11425.0)</f>
        <v>11425</v>
      </c>
      <c r="F291" s="5">
        <f>IFERROR(__xludf.DUMMYFUNCTION("""COMPUTED_VALUE"""),5014500.0)</f>
        <v>5014500</v>
      </c>
      <c r="G291" s="5">
        <f t="shared" si="1"/>
        <v>350</v>
      </c>
    </row>
    <row r="292">
      <c r="A292" s="4">
        <f>IFERROR(__xludf.DUMMYFUNCTION("""COMPUTED_VALUE"""),44270.625)</f>
        <v>44270.625</v>
      </c>
      <c r="B292" s="5">
        <f>IFERROR(__xludf.DUMMYFUNCTION("""COMPUTED_VALUE"""),11550.0)</f>
        <v>11550</v>
      </c>
      <c r="C292" s="5">
        <f>IFERROR(__xludf.DUMMYFUNCTION("""COMPUTED_VALUE"""),11600.0)</f>
        <v>11600</v>
      </c>
      <c r="D292" s="5">
        <f>IFERROR(__xludf.DUMMYFUNCTION("""COMPUTED_VALUE"""),11025.0)</f>
        <v>11025</v>
      </c>
      <c r="E292" s="5">
        <f>IFERROR(__xludf.DUMMYFUNCTION("""COMPUTED_VALUE"""),11125.0)</f>
        <v>11125</v>
      </c>
      <c r="F292" s="5">
        <f>IFERROR(__xludf.DUMMYFUNCTION("""COMPUTED_VALUE"""),5158000.0)</f>
        <v>5158000</v>
      </c>
      <c r="G292" s="5">
        <f t="shared" si="1"/>
        <v>575</v>
      </c>
    </row>
    <row r="293">
      <c r="A293" s="4">
        <f>IFERROR(__xludf.DUMMYFUNCTION("""COMPUTED_VALUE"""),44271.625)</f>
        <v>44271.625</v>
      </c>
      <c r="B293" s="5">
        <f>IFERROR(__xludf.DUMMYFUNCTION("""COMPUTED_VALUE"""),11150.0)</f>
        <v>11150</v>
      </c>
      <c r="C293" s="5">
        <f>IFERROR(__xludf.DUMMYFUNCTION("""COMPUTED_VALUE"""),11225.0)</f>
        <v>11225</v>
      </c>
      <c r="D293" s="5">
        <f>IFERROR(__xludf.DUMMYFUNCTION("""COMPUTED_VALUE"""),11025.0)</f>
        <v>11025</v>
      </c>
      <c r="E293" s="5">
        <f>IFERROR(__xludf.DUMMYFUNCTION("""COMPUTED_VALUE"""),11125.0)</f>
        <v>11125</v>
      </c>
      <c r="F293" s="5">
        <f>IFERROR(__xludf.DUMMYFUNCTION("""COMPUTED_VALUE"""),3858300.0)</f>
        <v>3858300</v>
      </c>
      <c r="G293" s="5">
        <f t="shared" si="1"/>
        <v>200</v>
      </c>
    </row>
    <row r="294">
      <c r="A294" s="4">
        <f>IFERROR(__xludf.DUMMYFUNCTION("""COMPUTED_VALUE"""),44272.625)</f>
        <v>44272.625</v>
      </c>
      <c r="B294" s="5">
        <f>IFERROR(__xludf.DUMMYFUNCTION("""COMPUTED_VALUE"""),11050.0)</f>
        <v>11050</v>
      </c>
      <c r="C294" s="5">
        <f>IFERROR(__xludf.DUMMYFUNCTION("""COMPUTED_VALUE"""),11175.0)</f>
        <v>11175</v>
      </c>
      <c r="D294" s="5">
        <f>IFERROR(__xludf.DUMMYFUNCTION("""COMPUTED_VALUE"""),11025.0)</f>
        <v>11025</v>
      </c>
      <c r="E294" s="5">
        <f>IFERROR(__xludf.DUMMYFUNCTION("""COMPUTED_VALUE"""),11075.0)</f>
        <v>11075</v>
      </c>
      <c r="F294" s="5">
        <f>IFERROR(__xludf.DUMMYFUNCTION("""COMPUTED_VALUE"""),2704900.0)</f>
        <v>2704900</v>
      </c>
      <c r="G294" s="5">
        <f t="shared" si="1"/>
        <v>150</v>
      </c>
    </row>
    <row r="295">
      <c r="A295" s="4">
        <f>IFERROR(__xludf.DUMMYFUNCTION("""COMPUTED_VALUE"""),44273.625)</f>
        <v>44273.625</v>
      </c>
      <c r="B295" s="5">
        <f>IFERROR(__xludf.DUMMYFUNCTION("""COMPUTED_VALUE"""),11200.0)</f>
        <v>11200</v>
      </c>
      <c r="C295" s="5">
        <f>IFERROR(__xludf.DUMMYFUNCTION("""COMPUTED_VALUE"""),11450.0)</f>
        <v>11450</v>
      </c>
      <c r="D295" s="5">
        <f>IFERROR(__xludf.DUMMYFUNCTION("""COMPUTED_VALUE"""),11200.0)</f>
        <v>11200</v>
      </c>
      <c r="E295" s="5">
        <f>IFERROR(__xludf.DUMMYFUNCTION("""COMPUTED_VALUE"""),11375.0)</f>
        <v>11375</v>
      </c>
      <c r="F295" s="5">
        <f>IFERROR(__xludf.DUMMYFUNCTION("""COMPUTED_VALUE"""),2724400.0)</f>
        <v>2724400</v>
      </c>
      <c r="G295" s="5">
        <f t="shared" si="1"/>
        <v>375</v>
      </c>
    </row>
    <row r="296">
      <c r="A296" s="4">
        <f>IFERROR(__xludf.DUMMYFUNCTION("""COMPUTED_VALUE"""),44274.625)</f>
        <v>44274.625</v>
      </c>
      <c r="B296" s="5">
        <f>IFERROR(__xludf.DUMMYFUNCTION("""COMPUTED_VALUE"""),11375.0)</f>
        <v>11375</v>
      </c>
      <c r="C296" s="5">
        <f>IFERROR(__xludf.DUMMYFUNCTION("""COMPUTED_VALUE"""),11800.0)</f>
        <v>11800</v>
      </c>
      <c r="D296" s="5">
        <f>IFERROR(__xludf.DUMMYFUNCTION("""COMPUTED_VALUE"""),11225.0)</f>
        <v>11225</v>
      </c>
      <c r="E296" s="5">
        <f>IFERROR(__xludf.DUMMYFUNCTION("""COMPUTED_VALUE"""),11800.0)</f>
        <v>11800</v>
      </c>
      <c r="F296" s="5">
        <f>IFERROR(__xludf.DUMMYFUNCTION("""COMPUTED_VALUE"""),7079500.0)</f>
        <v>7079500</v>
      </c>
      <c r="G296" s="5">
        <f t="shared" si="1"/>
        <v>575</v>
      </c>
    </row>
    <row r="297">
      <c r="A297" s="4">
        <f>IFERROR(__xludf.DUMMYFUNCTION("""COMPUTED_VALUE"""),44277.625)</f>
        <v>44277.625</v>
      </c>
      <c r="B297" s="5">
        <f>IFERROR(__xludf.DUMMYFUNCTION("""COMPUTED_VALUE"""),11800.0)</f>
        <v>11800</v>
      </c>
      <c r="C297" s="5">
        <f>IFERROR(__xludf.DUMMYFUNCTION("""COMPUTED_VALUE"""),11900.0)</f>
        <v>11900</v>
      </c>
      <c r="D297" s="5">
        <f>IFERROR(__xludf.DUMMYFUNCTION("""COMPUTED_VALUE"""),11550.0)</f>
        <v>11550</v>
      </c>
      <c r="E297" s="5">
        <f>IFERROR(__xludf.DUMMYFUNCTION("""COMPUTED_VALUE"""),11600.0)</f>
        <v>11600</v>
      </c>
      <c r="F297" s="5">
        <f>IFERROR(__xludf.DUMMYFUNCTION("""COMPUTED_VALUE"""),5372100.0)</f>
        <v>5372100</v>
      </c>
      <c r="G297" s="5">
        <f t="shared" si="1"/>
        <v>350</v>
      </c>
    </row>
    <row r="298">
      <c r="A298" s="4">
        <f>IFERROR(__xludf.DUMMYFUNCTION("""COMPUTED_VALUE"""),44278.625)</f>
        <v>44278.625</v>
      </c>
      <c r="B298" s="5">
        <f>IFERROR(__xludf.DUMMYFUNCTION("""COMPUTED_VALUE"""),11600.0)</f>
        <v>11600</v>
      </c>
      <c r="C298" s="5">
        <f>IFERROR(__xludf.DUMMYFUNCTION("""COMPUTED_VALUE"""),11625.0)</f>
        <v>11625</v>
      </c>
      <c r="D298" s="5">
        <f>IFERROR(__xludf.DUMMYFUNCTION("""COMPUTED_VALUE"""),11275.0)</f>
        <v>11275</v>
      </c>
      <c r="E298" s="5">
        <f>IFERROR(__xludf.DUMMYFUNCTION("""COMPUTED_VALUE"""),11375.0)</f>
        <v>11375</v>
      </c>
      <c r="F298" s="5">
        <f>IFERROR(__xludf.DUMMYFUNCTION("""COMPUTED_VALUE"""),4593800.0)</f>
        <v>4593800</v>
      </c>
      <c r="G298" s="5">
        <f t="shared" si="1"/>
        <v>350</v>
      </c>
    </row>
    <row r="299">
      <c r="A299" s="4">
        <f>IFERROR(__xludf.DUMMYFUNCTION("""COMPUTED_VALUE"""),44279.625)</f>
        <v>44279.625</v>
      </c>
      <c r="B299" s="5">
        <f>IFERROR(__xludf.DUMMYFUNCTION("""COMPUTED_VALUE"""),11200.0)</f>
        <v>11200</v>
      </c>
      <c r="C299" s="5">
        <f>IFERROR(__xludf.DUMMYFUNCTION("""COMPUTED_VALUE"""),11625.0)</f>
        <v>11625</v>
      </c>
      <c r="D299" s="5">
        <f>IFERROR(__xludf.DUMMYFUNCTION("""COMPUTED_VALUE"""),11075.0)</f>
        <v>11075</v>
      </c>
      <c r="E299" s="5">
        <f>IFERROR(__xludf.DUMMYFUNCTION("""COMPUTED_VALUE"""),11525.0)</f>
        <v>11525</v>
      </c>
      <c r="F299" s="5">
        <f>IFERROR(__xludf.DUMMYFUNCTION("""COMPUTED_VALUE"""),4828900.0)</f>
        <v>4828900</v>
      </c>
      <c r="G299" s="5">
        <f t="shared" si="1"/>
        <v>550</v>
      </c>
    </row>
    <row r="300">
      <c r="A300" s="4">
        <f>IFERROR(__xludf.DUMMYFUNCTION("""COMPUTED_VALUE"""),44280.625)</f>
        <v>44280.625</v>
      </c>
      <c r="B300" s="5">
        <f>IFERROR(__xludf.DUMMYFUNCTION("""COMPUTED_VALUE"""),11650.0)</f>
        <v>11650</v>
      </c>
      <c r="C300" s="5">
        <f>IFERROR(__xludf.DUMMYFUNCTION("""COMPUTED_VALUE"""),11650.0)</f>
        <v>11650</v>
      </c>
      <c r="D300" s="5">
        <f>IFERROR(__xludf.DUMMYFUNCTION("""COMPUTED_VALUE"""),10925.0)</f>
        <v>10925</v>
      </c>
      <c r="E300" s="5">
        <f>IFERROR(__xludf.DUMMYFUNCTION("""COMPUTED_VALUE"""),11275.0)</f>
        <v>11275</v>
      </c>
      <c r="F300" s="5">
        <f>IFERROR(__xludf.DUMMYFUNCTION("""COMPUTED_VALUE"""),2994800.0)</f>
        <v>2994800</v>
      </c>
      <c r="G300" s="5">
        <f t="shared" si="1"/>
        <v>725</v>
      </c>
    </row>
    <row r="301">
      <c r="A301" s="4">
        <f>IFERROR(__xludf.DUMMYFUNCTION("""COMPUTED_VALUE"""),44281.625)</f>
        <v>44281.625</v>
      </c>
      <c r="B301" s="5">
        <f>IFERROR(__xludf.DUMMYFUNCTION("""COMPUTED_VALUE"""),11250.0)</f>
        <v>11250</v>
      </c>
      <c r="C301" s="5">
        <f>IFERROR(__xludf.DUMMYFUNCTION("""COMPUTED_VALUE"""),11300.0)</f>
        <v>11300</v>
      </c>
      <c r="D301" s="5">
        <f>IFERROR(__xludf.DUMMYFUNCTION("""COMPUTED_VALUE"""),11000.0)</f>
        <v>11000</v>
      </c>
      <c r="E301" s="5">
        <f>IFERROR(__xludf.DUMMYFUNCTION("""COMPUTED_VALUE"""),11075.0)</f>
        <v>11075</v>
      </c>
      <c r="F301" s="5">
        <f>IFERROR(__xludf.DUMMYFUNCTION("""COMPUTED_VALUE"""),2927500.0)</f>
        <v>2927500</v>
      </c>
      <c r="G301" s="5">
        <f t="shared" si="1"/>
        <v>300</v>
      </c>
    </row>
    <row r="302">
      <c r="A302" s="4">
        <f>IFERROR(__xludf.DUMMYFUNCTION("""COMPUTED_VALUE"""),44284.625)</f>
        <v>44284.625</v>
      </c>
      <c r="B302" s="5">
        <f>IFERROR(__xludf.DUMMYFUNCTION("""COMPUTED_VALUE"""),11200.0)</f>
        <v>11200</v>
      </c>
      <c r="C302" s="5">
        <f>IFERROR(__xludf.DUMMYFUNCTION("""COMPUTED_VALUE"""),11325.0)</f>
        <v>11325</v>
      </c>
      <c r="D302" s="5">
        <f>IFERROR(__xludf.DUMMYFUNCTION("""COMPUTED_VALUE"""),11075.0)</f>
        <v>11075</v>
      </c>
      <c r="E302" s="5">
        <f>IFERROR(__xludf.DUMMYFUNCTION("""COMPUTED_VALUE"""),11150.0)</f>
        <v>11150</v>
      </c>
      <c r="F302" s="5">
        <f>IFERROR(__xludf.DUMMYFUNCTION("""COMPUTED_VALUE"""),2437200.0)</f>
        <v>2437200</v>
      </c>
      <c r="G302" s="5">
        <f t="shared" si="1"/>
        <v>250</v>
      </c>
    </row>
    <row r="303">
      <c r="A303" s="4">
        <f>IFERROR(__xludf.DUMMYFUNCTION("""COMPUTED_VALUE"""),44285.625)</f>
        <v>44285.625</v>
      </c>
      <c r="B303" s="5">
        <f>IFERROR(__xludf.DUMMYFUNCTION("""COMPUTED_VALUE"""),11000.0)</f>
        <v>11000</v>
      </c>
      <c r="C303" s="5">
        <f>IFERROR(__xludf.DUMMYFUNCTION("""COMPUTED_VALUE"""),11225.0)</f>
        <v>11225</v>
      </c>
      <c r="D303" s="5">
        <f>IFERROR(__xludf.DUMMYFUNCTION("""COMPUTED_VALUE"""),10800.0)</f>
        <v>10800</v>
      </c>
      <c r="E303" s="5">
        <f>IFERROR(__xludf.DUMMYFUNCTION("""COMPUTED_VALUE"""),10875.0)</f>
        <v>10875</v>
      </c>
      <c r="F303" s="5">
        <f>IFERROR(__xludf.DUMMYFUNCTION("""COMPUTED_VALUE"""),2285400.0)</f>
        <v>2285400</v>
      </c>
      <c r="G303" s="5">
        <f t="shared" si="1"/>
        <v>425</v>
      </c>
    </row>
    <row r="304">
      <c r="A304" s="4">
        <f>IFERROR(__xludf.DUMMYFUNCTION("""COMPUTED_VALUE"""),44286.625)</f>
        <v>44286.625</v>
      </c>
      <c r="B304" s="5">
        <f>IFERROR(__xludf.DUMMYFUNCTION("""COMPUTED_VALUE"""),10725.0)</f>
        <v>10725</v>
      </c>
      <c r="C304" s="5">
        <f>IFERROR(__xludf.DUMMYFUNCTION("""COMPUTED_VALUE"""),10725.0)</f>
        <v>10725</v>
      </c>
      <c r="D304" s="5">
        <f>IFERROR(__xludf.DUMMYFUNCTION("""COMPUTED_VALUE"""),10300.0)</f>
        <v>10300</v>
      </c>
      <c r="E304" s="5">
        <f>IFERROR(__xludf.DUMMYFUNCTION("""COMPUTED_VALUE"""),10425.0)</f>
        <v>10425</v>
      </c>
      <c r="F304" s="5">
        <f>IFERROR(__xludf.DUMMYFUNCTION("""COMPUTED_VALUE"""),7666800.0)</f>
        <v>7666800</v>
      </c>
      <c r="G304" s="5">
        <f t="shared" si="1"/>
        <v>575</v>
      </c>
    </row>
    <row r="305">
      <c r="A305" s="4">
        <f>IFERROR(__xludf.DUMMYFUNCTION("""COMPUTED_VALUE"""),44287.625)</f>
        <v>44287.625</v>
      </c>
      <c r="B305" s="5">
        <f>IFERROR(__xludf.DUMMYFUNCTION("""COMPUTED_VALUE"""),10425.0)</f>
        <v>10425</v>
      </c>
      <c r="C305" s="5">
        <f>IFERROR(__xludf.DUMMYFUNCTION("""COMPUTED_VALUE"""),10500.0)</f>
        <v>10500</v>
      </c>
      <c r="D305" s="5">
        <f>IFERROR(__xludf.DUMMYFUNCTION("""COMPUTED_VALUE"""),10275.0)</f>
        <v>10275</v>
      </c>
      <c r="E305" s="5">
        <f>IFERROR(__xludf.DUMMYFUNCTION("""COMPUTED_VALUE"""),10425.0)</f>
        <v>10425</v>
      </c>
      <c r="F305" s="5">
        <f>IFERROR(__xludf.DUMMYFUNCTION("""COMPUTED_VALUE"""),4423500.0)</f>
        <v>4423500</v>
      </c>
      <c r="G305" s="5">
        <f t="shared" si="1"/>
        <v>225</v>
      </c>
    </row>
    <row r="306">
      <c r="A306" s="4">
        <f>IFERROR(__xludf.DUMMYFUNCTION("""COMPUTED_VALUE"""),44291.625)</f>
        <v>44291.625</v>
      </c>
      <c r="B306" s="5">
        <f>IFERROR(__xludf.DUMMYFUNCTION("""COMPUTED_VALUE"""),10600.0)</f>
        <v>10600</v>
      </c>
      <c r="C306" s="5">
        <f>IFERROR(__xludf.DUMMYFUNCTION("""COMPUTED_VALUE"""),10600.0)</f>
        <v>10600</v>
      </c>
      <c r="D306" s="5">
        <f>IFERROR(__xludf.DUMMYFUNCTION("""COMPUTED_VALUE"""),10275.0)</f>
        <v>10275</v>
      </c>
      <c r="E306" s="5">
        <f>IFERROR(__xludf.DUMMYFUNCTION("""COMPUTED_VALUE"""),10300.0)</f>
        <v>10300</v>
      </c>
      <c r="F306" s="5">
        <f>IFERROR(__xludf.DUMMYFUNCTION("""COMPUTED_VALUE"""),1976200.0)</f>
        <v>1976200</v>
      </c>
      <c r="G306" s="5">
        <f t="shared" si="1"/>
        <v>325</v>
      </c>
    </row>
    <row r="307">
      <c r="A307" s="4">
        <f>IFERROR(__xludf.DUMMYFUNCTION("""COMPUTED_VALUE"""),44292.625)</f>
        <v>44292.625</v>
      </c>
      <c r="B307" s="5">
        <f>IFERROR(__xludf.DUMMYFUNCTION("""COMPUTED_VALUE"""),10300.0)</f>
        <v>10300</v>
      </c>
      <c r="C307" s="5">
        <f>IFERROR(__xludf.DUMMYFUNCTION("""COMPUTED_VALUE"""),10400.0)</f>
        <v>10400</v>
      </c>
      <c r="D307" s="5">
        <f>IFERROR(__xludf.DUMMYFUNCTION("""COMPUTED_VALUE"""),10200.0)</f>
        <v>10200</v>
      </c>
      <c r="E307" s="5">
        <f>IFERROR(__xludf.DUMMYFUNCTION("""COMPUTED_VALUE"""),10375.0)</f>
        <v>10375</v>
      </c>
      <c r="F307" s="5">
        <f>IFERROR(__xludf.DUMMYFUNCTION("""COMPUTED_VALUE"""),4374200.0)</f>
        <v>4374200</v>
      </c>
      <c r="G307" s="5">
        <f t="shared" si="1"/>
        <v>200</v>
      </c>
    </row>
    <row r="308">
      <c r="A308" s="4">
        <f>IFERROR(__xludf.DUMMYFUNCTION("""COMPUTED_VALUE"""),44293.625)</f>
        <v>44293.625</v>
      </c>
      <c r="B308" s="5">
        <f>IFERROR(__xludf.DUMMYFUNCTION("""COMPUTED_VALUE"""),10350.0)</f>
        <v>10350</v>
      </c>
      <c r="C308" s="5">
        <f>IFERROR(__xludf.DUMMYFUNCTION("""COMPUTED_VALUE"""),10475.0)</f>
        <v>10475</v>
      </c>
      <c r="D308" s="5">
        <f>IFERROR(__xludf.DUMMYFUNCTION("""COMPUTED_VALUE"""),10275.0)</f>
        <v>10275</v>
      </c>
      <c r="E308" s="5">
        <f>IFERROR(__xludf.DUMMYFUNCTION("""COMPUTED_VALUE"""),10350.0)</f>
        <v>10350</v>
      </c>
      <c r="F308" s="5">
        <f>IFERROR(__xludf.DUMMYFUNCTION("""COMPUTED_VALUE"""),4271700.0)</f>
        <v>4271700</v>
      </c>
      <c r="G308" s="5">
        <f t="shared" si="1"/>
        <v>200</v>
      </c>
    </row>
    <row r="309">
      <c r="A309" s="4">
        <f>IFERROR(__xludf.DUMMYFUNCTION("""COMPUTED_VALUE"""),44294.625)</f>
        <v>44294.625</v>
      </c>
      <c r="B309" s="5">
        <f>IFERROR(__xludf.DUMMYFUNCTION("""COMPUTED_VALUE"""),10250.0)</f>
        <v>10250</v>
      </c>
      <c r="C309" s="5">
        <f>IFERROR(__xludf.DUMMYFUNCTION("""COMPUTED_VALUE"""),10275.0)</f>
        <v>10275</v>
      </c>
      <c r="D309" s="5">
        <f>IFERROR(__xludf.DUMMYFUNCTION("""COMPUTED_VALUE"""),10125.0)</f>
        <v>10125</v>
      </c>
      <c r="E309" s="5">
        <f>IFERROR(__xludf.DUMMYFUNCTION("""COMPUTED_VALUE"""),10250.0)</f>
        <v>10250</v>
      </c>
      <c r="F309" s="5">
        <f>IFERROR(__xludf.DUMMYFUNCTION("""COMPUTED_VALUE"""),5986700.0)</f>
        <v>5986700</v>
      </c>
      <c r="G309" s="5">
        <f t="shared" si="1"/>
        <v>225</v>
      </c>
    </row>
    <row r="310">
      <c r="A310" s="4">
        <f>IFERROR(__xludf.DUMMYFUNCTION("""COMPUTED_VALUE"""),44295.625)</f>
        <v>44295.625</v>
      </c>
      <c r="B310" s="5">
        <f>IFERROR(__xludf.DUMMYFUNCTION("""COMPUTED_VALUE"""),10350.0)</f>
        <v>10350</v>
      </c>
      <c r="C310" s="5">
        <f>IFERROR(__xludf.DUMMYFUNCTION("""COMPUTED_VALUE"""),10500.0)</f>
        <v>10500</v>
      </c>
      <c r="D310" s="5">
        <f>IFERROR(__xludf.DUMMYFUNCTION("""COMPUTED_VALUE"""),10300.0)</f>
        <v>10300</v>
      </c>
      <c r="E310" s="5">
        <f>IFERROR(__xludf.DUMMYFUNCTION("""COMPUTED_VALUE"""),10375.0)</f>
        <v>10375</v>
      </c>
      <c r="F310" s="5">
        <f>IFERROR(__xludf.DUMMYFUNCTION("""COMPUTED_VALUE"""),6518300.0)</f>
        <v>6518300</v>
      </c>
      <c r="G310" s="5">
        <f t="shared" si="1"/>
        <v>250</v>
      </c>
    </row>
    <row r="311">
      <c r="A311" s="4">
        <f>IFERROR(__xludf.DUMMYFUNCTION("""COMPUTED_VALUE"""),44298.625)</f>
        <v>44298.625</v>
      </c>
      <c r="B311" s="5">
        <f>IFERROR(__xludf.DUMMYFUNCTION("""COMPUTED_VALUE"""),10450.0)</f>
        <v>10450</v>
      </c>
      <c r="C311" s="5">
        <f>IFERROR(__xludf.DUMMYFUNCTION("""COMPUTED_VALUE"""),10450.0)</f>
        <v>10450</v>
      </c>
      <c r="D311" s="5">
        <f>IFERROR(__xludf.DUMMYFUNCTION("""COMPUTED_VALUE"""),9750.0)</f>
        <v>9750</v>
      </c>
      <c r="E311" s="5">
        <f>IFERROR(__xludf.DUMMYFUNCTION("""COMPUTED_VALUE"""),9925.0)</f>
        <v>9925</v>
      </c>
      <c r="F311" s="5">
        <f>IFERROR(__xludf.DUMMYFUNCTION("""COMPUTED_VALUE"""),5632400.0)</f>
        <v>5632400</v>
      </c>
      <c r="G311" s="5">
        <f t="shared" si="1"/>
        <v>700</v>
      </c>
    </row>
    <row r="312">
      <c r="A312" s="4">
        <f>IFERROR(__xludf.DUMMYFUNCTION("""COMPUTED_VALUE"""),44299.625)</f>
        <v>44299.625</v>
      </c>
      <c r="B312" s="5">
        <f>IFERROR(__xludf.DUMMYFUNCTION("""COMPUTED_VALUE"""),9950.0)</f>
        <v>9950</v>
      </c>
      <c r="C312" s="5">
        <f>IFERROR(__xludf.DUMMYFUNCTION("""COMPUTED_VALUE"""),10650.0)</f>
        <v>10650</v>
      </c>
      <c r="D312" s="5">
        <f>IFERROR(__xludf.DUMMYFUNCTION("""COMPUTED_VALUE"""),9750.0)</f>
        <v>9750</v>
      </c>
      <c r="E312" s="5">
        <f>IFERROR(__xludf.DUMMYFUNCTION("""COMPUTED_VALUE"""),10500.0)</f>
        <v>10500</v>
      </c>
      <c r="F312" s="5">
        <f>IFERROR(__xludf.DUMMYFUNCTION("""COMPUTED_VALUE"""),1.22978E7)</f>
        <v>12297800</v>
      </c>
      <c r="G312" s="5">
        <f t="shared" si="1"/>
        <v>900</v>
      </c>
    </row>
    <row r="313">
      <c r="A313" s="4">
        <f>IFERROR(__xludf.DUMMYFUNCTION("""COMPUTED_VALUE"""),44300.625)</f>
        <v>44300.625</v>
      </c>
      <c r="B313" s="5">
        <f>IFERROR(__xludf.DUMMYFUNCTION("""COMPUTED_VALUE"""),10550.0)</f>
        <v>10550</v>
      </c>
      <c r="C313" s="5">
        <f>IFERROR(__xludf.DUMMYFUNCTION("""COMPUTED_VALUE"""),11200.0)</f>
        <v>11200</v>
      </c>
      <c r="D313" s="5">
        <f>IFERROR(__xludf.DUMMYFUNCTION("""COMPUTED_VALUE"""),10450.0)</f>
        <v>10450</v>
      </c>
      <c r="E313" s="5">
        <f>IFERROR(__xludf.DUMMYFUNCTION("""COMPUTED_VALUE"""),11050.0)</f>
        <v>11050</v>
      </c>
      <c r="F313" s="5">
        <f>IFERROR(__xludf.DUMMYFUNCTION("""COMPUTED_VALUE"""),8004300.0)</f>
        <v>8004300</v>
      </c>
      <c r="G313" s="5">
        <f t="shared" si="1"/>
        <v>750</v>
      </c>
    </row>
    <row r="314">
      <c r="A314" s="4">
        <f>IFERROR(__xludf.DUMMYFUNCTION("""COMPUTED_VALUE"""),44301.625)</f>
        <v>44301.625</v>
      </c>
      <c r="B314" s="5">
        <f>IFERROR(__xludf.DUMMYFUNCTION("""COMPUTED_VALUE"""),10950.0)</f>
        <v>10950</v>
      </c>
      <c r="C314" s="5">
        <f>IFERROR(__xludf.DUMMYFUNCTION("""COMPUTED_VALUE"""),10950.0)</f>
        <v>10950</v>
      </c>
      <c r="D314" s="5">
        <f>IFERROR(__xludf.DUMMYFUNCTION("""COMPUTED_VALUE"""),10650.0)</f>
        <v>10650</v>
      </c>
      <c r="E314" s="5">
        <f>IFERROR(__xludf.DUMMYFUNCTION("""COMPUTED_VALUE"""),10825.0)</f>
        <v>10825</v>
      </c>
      <c r="F314" s="5">
        <f>IFERROR(__xludf.DUMMYFUNCTION("""COMPUTED_VALUE"""),3251000.0)</f>
        <v>3251000</v>
      </c>
      <c r="G314" s="5">
        <f t="shared" si="1"/>
        <v>400</v>
      </c>
    </row>
    <row r="315">
      <c r="A315" s="4">
        <f>IFERROR(__xludf.DUMMYFUNCTION("""COMPUTED_VALUE"""),44302.625)</f>
        <v>44302.625</v>
      </c>
      <c r="B315" s="5">
        <f>IFERROR(__xludf.DUMMYFUNCTION("""COMPUTED_VALUE"""),10850.0)</f>
        <v>10850</v>
      </c>
      <c r="C315" s="5">
        <f>IFERROR(__xludf.DUMMYFUNCTION("""COMPUTED_VALUE"""),10900.0)</f>
        <v>10900</v>
      </c>
      <c r="D315" s="5">
        <f>IFERROR(__xludf.DUMMYFUNCTION("""COMPUTED_VALUE"""),10525.0)</f>
        <v>10525</v>
      </c>
      <c r="E315" s="5">
        <f>IFERROR(__xludf.DUMMYFUNCTION("""COMPUTED_VALUE"""),10650.0)</f>
        <v>10650</v>
      </c>
      <c r="F315" s="5">
        <f>IFERROR(__xludf.DUMMYFUNCTION("""COMPUTED_VALUE"""),3721100.0)</f>
        <v>3721100</v>
      </c>
      <c r="G315" s="5">
        <f t="shared" si="1"/>
        <v>375</v>
      </c>
    </row>
    <row r="316">
      <c r="A316" s="4">
        <f>IFERROR(__xludf.DUMMYFUNCTION("""COMPUTED_VALUE"""),44305.625)</f>
        <v>44305.625</v>
      </c>
      <c r="B316" s="5">
        <f>IFERROR(__xludf.DUMMYFUNCTION("""COMPUTED_VALUE"""),10550.0)</f>
        <v>10550</v>
      </c>
      <c r="C316" s="5">
        <f>IFERROR(__xludf.DUMMYFUNCTION("""COMPUTED_VALUE"""),10650.0)</f>
        <v>10650</v>
      </c>
      <c r="D316" s="5">
        <f>IFERROR(__xludf.DUMMYFUNCTION("""COMPUTED_VALUE"""),10350.0)</f>
        <v>10350</v>
      </c>
      <c r="E316" s="5">
        <f>IFERROR(__xludf.DUMMYFUNCTION("""COMPUTED_VALUE"""),10425.0)</f>
        <v>10425</v>
      </c>
      <c r="F316" s="5">
        <f>IFERROR(__xludf.DUMMYFUNCTION("""COMPUTED_VALUE"""),2117100.0)</f>
        <v>2117100</v>
      </c>
      <c r="G316" s="5">
        <f t="shared" si="1"/>
        <v>300</v>
      </c>
    </row>
    <row r="317">
      <c r="A317" s="4">
        <f>IFERROR(__xludf.DUMMYFUNCTION("""COMPUTED_VALUE"""),44306.625)</f>
        <v>44306.625</v>
      </c>
      <c r="B317" s="5">
        <f>IFERROR(__xludf.DUMMYFUNCTION("""COMPUTED_VALUE"""),10475.0)</f>
        <v>10475</v>
      </c>
      <c r="C317" s="5">
        <f>IFERROR(__xludf.DUMMYFUNCTION("""COMPUTED_VALUE"""),10575.0)</f>
        <v>10575</v>
      </c>
      <c r="D317" s="5">
        <f>IFERROR(__xludf.DUMMYFUNCTION("""COMPUTED_VALUE"""),10375.0)</f>
        <v>10375</v>
      </c>
      <c r="E317" s="5">
        <f>IFERROR(__xludf.DUMMYFUNCTION("""COMPUTED_VALUE"""),10550.0)</f>
        <v>10550</v>
      </c>
      <c r="F317" s="5">
        <f>IFERROR(__xludf.DUMMYFUNCTION("""COMPUTED_VALUE"""),2463000.0)</f>
        <v>2463000</v>
      </c>
      <c r="G317" s="5">
        <f t="shared" si="1"/>
        <v>200</v>
      </c>
    </row>
    <row r="318">
      <c r="A318" s="4">
        <f>IFERROR(__xludf.DUMMYFUNCTION("""COMPUTED_VALUE"""),44307.625)</f>
        <v>44307.625</v>
      </c>
      <c r="B318" s="5">
        <f>IFERROR(__xludf.DUMMYFUNCTION("""COMPUTED_VALUE"""),10525.0)</f>
        <v>10525</v>
      </c>
      <c r="C318" s="5">
        <f>IFERROR(__xludf.DUMMYFUNCTION("""COMPUTED_VALUE"""),10600.0)</f>
        <v>10600</v>
      </c>
      <c r="D318" s="5">
        <f>IFERROR(__xludf.DUMMYFUNCTION("""COMPUTED_VALUE"""),10425.0)</f>
        <v>10425</v>
      </c>
      <c r="E318" s="5">
        <f>IFERROR(__xludf.DUMMYFUNCTION("""COMPUTED_VALUE"""),10450.0)</f>
        <v>10450</v>
      </c>
      <c r="F318" s="5">
        <f>IFERROR(__xludf.DUMMYFUNCTION("""COMPUTED_VALUE"""),897100.0)</f>
        <v>897100</v>
      </c>
      <c r="G318" s="5">
        <f t="shared" si="1"/>
        <v>175</v>
      </c>
    </row>
    <row r="319">
      <c r="A319" s="4">
        <f>IFERROR(__xludf.DUMMYFUNCTION("""COMPUTED_VALUE"""),44308.625)</f>
        <v>44308.625</v>
      </c>
      <c r="B319" s="5">
        <f>IFERROR(__xludf.DUMMYFUNCTION("""COMPUTED_VALUE"""),10600.0)</f>
        <v>10600</v>
      </c>
      <c r="C319" s="5">
        <f>IFERROR(__xludf.DUMMYFUNCTION("""COMPUTED_VALUE"""),10600.0)</f>
        <v>10600</v>
      </c>
      <c r="D319" s="5">
        <f>IFERROR(__xludf.DUMMYFUNCTION("""COMPUTED_VALUE"""),10325.0)</f>
        <v>10325</v>
      </c>
      <c r="E319" s="5">
        <f>IFERROR(__xludf.DUMMYFUNCTION("""COMPUTED_VALUE"""),10325.0)</f>
        <v>10325</v>
      </c>
      <c r="F319" s="5">
        <f>IFERROR(__xludf.DUMMYFUNCTION("""COMPUTED_VALUE"""),1481000.0)</f>
        <v>1481000</v>
      </c>
      <c r="G319" s="5">
        <f t="shared" si="1"/>
        <v>275</v>
      </c>
    </row>
    <row r="320">
      <c r="A320" s="4">
        <f>IFERROR(__xludf.DUMMYFUNCTION("""COMPUTED_VALUE"""),44309.625)</f>
        <v>44309.625</v>
      </c>
      <c r="B320" s="5">
        <f>IFERROR(__xludf.DUMMYFUNCTION("""COMPUTED_VALUE"""),10300.0)</f>
        <v>10300</v>
      </c>
      <c r="C320" s="5">
        <f>IFERROR(__xludf.DUMMYFUNCTION("""COMPUTED_VALUE"""),10650.0)</f>
        <v>10650</v>
      </c>
      <c r="D320" s="5">
        <f>IFERROR(__xludf.DUMMYFUNCTION("""COMPUTED_VALUE"""),10300.0)</f>
        <v>10300</v>
      </c>
      <c r="E320" s="5">
        <f>IFERROR(__xludf.DUMMYFUNCTION("""COMPUTED_VALUE"""),10400.0)</f>
        <v>10400</v>
      </c>
      <c r="F320" s="5">
        <f>IFERROR(__xludf.DUMMYFUNCTION("""COMPUTED_VALUE"""),3481400.0)</f>
        <v>3481400</v>
      </c>
      <c r="G320" s="5">
        <f t="shared" si="1"/>
        <v>350</v>
      </c>
    </row>
    <row r="321">
      <c r="A321" s="4">
        <f>IFERROR(__xludf.DUMMYFUNCTION("""COMPUTED_VALUE"""),44312.625)</f>
        <v>44312.625</v>
      </c>
      <c r="B321" s="5">
        <f>IFERROR(__xludf.DUMMYFUNCTION("""COMPUTED_VALUE"""),10425.0)</f>
        <v>10425</v>
      </c>
      <c r="C321" s="5">
        <f>IFERROR(__xludf.DUMMYFUNCTION("""COMPUTED_VALUE"""),10600.0)</f>
        <v>10600</v>
      </c>
      <c r="D321" s="5">
        <f>IFERROR(__xludf.DUMMYFUNCTION("""COMPUTED_VALUE"""),10375.0)</f>
        <v>10375</v>
      </c>
      <c r="E321" s="5">
        <f>IFERROR(__xludf.DUMMYFUNCTION("""COMPUTED_VALUE"""),10525.0)</f>
        <v>10525</v>
      </c>
      <c r="F321" s="5">
        <f>IFERROR(__xludf.DUMMYFUNCTION("""COMPUTED_VALUE"""),3437600.0)</f>
        <v>3437600</v>
      </c>
      <c r="G321" s="5">
        <f t="shared" si="1"/>
        <v>225</v>
      </c>
    </row>
    <row r="322">
      <c r="A322" s="4">
        <f>IFERROR(__xludf.DUMMYFUNCTION("""COMPUTED_VALUE"""),44313.625)</f>
        <v>44313.625</v>
      </c>
      <c r="B322" s="5">
        <f>IFERROR(__xludf.DUMMYFUNCTION("""COMPUTED_VALUE"""),10525.0)</f>
        <v>10525</v>
      </c>
      <c r="C322" s="5">
        <f>IFERROR(__xludf.DUMMYFUNCTION("""COMPUTED_VALUE"""),10550.0)</f>
        <v>10550</v>
      </c>
      <c r="D322" s="5">
        <f>IFERROR(__xludf.DUMMYFUNCTION("""COMPUTED_VALUE"""),10300.0)</f>
        <v>10300</v>
      </c>
      <c r="E322" s="5">
        <f>IFERROR(__xludf.DUMMYFUNCTION("""COMPUTED_VALUE"""),10300.0)</f>
        <v>10300</v>
      </c>
      <c r="F322" s="5">
        <f>IFERROR(__xludf.DUMMYFUNCTION("""COMPUTED_VALUE"""),1985300.0)</f>
        <v>1985300</v>
      </c>
      <c r="G322" s="5">
        <f t="shared" si="1"/>
        <v>250</v>
      </c>
    </row>
    <row r="323">
      <c r="A323" s="4">
        <f>IFERROR(__xludf.DUMMYFUNCTION("""COMPUTED_VALUE"""),44314.625)</f>
        <v>44314.625</v>
      </c>
      <c r="B323" s="5">
        <f>IFERROR(__xludf.DUMMYFUNCTION("""COMPUTED_VALUE"""),10300.0)</f>
        <v>10300</v>
      </c>
      <c r="C323" s="5">
        <f>IFERROR(__xludf.DUMMYFUNCTION("""COMPUTED_VALUE"""),10575.0)</f>
        <v>10575</v>
      </c>
      <c r="D323" s="5">
        <f>IFERROR(__xludf.DUMMYFUNCTION("""COMPUTED_VALUE"""),10250.0)</f>
        <v>10250</v>
      </c>
      <c r="E323" s="5">
        <f>IFERROR(__xludf.DUMMYFUNCTION("""COMPUTED_VALUE"""),10525.0)</f>
        <v>10525</v>
      </c>
      <c r="F323" s="5">
        <f>IFERROR(__xludf.DUMMYFUNCTION("""COMPUTED_VALUE"""),1883700.0)</f>
        <v>1883700</v>
      </c>
      <c r="G323" s="5">
        <f t="shared" si="1"/>
        <v>325</v>
      </c>
    </row>
    <row r="324">
      <c r="A324" s="4">
        <f>IFERROR(__xludf.DUMMYFUNCTION("""COMPUTED_VALUE"""),44315.625)</f>
        <v>44315.625</v>
      </c>
      <c r="B324" s="5">
        <f>IFERROR(__xludf.DUMMYFUNCTION("""COMPUTED_VALUE"""),10625.0)</f>
        <v>10625</v>
      </c>
      <c r="C324" s="5">
        <f>IFERROR(__xludf.DUMMYFUNCTION("""COMPUTED_VALUE"""),10625.0)</f>
        <v>10625</v>
      </c>
      <c r="D324" s="5">
        <f>IFERROR(__xludf.DUMMYFUNCTION("""COMPUTED_VALUE"""),10450.0)</f>
        <v>10450</v>
      </c>
      <c r="E324" s="5">
        <f>IFERROR(__xludf.DUMMYFUNCTION("""COMPUTED_VALUE"""),10550.0)</f>
        <v>10550</v>
      </c>
      <c r="F324" s="5">
        <f>IFERROR(__xludf.DUMMYFUNCTION("""COMPUTED_VALUE"""),1404000.0)</f>
        <v>1404000</v>
      </c>
      <c r="G324" s="5">
        <f t="shared" si="1"/>
        <v>175</v>
      </c>
    </row>
    <row r="325">
      <c r="A325" s="4">
        <f>IFERROR(__xludf.DUMMYFUNCTION("""COMPUTED_VALUE"""),44316.625)</f>
        <v>44316.625</v>
      </c>
      <c r="B325" s="5">
        <f>IFERROR(__xludf.DUMMYFUNCTION("""COMPUTED_VALUE"""),10750.0)</f>
        <v>10750</v>
      </c>
      <c r="C325" s="5">
        <f>IFERROR(__xludf.DUMMYFUNCTION("""COMPUTED_VALUE"""),10750.0)</f>
        <v>10750</v>
      </c>
      <c r="D325" s="5">
        <f>IFERROR(__xludf.DUMMYFUNCTION("""COMPUTED_VALUE"""),10300.0)</f>
        <v>10300</v>
      </c>
      <c r="E325" s="5">
        <f>IFERROR(__xludf.DUMMYFUNCTION("""COMPUTED_VALUE"""),10425.0)</f>
        <v>10425</v>
      </c>
      <c r="F325" s="5">
        <f>IFERROR(__xludf.DUMMYFUNCTION("""COMPUTED_VALUE"""),3191200.0)</f>
        <v>3191200</v>
      </c>
      <c r="G325" s="5">
        <f t="shared" si="1"/>
        <v>450</v>
      </c>
    </row>
    <row r="326">
      <c r="A326" s="4">
        <f>IFERROR(__xludf.DUMMYFUNCTION("""COMPUTED_VALUE"""),44319.66666666667)</f>
        <v>44319.66667</v>
      </c>
      <c r="B326" s="5">
        <f>IFERROR(__xludf.DUMMYFUNCTION("""COMPUTED_VALUE"""),10300.0)</f>
        <v>10300</v>
      </c>
      <c r="C326" s="5">
        <f>IFERROR(__xludf.DUMMYFUNCTION("""COMPUTED_VALUE"""),10425.0)</f>
        <v>10425</v>
      </c>
      <c r="D326" s="5">
        <f>IFERROR(__xludf.DUMMYFUNCTION("""COMPUTED_VALUE"""),10150.0)</f>
        <v>10150</v>
      </c>
      <c r="E326" s="5">
        <f>IFERROR(__xludf.DUMMYFUNCTION("""COMPUTED_VALUE"""),10175.0)</f>
        <v>10175</v>
      </c>
      <c r="F326" s="5">
        <f>IFERROR(__xludf.DUMMYFUNCTION("""COMPUTED_VALUE"""),1722800.0)</f>
        <v>1722800</v>
      </c>
      <c r="G326" s="5">
        <f t="shared" si="1"/>
        <v>275</v>
      </c>
    </row>
    <row r="327">
      <c r="A327" s="4">
        <f>IFERROR(__xludf.DUMMYFUNCTION("""COMPUTED_VALUE"""),44320.66666666667)</f>
        <v>44320.66667</v>
      </c>
      <c r="B327" s="5">
        <f>IFERROR(__xludf.DUMMYFUNCTION("""COMPUTED_VALUE"""),10150.0)</f>
        <v>10150</v>
      </c>
      <c r="C327" s="5">
        <f>IFERROR(__xludf.DUMMYFUNCTION("""COMPUTED_VALUE"""),10225.0)</f>
        <v>10225</v>
      </c>
      <c r="D327" s="5">
        <f>IFERROR(__xludf.DUMMYFUNCTION("""COMPUTED_VALUE"""),9900.0)</f>
        <v>9900</v>
      </c>
      <c r="E327" s="5">
        <f>IFERROR(__xludf.DUMMYFUNCTION("""COMPUTED_VALUE"""),10050.0)</f>
        <v>10050</v>
      </c>
      <c r="F327" s="5">
        <f>IFERROR(__xludf.DUMMYFUNCTION("""COMPUTED_VALUE"""),4601900.0)</f>
        <v>4601900</v>
      </c>
      <c r="G327" s="5">
        <f t="shared" si="1"/>
        <v>325</v>
      </c>
    </row>
    <row r="328">
      <c r="A328" s="4">
        <f>IFERROR(__xludf.DUMMYFUNCTION("""COMPUTED_VALUE"""),44321.625)</f>
        <v>44321.625</v>
      </c>
      <c r="B328" s="5">
        <f>IFERROR(__xludf.DUMMYFUNCTION("""COMPUTED_VALUE"""),10100.0)</f>
        <v>10100</v>
      </c>
      <c r="C328" s="5">
        <f>IFERROR(__xludf.DUMMYFUNCTION("""COMPUTED_VALUE"""),10300.0)</f>
        <v>10300</v>
      </c>
      <c r="D328" s="5">
        <f>IFERROR(__xludf.DUMMYFUNCTION("""COMPUTED_VALUE"""),10000.0)</f>
        <v>10000</v>
      </c>
      <c r="E328" s="5">
        <f>IFERROR(__xludf.DUMMYFUNCTION("""COMPUTED_VALUE"""),10150.0)</f>
        <v>10150</v>
      </c>
      <c r="F328" s="5">
        <f>IFERROR(__xludf.DUMMYFUNCTION("""COMPUTED_VALUE"""),3115300.0)</f>
        <v>3115300</v>
      </c>
      <c r="G328" s="5">
        <f t="shared" si="1"/>
        <v>300</v>
      </c>
    </row>
    <row r="329">
      <c r="A329" s="4">
        <f>IFERROR(__xludf.DUMMYFUNCTION("""COMPUTED_VALUE"""),44322.625)</f>
        <v>44322.625</v>
      </c>
      <c r="B329" s="5">
        <f>IFERROR(__xludf.DUMMYFUNCTION("""COMPUTED_VALUE"""),10150.0)</f>
        <v>10150</v>
      </c>
      <c r="C329" s="5">
        <f>IFERROR(__xludf.DUMMYFUNCTION("""COMPUTED_VALUE"""),10300.0)</f>
        <v>10300</v>
      </c>
      <c r="D329" s="5">
        <f>IFERROR(__xludf.DUMMYFUNCTION("""COMPUTED_VALUE"""),10025.0)</f>
        <v>10025</v>
      </c>
      <c r="E329" s="5">
        <f>IFERROR(__xludf.DUMMYFUNCTION("""COMPUTED_VALUE"""),10025.0)</f>
        <v>10025</v>
      </c>
      <c r="F329" s="5">
        <f>IFERROR(__xludf.DUMMYFUNCTION("""COMPUTED_VALUE"""),3941600.0)</f>
        <v>3941600</v>
      </c>
      <c r="G329" s="5">
        <f t="shared" si="1"/>
        <v>275</v>
      </c>
    </row>
    <row r="330">
      <c r="A330" s="4">
        <f>IFERROR(__xludf.DUMMYFUNCTION("""COMPUTED_VALUE"""),44323.625)</f>
        <v>44323.625</v>
      </c>
      <c r="B330" s="5">
        <f>IFERROR(__xludf.DUMMYFUNCTION("""COMPUTED_VALUE"""),10100.0)</f>
        <v>10100</v>
      </c>
      <c r="C330" s="5">
        <f>IFERROR(__xludf.DUMMYFUNCTION("""COMPUTED_VALUE"""),10125.0)</f>
        <v>10125</v>
      </c>
      <c r="D330" s="5">
        <f>IFERROR(__xludf.DUMMYFUNCTION("""COMPUTED_VALUE"""),9800.0)</f>
        <v>9800</v>
      </c>
      <c r="E330" s="5">
        <f>IFERROR(__xludf.DUMMYFUNCTION("""COMPUTED_VALUE"""),9800.0)</f>
        <v>9800</v>
      </c>
      <c r="F330" s="5">
        <f>IFERROR(__xludf.DUMMYFUNCTION("""COMPUTED_VALUE"""),6323100.0)</f>
        <v>6323100</v>
      </c>
      <c r="G330" s="5">
        <f t="shared" si="1"/>
        <v>325</v>
      </c>
    </row>
    <row r="331">
      <c r="A331" s="4">
        <f>IFERROR(__xludf.DUMMYFUNCTION("""COMPUTED_VALUE"""),44326.66666666667)</f>
        <v>44326.66667</v>
      </c>
      <c r="B331" s="5">
        <f>IFERROR(__xludf.DUMMYFUNCTION("""COMPUTED_VALUE"""),9925.0)</f>
        <v>9925</v>
      </c>
      <c r="C331" s="5">
        <f>IFERROR(__xludf.DUMMYFUNCTION("""COMPUTED_VALUE"""),10075.0)</f>
        <v>10075</v>
      </c>
      <c r="D331" s="5">
        <f>IFERROR(__xludf.DUMMYFUNCTION("""COMPUTED_VALUE"""),9700.0)</f>
        <v>9700</v>
      </c>
      <c r="E331" s="5">
        <f>IFERROR(__xludf.DUMMYFUNCTION("""COMPUTED_VALUE"""),9950.0)</f>
        <v>9950</v>
      </c>
      <c r="F331" s="5">
        <f>IFERROR(__xludf.DUMMYFUNCTION("""COMPUTED_VALUE"""),3911300.0)</f>
        <v>3911300</v>
      </c>
      <c r="G331" s="5">
        <f t="shared" si="1"/>
        <v>375</v>
      </c>
    </row>
    <row r="332">
      <c r="A332" s="4">
        <f>IFERROR(__xludf.DUMMYFUNCTION("""COMPUTED_VALUE"""),44327.66666666667)</f>
        <v>44327.66667</v>
      </c>
      <c r="B332" s="5">
        <f>IFERROR(__xludf.DUMMYFUNCTION("""COMPUTED_VALUE"""),9950.0)</f>
        <v>9950</v>
      </c>
      <c r="C332" s="5">
        <f>IFERROR(__xludf.DUMMYFUNCTION("""COMPUTED_VALUE"""),10025.0)</f>
        <v>10025</v>
      </c>
      <c r="D332" s="5">
        <f>IFERROR(__xludf.DUMMYFUNCTION("""COMPUTED_VALUE"""),9800.0)</f>
        <v>9800</v>
      </c>
      <c r="E332" s="5">
        <f>IFERROR(__xludf.DUMMYFUNCTION("""COMPUTED_VALUE"""),9925.0)</f>
        <v>9925</v>
      </c>
      <c r="F332" s="5">
        <f>IFERROR(__xludf.DUMMYFUNCTION("""COMPUTED_VALUE"""),1531600.0)</f>
        <v>1531600</v>
      </c>
      <c r="G332" s="5">
        <f t="shared" si="1"/>
        <v>225</v>
      </c>
    </row>
    <row r="333">
      <c r="A333" s="4">
        <f>IFERROR(__xludf.DUMMYFUNCTION("""COMPUTED_VALUE"""),44333.625)</f>
        <v>44333.625</v>
      </c>
      <c r="B333" s="5">
        <f>IFERROR(__xludf.DUMMYFUNCTION("""COMPUTED_VALUE"""),10000.0)</f>
        <v>10000</v>
      </c>
      <c r="C333" s="5">
        <f>IFERROR(__xludf.DUMMYFUNCTION("""COMPUTED_VALUE"""),10000.0)</f>
        <v>10000</v>
      </c>
      <c r="D333" s="5">
        <f>IFERROR(__xludf.DUMMYFUNCTION("""COMPUTED_VALUE"""),9725.0)</f>
        <v>9725</v>
      </c>
      <c r="E333" s="5">
        <f>IFERROR(__xludf.DUMMYFUNCTION("""COMPUTED_VALUE"""),9725.0)</f>
        <v>9725</v>
      </c>
      <c r="F333" s="5">
        <f>IFERROR(__xludf.DUMMYFUNCTION("""COMPUTED_VALUE"""),2969000.0)</f>
        <v>2969000</v>
      </c>
      <c r="G333" s="5">
        <f t="shared" si="1"/>
        <v>275</v>
      </c>
    </row>
    <row r="334">
      <c r="A334" s="4">
        <f>IFERROR(__xludf.DUMMYFUNCTION("""COMPUTED_VALUE"""),44334.625)</f>
        <v>44334.625</v>
      </c>
      <c r="B334" s="5">
        <f>IFERROR(__xludf.DUMMYFUNCTION("""COMPUTED_VALUE"""),9725.0)</f>
        <v>9725</v>
      </c>
      <c r="C334" s="5">
        <f>IFERROR(__xludf.DUMMYFUNCTION("""COMPUTED_VALUE"""),9800.0)</f>
        <v>9800</v>
      </c>
      <c r="D334" s="5">
        <f>IFERROR(__xludf.DUMMYFUNCTION("""COMPUTED_VALUE"""),9250.0)</f>
        <v>9250</v>
      </c>
      <c r="E334" s="5">
        <f>IFERROR(__xludf.DUMMYFUNCTION("""COMPUTED_VALUE"""),9525.0)</f>
        <v>9525</v>
      </c>
      <c r="F334" s="5">
        <f>IFERROR(__xludf.DUMMYFUNCTION("""COMPUTED_VALUE"""),5544500.0)</f>
        <v>5544500</v>
      </c>
      <c r="G334" s="5">
        <f t="shared" si="1"/>
        <v>550</v>
      </c>
    </row>
    <row r="335">
      <c r="A335" s="4">
        <f>IFERROR(__xludf.DUMMYFUNCTION("""COMPUTED_VALUE"""),44335.625)</f>
        <v>44335.625</v>
      </c>
      <c r="B335" s="5">
        <f>IFERROR(__xludf.DUMMYFUNCTION("""COMPUTED_VALUE"""),9500.0)</f>
        <v>9500</v>
      </c>
      <c r="C335" s="5">
        <f>IFERROR(__xludf.DUMMYFUNCTION("""COMPUTED_VALUE"""),9550.0)</f>
        <v>9550</v>
      </c>
      <c r="D335" s="5">
        <f>IFERROR(__xludf.DUMMYFUNCTION("""COMPUTED_VALUE"""),9150.0)</f>
        <v>9150</v>
      </c>
      <c r="E335" s="5">
        <f>IFERROR(__xludf.DUMMYFUNCTION("""COMPUTED_VALUE"""),9275.0)</f>
        <v>9275</v>
      </c>
      <c r="F335" s="5">
        <f>IFERROR(__xludf.DUMMYFUNCTION("""COMPUTED_VALUE"""),4802100.0)</f>
        <v>4802100</v>
      </c>
      <c r="G335" s="5">
        <f t="shared" si="1"/>
        <v>400</v>
      </c>
    </row>
    <row r="336">
      <c r="A336" s="4">
        <f>IFERROR(__xludf.DUMMYFUNCTION("""COMPUTED_VALUE"""),44336.625)</f>
        <v>44336.625</v>
      </c>
      <c r="B336" s="5">
        <f>IFERROR(__xludf.DUMMYFUNCTION("""COMPUTED_VALUE"""),9275.0)</f>
        <v>9275</v>
      </c>
      <c r="C336" s="5">
        <f>IFERROR(__xludf.DUMMYFUNCTION("""COMPUTED_VALUE"""),9575.0)</f>
        <v>9575</v>
      </c>
      <c r="D336" s="5">
        <f>IFERROR(__xludf.DUMMYFUNCTION("""COMPUTED_VALUE"""),9100.0)</f>
        <v>9100</v>
      </c>
      <c r="E336" s="5">
        <f>IFERROR(__xludf.DUMMYFUNCTION("""COMPUTED_VALUE"""),9525.0)</f>
        <v>9525</v>
      </c>
      <c r="F336" s="5">
        <f>IFERROR(__xludf.DUMMYFUNCTION("""COMPUTED_VALUE"""),4300600.0)</f>
        <v>4300600</v>
      </c>
      <c r="G336" s="5">
        <f t="shared" si="1"/>
        <v>475</v>
      </c>
    </row>
    <row r="337">
      <c r="A337" s="4">
        <f>IFERROR(__xludf.DUMMYFUNCTION("""COMPUTED_VALUE"""),44337.625)</f>
        <v>44337.625</v>
      </c>
      <c r="B337" s="5">
        <f>IFERROR(__xludf.DUMMYFUNCTION("""COMPUTED_VALUE"""),9500.0)</f>
        <v>9500</v>
      </c>
      <c r="C337" s="5">
        <f>IFERROR(__xludf.DUMMYFUNCTION("""COMPUTED_VALUE"""),9600.0)</f>
        <v>9600</v>
      </c>
      <c r="D337" s="5">
        <f>IFERROR(__xludf.DUMMYFUNCTION("""COMPUTED_VALUE"""),9300.0)</f>
        <v>9300</v>
      </c>
      <c r="E337" s="5">
        <f>IFERROR(__xludf.DUMMYFUNCTION("""COMPUTED_VALUE"""),9425.0)</f>
        <v>9425</v>
      </c>
      <c r="F337" s="5">
        <f>IFERROR(__xludf.DUMMYFUNCTION("""COMPUTED_VALUE"""),3124300.0)</f>
        <v>3124300</v>
      </c>
      <c r="G337" s="5">
        <f t="shared" si="1"/>
        <v>300</v>
      </c>
    </row>
    <row r="338">
      <c r="A338" s="4">
        <f>IFERROR(__xludf.DUMMYFUNCTION("""COMPUTED_VALUE"""),44340.625)</f>
        <v>44340.625</v>
      </c>
      <c r="B338" s="5">
        <f>IFERROR(__xludf.DUMMYFUNCTION("""COMPUTED_VALUE"""),9500.0)</f>
        <v>9500</v>
      </c>
      <c r="C338" s="5">
        <f>IFERROR(__xludf.DUMMYFUNCTION("""COMPUTED_VALUE"""),9500.0)</f>
        <v>9500</v>
      </c>
      <c r="D338" s="5">
        <f>IFERROR(__xludf.DUMMYFUNCTION("""COMPUTED_VALUE"""),9200.0)</f>
        <v>9200</v>
      </c>
      <c r="E338" s="5">
        <f>IFERROR(__xludf.DUMMYFUNCTION("""COMPUTED_VALUE"""),9225.0)</f>
        <v>9225</v>
      </c>
      <c r="F338" s="5">
        <f>IFERROR(__xludf.DUMMYFUNCTION("""COMPUTED_VALUE"""),2575900.0)</f>
        <v>2575900</v>
      </c>
      <c r="G338" s="5">
        <f t="shared" si="1"/>
        <v>300</v>
      </c>
    </row>
    <row r="339">
      <c r="A339" s="4">
        <f>IFERROR(__xludf.DUMMYFUNCTION("""COMPUTED_VALUE"""),44341.625)</f>
        <v>44341.625</v>
      </c>
      <c r="B339" s="5">
        <f>IFERROR(__xludf.DUMMYFUNCTION("""COMPUTED_VALUE"""),9250.0)</f>
        <v>9250</v>
      </c>
      <c r="C339" s="5">
        <f>IFERROR(__xludf.DUMMYFUNCTION("""COMPUTED_VALUE"""),9450.0)</f>
        <v>9450</v>
      </c>
      <c r="D339" s="5">
        <f>IFERROR(__xludf.DUMMYFUNCTION("""COMPUTED_VALUE"""),9150.0)</f>
        <v>9150</v>
      </c>
      <c r="E339" s="5">
        <f>IFERROR(__xludf.DUMMYFUNCTION("""COMPUTED_VALUE"""),9400.0)</f>
        <v>9400</v>
      </c>
      <c r="F339" s="5">
        <f>IFERROR(__xludf.DUMMYFUNCTION("""COMPUTED_VALUE"""),4522700.0)</f>
        <v>4522700</v>
      </c>
      <c r="G339" s="5">
        <f t="shared" si="1"/>
        <v>300</v>
      </c>
    </row>
    <row r="340">
      <c r="A340" s="4">
        <f>IFERROR(__xludf.DUMMYFUNCTION("""COMPUTED_VALUE"""),44343.625)</f>
        <v>44343.625</v>
      </c>
      <c r="B340" s="5">
        <f>IFERROR(__xludf.DUMMYFUNCTION("""COMPUTED_VALUE"""),9500.0)</f>
        <v>9500</v>
      </c>
      <c r="C340" s="5">
        <f>IFERROR(__xludf.DUMMYFUNCTION("""COMPUTED_VALUE"""),9675.0)</f>
        <v>9675</v>
      </c>
      <c r="D340" s="5">
        <f>IFERROR(__xludf.DUMMYFUNCTION("""COMPUTED_VALUE"""),9400.0)</f>
        <v>9400</v>
      </c>
      <c r="E340" s="5">
        <f>IFERROR(__xludf.DUMMYFUNCTION("""COMPUTED_VALUE"""),9500.0)</f>
        <v>9500</v>
      </c>
      <c r="F340" s="5">
        <f>IFERROR(__xludf.DUMMYFUNCTION("""COMPUTED_VALUE"""),9274300.0)</f>
        <v>9274300</v>
      </c>
      <c r="G340" s="5">
        <f t="shared" si="1"/>
        <v>275</v>
      </c>
    </row>
    <row r="341">
      <c r="A341" s="4">
        <f>IFERROR(__xludf.DUMMYFUNCTION("""COMPUTED_VALUE"""),44344.625)</f>
        <v>44344.625</v>
      </c>
      <c r="B341" s="5">
        <f>IFERROR(__xludf.DUMMYFUNCTION("""COMPUTED_VALUE"""),9500.0)</f>
        <v>9500</v>
      </c>
      <c r="C341" s="5">
        <f>IFERROR(__xludf.DUMMYFUNCTION("""COMPUTED_VALUE"""),9675.0)</f>
        <v>9675</v>
      </c>
      <c r="D341" s="5">
        <f>IFERROR(__xludf.DUMMYFUNCTION("""COMPUTED_VALUE"""),9375.0)</f>
        <v>9375</v>
      </c>
      <c r="E341" s="5">
        <f>IFERROR(__xludf.DUMMYFUNCTION("""COMPUTED_VALUE"""),9650.0)</f>
        <v>9650</v>
      </c>
      <c r="F341" s="5">
        <f>IFERROR(__xludf.DUMMYFUNCTION("""COMPUTED_VALUE"""),2720600.0)</f>
        <v>2720600</v>
      </c>
      <c r="G341" s="5">
        <f t="shared" si="1"/>
        <v>300</v>
      </c>
    </row>
    <row r="342">
      <c r="A342" s="4">
        <f>IFERROR(__xludf.DUMMYFUNCTION("""COMPUTED_VALUE"""),44347.625)</f>
        <v>44347.625</v>
      </c>
      <c r="B342" s="5">
        <f>IFERROR(__xludf.DUMMYFUNCTION("""COMPUTED_VALUE"""),9675.0)</f>
        <v>9675</v>
      </c>
      <c r="C342" s="5">
        <f>IFERROR(__xludf.DUMMYFUNCTION("""COMPUTED_VALUE"""),9775.0)</f>
        <v>9775</v>
      </c>
      <c r="D342" s="5">
        <f>IFERROR(__xludf.DUMMYFUNCTION("""COMPUTED_VALUE"""),9450.0)</f>
        <v>9450</v>
      </c>
      <c r="E342" s="5">
        <f>IFERROR(__xludf.DUMMYFUNCTION("""COMPUTED_VALUE"""),9700.0)</f>
        <v>9700</v>
      </c>
      <c r="F342" s="5">
        <f>IFERROR(__xludf.DUMMYFUNCTION("""COMPUTED_VALUE"""),3274300.0)</f>
        <v>3274300</v>
      </c>
      <c r="G342" s="5">
        <f t="shared" si="1"/>
        <v>325</v>
      </c>
    </row>
    <row r="343">
      <c r="A343" s="4">
        <f>IFERROR(__xludf.DUMMYFUNCTION("""COMPUTED_VALUE"""),44349.625)</f>
        <v>44349.625</v>
      </c>
      <c r="B343" s="5">
        <f>IFERROR(__xludf.DUMMYFUNCTION("""COMPUTED_VALUE"""),9900.0)</f>
        <v>9900</v>
      </c>
      <c r="C343" s="5">
        <f>IFERROR(__xludf.DUMMYFUNCTION("""COMPUTED_VALUE"""),10525.0)</f>
        <v>10525</v>
      </c>
      <c r="D343" s="5">
        <f>IFERROR(__xludf.DUMMYFUNCTION("""COMPUTED_VALUE"""),9800.0)</f>
        <v>9800</v>
      </c>
      <c r="E343" s="5">
        <f>IFERROR(__xludf.DUMMYFUNCTION("""COMPUTED_VALUE"""),10425.0)</f>
        <v>10425</v>
      </c>
      <c r="F343" s="5">
        <f>IFERROR(__xludf.DUMMYFUNCTION("""COMPUTED_VALUE"""),1.10845E7)</f>
        <v>11084500</v>
      </c>
      <c r="G343" s="5">
        <f t="shared" si="1"/>
        <v>825</v>
      </c>
    </row>
    <row r="344">
      <c r="A344" s="4">
        <f>IFERROR(__xludf.DUMMYFUNCTION("""COMPUTED_VALUE"""),44350.625)</f>
        <v>44350.625</v>
      </c>
      <c r="B344" s="5">
        <f>IFERROR(__xludf.DUMMYFUNCTION("""COMPUTED_VALUE"""),10425.0)</f>
        <v>10425</v>
      </c>
      <c r="C344" s="5">
        <f>IFERROR(__xludf.DUMMYFUNCTION("""COMPUTED_VALUE"""),10550.0)</f>
        <v>10550</v>
      </c>
      <c r="D344" s="5">
        <f>IFERROR(__xludf.DUMMYFUNCTION("""COMPUTED_VALUE"""),10150.0)</f>
        <v>10150</v>
      </c>
      <c r="E344" s="5">
        <f>IFERROR(__xludf.DUMMYFUNCTION("""COMPUTED_VALUE"""),10550.0)</f>
        <v>10550</v>
      </c>
      <c r="F344" s="5">
        <f>IFERROR(__xludf.DUMMYFUNCTION("""COMPUTED_VALUE"""),5767300.0)</f>
        <v>5767300</v>
      </c>
      <c r="G344" s="5">
        <f t="shared" si="1"/>
        <v>400</v>
      </c>
    </row>
    <row r="345">
      <c r="A345" s="4">
        <f>IFERROR(__xludf.DUMMYFUNCTION("""COMPUTED_VALUE"""),44351.625)</f>
        <v>44351.625</v>
      </c>
      <c r="B345" s="5">
        <f>IFERROR(__xludf.DUMMYFUNCTION("""COMPUTED_VALUE"""),10550.0)</f>
        <v>10550</v>
      </c>
      <c r="C345" s="5">
        <f>IFERROR(__xludf.DUMMYFUNCTION("""COMPUTED_VALUE"""),10550.0)</f>
        <v>10550</v>
      </c>
      <c r="D345" s="5">
        <f>IFERROR(__xludf.DUMMYFUNCTION("""COMPUTED_VALUE"""),10275.0)</f>
        <v>10275</v>
      </c>
      <c r="E345" s="5">
        <f>IFERROR(__xludf.DUMMYFUNCTION("""COMPUTED_VALUE"""),10375.0)</f>
        <v>10375</v>
      </c>
      <c r="F345" s="5">
        <f>IFERROR(__xludf.DUMMYFUNCTION("""COMPUTED_VALUE"""),4172300.0)</f>
        <v>4172300</v>
      </c>
      <c r="G345" s="5">
        <f t="shared" si="1"/>
        <v>275</v>
      </c>
    </row>
    <row r="346">
      <c r="A346" s="4">
        <f>IFERROR(__xludf.DUMMYFUNCTION("""COMPUTED_VALUE"""),44354.625)</f>
        <v>44354.625</v>
      </c>
      <c r="B346" s="5">
        <f>IFERROR(__xludf.DUMMYFUNCTION("""COMPUTED_VALUE"""),10500.0)</f>
        <v>10500</v>
      </c>
      <c r="C346" s="5">
        <f>IFERROR(__xludf.DUMMYFUNCTION("""COMPUTED_VALUE"""),10500.0)</f>
        <v>10500</v>
      </c>
      <c r="D346" s="5">
        <f>IFERROR(__xludf.DUMMYFUNCTION("""COMPUTED_VALUE"""),10225.0)</f>
        <v>10225</v>
      </c>
      <c r="E346" s="5">
        <f>IFERROR(__xludf.DUMMYFUNCTION("""COMPUTED_VALUE"""),10400.0)</f>
        <v>10400</v>
      </c>
      <c r="F346" s="5">
        <f>IFERROR(__xludf.DUMMYFUNCTION("""COMPUTED_VALUE"""),2369800.0)</f>
        <v>2369800</v>
      </c>
      <c r="G346" s="5">
        <f t="shared" si="1"/>
        <v>275</v>
      </c>
    </row>
    <row r="347">
      <c r="A347" s="4">
        <f>IFERROR(__xludf.DUMMYFUNCTION("""COMPUTED_VALUE"""),44355.625)</f>
        <v>44355.625</v>
      </c>
      <c r="B347" s="5">
        <f>IFERROR(__xludf.DUMMYFUNCTION("""COMPUTED_VALUE"""),10275.0)</f>
        <v>10275</v>
      </c>
      <c r="C347" s="5">
        <f>IFERROR(__xludf.DUMMYFUNCTION("""COMPUTED_VALUE"""),10400.0)</f>
        <v>10400</v>
      </c>
      <c r="D347" s="5">
        <f>IFERROR(__xludf.DUMMYFUNCTION("""COMPUTED_VALUE"""),10100.0)</f>
        <v>10100</v>
      </c>
      <c r="E347" s="5">
        <f>IFERROR(__xludf.DUMMYFUNCTION("""COMPUTED_VALUE"""),10175.0)</f>
        <v>10175</v>
      </c>
      <c r="F347" s="5">
        <f>IFERROR(__xludf.DUMMYFUNCTION("""COMPUTED_VALUE"""),3877700.0)</f>
        <v>3877700</v>
      </c>
      <c r="G347" s="5">
        <f t="shared" si="1"/>
        <v>300</v>
      </c>
    </row>
    <row r="348">
      <c r="A348" s="4">
        <f>IFERROR(__xludf.DUMMYFUNCTION("""COMPUTED_VALUE"""),44356.625)</f>
        <v>44356.625</v>
      </c>
      <c r="B348" s="5">
        <f>IFERROR(__xludf.DUMMYFUNCTION("""COMPUTED_VALUE"""),10175.0)</f>
        <v>10175</v>
      </c>
      <c r="C348" s="5">
        <f>IFERROR(__xludf.DUMMYFUNCTION("""COMPUTED_VALUE"""),10500.0)</f>
        <v>10500</v>
      </c>
      <c r="D348" s="5">
        <f>IFERROR(__xludf.DUMMYFUNCTION("""COMPUTED_VALUE"""),10175.0)</f>
        <v>10175</v>
      </c>
      <c r="E348" s="5">
        <f>IFERROR(__xludf.DUMMYFUNCTION("""COMPUTED_VALUE"""),10400.0)</f>
        <v>10400</v>
      </c>
      <c r="F348" s="5">
        <f>IFERROR(__xludf.DUMMYFUNCTION("""COMPUTED_VALUE"""),4029300.0)</f>
        <v>4029300</v>
      </c>
      <c r="G348" s="5">
        <f t="shared" si="1"/>
        <v>325</v>
      </c>
    </row>
    <row r="349">
      <c r="A349" s="4">
        <f>IFERROR(__xludf.DUMMYFUNCTION("""COMPUTED_VALUE"""),44357.625)</f>
        <v>44357.625</v>
      </c>
      <c r="B349" s="5">
        <f>IFERROR(__xludf.DUMMYFUNCTION("""COMPUTED_VALUE"""),10500.0)</f>
        <v>10500</v>
      </c>
      <c r="C349" s="5">
        <f>IFERROR(__xludf.DUMMYFUNCTION("""COMPUTED_VALUE"""),10500.0)</f>
        <v>10500</v>
      </c>
      <c r="D349" s="5">
        <f>IFERROR(__xludf.DUMMYFUNCTION("""COMPUTED_VALUE"""),10275.0)</f>
        <v>10275</v>
      </c>
      <c r="E349" s="5">
        <f>IFERROR(__xludf.DUMMYFUNCTION("""COMPUTED_VALUE"""),10325.0)</f>
        <v>10325</v>
      </c>
      <c r="F349" s="5">
        <f>IFERROR(__xludf.DUMMYFUNCTION("""COMPUTED_VALUE"""),2352700.0)</f>
        <v>2352700</v>
      </c>
      <c r="G349" s="5">
        <f t="shared" si="1"/>
        <v>225</v>
      </c>
    </row>
    <row r="350">
      <c r="A350" s="4">
        <f>IFERROR(__xludf.DUMMYFUNCTION("""COMPUTED_VALUE"""),44358.625)</f>
        <v>44358.625</v>
      </c>
      <c r="B350" s="5">
        <f>IFERROR(__xludf.DUMMYFUNCTION("""COMPUTED_VALUE"""),10325.0)</f>
        <v>10325</v>
      </c>
      <c r="C350" s="5">
        <f>IFERROR(__xludf.DUMMYFUNCTION("""COMPUTED_VALUE"""),10450.0)</f>
        <v>10450</v>
      </c>
      <c r="D350" s="5">
        <f>IFERROR(__xludf.DUMMYFUNCTION("""COMPUTED_VALUE"""),10325.0)</f>
        <v>10325</v>
      </c>
      <c r="E350" s="5">
        <f>IFERROR(__xludf.DUMMYFUNCTION("""COMPUTED_VALUE"""),10325.0)</f>
        <v>10325</v>
      </c>
      <c r="F350" s="5">
        <f>IFERROR(__xludf.DUMMYFUNCTION("""COMPUTED_VALUE"""),3014100.0)</f>
        <v>3014100</v>
      </c>
      <c r="G350" s="5">
        <f t="shared" si="1"/>
        <v>125</v>
      </c>
    </row>
    <row r="351">
      <c r="A351" s="4">
        <f>IFERROR(__xludf.DUMMYFUNCTION("""COMPUTED_VALUE"""),44361.66666666667)</f>
        <v>44361.66667</v>
      </c>
      <c r="B351" s="5">
        <f>IFERROR(__xludf.DUMMYFUNCTION("""COMPUTED_VALUE"""),10600.0)</f>
        <v>10600</v>
      </c>
      <c r="C351" s="5">
        <f>IFERROR(__xludf.DUMMYFUNCTION("""COMPUTED_VALUE"""),10600.0)</f>
        <v>10600</v>
      </c>
      <c r="D351" s="5">
        <f>IFERROR(__xludf.DUMMYFUNCTION("""COMPUTED_VALUE"""),10125.0)</f>
        <v>10125</v>
      </c>
      <c r="E351" s="5">
        <f>IFERROR(__xludf.DUMMYFUNCTION("""COMPUTED_VALUE"""),10175.0)</f>
        <v>10175</v>
      </c>
      <c r="F351" s="5">
        <f>IFERROR(__xludf.DUMMYFUNCTION("""COMPUTED_VALUE"""),3397600.0)</f>
        <v>3397600</v>
      </c>
      <c r="G351" s="5">
        <f t="shared" si="1"/>
        <v>475</v>
      </c>
    </row>
    <row r="352">
      <c r="A352" s="4">
        <f>IFERROR(__xludf.DUMMYFUNCTION("""COMPUTED_VALUE"""),44362.625)</f>
        <v>44362.625</v>
      </c>
      <c r="B352" s="5">
        <f>IFERROR(__xludf.DUMMYFUNCTION("""COMPUTED_VALUE"""),10125.0)</f>
        <v>10125</v>
      </c>
      <c r="C352" s="5">
        <f>IFERROR(__xludf.DUMMYFUNCTION("""COMPUTED_VALUE"""),10275.0)</f>
        <v>10275</v>
      </c>
      <c r="D352" s="5">
        <f>IFERROR(__xludf.DUMMYFUNCTION("""COMPUTED_VALUE"""),10075.0)</f>
        <v>10075</v>
      </c>
      <c r="E352" s="5">
        <f>IFERROR(__xludf.DUMMYFUNCTION("""COMPUTED_VALUE"""),10200.0)</f>
        <v>10200</v>
      </c>
      <c r="F352" s="5">
        <f>IFERROR(__xludf.DUMMYFUNCTION("""COMPUTED_VALUE"""),4701100.0)</f>
        <v>4701100</v>
      </c>
      <c r="G352" s="5">
        <f t="shared" si="1"/>
        <v>200</v>
      </c>
    </row>
    <row r="353">
      <c r="A353" s="4">
        <f>IFERROR(__xludf.DUMMYFUNCTION("""COMPUTED_VALUE"""),44363.625)</f>
        <v>44363.625</v>
      </c>
      <c r="B353" s="5">
        <f>IFERROR(__xludf.DUMMYFUNCTION("""COMPUTED_VALUE"""),10275.0)</f>
        <v>10275</v>
      </c>
      <c r="C353" s="5">
        <f>IFERROR(__xludf.DUMMYFUNCTION("""COMPUTED_VALUE"""),10275.0)</f>
        <v>10275</v>
      </c>
      <c r="D353" s="5">
        <f>IFERROR(__xludf.DUMMYFUNCTION("""COMPUTED_VALUE"""),10150.0)</f>
        <v>10150</v>
      </c>
      <c r="E353" s="5">
        <f>IFERROR(__xludf.DUMMYFUNCTION("""COMPUTED_VALUE"""),10200.0)</f>
        <v>10200</v>
      </c>
      <c r="F353" s="5">
        <f>IFERROR(__xludf.DUMMYFUNCTION("""COMPUTED_VALUE"""),2366300.0)</f>
        <v>2366300</v>
      </c>
      <c r="G353" s="5">
        <f t="shared" si="1"/>
        <v>125</v>
      </c>
    </row>
    <row r="354">
      <c r="A354" s="4">
        <f>IFERROR(__xludf.DUMMYFUNCTION("""COMPUTED_VALUE"""),44364.625)</f>
        <v>44364.625</v>
      </c>
      <c r="B354" s="5">
        <f>IFERROR(__xludf.DUMMYFUNCTION("""COMPUTED_VALUE"""),10075.0)</f>
        <v>10075</v>
      </c>
      <c r="C354" s="5">
        <f>IFERROR(__xludf.DUMMYFUNCTION("""COMPUTED_VALUE"""),10150.0)</f>
        <v>10150</v>
      </c>
      <c r="D354" s="5">
        <f>IFERROR(__xludf.DUMMYFUNCTION("""COMPUTED_VALUE"""),9850.0)</f>
        <v>9850</v>
      </c>
      <c r="E354" s="5">
        <f>IFERROR(__xludf.DUMMYFUNCTION("""COMPUTED_VALUE"""),9900.0)</f>
        <v>9900</v>
      </c>
      <c r="F354" s="5">
        <f>IFERROR(__xludf.DUMMYFUNCTION("""COMPUTED_VALUE"""),4099300.0)</f>
        <v>4099300</v>
      </c>
      <c r="G354" s="5">
        <f t="shared" si="1"/>
        <v>350</v>
      </c>
    </row>
    <row r="355">
      <c r="A355" s="4">
        <f>IFERROR(__xludf.DUMMYFUNCTION("""COMPUTED_VALUE"""),44365.625)</f>
        <v>44365.625</v>
      </c>
      <c r="B355" s="5">
        <f>IFERROR(__xludf.DUMMYFUNCTION("""COMPUTED_VALUE"""),10000.0)</f>
        <v>10000</v>
      </c>
      <c r="C355" s="5">
        <f>IFERROR(__xludf.DUMMYFUNCTION("""COMPUTED_VALUE"""),10100.0)</f>
        <v>10100</v>
      </c>
      <c r="D355" s="5">
        <f>IFERROR(__xludf.DUMMYFUNCTION("""COMPUTED_VALUE"""),9600.0)</f>
        <v>9600</v>
      </c>
      <c r="E355" s="5">
        <f>IFERROR(__xludf.DUMMYFUNCTION("""COMPUTED_VALUE"""),9900.0)</f>
        <v>9900</v>
      </c>
      <c r="F355" s="5">
        <f>IFERROR(__xludf.DUMMYFUNCTION("""COMPUTED_VALUE"""),7271400.0)</f>
        <v>7271400</v>
      </c>
      <c r="G355" s="5">
        <f t="shared" si="1"/>
        <v>500</v>
      </c>
    </row>
    <row r="356">
      <c r="A356" s="4">
        <f>IFERROR(__xludf.DUMMYFUNCTION("""COMPUTED_VALUE"""),44368.66666666667)</f>
        <v>44368.66667</v>
      </c>
      <c r="B356" s="5">
        <f>IFERROR(__xludf.DUMMYFUNCTION("""COMPUTED_VALUE"""),9800.0)</f>
        <v>9800</v>
      </c>
      <c r="C356" s="5">
        <f>IFERROR(__xludf.DUMMYFUNCTION("""COMPUTED_VALUE"""),10050.0)</f>
        <v>10050</v>
      </c>
      <c r="D356" s="5">
        <f>IFERROR(__xludf.DUMMYFUNCTION("""COMPUTED_VALUE"""),9650.0)</f>
        <v>9650</v>
      </c>
      <c r="E356" s="5">
        <f>IFERROR(__xludf.DUMMYFUNCTION("""COMPUTED_VALUE"""),10000.0)</f>
        <v>10000</v>
      </c>
      <c r="F356" s="5">
        <f>IFERROR(__xludf.DUMMYFUNCTION("""COMPUTED_VALUE"""),3259600.0)</f>
        <v>3259600</v>
      </c>
      <c r="G356" s="5">
        <f t="shared" si="1"/>
        <v>400</v>
      </c>
    </row>
    <row r="357">
      <c r="A357" s="4">
        <f>IFERROR(__xludf.DUMMYFUNCTION("""COMPUTED_VALUE"""),44369.625)</f>
        <v>44369.625</v>
      </c>
      <c r="B357" s="5">
        <f>IFERROR(__xludf.DUMMYFUNCTION("""COMPUTED_VALUE"""),10000.0)</f>
        <v>10000</v>
      </c>
      <c r="C357" s="5">
        <f>IFERROR(__xludf.DUMMYFUNCTION("""COMPUTED_VALUE"""),10000.0)</f>
        <v>10000</v>
      </c>
      <c r="D357" s="5">
        <f>IFERROR(__xludf.DUMMYFUNCTION("""COMPUTED_VALUE"""),9700.0)</f>
        <v>9700</v>
      </c>
      <c r="E357" s="5">
        <f>IFERROR(__xludf.DUMMYFUNCTION("""COMPUTED_VALUE"""),9700.0)</f>
        <v>9700</v>
      </c>
      <c r="F357" s="5">
        <f>IFERROR(__xludf.DUMMYFUNCTION("""COMPUTED_VALUE"""),4902700.0)</f>
        <v>4902700</v>
      </c>
      <c r="G357" s="5">
        <f t="shared" si="1"/>
        <v>300</v>
      </c>
    </row>
    <row r="358">
      <c r="A358" s="4">
        <f>IFERROR(__xludf.DUMMYFUNCTION("""COMPUTED_VALUE"""),44370.625)</f>
        <v>44370.625</v>
      </c>
      <c r="B358" s="5">
        <f>IFERROR(__xludf.DUMMYFUNCTION("""COMPUTED_VALUE"""),9800.0)</f>
        <v>9800</v>
      </c>
      <c r="C358" s="5">
        <f>IFERROR(__xludf.DUMMYFUNCTION("""COMPUTED_VALUE"""),9950.0)</f>
        <v>9950</v>
      </c>
      <c r="D358" s="5">
        <f>IFERROR(__xludf.DUMMYFUNCTION("""COMPUTED_VALUE"""),9700.0)</f>
        <v>9700</v>
      </c>
      <c r="E358" s="5">
        <f>IFERROR(__xludf.DUMMYFUNCTION("""COMPUTED_VALUE"""),9700.0)</f>
        <v>9700</v>
      </c>
      <c r="F358" s="5">
        <f>IFERROR(__xludf.DUMMYFUNCTION("""COMPUTED_VALUE"""),1959400.0)</f>
        <v>1959400</v>
      </c>
      <c r="G358" s="5">
        <f t="shared" si="1"/>
        <v>250</v>
      </c>
    </row>
    <row r="359">
      <c r="A359" s="4">
        <f>IFERROR(__xludf.DUMMYFUNCTION("""COMPUTED_VALUE"""),44371.625)</f>
        <v>44371.625</v>
      </c>
      <c r="B359" s="5">
        <f>IFERROR(__xludf.DUMMYFUNCTION("""COMPUTED_VALUE"""),9800.0)</f>
        <v>9800</v>
      </c>
      <c r="C359" s="5">
        <f>IFERROR(__xludf.DUMMYFUNCTION("""COMPUTED_VALUE"""),9975.0)</f>
        <v>9975</v>
      </c>
      <c r="D359" s="5">
        <f>IFERROR(__xludf.DUMMYFUNCTION("""COMPUTED_VALUE"""),9700.0)</f>
        <v>9700</v>
      </c>
      <c r="E359" s="5">
        <f>IFERROR(__xludf.DUMMYFUNCTION("""COMPUTED_VALUE"""),9725.0)</f>
        <v>9725</v>
      </c>
      <c r="F359" s="5">
        <f>IFERROR(__xludf.DUMMYFUNCTION("""COMPUTED_VALUE"""),3428000.0)</f>
        <v>3428000</v>
      </c>
      <c r="G359" s="5">
        <f t="shared" si="1"/>
        <v>275</v>
      </c>
    </row>
    <row r="360">
      <c r="A360" s="4">
        <f>IFERROR(__xludf.DUMMYFUNCTION("""COMPUTED_VALUE"""),44372.625)</f>
        <v>44372.625</v>
      </c>
      <c r="B360" s="5">
        <f>IFERROR(__xludf.DUMMYFUNCTION("""COMPUTED_VALUE"""),9800.0)</f>
        <v>9800</v>
      </c>
      <c r="C360" s="5">
        <f>IFERROR(__xludf.DUMMYFUNCTION("""COMPUTED_VALUE"""),9850.0)</f>
        <v>9850</v>
      </c>
      <c r="D360" s="5">
        <f>IFERROR(__xludf.DUMMYFUNCTION("""COMPUTED_VALUE"""),9675.0)</f>
        <v>9675</v>
      </c>
      <c r="E360" s="5">
        <f>IFERROR(__xludf.DUMMYFUNCTION("""COMPUTED_VALUE"""),9725.0)</f>
        <v>9725</v>
      </c>
      <c r="F360" s="5">
        <f>IFERROR(__xludf.DUMMYFUNCTION("""COMPUTED_VALUE"""),1712700.0)</f>
        <v>1712700</v>
      </c>
      <c r="G360" s="5">
        <f t="shared" si="1"/>
        <v>175</v>
      </c>
    </row>
    <row r="361">
      <c r="A361" s="4">
        <f>IFERROR(__xludf.DUMMYFUNCTION("""COMPUTED_VALUE"""),44375.66666666667)</f>
        <v>44375.66667</v>
      </c>
      <c r="B361" s="5">
        <f>IFERROR(__xludf.DUMMYFUNCTION("""COMPUTED_VALUE"""),9800.0)</f>
        <v>9800</v>
      </c>
      <c r="C361" s="5">
        <f>IFERROR(__xludf.DUMMYFUNCTION("""COMPUTED_VALUE"""),9800.0)</f>
        <v>9800</v>
      </c>
      <c r="D361" s="5">
        <f>IFERROR(__xludf.DUMMYFUNCTION("""COMPUTED_VALUE"""),9325.0)</f>
        <v>9325</v>
      </c>
      <c r="E361" s="5">
        <f>IFERROR(__xludf.DUMMYFUNCTION("""COMPUTED_VALUE"""),9325.0)</f>
        <v>9325</v>
      </c>
      <c r="F361" s="5">
        <f>IFERROR(__xludf.DUMMYFUNCTION("""COMPUTED_VALUE"""),3114200.0)</f>
        <v>3114200</v>
      </c>
      <c r="G361" s="5">
        <f t="shared" si="1"/>
        <v>475</v>
      </c>
    </row>
    <row r="362">
      <c r="A362" s="4">
        <f>IFERROR(__xludf.DUMMYFUNCTION("""COMPUTED_VALUE"""),44376.625)</f>
        <v>44376.625</v>
      </c>
      <c r="B362" s="5">
        <f>IFERROR(__xludf.DUMMYFUNCTION("""COMPUTED_VALUE"""),9475.0)</f>
        <v>9475</v>
      </c>
      <c r="C362" s="5">
        <f>IFERROR(__xludf.DUMMYFUNCTION("""COMPUTED_VALUE"""),9800.0)</f>
        <v>9800</v>
      </c>
      <c r="D362" s="5">
        <f>IFERROR(__xludf.DUMMYFUNCTION("""COMPUTED_VALUE"""),9400.0)</f>
        <v>9400</v>
      </c>
      <c r="E362" s="5">
        <f>IFERROR(__xludf.DUMMYFUNCTION("""COMPUTED_VALUE"""),9575.0)</f>
        <v>9575</v>
      </c>
      <c r="F362" s="5">
        <f>IFERROR(__xludf.DUMMYFUNCTION("""COMPUTED_VALUE"""),3558500.0)</f>
        <v>3558500</v>
      </c>
      <c r="G362" s="5">
        <f t="shared" si="1"/>
        <v>475</v>
      </c>
    </row>
    <row r="363">
      <c r="A363" s="4">
        <f>IFERROR(__xludf.DUMMYFUNCTION("""COMPUTED_VALUE"""),44377.625)</f>
        <v>44377.625</v>
      </c>
      <c r="B363" s="5">
        <f>IFERROR(__xludf.DUMMYFUNCTION("""COMPUTED_VALUE"""),9775.0)</f>
        <v>9775</v>
      </c>
      <c r="C363" s="5">
        <f>IFERROR(__xludf.DUMMYFUNCTION("""COMPUTED_VALUE"""),9775.0)</f>
        <v>9775</v>
      </c>
      <c r="D363" s="5">
        <f>IFERROR(__xludf.DUMMYFUNCTION("""COMPUTED_VALUE"""),9500.0)</f>
        <v>9500</v>
      </c>
      <c r="E363" s="5">
        <f>IFERROR(__xludf.DUMMYFUNCTION("""COMPUTED_VALUE"""),9500.0)</f>
        <v>9500</v>
      </c>
      <c r="F363" s="5">
        <f>IFERROR(__xludf.DUMMYFUNCTION("""COMPUTED_VALUE"""),2325200.0)</f>
        <v>2325200</v>
      </c>
      <c r="G363" s="5">
        <f t="shared" si="1"/>
        <v>275</v>
      </c>
    </row>
    <row r="364">
      <c r="A364" s="4">
        <f>IFERROR(__xludf.DUMMYFUNCTION("""COMPUTED_VALUE"""),44378.625)</f>
        <v>44378.625</v>
      </c>
      <c r="B364" s="5">
        <f>IFERROR(__xludf.DUMMYFUNCTION("""COMPUTED_VALUE"""),9575.0)</f>
        <v>9575</v>
      </c>
      <c r="C364" s="5">
        <f>IFERROR(__xludf.DUMMYFUNCTION("""COMPUTED_VALUE"""),9600.0)</f>
        <v>9600</v>
      </c>
      <c r="D364" s="5">
        <f>IFERROR(__xludf.DUMMYFUNCTION("""COMPUTED_VALUE"""),9325.0)</f>
        <v>9325</v>
      </c>
      <c r="E364" s="5">
        <f>IFERROR(__xludf.DUMMYFUNCTION("""COMPUTED_VALUE"""),9400.0)</f>
        <v>9400</v>
      </c>
      <c r="F364" s="5">
        <f>IFERROR(__xludf.DUMMYFUNCTION("""COMPUTED_VALUE"""),2050300.0)</f>
        <v>2050300</v>
      </c>
      <c r="G364" s="5">
        <f t="shared" si="1"/>
        <v>275</v>
      </c>
    </row>
    <row r="365">
      <c r="A365" s="4">
        <f>IFERROR(__xludf.DUMMYFUNCTION("""COMPUTED_VALUE"""),44379.625)</f>
        <v>44379.625</v>
      </c>
      <c r="B365" s="5">
        <f>IFERROR(__xludf.DUMMYFUNCTION("""COMPUTED_VALUE"""),9400.0)</f>
        <v>9400</v>
      </c>
      <c r="C365" s="5">
        <f>IFERROR(__xludf.DUMMYFUNCTION("""COMPUTED_VALUE"""),9550.0)</f>
        <v>9550</v>
      </c>
      <c r="D365" s="5">
        <f>IFERROR(__xludf.DUMMYFUNCTION("""COMPUTED_VALUE"""),9300.0)</f>
        <v>9300</v>
      </c>
      <c r="E365" s="5">
        <f>IFERROR(__xludf.DUMMYFUNCTION("""COMPUTED_VALUE"""),9300.0)</f>
        <v>9300</v>
      </c>
      <c r="F365" s="5">
        <f>IFERROR(__xludf.DUMMYFUNCTION("""COMPUTED_VALUE"""),2505400.0)</f>
        <v>2505400</v>
      </c>
      <c r="G365" s="5">
        <f t="shared" si="1"/>
        <v>250</v>
      </c>
    </row>
    <row r="366">
      <c r="A366" s="4">
        <f>IFERROR(__xludf.DUMMYFUNCTION("""COMPUTED_VALUE"""),44382.625)</f>
        <v>44382.625</v>
      </c>
      <c r="B366" s="5">
        <f>IFERROR(__xludf.DUMMYFUNCTION("""COMPUTED_VALUE"""),9325.0)</f>
        <v>9325</v>
      </c>
      <c r="C366" s="5">
        <f>IFERROR(__xludf.DUMMYFUNCTION("""COMPUTED_VALUE"""),9325.0)</f>
        <v>9325</v>
      </c>
      <c r="D366" s="5">
        <f>IFERROR(__xludf.DUMMYFUNCTION("""COMPUTED_VALUE"""),9125.0)</f>
        <v>9125</v>
      </c>
      <c r="E366" s="5">
        <f>IFERROR(__xludf.DUMMYFUNCTION("""COMPUTED_VALUE"""),9200.0)</f>
        <v>9200</v>
      </c>
      <c r="F366" s="5">
        <f>IFERROR(__xludf.DUMMYFUNCTION("""COMPUTED_VALUE"""),1267900.0)</f>
        <v>1267900</v>
      </c>
      <c r="G366" s="5">
        <f t="shared" si="1"/>
        <v>200</v>
      </c>
    </row>
    <row r="367">
      <c r="A367" s="4">
        <f>IFERROR(__xludf.DUMMYFUNCTION("""COMPUTED_VALUE"""),44383.625)</f>
        <v>44383.625</v>
      </c>
      <c r="B367" s="5">
        <f>IFERROR(__xludf.DUMMYFUNCTION("""COMPUTED_VALUE"""),9275.0)</f>
        <v>9275</v>
      </c>
      <c r="C367" s="5">
        <f>IFERROR(__xludf.DUMMYFUNCTION("""COMPUTED_VALUE"""),9375.0)</f>
        <v>9375</v>
      </c>
      <c r="D367" s="5">
        <f>IFERROR(__xludf.DUMMYFUNCTION("""COMPUTED_VALUE"""),9175.0)</f>
        <v>9175</v>
      </c>
      <c r="E367" s="5">
        <f>IFERROR(__xludf.DUMMYFUNCTION("""COMPUTED_VALUE"""),9300.0)</f>
        <v>9300</v>
      </c>
      <c r="F367" s="5">
        <f>IFERROR(__xludf.DUMMYFUNCTION("""COMPUTED_VALUE"""),2245800.0)</f>
        <v>2245800</v>
      </c>
      <c r="G367" s="5">
        <f t="shared" si="1"/>
        <v>200</v>
      </c>
    </row>
    <row r="368">
      <c r="A368" s="4">
        <f>IFERROR(__xludf.DUMMYFUNCTION("""COMPUTED_VALUE"""),44384.625)</f>
        <v>44384.625</v>
      </c>
      <c r="B368" s="5">
        <f>IFERROR(__xludf.DUMMYFUNCTION("""COMPUTED_VALUE"""),9300.0)</f>
        <v>9300</v>
      </c>
      <c r="C368" s="5">
        <f>IFERROR(__xludf.DUMMYFUNCTION("""COMPUTED_VALUE"""),9325.0)</f>
        <v>9325</v>
      </c>
      <c r="D368" s="5">
        <f>IFERROR(__xludf.DUMMYFUNCTION("""COMPUTED_VALUE"""),8900.0)</f>
        <v>8900</v>
      </c>
      <c r="E368" s="5">
        <f>IFERROR(__xludf.DUMMYFUNCTION("""COMPUTED_VALUE"""),8950.0)</f>
        <v>8950</v>
      </c>
      <c r="F368" s="5">
        <f>IFERROR(__xludf.DUMMYFUNCTION("""COMPUTED_VALUE"""),7380900.0)</f>
        <v>7380900</v>
      </c>
      <c r="G368" s="5">
        <f t="shared" si="1"/>
        <v>425</v>
      </c>
    </row>
    <row r="369">
      <c r="A369" s="4">
        <f>IFERROR(__xludf.DUMMYFUNCTION("""COMPUTED_VALUE"""),44385.625)</f>
        <v>44385.625</v>
      </c>
      <c r="B369" s="5">
        <f>IFERROR(__xludf.DUMMYFUNCTION("""COMPUTED_VALUE"""),8975.0)</f>
        <v>8975</v>
      </c>
      <c r="C369" s="5">
        <f>IFERROR(__xludf.DUMMYFUNCTION("""COMPUTED_VALUE"""),9000.0)</f>
        <v>9000</v>
      </c>
      <c r="D369" s="5">
        <f>IFERROR(__xludf.DUMMYFUNCTION("""COMPUTED_VALUE"""),8725.0)</f>
        <v>8725</v>
      </c>
      <c r="E369" s="5">
        <f>IFERROR(__xludf.DUMMYFUNCTION("""COMPUTED_VALUE"""),8850.0)</f>
        <v>8850</v>
      </c>
      <c r="F369" s="5">
        <f>IFERROR(__xludf.DUMMYFUNCTION("""COMPUTED_VALUE"""),6645300.0)</f>
        <v>6645300</v>
      </c>
      <c r="G369" s="5">
        <f t="shared" si="1"/>
        <v>275</v>
      </c>
    </row>
    <row r="370">
      <c r="A370" s="4">
        <f>IFERROR(__xludf.DUMMYFUNCTION("""COMPUTED_VALUE"""),44386.625)</f>
        <v>44386.625</v>
      </c>
      <c r="B370" s="5">
        <f>IFERROR(__xludf.DUMMYFUNCTION("""COMPUTED_VALUE"""),8800.0)</f>
        <v>8800</v>
      </c>
      <c r="C370" s="5">
        <f>IFERROR(__xludf.DUMMYFUNCTION("""COMPUTED_VALUE"""),8925.0)</f>
        <v>8925</v>
      </c>
      <c r="D370" s="5">
        <f>IFERROR(__xludf.DUMMYFUNCTION("""COMPUTED_VALUE"""),8750.0)</f>
        <v>8750</v>
      </c>
      <c r="E370" s="5">
        <f>IFERROR(__xludf.DUMMYFUNCTION("""COMPUTED_VALUE"""),8900.0)</f>
        <v>8900</v>
      </c>
      <c r="F370" s="5">
        <f>IFERROR(__xludf.DUMMYFUNCTION("""COMPUTED_VALUE"""),4410600.0)</f>
        <v>4410600</v>
      </c>
      <c r="G370" s="5">
        <f t="shared" si="1"/>
        <v>175</v>
      </c>
    </row>
    <row r="371">
      <c r="A371" s="4">
        <f>IFERROR(__xludf.DUMMYFUNCTION("""COMPUTED_VALUE"""),44389.625)</f>
        <v>44389.625</v>
      </c>
      <c r="B371" s="5">
        <f>IFERROR(__xludf.DUMMYFUNCTION("""COMPUTED_VALUE"""),8900.0)</f>
        <v>8900</v>
      </c>
      <c r="C371" s="5">
        <f>IFERROR(__xludf.DUMMYFUNCTION("""COMPUTED_VALUE"""),9050.0)</f>
        <v>9050</v>
      </c>
      <c r="D371" s="5">
        <f>IFERROR(__xludf.DUMMYFUNCTION("""COMPUTED_VALUE"""),8750.0)</f>
        <v>8750</v>
      </c>
      <c r="E371" s="5">
        <f>IFERROR(__xludf.DUMMYFUNCTION("""COMPUTED_VALUE"""),8800.0)</f>
        <v>8800</v>
      </c>
      <c r="F371" s="5">
        <f>IFERROR(__xludf.DUMMYFUNCTION("""COMPUTED_VALUE"""),3935000.0)</f>
        <v>3935000</v>
      </c>
      <c r="G371" s="5">
        <f t="shared" si="1"/>
        <v>300</v>
      </c>
    </row>
    <row r="372">
      <c r="A372" s="4">
        <f>IFERROR(__xludf.DUMMYFUNCTION("""COMPUTED_VALUE"""),44390.625)</f>
        <v>44390.625</v>
      </c>
      <c r="B372" s="5">
        <f>IFERROR(__xludf.DUMMYFUNCTION("""COMPUTED_VALUE"""),8875.0)</f>
        <v>8875</v>
      </c>
      <c r="C372" s="5">
        <f>IFERROR(__xludf.DUMMYFUNCTION("""COMPUTED_VALUE"""),8925.0)</f>
        <v>8925</v>
      </c>
      <c r="D372" s="5">
        <f>IFERROR(__xludf.DUMMYFUNCTION("""COMPUTED_VALUE"""),8525.0)</f>
        <v>8525</v>
      </c>
      <c r="E372" s="5">
        <f>IFERROR(__xludf.DUMMYFUNCTION("""COMPUTED_VALUE"""),8600.0)</f>
        <v>8600</v>
      </c>
      <c r="F372" s="5">
        <f>IFERROR(__xludf.DUMMYFUNCTION("""COMPUTED_VALUE"""),4437900.0)</f>
        <v>4437900</v>
      </c>
      <c r="G372" s="5">
        <f t="shared" si="1"/>
        <v>400</v>
      </c>
    </row>
    <row r="373">
      <c r="A373" s="4">
        <f>IFERROR(__xludf.DUMMYFUNCTION("""COMPUTED_VALUE"""),44391.625)</f>
        <v>44391.625</v>
      </c>
      <c r="B373" s="5">
        <f>IFERROR(__xludf.DUMMYFUNCTION("""COMPUTED_VALUE"""),8600.0)</f>
        <v>8600</v>
      </c>
      <c r="C373" s="5">
        <f>IFERROR(__xludf.DUMMYFUNCTION("""COMPUTED_VALUE"""),8725.0)</f>
        <v>8725</v>
      </c>
      <c r="D373" s="5">
        <f>IFERROR(__xludf.DUMMYFUNCTION("""COMPUTED_VALUE"""),8400.0)</f>
        <v>8400</v>
      </c>
      <c r="E373" s="5">
        <f>IFERROR(__xludf.DUMMYFUNCTION("""COMPUTED_VALUE"""),8525.0)</f>
        <v>8525</v>
      </c>
      <c r="F373" s="5">
        <f>IFERROR(__xludf.DUMMYFUNCTION("""COMPUTED_VALUE"""),4188600.0)</f>
        <v>4188600</v>
      </c>
      <c r="G373" s="5">
        <f t="shared" si="1"/>
        <v>325</v>
      </c>
    </row>
    <row r="374">
      <c r="A374" s="4">
        <f>IFERROR(__xludf.DUMMYFUNCTION("""COMPUTED_VALUE"""),44392.625)</f>
        <v>44392.625</v>
      </c>
      <c r="B374" s="5">
        <f>IFERROR(__xludf.DUMMYFUNCTION("""COMPUTED_VALUE"""),8550.0)</f>
        <v>8550</v>
      </c>
      <c r="C374" s="5">
        <f>IFERROR(__xludf.DUMMYFUNCTION("""COMPUTED_VALUE"""),8625.0)</f>
        <v>8625</v>
      </c>
      <c r="D374" s="5">
        <f>IFERROR(__xludf.DUMMYFUNCTION("""COMPUTED_VALUE"""),8425.0)</f>
        <v>8425</v>
      </c>
      <c r="E374" s="5">
        <f>IFERROR(__xludf.DUMMYFUNCTION("""COMPUTED_VALUE"""),8475.0)</f>
        <v>8475</v>
      </c>
      <c r="F374" s="5">
        <f>IFERROR(__xludf.DUMMYFUNCTION("""COMPUTED_VALUE"""),4745300.0)</f>
        <v>4745300</v>
      </c>
      <c r="G374" s="5">
        <f t="shared" si="1"/>
        <v>200</v>
      </c>
    </row>
    <row r="375">
      <c r="A375" s="4">
        <f>IFERROR(__xludf.DUMMYFUNCTION("""COMPUTED_VALUE"""),44393.625)</f>
        <v>44393.625</v>
      </c>
      <c r="B375" s="5">
        <f>IFERROR(__xludf.DUMMYFUNCTION("""COMPUTED_VALUE"""),8475.0)</f>
        <v>8475</v>
      </c>
      <c r="C375" s="5">
        <f>IFERROR(__xludf.DUMMYFUNCTION("""COMPUTED_VALUE"""),8900.0)</f>
        <v>8900</v>
      </c>
      <c r="D375" s="5">
        <f>IFERROR(__xludf.DUMMYFUNCTION("""COMPUTED_VALUE"""),8475.0)</f>
        <v>8475</v>
      </c>
      <c r="E375" s="5">
        <f>IFERROR(__xludf.DUMMYFUNCTION("""COMPUTED_VALUE"""),8850.0)</f>
        <v>8850</v>
      </c>
      <c r="F375" s="5">
        <f>IFERROR(__xludf.DUMMYFUNCTION("""COMPUTED_VALUE"""),3118200.0)</f>
        <v>3118200</v>
      </c>
      <c r="G375" s="5">
        <f t="shared" si="1"/>
        <v>425</v>
      </c>
    </row>
    <row r="376">
      <c r="A376" s="4">
        <f>IFERROR(__xludf.DUMMYFUNCTION("""COMPUTED_VALUE"""),44396.625)</f>
        <v>44396.625</v>
      </c>
      <c r="B376" s="5">
        <f>IFERROR(__xludf.DUMMYFUNCTION("""COMPUTED_VALUE"""),8825.0)</f>
        <v>8825</v>
      </c>
      <c r="C376" s="5">
        <f>IFERROR(__xludf.DUMMYFUNCTION("""COMPUTED_VALUE"""),8825.0)</f>
        <v>8825</v>
      </c>
      <c r="D376" s="5">
        <f>IFERROR(__xludf.DUMMYFUNCTION("""COMPUTED_VALUE"""),8550.0)</f>
        <v>8550</v>
      </c>
      <c r="E376" s="5">
        <f>IFERROR(__xludf.DUMMYFUNCTION("""COMPUTED_VALUE"""),8600.0)</f>
        <v>8600</v>
      </c>
      <c r="F376" s="5">
        <f>IFERROR(__xludf.DUMMYFUNCTION("""COMPUTED_VALUE"""),1849700.0)</f>
        <v>1849700</v>
      </c>
      <c r="G376" s="5">
        <f t="shared" si="1"/>
        <v>300</v>
      </c>
    </row>
    <row r="377">
      <c r="A377" s="4">
        <f>IFERROR(__xludf.DUMMYFUNCTION("""COMPUTED_VALUE"""),44398.625)</f>
        <v>44398.625</v>
      </c>
      <c r="B377" s="5">
        <f>IFERROR(__xludf.DUMMYFUNCTION("""COMPUTED_VALUE"""),8600.0)</f>
        <v>8600</v>
      </c>
      <c r="C377" s="5">
        <f>IFERROR(__xludf.DUMMYFUNCTION("""COMPUTED_VALUE"""),8950.0)</f>
        <v>8950</v>
      </c>
      <c r="D377" s="5">
        <f>IFERROR(__xludf.DUMMYFUNCTION("""COMPUTED_VALUE"""),8600.0)</f>
        <v>8600</v>
      </c>
      <c r="E377" s="5">
        <f>IFERROR(__xludf.DUMMYFUNCTION("""COMPUTED_VALUE"""),8850.0)</f>
        <v>8850</v>
      </c>
      <c r="F377" s="5">
        <f>IFERROR(__xludf.DUMMYFUNCTION("""COMPUTED_VALUE"""),2802100.0)</f>
        <v>2802100</v>
      </c>
      <c r="G377" s="5">
        <f t="shared" si="1"/>
        <v>350</v>
      </c>
    </row>
    <row r="378">
      <c r="A378" s="4">
        <f>IFERROR(__xludf.DUMMYFUNCTION("""COMPUTED_VALUE"""),44399.625)</f>
        <v>44399.625</v>
      </c>
      <c r="B378" s="5">
        <f>IFERROR(__xludf.DUMMYFUNCTION("""COMPUTED_VALUE"""),8950.0)</f>
        <v>8950</v>
      </c>
      <c r="C378" s="5">
        <f>IFERROR(__xludf.DUMMYFUNCTION("""COMPUTED_VALUE"""),8975.0)</f>
        <v>8975</v>
      </c>
      <c r="D378" s="5">
        <f>IFERROR(__xludf.DUMMYFUNCTION("""COMPUTED_VALUE"""),8750.0)</f>
        <v>8750</v>
      </c>
      <c r="E378" s="5">
        <f>IFERROR(__xludf.DUMMYFUNCTION("""COMPUTED_VALUE"""),8875.0)</f>
        <v>8875</v>
      </c>
      <c r="F378" s="5">
        <f>IFERROR(__xludf.DUMMYFUNCTION("""COMPUTED_VALUE"""),4943200.0)</f>
        <v>4943200</v>
      </c>
      <c r="G378" s="5">
        <f t="shared" si="1"/>
        <v>225</v>
      </c>
    </row>
    <row r="379">
      <c r="A379" s="4">
        <f>IFERROR(__xludf.DUMMYFUNCTION("""COMPUTED_VALUE"""),44400.625)</f>
        <v>44400.625</v>
      </c>
      <c r="B379" s="5">
        <f>IFERROR(__xludf.DUMMYFUNCTION("""COMPUTED_VALUE"""),8875.0)</f>
        <v>8875</v>
      </c>
      <c r="C379" s="5">
        <f>IFERROR(__xludf.DUMMYFUNCTION("""COMPUTED_VALUE"""),8900.0)</f>
        <v>8900</v>
      </c>
      <c r="D379" s="5">
        <f>IFERROR(__xludf.DUMMYFUNCTION("""COMPUTED_VALUE"""),8600.0)</f>
        <v>8600</v>
      </c>
      <c r="E379" s="5">
        <f>IFERROR(__xludf.DUMMYFUNCTION("""COMPUTED_VALUE"""),8700.0)</f>
        <v>8700</v>
      </c>
      <c r="F379" s="5">
        <f>IFERROR(__xludf.DUMMYFUNCTION("""COMPUTED_VALUE"""),3690500.0)</f>
        <v>3690500</v>
      </c>
      <c r="G379" s="5">
        <f t="shared" si="1"/>
        <v>300</v>
      </c>
    </row>
    <row r="380">
      <c r="A380" s="4">
        <f>IFERROR(__xludf.DUMMYFUNCTION("""COMPUTED_VALUE"""),44403.625)</f>
        <v>44403.625</v>
      </c>
      <c r="B380" s="5">
        <f>IFERROR(__xludf.DUMMYFUNCTION("""COMPUTED_VALUE"""),8700.0)</f>
        <v>8700</v>
      </c>
      <c r="C380" s="5">
        <f>IFERROR(__xludf.DUMMYFUNCTION("""COMPUTED_VALUE"""),8775.0)</f>
        <v>8775</v>
      </c>
      <c r="D380" s="5">
        <f>IFERROR(__xludf.DUMMYFUNCTION("""COMPUTED_VALUE"""),8550.0)</f>
        <v>8550</v>
      </c>
      <c r="E380" s="5">
        <f>IFERROR(__xludf.DUMMYFUNCTION("""COMPUTED_VALUE"""),8550.0)</f>
        <v>8550</v>
      </c>
      <c r="F380" s="5">
        <f>IFERROR(__xludf.DUMMYFUNCTION("""COMPUTED_VALUE"""),2887000.0)</f>
        <v>2887000</v>
      </c>
      <c r="G380" s="5">
        <f t="shared" si="1"/>
        <v>225</v>
      </c>
    </row>
    <row r="381">
      <c r="A381" s="4">
        <f>IFERROR(__xludf.DUMMYFUNCTION("""COMPUTED_VALUE"""),44404.625)</f>
        <v>44404.625</v>
      </c>
      <c r="B381" s="5">
        <f>IFERROR(__xludf.DUMMYFUNCTION("""COMPUTED_VALUE"""),8550.0)</f>
        <v>8550</v>
      </c>
      <c r="C381" s="5">
        <f>IFERROR(__xludf.DUMMYFUNCTION("""COMPUTED_VALUE"""),8600.0)</f>
        <v>8600</v>
      </c>
      <c r="D381" s="5">
        <f>IFERROR(__xludf.DUMMYFUNCTION("""COMPUTED_VALUE"""),8250.0)</f>
        <v>8250</v>
      </c>
      <c r="E381" s="5">
        <f>IFERROR(__xludf.DUMMYFUNCTION("""COMPUTED_VALUE"""),8375.0)</f>
        <v>8375</v>
      </c>
      <c r="F381" s="5">
        <f>IFERROR(__xludf.DUMMYFUNCTION("""COMPUTED_VALUE"""),4991000.0)</f>
        <v>4991000</v>
      </c>
      <c r="G381" s="5">
        <f t="shared" si="1"/>
        <v>350</v>
      </c>
    </row>
    <row r="382">
      <c r="A382" s="4">
        <f>IFERROR(__xludf.DUMMYFUNCTION("""COMPUTED_VALUE"""),44405.625)</f>
        <v>44405.625</v>
      </c>
      <c r="B382" s="5">
        <f>IFERROR(__xludf.DUMMYFUNCTION("""COMPUTED_VALUE"""),8400.0)</f>
        <v>8400</v>
      </c>
      <c r="C382" s="5">
        <f>IFERROR(__xludf.DUMMYFUNCTION("""COMPUTED_VALUE"""),8400.0)</f>
        <v>8400</v>
      </c>
      <c r="D382" s="5">
        <f>IFERROR(__xludf.DUMMYFUNCTION("""COMPUTED_VALUE"""),8150.0)</f>
        <v>8150</v>
      </c>
      <c r="E382" s="5">
        <f>IFERROR(__xludf.DUMMYFUNCTION("""COMPUTED_VALUE"""),8200.0)</f>
        <v>8200</v>
      </c>
      <c r="F382" s="5">
        <f>IFERROR(__xludf.DUMMYFUNCTION("""COMPUTED_VALUE"""),3208800.0)</f>
        <v>3208800</v>
      </c>
      <c r="G382" s="5">
        <f t="shared" si="1"/>
        <v>250</v>
      </c>
    </row>
    <row r="383">
      <c r="A383" s="4">
        <f>IFERROR(__xludf.DUMMYFUNCTION("""COMPUTED_VALUE"""),44406.625)</f>
        <v>44406.625</v>
      </c>
      <c r="B383" s="5">
        <f>IFERROR(__xludf.DUMMYFUNCTION("""COMPUTED_VALUE"""),8200.0)</f>
        <v>8200</v>
      </c>
      <c r="C383" s="5">
        <f>IFERROR(__xludf.DUMMYFUNCTION("""COMPUTED_VALUE"""),8300.0)</f>
        <v>8300</v>
      </c>
      <c r="D383" s="5">
        <f>IFERROR(__xludf.DUMMYFUNCTION("""COMPUTED_VALUE"""),8000.0)</f>
        <v>8000</v>
      </c>
      <c r="E383" s="5">
        <f>IFERROR(__xludf.DUMMYFUNCTION("""COMPUTED_VALUE"""),8025.0)</f>
        <v>8025</v>
      </c>
      <c r="F383" s="5">
        <f>IFERROR(__xludf.DUMMYFUNCTION("""COMPUTED_VALUE"""),6771700.0)</f>
        <v>6771700</v>
      </c>
      <c r="G383" s="5">
        <f t="shared" si="1"/>
        <v>300</v>
      </c>
    </row>
    <row r="384">
      <c r="A384" s="4">
        <f>IFERROR(__xludf.DUMMYFUNCTION("""COMPUTED_VALUE"""),44407.625)</f>
        <v>44407.625</v>
      </c>
      <c r="B384" s="5">
        <f>IFERROR(__xludf.DUMMYFUNCTION("""COMPUTED_VALUE"""),8175.0)</f>
        <v>8175</v>
      </c>
      <c r="C384" s="5">
        <f>IFERROR(__xludf.DUMMYFUNCTION("""COMPUTED_VALUE"""),8250.0)</f>
        <v>8250</v>
      </c>
      <c r="D384" s="5">
        <f>IFERROR(__xludf.DUMMYFUNCTION("""COMPUTED_VALUE"""),7700.0)</f>
        <v>7700</v>
      </c>
      <c r="E384" s="5">
        <f>IFERROR(__xludf.DUMMYFUNCTION("""COMPUTED_VALUE"""),7700.0)</f>
        <v>7700</v>
      </c>
      <c r="F384" s="5">
        <f>IFERROR(__xludf.DUMMYFUNCTION("""COMPUTED_VALUE"""),7139600.0)</f>
        <v>7139600</v>
      </c>
      <c r="G384" s="5">
        <f t="shared" si="1"/>
        <v>550</v>
      </c>
    </row>
    <row r="385">
      <c r="A385" s="4">
        <f>IFERROR(__xludf.DUMMYFUNCTION("""COMPUTED_VALUE"""),44410.625)</f>
        <v>44410.625</v>
      </c>
      <c r="B385" s="5">
        <f>IFERROR(__xludf.DUMMYFUNCTION("""COMPUTED_VALUE"""),7975.0)</f>
        <v>7975</v>
      </c>
      <c r="C385" s="5">
        <f>IFERROR(__xludf.DUMMYFUNCTION("""COMPUTED_VALUE"""),7975.0)</f>
        <v>7975</v>
      </c>
      <c r="D385" s="5">
        <f>IFERROR(__xludf.DUMMYFUNCTION("""COMPUTED_VALUE"""),7675.0)</f>
        <v>7675</v>
      </c>
      <c r="E385" s="5">
        <f>IFERROR(__xludf.DUMMYFUNCTION("""COMPUTED_VALUE"""),7800.0)</f>
        <v>7800</v>
      </c>
      <c r="F385" s="5">
        <f>IFERROR(__xludf.DUMMYFUNCTION("""COMPUTED_VALUE"""),6368100.0)</f>
        <v>6368100</v>
      </c>
      <c r="G385" s="5">
        <f t="shared" si="1"/>
        <v>300</v>
      </c>
    </row>
    <row r="386">
      <c r="A386" s="4">
        <f>IFERROR(__xludf.DUMMYFUNCTION("""COMPUTED_VALUE"""),44411.625)</f>
        <v>44411.625</v>
      </c>
      <c r="B386" s="5">
        <f>IFERROR(__xludf.DUMMYFUNCTION("""COMPUTED_VALUE"""),7800.0)</f>
        <v>7800</v>
      </c>
      <c r="C386" s="5">
        <f>IFERROR(__xludf.DUMMYFUNCTION("""COMPUTED_VALUE"""),8375.0)</f>
        <v>8375</v>
      </c>
      <c r="D386" s="5">
        <f>IFERROR(__xludf.DUMMYFUNCTION("""COMPUTED_VALUE"""),7725.0)</f>
        <v>7725</v>
      </c>
      <c r="E386" s="5">
        <f>IFERROR(__xludf.DUMMYFUNCTION("""COMPUTED_VALUE"""),8300.0)</f>
        <v>8300</v>
      </c>
      <c r="F386" s="5">
        <f>IFERROR(__xludf.DUMMYFUNCTION("""COMPUTED_VALUE"""),8338400.0)</f>
        <v>8338400</v>
      </c>
      <c r="G386" s="5">
        <f t="shared" si="1"/>
        <v>650</v>
      </c>
    </row>
    <row r="387">
      <c r="A387" s="4">
        <f>IFERROR(__xludf.DUMMYFUNCTION("""COMPUTED_VALUE"""),44412.625)</f>
        <v>44412.625</v>
      </c>
      <c r="B387" s="5">
        <f>IFERROR(__xludf.DUMMYFUNCTION("""COMPUTED_VALUE"""),8350.0)</f>
        <v>8350</v>
      </c>
      <c r="C387" s="5">
        <f>IFERROR(__xludf.DUMMYFUNCTION("""COMPUTED_VALUE"""),8500.0)</f>
        <v>8500</v>
      </c>
      <c r="D387" s="5">
        <f>IFERROR(__xludf.DUMMYFUNCTION("""COMPUTED_VALUE"""),8225.0)</f>
        <v>8225</v>
      </c>
      <c r="E387" s="5">
        <f>IFERROR(__xludf.DUMMYFUNCTION("""COMPUTED_VALUE"""),8450.0)</f>
        <v>8450</v>
      </c>
      <c r="F387" s="5">
        <f>IFERROR(__xludf.DUMMYFUNCTION("""COMPUTED_VALUE"""),4416300.0)</f>
        <v>4416300</v>
      </c>
      <c r="G387" s="5">
        <f t="shared" si="1"/>
        <v>275</v>
      </c>
    </row>
    <row r="388">
      <c r="A388" s="4">
        <f>IFERROR(__xludf.DUMMYFUNCTION("""COMPUTED_VALUE"""),44413.625)</f>
        <v>44413.625</v>
      </c>
      <c r="B388" s="5">
        <f>IFERROR(__xludf.DUMMYFUNCTION("""COMPUTED_VALUE"""),8550.0)</f>
        <v>8550</v>
      </c>
      <c r="C388" s="5">
        <f>IFERROR(__xludf.DUMMYFUNCTION("""COMPUTED_VALUE"""),8550.0)</f>
        <v>8550</v>
      </c>
      <c r="D388" s="5">
        <f>IFERROR(__xludf.DUMMYFUNCTION("""COMPUTED_VALUE"""),8275.0)</f>
        <v>8275</v>
      </c>
      <c r="E388" s="5">
        <f>IFERROR(__xludf.DUMMYFUNCTION("""COMPUTED_VALUE"""),8400.0)</f>
        <v>8400</v>
      </c>
      <c r="F388" s="5">
        <f>IFERROR(__xludf.DUMMYFUNCTION("""COMPUTED_VALUE"""),2406300.0)</f>
        <v>2406300</v>
      </c>
      <c r="G388" s="5">
        <f t="shared" si="1"/>
        <v>275</v>
      </c>
    </row>
    <row r="389">
      <c r="A389" s="4">
        <f>IFERROR(__xludf.DUMMYFUNCTION("""COMPUTED_VALUE"""),44414.625)</f>
        <v>44414.625</v>
      </c>
      <c r="B389" s="5">
        <f>IFERROR(__xludf.DUMMYFUNCTION("""COMPUTED_VALUE"""),8500.0)</f>
        <v>8500</v>
      </c>
      <c r="C389" s="5">
        <f>IFERROR(__xludf.DUMMYFUNCTION("""COMPUTED_VALUE"""),8725.0)</f>
        <v>8725</v>
      </c>
      <c r="D389" s="5">
        <f>IFERROR(__xludf.DUMMYFUNCTION("""COMPUTED_VALUE"""),8400.0)</f>
        <v>8400</v>
      </c>
      <c r="E389" s="5">
        <f>IFERROR(__xludf.DUMMYFUNCTION("""COMPUTED_VALUE"""),8450.0)</f>
        <v>8450</v>
      </c>
      <c r="F389" s="5">
        <f>IFERROR(__xludf.DUMMYFUNCTION("""COMPUTED_VALUE"""),5577500.0)</f>
        <v>5577500</v>
      </c>
      <c r="G389" s="5">
        <f t="shared" si="1"/>
        <v>325</v>
      </c>
    </row>
    <row r="390">
      <c r="A390" s="4">
        <f>IFERROR(__xludf.DUMMYFUNCTION("""COMPUTED_VALUE"""),44417.625)</f>
        <v>44417.625</v>
      </c>
      <c r="B390" s="5">
        <f>IFERROR(__xludf.DUMMYFUNCTION("""COMPUTED_VALUE"""),8475.0)</f>
        <v>8475</v>
      </c>
      <c r="C390" s="5">
        <f>IFERROR(__xludf.DUMMYFUNCTION("""COMPUTED_VALUE"""),8575.0)</f>
        <v>8575</v>
      </c>
      <c r="D390" s="5">
        <f>IFERROR(__xludf.DUMMYFUNCTION("""COMPUTED_VALUE"""),8300.0)</f>
        <v>8300</v>
      </c>
      <c r="E390" s="5">
        <f>IFERROR(__xludf.DUMMYFUNCTION("""COMPUTED_VALUE"""),8350.0)</f>
        <v>8350</v>
      </c>
      <c r="F390" s="5">
        <f>IFERROR(__xludf.DUMMYFUNCTION("""COMPUTED_VALUE"""),2656400.0)</f>
        <v>2656400</v>
      </c>
      <c r="G390" s="5">
        <f t="shared" si="1"/>
        <v>275</v>
      </c>
    </row>
    <row r="391">
      <c r="A391" s="4">
        <f>IFERROR(__xludf.DUMMYFUNCTION("""COMPUTED_VALUE"""),44418.625)</f>
        <v>44418.625</v>
      </c>
      <c r="B391" s="5">
        <f>IFERROR(__xludf.DUMMYFUNCTION("""COMPUTED_VALUE"""),8275.0)</f>
        <v>8275</v>
      </c>
      <c r="C391" s="5">
        <f>IFERROR(__xludf.DUMMYFUNCTION("""COMPUTED_VALUE"""),8500.0)</f>
        <v>8500</v>
      </c>
      <c r="D391" s="5">
        <f>IFERROR(__xludf.DUMMYFUNCTION("""COMPUTED_VALUE"""),8225.0)</f>
        <v>8225</v>
      </c>
      <c r="E391" s="5">
        <f>IFERROR(__xludf.DUMMYFUNCTION("""COMPUTED_VALUE"""),8475.0)</f>
        <v>8475</v>
      </c>
      <c r="F391" s="5">
        <f>IFERROR(__xludf.DUMMYFUNCTION("""COMPUTED_VALUE"""),2121000.0)</f>
        <v>2121000</v>
      </c>
      <c r="G391" s="5">
        <f t="shared" si="1"/>
        <v>275</v>
      </c>
    </row>
    <row r="392">
      <c r="A392" s="4">
        <f>IFERROR(__xludf.DUMMYFUNCTION("""COMPUTED_VALUE"""),44420.625)</f>
        <v>44420.625</v>
      </c>
      <c r="B392" s="5">
        <f>IFERROR(__xludf.DUMMYFUNCTION("""COMPUTED_VALUE"""),8550.0)</f>
        <v>8550</v>
      </c>
      <c r="C392" s="5">
        <f>IFERROR(__xludf.DUMMYFUNCTION("""COMPUTED_VALUE"""),8850.0)</f>
        <v>8850</v>
      </c>
      <c r="D392" s="5">
        <f>IFERROR(__xludf.DUMMYFUNCTION("""COMPUTED_VALUE"""),8450.0)</f>
        <v>8450</v>
      </c>
      <c r="E392" s="5">
        <f>IFERROR(__xludf.DUMMYFUNCTION("""COMPUTED_VALUE"""),8775.0)</f>
        <v>8775</v>
      </c>
      <c r="F392" s="5">
        <f>IFERROR(__xludf.DUMMYFUNCTION("""COMPUTED_VALUE"""),5652300.0)</f>
        <v>5652300</v>
      </c>
      <c r="G392" s="5">
        <f t="shared" si="1"/>
        <v>400</v>
      </c>
    </row>
    <row r="393">
      <c r="A393" s="4">
        <f>IFERROR(__xludf.DUMMYFUNCTION("""COMPUTED_VALUE"""),44421.625)</f>
        <v>44421.625</v>
      </c>
      <c r="B393" s="5">
        <f>IFERROR(__xludf.DUMMYFUNCTION("""COMPUTED_VALUE"""),8825.0)</f>
        <v>8825</v>
      </c>
      <c r="C393" s="5">
        <f>IFERROR(__xludf.DUMMYFUNCTION("""COMPUTED_VALUE"""),8925.0)</f>
        <v>8925</v>
      </c>
      <c r="D393" s="5">
        <f>IFERROR(__xludf.DUMMYFUNCTION("""COMPUTED_VALUE"""),8575.0)</f>
        <v>8575</v>
      </c>
      <c r="E393" s="5">
        <f>IFERROR(__xludf.DUMMYFUNCTION("""COMPUTED_VALUE"""),8875.0)</f>
        <v>8875</v>
      </c>
      <c r="F393" s="5">
        <f>IFERROR(__xludf.DUMMYFUNCTION("""COMPUTED_VALUE"""),5827900.0)</f>
        <v>5827900</v>
      </c>
      <c r="G393" s="5">
        <f t="shared" si="1"/>
        <v>350</v>
      </c>
    </row>
    <row r="394">
      <c r="A394" s="4">
        <f>IFERROR(__xludf.DUMMYFUNCTION("""COMPUTED_VALUE"""),44424.625)</f>
        <v>44424.625</v>
      </c>
      <c r="B394" s="5">
        <f>IFERROR(__xludf.DUMMYFUNCTION("""COMPUTED_VALUE"""),8900.0)</f>
        <v>8900</v>
      </c>
      <c r="C394" s="5">
        <f>IFERROR(__xludf.DUMMYFUNCTION("""COMPUTED_VALUE"""),9075.0)</f>
        <v>9075</v>
      </c>
      <c r="D394" s="5">
        <f>IFERROR(__xludf.DUMMYFUNCTION("""COMPUTED_VALUE"""),8725.0)</f>
        <v>8725</v>
      </c>
      <c r="E394" s="5">
        <f>IFERROR(__xludf.DUMMYFUNCTION("""COMPUTED_VALUE"""),9050.0)</f>
        <v>9050</v>
      </c>
      <c r="F394" s="5">
        <f>IFERROR(__xludf.DUMMYFUNCTION("""COMPUTED_VALUE"""),4862800.0)</f>
        <v>4862800</v>
      </c>
      <c r="G394" s="5">
        <f t="shared" si="1"/>
        <v>350</v>
      </c>
    </row>
    <row r="395">
      <c r="A395" s="4">
        <f>IFERROR(__xludf.DUMMYFUNCTION("""COMPUTED_VALUE"""),44426.625)</f>
        <v>44426.625</v>
      </c>
      <c r="B395" s="5">
        <f>IFERROR(__xludf.DUMMYFUNCTION("""COMPUTED_VALUE"""),9050.0)</f>
        <v>9050</v>
      </c>
      <c r="C395" s="5">
        <f>IFERROR(__xludf.DUMMYFUNCTION("""COMPUTED_VALUE"""),9425.0)</f>
        <v>9425</v>
      </c>
      <c r="D395" s="5">
        <f>IFERROR(__xludf.DUMMYFUNCTION("""COMPUTED_VALUE"""),8925.0)</f>
        <v>8925</v>
      </c>
      <c r="E395" s="5">
        <f>IFERROR(__xludf.DUMMYFUNCTION("""COMPUTED_VALUE"""),9425.0)</f>
        <v>9425</v>
      </c>
      <c r="F395" s="5">
        <f>IFERROR(__xludf.DUMMYFUNCTION("""COMPUTED_VALUE"""),7732400.0)</f>
        <v>7732400</v>
      </c>
      <c r="G395" s="5">
        <f t="shared" si="1"/>
        <v>500</v>
      </c>
    </row>
    <row r="396">
      <c r="A396" s="4">
        <f>IFERROR(__xludf.DUMMYFUNCTION("""COMPUTED_VALUE"""),44427.625)</f>
        <v>44427.625</v>
      </c>
      <c r="B396" s="5">
        <f>IFERROR(__xludf.DUMMYFUNCTION("""COMPUTED_VALUE"""),9400.0)</f>
        <v>9400</v>
      </c>
      <c r="C396" s="5">
        <f>IFERROR(__xludf.DUMMYFUNCTION("""COMPUTED_VALUE"""),9400.0)</f>
        <v>9400</v>
      </c>
      <c r="D396" s="5">
        <f>IFERROR(__xludf.DUMMYFUNCTION("""COMPUTED_VALUE"""),8975.0)</f>
        <v>8975</v>
      </c>
      <c r="E396" s="5">
        <f>IFERROR(__xludf.DUMMYFUNCTION("""COMPUTED_VALUE"""),9100.0)</f>
        <v>9100</v>
      </c>
      <c r="F396" s="5">
        <f>IFERROR(__xludf.DUMMYFUNCTION("""COMPUTED_VALUE"""),3888600.0)</f>
        <v>3888600</v>
      </c>
      <c r="G396" s="5">
        <f t="shared" si="1"/>
        <v>450</v>
      </c>
    </row>
    <row r="397">
      <c r="A397" s="4">
        <f>IFERROR(__xludf.DUMMYFUNCTION("""COMPUTED_VALUE"""),44428.625)</f>
        <v>44428.625</v>
      </c>
      <c r="B397" s="5">
        <f>IFERROR(__xludf.DUMMYFUNCTION("""COMPUTED_VALUE"""),9100.0)</f>
        <v>9100</v>
      </c>
      <c r="C397" s="5">
        <f>IFERROR(__xludf.DUMMYFUNCTION("""COMPUTED_VALUE"""),9400.0)</f>
        <v>9400</v>
      </c>
      <c r="D397" s="5">
        <f>IFERROR(__xludf.DUMMYFUNCTION("""COMPUTED_VALUE"""),8925.0)</f>
        <v>8925</v>
      </c>
      <c r="E397" s="5">
        <f>IFERROR(__xludf.DUMMYFUNCTION("""COMPUTED_VALUE"""),9375.0)</f>
        <v>9375</v>
      </c>
      <c r="F397" s="5">
        <f>IFERROR(__xludf.DUMMYFUNCTION("""COMPUTED_VALUE"""),3700800.0)</f>
        <v>3700800</v>
      </c>
      <c r="G397" s="5">
        <f t="shared" si="1"/>
        <v>475</v>
      </c>
    </row>
    <row r="398">
      <c r="A398" s="4">
        <f>IFERROR(__xludf.DUMMYFUNCTION("""COMPUTED_VALUE"""),44431.66666666667)</f>
        <v>44431.66667</v>
      </c>
      <c r="B398" s="5">
        <f>IFERROR(__xludf.DUMMYFUNCTION("""COMPUTED_VALUE"""),9375.0)</f>
        <v>9375</v>
      </c>
      <c r="C398" s="5">
        <f>IFERROR(__xludf.DUMMYFUNCTION("""COMPUTED_VALUE"""),9600.0)</f>
        <v>9600</v>
      </c>
      <c r="D398" s="5">
        <f>IFERROR(__xludf.DUMMYFUNCTION("""COMPUTED_VALUE"""),9225.0)</f>
        <v>9225</v>
      </c>
      <c r="E398" s="5">
        <f>IFERROR(__xludf.DUMMYFUNCTION("""COMPUTED_VALUE"""),9550.0)</f>
        <v>9550</v>
      </c>
      <c r="F398" s="5">
        <f>IFERROR(__xludf.DUMMYFUNCTION("""COMPUTED_VALUE"""),4399200.0)</f>
        <v>4399200</v>
      </c>
      <c r="G398" s="5">
        <f t="shared" si="1"/>
        <v>375</v>
      </c>
    </row>
    <row r="399">
      <c r="A399" s="4">
        <f>IFERROR(__xludf.DUMMYFUNCTION("""COMPUTED_VALUE"""),44432.66666666667)</f>
        <v>44432.66667</v>
      </c>
      <c r="B399" s="5">
        <f>IFERROR(__xludf.DUMMYFUNCTION("""COMPUTED_VALUE"""),9575.0)</f>
        <v>9575</v>
      </c>
      <c r="C399" s="5">
        <f>IFERROR(__xludf.DUMMYFUNCTION("""COMPUTED_VALUE"""),9575.0)</f>
        <v>9575</v>
      </c>
      <c r="D399" s="5">
        <f>IFERROR(__xludf.DUMMYFUNCTION("""COMPUTED_VALUE"""),9150.0)</f>
        <v>9150</v>
      </c>
      <c r="E399" s="5">
        <f>IFERROR(__xludf.DUMMYFUNCTION("""COMPUTED_VALUE"""),9375.0)</f>
        <v>9375</v>
      </c>
      <c r="F399" s="5">
        <f>IFERROR(__xludf.DUMMYFUNCTION("""COMPUTED_VALUE"""),3123700.0)</f>
        <v>3123700</v>
      </c>
      <c r="G399" s="5">
        <f t="shared" si="1"/>
        <v>425</v>
      </c>
    </row>
    <row r="400">
      <c r="A400" s="4">
        <f>IFERROR(__xludf.DUMMYFUNCTION("""COMPUTED_VALUE"""),44433.625)</f>
        <v>44433.625</v>
      </c>
      <c r="B400" s="5">
        <f>IFERROR(__xludf.DUMMYFUNCTION("""COMPUTED_VALUE"""),9375.0)</f>
        <v>9375</v>
      </c>
      <c r="C400" s="5">
        <f>IFERROR(__xludf.DUMMYFUNCTION("""COMPUTED_VALUE"""),9500.0)</f>
        <v>9500</v>
      </c>
      <c r="D400" s="5">
        <f>IFERROR(__xludf.DUMMYFUNCTION("""COMPUTED_VALUE"""),9200.0)</f>
        <v>9200</v>
      </c>
      <c r="E400" s="5">
        <f>IFERROR(__xludf.DUMMYFUNCTION("""COMPUTED_VALUE"""),9425.0)</f>
        <v>9425</v>
      </c>
      <c r="F400" s="5">
        <f>IFERROR(__xludf.DUMMYFUNCTION("""COMPUTED_VALUE"""),1605600.0)</f>
        <v>1605600</v>
      </c>
      <c r="G400" s="5">
        <f t="shared" si="1"/>
        <v>300</v>
      </c>
    </row>
    <row r="401">
      <c r="A401" s="4">
        <f>IFERROR(__xludf.DUMMYFUNCTION("""COMPUTED_VALUE"""),44434.625)</f>
        <v>44434.625</v>
      </c>
      <c r="B401" s="5">
        <f>IFERROR(__xludf.DUMMYFUNCTION("""COMPUTED_VALUE"""),9425.0)</f>
        <v>9425</v>
      </c>
      <c r="C401" s="5">
        <f>IFERROR(__xludf.DUMMYFUNCTION("""COMPUTED_VALUE"""),9425.0)</f>
        <v>9425</v>
      </c>
      <c r="D401" s="5">
        <f>IFERROR(__xludf.DUMMYFUNCTION("""COMPUTED_VALUE"""),8775.0)</f>
        <v>8775</v>
      </c>
      <c r="E401" s="5">
        <f>IFERROR(__xludf.DUMMYFUNCTION("""COMPUTED_VALUE"""),8775.0)</f>
        <v>8775</v>
      </c>
      <c r="F401" s="5">
        <f>IFERROR(__xludf.DUMMYFUNCTION("""COMPUTED_VALUE"""),7161800.0)</f>
        <v>7161800</v>
      </c>
      <c r="G401" s="5">
        <f t="shared" si="1"/>
        <v>650</v>
      </c>
    </row>
    <row r="402">
      <c r="A402" s="4">
        <f>IFERROR(__xludf.DUMMYFUNCTION("""COMPUTED_VALUE"""),44435.625)</f>
        <v>44435.625</v>
      </c>
      <c r="B402" s="5">
        <f>IFERROR(__xludf.DUMMYFUNCTION("""COMPUTED_VALUE"""),8675.0)</f>
        <v>8675</v>
      </c>
      <c r="C402" s="5">
        <f>IFERROR(__xludf.DUMMYFUNCTION("""COMPUTED_VALUE"""),8925.0)</f>
        <v>8925</v>
      </c>
      <c r="D402" s="5">
        <f>IFERROR(__xludf.DUMMYFUNCTION("""COMPUTED_VALUE"""),8500.0)</f>
        <v>8500</v>
      </c>
      <c r="E402" s="5">
        <f>IFERROR(__xludf.DUMMYFUNCTION("""COMPUTED_VALUE"""),8850.0)</f>
        <v>8850</v>
      </c>
      <c r="F402" s="5">
        <f>IFERROR(__xludf.DUMMYFUNCTION("""COMPUTED_VALUE"""),4166500.0)</f>
        <v>4166500</v>
      </c>
      <c r="G402" s="5">
        <f t="shared" si="1"/>
        <v>425</v>
      </c>
    </row>
    <row r="403">
      <c r="A403" s="4">
        <f>IFERROR(__xludf.DUMMYFUNCTION("""COMPUTED_VALUE"""),44438.625)</f>
        <v>44438.625</v>
      </c>
      <c r="B403" s="5">
        <f>IFERROR(__xludf.DUMMYFUNCTION("""COMPUTED_VALUE"""),8950.0)</f>
        <v>8950</v>
      </c>
      <c r="C403" s="5">
        <f>IFERROR(__xludf.DUMMYFUNCTION("""COMPUTED_VALUE"""),9125.0)</f>
        <v>9125</v>
      </c>
      <c r="D403" s="5">
        <f>IFERROR(__xludf.DUMMYFUNCTION("""COMPUTED_VALUE"""),8850.0)</f>
        <v>8850</v>
      </c>
      <c r="E403" s="5">
        <f>IFERROR(__xludf.DUMMYFUNCTION("""COMPUTED_VALUE"""),9125.0)</f>
        <v>9125</v>
      </c>
      <c r="F403" s="5">
        <f>IFERROR(__xludf.DUMMYFUNCTION("""COMPUTED_VALUE"""),2749500.0)</f>
        <v>2749500</v>
      </c>
      <c r="G403" s="5">
        <f t="shared" si="1"/>
        <v>275</v>
      </c>
    </row>
    <row r="404">
      <c r="A404" s="4">
        <f>IFERROR(__xludf.DUMMYFUNCTION("""COMPUTED_VALUE"""),44439.625)</f>
        <v>44439.625</v>
      </c>
      <c r="B404" s="5">
        <f>IFERROR(__xludf.DUMMYFUNCTION("""COMPUTED_VALUE"""),9125.0)</f>
        <v>9125</v>
      </c>
      <c r="C404" s="5">
        <f>IFERROR(__xludf.DUMMYFUNCTION("""COMPUTED_VALUE"""),9250.0)</f>
        <v>9250</v>
      </c>
      <c r="D404" s="5">
        <f>IFERROR(__xludf.DUMMYFUNCTION("""COMPUTED_VALUE"""),8975.0)</f>
        <v>8975</v>
      </c>
      <c r="E404" s="5">
        <f>IFERROR(__xludf.DUMMYFUNCTION("""COMPUTED_VALUE"""),9250.0)</f>
        <v>9250</v>
      </c>
      <c r="F404" s="5">
        <f>IFERROR(__xludf.DUMMYFUNCTION("""COMPUTED_VALUE"""),7142800.0)</f>
        <v>7142800</v>
      </c>
      <c r="G404" s="5">
        <f t="shared" si="1"/>
        <v>275</v>
      </c>
    </row>
    <row r="405">
      <c r="A405" s="4">
        <f>IFERROR(__xludf.DUMMYFUNCTION("""COMPUTED_VALUE"""),44440.625)</f>
        <v>44440.625</v>
      </c>
      <c r="B405" s="5">
        <f>IFERROR(__xludf.DUMMYFUNCTION("""COMPUTED_VALUE"""),9200.0)</f>
        <v>9200</v>
      </c>
      <c r="C405" s="5">
        <f>IFERROR(__xludf.DUMMYFUNCTION("""COMPUTED_VALUE"""),9200.0)</f>
        <v>9200</v>
      </c>
      <c r="D405" s="5">
        <f>IFERROR(__xludf.DUMMYFUNCTION("""COMPUTED_VALUE"""),9000.0)</f>
        <v>9000</v>
      </c>
      <c r="E405" s="5">
        <f>IFERROR(__xludf.DUMMYFUNCTION("""COMPUTED_VALUE"""),9025.0)</f>
        <v>9025</v>
      </c>
      <c r="F405" s="5">
        <f>IFERROR(__xludf.DUMMYFUNCTION("""COMPUTED_VALUE"""),1579400.0)</f>
        <v>1579400</v>
      </c>
      <c r="G405" s="5">
        <f t="shared" si="1"/>
        <v>250</v>
      </c>
    </row>
    <row r="406">
      <c r="A406" s="4">
        <f>IFERROR(__xludf.DUMMYFUNCTION("""COMPUTED_VALUE"""),44441.625)</f>
        <v>44441.625</v>
      </c>
      <c r="B406" s="5">
        <f>IFERROR(__xludf.DUMMYFUNCTION("""COMPUTED_VALUE"""),9050.0)</f>
        <v>9050</v>
      </c>
      <c r="C406" s="5">
        <f>IFERROR(__xludf.DUMMYFUNCTION("""COMPUTED_VALUE"""),9150.0)</f>
        <v>9150</v>
      </c>
      <c r="D406" s="5">
        <f>IFERROR(__xludf.DUMMYFUNCTION("""COMPUTED_VALUE"""),8900.0)</f>
        <v>8900</v>
      </c>
      <c r="E406" s="5">
        <f>IFERROR(__xludf.DUMMYFUNCTION("""COMPUTED_VALUE"""),9150.0)</f>
        <v>9150</v>
      </c>
      <c r="F406" s="5">
        <f>IFERROR(__xludf.DUMMYFUNCTION("""COMPUTED_VALUE"""),1146400.0)</f>
        <v>1146400</v>
      </c>
      <c r="G406" s="5">
        <f t="shared" si="1"/>
        <v>250</v>
      </c>
    </row>
    <row r="407">
      <c r="A407" s="4">
        <f>IFERROR(__xludf.DUMMYFUNCTION("""COMPUTED_VALUE"""),44442.625)</f>
        <v>44442.625</v>
      </c>
      <c r="B407" s="5">
        <f>IFERROR(__xludf.DUMMYFUNCTION("""COMPUTED_VALUE"""),8975.0)</f>
        <v>8975</v>
      </c>
      <c r="C407" s="5">
        <f>IFERROR(__xludf.DUMMYFUNCTION("""COMPUTED_VALUE"""),9200.0)</f>
        <v>9200</v>
      </c>
      <c r="D407" s="5">
        <f>IFERROR(__xludf.DUMMYFUNCTION("""COMPUTED_VALUE"""),8975.0)</f>
        <v>8975</v>
      </c>
      <c r="E407" s="5">
        <f>IFERROR(__xludf.DUMMYFUNCTION("""COMPUTED_VALUE"""),9200.0)</f>
        <v>9200</v>
      </c>
      <c r="F407" s="5">
        <f>IFERROR(__xludf.DUMMYFUNCTION("""COMPUTED_VALUE"""),2209200.0)</f>
        <v>2209200</v>
      </c>
      <c r="G407" s="5">
        <f t="shared" si="1"/>
        <v>225</v>
      </c>
    </row>
    <row r="408">
      <c r="A408" s="4">
        <f>IFERROR(__xludf.DUMMYFUNCTION("""COMPUTED_VALUE"""),44445.625)</f>
        <v>44445.625</v>
      </c>
      <c r="B408" s="5">
        <f>IFERROR(__xludf.DUMMYFUNCTION("""COMPUTED_VALUE"""),9200.0)</f>
        <v>9200</v>
      </c>
      <c r="C408" s="5">
        <f>IFERROR(__xludf.DUMMYFUNCTION("""COMPUTED_VALUE"""),9275.0)</f>
        <v>9275</v>
      </c>
      <c r="D408" s="5">
        <f>IFERROR(__xludf.DUMMYFUNCTION("""COMPUTED_VALUE"""),9025.0)</f>
        <v>9025</v>
      </c>
      <c r="E408" s="5">
        <f>IFERROR(__xludf.DUMMYFUNCTION("""COMPUTED_VALUE"""),9200.0)</f>
        <v>9200</v>
      </c>
      <c r="F408" s="5">
        <f>IFERROR(__xludf.DUMMYFUNCTION("""COMPUTED_VALUE"""),2631100.0)</f>
        <v>2631100</v>
      </c>
      <c r="G408" s="5">
        <f t="shared" si="1"/>
        <v>250</v>
      </c>
    </row>
    <row r="409">
      <c r="A409" s="4">
        <f>IFERROR(__xludf.DUMMYFUNCTION("""COMPUTED_VALUE"""),44446.625)</f>
        <v>44446.625</v>
      </c>
      <c r="B409" s="5">
        <f>IFERROR(__xludf.DUMMYFUNCTION("""COMPUTED_VALUE"""),9200.0)</f>
        <v>9200</v>
      </c>
      <c r="C409" s="5">
        <f>IFERROR(__xludf.DUMMYFUNCTION("""COMPUTED_VALUE"""),9325.0)</f>
        <v>9325</v>
      </c>
      <c r="D409" s="5">
        <f>IFERROR(__xludf.DUMMYFUNCTION("""COMPUTED_VALUE"""),8900.0)</f>
        <v>8900</v>
      </c>
      <c r="E409" s="5">
        <f>IFERROR(__xludf.DUMMYFUNCTION("""COMPUTED_VALUE"""),8925.0)</f>
        <v>8925</v>
      </c>
      <c r="F409" s="5">
        <f>IFERROR(__xludf.DUMMYFUNCTION("""COMPUTED_VALUE"""),4773300.0)</f>
        <v>4773300</v>
      </c>
      <c r="G409" s="5">
        <f t="shared" si="1"/>
        <v>425</v>
      </c>
    </row>
    <row r="410">
      <c r="A410" s="4">
        <f>IFERROR(__xludf.DUMMYFUNCTION("""COMPUTED_VALUE"""),44447.625)</f>
        <v>44447.625</v>
      </c>
      <c r="B410" s="5">
        <f>IFERROR(__xludf.DUMMYFUNCTION("""COMPUTED_VALUE"""),8900.0)</f>
        <v>8900</v>
      </c>
      <c r="C410" s="5">
        <f>IFERROR(__xludf.DUMMYFUNCTION("""COMPUTED_VALUE"""),8925.0)</f>
        <v>8925</v>
      </c>
      <c r="D410" s="5">
        <f>IFERROR(__xludf.DUMMYFUNCTION("""COMPUTED_VALUE"""),8500.0)</f>
        <v>8500</v>
      </c>
      <c r="E410" s="5">
        <f>IFERROR(__xludf.DUMMYFUNCTION("""COMPUTED_VALUE"""),8550.0)</f>
        <v>8550</v>
      </c>
      <c r="F410" s="5">
        <f>IFERROR(__xludf.DUMMYFUNCTION("""COMPUTED_VALUE"""),7815200.0)</f>
        <v>7815200</v>
      </c>
      <c r="G410" s="5">
        <f t="shared" si="1"/>
        <v>425</v>
      </c>
    </row>
    <row r="411">
      <c r="A411" s="4">
        <f>IFERROR(__xludf.DUMMYFUNCTION("""COMPUTED_VALUE"""),44448.625)</f>
        <v>44448.625</v>
      </c>
      <c r="B411" s="5">
        <f>IFERROR(__xludf.DUMMYFUNCTION("""COMPUTED_VALUE"""),8650.0)</f>
        <v>8650</v>
      </c>
      <c r="C411" s="5">
        <f>IFERROR(__xludf.DUMMYFUNCTION("""COMPUTED_VALUE"""),8825.0)</f>
        <v>8825</v>
      </c>
      <c r="D411" s="5">
        <f>IFERROR(__xludf.DUMMYFUNCTION("""COMPUTED_VALUE"""),8500.0)</f>
        <v>8500</v>
      </c>
      <c r="E411" s="5">
        <f>IFERROR(__xludf.DUMMYFUNCTION("""COMPUTED_VALUE"""),8750.0)</f>
        <v>8750</v>
      </c>
      <c r="F411" s="5">
        <f>IFERROR(__xludf.DUMMYFUNCTION("""COMPUTED_VALUE"""),6888000.0)</f>
        <v>6888000</v>
      </c>
      <c r="G411" s="5">
        <f t="shared" si="1"/>
        <v>325</v>
      </c>
    </row>
    <row r="412">
      <c r="A412" s="4">
        <f>IFERROR(__xludf.DUMMYFUNCTION("""COMPUTED_VALUE"""),44449.625)</f>
        <v>44449.625</v>
      </c>
      <c r="B412" s="5">
        <f>IFERROR(__xludf.DUMMYFUNCTION("""COMPUTED_VALUE"""),8775.0)</f>
        <v>8775</v>
      </c>
      <c r="C412" s="5">
        <f>IFERROR(__xludf.DUMMYFUNCTION("""COMPUTED_VALUE"""),8900.0)</f>
        <v>8900</v>
      </c>
      <c r="D412" s="5">
        <f>IFERROR(__xludf.DUMMYFUNCTION("""COMPUTED_VALUE"""),8675.0)</f>
        <v>8675</v>
      </c>
      <c r="E412" s="5">
        <f>IFERROR(__xludf.DUMMYFUNCTION("""COMPUTED_VALUE"""),8900.0)</f>
        <v>8900</v>
      </c>
      <c r="F412" s="5">
        <f>IFERROR(__xludf.DUMMYFUNCTION("""COMPUTED_VALUE"""),3096500.0)</f>
        <v>3096500</v>
      </c>
      <c r="G412" s="5">
        <f t="shared" si="1"/>
        <v>225</v>
      </c>
    </row>
    <row r="413">
      <c r="A413" s="4">
        <f>IFERROR(__xludf.DUMMYFUNCTION("""COMPUTED_VALUE"""),44452.625)</f>
        <v>44452.625</v>
      </c>
      <c r="B413" s="5">
        <f>IFERROR(__xludf.DUMMYFUNCTION("""COMPUTED_VALUE"""),8900.0)</f>
        <v>8900</v>
      </c>
      <c r="C413" s="5">
        <f>IFERROR(__xludf.DUMMYFUNCTION("""COMPUTED_VALUE"""),8925.0)</f>
        <v>8925</v>
      </c>
      <c r="D413" s="5">
        <f>IFERROR(__xludf.DUMMYFUNCTION("""COMPUTED_VALUE"""),8725.0)</f>
        <v>8725</v>
      </c>
      <c r="E413" s="5">
        <f>IFERROR(__xludf.DUMMYFUNCTION("""COMPUTED_VALUE"""),8900.0)</f>
        <v>8900</v>
      </c>
      <c r="F413" s="5">
        <f>IFERROR(__xludf.DUMMYFUNCTION("""COMPUTED_VALUE"""),1052200.0)</f>
        <v>1052200</v>
      </c>
      <c r="G413" s="5">
        <f t="shared" si="1"/>
        <v>200</v>
      </c>
    </row>
    <row r="414">
      <c r="A414" s="4">
        <f>IFERROR(__xludf.DUMMYFUNCTION("""COMPUTED_VALUE"""),44453.625)</f>
        <v>44453.625</v>
      </c>
      <c r="B414" s="5">
        <f>IFERROR(__xludf.DUMMYFUNCTION("""COMPUTED_VALUE"""),8925.0)</f>
        <v>8925</v>
      </c>
      <c r="C414" s="5">
        <f>IFERROR(__xludf.DUMMYFUNCTION("""COMPUTED_VALUE"""),8975.0)</f>
        <v>8975</v>
      </c>
      <c r="D414" s="5">
        <f>IFERROR(__xludf.DUMMYFUNCTION("""COMPUTED_VALUE"""),8850.0)</f>
        <v>8850</v>
      </c>
      <c r="E414" s="5">
        <f>IFERROR(__xludf.DUMMYFUNCTION("""COMPUTED_VALUE"""),8900.0)</f>
        <v>8900</v>
      </c>
      <c r="F414" s="5">
        <f>IFERROR(__xludf.DUMMYFUNCTION("""COMPUTED_VALUE"""),2645700.0)</f>
        <v>2645700</v>
      </c>
      <c r="G414" s="5">
        <f t="shared" si="1"/>
        <v>125</v>
      </c>
    </row>
    <row r="415">
      <c r="A415" s="4">
        <f>IFERROR(__xludf.DUMMYFUNCTION("""COMPUTED_VALUE"""),44454.625)</f>
        <v>44454.625</v>
      </c>
      <c r="B415" s="5">
        <f>IFERROR(__xludf.DUMMYFUNCTION("""COMPUTED_VALUE"""),8900.0)</f>
        <v>8900</v>
      </c>
      <c r="C415" s="5">
        <f>IFERROR(__xludf.DUMMYFUNCTION("""COMPUTED_VALUE"""),9100.0)</f>
        <v>9100</v>
      </c>
      <c r="D415" s="5">
        <f>IFERROR(__xludf.DUMMYFUNCTION("""COMPUTED_VALUE"""),8850.0)</f>
        <v>8850</v>
      </c>
      <c r="E415" s="5">
        <f>IFERROR(__xludf.DUMMYFUNCTION("""COMPUTED_VALUE"""),8900.0)</f>
        <v>8900</v>
      </c>
      <c r="F415" s="5">
        <f>IFERROR(__xludf.DUMMYFUNCTION("""COMPUTED_VALUE"""),3955800.0)</f>
        <v>3955800</v>
      </c>
      <c r="G415" s="5">
        <f t="shared" si="1"/>
        <v>250</v>
      </c>
    </row>
    <row r="416">
      <c r="A416" s="4">
        <f>IFERROR(__xludf.DUMMYFUNCTION("""COMPUTED_VALUE"""),44455.625)</f>
        <v>44455.625</v>
      </c>
      <c r="B416" s="5">
        <f>IFERROR(__xludf.DUMMYFUNCTION("""COMPUTED_VALUE"""),8925.0)</f>
        <v>8925</v>
      </c>
      <c r="C416" s="5">
        <f>IFERROR(__xludf.DUMMYFUNCTION("""COMPUTED_VALUE"""),8950.0)</f>
        <v>8950</v>
      </c>
      <c r="D416" s="5">
        <f>IFERROR(__xludf.DUMMYFUNCTION("""COMPUTED_VALUE"""),8700.0)</f>
        <v>8700</v>
      </c>
      <c r="E416" s="5">
        <f>IFERROR(__xludf.DUMMYFUNCTION("""COMPUTED_VALUE"""),8725.0)</f>
        <v>8725</v>
      </c>
      <c r="F416" s="5">
        <f>IFERROR(__xludf.DUMMYFUNCTION("""COMPUTED_VALUE"""),2516000.0)</f>
        <v>2516000</v>
      </c>
      <c r="G416" s="5">
        <f t="shared" si="1"/>
        <v>250</v>
      </c>
    </row>
    <row r="417">
      <c r="A417" s="4">
        <f>IFERROR(__xludf.DUMMYFUNCTION("""COMPUTED_VALUE"""),44456.625)</f>
        <v>44456.625</v>
      </c>
      <c r="B417" s="5">
        <f>IFERROR(__xludf.DUMMYFUNCTION("""COMPUTED_VALUE"""),8675.0)</f>
        <v>8675</v>
      </c>
      <c r="C417" s="5">
        <f>IFERROR(__xludf.DUMMYFUNCTION("""COMPUTED_VALUE"""),8725.0)</f>
        <v>8725</v>
      </c>
      <c r="D417" s="5">
        <f>IFERROR(__xludf.DUMMYFUNCTION("""COMPUTED_VALUE"""),8525.0)</f>
        <v>8525</v>
      </c>
      <c r="E417" s="5">
        <f>IFERROR(__xludf.DUMMYFUNCTION("""COMPUTED_VALUE"""),8675.0)</f>
        <v>8675</v>
      </c>
      <c r="F417" s="5">
        <f>IFERROR(__xludf.DUMMYFUNCTION("""COMPUTED_VALUE"""),7364600.0)</f>
        <v>7364600</v>
      </c>
      <c r="G417" s="5">
        <f t="shared" si="1"/>
        <v>200</v>
      </c>
    </row>
    <row r="418">
      <c r="A418" s="4">
        <f>IFERROR(__xludf.DUMMYFUNCTION("""COMPUTED_VALUE"""),44459.625)</f>
        <v>44459.625</v>
      </c>
      <c r="B418" s="5">
        <f>IFERROR(__xludf.DUMMYFUNCTION("""COMPUTED_VALUE"""),8675.0)</f>
        <v>8675</v>
      </c>
      <c r="C418" s="5">
        <f>IFERROR(__xludf.DUMMYFUNCTION("""COMPUTED_VALUE"""),8700.0)</f>
        <v>8700</v>
      </c>
      <c r="D418" s="5">
        <f>IFERROR(__xludf.DUMMYFUNCTION("""COMPUTED_VALUE"""),8450.0)</f>
        <v>8450</v>
      </c>
      <c r="E418" s="5">
        <f>IFERROR(__xludf.DUMMYFUNCTION("""COMPUTED_VALUE"""),8500.0)</f>
        <v>8500</v>
      </c>
      <c r="F418" s="5">
        <f>IFERROR(__xludf.DUMMYFUNCTION("""COMPUTED_VALUE"""),4232000.0)</f>
        <v>4232000</v>
      </c>
      <c r="G418" s="5">
        <f t="shared" si="1"/>
        <v>250</v>
      </c>
    </row>
    <row r="419">
      <c r="A419" s="4">
        <f>IFERROR(__xludf.DUMMYFUNCTION("""COMPUTED_VALUE"""),44460.625)</f>
        <v>44460.625</v>
      </c>
      <c r="B419" s="5">
        <f>IFERROR(__xludf.DUMMYFUNCTION("""COMPUTED_VALUE"""),8425.0)</f>
        <v>8425</v>
      </c>
      <c r="C419" s="5">
        <f>IFERROR(__xludf.DUMMYFUNCTION("""COMPUTED_VALUE"""),8575.0)</f>
        <v>8575</v>
      </c>
      <c r="D419" s="5">
        <f>IFERROR(__xludf.DUMMYFUNCTION("""COMPUTED_VALUE"""),8275.0)</f>
        <v>8275</v>
      </c>
      <c r="E419" s="5">
        <f>IFERROR(__xludf.DUMMYFUNCTION("""COMPUTED_VALUE"""),8425.0)</f>
        <v>8425</v>
      </c>
      <c r="F419" s="5">
        <f>IFERROR(__xludf.DUMMYFUNCTION("""COMPUTED_VALUE"""),6298300.0)</f>
        <v>6298300</v>
      </c>
      <c r="G419" s="5">
        <f t="shared" si="1"/>
        <v>300</v>
      </c>
    </row>
    <row r="420">
      <c r="A420" s="4">
        <f>IFERROR(__xludf.DUMMYFUNCTION("""COMPUTED_VALUE"""),44461.625)</f>
        <v>44461.625</v>
      </c>
      <c r="B420" s="5">
        <f>IFERROR(__xludf.DUMMYFUNCTION("""COMPUTED_VALUE"""),8425.0)</f>
        <v>8425</v>
      </c>
      <c r="C420" s="5">
        <f>IFERROR(__xludf.DUMMYFUNCTION("""COMPUTED_VALUE"""),8800.0)</f>
        <v>8800</v>
      </c>
      <c r="D420" s="5">
        <f>IFERROR(__xludf.DUMMYFUNCTION("""COMPUTED_VALUE"""),8425.0)</f>
        <v>8425</v>
      </c>
      <c r="E420" s="5">
        <f>IFERROR(__xludf.DUMMYFUNCTION("""COMPUTED_VALUE"""),8550.0)</f>
        <v>8550</v>
      </c>
      <c r="F420" s="5">
        <f>IFERROR(__xludf.DUMMYFUNCTION("""COMPUTED_VALUE"""),5395000.0)</f>
        <v>5395000</v>
      </c>
      <c r="G420" s="5">
        <f t="shared" si="1"/>
        <v>375</v>
      </c>
    </row>
    <row r="421">
      <c r="A421" s="4">
        <f>IFERROR(__xludf.DUMMYFUNCTION("""COMPUTED_VALUE"""),44462.625)</f>
        <v>44462.625</v>
      </c>
      <c r="B421" s="5">
        <f>IFERROR(__xludf.DUMMYFUNCTION("""COMPUTED_VALUE"""),8550.0)</f>
        <v>8550</v>
      </c>
      <c r="C421" s="5">
        <f>IFERROR(__xludf.DUMMYFUNCTION("""COMPUTED_VALUE"""),8650.0)</f>
        <v>8650</v>
      </c>
      <c r="D421" s="5">
        <f>IFERROR(__xludf.DUMMYFUNCTION("""COMPUTED_VALUE"""),8475.0)</f>
        <v>8475</v>
      </c>
      <c r="E421" s="5">
        <f>IFERROR(__xludf.DUMMYFUNCTION("""COMPUTED_VALUE"""),8500.0)</f>
        <v>8500</v>
      </c>
      <c r="F421" s="5">
        <f>IFERROR(__xludf.DUMMYFUNCTION("""COMPUTED_VALUE"""),3628100.0)</f>
        <v>3628100</v>
      </c>
      <c r="G421" s="5">
        <f t="shared" si="1"/>
        <v>175</v>
      </c>
    </row>
    <row r="422">
      <c r="A422" s="4">
        <f>IFERROR(__xludf.DUMMYFUNCTION("""COMPUTED_VALUE"""),44463.625)</f>
        <v>44463.625</v>
      </c>
      <c r="B422" s="5">
        <f>IFERROR(__xludf.DUMMYFUNCTION("""COMPUTED_VALUE"""),8500.0)</f>
        <v>8500</v>
      </c>
      <c r="C422" s="5">
        <f>IFERROR(__xludf.DUMMYFUNCTION("""COMPUTED_VALUE"""),8625.0)</f>
        <v>8625</v>
      </c>
      <c r="D422" s="5">
        <f>IFERROR(__xludf.DUMMYFUNCTION("""COMPUTED_VALUE"""),8275.0)</f>
        <v>8275</v>
      </c>
      <c r="E422" s="5">
        <f>IFERROR(__xludf.DUMMYFUNCTION("""COMPUTED_VALUE"""),8300.0)</f>
        <v>8300</v>
      </c>
      <c r="F422" s="5">
        <f>IFERROR(__xludf.DUMMYFUNCTION("""COMPUTED_VALUE"""),8569600.0)</f>
        <v>8569600</v>
      </c>
      <c r="G422" s="5">
        <f t="shared" si="1"/>
        <v>350</v>
      </c>
    </row>
    <row r="423">
      <c r="A423" s="4">
        <f>IFERROR(__xludf.DUMMYFUNCTION("""COMPUTED_VALUE"""),44466.625)</f>
        <v>44466.625</v>
      </c>
      <c r="B423" s="5">
        <f>IFERROR(__xludf.DUMMYFUNCTION("""COMPUTED_VALUE"""),8300.0)</f>
        <v>8300</v>
      </c>
      <c r="C423" s="5">
        <f>IFERROR(__xludf.DUMMYFUNCTION("""COMPUTED_VALUE"""),8450.0)</f>
        <v>8450</v>
      </c>
      <c r="D423" s="5">
        <f>IFERROR(__xludf.DUMMYFUNCTION("""COMPUTED_VALUE"""),8150.0)</f>
        <v>8150</v>
      </c>
      <c r="E423" s="5">
        <f>IFERROR(__xludf.DUMMYFUNCTION("""COMPUTED_VALUE"""),8200.0)</f>
        <v>8200</v>
      </c>
      <c r="F423" s="5">
        <f>IFERROR(__xludf.DUMMYFUNCTION("""COMPUTED_VALUE"""),5943400.0)</f>
        <v>5943400</v>
      </c>
      <c r="G423" s="5">
        <f t="shared" si="1"/>
        <v>300</v>
      </c>
    </row>
    <row r="424">
      <c r="A424" s="4">
        <f>IFERROR(__xludf.DUMMYFUNCTION("""COMPUTED_VALUE"""),44467.625)</f>
        <v>44467.625</v>
      </c>
      <c r="B424" s="5">
        <f>IFERROR(__xludf.DUMMYFUNCTION("""COMPUTED_VALUE"""),8200.0)</f>
        <v>8200</v>
      </c>
      <c r="C424" s="5">
        <f>IFERROR(__xludf.DUMMYFUNCTION("""COMPUTED_VALUE"""),8225.0)</f>
        <v>8225</v>
      </c>
      <c r="D424" s="5">
        <f>IFERROR(__xludf.DUMMYFUNCTION("""COMPUTED_VALUE"""),7825.0)</f>
        <v>7825</v>
      </c>
      <c r="E424" s="5">
        <f>IFERROR(__xludf.DUMMYFUNCTION("""COMPUTED_VALUE"""),7850.0)</f>
        <v>7850</v>
      </c>
      <c r="F424" s="5">
        <f>IFERROR(__xludf.DUMMYFUNCTION("""COMPUTED_VALUE"""),1.32726E7)</f>
        <v>13272600</v>
      </c>
      <c r="G424" s="5">
        <f t="shared" si="1"/>
        <v>400</v>
      </c>
    </row>
    <row r="425">
      <c r="A425" s="4">
        <f>IFERROR(__xludf.DUMMYFUNCTION("""COMPUTED_VALUE"""),44468.625)</f>
        <v>44468.625</v>
      </c>
      <c r="B425" s="5">
        <f>IFERROR(__xludf.DUMMYFUNCTION("""COMPUTED_VALUE"""),7850.0)</f>
        <v>7850</v>
      </c>
      <c r="C425" s="5">
        <f>IFERROR(__xludf.DUMMYFUNCTION("""COMPUTED_VALUE"""),8525.0)</f>
        <v>8525</v>
      </c>
      <c r="D425" s="5">
        <f>IFERROR(__xludf.DUMMYFUNCTION("""COMPUTED_VALUE"""),7800.0)</f>
        <v>7800</v>
      </c>
      <c r="E425" s="5">
        <f>IFERROR(__xludf.DUMMYFUNCTION("""COMPUTED_VALUE"""),8475.0)</f>
        <v>8475</v>
      </c>
      <c r="F425" s="5">
        <f>IFERROR(__xludf.DUMMYFUNCTION("""COMPUTED_VALUE"""),2.03694E7)</f>
        <v>20369400</v>
      </c>
      <c r="G425" s="5">
        <f t="shared" si="1"/>
        <v>725</v>
      </c>
    </row>
    <row r="426">
      <c r="A426" s="4">
        <f>IFERROR(__xludf.DUMMYFUNCTION("""COMPUTED_VALUE"""),44469.625)</f>
        <v>44469.625</v>
      </c>
      <c r="B426" s="5">
        <f>IFERROR(__xludf.DUMMYFUNCTION("""COMPUTED_VALUE"""),8500.0)</f>
        <v>8500</v>
      </c>
      <c r="C426" s="5">
        <f>IFERROR(__xludf.DUMMYFUNCTION("""COMPUTED_VALUE"""),8575.0)</f>
        <v>8575</v>
      </c>
      <c r="D426" s="5">
        <f>IFERROR(__xludf.DUMMYFUNCTION("""COMPUTED_VALUE"""),8100.0)</f>
        <v>8100</v>
      </c>
      <c r="E426" s="5">
        <f>IFERROR(__xludf.DUMMYFUNCTION("""COMPUTED_VALUE"""),8200.0)</f>
        <v>8200</v>
      </c>
      <c r="F426" s="5">
        <f>IFERROR(__xludf.DUMMYFUNCTION("""COMPUTED_VALUE"""),1.34009E7)</f>
        <v>13400900</v>
      </c>
      <c r="G426" s="5">
        <f t="shared" si="1"/>
        <v>475</v>
      </c>
    </row>
    <row r="427">
      <c r="A427" s="4">
        <f>IFERROR(__xludf.DUMMYFUNCTION("""COMPUTED_VALUE"""),44470.625)</f>
        <v>44470.625</v>
      </c>
      <c r="B427" s="5">
        <f>IFERROR(__xludf.DUMMYFUNCTION("""COMPUTED_VALUE"""),8150.0)</f>
        <v>8150</v>
      </c>
      <c r="C427" s="5">
        <f>IFERROR(__xludf.DUMMYFUNCTION("""COMPUTED_VALUE"""),8275.0)</f>
        <v>8275</v>
      </c>
      <c r="D427" s="5">
        <f>IFERROR(__xludf.DUMMYFUNCTION("""COMPUTED_VALUE"""),8000.0)</f>
        <v>8000</v>
      </c>
      <c r="E427" s="5">
        <f>IFERROR(__xludf.DUMMYFUNCTION("""COMPUTED_VALUE"""),8100.0)</f>
        <v>8100</v>
      </c>
      <c r="F427" s="5">
        <f>IFERROR(__xludf.DUMMYFUNCTION("""COMPUTED_VALUE"""),1.37841E7)</f>
        <v>13784100</v>
      </c>
      <c r="G427" s="5">
        <f t="shared" si="1"/>
        <v>275</v>
      </c>
    </row>
    <row r="428">
      <c r="A428" s="4">
        <f>IFERROR(__xludf.DUMMYFUNCTION("""COMPUTED_VALUE"""),44473.625)</f>
        <v>44473.625</v>
      </c>
      <c r="B428" s="5">
        <f>IFERROR(__xludf.DUMMYFUNCTION("""COMPUTED_VALUE"""),8100.0)</f>
        <v>8100</v>
      </c>
      <c r="C428" s="5">
        <f>IFERROR(__xludf.DUMMYFUNCTION("""COMPUTED_VALUE"""),8375.0)</f>
        <v>8375</v>
      </c>
      <c r="D428" s="5">
        <f>IFERROR(__xludf.DUMMYFUNCTION("""COMPUTED_VALUE"""),8075.0)</f>
        <v>8075</v>
      </c>
      <c r="E428" s="5">
        <f>IFERROR(__xludf.DUMMYFUNCTION("""COMPUTED_VALUE"""),8275.0)</f>
        <v>8275</v>
      </c>
      <c r="F428" s="5">
        <f>IFERROR(__xludf.DUMMYFUNCTION("""COMPUTED_VALUE"""),1.20729E7)</f>
        <v>12072900</v>
      </c>
      <c r="G428" s="5">
        <f t="shared" si="1"/>
        <v>300</v>
      </c>
    </row>
    <row r="429">
      <c r="A429" s="4">
        <f>IFERROR(__xludf.DUMMYFUNCTION("""COMPUTED_VALUE"""),44474.625)</f>
        <v>44474.625</v>
      </c>
      <c r="B429" s="5">
        <f>IFERROR(__xludf.DUMMYFUNCTION("""COMPUTED_VALUE"""),8275.0)</f>
        <v>8275</v>
      </c>
      <c r="C429" s="5">
        <f>IFERROR(__xludf.DUMMYFUNCTION("""COMPUTED_VALUE"""),8375.0)</f>
        <v>8375</v>
      </c>
      <c r="D429" s="5">
        <f>IFERROR(__xludf.DUMMYFUNCTION("""COMPUTED_VALUE"""),7925.0)</f>
        <v>7925</v>
      </c>
      <c r="E429" s="5">
        <f>IFERROR(__xludf.DUMMYFUNCTION("""COMPUTED_VALUE"""),7975.0)</f>
        <v>7975</v>
      </c>
      <c r="F429" s="5">
        <f>IFERROR(__xludf.DUMMYFUNCTION("""COMPUTED_VALUE"""),1.4634E7)</f>
        <v>14634000</v>
      </c>
      <c r="G429" s="5">
        <f t="shared" si="1"/>
        <v>450</v>
      </c>
    </row>
    <row r="430">
      <c r="A430" s="4">
        <f>IFERROR(__xludf.DUMMYFUNCTION("""COMPUTED_VALUE"""),44475.625)</f>
        <v>44475.625</v>
      </c>
      <c r="B430" s="5">
        <f>IFERROR(__xludf.DUMMYFUNCTION("""COMPUTED_VALUE"""),8000.0)</f>
        <v>8000</v>
      </c>
      <c r="C430" s="5">
        <f>IFERROR(__xludf.DUMMYFUNCTION("""COMPUTED_VALUE"""),8100.0)</f>
        <v>8100</v>
      </c>
      <c r="D430" s="5">
        <f>IFERROR(__xludf.DUMMYFUNCTION("""COMPUTED_VALUE"""),7900.0)</f>
        <v>7900</v>
      </c>
      <c r="E430" s="5">
        <f>IFERROR(__xludf.DUMMYFUNCTION("""COMPUTED_VALUE"""),7975.0)</f>
        <v>7975</v>
      </c>
      <c r="F430" s="5">
        <f>IFERROR(__xludf.DUMMYFUNCTION("""COMPUTED_VALUE"""),2.9297E7)</f>
        <v>29297000</v>
      </c>
      <c r="G430" s="5">
        <f t="shared" si="1"/>
        <v>200</v>
      </c>
    </row>
    <row r="431">
      <c r="A431" s="4">
        <f>IFERROR(__xludf.DUMMYFUNCTION("""COMPUTED_VALUE"""),44476.625)</f>
        <v>44476.625</v>
      </c>
      <c r="B431" s="5">
        <f>IFERROR(__xludf.DUMMYFUNCTION("""COMPUTED_VALUE"""),8075.0)</f>
        <v>8075</v>
      </c>
      <c r="C431" s="5">
        <f>IFERROR(__xludf.DUMMYFUNCTION("""COMPUTED_VALUE"""),8325.0)</f>
        <v>8325</v>
      </c>
      <c r="D431" s="5">
        <f>IFERROR(__xludf.DUMMYFUNCTION("""COMPUTED_VALUE"""),8025.0)</f>
        <v>8025</v>
      </c>
      <c r="E431" s="5">
        <f>IFERROR(__xludf.DUMMYFUNCTION("""COMPUTED_VALUE"""),8075.0)</f>
        <v>8075</v>
      </c>
      <c r="F431" s="5">
        <f>IFERROR(__xludf.DUMMYFUNCTION("""COMPUTED_VALUE"""),2.13779E7)</f>
        <v>21377900</v>
      </c>
      <c r="G431" s="5">
        <f t="shared" si="1"/>
        <v>350</v>
      </c>
    </row>
    <row r="432">
      <c r="A432" s="4">
        <f>IFERROR(__xludf.DUMMYFUNCTION("""COMPUTED_VALUE"""),44477.625)</f>
        <v>44477.625</v>
      </c>
      <c r="B432" s="5">
        <f>IFERROR(__xludf.DUMMYFUNCTION("""COMPUTED_VALUE"""),8100.0)</f>
        <v>8100</v>
      </c>
      <c r="C432" s="5">
        <f>IFERROR(__xludf.DUMMYFUNCTION("""COMPUTED_VALUE"""),8225.0)</f>
        <v>8225</v>
      </c>
      <c r="D432" s="5">
        <f>IFERROR(__xludf.DUMMYFUNCTION("""COMPUTED_VALUE"""),8000.0)</f>
        <v>8000</v>
      </c>
      <c r="E432" s="5">
        <f>IFERROR(__xludf.DUMMYFUNCTION("""COMPUTED_VALUE"""),8075.0)</f>
        <v>8075</v>
      </c>
      <c r="F432" s="5">
        <f>IFERROR(__xludf.DUMMYFUNCTION("""COMPUTED_VALUE"""),2.07049E7)</f>
        <v>20704900</v>
      </c>
      <c r="G432" s="5">
        <f t="shared" si="1"/>
        <v>225</v>
      </c>
    </row>
    <row r="433">
      <c r="A433" s="4">
        <f>IFERROR(__xludf.DUMMYFUNCTION("""COMPUTED_VALUE"""),44480.625)</f>
        <v>44480.625</v>
      </c>
      <c r="B433" s="5">
        <f>IFERROR(__xludf.DUMMYFUNCTION("""COMPUTED_VALUE"""),8075.0)</f>
        <v>8075</v>
      </c>
      <c r="C433" s="5">
        <f>IFERROR(__xludf.DUMMYFUNCTION("""COMPUTED_VALUE"""),8125.0)</f>
        <v>8125</v>
      </c>
      <c r="D433" s="5">
        <f>IFERROR(__xludf.DUMMYFUNCTION("""COMPUTED_VALUE"""),7875.0)</f>
        <v>7875</v>
      </c>
      <c r="E433" s="5">
        <f>IFERROR(__xludf.DUMMYFUNCTION("""COMPUTED_VALUE"""),7875.0)</f>
        <v>7875</v>
      </c>
      <c r="F433" s="5">
        <f>IFERROR(__xludf.DUMMYFUNCTION("""COMPUTED_VALUE"""),1.79135E7)</f>
        <v>17913500</v>
      </c>
      <c r="G433" s="5">
        <f t="shared" si="1"/>
        <v>250</v>
      </c>
    </row>
    <row r="434">
      <c r="A434" s="4">
        <f>IFERROR(__xludf.DUMMYFUNCTION("""COMPUTED_VALUE"""),44481.66666666667)</f>
        <v>44481.66667</v>
      </c>
      <c r="B434" s="5">
        <f>IFERROR(__xludf.DUMMYFUNCTION("""COMPUTED_VALUE"""),7875.0)</f>
        <v>7875</v>
      </c>
      <c r="C434" s="5">
        <f>IFERROR(__xludf.DUMMYFUNCTION("""COMPUTED_VALUE"""),8100.0)</f>
        <v>8100</v>
      </c>
      <c r="D434" s="5">
        <f>IFERROR(__xludf.DUMMYFUNCTION("""COMPUTED_VALUE"""),7875.0)</f>
        <v>7875</v>
      </c>
      <c r="E434" s="5">
        <f>IFERROR(__xludf.DUMMYFUNCTION("""COMPUTED_VALUE"""),7925.0)</f>
        <v>7925</v>
      </c>
      <c r="F434" s="5">
        <f>IFERROR(__xludf.DUMMYFUNCTION("""COMPUTED_VALUE"""),2.18435E7)</f>
        <v>21843500</v>
      </c>
      <c r="G434" s="5">
        <f t="shared" si="1"/>
        <v>225</v>
      </c>
    </row>
    <row r="435">
      <c r="A435" s="4">
        <f>IFERROR(__xludf.DUMMYFUNCTION("""COMPUTED_VALUE"""),44482.625)</f>
        <v>44482.625</v>
      </c>
      <c r="B435" s="5">
        <f>IFERROR(__xludf.DUMMYFUNCTION("""COMPUTED_VALUE"""),7975.0)</f>
        <v>7975</v>
      </c>
      <c r="C435" s="5">
        <f>IFERROR(__xludf.DUMMYFUNCTION("""COMPUTED_VALUE"""),8375.0)</f>
        <v>8375</v>
      </c>
      <c r="D435" s="5">
        <f>IFERROR(__xludf.DUMMYFUNCTION("""COMPUTED_VALUE"""),7975.0)</f>
        <v>7975</v>
      </c>
      <c r="E435" s="5">
        <f>IFERROR(__xludf.DUMMYFUNCTION("""COMPUTED_VALUE"""),8300.0)</f>
        <v>8300</v>
      </c>
      <c r="F435" s="5">
        <f>IFERROR(__xludf.DUMMYFUNCTION("""COMPUTED_VALUE"""),3.64229E7)</f>
        <v>36422900</v>
      </c>
      <c r="G435" s="5">
        <f t="shared" si="1"/>
        <v>450</v>
      </c>
    </row>
    <row r="436">
      <c r="A436" s="4">
        <f>IFERROR(__xludf.DUMMYFUNCTION("""COMPUTED_VALUE"""),44483.66666666667)</f>
        <v>44483.66667</v>
      </c>
      <c r="B436" s="5">
        <f>IFERROR(__xludf.DUMMYFUNCTION("""COMPUTED_VALUE"""),8400.0)</f>
        <v>8400</v>
      </c>
      <c r="C436" s="5">
        <f>IFERROR(__xludf.DUMMYFUNCTION("""COMPUTED_VALUE"""),8950.0)</f>
        <v>8950</v>
      </c>
      <c r="D436" s="5">
        <f>IFERROR(__xludf.DUMMYFUNCTION("""COMPUTED_VALUE"""),8400.0)</f>
        <v>8400</v>
      </c>
      <c r="E436" s="5">
        <f>IFERROR(__xludf.DUMMYFUNCTION("""COMPUTED_VALUE"""),8925.0)</f>
        <v>8925</v>
      </c>
      <c r="F436" s="5">
        <f>IFERROR(__xludf.DUMMYFUNCTION("""COMPUTED_VALUE"""),4.19164E7)</f>
        <v>41916400</v>
      </c>
      <c r="G436" s="5">
        <f t="shared" si="1"/>
        <v>650</v>
      </c>
    </row>
    <row r="437">
      <c r="A437" s="4">
        <f>IFERROR(__xludf.DUMMYFUNCTION("""COMPUTED_VALUE"""),44484.66666666667)</f>
        <v>44484.66667</v>
      </c>
      <c r="B437" s="5">
        <f>IFERROR(__xludf.DUMMYFUNCTION("""COMPUTED_VALUE"""),8950.0)</f>
        <v>8950</v>
      </c>
      <c r="C437" s="5">
        <f>IFERROR(__xludf.DUMMYFUNCTION("""COMPUTED_VALUE"""),9125.0)</f>
        <v>9125</v>
      </c>
      <c r="D437" s="5">
        <f>IFERROR(__xludf.DUMMYFUNCTION("""COMPUTED_VALUE"""),8675.0)</f>
        <v>8675</v>
      </c>
      <c r="E437" s="5">
        <f>IFERROR(__xludf.DUMMYFUNCTION("""COMPUTED_VALUE"""),8775.0)</f>
        <v>8775</v>
      </c>
      <c r="F437" s="5">
        <f>IFERROR(__xludf.DUMMYFUNCTION("""COMPUTED_VALUE"""),2.6912E7)</f>
        <v>26912000</v>
      </c>
      <c r="G437" s="5">
        <f t="shared" si="1"/>
        <v>450</v>
      </c>
    </row>
    <row r="438">
      <c r="A438" s="4">
        <f>IFERROR(__xludf.DUMMYFUNCTION("""COMPUTED_VALUE"""),44487.625)</f>
        <v>44487.625</v>
      </c>
      <c r="B438" s="5">
        <f>IFERROR(__xludf.DUMMYFUNCTION("""COMPUTED_VALUE"""),8875.0)</f>
        <v>8875</v>
      </c>
      <c r="C438" s="5">
        <f>IFERROR(__xludf.DUMMYFUNCTION("""COMPUTED_VALUE"""),9075.0)</f>
        <v>9075</v>
      </c>
      <c r="D438" s="5">
        <f>IFERROR(__xludf.DUMMYFUNCTION("""COMPUTED_VALUE"""),8800.0)</f>
        <v>8800</v>
      </c>
      <c r="E438" s="5">
        <f>IFERROR(__xludf.DUMMYFUNCTION("""COMPUTED_VALUE"""),8900.0)</f>
        <v>8900</v>
      </c>
      <c r="F438" s="5">
        <f>IFERROR(__xludf.DUMMYFUNCTION("""COMPUTED_VALUE"""),1.63282E7)</f>
        <v>16328200</v>
      </c>
      <c r="G438" s="5">
        <f t="shared" si="1"/>
        <v>300</v>
      </c>
    </row>
    <row r="439">
      <c r="A439" s="4">
        <f>IFERROR(__xludf.DUMMYFUNCTION("""COMPUTED_VALUE"""),44488.625)</f>
        <v>44488.625</v>
      </c>
      <c r="B439" s="5">
        <f>IFERROR(__xludf.DUMMYFUNCTION("""COMPUTED_VALUE"""),8950.0)</f>
        <v>8950</v>
      </c>
      <c r="C439" s="5">
        <f>IFERROR(__xludf.DUMMYFUNCTION("""COMPUTED_VALUE"""),9000.0)</f>
        <v>9000</v>
      </c>
      <c r="D439" s="5">
        <f>IFERROR(__xludf.DUMMYFUNCTION("""COMPUTED_VALUE"""),8700.0)</f>
        <v>8700</v>
      </c>
      <c r="E439" s="5">
        <f>IFERROR(__xludf.DUMMYFUNCTION("""COMPUTED_VALUE"""),8775.0)</f>
        <v>8775</v>
      </c>
      <c r="F439" s="5">
        <f>IFERROR(__xludf.DUMMYFUNCTION("""COMPUTED_VALUE"""),1.03729E7)</f>
        <v>10372900</v>
      </c>
      <c r="G439" s="5">
        <f t="shared" si="1"/>
        <v>300</v>
      </c>
    </row>
    <row r="440">
      <c r="A440" s="4">
        <f>IFERROR(__xludf.DUMMYFUNCTION("""COMPUTED_VALUE"""),44490.625)</f>
        <v>44490.625</v>
      </c>
      <c r="B440" s="5">
        <f>IFERROR(__xludf.DUMMYFUNCTION("""COMPUTED_VALUE"""),8800.0)</f>
        <v>8800</v>
      </c>
      <c r="C440" s="5">
        <f>IFERROR(__xludf.DUMMYFUNCTION("""COMPUTED_VALUE"""),8925.0)</f>
        <v>8925</v>
      </c>
      <c r="D440" s="5">
        <f>IFERROR(__xludf.DUMMYFUNCTION("""COMPUTED_VALUE"""),8550.0)</f>
        <v>8550</v>
      </c>
      <c r="E440" s="5">
        <f>IFERROR(__xludf.DUMMYFUNCTION("""COMPUTED_VALUE"""),8800.0)</f>
        <v>8800</v>
      </c>
      <c r="F440" s="5">
        <f>IFERROR(__xludf.DUMMYFUNCTION("""COMPUTED_VALUE"""),1.40961E7)</f>
        <v>14096100</v>
      </c>
      <c r="G440" s="5">
        <f t="shared" si="1"/>
        <v>375</v>
      </c>
    </row>
    <row r="441">
      <c r="A441" s="4">
        <f>IFERROR(__xludf.DUMMYFUNCTION("""COMPUTED_VALUE"""),44491.625)</f>
        <v>44491.625</v>
      </c>
      <c r="B441" s="5">
        <f>IFERROR(__xludf.DUMMYFUNCTION("""COMPUTED_VALUE"""),8850.0)</f>
        <v>8850</v>
      </c>
      <c r="C441" s="5">
        <f>IFERROR(__xludf.DUMMYFUNCTION("""COMPUTED_VALUE"""),8925.0)</f>
        <v>8925</v>
      </c>
      <c r="D441" s="5">
        <f>IFERROR(__xludf.DUMMYFUNCTION("""COMPUTED_VALUE"""),8650.0)</f>
        <v>8650</v>
      </c>
      <c r="E441" s="5">
        <f>IFERROR(__xludf.DUMMYFUNCTION("""COMPUTED_VALUE"""),8850.0)</f>
        <v>8850</v>
      </c>
      <c r="F441" s="5">
        <f>IFERROR(__xludf.DUMMYFUNCTION("""COMPUTED_VALUE"""),1.12616E7)</f>
        <v>11261600</v>
      </c>
      <c r="G441" s="5">
        <f t="shared" si="1"/>
        <v>275</v>
      </c>
    </row>
    <row r="442">
      <c r="A442" s="4">
        <f>IFERROR(__xludf.DUMMYFUNCTION("""COMPUTED_VALUE"""),44494.625)</f>
        <v>44494.625</v>
      </c>
      <c r="B442" s="5">
        <f>IFERROR(__xludf.DUMMYFUNCTION("""COMPUTED_VALUE"""),8900.0)</f>
        <v>8900</v>
      </c>
      <c r="C442" s="5">
        <f>IFERROR(__xludf.DUMMYFUNCTION("""COMPUTED_VALUE"""),8950.0)</f>
        <v>8950</v>
      </c>
      <c r="D442" s="5">
        <f>IFERROR(__xludf.DUMMYFUNCTION("""COMPUTED_VALUE"""),8500.0)</f>
        <v>8500</v>
      </c>
      <c r="E442" s="5">
        <f>IFERROR(__xludf.DUMMYFUNCTION("""COMPUTED_VALUE"""),8575.0)</f>
        <v>8575</v>
      </c>
      <c r="F442" s="5">
        <f>IFERROR(__xludf.DUMMYFUNCTION("""COMPUTED_VALUE"""),1.93311E7)</f>
        <v>19331100</v>
      </c>
      <c r="G442" s="5">
        <f t="shared" si="1"/>
        <v>450</v>
      </c>
    </row>
    <row r="443">
      <c r="A443" s="4">
        <f>IFERROR(__xludf.DUMMYFUNCTION("""COMPUTED_VALUE"""),44495.625)</f>
        <v>44495.625</v>
      </c>
      <c r="B443" s="5">
        <f>IFERROR(__xludf.DUMMYFUNCTION("""COMPUTED_VALUE"""),8500.0)</f>
        <v>8500</v>
      </c>
      <c r="C443" s="5">
        <f>IFERROR(__xludf.DUMMYFUNCTION("""COMPUTED_VALUE"""),8575.0)</f>
        <v>8575</v>
      </c>
      <c r="D443" s="5">
        <f>IFERROR(__xludf.DUMMYFUNCTION("""COMPUTED_VALUE"""),8350.0)</f>
        <v>8350</v>
      </c>
      <c r="E443" s="5">
        <f>IFERROR(__xludf.DUMMYFUNCTION("""COMPUTED_VALUE"""),8375.0)</f>
        <v>8375</v>
      </c>
      <c r="F443" s="5">
        <f>IFERROR(__xludf.DUMMYFUNCTION("""COMPUTED_VALUE"""),2.01604E7)</f>
        <v>20160400</v>
      </c>
      <c r="G443" s="5">
        <f t="shared" si="1"/>
        <v>225</v>
      </c>
    </row>
    <row r="444">
      <c r="A444" s="4">
        <f>IFERROR(__xludf.DUMMYFUNCTION("""COMPUTED_VALUE"""),44496.625)</f>
        <v>44496.625</v>
      </c>
      <c r="B444" s="5">
        <f>IFERROR(__xludf.DUMMYFUNCTION("""COMPUTED_VALUE"""),8425.0)</f>
        <v>8425</v>
      </c>
      <c r="C444" s="5">
        <f>IFERROR(__xludf.DUMMYFUNCTION("""COMPUTED_VALUE"""),8850.0)</f>
        <v>8850</v>
      </c>
      <c r="D444" s="5">
        <f>IFERROR(__xludf.DUMMYFUNCTION("""COMPUTED_VALUE"""),8425.0)</f>
        <v>8425</v>
      </c>
      <c r="E444" s="5">
        <f>IFERROR(__xludf.DUMMYFUNCTION("""COMPUTED_VALUE"""),8650.0)</f>
        <v>8650</v>
      </c>
      <c r="F444" s="5">
        <f>IFERROR(__xludf.DUMMYFUNCTION("""COMPUTED_VALUE"""),3.03036E7)</f>
        <v>30303600</v>
      </c>
      <c r="G444" s="5">
        <f t="shared" si="1"/>
        <v>475</v>
      </c>
    </row>
    <row r="445">
      <c r="A445" s="4">
        <f>IFERROR(__xludf.DUMMYFUNCTION("""COMPUTED_VALUE"""),44497.625)</f>
        <v>44497.625</v>
      </c>
      <c r="B445" s="5">
        <f>IFERROR(__xludf.DUMMYFUNCTION("""COMPUTED_VALUE"""),8750.0)</f>
        <v>8750</v>
      </c>
      <c r="C445" s="5">
        <f>IFERROR(__xludf.DUMMYFUNCTION("""COMPUTED_VALUE"""),8950.0)</f>
        <v>8950</v>
      </c>
      <c r="D445" s="5">
        <f>IFERROR(__xludf.DUMMYFUNCTION("""COMPUTED_VALUE"""),8675.0)</f>
        <v>8675</v>
      </c>
      <c r="E445" s="5">
        <f>IFERROR(__xludf.DUMMYFUNCTION("""COMPUTED_VALUE"""),8825.0)</f>
        <v>8825</v>
      </c>
      <c r="F445" s="5">
        <f>IFERROR(__xludf.DUMMYFUNCTION("""COMPUTED_VALUE"""),2.61444E7)</f>
        <v>26144400</v>
      </c>
      <c r="G445" s="5">
        <f t="shared" si="1"/>
        <v>300</v>
      </c>
    </row>
    <row r="446">
      <c r="A446" s="4">
        <f>IFERROR(__xludf.DUMMYFUNCTION("""COMPUTED_VALUE"""),44498.625)</f>
        <v>44498.625</v>
      </c>
      <c r="B446" s="5">
        <f>IFERROR(__xludf.DUMMYFUNCTION("""COMPUTED_VALUE"""),8850.0)</f>
        <v>8850</v>
      </c>
      <c r="C446" s="5">
        <f>IFERROR(__xludf.DUMMYFUNCTION("""COMPUTED_VALUE"""),9225.0)</f>
        <v>9225</v>
      </c>
      <c r="D446" s="5">
        <f>IFERROR(__xludf.DUMMYFUNCTION("""COMPUTED_VALUE"""),8675.0)</f>
        <v>8675</v>
      </c>
      <c r="E446" s="5">
        <f>IFERROR(__xludf.DUMMYFUNCTION("""COMPUTED_VALUE"""),9100.0)</f>
        <v>9100</v>
      </c>
      <c r="F446" s="5">
        <f>IFERROR(__xludf.DUMMYFUNCTION("""COMPUTED_VALUE"""),2.90985E7)</f>
        <v>29098500</v>
      </c>
      <c r="G446" s="5">
        <f t="shared" si="1"/>
        <v>550</v>
      </c>
    </row>
    <row r="447">
      <c r="A447" s="4">
        <f>IFERROR(__xludf.DUMMYFUNCTION("""COMPUTED_VALUE"""),44501.625)</f>
        <v>44501.625</v>
      </c>
      <c r="B447" s="5">
        <f>IFERROR(__xludf.DUMMYFUNCTION("""COMPUTED_VALUE"""),9100.0)</f>
        <v>9100</v>
      </c>
      <c r="C447" s="5">
        <f>IFERROR(__xludf.DUMMYFUNCTION("""COMPUTED_VALUE"""),9325.0)</f>
        <v>9325</v>
      </c>
      <c r="D447" s="5">
        <f>IFERROR(__xludf.DUMMYFUNCTION("""COMPUTED_VALUE"""),9025.0)</f>
        <v>9025</v>
      </c>
      <c r="E447" s="5">
        <f>IFERROR(__xludf.DUMMYFUNCTION("""COMPUTED_VALUE"""),9225.0)</f>
        <v>9225</v>
      </c>
      <c r="F447" s="5">
        <f>IFERROR(__xludf.DUMMYFUNCTION("""COMPUTED_VALUE"""),2.318E7)</f>
        <v>23180000</v>
      </c>
      <c r="G447" s="5">
        <f t="shared" si="1"/>
        <v>300</v>
      </c>
    </row>
    <row r="448">
      <c r="A448" s="4">
        <f>IFERROR(__xludf.DUMMYFUNCTION("""COMPUTED_VALUE"""),44502.625)</f>
        <v>44502.625</v>
      </c>
      <c r="B448" s="5">
        <f>IFERROR(__xludf.DUMMYFUNCTION("""COMPUTED_VALUE"""),9225.0)</f>
        <v>9225</v>
      </c>
      <c r="C448" s="5">
        <f>IFERROR(__xludf.DUMMYFUNCTION("""COMPUTED_VALUE"""),9275.0)</f>
        <v>9275</v>
      </c>
      <c r="D448" s="5">
        <f>IFERROR(__xludf.DUMMYFUNCTION("""COMPUTED_VALUE"""),8950.0)</f>
        <v>8950</v>
      </c>
      <c r="E448" s="5">
        <f>IFERROR(__xludf.DUMMYFUNCTION("""COMPUTED_VALUE"""),8975.0)</f>
        <v>8975</v>
      </c>
      <c r="F448" s="5">
        <f>IFERROR(__xludf.DUMMYFUNCTION("""COMPUTED_VALUE"""),1.09465E7)</f>
        <v>10946500</v>
      </c>
      <c r="G448" s="5">
        <f t="shared" si="1"/>
        <v>325</v>
      </c>
    </row>
    <row r="449">
      <c r="A449" s="4">
        <f>IFERROR(__xludf.DUMMYFUNCTION("""COMPUTED_VALUE"""),44503.625)</f>
        <v>44503.625</v>
      </c>
      <c r="B449" s="5">
        <f>IFERROR(__xludf.DUMMYFUNCTION("""COMPUTED_VALUE"""),8975.0)</f>
        <v>8975</v>
      </c>
      <c r="C449" s="5">
        <f>IFERROR(__xludf.DUMMYFUNCTION("""COMPUTED_VALUE"""),9475.0)</f>
        <v>9475</v>
      </c>
      <c r="D449" s="5">
        <f>IFERROR(__xludf.DUMMYFUNCTION("""COMPUTED_VALUE"""),8975.0)</f>
        <v>8975</v>
      </c>
      <c r="E449" s="5">
        <f>IFERROR(__xludf.DUMMYFUNCTION("""COMPUTED_VALUE"""),9475.0)</f>
        <v>9475</v>
      </c>
      <c r="F449" s="5">
        <f>IFERROR(__xludf.DUMMYFUNCTION("""COMPUTED_VALUE"""),1.86813E7)</f>
        <v>18681300</v>
      </c>
      <c r="G449" s="5">
        <f t="shared" si="1"/>
        <v>500</v>
      </c>
    </row>
    <row r="450">
      <c r="A450" s="4">
        <f>IFERROR(__xludf.DUMMYFUNCTION("""COMPUTED_VALUE"""),44504.66666666667)</f>
        <v>44504.66667</v>
      </c>
      <c r="B450" s="5">
        <f>IFERROR(__xludf.DUMMYFUNCTION("""COMPUTED_VALUE"""),9775.0)</f>
        <v>9775</v>
      </c>
      <c r="C450" s="5">
        <f>IFERROR(__xludf.DUMMYFUNCTION("""COMPUTED_VALUE"""),10100.0)</f>
        <v>10100</v>
      </c>
      <c r="D450" s="5">
        <f>IFERROR(__xludf.DUMMYFUNCTION("""COMPUTED_VALUE"""),9750.0)</f>
        <v>9750</v>
      </c>
      <c r="E450" s="5">
        <f>IFERROR(__xludf.DUMMYFUNCTION("""COMPUTED_VALUE"""),9900.0)</f>
        <v>9900</v>
      </c>
      <c r="F450" s="5">
        <f>IFERROR(__xludf.DUMMYFUNCTION("""COMPUTED_VALUE"""),3.80747E7)</f>
        <v>38074700</v>
      </c>
      <c r="G450" s="5">
        <f t="shared" si="1"/>
        <v>625</v>
      </c>
    </row>
    <row r="451">
      <c r="A451" s="4">
        <f>IFERROR(__xludf.DUMMYFUNCTION("""COMPUTED_VALUE"""),44505.625)</f>
        <v>44505.625</v>
      </c>
      <c r="B451" s="5">
        <f>IFERROR(__xludf.DUMMYFUNCTION("""COMPUTED_VALUE"""),9950.0)</f>
        <v>9950</v>
      </c>
      <c r="C451" s="5">
        <f>IFERROR(__xludf.DUMMYFUNCTION("""COMPUTED_VALUE"""),9975.0)</f>
        <v>9975</v>
      </c>
      <c r="D451" s="5">
        <f>IFERROR(__xludf.DUMMYFUNCTION("""COMPUTED_VALUE"""),9625.0)</f>
        <v>9625</v>
      </c>
      <c r="E451" s="5">
        <f>IFERROR(__xludf.DUMMYFUNCTION("""COMPUTED_VALUE"""),9900.0)</f>
        <v>9900</v>
      </c>
      <c r="F451" s="5">
        <f>IFERROR(__xludf.DUMMYFUNCTION("""COMPUTED_VALUE"""),8427700.0)</f>
        <v>8427700</v>
      </c>
      <c r="G451" s="5">
        <f t="shared" si="1"/>
        <v>350</v>
      </c>
    </row>
    <row r="452">
      <c r="A452" s="4">
        <f>IFERROR(__xludf.DUMMYFUNCTION("""COMPUTED_VALUE"""),44508.625)</f>
        <v>44508.625</v>
      </c>
      <c r="B452" s="5">
        <f>IFERROR(__xludf.DUMMYFUNCTION("""COMPUTED_VALUE"""),9900.0)</f>
        <v>9900</v>
      </c>
      <c r="C452" s="5">
        <f>IFERROR(__xludf.DUMMYFUNCTION("""COMPUTED_VALUE"""),9900.0)</f>
        <v>9900</v>
      </c>
      <c r="D452" s="5">
        <f>IFERROR(__xludf.DUMMYFUNCTION("""COMPUTED_VALUE"""),9575.0)</f>
        <v>9575</v>
      </c>
      <c r="E452" s="5">
        <f>IFERROR(__xludf.DUMMYFUNCTION("""COMPUTED_VALUE"""),9575.0)</f>
        <v>9575</v>
      </c>
      <c r="F452" s="5">
        <f>IFERROR(__xludf.DUMMYFUNCTION("""COMPUTED_VALUE"""),8763900.0)</f>
        <v>8763900</v>
      </c>
      <c r="G452" s="5">
        <f t="shared" si="1"/>
        <v>325</v>
      </c>
    </row>
    <row r="453">
      <c r="A453" s="4">
        <f>IFERROR(__xludf.DUMMYFUNCTION("""COMPUTED_VALUE"""),44509.625)</f>
        <v>44509.625</v>
      </c>
      <c r="B453" s="5">
        <f>IFERROR(__xludf.DUMMYFUNCTION("""COMPUTED_VALUE"""),9575.0)</f>
        <v>9575</v>
      </c>
      <c r="C453" s="5">
        <f>IFERROR(__xludf.DUMMYFUNCTION("""COMPUTED_VALUE"""),9700.0)</f>
        <v>9700</v>
      </c>
      <c r="D453" s="5">
        <f>IFERROR(__xludf.DUMMYFUNCTION("""COMPUTED_VALUE"""),9475.0)</f>
        <v>9475</v>
      </c>
      <c r="E453" s="5">
        <f>IFERROR(__xludf.DUMMYFUNCTION("""COMPUTED_VALUE"""),9650.0)</f>
        <v>9650</v>
      </c>
      <c r="F453" s="5">
        <f>IFERROR(__xludf.DUMMYFUNCTION("""COMPUTED_VALUE"""),1.41302E7)</f>
        <v>14130200</v>
      </c>
      <c r="G453" s="5">
        <f t="shared" si="1"/>
        <v>225</v>
      </c>
    </row>
    <row r="454">
      <c r="A454" s="4">
        <f>IFERROR(__xludf.DUMMYFUNCTION("""COMPUTED_VALUE"""),44510.625)</f>
        <v>44510.625</v>
      </c>
      <c r="B454" s="5">
        <f>IFERROR(__xludf.DUMMYFUNCTION("""COMPUTED_VALUE"""),9650.0)</f>
        <v>9650</v>
      </c>
      <c r="C454" s="5">
        <f>IFERROR(__xludf.DUMMYFUNCTION("""COMPUTED_VALUE"""),9675.0)</f>
        <v>9675</v>
      </c>
      <c r="D454" s="5">
        <f>IFERROR(__xludf.DUMMYFUNCTION("""COMPUTED_VALUE"""),9550.0)</f>
        <v>9550</v>
      </c>
      <c r="E454" s="5">
        <f>IFERROR(__xludf.DUMMYFUNCTION("""COMPUTED_VALUE"""),9575.0)</f>
        <v>9575</v>
      </c>
      <c r="F454" s="5">
        <f>IFERROR(__xludf.DUMMYFUNCTION("""COMPUTED_VALUE"""),5053700.0)</f>
        <v>5053700</v>
      </c>
      <c r="G454" s="5">
        <f t="shared" si="1"/>
        <v>125</v>
      </c>
    </row>
    <row r="455">
      <c r="A455" s="4">
        <f>IFERROR(__xludf.DUMMYFUNCTION("""COMPUTED_VALUE"""),44511.625)</f>
        <v>44511.625</v>
      </c>
      <c r="B455" s="5">
        <f>IFERROR(__xludf.DUMMYFUNCTION("""COMPUTED_VALUE"""),9575.0)</f>
        <v>9575</v>
      </c>
      <c r="C455" s="5">
        <f>IFERROR(__xludf.DUMMYFUNCTION("""COMPUTED_VALUE"""),9650.0)</f>
        <v>9650</v>
      </c>
      <c r="D455" s="5">
        <f>IFERROR(__xludf.DUMMYFUNCTION("""COMPUTED_VALUE"""),9350.0)</f>
        <v>9350</v>
      </c>
      <c r="E455" s="5">
        <f>IFERROR(__xludf.DUMMYFUNCTION("""COMPUTED_VALUE"""),9425.0)</f>
        <v>9425</v>
      </c>
      <c r="F455" s="5">
        <f>IFERROR(__xludf.DUMMYFUNCTION("""COMPUTED_VALUE"""),7488200.0)</f>
        <v>7488200</v>
      </c>
      <c r="G455" s="5">
        <f t="shared" si="1"/>
        <v>300</v>
      </c>
    </row>
    <row r="456">
      <c r="A456" s="4">
        <f>IFERROR(__xludf.DUMMYFUNCTION("""COMPUTED_VALUE"""),44512.625)</f>
        <v>44512.625</v>
      </c>
      <c r="B456" s="5">
        <f>IFERROR(__xludf.DUMMYFUNCTION("""COMPUTED_VALUE"""),9425.0)</f>
        <v>9425</v>
      </c>
      <c r="C456" s="5">
        <f>IFERROR(__xludf.DUMMYFUNCTION("""COMPUTED_VALUE"""),9500.0)</f>
        <v>9500</v>
      </c>
      <c r="D456" s="5">
        <f>IFERROR(__xludf.DUMMYFUNCTION("""COMPUTED_VALUE"""),9300.0)</f>
        <v>9300</v>
      </c>
      <c r="E456" s="5">
        <f>IFERROR(__xludf.DUMMYFUNCTION("""COMPUTED_VALUE"""),9425.0)</f>
        <v>9425</v>
      </c>
      <c r="F456" s="5">
        <f>IFERROR(__xludf.DUMMYFUNCTION("""COMPUTED_VALUE"""),7270400.0)</f>
        <v>7270400</v>
      </c>
      <c r="G456" s="5">
        <f t="shared" si="1"/>
        <v>200</v>
      </c>
    </row>
    <row r="457">
      <c r="A457" s="4">
        <f>IFERROR(__xludf.DUMMYFUNCTION("""COMPUTED_VALUE"""),44515.625)</f>
        <v>44515.625</v>
      </c>
      <c r="B457" s="5">
        <f>IFERROR(__xludf.DUMMYFUNCTION("""COMPUTED_VALUE"""),9475.0)</f>
        <v>9475</v>
      </c>
      <c r="C457" s="5">
        <f>IFERROR(__xludf.DUMMYFUNCTION("""COMPUTED_VALUE"""),9500.0)</f>
        <v>9500</v>
      </c>
      <c r="D457" s="5">
        <f>IFERROR(__xludf.DUMMYFUNCTION("""COMPUTED_VALUE"""),9125.0)</f>
        <v>9125</v>
      </c>
      <c r="E457" s="5">
        <f>IFERROR(__xludf.DUMMYFUNCTION("""COMPUTED_VALUE"""),9200.0)</f>
        <v>9200</v>
      </c>
      <c r="F457" s="5">
        <f>IFERROR(__xludf.DUMMYFUNCTION("""COMPUTED_VALUE"""),8134400.0)</f>
        <v>8134400</v>
      </c>
      <c r="G457" s="5">
        <f t="shared" si="1"/>
        <v>375</v>
      </c>
    </row>
    <row r="458">
      <c r="A458" s="4">
        <f>IFERROR(__xludf.DUMMYFUNCTION("""COMPUTED_VALUE"""),44516.625)</f>
        <v>44516.625</v>
      </c>
      <c r="B458" s="5">
        <f>IFERROR(__xludf.DUMMYFUNCTION("""COMPUTED_VALUE"""),9200.0)</f>
        <v>9200</v>
      </c>
      <c r="C458" s="5">
        <f>IFERROR(__xludf.DUMMYFUNCTION("""COMPUTED_VALUE"""),9375.0)</f>
        <v>9375</v>
      </c>
      <c r="D458" s="5">
        <f>IFERROR(__xludf.DUMMYFUNCTION("""COMPUTED_VALUE"""),9100.0)</f>
        <v>9100</v>
      </c>
      <c r="E458" s="5">
        <f>IFERROR(__xludf.DUMMYFUNCTION("""COMPUTED_VALUE"""),9175.0)</f>
        <v>9175</v>
      </c>
      <c r="F458" s="5">
        <f>IFERROR(__xludf.DUMMYFUNCTION("""COMPUTED_VALUE"""),7298700.0)</f>
        <v>7298700</v>
      </c>
      <c r="G458" s="5">
        <f t="shared" si="1"/>
        <v>275</v>
      </c>
    </row>
    <row r="459">
      <c r="A459" s="4">
        <f>IFERROR(__xludf.DUMMYFUNCTION("""COMPUTED_VALUE"""),44517.625)</f>
        <v>44517.625</v>
      </c>
      <c r="B459" s="5">
        <f>IFERROR(__xludf.DUMMYFUNCTION("""COMPUTED_VALUE"""),9175.0)</f>
        <v>9175</v>
      </c>
      <c r="C459" s="5">
        <f>IFERROR(__xludf.DUMMYFUNCTION("""COMPUTED_VALUE"""),9225.0)</f>
        <v>9225</v>
      </c>
      <c r="D459" s="5">
        <f>IFERROR(__xludf.DUMMYFUNCTION("""COMPUTED_VALUE"""),8925.0)</f>
        <v>8925</v>
      </c>
      <c r="E459" s="5">
        <f>IFERROR(__xludf.DUMMYFUNCTION("""COMPUTED_VALUE"""),9050.0)</f>
        <v>9050</v>
      </c>
      <c r="F459" s="5">
        <f>IFERROR(__xludf.DUMMYFUNCTION("""COMPUTED_VALUE"""),1.64504E7)</f>
        <v>16450400</v>
      </c>
      <c r="G459" s="5">
        <f t="shared" si="1"/>
        <v>300</v>
      </c>
    </row>
    <row r="460">
      <c r="A460" s="4">
        <f>IFERROR(__xludf.DUMMYFUNCTION("""COMPUTED_VALUE"""),44518.625)</f>
        <v>44518.625</v>
      </c>
      <c r="B460" s="5">
        <f>IFERROR(__xludf.DUMMYFUNCTION("""COMPUTED_VALUE"""),9050.0)</f>
        <v>9050</v>
      </c>
      <c r="C460" s="5">
        <f>IFERROR(__xludf.DUMMYFUNCTION("""COMPUTED_VALUE"""),9125.0)</f>
        <v>9125</v>
      </c>
      <c r="D460" s="5">
        <f>IFERROR(__xludf.DUMMYFUNCTION("""COMPUTED_VALUE"""),8925.0)</f>
        <v>8925</v>
      </c>
      <c r="E460" s="5">
        <f>IFERROR(__xludf.DUMMYFUNCTION("""COMPUTED_VALUE"""),8975.0)</f>
        <v>8975</v>
      </c>
      <c r="F460" s="5">
        <f>IFERROR(__xludf.DUMMYFUNCTION("""COMPUTED_VALUE"""),7162300.0)</f>
        <v>7162300</v>
      </c>
      <c r="G460" s="5">
        <f t="shared" si="1"/>
        <v>200</v>
      </c>
    </row>
    <row r="461">
      <c r="A461" s="4">
        <f>IFERROR(__xludf.DUMMYFUNCTION("""COMPUTED_VALUE"""),44519.625)</f>
        <v>44519.625</v>
      </c>
      <c r="B461" s="5">
        <f>IFERROR(__xludf.DUMMYFUNCTION("""COMPUTED_VALUE"""),8975.0)</f>
        <v>8975</v>
      </c>
      <c r="C461" s="5">
        <f>IFERROR(__xludf.DUMMYFUNCTION("""COMPUTED_VALUE"""),9075.0)</f>
        <v>9075</v>
      </c>
      <c r="D461" s="5">
        <f>IFERROR(__xludf.DUMMYFUNCTION("""COMPUTED_VALUE"""),8900.0)</f>
        <v>8900</v>
      </c>
      <c r="E461" s="5">
        <f>IFERROR(__xludf.DUMMYFUNCTION("""COMPUTED_VALUE"""),8950.0)</f>
        <v>8950</v>
      </c>
      <c r="F461" s="5">
        <f>IFERROR(__xludf.DUMMYFUNCTION("""COMPUTED_VALUE"""),9034600.0)</f>
        <v>9034600</v>
      </c>
      <c r="G461" s="5">
        <f t="shared" si="1"/>
        <v>175</v>
      </c>
    </row>
    <row r="462">
      <c r="A462" s="4">
        <f>IFERROR(__xludf.DUMMYFUNCTION("""COMPUTED_VALUE"""),44522.625)</f>
        <v>44522.625</v>
      </c>
      <c r="B462" s="5">
        <f>IFERROR(__xludf.DUMMYFUNCTION("""COMPUTED_VALUE"""),8975.0)</f>
        <v>8975</v>
      </c>
      <c r="C462" s="5">
        <f>IFERROR(__xludf.DUMMYFUNCTION("""COMPUTED_VALUE"""),9025.0)</f>
        <v>9025</v>
      </c>
      <c r="D462" s="5">
        <f>IFERROR(__xludf.DUMMYFUNCTION("""COMPUTED_VALUE"""),8925.0)</f>
        <v>8925</v>
      </c>
      <c r="E462" s="5">
        <f>IFERROR(__xludf.DUMMYFUNCTION("""COMPUTED_VALUE"""),8925.0)</f>
        <v>8925</v>
      </c>
      <c r="F462" s="5">
        <f>IFERROR(__xludf.DUMMYFUNCTION("""COMPUTED_VALUE"""),9252400.0)</f>
        <v>9252400</v>
      </c>
      <c r="G462" s="5">
        <f t="shared" si="1"/>
        <v>100</v>
      </c>
    </row>
    <row r="463">
      <c r="A463" s="4">
        <f>IFERROR(__xludf.DUMMYFUNCTION("""COMPUTED_VALUE"""),44523.625)</f>
        <v>44523.625</v>
      </c>
      <c r="B463" s="5">
        <f>IFERROR(__xludf.DUMMYFUNCTION("""COMPUTED_VALUE"""),8925.0)</f>
        <v>8925</v>
      </c>
      <c r="C463" s="5">
        <f>IFERROR(__xludf.DUMMYFUNCTION("""COMPUTED_VALUE"""),8950.0)</f>
        <v>8950</v>
      </c>
      <c r="D463" s="5">
        <f>IFERROR(__xludf.DUMMYFUNCTION("""COMPUTED_VALUE"""),8450.0)</f>
        <v>8450</v>
      </c>
      <c r="E463" s="5">
        <f>IFERROR(__xludf.DUMMYFUNCTION("""COMPUTED_VALUE"""),8550.0)</f>
        <v>8550</v>
      </c>
      <c r="F463" s="5">
        <f>IFERROR(__xludf.DUMMYFUNCTION("""COMPUTED_VALUE"""),3.45036E7)</f>
        <v>34503600</v>
      </c>
      <c r="G463" s="5">
        <f t="shared" si="1"/>
        <v>500</v>
      </c>
    </row>
    <row r="464">
      <c r="A464" s="4">
        <f>IFERROR(__xludf.DUMMYFUNCTION("""COMPUTED_VALUE"""),44524.625)</f>
        <v>44524.625</v>
      </c>
      <c r="B464" s="5">
        <f>IFERROR(__xludf.DUMMYFUNCTION("""COMPUTED_VALUE"""),8550.0)</f>
        <v>8550</v>
      </c>
      <c r="C464" s="5">
        <f>IFERROR(__xludf.DUMMYFUNCTION("""COMPUTED_VALUE"""),8725.0)</f>
        <v>8725</v>
      </c>
      <c r="D464" s="5">
        <f>IFERROR(__xludf.DUMMYFUNCTION("""COMPUTED_VALUE"""),8475.0)</f>
        <v>8475</v>
      </c>
      <c r="E464" s="5">
        <f>IFERROR(__xludf.DUMMYFUNCTION("""COMPUTED_VALUE"""),8575.0)</f>
        <v>8575</v>
      </c>
      <c r="F464" s="5">
        <f>IFERROR(__xludf.DUMMYFUNCTION("""COMPUTED_VALUE"""),2.16042E7)</f>
        <v>21604200</v>
      </c>
      <c r="G464" s="5">
        <f t="shared" si="1"/>
        <v>250</v>
      </c>
    </row>
    <row r="465">
      <c r="A465" s="4">
        <f>IFERROR(__xludf.DUMMYFUNCTION("""COMPUTED_VALUE"""),44525.625)</f>
        <v>44525.625</v>
      </c>
      <c r="B465" s="5">
        <f>IFERROR(__xludf.DUMMYFUNCTION("""COMPUTED_VALUE"""),8600.0)</f>
        <v>8600</v>
      </c>
      <c r="C465" s="5">
        <f>IFERROR(__xludf.DUMMYFUNCTION("""COMPUTED_VALUE"""),8650.0)</f>
        <v>8650</v>
      </c>
      <c r="D465" s="5">
        <f>IFERROR(__xludf.DUMMYFUNCTION("""COMPUTED_VALUE"""),8500.0)</f>
        <v>8500</v>
      </c>
      <c r="E465" s="5">
        <f>IFERROR(__xludf.DUMMYFUNCTION("""COMPUTED_VALUE"""),8525.0)</f>
        <v>8525</v>
      </c>
      <c r="F465" s="5">
        <f>IFERROR(__xludf.DUMMYFUNCTION("""COMPUTED_VALUE"""),1.10273E7)</f>
        <v>11027300</v>
      </c>
      <c r="G465" s="5">
        <f t="shared" si="1"/>
        <v>150</v>
      </c>
    </row>
    <row r="466">
      <c r="A466" s="4">
        <f>IFERROR(__xludf.DUMMYFUNCTION("""COMPUTED_VALUE"""),44526.625)</f>
        <v>44526.625</v>
      </c>
      <c r="B466" s="5">
        <f>IFERROR(__xludf.DUMMYFUNCTION("""COMPUTED_VALUE"""),8500.0)</f>
        <v>8500</v>
      </c>
      <c r="C466" s="5">
        <f>IFERROR(__xludf.DUMMYFUNCTION("""COMPUTED_VALUE"""),8500.0)</f>
        <v>8500</v>
      </c>
      <c r="D466" s="5">
        <f>IFERROR(__xludf.DUMMYFUNCTION("""COMPUTED_VALUE"""),8200.0)</f>
        <v>8200</v>
      </c>
      <c r="E466" s="5">
        <f>IFERROR(__xludf.DUMMYFUNCTION("""COMPUTED_VALUE"""),8275.0)</f>
        <v>8275</v>
      </c>
      <c r="F466" s="5">
        <f>IFERROR(__xludf.DUMMYFUNCTION("""COMPUTED_VALUE"""),1.98644E7)</f>
        <v>19864400</v>
      </c>
      <c r="G466" s="5">
        <f t="shared" si="1"/>
        <v>325</v>
      </c>
    </row>
    <row r="467">
      <c r="A467" s="4">
        <f>IFERROR(__xludf.DUMMYFUNCTION("""COMPUTED_VALUE"""),44529.625)</f>
        <v>44529.625</v>
      </c>
      <c r="B467" s="5">
        <f>IFERROR(__xludf.DUMMYFUNCTION("""COMPUTED_VALUE"""),8250.0)</f>
        <v>8250</v>
      </c>
      <c r="C467" s="5">
        <f>IFERROR(__xludf.DUMMYFUNCTION("""COMPUTED_VALUE"""),8300.0)</f>
        <v>8300</v>
      </c>
      <c r="D467" s="5">
        <f>IFERROR(__xludf.DUMMYFUNCTION("""COMPUTED_VALUE"""),8125.0)</f>
        <v>8125</v>
      </c>
      <c r="E467" s="5">
        <f>IFERROR(__xludf.DUMMYFUNCTION("""COMPUTED_VALUE"""),8200.0)</f>
        <v>8200</v>
      </c>
      <c r="F467" s="5">
        <f>IFERROR(__xludf.DUMMYFUNCTION("""COMPUTED_VALUE"""),1.34299E7)</f>
        <v>13429900</v>
      </c>
      <c r="G467" s="5">
        <f t="shared" si="1"/>
        <v>175</v>
      </c>
    </row>
    <row r="468">
      <c r="A468" s="4">
        <f>IFERROR(__xludf.DUMMYFUNCTION("""COMPUTED_VALUE"""),44530.625)</f>
        <v>44530.625</v>
      </c>
      <c r="B468" s="5">
        <f>IFERROR(__xludf.DUMMYFUNCTION("""COMPUTED_VALUE"""),8225.0)</f>
        <v>8225</v>
      </c>
      <c r="C468" s="5">
        <f>IFERROR(__xludf.DUMMYFUNCTION("""COMPUTED_VALUE"""),8425.0)</f>
        <v>8425</v>
      </c>
      <c r="D468" s="5">
        <f>IFERROR(__xludf.DUMMYFUNCTION("""COMPUTED_VALUE"""),8000.0)</f>
        <v>8000</v>
      </c>
      <c r="E468" s="5">
        <f>IFERROR(__xludf.DUMMYFUNCTION("""COMPUTED_VALUE"""),8000.0)</f>
        <v>8000</v>
      </c>
      <c r="F468" s="5">
        <f>IFERROR(__xludf.DUMMYFUNCTION("""COMPUTED_VALUE"""),3.57565E7)</f>
        <v>35756500</v>
      </c>
      <c r="G468" s="5">
        <f t="shared" si="1"/>
        <v>425</v>
      </c>
    </row>
    <row r="469">
      <c r="A469" s="4">
        <f>IFERROR(__xludf.DUMMYFUNCTION("""COMPUTED_VALUE"""),44531.66666666667)</f>
        <v>44531.66667</v>
      </c>
      <c r="B469" s="5">
        <f>IFERROR(__xludf.DUMMYFUNCTION("""COMPUTED_VALUE"""),8050.0)</f>
        <v>8050</v>
      </c>
      <c r="C469" s="5">
        <f>IFERROR(__xludf.DUMMYFUNCTION("""COMPUTED_VALUE"""),8225.0)</f>
        <v>8225</v>
      </c>
      <c r="D469" s="5">
        <f>IFERROR(__xludf.DUMMYFUNCTION("""COMPUTED_VALUE"""),8025.0)</f>
        <v>8025</v>
      </c>
      <c r="E469" s="5">
        <f>IFERROR(__xludf.DUMMYFUNCTION("""COMPUTED_VALUE"""),8100.0)</f>
        <v>8100</v>
      </c>
      <c r="F469" s="5">
        <f>IFERROR(__xludf.DUMMYFUNCTION("""COMPUTED_VALUE"""),1.76477E7)</f>
        <v>17647700</v>
      </c>
      <c r="G469" s="5">
        <f t="shared" si="1"/>
        <v>225</v>
      </c>
    </row>
    <row r="470">
      <c r="A470" s="4">
        <f>IFERROR(__xludf.DUMMYFUNCTION("""COMPUTED_VALUE"""),44532.66666666667)</f>
        <v>44532.66667</v>
      </c>
      <c r="B470" s="5">
        <f>IFERROR(__xludf.DUMMYFUNCTION("""COMPUTED_VALUE"""),8075.0)</f>
        <v>8075</v>
      </c>
      <c r="C470" s="5">
        <f>IFERROR(__xludf.DUMMYFUNCTION("""COMPUTED_VALUE"""),8175.0)</f>
        <v>8175</v>
      </c>
      <c r="D470" s="5">
        <f>IFERROR(__xludf.DUMMYFUNCTION("""COMPUTED_VALUE"""),8000.0)</f>
        <v>8000</v>
      </c>
      <c r="E470" s="5">
        <f>IFERROR(__xludf.DUMMYFUNCTION("""COMPUTED_VALUE"""),8075.0)</f>
        <v>8075</v>
      </c>
      <c r="F470" s="5">
        <f>IFERROR(__xludf.DUMMYFUNCTION("""COMPUTED_VALUE"""),1.44796E7)</f>
        <v>14479600</v>
      </c>
      <c r="G470" s="5">
        <f t="shared" si="1"/>
        <v>175</v>
      </c>
    </row>
    <row r="471">
      <c r="A471" s="4">
        <f>IFERROR(__xludf.DUMMYFUNCTION("""COMPUTED_VALUE"""),44533.66666666667)</f>
        <v>44533.66667</v>
      </c>
      <c r="B471" s="5">
        <f>IFERROR(__xludf.DUMMYFUNCTION("""COMPUTED_VALUE"""),8100.0)</f>
        <v>8100</v>
      </c>
      <c r="C471" s="5">
        <f>IFERROR(__xludf.DUMMYFUNCTION("""COMPUTED_VALUE"""),8150.0)</f>
        <v>8150</v>
      </c>
      <c r="D471" s="5">
        <f>IFERROR(__xludf.DUMMYFUNCTION("""COMPUTED_VALUE"""),7900.0)</f>
        <v>7900</v>
      </c>
      <c r="E471" s="5">
        <f>IFERROR(__xludf.DUMMYFUNCTION("""COMPUTED_VALUE"""),7900.0)</f>
        <v>7900</v>
      </c>
      <c r="F471" s="5">
        <f>IFERROR(__xludf.DUMMYFUNCTION("""COMPUTED_VALUE"""),3.90058E7)</f>
        <v>39005800</v>
      </c>
      <c r="G471" s="5">
        <f t="shared" si="1"/>
        <v>250</v>
      </c>
    </row>
    <row r="472">
      <c r="A472" s="4">
        <f>IFERROR(__xludf.DUMMYFUNCTION("""COMPUTED_VALUE"""),44536.66666666667)</f>
        <v>44536.66667</v>
      </c>
      <c r="B472" s="5">
        <f>IFERROR(__xludf.DUMMYFUNCTION("""COMPUTED_VALUE"""),7950.0)</f>
        <v>7950</v>
      </c>
      <c r="C472" s="5">
        <f>IFERROR(__xludf.DUMMYFUNCTION("""COMPUTED_VALUE"""),8275.0)</f>
        <v>8275</v>
      </c>
      <c r="D472" s="5">
        <f>IFERROR(__xludf.DUMMYFUNCTION("""COMPUTED_VALUE"""),7925.0)</f>
        <v>7925</v>
      </c>
      <c r="E472" s="5">
        <f>IFERROR(__xludf.DUMMYFUNCTION("""COMPUTED_VALUE"""),8125.0)</f>
        <v>8125</v>
      </c>
      <c r="F472" s="5">
        <f>IFERROR(__xludf.DUMMYFUNCTION("""COMPUTED_VALUE"""),2.80361E7)</f>
        <v>28036100</v>
      </c>
      <c r="G472" s="5">
        <f t="shared" si="1"/>
        <v>375</v>
      </c>
    </row>
    <row r="473">
      <c r="A473" s="4">
        <f>IFERROR(__xludf.DUMMYFUNCTION("""COMPUTED_VALUE"""),44537.66666666667)</f>
        <v>44537.66667</v>
      </c>
      <c r="B473" s="5">
        <f>IFERROR(__xludf.DUMMYFUNCTION("""COMPUTED_VALUE"""),8200.0)</f>
        <v>8200</v>
      </c>
      <c r="C473" s="5">
        <f>IFERROR(__xludf.DUMMYFUNCTION("""COMPUTED_VALUE"""),8225.0)</f>
        <v>8225</v>
      </c>
      <c r="D473" s="5">
        <f>IFERROR(__xludf.DUMMYFUNCTION("""COMPUTED_VALUE"""),8025.0)</f>
        <v>8025</v>
      </c>
      <c r="E473" s="5">
        <f>IFERROR(__xludf.DUMMYFUNCTION("""COMPUTED_VALUE"""),8075.0)</f>
        <v>8075</v>
      </c>
      <c r="F473" s="5">
        <f>IFERROR(__xludf.DUMMYFUNCTION("""COMPUTED_VALUE"""),1.60065E7)</f>
        <v>16006500</v>
      </c>
      <c r="G473" s="5">
        <f t="shared" si="1"/>
        <v>200</v>
      </c>
    </row>
    <row r="474">
      <c r="A474" s="4">
        <f>IFERROR(__xludf.DUMMYFUNCTION("""COMPUTED_VALUE"""),44538.66666666667)</f>
        <v>44538.66667</v>
      </c>
      <c r="B474" s="5">
        <f>IFERROR(__xludf.DUMMYFUNCTION("""COMPUTED_VALUE"""),8125.0)</f>
        <v>8125</v>
      </c>
      <c r="C474" s="5">
        <f>IFERROR(__xludf.DUMMYFUNCTION("""COMPUTED_VALUE"""),8150.0)</f>
        <v>8150</v>
      </c>
      <c r="D474" s="5">
        <f>IFERROR(__xludf.DUMMYFUNCTION("""COMPUTED_VALUE"""),8025.0)</f>
        <v>8025</v>
      </c>
      <c r="E474" s="5">
        <f>IFERROR(__xludf.DUMMYFUNCTION("""COMPUTED_VALUE"""),8025.0)</f>
        <v>8025</v>
      </c>
      <c r="F474" s="5">
        <f>IFERROR(__xludf.DUMMYFUNCTION("""COMPUTED_VALUE"""),1.17563E7)</f>
        <v>11756300</v>
      </c>
      <c r="G474" s="5">
        <f t="shared" si="1"/>
        <v>125</v>
      </c>
    </row>
    <row r="475">
      <c r="A475" s="4">
        <f>IFERROR(__xludf.DUMMYFUNCTION("""COMPUTED_VALUE"""),44539.66666666667)</f>
        <v>44539.66667</v>
      </c>
      <c r="B475" s="5">
        <f>IFERROR(__xludf.DUMMYFUNCTION("""COMPUTED_VALUE"""),8050.0)</f>
        <v>8050</v>
      </c>
      <c r="C475" s="5">
        <f>IFERROR(__xludf.DUMMYFUNCTION("""COMPUTED_VALUE"""),8075.0)</f>
        <v>8075</v>
      </c>
      <c r="D475" s="5">
        <f>IFERROR(__xludf.DUMMYFUNCTION("""COMPUTED_VALUE"""),7950.0)</f>
        <v>7950</v>
      </c>
      <c r="E475" s="5">
        <f>IFERROR(__xludf.DUMMYFUNCTION("""COMPUTED_VALUE"""),8025.0)</f>
        <v>8025</v>
      </c>
      <c r="F475" s="5">
        <f>IFERROR(__xludf.DUMMYFUNCTION("""COMPUTED_VALUE"""),1.22153E7)</f>
        <v>12215300</v>
      </c>
      <c r="G475" s="5">
        <f t="shared" si="1"/>
        <v>125</v>
      </c>
    </row>
    <row r="476">
      <c r="A476" s="4">
        <f>IFERROR(__xludf.DUMMYFUNCTION("""COMPUTED_VALUE"""),44540.66666666667)</f>
        <v>44540.66667</v>
      </c>
      <c r="B476" s="5">
        <f>IFERROR(__xludf.DUMMYFUNCTION("""COMPUTED_VALUE"""),8000.0)</f>
        <v>8000</v>
      </c>
      <c r="C476" s="5">
        <f>IFERROR(__xludf.DUMMYFUNCTION("""COMPUTED_VALUE"""),8025.0)</f>
        <v>8025</v>
      </c>
      <c r="D476" s="5">
        <f>IFERROR(__xludf.DUMMYFUNCTION("""COMPUTED_VALUE"""),7850.0)</f>
        <v>7850</v>
      </c>
      <c r="E476" s="5">
        <f>IFERROR(__xludf.DUMMYFUNCTION("""COMPUTED_VALUE"""),7875.0)</f>
        <v>7875</v>
      </c>
      <c r="F476" s="5">
        <f>IFERROR(__xludf.DUMMYFUNCTION("""COMPUTED_VALUE"""),2.07593E7)</f>
        <v>20759300</v>
      </c>
      <c r="G476" s="5">
        <f t="shared" si="1"/>
        <v>175</v>
      </c>
    </row>
    <row r="477">
      <c r="A477" s="4">
        <f>IFERROR(__xludf.DUMMYFUNCTION("""COMPUTED_VALUE"""),44543.66666666667)</f>
        <v>44543.66667</v>
      </c>
      <c r="B477" s="5">
        <f>IFERROR(__xludf.DUMMYFUNCTION("""COMPUTED_VALUE"""),7925.0)</f>
        <v>7925</v>
      </c>
      <c r="C477" s="5">
        <f>IFERROR(__xludf.DUMMYFUNCTION("""COMPUTED_VALUE"""),8175.0)</f>
        <v>8175</v>
      </c>
      <c r="D477" s="5">
        <f>IFERROR(__xludf.DUMMYFUNCTION("""COMPUTED_VALUE"""),7900.0)</f>
        <v>7900</v>
      </c>
      <c r="E477" s="5">
        <f>IFERROR(__xludf.DUMMYFUNCTION("""COMPUTED_VALUE"""),7900.0)</f>
        <v>7900</v>
      </c>
      <c r="F477" s="5">
        <f>IFERROR(__xludf.DUMMYFUNCTION("""COMPUTED_VALUE"""),4.55692E7)</f>
        <v>45569200</v>
      </c>
      <c r="G477" s="5">
        <f t="shared" si="1"/>
        <v>300</v>
      </c>
    </row>
    <row r="478">
      <c r="A478" s="4">
        <f>IFERROR(__xludf.DUMMYFUNCTION("""COMPUTED_VALUE"""),44544.66666666667)</f>
        <v>44544.66667</v>
      </c>
      <c r="B478" s="5">
        <f>IFERROR(__xludf.DUMMYFUNCTION("""COMPUTED_VALUE"""),7925.0)</f>
        <v>7925</v>
      </c>
      <c r="C478" s="5">
        <f>IFERROR(__xludf.DUMMYFUNCTION("""COMPUTED_VALUE"""),7950.0)</f>
        <v>7950</v>
      </c>
      <c r="D478" s="5">
        <f>IFERROR(__xludf.DUMMYFUNCTION("""COMPUTED_VALUE"""),7725.0)</f>
        <v>7725</v>
      </c>
      <c r="E478" s="5">
        <f>IFERROR(__xludf.DUMMYFUNCTION("""COMPUTED_VALUE"""),7750.0)</f>
        <v>7750</v>
      </c>
      <c r="F478" s="5">
        <f>IFERROR(__xludf.DUMMYFUNCTION("""COMPUTED_VALUE"""),2.95742E7)</f>
        <v>29574200</v>
      </c>
      <c r="G478" s="5">
        <f t="shared" si="1"/>
        <v>225</v>
      </c>
    </row>
    <row r="479">
      <c r="A479" s="4">
        <f>IFERROR(__xludf.DUMMYFUNCTION("""COMPUTED_VALUE"""),44545.66666666667)</f>
        <v>44545.66667</v>
      </c>
      <c r="B479" s="5">
        <f>IFERROR(__xludf.DUMMYFUNCTION("""COMPUTED_VALUE"""),7775.0)</f>
        <v>7775</v>
      </c>
      <c r="C479" s="5">
        <f>IFERROR(__xludf.DUMMYFUNCTION("""COMPUTED_VALUE"""),7825.0)</f>
        <v>7825</v>
      </c>
      <c r="D479" s="5">
        <f>IFERROR(__xludf.DUMMYFUNCTION("""COMPUTED_VALUE"""),7650.0)</f>
        <v>7650</v>
      </c>
      <c r="E479" s="5">
        <f>IFERROR(__xludf.DUMMYFUNCTION("""COMPUTED_VALUE"""),7700.0)</f>
        <v>7700</v>
      </c>
      <c r="F479" s="5">
        <f>IFERROR(__xludf.DUMMYFUNCTION("""COMPUTED_VALUE"""),2.04762E7)</f>
        <v>20476200</v>
      </c>
      <c r="G479" s="5">
        <f t="shared" si="1"/>
        <v>175</v>
      </c>
    </row>
    <row r="480">
      <c r="A480" s="4">
        <f>IFERROR(__xludf.DUMMYFUNCTION("""COMPUTED_VALUE"""),44546.66666666667)</f>
        <v>44546.66667</v>
      </c>
      <c r="B480" s="5">
        <f>IFERROR(__xludf.DUMMYFUNCTION("""COMPUTED_VALUE"""),7800.0)</f>
        <v>7800</v>
      </c>
      <c r="C480" s="5">
        <f>IFERROR(__xludf.DUMMYFUNCTION("""COMPUTED_VALUE"""),7800.0)</f>
        <v>7800</v>
      </c>
      <c r="D480" s="5">
        <f>IFERROR(__xludf.DUMMYFUNCTION("""COMPUTED_VALUE"""),7500.0)</f>
        <v>7500</v>
      </c>
      <c r="E480" s="5">
        <f>IFERROR(__xludf.DUMMYFUNCTION("""COMPUTED_VALUE"""),7575.0)</f>
        <v>7575</v>
      </c>
      <c r="F480" s="5">
        <f>IFERROR(__xludf.DUMMYFUNCTION("""COMPUTED_VALUE"""),2.11087E7)</f>
        <v>21108700</v>
      </c>
      <c r="G480" s="5">
        <f t="shared" si="1"/>
        <v>300</v>
      </c>
    </row>
    <row r="481">
      <c r="A481" s="4">
        <f>IFERROR(__xludf.DUMMYFUNCTION("""COMPUTED_VALUE"""),44547.66666666667)</f>
        <v>44547.66667</v>
      </c>
      <c r="B481" s="5">
        <f>IFERROR(__xludf.DUMMYFUNCTION("""COMPUTED_VALUE"""),7500.0)</f>
        <v>7500</v>
      </c>
      <c r="C481" s="5">
        <f>IFERROR(__xludf.DUMMYFUNCTION("""COMPUTED_VALUE"""),7625.0)</f>
        <v>7625</v>
      </c>
      <c r="D481" s="5">
        <f>IFERROR(__xludf.DUMMYFUNCTION("""COMPUTED_VALUE"""),7425.0)</f>
        <v>7425</v>
      </c>
      <c r="E481" s="5">
        <f>IFERROR(__xludf.DUMMYFUNCTION("""COMPUTED_VALUE"""),7425.0)</f>
        <v>7425</v>
      </c>
      <c r="F481" s="5">
        <f>IFERROR(__xludf.DUMMYFUNCTION("""COMPUTED_VALUE"""),2.31312E7)</f>
        <v>23131200</v>
      </c>
      <c r="G481" s="5">
        <f t="shared" si="1"/>
        <v>200</v>
      </c>
    </row>
    <row r="482">
      <c r="A482" s="4">
        <f>IFERROR(__xludf.DUMMYFUNCTION("""COMPUTED_VALUE"""),44550.66666666667)</f>
        <v>44550.66667</v>
      </c>
      <c r="B482" s="5">
        <f>IFERROR(__xludf.DUMMYFUNCTION("""COMPUTED_VALUE"""),7400.0)</f>
        <v>7400</v>
      </c>
      <c r="C482" s="5">
        <f>IFERROR(__xludf.DUMMYFUNCTION("""COMPUTED_VALUE"""),7525.0)</f>
        <v>7525</v>
      </c>
      <c r="D482" s="5">
        <f>IFERROR(__xludf.DUMMYFUNCTION("""COMPUTED_VALUE"""),7275.0)</f>
        <v>7275</v>
      </c>
      <c r="E482" s="5">
        <f>IFERROR(__xludf.DUMMYFUNCTION("""COMPUTED_VALUE"""),7325.0)</f>
        <v>7325</v>
      </c>
      <c r="F482" s="5">
        <f>IFERROR(__xludf.DUMMYFUNCTION("""COMPUTED_VALUE"""),1.21328E7)</f>
        <v>12132800</v>
      </c>
      <c r="G482" s="5">
        <f t="shared" si="1"/>
        <v>250</v>
      </c>
    </row>
    <row r="483">
      <c r="A483" s="4">
        <f>IFERROR(__xludf.DUMMYFUNCTION("""COMPUTED_VALUE"""),44551.66666666667)</f>
        <v>44551.66667</v>
      </c>
      <c r="B483" s="5">
        <f>IFERROR(__xludf.DUMMYFUNCTION("""COMPUTED_VALUE"""),7325.0)</f>
        <v>7325</v>
      </c>
      <c r="C483" s="5">
        <f>IFERROR(__xludf.DUMMYFUNCTION("""COMPUTED_VALUE"""),7500.0)</f>
        <v>7500</v>
      </c>
      <c r="D483" s="5">
        <f>IFERROR(__xludf.DUMMYFUNCTION("""COMPUTED_VALUE"""),7325.0)</f>
        <v>7325</v>
      </c>
      <c r="E483" s="5">
        <f>IFERROR(__xludf.DUMMYFUNCTION("""COMPUTED_VALUE"""),7425.0)</f>
        <v>7425</v>
      </c>
      <c r="F483" s="5">
        <f>IFERROR(__xludf.DUMMYFUNCTION("""COMPUTED_VALUE"""),1.33789E7)</f>
        <v>13378900</v>
      </c>
      <c r="G483" s="5">
        <f t="shared" si="1"/>
        <v>175</v>
      </c>
    </row>
    <row r="484">
      <c r="A484" s="4">
        <f>IFERROR(__xludf.DUMMYFUNCTION("""COMPUTED_VALUE"""),44552.66666666667)</f>
        <v>44552.66667</v>
      </c>
      <c r="B484" s="5">
        <f>IFERROR(__xludf.DUMMYFUNCTION("""COMPUTED_VALUE"""),7500.0)</f>
        <v>7500</v>
      </c>
      <c r="C484" s="5">
        <f>IFERROR(__xludf.DUMMYFUNCTION("""COMPUTED_VALUE"""),7525.0)</f>
        <v>7525</v>
      </c>
      <c r="D484" s="5">
        <f>IFERROR(__xludf.DUMMYFUNCTION("""COMPUTED_VALUE"""),7225.0)</f>
        <v>7225</v>
      </c>
      <c r="E484" s="5">
        <f>IFERROR(__xludf.DUMMYFUNCTION("""COMPUTED_VALUE"""),7250.0)</f>
        <v>7250</v>
      </c>
      <c r="F484" s="5">
        <f>IFERROR(__xludf.DUMMYFUNCTION("""COMPUTED_VALUE"""),1.84555E7)</f>
        <v>18455500</v>
      </c>
      <c r="G484" s="5">
        <f t="shared" si="1"/>
        <v>300</v>
      </c>
    </row>
    <row r="485">
      <c r="A485" s="4">
        <f>IFERROR(__xludf.DUMMYFUNCTION("""COMPUTED_VALUE"""),44553.66666666667)</f>
        <v>44553.66667</v>
      </c>
      <c r="B485" s="5">
        <f>IFERROR(__xludf.DUMMYFUNCTION("""COMPUTED_VALUE"""),7250.0)</f>
        <v>7250</v>
      </c>
      <c r="C485" s="5">
        <f>IFERROR(__xludf.DUMMYFUNCTION("""COMPUTED_VALUE"""),7375.0)</f>
        <v>7375</v>
      </c>
      <c r="D485" s="5">
        <f>IFERROR(__xludf.DUMMYFUNCTION("""COMPUTED_VALUE"""),7250.0)</f>
        <v>7250</v>
      </c>
      <c r="E485" s="5">
        <f>IFERROR(__xludf.DUMMYFUNCTION("""COMPUTED_VALUE"""),7300.0)</f>
        <v>7300</v>
      </c>
      <c r="F485" s="5">
        <f>IFERROR(__xludf.DUMMYFUNCTION("""COMPUTED_VALUE"""),8105300.0)</f>
        <v>8105300</v>
      </c>
      <c r="G485" s="5">
        <f t="shared" si="1"/>
        <v>125</v>
      </c>
    </row>
    <row r="486">
      <c r="A486" s="4">
        <f>IFERROR(__xludf.DUMMYFUNCTION("""COMPUTED_VALUE"""),44554.66666666667)</f>
        <v>44554.66667</v>
      </c>
      <c r="B486" s="5">
        <f>IFERROR(__xludf.DUMMYFUNCTION("""COMPUTED_VALUE"""),7325.0)</f>
        <v>7325</v>
      </c>
      <c r="C486" s="5">
        <f>IFERROR(__xludf.DUMMYFUNCTION("""COMPUTED_VALUE"""),7400.0)</f>
        <v>7400</v>
      </c>
      <c r="D486" s="5">
        <f>IFERROR(__xludf.DUMMYFUNCTION("""COMPUTED_VALUE"""),7250.0)</f>
        <v>7250</v>
      </c>
      <c r="E486" s="5">
        <f>IFERROR(__xludf.DUMMYFUNCTION("""COMPUTED_VALUE"""),7275.0)</f>
        <v>7275</v>
      </c>
      <c r="F486" s="5">
        <f>IFERROR(__xludf.DUMMYFUNCTION("""COMPUTED_VALUE"""),5367300.0)</f>
        <v>5367300</v>
      </c>
      <c r="G486" s="5">
        <f t="shared" si="1"/>
        <v>150</v>
      </c>
    </row>
    <row r="487">
      <c r="A487" s="4">
        <f>IFERROR(__xludf.DUMMYFUNCTION("""COMPUTED_VALUE"""),44557.66666666667)</f>
        <v>44557.66667</v>
      </c>
      <c r="B487" s="5">
        <f>IFERROR(__xludf.DUMMYFUNCTION("""COMPUTED_VALUE"""),7300.0)</f>
        <v>7300</v>
      </c>
      <c r="C487" s="5">
        <f>IFERROR(__xludf.DUMMYFUNCTION("""COMPUTED_VALUE"""),7500.0)</f>
        <v>7500</v>
      </c>
      <c r="D487" s="5">
        <f>IFERROR(__xludf.DUMMYFUNCTION("""COMPUTED_VALUE"""),7300.0)</f>
        <v>7300</v>
      </c>
      <c r="E487" s="5">
        <f>IFERROR(__xludf.DUMMYFUNCTION("""COMPUTED_VALUE"""),7400.0)</f>
        <v>7400</v>
      </c>
      <c r="F487" s="5">
        <f>IFERROR(__xludf.DUMMYFUNCTION("""COMPUTED_VALUE"""),1.51247E7)</f>
        <v>15124700</v>
      </c>
      <c r="G487" s="5">
        <f t="shared" si="1"/>
        <v>225</v>
      </c>
    </row>
    <row r="488">
      <c r="A488" s="4">
        <f>IFERROR(__xludf.DUMMYFUNCTION("""COMPUTED_VALUE"""),44558.66666666667)</f>
        <v>44558.66667</v>
      </c>
      <c r="B488" s="5">
        <f>IFERROR(__xludf.DUMMYFUNCTION("""COMPUTED_VALUE"""),7450.0)</f>
        <v>7450</v>
      </c>
      <c r="C488" s="5">
        <f>IFERROR(__xludf.DUMMYFUNCTION("""COMPUTED_VALUE"""),7475.0)</f>
        <v>7475</v>
      </c>
      <c r="D488" s="5">
        <f>IFERROR(__xludf.DUMMYFUNCTION("""COMPUTED_VALUE"""),7350.0)</f>
        <v>7350</v>
      </c>
      <c r="E488" s="5">
        <f>IFERROR(__xludf.DUMMYFUNCTION("""COMPUTED_VALUE"""),7350.0)</f>
        <v>7350</v>
      </c>
      <c r="F488" s="5">
        <f>IFERROR(__xludf.DUMMYFUNCTION("""COMPUTED_VALUE"""),1.18084E7)</f>
        <v>11808400</v>
      </c>
      <c r="G488" s="5">
        <f t="shared" si="1"/>
        <v>125</v>
      </c>
    </row>
    <row r="489">
      <c r="A489" s="4">
        <f>IFERROR(__xludf.DUMMYFUNCTION("""COMPUTED_VALUE"""),44559.66666666667)</f>
        <v>44559.66667</v>
      </c>
      <c r="B489" s="5">
        <f>IFERROR(__xludf.DUMMYFUNCTION("""COMPUTED_VALUE"""),7350.0)</f>
        <v>7350</v>
      </c>
      <c r="C489" s="5">
        <f>IFERROR(__xludf.DUMMYFUNCTION("""COMPUTED_VALUE"""),7375.0)</f>
        <v>7375</v>
      </c>
      <c r="D489" s="5">
        <f>IFERROR(__xludf.DUMMYFUNCTION("""COMPUTED_VALUE"""),7175.0)</f>
        <v>7175</v>
      </c>
      <c r="E489" s="5">
        <f>IFERROR(__xludf.DUMMYFUNCTION("""COMPUTED_VALUE"""),7225.0)</f>
        <v>7225</v>
      </c>
      <c r="F489" s="5">
        <f>IFERROR(__xludf.DUMMYFUNCTION("""COMPUTED_VALUE"""),1.14012E7)</f>
        <v>11401200</v>
      </c>
      <c r="G489" s="5">
        <f t="shared" si="1"/>
        <v>200</v>
      </c>
    </row>
    <row r="490">
      <c r="A490" s="4">
        <f>IFERROR(__xludf.DUMMYFUNCTION("""COMPUTED_VALUE"""),44560.66666666667)</f>
        <v>44560.66667</v>
      </c>
      <c r="B490" s="5">
        <f>IFERROR(__xludf.DUMMYFUNCTION("""COMPUTED_VALUE"""),7225.0)</f>
        <v>7225</v>
      </c>
      <c r="C490" s="5">
        <f>IFERROR(__xludf.DUMMYFUNCTION("""COMPUTED_VALUE"""),7325.0)</f>
        <v>7325</v>
      </c>
      <c r="D490" s="5">
        <f>IFERROR(__xludf.DUMMYFUNCTION("""COMPUTED_VALUE"""),7225.0)</f>
        <v>7225</v>
      </c>
      <c r="E490" s="5">
        <f>IFERROR(__xludf.DUMMYFUNCTION("""COMPUTED_VALUE"""),7250.0)</f>
        <v>7250</v>
      </c>
      <c r="F490" s="5">
        <f>IFERROR(__xludf.DUMMYFUNCTION("""COMPUTED_VALUE"""),8855200.0)</f>
        <v>8855200</v>
      </c>
      <c r="G490" s="5">
        <f t="shared" si="1"/>
        <v>100</v>
      </c>
    </row>
    <row r="491">
      <c r="A491" s="4">
        <f>IFERROR(__xludf.DUMMYFUNCTION("""COMPUTED_VALUE"""),44564.66666666667)</f>
        <v>44564.66667</v>
      </c>
      <c r="B491" s="5">
        <f>IFERROR(__xludf.DUMMYFUNCTION("""COMPUTED_VALUE"""),7300.0)</f>
        <v>7300</v>
      </c>
      <c r="C491" s="5">
        <f>IFERROR(__xludf.DUMMYFUNCTION("""COMPUTED_VALUE"""),7350.0)</f>
        <v>7350</v>
      </c>
      <c r="D491" s="5">
        <f>IFERROR(__xludf.DUMMYFUNCTION("""COMPUTED_VALUE"""),7250.0)</f>
        <v>7250</v>
      </c>
      <c r="E491" s="5">
        <f>IFERROR(__xludf.DUMMYFUNCTION("""COMPUTED_VALUE"""),7275.0)</f>
        <v>7275</v>
      </c>
      <c r="F491" s="5">
        <f>IFERROR(__xludf.DUMMYFUNCTION("""COMPUTED_VALUE"""),7153100.0)</f>
        <v>7153100</v>
      </c>
      <c r="G491" s="5">
        <f t="shared" si="1"/>
        <v>100</v>
      </c>
    </row>
    <row r="492">
      <c r="A492" s="4">
        <f>IFERROR(__xludf.DUMMYFUNCTION("""COMPUTED_VALUE"""),44565.66666666667)</f>
        <v>44565.66667</v>
      </c>
      <c r="B492" s="5">
        <f>IFERROR(__xludf.DUMMYFUNCTION("""COMPUTED_VALUE"""),7300.0)</f>
        <v>7300</v>
      </c>
      <c r="C492" s="5">
        <f>IFERROR(__xludf.DUMMYFUNCTION("""COMPUTED_VALUE"""),7525.0)</f>
        <v>7525</v>
      </c>
      <c r="D492" s="5">
        <f>IFERROR(__xludf.DUMMYFUNCTION("""COMPUTED_VALUE"""),7300.0)</f>
        <v>7300</v>
      </c>
      <c r="E492" s="5">
        <f>IFERROR(__xludf.DUMMYFUNCTION("""COMPUTED_VALUE"""),7375.0)</f>
        <v>7375</v>
      </c>
      <c r="F492" s="5">
        <f>IFERROR(__xludf.DUMMYFUNCTION("""COMPUTED_VALUE"""),1.53728E7)</f>
        <v>15372800</v>
      </c>
      <c r="G492" s="5">
        <f t="shared" si="1"/>
        <v>250</v>
      </c>
    </row>
    <row r="493">
      <c r="A493" s="4">
        <f>IFERROR(__xludf.DUMMYFUNCTION("""COMPUTED_VALUE"""),44566.66666666667)</f>
        <v>44566.66667</v>
      </c>
      <c r="B493" s="5">
        <f>IFERROR(__xludf.DUMMYFUNCTION("""COMPUTED_VALUE"""),7425.0)</f>
        <v>7425</v>
      </c>
      <c r="C493" s="5">
        <f>IFERROR(__xludf.DUMMYFUNCTION("""COMPUTED_VALUE"""),7425.0)</f>
        <v>7425</v>
      </c>
      <c r="D493" s="5">
        <f>IFERROR(__xludf.DUMMYFUNCTION("""COMPUTED_VALUE"""),7200.0)</f>
        <v>7200</v>
      </c>
      <c r="E493" s="5">
        <f>IFERROR(__xludf.DUMMYFUNCTION("""COMPUTED_VALUE"""),7225.0)</f>
        <v>7225</v>
      </c>
      <c r="F493" s="5">
        <f>IFERROR(__xludf.DUMMYFUNCTION("""COMPUTED_VALUE"""),1.2084E7)</f>
        <v>12084000</v>
      </c>
      <c r="G493" s="5">
        <f t="shared" si="1"/>
        <v>225</v>
      </c>
    </row>
    <row r="494">
      <c r="A494" s="4">
        <f>IFERROR(__xludf.DUMMYFUNCTION("""COMPUTED_VALUE"""),44567.66666666667)</f>
        <v>44567.66667</v>
      </c>
      <c r="B494" s="5">
        <f>IFERROR(__xludf.DUMMYFUNCTION("""COMPUTED_VALUE"""),7200.0)</f>
        <v>7200</v>
      </c>
      <c r="C494" s="5">
        <f>IFERROR(__xludf.DUMMYFUNCTION("""COMPUTED_VALUE"""),7300.0)</f>
        <v>7300</v>
      </c>
      <c r="D494" s="5">
        <f>IFERROR(__xludf.DUMMYFUNCTION("""COMPUTED_VALUE"""),7050.0)</f>
        <v>7050</v>
      </c>
      <c r="E494" s="5">
        <f>IFERROR(__xludf.DUMMYFUNCTION("""COMPUTED_VALUE"""),7175.0)</f>
        <v>7175</v>
      </c>
      <c r="F494" s="5">
        <f>IFERROR(__xludf.DUMMYFUNCTION("""COMPUTED_VALUE"""),1.32436E7)</f>
        <v>13243600</v>
      </c>
      <c r="G494" s="5">
        <f t="shared" si="1"/>
        <v>250</v>
      </c>
    </row>
    <row r="495">
      <c r="A495" s="4">
        <f>IFERROR(__xludf.DUMMYFUNCTION("""COMPUTED_VALUE"""),44568.66666666667)</f>
        <v>44568.66667</v>
      </c>
      <c r="B495" s="5">
        <f>IFERROR(__xludf.DUMMYFUNCTION("""COMPUTED_VALUE"""),7175.0)</f>
        <v>7175</v>
      </c>
      <c r="C495" s="5">
        <f>IFERROR(__xludf.DUMMYFUNCTION("""COMPUTED_VALUE"""),7250.0)</f>
        <v>7250</v>
      </c>
      <c r="D495" s="5">
        <f>IFERROR(__xludf.DUMMYFUNCTION("""COMPUTED_VALUE"""),7100.0)</f>
        <v>7100</v>
      </c>
      <c r="E495" s="5">
        <f>IFERROR(__xludf.DUMMYFUNCTION("""COMPUTED_VALUE"""),7150.0)</f>
        <v>7150</v>
      </c>
      <c r="F495" s="5">
        <f>IFERROR(__xludf.DUMMYFUNCTION("""COMPUTED_VALUE"""),1.63489E7)</f>
        <v>16348900</v>
      </c>
      <c r="G495" s="5">
        <f t="shared" si="1"/>
        <v>150</v>
      </c>
    </row>
    <row r="496">
      <c r="A496" s="4">
        <f>IFERROR(__xludf.DUMMYFUNCTION("""COMPUTED_VALUE"""),44571.66666666667)</f>
        <v>44571.66667</v>
      </c>
      <c r="B496" s="5">
        <f>IFERROR(__xludf.DUMMYFUNCTION("""COMPUTED_VALUE"""),7150.0)</f>
        <v>7150</v>
      </c>
      <c r="C496" s="5">
        <f>IFERROR(__xludf.DUMMYFUNCTION("""COMPUTED_VALUE"""),7200.0)</f>
        <v>7200</v>
      </c>
      <c r="D496" s="5">
        <f>IFERROR(__xludf.DUMMYFUNCTION("""COMPUTED_VALUE"""),7100.0)</f>
        <v>7100</v>
      </c>
      <c r="E496" s="5">
        <f>IFERROR(__xludf.DUMMYFUNCTION("""COMPUTED_VALUE"""),7100.0)</f>
        <v>7100</v>
      </c>
      <c r="F496" s="5">
        <f>IFERROR(__xludf.DUMMYFUNCTION("""COMPUTED_VALUE"""),7171300.0)</f>
        <v>7171300</v>
      </c>
      <c r="G496" s="5">
        <f t="shared" si="1"/>
        <v>100</v>
      </c>
    </row>
    <row r="497">
      <c r="A497" s="4">
        <f>IFERROR(__xludf.DUMMYFUNCTION("""COMPUTED_VALUE"""),44572.66666666667)</f>
        <v>44572.66667</v>
      </c>
      <c r="B497" s="5">
        <f>IFERROR(__xludf.DUMMYFUNCTION("""COMPUTED_VALUE"""),7100.0)</f>
        <v>7100</v>
      </c>
      <c r="C497" s="5">
        <f>IFERROR(__xludf.DUMMYFUNCTION("""COMPUTED_VALUE"""),7125.0)</f>
        <v>7125</v>
      </c>
      <c r="D497" s="5">
        <f>IFERROR(__xludf.DUMMYFUNCTION("""COMPUTED_VALUE"""),6925.0)</f>
        <v>6925</v>
      </c>
      <c r="E497" s="5">
        <f>IFERROR(__xludf.DUMMYFUNCTION("""COMPUTED_VALUE"""),6950.0)</f>
        <v>6950</v>
      </c>
      <c r="F497" s="5">
        <f>IFERROR(__xludf.DUMMYFUNCTION("""COMPUTED_VALUE"""),2.04653E7)</f>
        <v>20465300</v>
      </c>
      <c r="G497" s="5">
        <f t="shared" si="1"/>
        <v>200</v>
      </c>
    </row>
    <row r="498">
      <c r="A498" s="4">
        <f>IFERROR(__xludf.DUMMYFUNCTION("""COMPUTED_VALUE"""),44573.66666666667)</f>
        <v>44573.66667</v>
      </c>
      <c r="B498" s="5">
        <f>IFERROR(__xludf.DUMMYFUNCTION("""COMPUTED_VALUE"""),6975.0)</f>
        <v>6975</v>
      </c>
      <c r="C498" s="5">
        <f>IFERROR(__xludf.DUMMYFUNCTION("""COMPUTED_VALUE"""),7025.0)</f>
        <v>7025</v>
      </c>
      <c r="D498" s="5">
        <f>IFERROR(__xludf.DUMMYFUNCTION("""COMPUTED_VALUE"""),6850.0)</f>
        <v>6850</v>
      </c>
      <c r="E498" s="5">
        <f>IFERROR(__xludf.DUMMYFUNCTION("""COMPUTED_VALUE"""),6975.0)</f>
        <v>6975</v>
      </c>
      <c r="F498" s="5">
        <f>IFERROR(__xludf.DUMMYFUNCTION("""COMPUTED_VALUE"""),1.20527E7)</f>
        <v>12052700</v>
      </c>
      <c r="G498" s="5">
        <f t="shared" si="1"/>
        <v>175</v>
      </c>
    </row>
    <row r="499">
      <c r="A499" s="4">
        <f>IFERROR(__xludf.DUMMYFUNCTION("""COMPUTED_VALUE"""),44574.66666666667)</f>
        <v>44574.66667</v>
      </c>
      <c r="B499" s="5">
        <f>IFERROR(__xludf.DUMMYFUNCTION("""COMPUTED_VALUE"""),6975.0)</f>
        <v>6975</v>
      </c>
      <c r="C499" s="5">
        <f>IFERROR(__xludf.DUMMYFUNCTION("""COMPUTED_VALUE"""),7125.0)</f>
        <v>7125</v>
      </c>
      <c r="D499" s="5">
        <f>IFERROR(__xludf.DUMMYFUNCTION("""COMPUTED_VALUE"""),6925.0)</f>
        <v>6925</v>
      </c>
      <c r="E499" s="5">
        <f>IFERROR(__xludf.DUMMYFUNCTION("""COMPUTED_VALUE"""),7075.0)</f>
        <v>7075</v>
      </c>
      <c r="F499" s="5">
        <f>IFERROR(__xludf.DUMMYFUNCTION("""COMPUTED_VALUE"""),1.12239E7)</f>
        <v>11223900</v>
      </c>
      <c r="G499" s="5">
        <f t="shared" si="1"/>
        <v>200</v>
      </c>
    </row>
    <row r="500">
      <c r="A500" s="4">
        <f>IFERROR(__xludf.DUMMYFUNCTION("""COMPUTED_VALUE"""),44575.66666666667)</f>
        <v>44575.66667</v>
      </c>
      <c r="B500" s="5">
        <f>IFERROR(__xludf.DUMMYFUNCTION("""COMPUTED_VALUE"""),7050.0)</f>
        <v>7050</v>
      </c>
      <c r="C500" s="5">
        <f>IFERROR(__xludf.DUMMYFUNCTION("""COMPUTED_VALUE"""),7075.0)</f>
        <v>7075</v>
      </c>
      <c r="D500" s="5">
        <f>IFERROR(__xludf.DUMMYFUNCTION("""COMPUTED_VALUE"""),6925.0)</f>
        <v>6925</v>
      </c>
      <c r="E500" s="5">
        <f>IFERROR(__xludf.DUMMYFUNCTION("""COMPUTED_VALUE"""),7000.0)</f>
        <v>7000</v>
      </c>
      <c r="F500" s="5">
        <f>IFERROR(__xludf.DUMMYFUNCTION("""COMPUTED_VALUE"""),8689200.0)</f>
        <v>8689200</v>
      </c>
      <c r="G500" s="5">
        <f t="shared" si="1"/>
        <v>150</v>
      </c>
    </row>
    <row r="501">
      <c r="A501" s="4">
        <f>IFERROR(__xludf.DUMMYFUNCTION("""COMPUTED_VALUE"""),44578.66666666667)</f>
        <v>44578.66667</v>
      </c>
      <c r="B501" s="5">
        <f>IFERROR(__xludf.DUMMYFUNCTION("""COMPUTED_VALUE"""),7000.0)</f>
        <v>7000</v>
      </c>
      <c r="C501" s="5">
        <f>IFERROR(__xludf.DUMMYFUNCTION("""COMPUTED_VALUE"""),7000.0)</f>
        <v>7000</v>
      </c>
      <c r="D501" s="5">
        <f>IFERROR(__xludf.DUMMYFUNCTION("""COMPUTED_VALUE"""),6800.0)</f>
        <v>6800</v>
      </c>
      <c r="E501" s="5">
        <f>IFERROR(__xludf.DUMMYFUNCTION("""COMPUTED_VALUE"""),6825.0)</f>
        <v>6825</v>
      </c>
      <c r="F501" s="5">
        <f>IFERROR(__xludf.DUMMYFUNCTION("""COMPUTED_VALUE"""),1.22108E7)</f>
        <v>12210800</v>
      </c>
      <c r="G501" s="5">
        <f t="shared" si="1"/>
        <v>200</v>
      </c>
    </row>
    <row r="502">
      <c r="A502" s="4">
        <f>IFERROR(__xludf.DUMMYFUNCTION("""COMPUTED_VALUE"""),44579.66666666667)</f>
        <v>44579.66667</v>
      </c>
      <c r="B502" s="5">
        <f>IFERROR(__xludf.DUMMYFUNCTION("""COMPUTED_VALUE"""),6825.0)</f>
        <v>6825</v>
      </c>
      <c r="C502" s="5">
        <f>IFERROR(__xludf.DUMMYFUNCTION("""COMPUTED_VALUE"""),6850.0)</f>
        <v>6850</v>
      </c>
      <c r="D502" s="5">
        <f>IFERROR(__xludf.DUMMYFUNCTION("""COMPUTED_VALUE"""),6625.0)</f>
        <v>6625</v>
      </c>
      <c r="E502" s="5">
        <f>IFERROR(__xludf.DUMMYFUNCTION("""COMPUTED_VALUE"""),6725.0)</f>
        <v>6725</v>
      </c>
      <c r="F502" s="5">
        <f>IFERROR(__xludf.DUMMYFUNCTION("""COMPUTED_VALUE"""),1.30608E7)</f>
        <v>13060800</v>
      </c>
      <c r="G502" s="5">
        <f t="shared" si="1"/>
        <v>225</v>
      </c>
    </row>
    <row r="503">
      <c r="A503" s="4">
        <f>IFERROR(__xludf.DUMMYFUNCTION("""COMPUTED_VALUE"""),44580.66666666667)</f>
        <v>44580.66667</v>
      </c>
      <c r="B503" s="5">
        <f>IFERROR(__xludf.DUMMYFUNCTION("""COMPUTED_VALUE"""),6725.0)</f>
        <v>6725</v>
      </c>
      <c r="C503" s="5">
        <f>IFERROR(__xludf.DUMMYFUNCTION("""COMPUTED_VALUE"""),6825.0)</f>
        <v>6825</v>
      </c>
      <c r="D503" s="5">
        <f>IFERROR(__xludf.DUMMYFUNCTION("""COMPUTED_VALUE"""),6625.0)</f>
        <v>6625</v>
      </c>
      <c r="E503" s="5">
        <f>IFERROR(__xludf.DUMMYFUNCTION("""COMPUTED_VALUE"""),6675.0)</f>
        <v>6675</v>
      </c>
      <c r="F503" s="5">
        <f>IFERROR(__xludf.DUMMYFUNCTION("""COMPUTED_VALUE"""),1.31726E7)</f>
        <v>13172600</v>
      </c>
      <c r="G503" s="5">
        <f t="shared" si="1"/>
        <v>200</v>
      </c>
    </row>
    <row r="504">
      <c r="A504" s="4">
        <f>IFERROR(__xludf.DUMMYFUNCTION("""COMPUTED_VALUE"""),44581.66666666667)</f>
        <v>44581.66667</v>
      </c>
      <c r="B504" s="5">
        <f>IFERROR(__xludf.DUMMYFUNCTION("""COMPUTED_VALUE"""),6675.0)</f>
        <v>6675</v>
      </c>
      <c r="C504" s="5">
        <f>IFERROR(__xludf.DUMMYFUNCTION("""COMPUTED_VALUE"""),6675.0)</f>
        <v>6675</v>
      </c>
      <c r="D504" s="5">
        <f>IFERROR(__xludf.DUMMYFUNCTION("""COMPUTED_VALUE"""),6550.0)</f>
        <v>6550</v>
      </c>
      <c r="E504" s="5">
        <f>IFERROR(__xludf.DUMMYFUNCTION("""COMPUTED_VALUE"""),6625.0)</f>
        <v>6625</v>
      </c>
      <c r="F504" s="5">
        <f>IFERROR(__xludf.DUMMYFUNCTION("""COMPUTED_VALUE"""),1.33868E7)</f>
        <v>13386800</v>
      </c>
      <c r="G504" s="5">
        <f t="shared" si="1"/>
        <v>125</v>
      </c>
    </row>
    <row r="505">
      <c r="A505" s="4">
        <f>IFERROR(__xludf.DUMMYFUNCTION("""COMPUTED_VALUE"""),44582.66666666667)</f>
        <v>44582.66667</v>
      </c>
      <c r="B505" s="5">
        <f>IFERROR(__xludf.DUMMYFUNCTION("""COMPUTED_VALUE"""),6550.0)</f>
        <v>6550</v>
      </c>
      <c r="C505" s="5">
        <f>IFERROR(__xludf.DUMMYFUNCTION("""COMPUTED_VALUE"""),7025.0)</f>
        <v>7025</v>
      </c>
      <c r="D505" s="5">
        <f>IFERROR(__xludf.DUMMYFUNCTION("""COMPUTED_VALUE"""),6550.0)</f>
        <v>6550</v>
      </c>
      <c r="E505" s="5">
        <f>IFERROR(__xludf.DUMMYFUNCTION("""COMPUTED_VALUE"""),6925.0)</f>
        <v>6925</v>
      </c>
      <c r="F505" s="5">
        <f>IFERROR(__xludf.DUMMYFUNCTION("""COMPUTED_VALUE"""),2.60135E7)</f>
        <v>26013500</v>
      </c>
      <c r="G505" s="5">
        <f t="shared" si="1"/>
        <v>475</v>
      </c>
    </row>
    <row r="506">
      <c r="A506" s="4">
        <f>IFERROR(__xludf.DUMMYFUNCTION("""COMPUTED_VALUE"""),44585.66666666667)</f>
        <v>44585.66667</v>
      </c>
      <c r="B506" s="5">
        <f>IFERROR(__xludf.DUMMYFUNCTION("""COMPUTED_VALUE"""),6925.0)</f>
        <v>6925</v>
      </c>
      <c r="C506" s="5">
        <f>IFERROR(__xludf.DUMMYFUNCTION("""COMPUTED_VALUE"""),7000.0)</f>
        <v>7000</v>
      </c>
      <c r="D506" s="5">
        <f>IFERROR(__xludf.DUMMYFUNCTION("""COMPUTED_VALUE"""),6850.0)</f>
        <v>6850</v>
      </c>
      <c r="E506" s="5">
        <f>IFERROR(__xludf.DUMMYFUNCTION("""COMPUTED_VALUE"""),6975.0)</f>
        <v>6975</v>
      </c>
      <c r="F506" s="5">
        <f>IFERROR(__xludf.DUMMYFUNCTION("""COMPUTED_VALUE"""),9760400.0)</f>
        <v>9760400</v>
      </c>
      <c r="G506" s="5">
        <f t="shared" si="1"/>
        <v>150</v>
      </c>
    </row>
    <row r="507">
      <c r="A507" s="4">
        <f>IFERROR(__xludf.DUMMYFUNCTION("""COMPUTED_VALUE"""),44586.66666666667)</f>
        <v>44586.66667</v>
      </c>
      <c r="B507" s="5">
        <f>IFERROR(__xludf.DUMMYFUNCTION("""COMPUTED_VALUE"""),6925.0)</f>
        <v>6925</v>
      </c>
      <c r="C507" s="5">
        <f>IFERROR(__xludf.DUMMYFUNCTION("""COMPUTED_VALUE"""),7025.0)</f>
        <v>7025</v>
      </c>
      <c r="D507" s="5">
        <f>IFERROR(__xludf.DUMMYFUNCTION("""COMPUTED_VALUE"""),6725.0)</f>
        <v>6725</v>
      </c>
      <c r="E507" s="5">
        <f>IFERROR(__xludf.DUMMYFUNCTION("""COMPUTED_VALUE"""),6800.0)</f>
        <v>6800</v>
      </c>
      <c r="F507" s="5">
        <f>IFERROR(__xludf.DUMMYFUNCTION("""COMPUTED_VALUE"""),1.3639E7)</f>
        <v>13639000</v>
      </c>
      <c r="G507" s="5">
        <f t="shared" si="1"/>
        <v>300</v>
      </c>
    </row>
    <row r="508">
      <c r="A508" s="4">
        <f>IFERROR(__xludf.DUMMYFUNCTION("""COMPUTED_VALUE"""),44587.66666666667)</f>
        <v>44587.66667</v>
      </c>
      <c r="B508" s="5">
        <f>IFERROR(__xludf.DUMMYFUNCTION("""COMPUTED_VALUE"""),6800.0)</f>
        <v>6800</v>
      </c>
      <c r="C508" s="5">
        <f>IFERROR(__xludf.DUMMYFUNCTION("""COMPUTED_VALUE"""),6925.0)</f>
        <v>6925</v>
      </c>
      <c r="D508" s="5">
        <f>IFERROR(__xludf.DUMMYFUNCTION("""COMPUTED_VALUE"""),6775.0)</f>
        <v>6775</v>
      </c>
      <c r="E508" s="5">
        <f>IFERROR(__xludf.DUMMYFUNCTION("""COMPUTED_VALUE"""),6875.0)</f>
        <v>6875</v>
      </c>
      <c r="F508" s="5">
        <f>IFERROR(__xludf.DUMMYFUNCTION("""COMPUTED_VALUE"""),6709200.0)</f>
        <v>6709200</v>
      </c>
      <c r="G508" s="5">
        <f t="shared" si="1"/>
        <v>150</v>
      </c>
    </row>
    <row r="509">
      <c r="A509" s="4">
        <f>IFERROR(__xludf.DUMMYFUNCTION("""COMPUTED_VALUE"""),44588.66666666667)</f>
        <v>44588.66667</v>
      </c>
      <c r="B509" s="5">
        <f>IFERROR(__xludf.DUMMYFUNCTION("""COMPUTED_VALUE"""),6850.0)</f>
        <v>6850</v>
      </c>
      <c r="C509" s="5">
        <f>IFERROR(__xludf.DUMMYFUNCTION("""COMPUTED_VALUE"""),6925.0)</f>
        <v>6925</v>
      </c>
      <c r="D509" s="5">
        <f>IFERROR(__xludf.DUMMYFUNCTION("""COMPUTED_VALUE"""),6700.0)</f>
        <v>6700</v>
      </c>
      <c r="E509" s="5">
        <f>IFERROR(__xludf.DUMMYFUNCTION("""COMPUTED_VALUE"""),6750.0)</f>
        <v>6750</v>
      </c>
      <c r="F509" s="5">
        <f>IFERROR(__xludf.DUMMYFUNCTION("""COMPUTED_VALUE"""),9275500.0)</f>
        <v>9275500</v>
      </c>
      <c r="G509" s="5">
        <f t="shared" si="1"/>
        <v>225</v>
      </c>
    </row>
    <row r="510">
      <c r="A510" s="4">
        <f>IFERROR(__xludf.DUMMYFUNCTION("""COMPUTED_VALUE"""),44589.66666666667)</f>
        <v>44589.66667</v>
      </c>
      <c r="B510" s="5">
        <f>IFERROR(__xludf.DUMMYFUNCTION("""COMPUTED_VALUE"""),6750.0)</f>
        <v>6750</v>
      </c>
      <c r="C510" s="5">
        <f>IFERROR(__xludf.DUMMYFUNCTION("""COMPUTED_VALUE"""),6850.0)</f>
        <v>6850</v>
      </c>
      <c r="D510" s="5">
        <f>IFERROR(__xludf.DUMMYFUNCTION("""COMPUTED_VALUE"""),6725.0)</f>
        <v>6725</v>
      </c>
      <c r="E510" s="5">
        <f>IFERROR(__xludf.DUMMYFUNCTION("""COMPUTED_VALUE"""),6825.0)</f>
        <v>6825</v>
      </c>
      <c r="F510" s="5">
        <f>IFERROR(__xludf.DUMMYFUNCTION("""COMPUTED_VALUE"""),6805700.0)</f>
        <v>6805700</v>
      </c>
      <c r="G510" s="5">
        <f t="shared" si="1"/>
        <v>125</v>
      </c>
    </row>
    <row r="511">
      <c r="A511" s="4">
        <f>IFERROR(__xludf.DUMMYFUNCTION("""COMPUTED_VALUE"""),44592.66666666667)</f>
        <v>44592.66667</v>
      </c>
      <c r="B511" s="5">
        <f>IFERROR(__xludf.DUMMYFUNCTION("""COMPUTED_VALUE"""),6825.0)</f>
        <v>6825</v>
      </c>
      <c r="C511" s="5">
        <f>IFERROR(__xludf.DUMMYFUNCTION("""COMPUTED_VALUE"""),6825.0)</f>
        <v>6825</v>
      </c>
      <c r="D511" s="5">
        <f>IFERROR(__xludf.DUMMYFUNCTION("""COMPUTED_VALUE"""),6650.0)</f>
        <v>6650</v>
      </c>
      <c r="E511" s="5">
        <f>IFERROR(__xludf.DUMMYFUNCTION("""COMPUTED_VALUE"""),6725.0)</f>
        <v>6725</v>
      </c>
      <c r="F511" s="5">
        <f>IFERROR(__xludf.DUMMYFUNCTION("""COMPUTED_VALUE"""),8183300.0)</f>
        <v>8183300</v>
      </c>
      <c r="G511" s="5">
        <f t="shared" si="1"/>
        <v>175</v>
      </c>
    </row>
    <row r="512">
      <c r="A512" s="4">
        <f>IFERROR(__xludf.DUMMYFUNCTION("""COMPUTED_VALUE"""),44594.66666666667)</f>
        <v>44594.66667</v>
      </c>
      <c r="B512" s="5">
        <f>IFERROR(__xludf.DUMMYFUNCTION("""COMPUTED_VALUE"""),6725.0)</f>
        <v>6725</v>
      </c>
      <c r="C512" s="5">
        <f>IFERROR(__xludf.DUMMYFUNCTION("""COMPUTED_VALUE"""),6925.0)</f>
        <v>6925</v>
      </c>
      <c r="D512" s="5">
        <f>IFERROR(__xludf.DUMMYFUNCTION("""COMPUTED_VALUE"""),6725.0)</f>
        <v>6725</v>
      </c>
      <c r="E512" s="5">
        <f>IFERROR(__xludf.DUMMYFUNCTION("""COMPUTED_VALUE"""),6875.0)</f>
        <v>6875</v>
      </c>
      <c r="F512" s="5">
        <f>IFERROR(__xludf.DUMMYFUNCTION("""COMPUTED_VALUE"""),9062000.0)</f>
        <v>9062000</v>
      </c>
      <c r="G512" s="5">
        <f t="shared" si="1"/>
        <v>200</v>
      </c>
    </row>
    <row r="513">
      <c r="A513" s="4">
        <f>IFERROR(__xludf.DUMMYFUNCTION("""COMPUTED_VALUE"""),44595.66666666667)</f>
        <v>44595.66667</v>
      </c>
      <c r="B513" s="5">
        <f>IFERROR(__xludf.DUMMYFUNCTION("""COMPUTED_VALUE"""),6850.0)</f>
        <v>6850</v>
      </c>
      <c r="C513" s="5">
        <f>IFERROR(__xludf.DUMMYFUNCTION("""COMPUTED_VALUE"""),6950.0)</f>
        <v>6950</v>
      </c>
      <c r="D513" s="5">
        <f>IFERROR(__xludf.DUMMYFUNCTION("""COMPUTED_VALUE"""),6725.0)</f>
        <v>6725</v>
      </c>
      <c r="E513" s="5">
        <f>IFERROR(__xludf.DUMMYFUNCTION("""COMPUTED_VALUE"""),6900.0)</f>
        <v>6900</v>
      </c>
      <c r="F513" s="5">
        <f>IFERROR(__xludf.DUMMYFUNCTION("""COMPUTED_VALUE"""),9951200.0)</f>
        <v>9951200</v>
      </c>
      <c r="G513" s="5">
        <f t="shared" si="1"/>
        <v>225</v>
      </c>
    </row>
    <row r="514">
      <c r="A514" s="4">
        <f>IFERROR(__xludf.DUMMYFUNCTION("""COMPUTED_VALUE"""),44596.66666666667)</f>
        <v>44596.66667</v>
      </c>
      <c r="B514" s="5">
        <f>IFERROR(__xludf.DUMMYFUNCTION("""COMPUTED_VALUE"""),6900.0)</f>
        <v>6900</v>
      </c>
      <c r="C514" s="5">
        <f>IFERROR(__xludf.DUMMYFUNCTION("""COMPUTED_VALUE"""),7175.0)</f>
        <v>7175</v>
      </c>
      <c r="D514" s="5">
        <f>IFERROR(__xludf.DUMMYFUNCTION("""COMPUTED_VALUE"""),6875.0)</f>
        <v>6875</v>
      </c>
      <c r="E514" s="5">
        <f>IFERROR(__xludf.DUMMYFUNCTION("""COMPUTED_VALUE"""),7025.0)</f>
        <v>7025</v>
      </c>
      <c r="F514" s="5">
        <f>IFERROR(__xludf.DUMMYFUNCTION("""COMPUTED_VALUE"""),2.38644E7)</f>
        <v>23864400</v>
      </c>
      <c r="G514" s="5">
        <f t="shared" si="1"/>
        <v>300</v>
      </c>
    </row>
    <row r="515">
      <c r="A515" s="4">
        <f>IFERROR(__xludf.DUMMYFUNCTION("""COMPUTED_VALUE"""),44599.66666666667)</f>
        <v>44599.66667</v>
      </c>
      <c r="B515" s="5">
        <f>IFERROR(__xludf.DUMMYFUNCTION("""COMPUTED_VALUE"""),7050.0)</f>
        <v>7050</v>
      </c>
      <c r="C515" s="5">
        <f>IFERROR(__xludf.DUMMYFUNCTION("""COMPUTED_VALUE"""),7250.0)</f>
        <v>7250</v>
      </c>
      <c r="D515" s="5">
        <f>IFERROR(__xludf.DUMMYFUNCTION("""COMPUTED_VALUE"""),7050.0)</f>
        <v>7050</v>
      </c>
      <c r="E515" s="5">
        <f>IFERROR(__xludf.DUMMYFUNCTION("""COMPUTED_VALUE"""),7225.0)</f>
        <v>7225</v>
      </c>
      <c r="F515" s="5">
        <f>IFERROR(__xludf.DUMMYFUNCTION("""COMPUTED_VALUE"""),1.6598E7)</f>
        <v>16598000</v>
      </c>
      <c r="G515" s="5">
        <f t="shared" si="1"/>
        <v>225</v>
      </c>
    </row>
    <row r="516">
      <c r="A516" s="4">
        <f>IFERROR(__xludf.DUMMYFUNCTION("""COMPUTED_VALUE"""),44600.66666666667)</f>
        <v>44600.66667</v>
      </c>
      <c r="B516" s="5">
        <f>IFERROR(__xludf.DUMMYFUNCTION("""COMPUTED_VALUE"""),7250.0)</f>
        <v>7250</v>
      </c>
      <c r="C516" s="5">
        <f>IFERROR(__xludf.DUMMYFUNCTION("""COMPUTED_VALUE"""),7275.0)</f>
        <v>7275</v>
      </c>
      <c r="D516" s="5">
        <f>IFERROR(__xludf.DUMMYFUNCTION("""COMPUTED_VALUE"""),7075.0)</f>
        <v>7075</v>
      </c>
      <c r="E516" s="5">
        <f>IFERROR(__xludf.DUMMYFUNCTION("""COMPUTED_VALUE"""),7150.0)</f>
        <v>7150</v>
      </c>
      <c r="F516" s="5">
        <f>IFERROR(__xludf.DUMMYFUNCTION("""COMPUTED_VALUE"""),1.26412E7)</f>
        <v>12641200</v>
      </c>
      <c r="G516" s="5">
        <f t="shared" si="1"/>
        <v>200</v>
      </c>
    </row>
    <row r="517">
      <c r="A517" s="4">
        <f>IFERROR(__xludf.DUMMYFUNCTION("""COMPUTED_VALUE"""),44601.66666666667)</f>
        <v>44601.66667</v>
      </c>
      <c r="B517" s="5">
        <f>IFERROR(__xludf.DUMMYFUNCTION("""COMPUTED_VALUE"""),7200.0)</f>
        <v>7200</v>
      </c>
      <c r="C517" s="5">
        <f>IFERROR(__xludf.DUMMYFUNCTION("""COMPUTED_VALUE"""),7375.0)</f>
        <v>7375</v>
      </c>
      <c r="D517" s="5">
        <f>IFERROR(__xludf.DUMMYFUNCTION("""COMPUTED_VALUE"""),7200.0)</f>
        <v>7200</v>
      </c>
      <c r="E517" s="5">
        <f>IFERROR(__xludf.DUMMYFUNCTION("""COMPUTED_VALUE"""),7325.0)</f>
        <v>7325</v>
      </c>
      <c r="F517" s="5">
        <f>IFERROR(__xludf.DUMMYFUNCTION("""COMPUTED_VALUE"""),1.44469E7)</f>
        <v>14446900</v>
      </c>
      <c r="G517" s="5">
        <f t="shared" si="1"/>
        <v>225</v>
      </c>
    </row>
    <row r="518">
      <c r="A518" s="4">
        <f>IFERROR(__xludf.DUMMYFUNCTION("""COMPUTED_VALUE"""),44602.66666666667)</f>
        <v>44602.66667</v>
      </c>
      <c r="B518" s="5">
        <f>IFERROR(__xludf.DUMMYFUNCTION("""COMPUTED_VALUE"""),7350.0)</f>
        <v>7350</v>
      </c>
      <c r="C518" s="5">
        <f>IFERROR(__xludf.DUMMYFUNCTION("""COMPUTED_VALUE"""),7375.0)</f>
        <v>7375</v>
      </c>
      <c r="D518" s="5">
        <f>IFERROR(__xludf.DUMMYFUNCTION("""COMPUTED_VALUE"""),7225.0)</f>
        <v>7225</v>
      </c>
      <c r="E518" s="5">
        <f>IFERROR(__xludf.DUMMYFUNCTION("""COMPUTED_VALUE"""),7275.0)</f>
        <v>7275</v>
      </c>
      <c r="F518" s="5">
        <f>IFERROR(__xludf.DUMMYFUNCTION("""COMPUTED_VALUE"""),1.43477E7)</f>
        <v>14347700</v>
      </c>
      <c r="G518" s="5">
        <f t="shared" si="1"/>
        <v>150</v>
      </c>
    </row>
    <row r="519">
      <c r="A519" s="4">
        <f>IFERROR(__xludf.DUMMYFUNCTION("""COMPUTED_VALUE"""),44603.66666666667)</f>
        <v>44603.66667</v>
      </c>
      <c r="B519" s="5">
        <f>IFERROR(__xludf.DUMMYFUNCTION("""COMPUTED_VALUE"""),7275.0)</f>
        <v>7275</v>
      </c>
      <c r="C519" s="5">
        <f>IFERROR(__xludf.DUMMYFUNCTION("""COMPUTED_VALUE"""),7375.0)</f>
        <v>7375</v>
      </c>
      <c r="D519" s="5">
        <f>IFERROR(__xludf.DUMMYFUNCTION("""COMPUTED_VALUE"""),7200.0)</f>
        <v>7200</v>
      </c>
      <c r="E519" s="5">
        <f>IFERROR(__xludf.DUMMYFUNCTION("""COMPUTED_VALUE"""),7375.0)</f>
        <v>7375</v>
      </c>
      <c r="F519" s="5">
        <f>IFERROR(__xludf.DUMMYFUNCTION("""COMPUTED_VALUE"""),7900800.0)</f>
        <v>7900800</v>
      </c>
      <c r="G519" s="5">
        <f t="shared" si="1"/>
        <v>175</v>
      </c>
    </row>
    <row r="520">
      <c r="A520" s="4">
        <f>IFERROR(__xludf.DUMMYFUNCTION("""COMPUTED_VALUE"""),44606.66666666667)</f>
        <v>44606.66667</v>
      </c>
      <c r="B520" s="5">
        <f>IFERROR(__xludf.DUMMYFUNCTION("""COMPUTED_VALUE"""),7300.0)</f>
        <v>7300</v>
      </c>
      <c r="C520" s="5">
        <f>IFERROR(__xludf.DUMMYFUNCTION("""COMPUTED_VALUE"""),7350.0)</f>
        <v>7350</v>
      </c>
      <c r="D520" s="5">
        <f>IFERROR(__xludf.DUMMYFUNCTION("""COMPUTED_VALUE"""),7125.0)</f>
        <v>7125</v>
      </c>
      <c r="E520" s="5">
        <f>IFERROR(__xludf.DUMMYFUNCTION("""COMPUTED_VALUE"""),7200.0)</f>
        <v>7200</v>
      </c>
      <c r="F520" s="5">
        <f>IFERROR(__xludf.DUMMYFUNCTION("""COMPUTED_VALUE"""),9875500.0)</f>
        <v>9875500</v>
      </c>
      <c r="G520" s="5">
        <f t="shared" si="1"/>
        <v>250</v>
      </c>
    </row>
    <row r="521">
      <c r="A521" s="4">
        <f>IFERROR(__xludf.DUMMYFUNCTION("""COMPUTED_VALUE"""),44607.66666666667)</f>
        <v>44607.66667</v>
      </c>
      <c r="B521" s="5">
        <f>IFERROR(__xludf.DUMMYFUNCTION("""COMPUTED_VALUE"""),7200.0)</f>
        <v>7200</v>
      </c>
      <c r="C521" s="5">
        <f>IFERROR(__xludf.DUMMYFUNCTION("""COMPUTED_VALUE"""),7300.0)</f>
        <v>7300</v>
      </c>
      <c r="D521" s="5">
        <f>IFERROR(__xludf.DUMMYFUNCTION("""COMPUTED_VALUE"""),7175.0)</f>
        <v>7175</v>
      </c>
      <c r="E521" s="5">
        <f>IFERROR(__xludf.DUMMYFUNCTION("""COMPUTED_VALUE"""),7275.0)</f>
        <v>7275</v>
      </c>
      <c r="F521" s="5">
        <f>IFERROR(__xludf.DUMMYFUNCTION("""COMPUTED_VALUE"""),5814500.0)</f>
        <v>5814500</v>
      </c>
      <c r="G521" s="5">
        <f t="shared" si="1"/>
        <v>125</v>
      </c>
    </row>
    <row r="522">
      <c r="A522" s="4">
        <f>IFERROR(__xludf.DUMMYFUNCTION("""COMPUTED_VALUE"""),44608.66666666667)</f>
        <v>44608.66667</v>
      </c>
      <c r="B522" s="5">
        <f>IFERROR(__xludf.DUMMYFUNCTION("""COMPUTED_VALUE"""),7300.0)</f>
        <v>7300</v>
      </c>
      <c r="C522" s="5">
        <f>IFERROR(__xludf.DUMMYFUNCTION("""COMPUTED_VALUE"""),7550.0)</f>
        <v>7550</v>
      </c>
      <c r="D522" s="5">
        <f>IFERROR(__xludf.DUMMYFUNCTION("""COMPUTED_VALUE"""),7300.0)</f>
        <v>7300</v>
      </c>
      <c r="E522" s="5">
        <f>IFERROR(__xludf.DUMMYFUNCTION("""COMPUTED_VALUE"""),7400.0)</f>
        <v>7400</v>
      </c>
      <c r="F522" s="5">
        <f>IFERROR(__xludf.DUMMYFUNCTION("""COMPUTED_VALUE"""),1.58554E7)</f>
        <v>15855400</v>
      </c>
      <c r="G522" s="5">
        <f t="shared" si="1"/>
        <v>275</v>
      </c>
    </row>
    <row r="523">
      <c r="A523" s="4">
        <f>IFERROR(__xludf.DUMMYFUNCTION("""COMPUTED_VALUE"""),44609.66666666667)</f>
        <v>44609.66667</v>
      </c>
      <c r="B523" s="5">
        <f>IFERROR(__xludf.DUMMYFUNCTION("""COMPUTED_VALUE"""),7425.0)</f>
        <v>7425</v>
      </c>
      <c r="C523" s="5">
        <f>IFERROR(__xludf.DUMMYFUNCTION("""COMPUTED_VALUE"""),7450.0)</f>
        <v>7450</v>
      </c>
      <c r="D523" s="5">
        <f>IFERROR(__xludf.DUMMYFUNCTION("""COMPUTED_VALUE"""),7200.0)</f>
        <v>7200</v>
      </c>
      <c r="E523" s="5">
        <f>IFERROR(__xludf.DUMMYFUNCTION("""COMPUTED_VALUE"""),7325.0)</f>
        <v>7325</v>
      </c>
      <c r="F523" s="5">
        <f>IFERROR(__xludf.DUMMYFUNCTION("""COMPUTED_VALUE"""),7627300.0)</f>
        <v>7627300</v>
      </c>
      <c r="G523" s="5">
        <f t="shared" si="1"/>
        <v>250</v>
      </c>
    </row>
    <row r="524">
      <c r="A524" s="4">
        <f>IFERROR(__xludf.DUMMYFUNCTION("""COMPUTED_VALUE"""),44610.66666666667)</f>
        <v>44610.66667</v>
      </c>
      <c r="B524" s="5">
        <f>IFERROR(__xludf.DUMMYFUNCTION("""COMPUTED_VALUE"""),7325.0)</f>
        <v>7325</v>
      </c>
      <c r="C524" s="5">
        <f>IFERROR(__xludf.DUMMYFUNCTION("""COMPUTED_VALUE"""),7450.0)</f>
        <v>7450</v>
      </c>
      <c r="D524" s="5">
        <f>IFERROR(__xludf.DUMMYFUNCTION("""COMPUTED_VALUE"""),7275.0)</f>
        <v>7275</v>
      </c>
      <c r="E524" s="5">
        <f>IFERROR(__xludf.DUMMYFUNCTION("""COMPUTED_VALUE"""),7350.0)</f>
        <v>7350</v>
      </c>
      <c r="F524" s="5">
        <f>IFERROR(__xludf.DUMMYFUNCTION("""COMPUTED_VALUE"""),7944800.0)</f>
        <v>7944800</v>
      </c>
      <c r="G524" s="5">
        <f t="shared" si="1"/>
        <v>175</v>
      </c>
    </row>
    <row r="525">
      <c r="A525" s="4">
        <f>IFERROR(__xludf.DUMMYFUNCTION("""COMPUTED_VALUE"""),44613.66666666667)</f>
        <v>44613.66667</v>
      </c>
      <c r="B525" s="5">
        <f>IFERROR(__xludf.DUMMYFUNCTION("""COMPUTED_VALUE"""),7350.0)</f>
        <v>7350</v>
      </c>
      <c r="C525" s="5">
        <f>IFERROR(__xludf.DUMMYFUNCTION("""COMPUTED_VALUE"""),7400.0)</f>
        <v>7400</v>
      </c>
      <c r="D525" s="5">
        <f>IFERROR(__xludf.DUMMYFUNCTION("""COMPUTED_VALUE"""),7250.0)</f>
        <v>7250</v>
      </c>
      <c r="E525" s="5">
        <f>IFERROR(__xludf.DUMMYFUNCTION("""COMPUTED_VALUE"""),7275.0)</f>
        <v>7275</v>
      </c>
      <c r="F525" s="5">
        <f>IFERROR(__xludf.DUMMYFUNCTION("""COMPUTED_VALUE"""),6869700.0)</f>
        <v>6869700</v>
      </c>
      <c r="G525" s="5">
        <f t="shared" si="1"/>
        <v>150</v>
      </c>
    </row>
    <row r="526">
      <c r="A526" s="4">
        <f>IFERROR(__xludf.DUMMYFUNCTION("""COMPUTED_VALUE"""),44614.66666666667)</f>
        <v>44614.66667</v>
      </c>
      <c r="B526" s="5">
        <f>IFERROR(__xludf.DUMMYFUNCTION("""COMPUTED_VALUE"""),7300.0)</f>
        <v>7300</v>
      </c>
      <c r="C526" s="5">
        <f>IFERROR(__xludf.DUMMYFUNCTION("""COMPUTED_VALUE"""),7300.0)</f>
        <v>7300</v>
      </c>
      <c r="D526" s="5">
        <f>IFERROR(__xludf.DUMMYFUNCTION("""COMPUTED_VALUE"""),7100.0)</f>
        <v>7100</v>
      </c>
      <c r="E526" s="5">
        <f>IFERROR(__xludf.DUMMYFUNCTION("""COMPUTED_VALUE"""),7250.0)</f>
        <v>7250</v>
      </c>
      <c r="F526" s="5">
        <f>IFERROR(__xludf.DUMMYFUNCTION("""COMPUTED_VALUE"""),8391100.0)</f>
        <v>8391100</v>
      </c>
      <c r="G526" s="5">
        <f t="shared" si="1"/>
        <v>200</v>
      </c>
    </row>
    <row r="527">
      <c r="A527" s="4">
        <f>IFERROR(__xludf.DUMMYFUNCTION("""COMPUTED_VALUE"""),44615.66666666667)</f>
        <v>44615.66667</v>
      </c>
      <c r="B527" s="5">
        <f>IFERROR(__xludf.DUMMYFUNCTION("""COMPUTED_VALUE"""),7250.0)</f>
        <v>7250</v>
      </c>
      <c r="C527" s="5">
        <f>IFERROR(__xludf.DUMMYFUNCTION("""COMPUTED_VALUE"""),7250.0)</f>
        <v>7250</v>
      </c>
      <c r="D527" s="5">
        <f>IFERROR(__xludf.DUMMYFUNCTION("""COMPUTED_VALUE"""),7050.0)</f>
        <v>7050</v>
      </c>
      <c r="E527" s="5">
        <f>IFERROR(__xludf.DUMMYFUNCTION("""COMPUTED_VALUE"""),7200.0)</f>
        <v>7200</v>
      </c>
      <c r="F527" s="5">
        <f>IFERROR(__xludf.DUMMYFUNCTION("""COMPUTED_VALUE"""),1.46004E7)</f>
        <v>14600400</v>
      </c>
      <c r="G527" s="5">
        <f t="shared" si="1"/>
        <v>200</v>
      </c>
    </row>
    <row r="528">
      <c r="A528" s="4">
        <f>IFERROR(__xludf.DUMMYFUNCTION("""COMPUTED_VALUE"""),44616.66666666667)</f>
        <v>44616.66667</v>
      </c>
      <c r="B528" s="5">
        <f>IFERROR(__xludf.DUMMYFUNCTION("""COMPUTED_VALUE"""),7150.0)</f>
        <v>7150</v>
      </c>
      <c r="C528" s="5">
        <f>IFERROR(__xludf.DUMMYFUNCTION("""COMPUTED_VALUE"""),7175.0)</f>
        <v>7175</v>
      </c>
      <c r="D528" s="5">
        <f>IFERROR(__xludf.DUMMYFUNCTION("""COMPUTED_VALUE"""),6800.0)</f>
        <v>6800</v>
      </c>
      <c r="E528" s="5">
        <f>IFERROR(__xludf.DUMMYFUNCTION("""COMPUTED_VALUE"""),6900.0)</f>
        <v>6900</v>
      </c>
      <c r="F528" s="5">
        <f>IFERROR(__xludf.DUMMYFUNCTION("""COMPUTED_VALUE"""),2.844E7)</f>
        <v>28440000</v>
      </c>
      <c r="G528" s="5">
        <f t="shared" si="1"/>
        <v>400</v>
      </c>
    </row>
    <row r="529">
      <c r="A529" s="4">
        <f>IFERROR(__xludf.DUMMYFUNCTION("""COMPUTED_VALUE"""),44617.66666666667)</f>
        <v>44617.66667</v>
      </c>
      <c r="B529" s="5">
        <f>IFERROR(__xludf.DUMMYFUNCTION("""COMPUTED_VALUE"""),6925.0)</f>
        <v>6925</v>
      </c>
      <c r="C529" s="5">
        <f>IFERROR(__xludf.DUMMYFUNCTION("""COMPUTED_VALUE"""),7250.0)</f>
        <v>7250</v>
      </c>
      <c r="D529" s="5">
        <f>IFERROR(__xludf.DUMMYFUNCTION("""COMPUTED_VALUE"""),6925.0)</f>
        <v>6925</v>
      </c>
      <c r="E529" s="5">
        <f>IFERROR(__xludf.DUMMYFUNCTION("""COMPUTED_VALUE"""),7200.0)</f>
        <v>7200</v>
      </c>
      <c r="F529" s="5">
        <f>IFERROR(__xludf.DUMMYFUNCTION("""COMPUTED_VALUE"""),2.4029E7)</f>
        <v>24029000</v>
      </c>
      <c r="G529" s="5">
        <f t="shared" si="1"/>
        <v>350</v>
      </c>
    </row>
    <row r="530">
      <c r="A530" s="4">
        <f>IFERROR(__xludf.DUMMYFUNCTION("""COMPUTED_VALUE"""),44621.66666666667)</f>
        <v>44621.66667</v>
      </c>
      <c r="B530" s="5">
        <f>IFERROR(__xludf.DUMMYFUNCTION("""COMPUTED_VALUE"""),7150.0)</f>
        <v>7150</v>
      </c>
      <c r="C530" s="5">
        <f>IFERROR(__xludf.DUMMYFUNCTION("""COMPUTED_VALUE"""),7375.0)</f>
        <v>7375</v>
      </c>
      <c r="D530" s="5">
        <f>IFERROR(__xludf.DUMMYFUNCTION("""COMPUTED_VALUE"""),7025.0)</f>
        <v>7025</v>
      </c>
      <c r="E530" s="5">
        <f>IFERROR(__xludf.DUMMYFUNCTION("""COMPUTED_VALUE"""),7100.0)</f>
        <v>7100</v>
      </c>
      <c r="F530" s="5">
        <f>IFERROR(__xludf.DUMMYFUNCTION("""COMPUTED_VALUE"""),1.95073E7)</f>
        <v>19507300</v>
      </c>
      <c r="G530" s="5">
        <f t="shared" si="1"/>
        <v>350</v>
      </c>
    </row>
    <row r="531">
      <c r="A531" s="4">
        <f>IFERROR(__xludf.DUMMYFUNCTION("""COMPUTED_VALUE"""),44622.66666666667)</f>
        <v>44622.66667</v>
      </c>
      <c r="B531" s="5">
        <f>IFERROR(__xludf.DUMMYFUNCTION("""COMPUTED_VALUE"""),7100.0)</f>
        <v>7100</v>
      </c>
      <c r="C531" s="5">
        <f>IFERROR(__xludf.DUMMYFUNCTION("""COMPUTED_VALUE"""),7100.0)</f>
        <v>7100</v>
      </c>
      <c r="D531" s="5">
        <f>IFERROR(__xludf.DUMMYFUNCTION("""COMPUTED_VALUE"""),6675.0)</f>
        <v>6675</v>
      </c>
      <c r="E531" s="5">
        <f>IFERROR(__xludf.DUMMYFUNCTION("""COMPUTED_VALUE"""),6725.0)</f>
        <v>6725</v>
      </c>
      <c r="F531" s="5">
        <f>IFERROR(__xludf.DUMMYFUNCTION("""COMPUTED_VALUE"""),2.84119E7)</f>
        <v>28411900</v>
      </c>
      <c r="G531" s="5">
        <f t="shared" si="1"/>
        <v>425</v>
      </c>
    </row>
    <row r="532">
      <c r="A532" s="4">
        <f>IFERROR(__xludf.DUMMYFUNCTION("""COMPUTED_VALUE"""),44624.66666666667)</f>
        <v>44624.66667</v>
      </c>
      <c r="B532" s="5">
        <f>IFERROR(__xludf.DUMMYFUNCTION("""COMPUTED_VALUE"""),6725.0)</f>
        <v>6725</v>
      </c>
      <c r="C532" s="5">
        <f>IFERROR(__xludf.DUMMYFUNCTION("""COMPUTED_VALUE"""),6825.0)</f>
        <v>6825</v>
      </c>
      <c r="D532" s="5">
        <f>IFERROR(__xludf.DUMMYFUNCTION("""COMPUTED_VALUE"""),6600.0)</f>
        <v>6600</v>
      </c>
      <c r="E532" s="5">
        <f>IFERROR(__xludf.DUMMYFUNCTION("""COMPUTED_VALUE"""),6625.0)</f>
        <v>6625</v>
      </c>
      <c r="F532" s="5">
        <f>IFERROR(__xludf.DUMMYFUNCTION("""COMPUTED_VALUE"""),1.91607E7)</f>
        <v>19160700</v>
      </c>
      <c r="G532" s="5">
        <f t="shared" si="1"/>
        <v>225</v>
      </c>
    </row>
    <row r="533">
      <c r="A533" s="4">
        <f>IFERROR(__xludf.DUMMYFUNCTION("""COMPUTED_VALUE"""),44627.66666666667)</f>
        <v>44627.66667</v>
      </c>
      <c r="B533" s="5">
        <f>IFERROR(__xludf.DUMMYFUNCTION("""COMPUTED_VALUE"""),6550.0)</f>
        <v>6550</v>
      </c>
      <c r="C533" s="5">
        <f>IFERROR(__xludf.DUMMYFUNCTION("""COMPUTED_VALUE"""),6575.0)</f>
        <v>6575</v>
      </c>
      <c r="D533" s="5">
        <f>IFERROR(__xludf.DUMMYFUNCTION("""COMPUTED_VALUE"""),6300.0)</f>
        <v>6300</v>
      </c>
      <c r="E533" s="5">
        <f>IFERROR(__xludf.DUMMYFUNCTION("""COMPUTED_VALUE"""),6300.0)</f>
        <v>6300</v>
      </c>
      <c r="F533" s="5">
        <f>IFERROR(__xludf.DUMMYFUNCTION("""COMPUTED_VALUE"""),2.22768E7)</f>
        <v>22276800</v>
      </c>
      <c r="G533" s="5">
        <f t="shared" si="1"/>
        <v>325</v>
      </c>
    </row>
    <row r="534">
      <c r="A534" s="4">
        <f>IFERROR(__xludf.DUMMYFUNCTION("""COMPUTED_VALUE"""),44628.66666666667)</f>
        <v>44628.66667</v>
      </c>
      <c r="B534" s="5">
        <f>IFERROR(__xludf.DUMMYFUNCTION("""COMPUTED_VALUE"""),6300.0)</f>
        <v>6300</v>
      </c>
      <c r="C534" s="5">
        <f>IFERROR(__xludf.DUMMYFUNCTION("""COMPUTED_VALUE"""),6475.0)</f>
        <v>6475</v>
      </c>
      <c r="D534" s="5">
        <f>IFERROR(__xludf.DUMMYFUNCTION("""COMPUTED_VALUE"""),6150.0)</f>
        <v>6150</v>
      </c>
      <c r="E534" s="5">
        <f>IFERROR(__xludf.DUMMYFUNCTION("""COMPUTED_VALUE"""),6375.0)</f>
        <v>6375</v>
      </c>
      <c r="F534" s="5">
        <f>IFERROR(__xludf.DUMMYFUNCTION("""COMPUTED_VALUE"""),1.93685E7)</f>
        <v>19368500</v>
      </c>
      <c r="G534" s="5">
        <f t="shared" si="1"/>
        <v>325</v>
      </c>
    </row>
    <row r="535">
      <c r="A535" s="4">
        <f>IFERROR(__xludf.DUMMYFUNCTION("""COMPUTED_VALUE"""),44629.66666666667)</f>
        <v>44629.66667</v>
      </c>
      <c r="B535" s="5">
        <f>IFERROR(__xludf.DUMMYFUNCTION("""COMPUTED_VALUE"""),6475.0)</f>
        <v>6475</v>
      </c>
      <c r="C535" s="5">
        <f>IFERROR(__xludf.DUMMYFUNCTION("""COMPUTED_VALUE"""),6500.0)</f>
        <v>6500</v>
      </c>
      <c r="D535" s="5">
        <f>IFERROR(__xludf.DUMMYFUNCTION("""COMPUTED_VALUE"""),6350.0)</f>
        <v>6350</v>
      </c>
      <c r="E535" s="5">
        <f>IFERROR(__xludf.DUMMYFUNCTION("""COMPUTED_VALUE"""),6425.0)</f>
        <v>6425</v>
      </c>
      <c r="F535" s="5">
        <f>IFERROR(__xludf.DUMMYFUNCTION("""COMPUTED_VALUE"""),1.24941E7)</f>
        <v>12494100</v>
      </c>
      <c r="G535" s="5">
        <f t="shared" si="1"/>
        <v>150</v>
      </c>
    </row>
    <row r="536">
      <c r="A536" s="4">
        <f>IFERROR(__xludf.DUMMYFUNCTION("""COMPUTED_VALUE"""),44630.66666666667)</f>
        <v>44630.66667</v>
      </c>
      <c r="B536" s="5">
        <f>IFERROR(__xludf.DUMMYFUNCTION("""COMPUTED_VALUE"""),6550.0)</f>
        <v>6550</v>
      </c>
      <c r="C536" s="5">
        <f>IFERROR(__xludf.DUMMYFUNCTION("""COMPUTED_VALUE"""),6975.0)</f>
        <v>6975</v>
      </c>
      <c r="D536" s="5">
        <f>IFERROR(__xludf.DUMMYFUNCTION("""COMPUTED_VALUE"""),6525.0)</f>
        <v>6525</v>
      </c>
      <c r="E536" s="5">
        <f>IFERROR(__xludf.DUMMYFUNCTION("""COMPUTED_VALUE"""),6950.0)</f>
        <v>6950</v>
      </c>
      <c r="F536" s="5">
        <f>IFERROR(__xludf.DUMMYFUNCTION("""COMPUTED_VALUE"""),3.00499E7)</f>
        <v>30049900</v>
      </c>
      <c r="G536" s="5">
        <f t="shared" si="1"/>
        <v>550</v>
      </c>
    </row>
    <row r="537">
      <c r="A537" s="4">
        <f>IFERROR(__xludf.DUMMYFUNCTION("""COMPUTED_VALUE"""),44631.66666666667)</f>
        <v>44631.66667</v>
      </c>
      <c r="B537" s="5">
        <f>IFERROR(__xludf.DUMMYFUNCTION("""COMPUTED_VALUE"""),6950.0)</f>
        <v>6950</v>
      </c>
      <c r="C537" s="5">
        <f>IFERROR(__xludf.DUMMYFUNCTION("""COMPUTED_VALUE"""),6950.0)</f>
        <v>6950</v>
      </c>
      <c r="D537" s="5">
        <f>IFERROR(__xludf.DUMMYFUNCTION("""COMPUTED_VALUE"""),6750.0)</f>
        <v>6750</v>
      </c>
      <c r="E537" s="5">
        <f>IFERROR(__xludf.DUMMYFUNCTION("""COMPUTED_VALUE"""),6850.0)</f>
        <v>6850</v>
      </c>
      <c r="F537" s="5">
        <f>IFERROR(__xludf.DUMMYFUNCTION("""COMPUTED_VALUE"""),6721600.0)</f>
        <v>6721600</v>
      </c>
      <c r="G537" s="5">
        <f t="shared" si="1"/>
        <v>200</v>
      </c>
    </row>
    <row r="538">
      <c r="A538" s="4">
        <f>IFERROR(__xludf.DUMMYFUNCTION("""COMPUTED_VALUE"""),44634.66666666667)</f>
        <v>44634.66667</v>
      </c>
      <c r="B538" s="5">
        <f>IFERROR(__xludf.DUMMYFUNCTION("""COMPUTED_VALUE"""),6900.0)</f>
        <v>6900</v>
      </c>
      <c r="C538" s="5">
        <f>IFERROR(__xludf.DUMMYFUNCTION("""COMPUTED_VALUE"""),6925.0)</f>
        <v>6925</v>
      </c>
      <c r="D538" s="5">
        <f>IFERROR(__xludf.DUMMYFUNCTION("""COMPUTED_VALUE"""),6675.0)</f>
        <v>6675</v>
      </c>
      <c r="E538" s="5">
        <f>IFERROR(__xludf.DUMMYFUNCTION("""COMPUTED_VALUE"""),6775.0)</f>
        <v>6775</v>
      </c>
      <c r="F538" s="5">
        <f>IFERROR(__xludf.DUMMYFUNCTION("""COMPUTED_VALUE"""),7086200.0)</f>
        <v>7086200</v>
      </c>
      <c r="G538" s="5">
        <f t="shared" si="1"/>
        <v>250</v>
      </c>
    </row>
    <row r="539">
      <c r="A539" s="4">
        <f>IFERROR(__xludf.DUMMYFUNCTION("""COMPUTED_VALUE"""),44635.66666666667)</f>
        <v>44635.66667</v>
      </c>
      <c r="B539" s="5">
        <f>IFERROR(__xludf.DUMMYFUNCTION("""COMPUTED_VALUE"""),6800.0)</f>
        <v>6800</v>
      </c>
      <c r="C539" s="5">
        <f>IFERROR(__xludf.DUMMYFUNCTION("""COMPUTED_VALUE"""),6825.0)</f>
        <v>6825</v>
      </c>
      <c r="D539" s="5">
        <f>IFERROR(__xludf.DUMMYFUNCTION("""COMPUTED_VALUE"""),6550.0)</f>
        <v>6550</v>
      </c>
      <c r="E539" s="5">
        <f>IFERROR(__xludf.DUMMYFUNCTION("""COMPUTED_VALUE"""),6625.0)</f>
        <v>6625</v>
      </c>
      <c r="F539" s="5">
        <f>IFERROR(__xludf.DUMMYFUNCTION("""COMPUTED_VALUE"""),1.20778E7)</f>
        <v>12077800</v>
      </c>
      <c r="G539" s="5">
        <f t="shared" si="1"/>
        <v>275</v>
      </c>
    </row>
    <row r="540">
      <c r="A540" s="4">
        <f>IFERROR(__xludf.DUMMYFUNCTION("""COMPUTED_VALUE"""),44636.66666666667)</f>
        <v>44636.66667</v>
      </c>
      <c r="B540" s="5">
        <f>IFERROR(__xludf.DUMMYFUNCTION("""COMPUTED_VALUE"""),6625.0)</f>
        <v>6625</v>
      </c>
      <c r="C540" s="5">
        <f>IFERROR(__xludf.DUMMYFUNCTION("""COMPUTED_VALUE"""),6725.0)</f>
        <v>6725</v>
      </c>
      <c r="D540" s="5">
        <f>IFERROR(__xludf.DUMMYFUNCTION("""COMPUTED_VALUE"""),6575.0)</f>
        <v>6575</v>
      </c>
      <c r="E540" s="5">
        <f>IFERROR(__xludf.DUMMYFUNCTION("""COMPUTED_VALUE"""),6675.0)</f>
        <v>6675</v>
      </c>
      <c r="F540" s="5">
        <f>IFERROR(__xludf.DUMMYFUNCTION("""COMPUTED_VALUE"""),5099900.0)</f>
        <v>5099900</v>
      </c>
      <c r="G540" s="5">
        <f t="shared" si="1"/>
        <v>150</v>
      </c>
    </row>
    <row r="541">
      <c r="A541" s="4">
        <f>IFERROR(__xludf.DUMMYFUNCTION("""COMPUTED_VALUE"""),44637.66666666667)</f>
        <v>44637.66667</v>
      </c>
      <c r="B541" s="5">
        <f>IFERROR(__xludf.DUMMYFUNCTION("""COMPUTED_VALUE"""),6750.0)</f>
        <v>6750</v>
      </c>
      <c r="C541" s="5">
        <f>IFERROR(__xludf.DUMMYFUNCTION("""COMPUTED_VALUE"""),6900.0)</f>
        <v>6900</v>
      </c>
      <c r="D541" s="5">
        <f>IFERROR(__xludf.DUMMYFUNCTION("""COMPUTED_VALUE"""),6725.0)</f>
        <v>6725</v>
      </c>
      <c r="E541" s="5">
        <f>IFERROR(__xludf.DUMMYFUNCTION("""COMPUTED_VALUE"""),6750.0)</f>
        <v>6750</v>
      </c>
      <c r="F541" s="5">
        <f>IFERROR(__xludf.DUMMYFUNCTION("""COMPUTED_VALUE"""),8593300.0)</f>
        <v>8593300</v>
      </c>
      <c r="G541" s="5">
        <f t="shared" si="1"/>
        <v>225</v>
      </c>
    </row>
    <row r="542">
      <c r="A542" s="4">
        <f>IFERROR(__xludf.DUMMYFUNCTION("""COMPUTED_VALUE"""),44638.66666666667)</f>
        <v>44638.66667</v>
      </c>
      <c r="B542" s="5">
        <f>IFERROR(__xludf.DUMMYFUNCTION("""COMPUTED_VALUE"""),6750.0)</f>
        <v>6750</v>
      </c>
      <c r="C542" s="5">
        <f>IFERROR(__xludf.DUMMYFUNCTION("""COMPUTED_VALUE"""),6775.0)</f>
        <v>6775</v>
      </c>
      <c r="D542" s="5">
        <f>IFERROR(__xludf.DUMMYFUNCTION("""COMPUTED_VALUE"""),6600.0)</f>
        <v>6600</v>
      </c>
      <c r="E542" s="5">
        <f>IFERROR(__xludf.DUMMYFUNCTION("""COMPUTED_VALUE"""),6650.0)</f>
        <v>6650</v>
      </c>
      <c r="F542" s="5">
        <f>IFERROR(__xludf.DUMMYFUNCTION("""COMPUTED_VALUE"""),8671800.0)</f>
        <v>8671800</v>
      </c>
      <c r="G542" s="5">
        <f t="shared" si="1"/>
        <v>175</v>
      </c>
    </row>
    <row r="543">
      <c r="A543" s="4">
        <f>IFERROR(__xludf.DUMMYFUNCTION("""COMPUTED_VALUE"""),44641.66666666667)</f>
        <v>44641.66667</v>
      </c>
      <c r="B543" s="5">
        <f>IFERROR(__xludf.DUMMYFUNCTION("""COMPUTED_VALUE"""),6700.0)</f>
        <v>6700</v>
      </c>
      <c r="C543" s="5">
        <f>IFERROR(__xludf.DUMMYFUNCTION("""COMPUTED_VALUE"""),6700.0)</f>
        <v>6700</v>
      </c>
      <c r="D543" s="5">
        <f>IFERROR(__xludf.DUMMYFUNCTION("""COMPUTED_VALUE"""),6550.0)</f>
        <v>6550</v>
      </c>
      <c r="E543" s="5">
        <f>IFERROR(__xludf.DUMMYFUNCTION("""COMPUTED_VALUE"""),6575.0)</f>
        <v>6575</v>
      </c>
      <c r="F543" s="5">
        <f>IFERROR(__xludf.DUMMYFUNCTION("""COMPUTED_VALUE"""),5606800.0)</f>
        <v>5606800</v>
      </c>
      <c r="G543" s="5">
        <f t="shared" si="1"/>
        <v>150</v>
      </c>
    </row>
    <row r="544">
      <c r="A544" s="4">
        <f>IFERROR(__xludf.DUMMYFUNCTION("""COMPUTED_VALUE"""),44642.66666666667)</f>
        <v>44642.66667</v>
      </c>
      <c r="B544" s="5">
        <f>IFERROR(__xludf.DUMMYFUNCTION("""COMPUTED_VALUE"""),6575.0)</f>
        <v>6575</v>
      </c>
      <c r="C544" s="5">
        <f>IFERROR(__xludf.DUMMYFUNCTION("""COMPUTED_VALUE"""),6750.0)</f>
        <v>6750</v>
      </c>
      <c r="D544" s="5">
        <f>IFERROR(__xludf.DUMMYFUNCTION("""COMPUTED_VALUE"""),6575.0)</f>
        <v>6575</v>
      </c>
      <c r="E544" s="5">
        <f>IFERROR(__xludf.DUMMYFUNCTION("""COMPUTED_VALUE"""),6650.0)</f>
        <v>6650</v>
      </c>
      <c r="F544" s="5">
        <f>IFERROR(__xludf.DUMMYFUNCTION("""COMPUTED_VALUE"""),7454700.0)</f>
        <v>7454700</v>
      </c>
      <c r="G544" s="5">
        <f t="shared" si="1"/>
        <v>175</v>
      </c>
    </row>
    <row r="545">
      <c r="A545" s="4">
        <f>IFERROR(__xludf.DUMMYFUNCTION("""COMPUTED_VALUE"""),44643.66666666667)</f>
        <v>44643.66667</v>
      </c>
      <c r="B545" s="5">
        <f>IFERROR(__xludf.DUMMYFUNCTION("""COMPUTED_VALUE"""),6675.0)</f>
        <v>6675</v>
      </c>
      <c r="C545" s="5">
        <f>IFERROR(__xludf.DUMMYFUNCTION("""COMPUTED_VALUE"""),6700.0)</f>
        <v>6700</v>
      </c>
      <c r="D545" s="5">
        <f>IFERROR(__xludf.DUMMYFUNCTION("""COMPUTED_VALUE"""),6575.0)</f>
        <v>6575</v>
      </c>
      <c r="E545" s="5">
        <f>IFERROR(__xludf.DUMMYFUNCTION("""COMPUTED_VALUE"""),6575.0)</f>
        <v>6575</v>
      </c>
      <c r="F545" s="5">
        <f>IFERROR(__xludf.DUMMYFUNCTION("""COMPUTED_VALUE"""),4626800.0)</f>
        <v>4626800</v>
      </c>
      <c r="G545" s="5">
        <f t="shared" si="1"/>
        <v>125</v>
      </c>
    </row>
    <row r="546">
      <c r="A546" s="4">
        <f>IFERROR(__xludf.DUMMYFUNCTION("""COMPUTED_VALUE"""),44644.66666666667)</f>
        <v>44644.66667</v>
      </c>
      <c r="B546" s="5">
        <f>IFERROR(__xludf.DUMMYFUNCTION("""COMPUTED_VALUE"""),6575.0)</f>
        <v>6575</v>
      </c>
      <c r="C546" s="5">
        <f>IFERROR(__xludf.DUMMYFUNCTION("""COMPUTED_VALUE"""),6650.0)</f>
        <v>6650</v>
      </c>
      <c r="D546" s="5">
        <f>IFERROR(__xludf.DUMMYFUNCTION("""COMPUTED_VALUE"""),6500.0)</f>
        <v>6500</v>
      </c>
      <c r="E546" s="5">
        <f>IFERROR(__xludf.DUMMYFUNCTION("""COMPUTED_VALUE"""),6575.0)</f>
        <v>6575</v>
      </c>
      <c r="F546" s="5">
        <f>IFERROR(__xludf.DUMMYFUNCTION("""COMPUTED_VALUE"""),1.21879E7)</f>
        <v>12187900</v>
      </c>
      <c r="G546" s="5">
        <f t="shared" si="1"/>
        <v>150</v>
      </c>
    </row>
    <row r="547">
      <c r="A547" s="4">
        <f>IFERROR(__xludf.DUMMYFUNCTION("""COMPUTED_VALUE"""),44645.66666666667)</f>
        <v>44645.66667</v>
      </c>
      <c r="B547" s="5">
        <f>IFERROR(__xludf.DUMMYFUNCTION("""COMPUTED_VALUE"""),6600.0)</f>
        <v>6600</v>
      </c>
      <c r="C547" s="5">
        <f>IFERROR(__xludf.DUMMYFUNCTION("""COMPUTED_VALUE"""),6675.0)</f>
        <v>6675</v>
      </c>
      <c r="D547" s="5">
        <f>IFERROR(__xludf.DUMMYFUNCTION("""COMPUTED_VALUE"""),6475.0)</f>
        <v>6475</v>
      </c>
      <c r="E547" s="5">
        <f>IFERROR(__xludf.DUMMYFUNCTION("""COMPUTED_VALUE"""),6500.0)</f>
        <v>6500</v>
      </c>
      <c r="F547" s="5">
        <f>IFERROR(__xludf.DUMMYFUNCTION("""COMPUTED_VALUE"""),1.09081E7)</f>
        <v>10908100</v>
      </c>
      <c r="G547" s="5">
        <f t="shared" si="1"/>
        <v>200</v>
      </c>
    </row>
    <row r="548">
      <c r="A548" s="4">
        <f>IFERROR(__xludf.DUMMYFUNCTION("""COMPUTED_VALUE"""),44648.66666666667)</f>
        <v>44648.66667</v>
      </c>
      <c r="B548" s="5">
        <f>IFERROR(__xludf.DUMMYFUNCTION("""COMPUTED_VALUE"""),6600.0)</f>
        <v>6600</v>
      </c>
      <c r="C548" s="5">
        <f>IFERROR(__xludf.DUMMYFUNCTION("""COMPUTED_VALUE"""),6800.0)</f>
        <v>6800</v>
      </c>
      <c r="D548" s="5">
        <f>IFERROR(__xludf.DUMMYFUNCTION("""COMPUTED_VALUE"""),6550.0)</f>
        <v>6550</v>
      </c>
      <c r="E548" s="5">
        <f>IFERROR(__xludf.DUMMYFUNCTION("""COMPUTED_VALUE"""),6775.0)</f>
        <v>6775</v>
      </c>
      <c r="F548" s="5">
        <f>IFERROR(__xludf.DUMMYFUNCTION("""COMPUTED_VALUE"""),1.85648E7)</f>
        <v>18564800</v>
      </c>
      <c r="G548" s="5">
        <f t="shared" si="1"/>
        <v>300</v>
      </c>
    </row>
    <row r="549">
      <c r="A549" s="4">
        <f>IFERROR(__xludf.DUMMYFUNCTION("""COMPUTED_VALUE"""),44649.66666666667)</f>
        <v>44649.66667</v>
      </c>
      <c r="B549" s="5">
        <f>IFERROR(__xludf.DUMMYFUNCTION("""COMPUTED_VALUE"""),6800.0)</f>
        <v>6800</v>
      </c>
      <c r="C549" s="5">
        <f>IFERROR(__xludf.DUMMYFUNCTION("""COMPUTED_VALUE"""),6850.0)</f>
        <v>6850</v>
      </c>
      <c r="D549" s="5">
        <f>IFERROR(__xludf.DUMMYFUNCTION("""COMPUTED_VALUE"""),6675.0)</f>
        <v>6675</v>
      </c>
      <c r="E549" s="5">
        <f>IFERROR(__xludf.DUMMYFUNCTION("""COMPUTED_VALUE"""),6675.0)</f>
        <v>6675</v>
      </c>
      <c r="F549" s="5">
        <f>IFERROR(__xludf.DUMMYFUNCTION("""COMPUTED_VALUE"""),5386700.0)</f>
        <v>5386700</v>
      </c>
      <c r="G549" s="5">
        <f t="shared" si="1"/>
        <v>175</v>
      </c>
    </row>
    <row r="550">
      <c r="A550" s="4">
        <f>IFERROR(__xludf.DUMMYFUNCTION("""COMPUTED_VALUE"""),44650.66666666667)</f>
        <v>44650.66667</v>
      </c>
      <c r="B550" s="5">
        <f>IFERROR(__xludf.DUMMYFUNCTION("""COMPUTED_VALUE"""),6750.0)</f>
        <v>6750</v>
      </c>
      <c r="C550" s="5">
        <f>IFERROR(__xludf.DUMMYFUNCTION("""COMPUTED_VALUE"""),6800.0)</f>
        <v>6800</v>
      </c>
      <c r="D550" s="5">
        <f>IFERROR(__xludf.DUMMYFUNCTION("""COMPUTED_VALUE"""),6675.0)</f>
        <v>6675</v>
      </c>
      <c r="E550" s="5">
        <f>IFERROR(__xludf.DUMMYFUNCTION("""COMPUTED_VALUE"""),6750.0)</f>
        <v>6750</v>
      </c>
      <c r="F550" s="5">
        <f>IFERROR(__xludf.DUMMYFUNCTION("""COMPUTED_VALUE"""),8232900.0)</f>
        <v>8232900</v>
      </c>
      <c r="G550" s="5">
        <f t="shared" si="1"/>
        <v>125</v>
      </c>
    </row>
    <row r="551">
      <c r="A551" s="4">
        <f>IFERROR(__xludf.DUMMYFUNCTION("""COMPUTED_VALUE"""),44651.66666666667)</f>
        <v>44651.66667</v>
      </c>
      <c r="B551" s="5">
        <f>IFERROR(__xludf.DUMMYFUNCTION("""COMPUTED_VALUE"""),6750.0)</f>
        <v>6750</v>
      </c>
      <c r="C551" s="5">
        <f>IFERROR(__xludf.DUMMYFUNCTION("""COMPUTED_VALUE"""),6850.0)</f>
        <v>6850</v>
      </c>
      <c r="D551" s="5">
        <f>IFERROR(__xludf.DUMMYFUNCTION("""COMPUTED_VALUE"""),6625.0)</f>
        <v>6625</v>
      </c>
      <c r="E551" s="5">
        <f>IFERROR(__xludf.DUMMYFUNCTION("""COMPUTED_VALUE"""),6650.0)</f>
        <v>6650</v>
      </c>
      <c r="F551" s="5">
        <f>IFERROR(__xludf.DUMMYFUNCTION("""COMPUTED_VALUE"""),8906000.0)</f>
        <v>8906000</v>
      </c>
      <c r="G551" s="5">
        <f t="shared" si="1"/>
        <v>225</v>
      </c>
    </row>
    <row r="552">
      <c r="A552" s="4">
        <f>IFERROR(__xludf.DUMMYFUNCTION("""COMPUTED_VALUE"""),44652.66666666667)</f>
        <v>44652.66667</v>
      </c>
      <c r="B552" s="5">
        <f>IFERROR(__xludf.DUMMYFUNCTION("""COMPUTED_VALUE"""),6725.0)</f>
        <v>6725</v>
      </c>
      <c r="C552" s="5">
        <f>IFERROR(__xludf.DUMMYFUNCTION("""COMPUTED_VALUE"""),6800.0)</f>
        <v>6800</v>
      </c>
      <c r="D552" s="5">
        <f>IFERROR(__xludf.DUMMYFUNCTION("""COMPUTED_VALUE"""),6700.0)</f>
        <v>6700</v>
      </c>
      <c r="E552" s="5">
        <f>IFERROR(__xludf.DUMMYFUNCTION("""COMPUTED_VALUE"""),6775.0)</f>
        <v>6775</v>
      </c>
      <c r="F552" s="5">
        <f>IFERROR(__xludf.DUMMYFUNCTION("""COMPUTED_VALUE"""),6534700.0)</f>
        <v>6534700</v>
      </c>
      <c r="G552" s="5">
        <f t="shared" si="1"/>
        <v>150</v>
      </c>
    </row>
    <row r="553">
      <c r="A553" s="4">
        <f>IFERROR(__xludf.DUMMYFUNCTION("""COMPUTED_VALUE"""),44655.66666666667)</f>
        <v>44655.66667</v>
      </c>
      <c r="B553" s="5">
        <f>IFERROR(__xludf.DUMMYFUNCTION("""COMPUTED_VALUE"""),6775.0)</f>
        <v>6775</v>
      </c>
      <c r="C553" s="5">
        <f>IFERROR(__xludf.DUMMYFUNCTION("""COMPUTED_VALUE"""),6850.0)</f>
        <v>6850</v>
      </c>
      <c r="D553" s="5">
        <f>IFERROR(__xludf.DUMMYFUNCTION("""COMPUTED_VALUE"""),6725.0)</f>
        <v>6725</v>
      </c>
      <c r="E553" s="5">
        <f>IFERROR(__xludf.DUMMYFUNCTION("""COMPUTED_VALUE"""),6850.0)</f>
        <v>6850</v>
      </c>
      <c r="F553" s="5">
        <f>IFERROR(__xludf.DUMMYFUNCTION("""COMPUTED_VALUE"""),5069900.0)</f>
        <v>5069900</v>
      </c>
      <c r="G553" s="5">
        <f t="shared" si="1"/>
        <v>125</v>
      </c>
    </row>
    <row r="554">
      <c r="A554" s="4">
        <f>IFERROR(__xludf.DUMMYFUNCTION("""COMPUTED_VALUE"""),44656.66666666667)</f>
        <v>44656.66667</v>
      </c>
      <c r="B554" s="5">
        <f>IFERROR(__xludf.DUMMYFUNCTION("""COMPUTED_VALUE"""),6875.0)</f>
        <v>6875</v>
      </c>
      <c r="C554" s="5">
        <f>IFERROR(__xludf.DUMMYFUNCTION("""COMPUTED_VALUE"""),6900.0)</f>
        <v>6900</v>
      </c>
      <c r="D554" s="5">
        <f>IFERROR(__xludf.DUMMYFUNCTION("""COMPUTED_VALUE"""),6800.0)</f>
        <v>6800</v>
      </c>
      <c r="E554" s="5">
        <f>IFERROR(__xludf.DUMMYFUNCTION("""COMPUTED_VALUE"""),6825.0)</f>
        <v>6825</v>
      </c>
      <c r="F554" s="5">
        <f>IFERROR(__xludf.DUMMYFUNCTION("""COMPUTED_VALUE"""),4572700.0)</f>
        <v>4572700</v>
      </c>
      <c r="G554" s="5">
        <f t="shared" si="1"/>
        <v>100</v>
      </c>
    </row>
    <row r="555">
      <c r="A555" s="4">
        <f>IFERROR(__xludf.DUMMYFUNCTION("""COMPUTED_VALUE"""),44657.66666666667)</f>
        <v>44657.66667</v>
      </c>
      <c r="B555" s="5">
        <f>IFERROR(__xludf.DUMMYFUNCTION("""COMPUTED_VALUE"""),6825.0)</f>
        <v>6825</v>
      </c>
      <c r="C555" s="5">
        <f>IFERROR(__xludf.DUMMYFUNCTION("""COMPUTED_VALUE"""),6825.0)</f>
        <v>6825</v>
      </c>
      <c r="D555" s="5">
        <f>IFERROR(__xludf.DUMMYFUNCTION("""COMPUTED_VALUE"""),6625.0)</f>
        <v>6625</v>
      </c>
      <c r="E555" s="5">
        <f>IFERROR(__xludf.DUMMYFUNCTION("""COMPUTED_VALUE"""),6700.0)</f>
        <v>6700</v>
      </c>
      <c r="F555" s="5">
        <f>IFERROR(__xludf.DUMMYFUNCTION("""COMPUTED_VALUE"""),1.00887E7)</f>
        <v>10088700</v>
      </c>
      <c r="G555" s="5">
        <f t="shared" si="1"/>
        <v>200</v>
      </c>
    </row>
    <row r="556">
      <c r="A556" s="4">
        <f>IFERROR(__xludf.DUMMYFUNCTION("""COMPUTED_VALUE"""),44658.66666666667)</f>
        <v>44658.66667</v>
      </c>
      <c r="B556" s="5">
        <f>IFERROR(__xludf.DUMMYFUNCTION("""COMPUTED_VALUE"""),6700.0)</f>
        <v>6700</v>
      </c>
      <c r="C556" s="5">
        <f>IFERROR(__xludf.DUMMYFUNCTION("""COMPUTED_VALUE"""),6700.0)</f>
        <v>6700</v>
      </c>
      <c r="D556" s="5">
        <f>IFERROR(__xludf.DUMMYFUNCTION("""COMPUTED_VALUE"""),6600.0)</f>
        <v>6600</v>
      </c>
      <c r="E556" s="5">
        <f>IFERROR(__xludf.DUMMYFUNCTION("""COMPUTED_VALUE"""),6600.0)</f>
        <v>6600</v>
      </c>
      <c r="F556" s="5">
        <f>IFERROR(__xludf.DUMMYFUNCTION("""COMPUTED_VALUE"""),6945700.0)</f>
        <v>6945700</v>
      </c>
      <c r="G556" s="5">
        <f t="shared" si="1"/>
        <v>100</v>
      </c>
    </row>
    <row r="557">
      <c r="A557" s="4">
        <f>IFERROR(__xludf.DUMMYFUNCTION("""COMPUTED_VALUE"""),44659.66666666667)</f>
        <v>44659.66667</v>
      </c>
      <c r="B557" s="5">
        <f>IFERROR(__xludf.DUMMYFUNCTION("""COMPUTED_VALUE"""),6650.0)</f>
        <v>6650</v>
      </c>
      <c r="C557" s="5">
        <f>IFERROR(__xludf.DUMMYFUNCTION("""COMPUTED_VALUE"""),6725.0)</f>
        <v>6725</v>
      </c>
      <c r="D557" s="5">
        <f>IFERROR(__xludf.DUMMYFUNCTION("""COMPUTED_VALUE"""),6600.0)</f>
        <v>6600</v>
      </c>
      <c r="E557" s="5">
        <f>IFERROR(__xludf.DUMMYFUNCTION("""COMPUTED_VALUE"""),6675.0)</f>
        <v>6675</v>
      </c>
      <c r="F557" s="5">
        <f>IFERROR(__xludf.DUMMYFUNCTION("""COMPUTED_VALUE"""),9882500.0)</f>
        <v>9882500</v>
      </c>
      <c r="G557" s="5">
        <f t="shared" si="1"/>
        <v>125</v>
      </c>
    </row>
    <row r="558">
      <c r="A558" s="4">
        <f>IFERROR(__xludf.DUMMYFUNCTION("""COMPUTED_VALUE"""),44662.66666666667)</f>
        <v>44662.66667</v>
      </c>
      <c r="B558" s="5">
        <f>IFERROR(__xludf.DUMMYFUNCTION("""COMPUTED_VALUE"""),6550.0)</f>
        <v>6550</v>
      </c>
      <c r="C558" s="5">
        <f>IFERROR(__xludf.DUMMYFUNCTION("""COMPUTED_VALUE"""),6575.0)</f>
        <v>6575</v>
      </c>
      <c r="D558" s="5">
        <f>IFERROR(__xludf.DUMMYFUNCTION("""COMPUTED_VALUE"""),6325.0)</f>
        <v>6325</v>
      </c>
      <c r="E558" s="5">
        <f>IFERROR(__xludf.DUMMYFUNCTION("""COMPUTED_VALUE"""),6350.0)</f>
        <v>6350</v>
      </c>
      <c r="F558" s="5">
        <f>IFERROR(__xludf.DUMMYFUNCTION("""COMPUTED_VALUE"""),1.54237E7)</f>
        <v>15423700</v>
      </c>
      <c r="G558" s="5">
        <f t="shared" si="1"/>
        <v>350</v>
      </c>
    </row>
    <row r="559">
      <c r="A559" s="4">
        <f>IFERROR(__xludf.DUMMYFUNCTION("""COMPUTED_VALUE"""),44663.66666666667)</f>
        <v>44663.66667</v>
      </c>
      <c r="B559" s="5">
        <f>IFERROR(__xludf.DUMMYFUNCTION("""COMPUTED_VALUE"""),6350.0)</f>
        <v>6350</v>
      </c>
      <c r="C559" s="5">
        <f>IFERROR(__xludf.DUMMYFUNCTION("""COMPUTED_VALUE"""),6375.0)</f>
        <v>6375</v>
      </c>
      <c r="D559" s="5">
        <f>IFERROR(__xludf.DUMMYFUNCTION("""COMPUTED_VALUE"""),6150.0)</f>
        <v>6150</v>
      </c>
      <c r="E559" s="5">
        <f>IFERROR(__xludf.DUMMYFUNCTION("""COMPUTED_VALUE"""),6300.0)</f>
        <v>6300</v>
      </c>
      <c r="F559" s="5">
        <f>IFERROR(__xludf.DUMMYFUNCTION("""COMPUTED_VALUE"""),1.72837E7)</f>
        <v>17283700</v>
      </c>
      <c r="G559" s="5">
        <f t="shared" si="1"/>
        <v>225</v>
      </c>
    </row>
    <row r="560">
      <c r="A560" s="4">
        <f>IFERROR(__xludf.DUMMYFUNCTION("""COMPUTED_VALUE"""),44664.66666666667)</f>
        <v>44664.66667</v>
      </c>
      <c r="B560" s="5">
        <f>IFERROR(__xludf.DUMMYFUNCTION("""COMPUTED_VALUE"""),6300.0)</f>
        <v>6300</v>
      </c>
      <c r="C560" s="5">
        <f>IFERROR(__xludf.DUMMYFUNCTION("""COMPUTED_VALUE"""),6300.0)</f>
        <v>6300</v>
      </c>
      <c r="D560" s="5">
        <f>IFERROR(__xludf.DUMMYFUNCTION("""COMPUTED_VALUE"""),6125.0)</f>
        <v>6125</v>
      </c>
      <c r="E560" s="5">
        <f>IFERROR(__xludf.DUMMYFUNCTION("""COMPUTED_VALUE"""),6200.0)</f>
        <v>6200</v>
      </c>
      <c r="F560" s="5">
        <f>IFERROR(__xludf.DUMMYFUNCTION("""COMPUTED_VALUE"""),1.19714E7)</f>
        <v>11971400</v>
      </c>
      <c r="G560" s="5">
        <f t="shared" si="1"/>
        <v>175</v>
      </c>
    </row>
    <row r="561">
      <c r="A561" s="4">
        <f>IFERROR(__xludf.DUMMYFUNCTION("""COMPUTED_VALUE"""),44665.66666666667)</f>
        <v>44665.66667</v>
      </c>
      <c r="B561" s="5">
        <f>IFERROR(__xludf.DUMMYFUNCTION("""COMPUTED_VALUE"""),6200.0)</f>
        <v>6200</v>
      </c>
      <c r="C561" s="5">
        <f>IFERROR(__xludf.DUMMYFUNCTION("""COMPUTED_VALUE"""),6225.0)</f>
        <v>6225</v>
      </c>
      <c r="D561" s="5">
        <f>IFERROR(__xludf.DUMMYFUNCTION("""COMPUTED_VALUE"""),6000.0)</f>
        <v>6000</v>
      </c>
      <c r="E561" s="5">
        <f>IFERROR(__xludf.DUMMYFUNCTION("""COMPUTED_VALUE"""),6025.0)</f>
        <v>6025</v>
      </c>
      <c r="F561" s="5">
        <f>IFERROR(__xludf.DUMMYFUNCTION("""COMPUTED_VALUE"""),1.38777E7)</f>
        <v>13877700</v>
      </c>
      <c r="G561" s="5">
        <f t="shared" si="1"/>
        <v>225</v>
      </c>
    </row>
    <row r="562">
      <c r="A562" s="4">
        <f>IFERROR(__xludf.DUMMYFUNCTION("""COMPUTED_VALUE"""),44669.66666666667)</f>
        <v>44669.66667</v>
      </c>
      <c r="B562" s="5">
        <f>IFERROR(__xludf.DUMMYFUNCTION("""COMPUTED_VALUE"""),6050.0)</f>
        <v>6050</v>
      </c>
      <c r="C562" s="5">
        <f>IFERROR(__xludf.DUMMYFUNCTION("""COMPUTED_VALUE"""),6200.0)</f>
        <v>6200</v>
      </c>
      <c r="D562" s="5">
        <f>IFERROR(__xludf.DUMMYFUNCTION("""COMPUTED_VALUE"""),6025.0)</f>
        <v>6025</v>
      </c>
      <c r="E562" s="5">
        <f>IFERROR(__xludf.DUMMYFUNCTION("""COMPUTED_VALUE"""),6150.0)</f>
        <v>6150</v>
      </c>
      <c r="F562" s="5">
        <f>IFERROR(__xludf.DUMMYFUNCTION("""COMPUTED_VALUE"""),8289100.0)</f>
        <v>8289100</v>
      </c>
      <c r="G562" s="5">
        <f t="shared" si="1"/>
        <v>175</v>
      </c>
    </row>
    <row r="563">
      <c r="A563" s="4">
        <f>IFERROR(__xludf.DUMMYFUNCTION("""COMPUTED_VALUE"""),44670.66666666667)</f>
        <v>44670.66667</v>
      </c>
      <c r="B563" s="5">
        <f>IFERROR(__xludf.DUMMYFUNCTION("""COMPUTED_VALUE"""),6100.0)</f>
        <v>6100</v>
      </c>
      <c r="C563" s="5">
        <f>IFERROR(__xludf.DUMMYFUNCTION("""COMPUTED_VALUE"""),6150.0)</f>
        <v>6150</v>
      </c>
      <c r="D563" s="5">
        <f>IFERROR(__xludf.DUMMYFUNCTION("""COMPUTED_VALUE"""),6025.0)</f>
        <v>6025</v>
      </c>
      <c r="E563" s="5">
        <f>IFERROR(__xludf.DUMMYFUNCTION("""COMPUTED_VALUE"""),6050.0)</f>
        <v>6050</v>
      </c>
      <c r="F563" s="5">
        <f>IFERROR(__xludf.DUMMYFUNCTION("""COMPUTED_VALUE"""),9069600.0)</f>
        <v>9069600</v>
      </c>
      <c r="G563" s="5">
        <f t="shared" si="1"/>
        <v>125</v>
      </c>
    </row>
    <row r="564">
      <c r="A564" s="4">
        <f>IFERROR(__xludf.DUMMYFUNCTION("""COMPUTED_VALUE"""),44671.66666666667)</f>
        <v>44671.66667</v>
      </c>
      <c r="B564" s="5">
        <f>IFERROR(__xludf.DUMMYFUNCTION("""COMPUTED_VALUE"""),6050.0)</f>
        <v>6050</v>
      </c>
      <c r="C564" s="5">
        <f>IFERROR(__xludf.DUMMYFUNCTION("""COMPUTED_VALUE"""),6100.0)</f>
        <v>6100</v>
      </c>
      <c r="D564" s="5">
        <f>IFERROR(__xludf.DUMMYFUNCTION("""COMPUTED_VALUE"""),5950.0)</f>
        <v>5950</v>
      </c>
      <c r="E564" s="5">
        <f>IFERROR(__xludf.DUMMYFUNCTION("""COMPUTED_VALUE"""),5950.0)</f>
        <v>5950</v>
      </c>
      <c r="F564" s="5">
        <f>IFERROR(__xludf.DUMMYFUNCTION("""COMPUTED_VALUE"""),1.26947E7)</f>
        <v>12694700</v>
      </c>
      <c r="G564" s="5">
        <f t="shared" si="1"/>
        <v>150</v>
      </c>
    </row>
    <row r="565">
      <c r="A565" s="4">
        <f>IFERROR(__xludf.DUMMYFUNCTION("""COMPUTED_VALUE"""),44672.66666666667)</f>
        <v>44672.66667</v>
      </c>
      <c r="B565" s="5">
        <f>IFERROR(__xludf.DUMMYFUNCTION("""COMPUTED_VALUE"""),6025.0)</f>
        <v>6025</v>
      </c>
      <c r="C565" s="5">
        <f>IFERROR(__xludf.DUMMYFUNCTION("""COMPUTED_VALUE"""),6175.0)</f>
        <v>6175</v>
      </c>
      <c r="D565" s="5">
        <f>IFERROR(__xludf.DUMMYFUNCTION("""COMPUTED_VALUE"""),6000.0)</f>
        <v>6000</v>
      </c>
      <c r="E565" s="5">
        <f>IFERROR(__xludf.DUMMYFUNCTION("""COMPUTED_VALUE"""),6075.0)</f>
        <v>6075</v>
      </c>
      <c r="F565" s="5">
        <f>IFERROR(__xludf.DUMMYFUNCTION("""COMPUTED_VALUE"""),9627400.0)</f>
        <v>9627400</v>
      </c>
      <c r="G565" s="5">
        <f t="shared" si="1"/>
        <v>225</v>
      </c>
    </row>
    <row r="566">
      <c r="A566" s="4">
        <f>IFERROR(__xludf.DUMMYFUNCTION("""COMPUTED_VALUE"""),44673.66666666667)</f>
        <v>44673.66667</v>
      </c>
      <c r="B566" s="5">
        <f>IFERROR(__xludf.DUMMYFUNCTION("""COMPUTED_VALUE"""),6075.0)</f>
        <v>6075</v>
      </c>
      <c r="C566" s="5">
        <f>IFERROR(__xludf.DUMMYFUNCTION("""COMPUTED_VALUE"""),6125.0)</f>
        <v>6125</v>
      </c>
      <c r="D566" s="5">
        <f>IFERROR(__xludf.DUMMYFUNCTION("""COMPUTED_VALUE"""),5950.0)</f>
        <v>5950</v>
      </c>
      <c r="E566" s="5">
        <f>IFERROR(__xludf.DUMMYFUNCTION("""COMPUTED_VALUE"""),6000.0)</f>
        <v>6000</v>
      </c>
      <c r="F566" s="5">
        <f>IFERROR(__xludf.DUMMYFUNCTION("""COMPUTED_VALUE"""),7579500.0)</f>
        <v>7579500</v>
      </c>
      <c r="G566" s="5">
        <f t="shared" si="1"/>
        <v>175</v>
      </c>
    </row>
    <row r="567">
      <c r="A567" s="4">
        <f>IFERROR(__xludf.DUMMYFUNCTION("""COMPUTED_VALUE"""),44676.66666666667)</f>
        <v>44676.66667</v>
      </c>
      <c r="B567" s="5">
        <f>IFERROR(__xludf.DUMMYFUNCTION("""COMPUTED_VALUE"""),6000.0)</f>
        <v>6000</v>
      </c>
      <c r="C567" s="5">
        <f>IFERROR(__xludf.DUMMYFUNCTION("""COMPUTED_VALUE"""),6025.0)</f>
        <v>6025</v>
      </c>
      <c r="D567" s="5">
        <f>IFERROR(__xludf.DUMMYFUNCTION("""COMPUTED_VALUE"""),5925.0)</f>
        <v>5925</v>
      </c>
      <c r="E567" s="5">
        <f>IFERROR(__xludf.DUMMYFUNCTION("""COMPUTED_VALUE"""),5975.0)</f>
        <v>5975</v>
      </c>
      <c r="F567" s="5">
        <f>IFERROR(__xludf.DUMMYFUNCTION("""COMPUTED_VALUE"""),7102500.0)</f>
        <v>7102500</v>
      </c>
      <c r="G567" s="5">
        <f t="shared" si="1"/>
        <v>100</v>
      </c>
    </row>
    <row r="568">
      <c r="A568" s="4">
        <f>IFERROR(__xludf.DUMMYFUNCTION("""COMPUTED_VALUE"""),44677.66666666667)</f>
        <v>44677.66667</v>
      </c>
      <c r="B568" s="5">
        <f>IFERROR(__xludf.DUMMYFUNCTION("""COMPUTED_VALUE"""),5975.0)</f>
        <v>5975</v>
      </c>
      <c r="C568" s="5">
        <f>IFERROR(__xludf.DUMMYFUNCTION("""COMPUTED_VALUE"""),6450.0)</f>
        <v>6450</v>
      </c>
      <c r="D568" s="5">
        <f>IFERROR(__xludf.DUMMYFUNCTION("""COMPUTED_VALUE"""),5975.0)</f>
        <v>5975</v>
      </c>
      <c r="E568" s="5">
        <f>IFERROR(__xludf.DUMMYFUNCTION("""COMPUTED_VALUE"""),6400.0)</f>
        <v>6400</v>
      </c>
      <c r="F568" s="5">
        <f>IFERROR(__xludf.DUMMYFUNCTION("""COMPUTED_VALUE"""),2.22144E7)</f>
        <v>22214400</v>
      </c>
      <c r="G568" s="5">
        <f t="shared" si="1"/>
        <v>475</v>
      </c>
    </row>
    <row r="569">
      <c r="A569" s="4">
        <f>IFERROR(__xludf.DUMMYFUNCTION("""COMPUTED_VALUE"""),44678.66666666667)</f>
        <v>44678.66667</v>
      </c>
      <c r="B569" s="5">
        <f>IFERROR(__xludf.DUMMYFUNCTION("""COMPUTED_VALUE"""),6425.0)</f>
        <v>6425</v>
      </c>
      <c r="C569" s="5">
        <f>IFERROR(__xludf.DUMMYFUNCTION("""COMPUTED_VALUE"""),6525.0)</f>
        <v>6525</v>
      </c>
      <c r="D569" s="5">
        <f>IFERROR(__xludf.DUMMYFUNCTION("""COMPUTED_VALUE"""),6275.0)</f>
        <v>6275</v>
      </c>
      <c r="E569" s="5">
        <f>IFERROR(__xludf.DUMMYFUNCTION("""COMPUTED_VALUE"""),6475.0)</f>
        <v>6475</v>
      </c>
      <c r="F569" s="5">
        <f>IFERROR(__xludf.DUMMYFUNCTION("""COMPUTED_VALUE"""),1.2598E7)</f>
        <v>12598000</v>
      </c>
      <c r="G569" s="5">
        <f t="shared" si="1"/>
        <v>250</v>
      </c>
    </row>
    <row r="570">
      <c r="A570" s="4">
        <f>IFERROR(__xludf.DUMMYFUNCTION("""COMPUTED_VALUE"""),44679.66666666667)</f>
        <v>44679.66667</v>
      </c>
      <c r="B570" s="5">
        <f>IFERROR(__xludf.DUMMYFUNCTION("""COMPUTED_VALUE"""),6475.0)</f>
        <v>6475</v>
      </c>
      <c r="C570" s="5">
        <f>IFERROR(__xludf.DUMMYFUNCTION("""COMPUTED_VALUE"""),6500.0)</f>
        <v>6500</v>
      </c>
      <c r="D570" s="5">
        <f>IFERROR(__xludf.DUMMYFUNCTION("""COMPUTED_VALUE"""),6375.0)</f>
        <v>6375</v>
      </c>
      <c r="E570" s="5">
        <f>IFERROR(__xludf.DUMMYFUNCTION("""COMPUTED_VALUE"""),6400.0)</f>
        <v>6400</v>
      </c>
      <c r="F570" s="5">
        <f>IFERROR(__xludf.DUMMYFUNCTION("""COMPUTED_VALUE"""),1.04798E7)</f>
        <v>10479800</v>
      </c>
      <c r="G570" s="5">
        <f t="shared" si="1"/>
        <v>125</v>
      </c>
    </row>
    <row r="571">
      <c r="A571" s="4">
        <f>IFERROR(__xludf.DUMMYFUNCTION("""COMPUTED_VALUE"""),44690.66666666667)</f>
        <v>44690.66667</v>
      </c>
      <c r="B571" s="5">
        <f>IFERROR(__xludf.DUMMYFUNCTION("""COMPUTED_VALUE"""),6375.0)</f>
        <v>6375</v>
      </c>
      <c r="C571" s="5">
        <f>IFERROR(__xludf.DUMMYFUNCTION("""COMPUTED_VALUE"""),6525.0)</f>
        <v>6525</v>
      </c>
      <c r="D571" s="5">
        <f>IFERROR(__xludf.DUMMYFUNCTION("""COMPUTED_VALUE"""),6050.0)</f>
        <v>6050</v>
      </c>
      <c r="E571" s="5">
        <f>IFERROR(__xludf.DUMMYFUNCTION("""COMPUTED_VALUE"""),6125.0)</f>
        <v>6125</v>
      </c>
      <c r="F571" s="5">
        <f>IFERROR(__xludf.DUMMYFUNCTION("""COMPUTED_VALUE"""),2.34655E7)</f>
        <v>23465500</v>
      </c>
      <c r="G571" s="5">
        <f t="shared" si="1"/>
        <v>475</v>
      </c>
    </row>
    <row r="572">
      <c r="A572" s="4">
        <f>IFERROR(__xludf.DUMMYFUNCTION("""COMPUTED_VALUE"""),44691.66666666667)</f>
        <v>44691.66667</v>
      </c>
      <c r="B572" s="5">
        <f>IFERROR(__xludf.DUMMYFUNCTION("""COMPUTED_VALUE"""),6100.0)</f>
        <v>6100</v>
      </c>
      <c r="C572" s="5">
        <f>IFERROR(__xludf.DUMMYFUNCTION("""COMPUTED_VALUE"""),6225.0)</f>
        <v>6225</v>
      </c>
      <c r="D572" s="5">
        <f>IFERROR(__xludf.DUMMYFUNCTION("""COMPUTED_VALUE"""),5850.0)</f>
        <v>5850</v>
      </c>
      <c r="E572" s="5">
        <f>IFERROR(__xludf.DUMMYFUNCTION("""COMPUTED_VALUE"""),6100.0)</f>
        <v>6100</v>
      </c>
      <c r="F572" s="5">
        <f>IFERROR(__xludf.DUMMYFUNCTION("""COMPUTED_VALUE"""),1.99619E7)</f>
        <v>19961900</v>
      </c>
      <c r="G572" s="5">
        <f t="shared" si="1"/>
        <v>375</v>
      </c>
    </row>
    <row r="573">
      <c r="A573" s="4">
        <f>IFERROR(__xludf.DUMMYFUNCTION("""COMPUTED_VALUE"""),44692.66666666667)</f>
        <v>44692.66667</v>
      </c>
      <c r="B573" s="5">
        <f>IFERROR(__xludf.DUMMYFUNCTION("""COMPUTED_VALUE"""),6150.0)</f>
        <v>6150</v>
      </c>
      <c r="C573" s="5">
        <f>IFERROR(__xludf.DUMMYFUNCTION("""COMPUTED_VALUE"""),6550.0)</f>
        <v>6550</v>
      </c>
      <c r="D573" s="5">
        <f>IFERROR(__xludf.DUMMYFUNCTION("""COMPUTED_VALUE"""),6125.0)</f>
        <v>6125</v>
      </c>
      <c r="E573" s="5">
        <f>IFERROR(__xludf.DUMMYFUNCTION("""COMPUTED_VALUE"""),6475.0)</f>
        <v>6475</v>
      </c>
      <c r="F573" s="5">
        <f>IFERROR(__xludf.DUMMYFUNCTION("""COMPUTED_VALUE"""),1.66528E7)</f>
        <v>16652800</v>
      </c>
      <c r="G573" s="5">
        <f t="shared" si="1"/>
        <v>450</v>
      </c>
    </row>
    <row r="574">
      <c r="A574" s="4">
        <f>IFERROR(__xludf.DUMMYFUNCTION("""COMPUTED_VALUE"""),44693.66666666667)</f>
        <v>44693.66667</v>
      </c>
      <c r="B574" s="5">
        <f>IFERROR(__xludf.DUMMYFUNCTION("""COMPUTED_VALUE"""),6475.0)</f>
        <v>6475</v>
      </c>
      <c r="C574" s="5">
        <f>IFERROR(__xludf.DUMMYFUNCTION("""COMPUTED_VALUE"""),6500.0)</f>
        <v>6500</v>
      </c>
      <c r="D574" s="5">
        <f>IFERROR(__xludf.DUMMYFUNCTION("""COMPUTED_VALUE"""),6225.0)</f>
        <v>6225</v>
      </c>
      <c r="E574" s="5">
        <f>IFERROR(__xludf.DUMMYFUNCTION("""COMPUTED_VALUE"""),6275.0)</f>
        <v>6275</v>
      </c>
      <c r="F574" s="5">
        <f>IFERROR(__xludf.DUMMYFUNCTION("""COMPUTED_VALUE"""),1.70385E7)</f>
        <v>17038500</v>
      </c>
      <c r="G574" s="5">
        <f t="shared" si="1"/>
        <v>275</v>
      </c>
    </row>
    <row r="575">
      <c r="A575" s="4">
        <f>IFERROR(__xludf.DUMMYFUNCTION("""COMPUTED_VALUE"""),44694.66666666667)</f>
        <v>44694.66667</v>
      </c>
      <c r="B575" s="5">
        <f>IFERROR(__xludf.DUMMYFUNCTION("""COMPUTED_VALUE"""),6375.0)</f>
        <v>6375</v>
      </c>
      <c r="C575" s="5">
        <f>IFERROR(__xludf.DUMMYFUNCTION("""COMPUTED_VALUE"""),6375.0)</f>
        <v>6375</v>
      </c>
      <c r="D575" s="5">
        <f>IFERROR(__xludf.DUMMYFUNCTION("""COMPUTED_VALUE"""),6175.0)</f>
        <v>6175</v>
      </c>
      <c r="E575" s="5">
        <f>IFERROR(__xludf.DUMMYFUNCTION("""COMPUTED_VALUE"""),6300.0)</f>
        <v>6300</v>
      </c>
      <c r="F575" s="5">
        <f>IFERROR(__xludf.DUMMYFUNCTION("""COMPUTED_VALUE"""),1.12669E7)</f>
        <v>11266900</v>
      </c>
      <c r="G575" s="5">
        <f t="shared" si="1"/>
        <v>200</v>
      </c>
    </row>
    <row r="576">
      <c r="A576" s="4">
        <f>IFERROR(__xludf.DUMMYFUNCTION("""COMPUTED_VALUE"""),44698.66666666667)</f>
        <v>44698.66667</v>
      </c>
      <c r="B576" s="5">
        <f>IFERROR(__xludf.DUMMYFUNCTION("""COMPUTED_VALUE"""),6300.0)</f>
        <v>6300</v>
      </c>
      <c r="C576" s="5">
        <f>IFERROR(__xludf.DUMMYFUNCTION("""COMPUTED_VALUE"""),6450.0)</f>
        <v>6450</v>
      </c>
      <c r="D576" s="5">
        <f>IFERROR(__xludf.DUMMYFUNCTION("""COMPUTED_VALUE"""),6300.0)</f>
        <v>6300</v>
      </c>
      <c r="E576" s="5">
        <f>IFERROR(__xludf.DUMMYFUNCTION("""COMPUTED_VALUE"""),6350.0)</f>
        <v>6350</v>
      </c>
      <c r="F576" s="5">
        <f>IFERROR(__xludf.DUMMYFUNCTION("""COMPUTED_VALUE"""),1.02706E7)</f>
        <v>10270600</v>
      </c>
      <c r="G576" s="5">
        <f t="shared" si="1"/>
        <v>150</v>
      </c>
    </row>
    <row r="577">
      <c r="A577" s="4">
        <f>IFERROR(__xludf.DUMMYFUNCTION("""COMPUTED_VALUE"""),44699.66666666667)</f>
        <v>44699.66667</v>
      </c>
      <c r="B577" s="5">
        <f>IFERROR(__xludf.DUMMYFUNCTION("""COMPUTED_VALUE"""),6400.0)</f>
        <v>6400</v>
      </c>
      <c r="C577" s="5">
        <f>IFERROR(__xludf.DUMMYFUNCTION("""COMPUTED_VALUE"""),6550.0)</f>
        <v>6550</v>
      </c>
      <c r="D577" s="5">
        <f>IFERROR(__xludf.DUMMYFUNCTION("""COMPUTED_VALUE"""),6325.0)</f>
        <v>6325</v>
      </c>
      <c r="E577" s="5">
        <f>IFERROR(__xludf.DUMMYFUNCTION("""COMPUTED_VALUE"""),6475.0)</f>
        <v>6475</v>
      </c>
      <c r="F577" s="5">
        <f>IFERROR(__xludf.DUMMYFUNCTION("""COMPUTED_VALUE"""),1.01337E7)</f>
        <v>10133700</v>
      </c>
      <c r="G577" s="5">
        <f t="shared" si="1"/>
        <v>225</v>
      </c>
    </row>
    <row r="578">
      <c r="A578" s="4">
        <f>IFERROR(__xludf.DUMMYFUNCTION("""COMPUTED_VALUE"""),44700.66666666667)</f>
        <v>44700.66667</v>
      </c>
      <c r="B578" s="5">
        <f>IFERROR(__xludf.DUMMYFUNCTION("""COMPUTED_VALUE"""),6375.0)</f>
        <v>6375</v>
      </c>
      <c r="C578" s="5">
        <f>IFERROR(__xludf.DUMMYFUNCTION("""COMPUTED_VALUE"""),6375.0)</f>
        <v>6375</v>
      </c>
      <c r="D578" s="5">
        <f>IFERROR(__xludf.DUMMYFUNCTION("""COMPUTED_VALUE"""),6225.0)</f>
        <v>6225</v>
      </c>
      <c r="E578" s="5">
        <f>IFERROR(__xludf.DUMMYFUNCTION("""COMPUTED_VALUE"""),6225.0)</f>
        <v>6225</v>
      </c>
      <c r="F578" s="5">
        <f>IFERROR(__xludf.DUMMYFUNCTION("""COMPUTED_VALUE"""),1.00265E7)</f>
        <v>10026500</v>
      </c>
      <c r="G578" s="5">
        <f t="shared" si="1"/>
        <v>250</v>
      </c>
    </row>
    <row r="579">
      <c r="A579" s="4">
        <f>IFERROR(__xludf.DUMMYFUNCTION("""COMPUTED_VALUE"""),44701.66666666667)</f>
        <v>44701.66667</v>
      </c>
      <c r="B579" s="5">
        <f>IFERROR(__xludf.DUMMYFUNCTION("""COMPUTED_VALUE"""),6275.0)</f>
        <v>6275</v>
      </c>
      <c r="C579" s="5">
        <f>IFERROR(__xludf.DUMMYFUNCTION("""COMPUTED_VALUE"""),6425.0)</f>
        <v>6425</v>
      </c>
      <c r="D579" s="5">
        <f>IFERROR(__xludf.DUMMYFUNCTION("""COMPUTED_VALUE"""),6225.0)</f>
        <v>6225</v>
      </c>
      <c r="E579" s="5">
        <f>IFERROR(__xludf.DUMMYFUNCTION("""COMPUTED_VALUE"""),6350.0)</f>
        <v>6350</v>
      </c>
      <c r="F579" s="5">
        <f>IFERROR(__xludf.DUMMYFUNCTION("""COMPUTED_VALUE"""),9837800.0)</f>
        <v>9837800</v>
      </c>
      <c r="G579" s="5">
        <f t="shared" si="1"/>
        <v>200</v>
      </c>
    </row>
    <row r="580">
      <c r="A580" s="4">
        <f>IFERROR(__xludf.DUMMYFUNCTION("""COMPUTED_VALUE"""),44704.66666666667)</f>
        <v>44704.66667</v>
      </c>
      <c r="B580" s="5">
        <f>IFERROR(__xludf.DUMMYFUNCTION("""COMPUTED_VALUE"""),6450.0)</f>
        <v>6450</v>
      </c>
      <c r="C580" s="5">
        <f>IFERROR(__xludf.DUMMYFUNCTION("""COMPUTED_VALUE"""),6525.0)</f>
        <v>6525</v>
      </c>
      <c r="D580" s="5">
        <f>IFERROR(__xludf.DUMMYFUNCTION("""COMPUTED_VALUE"""),6350.0)</f>
        <v>6350</v>
      </c>
      <c r="E580" s="5">
        <f>IFERROR(__xludf.DUMMYFUNCTION("""COMPUTED_VALUE"""),6500.0)</f>
        <v>6500</v>
      </c>
      <c r="F580" s="5">
        <f>IFERROR(__xludf.DUMMYFUNCTION("""COMPUTED_VALUE"""),1.32516E7)</f>
        <v>13251600</v>
      </c>
      <c r="G580" s="5">
        <f t="shared" si="1"/>
        <v>175</v>
      </c>
    </row>
    <row r="581">
      <c r="A581" s="4">
        <f>IFERROR(__xludf.DUMMYFUNCTION("""COMPUTED_VALUE"""),44705.66666666667)</f>
        <v>44705.66667</v>
      </c>
      <c r="B581" s="5">
        <f>IFERROR(__xludf.DUMMYFUNCTION("""COMPUTED_VALUE"""),6525.0)</f>
        <v>6525</v>
      </c>
      <c r="C581" s="5">
        <f>IFERROR(__xludf.DUMMYFUNCTION("""COMPUTED_VALUE"""),6775.0)</f>
        <v>6775</v>
      </c>
      <c r="D581" s="5">
        <f>IFERROR(__xludf.DUMMYFUNCTION("""COMPUTED_VALUE"""),6450.0)</f>
        <v>6450</v>
      </c>
      <c r="E581" s="5">
        <f>IFERROR(__xludf.DUMMYFUNCTION("""COMPUTED_VALUE"""),6700.0)</f>
        <v>6700</v>
      </c>
      <c r="F581" s="5">
        <f>IFERROR(__xludf.DUMMYFUNCTION("""COMPUTED_VALUE"""),2.07826E7)</f>
        <v>20782600</v>
      </c>
      <c r="G581" s="5">
        <f t="shared" si="1"/>
        <v>325</v>
      </c>
    </row>
    <row r="582">
      <c r="A582" s="4">
        <f>IFERROR(__xludf.DUMMYFUNCTION("""COMPUTED_VALUE"""),44706.66666666667)</f>
        <v>44706.66667</v>
      </c>
      <c r="B582" s="5">
        <f>IFERROR(__xludf.DUMMYFUNCTION("""COMPUTED_VALUE"""),6700.0)</f>
        <v>6700</v>
      </c>
      <c r="C582" s="5">
        <f>IFERROR(__xludf.DUMMYFUNCTION("""COMPUTED_VALUE"""),6725.0)</f>
        <v>6725</v>
      </c>
      <c r="D582" s="5">
        <f>IFERROR(__xludf.DUMMYFUNCTION("""COMPUTED_VALUE"""),6500.0)</f>
        <v>6500</v>
      </c>
      <c r="E582" s="5">
        <f>IFERROR(__xludf.DUMMYFUNCTION("""COMPUTED_VALUE"""),6525.0)</f>
        <v>6525</v>
      </c>
      <c r="F582" s="5">
        <f>IFERROR(__xludf.DUMMYFUNCTION("""COMPUTED_VALUE"""),9029700.0)</f>
        <v>9029700</v>
      </c>
      <c r="G582" s="5">
        <f t="shared" si="1"/>
        <v>225</v>
      </c>
    </row>
    <row r="583">
      <c r="A583" s="4">
        <f>IFERROR(__xludf.DUMMYFUNCTION("""COMPUTED_VALUE"""),44708.66666666667)</f>
        <v>44708.66667</v>
      </c>
      <c r="B583" s="5">
        <f>IFERROR(__xludf.DUMMYFUNCTION("""COMPUTED_VALUE"""),6600.0)</f>
        <v>6600</v>
      </c>
      <c r="C583" s="5">
        <f>IFERROR(__xludf.DUMMYFUNCTION("""COMPUTED_VALUE"""),6850.0)</f>
        <v>6850</v>
      </c>
      <c r="D583" s="5">
        <f>IFERROR(__xludf.DUMMYFUNCTION("""COMPUTED_VALUE"""),6600.0)</f>
        <v>6600</v>
      </c>
      <c r="E583" s="5">
        <f>IFERROR(__xludf.DUMMYFUNCTION("""COMPUTED_VALUE"""),6700.0)</f>
        <v>6700</v>
      </c>
      <c r="F583" s="5">
        <f>IFERROR(__xludf.DUMMYFUNCTION("""COMPUTED_VALUE"""),1.97857E7)</f>
        <v>19785700</v>
      </c>
      <c r="G583" s="5">
        <f t="shared" si="1"/>
        <v>325</v>
      </c>
    </row>
    <row r="584">
      <c r="A584" s="4">
        <f>IFERROR(__xludf.DUMMYFUNCTION("""COMPUTED_VALUE"""),44711.66666666667)</f>
        <v>44711.66667</v>
      </c>
      <c r="B584" s="5">
        <f>IFERROR(__xludf.DUMMYFUNCTION("""COMPUTED_VALUE"""),6850.0)</f>
        <v>6850</v>
      </c>
      <c r="C584" s="5">
        <f>IFERROR(__xludf.DUMMYFUNCTION("""COMPUTED_VALUE"""),7375.0)</f>
        <v>7375</v>
      </c>
      <c r="D584" s="5">
        <f>IFERROR(__xludf.DUMMYFUNCTION("""COMPUTED_VALUE"""),6850.0)</f>
        <v>6850</v>
      </c>
      <c r="E584" s="5">
        <f>IFERROR(__xludf.DUMMYFUNCTION("""COMPUTED_VALUE"""),7175.0)</f>
        <v>7175</v>
      </c>
      <c r="F584" s="5">
        <f>IFERROR(__xludf.DUMMYFUNCTION("""COMPUTED_VALUE"""),6.80602E7)</f>
        <v>68060200</v>
      </c>
      <c r="G584" s="5">
        <f t="shared" si="1"/>
        <v>675</v>
      </c>
    </row>
    <row r="585">
      <c r="A585" s="4">
        <f>IFERROR(__xludf.DUMMYFUNCTION("""COMPUTED_VALUE"""),44712.66666666667)</f>
        <v>44712.66667</v>
      </c>
      <c r="B585" s="5">
        <f>IFERROR(__xludf.DUMMYFUNCTION("""COMPUTED_VALUE"""),7200.0)</f>
        <v>7200</v>
      </c>
      <c r="C585" s="5">
        <f>IFERROR(__xludf.DUMMYFUNCTION("""COMPUTED_VALUE"""),7300.0)</f>
        <v>7300</v>
      </c>
      <c r="D585" s="5">
        <f>IFERROR(__xludf.DUMMYFUNCTION("""COMPUTED_VALUE"""),7075.0)</f>
        <v>7075</v>
      </c>
      <c r="E585" s="5">
        <f>IFERROR(__xludf.DUMMYFUNCTION("""COMPUTED_VALUE"""),7300.0)</f>
        <v>7300</v>
      </c>
      <c r="F585" s="5">
        <f>IFERROR(__xludf.DUMMYFUNCTION("""COMPUTED_VALUE"""),1.84038E7)</f>
        <v>18403800</v>
      </c>
      <c r="G585" s="5">
        <f t="shared" si="1"/>
        <v>225</v>
      </c>
    </row>
    <row r="586">
      <c r="A586" s="4">
        <f>IFERROR(__xludf.DUMMYFUNCTION("""COMPUTED_VALUE"""),44714.66666666667)</f>
        <v>44714.66667</v>
      </c>
      <c r="B586" s="5">
        <f>IFERROR(__xludf.DUMMYFUNCTION("""COMPUTED_VALUE"""),7300.0)</f>
        <v>7300</v>
      </c>
      <c r="C586" s="5">
        <f>IFERROR(__xludf.DUMMYFUNCTION("""COMPUTED_VALUE"""),7450.0)</f>
        <v>7450</v>
      </c>
      <c r="D586" s="5">
        <f>IFERROR(__xludf.DUMMYFUNCTION("""COMPUTED_VALUE"""),7100.0)</f>
        <v>7100</v>
      </c>
      <c r="E586" s="5">
        <f>IFERROR(__xludf.DUMMYFUNCTION("""COMPUTED_VALUE"""),7175.0)</f>
        <v>7175</v>
      </c>
      <c r="F586" s="5">
        <f>IFERROR(__xludf.DUMMYFUNCTION("""COMPUTED_VALUE"""),1.74884E7)</f>
        <v>17488400</v>
      </c>
      <c r="G586" s="5">
        <f t="shared" si="1"/>
        <v>350</v>
      </c>
    </row>
    <row r="587">
      <c r="A587" s="4">
        <f>IFERROR(__xludf.DUMMYFUNCTION("""COMPUTED_VALUE"""),44715.66666666667)</f>
        <v>44715.66667</v>
      </c>
      <c r="B587" s="5">
        <f>IFERROR(__xludf.DUMMYFUNCTION("""COMPUTED_VALUE"""),7200.0)</f>
        <v>7200</v>
      </c>
      <c r="C587" s="5">
        <f>IFERROR(__xludf.DUMMYFUNCTION("""COMPUTED_VALUE"""),7300.0)</f>
        <v>7300</v>
      </c>
      <c r="D587" s="5">
        <f>IFERROR(__xludf.DUMMYFUNCTION("""COMPUTED_VALUE"""),7100.0)</f>
        <v>7100</v>
      </c>
      <c r="E587" s="5">
        <f>IFERROR(__xludf.DUMMYFUNCTION("""COMPUTED_VALUE"""),7100.0)</f>
        <v>7100</v>
      </c>
      <c r="F587" s="5">
        <f>IFERROR(__xludf.DUMMYFUNCTION("""COMPUTED_VALUE"""),8209300.0)</f>
        <v>8209300</v>
      </c>
      <c r="G587" s="5">
        <f t="shared" si="1"/>
        <v>200</v>
      </c>
    </row>
    <row r="588">
      <c r="A588" s="4">
        <f>IFERROR(__xludf.DUMMYFUNCTION("""COMPUTED_VALUE"""),44718.66666666667)</f>
        <v>44718.66667</v>
      </c>
      <c r="B588" s="5">
        <f>IFERROR(__xludf.DUMMYFUNCTION("""COMPUTED_VALUE"""),7100.0)</f>
        <v>7100</v>
      </c>
      <c r="C588" s="5">
        <f>IFERROR(__xludf.DUMMYFUNCTION("""COMPUTED_VALUE"""),7200.0)</f>
        <v>7200</v>
      </c>
      <c r="D588" s="5">
        <f>IFERROR(__xludf.DUMMYFUNCTION("""COMPUTED_VALUE"""),6925.0)</f>
        <v>6925</v>
      </c>
      <c r="E588" s="5">
        <f>IFERROR(__xludf.DUMMYFUNCTION("""COMPUTED_VALUE"""),7200.0)</f>
        <v>7200</v>
      </c>
      <c r="F588" s="5">
        <f>IFERROR(__xludf.DUMMYFUNCTION("""COMPUTED_VALUE"""),1.13403E7)</f>
        <v>11340300</v>
      </c>
      <c r="G588" s="5">
        <f t="shared" si="1"/>
        <v>275</v>
      </c>
    </row>
    <row r="589">
      <c r="A589" s="4">
        <f>IFERROR(__xludf.DUMMYFUNCTION("""COMPUTED_VALUE"""),44719.66666666667)</f>
        <v>44719.66667</v>
      </c>
      <c r="B589" s="5">
        <f>IFERROR(__xludf.DUMMYFUNCTION("""COMPUTED_VALUE"""),7200.0)</f>
        <v>7200</v>
      </c>
      <c r="C589" s="5">
        <f>IFERROR(__xludf.DUMMYFUNCTION("""COMPUTED_VALUE"""),7275.0)</f>
        <v>7275</v>
      </c>
      <c r="D589" s="5">
        <f>IFERROR(__xludf.DUMMYFUNCTION("""COMPUTED_VALUE"""),7100.0)</f>
        <v>7100</v>
      </c>
      <c r="E589" s="5">
        <f>IFERROR(__xludf.DUMMYFUNCTION("""COMPUTED_VALUE"""),7150.0)</f>
        <v>7150</v>
      </c>
      <c r="F589" s="5">
        <f>IFERROR(__xludf.DUMMYFUNCTION("""COMPUTED_VALUE"""),1.14095E7)</f>
        <v>11409500</v>
      </c>
      <c r="G589" s="5">
        <f t="shared" si="1"/>
        <v>175</v>
      </c>
    </row>
    <row r="590">
      <c r="A590" s="4">
        <f>IFERROR(__xludf.DUMMYFUNCTION("""COMPUTED_VALUE"""),44720.66666666667)</f>
        <v>44720.66667</v>
      </c>
      <c r="B590" s="5">
        <f>IFERROR(__xludf.DUMMYFUNCTION("""COMPUTED_VALUE"""),7150.0)</f>
        <v>7150</v>
      </c>
      <c r="C590" s="5">
        <f>IFERROR(__xludf.DUMMYFUNCTION("""COMPUTED_VALUE"""),7250.0)</f>
        <v>7250</v>
      </c>
      <c r="D590" s="5">
        <f>IFERROR(__xludf.DUMMYFUNCTION("""COMPUTED_VALUE"""),7125.0)</f>
        <v>7125</v>
      </c>
      <c r="E590" s="5">
        <f>IFERROR(__xludf.DUMMYFUNCTION("""COMPUTED_VALUE"""),7225.0)</f>
        <v>7225</v>
      </c>
      <c r="F590" s="5">
        <f>IFERROR(__xludf.DUMMYFUNCTION("""COMPUTED_VALUE"""),5756400.0)</f>
        <v>5756400</v>
      </c>
      <c r="G590" s="5">
        <f t="shared" si="1"/>
        <v>125</v>
      </c>
    </row>
    <row r="591">
      <c r="A591" s="4">
        <f>IFERROR(__xludf.DUMMYFUNCTION("""COMPUTED_VALUE"""),44721.66666666667)</f>
        <v>44721.66667</v>
      </c>
      <c r="B591" s="5">
        <f>IFERROR(__xludf.DUMMYFUNCTION("""COMPUTED_VALUE"""),7225.0)</f>
        <v>7225</v>
      </c>
      <c r="C591" s="5">
        <f>IFERROR(__xludf.DUMMYFUNCTION("""COMPUTED_VALUE"""),7250.0)</f>
        <v>7250</v>
      </c>
      <c r="D591" s="5">
        <f>IFERROR(__xludf.DUMMYFUNCTION("""COMPUTED_VALUE"""),7000.0)</f>
        <v>7000</v>
      </c>
      <c r="E591" s="5">
        <f>IFERROR(__xludf.DUMMYFUNCTION("""COMPUTED_VALUE"""),7000.0)</f>
        <v>7000</v>
      </c>
      <c r="F591" s="5">
        <f>IFERROR(__xludf.DUMMYFUNCTION("""COMPUTED_VALUE"""),1.18531E7)</f>
        <v>11853100</v>
      </c>
      <c r="G591" s="5">
        <f t="shared" si="1"/>
        <v>250</v>
      </c>
    </row>
    <row r="592">
      <c r="A592" s="4">
        <f>IFERROR(__xludf.DUMMYFUNCTION("""COMPUTED_VALUE"""),44722.66666666667)</f>
        <v>44722.66667</v>
      </c>
      <c r="B592" s="5">
        <f>IFERROR(__xludf.DUMMYFUNCTION("""COMPUTED_VALUE"""),7000.0)</f>
        <v>7000</v>
      </c>
      <c r="C592" s="5">
        <f>IFERROR(__xludf.DUMMYFUNCTION("""COMPUTED_VALUE"""),7050.0)</f>
        <v>7050</v>
      </c>
      <c r="D592" s="5">
        <f>IFERROR(__xludf.DUMMYFUNCTION("""COMPUTED_VALUE"""),6800.0)</f>
        <v>6800</v>
      </c>
      <c r="E592" s="5">
        <f>IFERROR(__xludf.DUMMYFUNCTION("""COMPUTED_VALUE"""),6900.0)</f>
        <v>6900</v>
      </c>
      <c r="F592" s="5">
        <f>IFERROR(__xludf.DUMMYFUNCTION("""COMPUTED_VALUE"""),1.04012E7)</f>
        <v>10401200</v>
      </c>
      <c r="G592" s="5">
        <f t="shared" si="1"/>
        <v>250</v>
      </c>
    </row>
    <row r="593">
      <c r="A593" s="4">
        <f>IFERROR(__xludf.DUMMYFUNCTION("""COMPUTED_VALUE"""),44725.66666666667)</f>
        <v>44725.66667</v>
      </c>
      <c r="B593" s="5">
        <f>IFERROR(__xludf.DUMMYFUNCTION("""COMPUTED_VALUE"""),6675.0)</f>
        <v>6675</v>
      </c>
      <c r="C593" s="5">
        <f>IFERROR(__xludf.DUMMYFUNCTION("""COMPUTED_VALUE"""),6725.0)</f>
        <v>6725</v>
      </c>
      <c r="D593" s="5">
        <f>IFERROR(__xludf.DUMMYFUNCTION("""COMPUTED_VALUE"""),6475.0)</f>
        <v>6475</v>
      </c>
      <c r="E593" s="5">
        <f>IFERROR(__xludf.DUMMYFUNCTION("""COMPUTED_VALUE"""),6550.0)</f>
        <v>6550</v>
      </c>
      <c r="F593" s="5">
        <f>IFERROR(__xludf.DUMMYFUNCTION("""COMPUTED_VALUE"""),1.54247E7)</f>
        <v>15424700</v>
      </c>
      <c r="G593" s="5">
        <f t="shared" si="1"/>
        <v>425</v>
      </c>
    </row>
    <row r="594">
      <c r="A594" s="4">
        <f>IFERROR(__xludf.DUMMYFUNCTION("""COMPUTED_VALUE"""),44726.66666666667)</f>
        <v>44726.66667</v>
      </c>
      <c r="B594" s="5">
        <f>IFERROR(__xludf.DUMMYFUNCTION("""COMPUTED_VALUE"""),6550.0)</f>
        <v>6550</v>
      </c>
      <c r="C594" s="5">
        <f>IFERROR(__xludf.DUMMYFUNCTION("""COMPUTED_VALUE"""),6875.0)</f>
        <v>6875</v>
      </c>
      <c r="D594" s="5">
        <f>IFERROR(__xludf.DUMMYFUNCTION("""COMPUTED_VALUE"""),6475.0)</f>
        <v>6475</v>
      </c>
      <c r="E594" s="5">
        <f>IFERROR(__xludf.DUMMYFUNCTION("""COMPUTED_VALUE"""),6825.0)</f>
        <v>6825</v>
      </c>
      <c r="F594" s="5">
        <f>IFERROR(__xludf.DUMMYFUNCTION("""COMPUTED_VALUE"""),1.61169E7)</f>
        <v>16116900</v>
      </c>
      <c r="G594" s="5">
        <f t="shared" si="1"/>
        <v>400</v>
      </c>
    </row>
    <row r="595">
      <c r="A595" s="4">
        <f>IFERROR(__xludf.DUMMYFUNCTION("""COMPUTED_VALUE"""),44727.66666666667)</f>
        <v>44727.66667</v>
      </c>
      <c r="B595" s="5">
        <f>IFERROR(__xludf.DUMMYFUNCTION("""COMPUTED_VALUE"""),6875.0)</f>
        <v>6875</v>
      </c>
      <c r="C595" s="5">
        <f>IFERROR(__xludf.DUMMYFUNCTION("""COMPUTED_VALUE"""),6975.0)</f>
        <v>6975</v>
      </c>
      <c r="D595" s="5">
        <f>IFERROR(__xludf.DUMMYFUNCTION("""COMPUTED_VALUE"""),6700.0)</f>
        <v>6700</v>
      </c>
      <c r="E595" s="5">
        <f>IFERROR(__xludf.DUMMYFUNCTION("""COMPUTED_VALUE"""),6900.0)</f>
        <v>6900</v>
      </c>
      <c r="F595" s="5">
        <f>IFERROR(__xludf.DUMMYFUNCTION("""COMPUTED_VALUE"""),9268400.0)</f>
        <v>9268400</v>
      </c>
      <c r="G595" s="5">
        <f t="shared" si="1"/>
        <v>275</v>
      </c>
    </row>
    <row r="596">
      <c r="A596" s="4">
        <f>IFERROR(__xludf.DUMMYFUNCTION("""COMPUTED_VALUE"""),44728.66666666667)</f>
        <v>44728.66667</v>
      </c>
      <c r="B596" s="5">
        <f>IFERROR(__xludf.DUMMYFUNCTION("""COMPUTED_VALUE"""),6950.0)</f>
        <v>6950</v>
      </c>
      <c r="C596" s="5">
        <f>IFERROR(__xludf.DUMMYFUNCTION("""COMPUTED_VALUE"""),6975.0)</f>
        <v>6975</v>
      </c>
      <c r="D596" s="5">
        <f>IFERROR(__xludf.DUMMYFUNCTION("""COMPUTED_VALUE"""),6825.0)</f>
        <v>6825</v>
      </c>
      <c r="E596" s="5">
        <f>IFERROR(__xludf.DUMMYFUNCTION("""COMPUTED_VALUE"""),6900.0)</f>
        <v>6900</v>
      </c>
      <c r="F596" s="5">
        <f>IFERROR(__xludf.DUMMYFUNCTION("""COMPUTED_VALUE"""),9092600.0)</f>
        <v>9092600</v>
      </c>
      <c r="G596" s="5">
        <f t="shared" si="1"/>
        <v>150</v>
      </c>
    </row>
    <row r="597">
      <c r="A597" s="4">
        <f>IFERROR(__xludf.DUMMYFUNCTION("""COMPUTED_VALUE"""),44729.66666666667)</f>
        <v>44729.66667</v>
      </c>
      <c r="B597" s="5">
        <f>IFERROR(__xludf.DUMMYFUNCTION("""COMPUTED_VALUE"""),6850.0)</f>
        <v>6850</v>
      </c>
      <c r="C597" s="5">
        <f>IFERROR(__xludf.DUMMYFUNCTION("""COMPUTED_VALUE"""),6900.0)</f>
        <v>6900</v>
      </c>
      <c r="D597" s="5">
        <f>IFERROR(__xludf.DUMMYFUNCTION("""COMPUTED_VALUE"""),6725.0)</f>
        <v>6725</v>
      </c>
      <c r="E597" s="5">
        <f>IFERROR(__xludf.DUMMYFUNCTION("""COMPUTED_VALUE"""),6825.0)</f>
        <v>6825</v>
      </c>
      <c r="F597" s="5">
        <f>IFERROR(__xludf.DUMMYFUNCTION("""COMPUTED_VALUE"""),6241400.0)</f>
        <v>6241400</v>
      </c>
      <c r="G597" s="5">
        <f t="shared" si="1"/>
        <v>175</v>
      </c>
    </row>
    <row r="598">
      <c r="A598" s="4">
        <f>IFERROR(__xludf.DUMMYFUNCTION("""COMPUTED_VALUE"""),44732.66666666667)</f>
        <v>44732.66667</v>
      </c>
      <c r="B598" s="5">
        <f>IFERROR(__xludf.DUMMYFUNCTION("""COMPUTED_VALUE"""),6875.0)</f>
        <v>6875</v>
      </c>
      <c r="C598" s="5">
        <f>IFERROR(__xludf.DUMMYFUNCTION("""COMPUTED_VALUE"""),7125.0)</f>
        <v>7125</v>
      </c>
      <c r="D598" s="5">
        <f>IFERROR(__xludf.DUMMYFUNCTION("""COMPUTED_VALUE"""),6750.0)</f>
        <v>6750</v>
      </c>
      <c r="E598" s="5">
        <f>IFERROR(__xludf.DUMMYFUNCTION("""COMPUTED_VALUE"""),7100.0)</f>
        <v>7100</v>
      </c>
      <c r="F598" s="5">
        <f>IFERROR(__xludf.DUMMYFUNCTION("""COMPUTED_VALUE"""),1.12565E7)</f>
        <v>11256500</v>
      </c>
      <c r="G598" s="5">
        <f t="shared" si="1"/>
        <v>375</v>
      </c>
    </row>
    <row r="599">
      <c r="A599" s="4">
        <f>IFERROR(__xludf.DUMMYFUNCTION("""COMPUTED_VALUE"""),44733.66666666667)</f>
        <v>44733.66667</v>
      </c>
      <c r="B599" s="5">
        <f>IFERROR(__xludf.DUMMYFUNCTION("""COMPUTED_VALUE"""),7200.0)</f>
        <v>7200</v>
      </c>
      <c r="C599" s="5">
        <f>IFERROR(__xludf.DUMMYFUNCTION("""COMPUTED_VALUE"""),7250.0)</f>
        <v>7250</v>
      </c>
      <c r="D599" s="5">
        <f>IFERROR(__xludf.DUMMYFUNCTION("""COMPUTED_VALUE"""),7125.0)</f>
        <v>7125</v>
      </c>
      <c r="E599" s="5">
        <f>IFERROR(__xludf.DUMMYFUNCTION("""COMPUTED_VALUE"""),7150.0)</f>
        <v>7150</v>
      </c>
      <c r="F599" s="5">
        <f>IFERROR(__xludf.DUMMYFUNCTION("""COMPUTED_VALUE"""),1.26405E7)</f>
        <v>12640500</v>
      </c>
      <c r="G599" s="5">
        <f t="shared" si="1"/>
        <v>150</v>
      </c>
    </row>
    <row r="600">
      <c r="A600" s="4">
        <f>IFERROR(__xludf.DUMMYFUNCTION("""COMPUTED_VALUE"""),44734.66666666667)</f>
        <v>44734.66667</v>
      </c>
      <c r="B600" s="5">
        <f>IFERROR(__xludf.DUMMYFUNCTION("""COMPUTED_VALUE"""),7175.0)</f>
        <v>7175</v>
      </c>
      <c r="C600" s="5">
        <f>IFERROR(__xludf.DUMMYFUNCTION("""COMPUTED_VALUE"""),7250.0)</f>
        <v>7250</v>
      </c>
      <c r="D600" s="5">
        <f>IFERROR(__xludf.DUMMYFUNCTION("""COMPUTED_VALUE"""),7075.0)</f>
        <v>7075</v>
      </c>
      <c r="E600" s="5">
        <f>IFERROR(__xludf.DUMMYFUNCTION("""COMPUTED_VALUE"""),7150.0)</f>
        <v>7150</v>
      </c>
      <c r="F600" s="5">
        <f>IFERROR(__xludf.DUMMYFUNCTION("""COMPUTED_VALUE"""),9874600.0)</f>
        <v>9874600</v>
      </c>
      <c r="G600" s="5">
        <f t="shared" si="1"/>
        <v>175</v>
      </c>
    </row>
    <row r="601">
      <c r="A601" s="4">
        <f>IFERROR(__xludf.DUMMYFUNCTION("""COMPUTED_VALUE"""),44735.66666666667)</f>
        <v>44735.66667</v>
      </c>
      <c r="B601" s="5">
        <f>IFERROR(__xludf.DUMMYFUNCTION("""COMPUTED_VALUE"""),7150.0)</f>
        <v>7150</v>
      </c>
      <c r="C601" s="5">
        <f>IFERROR(__xludf.DUMMYFUNCTION("""COMPUTED_VALUE"""),7350.0)</f>
        <v>7350</v>
      </c>
      <c r="D601" s="5">
        <f>IFERROR(__xludf.DUMMYFUNCTION("""COMPUTED_VALUE"""),7000.0)</f>
        <v>7000</v>
      </c>
      <c r="E601" s="5">
        <f>IFERROR(__xludf.DUMMYFUNCTION("""COMPUTED_VALUE"""),7300.0)</f>
        <v>7300</v>
      </c>
      <c r="F601" s="5">
        <f>IFERROR(__xludf.DUMMYFUNCTION("""COMPUTED_VALUE"""),1.36303E7)</f>
        <v>13630300</v>
      </c>
      <c r="G601" s="5">
        <f t="shared" si="1"/>
        <v>350</v>
      </c>
    </row>
    <row r="602">
      <c r="A602" s="4">
        <f>IFERROR(__xludf.DUMMYFUNCTION("""COMPUTED_VALUE"""),44736.66666666667)</f>
        <v>44736.66667</v>
      </c>
      <c r="B602" s="5">
        <f>IFERROR(__xludf.DUMMYFUNCTION("""COMPUTED_VALUE"""),7375.0)</f>
        <v>7375</v>
      </c>
      <c r="C602" s="5">
        <f>IFERROR(__xludf.DUMMYFUNCTION("""COMPUTED_VALUE"""),7650.0)</f>
        <v>7650</v>
      </c>
      <c r="D602" s="5">
        <f>IFERROR(__xludf.DUMMYFUNCTION("""COMPUTED_VALUE"""),7325.0)</f>
        <v>7325</v>
      </c>
      <c r="E602" s="5">
        <f>IFERROR(__xludf.DUMMYFUNCTION("""COMPUTED_VALUE"""),7625.0)</f>
        <v>7625</v>
      </c>
      <c r="F602" s="5">
        <f>IFERROR(__xludf.DUMMYFUNCTION("""COMPUTED_VALUE"""),3.87483E7)</f>
        <v>38748300</v>
      </c>
      <c r="G602" s="5">
        <f t="shared" si="1"/>
        <v>350</v>
      </c>
    </row>
    <row r="603">
      <c r="A603" s="4">
        <f>IFERROR(__xludf.DUMMYFUNCTION("""COMPUTED_VALUE"""),44739.66666666667)</f>
        <v>44739.66667</v>
      </c>
      <c r="B603" s="5">
        <f>IFERROR(__xludf.DUMMYFUNCTION("""COMPUTED_VALUE"""),7675.0)</f>
        <v>7675</v>
      </c>
      <c r="C603" s="5">
        <f>IFERROR(__xludf.DUMMYFUNCTION("""COMPUTED_VALUE"""),7700.0)</f>
        <v>7700</v>
      </c>
      <c r="D603" s="5">
        <f>IFERROR(__xludf.DUMMYFUNCTION("""COMPUTED_VALUE"""),7275.0)</f>
        <v>7275</v>
      </c>
      <c r="E603" s="5">
        <f>IFERROR(__xludf.DUMMYFUNCTION("""COMPUTED_VALUE"""),7325.0)</f>
        <v>7325</v>
      </c>
      <c r="F603" s="5">
        <f>IFERROR(__xludf.DUMMYFUNCTION("""COMPUTED_VALUE"""),1.55079E7)</f>
        <v>15507900</v>
      </c>
      <c r="G603" s="5">
        <f t="shared" si="1"/>
        <v>425</v>
      </c>
    </row>
    <row r="604">
      <c r="A604" s="4">
        <f>IFERROR(__xludf.DUMMYFUNCTION("""COMPUTED_VALUE"""),44740.66666666667)</f>
        <v>44740.66667</v>
      </c>
      <c r="B604" s="5">
        <f>IFERROR(__xludf.DUMMYFUNCTION("""COMPUTED_VALUE"""),7325.0)</f>
        <v>7325</v>
      </c>
      <c r="C604" s="5">
        <f>IFERROR(__xludf.DUMMYFUNCTION("""COMPUTED_VALUE"""),7350.0)</f>
        <v>7350</v>
      </c>
      <c r="D604" s="5">
        <f>IFERROR(__xludf.DUMMYFUNCTION("""COMPUTED_VALUE"""),7100.0)</f>
        <v>7100</v>
      </c>
      <c r="E604" s="5">
        <f>IFERROR(__xludf.DUMMYFUNCTION("""COMPUTED_VALUE"""),7100.0)</f>
        <v>7100</v>
      </c>
      <c r="F604" s="5">
        <f>IFERROR(__xludf.DUMMYFUNCTION("""COMPUTED_VALUE"""),1.67742E7)</f>
        <v>16774200</v>
      </c>
      <c r="G604" s="5">
        <f t="shared" si="1"/>
        <v>250</v>
      </c>
    </row>
    <row r="605">
      <c r="A605" s="4">
        <f>IFERROR(__xludf.DUMMYFUNCTION("""COMPUTED_VALUE"""),44741.66666666667)</f>
        <v>44741.66667</v>
      </c>
      <c r="B605" s="5">
        <f>IFERROR(__xludf.DUMMYFUNCTION("""COMPUTED_VALUE"""),7100.0)</f>
        <v>7100</v>
      </c>
      <c r="C605" s="5">
        <f>IFERROR(__xludf.DUMMYFUNCTION("""COMPUTED_VALUE"""),7350.0)</f>
        <v>7350</v>
      </c>
      <c r="D605" s="5">
        <f>IFERROR(__xludf.DUMMYFUNCTION("""COMPUTED_VALUE"""),7050.0)</f>
        <v>7050</v>
      </c>
      <c r="E605" s="5">
        <f>IFERROR(__xludf.DUMMYFUNCTION("""COMPUTED_VALUE"""),7300.0)</f>
        <v>7300</v>
      </c>
      <c r="F605" s="5">
        <f>IFERROR(__xludf.DUMMYFUNCTION("""COMPUTED_VALUE"""),1.37341E7)</f>
        <v>13734100</v>
      </c>
      <c r="G605" s="5">
        <f t="shared" si="1"/>
        <v>300</v>
      </c>
    </row>
    <row r="606">
      <c r="A606" s="4">
        <f>IFERROR(__xludf.DUMMYFUNCTION("""COMPUTED_VALUE"""),44742.66666666667)</f>
        <v>44742.66667</v>
      </c>
      <c r="B606" s="5">
        <f>IFERROR(__xludf.DUMMYFUNCTION("""COMPUTED_VALUE"""),7325.0)</f>
        <v>7325</v>
      </c>
      <c r="C606" s="5">
        <f>IFERROR(__xludf.DUMMYFUNCTION("""COMPUTED_VALUE"""),7375.0)</f>
        <v>7375</v>
      </c>
      <c r="D606" s="5">
        <f>IFERROR(__xludf.DUMMYFUNCTION("""COMPUTED_VALUE"""),7125.0)</f>
        <v>7125</v>
      </c>
      <c r="E606" s="5">
        <f>IFERROR(__xludf.DUMMYFUNCTION("""COMPUTED_VALUE"""),7125.0)</f>
        <v>7125</v>
      </c>
      <c r="F606" s="5">
        <f>IFERROR(__xludf.DUMMYFUNCTION("""COMPUTED_VALUE"""),7671700.0)</f>
        <v>7671700</v>
      </c>
      <c r="G606" s="5">
        <f t="shared" si="1"/>
        <v>250</v>
      </c>
    </row>
    <row r="607">
      <c r="A607" s="4">
        <f>IFERROR(__xludf.DUMMYFUNCTION("""COMPUTED_VALUE"""),44743.66666666667)</f>
        <v>44743.66667</v>
      </c>
      <c r="B607" s="5">
        <f>IFERROR(__xludf.DUMMYFUNCTION("""COMPUTED_VALUE"""),7125.0)</f>
        <v>7125</v>
      </c>
      <c r="C607" s="5">
        <f>IFERROR(__xludf.DUMMYFUNCTION("""COMPUTED_VALUE"""),7150.0)</f>
        <v>7150</v>
      </c>
      <c r="D607" s="5">
        <f>IFERROR(__xludf.DUMMYFUNCTION("""COMPUTED_VALUE"""),6850.0)</f>
        <v>6850</v>
      </c>
      <c r="E607" s="5">
        <f>IFERROR(__xludf.DUMMYFUNCTION("""COMPUTED_VALUE"""),6875.0)</f>
        <v>6875</v>
      </c>
      <c r="F607" s="5">
        <f>IFERROR(__xludf.DUMMYFUNCTION("""COMPUTED_VALUE"""),8016600.0)</f>
        <v>8016600</v>
      </c>
      <c r="G607" s="5">
        <f t="shared" si="1"/>
        <v>300</v>
      </c>
    </row>
    <row r="608">
      <c r="A608" s="4">
        <f>IFERROR(__xludf.DUMMYFUNCTION("""COMPUTED_VALUE"""),44746.66666666667)</f>
        <v>44746.66667</v>
      </c>
      <c r="B608" s="5">
        <f>IFERROR(__xludf.DUMMYFUNCTION("""COMPUTED_VALUE"""),6875.0)</f>
        <v>6875</v>
      </c>
      <c r="C608" s="5">
        <f>IFERROR(__xludf.DUMMYFUNCTION("""COMPUTED_VALUE"""),6875.0)</f>
        <v>6875</v>
      </c>
      <c r="D608" s="5">
        <f>IFERROR(__xludf.DUMMYFUNCTION("""COMPUTED_VALUE"""),6600.0)</f>
        <v>6600</v>
      </c>
      <c r="E608" s="5">
        <f>IFERROR(__xludf.DUMMYFUNCTION("""COMPUTED_VALUE"""),6800.0)</f>
        <v>6800</v>
      </c>
      <c r="F608" s="5">
        <f>IFERROR(__xludf.DUMMYFUNCTION("""COMPUTED_VALUE"""),9427200.0)</f>
        <v>9427200</v>
      </c>
      <c r="G608" s="5">
        <f t="shared" si="1"/>
        <v>275</v>
      </c>
    </row>
    <row r="609">
      <c r="A609" s="4">
        <f>IFERROR(__xludf.DUMMYFUNCTION("""COMPUTED_VALUE"""),44747.66666666667)</f>
        <v>44747.66667</v>
      </c>
      <c r="B609" s="5">
        <f>IFERROR(__xludf.DUMMYFUNCTION("""COMPUTED_VALUE"""),6800.0)</f>
        <v>6800</v>
      </c>
      <c r="C609" s="5">
        <f>IFERROR(__xludf.DUMMYFUNCTION("""COMPUTED_VALUE"""),6900.0)</f>
        <v>6900</v>
      </c>
      <c r="D609" s="5">
        <f>IFERROR(__xludf.DUMMYFUNCTION("""COMPUTED_VALUE"""),6700.0)</f>
        <v>6700</v>
      </c>
      <c r="E609" s="5">
        <f>IFERROR(__xludf.DUMMYFUNCTION("""COMPUTED_VALUE"""),6700.0)</f>
        <v>6700</v>
      </c>
      <c r="F609" s="5">
        <f>IFERROR(__xludf.DUMMYFUNCTION("""COMPUTED_VALUE"""),5651100.0)</f>
        <v>5651100</v>
      </c>
      <c r="G609" s="5">
        <f t="shared" si="1"/>
        <v>200</v>
      </c>
    </row>
    <row r="610">
      <c r="A610" s="4">
        <f>IFERROR(__xludf.DUMMYFUNCTION("""COMPUTED_VALUE"""),44748.66666666667)</f>
        <v>44748.66667</v>
      </c>
      <c r="B610" s="5">
        <f>IFERROR(__xludf.DUMMYFUNCTION("""COMPUTED_VALUE"""),6700.0)</f>
        <v>6700</v>
      </c>
      <c r="C610" s="5">
        <f>IFERROR(__xludf.DUMMYFUNCTION("""COMPUTED_VALUE"""),6800.0)</f>
        <v>6800</v>
      </c>
      <c r="D610" s="5">
        <f>IFERROR(__xludf.DUMMYFUNCTION("""COMPUTED_VALUE"""),6500.0)</f>
        <v>6500</v>
      </c>
      <c r="E610" s="5">
        <f>IFERROR(__xludf.DUMMYFUNCTION("""COMPUTED_VALUE"""),6725.0)</f>
        <v>6725</v>
      </c>
      <c r="F610" s="5">
        <f>IFERROR(__xludf.DUMMYFUNCTION("""COMPUTED_VALUE"""),1.15071E7)</f>
        <v>11507100</v>
      </c>
      <c r="G610" s="5">
        <f t="shared" si="1"/>
        <v>300</v>
      </c>
    </row>
    <row r="611">
      <c r="A611" s="4">
        <f>IFERROR(__xludf.DUMMYFUNCTION("""COMPUTED_VALUE"""),44749.66666666667)</f>
        <v>44749.66667</v>
      </c>
      <c r="B611" s="5">
        <f>IFERROR(__xludf.DUMMYFUNCTION("""COMPUTED_VALUE"""),6750.0)</f>
        <v>6750</v>
      </c>
      <c r="C611" s="5">
        <f>IFERROR(__xludf.DUMMYFUNCTION("""COMPUTED_VALUE"""),6775.0)</f>
        <v>6775</v>
      </c>
      <c r="D611" s="5">
        <f>IFERROR(__xludf.DUMMYFUNCTION("""COMPUTED_VALUE"""),6550.0)</f>
        <v>6550</v>
      </c>
      <c r="E611" s="5">
        <f>IFERROR(__xludf.DUMMYFUNCTION("""COMPUTED_VALUE"""),6625.0)</f>
        <v>6625</v>
      </c>
      <c r="F611" s="5">
        <f>IFERROR(__xludf.DUMMYFUNCTION("""COMPUTED_VALUE"""),6208600.0)</f>
        <v>6208600</v>
      </c>
      <c r="G611" s="5">
        <f t="shared" si="1"/>
        <v>225</v>
      </c>
    </row>
    <row r="612">
      <c r="A612" s="4">
        <f>IFERROR(__xludf.DUMMYFUNCTION("""COMPUTED_VALUE"""),44750.66666666667)</f>
        <v>44750.66667</v>
      </c>
      <c r="B612" s="5">
        <f>IFERROR(__xludf.DUMMYFUNCTION("""COMPUTED_VALUE"""),6650.0)</f>
        <v>6650</v>
      </c>
      <c r="C612" s="5">
        <f>IFERROR(__xludf.DUMMYFUNCTION("""COMPUTED_VALUE"""),6700.0)</f>
        <v>6700</v>
      </c>
      <c r="D612" s="5">
        <f>IFERROR(__xludf.DUMMYFUNCTION("""COMPUTED_VALUE"""),6575.0)</f>
        <v>6575</v>
      </c>
      <c r="E612" s="5">
        <f>IFERROR(__xludf.DUMMYFUNCTION("""COMPUTED_VALUE"""),6675.0)</f>
        <v>6675</v>
      </c>
      <c r="F612" s="5">
        <f>IFERROR(__xludf.DUMMYFUNCTION("""COMPUTED_VALUE"""),5363900.0)</f>
        <v>5363900</v>
      </c>
      <c r="G612" s="5">
        <f t="shared" si="1"/>
        <v>125</v>
      </c>
    </row>
    <row r="613">
      <c r="A613" s="4">
        <f>IFERROR(__xludf.DUMMYFUNCTION("""COMPUTED_VALUE"""),44753.66666666667)</f>
        <v>44753.66667</v>
      </c>
      <c r="B613" s="5">
        <f>IFERROR(__xludf.DUMMYFUNCTION("""COMPUTED_VALUE"""),6600.0)</f>
        <v>6600</v>
      </c>
      <c r="C613" s="5">
        <f>IFERROR(__xludf.DUMMYFUNCTION("""COMPUTED_VALUE"""),6625.0)</f>
        <v>6625</v>
      </c>
      <c r="D613" s="5">
        <f>IFERROR(__xludf.DUMMYFUNCTION("""COMPUTED_VALUE"""),6500.0)</f>
        <v>6500</v>
      </c>
      <c r="E613" s="5">
        <f>IFERROR(__xludf.DUMMYFUNCTION("""COMPUTED_VALUE"""),6500.0)</f>
        <v>6500</v>
      </c>
      <c r="F613" s="5">
        <f>IFERROR(__xludf.DUMMYFUNCTION("""COMPUTED_VALUE"""),1.07794E7)</f>
        <v>10779400</v>
      </c>
      <c r="G613" s="5">
        <f t="shared" si="1"/>
        <v>175</v>
      </c>
    </row>
    <row r="614">
      <c r="A614" s="4">
        <f>IFERROR(__xludf.DUMMYFUNCTION("""COMPUTED_VALUE"""),44754.66666666667)</f>
        <v>44754.66667</v>
      </c>
      <c r="B614" s="5">
        <f>IFERROR(__xludf.DUMMYFUNCTION("""COMPUTED_VALUE"""),6500.0)</f>
        <v>6500</v>
      </c>
      <c r="C614" s="5">
        <f>IFERROR(__xludf.DUMMYFUNCTION("""COMPUTED_VALUE"""),6550.0)</f>
        <v>6550</v>
      </c>
      <c r="D614" s="5">
        <f>IFERROR(__xludf.DUMMYFUNCTION("""COMPUTED_VALUE"""),6350.0)</f>
        <v>6350</v>
      </c>
      <c r="E614" s="5">
        <f>IFERROR(__xludf.DUMMYFUNCTION("""COMPUTED_VALUE"""),6400.0)</f>
        <v>6400</v>
      </c>
      <c r="F614" s="5">
        <f>IFERROR(__xludf.DUMMYFUNCTION("""COMPUTED_VALUE"""),1.24867E7)</f>
        <v>12486700</v>
      </c>
      <c r="G614" s="5">
        <f t="shared" si="1"/>
        <v>200</v>
      </c>
    </row>
    <row r="615">
      <c r="A615" s="4">
        <f>IFERROR(__xludf.DUMMYFUNCTION("""COMPUTED_VALUE"""),44755.66666666667)</f>
        <v>44755.66667</v>
      </c>
      <c r="B615" s="5">
        <f>IFERROR(__xludf.DUMMYFUNCTION("""COMPUTED_VALUE"""),6400.0)</f>
        <v>6400</v>
      </c>
      <c r="C615" s="5">
        <f>IFERROR(__xludf.DUMMYFUNCTION("""COMPUTED_VALUE"""),6525.0)</f>
        <v>6525</v>
      </c>
      <c r="D615" s="5">
        <f>IFERROR(__xludf.DUMMYFUNCTION("""COMPUTED_VALUE"""),6325.0)</f>
        <v>6325</v>
      </c>
      <c r="E615" s="5">
        <f>IFERROR(__xludf.DUMMYFUNCTION("""COMPUTED_VALUE"""),6400.0)</f>
        <v>6400</v>
      </c>
      <c r="F615" s="5">
        <f>IFERROR(__xludf.DUMMYFUNCTION("""COMPUTED_VALUE"""),1.1222E7)</f>
        <v>11222000</v>
      </c>
      <c r="G615" s="5">
        <f t="shared" si="1"/>
        <v>200</v>
      </c>
    </row>
    <row r="616">
      <c r="A616" s="4">
        <f>IFERROR(__xludf.DUMMYFUNCTION("""COMPUTED_VALUE"""),44756.66666666667)</f>
        <v>44756.66667</v>
      </c>
      <c r="B616" s="5">
        <f>IFERROR(__xludf.DUMMYFUNCTION("""COMPUTED_VALUE"""),6400.0)</f>
        <v>6400</v>
      </c>
      <c r="C616" s="5">
        <f>IFERROR(__xludf.DUMMYFUNCTION("""COMPUTED_VALUE"""),6525.0)</f>
        <v>6525</v>
      </c>
      <c r="D616" s="5">
        <f>IFERROR(__xludf.DUMMYFUNCTION("""COMPUTED_VALUE"""),6350.0)</f>
        <v>6350</v>
      </c>
      <c r="E616" s="5">
        <f>IFERROR(__xludf.DUMMYFUNCTION("""COMPUTED_VALUE"""),6525.0)</f>
        <v>6525</v>
      </c>
      <c r="F616" s="5">
        <f>IFERROR(__xludf.DUMMYFUNCTION("""COMPUTED_VALUE"""),9163000.0)</f>
        <v>9163000</v>
      </c>
      <c r="G616" s="5">
        <f t="shared" si="1"/>
        <v>175</v>
      </c>
    </row>
    <row r="617">
      <c r="A617" s="4">
        <f>IFERROR(__xludf.DUMMYFUNCTION("""COMPUTED_VALUE"""),44757.66666666667)</f>
        <v>44757.66667</v>
      </c>
      <c r="B617" s="5">
        <f>IFERROR(__xludf.DUMMYFUNCTION("""COMPUTED_VALUE"""),6525.0)</f>
        <v>6525</v>
      </c>
      <c r="C617" s="5">
        <f>IFERROR(__xludf.DUMMYFUNCTION("""COMPUTED_VALUE"""),6600.0)</f>
        <v>6600</v>
      </c>
      <c r="D617" s="5">
        <f>IFERROR(__xludf.DUMMYFUNCTION("""COMPUTED_VALUE"""),6375.0)</f>
        <v>6375</v>
      </c>
      <c r="E617" s="5">
        <f>IFERROR(__xludf.DUMMYFUNCTION("""COMPUTED_VALUE"""),6375.0)</f>
        <v>6375</v>
      </c>
      <c r="F617" s="5">
        <f>IFERROR(__xludf.DUMMYFUNCTION("""COMPUTED_VALUE"""),8209600.0)</f>
        <v>8209600</v>
      </c>
      <c r="G617" s="5">
        <f t="shared" si="1"/>
        <v>225</v>
      </c>
    </row>
    <row r="618">
      <c r="A618" s="4">
        <f>IFERROR(__xludf.DUMMYFUNCTION("""COMPUTED_VALUE"""),44760.66666666667)</f>
        <v>44760.66667</v>
      </c>
      <c r="B618" s="5">
        <f>IFERROR(__xludf.DUMMYFUNCTION("""COMPUTED_VALUE"""),6500.0)</f>
        <v>6500</v>
      </c>
      <c r="C618" s="5">
        <f>IFERROR(__xludf.DUMMYFUNCTION("""COMPUTED_VALUE"""),6500.0)</f>
        <v>6500</v>
      </c>
      <c r="D618" s="5">
        <f>IFERROR(__xludf.DUMMYFUNCTION("""COMPUTED_VALUE"""),6425.0)</f>
        <v>6425</v>
      </c>
      <c r="E618" s="5">
        <f>IFERROR(__xludf.DUMMYFUNCTION("""COMPUTED_VALUE"""),6500.0)</f>
        <v>6500</v>
      </c>
      <c r="F618" s="5">
        <f>IFERROR(__xludf.DUMMYFUNCTION("""COMPUTED_VALUE"""),4211100.0)</f>
        <v>4211100</v>
      </c>
      <c r="G618" s="5">
        <f t="shared" si="1"/>
        <v>125</v>
      </c>
    </row>
    <row r="619">
      <c r="A619" s="4">
        <f>IFERROR(__xludf.DUMMYFUNCTION("""COMPUTED_VALUE"""),44761.66666666667)</f>
        <v>44761.66667</v>
      </c>
      <c r="B619" s="5">
        <f>IFERROR(__xludf.DUMMYFUNCTION("""COMPUTED_VALUE"""),6525.0)</f>
        <v>6525</v>
      </c>
      <c r="C619" s="5">
        <f>IFERROR(__xludf.DUMMYFUNCTION("""COMPUTED_VALUE"""),6600.0)</f>
        <v>6600</v>
      </c>
      <c r="D619" s="5">
        <f>IFERROR(__xludf.DUMMYFUNCTION("""COMPUTED_VALUE"""),6450.0)</f>
        <v>6450</v>
      </c>
      <c r="E619" s="5">
        <f>IFERROR(__xludf.DUMMYFUNCTION("""COMPUTED_VALUE"""),6550.0)</f>
        <v>6550</v>
      </c>
      <c r="F619" s="5">
        <f>IFERROR(__xludf.DUMMYFUNCTION("""COMPUTED_VALUE"""),5913800.0)</f>
        <v>5913800</v>
      </c>
      <c r="G619" s="5">
        <f t="shared" si="1"/>
        <v>150</v>
      </c>
    </row>
    <row r="620">
      <c r="A620" s="4">
        <f>IFERROR(__xludf.DUMMYFUNCTION("""COMPUTED_VALUE"""),44762.66666666667)</f>
        <v>44762.66667</v>
      </c>
      <c r="B620" s="5">
        <f>IFERROR(__xludf.DUMMYFUNCTION("""COMPUTED_VALUE"""),6600.0)</f>
        <v>6600</v>
      </c>
      <c r="C620" s="5">
        <f>IFERROR(__xludf.DUMMYFUNCTION("""COMPUTED_VALUE"""),6600.0)</f>
        <v>6600</v>
      </c>
      <c r="D620" s="5">
        <f>IFERROR(__xludf.DUMMYFUNCTION("""COMPUTED_VALUE"""),6500.0)</f>
        <v>6500</v>
      </c>
      <c r="E620" s="5">
        <f>IFERROR(__xludf.DUMMYFUNCTION("""COMPUTED_VALUE"""),6500.0)</f>
        <v>6500</v>
      </c>
      <c r="F620" s="5">
        <f>IFERROR(__xludf.DUMMYFUNCTION("""COMPUTED_VALUE"""),9570000.0)</f>
        <v>9570000</v>
      </c>
      <c r="G620" s="5">
        <f t="shared" si="1"/>
        <v>100</v>
      </c>
    </row>
    <row r="621">
      <c r="A621" s="4">
        <f>IFERROR(__xludf.DUMMYFUNCTION("""COMPUTED_VALUE"""),44763.66666666667)</f>
        <v>44763.66667</v>
      </c>
      <c r="B621" s="5">
        <f>IFERROR(__xludf.DUMMYFUNCTION("""COMPUTED_VALUE"""),6500.0)</f>
        <v>6500</v>
      </c>
      <c r="C621" s="5">
        <f>IFERROR(__xludf.DUMMYFUNCTION("""COMPUTED_VALUE"""),6550.0)</f>
        <v>6550</v>
      </c>
      <c r="D621" s="5">
        <f>IFERROR(__xludf.DUMMYFUNCTION("""COMPUTED_VALUE"""),6425.0)</f>
        <v>6425</v>
      </c>
      <c r="E621" s="5">
        <f>IFERROR(__xludf.DUMMYFUNCTION("""COMPUTED_VALUE"""),6525.0)</f>
        <v>6525</v>
      </c>
      <c r="F621" s="5">
        <f>IFERROR(__xludf.DUMMYFUNCTION("""COMPUTED_VALUE"""),1.07552E7)</f>
        <v>10755200</v>
      </c>
      <c r="G621" s="5">
        <f t="shared" si="1"/>
        <v>125</v>
      </c>
    </row>
    <row r="622">
      <c r="A622" s="4">
        <f>IFERROR(__xludf.DUMMYFUNCTION("""COMPUTED_VALUE"""),44764.66666666667)</f>
        <v>44764.66667</v>
      </c>
      <c r="B622" s="5">
        <f>IFERROR(__xludf.DUMMYFUNCTION("""COMPUTED_VALUE"""),6575.0)</f>
        <v>6575</v>
      </c>
      <c r="C622" s="5">
        <f>IFERROR(__xludf.DUMMYFUNCTION("""COMPUTED_VALUE"""),6575.0)</f>
        <v>6575</v>
      </c>
      <c r="D622" s="5">
        <f>IFERROR(__xludf.DUMMYFUNCTION("""COMPUTED_VALUE"""),6525.0)</f>
        <v>6525</v>
      </c>
      <c r="E622" s="5">
        <f>IFERROR(__xludf.DUMMYFUNCTION("""COMPUTED_VALUE"""),6525.0)</f>
        <v>6525</v>
      </c>
      <c r="F622" s="5">
        <f>IFERROR(__xludf.DUMMYFUNCTION("""COMPUTED_VALUE"""),3444800.0)</f>
        <v>3444800</v>
      </c>
      <c r="G622" s="5">
        <f t="shared" si="1"/>
        <v>50</v>
      </c>
    </row>
    <row r="623">
      <c r="A623" s="4">
        <f>IFERROR(__xludf.DUMMYFUNCTION("""COMPUTED_VALUE"""),44767.66666666667)</f>
        <v>44767.66667</v>
      </c>
      <c r="B623" s="5">
        <f>IFERROR(__xludf.DUMMYFUNCTION("""COMPUTED_VALUE"""),6525.0)</f>
        <v>6525</v>
      </c>
      <c r="C623" s="5">
        <f>IFERROR(__xludf.DUMMYFUNCTION("""COMPUTED_VALUE"""),6550.0)</f>
        <v>6550</v>
      </c>
      <c r="D623" s="5">
        <f>IFERROR(__xludf.DUMMYFUNCTION("""COMPUTED_VALUE"""),6475.0)</f>
        <v>6475</v>
      </c>
      <c r="E623" s="5">
        <f>IFERROR(__xludf.DUMMYFUNCTION("""COMPUTED_VALUE"""),6500.0)</f>
        <v>6500</v>
      </c>
      <c r="F623" s="5">
        <f>IFERROR(__xludf.DUMMYFUNCTION("""COMPUTED_VALUE"""),3559700.0)</f>
        <v>3559700</v>
      </c>
      <c r="G623" s="5">
        <f t="shared" si="1"/>
        <v>75</v>
      </c>
    </row>
    <row r="624">
      <c r="A624" s="4">
        <f>IFERROR(__xludf.DUMMYFUNCTION("""COMPUTED_VALUE"""),44768.66666666667)</f>
        <v>44768.66667</v>
      </c>
      <c r="B624" s="5">
        <f>IFERROR(__xludf.DUMMYFUNCTION("""COMPUTED_VALUE"""),6525.0)</f>
        <v>6525</v>
      </c>
      <c r="C624" s="5">
        <f>IFERROR(__xludf.DUMMYFUNCTION("""COMPUTED_VALUE"""),6575.0)</f>
        <v>6575</v>
      </c>
      <c r="D624" s="5">
        <f>IFERROR(__xludf.DUMMYFUNCTION("""COMPUTED_VALUE"""),6425.0)</f>
        <v>6425</v>
      </c>
      <c r="E624" s="5">
        <f>IFERROR(__xludf.DUMMYFUNCTION("""COMPUTED_VALUE"""),6575.0)</f>
        <v>6575</v>
      </c>
      <c r="F624" s="5">
        <f>IFERROR(__xludf.DUMMYFUNCTION("""COMPUTED_VALUE"""),6877600.0)</f>
        <v>6877600</v>
      </c>
      <c r="G624" s="5">
        <f t="shared" si="1"/>
        <v>150</v>
      </c>
    </row>
    <row r="625">
      <c r="A625" s="4">
        <f>IFERROR(__xludf.DUMMYFUNCTION("""COMPUTED_VALUE"""),44769.66666666667)</f>
        <v>44769.66667</v>
      </c>
      <c r="B625" s="5">
        <f>IFERROR(__xludf.DUMMYFUNCTION("""COMPUTED_VALUE"""),6550.0)</f>
        <v>6550</v>
      </c>
      <c r="C625" s="5">
        <f>IFERROR(__xludf.DUMMYFUNCTION("""COMPUTED_VALUE"""),6575.0)</f>
        <v>6575</v>
      </c>
      <c r="D625" s="5">
        <f>IFERROR(__xludf.DUMMYFUNCTION("""COMPUTED_VALUE"""),6375.0)</f>
        <v>6375</v>
      </c>
      <c r="E625" s="5">
        <f>IFERROR(__xludf.DUMMYFUNCTION("""COMPUTED_VALUE"""),6425.0)</f>
        <v>6425</v>
      </c>
      <c r="F625" s="5">
        <f>IFERROR(__xludf.DUMMYFUNCTION("""COMPUTED_VALUE"""),1.00548E7)</f>
        <v>10054800</v>
      </c>
      <c r="G625" s="5">
        <f t="shared" si="1"/>
        <v>200</v>
      </c>
    </row>
    <row r="626">
      <c r="A626" s="4">
        <f>IFERROR(__xludf.DUMMYFUNCTION("""COMPUTED_VALUE"""),44770.66666666667)</f>
        <v>44770.66667</v>
      </c>
      <c r="B626" s="5">
        <f>IFERROR(__xludf.DUMMYFUNCTION("""COMPUTED_VALUE"""),6475.0)</f>
        <v>6475</v>
      </c>
      <c r="C626" s="5">
        <f>IFERROR(__xludf.DUMMYFUNCTION("""COMPUTED_VALUE"""),6525.0)</f>
        <v>6525</v>
      </c>
      <c r="D626" s="5">
        <f>IFERROR(__xludf.DUMMYFUNCTION("""COMPUTED_VALUE"""),6425.0)</f>
        <v>6425</v>
      </c>
      <c r="E626" s="5">
        <f>IFERROR(__xludf.DUMMYFUNCTION("""COMPUTED_VALUE"""),6425.0)</f>
        <v>6425</v>
      </c>
      <c r="F626" s="5">
        <f>IFERROR(__xludf.DUMMYFUNCTION("""COMPUTED_VALUE"""),1.07973E7)</f>
        <v>10797300</v>
      </c>
      <c r="G626" s="5">
        <f t="shared" si="1"/>
        <v>100</v>
      </c>
    </row>
    <row r="627">
      <c r="A627" s="4">
        <f>IFERROR(__xludf.DUMMYFUNCTION("""COMPUTED_VALUE"""),44771.66666666667)</f>
        <v>44771.66667</v>
      </c>
      <c r="B627" s="5">
        <f>IFERROR(__xludf.DUMMYFUNCTION("""COMPUTED_VALUE"""),6475.0)</f>
        <v>6475</v>
      </c>
      <c r="C627" s="5">
        <f>IFERROR(__xludf.DUMMYFUNCTION("""COMPUTED_VALUE"""),6575.0)</f>
        <v>6575</v>
      </c>
      <c r="D627" s="5">
        <f>IFERROR(__xludf.DUMMYFUNCTION("""COMPUTED_VALUE"""),6450.0)</f>
        <v>6450</v>
      </c>
      <c r="E627" s="5">
        <f>IFERROR(__xludf.DUMMYFUNCTION("""COMPUTED_VALUE"""),6525.0)</f>
        <v>6525</v>
      </c>
      <c r="F627" s="5">
        <f>IFERROR(__xludf.DUMMYFUNCTION("""COMPUTED_VALUE"""),6994400.0)</f>
        <v>6994400</v>
      </c>
      <c r="G627" s="5">
        <f t="shared" si="1"/>
        <v>150</v>
      </c>
    </row>
    <row r="628">
      <c r="A628" s="4">
        <f>IFERROR(__xludf.DUMMYFUNCTION("""COMPUTED_VALUE"""),44774.66666666667)</f>
        <v>44774.66667</v>
      </c>
      <c r="B628" s="5">
        <f>IFERROR(__xludf.DUMMYFUNCTION("""COMPUTED_VALUE"""),6550.0)</f>
        <v>6550</v>
      </c>
      <c r="C628" s="5">
        <f>IFERROR(__xludf.DUMMYFUNCTION("""COMPUTED_VALUE"""),6575.0)</f>
        <v>6575</v>
      </c>
      <c r="D628" s="5">
        <f>IFERROR(__xludf.DUMMYFUNCTION("""COMPUTED_VALUE"""),6375.0)</f>
        <v>6375</v>
      </c>
      <c r="E628" s="5">
        <f>IFERROR(__xludf.DUMMYFUNCTION("""COMPUTED_VALUE"""),6450.0)</f>
        <v>6450</v>
      </c>
      <c r="F628" s="5">
        <f>IFERROR(__xludf.DUMMYFUNCTION("""COMPUTED_VALUE"""),1.22541E7)</f>
        <v>12254100</v>
      </c>
      <c r="G628" s="5">
        <f t="shared" si="1"/>
        <v>200</v>
      </c>
    </row>
    <row r="629">
      <c r="A629" s="4">
        <f>IFERROR(__xludf.DUMMYFUNCTION("""COMPUTED_VALUE"""),44775.66666666667)</f>
        <v>44775.66667</v>
      </c>
      <c r="B629" s="5">
        <f>IFERROR(__xludf.DUMMYFUNCTION("""COMPUTED_VALUE"""),6475.0)</f>
        <v>6475</v>
      </c>
      <c r="C629" s="5">
        <f>IFERROR(__xludf.DUMMYFUNCTION("""COMPUTED_VALUE"""),6475.0)</f>
        <v>6475</v>
      </c>
      <c r="D629" s="5">
        <f>IFERROR(__xludf.DUMMYFUNCTION("""COMPUTED_VALUE"""),6350.0)</f>
        <v>6350</v>
      </c>
      <c r="E629" s="5">
        <f>IFERROR(__xludf.DUMMYFUNCTION("""COMPUTED_VALUE"""),6450.0)</f>
        <v>6450</v>
      </c>
      <c r="F629" s="5">
        <f>IFERROR(__xludf.DUMMYFUNCTION("""COMPUTED_VALUE"""),5380700.0)</f>
        <v>5380700</v>
      </c>
      <c r="G629" s="5">
        <f t="shared" si="1"/>
        <v>125</v>
      </c>
    </row>
    <row r="630">
      <c r="A630" s="4">
        <f>IFERROR(__xludf.DUMMYFUNCTION("""COMPUTED_VALUE"""),44776.66666666667)</f>
        <v>44776.66667</v>
      </c>
      <c r="B630" s="5">
        <f>IFERROR(__xludf.DUMMYFUNCTION("""COMPUTED_VALUE"""),6500.0)</f>
        <v>6500</v>
      </c>
      <c r="C630" s="5">
        <f>IFERROR(__xludf.DUMMYFUNCTION("""COMPUTED_VALUE"""),6525.0)</f>
        <v>6525</v>
      </c>
      <c r="D630" s="5">
        <f>IFERROR(__xludf.DUMMYFUNCTION("""COMPUTED_VALUE"""),6425.0)</f>
        <v>6425</v>
      </c>
      <c r="E630" s="5">
        <f>IFERROR(__xludf.DUMMYFUNCTION("""COMPUTED_VALUE"""),6475.0)</f>
        <v>6475</v>
      </c>
      <c r="F630" s="5">
        <f>IFERROR(__xludf.DUMMYFUNCTION("""COMPUTED_VALUE"""),6257000.0)</f>
        <v>6257000</v>
      </c>
      <c r="G630" s="5">
        <f t="shared" si="1"/>
        <v>100</v>
      </c>
    </row>
    <row r="631">
      <c r="A631" s="4">
        <f>IFERROR(__xludf.DUMMYFUNCTION("""COMPUTED_VALUE"""),44777.66666666667)</f>
        <v>44777.66667</v>
      </c>
      <c r="B631" s="5">
        <f>IFERROR(__xludf.DUMMYFUNCTION("""COMPUTED_VALUE"""),6475.0)</f>
        <v>6475</v>
      </c>
      <c r="C631" s="5">
        <f>IFERROR(__xludf.DUMMYFUNCTION("""COMPUTED_VALUE"""),6775.0)</f>
        <v>6775</v>
      </c>
      <c r="D631" s="5">
        <f>IFERROR(__xludf.DUMMYFUNCTION("""COMPUTED_VALUE"""),6475.0)</f>
        <v>6475</v>
      </c>
      <c r="E631" s="5">
        <f>IFERROR(__xludf.DUMMYFUNCTION("""COMPUTED_VALUE"""),6750.0)</f>
        <v>6750</v>
      </c>
      <c r="F631" s="5">
        <f>IFERROR(__xludf.DUMMYFUNCTION("""COMPUTED_VALUE"""),2.88229E7)</f>
        <v>28822900</v>
      </c>
      <c r="G631" s="5">
        <f t="shared" si="1"/>
        <v>300</v>
      </c>
    </row>
    <row r="632">
      <c r="A632" s="4">
        <f>IFERROR(__xludf.DUMMYFUNCTION("""COMPUTED_VALUE"""),44778.66666666667)</f>
        <v>44778.66667</v>
      </c>
      <c r="B632" s="5">
        <f>IFERROR(__xludf.DUMMYFUNCTION("""COMPUTED_VALUE"""),6800.0)</f>
        <v>6800</v>
      </c>
      <c r="C632" s="5">
        <f>IFERROR(__xludf.DUMMYFUNCTION("""COMPUTED_VALUE"""),6825.0)</f>
        <v>6825</v>
      </c>
      <c r="D632" s="5">
        <f>IFERROR(__xludf.DUMMYFUNCTION("""COMPUTED_VALUE"""),6700.0)</f>
        <v>6700</v>
      </c>
      <c r="E632" s="5">
        <f>IFERROR(__xludf.DUMMYFUNCTION("""COMPUTED_VALUE"""),6800.0)</f>
        <v>6800</v>
      </c>
      <c r="F632" s="5">
        <f>IFERROR(__xludf.DUMMYFUNCTION("""COMPUTED_VALUE"""),9548900.0)</f>
        <v>9548900</v>
      </c>
      <c r="G632" s="5">
        <f t="shared" si="1"/>
        <v>125</v>
      </c>
    </row>
    <row r="633">
      <c r="A633" s="4">
        <f>IFERROR(__xludf.DUMMYFUNCTION("""COMPUTED_VALUE"""),44781.66666666667)</f>
        <v>44781.66667</v>
      </c>
      <c r="B633" s="5">
        <f>IFERROR(__xludf.DUMMYFUNCTION("""COMPUTED_VALUE"""),6850.0)</f>
        <v>6850</v>
      </c>
      <c r="C633" s="5">
        <f>IFERROR(__xludf.DUMMYFUNCTION("""COMPUTED_VALUE"""),7025.0)</f>
        <v>7025</v>
      </c>
      <c r="D633" s="5">
        <f>IFERROR(__xludf.DUMMYFUNCTION("""COMPUTED_VALUE"""),6825.0)</f>
        <v>6825</v>
      </c>
      <c r="E633" s="5">
        <f>IFERROR(__xludf.DUMMYFUNCTION("""COMPUTED_VALUE"""),7000.0)</f>
        <v>7000</v>
      </c>
      <c r="F633" s="5">
        <f>IFERROR(__xludf.DUMMYFUNCTION("""COMPUTED_VALUE"""),1.55031E7)</f>
        <v>15503100</v>
      </c>
      <c r="G633" s="5">
        <f t="shared" si="1"/>
        <v>225</v>
      </c>
    </row>
    <row r="634">
      <c r="A634" s="4">
        <f>IFERROR(__xludf.DUMMYFUNCTION("""COMPUTED_VALUE"""),44782.66666666667)</f>
        <v>44782.66667</v>
      </c>
      <c r="B634" s="5">
        <f>IFERROR(__xludf.DUMMYFUNCTION("""COMPUTED_VALUE"""),7025.0)</f>
        <v>7025</v>
      </c>
      <c r="C634" s="5">
        <f>IFERROR(__xludf.DUMMYFUNCTION("""COMPUTED_VALUE"""),7050.0)</f>
        <v>7050</v>
      </c>
      <c r="D634" s="5">
        <f>IFERROR(__xludf.DUMMYFUNCTION("""COMPUTED_VALUE"""),6900.0)</f>
        <v>6900</v>
      </c>
      <c r="E634" s="5">
        <f>IFERROR(__xludf.DUMMYFUNCTION("""COMPUTED_VALUE"""),6950.0)</f>
        <v>6950</v>
      </c>
      <c r="F634" s="5">
        <f>IFERROR(__xludf.DUMMYFUNCTION("""COMPUTED_VALUE"""),8244100.0)</f>
        <v>8244100</v>
      </c>
      <c r="G634" s="5">
        <f t="shared" si="1"/>
        <v>150</v>
      </c>
    </row>
    <row r="635">
      <c r="A635" s="4">
        <f>IFERROR(__xludf.DUMMYFUNCTION("""COMPUTED_VALUE"""),44783.66666666667)</f>
        <v>44783.66667</v>
      </c>
      <c r="B635" s="5">
        <f>IFERROR(__xludf.DUMMYFUNCTION("""COMPUTED_VALUE"""),6950.0)</f>
        <v>6950</v>
      </c>
      <c r="C635" s="5">
        <f>IFERROR(__xludf.DUMMYFUNCTION("""COMPUTED_VALUE"""),7000.0)</f>
        <v>7000</v>
      </c>
      <c r="D635" s="5">
        <f>IFERROR(__xludf.DUMMYFUNCTION("""COMPUTED_VALUE"""),6825.0)</f>
        <v>6825</v>
      </c>
      <c r="E635" s="5">
        <f>IFERROR(__xludf.DUMMYFUNCTION("""COMPUTED_VALUE"""),7000.0)</f>
        <v>7000</v>
      </c>
      <c r="F635" s="5">
        <f>IFERROR(__xludf.DUMMYFUNCTION("""COMPUTED_VALUE"""),7153900.0)</f>
        <v>7153900</v>
      </c>
      <c r="G635" s="5">
        <f t="shared" si="1"/>
        <v>175</v>
      </c>
    </row>
    <row r="636">
      <c r="A636" s="4">
        <f>IFERROR(__xludf.DUMMYFUNCTION("""COMPUTED_VALUE"""),44784.66666666667)</f>
        <v>44784.66667</v>
      </c>
      <c r="B636" s="5">
        <f>IFERROR(__xludf.DUMMYFUNCTION("""COMPUTED_VALUE"""),7025.0)</f>
        <v>7025</v>
      </c>
      <c r="C636" s="5">
        <f>IFERROR(__xludf.DUMMYFUNCTION("""COMPUTED_VALUE"""),7050.0)</f>
        <v>7050</v>
      </c>
      <c r="D636" s="5">
        <f>IFERROR(__xludf.DUMMYFUNCTION("""COMPUTED_VALUE"""),6925.0)</f>
        <v>6925</v>
      </c>
      <c r="E636" s="5">
        <f>IFERROR(__xludf.DUMMYFUNCTION("""COMPUTED_VALUE"""),6925.0)</f>
        <v>6925</v>
      </c>
      <c r="F636" s="5">
        <f>IFERROR(__xludf.DUMMYFUNCTION("""COMPUTED_VALUE"""),5281900.0)</f>
        <v>5281900</v>
      </c>
      <c r="G636" s="5">
        <f t="shared" si="1"/>
        <v>125</v>
      </c>
    </row>
    <row r="637">
      <c r="A637" s="4">
        <f>IFERROR(__xludf.DUMMYFUNCTION("""COMPUTED_VALUE"""),44785.66666666667)</f>
        <v>44785.66667</v>
      </c>
      <c r="B637" s="5">
        <f>IFERROR(__xludf.DUMMYFUNCTION("""COMPUTED_VALUE"""),6900.0)</f>
        <v>6900</v>
      </c>
      <c r="C637" s="5">
        <f>IFERROR(__xludf.DUMMYFUNCTION("""COMPUTED_VALUE"""),7125.0)</f>
        <v>7125</v>
      </c>
      <c r="D637" s="5">
        <f>IFERROR(__xludf.DUMMYFUNCTION("""COMPUTED_VALUE"""),6875.0)</f>
        <v>6875</v>
      </c>
      <c r="E637" s="5">
        <f>IFERROR(__xludf.DUMMYFUNCTION("""COMPUTED_VALUE"""),7025.0)</f>
        <v>7025</v>
      </c>
      <c r="F637" s="5">
        <f>IFERROR(__xludf.DUMMYFUNCTION("""COMPUTED_VALUE"""),1.12497E7)</f>
        <v>11249700</v>
      </c>
      <c r="G637" s="5">
        <f t="shared" si="1"/>
        <v>250</v>
      </c>
    </row>
    <row r="638">
      <c r="A638" s="4">
        <f>IFERROR(__xludf.DUMMYFUNCTION("""COMPUTED_VALUE"""),44788.66666666667)</f>
        <v>44788.66667</v>
      </c>
      <c r="B638" s="5">
        <f>IFERROR(__xludf.DUMMYFUNCTION("""COMPUTED_VALUE"""),7050.0)</f>
        <v>7050</v>
      </c>
      <c r="C638" s="5">
        <f>IFERROR(__xludf.DUMMYFUNCTION("""COMPUTED_VALUE"""),7075.0)</f>
        <v>7075</v>
      </c>
      <c r="D638" s="5">
        <f>IFERROR(__xludf.DUMMYFUNCTION("""COMPUTED_VALUE"""),6900.0)</f>
        <v>6900</v>
      </c>
      <c r="E638" s="5">
        <f>IFERROR(__xludf.DUMMYFUNCTION("""COMPUTED_VALUE"""),6925.0)</f>
        <v>6925</v>
      </c>
      <c r="F638" s="5">
        <f>IFERROR(__xludf.DUMMYFUNCTION("""COMPUTED_VALUE"""),4787600.0)</f>
        <v>4787600</v>
      </c>
      <c r="G638" s="5">
        <f t="shared" si="1"/>
        <v>175</v>
      </c>
    </row>
    <row r="639">
      <c r="A639" s="4">
        <f>IFERROR(__xludf.DUMMYFUNCTION("""COMPUTED_VALUE"""),44789.66666666667)</f>
        <v>44789.66667</v>
      </c>
      <c r="B639" s="5">
        <f>IFERROR(__xludf.DUMMYFUNCTION("""COMPUTED_VALUE"""),6950.0)</f>
        <v>6950</v>
      </c>
      <c r="C639" s="5">
        <f>IFERROR(__xludf.DUMMYFUNCTION("""COMPUTED_VALUE"""),6975.0)</f>
        <v>6975</v>
      </c>
      <c r="D639" s="5">
        <f>IFERROR(__xludf.DUMMYFUNCTION("""COMPUTED_VALUE"""),6850.0)</f>
        <v>6850</v>
      </c>
      <c r="E639" s="5">
        <f>IFERROR(__xludf.DUMMYFUNCTION("""COMPUTED_VALUE"""),6875.0)</f>
        <v>6875</v>
      </c>
      <c r="F639" s="5">
        <f>IFERROR(__xludf.DUMMYFUNCTION("""COMPUTED_VALUE"""),5847100.0)</f>
        <v>5847100</v>
      </c>
      <c r="G639" s="5">
        <f t="shared" si="1"/>
        <v>125</v>
      </c>
    </row>
    <row r="640">
      <c r="A640" s="4">
        <f>IFERROR(__xludf.DUMMYFUNCTION("""COMPUTED_VALUE"""),44791.66666666667)</f>
        <v>44791.66667</v>
      </c>
      <c r="B640" s="5">
        <f>IFERROR(__xludf.DUMMYFUNCTION("""COMPUTED_VALUE"""),6875.0)</f>
        <v>6875</v>
      </c>
      <c r="C640" s="5">
        <f>IFERROR(__xludf.DUMMYFUNCTION("""COMPUTED_VALUE"""),7025.0)</f>
        <v>7025</v>
      </c>
      <c r="D640" s="5">
        <f>IFERROR(__xludf.DUMMYFUNCTION("""COMPUTED_VALUE"""),6775.0)</f>
        <v>6775</v>
      </c>
      <c r="E640" s="5">
        <f>IFERROR(__xludf.DUMMYFUNCTION("""COMPUTED_VALUE"""),6825.0)</f>
        <v>6825</v>
      </c>
      <c r="F640" s="5">
        <f>IFERROR(__xludf.DUMMYFUNCTION("""COMPUTED_VALUE"""),7058900.0)</f>
        <v>7058900</v>
      </c>
      <c r="G640" s="5">
        <f t="shared" si="1"/>
        <v>250</v>
      </c>
    </row>
    <row r="641">
      <c r="A641" s="4">
        <f>IFERROR(__xludf.DUMMYFUNCTION("""COMPUTED_VALUE"""),44792.66666666667)</f>
        <v>44792.66667</v>
      </c>
      <c r="B641" s="5">
        <f>IFERROR(__xludf.DUMMYFUNCTION("""COMPUTED_VALUE"""),6750.0)</f>
        <v>6750</v>
      </c>
      <c r="C641" s="5">
        <f>IFERROR(__xludf.DUMMYFUNCTION("""COMPUTED_VALUE"""),6800.0)</f>
        <v>6800</v>
      </c>
      <c r="D641" s="5">
        <f>IFERROR(__xludf.DUMMYFUNCTION("""COMPUTED_VALUE"""),6575.0)</f>
        <v>6575</v>
      </c>
      <c r="E641" s="5">
        <f>IFERROR(__xludf.DUMMYFUNCTION("""COMPUTED_VALUE"""),6575.0)</f>
        <v>6575</v>
      </c>
      <c r="F641" s="5">
        <f>IFERROR(__xludf.DUMMYFUNCTION("""COMPUTED_VALUE"""),1.56744E7)</f>
        <v>15674400</v>
      </c>
      <c r="G641" s="5">
        <f t="shared" si="1"/>
        <v>250</v>
      </c>
    </row>
    <row r="642">
      <c r="A642" s="4">
        <f>IFERROR(__xludf.DUMMYFUNCTION("""COMPUTED_VALUE"""),44795.66666666667)</f>
        <v>44795.66667</v>
      </c>
      <c r="B642" s="5">
        <f>IFERROR(__xludf.DUMMYFUNCTION("""COMPUTED_VALUE"""),6575.0)</f>
        <v>6575</v>
      </c>
      <c r="C642" s="5">
        <f>IFERROR(__xludf.DUMMYFUNCTION("""COMPUTED_VALUE"""),6675.0)</f>
        <v>6675</v>
      </c>
      <c r="D642" s="5">
        <f>IFERROR(__xludf.DUMMYFUNCTION("""COMPUTED_VALUE"""),6550.0)</f>
        <v>6550</v>
      </c>
      <c r="E642" s="5">
        <f>IFERROR(__xludf.DUMMYFUNCTION("""COMPUTED_VALUE"""),6600.0)</f>
        <v>6600</v>
      </c>
      <c r="F642" s="5">
        <f>IFERROR(__xludf.DUMMYFUNCTION("""COMPUTED_VALUE"""),7930000.0)</f>
        <v>7930000</v>
      </c>
      <c r="G642" s="5">
        <f t="shared" si="1"/>
        <v>125</v>
      </c>
    </row>
    <row r="643">
      <c r="A643" s="4">
        <f>IFERROR(__xludf.DUMMYFUNCTION("""COMPUTED_VALUE"""),44796.66666666667)</f>
        <v>44796.66667</v>
      </c>
      <c r="B643" s="5">
        <f>IFERROR(__xludf.DUMMYFUNCTION("""COMPUTED_VALUE"""),6675.0)</f>
        <v>6675</v>
      </c>
      <c r="C643" s="5">
        <f>IFERROR(__xludf.DUMMYFUNCTION("""COMPUTED_VALUE"""),6775.0)</f>
        <v>6775</v>
      </c>
      <c r="D643" s="5">
        <f>IFERROR(__xludf.DUMMYFUNCTION("""COMPUTED_VALUE"""),6600.0)</f>
        <v>6600</v>
      </c>
      <c r="E643" s="5">
        <f>IFERROR(__xludf.DUMMYFUNCTION("""COMPUTED_VALUE"""),6675.0)</f>
        <v>6675</v>
      </c>
      <c r="F643" s="5">
        <f>IFERROR(__xludf.DUMMYFUNCTION("""COMPUTED_VALUE"""),1.07307E7)</f>
        <v>10730700</v>
      </c>
      <c r="G643" s="5">
        <f t="shared" si="1"/>
        <v>175</v>
      </c>
    </row>
    <row r="644">
      <c r="A644" s="4">
        <f>IFERROR(__xludf.DUMMYFUNCTION("""COMPUTED_VALUE"""),44797.66666666667)</f>
        <v>44797.66667</v>
      </c>
      <c r="B644" s="5">
        <f>IFERROR(__xludf.DUMMYFUNCTION("""COMPUTED_VALUE"""),6700.0)</f>
        <v>6700</v>
      </c>
      <c r="C644" s="5">
        <f>IFERROR(__xludf.DUMMYFUNCTION("""COMPUTED_VALUE"""),6825.0)</f>
        <v>6825</v>
      </c>
      <c r="D644" s="5">
        <f>IFERROR(__xludf.DUMMYFUNCTION("""COMPUTED_VALUE"""),6550.0)</f>
        <v>6550</v>
      </c>
      <c r="E644" s="5">
        <f>IFERROR(__xludf.DUMMYFUNCTION("""COMPUTED_VALUE"""),6575.0)</f>
        <v>6575</v>
      </c>
      <c r="F644" s="5">
        <f>IFERROR(__xludf.DUMMYFUNCTION("""COMPUTED_VALUE"""),1.23297E7)</f>
        <v>12329700</v>
      </c>
      <c r="G644" s="5">
        <f t="shared" si="1"/>
        <v>275</v>
      </c>
    </row>
    <row r="645">
      <c r="A645" s="4">
        <f>IFERROR(__xludf.DUMMYFUNCTION("""COMPUTED_VALUE"""),44798.66666666667)</f>
        <v>44798.66667</v>
      </c>
      <c r="B645" s="5">
        <f>IFERROR(__xludf.DUMMYFUNCTION("""COMPUTED_VALUE"""),6575.0)</f>
        <v>6575</v>
      </c>
      <c r="C645" s="5">
        <f>IFERROR(__xludf.DUMMYFUNCTION("""COMPUTED_VALUE"""),6625.0)</f>
        <v>6625</v>
      </c>
      <c r="D645" s="5">
        <f>IFERROR(__xludf.DUMMYFUNCTION("""COMPUTED_VALUE"""),6525.0)</f>
        <v>6525</v>
      </c>
      <c r="E645" s="5">
        <f>IFERROR(__xludf.DUMMYFUNCTION("""COMPUTED_VALUE"""),6550.0)</f>
        <v>6550</v>
      </c>
      <c r="F645" s="5">
        <f>IFERROR(__xludf.DUMMYFUNCTION("""COMPUTED_VALUE"""),8038800.0)</f>
        <v>8038800</v>
      </c>
      <c r="G645" s="5">
        <f t="shared" si="1"/>
        <v>100</v>
      </c>
    </row>
    <row r="646">
      <c r="A646" s="4">
        <f>IFERROR(__xludf.DUMMYFUNCTION("""COMPUTED_VALUE"""),44799.66666666667)</f>
        <v>44799.66667</v>
      </c>
      <c r="B646" s="5">
        <f>IFERROR(__xludf.DUMMYFUNCTION("""COMPUTED_VALUE"""),6575.0)</f>
        <v>6575</v>
      </c>
      <c r="C646" s="5">
        <f>IFERROR(__xludf.DUMMYFUNCTION("""COMPUTED_VALUE"""),6625.0)</f>
        <v>6625</v>
      </c>
      <c r="D646" s="5">
        <f>IFERROR(__xludf.DUMMYFUNCTION("""COMPUTED_VALUE"""),6500.0)</f>
        <v>6500</v>
      </c>
      <c r="E646" s="5">
        <f>IFERROR(__xludf.DUMMYFUNCTION("""COMPUTED_VALUE"""),6550.0)</f>
        <v>6550</v>
      </c>
      <c r="F646" s="5">
        <f>IFERROR(__xludf.DUMMYFUNCTION("""COMPUTED_VALUE"""),7285300.0)</f>
        <v>7285300</v>
      </c>
      <c r="G646" s="5">
        <f t="shared" si="1"/>
        <v>125</v>
      </c>
    </row>
    <row r="647">
      <c r="A647" s="4">
        <f>IFERROR(__xludf.DUMMYFUNCTION("""COMPUTED_VALUE"""),44802.66666666667)</f>
        <v>44802.66667</v>
      </c>
      <c r="B647" s="5">
        <f>IFERROR(__xludf.DUMMYFUNCTION("""COMPUTED_VALUE"""),6450.0)</f>
        <v>6450</v>
      </c>
      <c r="C647" s="5">
        <f>IFERROR(__xludf.DUMMYFUNCTION("""COMPUTED_VALUE"""),6525.0)</f>
        <v>6525</v>
      </c>
      <c r="D647" s="5">
        <f>IFERROR(__xludf.DUMMYFUNCTION("""COMPUTED_VALUE"""),6375.0)</f>
        <v>6375</v>
      </c>
      <c r="E647" s="5">
        <f>IFERROR(__xludf.DUMMYFUNCTION("""COMPUTED_VALUE"""),6525.0)</f>
        <v>6525</v>
      </c>
      <c r="F647" s="5">
        <f>IFERROR(__xludf.DUMMYFUNCTION("""COMPUTED_VALUE"""),5991200.0)</f>
        <v>5991200</v>
      </c>
      <c r="G647" s="5">
        <f t="shared" si="1"/>
        <v>175</v>
      </c>
    </row>
    <row r="648">
      <c r="A648" s="4">
        <f>IFERROR(__xludf.DUMMYFUNCTION("""COMPUTED_VALUE"""),44803.66666666667)</f>
        <v>44803.66667</v>
      </c>
      <c r="B648" s="5">
        <f>IFERROR(__xludf.DUMMYFUNCTION("""COMPUTED_VALUE"""),6525.0)</f>
        <v>6525</v>
      </c>
      <c r="C648" s="5">
        <f>IFERROR(__xludf.DUMMYFUNCTION("""COMPUTED_VALUE"""),6650.0)</f>
        <v>6650</v>
      </c>
      <c r="D648" s="5">
        <f>IFERROR(__xludf.DUMMYFUNCTION("""COMPUTED_VALUE"""),6500.0)</f>
        <v>6500</v>
      </c>
      <c r="E648" s="5">
        <f>IFERROR(__xludf.DUMMYFUNCTION("""COMPUTED_VALUE"""),6550.0)</f>
        <v>6550</v>
      </c>
      <c r="F648" s="5">
        <f>IFERROR(__xludf.DUMMYFUNCTION("""COMPUTED_VALUE"""),5461400.0)</f>
        <v>5461400</v>
      </c>
      <c r="G648" s="5">
        <f t="shared" si="1"/>
        <v>150</v>
      </c>
    </row>
    <row r="649">
      <c r="A649" s="4">
        <f>IFERROR(__xludf.DUMMYFUNCTION("""COMPUTED_VALUE"""),44804.66666666667)</f>
        <v>44804.66667</v>
      </c>
      <c r="B649" s="5">
        <f>IFERROR(__xludf.DUMMYFUNCTION("""COMPUTED_VALUE"""),6575.0)</f>
        <v>6575</v>
      </c>
      <c r="C649" s="5">
        <f>IFERROR(__xludf.DUMMYFUNCTION("""COMPUTED_VALUE"""),6650.0)</f>
        <v>6650</v>
      </c>
      <c r="D649" s="5">
        <f>IFERROR(__xludf.DUMMYFUNCTION("""COMPUTED_VALUE"""),6525.0)</f>
        <v>6525</v>
      </c>
      <c r="E649" s="5">
        <f>IFERROR(__xludf.DUMMYFUNCTION("""COMPUTED_VALUE"""),6600.0)</f>
        <v>6600</v>
      </c>
      <c r="F649" s="5">
        <f>IFERROR(__xludf.DUMMYFUNCTION("""COMPUTED_VALUE"""),1.19357E7)</f>
        <v>11935700</v>
      </c>
      <c r="G649" s="5">
        <f t="shared" si="1"/>
        <v>125</v>
      </c>
    </row>
    <row r="650">
      <c r="A650" s="4">
        <f>IFERROR(__xludf.DUMMYFUNCTION("""COMPUTED_VALUE"""),44805.625)</f>
        <v>44805.625</v>
      </c>
      <c r="B650" s="5">
        <f>IFERROR(__xludf.DUMMYFUNCTION("""COMPUTED_VALUE"""),6600.0)</f>
        <v>6600</v>
      </c>
      <c r="C650" s="5">
        <f>IFERROR(__xludf.DUMMYFUNCTION("""COMPUTED_VALUE"""),6625.0)</f>
        <v>6625</v>
      </c>
      <c r="D650" s="5">
        <f>IFERROR(__xludf.DUMMYFUNCTION("""COMPUTED_VALUE"""),6425.0)</f>
        <v>6425</v>
      </c>
      <c r="E650" s="5">
        <f>IFERROR(__xludf.DUMMYFUNCTION("""COMPUTED_VALUE"""),6450.0)</f>
        <v>6450</v>
      </c>
      <c r="F650" s="5">
        <f>IFERROR(__xludf.DUMMYFUNCTION("""COMPUTED_VALUE"""),8280200.0)</f>
        <v>8280200</v>
      </c>
      <c r="G650" s="5">
        <f t="shared" si="1"/>
        <v>200</v>
      </c>
    </row>
    <row r="651">
      <c r="A651" s="4">
        <f>IFERROR(__xludf.DUMMYFUNCTION("""COMPUTED_VALUE"""),44806.625)</f>
        <v>44806.625</v>
      </c>
      <c r="B651" s="5">
        <f>IFERROR(__xludf.DUMMYFUNCTION("""COMPUTED_VALUE"""),6450.0)</f>
        <v>6450</v>
      </c>
      <c r="C651" s="5">
        <f>IFERROR(__xludf.DUMMYFUNCTION("""COMPUTED_VALUE"""),6500.0)</f>
        <v>6500</v>
      </c>
      <c r="D651" s="5">
        <f>IFERROR(__xludf.DUMMYFUNCTION("""COMPUTED_VALUE"""),6400.0)</f>
        <v>6400</v>
      </c>
      <c r="E651" s="5">
        <f>IFERROR(__xludf.DUMMYFUNCTION("""COMPUTED_VALUE"""),6425.0)</f>
        <v>6425</v>
      </c>
      <c r="F651" s="5">
        <f>IFERROR(__xludf.DUMMYFUNCTION("""COMPUTED_VALUE"""),1.25773E7)</f>
        <v>12577300</v>
      </c>
      <c r="G651" s="5">
        <f t="shared" si="1"/>
        <v>100</v>
      </c>
    </row>
    <row r="652">
      <c r="A652" s="4">
        <f>IFERROR(__xludf.DUMMYFUNCTION("""COMPUTED_VALUE"""),44809.66666666667)</f>
        <v>44809.66667</v>
      </c>
      <c r="B652" s="5">
        <f>IFERROR(__xludf.DUMMYFUNCTION("""COMPUTED_VALUE"""),6400.0)</f>
        <v>6400</v>
      </c>
      <c r="C652" s="5">
        <f>IFERROR(__xludf.DUMMYFUNCTION("""COMPUTED_VALUE"""),6575.0)</f>
        <v>6575</v>
      </c>
      <c r="D652" s="5">
        <f>IFERROR(__xludf.DUMMYFUNCTION("""COMPUTED_VALUE"""),6375.0)</f>
        <v>6375</v>
      </c>
      <c r="E652" s="5">
        <f>IFERROR(__xludf.DUMMYFUNCTION("""COMPUTED_VALUE"""),6525.0)</f>
        <v>6525</v>
      </c>
      <c r="F652" s="5">
        <f>IFERROR(__xludf.DUMMYFUNCTION("""COMPUTED_VALUE"""),8572600.0)</f>
        <v>8572600</v>
      </c>
      <c r="G652" s="5">
        <f t="shared" si="1"/>
        <v>200</v>
      </c>
    </row>
    <row r="653">
      <c r="A653" s="4">
        <f>IFERROR(__xludf.DUMMYFUNCTION("""COMPUTED_VALUE"""),44810.66666666667)</f>
        <v>44810.66667</v>
      </c>
      <c r="B653" s="5">
        <f>IFERROR(__xludf.DUMMYFUNCTION("""COMPUTED_VALUE"""),6550.0)</f>
        <v>6550</v>
      </c>
      <c r="C653" s="5">
        <f>IFERROR(__xludf.DUMMYFUNCTION("""COMPUTED_VALUE"""),6575.0)</f>
        <v>6575</v>
      </c>
      <c r="D653" s="5">
        <f>IFERROR(__xludf.DUMMYFUNCTION("""COMPUTED_VALUE"""),6450.0)</f>
        <v>6450</v>
      </c>
      <c r="E653" s="5">
        <f>IFERROR(__xludf.DUMMYFUNCTION("""COMPUTED_VALUE"""),6525.0)</f>
        <v>6525</v>
      </c>
      <c r="F653" s="5">
        <f>IFERROR(__xludf.DUMMYFUNCTION("""COMPUTED_VALUE"""),6131200.0)</f>
        <v>6131200</v>
      </c>
      <c r="G653" s="5">
        <f t="shared" si="1"/>
        <v>125</v>
      </c>
    </row>
    <row r="654">
      <c r="A654" s="4">
        <f>IFERROR(__xludf.DUMMYFUNCTION("""COMPUTED_VALUE"""),44811.66666666667)</f>
        <v>44811.66667</v>
      </c>
      <c r="B654" s="5">
        <f>IFERROR(__xludf.DUMMYFUNCTION("""COMPUTED_VALUE"""),6500.0)</f>
        <v>6500</v>
      </c>
      <c r="C654" s="5">
        <f>IFERROR(__xludf.DUMMYFUNCTION("""COMPUTED_VALUE"""),6550.0)</f>
        <v>6550</v>
      </c>
      <c r="D654" s="5">
        <f>IFERROR(__xludf.DUMMYFUNCTION("""COMPUTED_VALUE"""),6450.0)</f>
        <v>6450</v>
      </c>
      <c r="E654" s="5">
        <f>IFERROR(__xludf.DUMMYFUNCTION("""COMPUTED_VALUE"""),6550.0)</f>
        <v>6550</v>
      </c>
      <c r="F654" s="5">
        <f>IFERROR(__xludf.DUMMYFUNCTION("""COMPUTED_VALUE"""),5487500.0)</f>
        <v>5487500</v>
      </c>
      <c r="G654" s="5">
        <f t="shared" si="1"/>
        <v>100</v>
      </c>
    </row>
    <row r="655">
      <c r="A655" s="4">
        <f>IFERROR(__xludf.DUMMYFUNCTION("""COMPUTED_VALUE"""),44812.66666666667)</f>
        <v>44812.66667</v>
      </c>
      <c r="B655" s="5">
        <f>IFERROR(__xludf.DUMMYFUNCTION("""COMPUTED_VALUE"""),6575.0)</f>
        <v>6575</v>
      </c>
      <c r="C655" s="5">
        <f>IFERROR(__xludf.DUMMYFUNCTION("""COMPUTED_VALUE"""),6725.0)</f>
        <v>6725</v>
      </c>
      <c r="D655" s="5">
        <f>IFERROR(__xludf.DUMMYFUNCTION("""COMPUTED_VALUE"""),6525.0)</f>
        <v>6525</v>
      </c>
      <c r="E655" s="5">
        <f>IFERROR(__xludf.DUMMYFUNCTION("""COMPUTED_VALUE"""),6550.0)</f>
        <v>6550</v>
      </c>
      <c r="F655" s="5">
        <f>IFERROR(__xludf.DUMMYFUNCTION("""COMPUTED_VALUE"""),1.45711E7)</f>
        <v>14571100</v>
      </c>
      <c r="G655" s="5">
        <f t="shared" si="1"/>
        <v>200</v>
      </c>
    </row>
    <row r="656">
      <c r="A656" s="4">
        <f>IFERROR(__xludf.DUMMYFUNCTION("""COMPUTED_VALUE"""),44813.66666666667)</f>
        <v>44813.66667</v>
      </c>
      <c r="B656" s="5">
        <f>IFERROR(__xludf.DUMMYFUNCTION("""COMPUTED_VALUE"""),6575.0)</f>
        <v>6575</v>
      </c>
      <c r="C656" s="5">
        <f>IFERROR(__xludf.DUMMYFUNCTION("""COMPUTED_VALUE"""),6625.0)</f>
        <v>6625</v>
      </c>
      <c r="D656" s="5">
        <f>IFERROR(__xludf.DUMMYFUNCTION("""COMPUTED_VALUE"""),6525.0)</f>
        <v>6525</v>
      </c>
      <c r="E656" s="5">
        <f>IFERROR(__xludf.DUMMYFUNCTION("""COMPUTED_VALUE"""),6600.0)</f>
        <v>6600</v>
      </c>
      <c r="F656" s="5">
        <f>IFERROR(__xludf.DUMMYFUNCTION("""COMPUTED_VALUE"""),6050800.0)</f>
        <v>6050800</v>
      </c>
      <c r="G656" s="5">
        <f t="shared" si="1"/>
        <v>100</v>
      </c>
    </row>
    <row r="657">
      <c r="A657" s="4">
        <f>IFERROR(__xludf.DUMMYFUNCTION("""COMPUTED_VALUE"""),44816.66666666667)</f>
        <v>44816.66667</v>
      </c>
      <c r="B657" s="5">
        <f>IFERROR(__xludf.DUMMYFUNCTION("""COMPUTED_VALUE"""),6625.0)</f>
        <v>6625</v>
      </c>
      <c r="C657" s="5">
        <f>IFERROR(__xludf.DUMMYFUNCTION("""COMPUTED_VALUE"""),6650.0)</f>
        <v>6650</v>
      </c>
      <c r="D657" s="5">
        <f>IFERROR(__xludf.DUMMYFUNCTION("""COMPUTED_VALUE"""),6525.0)</f>
        <v>6525</v>
      </c>
      <c r="E657" s="5">
        <f>IFERROR(__xludf.DUMMYFUNCTION("""COMPUTED_VALUE"""),6625.0)</f>
        <v>6625</v>
      </c>
      <c r="F657" s="5">
        <f>IFERROR(__xludf.DUMMYFUNCTION("""COMPUTED_VALUE"""),5831700.0)</f>
        <v>5831700</v>
      </c>
      <c r="G657" s="5">
        <f t="shared" si="1"/>
        <v>125</v>
      </c>
    </row>
    <row r="658">
      <c r="A658" s="4">
        <f>IFERROR(__xludf.DUMMYFUNCTION("""COMPUTED_VALUE"""),44817.66666666667)</f>
        <v>44817.66667</v>
      </c>
      <c r="B658" s="5">
        <f>IFERROR(__xludf.DUMMYFUNCTION("""COMPUTED_VALUE"""),6650.0)</f>
        <v>6650</v>
      </c>
      <c r="C658" s="5">
        <f>IFERROR(__xludf.DUMMYFUNCTION("""COMPUTED_VALUE"""),6750.0)</f>
        <v>6750</v>
      </c>
      <c r="D658" s="5">
        <f>IFERROR(__xludf.DUMMYFUNCTION("""COMPUTED_VALUE"""),6600.0)</f>
        <v>6600</v>
      </c>
      <c r="E658" s="5">
        <f>IFERROR(__xludf.DUMMYFUNCTION("""COMPUTED_VALUE"""),6725.0)</f>
        <v>6725</v>
      </c>
      <c r="F658" s="5">
        <f>IFERROR(__xludf.DUMMYFUNCTION("""COMPUTED_VALUE"""),7819200.0)</f>
        <v>7819200</v>
      </c>
      <c r="G658" s="5">
        <f t="shared" si="1"/>
        <v>150</v>
      </c>
    </row>
    <row r="659">
      <c r="A659" s="4">
        <f>IFERROR(__xludf.DUMMYFUNCTION("""COMPUTED_VALUE"""),44818.66666666667)</f>
        <v>44818.66667</v>
      </c>
      <c r="B659" s="5">
        <f>IFERROR(__xludf.DUMMYFUNCTION("""COMPUTED_VALUE"""),6600.0)</f>
        <v>6600</v>
      </c>
      <c r="C659" s="5">
        <f>IFERROR(__xludf.DUMMYFUNCTION("""COMPUTED_VALUE"""),6650.0)</f>
        <v>6650</v>
      </c>
      <c r="D659" s="5">
        <f>IFERROR(__xludf.DUMMYFUNCTION("""COMPUTED_VALUE"""),6575.0)</f>
        <v>6575</v>
      </c>
      <c r="E659" s="5">
        <f>IFERROR(__xludf.DUMMYFUNCTION("""COMPUTED_VALUE"""),6650.0)</f>
        <v>6650</v>
      </c>
      <c r="F659" s="5">
        <f>IFERROR(__xludf.DUMMYFUNCTION("""COMPUTED_VALUE"""),6500900.0)</f>
        <v>6500900</v>
      </c>
      <c r="G659" s="5">
        <f t="shared" si="1"/>
        <v>150</v>
      </c>
    </row>
    <row r="660">
      <c r="A660" s="4">
        <f>IFERROR(__xludf.DUMMYFUNCTION("""COMPUTED_VALUE"""),44819.66666666667)</f>
        <v>44819.66667</v>
      </c>
      <c r="B660" s="5">
        <f>IFERROR(__xludf.DUMMYFUNCTION("""COMPUTED_VALUE"""),6700.0)</f>
        <v>6700</v>
      </c>
      <c r="C660" s="5">
        <f>IFERROR(__xludf.DUMMYFUNCTION("""COMPUTED_VALUE"""),6750.0)</f>
        <v>6750</v>
      </c>
      <c r="D660" s="5">
        <f>IFERROR(__xludf.DUMMYFUNCTION("""COMPUTED_VALUE"""),6625.0)</f>
        <v>6625</v>
      </c>
      <c r="E660" s="5">
        <f>IFERROR(__xludf.DUMMYFUNCTION("""COMPUTED_VALUE"""),6625.0)</f>
        <v>6625</v>
      </c>
      <c r="F660" s="5">
        <f>IFERROR(__xludf.DUMMYFUNCTION("""COMPUTED_VALUE"""),1.2901E7)</f>
        <v>12901000</v>
      </c>
      <c r="G660" s="5">
        <f t="shared" si="1"/>
        <v>125</v>
      </c>
    </row>
    <row r="661">
      <c r="A661" s="4">
        <f>IFERROR(__xludf.DUMMYFUNCTION("""COMPUTED_VALUE"""),44820.66666666667)</f>
        <v>44820.66667</v>
      </c>
      <c r="B661" s="5">
        <f>IFERROR(__xludf.DUMMYFUNCTION("""COMPUTED_VALUE"""),6650.0)</f>
        <v>6650</v>
      </c>
      <c r="C661" s="5">
        <f>IFERROR(__xludf.DUMMYFUNCTION("""COMPUTED_VALUE"""),6900.0)</f>
        <v>6900</v>
      </c>
      <c r="D661" s="5">
        <f>IFERROR(__xludf.DUMMYFUNCTION("""COMPUTED_VALUE"""),6575.0)</f>
        <v>6575</v>
      </c>
      <c r="E661" s="5">
        <f>IFERROR(__xludf.DUMMYFUNCTION("""COMPUTED_VALUE"""),6875.0)</f>
        <v>6875</v>
      </c>
      <c r="F661" s="5">
        <f>IFERROR(__xludf.DUMMYFUNCTION("""COMPUTED_VALUE"""),2.41678E7)</f>
        <v>24167800</v>
      </c>
      <c r="G661" s="5">
        <f t="shared" si="1"/>
        <v>325</v>
      </c>
    </row>
    <row r="662">
      <c r="A662" s="4">
        <f>IFERROR(__xludf.DUMMYFUNCTION("""COMPUTED_VALUE"""),44823.66666666667)</f>
        <v>44823.66667</v>
      </c>
      <c r="B662" s="5">
        <f>IFERROR(__xludf.DUMMYFUNCTION("""COMPUTED_VALUE"""),6875.0)</f>
        <v>6875</v>
      </c>
      <c r="C662" s="5">
        <f>IFERROR(__xludf.DUMMYFUNCTION("""COMPUTED_VALUE"""),7025.0)</f>
        <v>7025</v>
      </c>
      <c r="D662" s="5">
        <f>IFERROR(__xludf.DUMMYFUNCTION("""COMPUTED_VALUE"""),6825.0)</f>
        <v>6825</v>
      </c>
      <c r="E662" s="5">
        <f>IFERROR(__xludf.DUMMYFUNCTION("""COMPUTED_VALUE"""),7000.0)</f>
        <v>7000</v>
      </c>
      <c r="F662" s="5">
        <f>IFERROR(__xludf.DUMMYFUNCTION("""COMPUTED_VALUE"""),2.13596E7)</f>
        <v>21359600</v>
      </c>
      <c r="G662" s="5">
        <f t="shared" si="1"/>
        <v>200</v>
      </c>
    </row>
    <row r="663">
      <c r="A663" s="4">
        <f>IFERROR(__xludf.DUMMYFUNCTION("""COMPUTED_VALUE"""),44824.66666666667)</f>
        <v>44824.66667</v>
      </c>
      <c r="B663" s="5">
        <f>IFERROR(__xludf.DUMMYFUNCTION("""COMPUTED_VALUE"""),7025.0)</f>
        <v>7025</v>
      </c>
      <c r="C663" s="5">
        <f>IFERROR(__xludf.DUMMYFUNCTION("""COMPUTED_VALUE"""),7350.0)</f>
        <v>7350</v>
      </c>
      <c r="D663" s="5">
        <f>IFERROR(__xludf.DUMMYFUNCTION("""COMPUTED_VALUE"""),6950.0)</f>
        <v>6950</v>
      </c>
      <c r="E663" s="5">
        <f>IFERROR(__xludf.DUMMYFUNCTION("""COMPUTED_VALUE"""),7200.0)</f>
        <v>7200</v>
      </c>
      <c r="F663" s="5">
        <f>IFERROR(__xludf.DUMMYFUNCTION("""COMPUTED_VALUE"""),3.0314E7)</f>
        <v>30314000</v>
      </c>
      <c r="G663" s="5">
        <f t="shared" si="1"/>
        <v>400</v>
      </c>
    </row>
    <row r="664">
      <c r="A664" s="4">
        <f>IFERROR(__xludf.DUMMYFUNCTION("""COMPUTED_VALUE"""),44825.66666666667)</f>
        <v>44825.66667</v>
      </c>
      <c r="B664" s="5">
        <f>IFERROR(__xludf.DUMMYFUNCTION("""COMPUTED_VALUE"""),7250.0)</f>
        <v>7250</v>
      </c>
      <c r="C664" s="5">
        <f>IFERROR(__xludf.DUMMYFUNCTION("""COMPUTED_VALUE"""),7350.0)</f>
        <v>7350</v>
      </c>
      <c r="D664" s="5">
        <f>IFERROR(__xludf.DUMMYFUNCTION("""COMPUTED_VALUE"""),7200.0)</f>
        <v>7200</v>
      </c>
      <c r="E664" s="5">
        <f>IFERROR(__xludf.DUMMYFUNCTION("""COMPUTED_VALUE"""),7200.0)</f>
        <v>7200</v>
      </c>
      <c r="F664" s="5">
        <f>IFERROR(__xludf.DUMMYFUNCTION("""COMPUTED_VALUE"""),1.97057E7)</f>
        <v>19705700</v>
      </c>
      <c r="G664" s="5">
        <f t="shared" si="1"/>
        <v>150</v>
      </c>
    </row>
    <row r="665">
      <c r="A665" s="4">
        <f>IFERROR(__xludf.DUMMYFUNCTION("""COMPUTED_VALUE"""),44826.66666666667)</f>
        <v>44826.66667</v>
      </c>
      <c r="B665" s="5">
        <f>IFERROR(__xludf.DUMMYFUNCTION("""COMPUTED_VALUE"""),7175.0)</f>
        <v>7175</v>
      </c>
      <c r="C665" s="5">
        <f>IFERROR(__xludf.DUMMYFUNCTION("""COMPUTED_VALUE"""),7325.0)</f>
        <v>7325</v>
      </c>
      <c r="D665" s="5">
        <f>IFERROR(__xludf.DUMMYFUNCTION("""COMPUTED_VALUE"""),7050.0)</f>
        <v>7050</v>
      </c>
      <c r="E665" s="5">
        <f>IFERROR(__xludf.DUMMYFUNCTION("""COMPUTED_VALUE"""),7275.0)</f>
        <v>7275</v>
      </c>
      <c r="F665" s="5">
        <f>IFERROR(__xludf.DUMMYFUNCTION("""COMPUTED_VALUE"""),1.0189E7)</f>
        <v>10189000</v>
      </c>
      <c r="G665" s="5">
        <f t="shared" si="1"/>
        <v>275</v>
      </c>
    </row>
    <row r="666">
      <c r="A666" s="4">
        <f>IFERROR(__xludf.DUMMYFUNCTION("""COMPUTED_VALUE"""),44827.66666666667)</f>
        <v>44827.66667</v>
      </c>
      <c r="B666" s="5">
        <f>IFERROR(__xludf.DUMMYFUNCTION("""COMPUTED_VALUE"""),7275.0)</f>
        <v>7275</v>
      </c>
      <c r="C666" s="5">
        <f>IFERROR(__xludf.DUMMYFUNCTION("""COMPUTED_VALUE"""),7450.0)</f>
        <v>7450</v>
      </c>
      <c r="D666" s="5">
        <f>IFERROR(__xludf.DUMMYFUNCTION("""COMPUTED_VALUE"""),7250.0)</f>
        <v>7250</v>
      </c>
      <c r="E666" s="5">
        <f>IFERROR(__xludf.DUMMYFUNCTION("""COMPUTED_VALUE"""),7425.0)</f>
        <v>7425</v>
      </c>
      <c r="F666" s="5">
        <f>IFERROR(__xludf.DUMMYFUNCTION("""COMPUTED_VALUE"""),1.48634E7)</f>
        <v>14863400</v>
      </c>
      <c r="G666" s="5">
        <f t="shared" si="1"/>
        <v>200</v>
      </c>
    </row>
    <row r="667">
      <c r="A667" s="4">
        <f>IFERROR(__xludf.DUMMYFUNCTION("""COMPUTED_VALUE"""),44830.66666666667)</f>
        <v>44830.66667</v>
      </c>
      <c r="B667" s="5">
        <f>IFERROR(__xludf.DUMMYFUNCTION("""COMPUTED_VALUE"""),7400.0)</f>
        <v>7400</v>
      </c>
      <c r="C667" s="5">
        <f>IFERROR(__xludf.DUMMYFUNCTION("""COMPUTED_VALUE"""),7475.0)</f>
        <v>7475</v>
      </c>
      <c r="D667" s="5">
        <f>IFERROR(__xludf.DUMMYFUNCTION("""COMPUTED_VALUE"""),7250.0)</f>
        <v>7250</v>
      </c>
      <c r="E667" s="5">
        <f>IFERROR(__xludf.DUMMYFUNCTION("""COMPUTED_VALUE"""),7425.0)</f>
        <v>7425</v>
      </c>
      <c r="F667" s="5">
        <f>IFERROR(__xludf.DUMMYFUNCTION("""COMPUTED_VALUE"""),1.94295E7)</f>
        <v>19429500</v>
      </c>
      <c r="G667" s="5">
        <f t="shared" si="1"/>
        <v>225</v>
      </c>
    </row>
    <row r="668">
      <c r="A668" s="4">
        <f>IFERROR(__xludf.DUMMYFUNCTION("""COMPUTED_VALUE"""),44831.66666666667)</f>
        <v>44831.66667</v>
      </c>
      <c r="B668" s="5">
        <f>IFERROR(__xludf.DUMMYFUNCTION("""COMPUTED_VALUE"""),7425.0)</f>
        <v>7425</v>
      </c>
      <c r="C668" s="5">
        <f>IFERROR(__xludf.DUMMYFUNCTION("""COMPUTED_VALUE"""),7525.0)</f>
        <v>7525</v>
      </c>
      <c r="D668" s="5">
        <f>IFERROR(__xludf.DUMMYFUNCTION("""COMPUTED_VALUE"""),7350.0)</f>
        <v>7350</v>
      </c>
      <c r="E668" s="5">
        <f>IFERROR(__xludf.DUMMYFUNCTION("""COMPUTED_VALUE"""),7500.0)</f>
        <v>7500</v>
      </c>
      <c r="F668" s="5">
        <f>IFERROR(__xludf.DUMMYFUNCTION("""COMPUTED_VALUE"""),1.27901E7)</f>
        <v>12790100</v>
      </c>
      <c r="G668" s="5">
        <f t="shared" si="1"/>
        <v>175</v>
      </c>
    </row>
    <row r="669">
      <c r="A669" s="4">
        <f>IFERROR(__xludf.DUMMYFUNCTION("""COMPUTED_VALUE"""),44832.66666666667)</f>
        <v>44832.66667</v>
      </c>
      <c r="B669" s="5">
        <f>IFERROR(__xludf.DUMMYFUNCTION("""COMPUTED_VALUE"""),7500.0)</f>
        <v>7500</v>
      </c>
      <c r="C669" s="5">
        <f>IFERROR(__xludf.DUMMYFUNCTION("""COMPUTED_VALUE"""),7550.0)</f>
        <v>7550</v>
      </c>
      <c r="D669" s="5">
        <f>IFERROR(__xludf.DUMMYFUNCTION("""COMPUTED_VALUE"""),7350.0)</f>
        <v>7350</v>
      </c>
      <c r="E669" s="5">
        <f>IFERROR(__xludf.DUMMYFUNCTION("""COMPUTED_VALUE"""),7400.0)</f>
        <v>7400</v>
      </c>
      <c r="F669" s="5">
        <f>IFERROR(__xludf.DUMMYFUNCTION("""COMPUTED_VALUE"""),1.32414E7)</f>
        <v>13241400</v>
      </c>
      <c r="G669" s="5">
        <f t="shared" si="1"/>
        <v>200</v>
      </c>
    </row>
    <row r="670">
      <c r="A670" s="4">
        <f>IFERROR(__xludf.DUMMYFUNCTION("""COMPUTED_VALUE"""),44833.66666666667)</f>
        <v>44833.66667</v>
      </c>
      <c r="B670" s="5">
        <f>IFERROR(__xludf.DUMMYFUNCTION("""COMPUTED_VALUE"""),7425.0)</f>
        <v>7425</v>
      </c>
      <c r="C670" s="5">
        <f>IFERROR(__xludf.DUMMYFUNCTION("""COMPUTED_VALUE"""),7550.0)</f>
        <v>7550</v>
      </c>
      <c r="D670" s="5">
        <f>IFERROR(__xludf.DUMMYFUNCTION("""COMPUTED_VALUE"""),7250.0)</f>
        <v>7250</v>
      </c>
      <c r="E670" s="5">
        <f>IFERROR(__xludf.DUMMYFUNCTION("""COMPUTED_VALUE"""),7500.0)</f>
        <v>7500</v>
      </c>
      <c r="F670" s="5">
        <f>IFERROR(__xludf.DUMMYFUNCTION("""COMPUTED_VALUE"""),1.79583E7)</f>
        <v>17958300</v>
      </c>
      <c r="G670" s="5">
        <f t="shared" si="1"/>
        <v>300</v>
      </c>
    </row>
    <row r="671">
      <c r="A671" s="4">
        <f>IFERROR(__xludf.DUMMYFUNCTION("""COMPUTED_VALUE"""),44834.66666666667)</f>
        <v>44834.66667</v>
      </c>
      <c r="B671" s="5">
        <f>IFERROR(__xludf.DUMMYFUNCTION("""COMPUTED_VALUE"""),7475.0)</f>
        <v>7475</v>
      </c>
      <c r="C671" s="5">
        <f>IFERROR(__xludf.DUMMYFUNCTION("""COMPUTED_VALUE"""),7525.0)</f>
        <v>7525</v>
      </c>
      <c r="D671" s="5">
        <f>IFERROR(__xludf.DUMMYFUNCTION("""COMPUTED_VALUE"""),7350.0)</f>
        <v>7350</v>
      </c>
      <c r="E671" s="5">
        <f>IFERROR(__xludf.DUMMYFUNCTION("""COMPUTED_VALUE"""),7475.0)</f>
        <v>7475</v>
      </c>
      <c r="F671" s="5">
        <f>IFERROR(__xludf.DUMMYFUNCTION("""COMPUTED_VALUE"""),1.47993E7)</f>
        <v>14799300</v>
      </c>
      <c r="G671" s="5">
        <f t="shared" si="1"/>
        <v>175</v>
      </c>
    </row>
    <row r="672">
      <c r="A672" s="4">
        <f>IFERROR(__xludf.DUMMYFUNCTION("""COMPUTED_VALUE"""),44837.66666666667)</f>
        <v>44837.66667</v>
      </c>
      <c r="B672" s="5">
        <f>IFERROR(__xludf.DUMMYFUNCTION("""COMPUTED_VALUE"""),7400.0)</f>
        <v>7400</v>
      </c>
      <c r="C672" s="5">
        <f>IFERROR(__xludf.DUMMYFUNCTION("""COMPUTED_VALUE"""),7500.0)</f>
        <v>7500</v>
      </c>
      <c r="D672" s="5">
        <f>IFERROR(__xludf.DUMMYFUNCTION("""COMPUTED_VALUE"""),7325.0)</f>
        <v>7325</v>
      </c>
      <c r="E672" s="5">
        <f>IFERROR(__xludf.DUMMYFUNCTION("""COMPUTED_VALUE"""),7450.0)</f>
        <v>7450</v>
      </c>
      <c r="F672" s="5">
        <f>IFERROR(__xludf.DUMMYFUNCTION("""COMPUTED_VALUE"""),6550100.0)</f>
        <v>6550100</v>
      </c>
      <c r="G672" s="5">
        <f t="shared" si="1"/>
        <v>175</v>
      </c>
    </row>
    <row r="673">
      <c r="A673" s="4">
        <f>IFERROR(__xludf.DUMMYFUNCTION("""COMPUTED_VALUE"""),44838.66666666667)</f>
        <v>44838.66667</v>
      </c>
      <c r="B673" s="5">
        <f>IFERROR(__xludf.DUMMYFUNCTION("""COMPUTED_VALUE"""),7500.0)</f>
        <v>7500</v>
      </c>
      <c r="C673" s="5">
        <f>IFERROR(__xludf.DUMMYFUNCTION("""COMPUTED_VALUE"""),7525.0)</f>
        <v>7525</v>
      </c>
      <c r="D673" s="5">
        <f>IFERROR(__xludf.DUMMYFUNCTION("""COMPUTED_VALUE"""),7425.0)</f>
        <v>7425</v>
      </c>
      <c r="E673" s="5">
        <f>IFERROR(__xludf.DUMMYFUNCTION("""COMPUTED_VALUE"""),7450.0)</f>
        <v>7450</v>
      </c>
      <c r="F673" s="5">
        <f>IFERROR(__xludf.DUMMYFUNCTION("""COMPUTED_VALUE"""),7700200.0)</f>
        <v>7700200</v>
      </c>
      <c r="G673" s="5">
        <f t="shared" si="1"/>
        <v>100</v>
      </c>
    </row>
    <row r="674">
      <c r="A674" s="4">
        <f>IFERROR(__xludf.DUMMYFUNCTION("""COMPUTED_VALUE"""),44839.66666666667)</f>
        <v>44839.66667</v>
      </c>
      <c r="B674" s="5">
        <f>IFERROR(__xludf.DUMMYFUNCTION("""COMPUTED_VALUE"""),7450.0)</f>
        <v>7450</v>
      </c>
      <c r="C674" s="5">
        <f>IFERROR(__xludf.DUMMYFUNCTION("""COMPUTED_VALUE"""),7525.0)</f>
        <v>7525</v>
      </c>
      <c r="D674" s="5">
        <f>IFERROR(__xludf.DUMMYFUNCTION("""COMPUTED_VALUE"""),7325.0)</f>
        <v>7325</v>
      </c>
      <c r="E674" s="5">
        <f>IFERROR(__xludf.DUMMYFUNCTION("""COMPUTED_VALUE"""),7325.0)</f>
        <v>7325</v>
      </c>
      <c r="F674" s="5">
        <f>IFERROR(__xludf.DUMMYFUNCTION("""COMPUTED_VALUE"""),5447900.0)</f>
        <v>5447900</v>
      </c>
      <c r="G674" s="5">
        <f t="shared" si="1"/>
        <v>200</v>
      </c>
    </row>
    <row r="675">
      <c r="A675" s="4">
        <f>IFERROR(__xludf.DUMMYFUNCTION("""COMPUTED_VALUE"""),44840.66666666667)</f>
        <v>44840.66667</v>
      </c>
      <c r="B675" s="5">
        <f>IFERROR(__xludf.DUMMYFUNCTION("""COMPUTED_VALUE"""),7350.0)</f>
        <v>7350</v>
      </c>
      <c r="C675" s="5">
        <f>IFERROR(__xludf.DUMMYFUNCTION("""COMPUTED_VALUE"""),7425.0)</f>
        <v>7425</v>
      </c>
      <c r="D675" s="5">
        <f>IFERROR(__xludf.DUMMYFUNCTION("""COMPUTED_VALUE"""),7275.0)</f>
        <v>7275</v>
      </c>
      <c r="E675" s="5">
        <f>IFERROR(__xludf.DUMMYFUNCTION("""COMPUTED_VALUE"""),7325.0)</f>
        <v>7325</v>
      </c>
      <c r="F675" s="5">
        <f>IFERROR(__xludf.DUMMYFUNCTION("""COMPUTED_VALUE"""),1.14078E7)</f>
        <v>11407800</v>
      </c>
      <c r="G675" s="5">
        <f t="shared" si="1"/>
        <v>150</v>
      </c>
    </row>
    <row r="676">
      <c r="A676" s="4">
        <f>IFERROR(__xludf.DUMMYFUNCTION("""COMPUTED_VALUE"""),44841.66666666667)</f>
        <v>44841.66667</v>
      </c>
      <c r="B676" s="5">
        <f>IFERROR(__xludf.DUMMYFUNCTION("""COMPUTED_VALUE"""),7325.0)</f>
        <v>7325</v>
      </c>
      <c r="C676" s="5">
        <f>IFERROR(__xludf.DUMMYFUNCTION("""COMPUTED_VALUE"""),7400.0)</f>
        <v>7400</v>
      </c>
      <c r="D676" s="5">
        <f>IFERROR(__xludf.DUMMYFUNCTION("""COMPUTED_VALUE"""),7150.0)</f>
        <v>7150</v>
      </c>
      <c r="E676" s="5">
        <f>IFERROR(__xludf.DUMMYFUNCTION("""COMPUTED_VALUE"""),7225.0)</f>
        <v>7225</v>
      </c>
      <c r="F676" s="5">
        <f>IFERROR(__xludf.DUMMYFUNCTION("""COMPUTED_VALUE"""),6120300.0)</f>
        <v>6120300</v>
      </c>
      <c r="G676" s="5">
        <f t="shared" si="1"/>
        <v>250</v>
      </c>
    </row>
    <row r="677">
      <c r="A677" s="4">
        <f>IFERROR(__xludf.DUMMYFUNCTION("""COMPUTED_VALUE"""),44844.66666666667)</f>
        <v>44844.66667</v>
      </c>
      <c r="B677" s="5">
        <f>IFERROR(__xludf.DUMMYFUNCTION("""COMPUTED_VALUE"""),7100.0)</f>
        <v>7100</v>
      </c>
      <c r="C677" s="5">
        <f>IFERROR(__xludf.DUMMYFUNCTION("""COMPUTED_VALUE"""),7400.0)</f>
        <v>7400</v>
      </c>
      <c r="D677" s="5">
        <f>IFERROR(__xludf.DUMMYFUNCTION("""COMPUTED_VALUE"""),7100.0)</f>
        <v>7100</v>
      </c>
      <c r="E677" s="5">
        <f>IFERROR(__xludf.DUMMYFUNCTION("""COMPUTED_VALUE"""),7350.0)</f>
        <v>7350</v>
      </c>
      <c r="F677" s="5">
        <f>IFERROR(__xludf.DUMMYFUNCTION("""COMPUTED_VALUE"""),6749600.0)</f>
        <v>6749600</v>
      </c>
      <c r="G677" s="5">
        <f t="shared" si="1"/>
        <v>300</v>
      </c>
    </row>
    <row r="678">
      <c r="A678" s="4">
        <f>IFERROR(__xludf.DUMMYFUNCTION("""COMPUTED_VALUE"""),44845.66666666667)</f>
        <v>44845.66667</v>
      </c>
      <c r="B678" s="5">
        <f>IFERROR(__xludf.DUMMYFUNCTION("""COMPUTED_VALUE"""),7400.0)</f>
        <v>7400</v>
      </c>
      <c r="C678" s="5">
        <f>IFERROR(__xludf.DUMMYFUNCTION("""COMPUTED_VALUE"""),7575.0)</f>
        <v>7575</v>
      </c>
      <c r="D678" s="5">
        <f>IFERROR(__xludf.DUMMYFUNCTION("""COMPUTED_VALUE"""),7250.0)</f>
        <v>7250</v>
      </c>
      <c r="E678" s="5">
        <f>IFERROR(__xludf.DUMMYFUNCTION("""COMPUTED_VALUE"""),7525.0)</f>
        <v>7525</v>
      </c>
      <c r="F678" s="5">
        <f>IFERROR(__xludf.DUMMYFUNCTION("""COMPUTED_VALUE"""),1.19532E7)</f>
        <v>11953200</v>
      </c>
      <c r="G678" s="5">
        <f t="shared" si="1"/>
        <v>325</v>
      </c>
    </row>
    <row r="679">
      <c r="A679" s="4">
        <f>IFERROR(__xludf.DUMMYFUNCTION("""COMPUTED_VALUE"""),44846.66666666667)</f>
        <v>44846.66667</v>
      </c>
      <c r="B679" s="5">
        <f>IFERROR(__xludf.DUMMYFUNCTION("""COMPUTED_VALUE"""),7525.0)</f>
        <v>7525</v>
      </c>
      <c r="C679" s="5">
        <f>IFERROR(__xludf.DUMMYFUNCTION("""COMPUTED_VALUE"""),7600.0)</f>
        <v>7600</v>
      </c>
      <c r="D679" s="5">
        <f>IFERROR(__xludf.DUMMYFUNCTION("""COMPUTED_VALUE"""),7325.0)</f>
        <v>7325</v>
      </c>
      <c r="E679" s="5">
        <f>IFERROR(__xludf.DUMMYFUNCTION("""COMPUTED_VALUE"""),7500.0)</f>
        <v>7500</v>
      </c>
      <c r="F679" s="5">
        <f>IFERROR(__xludf.DUMMYFUNCTION("""COMPUTED_VALUE"""),1.27266E7)</f>
        <v>12726600</v>
      </c>
      <c r="G679" s="5">
        <f t="shared" si="1"/>
        <v>275</v>
      </c>
    </row>
    <row r="680">
      <c r="A680" s="4">
        <f>IFERROR(__xludf.DUMMYFUNCTION("""COMPUTED_VALUE"""),44847.66666666667)</f>
        <v>44847.66667</v>
      </c>
      <c r="B680" s="5">
        <f>IFERROR(__xludf.DUMMYFUNCTION("""COMPUTED_VALUE"""),7500.0)</f>
        <v>7500</v>
      </c>
      <c r="C680" s="5">
        <f>IFERROR(__xludf.DUMMYFUNCTION("""COMPUTED_VALUE"""),7525.0)</f>
        <v>7525</v>
      </c>
      <c r="D680" s="5">
        <f>IFERROR(__xludf.DUMMYFUNCTION("""COMPUTED_VALUE"""),7350.0)</f>
        <v>7350</v>
      </c>
      <c r="E680" s="5">
        <f>IFERROR(__xludf.DUMMYFUNCTION("""COMPUTED_VALUE"""),7350.0)</f>
        <v>7350</v>
      </c>
      <c r="F680" s="5">
        <f>IFERROR(__xludf.DUMMYFUNCTION("""COMPUTED_VALUE"""),4795700.0)</f>
        <v>4795700</v>
      </c>
      <c r="G680" s="5">
        <f t="shared" si="1"/>
        <v>175</v>
      </c>
    </row>
    <row r="681">
      <c r="A681" s="4">
        <f>IFERROR(__xludf.DUMMYFUNCTION("""COMPUTED_VALUE"""),44848.66666666667)</f>
        <v>44848.66667</v>
      </c>
      <c r="B681" s="5">
        <f>IFERROR(__xludf.DUMMYFUNCTION("""COMPUTED_VALUE"""),7400.0)</f>
        <v>7400</v>
      </c>
      <c r="C681" s="5">
        <f>IFERROR(__xludf.DUMMYFUNCTION("""COMPUTED_VALUE"""),7475.0)</f>
        <v>7475</v>
      </c>
      <c r="D681" s="5">
        <f>IFERROR(__xludf.DUMMYFUNCTION("""COMPUTED_VALUE"""),7200.0)</f>
        <v>7200</v>
      </c>
      <c r="E681" s="5">
        <f>IFERROR(__xludf.DUMMYFUNCTION("""COMPUTED_VALUE"""),7200.0)</f>
        <v>7200</v>
      </c>
      <c r="F681" s="5">
        <f>IFERROR(__xludf.DUMMYFUNCTION("""COMPUTED_VALUE"""),6307300.0)</f>
        <v>6307300</v>
      </c>
      <c r="G681" s="5">
        <f t="shared" si="1"/>
        <v>275</v>
      </c>
    </row>
    <row r="682">
      <c r="A682" s="4">
        <f>IFERROR(__xludf.DUMMYFUNCTION("""COMPUTED_VALUE"""),44851.66666666667)</f>
        <v>44851.66667</v>
      </c>
      <c r="B682" s="5">
        <f>IFERROR(__xludf.DUMMYFUNCTION("""COMPUTED_VALUE"""),7175.0)</f>
        <v>7175</v>
      </c>
      <c r="C682" s="5">
        <f>IFERROR(__xludf.DUMMYFUNCTION("""COMPUTED_VALUE"""),7500.0)</f>
        <v>7500</v>
      </c>
      <c r="D682" s="5">
        <f>IFERROR(__xludf.DUMMYFUNCTION("""COMPUTED_VALUE"""),7125.0)</f>
        <v>7125</v>
      </c>
      <c r="E682" s="5">
        <f>IFERROR(__xludf.DUMMYFUNCTION("""COMPUTED_VALUE"""),7500.0)</f>
        <v>7500</v>
      </c>
      <c r="F682" s="5">
        <f>IFERROR(__xludf.DUMMYFUNCTION("""COMPUTED_VALUE"""),9041100.0)</f>
        <v>9041100</v>
      </c>
      <c r="G682" s="5">
        <f t="shared" si="1"/>
        <v>375</v>
      </c>
    </row>
    <row r="683">
      <c r="A683" s="4">
        <f>IFERROR(__xludf.DUMMYFUNCTION("""COMPUTED_VALUE"""),44852.66666666667)</f>
        <v>44852.66667</v>
      </c>
      <c r="B683" s="5">
        <f>IFERROR(__xludf.DUMMYFUNCTION("""COMPUTED_VALUE"""),7500.0)</f>
        <v>7500</v>
      </c>
      <c r="C683" s="5">
        <f>IFERROR(__xludf.DUMMYFUNCTION("""COMPUTED_VALUE"""),7525.0)</f>
        <v>7525</v>
      </c>
      <c r="D683" s="5">
        <f>IFERROR(__xludf.DUMMYFUNCTION("""COMPUTED_VALUE"""),7425.0)</f>
        <v>7425</v>
      </c>
      <c r="E683" s="5">
        <f>IFERROR(__xludf.DUMMYFUNCTION("""COMPUTED_VALUE"""),7525.0)</f>
        <v>7525</v>
      </c>
      <c r="F683" s="5">
        <f>IFERROR(__xludf.DUMMYFUNCTION("""COMPUTED_VALUE"""),1.17447E7)</f>
        <v>11744700</v>
      </c>
      <c r="G683" s="5">
        <f t="shared" si="1"/>
        <v>100</v>
      </c>
    </row>
    <row r="684">
      <c r="A684" s="4">
        <f>IFERROR(__xludf.DUMMYFUNCTION("""COMPUTED_VALUE"""),44853.66666666667)</f>
        <v>44853.66667</v>
      </c>
      <c r="B684" s="5">
        <f>IFERROR(__xludf.DUMMYFUNCTION("""COMPUTED_VALUE"""),7525.0)</f>
        <v>7525</v>
      </c>
      <c r="C684" s="5">
        <f>IFERROR(__xludf.DUMMYFUNCTION("""COMPUTED_VALUE"""),7800.0)</f>
        <v>7800</v>
      </c>
      <c r="D684" s="5">
        <f>IFERROR(__xludf.DUMMYFUNCTION("""COMPUTED_VALUE"""),7475.0)</f>
        <v>7475</v>
      </c>
      <c r="E684" s="5">
        <f>IFERROR(__xludf.DUMMYFUNCTION("""COMPUTED_VALUE"""),7750.0)</f>
        <v>7750</v>
      </c>
      <c r="F684" s="5">
        <f>IFERROR(__xludf.DUMMYFUNCTION("""COMPUTED_VALUE"""),1.94967E7)</f>
        <v>19496700</v>
      </c>
      <c r="G684" s="5">
        <f t="shared" si="1"/>
        <v>325</v>
      </c>
    </row>
    <row r="685">
      <c r="A685" s="4">
        <f>IFERROR(__xludf.DUMMYFUNCTION("""COMPUTED_VALUE"""),44854.66666666667)</f>
        <v>44854.66667</v>
      </c>
      <c r="B685" s="5">
        <f>IFERROR(__xludf.DUMMYFUNCTION("""COMPUTED_VALUE"""),7775.0)</f>
        <v>7775</v>
      </c>
      <c r="C685" s="5">
        <f>IFERROR(__xludf.DUMMYFUNCTION("""COMPUTED_VALUE"""),7825.0)</f>
        <v>7825</v>
      </c>
      <c r="D685" s="5">
        <f>IFERROR(__xludf.DUMMYFUNCTION("""COMPUTED_VALUE"""),7725.0)</f>
        <v>7725</v>
      </c>
      <c r="E685" s="5">
        <f>IFERROR(__xludf.DUMMYFUNCTION("""COMPUTED_VALUE"""),7800.0)</f>
        <v>7800</v>
      </c>
      <c r="F685" s="5">
        <f>IFERROR(__xludf.DUMMYFUNCTION("""COMPUTED_VALUE"""),9599700.0)</f>
        <v>9599700</v>
      </c>
      <c r="G685" s="5">
        <f t="shared" si="1"/>
        <v>100</v>
      </c>
    </row>
    <row r="686">
      <c r="A686" s="4">
        <f>IFERROR(__xludf.DUMMYFUNCTION("""COMPUTED_VALUE"""),44855.66666666667)</f>
        <v>44855.66667</v>
      </c>
      <c r="B686" s="5">
        <f>IFERROR(__xludf.DUMMYFUNCTION("""COMPUTED_VALUE"""),7800.0)</f>
        <v>7800</v>
      </c>
      <c r="C686" s="5">
        <f>IFERROR(__xludf.DUMMYFUNCTION("""COMPUTED_VALUE"""),7800.0)</f>
        <v>7800</v>
      </c>
      <c r="D686" s="5">
        <f>IFERROR(__xludf.DUMMYFUNCTION("""COMPUTED_VALUE"""),7600.0)</f>
        <v>7600</v>
      </c>
      <c r="E686" s="5">
        <f>IFERROR(__xludf.DUMMYFUNCTION("""COMPUTED_VALUE"""),7600.0)</f>
        <v>7600</v>
      </c>
      <c r="F686" s="5">
        <f>IFERROR(__xludf.DUMMYFUNCTION("""COMPUTED_VALUE"""),6489700.0)</f>
        <v>6489700</v>
      </c>
      <c r="G686" s="5">
        <f t="shared" si="1"/>
        <v>200</v>
      </c>
    </row>
    <row r="687">
      <c r="A687" s="4">
        <f>IFERROR(__xludf.DUMMYFUNCTION("""COMPUTED_VALUE"""),44858.66666666667)</f>
        <v>44858.66667</v>
      </c>
      <c r="B687" s="5">
        <f>IFERROR(__xludf.DUMMYFUNCTION("""COMPUTED_VALUE"""),7600.0)</f>
        <v>7600</v>
      </c>
      <c r="C687" s="5">
        <f>IFERROR(__xludf.DUMMYFUNCTION("""COMPUTED_VALUE"""),7700.0)</f>
        <v>7700</v>
      </c>
      <c r="D687" s="5">
        <f>IFERROR(__xludf.DUMMYFUNCTION("""COMPUTED_VALUE"""),7500.0)</f>
        <v>7500</v>
      </c>
      <c r="E687" s="5">
        <f>IFERROR(__xludf.DUMMYFUNCTION("""COMPUTED_VALUE"""),7575.0)</f>
        <v>7575</v>
      </c>
      <c r="F687" s="5">
        <f>IFERROR(__xludf.DUMMYFUNCTION("""COMPUTED_VALUE"""),7260300.0)</f>
        <v>7260300</v>
      </c>
      <c r="G687" s="5">
        <f t="shared" si="1"/>
        <v>200</v>
      </c>
    </row>
    <row r="688">
      <c r="A688" s="4">
        <f>IFERROR(__xludf.DUMMYFUNCTION("""COMPUTED_VALUE"""),44859.66666666667)</f>
        <v>44859.66667</v>
      </c>
      <c r="B688" s="5">
        <f>IFERROR(__xludf.DUMMYFUNCTION("""COMPUTED_VALUE"""),7625.0)</f>
        <v>7625</v>
      </c>
      <c r="C688" s="5">
        <f>IFERROR(__xludf.DUMMYFUNCTION("""COMPUTED_VALUE"""),7625.0)</f>
        <v>7625</v>
      </c>
      <c r="D688" s="5">
        <f>IFERROR(__xludf.DUMMYFUNCTION("""COMPUTED_VALUE"""),7425.0)</f>
        <v>7425</v>
      </c>
      <c r="E688" s="5">
        <f>IFERROR(__xludf.DUMMYFUNCTION("""COMPUTED_VALUE"""),7475.0)</f>
        <v>7475</v>
      </c>
      <c r="F688" s="5">
        <f>IFERROR(__xludf.DUMMYFUNCTION("""COMPUTED_VALUE"""),1.03103E7)</f>
        <v>10310300</v>
      </c>
      <c r="G688" s="5">
        <f t="shared" si="1"/>
        <v>200</v>
      </c>
    </row>
    <row r="689">
      <c r="A689" s="4">
        <f>IFERROR(__xludf.DUMMYFUNCTION("""COMPUTED_VALUE"""),44860.66666666667)</f>
        <v>44860.66667</v>
      </c>
      <c r="B689" s="5">
        <f>IFERROR(__xludf.DUMMYFUNCTION("""COMPUTED_VALUE"""),7475.0)</f>
        <v>7475</v>
      </c>
      <c r="C689" s="5">
        <f>IFERROR(__xludf.DUMMYFUNCTION("""COMPUTED_VALUE"""),7550.0)</f>
        <v>7550</v>
      </c>
      <c r="D689" s="5">
        <f>IFERROR(__xludf.DUMMYFUNCTION("""COMPUTED_VALUE"""),7425.0)</f>
        <v>7425</v>
      </c>
      <c r="E689" s="5">
        <f>IFERROR(__xludf.DUMMYFUNCTION("""COMPUTED_VALUE"""),7475.0)</f>
        <v>7475</v>
      </c>
      <c r="F689" s="5">
        <f>IFERROR(__xludf.DUMMYFUNCTION("""COMPUTED_VALUE"""),7381600.0)</f>
        <v>7381600</v>
      </c>
      <c r="G689" s="5">
        <f t="shared" si="1"/>
        <v>125</v>
      </c>
    </row>
    <row r="690">
      <c r="A690" s="4">
        <f>IFERROR(__xludf.DUMMYFUNCTION("""COMPUTED_VALUE"""),44861.66666666667)</f>
        <v>44861.66667</v>
      </c>
      <c r="B690" s="5">
        <f>IFERROR(__xludf.DUMMYFUNCTION("""COMPUTED_VALUE"""),7550.0)</f>
        <v>7550</v>
      </c>
      <c r="C690" s="5">
        <f>IFERROR(__xludf.DUMMYFUNCTION("""COMPUTED_VALUE"""),7725.0)</f>
        <v>7725</v>
      </c>
      <c r="D690" s="5">
        <f>IFERROR(__xludf.DUMMYFUNCTION("""COMPUTED_VALUE"""),7500.0)</f>
        <v>7500</v>
      </c>
      <c r="E690" s="5">
        <f>IFERROR(__xludf.DUMMYFUNCTION("""COMPUTED_VALUE"""),7675.0)</f>
        <v>7675</v>
      </c>
      <c r="F690" s="5">
        <f>IFERROR(__xludf.DUMMYFUNCTION("""COMPUTED_VALUE"""),9017400.0)</f>
        <v>9017400</v>
      </c>
      <c r="G690" s="5">
        <f t="shared" si="1"/>
        <v>250</v>
      </c>
    </row>
    <row r="691">
      <c r="A691" s="4">
        <f>IFERROR(__xludf.DUMMYFUNCTION("""COMPUTED_VALUE"""),44862.66666666667)</f>
        <v>44862.66667</v>
      </c>
      <c r="B691" s="5">
        <f>IFERROR(__xludf.DUMMYFUNCTION("""COMPUTED_VALUE"""),7675.0)</f>
        <v>7675</v>
      </c>
      <c r="C691" s="5">
        <f>IFERROR(__xludf.DUMMYFUNCTION("""COMPUTED_VALUE"""),7750.0)</f>
        <v>7750</v>
      </c>
      <c r="D691" s="5">
        <f>IFERROR(__xludf.DUMMYFUNCTION("""COMPUTED_VALUE"""),7550.0)</f>
        <v>7550</v>
      </c>
      <c r="E691" s="5">
        <f>IFERROR(__xludf.DUMMYFUNCTION("""COMPUTED_VALUE"""),7750.0)</f>
        <v>7750</v>
      </c>
      <c r="F691" s="5">
        <f>IFERROR(__xludf.DUMMYFUNCTION("""COMPUTED_VALUE"""),6005900.0)</f>
        <v>6005900</v>
      </c>
      <c r="G691" s="5">
        <f t="shared" si="1"/>
        <v>200</v>
      </c>
    </row>
    <row r="692">
      <c r="A692" s="4">
        <f>IFERROR(__xludf.DUMMYFUNCTION("""COMPUTED_VALUE"""),44865.66666666667)</f>
        <v>44865.66667</v>
      </c>
      <c r="B692" s="5">
        <f>IFERROR(__xludf.DUMMYFUNCTION("""COMPUTED_VALUE"""),7775.0)</f>
        <v>7775</v>
      </c>
      <c r="C692" s="5">
        <f>IFERROR(__xludf.DUMMYFUNCTION("""COMPUTED_VALUE"""),7950.0)</f>
        <v>7950</v>
      </c>
      <c r="D692" s="5">
        <f>IFERROR(__xludf.DUMMYFUNCTION("""COMPUTED_VALUE"""),7725.0)</f>
        <v>7725</v>
      </c>
      <c r="E692" s="5">
        <f>IFERROR(__xludf.DUMMYFUNCTION("""COMPUTED_VALUE"""),7950.0)</f>
        <v>7950</v>
      </c>
      <c r="F692" s="5">
        <f>IFERROR(__xludf.DUMMYFUNCTION("""COMPUTED_VALUE"""),1.33879E7)</f>
        <v>13387900</v>
      </c>
      <c r="G692" s="5">
        <f t="shared" si="1"/>
        <v>225</v>
      </c>
    </row>
    <row r="693">
      <c r="A693" s="4">
        <f>IFERROR(__xludf.DUMMYFUNCTION("""COMPUTED_VALUE"""),44866.625)</f>
        <v>44866.625</v>
      </c>
      <c r="B693" s="5">
        <f>IFERROR(__xludf.DUMMYFUNCTION("""COMPUTED_VALUE"""),7950.0)</f>
        <v>7950</v>
      </c>
      <c r="C693" s="5">
        <f>IFERROR(__xludf.DUMMYFUNCTION("""COMPUTED_VALUE"""),8100.0)</f>
        <v>8100</v>
      </c>
      <c r="D693" s="5">
        <f>IFERROR(__xludf.DUMMYFUNCTION("""COMPUTED_VALUE"""),7800.0)</f>
        <v>7800</v>
      </c>
      <c r="E693" s="5">
        <f>IFERROR(__xludf.DUMMYFUNCTION("""COMPUTED_VALUE"""),8025.0)</f>
        <v>8025</v>
      </c>
      <c r="F693" s="5">
        <f>IFERROR(__xludf.DUMMYFUNCTION("""COMPUTED_VALUE"""),2.03394E7)</f>
        <v>20339400</v>
      </c>
      <c r="G693" s="5">
        <f t="shared" si="1"/>
        <v>300</v>
      </c>
    </row>
    <row r="694">
      <c r="A694" s="4">
        <f>IFERROR(__xludf.DUMMYFUNCTION("""COMPUTED_VALUE"""),44867.625)</f>
        <v>44867.625</v>
      </c>
      <c r="B694" s="5">
        <f>IFERROR(__xludf.DUMMYFUNCTION("""COMPUTED_VALUE"""),8025.0)</f>
        <v>8025</v>
      </c>
      <c r="C694" s="5">
        <f>IFERROR(__xludf.DUMMYFUNCTION("""COMPUTED_VALUE"""),8175.0)</f>
        <v>8175</v>
      </c>
      <c r="D694" s="5">
        <f>IFERROR(__xludf.DUMMYFUNCTION("""COMPUTED_VALUE"""),7975.0)</f>
        <v>7975</v>
      </c>
      <c r="E694" s="5">
        <f>IFERROR(__xludf.DUMMYFUNCTION("""COMPUTED_VALUE"""),8100.0)</f>
        <v>8100</v>
      </c>
      <c r="F694" s="5">
        <f>IFERROR(__xludf.DUMMYFUNCTION("""COMPUTED_VALUE"""),1.02774E7)</f>
        <v>10277400</v>
      </c>
      <c r="G694" s="5">
        <f t="shared" si="1"/>
        <v>200</v>
      </c>
    </row>
    <row r="695">
      <c r="A695" s="4">
        <f>IFERROR(__xludf.DUMMYFUNCTION("""COMPUTED_VALUE"""),44868.66666666667)</f>
        <v>44868.66667</v>
      </c>
      <c r="B695" s="5">
        <f>IFERROR(__xludf.DUMMYFUNCTION("""COMPUTED_VALUE"""),8075.0)</f>
        <v>8075</v>
      </c>
      <c r="C695" s="5">
        <f>IFERROR(__xludf.DUMMYFUNCTION("""COMPUTED_VALUE"""),8075.0)</f>
        <v>8075</v>
      </c>
      <c r="D695" s="5">
        <f>IFERROR(__xludf.DUMMYFUNCTION("""COMPUTED_VALUE"""),7975.0)</f>
        <v>7975</v>
      </c>
      <c r="E695" s="5">
        <f>IFERROR(__xludf.DUMMYFUNCTION("""COMPUTED_VALUE"""),8025.0)</f>
        <v>8025</v>
      </c>
      <c r="F695" s="5">
        <f>IFERROR(__xludf.DUMMYFUNCTION("""COMPUTED_VALUE"""),7619100.0)</f>
        <v>7619100</v>
      </c>
      <c r="G695" s="5">
        <f t="shared" si="1"/>
        <v>125</v>
      </c>
    </row>
    <row r="696">
      <c r="A696" s="4">
        <f>IFERROR(__xludf.DUMMYFUNCTION("""COMPUTED_VALUE"""),44869.66666666667)</f>
        <v>44869.66667</v>
      </c>
      <c r="B696" s="5">
        <f>IFERROR(__xludf.DUMMYFUNCTION("""COMPUTED_VALUE"""),8000.0)</f>
        <v>8000</v>
      </c>
      <c r="C696" s="5">
        <f>IFERROR(__xludf.DUMMYFUNCTION("""COMPUTED_VALUE"""),8300.0)</f>
        <v>8300</v>
      </c>
      <c r="D696" s="5">
        <f>IFERROR(__xludf.DUMMYFUNCTION("""COMPUTED_VALUE"""),8000.0)</f>
        <v>8000</v>
      </c>
      <c r="E696" s="5">
        <f>IFERROR(__xludf.DUMMYFUNCTION("""COMPUTED_VALUE"""),8250.0)</f>
        <v>8250</v>
      </c>
      <c r="F696" s="5">
        <f>IFERROR(__xludf.DUMMYFUNCTION("""COMPUTED_VALUE"""),1.94504E7)</f>
        <v>19450400</v>
      </c>
      <c r="G696" s="5">
        <f t="shared" si="1"/>
        <v>300</v>
      </c>
    </row>
    <row r="697">
      <c r="A697" s="4">
        <f>IFERROR(__xludf.DUMMYFUNCTION("""COMPUTED_VALUE"""),44872.66666666667)</f>
        <v>44872.66667</v>
      </c>
      <c r="B697" s="5">
        <f>IFERROR(__xludf.DUMMYFUNCTION("""COMPUTED_VALUE"""),8275.0)</f>
        <v>8275</v>
      </c>
      <c r="C697" s="5">
        <f>IFERROR(__xludf.DUMMYFUNCTION("""COMPUTED_VALUE"""),8275.0)</f>
        <v>8275</v>
      </c>
      <c r="D697" s="5">
        <f>IFERROR(__xludf.DUMMYFUNCTION("""COMPUTED_VALUE"""),8150.0)</f>
        <v>8150</v>
      </c>
      <c r="E697" s="5">
        <f>IFERROR(__xludf.DUMMYFUNCTION("""COMPUTED_VALUE"""),8250.0)</f>
        <v>8250</v>
      </c>
      <c r="F697" s="5">
        <f>IFERROR(__xludf.DUMMYFUNCTION("""COMPUTED_VALUE"""),7643200.0)</f>
        <v>7643200</v>
      </c>
      <c r="G697" s="5">
        <f t="shared" si="1"/>
        <v>125</v>
      </c>
    </row>
    <row r="698">
      <c r="A698" s="4">
        <f>IFERROR(__xludf.DUMMYFUNCTION("""COMPUTED_VALUE"""),44873.66666666667)</f>
        <v>44873.66667</v>
      </c>
      <c r="B698" s="5">
        <f>IFERROR(__xludf.DUMMYFUNCTION("""COMPUTED_VALUE"""),8225.0)</f>
        <v>8225</v>
      </c>
      <c r="C698" s="5">
        <f>IFERROR(__xludf.DUMMYFUNCTION("""COMPUTED_VALUE"""),8225.0)</f>
        <v>8225</v>
      </c>
      <c r="D698" s="5">
        <f>IFERROR(__xludf.DUMMYFUNCTION("""COMPUTED_VALUE"""),7900.0)</f>
        <v>7900</v>
      </c>
      <c r="E698" s="5">
        <f>IFERROR(__xludf.DUMMYFUNCTION("""COMPUTED_VALUE"""),7950.0)</f>
        <v>7950</v>
      </c>
      <c r="F698" s="5">
        <f>IFERROR(__xludf.DUMMYFUNCTION("""COMPUTED_VALUE"""),1.4755E7)</f>
        <v>14755000</v>
      </c>
      <c r="G698" s="5">
        <f t="shared" si="1"/>
        <v>350</v>
      </c>
    </row>
    <row r="699">
      <c r="A699" s="4">
        <f>IFERROR(__xludf.DUMMYFUNCTION("""COMPUTED_VALUE"""),44874.66666666667)</f>
        <v>44874.66667</v>
      </c>
      <c r="B699" s="5">
        <f>IFERROR(__xludf.DUMMYFUNCTION("""COMPUTED_VALUE"""),7925.0)</f>
        <v>7925</v>
      </c>
      <c r="C699" s="5">
        <f>IFERROR(__xludf.DUMMYFUNCTION("""COMPUTED_VALUE"""),7950.0)</f>
        <v>7950</v>
      </c>
      <c r="D699" s="5">
        <f>IFERROR(__xludf.DUMMYFUNCTION("""COMPUTED_VALUE"""),7725.0)</f>
        <v>7725</v>
      </c>
      <c r="E699" s="5">
        <f>IFERROR(__xludf.DUMMYFUNCTION("""COMPUTED_VALUE"""),7875.0)</f>
        <v>7875</v>
      </c>
      <c r="F699" s="5">
        <f>IFERROR(__xludf.DUMMYFUNCTION("""COMPUTED_VALUE"""),1.77833E7)</f>
        <v>17783300</v>
      </c>
      <c r="G699" s="5">
        <f t="shared" si="1"/>
        <v>225</v>
      </c>
    </row>
    <row r="700">
      <c r="A700" s="4">
        <f>IFERROR(__xludf.DUMMYFUNCTION("""COMPUTED_VALUE"""),44875.66666666667)</f>
        <v>44875.66667</v>
      </c>
      <c r="B700" s="5">
        <f>IFERROR(__xludf.DUMMYFUNCTION("""COMPUTED_VALUE"""),7825.0)</f>
        <v>7825</v>
      </c>
      <c r="C700" s="5">
        <f>IFERROR(__xludf.DUMMYFUNCTION("""COMPUTED_VALUE"""),8000.0)</f>
        <v>8000</v>
      </c>
      <c r="D700" s="5">
        <f>IFERROR(__xludf.DUMMYFUNCTION("""COMPUTED_VALUE"""),7750.0)</f>
        <v>7750</v>
      </c>
      <c r="E700" s="5">
        <f>IFERROR(__xludf.DUMMYFUNCTION("""COMPUTED_VALUE"""),7975.0)</f>
        <v>7975</v>
      </c>
      <c r="F700" s="5">
        <f>IFERROR(__xludf.DUMMYFUNCTION("""COMPUTED_VALUE"""),1.44711E7)</f>
        <v>14471100</v>
      </c>
      <c r="G700" s="5">
        <f t="shared" si="1"/>
        <v>250</v>
      </c>
    </row>
    <row r="701">
      <c r="A701" s="4">
        <f>IFERROR(__xludf.DUMMYFUNCTION("""COMPUTED_VALUE"""),44876.66666666667)</f>
        <v>44876.66667</v>
      </c>
      <c r="B701" s="5">
        <f>IFERROR(__xludf.DUMMYFUNCTION("""COMPUTED_VALUE"""),8075.0)</f>
        <v>8075</v>
      </c>
      <c r="C701" s="5">
        <f>IFERROR(__xludf.DUMMYFUNCTION("""COMPUTED_VALUE"""),8150.0)</f>
        <v>8150</v>
      </c>
      <c r="D701" s="5">
        <f>IFERROR(__xludf.DUMMYFUNCTION("""COMPUTED_VALUE"""),7950.0)</f>
        <v>7950</v>
      </c>
      <c r="E701" s="5">
        <f>IFERROR(__xludf.DUMMYFUNCTION("""COMPUTED_VALUE"""),8125.0)</f>
        <v>8125</v>
      </c>
      <c r="F701" s="5">
        <f>IFERROR(__xludf.DUMMYFUNCTION("""COMPUTED_VALUE"""),1.27337E7)</f>
        <v>12733700</v>
      </c>
      <c r="G701" s="5">
        <f t="shared" si="1"/>
        <v>200</v>
      </c>
    </row>
    <row r="702">
      <c r="A702" s="4">
        <f>IFERROR(__xludf.DUMMYFUNCTION("""COMPUTED_VALUE"""),44879.66666666667)</f>
        <v>44879.66667</v>
      </c>
      <c r="B702" s="5">
        <f>IFERROR(__xludf.DUMMYFUNCTION("""COMPUTED_VALUE"""),8125.0)</f>
        <v>8125</v>
      </c>
      <c r="C702" s="5">
        <f>IFERROR(__xludf.DUMMYFUNCTION("""COMPUTED_VALUE"""),8150.0)</f>
        <v>8150</v>
      </c>
      <c r="D702" s="5">
        <f>IFERROR(__xludf.DUMMYFUNCTION("""COMPUTED_VALUE"""),7900.0)</f>
        <v>7900</v>
      </c>
      <c r="E702" s="5">
        <f>IFERROR(__xludf.DUMMYFUNCTION("""COMPUTED_VALUE"""),8000.0)</f>
        <v>8000</v>
      </c>
      <c r="F702" s="5">
        <f>IFERROR(__xludf.DUMMYFUNCTION("""COMPUTED_VALUE"""),4703600.0)</f>
        <v>4703600</v>
      </c>
      <c r="G702" s="5">
        <f t="shared" si="1"/>
        <v>250</v>
      </c>
    </row>
    <row r="703">
      <c r="A703" s="4">
        <f>IFERROR(__xludf.DUMMYFUNCTION("""COMPUTED_VALUE"""),44880.66666666667)</f>
        <v>44880.66667</v>
      </c>
      <c r="B703" s="5">
        <f>IFERROR(__xludf.DUMMYFUNCTION("""COMPUTED_VALUE"""),8000.0)</f>
        <v>8000</v>
      </c>
      <c r="C703" s="5">
        <f>IFERROR(__xludf.DUMMYFUNCTION("""COMPUTED_VALUE"""),8025.0)</f>
        <v>8025</v>
      </c>
      <c r="D703" s="5">
        <f>IFERROR(__xludf.DUMMYFUNCTION("""COMPUTED_VALUE"""),7825.0)</f>
        <v>7825</v>
      </c>
      <c r="E703" s="5">
        <f>IFERROR(__xludf.DUMMYFUNCTION("""COMPUTED_VALUE"""),7950.0)</f>
        <v>7950</v>
      </c>
      <c r="F703" s="5">
        <f>IFERROR(__xludf.DUMMYFUNCTION("""COMPUTED_VALUE"""),9014700.0)</f>
        <v>9014700</v>
      </c>
      <c r="G703" s="5">
        <f t="shared" si="1"/>
        <v>200</v>
      </c>
    </row>
    <row r="704">
      <c r="A704" s="4">
        <f>IFERROR(__xludf.DUMMYFUNCTION("""COMPUTED_VALUE"""),44881.66666666667)</f>
        <v>44881.66667</v>
      </c>
      <c r="B704" s="5">
        <f>IFERROR(__xludf.DUMMYFUNCTION("""COMPUTED_VALUE"""),7925.0)</f>
        <v>7925</v>
      </c>
      <c r="C704" s="5">
        <f>IFERROR(__xludf.DUMMYFUNCTION("""COMPUTED_VALUE"""),7925.0)</f>
        <v>7925</v>
      </c>
      <c r="D704" s="5">
        <f>IFERROR(__xludf.DUMMYFUNCTION("""COMPUTED_VALUE"""),7575.0)</f>
        <v>7575</v>
      </c>
      <c r="E704" s="5">
        <f>IFERROR(__xludf.DUMMYFUNCTION("""COMPUTED_VALUE"""),7625.0)</f>
        <v>7625</v>
      </c>
      <c r="F704" s="5">
        <f>IFERROR(__xludf.DUMMYFUNCTION("""COMPUTED_VALUE"""),1.83412E7)</f>
        <v>18341200</v>
      </c>
      <c r="G704" s="5">
        <f t="shared" si="1"/>
        <v>375</v>
      </c>
    </row>
    <row r="705">
      <c r="A705" s="4">
        <f>IFERROR(__xludf.DUMMYFUNCTION("""COMPUTED_VALUE"""),44882.66666666667)</f>
        <v>44882.66667</v>
      </c>
      <c r="B705" s="5">
        <f>IFERROR(__xludf.DUMMYFUNCTION("""COMPUTED_VALUE"""),7625.0)</f>
        <v>7625</v>
      </c>
      <c r="C705" s="5">
        <f>IFERROR(__xludf.DUMMYFUNCTION("""COMPUTED_VALUE"""),7725.0)</f>
        <v>7725</v>
      </c>
      <c r="D705" s="5">
        <f>IFERROR(__xludf.DUMMYFUNCTION("""COMPUTED_VALUE"""),7525.0)</f>
        <v>7525</v>
      </c>
      <c r="E705" s="5">
        <f>IFERROR(__xludf.DUMMYFUNCTION("""COMPUTED_VALUE"""),7625.0)</f>
        <v>7625</v>
      </c>
      <c r="F705" s="5">
        <f>IFERROR(__xludf.DUMMYFUNCTION("""COMPUTED_VALUE"""),6644600.0)</f>
        <v>6644600</v>
      </c>
      <c r="G705" s="5">
        <f t="shared" si="1"/>
        <v>200</v>
      </c>
    </row>
    <row r="706">
      <c r="A706" s="4">
        <f>IFERROR(__xludf.DUMMYFUNCTION("""COMPUTED_VALUE"""),44883.66666666667)</f>
        <v>44883.66667</v>
      </c>
      <c r="B706" s="5">
        <f>IFERROR(__xludf.DUMMYFUNCTION("""COMPUTED_VALUE"""),7650.0)</f>
        <v>7650</v>
      </c>
      <c r="C706" s="5">
        <f>IFERROR(__xludf.DUMMYFUNCTION("""COMPUTED_VALUE"""),7775.0)</f>
        <v>7775</v>
      </c>
      <c r="D706" s="5">
        <f>IFERROR(__xludf.DUMMYFUNCTION("""COMPUTED_VALUE"""),7625.0)</f>
        <v>7625</v>
      </c>
      <c r="E706" s="5">
        <f>IFERROR(__xludf.DUMMYFUNCTION("""COMPUTED_VALUE"""),7725.0)</f>
        <v>7725</v>
      </c>
      <c r="F706" s="5">
        <f>IFERROR(__xludf.DUMMYFUNCTION("""COMPUTED_VALUE"""),6124400.0)</f>
        <v>6124400</v>
      </c>
      <c r="G706" s="5">
        <f t="shared" si="1"/>
        <v>150</v>
      </c>
    </row>
    <row r="707">
      <c r="A707" s="4">
        <f>IFERROR(__xludf.DUMMYFUNCTION("""COMPUTED_VALUE"""),44886.66666666667)</f>
        <v>44886.66667</v>
      </c>
      <c r="B707" s="5">
        <f>IFERROR(__xludf.DUMMYFUNCTION("""COMPUTED_VALUE"""),7725.0)</f>
        <v>7725</v>
      </c>
      <c r="C707" s="5">
        <f>IFERROR(__xludf.DUMMYFUNCTION("""COMPUTED_VALUE"""),7750.0)</f>
        <v>7750</v>
      </c>
      <c r="D707" s="5">
        <f>IFERROR(__xludf.DUMMYFUNCTION("""COMPUTED_VALUE"""),7650.0)</f>
        <v>7650</v>
      </c>
      <c r="E707" s="5">
        <f>IFERROR(__xludf.DUMMYFUNCTION("""COMPUTED_VALUE"""),7675.0)</f>
        <v>7675</v>
      </c>
      <c r="F707" s="5">
        <f>IFERROR(__xludf.DUMMYFUNCTION("""COMPUTED_VALUE"""),3831800.0)</f>
        <v>3831800</v>
      </c>
      <c r="G707" s="5">
        <f t="shared" si="1"/>
        <v>100</v>
      </c>
    </row>
    <row r="708">
      <c r="A708" s="4">
        <f>IFERROR(__xludf.DUMMYFUNCTION("""COMPUTED_VALUE"""),44887.66666666667)</f>
        <v>44887.66667</v>
      </c>
      <c r="B708" s="5">
        <f>IFERROR(__xludf.DUMMYFUNCTION("""COMPUTED_VALUE"""),7700.0)</f>
        <v>7700</v>
      </c>
      <c r="C708" s="5">
        <f>IFERROR(__xludf.DUMMYFUNCTION("""COMPUTED_VALUE"""),7775.0)</f>
        <v>7775</v>
      </c>
      <c r="D708" s="5">
        <f>IFERROR(__xludf.DUMMYFUNCTION("""COMPUTED_VALUE"""),7675.0)</f>
        <v>7675</v>
      </c>
      <c r="E708" s="5">
        <f>IFERROR(__xludf.DUMMYFUNCTION("""COMPUTED_VALUE"""),7700.0)</f>
        <v>7700</v>
      </c>
      <c r="F708" s="5">
        <f>IFERROR(__xludf.DUMMYFUNCTION("""COMPUTED_VALUE"""),3450800.0)</f>
        <v>3450800</v>
      </c>
      <c r="G708" s="5">
        <f t="shared" si="1"/>
        <v>100</v>
      </c>
    </row>
    <row r="709">
      <c r="A709" s="4">
        <f>IFERROR(__xludf.DUMMYFUNCTION("""COMPUTED_VALUE"""),44888.66666666667)</f>
        <v>44888.66667</v>
      </c>
      <c r="B709" s="5">
        <f>IFERROR(__xludf.DUMMYFUNCTION("""COMPUTED_VALUE"""),7700.0)</f>
        <v>7700</v>
      </c>
      <c r="C709" s="5">
        <f>IFERROR(__xludf.DUMMYFUNCTION("""COMPUTED_VALUE"""),7775.0)</f>
        <v>7775</v>
      </c>
      <c r="D709" s="5">
        <f>IFERROR(__xludf.DUMMYFUNCTION("""COMPUTED_VALUE"""),7650.0)</f>
        <v>7650</v>
      </c>
      <c r="E709" s="5">
        <f>IFERROR(__xludf.DUMMYFUNCTION("""COMPUTED_VALUE"""),7650.0)</f>
        <v>7650</v>
      </c>
      <c r="F709" s="5">
        <f>IFERROR(__xludf.DUMMYFUNCTION("""COMPUTED_VALUE"""),5130900.0)</f>
        <v>5130900</v>
      </c>
      <c r="G709" s="5">
        <f t="shared" si="1"/>
        <v>125</v>
      </c>
    </row>
    <row r="710">
      <c r="A710" s="4">
        <f>IFERROR(__xludf.DUMMYFUNCTION("""COMPUTED_VALUE"""),44889.66666666667)</f>
        <v>44889.66667</v>
      </c>
      <c r="B710" s="5">
        <f>IFERROR(__xludf.DUMMYFUNCTION("""COMPUTED_VALUE"""),7650.0)</f>
        <v>7650</v>
      </c>
      <c r="C710" s="5">
        <f>IFERROR(__xludf.DUMMYFUNCTION("""COMPUTED_VALUE"""),7700.0)</f>
        <v>7700</v>
      </c>
      <c r="D710" s="5">
        <f>IFERROR(__xludf.DUMMYFUNCTION("""COMPUTED_VALUE"""),7600.0)</f>
        <v>7600</v>
      </c>
      <c r="E710" s="5">
        <f>IFERROR(__xludf.DUMMYFUNCTION("""COMPUTED_VALUE"""),7600.0)</f>
        <v>7600</v>
      </c>
      <c r="F710" s="5">
        <f>IFERROR(__xludf.DUMMYFUNCTION("""COMPUTED_VALUE"""),4450900.0)</f>
        <v>4450900</v>
      </c>
      <c r="G710" s="5">
        <f t="shared" si="1"/>
        <v>100</v>
      </c>
    </row>
    <row r="711">
      <c r="A711" s="4">
        <f>IFERROR(__xludf.DUMMYFUNCTION("""COMPUTED_VALUE"""),44890.66666666667)</f>
        <v>44890.66667</v>
      </c>
      <c r="B711" s="5">
        <f>IFERROR(__xludf.DUMMYFUNCTION("""COMPUTED_VALUE"""),7550.0)</f>
        <v>7550</v>
      </c>
      <c r="C711" s="5">
        <f>IFERROR(__xludf.DUMMYFUNCTION("""COMPUTED_VALUE"""),7750.0)</f>
        <v>7750</v>
      </c>
      <c r="D711" s="5">
        <f>IFERROR(__xludf.DUMMYFUNCTION("""COMPUTED_VALUE"""),7550.0)</f>
        <v>7550</v>
      </c>
      <c r="E711" s="5">
        <f>IFERROR(__xludf.DUMMYFUNCTION("""COMPUTED_VALUE"""),7700.0)</f>
        <v>7700</v>
      </c>
      <c r="F711" s="5">
        <f>IFERROR(__xludf.DUMMYFUNCTION("""COMPUTED_VALUE"""),7814800.0)</f>
        <v>7814800</v>
      </c>
      <c r="G711" s="5">
        <f t="shared" si="1"/>
        <v>200</v>
      </c>
    </row>
    <row r="712">
      <c r="A712" s="4">
        <f>IFERROR(__xludf.DUMMYFUNCTION("""COMPUTED_VALUE"""),44893.66666666667)</f>
        <v>44893.66667</v>
      </c>
      <c r="B712" s="5">
        <f>IFERROR(__xludf.DUMMYFUNCTION("""COMPUTED_VALUE"""),7700.0)</f>
        <v>7700</v>
      </c>
      <c r="C712" s="5">
        <f>IFERROR(__xludf.DUMMYFUNCTION("""COMPUTED_VALUE"""),7750.0)</f>
        <v>7750</v>
      </c>
      <c r="D712" s="5">
        <f>IFERROR(__xludf.DUMMYFUNCTION("""COMPUTED_VALUE"""),7625.0)</f>
        <v>7625</v>
      </c>
      <c r="E712" s="5">
        <f>IFERROR(__xludf.DUMMYFUNCTION("""COMPUTED_VALUE"""),7700.0)</f>
        <v>7700</v>
      </c>
      <c r="F712" s="5">
        <f>IFERROR(__xludf.DUMMYFUNCTION("""COMPUTED_VALUE"""),6961000.0)</f>
        <v>6961000</v>
      </c>
      <c r="G712" s="5">
        <f t="shared" si="1"/>
        <v>125</v>
      </c>
    </row>
    <row r="713">
      <c r="A713" s="4">
        <f>IFERROR(__xludf.DUMMYFUNCTION("""COMPUTED_VALUE"""),44894.66666666667)</f>
        <v>44894.66667</v>
      </c>
      <c r="B713" s="5">
        <f>IFERROR(__xludf.DUMMYFUNCTION("""COMPUTED_VALUE"""),7700.0)</f>
        <v>7700</v>
      </c>
      <c r="C713" s="5">
        <f>IFERROR(__xludf.DUMMYFUNCTION("""COMPUTED_VALUE"""),7700.0)</f>
        <v>7700</v>
      </c>
      <c r="D713" s="5">
        <f>IFERROR(__xludf.DUMMYFUNCTION("""COMPUTED_VALUE"""),7550.0)</f>
        <v>7550</v>
      </c>
      <c r="E713" s="5">
        <f>IFERROR(__xludf.DUMMYFUNCTION("""COMPUTED_VALUE"""),7600.0)</f>
        <v>7600</v>
      </c>
      <c r="F713" s="5">
        <f>IFERROR(__xludf.DUMMYFUNCTION("""COMPUTED_VALUE"""),4202400.0)</f>
        <v>4202400</v>
      </c>
      <c r="G713" s="5">
        <f t="shared" si="1"/>
        <v>150</v>
      </c>
    </row>
    <row r="714">
      <c r="A714" s="4">
        <f>IFERROR(__xludf.DUMMYFUNCTION("""COMPUTED_VALUE"""),44895.66666666667)</f>
        <v>44895.66667</v>
      </c>
      <c r="B714" s="5">
        <f>IFERROR(__xludf.DUMMYFUNCTION("""COMPUTED_VALUE"""),7600.0)</f>
        <v>7600</v>
      </c>
      <c r="C714" s="5">
        <f>IFERROR(__xludf.DUMMYFUNCTION("""COMPUTED_VALUE"""),7775.0)</f>
        <v>7775</v>
      </c>
      <c r="D714" s="5">
        <f>IFERROR(__xludf.DUMMYFUNCTION("""COMPUTED_VALUE"""),7600.0)</f>
        <v>7600</v>
      </c>
      <c r="E714" s="5">
        <f>IFERROR(__xludf.DUMMYFUNCTION("""COMPUTED_VALUE"""),7600.0)</f>
        <v>7600</v>
      </c>
      <c r="F714" s="5">
        <f>IFERROR(__xludf.DUMMYFUNCTION("""COMPUTED_VALUE"""),2.48097E7)</f>
        <v>24809700</v>
      </c>
      <c r="G714" s="5">
        <f t="shared" si="1"/>
        <v>175</v>
      </c>
    </row>
    <row r="715">
      <c r="A715" s="4">
        <f>IFERROR(__xludf.DUMMYFUNCTION("""COMPUTED_VALUE"""),44896.66666666667)</f>
        <v>44896.66667</v>
      </c>
      <c r="B715" s="5">
        <f>IFERROR(__xludf.DUMMYFUNCTION("""COMPUTED_VALUE"""),7700.0)</f>
        <v>7700</v>
      </c>
      <c r="C715" s="5">
        <f>IFERROR(__xludf.DUMMYFUNCTION("""COMPUTED_VALUE"""),7725.0)</f>
        <v>7725</v>
      </c>
      <c r="D715" s="5">
        <f>IFERROR(__xludf.DUMMYFUNCTION("""COMPUTED_VALUE"""),7575.0)</f>
        <v>7575</v>
      </c>
      <c r="E715" s="5">
        <f>IFERROR(__xludf.DUMMYFUNCTION("""COMPUTED_VALUE"""),7700.0)</f>
        <v>7700</v>
      </c>
      <c r="F715" s="5">
        <f>IFERROR(__xludf.DUMMYFUNCTION("""COMPUTED_VALUE"""),1.26805E7)</f>
        <v>12680500</v>
      </c>
      <c r="G715" s="5">
        <f t="shared" si="1"/>
        <v>150</v>
      </c>
    </row>
    <row r="716">
      <c r="A716" s="4">
        <f>IFERROR(__xludf.DUMMYFUNCTION("""COMPUTED_VALUE"""),44897.66666666667)</f>
        <v>44897.66667</v>
      </c>
      <c r="B716" s="5">
        <f>IFERROR(__xludf.DUMMYFUNCTION("""COMPUTED_VALUE"""),7725.0)</f>
        <v>7725</v>
      </c>
      <c r="C716" s="5">
        <f>IFERROR(__xludf.DUMMYFUNCTION("""COMPUTED_VALUE"""),7750.0)</f>
        <v>7750</v>
      </c>
      <c r="D716" s="5">
        <f>IFERROR(__xludf.DUMMYFUNCTION("""COMPUTED_VALUE"""),7600.0)</f>
        <v>7600</v>
      </c>
      <c r="E716" s="5">
        <f>IFERROR(__xludf.DUMMYFUNCTION("""COMPUTED_VALUE"""),7675.0)</f>
        <v>7675</v>
      </c>
      <c r="F716" s="5">
        <f>IFERROR(__xludf.DUMMYFUNCTION("""COMPUTED_VALUE"""),4959700.0)</f>
        <v>4959700</v>
      </c>
      <c r="G716" s="5">
        <f t="shared" si="1"/>
        <v>150</v>
      </c>
    </row>
    <row r="717">
      <c r="A717" s="4">
        <f>IFERROR(__xludf.DUMMYFUNCTION("""COMPUTED_VALUE"""),44900.66666666667)</f>
        <v>44900.66667</v>
      </c>
      <c r="B717" s="5">
        <f>IFERROR(__xludf.DUMMYFUNCTION("""COMPUTED_VALUE"""),7650.0)</f>
        <v>7650</v>
      </c>
      <c r="C717" s="5">
        <f>IFERROR(__xludf.DUMMYFUNCTION("""COMPUTED_VALUE"""),7700.0)</f>
        <v>7700</v>
      </c>
      <c r="D717" s="5">
        <f>IFERROR(__xludf.DUMMYFUNCTION("""COMPUTED_VALUE"""),7650.0)</f>
        <v>7650</v>
      </c>
      <c r="E717" s="5">
        <f>IFERROR(__xludf.DUMMYFUNCTION("""COMPUTED_VALUE"""),7700.0)</f>
        <v>7700</v>
      </c>
      <c r="F717" s="5">
        <f>IFERROR(__xludf.DUMMYFUNCTION("""COMPUTED_VALUE"""),4951700.0)</f>
        <v>4951700</v>
      </c>
      <c r="G717" s="5">
        <f t="shared" si="1"/>
        <v>50</v>
      </c>
    </row>
    <row r="718">
      <c r="A718" s="4">
        <f>IFERROR(__xludf.DUMMYFUNCTION("""COMPUTED_VALUE"""),44901.66666666667)</f>
        <v>44901.66667</v>
      </c>
      <c r="B718" s="5">
        <f>IFERROR(__xludf.DUMMYFUNCTION("""COMPUTED_VALUE"""),7675.0)</f>
        <v>7675</v>
      </c>
      <c r="C718" s="5">
        <f>IFERROR(__xludf.DUMMYFUNCTION("""COMPUTED_VALUE"""),7675.0)</f>
        <v>7675</v>
      </c>
      <c r="D718" s="5">
        <f>IFERROR(__xludf.DUMMYFUNCTION("""COMPUTED_VALUE"""),7175.0)</f>
        <v>7175</v>
      </c>
      <c r="E718" s="5">
        <f>IFERROR(__xludf.DUMMYFUNCTION("""COMPUTED_VALUE"""),7175.0)</f>
        <v>7175</v>
      </c>
      <c r="F718" s="5">
        <f>IFERROR(__xludf.DUMMYFUNCTION("""COMPUTED_VALUE"""),1.29066E7)</f>
        <v>12906600</v>
      </c>
      <c r="G718" s="5">
        <f t="shared" si="1"/>
        <v>525</v>
      </c>
    </row>
    <row r="719">
      <c r="A719" s="4">
        <f>IFERROR(__xludf.DUMMYFUNCTION("""COMPUTED_VALUE"""),44902.66666666667)</f>
        <v>44902.66667</v>
      </c>
      <c r="B719" s="5">
        <f>IFERROR(__xludf.DUMMYFUNCTION("""COMPUTED_VALUE"""),7000.0)</f>
        <v>7000</v>
      </c>
      <c r="C719" s="5">
        <f>IFERROR(__xludf.DUMMYFUNCTION("""COMPUTED_VALUE"""),7175.0)</f>
        <v>7175</v>
      </c>
      <c r="D719" s="5">
        <f>IFERROR(__xludf.DUMMYFUNCTION("""COMPUTED_VALUE"""),6850.0)</f>
        <v>6850</v>
      </c>
      <c r="E719" s="5">
        <f>IFERROR(__xludf.DUMMYFUNCTION("""COMPUTED_VALUE"""),7000.0)</f>
        <v>7000</v>
      </c>
      <c r="F719" s="5">
        <f>IFERROR(__xludf.DUMMYFUNCTION("""COMPUTED_VALUE"""),1.56998E7)</f>
        <v>15699800</v>
      </c>
      <c r="G719" s="5">
        <f t="shared" si="1"/>
        <v>325</v>
      </c>
    </row>
    <row r="720">
      <c r="A720" s="4">
        <f>IFERROR(__xludf.DUMMYFUNCTION("""COMPUTED_VALUE"""),44903.66666666667)</f>
        <v>44903.66667</v>
      </c>
      <c r="B720" s="5">
        <f>IFERROR(__xludf.DUMMYFUNCTION("""COMPUTED_VALUE"""),7000.0)</f>
        <v>7000</v>
      </c>
      <c r="C720" s="5">
        <f>IFERROR(__xludf.DUMMYFUNCTION("""COMPUTED_VALUE"""),7075.0)</f>
        <v>7075</v>
      </c>
      <c r="D720" s="5">
        <f>IFERROR(__xludf.DUMMYFUNCTION("""COMPUTED_VALUE"""),6850.0)</f>
        <v>6850</v>
      </c>
      <c r="E720" s="5">
        <f>IFERROR(__xludf.DUMMYFUNCTION("""COMPUTED_VALUE"""),6950.0)</f>
        <v>6950</v>
      </c>
      <c r="F720" s="5">
        <f>IFERROR(__xludf.DUMMYFUNCTION("""COMPUTED_VALUE"""),1.19597E7)</f>
        <v>11959700</v>
      </c>
      <c r="G720" s="5">
        <f t="shared" si="1"/>
        <v>225</v>
      </c>
    </row>
    <row r="721">
      <c r="A721" s="4">
        <f>IFERROR(__xludf.DUMMYFUNCTION("""COMPUTED_VALUE"""),44904.66666666667)</f>
        <v>44904.66667</v>
      </c>
      <c r="B721" s="5">
        <f>IFERROR(__xludf.DUMMYFUNCTION("""COMPUTED_VALUE"""),6950.0)</f>
        <v>6950</v>
      </c>
      <c r="C721" s="5">
        <f>IFERROR(__xludf.DUMMYFUNCTION("""COMPUTED_VALUE"""),6975.0)</f>
        <v>6975</v>
      </c>
      <c r="D721" s="5">
        <f>IFERROR(__xludf.DUMMYFUNCTION("""COMPUTED_VALUE"""),6750.0)</f>
        <v>6750</v>
      </c>
      <c r="E721" s="5">
        <f>IFERROR(__xludf.DUMMYFUNCTION("""COMPUTED_VALUE"""),6950.0)</f>
        <v>6950</v>
      </c>
      <c r="F721" s="5">
        <f>IFERROR(__xludf.DUMMYFUNCTION("""COMPUTED_VALUE"""),1.27557E7)</f>
        <v>12755700</v>
      </c>
      <c r="G721" s="5">
        <f t="shared" si="1"/>
        <v>225</v>
      </c>
    </row>
    <row r="722">
      <c r="A722" s="4">
        <f>IFERROR(__xludf.DUMMYFUNCTION("""COMPUTED_VALUE"""),44907.66666666667)</f>
        <v>44907.66667</v>
      </c>
      <c r="B722" s="5">
        <f>IFERROR(__xludf.DUMMYFUNCTION("""COMPUTED_VALUE"""),6850.0)</f>
        <v>6850</v>
      </c>
      <c r="C722" s="5">
        <f>IFERROR(__xludf.DUMMYFUNCTION("""COMPUTED_VALUE"""),6850.0)</f>
        <v>6850</v>
      </c>
      <c r="D722" s="5">
        <f>IFERROR(__xludf.DUMMYFUNCTION("""COMPUTED_VALUE"""),6650.0)</f>
        <v>6650</v>
      </c>
      <c r="E722" s="5">
        <f>IFERROR(__xludf.DUMMYFUNCTION("""COMPUTED_VALUE"""),6750.0)</f>
        <v>6750</v>
      </c>
      <c r="F722" s="5">
        <f>IFERROR(__xludf.DUMMYFUNCTION("""COMPUTED_VALUE"""),1.95651E7)</f>
        <v>19565100</v>
      </c>
      <c r="G722" s="5">
        <f t="shared" si="1"/>
        <v>300</v>
      </c>
    </row>
    <row r="723">
      <c r="A723" s="4">
        <f>IFERROR(__xludf.DUMMYFUNCTION("""COMPUTED_VALUE"""),44908.66666666667)</f>
        <v>44908.66667</v>
      </c>
      <c r="B723" s="5">
        <f>IFERROR(__xludf.DUMMYFUNCTION("""COMPUTED_VALUE"""),6725.0)</f>
        <v>6725</v>
      </c>
      <c r="C723" s="5">
        <f>IFERROR(__xludf.DUMMYFUNCTION("""COMPUTED_VALUE"""),7100.0)</f>
        <v>7100</v>
      </c>
      <c r="D723" s="5">
        <f>IFERROR(__xludf.DUMMYFUNCTION("""COMPUTED_VALUE"""),6725.0)</f>
        <v>6725</v>
      </c>
      <c r="E723" s="5">
        <f>IFERROR(__xludf.DUMMYFUNCTION("""COMPUTED_VALUE"""),7000.0)</f>
        <v>7000</v>
      </c>
      <c r="F723" s="5">
        <f>IFERROR(__xludf.DUMMYFUNCTION("""COMPUTED_VALUE"""),1.44207E7)</f>
        <v>14420700</v>
      </c>
      <c r="G723" s="5">
        <f t="shared" si="1"/>
        <v>375</v>
      </c>
    </row>
    <row r="724">
      <c r="A724" s="4">
        <f>IFERROR(__xludf.DUMMYFUNCTION("""COMPUTED_VALUE"""),44909.66666666667)</f>
        <v>44909.66667</v>
      </c>
      <c r="B724" s="5">
        <f>IFERROR(__xludf.DUMMYFUNCTION("""COMPUTED_VALUE"""),7050.0)</f>
        <v>7050</v>
      </c>
      <c r="C724" s="5">
        <f>IFERROR(__xludf.DUMMYFUNCTION("""COMPUTED_VALUE"""),7100.0)</f>
        <v>7100</v>
      </c>
      <c r="D724" s="5">
        <f>IFERROR(__xludf.DUMMYFUNCTION("""COMPUTED_VALUE"""),6850.0)</f>
        <v>6850</v>
      </c>
      <c r="E724" s="5">
        <f>IFERROR(__xludf.DUMMYFUNCTION("""COMPUTED_VALUE"""),7000.0)</f>
        <v>7000</v>
      </c>
      <c r="F724" s="5">
        <f>IFERROR(__xludf.DUMMYFUNCTION("""COMPUTED_VALUE"""),8380800.0)</f>
        <v>8380800</v>
      </c>
      <c r="G724" s="5">
        <f t="shared" si="1"/>
        <v>250</v>
      </c>
    </row>
    <row r="725">
      <c r="A725" s="4">
        <f>IFERROR(__xludf.DUMMYFUNCTION("""COMPUTED_VALUE"""),44910.66666666667)</f>
        <v>44910.66667</v>
      </c>
      <c r="B725" s="5">
        <f>IFERROR(__xludf.DUMMYFUNCTION("""COMPUTED_VALUE"""),6975.0)</f>
        <v>6975</v>
      </c>
      <c r="C725" s="5">
        <f>IFERROR(__xludf.DUMMYFUNCTION("""COMPUTED_VALUE"""),7225.0)</f>
        <v>7225</v>
      </c>
      <c r="D725" s="5">
        <f>IFERROR(__xludf.DUMMYFUNCTION("""COMPUTED_VALUE"""),6875.0)</f>
        <v>6875</v>
      </c>
      <c r="E725" s="5">
        <f>IFERROR(__xludf.DUMMYFUNCTION("""COMPUTED_VALUE"""),7225.0)</f>
        <v>7225</v>
      </c>
      <c r="F725" s="5">
        <f>IFERROR(__xludf.DUMMYFUNCTION("""COMPUTED_VALUE"""),1.2044E7)</f>
        <v>12044000</v>
      </c>
      <c r="G725" s="5">
        <f t="shared" si="1"/>
        <v>350</v>
      </c>
    </row>
    <row r="726">
      <c r="A726" s="4">
        <f>IFERROR(__xludf.DUMMYFUNCTION("""COMPUTED_VALUE"""),44911.66666666667)</f>
        <v>44911.66667</v>
      </c>
      <c r="B726" s="5">
        <f>IFERROR(__xludf.DUMMYFUNCTION("""COMPUTED_VALUE"""),7175.0)</f>
        <v>7175</v>
      </c>
      <c r="C726" s="5">
        <f>IFERROR(__xludf.DUMMYFUNCTION("""COMPUTED_VALUE"""),7175.0)</f>
        <v>7175</v>
      </c>
      <c r="D726" s="5">
        <f>IFERROR(__xludf.DUMMYFUNCTION("""COMPUTED_VALUE"""),6800.0)</f>
        <v>6800</v>
      </c>
      <c r="E726" s="5">
        <f>IFERROR(__xludf.DUMMYFUNCTION("""COMPUTED_VALUE"""),7025.0)</f>
        <v>7025</v>
      </c>
      <c r="F726" s="5">
        <f>IFERROR(__xludf.DUMMYFUNCTION("""COMPUTED_VALUE"""),3.18998E7)</f>
        <v>31899800</v>
      </c>
      <c r="G726" s="5">
        <f t="shared" si="1"/>
        <v>425</v>
      </c>
    </row>
    <row r="727">
      <c r="A727" s="4">
        <f>IFERROR(__xludf.DUMMYFUNCTION("""COMPUTED_VALUE"""),44914.66666666667)</f>
        <v>44914.66667</v>
      </c>
      <c r="B727" s="5">
        <f>IFERROR(__xludf.DUMMYFUNCTION("""COMPUTED_VALUE"""),6950.0)</f>
        <v>6950</v>
      </c>
      <c r="C727" s="5">
        <f>IFERROR(__xludf.DUMMYFUNCTION("""COMPUTED_VALUE"""),7100.0)</f>
        <v>7100</v>
      </c>
      <c r="D727" s="5">
        <f>IFERROR(__xludf.DUMMYFUNCTION("""COMPUTED_VALUE"""),6825.0)</f>
        <v>6825</v>
      </c>
      <c r="E727" s="5">
        <f>IFERROR(__xludf.DUMMYFUNCTION("""COMPUTED_VALUE"""),6950.0)</f>
        <v>6950</v>
      </c>
      <c r="F727" s="5">
        <f>IFERROR(__xludf.DUMMYFUNCTION("""COMPUTED_VALUE"""),1.83962E7)</f>
        <v>18396200</v>
      </c>
      <c r="G727" s="5">
        <f t="shared" si="1"/>
        <v>275</v>
      </c>
    </row>
    <row r="728">
      <c r="A728" s="4">
        <f>IFERROR(__xludf.DUMMYFUNCTION("""COMPUTED_VALUE"""),44915.66666666667)</f>
        <v>44915.66667</v>
      </c>
      <c r="B728" s="5">
        <f>IFERROR(__xludf.DUMMYFUNCTION("""COMPUTED_VALUE"""),6900.0)</f>
        <v>6900</v>
      </c>
      <c r="C728" s="5">
        <f>IFERROR(__xludf.DUMMYFUNCTION("""COMPUTED_VALUE"""),6925.0)</f>
        <v>6925</v>
      </c>
      <c r="D728" s="5">
        <f>IFERROR(__xludf.DUMMYFUNCTION("""COMPUTED_VALUE"""),6750.0)</f>
        <v>6750</v>
      </c>
      <c r="E728" s="5">
        <f>IFERROR(__xludf.DUMMYFUNCTION("""COMPUTED_VALUE"""),6775.0)</f>
        <v>6775</v>
      </c>
      <c r="F728" s="5">
        <f>IFERROR(__xludf.DUMMYFUNCTION("""COMPUTED_VALUE"""),1.13207E7)</f>
        <v>11320700</v>
      </c>
      <c r="G728" s="5">
        <f t="shared" si="1"/>
        <v>200</v>
      </c>
    </row>
    <row r="729">
      <c r="A729" s="4">
        <f>IFERROR(__xludf.DUMMYFUNCTION("""COMPUTED_VALUE"""),44916.66666666667)</f>
        <v>44916.66667</v>
      </c>
      <c r="B729" s="5">
        <f>IFERROR(__xludf.DUMMYFUNCTION("""COMPUTED_VALUE"""),6775.0)</f>
        <v>6775</v>
      </c>
      <c r="C729" s="5">
        <f>IFERROR(__xludf.DUMMYFUNCTION("""COMPUTED_VALUE"""),6775.0)</f>
        <v>6775</v>
      </c>
      <c r="D729" s="5">
        <f>IFERROR(__xludf.DUMMYFUNCTION("""COMPUTED_VALUE"""),6650.0)</f>
        <v>6650</v>
      </c>
      <c r="E729" s="5">
        <f>IFERROR(__xludf.DUMMYFUNCTION("""COMPUTED_VALUE"""),6725.0)</f>
        <v>6725</v>
      </c>
      <c r="F729" s="5">
        <f>IFERROR(__xludf.DUMMYFUNCTION("""COMPUTED_VALUE"""),1.00737E7)</f>
        <v>10073700</v>
      </c>
      <c r="G729" s="5">
        <f t="shared" si="1"/>
        <v>125</v>
      </c>
    </row>
    <row r="730">
      <c r="A730" s="4">
        <f>IFERROR(__xludf.DUMMYFUNCTION("""COMPUTED_VALUE"""),44917.66666666667)</f>
        <v>44917.66667</v>
      </c>
      <c r="B730" s="5">
        <f>IFERROR(__xludf.DUMMYFUNCTION("""COMPUTED_VALUE"""),6725.0)</f>
        <v>6725</v>
      </c>
      <c r="C730" s="5">
        <f>IFERROR(__xludf.DUMMYFUNCTION("""COMPUTED_VALUE"""),6750.0)</f>
        <v>6750</v>
      </c>
      <c r="D730" s="5">
        <f>IFERROR(__xludf.DUMMYFUNCTION("""COMPUTED_VALUE"""),6650.0)</f>
        <v>6650</v>
      </c>
      <c r="E730" s="5">
        <f>IFERROR(__xludf.DUMMYFUNCTION("""COMPUTED_VALUE"""),6725.0)</f>
        <v>6725</v>
      </c>
      <c r="F730" s="5">
        <f>IFERROR(__xludf.DUMMYFUNCTION("""COMPUTED_VALUE"""),1.43002E7)</f>
        <v>14300200</v>
      </c>
      <c r="G730" s="5">
        <f t="shared" si="1"/>
        <v>100</v>
      </c>
    </row>
    <row r="731">
      <c r="A731" s="4">
        <f>IFERROR(__xludf.DUMMYFUNCTION("""COMPUTED_VALUE"""),44918.66666666667)</f>
        <v>44918.66667</v>
      </c>
      <c r="B731" s="5">
        <f>IFERROR(__xludf.DUMMYFUNCTION("""COMPUTED_VALUE"""),6725.0)</f>
        <v>6725</v>
      </c>
      <c r="C731" s="5">
        <f>IFERROR(__xludf.DUMMYFUNCTION("""COMPUTED_VALUE"""),6800.0)</f>
        <v>6800</v>
      </c>
      <c r="D731" s="5">
        <f>IFERROR(__xludf.DUMMYFUNCTION("""COMPUTED_VALUE"""),6675.0)</f>
        <v>6675</v>
      </c>
      <c r="E731" s="5">
        <f>IFERROR(__xludf.DUMMYFUNCTION("""COMPUTED_VALUE"""),6750.0)</f>
        <v>6750</v>
      </c>
      <c r="F731" s="5">
        <f>IFERROR(__xludf.DUMMYFUNCTION("""COMPUTED_VALUE"""),9382500.0)</f>
        <v>9382500</v>
      </c>
      <c r="G731" s="5">
        <f t="shared" si="1"/>
        <v>125</v>
      </c>
    </row>
    <row r="732">
      <c r="A732" s="4">
        <f>IFERROR(__xludf.DUMMYFUNCTION("""COMPUTED_VALUE"""),44921.66666666667)</f>
        <v>44921.66667</v>
      </c>
      <c r="B732" s="5">
        <f>IFERROR(__xludf.DUMMYFUNCTION("""COMPUTED_VALUE"""),6800.0)</f>
        <v>6800</v>
      </c>
      <c r="C732" s="5">
        <f>IFERROR(__xludf.DUMMYFUNCTION("""COMPUTED_VALUE"""),6825.0)</f>
        <v>6825</v>
      </c>
      <c r="D732" s="5">
        <f>IFERROR(__xludf.DUMMYFUNCTION("""COMPUTED_VALUE"""),6700.0)</f>
        <v>6700</v>
      </c>
      <c r="E732" s="5">
        <f>IFERROR(__xludf.DUMMYFUNCTION("""COMPUTED_VALUE"""),6800.0)</f>
        <v>6800</v>
      </c>
      <c r="F732" s="5">
        <f>IFERROR(__xludf.DUMMYFUNCTION("""COMPUTED_VALUE"""),4903900.0)</f>
        <v>4903900</v>
      </c>
      <c r="G732" s="5">
        <f t="shared" si="1"/>
        <v>125</v>
      </c>
    </row>
    <row r="733">
      <c r="A733" s="4">
        <f>IFERROR(__xludf.DUMMYFUNCTION("""COMPUTED_VALUE"""),44922.66666666667)</f>
        <v>44922.66667</v>
      </c>
      <c r="B733" s="5">
        <f>IFERROR(__xludf.DUMMYFUNCTION("""COMPUTED_VALUE"""),6800.0)</f>
        <v>6800</v>
      </c>
      <c r="C733" s="5">
        <f>IFERROR(__xludf.DUMMYFUNCTION("""COMPUTED_VALUE"""),6925.0)</f>
        <v>6925</v>
      </c>
      <c r="D733" s="5">
        <f>IFERROR(__xludf.DUMMYFUNCTION("""COMPUTED_VALUE"""),6625.0)</f>
        <v>6625</v>
      </c>
      <c r="E733" s="5">
        <f>IFERROR(__xludf.DUMMYFUNCTION("""COMPUTED_VALUE"""),6675.0)</f>
        <v>6675</v>
      </c>
      <c r="F733" s="5">
        <f>IFERROR(__xludf.DUMMYFUNCTION("""COMPUTED_VALUE"""),2.14475E7)</f>
        <v>21447500</v>
      </c>
      <c r="G733" s="5">
        <f t="shared" si="1"/>
        <v>300</v>
      </c>
    </row>
    <row r="734">
      <c r="A734" s="4">
        <f>IFERROR(__xludf.DUMMYFUNCTION("""COMPUTED_VALUE"""),44923.66666666667)</f>
        <v>44923.66667</v>
      </c>
      <c r="B734" s="5">
        <f>IFERROR(__xludf.DUMMYFUNCTION("""COMPUTED_VALUE"""),6700.0)</f>
        <v>6700</v>
      </c>
      <c r="C734" s="5">
        <f>IFERROR(__xludf.DUMMYFUNCTION("""COMPUTED_VALUE"""),6700.0)</f>
        <v>6700</v>
      </c>
      <c r="D734" s="5">
        <f>IFERROR(__xludf.DUMMYFUNCTION("""COMPUTED_VALUE"""),6600.0)</f>
        <v>6600</v>
      </c>
      <c r="E734" s="5">
        <f>IFERROR(__xludf.DUMMYFUNCTION("""COMPUTED_VALUE"""),6675.0)</f>
        <v>6675</v>
      </c>
      <c r="F734" s="5">
        <f>IFERROR(__xludf.DUMMYFUNCTION("""COMPUTED_VALUE"""),9087800.0)</f>
        <v>9087800</v>
      </c>
      <c r="G734" s="5">
        <f t="shared" si="1"/>
        <v>100</v>
      </c>
    </row>
    <row r="735">
      <c r="A735" s="4">
        <f>IFERROR(__xludf.DUMMYFUNCTION("""COMPUTED_VALUE"""),44924.66666666667)</f>
        <v>44924.66667</v>
      </c>
      <c r="B735" s="5">
        <f>IFERROR(__xludf.DUMMYFUNCTION("""COMPUTED_VALUE"""),6675.0)</f>
        <v>6675</v>
      </c>
      <c r="C735" s="5">
        <f>IFERROR(__xludf.DUMMYFUNCTION("""COMPUTED_VALUE"""),6700.0)</f>
        <v>6700</v>
      </c>
      <c r="D735" s="5">
        <f>IFERROR(__xludf.DUMMYFUNCTION("""COMPUTED_VALUE"""),6600.0)</f>
        <v>6600</v>
      </c>
      <c r="E735" s="5">
        <f>IFERROR(__xludf.DUMMYFUNCTION("""COMPUTED_VALUE"""),6675.0)</f>
        <v>6675</v>
      </c>
      <c r="F735" s="5">
        <f>IFERROR(__xludf.DUMMYFUNCTION("""COMPUTED_VALUE"""),4995800.0)</f>
        <v>4995800</v>
      </c>
      <c r="G735" s="5">
        <f t="shared" si="1"/>
        <v>100</v>
      </c>
    </row>
    <row r="736">
      <c r="A736" s="4">
        <f>IFERROR(__xludf.DUMMYFUNCTION("""COMPUTED_VALUE"""),44925.66666666667)</f>
        <v>44925.66667</v>
      </c>
      <c r="B736" s="5">
        <f>IFERROR(__xludf.DUMMYFUNCTION("""COMPUTED_VALUE"""),6675.0)</f>
        <v>6675</v>
      </c>
      <c r="C736" s="5">
        <f>IFERROR(__xludf.DUMMYFUNCTION("""COMPUTED_VALUE"""),6675.0)</f>
        <v>6675</v>
      </c>
      <c r="D736" s="5">
        <f>IFERROR(__xludf.DUMMYFUNCTION("""COMPUTED_VALUE"""),6550.0)</f>
        <v>6550</v>
      </c>
      <c r="E736" s="5">
        <f>IFERROR(__xludf.DUMMYFUNCTION("""COMPUTED_VALUE"""),6575.0)</f>
        <v>6575</v>
      </c>
      <c r="F736" s="5">
        <f>IFERROR(__xludf.DUMMYFUNCTION("""COMPUTED_VALUE"""),9125300.0)</f>
        <v>9125300</v>
      </c>
      <c r="G736" s="5">
        <f t="shared" si="1"/>
        <v>125</v>
      </c>
    </row>
    <row r="737">
      <c r="A737" s="4">
        <f>IFERROR(__xludf.DUMMYFUNCTION("""COMPUTED_VALUE"""),44928.66666666667)</f>
        <v>44928.66667</v>
      </c>
      <c r="B737" s="5">
        <f>IFERROR(__xludf.DUMMYFUNCTION("""COMPUTED_VALUE"""),6600.0)</f>
        <v>6600</v>
      </c>
      <c r="C737" s="5">
        <f>IFERROR(__xludf.DUMMYFUNCTION("""COMPUTED_VALUE"""),6650.0)</f>
        <v>6650</v>
      </c>
      <c r="D737" s="5">
        <f>IFERROR(__xludf.DUMMYFUNCTION("""COMPUTED_VALUE"""),6600.0)</f>
        <v>6600</v>
      </c>
      <c r="E737" s="5">
        <f>IFERROR(__xludf.DUMMYFUNCTION("""COMPUTED_VALUE"""),6625.0)</f>
        <v>6625</v>
      </c>
      <c r="F737" s="5">
        <f>IFERROR(__xludf.DUMMYFUNCTION("""COMPUTED_VALUE"""),4453300.0)</f>
        <v>4453300</v>
      </c>
      <c r="G737" s="5">
        <f t="shared" si="1"/>
        <v>75</v>
      </c>
    </row>
    <row r="738">
      <c r="A738" s="4">
        <f>IFERROR(__xludf.DUMMYFUNCTION("""COMPUTED_VALUE"""),44929.66666666667)</f>
        <v>44929.66667</v>
      </c>
      <c r="B738" s="5">
        <f>IFERROR(__xludf.DUMMYFUNCTION("""COMPUTED_VALUE"""),6625.0)</f>
        <v>6625</v>
      </c>
      <c r="C738" s="5">
        <f>IFERROR(__xludf.DUMMYFUNCTION("""COMPUTED_VALUE"""),6700.0)</f>
        <v>6700</v>
      </c>
      <c r="D738" s="5">
        <f>IFERROR(__xludf.DUMMYFUNCTION("""COMPUTED_VALUE"""),6600.0)</f>
        <v>6600</v>
      </c>
      <c r="E738" s="5">
        <f>IFERROR(__xludf.DUMMYFUNCTION("""COMPUTED_VALUE"""),6700.0)</f>
        <v>6700</v>
      </c>
      <c r="F738" s="5">
        <f>IFERROR(__xludf.DUMMYFUNCTION("""COMPUTED_VALUE"""),1.54976E7)</f>
        <v>15497600</v>
      </c>
      <c r="G738" s="5">
        <f t="shared" si="1"/>
        <v>100</v>
      </c>
    </row>
    <row r="739">
      <c r="A739" s="4">
        <f>IFERROR(__xludf.DUMMYFUNCTION("""COMPUTED_VALUE"""),44930.66666666667)</f>
        <v>44930.66667</v>
      </c>
      <c r="B739" s="5">
        <f>IFERROR(__xludf.DUMMYFUNCTION("""COMPUTED_VALUE"""),6700.0)</f>
        <v>6700</v>
      </c>
      <c r="C739" s="5">
        <f>IFERROR(__xludf.DUMMYFUNCTION("""COMPUTED_VALUE"""),6875.0)</f>
        <v>6875</v>
      </c>
      <c r="D739" s="5">
        <f>IFERROR(__xludf.DUMMYFUNCTION("""COMPUTED_VALUE"""),6675.0)</f>
        <v>6675</v>
      </c>
      <c r="E739" s="5">
        <f>IFERROR(__xludf.DUMMYFUNCTION("""COMPUTED_VALUE"""),6775.0)</f>
        <v>6775</v>
      </c>
      <c r="F739" s="5">
        <f>IFERROR(__xludf.DUMMYFUNCTION("""COMPUTED_VALUE"""),1.60579E7)</f>
        <v>16057900</v>
      </c>
      <c r="G739" s="5">
        <f t="shared" si="1"/>
        <v>200</v>
      </c>
    </row>
    <row r="740">
      <c r="A740" s="4">
        <f>IFERROR(__xludf.DUMMYFUNCTION("""COMPUTED_VALUE"""),44931.66666666667)</f>
        <v>44931.66667</v>
      </c>
      <c r="B740" s="5">
        <f>IFERROR(__xludf.DUMMYFUNCTION("""COMPUTED_VALUE"""),6800.0)</f>
        <v>6800</v>
      </c>
      <c r="C740" s="5">
        <f>IFERROR(__xludf.DUMMYFUNCTION("""COMPUTED_VALUE"""),6875.0)</f>
        <v>6875</v>
      </c>
      <c r="D740" s="5">
        <f>IFERROR(__xludf.DUMMYFUNCTION("""COMPUTED_VALUE"""),6650.0)</f>
        <v>6650</v>
      </c>
      <c r="E740" s="5">
        <f>IFERROR(__xludf.DUMMYFUNCTION("""COMPUTED_VALUE"""),6700.0)</f>
        <v>6700</v>
      </c>
      <c r="F740" s="5">
        <f>IFERROR(__xludf.DUMMYFUNCTION("""COMPUTED_VALUE"""),1.45724E7)</f>
        <v>14572400</v>
      </c>
      <c r="G740" s="5">
        <f t="shared" si="1"/>
        <v>225</v>
      </c>
    </row>
    <row r="741">
      <c r="A741" s="4">
        <f>IFERROR(__xludf.DUMMYFUNCTION("""COMPUTED_VALUE"""),44932.66666666667)</f>
        <v>44932.66667</v>
      </c>
      <c r="B741" s="5">
        <f>IFERROR(__xludf.DUMMYFUNCTION("""COMPUTED_VALUE"""),6700.0)</f>
        <v>6700</v>
      </c>
      <c r="C741" s="5">
        <f>IFERROR(__xludf.DUMMYFUNCTION("""COMPUTED_VALUE"""),7150.0)</f>
        <v>7150</v>
      </c>
      <c r="D741" s="5">
        <f>IFERROR(__xludf.DUMMYFUNCTION("""COMPUTED_VALUE"""),6700.0)</f>
        <v>6700</v>
      </c>
      <c r="E741" s="5">
        <f>IFERROR(__xludf.DUMMYFUNCTION("""COMPUTED_VALUE"""),7075.0)</f>
        <v>7075</v>
      </c>
      <c r="F741" s="5">
        <f>IFERROR(__xludf.DUMMYFUNCTION("""COMPUTED_VALUE"""),2.18321E7)</f>
        <v>21832100</v>
      </c>
      <c r="G741" s="5">
        <f t="shared" si="1"/>
        <v>450</v>
      </c>
    </row>
    <row r="742">
      <c r="A742" s="4">
        <f>IFERROR(__xludf.DUMMYFUNCTION("""COMPUTED_VALUE"""),44935.66666666667)</f>
        <v>44935.66667</v>
      </c>
      <c r="B742" s="5">
        <f>IFERROR(__xludf.DUMMYFUNCTION("""COMPUTED_VALUE"""),7100.0)</f>
        <v>7100</v>
      </c>
      <c r="C742" s="5">
        <f>IFERROR(__xludf.DUMMYFUNCTION("""COMPUTED_VALUE"""),7200.0)</f>
        <v>7200</v>
      </c>
      <c r="D742" s="5">
        <f>IFERROR(__xludf.DUMMYFUNCTION("""COMPUTED_VALUE"""),7050.0)</f>
        <v>7050</v>
      </c>
      <c r="E742" s="5">
        <f>IFERROR(__xludf.DUMMYFUNCTION("""COMPUTED_VALUE"""),7175.0)</f>
        <v>7175</v>
      </c>
      <c r="F742" s="5">
        <f>IFERROR(__xludf.DUMMYFUNCTION("""COMPUTED_VALUE"""),1.2903E7)</f>
        <v>12903000</v>
      </c>
      <c r="G742" s="5">
        <f t="shared" si="1"/>
        <v>150</v>
      </c>
    </row>
    <row r="743">
      <c r="A743" s="4">
        <f>IFERROR(__xludf.DUMMYFUNCTION("""COMPUTED_VALUE"""),44936.66666666667)</f>
        <v>44936.66667</v>
      </c>
      <c r="B743" s="5">
        <f>IFERROR(__xludf.DUMMYFUNCTION("""COMPUTED_VALUE"""),7175.0)</f>
        <v>7175</v>
      </c>
      <c r="C743" s="5">
        <f>IFERROR(__xludf.DUMMYFUNCTION("""COMPUTED_VALUE"""),7175.0)</f>
        <v>7175</v>
      </c>
      <c r="D743" s="5">
        <f>IFERROR(__xludf.DUMMYFUNCTION("""COMPUTED_VALUE"""),6950.0)</f>
        <v>6950</v>
      </c>
      <c r="E743" s="5">
        <f>IFERROR(__xludf.DUMMYFUNCTION("""COMPUTED_VALUE"""),7050.0)</f>
        <v>7050</v>
      </c>
      <c r="F743" s="5">
        <f>IFERROR(__xludf.DUMMYFUNCTION("""COMPUTED_VALUE"""),1.00898E7)</f>
        <v>10089800</v>
      </c>
      <c r="G743" s="5">
        <f t="shared" si="1"/>
        <v>225</v>
      </c>
    </row>
    <row r="744">
      <c r="A744" s="4">
        <f>IFERROR(__xludf.DUMMYFUNCTION("""COMPUTED_VALUE"""),44937.66666666667)</f>
        <v>44937.66667</v>
      </c>
      <c r="B744" s="5">
        <f>IFERROR(__xludf.DUMMYFUNCTION("""COMPUTED_VALUE"""),7050.0)</f>
        <v>7050</v>
      </c>
      <c r="C744" s="5">
        <f>IFERROR(__xludf.DUMMYFUNCTION("""COMPUTED_VALUE"""),7150.0)</f>
        <v>7150</v>
      </c>
      <c r="D744" s="5">
        <f>IFERROR(__xludf.DUMMYFUNCTION("""COMPUTED_VALUE"""),6925.0)</f>
        <v>6925</v>
      </c>
      <c r="E744" s="5">
        <f>IFERROR(__xludf.DUMMYFUNCTION("""COMPUTED_VALUE"""),7000.0)</f>
        <v>7000</v>
      </c>
      <c r="F744" s="5">
        <f>IFERROR(__xludf.DUMMYFUNCTION("""COMPUTED_VALUE"""),1.054E7)</f>
        <v>10540000</v>
      </c>
      <c r="G744" s="5">
        <f t="shared" si="1"/>
        <v>225</v>
      </c>
    </row>
    <row r="745">
      <c r="A745" s="4">
        <f>IFERROR(__xludf.DUMMYFUNCTION("""COMPUTED_VALUE"""),44938.66666666667)</f>
        <v>44938.66667</v>
      </c>
      <c r="B745" s="5">
        <f>IFERROR(__xludf.DUMMYFUNCTION("""COMPUTED_VALUE"""),7075.0)</f>
        <v>7075</v>
      </c>
      <c r="C745" s="5">
        <f>IFERROR(__xludf.DUMMYFUNCTION("""COMPUTED_VALUE"""),7425.0)</f>
        <v>7425</v>
      </c>
      <c r="D745" s="5">
        <f>IFERROR(__xludf.DUMMYFUNCTION("""COMPUTED_VALUE"""),7050.0)</f>
        <v>7050</v>
      </c>
      <c r="E745" s="5">
        <f>IFERROR(__xludf.DUMMYFUNCTION("""COMPUTED_VALUE"""),7400.0)</f>
        <v>7400</v>
      </c>
      <c r="F745" s="5">
        <f>IFERROR(__xludf.DUMMYFUNCTION("""COMPUTED_VALUE"""),2.60495E7)</f>
        <v>26049500</v>
      </c>
      <c r="G745" s="5">
        <f t="shared" si="1"/>
        <v>425</v>
      </c>
    </row>
    <row r="746">
      <c r="A746" s="4">
        <f>IFERROR(__xludf.DUMMYFUNCTION("""COMPUTED_VALUE"""),44939.66666666667)</f>
        <v>44939.66667</v>
      </c>
      <c r="B746" s="5">
        <f>IFERROR(__xludf.DUMMYFUNCTION("""COMPUTED_VALUE"""),7350.0)</f>
        <v>7350</v>
      </c>
      <c r="C746" s="5">
        <f>IFERROR(__xludf.DUMMYFUNCTION("""COMPUTED_VALUE"""),7400.0)</f>
        <v>7400</v>
      </c>
      <c r="D746" s="5">
        <f>IFERROR(__xludf.DUMMYFUNCTION("""COMPUTED_VALUE"""),7200.0)</f>
        <v>7200</v>
      </c>
      <c r="E746" s="5">
        <f>IFERROR(__xludf.DUMMYFUNCTION("""COMPUTED_VALUE"""),7200.0)</f>
        <v>7200</v>
      </c>
      <c r="F746" s="5">
        <f>IFERROR(__xludf.DUMMYFUNCTION("""COMPUTED_VALUE"""),1.09946E7)</f>
        <v>10994600</v>
      </c>
      <c r="G746" s="5">
        <f t="shared" si="1"/>
        <v>200</v>
      </c>
    </row>
    <row r="747">
      <c r="A747" s="4">
        <f>IFERROR(__xludf.DUMMYFUNCTION("""COMPUTED_VALUE"""),44942.66666666667)</f>
        <v>44942.66667</v>
      </c>
      <c r="B747" s="5">
        <f>IFERROR(__xludf.DUMMYFUNCTION("""COMPUTED_VALUE"""),7225.0)</f>
        <v>7225</v>
      </c>
      <c r="C747" s="5">
        <f>IFERROR(__xludf.DUMMYFUNCTION("""COMPUTED_VALUE"""),7475.0)</f>
        <v>7475</v>
      </c>
      <c r="D747" s="5">
        <f>IFERROR(__xludf.DUMMYFUNCTION("""COMPUTED_VALUE"""),7225.0)</f>
        <v>7225</v>
      </c>
      <c r="E747" s="5">
        <f>IFERROR(__xludf.DUMMYFUNCTION("""COMPUTED_VALUE"""),7400.0)</f>
        <v>7400</v>
      </c>
      <c r="F747" s="5">
        <f>IFERROR(__xludf.DUMMYFUNCTION("""COMPUTED_VALUE"""),1.13705E7)</f>
        <v>11370500</v>
      </c>
      <c r="G747" s="5">
        <f t="shared" si="1"/>
        <v>275</v>
      </c>
    </row>
    <row r="748">
      <c r="A748" s="4">
        <f>IFERROR(__xludf.DUMMYFUNCTION("""COMPUTED_VALUE"""),44943.66666666667)</f>
        <v>44943.66667</v>
      </c>
      <c r="B748" s="5">
        <f>IFERROR(__xludf.DUMMYFUNCTION("""COMPUTED_VALUE"""),7375.0)</f>
        <v>7375</v>
      </c>
      <c r="C748" s="5">
        <f>IFERROR(__xludf.DUMMYFUNCTION("""COMPUTED_VALUE"""),7400.0)</f>
        <v>7400</v>
      </c>
      <c r="D748" s="5">
        <f>IFERROR(__xludf.DUMMYFUNCTION("""COMPUTED_VALUE"""),7175.0)</f>
        <v>7175</v>
      </c>
      <c r="E748" s="5">
        <f>IFERROR(__xludf.DUMMYFUNCTION("""COMPUTED_VALUE"""),7225.0)</f>
        <v>7225</v>
      </c>
      <c r="F748" s="5">
        <f>IFERROR(__xludf.DUMMYFUNCTION("""COMPUTED_VALUE"""),1.20566E7)</f>
        <v>12056600</v>
      </c>
      <c r="G748" s="5">
        <f t="shared" si="1"/>
        <v>225</v>
      </c>
    </row>
    <row r="749">
      <c r="A749" s="4">
        <f>IFERROR(__xludf.DUMMYFUNCTION("""COMPUTED_VALUE"""),44944.66666666667)</f>
        <v>44944.66667</v>
      </c>
      <c r="B749" s="5">
        <f>IFERROR(__xludf.DUMMYFUNCTION("""COMPUTED_VALUE"""),7200.0)</f>
        <v>7200</v>
      </c>
      <c r="C749" s="5">
        <f>IFERROR(__xludf.DUMMYFUNCTION("""COMPUTED_VALUE"""),7200.0)</f>
        <v>7200</v>
      </c>
      <c r="D749" s="5">
        <f>IFERROR(__xludf.DUMMYFUNCTION("""COMPUTED_VALUE"""),6950.0)</f>
        <v>6950</v>
      </c>
      <c r="E749" s="5">
        <f>IFERROR(__xludf.DUMMYFUNCTION("""COMPUTED_VALUE"""),7000.0)</f>
        <v>7000</v>
      </c>
      <c r="F749" s="5">
        <f>IFERROR(__xludf.DUMMYFUNCTION("""COMPUTED_VALUE"""),1.81509E7)</f>
        <v>18150900</v>
      </c>
      <c r="G749" s="5">
        <f t="shared" si="1"/>
        <v>275</v>
      </c>
    </row>
    <row r="750">
      <c r="A750" s="4">
        <f>IFERROR(__xludf.DUMMYFUNCTION("""COMPUTED_VALUE"""),44945.66666666667)</f>
        <v>44945.66667</v>
      </c>
      <c r="B750" s="5">
        <f>IFERROR(__xludf.DUMMYFUNCTION("""COMPUTED_VALUE"""),7000.0)</f>
        <v>7000</v>
      </c>
      <c r="C750" s="5">
        <f>IFERROR(__xludf.DUMMYFUNCTION("""COMPUTED_VALUE"""),7175.0)</f>
        <v>7175</v>
      </c>
      <c r="D750" s="5">
        <f>IFERROR(__xludf.DUMMYFUNCTION("""COMPUTED_VALUE"""),6975.0)</f>
        <v>6975</v>
      </c>
      <c r="E750" s="5">
        <f>IFERROR(__xludf.DUMMYFUNCTION("""COMPUTED_VALUE"""),7125.0)</f>
        <v>7125</v>
      </c>
      <c r="F750" s="5">
        <f>IFERROR(__xludf.DUMMYFUNCTION("""COMPUTED_VALUE"""),9340200.0)</f>
        <v>9340200</v>
      </c>
      <c r="G750" s="5">
        <f t="shared" si="1"/>
        <v>200</v>
      </c>
    </row>
    <row r="751">
      <c r="A751" s="4">
        <f>IFERROR(__xludf.DUMMYFUNCTION("""COMPUTED_VALUE"""),44946.66666666667)</f>
        <v>44946.66667</v>
      </c>
      <c r="B751" s="5">
        <f>IFERROR(__xludf.DUMMYFUNCTION("""COMPUTED_VALUE"""),7150.0)</f>
        <v>7150</v>
      </c>
      <c r="C751" s="5">
        <f>IFERROR(__xludf.DUMMYFUNCTION("""COMPUTED_VALUE"""),7150.0)</f>
        <v>7150</v>
      </c>
      <c r="D751" s="5">
        <f>IFERROR(__xludf.DUMMYFUNCTION("""COMPUTED_VALUE"""),7025.0)</f>
        <v>7025</v>
      </c>
      <c r="E751" s="5">
        <f>IFERROR(__xludf.DUMMYFUNCTION("""COMPUTED_VALUE"""),7050.0)</f>
        <v>7050</v>
      </c>
      <c r="F751" s="5">
        <f>IFERROR(__xludf.DUMMYFUNCTION("""COMPUTED_VALUE"""),6741100.0)</f>
        <v>6741100</v>
      </c>
      <c r="G751" s="5">
        <f t="shared" si="1"/>
        <v>125</v>
      </c>
    </row>
    <row r="752">
      <c r="A752" s="4">
        <f>IFERROR(__xludf.DUMMYFUNCTION("""COMPUTED_VALUE"""),44950.66666666667)</f>
        <v>44950.66667</v>
      </c>
      <c r="B752" s="5">
        <f>IFERROR(__xludf.DUMMYFUNCTION("""COMPUTED_VALUE"""),7125.0)</f>
        <v>7125</v>
      </c>
      <c r="C752" s="5">
        <f>IFERROR(__xludf.DUMMYFUNCTION("""COMPUTED_VALUE"""),7175.0)</f>
        <v>7175</v>
      </c>
      <c r="D752" s="5">
        <f>IFERROR(__xludf.DUMMYFUNCTION("""COMPUTED_VALUE"""),7050.0)</f>
        <v>7050</v>
      </c>
      <c r="E752" s="5">
        <f>IFERROR(__xludf.DUMMYFUNCTION("""COMPUTED_VALUE"""),7100.0)</f>
        <v>7100</v>
      </c>
      <c r="F752" s="5">
        <f>IFERROR(__xludf.DUMMYFUNCTION("""COMPUTED_VALUE"""),5254900.0)</f>
        <v>5254900</v>
      </c>
      <c r="G752" s="5">
        <f t="shared" si="1"/>
        <v>125</v>
      </c>
    </row>
    <row r="753">
      <c r="A753" s="4">
        <f>IFERROR(__xludf.DUMMYFUNCTION("""COMPUTED_VALUE"""),44951.66666666667)</f>
        <v>44951.66667</v>
      </c>
      <c r="B753" s="5">
        <f>IFERROR(__xludf.DUMMYFUNCTION("""COMPUTED_VALUE"""),7150.0)</f>
        <v>7150</v>
      </c>
      <c r="C753" s="5">
        <f>IFERROR(__xludf.DUMMYFUNCTION("""COMPUTED_VALUE"""),7150.0)</f>
        <v>7150</v>
      </c>
      <c r="D753" s="5">
        <f>IFERROR(__xludf.DUMMYFUNCTION("""COMPUTED_VALUE"""),7025.0)</f>
        <v>7025</v>
      </c>
      <c r="E753" s="5">
        <f>IFERROR(__xludf.DUMMYFUNCTION("""COMPUTED_VALUE"""),7050.0)</f>
        <v>7050</v>
      </c>
      <c r="F753" s="5">
        <f>IFERROR(__xludf.DUMMYFUNCTION("""COMPUTED_VALUE"""),4561000.0)</f>
        <v>4561000</v>
      </c>
      <c r="G753" s="5">
        <f t="shared" si="1"/>
        <v>125</v>
      </c>
    </row>
    <row r="754">
      <c r="A754" s="4">
        <f>IFERROR(__xludf.DUMMYFUNCTION("""COMPUTED_VALUE"""),44952.66666666667)</f>
        <v>44952.66667</v>
      </c>
      <c r="B754" s="5">
        <f>IFERROR(__xludf.DUMMYFUNCTION("""COMPUTED_VALUE"""),7150.0)</f>
        <v>7150</v>
      </c>
      <c r="C754" s="5">
        <f>IFERROR(__xludf.DUMMYFUNCTION("""COMPUTED_VALUE"""),7350.0)</f>
        <v>7350</v>
      </c>
      <c r="D754" s="5">
        <f>IFERROR(__xludf.DUMMYFUNCTION("""COMPUTED_VALUE"""),7125.0)</f>
        <v>7125</v>
      </c>
      <c r="E754" s="5">
        <f>IFERROR(__xludf.DUMMYFUNCTION("""COMPUTED_VALUE"""),7325.0)</f>
        <v>7325</v>
      </c>
      <c r="F754" s="5">
        <f>IFERROR(__xludf.DUMMYFUNCTION("""COMPUTED_VALUE"""),1.4976E7)</f>
        <v>14976000</v>
      </c>
      <c r="G754" s="5">
        <f t="shared" si="1"/>
        <v>300</v>
      </c>
    </row>
    <row r="755">
      <c r="A755" s="4">
        <f>IFERROR(__xludf.DUMMYFUNCTION("""COMPUTED_VALUE"""),44953.66666666667)</f>
        <v>44953.66667</v>
      </c>
      <c r="B755" s="5">
        <f>IFERROR(__xludf.DUMMYFUNCTION("""COMPUTED_VALUE"""),7325.0)</f>
        <v>7325</v>
      </c>
      <c r="C755" s="5">
        <f>IFERROR(__xludf.DUMMYFUNCTION("""COMPUTED_VALUE"""),7375.0)</f>
        <v>7375</v>
      </c>
      <c r="D755" s="5">
        <f>IFERROR(__xludf.DUMMYFUNCTION("""COMPUTED_VALUE"""),7275.0)</f>
        <v>7275</v>
      </c>
      <c r="E755" s="5">
        <f>IFERROR(__xludf.DUMMYFUNCTION("""COMPUTED_VALUE"""),7275.0)</f>
        <v>7275</v>
      </c>
      <c r="F755" s="5">
        <f>IFERROR(__xludf.DUMMYFUNCTION("""COMPUTED_VALUE"""),6949400.0)</f>
        <v>6949400</v>
      </c>
      <c r="G755" s="5">
        <f t="shared" si="1"/>
        <v>100</v>
      </c>
    </row>
    <row r="756">
      <c r="A756" s="4">
        <f>IFERROR(__xludf.DUMMYFUNCTION("""COMPUTED_VALUE"""),44956.66666666667)</f>
        <v>44956.66667</v>
      </c>
      <c r="B756" s="5">
        <f>IFERROR(__xludf.DUMMYFUNCTION("""COMPUTED_VALUE"""),7250.0)</f>
        <v>7250</v>
      </c>
      <c r="C756" s="5">
        <f>IFERROR(__xludf.DUMMYFUNCTION("""COMPUTED_VALUE"""),7275.0)</f>
        <v>7275</v>
      </c>
      <c r="D756" s="5">
        <f>IFERROR(__xludf.DUMMYFUNCTION("""COMPUTED_VALUE"""),7150.0)</f>
        <v>7150</v>
      </c>
      <c r="E756" s="5">
        <f>IFERROR(__xludf.DUMMYFUNCTION("""COMPUTED_VALUE"""),7225.0)</f>
        <v>7225</v>
      </c>
      <c r="F756" s="5">
        <f>IFERROR(__xludf.DUMMYFUNCTION("""COMPUTED_VALUE"""),5415300.0)</f>
        <v>5415300</v>
      </c>
      <c r="G756" s="5">
        <f t="shared" si="1"/>
        <v>125</v>
      </c>
    </row>
    <row r="757">
      <c r="A757" s="4">
        <f>IFERROR(__xludf.DUMMYFUNCTION("""COMPUTED_VALUE"""),44957.66666666667)</f>
        <v>44957.66667</v>
      </c>
      <c r="B757" s="5">
        <f>IFERROR(__xludf.DUMMYFUNCTION("""COMPUTED_VALUE"""),7225.0)</f>
        <v>7225</v>
      </c>
      <c r="C757" s="5">
        <f>IFERROR(__xludf.DUMMYFUNCTION("""COMPUTED_VALUE"""),7400.0)</f>
        <v>7400</v>
      </c>
      <c r="D757" s="5">
        <f>IFERROR(__xludf.DUMMYFUNCTION("""COMPUTED_VALUE"""),7225.0)</f>
        <v>7225</v>
      </c>
      <c r="E757" s="5">
        <f>IFERROR(__xludf.DUMMYFUNCTION("""COMPUTED_VALUE"""),7400.0)</f>
        <v>7400</v>
      </c>
      <c r="F757" s="5">
        <f>IFERROR(__xludf.DUMMYFUNCTION("""COMPUTED_VALUE"""),1.56979E7)</f>
        <v>15697900</v>
      </c>
      <c r="G757" s="5">
        <f t="shared" si="1"/>
        <v>175</v>
      </c>
    </row>
    <row r="758">
      <c r="A758" s="4">
        <f>IFERROR(__xludf.DUMMYFUNCTION("""COMPUTED_VALUE"""),44958.66666666667)</f>
        <v>44958.66667</v>
      </c>
      <c r="B758" s="5">
        <f>IFERROR(__xludf.DUMMYFUNCTION("""COMPUTED_VALUE"""),7400.0)</f>
        <v>7400</v>
      </c>
      <c r="C758" s="5">
        <f>IFERROR(__xludf.DUMMYFUNCTION("""COMPUTED_VALUE"""),7450.0)</f>
        <v>7450</v>
      </c>
      <c r="D758" s="5">
        <f>IFERROR(__xludf.DUMMYFUNCTION("""COMPUTED_VALUE"""),7275.0)</f>
        <v>7275</v>
      </c>
      <c r="E758" s="5">
        <f>IFERROR(__xludf.DUMMYFUNCTION("""COMPUTED_VALUE"""),7325.0)</f>
        <v>7325</v>
      </c>
      <c r="F758" s="5">
        <f>IFERROR(__xludf.DUMMYFUNCTION("""COMPUTED_VALUE"""),8356200.0)</f>
        <v>8356200</v>
      </c>
      <c r="G758" s="5">
        <f t="shared" si="1"/>
        <v>175</v>
      </c>
    </row>
    <row r="759">
      <c r="A759" s="4">
        <f>IFERROR(__xludf.DUMMYFUNCTION("""COMPUTED_VALUE"""),44959.66666666667)</f>
        <v>44959.66667</v>
      </c>
      <c r="B759" s="5">
        <f>IFERROR(__xludf.DUMMYFUNCTION("""COMPUTED_VALUE"""),7350.0)</f>
        <v>7350</v>
      </c>
      <c r="C759" s="5">
        <f>IFERROR(__xludf.DUMMYFUNCTION("""COMPUTED_VALUE"""),7475.0)</f>
        <v>7475</v>
      </c>
      <c r="D759" s="5">
        <f>IFERROR(__xludf.DUMMYFUNCTION("""COMPUTED_VALUE"""),7325.0)</f>
        <v>7325</v>
      </c>
      <c r="E759" s="5">
        <f>IFERROR(__xludf.DUMMYFUNCTION("""COMPUTED_VALUE"""),7325.0)</f>
        <v>7325</v>
      </c>
      <c r="F759" s="5">
        <f>IFERROR(__xludf.DUMMYFUNCTION("""COMPUTED_VALUE"""),1.07429E7)</f>
        <v>10742900</v>
      </c>
      <c r="G759" s="5">
        <f t="shared" si="1"/>
        <v>150</v>
      </c>
    </row>
    <row r="760">
      <c r="A760" s="4">
        <f>IFERROR(__xludf.DUMMYFUNCTION("""COMPUTED_VALUE"""),44960.66666666667)</f>
        <v>44960.66667</v>
      </c>
      <c r="B760" s="5">
        <f>IFERROR(__xludf.DUMMYFUNCTION("""COMPUTED_VALUE"""),7350.0)</f>
        <v>7350</v>
      </c>
      <c r="C760" s="5">
        <f>IFERROR(__xludf.DUMMYFUNCTION("""COMPUTED_VALUE"""),7350.0)</f>
        <v>7350</v>
      </c>
      <c r="D760" s="5">
        <f>IFERROR(__xludf.DUMMYFUNCTION("""COMPUTED_VALUE"""),7250.0)</f>
        <v>7250</v>
      </c>
      <c r="E760" s="5">
        <f>IFERROR(__xludf.DUMMYFUNCTION("""COMPUTED_VALUE"""),7275.0)</f>
        <v>7275</v>
      </c>
      <c r="F760" s="5">
        <f>IFERROR(__xludf.DUMMYFUNCTION("""COMPUTED_VALUE"""),4333000.0)</f>
        <v>4333000</v>
      </c>
      <c r="G760" s="5">
        <f t="shared" si="1"/>
        <v>100</v>
      </c>
    </row>
    <row r="761">
      <c r="A761" s="4">
        <f>IFERROR(__xludf.DUMMYFUNCTION("""COMPUTED_VALUE"""),44963.66666666667)</f>
        <v>44963.66667</v>
      </c>
      <c r="B761" s="5">
        <f>IFERROR(__xludf.DUMMYFUNCTION("""COMPUTED_VALUE"""),7250.0)</f>
        <v>7250</v>
      </c>
      <c r="C761" s="5">
        <f>IFERROR(__xludf.DUMMYFUNCTION("""COMPUTED_VALUE"""),7450.0)</f>
        <v>7450</v>
      </c>
      <c r="D761" s="5">
        <f>IFERROR(__xludf.DUMMYFUNCTION("""COMPUTED_VALUE"""),7175.0)</f>
        <v>7175</v>
      </c>
      <c r="E761" s="5">
        <f>IFERROR(__xludf.DUMMYFUNCTION("""COMPUTED_VALUE"""),7250.0)</f>
        <v>7250</v>
      </c>
      <c r="F761" s="5">
        <f>IFERROR(__xludf.DUMMYFUNCTION("""COMPUTED_VALUE"""),1.18964E7)</f>
        <v>11896400</v>
      </c>
      <c r="G761" s="5">
        <f t="shared" si="1"/>
        <v>275</v>
      </c>
    </row>
    <row r="762">
      <c r="A762" s="4">
        <f>IFERROR(__xludf.DUMMYFUNCTION("""COMPUTED_VALUE"""),44964.66666666667)</f>
        <v>44964.66667</v>
      </c>
      <c r="B762" s="5">
        <f>IFERROR(__xludf.DUMMYFUNCTION("""COMPUTED_VALUE"""),7250.0)</f>
        <v>7250</v>
      </c>
      <c r="C762" s="5">
        <f>IFERROR(__xludf.DUMMYFUNCTION("""COMPUTED_VALUE"""),7275.0)</f>
        <v>7275</v>
      </c>
      <c r="D762" s="5">
        <f>IFERROR(__xludf.DUMMYFUNCTION("""COMPUTED_VALUE"""),7175.0)</f>
        <v>7175</v>
      </c>
      <c r="E762" s="5">
        <f>IFERROR(__xludf.DUMMYFUNCTION("""COMPUTED_VALUE"""),7250.0)</f>
        <v>7250</v>
      </c>
      <c r="F762" s="5">
        <f>IFERROR(__xludf.DUMMYFUNCTION("""COMPUTED_VALUE"""),4979200.0)</f>
        <v>4979200</v>
      </c>
      <c r="G762" s="5">
        <f t="shared" si="1"/>
        <v>100</v>
      </c>
    </row>
    <row r="763">
      <c r="A763" s="4">
        <f>IFERROR(__xludf.DUMMYFUNCTION("""COMPUTED_VALUE"""),44965.66666666667)</f>
        <v>44965.66667</v>
      </c>
      <c r="B763" s="5">
        <f>IFERROR(__xludf.DUMMYFUNCTION("""COMPUTED_VALUE"""),7250.0)</f>
        <v>7250</v>
      </c>
      <c r="C763" s="5">
        <f>IFERROR(__xludf.DUMMYFUNCTION("""COMPUTED_VALUE"""),7250.0)</f>
        <v>7250</v>
      </c>
      <c r="D763" s="5">
        <f>IFERROR(__xludf.DUMMYFUNCTION("""COMPUTED_VALUE"""),7175.0)</f>
        <v>7175</v>
      </c>
      <c r="E763" s="5">
        <f>IFERROR(__xludf.DUMMYFUNCTION("""COMPUTED_VALUE"""),7225.0)</f>
        <v>7225</v>
      </c>
      <c r="F763" s="5">
        <f>IFERROR(__xludf.DUMMYFUNCTION("""COMPUTED_VALUE"""),3261400.0)</f>
        <v>3261400</v>
      </c>
      <c r="G763" s="5">
        <f t="shared" si="1"/>
        <v>75</v>
      </c>
    </row>
    <row r="764">
      <c r="A764" s="4">
        <f>IFERROR(__xludf.DUMMYFUNCTION("""COMPUTED_VALUE"""),44966.66666666667)</f>
        <v>44966.66667</v>
      </c>
      <c r="B764" s="5">
        <f>IFERROR(__xludf.DUMMYFUNCTION("""COMPUTED_VALUE"""),7250.0)</f>
        <v>7250</v>
      </c>
      <c r="C764" s="5">
        <f>IFERROR(__xludf.DUMMYFUNCTION("""COMPUTED_VALUE"""),7500.0)</f>
        <v>7500</v>
      </c>
      <c r="D764" s="5">
        <f>IFERROR(__xludf.DUMMYFUNCTION("""COMPUTED_VALUE"""),7250.0)</f>
        <v>7250</v>
      </c>
      <c r="E764" s="5">
        <f>IFERROR(__xludf.DUMMYFUNCTION("""COMPUTED_VALUE"""),7325.0)</f>
        <v>7325</v>
      </c>
      <c r="F764" s="5">
        <f>IFERROR(__xludf.DUMMYFUNCTION("""COMPUTED_VALUE"""),1.46214E7)</f>
        <v>14621400</v>
      </c>
      <c r="G764" s="5">
        <f t="shared" si="1"/>
        <v>275</v>
      </c>
    </row>
    <row r="765">
      <c r="A765" s="4">
        <f>IFERROR(__xludf.DUMMYFUNCTION("""COMPUTED_VALUE"""),44967.66666666667)</f>
        <v>44967.66667</v>
      </c>
      <c r="B765" s="5">
        <f>IFERROR(__xludf.DUMMYFUNCTION("""COMPUTED_VALUE"""),7475.0)</f>
        <v>7475</v>
      </c>
      <c r="C765" s="5">
        <f>IFERROR(__xludf.DUMMYFUNCTION("""COMPUTED_VALUE"""),7775.0)</f>
        <v>7775</v>
      </c>
      <c r="D765" s="5">
        <f>IFERROR(__xludf.DUMMYFUNCTION("""COMPUTED_VALUE"""),7450.0)</f>
        <v>7450</v>
      </c>
      <c r="E765" s="5">
        <f>IFERROR(__xludf.DUMMYFUNCTION("""COMPUTED_VALUE"""),7750.0)</f>
        <v>7750</v>
      </c>
      <c r="F765" s="5">
        <f>IFERROR(__xludf.DUMMYFUNCTION("""COMPUTED_VALUE"""),2.6338E7)</f>
        <v>26338000</v>
      </c>
      <c r="G765" s="5">
        <f t="shared" si="1"/>
        <v>450</v>
      </c>
    </row>
    <row r="766">
      <c r="A766" s="4">
        <f>IFERROR(__xludf.DUMMYFUNCTION("""COMPUTED_VALUE"""),44970.66666666667)</f>
        <v>44970.66667</v>
      </c>
      <c r="B766" s="5">
        <f>IFERROR(__xludf.DUMMYFUNCTION("""COMPUTED_VALUE"""),7700.0)</f>
        <v>7700</v>
      </c>
      <c r="C766" s="5">
        <f>IFERROR(__xludf.DUMMYFUNCTION("""COMPUTED_VALUE"""),7725.0)</f>
        <v>7725</v>
      </c>
      <c r="D766" s="5">
        <f>IFERROR(__xludf.DUMMYFUNCTION("""COMPUTED_VALUE"""),7550.0)</f>
        <v>7550</v>
      </c>
      <c r="E766" s="5">
        <f>IFERROR(__xludf.DUMMYFUNCTION("""COMPUTED_VALUE"""),7600.0)</f>
        <v>7600</v>
      </c>
      <c r="F766" s="5">
        <f>IFERROR(__xludf.DUMMYFUNCTION("""COMPUTED_VALUE"""),9772100.0)</f>
        <v>9772100</v>
      </c>
      <c r="G766" s="5">
        <f t="shared" si="1"/>
        <v>200</v>
      </c>
    </row>
    <row r="767">
      <c r="A767" s="4">
        <f>IFERROR(__xludf.DUMMYFUNCTION("""COMPUTED_VALUE"""),44971.66666666667)</f>
        <v>44971.66667</v>
      </c>
      <c r="B767" s="5">
        <f>IFERROR(__xludf.DUMMYFUNCTION("""COMPUTED_VALUE"""),7675.0)</f>
        <v>7675</v>
      </c>
      <c r="C767" s="5">
        <f>IFERROR(__xludf.DUMMYFUNCTION("""COMPUTED_VALUE"""),7700.0)</f>
        <v>7700</v>
      </c>
      <c r="D767" s="5">
        <f>IFERROR(__xludf.DUMMYFUNCTION("""COMPUTED_VALUE"""),7575.0)</f>
        <v>7575</v>
      </c>
      <c r="E767" s="5">
        <f>IFERROR(__xludf.DUMMYFUNCTION("""COMPUTED_VALUE"""),7650.0)</f>
        <v>7650</v>
      </c>
      <c r="F767" s="5">
        <f>IFERROR(__xludf.DUMMYFUNCTION("""COMPUTED_VALUE"""),4417000.0)</f>
        <v>4417000</v>
      </c>
      <c r="G767" s="5">
        <f t="shared" si="1"/>
        <v>125</v>
      </c>
    </row>
    <row r="768">
      <c r="A768" s="4">
        <f>IFERROR(__xludf.DUMMYFUNCTION("""COMPUTED_VALUE"""),44972.66666666667)</f>
        <v>44972.66667</v>
      </c>
      <c r="B768" s="5">
        <f>IFERROR(__xludf.DUMMYFUNCTION("""COMPUTED_VALUE"""),7650.0)</f>
        <v>7650</v>
      </c>
      <c r="C768" s="5">
        <f>IFERROR(__xludf.DUMMYFUNCTION("""COMPUTED_VALUE"""),7650.0)</f>
        <v>7650</v>
      </c>
      <c r="D768" s="5">
        <f>IFERROR(__xludf.DUMMYFUNCTION("""COMPUTED_VALUE"""),7475.0)</f>
        <v>7475</v>
      </c>
      <c r="E768" s="5">
        <f>IFERROR(__xludf.DUMMYFUNCTION("""COMPUTED_VALUE"""),7625.0)</f>
        <v>7625</v>
      </c>
      <c r="F768" s="5">
        <f>IFERROR(__xludf.DUMMYFUNCTION("""COMPUTED_VALUE"""),7725900.0)</f>
        <v>7725900</v>
      </c>
      <c r="G768" s="5">
        <f t="shared" si="1"/>
        <v>175</v>
      </c>
    </row>
    <row r="769">
      <c r="A769" s="4">
        <f>IFERROR(__xludf.DUMMYFUNCTION("""COMPUTED_VALUE"""),44973.66666666667)</f>
        <v>44973.66667</v>
      </c>
      <c r="B769" s="5">
        <f>IFERROR(__xludf.DUMMYFUNCTION("""COMPUTED_VALUE"""),7625.0)</f>
        <v>7625</v>
      </c>
      <c r="C769" s="5">
        <f>IFERROR(__xludf.DUMMYFUNCTION("""COMPUTED_VALUE"""),7625.0)</f>
        <v>7625</v>
      </c>
      <c r="D769" s="5">
        <f>IFERROR(__xludf.DUMMYFUNCTION("""COMPUTED_VALUE"""),7450.0)</f>
        <v>7450</v>
      </c>
      <c r="E769" s="5">
        <f>IFERROR(__xludf.DUMMYFUNCTION("""COMPUTED_VALUE"""),7525.0)</f>
        <v>7525</v>
      </c>
      <c r="F769" s="5">
        <f>IFERROR(__xludf.DUMMYFUNCTION("""COMPUTED_VALUE"""),4655500.0)</f>
        <v>4655500</v>
      </c>
      <c r="G769" s="5">
        <f t="shared" si="1"/>
        <v>175</v>
      </c>
    </row>
    <row r="770">
      <c r="A770" s="4">
        <f>IFERROR(__xludf.DUMMYFUNCTION("""COMPUTED_VALUE"""),44974.66666666667)</f>
        <v>44974.66667</v>
      </c>
      <c r="B770" s="5">
        <f>IFERROR(__xludf.DUMMYFUNCTION("""COMPUTED_VALUE"""),7550.0)</f>
        <v>7550</v>
      </c>
      <c r="C770" s="5">
        <f>IFERROR(__xludf.DUMMYFUNCTION("""COMPUTED_VALUE"""),7575.0)</f>
        <v>7575</v>
      </c>
      <c r="D770" s="5">
        <f>IFERROR(__xludf.DUMMYFUNCTION("""COMPUTED_VALUE"""),7400.0)</f>
        <v>7400</v>
      </c>
      <c r="E770" s="5">
        <f>IFERROR(__xludf.DUMMYFUNCTION("""COMPUTED_VALUE"""),7425.0)</f>
        <v>7425</v>
      </c>
      <c r="F770" s="5">
        <f>IFERROR(__xludf.DUMMYFUNCTION("""COMPUTED_VALUE"""),6631600.0)</f>
        <v>6631600</v>
      </c>
      <c r="G770" s="5">
        <f t="shared" si="1"/>
        <v>175</v>
      </c>
    </row>
    <row r="771">
      <c r="A771" s="4">
        <f>IFERROR(__xludf.DUMMYFUNCTION("""COMPUTED_VALUE"""),44977.66666666667)</f>
        <v>44977.66667</v>
      </c>
      <c r="B771" s="5">
        <f>IFERROR(__xludf.DUMMYFUNCTION("""COMPUTED_VALUE"""),7450.0)</f>
        <v>7450</v>
      </c>
      <c r="C771" s="5">
        <f>IFERROR(__xludf.DUMMYFUNCTION("""COMPUTED_VALUE"""),7575.0)</f>
        <v>7575</v>
      </c>
      <c r="D771" s="5">
        <f>IFERROR(__xludf.DUMMYFUNCTION("""COMPUTED_VALUE"""),7425.0)</f>
        <v>7425</v>
      </c>
      <c r="E771" s="5">
        <f>IFERROR(__xludf.DUMMYFUNCTION("""COMPUTED_VALUE"""),7525.0)</f>
        <v>7525</v>
      </c>
      <c r="F771" s="5">
        <f>IFERROR(__xludf.DUMMYFUNCTION("""COMPUTED_VALUE"""),4652300.0)</f>
        <v>4652300</v>
      </c>
      <c r="G771" s="5">
        <f t="shared" si="1"/>
        <v>150</v>
      </c>
    </row>
    <row r="772">
      <c r="A772" s="4">
        <f>IFERROR(__xludf.DUMMYFUNCTION("""COMPUTED_VALUE"""),44978.66666666667)</f>
        <v>44978.66667</v>
      </c>
      <c r="B772" s="5">
        <f>IFERROR(__xludf.DUMMYFUNCTION("""COMPUTED_VALUE"""),7550.0)</f>
        <v>7550</v>
      </c>
      <c r="C772" s="5">
        <f>IFERROR(__xludf.DUMMYFUNCTION("""COMPUTED_VALUE"""),7625.0)</f>
        <v>7625</v>
      </c>
      <c r="D772" s="5">
        <f>IFERROR(__xludf.DUMMYFUNCTION("""COMPUTED_VALUE"""),7475.0)</f>
        <v>7475</v>
      </c>
      <c r="E772" s="5">
        <f>IFERROR(__xludf.DUMMYFUNCTION("""COMPUTED_VALUE"""),7575.0)</f>
        <v>7575</v>
      </c>
      <c r="F772" s="5">
        <f>IFERROR(__xludf.DUMMYFUNCTION("""COMPUTED_VALUE"""),3918700.0)</f>
        <v>3918700</v>
      </c>
      <c r="G772" s="5">
        <f t="shared" si="1"/>
        <v>150</v>
      </c>
    </row>
    <row r="773">
      <c r="A773" s="4">
        <f>IFERROR(__xludf.DUMMYFUNCTION("""COMPUTED_VALUE"""),44979.66666666667)</f>
        <v>44979.66667</v>
      </c>
      <c r="B773" s="5">
        <f>IFERROR(__xludf.DUMMYFUNCTION("""COMPUTED_VALUE"""),7500.0)</f>
        <v>7500</v>
      </c>
      <c r="C773" s="5">
        <f>IFERROR(__xludf.DUMMYFUNCTION("""COMPUTED_VALUE"""),7525.0)</f>
        <v>7525</v>
      </c>
      <c r="D773" s="5">
        <f>IFERROR(__xludf.DUMMYFUNCTION("""COMPUTED_VALUE"""),7325.0)</f>
        <v>7325</v>
      </c>
      <c r="E773" s="5">
        <f>IFERROR(__xludf.DUMMYFUNCTION("""COMPUTED_VALUE"""),7425.0)</f>
        <v>7425</v>
      </c>
      <c r="F773" s="5">
        <f>IFERROR(__xludf.DUMMYFUNCTION("""COMPUTED_VALUE"""),4897500.0)</f>
        <v>4897500</v>
      </c>
      <c r="G773" s="5">
        <f t="shared" si="1"/>
        <v>250</v>
      </c>
    </row>
    <row r="774">
      <c r="A774" s="4">
        <f>IFERROR(__xludf.DUMMYFUNCTION("""COMPUTED_VALUE"""),44980.66666666667)</f>
        <v>44980.66667</v>
      </c>
      <c r="B774" s="5">
        <f>IFERROR(__xludf.DUMMYFUNCTION("""COMPUTED_VALUE"""),7425.0)</f>
        <v>7425</v>
      </c>
      <c r="C774" s="5">
        <f>IFERROR(__xludf.DUMMYFUNCTION("""COMPUTED_VALUE"""),7625.0)</f>
        <v>7625</v>
      </c>
      <c r="D774" s="5">
        <f>IFERROR(__xludf.DUMMYFUNCTION("""COMPUTED_VALUE"""),7400.0)</f>
        <v>7400</v>
      </c>
      <c r="E774" s="5">
        <f>IFERROR(__xludf.DUMMYFUNCTION("""COMPUTED_VALUE"""),7625.0)</f>
        <v>7625</v>
      </c>
      <c r="F774" s="5">
        <f>IFERROR(__xludf.DUMMYFUNCTION("""COMPUTED_VALUE"""),4110400.0)</f>
        <v>4110400</v>
      </c>
      <c r="G774" s="5">
        <f t="shared" si="1"/>
        <v>225</v>
      </c>
    </row>
    <row r="775">
      <c r="A775" s="4">
        <f>IFERROR(__xludf.DUMMYFUNCTION("""COMPUTED_VALUE"""),44981.66666666667)</f>
        <v>44981.66667</v>
      </c>
      <c r="B775" s="5">
        <f>IFERROR(__xludf.DUMMYFUNCTION("""COMPUTED_VALUE"""),7600.0)</f>
        <v>7600</v>
      </c>
      <c r="C775" s="5">
        <f>IFERROR(__xludf.DUMMYFUNCTION("""COMPUTED_VALUE"""),7600.0)</f>
        <v>7600</v>
      </c>
      <c r="D775" s="5">
        <f>IFERROR(__xludf.DUMMYFUNCTION("""COMPUTED_VALUE"""),7400.0)</f>
        <v>7400</v>
      </c>
      <c r="E775" s="5">
        <f>IFERROR(__xludf.DUMMYFUNCTION("""COMPUTED_VALUE"""),7400.0)</f>
        <v>7400</v>
      </c>
      <c r="F775" s="5">
        <f>IFERROR(__xludf.DUMMYFUNCTION("""COMPUTED_VALUE"""),5740100.0)</f>
        <v>5740100</v>
      </c>
      <c r="G775" s="5">
        <f t="shared" si="1"/>
        <v>225</v>
      </c>
    </row>
    <row r="776">
      <c r="A776" s="4">
        <f>IFERROR(__xludf.DUMMYFUNCTION("""COMPUTED_VALUE"""),44984.66666666667)</f>
        <v>44984.66667</v>
      </c>
      <c r="B776" s="5">
        <f>IFERROR(__xludf.DUMMYFUNCTION("""COMPUTED_VALUE"""),7400.0)</f>
        <v>7400</v>
      </c>
      <c r="C776" s="5">
        <f>IFERROR(__xludf.DUMMYFUNCTION("""COMPUTED_VALUE"""),7450.0)</f>
        <v>7450</v>
      </c>
      <c r="D776" s="5">
        <f>IFERROR(__xludf.DUMMYFUNCTION("""COMPUTED_VALUE"""),7250.0)</f>
        <v>7250</v>
      </c>
      <c r="E776" s="5">
        <f>IFERROR(__xludf.DUMMYFUNCTION("""COMPUTED_VALUE"""),7375.0)</f>
        <v>7375</v>
      </c>
      <c r="F776" s="5">
        <f>IFERROR(__xludf.DUMMYFUNCTION("""COMPUTED_VALUE"""),9114700.0)</f>
        <v>9114700</v>
      </c>
      <c r="G776" s="5">
        <f t="shared" si="1"/>
        <v>200</v>
      </c>
    </row>
    <row r="777">
      <c r="A777" s="4">
        <f>IFERROR(__xludf.DUMMYFUNCTION("""COMPUTED_VALUE"""),44985.66666666667)</f>
        <v>44985.66667</v>
      </c>
      <c r="B777" s="5">
        <f>IFERROR(__xludf.DUMMYFUNCTION("""COMPUTED_VALUE"""),7400.0)</f>
        <v>7400</v>
      </c>
      <c r="C777" s="5">
        <f>IFERROR(__xludf.DUMMYFUNCTION("""COMPUTED_VALUE"""),7425.0)</f>
        <v>7425</v>
      </c>
      <c r="D777" s="5">
        <f>IFERROR(__xludf.DUMMYFUNCTION("""COMPUTED_VALUE"""),7200.0)</f>
        <v>7200</v>
      </c>
      <c r="E777" s="5">
        <f>IFERROR(__xludf.DUMMYFUNCTION("""COMPUTED_VALUE"""),7225.0)</f>
        <v>7225</v>
      </c>
      <c r="F777" s="5">
        <f>IFERROR(__xludf.DUMMYFUNCTION("""COMPUTED_VALUE"""),1.09229E7)</f>
        <v>10922900</v>
      </c>
      <c r="G777" s="5">
        <f t="shared" si="1"/>
        <v>225</v>
      </c>
    </row>
    <row r="778">
      <c r="A778" s="4">
        <f>IFERROR(__xludf.DUMMYFUNCTION("""COMPUTED_VALUE"""),44986.66666666667)</f>
        <v>44986.66667</v>
      </c>
      <c r="B778" s="5">
        <f>IFERROR(__xludf.DUMMYFUNCTION("""COMPUTED_VALUE"""),7225.0)</f>
        <v>7225</v>
      </c>
      <c r="C778" s="5">
        <f>IFERROR(__xludf.DUMMYFUNCTION("""COMPUTED_VALUE"""),7325.0)</f>
        <v>7325</v>
      </c>
      <c r="D778" s="5">
        <f>IFERROR(__xludf.DUMMYFUNCTION("""COMPUTED_VALUE"""),7200.0)</f>
        <v>7200</v>
      </c>
      <c r="E778" s="5">
        <f>IFERROR(__xludf.DUMMYFUNCTION("""COMPUTED_VALUE"""),7250.0)</f>
        <v>7250</v>
      </c>
      <c r="F778" s="5">
        <f>IFERROR(__xludf.DUMMYFUNCTION("""COMPUTED_VALUE"""),5717600.0)</f>
        <v>5717600</v>
      </c>
      <c r="G778" s="5">
        <f t="shared" si="1"/>
        <v>125</v>
      </c>
    </row>
    <row r="779">
      <c r="A779" s="4">
        <f>IFERROR(__xludf.DUMMYFUNCTION("""COMPUTED_VALUE"""),44987.66666666667)</f>
        <v>44987.66667</v>
      </c>
      <c r="B779" s="5">
        <f>IFERROR(__xludf.DUMMYFUNCTION("""COMPUTED_VALUE"""),7250.0)</f>
        <v>7250</v>
      </c>
      <c r="C779" s="5">
        <f>IFERROR(__xludf.DUMMYFUNCTION("""COMPUTED_VALUE"""),7250.0)</f>
        <v>7250</v>
      </c>
      <c r="D779" s="5">
        <f>IFERROR(__xludf.DUMMYFUNCTION("""COMPUTED_VALUE"""),7150.0)</f>
        <v>7150</v>
      </c>
      <c r="E779" s="5">
        <f>IFERROR(__xludf.DUMMYFUNCTION("""COMPUTED_VALUE"""),7150.0)</f>
        <v>7150</v>
      </c>
      <c r="F779" s="5">
        <f>IFERROR(__xludf.DUMMYFUNCTION("""COMPUTED_VALUE"""),7080600.0)</f>
        <v>7080600</v>
      </c>
      <c r="G779" s="5">
        <f t="shared" si="1"/>
        <v>100</v>
      </c>
    </row>
    <row r="780">
      <c r="A780" s="4">
        <f>IFERROR(__xludf.DUMMYFUNCTION("""COMPUTED_VALUE"""),44988.66666666667)</f>
        <v>44988.66667</v>
      </c>
      <c r="B780" s="5">
        <f>IFERROR(__xludf.DUMMYFUNCTION("""COMPUTED_VALUE"""),7150.0)</f>
        <v>7150</v>
      </c>
      <c r="C780" s="5">
        <f>IFERROR(__xludf.DUMMYFUNCTION("""COMPUTED_VALUE"""),7275.0)</f>
        <v>7275</v>
      </c>
      <c r="D780" s="5">
        <f>IFERROR(__xludf.DUMMYFUNCTION("""COMPUTED_VALUE"""),7150.0)</f>
        <v>7150</v>
      </c>
      <c r="E780" s="5">
        <f>IFERROR(__xludf.DUMMYFUNCTION("""COMPUTED_VALUE"""),7175.0)</f>
        <v>7175</v>
      </c>
      <c r="F780" s="5">
        <f>IFERROR(__xludf.DUMMYFUNCTION("""COMPUTED_VALUE"""),8810300.0)</f>
        <v>8810300</v>
      </c>
      <c r="G780" s="5">
        <f t="shared" si="1"/>
        <v>125</v>
      </c>
    </row>
    <row r="781">
      <c r="A781" s="4">
        <f>IFERROR(__xludf.DUMMYFUNCTION("""COMPUTED_VALUE"""),44991.66666666667)</f>
        <v>44991.66667</v>
      </c>
      <c r="B781" s="5">
        <f>IFERROR(__xludf.DUMMYFUNCTION("""COMPUTED_VALUE"""),7250.0)</f>
        <v>7250</v>
      </c>
      <c r="C781" s="5">
        <f>IFERROR(__xludf.DUMMYFUNCTION("""COMPUTED_VALUE"""),7300.0)</f>
        <v>7300</v>
      </c>
      <c r="D781" s="5">
        <f>IFERROR(__xludf.DUMMYFUNCTION("""COMPUTED_VALUE"""),7100.0)</f>
        <v>7100</v>
      </c>
      <c r="E781" s="5">
        <f>IFERROR(__xludf.DUMMYFUNCTION("""COMPUTED_VALUE"""),7125.0)</f>
        <v>7125</v>
      </c>
      <c r="F781" s="5">
        <f>IFERROR(__xludf.DUMMYFUNCTION("""COMPUTED_VALUE"""),7318000.0)</f>
        <v>7318000</v>
      </c>
      <c r="G781" s="5">
        <f t="shared" si="1"/>
        <v>200</v>
      </c>
    </row>
    <row r="782">
      <c r="A782" s="4">
        <f>IFERROR(__xludf.DUMMYFUNCTION("""COMPUTED_VALUE"""),44992.66666666667)</f>
        <v>44992.66667</v>
      </c>
      <c r="B782" s="5">
        <f>IFERROR(__xludf.DUMMYFUNCTION("""COMPUTED_VALUE"""),7150.0)</f>
        <v>7150</v>
      </c>
      <c r="C782" s="5">
        <f>IFERROR(__xludf.DUMMYFUNCTION("""COMPUTED_VALUE"""),7200.0)</f>
        <v>7200</v>
      </c>
      <c r="D782" s="5">
        <f>IFERROR(__xludf.DUMMYFUNCTION("""COMPUTED_VALUE"""),6975.0)</f>
        <v>6975</v>
      </c>
      <c r="E782" s="5">
        <f>IFERROR(__xludf.DUMMYFUNCTION("""COMPUTED_VALUE"""),7075.0)</f>
        <v>7075</v>
      </c>
      <c r="F782" s="5">
        <f>IFERROR(__xludf.DUMMYFUNCTION("""COMPUTED_VALUE"""),5743300.0)</f>
        <v>5743300</v>
      </c>
      <c r="G782" s="5">
        <f t="shared" si="1"/>
        <v>225</v>
      </c>
    </row>
    <row r="783">
      <c r="A783" s="4">
        <f>IFERROR(__xludf.DUMMYFUNCTION("""COMPUTED_VALUE"""),44993.66666666667)</f>
        <v>44993.66667</v>
      </c>
      <c r="B783" s="5">
        <f>IFERROR(__xludf.DUMMYFUNCTION("""COMPUTED_VALUE"""),7000.0)</f>
        <v>7000</v>
      </c>
      <c r="C783" s="5">
        <f>IFERROR(__xludf.DUMMYFUNCTION("""COMPUTED_VALUE"""),7075.0)</f>
        <v>7075</v>
      </c>
      <c r="D783" s="5">
        <f>IFERROR(__xludf.DUMMYFUNCTION("""COMPUTED_VALUE"""),6850.0)</f>
        <v>6850</v>
      </c>
      <c r="E783" s="5">
        <f>IFERROR(__xludf.DUMMYFUNCTION("""COMPUTED_VALUE"""),6900.0)</f>
        <v>6900</v>
      </c>
      <c r="F783" s="5">
        <f>IFERROR(__xludf.DUMMYFUNCTION("""COMPUTED_VALUE"""),9216900.0)</f>
        <v>9216900</v>
      </c>
      <c r="G783" s="5">
        <f t="shared" si="1"/>
        <v>225</v>
      </c>
    </row>
    <row r="784">
      <c r="A784" s="4">
        <f>IFERROR(__xludf.DUMMYFUNCTION("""COMPUTED_VALUE"""),44994.66666666667)</f>
        <v>44994.66667</v>
      </c>
      <c r="B784" s="5">
        <f>IFERROR(__xludf.DUMMYFUNCTION("""COMPUTED_VALUE"""),6925.0)</f>
        <v>6925</v>
      </c>
      <c r="C784" s="5">
        <f>IFERROR(__xludf.DUMMYFUNCTION("""COMPUTED_VALUE"""),7025.0)</f>
        <v>7025</v>
      </c>
      <c r="D784" s="5">
        <f>IFERROR(__xludf.DUMMYFUNCTION("""COMPUTED_VALUE"""),6875.0)</f>
        <v>6875</v>
      </c>
      <c r="E784" s="5">
        <f>IFERROR(__xludf.DUMMYFUNCTION("""COMPUTED_VALUE"""),6925.0)</f>
        <v>6925</v>
      </c>
      <c r="F784" s="5">
        <f>IFERROR(__xludf.DUMMYFUNCTION("""COMPUTED_VALUE"""),8277200.0)</f>
        <v>8277200</v>
      </c>
      <c r="G784" s="5">
        <f t="shared" si="1"/>
        <v>150</v>
      </c>
    </row>
    <row r="785">
      <c r="A785" s="4">
        <f>IFERROR(__xludf.DUMMYFUNCTION("""COMPUTED_VALUE"""),44995.66666666667)</f>
        <v>44995.66667</v>
      </c>
      <c r="B785" s="5">
        <f>IFERROR(__xludf.DUMMYFUNCTION("""COMPUTED_VALUE"""),6900.0)</f>
        <v>6900</v>
      </c>
      <c r="C785" s="5">
        <f>IFERROR(__xludf.DUMMYFUNCTION("""COMPUTED_VALUE"""),6950.0)</f>
        <v>6950</v>
      </c>
      <c r="D785" s="5">
        <f>IFERROR(__xludf.DUMMYFUNCTION("""COMPUTED_VALUE"""),6750.0)</f>
        <v>6750</v>
      </c>
      <c r="E785" s="5">
        <f>IFERROR(__xludf.DUMMYFUNCTION("""COMPUTED_VALUE"""),6775.0)</f>
        <v>6775</v>
      </c>
      <c r="F785" s="5">
        <f>IFERROR(__xludf.DUMMYFUNCTION("""COMPUTED_VALUE"""),1.07187E7)</f>
        <v>10718700</v>
      </c>
      <c r="G785" s="5">
        <f t="shared" si="1"/>
        <v>200</v>
      </c>
    </row>
    <row r="786">
      <c r="A786" s="4">
        <f>IFERROR(__xludf.DUMMYFUNCTION("""COMPUTED_VALUE"""),44998.66666666667)</f>
        <v>44998.66667</v>
      </c>
      <c r="B786" s="5">
        <f>IFERROR(__xludf.DUMMYFUNCTION("""COMPUTED_VALUE"""),6750.0)</f>
        <v>6750</v>
      </c>
      <c r="C786" s="5">
        <f>IFERROR(__xludf.DUMMYFUNCTION("""COMPUTED_VALUE"""),6750.0)</f>
        <v>6750</v>
      </c>
      <c r="D786" s="5">
        <f>IFERROR(__xludf.DUMMYFUNCTION("""COMPUTED_VALUE"""),6600.0)</f>
        <v>6600</v>
      </c>
      <c r="E786" s="5">
        <f>IFERROR(__xludf.DUMMYFUNCTION("""COMPUTED_VALUE"""),6625.0)</f>
        <v>6625</v>
      </c>
      <c r="F786" s="5">
        <f>IFERROR(__xludf.DUMMYFUNCTION("""COMPUTED_VALUE"""),1.21261E7)</f>
        <v>12126100</v>
      </c>
      <c r="G786" s="5">
        <f t="shared" si="1"/>
        <v>175</v>
      </c>
    </row>
    <row r="787">
      <c r="A787" s="4">
        <f>IFERROR(__xludf.DUMMYFUNCTION("""COMPUTED_VALUE"""),44999.66666666667)</f>
        <v>44999.66667</v>
      </c>
      <c r="B787" s="5">
        <f>IFERROR(__xludf.DUMMYFUNCTION("""COMPUTED_VALUE"""),6600.0)</f>
        <v>6600</v>
      </c>
      <c r="C787" s="5">
        <f>IFERROR(__xludf.DUMMYFUNCTION("""COMPUTED_VALUE"""),6725.0)</f>
        <v>6725</v>
      </c>
      <c r="D787" s="5">
        <f>IFERROR(__xludf.DUMMYFUNCTION("""COMPUTED_VALUE"""),6550.0)</f>
        <v>6550</v>
      </c>
      <c r="E787" s="5">
        <f>IFERROR(__xludf.DUMMYFUNCTION("""COMPUTED_VALUE"""),6575.0)</f>
        <v>6575</v>
      </c>
      <c r="F787" s="5">
        <f>IFERROR(__xludf.DUMMYFUNCTION("""COMPUTED_VALUE"""),8648200.0)</f>
        <v>8648200</v>
      </c>
      <c r="G787" s="5">
        <f t="shared" si="1"/>
        <v>175</v>
      </c>
    </row>
    <row r="788">
      <c r="A788" s="4">
        <f>IFERROR(__xludf.DUMMYFUNCTION("""COMPUTED_VALUE"""),45000.66666666667)</f>
        <v>45000.66667</v>
      </c>
      <c r="B788" s="5">
        <f>IFERROR(__xludf.DUMMYFUNCTION("""COMPUTED_VALUE"""),6625.0)</f>
        <v>6625</v>
      </c>
      <c r="C788" s="5">
        <f>IFERROR(__xludf.DUMMYFUNCTION("""COMPUTED_VALUE"""),6700.0)</f>
        <v>6700</v>
      </c>
      <c r="D788" s="5">
        <f>IFERROR(__xludf.DUMMYFUNCTION("""COMPUTED_VALUE"""),6125.0)</f>
        <v>6125</v>
      </c>
      <c r="E788" s="5">
        <f>IFERROR(__xludf.DUMMYFUNCTION("""COMPUTED_VALUE"""),6175.0)</f>
        <v>6175</v>
      </c>
      <c r="F788" s="5">
        <f>IFERROR(__xludf.DUMMYFUNCTION("""COMPUTED_VALUE"""),3.29999E7)</f>
        <v>32999900</v>
      </c>
      <c r="G788" s="5">
        <f t="shared" si="1"/>
        <v>575</v>
      </c>
    </row>
    <row r="789">
      <c r="A789" s="4">
        <f>IFERROR(__xludf.DUMMYFUNCTION("""COMPUTED_VALUE"""),45001.66666666667)</f>
        <v>45001.66667</v>
      </c>
      <c r="B789" s="5">
        <f>IFERROR(__xludf.DUMMYFUNCTION("""COMPUTED_VALUE"""),6100.0)</f>
        <v>6100</v>
      </c>
      <c r="C789" s="5">
        <f>IFERROR(__xludf.DUMMYFUNCTION("""COMPUTED_VALUE"""),6100.0)</f>
        <v>6100</v>
      </c>
      <c r="D789" s="5">
        <f>IFERROR(__xludf.DUMMYFUNCTION("""COMPUTED_VALUE"""),5850.0)</f>
        <v>5850</v>
      </c>
      <c r="E789" s="5">
        <f>IFERROR(__xludf.DUMMYFUNCTION("""COMPUTED_VALUE"""),6000.0)</f>
        <v>6000</v>
      </c>
      <c r="F789" s="5">
        <f>IFERROR(__xludf.DUMMYFUNCTION("""COMPUTED_VALUE"""),2.22849E7)</f>
        <v>22284900</v>
      </c>
      <c r="G789" s="5">
        <f t="shared" si="1"/>
        <v>325</v>
      </c>
    </row>
    <row r="790">
      <c r="A790" s="4">
        <f>IFERROR(__xludf.DUMMYFUNCTION("""COMPUTED_VALUE"""),45002.66666666667)</f>
        <v>45002.66667</v>
      </c>
      <c r="B790" s="5">
        <f>IFERROR(__xludf.DUMMYFUNCTION("""COMPUTED_VALUE"""),6000.0)</f>
        <v>6000</v>
      </c>
      <c r="C790" s="5">
        <f>IFERROR(__xludf.DUMMYFUNCTION("""COMPUTED_VALUE"""),6100.0)</f>
        <v>6100</v>
      </c>
      <c r="D790" s="5">
        <f>IFERROR(__xludf.DUMMYFUNCTION("""COMPUTED_VALUE"""),5950.0)</f>
        <v>5950</v>
      </c>
      <c r="E790" s="5">
        <f>IFERROR(__xludf.DUMMYFUNCTION("""COMPUTED_VALUE"""),6100.0)</f>
        <v>6100</v>
      </c>
      <c r="F790" s="5">
        <f>IFERROR(__xludf.DUMMYFUNCTION("""COMPUTED_VALUE"""),2.00199E7)</f>
        <v>20019900</v>
      </c>
      <c r="G790" s="5">
        <f t="shared" si="1"/>
        <v>150</v>
      </c>
    </row>
    <row r="791">
      <c r="A791" s="4">
        <f>IFERROR(__xludf.DUMMYFUNCTION("""COMPUTED_VALUE"""),45005.66666666667)</f>
        <v>45005.66667</v>
      </c>
      <c r="B791" s="5">
        <f>IFERROR(__xludf.DUMMYFUNCTION("""COMPUTED_VALUE"""),6100.0)</f>
        <v>6100</v>
      </c>
      <c r="C791" s="5">
        <f>IFERROR(__xludf.DUMMYFUNCTION("""COMPUTED_VALUE"""),6150.0)</f>
        <v>6150</v>
      </c>
      <c r="D791" s="5">
        <f>IFERROR(__xludf.DUMMYFUNCTION("""COMPUTED_VALUE"""),6000.0)</f>
        <v>6000</v>
      </c>
      <c r="E791" s="5">
        <f>IFERROR(__xludf.DUMMYFUNCTION("""COMPUTED_VALUE"""),6075.0)</f>
        <v>6075</v>
      </c>
      <c r="F791" s="5">
        <f>IFERROR(__xludf.DUMMYFUNCTION("""COMPUTED_VALUE"""),8541800.0)</f>
        <v>8541800</v>
      </c>
      <c r="G791" s="5">
        <f t="shared" si="1"/>
        <v>150</v>
      </c>
    </row>
    <row r="792">
      <c r="A792" s="4">
        <f>IFERROR(__xludf.DUMMYFUNCTION("""COMPUTED_VALUE"""),45006.66666666667)</f>
        <v>45006.66667</v>
      </c>
      <c r="B792" s="5">
        <f>IFERROR(__xludf.DUMMYFUNCTION("""COMPUTED_VALUE"""),6125.0)</f>
        <v>6125</v>
      </c>
      <c r="C792" s="5">
        <f>IFERROR(__xludf.DUMMYFUNCTION("""COMPUTED_VALUE"""),6275.0)</f>
        <v>6275</v>
      </c>
      <c r="D792" s="5">
        <f>IFERROR(__xludf.DUMMYFUNCTION("""COMPUTED_VALUE"""),6075.0)</f>
        <v>6075</v>
      </c>
      <c r="E792" s="5">
        <f>IFERROR(__xludf.DUMMYFUNCTION("""COMPUTED_VALUE"""),6250.0)</f>
        <v>6250</v>
      </c>
      <c r="F792" s="5">
        <f>IFERROR(__xludf.DUMMYFUNCTION("""COMPUTED_VALUE"""),1.08725E7)</f>
        <v>10872500</v>
      </c>
      <c r="G792" s="5">
        <f t="shared" si="1"/>
        <v>200</v>
      </c>
    </row>
    <row r="793">
      <c r="A793" s="4">
        <f>IFERROR(__xludf.DUMMYFUNCTION("""COMPUTED_VALUE"""),45009.66666666667)</f>
        <v>45009.66667</v>
      </c>
      <c r="B793" s="5">
        <f>IFERROR(__xludf.DUMMYFUNCTION("""COMPUTED_VALUE"""),6275.0)</f>
        <v>6275</v>
      </c>
      <c r="C793" s="5">
        <f>IFERROR(__xludf.DUMMYFUNCTION("""COMPUTED_VALUE"""),6375.0)</f>
        <v>6375</v>
      </c>
      <c r="D793" s="5">
        <f>IFERROR(__xludf.DUMMYFUNCTION("""COMPUTED_VALUE"""),6200.0)</f>
        <v>6200</v>
      </c>
      <c r="E793" s="5">
        <f>IFERROR(__xludf.DUMMYFUNCTION("""COMPUTED_VALUE"""),6300.0)</f>
        <v>6300</v>
      </c>
      <c r="F793" s="5">
        <f>IFERROR(__xludf.DUMMYFUNCTION("""COMPUTED_VALUE"""),1.17932E7)</f>
        <v>11793200</v>
      </c>
      <c r="G793" s="5">
        <f t="shared" si="1"/>
        <v>175</v>
      </c>
    </row>
    <row r="794">
      <c r="A794" s="4">
        <f>IFERROR(__xludf.DUMMYFUNCTION("""COMPUTED_VALUE"""),45012.66666666667)</f>
        <v>45012.66667</v>
      </c>
      <c r="B794" s="5">
        <f>IFERROR(__xludf.DUMMYFUNCTION("""COMPUTED_VALUE"""),6325.0)</f>
        <v>6325</v>
      </c>
      <c r="C794" s="5">
        <f>IFERROR(__xludf.DUMMYFUNCTION("""COMPUTED_VALUE"""),6325.0)</f>
        <v>6325</v>
      </c>
      <c r="D794" s="5">
        <f>IFERROR(__xludf.DUMMYFUNCTION("""COMPUTED_VALUE"""),6225.0)</f>
        <v>6225</v>
      </c>
      <c r="E794" s="5">
        <f>IFERROR(__xludf.DUMMYFUNCTION("""COMPUTED_VALUE"""),6250.0)</f>
        <v>6250</v>
      </c>
      <c r="F794" s="5">
        <f>IFERROR(__xludf.DUMMYFUNCTION("""COMPUTED_VALUE"""),4664600.0)</f>
        <v>4664600</v>
      </c>
      <c r="G794" s="5">
        <f t="shared" si="1"/>
        <v>100</v>
      </c>
    </row>
    <row r="795">
      <c r="A795" s="4">
        <f>IFERROR(__xludf.DUMMYFUNCTION("""COMPUTED_VALUE"""),45013.66666666667)</f>
        <v>45013.66667</v>
      </c>
      <c r="B795" s="5">
        <f>IFERROR(__xludf.DUMMYFUNCTION("""COMPUTED_VALUE"""),6325.0)</f>
        <v>6325</v>
      </c>
      <c r="C795" s="5">
        <f>IFERROR(__xludf.DUMMYFUNCTION("""COMPUTED_VALUE"""),6475.0)</f>
        <v>6475</v>
      </c>
      <c r="D795" s="5">
        <f>IFERROR(__xludf.DUMMYFUNCTION("""COMPUTED_VALUE"""),6300.0)</f>
        <v>6300</v>
      </c>
      <c r="E795" s="5">
        <f>IFERROR(__xludf.DUMMYFUNCTION("""COMPUTED_VALUE"""),6375.0)</f>
        <v>6375</v>
      </c>
      <c r="F795" s="5">
        <f>IFERROR(__xludf.DUMMYFUNCTION("""COMPUTED_VALUE"""),6044200.0)</f>
        <v>6044200</v>
      </c>
      <c r="G795" s="5">
        <f t="shared" si="1"/>
        <v>225</v>
      </c>
    </row>
    <row r="796">
      <c r="A796" s="4">
        <f>IFERROR(__xludf.DUMMYFUNCTION("""COMPUTED_VALUE"""),45014.66666666667)</f>
        <v>45014.66667</v>
      </c>
      <c r="B796" s="5">
        <f>IFERROR(__xludf.DUMMYFUNCTION("""COMPUTED_VALUE"""),6400.0)</f>
        <v>6400</v>
      </c>
      <c r="C796" s="5">
        <f>IFERROR(__xludf.DUMMYFUNCTION("""COMPUTED_VALUE"""),6475.0)</f>
        <v>6475</v>
      </c>
      <c r="D796" s="5">
        <f>IFERROR(__xludf.DUMMYFUNCTION("""COMPUTED_VALUE"""),6350.0)</f>
        <v>6350</v>
      </c>
      <c r="E796" s="5">
        <f>IFERROR(__xludf.DUMMYFUNCTION("""COMPUTED_VALUE"""),6375.0)</f>
        <v>6375</v>
      </c>
      <c r="F796" s="5">
        <f>IFERROR(__xludf.DUMMYFUNCTION("""COMPUTED_VALUE"""),6110800.0)</f>
        <v>6110800</v>
      </c>
      <c r="G796" s="5">
        <f t="shared" si="1"/>
        <v>125</v>
      </c>
    </row>
    <row r="797">
      <c r="A797" s="4">
        <f>IFERROR(__xludf.DUMMYFUNCTION("""COMPUTED_VALUE"""),45015.66666666667)</f>
        <v>45015.66667</v>
      </c>
      <c r="B797" s="5">
        <f>IFERROR(__xludf.DUMMYFUNCTION("""COMPUTED_VALUE"""),6375.0)</f>
        <v>6375</v>
      </c>
      <c r="C797" s="5">
        <f>IFERROR(__xludf.DUMMYFUNCTION("""COMPUTED_VALUE"""),6450.0)</f>
        <v>6450</v>
      </c>
      <c r="D797" s="5">
        <f>IFERROR(__xludf.DUMMYFUNCTION("""COMPUTED_VALUE"""),6350.0)</f>
        <v>6350</v>
      </c>
      <c r="E797" s="5">
        <f>IFERROR(__xludf.DUMMYFUNCTION("""COMPUTED_VALUE"""),6375.0)</f>
        <v>6375</v>
      </c>
      <c r="F797" s="5">
        <f>IFERROR(__xludf.DUMMYFUNCTION("""COMPUTED_VALUE"""),4799200.0)</f>
        <v>4799200</v>
      </c>
      <c r="G797" s="5">
        <f t="shared" si="1"/>
        <v>100</v>
      </c>
    </row>
    <row r="798">
      <c r="A798" s="4">
        <f>IFERROR(__xludf.DUMMYFUNCTION("""COMPUTED_VALUE"""),45016.66666666667)</f>
        <v>45016.66667</v>
      </c>
      <c r="B798" s="5">
        <f>IFERROR(__xludf.DUMMYFUNCTION("""COMPUTED_VALUE"""),6400.0)</f>
        <v>6400</v>
      </c>
      <c r="C798" s="5">
        <f>IFERROR(__xludf.DUMMYFUNCTION("""COMPUTED_VALUE"""),6450.0)</f>
        <v>6450</v>
      </c>
      <c r="D798" s="5">
        <f>IFERROR(__xludf.DUMMYFUNCTION("""COMPUTED_VALUE"""),6300.0)</f>
        <v>6300</v>
      </c>
      <c r="E798" s="5">
        <f>IFERROR(__xludf.DUMMYFUNCTION("""COMPUTED_VALUE"""),6300.0)</f>
        <v>6300</v>
      </c>
      <c r="F798" s="5">
        <f>IFERROR(__xludf.DUMMYFUNCTION("""COMPUTED_VALUE"""),7199600.0)</f>
        <v>7199600</v>
      </c>
      <c r="G798" s="5">
        <f t="shared" si="1"/>
        <v>150</v>
      </c>
    </row>
    <row r="799">
      <c r="A799" s="4">
        <f>IFERROR(__xludf.DUMMYFUNCTION("""COMPUTED_VALUE"""),45019.66666666667)</f>
        <v>45019.66667</v>
      </c>
      <c r="B799" s="5">
        <f>IFERROR(__xludf.DUMMYFUNCTION("""COMPUTED_VALUE"""),6300.0)</f>
        <v>6300</v>
      </c>
      <c r="C799" s="5">
        <f>IFERROR(__xludf.DUMMYFUNCTION("""COMPUTED_VALUE"""),6375.0)</f>
        <v>6375</v>
      </c>
      <c r="D799" s="5">
        <f>IFERROR(__xludf.DUMMYFUNCTION("""COMPUTED_VALUE"""),6250.0)</f>
        <v>6250</v>
      </c>
      <c r="E799" s="5">
        <f>IFERROR(__xludf.DUMMYFUNCTION("""COMPUTED_VALUE"""),6350.0)</f>
        <v>6350</v>
      </c>
      <c r="F799" s="5">
        <f>IFERROR(__xludf.DUMMYFUNCTION("""COMPUTED_VALUE"""),4342200.0)</f>
        <v>4342200</v>
      </c>
      <c r="G799" s="5">
        <f t="shared" si="1"/>
        <v>125</v>
      </c>
    </row>
    <row r="800">
      <c r="A800" s="4">
        <f>IFERROR(__xludf.DUMMYFUNCTION("""COMPUTED_VALUE"""),45020.66666666667)</f>
        <v>45020.66667</v>
      </c>
      <c r="B800" s="5">
        <f>IFERROR(__xludf.DUMMYFUNCTION("""COMPUTED_VALUE"""),6350.0)</f>
        <v>6350</v>
      </c>
      <c r="C800" s="5">
        <f>IFERROR(__xludf.DUMMYFUNCTION("""COMPUTED_VALUE"""),6375.0)</f>
        <v>6375</v>
      </c>
      <c r="D800" s="5">
        <f>IFERROR(__xludf.DUMMYFUNCTION("""COMPUTED_VALUE"""),6225.0)</f>
        <v>6225</v>
      </c>
      <c r="E800" s="5">
        <f>IFERROR(__xludf.DUMMYFUNCTION("""COMPUTED_VALUE"""),6375.0)</f>
        <v>6375</v>
      </c>
      <c r="F800" s="5">
        <f>IFERROR(__xludf.DUMMYFUNCTION("""COMPUTED_VALUE"""),7546300.0)</f>
        <v>7546300</v>
      </c>
      <c r="G800" s="5">
        <f t="shared" si="1"/>
        <v>150</v>
      </c>
    </row>
    <row r="801">
      <c r="A801" s="4">
        <f>IFERROR(__xludf.DUMMYFUNCTION("""COMPUTED_VALUE"""),45021.66666666667)</f>
        <v>45021.66667</v>
      </c>
      <c r="B801" s="5">
        <f>IFERROR(__xludf.DUMMYFUNCTION("""COMPUTED_VALUE"""),6375.0)</f>
        <v>6375</v>
      </c>
      <c r="C801" s="5">
        <f>IFERROR(__xludf.DUMMYFUNCTION("""COMPUTED_VALUE"""),6375.0)</f>
        <v>6375</v>
      </c>
      <c r="D801" s="5">
        <f>IFERROR(__xludf.DUMMYFUNCTION("""COMPUTED_VALUE"""),6000.0)</f>
        <v>6000</v>
      </c>
      <c r="E801" s="5">
        <f>IFERROR(__xludf.DUMMYFUNCTION("""COMPUTED_VALUE"""),6025.0)</f>
        <v>6025</v>
      </c>
      <c r="F801" s="5">
        <f>IFERROR(__xludf.DUMMYFUNCTION("""COMPUTED_VALUE"""),2.80523E7)</f>
        <v>28052300</v>
      </c>
      <c r="G801" s="5">
        <f t="shared" si="1"/>
        <v>375</v>
      </c>
    </row>
    <row r="802">
      <c r="A802" s="4">
        <f>IFERROR(__xludf.DUMMYFUNCTION("""COMPUTED_VALUE"""),45022.66666666667)</f>
        <v>45022.66667</v>
      </c>
      <c r="B802" s="5">
        <f>IFERROR(__xludf.DUMMYFUNCTION("""COMPUTED_VALUE"""),6075.0)</f>
        <v>6075</v>
      </c>
      <c r="C802" s="5">
        <f>IFERROR(__xludf.DUMMYFUNCTION("""COMPUTED_VALUE"""),6125.0)</f>
        <v>6125</v>
      </c>
      <c r="D802" s="5">
        <f>IFERROR(__xludf.DUMMYFUNCTION("""COMPUTED_VALUE"""),6000.0)</f>
        <v>6000</v>
      </c>
      <c r="E802" s="5">
        <f>IFERROR(__xludf.DUMMYFUNCTION("""COMPUTED_VALUE"""),6025.0)</f>
        <v>6025</v>
      </c>
      <c r="F802" s="5">
        <f>IFERROR(__xludf.DUMMYFUNCTION("""COMPUTED_VALUE"""),1.47614E7)</f>
        <v>14761400</v>
      </c>
      <c r="G802" s="5">
        <f t="shared" si="1"/>
        <v>125</v>
      </c>
    </row>
    <row r="803">
      <c r="A803" s="4">
        <f>IFERROR(__xludf.DUMMYFUNCTION("""COMPUTED_VALUE"""),45026.66666666667)</f>
        <v>45026.66667</v>
      </c>
      <c r="B803" s="5">
        <f>IFERROR(__xludf.DUMMYFUNCTION("""COMPUTED_VALUE"""),6025.0)</f>
        <v>6025</v>
      </c>
      <c r="C803" s="5">
        <f>IFERROR(__xludf.DUMMYFUNCTION("""COMPUTED_VALUE"""),6100.0)</f>
        <v>6100</v>
      </c>
      <c r="D803" s="5">
        <f>IFERROR(__xludf.DUMMYFUNCTION("""COMPUTED_VALUE"""),6025.0)</f>
        <v>6025</v>
      </c>
      <c r="E803" s="5">
        <f>IFERROR(__xludf.DUMMYFUNCTION("""COMPUTED_VALUE"""),6050.0)</f>
        <v>6050</v>
      </c>
      <c r="F803" s="5">
        <f>IFERROR(__xludf.DUMMYFUNCTION("""COMPUTED_VALUE"""),7172600.0)</f>
        <v>7172600</v>
      </c>
      <c r="G803" s="5">
        <f t="shared" si="1"/>
        <v>75</v>
      </c>
    </row>
    <row r="804">
      <c r="A804" s="4">
        <f>IFERROR(__xludf.DUMMYFUNCTION("""COMPUTED_VALUE"""),45027.66666666667)</f>
        <v>45027.66667</v>
      </c>
      <c r="B804" s="5">
        <f>IFERROR(__xludf.DUMMYFUNCTION("""COMPUTED_VALUE"""),6050.0)</f>
        <v>6050</v>
      </c>
      <c r="C804" s="5">
        <f>IFERROR(__xludf.DUMMYFUNCTION("""COMPUTED_VALUE"""),6175.0)</f>
        <v>6175</v>
      </c>
      <c r="D804" s="5">
        <f>IFERROR(__xludf.DUMMYFUNCTION("""COMPUTED_VALUE"""),6050.0)</f>
        <v>6050</v>
      </c>
      <c r="E804" s="5">
        <f>IFERROR(__xludf.DUMMYFUNCTION("""COMPUTED_VALUE"""),6150.0)</f>
        <v>6150</v>
      </c>
      <c r="F804" s="5">
        <f>IFERROR(__xludf.DUMMYFUNCTION("""COMPUTED_VALUE"""),1.12003E7)</f>
        <v>11200300</v>
      </c>
      <c r="G804" s="5">
        <f t="shared" si="1"/>
        <v>125</v>
      </c>
    </row>
    <row r="805">
      <c r="A805" s="4">
        <f>IFERROR(__xludf.DUMMYFUNCTION("""COMPUTED_VALUE"""),45028.66666666667)</f>
        <v>45028.66667</v>
      </c>
      <c r="B805" s="5">
        <f>IFERROR(__xludf.DUMMYFUNCTION("""COMPUTED_VALUE"""),6175.0)</f>
        <v>6175</v>
      </c>
      <c r="C805" s="5">
        <f>IFERROR(__xludf.DUMMYFUNCTION("""COMPUTED_VALUE"""),6250.0)</f>
        <v>6250</v>
      </c>
      <c r="D805" s="5">
        <f>IFERROR(__xludf.DUMMYFUNCTION("""COMPUTED_VALUE"""),6075.0)</f>
        <v>6075</v>
      </c>
      <c r="E805" s="5">
        <f>IFERROR(__xludf.DUMMYFUNCTION("""COMPUTED_VALUE"""),6200.0)</f>
        <v>6200</v>
      </c>
      <c r="F805" s="5">
        <f>IFERROR(__xludf.DUMMYFUNCTION("""COMPUTED_VALUE"""),1.06737E7)</f>
        <v>10673700</v>
      </c>
      <c r="G805" s="5">
        <f t="shared" si="1"/>
        <v>175</v>
      </c>
    </row>
    <row r="806">
      <c r="A806" s="4">
        <f>IFERROR(__xludf.DUMMYFUNCTION("""COMPUTED_VALUE"""),45029.66666666667)</f>
        <v>45029.66667</v>
      </c>
      <c r="B806" s="5">
        <f>IFERROR(__xludf.DUMMYFUNCTION("""COMPUTED_VALUE"""),6200.0)</f>
        <v>6200</v>
      </c>
      <c r="C806" s="5">
        <f>IFERROR(__xludf.DUMMYFUNCTION("""COMPUTED_VALUE"""),6250.0)</f>
        <v>6250</v>
      </c>
      <c r="D806" s="5">
        <f>IFERROR(__xludf.DUMMYFUNCTION("""COMPUTED_VALUE"""),6100.0)</f>
        <v>6100</v>
      </c>
      <c r="E806" s="5">
        <f>IFERROR(__xludf.DUMMYFUNCTION("""COMPUTED_VALUE"""),6100.0)</f>
        <v>6100</v>
      </c>
      <c r="F806" s="5">
        <f>IFERROR(__xludf.DUMMYFUNCTION("""COMPUTED_VALUE"""),5257700.0)</f>
        <v>5257700</v>
      </c>
      <c r="G806" s="5">
        <f t="shared" si="1"/>
        <v>150</v>
      </c>
    </row>
    <row r="807">
      <c r="A807" s="4">
        <f>IFERROR(__xludf.DUMMYFUNCTION("""COMPUTED_VALUE"""),45030.66666666667)</f>
        <v>45030.66667</v>
      </c>
      <c r="B807" s="5">
        <f>IFERROR(__xludf.DUMMYFUNCTION("""COMPUTED_VALUE"""),6125.0)</f>
        <v>6125</v>
      </c>
      <c r="C807" s="5">
        <f>IFERROR(__xludf.DUMMYFUNCTION("""COMPUTED_VALUE"""),6200.0)</f>
        <v>6200</v>
      </c>
      <c r="D807" s="5">
        <f>IFERROR(__xludf.DUMMYFUNCTION("""COMPUTED_VALUE"""),6100.0)</f>
        <v>6100</v>
      </c>
      <c r="E807" s="5">
        <f>IFERROR(__xludf.DUMMYFUNCTION("""COMPUTED_VALUE"""),6125.0)</f>
        <v>6125</v>
      </c>
      <c r="F807" s="5">
        <f>IFERROR(__xludf.DUMMYFUNCTION("""COMPUTED_VALUE"""),7014500.0)</f>
        <v>7014500</v>
      </c>
      <c r="G807" s="5">
        <f t="shared" si="1"/>
        <v>100</v>
      </c>
    </row>
    <row r="808">
      <c r="A808" s="4">
        <f>IFERROR(__xludf.DUMMYFUNCTION("""COMPUTED_VALUE"""),45033.66666666667)</f>
        <v>45033.66667</v>
      </c>
      <c r="B808" s="5">
        <f>IFERROR(__xludf.DUMMYFUNCTION("""COMPUTED_VALUE"""),6125.0)</f>
        <v>6125</v>
      </c>
      <c r="C808" s="5">
        <f>IFERROR(__xludf.DUMMYFUNCTION("""COMPUTED_VALUE"""),6175.0)</f>
        <v>6175</v>
      </c>
      <c r="D808" s="5">
        <f>IFERROR(__xludf.DUMMYFUNCTION("""COMPUTED_VALUE"""),6000.0)</f>
        <v>6000</v>
      </c>
      <c r="E808" s="5">
        <f>IFERROR(__xludf.DUMMYFUNCTION("""COMPUTED_VALUE"""),6050.0)</f>
        <v>6050</v>
      </c>
      <c r="F808" s="5">
        <f>IFERROR(__xludf.DUMMYFUNCTION("""COMPUTED_VALUE"""),1.25474E7)</f>
        <v>12547400</v>
      </c>
      <c r="G808" s="5">
        <f t="shared" si="1"/>
        <v>175</v>
      </c>
    </row>
    <row r="809">
      <c r="A809" s="4">
        <f>IFERROR(__xludf.DUMMYFUNCTION("""COMPUTED_VALUE"""),45034.66666666667)</f>
        <v>45034.66667</v>
      </c>
      <c r="B809" s="5">
        <f>IFERROR(__xludf.DUMMYFUNCTION("""COMPUTED_VALUE"""),6100.0)</f>
        <v>6100</v>
      </c>
      <c r="C809" s="5">
        <f>IFERROR(__xludf.DUMMYFUNCTION("""COMPUTED_VALUE"""),6125.0)</f>
        <v>6125</v>
      </c>
      <c r="D809" s="5">
        <f>IFERROR(__xludf.DUMMYFUNCTION("""COMPUTED_VALUE"""),6025.0)</f>
        <v>6025</v>
      </c>
      <c r="E809" s="5">
        <f>IFERROR(__xludf.DUMMYFUNCTION("""COMPUTED_VALUE"""),6025.0)</f>
        <v>6025</v>
      </c>
      <c r="F809" s="5">
        <f>IFERROR(__xludf.DUMMYFUNCTION("""COMPUTED_VALUE"""),1.27592E7)</f>
        <v>12759200</v>
      </c>
      <c r="G809" s="5">
        <f t="shared" si="1"/>
        <v>100</v>
      </c>
    </row>
    <row r="810">
      <c r="A810" s="4">
        <f>IFERROR(__xludf.DUMMYFUNCTION("""COMPUTED_VALUE"""),45042.66666666667)</f>
        <v>45042.66667</v>
      </c>
      <c r="B810" s="5">
        <f>IFERROR(__xludf.DUMMYFUNCTION("""COMPUTED_VALUE"""),6075.0)</f>
        <v>6075</v>
      </c>
      <c r="C810" s="5">
        <f>IFERROR(__xludf.DUMMYFUNCTION("""COMPUTED_VALUE"""),6075.0)</f>
        <v>6075</v>
      </c>
      <c r="D810" s="5">
        <f>IFERROR(__xludf.DUMMYFUNCTION("""COMPUTED_VALUE"""),5950.0)</f>
        <v>5950</v>
      </c>
      <c r="E810" s="5">
        <f>IFERROR(__xludf.DUMMYFUNCTION("""COMPUTED_VALUE"""),6025.0)</f>
        <v>6025</v>
      </c>
      <c r="F810" s="5">
        <f>IFERROR(__xludf.DUMMYFUNCTION("""COMPUTED_VALUE"""),1.68616E7)</f>
        <v>16861600</v>
      </c>
      <c r="G810" s="5">
        <f t="shared" si="1"/>
        <v>125</v>
      </c>
    </row>
    <row r="811">
      <c r="A811" s="4">
        <f>IFERROR(__xludf.DUMMYFUNCTION("""COMPUTED_VALUE"""),45043.66666666667)</f>
        <v>45043.66667</v>
      </c>
      <c r="B811" s="5">
        <f>IFERROR(__xludf.DUMMYFUNCTION("""COMPUTED_VALUE"""),6000.0)</f>
        <v>6000</v>
      </c>
      <c r="C811" s="5">
        <f>IFERROR(__xludf.DUMMYFUNCTION("""COMPUTED_VALUE"""),6100.0)</f>
        <v>6100</v>
      </c>
      <c r="D811" s="5">
        <f>IFERROR(__xludf.DUMMYFUNCTION("""COMPUTED_VALUE"""),6000.0)</f>
        <v>6000</v>
      </c>
      <c r="E811" s="5">
        <f>IFERROR(__xludf.DUMMYFUNCTION("""COMPUTED_VALUE"""),6025.0)</f>
        <v>6025</v>
      </c>
      <c r="F811" s="5">
        <f>IFERROR(__xludf.DUMMYFUNCTION("""COMPUTED_VALUE"""),1.45721E7)</f>
        <v>14572100</v>
      </c>
      <c r="G811" s="5">
        <f t="shared" si="1"/>
        <v>100</v>
      </c>
    </row>
    <row r="812">
      <c r="A812" s="4">
        <f>IFERROR(__xludf.DUMMYFUNCTION("""COMPUTED_VALUE"""),45044.66666666667)</f>
        <v>45044.66667</v>
      </c>
      <c r="B812" s="5">
        <f>IFERROR(__xludf.DUMMYFUNCTION("""COMPUTED_VALUE"""),6050.0)</f>
        <v>6050</v>
      </c>
      <c r="C812" s="5">
        <f>IFERROR(__xludf.DUMMYFUNCTION("""COMPUTED_VALUE"""),6075.0)</f>
        <v>6075</v>
      </c>
      <c r="D812" s="5">
        <f>IFERROR(__xludf.DUMMYFUNCTION("""COMPUTED_VALUE"""),5925.0)</f>
        <v>5925</v>
      </c>
      <c r="E812" s="5">
        <f>IFERROR(__xludf.DUMMYFUNCTION("""COMPUTED_VALUE"""),5950.0)</f>
        <v>5950</v>
      </c>
      <c r="F812" s="5">
        <f>IFERROR(__xludf.DUMMYFUNCTION("""COMPUTED_VALUE"""),2.1384E7)</f>
        <v>21384000</v>
      </c>
      <c r="G812" s="5">
        <f t="shared" si="1"/>
        <v>150</v>
      </c>
    </row>
    <row r="813">
      <c r="A813" s="4">
        <f>IFERROR(__xludf.DUMMYFUNCTION("""COMPUTED_VALUE"""),45048.66666666667)</f>
        <v>45048.66667</v>
      </c>
      <c r="B813" s="5">
        <f>IFERROR(__xludf.DUMMYFUNCTION("""COMPUTED_VALUE"""),5950.0)</f>
        <v>5950</v>
      </c>
      <c r="C813" s="5">
        <f>IFERROR(__xludf.DUMMYFUNCTION("""COMPUTED_VALUE"""),6000.0)</f>
        <v>6000</v>
      </c>
      <c r="D813" s="5">
        <f>IFERROR(__xludf.DUMMYFUNCTION("""COMPUTED_VALUE"""),5800.0)</f>
        <v>5800</v>
      </c>
      <c r="E813" s="5">
        <f>IFERROR(__xludf.DUMMYFUNCTION("""COMPUTED_VALUE"""),5875.0)</f>
        <v>5875</v>
      </c>
      <c r="F813" s="5">
        <f>IFERROR(__xludf.DUMMYFUNCTION("""COMPUTED_VALUE"""),2.4274E7)</f>
        <v>24274000</v>
      </c>
      <c r="G813" s="5">
        <f t="shared" si="1"/>
        <v>200</v>
      </c>
    </row>
    <row r="814">
      <c r="A814" s="4">
        <f>IFERROR(__xludf.DUMMYFUNCTION("""COMPUTED_VALUE"""),45049.66666666667)</f>
        <v>45049.66667</v>
      </c>
      <c r="B814" s="5">
        <f>IFERROR(__xludf.DUMMYFUNCTION("""COMPUTED_VALUE"""),5875.0)</f>
        <v>5875</v>
      </c>
      <c r="C814" s="5">
        <f>IFERROR(__xludf.DUMMYFUNCTION("""COMPUTED_VALUE"""),5950.0)</f>
        <v>5950</v>
      </c>
      <c r="D814" s="5">
        <f>IFERROR(__xludf.DUMMYFUNCTION("""COMPUTED_VALUE"""),5800.0)</f>
        <v>5800</v>
      </c>
      <c r="E814" s="5">
        <f>IFERROR(__xludf.DUMMYFUNCTION("""COMPUTED_VALUE"""),5850.0)</f>
        <v>5850</v>
      </c>
      <c r="F814" s="5">
        <f>IFERROR(__xludf.DUMMYFUNCTION("""COMPUTED_VALUE"""),2.13418E7)</f>
        <v>21341800</v>
      </c>
      <c r="G814" s="5">
        <f t="shared" si="1"/>
        <v>150</v>
      </c>
    </row>
    <row r="815">
      <c r="A815" s="4">
        <f>IFERROR(__xludf.DUMMYFUNCTION("""COMPUTED_VALUE"""),45050.66666666667)</f>
        <v>45050.66667</v>
      </c>
      <c r="B815" s="5">
        <f>IFERROR(__xludf.DUMMYFUNCTION("""COMPUTED_VALUE"""),5700.0)</f>
        <v>5700</v>
      </c>
      <c r="C815" s="5">
        <f>IFERROR(__xludf.DUMMYFUNCTION("""COMPUTED_VALUE"""),5825.0)</f>
        <v>5825</v>
      </c>
      <c r="D815" s="5">
        <f>IFERROR(__xludf.DUMMYFUNCTION("""COMPUTED_VALUE"""),5650.0)</f>
        <v>5650</v>
      </c>
      <c r="E815" s="5">
        <f>IFERROR(__xludf.DUMMYFUNCTION("""COMPUTED_VALUE"""),5800.0)</f>
        <v>5800</v>
      </c>
      <c r="F815" s="5">
        <f>IFERROR(__xludf.DUMMYFUNCTION("""COMPUTED_VALUE"""),1.996E7)</f>
        <v>19960000</v>
      </c>
      <c r="G815" s="5">
        <f t="shared" si="1"/>
        <v>200</v>
      </c>
    </row>
    <row r="816">
      <c r="A816" s="4">
        <f>IFERROR(__xludf.DUMMYFUNCTION("""COMPUTED_VALUE"""),45051.66666666667)</f>
        <v>45051.66667</v>
      </c>
      <c r="B816" s="5">
        <f>IFERROR(__xludf.DUMMYFUNCTION("""COMPUTED_VALUE"""),5800.0)</f>
        <v>5800</v>
      </c>
      <c r="C816" s="5">
        <f>IFERROR(__xludf.DUMMYFUNCTION("""COMPUTED_VALUE"""),5800.0)</f>
        <v>5800</v>
      </c>
      <c r="D816" s="5">
        <f>IFERROR(__xludf.DUMMYFUNCTION("""COMPUTED_VALUE"""),5625.0)</f>
        <v>5625</v>
      </c>
      <c r="E816" s="5">
        <f>IFERROR(__xludf.DUMMYFUNCTION("""COMPUTED_VALUE"""),5700.0)</f>
        <v>5700</v>
      </c>
      <c r="F816" s="5">
        <f>IFERROR(__xludf.DUMMYFUNCTION("""COMPUTED_VALUE"""),1.6448E7)</f>
        <v>16448000</v>
      </c>
      <c r="G816" s="5">
        <f t="shared" si="1"/>
        <v>175</v>
      </c>
    </row>
    <row r="817">
      <c r="A817" s="4">
        <f>IFERROR(__xludf.DUMMYFUNCTION("""COMPUTED_VALUE"""),45054.66666666667)</f>
        <v>45054.66667</v>
      </c>
      <c r="B817" s="5">
        <f>IFERROR(__xludf.DUMMYFUNCTION("""COMPUTED_VALUE"""),5700.0)</f>
        <v>5700</v>
      </c>
      <c r="C817" s="5">
        <f>IFERROR(__xludf.DUMMYFUNCTION("""COMPUTED_VALUE"""),5875.0)</f>
        <v>5875</v>
      </c>
      <c r="D817" s="5">
        <f>IFERROR(__xludf.DUMMYFUNCTION("""COMPUTED_VALUE"""),5675.0)</f>
        <v>5675</v>
      </c>
      <c r="E817" s="5">
        <f>IFERROR(__xludf.DUMMYFUNCTION("""COMPUTED_VALUE"""),5825.0)</f>
        <v>5825</v>
      </c>
      <c r="F817" s="5">
        <f>IFERROR(__xludf.DUMMYFUNCTION("""COMPUTED_VALUE"""),1.72307E7)</f>
        <v>17230700</v>
      </c>
      <c r="G817" s="5">
        <f t="shared" si="1"/>
        <v>200</v>
      </c>
    </row>
    <row r="818">
      <c r="A818" s="4">
        <f>IFERROR(__xludf.DUMMYFUNCTION("""COMPUTED_VALUE"""),45055.66666666667)</f>
        <v>45055.66667</v>
      </c>
      <c r="B818" s="5">
        <f>IFERROR(__xludf.DUMMYFUNCTION("""COMPUTED_VALUE"""),5875.0)</f>
        <v>5875</v>
      </c>
      <c r="C818" s="5">
        <f>IFERROR(__xludf.DUMMYFUNCTION("""COMPUTED_VALUE"""),6150.0)</f>
        <v>6150</v>
      </c>
      <c r="D818" s="5">
        <f>IFERROR(__xludf.DUMMYFUNCTION("""COMPUTED_VALUE"""),5850.0)</f>
        <v>5850</v>
      </c>
      <c r="E818" s="5">
        <f>IFERROR(__xludf.DUMMYFUNCTION("""COMPUTED_VALUE"""),6125.0)</f>
        <v>6125</v>
      </c>
      <c r="F818" s="5">
        <f>IFERROR(__xludf.DUMMYFUNCTION("""COMPUTED_VALUE"""),2.44266E7)</f>
        <v>24426600</v>
      </c>
      <c r="G818" s="5">
        <f t="shared" si="1"/>
        <v>325</v>
      </c>
    </row>
    <row r="819">
      <c r="A819" s="4">
        <f>IFERROR(__xludf.DUMMYFUNCTION("""COMPUTED_VALUE"""),45056.66666666667)</f>
        <v>45056.66667</v>
      </c>
      <c r="B819" s="5">
        <f>IFERROR(__xludf.DUMMYFUNCTION("""COMPUTED_VALUE"""),6150.0)</f>
        <v>6150</v>
      </c>
      <c r="C819" s="5">
        <f>IFERROR(__xludf.DUMMYFUNCTION("""COMPUTED_VALUE"""),6175.0)</f>
        <v>6175</v>
      </c>
      <c r="D819" s="5">
        <f>IFERROR(__xludf.DUMMYFUNCTION("""COMPUTED_VALUE"""),6025.0)</f>
        <v>6025</v>
      </c>
      <c r="E819" s="5">
        <f>IFERROR(__xludf.DUMMYFUNCTION("""COMPUTED_VALUE"""),6050.0)</f>
        <v>6050</v>
      </c>
      <c r="F819" s="5">
        <f>IFERROR(__xludf.DUMMYFUNCTION("""COMPUTED_VALUE"""),9144300.0)</f>
        <v>9144300</v>
      </c>
      <c r="G819" s="5">
        <f t="shared" si="1"/>
        <v>150</v>
      </c>
    </row>
    <row r="820">
      <c r="A820" s="4">
        <f>IFERROR(__xludf.DUMMYFUNCTION("""COMPUTED_VALUE"""),45057.66666666667)</f>
        <v>45057.66667</v>
      </c>
      <c r="B820" s="5">
        <f>IFERROR(__xludf.DUMMYFUNCTION("""COMPUTED_VALUE"""),6075.0)</f>
        <v>6075</v>
      </c>
      <c r="C820" s="5">
        <f>IFERROR(__xludf.DUMMYFUNCTION("""COMPUTED_VALUE"""),6100.0)</f>
        <v>6100</v>
      </c>
      <c r="D820" s="5">
        <f>IFERROR(__xludf.DUMMYFUNCTION("""COMPUTED_VALUE"""),5825.0)</f>
        <v>5825</v>
      </c>
      <c r="E820" s="5">
        <f>IFERROR(__xludf.DUMMYFUNCTION("""COMPUTED_VALUE"""),5875.0)</f>
        <v>5875</v>
      </c>
      <c r="F820" s="5">
        <f>IFERROR(__xludf.DUMMYFUNCTION("""COMPUTED_VALUE"""),2.98459E7)</f>
        <v>29845900</v>
      </c>
      <c r="G820" s="5">
        <f t="shared" si="1"/>
        <v>275</v>
      </c>
    </row>
    <row r="821">
      <c r="A821" s="4">
        <f>IFERROR(__xludf.DUMMYFUNCTION("""COMPUTED_VALUE"""),45058.66666666667)</f>
        <v>45058.66667</v>
      </c>
      <c r="B821" s="5">
        <f>IFERROR(__xludf.DUMMYFUNCTION("""COMPUTED_VALUE"""),5900.0)</f>
        <v>5900</v>
      </c>
      <c r="C821" s="5">
        <f>IFERROR(__xludf.DUMMYFUNCTION("""COMPUTED_VALUE"""),5950.0)</f>
        <v>5950</v>
      </c>
      <c r="D821" s="5">
        <f>IFERROR(__xludf.DUMMYFUNCTION("""COMPUTED_VALUE"""),5850.0)</f>
        <v>5850</v>
      </c>
      <c r="E821" s="5">
        <f>IFERROR(__xludf.DUMMYFUNCTION("""COMPUTED_VALUE"""),5900.0)</f>
        <v>5900</v>
      </c>
      <c r="F821" s="5">
        <f>IFERROR(__xludf.DUMMYFUNCTION("""COMPUTED_VALUE"""),1.277E7)</f>
        <v>12770000</v>
      </c>
      <c r="G821" s="5">
        <f t="shared" si="1"/>
        <v>100</v>
      </c>
    </row>
    <row r="822">
      <c r="A822" s="4">
        <f>IFERROR(__xludf.DUMMYFUNCTION("""COMPUTED_VALUE"""),45061.66666666667)</f>
        <v>45061.66667</v>
      </c>
      <c r="B822" s="5">
        <f>IFERROR(__xludf.DUMMYFUNCTION("""COMPUTED_VALUE"""),5900.0)</f>
        <v>5900</v>
      </c>
      <c r="C822" s="5">
        <f>IFERROR(__xludf.DUMMYFUNCTION("""COMPUTED_VALUE"""),5900.0)</f>
        <v>5900</v>
      </c>
      <c r="D822" s="5">
        <f>IFERROR(__xludf.DUMMYFUNCTION("""COMPUTED_VALUE"""),5775.0)</f>
        <v>5775</v>
      </c>
      <c r="E822" s="5">
        <f>IFERROR(__xludf.DUMMYFUNCTION("""COMPUTED_VALUE"""),5850.0)</f>
        <v>5850</v>
      </c>
      <c r="F822" s="5">
        <f>IFERROR(__xludf.DUMMYFUNCTION("""COMPUTED_VALUE"""),9901000.0)</f>
        <v>9901000</v>
      </c>
      <c r="G822" s="5">
        <f t="shared" si="1"/>
        <v>125</v>
      </c>
    </row>
    <row r="823">
      <c r="A823" s="4">
        <f>IFERROR(__xludf.DUMMYFUNCTION("""COMPUTED_VALUE"""),45062.66666666667)</f>
        <v>45062.66667</v>
      </c>
      <c r="B823" s="5">
        <f>IFERROR(__xludf.DUMMYFUNCTION("""COMPUTED_VALUE"""),5850.0)</f>
        <v>5850</v>
      </c>
      <c r="C823" s="5">
        <f>IFERROR(__xludf.DUMMYFUNCTION("""COMPUTED_VALUE"""),5950.0)</f>
        <v>5950</v>
      </c>
      <c r="D823" s="5">
        <f>IFERROR(__xludf.DUMMYFUNCTION("""COMPUTED_VALUE"""),5825.0)</f>
        <v>5825</v>
      </c>
      <c r="E823" s="5">
        <f>IFERROR(__xludf.DUMMYFUNCTION("""COMPUTED_VALUE"""),5900.0)</f>
        <v>5900</v>
      </c>
      <c r="F823" s="5">
        <f>IFERROR(__xludf.DUMMYFUNCTION("""COMPUTED_VALUE"""),7533500.0)</f>
        <v>7533500</v>
      </c>
      <c r="G823" s="5">
        <f t="shared" si="1"/>
        <v>125</v>
      </c>
    </row>
    <row r="824">
      <c r="A824" s="4">
        <f>IFERROR(__xludf.DUMMYFUNCTION("""COMPUTED_VALUE"""),45063.66666666667)</f>
        <v>45063.66667</v>
      </c>
      <c r="B824" s="5">
        <f>IFERROR(__xludf.DUMMYFUNCTION("""COMPUTED_VALUE"""),5925.0)</f>
        <v>5925</v>
      </c>
      <c r="C824" s="5">
        <f>IFERROR(__xludf.DUMMYFUNCTION("""COMPUTED_VALUE"""),6025.0)</f>
        <v>6025</v>
      </c>
      <c r="D824" s="5">
        <f>IFERROR(__xludf.DUMMYFUNCTION("""COMPUTED_VALUE"""),5925.0)</f>
        <v>5925</v>
      </c>
      <c r="E824" s="5">
        <f>IFERROR(__xludf.DUMMYFUNCTION("""COMPUTED_VALUE"""),5925.0)</f>
        <v>5925</v>
      </c>
      <c r="F824" s="5">
        <f>IFERROR(__xludf.DUMMYFUNCTION("""COMPUTED_VALUE"""),1.07728E7)</f>
        <v>10772800</v>
      </c>
      <c r="G824" s="5">
        <f t="shared" si="1"/>
        <v>125</v>
      </c>
    </row>
    <row r="825">
      <c r="A825" s="4">
        <f>IFERROR(__xludf.DUMMYFUNCTION("""COMPUTED_VALUE"""),45065.66666666667)</f>
        <v>45065.66667</v>
      </c>
      <c r="B825" s="5">
        <f>IFERROR(__xludf.DUMMYFUNCTION("""COMPUTED_VALUE"""),5925.0)</f>
        <v>5925</v>
      </c>
      <c r="C825" s="5">
        <f>IFERROR(__xludf.DUMMYFUNCTION("""COMPUTED_VALUE"""),6025.0)</f>
        <v>6025</v>
      </c>
      <c r="D825" s="5">
        <f>IFERROR(__xludf.DUMMYFUNCTION("""COMPUTED_VALUE"""),5875.0)</f>
        <v>5875</v>
      </c>
      <c r="E825" s="5">
        <f>IFERROR(__xludf.DUMMYFUNCTION("""COMPUTED_VALUE"""),5925.0)</f>
        <v>5925</v>
      </c>
      <c r="F825" s="5">
        <f>IFERROR(__xludf.DUMMYFUNCTION("""COMPUTED_VALUE"""),1.00783E7)</f>
        <v>10078300</v>
      </c>
      <c r="G825" s="5">
        <f t="shared" si="1"/>
        <v>150</v>
      </c>
    </row>
    <row r="826">
      <c r="A826" s="4">
        <f>IFERROR(__xludf.DUMMYFUNCTION("""COMPUTED_VALUE"""),45068.66666666667)</f>
        <v>45068.66667</v>
      </c>
      <c r="B826" s="5">
        <f>IFERROR(__xludf.DUMMYFUNCTION("""COMPUTED_VALUE"""),5925.0)</f>
        <v>5925</v>
      </c>
      <c r="C826" s="5">
        <f>IFERROR(__xludf.DUMMYFUNCTION("""COMPUTED_VALUE"""),6100.0)</f>
        <v>6100</v>
      </c>
      <c r="D826" s="5">
        <f>IFERROR(__xludf.DUMMYFUNCTION("""COMPUTED_VALUE"""),5925.0)</f>
        <v>5925</v>
      </c>
      <c r="E826" s="5">
        <f>IFERROR(__xludf.DUMMYFUNCTION("""COMPUTED_VALUE"""),6050.0)</f>
        <v>6050</v>
      </c>
      <c r="F826" s="5">
        <f>IFERROR(__xludf.DUMMYFUNCTION("""COMPUTED_VALUE"""),9107600.0)</f>
        <v>9107600</v>
      </c>
      <c r="G826" s="5">
        <f t="shared" si="1"/>
        <v>175</v>
      </c>
    </row>
    <row r="827">
      <c r="A827" s="4">
        <f>IFERROR(__xludf.DUMMYFUNCTION("""COMPUTED_VALUE"""),45069.66666666667)</f>
        <v>45069.66667</v>
      </c>
      <c r="B827" s="5">
        <f>IFERROR(__xludf.DUMMYFUNCTION("""COMPUTED_VALUE"""),6050.0)</f>
        <v>6050</v>
      </c>
      <c r="C827" s="5">
        <f>IFERROR(__xludf.DUMMYFUNCTION("""COMPUTED_VALUE"""),6075.0)</f>
        <v>6075</v>
      </c>
      <c r="D827" s="5">
        <f>IFERROR(__xludf.DUMMYFUNCTION("""COMPUTED_VALUE"""),5950.0)</f>
        <v>5950</v>
      </c>
      <c r="E827" s="5">
        <f>IFERROR(__xludf.DUMMYFUNCTION("""COMPUTED_VALUE"""),5950.0)</f>
        <v>5950</v>
      </c>
      <c r="F827" s="5">
        <f>IFERROR(__xludf.DUMMYFUNCTION("""COMPUTED_VALUE"""),1.29538E7)</f>
        <v>12953800</v>
      </c>
      <c r="G827" s="5">
        <f t="shared" si="1"/>
        <v>125</v>
      </c>
    </row>
    <row r="828">
      <c r="A828" s="4">
        <f>IFERROR(__xludf.DUMMYFUNCTION("""COMPUTED_VALUE"""),45070.66666666667)</f>
        <v>45070.66667</v>
      </c>
      <c r="B828" s="5">
        <f>IFERROR(__xludf.DUMMYFUNCTION("""COMPUTED_VALUE"""),5950.0)</f>
        <v>5950</v>
      </c>
      <c r="C828" s="5">
        <f>IFERROR(__xludf.DUMMYFUNCTION("""COMPUTED_VALUE"""),5975.0)</f>
        <v>5975</v>
      </c>
      <c r="D828" s="5">
        <f>IFERROR(__xludf.DUMMYFUNCTION("""COMPUTED_VALUE"""),5900.0)</f>
        <v>5900</v>
      </c>
      <c r="E828" s="5">
        <f>IFERROR(__xludf.DUMMYFUNCTION("""COMPUTED_VALUE"""),5925.0)</f>
        <v>5925</v>
      </c>
      <c r="F828" s="5">
        <f>IFERROR(__xludf.DUMMYFUNCTION("""COMPUTED_VALUE"""),5858500.0)</f>
        <v>5858500</v>
      </c>
      <c r="G828" s="5">
        <f t="shared" si="1"/>
        <v>75</v>
      </c>
    </row>
    <row r="829">
      <c r="A829" s="4">
        <f>IFERROR(__xludf.DUMMYFUNCTION("""COMPUTED_VALUE"""),45071.66666666667)</f>
        <v>45071.66667</v>
      </c>
      <c r="B829" s="5">
        <f>IFERROR(__xludf.DUMMYFUNCTION("""COMPUTED_VALUE"""),5900.0)</f>
        <v>5900</v>
      </c>
      <c r="C829" s="5">
        <f>IFERROR(__xludf.DUMMYFUNCTION("""COMPUTED_VALUE"""),5975.0)</f>
        <v>5975</v>
      </c>
      <c r="D829" s="5">
        <f>IFERROR(__xludf.DUMMYFUNCTION("""COMPUTED_VALUE"""),5900.0)</f>
        <v>5900</v>
      </c>
      <c r="E829" s="5">
        <f>IFERROR(__xludf.DUMMYFUNCTION("""COMPUTED_VALUE"""),5900.0)</f>
        <v>5900</v>
      </c>
      <c r="F829" s="5">
        <f>IFERROR(__xludf.DUMMYFUNCTION("""COMPUTED_VALUE"""),8174100.0)</f>
        <v>8174100</v>
      </c>
      <c r="G829" s="5">
        <f t="shared" si="1"/>
        <v>75</v>
      </c>
    </row>
    <row r="830">
      <c r="A830" s="4">
        <f>IFERROR(__xludf.DUMMYFUNCTION("""COMPUTED_VALUE"""),45072.66666666667)</f>
        <v>45072.66667</v>
      </c>
      <c r="B830" s="5">
        <f>IFERROR(__xludf.DUMMYFUNCTION("""COMPUTED_VALUE"""),5950.0)</f>
        <v>5950</v>
      </c>
      <c r="C830" s="5">
        <f>IFERROR(__xludf.DUMMYFUNCTION("""COMPUTED_VALUE"""),5975.0)</f>
        <v>5975</v>
      </c>
      <c r="D830" s="5">
        <f>IFERROR(__xludf.DUMMYFUNCTION("""COMPUTED_VALUE"""),5900.0)</f>
        <v>5900</v>
      </c>
      <c r="E830" s="5">
        <f>IFERROR(__xludf.DUMMYFUNCTION("""COMPUTED_VALUE"""),5900.0)</f>
        <v>5900</v>
      </c>
      <c r="F830" s="5">
        <f>IFERROR(__xludf.DUMMYFUNCTION("""COMPUTED_VALUE"""),4980200.0)</f>
        <v>4980200</v>
      </c>
      <c r="G830" s="5">
        <f t="shared" si="1"/>
        <v>75</v>
      </c>
    </row>
    <row r="831">
      <c r="A831" s="4">
        <f>IFERROR(__xludf.DUMMYFUNCTION("""COMPUTED_VALUE"""),45075.66666666667)</f>
        <v>45075.66667</v>
      </c>
      <c r="B831" s="5">
        <f>IFERROR(__xludf.DUMMYFUNCTION("""COMPUTED_VALUE"""),5900.0)</f>
        <v>5900</v>
      </c>
      <c r="C831" s="5">
        <f>IFERROR(__xludf.DUMMYFUNCTION("""COMPUTED_VALUE"""),5950.0)</f>
        <v>5950</v>
      </c>
      <c r="D831" s="5">
        <f>IFERROR(__xludf.DUMMYFUNCTION("""COMPUTED_VALUE"""),5800.0)</f>
        <v>5800</v>
      </c>
      <c r="E831" s="5">
        <f>IFERROR(__xludf.DUMMYFUNCTION("""COMPUTED_VALUE"""),5900.0)</f>
        <v>5900</v>
      </c>
      <c r="F831" s="5">
        <f>IFERROR(__xludf.DUMMYFUNCTION("""COMPUTED_VALUE"""),1.01504E7)</f>
        <v>10150400</v>
      </c>
      <c r="G831" s="5">
        <f t="shared" si="1"/>
        <v>150</v>
      </c>
    </row>
    <row r="832">
      <c r="A832" s="4">
        <f>IFERROR(__xludf.DUMMYFUNCTION("""COMPUTED_VALUE"""),45076.66666666667)</f>
        <v>45076.66667</v>
      </c>
      <c r="B832" s="5">
        <f>IFERROR(__xludf.DUMMYFUNCTION("""COMPUTED_VALUE"""),5900.0)</f>
        <v>5900</v>
      </c>
      <c r="C832" s="5">
        <f>IFERROR(__xludf.DUMMYFUNCTION("""COMPUTED_VALUE"""),6025.0)</f>
        <v>6025</v>
      </c>
      <c r="D832" s="5">
        <f>IFERROR(__xludf.DUMMYFUNCTION("""COMPUTED_VALUE"""),5900.0)</f>
        <v>5900</v>
      </c>
      <c r="E832" s="5">
        <f>IFERROR(__xludf.DUMMYFUNCTION("""COMPUTED_VALUE"""),5900.0)</f>
        <v>5900</v>
      </c>
      <c r="F832" s="5">
        <f>IFERROR(__xludf.DUMMYFUNCTION("""COMPUTED_VALUE"""),6233800.0)</f>
        <v>6233800</v>
      </c>
      <c r="G832" s="5">
        <f t="shared" si="1"/>
        <v>125</v>
      </c>
    </row>
    <row r="833">
      <c r="A833" s="4">
        <f>IFERROR(__xludf.DUMMYFUNCTION("""COMPUTED_VALUE"""),45077.66666666667)</f>
        <v>45077.66667</v>
      </c>
      <c r="B833" s="5">
        <f>IFERROR(__xludf.DUMMYFUNCTION("""COMPUTED_VALUE"""),5925.0)</f>
        <v>5925</v>
      </c>
      <c r="C833" s="5">
        <f>IFERROR(__xludf.DUMMYFUNCTION("""COMPUTED_VALUE"""),5950.0)</f>
        <v>5950</v>
      </c>
      <c r="D833" s="5">
        <f>IFERROR(__xludf.DUMMYFUNCTION("""COMPUTED_VALUE"""),5800.0)</f>
        <v>5800</v>
      </c>
      <c r="E833" s="5">
        <f>IFERROR(__xludf.DUMMYFUNCTION("""COMPUTED_VALUE"""),5800.0)</f>
        <v>5800</v>
      </c>
      <c r="F833" s="5">
        <f>IFERROR(__xludf.DUMMYFUNCTION("""COMPUTED_VALUE"""),2.90856E7)</f>
        <v>29085600</v>
      </c>
      <c r="G833" s="5">
        <f t="shared" si="1"/>
        <v>150</v>
      </c>
    </row>
    <row r="834">
      <c r="A834" s="4">
        <f>IFERROR(__xludf.DUMMYFUNCTION("""COMPUTED_VALUE"""),45082.66666666667)</f>
        <v>45082.66667</v>
      </c>
      <c r="B834" s="5">
        <f>IFERROR(__xludf.DUMMYFUNCTION("""COMPUTED_VALUE"""),5750.0)</f>
        <v>5750</v>
      </c>
      <c r="C834" s="5">
        <f>IFERROR(__xludf.DUMMYFUNCTION("""COMPUTED_VALUE"""),5925.0)</f>
        <v>5925</v>
      </c>
      <c r="D834" s="5">
        <f>IFERROR(__xludf.DUMMYFUNCTION("""COMPUTED_VALUE"""),5700.0)</f>
        <v>5700</v>
      </c>
      <c r="E834" s="5">
        <f>IFERROR(__xludf.DUMMYFUNCTION("""COMPUTED_VALUE"""),5825.0)</f>
        <v>5825</v>
      </c>
      <c r="F834" s="5">
        <f>IFERROR(__xludf.DUMMYFUNCTION("""COMPUTED_VALUE"""),1.25178E7)</f>
        <v>12517800</v>
      </c>
      <c r="G834" s="5">
        <f t="shared" si="1"/>
        <v>225</v>
      </c>
    </row>
    <row r="835">
      <c r="A835" s="4">
        <f>IFERROR(__xludf.DUMMYFUNCTION("""COMPUTED_VALUE"""),45083.66666666667)</f>
        <v>45083.66667</v>
      </c>
      <c r="B835" s="5">
        <f>IFERROR(__xludf.DUMMYFUNCTION("""COMPUTED_VALUE"""),5825.0)</f>
        <v>5825</v>
      </c>
      <c r="C835" s="5">
        <f>IFERROR(__xludf.DUMMYFUNCTION("""COMPUTED_VALUE"""),5900.0)</f>
        <v>5900</v>
      </c>
      <c r="D835" s="5">
        <f>IFERROR(__xludf.DUMMYFUNCTION("""COMPUTED_VALUE"""),5800.0)</f>
        <v>5800</v>
      </c>
      <c r="E835" s="5">
        <f>IFERROR(__xludf.DUMMYFUNCTION("""COMPUTED_VALUE"""),5850.0)</f>
        <v>5850</v>
      </c>
      <c r="F835" s="5">
        <f>IFERROR(__xludf.DUMMYFUNCTION("""COMPUTED_VALUE"""),7626500.0)</f>
        <v>7626500</v>
      </c>
      <c r="G835" s="5">
        <f t="shared" si="1"/>
        <v>100</v>
      </c>
    </row>
    <row r="836">
      <c r="A836" s="4">
        <f>IFERROR(__xludf.DUMMYFUNCTION("""COMPUTED_VALUE"""),45084.66666666667)</f>
        <v>45084.66667</v>
      </c>
      <c r="B836" s="5">
        <f>IFERROR(__xludf.DUMMYFUNCTION("""COMPUTED_VALUE"""),5875.0)</f>
        <v>5875</v>
      </c>
      <c r="C836" s="5">
        <f>IFERROR(__xludf.DUMMYFUNCTION("""COMPUTED_VALUE"""),5900.0)</f>
        <v>5900</v>
      </c>
      <c r="D836" s="5">
        <f>IFERROR(__xludf.DUMMYFUNCTION("""COMPUTED_VALUE"""),5775.0)</f>
        <v>5775</v>
      </c>
      <c r="E836" s="5">
        <f>IFERROR(__xludf.DUMMYFUNCTION("""COMPUTED_VALUE"""),5850.0)</f>
        <v>5850</v>
      </c>
      <c r="F836" s="5">
        <f>IFERROR(__xludf.DUMMYFUNCTION("""COMPUTED_VALUE"""),8369100.0)</f>
        <v>8369100</v>
      </c>
      <c r="G836" s="5">
        <f t="shared" si="1"/>
        <v>125</v>
      </c>
    </row>
    <row r="837">
      <c r="A837" s="4">
        <f>IFERROR(__xludf.DUMMYFUNCTION("""COMPUTED_VALUE"""),45085.66666666667)</f>
        <v>45085.66667</v>
      </c>
      <c r="B837" s="5">
        <f>IFERROR(__xludf.DUMMYFUNCTION("""COMPUTED_VALUE"""),5850.0)</f>
        <v>5850</v>
      </c>
      <c r="C837" s="5">
        <f>IFERROR(__xludf.DUMMYFUNCTION("""COMPUTED_VALUE"""),5900.0)</f>
        <v>5900</v>
      </c>
      <c r="D837" s="5">
        <f>IFERROR(__xludf.DUMMYFUNCTION("""COMPUTED_VALUE"""),5800.0)</f>
        <v>5800</v>
      </c>
      <c r="E837" s="5">
        <f>IFERROR(__xludf.DUMMYFUNCTION("""COMPUTED_VALUE"""),5875.0)</f>
        <v>5875</v>
      </c>
      <c r="F837" s="5">
        <f>IFERROR(__xludf.DUMMYFUNCTION("""COMPUTED_VALUE"""),6741600.0)</f>
        <v>6741600</v>
      </c>
      <c r="G837" s="5">
        <f t="shared" si="1"/>
        <v>100</v>
      </c>
    </row>
    <row r="838">
      <c r="A838" s="4">
        <f>IFERROR(__xludf.DUMMYFUNCTION("""COMPUTED_VALUE"""),45086.66666666667)</f>
        <v>45086.66667</v>
      </c>
      <c r="B838" s="5">
        <f>IFERROR(__xludf.DUMMYFUNCTION("""COMPUTED_VALUE"""),5875.0)</f>
        <v>5875</v>
      </c>
      <c r="C838" s="5">
        <f>IFERROR(__xludf.DUMMYFUNCTION("""COMPUTED_VALUE"""),5950.0)</f>
        <v>5950</v>
      </c>
      <c r="D838" s="5">
        <f>IFERROR(__xludf.DUMMYFUNCTION("""COMPUTED_VALUE"""),5850.0)</f>
        <v>5850</v>
      </c>
      <c r="E838" s="5">
        <f>IFERROR(__xludf.DUMMYFUNCTION("""COMPUTED_VALUE"""),5925.0)</f>
        <v>5925</v>
      </c>
      <c r="F838" s="5">
        <f>IFERROR(__xludf.DUMMYFUNCTION("""COMPUTED_VALUE"""),5821700.0)</f>
        <v>5821700</v>
      </c>
      <c r="G838" s="5">
        <f t="shared" si="1"/>
        <v>100</v>
      </c>
    </row>
    <row r="839">
      <c r="A839" s="4">
        <f>IFERROR(__xludf.DUMMYFUNCTION("""COMPUTED_VALUE"""),45089.66666666667)</f>
        <v>45089.66667</v>
      </c>
      <c r="B839" s="5">
        <f>IFERROR(__xludf.DUMMYFUNCTION("""COMPUTED_VALUE"""),5950.0)</f>
        <v>5950</v>
      </c>
      <c r="C839" s="5">
        <f>IFERROR(__xludf.DUMMYFUNCTION("""COMPUTED_VALUE"""),6050.0)</f>
        <v>6050</v>
      </c>
      <c r="D839" s="5">
        <f>IFERROR(__xludf.DUMMYFUNCTION("""COMPUTED_VALUE"""),5925.0)</f>
        <v>5925</v>
      </c>
      <c r="E839" s="5">
        <f>IFERROR(__xludf.DUMMYFUNCTION("""COMPUTED_VALUE"""),6050.0)</f>
        <v>6050</v>
      </c>
      <c r="F839" s="5">
        <f>IFERROR(__xludf.DUMMYFUNCTION("""COMPUTED_VALUE"""),1.1212E7)</f>
        <v>11212000</v>
      </c>
      <c r="G839" s="5">
        <f t="shared" si="1"/>
        <v>125</v>
      </c>
    </row>
    <row r="840">
      <c r="A840" s="4">
        <f>IFERROR(__xludf.DUMMYFUNCTION("""COMPUTED_VALUE"""),45090.66666666667)</f>
        <v>45090.66667</v>
      </c>
      <c r="B840" s="5">
        <f>IFERROR(__xludf.DUMMYFUNCTION("""COMPUTED_VALUE"""),6100.0)</f>
        <v>6100</v>
      </c>
      <c r="C840" s="5">
        <f>IFERROR(__xludf.DUMMYFUNCTION("""COMPUTED_VALUE"""),6100.0)</f>
        <v>6100</v>
      </c>
      <c r="D840" s="5">
        <f>IFERROR(__xludf.DUMMYFUNCTION("""COMPUTED_VALUE"""),6000.0)</f>
        <v>6000</v>
      </c>
      <c r="E840" s="5">
        <f>IFERROR(__xludf.DUMMYFUNCTION("""COMPUTED_VALUE"""),6000.0)</f>
        <v>6000</v>
      </c>
      <c r="F840" s="5">
        <f>IFERROR(__xludf.DUMMYFUNCTION("""COMPUTED_VALUE"""),8181800.0)</f>
        <v>8181800</v>
      </c>
      <c r="G840" s="5">
        <f t="shared" si="1"/>
        <v>100</v>
      </c>
    </row>
    <row r="841">
      <c r="A841" s="4">
        <f>IFERROR(__xludf.DUMMYFUNCTION("""COMPUTED_VALUE"""),45091.66666666667)</f>
        <v>45091.66667</v>
      </c>
      <c r="B841" s="5">
        <f>IFERROR(__xludf.DUMMYFUNCTION("""COMPUTED_VALUE"""),6025.0)</f>
        <v>6025</v>
      </c>
      <c r="C841" s="5">
        <f>IFERROR(__xludf.DUMMYFUNCTION("""COMPUTED_VALUE"""),6025.0)</f>
        <v>6025</v>
      </c>
      <c r="D841" s="5">
        <f>IFERROR(__xludf.DUMMYFUNCTION("""COMPUTED_VALUE"""),5925.0)</f>
        <v>5925</v>
      </c>
      <c r="E841" s="5">
        <f>IFERROR(__xludf.DUMMYFUNCTION("""COMPUTED_VALUE"""),5975.0)</f>
        <v>5975</v>
      </c>
      <c r="F841" s="5">
        <f>IFERROR(__xludf.DUMMYFUNCTION("""COMPUTED_VALUE"""),6593800.0)</f>
        <v>6593800</v>
      </c>
      <c r="G841" s="5">
        <f t="shared" si="1"/>
        <v>100</v>
      </c>
    </row>
    <row r="842">
      <c r="A842" s="4">
        <f>IFERROR(__xludf.DUMMYFUNCTION("""COMPUTED_VALUE"""),45092.66666666667)</f>
        <v>45092.66667</v>
      </c>
      <c r="B842" s="5">
        <f>IFERROR(__xludf.DUMMYFUNCTION("""COMPUTED_VALUE"""),5975.0)</f>
        <v>5975</v>
      </c>
      <c r="C842" s="5">
        <f>IFERROR(__xludf.DUMMYFUNCTION("""COMPUTED_VALUE"""),6100.0)</f>
        <v>6100</v>
      </c>
      <c r="D842" s="5">
        <f>IFERROR(__xludf.DUMMYFUNCTION("""COMPUTED_VALUE"""),5975.0)</f>
        <v>5975</v>
      </c>
      <c r="E842" s="5">
        <f>IFERROR(__xludf.DUMMYFUNCTION("""COMPUTED_VALUE"""),6075.0)</f>
        <v>6075</v>
      </c>
      <c r="F842" s="5">
        <f>IFERROR(__xludf.DUMMYFUNCTION("""COMPUTED_VALUE"""),1.14629E7)</f>
        <v>11462900</v>
      </c>
      <c r="G842" s="5">
        <f t="shared" si="1"/>
        <v>125</v>
      </c>
    </row>
    <row r="843">
      <c r="A843" s="4">
        <f>IFERROR(__xludf.DUMMYFUNCTION("""COMPUTED_VALUE"""),45093.66666666667)</f>
        <v>45093.66667</v>
      </c>
      <c r="B843" s="5">
        <f>IFERROR(__xludf.DUMMYFUNCTION("""COMPUTED_VALUE"""),6075.0)</f>
        <v>6075</v>
      </c>
      <c r="C843" s="5">
        <f>IFERROR(__xludf.DUMMYFUNCTION("""COMPUTED_VALUE"""),6125.0)</f>
        <v>6125</v>
      </c>
      <c r="D843" s="5">
        <f>IFERROR(__xludf.DUMMYFUNCTION("""COMPUTED_VALUE"""),6000.0)</f>
        <v>6000</v>
      </c>
      <c r="E843" s="5">
        <f>IFERROR(__xludf.DUMMYFUNCTION("""COMPUTED_VALUE"""),6000.0)</f>
        <v>6000</v>
      </c>
      <c r="F843" s="5">
        <f>IFERROR(__xludf.DUMMYFUNCTION("""COMPUTED_VALUE"""),1.30367E7)</f>
        <v>13036700</v>
      </c>
      <c r="G843" s="5">
        <f t="shared" si="1"/>
        <v>125</v>
      </c>
    </row>
    <row r="844">
      <c r="A844" s="4">
        <f>IFERROR(__xludf.DUMMYFUNCTION("""COMPUTED_VALUE"""),45096.66666666667)</f>
        <v>45096.66667</v>
      </c>
      <c r="B844" s="5">
        <f>IFERROR(__xludf.DUMMYFUNCTION("""COMPUTED_VALUE"""),6025.0)</f>
        <v>6025</v>
      </c>
      <c r="C844" s="5">
        <f>IFERROR(__xludf.DUMMYFUNCTION("""COMPUTED_VALUE"""),6100.0)</f>
        <v>6100</v>
      </c>
      <c r="D844" s="5">
        <f>IFERROR(__xludf.DUMMYFUNCTION("""COMPUTED_VALUE"""),5950.0)</f>
        <v>5950</v>
      </c>
      <c r="E844" s="5">
        <f>IFERROR(__xludf.DUMMYFUNCTION("""COMPUTED_VALUE"""),6000.0)</f>
        <v>6000</v>
      </c>
      <c r="F844" s="5">
        <f>IFERROR(__xludf.DUMMYFUNCTION("""COMPUTED_VALUE"""),8320300.0)</f>
        <v>8320300</v>
      </c>
      <c r="G844" s="5">
        <f t="shared" si="1"/>
        <v>150</v>
      </c>
    </row>
    <row r="845">
      <c r="A845" s="4">
        <f>IFERROR(__xludf.DUMMYFUNCTION("""COMPUTED_VALUE"""),45097.66666666667)</f>
        <v>45097.66667</v>
      </c>
      <c r="B845" s="5">
        <f>IFERROR(__xludf.DUMMYFUNCTION("""COMPUTED_VALUE"""),6025.0)</f>
        <v>6025</v>
      </c>
      <c r="C845" s="5">
        <f>IFERROR(__xludf.DUMMYFUNCTION("""COMPUTED_VALUE"""),6025.0)</f>
        <v>6025</v>
      </c>
      <c r="D845" s="5">
        <f>IFERROR(__xludf.DUMMYFUNCTION("""COMPUTED_VALUE"""),5950.0)</f>
        <v>5950</v>
      </c>
      <c r="E845" s="5">
        <f>IFERROR(__xludf.DUMMYFUNCTION("""COMPUTED_VALUE"""),6025.0)</f>
        <v>6025</v>
      </c>
      <c r="F845" s="5">
        <f>IFERROR(__xludf.DUMMYFUNCTION("""COMPUTED_VALUE"""),3990100.0)</f>
        <v>3990100</v>
      </c>
      <c r="G845" s="5">
        <f t="shared" si="1"/>
        <v>75</v>
      </c>
    </row>
    <row r="846">
      <c r="A846" s="4">
        <f>IFERROR(__xludf.DUMMYFUNCTION("""COMPUTED_VALUE"""),45098.66666666667)</f>
        <v>45098.66667</v>
      </c>
      <c r="B846" s="5">
        <f>IFERROR(__xludf.DUMMYFUNCTION("""COMPUTED_VALUE"""),6000.0)</f>
        <v>6000</v>
      </c>
      <c r="C846" s="5">
        <f>IFERROR(__xludf.DUMMYFUNCTION("""COMPUTED_VALUE"""),6050.0)</f>
        <v>6050</v>
      </c>
      <c r="D846" s="5">
        <f>IFERROR(__xludf.DUMMYFUNCTION("""COMPUTED_VALUE"""),5950.0)</f>
        <v>5950</v>
      </c>
      <c r="E846" s="5">
        <f>IFERROR(__xludf.DUMMYFUNCTION("""COMPUTED_VALUE"""),6025.0)</f>
        <v>6025</v>
      </c>
      <c r="F846" s="5">
        <f>IFERROR(__xludf.DUMMYFUNCTION("""COMPUTED_VALUE"""),6447000.0)</f>
        <v>6447000</v>
      </c>
      <c r="G846" s="5">
        <f t="shared" si="1"/>
        <v>100</v>
      </c>
    </row>
    <row r="847">
      <c r="A847" s="4">
        <f>IFERROR(__xludf.DUMMYFUNCTION("""COMPUTED_VALUE"""),45099.66666666667)</f>
        <v>45099.66667</v>
      </c>
      <c r="B847" s="5">
        <f>IFERROR(__xludf.DUMMYFUNCTION("""COMPUTED_VALUE"""),6025.0)</f>
        <v>6025</v>
      </c>
      <c r="C847" s="5">
        <f>IFERROR(__xludf.DUMMYFUNCTION("""COMPUTED_VALUE"""),6125.0)</f>
        <v>6125</v>
      </c>
      <c r="D847" s="5">
        <f>IFERROR(__xludf.DUMMYFUNCTION("""COMPUTED_VALUE"""),6025.0)</f>
        <v>6025</v>
      </c>
      <c r="E847" s="5">
        <f>IFERROR(__xludf.DUMMYFUNCTION("""COMPUTED_VALUE"""),6025.0)</f>
        <v>6025</v>
      </c>
      <c r="F847" s="5">
        <f>IFERROR(__xludf.DUMMYFUNCTION("""COMPUTED_VALUE"""),1.0289E7)</f>
        <v>10289000</v>
      </c>
      <c r="G847" s="5">
        <f t="shared" si="1"/>
        <v>100</v>
      </c>
    </row>
    <row r="848">
      <c r="A848" s="4">
        <f>IFERROR(__xludf.DUMMYFUNCTION("""COMPUTED_VALUE"""),45100.66666666667)</f>
        <v>45100.66667</v>
      </c>
      <c r="B848" s="5">
        <f>IFERROR(__xludf.DUMMYFUNCTION("""COMPUTED_VALUE"""),6050.0)</f>
        <v>6050</v>
      </c>
      <c r="C848" s="5">
        <f>IFERROR(__xludf.DUMMYFUNCTION("""COMPUTED_VALUE"""),6225.0)</f>
        <v>6225</v>
      </c>
      <c r="D848" s="5">
        <f>IFERROR(__xludf.DUMMYFUNCTION("""COMPUTED_VALUE"""),6050.0)</f>
        <v>6050</v>
      </c>
      <c r="E848" s="5">
        <f>IFERROR(__xludf.DUMMYFUNCTION("""COMPUTED_VALUE"""),6125.0)</f>
        <v>6125</v>
      </c>
      <c r="F848" s="5">
        <f>IFERROR(__xludf.DUMMYFUNCTION("""COMPUTED_VALUE"""),1.57107E7)</f>
        <v>15710700</v>
      </c>
      <c r="G848" s="5">
        <f t="shared" si="1"/>
        <v>200</v>
      </c>
    </row>
    <row r="849">
      <c r="A849" s="4">
        <f>IFERROR(__xludf.DUMMYFUNCTION("""COMPUTED_VALUE"""),45103.66666666667)</f>
        <v>45103.66667</v>
      </c>
      <c r="B849" s="5">
        <f>IFERROR(__xludf.DUMMYFUNCTION("""COMPUTED_VALUE"""),6150.0)</f>
        <v>6150</v>
      </c>
      <c r="C849" s="5">
        <f>IFERROR(__xludf.DUMMYFUNCTION("""COMPUTED_VALUE"""),6250.0)</f>
        <v>6250</v>
      </c>
      <c r="D849" s="5">
        <f>IFERROR(__xludf.DUMMYFUNCTION("""COMPUTED_VALUE"""),6125.0)</f>
        <v>6125</v>
      </c>
      <c r="E849" s="5">
        <f>IFERROR(__xludf.DUMMYFUNCTION("""COMPUTED_VALUE"""),6150.0)</f>
        <v>6150</v>
      </c>
      <c r="F849" s="5">
        <f>IFERROR(__xludf.DUMMYFUNCTION("""COMPUTED_VALUE"""),1.08782E7)</f>
        <v>10878200</v>
      </c>
      <c r="G849" s="5">
        <f t="shared" si="1"/>
        <v>125</v>
      </c>
    </row>
    <row r="850">
      <c r="A850" s="4">
        <f>IFERROR(__xludf.DUMMYFUNCTION("""COMPUTED_VALUE"""),45104.66666666667)</f>
        <v>45104.66667</v>
      </c>
      <c r="B850" s="5">
        <f>IFERROR(__xludf.DUMMYFUNCTION("""COMPUTED_VALUE"""),6200.0)</f>
        <v>6200</v>
      </c>
      <c r="C850" s="5">
        <f>IFERROR(__xludf.DUMMYFUNCTION("""COMPUTED_VALUE"""),6200.0)</f>
        <v>6200</v>
      </c>
      <c r="D850" s="5">
        <f>IFERROR(__xludf.DUMMYFUNCTION("""COMPUTED_VALUE"""),6075.0)</f>
        <v>6075</v>
      </c>
      <c r="E850" s="5">
        <f>IFERROR(__xludf.DUMMYFUNCTION("""COMPUTED_VALUE"""),6075.0)</f>
        <v>6075</v>
      </c>
      <c r="F850" s="5">
        <f>IFERROR(__xludf.DUMMYFUNCTION("""COMPUTED_VALUE"""),8246200.0)</f>
        <v>8246200</v>
      </c>
      <c r="G850" s="5">
        <f t="shared" si="1"/>
        <v>125</v>
      </c>
    </row>
    <row r="851">
      <c r="A851" s="4">
        <f>IFERROR(__xludf.DUMMYFUNCTION("""COMPUTED_VALUE"""),45110.66666666667)</f>
        <v>45110.66667</v>
      </c>
      <c r="B851" s="5">
        <f>IFERROR(__xludf.DUMMYFUNCTION("""COMPUTED_VALUE"""),6050.0)</f>
        <v>6050</v>
      </c>
      <c r="C851" s="5">
        <f>IFERROR(__xludf.DUMMYFUNCTION("""COMPUTED_VALUE"""),6125.0)</f>
        <v>6125</v>
      </c>
      <c r="D851" s="5">
        <f>IFERROR(__xludf.DUMMYFUNCTION("""COMPUTED_VALUE"""),6050.0)</f>
        <v>6050</v>
      </c>
      <c r="E851" s="5">
        <f>IFERROR(__xludf.DUMMYFUNCTION("""COMPUTED_VALUE"""),6075.0)</f>
        <v>6075</v>
      </c>
      <c r="F851" s="5">
        <f>IFERROR(__xludf.DUMMYFUNCTION("""COMPUTED_VALUE"""),5357400.0)</f>
        <v>5357400</v>
      </c>
      <c r="G851" s="5">
        <f t="shared" si="1"/>
        <v>75</v>
      </c>
    </row>
    <row r="852">
      <c r="A852" s="4">
        <f>IFERROR(__xludf.DUMMYFUNCTION("""COMPUTED_VALUE"""),45111.66666666667)</f>
        <v>45111.66667</v>
      </c>
      <c r="B852" s="5">
        <f>IFERROR(__xludf.DUMMYFUNCTION("""COMPUTED_VALUE"""),6075.0)</f>
        <v>6075</v>
      </c>
      <c r="C852" s="5">
        <f>IFERROR(__xludf.DUMMYFUNCTION("""COMPUTED_VALUE"""),6125.0)</f>
        <v>6125</v>
      </c>
      <c r="D852" s="5">
        <f>IFERROR(__xludf.DUMMYFUNCTION("""COMPUTED_VALUE"""),6025.0)</f>
        <v>6025</v>
      </c>
      <c r="E852" s="5">
        <f>IFERROR(__xludf.DUMMYFUNCTION("""COMPUTED_VALUE"""),6075.0)</f>
        <v>6075</v>
      </c>
      <c r="F852" s="5">
        <f>IFERROR(__xludf.DUMMYFUNCTION("""COMPUTED_VALUE"""),4332800.0)</f>
        <v>4332800</v>
      </c>
      <c r="G852" s="5">
        <f t="shared" si="1"/>
        <v>100</v>
      </c>
    </row>
    <row r="853">
      <c r="A853" s="4">
        <f>IFERROR(__xludf.DUMMYFUNCTION("""COMPUTED_VALUE"""),45112.66666666667)</f>
        <v>45112.66667</v>
      </c>
      <c r="B853" s="5">
        <f>IFERROR(__xludf.DUMMYFUNCTION("""COMPUTED_VALUE"""),6075.0)</f>
        <v>6075</v>
      </c>
      <c r="C853" s="5">
        <f>IFERROR(__xludf.DUMMYFUNCTION("""COMPUTED_VALUE"""),6175.0)</f>
        <v>6175</v>
      </c>
      <c r="D853" s="5">
        <f>IFERROR(__xludf.DUMMYFUNCTION("""COMPUTED_VALUE"""),6050.0)</f>
        <v>6050</v>
      </c>
      <c r="E853" s="5">
        <f>IFERROR(__xludf.DUMMYFUNCTION("""COMPUTED_VALUE"""),6175.0)</f>
        <v>6175</v>
      </c>
      <c r="F853" s="5">
        <f>IFERROR(__xludf.DUMMYFUNCTION("""COMPUTED_VALUE"""),6148500.0)</f>
        <v>6148500</v>
      </c>
      <c r="G853" s="5">
        <f t="shared" si="1"/>
        <v>125</v>
      </c>
    </row>
    <row r="854">
      <c r="A854" s="4">
        <f>IFERROR(__xludf.DUMMYFUNCTION("""COMPUTED_VALUE"""),45113.66666666667)</f>
        <v>45113.66667</v>
      </c>
      <c r="B854" s="5">
        <f>IFERROR(__xludf.DUMMYFUNCTION("""COMPUTED_VALUE"""),6200.0)</f>
        <v>6200</v>
      </c>
      <c r="C854" s="5">
        <f>IFERROR(__xludf.DUMMYFUNCTION("""COMPUTED_VALUE"""),6250.0)</f>
        <v>6250</v>
      </c>
      <c r="D854" s="5">
        <f>IFERROR(__xludf.DUMMYFUNCTION("""COMPUTED_VALUE"""),6150.0)</f>
        <v>6150</v>
      </c>
      <c r="E854" s="5">
        <f>IFERROR(__xludf.DUMMYFUNCTION("""COMPUTED_VALUE"""),6250.0)</f>
        <v>6250</v>
      </c>
      <c r="F854" s="5">
        <f>IFERROR(__xludf.DUMMYFUNCTION("""COMPUTED_VALUE"""),9365300.0)</f>
        <v>9365300</v>
      </c>
      <c r="G854" s="5">
        <f t="shared" si="1"/>
        <v>100</v>
      </c>
    </row>
    <row r="855">
      <c r="A855" s="4">
        <f>IFERROR(__xludf.DUMMYFUNCTION("""COMPUTED_VALUE"""),45114.66666666667)</f>
        <v>45114.66667</v>
      </c>
      <c r="B855" s="5">
        <f>IFERROR(__xludf.DUMMYFUNCTION("""COMPUTED_VALUE"""),6250.0)</f>
        <v>6250</v>
      </c>
      <c r="C855" s="5">
        <f>IFERROR(__xludf.DUMMYFUNCTION("""COMPUTED_VALUE"""),6475.0)</f>
        <v>6475</v>
      </c>
      <c r="D855" s="5">
        <f>IFERROR(__xludf.DUMMYFUNCTION("""COMPUTED_VALUE"""),6200.0)</f>
        <v>6200</v>
      </c>
      <c r="E855" s="5">
        <f>IFERROR(__xludf.DUMMYFUNCTION("""COMPUTED_VALUE"""),6425.0)</f>
        <v>6425</v>
      </c>
      <c r="F855" s="5">
        <f>IFERROR(__xludf.DUMMYFUNCTION("""COMPUTED_VALUE"""),1.98877E7)</f>
        <v>19887700</v>
      </c>
      <c r="G855" s="5">
        <f t="shared" si="1"/>
        <v>275</v>
      </c>
    </row>
    <row r="856">
      <c r="A856" s="4">
        <f>IFERROR(__xludf.DUMMYFUNCTION("""COMPUTED_VALUE"""),45117.66666666667)</f>
        <v>45117.66667</v>
      </c>
      <c r="B856" s="5">
        <f>IFERROR(__xludf.DUMMYFUNCTION("""COMPUTED_VALUE"""),6450.0)</f>
        <v>6450</v>
      </c>
      <c r="C856" s="5">
        <f>IFERROR(__xludf.DUMMYFUNCTION("""COMPUTED_VALUE"""),6475.0)</f>
        <v>6475</v>
      </c>
      <c r="D856" s="5">
        <f>IFERROR(__xludf.DUMMYFUNCTION("""COMPUTED_VALUE"""),6375.0)</f>
        <v>6375</v>
      </c>
      <c r="E856" s="5">
        <f>IFERROR(__xludf.DUMMYFUNCTION("""COMPUTED_VALUE"""),6425.0)</f>
        <v>6425</v>
      </c>
      <c r="F856" s="5">
        <f>IFERROR(__xludf.DUMMYFUNCTION("""COMPUTED_VALUE"""),9604700.0)</f>
        <v>9604700</v>
      </c>
      <c r="G856" s="5">
        <f t="shared" si="1"/>
        <v>100</v>
      </c>
    </row>
    <row r="857">
      <c r="A857" s="4">
        <f>IFERROR(__xludf.DUMMYFUNCTION("""COMPUTED_VALUE"""),45118.66666666667)</f>
        <v>45118.66667</v>
      </c>
      <c r="B857" s="5">
        <f>IFERROR(__xludf.DUMMYFUNCTION("""COMPUTED_VALUE"""),6425.0)</f>
        <v>6425</v>
      </c>
      <c r="C857" s="5">
        <f>IFERROR(__xludf.DUMMYFUNCTION("""COMPUTED_VALUE"""),6575.0)</f>
        <v>6575</v>
      </c>
      <c r="D857" s="5">
        <f>IFERROR(__xludf.DUMMYFUNCTION("""COMPUTED_VALUE"""),6425.0)</f>
        <v>6425</v>
      </c>
      <c r="E857" s="5">
        <f>IFERROR(__xludf.DUMMYFUNCTION("""COMPUTED_VALUE"""),6550.0)</f>
        <v>6550</v>
      </c>
      <c r="F857" s="5">
        <f>IFERROR(__xludf.DUMMYFUNCTION("""COMPUTED_VALUE"""),1.55078E7)</f>
        <v>15507800</v>
      </c>
      <c r="G857" s="5">
        <f t="shared" si="1"/>
        <v>150</v>
      </c>
    </row>
    <row r="858">
      <c r="A858" s="4">
        <f>IFERROR(__xludf.DUMMYFUNCTION("""COMPUTED_VALUE"""),45119.66666666667)</f>
        <v>45119.66667</v>
      </c>
      <c r="B858" s="5">
        <f>IFERROR(__xludf.DUMMYFUNCTION("""COMPUTED_VALUE"""),6550.0)</f>
        <v>6550</v>
      </c>
      <c r="C858" s="5">
        <f>IFERROR(__xludf.DUMMYFUNCTION("""COMPUTED_VALUE"""),6625.0)</f>
        <v>6625</v>
      </c>
      <c r="D858" s="5">
        <f>IFERROR(__xludf.DUMMYFUNCTION("""COMPUTED_VALUE"""),6500.0)</f>
        <v>6500</v>
      </c>
      <c r="E858" s="5">
        <f>IFERROR(__xludf.DUMMYFUNCTION("""COMPUTED_VALUE"""),6500.0)</f>
        <v>6500</v>
      </c>
      <c r="F858" s="5">
        <f>IFERROR(__xludf.DUMMYFUNCTION("""COMPUTED_VALUE"""),1.16681E7)</f>
        <v>11668100</v>
      </c>
      <c r="G858" s="5">
        <f t="shared" si="1"/>
        <v>125</v>
      </c>
    </row>
    <row r="859">
      <c r="A859" s="4">
        <f>IFERROR(__xludf.DUMMYFUNCTION("""COMPUTED_VALUE"""),45120.66666666667)</f>
        <v>45120.66667</v>
      </c>
      <c r="B859" s="5">
        <f>IFERROR(__xludf.DUMMYFUNCTION("""COMPUTED_VALUE"""),6525.0)</f>
        <v>6525</v>
      </c>
      <c r="C859" s="5">
        <f>IFERROR(__xludf.DUMMYFUNCTION("""COMPUTED_VALUE"""),6725.0)</f>
        <v>6725</v>
      </c>
      <c r="D859" s="5">
        <f>IFERROR(__xludf.DUMMYFUNCTION("""COMPUTED_VALUE"""),6525.0)</f>
        <v>6525</v>
      </c>
      <c r="E859" s="5">
        <f>IFERROR(__xludf.DUMMYFUNCTION("""COMPUTED_VALUE"""),6725.0)</f>
        <v>6725</v>
      </c>
      <c r="F859" s="5">
        <f>IFERROR(__xludf.DUMMYFUNCTION("""COMPUTED_VALUE"""),2.24276E7)</f>
        <v>22427600</v>
      </c>
      <c r="G859" s="5">
        <f t="shared" si="1"/>
        <v>225</v>
      </c>
    </row>
    <row r="860">
      <c r="A860" s="4">
        <f>IFERROR(__xludf.DUMMYFUNCTION("""COMPUTED_VALUE"""),45121.66666666667)</f>
        <v>45121.66667</v>
      </c>
      <c r="B860" s="5">
        <f>IFERROR(__xludf.DUMMYFUNCTION("""COMPUTED_VALUE"""),6800.0)</f>
        <v>6800</v>
      </c>
      <c r="C860" s="5">
        <f>IFERROR(__xludf.DUMMYFUNCTION("""COMPUTED_VALUE"""),6925.0)</f>
        <v>6925</v>
      </c>
      <c r="D860" s="5">
        <f>IFERROR(__xludf.DUMMYFUNCTION("""COMPUTED_VALUE"""),6725.0)</f>
        <v>6725</v>
      </c>
      <c r="E860" s="5">
        <f>IFERROR(__xludf.DUMMYFUNCTION("""COMPUTED_VALUE"""),6875.0)</f>
        <v>6875</v>
      </c>
      <c r="F860" s="5">
        <f>IFERROR(__xludf.DUMMYFUNCTION("""COMPUTED_VALUE"""),2.65073E7)</f>
        <v>26507300</v>
      </c>
      <c r="G860" s="5">
        <f t="shared" si="1"/>
        <v>200</v>
      </c>
    </row>
    <row r="861">
      <c r="A861" s="4">
        <f>IFERROR(__xludf.DUMMYFUNCTION("""COMPUTED_VALUE"""),45124.66666666667)</f>
        <v>45124.66667</v>
      </c>
      <c r="B861" s="5">
        <f>IFERROR(__xludf.DUMMYFUNCTION("""COMPUTED_VALUE"""),6875.0)</f>
        <v>6875</v>
      </c>
      <c r="C861" s="5">
        <f>IFERROR(__xludf.DUMMYFUNCTION("""COMPUTED_VALUE"""),6900.0)</f>
        <v>6900</v>
      </c>
      <c r="D861" s="5">
        <f>IFERROR(__xludf.DUMMYFUNCTION("""COMPUTED_VALUE"""),6750.0)</f>
        <v>6750</v>
      </c>
      <c r="E861" s="5">
        <f>IFERROR(__xludf.DUMMYFUNCTION("""COMPUTED_VALUE"""),6775.0)</f>
        <v>6775</v>
      </c>
      <c r="F861" s="5">
        <f>IFERROR(__xludf.DUMMYFUNCTION("""COMPUTED_VALUE"""),1.27237E7)</f>
        <v>12723700</v>
      </c>
      <c r="G861" s="5">
        <f t="shared" si="1"/>
        <v>150</v>
      </c>
    </row>
    <row r="862">
      <c r="A862" s="4">
        <f>IFERROR(__xludf.DUMMYFUNCTION("""COMPUTED_VALUE"""),45125.66666666667)</f>
        <v>45125.66667</v>
      </c>
      <c r="B862" s="5">
        <f>IFERROR(__xludf.DUMMYFUNCTION("""COMPUTED_VALUE"""),6800.0)</f>
        <v>6800</v>
      </c>
      <c r="C862" s="5">
        <f>IFERROR(__xludf.DUMMYFUNCTION("""COMPUTED_VALUE"""),6850.0)</f>
        <v>6850</v>
      </c>
      <c r="D862" s="5">
        <f>IFERROR(__xludf.DUMMYFUNCTION("""COMPUTED_VALUE"""),6650.0)</f>
        <v>6650</v>
      </c>
      <c r="E862" s="5">
        <f>IFERROR(__xludf.DUMMYFUNCTION("""COMPUTED_VALUE"""),6775.0)</f>
        <v>6775</v>
      </c>
      <c r="F862" s="5">
        <f>IFERROR(__xludf.DUMMYFUNCTION("""COMPUTED_VALUE"""),1.09257E7)</f>
        <v>10925700</v>
      </c>
      <c r="G862" s="5">
        <f t="shared" si="1"/>
        <v>200</v>
      </c>
    </row>
    <row r="863">
      <c r="A863" s="4">
        <f>IFERROR(__xludf.DUMMYFUNCTION("""COMPUTED_VALUE"""),45127.66666666667)</f>
        <v>45127.66667</v>
      </c>
      <c r="B863" s="5">
        <f>IFERROR(__xludf.DUMMYFUNCTION("""COMPUTED_VALUE"""),6775.0)</f>
        <v>6775</v>
      </c>
      <c r="C863" s="5">
        <f>IFERROR(__xludf.DUMMYFUNCTION("""COMPUTED_VALUE"""),6825.0)</f>
        <v>6825</v>
      </c>
      <c r="D863" s="5">
        <f>IFERROR(__xludf.DUMMYFUNCTION("""COMPUTED_VALUE"""),6700.0)</f>
        <v>6700</v>
      </c>
      <c r="E863" s="5">
        <f>IFERROR(__xludf.DUMMYFUNCTION("""COMPUTED_VALUE"""),6700.0)</f>
        <v>6700</v>
      </c>
      <c r="F863" s="5">
        <f>IFERROR(__xludf.DUMMYFUNCTION("""COMPUTED_VALUE"""),6440300.0)</f>
        <v>6440300</v>
      </c>
      <c r="G863" s="5">
        <f t="shared" si="1"/>
        <v>125</v>
      </c>
    </row>
    <row r="864">
      <c r="A864" s="4">
        <f>IFERROR(__xludf.DUMMYFUNCTION("""COMPUTED_VALUE"""),45128.66666666667)</f>
        <v>45128.66667</v>
      </c>
      <c r="B864" s="5">
        <f>IFERROR(__xludf.DUMMYFUNCTION("""COMPUTED_VALUE"""),6700.0)</f>
        <v>6700</v>
      </c>
      <c r="C864" s="5">
        <f>IFERROR(__xludf.DUMMYFUNCTION("""COMPUTED_VALUE"""),7050.0)</f>
        <v>7050</v>
      </c>
      <c r="D864" s="5">
        <f>IFERROR(__xludf.DUMMYFUNCTION("""COMPUTED_VALUE"""),6500.0)</f>
        <v>6500</v>
      </c>
      <c r="E864" s="5">
        <f>IFERROR(__xludf.DUMMYFUNCTION("""COMPUTED_VALUE"""),6950.0)</f>
        <v>6950</v>
      </c>
      <c r="F864" s="5">
        <f>IFERROR(__xludf.DUMMYFUNCTION("""COMPUTED_VALUE"""),2.9539E7)</f>
        <v>29539000</v>
      </c>
      <c r="G864" s="5">
        <f t="shared" si="1"/>
        <v>550</v>
      </c>
    </row>
    <row r="865">
      <c r="A865" s="4">
        <f>IFERROR(__xludf.DUMMYFUNCTION("""COMPUTED_VALUE"""),45131.66666666667)</f>
        <v>45131.66667</v>
      </c>
      <c r="B865" s="5">
        <f>IFERROR(__xludf.DUMMYFUNCTION("""COMPUTED_VALUE"""),6950.0)</f>
        <v>6950</v>
      </c>
      <c r="C865" s="5">
        <f>IFERROR(__xludf.DUMMYFUNCTION("""COMPUTED_VALUE"""),7075.0)</f>
        <v>7075</v>
      </c>
      <c r="D865" s="5">
        <f>IFERROR(__xludf.DUMMYFUNCTION("""COMPUTED_VALUE"""),6875.0)</f>
        <v>6875</v>
      </c>
      <c r="E865" s="5">
        <f>IFERROR(__xludf.DUMMYFUNCTION("""COMPUTED_VALUE"""),6950.0)</f>
        <v>6950</v>
      </c>
      <c r="F865" s="5">
        <f>IFERROR(__xludf.DUMMYFUNCTION("""COMPUTED_VALUE"""),1.39903E7)</f>
        <v>13990300</v>
      </c>
      <c r="G865" s="5">
        <f t="shared" si="1"/>
        <v>200</v>
      </c>
    </row>
    <row r="866">
      <c r="A866" s="4">
        <f>IFERROR(__xludf.DUMMYFUNCTION("""COMPUTED_VALUE"""),45132.66666666667)</f>
        <v>45132.66667</v>
      </c>
      <c r="B866" s="5">
        <f>IFERROR(__xludf.DUMMYFUNCTION("""COMPUTED_VALUE"""),6975.0)</f>
        <v>6975</v>
      </c>
      <c r="C866" s="5">
        <f>IFERROR(__xludf.DUMMYFUNCTION("""COMPUTED_VALUE"""),7125.0)</f>
        <v>7125</v>
      </c>
      <c r="D866" s="5">
        <f>IFERROR(__xludf.DUMMYFUNCTION("""COMPUTED_VALUE"""),6950.0)</f>
        <v>6950</v>
      </c>
      <c r="E866" s="5">
        <f>IFERROR(__xludf.DUMMYFUNCTION("""COMPUTED_VALUE"""),7000.0)</f>
        <v>7000</v>
      </c>
      <c r="F866" s="5">
        <f>IFERROR(__xludf.DUMMYFUNCTION("""COMPUTED_VALUE"""),1.32938E7)</f>
        <v>13293800</v>
      </c>
      <c r="G866" s="5">
        <f t="shared" si="1"/>
        <v>175</v>
      </c>
    </row>
    <row r="867">
      <c r="A867" s="4">
        <f>IFERROR(__xludf.DUMMYFUNCTION("""COMPUTED_VALUE"""),45133.66666666667)</f>
        <v>45133.66667</v>
      </c>
      <c r="B867" s="5">
        <f>IFERROR(__xludf.DUMMYFUNCTION("""COMPUTED_VALUE"""),7025.0)</f>
        <v>7025</v>
      </c>
      <c r="C867" s="5">
        <f>IFERROR(__xludf.DUMMYFUNCTION("""COMPUTED_VALUE"""),7050.0)</f>
        <v>7050</v>
      </c>
      <c r="D867" s="5">
        <f>IFERROR(__xludf.DUMMYFUNCTION("""COMPUTED_VALUE"""),6800.0)</f>
        <v>6800</v>
      </c>
      <c r="E867" s="5">
        <f>IFERROR(__xludf.DUMMYFUNCTION("""COMPUTED_VALUE"""),6825.0)</f>
        <v>6825</v>
      </c>
      <c r="F867" s="5">
        <f>IFERROR(__xludf.DUMMYFUNCTION("""COMPUTED_VALUE"""),8358500.0)</f>
        <v>8358500</v>
      </c>
      <c r="G867" s="5">
        <f t="shared" si="1"/>
        <v>250</v>
      </c>
    </row>
    <row r="868">
      <c r="A868" s="4">
        <f>IFERROR(__xludf.DUMMYFUNCTION("""COMPUTED_VALUE"""),45134.66666666667)</f>
        <v>45134.66667</v>
      </c>
      <c r="B868" s="5">
        <f>IFERROR(__xludf.DUMMYFUNCTION("""COMPUTED_VALUE"""),6825.0)</f>
        <v>6825</v>
      </c>
      <c r="C868" s="5">
        <f>IFERROR(__xludf.DUMMYFUNCTION("""COMPUTED_VALUE"""),6900.0)</f>
        <v>6900</v>
      </c>
      <c r="D868" s="5">
        <f>IFERROR(__xludf.DUMMYFUNCTION("""COMPUTED_VALUE"""),6675.0)</f>
        <v>6675</v>
      </c>
      <c r="E868" s="5">
        <f>IFERROR(__xludf.DUMMYFUNCTION("""COMPUTED_VALUE"""),6675.0)</f>
        <v>6675</v>
      </c>
      <c r="F868" s="5">
        <f>IFERROR(__xludf.DUMMYFUNCTION("""COMPUTED_VALUE"""),9332800.0)</f>
        <v>9332800</v>
      </c>
      <c r="G868" s="5">
        <f t="shared" si="1"/>
        <v>225</v>
      </c>
    </row>
    <row r="869">
      <c r="A869" s="4">
        <f>IFERROR(__xludf.DUMMYFUNCTION("""COMPUTED_VALUE"""),45135.66666666667)</f>
        <v>45135.66667</v>
      </c>
      <c r="B869" s="5">
        <f>IFERROR(__xludf.DUMMYFUNCTION("""COMPUTED_VALUE"""),6650.0)</f>
        <v>6650</v>
      </c>
      <c r="C869" s="5">
        <f>IFERROR(__xludf.DUMMYFUNCTION("""COMPUTED_VALUE"""),6750.0)</f>
        <v>6750</v>
      </c>
      <c r="D869" s="5">
        <f>IFERROR(__xludf.DUMMYFUNCTION("""COMPUTED_VALUE"""),6600.0)</f>
        <v>6600</v>
      </c>
      <c r="E869" s="5">
        <f>IFERROR(__xludf.DUMMYFUNCTION("""COMPUTED_VALUE"""),6750.0)</f>
        <v>6750</v>
      </c>
      <c r="F869" s="5">
        <f>IFERROR(__xludf.DUMMYFUNCTION("""COMPUTED_VALUE"""),5518200.0)</f>
        <v>5518200</v>
      </c>
      <c r="G869" s="5">
        <f t="shared" si="1"/>
        <v>150</v>
      </c>
    </row>
    <row r="870">
      <c r="A870" s="4">
        <f>IFERROR(__xludf.DUMMYFUNCTION("""COMPUTED_VALUE"""),45138.66666666667)</f>
        <v>45138.66667</v>
      </c>
      <c r="B870" s="5">
        <f>IFERROR(__xludf.DUMMYFUNCTION("""COMPUTED_VALUE"""),6800.0)</f>
        <v>6800</v>
      </c>
      <c r="C870" s="5">
        <f>IFERROR(__xludf.DUMMYFUNCTION("""COMPUTED_VALUE"""),6975.0)</f>
        <v>6975</v>
      </c>
      <c r="D870" s="5">
        <f>IFERROR(__xludf.DUMMYFUNCTION("""COMPUTED_VALUE"""),6700.0)</f>
        <v>6700</v>
      </c>
      <c r="E870" s="5">
        <f>IFERROR(__xludf.DUMMYFUNCTION("""COMPUTED_VALUE"""),6975.0)</f>
        <v>6975</v>
      </c>
      <c r="F870" s="5">
        <f>IFERROR(__xludf.DUMMYFUNCTION("""COMPUTED_VALUE"""),1.07931E7)</f>
        <v>10793100</v>
      </c>
      <c r="G870" s="5">
        <f t="shared" si="1"/>
        <v>275</v>
      </c>
    </row>
    <row r="871">
      <c r="A871" s="4">
        <f>IFERROR(__xludf.DUMMYFUNCTION("""COMPUTED_VALUE"""),45139.66666666667)</f>
        <v>45139.66667</v>
      </c>
      <c r="B871" s="5">
        <f>IFERROR(__xludf.DUMMYFUNCTION("""COMPUTED_VALUE"""),6875.0)</f>
        <v>6875</v>
      </c>
      <c r="C871" s="5">
        <f>IFERROR(__xludf.DUMMYFUNCTION("""COMPUTED_VALUE"""),6875.0)</f>
        <v>6875</v>
      </c>
      <c r="D871" s="5">
        <f>IFERROR(__xludf.DUMMYFUNCTION("""COMPUTED_VALUE"""),6700.0)</f>
        <v>6700</v>
      </c>
      <c r="E871" s="5">
        <f>IFERROR(__xludf.DUMMYFUNCTION("""COMPUTED_VALUE"""),6725.0)</f>
        <v>6725</v>
      </c>
      <c r="F871" s="5">
        <f>IFERROR(__xludf.DUMMYFUNCTION("""COMPUTED_VALUE"""),7657700.0)</f>
        <v>7657700</v>
      </c>
      <c r="G871" s="5">
        <f t="shared" si="1"/>
        <v>275</v>
      </c>
    </row>
    <row r="872">
      <c r="A872" s="4">
        <f>IFERROR(__xludf.DUMMYFUNCTION("""COMPUTED_VALUE"""),45140.66666666667)</f>
        <v>45140.66667</v>
      </c>
      <c r="B872" s="5">
        <f>IFERROR(__xludf.DUMMYFUNCTION("""COMPUTED_VALUE"""),6725.0)</f>
        <v>6725</v>
      </c>
      <c r="C872" s="5">
        <f>IFERROR(__xludf.DUMMYFUNCTION("""COMPUTED_VALUE"""),6975.0)</f>
        <v>6975</v>
      </c>
      <c r="D872" s="5">
        <f>IFERROR(__xludf.DUMMYFUNCTION("""COMPUTED_VALUE"""),6650.0)</f>
        <v>6650</v>
      </c>
      <c r="E872" s="5">
        <f>IFERROR(__xludf.DUMMYFUNCTION("""COMPUTED_VALUE"""),6825.0)</f>
        <v>6825</v>
      </c>
      <c r="F872" s="5">
        <f>IFERROR(__xludf.DUMMYFUNCTION("""COMPUTED_VALUE"""),1.66983E7)</f>
        <v>16698300</v>
      </c>
      <c r="G872" s="5">
        <f t="shared" si="1"/>
        <v>325</v>
      </c>
    </row>
    <row r="873">
      <c r="A873" s="4">
        <f>IFERROR(__xludf.DUMMYFUNCTION("""COMPUTED_VALUE"""),45141.66666666667)</f>
        <v>45141.66667</v>
      </c>
      <c r="B873" s="5">
        <f>IFERROR(__xludf.DUMMYFUNCTION("""COMPUTED_VALUE"""),6850.0)</f>
        <v>6850</v>
      </c>
      <c r="C873" s="5">
        <f>IFERROR(__xludf.DUMMYFUNCTION("""COMPUTED_VALUE"""),7250.0)</f>
        <v>7250</v>
      </c>
      <c r="D873" s="5">
        <f>IFERROR(__xludf.DUMMYFUNCTION("""COMPUTED_VALUE"""),6850.0)</f>
        <v>6850</v>
      </c>
      <c r="E873" s="5">
        <f>IFERROR(__xludf.DUMMYFUNCTION("""COMPUTED_VALUE"""),7225.0)</f>
        <v>7225</v>
      </c>
      <c r="F873" s="5">
        <f>IFERROR(__xludf.DUMMYFUNCTION("""COMPUTED_VALUE"""),3.64913E7)</f>
        <v>36491300</v>
      </c>
      <c r="G873" s="5">
        <f t="shared" si="1"/>
        <v>425</v>
      </c>
    </row>
    <row r="874">
      <c r="A874" s="4">
        <f>IFERROR(__xludf.DUMMYFUNCTION("""COMPUTED_VALUE"""),45142.66666666667)</f>
        <v>45142.66667</v>
      </c>
      <c r="B874" s="5">
        <f>IFERROR(__xludf.DUMMYFUNCTION("""COMPUTED_VALUE"""),7225.0)</f>
        <v>7225</v>
      </c>
      <c r="C874" s="5">
        <f>IFERROR(__xludf.DUMMYFUNCTION("""COMPUTED_VALUE"""),7225.0)</f>
        <v>7225</v>
      </c>
      <c r="D874" s="5">
        <f>IFERROR(__xludf.DUMMYFUNCTION("""COMPUTED_VALUE"""),7025.0)</f>
        <v>7025</v>
      </c>
      <c r="E874" s="5">
        <f>IFERROR(__xludf.DUMMYFUNCTION("""COMPUTED_VALUE"""),7075.0)</f>
        <v>7075</v>
      </c>
      <c r="F874" s="5">
        <f>IFERROR(__xludf.DUMMYFUNCTION("""COMPUTED_VALUE"""),1.25391E7)</f>
        <v>12539100</v>
      </c>
      <c r="G874" s="5">
        <f t="shared" si="1"/>
        <v>200</v>
      </c>
    </row>
    <row r="875">
      <c r="A875" s="4">
        <f>IFERROR(__xludf.DUMMYFUNCTION("""COMPUTED_VALUE"""),45145.66666666667)</f>
        <v>45145.66667</v>
      </c>
      <c r="B875" s="5">
        <f>IFERROR(__xludf.DUMMYFUNCTION("""COMPUTED_VALUE"""),7075.0)</f>
        <v>7075</v>
      </c>
      <c r="C875" s="5">
        <f>IFERROR(__xludf.DUMMYFUNCTION("""COMPUTED_VALUE"""),7125.0)</f>
        <v>7125</v>
      </c>
      <c r="D875" s="5">
        <f>IFERROR(__xludf.DUMMYFUNCTION("""COMPUTED_VALUE"""),6875.0)</f>
        <v>6875</v>
      </c>
      <c r="E875" s="5">
        <f>IFERROR(__xludf.DUMMYFUNCTION("""COMPUTED_VALUE"""),6950.0)</f>
        <v>6950</v>
      </c>
      <c r="F875" s="5">
        <f>IFERROR(__xludf.DUMMYFUNCTION("""COMPUTED_VALUE"""),1.01123E7)</f>
        <v>10112300</v>
      </c>
      <c r="G875" s="5">
        <f t="shared" si="1"/>
        <v>250</v>
      </c>
    </row>
    <row r="876">
      <c r="A876" s="4">
        <f>IFERROR(__xludf.DUMMYFUNCTION("""COMPUTED_VALUE"""),45146.66666666667)</f>
        <v>45146.66667</v>
      </c>
      <c r="B876" s="5">
        <f>IFERROR(__xludf.DUMMYFUNCTION("""COMPUTED_VALUE"""),6925.0)</f>
        <v>6925</v>
      </c>
      <c r="C876" s="5">
        <f>IFERROR(__xludf.DUMMYFUNCTION("""COMPUTED_VALUE"""),6975.0)</f>
        <v>6975</v>
      </c>
      <c r="D876" s="5">
        <f>IFERROR(__xludf.DUMMYFUNCTION("""COMPUTED_VALUE"""),6800.0)</f>
        <v>6800</v>
      </c>
      <c r="E876" s="5">
        <f>IFERROR(__xludf.DUMMYFUNCTION("""COMPUTED_VALUE"""),6850.0)</f>
        <v>6850</v>
      </c>
      <c r="F876" s="5">
        <f>IFERROR(__xludf.DUMMYFUNCTION("""COMPUTED_VALUE"""),1.29718E7)</f>
        <v>12971800</v>
      </c>
      <c r="G876" s="5">
        <f t="shared" si="1"/>
        <v>175</v>
      </c>
    </row>
    <row r="877">
      <c r="A877" s="4">
        <f>IFERROR(__xludf.DUMMYFUNCTION("""COMPUTED_VALUE"""),45147.66666666667)</f>
        <v>45147.66667</v>
      </c>
      <c r="B877" s="5">
        <f>IFERROR(__xludf.DUMMYFUNCTION("""COMPUTED_VALUE"""),6850.0)</f>
        <v>6850</v>
      </c>
      <c r="C877" s="5">
        <f>IFERROR(__xludf.DUMMYFUNCTION("""COMPUTED_VALUE"""),6925.0)</f>
        <v>6925</v>
      </c>
      <c r="D877" s="5">
        <f>IFERROR(__xludf.DUMMYFUNCTION("""COMPUTED_VALUE"""),6600.0)</f>
        <v>6600</v>
      </c>
      <c r="E877" s="5">
        <f>IFERROR(__xludf.DUMMYFUNCTION("""COMPUTED_VALUE"""),6675.0)</f>
        <v>6675</v>
      </c>
      <c r="F877" s="5">
        <f>IFERROR(__xludf.DUMMYFUNCTION("""COMPUTED_VALUE"""),2.68859E7)</f>
        <v>26885900</v>
      </c>
      <c r="G877" s="5">
        <f t="shared" si="1"/>
        <v>325</v>
      </c>
    </row>
    <row r="878">
      <c r="A878" s="4">
        <f>IFERROR(__xludf.DUMMYFUNCTION("""COMPUTED_VALUE"""),45148.66666666667)</f>
        <v>45148.66667</v>
      </c>
      <c r="B878" s="5">
        <f>IFERROR(__xludf.DUMMYFUNCTION("""COMPUTED_VALUE"""),6675.0)</f>
        <v>6675</v>
      </c>
      <c r="C878" s="5">
        <f>IFERROR(__xludf.DUMMYFUNCTION("""COMPUTED_VALUE"""),6750.0)</f>
        <v>6750</v>
      </c>
      <c r="D878" s="5">
        <f>IFERROR(__xludf.DUMMYFUNCTION("""COMPUTED_VALUE"""),6650.0)</f>
        <v>6650</v>
      </c>
      <c r="E878" s="5">
        <f>IFERROR(__xludf.DUMMYFUNCTION("""COMPUTED_VALUE"""),6650.0)</f>
        <v>6650</v>
      </c>
      <c r="F878" s="5">
        <f>IFERROR(__xludf.DUMMYFUNCTION("""COMPUTED_VALUE"""),7660700.0)</f>
        <v>7660700</v>
      </c>
      <c r="G878" s="5">
        <f t="shared" si="1"/>
        <v>100</v>
      </c>
    </row>
    <row r="879">
      <c r="A879" s="4">
        <f>IFERROR(__xludf.DUMMYFUNCTION("""COMPUTED_VALUE"""),45149.66666666667)</f>
        <v>45149.66667</v>
      </c>
      <c r="B879" s="5">
        <f>IFERROR(__xludf.DUMMYFUNCTION("""COMPUTED_VALUE"""),6700.0)</f>
        <v>6700</v>
      </c>
      <c r="C879" s="5">
        <f>IFERROR(__xludf.DUMMYFUNCTION("""COMPUTED_VALUE"""),6775.0)</f>
        <v>6775</v>
      </c>
      <c r="D879" s="5">
        <f>IFERROR(__xludf.DUMMYFUNCTION("""COMPUTED_VALUE"""),6675.0)</f>
        <v>6675</v>
      </c>
      <c r="E879" s="5">
        <f>IFERROR(__xludf.DUMMYFUNCTION("""COMPUTED_VALUE"""),6725.0)</f>
        <v>6725</v>
      </c>
      <c r="F879" s="5">
        <f>IFERROR(__xludf.DUMMYFUNCTION("""COMPUTED_VALUE"""),7848200.0)</f>
        <v>7848200</v>
      </c>
      <c r="G879" s="5">
        <f t="shared" si="1"/>
        <v>125</v>
      </c>
    </row>
    <row r="880">
      <c r="A880" s="4">
        <f>IFERROR(__xludf.DUMMYFUNCTION("""COMPUTED_VALUE"""),45152.66666666667)</f>
        <v>45152.66667</v>
      </c>
      <c r="B880" s="5">
        <f>IFERROR(__xludf.DUMMYFUNCTION("""COMPUTED_VALUE"""),6775.0)</f>
        <v>6775</v>
      </c>
      <c r="C880" s="5">
        <f>IFERROR(__xludf.DUMMYFUNCTION("""COMPUTED_VALUE"""),6850.0)</f>
        <v>6850</v>
      </c>
      <c r="D880" s="5">
        <f>IFERROR(__xludf.DUMMYFUNCTION("""COMPUTED_VALUE"""),6700.0)</f>
        <v>6700</v>
      </c>
      <c r="E880" s="5">
        <f>IFERROR(__xludf.DUMMYFUNCTION("""COMPUTED_VALUE"""),6850.0)</f>
        <v>6850</v>
      </c>
      <c r="F880" s="5">
        <f>IFERROR(__xludf.DUMMYFUNCTION("""COMPUTED_VALUE"""),7277300.0)</f>
        <v>7277300</v>
      </c>
      <c r="G880" s="5">
        <f t="shared" si="1"/>
        <v>150</v>
      </c>
    </row>
    <row r="881">
      <c r="A881" s="4">
        <f>IFERROR(__xludf.DUMMYFUNCTION("""COMPUTED_VALUE"""),45153.66666666667)</f>
        <v>45153.66667</v>
      </c>
      <c r="B881" s="5">
        <f>IFERROR(__xludf.DUMMYFUNCTION("""COMPUTED_VALUE"""),6850.0)</f>
        <v>6850</v>
      </c>
      <c r="C881" s="5">
        <f>IFERROR(__xludf.DUMMYFUNCTION("""COMPUTED_VALUE"""),6900.0)</f>
        <v>6900</v>
      </c>
      <c r="D881" s="5">
        <f>IFERROR(__xludf.DUMMYFUNCTION("""COMPUTED_VALUE"""),6775.0)</f>
        <v>6775</v>
      </c>
      <c r="E881" s="5">
        <f>IFERROR(__xludf.DUMMYFUNCTION("""COMPUTED_VALUE"""),6850.0)</f>
        <v>6850</v>
      </c>
      <c r="F881" s="5">
        <f>IFERROR(__xludf.DUMMYFUNCTION("""COMPUTED_VALUE"""),5339200.0)</f>
        <v>5339200</v>
      </c>
      <c r="G881" s="5">
        <f t="shared" si="1"/>
        <v>125</v>
      </c>
    </row>
    <row r="882">
      <c r="A882" s="4">
        <f>IFERROR(__xludf.DUMMYFUNCTION("""COMPUTED_VALUE"""),45154.66666666667)</f>
        <v>45154.66667</v>
      </c>
      <c r="B882" s="5">
        <f>IFERROR(__xludf.DUMMYFUNCTION("""COMPUTED_VALUE"""),6850.0)</f>
        <v>6850</v>
      </c>
      <c r="C882" s="5">
        <f>IFERROR(__xludf.DUMMYFUNCTION("""COMPUTED_VALUE"""),6925.0)</f>
        <v>6925</v>
      </c>
      <c r="D882" s="5">
        <f>IFERROR(__xludf.DUMMYFUNCTION("""COMPUTED_VALUE"""),6775.0)</f>
        <v>6775</v>
      </c>
      <c r="E882" s="5">
        <f>IFERROR(__xludf.DUMMYFUNCTION("""COMPUTED_VALUE"""),6925.0)</f>
        <v>6925</v>
      </c>
      <c r="F882" s="5">
        <f>IFERROR(__xludf.DUMMYFUNCTION("""COMPUTED_VALUE"""),3655100.0)</f>
        <v>3655100</v>
      </c>
      <c r="G882" s="5">
        <f t="shared" si="1"/>
        <v>150</v>
      </c>
    </row>
    <row r="883">
      <c r="A883" s="4">
        <f>IFERROR(__xludf.DUMMYFUNCTION("""COMPUTED_VALUE"""),45156.66666666667)</f>
        <v>45156.66667</v>
      </c>
      <c r="B883" s="5">
        <f>IFERROR(__xludf.DUMMYFUNCTION("""COMPUTED_VALUE"""),6925.0)</f>
        <v>6925</v>
      </c>
      <c r="C883" s="5">
        <f>IFERROR(__xludf.DUMMYFUNCTION("""COMPUTED_VALUE"""),6925.0)</f>
        <v>6925</v>
      </c>
      <c r="D883" s="5">
        <f>IFERROR(__xludf.DUMMYFUNCTION("""COMPUTED_VALUE"""),6700.0)</f>
        <v>6700</v>
      </c>
      <c r="E883" s="5">
        <f>IFERROR(__xludf.DUMMYFUNCTION("""COMPUTED_VALUE"""),6725.0)</f>
        <v>6725</v>
      </c>
      <c r="F883" s="5">
        <f>IFERROR(__xludf.DUMMYFUNCTION("""COMPUTED_VALUE"""),9581000.0)</f>
        <v>9581000</v>
      </c>
      <c r="G883" s="5">
        <f t="shared" si="1"/>
        <v>225</v>
      </c>
    </row>
    <row r="884">
      <c r="A884" s="4">
        <f>IFERROR(__xludf.DUMMYFUNCTION("""COMPUTED_VALUE"""),45159.66666666667)</f>
        <v>45159.66667</v>
      </c>
      <c r="B884" s="5">
        <f>IFERROR(__xludf.DUMMYFUNCTION("""COMPUTED_VALUE"""),6725.0)</f>
        <v>6725</v>
      </c>
      <c r="C884" s="5">
        <f>IFERROR(__xludf.DUMMYFUNCTION("""COMPUTED_VALUE"""),6800.0)</f>
        <v>6800</v>
      </c>
      <c r="D884" s="5">
        <f>IFERROR(__xludf.DUMMYFUNCTION("""COMPUTED_VALUE"""),6675.0)</f>
        <v>6675</v>
      </c>
      <c r="E884" s="5">
        <f>IFERROR(__xludf.DUMMYFUNCTION("""COMPUTED_VALUE"""),6700.0)</f>
        <v>6700</v>
      </c>
      <c r="F884" s="5">
        <f>IFERROR(__xludf.DUMMYFUNCTION("""COMPUTED_VALUE"""),1.19998E7)</f>
        <v>11999800</v>
      </c>
      <c r="G884" s="5">
        <f t="shared" si="1"/>
        <v>125</v>
      </c>
    </row>
    <row r="885">
      <c r="A885" s="4">
        <f>IFERROR(__xludf.DUMMYFUNCTION("""COMPUTED_VALUE"""),45160.66666666667)</f>
        <v>45160.66667</v>
      </c>
      <c r="B885" s="5">
        <f>IFERROR(__xludf.DUMMYFUNCTION("""COMPUTED_VALUE"""),6700.0)</f>
        <v>6700</v>
      </c>
      <c r="C885" s="5">
        <f>IFERROR(__xludf.DUMMYFUNCTION("""COMPUTED_VALUE"""),6800.0)</f>
        <v>6800</v>
      </c>
      <c r="D885" s="5">
        <f>IFERROR(__xludf.DUMMYFUNCTION("""COMPUTED_VALUE"""),6700.0)</f>
        <v>6700</v>
      </c>
      <c r="E885" s="5">
        <f>IFERROR(__xludf.DUMMYFUNCTION("""COMPUTED_VALUE"""),6750.0)</f>
        <v>6750</v>
      </c>
      <c r="F885" s="5">
        <f>IFERROR(__xludf.DUMMYFUNCTION("""COMPUTED_VALUE"""),5463900.0)</f>
        <v>5463900</v>
      </c>
      <c r="G885" s="5">
        <f t="shared" si="1"/>
        <v>100</v>
      </c>
    </row>
    <row r="886">
      <c r="A886" s="4">
        <f>IFERROR(__xludf.DUMMYFUNCTION("""COMPUTED_VALUE"""),45161.66666666667)</f>
        <v>45161.66667</v>
      </c>
      <c r="B886" s="5">
        <f>IFERROR(__xludf.DUMMYFUNCTION("""COMPUTED_VALUE"""),6750.0)</f>
        <v>6750</v>
      </c>
      <c r="C886" s="5">
        <f>IFERROR(__xludf.DUMMYFUNCTION("""COMPUTED_VALUE"""),6825.0)</f>
        <v>6825</v>
      </c>
      <c r="D886" s="5">
        <f>IFERROR(__xludf.DUMMYFUNCTION("""COMPUTED_VALUE"""),6725.0)</f>
        <v>6725</v>
      </c>
      <c r="E886" s="5">
        <f>IFERROR(__xludf.DUMMYFUNCTION("""COMPUTED_VALUE"""),6725.0)</f>
        <v>6725</v>
      </c>
      <c r="F886" s="5">
        <f>IFERROR(__xludf.DUMMYFUNCTION("""COMPUTED_VALUE"""),6978300.0)</f>
        <v>6978300</v>
      </c>
      <c r="G886" s="5">
        <f t="shared" si="1"/>
        <v>100</v>
      </c>
    </row>
    <row r="887">
      <c r="A887" s="4">
        <f>IFERROR(__xludf.DUMMYFUNCTION("""COMPUTED_VALUE"""),45162.66666666667)</f>
        <v>45162.66667</v>
      </c>
      <c r="B887" s="5">
        <f>IFERROR(__xludf.DUMMYFUNCTION("""COMPUTED_VALUE"""),6750.0)</f>
        <v>6750</v>
      </c>
      <c r="C887" s="5">
        <f>IFERROR(__xludf.DUMMYFUNCTION("""COMPUTED_VALUE"""),7000.0)</f>
        <v>7000</v>
      </c>
      <c r="D887" s="5">
        <f>IFERROR(__xludf.DUMMYFUNCTION("""COMPUTED_VALUE"""),6750.0)</f>
        <v>6750</v>
      </c>
      <c r="E887" s="5">
        <f>IFERROR(__xludf.DUMMYFUNCTION("""COMPUTED_VALUE"""),6875.0)</f>
        <v>6875</v>
      </c>
      <c r="F887" s="5">
        <f>IFERROR(__xludf.DUMMYFUNCTION("""COMPUTED_VALUE"""),1.91412E7)</f>
        <v>19141200</v>
      </c>
      <c r="G887" s="5">
        <f t="shared" si="1"/>
        <v>275</v>
      </c>
    </row>
    <row r="888">
      <c r="A888" s="4">
        <f>IFERROR(__xludf.DUMMYFUNCTION("""COMPUTED_VALUE"""),45163.66666666667)</f>
        <v>45163.66667</v>
      </c>
      <c r="B888" s="5">
        <f>IFERROR(__xludf.DUMMYFUNCTION("""COMPUTED_VALUE"""),6900.0)</f>
        <v>6900</v>
      </c>
      <c r="C888" s="5">
        <f>IFERROR(__xludf.DUMMYFUNCTION("""COMPUTED_VALUE"""),7000.0)</f>
        <v>7000</v>
      </c>
      <c r="D888" s="5">
        <f>IFERROR(__xludf.DUMMYFUNCTION("""COMPUTED_VALUE"""),6875.0)</f>
        <v>6875</v>
      </c>
      <c r="E888" s="5">
        <f>IFERROR(__xludf.DUMMYFUNCTION("""COMPUTED_VALUE"""),6875.0)</f>
        <v>6875</v>
      </c>
      <c r="F888" s="5">
        <f>IFERROR(__xludf.DUMMYFUNCTION("""COMPUTED_VALUE"""),7441100.0)</f>
        <v>7441100</v>
      </c>
      <c r="G888" s="5">
        <f t="shared" si="1"/>
        <v>125</v>
      </c>
    </row>
    <row r="889">
      <c r="A889" s="4">
        <f>IFERROR(__xludf.DUMMYFUNCTION("""COMPUTED_VALUE"""),45166.66666666667)</f>
        <v>45166.66667</v>
      </c>
      <c r="B889" s="5">
        <f>IFERROR(__xludf.DUMMYFUNCTION("""COMPUTED_VALUE"""),6950.0)</f>
        <v>6950</v>
      </c>
      <c r="C889" s="5">
        <f>IFERROR(__xludf.DUMMYFUNCTION("""COMPUTED_VALUE"""),6950.0)</f>
        <v>6950</v>
      </c>
      <c r="D889" s="5">
        <f>IFERROR(__xludf.DUMMYFUNCTION("""COMPUTED_VALUE"""),6850.0)</f>
        <v>6850</v>
      </c>
      <c r="E889" s="5">
        <f>IFERROR(__xludf.DUMMYFUNCTION("""COMPUTED_VALUE"""),6850.0)</f>
        <v>6850</v>
      </c>
      <c r="F889" s="5">
        <f>IFERROR(__xludf.DUMMYFUNCTION("""COMPUTED_VALUE"""),1918600.0)</f>
        <v>1918600</v>
      </c>
      <c r="G889" s="5">
        <f t="shared" si="1"/>
        <v>100</v>
      </c>
    </row>
    <row r="890">
      <c r="A890" s="4">
        <f>IFERROR(__xludf.DUMMYFUNCTION("""COMPUTED_VALUE"""),45167.66666666667)</f>
        <v>45167.66667</v>
      </c>
      <c r="B890" s="5">
        <f>IFERROR(__xludf.DUMMYFUNCTION("""COMPUTED_VALUE"""),6875.0)</f>
        <v>6875</v>
      </c>
      <c r="C890" s="5">
        <f>IFERROR(__xludf.DUMMYFUNCTION("""COMPUTED_VALUE"""),6925.0)</f>
        <v>6925</v>
      </c>
      <c r="D890" s="5">
        <f>IFERROR(__xludf.DUMMYFUNCTION("""COMPUTED_VALUE"""),6825.0)</f>
        <v>6825</v>
      </c>
      <c r="E890" s="5">
        <f>IFERROR(__xludf.DUMMYFUNCTION("""COMPUTED_VALUE"""),6875.0)</f>
        <v>6875</v>
      </c>
      <c r="F890" s="5">
        <f>IFERROR(__xludf.DUMMYFUNCTION("""COMPUTED_VALUE"""),5150200.0)</f>
        <v>5150200</v>
      </c>
      <c r="G890" s="5">
        <f t="shared" si="1"/>
        <v>100</v>
      </c>
    </row>
    <row r="891">
      <c r="A891" s="4">
        <f>IFERROR(__xludf.DUMMYFUNCTION("""COMPUTED_VALUE"""),45168.66666666667)</f>
        <v>45168.66667</v>
      </c>
      <c r="B891" s="5">
        <f>IFERROR(__xludf.DUMMYFUNCTION("""COMPUTED_VALUE"""),6900.0)</f>
        <v>6900</v>
      </c>
      <c r="C891" s="5">
        <f>IFERROR(__xludf.DUMMYFUNCTION("""COMPUTED_VALUE"""),6950.0)</f>
        <v>6950</v>
      </c>
      <c r="D891" s="5">
        <f>IFERROR(__xludf.DUMMYFUNCTION("""COMPUTED_VALUE"""),6850.0)</f>
        <v>6850</v>
      </c>
      <c r="E891" s="5">
        <f>IFERROR(__xludf.DUMMYFUNCTION("""COMPUTED_VALUE"""),6875.0)</f>
        <v>6875</v>
      </c>
      <c r="F891" s="5">
        <f>IFERROR(__xludf.DUMMYFUNCTION("""COMPUTED_VALUE"""),6141100.0)</f>
        <v>6141100</v>
      </c>
      <c r="G891" s="5">
        <f t="shared" si="1"/>
        <v>100</v>
      </c>
    </row>
    <row r="892">
      <c r="A892" s="4">
        <f>IFERROR(__xludf.DUMMYFUNCTION("""COMPUTED_VALUE"""),45169.66666666667)</f>
        <v>45169.66667</v>
      </c>
      <c r="B892" s="5">
        <f>IFERROR(__xludf.DUMMYFUNCTION("""COMPUTED_VALUE"""),6900.0)</f>
        <v>6900</v>
      </c>
      <c r="C892" s="5">
        <f>IFERROR(__xludf.DUMMYFUNCTION("""COMPUTED_VALUE"""),6925.0)</f>
        <v>6925</v>
      </c>
      <c r="D892" s="5">
        <f>IFERROR(__xludf.DUMMYFUNCTION("""COMPUTED_VALUE"""),6775.0)</f>
        <v>6775</v>
      </c>
      <c r="E892" s="5">
        <f>IFERROR(__xludf.DUMMYFUNCTION("""COMPUTED_VALUE"""),6800.0)</f>
        <v>6800</v>
      </c>
      <c r="F892" s="5">
        <f>IFERROR(__xludf.DUMMYFUNCTION("""COMPUTED_VALUE"""),1.10447E7)</f>
        <v>11044700</v>
      </c>
      <c r="G892" s="5">
        <f t="shared" si="1"/>
        <v>150</v>
      </c>
    </row>
    <row r="893">
      <c r="A893" s="4">
        <f>IFERROR(__xludf.DUMMYFUNCTION("""COMPUTED_VALUE"""),45170.66666666667)</f>
        <v>45170.66667</v>
      </c>
      <c r="B893" s="5">
        <f>IFERROR(__xludf.DUMMYFUNCTION("""COMPUTED_VALUE"""),6825.0)</f>
        <v>6825</v>
      </c>
      <c r="C893" s="5">
        <f>IFERROR(__xludf.DUMMYFUNCTION("""COMPUTED_VALUE"""),6875.0)</f>
        <v>6875</v>
      </c>
      <c r="D893" s="5">
        <f>IFERROR(__xludf.DUMMYFUNCTION("""COMPUTED_VALUE"""),6775.0)</f>
        <v>6775</v>
      </c>
      <c r="E893" s="5">
        <f>IFERROR(__xludf.DUMMYFUNCTION("""COMPUTED_VALUE"""),6800.0)</f>
        <v>6800</v>
      </c>
      <c r="F893" s="5">
        <f>IFERROR(__xludf.DUMMYFUNCTION("""COMPUTED_VALUE"""),3905100.0)</f>
        <v>3905100</v>
      </c>
      <c r="G893" s="5">
        <f t="shared" si="1"/>
        <v>100</v>
      </c>
    </row>
    <row r="894">
      <c r="A894" s="4">
        <f>IFERROR(__xludf.DUMMYFUNCTION("""COMPUTED_VALUE"""),45173.66666666667)</f>
        <v>45173.66667</v>
      </c>
      <c r="B894" s="5">
        <f>IFERROR(__xludf.DUMMYFUNCTION("""COMPUTED_VALUE"""),6825.0)</f>
        <v>6825</v>
      </c>
      <c r="C894" s="5">
        <f>IFERROR(__xludf.DUMMYFUNCTION("""COMPUTED_VALUE"""),6950.0)</f>
        <v>6950</v>
      </c>
      <c r="D894" s="5">
        <f>IFERROR(__xludf.DUMMYFUNCTION("""COMPUTED_VALUE"""),6750.0)</f>
        <v>6750</v>
      </c>
      <c r="E894" s="5">
        <f>IFERROR(__xludf.DUMMYFUNCTION("""COMPUTED_VALUE"""),6775.0)</f>
        <v>6775</v>
      </c>
      <c r="F894" s="5">
        <f>IFERROR(__xludf.DUMMYFUNCTION("""COMPUTED_VALUE"""),5524700.0)</f>
        <v>5524700</v>
      </c>
      <c r="G894" s="5">
        <f t="shared" si="1"/>
        <v>200</v>
      </c>
    </row>
    <row r="895">
      <c r="A895" s="4">
        <f>IFERROR(__xludf.DUMMYFUNCTION("""COMPUTED_VALUE"""),45174.66666666667)</f>
        <v>45174.66667</v>
      </c>
      <c r="B895" s="5">
        <f>IFERROR(__xludf.DUMMYFUNCTION("""COMPUTED_VALUE"""),6800.0)</f>
        <v>6800</v>
      </c>
      <c r="C895" s="5">
        <f>IFERROR(__xludf.DUMMYFUNCTION("""COMPUTED_VALUE"""),6975.0)</f>
        <v>6975</v>
      </c>
      <c r="D895" s="5">
        <f>IFERROR(__xludf.DUMMYFUNCTION("""COMPUTED_VALUE"""),6800.0)</f>
        <v>6800</v>
      </c>
      <c r="E895" s="5">
        <f>IFERROR(__xludf.DUMMYFUNCTION("""COMPUTED_VALUE"""),6975.0)</f>
        <v>6975</v>
      </c>
      <c r="F895" s="5">
        <f>IFERROR(__xludf.DUMMYFUNCTION("""COMPUTED_VALUE"""),1.03401E7)</f>
        <v>10340100</v>
      </c>
      <c r="G895" s="5">
        <f t="shared" si="1"/>
        <v>200</v>
      </c>
    </row>
    <row r="896">
      <c r="A896" s="4">
        <f>IFERROR(__xludf.DUMMYFUNCTION("""COMPUTED_VALUE"""),45175.66666666667)</f>
        <v>45175.66667</v>
      </c>
      <c r="B896" s="5">
        <f>IFERROR(__xludf.DUMMYFUNCTION("""COMPUTED_VALUE"""),6975.0)</f>
        <v>6975</v>
      </c>
      <c r="C896" s="5">
        <f>IFERROR(__xludf.DUMMYFUNCTION("""COMPUTED_VALUE"""),6975.0)</f>
        <v>6975</v>
      </c>
      <c r="D896" s="5">
        <f>IFERROR(__xludf.DUMMYFUNCTION("""COMPUTED_VALUE"""),6875.0)</f>
        <v>6875</v>
      </c>
      <c r="E896" s="5">
        <f>IFERROR(__xludf.DUMMYFUNCTION("""COMPUTED_VALUE"""),6875.0)</f>
        <v>6875</v>
      </c>
      <c r="F896" s="5">
        <f>IFERROR(__xludf.DUMMYFUNCTION("""COMPUTED_VALUE"""),4497200.0)</f>
        <v>4497200</v>
      </c>
      <c r="G896" s="5">
        <f t="shared" si="1"/>
        <v>100</v>
      </c>
    </row>
    <row r="897">
      <c r="A897" s="4">
        <f>IFERROR(__xludf.DUMMYFUNCTION("""COMPUTED_VALUE"""),45176.66666666667)</f>
        <v>45176.66667</v>
      </c>
      <c r="B897" s="5">
        <f>IFERROR(__xludf.DUMMYFUNCTION("""COMPUTED_VALUE"""),6875.0)</f>
        <v>6875</v>
      </c>
      <c r="C897" s="5">
        <f>IFERROR(__xludf.DUMMYFUNCTION("""COMPUTED_VALUE"""),6900.0)</f>
        <v>6900</v>
      </c>
      <c r="D897" s="5">
        <f>IFERROR(__xludf.DUMMYFUNCTION("""COMPUTED_VALUE"""),6800.0)</f>
        <v>6800</v>
      </c>
      <c r="E897" s="5">
        <f>IFERROR(__xludf.DUMMYFUNCTION("""COMPUTED_VALUE"""),6875.0)</f>
        <v>6875</v>
      </c>
      <c r="F897" s="5">
        <f>IFERROR(__xludf.DUMMYFUNCTION("""COMPUTED_VALUE"""),3496800.0)</f>
        <v>3496800</v>
      </c>
      <c r="G897" s="5">
        <f t="shared" si="1"/>
        <v>100</v>
      </c>
    </row>
    <row r="898">
      <c r="A898" s="4">
        <f>IFERROR(__xludf.DUMMYFUNCTION("""COMPUTED_VALUE"""),45177.66666666667)</f>
        <v>45177.66667</v>
      </c>
      <c r="B898" s="5">
        <f>IFERROR(__xludf.DUMMYFUNCTION("""COMPUTED_VALUE"""),6875.0)</f>
        <v>6875</v>
      </c>
      <c r="C898" s="5">
        <f>IFERROR(__xludf.DUMMYFUNCTION("""COMPUTED_VALUE"""),6925.0)</f>
        <v>6925</v>
      </c>
      <c r="D898" s="5">
        <f>IFERROR(__xludf.DUMMYFUNCTION("""COMPUTED_VALUE"""),6800.0)</f>
        <v>6800</v>
      </c>
      <c r="E898" s="5">
        <f>IFERROR(__xludf.DUMMYFUNCTION("""COMPUTED_VALUE"""),6925.0)</f>
        <v>6925</v>
      </c>
      <c r="F898" s="5">
        <f>IFERROR(__xludf.DUMMYFUNCTION("""COMPUTED_VALUE"""),4613000.0)</f>
        <v>4613000</v>
      </c>
      <c r="G898" s="5">
        <f t="shared" si="1"/>
        <v>125</v>
      </c>
    </row>
    <row r="899">
      <c r="A899" s="4">
        <f>IFERROR(__xludf.DUMMYFUNCTION("""COMPUTED_VALUE"""),45180.66666666667)</f>
        <v>45180.66667</v>
      </c>
      <c r="B899" s="5">
        <f>IFERROR(__xludf.DUMMYFUNCTION("""COMPUTED_VALUE"""),6925.0)</f>
        <v>6925</v>
      </c>
      <c r="C899" s="5">
        <f>IFERROR(__xludf.DUMMYFUNCTION("""COMPUTED_VALUE"""),7100.0)</f>
        <v>7100</v>
      </c>
      <c r="D899" s="5">
        <f>IFERROR(__xludf.DUMMYFUNCTION("""COMPUTED_VALUE"""),6900.0)</f>
        <v>6900</v>
      </c>
      <c r="E899" s="5">
        <f>IFERROR(__xludf.DUMMYFUNCTION("""COMPUTED_VALUE"""),7100.0)</f>
        <v>7100</v>
      </c>
      <c r="F899" s="5">
        <f>IFERROR(__xludf.DUMMYFUNCTION("""COMPUTED_VALUE"""),8855600.0)</f>
        <v>8855600</v>
      </c>
      <c r="G899" s="5">
        <f t="shared" si="1"/>
        <v>200</v>
      </c>
    </row>
    <row r="900">
      <c r="A900" s="4">
        <f>IFERROR(__xludf.DUMMYFUNCTION("""COMPUTED_VALUE"""),45181.66666666667)</f>
        <v>45181.66667</v>
      </c>
      <c r="B900" s="5">
        <f>IFERROR(__xludf.DUMMYFUNCTION("""COMPUTED_VALUE"""),7100.0)</f>
        <v>7100</v>
      </c>
      <c r="C900" s="5">
        <f>IFERROR(__xludf.DUMMYFUNCTION("""COMPUTED_VALUE"""),7100.0)</f>
        <v>7100</v>
      </c>
      <c r="D900" s="5">
        <f>IFERROR(__xludf.DUMMYFUNCTION("""COMPUTED_VALUE"""),7000.0)</f>
        <v>7000</v>
      </c>
      <c r="E900" s="5">
        <f>IFERROR(__xludf.DUMMYFUNCTION("""COMPUTED_VALUE"""),7025.0)</f>
        <v>7025</v>
      </c>
      <c r="F900" s="5">
        <f>IFERROR(__xludf.DUMMYFUNCTION("""COMPUTED_VALUE"""),3803900.0)</f>
        <v>3803900</v>
      </c>
      <c r="G900" s="5">
        <f t="shared" si="1"/>
        <v>100</v>
      </c>
    </row>
    <row r="901">
      <c r="A901" s="4">
        <f>IFERROR(__xludf.DUMMYFUNCTION("""COMPUTED_VALUE"""),45182.66666666667)</f>
        <v>45182.66667</v>
      </c>
      <c r="B901" s="5">
        <f>IFERROR(__xludf.DUMMYFUNCTION("""COMPUTED_VALUE"""),7025.0)</f>
        <v>7025</v>
      </c>
      <c r="C901" s="5">
        <f>IFERROR(__xludf.DUMMYFUNCTION("""COMPUTED_VALUE"""),7050.0)</f>
        <v>7050</v>
      </c>
      <c r="D901" s="5">
        <f>IFERROR(__xludf.DUMMYFUNCTION("""COMPUTED_VALUE"""),6925.0)</f>
        <v>6925</v>
      </c>
      <c r="E901" s="5">
        <f>IFERROR(__xludf.DUMMYFUNCTION("""COMPUTED_VALUE"""),6975.0)</f>
        <v>6975</v>
      </c>
      <c r="F901" s="5">
        <f>IFERROR(__xludf.DUMMYFUNCTION("""COMPUTED_VALUE"""),4196500.0)</f>
        <v>4196500</v>
      </c>
      <c r="G901" s="5">
        <f t="shared" si="1"/>
        <v>125</v>
      </c>
    </row>
    <row r="902">
      <c r="A902" s="4">
        <f>IFERROR(__xludf.DUMMYFUNCTION("""COMPUTED_VALUE"""),45183.66666666667)</f>
        <v>45183.66667</v>
      </c>
      <c r="B902" s="5">
        <f>IFERROR(__xludf.DUMMYFUNCTION("""COMPUTED_VALUE"""),7000.0)</f>
        <v>7000</v>
      </c>
      <c r="C902" s="5">
        <f>IFERROR(__xludf.DUMMYFUNCTION("""COMPUTED_VALUE"""),7050.0)</f>
        <v>7050</v>
      </c>
      <c r="D902" s="5">
        <f>IFERROR(__xludf.DUMMYFUNCTION("""COMPUTED_VALUE"""),6950.0)</f>
        <v>6950</v>
      </c>
      <c r="E902" s="5">
        <f>IFERROR(__xludf.DUMMYFUNCTION("""COMPUTED_VALUE"""),7000.0)</f>
        <v>7000</v>
      </c>
      <c r="F902" s="5">
        <f>IFERROR(__xludf.DUMMYFUNCTION("""COMPUTED_VALUE"""),5283600.0)</f>
        <v>5283600</v>
      </c>
      <c r="G902" s="5">
        <f t="shared" si="1"/>
        <v>100</v>
      </c>
    </row>
    <row r="903">
      <c r="A903" s="4">
        <f>IFERROR(__xludf.DUMMYFUNCTION("""COMPUTED_VALUE"""),45184.66666666667)</f>
        <v>45184.66667</v>
      </c>
      <c r="B903" s="5">
        <f>IFERROR(__xludf.DUMMYFUNCTION("""COMPUTED_VALUE"""),7025.0)</f>
        <v>7025</v>
      </c>
      <c r="C903" s="5">
        <f>IFERROR(__xludf.DUMMYFUNCTION("""COMPUTED_VALUE"""),7025.0)</f>
        <v>7025</v>
      </c>
      <c r="D903" s="5">
        <f>IFERROR(__xludf.DUMMYFUNCTION("""COMPUTED_VALUE"""),6900.0)</f>
        <v>6900</v>
      </c>
      <c r="E903" s="5">
        <f>IFERROR(__xludf.DUMMYFUNCTION("""COMPUTED_VALUE"""),7000.0)</f>
        <v>7000</v>
      </c>
      <c r="F903" s="5">
        <f>IFERROR(__xludf.DUMMYFUNCTION("""COMPUTED_VALUE"""),6661200.0)</f>
        <v>6661200</v>
      </c>
      <c r="G903" s="5">
        <f t="shared" si="1"/>
        <v>125</v>
      </c>
    </row>
    <row r="904">
      <c r="A904" s="4">
        <f>IFERROR(__xludf.DUMMYFUNCTION("""COMPUTED_VALUE"""),45187.66666666667)</f>
        <v>45187.66667</v>
      </c>
      <c r="B904" s="5">
        <f>IFERROR(__xludf.DUMMYFUNCTION("""COMPUTED_VALUE"""),7000.0)</f>
        <v>7000</v>
      </c>
      <c r="C904" s="5">
        <f>IFERROR(__xludf.DUMMYFUNCTION("""COMPUTED_VALUE"""),7025.0)</f>
        <v>7025</v>
      </c>
      <c r="D904" s="5">
        <f>IFERROR(__xludf.DUMMYFUNCTION("""COMPUTED_VALUE"""),6875.0)</f>
        <v>6875</v>
      </c>
      <c r="E904" s="5">
        <f>IFERROR(__xludf.DUMMYFUNCTION("""COMPUTED_VALUE"""),6875.0)</f>
        <v>6875</v>
      </c>
      <c r="F904" s="5">
        <f>IFERROR(__xludf.DUMMYFUNCTION("""COMPUTED_VALUE"""),5554500.0)</f>
        <v>5554500</v>
      </c>
      <c r="G904" s="5">
        <f t="shared" si="1"/>
        <v>150</v>
      </c>
    </row>
    <row r="905">
      <c r="A905" s="4">
        <f>IFERROR(__xludf.DUMMYFUNCTION("""COMPUTED_VALUE"""),45188.66666666667)</f>
        <v>45188.66667</v>
      </c>
      <c r="B905" s="5">
        <f>IFERROR(__xludf.DUMMYFUNCTION("""COMPUTED_VALUE"""),6900.0)</f>
        <v>6900</v>
      </c>
      <c r="C905" s="5">
        <f>IFERROR(__xludf.DUMMYFUNCTION("""COMPUTED_VALUE"""),6975.0)</f>
        <v>6975</v>
      </c>
      <c r="D905" s="5">
        <f>IFERROR(__xludf.DUMMYFUNCTION("""COMPUTED_VALUE"""),6850.0)</f>
        <v>6850</v>
      </c>
      <c r="E905" s="5">
        <f>IFERROR(__xludf.DUMMYFUNCTION("""COMPUTED_VALUE"""),6850.0)</f>
        <v>6850</v>
      </c>
      <c r="F905" s="5">
        <f>IFERROR(__xludf.DUMMYFUNCTION("""COMPUTED_VALUE"""),4817500.0)</f>
        <v>4817500</v>
      </c>
      <c r="G905" s="5">
        <f t="shared" si="1"/>
        <v>125</v>
      </c>
    </row>
    <row r="906">
      <c r="A906" s="4">
        <f>IFERROR(__xludf.DUMMYFUNCTION("""COMPUTED_VALUE"""),45189.66666666667)</f>
        <v>45189.66667</v>
      </c>
      <c r="B906" s="5">
        <f>IFERROR(__xludf.DUMMYFUNCTION("""COMPUTED_VALUE"""),6875.0)</f>
        <v>6875</v>
      </c>
      <c r="C906" s="5">
        <f>IFERROR(__xludf.DUMMYFUNCTION("""COMPUTED_VALUE"""),6950.0)</f>
        <v>6950</v>
      </c>
      <c r="D906" s="5">
        <f>IFERROR(__xludf.DUMMYFUNCTION("""COMPUTED_VALUE"""),6850.0)</f>
        <v>6850</v>
      </c>
      <c r="E906" s="5">
        <f>IFERROR(__xludf.DUMMYFUNCTION("""COMPUTED_VALUE"""),6875.0)</f>
        <v>6875</v>
      </c>
      <c r="F906" s="5">
        <f>IFERROR(__xludf.DUMMYFUNCTION("""COMPUTED_VALUE"""),7999500.0)</f>
        <v>7999500</v>
      </c>
      <c r="G906" s="5">
        <f t="shared" si="1"/>
        <v>100</v>
      </c>
    </row>
    <row r="907">
      <c r="A907" s="4">
        <f>IFERROR(__xludf.DUMMYFUNCTION("""COMPUTED_VALUE"""),45190.66666666667)</f>
        <v>45190.66667</v>
      </c>
      <c r="B907" s="5">
        <f>IFERROR(__xludf.DUMMYFUNCTION("""COMPUTED_VALUE"""),6900.0)</f>
        <v>6900</v>
      </c>
      <c r="C907" s="5">
        <f>IFERROR(__xludf.DUMMYFUNCTION("""COMPUTED_VALUE"""),6950.0)</f>
        <v>6950</v>
      </c>
      <c r="D907" s="5">
        <f>IFERROR(__xludf.DUMMYFUNCTION("""COMPUTED_VALUE"""),6850.0)</f>
        <v>6850</v>
      </c>
      <c r="E907" s="5">
        <f>IFERROR(__xludf.DUMMYFUNCTION("""COMPUTED_VALUE"""),6900.0)</f>
        <v>6900</v>
      </c>
      <c r="F907" s="5">
        <f>IFERROR(__xludf.DUMMYFUNCTION("""COMPUTED_VALUE"""),2866700.0)</f>
        <v>2866700</v>
      </c>
      <c r="G907" s="5">
        <f t="shared" si="1"/>
        <v>100</v>
      </c>
    </row>
    <row r="908">
      <c r="A908" s="4">
        <f>IFERROR(__xludf.DUMMYFUNCTION("""COMPUTED_VALUE"""),45191.66666666667)</f>
        <v>45191.66667</v>
      </c>
      <c r="B908" s="5">
        <f>IFERROR(__xludf.DUMMYFUNCTION("""COMPUTED_VALUE"""),6900.0)</f>
        <v>6900</v>
      </c>
      <c r="C908" s="5">
        <f>IFERROR(__xludf.DUMMYFUNCTION("""COMPUTED_VALUE"""),6900.0)</f>
        <v>6900</v>
      </c>
      <c r="D908" s="5">
        <f>IFERROR(__xludf.DUMMYFUNCTION("""COMPUTED_VALUE"""),6850.0)</f>
        <v>6850</v>
      </c>
      <c r="E908" s="5">
        <f>IFERROR(__xludf.DUMMYFUNCTION("""COMPUTED_VALUE"""),6850.0)</f>
        <v>6850</v>
      </c>
      <c r="F908" s="5">
        <f>IFERROR(__xludf.DUMMYFUNCTION("""COMPUTED_VALUE"""),3635800.0)</f>
        <v>3635800</v>
      </c>
      <c r="G908" s="5">
        <f t="shared" si="1"/>
        <v>50</v>
      </c>
    </row>
    <row r="909">
      <c r="A909" s="4">
        <f>IFERROR(__xludf.DUMMYFUNCTION("""COMPUTED_VALUE"""),45194.66666666667)</f>
        <v>45194.66667</v>
      </c>
      <c r="B909" s="5">
        <f>IFERROR(__xludf.DUMMYFUNCTION("""COMPUTED_VALUE"""),6850.0)</f>
        <v>6850</v>
      </c>
      <c r="C909" s="5">
        <f>IFERROR(__xludf.DUMMYFUNCTION("""COMPUTED_VALUE"""),6900.0)</f>
        <v>6900</v>
      </c>
      <c r="D909" s="5">
        <f>IFERROR(__xludf.DUMMYFUNCTION("""COMPUTED_VALUE"""),6625.0)</f>
        <v>6625</v>
      </c>
      <c r="E909" s="5">
        <f>IFERROR(__xludf.DUMMYFUNCTION("""COMPUTED_VALUE"""),6650.0)</f>
        <v>6650</v>
      </c>
      <c r="F909" s="5">
        <f>IFERROR(__xludf.DUMMYFUNCTION("""COMPUTED_VALUE"""),9659700.0)</f>
        <v>9659700</v>
      </c>
      <c r="G909" s="5">
        <f t="shared" si="1"/>
        <v>275</v>
      </c>
    </row>
    <row r="910">
      <c r="A910" s="4">
        <f>IFERROR(__xludf.DUMMYFUNCTION("""COMPUTED_VALUE"""),45195.66666666667)</f>
        <v>45195.66667</v>
      </c>
      <c r="B910" s="5">
        <f>IFERROR(__xludf.DUMMYFUNCTION("""COMPUTED_VALUE"""),6650.0)</f>
        <v>6650</v>
      </c>
      <c r="C910" s="5">
        <f>IFERROR(__xludf.DUMMYFUNCTION("""COMPUTED_VALUE"""),6750.0)</f>
        <v>6750</v>
      </c>
      <c r="D910" s="5">
        <f>IFERROR(__xludf.DUMMYFUNCTION("""COMPUTED_VALUE"""),6525.0)</f>
        <v>6525</v>
      </c>
      <c r="E910" s="5">
        <f>IFERROR(__xludf.DUMMYFUNCTION("""COMPUTED_VALUE"""),6550.0)</f>
        <v>6550</v>
      </c>
      <c r="F910" s="5">
        <f>IFERROR(__xludf.DUMMYFUNCTION("""COMPUTED_VALUE"""),8460800.0)</f>
        <v>8460800</v>
      </c>
      <c r="G910" s="5">
        <f t="shared" si="1"/>
        <v>225</v>
      </c>
    </row>
    <row r="911">
      <c r="A911" s="4">
        <f>IFERROR(__xludf.DUMMYFUNCTION("""COMPUTED_VALUE"""),45196.66666666667)</f>
        <v>45196.66667</v>
      </c>
      <c r="B911" s="5">
        <f>IFERROR(__xludf.DUMMYFUNCTION("""COMPUTED_VALUE"""),6550.0)</f>
        <v>6550</v>
      </c>
      <c r="C911" s="5">
        <f>IFERROR(__xludf.DUMMYFUNCTION("""COMPUTED_VALUE"""),6650.0)</f>
        <v>6650</v>
      </c>
      <c r="D911" s="5">
        <f>IFERROR(__xludf.DUMMYFUNCTION("""COMPUTED_VALUE"""),6500.0)</f>
        <v>6500</v>
      </c>
      <c r="E911" s="5">
        <f>IFERROR(__xludf.DUMMYFUNCTION("""COMPUTED_VALUE"""),6550.0)</f>
        <v>6550</v>
      </c>
      <c r="F911" s="5">
        <f>IFERROR(__xludf.DUMMYFUNCTION("""COMPUTED_VALUE"""),7265600.0)</f>
        <v>7265600</v>
      </c>
      <c r="G911" s="5">
        <f t="shared" si="1"/>
        <v>150</v>
      </c>
    </row>
    <row r="912">
      <c r="A912" s="4">
        <f>IFERROR(__xludf.DUMMYFUNCTION("""COMPUTED_VALUE"""),45198.66666666667)</f>
        <v>45198.66667</v>
      </c>
      <c r="B912" s="5">
        <f>IFERROR(__xludf.DUMMYFUNCTION("""COMPUTED_VALUE"""),6575.0)</f>
        <v>6575</v>
      </c>
      <c r="C912" s="5">
        <f>IFERROR(__xludf.DUMMYFUNCTION("""COMPUTED_VALUE"""),6625.0)</f>
        <v>6625</v>
      </c>
      <c r="D912" s="5">
        <f>IFERROR(__xludf.DUMMYFUNCTION("""COMPUTED_VALUE"""),6425.0)</f>
        <v>6425</v>
      </c>
      <c r="E912" s="5">
        <f>IFERROR(__xludf.DUMMYFUNCTION("""COMPUTED_VALUE"""),6425.0)</f>
        <v>6425</v>
      </c>
      <c r="F912" s="5">
        <f>IFERROR(__xludf.DUMMYFUNCTION("""COMPUTED_VALUE"""),6352400.0)</f>
        <v>6352400</v>
      </c>
      <c r="G912" s="5">
        <f t="shared" si="1"/>
        <v>200</v>
      </c>
    </row>
    <row r="913">
      <c r="A913" s="4">
        <f>IFERROR(__xludf.DUMMYFUNCTION("""COMPUTED_VALUE"""),45201.66666666667)</f>
        <v>45201.66667</v>
      </c>
      <c r="B913" s="5">
        <f>IFERROR(__xludf.DUMMYFUNCTION("""COMPUTED_VALUE"""),6450.0)</f>
        <v>6450</v>
      </c>
      <c r="C913" s="5">
        <f>IFERROR(__xludf.DUMMYFUNCTION("""COMPUTED_VALUE"""),6525.0)</f>
        <v>6525</v>
      </c>
      <c r="D913" s="5">
        <f>IFERROR(__xludf.DUMMYFUNCTION("""COMPUTED_VALUE"""),6425.0)</f>
        <v>6425</v>
      </c>
      <c r="E913" s="5">
        <f>IFERROR(__xludf.DUMMYFUNCTION("""COMPUTED_VALUE"""),6475.0)</f>
        <v>6475</v>
      </c>
      <c r="F913" s="5">
        <f>IFERROR(__xludf.DUMMYFUNCTION("""COMPUTED_VALUE"""),4337800.0)</f>
        <v>4337800</v>
      </c>
      <c r="G913" s="5">
        <f t="shared" si="1"/>
        <v>100</v>
      </c>
    </row>
    <row r="914">
      <c r="A914" s="4">
        <f>IFERROR(__xludf.DUMMYFUNCTION("""COMPUTED_VALUE"""),45202.66666666667)</f>
        <v>45202.66667</v>
      </c>
      <c r="B914" s="5">
        <f>IFERROR(__xludf.DUMMYFUNCTION("""COMPUTED_VALUE"""),6500.0)</f>
        <v>6500</v>
      </c>
      <c r="C914" s="5">
        <f>IFERROR(__xludf.DUMMYFUNCTION("""COMPUTED_VALUE"""),6500.0)</f>
        <v>6500</v>
      </c>
      <c r="D914" s="5">
        <f>IFERROR(__xludf.DUMMYFUNCTION("""COMPUTED_VALUE"""),6375.0)</f>
        <v>6375</v>
      </c>
      <c r="E914" s="5">
        <f>IFERROR(__xludf.DUMMYFUNCTION("""COMPUTED_VALUE"""),6400.0)</f>
        <v>6400</v>
      </c>
      <c r="F914" s="5">
        <f>IFERROR(__xludf.DUMMYFUNCTION("""COMPUTED_VALUE"""),5909100.0)</f>
        <v>5909100</v>
      </c>
      <c r="G914" s="5">
        <f t="shared" si="1"/>
        <v>125</v>
      </c>
    </row>
    <row r="915">
      <c r="A915" s="4">
        <f>IFERROR(__xludf.DUMMYFUNCTION("""COMPUTED_VALUE"""),45203.66666666667)</f>
        <v>45203.66667</v>
      </c>
      <c r="B915" s="5">
        <f>IFERROR(__xludf.DUMMYFUNCTION("""COMPUTED_VALUE"""),6350.0)</f>
        <v>6350</v>
      </c>
      <c r="C915" s="5">
        <f>IFERROR(__xludf.DUMMYFUNCTION("""COMPUTED_VALUE"""),6400.0)</f>
        <v>6400</v>
      </c>
      <c r="D915" s="5">
        <f>IFERROR(__xludf.DUMMYFUNCTION("""COMPUTED_VALUE"""),6275.0)</f>
        <v>6275</v>
      </c>
      <c r="E915" s="5">
        <f>IFERROR(__xludf.DUMMYFUNCTION("""COMPUTED_VALUE"""),6300.0)</f>
        <v>6300</v>
      </c>
      <c r="F915" s="5">
        <f>IFERROR(__xludf.DUMMYFUNCTION("""COMPUTED_VALUE"""),1.05652E7)</f>
        <v>10565200</v>
      </c>
      <c r="G915" s="5">
        <f t="shared" si="1"/>
        <v>125</v>
      </c>
    </row>
    <row r="916">
      <c r="A916" s="4">
        <f>IFERROR(__xludf.DUMMYFUNCTION("""COMPUTED_VALUE"""),45204.66666666667)</f>
        <v>45204.66667</v>
      </c>
      <c r="B916" s="5">
        <f>IFERROR(__xludf.DUMMYFUNCTION("""COMPUTED_VALUE"""),6375.0)</f>
        <v>6375</v>
      </c>
      <c r="C916" s="5">
        <f>IFERROR(__xludf.DUMMYFUNCTION("""COMPUTED_VALUE"""),6375.0)</f>
        <v>6375</v>
      </c>
      <c r="D916" s="5">
        <f>IFERROR(__xludf.DUMMYFUNCTION("""COMPUTED_VALUE"""),6225.0)</f>
        <v>6225</v>
      </c>
      <c r="E916" s="5">
        <f>IFERROR(__xludf.DUMMYFUNCTION("""COMPUTED_VALUE"""),6250.0)</f>
        <v>6250</v>
      </c>
      <c r="F916" s="5">
        <f>IFERROR(__xludf.DUMMYFUNCTION("""COMPUTED_VALUE"""),8835500.0)</f>
        <v>8835500</v>
      </c>
      <c r="G916" s="5">
        <f t="shared" si="1"/>
        <v>150</v>
      </c>
    </row>
    <row r="917">
      <c r="A917" s="4">
        <f>IFERROR(__xludf.DUMMYFUNCTION("""COMPUTED_VALUE"""),45205.66666666667)</f>
        <v>45205.66667</v>
      </c>
      <c r="B917" s="5">
        <f>IFERROR(__xludf.DUMMYFUNCTION("""COMPUTED_VALUE"""),6250.0)</f>
        <v>6250</v>
      </c>
      <c r="C917" s="5">
        <f>IFERROR(__xludf.DUMMYFUNCTION("""COMPUTED_VALUE"""),6425.0)</f>
        <v>6425</v>
      </c>
      <c r="D917" s="5">
        <f>IFERROR(__xludf.DUMMYFUNCTION("""COMPUTED_VALUE"""),6250.0)</f>
        <v>6250</v>
      </c>
      <c r="E917" s="5">
        <f>IFERROR(__xludf.DUMMYFUNCTION("""COMPUTED_VALUE"""),6350.0)</f>
        <v>6350</v>
      </c>
      <c r="F917" s="5">
        <f>IFERROR(__xludf.DUMMYFUNCTION("""COMPUTED_VALUE"""),5913300.0)</f>
        <v>5913300</v>
      </c>
      <c r="G917" s="5">
        <f t="shared" si="1"/>
        <v>175</v>
      </c>
    </row>
    <row r="918">
      <c r="A918" s="4">
        <f>IFERROR(__xludf.DUMMYFUNCTION("""COMPUTED_VALUE"""),45208.66666666667)</f>
        <v>45208.66667</v>
      </c>
      <c r="B918" s="5">
        <f>IFERROR(__xludf.DUMMYFUNCTION("""COMPUTED_VALUE"""),6400.0)</f>
        <v>6400</v>
      </c>
      <c r="C918" s="5">
        <f>IFERROR(__xludf.DUMMYFUNCTION("""COMPUTED_VALUE"""),6650.0)</f>
        <v>6650</v>
      </c>
      <c r="D918" s="5">
        <f>IFERROR(__xludf.DUMMYFUNCTION("""COMPUTED_VALUE"""),6400.0)</f>
        <v>6400</v>
      </c>
      <c r="E918" s="5">
        <f>IFERROR(__xludf.DUMMYFUNCTION("""COMPUTED_VALUE"""),6600.0)</f>
        <v>6600</v>
      </c>
      <c r="F918" s="5">
        <f>IFERROR(__xludf.DUMMYFUNCTION("""COMPUTED_VALUE"""),9458700.0)</f>
        <v>9458700</v>
      </c>
      <c r="G918" s="5">
        <f t="shared" si="1"/>
        <v>300</v>
      </c>
    </row>
    <row r="919">
      <c r="A919" s="4">
        <f>IFERROR(__xludf.DUMMYFUNCTION("""COMPUTED_VALUE"""),45209.66666666667)</f>
        <v>45209.66667</v>
      </c>
      <c r="B919" s="5">
        <f>IFERROR(__xludf.DUMMYFUNCTION("""COMPUTED_VALUE"""),6600.0)</f>
        <v>6600</v>
      </c>
      <c r="C919" s="5">
        <f>IFERROR(__xludf.DUMMYFUNCTION("""COMPUTED_VALUE"""),6725.0)</f>
        <v>6725</v>
      </c>
      <c r="D919" s="5">
        <f>IFERROR(__xludf.DUMMYFUNCTION("""COMPUTED_VALUE"""),6575.0)</f>
        <v>6575</v>
      </c>
      <c r="E919" s="5">
        <f>IFERROR(__xludf.DUMMYFUNCTION("""COMPUTED_VALUE"""),6575.0)</f>
        <v>6575</v>
      </c>
      <c r="F919" s="5">
        <f>IFERROR(__xludf.DUMMYFUNCTION("""COMPUTED_VALUE"""),5242800.0)</f>
        <v>5242800</v>
      </c>
      <c r="G919" s="5">
        <f t="shared" si="1"/>
        <v>150</v>
      </c>
    </row>
    <row r="920">
      <c r="A920" s="4">
        <f>IFERROR(__xludf.DUMMYFUNCTION("""COMPUTED_VALUE"""),45210.66666666667)</f>
        <v>45210.66667</v>
      </c>
      <c r="B920" s="5">
        <f>IFERROR(__xludf.DUMMYFUNCTION("""COMPUTED_VALUE"""),6675.0)</f>
        <v>6675</v>
      </c>
      <c r="C920" s="5">
        <f>IFERROR(__xludf.DUMMYFUNCTION("""COMPUTED_VALUE"""),6750.0)</f>
        <v>6750</v>
      </c>
      <c r="D920" s="5">
        <f>IFERROR(__xludf.DUMMYFUNCTION("""COMPUTED_VALUE"""),6525.0)</f>
        <v>6525</v>
      </c>
      <c r="E920" s="5">
        <f>IFERROR(__xludf.DUMMYFUNCTION("""COMPUTED_VALUE"""),6525.0)</f>
        <v>6525</v>
      </c>
      <c r="F920" s="5">
        <f>IFERROR(__xludf.DUMMYFUNCTION("""COMPUTED_VALUE"""),5492100.0)</f>
        <v>5492100</v>
      </c>
      <c r="G920" s="5">
        <f t="shared" si="1"/>
        <v>225</v>
      </c>
    </row>
    <row r="921">
      <c r="A921" s="4">
        <f>IFERROR(__xludf.DUMMYFUNCTION("""COMPUTED_VALUE"""),45211.66666666667)</f>
        <v>45211.66667</v>
      </c>
      <c r="B921" s="5">
        <f>IFERROR(__xludf.DUMMYFUNCTION("""COMPUTED_VALUE"""),6575.0)</f>
        <v>6575</v>
      </c>
      <c r="C921" s="5">
        <f>IFERROR(__xludf.DUMMYFUNCTION("""COMPUTED_VALUE"""),6700.0)</f>
        <v>6700</v>
      </c>
      <c r="D921" s="5">
        <f>IFERROR(__xludf.DUMMYFUNCTION("""COMPUTED_VALUE"""),6550.0)</f>
        <v>6550</v>
      </c>
      <c r="E921" s="5">
        <f>IFERROR(__xludf.DUMMYFUNCTION("""COMPUTED_VALUE"""),6550.0)</f>
        <v>6550</v>
      </c>
      <c r="F921" s="5">
        <f>IFERROR(__xludf.DUMMYFUNCTION("""COMPUTED_VALUE"""),5090800.0)</f>
        <v>5090800</v>
      </c>
      <c r="G921" s="5">
        <f t="shared" si="1"/>
        <v>175</v>
      </c>
    </row>
    <row r="922">
      <c r="A922" s="4">
        <f>IFERROR(__xludf.DUMMYFUNCTION("""COMPUTED_VALUE"""),45212.66666666667)</f>
        <v>45212.66667</v>
      </c>
      <c r="B922" s="5">
        <f>IFERROR(__xludf.DUMMYFUNCTION("""COMPUTED_VALUE"""),6625.0)</f>
        <v>6625</v>
      </c>
      <c r="C922" s="5">
        <f>IFERROR(__xludf.DUMMYFUNCTION("""COMPUTED_VALUE"""),6650.0)</f>
        <v>6650</v>
      </c>
      <c r="D922" s="5">
        <f>IFERROR(__xludf.DUMMYFUNCTION("""COMPUTED_VALUE"""),6525.0)</f>
        <v>6525</v>
      </c>
      <c r="E922" s="5">
        <f>IFERROR(__xludf.DUMMYFUNCTION("""COMPUTED_VALUE"""),6575.0)</f>
        <v>6575</v>
      </c>
      <c r="F922" s="5">
        <f>IFERROR(__xludf.DUMMYFUNCTION("""COMPUTED_VALUE"""),4250600.0)</f>
        <v>4250600</v>
      </c>
      <c r="G922" s="5">
        <f t="shared" si="1"/>
        <v>125</v>
      </c>
    </row>
    <row r="923">
      <c r="A923" s="4">
        <f>IFERROR(__xludf.DUMMYFUNCTION("""COMPUTED_VALUE"""),45215.66666666667)</f>
        <v>45215.66667</v>
      </c>
      <c r="B923" s="5">
        <f>IFERROR(__xludf.DUMMYFUNCTION("""COMPUTED_VALUE"""),6650.0)</f>
        <v>6650</v>
      </c>
      <c r="C923" s="5">
        <f>IFERROR(__xludf.DUMMYFUNCTION("""COMPUTED_VALUE"""),6650.0)</f>
        <v>6650</v>
      </c>
      <c r="D923" s="5">
        <f>IFERROR(__xludf.DUMMYFUNCTION("""COMPUTED_VALUE"""),6425.0)</f>
        <v>6425</v>
      </c>
      <c r="E923" s="5">
        <f>IFERROR(__xludf.DUMMYFUNCTION("""COMPUTED_VALUE"""),6450.0)</f>
        <v>6450</v>
      </c>
      <c r="F923" s="5">
        <f>IFERROR(__xludf.DUMMYFUNCTION("""COMPUTED_VALUE"""),4686800.0)</f>
        <v>4686800</v>
      </c>
      <c r="G923" s="5">
        <f t="shared" si="1"/>
        <v>225</v>
      </c>
    </row>
    <row r="924">
      <c r="A924" s="4">
        <f>IFERROR(__xludf.DUMMYFUNCTION("""COMPUTED_VALUE"""),45216.66666666667)</f>
        <v>45216.66667</v>
      </c>
      <c r="B924" s="5">
        <f>IFERROR(__xludf.DUMMYFUNCTION("""COMPUTED_VALUE"""),6525.0)</f>
        <v>6525</v>
      </c>
      <c r="C924" s="5">
        <f>IFERROR(__xludf.DUMMYFUNCTION("""COMPUTED_VALUE"""),6625.0)</f>
        <v>6625</v>
      </c>
      <c r="D924" s="5">
        <f>IFERROR(__xludf.DUMMYFUNCTION("""COMPUTED_VALUE"""),6450.0)</f>
        <v>6450</v>
      </c>
      <c r="E924" s="5">
        <f>IFERROR(__xludf.DUMMYFUNCTION("""COMPUTED_VALUE"""),6575.0)</f>
        <v>6575</v>
      </c>
      <c r="F924" s="5">
        <f>IFERROR(__xludf.DUMMYFUNCTION("""COMPUTED_VALUE"""),5030100.0)</f>
        <v>5030100</v>
      </c>
      <c r="G924" s="5">
        <f t="shared" si="1"/>
        <v>175</v>
      </c>
    </row>
    <row r="925">
      <c r="A925" s="4">
        <f>IFERROR(__xludf.DUMMYFUNCTION("""COMPUTED_VALUE"""),45217.66666666667)</f>
        <v>45217.66667</v>
      </c>
      <c r="B925" s="5">
        <f>IFERROR(__xludf.DUMMYFUNCTION("""COMPUTED_VALUE"""),6625.0)</f>
        <v>6625</v>
      </c>
      <c r="C925" s="5">
        <f>IFERROR(__xludf.DUMMYFUNCTION("""COMPUTED_VALUE"""),6650.0)</f>
        <v>6650</v>
      </c>
      <c r="D925" s="5">
        <f>IFERROR(__xludf.DUMMYFUNCTION("""COMPUTED_VALUE"""),6400.0)</f>
        <v>6400</v>
      </c>
      <c r="E925" s="5">
        <f>IFERROR(__xludf.DUMMYFUNCTION("""COMPUTED_VALUE"""),6400.0)</f>
        <v>6400</v>
      </c>
      <c r="F925" s="5">
        <f>IFERROR(__xludf.DUMMYFUNCTION("""COMPUTED_VALUE"""),7998500.0)</f>
        <v>7998500</v>
      </c>
      <c r="G925" s="5">
        <f t="shared" si="1"/>
        <v>250</v>
      </c>
    </row>
    <row r="926">
      <c r="A926" s="4">
        <f>IFERROR(__xludf.DUMMYFUNCTION("""COMPUTED_VALUE"""),45218.66666666667)</f>
        <v>45218.66667</v>
      </c>
      <c r="B926" s="5">
        <f>IFERROR(__xludf.DUMMYFUNCTION("""COMPUTED_VALUE"""),6450.0)</f>
        <v>6450</v>
      </c>
      <c r="C926" s="5">
        <f>IFERROR(__xludf.DUMMYFUNCTION("""COMPUTED_VALUE"""),6550.0)</f>
        <v>6550</v>
      </c>
      <c r="D926" s="5">
        <f>IFERROR(__xludf.DUMMYFUNCTION("""COMPUTED_VALUE"""),6425.0)</f>
        <v>6425</v>
      </c>
      <c r="E926" s="5">
        <f>IFERROR(__xludf.DUMMYFUNCTION("""COMPUTED_VALUE"""),6475.0)</f>
        <v>6475</v>
      </c>
      <c r="F926" s="5">
        <f>IFERROR(__xludf.DUMMYFUNCTION("""COMPUTED_VALUE"""),5575000.0)</f>
        <v>5575000</v>
      </c>
      <c r="G926" s="5">
        <f t="shared" si="1"/>
        <v>150</v>
      </c>
    </row>
    <row r="927">
      <c r="A927" s="4">
        <f>IFERROR(__xludf.DUMMYFUNCTION("""COMPUTED_VALUE"""),45219.66666666667)</f>
        <v>45219.66667</v>
      </c>
      <c r="B927" s="5">
        <f>IFERROR(__xludf.DUMMYFUNCTION("""COMPUTED_VALUE"""),6475.0)</f>
        <v>6475</v>
      </c>
      <c r="C927" s="5">
        <f>IFERROR(__xludf.DUMMYFUNCTION("""COMPUTED_VALUE"""),6500.0)</f>
        <v>6500</v>
      </c>
      <c r="D927" s="5">
        <f>IFERROR(__xludf.DUMMYFUNCTION("""COMPUTED_VALUE"""),6350.0)</f>
        <v>6350</v>
      </c>
      <c r="E927" s="5">
        <f>IFERROR(__xludf.DUMMYFUNCTION("""COMPUTED_VALUE"""),6400.0)</f>
        <v>6400</v>
      </c>
      <c r="F927" s="5">
        <f>IFERROR(__xludf.DUMMYFUNCTION("""COMPUTED_VALUE"""),3398000.0)</f>
        <v>3398000</v>
      </c>
      <c r="G927" s="5">
        <f t="shared" si="1"/>
        <v>150</v>
      </c>
    </row>
    <row r="928">
      <c r="A928" s="4">
        <f>IFERROR(__xludf.DUMMYFUNCTION("""COMPUTED_VALUE"""),45222.66666666667)</f>
        <v>45222.66667</v>
      </c>
      <c r="B928" s="5">
        <f>IFERROR(__xludf.DUMMYFUNCTION("""COMPUTED_VALUE"""),6425.0)</f>
        <v>6425</v>
      </c>
      <c r="C928" s="5">
        <f>IFERROR(__xludf.DUMMYFUNCTION("""COMPUTED_VALUE"""),6450.0)</f>
        <v>6450</v>
      </c>
      <c r="D928" s="5">
        <f>IFERROR(__xludf.DUMMYFUNCTION("""COMPUTED_VALUE"""),6225.0)</f>
        <v>6225</v>
      </c>
      <c r="E928" s="5">
        <f>IFERROR(__xludf.DUMMYFUNCTION("""COMPUTED_VALUE"""),6275.0)</f>
        <v>6275</v>
      </c>
      <c r="F928" s="5">
        <f>IFERROR(__xludf.DUMMYFUNCTION("""COMPUTED_VALUE"""),5652500.0)</f>
        <v>5652500</v>
      </c>
      <c r="G928" s="5">
        <f t="shared" si="1"/>
        <v>225</v>
      </c>
    </row>
    <row r="929">
      <c r="A929" s="4">
        <f>IFERROR(__xludf.DUMMYFUNCTION("""COMPUTED_VALUE"""),45223.66666666667)</f>
        <v>45223.66667</v>
      </c>
      <c r="B929" s="5">
        <f>IFERROR(__xludf.DUMMYFUNCTION("""COMPUTED_VALUE"""),6275.0)</f>
        <v>6275</v>
      </c>
      <c r="C929" s="5">
        <f>IFERROR(__xludf.DUMMYFUNCTION("""COMPUTED_VALUE"""),6375.0)</f>
        <v>6375</v>
      </c>
      <c r="D929" s="5">
        <f>IFERROR(__xludf.DUMMYFUNCTION("""COMPUTED_VALUE"""),6275.0)</f>
        <v>6275</v>
      </c>
      <c r="E929" s="5">
        <f>IFERROR(__xludf.DUMMYFUNCTION("""COMPUTED_VALUE"""),6325.0)</f>
        <v>6325</v>
      </c>
      <c r="F929" s="5">
        <f>IFERROR(__xludf.DUMMYFUNCTION("""COMPUTED_VALUE"""),2349700.0)</f>
        <v>2349700</v>
      </c>
      <c r="G929" s="5">
        <f t="shared" si="1"/>
        <v>100</v>
      </c>
    </row>
    <row r="930">
      <c r="A930" s="4">
        <f>IFERROR(__xludf.DUMMYFUNCTION("""COMPUTED_VALUE"""),45224.66666666667)</f>
        <v>45224.66667</v>
      </c>
      <c r="B930" s="5">
        <f>IFERROR(__xludf.DUMMYFUNCTION("""COMPUTED_VALUE"""),6350.0)</f>
        <v>6350</v>
      </c>
      <c r="C930" s="5">
        <f>IFERROR(__xludf.DUMMYFUNCTION("""COMPUTED_VALUE"""),6450.0)</f>
        <v>6450</v>
      </c>
      <c r="D930" s="5">
        <f>IFERROR(__xludf.DUMMYFUNCTION("""COMPUTED_VALUE"""),6350.0)</f>
        <v>6350</v>
      </c>
      <c r="E930" s="5">
        <f>IFERROR(__xludf.DUMMYFUNCTION("""COMPUTED_VALUE"""),6400.0)</f>
        <v>6400</v>
      </c>
      <c r="F930" s="5">
        <f>IFERROR(__xludf.DUMMYFUNCTION("""COMPUTED_VALUE"""),3014600.0)</f>
        <v>3014600</v>
      </c>
      <c r="G930" s="5">
        <f t="shared" si="1"/>
        <v>125</v>
      </c>
    </row>
    <row r="931">
      <c r="A931" s="4">
        <f>IFERROR(__xludf.DUMMYFUNCTION("""COMPUTED_VALUE"""),45225.66666666667)</f>
        <v>45225.66667</v>
      </c>
      <c r="B931" s="5">
        <f>IFERROR(__xludf.DUMMYFUNCTION("""COMPUTED_VALUE"""),6400.0)</f>
        <v>6400</v>
      </c>
      <c r="C931" s="5">
        <f>IFERROR(__xludf.DUMMYFUNCTION("""COMPUTED_VALUE"""),6400.0)</f>
        <v>6400</v>
      </c>
      <c r="D931" s="5">
        <f>IFERROR(__xludf.DUMMYFUNCTION("""COMPUTED_VALUE"""),6150.0)</f>
        <v>6150</v>
      </c>
      <c r="E931" s="5">
        <f>IFERROR(__xludf.DUMMYFUNCTION("""COMPUTED_VALUE"""),6250.0)</f>
        <v>6250</v>
      </c>
      <c r="F931" s="5">
        <f>IFERROR(__xludf.DUMMYFUNCTION("""COMPUTED_VALUE"""),6081400.0)</f>
        <v>6081400</v>
      </c>
      <c r="G931" s="5">
        <f t="shared" si="1"/>
        <v>250</v>
      </c>
    </row>
    <row r="932">
      <c r="A932" s="4">
        <f>IFERROR(__xludf.DUMMYFUNCTION("""COMPUTED_VALUE"""),45226.66666666667)</f>
        <v>45226.66667</v>
      </c>
      <c r="B932" s="5">
        <f>IFERROR(__xludf.DUMMYFUNCTION("""COMPUTED_VALUE"""),6300.0)</f>
        <v>6300</v>
      </c>
      <c r="C932" s="5">
        <f>IFERROR(__xludf.DUMMYFUNCTION("""COMPUTED_VALUE"""),6300.0)</f>
        <v>6300</v>
      </c>
      <c r="D932" s="5">
        <f>IFERROR(__xludf.DUMMYFUNCTION("""COMPUTED_VALUE"""),6175.0)</f>
        <v>6175</v>
      </c>
      <c r="E932" s="5">
        <f>IFERROR(__xludf.DUMMYFUNCTION("""COMPUTED_VALUE"""),6175.0)</f>
        <v>6175</v>
      </c>
      <c r="F932" s="5">
        <f>IFERROR(__xludf.DUMMYFUNCTION("""COMPUTED_VALUE"""),3376200.0)</f>
        <v>3376200</v>
      </c>
      <c r="G932" s="5">
        <f t="shared" si="1"/>
        <v>125</v>
      </c>
    </row>
    <row r="933">
      <c r="A933" s="4">
        <f>IFERROR(__xludf.DUMMYFUNCTION("""COMPUTED_VALUE"""),45229.66666666667)</f>
        <v>45229.66667</v>
      </c>
      <c r="B933" s="5">
        <f>IFERROR(__xludf.DUMMYFUNCTION("""COMPUTED_VALUE"""),6150.0)</f>
        <v>6150</v>
      </c>
      <c r="C933" s="5">
        <f>IFERROR(__xludf.DUMMYFUNCTION("""COMPUTED_VALUE"""),6175.0)</f>
        <v>6175</v>
      </c>
      <c r="D933" s="5">
        <f>IFERROR(__xludf.DUMMYFUNCTION("""COMPUTED_VALUE"""),6025.0)</f>
        <v>6025</v>
      </c>
      <c r="E933" s="5">
        <f>IFERROR(__xludf.DUMMYFUNCTION("""COMPUTED_VALUE"""),6100.0)</f>
        <v>6100</v>
      </c>
      <c r="F933" s="5">
        <f>IFERROR(__xludf.DUMMYFUNCTION("""COMPUTED_VALUE"""),3971400.0)</f>
        <v>3971400</v>
      </c>
      <c r="G933" s="5">
        <f t="shared" si="1"/>
        <v>150</v>
      </c>
    </row>
    <row r="934">
      <c r="A934" s="4">
        <f>IFERROR(__xludf.DUMMYFUNCTION("""COMPUTED_VALUE"""),45230.66666666667)</f>
        <v>45230.66667</v>
      </c>
      <c r="B934" s="5">
        <f>IFERROR(__xludf.DUMMYFUNCTION("""COMPUTED_VALUE"""),6100.0)</f>
        <v>6100</v>
      </c>
      <c r="C934" s="5">
        <f>IFERROR(__xludf.DUMMYFUNCTION("""COMPUTED_VALUE"""),6175.0)</f>
        <v>6175</v>
      </c>
      <c r="D934" s="5">
        <f>IFERROR(__xludf.DUMMYFUNCTION("""COMPUTED_VALUE"""),6000.0)</f>
        <v>6000</v>
      </c>
      <c r="E934" s="5">
        <f>IFERROR(__xludf.DUMMYFUNCTION("""COMPUTED_VALUE"""),6100.0)</f>
        <v>6100</v>
      </c>
      <c r="F934" s="5">
        <f>IFERROR(__xludf.DUMMYFUNCTION("""COMPUTED_VALUE"""),5559900.0)</f>
        <v>5559900</v>
      </c>
      <c r="G934" s="5">
        <f t="shared" si="1"/>
        <v>175</v>
      </c>
    </row>
    <row r="935">
      <c r="A935" s="4">
        <f>IFERROR(__xludf.DUMMYFUNCTION("""COMPUTED_VALUE"""),45231.66666666667)</f>
        <v>45231.66667</v>
      </c>
      <c r="B935" s="5">
        <f>IFERROR(__xludf.DUMMYFUNCTION("""COMPUTED_VALUE"""),6175.0)</f>
        <v>6175</v>
      </c>
      <c r="C935" s="5">
        <f>IFERROR(__xludf.DUMMYFUNCTION("""COMPUTED_VALUE"""),6225.0)</f>
        <v>6225</v>
      </c>
      <c r="D935" s="5">
        <f>IFERROR(__xludf.DUMMYFUNCTION("""COMPUTED_VALUE"""),6000.0)</f>
        <v>6000</v>
      </c>
      <c r="E935" s="5">
        <f>IFERROR(__xludf.DUMMYFUNCTION("""COMPUTED_VALUE"""),6050.0)</f>
        <v>6050</v>
      </c>
      <c r="F935" s="5">
        <f>IFERROR(__xludf.DUMMYFUNCTION("""COMPUTED_VALUE"""),8358700.0)</f>
        <v>8358700</v>
      </c>
      <c r="G935" s="5">
        <f t="shared" si="1"/>
        <v>225</v>
      </c>
    </row>
    <row r="936">
      <c r="A936" s="4">
        <f>IFERROR(__xludf.DUMMYFUNCTION("""COMPUTED_VALUE"""),45232.66666666667)</f>
        <v>45232.66667</v>
      </c>
      <c r="B936" s="5">
        <f>IFERROR(__xludf.DUMMYFUNCTION("""COMPUTED_VALUE"""),6125.0)</f>
        <v>6125</v>
      </c>
      <c r="C936" s="5">
        <f>IFERROR(__xludf.DUMMYFUNCTION("""COMPUTED_VALUE"""),6300.0)</f>
        <v>6300</v>
      </c>
      <c r="D936" s="5">
        <f>IFERROR(__xludf.DUMMYFUNCTION("""COMPUTED_VALUE"""),6125.0)</f>
        <v>6125</v>
      </c>
      <c r="E936" s="5">
        <f>IFERROR(__xludf.DUMMYFUNCTION("""COMPUTED_VALUE"""),6250.0)</f>
        <v>6250</v>
      </c>
      <c r="F936" s="5">
        <f>IFERROR(__xludf.DUMMYFUNCTION("""COMPUTED_VALUE"""),6474600.0)</f>
        <v>6474600</v>
      </c>
      <c r="G936" s="5">
        <f t="shared" si="1"/>
        <v>250</v>
      </c>
    </row>
    <row r="937">
      <c r="A937" s="4">
        <f>IFERROR(__xludf.DUMMYFUNCTION("""COMPUTED_VALUE"""),45233.66666666667)</f>
        <v>45233.66667</v>
      </c>
      <c r="B937" s="5">
        <f>IFERROR(__xludf.DUMMYFUNCTION("""COMPUTED_VALUE"""),6300.0)</f>
        <v>6300</v>
      </c>
      <c r="C937" s="5">
        <f>IFERROR(__xludf.DUMMYFUNCTION("""COMPUTED_VALUE"""),6350.0)</f>
        <v>6350</v>
      </c>
      <c r="D937" s="5">
        <f>IFERROR(__xludf.DUMMYFUNCTION("""COMPUTED_VALUE"""),6175.0)</f>
        <v>6175</v>
      </c>
      <c r="E937" s="5">
        <f>IFERROR(__xludf.DUMMYFUNCTION("""COMPUTED_VALUE"""),6200.0)</f>
        <v>6200</v>
      </c>
      <c r="F937" s="5">
        <f>IFERROR(__xludf.DUMMYFUNCTION("""COMPUTED_VALUE"""),4991900.0)</f>
        <v>4991900</v>
      </c>
      <c r="G937" s="5">
        <f t="shared" si="1"/>
        <v>175</v>
      </c>
    </row>
    <row r="938">
      <c r="A938" s="4">
        <f>IFERROR(__xludf.DUMMYFUNCTION("""COMPUTED_VALUE"""),45236.66666666667)</f>
        <v>45236.66667</v>
      </c>
      <c r="B938" s="5">
        <f>IFERROR(__xludf.DUMMYFUNCTION("""COMPUTED_VALUE"""),6250.0)</f>
        <v>6250</v>
      </c>
      <c r="C938" s="5">
        <f>IFERROR(__xludf.DUMMYFUNCTION("""COMPUTED_VALUE"""),6500.0)</f>
        <v>6500</v>
      </c>
      <c r="D938" s="5">
        <f>IFERROR(__xludf.DUMMYFUNCTION("""COMPUTED_VALUE"""),6250.0)</f>
        <v>6250</v>
      </c>
      <c r="E938" s="5">
        <f>IFERROR(__xludf.DUMMYFUNCTION("""COMPUTED_VALUE"""),6475.0)</f>
        <v>6475</v>
      </c>
      <c r="F938" s="5">
        <f>IFERROR(__xludf.DUMMYFUNCTION("""COMPUTED_VALUE"""),8153900.0)</f>
        <v>8153900</v>
      </c>
      <c r="G938" s="5">
        <f t="shared" si="1"/>
        <v>300</v>
      </c>
    </row>
    <row r="939">
      <c r="A939" s="4">
        <f>IFERROR(__xludf.DUMMYFUNCTION("""COMPUTED_VALUE"""),45237.66666666667)</f>
        <v>45237.66667</v>
      </c>
      <c r="B939" s="5">
        <f>IFERROR(__xludf.DUMMYFUNCTION("""COMPUTED_VALUE"""),6475.0)</f>
        <v>6475</v>
      </c>
      <c r="C939" s="5">
        <f>IFERROR(__xludf.DUMMYFUNCTION("""COMPUTED_VALUE"""),6500.0)</f>
        <v>6500</v>
      </c>
      <c r="D939" s="5">
        <f>IFERROR(__xludf.DUMMYFUNCTION("""COMPUTED_VALUE"""),6400.0)</f>
        <v>6400</v>
      </c>
      <c r="E939" s="5">
        <f>IFERROR(__xludf.DUMMYFUNCTION("""COMPUTED_VALUE"""),6450.0)</f>
        <v>6450</v>
      </c>
      <c r="F939" s="5">
        <f>IFERROR(__xludf.DUMMYFUNCTION("""COMPUTED_VALUE"""),5863100.0)</f>
        <v>5863100</v>
      </c>
      <c r="G939" s="5">
        <f t="shared" si="1"/>
        <v>100</v>
      </c>
    </row>
    <row r="940">
      <c r="A940" s="4">
        <f>IFERROR(__xludf.DUMMYFUNCTION("""COMPUTED_VALUE"""),45238.66666666667)</f>
        <v>45238.66667</v>
      </c>
      <c r="B940" s="5">
        <f>IFERROR(__xludf.DUMMYFUNCTION("""COMPUTED_VALUE"""),6500.0)</f>
        <v>6500</v>
      </c>
      <c r="C940" s="5">
        <f>IFERROR(__xludf.DUMMYFUNCTION("""COMPUTED_VALUE"""),6500.0)</f>
        <v>6500</v>
      </c>
      <c r="D940" s="5">
        <f>IFERROR(__xludf.DUMMYFUNCTION("""COMPUTED_VALUE"""),6300.0)</f>
        <v>6300</v>
      </c>
      <c r="E940" s="5">
        <f>IFERROR(__xludf.DUMMYFUNCTION("""COMPUTED_VALUE"""),6350.0)</f>
        <v>6350</v>
      </c>
      <c r="F940" s="5">
        <f>IFERROR(__xludf.DUMMYFUNCTION("""COMPUTED_VALUE"""),9556800.0)</f>
        <v>9556800</v>
      </c>
      <c r="G940" s="5">
        <f t="shared" si="1"/>
        <v>200</v>
      </c>
    </row>
    <row r="941">
      <c r="A941" s="4">
        <f>IFERROR(__xludf.DUMMYFUNCTION("""COMPUTED_VALUE"""),45239.66666666667)</f>
        <v>45239.66667</v>
      </c>
      <c r="B941" s="5">
        <f>IFERROR(__xludf.DUMMYFUNCTION("""COMPUTED_VALUE"""),6375.0)</f>
        <v>6375</v>
      </c>
      <c r="C941" s="5">
        <f>IFERROR(__xludf.DUMMYFUNCTION("""COMPUTED_VALUE"""),6500.0)</f>
        <v>6500</v>
      </c>
      <c r="D941" s="5">
        <f>IFERROR(__xludf.DUMMYFUNCTION("""COMPUTED_VALUE"""),6375.0)</f>
        <v>6375</v>
      </c>
      <c r="E941" s="5">
        <f>IFERROR(__xludf.DUMMYFUNCTION("""COMPUTED_VALUE"""),6375.0)</f>
        <v>6375</v>
      </c>
      <c r="F941" s="5">
        <f>IFERROR(__xludf.DUMMYFUNCTION("""COMPUTED_VALUE"""),4695800.0)</f>
        <v>4695800</v>
      </c>
      <c r="G941" s="5">
        <f t="shared" si="1"/>
        <v>150</v>
      </c>
    </row>
    <row r="942">
      <c r="A942" s="4">
        <f>IFERROR(__xludf.DUMMYFUNCTION("""COMPUTED_VALUE"""),45240.66666666667)</f>
        <v>45240.66667</v>
      </c>
      <c r="B942" s="5">
        <f>IFERROR(__xludf.DUMMYFUNCTION("""COMPUTED_VALUE"""),6375.0)</f>
        <v>6375</v>
      </c>
      <c r="C942" s="5">
        <f>IFERROR(__xludf.DUMMYFUNCTION("""COMPUTED_VALUE"""),6375.0)</f>
        <v>6375</v>
      </c>
      <c r="D942" s="5">
        <f>IFERROR(__xludf.DUMMYFUNCTION("""COMPUTED_VALUE"""),6250.0)</f>
        <v>6250</v>
      </c>
      <c r="E942" s="5">
        <f>IFERROR(__xludf.DUMMYFUNCTION("""COMPUTED_VALUE"""),6275.0)</f>
        <v>6275</v>
      </c>
      <c r="F942" s="5">
        <f>IFERROR(__xludf.DUMMYFUNCTION("""COMPUTED_VALUE"""),2995900.0)</f>
        <v>2995900</v>
      </c>
      <c r="G942" s="5">
        <f t="shared" si="1"/>
        <v>125</v>
      </c>
    </row>
    <row r="943">
      <c r="A943" s="4">
        <f>IFERROR(__xludf.DUMMYFUNCTION("""COMPUTED_VALUE"""),45243.66666666667)</f>
        <v>45243.66667</v>
      </c>
      <c r="B943" s="5">
        <f>IFERROR(__xludf.DUMMYFUNCTION("""COMPUTED_VALUE"""),6275.0)</f>
        <v>6275</v>
      </c>
      <c r="C943" s="5">
        <f>IFERROR(__xludf.DUMMYFUNCTION("""COMPUTED_VALUE"""),6375.0)</f>
        <v>6375</v>
      </c>
      <c r="D943" s="5">
        <f>IFERROR(__xludf.DUMMYFUNCTION("""COMPUTED_VALUE"""),6250.0)</f>
        <v>6250</v>
      </c>
      <c r="E943" s="5">
        <f>IFERROR(__xludf.DUMMYFUNCTION("""COMPUTED_VALUE"""),6350.0)</f>
        <v>6350</v>
      </c>
      <c r="F943" s="5">
        <f>IFERROR(__xludf.DUMMYFUNCTION("""COMPUTED_VALUE"""),1826700.0)</f>
        <v>1826700</v>
      </c>
      <c r="G943" s="5">
        <f t="shared" si="1"/>
        <v>125</v>
      </c>
    </row>
    <row r="944">
      <c r="A944" s="4">
        <f>IFERROR(__xludf.DUMMYFUNCTION("""COMPUTED_VALUE"""),45244.66666666667)</f>
        <v>45244.66667</v>
      </c>
      <c r="B944" s="5">
        <f>IFERROR(__xludf.DUMMYFUNCTION("""COMPUTED_VALUE"""),6325.0)</f>
        <v>6325</v>
      </c>
      <c r="C944" s="5">
        <f>IFERROR(__xludf.DUMMYFUNCTION("""COMPUTED_VALUE"""),6375.0)</f>
        <v>6375</v>
      </c>
      <c r="D944" s="5">
        <f>IFERROR(__xludf.DUMMYFUNCTION("""COMPUTED_VALUE"""),6225.0)</f>
        <v>6225</v>
      </c>
      <c r="E944" s="5">
        <f>IFERROR(__xludf.DUMMYFUNCTION("""COMPUTED_VALUE"""),6225.0)</f>
        <v>6225</v>
      </c>
      <c r="F944" s="5">
        <f>IFERROR(__xludf.DUMMYFUNCTION("""COMPUTED_VALUE"""),2158400.0)</f>
        <v>2158400</v>
      </c>
      <c r="G944" s="5">
        <f t="shared" si="1"/>
        <v>150</v>
      </c>
    </row>
    <row r="945">
      <c r="A945" s="4">
        <f>IFERROR(__xludf.DUMMYFUNCTION("""COMPUTED_VALUE"""),45245.66666666667)</f>
        <v>45245.66667</v>
      </c>
      <c r="B945" s="5">
        <f>IFERROR(__xludf.DUMMYFUNCTION("""COMPUTED_VALUE"""),6300.0)</f>
        <v>6300</v>
      </c>
      <c r="C945" s="5">
        <f>IFERROR(__xludf.DUMMYFUNCTION("""COMPUTED_VALUE"""),6350.0)</f>
        <v>6350</v>
      </c>
      <c r="D945" s="5">
        <f>IFERROR(__xludf.DUMMYFUNCTION("""COMPUTED_VALUE"""),6225.0)</f>
        <v>6225</v>
      </c>
      <c r="E945" s="5">
        <f>IFERROR(__xludf.DUMMYFUNCTION("""COMPUTED_VALUE"""),6275.0)</f>
        <v>6275</v>
      </c>
      <c r="F945" s="5">
        <f>IFERROR(__xludf.DUMMYFUNCTION("""COMPUTED_VALUE"""),3832600.0)</f>
        <v>3832600</v>
      </c>
      <c r="G945" s="5">
        <f t="shared" si="1"/>
        <v>125</v>
      </c>
    </row>
    <row r="946">
      <c r="A946" s="4">
        <f>IFERROR(__xludf.DUMMYFUNCTION("""COMPUTED_VALUE"""),45246.66666666667)</f>
        <v>45246.66667</v>
      </c>
      <c r="B946" s="5">
        <f>IFERROR(__xludf.DUMMYFUNCTION("""COMPUTED_VALUE"""),6275.0)</f>
        <v>6275</v>
      </c>
      <c r="C946" s="5">
        <f>IFERROR(__xludf.DUMMYFUNCTION("""COMPUTED_VALUE"""),6350.0)</f>
        <v>6350</v>
      </c>
      <c r="D946" s="5">
        <f>IFERROR(__xludf.DUMMYFUNCTION("""COMPUTED_VALUE"""),6225.0)</f>
        <v>6225</v>
      </c>
      <c r="E946" s="5">
        <f>IFERROR(__xludf.DUMMYFUNCTION("""COMPUTED_VALUE"""),6275.0)</f>
        <v>6275</v>
      </c>
      <c r="F946" s="5">
        <f>IFERROR(__xludf.DUMMYFUNCTION("""COMPUTED_VALUE"""),3552400.0)</f>
        <v>3552400</v>
      </c>
      <c r="G946" s="5">
        <f t="shared" si="1"/>
        <v>125</v>
      </c>
    </row>
    <row r="947">
      <c r="A947" s="4">
        <f>IFERROR(__xludf.DUMMYFUNCTION("""COMPUTED_VALUE"""),45247.66666666667)</f>
        <v>45247.66667</v>
      </c>
      <c r="B947" s="5">
        <f>IFERROR(__xludf.DUMMYFUNCTION("""COMPUTED_VALUE"""),6275.0)</f>
        <v>6275</v>
      </c>
      <c r="C947" s="5">
        <f>IFERROR(__xludf.DUMMYFUNCTION("""COMPUTED_VALUE"""),6625.0)</f>
        <v>6625</v>
      </c>
      <c r="D947" s="5">
        <f>IFERROR(__xludf.DUMMYFUNCTION("""COMPUTED_VALUE"""),6275.0)</f>
        <v>6275</v>
      </c>
      <c r="E947" s="5">
        <f>IFERROR(__xludf.DUMMYFUNCTION("""COMPUTED_VALUE"""),6625.0)</f>
        <v>6625</v>
      </c>
      <c r="F947" s="5">
        <f>IFERROR(__xludf.DUMMYFUNCTION("""COMPUTED_VALUE"""),9220400.0)</f>
        <v>9220400</v>
      </c>
      <c r="G947" s="5">
        <f t="shared" si="1"/>
        <v>350</v>
      </c>
    </row>
    <row r="948">
      <c r="A948" s="4">
        <f>IFERROR(__xludf.DUMMYFUNCTION("""COMPUTED_VALUE"""),45250.66666666667)</f>
        <v>45250.66667</v>
      </c>
      <c r="B948" s="5">
        <f>IFERROR(__xludf.DUMMYFUNCTION("""COMPUTED_VALUE"""),6625.0)</f>
        <v>6625</v>
      </c>
      <c r="C948" s="5">
        <f>IFERROR(__xludf.DUMMYFUNCTION("""COMPUTED_VALUE"""),6725.0)</f>
        <v>6725</v>
      </c>
      <c r="D948" s="5">
        <f>IFERROR(__xludf.DUMMYFUNCTION("""COMPUTED_VALUE"""),6550.0)</f>
        <v>6550</v>
      </c>
      <c r="E948" s="5">
        <f>IFERROR(__xludf.DUMMYFUNCTION("""COMPUTED_VALUE"""),6700.0)</f>
        <v>6700</v>
      </c>
      <c r="F948" s="5">
        <f>IFERROR(__xludf.DUMMYFUNCTION("""COMPUTED_VALUE"""),8561000.0)</f>
        <v>8561000</v>
      </c>
      <c r="G948" s="5">
        <f t="shared" si="1"/>
        <v>175</v>
      </c>
    </row>
    <row r="949">
      <c r="A949" s="4">
        <f>IFERROR(__xludf.DUMMYFUNCTION("""COMPUTED_VALUE"""),45251.66666666667)</f>
        <v>45251.66667</v>
      </c>
      <c r="B949" s="5">
        <f>IFERROR(__xludf.DUMMYFUNCTION("""COMPUTED_VALUE"""),6700.0)</f>
        <v>6700</v>
      </c>
      <c r="C949" s="5">
        <f>IFERROR(__xludf.DUMMYFUNCTION("""COMPUTED_VALUE"""),6700.0)</f>
        <v>6700</v>
      </c>
      <c r="D949" s="5">
        <f>IFERROR(__xludf.DUMMYFUNCTION("""COMPUTED_VALUE"""),6550.0)</f>
        <v>6550</v>
      </c>
      <c r="E949" s="5">
        <f>IFERROR(__xludf.DUMMYFUNCTION("""COMPUTED_VALUE"""),6625.0)</f>
        <v>6625</v>
      </c>
      <c r="F949" s="5">
        <f>IFERROR(__xludf.DUMMYFUNCTION("""COMPUTED_VALUE"""),3785000.0)</f>
        <v>3785000</v>
      </c>
      <c r="G949" s="5">
        <f t="shared" si="1"/>
        <v>150</v>
      </c>
    </row>
    <row r="950">
      <c r="A950" s="4">
        <f>IFERROR(__xludf.DUMMYFUNCTION("""COMPUTED_VALUE"""),45252.66666666667)</f>
        <v>45252.66667</v>
      </c>
      <c r="B950" s="5">
        <f>IFERROR(__xludf.DUMMYFUNCTION("""COMPUTED_VALUE"""),6625.0)</f>
        <v>6625</v>
      </c>
      <c r="C950" s="5">
        <f>IFERROR(__xludf.DUMMYFUNCTION("""COMPUTED_VALUE"""),6625.0)</f>
        <v>6625</v>
      </c>
      <c r="D950" s="5">
        <f>IFERROR(__xludf.DUMMYFUNCTION("""COMPUTED_VALUE"""),6375.0)</f>
        <v>6375</v>
      </c>
      <c r="E950" s="5">
        <f>IFERROR(__xludf.DUMMYFUNCTION("""COMPUTED_VALUE"""),6450.0)</f>
        <v>6450</v>
      </c>
      <c r="F950" s="5">
        <f>IFERROR(__xludf.DUMMYFUNCTION("""COMPUTED_VALUE"""),5365200.0)</f>
        <v>5365200</v>
      </c>
      <c r="G950" s="5">
        <f t="shared" si="1"/>
        <v>250</v>
      </c>
    </row>
    <row r="951">
      <c r="A951" s="4">
        <f>IFERROR(__xludf.DUMMYFUNCTION("""COMPUTED_VALUE"""),45253.66666666667)</f>
        <v>45253.66667</v>
      </c>
      <c r="B951" s="5">
        <f>IFERROR(__xludf.DUMMYFUNCTION("""COMPUTED_VALUE"""),6475.0)</f>
        <v>6475</v>
      </c>
      <c r="C951" s="5">
        <f>IFERROR(__xludf.DUMMYFUNCTION("""COMPUTED_VALUE"""),6550.0)</f>
        <v>6550</v>
      </c>
      <c r="D951" s="5">
        <f>IFERROR(__xludf.DUMMYFUNCTION("""COMPUTED_VALUE"""),6450.0)</f>
        <v>6450</v>
      </c>
      <c r="E951" s="5">
        <f>IFERROR(__xludf.DUMMYFUNCTION("""COMPUTED_VALUE"""),6450.0)</f>
        <v>6450</v>
      </c>
      <c r="F951" s="5">
        <f>IFERROR(__xludf.DUMMYFUNCTION("""COMPUTED_VALUE"""),3894100.0)</f>
        <v>3894100</v>
      </c>
      <c r="G951" s="5">
        <f t="shared" si="1"/>
        <v>100</v>
      </c>
    </row>
    <row r="952">
      <c r="A952" s="4">
        <f>IFERROR(__xludf.DUMMYFUNCTION("""COMPUTED_VALUE"""),45254.66666666667)</f>
        <v>45254.66667</v>
      </c>
      <c r="B952" s="5">
        <f>IFERROR(__xludf.DUMMYFUNCTION("""COMPUTED_VALUE"""),6550.0)</f>
        <v>6550</v>
      </c>
      <c r="C952" s="5">
        <f>IFERROR(__xludf.DUMMYFUNCTION("""COMPUTED_VALUE"""),6550.0)</f>
        <v>6550</v>
      </c>
      <c r="D952" s="5">
        <f>IFERROR(__xludf.DUMMYFUNCTION("""COMPUTED_VALUE"""),6400.0)</f>
        <v>6400</v>
      </c>
      <c r="E952" s="5">
        <f>IFERROR(__xludf.DUMMYFUNCTION("""COMPUTED_VALUE"""),6425.0)</f>
        <v>6425</v>
      </c>
      <c r="F952" s="5">
        <f>IFERROR(__xludf.DUMMYFUNCTION("""COMPUTED_VALUE"""),1115600.0)</f>
        <v>1115600</v>
      </c>
      <c r="G952" s="5">
        <f t="shared" si="1"/>
        <v>150</v>
      </c>
    </row>
    <row r="953">
      <c r="A953" s="4">
        <f>IFERROR(__xludf.DUMMYFUNCTION("""COMPUTED_VALUE"""),45257.66666666667)</f>
        <v>45257.66667</v>
      </c>
      <c r="B953" s="5">
        <f>IFERROR(__xludf.DUMMYFUNCTION("""COMPUTED_VALUE"""),6400.0)</f>
        <v>6400</v>
      </c>
      <c r="C953" s="5">
        <f>IFERROR(__xludf.DUMMYFUNCTION("""COMPUTED_VALUE"""),6575.0)</f>
        <v>6575</v>
      </c>
      <c r="D953" s="5">
        <f>IFERROR(__xludf.DUMMYFUNCTION("""COMPUTED_VALUE"""),6400.0)</f>
        <v>6400</v>
      </c>
      <c r="E953" s="5">
        <f>IFERROR(__xludf.DUMMYFUNCTION("""COMPUTED_VALUE"""),6500.0)</f>
        <v>6500</v>
      </c>
      <c r="F953" s="5">
        <f>IFERROR(__xludf.DUMMYFUNCTION("""COMPUTED_VALUE"""),3589300.0)</f>
        <v>3589300</v>
      </c>
      <c r="G953" s="5">
        <f t="shared" si="1"/>
        <v>175</v>
      </c>
    </row>
    <row r="954">
      <c r="A954" s="4">
        <f>IFERROR(__xludf.DUMMYFUNCTION("""COMPUTED_VALUE"""),45258.66666666667)</f>
        <v>45258.66667</v>
      </c>
      <c r="B954" s="5">
        <f>IFERROR(__xludf.DUMMYFUNCTION("""COMPUTED_VALUE"""),6525.0)</f>
        <v>6525</v>
      </c>
      <c r="C954" s="5">
        <f>IFERROR(__xludf.DUMMYFUNCTION("""COMPUTED_VALUE"""),6575.0)</f>
        <v>6575</v>
      </c>
      <c r="D954" s="5">
        <f>IFERROR(__xludf.DUMMYFUNCTION("""COMPUTED_VALUE"""),6400.0)</f>
        <v>6400</v>
      </c>
      <c r="E954" s="5">
        <f>IFERROR(__xludf.DUMMYFUNCTION("""COMPUTED_VALUE"""),6400.0)</f>
        <v>6400</v>
      </c>
      <c r="F954" s="5">
        <f>IFERROR(__xludf.DUMMYFUNCTION("""COMPUTED_VALUE"""),3992100.0)</f>
        <v>3992100</v>
      </c>
      <c r="G954" s="5">
        <f t="shared" si="1"/>
        <v>175</v>
      </c>
    </row>
    <row r="955">
      <c r="A955" s="4">
        <f>IFERROR(__xludf.DUMMYFUNCTION("""COMPUTED_VALUE"""),45259.66666666667)</f>
        <v>45259.66667</v>
      </c>
      <c r="B955" s="5">
        <f>IFERROR(__xludf.DUMMYFUNCTION("""COMPUTED_VALUE"""),6400.0)</f>
        <v>6400</v>
      </c>
      <c r="C955" s="5">
        <f>IFERROR(__xludf.DUMMYFUNCTION("""COMPUTED_VALUE"""),6475.0)</f>
        <v>6475</v>
      </c>
      <c r="D955" s="5">
        <f>IFERROR(__xludf.DUMMYFUNCTION("""COMPUTED_VALUE"""),6350.0)</f>
        <v>6350</v>
      </c>
      <c r="E955" s="5">
        <f>IFERROR(__xludf.DUMMYFUNCTION("""COMPUTED_VALUE"""),6400.0)</f>
        <v>6400</v>
      </c>
      <c r="F955" s="5">
        <f>IFERROR(__xludf.DUMMYFUNCTION("""COMPUTED_VALUE"""),2618000.0)</f>
        <v>2618000</v>
      </c>
      <c r="G955" s="5">
        <f t="shared" si="1"/>
        <v>125</v>
      </c>
    </row>
    <row r="956">
      <c r="A956" s="4">
        <f>IFERROR(__xludf.DUMMYFUNCTION("""COMPUTED_VALUE"""),45260.66666666667)</f>
        <v>45260.66667</v>
      </c>
      <c r="B956" s="5">
        <f>IFERROR(__xludf.DUMMYFUNCTION("""COMPUTED_VALUE"""),6400.0)</f>
        <v>6400</v>
      </c>
      <c r="C956" s="5">
        <f>IFERROR(__xludf.DUMMYFUNCTION("""COMPUTED_VALUE"""),6500.0)</f>
        <v>6500</v>
      </c>
      <c r="D956" s="5">
        <f>IFERROR(__xludf.DUMMYFUNCTION("""COMPUTED_VALUE"""),6300.0)</f>
        <v>6300</v>
      </c>
      <c r="E956" s="5">
        <f>IFERROR(__xludf.DUMMYFUNCTION("""COMPUTED_VALUE"""),6500.0)</f>
        <v>6500</v>
      </c>
      <c r="F956" s="5">
        <f>IFERROR(__xludf.DUMMYFUNCTION("""COMPUTED_VALUE"""),1.29811E7)</f>
        <v>12981100</v>
      </c>
      <c r="G956" s="5">
        <f t="shared" si="1"/>
        <v>200</v>
      </c>
    </row>
    <row r="957">
      <c r="A957" s="4">
        <f>IFERROR(__xludf.DUMMYFUNCTION("""COMPUTED_VALUE"""),45261.66666666667)</f>
        <v>45261.66667</v>
      </c>
      <c r="B957" s="5">
        <f>IFERROR(__xludf.DUMMYFUNCTION("""COMPUTED_VALUE"""),6425.0)</f>
        <v>6425</v>
      </c>
      <c r="C957" s="5">
        <f>IFERROR(__xludf.DUMMYFUNCTION("""COMPUTED_VALUE"""),6650.0)</f>
        <v>6650</v>
      </c>
      <c r="D957" s="5">
        <f>IFERROR(__xludf.DUMMYFUNCTION("""COMPUTED_VALUE"""),6400.0)</f>
        <v>6400</v>
      </c>
      <c r="E957" s="5">
        <f>IFERROR(__xludf.DUMMYFUNCTION("""COMPUTED_VALUE"""),6550.0)</f>
        <v>6550</v>
      </c>
      <c r="F957" s="5">
        <f>IFERROR(__xludf.DUMMYFUNCTION("""COMPUTED_VALUE"""),7693300.0)</f>
        <v>7693300</v>
      </c>
      <c r="G957" s="5">
        <f t="shared" si="1"/>
        <v>250</v>
      </c>
    </row>
    <row r="958">
      <c r="A958" s="4">
        <f>IFERROR(__xludf.DUMMYFUNCTION("""COMPUTED_VALUE"""),45264.66666666667)</f>
        <v>45264.66667</v>
      </c>
      <c r="B958" s="5">
        <f>IFERROR(__xludf.DUMMYFUNCTION("""COMPUTED_VALUE"""),6550.0)</f>
        <v>6550</v>
      </c>
      <c r="C958" s="5">
        <f>IFERROR(__xludf.DUMMYFUNCTION("""COMPUTED_VALUE"""),6625.0)</f>
        <v>6625</v>
      </c>
      <c r="D958" s="5">
        <f>IFERROR(__xludf.DUMMYFUNCTION("""COMPUTED_VALUE"""),6450.0)</f>
        <v>6450</v>
      </c>
      <c r="E958" s="5">
        <f>IFERROR(__xludf.DUMMYFUNCTION("""COMPUTED_VALUE"""),6450.0)</f>
        <v>6450</v>
      </c>
      <c r="F958" s="5">
        <f>IFERROR(__xludf.DUMMYFUNCTION("""COMPUTED_VALUE"""),3688400.0)</f>
        <v>3688400</v>
      </c>
      <c r="G958" s="5">
        <f t="shared" si="1"/>
        <v>175</v>
      </c>
    </row>
    <row r="959">
      <c r="A959" s="4">
        <f>IFERROR(__xludf.DUMMYFUNCTION("""COMPUTED_VALUE"""),45265.66666666667)</f>
        <v>45265.66667</v>
      </c>
      <c r="B959" s="5">
        <f>IFERROR(__xludf.DUMMYFUNCTION("""COMPUTED_VALUE"""),6425.0)</f>
        <v>6425</v>
      </c>
      <c r="C959" s="5">
        <f>IFERROR(__xludf.DUMMYFUNCTION("""COMPUTED_VALUE"""),6475.0)</f>
        <v>6475</v>
      </c>
      <c r="D959" s="5">
        <f>IFERROR(__xludf.DUMMYFUNCTION("""COMPUTED_VALUE"""),6300.0)</f>
        <v>6300</v>
      </c>
      <c r="E959" s="5">
        <f>IFERROR(__xludf.DUMMYFUNCTION("""COMPUTED_VALUE"""),6375.0)</f>
        <v>6375</v>
      </c>
      <c r="F959" s="5">
        <f>IFERROR(__xludf.DUMMYFUNCTION("""COMPUTED_VALUE"""),4266500.0)</f>
        <v>4266500</v>
      </c>
      <c r="G959" s="5">
        <f t="shared" si="1"/>
        <v>175</v>
      </c>
    </row>
    <row r="960">
      <c r="A960" s="4">
        <f>IFERROR(__xludf.DUMMYFUNCTION("""COMPUTED_VALUE"""),45266.66666666667)</f>
        <v>45266.66667</v>
      </c>
      <c r="B960" s="5">
        <f>IFERROR(__xludf.DUMMYFUNCTION("""COMPUTED_VALUE"""),6375.0)</f>
        <v>6375</v>
      </c>
      <c r="C960" s="5">
        <f>IFERROR(__xludf.DUMMYFUNCTION("""COMPUTED_VALUE"""),6450.0)</f>
        <v>6450</v>
      </c>
      <c r="D960" s="5">
        <f>IFERROR(__xludf.DUMMYFUNCTION("""COMPUTED_VALUE"""),6350.0)</f>
        <v>6350</v>
      </c>
      <c r="E960" s="5">
        <f>IFERROR(__xludf.DUMMYFUNCTION("""COMPUTED_VALUE"""),6425.0)</f>
        <v>6425</v>
      </c>
      <c r="F960" s="5">
        <f>IFERROR(__xludf.DUMMYFUNCTION("""COMPUTED_VALUE"""),3683400.0)</f>
        <v>3683400</v>
      </c>
      <c r="G960" s="5">
        <f t="shared" si="1"/>
        <v>100</v>
      </c>
    </row>
    <row r="961">
      <c r="A961" s="4">
        <f>IFERROR(__xludf.DUMMYFUNCTION("""COMPUTED_VALUE"""),45267.66666666667)</f>
        <v>45267.66667</v>
      </c>
      <c r="B961" s="5">
        <f>IFERROR(__xludf.DUMMYFUNCTION("""COMPUTED_VALUE"""),6400.0)</f>
        <v>6400</v>
      </c>
      <c r="C961" s="5">
        <f>IFERROR(__xludf.DUMMYFUNCTION("""COMPUTED_VALUE"""),6425.0)</f>
        <v>6425</v>
      </c>
      <c r="D961" s="5">
        <f>IFERROR(__xludf.DUMMYFUNCTION("""COMPUTED_VALUE"""),6225.0)</f>
        <v>6225</v>
      </c>
      <c r="E961" s="5">
        <f>IFERROR(__xludf.DUMMYFUNCTION("""COMPUTED_VALUE"""),6300.0)</f>
        <v>6300</v>
      </c>
      <c r="F961" s="5">
        <f>IFERROR(__xludf.DUMMYFUNCTION("""COMPUTED_VALUE"""),5695700.0)</f>
        <v>5695700</v>
      </c>
      <c r="G961" s="5">
        <f t="shared" si="1"/>
        <v>200</v>
      </c>
    </row>
    <row r="962">
      <c r="A962" s="4">
        <f>IFERROR(__xludf.DUMMYFUNCTION("""COMPUTED_VALUE"""),45268.66666666667)</f>
        <v>45268.66667</v>
      </c>
      <c r="B962" s="5">
        <f>IFERROR(__xludf.DUMMYFUNCTION("""COMPUTED_VALUE"""),6300.0)</f>
        <v>6300</v>
      </c>
      <c r="C962" s="5">
        <f>IFERROR(__xludf.DUMMYFUNCTION("""COMPUTED_VALUE"""),6325.0)</f>
        <v>6325</v>
      </c>
      <c r="D962" s="5">
        <f>IFERROR(__xludf.DUMMYFUNCTION("""COMPUTED_VALUE"""),6250.0)</f>
        <v>6250</v>
      </c>
      <c r="E962" s="5">
        <f>IFERROR(__xludf.DUMMYFUNCTION("""COMPUTED_VALUE"""),6300.0)</f>
        <v>6300</v>
      </c>
      <c r="F962" s="5">
        <f>IFERROR(__xludf.DUMMYFUNCTION("""COMPUTED_VALUE"""),2601700.0)</f>
        <v>2601700</v>
      </c>
      <c r="G962" s="5">
        <f t="shared" si="1"/>
        <v>75</v>
      </c>
    </row>
    <row r="963">
      <c r="A963" s="4">
        <f>IFERROR(__xludf.DUMMYFUNCTION("""COMPUTED_VALUE"""),45271.66666666667)</f>
        <v>45271.66667</v>
      </c>
      <c r="B963" s="5">
        <f>IFERROR(__xludf.DUMMYFUNCTION("""COMPUTED_VALUE"""),6250.0)</f>
        <v>6250</v>
      </c>
      <c r="C963" s="5">
        <f>IFERROR(__xludf.DUMMYFUNCTION("""COMPUTED_VALUE"""),6300.0)</f>
        <v>6300</v>
      </c>
      <c r="D963" s="5">
        <f>IFERROR(__xludf.DUMMYFUNCTION("""COMPUTED_VALUE"""),6075.0)</f>
        <v>6075</v>
      </c>
      <c r="E963" s="5">
        <f>IFERROR(__xludf.DUMMYFUNCTION("""COMPUTED_VALUE"""),6125.0)</f>
        <v>6125</v>
      </c>
      <c r="F963" s="5">
        <f>IFERROR(__xludf.DUMMYFUNCTION("""COMPUTED_VALUE"""),8210100.0)</f>
        <v>8210100</v>
      </c>
      <c r="G963" s="5">
        <f t="shared" si="1"/>
        <v>225</v>
      </c>
    </row>
    <row r="964">
      <c r="A964" s="4">
        <f>IFERROR(__xludf.DUMMYFUNCTION("""COMPUTED_VALUE"""),45272.66666666667)</f>
        <v>45272.66667</v>
      </c>
      <c r="B964" s="5">
        <f>IFERROR(__xludf.DUMMYFUNCTION("""COMPUTED_VALUE"""),6150.0)</f>
        <v>6150</v>
      </c>
      <c r="C964" s="5">
        <f>IFERROR(__xludf.DUMMYFUNCTION("""COMPUTED_VALUE"""),6275.0)</f>
        <v>6275</v>
      </c>
      <c r="D964" s="5">
        <f>IFERROR(__xludf.DUMMYFUNCTION("""COMPUTED_VALUE"""),6125.0)</f>
        <v>6125</v>
      </c>
      <c r="E964" s="5">
        <f>IFERROR(__xludf.DUMMYFUNCTION("""COMPUTED_VALUE"""),6175.0)</f>
        <v>6175</v>
      </c>
      <c r="F964" s="5">
        <f>IFERROR(__xludf.DUMMYFUNCTION("""COMPUTED_VALUE"""),3726500.0)</f>
        <v>3726500</v>
      </c>
      <c r="G964" s="5">
        <f t="shared" si="1"/>
        <v>150</v>
      </c>
    </row>
    <row r="965">
      <c r="A965" s="4">
        <f>IFERROR(__xludf.DUMMYFUNCTION("""COMPUTED_VALUE"""),45273.66666666667)</f>
        <v>45273.66667</v>
      </c>
      <c r="B965" s="5">
        <f>IFERROR(__xludf.DUMMYFUNCTION("""COMPUTED_VALUE"""),6225.0)</f>
        <v>6225</v>
      </c>
      <c r="C965" s="5">
        <f>IFERROR(__xludf.DUMMYFUNCTION("""COMPUTED_VALUE"""),6250.0)</f>
        <v>6250</v>
      </c>
      <c r="D965" s="5">
        <f>IFERROR(__xludf.DUMMYFUNCTION("""COMPUTED_VALUE"""),6125.0)</f>
        <v>6125</v>
      </c>
      <c r="E965" s="5">
        <f>IFERROR(__xludf.DUMMYFUNCTION("""COMPUTED_VALUE"""),6225.0)</f>
        <v>6225</v>
      </c>
      <c r="F965" s="5">
        <f>IFERROR(__xludf.DUMMYFUNCTION("""COMPUTED_VALUE"""),2625800.0)</f>
        <v>2625800</v>
      </c>
      <c r="G965" s="5">
        <f t="shared" si="1"/>
        <v>125</v>
      </c>
    </row>
    <row r="966">
      <c r="A966" s="4">
        <f>IFERROR(__xludf.DUMMYFUNCTION("""COMPUTED_VALUE"""),45274.66666666667)</f>
        <v>45274.66667</v>
      </c>
      <c r="B966" s="5">
        <f>IFERROR(__xludf.DUMMYFUNCTION("""COMPUTED_VALUE"""),6200.0)</f>
        <v>6200</v>
      </c>
      <c r="C966" s="5">
        <f>IFERROR(__xludf.DUMMYFUNCTION("""COMPUTED_VALUE"""),6275.0)</f>
        <v>6275</v>
      </c>
      <c r="D966" s="5">
        <f>IFERROR(__xludf.DUMMYFUNCTION("""COMPUTED_VALUE"""),6175.0)</f>
        <v>6175</v>
      </c>
      <c r="E966" s="5">
        <f>IFERROR(__xludf.DUMMYFUNCTION("""COMPUTED_VALUE"""),6175.0)</f>
        <v>6175</v>
      </c>
      <c r="F966" s="5">
        <f>IFERROR(__xludf.DUMMYFUNCTION("""COMPUTED_VALUE"""),3743900.0)</f>
        <v>3743900</v>
      </c>
      <c r="G966" s="5">
        <f t="shared" si="1"/>
        <v>100</v>
      </c>
    </row>
    <row r="967">
      <c r="A967" s="4">
        <f>IFERROR(__xludf.DUMMYFUNCTION("""COMPUTED_VALUE"""),45275.66666666667)</f>
        <v>45275.66667</v>
      </c>
      <c r="B967" s="5">
        <f>IFERROR(__xludf.DUMMYFUNCTION("""COMPUTED_VALUE"""),6200.0)</f>
        <v>6200</v>
      </c>
      <c r="C967" s="5">
        <f>IFERROR(__xludf.DUMMYFUNCTION("""COMPUTED_VALUE"""),6225.0)</f>
        <v>6225</v>
      </c>
      <c r="D967" s="5">
        <f>IFERROR(__xludf.DUMMYFUNCTION("""COMPUTED_VALUE"""),6125.0)</f>
        <v>6125</v>
      </c>
      <c r="E967" s="5">
        <f>IFERROR(__xludf.DUMMYFUNCTION("""COMPUTED_VALUE"""),6200.0)</f>
        <v>6200</v>
      </c>
      <c r="F967" s="5">
        <f>IFERROR(__xludf.DUMMYFUNCTION("""COMPUTED_VALUE"""),6326000.0)</f>
        <v>6326000</v>
      </c>
      <c r="G967" s="5">
        <f t="shared" si="1"/>
        <v>100</v>
      </c>
    </row>
    <row r="968">
      <c r="A968" s="4">
        <f>IFERROR(__xludf.DUMMYFUNCTION("""COMPUTED_VALUE"""),45278.66666666667)</f>
        <v>45278.66667</v>
      </c>
      <c r="B968" s="5">
        <f>IFERROR(__xludf.DUMMYFUNCTION("""COMPUTED_VALUE"""),6200.0)</f>
        <v>6200</v>
      </c>
      <c r="C968" s="5">
        <f>IFERROR(__xludf.DUMMYFUNCTION("""COMPUTED_VALUE"""),6200.0)</f>
        <v>6200</v>
      </c>
      <c r="D968" s="5">
        <f>IFERROR(__xludf.DUMMYFUNCTION("""COMPUTED_VALUE"""),6125.0)</f>
        <v>6125</v>
      </c>
      <c r="E968" s="5">
        <f>IFERROR(__xludf.DUMMYFUNCTION("""COMPUTED_VALUE"""),6125.0)</f>
        <v>6125</v>
      </c>
      <c r="F968" s="5">
        <f>IFERROR(__xludf.DUMMYFUNCTION("""COMPUTED_VALUE"""),4222700.0)</f>
        <v>4222700</v>
      </c>
      <c r="G968" s="5">
        <f t="shared" si="1"/>
        <v>75</v>
      </c>
    </row>
    <row r="969">
      <c r="A969" s="4">
        <f>IFERROR(__xludf.DUMMYFUNCTION("""COMPUTED_VALUE"""),45279.66666666667)</f>
        <v>45279.66667</v>
      </c>
      <c r="B969" s="5">
        <f>IFERROR(__xludf.DUMMYFUNCTION("""COMPUTED_VALUE"""),6150.0)</f>
        <v>6150</v>
      </c>
      <c r="C969" s="5">
        <f>IFERROR(__xludf.DUMMYFUNCTION("""COMPUTED_VALUE"""),6175.0)</f>
        <v>6175</v>
      </c>
      <c r="D969" s="5">
        <f>IFERROR(__xludf.DUMMYFUNCTION("""COMPUTED_VALUE"""),6100.0)</f>
        <v>6100</v>
      </c>
      <c r="E969" s="5">
        <f>IFERROR(__xludf.DUMMYFUNCTION("""COMPUTED_VALUE"""),6175.0)</f>
        <v>6175</v>
      </c>
      <c r="F969" s="5">
        <f>IFERROR(__xludf.DUMMYFUNCTION("""COMPUTED_VALUE"""),2738700.0)</f>
        <v>2738700</v>
      </c>
      <c r="G969" s="5">
        <f t="shared" si="1"/>
        <v>75</v>
      </c>
    </row>
    <row r="970">
      <c r="A970" s="4">
        <f>IFERROR(__xludf.DUMMYFUNCTION("""COMPUTED_VALUE"""),45280.66666666667)</f>
        <v>45280.66667</v>
      </c>
      <c r="B970" s="5">
        <f>IFERROR(__xludf.DUMMYFUNCTION("""COMPUTED_VALUE"""),6150.0)</f>
        <v>6150</v>
      </c>
      <c r="C970" s="5">
        <f>IFERROR(__xludf.DUMMYFUNCTION("""COMPUTED_VALUE"""),6275.0)</f>
        <v>6275</v>
      </c>
      <c r="D970" s="5">
        <f>IFERROR(__xludf.DUMMYFUNCTION("""COMPUTED_VALUE"""),6150.0)</f>
        <v>6150</v>
      </c>
      <c r="E970" s="5">
        <f>IFERROR(__xludf.DUMMYFUNCTION("""COMPUTED_VALUE"""),6225.0)</f>
        <v>6225</v>
      </c>
      <c r="F970" s="5">
        <f>IFERROR(__xludf.DUMMYFUNCTION("""COMPUTED_VALUE"""),3960700.0)</f>
        <v>3960700</v>
      </c>
      <c r="G970" s="5">
        <f t="shared" si="1"/>
        <v>125</v>
      </c>
    </row>
    <row r="971">
      <c r="A971" s="4">
        <f>IFERROR(__xludf.DUMMYFUNCTION("""COMPUTED_VALUE"""),45281.66666666667)</f>
        <v>45281.66667</v>
      </c>
      <c r="B971" s="5">
        <f>IFERROR(__xludf.DUMMYFUNCTION("""COMPUTED_VALUE"""),6200.0)</f>
        <v>6200</v>
      </c>
      <c r="C971" s="5">
        <f>IFERROR(__xludf.DUMMYFUNCTION("""COMPUTED_VALUE"""),6275.0)</f>
        <v>6275</v>
      </c>
      <c r="D971" s="5">
        <f>IFERROR(__xludf.DUMMYFUNCTION("""COMPUTED_VALUE"""),6150.0)</f>
        <v>6150</v>
      </c>
      <c r="E971" s="5">
        <f>IFERROR(__xludf.DUMMYFUNCTION("""COMPUTED_VALUE"""),6150.0)</f>
        <v>6150</v>
      </c>
      <c r="F971" s="5">
        <f>IFERROR(__xludf.DUMMYFUNCTION("""COMPUTED_VALUE"""),5001700.0)</f>
        <v>5001700</v>
      </c>
      <c r="G971" s="5">
        <f t="shared" si="1"/>
        <v>125</v>
      </c>
    </row>
    <row r="972">
      <c r="A972" s="4">
        <f>IFERROR(__xludf.DUMMYFUNCTION("""COMPUTED_VALUE"""),45282.66666666667)</f>
        <v>45282.66667</v>
      </c>
      <c r="B972" s="5">
        <f>IFERROR(__xludf.DUMMYFUNCTION("""COMPUTED_VALUE"""),6150.0)</f>
        <v>6150</v>
      </c>
      <c r="C972" s="5">
        <f>IFERROR(__xludf.DUMMYFUNCTION("""COMPUTED_VALUE"""),6325.0)</f>
        <v>6325</v>
      </c>
      <c r="D972" s="5">
        <f>IFERROR(__xludf.DUMMYFUNCTION("""COMPUTED_VALUE"""),6150.0)</f>
        <v>6150</v>
      </c>
      <c r="E972" s="5">
        <f>IFERROR(__xludf.DUMMYFUNCTION("""COMPUTED_VALUE"""),6275.0)</f>
        <v>6275</v>
      </c>
      <c r="F972" s="5">
        <f>IFERROR(__xludf.DUMMYFUNCTION("""COMPUTED_VALUE"""),6519900.0)</f>
        <v>6519900</v>
      </c>
      <c r="G972" s="5">
        <f t="shared" si="1"/>
        <v>175</v>
      </c>
    </row>
    <row r="973">
      <c r="A973" s="4">
        <f>IFERROR(__xludf.DUMMYFUNCTION("""COMPUTED_VALUE"""),45287.66666666667)</f>
        <v>45287.66667</v>
      </c>
      <c r="B973" s="5">
        <f>IFERROR(__xludf.DUMMYFUNCTION("""COMPUTED_VALUE"""),6300.0)</f>
        <v>6300</v>
      </c>
      <c r="C973" s="5">
        <f>IFERROR(__xludf.DUMMYFUNCTION("""COMPUTED_VALUE"""),6350.0)</f>
        <v>6350</v>
      </c>
      <c r="D973" s="5">
        <f>IFERROR(__xludf.DUMMYFUNCTION("""COMPUTED_VALUE"""),6250.0)</f>
        <v>6250</v>
      </c>
      <c r="E973" s="5">
        <f>IFERROR(__xludf.DUMMYFUNCTION("""COMPUTED_VALUE"""),6275.0)</f>
        <v>6275</v>
      </c>
      <c r="F973" s="5">
        <f>IFERROR(__xludf.DUMMYFUNCTION("""COMPUTED_VALUE"""),1616900.0)</f>
        <v>1616900</v>
      </c>
      <c r="G973" s="5">
        <f t="shared" si="1"/>
        <v>100</v>
      </c>
    </row>
    <row r="974">
      <c r="A974" s="4">
        <f>IFERROR(__xludf.DUMMYFUNCTION("""COMPUTED_VALUE"""),45288.66666666667)</f>
        <v>45288.66667</v>
      </c>
      <c r="B974" s="5">
        <f>IFERROR(__xludf.DUMMYFUNCTION("""COMPUTED_VALUE"""),6275.0)</f>
        <v>6275</v>
      </c>
      <c r="C974" s="5">
        <f>IFERROR(__xludf.DUMMYFUNCTION("""COMPUTED_VALUE"""),6325.0)</f>
        <v>6325</v>
      </c>
      <c r="D974" s="5">
        <f>IFERROR(__xludf.DUMMYFUNCTION("""COMPUTED_VALUE"""),6250.0)</f>
        <v>6250</v>
      </c>
      <c r="E974" s="5">
        <f>IFERROR(__xludf.DUMMYFUNCTION("""COMPUTED_VALUE"""),6275.0)</f>
        <v>6275</v>
      </c>
      <c r="F974" s="5">
        <f>IFERROR(__xludf.DUMMYFUNCTION("""COMPUTED_VALUE"""),2850700.0)</f>
        <v>2850700</v>
      </c>
      <c r="G974" s="5">
        <f t="shared" si="1"/>
        <v>75</v>
      </c>
    </row>
    <row r="975">
      <c r="A975" s="4">
        <f>IFERROR(__xludf.DUMMYFUNCTION("""COMPUTED_VALUE"""),45289.66666666667)</f>
        <v>45289.66667</v>
      </c>
      <c r="B975" s="5">
        <f>IFERROR(__xludf.DUMMYFUNCTION("""COMPUTED_VALUE"""),6275.0)</f>
        <v>6275</v>
      </c>
      <c r="C975" s="5">
        <f>IFERROR(__xludf.DUMMYFUNCTION("""COMPUTED_VALUE"""),6450.0)</f>
        <v>6450</v>
      </c>
      <c r="D975" s="5">
        <f>IFERROR(__xludf.DUMMYFUNCTION("""COMPUTED_VALUE"""),6225.0)</f>
        <v>6225</v>
      </c>
      <c r="E975" s="5">
        <f>IFERROR(__xludf.DUMMYFUNCTION("""COMPUTED_VALUE"""),6400.0)</f>
        <v>6400</v>
      </c>
      <c r="F975" s="5">
        <f>IFERROR(__xludf.DUMMYFUNCTION("""COMPUTED_VALUE"""),7400100.0)</f>
        <v>7400100</v>
      </c>
      <c r="G975" s="5">
        <f t="shared" si="1"/>
        <v>225</v>
      </c>
    </row>
    <row r="976">
      <c r="A976" s="4">
        <f>IFERROR(__xludf.DUMMYFUNCTION("""COMPUTED_VALUE"""),45293.66666666667)</f>
        <v>45293.66667</v>
      </c>
      <c r="B976" s="5">
        <f>IFERROR(__xludf.DUMMYFUNCTION("""COMPUTED_VALUE"""),6400.0)</f>
        <v>6400</v>
      </c>
      <c r="C976" s="5">
        <f>IFERROR(__xludf.DUMMYFUNCTION("""COMPUTED_VALUE"""),6475.0)</f>
        <v>6475</v>
      </c>
      <c r="D976" s="5">
        <f>IFERROR(__xludf.DUMMYFUNCTION("""COMPUTED_VALUE"""),6350.0)</f>
        <v>6350</v>
      </c>
      <c r="E976" s="5">
        <f>IFERROR(__xludf.DUMMYFUNCTION("""COMPUTED_VALUE"""),6475.0)</f>
        <v>6475</v>
      </c>
      <c r="F976" s="5">
        <f>IFERROR(__xludf.DUMMYFUNCTION("""COMPUTED_VALUE"""),2082000.0)</f>
        <v>2082000</v>
      </c>
      <c r="G976" s="5">
        <f t="shared" si="1"/>
        <v>125</v>
      </c>
    </row>
    <row r="977">
      <c r="A977" s="4">
        <f>IFERROR(__xludf.DUMMYFUNCTION("""COMPUTED_VALUE"""),45294.66666666667)</f>
        <v>45294.66667</v>
      </c>
      <c r="B977" s="5">
        <f>IFERROR(__xludf.DUMMYFUNCTION("""COMPUTED_VALUE"""),6475.0)</f>
        <v>6475</v>
      </c>
      <c r="C977" s="5">
        <f>IFERROR(__xludf.DUMMYFUNCTION("""COMPUTED_VALUE"""),6475.0)</f>
        <v>6475</v>
      </c>
      <c r="D977" s="5">
        <f>IFERROR(__xludf.DUMMYFUNCTION("""COMPUTED_VALUE"""),6400.0)</f>
        <v>6400</v>
      </c>
      <c r="E977" s="5">
        <f>IFERROR(__xludf.DUMMYFUNCTION("""COMPUTED_VALUE"""),6425.0)</f>
        <v>6425</v>
      </c>
      <c r="F977" s="5">
        <f>IFERROR(__xludf.DUMMYFUNCTION("""COMPUTED_VALUE"""),2195500.0)</f>
        <v>2195500</v>
      </c>
      <c r="G977" s="5">
        <f t="shared" si="1"/>
        <v>75</v>
      </c>
    </row>
    <row r="978">
      <c r="A978" s="4">
        <f>IFERROR(__xludf.DUMMYFUNCTION("""COMPUTED_VALUE"""),45295.66666666667)</f>
        <v>45295.66667</v>
      </c>
      <c r="B978" s="5">
        <f>IFERROR(__xludf.DUMMYFUNCTION("""COMPUTED_VALUE"""),6425.0)</f>
        <v>6425</v>
      </c>
      <c r="C978" s="5">
        <f>IFERROR(__xludf.DUMMYFUNCTION("""COMPUTED_VALUE"""),6550.0)</f>
        <v>6550</v>
      </c>
      <c r="D978" s="5">
        <f>IFERROR(__xludf.DUMMYFUNCTION("""COMPUTED_VALUE"""),6375.0)</f>
        <v>6375</v>
      </c>
      <c r="E978" s="5">
        <f>IFERROR(__xludf.DUMMYFUNCTION("""COMPUTED_VALUE"""),6475.0)</f>
        <v>6475</v>
      </c>
      <c r="F978" s="5">
        <f>IFERROR(__xludf.DUMMYFUNCTION("""COMPUTED_VALUE"""),3422700.0)</f>
        <v>3422700</v>
      </c>
      <c r="G978" s="5">
        <f t="shared" si="1"/>
        <v>175</v>
      </c>
    </row>
    <row r="979">
      <c r="A979" s="4">
        <f>IFERROR(__xludf.DUMMYFUNCTION("""COMPUTED_VALUE"""),45296.66666666667)</f>
        <v>45296.66667</v>
      </c>
      <c r="B979" s="5">
        <f>IFERROR(__xludf.DUMMYFUNCTION("""COMPUTED_VALUE"""),6475.0)</f>
        <v>6475</v>
      </c>
      <c r="C979" s="5">
        <f>IFERROR(__xludf.DUMMYFUNCTION("""COMPUTED_VALUE"""),6550.0)</f>
        <v>6550</v>
      </c>
      <c r="D979" s="5">
        <f>IFERROR(__xludf.DUMMYFUNCTION("""COMPUTED_VALUE"""),6350.0)</f>
        <v>6350</v>
      </c>
      <c r="E979" s="5">
        <f>IFERROR(__xludf.DUMMYFUNCTION("""COMPUTED_VALUE"""),6375.0)</f>
        <v>6375</v>
      </c>
      <c r="F979" s="5">
        <f>IFERROR(__xludf.DUMMYFUNCTION("""COMPUTED_VALUE"""),6862900.0)</f>
        <v>6862900</v>
      </c>
      <c r="G979" s="5">
        <f t="shared" si="1"/>
        <v>200</v>
      </c>
    </row>
    <row r="980">
      <c r="A980" s="4">
        <f>IFERROR(__xludf.DUMMYFUNCTION("""COMPUTED_VALUE"""),45299.66666666667)</f>
        <v>45299.66667</v>
      </c>
      <c r="B980" s="5">
        <f>IFERROR(__xludf.DUMMYFUNCTION("""COMPUTED_VALUE"""),6375.0)</f>
        <v>6375</v>
      </c>
      <c r="C980" s="5">
        <f>IFERROR(__xludf.DUMMYFUNCTION("""COMPUTED_VALUE"""),6375.0)</f>
        <v>6375</v>
      </c>
      <c r="D980" s="5">
        <f>IFERROR(__xludf.DUMMYFUNCTION("""COMPUTED_VALUE"""),6250.0)</f>
        <v>6250</v>
      </c>
      <c r="E980" s="5">
        <f>IFERROR(__xludf.DUMMYFUNCTION("""COMPUTED_VALUE"""),6250.0)</f>
        <v>6250</v>
      </c>
      <c r="F980" s="5">
        <f>IFERROR(__xludf.DUMMYFUNCTION("""COMPUTED_VALUE"""),3444200.0)</f>
        <v>3444200</v>
      </c>
      <c r="G980" s="5">
        <f t="shared" si="1"/>
        <v>125</v>
      </c>
    </row>
    <row r="981">
      <c r="A981" s="4">
        <f>IFERROR(__xludf.DUMMYFUNCTION("""COMPUTED_VALUE"""),45300.66666666667)</f>
        <v>45300.66667</v>
      </c>
      <c r="B981" s="5">
        <f>IFERROR(__xludf.DUMMYFUNCTION("""COMPUTED_VALUE"""),6275.0)</f>
        <v>6275</v>
      </c>
      <c r="C981" s="5">
        <f>IFERROR(__xludf.DUMMYFUNCTION("""COMPUTED_VALUE"""),6350.0)</f>
        <v>6350</v>
      </c>
      <c r="D981" s="5">
        <f>IFERROR(__xludf.DUMMYFUNCTION("""COMPUTED_VALUE"""),6250.0)</f>
        <v>6250</v>
      </c>
      <c r="E981" s="5">
        <f>IFERROR(__xludf.DUMMYFUNCTION("""COMPUTED_VALUE"""),6300.0)</f>
        <v>6300</v>
      </c>
      <c r="F981" s="5">
        <f>IFERROR(__xludf.DUMMYFUNCTION("""COMPUTED_VALUE"""),3325900.0)</f>
        <v>3325900</v>
      </c>
      <c r="G981" s="5">
        <f t="shared" si="1"/>
        <v>100</v>
      </c>
    </row>
    <row r="982">
      <c r="A982" s="4">
        <f>IFERROR(__xludf.DUMMYFUNCTION("""COMPUTED_VALUE"""),45301.66666666667)</f>
        <v>45301.66667</v>
      </c>
      <c r="B982" s="5">
        <f>IFERROR(__xludf.DUMMYFUNCTION("""COMPUTED_VALUE"""),6300.0)</f>
        <v>6300</v>
      </c>
      <c r="C982" s="5">
        <f>IFERROR(__xludf.DUMMYFUNCTION("""COMPUTED_VALUE"""),6425.0)</f>
        <v>6425</v>
      </c>
      <c r="D982" s="5">
        <f>IFERROR(__xludf.DUMMYFUNCTION("""COMPUTED_VALUE"""),6300.0)</f>
        <v>6300</v>
      </c>
      <c r="E982" s="5">
        <f>IFERROR(__xludf.DUMMYFUNCTION("""COMPUTED_VALUE"""),6325.0)</f>
        <v>6325</v>
      </c>
      <c r="F982" s="5">
        <f>IFERROR(__xludf.DUMMYFUNCTION("""COMPUTED_VALUE"""),2805100.0)</f>
        <v>2805100</v>
      </c>
      <c r="G982" s="5">
        <f t="shared" si="1"/>
        <v>125</v>
      </c>
    </row>
    <row r="983">
      <c r="A983" s="4">
        <f>IFERROR(__xludf.DUMMYFUNCTION("""COMPUTED_VALUE"""),45302.66666666667)</f>
        <v>45302.66667</v>
      </c>
      <c r="B983" s="5">
        <f>IFERROR(__xludf.DUMMYFUNCTION("""COMPUTED_VALUE"""),6325.0)</f>
        <v>6325</v>
      </c>
      <c r="C983" s="5">
        <f>IFERROR(__xludf.DUMMYFUNCTION("""COMPUTED_VALUE"""),6425.0)</f>
        <v>6425</v>
      </c>
      <c r="D983" s="5">
        <f>IFERROR(__xludf.DUMMYFUNCTION("""COMPUTED_VALUE"""),6250.0)</f>
        <v>6250</v>
      </c>
      <c r="E983" s="5">
        <f>IFERROR(__xludf.DUMMYFUNCTION("""COMPUTED_VALUE"""),6250.0)</f>
        <v>6250</v>
      </c>
      <c r="F983" s="5">
        <f>IFERROR(__xludf.DUMMYFUNCTION("""COMPUTED_VALUE"""),4454500.0)</f>
        <v>4454500</v>
      </c>
      <c r="G983" s="5">
        <f t="shared" si="1"/>
        <v>175</v>
      </c>
    </row>
    <row r="984">
      <c r="A984" s="4">
        <f>IFERROR(__xludf.DUMMYFUNCTION("""COMPUTED_VALUE"""),45303.66666666667)</f>
        <v>45303.66667</v>
      </c>
      <c r="B984" s="5">
        <f>IFERROR(__xludf.DUMMYFUNCTION("""COMPUTED_VALUE"""),6275.0)</f>
        <v>6275</v>
      </c>
      <c r="C984" s="5">
        <f>IFERROR(__xludf.DUMMYFUNCTION("""COMPUTED_VALUE"""),6300.0)</f>
        <v>6300</v>
      </c>
      <c r="D984" s="5">
        <f>IFERROR(__xludf.DUMMYFUNCTION("""COMPUTED_VALUE"""),6225.0)</f>
        <v>6225</v>
      </c>
      <c r="E984" s="5">
        <f>IFERROR(__xludf.DUMMYFUNCTION("""COMPUTED_VALUE"""),6275.0)</f>
        <v>6275</v>
      </c>
      <c r="F984" s="5">
        <f>IFERROR(__xludf.DUMMYFUNCTION("""COMPUTED_VALUE"""),6964200.0)</f>
        <v>6964200</v>
      </c>
      <c r="G984" s="5">
        <f t="shared" si="1"/>
        <v>75</v>
      </c>
    </row>
    <row r="985">
      <c r="A985" s="4">
        <f>IFERROR(__xludf.DUMMYFUNCTION("""COMPUTED_VALUE"""),45306.66666666667)</f>
        <v>45306.66667</v>
      </c>
      <c r="B985" s="5">
        <f>IFERROR(__xludf.DUMMYFUNCTION("""COMPUTED_VALUE"""),6275.0)</f>
        <v>6275</v>
      </c>
      <c r="C985" s="5">
        <f>IFERROR(__xludf.DUMMYFUNCTION("""COMPUTED_VALUE"""),6350.0)</f>
        <v>6350</v>
      </c>
      <c r="D985" s="5">
        <f>IFERROR(__xludf.DUMMYFUNCTION("""COMPUTED_VALUE"""),6225.0)</f>
        <v>6225</v>
      </c>
      <c r="E985" s="5">
        <f>IFERROR(__xludf.DUMMYFUNCTION("""COMPUTED_VALUE"""),6275.0)</f>
        <v>6275</v>
      </c>
      <c r="F985" s="5">
        <f>IFERROR(__xludf.DUMMYFUNCTION("""COMPUTED_VALUE"""),1.02436E7)</f>
        <v>10243600</v>
      </c>
      <c r="G985" s="5">
        <f t="shared" si="1"/>
        <v>125</v>
      </c>
    </row>
    <row r="986">
      <c r="A986" s="4">
        <f>IFERROR(__xludf.DUMMYFUNCTION("""COMPUTED_VALUE"""),45307.66666666667)</f>
        <v>45307.66667</v>
      </c>
      <c r="B986" s="5">
        <f>IFERROR(__xludf.DUMMYFUNCTION("""COMPUTED_VALUE"""),6275.0)</f>
        <v>6275</v>
      </c>
      <c r="C986" s="5">
        <f>IFERROR(__xludf.DUMMYFUNCTION("""COMPUTED_VALUE"""),6275.0)</f>
        <v>6275</v>
      </c>
      <c r="D986" s="5">
        <f>IFERROR(__xludf.DUMMYFUNCTION("""COMPUTED_VALUE"""),6175.0)</f>
        <v>6175</v>
      </c>
      <c r="E986" s="5">
        <f>IFERROR(__xludf.DUMMYFUNCTION("""COMPUTED_VALUE"""),6175.0)</f>
        <v>6175</v>
      </c>
      <c r="F986" s="5">
        <f>IFERROR(__xludf.DUMMYFUNCTION("""COMPUTED_VALUE"""),5540200.0)</f>
        <v>5540200</v>
      </c>
      <c r="G986" s="5">
        <f t="shared" si="1"/>
        <v>100</v>
      </c>
    </row>
    <row r="987">
      <c r="A987" s="4">
        <f>IFERROR(__xludf.DUMMYFUNCTION("""COMPUTED_VALUE"""),45308.66666666667)</f>
        <v>45308.66667</v>
      </c>
      <c r="B987" s="5">
        <f>IFERROR(__xludf.DUMMYFUNCTION("""COMPUTED_VALUE"""),6175.0)</f>
        <v>6175</v>
      </c>
      <c r="C987" s="5">
        <f>IFERROR(__xludf.DUMMYFUNCTION("""COMPUTED_VALUE"""),6200.0)</f>
        <v>6200</v>
      </c>
      <c r="D987" s="5">
        <f>IFERROR(__xludf.DUMMYFUNCTION("""COMPUTED_VALUE"""),6050.0)</f>
        <v>6050</v>
      </c>
      <c r="E987" s="5">
        <f>IFERROR(__xludf.DUMMYFUNCTION("""COMPUTED_VALUE"""),6075.0)</f>
        <v>6075</v>
      </c>
      <c r="F987" s="5">
        <f>IFERROR(__xludf.DUMMYFUNCTION("""COMPUTED_VALUE"""),8261700.0)</f>
        <v>8261700</v>
      </c>
      <c r="G987" s="5">
        <f t="shared" si="1"/>
        <v>150</v>
      </c>
    </row>
    <row r="988">
      <c r="A988" s="4">
        <f>IFERROR(__xludf.DUMMYFUNCTION("""COMPUTED_VALUE"""),45309.66666666667)</f>
        <v>45309.66667</v>
      </c>
      <c r="B988" s="5">
        <f>IFERROR(__xludf.DUMMYFUNCTION("""COMPUTED_VALUE"""),6075.0)</f>
        <v>6075</v>
      </c>
      <c r="C988" s="5">
        <f>IFERROR(__xludf.DUMMYFUNCTION("""COMPUTED_VALUE"""),6125.0)</f>
        <v>6125</v>
      </c>
      <c r="D988" s="5">
        <f>IFERROR(__xludf.DUMMYFUNCTION("""COMPUTED_VALUE"""),6025.0)</f>
        <v>6025</v>
      </c>
      <c r="E988" s="5">
        <f>IFERROR(__xludf.DUMMYFUNCTION("""COMPUTED_VALUE"""),6050.0)</f>
        <v>6050</v>
      </c>
      <c r="F988" s="5">
        <f>IFERROR(__xludf.DUMMYFUNCTION("""COMPUTED_VALUE"""),6687800.0)</f>
        <v>6687800</v>
      </c>
      <c r="G988" s="5">
        <f t="shared" si="1"/>
        <v>100</v>
      </c>
    </row>
    <row r="989">
      <c r="A989" s="4">
        <f>IFERROR(__xludf.DUMMYFUNCTION("""COMPUTED_VALUE"""),45310.66666666667)</f>
        <v>45310.66667</v>
      </c>
      <c r="B989" s="5">
        <f>IFERROR(__xludf.DUMMYFUNCTION("""COMPUTED_VALUE"""),6050.0)</f>
        <v>6050</v>
      </c>
      <c r="C989" s="5">
        <f>IFERROR(__xludf.DUMMYFUNCTION("""COMPUTED_VALUE"""),6100.0)</f>
        <v>6100</v>
      </c>
      <c r="D989" s="5">
        <f>IFERROR(__xludf.DUMMYFUNCTION("""COMPUTED_VALUE"""),6025.0)</f>
        <v>6025</v>
      </c>
      <c r="E989" s="5">
        <f>IFERROR(__xludf.DUMMYFUNCTION("""COMPUTED_VALUE"""),6050.0)</f>
        <v>6050</v>
      </c>
      <c r="F989" s="5">
        <f>IFERROR(__xludf.DUMMYFUNCTION("""COMPUTED_VALUE"""),3927900.0)</f>
        <v>3927900</v>
      </c>
      <c r="G989" s="5">
        <f t="shared" si="1"/>
        <v>75</v>
      </c>
    </row>
    <row r="990">
      <c r="A990" s="4">
        <f>IFERROR(__xludf.DUMMYFUNCTION("""COMPUTED_VALUE"""),45313.66666666667)</f>
        <v>45313.66667</v>
      </c>
      <c r="B990" s="5">
        <f>IFERROR(__xludf.DUMMYFUNCTION("""COMPUTED_VALUE"""),6075.0)</f>
        <v>6075</v>
      </c>
      <c r="C990" s="5">
        <f>IFERROR(__xludf.DUMMYFUNCTION("""COMPUTED_VALUE"""),6100.0)</f>
        <v>6100</v>
      </c>
      <c r="D990" s="5">
        <f>IFERROR(__xludf.DUMMYFUNCTION("""COMPUTED_VALUE"""),5950.0)</f>
        <v>5950</v>
      </c>
      <c r="E990" s="5">
        <f>IFERROR(__xludf.DUMMYFUNCTION("""COMPUTED_VALUE"""),6000.0)</f>
        <v>6000</v>
      </c>
      <c r="F990" s="5">
        <f>IFERROR(__xludf.DUMMYFUNCTION("""COMPUTED_VALUE"""),6356700.0)</f>
        <v>6356700</v>
      </c>
      <c r="G990" s="5">
        <f t="shared" si="1"/>
        <v>150</v>
      </c>
    </row>
    <row r="991">
      <c r="A991" s="4">
        <f>IFERROR(__xludf.DUMMYFUNCTION("""COMPUTED_VALUE"""),45314.66666666667)</f>
        <v>45314.66667</v>
      </c>
      <c r="B991" s="5">
        <f>IFERROR(__xludf.DUMMYFUNCTION("""COMPUTED_VALUE"""),6000.0)</f>
        <v>6000</v>
      </c>
      <c r="C991" s="5">
        <f>IFERROR(__xludf.DUMMYFUNCTION("""COMPUTED_VALUE"""),6025.0)</f>
        <v>6025</v>
      </c>
      <c r="D991" s="5">
        <f>IFERROR(__xludf.DUMMYFUNCTION("""COMPUTED_VALUE"""),5850.0)</f>
        <v>5850</v>
      </c>
      <c r="E991" s="5">
        <f>IFERROR(__xludf.DUMMYFUNCTION("""COMPUTED_VALUE"""),5975.0)</f>
        <v>5975</v>
      </c>
      <c r="F991" s="5">
        <f>IFERROR(__xludf.DUMMYFUNCTION("""COMPUTED_VALUE"""),6396200.0)</f>
        <v>6396200</v>
      </c>
      <c r="G991" s="5">
        <f t="shared" si="1"/>
        <v>175</v>
      </c>
    </row>
    <row r="992">
      <c r="A992" s="4">
        <f>IFERROR(__xludf.DUMMYFUNCTION("""COMPUTED_VALUE"""),45315.66666666667)</f>
        <v>45315.66667</v>
      </c>
      <c r="B992" s="5">
        <f>IFERROR(__xludf.DUMMYFUNCTION("""COMPUTED_VALUE"""),5950.0)</f>
        <v>5950</v>
      </c>
      <c r="C992" s="5">
        <f>IFERROR(__xludf.DUMMYFUNCTION("""COMPUTED_VALUE"""),6050.0)</f>
        <v>6050</v>
      </c>
      <c r="D992" s="5">
        <f>IFERROR(__xludf.DUMMYFUNCTION("""COMPUTED_VALUE"""),5875.0)</f>
        <v>5875</v>
      </c>
      <c r="E992" s="5">
        <f>IFERROR(__xludf.DUMMYFUNCTION("""COMPUTED_VALUE"""),6025.0)</f>
        <v>6025</v>
      </c>
      <c r="F992" s="5">
        <f>IFERROR(__xludf.DUMMYFUNCTION("""COMPUTED_VALUE"""),5632100.0)</f>
        <v>5632100</v>
      </c>
      <c r="G992" s="5">
        <f t="shared" si="1"/>
        <v>175</v>
      </c>
    </row>
    <row r="993">
      <c r="A993" s="4">
        <f>IFERROR(__xludf.DUMMYFUNCTION("""COMPUTED_VALUE"""),45316.66666666667)</f>
        <v>45316.66667</v>
      </c>
      <c r="B993" s="5">
        <f>IFERROR(__xludf.DUMMYFUNCTION("""COMPUTED_VALUE"""),6050.0)</f>
        <v>6050</v>
      </c>
      <c r="C993" s="5">
        <f>IFERROR(__xludf.DUMMYFUNCTION("""COMPUTED_VALUE"""),6225.0)</f>
        <v>6225</v>
      </c>
      <c r="D993" s="5">
        <f>IFERROR(__xludf.DUMMYFUNCTION("""COMPUTED_VALUE"""),6050.0)</f>
        <v>6050</v>
      </c>
      <c r="E993" s="5">
        <f>IFERROR(__xludf.DUMMYFUNCTION("""COMPUTED_VALUE"""),6150.0)</f>
        <v>6150</v>
      </c>
      <c r="F993" s="5">
        <f>IFERROR(__xludf.DUMMYFUNCTION("""COMPUTED_VALUE"""),8009900.0)</f>
        <v>8009900</v>
      </c>
      <c r="G993" s="5">
        <f t="shared" si="1"/>
        <v>200</v>
      </c>
    </row>
    <row r="994">
      <c r="A994" s="4">
        <f>IFERROR(__xludf.DUMMYFUNCTION("""COMPUTED_VALUE"""),45317.66666666667)</f>
        <v>45317.66667</v>
      </c>
      <c r="B994" s="5">
        <f>IFERROR(__xludf.DUMMYFUNCTION("""COMPUTED_VALUE"""),6175.0)</f>
        <v>6175</v>
      </c>
      <c r="C994" s="5">
        <f>IFERROR(__xludf.DUMMYFUNCTION("""COMPUTED_VALUE"""),6200.0)</f>
        <v>6200</v>
      </c>
      <c r="D994" s="5">
        <f>IFERROR(__xludf.DUMMYFUNCTION("""COMPUTED_VALUE"""),6100.0)</f>
        <v>6100</v>
      </c>
      <c r="E994" s="5">
        <f>IFERROR(__xludf.DUMMYFUNCTION("""COMPUTED_VALUE"""),6175.0)</f>
        <v>6175</v>
      </c>
      <c r="F994" s="5">
        <f>IFERROR(__xludf.DUMMYFUNCTION("""COMPUTED_VALUE"""),3471500.0)</f>
        <v>3471500</v>
      </c>
      <c r="G994" s="5">
        <f t="shared" si="1"/>
        <v>100</v>
      </c>
    </row>
    <row r="995">
      <c r="A995" s="4">
        <f>IFERROR(__xludf.DUMMYFUNCTION("""COMPUTED_VALUE"""),45320.66666666667)</f>
        <v>45320.66667</v>
      </c>
      <c r="B995" s="5">
        <f>IFERROR(__xludf.DUMMYFUNCTION("""COMPUTED_VALUE"""),6200.0)</f>
        <v>6200</v>
      </c>
      <c r="C995" s="5">
        <f>IFERROR(__xludf.DUMMYFUNCTION("""COMPUTED_VALUE"""),6200.0)</f>
        <v>6200</v>
      </c>
      <c r="D995" s="5">
        <f>IFERROR(__xludf.DUMMYFUNCTION("""COMPUTED_VALUE"""),6125.0)</f>
        <v>6125</v>
      </c>
      <c r="E995" s="5">
        <f>IFERROR(__xludf.DUMMYFUNCTION("""COMPUTED_VALUE"""),6200.0)</f>
        <v>6200</v>
      </c>
      <c r="F995" s="5">
        <f>IFERROR(__xludf.DUMMYFUNCTION("""COMPUTED_VALUE"""),3629600.0)</f>
        <v>3629600</v>
      </c>
      <c r="G995" s="5">
        <f t="shared" si="1"/>
        <v>75</v>
      </c>
    </row>
    <row r="996">
      <c r="A996" s="4">
        <f>IFERROR(__xludf.DUMMYFUNCTION("""COMPUTED_VALUE"""),45321.66666666667)</f>
        <v>45321.66667</v>
      </c>
      <c r="B996" s="5">
        <f>IFERROR(__xludf.DUMMYFUNCTION("""COMPUTED_VALUE"""),6200.0)</f>
        <v>6200</v>
      </c>
      <c r="C996" s="5">
        <f>IFERROR(__xludf.DUMMYFUNCTION("""COMPUTED_VALUE"""),6225.0)</f>
        <v>6225</v>
      </c>
      <c r="D996" s="5">
        <f>IFERROR(__xludf.DUMMYFUNCTION("""COMPUTED_VALUE"""),6150.0)</f>
        <v>6150</v>
      </c>
      <c r="E996" s="5">
        <f>IFERROR(__xludf.DUMMYFUNCTION("""COMPUTED_VALUE"""),6175.0)</f>
        <v>6175</v>
      </c>
      <c r="F996" s="5">
        <f>IFERROR(__xludf.DUMMYFUNCTION("""COMPUTED_VALUE"""),2735700.0)</f>
        <v>2735700</v>
      </c>
      <c r="G996" s="5">
        <f t="shared" si="1"/>
        <v>75</v>
      </c>
    </row>
    <row r="997">
      <c r="A997" s="4">
        <f>IFERROR(__xludf.DUMMYFUNCTION("""COMPUTED_VALUE"""),45322.66666666667)</f>
        <v>45322.66667</v>
      </c>
      <c r="B997" s="5">
        <f>IFERROR(__xludf.DUMMYFUNCTION("""COMPUTED_VALUE"""),6150.0)</f>
        <v>6150</v>
      </c>
      <c r="C997" s="5">
        <f>IFERROR(__xludf.DUMMYFUNCTION("""COMPUTED_VALUE"""),6300.0)</f>
        <v>6300</v>
      </c>
      <c r="D997" s="5">
        <f>IFERROR(__xludf.DUMMYFUNCTION("""COMPUTED_VALUE"""),6150.0)</f>
        <v>6150</v>
      </c>
      <c r="E997" s="5">
        <f>IFERROR(__xludf.DUMMYFUNCTION("""COMPUTED_VALUE"""),6200.0)</f>
        <v>6200</v>
      </c>
      <c r="F997" s="5">
        <f>IFERROR(__xludf.DUMMYFUNCTION("""COMPUTED_VALUE"""),7377600.0)</f>
        <v>7377600</v>
      </c>
      <c r="G997" s="5">
        <f t="shared" si="1"/>
        <v>150</v>
      </c>
    </row>
    <row r="998">
      <c r="A998" s="4">
        <f>IFERROR(__xludf.DUMMYFUNCTION("""COMPUTED_VALUE"""),45323.66666666667)</f>
        <v>45323.66667</v>
      </c>
      <c r="B998" s="5">
        <f>IFERROR(__xludf.DUMMYFUNCTION("""COMPUTED_VALUE"""),6200.0)</f>
        <v>6200</v>
      </c>
      <c r="C998" s="5">
        <f>IFERROR(__xludf.DUMMYFUNCTION("""COMPUTED_VALUE"""),6325.0)</f>
        <v>6325</v>
      </c>
      <c r="D998" s="5">
        <f>IFERROR(__xludf.DUMMYFUNCTION("""COMPUTED_VALUE"""),6200.0)</f>
        <v>6200</v>
      </c>
      <c r="E998" s="5">
        <f>IFERROR(__xludf.DUMMYFUNCTION("""COMPUTED_VALUE"""),6325.0)</f>
        <v>6325</v>
      </c>
      <c r="F998" s="5">
        <f>IFERROR(__xludf.DUMMYFUNCTION("""COMPUTED_VALUE"""),7816800.0)</f>
        <v>7816800</v>
      </c>
      <c r="G998" s="5">
        <f t="shared" si="1"/>
        <v>125</v>
      </c>
    </row>
    <row r="999">
      <c r="A999" s="4">
        <f>IFERROR(__xludf.DUMMYFUNCTION("""COMPUTED_VALUE"""),45324.66666666667)</f>
        <v>45324.66667</v>
      </c>
      <c r="B999" s="5">
        <f>IFERROR(__xludf.DUMMYFUNCTION("""COMPUTED_VALUE"""),6325.0)</f>
        <v>6325</v>
      </c>
      <c r="C999" s="5">
        <f>IFERROR(__xludf.DUMMYFUNCTION("""COMPUTED_VALUE"""),6400.0)</f>
        <v>6400</v>
      </c>
      <c r="D999" s="5">
        <f>IFERROR(__xludf.DUMMYFUNCTION("""COMPUTED_VALUE"""),6225.0)</f>
        <v>6225</v>
      </c>
      <c r="E999" s="5">
        <f>IFERROR(__xludf.DUMMYFUNCTION("""COMPUTED_VALUE"""),6325.0)</f>
        <v>6325</v>
      </c>
      <c r="F999" s="5">
        <f>IFERROR(__xludf.DUMMYFUNCTION("""COMPUTED_VALUE"""),8590800.0)</f>
        <v>8590800</v>
      </c>
      <c r="G999" s="5">
        <f t="shared" si="1"/>
        <v>175</v>
      </c>
    </row>
    <row r="1000">
      <c r="A1000" s="4">
        <f>IFERROR(__xludf.DUMMYFUNCTION("""COMPUTED_VALUE"""),45327.66666666667)</f>
        <v>45327.66667</v>
      </c>
      <c r="B1000" s="5">
        <f>IFERROR(__xludf.DUMMYFUNCTION("""COMPUTED_VALUE"""),6325.0)</f>
        <v>6325</v>
      </c>
      <c r="C1000" s="5">
        <f>IFERROR(__xludf.DUMMYFUNCTION("""COMPUTED_VALUE"""),6350.0)</f>
        <v>6350</v>
      </c>
      <c r="D1000" s="5">
        <f>IFERROR(__xludf.DUMMYFUNCTION("""COMPUTED_VALUE"""),6225.0)</f>
        <v>6225</v>
      </c>
      <c r="E1000" s="5">
        <f>IFERROR(__xludf.DUMMYFUNCTION("""COMPUTED_VALUE"""),6275.0)</f>
        <v>6275</v>
      </c>
      <c r="F1000" s="5">
        <f>IFERROR(__xludf.DUMMYFUNCTION("""COMPUTED_VALUE"""),6680200.0)</f>
        <v>6680200</v>
      </c>
      <c r="G1000" s="5">
        <f t="shared" si="1"/>
        <v>125</v>
      </c>
    </row>
    <row r="1001">
      <c r="A1001" s="4">
        <f>IFERROR(__xludf.DUMMYFUNCTION("""COMPUTED_VALUE"""),45328.66666666667)</f>
        <v>45328.66667</v>
      </c>
      <c r="B1001" s="5">
        <f>IFERROR(__xludf.DUMMYFUNCTION("""COMPUTED_VALUE"""),6300.0)</f>
        <v>6300</v>
      </c>
      <c r="C1001" s="5">
        <f>IFERROR(__xludf.DUMMYFUNCTION("""COMPUTED_VALUE"""),6325.0)</f>
        <v>6325</v>
      </c>
      <c r="D1001" s="5">
        <f>IFERROR(__xludf.DUMMYFUNCTION("""COMPUTED_VALUE"""),6200.0)</f>
        <v>6200</v>
      </c>
      <c r="E1001" s="5">
        <f>IFERROR(__xludf.DUMMYFUNCTION("""COMPUTED_VALUE"""),6250.0)</f>
        <v>6250</v>
      </c>
      <c r="F1001" s="5">
        <f>IFERROR(__xludf.DUMMYFUNCTION("""COMPUTED_VALUE"""),3813300.0)</f>
        <v>3813300</v>
      </c>
      <c r="G1001" s="5">
        <f t="shared" si="1"/>
        <v>125</v>
      </c>
    </row>
    <row r="1002">
      <c r="A1002" s="4">
        <f>IFERROR(__xludf.DUMMYFUNCTION("""COMPUTED_VALUE"""),45329.66666666667)</f>
        <v>45329.66667</v>
      </c>
      <c r="B1002" s="5">
        <f>IFERROR(__xludf.DUMMYFUNCTION("""COMPUTED_VALUE"""),6250.0)</f>
        <v>6250</v>
      </c>
      <c r="C1002" s="5">
        <f>IFERROR(__xludf.DUMMYFUNCTION("""COMPUTED_VALUE"""),6300.0)</f>
        <v>6300</v>
      </c>
      <c r="D1002" s="5">
        <f>IFERROR(__xludf.DUMMYFUNCTION("""COMPUTED_VALUE"""),6150.0)</f>
        <v>6150</v>
      </c>
      <c r="E1002" s="5">
        <f>IFERROR(__xludf.DUMMYFUNCTION("""COMPUTED_VALUE"""),6150.0)</f>
        <v>6150</v>
      </c>
      <c r="F1002" s="5">
        <f>IFERROR(__xludf.DUMMYFUNCTION("""COMPUTED_VALUE"""),6746700.0)</f>
        <v>6746700</v>
      </c>
      <c r="G1002" s="5">
        <f t="shared" si="1"/>
        <v>150</v>
      </c>
    </row>
    <row r="1003">
      <c r="A1003" s="4">
        <f>IFERROR(__xludf.DUMMYFUNCTION("""COMPUTED_VALUE"""),45334.66666666667)</f>
        <v>45334.66667</v>
      </c>
      <c r="B1003" s="5">
        <f>IFERROR(__xludf.DUMMYFUNCTION("""COMPUTED_VALUE"""),6175.0)</f>
        <v>6175</v>
      </c>
      <c r="C1003" s="5">
        <f>IFERROR(__xludf.DUMMYFUNCTION("""COMPUTED_VALUE"""),6300.0)</f>
        <v>6300</v>
      </c>
      <c r="D1003" s="5">
        <f>IFERROR(__xludf.DUMMYFUNCTION("""COMPUTED_VALUE"""),6100.0)</f>
        <v>6100</v>
      </c>
      <c r="E1003" s="5">
        <f>IFERROR(__xludf.DUMMYFUNCTION("""COMPUTED_VALUE"""),6200.0)</f>
        <v>6200</v>
      </c>
      <c r="F1003" s="5">
        <f>IFERROR(__xludf.DUMMYFUNCTION("""COMPUTED_VALUE"""),6269900.0)</f>
        <v>6269900</v>
      </c>
      <c r="G1003" s="5">
        <f t="shared" si="1"/>
        <v>200</v>
      </c>
    </row>
    <row r="1004">
      <c r="A1004" s="4">
        <f>IFERROR(__xludf.DUMMYFUNCTION("""COMPUTED_VALUE"""),45335.66666666667)</f>
        <v>45335.66667</v>
      </c>
      <c r="B1004" s="5">
        <f>IFERROR(__xludf.DUMMYFUNCTION("""COMPUTED_VALUE"""),6225.0)</f>
        <v>6225</v>
      </c>
      <c r="C1004" s="5">
        <f>IFERROR(__xludf.DUMMYFUNCTION("""COMPUTED_VALUE"""),6250.0)</f>
        <v>6250</v>
      </c>
      <c r="D1004" s="5">
        <f>IFERROR(__xludf.DUMMYFUNCTION("""COMPUTED_VALUE"""),6150.0)</f>
        <v>6150</v>
      </c>
      <c r="E1004" s="5">
        <f>IFERROR(__xludf.DUMMYFUNCTION("""COMPUTED_VALUE"""),6150.0)</f>
        <v>6150</v>
      </c>
      <c r="F1004" s="5">
        <f>IFERROR(__xludf.DUMMYFUNCTION("""COMPUTED_VALUE"""),5147900.0)</f>
        <v>5147900</v>
      </c>
      <c r="G1004" s="5">
        <f t="shared" si="1"/>
        <v>100</v>
      </c>
    </row>
    <row r="1005">
      <c r="A1005" s="4">
        <f>IFERROR(__xludf.DUMMYFUNCTION("""COMPUTED_VALUE"""),45337.66666666667)</f>
        <v>45337.66667</v>
      </c>
      <c r="B1005" s="5">
        <f>IFERROR(__xludf.DUMMYFUNCTION("""COMPUTED_VALUE"""),6325.0)</f>
        <v>6325</v>
      </c>
      <c r="C1005" s="5">
        <f>IFERROR(__xludf.DUMMYFUNCTION("""COMPUTED_VALUE"""),6500.0)</f>
        <v>6500</v>
      </c>
      <c r="D1005" s="5">
        <f>IFERROR(__xludf.DUMMYFUNCTION("""COMPUTED_VALUE"""),6300.0)</f>
        <v>6300</v>
      </c>
      <c r="E1005" s="5">
        <f>IFERROR(__xludf.DUMMYFUNCTION("""COMPUTED_VALUE"""),6500.0)</f>
        <v>6500</v>
      </c>
      <c r="F1005" s="5">
        <f>IFERROR(__xludf.DUMMYFUNCTION("""COMPUTED_VALUE"""),4.15661E7)</f>
        <v>41566100</v>
      </c>
      <c r="G1005" s="5">
        <f t="shared" si="1"/>
        <v>350</v>
      </c>
    </row>
    <row r="1006">
      <c r="A1006" s="4">
        <f>IFERROR(__xludf.DUMMYFUNCTION("""COMPUTED_VALUE"""),45338.66666666667)</f>
        <v>45338.66667</v>
      </c>
      <c r="B1006" s="5">
        <f>IFERROR(__xludf.DUMMYFUNCTION("""COMPUTED_VALUE"""),6525.0)</f>
        <v>6525</v>
      </c>
      <c r="C1006" s="5">
        <f>IFERROR(__xludf.DUMMYFUNCTION("""COMPUTED_VALUE"""),6550.0)</f>
        <v>6550</v>
      </c>
      <c r="D1006" s="5">
        <f>IFERROR(__xludf.DUMMYFUNCTION("""COMPUTED_VALUE"""),6400.0)</f>
        <v>6400</v>
      </c>
      <c r="E1006" s="5">
        <f>IFERROR(__xludf.DUMMYFUNCTION("""COMPUTED_VALUE"""),6500.0)</f>
        <v>6500</v>
      </c>
      <c r="F1006" s="5">
        <f>IFERROR(__xludf.DUMMYFUNCTION("""COMPUTED_VALUE"""),1.41522E7)</f>
        <v>14152200</v>
      </c>
      <c r="G1006" s="5">
        <f t="shared" si="1"/>
        <v>150</v>
      </c>
    </row>
    <row r="1007">
      <c r="A1007" s="4">
        <f>IFERROR(__xludf.DUMMYFUNCTION("""COMPUTED_VALUE"""),45341.66666666667)</f>
        <v>45341.66667</v>
      </c>
      <c r="B1007" s="5">
        <f>IFERROR(__xludf.DUMMYFUNCTION("""COMPUTED_VALUE"""),6450.0)</f>
        <v>6450</v>
      </c>
      <c r="C1007" s="5">
        <f>IFERROR(__xludf.DUMMYFUNCTION("""COMPUTED_VALUE"""),6450.0)</f>
        <v>6450</v>
      </c>
      <c r="D1007" s="5">
        <f>IFERROR(__xludf.DUMMYFUNCTION("""COMPUTED_VALUE"""),6300.0)</f>
        <v>6300</v>
      </c>
      <c r="E1007" s="5">
        <f>IFERROR(__xludf.DUMMYFUNCTION("""COMPUTED_VALUE"""),6325.0)</f>
        <v>6325</v>
      </c>
      <c r="F1007" s="5">
        <f>IFERROR(__xludf.DUMMYFUNCTION("""COMPUTED_VALUE"""),7943500.0)</f>
        <v>7943500</v>
      </c>
      <c r="G1007" s="5">
        <f t="shared" si="1"/>
        <v>200</v>
      </c>
    </row>
    <row r="1008">
      <c r="A1008" s="4">
        <f>IFERROR(__xludf.DUMMYFUNCTION("""COMPUTED_VALUE"""),45342.66666666667)</f>
        <v>45342.66667</v>
      </c>
      <c r="B1008" s="5">
        <f>IFERROR(__xludf.DUMMYFUNCTION("""COMPUTED_VALUE"""),6350.0)</f>
        <v>6350</v>
      </c>
      <c r="C1008" s="5">
        <f>IFERROR(__xludf.DUMMYFUNCTION("""COMPUTED_VALUE"""),6375.0)</f>
        <v>6375</v>
      </c>
      <c r="D1008" s="5">
        <f>IFERROR(__xludf.DUMMYFUNCTION("""COMPUTED_VALUE"""),6275.0)</f>
        <v>6275</v>
      </c>
      <c r="E1008" s="5">
        <f>IFERROR(__xludf.DUMMYFUNCTION("""COMPUTED_VALUE"""),6275.0)</f>
        <v>6275</v>
      </c>
      <c r="F1008" s="5">
        <f>IFERROR(__xludf.DUMMYFUNCTION("""COMPUTED_VALUE"""),6343500.0)</f>
        <v>6343500</v>
      </c>
      <c r="G1008" s="5">
        <f t="shared" si="1"/>
        <v>100</v>
      </c>
    </row>
    <row r="1009">
      <c r="A1009" s="4">
        <f>IFERROR(__xludf.DUMMYFUNCTION("""COMPUTED_VALUE"""),45343.66666666667)</f>
        <v>45343.66667</v>
      </c>
      <c r="B1009" s="5">
        <f>IFERROR(__xludf.DUMMYFUNCTION("""COMPUTED_VALUE"""),6300.0)</f>
        <v>6300</v>
      </c>
      <c r="C1009" s="5">
        <f>IFERROR(__xludf.DUMMYFUNCTION("""COMPUTED_VALUE"""),6300.0)</f>
        <v>6300</v>
      </c>
      <c r="D1009" s="5">
        <f>IFERROR(__xludf.DUMMYFUNCTION("""COMPUTED_VALUE"""),6125.0)</f>
        <v>6125</v>
      </c>
      <c r="E1009" s="5">
        <f>IFERROR(__xludf.DUMMYFUNCTION("""COMPUTED_VALUE"""),6225.0)</f>
        <v>6225</v>
      </c>
      <c r="F1009" s="5">
        <f>IFERROR(__xludf.DUMMYFUNCTION("""COMPUTED_VALUE"""),1.07595E7)</f>
        <v>10759500</v>
      </c>
      <c r="G1009" s="5">
        <f t="shared" si="1"/>
        <v>175</v>
      </c>
    </row>
    <row r="1010">
      <c r="A1010" s="4">
        <f>IFERROR(__xludf.DUMMYFUNCTION("""COMPUTED_VALUE"""),45344.66666666667)</f>
        <v>45344.66667</v>
      </c>
      <c r="B1010" s="5">
        <f>IFERROR(__xludf.DUMMYFUNCTION("""COMPUTED_VALUE"""),6150.0)</f>
        <v>6150</v>
      </c>
      <c r="C1010" s="5">
        <f>IFERROR(__xludf.DUMMYFUNCTION("""COMPUTED_VALUE"""),6225.0)</f>
        <v>6225</v>
      </c>
      <c r="D1010" s="5">
        <f>IFERROR(__xludf.DUMMYFUNCTION("""COMPUTED_VALUE"""),6050.0)</f>
        <v>6050</v>
      </c>
      <c r="E1010" s="5">
        <f>IFERROR(__xludf.DUMMYFUNCTION("""COMPUTED_VALUE"""),6150.0)</f>
        <v>6150</v>
      </c>
      <c r="F1010" s="5">
        <f>IFERROR(__xludf.DUMMYFUNCTION("""COMPUTED_VALUE"""),1.31627E7)</f>
        <v>13162700</v>
      </c>
      <c r="G1010" s="5">
        <f t="shared" si="1"/>
        <v>175</v>
      </c>
    </row>
    <row r="1011">
      <c r="A1011" s="4">
        <f>IFERROR(__xludf.DUMMYFUNCTION("""COMPUTED_VALUE"""),45345.66666666667)</f>
        <v>45345.66667</v>
      </c>
      <c r="B1011" s="5">
        <f>IFERROR(__xludf.DUMMYFUNCTION("""COMPUTED_VALUE"""),6150.0)</f>
        <v>6150</v>
      </c>
      <c r="C1011" s="5">
        <f>IFERROR(__xludf.DUMMYFUNCTION("""COMPUTED_VALUE"""),6175.0)</f>
        <v>6175</v>
      </c>
      <c r="D1011" s="5">
        <f>IFERROR(__xludf.DUMMYFUNCTION("""COMPUTED_VALUE"""),6050.0)</f>
        <v>6050</v>
      </c>
      <c r="E1011" s="5">
        <f>IFERROR(__xludf.DUMMYFUNCTION("""COMPUTED_VALUE"""),6100.0)</f>
        <v>6100</v>
      </c>
      <c r="F1011" s="5">
        <f>IFERROR(__xludf.DUMMYFUNCTION("""COMPUTED_VALUE"""),1.02465E7)</f>
        <v>10246500</v>
      </c>
      <c r="G1011" s="5">
        <f t="shared" si="1"/>
        <v>125</v>
      </c>
    </row>
    <row r="1012">
      <c r="A1012" s="4">
        <f>IFERROR(__xludf.DUMMYFUNCTION("""COMPUTED_VALUE"""),45348.66666666667)</f>
        <v>45348.66667</v>
      </c>
      <c r="B1012" s="5">
        <f>IFERROR(__xludf.DUMMYFUNCTION("""COMPUTED_VALUE"""),6125.0)</f>
        <v>6125</v>
      </c>
      <c r="C1012" s="5">
        <f>IFERROR(__xludf.DUMMYFUNCTION("""COMPUTED_VALUE"""),6150.0)</f>
        <v>6150</v>
      </c>
      <c r="D1012" s="5">
        <f>IFERROR(__xludf.DUMMYFUNCTION("""COMPUTED_VALUE"""),6050.0)</f>
        <v>6050</v>
      </c>
      <c r="E1012" s="5">
        <f>IFERROR(__xludf.DUMMYFUNCTION("""COMPUTED_VALUE"""),6050.0)</f>
        <v>6050</v>
      </c>
      <c r="F1012" s="5">
        <f>IFERROR(__xludf.DUMMYFUNCTION("""COMPUTED_VALUE"""),8463500.0)</f>
        <v>8463500</v>
      </c>
      <c r="G1012" s="5">
        <f t="shared" si="1"/>
        <v>100</v>
      </c>
    </row>
    <row r="1013">
      <c r="A1013" s="4">
        <f>IFERROR(__xludf.DUMMYFUNCTION("""COMPUTED_VALUE"""),45349.66666666667)</f>
        <v>45349.66667</v>
      </c>
      <c r="B1013" s="5">
        <f>IFERROR(__xludf.DUMMYFUNCTION("""COMPUTED_VALUE"""),6075.0)</f>
        <v>6075</v>
      </c>
      <c r="C1013" s="5">
        <f>IFERROR(__xludf.DUMMYFUNCTION("""COMPUTED_VALUE"""),6075.0)</f>
        <v>6075</v>
      </c>
      <c r="D1013" s="5">
        <f>IFERROR(__xludf.DUMMYFUNCTION("""COMPUTED_VALUE"""),6000.0)</f>
        <v>6000</v>
      </c>
      <c r="E1013" s="5">
        <f>IFERROR(__xludf.DUMMYFUNCTION("""COMPUTED_VALUE"""),6025.0)</f>
        <v>6025</v>
      </c>
      <c r="F1013" s="5">
        <f>IFERROR(__xludf.DUMMYFUNCTION("""COMPUTED_VALUE"""),9191000.0)</f>
        <v>9191000</v>
      </c>
      <c r="G1013" s="5">
        <f t="shared" si="1"/>
        <v>75</v>
      </c>
    </row>
    <row r="1014">
      <c r="A1014" s="4">
        <f>IFERROR(__xludf.DUMMYFUNCTION("""COMPUTED_VALUE"""),45350.66666666667)</f>
        <v>45350.66667</v>
      </c>
      <c r="B1014" s="5">
        <f>IFERROR(__xludf.DUMMYFUNCTION("""COMPUTED_VALUE"""),6000.0)</f>
        <v>6000</v>
      </c>
      <c r="C1014" s="5">
        <f>IFERROR(__xludf.DUMMYFUNCTION("""COMPUTED_VALUE"""),6075.0)</f>
        <v>6075</v>
      </c>
      <c r="D1014" s="5">
        <f>IFERROR(__xludf.DUMMYFUNCTION("""COMPUTED_VALUE"""),6000.0)</f>
        <v>6000</v>
      </c>
      <c r="E1014" s="5">
        <f>IFERROR(__xludf.DUMMYFUNCTION("""COMPUTED_VALUE"""),6025.0)</f>
        <v>6025</v>
      </c>
      <c r="F1014" s="5">
        <f>IFERROR(__xludf.DUMMYFUNCTION("""COMPUTED_VALUE"""),5419400.0)</f>
        <v>5419400</v>
      </c>
      <c r="G1014" s="5">
        <f t="shared" si="1"/>
        <v>75</v>
      </c>
    </row>
    <row r="1015">
      <c r="A1015" s="4">
        <f>IFERROR(__xludf.DUMMYFUNCTION("""COMPUTED_VALUE"""),45351.66666666667)</f>
        <v>45351.66667</v>
      </c>
      <c r="B1015" s="5">
        <f>IFERROR(__xludf.DUMMYFUNCTION("""COMPUTED_VALUE"""),6050.0)</f>
        <v>6050</v>
      </c>
      <c r="C1015" s="5">
        <f>IFERROR(__xludf.DUMMYFUNCTION("""COMPUTED_VALUE"""),6100.0)</f>
        <v>6100</v>
      </c>
      <c r="D1015" s="5">
        <f>IFERROR(__xludf.DUMMYFUNCTION("""COMPUTED_VALUE"""),6000.0)</f>
        <v>6000</v>
      </c>
      <c r="E1015" s="5">
        <f>IFERROR(__xludf.DUMMYFUNCTION("""COMPUTED_VALUE"""),6100.0)</f>
        <v>6100</v>
      </c>
      <c r="F1015" s="5">
        <f>IFERROR(__xludf.DUMMYFUNCTION("""COMPUTED_VALUE"""),1.12542E7)</f>
        <v>11254200</v>
      </c>
      <c r="G1015" s="5">
        <f t="shared" si="1"/>
        <v>100</v>
      </c>
    </row>
    <row r="1016">
      <c r="A1016" s="4">
        <f>IFERROR(__xludf.DUMMYFUNCTION("""COMPUTED_VALUE"""),45352.66666666667)</f>
        <v>45352.66667</v>
      </c>
      <c r="B1016" s="5">
        <f>IFERROR(__xludf.DUMMYFUNCTION("""COMPUTED_VALUE"""),6075.0)</f>
        <v>6075</v>
      </c>
      <c r="C1016" s="5">
        <f>IFERROR(__xludf.DUMMYFUNCTION("""COMPUTED_VALUE"""),6125.0)</f>
        <v>6125</v>
      </c>
      <c r="D1016" s="5">
        <f>IFERROR(__xludf.DUMMYFUNCTION("""COMPUTED_VALUE"""),6025.0)</f>
        <v>6025</v>
      </c>
      <c r="E1016" s="5">
        <f>IFERROR(__xludf.DUMMYFUNCTION("""COMPUTED_VALUE"""),6125.0)</f>
        <v>6125</v>
      </c>
      <c r="F1016" s="5">
        <f>IFERROR(__xludf.DUMMYFUNCTION("""COMPUTED_VALUE"""),7025300.0)</f>
        <v>7025300</v>
      </c>
      <c r="G1016" s="5">
        <f t="shared" si="1"/>
        <v>100</v>
      </c>
    </row>
    <row r="1017">
      <c r="A1017" s="4">
        <f>IFERROR(__xludf.DUMMYFUNCTION("""COMPUTED_VALUE"""),45355.66666666667)</f>
        <v>45355.66667</v>
      </c>
      <c r="B1017" s="5">
        <f>IFERROR(__xludf.DUMMYFUNCTION("""COMPUTED_VALUE"""),6125.0)</f>
        <v>6125</v>
      </c>
      <c r="C1017" s="5">
        <f>IFERROR(__xludf.DUMMYFUNCTION("""COMPUTED_VALUE"""),6125.0)</f>
        <v>6125</v>
      </c>
      <c r="D1017" s="5">
        <f>IFERROR(__xludf.DUMMYFUNCTION("""COMPUTED_VALUE"""),6050.0)</f>
        <v>6050</v>
      </c>
      <c r="E1017" s="5">
        <f>IFERROR(__xludf.DUMMYFUNCTION("""COMPUTED_VALUE"""),6050.0)</f>
        <v>6050</v>
      </c>
      <c r="F1017" s="5">
        <f>IFERROR(__xludf.DUMMYFUNCTION("""COMPUTED_VALUE"""),2352300.0)</f>
        <v>2352300</v>
      </c>
      <c r="G1017" s="5">
        <f t="shared" si="1"/>
        <v>75</v>
      </c>
    </row>
    <row r="1018">
      <c r="A1018" s="4">
        <f>IFERROR(__xludf.DUMMYFUNCTION("""COMPUTED_VALUE"""),45356.66666666667)</f>
        <v>45356.66667</v>
      </c>
      <c r="B1018" s="5">
        <f>IFERROR(__xludf.DUMMYFUNCTION("""COMPUTED_VALUE"""),6075.0)</f>
        <v>6075</v>
      </c>
      <c r="C1018" s="5">
        <f>IFERROR(__xludf.DUMMYFUNCTION("""COMPUTED_VALUE"""),6075.0)</f>
        <v>6075</v>
      </c>
      <c r="D1018" s="5">
        <f>IFERROR(__xludf.DUMMYFUNCTION("""COMPUTED_VALUE"""),5975.0)</f>
        <v>5975</v>
      </c>
      <c r="E1018" s="5">
        <f>IFERROR(__xludf.DUMMYFUNCTION("""COMPUTED_VALUE"""),5975.0)</f>
        <v>5975</v>
      </c>
      <c r="F1018" s="5">
        <f>IFERROR(__xludf.DUMMYFUNCTION("""COMPUTED_VALUE"""),5702200.0)</f>
        <v>5702200</v>
      </c>
      <c r="G1018" s="5">
        <f t="shared" si="1"/>
        <v>100</v>
      </c>
    </row>
    <row r="1019">
      <c r="A1019" s="4">
        <f>IFERROR(__xludf.DUMMYFUNCTION("""COMPUTED_VALUE"""),45357.66666666667)</f>
        <v>45357.66667</v>
      </c>
      <c r="B1019" s="5">
        <f>IFERROR(__xludf.DUMMYFUNCTION("""COMPUTED_VALUE"""),5975.0)</f>
        <v>5975</v>
      </c>
      <c r="C1019" s="5">
        <f>IFERROR(__xludf.DUMMYFUNCTION("""COMPUTED_VALUE"""),6000.0)</f>
        <v>6000</v>
      </c>
      <c r="D1019" s="5">
        <f>IFERROR(__xludf.DUMMYFUNCTION("""COMPUTED_VALUE"""),5925.0)</f>
        <v>5925</v>
      </c>
      <c r="E1019" s="5">
        <f>IFERROR(__xludf.DUMMYFUNCTION("""COMPUTED_VALUE"""),5950.0)</f>
        <v>5950</v>
      </c>
      <c r="F1019" s="5">
        <f>IFERROR(__xludf.DUMMYFUNCTION("""COMPUTED_VALUE"""),6309200.0)</f>
        <v>6309200</v>
      </c>
      <c r="G1019" s="5">
        <f t="shared" si="1"/>
        <v>75</v>
      </c>
    </row>
    <row r="1020">
      <c r="A1020" s="4">
        <f>IFERROR(__xludf.DUMMYFUNCTION("""COMPUTED_VALUE"""),45358.66666666667)</f>
        <v>45358.66667</v>
      </c>
      <c r="B1020" s="5">
        <f>IFERROR(__xludf.DUMMYFUNCTION("""COMPUTED_VALUE"""),5950.0)</f>
        <v>5950</v>
      </c>
      <c r="C1020" s="5">
        <f>IFERROR(__xludf.DUMMYFUNCTION("""COMPUTED_VALUE"""),6000.0)</f>
        <v>6000</v>
      </c>
      <c r="D1020" s="5">
        <f>IFERROR(__xludf.DUMMYFUNCTION("""COMPUTED_VALUE"""),5900.0)</f>
        <v>5900</v>
      </c>
      <c r="E1020" s="5">
        <f>IFERROR(__xludf.DUMMYFUNCTION("""COMPUTED_VALUE"""),5925.0)</f>
        <v>5925</v>
      </c>
      <c r="F1020" s="5">
        <f>IFERROR(__xludf.DUMMYFUNCTION("""COMPUTED_VALUE"""),5807900.0)</f>
        <v>5807900</v>
      </c>
      <c r="G1020" s="5">
        <f t="shared" si="1"/>
        <v>100</v>
      </c>
    </row>
    <row r="1021">
      <c r="A1021" s="4">
        <f>IFERROR(__xludf.DUMMYFUNCTION("""COMPUTED_VALUE"""),45359.66666666667)</f>
        <v>45359.66667</v>
      </c>
      <c r="B1021" s="5">
        <f>IFERROR(__xludf.DUMMYFUNCTION("""COMPUTED_VALUE"""),5950.0)</f>
        <v>5950</v>
      </c>
      <c r="C1021" s="5">
        <f>IFERROR(__xludf.DUMMYFUNCTION("""COMPUTED_VALUE"""),5950.0)</f>
        <v>5950</v>
      </c>
      <c r="D1021" s="5">
        <f>IFERROR(__xludf.DUMMYFUNCTION("""COMPUTED_VALUE"""),5900.0)</f>
        <v>5900</v>
      </c>
      <c r="E1021" s="5">
        <f>IFERROR(__xludf.DUMMYFUNCTION("""COMPUTED_VALUE"""),5900.0)</f>
        <v>5900</v>
      </c>
      <c r="F1021" s="5">
        <f>IFERROR(__xludf.DUMMYFUNCTION("""COMPUTED_VALUE"""),6695300.0)</f>
        <v>6695300</v>
      </c>
      <c r="G1021" s="5">
        <f t="shared" si="1"/>
        <v>50</v>
      </c>
    </row>
    <row r="1022">
      <c r="A1022" s="4">
        <f>IFERROR(__xludf.DUMMYFUNCTION("""COMPUTED_VALUE"""),45364.66666666667)</f>
        <v>45364.66667</v>
      </c>
      <c r="B1022" s="5">
        <f>IFERROR(__xludf.DUMMYFUNCTION("""COMPUTED_VALUE"""),5850.0)</f>
        <v>5850</v>
      </c>
      <c r="C1022" s="5">
        <f>IFERROR(__xludf.DUMMYFUNCTION("""COMPUTED_VALUE"""),5875.0)</f>
        <v>5875</v>
      </c>
      <c r="D1022" s="5">
        <f>IFERROR(__xludf.DUMMYFUNCTION("""COMPUTED_VALUE"""),5700.0)</f>
        <v>5700</v>
      </c>
      <c r="E1022" s="5">
        <f>IFERROR(__xludf.DUMMYFUNCTION("""COMPUTED_VALUE"""),5750.0)</f>
        <v>5750</v>
      </c>
      <c r="F1022" s="5">
        <f>IFERROR(__xludf.DUMMYFUNCTION("""COMPUTED_VALUE"""),2.43461E7)</f>
        <v>24346100</v>
      </c>
      <c r="G1022" s="5">
        <f t="shared" si="1"/>
        <v>200</v>
      </c>
    </row>
    <row r="1023">
      <c r="A1023" s="4">
        <f>IFERROR(__xludf.DUMMYFUNCTION("""COMPUTED_VALUE"""),45365.66666666667)</f>
        <v>45365.66667</v>
      </c>
      <c r="B1023" s="5">
        <f>IFERROR(__xludf.DUMMYFUNCTION("""COMPUTED_VALUE"""),5750.0)</f>
        <v>5750</v>
      </c>
      <c r="C1023" s="5">
        <f>IFERROR(__xludf.DUMMYFUNCTION("""COMPUTED_VALUE"""),5900.0)</f>
        <v>5900</v>
      </c>
      <c r="D1023" s="5">
        <f>IFERROR(__xludf.DUMMYFUNCTION("""COMPUTED_VALUE"""),5750.0)</f>
        <v>5750</v>
      </c>
      <c r="E1023" s="5">
        <f>IFERROR(__xludf.DUMMYFUNCTION("""COMPUTED_VALUE"""),5800.0)</f>
        <v>5800</v>
      </c>
      <c r="F1023" s="5">
        <f>IFERROR(__xludf.DUMMYFUNCTION("""COMPUTED_VALUE"""),1.16292E7)</f>
        <v>11629200</v>
      </c>
      <c r="G1023" s="5">
        <f t="shared" si="1"/>
        <v>150</v>
      </c>
    </row>
    <row r="1024">
      <c r="A1024" s="4">
        <f>IFERROR(__xludf.DUMMYFUNCTION("""COMPUTED_VALUE"""),45366.66666666667)</f>
        <v>45366.66667</v>
      </c>
      <c r="B1024" s="5">
        <f>IFERROR(__xludf.DUMMYFUNCTION("""COMPUTED_VALUE"""),5800.0)</f>
        <v>5800</v>
      </c>
      <c r="C1024" s="5">
        <f>IFERROR(__xludf.DUMMYFUNCTION("""COMPUTED_VALUE"""),5850.0)</f>
        <v>5850</v>
      </c>
      <c r="D1024" s="5">
        <f>IFERROR(__xludf.DUMMYFUNCTION("""COMPUTED_VALUE"""),5725.0)</f>
        <v>5725</v>
      </c>
      <c r="E1024" s="5">
        <f>IFERROR(__xludf.DUMMYFUNCTION("""COMPUTED_VALUE"""),5850.0)</f>
        <v>5850</v>
      </c>
      <c r="F1024" s="5">
        <f>IFERROR(__xludf.DUMMYFUNCTION("""COMPUTED_VALUE"""),9738500.0)</f>
        <v>9738500</v>
      </c>
      <c r="G1024" s="5">
        <f t="shared" si="1"/>
        <v>125</v>
      </c>
    </row>
    <row r="1025">
      <c r="A1025" s="4">
        <f>IFERROR(__xludf.DUMMYFUNCTION("""COMPUTED_VALUE"""),45369.66666666667)</f>
        <v>45369.66667</v>
      </c>
      <c r="B1025" s="5">
        <f>IFERROR(__xludf.DUMMYFUNCTION("""COMPUTED_VALUE"""),5825.0)</f>
        <v>5825</v>
      </c>
      <c r="C1025" s="5">
        <f>IFERROR(__xludf.DUMMYFUNCTION("""COMPUTED_VALUE"""),5825.0)</f>
        <v>5825</v>
      </c>
      <c r="D1025" s="5">
        <f>IFERROR(__xludf.DUMMYFUNCTION("""COMPUTED_VALUE"""),5700.0)</f>
        <v>5700</v>
      </c>
      <c r="E1025" s="5">
        <f>IFERROR(__xludf.DUMMYFUNCTION("""COMPUTED_VALUE"""),5700.0)</f>
        <v>5700</v>
      </c>
      <c r="F1025" s="5">
        <f>IFERROR(__xludf.DUMMYFUNCTION("""COMPUTED_VALUE"""),1.08121E7)</f>
        <v>10812100</v>
      </c>
      <c r="G1025" s="5">
        <f t="shared" si="1"/>
        <v>150</v>
      </c>
    </row>
    <row r="1026">
      <c r="A1026" s="4">
        <f>IFERROR(__xludf.DUMMYFUNCTION("""COMPUTED_VALUE"""),45370.66666666667)</f>
        <v>45370.66667</v>
      </c>
      <c r="B1026" s="5">
        <f>IFERROR(__xludf.DUMMYFUNCTION("""COMPUTED_VALUE"""),5700.0)</f>
        <v>5700</v>
      </c>
      <c r="C1026" s="5">
        <f>IFERROR(__xludf.DUMMYFUNCTION("""COMPUTED_VALUE"""),5725.0)</f>
        <v>5725</v>
      </c>
      <c r="D1026" s="5">
        <f>IFERROR(__xludf.DUMMYFUNCTION("""COMPUTED_VALUE"""),5650.0)</f>
        <v>5650</v>
      </c>
      <c r="E1026" s="5">
        <f>IFERROR(__xludf.DUMMYFUNCTION("""COMPUTED_VALUE"""),5650.0)</f>
        <v>5650</v>
      </c>
      <c r="F1026" s="5">
        <f>IFERROR(__xludf.DUMMYFUNCTION("""COMPUTED_VALUE"""),1.19065E7)</f>
        <v>11906500</v>
      </c>
      <c r="G1026" s="5">
        <f t="shared" si="1"/>
        <v>75</v>
      </c>
    </row>
    <row r="1027">
      <c r="A1027" s="4">
        <f>IFERROR(__xludf.DUMMYFUNCTION("""COMPUTED_VALUE"""),45371.66666666667)</f>
        <v>45371.66667</v>
      </c>
      <c r="B1027" s="5">
        <f>IFERROR(__xludf.DUMMYFUNCTION("""COMPUTED_VALUE"""),5650.0)</f>
        <v>5650</v>
      </c>
      <c r="C1027" s="5">
        <f>IFERROR(__xludf.DUMMYFUNCTION("""COMPUTED_VALUE"""),5750.0)</f>
        <v>5750</v>
      </c>
      <c r="D1027" s="5">
        <f>IFERROR(__xludf.DUMMYFUNCTION("""COMPUTED_VALUE"""),5650.0)</f>
        <v>5650</v>
      </c>
      <c r="E1027" s="5">
        <f>IFERROR(__xludf.DUMMYFUNCTION("""COMPUTED_VALUE"""),5725.0)</f>
        <v>5725</v>
      </c>
      <c r="F1027" s="5">
        <f>IFERROR(__xludf.DUMMYFUNCTION("""COMPUTED_VALUE"""),9986500.0)</f>
        <v>9986500</v>
      </c>
      <c r="G1027" s="5">
        <f t="shared" si="1"/>
        <v>100</v>
      </c>
    </row>
    <row r="1028">
      <c r="A1028" s="4">
        <f>IFERROR(__xludf.DUMMYFUNCTION("""COMPUTED_VALUE"""),45372.66666666667)</f>
        <v>45372.66667</v>
      </c>
      <c r="B1028" s="5">
        <f>IFERROR(__xludf.DUMMYFUNCTION("""COMPUTED_VALUE"""),5750.0)</f>
        <v>5750</v>
      </c>
      <c r="C1028" s="5">
        <f>IFERROR(__xludf.DUMMYFUNCTION("""COMPUTED_VALUE"""),5800.0)</f>
        <v>5800</v>
      </c>
      <c r="D1028" s="5">
        <f>IFERROR(__xludf.DUMMYFUNCTION("""COMPUTED_VALUE"""),5700.0)</f>
        <v>5700</v>
      </c>
      <c r="E1028" s="5">
        <f>IFERROR(__xludf.DUMMYFUNCTION("""COMPUTED_VALUE"""),5750.0)</f>
        <v>5750</v>
      </c>
      <c r="F1028" s="5">
        <f>IFERROR(__xludf.DUMMYFUNCTION("""COMPUTED_VALUE"""),1.37015E7)</f>
        <v>13701500</v>
      </c>
      <c r="G1028" s="5">
        <f t="shared" si="1"/>
        <v>100</v>
      </c>
    </row>
    <row r="1029">
      <c r="A1029" s="4">
        <f>IFERROR(__xludf.DUMMYFUNCTION("""COMPUTED_VALUE"""),45373.66666666667)</f>
        <v>45373.66667</v>
      </c>
      <c r="B1029" s="5">
        <f>IFERROR(__xludf.DUMMYFUNCTION("""COMPUTED_VALUE"""),5725.0)</f>
        <v>5725</v>
      </c>
      <c r="C1029" s="5">
        <f>IFERROR(__xludf.DUMMYFUNCTION("""COMPUTED_VALUE"""),5850.0)</f>
        <v>5850</v>
      </c>
      <c r="D1029" s="5">
        <f>IFERROR(__xludf.DUMMYFUNCTION("""COMPUTED_VALUE"""),5725.0)</f>
        <v>5725</v>
      </c>
      <c r="E1029" s="5">
        <f>IFERROR(__xludf.DUMMYFUNCTION("""COMPUTED_VALUE"""),5800.0)</f>
        <v>5800</v>
      </c>
      <c r="F1029" s="5">
        <f>IFERROR(__xludf.DUMMYFUNCTION("""COMPUTED_VALUE"""),8651100.0)</f>
        <v>8651100</v>
      </c>
      <c r="G1029" s="5">
        <f t="shared" si="1"/>
        <v>125</v>
      </c>
    </row>
    <row r="1030">
      <c r="A1030" s="4">
        <f>IFERROR(__xludf.DUMMYFUNCTION("""COMPUTED_VALUE"""),45376.66666666667)</f>
        <v>45376.66667</v>
      </c>
      <c r="B1030" s="5">
        <f>IFERROR(__xludf.DUMMYFUNCTION("""COMPUTED_VALUE"""),5825.0)</f>
        <v>5825</v>
      </c>
      <c r="C1030" s="5">
        <f>IFERROR(__xludf.DUMMYFUNCTION("""COMPUTED_VALUE"""),5825.0)</f>
        <v>5825</v>
      </c>
      <c r="D1030" s="5">
        <f>IFERROR(__xludf.DUMMYFUNCTION("""COMPUTED_VALUE"""),5750.0)</f>
        <v>5750</v>
      </c>
      <c r="E1030" s="5">
        <f>IFERROR(__xludf.DUMMYFUNCTION("""COMPUTED_VALUE"""),5825.0)</f>
        <v>5825</v>
      </c>
      <c r="F1030" s="5">
        <f>IFERROR(__xludf.DUMMYFUNCTION("""COMPUTED_VALUE"""),1.12498E7)</f>
        <v>11249800</v>
      </c>
      <c r="G1030" s="5">
        <f t="shared" si="1"/>
        <v>75</v>
      </c>
    </row>
    <row r="1031">
      <c r="A1031" s="4">
        <f>IFERROR(__xludf.DUMMYFUNCTION("""COMPUTED_VALUE"""),45377.66666666667)</f>
        <v>45377.66667</v>
      </c>
      <c r="B1031" s="5">
        <f>IFERROR(__xludf.DUMMYFUNCTION("""COMPUTED_VALUE"""),5875.0)</f>
        <v>5875</v>
      </c>
      <c r="C1031" s="5">
        <f>IFERROR(__xludf.DUMMYFUNCTION("""COMPUTED_VALUE"""),5875.0)</f>
        <v>5875</v>
      </c>
      <c r="D1031" s="5">
        <f>IFERROR(__xludf.DUMMYFUNCTION("""COMPUTED_VALUE"""),5750.0)</f>
        <v>5750</v>
      </c>
      <c r="E1031" s="5">
        <f>IFERROR(__xludf.DUMMYFUNCTION("""COMPUTED_VALUE"""),5850.0)</f>
        <v>5850</v>
      </c>
      <c r="F1031" s="5">
        <f>IFERROR(__xludf.DUMMYFUNCTION("""COMPUTED_VALUE"""),8430900.0)</f>
        <v>8430900</v>
      </c>
      <c r="G1031" s="5">
        <f t="shared" si="1"/>
        <v>125</v>
      </c>
    </row>
    <row r="1032">
      <c r="A1032" s="4">
        <f>IFERROR(__xludf.DUMMYFUNCTION("""COMPUTED_VALUE"""),45378.66666666667)</f>
        <v>45378.66667</v>
      </c>
      <c r="B1032" s="5">
        <f>IFERROR(__xludf.DUMMYFUNCTION("""COMPUTED_VALUE"""),5850.0)</f>
        <v>5850</v>
      </c>
      <c r="C1032" s="5">
        <f>IFERROR(__xludf.DUMMYFUNCTION("""COMPUTED_VALUE"""),5950.0)</f>
        <v>5950</v>
      </c>
      <c r="D1032" s="5">
        <f>IFERROR(__xludf.DUMMYFUNCTION("""COMPUTED_VALUE"""),5800.0)</f>
        <v>5800</v>
      </c>
      <c r="E1032" s="5">
        <f>IFERROR(__xludf.DUMMYFUNCTION("""COMPUTED_VALUE"""),5925.0)</f>
        <v>5925</v>
      </c>
      <c r="F1032" s="5">
        <f>IFERROR(__xludf.DUMMYFUNCTION("""COMPUTED_VALUE"""),9001800.0)</f>
        <v>9001800</v>
      </c>
      <c r="G1032" s="5">
        <f t="shared" si="1"/>
        <v>150</v>
      </c>
    </row>
    <row r="1033">
      <c r="A1033" s="4">
        <f>IFERROR(__xludf.DUMMYFUNCTION("""COMPUTED_VALUE"""),45379.66666666667)</f>
        <v>45379.66667</v>
      </c>
      <c r="B1033" s="5">
        <f>IFERROR(__xludf.DUMMYFUNCTION("""COMPUTED_VALUE"""),5925.0)</f>
        <v>5925</v>
      </c>
      <c r="C1033" s="5">
        <f>IFERROR(__xludf.DUMMYFUNCTION("""COMPUTED_VALUE"""),5950.0)</f>
        <v>5950</v>
      </c>
      <c r="D1033" s="5">
        <f>IFERROR(__xludf.DUMMYFUNCTION("""COMPUTED_VALUE"""),5825.0)</f>
        <v>5825</v>
      </c>
      <c r="E1033" s="5">
        <f>IFERROR(__xludf.DUMMYFUNCTION("""COMPUTED_VALUE"""),5900.0)</f>
        <v>5900</v>
      </c>
      <c r="F1033" s="5">
        <f>IFERROR(__xludf.DUMMYFUNCTION("""COMPUTED_VALUE"""),8128800.0)</f>
        <v>8128800</v>
      </c>
      <c r="G1033" s="5">
        <f t="shared" si="1"/>
        <v>125</v>
      </c>
    </row>
    <row r="1034">
      <c r="A1034" s="4">
        <f>IFERROR(__xludf.DUMMYFUNCTION("""COMPUTED_VALUE"""),45383.66666666667)</f>
        <v>45383.66667</v>
      </c>
      <c r="B1034" s="5">
        <f>IFERROR(__xludf.DUMMYFUNCTION("""COMPUTED_VALUE"""),5900.0)</f>
        <v>5900</v>
      </c>
      <c r="C1034" s="5">
        <f>IFERROR(__xludf.DUMMYFUNCTION("""COMPUTED_VALUE"""),5900.0)</f>
        <v>5900</v>
      </c>
      <c r="D1034" s="5">
        <f>IFERROR(__xludf.DUMMYFUNCTION("""COMPUTED_VALUE"""),5700.0)</f>
        <v>5700</v>
      </c>
      <c r="E1034" s="5">
        <f>IFERROR(__xludf.DUMMYFUNCTION("""COMPUTED_VALUE"""),5875.0)</f>
        <v>5875</v>
      </c>
      <c r="F1034" s="5">
        <f>IFERROR(__xludf.DUMMYFUNCTION("""COMPUTED_VALUE"""),7557200.0)</f>
        <v>7557200</v>
      </c>
      <c r="G1034" s="5">
        <f t="shared" si="1"/>
        <v>200</v>
      </c>
    </row>
    <row r="1035">
      <c r="A1035" s="4">
        <f>IFERROR(__xludf.DUMMYFUNCTION("""COMPUTED_VALUE"""),45384.66666666667)</f>
        <v>45384.66667</v>
      </c>
      <c r="B1035" s="5">
        <f>IFERROR(__xludf.DUMMYFUNCTION("""COMPUTED_VALUE"""),5825.0)</f>
        <v>5825</v>
      </c>
      <c r="C1035" s="5">
        <f>IFERROR(__xludf.DUMMYFUNCTION("""COMPUTED_VALUE"""),5825.0)</f>
        <v>5825</v>
      </c>
      <c r="D1035" s="5">
        <f>IFERROR(__xludf.DUMMYFUNCTION("""COMPUTED_VALUE"""),5725.0)</f>
        <v>5725</v>
      </c>
      <c r="E1035" s="5">
        <f>IFERROR(__xludf.DUMMYFUNCTION("""COMPUTED_VALUE"""),5775.0)</f>
        <v>5775</v>
      </c>
      <c r="F1035" s="5">
        <f>IFERROR(__xludf.DUMMYFUNCTION("""COMPUTED_VALUE"""),7609100.0)</f>
        <v>7609100</v>
      </c>
      <c r="G1035" s="5">
        <f t="shared" si="1"/>
        <v>150</v>
      </c>
    </row>
    <row r="1036">
      <c r="A1036" s="4">
        <f>IFERROR(__xludf.DUMMYFUNCTION("""COMPUTED_VALUE"""),45385.66666666667)</f>
        <v>45385.66667</v>
      </c>
      <c r="B1036" s="5">
        <f>IFERROR(__xludf.DUMMYFUNCTION("""COMPUTED_VALUE"""),5750.0)</f>
        <v>5750</v>
      </c>
      <c r="C1036" s="5">
        <f>IFERROR(__xludf.DUMMYFUNCTION("""COMPUTED_VALUE"""),5775.0)</f>
        <v>5775</v>
      </c>
      <c r="D1036" s="5">
        <f>IFERROR(__xludf.DUMMYFUNCTION("""COMPUTED_VALUE"""),5675.0)</f>
        <v>5675</v>
      </c>
      <c r="E1036" s="5">
        <f>IFERROR(__xludf.DUMMYFUNCTION("""COMPUTED_VALUE"""),5700.0)</f>
        <v>5700</v>
      </c>
      <c r="F1036" s="5">
        <f>IFERROR(__xludf.DUMMYFUNCTION("""COMPUTED_VALUE"""),5994400.0)</f>
        <v>5994400</v>
      </c>
      <c r="G1036" s="5">
        <f t="shared" si="1"/>
        <v>100</v>
      </c>
    </row>
    <row r="1037">
      <c r="A1037" s="4">
        <f>IFERROR(__xludf.DUMMYFUNCTION("""COMPUTED_VALUE"""),45386.66666666667)</f>
        <v>45386.66667</v>
      </c>
      <c r="B1037" s="5">
        <f>IFERROR(__xludf.DUMMYFUNCTION("""COMPUTED_VALUE"""),5700.0)</f>
        <v>5700</v>
      </c>
      <c r="C1037" s="5">
        <f>IFERROR(__xludf.DUMMYFUNCTION("""COMPUTED_VALUE"""),5725.0)</f>
        <v>5725</v>
      </c>
      <c r="D1037" s="5">
        <f>IFERROR(__xludf.DUMMYFUNCTION("""COMPUTED_VALUE"""),5675.0)</f>
        <v>5675</v>
      </c>
      <c r="E1037" s="5">
        <f>IFERROR(__xludf.DUMMYFUNCTION("""COMPUTED_VALUE"""),5700.0)</f>
        <v>5700</v>
      </c>
      <c r="F1037" s="5">
        <f>IFERROR(__xludf.DUMMYFUNCTION("""COMPUTED_VALUE"""),4941600.0)</f>
        <v>4941600</v>
      </c>
      <c r="G1037" s="5">
        <f t="shared" si="1"/>
        <v>50</v>
      </c>
    </row>
    <row r="1038">
      <c r="A1038" s="4">
        <f>IFERROR(__xludf.DUMMYFUNCTION("""COMPUTED_VALUE"""),45387.66666666667)</f>
        <v>45387.66667</v>
      </c>
      <c r="B1038" s="5">
        <f>IFERROR(__xludf.DUMMYFUNCTION("""COMPUTED_VALUE"""),5700.0)</f>
        <v>5700</v>
      </c>
      <c r="C1038" s="5">
        <f>IFERROR(__xludf.DUMMYFUNCTION("""COMPUTED_VALUE"""),5700.0)</f>
        <v>5700</v>
      </c>
      <c r="D1038" s="5">
        <f>IFERROR(__xludf.DUMMYFUNCTION("""COMPUTED_VALUE"""),5650.0)</f>
        <v>5650</v>
      </c>
      <c r="E1038" s="5">
        <f>IFERROR(__xludf.DUMMYFUNCTION("""COMPUTED_VALUE"""),5650.0)</f>
        <v>5650</v>
      </c>
      <c r="F1038" s="5">
        <f>IFERROR(__xludf.DUMMYFUNCTION("""COMPUTED_VALUE"""),5768800.0)</f>
        <v>5768800</v>
      </c>
      <c r="G1038" s="5">
        <f t="shared" si="1"/>
        <v>50</v>
      </c>
    </row>
    <row r="1039">
      <c r="A1039" s="4">
        <f>IFERROR(__xludf.DUMMYFUNCTION("""COMPUTED_VALUE"""),45398.66666666667)</f>
        <v>45398.66667</v>
      </c>
      <c r="B1039" s="5">
        <f>IFERROR(__xludf.DUMMYFUNCTION("""COMPUTED_VALUE"""),5650.0)</f>
        <v>5650</v>
      </c>
      <c r="C1039" s="5">
        <f>IFERROR(__xludf.DUMMYFUNCTION("""COMPUTED_VALUE"""),5650.0)</f>
        <v>5650</v>
      </c>
      <c r="D1039" s="5">
        <f>IFERROR(__xludf.DUMMYFUNCTION("""COMPUTED_VALUE"""),5500.0)</f>
        <v>5500</v>
      </c>
      <c r="E1039" s="5">
        <f>IFERROR(__xludf.DUMMYFUNCTION("""COMPUTED_VALUE"""),5575.0)</f>
        <v>5575</v>
      </c>
      <c r="F1039" s="5">
        <f>IFERROR(__xludf.DUMMYFUNCTION("""COMPUTED_VALUE"""),1.63052E7)</f>
        <v>16305200</v>
      </c>
      <c r="G1039" s="5">
        <f t="shared" si="1"/>
        <v>150</v>
      </c>
    </row>
    <row r="1040">
      <c r="A1040" s="4">
        <f>IFERROR(__xludf.DUMMYFUNCTION("""COMPUTED_VALUE"""),45399.66666666667)</f>
        <v>45399.66667</v>
      </c>
      <c r="B1040" s="5">
        <f>IFERROR(__xludf.DUMMYFUNCTION("""COMPUTED_VALUE"""),5550.0)</f>
        <v>5550</v>
      </c>
      <c r="C1040" s="5">
        <f>IFERROR(__xludf.DUMMYFUNCTION("""COMPUTED_VALUE"""),5575.0)</f>
        <v>5575</v>
      </c>
      <c r="D1040" s="5">
        <f>IFERROR(__xludf.DUMMYFUNCTION("""COMPUTED_VALUE"""),5350.0)</f>
        <v>5350</v>
      </c>
      <c r="E1040" s="5">
        <f>IFERROR(__xludf.DUMMYFUNCTION("""COMPUTED_VALUE"""),5350.0)</f>
        <v>5350</v>
      </c>
      <c r="F1040" s="5">
        <f>IFERROR(__xludf.DUMMYFUNCTION("""COMPUTED_VALUE"""),1.17292E7)</f>
        <v>11729200</v>
      </c>
      <c r="G1040" s="5">
        <f t="shared" si="1"/>
        <v>225</v>
      </c>
    </row>
    <row r="1041">
      <c r="A1041" s="4">
        <f>IFERROR(__xludf.DUMMYFUNCTION("""COMPUTED_VALUE"""),45400.66666666667)</f>
        <v>45400.66667</v>
      </c>
      <c r="B1041" s="5">
        <f>IFERROR(__xludf.DUMMYFUNCTION("""COMPUTED_VALUE"""),5350.0)</f>
        <v>5350</v>
      </c>
      <c r="C1041" s="5">
        <f>IFERROR(__xludf.DUMMYFUNCTION("""COMPUTED_VALUE"""),5425.0)</f>
        <v>5425</v>
      </c>
      <c r="D1041" s="5">
        <f>IFERROR(__xludf.DUMMYFUNCTION("""COMPUTED_VALUE"""),5300.0)</f>
        <v>5300</v>
      </c>
      <c r="E1041" s="5">
        <f>IFERROR(__xludf.DUMMYFUNCTION("""COMPUTED_VALUE"""),5350.0)</f>
        <v>5350</v>
      </c>
      <c r="F1041" s="5">
        <f>IFERROR(__xludf.DUMMYFUNCTION("""COMPUTED_VALUE"""),7719100.0)</f>
        <v>7719100</v>
      </c>
      <c r="G1041" s="5">
        <f t="shared" si="1"/>
        <v>125</v>
      </c>
    </row>
    <row r="1042">
      <c r="A1042" s="4">
        <f>IFERROR(__xludf.DUMMYFUNCTION("""COMPUTED_VALUE"""),45401.66666666667)</f>
        <v>45401.66667</v>
      </c>
      <c r="B1042" s="5">
        <f>IFERROR(__xludf.DUMMYFUNCTION("""COMPUTED_VALUE"""),5350.0)</f>
        <v>5350</v>
      </c>
      <c r="C1042" s="5">
        <f>IFERROR(__xludf.DUMMYFUNCTION("""COMPUTED_VALUE"""),5375.0)</f>
        <v>5375</v>
      </c>
      <c r="D1042" s="5">
        <f>IFERROR(__xludf.DUMMYFUNCTION("""COMPUTED_VALUE"""),5075.0)</f>
        <v>5075</v>
      </c>
      <c r="E1042" s="5">
        <f>IFERROR(__xludf.DUMMYFUNCTION("""COMPUTED_VALUE"""),5075.0)</f>
        <v>5075</v>
      </c>
      <c r="F1042" s="5">
        <f>IFERROR(__xludf.DUMMYFUNCTION("""COMPUTED_VALUE"""),1.61051E7)</f>
        <v>16105100</v>
      </c>
      <c r="G1042" s="5">
        <f t="shared" si="1"/>
        <v>300</v>
      </c>
    </row>
    <row r="1043">
      <c r="A1043" s="4">
        <f>IFERROR(__xludf.DUMMYFUNCTION("""COMPUTED_VALUE"""),45404.66666666667)</f>
        <v>45404.66667</v>
      </c>
      <c r="B1043" s="5">
        <f>IFERROR(__xludf.DUMMYFUNCTION("""COMPUTED_VALUE"""),5100.0)</f>
        <v>5100</v>
      </c>
      <c r="C1043" s="5">
        <f>IFERROR(__xludf.DUMMYFUNCTION("""COMPUTED_VALUE"""),5200.0)</f>
        <v>5200</v>
      </c>
      <c r="D1043" s="5">
        <f>IFERROR(__xludf.DUMMYFUNCTION("""COMPUTED_VALUE"""),4980.0)</f>
        <v>4980</v>
      </c>
      <c r="E1043" s="5">
        <f>IFERROR(__xludf.DUMMYFUNCTION("""COMPUTED_VALUE"""),5025.0)</f>
        <v>5025</v>
      </c>
      <c r="F1043" s="5">
        <f>IFERROR(__xludf.DUMMYFUNCTION("""COMPUTED_VALUE"""),1.60884E7)</f>
        <v>16088400</v>
      </c>
      <c r="G1043" s="5">
        <f t="shared" si="1"/>
        <v>220</v>
      </c>
    </row>
    <row r="1044">
      <c r="A1044" s="4">
        <f>IFERROR(__xludf.DUMMYFUNCTION("""COMPUTED_VALUE"""),45405.66666666667)</f>
        <v>45405.66667</v>
      </c>
      <c r="B1044" s="5">
        <f>IFERROR(__xludf.DUMMYFUNCTION("""COMPUTED_VALUE"""),5025.0)</f>
        <v>5025</v>
      </c>
      <c r="C1044" s="5">
        <f>IFERROR(__xludf.DUMMYFUNCTION("""COMPUTED_VALUE"""),5100.0)</f>
        <v>5100</v>
      </c>
      <c r="D1044" s="5">
        <f>IFERROR(__xludf.DUMMYFUNCTION("""COMPUTED_VALUE"""),4850.0)</f>
        <v>4850</v>
      </c>
      <c r="E1044" s="5">
        <f>IFERROR(__xludf.DUMMYFUNCTION("""COMPUTED_VALUE"""),4880.0)</f>
        <v>4880</v>
      </c>
      <c r="F1044" s="5">
        <f>IFERROR(__xludf.DUMMYFUNCTION("""COMPUTED_VALUE"""),2.31903E7)</f>
        <v>23190300</v>
      </c>
      <c r="G1044" s="5">
        <f t="shared" si="1"/>
        <v>250</v>
      </c>
    </row>
    <row r="1045">
      <c r="A1045" s="4">
        <f>IFERROR(__xludf.DUMMYFUNCTION("""COMPUTED_VALUE"""),45406.66666666667)</f>
        <v>45406.66667</v>
      </c>
      <c r="B1045" s="5">
        <f>IFERROR(__xludf.DUMMYFUNCTION("""COMPUTED_VALUE"""),4900.0)</f>
        <v>4900</v>
      </c>
      <c r="C1045" s="5">
        <f>IFERROR(__xludf.DUMMYFUNCTION("""COMPUTED_VALUE"""),4980.0)</f>
        <v>4980</v>
      </c>
      <c r="D1045" s="5">
        <f>IFERROR(__xludf.DUMMYFUNCTION("""COMPUTED_VALUE"""),4780.0)</f>
        <v>4780</v>
      </c>
      <c r="E1045" s="5">
        <f>IFERROR(__xludf.DUMMYFUNCTION("""COMPUTED_VALUE"""),4800.0)</f>
        <v>4800</v>
      </c>
      <c r="F1045" s="5">
        <f>IFERROR(__xludf.DUMMYFUNCTION("""COMPUTED_VALUE"""),1.86818E7)</f>
        <v>18681800</v>
      </c>
      <c r="G1045" s="5">
        <f t="shared" si="1"/>
        <v>200</v>
      </c>
    </row>
    <row r="1046">
      <c r="A1046" s="4">
        <f>IFERROR(__xludf.DUMMYFUNCTION("""COMPUTED_VALUE"""),45407.66666666667)</f>
        <v>45407.66667</v>
      </c>
      <c r="B1046" s="5">
        <f>IFERROR(__xludf.DUMMYFUNCTION("""COMPUTED_VALUE"""),4800.0)</f>
        <v>4800</v>
      </c>
      <c r="C1046" s="5">
        <f>IFERROR(__xludf.DUMMYFUNCTION("""COMPUTED_VALUE"""),4880.0)</f>
        <v>4880</v>
      </c>
      <c r="D1046" s="5">
        <f>IFERROR(__xludf.DUMMYFUNCTION("""COMPUTED_VALUE"""),4750.0)</f>
        <v>4750</v>
      </c>
      <c r="E1046" s="5">
        <f>IFERROR(__xludf.DUMMYFUNCTION("""COMPUTED_VALUE"""),4800.0)</f>
        <v>4800</v>
      </c>
      <c r="F1046" s="5">
        <f>IFERROR(__xludf.DUMMYFUNCTION("""COMPUTED_VALUE"""),1.80563E7)</f>
        <v>18056300</v>
      </c>
      <c r="G1046" s="5">
        <f t="shared" si="1"/>
        <v>130</v>
      </c>
    </row>
    <row r="1047">
      <c r="A1047" s="4">
        <f>IFERROR(__xludf.DUMMYFUNCTION("""COMPUTED_VALUE"""),45408.66666666667)</f>
        <v>45408.66667</v>
      </c>
      <c r="B1047" s="5">
        <f>IFERROR(__xludf.DUMMYFUNCTION("""COMPUTED_VALUE"""),4800.0)</f>
        <v>4800</v>
      </c>
      <c r="C1047" s="5">
        <f>IFERROR(__xludf.DUMMYFUNCTION("""COMPUTED_VALUE"""),4820.0)</f>
        <v>4820</v>
      </c>
      <c r="D1047" s="5">
        <f>IFERROR(__xludf.DUMMYFUNCTION("""COMPUTED_VALUE"""),4580.0)</f>
        <v>4580</v>
      </c>
      <c r="E1047" s="5">
        <f>IFERROR(__xludf.DUMMYFUNCTION("""COMPUTED_VALUE"""),4580.0)</f>
        <v>4580</v>
      </c>
      <c r="F1047" s="5">
        <f>IFERROR(__xludf.DUMMYFUNCTION("""COMPUTED_VALUE"""),2.23667E7)</f>
        <v>22366700</v>
      </c>
      <c r="G1047" s="5">
        <f t="shared" si="1"/>
        <v>240</v>
      </c>
    </row>
    <row r="1048">
      <c r="A1048" s="4">
        <f>IFERROR(__xludf.DUMMYFUNCTION("""COMPUTED_VALUE"""),45411.66666666667)</f>
        <v>45411.66667</v>
      </c>
      <c r="B1048" s="5">
        <f>IFERROR(__xludf.DUMMYFUNCTION("""COMPUTED_VALUE"""),4620.0)</f>
        <v>4620</v>
      </c>
      <c r="C1048" s="5">
        <f>IFERROR(__xludf.DUMMYFUNCTION("""COMPUTED_VALUE"""),4740.0)</f>
        <v>4740</v>
      </c>
      <c r="D1048" s="5">
        <f>IFERROR(__xludf.DUMMYFUNCTION("""COMPUTED_VALUE"""),4600.0)</f>
        <v>4600</v>
      </c>
      <c r="E1048" s="5">
        <f>IFERROR(__xludf.DUMMYFUNCTION("""COMPUTED_VALUE"""),4620.0)</f>
        <v>4620</v>
      </c>
      <c r="F1048" s="5">
        <f>IFERROR(__xludf.DUMMYFUNCTION("""COMPUTED_VALUE"""),2.14959E7)</f>
        <v>21495900</v>
      </c>
      <c r="G1048" s="5">
        <f t="shared" si="1"/>
        <v>160</v>
      </c>
    </row>
    <row r="1049">
      <c r="A1049" s="4">
        <f>IFERROR(__xludf.DUMMYFUNCTION("""COMPUTED_VALUE"""),45412.66666666667)</f>
        <v>45412.66667</v>
      </c>
      <c r="B1049" s="5">
        <f>IFERROR(__xludf.DUMMYFUNCTION("""COMPUTED_VALUE"""),4620.0)</f>
        <v>4620</v>
      </c>
      <c r="C1049" s="5">
        <f>IFERROR(__xludf.DUMMYFUNCTION("""COMPUTED_VALUE"""),4690.0)</f>
        <v>4690</v>
      </c>
      <c r="D1049" s="5">
        <f>IFERROR(__xludf.DUMMYFUNCTION("""COMPUTED_VALUE"""),4620.0)</f>
        <v>4620</v>
      </c>
      <c r="E1049" s="5">
        <f>IFERROR(__xludf.DUMMYFUNCTION("""COMPUTED_VALUE"""),4670.0)</f>
        <v>4670</v>
      </c>
      <c r="F1049" s="5">
        <f>IFERROR(__xludf.DUMMYFUNCTION("""COMPUTED_VALUE"""),2.46475E7)</f>
        <v>24647500</v>
      </c>
      <c r="G1049" s="5">
        <f t="shared" si="1"/>
        <v>70</v>
      </c>
    </row>
    <row r="1050">
      <c r="A1050" s="4">
        <f>IFERROR(__xludf.DUMMYFUNCTION("""COMPUTED_VALUE"""),45414.66666666667)</f>
        <v>45414.66667</v>
      </c>
      <c r="B1050" s="5">
        <f>IFERROR(__xludf.DUMMYFUNCTION("""COMPUTED_VALUE"""),4680.0)</f>
        <v>4680</v>
      </c>
      <c r="C1050" s="5">
        <f>IFERROR(__xludf.DUMMYFUNCTION("""COMPUTED_VALUE"""),4750.0)</f>
        <v>4750</v>
      </c>
      <c r="D1050" s="5">
        <f>IFERROR(__xludf.DUMMYFUNCTION("""COMPUTED_VALUE"""),4650.0)</f>
        <v>4650</v>
      </c>
      <c r="E1050" s="5">
        <f>IFERROR(__xludf.DUMMYFUNCTION("""COMPUTED_VALUE"""),4740.0)</f>
        <v>4740</v>
      </c>
      <c r="F1050" s="5">
        <f>IFERROR(__xludf.DUMMYFUNCTION("""COMPUTED_VALUE"""),2.04842E7)</f>
        <v>20484200</v>
      </c>
      <c r="G1050" s="5">
        <f t="shared" si="1"/>
        <v>100</v>
      </c>
    </row>
    <row r="1051">
      <c r="A1051" s="4">
        <f>IFERROR(__xludf.DUMMYFUNCTION("""COMPUTED_VALUE"""),45415.66666666667)</f>
        <v>45415.66667</v>
      </c>
      <c r="B1051" s="5">
        <f>IFERROR(__xludf.DUMMYFUNCTION("""COMPUTED_VALUE"""),4740.0)</f>
        <v>4740</v>
      </c>
      <c r="C1051" s="5">
        <f>IFERROR(__xludf.DUMMYFUNCTION("""COMPUTED_VALUE"""),4750.0)</f>
        <v>4750</v>
      </c>
      <c r="D1051" s="5">
        <f>IFERROR(__xludf.DUMMYFUNCTION("""COMPUTED_VALUE"""),4630.0)</f>
        <v>4630</v>
      </c>
      <c r="E1051" s="5">
        <f>IFERROR(__xludf.DUMMYFUNCTION("""COMPUTED_VALUE"""),4630.0)</f>
        <v>4630</v>
      </c>
      <c r="F1051" s="5">
        <f>IFERROR(__xludf.DUMMYFUNCTION("""COMPUTED_VALUE"""),1.39461E7)</f>
        <v>13946100</v>
      </c>
      <c r="G1051" s="5">
        <f t="shared" si="1"/>
        <v>120</v>
      </c>
    </row>
    <row r="1052">
      <c r="A1052" s="4">
        <f>IFERROR(__xludf.DUMMYFUNCTION("""COMPUTED_VALUE"""),45418.66666666667)</f>
        <v>45418.66667</v>
      </c>
      <c r="B1052" s="5">
        <f>IFERROR(__xludf.DUMMYFUNCTION("""COMPUTED_VALUE"""),4670.0)</f>
        <v>4670</v>
      </c>
      <c r="C1052" s="5">
        <f>IFERROR(__xludf.DUMMYFUNCTION("""COMPUTED_VALUE"""),4710.0)</f>
        <v>4710</v>
      </c>
      <c r="D1052" s="5">
        <f>IFERROR(__xludf.DUMMYFUNCTION("""COMPUTED_VALUE"""),4630.0)</f>
        <v>4630</v>
      </c>
      <c r="E1052" s="5">
        <f>IFERROR(__xludf.DUMMYFUNCTION("""COMPUTED_VALUE"""),4700.0)</f>
        <v>4700</v>
      </c>
      <c r="F1052" s="5">
        <f>IFERROR(__xludf.DUMMYFUNCTION("""COMPUTED_VALUE"""),1.34064E7)</f>
        <v>13406400</v>
      </c>
      <c r="G1052" s="5">
        <f t="shared" si="1"/>
        <v>80</v>
      </c>
    </row>
    <row r="1053">
      <c r="A1053" s="4">
        <f>IFERROR(__xludf.DUMMYFUNCTION("""COMPUTED_VALUE"""),45419.66666666667)</f>
        <v>45419.66667</v>
      </c>
      <c r="B1053" s="5">
        <f>IFERROR(__xludf.DUMMYFUNCTION("""COMPUTED_VALUE"""),4700.0)</f>
        <v>4700</v>
      </c>
      <c r="C1053" s="5">
        <f>IFERROR(__xludf.DUMMYFUNCTION("""COMPUTED_VALUE"""),4740.0)</f>
        <v>4740</v>
      </c>
      <c r="D1053" s="5">
        <f>IFERROR(__xludf.DUMMYFUNCTION("""COMPUTED_VALUE"""),4690.0)</f>
        <v>4690</v>
      </c>
      <c r="E1053" s="5">
        <f>IFERROR(__xludf.DUMMYFUNCTION("""COMPUTED_VALUE"""),4700.0)</f>
        <v>4700</v>
      </c>
      <c r="F1053" s="5">
        <f>IFERROR(__xludf.DUMMYFUNCTION("""COMPUTED_VALUE"""),8058800.0)</f>
        <v>8058800</v>
      </c>
      <c r="G1053" s="5">
        <f t="shared" si="1"/>
        <v>50</v>
      </c>
    </row>
    <row r="1054">
      <c r="A1054" s="4">
        <f>IFERROR(__xludf.DUMMYFUNCTION("""COMPUTED_VALUE"""),45420.66666666667)</f>
        <v>45420.66667</v>
      </c>
      <c r="B1054" s="5">
        <f>IFERROR(__xludf.DUMMYFUNCTION("""COMPUTED_VALUE"""),4710.0)</f>
        <v>4710</v>
      </c>
      <c r="C1054" s="5">
        <f>IFERROR(__xludf.DUMMYFUNCTION("""COMPUTED_VALUE"""),4710.0)</f>
        <v>4710</v>
      </c>
      <c r="D1054" s="5">
        <f>IFERROR(__xludf.DUMMYFUNCTION("""COMPUTED_VALUE"""),4450.0)</f>
        <v>4450</v>
      </c>
      <c r="E1054" s="5">
        <f>IFERROR(__xludf.DUMMYFUNCTION("""COMPUTED_VALUE"""),4480.0)</f>
        <v>4480</v>
      </c>
      <c r="F1054" s="5">
        <f>IFERROR(__xludf.DUMMYFUNCTION("""COMPUTED_VALUE"""),2.25296E7)</f>
        <v>22529600</v>
      </c>
      <c r="G1054" s="5">
        <f t="shared" si="1"/>
        <v>260</v>
      </c>
    </row>
    <row r="1055">
      <c r="A1055" s="4">
        <f>IFERROR(__xludf.DUMMYFUNCTION("""COMPUTED_VALUE"""),45425.66666666667)</f>
        <v>45425.66667</v>
      </c>
      <c r="B1055" s="5">
        <f>IFERROR(__xludf.DUMMYFUNCTION("""COMPUTED_VALUE"""),4470.0)</f>
        <v>4470</v>
      </c>
      <c r="C1055" s="5">
        <f>IFERROR(__xludf.DUMMYFUNCTION("""COMPUTED_VALUE"""),4490.0)</f>
        <v>4490</v>
      </c>
      <c r="D1055" s="5">
        <f>IFERROR(__xludf.DUMMYFUNCTION("""COMPUTED_VALUE"""),4350.0)</f>
        <v>4350</v>
      </c>
      <c r="E1055" s="5">
        <f>IFERROR(__xludf.DUMMYFUNCTION("""COMPUTED_VALUE"""),4380.0)</f>
        <v>4380</v>
      </c>
      <c r="F1055" s="5">
        <f>IFERROR(__xludf.DUMMYFUNCTION("""COMPUTED_VALUE"""),3.00897E7)</f>
        <v>30089700</v>
      </c>
      <c r="G1055" s="5">
        <f t="shared" si="1"/>
        <v>140</v>
      </c>
    </row>
    <row r="1056">
      <c r="A1056" s="4">
        <f>IFERROR(__xludf.DUMMYFUNCTION("""COMPUTED_VALUE"""),45426.66666666667)</f>
        <v>45426.66667</v>
      </c>
      <c r="B1056" s="5">
        <f>IFERROR(__xludf.DUMMYFUNCTION("""COMPUTED_VALUE"""),4390.0)</f>
        <v>4390</v>
      </c>
      <c r="C1056" s="5">
        <f>IFERROR(__xludf.DUMMYFUNCTION("""COMPUTED_VALUE"""),4390.0)</f>
        <v>4390</v>
      </c>
      <c r="D1056" s="5">
        <f>IFERROR(__xludf.DUMMYFUNCTION("""COMPUTED_VALUE"""),4210.0)</f>
        <v>4210</v>
      </c>
      <c r="E1056" s="5">
        <f>IFERROR(__xludf.DUMMYFUNCTION("""COMPUTED_VALUE"""),4220.0)</f>
        <v>4220</v>
      </c>
      <c r="F1056" s="5">
        <f>IFERROR(__xludf.DUMMYFUNCTION("""COMPUTED_VALUE"""),3.56896E7)</f>
        <v>35689600</v>
      </c>
      <c r="G1056" s="5">
        <f t="shared" si="1"/>
        <v>180</v>
      </c>
    </row>
    <row r="1057">
      <c r="A1057" s="4">
        <f>IFERROR(__xludf.DUMMYFUNCTION("""COMPUTED_VALUE"""),45427.66666666667)</f>
        <v>45427.66667</v>
      </c>
      <c r="B1057" s="5">
        <f>IFERROR(__xludf.DUMMYFUNCTION("""COMPUTED_VALUE"""),4180.0)</f>
        <v>4180</v>
      </c>
      <c r="C1057" s="5">
        <f>IFERROR(__xludf.DUMMYFUNCTION("""COMPUTED_VALUE"""),4210.0)</f>
        <v>4210</v>
      </c>
      <c r="D1057" s="5">
        <f>IFERROR(__xludf.DUMMYFUNCTION("""COMPUTED_VALUE"""),4060.0)</f>
        <v>4060</v>
      </c>
      <c r="E1057" s="5">
        <f>IFERROR(__xludf.DUMMYFUNCTION("""COMPUTED_VALUE"""),4120.0)</f>
        <v>4120</v>
      </c>
      <c r="F1057" s="5">
        <f>IFERROR(__xludf.DUMMYFUNCTION("""COMPUTED_VALUE"""),3.94171E7)</f>
        <v>39417100</v>
      </c>
      <c r="G1057" s="5">
        <f t="shared" si="1"/>
        <v>160</v>
      </c>
    </row>
    <row r="1058">
      <c r="A1058" s="4">
        <f>IFERROR(__xludf.DUMMYFUNCTION("""COMPUTED_VALUE"""),45428.66666666667)</f>
        <v>45428.66667</v>
      </c>
      <c r="B1058" s="5">
        <f>IFERROR(__xludf.DUMMYFUNCTION("""COMPUTED_VALUE"""),4070.0)</f>
        <v>4070</v>
      </c>
      <c r="C1058" s="5">
        <f>IFERROR(__xludf.DUMMYFUNCTION("""COMPUTED_VALUE"""),4340.0)</f>
        <v>4340</v>
      </c>
      <c r="D1058" s="5">
        <f>IFERROR(__xludf.DUMMYFUNCTION("""COMPUTED_VALUE"""),4040.0)</f>
        <v>4040</v>
      </c>
      <c r="E1058" s="5">
        <f>IFERROR(__xludf.DUMMYFUNCTION("""COMPUTED_VALUE"""),4120.0)</f>
        <v>4120</v>
      </c>
      <c r="F1058" s="5">
        <f>IFERROR(__xludf.DUMMYFUNCTION("""COMPUTED_VALUE"""),4.70826E7)</f>
        <v>47082600</v>
      </c>
      <c r="G1058" s="5">
        <f t="shared" si="1"/>
        <v>300</v>
      </c>
    </row>
    <row r="1059">
      <c r="A1059" s="4">
        <f>IFERROR(__xludf.DUMMYFUNCTION("""COMPUTED_VALUE"""),45429.66666666667)</f>
        <v>45429.66667</v>
      </c>
      <c r="B1059" s="5">
        <f>IFERROR(__xludf.DUMMYFUNCTION("""COMPUTED_VALUE"""),4100.0)</f>
        <v>4100</v>
      </c>
      <c r="C1059" s="5">
        <f>IFERROR(__xludf.DUMMYFUNCTION("""COMPUTED_VALUE"""),4140.0)</f>
        <v>4140</v>
      </c>
      <c r="D1059" s="5">
        <f>IFERROR(__xludf.DUMMYFUNCTION("""COMPUTED_VALUE"""),4060.0)</f>
        <v>4060</v>
      </c>
      <c r="E1059" s="5">
        <f>IFERROR(__xludf.DUMMYFUNCTION("""COMPUTED_VALUE"""),4060.0)</f>
        <v>4060</v>
      </c>
      <c r="F1059" s="5">
        <f>IFERROR(__xludf.DUMMYFUNCTION("""COMPUTED_VALUE"""),3.24114E7)</f>
        <v>32411400</v>
      </c>
      <c r="G1059" s="5">
        <f t="shared" si="1"/>
        <v>80</v>
      </c>
    </row>
    <row r="1060">
      <c r="A1060" s="4">
        <f>IFERROR(__xludf.DUMMYFUNCTION("""COMPUTED_VALUE"""),45432.66666666667)</f>
        <v>45432.66667</v>
      </c>
      <c r="B1060" s="5">
        <f>IFERROR(__xludf.DUMMYFUNCTION("""COMPUTED_VALUE"""),4000.0)</f>
        <v>4000</v>
      </c>
      <c r="C1060" s="5">
        <f>IFERROR(__xludf.DUMMYFUNCTION("""COMPUTED_VALUE"""),4040.0)</f>
        <v>4040</v>
      </c>
      <c r="D1060" s="5">
        <f>IFERROR(__xludf.DUMMYFUNCTION("""COMPUTED_VALUE"""),3970.0)</f>
        <v>3970</v>
      </c>
      <c r="E1060" s="5">
        <f>IFERROR(__xludf.DUMMYFUNCTION("""COMPUTED_VALUE"""),3990.0)</f>
        <v>3990</v>
      </c>
      <c r="F1060" s="5">
        <f>IFERROR(__xludf.DUMMYFUNCTION("""COMPUTED_VALUE"""),2.84803E7)</f>
        <v>28480300</v>
      </c>
      <c r="G1060" s="5">
        <f t="shared" si="1"/>
        <v>90</v>
      </c>
    </row>
    <row r="1061">
      <c r="A1061" s="4">
        <f>IFERROR(__xludf.DUMMYFUNCTION("""COMPUTED_VALUE"""),45433.66666666667)</f>
        <v>45433.66667</v>
      </c>
      <c r="B1061" s="5">
        <f>IFERROR(__xludf.DUMMYFUNCTION("""COMPUTED_VALUE"""),4000.0)</f>
        <v>4000</v>
      </c>
      <c r="C1061" s="5">
        <f>IFERROR(__xludf.DUMMYFUNCTION("""COMPUTED_VALUE"""),4080.0)</f>
        <v>4080</v>
      </c>
      <c r="D1061" s="5">
        <f>IFERROR(__xludf.DUMMYFUNCTION("""COMPUTED_VALUE"""),3980.0)</f>
        <v>3980</v>
      </c>
      <c r="E1061" s="5">
        <f>IFERROR(__xludf.DUMMYFUNCTION("""COMPUTED_VALUE"""),3990.0)</f>
        <v>3990</v>
      </c>
      <c r="F1061" s="5">
        <f>IFERROR(__xludf.DUMMYFUNCTION("""COMPUTED_VALUE"""),2.00089E7)</f>
        <v>20008900</v>
      </c>
      <c r="G1061" s="5">
        <f t="shared" si="1"/>
        <v>100</v>
      </c>
    </row>
    <row r="1062">
      <c r="A1062" s="4">
        <f>IFERROR(__xludf.DUMMYFUNCTION("""COMPUTED_VALUE"""),45434.66666666667)</f>
        <v>45434.66667</v>
      </c>
      <c r="B1062" s="5">
        <f>IFERROR(__xludf.DUMMYFUNCTION("""COMPUTED_VALUE"""),3980.0)</f>
        <v>3980</v>
      </c>
      <c r="C1062" s="5">
        <f>IFERROR(__xludf.DUMMYFUNCTION("""COMPUTED_VALUE"""),4030.0)</f>
        <v>4030</v>
      </c>
      <c r="D1062" s="5">
        <f>IFERROR(__xludf.DUMMYFUNCTION("""COMPUTED_VALUE"""),3900.0)</f>
        <v>3900</v>
      </c>
      <c r="E1062" s="5">
        <f>IFERROR(__xludf.DUMMYFUNCTION("""COMPUTED_VALUE"""),3950.0)</f>
        <v>3950</v>
      </c>
      <c r="F1062" s="5">
        <f>IFERROR(__xludf.DUMMYFUNCTION("""COMPUTED_VALUE"""),2.18072E7)</f>
        <v>21807200</v>
      </c>
      <c r="G1062" s="5">
        <f t="shared" si="1"/>
        <v>130</v>
      </c>
    </row>
    <row r="1063">
      <c r="A1063" s="4">
        <f>IFERROR(__xludf.DUMMYFUNCTION("""COMPUTED_VALUE"""),45439.66666666667)</f>
        <v>45439.66667</v>
      </c>
      <c r="B1063" s="5">
        <f>IFERROR(__xludf.DUMMYFUNCTION("""COMPUTED_VALUE"""),3910.0)</f>
        <v>3910</v>
      </c>
      <c r="C1063" s="5">
        <f>IFERROR(__xludf.DUMMYFUNCTION("""COMPUTED_VALUE"""),3990.0)</f>
        <v>3990</v>
      </c>
      <c r="D1063" s="5">
        <f>IFERROR(__xludf.DUMMYFUNCTION("""COMPUTED_VALUE"""),3760.0)</f>
        <v>3760</v>
      </c>
      <c r="E1063" s="5">
        <f>IFERROR(__xludf.DUMMYFUNCTION("""COMPUTED_VALUE"""),3760.0)</f>
        <v>3760</v>
      </c>
      <c r="F1063" s="5">
        <f>IFERROR(__xludf.DUMMYFUNCTION("""COMPUTED_VALUE"""),4.26133E7)</f>
        <v>42613300</v>
      </c>
      <c r="G1063" s="5">
        <f t="shared" si="1"/>
        <v>230</v>
      </c>
    </row>
    <row r="1064">
      <c r="A1064" s="4">
        <f>IFERROR(__xludf.DUMMYFUNCTION("""COMPUTED_VALUE"""),45440.66666666667)</f>
        <v>45440.66667</v>
      </c>
      <c r="B1064" s="5">
        <f>IFERROR(__xludf.DUMMYFUNCTION("""COMPUTED_VALUE"""),3780.0)</f>
        <v>3780</v>
      </c>
      <c r="C1064" s="5">
        <f>IFERROR(__xludf.DUMMYFUNCTION("""COMPUTED_VALUE"""),3860.0)</f>
        <v>3860</v>
      </c>
      <c r="D1064" s="5">
        <f>IFERROR(__xludf.DUMMYFUNCTION("""COMPUTED_VALUE"""),3760.0)</f>
        <v>3760</v>
      </c>
      <c r="E1064" s="5">
        <f>IFERROR(__xludf.DUMMYFUNCTION("""COMPUTED_VALUE"""),3780.0)</f>
        <v>3780</v>
      </c>
      <c r="F1064" s="5">
        <f>IFERROR(__xludf.DUMMYFUNCTION("""COMPUTED_VALUE"""),2.06022E7)</f>
        <v>20602200</v>
      </c>
      <c r="G1064" s="5">
        <f t="shared" si="1"/>
        <v>100</v>
      </c>
    </row>
    <row r="1065">
      <c r="A1065" s="4">
        <f>IFERROR(__xludf.DUMMYFUNCTION("""COMPUTED_VALUE"""),45441.66666666667)</f>
        <v>45441.66667</v>
      </c>
      <c r="B1065" s="5">
        <f>IFERROR(__xludf.DUMMYFUNCTION("""COMPUTED_VALUE"""),3780.0)</f>
        <v>3780</v>
      </c>
      <c r="C1065" s="5">
        <f>IFERROR(__xludf.DUMMYFUNCTION("""COMPUTED_VALUE"""),3790.0)</f>
        <v>3790</v>
      </c>
      <c r="D1065" s="5">
        <f>IFERROR(__xludf.DUMMYFUNCTION("""COMPUTED_VALUE"""),3710.0)</f>
        <v>3710</v>
      </c>
      <c r="E1065" s="5">
        <f>IFERROR(__xludf.DUMMYFUNCTION("""COMPUTED_VALUE"""),3760.0)</f>
        <v>3760</v>
      </c>
      <c r="F1065" s="5">
        <f>IFERROR(__xludf.DUMMYFUNCTION("""COMPUTED_VALUE"""),1.88781E7)</f>
        <v>18878100</v>
      </c>
      <c r="G1065" s="5">
        <f t="shared" si="1"/>
        <v>80</v>
      </c>
    </row>
    <row r="1066">
      <c r="A1066" s="4">
        <f>IFERROR(__xludf.DUMMYFUNCTION("""COMPUTED_VALUE"""),45442.66666666667)</f>
        <v>45442.66667</v>
      </c>
      <c r="B1066" s="5">
        <f>IFERROR(__xludf.DUMMYFUNCTION("""COMPUTED_VALUE"""),3760.0)</f>
        <v>3760</v>
      </c>
      <c r="C1066" s="5">
        <f>IFERROR(__xludf.DUMMYFUNCTION("""COMPUTED_VALUE"""),3790.0)</f>
        <v>3790</v>
      </c>
      <c r="D1066" s="5">
        <f>IFERROR(__xludf.DUMMYFUNCTION("""COMPUTED_VALUE"""),3670.0)</f>
        <v>3670</v>
      </c>
      <c r="E1066" s="5">
        <f>IFERROR(__xludf.DUMMYFUNCTION("""COMPUTED_VALUE"""),3690.0)</f>
        <v>3690</v>
      </c>
      <c r="F1066" s="5">
        <f>IFERROR(__xludf.DUMMYFUNCTION("""COMPUTED_VALUE"""),4.393E7)</f>
        <v>43930000</v>
      </c>
      <c r="G1066" s="5">
        <f t="shared" si="1"/>
        <v>120</v>
      </c>
    </row>
    <row r="1067">
      <c r="A1067" s="4">
        <f>IFERROR(__xludf.DUMMYFUNCTION("""COMPUTED_VALUE"""),45443.66666666667)</f>
        <v>45443.66667</v>
      </c>
      <c r="B1067" s="5">
        <f>IFERROR(__xludf.DUMMYFUNCTION("""COMPUTED_VALUE"""),3630.0)</f>
        <v>3630</v>
      </c>
      <c r="C1067" s="5">
        <f>IFERROR(__xludf.DUMMYFUNCTION("""COMPUTED_VALUE"""),3650.0)</f>
        <v>3650</v>
      </c>
      <c r="D1067" s="5">
        <f>IFERROR(__xludf.DUMMYFUNCTION("""COMPUTED_VALUE"""),3490.0)</f>
        <v>3490</v>
      </c>
      <c r="E1067" s="5">
        <f>IFERROR(__xludf.DUMMYFUNCTION("""COMPUTED_VALUE"""),3490.0)</f>
        <v>3490</v>
      </c>
      <c r="F1067" s="5">
        <f>IFERROR(__xludf.DUMMYFUNCTION("""COMPUTED_VALUE"""),2.904497E8)</f>
        <v>290449700</v>
      </c>
      <c r="G1067" s="5">
        <f t="shared" si="1"/>
        <v>200</v>
      </c>
    </row>
    <row r="1068">
      <c r="A1068" s="4">
        <f>IFERROR(__xludf.DUMMYFUNCTION("""COMPUTED_VALUE"""),45446.66666666667)</f>
        <v>45446.66667</v>
      </c>
      <c r="B1068" s="5">
        <f>IFERROR(__xludf.DUMMYFUNCTION("""COMPUTED_VALUE"""),3510.0)</f>
        <v>3510</v>
      </c>
      <c r="C1068" s="5">
        <f>IFERROR(__xludf.DUMMYFUNCTION("""COMPUTED_VALUE"""),3590.0)</f>
        <v>3590</v>
      </c>
      <c r="D1068" s="5">
        <f>IFERROR(__xludf.DUMMYFUNCTION("""COMPUTED_VALUE"""),3410.0)</f>
        <v>3410</v>
      </c>
      <c r="E1068" s="5">
        <f>IFERROR(__xludf.DUMMYFUNCTION("""COMPUTED_VALUE"""),3550.0)</f>
        <v>3550</v>
      </c>
      <c r="F1068" s="5">
        <f>IFERROR(__xludf.DUMMYFUNCTION("""COMPUTED_VALUE"""),7.00881E7)</f>
        <v>70088100</v>
      </c>
      <c r="G1068" s="5">
        <f t="shared" si="1"/>
        <v>180</v>
      </c>
    </row>
    <row r="1069">
      <c r="A1069" s="4">
        <f>IFERROR(__xludf.DUMMYFUNCTION("""COMPUTED_VALUE"""),45447.66666666667)</f>
        <v>45447.66667</v>
      </c>
      <c r="B1069" s="5">
        <f>IFERROR(__xludf.DUMMYFUNCTION("""COMPUTED_VALUE"""),3560.0)</f>
        <v>3560</v>
      </c>
      <c r="C1069" s="5">
        <f>IFERROR(__xludf.DUMMYFUNCTION("""COMPUTED_VALUE"""),4060.0)</f>
        <v>4060</v>
      </c>
      <c r="D1069" s="5">
        <f>IFERROR(__xludf.DUMMYFUNCTION("""COMPUTED_VALUE"""),3530.0)</f>
        <v>3530</v>
      </c>
      <c r="E1069" s="5">
        <f>IFERROR(__xludf.DUMMYFUNCTION("""COMPUTED_VALUE"""),3830.0)</f>
        <v>3830</v>
      </c>
      <c r="F1069" s="5">
        <f>IFERROR(__xludf.DUMMYFUNCTION("""COMPUTED_VALUE"""),1.422381E8)</f>
        <v>142238100</v>
      </c>
      <c r="G1069" s="5">
        <f t="shared" si="1"/>
        <v>530</v>
      </c>
    </row>
    <row r="1070">
      <c r="A1070" s="4">
        <f>IFERROR(__xludf.DUMMYFUNCTION("""COMPUTED_VALUE"""),45448.66666666667)</f>
        <v>45448.66667</v>
      </c>
      <c r="B1070" s="5">
        <f>IFERROR(__xludf.DUMMYFUNCTION("""COMPUTED_VALUE"""),3900.0)</f>
        <v>3900</v>
      </c>
      <c r="C1070" s="5">
        <f>IFERROR(__xludf.DUMMYFUNCTION("""COMPUTED_VALUE"""),3990.0)</f>
        <v>3990</v>
      </c>
      <c r="D1070" s="5">
        <f>IFERROR(__xludf.DUMMYFUNCTION("""COMPUTED_VALUE"""),3770.0)</f>
        <v>3770</v>
      </c>
      <c r="E1070" s="5">
        <f>IFERROR(__xludf.DUMMYFUNCTION("""COMPUTED_VALUE"""),3860.0)</f>
        <v>3860</v>
      </c>
      <c r="F1070" s="5">
        <f>IFERROR(__xludf.DUMMYFUNCTION("""COMPUTED_VALUE"""),9.55114E7)</f>
        <v>95511400</v>
      </c>
      <c r="G1070" s="5">
        <f t="shared" si="1"/>
        <v>220</v>
      </c>
    </row>
    <row r="1071">
      <c r="A1071" s="4">
        <f>IFERROR(__xludf.DUMMYFUNCTION("""COMPUTED_VALUE"""),45449.66666666667)</f>
        <v>45449.66667</v>
      </c>
      <c r="B1071" s="5">
        <f>IFERROR(__xludf.DUMMYFUNCTION("""COMPUTED_VALUE"""),3890.0)</f>
        <v>3890</v>
      </c>
      <c r="C1071" s="5">
        <f>IFERROR(__xludf.DUMMYFUNCTION("""COMPUTED_VALUE"""),4040.0)</f>
        <v>4040</v>
      </c>
      <c r="D1071" s="5">
        <f>IFERROR(__xludf.DUMMYFUNCTION("""COMPUTED_VALUE"""),3880.0)</f>
        <v>3880</v>
      </c>
      <c r="E1071" s="5">
        <f>IFERROR(__xludf.DUMMYFUNCTION("""COMPUTED_VALUE"""),3950.0)</f>
        <v>3950</v>
      </c>
      <c r="F1071" s="5">
        <f>IFERROR(__xludf.DUMMYFUNCTION("""COMPUTED_VALUE"""),6.26721E7)</f>
        <v>62672100</v>
      </c>
      <c r="G1071" s="5">
        <f t="shared" si="1"/>
        <v>180</v>
      </c>
    </row>
    <row r="1072">
      <c r="A1072" s="4">
        <f>IFERROR(__xludf.DUMMYFUNCTION("""COMPUTED_VALUE"""),45450.66666666667)</f>
        <v>45450.66667</v>
      </c>
      <c r="B1072" s="5">
        <f>IFERROR(__xludf.DUMMYFUNCTION("""COMPUTED_VALUE"""),4000.0)</f>
        <v>4000</v>
      </c>
      <c r="C1072" s="5">
        <f>IFERROR(__xludf.DUMMYFUNCTION("""COMPUTED_VALUE"""),4120.0)</f>
        <v>4120</v>
      </c>
      <c r="D1072" s="5">
        <f>IFERROR(__xludf.DUMMYFUNCTION("""COMPUTED_VALUE"""),3960.0)</f>
        <v>3960</v>
      </c>
      <c r="E1072" s="5">
        <f>IFERROR(__xludf.DUMMYFUNCTION("""COMPUTED_VALUE"""),4010.0)</f>
        <v>4010</v>
      </c>
      <c r="F1072" s="5">
        <f>IFERROR(__xludf.DUMMYFUNCTION("""COMPUTED_VALUE"""),5.87191E7)</f>
        <v>58719100</v>
      </c>
      <c r="G1072" s="5">
        <f t="shared" si="1"/>
        <v>170</v>
      </c>
    </row>
    <row r="1073">
      <c r="A1073" s="4">
        <f>IFERROR(__xludf.DUMMYFUNCTION("""COMPUTED_VALUE"""),45453.66666666667)</f>
        <v>45453.66667</v>
      </c>
      <c r="B1073" s="5">
        <f>IFERROR(__xludf.DUMMYFUNCTION("""COMPUTED_VALUE"""),4050.0)</f>
        <v>4050</v>
      </c>
      <c r="C1073" s="5">
        <f>IFERROR(__xludf.DUMMYFUNCTION("""COMPUTED_VALUE"""),4150.0)</f>
        <v>4150</v>
      </c>
      <c r="D1073" s="5">
        <f>IFERROR(__xludf.DUMMYFUNCTION("""COMPUTED_VALUE"""),4020.0)</f>
        <v>4020</v>
      </c>
      <c r="E1073" s="5">
        <f>IFERROR(__xludf.DUMMYFUNCTION("""COMPUTED_VALUE"""),4100.0)</f>
        <v>4100</v>
      </c>
      <c r="F1073" s="5">
        <f>IFERROR(__xludf.DUMMYFUNCTION("""COMPUTED_VALUE"""),3.75104E7)</f>
        <v>37510400</v>
      </c>
      <c r="G1073" s="5">
        <f t="shared" si="1"/>
        <v>140</v>
      </c>
    </row>
    <row r="1074">
      <c r="A1074" s="4">
        <f>IFERROR(__xludf.DUMMYFUNCTION("""COMPUTED_VALUE"""),45454.66666666667)</f>
        <v>45454.66667</v>
      </c>
      <c r="B1074" s="5">
        <f>IFERROR(__xludf.DUMMYFUNCTION("""COMPUTED_VALUE"""),4100.0)</f>
        <v>4100</v>
      </c>
      <c r="C1074" s="5">
        <f>IFERROR(__xludf.DUMMYFUNCTION("""COMPUTED_VALUE"""),4150.0)</f>
        <v>4150</v>
      </c>
      <c r="D1074" s="5">
        <f>IFERROR(__xludf.DUMMYFUNCTION("""COMPUTED_VALUE"""),3870.0)</f>
        <v>3870</v>
      </c>
      <c r="E1074" s="5">
        <f>IFERROR(__xludf.DUMMYFUNCTION("""COMPUTED_VALUE"""),3880.0)</f>
        <v>3880</v>
      </c>
      <c r="F1074" s="5">
        <f>IFERROR(__xludf.DUMMYFUNCTION("""COMPUTED_VALUE"""),8.9001E7)</f>
        <v>89001000</v>
      </c>
      <c r="G1074" s="5">
        <f t="shared" si="1"/>
        <v>280</v>
      </c>
    </row>
    <row r="1075">
      <c r="A1075" s="4">
        <f>IFERROR(__xludf.DUMMYFUNCTION("""COMPUTED_VALUE"""),45455.66666666667)</f>
        <v>45455.66667</v>
      </c>
      <c r="B1075" s="5">
        <f>IFERROR(__xludf.DUMMYFUNCTION("""COMPUTED_VALUE"""),3890.0)</f>
        <v>3890</v>
      </c>
      <c r="C1075" s="5">
        <f>IFERROR(__xludf.DUMMYFUNCTION("""COMPUTED_VALUE"""),3900.0)</f>
        <v>3900</v>
      </c>
      <c r="D1075" s="5">
        <f>IFERROR(__xludf.DUMMYFUNCTION("""COMPUTED_VALUE"""),3570.0)</f>
        <v>3570</v>
      </c>
      <c r="E1075" s="5">
        <f>IFERROR(__xludf.DUMMYFUNCTION("""COMPUTED_VALUE"""),3610.0)</f>
        <v>3610</v>
      </c>
      <c r="F1075" s="5">
        <f>IFERROR(__xludf.DUMMYFUNCTION("""COMPUTED_VALUE"""),6.90834E7)</f>
        <v>69083400</v>
      </c>
      <c r="G1075" s="5">
        <f t="shared" si="1"/>
        <v>330</v>
      </c>
    </row>
    <row r="1076">
      <c r="A1076" s="4">
        <f>IFERROR(__xludf.DUMMYFUNCTION("""COMPUTED_VALUE"""),45456.66666666667)</f>
        <v>45456.66667</v>
      </c>
      <c r="B1076" s="5">
        <f>IFERROR(__xludf.DUMMYFUNCTION("""COMPUTED_VALUE"""),3640.0)</f>
        <v>3640</v>
      </c>
      <c r="C1076" s="5">
        <f>IFERROR(__xludf.DUMMYFUNCTION("""COMPUTED_VALUE"""),3790.0)</f>
        <v>3790</v>
      </c>
      <c r="D1076" s="5">
        <f>IFERROR(__xludf.DUMMYFUNCTION("""COMPUTED_VALUE"""),3620.0)</f>
        <v>3620</v>
      </c>
      <c r="E1076" s="5">
        <f>IFERROR(__xludf.DUMMYFUNCTION("""COMPUTED_VALUE"""),3660.0)</f>
        <v>3660</v>
      </c>
      <c r="F1076" s="5">
        <f>IFERROR(__xludf.DUMMYFUNCTION("""COMPUTED_VALUE"""),5.18812E7)</f>
        <v>51881200</v>
      </c>
      <c r="G1076" s="5">
        <f t="shared" si="1"/>
        <v>180</v>
      </c>
    </row>
    <row r="1077">
      <c r="A1077" s="4">
        <f>IFERROR(__xludf.DUMMYFUNCTION("""COMPUTED_VALUE"""),45457.66666666667)</f>
        <v>45457.66667</v>
      </c>
      <c r="B1077" s="5">
        <f>IFERROR(__xludf.DUMMYFUNCTION("""COMPUTED_VALUE"""),3670.0)</f>
        <v>3670</v>
      </c>
      <c r="C1077" s="5">
        <f>IFERROR(__xludf.DUMMYFUNCTION("""COMPUTED_VALUE"""),3700.0)</f>
        <v>3700</v>
      </c>
      <c r="D1077" s="5">
        <f>IFERROR(__xludf.DUMMYFUNCTION("""COMPUTED_VALUE"""),3420.0)</f>
        <v>3420</v>
      </c>
      <c r="E1077" s="5">
        <f>IFERROR(__xludf.DUMMYFUNCTION("""COMPUTED_VALUE"""),3440.0)</f>
        <v>3440</v>
      </c>
      <c r="F1077" s="5">
        <f>IFERROR(__xludf.DUMMYFUNCTION("""COMPUTED_VALUE"""),3.84262E7)</f>
        <v>38426200</v>
      </c>
      <c r="G1077" s="5">
        <f t="shared" si="1"/>
        <v>280</v>
      </c>
    </row>
    <row r="1078">
      <c r="A1078" s="4">
        <f>IFERROR(__xludf.DUMMYFUNCTION("""COMPUTED_VALUE"""),45462.66666666667)</f>
        <v>45462.66667</v>
      </c>
      <c r="B1078" s="5">
        <f>IFERROR(__xludf.DUMMYFUNCTION("""COMPUTED_VALUE"""),3480.0)</f>
        <v>3480</v>
      </c>
      <c r="C1078" s="5">
        <f>IFERROR(__xludf.DUMMYFUNCTION("""COMPUTED_VALUE"""),3580.0)</f>
        <v>3580</v>
      </c>
      <c r="D1078" s="5">
        <f>IFERROR(__xludf.DUMMYFUNCTION("""COMPUTED_VALUE"""),3450.0)</f>
        <v>3450</v>
      </c>
      <c r="E1078" s="5">
        <f>IFERROR(__xludf.DUMMYFUNCTION("""COMPUTED_VALUE"""),3510.0)</f>
        <v>3510</v>
      </c>
      <c r="F1078" s="5">
        <f>IFERROR(__xludf.DUMMYFUNCTION("""COMPUTED_VALUE"""),6.6326E7)</f>
        <v>66326000</v>
      </c>
      <c r="G1078" s="5">
        <f t="shared" si="1"/>
        <v>140</v>
      </c>
    </row>
    <row r="1079">
      <c r="A1079" s="4">
        <f>IFERROR(__xludf.DUMMYFUNCTION("""COMPUTED_VALUE"""),45463.66666666667)</f>
        <v>45463.66667</v>
      </c>
      <c r="B1079" s="5">
        <f>IFERROR(__xludf.DUMMYFUNCTION("""COMPUTED_VALUE"""),3550.0)</f>
        <v>3550</v>
      </c>
      <c r="C1079" s="5">
        <f>IFERROR(__xludf.DUMMYFUNCTION("""COMPUTED_VALUE"""),3630.0)</f>
        <v>3630</v>
      </c>
      <c r="D1079" s="5">
        <f>IFERROR(__xludf.DUMMYFUNCTION("""COMPUTED_VALUE"""),3500.0)</f>
        <v>3500</v>
      </c>
      <c r="E1079" s="5">
        <f>IFERROR(__xludf.DUMMYFUNCTION("""COMPUTED_VALUE"""),3500.0)</f>
        <v>3500</v>
      </c>
      <c r="F1079" s="5">
        <f>IFERROR(__xludf.DUMMYFUNCTION("""COMPUTED_VALUE"""),4.1238E7)</f>
        <v>41238000</v>
      </c>
      <c r="G1079" s="5">
        <f t="shared" si="1"/>
        <v>130</v>
      </c>
    </row>
    <row r="1080">
      <c r="A1080" s="4">
        <f>IFERROR(__xludf.DUMMYFUNCTION("""COMPUTED_VALUE"""),45464.66666666667)</f>
        <v>45464.66667</v>
      </c>
      <c r="B1080" s="5">
        <f>IFERROR(__xludf.DUMMYFUNCTION("""COMPUTED_VALUE"""),3500.0)</f>
        <v>3500</v>
      </c>
      <c r="C1080" s="5">
        <f>IFERROR(__xludf.DUMMYFUNCTION("""COMPUTED_VALUE"""),3720.0)</f>
        <v>3720</v>
      </c>
      <c r="D1080" s="5">
        <f>IFERROR(__xludf.DUMMYFUNCTION("""COMPUTED_VALUE"""),3430.0)</f>
        <v>3430</v>
      </c>
      <c r="E1080" s="5">
        <f>IFERROR(__xludf.DUMMYFUNCTION("""COMPUTED_VALUE"""),3700.0)</f>
        <v>3700</v>
      </c>
      <c r="F1080" s="5">
        <f>IFERROR(__xludf.DUMMYFUNCTION("""COMPUTED_VALUE"""),6.45066E7)</f>
        <v>64506600</v>
      </c>
      <c r="G1080" s="5">
        <f t="shared" si="1"/>
        <v>290</v>
      </c>
    </row>
    <row r="1081">
      <c r="A1081" s="4">
        <f>IFERROR(__xludf.DUMMYFUNCTION("""COMPUTED_VALUE"""),45467.66666666667)</f>
        <v>45467.66667</v>
      </c>
      <c r="B1081" s="5">
        <f>IFERROR(__xludf.DUMMYFUNCTION("""COMPUTED_VALUE"""),3720.0)</f>
        <v>3720</v>
      </c>
      <c r="C1081" s="5">
        <f>IFERROR(__xludf.DUMMYFUNCTION("""COMPUTED_VALUE"""),3780.0)</f>
        <v>3780</v>
      </c>
      <c r="D1081" s="5">
        <f>IFERROR(__xludf.DUMMYFUNCTION("""COMPUTED_VALUE"""),3680.0)</f>
        <v>3680</v>
      </c>
      <c r="E1081" s="5">
        <f>IFERROR(__xludf.DUMMYFUNCTION("""COMPUTED_VALUE"""),3690.0)</f>
        <v>3690</v>
      </c>
      <c r="F1081" s="5">
        <f>IFERROR(__xludf.DUMMYFUNCTION("""COMPUTED_VALUE"""),3.50534E7)</f>
        <v>35053400</v>
      </c>
      <c r="G1081" s="5">
        <f t="shared" si="1"/>
        <v>100</v>
      </c>
    </row>
    <row r="1082">
      <c r="A1082" s="4">
        <f>IFERROR(__xludf.DUMMYFUNCTION("""COMPUTED_VALUE"""),45468.66666666667)</f>
        <v>45468.66667</v>
      </c>
      <c r="B1082" s="5">
        <f>IFERROR(__xludf.DUMMYFUNCTION("""COMPUTED_VALUE"""),3700.0)</f>
        <v>3700</v>
      </c>
      <c r="C1082" s="5">
        <f>IFERROR(__xludf.DUMMYFUNCTION("""COMPUTED_VALUE"""),3710.0)</f>
        <v>3710</v>
      </c>
      <c r="D1082" s="5">
        <f>IFERROR(__xludf.DUMMYFUNCTION("""COMPUTED_VALUE"""),3580.0)</f>
        <v>3580</v>
      </c>
      <c r="E1082" s="5">
        <f>IFERROR(__xludf.DUMMYFUNCTION("""COMPUTED_VALUE"""),3660.0)</f>
        <v>3660</v>
      </c>
      <c r="F1082" s="5">
        <f>IFERROR(__xludf.DUMMYFUNCTION("""COMPUTED_VALUE"""),3.51543E7)</f>
        <v>35154300</v>
      </c>
      <c r="G1082" s="5">
        <f t="shared" si="1"/>
        <v>130</v>
      </c>
    </row>
    <row r="1083">
      <c r="A1083" s="4">
        <f>IFERROR(__xludf.DUMMYFUNCTION("""COMPUTED_VALUE"""),45469.66666666667)</f>
        <v>45469.66667</v>
      </c>
      <c r="B1083" s="5">
        <f>IFERROR(__xludf.DUMMYFUNCTION("""COMPUTED_VALUE"""),3660.0)</f>
        <v>3660</v>
      </c>
      <c r="C1083" s="5">
        <f>IFERROR(__xludf.DUMMYFUNCTION("""COMPUTED_VALUE"""),3730.0)</f>
        <v>3730</v>
      </c>
      <c r="D1083" s="5">
        <f>IFERROR(__xludf.DUMMYFUNCTION("""COMPUTED_VALUE"""),3620.0)</f>
        <v>3620</v>
      </c>
      <c r="E1083" s="5">
        <f>IFERROR(__xludf.DUMMYFUNCTION("""COMPUTED_VALUE"""),3630.0)</f>
        <v>3630</v>
      </c>
      <c r="F1083" s="5">
        <f>IFERROR(__xludf.DUMMYFUNCTION("""COMPUTED_VALUE"""),1.8688E7)</f>
        <v>18688000</v>
      </c>
      <c r="G1083" s="5">
        <f t="shared" si="1"/>
        <v>110</v>
      </c>
    </row>
    <row r="1084">
      <c r="A1084" s="4">
        <f>IFERROR(__xludf.DUMMYFUNCTION("""COMPUTED_VALUE"""),45470.66666666667)</f>
        <v>45470.66667</v>
      </c>
      <c r="B1084" s="5">
        <f>IFERROR(__xludf.DUMMYFUNCTION("""COMPUTED_VALUE"""),3650.0)</f>
        <v>3650</v>
      </c>
      <c r="C1084" s="5">
        <f>IFERROR(__xludf.DUMMYFUNCTION("""COMPUTED_VALUE"""),3680.0)</f>
        <v>3680</v>
      </c>
      <c r="D1084" s="5">
        <f>IFERROR(__xludf.DUMMYFUNCTION("""COMPUTED_VALUE"""),3550.0)</f>
        <v>3550</v>
      </c>
      <c r="E1084" s="5">
        <f>IFERROR(__xludf.DUMMYFUNCTION("""COMPUTED_VALUE"""),3600.0)</f>
        <v>3600</v>
      </c>
      <c r="F1084" s="5">
        <f>IFERROR(__xludf.DUMMYFUNCTION("""COMPUTED_VALUE"""),2.17566E7)</f>
        <v>21756600</v>
      </c>
      <c r="G1084" s="5">
        <f t="shared" si="1"/>
        <v>130</v>
      </c>
    </row>
    <row r="1085">
      <c r="A1085" s="4">
        <f>IFERROR(__xludf.DUMMYFUNCTION("""COMPUTED_VALUE"""),45471.66666666667)</f>
        <v>45471.66667</v>
      </c>
      <c r="B1085" s="5">
        <f>IFERROR(__xludf.DUMMYFUNCTION("""COMPUTED_VALUE"""),3600.0)</f>
        <v>3600</v>
      </c>
      <c r="C1085" s="5">
        <f>IFERROR(__xludf.DUMMYFUNCTION("""COMPUTED_VALUE"""),3780.0)</f>
        <v>3780</v>
      </c>
      <c r="D1085" s="5">
        <f>IFERROR(__xludf.DUMMYFUNCTION("""COMPUTED_VALUE"""),3600.0)</f>
        <v>3600</v>
      </c>
      <c r="E1085" s="5">
        <f>IFERROR(__xludf.DUMMYFUNCTION("""COMPUTED_VALUE"""),3730.0)</f>
        <v>3730</v>
      </c>
      <c r="F1085" s="5">
        <f>IFERROR(__xludf.DUMMYFUNCTION("""COMPUTED_VALUE"""),4.62351E7)</f>
        <v>46235100</v>
      </c>
      <c r="G1085" s="5">
        <f t="shared" si="1"/>
        <v>180</v>
      </c>
    </row>
    <row r="1086">
      <c r="A1086" s="4">
        <f>IFERROR(__xludf.DUMMYFUNCTION("""COMPUTED_VALUE"""),45474.66666666667)</f>
        <v>45474.66667</v>
      </c>
      <c r="B1086" s="5">
        <f>IFERROR(__xludf.DUMMYFUNCTION("""COMPUTED_VALUE"""),3790.0)</f>
        <v>3790</v>
      </c>
      <c r="C1086" s="5">
        <f>IFERROR(__xludf.DUMMYFUNCTION("""COMPUTED_VALUE"""),3930.0)</f>
        <v>3930</v>
      </c>
      <c r="D1086" s="5">
        <f>IFERROR(__xludf.DUMMYFUNCTION("""COMPUTED_VALUE"""),3780.0)</f>
        <v>3780</v>
      </c>
      <c r="E1086" s="5">
        <f>IFERROR(__xludf.DUMMYFUNCTION("""COMPUTED_VALUE"""),3920.0)</f>
        <v>3920</v>
      </c>
      <c r="F1086" s="5">
        <f>IFERROR(__xludf.DUMMYFUNCTION("""COMPUTED_VALUE"""),3.70211E7)</f>
        <v>37021100</v>
      </c>
      <c r="G1086" s="5">
        <f t="shared" si="1"/>
        <v>200</v>
      </c>
    </row>
    <row r="1087">
      <c r="A1087" s="4">
        <f>IFERROR(__xludf.DUMMYFUNCTION("""COMPUTED_VALUE"""),45475.66666666667)</f>
        <v>45475.66667</v>
      </c>
      <c r="B1087" s="5">
        <f>IFERROR(__xludf.DUMMYFUNCTION("""COMPUTED_VALUE"""),3950.0)</f>
        <v>3950</v>
      </c>
      <c r="C1087" s="5">
        <f>IFERROR(__xludf.DUMMYFUNCTION("""COMPUTED_VALUE"""),3990.0)</f>
        <v>3990</v>
      </c>
      <c r="D1087" s="5">
        <f>IFERROR(__xludf.DUMMYFUNCTION("""COMPUTED_VALUE"""),3850.0)</f>
        <v>3850</v>
      </c>
      <c r="E1087" s="5">
        <f>IFERROR(__xludf.DUMMYFUNCTION("""COMPUTED_VALUE"""),3960.0)</f>
        <v>3960</v>
      </c>
      <c r="F1087" s="5">
        <f>IFERROR(__xludf.DUMMYFUNCTION("""COMPUTED_VALUE"""),3.64439E7)</f>
        <v>36443900</v>
      </c>
      <c r="G1087" s="5">
        <f t="shared" si="1"/>
        <v>140</v>
      </c>
    </row>
    <row r="1088">
      <c r="A1088" s="4">
        <f>IFERROR(__xludf.DUMMYFUNCTION("""COMPUTED_VALUE"""),45476.66666666667)</f>
        <v>45476.66667</v>
      </c>
      <c r="B1088" s="5">
        <f>IFERROR(__xludf.DUMMYFUNCTION("""COMPUTED_VALUE"""),3990.0)</f>
        <v>3990</v>
      </c>
      <c r="C1088" s="5">
        <f>IFERROR(__xludf.DUMMYFUNCTION("""COMPUTED_VALUE"""),4050.0)</f>
        <v>4050</v>
      </c>
      <c r="D1088" s="5">
        <f>IFERROR(__xludf.DUMMYFUNCTION("""COMPUTED_VALUE"""),3960.0)</f>
        <v>3960</v>
      </c>
      <c r="E1088" s="5">
        <f>IFERROR(__xludf.DUMMYFUNCTION("""COMPUTED_VALUE"""),4040.0)</f>
        <v>4040</v>
      </c>
      <c r="F1088" s="5">
        <f>IFERROR(__xludf.DUMMYFUNCTION("""COMPUTED_VALUE"""),3.91987E7)</f>
        <v>39198700</v>
      </c>
      <c r="G1088" s="5">
        <f t="shared" si="1"/>
        <v>90</v>
      </c>
    </row>
    <row r="1089">
      <c r="A1089" s="4">
        <f>IFERROR(__xludf.DUMMYFUNCTION("""COMPUTED_VALUE"""),45477.66666666667)</f>
        <v>45477.66667</v>
      </c>
      <c r="B1089" s="5">
        <f>IFERROR(__xludf.DUMMYFUNCTION("""COMPUTED_VALUE"""),4050.0)</f>
        <v>4050</v>
      </c>
      <c r="C1089" s="5">
        <f>IFERROR(__xludf.DUMMYFUNCTION("""COMPUTED_VALUE"""),4100.0)</f>
        <v>4100</v>
      </c>
      <c r="D1089" s="5">
        <f>IFERROR(__xludf.DUMMYFUNCTION("""COMPUTED_VALUE"""),3930.0)</f>
        <v>3930</v>
      </c>
      <c r="E1089" s="5">
        <f>IFERROR(__xludf.DUMMYFUNCTION("""COMPUTED_VALUE"""),3940.0)</f>
        <v>3940</v>
      </c>
      <c r="F1089" s="5">
        <f>IFERROR(__xludf.DUMMYFUNCTION("""COMPUTED_VALUE"""),3.34698E7)</f>
        <v>33469800</v>
      </c>
      <c r="G1089" s="5">
        <f t="shared" si="1"/>
        <v>170</v>
      </c>
    </row>
    <row r="1090">
      <c r="A1090" s="4">
        <f>IFERROR(__xludf.DUMMYFUNCTION("""COMPUTED_VALUE"""),45478.66666666667)</f>
        <v>45478.66667</v>
      </c>
      <c r="B1090" s="5">
        <f>IFERROR(__xludf.DUMMYFUNCTION("""COMPUTED_VALUE"""),3940.0)</f>
        <v>3940</v>
      </c>
      <c r="C1090" s="5">
        <f>IFERROR(__xludf.DUMMYFUNCTION("""COMPUTED_VALUE"""),4000.0)</f>
        <v>4000</v>
      </c>
      <c r="D1090" s="5">
        <f>IFERROR(__xludf.DUMMYFUNCTION("""COMPUTED_VALUE"""),3900.0)</f>
        <v>3900</v>
      </c>
      <c r="E1090" s="5">
        <f>IFERROR(__xludf.DUMMYFUNCTION("""COMPUTED_VALUE"""),3950.0)</f>
        <v>3950</v>
      </c>
      <c r="F1090" s="5">
        <f>IFERROR(__xludf.DUMMYFUNCTION("""COMPUTED_VALUE"""),1.21503E7)</f>
        <v>12150300</v>
      </c>
      <c r="G1090" s="5">
        <f t="shared" si="1"/>
        <v>100</v>
      </c>
    </row>
    <row r="1091">
      <c r="A1091" s="4">
        <f>IFERROR(__xludf.DUMMYFUNCTION("""COMPUTED_VALUE"""),45481.66666666667)</f>
        <v>45481.66667</v>
      </c>
      <c r="B1091" s="5">
        <f>IFERROR(__xludf.DUMMYFUNCTION("""COMPUTED_VALUE"""),3950.0)</f>
        <v>3950</v>
      </c>
      <c r="C1091" s="5">
        <f>IFERROR(__xludf.DUMMYFUNCTION("""COMPUTED_VALUE"""),4220.0)</f>
        <v>4220</v>
      </c>
      <c r="D1091" s="5">
        <f>IFERROR(__xludf.DUMMYFUNCTION("""COMPUTED_VALUE"""),3950.0)</f>
        <v>3950</v>
      </c>
      <c r="E1091" s="5">
        <f>IFERROR(__xludf.DUMMYFUNCTION("""COMPUTED_VALUE"""),4200.0)</f>
        <v>4200</v>
      </c>
      <c r="F1091" s="5">
        <f>IFERROR(__xludf.DUMMYFUNCTION("""COMPUTED_VALUE"""),4.15135E7)</f>
        <v>41513500</v>
      </c>
      <c r="G1091" s="5">
        <f t="shared" si="1"/>
        <v>270</v>
      </c>
    </row>
    <row r="1092">
      <c r="A1092" s="4">
        <f>IFERROR(__xludf.DUMMYFUNCTION("""COMPUTED_VALUE"""),45482.66666666667)</f>
        <v>45482.66667</v>
      </c>
      <c r="B1092" s="5">
        <f>IFERROR(__xludf.DUMMYFUNCTION("""COMPUTED_VALUE"""),4220.0)</f>
        <v>4220</v>
      </c>
      <c r="C1092" s="5">
        <f>IFERROR(__xludf.DUMMYFUNCTION("""COMPUTED_VALUE"""),4240.0)</f>
        <v>4240</v>
      </c>
      <c r="D1092" s="5">
        <f>IFERROR(__xludf.DUMMYFUNCTION("""COMPUTED_VALUE"""),4110.0)</f>
        <v>4110</v>
      </c>
      <c r="E1092" s="5">
        <f>IFERROR(__xludf.DUMMYFUNCTION("""COMPUTED_VALUE"""),4180.0)</f>
        <v>4180</v>
      </c>
      <c r="F1092" s="5">
        <f>IFERROR(__xludf.DUMMYFUNCTION("""COMPUTED_VALUE"""),3.65927E7)</f>
        <v>36592700</v>
      </c>
      <c r="G1092" s="5">
        <f t="shared" si="1"/>
        <v>130</v>
      </c>
    </row>
    <row r="1093">
      <c r="A1093" s="4">
        <f>IFERROR(__xludf.DUMMYFUNCTION("""COMPUTED_VALUE"""),45483.66666666667)</f>
        <v>45483.66667</v>
      </c>
      <c r="B1093" s="5">
        <f>IFERROR(__xludf.DUMMYFUNCTION("""COMPUTED_VALUE"""),4180.0)</f>
        <v>4180</v>
      </c>
      <c r="C1093" s="5">
        <f>IFERROR(__xludf.DUMMYFUNCTION("""COMPUTED_VALUE"""),4450.0)</f>
        <v>4450</v>
      </c>
      <c r="D1093" s="5">
        <f>IFERROR(__xludf.DUMMYFUNCTION("""COMPUTED_VALUE"""),4050.0)</f>
        <v>4050</v>
      </c>
      <c r="E1093" s="5">
        <f>IFERROR(__xludf.DUMMYFUNCTION("""COMPUTED_VALUE"""),4050.0)</f>
        <v>4050</v>
      </c>
      <c r="F1093" s="5">
        <f>IFERROR(__xludf.DUMMYFUNCTION("""COMPUTED_VALUE"""),1.058968E8)</f>
        <v>105896800</v>
      </c>
      <c r="G1093" s="5">
        <f t="shared" si="1"/>
        <v>400</v>
      </c>
    </row>
    <row r="1094">
      <c r="A1094" s="4">
        <f>IFERROR(__xludf.DUMMYFUNCTION("""COMPUTED_VALUE"""),45484.66666666667)</f>
        <v>45484.66667</v>
      </c>
      <c r="B1094" s="5">
        <f>IFERROR(__xludf.DUMMYFUNCTION("""COMPUTED_VALUE"""),4000.0)</f>
        <v>4000</v>
      </c>
      <c r="C1094" s="5">
        <f>IFERROR(__xludf.DUMMYFUNCTION("""COMPUTED_VALUE"""),4150.0)</f>
        <v>4150</v>
      </c>
      <c r="D1094" s="5">
        <f>IFERROR(__xludf.DUMMYFUNCTION("""COMPUTED_VALUE"""),3980.0)</f>
        <v>3980</v>
      </c>
      <c r="E1094" s="5">
        <f>IFERROR(__xludf.DUMMYFUNCTION("""COMPUTED_VALUE"""),4010.0)</f>
        <v>4010</v>
      </c>
      <c r="F1094" s="5">
        <f>IFERROR(__xludf.DUMMYFUNCTION("""COMPUTED_VALUE"""),5.26363E7)</f>
        <v>52636300</v>
      </c>
      <c r="G1094" s="5">
        <f t="shared" si="1"/>
        <v>170</v>
      </c>
    </row>
    <row r="1095">
      <c r="A1095" s="4">
        <f>IFERROR(__xludf.DUMMYFUNCTION("""COMPUTED_VALUE"""),45485.66666666667)</f>
        <v>45485.66667</v>
      </c>
      <c r="B1095" s="5">
        <f>IFERROR(__xludf.DUMMYFUNCTION("""COMPUTED_VALUE"""),4040.0)</f>
        <v>4040</v>
      </c>
      <c r="C1095" s="5">
        <f>IFERROR(__xludf.DUMMYFUNCTION("""COMPUTED_VALUE"""),4120.0)</f>
        <v>4120</v>
      </c>
      <c r="D1095" s="5">
        <f>IFERROR(__xludf.DUMMYFUNCTION("""COMPUTED_VALUE"""),4030.0)</f>
        <v>4030</v>
      </c>
      <c r="E1095" s="5">
        <f>IFERROR(__xludf.DUMMYFUNCTION("""COMPUTED_VALUE"""),4090.0)</f>
        <v>4090</v>
      </c>
      <c r="F1095" s="5">
        <f>IFERROR(__xludf.DUMMYFUNCTION("""COMPUTED_VALUE"""),2.00738E7)</f>
        <v>20073800</v>
      </c>
      <c r="G1095" s="5">
        <f t="shared" si="1"/>
        <v>110</v>
      </c>
    </row>
    <row r="1096">
      <c r="A1096" s="4">
        <f>IFERROR(__xludf.DUMMYFUNCTION("""COMPUTED_VALUE"""),45488.66666666667)</f>
        <v>45488.66667</v>
      </c>
      <c r="B1096" s="5">
        <f>IFERROR(__xludf.DUMMYFUNCTION("""COMPUTED_VALUE"""),4110.0)</f>
        <v>4110</v>
      </c>
      <c r="C1096" s="5">
        <f>IFERROR(__xludf.DUMMYFUNCTION("""COMPUTED_VALUE"""),4170.0)</f>
        <v>4170</v>
      </c>
      <c r="D1096" s="5">
        <f>IFERROR(__xludf.DUMMYFUNCTION("""COMPUTED_VALUE"""),4030.0)</f>
        <v>4030</v>
      </c>
      <c r="E1096" s="5">
        <f>IFERROR(__xludf.DUMMYFUNCTION("""COMPUTED_VALUE"""),4060.0)</f>
        <v>4060</v>
      </c>
      <c r="F1096" s="5">
        <f>IFERROR(__xludf.DUMMYFUNCTION("""COMPUTED_VALUE"""),2.34453E7)</f>
        <v>23445300</v>
      </c>
      <c r="G1096" s="5">
        <f t="shared" si="1"/>
        <v>140</v>
      </c>
    </row>
    <row r="1097">
      <c r="A1097" s="4">
        <f>IFERROR(__xludf.DUMMYFUNCTION("""COMPUTED_VALUE"""),45489.66666666667)</f>
        <v>45489.66667</v>
      </c>
      <c r="B1097" s="5">
        <f>IFERROR(__xludf.DUMMYFUNCTION("""COMPUTED_VALUE"""),4090.0)</f>
        <v>4090</v>
      </c>
      <c r="C1097" s="5">
        <f>IFERROR(__xludf.DUMMYFUNCTION("""COMPUTED_VALUE"""),4120.0)</f>
        <v>4120</v>
      </c>
      <c r="D1097" s="5">
        <f>IFERROR(__xludf.DUMMYFUNCTION("""COMPUTED_VALUE"""),4050.0)</f>
        <v>4050</v>
      </c>
      <c r="E1097" s="5">
        <f>IFERROR(__xludf.DUMMYFUNCTION("""COMPUTED_VALUE"""),4060.0)</f>
        <v>4060</v>
      </c>
      <c r="F1097" s="5">
        <f>IFERROR(__xludf.DUMMYFUNCTION("""COMPUTED_VALUE"""),1.60388E7)</f>
        <v>16038800</v>
      </c>
      <c r="G1097" s="5">
        <f t="shared" si="1"/>
        <v>70</v>
      </c>
    </row>
    <row r="1098">
      <c r="A1098" s="4">
        <f>IFERROR(__xludf.DUMMYFUNCTION("""COMPUTED_VALUE"""),45490.66666666667)</f>
        <v>45490.66667</v>
      </c>
      <c r="B1098" s="5">
        <f>IFERROR(__xludf.DUMMYFUNCTION("""COMPUTED_VALUE"""),4120.0)</f>
        <v>4120</v>
      </c>
      <c r="C1098" s="5">
        <f>IFERROR(__xludf.DUMMYFUNCTION("""COMPUTED_VALUE"""),4120.0)</f>
        <v>4120</v>
      </c>
      <c r="D1098" s="5">
        <f>IFERROR(__xludf.DUMMYFUNCTION("""COMPUTED_VALUE"""),4050.0)</f>
        <v>4050</v>
      </c>
      <c r="E1098" s="5">
        <f>IFERROR(__xludf.DUMMYFUNCTION("""COMPUTED_VALUE"""),4070.0)</f>
        <v>4070</v>
      </c>
      <c r="F1098" s="5">
        <f>IFERROR(__xludf.DUMMYFUNCTION("""COMPUTED_VALUE"""),1.33972E7)</f>
        <v>13397200</v>
      </c>
      <c r="G1098" s="5">
        <f t="shared" si="1"/>
        <v>70</v>
      </c>
    </row>
    <row r="1099">
      <c r="A1099" s="4">
        <f>IFERROR(__xludf.DUMMYFUNCTION("""COMPUTED_VALUE"""),45491.66666666667)</f>
        <v>45491.66667</v>
      </c>
      <c r="B1099" s="5">
        <f>IFERROR(__xludf.DUMMYFUNCTION("""COMPUTED_VALUE"""),4070.0)</f>
        <v>4070</v>
      </c>
      <c r="C1099" s="5">
        <f>IFERROR(__xludf.DUMMYFUNCTION("""COMPUTED_VALUE"""),4160.0)</f>
        <v>4160</v>
      </c>
      <c r="D1099" s="5">
        <f>IFERROR(__xludf.DUMMYFUNCTION("""COMPUTED_VALUE"""),4070.0)</f>
        <v>4070</v>
      </c>
      <c r="E1099" s="5">
        <f>IFERROR(__xludf.DUMMYFUNCTION("""COMPUTED_VALUE"""),4080.0)</f>
        <v>4080</v>
      </c>
      <c r="F1099" s="5">
        <f>IFERROR(__xludf.DUMMYFUNCTION("""COMPUTED_VALUE"""),2.1104E7)</f>
        <v>21104000</v>
      </c>
      <c r="G1099" s="5">
        <f t="shared" si="1"/>
        <v>90</v>
      </c>
    </row>
    <row r="1100">
      <c r="A1100" s="4">
        <f>IFERROR(__xludf.DUMMYFUNCTION("""COMPUTED_VALUE"""),45492.66666666667)</f>
        <v>45492.66667</v>
      </c>
      <c r="B1100" s="5">
        <f>IFERROR(__xludf.DUMMYFUNCTION("""COMPUTED_VALUE"""),4090.0)</f>
        <v>4090</v>
      </c>
      <c r="C1100" s="5">
        <f>IFERROR(__xludf.DUMMYFUNCTION("""COMPUTED_VALUE"""),4110.0)</f>
        <v>4110</v>
      </c>
      <c r="D1100" s="5">
        <f>IFERROR(__xludf.DUMMYFUNCTION("""COMPUTED_VALUE"""),4040.0)</f>
        <v>4040</v>
      </c>
      <c r="E1100" s="5">
        <f>IFERROR(__xludf.DUMMYFUNCTION("""COMPUTED_VALUE"""),4060.0)</f>
        <v>4060</v>
      </c>
      <c r="F1100" s="5">
        <f>IFERROR(__xludf.DUMMYFUNCTION("""COMPUTED_VALUE"""),1.56049E7)</f>
        <v>15604900</v>
      </c>
      <c r="G1100" s="5">
        <f t="shared" si="1"/>
        <v>70</v>
      </c>
    </row>
    <row r="1101">
      <c r="A1101" s="4">
        <f>IFERROR(__xludf.DUMMYFUNCTION("""COMPUTED_VALUE"""),45495.66666666667)</f>
        <v>45495.66667</v>
      </c>
      <c r="B1101" s="5">
        <f>IFERROR(__xludf.DUMMYFUNCTION("""COMPUTED_VALUE"""),4090.0)</f>
        <v>4090</v>
      </c>
      <c r="C1101" s="5">
        <f>IFERROR(__xludf.DUMMYFUNCTION("""COMPUTED_VALUE"""),4160.0)</f>
        <v>4160</v>
      </c>
      <c r="D1101" s="5">
        <f>IFERROR(__xludf.DUMMYFUNCTION("""COMPUTED_VALUE"""),4060.0)</f>
        <v>4060</v>
      </c>
      <c r="E1101" s="5">
        <f>IFERROR(__xludf.DUMMYFUNCTION("""COMPUTED_VALUE"""),4120.0)</f>
        <v>4120</v>
      </c>
      <c r="F1101" s="5">
        <f>IFERROR(__xludf.DUMMYFUNCTION("""COMPUTED_VALUE"""),1.32262E7)</f>
        <v>13226200</v>
      </c>
      <c r="G1101" s="5">
        <f t="shared" si="1"/>
        <v>100</v>
      </c>
    </row>
    <row r="1102">
      <c r="A1102" s="4">
        <f>IFERROR(__xludf.DUMMYFUNCTION("""COMPUTED_VALUE"""),45496.66666666667)</f>
        <v>45496.66667</v>
      </c>
      <c r="B1102" s="5">
        <f>IFERROR(__xludf.DUMMYFUNCTION("""COMPUTED_VALUE"""),4130.0)</f>
        <v>4130</v>
      </c>
      <c r="C1102" s="5">
        <f>IFERROR(__xludf.DUMMYFUNCTION("""COMPUTED_VALUE"""),4150.0)</f>
        <v>4150</v>
      </c>
      <c r="D1102" s="5">
        <f>IFERROR(__xludf.DUMMYFUNCTION("""COMPUTED_VALUE"""),4060.0)</f>
        <v>4060</v>
      </c>
      <c r="E1102" s="5">
        <f>IFERROR(__xludf.DUMMYFUNCTION("""COMPUTED_VALUE"""),4060.0)</f>
        <v>4060</v>
      </c>
      <c r="F1102" s="5">
        <f>IFERROR(__xludf.DUMMYFUNCTION("""COMPUTED_VALUE"""),1.51559E7)</f>
        <v>15155900</v>
      </c>
      <c r="G1102" s="5">
        <f t="shared" si="1"/>
        <v>90</v>
      </c>
    </row>
    <row r="1103">
      <c r="A1103" s="4">
        <f>IFERROR(__xludf.DUMMYFUNCTION("""COMPUTED_VALUE"""),45497.66666666667)</f>
        <v>45497.66667</v>
      </c>
      <c r="B1103" s="5">
        <f>IFERROR(__xludf.DUMMYFUNCTION("""COMPUTED_VALUE"""),4080.0)</f>
        <v>4080</v>
      </c>
      <c r="C1103" s="5">
        <f>IFERROR(__xludf.DUMMYFUNCTION("""COMPUTED_VALUE"""),4100.0)</f>
        <v>4100</v>
      </c>
      <c r="D1103" s="5">
        <f>IFERROR(__xludf.DUMMYFUNCTION("""COMPUTED_VALUE"""),4040.0)</f>
        <v>4040</v>
      </c>
      <c r="E1103" s="5">
        <f>IFERROR(__xludf.DUMMYFUNCTION("""COMPUTED_VALUE"""),4060.0)</f>
        <v>4060</v>
      </c>
      <c r="F1103" s="5">
        <f>IFERROR(__xludf.DUMMYFUNCTION("""COMPUTED_VALUE"""),7936900.0)</f>
        <v>7936900</v>
      </c>
      <c r="G1103" s="5">
        <f t="shared" si="1"/>
        <v>60</v>
      </c>
    </row>
    <row r="1104">
      <c r="A1104" s="4">
        <f>IFERROR(__xludf.DUMMYFUNCTION("""COMPUTED_VALUE"""),45498.66666666667)</f>
        <v>45498.66667</v>
      </c>
      <c r="B1104" s="5">
        <f>IFERROR(__xludf.DUMMYFUNCTION("""COMPUTED_VALUE"""),4050.0)</f>
        <v>4050</v>
      </c>
      <c r="C1104" s="5">
        <f>IFERROR(__xludf.DUMMYFUNCTION("""COMPUTED_VALUE"""),4080.0)</f>
        <v>4080</v>
      </c>
      <c r="D1104" s="5">
        <f>IFERROR(__xludf.DUMMYFUNCTION("""COMPUTED_VALUE"""),3900.0)</f>
        <v>3900</v>
      </c>
      <c r="E1104" s="5">
        <f>IFERROR(__xludf.DUMMYFUNCTION("""COMPUTED_VALUE"""),3980.0)</f>
        <v>3980</v>
      </c>
      <c r="F1104" s="5">
        <f>IFERROR(__xludf.DUMMYFUNCTION("""COMPUTED_VALUE"""),3.13018E7)</f>
        <v>31301800</v>
      </c>
      <c r="G1104" s="5">
        <f t="shared" si="1"/>
        <v>180</v>
      </c>
    </row>
    <row r="1105">
      <c r="A1105" s="4">
        <f>IFERROR(__xludf.DUMMYFUNCTION("""COMPUTED_VALUE"""),45499.66666666667)</f>
        <v>45499.66667</v>
      </c>
      <c r="B1105" s="5">
        <f>IFERROR(__xludf.DUMMYFUNCTION("""COMPUTED_VALUE"""),3990.0)</f>
        <v>3990</v>
      </c>
      <c r="C1105" s="5">
        <f>IFERROR(__xludf.DUMMYFUNCTION("""COMPUTED_VALUE"""),4070.0)</f>
        <v>4070</v>
      </c>
      <c r="D1105" s="5">
        <f>IFERROR(__xludf.DUMMYFUNCTION("""COMPUTED_VALUE"""),3980.0)</f>
        <v>3980</v>
      </c>
      <c r="E1105" s="5">
        <f>IFERROR(__xludf.DUMMYFUNCTION("""COMPUTED_VALUE"""),4010.0)</f>
        <v>4010</v>
      </c>
      <c r="F1105" s="5">
        <f>IFERROR(__xludf.DUMMYFUNCTION("""COMPUTED_VALUE"""),8829600.0)</f>
        <v>8829600</v>
      </c>
      <c r="G1105" s="5">
        <f t="shared" si="1"/>
        <v>90</v>
      </c>
    </row>
    <row r="1106">
      <c r="A1106" s="4">
        <f>IFERROR(__xludf.DUMMYFUNCTION("""COMPUTED_VALUE"""),45502.66666666667)</f>
        <v>45502.66667</v>
      </c>
      <c r="B1106" s="5">
        <f>IFERROR(__xludf.DUMMYFUNCTION("""COMPUTED_VALUE"""),4030.0)</f>
        <v>4030</v>
      </c>
      <c r="C1106" s="5">
        <f>IFERROR(__xludf.DUMMYFUNCTION("""COMPUTED_VALUE"""),4080.0)</f>
        <v>4080</v>
      </c>
      <c r="D1106" s="5">
        <f>IFERROR(__xludf.DUMMYFUNCTION("""COMPUTED_VALUE"""),3980.0)</f>
        <v>3980</v>
      </c>
      <c r="E1106" s="5">
        <f>IFERROR(__xludf.DUMMYFUNCTION("""COMPUTED_VALUE"""),3990.0)</f>
        <v>3990</v>
      </c>
      <c r="F1106" s="5">
        <f>IFERROR(__xludf.DUMMYFUNCTION("""COMPUTED_VALUE"""),1.29875E7)</f>
        <v>12987500</v>
      </c>
      <c r="G1106" s="5">
        <f t="shared" si="1"/>
        <v>100</v>
      </c>
    </row>
    <row r="1107">
      <c r="A1107" s="4">
        <f>IFERROR(__xludf.DUMMYFUNCTION("""COMPUTED_VALUE"""),45503.66666666667)</f>
        <v>45503.66667</v>
      </c>
      <c r="B1107" s="5">
        <f>IFERROR(__xludf.DUMMYFUNCTION("""COMPUTED_VALUE"""),4000.0)</f>
        <v>4000</v>
      </c>
      <c r="C1107" s="5">
        <f>IFERROR(__xludf.DUMMYFUNCTION("""COMPUTED_VALUE"""),4020.0)</f>
        <v>4020</v>
      </c>
      <c r="D1107" s="5">
        <f>IFERROR(__xludf.DUMMYFUNCTION("""COMPUTED_VALUE"""),3900.0)</f>
        <v>3900</v>
      </c>
      <c r="E1107" s="5">
        <f>IFERROR(__xludf.DUMMYFUNCTION("""COMPUTED_VALUE"""),3900.0)</f>
        <v>3900</v>
      </c>
      <c r="F1107" s="5">
        <f>IFERROR(__xludf.DUMMYFUNCTION("""COMPUTED_VALUE"""),1.08851E7)</f>
        <v>10885100</v>
      </c>
      <c r="G1107" s="5">
        <f t="shared" si="1"/>
        <v>120</v>
      </c>
    </row>
    <row r="1108">
      <c r="A1108" s="4">
        <f>IFERROR(__xludf.DUMMYFUNCTION("""COMPUTED_VALUE"""),45504.66666666667)</f>
        <v>45504.66667</v>
      </c>
      <c r="B1108" s="5">
        <f>IFERROR(__xludf.DUMMYFUNCTION("""COMPUTED_VALUE"""),3910.0)</f>
        <v>3910</v>
      </c>
      <c r="C1108" s="5">
        <f>IFERROR(__xludf.DUMMYFUNCTION("""COMPUTED_VALUE"""),3940.0)</f>
        <v>3940</v>
      </c>
      <c r="D1108" s="5">
        <f>IFERROR(__xludf.DUMMYFUNCTION("""COMPUTED_VALUE"""),3880.0)</f>
        <v>3880</v>
      </c>
      <c r="E1108" s="5">
        <f>IFERROR(__xludf.DUMMYFUNCTION("""COMPUTED_VALUE"""),3910.0)</f>
        <v>3910</v>
      </c>
      <c r="F1108" s="5">
        <f>IFERROR(__xludf.DUMMYFUNCTION("""COMPUTED_VALUE"""),9188200.0)</f>
        <v>9188200</v>
      </c>
      <c r="G1108" s="5">
        <f t="shared" si="1"/>
        <v>60</v>
      </c>
    </row>
    <row r="1109">
      <c r="A1109" s="4">
        <f>IFERROR(__xludf.DUMMYFUNCTION("""COMPUTED_VALUE"""),45505.66666666667)</f>
        <v>45505.66667</v>
      </c>
      <c r="B1109" s="5">
        <f>IFERROR(__xludf.DUMMYFUNCTION("""COMPUTED_VALUE"""),3780.0)</f>
        <v>3780</v>
      </c>
      <c r="C1109" s="5">
        <f>IFERROR(__xludf.DUMMYFUNCTION("""COMPUTED_VALUE"""),3880.0)</f>
        <v>3880</v>
      </c>
      <c r="D1109" s="5">
        <f>IFERROR(__xludf.DUMMYFUNCTION("""COMPUTED_VALUE"""),3730.0)</f>
        <v>3730</v>
      </c>
      <c r="E1109" s="5">
        <f>IFERROR(__xludf.DUMMYFUNCTION("""COMPUTED_VALUE"""),3850.0)</f>
        <v>3850</v>
      </c>
      <c r="F1109" s="5">
        <f>IFERROR(__xludf.DUMMYFUNCTION("""COMPUTED_VALUE"""),3.06719E7)</f>
        <v>30671900</v>
      </c>
      <c r="G1109" s="5">
        <f t="shared" si="1"/>
        <v>180</v>
      </c>
    </row>
    <row r="1110">
      <c r="A1110" s="4">
        <f>IFERROR(__xludf.DUMMYFUNCTION("""COMPUTED_VALUE"""),45506.66666666667)</f>
        <v>45506.66667</v>
      </c>
      <c r="B1110" s="5">
        <f>IFERROR(__xludf.DUMMYFUNCTION("""COMPUTED_VALUE"""),3850.0)</f>
        <v>3850</v>
      </c>
      <c r="C1110" s="5">
        <f>IFERROR(__xludf.DUMMYFUNCTION("""COMPUTED_VALUE"""),3950.0)</f>
        <v>3950</v>
      </c>
      <c r="D1110" s="5">
        <f>IFERROR(__xludf.DUMMYFUNCTION("""COMPUTED_VALUE"""),3820.0)</f>
        <v>3820</v>
      </c>
      <c r="E1110" s="5">
        <f>IFERROR(__xludf.DUMMYFUNCTION("""COMPUTED_VALUE"""),3860.0)</f>
        <v>3860</v>
      </c>
      <c r="F1110" s="5">
        <f>IFERROR(__xludf.DUMMYFUNCTION("""COMPUTED_VALUE"""),1.45974E7)</f>
        <v>14597400</v>
      </c>
      <c r="G1110" s="5">
        <f t="shared" si="1"/>
        <v>130</v>
      </c>
    </row>
    <row r="1111">
      <c r="A1111" s="4">
        <f>IFERROR(__xludf.DUMMYFUNCTION("""COMPUTED_VALUE"""),45509.66666666667)</f>
        <v>45509.66667</v>
      </c>
      <c r="B1111" s="5">
        <f>IFERROR(__xludf.DUMMYFUNCTION("""COMPUTED_VALUE"""),3860.0)</f>
        <v>3860</v>
      </c>
      <c r="C1111" s="5">
        <f>IFERROR(__xludf.DUMMYFUNCTION("""COMPUTED_VALUE"""),3860.0)</f>
        <v>3860</v>
      </c>
      <c r="D1111" s="5">
        <f>IFERROR(__xludf.DUMMYFUNCTION("""COMPUTED_VALUE"""),3750.0)</f>
        <v>3750</v>
      </c>
      <c r="E1111" s="5">
        <f>IFERROR(__xludf.DUMMYFUNCTION("""COMPUTED_VALUE"""),3780.0)</f>
        <v>3780</v>
      </c>
      <c r="F1111" s="5">
        <f>IFERROR(__xludf.DUMMYFUNCTION("""COMPUTED_VALUE"""),1.86866E7)</f>
        <v>18686600</v>
      </c>
      <c r="G1111" s="5">
        <f t="shared" si="1"/>
        <v>110</v>
      </c>
    </row>
    <row r="1112">
      <c r="A1112" s="4">
        <f>IFERROR(__xludf.DUMMYFUNCTION("""COMPUTED_VALUE"""),45510.66666666667)</f>
        <v>45510.66667</v>
      </c>
      <c r="B1112" s="5">
        <f>IFERROR(__xludf.DUMMYFUNCTION("""COMPUTED_VALUE"""),3820.0)</f>
        <v>3820</v>
      </c>
      <c r="C1112" s="5">
        <f>IFERROR(__xludf.DUMMYFUNCTION("""COMPUTED_VALUE"""),3890.0)</f>
        <v>3890</v>
      </c>
      <c r="D1112" s="5">
        <f>IFERROR(__xludf.DUMMYFUNCTION("""COMPUTED_VALUE"""),3770.0)</f>
        <v>3770</v>
      </c>
      <c r="E1112" s="5">
        <f>IFERROR(__xludf.DUMMYFUNCTION("""COMPUTED_VALUE"""),3790.0)</f>
        <v>3790</v>
      </c>
      <c r="F1112" s="5">
        <f>IFERROR(__xludf.DUMMYFUNCTION("""COMPUTED_VALUE"""),1.8645E7)</f>
        <v>18645000</v>
      </c>
      <c r="G1112" s="5">
        <f t="shared" si="1"/>
        <v>120</v>
      </c>
    </row>
    <row r="1113">
      <c r="A1113" s="4">
        <f>IFERROR(__xludf.DUMMYFUNCTION("""COMPUTED_VALUE"""),45511.66666666667)</f>
        <v>45511.66667</v>
      </c>
      <c r="B1113" s="5">
        <f>IFERROR(__xludf.DUMMYFUNCTION("""COMPUTED_VALUE"""),3800.0)</f>
        <v>3800</v>
      </c>
      <c r="C1113" s="5">
        <f>IFERROR(__xludf.DUMMYFUNCTION("""COMPUTED_VALUE"""),3850.0)</f>
        <v>3850</v>
      </c>
      <c r="D1113" s="5">
        <f>IFERROR(__xludf.DUMMYFUNCTION("""COMPUTED_VALUE"""),3780.0)</f>
        <v>3780</v>
      </c>
      <c r="E1113" s="5">
        <f>IFERROR(__xludf.DUMMYFUNCTION("""COMPUTED_VALUE"""),3780.0)</f>
        <v>3780</v>
      </c>
      <c r="F1113" s="5">
        <f>IFERROR(__xludf.DUMMYFUNCTION("""COMPUTED_VALUE"""),1.41067E7)</f>
        <v>14106700</v>
      </c>
      <c r="G1113" s="5">
        <f t="shared" si="1"/>
        <v>70</v>
      </c>
    </row>
    <row r="1114">
      <c r="A1114" s="4">
        <f>IFERROR(__xludf.DUMMYFUNCTION("""COMPUTED_VALUE"""),45512.66666666667)</f>
        <v>45512.66667</v>
      </c>
      <c r="B1114" s="5">
        <f>IFERROR(__xludf.DUMMYFUNCTION("""COMPUTED_VALUE"""),3780.0)</f>
        <v>3780</v>
      </c>
      <c r="C1114" s="5">
        <f>IFERROR(__xludf.DUMMYFUNCTION("""COMPUTED_VALUE"""),3800.0)</f>
        <v>3800</v>
      </c>
      <c r="D1114" s="5">
        <f>IFERROR(__xludf.DUMMYFUNCTION("""COMPUTED_VALUE"""),3740.0)</f>
        <v>3740</v>
      </c>
      <c r="E1114" s="5">
        <f>IFERROR(__xludf.DUMMYFUNCTION("""COMPUTED_VALUE"""),3750.0)</f>
        <v>3750</v>
      </c>
      <c r="F1114" s="5">
        <f>IFERROR(__xludf.DUMMYFUNCTION("""COMPUTED_VALUE"""),1.42131E7)</f>
        <v>14213100</v>
      </c>
      <c r="G1114" s="5">
        <f t="shared" si="1"/>
        <v>60</v>
      </c>
    </row>
    <row r="1115">
      <c r="A1115" s="4">
        <f>IFERROR(__xludf.DUMMYFUNCTION("""COMPUTED_VALUE"""),45513.66666666667)</f>
        <v>45513.66667</v>
      </c>
      <c r="B1115" s="5">
        <f>IFERROR(__xludf.DUMMYFUNCTION("""COMPUTED_VALUE"""),3770.0)</f>
        <v>3770</v>
      </c>
      <c r="C1115" s="5">
        <f>IFERROR(__xludf.DUMMYFUNCTION("""COMPUTED_VALUE"""),3840.0)</f>
        <v>3840</v>
      </c>
      <c r="D1115" s="5">
        <f>IFERROR(__xludf.DUMMYFUNCTION("""COMPUTED_VALUE"""),3770.0)</f>
        <v>3770</v>
      </c>
      <c r="E1115" s="5">
        <f>IFERROR(__xludf.DUMMYFUNCTION("""COMPUTED_VALUE"""),3770.0)</f>
        <v>3770</v>
      </c>
      <c r="F1115" s="5">
        <f>IFERROR(__xludf.DUMMYFUNCTION("""COMPUTED_VALUE"""),1.14194E7)</f>
        <v>11419400</v>
      </c>
      <c r="G1115" s="5">
        <f t="shared" si="1"/>
        <v>90</v>
      </c>
    </row>
    <row r="1116">
      <c r="A1116" s="4">
        <f>IFERROR(__xludf.DUMMYFUNCTION("""COMPUTED_VALUE"""),45516.66666666667)</f>
        <v>45516.66667</v>
      </c>
      <c r="B1116" s="5">
        <f>IFERROR(__xludf.DUMMYFUNCTION("""COMPUTED_VALUE"""),3780.0)</f>
        <v>3780</v>
      </c>
      <c r="C1116" s="5">
        <f>IFERROR(__xludf.DUMMYFUNCTION("""COMPUTED_VALUE"""),3840.0)</f>
        <v>3840</v>
      </c>
      <c r="D1116" s="5">
        <f>IFERROR(__xludf.DUMMYFUNCTION("""COMPUTED_VALUE"""),3780.0)</f>
        <v>3780</v>
      </c>
      <c r="E1116" s="5">
        <f>IFERROR(__xludf.DUMMYFUNCTION("""COMPUTED_VALUE"""),3840.0)</f>
        <v>3840</v>
      </c>
      <c r="F1116" s="5">
        <f>IFERROR(__xludf.DUMMYFUNCTION("""COMPUTED_VALUE"""),9331500.0)</f>
        <v>9331500</v>
      </c>
      <c r="G1116" s="5">
        <f t="shared" si="1"/>
        <v>70</v>
      </c>
    </row>
    <row r="1117">
      <c r="A1117" s="4">
        <f>IFERROR(__xludf.DUMMYFUNCTION("""COMPUTED_VALUE"""),45517.66666666667)</f>
        <v>45517.66667</v>
      </c>
      <c r="B1117" s="5">
        <f>IFERROR(__xludf.DUMMYFUNCTION("""COMPUTED_VALUE"""),3850.0)</f>
        <v>3850</v>
      </c>
      <c r="C1117" s="5">
        <f>IFERROR(__xludf.DUMMYFUNCTION("""COMPUTED_VALUE"""),4030.0)</f>
        <v>4030</v>
      </c>
      <c r="D1117" s="5">
        <f>IFERROR(__xludf.DUMMYFUNCTION("""COMPUTED_VALUE"""),3830.0)</f>
        <v>3830</v>
      </c>
      <c r="E1117" s="5">
        <f>IFERROR(__xludf.DUMMYFUNCTION("""COMPUTED_VALUE"""),4000.0)</f>
        <v>4000</v>
      </c>
      <c r="F1117" s="5">
        <f>IFERROR(__xludf.DUMMYFUNCTION("""COMPUTED_VALUE"""),3.48824E7)</f>
        <v>34882400</v>
      </c>
      <c r="G1117" s="5">
        <f t="shared" si="1"/>
        <v>200</v>
      </c>
    </row>
    <row r="1118">
      <c r="A1118" s="4">
        <f>IFERROR(__xludf.DUMMYFUNCTION("""COMPUTED_VALUE"""),45518.66666666667)</f>
        <v>45518.66667</v>
      </c>
      <c r="B1118" s="5">
        <f>IFERROR(__xludf.DUMMYFUNCTION("""COMPUTED_VALUE"""),4040.0)</f>
        <v>4040</v>
      </c>
      <c r="C1118" s="5">
        <f>IFERROR(__xludf.DUMMYFUNCTION("""COMPUTED_VALUE"""),4120.0)</f>
        <v>4120</v>
      </c>
      <c r="D1118" s="5">
        <f>IFERROR(__xludf.DUMMYFUNCTION("""COMPUTED_VALUE"""),4020.0)</f>
        <v>4020</v>
      </c>
      <c r="E1118" s="5">
        <f>IFERROR(__xludf.DUMMYFUNCTION("""COMPUTED_VALUE"""),4060.0)</f>
        <v>4060</v>
      </c>
      <c r="F1118" s="5">
        <f>IFERROR(__xludf.DUMMYFUNCTION("""COMPUTED_VALUE"""),2.74923E7)</f>
        <v>27492300</v>
      </c>
      <c r="G1118" s="5">
        <f t="shared" si="1"/>
        <v>120</v>
      </c>
    </row>
    <row r="1119">
      <c r="A1119" s="4">
        <f>IFERROR(__xludf.DUMMYFUNCTION("""COMPUTED_VALUE"""),45519.66666666667)</f>
        <v>45519.66667</v>
      </c>
      <c r="B1119" s="5">
        <f>IFERROR(__xludf.DUMMYFUNCTION("""COMPUTED_VALUE"""),4070.0)</f>
        <v>4070</v>
      </c>
      <c r="C1119" s="5">
        <f>IFERROR(__xludf.DUMMYFUNCTION("""COMPUTED_VALUE"""),4100.0)</f>
        <v>4100</v>
      </c>
      <c r="D1119" s="5">
        <f>IFERROR(__xludf.DUMMYFUNCTION("""COMPUTED_VALUE"""),4000.0)</f>
        <v>4000</v>
      </c>
      <c r="E1119" s="5">
        <f>IFERROR(__xludf.DUMMYFUNCTION("""COMPUTED_VALUE"""),4010.0)</f>
        <v>4010</v>
      </c>
      <c r="F1119" s="5">
        <f>IFERROR(__xludf.DUMMYFUNCTION("""COMPUTED_VALUE"""),1.53069E7)</f>
        <v>15306900</v>
      </c>
      <c r="G1119" s="5">
        <f t="shared" si="1"/>
        <v>100</v>
      </c>
    </row>
    <row r="1120">
      <c r="A1120" s="4">
        <f>IFERROR(__xludf.DUMMYFUNCTION("""COMPUTED_VALUE"""),45520.66666666667)</f>
        <v>45520.66667</v>
      </c>
      <c r="B1120" s="5">
        <f>IFERROR(__xludf.DUMMYFUNCTION("""COMPUTED_VALUE"""),4030.0)</f>
        <v>4030</v>
      </c>
      <c r="C1120" s="5">
        <f>IFERROR(__xludf.DUMMYFUNCTION("""COMPUTED_VALUE"""),4080.0)</f>
        <v>4080</v>
      </c>
      <c r="D1120" s="5">
        <f>IFERROR(__xludf.DUMMYFUNCTION("""COMPUTED_VALUE"""),4030.0)</f>
        <v>4030</v>
      </c>
      <c r="E1120" s="5">
        <f>IFERROR(__xludf.DUMMYFUNCTION("""COMPUTED_VALUE"""),4050.0)</f>
        <v>4050</v>
      </c>
      <c r="F1120" s="5">
        <f>IFERROR(__xludf.DUMMYFUNCTION("""COMPUTED_VALUE"""),1.01111E7)</f>
        <v>10111100</v>
      </c>
      <c r="G1120" s="5">
        <f t="shared" si="1"/>
        <v>70</v>
      </c>
    </row>
    <row r="1121">
      <c r="A1121" s="4">
        <f>IFERROR(__xludf.DUMMYFUNCTION("""COMPUTED_VALUE"""),45523.66666666667)</f>
        <v>45523.66667</v>
      </c>
      <c r="B1121" s="5">
        <f>IFERROR(__xludf.DUMMYFUNCTION("""COMPUTED_VALUE"""),4060.0)</f>
        <v>4060</v>
      </c>
      <c r="C1121" s="5">
        <f>IFERROR(__xludf.DUMMYFUNCTION("""COMPUTED_VALUE"""),4210.0)</f>
        <v>4210</v>
      </c>
      <c r="D1121" s="5">
        <f>IFERROR(__xludf.DUMMYFUNCTION("""COMPUTED_VALUE"""),4060.0)</f>
        <v>4060</v>
      </c>
      <c r="E1121" s="5">
        <f>IFERROR(__xludf.DUMMYFUNCTION("""COMPUTED_VALUE"""),4130.0)</f>
        <v>4130</v>
      </c>
      <c r="F1121" s="5">
        <f>IFERROR(__xludf.DUMMYFUNCTION("""COMPUTED_VALUE"""),3.19201E7)</f>
        <v>31920100</v>
      </c>
      <c r="G1121" s="5">
        <f t="shared" si="1"/>
        <v>160</v>
      </c>
    </row>
    <row r="1122">
      <c r="A1122" s="4">
        <f>IFERROR(__xludf.DUMMYFUNCTION("""COMPUTED_VALUE"""),45524.66666666667)</f>
        <v>45524.66667</v>
      </c>
      <c r="B1122" s="5">
        <f>IFERROR(__xludf.DUMMYFUNCTION("""COMPUTED_VALUE"""),4160.0)</f>
        <v>4160</v>
      </c>
      <c r="C1122" s="5">
        <f>IFERROR(__xludf.DUMMYFUNCTION("""COMPUTED_VALUE"""),4190.0)</f>
        <v>4190</v>
      </c>
      <c r="D1122" s="5">
        <f>IFERROR(__xludf.DUMMYFUNCTION("""COMPUTED_VALUE"""),4120.0)</f>
        <v>4120</v>
      </c>
      <c r="E1122" s="5">
        <f>IFERROR(__xludf.DUMMYFUNCTION("""COMPUTED_VALUE"""),4160.0)</f>
        <v>4160</v>
      </c>
      <c r="F1122" s="5">
        <f>IFERROR(__xludf.DUMMYFUNCTION("""COMPUTED_VALUE"""),1.58043E7)</f>
        <v>15804300</v>
      </c>
      <c r="G1122" s="5">
        <f t="shared" si="1"/>
        <v>70</v>
      </c>
    </row>
    <row r="1123">
      <c r="A1123" s="4">
        <f>IFERROR(__xludf.DUMMYFUNCTION("""COMPUTED_VALUE"""),45525.66666666667)</f>
        <v>45525.66667</v>
      </c>
      <c r="B1123" s="5">
        <f>IFERROR(__xludf.DUMMYFUNCTION("""COMPUTED_VALUE"""),4180.0)</f>
        <v>4180</v>
      </c>
      <c r="C1123" s="5">
        <f>IFERROR(__xludf.DUMMYFUNCTION("""COMPUTED_VALUE"""),4190.0)</f>
        <v>4190</v>
      </c>
      <c r="D1123" s="5">
        <f>IFERROR(__xludf.DUMMYFUNCTION("""COMPUTED_VALUE"""),4070.0)</f>
        <v>4070</v>
      </c>
      <c r="E1123" s="5">
        <f>IFERROR(__xludf.DUMMYFUNCTION("""COMPUTED_VALUE"""),4070.0)</f>
        <v>4070</v>
      </c>
      <c r="F1123" s="5">
        <f>IFERROR(__xludf.DUMMYFUNCTION("""COMPUTED_VALUE"""),1.39328E7)</f>
        <v>13932800</v>
      </c>
      <c r="G1123" s="5">
        <f t="shared" si="1"/>
        <v>120</v>
      </c>
    </row>
    <row r="1124">
      <c r="A1124" s="4">
        <f>IFERROR(__xludf.DUMMYFUNCTION("""COMPUTED_VALUE"""),45526.66666666667)</f>
        <v>45526.66667</v>
      </c>
      <c r="B1124" s="5">
        <f>IFERROR(__xludf.DUMMYFUNCTION("""COMPUTED_VALUE"""),4060.0)</f>
        <v>4060</v>
      </c>
      <c r="C1124" s="5">
        <f>IFERROR(__xludf.DUMMYFUNCTION("""COMPUTED_VALUE"""),4060.0)</f>
        <v>4060</v>
      </c>
      <c r="D1124" s="5">
        <f>IFERROR(__xludf.DUMMYFUNCTION("""COMPUTED_VALUE"""),3990.0)</f>
        <v>3990</v>
      </c>
      <c r="E1124" s="5">
        <f>IFERROR(__xludf.DUMMYFUNCTION("""COMPUTED_VALUE"""),4000.0)</f>
        <v>4000</v>
      </c>
      <c r="F1124" s="5">
        <f>IFERROR(__xludf.DUMMYFUNCTION("""COMPUTED_VALUE"""),1.37943E7)</f>
        <v>13794300</v>
      </c>
      <c r="G1124" s="5">
        <f t="shared" si="1"/>
        <v>80</v>
      </c>
    </row>
    <row r="1125">
      <c r="A1125" s="4">
        <f>IFERROR(__xludf.DUMMYFUNCTION("""COMPUTED_VALUE"""),45527.66666666667)</f>
        <v>45527.66667</v>
      </c>
      <c r="B1125" s="5">
        <f>IFERROR(__xludf.DUMMYFUNCTION("""COMPUTED_VALUE"""),4020.0)</f>
        <v>4020</v>
      </c>
      <c r="C1125" s="5">
        <f>IFERROR(__xludf.DUMMYFUNCTION("""COMPUTED_VALUE"""),4080.0)</f>
        <v>4080</v>
      </c>
      <c r="D1125" s="5">
        <f>IFERROR(__xludf.DUMMYFUNCTION("""COMPUTED_VALUE"""),4020.0)</f>
        <v>4020</v>
      </c>
      <c r="E1125" s="5">
        <f>IFERROR(__xludf.DUMMYFUNCTION("""COMPUTED_VALUE"""),4040.0)</f>
        <v>4040</v>
      </c>
      <c r="F1125" s="5">
        <f>IFERROR(__xludf.DUMMYFUNCTION("""COMPUTED_VALUE"""),6368700.0)</f>
        <v>6368700</v>
      </c>
      <c r="G1125" s="5">
        <f t="shared" si="1"/>
        <v>80</v>
      </c>
    </row>
    <row r="1126">
      <c r="A1126" s="4">
        <f>IFERROR(__xludf.DUMMYFUNCTION("""COMPUTED_VALUE"""),45530.66666666667)</f>
        <v>45530.66667</v>
      </c>
      <c r="B1126" s="5">
        <f>IFERROR(__xludf.DUMMYFUNCTION("""COMPUTED_VALUE"""),4040.0)</f>
        <v>4040</v>
      </c>
      <c r="C1126" s="5">
        <f>IFERROR(__xludf.DUMMYFUNCTION("""COMPUTED_VALUE"""),4070.0)</f>
        <v>4070</v>
      </c>
      <c r="D1126" s="5">
        <f>IFERROR(__xludf.DUMMYFUNCTION("""COMPUTED_VALUE"""),4010.0)</f>
        <v>4010</v>
      </c>
      <c r="E1126" s="5">
        <f>IFERROR(__xludf.DUMMYFUNCTION("""COMPUTED_VALUE"""),4010.0)</f>
        <v>4010</v>
      </c>
      <c r="F1126" s="5">
        <f>IFERROR(__xludf.DUMMYFUNCTION("""COMPUTED_VALUE"""),1.33152E7)</f>
        <v>13315200</v>
      </c>
      <c r="G1126" s="5">
        <f t="shared" si="1"/>
        <v>60</v>
      </c>
    </row>
    <row r="1127">
      <c r="A1127" s="4">
        <f>IFERROR(__xludf.DUMMYFUNCTION("""COMPUTED_VALUE"""),45531.66666666667)</f>
        <v>45531.66667</v>
      </c>
      <c r="B1127" s="5">
        <f>IFERROR(__xludf.DUMMYFUNCTION("""COMPUTED_VALUE"""),4010.0)</f>
        <v>4010</v>
      </c>
      <c r="C1127" s="5">
        <f>IFERROR(__xludf.DUMMYFUNCTION("""COMPUTED_VALUE"""),4030.0)</f>
        <v>4030</v>
      </c>
      <c r="D1127" s="5">
        <f>IFERROR(__xludf.DUMMYFUNCTION("""COMPUTED_VALUE"""),3950.0)</f>
        <v>3950</v>
      </c>
      <c r="E1127" s="5">
        <f>IFERROR(__xludf.DUMMYFUNCTION("""COMPUTED_VALUE"""),3970.0)</f>
        <v>3970</v>
      </c>
      <c r="F1127" s="5">
        <f>IFERROR(__xludf.DUMMYFUNCTION("""COMPUTED_VALUE"""),1.75333E7)</f>
        <v>17533300</v>
      </c>
      <c r="G1127" s="5">
        <f t="shared" si="1"/>
        <v>80</v>
      </c>
    </row>
    <row r="1128">
      <c r="A1128" s="4">
        <f>IFERROR(__xludf.DUMMYFUNCTION("""COMPUTED_VALUE"""),45532.66666666667)</f>
        <v>45532.66667</v>
      </c>
      <c r="B1128" s="5">
        <f>IFERROR(__xludf.DUMMYFUNCTION("""COMPUTED_VALUE"""),3980.0)</f>
        <v>3980</v>
      </c>
      <c r="C1128" s="5">
        <f>IFERROR(__xludf.DUMMYFUNCTION("""COMPUTED_VALUE"""),4030.0)</f>
        <v>4030</v>
      </c>
      <c r="D1128" s="5">
        <f>IFERROR(__xludf.DUMMYFUNCTION("""COMPUTED_VALUE"""),3970.0)</f>
        <v>3970</v>
      </c>
      <c r="E1128" s="5">
        <f>IFERROR(__xludf.DUMMYFUNCTION("""COMPUTED_VALUE"""),4020.0)</f>
        <v>4020</v>
      </c>
      <c r="F1128" s="5">
        <f>IFERROR(__xludf.DUMMYFUNCTION("""COMPUTED_VALUE"""),7746300.0)</f>
        <v>7746300</v>
      </c>
      <c r="G1128" s="5">
        <f t="shared" si="1"/>
        <v>60</v>
      </c>
    </row>
    <row r="1129">
      <c r="A1129" s="4">
        <f>IFERROR(__xludf.DUMMYFUNCTION("""COMPUTED_VALUE"""),45533.66666666667)</f>
        <v>45533.66667</v>
      </c>
      <c r="B1129" s="5">
        <f>IFERROR(__xludf.DUMMYFUNCTION("""COMPUTED_VALUE"""),4050.0)</f>
        <v>4050</v>
      </c>
      <c r="C1129" s="5">
        <f>IFERROR(__xludf.DUMMYFUNCTION("""COMPUTED_VALUE"""),4130.0)</f>
        <v>4130</v>
      </c>
      <c r="D1129" s="5">
        <f>IFERROR(__xludf.DUMMYFUNCTION("""COMPUTED_VALUE"""),4020.0)</f>
        <v>4020</v>
      </c>
      <c r="E1129" s="5">
        <f>IFERROR(__xludf.DUMMYFUNCTION("""COMPUTED_VALUE"""),4020.0)</f>
        <v>4020</v>
      </c>
      <c r="F1129" s="5">
        <f>IFERROR(__xludf.DUMMYFUNCTION("""COMPUTED_VALUE"""),2.34273E7)</f>
        <v>23427300</v>
      </c>
      <c r="G1129" s="5">
        <f t="shared" si="1"/>
        <v>110</v>
      </c>
    </row>
    <row r="1130">
      <c r="A1130" s="4">
        <f>IFERROR(__xludf.DUMMYFUNCTION("""COMPUTED_VALUE"""),45534.66666666667)</f>
        <v>45534.66667</v>
      </c>
      <c r="B1130" s="5">
        <f>IFERROR(__xludf.DUMMYFUNCTION("""COMPUTED_VALUE"""),4050.0)</f>
        <v>4050</v>
      </c>
      <c r="C1130" s="5">
        <f>IFERROR(__xludf.DUMMYFUNCTION("""COMPUTED_VALUE"""),4060.0)</f>
        <v>4060</v>
      </c>
      <c r="D1130" s="5">
        <f>IFERROR(__xludf.DUMMYFUNCTION("""COMPUTED_VALUE"""),4000.0)</f>
        <v>4000</v>
      </c>
      <c r="E1130" s="5">
        <f>IFERROR(__xludf.DUMMYFUNCTION("""COMPUTED_VALUE"""),4010.0)</f>
        <v>4010</v>
      </c>
      <c r="F1130" s="5">
        <f>IFERROR(__xludf.DUMMYFUNCTION("""COMPUTED_VALUE"""),9952200.0)</f>
        <v>9952200</v>
      </c>
      <c r="G1130" s="5">
        <f t="shared" si="1"/>
        <v>60</v>
      </c>
    </row>
    <row r="1131">
      <c r="A1131" s="4">
        <f>IFERROR(__xludf.DUMMYFUNCTION("""COMPUTED_VALUE"""),45537.66666666667)</f>
        <v>45537.66667</v>
      </c>
      <c r="B1131" s="5">
        <f>IFERROR(__xludf.DUMMYFUNCTION("""COMPUTED_VALUE"""),4030.0)</f>
        <v>4030</v>
      </c>
      <c r="C1131" s="5">
        <f>IFERROR(__xludf.DUMMYFUNCTION("""COMPUTED_VALUE"""),4130.0)</f>
        <v>4130</v>
      </c>
      <c r="D1131" s="5">
        <f>IFERROR(__xludf.DUMMYFUNCTION("""COMPUTED_VALUE"""),4020.0)</f>
        <v>4020</v>
      </c>
      <c r="E1131" s="5">
        <f>IFERROR(__xludf.DUMMYFUNCTION("""COMPUTED_VALUE"""),4090.0)</f>
        <v>4090</v>
      </c>
      <c r="F1131" s="5">
        <f>IFERROR(__xludf.DUMMYFUNCTION("""COMPUTED_VALUE"""),1.73214E7)</f>
        <v>17321400</v>
      </c>
      <c r="G1131" s="5">
        <f t="shared" si="1"/>
        <v>120</v>
      </c>
    </row>
    <row r="1132">
      <c r="A1132" s="4">
        <f>IFERROR(__xludf.DUMMYFUNCTION("""COMPUTED_VALUE"""),45538.66666666667)</f>
        <v>45538.66667</v>
      </c>
      <c r="B1132" s="5">
        <f>IFERROR(__xludf.DUMMYFUNCTION("""COMPUTED_VALUE"""),4110.0)</f>
        <v>4110</v>
      </c>
      <c r="C1132" s="5">
        <f>IFERROR(__xludf.DUMMYFUNCTION("""COMPUTED_VALUE"""),4130.0)</f>
        <v>4130</v>
      </c>
      <c r="D1132" s="5">
        <f>IFERROR(__xludf.DUMMYFUNCTION("""COMPUTED_VALUE"""),4030.0)</f>
        <v>4030</v>
      </c>
      <c r="E1132" s="5">
        <f>IFERROR(__xludf.DUMMYFUNCTION("""COMPUTED_VALUE"""),4030.0)</f>
        <v>4030</v>
      </c>
      <c r="F1132" s="5">
        <f>IFERROR(__xludf.DUMMYFUNCTION("""COMPUTED_VALUE"""),7541300.0)</f>
        <v>7541300</v>
      </c>
      <c r="G1132" s="5">
        <f t="shared" si="1"/>
        <v>100</v>
      </c>
    </row>
    <row r="1133">
      <c r="A1133" s="4">
        <f>IFERROR(__xludf.DUMMYFUNCTION("""COMPUTED_VALUE"""),45539.66666666667)</f>
        <v>45539.66667</v>
      </c>
      <c r="B1133" s="5">
        <f>IFERROR(__xludf.DUMMYFUNCTION("""COMPUTED_VALUE"""),4020.0)</f>
        <v>4020</v>
      </c>
      <c r="C1133" s="5">
        <f>IFERROR(__xludf.DUMMYFUNCTION("""COMPUTED_VALUE"""),4040.0)</f>
        <v>4040</v>
      </c>
      <c r="D1133" s="5">
        <f>IFERROR(__xludf.DUMMYFUNCTION("""COMPUTED_VALUE"""),3980.0)</f>
        <v>3980</v>
      </c>
      <c r="E1133" s="5">
        <f>IFERROR(__xludf.DUMMYFUNCTION("""COMPUTED_VALUE"""),3980.0)</f>
        <v>3980</v>
      </c>
      <c r="F1133" s="5">
        <f>IFERROR(__xludf.DUMMYFUNCTION("""COMPUTED_VALUE"""),8886200.0)</f>
        <v>8886200</v>
      </c>
      <c r="G1133" s="5">
        <f t="shared" si="1"/>
        <v>60</v>
      </c>
    </row>
    <row r="1134">
      <c r="A1134" s="4">
        <f>IFERROR(__xludf.DUMMYFUNCTION("""COMPUTED_VALUE"""),45540.66666666667)</f>
        <v>45540.66667</v>
      </c>
      <c r="B1134" s="5">
        <f>IFERROR(__xludf.DUMMYFUNCTION("""COMPUTED_VALUE"""),3990.0)</f>
        <v>3990</v>
      </c>
      <c r="C1134" s="5">
        <f>IFERROR(__xludf.DUMMYFUNCTION("""COMPUTED_VALUE"""),4080.0)</f>
        <v>4080</v>
      </c>
      <c r="D1134" s="5">
        <f>IFERROR(__xludf.DUMMYFUNCTION("""COMPUTED_VALUE"""),3980.0)</f>
        <v>3980</v>
      </c>
      <c r="E1134" s="5">
        <f>IFERROR(__xludf.DUMMYFUNCTION("""COMPUTED_VALUE"""),4030.0)</f>
        <v>4030</v>
      </c>
      <c r="F1134" s="5">
        <f>IFERROR(__xludf.DUMMYFUNCTION("""COMPUTED_VALUE"""),8784000.0)</f>
        <v>8784000</v>
      </c>
      <c r="G1134" s="5">
        <f t="shared" si="1"/>
        <v>100</v>
      </c>
    </row>
    <row r="1135">
      <c r="A1135" s="4">
        <f>IFERROR(__xludf.DUMMYFUNCTION("""COMPUTED_VALUE"""),45541.66666666667)</f>
        <v>45541.66667</v>
      </c>
      <c r="B1135" s="5">
        <f>IFERROR(__xludf.DUMMYFUNCTION("""COMPUTED_VALUE"""),4030.0)</f>
        <v>4030</v>
      </c>
      <c r="C1135" s="5">
        <f>IFERROR(__xludf.DUMMYFUNCTION("""COMPUTED_VALUE"""),4090.0)</f>
        <v>4090</v>
      </c>
      <c r="D1135" s="5">
        <f>IFERROR(__xludf.DUMMYFUNCTION("""COMPUTED_VALUE"""),4020.0)</f>
        <v>4020</v>
      </c>
      <c r="E1135" s="5">
        <f>IFERROR(__xludf.DUMMYFUNCTION("""COMPUTED_VALUE"""),4020.0)</f>
        <v>4020</v>
      </c>
      <c r="F1135" s="5">
        <f>IFERROR(__xludf.DUMMYFUNCTION("""COMPUTED_VALUE"""),9203800.0)</f>
        <v>9203800</v>
      </c>
      <c r="G1135" s="5">
        <f t="shared" si="1"/>
        <v>70</v>
      </c>
    </row>
    <row r="1136">
      <c r="A1136" s="4">
        <f>IFERROR(__xludf.DUMMYFUNCTION("""COMPUTED_VALUE"""),45544.66666666667)</f>
        <v>45544.66667</v>
      </c>
      <c r="B1136" s="5">
        <f>IFERROR(__xludf.DUMMYFUNCTION("""COMPUTED_VALUE"""),4040.0)</f>
        <v>4040</v>
      </c>
      <c r="C1136" s="5">
        <f>IFERROR(__xludf.DUMMYFUNCTION("""COMPUTED_VALUE"""),4060.0)</f>
        <v>4060</v>
      </c>
      <c r="D1136" s="5">
        <f>IFERROR(__xludf.DUMMYFUNCTION("""COMPUTED_VALUE"""),3950.0)</f>
        <v>3950</v>
      </c>
      <c r="E1136" s="5">
        <f>IFERROR(__xludf.DUMMYFUNCTION("""COMPUTED_VALUE"""),4000.0)</f>
        <v>4000</v>
      </c>
      <c r="F1136" s="5">
        <f>IFERROR(__xludf.DUMMYFUNCTION("""COMPUTED_VALUE"""),9583300.0)</f>
        <v>9583300</v>
      </c>
      <c r="G1136" s="5">
        <f t="shared" si="1"/>
        <v>110</v>
      </c>
    </row>
    <row r="1137">
      <c r="A1137" s="4">
        <f>IFERROR(__xludf.DUMMYFUNCTION("""COMPUTED_VALUE"""),45545.66666666667)</f>
        <v>45545.66667</v>
      </c>
      <c r="B1137" s="5">
        <f>IFERROR(__xludf.DUMMYFUNCTION("""COMPUTED_VALUE"""),4030.0)</f>
        <v>4030</v>
      </c>
      <c r="C1137" s="5">
        <f>IFERROR(__xludf.DUMMYFUNCTION("""COMPUTED_VALUE"""),4030.0)</f>
        <v>4030</v>
      </c>
      <c r="D1137" s="5">
        <f>IFERROR(__xludf.DUMMYFUNCTION("""COMPUTED_VALUE"""),3990.0)</f>
        <v>3990</v>
      </c>
      <c r="E1137" s="5">
        <f>IFERROR(__xludf.DUMMYFUNCTION("""COMPUTED_VALUE"""),4000.0)</f>
        <v>4000</v>
      </c>
      <c r="F1137" s="5">
        <f>IFERROR(__xludf.DUMMYFUNCTION("""COMPUTED_VALUE"""),4099100.0)</f>
        <v>4099100</v>
      </c>
      <c r="G1137" s="5">
        <f t="shared" si="1"/>
        <v>40</v>
      </c>
    </row>
    <row r="1138">
      <c r="A1138" s="4">
        <f>IFERROR(__xludf.DUMMYFUNCTION("""COMPUTED_VALUE"""),45546.66666666667)</f>
        <v>45546.66667</v>
      </c>
      <c r="B1138" s="5">
        <f>IFERROR(__xludf.DUMMYFUNCTION("""COMPUTED_VALUE"""),4000.0)</f>
        <v>4000</v>
      </c>
      <c r="C1138" s="5">
        <f>IFERROR(__xludf.DUMMYFUNCTION("""COMPUTED_VALUE"""),4070.0)</f>
        <v>4070</v>
      </c>
      <c r="D1138" s="5">
        <f>IFERROR(__xludf.DUMMYFUNCTION("""COMPUTED_VALUE"""),3950.0)</f>
        <v>3950</v>
      </c>
      <c r="E1138" s="5">
        <f>IFERROR(__xludf.DUMMYFUNCTION("""COMPUTED_VALUE"""),3970.0)</f>
        <v>3970</v>
      </c>
      <c r="F1138" s="5">
        <f>IFERROR(__xludf.DUMMYFUNCTION("""COMPUTED_VALUE"""),1.26075E7)</f>
        <v>12607500</v>
      </c>
      <c r="G1138" s="5">
        <f t="shared" si="1"/>
        <v>120</v>
      </c>
    </row>
    <row r="1139">
      <c r="A1139" s="4">
        <f>IFERROR(__xludf.DUMMYFUNCTION("""COMPUTED_VALUE"""),45547.66666666667)</f>
        <v>45547.66667</v>
      </c>
      <c r="B1139" s="5">
        <f>IFERROR(__xludf.DUMMYFUNCTION("""COMPUTED_VALUE"""),3970.0)</f>
        <v>3970</v>
      </c>
      <c r="C1139" s="5">
        <f>IFERROR(__xludf.DUMMYFUNCTION("""COMPUTED_VALUE"""),4000.0)</f>
        <v>4000</v>
      </c>
      <c r="D1139" s="5">
        <f>IFERROR(__xludf.DUMMYFUNCTION("""COMPUTED_VALUE"""),3960.0)</f>
        <v>3960</v>
      </c>
      <c r="E1139" s="5">
        <f>IFERROR(__xludf.DUMMYFUNCTION("""COMPUTED_VALUE"""),3960.0)</f>
        <v>3960</v>
      </c>
      <c r="F1139" s="5">
        <f>IFERROR(__xludf.DUMMYFUNCTION("""COMPUTED_VALUE"""),8294200.0)</f>
        <v>8294200</v>
      </c>
      <c r="G1139" s="5">
        <f t="shared" si="1"/>
        <v>40</v>
      </c>
    </row>
    <row r="1140">
      <c r="A1140" s="4">
        <f>IFERROR(__xludf.DUMMYFUNCTION("""COMPUTED_VALUE"""),45548.66666666667)</f>
        <v>45548.66667</v>
      </c>
      <c r="B1140" s="5">
        <f>IFERROR(__xludf.DUMMYFUNCTION("""COMPUTED_VALUE"""),3960.0)</f>
        <v>3960</v>
      </c>
      <c r="C1140" s="5">
        <f>IFERROR(__xludf.DUMMYFUNCTION("""COMPUTED_VALUE"""),3990.0)</f>
        <v>3990</v>
      </c>
      <c r="D1140" s="5">
        <f>IFERROR(__xludf.DUMMYFUNCTION("""COMPUTED_VALUE"""),3950.0)</f>
        <v>3950</v>
      </c>
      <c r="E1140" s="5">
        <f>IFERROR(__xludf.DUMMYFUNCTION("""COMPUTED_VALUE"""),3950.0)</f>
        <v>3950</v>
      </c>
      <c r="F1140" s="5">
        <f>IFERROR(__xludf.DUMMYFUNCTION("""COMPUTED_VALUE"""),7673000.0)</f>
        <v>7673000</v>
      </c>
      <c r="G1140" s="5">
        <f t="shared" si="1"/>
        <v>40</v>
      </c>
    </row>
    <row r="1141">
      <c r="A1141" s="4">
        <f>IFERROR(__xludf.DUMMYFUNCTION("""COMPUTED_VALUE"""),45552.66666666667)</f>
        <v>45552.66667</v>
      </c>
      <c r="B1141" s="5">
        <f>IFERROR(__xludf.DUMMYFUNCTION("""COMPUTED_VALUE"""),3950.0)</f>
        <v>3950</v>
      </c>
      <c r="C1141" s="5">
        <f>IFERROR(__xludf.DUMMYFUNCTION("""COMPUTED_VALUE"""),4000.0)</f>
        <v>4000</v>
      </c>
      <c r="D1141" s="5">
        <f>IFERROR(__xludf.DUMMYFUNCTION("""COMPUTED_VALUE"""),3950.0)</f>
        <v>3950</v>
      </c>
      <c r="E1141" s="5">
        <f>IFERROR(__xludf.DUMMYFUNCTION("""COMPUTED_VALUE"""),3960.0)</f>
        <v>3960</v>
      </c>
      <c r="F1141" s="5">
        <f>IFERROR(__xludf.DUMMYFUNCTION("""COMPUTED_VALUE"""),4946300.0)</f>
        <v>4946300</v>
      </c>
      <c r="G1141" s="5">
        <f t="shared" si="1"/>
        <v>50</v>
      </c>
    </row>
    <row r="1142">
      <c r="A1142" s="4">
        <f>IFERROR(__xludf.DUMMYFUNCTION("""COMPUTED_VALUE"""),45553.66666666667)</f>
        <v>45553.66667</v>
      </c>
      <c r="B1142" s="5">
        <f>IFERROR(__xludf.DUMMYFUNCTION("""COMPUTED_VALUE"""),3970.0)</f>
        <v>3970</v>
      </c>
      <c r="C1142" s="5">
        <f>IFERROR(__xludf.DUMMYFUNCTION("""COMPUTED_VALUE"""),3990.0)</f>
        <v>3990</v>
      </c>
      <c r="D1142" s="5">
        <f>IFERROR(__xludf.DUMMYFUNCTION("""COMPUTED_VALUE"""),3890.0)</f>
        <v>3890</v>
      </c>
      <c r="E1142" s="5">
        <f>IFERROR(__xludf.DUMMYFUNCTION("""COMPUTED_VALUE"""),3910.0)</f>
        <v>3910</v>
      </c>
      <c r="F1142" s="5">
        <f>IFERROR(__xludf.DUMMYFUNCTION("""COMPUTED_VALUE"""),9065000.0)</f>
        <v>9065000</v>
      </c>
      <c r="G1142" s="5">
        <f t="shared" si="1"/>
        <v>100</v>
      </c>
    </row>
    <row r="1143">
      <c r="A1143" s="4">
        <f>IFERROR(__xludf.DUMMYFUNCTION("""COMPUTED_VALUE"""),45554.66666666667)</f>
        <v>45554.66667</v>
      </c>
      <c r="B1143" s="5">
        <f>IFERROR(__xludf.DUMMYFUNCTION("""COMPUTED_VALUE"""),3920.0)</f>
        <v>3920</v>
      </c>
      <c r="C1143" s="5">
        <f>IFERROR(__xludf.DUMMYFUNCTION("""COMPUTED_VALUE"""),3930.0)</f>
        <v>3930</v>
      </c>
      <c r="D1143" s="5">
        <f>IFERROR(__xludf.DUMMYFUNCTION("""COMPUTED_VALUE"""),3880.0)</f>
        <v>3880</v>
      </c>
      <c r="E1143" s="5">
        <f>IFERROR(__xludf.DUMMYFUNCTION("""COMPUTED_VALUE"""),3890.0)</f>
        <v>3890</v>
      </c>
      <c r="F1143" s="5">
        <f>IFERROR(__xludf.DUMMYFUNCTION("""COMPUTED_VALUE"""),1.10766E7)</f>
        <v>11076600</v>
      </c>
      <c r="G1143" s="5">
        <f t="shared" si="1"/>
        <v>50</v>
      </c>
    </row>
    <row r="1144">
      <c r="A1144" s="4">
        <f>IFERROR(__xludf.DUMMYFUNCTION("""COMPUTED_VALUE"""),45555.66666666667)</f>
        <v>45555.66667</v>
      </c>
      <c r="B1144" s="5">
        <f>IFERROR(__xludf.DUMMYFUNCTION("""COMPUTED_VALUE"""),3890.0)</f>
        <v>3890</v>
      </c>
      <c r="C1144" s="5">
        <f>IFERROR(__xludf.DUMMYFUNCTION("""COMPUTED_VALUE"""),3930.0)</f>
        <v>3930</v>
      </c>
      <c r="D1144" s="5">
        <f>IFERROR(__xludf.DUMMYFUNCTION("""COMPUTED_VALUE"""),3890.0)</f>
        <v>3890</v>
      </c>
      <c r="E1144" s="5">
        <f>IFERROR(__xludf.DUMMYFUNCTION("""COMPUTED_VALUE"""),3910.0)</f>
        <v>3910</v>
      </c>
      <c r="F1144" s="5">
        <f>IFERROR(__xludf.DUMMYFUNCTION("""COMPUTED_VALUE"""),9859300.0)</f>
        <v>9859300</v>
      </c>
      <c r="G1144" s="5">
        <f t="shared" si="1"/>
        <v>40</v>
      </c>
    </row>
    <row r="1145">
      <c r="A1145" s="4">
        <f>IFERROR(__xludf.DUMMYFUNCTION("""COMPUTED_VALUE"""),45558.66666666667)</f>
        <v>45558.66667</v>
      </c>
      <c r="B1145" s="5">
        <f>IFERROR(__xludf.DUMMYFUNCTION("""COMPUTED_VALUE"""),3910.0)</f>
        <v>3910</v>
      </c>
      <c r="C1145" s="5">
        <f>IFERROR(__xludf.DUMMYFUNCTION("""COMPUTED_VALUE"""),3930.0)</f>
        <v>3930</v>
      </c>
      <c r="D1145" s="5">
        <f>IFERROR(__xludf.DUMMYFUNCTION("""COMPUTED_VALUE"""),3820.0)</f>
        <v>3820</v>
      </c>
      <c r="E1145" s="5">
        <f>IFERROR(__xludf.DUMMYFUNCTION("""COMPUTED_VALUE"""),3830.0)</f>
        <v>3830</v>
      </c>
      <c r="F1145" s="5">
        <f>IFERROR(__xludf.DUMMYFUNCTION("""COMPUTED_VALUE"""),1.67528E7)</f>
        <v>16752800</v>
      </c>
      <c r="G1145" s="5">
        <f t="shared" si="1"/>
        <v>110</v>
      </c>
    </row>
    <row r="1146">
      <c r="A1146" s="4">
        <f>IFERROR(__xludf.DUMMYFUNCTION("""COMPUTED_VALUE"""),45559.66666666667)</f>
        <v>45559.66667</v>
      </c>
      <c r="B1146" s="5">
        <f>IFERROR(__xludf.DUMMYFUNCTION("""COMPUTED_VALUE"""),3820.0)</f>
        <v>3820</v>
      </c>
      <c r="C1146" s="5">
        <f>IFERROR(__xludf.DUMMYFUNCTION("""COMPUTED_VALUE"""),3860.0)</f>
        <v>3860</v>
      </c>
      <c r="D1146" s="5">
        <f>IFERROR(__xludf.DUMMYFUNCTION("""COMPUTED_VALUE"""),3810.0)</f>
        <v>3810</v>
      </c>
      <c r="E1146" s="5">
        <f>IFERROR(__xludf.DUMMYFUNCTION("""COMPUTED_VALUE"""),3820.0)</f>
        <v>3820</v>
      </c>
      <c r="F1146" s="5">
        <f>IFERROR(__xludf.DUMMYFUNCTION("""COMPUTED_VALUE"""),1.25384E7)</f>
        <v>12538400</v>
      </c>
      <c r="G1146" s="5">
        <f t="shared" si="1"/>
        <v>50</v>
      </c>
    </row>
    <row r="1147">
      <c r="A1147" s="4">
        <f>IFERROR(__xludf.DUMMYFUNCTION("""COMPUTED_VALUE"""),45560.66666666667)</f>
        <v>45560.66667</v>
      </c>
      <c r="B1147" s="5">
        <f>IFERROR(__xludf.DUMMYFUNCTION("""COMPUTED_VALUE"""),3830.0)</f>
        <v>3830</v>
      </c>
      <c r="C1147" s="5">
        <f>IFERROR(__xludf.DUMMYFUNCTION("""COMPUTED_VALUE"""),3870.0)</f>
        <v>3870</v>
      </c>
      <c r="D1147" s="5">
        <f>IFERROR(__xludf.DUMMYFUNCTION("""COMPUTED_VALUE"""),3810.0)</f>
        <v>3810</v>
      </c>
      <c r="E1147" s="5">
        <f>IFERROR(__xludf.DUMMYFUNCTION("""COMPUTED_VALUE"""),3870.0)</f>
        <v>3870</v>
      </c>
      <c r="F1147" s="5">
        <f>IFERROR(__xludf.DUMMYFUNCTION("""COMPUTED_VALUE"""),1.21164E7)</f>
        <v>12116400</v>
      </c>
      <c r="G1147" s="5">
        <f t="shared" si="1"/>
        <v>60</v>
      </c>
    </row>
    <row r="1148">
      <c r="A1148" s="4">
        <f>IFERROR(__xludf.DUMMYFUNCTION("""COMPUTED_VALUE"""),45561.66666666667)</f>
        <v>45561.66667</v>
      </c>
      <c r="B1148" s="5">
        <f>IFERROR(__xludf.DUMMYFUNCTION("""COMPUTED_VALUE"""),3870.0)</f>
        <v>3870</v>
      </c>
      <c r="C1148" s="5">
        <f>IFERROR(__xludf.DUMMYFUNCTION("""COMPUTED_VALUE"""),3930.0)</f>
        <v>3930</v>
      </c>
      <c r="D1148" s="5">
        <f>IFERROR(__xludf.DUMMYFUNCTION("""COMPUTED_VALUE"""),3840.0)</f>
        <v>3840</v>
      </c>
      <c r="E1148" s="5">
        <f>IFERROR(__xludf.DUMMYFUNCTION("""COMPUTED_VALUE"""),3900.0)</f>
        <v>3900</v>
      </c>
      <c r="F1148" s="5">
        <f>IFERROR(__xludf.DUMMYFUNCTION("""COMPUTED_VALUE"""),1.11148E7)</f>
        <v>11114800</v>
      </c>
      <c r="G1148" s="5">
        <f t="shared" si="1"/>
        <v>90</v>
      </c>
    </row>
    <row r="1149">
      <c r="A1149" s="4">
        <f>IFERROR(__xludf.DUMMYFUNCTION("""COMPUTED_VALUE"""),45562.66666666667)</f>
        <v>45562.66667</v>
      </c>
      <c r="B1149" s="5">
        <f>IFERROR(__xludf.DUMMYFUNCTION("""COMPUTED_VALUE"""),3920.0)</f>
        <v>3920</v>
      </c>
      <c r="C1149" s="5">
        <f>IFERROR(__xludf.DUMMYFUNCTION("""COMPUTED_VALUE"""),3930.0)</f>
        <v>3930</v>
      </c>
      <c r="D1149" s="5">
        <f>IFERROR(__xludf.DUMMYFUNCTION("""COMPUTED_VALUE"""),3850.0)</f>
        <v>3850</v>
      </c>
      <c r="E1149" s="5">
        <f>IFERROR(__xludf.DUMMYFUNCTION("""COMPUTED_VALUE"""),3850.0)</f>
        <v>3850</v>
      </c>
      <c r="F1149" s="5">
        <f>IFERROR(__xludf.DUMMYFUNCTION("""COMPUTED_VALUE"""),1.08399E7)</f>
        <v>10839900</v>
      </c>
      <c r="G1149" s="5">
        <f t="shared" si="1"/>
        <v>80</v>
      </c>
    </row>
    <row r="1150">
      <c r="A1150" s="4">
        <f>IFERROR(__xludf.DUMMYFUNCTION("""COMPUTED_VALUE"""),45565.66666666667)</f>
        <v>45565.66667</v>
      </c>
      <c r="B1150" s="5">
        <f>IFERROR(__xludf.DUMMYFUNCTION("""COMPUTED_VALUE"""),3860.0)</f>
        <v>3860</v>
      </c>
      <c r="C1150" s="5">
        <f>IFERROR(__xludf.DUMMYFUNCTION("""COMPUTED_VALUE"""),3860.0)</f>
        <v>3860</v>
      </c>
      <c r="D1150" s="5">
        <f>IFERROR(__xludf.DUMMYFUNCTION("""COMPUTED_VALUE"""),3760.0)</f>
        <v>3760</v>
      </c>
      <c r="E1150" s="5">
        <f>IFERROR(__xludf.DUMMYFUNCTION("""COMPUTED_VALUE"""),3790.0)</f>
        <v>3790</v>
      </c>
      <c r="F1150" s="5">
        <f>IFERROR(__xludf.DUMMYFUNCTION("""COMPUTED_VALUE"""),1.31695E7)</f>
        <v>13169500</v>
      </c>
      <c r="G1150" s="5">
        <f t="shared" si="1"/>
        <v>100</v>
      </c>
    </row>
    <row r="1151">
      <c r="A1151" s="4">
        <f>IFERROR(__xludf.DUMMYFUNCTION("""COMPUTED_VALUE"""),45566.66666666667)</f>
        <v>45566.66667</v>
      </c>
      <c r="B1151" s="5">
        <f>IFERROR(__xludf.DUMMYFUNCTION("""COMPUTED_VALUE"""),3770.0)</f>
        <v>3770</v>
      </c>
      <c r="C1151" s="5">
        <f>IFERROR(__xludf.DUMMYFUNCTION("""COMPUTED_VALUE"""),3900.0)</f>
        <v>3900</v>
      </c>
      <c r="D1151" s="5">
        <f>IFERROR(__xludf.DUMMYFUNCTION("""COMPUTED_VALUE"""),3770.0)</f>
        <v>3770</v>
      </c>
      <c r="E1151" s="5">
        <f>IFERROR(__xludf.DUMMYFUNCTION("""COMPUTED_VALUE"""),3880.0)</f>
        <v>3880</v>
      </c>
      <c r="F1151" s="5">
        <f>IFERROR(__xludf.DUMMYFUNCTION("""COMPUTED_VALUE"""),1.13673E7)</f>
        <v>11367300</v>
      </c>
      <c r="G1151" s="5">
        <f t="shared" si="1"/>
        <v>130</v>
      </c>
    </row>
    <row r="1152">
      <c r="A1152" s="4">
        <f>IFERROR(__xludf.DUMMYFUNCTION("""COMPUTED_VALUE"""),45567.66666666667)</f>
        <v>45567.66667</v>
      </c>
      <c r="B1152" s="5">
        <f>IFERROR(__xludf.DUMMYFUNCTION("""COMPUTED_VALUE"""),3880.0)</f>
        <v>3880</v>
      </c>
      <c r="C1152" s="5">
        <f>IFERROR(__xludf.DUMMYFUNCTION("""COMPUTED_VALUE"""),3950.0)</f>
        <v>3950</v>
      </c>
      <c r="D1152" s="5">
        <f>IFERROR(__xludf.DUMMYFUNCTION("""COMPUTED_VALUE"""),3860.0)</f>
        <v>3860</v>
      </c>
      <c r="E1152" s="5">
        <f>IFERROR(__xludf.DUMMYFUNCTION("""COMPUTED_VALUE"""),3900.0)</f>
        <v>3900</v>
      </c>
      <c r="F1152" s="5">
        <f>IFERROR(__xludf.DUMMYFUNCTION("""COMPUTED_VALUE"""),1.13693E7)</f>
        <v>11369300</v>
      </c>
      <c r="G1152" s="5">
        <f t="shared" si="1"/>
        <v>90</v>
      </c>
    </row>
    <row r="1153">
      <c r="A1153" s="4">
        <f>IFERROR(__xludf.DUMMYFUNCTION("""COMPUTED_VALUE"""),45568.66666666667)</f>
        <v>45568.66667</v>
      </c>
      <c r="B1153" s="5">
        <f>IFERROR(__xludf.DUMMYFUNCTION("""COMPUTED_VALUE"""),3910.0)</f>
        <v>3910</v>
      </c>
      <c r="C1153" s="5">
        <f>IFERROR(__xludf.DUMMYFUNCTION("""COMPUTED_VALUE"""),4060.0)</f>
        <v>4060</v>
      </c>
      <c r="D1153" s="5">
        <f>IFERROR(__xludf.DUMMYFUNCTION("""COMPUTED_VALUE"""),3910.0)</f>
        <v>3910</v>
      </c>
      <c r="E1153" s="5">
        <f>IFERROR(__xludf.DUMMYFUNCTION("""COMPUTED_VALUE"""),4040.0)</f>
        <v>4040</v>
      </c>
      <c r="F1153" s="5">
        <f>IFERROR(__xludf.DUMMYFUNCTION("""COMPUTED_VALUE"""),2.67747E7)</f>
        <v>26774700</v>
      </c>
      <c r="G1153" s="5">
        <f t="shared" si="1"/>
        <v>160</v>
      </c>
    </row>
    <row r="1154">
      <c r="A1154" s="4">
        <f>IFERROR(__xludf.DUMMYFUNCTION("""COMPUTED_VALUE"""),45569.66666666667)</f>
        <v>45569.66667</v>
      </c>
      <c r="B1154" s="5">
        <f>IFERROR(__xludf.DUMMYFUNCTION("""COMPUTED_VALUE"""),4060.0)</f>
        <v>4060</v>
      </c>
      <c r="C1154" s="5">
        <f>IFERROR(__xludf.DUMMYFUNCTION("""COMPUTED_VALUE"""),4080.0)</f>
        <v>4080</v>
      </c>
      <c r="D1154" s="5">
        <f>IFERROR(__xludf.DUMMYFUNCTION("""COMPUTED_VALUE"""),4000.0)</f>
        <v>4000</v>
      </c>
      <c r="E1154" s="5">
        <f>IFERROR(__xludf.DUMMYFUNCTION("""COMPUTED_VALUE"""),4030.0)</f>
        <v>4030</v>
      </c>
      <c r="F1154" s="5">
        <f>IFERROR(__xludf.DUMMYFUNCTION("""COMPUTED_VALUE"""),1.4116E7)</f>
        <v>14116000</v>
      </c>
      <c r="G1154" s="5">
        <f t="shared" si="1"/>
        <v>80</v>
      </c>
    </row>
    <row r="1155">
      <c r="A1155" s="4">
        <f>IFERROR(__xludf.DUMMYFUNCTION("""COMPUTED_VALUE"""),45572.66666666667)</f>
        <v>45572.66667</v>
      </c>
      <c r="B1155" s="5">
        <f>IFERROR(__xludf.DUMMYFUNCTION("""COMPUTED_VALUE"""),4040.0)</f>
        <v>4040</v>
      </c>
      <c r="C1155" s="5">
        <f>IFERROR(__xludf.DUMMYFUNCTION("""COMPUTED_VALUE"""),4050.0)</f>
        <v>4050</v>
      </c>
      <c r="D1155" s="5">
        <f>IFERROR(__xludf.DUMMYFUNCTION("""COMPUTED_VALUE"""),3990.0)</f>
        <v>3990</v>
      </c>
      <c r="E1155" s="5">
        <f>IFERROR(__xludf.DUMMYFUNCTION("""COMPUTED_VALUE"""),4030.0)</f>
        <v>4030</v>
      </c>
      <c r="F1155" s="5">
        <f>IFERROR(__xludf.DUMMYFUNCTION("""COMPUTED_VALUE"""),7161600.0)</f>
        <v>7161600</v>
      </c>
      <c r="G1155" s="5">
        <f t="shared" si="1"/>
        <v>60</v>
      </c>
    </row>
    <row r="1156">
      <c r="A1156" s="4">
        <f>IFERROR(__xludf.DUMMYFUNCTION("""COMPUTED_VALUE"""),45573.66666666667)</f>
        <v>45573.66667</v>
      </c>
      <c r="B1156" s="5">
        <f>IFERROR(__xludf.DUMMYFUNCTION("""COMPUTED_VALUE"""),4030.0)</f>
        <v>4030</v>
      </c>
      <c r="C1156" s="5">
        <f>IFERROR(__xludf.DUMMYFUNCTION("""COMPUTED_VALUE"""),4040.0)</f>
        <v>4040</v>
      </c>
      <c r="D1156" s="5">
        <f>IFERROR(__xludf.DUMMYFUNCTION("""COMPUTED_VALUE"""),3970.0)</f>
        <v>3970</v>
      </c>
      <c r="E1156" s="5">
        <f>IFERROR(__xludf.DUMMYFUNCTION("""COMPUTED_VALUE"""),4020.0)</f>
        <v>4020</v>
      </c>
      <c r="F1156" s="5">
        <f>IFERROR(__xludf.DUMMYFUNCTION("""COMPUTED_VALUE"""),7285700.0)</f>
        <v>7285700</v>
      </c>
      <c r="G1156" s="5">
        <f t="shared" si="1"/>
        <v>70</v>
      </c>
    </row>
    <row r="1157">
      <c r="A1157" s="4">
        <f>IFERROR(__xludf.DUMMYFUNCTION("""COMPUTED_VALUE"""),45574.66666666667)</f>
        <v>45574.66667</v>
      </c>
      <c r="B1157" s="5">
        <f>IFERROR(__xludf.DUMMYFUNCTION("""COMPUTED_VALUE"""),4030.0)</f>
        <v>4030</v>
      </c>
      <c r="C1157" s="5">
        <f>IFERROR(__xludf.DUMMYFUNCTION("""COMPUTED_VALUE"""),4100.0)</f>
        <v>4100</v>
      </c>
      <c r="D1157" s="5">
        <f>IFERROR(__xludf.DUMMYFUNCTION("""COMPUTED_VALUE"""),4010.0)</f>
        <v>4010</v>
      </c>
      <c r="E1157" s="5">
        <f>IFERROR(__xludf.DUMMYFUNCTION("""COMPUTED_VALUE"""),4010.0)</f>
        <v>4010</v>
      </c>
      <c r="F1157" s="5">
        <f>IFERROR(__xludf.DUMMYFUNCTION("""COMPUTED_VALUE"""),1.35838E7)</f>
        <v>13583800</v>
      </c>
      <c r="G1157" s="5">
        <f t="shared" si="1"/>
        <v>90</v>
      </c>
    </row>
    <row r="1158">
      <c r="A1158" s="4">
        <f>IFERROR(__xludf.DUMMYFUNCTION("""COMPUTED_VALUE"""),45575.66666666667)</f>
        <v>45575.66667</v>
      </c>
      <c r="B1158" s="5">
        <f>IFERROR(__xludf.DUMMYFUNCTION("""COMPUTED_VALUE"""),4020.0)</f>
        <v>4020</v>
      </c>
      <c r="C1158" s="5">
        <f>IFERROR(__xludf.DUMMYFUNCTION("""COMPUTED_VALUE"""),4050.0)</f>
        <v>4050</v>
      </c>
      <c r="D1158" s="5">
        <f>IFERROR(__xludf.DUMMYFUNCTION("""COMPUTED_VALUE"""),3970.0)</f>
        <v>3970</v>
      </c>
      <c r="E1158" s="5">
        <f>IFERROR(__xludf.DUMMYFUNCTION("""COMPUTED_VALUE"""),4050.0)</f>
        <v>4050</v>
      </c>
      <c r="F1158" s="5">
        <f>IFERROR(__xludf.DUMMYFUNCTION("""COMPUTED_VALUE"""),1.23212E7)</f>
        <v>12321200</v>
      </c>
      <c r="G1158" s="5">
        <f t="shared" si="1"/>
        <v>80</v>
      </c>
    </row>
    <row r="1159">
      <c r="A1159" s="4">
        <f>IFERROR(__xludf.DUMMYFUNCTION("""COMPUTED_VALUE"""),45576.66666666667)</f>
        <v>45576.66667</v>
      </c>
      <c r="B1159" s="5">
        <f>IFERROR(__xludf.DUMMYFUNCTION("""COMPUTED_VALUE"""),4050.0)</f>
        <v>4050</v>
      </c>
      <c r="C1159" s="5">
        <f>IFERROR(__xludf.DUMMYFUNCTION("""COMPUTED_VALUE"""),4310.0)</f>
        <v>4310</v>
      </c>
      <c r="D1159" s="5">
        <f>IFERROR(__xludf.DUMMYFUNCTION("""COMPUTED_VALUE"""),4010.0)</f>
        <v>4010</v>
      </c>
      <c r="E1159" s="5">
        <f>IFERROR(__xludf.DUMMYFUNCTION("""COMPUTED_VALUE"""),4310.0)</f>
        <v>4310</v>
      </c>
      <c r="F1159" s="5">
        <f>IFERROR(__xludf.DUMMYFUNCTION("""COMPUTED_VALUE"""),4.25201E7)</f>
        <v>42520100</v>
      </c>
      <c r="G1159" s="5">
        <f t="shared" si="1"/>
        <v>300</v>
      </c>
    </row>
    <row r="1160">
      <c r="A1160" s="4">
        <f>IFERROR(__xludf.DUMMYFUNCTION("""COMPUTED_VALUE"""),45579.66666666667)</f>
        <v>45579.66667</v>
      </c>
      <c r="B1160" s="5">
        <f>IFERROR(__xludf.DUMMYFUNCTION("""COMPUTED_VALUE"""),4330.0)</f>
        <v>4330</v>
      </c>
      <c r="C1160" s="5">
        <f>IFERROR(__xludf.DUMMYFUNCTION("""COMPUTED_VALUE"""),4390.0)</f>
        <v>4390</v>
      </c>
      <c r="D1160" s="5">
        <f>IFERROR(__xludf.DUMMYFUNCTION("""COMPUTED_VALUE"""),4130.0)</f>
        <v>4130</v>
      </c>
      <c r="E1160" s="5">
        <f>IFERROR(__xludf.DUMMYFUNCTION("""COMPUTED_VALUE"""),4140.0)</f>
        <v>4140</v>
      </c>
      <c r="F1160" s="5">
        <f>IFERROR(__xludf.DUMMYFUNCTION("""COMPUTED_VALUE"""),3.47035E7)</f>
        <v>34703500</v>
      </c>
      <c r="G1160" s="5">
        <f t="shared" si="1"/>
        <v>260</v>
      </c>
    </row>
    <row r="1161">
      <c r="A1161" s="4">
        <f>IFERROR(__xludf.DUMMYFUNCTION("""COMPUTED_VALUE"""),45580.66666666667)</f>
        <v>45580.66667</v>
      </c>
      <c r="B1161" s="5">
        <f>IFERROR(__xludf.DUMMYFUNCTION("""COMPUTED_VALUE"""),4160.0)</f>
        <v>4160</v>
      </c>
      <c r="C1161" s="5">
        <f>IFERROR(__xludf.DUMMYFUNCTION("""COMPUTED_VALUE"""),4260.0)</f>
        <v>4260</v>
      </c>
      <c r="D1161" s="5">
        <f>IFERROR(__xludf.DUMMYFUNCTION("""COMPUTED_VALUE"""),4150.0)</f>
        <v>4150</v>
      </c>
      <c r="E1161" s="5">
        <f>IFERROR(__xludf.DUMMYFUNCTION("""COMPUTED_VALUE"""),4220.0)</f>
        <v>4220</v>
      </c>
      <c r="F1161" s="5">
        <f>IFERROR(__xludf.DUMMYFUNCTION("""COMPUTED_VALUE"""),1.76901E7)</f>
        <v>17690100</v>
      </c>
      <c r="G1161" s="5">
        <f t="shared" si="1"/>
        <v>120</v>
      </c>
    </row>
    <row r="1162">
      <c r="A1162" s="4">
        <f>IFERROR(__xludf.DUMMYFUNCTION("""COMPUTED_VALUE"""),45581.66666666667)</f>
        <v>45581.66667</v>
      </c>
      <c r="B1162" s="5">
        <f>IFERROR(__xludf.DUMMYFUNCTION("""COMPUTED_VALUE"""),4230.0)</f>
        <v>4230</v>
      </c>
      <c r="C1162" s="5">
        <f>IFERROR(__xludf.DUMMYFUNCTION("""COMPUTED_VALUE"""),4420.0)</f>
        <v>4420</v>
      </c>
      <c r="D1162" s="5">
        <f>IFERROR(__xludf.DUMMYFUNCTION("""COMPUTED_VALUE"""),4220.0)</f>
        <v>4220</v>
      </c>
      <c r="E1162" s="5">
        <f>IFERROR(__xludf.DUMMYFUNCTION("""COMPUTED_VALUE"""),4330.0)</f>
        <v>4330</v>
      </c>
      <c r="F1162" s="5">
        <f>IFERROR(__xludf.DUMMYFUNCTION("""COMPUTED_VALUE"""),4.0382E7)</f>
        <v>40382000</v>
      </c>
      <c r="G1162" s="5">
        <f t="shared" si="1"/>
        <v>200</v>
      </c>
    </row>
    <row r="1163">
      <c r="A1163" s="4">
        <f>IFERROR(__xludf.DUMMYFUNCTION("""COMPUTED_VALUE"""),45582.66666666667)</f>
        <v>45582.66667</v>
      </c>
      <c r="B1163" s="5">
        <f>IFERROR(__xludf.DUMMYFUNCTION("""COMPUTED_VALUE"""),4370.0)</f>
        <v>4370</v>
      </c>
      <c r="C1163" s="5">
        <f>IFERROR(__xludf.DUMMYFUNCTION("""COMPUTED_VALUE"""),4600.0)</f>
        <v>4600</v>
      </c>
      <c r="D1163" s="5">
        <f>IFERROR(__xludf.DUMMYFUNCTION("""COMPUTED_VALUE"""),4370.0)</f>
        <v>4370</v>
      </c>
      <c r="E1163" s="5">
        <f>IFERROR(__xludf.DUMMYFUNCTION("""COMPUTED_VALUE"""),4570.0)</f>
        <v>4570</v>
      </c>
      <c r="F1163" s="5">
        <f>IFERROR(__xludf.DUMMYFUNCTION("""COMPUTED_VALUE"""),4.53685E7)</f>
        <v>45368500</v>
      </c>
      <c r="G1163" s="5">
        <f t="shared" si="1"/>
        <v>270</v>
      </c>
    </row>
    <row r="1164">
      <c r="A1164" s="4">
        <f>IFERROR(__xludf.DUMMYFUNCTION("""COMPUTED_VALUE"""),45583.66666666667)</f>
        <v>45583.66667</v>
      </c>
      <c r="B1164" s="5">
        <f>IFERROR(__xludf.DUMMYFUNCTION("""COMPUTED_VALUE"""),4570.0)</f>
        <v>4570</v>
      </c>
      <c r="C1164" s="5">
        <f>IFERROR(__xludf.DUMMYFUNCTION("""COMPUTED_VALUE"""),4650.0)</f>
        <v>4650</v>
      </c>
      <c r="D1164" s="5">
        <f>IFERROR(__xludf.DUMMYFUNCTION("""COMPUTED_VALUE"""),4460.0)</f>
        <v>4460</v>
      </c>
      <c r="E1164" s="5">
        <f>IFERROR(__xludf.DUMMYFUNCTION("""COMPUTED_VALUE"""),4520.0)</f>
        <v>4520</v>
      </c>
      <c r="F1164" s="5">
        <f>IFERROR(__xludf.DUMMYFUNCTION("""COMPUTED_VALUE"""),2.03758E7)</f>
        <v>20375800</v>
      </c>
      <c r="G1164" s="5">
        <f t="shared" si="1"/>
        <v>190</v>
      </c>
    </row>
    <row r="1165">
      <c r="A1165" s="4">
        <f>IFERROR(__xludf.DUMMYFUNCTION("""COMPUTED_VALUE"""),45586.66666666667)</f>
        <v>45586.66667</v>
      </c>
      <c r="B1165" s="5">
        <f>IFERROR(__xludf.DUMMYFUNCTION("""COMPUTED_VALUE"""),4530.0)</f>
        <v>4530</v>
      </c>
      <c r="C1165" s="5">
        <f>IFERROR(__xludf.DUMMYFUNCTION("""COMPUTED_VALUE"""),4570.0)</f>
        <v>4570</v>
      </c>
      <c r="D1165" s="5">
        <f>IFERROR(__xludf.DUMMYFUNCTION("""COMPUTED_VALUE"""),4410.0)</f>
        <v>4410</v>
      </c>
      <c r="E1165" s="5">
        <f>IFERROR(__xludf.DUMMYFUNCTION("""COMPUTED_VALUE"""),4410.0)</f>
        <v>4410</v>
      </c>
      <c r="F1165" s="5">
        <f>IFERROR(__xludf.DUMMYFUNCTION("""COMPUTED_VALUE"""),1.28728E7)</f>
        <v>12872800</v>
      </c>
      <c r="G1165" s="5">
        <f t="shared" si="1"/>
        <v>160</v>
      </c>
    </row>
    <row r="1166">
      <c r="A1166" s="4">
        <f>IFERROR(__xludf.DUMMYFUNCTION("""COMPUTED_VALUE"""),45587.66666666667)</f>
        <v>45587.66667</v>
      </c>
      <c r="B1166" s="5">
        <f>IFERROR(__xludf.DUMMYFUNCTION("""COMPUTED_VALUE"""),4390.0)</f>
        <v>4390</v>
      </c>
      <c r="C1166" s="5">
        <f>IFERROR(__xludf.DUMMYFUNCTION("""COMPUTED_VALUE"""),4420.0)</f>
        <v>4420</v>
      </c>
      <c r="D1166" s="5">
        <f>IFERROR(__xludf.DUMMYFUNCTION("""COMPUTED_VALUE"""),4280.0)</f>
        <v>4280</v>
      </c>
      <c r="E1166" s="5">
        <f>IFERROR(__xludf.DUMMYFUNCTION("""COMPUTED_VALUE"""),4310.0)</f>
        <v>4310</v>
      </c>
      <c r="F1166" s="5">
        <f>IFERROR(__xludf.DUMMYFUNCTION("""COMPUTED_VALUE"""),2.16429E7)</f>
        <v>21642900</v>
      </c>
      <c r="G1166" s="5">
        <f t="shared" si="1"/>
        <v>140</v>
      </c>
    </row>
    <row r="1167">
      <c r="A1167" s="4">
        <f>IFERROR(__xludf.DUMMYFUNCTION("""COMPUTED_VALUE"""),45588.66666666667)</f>
        <v>45588.66667</v>
      </c>
      <c r="B1167" s="5">
        <f>IFERROR(__xludf.DUMMYFUNCTION("""COMPUTED_VALUE"""),4310.0)</f>
        <v>4310</v>
      </c>
      <c r="C1167" s="5">
        <f>IFERROR(__xludf.DUMMYFUNCTION("""COMPUTED_VALUE"""),4360.0)</f>
        <v>4360</v>
      </c>
      <c r="D1167" s="5">
        <f>IFERROR(__xludf.DUMMYFUNCTION("""COMPUTED_VALUE"""),4240.0)</f>
        <v>4240</v>
      </c>
      <c r="E1167" s="5">
        <f>IFERROR(__xludf.DUMMYFUNCTION("""COMPUTED_VALUE"""),4280.0)</f>
        <v>4280</v>
      </c>
      <c r="F1167" s="5">
        <f>IFERROR(__xludf.DUMMYFUNCTION("""COMPUTED_VALUE"""),1.19763E7)</f>
        <v>11976300</v>
      </c>
      <c r="G1167" s="5">
        <f t="shared" si="1"/>
        <v>120</v>
      </c>
    </row>
    <row r="1168">
      <c r="A1168" s="4">
        <f>IFERROR(__xludf.DUMMYFUNCTION("""COMPUTED_VALUE"""),45589.66666666667)</f>
        <v>45589.66667</v>
      </c>
      <c r="B1168" s="5">
        <f>IFERROR(__xludf.DUMMYFUNCTION("""COMPUTED_VALUE"""),4280.0)</f>
        <v>4280</v>
      </c>
      <c r="C1168" s="5">
        <f>IFERROR(__xludf.DUMMYFUNCTION("""COMPUTED_VALUE"""),4330.0)</f>
        <v>4330</v>
      </c>
      <c r="D1168" s="5">
        <f>IFERROR(__xludf.DUMMYFUNCTION("""COMPUTED_VALUE"""),4250.0)</f>
        <v>4250</v>
      </c>
      <c r="E1168" s="5">
        <f>IFERROR(__xludf.DUMMYFUNCTION("""COMPUTED_VALUE"""),4290.0)</f>
        <v>4290</v>
      </c>
      <c r="F1168" s="5">
        <f>IFERROR(__xludf.DUMMYFUNCTION("""COMPUTED_VALUE"""),7772400.0)</f>
        <v>7772400</v>
      </c>
      <c r="G1168" s="5">
        <f t="shared" si="1"/>
        <v>80</v>
      </c>
    </row>
    <row r="1169">
      <c r="A1169" s="4">
        <f>IFERROR(__xludf.DUMMYFUNCTION("""COMPUTED_VALUE"""),45590.66666666667)</f>
        <v>45590.66667</v>
      </c>
      <c r="B1169" s="5">
        <f>IFERROR(__xludf.DUMMYFUNCTION("""COMPUTED_VALUE"""),4290.0)</f>
        <v>4290</v>
      </c>
      <c r="C1169" s="5">
        <f>IFERROR(__xludf.DUMMYFUNCTION("""COMPUTED_VALUE"""),4400.0)</f>
        <v>4400</v>
      </c>
      <c r="D1169" s="5">
        <f>IFERROR(__xludf.DUMMYFUNCTION("""COMPUTED_VALUE"""),4270.0)</f>
        <v>4270</v>
      </c>
      <c r="E1169" s="5">
        <f>IFERROR(__xludf.DUMMYFUNCTION("""COMPUTED_VALUE"""),4390.0)</f>
        <v>4390</v>
      </c>
      <c r="F1169" s="5">
        <f>IFERROR(__xludf.DUMMYFUNCTION("""COMPUTED_VALUE"""),1.52771E7)</f>
        <v>15277100</v>
      </c>
      <c r="G1169" s="5">
        <f t="shared" si="1"/>
        <v>130</v>
      </c>
    </row>
    <row r="1170">
      <c r="A1170" s="4">
        <f>IFERROR(__xludf.DUMMYFUNCTION("""COMPUTED_VALUE"""),45593.66666666667)</f>
        <v>45593.66667</v>
      </c>
      <c r="B1170" s="5">
        <f>IFERROR(__xludf.DUMMYFUNCTION("""COMPUTED_VALUE"""),4390.0)</f>
        <v>4390</v>
      </c>
      <c r="C1170" s="5">
        <f>IFERROR(__xludf.DUMMYFUNCTION("""COMPUTED_VALUE"""),4410.0)</f>
        <v>4410</v>
      </c>
      <c r="D1170" s="5">
        <f>IFERROR(__xludf.DUMMYFUNCTION("""COMPUTED_VALUE"""),4130.0)</f>
        <v>4130</v>
      </c>
      <c r="E1170" s="5">
        <f>IFERROR(__xludf.DUMMYFUNCTION("""COMPUTED_VALUE"""),4140.0)</f>
        <v>4140</v>
      </c>
      <c r="F1170" s="5">
        <f>IFERROR(__xludf.DUMMYFUNCTION("""COMPUTED_VALUE"""),2.92165E7)</f>
        <v>29216500</v>
      </c>
      <c r="G1170" s="5">
        <f t="shared" si="1"/>
        <v>280</v>
      </c>
    </row>
    <row r="1171">
      <c r="A1171" s="4">
        <f>IFERROR(__xludf.DUMMYFUNCTION("""COMPUTED_VALUE"""),45594.66666666667)</f>
        <v>45594.66667</v>
      </c>
      <c r="B1171" s="5">
        <f>IFERROR(__xludf.DUMMYFUNCTION("""COMPUTED_VALUE"""),4140.0)</f>
        <v>4140</v>
      </c>
      <c r="C1171" s="5">
        <f>IFERROR(__xludf.DUMMYFUNCTION("""COMPUTED_VALUE"""),4170.0)</f>
        <v>4170</v>
      </c>
      <c r="D1171" s="5">
        <f>IFERROR(__xludf.DUMMYFUNCTION("""COMPUTED_VALUE"""),4060.0)</f>
        <v>4060</v>
      </c>
      <c r="E1171" s="5">
        <f>IFERROR(__xludf.DUMMYFUNCTION("""COMPUTED_VALUE"""),4110.0)</f>
        <v>4110</v>
      </c>
      <c r="F1171" s="5">
        <f>IFERROR(__xludf.DUMMYFUNCTION("""COMPUTED_VALUE"""),2.86526E7)</f>
        <v>28652600</v>
      </c>
      <c r="G1171" s="5">
        <f t="shared" si="1"/>
        <v>110</v>
      </c>
    </row>
    <row r="1172">
      <c r="A1172" s="4">
        <f>IFERROR(__xludf.DUMMYFUNCTION("""COMPUTED_VALUE"""),45595.66666666667)</f>
        <v>45595.66667</v>
      </c>
      <c r="B1172" s="5">
        <f>IFERROR(__xludf.DUMMYFUNCTION("""COMPUTED_VALUE"""),4110.0)</f>
        <v>4110</v>
      </c>
      <c r="C1172" s="5">
        <f>IFERROR(__xludf.DUMMYFUNCTION("""COMPUTED_VALUE"""),4110.0)</f>
        <v>4110</v>
      </c>
      <c r="D1172" s="5">
        <f>IFERROR(__xludf.DUMMYFUNCTION("""COMPUTED_VALUE"""),3880.0)</f>
        <v>3880</v>
      </c>
      <c r="E1172" s="5">
        <f>IFERROR(__xludf.DUMMYFUNCTION("""COMPUTED_VALUE"""),3910.0)</f>
        <v>3910</v>
      </c>
      <c r="F1172" s="5">
        <f>IFERROR(__xludf.DUMMYFUNCTION("""COMPUTED_VALUE"""),3.91946E7)</f>
        <v>39194600</v>
      </c>
      <c r="G1172" s="5">
        <f t="shared" si="1"/>
        <v>230</v>
      </c>
    </row>
    <row r="1173">
      <c r="A1173" s="4">
        <f>IFERROR(__xludf.DUMMYFUNCTION("""COMPUTED_VALUE"""),45596.66666666667)</f>
        <v>45596.66667</v>
      </c>
      <c r="B1173" s="5">
        <f>IFERROR(__xludf.DUMMYFUNCTION("""COMPUTED_VALUE"""),3910.0)</f>
        <v>3910</v>
      </c>
      <c r="C1173" s="5">
        <f>IFERROR(__xludf.DUMMYFUNCTION("""COMPUTED_VALUE"""),4030.0)</f>
        <v>4030</v>
      </c>
      <c r="D1173" s="5">
        <f>IFERROR(__xludf.DUMMYFUNCTION("""COMPUTED_VALUE"""),3850.0)</f>
        <v>3850</v>
      </c>
      <c r="E1173" s="5">
        <f>IFERROR(__xludf.DUMMYFUNCTION("""COMPUTED_VALUE"""),3950.0)</f>
        <v>3950</v>
      </c>
      <c r="F1173" s="5">
        <f>IFERROR(__xludf.DUMMYFUNCTION("""COMPUTED_VALUE"""),2.769E7)</f>
        <v>27690000</v>
      </c>
      <c r="G1173" s="5">
        <f t="shared" si="1"/>
        <v>180</v>
      </c>
    </row>
    <row r="1174">
      <c r="A1174" s="4">
        <f>IFERROR(__xludf.DUMMYFUNCTION("""COMPUTED_VALUE"""),45597.66666666667)</f>
        <v>45597.66667</v>
      </c>
      <c r="B1174" s="5">
        <f>IFERROR(__xludf.DUMMYFUNCTION("""COMPUTED_VALUE"""),3950.0)</f>
        <v>3950</v>
      </c>
      <c r="C1174" s="5">
        <f>IFERROR(__xludf.DUMMYFUNCTION("""COMPUTED_VALUE"""),3990.0)</f>
        <v>3990</v>
      </c>
      <c r="D1174" s="5">
        <f>IFERROR(__xludf.DUMMYFUNCTION("""COMPUTED_VALUE"""),3810.0)</f>
        <v>3810</v>
      </c>
      <c r="E1174" s="5">
        <f>IFERROR(__xludf.DUMMYFUNCTION("""COMPUTED_VALUE"""),3810.0)</f>
        <v>3810</v>
      </c>
      <c r="F1174" s="5">
        <f>IFERROR(__xludf.DUMMYFUNCTION("""COMPUTED_VALUE"""),2.26232E7)</f>
        <v>22623200</v>
      </c>
      <c r="G1174" s="5">
        <f t="shared" si="1"/>
        <v>180</v>
      </c>
    </row>
    <row r="1175">
      <c r="A1175" s="4">
        <f>IFERROR(__xludf.DUMMYFUNCTION("""COMPUTED_VALUE"""),45600.66666666667)</f>
        <v>45600.66667</v>
      </c>
      <c r="B1175" s="5">
        <f>IFERROR(__xludf.DUMMYFUNCTION("""COMPUTED_VALUE"""),3810.0)</f>
        <v>3810</v>
      </c>
      <c r="C1175" s="5">
        <f>IFERROR(__xludf.DUMMYFUNCTION("""COMPUTED_VALUE"""),3830.0)</f>
        <v>3830</v>
      </c>
      <c r="D1175" s="5">
        <f>IFERROR(__xludf.DUMMYFUNCTION("""COMPUTED_VALUE"""),3610.0)</f>
        <v>3610</v>
      </c>
      <c r="E1175" s="5">
        <f>IFERROR(__xludf.DUMMYFUNCTION("""COMPUTED_VALUE"""),3610.0)</f>
        <v>3610</v>
      </c>
      <c r="F1175" s="5">
        <f>IFERROR(__xludf.DUMMYFUNCTION("""COMPUTED_VALUE"""),2.97072E7)</f>
        <v>29707200</v>
      </c>
      <c r="G1175" s="5">
        <f t="shared" si="1"/>
        <v>220</v>
      </c>
    </row>
    <row r="1176">
      <c r="A1176" s="4">
        <f>IFERROR(__xludf.DUMMYFUNCTION("""COMPUTED_VALUE"""),45601.66666666667)</f>
        <v>45601.66667</v>
      </c>
      <c r="B1176" s="5">
        <f>IFERROR(__xludf.DUMMYFUNCTION("""COMPUTED_VALUE"""),3610.0)</f>
        <v>3610</v>
      </c>
      <c r="C1176" s="5">
        <f>IFERROR(__xludf.DUMMYFUNCTION("""COMPUTED_VALUE"""),3680.0)</f>
        <v>3680</v>
      </c>
      <c r="D1176" s="5">
        <f>IFERROR(__xludf.DUMMYFUNCTION("""COMPUTED_VALUE"""),3610.0)</f>
        <v>3610</v>
      </c>
      <c r="E1176" s="5">
        <f>IFERROR(__xludf.DUMMYFUNCTION("""COMPUTED_VALUE"""),3630.0)</f>
        <v>3630</v>
      </c>
      <c r="F1176" s="5">
        <f>IFERROR(__xludf.DUMMYFUNCTION("""COMPUTED_VALUE"""),9901600.0)</f>
        <v>9901600</v>
      </c>
      <c r="G1176" s="5">
        <f t="shared" si="1"/>
        <v>70</v>
      </c>
    </row>
    <row r="1177">
      <c r="A1177" s="4">
        <f>IFERROR(__xludf.DUMMYFUNCTION("""COMPUTED_VALUE"""),45602.66666666667)</f>
        <v>45602.66667</v>
      </c>
      <c r="B1177" s="5">
        <f>IFERROR(__xludf.DUMMYFUNCTION("""COMPUTED_VALUE"""),3630.0)</f>
        <v>3630</v>
      </c>
      <c r="C1177" s="5">
        <f>IFERROR(__xludf.DUMMYFUNCTION("""COMPUTED_VALUE"""),3730.0)</f>
        <v>3730</v>
      </c>
      <c r="D1177" s="5">
        <f>IFERROR(__xludf.DUMMYFUNCTION("""COMPUTED_VALUE"""),3630.0)</f>
        <v>3630</v>
      </c>
      <c r="E1177" s="5">
        <f>IFERROR(__xludf.DUMMYFUNCTION("""COMPUTED_VALUE"""),3650.0)</f>
        <v>3650</v>
      </c>
      <c r="F1177" s="5">
        <f>IFERROR(__xludf.DUMMYFUNCTION("""COMPUTED_VALUE"""),1.09078E7)</f>
        <v>10907800</v>
      </c>
      <c r="G1177" s="5">
        <f t="shared" si="1"/>
        <v>100</v>
      </c>
    </row>
    <row r="1178">
      <c r="A1178" s="4">
        <f>IFERROR(__xludf.DUMMYFUNCTION("""COMPUTED_VALUE"""),45603.66666666667)</f>
        <v>45603.66667</v>
      </c>
      <c r="B1178" s="5">
        <f>IFERROR(__xludf.DUMMYFUNCTION("""COMPUTED_VALUE"""),3680.0)</f>
        <v>3680</v>
      </c>
      <c r="C1178" s="5">
        <f>IFERROR(__xludf.DUMMYFUNCTION("""COMPUTED_VALUE"""),3700.0)</f>
        <v>3700</v>
      </c>
      <c r="D1178" s="5">
        <f>IFERROR(__xludf.DUMMYFUNCTION("""COMPUTED_VALUE"""),3650.0)</f>
        <v>3650</v>
      </c>
      <c r="E1178" s="5">
        <f>IFERROR(__xludf.DUMMYFUNCTION("""COMPUTED_VALUE"""),3660.0)</f>
        <v>3660</v>
      </c>
      <c r="F1178" s="5">
        <f>IFERROR(__xludf.DUMMYFUNCTION("""COMPUTED_VALUE"""),7329900.0)</f>
        <v>7329900</v>
      </c>
      <c r="G1178" s="5">
        <f t="shared" si="1"/>
        <v>50</v>
      </c>
    </row>
    <row r="1179">
      <c r="A1179" s="4">
        <f>IFERROR(__xludf.DUMMYFUNCTION("""COMPUTED_VALUE"""),45604.66666666667)</f>
        <v>45604.66667</v>
      </c>
      <c r="B1179" s="5">
        <f>IFERROR(__xludf.DUMMYFUNCTION("""COMPUTED_VALUE"""),3670.0)</f>
        <v>3670</v>
      </c>
      <c r="C1179" s="5">
        <f>IFERROR(__xludf.DUMMYFUNCTION("""COMPUTED_VALUE"""),3690.0)</f>
        <v>3690</v>
      </c>
      <c r="D1179" s="5">
        <f>IFERROR(__xludf.DUMMYFUNCTION("""COMPUTED_VALUE"""),3630.0)</f>
        <v>3630</v>
      </c>
      <c r="E1179" s="5">
        <f>IFERROR(__xludf.DUMMYFUNCTION("""COMPUTED_VALUE"""),3630.0)</f>
        <v>3630</v>
      </c>
      <c r="F1179" s="5">
        <f>IFERROR(__xludf.DUMMYFUNCTION("""COMPUTED_VALUE"""),5173700.0)</f>
        <v>5173700</v>
      </c>
      <c r="G1179" s="5">
        <f t="shared" si="1"/>
        <v>60</v>
      </c>
    </row>
    <row r="1180">
      <c r="A1180" s="4">
        <f>IFERROR(__xludf.DUMMYFUNCTION("""COMPUTED_VALUE"""),45607.66666666667)</f>
        <v>45607.66667</v>
      </c>
      <c r="B1180" s="5">
        <f>IFERROR(__xludf.DUMMYFUNCTION("""COMPUTED_VALUE"""),3630.0)</f>
        <v>3630</v>
      </c>
      <c r="C1180" s="5">
        <f>IFERROR(__xludf.DUMMYFUNCTION("""COMPUTED_VALUE"""),3630.0)</f>
        <v>3630</v>
      </c>
      <c r="D1180" s="5">
        <f>IFERROR(__xludf.DUMMYFUNCTION("""COMPUTED_VALUE"""),3480.0)</f>
        <v>3480</v>
      </c>
      <c r="E1180" s="5">
        <f>IFERROR(__xludf.DUMMYFUNCTION("""COMPUTED_VALUE"""),3550.0)</f>
        <v>3550</v>
      </c>
      <c r="F1180" s="5">
        <f>IFERROR(__xludf.DUMMYFUNCTION("""COMPUTED_VALUE"""),1.60164E7)</f>
        <v>16016400</v>
      </c>
      <c r="G1180" s="5">
        <f t="shared" si="1"/>
        <v>150</v>
      </c>
    </row>
    <row r="1181">
      <c r="A1181" s="4">
        <f>IFERROR(__xludf.DUMMYFUNCTION("""COMPUTED_VALUE"""),45608.66666666667)</f>
        <v>45608.66667</v>
      </c>
      <c r="B1181" s="5">
        <f>IFERROR(__xludf.DUMMYFUNCTION("""COMPUTED_VALUE"""),3550.0)</f>
        <v>3550</v>
      </c>
      <c r="C1181" s="5">
        <f>IFERROR(__xludf.DUMMYFUNCTION("""COMPUTED_VALUE"""),3670.0)</f>
        <v>3670</v>
      </c>
      <c r="D1181" s="5">
        <f>IFERROR(__xludf.DUMMYFUNCTION("""COMPUTED_VALUE"""),3510.0)</f>
        <v>3510</v>
      </c>
      <c r="E1181" s="5">
        <f>IFERROR(__xludf.DUMMYFUNCTION("""COMPUTED_VALUE"""),3600.0)</f>
        <v>3600</v>
      </c>
      <c r="F1181" s="5">
        <f>IFERROR(__xludf.DUMMYFUNCTION("""COMPUTED_VALUE"""),1.25968E7)</f>
        <v>12596800</v>
      </c>
      <c r="G1181" s="5">
        <f t="shared" si="1"/>
        <v>160</v>
      </c>
    </row>
    <row r="1182">
      <c r="A1182" s="4">
        <f>IFERROR(__xludf.DUMMYFUNCTION("""COMPUTED_VALUE"""),45609.66666666667)</f>
        <v>45609.66667</v>
      </c>
      <c r="B1182" s="5">
        <f>IFERROR(__xludf.DUMMYFUNCTION("""COMPUTED_VALUE"""),3600.0)</f>
        <v>3600</v>
      </c>
      <c r="C1182" s="5">
        <f>IFERROR(__xludf.DUMMYFUNCTION("""COMPUTED_VALUE"""),3690.0)</f>
        <v>3690</v>
      </c>
      <c r="D1182" s="5">
        <f>IFERROR(__xludf.DUMMYFUNCTION("""COMPUTED_VALUE"""),3580.0)</f>
        <v>3580</v>
      </c>
      <c r="E1182" s="5">
        <f>IFERROR(__xludf.DUMMYFUNCTION("""COMPUTED_VALUE"""),3690.0)</f>
        <v>3690</v>
      </c>
      <c r="F1182" s="5">
        <f>IFERROR(__xludf.DUMMYFUNCTION("""COMPUTED_VALUE"""),5542000.0)</f>
        <v>5542000</v>
      </c>
      <c r="G1182" s="5">
        <f t="shared" si="1"/>
        <v>110</v>
      </c>
    </row>
    <row r="1183">
      <c r="A1183" s="4">
        <f>IFERROR(__xludf.DUMMYFUNCTION("""COMPUTED_VALUE"""),45610.66666666667)</f>
        <v>45610.66667</v>
      </c>
      <c r="B1183" s="5">
        <f>IFERROR(__xludf.DUMMYFUNCTION("""COMPUTED_VALUE"""),3700.0)</f>
        <v>3700</v>
      </c>
      <c r="C1183" s="5">
        <f>IFERROR(__xludf.DUMMYFUNCTION("""COMPUTED_VALUE"""),3700.0)</f>
        <v>3700</v>
      </c>
      <c r="D1183" s="5">
        <f>IFERROR(__xludf.DUMMYFUNCTION("""COMPUTED_VALUE"""),3630.0)</f>
        <v>3630</v>
      </c>
      <c r="E1183" s="5">
        <f>IFERROR(__xludf.DUMMYFUNCTION("""COMPUTED_VALUE"""),3630.0)</f>
        <v>3630</v>
      </c>
      <c r="F1183" s="5">
        <f>IFERROR(__xludf.DUMMYFUNCTION("""COMPUTED_VALUE"""),5105100.0)</f>
        <v>5105100</v>
      </c>
      <c r="G1183" s="5">
        <f t="shared" si="1"/>
        <v>70</v>
      </c>
    </row>
    <row r="1184">
      <c r="A1184" s="4">
        <f>IFERROR(__xludf.DUMMYFUNCTION("""COMPUTED_VALUE"""),45611.66666666667)</f>
        <v>45611.66667</v>
      </c>
      <c r="B1184" s="5">
        <f>IFERROR(__xludf.DUMMYFUNCTION("""COMPUTED_VALUE"""),3630.0)</f>
        <v>3630</v>
      </c>
      <c r="C1184" s="5">
        <f>IFERROR(__xludf.DUMMYFUNCTION("""COMPUTED_VALUE"""),3660.0)</f>
        <v>3660</v>
      </c>
      <c r="D1184" s="5">
        <f>IFERROR(__xludf.DUMMYFUNCTION("""COMPUTED_VALUE"""),3540.0)</f>
        <v>3540</v>
      </c>
      <c r="E1184" s="5">
        <f>IFERROR(__xludf.DUMMYFUNCTION("""COMPUTED_VALUE"""),3540.0)</f>
        <v>3540</v>
      </c>
      <c r="F1184" s="5">
        <f>IFERROR(__xludf.DUMMYFUNCTION("""COMPUTED_VALUE"""),4684600.0)</f>
        <v>4684600</v>
      </c>
      <c r="G1184" s="5">
        <f t="shared" si="1"/>
        <v>120</v>
      </c>
    </row>
    <row r="1185">
      <c r="A1185" s="4">
        <f>IFERROR(__xludf.DUMMYFUNCTION("""COMPUTED_VALUE"""),45614.66666666667)</f>
        <v>45614.66667</v>
      </c>
      <c r="B1185" s="5">
        <f>IFERROR(__xludf.DUMMYFUNCTION("""COMPUTED_VALUE"""),3550.0)</f>
        <v>3550</v>
      </c>
      <c r="C1185" s="5">
        <f>IFERROR(__xludf.DUMMYFUNCTION("""COMPUTED_VALUE"""),3570.0)</f>
        <v>3570</v>
      </c>
      <c r="D1185" s="5">
        <f>IFERROR(__xludf.DUMMYFUNCTION("""COMPUTED_VALUE"""),3480.0)</f>
        <v>3480</v>
      </c>
      <c r="E1185" s="5">
        <f>IFERROR(__xludf.DUMMYFUNCTION("""COMPUTED_VALUE"""),3550.0)</f>
        <v>3550</v>
      </c>
      <c r="F1185" s="5">
        <f>IFERROR(__xludf.DUMMYFUNCTION("""COMPUTED_VALUE"""),5202000.0)</f>
        <v>5202000</v>
      </c>
      <c r="G1185" s="5">
        <f t="shared" si="1"/>
        <v>90</v>
      </c>
    </row>
    <row r="1186">
      <c r="A1186" s="4">
        <f>IFERROR(__xludf.DUMMYFUNCTION("""COMPUTED_VALUE"""),45615.66666666667)</f>
        <v>45615.66667</v>
      </c>
      <c r="B1186" s="5">
        <f>IFERROR(__xludf.DUMMYFUNCTION("""COMPUTED_VALUE"""),3550.0)</f>
        <v>3550</v>
      </c>
      <c r="C1186" s="5">
        <f>IFERROR(__xludf.DUMMYFUNCTION("""COMPUTED_VALUE"""),3700.0)</f>
        <v>3700</v>
      </c>
      <c r="D1186" s="5">
        <f>IFERROR(__xludf.DUMMYFUNCTION("""COMPUTED_VALUE"""),3550.0)</f>
        <v>3550</v>
      </c>
      <c r="E1186" s="5">
        <f>IFERROR(__xludf.DUMMYFUNCTION("""COMPUTED_VALUE"""),3680.0)</f>
        <v>3680</v>
      </c>
      <c r="F1186" s="5">
        <f>IFERROR(__xludf.DUMMYFUNCTION("""COMPUTED_VALUE"""),7248500.0)</f>
        <v>7248500</v>
      </c>
      <c r="G1186" s="5">
        <f t="shared" si="1"/>
        <v>150</v>
      </c>
    </row>
    <row r="1187">
      <c r="A1187" s="4">
        <f>IFERROR(__xludf.DUMMYFUNCTION("""COMPUTED_VALUE"""),45616.66666666667)</f>
        <v>45616.66667</v>
      </c>
      <c r="B1187" s="5">
        <f>IFERROR(__xludf.DUMMYFUNCTION("""COMPUTED_VALUE"""),3690.0)</f>
        <v>3690</v>
      </c>
      <c r="C1187" s="5">
        <f>IFERROR(__xludf.DUMMYFUNCTION("""COMPUTED_VALUE"""),3760.0)</f>
        <v>3760</v>
      </c>
      <c r="D1187" s="5">
        <f>IFERROR(__xludf.DUMMYFUNCTION("""COMPUTED_VALUE"""),3620.0)</f>
        <v>3620</v>
      </c>
      <c r="E1187" s="5">
        <f>IFERROR(__xludf.DUMMYFUNCTION("""COMPUTED_VALUE"""),3620.0)</f>
        <v>3620</v>
      </c>
      <c r="F1187" s="5">
        <f>IFERROR(__xludf.DUMMYFUNCTION("""COMPUTED_VALUE"""),8908100.0)</f>
        <v>8908100</v>
      </c>
      <c r="G1187" s="5">
        <f t="shared" si="1"/>
        <v>140</v>
      </c>
    </row>
    <row r="1188">
      <c r="A1188" s="4">
        <f>IFERROR(__xludf.DUMMYFUNCTION("""COMPUTED_VALUE"""),45617.66666666667)</f>
        <v>45617.66667</v>
      </c>
      <c r="B1188" s="5">
        <f>IFERROR(__xludf.DUMMYFUNCTION("""COMPUTED_VALUE"""),3640.0)</f>
        <v>3640</v>
      </c>
      <c r="C1188" s="5">
        <f>IFERROR(__xludf.DUMMYFUNCTION("""COMPUTED_VALUE"""),3650.0)</f>
        <v>3650</v>
      </c>
      <c r="D1188" s="5">
        <f>IFERROR(__xludf.DUMMYFUNCTION("""COMPUTED_VALUE"""),3590.0)</f>
        <v>3590</v>
      </c>
      <c r="E1188" s="5">
        <f>IFERROR(__xludf.DUMMYFUNCTION("""COMPUTED_VALUE"""),3600.0)</f>
        <v>3600</v>
      </c>
      <c r="F1188" s="5">
        <f>IFERROR(__xludf.DUMMYFUNCTION("""COMPUTED_VALUE"""),4399000.0)</f>
        <v>4399000</v>
      </c>
      <c r="G1188" s="5">
        <f t="shared" si="1"/>
        <v>60</v>
      </c>
    </row>
    <row r="1189">
      <c r="A1189" s="4">
        <f>IFERROR(__xludf.DUMMYFUNCTION("""COMPUTED_VALUE"""),45618.66666666667)</f>
        <v>45618.66667</v>
      </c>
      <c r="B1189" s="5">
        <f>IFERROR(__xludf.DUMMYFUNCTION("""COMPUTED_VALUE"""),3600.0)</f>
        <v>3600</v>
      </c>
      <c r="C1189" s="5">
        <f>IFERROR(__xludf.DUMMYFUNCTION("""COMPUTED_VALUE"""),3670.0)</f>
        <v>3670</v>
      </c>
      <c r="D1189" s="5">
        <f>IFERROR(__xludf.DUMMYFUNCTION("""COMPUTED_VALUE"""),3590.0)</f>
        <v>3590</v>
      </c>
      <c r="E1189" s="5">
        <f>IFERROR(__xludf.DUMMYFUNCTION("""COMPUTED_VALUE"""),3590.0)</f>
        <v>3590</v>
      </c>
      <c r="F1189" s="5">
        <f>IFERROR(__xludf.DUMMYFUNCTION("""COMPUTED_VALUE"""),3858400.0)</f>
        <v>3858400</v>
      </c>
      <c r="G1189" s="5">
        <f t="shared" si="1"/>
        <v>80</v>
      </c>
    </row>
    <row r="1190">
      <c r="A1190" s="4">
        <f>IFERROR(__xludf.DUMMYFUNCTION("""COMPUTED_VALUE"""),45621.66666666667)</f>
        <v>45621.66667</v>
      </c>
      <c r="B1190" s="5">
        <f>IFERROR(__xludf.DUMMYFUNCTION("""COMPUTED_VALUE"""),3600.0)</f>
        <v>3600</v>
      </c>
      <c r="C1190" s="5">
        <f>IFERROR(__xludf.DUMMYFUNCTION("""COMPUTED_VALUE"""),3700.0)</f>
        <v>3700</v>
      </c>
      <c r="D1190" s="5">
        <f>IFERROR(__xludf.DUMMYFUNCTION("""COMPUTED_VALUE"""),3590.0)</f>
        <v>3590</v>
      </c>
      <c r="E1190" s="5">
        <f>IFERROR(__xludf.DUMMYFUNCTION("""COMPUTED_VALUE"""),3650.0)</f>
        <v>3650</v>
      </c>
      <c r="F1190" s="5">
        <f>IFERROR(__xludf.DUMMYFUNCTION("""COMPUTED_VALUE"""),5313900.0)</f>
        <v>5313900</v>
      </c>
      <c r="G1190" s="5">
        <f t="shared" si="1"/>
        <v>110</v>
      </c>
    </row>
    <row r="1191">
      <c r="A1191" s="4">
        <f>IFERROR(__xludf.DUMMYFUNCTION("""COMPUTED_VALUE"""),45622.66666666667)</f>
        <v>45622.66667</v>
      </c>
      <c r="B1191" s="5">
        <f>IFERROR(__xludf.DUMMYFUNCTION("""COMPUTED_VALUE"""),3670.0)</f>
        <v>3670</v>
      </c>
      <c r="C1191" s="5">
        <f>IFERROR(__xludf.DUMMYFUNCTION("""COMPUTED_VALUE"""),3720.0)</f>
        <v>3720</v>
      </c>
      <c r="D1191" s="5">
        <f>IFERROR(__xludf.DUMMYFUNCTION("""COMPUTED_VALUE"""),3600.0)</f>
        <v>3600</v>
      </c>
      <c r="E1191" s="5">
        <f>IFERROR(__xludf.DUMMYFUNCTION("""COMPUTED_VALUE"""),3600.0)</f>
        <v>3600</v>
      </c>
      <c r="F1191" s="5">
        <f>IFERROR(__xludf.DUMMYFUNCTION("""COMPUTED_VALUE"""),5081100.0)</f>
        <v>5081100</v>
      </c>
      <c r="G1191" s="5">
        <f t="shared" si="1"/>
        <v>120</v>
      </c>
    </row>
    <row r="1192">
      <c r="A1192" s="4">
        <f>IFERROR(__xludf.DUMMYFUNCTION("""COMPUTED_VALUE"""),45624.66666666667)</f>
        <v>45624.66667</v>
      </c>
      <c r="B1192" s="5">
        <f>IFERROR(__xludf.DUMMYFUNCTION("""COMPUTED_VALUE"""),3620.0)</f>
        <v>3620</v>
      </c>
      <c r="C1192" s="5">
        <f>IFERROR(__xludf.DUMMYFUNCTION("""COMPUTED_VALUE"""),3700.0)</f>
        <v>3700</v>
      </c>
      <c r="D1192" s="5">
        <f>IFERROR(__xludf.DUMMYFUNCTION("""COMPUTED_VALUE"""),3600.0)</f>
        <v>3600</v>
      </c>
      <c r="E1192" s="5">
        <f>IFERROR(__xludf.DUMMYFUNCTION("""COMPUTED_VALUE"""),3610.0)</f>
        <v>3610</v>
      </c>
      <c r="F1192" s="5">
        <f>IFERROR(__xludf.DUMMYFUNCTION("""COMPUTED_VALUE"""),8178400.0)</f>
        <v>8178400</v>
      </c>
      <c r="G1192" s="5">
        <f t="shared" si="1"/>
        <v>100</v>
      </c>
    </row>
    <row r="1193">
      <c r="A1193" s="4">
        <f>IFERROR(__xludf.DUMMYFUNCTION("""COMPUTED_VALUE"""),45625.66666666667)</f>
        <v>45625.66667</v>
      </c>
      <c r="B1193" s="5">
        <f>IFERROR(__xludf.DUMMYFUNCTION("""COMPUTED_VALUE"""),3630.0)</f>
        <v>3630</v>
      </c>
      <c r="C1193" s="5">
        <f>IFERROR(__xludf.DUMMYFUNCTION("""COMPUTED_VALUE"""),3640.0)</f>
        <v>3640</v>
      </c>
      <c r="D1193" s="5">
        <f>IFERROR(__xludf.DUMMYFUNCTION("""COMPUTED_VALUE"""),3490.0)</f>
        <v>3490</v>
      </c>
      <c r="E1193" s="5">
        <f>IFERROR(__xludf.DUMMYFUNCTION("""COMPUTED_VALUE"""),3500.0)</f>
        <v>3500</v>
      </c>
      <c r="F1193" s="5">
        <f>IFERROR(__xludf.DUMMYFUNCTION("""COMPUTED_VALUE"""),7413800.0)</f>
        <v>7413800</v>
      </c>
      <c r="G1193" s="5">
        <f t="shared" si="1"/>
        <v>150</v>
      </c>
    </row>
    <row r="1194">
      <c r="A1194" s="4">
        <f>IFERROR(__xludf.DUMMYFUNCTION("""COMPUTED_VALUE"""),45628.66666666667)</f>
        <v>45628.66667</v>
      </c>
      <c r="B1194" s="5">
        <f>IFERROR(__xludf.DUMMYFUNCTION("""COMPUTED_VALUE"""),3500.0)</f>
        <v>3500</v>
      </c>
      <c r="C1194" s="5">
        <f>IFERROR(__xludf.DUMMYFUNCTION("""COMPUTED_VALUE"""),3540.0)</f>
        <v>3540</v>
      </c>
      <c r="D1194" s="5">
        <f>IFERROR(__xludf.DUMMYFUNCTION("""COMPUTED_VALUE"""),3420.0)</f>
        <v>3420</v>
      </c>
      <c r="E1194" s="5">
        <f>IFERROR(__xludf.DUMMYFUNCTION("""COMPUTED_VALUE"""),3420.0)</f>
        <v>3420</v>
      </c>
      <c r="F1194" s="5">
        <f>IFERROR(__xludf.DUMMYFUNCTION("""COMPUTED_VALUE"""),5879700.0)</f>
        <v>5879700</v>
      </c>
      <c r="G1194" s="5">
        <f t="shared" si="1"/>
        <v>120</v>
      </c>
    </row>
    <row r="1195">
      <c r="A1195" s="4">
        <f>IFERROR(__xludf.DUMMYFUNCTION("""COMPUTED_VALUE"""),45629.66666666667)</f>
        <v>45629.66667</v>
      </c>
      <c r="B1195" s="5">
        <f>IFERROR(__xludf.DUMMYFUNCTION("""COMPUTED_VALUE"""),3420.0)</f>
        <v>3420</v>
      </c>
      <c r="C1195" s="5">
        <f>IFERROR(__xludf.DUMMYFUNCTION("""COMPUTED_VALUE"""),3470.0)</f>
        <v>3470</v>
      </c>
      <c r="D1195" s="5">
        <f>IFERROR(__xludf.DUMMYFUNCTION("""COMPUTED_VALUE"""),3280.0)</f>
        <v>3280</v>
      </c>
      <c r="E1195" s="5">
        <f>IFERROR(__xludf.DUMMYFUNCTION("""COMPUTED_VALUE"""),3290.0)</f>
        <v>3290</v>
      </c>
      <c r="F1195" s="5">
        <f>IFERROR(__xludf.DUMMYFUNCTION("""COMPUTED_VALUE"""),2.23547E7)</f>
        <v>22354700</v>
      </c>
      <c r="G1195" s="5">
        <f t="shared" si="1"/>
        <v>190</v>
      </c>
    </row>
    <row r="1196">
      <c r="A1196" s="4">
        <f>IFERROR(__xludf.DUMMYFUNCTION("""COMPUTED_VALUE"""),45630.66666666667)</f>
        <v>45630.66667</v>
      </c>
      <c r="B1196" s="5">
        <f>IFERROR(__xludf.DUMMYFUNCTION("""COMPUTED_VALUE"""),3310.0)</f>
        <v>3310</v>
      </c>
      <c r="C1196" s="5">
        <f>IFERROR(__xludf.DUMMYFUNCTION("""COMPUTED_VALUE"""),3440.0)</f>
        <v>3440</v>
      </c>
      <c r="D1196" s="5">
        <f>IFERROR(__xludf.DUMMYFUNCTION("""COMPUTED_VALUE"""),3310.0)</f>
        <v>3310</v>
      </c>
      <c r="E1196" s="5">
        <f>IFERROR(__xludf.DUMMYFUNCTION("""COMPUTED_VALUE"""),3440.0)</f>
        <v>3440</v>
      </c>
      <c r="F1196" s="5">
        <f>IFERROR(__xludf.DUMMYFUNCTION("""COMPUTED_VALUE"""),1.97188E7)</f>
        <v>19718800</v>
      </c>
      <c r="G1196" s="5">
        <f t="shared" si="1"/>
        <v>150</v>
      </c>
    </row>
    <row r="1197">
      <c r="A1197" s="4">
        <f>IFERROR(__xludf.DUMMYFUNCTION("""COMPUTED_VALUE"""),45631.66666666667)</f>
        <v>45631.66667</v>
      </c>
      <c r="B1197" s="5">
        <f>IFERROR(__xludf.DUMMYFUNCTION("""COMPUTED_VALUE"""),3430.0)</f>
        <v>3430</v>
      </c>
      <c r="C1197" s="5">
        <f>IFERROR(__xludf.DUMMYFUNCTION("""COMPUTED_VALUE"""),3430.0)</f>
        <v>3430</v>
      </c>
      <c r="D1197" s="5">
        <f>IFERROR(__xludf.DUMMYFUNCTION("""COMPUTED_VALUE"""),3360.0)</f>
        <v>3360</v>
      </c>
      <c r="E1197" s="5">
        <f>IFERROR(__xludf.DUMMYFUNCTION("""COMPUTED_VALUE"""),3370.0)</f>
        <v>3370</v>
      </c>
      <c r="F1197" s="5">
        <f>IFERROR(__xludf.DUMMYFUNCTION("""COMPUTED_VALUE"""),6901600.0)</f>
        <v>6901600</v>
      </c>
      <c r="G1197" s="5">
        <f t="shared" si="1"/>
        <v>80</v>
      </c>
    </row>
    <row r="1198">
      <c r="A1198" s="4">
        <f>IFERROR(__xludf.DUMMYFUNCTION("""COMPUTED_VALUE"""),45632.66666666667)</f>
        <v>45632.66667</v>
      </c>
      <c r="B1198" s="5">
        <f>IFERROR(__xludf.DUMMYFUNCTION("""COMPUTED_VALUE"""),3370.0)</f>
        <v>3370</v>
      </c>
      <c r="C1198" s="5">
        <f>IFERROR(__xludf.DUMMYFUNCTION("""COMPUTED_VALUE"""),3380.0)</f>
        <v>3380</v>
      </c>
      <c r="D1198" s="5">
        <f>IFERROR(__xludf.DUMMYFUNCTION("""COMPUTED_VALUE"""),3260.0)</f>
        <v>3260</v>
      </c>
      <c r="E1198" s="5">
        <f>IFERROR(__xludf.DUMMYFUNCTION("""COMPUTED_VALUE"""),3280.0)</f>
        <v>3280</v>
      </c>
      <c r="F1198" s="5">
        <f>IFERROR(__xludf.DUMMYFUNCTION("""COMPUTED_VALUE"""),1.95943E7)</f>
        <v>19594300</v>
      </c>
      <c r="G1198" s="5">
        <f t="shared" si="1"/>
        <v>120</v>
      </c>
    </row>
    <row r="1199">
      <c r="A1199" s="4">
        <f>IFERROR(__xludf.DUMMYFUNCTION("""COMPUTED_VALUE"""),45635.66666666667)</f>
        <v>45635.66667</v>
      </c>
      <c r="B1199" s="5">
        <f>IFERROR(__xludf.DUMMYFUNCTION("""COMPUTED_VALUE"""),3290.0)</f>
        <v>3290</v>
      </c>
      <c r="C1199" s="5">
        <f>IFERROR(__xludf.DUMMYFUNCTION("""COMPUTED_VALUE"""),3330.0)</f>
        <v>3330</v>
      </c>
      <c r="D1199" s="5">
        <f>IFERROR(__xludf.DUMMYFUNCTION("""COMPUTED_VALUE"""),3270.0)</f>
        <v>3270</v>
      </c>
      <c r="E1199" s="5">
        <f>IFERROR(__xludf.DUMMYFUNCTION("""COMPUTED_VALUE"""),3310.0)</f>
        <v>3310</v>
      </c>
      <c r="F1199" s="5">
        <f>IFERROR(__xludf.DUMMYFUNCTION("""COMPUTED_VALUE"""),1.04256E7)</f>
        <v>10425600</v>
      </c>
      <c r="G1199" s="5">
        <f t="shared" si="1"/>
        <v>60</v>
      </c>
    </row>
    <row r="1200">
      <c r="A1200" s="4">
        <f>IFERROR(__xludf.DUMMYFUNCTION("""COMPUTED_VALUE"""),45636.66666666667)</f>
        <v>45636.66667</v>
      </c>
      <c r="B1200" s="5">
        <f>IFERROR(__xludf.DUMMYFUNCTION("""COMPUTED_VALUE"""),3330.0)</f>
        <v>3330</v>
      </c>
      <c r="C1200" s="5">
        <f>IFERROR(__xludf.DUMMYFUNCTION("""COMPUTED_VALUE"""),3350.0)</f>
        <v>3350</v>
      </c>
      <c r="D1200" s="5">
        <f>IFERROR(__xludf.DUMMYFUNCTION("""COMPUTED_VALUE"""),3310.0)</f>
        <v>3310</v>
      </c>
      <c r="E1200" s="5">
        <f>IFERROR(__xludf.DUMMYFUNCTION("""COMPUTED_VALUE"""),3310.0)</f>
        <v>3310</v>
      </c>
      <c r="F1200" s="5">
        <f>IFERROR(__xludf.DUMMYFUNCTION("""COMPUTED_VALUE"""),9854000.0)</f>
        <v>9854000</v>
      </c>
      <c r="G1200" s="5">
        <f t="shared" si="1"/>
        <v>40</v>
      </c>
    </row>
    <row r="1201">
      <c r="A1201" s="4">
        <f>IFERROR(__xludf.DUMMYFUNCTION("""COMPUTED_VALUE"""),45637.66666666667)</f>
        <v>45637.66667</v>
      </c>
      <c r="B1201" s="5">
        <f>IFERROR(__xludf.DUMMYFUNCTION("""COMPUTED_VALUE"""),3310.0)</f>
        <v>3310</v>
      </c>
      <c r="C1201" s="5">
        <f>IFERROR(__xludf.DUMMYFUNCTION("""COMPUTED_VALUE"""),3450.0)</f>
        <v>3450</v>
      </c>
      <c r="D1201" s="5">
        <f>IFERROR(__xludf.DUMMYFUNCTION("""COMPUTED_VALUE"""),3310.0)</f>
        <v>3310</v>
      </c>
      <c r="E1201" s="5">
        <f>IFERROR(__xludf.DUMMYFUNCTION("""COMPUTED_VALUE"""),3440.0)</f>
        <v>3440</v>
      </c>
      <c r="F1201" s="5">
        <f>IFERROR(__xludf.DUMMYFUNCTION("""COMPUTED_VALUE"""),1.51608E7)</f>
        <v>15160800</v>
      </c>
      <c r="G1201" s="5">
        <f t="shared" si="1"/>
        <v>140</v>
      </c>
    </row>
    <row r="1202">
      <c r="A1202" s="4">
        <f>IFERROR(__xludf.DUMMYFUNCTION("""COMPUTED_VALUE"""),45638.66666666667)</f>
        <v>45638.66667</v>
      </c>
      <c r="B1202" s="5">
        <f>IFERROR(__xludf.DUMMYFUNCTION("""COMPUTED_VALUE"""),3460.0)</f>
        <v>3460</v>
      </c>
      <c r="C1202" s="5">
        <f>IFERROR(__xludf.DUMMYFUNCTION("""COMPUTED_VALUE"""),3520.0)</f>
        <v>3520</v>
      </c>
      <c r="D1202" s="5">
        <f>IFERROR(__xludf.DUMMYFUNCTION("""COMPUTED_VALUE"""),3360.0)</f>
        <v>3360</v>
      </c>
      <c r="E1202" s="5">
        <f>IFERROR(__xludf.DUMMYFUNCTION("""COMPUTED_VALUE"""),3380.0)</f>
        <v>3380</v>
      </c>
      <c r="F1202" s="5">
        <f>IFERROR(__xludf.DUMMYFUNCTION("""COMPUTED_VALUE"""),1.17307E7)</f>
        <v>11730700</v>
      </c>
      <c r="G1202" s="5">
        <f t="shared" si="1"/>
        <v>160</v>
      </c>
    </row>
    <row r="1203">
      <c r="A1203" s="4">
        <f>IFERROR(__xludf.DUMMYFUNCTION("""COMPUTED_VALUE"""),45639.66666666667)</f>
        <v>45639.66667</v>
      </c>
      <c r="B1203" s="5">
        <f>IFERROR(__xludf.DUMMYFUNCTION("""COMPUTED_VALUE"""),3370.0)</f>
        <v>3370</v>
      </c>
      <c r="C1203" s="5">
        <f>IFERROR(__xludf.DUMMYFUNCTION("""COMPUTED_VALUE"""),3440.0)</f>
        <v>3440</v>
      </c>
      <c r="D1203" s="5">
        <f>IFERROR(__xludf.DUMMYFUNCTION("""COMPUTED_VALUE"""),3370.0)</f>
        <v>3370</v>
      </c>
      <c r="E1203" s="5">
        <f>IFERROR(__xludf.DUMMYFUNCTION("""COMPUTED_VALUE"""),3400.0)</f>
        <v>3400</v>
      </c>
      <c r="F1203" s="5">
        <f>IFERROR(__xludf.DUMMYFUNCTION("""COMPUTED_VALUE"""),6867400.0)</f>
        <v>6867400</v>
      </c>
      <c r="G1203" s="5">
        <f t="shared" si="1"/>
        <v>70</v>
      </c>
    </row>
    <row r="1204">
      <c r="A1204" s="4">
        <f>IFERROR(__xludf.DUMMYFUNCTION("""COMPUTED_VALUE"""),45642.66666666667)</f>
        <v>45642.66667</v>
      </c>
      <c r="B1204" s="5">
        <f>IFERROR(__xludf.DUMMYFUNCTION("""COMPUTED_VALUE"""),3400.0)</f>
        <v>3400</v>
      </c>
      <c r="C1204" s="5">
        <f>IFERROR(__xludf.DUMMYFUNCTION("""COMPUTED_VALUE"""),3420.0)</f>
        <v>3420</v>
      </c>
      <c r="D1204" s="5">
        <f>IFERROR(__xludf.DUMMYFUNCTION("""COMPUTED_VALUE"""),3340.0)</f>
        <v>3340</v>
      </c>
      <c r="E1204" s="5">
        <f>IFERROR(__xludf.DUMMYFUNCTION("""COMPUTED_VALUE"""),3360.0)</f>
        <v>3360</v>
      </c>
      <c r="F1204" s="5">
        <f>IFERROR(__xludf.DUMMYFUNCTION("""COMPUTED_VALUE"""),4345600.0)</f>
        <v>4345600</v>
      </c>
      <c r="G1204" s="5">
        <f t="shared" si="1"/>
        <v>80</v>
      </c>
    </row>
    <row r="1205">
      <c r="A1205" s="4">
        <f>IFERROR(__xludf.DUMMYFUNCTION("""COMPUTED_VALUE"""),45643.66666666667)</f>
        <v>45643.66667</v>
      </c>
      <c r="B1205" s="5">
        <f>IFERROR(__xludf.DUMMYFUNCTION("""COMPUTED_VALUE"""),3360.0)</f>
        <v>3360</v>
      </c>
      <c r="C1205" s="5">
        <f>IFERROR(__xludf.DUMMYFUNCTION("""COMPUTED_VALUE"""),3390.0)</f>
        <v>3390</v>
      </c>
      <c r="D1205" s="5">
        <f>IFERROR(__xludf.DUMMYFUNCTION("""COMPUTED_VALUE"""),3280.0)</f>
        <v>3280</v>
      </c>
      <c r="E1205" s="5">
        <f>IFERROR(__xludf.DUMMYFUNCTION("""COMPUTED_VALUE"""),3290.0)</f>
        <v>3290</v>
      </c>
      <c r="F1205" s="5">
        <f>IFERROR(__xludf.DUMMYFUNCTION("""COMPUTED_VALUE"""),7382900.0)</f>
        <v>7382900</v>
      </c>
      <c r="G1205" s="5">
        <f t="shared" si="1"/>
        <v>110</v>
      </c>
    </row>
    <row r="1206">
      <c r="A1206" s="4">
        <f>IFERROR(__xludf.DUMMYFUNCTION("""COMPUTED_VALUE"""),45644.66666666667)</f>
        <v>45644.66667</v>
      </c>
      <c r="B1206" s="5">
        <f>IFERROR(__xludf.DUMMYFUNCTION("""COMPUTED_VALUE"""),3310.0)</f>
        <v>3310</v>
      </c>
      <c r="C1206" s="5">
        <f>IFERROR(__xludf.DUMMYFUNCTION("""COMPUTED_VALUE"""),3390.0)</f>
        <v>3390</v>
      </c>
      <c r="D1206" s="5">
        <f>IFERROR(__xludf.DUMMYFUNCTION("""COMPUTED_VALUE"""),3300.0)</f>
        <v>3300</v>
      </c>
      <c r="E1206" s="5">
        <f>IFERROR(__xludf.DUMMYFUNCTION("""COMPUTED_VALUE"""),3380.0)</f>
        <v>3380</v>
      </c>
      <c r="F1206" s="5">
        <f>IFERROR(__xludf.DUMMYFUNCTION("""COMPUTED_VALUE"""),1.04661E7)</f>
        <v>10466100</v>
      </c>
      <c r="G1206" s="5">
        <f t="shared" si="1"/>
        <v>100</v>
      </c>
    </row>
    <row r="1207">
      <c r="A1207" s="4">
        <f>IFERROR(__xludf.DUMMYFUNCTION("""COMPUTED_VALUE"""),45645.66666666667)</f>
        <v>45645.66667</v>
      </c>
      <c r="B1207" s="5">
        <f>IFERROR(__xludf.DUMMYFUNCTION("""COMPUTED_VALUE"""),3350.0)</f>
        <v>3350</v>
      </c>
      <c r="C1207" s="5">
        <f>IFERROR(__xludf.DUMMYFUNCTION("""COMPUTED_VALUE"""),3350.0)</f>
        <v>3350</v>
      </c>
      <c r="D1207" s="5">
        <f>IFERROR(__xludf.DUMMYFUNCTION("""COMPUTED_VALUE"""),3260.0)</f>
        <v>3260</v>
      </c>
      <c r="E1207" s="5">
        <f>IFERROR(__xludf.DUMMYFUNCTION("""COMPUTED_VALUE"""),3280.0)</f>
        <v>3280</v>
      </c>
      <c r="F1207" s="5">
        <f>IFERROR(__xludf.DUMMYFUNCTION("""COMPUTED_VALUE"""),6603300.0)</f>
        <v>6603300</v>
      </c>
      <c r="G1207" s="5">
        <f t="shared" si="1"/>
        <v>120</v>
      </c>
    </row>
    <row r="1208">
      <c r="A1208" s="4">
        <f>IFERROR(__xludf.DUMMYFUNCTION("""COMPUTED_VALUE"""),45646.66666666667)</f>
        <v>45646.66667</v>
      </c>
      <c r="B1208" s="5">
        <f>IFERROR(__xludf.DUMMYFUNCTION("""COMPUTED_VALUE"""),3280.0)</f>
        <v>3280</v>
      </c>
      <c r="C1208" s="5">
        <f>IFERROR(__xludf.DUMMYFUNCTION("""COMPUTED_VALUE"""),3320.0)</f>
        <v>3320</v>
      </c>
      <c r="D1208" s="5">
        <f>IFERROR(__xludf.DUMMYFUNCTION("""COMPUTED_VALUE"""),3260.0)</f>
        <v>3260</v>
      </c>
      <c r="E1208" s="5">
        <f>IFERROR(__xludf.DUMMYFUNCTION("""COMPUTED_VALUE"""),3260.0)</f>
        <v>3260</v>
      </c>
      <c r="F1208" s="5">
        <f>IFERROR(__xludf.DUMMYFUNCTION("""COMPUTED_VALUE"""),7533200.0)</f>
        <v>7533200</v>
      </c>
      <c r="G1208" s="5">
        <f t="shared" si="1"/>
        <v>60</v>
      </c>
    </row>
    <row r="1209">
      <c r="A1209" s="4">
        <f>IFERROR(__xludf.DUMMYFUNCTION("""COMPUTED_VALUE"""),45649.66666666667)</f>
        <v>45649.66667</v>
      </c>
      <c r="B1209" s="5">
        <f>IFERROR(__xludf.DUMMYFUNCTION("""COMPUTED_VALUE"""),3300.0)</f>
        <v>3300</v>
      </c>
      <c r="C1209" s="5">
        <f>IFERROR(__xludf.DUMMYFUNCTION("""COMPUTED_VALUE"""),3360.0)</f>
        <v>3360</v>
      </c>
      <c r="D1209" s="5">
        <f>IFERROR(__xludf.DUMMYFUNCTION("""COMPUTED_VALUE"""),3220.0)</f>
        <v>3220</v>
      </c>
      <c r="E1209" s="5">
        <f>IFERROR(__xludf.DUMMYFUNCTION("""COMPUTED_VALUE"""),3350.0)</f>
        <v>3350</v>
      </c>
      <c r="F1209" s="5">
        <f>IFERROR(__xludf.DUMMYFUNCTION("""COMPUTED_VALUE"""),1.39138E7)</f>
        <v>13913800</v>
      </c>
      <c r="G1209" s="5">
        <f t="shared" si="1"/>
        <v>140</v>
      </c>
    </row>
    <row r="1210">
      <c r="A1210" s="4">
        <f>IFERROR(__xludf.DUMMYFUNCTION("""COMPUTED_VALUE"""),45650.66666666667)</f>
        <v>45650.66667</v>
      </c>
      <c r="B1210" s="5">
        <f>IFERROR(__xludf.DUMMYFUNCTION("""COMPUTED_VALUE"""),3350.0)</f>
        <v>3350</v>
      </c>
      <c r="C1210" s="5">
        <f>IFERROR(__xludf.DUMMYFUNCTION("""COMPUTED_VALUE"""),3350.0)</f>
        <v>3350</v>
      </c>
      <c r="D1210" s="5">
        <f>IFERROR(__xludf.DUMMYFUNCTION("""COMPUTED_VALUE"""),3240.0)</f>
        <v>3240</v>
      </c>
      <c r="E1210" s="5">
        <f>IFERROR(__xludf.DUMMYFUNCTION("""COMPUTED_VALUE"""),3240.0)</f>
        <v>3240</v>
      </c>
      <c r="F1210" s="5">
        <f>IFERROR(__xludf.DUMMYFUNCTION("""COMPUTED_VALUE"""),6957200.0)</f>
        <v>6957200</v>
      </c>
      <c r="G1210" s="5">
        <f t="shared" si="1"/>
        <v>110</v>
      </c>
    </row>
    <row r="1211">
      <c r="A1211" s="4">
        <f>IFERROR(__xludf.DUMMYFUNCTION("""COMPUTED_VALUE"""),45653.66666666667)</f>
        <v>45653.66667</v>
      </c>
      <c r="B1211" s="5">
        <f>IFERROR(__xludf.DUMMYFUNCTION("""COMPUTED_VALUE"""),3250.0)</f>
        <v>3250</v>
      </c>
      <c r="C1211" s="5">
        <f>IFERROR(__xludf.DUMMYFUNCTION("""COMPUTED_VALUE"""),3330.0)</f>
        <v>3330</v>
      </c>
      <c r="D1211" s="5">
        <f>IFERROR(__xludf.DUMMYFUNCTION("""COMPUTED_VALUE"""),3250.0)</f>
        <v>3250</v>
      </c>
      <c r="E1211" s="5">
        <f>IFERROR(__xludf.DUMMYFUNCTION("""COMPUTED_VALUE"""),3300.0)</f>
        <v>3300</v>
      </c>
      <c r="F1211" s="5">
        <f>IFERROR(__xludf.DUMMYFUNCTION("""COMPUTED_VALUE"""),1.0314E7)</f>
        <v>10314000</v>
      </c>
      <c r="G1211" s="5">
        <f t="shared" si="1"/>
        <v>90</v>
      </c>
    </row>
    <row r="1212">
      <c r="A1212" s="4">
        <f>IFERROR(__xludf.DUMMYFUNCTION("""COMPUTED_VALUE"""),45656.66666666667)</f>
        <v>45656.66667</v>
      </c>
      <c r="B1212" s="5">
        <f>IFERROR(__xludf.DUMMYFUNCTION("""COMPUTED_VALUE"""),3350.0)</f>
        <v>3350</v>
      </c>
      <c r="C1212" s="5">
        <f>IFERROR(__xludf.DUMMYFUNCTION("""COMPUTED_VALUE"""),3350.0)</f>
        <v>3350</v>
      </c>
      <c r="D1212" s="5">
        <f>IFERROR(__xludf.DUMMYFUNCTION("""COMPUTED_VALUE"""),3270.0)</f>
        <v>3270</v>
      </c>
      <c r="E1212" s="5">
        <f>IFERROR(__xludf.DUMMYFUNCTION("""COMPUTED_VALUE"""),3290.0)</f>
        <v>3290</v>
      </c>
      <c r="F1212" s="5">
        <f>IFERROR(__xludf.DUMMYFUNCTION("""COMPUTED_VALUE"""),5280100.0)</f>
        <v>5280100</v>
      </c>
      <c r="G1212" s="5">
        <f t="shared" si="1"/>
        <v>80</v>
      </c>
    </row>
  </sheetData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>
    <row r="1">
      <c r="A1" s="4" t="str">
        <f>IFERROR(__xludf.DUMMYFUNCTION("GOOGLEFINANCE(""IDX:TINS"", ""all"", DATE(2020,1,1), DATE(2025,1,1), ""DAILY"")
"),"Date")</f>
        <v>Date</v>
      </c>
      <c r="B1" s="5" t="str">
        <f>IFERROR(__xludf.DUMMYFUNCTION("""COMPUTED_VALUE"""),"Open")</f>
        <v>Open</v>
      </c>
      <c r="C1" s="5" t="str">
        <f>IFERROR(__xludf.DUMMYFUNCTION("""COMPUTED_VALUE"""),"High")</f>
        <v>High</v>
      </c>
      <c r="D1" s="5" t="str">
        <f>IFERROR(__xludf.DUMMYFUNCTION("""COMPUTED_VALUE"""),"Low")</f>
        <v>Low</v>
      </c>
      <c r="E1" s="5" t="str">
        <f>IFERROR(__xludf.DUMMYFUNCTION("""COMPUTED_VALUE"""),"Close")</f>
        <v>Close</v>
      </c>
      <c r="F1" s="5" t="str">
        <f>IFERROR(__xludf.DUMMYFUNCTION("""COMPUTED_VALUE"""),"Volume")</f>
        <v>Volume</v>
      </c>
      <c r="G1" s="6" t="s">
        <v>0</v>
      </c>
    </row>
    <row r="2">
      <c r="A2" s="4">
        <f>IFERROR(__xludf.DUMMYFUNCTION("""COMPUTED_VALUE"""),43832.66666666667)</f>
        <v>43832.66667</v>
      </c>
      <c r="B2" s="5">
        <f>IFERROR(__xludf.DUMMYFUNCTION("""COMPUTED_VALUE"""),825.0)</f>
        <v>825</v>
      </c>
      <c r="C2" s="5">
        <f>IFERROR(__xludf.DUMMYFUNCTION("""COMPUTED_VALUE"""),835.0)</f>
        <v>835</v>
      </c>
      <c r="D2" s="5">
        <f>IFERROR(__xludf.DUMMYFUNCTION("""COMPUTED_VALUE"""),820.0)</f>
        <v>820</v>
      </c>
      <c r="E2" s="5">
        <f>IFERROR(__xludf.DUMMYFUNCTION("""COMPUTED_VALUE"""),825.0)</f>
        <v>825</v>
      </c>
      <c r="F2" s="5">
        <f>IFERROR(__xludf.DUMMYFUNCTION("""COMPUTED_VALUE"""),2885900.0)</f>
        <v>2885900</v>
      </c>
    </row>
    <row r="3">
      <c r="A3" s="4">
        <f>IFERROR(__xludf.DUMMYFUNCTION("""COMPUTED_VALUE"""),43833.66666666667)</f>
        <v>43833.66667</v>
      </c>
      <c r="B3" s="5">
        <f>IFERROR(__xludf.DUMMYFUNCTION("""COMPUTED_VALUE"""),830.0)</f>
        <v>830</v>
      </c>
      <c r="C3" s="5">
        <f>IFERROR(__xludf.DUMMYFUNCTION("""COMPUTED_VALUE"""),835.0)</f>
        <v>835</v>
      </c>
      <c r="D3" s="5">
        <f>IFERROR(__xludf.DUMMYFUNCTION("""COMPUTED_VALUE"""),820.0)</f>
        <v>820</v>
      </c>
      <c r="E3" s="5">
        <f>IFERROR(__xludf.DUMMYFUNCTION("""COMPUTED_VALUE"""),825.0)</f>
        <v>825</v>
      </c>
      <c r="F3" s="5">
        <f>IFERROR(__xludf.DUMMYFUNCTION("""COMPUTED_VALUE"""),6477400.0)</f>
        <v>6477400</v>
      </c>
      <c r="G3" s="5">
        <f t="shared" ref="G3:G1212" si="1">MAX(C3-D3, ABS(C3-E2), ABS(D3-E2))</f>
        <v>15</v>
      </c>
    </row>
    <row r="4">
      <c r="A4" s="4">
        <f>IFERROR(__xludf.DUMMYFUNCTION("""COMPUTED_VALUE"""),43836.66666666667)</f>
        <v>43836.66667</v>
      </c>
      <c r="B4" s="5">
        <f>IFERROR(__xludf.DUMMYFUNCTION("""COMPUTED_VALUE"""),815.0)</f>
        <v>815</v>
      </c>
      <c r="C4" s="5">
        <f>IFERROR(__xludf.DUMMYFUNCTION("""COMPUTED_VALUE"""),845.0)</f>
        <v>845</v>
      </c>
      <c r="D4" s="5">
        <f>IFERROR(__xludf.DUMMYFUNCTION("""COMPUTED_VALUE"""),815.0)</f>
        <v>815</v>
      </c>
      <c r="E4" s="5">
        <f>IFERROR(__xludf.DUMMYFUNCTION("""COMPUTED_VALUE"""),835.0)</f>
        <v>835</v>
      </c>
      <c r="F4" s="5">
        <f>IFERROR(__xludf.DUMMYFUNCTION("""COMPUTED_VALUE"""),1.78576E7)</f>
        <v>17857600</v>
      </c>
      <c r="G4" s="5">
        <f t="shared" si="1"/>
        <v>30</v>
      </c>
    </row>
    <row r="5">
      <c r="A5" s="4">
        <f>IFERROR(__xludf.DUMMYFUNCTION("""COMPUTED_VALUE"""),43837.66666666667)</f>
        <v>43837.66667</v>
      </c>
      <c r="B5" s="5">
        <f>IFERROR(__xludf.DUMMYFUNCTION("""COMPUTED_VALUE"""),835.0)</f>
        <v>835</v>
      </c>
      <c r="C5" s="5">
        <f>IFERROR(__xludf.DUMMYFUNCTION("""COMPUTED_VALUE"""),860.0)</f>
        <v>860</v>
      </c>
      <c r="D5" s="5">
        <f>IFERROR(__xludf.DUMMYFUNCTION("""COMPUTED_VALUE"""),835.0)</f>
        <v>835</v>
      </c>
      <c r="E5" s="5">
        <f>IFERROR(__xludf.DUMMYFUNCTION("""COMPUTED_VALUE"""),845.0)</f>
        <v>845</v>
      </c>
      <c r="F5" s="5">
        <f>IFERROR(__xludf.DUMMYFUNCTION("""COMPUTED_VALUE"""),2.31246E7)</f>
        <v>23124600</v>
      </c>
      <c r="G5" s="5">
        <f t="shared" si="1"/>
        <v>25</v>
      </c>
    </row>
    <row r="6">
      <c r="A6" s="4">
        <f>IFERROR(__xludf.DUMMYFUNCTION("""COMPUTED_VALUE"""),43838.66666666667)</f>
        <v>43838.66667</v>
      </c>
      <c r="B6" s="5">
        <f>IFERROR(__xludf.DUMMYFUNCTION("""COMPUTED_VALUE"""),835.0)</f>
        <v>835</v>
      </c>
      <c r="C6" s="5">
        <f>IFERROR(__xludf.DUMMYFUNCTION("""COMPUTED_VALUE"""),900.0)</f>
        <v>900</v>
      </c>
      <c r="D6" s="5">
        <f>IFERROR(__xludf.DUMMYFUNCTION("""COMPUTED_VALUE"""),835.0)</f>
        <v>835</v>
      </c>
      <c r="E6" s="5">
        <f>IFERROR(__xludf.DUMMYFUNCTION("""COMPUTED_VALUE"""),895.0)</f>
        <v>895</v>
      </c>
      <c r="F6" s="5">
        <f>IFERROR(__xludf.DUMMYFUNCTION("""COMPUTED_VALUE"""),8.59794E7)</f>
        <v>85979400</v>
      </c>
      <c r="G6" s="5">
        <f t="shared" si="1"/>
        <v>65</v>
      </c>
    </row>
    <row r="7">
      <c r="A7" s="4">
        <f>IFERROR(__xludf.DUMMYFUNCTION("""COMPUTED_VALUE"""),43839.66666666667)</f>
        <v>43839.66667</v>
      </c>
      <c r="B7" s="5">
        <f>IFERROR(__xludf.DUMMYFUNCTION("""COMPUTED_VALUE"""),895.0)</f>
        <v>895</v>
      </c>
      <c r="C7" s="5">
        <f>IFERROR(__xludf.DUMMYFUNCTION("""COMPUTED_VALUE"""),905.0)</f>
        <v>905</v>
      </c>
      <c r="D7" s="5">
        <f>IFERROR(__xludf.DUMMYFUNCTION("""COMPUTED_VALUE"""),880.0)</f>
        <v>880</v>
      </c>
      <c r="E7" s="5">
        <f>IFERROR(__xludf.DUMMYFUNCTION("""COMPUTED_VALUE"""),895.0)</f>
        <v>895</v>
      </c>
      <c r="F7" s="5">
        <f>IFERROR(__xludf.DUMMYFUNCTION("""COMPUTED_VALUE"""),3.29457E7)</f>
        <v>32945700</v>
      </c>
      <c r="G7" s="5">
        <f t="shared" si="1"/>
        <v>25</v>
      </c>
    </row>
    <row r="8">
      <c r="A8" s="4">
        <f>IFERROR(__xludf.DUMMYFUNCTION("""COMPUTED_VALUE"""),43840.66666666667)</f>
        <v>43840.66667</v>
      </c>
      <c r="B8" s="5">
        <f>IFERROR(__xludf.DUMMYFUNCTION("""COMPUTED_VALUE"""),895.0)</f>
        <v>895</v>
      </c>
      <c r="C8" s="5">
        <f>IFERROR(__xludf.DUMMYFUNCTION("""COMPUTED_VALUE"""),900.0)</f>
        <v>900</v>
      </c>
      <c r="D8" s="5">
        <f>IFERROR(__xludf.DUMMYFUNCTION("""COMPUTED_VALUE"""),870.0)</f>
        <v>870</v>
      </c>
      <c r="E8" s="5">
        <f>IFERROR(__xludf.DUMMYFUNCTION("""COMPUTED_VALUE"""),880.0)</f>
        <v>880</v>
      </c>
      <c r="F8" s="5">
        <f>IFERROR(__xludf.DUMMYFUNCTION("""COMPUTED_VALUE"""),2.3667E7)</f>
        <v>23667000</v>
      </c>
      <c r="G8" s="5">
        <f t="shared" si="1"/>
        <v>30</v>
      </c>
    </row>
    <row r="9">
      <c r="A9" s="4">
        <f>IFERROR(__xludf.DUMMYFUNCTION("""COMPUTED_VALUE"""),43843.66666666667)</f>
        <v>43843.66667</v>
      </c>
      <c r="B9" s="5">
        <f>IFERROR(__xludf.DUMMYFUNCTION("""COMPUTED_VALUE"""),885.0)</f>
        <v>885</v>
      </c>
      <c r="C9" s="5">
        <f>IFERROR(__xludf.DUMMYFUNCTION("""COMPUTED_VALUE"""),890.0)</f>
        <v>890</v>
      </c>
      <c r="D9" s="5">
        <f>IFERROR(__xludf.DUMMYFUNCTION("""COMPUTED_VALUE"""),850.0)</f>
        <v>850</v>
      </c>
      <c r="E9" s="5">
        <f>IFERROR(__xludf.DUMMYFUNCTION("""COMPUTED_VALUE"""),865.0)</f>
        <v>865</v>
      </c>
      <c r="F9" s="5">
        <f>IFERROR(__xludf.DUMMYFUNCTION("""COMPUTED_VALUE"""),1.94132E7)</f>
        <v>19413200</v>
      </c>
      <c r="G9" s="5">
        <f t="shared" si="1"/>
        <v>40</v>
      </c>
    </row>
    <row r="10">
      <c r="A10" s="4">
        <f>IFERROR(__xludf.DUMMYFUNCTION("""COMPUTED_VALUE"""),43844.66666666667)</f>
        <v>43844.66667</v>
      </c>
      <c r="B10" s="5">
        <f>IFERROR(__xludf.DUMMYFUNCTION("""COMPUTED_VALUE"""),870.0)</f>
        <v>870</v>
      </c>
      <c r="C10" s="5">
        <f>IFERROR(__xludf.DUMMYFUNCTION("""COMPUTED_VALUE"""),895.0)</f>
        <v>895</v>
      </c>
      <c r="D10" s="5">
        <f>IFERROR(__xludf.DUMMYFUNCTION("""COMPUTED_VALUE"""),860.0)</f>
        <v>860</v>
      </c>
      <c r="E10" s="5">
        <f>IFERROR(__xludf.DUMMYFUNCTION("""COMPUTED_VALUE"""),870.0)</f>
        <v>870</v>
      </c>
      <c r="F10" s="5">
        <f>IFERROR(__xludf.DUMMYFUNCTION("""COMPUTED_VALUE"""),2.97713E7)</f>
        <v>29771300</v>
      </c>
      <c r="G10" s="5">
        <f t="shared" si="1"/>
        <v>35</v>
      </c>
    </row>
    <row r="11">
      <c r="A11" s="4">
        <f>IFERROR(__xludf.DUMMYFUNCTION("""COMPUTED_VALUE"""),43845.66666666667)</f>
        <v>43845.66667</v>
      </c>
      <c r="B11" s="5">
        <f>IFERROR(__xludf.DUMMYFUNCTION("""COMPUTED_VALUE"""),875.0)</f>
        <v>875</v>
      </c>
      <c r="C11" s="5">
        <f>IFERROR(__xludf.DUMMYFUNCTION("""COMPUTED_VALUE"""),885.0)</f>
        <v>885</v>
      </c>
      <c r="D11" s="5">
        <f>IFERROR(__xludf.DUMMYFUNCTION("""COMPUTED_VALUE"""),850.0)</f>
        <v>850</v>
      </c>
      <c r="E11" s="5">
        <f>IFERROR(__xludf.DUMMYFUNCTION("""COMPUTED_VALUE"""),855.0)</f>
        <v>855</v>
      </c>
      <c r="F11" s="5">
        <f>IFERROR(__xludf.DUMMYFUNCTION("""COMPUTED_VALUE"""),1.86228E7)</f>
        <v>18622800</v>
      </c>
      <c r="G11" s="5">
        <f t="shared" si="1"/>
        <v>35</v>
      </c>
    </row>
    <row r="12">
      <c r="A12" s="4">
        <f>IFERROR(__xludf.DUMMYFUNCTION("""COMPUTED_VALUE"""),43846.66666666667)</f>
        <v>43846.66667</v>
      </c>
      <c r="B12" s="5">
        <f>IFERROR(__xludf.DUMMYFUNCTION("""COMPUTED_VALUE"""),860.0)</f>
        <v>860</v>
      </c>
      <c r="C12" s="5">
        <f>IFERROR(__xludf.DUMMYFUNCTION("""COMPUTED_VALUE"""),890.0)</f>
        <v>890</v>
      </c>
      <c r="D12" s="5">
        <f>IFERROR(__xludf.DUMMYFUNCTION("""COMPUTED_VALUE"""),860.0)</f>
        <v>860</v>
      </c>
      <c r="E12" s="5">
        <f>IFERROR(__xludf.DUMMYFUNCTION("""COMPUTED_VALUE"""),880.0)</f>
        <v>880</v>
      </c>
      <c r="F12" s="5">
        <f>IFERROR(__xludf.DUMMYFUNCTION("""COMPUTED_VALUE"""),3.00449E7)</f>
        <v>30044900</v>
      </c>
      <c r="G12" s="5">
        <f t="shared" si="1"/>
        <v>35</v>
      </c>
    </row>
    <row r="13">
      <c r="A13" s="4">
        <f>IFERROR(__xludf.DUMMYFUNCTION("""COMPUTED_VALUE"""),43847.66666666667)</f>
        <v>43847.66667</v>
      </c>
      <c r="B13" s="5">
        <f>IFERROR(__xludf.DUMMYFUNCTION("""COMPUTED_VALUE"""),890.0)</f>
        <v>890</v>
      </c>
      <c r="C13" s="5">
        <f>IFERROR(__xludf.DUMMYFUNCTION("""COMPUTED_VALUE"""),890.0)</f>
        <v>890</v>
      </c>
      <c r="D13" s="5">
        <f>IFERROR(__xludf.DUMMYFUNCTION("""COMPUTED_VALUE"""),865.0)</f>
        <v>865</v>
      </c>
      <c r="E13" s="5">
        <f>IFERROR(__xludf.DUMMYFUNCTION("""COMPUTED_VALUE"""),880.0)</f>
        <v>880</v>
      </c>
      <c r="F13" s="5">
        <f>IFERROR(__xludf.DUMMYFUNCTION("""COMPUTED_VALUE"""),1.96542E7)</f>
        <v>19654200</v>
      </c>
      <c r="G13" s="5">
        <f t="shared" si="1"/>
        <v>25</v>
      </c>
    </row>
    <row r="14">
      <c r="A14" s="4">
        <f>IFERROR(__xludf.DUMMYFUNCTION("""COMPUTED_VALUE"""),43850.66666666667)</f>
        <v>43850.66667</v>
      </c>
      <c r="B14" s="5">
        <f>IFERROR(__xludf.DUMMYFUNCTION("""COMPUTED_VALUE"""),880.0)</f>
        <v>880</v>
      </c>
      <c r="C14" s="5">
        <f>IFERROR(__xludf.DUMMYFUNCTION("""COMPUTED_VALUE"""),885.0)</f>
        <v>885</v>
      </c>
      <c r="D14" s="5">
        <f>IFERROR(__xludf.DUMMYFUNCTION("""COMPUTED_VALUE"""),810.0)</f>
        <v>810</v>
      </c>
      <c r="E14" s="5">
        <f>IFERROR(__xludf.DUMMYFUNCTION("""COMPUTED_VALUE"""),835.0)</f>
        <v>835</v>
      </c>
      <c r="F14" s="5">
        <f>IFERROR(__xludf.DUMMYFUNCTION("""COMPUTED_VALUE"""),4.41194E7)</f>
        <v>44119400</v>
      </c>
      <c r="G14" s="5">
        <f t="shared" si="1"/>
        <v>75</v>
      </c>
    </row>
    <row r="15">
      <c r="A15" s="4">
        <f>IFERROR(__xludf.DUMMYFUNCTION("""COMPUTED_VALUE"""),43851.66666666667)</f>
        <v>43851.66667</v>
      </c>
      <c r="B15" s="5">
        <f>IFERROR(__xludf.DUMMYFUNCTION("""COMPUTED_VALUE"""),835.0)</f>
        <v>835</v>
      </c>
      <c r="C15" s="5">
        <f>IFERROR(__xludf.DUMMYFUNCTION("""COMPUTED_VALUE"""),850.0)</f>
        <v>850</v>
      </c>
      <c r="D15" s="5">
        <f>IFERROR(__xludf.DUMMYFUNCTION("""COMPUTED_VALUE"""),820.0)</f>
        <v>820</v>
      </c>
      <c r="E15" s="5">
        <f>IFERROR(__xludf.DUMMYFUNCTION("""COMPUTED_VALUE"""),820.0)</f>
        <v>820</v>
      </c>
      <c r="F15" s="5">
        <f>IFERROR(__xludf.DUMMYFUNCTION("""COMPUTED_VALUE"""),1.81077E7)</f>
        <v>18107700</v>
      </c>
      <c r="G15" s="5">
        <f t="shared" si="1"/>
        <v>30</v>
      </c>
    </row>
    <row r="16">
      <c r="A16" s="4">
        <f>IFERROR(__xludf.DUMMYFUNCTION("""COMPUTED_VALUE"""),43852.66666666667)</f>
        <v>43852.66667</v>
      </c>
      <c r="B16" s="5">
        <f>IFERROR(__xludf.DUMMYFUNCTION("""COMPUTED_VALUE"""),820.0)</f>
        <v>820</v>
      </c>
      <c r="C16" s="5">
        <f>IFERROR(__xludf.DUMMYFUNCTION("""COMPUTED_VALUE"""),830.0)</f>
        <v>830</v>
      </c>
      <c r="D16" s="5">
        <f>IFERROR(__xludf.DUMMYFUNCTION("""COMPUTED_VALUE"""),780.0)</f>
        <v>780</v>
      </c>
      <c r="E16" s="5">
        <f>IFERROR(__xludf.DUMMYFUNCTION("""COMPUTED_VALUE"""),790.0)</f>
        <v>790</v>
      </c>
      <c r="F16" s="5">
        <f>IFERROR(__xludf.DUMMYFUNCTION("""COMPUTED_VALUE"""),3.1302E7)</f>
        <v>31302000</v>
      </c>
      <c r="G16" s="5">
        <f t="shared" si="1"/>
        <v>50</v>
      </c>
    </row>
    <row r="17">
      <c r="A17" s="4">
        <f>IFERROR(__xludf.DUMMYFUNCTION("""COMPUTED_VALUE"""),43853.66666666667)</f>
        <v>43853.66667</v>
      </c>
      <c r="B17" s="5">
        <f>IFERROR(__xludf.DUMMYFUNCTION("""COMPUTED_VALUE"""),800.0)</f>
        <v>800</v>
      </c>
      <c r="C17" s="5">
        <f>IFERROR(__xludf.DUMMYFUNCTION("""COMPUTED_VALUE"""),800.0)</f>
        <v>800</v>
      </c>
      <c r="D17" s="5">
        <f>IFERROR(__xludf.DUMMYFUNCTION("""COMPUTED_VALUE"""),755.0)</f>
        <v>755</v>
      </c>
      <c r="E17" s="5">
        <f>IFERROR(__xludf.DUMMYFUNCTION("""COMPUTED_VALUE"""),775.0)</f>
        <v>775</v>
      </c>
      <c r="F17" s="5">
        <f>IFERROR(__xludf.DUMMYFUNCTION("""COMPUTED_VALUE"""),1.16213E7)</f>
        <v>11621300</v>
      </c>
      <c r="G17" s="5">
        <f t="shared" si="1"/>
        <v>45</v>
      </c>
    </row>
    <row r="18">
      <c r="A18" s="4">
        <f>IFERROR(__xludf.DUMMYFUNCTION("""COMPUTED_VALUE"""),43854.66666666667)</f>
        <v>43854.66667</v>
      </c>
      <c r="B18" s="5">
        <f>IFERROR(__xludf.DUMMYFUNCTION("""COMPUTED_VALUE"""),775.0)</f>
        <v>775</v>
      </c>
      <c r="C18" s="5">
        <f>IFERROR(__xludf.DUMMYFUNCTION("""COMPUTED_VALUE"""),785.0)</f>
        <v>785</v>
      </c>
      <c r="D18" s="5">
        <f>IFERROR(__xludf.DUMMYFUNCTION("""COMPUTED_VALUE"""),765.0)</f>
        <v>765</v>
      </c>
      <c r="E18" s="5">
        <f>IFERROR(__xludf.DUMMYFUNCTION("""COMPUTED_VALUE"""),770.0)</f>
        <v>770</v>
      </c>
      <c r="F18" s="5">
        <f>IFERROR(__xludf.DUMMYFUNCTION("""COMPUTED_VALUE"""),6292400.0)</f>
        <v>6292400</v>
      </c>
      <c r="G18" s="5">
        <f t="shared" si="1"/>
        <v>20</v>
      </c>
    </row>
    <row r="19">
      <c r="A19" s="4">
        <f>IFERROR(__xludf.DUMMYFUNCTION("""COMPUTED_VALUE"""),43857.66666666667)</f>
        <v>43857.66667</v>
      </c>
      <c r="B19" s="5">
        <f>IFERROR(__xludf.DUMMYFUNCTION("""COMPUTED_VALUE"""),750.0)</f>
        <v>750</v>
      </c>
      <c r="C19" s="5">
        <f>IFERROR(__xludf.DUMMYFUNCTION("""COMPUTED_VALUE"""),765.0)</f>
        <v>765</v>
      </c>
      <c r="D19" s="5">
        <f>IFERROR(__xludf.DUMMYFUNCTION("""COMPUTED_VALUE"""),730.0)</f>
        <v>730</v>
      </c>
      <c r="E19" s="5">
        <f>IFERROR(__xludf.DUMMYFUNCTION("""COMPUTED_VALUE"""),735.0)</f>
        <v>735</v>
      </c>
      <c r="F19" s="5">
        <f>IFERROR(__xludf.DUMMYFUNCTION("""COMPUTED_VALUE"""),1.6297E7)</f>
        <v>16297000</v>
      </c>
      <c r="G19" s="5">
        <f t="shared" si="1"/>
        <v>40</v>
      </c>
    </row>
    <row r="20">
      <c r="A20" s="4">
        <f>IFERROR(__xludf.DUMMYFUNCTION("""COMPUTED_VALUE"""),43858.66666666667)</f>
        <v>43858.66667</v>
      </c>
      <c r="B20" s="5">
        <f>IFERROR(__xludf.DUMMYFUNCTION("""COMPUTED_VALUE"""),735.0)</f>
        <v>735</v>
      </c>
      <c r="C20" s="5">
        <f>IFERROR(__xludf.DUMMYFUNCTION("""COMPUTED_VALUE"""),755.0)</f>
        <v>755</v>
      </c>
      <c r="D20" s="5">
        <f>IFERROR(__xludf.DUMMYFUNCTION("""COMPUTED_VALUE"""),710.0)</f>
        <v>710</v>
      </c>
      <c r="E20" s="5">
        <f>IFERROR(__xludf.DUMMYFUNCTION("""COMPUTED_VALUE"""),740.0)</f>
        <v>740</v>
      </c>
      <c r="F20" s="5">
        <f>IFERROR(__xludf.DUMMYFUNCTION("""COMPUTED_VALUE"""),1.62986E7)</f>
        <v>16298600</v>
      </c>
      <c r="G20" s="5">
        <f t="shared" si="1"/>
        <v>45</v>
      </c>
    </row>
    <row r="21">
      <c r="A21" s="4">
        <f>IFERROR(__xludf.DUMMYFUNCTION("""COMPUTED_VALUE"""),43859.66666666667)</f>
        <v>43859.66667</v>
      </c>
      <c r="B21" s="5">
        <f>IFERROR(__xludf.DUMMYFUNCTION("""COMPUTED_VALUE"""),750.0)</f>
        <v>750</v>
      </c>
      <c r="C21" s="5">
        <f>IFERROR(__xludf.DUMMYFUNCTION("""COMPUTED_VALUE"""),760.0)</f>
        <v>760</v>
      </c>
      <c r="D21" s="5">
        <f>IFERROR(__xludf.DUMMYFUNCTION("""COMPUTED_VALUE"""),740.0)</f>
        <v>740</v>
      </c>
      <c r="E21" s="5">
        <f>IFERROR(__xludf.DUMMYFUNCTION("""COMPUTED_VALUE"""),740.0)</f>
        <v>740</v>
      </c>
      <c r="F21" s="5">
        <f>IFERROR(__xludf.DUMMYFUNCTION("""COMPUTED_VALUE"""),1.16149E7)</f>
        <v>11614900</v>
      </c>
      <c r="G21" s="5">
        <f t="shared" si="1"/>
        <v>20</v>
      </c>
    </row>
    <row r="22">
      <c r="A22" s="4">
        <f>IFERROR(__xludf.DUMMYFUNCTION("""COMPUTED_VALUE"""),43860.66666666667)</f>
        <v>43860.66667</v>
      </c>
      <c r="B22" s="5">
        <f>IFERROR(__xludf.DUMMYFUNCTION("""COMPUTED_VALUE"""),740.0)</f>
        <v>740</v>
      </c>
      <c r="C22" s="5">
        <f>IFERROR(__xludf.DUMMYFUNCTION("""COMPUTED_VALUE"""),750.0)</f>
        <v>750</v>
      </c>
      <c r="D22" s="5">
        <f>IFERROR(__xludf.DUMMYFUNCTION("""COMPUTED_VALUE"""),730.0)</f>
        <v>730</v>
      </c>
      <c r="E22" s="5">
        <f>IFERROR(__xludf.DUMMYFUNCTION("""COMPUTED_VALUE"""),735.0)</f>
        <v>735</v>
      </c>
      <c r="F22" s="5">
        <f>IFERROR(__xludf.DUMMYFUNCTION("""COMPUTED_VALUE"""),7398400.0)</f>
        <v>7398400</v>
      </c>
      <c r="G22" s="5">
        <f t="shared" si="1"/>
        <v>20</v>
      </c>
    </row>
    <row r="23">
      <c r="A23" s="4">
        <f>IFERROR(__xludf.DUMMYFUNCTION("""COMPUTED_VALUE"""),43861.66666666667)</f>
        <v>43861.66667</v>
      </c>
      <c r="B23" s="5">
        <f>IFERROR(__xludf.DUMMYFUNCTION("""COMPUTED_VALUE"""),735.0)</f>
        <v>735</v>
      </c>
      <c r="C23" s="5">
        <f>IFERROR(__xludf.DUMMYFUNCTION("""COMPUTED_VALUE"""),745.0)</f>
        <v>745</v>
      </c>
      <c r="D23" s="5">
        <f>IFERROR(__xludf.DUMMYFUNCTION("""COMPUTED_VALUE"""),710.0)</f>
        <v>710</v>
      </c>
      <c r="E23" s="5">
        <f>IFERROR(__xludf.DUMMYFUNCTION("""COMPUTED_VALUE"""),710.0)</f>
        <v>710</v>
      </c>
      <c r="F23" s="5">
        <f>IFERROR(__xludf.DUMMYFUNCTION("""COMPUTED_VALUE"""),1.57072E7)</f>
        <v>15707200</v>
      </c>
      <c r="G23" s="5">
        <f t="shared" si="1"/>
        <v>35</v>
      </c>
    </row>
    <row r="24">
      <c r="A24" s="4">
        <f>IFERROR(__xludf.DUMMYFUNCTION("""COMPUTED_VALUE"""),43864.66666666667)</f>
        <v>43864.66667</v>
      </c>
      <c r="B24" s="5">
        <f>IFERROR(__xludf.DUMMYFUNCTION("""COMPUTED_VALUE"""),715.0)</f>
        <v>715</v>
      </c>
      <c r="C24" s="5">
        <f>IFERROR(__xludf.DUMMYFUNCTION("""COMPUTED_VALUE"""),725.0)</f>
        <v>725</v>
      </c>
      <c r="D24" s="5">
        <f>IFERROR(__xludf.DUMMYFUNCTION("""COMPUTED_VALUE"""),690.0)</f>
        <v>690</v>
      </c>
      <c r="E24" s="5">
        <f>IFERROR(__xludf.DUMMYFUNCTION("""COMPUTED_VALUE"""),690.0)</f>
        <v>690</v>
      </c>
      <c r="F24" s="5">
        <f>IFERROR(__xludf.DUMMYFUNCTION("""COMPUTED_VALUE"""),1.90193E7)</f>
        <v>19019300</v>
      </c>
      <c r="G24" s="5">
        <f t="shared" si="1"/>
        <v>35</v>
      </c>
    </row>
    <row r="25">
      <c r="A25" s="4">
        <f>IFERROR(__xludf.DUMMYFUNCTION("""COMPUTED_VALUE"""),43865.66666666667)</f>
        <v>43865.66667</v>
      </c>
      <c r="B25" s="5">
        <f>IFERROR(__xludf.DUMMYFUNCTION("""COMPUTED_VALUE"""),695.0)</f>
        <v>695</v>
      </c>
      <c r="C25" s="5">
        <f>IFERROR(__xludf.DUMMYFUNCTION("""COMPUTED_VALUE"""),710.0)</f>
        <v>710</v>
      </c>
      <c r="D25" s="5">
        <f>IFERROR(__xludf.DUMMYFUNCTION("""COMPUTED_VALUE"""),690.0)</f>
        <v>690</v>
      </c>
      <c r="E25" s="5">
        <f>IFERROR(__xludf.DUMMYFUNCTION("""COMPUTED_VALUE"""),710.0)</f>
        <v>710</v>
      </c>
      <c r="F25" s="5">
        <f>IFERROR(__xludf.DUMMYFUNCTION("""COMPUTED_VALUE"""),1.05936E7)</f>
        <v>10593600</v>
      </c>
      <c r="G25" s="5">
        <f t="shared" si="1"/>
        <v>20</v>
      </c>
    </row>
    <row r="26">
      <c r="A26" s="4">
        <f>IFERROR(__xludf.DUMMYFUNCTION("""COMPUTED_VALUE"""),43866.66666666667)</f>
        <v>43866.66667</v>
      </c>
      <c r="B26" s="5">
        <f>IFERROR(__xludf.DUMMYFUNCTION("""COMPUTED_VALUE"""),715.0)</f>
        <v>715</v>
      </c>
      <c r="C26" s="5">
        <f>IFERROR(__xludf.DUMMYFUNCTION("""COMPUTED_VALUE"""),720.0)</f>
        <v>720</v>
      </c>
      <c r="D26" s="5">
        <f>IFERROR(__xludf.DUMMYFUNCTION("""COMPUTED_VALUE"""),700.0)</f>
        <v>700</v>
      </c>
      <c r="E26" s="5">
        <f>IFERROR(__xludf.DUMMYFUNCTION("""COMPUTED_VALUE"""),705.0)</f>
        <v>705</v>
      </c>
      <c r="F26" s="5">
        <f>IFERROR(__xludf.DUMMYFUNCTION("""COMPUTED_VALUE"""),1.29852E7)</f>
        <v>12985200</v>
      </c>
      <c r="G26" s="5">
        <f t="shared" si="1"/>
        <v>20</v>
      </c>
    </row>
    <row r="27">
      <c r="A27" s="4">
        <f>IFERROR(__xludf.DUMMYFUNCTION("""COMPUTED_VALUE"""),43867.66666666667)</f>
        <v>43867.66667</v>
      </c>
      <c r="B27" s="5">
        <f>IFERROR(__xludf.DUMMYFUNCTION("""COMPUTED_VALUE"""),715.0)</f>
        <v>715</v>
      </c>
      <c r="C27" s="5">
        <f>IFERROR(__xludf.DUMMYFUNCTION("""COMPUTED_VALUE"""),745.0)</f>
        <v>745</v>
      </c>
      <c r="D27" s="5">
        <f>IFERROR(__xludf.DUMMYFUNCTION("""COMPUTED_VALUE"""),710.0)</f>
        <v>710</v>
      </c>
      <c r="E27" s="5">
        <f>IFERROR(__xludf.DUMMYFUNCTION("""COMPUTED_VALUE"""),740.0)</f>
        <v>740</v>
      </c>
      <c r="F27" s="5">
        <f>IFERROR(__xludf.DUMMYFUNCTION("""COMPUTED_VALUE"""),2.44031E7)</f>
        <v>24403100</v>
      </c>
      <c r="G27" s="5">
        <f t="shared" si="1"/>
        <v>40</v>
      </c>
    </row>
    <row r="28">
      <c r="A28" s="4">
        <f>IFERROR(__xludf.DUMMYFUNCTION("""COMPUTED_VALUE"""),43868.66666666667)</f>
        <v>43868.66667</v>
      </c>
      <c r="B28" s="5">
        <f>IFERROR(__xludf.DUMMYFUNCTION("""COMPUTED_VALUE"""),740.0)</f>
        <v>740</v>
      </c>
      <c r="C28" s="5">
        <f>IFERROR(__xludf.DUMMYFUNCTION("""COMPUTED_VALUE"""),750.0)</f>
        <v>750</v>
      </c>
      <c r="D28" s="5">
        <f>IFERROR(__xludf.DUMMYFUNCTION("""COMPUTED_VALUE"""),725.0)</f>
        <v>725</v>
      </c>
      <c r="E28" s="5">
        <f>IFERROR(__xludf.DUMMYFUNCTION("""COMPUTED_VALUE"""),730.0)</f>
        <v>730</v>
      </c>
      <c r="F28" s="5">
        <f>IFERROR(__xludf.DUMMYFUNCTION("""COMPUTED_VALUE"""),8535300.0)</f>
        <v>8535300</v>
      </c>
      <c r="G28" s="5">
        <f t="shared" si="1"/>
        <v>25</v>
      </c>
    </row>
    <row r="29">
      <c r="A29" s="4">
        <f>IFERROR(__xludf.DUMMYFUNCTION("""COMPUTED_VALUE"""),43871.66666666667)</f>
        <v>43871.66667</v>
      </c>
      <c r="B29" s="5">
        <f>IFERROR(__xludf.DUMMYFUNCTION("""COMPUTED_VALUE"""),720.0)</f>
        <v>720</v>
      </c>
      <c r="C29" s="5">
        <f>IFERROR(__xludf.DUMMYFUNCTION("""COMPUTED_VALUE"""),730.0)</f>
        <v>730</v>
      </c>
      <c r="D29" s="5">
        <f>IFERROR(__xludf.DUMMYFUNCTION("""COMPUTED_VALUE"""),700.0)</f>
        <v>700</v>
      </c>
      <c r="E29" s="5">
        <f>IFERROR(__xludf.DUMMYFUNCTION("""COMPUTED_VALUE"""),705.0)</f>
        <v>705</v>
      </c>
      <c r="F29" s="5">
        <f>IFERROR(__xludf.DUMMYFUNCTION("""COMPUTED_VALUE"""),1.26334E7)</f>
        <v>12633400</v>
      </c>
      <c r="G29" s="5">
        <f t="shared" si="1"/>
        <v>30</v>
      </c>
    </row>
    <row r="30">
      <c r="A30" s="4">
        <f>IFERROR(__xludf.DUMMYFUNCTION("""COMPUTED_VALUE"""),43872.66666666667)</f>
        <v>43872.66667</v>
      </c>
      <c r="B30" s="5">
        <f>IFERROR(__xludf.DUMMYFUNCTION("""COMPUTED_VALUE"""),700.0)</f>
        <v>700</v>
      </c>
      <c r="C30" s="5">
        <f>IFERROR(__xludf.DUMMYFUNCTION("""COMPUTED_VALUE"""),725.0)</f>
        <v>725</v>
      </c>
      <c r="D30" s="5">
        <f>IFERROR(__xludf.DUMMYFUNCTION("""COMPUTED_VALUE"""),700.0)</f>
        <v>700</v>
      </c>
      <c r="E30" s="5">
        <f>IFERROR(__xludf.DUMMYFUNCTION("""COMPUTED_VALUE"""),710.0)</f>
        <v>710</v>
      </c>
      <c r="F30" s="5">
        <f>IFERROR(__xludf.DUMMYFUNCTION("""COMPUTED_VALUE"""),9246800.0)</f>
        <v>9246800</v>
      </c>
      <c r="G30" s="5">
        <f t="shared" si="1"/>
        <v>25</v>
      </c>
    </row>
    <row r="31">
      <c r="A31" s="4">
        <f>IFERROR(__xludf.DUMMYFUNCTION("""COMPUTED_VALUE"""),43873.66666666667)</f>
        <v>43873.66667</v>
      </c>
      <c r="B31" s="5">
        <f>IFERROR(__xludf.DUMMYFUNCTION("""COMPUTED_VALUE"""),715.0)</f>
        <v>715</v>
      </c>
      <c r="C31" s="5">
        <f>IFERROR(__xludf.DUMMYFUNCTION("""COMPUTED_VALUE"""),720.0)</f>
        <v>720</v>
      </c>
      <c r="D31" s="5">
        <f>IFERROR(__xludf.DUMMYFUNCTION("""COMPUTED_VALUE"""),700.0)</f>
        <v>700</v>
      </c>
      <c r="E31" s="5">
        <f>IFERROR(__xludf.DUMMYFUNCTION("""COMPUTED_VALUE"""),705.0)</f>
        <v>705</v>
      </c>
      <c r="F31" s="5">
        <f>IFERROR(__xludf.DUMMYFUNCTION("""COMPUTED_VALUE"""),4878900.0)</f>
        <v>4878900</v>
      </c>
      <c r="G31" s="5">
        <f t="shared" si="1"/>
        <v>20</v>
      </c>
    </row>
    <row r="32">
      <c r="A32" s="4">
        <f>IFERROR(__xludf.DUMMYFUNCTION("""COMPUTED_VALUE"""),43874.66666666667)</f>
        <v>43874.66667</v>
      </c>
      <c r="B32" s="5">
        <f>IFERROR(__xludf.DUMMYFUNCTION("""COMPUTED_VALUE"""),710.0)</f>
        <v>710</v>
      </c>
      <c r="C32" s="5">
        <f>IFERROR(__xludf.DUMMYFUNCTION("""COMPUTED_VALUE"""),710.0)</f>
        <v>710</v>
      </c>
      <c r="D32" s="5">
        <f>IFERROR(__xludf.DUMMYFUNCTION("""COMPUTED_VALUE"""),670.0)</f>
        <v>670</v>
      </c>
      <c r="E32" s="5">
        <f>IFERROR(__xludf.DUMMYFUNCTION("""COMPUTED_VALUE"""),680.0)</f>
        <v>680</v>
      </c>
      <c r="F32" s="5">
        <f>IFERROR(__xludf.DUMMYFUNCTION("""COMPUTED_VALUE"""),1.37525E7)</f>
        <v>13752500</v>
      </c>
      <c r="G32" s="5">
        <f t="shared" si="1"/>
        <v>40</v>
      </c>
    </row>
    <row r="33">
      <c r="A33" s="4">
        <f>IFERROR(__xludf.DUMMYFUNCTION("""COMPUTED_VALUE"""),43875.66666666667)</f>
        <v>43875.66667</v>
      </c>
      <c r="B33" s="5">
        <f>IFERROR(__xludf.DUMMYFUNCTION("""COMPUTED_VALUE"""),685.0)</f>
        <v>685</v>
      </c>
      <c r="C33" s="5">
        <f>IFERROR(__xludf.DUMMYFUNCTION("""COMPUTED_VALUE"""),685.0)</f>
        <v>685</v>
      </c>
      <c r="D33" s="5">
        <f>IFERROR(__xludf.DUMMYFUNCTION("""COMPUTED_VALUE"""),655.0)</f>
        <v>655</v>
      </c>
      <c r="E33" s="5">
        <f>IFERROR(__xludf.DUMMYFUNCTION("""COMPUTED_VALUE"""),670.0)</f>
        <v>670</v>
      </c>
      <c r="F33" s="5">
        <f>IFERROR(__xludf.DUMMYFUNCTION("""COMPUTED_VALUE"""),7386600.0)</f>
        <v>7386600</v>
      </c>
      <c r="G33" s="5">
        <f t="shared" si="1"/>
        <v>30</v>
      </c>
    </row>
    <row r="34">
      <c r="A34" s="4">
        <f>IFERROR(__xludf.DUMMYFUNCTION("""COMPUTED_VALUE"""),43878.66666666667)</f>
        <v>43878.66667</v>
      </c>
      <c r="B34" s="5">
        <f>IFERROR(__xludf.DUMMYFUNCTION("""COMPUTED_VALUE"""),670.0)</f>
        <v>670</v>
      </c>
      <c r="C34" s="5">
        <f>IFERROR(__xludf.DUMMYFUNCTION("""COMPUTED_VALUE"""),685.0)</f>
        <v>685</v>
      </c>
      <c r="D34" s="5">
        <f>IFERROR(__xludf.DUMMYFUNCTION("""COMPUTED_VALUE"""),665.0)</f>
        <v>665</v>
      </c>
      <c r="E34" s="5">
        <f>IFERROR(__xludf.DUMMYFUNCTION("""COMPUTED_VALUE"""),675.0)</f>
        <v>675</v>
      </c>
      <c r="F34" s="5">
        <f>IFERROR(__xludf.DUMMYFUNCTION("""COMPUTED_VALUE"""),3963700.0)</f>
        <v>3963700</v>
      </c>
      <c r="G34" s="5">
        <f t="shared" si="1"/>
        <v>20</v>
      </c>
    </row>
    <row r="35">
      <c r="A35" s="4">
        <f>IFERROR(__xludf.DUMMYFUNCTION("""COMPUTED_VALUE"""),43879.66666666667)</f>
        <v>43879.66667</v>
      </c>
      <c r="B35" s="5">
        <f>IFERROR(__xludf.DUMMYFUNCTION("""COMPUTED_VALUE"""),675.0)</f>
        <v>675</v>
      </c>
      <c r="C35" s="5">
        <f>IFERROR(__xludf.DUMMYFUNCTION("""COMPUTED_VALUE"""),700.0)</f>
        <v>700</v>
      </c>
      <c r="D35" s="5">
        <f>IFERROR(__xludf.DUMMYFUNCTION("""COMPUTED_VALUE"""),675.0)</f>
        <v>675</v>
      </c>
      <c r="E35" s="5">
        <f>IFERROR(__xludf.DUMMYFUNCTION("""COMPUTED_VALUE"""),695.0)</f>
        <v>695</v>
      </c>
      <c r="F35" s="5">
        <f>IFERROR(__xludf.DUMMYFUNCTION("""COMPUTED_VALUE"""),7263400.0)</f>
        <v>7263400</v>
      </c>
      <c r="G35" s="5">
        <f t="shared" si="1"/>
        <v>25</v>
      </c>
    </row>
    <row r="36">
      <c r="A36" s="4">
        <f>IFERROR(__xludf.DUMMYFUNCTION("""COMPUTED_VALUE"""),43880.66666666667)</f>
        <v>43880.66667</v>
      </c>
      <c r="B36" s="5">
        <f>IFERROR(__xludf.DUMMYFUNCTION("""COMPUTED_VALUE"""),695.0)</f>
        <v>695</v>
      </c>
      <c r="C36" s="5">
        <f>IFERROR(__xludf.DUMMYFUNCTION("""COMPUTED_VALUE"""),715.0)</f>
        <v>715</v>
      </c>
      <c r="D36" s="5">
        <f>IFERROR(__xludf.DUMMYFUNCTION("""COMPUTED_VALUE"""),690.0)</f>
        <v>690</v>
      </c>
      <c r="E36" s="5">
        <f>IFERROR(__xludf.DUMMYFUNCTION("""COMPUTED_VALUE"""),710.0)</f>
        <v>710</v>
      </c>
      <c r="F36" s="5">
        <f>IFERROR(__xludf.DUMMYFUNCTION("""COMPUTED_VALUE"""),1.06864E7)</f>
        <v>10686400</v>
      </c>
      <c r="G36" s="5">
        <f t="shared" si="1"/>
        <v>25</v>
      </c>
    </row>
    <row r="37">
      <c r="A37" s="4">
        <f>IFERROR(__xludf.DUMMYFUNCTION("""COMPUTED_VALUE"""),43881.66666666667)</f>
        <v>43881.66667</v>
      </c>
      <c r="B37" s="5">
        <f>IFERROR(__xludf.DUMMYFUNCTION("""COMPUTED_VALUE"""),715.0)</f>
        <v>715</v>
      </c>
      <c r="C37" s="5">
        <f>IFERROR(__xludf.DUMMYFUNCTION("""COMPUTED_VALUE"""),720.0)</f>
        <v>720</v>
      </c>
      <c r="D37" s="5">
        <f>IFERROR(__xludf.DUMMYFUNCTION("""COMPUTED_VALUE"""),700.0)</f>
        <v>700</v>
      </c>
      <c r="E37" s="5">
        <f>IFERROR(__xludf.DUMMYFUNCTION("""COMPUTED_VALUE"""),700.0)</f>
        <v>700</v>
      </c>
      <c r="F37" s="5">
        <f>IFERROR(__xludf.DUMMYFUNCTION("""COMPUTED_VALUE"""),7327800.0)</f>
        <v>7327800</v>
      </c>
      <c r="G37" s="5">
        <f t="shared" si="1"/>
        <v>20</v>
      </c>
    </row>
    <row r="38">
      <c r="A38" s="4">
        <f>IFERROR(__xludf.DUMMYFUNCTION("""COMPUTED_VALUE"""),43882.66666666667)</f>
        <v>43882.66667</v>
      </c>
      <c r="B38" s="5">
        <f>IFERROR(__xludf.DUMMYFUNCTION("""COMPUTED_VALUE"""),700.0)</f>
        <v>700</v>
      </c>
      <c r="C38" s="5">
        <f>IFERROR(__xludf.DUMMYFUNCTION("""COMPUTED_VALUE"""),705.0)</f>
        <v>705</v>
      </c>
      <c r="D38" s="5">
        <f>IFERROR(__xludf.DUMMYFUNCTION("""COMPUTED_VALUE"""),685.0)</f>
        <v>685</v>
      </c>
      <c r="E38" s="5">
        <f>IFERROR(__xludf.DUMMYFUNCTION("""COMPUTED_VALUE"""),685.0)</f>
        <v>685</v>
      </c>
      <c r="F38" s="5">
        <f>IFERROR(__xludf.DUMMYFUNCTION("""COMPUTED_VALUE"""),6569600.0)</f>
        <v>6569600</v>
      </c>
      <c r="G38" s="5">
        <f t="shared" si="1"/>
        <v>20</v>
      </c>
    </row>
    <row r="39">
      <c r="A39" s="4">
        <f>IFERROR(__xludf.DUMMYFUNCTION("""COMPUTED_VALUE"""),43885.66666666667)</f>
        <v>43885.66667</v>
      </c>
      <c r="B39" s="5">
        <f>IFERROR(__xludf.DUMMYFUNCTION("""COMPUTED_VALUE"""),670.0)</f>
        <v>670</v>
      </c>
      <c r="C39" s="5">
        <f>IFERROR(__xludf.DUMMYFUNCTION("""COMPUTED_VALUE"""),685.0)</f>
        <v>685</v>
      </c>
      <c r="D39" s="5">
        <f>IFERROR(__xludf.DUMMYFUNCTION("""COMPUTED_VALUE"""),665.0)</f>
        <v>665</v>
      </c>
      <c r="E39" s="5">
        <f>IFERROR(__xludf.DUMMYFUNCTION("""COMPUTED_VALUE"""),670.0)</f>
        <v>670</v>
      </c>
      <c r="F39" s="5">
        <f>IFERROR(__xludf.DUMMYFUNCTION("""COMPUTED_VALUE"""),5693500.0)</f>
        <v>5693500</v>
      </c>
      <c r="G39" s="5">
        <f t="shared" si="1"/>
        <v>20</v>
      </c>
    </row>
    <row r="40">
      <c r="A40" s="4">
        <f>IFERROR(__xludf.DUMMYFUNCTION("""COMPUTED_VALUE"""),43886.66666666667)</f>
        <v>43886.66667</v>
      </c>
      <c r="B40" s="5">
        <f>IFERROR(__xludf.DUMMYFUNCTION("""COMPUTED_VALUE"""),665.0)</f>
        <v>665</v>
      </c>
      <c r="C40" s="5">
        <f>IFERROR(__xludf.DUMMYFUNCTION("""COMPUTED_VALUE"""),675.0)</f>
        <v>675</v>
      </c>
      <c r="D40" s="5">
        <f>IFERROR(__xludf.DUMMYFUNCTION("""COMPUTED_VALUE"""),655.0)</f>
        <v>655</v>
      </c>
      <c r="E40" s="5">
        <f>IFERROR(__xludf.DUMMYFUNCTION("""COMPUTED_VALUE"""),670.0)</f>
        <v>670</v>
      </c>
      <c r="F40" s="5">
        <f>IFERROR(__xludf.DUMMYFUNCTION("""COMPUTED_VALUE"""),6475400.0)</f>
        <v>6475400</v>
      </c>
      <c r="G40" s="5">
        <f t="shared" si="1"/>
        <v>20</v>
      </c>
    </row>
    <row r="41">
      <c r="A41" s="4">
        <f>IFERROR(__xludf.DUMMYFUNCTION("""COMPUTED_VALUE"""),43887.66666666667)</f>
        <v>43887.66667</v>
      </c>
      <c r="B41" s="5">
        <f>IFERROR(__xludf.DUMMYFUNCTION("""COMPUTED_VALUE"""),665.0)</f>
        <v>665</v>
      </c>
      <c r="C41" s="5">
        <f>IFERROR(__xludf.DUMMYFUNCTION("""COMPUTED_VALUE"""),665.0)</f>
        <v>665</v>
      </c>
      <c r="D41" s="5">
        <f>IFERROR(__xludf.DUMMYFUNCTION("""COMPUTED_VALUE"""),635.0)</f>
        <v>635</v>
      </c>
      <c r="E41" s="5">
        <f>IFERROR(__xludf.DUMMYFUNCTION("""COMPUTED_VALUE"""),635.0)</f>
        <v>635</v>
      </c>
      <c r="F41" s="5">
        <f>IFERROR(__xludf.DUMMYFUNCTION("""COMPUTED_VALUE"""),1.16529E7)</f>
        <v>11652900</v>
      </c>
      <c r="G41" s="5">
        <f t="shared" si="1"/>
        <v>35</v>
      </c>
    </row>
    <row r="42">
      <c r="A42" s="4">
        <f>IFERROR(__xludf.DUMMYFUNCTION("""COMPUTED_VALUE"""),43888.66666666667)</f>
        <v>43888.66667</v>
      </c>
      <c r="B42" s="5">
        <f>IFERROR(__xludf.DUMMYFUNCTION("""COMPUTED_VALUE"""),635.0)</f>
        <v>635</v>
      </c>
      <c r="C42" s="5">
        <f>IFERROR(__xludf.DUMMYFUNCTION("""COMPUTED_VALUE"""),650.0)</f>
        <v>650</v>
      </c>
      <c r="D42" s="5">
        <f>IFERROR(__xludf.DUMMYFUNCTION("""COMPUTED_VALUE"""),600.0)</f>
        <v>600</v>
      </c>
      <c r="E42" s="5">
        <f>IFERROR(__xludf.DUMMYFUNCTION("""COMPUTED_VALUE"""),600.0)</f>
        <v>600</v>
      </c>
      <c r="F42" s="5">
        <f>IFERROR(__xludf.DUMMYFUNCTION("""COMPUTED_VALUE"""),1.10553E7)</f>
        <v>11055300</v>
      </c>
      <c r="G42" s="5">
        <f t="shared" si="1"/>
        <v>50</v>
      </c>
    </row>
    <row r="43">
      <c r="A43" s="4">
        <f>IFERROR(__xludf.DUMMYFUNCTION("""COMPUTED_VALUE"""),43889.66666666667)</f>
        <v>43889.66667</v>
      </c>
      <c r="B43" s="5">
        <f>IFERROR(__xludf.DUMMYFUNCTION("""COMPUTED_VALUE"""),600.0)</f>
        <v>600</v>
      </c>
      <c r="C43" s="5">
        <f>IFERROR(__xludf.DUMMYFUNCTION("""COMPUTED_VALUE"""),600.0)</f>
        <v>600</v>
      </c>
      <c r="D43" s="5">
        <f>IFERROR(__xludf.DUMMYFUNCTION("""COMPUTED_VALUE"""),540.0)</f>
        <v>540</v>
      </c>
      <c r="E43" s="5">
        <f>IFERROR(__xludf.DUMMYFUNCTION("""COMPUTED_VALUE"""),575.0)</f>
        <v>575</v>
      </c>
      <c r="F43" s="5">
        <f>IFERROR(__xludf.DUMMYFUNCTION("""COMPUTED_VALUE"""),2.60347E7)</f>
        <v>26034700</v>
      </c>
      <c r="G43" s="5">
        <f t="shared" si="1"/>
        <v>60</v>
      </c>
    </row>
    <row r="44">
      <c r="A44" s="4">
        <f>IFERROR(__xludf.DUMMYFUNCTION("""COMPUTED_VALUE"""),43892.66666666667)</f>
        <v>43892.66667</v>
      </c>
      <c r="B44" s="5">
        <f>IFERROR(__xludf.DUMMYFUNCTION("""COMPUTED_VALUE"""),575.0)</f>
        <v>575</v>
      </c>
      <c r="C44" s="5">
        <f>IFERROR(__xludf.DUMMYFUNCTION("""COMPUTED_VALUE"""),600.0)</f>
        <v>600</v>
      </c>
      <c r="D44" s="5">
        <f>IFERROR(__xludf.DUMMYFUNCTION("""COMPUTED_VALUE"""),555.0)</f>
        <v>555</v>
      </c>
      <c r="E44" s="5">
        <f>IFERROR(__xludf.DUMMYFUNCTION("""COMPUTED_VALUE"""),575.0)</f>
        <v>575</v>
      </c>
      <c r="F44" s="5">
        <f>IFERROR(__xludf.DUMMYFUNCTION("""COMPUTED_VALUE"""),1.9907E7)</f>
        <v>19907000</v>
      </c>
      <c r="G44" s="5">
        <f t="shared" si="1"/>
        <v>45</v>
      </c>
    </row>
    <row r="45">
      <c r="A45" s="4">
        <f>IFERROR(__xludf.DUMMYFUNCTION("""COMPUTED_VALUE"""),43893.66666666667)</f>
        <v>43893.66667</v>
      </c>
      <c r="B45" s="5">
        <f>IFERROR(__xludf.DUMMYFUNCTION("""COMPUTED_VALUE"""),595.0)</f>
        <v>595</v>
      </c>
      <c r="C45" s="5">
        <f>IFERROR(__xludf.DUMMYFUNCTION("""COMPUTED_VALUE"""),605.0)</f>
        <v>605</v>
      </c>
      <c r="D45" s="5">
        <f>IFERROR(__xludf.DUMMYFUNCTION("""COMPUTED_VALUE"""),585.0)</f>
        <v>585</v>
      </c>
      <c r="E45" s="5">
        <f>IFERROR(__xludf.DUMMYFUNCTION("""COMPUTED_VALUE"""),600.0)</f>
        <v>600</v>
      </c>
      <c r="F45" s="5">
        <f>IFERROR(__xludf.DUMMYFUNCTION("""COMPUTED_VALUE"""),1.52135E7)</f>
        <v>15213500</v>
      </c>
      <c r="G45" s="5">
        <f t="shared" si="1"/>
        <v>30</v>
      </c>
    </row>
    <row r="46">
      <c r="A46" s="4">
        <f>IFERROR(__xludf.DUMMYFUNCTION("""COMPUTED_VALUE"""),43894.66666666667)</f>
        <v>43894.66667</v>
      </c>
      <c r="B46" s="5">
        <f>IFERROR(__xludf.DUMMYFUNCTION("""COMPUTED_VALUE"""),600.0)</f>
        <v>600</v>
      </c>
      <c r="C46" s="5">
        <f>IFERROR(__xludf.DUMMYFUNCTION("""COMPUTED_VALUE"""),630.0)</f>
        <v>630</v>
      </c>
      <c r="D46" s="5">
        <f>IFERROR(__xludf.DUMMYFUNCTION("""COMPUTED_VALUE"""),595.0)</f>
        <v>595</v>
      </c>
      <c r="E46" s="5">
        <f>IFERROR(__xludf.DUMMYFUNCTION("""COMPUTED_VALUE"""),630.0)</f>
        <v>630</v>
      </c>
      <c r="F46" s="5">
        <f>IFERROR(__xludf.DUMMYFUNCTION("""COMPUTED_VALUE"""),1.98416E7)</f>
        <v>19841600</v>
      </c>
      <c r="G46" s="5">
        <f t="shared" si="1"/>
        <v>35</v>
      </c>
    </row>
    <row r="47">
      <c r="A47" s="4">
        <f>IFERROR(__xludf.DUMMYFUNCTION("""COMPUTED_VALUE"""),43895.66666666667)</f>
        <v>43895.66667</v>
      </c>
      <c r="B47" s="5">
        <f>IFERROR(__xludf.DUMMYFUNCTION("""COMPUTED_VALUE"""),640.0)</f>
        <v>640</v>
      </c>
      <c r="C47" s="5">
        <f>IFERROR(__xludf.DUMMYFUNCTION("""COMPUTED_VALUE"""),650.0)</f>
        <v>650</v>
      </c>
      <c r="D47" s="5">
        <f>IFERROR(__xludf.DUMMYFUNCTION("""COMPUTED_VALUE"""),615.0)</f>
        <v>615</v>
      </c>
      <c r="E47" s="5">
        <f>IFERROR(__xludf.DUMMYFUNCTION("""COMPUTED_VALUE"""),620.0)</f>
        <v>620</v>
      </c>
      <c r="F47" s="5">
        <f>IFERROR(__xludf.DUMMYFUNCTION("""COMPUTED_VALUE"""),1.70754E7)</f>
        <v>17075400</v>
      </c>
      <c r="G47" s="5">
        <f t="shared" si="1"/>
        <v>35</v>
      </c>
    </row>
    <row r="48">
      <c r="A48" s="4">
        <f>IFERROR(__xludf.DUMMYFUNCTION("""COMPUTED_VALUE"""),43896.66666666667)</f>
        <v>43896.66667</v>
      </c>
      <c r="B48" s="5">
        <f>IFERROR(__xludf.DUMMYFUNCTION("""COMPUTED_VALUE"""),620.0)</f>
        <v>620</v>
      </c>
      <c r="C48" s="5">
        <f>IFERROR(__xludf.DUMMYFUNCTION("""COMPUTED_VALUE"""),620.0)</f>
        <v>620</v>
      </c>
      <c r="D48" s="5">
        <f>IFERROR(__xludf.DUMMYFUNCTION("""COMPUTED_VALUE"""),595.0)</f>
        <v>595</v>
      </c>
      <c r="E48" s="5">
        <f>IFERROR(__xludf.DUMMYFUNCTION("""COMPUTED_VALUE"""),600.0)</f>
        <v>600</v>
      </c>
      <c r="F48" s="5">
        <f>IFERROR(__xludf.DUMMYFUNCTION("""COMPUTED_VALUE"""),9078100.0)</f>
        <v>9078100</v>
      </c>
      <c r="G48" s="5">
        <f t="shared" si="1"/>
        <v>25</v>
      </c>
    </row>
    <row r="49">
      <c r="A49" s="4">
        <f>IFERROR(__xludf.DUMMYFUNCTION("""COMPUTED_VALUE"""),43899.66666666667)</f>
        <v>43899.66667</v>
      </c>
      <c r="B49" s="5">
        <f>IFERROR(__xludf.DUMMYFUNCTION("""COMPUTED_VALUE"""),565.0)</f>
        <v>565</v>
      </c>
      <c r="C49" s="5">
        <f>IFERROR(__xludf.DUMMYFUNCTION("""COMPUTED_VALUE"""),580.0)</f>
        <v>580</v>
      </c>
      <c r="D49" s="5">
        <f>IFERROR(__xludf.DUMMYFUNCTION("""COMPUTED_VALUE"""),530.0)</f>
        <v>530</v>
      </c>
      <c r="E49" s="5">
        <f>IFERROR(__xludf.DUMMYFUNCTION("""COMPUTED_VALUE"""),530.0)</f>
        <v>530</v>
      </c>
      <c r="F49" s="5">
        <f>IFERROR(__xludf.DUMMYFUNCTION("""COMPUTED_VALUE"""),1.6534E7)</f>
        <v>16534000</v>
      </c>
      <c r="G49" s="5">
        <f t="shared" si="1"/>
        <v>70</v>
      </c>
    </row>
    <row r="50">
      <c r="A50" s="4">
        <f>IFERROR(__xludf.DUMMYFUNCTION("""COMPUTED_VALUE"""),43900.66666666667)</f>
        <v>43900.66667</v>
      </c>
      <c r="B50" s="5">
        <f>IFERROR(__xludf.DUMMYFUNCTION("""COMPUTED_VALUE"""),540.0)</f>
        <v>540</v>
      </c>
      <c r="C50" s="5">
        <f>IFERROR(__xludf.DUMMYFUNCTION("""COMPUTED_VALUE"""),560.0)</f>
        <v>560</v>
      </c>
      <c r="D50" s="5">
        <f>IFERROR(__xludf.DUMMYFUNCTION("""COMPUTED_VALUE"""),530.0)</f>
        <v>530</v>
      </c>
      <c r="E50" s="5">
        <f>IFERROR(__xludf.DUMMYFUNCTION("""COMPUTED_VALUE"""),550.0)</f>
        <v>550</v>
      </c>
      <c r="F50" s="5">
        <f>IFERROR(__xludf.DUMMYFUNCTION("""COMPUTED_VALUE"""),1.53978E7)</f>
        <v>15397800</v>
      </c>
      <c r="G50" s="5">
        <f t="shared" si="1"/>
        <v>30</v>
      </c>
    </row>
    <row r="51">
      <c r="A51" s="4">
        <f>IFERROR(__xludf.DUMMYFUNCTION("""COMPUTED_VALUE"""),43901.66666666667)</f>
        <v>43901.66667</v>
      </c>
      <c r="B51" s="5">
        <f>IFERROR(__xludf.DUMMYFUNCTION("""COMPUTED_VALUE"""),550.0)</f>
        <v>550</v>
      </c>
      <c r="C51" s="5">
        <f>IFERROR(__xludf.DUMMYFUNCTION("""COMPUTED_VALUE"""),565.0)</f>
        <v>565</v>
      </c>
      <c r="D51" s="5">
        <f>IFERROR(__xludf.DUMMYFUNCTION("""COMPUTED_VALUE"""),500.0)</f>
        <v>500</v>
      </c>
      <c r="E51" s="5">
        <f>IFERROR(__xludf.DUMMYFUNCTION("""COMPUTED_VALUE"""),510.0)</f>
        <v>510</v>
      </c>
      <c r="F51" s="5">
        <f>IFERROR(__xludf.DUMMYFUNCTION("""COMPUTED_VALUE"""),1.79307E7)</f>
        <v>17930700</v>
      </c>
      <c r="G51" s="5">
        <f t="shared" si="1"/>
        <v>65</v>
      </c>
    </row>
    <row r="52">
      <c r="A52" s="4">
        <f>IFERROR(__xludf.DUMMYFUNCTION("""COMPUTED_VALUE"""),43902.66666666667)</f>
        <v>43902.66667</v>
      </c>
      <c r="B52" s="5">
        <f>IFERROR(__xludf.DUMMYFUNCTION("""COMPUTED_VALUE"""),500.0)</f>
        <v>500</v>
      </c>
      <c r="C52" s="5">
        <f>IFERROR(__xludf.DUMMYFUNCTION("""COMPUTED_VALUE"""),500.0)</f>
        <v>500</v>
      </c>
      <c r="D52" s="5">
        <f>IFERROR(__xludf.DUMMYFUNCTION("""COMPUTED_VALUE"""),462.0)</f>
        <v>462</v>
      </c>
      <c r="E52" s="5">
        <f>IFERROR(__xludf.DUMMYFUNCTION("""COMPUTED_VALUE"""),468.0)</f>
        <v>468</v>
      </c>
      <c r="F52" s="5">
        <f>IFERROR(__xludf.DUMMYFUNCTION("""COMPUTED_VALUE"""),1.6032E7)</f>
        <v>16032000</v>
      </c>
      <c r="G52" s="5">
        <f t="shared" si="1"/>
        <v>48</v>
      </c>
    </row>
    <row r="53">
      <c r="A53" s="4">
        <f>IFERROR(__xludf.DUMMYFUNCTION("""COMPUTED_VALUE"""),43903.66666666667)</f>
        <v>43903.66667</v>
      </c>
      <c r="B53" s="5">
        <f>IFERROR(__xludf.DUMMYFUNCTION("""COMPUTED_VALUE"""),436.0)</f>
        <v>436</v>
      </c>
      <c r="C53" s="5">
        <f>IFERROR(__xludf.DUMMYFUNCTION("""COMPUTED_VALUE"""),480.0)</f>
        <v>480</v>
      </c>
      <c r="D53" s="5">
        <f>IFERROR(__xludf.DUMMYFUNCTION("""COMPUTED_VALUE"""),436.0)</f>
        <v>436</v>
      </c>
      <c r="E53" s="5">
        <f>IFERROR(__xludf.DUMMYFUNCTION("""COMPUTED_VALUE"""),468.0)</f>
        <v>468</v>
      </c>
      <c r="F53" s="5">
        <f>IFERROR(__xludf.DUMMYFUNCTION("""COMPUTED_VALUE"""),1.66642E7)</f>
        <v>16664200</v>
      </c>
      <c r="G53" s="5">
        <f t="shared" si="1"/>
        <v>44</v>
      </c>
    </row>
    <row r="54">
      <c r="A54" s="4">
        <f>IFERROR(__xludf.DUMMYFUNCTION("""COMPUTED_VALUE"""),43906.66666666667)</f>
        <v>43906.66667</v>
      </c>
      <c r="B54" s="5">
        <f>IFERROR(__xludf.DUMMYFUNCTION("""COMPUTED_VALUE"""),466.0)</f>
        <v>466</v>
      </c>
      <c r="C54" s="5">
        <f>IFERROR(__xludf.DUMMYFUNCTION("""COMPUTED_VALUE"""),470.0)</f>
        <v>470</v>
      </c>
      <c r="D54" s="5">
        <f>IFERROR(__xludf.DUMMYFUNCTION("""COMPUTED_VALUE"""),436.0)</f>
        <v>436</v>
      </c>
      <c r="E54" s="5">
        <f>IFERROR(__xludf.DUMMYFUNCTION("""COMPUTED_VALUE"""),436.0)</f>
        <v>436</v>
      </c>
      <c r="F54" s="5">
        <f>IFERROR(__xludf.DUMMYFUNCTION("""COMPUTED_VALUE"""),1.37045E7)</f>
        <v>13704500</v>
      </c>
      <c r="G54" s="5">
        <f t="shared" si="1"/>
        <v>34</v>
      </c>
    </row>
    <row r="55">
      <c r="A55" s="4">
        <f>IFERROR(__xludf.DUMMYFUNCTION("""COMPUTED_VALUE"""),43907.66666666667)</f>
        <v>43907.66667</v>
      </c>
      <c r="B55" s="5">
        <f>IFERROR(__xludf.DUMMYFUNCTION("""COMPUTED_VALUE"""),436.0)</f>
        <v>436</v>
      </c>
      <c r="C55" s="5">
        <f>IFERROR(__xludf.DUMMYFUNCTION("""COMPUTED_VALUE"""),440.0)</f>
        <v>440</v>
      </c>
      <c r="D55" s="5">
        <f>IFERROR(__xludf.DUMMYFUNCTION("""COMPUTED_VALUE"""),406.0)</f>
        <v>406</v>
      </c>
      <c r="E55" s="5">
        <f>IFERROR(__xludf.DUMMYFUNCTION("""COMPUTED_VALUE"""),406.0)</f>
        <v>406</v>
      </c>
      <c r="F55" s="5">
        <f>IFERROR(__xludf.DUMMYFUNCTION("""COMPUTED_VALUE"""),1.36627E7)</f>
        <v>13662700</v>
      </c>
      <c r="G55" s="5">
        <f t="shared" si="1"/>
        <v>34</v>
      </c>
    </row>
    <row r="56">
      <c r="A56" s="4">
        <f>IFERROR(__xludf.DUMMYFUNCTION("""COMPUTED_VALUE"""),43908.66666666667)</f>
        <v>43908.66667</v>
      </c>
      <c r="B56" s="5">
        <f>IFERROR(__xludf.DUMMYFUNCTION("""COMPUTED_VALUE"""),406.0)</f>
        <v>406</v>
      </c>
      <c r="C56" s="5">
        <f>IFERROR(__xludf.DUMMYFUNCTION("""COMPUTED_VALUE"""),406.0)</f>
        <v>406</v>
      </c>
      <c r="D56" s="5">
        <f>IFERROR(__xludf.DUMMYFUNCTION("""COMPUTED_VALUE"""),378.0)</f>
        <v>378</v>
      </c>
      <c r="E56" s="5">
        <f>IFERROR(__xludf.DUMMYFUNCTION("""COMPUTED_VALUE"""),378.0)</f>
        <v>378</v>
      </c>
      <c r="F56" s="5">
        <f>IFERROR(__xludf.DUMMYFUNCTION("""COMPUTED_VALUE"""),1.31085E7)</f>
        <v>13108500</v>
      </c>
      <c r="G56" s="5">
        <f t="shared" si="1"/>
        <v>28</v>
      </c>
    </row>
    <row r="57">
      <c r="A57" s="4">
        <f>IFERROR(__xludf.DUMMYFUNCTION("""COMPUTED_VALUE"""),43909.66666666667)</f>
        <v>43909.66667</v>
      </c>
      <c r="B57" s="5">
        <f>IFERROR(__xludf.DUMMYFUNCTION("""COMPUTED_VALUE"""),376.0)</f>
        <v>376</v>
      </c>
      <c r="C57" s="5">
        <f>IFERROR(__xludf.DUMMYFUNCTION("""COMPUTED_VALUE"""),376.0)</f>
        <v>376</v>
      </c>
      <c r="D57" s="5">
        <f>IFERROR(__xludf.DUMMYFUNCTION("""COMPUTED_VALUE"""),352.0)</f>
        <v>352</v>
      </c>
      <c r="E57" s="5">
        <f>IFERROR(__xludf.DUMMYFUNCTION("""COMPUTED_VALUE"""),352.0)</f>
        <v>352</v>
      </c>
      <c r="F57" s="5">
        <f>IFERROR(__xludf.DUMMYFUNCTION("""COMPUTED_VALUE"""),9678200.0)</f>
        <v>9678200</v>
      </c>
      <c r="G57" s="5">
        <f t="shared" si="1"/>
        <v>26</v>
      </c>
    </row>
    <row r="58">
      <c r="A58" s="4">
        <f>IFERROR(__xludf.DUMMYFUNCTION("""COMPUTED_VALUE"""),43910.66666666667)</f>
        <v>43910.66667</v>
      </c>
      <c r="B58" s="5">
        <f>IFERROR(__xludf.DUMMYFUNCTION("""COMPUTED_VALUE"""),354.0)</f>
        <v>354</v>
      </c>
      <c r="C58" s="5">
        <f>IFERROR(__xludf.DUMMYFUNCTION("""COMPUTED_VALUE"""),380.0)</f>
        <v>380</v>
      </c>
      <c r="D58" s="5">
        <f>IFERROR(__xludf.DUMMYFUNCTION("""COMPUTED_VALUE"""),328.0)</f>
        <v>328</v>
      </c>
      <c r="E58" s="5">
        <f>IFERROR(__xludf.DUMMYFUNCTION("""COMPUTED_VALUE"""),380.0)</f>
        <v>380</v>
      </c>
      <c r="F58" s="5">
        <f>IFERROR(__xludf.DUMMYFUNCTION("""COMPUTED_VALUE"""),3.7223E7)</f>
        <v>37223000</v>
      </c>
      <c r="G58" s="5">
        <f t="shared" si="1"/>
        <v>52</v>
      </c>
    </row>
    <row r="59">
      <c r="A59" s="4">
        <f>IFERROR(__xludf.DUMMYFUNCTION("""COMPUTED_VALUE"""),43913.66666666667)</f>
        <v>43913.66667</v>
      </c>
      <c r="B59" s="5">
        <f>IFERROR(__xludf.DUMMYFUNCTION("""COMPUTED_VALUE"""),380.0)</f>
        <v>380</v>
      </c>
      <c r="C59" s="5">
        <f>IFERROR(__xludf.DUMMYFUNCTION("""COMPUTED_VALUE"""),380.0)</f>
        <v>380</v>
      </c>
      <c r="D59" s="5">
        <f>IFERROR(__xludf.DUMMYFUNCTION("""COMPUTED_VALUE"""),354.0)</f>
        <v>354</v>
      </c>
      <c r="E59" s="5">
        <f>IFERROR(__xludf.DUMMYFUNCTION("""COMPUTED_VALUE"""),354.0)</f>
        <v>354</v>
      </c>
      <c r="F59" s="5">
        <f>IFERROR(__xludf.DUMMYFUNCTION("""COMPUTED_VALUE"""),9684600.0)</f>
        <v>9684600</v>
      </c>
      <c r="G59" s="5">
        <f t="shared" si="1"/>
        <v>26</v>
      </c>
    </row>
    <row r="60">
      <c r="A60" s="4">
        <f>IFERROR(__xludf.DUMMYFUNCTION("""COMPUTED_VALUE"""),43914.66666666667)</f>
        <v>43914.66667</v>
      </c>
      <c r="B60" s="5">
        <f>IFERROR(__xludf.DUMMYFUNCTION("""COMPUTED_VALUE"""),354.0)</f>
        <v>354</v>
      </c>
      <c r="C60" s="5">
        <f>IFERROR(__xludf.DUMMYFUNCTION("""COMPUTED_VALUE"""),378.0)</f>
        <v>378</v>
      </c>
      <c r="D60" s="5">
        <f>IFERROR(__xludf.DUMMYFUNCTION("""COMPUTED_VALUE"""),344.0)</f>
        <v>344</v>
      </c>
      <c r="E60" s="5">
        <f>IFERROR(__xludf.DUMMYFUNCTION("""COMPUTED_VALUE"""),358.0)</f>
        <v>358</v>
      </c>
      <c r="F60" s="5">
        <f>IFERROR(__xludf.DUMMYFUNCTION("""COMPUTED_VALUE"""),1.42717E7)</f>
        <v>14271700</v>
      </c>
      <c r="G60" s="5">
        <f t="shared" si="1"/>
        <v>34</v>
      </c>
    </row>
    <row r="61">
      <c r="A61" s="4">
        <f>IFERROR(__xludf.DUMMYFUNCTION("""COMPUTED_VALUE"""),43916.66666666667)</f>
        <v>43916.66667</v>
      </c>
      <c r="B61" s="5">
        <f>IFERROR(__xludf.DUMMYFUNCTION("""COMPUTED_VALUE"""),370.0)</f>
        <v>370</v>
      </c>
      <c r="C61" s="5">
        <f>IFERROR(__xludf.DUMMYFUNCTION("""COMPUTED_VALUE"""),428.0)</f>
        <v>428</v>
      </c>
      <c r="D61" s="5">
        <f>IFERROR(__xludf.DUMMYFUNCTION("""COMPUTED_VALUE"""),370.0)</f>
        <v>370</v>
      </c>
      <c r="E61" s="5">
        <f>IFERROR(__xludf.DUMMYFUNCTION("""COMPUTED_VALUE"""),412.0)</f>
        <v>412</v>
      </c>
      <c r="F61" s="5">
        <f>IFERROR(__xludf.DUMMYFUNCTION("""COMPUTED_VALUE"""),2.72493E7)</f>
        <v>27249300</v>
      </c>
      <c r="G61" s="5">
        <f t="shared" si="1"/>
        <v>70</v>
      </c>
    </row>
    <row r="62">
      <c r="A62" s="4">
        <f>IFERROR(__xludf.DUMMYFUNCTION("""COMPUTED_VALUE"""),43917.66666666667)</f>
        <v>43917.66667</v>
      </c>
      <c r="B62" s="5">
        <f>IFERROR(__xludf.DUMMYFUNCTION("""COMPUTED_VALUE"""),420.0)</f>
        <v>420</v>
      </c>
      <c r="C62" s="5">
        <f>IFERROR(__xludf.DUMMYFUNCTION("""COMPUTED_VALUE"""),480.0)</f>
        <v>480</v>
      </c>
      <c r="D62" s="5">
        <f>IFERROR(__xludf.DUMMYFUNCTION("""COMPUTED_VALUE"""),420.0)</f>
        <v>420</v>
      </c>
      <c r="E62" s="5">
        <f>IFERROR(__xludf.DUMMYFUNCTION("""COMPUTED_VALUE"""),432.0)</f>
        <v>432</v>
      </c>
      <c r="F62" s="5">
        <f>IFERROR(__xludf.DUMMYFUNCTION("""COMPUTED_VALUE"""),3.96204E7)</f>
        <v>39620400</v>
      </c>
      <c r="G62" s="5">
        <f t="shared" si="1"/>
        <v>68</v>
      </c>
    </row>
    <row r="63">
      <c r="A63" s="4">
        <f>IFERROR(__xludf.DUMMYFUNCTION("""COMPUTED_VALUE"""),43920.66666666667)</f>
        <v>43920.66667</v>
      </c>
      <c r="B63" s="5">
        <f>IFERROR(__xludf.DUMMYFUNCTION("""COMPUTED_VALUE"""),422.0)</f>
        <v>422</v>
      </c>
      <c r="C63" s="5">
        <f>IFERROR(__xludf.DUMMYFUNCTION("""COMPUTED_VALUE"""),430.0)</f>
        <v>430</v>
      </c>
      <c r="D63" s="5">
        <f>IFERROR(__xludf.DUMMYFUNCTION("""COMPUTED_VALUE"""),402.0)</f>
        <v>402</v>
      </c>
      <c r="E63" s="5">
        <f>IFERROR(__xludf.DUMMYFUNCTION("""COMPUTED_VALUE"""),416.0)</f>
        <v>416</v>
      </c>
      <c r="F63" s="5">
        <f>IFERROR(__xludf.DUMMYFUNCTION("""COMPUTED_VALUE"""),1.00253E7)</f>
        <v>10025300</v>
      </c>
      <c r="G63" s="5">
        <f t="shared" si="1"/>
        <v>30</v>
      </c>
    </row>
    <row r="64">
      <c r="A64" s="4">
        <f>IFERROR(__xludf.DUMMYFUNCTION("""COMPUTED_VALUE"""),43921.66666666667)</f>
        <v>43921.66667</v>
      </c>
      <c r="B64" s="5">
        <f>IFERROR(__xludf.DUMMYFUNCTION("""COMPUTED_VALUE"""),420.0)</f>
        <v>420</v>
      </c>
      <c r="C64" s="5">
        <f>IFERROR(__xludf.DUMMYFUNCTION("""COMPUTED_VALUE"""),438.0)</f>
        <v>438</v>
      </c>
      <c r="D64" s="5">
        <f>IFERROR(__xludf.DUMMYFUNCTION("""COMPUTED_VALUE"""),420.0)</f>
        <v>420</v>
      </c>
      <c r="E64" s="5">
        <f>IFERROR(__xludf.DUMMYFUNCTION("""COMPUTED_VALUE"""),428.0)</f>
        <v>428</v>
      </c>
      <c r="F64" s="5">
        <f>IFERROR(__xludf.DUMMYFUNCTION("""COMPUTED_VALUE"""),8861400.0)</f>
        <v>8861400</v>
      </c>
      <c r="G64" s="5">
        <f t="shared" si="1"/>
        <v>22</v>
      </c>
    </row>
    <row r="65">
      <c r="A65" s="4">
        <f>IFERROR(__xludf.DUMMYFUNCTION("""COMPUTED_VALUE"""),43922.66666666667)</f>
        <v>43922.66667</v>
      </c>
      <c r="B65" s="5">
        <f>IFERROR(__xludf.DUMMYFUNCTION("""COMPUTED_VALUE"""),434.0)</f>
        <v>434</v>
      </c>
      <c r="C65" s="5">
        <f>IFERROR(__xludf.DUMMYFUNCTION("""COMPUTED_VALUE"""),446.0)</f>
        <v>446</v>
      </c>
      <c r="D65" s="5">
        <f>IFERROR(__xludf.DUMMYFUNCTION("""COMPUTED_VALUE"""),406.0)</f>
        <v>406</v>
      </c>
      <c r="E65" s="5">
        <f>IFERROR(__xludf.DUMMYFUNCTION("""COMPUTED_VALUE"""),414.0)</f>
        <v>414</v>
      </c>
      <c r="F65" s="5">
        <f>IFERROR(__xludf.DUMMYFUNCTION("""COMPUTED_VALUE"""),1.22819E7)</f>
        <v>12281900</v>
      </c>
      <c r="G65" s="5">
        <f t="shared" si="1"/>
        <v>40</v>
      </c>
    </row>
    <row r="66">
      <c r="A66" s="4">
        <f>IFERROR(__xludf.DUMMYFUNCTION("""COMPUTED_VALUE"""),43923.66666666667)</f>
        <v>43923.66667</v>
      </c>
      <c r="B66" s="5">
        <f>IFERROR(__xludf.DUMMYFUNCTION("""COMPUTED_VALUE"""),410.0)</f>
        <v>410</v>
      </c>
      <c r="C66" s="5">
        <f>IFERROR(__xludf.DUMMYFUNCTION("""COMPUTED_VALUE"""),440.0)</f>
        <v>440</v>
      </c>
      <c r="D66" s="5">
        <f>IFERROR(__xludf.DUMMYFUNCTION("""COMPUTED_VALUE"""),406.0)</f>
        <v>406</v>
      </c>
      <c r="E66" s="5">
        <f>IFERROR(__xludf.DUMMYFUNCTION("""COMPUTED_VALUE"""),440.0)</f>
        <v>440</v>
      </c>
      <c r="F66" s="5">
        <f>IFERROR(__xludf.DUMMYFUNCTION("""COMPUTED_VALUE"""),9209200.0)</f>
        <v>9209200</v>
      </c>
      <c r="G66" s="5">
        <f t="shared" si="1"/>
        <v>34</v>
      </c>
    </row>
    <row r="67">
      <c r="A67" s="4">
        <f>IFERROR(__xludf.DUMMYFUNCTION("""COMPUTED_VALUE"""),43924.66666666667)</f>
        <v>43924.66667</v>
      </c>
      <c r="B67" s="5">
        <f>IFERROR(__xludf.DUMMYFUNCTION("""COMPUTED_VALUE"""),450.0)</f>
        <v>450</v>
      </c>
      <c r="C67" s="5">
        <f>IFERROR(__xludf.DUMMYFUNCTION("""COMPUTED_VALUE"""),456.0)</f>
        <v>456</v>
      </c>
      <c r="D67" s="5">
        <f>IFERROR(__xludf.DUMMYFUNCTION("""COMPUTED_VALUE"""),440.0)</f>
        <v>440</v>
      </c>
      <c r="E67" s="5">
        <f>IFERROR(__xludf.DUMMYFUNCTION("""COMPUTED_VALUE"""),448.0)</f>
        <v>448</v>
      </c>
      <c r="F67" s="5">
        <f>IFERROR(__xludf.DUMMYFUNCTION("""COMPUTED_VALUE"""),1.96992E7)</f>
        <v>19699200</v>
      </c>
      <c r="G67" s="5">
        <f t="shared" si="1"/>
        <v>16</v>
      </c>
    </row>
    <row r="68">
      <c r="A68" s="4">
        <f>IFERROR(__xludf.DUMMYFUNCTION("""COMPUTED_VALUE"""),43927.66666666667)</f>
        <v>43927.66667</v>
      </c>
      <c r="B68" s="5">
        <f>IFERROR(__xludf.DUMMYFUNCTION("""COMPUTED_VALUE"""),452.0)</f>
        <v>452</v>
      </c>
      <c r="C68" s="5">
        <f>IFERROR(__xludf.DUMMYFUNCTION("""COMPUTED_VALUE"""),515.0)</f>
        <v>515</v>
      </c>
      <c r="D68" s="5">
        <f>IFERROR(__xludf.DUMMYFUNCTION("""COMPUTED_VALUE"""),452.0)</f>
        <v>452</v>
      </c>
      <c r="E68" s="5">
        <f>IFERROR(__xludf.DUMMYFUNCTION("""COMPUTED_VALUE"""),515.0)</f>
        <v>515</v>
      </c>
      <c r="F68" s="5">
        <f>IFERROR(__xludf.DUMMYFUNCTION("""COMPUTED_VALUE"""),4.37067E7)</f>
        <v>43706700</v>
      </c>
      <c r="G68" s="5">
        <f t="shared" si="1"/>
        <v>67</v>
      </c>
    </row>
    <row r="69">
      <c r="A69" s="4">
        <f>IFERROR(__xludf.DUMMYFUNCTION("""COMPUTED_VALUE"""),43928.66666666667)</f>
        <v>43928.66667</v>
      </c>
      <c r="B69" s="5">
        <f>IFERROR(__xludf.DUMMYFUNCTION("""COMPUTED_VALUE"""),545.0)</f>
        <v>545</v>
      </c>
      <c r="C69" s="5">
        <f>IFERROR(__xludf.DUMMYFUNCTION("""COMPUTED_VALUE"""),555.0)</f>
        <v>555</v>
      </c>
      <c r="D69" s="5">
        <f>IFERROR(__xludf.DUMMYFUNCTION("""COMPUTED_VALUE"""),500.0)</f>
        <v>500</v>
      </c>
      <c r="E69" s="5">
        <f>IFERROR(__xludf.DUMMYFUNCTION("""COMPUTED_VALUE"""),525.0)</f>
        <v>525</v>
      </c>
      <c r="F69" s="5">
        <f>IFERROR(__xludf.DUMMYFUNCTION("""COMPUTED_VALUE"""),4.00209E7)</f>
        <v>40020900</v>
      </c>
      <c r="G69" s="5">
        <f t="shared" si="1"/>
        <v>55</v>
      </c>
    </row>
    <row r="70">
      <c r="A70" s="4">
        <f>IFERROR(__xludf.DUMMYFUNCTION("""COMPUTED_VALUE"""),43929.66666666667)</f>
        <v>43929.66667</v>
      </c>
      <c r="B70" s="5">
        <f>IFERROR(__xludf.DUMMYFUNCTION("""COMPUTED_VALUE"""),510.0)</f>
        <v>510</v>
      </c>
      <c r="C70" s="5">
        <f>IFERROR(__xludf.DUMMYFUNCTION("""COMPUTED_VALUE"""),530.0)</f>
        <v>530</v>
      </c>
      <c r="D70" s="5">
        <f>IFERROR(__xludf.DUMMYFUNCTION("""COMPUTED_VALUE"""),490.0)</f>
        <v>490</v>
      </c>
      <c r="E70" s="5">
        <f>IFERROR(__xludf.DUMMYFUNCTION("""COMPUTED_VALUE"""),490.0)</f>
        <v>490</v>
      </c>
      <c r="F70" s="5">
        <f>IFERROR(__xludf.DUMMYFUNCTION("""COMPUTED_VALUE"""),1.94833E7)</f>
        <v>19483300</v>
      </c>
      <c r="G70" s="5">
        <f t="shared" si="1"/>
        <v>40</v>
      </c>
    </row>
    <row r="71">
      <c r="A71" s="4">
        <f>IFERROR(__xludf.DUMMYFUNCTION("""COMPUTED_VALUE"""),43930.66666666667)</f>
        <v>43930.66667</v>
      </c>
      <c r="B71" s="5">
        <f>IFERROR(__xludf.DUMMYFUNCTION("""COMPUTED_VALUE"""),490.0)</f>
        <v>490</v>
      </c>
      <c r="C71" s="5">
        <f>IFERROR(__xludf.DUMMYFUNCTION("""COMPUTED_VALUE"""),510.0)</f>
        <v>510</v>
      </c>
      <c r="D71" s="5">
        <f>IFERROR(__xludf.DUMMYFUNCTION("""COMPUTED_VALUE"""),482.0)</f>
        <v>482</v>
      </c>
      <c r="E71" s="5">
        <f>IFERROR(__xludf.DUMMYFUNCTION("""COMPUTED_VALUE"""),500.0)</f>
        <v>500</v>
      </c>
      <c r="F71" s="5">
        <f>IFERROR(__xludf.DUMMYFUNCTION("""COMPUTED_VALUE"""),8886100.0)</f>
        <v>8886100</v>
      </c>
      <c r="G71" s="5">
        <f t="shared" si="1"/>
        <v>28</v>
      </c>
    </row>
    <row r="72">
      <c r="A72" s="4">
        <f>IFERROR(__xludf.DUMMYFUNCTION("""COMPUTED_VALUE"""),43934.66666666667)</f>
        <v>43934.66667</v>
      </c>
      <c r="B72" s="5">
        <f>IFERROR(__xludf.DUMMYFUNCTION("""COMPUTED_VALUE"""),510.0)</f>
        <v>510</v>
      </c>
      <c r="C72" s="5">
        <f>IFERROR(__xludf.DUMMYFUNCTION("""COMPUTED_VALUE"""),525.0)</f>
        <v>525</v>
      </c>
      <c r="D72" s="5">
        <f>IFERROR(__xludf.DUMMYFUNCTION("""COMPUTED_VALUE"""),496.0)</f>
        <v>496</v>
      </c>
      <c r="E72" s="5">
        <f>IFERROR(__xludf.DUMMYFUNCTION("""COMPUTED_VALUE"""),515.0)</f>
        <v>515</v>
      </c>
      <c r="F72" s="5">
        <f>IFERROR(__xludf.DUMMYFUNCTION("""COMPUTED_VALUE"""),1.61351E7)</f>
        <v>16135100</v>
      </c>
      <c r="G72" s="5">
        <f t="shared" si="1"/>
        <v>29</v>
      </c>
    </row>
    <row r="73">
      <c r="A73" s="4">
        <f>IFERROR(__xludf.DUMMYFUNCTION("""COMPUTED_VALUE"""),43935.66666666667)</f>
        <v>43935.66667</v>
      </c>
      <c r="B73" s="5">
        <f>IFERROR(__xludf.DUMMYFUNCTION("""COMPUTED_VALUE"""),525.0)</f>
        <v>525</v>
      </c>
      <c r="C73" s="5">
        <f>IFERROR(__xludf.DUMMYFUNCTION("""COMPUTED_VALUE"""),540.0)</f>
        <v>540</v>
      </c>
      <c r="D73" s="5">
        <f>IFERROR(__xludf.DUMMYFUNCTION("""COMPUTED_VALUE"""),520.0)</f>
        <v>520</v>
      </c>
      <c r="E73" s="5">
        <f>IFERROR(__xludf.DUMMYFUNCTION("""COMPUTED_VALUE"""),535.0)</f>
        <v>535</v>
      </c>
      <c r="F73" s="5">
        <f>IFERROR(__xludf.DUMMYFUNCTION("""COMPUTED_VALUE"""),1.30006E7)</f>
        <v>13000600</v>
      </c>
      <c r="G73" s="5">
        <f t="shared" si="1"/>
        <v>25</v>
      </c>
    </row>
    <row r="74">
      <c r="A74" s="4">
        <f>IFERROR(__xludf.DUMMYFUNCTION("""COMPUTED_VALUE"""),43936.66666666667)</f>
        <v>43936.66667</v>
      </c>
      <c r="B74" s="5">
        <f>IFERROR(__xludf.DUMMYFUNCTION("""COMPUTED_VALUE"""),545.0)</f>
        <v>545</v>
      </c>
      <c r="C74" s="5">
        <f>IFERROR(__xludf.DUMMYFUNCTION("""COMPUTED_VALUE"""),550.0)</f>
        <v>550</v>
      </c>
      <c r="D74" s="5">
        <f>IFERROR(__xludf.DUMMYFUNCTION("""COMPUTED_VALUE"""),510.0)</f>
        <v>510</v>
      </c>
      <c r="E74" s="5">
        <f>IFERROR(__xludf.DUMMYFUNCTION("""COMPUTED_VALUE"""),515.0)</f>
        <v>515</v>
      </c>
      <c r="F74" s="5">
        <f>IFERROR(__xludf.DUMMYFUNCTION("""COMPUTED_VALUE"""),1.51309E7)</f>
        <v>15130900</v>
      </c>
      <c r="G74" s="5">
        <f t="shared" si="1"/>
        <v>40</v>
      </c>
    </row>
    <row r="75">
      <c r="A75" s="4">
        <f>IFERROR(__xludf.DUMMYFUNCTION("""COMPUTED_VALUE"""),43937.66666666667)</f>
        <v>43937.66667</v>
      </c>
      <c r="B75" s="5">
        <f>IFERROR(__xludf.DUMMYFUNCTION("""COMPUTED_VALUE"""),505.0)</f>
        <v>505</v>
      </c>
      <c r="C75" s="5">
        <f>IFERROR(__xludf.DUMMYFUNCTION("""COMPUTED_VALUE"""),505.0)</f>
        <v>505</v>
      </c>
      <c r="D75" s="5">
        <f>IFERROR(__xludf.DUMMYFUNCTION("""COMPUTED_VALUE"""),480.0)</f>
        <v>480</v>
      </c>
      <c r="E75" s="5">
        <f>IFERROR(__xludf.DUMMYFUNCTION("""COMPUTED_VALUE"""),480.0)</f>
        <v>480</v>
      </c>
      <c r="F75" s="5">
        <f>IFERROR(__xludf.DUMMYFUNCTION("""COMPUTED_VALUE"""),2.20818E7)</f>
        <v>22081800</v>
      </c>
      <c r="G75" s="5">
        <f t="shared" si="1"/>
        <v>35</v>
      </c>
    </row>
    <row r="76">
      <c r="A76" s="4">
        <f>IFERROR(__xludf.DUMMYFUNCTION("""COMPUTED_VALUE"""),43938.66666666667)</f>
        <v>43938.66667</v>
      </c>
      <c r="B76" s="5">
        <f>IFERROR(__xludf.DUMMYFUNCTION("""COMPUTED_VALUE"""),500.0)</f>
        <v>500</v>
      </c>
      <c r="C76" s="5">
        <f>IFERROR(__xludf.DUMMYFUNCTION("""COMPUTED_VALUE"""),500.0)</f>
        <v>500</v>
      </c>
      <c r="D76" s="5">
        <f>IFERROR(__xludf.DUMMYFUNCTION("""COMPUTED_VALUE"""),480.0)</f>
        <v>480</v>
      </c>
      <c r="E76" s="5">
        <f>IFERROR(__xludf.DUMMYFUNCTION("""COMPUTED_VALUE"""),490.0)</f>
        <v>490</v>
      </c>
      <c r="F76" s="5">
        <f>IFERROR(__xludf.DUMMYFUNCTION("""COMPUTED_VALUE"""),1.63365E7)</f>
        <v>16336500</v>
      </c>
      <c r="G76" s="5">
        <f t="shared" si="1"/>
        <v>20</v>
      </c>
    </row>
    <row r="77">
      <c r="A77" s="4">
        <f>IFERROR(__xludf.DUMMYFUNCTION("""COMPUTED_VALUE"""),43941.66666666667)</f>
        <v>43941.66667</v>
      </c>
      <c r="B77" s="5">
        <f>IFERROR(__xludf.DUMMYFUNCTION("""COMPUTED_VALUE"""),492.0)</f>
        <v>492</v>
      </c>
      <c r="C77" s="5">
        <f>IFERROR(__xludf.DUMMYFUNCTION("""COMPUTED_VALUE"""),492.0)</f>
        <v>492</v>
      </c>
      <c r="D77" s="5">
        <f>IFERROR(__xludf.DUMMYFUNCTION("""COMPUTED_VALUE"""),476.0)</f>
        <v>476</v>
      </c>
      <c r="E77" s="5">
        <f>IFERROR(__xludf.DUMMYFUNCTION("""COMPUTED_VALUE"""),478.0)</f>
        <v>478</v>
      </c>
      <c r="F77" s="5">
        <f>IFERROR(__xludf.DUMMYFUNCTION("""COMPUTED_VALUE"""),1.24973E7)</f>
        <v>12497300</v>
      </c>
      <c r="G77" s="5">
        <f t="shared" si="1"/>
        <v>16</v>
      </c>
    </row>
    <row r="78">
      <c r="A78" s="4">
        <f>IFERROR(__xludf.DUMMYFUNCTION("""COMPUTED_VALUE"""),43942.66666666667)</f>
        <v>43942.66667</v>
      </c>
      <c r="B78" s="5">
        <f>IFERROR(__xludf.DUMMYFUNCTION("""COMPUTED_VALUE"""),476.0)</f>
        <v>476</v>
      </c>
      <c r="C78" s="5">
        <f>IFERROR(__xludf.DUMMYFUNCTION("""COMPUTED_VALUE"""),476.0)</f>
        <v>476</v>
      </c>
      <c r="D78" s="5">
        <f>IFERROR(__xludf.DUMMYFUNCTION("""COMPUTED_VALUE"""),452.0)</f>
        <v>452</v>
      </c>
      <c r="E78" s="5">
        <f>IFERROR(__xludf.DUMMYFUNCTION("""COMPUTED_VALUE"""),456.0)</f>
        <v>456</v>
      </c>
      <c r="F78" s="5">
        <f>IFERROR(__xludf.DUMMYFUNCTION("""COMPUTED_VALUE"""),7925300.0)</f>
        <v>7925300</v>
      </c>
      <c r="G78" s="5">
        <f t="shared" si="1"/>
        <v>26</v>
      </c>
    </row>
    <row r="79">
      <c r="A79" s="4">
        <f>IFERROR(__xludf.DUMMYFUNCTION("""COMPUTED_VALUE"""),43943.66666666667)</f>
        <v>43943.66667</v>
      </c>
      <c r="B79" s="5">
        <f>IFERROR(__xludf.DUMMYFUNCTION("""COMPUTED_VALUE"""),452.0)</f>
        <v>452</v>
      </c>
      <c r="C79" s="5">
        <f>IFERROR(__xludf.DUMMYFUNCTION("""COMPUTED_VALUE"""),466.0)</f>
        <v>466</v>
      </c>
      <c r="D79" s="5">
        <f>IFERROR(__xludf.DUMMYFUNCTION("""COMPUTED_VALUE"""),442.0)</f>
        <v>442</v>
      </c>
      <c r="E79" s="5">
        <f>IFERROR(__xludf.DUMMYFUNCTION("""COMPUTED_VALUE"""),460.0)</f>
        <v>460</v>
      </c>
      <c r="F79" s="5">
        <f>IFERROR(__xludf.DUMMYFUNCTION("""COMPUTED_VALUE"""),1.03831E7)</f>
        <v>10383100</v>
      </c>
      <c r="G79" s="5">
        <f t="shared" si="1"/>
        <v>24</v>
      </c>
    </row>
    <row r="80">
      <c r="A80" s="4">
        <f>IFERROR(__xludf.DUMMYFUNCTION("""COMPUTED_VALUE"""),43944.66666666667)</f>
        <v>43944.66667</v>
      </c>
      <c r="B80" s="5">
        <f>IFERROR(__xludf.DUMMYFUNCTION("""COMPUTED_VALUE"""),462.0)</f>
        <v>462</v>
      </c>
      <c r="C80" s="5">
        <f>IFERROR(__xludf.DUMMYFUNCTION("""COMPUTED_VALUE"""),476.0)</f>
        <v>476</v>
      </c>
      <c r="D80" s="5">
        <f>IFERROR(__xludf.DUMMYFUNCTION("""COMPUTED_VALUE"""),460.0)</f>
        <v>460</v>
      </c>
      <c r="E80" s="5">
        <f>IFERROR(__xludf.DUMMYFUNCTION("""COMPUTED_VALUE"""),462.0)</f>
        <v>462</v>
      </c>
      <c r="F80" s="5">
        <f>IFERROR(__xludf.DUMMYFUNCTION("""COMPUTED_VALUE"""),6542500.0)</f>
        <v>6542500</v>
      </c>
      <c r="G80" s="5">
        <f t="shared" si="1"/>
        <v>16</v>
      </c>
    </row>
    <row r="81">
      <c r="A81" s="4">
        <f>IFERROR(__xludf.DUMMYFUNCTION("""COMPUTED_VALUE"""),43945.66666666667)</f>
        <v>43945.66667</v>
      </c>
      <c r="B81" s="5">
        <f>IFERROR(__xludf.DUMMYFUNCTION("""COMPUTED_VALUE"""),462.0)</f>
        <v>462</v>
      </c>
      <c r="C81" s="5">
        <f>IFERROR(__xludf.DUMMYFUNCTION("""COMPUTED_VALUE"""),472.0)</f>
        <v>472</v>
      </c>
      <c r="D81" s="5">
        <f>IFERROR(__xludf.DUMMYFUNCTION("""COMPUTED_VALUE"""),450.0)</f>
        <v>450</v>
      </c>
      <c r="E81" s="5">
        <f>IFERROR(__xludf.DUMMYFUNCTION("""COMPUTED_VALUE"""),456.0)</f>
        <v>456</v>
      </c>
      <c r="F81" s="5">
        <f>IFERROR(__xludf.DUMMYFUNCTION("""COMPUTED_VALUE"""),4634100.0)</f>
        <v>4634100</v>
      </c>
      <c r="G81" s="5">
        <f t="shared" si="1"/>
        <v>22</v>
      </c>
    </row>
    <row r="82">
      <c r="A82" s="4">
        <f>IFERROR(__xludf.DUMMYFUNCTION("""COMPUTED_VALUE"""),43948.66666666667)</f>
        <v>43948.66667</v>
      </c>
      <c r="B82" s="5">
        <f>IFERROR(__xludf.DUMMYFUNCTION("""COMPUTED_VALUE"""),456.0)</f>
        <v>456</v>
      </c>
      <c r="C82" s="5">
        <f>IFERROR(__xludf.DUMMYFUNCTION("""COMPUTED_VALUE"""),480.0)</f>
        <v>480</v>
      </c>
      <c r="D82" s="5">
        <f>IFERROR(__xludf.DUMMYFUNCTION("""COMPUTED_VALUE"""),454.0)</f>
        <v>454</v>
      </c>
      <c r="E82" s="5">
        <f>IFERROR(__xludf.DUMMYFUNCTION("""COMPUTED_VALUE"""),462.0)</f>
        <v>462</v>
      </c>
      <c r="F82" s="5">
        <f>IFERROR(__xludf.DUMMYFUNCTION("""COMPUTED_VALUE"""),4486600.0)</f>
        <v>4486600</v>
      </c>
      <c r="G82" s="5">
        <f t="shared" si="1"/>
        <v>26</v>
      </c>
    </row>
    <row r="83">
      <c r="A83" s="4">
        <f>IFERROR(__xludf.DUMMYFUNCTION("""COMPUTED_VALUE"""),43949.66666666667)</f>
        <v>43949.66667</v>
      </c>
      <c r="B83" s="5">
        <f>IFERROR(__xludf.DUMMYFUNCTION("""COMPUTED_VALUE"""),458.0)</f>
        <v>458</v>
      </c>
      <c r="C83" s="5">
        <f>IFERROR(__xludf.DUMMYFUNCTION("""COMPUTED_VALUE"""),470.0)</f>
        <v>470</v>
      </c>
      <c r="D83" s="5">
        <f>IFERROR(__xludf.DUMMYFUNCTION("""COMPUTED_VALUE"""),458.0)</f>
        <v>458</v>
      </c>
      <c r="E83" s="5">
        <f>IFERROR(__xludf.DUMMYFUNCTION("""COMPUTED_VALUE"""),462.0)</f>
        <v>462</v>
      </c>
      <c r="F83" s="5">
        <f>IFERROR(__xludf.DUMMYFUNCTION("""COMPUTED_VALUE"""),3990200.0)</f>
        <v>3990200</v>
      </c>
      <c r="G83" s="5">
        <f t="shared" si="1"/>
        <v>12</v>
      </c>
    </row>
    <row r="84">
      <c r="A84" s="4">
        <f>IFERROR(__xludf.DUMMYFUNCTION("""COMPUTED_VALUE"""),43950.66666666667)</f>
        <v>43950.66667</v>
      </c>
      <c r="B84" s="5">
        <f>IFERROR(__xludf.DUMMYFUNCTION("""COMPUTED_VALUE"""),468.0)</f>
        <v>468</v>
      </c>
      <c r="C84" s="5">
        <f>IFERROR(__xludf.DUMMYFUNCTION("""COMPUTED_VALUE"""),470.0)</f>
        <v>470</v>
      </c>
      <c r="D84" s="5">
        <f>IFERROR(__xludf.DUMMYFUNCTION("""COMPUTED_VALUE"""),462.0)</f>
        <v>462</v>
      </c>
      <c r="E84" s="5">
        <f>IFERROR(__xludf.DUMMYFUNCTION("""COMPUTED_VALUE"""),464.0)</f>
        <v>464</v>
      </c>
      <c r="F84" s="5">
        <f>IFERROR(__xludf.DUMMYFUNCTION("""COMPUTED_VALUE"""),2381900.0)</f>
        <v>2381900</v>
      </c>
      <c r="G84" s="5">
        <f t="shared" si="1"/>
        <v>8</v>
      </c>
    </row>
    <row r="85">
      <c r="A85" s="4">
        <f>IFERROR(__xludf.DUMMYFUNCTION("""COMPUTED_VALUE"""),43951.66666666667)</f>
        <v>43951.66667</v>
      </c>
      <c r="B85" s="5">
        <f>IFERROR(__xludf.DUMMYFUNCTION("""COMPUTED_VALUE"""),472.0)</f>
        <v>472</v>
      </c>
      <c r="C85" s="5">
        <f>IFERROR(__xludf.DUMMYFUNCTION("""COMPUTED_VALUE"""),482.0)</f>
        <v>482</v>
      </c>
      <c r="D85" s="5">
        <f>IFERROR(__xludf.DUMMYFUNCTION("""COMPUTED_VALUE"""),464.0)</f>
        <v>464</v>
      </c>
      <c r="E85" s="5">
        <f>IFERROR(__xludf.DUMMYFUNCTION("""COMPUTED_VALUE"""),466.0)</f>
        <v>466</v>
      </c>
      <c r="F85" s="5">
        <f>IFERROR(__xludf.DUMMYFUNCTION("""COMPUTED_VALUE"""),1.46737E7)</f>
        <v>14673700</v>
      </c>
      <c r="G85" s="5">
        <f t="shared" si="1"/>
        <v>18</v>
      </c>
    </row>
    <row r="86">
      <c r="A86" s="4">
        <f>IFERROR(__xludf.DUMMYFUNCTION("""COMPUTED_VALUE"""),43955.66666666667)</f>
        <v>43955.66667</v>
      </c>
      <c r="B86" s="5">
        <f>IFERROR(__xludf.DUMMYFUNCTION("""COMPUTED_VALUE"""),460.0)</f>
        <v>460</v>
      </c>
      <c r="C86" s="5">
        <f>IFERROR(__xludf.DUMMYFUNCTION("""COMPUTED_VALUE"""),472.0)</f>
        <v>472</v>
      </c>
      <c r="D86" s="5">
        <f>IFERROR(__xludf.DUMMYFUNCTION("""COMPUTED_VALUE"""),450.0)</f>
        <v>450</v>
      </c>
      <c r="E86" s="5">
        <f>IFERROR(__xludf.DUMMYFUNCTION("""COMPUTED_VALUE"""),460.0)</f>
        <v>460</v>
      </c>
      <c r="F86" s="5">
        <f>IFERROR(__xludf.DUMMYFUNCTION("""COMPUTED_VALUE"""),6093500.0)</f>
        <v>6093500</v>
      </c>
      <c r="G86" s="5">
        <f t="shared" si="1"/>
        <v>22</v>
      </c>
    </row>
    <row r="87">
      <c r="A87" s="4">
        <f>IFERROR(__xludf.DUMMYFUNCTION("""COMPUTED_VALUE"""),43956.66666666667)</f>
        <v>43956.66667</v>
      </c>
      <c r="B87" s="5">
        <f>IFERROR(__xludf.DUMMYFUNCTION("""COMPUTED_VALUE"""),462.0)</f>
        <v>462</v>
      </c>
      <c r="C87" s="5">
        <f>IFERROR(__xludf.DUMMYFUNCTION("""COMPUTED_VALUE"""),470.0)</f>
        <v>470</v>
      </c>
      <c r="D87" s="5">
        <f>IFERROR(__xludf.DUMMYFUNCTION("""COMPUTED_VALUE"""),462.0)</f>
        <v>462</v>
      </c>
      <c r="E87" s="5">
        <f>IFERROR(__xludf.DUMMYFUNCTION("""COMPUTED_VALUE"""),468.0)</f>
        <v>468</v>
      </c>
      <c r="F87" s="5">
        <f>IFERROR(__xludf.DUMMYFUNCTION("""COMPUTED_VALUE"""),2738500.0)</f>
        <v>2738500</v>
      </c>
      <c r="G87" s="5">
        <f t="shared" si="1"/>
        <v>10</v>
      </c>
    </row>
    <row r="88">
      <c r="A88" s="4">
        <f>IFERROR(__xludf.DUMMYFUNCTION("""COMPUTED_VALUE"""),43957.66666666667)</f>
        <v>43957.66667</v>
      </c>
      <c r="B88" s="5">
        <f>IFERROR(__xludf.DUMMYFUNCTION("""COMPUTED_VALUE"""),470.0)</f>
        <v>470</v>
      </c>
      <c r="C88" s="5">
        <f>IFERROR(__xludf.DUMMYFUNCTION("""COMPUTED_VALUE"""),484.0)</f>
        <v>484</v>
      </c>
      <c r="D88" s="5">
        <f>IFERROR(__xludf.DUMMYFUNCTION("""COMPUTED_VALUE"""),470.0)</f>
        <v>470</v>
      </c>
      <c r="E88" s="5">
        <f>IFERROR(__xludf.DUMMYFUNCTION("""COMPUTED_VALUE"""),470.0)</f>
        <v>470</v>
      </c>
      <c r="F88" s="5">
        <f>IFERROR(__xludf.DUMMYFUNCTION("""COMPUTED_VALUE"""),1.67996E7)</f>
        <v>16799600</v>
      </c>
      <c r="G88" s="5">
        <f t="shared" si="1"/>
        <v>16</v>
      </c>
    </row>
    <row r="89">
      <c r="A89" s="4">
        <f>IFERROR(__xludf.DUMMYFUNCTION("""COMPUTED_VALUE"""),43959.66666666667)</f>
        <v>43959.66667</v>
      </c>
      <c r="B89" s="5">
        <f>IFERROR(__xludf.DUMMYFUNCTION("""COMPUTED_VALUE"""),480.0)</f>
        <v>480</v>
      </c>
      <c r="C89" s="5">
        <f>IFERROR(__xludf.DUMMYFUNCTION("""COMPUTED_VALUE"""),515.0)</f>
        <v>515</v>
      </c>
      <c r="D89" s="5">
        <f>IFERROR(__xludf.DUMMYFUNCTION("""COMPUTED_VALUE"""),474.0)</f>
        <v>474</v>
      </c>
      <c r="E89" s="5">
        <f>IFERROR(__xludf.DUMMYFUNCTION("""COMPUTED_VALUE"""),505.0)</f>
        <v>505</v>
      </c>
      <c r="F89" s="5">
        <f>IFERROR(__xludf.DUMMYFUNCTION("""COMPUTED_VALUE"""),4.59259E7)</f>
        <v>45925900</v>
      </c>
      <c r="G89" s="5">
        <f t="shared" si="1"/>
        <v>45</v>
      </c>
    </row>
    <row r="90">
      <c r="A90" s="4">
        <f>IFERROR(__xludf.DUMMYFUNCTION("""COMPUTED_VALUE"""),43962.66666666667)</f>
        <v>43962.66667</v>
      </c>
      <c r="B90" s="5">
        <f>IFERROR(__xludf.DUMMYFUNCTION("""COMPUTED_VALUE"""),510.0)</f>
        <v>510</v>
      </c>
      <c r="C90" s="5">
        <f>IFERROR(__xludf.DUMMYFUNCTION("""COMPUTED_VALUE"""),520.0)</f>
        <v>520</v>
      </c>
      <c r="D90" s="5">
        <f>IFERROR(__xludf.DUMMYFUNCTION("""COMPUTED_VALUE"""),492.0)</f>
        <v>492</v>
      </c>
      <c r="E90" s="5">
        <f>IFERROR(__xludf.DUMMYFUNCTION("""COMPUTED_VALUE"""),492.0)</f>
        <v>492</v>
      </c>
      <c r="F90" s="5">
        <f>IFERROR(__xludf.DUMMYFUNCTION("""COMPUTED_VALUE"""),2.66518E7)</f>
        <v>26651800</v>
      </c>
      <c r="G90" s="5">
        <f t="shared" si="1"/>
        <v>28</v>
      </c>
    </row>
    <row r="91">
      <c r="A91" s="4">
        <f>IFERROR(__xludf.DUMMYFUNCTION("""COMPUTED_VALUE"""),43963.66666666667)</f>
        <v>43963.66667</v>
      </c>
      <c r="B91" s="5">
        <f>IFERROR(__xludf.DUMMYFUNCTION("""COMPUTED_VALUE"""),494.0)</f>
        <v>494</v>
      </c>
      <c r="C91" s="5">
        <f>IFERROR(__xludf.DUMMYFUNCTION("""COMPUTED_VALUE"""),500.0)</f>
        <v>500</v>
      </c>
      <c r="D91" s="5">
        <f>IFERROR(__xludf.DUMMYFUNCTION("""COMPUTED_VALUE"""),480.0)</f>
        <v>480</v>
      </c>
      <c r="E91" s="5">
        <f>IFERROR(__xludf.DUMMYFUNCTION("""COMPUTED_VALUE"""),480.0)</f>
        <v>480</v>
      </c>
      <c r="F91" s="5">
        <f>IFERROR(__xludf.DUMMYFUNCTION("""COMPUTED_VALUE"""),9351200.0)</f>
        <v>9351200</v>
      </c>
      <c r="G91" s="5">
        <f t="shared" si="1"/>
        <v>20</v>
      </c>
    </row>
    <row r="92">
      <c r="A92" s="4">
        <f>IFERROR(__xludf.DUMMYFUNCTION("""COMPUTED_VALUE"""),43964.66666666667)</f>
        <v>43964.66667</v>
      </c>
      <c r="B92" s="5">
        <f>IFERROR(__xludf.DUMMYFUNCTION("""COMPUTED_VALUE"""),478.0)</f>
        <v>478</v>
      </c>
      <c r="C92" s="5">
        <f>IFERROR(__xludf.DUMMYFUNCTION("""COMPUTED_VALUE"""),492.0)</f>
        <v>492</v>
      </c>
      <c r="D92" s="5">
        <f>IFERROR(__xludf.DUMMYFUNCTION("""COMPUTED_VALUE"""),470.0)</f>
        <v>470</v>
      </c>
      <c r="E92" s="5">
        <f>IFERROR(__xludf.DUMMYFUNCTION("""COMPUTED_VALUE"""),486.0)</f>
        <v>486</v>
      </c>
      <c r="F92" s="5">
        <f>IFERROR(__xludf.DUMMYFUNCTION("""COMPUTED_VALUE"""),8297700.0)</f>
        <v>8297700</v>
      </c>
      <c r="G92" s="5">
        <f t="shared" si="1"/>
        <v>22</v>
      </c>
    </row>
    <row r="93">
      <c r="A93" s="4">
        <f>IFERROR(__xludf.DUMMYFUNCTION("""COMPUTED_VALUE"""),43965.66666666667)</f>
        <v>43965.66667</v>
      </c>
      <c r="B93" s="5">
        <f>IFERROR(__xludf.DUMMYFUNCTION("""COMPUTED_VALUE"""),484.0)</f>
        <v>484</v>
      </c>
      <c r="C93" s="5">
        <f>IFERROR(__xludf.DUMMYFUNCTION("""COMPUTED_VALUE"""),494.0)</f>
        <v>494</v>
      </c>
      <c r="D93" s="5">
        <f>IFERROR(__xludf.DUMMYFUNCTION("""COMPUTED_VALUE"""),470.0)</f>
        <v>470</v>
      </c>
      <c r="E93" s="5">
        <f>IFERROR(__xludf.DUMMYFUNCTION("""COMPUTED_VALUE"""),470.0)</f>
        <v>470</v>
      </c>
      <c r="F93" s="5">
        <f>IFERROR(__xludf.DUMMYFUNCTION("""COMPUTED_VALUE"""),8630400.0)</f>
        <v>8630400</v>
      </c>
      <c r="G93" s="5">
        <f t="shared" si="1"/>
        <v>24</v>
      </c>
    </row>
    <row r="94">
      <c r="A94" s="4">
        <f>IFERROR(__xludf.DUMMYFUNCTION("""COMPUTED_VALUE"""),43966.66666666667)</f>
        <v>43966.66667</v>
      </c>
      <c r="B94" s="5">
        <f>IFERROR(__xludf.DUMMYFUNCTION("""COMPUTED_VALUE"""),476.0)</f>
        <v>476</v>
      </c>
      <c r="C94" s="5">
        <f>IFERROR(__xludf.DUMMYFUNCTION("""COMPUTED_VALUE"""),478.0)</f>
        <v>478</v>
      </c>
      <c r="D94" s="5">
        <f>IFERROR(__xludf.DUMMYFUNCTION("""COMPUTED_VALUE"""),460.0)</f>
        <v>460</v>
      </c>
      <c r="E94" s="5">
        <f>IFERROR(__xludf.DUMMYFUNCTION("""COMPUTED_VALUE"""),462.0)</f>
        <v>462</v>
      </c>
      <c r="F94" s="5">
        <f>IFERROR(__xludf.DUMMYFUNCTION("""COMPUTED_VALUE"""),1.00131E7)</f>
        <v>10013100</v>
      </c>
      <c r="G94" s="5">
        <f t="shared" si="1"/>
        <v>18</v>
      </c>
    </row>
    <row r="95">
      <c r="A95" s="4">
        <f>IFERROR(__xludf.DUMMYFUNCTION("""COMPUTED_VALUE"""),43969.66666666667)</f>
        <v>43969.66667</v>
      </c>
      <c r="B95" s="5">
        <f>IFERROR(__xludf.DUMMYFUNCTION("""COMPUTED_VALUE"""),470.0)</f>
        <v>470</v>
      </c>
      <c r="C95" s="5">
        <f>IFERROR(__xludf.DUMMYFUNCTION("""COMPUTED_VALUE"""),470.0)</f>
        <v>470</v>
      </c>
      <c r="D95" s="5">
        <f>IFERROR(__xludf.DUMMYFUNCTION("""COMPUTED_VALUE"""),456.0)</f>
        <v>456</v>
      </c>
      <c r="E95" s="5">
        <f>IFERROR(__xludf.DUMMYFUNCTION("""COMPUTED_VALUE"""),458.0)</f>
        <v>458</v>
      </c>
      <c r="F95" s="5">
        <f>IFERROR(__xludf.DUMMYFUNCTION("""COMPUTED_VALUE"""),1.10548E7)</f>
        <v>11054800</v>
      </c>
      <c r="G95" s="5">
        <f t="shared" si="1"/>
        <v>14</v>
      </c>
    </row>
    <row r="96">
      <c r="A96" s="4">
        <f>IFERROR(__xludf.DUMMYFUNCTION("""COMPUTED_VALUE"""),43970.66666666667)</f>
        <v>43970.66667</v>
      </c>
      <c r="B96" s="5">
        <f>IFERROR(__xludf.DUMMYFUNCTION("""COMPUTED_VALUE"""),466.0)</f>
        <v>466</v>
      </c>
      <c r="C96" s="5">
        <f>IFERROR(__xludf.DUMMYFUNCTION("""COMPUTED_VALUE"""),476.0)</f>
        <v>476</v>
      </c>
      <c r="D96" s="5">
        <f>IFERROR(__xludf.DUMMYFUNCTION("""COMPUTED_VALUE"""),458.0)</f>
        <v>458</v>
      </c>
      <c r="E96" s="5">
        <f>IFERROR(__xludf.DUMMYFUNCTION("""COMPUTED_VALUE"""),462.0)</f>
        <v>462</v>
      </c>
      <c r="F96" s="5">
        <f>IFERROR(__xludf.DUMMYFUNCTION("""COMPUTED_VALUE"""),1.72891E7)</f>
        <v>17289100</v>
      </c>
      <c r="G96" s="5">
        <f t="shared" si="1"/>
        <v>18</v>
      </c>
    </row>
    <row r="97">
      <c r="A97" s="4">
        <f>IFERROR(__xludf.DUMMYFUNCTION("""COMPUTED_VALUE"""),43971.66666666667)</f>
        <v>43971.66667</v>
      </c>
      <c r="B97" s="5">
        <f>IFERROR(__xludf.DUMMYFUNCTION("""COMPUTED_VALUE"""),464.0)</f>
        <v>464</v>
      </c>
      <c r="C97" s="5">
        <f>IFERROR(__xludf.DUMMYFUNCTION("""COMPUTED_VALUE"""),466.0)</f>
        <v>466</v>
      </c>
      <c r="D97" s="5">
        <f>IFERROR(__xludf.DUMMYFUNCTION("""COMPUTED_VALUE"""),458.0)</f>
        <v>458</v>
      </c>
      <c r="E97" s="5">
        <f>IFERROR(__xludf.DUMMYFUNCTION("""COMPUTED_VALUE"""),460.0)</f>
        <v>460</v>
      </c>
      <c r="F97" s="5">
        <f>IFERROR(__xludf.DUMMYFUNCTION("""COMPUTED_VALUE"""),9778900.0)</f>
        <v>9778900</v>
      </c>
      <c r="G97" s="5">
        <f t="shared" si="1"/>
        <v>8</v>
      </c>
    </row>
    <row r="98">
      <c r="A98" s="4">
        <f>IFERROR(__xludf.DUMMYFUNCTION("""COMPUTED_VALUE"""),43977.66666666667)</f>
        <v>43977.66667</v>
      </c>
      <c r="B98" s="5">
        <f>IFERROR(__xludf.DUMMYFUNCTION("""COMPUTED_VALUE"""),462.0)</f>
        <v>462</v>
      </c>
      <c r="C98" s="5">
        <f>IFERROR(__xludf.DUMMYFUNCTION("""COMPUTED_VALUE"""),484.0)</f>
        <v>484</v>
      </c>
      <c r="D98" s="5">
        <f>IFERROR(__xludf.DUMMYFUNCTION("""COMPUTED_VALUE"""),460.0)</f>
        <v>460</v>
      </c>
      <c r="E98" s="5">
        <f>IFERROR(__xludf.DUMMYFUNCTION("""COMPUTED_VALUE"""),482.0)</f>
        <v>482</v>
      </c>
      <c r="F98" s="5">
        <f>IFERROR(__xludf.DUMMYFUNCTION("""COMPUTED_VALUE"""),1.94757E7)</f>
        <v>19475700</v>
      </c>
      <c r="G98" s="5">
        <f t="shared" si="1"/>
        <v>24</v>
      </c>
    </row>
    <row r="99">
      <c r="A99" s="4">
        <f>IFERROR(__xludf.DUMMYFUNCTION("""COMPUTED_VALUE"""),43978.66666666667)</f>
        <v>43978.66667</v>
      </c>
      <c r="B99" s="5">
        <f>IFERROR(__xludf.DUMMYFUNCTION("""COMPUTED_VALUE"""),484.0)</f>
        <v>484</v>
      </c>
      <c r="C99" s="5">
        <f>IFERROR(__xludf.DUMMYFUNCTION("""COMPUTED_VALUE"""),486.0)</f>
        <v>486</v>
      </c>
      <c r="D99" s="5">
        <f>IFERROR(__xludf.DUMMYFUNCTION("""COMPUTED_VALUE"""),472.0)</f>
        <v>472</v>
      </c>
      <c r="E99" s="5">
        <f>IFERROR(__xludf.DUMMYFUNCTION("""COMPUTED_VALUE"""),472.0)</f>
        <v>472</v>
      </c>
      <c r="F99" s="5">
        <f>IFERROR(__xludf.DUMMYFUNCTION("""COMPUTED_VALUE"""),1.35254E7)</f>
        <v>13525400</v>
      </c>
      <c r="G99" s="5">
        <f t="shared" si="1"/>
        <v>14</v>
      </c>
    </row>
    <row r="100">
      <c r="A100" s="4">
        <f>IFERROR(__xludf.DUMMYFUNCTION("""COMPUTED_VALUE"""),43979.66666666667)</f>
        <v>43979.66667</v>
      </c>
      <c r="B100" s="5">
        <f>IFERROR(__xludf.DUMMYFUNCTION("""COMPUTED_VALUE"""),470.0)</f>
        <v>470</v>
      </c>
      <c r="C100" s="5">
        <f>IFERROR(__xludf.DUMMYFUNCTION("""COMPUTED_VALUE"""),484.0)</f>
        <v>484</v>
      </c>
      <c r="D100" s="5">
        <f>IFERROR(__xludf.DUMMYFUNCTION("""COMPUTED_VALUE"""),470.0)</f>
        <v>470</v>
      </c>
      <c r="E100" s="5">
        <f>IFERROR(__xludf.DUMMYFUNCTION("""COMPUTED_VALUE"""),472.0)</f>
        <v>472</v>
      </c>
      <c r="F100" s="5">
        <f>IFERROR(__xludf.DUMMYFUNCTION("""COMPUTED_VALUE"""),2.28308E7)</f>
        <v>22830800</v>
      </c>
      <c r="G100" s="5">
        <f t="shared" si="1"/>
        <v>14</v>
      </c>
    </row>
    <row r="101">
      <c r="A101" s="4">
        <f>IFERROR(__xludf.DUMMYFUNCTION("""COMPUTED_VALUE"""),43980.66666666667)</f>
        <v>43980.66667</v>
      </c>
      <c r="B101" s="5">
        <f>IFERROR(__xludf.DUMMYFUNCTION("""COMPUTED_VALUE"""),470.0)</f>
        <v>470</v>
      </c>
      <c r="C101" s="5">
        <f>IFERROR(__xludf.DUMMYFUNCTION("""COMPUTED_VALUE"""),480.0)</f>
        <v>480</v>
      </c>
      <c r="D101" s="5">
        <f>IFERROR(__xludf.DUMMYFUNCTION("""COMPUTED_VALUE"""),444.0)</f>
        <v>444</v>
      </c>
      <c r="E101" s="5">
        <f>IFERROR(__xludf.DUMMYFUNCTION("""COMPUTED_VALUE"""),444.0)</f>
        <v>444</v>
      </c>
      <c r="F101" s="5">
        <f>IFERROR(__xludf.DUMMYFUNCTION("""COMPUTED_VALUE"""),5.60419E7)</f>
        <v>56041900</v>
      </c>
      <c r="G101" s="5">
        <f t="shared" si="1"/>
        <v>36</v>
      </c>
    </row>
    <row r="102">
      <c r="A102" s="4">
        <f>IFERROR(__xludf.DUMMYFUNCTION("""COMPUTED_VALUE"""),43984.66666666667)</f>
        <v>43984.66667</v>
      </c>
      <c r="B102" s="5">
        <f>IFERROR(__xludf.DUMMYFUNCTION("""COMPUTED_VALUE"""),450.0)</f>
        <v>450</v>
      </c>
      <c r="C102" s="5">
        <f>IFERROR(__xludf.DUMMYFUNCTION("""COMPUTED_VALUE"""),468.0)</f>
        <v>468</v>
      </c>
      <c r="D102" s="5">
        <f>IFERROR(__xludf.DUMMYFUNCTION("""COMPUTED_VALUE"""),446.0)</f>
        <v>446</v>
      </c>
      <c r="E102" s="5">
        <f>IFERROR(__xludf.DUMMYFUNCTION("""COMPUTED_VALUE"""),458.0)</f>
        <v>458</v>
      </c>
      <c r="F102" s="5">
        <f>IFERROR(__xludf.DUMMYFUNCTION("""COMPUTED_VALUE"""),4.83937E7)</f>
        <v>48393700</v>
      </c>
      <c r="G102" s="5">
        <f t="shared" si="1"/>
        <v>24</v>
      </c>
    </row>
    <row r="103">
      <c r="A103" s="4">
        <f>IFERROR(__xludf.DUMMYFUNCTION("""COMPUTED_VALUE"""),43985.66666666667)</f>
        <v>43985.66667</v>
      </c>
      <c r="B103" s="5">
        <f>IFERROR(__xludf.DUMMYFUNCTION("""COMPUTED_VALUE"""),468.0)</f>
        <v>468</v>
      </c>
      <c r="C103" s="5">
        <f>IFERROR(__xludf.DUMMYFUNCTION("""COMPUTED_VALUE"""),482.0)</f>
        <v>482</v>
      </c>
      <c r="D103" s="5">
        <f>IFERROR(__xludf.DUMMYFUNCTION("""COMPUTED_VALUE"""),460.0)</f>
        <v>460</v>
      </c>
      <c r="E103" s="5">
        <f>IFERROR(__xludf.DUMMYFUNCTION("""COMPUTED_VALUE"""),480.0)</f>
        <v>480</v>
      </c>
      <c r="F103" s="5">
        <f>IFERROR(__xludf.DUMMYFUNCTION("""COMPUTED_VALUE"""),4.68074E7)</f>
        <v>46807400</v>
      </c>
      <c r="G103" s="5">
        <f t="shared" si="1"/>
        <v>24</v>
      </c>
    </row>
    <row r="104">
      <c r="A104" s="4">
        <f>IFERROR(__xludf.DUMMYFUNCTION("""COMPUTED_VALUE"""),43986.66666666667)</f>
        <v>43986.66667</v>
      </c>
      <c r="B104" s="5">
        <f>IFERROR(__xludf.DUMMYFUNCTION("""COMPUTED_VALUE"""),484.0)</f>
        <v>484</v>
      </c>
      <c r="C104" s="5">
        <f>IFERROR(__xludf.DUMMYFUNCTION("""COMPUTED_VALUE"""),535.0)</f>
        <v>535</v>
      </c>
      <c r="D104" s="5">
        <f>IFERROR(__xludf.DUMMYFUNCTION("""COMPUTED_VALUE"""),484.0)</f>
        <v>484</v>
      </c>
      <c r="E104" s="5">
        <f>IFERROR(__xludf.DUMMYFUNCTION("""COMPUTED_VALUE"""),535.0)</f>
        <v>535</v>
      </c>
      <c r="F104" s="5">
        <f>IFERROR(__xludf.DUMMYFUNCTION("""COMPUTED_VALUE"""),1.113504E8)</f>
        <v>111350400</v>
      </c>
      <c r="G104" s="5">
        <f t="shared" si="1"/>
        <v>55</v>
      </c>
    </row>
    <row r="105">
      <c r="A105" s="4">
        <f>IFERROR(__xludf.DUMMYFUNCTION("""COMPUTED_VALUE"""),43987.66666666667)</f>
        <v>43987.66667</v>
      </c>
      <c r="B105" s="5">
        <f>IFERROR(__xludf.DUMMYFUNCTION("""COMPUTED_VALUE"""),545.0)</f>
        <v>545</v>
      </c>
      <c r="C105" s="5">
        <f>IFERROR(__xludf.DUMMYFUNCTION("""COMPUTED_VALUE"""),590.0)</f>
        <v>590</v>
      </c>
      <c r="D105" s="5">
        <f>IFERROR(__xludf.DUMMYFUNCTION("""COMPUTED_VALUE"""),540.0)</f>
        <v>540</v>
      </c>
      <c r="E105" s="5">
        <f>IFERROR(__xludf.DUMMYFUNCTION("""COMPUTED_VALUE"""),580.0)</f>
        <v>580</v>
      </c>
      <c r="F105" s="5">
        <f>IFERROR(__xludf.DUMMYFUNCTION("""COMPUTED_VALUE"""),1.535725E8)</f>
        <v>153572500</v>
      </c>
      <c r="G105" s="5">
        <f t="shared" si="1"/>
        <v>55</v>
      </c>
    </row>
    <row r="106">
      <c r="A106" s="4">
        <f>IFERROR(__xludf.DUMMYFUNCTION("""COMPUTED_VALUE"""),43990.66666666667)</f>
        <v>43990.66667</v>
      </c>
      <c r="B106" s="5">
        <f>IFERROR(__xludf.DUMMYFUNCTION("""COMPUTED_VALUE"""),600.0)</f>
        <v>600</v>
      </c>
      <c r="C106" s="5">
        <f>IFERROR(__xludf.DUMMYFUNCTION("""COMPUTED_VALUE"""),625.0)</f>
        <v>625</v>
      </c>
      <c r="D106" s="5">
        <f>IFERROR(__xludf.DUMMYFUNCTION("""COMPUTED_VALUE"""),590.0)</f>
        <v>590</v>
      </c>
      <c r="E106" s="5">
        <f>IFERROR(__xludf.DUMMYFUNCTION("""COMPUTED_VALUE"""),615.0)</f>
        <v>615</v>
      </c>
      <c r="F106" s="5">
        <f>IFERROR(__xludf.DUMMYFUNCTION("""COMPUTED_VALUE"""),8.36299E7)</f>
        <v>83629900</v>
      </c>
      <c r="G106" s="5">
        <f t="shared" si="1"/>
        <v>45</v>
      </c>
    </row>
    <row r="107">
      <c r="A107" s="4">
        <f>IFERROR(__xludf.DUMMYFUNCTION("""COMPUTED_VALUE"""),43991.66666666667)</f>
        <v>43991.66667</v>
      </c>
      <c r="B107" s="5">
        <f>IFERROR(__xludf.DUMMYFUNCTION("""COMPUTED_VALUE"""),630.0)</f>
        <v>630</v>
      </c>
      <c r="C107" s="5">
        <f>IFERROR(__xludf.DUMMYFUNCTION("""COMPUTED_VALUE"""),635.0)</f>
        <v>635</v>
      </c>
      <c r="D107" s="5">
        <f>IFERROR(__xludf.DUMMYFUNCTION("""COMPUTED_VALUE"""),600.0)</f>
        <v>600</v>
      </c>
      <c r="E107" s="5">
        <f>IFERROR(__xludf.DUMMYFUNCTION("""COMPUTED_VALUE"""),605.0)</f>
        <v>605</v>
      </c>
      <c r="F107" s="5">
        <f>IFERROR(__xludf.DUMMYFUNCTION("""COMPUTED_VALUE"""),5.32815E7)</f>
        <v>53281500</v>
      </c>
      <c r="G107" s="5">
        <f t="shared" si="1"/>
        <v>35</v>
      </c>
    </row>
    <row r="108">
      <c r="A108" s="4">
        <f>IFERROR(__xludf.DUMMYFUNCTION("""COMPUTED_VALUE"""),43992.66666666667)</f>
        <v>43992.66667</v>
      </c>
      <c r="B108" s="5">
        <f>IFERROR(__xludf.DUMMYFUNCTION("""COMPUTED_VALUE"""),605.0)</f>
        <v>605</v>
      </c>
      <c r="C108" s="5">
        <f>IFERROR(__xludf.DUMMYFUNCTION("""COMPUTED_VALUE"""),615.0)</f>
        <v>615</v>
      </c>
      <c r="D108" s="5">
        <f>IFERROR(__xludf.DUMMYFUNCTION("""COMPUTED_VALUE"""),580.0)</f>
        <v>580</v>
      </c>
      <c r="E108" s="5">
        <f>IFERROR(__xludf.DUMMYFUNCTION("""COMPUTED_VALUE"""),590.0)</f>
        <v>590</v>
      </c>
      <c r="F108" s="5">
        <f>IFERROR(__xludf.DUMMYFUNCTION("""COMPUTED_VALUE"""),3.31319E7)</f>
        <v>33131900</v>
      </c>
      <c r="G108" s="5">
        <f t="shared" si="1"/>
        <v>35</v>
      </c>
    </row>
    <row r="109">
      <c r="A109" s="4">
        <f>IFERROR(__xludf.DUMMYFUNCTION("""COMPUTED_VALUE"""),43993.66666666667)</f>
        <v>43993.66667</v>
      </c>
      <c r="B109" s="5">
        <f>IFERROR(__xludf.DUMMYFUNCTION("""COMPUTED_VALUE"""),595.0)</f>
        <v>595</v>
      </c>
      <c r="C109" s="5">
        <f>IFERROR(__xludf.DUMMYFUNCTION("""COMPUTED_VALUE"""),610.0)</f>
        <v>610</v>
      </c>
      <c r="D109" s="5">
        <f>IFERROR(__xludf.DUMMYFUNCTION("""COMPUTED_VALUE"""),560.0)</f>
        <v>560</v>
      </c>
      <c r="E109" s="5">
        <f>IFERROR(__xludf.DUMMYFUNCTION("""COMPUTED_VALUE"""),580.0)</f>
        <v>580</v>
      </c>
      <c r="F109" s="5">
        <f>IFERROR(__xludf.DUMMYFUNCTION("""COMPUTED_VALUE"""),3.91971E7)</f>
        <v>39197100</v>
      </c>
      <c r="G109" s="5">
        <f t="shared" si="1"/>
        <v>50</v>
      </c>
    </row>
    <row r="110">
      <c r="A110" s="4">
        <f>IFERROR(__xludf.DUMMYFUNCTION("""COMPUTED_VALUE"""),43994.66666666667)</f>
        <v>43994.66667</v>
      </c>
      <c r="B110" s="5">
        <f>IFERROR(__xludf.DUMMYFUNCTION("""COMPUTED_VALUE"""),540.0)</f>
        <v>540</v>
      </c>
      <c r="C110" s="5">
        <f>IFERROR(__xludf.DUMMYFUNCTION("""COMPUTED_VALUE"""),590.0)</f>
        <v>590</v>
      </c>
      <c r="D110" s="5">
        <f>IFERROR(__xludf.DUMMYFUNCTION("""COMPUTED_VALUE"""),540.0)</f>
        <v>540</v>
      </c>
      <c r="E110" s="5">
        <f>IFERROR(__xludf.DUMMYFUNCTION("""COMPUTED_VALUE"""),590.0)</f>
        <v>590</v>
      </c>
      <c r="F110" s="5">
        <f>IFERROR(__xludf.DUMMYFUNCTION("""COMPUTED_VALUE"""),2.04243E7)</f>
        <v>20424300</v>
      </c>
      <c r="G110" s="5">
        <f t="shared" si="1"/>
        <v>50</v>
      </c>
    </row>
    <row r="111">
      <c r="A111" s="4">
        <f>IFERROR(__xludf.DUMMYFUNCTION("""COMPUTED_VALUE"""),43997.66666666667)</f>
        <v>43997.66667</v>
      </c>
      <c r="B111" s="5">
        <f>IFERROR(__xludf.DUMMYFUNCTION("""COMPUTED_VALUE"""),595.0)</f>
        <v>595</v>
      </c>
      <c r="C111" s="5">
        <f>IFERROR(__xludf.DUMMYFUNCTION("""COMPUTED_VALUE"""),595.0)</f>
        <v>595</v>
      </c>
      <c r="D111" s="5">
        <f>IFERROR(__xludf.DUMMYFUNCTION("""COMPUTED_VALUE"""),560.0)</f>
        <v>560</v>
      </c>
      <c r="E111" s="5">
        <f>IFERROR(__xludf.DUMMYFUNCTION("""COMPUTED_VALUE"""),565.0)</f>
        <v>565</v>
      </c>
      <c r="F111" s="5">
        <f>IFERROR(__xludf.DUMMYFUNCTION("""COMPUTED_VALUE"""),2.21757E7)</f>
        <v>22175700</v>
      </c>
      <c r="G111" s="5">
        <f t="shared" si="1"/>
        <v>35</v>
      </c>
    </row>
    <row r="112">
      <c r="A112" s="4">
        <f>IFERROR(__xludf.DUMMYFUNCTION("""COMPUTED_VALUE"""),43998.66666666667)</f>
        <v>43998.66667</v>
      </c>
      <c r="B112" s="5">
        <f>IFERROR(__xludf.DUMMYFUNCTION("""COMPUTED_VALUE"""),580.0)</f>
        <v>580</v>
      </c>
      <c r="C112" s="5">
        <f>IFERROR(__xludf.DUMMYFUNCTION("""COMPUTED_VALUE"""),650.0)</f>
        <v>650</v>
      </c>
      <c r="D112" s="5">
        <f>IFERROR(__xludf.DUMMYFUNCTION("""COMPUTED_VALUE"""),575.0)</f>
        <v>575</v>
      </c>
      <c r="E112" s="5">
        <f>IFERROR(__xludf.DUMMYFUNCTION("""COMPUTED_VALUE"""),650.0)</f>
        <v>650</v>
      </c>
      <c r="F112" s="5">
        <f>IFERROR(__xludf.DUMMYFUNCTION("""COMPUTED_VALUE"""),9.39756E7)</f>
        <v>93975600</v>
      </c>
      <c r="G112" s="5">
        <f t="shared" si="1"/>
        <v>85</v>
      </c>
    </row>
    <row r="113">
      <c r="A113" s="4">
        <f>IFERROR(__xludf.DUMMYFUNCTION("""COMPUTED_VALUE"""),43999.66666666667)</f>
        <v>43999.66667</v>
      </c>
      <c r="B113" s="5">
        <f>IFERROR(__xludf.DUMMYFUNCTION("""COMPUTED_VALUE"""),655.0)</f>
        <v>655</v>
      </c>
      <c r="C113" s="5">
        <f>IFERROR(__xludf.DUMMYFUNCTION("""COMPUTED_VALUE"""),680.0)</f>
        <v>680</v>
      </c>
      <c r="D113" s="5">
        <f>IFERROR(__xludf.DUMMYFUNCTION("""COMPUTED_VALUE"""),630.0)</f>
        <v>630</v>
      </c>
      <c r="E113" s="5">
        <f>IFERROR(__xludf.DUMMYFUNCTION("""COMPUTED_VALUE"""),645.0)</f>
        <v>645</v>
      </c>
      <c r="F113" s="5">
        <f>IFERROR(__xludf.DUMMYFUNCTION("""COMPUTED_VALUE"""),7.68799E7)</f>
        <v>76879900</v>
      </c>
      <c r="G113" s="5">
        <f t="shared" si="1"/>
        <v>50</v>
      </c>
    </row>
    <row r="114">
      <c r="A114" s="4">
        <f>IFERROR(__xludf.DUMMYFUNCTION("""COMPUTED_VALUE"""),44000.66666666667)</f>
        <v>44000.66667</v>
      </c>
      <c r="B114" s="5">
        <f>IFERROR(__xludf.DUMMYFUNCTION("""COMPUTED_VALUE"""),625.0)</f>
        <v>625</v>
      </c>
      <c r="C114" s="5">
        <f>IFERROR(__xludf.DUMMYFUNCTION("""COMPUTED_VALUE"""),655.0)</f>
        <v>655</v>
      </c>
      <c r="D114" s="5">
        <f>IFERROR(__xludf.DUMMYFUNCTION("""COMPUTED_VALUE"""),620.0)</f>
        <v>620</v>
      </c>
      <c r="E114" s="5">
        <f>IFERROR(__xludf.DUMMYFUNCTION("""COMPUTED_VALUE"""),630.0)</f>
        <v>630</v>
      </c>
      <c r="F114" s="5">
        <f>IFERROR(__xludf.DUMMYFUNCTION("""COMPUTED_VALUE"""),2.53754E7)</f>
        <v>25375400</v>
      </c>
      <c r="G114" s="5">
        <f t="shared" si="1"/>
        <v>35</v>
      </c>
    </row>
    <row r="115">
      <c r="A115" s="4">
        <f>IFERROR(__xludf.DUMMYFUNCTION("""COMPUTED_VALUE"""),44001.66666666667)</f>
        <v>44001.66667</v>
      </c>
      <c r="B115" s="5">
        <f>IFERROR(__xludf.DUMMYFUNCTION("""COMPUTED_VALUE"""),635.0)</f>
        <v>635</v>
      </c>
      <c r="C115" s="5">
        <f>IFERROR(__xludf.DUMMYFUNCTION("""COMPUTED_VALUE"""),640.0)</f>
        <v>640</v>
      </c>
      <c r="D115" s="5">
        <f>IFERROR(__xludf.DUMMYFUNCTION("""COMPUTED_VALUE"""),605.0)</f>
        <v>605</v>
      </c>
      <c r="E115" s="5">
        <f>IFERROR(__xludf.DUMMYFUNCTION("""COMPUTED_VALUE"""),605.0)</f>
        <v>605</v>
      </c>
      <c r="F115" s="5">
        <f>IFERROR(__xludf.DUMMYFUNCTION("""COMPUTED_VALUE"""),2.35176E7)</f>
        <v>23517600</v>
      </c>
      <c r="G115" s="5">
        <f t="shared" si="1"/>
        <v>35</v>
      </c>
    </row>
    <row r="116">
      <c r="A116" s="4">
        <f>IFERROR(__xludf.DUMMYFUNCTION("""COMPUTED_VALUE"""),44004.66666666667)</f>
        <v>44004.66667</v>
      </c>
      <c r="B116" s="5">
        <f>IFERROR(__xludf.DUMMYFUNCTION("""COMPUTED_VALUE"""),610.0)</f>
        <v>610</v>
      </c>
      <c r="C116" s="5">
        <f>IFERROR(__xludf.DUMMYFUNCTION("""COMPUTED_VALUE"""),625.0)</f>
        <v>625</v>
      </c>
      <c r="D116" s="5">
        <f>IFERROR(__xludf.DUMMYFUNCTION("""COMPUTED_VALUE"""),595.0)</f>
        <v>595</v>
      </c>
      <c r="E116" s="5">
        <f>IFERROR(__xludf.DUMMYFUNCTION("""COMPUTED_VALUE"""),625.0)</f>
        <v>625</v>
      </c>
      <c r="F116" s="5">
        <f>IFERROR(__xludf.DUMMYFUNCTION("""COMPUTED_VALUE"""),2.54878E7)</f>
        <v>25487800</v>
      </c>
      <c r="G116" s="5">
        <f t="shared" si="1"/>
        <v>30</v>
      </c>
    </row>
    <row r="117">
      <c r="A117" s="4">
        <f>IFERROR(__xludf.DUMMYFUNCTION("""COMPUTED_VALUE"""),44005.66666666667)</f>
        <v>44005.66667</v>
      </c>
      <c r="B117" s="5">
        <f>IFERROR(__xludf.DUMMYFUNCTION("""COMPUTED_VALUE"""),630.0)</f>
        <v>630</v>
      </c>
      <c r="C117" s="5">
        <f>IFERROR(__xludf.DUMMYFUNCTION("""COMPUTED_VALUE"""),630.0)</f>
        <v>630</v>
      </c>
      <c r="D117" s="5">
        <f>IFERROR(__xludf.DUMMYFUNCTION("""COMPUTED_VALUE"""),600.0)</f>
        <v>600</v>
      </c>
      <c r="E117" s="5">
        <f>IFERROR(__xludf.DUMMYFUNCTION("""COMPUTED_VALUE"""),610.0)</f>
        <v>610</v>
      </c>
      <c r="F117" s="5">
        <f>IFERROR(__xludf.DUMMYFUNCTION("""COMPUTED_VALUE"""),1.37107E7)</f>
        <v>13710700</v>
      </c>
      <c r="G117" s="5">
        <f t="shared" si="1"/>
        <v>30</v>
      </c>
    </row>
    <row r="118">
      <c r="A118" s="4">
        <f>IFERROR(__xludf.DUMMYFUNCTION("""COMPUTED_VALUE"""),44006.66666666667)</f>
        <v>44006.66667</v>
      </c>
      <c r="B118" s="5">
        <f>IFERROR(__xludf.DUMMYFUNCTION("""COMPUTED_VALUE"""),610.0)</f>
        <v>610</v>
      </c>
      <c r="C118" s="5">
        <f>IFERROR(__xludf.DUMMYFUNCTION("""COMPUTED_VALUE"""),625.0)</f>
        <v>625</v>
      </c>
      <c r="D118" s="5">
        <f>IFERROR(__xludf.DUMMYFUNCTION("""COMPUTED_VALUE"""),610.0)</f>
        <v>610</v>
      </c>
      <c r="E118" s="5">
        <f>IFERROR(__xludf.DUMMYFUNCTION("""COMPUTED_VALUE"""),610.0)</f>
        <v>610</v>
      </c>
      <c r="F118" s="5">
        <f>IFERROR(__xludf.DUMMYFUNCTION("""COMPUTED_VALUE"""),2.13909E7)</f>
        <v>21390900</v>
      </c>
      <c r="G118" s="5">
        <f t="shared" si="1"/>
        <v>15</v>
      </c>
    </row>
    <row r="119">
      <c r="A119" s="4">
        <f>IFERROR(__xludf.DUMMYFUNCTION("""COMPUTED_VALUE"""),44007.66666666667)</f>
        <v>44007.66667</v>
      </c>
      <c r="B119" s="5">
        <f>IFERROR(__xludf.DUMMYFUNCTION("""COMPUTED_VALUE"""),600.0)</f>
        <v>600</v>
      </c>
      <c r="C119" s="5">
        <f>IFERROR(__xludf.DUMMYFUNCTION("""COMPUTED_VALUE"""),610.0)</f>
        <v>610</v>
      </c>
      <c r="D119" s="5">
        <f>IFERROR(__xludf.DUMMYFUNCTION("""COMPUTED_VALUE"""),590.0)</f>
        <v>590</v>
      </c>
      <c r="E119" s="5">
        <f>IFERROR(__xludf.DUMMYFUNCTION("""COMPUTED_VALUE"""),595.0)</f>
        <v>595</v>
      </c>
      <c r="F119" s="5">
        <f>IFERROR(__xludf.DUMMYFUNCTION("""COMPUTED_VALUE"""),1.6164E7)</f>
        <v>16164000</v>
      </c>
      <c r="G119" s="5">
        <f t="shared" si="1"/>
        <v>20</v>
      </c>
    </row>
    <row r="120">
      <c r="A120" s="4">
        <f>IFERROR(__xludf.DUMMYFUNCTION("""COMPUTED_VALUE"""),44008.66666666667)</f>
        <v>44008.66667</v>
      </c>
      <c r="B120" s="5">
        <f>IFERROR(__xludf.DUMMYFUNCTION("""COMPUTED_VALUE"""),600.0)</f>
        <v>600</v>
      </c>
      <c r="C120" s="5">
        <f>IFERROR(__xludf.DUMMYFUNCTION("""COMPUTED_VALUE"""),615.0)</f>
        <v>615</v>
      </c>
      <c r="D120" s="5">
        <f>IFERROR(__xludf.DUMMYFUNCTION("""COMPUTED_VALUE"""),595.0)</f>
        <v>595</v>
      </c>
      <c r="E120" s="5">
        <f>IFERROR(__xludf.DUMMYFUNCTION("""COMPUTED_VALUE"""),595.0)</f>
        <v>595</v>
      </c>
      <c r="F120" s="5">
        <f>IFERROR(__xludf.DUMMYFUNCTION("""COMPUTED_VALUE"""),9690100.0)</f>
        <v>9690100</v>
      </c>
      <c r="G120" s="5">
        <f t="shared" si="1"/>
        <v>20</v>
      </c>
    </row>
    <row r="121">
      <c r="A121" s="4">
        <f>IFERROR(__xludf.DUMMYFUNCTION("""COMPUTED_VALUE"""),44011.66666666667)</f>
        <v>44011.66667</v>
      </c>
      <c r="B121" s="5">
        <f>IFERROR(__xludf.DUMMYFUNCTION("""COMPUTED_VALUE"""),590.0)</f>
        <v>590</v>
      </c>
      <c r="C121" s="5">
        <f>IFERROR(__xludf.DUMMYFUNCTION("""COMPUTED_VALUE"""),600.0)</f>
        <v>600</v>
      </c>
      <c r="D121" s="5">
        <f>IFERROR(__xludf.DUMMYFUNCTION("""COMPUTED_VALUE"""),585.0)</f>
        <v>585</v>
      </c>
      <c r="E121" s="5">
        <f>IFERROR(__xludf.DUMMYFUNCTION("""COMPUTED_VALUE"""),600.0)</f>
        <v>600</v>
      </c>
      <c r="F121" s="5">
        <f>IFERROR(__xludf.DUMMYFUNCTION("""COMPUTED_VALUE"""),7438400.0)</f>
        <v>7438400</v>
      </c>
      <c r="G121" s="5">
        <f t="shared" si="1"/>
        <v>15</v>
      </c>
    </row>
    <row r="122">
      <c r="A122" s="4">
        <f>IFERROR(__xludf.DUMMYFUNCTION("""COMPUTED_VALUE"""),44012.66666666667)</f>
        <v>44012.66667</v>
      </c>
      <c r="B122" s="5">
        <f>IFERROR(__xludf.DUMMYFUNCTION("""COMPUTED_VALUE"""),610.0)</f>
        <v>610</v>
      </c>
      <c r="C122" s="5">
        <f>IFERROR(__xludf.DUMMYFUNCTION("""COMPUTED_VALUE"""),615.0)</f>
        <v>615</v>
      </c>
      <c r="D122" s="5">
        <f>IFERROR(__xludf.DUMMYFUNCTION("""COMPUTED_VALUE"""),585.0)</f>
        <v>585</v>
      </c>
      <c r="E122" s="5">
        <f>IFERROR(__xludf.DUMMYFUNCTION("""COMPUTED_VALUE"""),595.0)</f>
        <v>595</v>
      </c>
      <c r="F122" s="5">
        <f>IFERROR(__xludf.DUMMYFUNCTION("""COMPUTED_VALUE"""),9070500.0)</f>
        <v>9070500</v>
      </c>
      <c r="G122" s="5">
        <f t="shared" si="1"/>
        <v>30</v>
      </c>
    </row>
    <row r="123">
      <c r="A123" s="4">
        <f>IFERROR(__xludf.DUMMYFUNCTION("""COMPUTED_VALUE"""),44013.66666666667)</f>
        <v>44013.66667</v>
      </c>
      <c r="B123" s="5">
        <f>IFERROR(__xludf.DUMMYFUNCTION("""COMPUTED_VALUE"""),600.0)</f>
        <v>600</v>
      </c>
      <c r="C123" s="5">
        <f>IFERROR(__xludf.DUMMYFUNCTION("""COMPUTED_VALUE"""),600.0)</f>
        <v>600</v>
      </c>
      <c r="D123" s="5">
        <f>IFERROR(__xludf.DUMMYFUNCTION("""COMPUTED_VALUE"""),585.0)</f>
        <v>585</v>
      </c>
      <c r="E123" s="5">
        <f>IFERROR(__xludf.DUMMYFUNCTION("""COMPUTED_VALUE"""),595.0)</f>
        <v>595</v>
      </c>
      <c r="F123" s="5">
        <f>IFERROR(__xludf.DUMMYFUNCTION("""COMPUTED_VALUE"""),6002900.0)</f>
        <v>6002900</v>
      </c>
      <c r="G123" s="5">
        <f t="shared" si="1"/>
        <v>15</v>
      </c>
    </row>
    <row r="124">
      <c r="A124" s="4">
        <f>IFERROR(__xludf.DUMMYFUNCTION("""COMPUTED_VALUE"""),44014.66666666667)</f>
        <v>44014.66667</v>
      </c>
      <c r="B124" s="5">
        <f>IFERROR(__xludf.DUMMYFUNCTION("""COMPUTED_VALUE"""),595.0)</f>
        <v>595</v>
      </c>
      <c r="C124" s="5">
        <f>IFERROR(__xludf.DUMMYFUNCTION("""COMPUTED_VALUE"""),625.0)</f>
        <v>625</v>
      </c>
      <c r="D124" s="5">
        <f>IFERROR(__xludf.DUMMYFUNCTION("""COMPUTED_VALUE"""),590.0)</f>
        <v>590</v>
      </c>
      <c r="E124" s="5">
        <f>IFERROR(__xludf.DUMMYFUNCTION("""COMPUTED_VALUE"""),620.0)</f>
        <v>620</v>
      </c>
      <c r="F124" s="5">
        <f>IFERROR(__xludf.DUMMYFUNCTION("""COMPUTED_VALUE"""),3.36678E7)</f>
        <v>33667800</v>
      </c>
      <c r="G124" s="5">
        <f t="shared" si="1"/>
        <v>35</v>
      </c>
    </row>
    <row r="125">
      <c r="A125" s="4">
        <f>IFERROR(__xludf.DUMMYFUNCTION("""COMPUTED_VALUE"""),44015.66666666667)</f>
        <v>44015.66667</v>
      </c>
      <c r="B125" s="5">
        <f>IFERROR(__xludf.DUMMYFUNCTION("""COMPUTED_VALUE"""),625.0)</f>
        <v>625</v>
      </c>
      <c r="C125" s="5">
        <f>IFERROR(__xludf.DUMMYFUNCTION("""COMPUTED_VALUE"""),630.0)</f>
        <v>630</v>
      </c>
      <c r="D125" s="5">
        <f>IFERROR(__xludf.DUMMYFUNCTION("""COMPUTED_VALUE"""),600.0)</f>
        <v>600</v>
      </c>
      <c r="E125" s="5">
        <f>IFERROR(__xludf.DUMMYFUNCTION("""COMPUTED_VALUE"""),610.0)</f>
        <v>610</v>
      </c>
      <c r="F125" s="5">
        <f>IFERROR(__xludf.DUMMYFUNCTION("""COMPUTED_VALUE"""),1.8701E7)</f>
        <v>18701000</v>
      </c>
      <c r="G125" s="5">
        <f t="shared" si="1"/>
        <v>30</v>
      </c>
    </row>
    <row r="126">
      <c r="A126" s="4">
        <f>IFERROR(__xludf.DUMMYFUNCTION("""COMPUTED_VALUE"""),44018.66666666667)</f>
        <v>44018.66667</v>
      </c>
      <c r="B126" s="5">
        <f>IFERROR(__xludf.DUMMYFUNCTION("""COMPUTED_VALUE"""),615.0)</f>
        <v>615</v>
      </c>
      <c r="C126" s="5">
        <f>IFERROR(__xludf.DUMMYFUNCTION("""COMPUTED_VALUE"""),650.0)</f>
        <v>650</v>
      </c>
      <c r="D126" s="5">
        <f>IFERROR(__xludf.DUMMYFUNCTION("""COMPUTED_VALUE"""),605.0)</f>
        <v>605</v>
      </c>
      <c r="E126" s="5">
        <f>IFERROR(__xludf.DUMMYFUNCTION("""COMPUTED_VALUE"""),640.0)</f>
        <v>640</v>
      </c>
      <c r="F126" s="5">
        <f>IFERROR(__xludf.DUMMYFUNCTION("""COMPUTED_VALUE"""),6.13482E7)</f>
        <v>61348200</v>
      </c>
      <c r="G126" s="5">
        <f t="shared" si="1"/>
        <v>45</v>
      </c>
    </row>
    <row r="127">
      <c r="A127" s="4">
        <f>IFERROR(__xludf.DUMMYFUNCTION("""COMPUTED_VALUE"""),44019.66666666667)</f>
        <v>44019.66667</v>
      </c>
      <c r="B127" s="5">
        <f>IFERROR(__xludf.DUMMYFUNCTION("""COMPUTED_VALUE"""),650.0)</f>
        <v>650</v>
      </c>
      <c r="C127" s="5">
        <f>IFERROR(__xludf.DUMMYFUNCTION("""COMPUTED_VALUE"""),660.0)</f>
        <v>660</v>
      </c>
      <c r="D127" s="5">
        <f>IFERROR(__xludf.DUMMYFUNCTION("""COMPUTED_VALUE"""),630.0)</f>
        <v>630</v>
      </c>
      <c r="E127" s="5">
        <f>IFERROR(__xludf.DUMMYFUNCTION("""COMPUTED_VALUE"""),635.0)</f>
        <v>635</v>
      </c>
      <c r="F127" s="5">
        <f>IFERROR(__xludf.DUMMYFUNCTION("""COMPUTED_VALUE"""),6.21508E7)</f>
        <v>62150800</v>
      </c>
      <c r="G127" s="5">
        <f t="shared" si="1"/>
        <v>30</v>
      </c>
    </row>
    <row r="128">
      <c r="A128" s="4">
        <f>IFERROR(__xludf.DUMMYFUNCTION("""COMPUTED_VALUE"""),44020.66666666667)</f>
        <v>44020.66667</v>
      </c>
      <c r="B128" s="5">
        <f>IFERROR(__xludf.DUMMYFUNCTION("""COMPUTED_VALUE"""),630.0)</f>
        <v>630</v>
      </c>
      <c r="C128" s="5">
        <f>IFERROR(__xludf.DUMMYFUNCTION("""COMPUTED_VALUE"""),650.0)</f>
        <v>650</v>
      </c>
      <c r="D128" s="5">
        <f>IFERROR(__xludf.DUMMYFUNCTION("""COMPUTED_VALUE"""),620.0)</f>
        <v>620</v>
      </c>
      <c r="E128" s="5">
        <f>IFERROR(__xludf.DUMMYFUNCTION("""COMPUTED_VALUE"""),635.0)</f>
        <v>635</v>
      </c>
      <c r="F128" s="5">
        <f>IFERROR(__xludf.DUMMYFUNCTION("""COMPUTED_VALUE"""),1.94518E7)</f>
        <v>19451800</v>
      </c>
      <c r="G128" s="5">
        <f t="shared" si="1"/>
        <v>30</v>
      </c>
    </row>
    <row r="129">
      <c r="A129" s="4">
        <f>IFERROR(__xludf.DUMMYFUNCTION("""COMPUTED_VALUE"""),44021.66666666667)</f>
        <v>44021.66667</v>
      </c>
      <c r="B129" s="5">
        <f>IFERROR(__xludf.DUMMYFUNCTION("""COMPUTED_VALUE"""),635.0)</f>
        <v>635</v>
      </c>
      <c r="C129" s="5">
        <f>IFERROR(__xludf.DUMMYFUNCTION("""COMPUTED_VALUE"""),655.0)</f>
        <v>655</v>
      </c>
      <c r="D129" s="5">
        <f>IFERROR(__xludf.DUMMYFUNCTION("""COMPUTED_VALUE"""),630.0)</f>
        <v>630</v>
      </c>
      <c r="E129" s="5">
        <f>IFERROR(__xludf.DUMMYFUNCTION("""COMPUTED_VALUE"""),630.0)</f>
        <v>630</v>
      </c>
      <c r="F129" s="5">
        <f>IFERROR(__xludf.DUMMYFUNCTION("""COMPUTED_VALUE"""),2.50878E7)</f>
        <v>25087800</v>
      </c>
      <c r="G129" s="5">
        <f t="shared" si="1"/>
        <v>25</v>
      </c>
    </row>
    <row r="130">
      <c r="A130" s="4">
        <f>IFERROR(__xludf.DUMMYFUNCTION("""COMPUTED_VALUE"""),44022.66666666667)</f>
        <v>44022.66667</v>
      </c>
      <c r="B130" s="5">
        <f>IFERROR(__xludf.DUMMYFUNCTION("""COMPUTED_VALUE"""),640.0)</f>
        <v>640</v>
      </c>
      <c r="C130" s="5">
        <f>IFERROR(__xludf.DUMMYFUNCTION("""COMPUTED_VALUE"""),655.0)</f>
        <v>655</v>
      </c>
      <c r="D130" s="5">
        <f>IFERROR(__xludf.DUMMYFUNCTION("""COMPUTED_VALUE"""),625.0)</f>
        <v>625</v>
      </c>
      <c r="E130" s="5">
        <f>IFERROR(__xludf.DUMMYFUNCTION("""COMPUTED_VALUE"""),625.0)</f>
        <v>625</v>
      </c>
      <c r="F130" s="5">
        <f>IFERROR(__xludf.DUMMYFUNCTION("""COMPUTED_VALUE"""),1.20808E7)</f>
        <v>12080800</v>
      </c>
      <c r="G130" s="5">
        <f t="shared" si="1"/>
        <v>30</v>
      </c>
    </row>
    <row r="131">
      <c r="A131" s="4">
        <f>IFERROR(__xludf.DUMMYFUNCTION("""COMPUTED_VALUE"""),44025.66666666667)</f>
        <v>44025.66667</v>
      </c>
      <c r="B131" s="5">
        <f>IFERROR(__xludf.DUMMYFUNCTION("""COMPUTED_VALUE"""),635.0)</f>
        <v>635</v>
      </c>
      <c r="C131" s="5">
        <f>IFERROR(__xludf.DUMMYFUNCTION("""COMPUTED_VALUE"""),660.0)</f>
        <v>660</v>
      </c>
      <c r="D131" s="5">
        <f>IFERROR(__xludf.DUMMYFUNCTION("""COMPUTED_VALUE"""),635.0)</f>
        <v>635</v>
      </c>
      <c r="E131" s="5">
        <f>IFERROR(__xludf.DUMMYFUNCTION("""COMPUTED_VALUE"""),660.0)</f>
        <v>660</v>
      </c>
      <c r="F131" s="5">
        <f>IFERROR(__xludf.DUMMYFUNCTION("""COMPUTED_VALUE"""),4.59748E7)</f>
        <v>45974800</v>
      </c>
      <c r="G131" s="5">
        <f t="shared" si="1"/>
        <v>35</v>
      </c>
    </row>
    <row r="132">
      <c r="A132" s="4">
        <f>IFERROR(__xludf.DUMMYFUNCTION("""COMPUTED_VALUE"""),44026.66666666667)</f>
        <v>44026.66667</v>
      </c>
      <c r="B132" s="5">
        <f>IFERROR(__xludf.DUMMYFUNCTION("""COMPUTED_VALUE"""),660.0)</f>
        <v>660</v>
      </c>
      <c r="C132" s="5">
        <f>IFERROR(__xludf.DUMMYFUNCTION("""COMPUTED_VALUE"""),665.0)</f>
        <v>665</v>
      </c>
      <c r="D132" s="5">
        <f>IFERROR(__xludf.DUMMYFUNCTION("""COMPUTED_VALUE"""),640.0)</f>
        <v>640</v>
      </c>
      <c r="E132" s="5">
        <f>IFERROR(__xludf.DUMMYFUNCTION("""COMPUTED_VALUE"""),645.0)</f>
        <v>645</v>
      </c>
      <c r="F132" s="5">
        <f>IFERROR(__xludf.DUMMYFUNCTION("""COMPUTED_VALUE"""),3.33756E7)</f>
        <v>33375600</v>
      </c>
      <c r="G132" s="5">
        <f t="shared" si="1"/>
        <v>25</v>
      </c>
    </row>
    <row r="133">
      <c r="A133" s="4">
        <f>IFERROR(__xludf.DUMMYFUNCTION("""COMPUTED_VALUE"""),44027.66666666667)</f>
        <v>44027.66667</v>
      </c>
      <c r="B133" s="5">
        <f>IFERROR(__xludf.DUMMYFUNCTION("""COMPUTED_VALUE"""),650.0)</f>
        <v>650</v>
      </c>
      <c r="C133" s="5">
        <f>IFERROR(__xludf.DUMMYFUNCTION("""COMPUTED_VALUE"""),655.0)</f>
        <v>655</v>
      </c>
      <c r="D133" s="5">
        <f>IFERROR(__xludf.DUMMYFUNCTION("""COMPUTED_VALUE"""),640.0)</f>
        <v>640</v>
      </c>
      <c r="E133" s="5">
        <f>IFERROR(__xludf.DUMMYFUNCTION("""COMPUTED_VALUE"""),645.0)</f>
        <v>645</v>
      </c>
      <c r="F133" s="5">
        <f>IFERROR(__xludf.DUMMYFUNCTION("""COMPUTED_VALUE"""),1.99089E7)</f>
        <v>19908900</v>
      </c>
      <c r="G133" s="5">
        <f t="shared" si="1"/>
        <v>15</v>
      </c>
    </row>
    <row r="134">
      <c r="A134" s="4">
        <f>IFERROR(__xludf.DUMMYFUNCTION("""COMPUTED_VALUE"""),44028.66666666667)</f>
        <v>44028.66667</v>
      </c>
      <c r="B134" s="5">
        <f>IFERROR(__xludf.DUMMYFUNCTION("""COMPUTED_VALUE"""),645.0)</f>
        <v>645</v>
      </c>
      <c r="C134" s="5">
        <f>IFERROR(__xludf.DUMMYFUNCTION("""COMPUTED_VALUE"""),650.0)</f>
        <v>650</v>
      </c>
      <c r="D134" s="5">
        <f>IFERROR(__xludf.DUMMYFUNCTION("""COMPUTED_VALUE"""),640.0)</f>
        <v>640</v>
      </c>
      <c r="E134" s="5">
        <f>IFERROR(__xludf.DUMMYFUNCTION("""COMPUTED_VALUE"""),640.0)</f>
        <v>640</v>
      </c>
      <c r="F134" s="5">
        <f>IFERROR(__xludf.DUMMYFUNCTION("""COMPUTED_VALUE"""),1.18766E7)</f>
        <v>11876600</v>
      </c>
      <c r="G134" s="5">
        <f t="shared" si="1"/>
        <v>10</v>
      </c>
    </row>
    <row r="135">
      <c r="A135" s="4">
        <f>IFERROR(__xludf.DUMMYFUNCTION("""COMPUTED_VALUE"""),44029.66666666667)</f>
        <v>44029.66667</v>
      </c>
      <c r="B135" s="5">
        <f>IFERROR(__xludf.DUMMYFUNCTION("""COMPUTED_VALUE"""),640.0)</f>
        <v>640</v>
      </c>
      <c r="C135" s="5">
        <f>IFERROR(__xludf.DUMMYFUNCTION("""COMPUTED_VALUE"""),650.0)</f>
        <v>650</v>
      </c>
      <c r="D135" s="5">
        <f>IFERROR(__xludf.DUMMYFUNCTION("""COMPUTED_VALUE"""),635.0)</f>
        <v>635</v>
      </c>
      <c r="E135" s="5">
        <f>IFERROR(__xludf.DUMMYFUNCTION("""COMPUTED_VALUE"""),640.0)</f>
        <v>640</v>
      </c>
      <c r="F135" s="5">
        <f>IFERROR(__xludf.DUMMYFUNCTION("""COMPUTED_VALUE"""),1.16968E7)</f>
        <v>11696800</v>
      </c>
      <c r="G135" s="5">
        <f t="shared" si="1"/>
        <v>15</v>
      </c>
    </row>
    <row r="136">
      <c r="A136" s="4">
        <f>IFERROR(__xludf.DUMMYFUNCTION("""COMPUTED_VALUE"""),44032.66666666667)</f>
        <v>44032.66667</v>
      </c>
      <c r="B136" s="5">
        <f>IFERROR(__xludf.DUMMYFUNCTION("""COMPUTED_VALUE"""),640.0)</f>
        <v>640</v>
      </c>
      <c r="C136" s="5">
        <f>IFERROR(__xludf.DUMMYFUNCTION("""COMPUTED_VALUE"""),645.0)</f>
        <v>645</v>
      </c>
      <c r="D136" s="5">
        <f>IFERROR(__xludf.DUMMYFUNCTION("""COMPUTED_VALUE"""),625.0)</f>
        <v>625</v>
      </c>
      <c r="E136" s="5">
        <f>IFERROR(__xludf.DUMMYFUNCTION("""COMPUTED_VALUE"""),630.0)</f>
        <v>630</v>
      </c>
      <c r="F136" s="5">
        <f>IFERROR(__xludf.DUMMYFUNCTION("""COMPUTED_VALUE"""),1.57718E7)</f>
        <v>15771800</v>
      </c>
      <c r="G136" s="5">
        <f t="shared" si="1"/>
        <v>20</v>
      </c>
    </row>
    <row r="137">
      <c r="A137" s="4">
        <f>IFERROR(__xludf.DUMMYFUNCTION("""COMPUTED_VALUE"""),44033.66666666667)</f>
        <v>44033.66667</v>
      </c>
      <c r="B137" s="5">
        <f>IFERROR(__xludf.DUMMYFUNCTION("""COMPUTED_VALUE"""),635.0)</f>
        <v>635</v>
      </c>
      <c r="C137" s="5">
        <f>IFERROR(__xludf.DUMMYFUNCTION("""COMPUTED_VALUE"""),660.0)</f>
        <v>660</v>
      </c>
      <c r="D137" s="5">
        <f>IFERROR(__xludf.DUMMYFUNCTION("""COMPUTED_VALUE"""),635.0)</f>
        <v>635</v>
      </c>
      <c r="E137" s="5">
        <f>IFERROR(__xludf.DUMMYFUNCTION("""COMPUTED_VALUE"""),655.0)</f>
        <v>655</v>
      </c>
      <c r="F137" s="5">
        <f>IFERROR(__xludf.DUMMYFUNCTION("""COMPUTED_VALUE"""),4.70279E7)</f>
        <v>47027900</v>
      </c>
      <c r="G137" s="5">
        <f t="shared" si="1"/>
        <v>30</v>
      </c>
    </row>
    <row r="138">
      <c r="A138" s="4">
        <f>IFERROR(__xludf.DUMMYFUNCTION("""COMPUTED_VALUE"""),44034.66666666667)</f>
        <v>44034.66667</v>
      </c>
      <c r="B138" s="5">
        <f>IFERROR(__xludf.DUMMYFUNCTION("""COMPUTED_VALUE"""),660.0)</f>
        <v>660</v>
      </c>
      <c r="C138" s="5">
        <f>IFERROR(__xludf.DUMMYFUNCTION("""COMPUTED_VALUE"""),710.0)</f>
        <v>710</v>
      </c>
      <c r="D138" s="5">
        <f>IFERROR(__xludf.DUMMYFUNCTION("""COMPUTED_VALUE"""),660.0)</f>
        <v>660</v>
      </c>
      <c r="E138" s="5">
        <f>IFERROR(__xludf.DUMMYFUNCTION("""COMPUTED_VALUE"""),695.0)</f>
        <v>695</v>
      </c>
      <c r="F138" s="5">
        <f>IFERROR(__xludf.DUMMYFUNCTION("""COMPUTED_VALUE"""),1.320867E8)</f>
        <v>132086700</v>
      </c>
      <c r="G138" s="5">
        <f t="shared" si="1"/>
        <v>55</v>
      </c>
    </row>
    <row r="139">
      <c r="A139" s="4">
        <f>IFERROR(__xludf.DUMMYFUNCTION("""COMPUTED_VALUE"""),44035.66666666667)</f>
        <v>44035.66667</v>
      </c>
      <c r="B139" s="5">
        <f>IFERROR(__xludf.DUMMYFUNCTION("""COMPUTED_VALUE"""),700.0)</f>
        <v>700</v>
      </c>
      <c r="C139" s="5">
        <f>IFERROR(__xludf.DUMMYFUNCTION("""COMPUTED_VALUE"""),710.0)</f>
        <v>710</v>
      </c>
      <c r="D139" s="5">
        <f>IFERROR(__xludf.DUMMYFUNCTION("""COMPUTED_VALUE"""),685.0)</f>
        <v>685</v>
      </c>
      <c r="E139" s="5">
        <f>IFERROR(__xludf.DUMMYFUNCTION("""COMPUTED_VALUE"""),690.0)</f>
        <v>690</v>
      </c>
      <c r="F139" s="5">
        <f>IFERROR(__xludf.DUMMYFUNCTION("""COMPUTED_VALUE"""),4.22752E7)</f>
        <v>42275200</v>
      </c>
      <c r="G139" s="5">
        <f t="shared" si="1"/>
        <v>25</v>
      </c>
    </row>
    <row r="140">
      <c r="A140" s="4">
        <f>IFERROR(__xludf.DUMMYFUNCTION("""COMPUTED_VALUE"""),44036.66666666667)</f>
        <v>44036.66667</v>
      </c>
      <c r="B140" s="5">
        <f>IFERROR(__xludf.DUMMYFUNCTION("""COMPUTED_VALUE"""),695.0)</f>
        <v>695</v>
      </c>
      <c r="C140" s="5">
        <f>IFERROR(__xludf.DUMMYFUNCTION("""COMPUTED_VALUE"""),710.0)</f>
        <v>710</v>
      </c>
      <c r="D140" s="5">
        <f>IFERROR(__xludf.DUMMYFUNCTION("""COMPUTED_VALUE"""),670.0)</f>
        <v>670</v>
      </c>
      <c r="E140" s="5">
        <f>IFERROR(__xludf.DUMMYFUNCTION("""COMPUTED_VALUE"""),680.0)</f>
        <v>680</v>
      </c>
      <c r="F140" s="5">
        <f>IFERROR(__xludf.DUMMYFUNCTION("""COMPUTED_VALUE"""),4.22187E7)</f>
        <v>42218700</v>
      </c>
      <c r="G140" s="5">
        <f t="shared" si="1"/>
        <v>40</v>
      </c>
    </row>
    <row r="141">
      <c r="A141" s="4">
        <f>IFERROR(__xludf.DUMMYFUNCTION("""COMPUTED_VALUE"""),44039.66666666667)</f>
        <v>44039.66667</v>
      </c>
      <c r="B141" s="5">
        <f>IFERROR(__xludf.DUMMYFUNCTION("""COMPUTED_VALUE"""),690.0)</f>
        <v>690</v>
      </c>
      <c r="C141" s="5">
        <f>IFERROR(__xludf.DUMMYFUNCTION("""COMPUTED_VALUE"""),725.0)</f>
        <v>725</v>
      </c>
      <c r="D141" s="5">
        <f>IFERROR(__xludf.DUMMYFUNCTION("""COMPUTED_VALUE"""),685.0)</f>
        <v>685</v>
      </c>
      <c r="E141" s="5">
        <f>IFERROR(__xludf.DUMMYFUNCTION("""COMPUTED_VALUE"""),725.0)</f>
        <v>725</v>
      </c>
      <c r="F141" s="5">
        <f>IFERROR(__xludf.DUMMYFUNCTION("""COMPUTED_VALUE"""),7.87078E7)</f>
        <v>78707800</v>
      </c>
      <c r="G141" s="5">
        <f t="shared" si="1"/>
        <v>45</v>
      </c>
    </row>
    <row r="142">
      <c r="A142" s="4">
        <f>IFERROR(__xludf.DUMMYFUNCTION("""COMPUTED_VALUE"""),44040.66666666667)</f>
        <v>44040.66667</v>
      </c>
      <c r="B142" s="5">
        <f>IFERROR(__xludf.DUMMYFUNCTION("""COMPUTED_VALUE"""),735.0)</f>
        <v>735</v>
      </c>
      <c r="C142" s="5">
        <f>IFERROR(__xludf.DUMMYFUNCTION("""COMPUTED_VALUE"""),770.0)</f>
        <v>770</v>
      </c>
      <c r="D142" s="5">
        <f>IFERROR(__xludf.DUMMYFUNCTION("""COMPUTED_VALUE"""),730.0)</f>
        <v>730</v>
      </c>
      <c r="E142" s="5">
        <f>IFERROR(__xludf.DUMMYFUNCTION("""COMPUTED_VALUE"""),740.0)</f>
        <v>740</v>
      </c>
      <c r="F142" s="5">
        <f>IFERROR(__xludf.DUMMYFUNCTION("""COMPUTED_VALUE"""),6.80109E7)</f>
        <v>68010900</v>
      </c>
      <c r="G142" s="5">
        <f t="shared" si="1"/>
        <v>45</v>
      </c>
    </row>
    <row r="143">
      <c r="A143" s="4">
        <f>IFERROR(__xludf.DUMMYFUNCTION("""COMPUTED_VALUE"""),44041.66666666667)</f>
        <v>44041.66667</v>
      </c>
      <c r="B143" s="5">
        <f>IFERROR(__xludf.DUMMYFUNCTION("""COMPUTED_VALUE"""),740.0)</f>
        <v>740</v>
      </c>
      <c r="C143" s="5">
        <f>IFERROR(__xludf.DUMMYFUNCTION("""COMPUTED_VALUE"""),795.0)</f>
        <v>795</v>
      </c>
      <c r="D143" s="5">
        <f>IFERROR(__xludf.DUMMYFUNCTION("""COMPUTED_VALUE"""),735.0)</f>
        <v>735</v>
      </c>
      <c r="E143" s="5">
        <f>IFERROR(__xludf.DUMMYFUNCTION("""COMPUTED_VALUE"""),780.0)</f>
        <v>780</v>
      </c>
      <c r="F143" s="5">
        <f>IFERROR(__xludf.DUMMYFUNCTION("""COMPUTED_VALUE"""),7.64527E7)</f>
        <v>76452700</v>
      </c>
      <c r="G143" s="5">
        <f t="shared" si="1"/>
        <v>60</v>
      </c>
    </row>
    <row r="144">
      <c r="A144" s="4">
        <f>IFERROR(__xludf.DUMMYFUNCTION("""COMPUTED_VALUE"""),44042.66666666667)</f>
        <v>44042.66667</v>
      </c>
      <c r="B144" s="5">
        <f>IFERROR(__xludf.DUMMYFUNCTION("""COMPUTED_VALUE"""),780.0)</f>
        <v>780</v>
      </c>
      <c r="C144" s="5">
        <f>IFERROR(__xludf.DUMMYFUNCTION("""COMPUTED_VALUE"""),790.0)</f>
        <v>790</v>
      </c>
      <c r="D144" s="5">
        <f>IFERROR(__xludf.DUMMYFUNCTION("""COMPUTED_VALUE"""),755.0)</f>
        <v>755</v>
      </c>
      <c r="E144" s="5">
        <f>IFERROR(__xludf.DUMMYFUNCTION("""COMPUTED_VALUE"""),760.0)</f>
        <v>760</v>
      </c>
      <c r="F144" s="5">
        <f>IFERROR(__xludf.DUMMYFUNCTION("""COMPUTED_VALUE"""),3.0421E7)</f>
        <v>30421000</v>
      </c>
      <c r="G144" s="5">
        <f t="shared" si="1"/>
        <v>35</v>
      </c>
    </row>
    <row r="145">
      <c r="A145" s="4">
        <f>IFERROR(__xludf.DUMMYFUNCTION("""COMPUTED_VALUE"""),44046.66666666667)</f>
        <v>44046.66667</v>
      </c>
      <c r="B145" s="5">
        <f>IFERROR(__xludf.DUMMYFUNCTION("""COMPUTED_VALUE"""),760.0)</f>
        <v>760</v>
      </c>
      <c r="C145" s="5">
        <f>IFERROR(__xludf.DUMMYFUNCTION("""COMPUTED_VALUE"""),770.0)</f>
        <v>770</v>
      </c>
      <c r="D145" s="5">
        <f>IFERROR(__xludf.DUMMYFUNCTION("""COMPUTED_VALUE"""),710.0)</f>
        <v>710</v>
      </c>
      <c r="E145" s="5">
        <f>IFERROR(__xludf.DUMMYFUNCTION("""COMPUTED_VALUE"""),735.0)</f>
        <v>735</v>
      </c>
      <c r="F145" s="5">
        <f>IFERROR(__xludf.DUMMYFUNCTION("""COMPUTED_VALUE"""),6.01297E7)</f>
        <v>60129700</v>
      </c>
      <c r="G145" s="5">
        <f t="shared" si="1"/>
        <v>60</v>
      </c>
    </row>
    <row r="146">
      <c r="A146" s="4">
        <f>IFERROR(__xludf.DUMMYFUNCTION("""COMPUTED_VALUE"""),44047.66666666667)</f>
        <v>44047.66667</v>
      </c>
      <c r="B146" s="5">
        <f>IFERROR(__xludf.DUMMYFUNCTION("""COMPUTED_VALUE"""),735.0)</f>
        <v>735</v>
      </c>
      <c r="C146" s="5">
        <f>IFERROR(__xludf.DUMMYFUNCTION("""COMPUTED_VALUE"""),750.0)</f>
        <v>750</v>
      </c>
      <c r="D146" s="5">
        <f>IFERROR(__xludf.DUMMYFUNCTION("""COMPUTED_VALUE"""),725.0)</f>
        <v>725</v>
      </c>
      <c r="E146" s="5">
        <f>IFERROR(__xludf.DUMMYFUNCTION("""COMPUTED_VALUE"""),730.0)</f>
        <v>730</v>
      </c>
      <c r="F146" s="5">
        <f>IFERROR(__xludf.DUMMYFUNCTION("""COMPUTED_VALUE"""),1.46363E7)</f>
        <v>14636300</v>
      </c>
      <c r="G146" s="5">
        <f t="shared" si="1"/>
        <v>25</v>
      </c>
    </row>
    <row r="147">
      <c r="A147" s="4">
        <f>IFERROR(__xludf.DUMMYFUNCTION("""COMPUTED_VALUE"""),44048.66666666667)</f>
        <v>44048.66667</v>
      </c>
      <c r="B147" s="5">
        <f>IFERROR(__xludf.DUMMYFUNCTION("""COMPUTED_VALUE"""),680.0)</f>
        <v>680</v>
      </c>
      <c r="C147" s="5">
        <f>IFERROR(__xludf.DUMMYFUNCTION("""COMPUTED_VALUE"""),765.0)</f>
        <v>765</v>
      </c>
      <c r="D147" s="5">
        <f>IFERROR(__xludf.DUMMYFUNCTION("""COMPUTED_VALUE"""),680.0)</f>
        <v>680</v>
      </c>
      <c r="E147" s="5">
        <f>IFERROR(__xludf.DUMMYFUNCTION("""COMPUTED_VALUE"""),760.0)</f>
        <v>760</v>
      </c>
      <c r="F147" s="5">
        <f>IFERROR(__xludf.DUMMYFUNCTION("""COMPUTED_VALUE"""),2.65081E7)</f>
        <v>26508100</v>
      </c>
      <c r="G147" s="5">
        <f t="shared" si="1"/>
        <v>85</v>
      </c>
    </row>
    <row r="148">
      <c r="A148" s="4">
        <f>IFERROR(__xludf.DUMMYFUNCTION("""COMPUTED_VALUE"""),44049.66666666667)</f>
        <v>44049.66667</v>
      </c>
      <c r="B148" s="5">
        <f>IFERROR(__xludf.DUMMYFUNCTION("""COMPUTED_VALUE"""),770.0)</f>
        <v>770</v>
      </c>
      <c r="C148" s="5">
        <f>IFERROR(__xludf.DUMMYFUNCTION("""COMPUTED_VALUE"""),800.0)</f>
        <v>800</v>
      </c>
      <c r="D148" s="5">
        <f>IFERROR(__xludf.DUMMYFUNCTION("""COMPUTED_VALUE"""),760.0)</f>
        <v>760</v>
      </c>
      <c r="E148" s="5">
        <f>IFERROR(__xludf.DUMMYFUNCTION("""COMPUTED_VALUE"""),790.0)</f>
        <v>790</v>
      </c>
      <c r="F148" s="5">
        <f>IFERROR(__xludf.DUMMYFUNCTION("""COMPUTED_VALUE"""),6.29207E7)</f>
        <v>62920700</v>
      </c>
      <c r="G148" s="5">
        <f t="shared" si="1"/>
        <v>40</v>
      </c>
    </row>
    <row r="149">
      <c r="A149" s="4">
        <f>IFERROR(__xludf.DUMMYFUNCTION("""COMPUTED_VALUE"""),44050.66666666667)</f>
        <v>44050.66667</v>
      </c>
      <c r="B149" s="5">
        <f>IFERROR(__xludf.DUMMYFUNCTION("""COMPUTED_VALUE"""),795.0)</f>
        <v>795</v>
      </c>
      <c r="C149" s="5">
        <f>IFERROR(__xludf.DUMMYFUNCTION("""COMPUTED_VALUE"""),840.0)</f>
        <v>840</v>
      </c>
      <c r="D149" s="5">
        <f>IFERROR(__xludf.DUMMYFUNCTION("""COMPUTED_VALUE"""),785.0)</f>
        <v>785</v>
      </c>
      <c r="E149" s="5">
        <f>IFERROR(__xludf.DUMMYFUNCTION("""COMPUTED_VALUE"""),795.0)</f>
        <v>795</v>
      </c>
      <c r="F149" s="5">
        <f>IFERROR(__xludf.DUMMYFUNCTION("""COMPUTED_VALUE"""),7.06745E7)</f>
        <v>70674500</v>
      </c>
      <c r="G149" s="5">
        <f t="shared" si="1"/>
        <v>55</v>
      </c>
    </row>
    <row r="150">
      <c r="A150" s="4">
        <f>IFERROR(__xludf.DUMMYFUNCTION("""COMPUTED_VALUE"""),44053.66666666667)</f>
        <v>44053.66667</v>
      </c>
      <c r="B150" s="5">
        <f>IFERROR(__xludf.DUMMYFUNCTION("""COMPUTED_VALUE"""),800.0)</f>
        <v>800</v>
      </c>
      <c r="C150" s="5">
        <f>IFERROR(__xludf.DUMMYFUNCTION("""COMPUTED_VALUE"""),800.0)</f>
        <v>800</v>
      </c>
      <c r="D150" s="5">
        <f>IFERROR(__xludf.DUMMYFUNCTION("""COMPUTED_VALUE"""),765.0)</f>
        <v>765</v>
      </c>
      <c r="E150" s="5">
        <f>IFERROR(__xludf.DUMMYFUNCTION("""COMPUTED_VALUE"""),790.0)</f>
        <v>790</v>
      </c>
      <c r="F150" s="5">
        <f>IFERROR(__xludf.DUMMYFUNCTION("""COMPUTED_VALUE"""),1.56244E7)</f>
        <v>15624400</v>
      </c>
      <c r="G150" s="5">
        <f t="shared" si="1"/>
        <v>35</v>
      </c>
    </row>
    <row r="151">
      <c r="A151" s="4">
        <f>IFERROR(__xludf.DUMMYFUNCTION("""COMPUTED_VALUE"""),44054.66666666667)</f>
        <v>44054.66667</v>
      </c>
      <c r="B151" s="5">
        <f>IFERROR(__xludf.DUMMYFUNCTION("""COMPUTED_VALUE"""),795.0)</f>
        <v>795</v>
      </c>
      <c r="C151" s="5">
        <f>IFERROR(__xludf.DUMMYFUNCTION("""COMPUTED_VALUE"""),800.0)</f>
        <v>800</v>
      </c>
      <c r="D151" s="5">
        <f>IFERROR(__xludf.DUMMYFUNCTION("""COMPUTED_VALUE"""),765.0)</f>
        <v>765</v>
      </c>
      <c r="E151" s="5">
        <f>IFERROR(__xludf.DUMMYFUNCTION("""COMPUTED_VALUE"""),780.0)</f>
        <v>780</v>
      </c>
      <c r="F151" s="5">
        <f>IFERROR(__xludf.DUMMYFUNCTION("""COMPUTED_VALUE"""),1.79158E7)</f>
        <v>17915800</v>
      </c>
      <c r="G151" s="5">
        <f t="shared" si="1"/>
        <v>35</v>
      </c>
    </row>
    <row r="152">
      <c r="A152" s="4">
        <f>IFERROR(__xludf.DUMMYFUNCTION("""COMPUTED_VALUE"""),44055.66666666667)</f>
        <v>44055.66667</v>
      </c>
      <c r="B152" s="5">
        <f>IFERROR(__xludf.DUMMYFUNCTION("""COMPUTED_VALUE"""),780.0)</f>
        <v>780</v>
      </c>
      <c r="C152" s="5">
        <f>IFERROR(__xludf.DUMMYFUNCTION("""COMPUTED_VALUE"""),780.0)</f>
        <v>780</v>
      </c>
      <c r="D152" s="5">
        <f>IFERROR(__xludf.DUMMYFUNCTION("""COMPUTED_VALUE"""),750.0)</f>
        <v>750</v>
      </c>
      <c r="E152" s="5">
        <f>IFERROR(__xludf.DUMMYFUNCTION("""COMPUTED_VALUE"""),760.0)</f>
        <v>760</v>
      </c>
      <c r="F152" s="5">
        <f>IFERROR(__xludf.DUMMYFUNCTION("""COMPUTED_VALUE"""),1.95036E7)</f>
        <v>19503600</v>
      </c>
      <c r="G152" s="5">
        <f t="shared" si="1"/>
        <v>30</v>
      </c>
    </row>
    <row r="153">
      <c r="A153" s="4">
        <f>IFERROR(__xludf.DUMMYFUNCTION("""COMPUTED_VALUE"""),44056.66666666667)</f>
        <v>44056.66667</v>
      </c>
      <c r="B153" s="5">
        <f>IFERROR(__xludf.DUMMYFUNCTION("""COMPUTED_VALUE"""),760.0)</f>
        <v>760</v>
      </c>
      <c r="C153" s="5">
        <f>IFERROR(__xludf.DUMMYFUNCTION("""COMPUTED_VALUE"""),775.0)</f>
        <v>775</v>
      </c>
      <c r="D153" s="5">
        <f>IFERROR(__xludf.DUMMYFUNCTION("""COMPUTED_VALUE"""),750.0)</f>
        <v>750</v>
      </c>
      <c r="E153" s="5">
        <f>IFERROR(__xludf.DUMMYFUNCTION("""COMPUTED_VALUE"""),755.0)</f>
        <v>755</v>
      </c>
      <c r="F153" s="5">
        <f>IFERROR(__xludf.DUMMYFUNCTION("""COMPUTED_VALUE"""),1.36678E7)</f>
        <v>13667800</v>
      </c>
      <c r="G153" s="5">
        <f t="shared" si="1"/>
        <v>25</v>
      </c>
    </row>
    <row r="154">
      <c r="A154" s="4">
        <f>IFERROR(__xludf.DUMMYFUNCTION("""COMPUTED_VALUE"""),44057.66666666667)</f>
        <v>44057.66667</v>
      </c>
      <c r="B154" s="5">
        <f>IFERROR(__xludf.DUMMYFUNCTION("""COMPUTED_VALUE"""),765.0)</f>
        <v>765</v>
      </c>
      <c r="C154" s="5">
        <f>IFERROR(__xludf.DUMMYFUNCTION("""COMPUTED_VALUE"""),800.0)</f>
        <v>800</v>
      </c>
      <c r="D154" s="5">
        <f>IFERROR(__xludf.DUMMYFUNCTION("""COMPUTED_VALUE"""),755.0)</f>
        <v>755</v>
      </c>
      <c r="E154" s="5">
        <f>IFERROR(__xludf.DUMMYFUNCTION("""COMPUTED_VALUE"""),780.0)</f>
        <v>780</v>
      </c>
      <c r="F154" s="5">
        <f>IFERROR(__xludf.DUMMYFUNCTION("""COMPUTED_VALUE"""),5.71982E7)</f>
        <v>57198200</v>
      </c>
      <c r="G154" s="5">
        <f t="shared" si="1"/>
        <v>45</v>
      </c>
    </row>
    <row r="155">
      <c r="A155" s="4">
        <f>IFERROR(__xludf.DUMMYFUNCTION("""COMPUTED_VALUE"""),44061.66666666667)</f>
        <v>44061.66667</v>
      </c>
      <c r="B155" s="5">
        <f>IFERROR(__xludf.DUMMYFUNCTION("""COMPUTED_VALUE"""),780.0)</f>
        <v>780</v>
      </c>
      <c r="C155" s="5">
        <f>IFERROR(__xludf.DUMMYFUNCTION("""COMPUTED_VALUE"""),800.0)</f>
        <v>800</v>
      </c>
      <c r="D155" s="5">
        <f>IFERROR(__xludf.DUMMYFUNCTION("""COMPUTED_VALUE"""),780.0)</f>
        <v>780</v>
      </c>
      <c r="E155" s="5">
        <f>IFERROR(__xludf.DUMMYFUNCTION("""COMPUTED_VALUE"""),785.0)</f>
        <v>785</v>
      </c>
      <c r="F155" s="5">
        <f>IFERROR(__xludf.DUMMYFUNCTION("""COMPUTED_VALUE"""),2.6488E7)</f>
        <v>26488000</v>
      </c>
      <c r="G155" s="5">
        <f t="shared" si="1"/>
        <v>20</v>
      </c>
    </row>
    <row r="156">
      <c r="A156" s="4">
        <f>IFERROR(__xludf.DUMMYFUNCTION("""COMPUTED_VALUE"""),44062.66666666667)</f>
        <v>44062.66667</v>
      </c>
      <c r="B156" s="5">
        <f>IFERROR(__xludf.DUMMYFUNCTION("""COMPUTED_VALUE"""),790.0)</f>
        <v>790</v>
      </c>
      <c r="C156" s="5">
        <f>IFERROR(__xludf.DUMMYFUNCTION("""COMPUTED_VALUE"""),795.0)</f>
        <v>795</v>
      </c>
      <c r="D156" s="5">
        <f>IFERROR(__xludf.DUMMYFUNCTION("""COMPUTED_VALUE"""),775.0)</f>
        <v>775</v>
      </c>
      <c r="E156" s="5">
        <f>IFERROR(__xludf.DUMMYFUNCTION("""COMPUTED_VALUE"""),780.0)</f>
        <v>780</v>
      </c>
      <c r="F156" s="5">
        <f>IFERROR(__xludf.DUMMYFUNCTION("""COMPUTED_VALUE"""),1.02572E7)</f>
        <v>10257200</v>
      </c>
      <c r="G156" s="5">
        <f t="shared" si="1"/>
        <v>20</v>
      </c>
    </row>
    <row r="157">
      <c r="A157" s="4">
        <f>IFERROR(__xludf.DUMMYFUNCTION("""COMPUTED_VALUE"""),44067.66666666667)</f>
        <v>44067.66667</v>
      </c>
      <c r="B157" s="5">
        <f>IFERROR(__xludf.DUMMYFUNCTION("""COMPUTED_VALUE"""),785.0)</f>
        <v>785</v>
      </c>
      <c r="C157" s="5">
        <f>IFERROR(__xludf.DUMMYFUNCTION("""COMPUTED_VALUE"""),790.0)</f>
        <v>790</v>
      </c>
      <c r="D157" s="5">
        <f>IFERROR(__xludf.DUMMYFUNCTION("""COMPUTED_VALUE"""),750.0)</f>
        <v>750</v>
      </c>
      <c r="E157" s="5">
        <f>IFERROR(__xludf.DUMMYFUNCTION("""COMPUTED_VALUE"""),750.0)</f>
        <v>750</v>
      </c>
      <c r="F157" s="5">
        <f>IFERROR(__xludf.DUMMYFUNCTION("""COMPUTED_VALUE"""),2.68099E7)</f>
        <v>26809900</v>
      </c>
      <c r="G157" s="5">
        <f t="shared" si="1"/>
        <v>40</v>
      </c>
    </row>
    <row r="158">
      <c r="A158" s="4">
        <f>IFERROR(__xludf.DUMMYFUNCTION("""COMPUTED_VALUE"""),44068.66666666667)</f>
        <v>44068.66667</v>
      </c>
      <c r="B158" s="5">
        <f>IFERROR(__xludf.DUMMYFUNCTION("""COMPUTED_VALUE"""),760.0)</f>
        <v>760</v>
      </c>
      <c r="C158" s="5">
        <f>IFERROR(__xludf.DUMMYFUNCTION("""COMPUTED_VALUE"""),775.0)</f>
        <v>775</v>
      </c>
      <c r="D158" s="5">
        <f>IFERROR(__xludf.DUMMYFUNCTION("""COMPUTED_VALUE"""),735.0)</f>
        <v>735</v>
      </c>
      <c r="E158" s="5">
        <f>IFERROR(__xludf.DUMMYFUNCTION("""COMPUTED_VALUE"""),775.0)</f>
        <v>775</v>
      </c>
      <c r="F158" s="5">
        <f>IFERROR(__xludf.DUMMYFUNCTION("""COMPUTED_VALUE"""),3.50938E7)</f>
        <v>35093800</v>
      </c>
      <c r="G158" s="5">
        <f t="shared" si="1"/>
        <v>40</v>
      </c>
    </row>
    <row r="159">
      <c r="A159" s="4">
        <f>IFERROR(__xludf.DUMMYFUNCTION("""COMPUTED_VALUE"""),44069.66666666667)</f>
        <v>44069.66667</v>
      </c>
      <c r="B159" s="5">
        <f>IFERROR(__xludf.DUMMYFUNCTION("""COMPUTED_VALUE"""),780.0)</f>
        <v>780</v>
      </c>
      <c r="C159" s="5">
        <f>IFERROR(__xludf.DUMMYFUNCTION("""COMPUTED_VALUE"""),780.0)</f>
        <v>780</v>
      </c>
      <c r="D159" s="5">
        <f>IFERROR(__xludf.DUMMYFUNCTION("""COMPUTED_VALUE"""),760.0)</f>
        <v>760</v>
      </c>
      <c r="E159" s="5">
        <f>IFERROR(__xludf.DUMMYFUNCTION("""COMPUTED_VALUE"""),760.0)</f>
        <v>760</v>
      </c>
      <c r="F159" s="5">
        <f>IFERROR(__xludf.DUMMYFUNCTION("""COMPUTED_VALUE"""),2.31945E7)</f>
        <v>23194500</v>
      </c>
      <c r="G159" s="5">
        <f t="shared" si="1"/>
        <v>20</v>
      </c>
    </row>
    <row r="160">
      <c r="A160" s="4">
        <f>IFERROR(__xludf.DUMMYFUNCTION("""COMPUTED_VALUE"""),44070.66666666667)</f>
        <v>44070.66667</v>
      </c>
      <c r="B160" s="5">
        <f>IFERROR(__xludf.DUMMYFUNCTION("""COMPUTED_VALUE"""),770.0)</f>
        <v>770</v>
      </c>
      <c r="C160" s="5">
        <f>IFERROR(__xludf.DUMMYFUNCTION("""COMPUTED_VALUE"""),780.0)</f>
        <v>780</v>
      </c>
      <c r="D160" s="5">
        <f>IFERROR(__xludf.DUMMYFUNCTION("""COMPUTED_VALUE"""),765.0)</f>
        <v>765</v>
      </c>
      <c r="E160" s="5">
        <f>IFERROR(__xludf.DUMMYFUNCTION("""COMPUTED_VALUE"""),775.0)</f>
        <v>775</v>
      </c>
      <c r="F160" s="5">
        <f>IFERROR(__xludf.DUMMYFUNCTION("""COMPUTED_VALUE"""),1.26833E7)</f>
        <v>12683300</v>
      </c>
      <c r="G160" s="5">
        <f t="shared" si="1"/>
        <v>20</v>
      </c>
    </row>
    <row r="161">
      <c r="A161" s="4">
        <f>IFERROR(__xludf.DUMMYFUNCTION("""COMPUTED_VALUE"""),44071.66666666667)</f>
        <v>44071.66667</v>
      </c>
      <c r="B161" s="5">
        <f>IFERROR(__xludf.DUMMYFUNCTION("""COMPUTED_VALUE"""),780.0)</f>
        <v>780</v>
      </c>
      <c r="C161" s="5">
        <f>IFERROR(__xludf.DUMMYFUNCTION("""COMPUTED_VALUE"""),835.0)</f>
        <v>835</v>
      </c>
      <c r="D161" s="5">
        <f>IFERROR(__xludf.DUMMYFUNCTION("""COMPUTED_VALUE"""),775.0)</f>
        <v>775</v>
      </c>
      <c r="E161" s="5">
        <f>IFERROR(__xludf.DUMMYFUNCTION("""COMPUTED_VALUE"""),820.0)</f>
        <v>820</v>
      </c>
      <c r="F161" s="5">
        <f>IFERROR(__xludf.DUMMYFUNCTION("""COMPUTED_VALUE"""),1.023878E8)</f>
        <v>102387800</v>
      </c>
      <c r="G161" s="5">
        <f t="shared" si="1"/>
        <v>60</v>
      </c>
    </row>
    <row r="162">
      <c r="A162" s="4">
        <f>IFERROR(__xludf.DUMMYFUNCTION("""COMPUTED_VALUE"""),44074.66666666667)</f>
        <v>44074.66667</v>
      </c>
      <c r="B162" s="5">
        <f>IFERROR(__xludf.DUMMYFUNCTION("""COMPUTED_VALUE"""),830.0)</f>
        <v>830</v>
      </c>
      <c r="C162" s="5">
        <f>IFERROR(__xludf.DUMMYFUNCTION("""COMPUTED_VALUE"""),840.0)</f>
        <v>840</v>
      </c>
      <c r="D162" s="5">
        <f>IFERROR(__xludf.DUMMYFUNCTION("""COMPUTED_VALUE"""),785.0)</f>
        <v>785</v>
      </c>
      <c r="E162" s="5">
        <f>IFERROR(__xludf.DUMMYFUNCTION("""COMPUTED_VALUE"""),795.0)</f>
        <v>795</v>
      </c>
      <c r="F162" s="5">
        <f>IFERROR(__xludf.DUMMYFUNCTION("""COMPUTED_VALUE"""),5.12592E7)</f>
        <v>51259200</v>
      </c>
      <c r="G162" s="5">
        <f t="shared" si="1"/>
        <v>55</v>
      </c>
    </row>
    <row r="163">
      <c r="A163" s="4">
        <f>IFERROR(__xludf.DUMMYFUNCTION("""COMPUTED_VALUE"""),44075.66666666667)</f>
        <v>44075.66667</v>
      </c>
      <c r="B163" s="5">
        <f>IFERROR(__xludf.DUMMYFUNCTION("""COMPUTED_VALUE"""),810.0)</f>
        <v>810</v>
      </c>
      <c r="C163" s="5">
        <f>IFERROR(__xludf.DUMMYFUNCTION("""COMPUTED_VALUE"""),825.0)</f>
        <v>825</v>
      </c>
      <c r="D163" s="5">
        <f>IFERROR(__xludf.DUMMYFUNCTION("""COMPUTED_VALUE"""),790.0)</f>
        <v>790</v>
      </c>
      <c r="E163" s="5">
        <f>IFERROR(__xludf.DUMMYFUNCTION("""COMPUTED_VALUE"""),825.0)</f>
        <v>825</v>
      </c>
      <c r="F163" s="5">
        <f>IFERROR(__xludf.DUMMYFUNCTION("""COMPUTED_VALUE"""),4.37925E7)</f>
        <v>43792500</v>
      </c>
      <c r="G163" s="5">
        <f t="shared" si="1"/>
        <v>35</v>
      </c>
    </row>
    <row r="164">
      <c r="A164" s="4">
        <f>IFERROR(__xludf.DUMMYFUNCTION("""COMPUTED_VALUE"""),44076.66666666667)</f>
        <v>44076.66667</v>
      </c>
      <c r="B164" s="5">
        <f>IFERROR(__xludf.DUMMYFUNCTION("""COMPUTED_VALUE"""),830.0)</f>
        <v>830</v>
      </c>
      <c r="C164" s="5">
        <f>IFERROR(__xludf.DUMMYFUNCTION("""COMPUTED_VALUE"""),835.0)</f>
        <v>835</v>
      </c>
      <c r="D164" s="5">
        <f>IFERROR(__xludf.DUMMYFUNCTION("""COMPUTED_VALUE"""),820.0)</f>
        <v>820</v>
      </c>
      <c r="E164" s="5">
        <f>IFERROR(__xludf.DUMMYFUNCTION("""COMPUTED_VALUE"""),825.0)</f>
        <v>825</v>
      </c>
      <c r="F164" s="5">
        <f>IFERROR(__xludf.DUMMYFUNCTION("""COMPUTED_VALUE"""),3.31099E7)</f>
        <v>33109900</v>
      </c>
      <c r="G164" s="5">
        <f t="shared" si="1"/>
        <v>15</v>
      </c>
    </row>
    <row r="165">
      <c r="A165" s="4">
        <f>IFERROR(__xludf.DUMMYFUNCTION("""COMPUTED_VALUE"""),44077.66666666667)</f>
        <v>44077.66667</v>
      </c>
      <c r="B165" s="5">
        <f>IFERROR(__xludf.DUMMYFUNCTION("""COMPUTED_VALUE"""),835.0)</f>
        <v>835</v>
      </c>
      <c r="C165" s="5">
        <f>IFERROR(__xludf.DUMMYFUNCTION("""COMPUTED_VALUE"""),850.0)</f>
        <v>850</v>
      </c>
      <c r="D165" s="5">
        <f>IFERROR(__xludf.DUMMYFUNCTION("""COMPUTED_VALUE"""),825.0)</f>
        <v>825</v>
      </c>
      <c r="E165" s="5">
        <f>IFERROR(__xludf.DUMMYFUNCTION("""COMPUTED_VALUE"""),830.0)</f>
        <v>830</v>
      </c>
      <c r="F165" s="5">
        <f>IFERROR(__xludf.DUMMYFUNCTION("""COMPUTED_VALUE"""),4.59435E7)</f>
        <v>45943500</v>
      </c>
      <c r="G165" s="5">
        <f t="shared" si="1"/>
        <v>25</v>
      </c>
    </row>
    <row r="166">
      <c r="A166" s="4">
        <f>IFERROR(__xludf.DUMMYFUNCTION("""COMPUTED_VALUE"""),44078.66666666667)</f>
        <v>44078.66667</v>
      </c>
      <c r="B166" s="5">
        <f>IFERROR(__xludf.DUMMYFUNCTION("""COMPUTED_VALUE"""),820.0)</f>
        <v>820</v>
      </c>
      <c r="C166" s="5">
        <f>IFERROR(__xludf.DUMMYFUNCTION("""COMPUTED_VALUE"""),820.0)</f>
        <v>820</v>
      </c>
      <c r="D166" s="5">
        <f>IFERROR(__xludf.DUMMYFUNCTION("""COMPUTED_VALUE"""),795.0)</f>
        <v>795</v>
      </c>
      <c r="E166" s="5">
        <f>IFERROR(__xludf.DUMMYFUNCTION("""COMPUTED_VALUE"""),820.0)</f>
        <v>820</v>
      </c>
      <c r="F166" s="5">
        <f>IFERROR(__xludf.DUMMYFUNCTION("""COMPUTED_VALUE"""),2.2608E7)</f>
        <v>22608000</v>
      </c>
      <c r="G166" s="5">
        <f t="shared" si="1"/>
        <v>35</v>
      </c>
    </row>
    <row r="167">
      <c r="A167" s="4">
        <f>IFERROR(__xludf.DUMMYFUNCTION("""COMPUTED_VALUE"""),44081.66666666667)</f>
        <v>44081.66667</v>
      </c>
      <c r="B167" s="5">
        <f>IFERROR(__xludf.DUMMYFUNCTION("""COMPUTED_VALUE"""),825.0)</f>
        <v>825</v>
      </c>
      <c r="C167" s="5">
        <f>IFERROR(__xludf.DUMMYFUNCTION("""COMPUTED_VALUE"""),830.0)</f>
        <v>830</v>
      </c>
      <c r="D167" s="5">
        <f>IFERROR(__xludf.DUMMYFUNCTION("""COMPUTED_VALUE"""),805.0)</f>
        <v>805</v>
      </c>
      <c r="E167" s="5">
        <f>IFERROR(__xludf.DUMMYFUNCTION("""COMPUTED_VALUE"""),815.0)</f>
        <v>815</v>
      </c>
      <c r="F167" s="5">
        <f>IFERROR(__xludf.DUMMYFUNCTION("""COMPUTED_VALUE"""),1.42092E7)</f>
        <v>14209200</v>
      </c>
      <c r="G167" s="5">
        <f t="shared" si="1"/>
        <v>25</v>
      </c>
    </row>
    <row r="168">
      <c r="A168" s="4">
        <f>IFERROR(__xludf.DUMMYFUNCTION("""COMPUTED_VALUE"""),44082.66666666667)</f>
        <v>44082.66667</v>
      </c>
      <c r="B168" s="5">
        <f>IFERROR(__xludf.DUMMYFUNCTION("""COMPUTED_VALUE"""),830.0)</f>
        <v>830</v>
      </c>
      <c r="C168" s="5">
        <f>IFERROR(__xludf.DUMMYFUNCTION("""COMPUTED_VALUE"""),850.0)</f>
        <v>850</v>
      </c>
      <c r="D168" s="5">
        <f>IFERROR(__xludf.DUMMYFUNCTION("""COMPUTED_VALUE"""),820.0)</f>
        <v>820</v>
      </c>
      <c r="E168" s="5">
        <f>IFERROR(__xludf.DUMMYFUNCTION("""COMPUTED_VALUE"""),835.0)</f>
        <v>835</v>
      </c>
      <c r="F168" s="5">
        <f>IFERROR(__xludf.DUMMYFUNCTION("""COMPUTED_VALUE"""),5.34504E7)</f>
        <v>53450400</v>
      </c>
      <c r="G168" s="5">
        <f t="shared" si="1"/>
        <v>35</v>
      </c>
    </row>
    <row r="169">
      <c r="A169" s="4">
        <f>IFERROR(__xludf.DUMMYFUNCTION("""COMPUTED_VALUE"""),44083.66666666667)</f>
        <v>44083.66667</v>
      </c>
      <c r="B169" s="5">
        <f>IFERROR(__xludf.DUMMYFUNCTION("""COMPUTED_VALUE"""),820.0)</f>
        <v>820</v>
      </c>
      <c r="C169" s="5">
        <f>IFERROR(__xludf.DUMMYFUNCTION("""COMPUTED_VALUE"""),820.0)</f>
        <v>820</v>
      </c>
      <c r="D169" s="5">
        <f>IFERROR(__xludf.DUMMYFUNCTION("""COMPUTED_VALUE"""),795.0)</f>
        <v>795</v>
      </c>
      <c r="E169" s="5">
        <f>IFERROR(__xludf.DUMMYFUNCTION("""COMPUTED_VALUE"""),805.0)</f>
        <v>805</v>
      </c>
      <c r="F169" s="5">
        <f>IFERROR(__xludf.DUMMYFUNCTION("""COMPUTED_VALUE"""),4.27696E7)</f>
        <v>42769600</v>
      </c>
      <c r="G169" s="5">
        <f t="shared" si="1"/>
        <v>40</v>
      </c>
    </row>
    <row r="170">
      <c r="A170" s="4">
        <f>IFERROR(__xludf.DUMMYFUNCTION("""COMPUTED_VALUE"""),44084.66666666667)</f>
        <v>44084.66667</v>
      </c>
      <c r="B170" s="5">
        <f>IFERROR(__xludf.DUMMYFUNCTION("""COMPUTED_VALUE"""),800.0)</f>
        <v>800</v>
      </c>
      <c r="C170" s="5">
        <f>IFERROR(__xludf.DUMMYFUNCTION("""COMPUTED_VALUE"""),800.0)</f>
        <v>800</v>
      </c>
      <c r="D170" s="5">
        <f>IFERROR(__xludf.DUMMYFUNCTION("""COMPUTED_VALUE"""),750.0)</f>
        <v>750</v>
      </c>
      <c r="E170" s="5">
        <f>IFERROR(__xludf.DUMMYFUNCTION("""COMPUTED_VALUE"""),750.0)</f>
        <v>750</v>
      </c>
      <c r="F170" s="5">
        <f>IFERROR(__xludf.DUMMYFUNCTION("""COMPUTED_VALUE"""),3.28934E7)</f>
        <v>32893400</v>
      </c>
      <c r="G170" s="5">
        <f t="shared" si="1"/>
        <v>55</v>
      </c>
    </row>
    <row r="171">
      <c r="A171" s="4">
        <f>IFERROR(__xludf.DUMMYFUNCTION("""COMPUTED_VALUE"""),44085.66666666667)</f>
        <v>44085.66667</v>
      </c>
      <c r="B171" s="5">
        <f>IFERROR(__xludf.DUMMYFUNCTION("""COMPUTED_VALUE"""),700.0)</f>
        <v>700</v>
      </c>
      <c r="C171" s="5">
        <f>IFERROR(__xludf.DUMMYFUNCTION("""COMPUTED_VALUE"""),790.0)</f>
        <v>790</v>
      </c>
      <c r="D171" s="5">
        <f>IFERROR(__xludf.DUMMYFUNCTION("""COMPUTED_VALUE"""),700.0)</f>
        <v>700</v>
      </c>
      <c r="E171" s="5">
        <f>IFERROR(__xludf.DUMMYFUNCTION("""COMPUTED_VALUE"""),775.0)</f>
        <v>775</v>
      </c>
      <c r="F171" s="5">
        <f>IFERROR(__xludf.DUMMYFUNCTION("""COMPUTED_VALUE"""),4.5792E7)</f>
        <v>45792000</v>
      </c>
      <c r="G171" s="5">
        <f t="shared" si="1"/>
        <v>90</v>
      </c>
    </row>
    <row r="172">
      <c r="A172" s="4">
        <f>IFERROR(__xludf.DUMMYFUNCTION("""COMPUTED_VALUE"""),44088.66666666667)</f>
        <v>44088.66667</v>
      </c>
      <c r="B172" s="5">
        <f>IFERROR(__xludf.DUMMYFUNCTION("""COMPUTED_VALUE"""),790.0)</f>
        <v>790</v>
      </c>
      <c r="C172" s="5">
        <f>IFERROR(__xludf.DUMMYFUNCTION("""COMPUTED_VALUE"""),810.0)</f>
        <v>810</v>
      </c>
      <c r="D172" s="5">
        <f>IFERROR(__xludf.DUMMYFUNCTION("""COMPUTED_VALUE"""),780.0)</f>
        <v>780</v>
      </c>
      <c r="E172" s="5">
        <f>IFERROR(__xludf.DUMMYFUNCTION("""COMPUTED_VALUE"""),805.0)</f>
        <v>805</v>
      </c>
      <c r="F172" s="5">
        <f>IFERROR(__xludf.DUMMYFUNCTION("""COMPUTED_VALUE"""),2.12473E7)</f>
        <v>21247300</v>
      </c>
      <c r="G172" s="5">
        <f t="shared" si="1"/>
        <v>35</v>
      </c>
    </row>
    <row r="173">
      <c r="A173" s="4">
        <f>IFERROR(__xludf.DUMMYFUNCTION("""COMPUTED_VALUE"""),44089.66666666667)</f>
        <v>44089.66667</v>
      </c>
      <c r="B173" s="5">
        <f>IFERROR(__xludf.DUMMYFUNCTION("""COMPUTED_VALUE"""),810.0)</f>
        <v>810</v>
      </c>
      <c r="C173" s="5">
        <f>IFERROR(__xludf.DUMMYFUNCTION("""COMPUTED_VALUE"""),820.0)</f>
        <v>820</v>
      </c>
      <c r="D173" s="5">
        <f>IFERROR(__xludf.DUMMYFUNCTION("""COMPUTED_VALUE"""),790.0)</f>
        <v>790</v>
      </c>
      <c r="E173" s="5">
        <f>IFERROR(__xludf.DUMMYFUNCTION("""COMPUTED_VALUE"""),795.0)</f>
        <v>795</v>
      </c>
      <c r="F173" s="5">
        <f>IFERROR(__xludf.DUMMYFUNCTION("""COMPUTED_VALUE"""),1.56365E7)</f>
        <v>15636500</v>
      </c>
      <c r="G173" s="5">
        <f t="shared" si="1"/>
        <v>30</v>
      </c>
    </row>
    <row r="174">
      <c r="A174" s="4">
        <f>IFERROR(__xludf.DUMMYFUNCTION("""COMPUTED_VALUE"""),44090.66666666667)</f>
        <v>44090.66667</v>
      </c>
      <c r="B174" s="5">
        <f>IFERROR(__xludf.DUMMYFUNCTION("""COMPUTED_VALUE"""),795.0)</f>
        <v>795</v>
      </c>
      <c r="C174" s="5">
        <f>IFERROR(__xludf.DUMMYFUNCTION("""COMPUTED_VALUE"""),810.0)</f>
        <v>810</v>
      </c>
      <c r="D174" s="5">
        <f>IFERROR(__xludf.DUMMYFUNCTION("""COMPUTED_VALUE"""),790.0)</f>
        <v>790</v>
      </c>
      <c r="E174" s="5">
        <f>IFERROR(__xludf.DUMMYFUNCTION("""COMPUTED_VALUE"""),795.0)</f>
        <v>795</v>
      </c>
      <c r="F174" s="5">
        <f>IFERROR(__xludf.DUMMYFUNCTION("""COMPUTED_VALUE"""),8971200.0)</f>
        <v>8971200</v>
      </c>
      <c r="G174" s="5">
        <f t="shared" si="1"/>
        <v>20</v>
      </c>
    </row>
    <row r="175">
      <c r="A175" s="4">
        <f>IFERROR(__xludf.DUMMYFUNCTION("""COMPUTED_VALUE"""),44091.66666666667)</f>
        <v>44091.66667</v>
      </c>
      <c r="B175" s="5">
        <f>IFERROR(__xludf.DUMMYFUNCTION("""COMPUTED_VALUE"""),795.0)</f>
        <v>795</v>
      </c>
      <c r="C175" s="5">
        <f>IFERROR(__xludf.DUMMYFUNCTION("""COMPUTED_VALUE"""),795.0)</f>
        <v>795</v>
      </c>
      <c r="D175" s="5">
        <f>IFERROR(__xludf.DUMMYFUNCTION("""COMPUTED_VALUE"""),770.0)</f>
        <v>770</v>
      </c>
      <c r="E175" s="5">
        <f>IFERROR(__xludf.DUMMYFUNCTION("""COMPUTED_VALUE"""),775.0)</f>
        <v>775</v>
      </c>
      <c r="F175" s="5">
        <f>IFERROR(__xludf.DUMMYFUNCTION("""COMPUTED_VALUE"""),1.05593E7)</f>
        <v>10559300</v>
      </c>
      <c r="G175" s="5">
        <f t="shared" si="1"/>
        <v>25</v>
      </c>
    </row>
    <row r="176">
      <c r="A176" s="4">
        <f>IFERROR(__xludf.DUMMYFUNCTION("""COMPUTED_VALUE"""),44092.66666666667)</f>
        <v>44092.66667</v>
      </c>
      <c r="B176" s="5">
        <f>IFERROR(__xludf.DUMMYFUNCTION("""COMPUTED_VALUE"""),775.0)</f>
        <v>775</v>
      </c>
      <c r="C176" s="5">
        <f>IFERROR(__xludf.DUMMYFUNCTION("""COMPUTED_VALUE"""),790.0)</f>
        <v>790</v>
      </c>
      <c r="D176" s="5">
        <f>IFERROR(__xludf.DUMMYFUNCTION("""COMPUTED_VALUE"""),775.0)</f>
        <v>775</v>
      </c>
      <c r="E176" s="5">
        <f>IFERROR(__xludf.DUMMYFUNCTION("""COMPUTED_VALUE"""),775.0)</f>
        <v>775</v>
      </c>
      <c r="F176" s="5">
        <f>IFERROR(__xludf.DUMMYFUNCTION("""COMPUTED_VALUE"""),8190100.0)</f>
        <v>8190100</v>
      </c>
      <c r="G176" s="5">
        <f t="shared" si="1"/>
        <v>15</v>
      </c>
    </row>
    <row r="177">
      <c r="A177" s="4">
        <f>IFERROR(__xludf.DUMMYFUNCTION("""COMPUTED_VALUE"""),44095.66666666667)</f>
        <v>44095.66667</v>
      </c>
      <c r="B177" s="5">
        <f>IFERROR(__xludf.DUMMYFUNCTION("""COMPUTED_VALUE"""),775.0)</f>
        <v>775</v>
      </c>
      <c r="C177" s="5">
        <f>IFERROR(__xludf.DUMMYFUNCTION("""COMPUTED_VALUE"""),780.0)</f>
        <v>780</v>
      </c>
      <c r="D177" s="5">
        <f>IFERROR(__xludf.DUMMYFUNCTION("""COMPUTED_VALUE"""),745.0)</f>
        <v>745</v>
      </c>
      <c r="E177" s="5">
        <f>IFERROR(__xludf.DUMMYFUNCTION("""COMPUTED_VALUE"""),745.0)</f>
        <v>745</v>
      </c>
      <c r="F177" s="5">
        <f>IFERROR(__xludf.DUMMYFUNCTION("""COMPUTED_VALUE"""),1.86871E7)</f>
        <v>18687100</v>
      </c>
      <c r="G177" s="5">
        <f t="shared" si="1"/>
        <v>35</v>
      </c>
    </row>
    <row r="178">
      <c r="A178" s="4">
        <f>IFERROR(__xludf.DUMMYFUNCTION("""COMPUTED_VALUE"""),44096.66666666667)</f>
        <v>44096.66667</v>
      </c>
      <c r="B178" s="5">
        <f>IFERROR(__xludf.DUMMYFUNCTION("""COMPUTED_VALUE"""),745.0)</f>
        <v>745</v>
      </c>
      <c r="C178" s="5">
        <f>IFERROR(__xludf.DUMMYFUNCTION("""COMPUTED_VALUE"""),745.0)</f>
        <v>745</v>
      </c>
      <c r="D178" s="5">
        <f>IFERROR(__xludf.DUMMYFUNCTION("""COMPUTED_VALUE"""),715.0)</f>
        <v>715</v>
      </c>
      <c r="E178" s="5">
        <f>IFERROR(__xludf.DUMMYFUNCTION("""COMPUTED_VALUE"""),725.0)</f>
        <v>725</v>
      </c>
      <c r="F178" s="5">
        <f>IFERROR(__xludf.DUMMYFUNCTION("""COMPUTED_VALUE"""),1.1863E7)</f>
        <v>11863000</v>
      </c>
      <c r="G178" s="5">
        <f t="shared" si="1"/>
        <v>30</v>
      </c>
    </row>
    <row r="179">
      <c r="A179" s="4">
        <f>IFERROR(__xludf.DUMMYFUNCTION("""COMPUTED_VALUE"""),44097.66666666667)</f>
        <v>44097.66667</v>
      </c>
      <c r="B179" s="5">
        <f>IFERROR(__xludf.DUMMYFUNCTION("""COMPUTED_VALUE"""),735.0)</f>
        <v>735</v>
      </c>
      <c r="C179" s="5">
        <f>IFERROR(__xludf.DUMMYFUNCTION("""COMPUTED_VALUE"""),755.0)</f>
        <v>755</v>
      </c>
      <c r="D179" s="5">
        <f>IFERROR(__xludf.DUMMYFUNCTION("""COMPUTED_VALUE"""),710.0)</f>
        <v>710</v>
      </c>
      <c r="E179" s="5">
        <f>IFERROR(__xludf.DUMMYFUNCTION("""COMPUTED_VALUE"""),730.0)</f>
        <v>730</v>
      </c>
      <c r="F179" s="5">
        <f>IFERROR(__xludf.DUMMYFUNCTION("""COMPUTED_VALUE"""),2.20585E7)</f>
        <v>22058500</v>
      </c>
      <c r="G179" s="5">
        <f t="shared" si="1"/>
        <v>45</v>
      </c>
    </row>
    <row r="180">
      <c r="A180" s="4">
        <f>IFERROR(__xludf.DUMMYFUNCTION("""COMPUTED_VALUE"""),44098.66666666667)</f>
        <v>44098.66667</v>
      </c>
      <c r="B180" s="5">
        <f>IFERROR(__xludf.DUMMYFUNCTION("""COMPUTED_VALUE"""),715.0)</f>
        <v>715</v>
      </c>
      <c r="C180" s="5">
        <f>IFERROR(__xludf.DUMMYFUNCTION("""COMPUTED_VALUE"""),715.0)</f>
        <v>715</v>
      </c>
      <c r="D180" s="5">
        <f>IFERROR(__xludf.DUMMYFUNCTION("""COMPUTED_VALUE"""),680.0)</f>
        <v>680</v>
      </c>
      <c r="E180" s="5">
        <f>IFERROR(__xludf.DUMMYFUNCTION("""COMPUTED_VALUE"""),680.0)</f>
        <v>680</v>
      </c>
      <c r="F180" s="5">
        <f>IFERROR(__xludf.DUMMYFUNCTION("""COMPUTED_VALUE"""),3.06439E7)</f>
        <v>30643900</v>
      </c>
      <c r="G180" s="5">
        <f t="shared" si="1"/>
        <v>50</v>
      </c>
    </row>
    <row r="181">
      <c r="A181" s="4">
        <f>IFERROR(__xludf.DUMMYFUNCTION("""COMPUTED_VALUE"""),44099.66666666667)</f>
        <v>44099.66667</v>
      </c>
      <c r="B181" s="5">
        <f>IFERROR(__xludf.DUMMYFUNCTION("""COMPUTED_VALUE"""),680.0)</f>
        <v>680</v>
      </c>
      <c r="C181" s="5">
        <f>IFERROR(__xludf.DUMMYFUNCTION("""COMPUTED_VALUE"""),695.0)</f>
        <v>695</v>
      </c>
      <c r="D181" s="5">
        <f>IFERROR(__xludf.DUMMYFUNCTION("""COMPUTED_VALUE"""),655.0)</f>
        <v>655</v>
      </c>
      <c r="E181" s="5">
        <f>IFERROR(__xludf.DUMMYFUNCTION("""COMPUTED_VALUE"""),675.0)</f>
        <v>675</v>
      </c>
      <c r="F181" s="5">
        <f>IFERROR(__xludf.DUMMYFUNCTION("""COMPUTED_VALUE"""),4.45021E7)</f>
        <v>44502100</v>
      </c>
      <c r="G181" s="5">
        <f t="shared" si="1"/>
        <v>40</v>
      </c>
    </row>
    <row r="182">
      <c r="A182" s="4">
        <f>IFERROR(__xludf.DUMMYFUNCTION("""COMPUTED_VALUE"""),44102.66666666667)</f>
        <v>44102.66667</v>
      </c>
      <c r="B182" s="5">
        <f>IFERROR(__xludf.DUMMYFUNCTION("""COMPUTED_VALUE"""),685.0)</f>
        <v>685</v>
      </c>
      <c r="C182" s="5">
        <f>IFERROR(__xludf.DUMMYFUNCTION("""COMPUTED_VALUE"""),690.0)</f>
        <v>690</v>
      </c>
      <c r="D182" s="5">
        <f>IFERROR(__xludf.DUMMYFUNCTION("""COMPUTED_VALUE"""),665.0)</f>
        <v>665</v>
      </c>
      <c r="E182" s="5">
        <f>IFERROR(__xludf.DUMMYFUNCTION("""COMPUTED_VALUE"""),675.0)</f>
        <v>675</v>
      </c>
      <c r="F182" s="5">
        <f>IFERROR(__xludf.DUMMYFUNCTION("""COMPUTED_VALUE"""),1.9846E7)</f>
        <v>19846000</v>
      </c>
      <c r="G182" s="5">
        <f t="shared" si="1"/>
        <v>25</v>
      </c>
    </row>
    <row r="183">
      <c r="A183" s="4">
        <f>IFERROR(__xludf.DUMMYFUNCTION("""COMPUTED_VALUE"""),44103.66666666667)</f>
        <v>44103.66667</v>
      </c>
      <c r="B183" s="5">
        <f>IFERROR(__xludf.DUMMYFUNCTION("""COMPUTED_VALUE"""),685.0)</f>
        <v>685</v>
      </c>
      <c r="C183" s="5">
        <f>IFERROR(__xludf.DUMMYFUNCTION("""COMPUTED_VALUE"""),700.0)</f>
        <v>700</v>
      </c>
      <c r="D183" s="5">
        <f>IFERROR(__xludf.DUMMYFUNCTION("""COMPUTED_VALUE"""),670.0)</f>
        <v>670</v>
      </c>
      <c r="E183" s="5">
        <f>IFERROR(__xludf.DUMMYFUNCTION("""COMPUTED_VALUE"""),675.0)</f>
        <v>675</v>
      </c>
      <c r="F183" s="5">
        <f>IFERROR(__xludf.DUMMYFUNCTION("""COMPUTED_VALUE"""),2.85303E7)</f>
        <v>28530300</v>
      </c>
      <c r="G183" s="5">
        <f t="shared" si="1"/>
        <v>30</v>
      </c>
    </row>
    <row r="184">
      <c r="A184" s="4">
        <f>IFERROR(__xludf.DUMMYFUNCTION("""COMPUTED_VALUE"""),44104.66666666667)</f>
        <v>44104.66667</v>
      </c>
      <c r="B184" s="5">
        <f>IFERROR(__xludf.DUMMYFUNCTION("""COMPUTED_VALUE"""),680.0)</f>
        <v>680</v>
      </c>
      <c r="C184" s="5">
        <f>IFERROR(__xludf.DUMMYFUNCTION("""COMPUTED_VALUE"""),695.0)</f>
        <v>695</v>
      </c>
      <c r="D184" s="5">
        <f>IFERROR(__xludf.DUMMYFUNCTION("""COMPUTED_VALUE"""),670.0)</f>
        <v>670</v>
      </c>
      <c r="E184" s="5">
        <f>IFERROR(__xludf.DUMMYFUNCTION("""COMPUTED_VALUE"""),675.0)</f>
        <v>675</v>
      </c>
      <c r="F184" s="5">
        <f>IFERROR(__xludf.DUMMYFUNCTION("""COMPUTED_VALUE"""),1.65452E7)</f>
        <v>16545200</v>
      </c>
      <c r="G184" s="5">
        <f t="shared" si="1"/>
        <v>25</v>
      </c>
    </row>
    <row r="185">
      <c r="A185" s="4">
        <f>IFERROR(__xludf.DUMMYFUNCTION("""COMPUTED_VALUE"""),44105.66666666667)</f>
        <v>44105.66667</v>
      </c>
      <c r="B185" s="5">
        <f>IFERROR(__xludf.DUMMYFUNCTION("""COMPUTED_VALUE"""),685.0)</f>
        <v>685</v>
      </c>
      <c r="C185" s="5">
        <f>IFERROR(__xludf.DUMMYFUNCTION("""COMPUTED_VALUE"""),705.0)</f>
        <v>705</v>
      </c>
      <c r="D185" s="5">
        <f>IFERROR(__xludf.DUMMYFUNCTION("""COMPUTED_VALUE"""),680.0)</f>
        <v>680</v>
      </c>
      <c r="E185" s="5">
        <f>IFERROR(__xludf.DUMMYFUNCTION("""COMPUTED_VALUE"""),700.0)</f>
        <v>700</v>
      </c>
      <c r="F185" s="5">
        <f>IFERROR(__xludf.DUMMYFUNCTION("""COMPUTED_VALUE"""),3.73991E7)</f>
        <v>37399100</v>
      </c>
      <c r="G185" s="5">
        <f t="shared" si="1"/>
        <v>30</v>
      </c>
    </row>
    <row r="186">
      <c r="A186" s="4">
        <f>IFERROR(__xludf.DUMMYFUNCTION("""COMPUTED_VALUE"""),44106.66666666667)</f>
        <v>44106.66667</v>
      </c>
      <c r="B186" s="5">
        <f>IFERROR(__xludf.DUMMYFUNCTION("""COMPUTED_VALUE"""),700.0)</f>
        <v>700</v>
      </c>
      <c r="C186" s="5">
        <f>IFERROR(__xludf.DUMMYFUNCTION("""COMPUTED_VALUE"""),700.0)</f>
        <v>700</v>
      </c>
      <c r="D186" s="5">
        <f>IFERROR(__xludf.DUMMYFUNCTION("""COMPUTED_VALUE"""),670.0)</f>
        <v>670</v>
      </c>
      <c r="E186" s="5">
        <f>IFERROR(__xludf.DUMMYFUNCTION("""COMPUTED_VALUE"""),675.0)</f>
        <v>675</v>
      </c>
      <c r="F186" s="5">
        <f>IFERROR(__xludf.DUMMYFUNCTION("""COMPUTED_VALUE"""),1.83921E7)</f>
        <v>18392100</v>
      </c>
      <c r="G186" s="5">
        <f t="shared" si="1"/>
        <v>30</v>
      </c>
    </row>
    <row r="187">
      <c r="A187" s="4">
        <f>IFERROR(__xludf.DUMMYFUNCTION("""COMPUTED_VALUE"""),44109.66666666667)</f>
        <v>44109.66667</v>
      </c>
      <c r="B187" s="5">
        <f>IFERROR(__xludf.DUMMYFUNCTION("""COMPUTED_VALUE"""),695.0)</f>
        <v>695</v>
      </c>
      <c r="C187" s="5">
        <f>IFERROR(__xludf.DUMMYFUNCTION("""COMPUTED_VALUE"""),700.0)</f>
        <v>700</v>
      </c>
      <c r="D187" s="5">
        <f>IFERROR(__xludf.DUMMYFUNCTION("""COMPUTED_VALUE"""),680.0)</f>
        <v>680</v>
      </c>
      <c r="E187" s="5">
        <f>IFERROR(__xludf.DUMMYFUNCTION("""COMPUTED_VALUE"""),680.0)</f>
        <v>680</v>
      </c>
      <c r="F187" s="5">
        <f>IFERROR(__xludf.DUMMYFUNCTION("""COMPUTED_VALUE"""),9839200.0)</f>
        <v>9839200</v>
      </c>
      <c r="G187" s="5">
        <f t="shared" si="1"/>
        <v>25</v>
      </c>
    </row>
    <row r="188">
      <c r="A188" s="4">
        <f>IFERROR(__xludf.DUMMYFUNCTION("""COMPUTED_VALUE"""),44110.66666666667)</f>
        <v>44110.66667</v>
      </c>
      <c r="B188" s="5">
        <f>IFERROR(__xludf.DUMMYFUNCTION("""COMPUTED_VALUE"""),690.0)</f>
        <v>690</v>
      </c>
      <c r="C188" s="5">
        <f>IFERROR(__xludf.DUMMYFUNCTION("""COMPUTED_VALUE"""),715.0)</f>
        <v>715</v>
      </c>
      <c r="D188" s="5">
        <f>IFERROR(__xludf.DUMMYFUNCTION("""COMPUTED_VALUE"""),690.0)</f>
        <v>690</v>
      </c>
      <c r="E188" s="5">
        <f>IFERROR(__xludf.DUMMYFUNCTION("""COMPUTED_VALUE"""),705.0)</f>
        <v>705</v>
      </c>
      <c r="F188" s="5">
        <f>IFERROR(__xludf.DUMMYFUNCTION("""COMPUTED_VALUE"""),2.45892E7)</f>
        <v>24589200</v>
      </c>
      <c r="G188" s="5">
        <f t="shared" si="1"/>
        <v>35</v>
      </c>
    </row>
    <row r="189">
      <c r="A189" s="4">
        <f>IFERROR(__xludf.DUMMYFUNCTION("""COMPUTED_VALUE"""),44111.66666666667)</f>
        <v>44111.66667</v>
      </c>
      <c r="B189" s="5">
        <f>IFERROR(__xludf.DUMMYFUNCTION("""COMPUTED_VALUE"""),705.0)</f>
        <v>705</v>
      </c>
      <c r="C189" s="5">
        <f>IFERROR(__xludf.DUMMYFUNCTION("""COMPUTED_VALUE"""),705.0)</f>
        <v>705</v>
      </c>
      <c r="D189" s="5">
        <f>IFERROR(__xludf.DUMMYFUNCTION("""COMPUTED_VALUE"""),690.0)</f>
        <v>690</v>
      </c>
      <c r="E189" s="5">
        <f>IFERROR(__xludf.DUMMYFUNCTION("""COMPUTED_VALUE"""),700.0)</f>
        <v>700</v>
      </c>
      <c r="F189" s="5">
        <f>IFERROR(__xludf.DUMMYFUNCTION("""COMPUTED_VALUE"""),1.24808E7)</f>
        <v>12480800</v>
      </c>
      <c r="G189" s="5">
        <f t="shared" si="1"/>
        <v>15</v>
      </c>
    </row>
    <row r="190">
      <c r="A190" s="4">
        <f>IFERROR(__xludf.DUMMYFUNCTION("""COMPUTED_VALUE"""),44112.66666666667)</f>
        <v>44112.66667</v>
      </c>
      <c r="B190" s="5">
        <f>IFERROR(__xludf.DUMMYFUNCTION("""COMPUTED_VALUE"""),710.0)</f>
        <v>710</v>
      </c>
      <c r="C190" s="5">
        <f>IFERROR(__xludf.DUMMYFUNCTION("""COMPUTED_VALUE"""),710.0)</f>
        <v>710</v>
      </c>
      <c r="D190" s="5">
        <f>IFERROR(__xludf.DUMMYFUNCTION("""COMPUTED_VALUE"""),695.0)</f>
        <v>695</v>
      </c>
      <c r="E190" s="5">
        <f>IFERROR(__xludf.DUMMYFUNCTION("""COMPUTED_VALUE"""),710.0)</f>
        <v>710</v>
      </c>
      <c r="F190" s="5">
        <f>IFERROR(__xludf.DUMMYFUNCTION("""COMPUTED_VALUE"""),1.12432E7)</f>
        <v>11243200</v>
      </c>
      <c r="G190" s="5">
        <f t="shared" si="1"/>
        <v>15</v>
      </c>
    </row>
    <row r="191">
      <c r="A191" s="4">
        <f>IFERROR(__xludf.DUMMYFUNCTION("""COMPUTED_VALUE"""),44113.66666666667)</f>
        <v>44113.66667</v>
      </c>
      <c r="B191" s="5">
        <f>IFERROR(__xludf.DUMMYFUNCTION("""COMPUTED_VALUE"""),720.0)</f>
        <v>720</v>
      </c>
      <c r="C191" s="5">
        <f>IFERROR(__xludf.DUMMYFUNCTION("""COMPUTED_VALUE"""),740.0)</f>
        <v>740</v>
      </c>
      <c r="D191" s="5">
        <f>IFERROR(__xludf.DUMMYFUNCTION("""COMPUTED_VALUE"""),710.0)</f>
        <v>710</v>
      </c>
      <c r="E191" s="5">
        <f>IFERROR(__xludf.DUMMYFUNCTION("""COMPUTED_VALUE"""),735.0)</f>
        <v>735</v>
      </c>
      <c r="F191" s="5">
        <f>IFERROR(__xludf.DUMMYFUNCTION("""COMPUTED_VALUE"""),2.83138E7)</f>
        <v>28313800</v>
      </c>
      <c r="G191" s="5">
        <f t="shared" si="1"/>
        <v>30</v>
      </c>
    </row>
    <row r="192">
      <c r="A192" s="4">
        <f>IFERROR(__xludf.DUMMYFUNCTION("""COMPUTED_VALUE"""),44116.66666666667)</f>
        <v>44116.66667</v>
      </c>
      <c r="B192" s="5">
        <f>IFERROR(__xludf.DUMMYFUNCTION("""COMPUTED_VALUE"""),750.0)</f>
        <v>750</v>
      </c>
      <c r="C192" s="5">
        <f>IFERROR(__xludf.DUMMYFUNCTION("""COMPUTED_VALUE"""),755.0)</f>
        <v>755</v>
      </c>
      <c r="D192" s="5">
        <f>IFERROR(__xludf.DUMMYFUNCTION("""COMPUTED_VALUE"""),735.0)</f>
        <v>735</v>
      </c>
      <c r="E192" s="5">
        <f>IFERROR(__xludf.DUMMYFUNCTION("""COMPUTED_VALUE"""),745.0)</f>
        <v>745</v>
      </c>
      <c r="F192" s="5">
        <f>IFERROR(__xludf.DUMMYFUNCTION("""COMPUTED_VALUE"""),1.81363E7)</f>
        <v>18136300</v>
      </c>
      <c r="G192" s="5">
        <f t="shared" si="1"/>
        <v>20</v>
      </c>
    </row>
    <row r="193">
      <c r="A193" s="4">
        <f>IFERROR(__xludf.DUMMYFUNCTION("""COMPUTED_VALUE"""),44117.66666666667)</f>
        <v>44117.66667</v>
      </c>
      <c r="B193" s="5">
        <f>IFERROR(__xludf.DUMMYFUNCTION("""COMPUTED_VALUE"""),745.0)</f>
        <v>745</v>
      </c>
      <c r="C193" s="5">
        <f>IFERROR(__xludf.DUMMYFUNCTION("""COMPUTED_VALUE"""),745.0)</f>
        <v>745</v>
      </c>
      <c r="D193" s="5">
        <f>IFERROR(__xludf.DUMMYFUNCTION("""COMPUTED_VALUE"""),725.0)</f>
        <v>725</v>
      </c>
      <c r="E193" s="5">
        <f>IFERROR(__xludf.DUMMYFUNCTION("""COMPUTED_VALUE"""),735.0)</f>
        <v>735</v>
      </c>
      <c r="F193" s="5">
        <f>IFERROR(__xludf.DUMMYFUNCTION("""COMPUTED_VALUE"""),1.34677E7)</f>
        <v>13467700</v>
      </c>
      <c r="G193" s="5">
        <f t="shared" si="1"/>
        <v>20</v>
      </c>
    </row>
    <row r="194">
      <c r="A194" s="4">
        <f>IFERROR(__xludf.DUMMYFUNCTION("""COMPUTED_VALUE"""),44118.66666666667)</f>
        <v>44118.66667</v>
      </c>
      <c r="B194" s="5">
        <f>IFERROR(__xludf.DUMMYFUNCTION("""COMPUTED_VALUE"""),740.0)</f>
        <v>740</v>
      </c>
      <c r="C194" s="5">
        <f>IFERROR(__xludf.DUMMYFUNCTION("""COMPUTED_VALUE"""),905.0)</f>
        <v>905</v>
      </c>
      <c r="D194" s="5">
        <f>IFERROR(__xludf.DUMMYFUNCTION("""COMPUTED_VALUE"""),735.0)</f>
        <v>735</v>
      </c>
      <c r="E194" s="5">
        <f>IFERROR(__xludf.DUMMYFUNCTION("""COMPUTED_VALUE"""),890.0)</f>
        <v>890</v>
      </c>
      <c r="F194" s="5">
        <f>IFERROR(__xludf.DUMMYFUNCTION("""COMPUTED_VALUE"""),4.154021E8)</f>
        <v>415402100</v>
      </c>
      <c r="G194" s="5">
        <f t="shared" si="1"/>
        <v>170</v>
      </c>
    </row>
    <row r="195">
      <c r="A195" s="4">
        <f>IFERROR(__xludf.DUMMYFUNCTION("""COMPUTED_VALUE"""),44119.66666666667)</f>
        <v>44119.66667</v>
      </c>
      <c r="B195" s="5">
        <f>IFERROR(__xludf.DUMMYFUNCTION("""COMPUTED_VALUE"""),940.0)</f>
        <v>940</v>
      </c>
      <c r="C195" s="5">
        <f>IFERROR(__xludf.DUMMYFUNCTION("""COMPUTED_VALUE"""),940.0)</f>
        <v>940</v>
      </c>
      <c r="D195" s="5">
        <f>IFERROR(__xludf.DUMMYFUNCTION("""COMPUTED_VALUE"""),830.0)</f>
        <v>830</v>
      </c>
      <c r="E195" s="5">
        <f>IFERROR(__xludf.DUMMYFUNCTION("""COMPUTED_VALUE"""),830.0)</f>
        <v>830</v>
      </c>
      <c r="F195" s="5">
        <f>IFERROR(__xludf.DUMMYFUNCTION("""COMPUTED_VALUE"""),2.01893E8)</f>
        <v>201893000</v>
      </c>
      <c r="G195" s="5">
        <f t="shared" si="1"/>
        <v>110</v>
      </c>
    </row>
    <row r="196">
      <c r="A196" s="4">
        <f>IFERROR(__xludf.DUMMYFUNCTION("""COMPUTED_VALUE"""),44120.66666666667)</f>
        <v>44120.66667</v>
      </c>
      <c r="B196" s="5">
        <f>IFERROR(__xludf.DUMMYFUNCTION("""COMPUTED_VALUE"""),835.0)</f>
        <v>835</v>
      </c>
      <c r="C196" s="5">
        <f>IFERROR(__xludf.DUMMYFUNCTION("""COMPUTED_VALUE"""),850.0)</f>
        <v>850</v>
      </c>
      <c r="D196" s="5">
        <f>IFERROR(__xludf.DUMMYFUNCTION("""COMPUTED_VALUE"""),790.0)</f>
        <v>790</v>
      </c>
      <c r="E196" s="5">
        <f>IFERROR(__xludf.DUMMYFUNCTION("""COMPUTED_VALUE"""),805.0)</f>
        <v>805</v>
      </c>
      <c r="F196" s="5">
        <f>IFERROR(__xludf.DUMMYFUNCTION("""COMPUTED_VALUE"""),6.5135E7)</f>
        <v>65135000</v>
      </c>
      <c r="G196" s="5">
        <f t="shared" si="1"/>
        <v>60</v>
      </c>
    </row>
    <row r="197">
      <c r="A197" s="4">
        <f>IFERROR(__xludf.DUMMYFUNCTION("""COMPUTED_VALUE"""),44123.66666666667)</f>
        <v>44123.66667</v>
      </c>
      <c r="B197" s="5">
        <f>IFERROR(__xludf.DUMMYFUNCTION("""COMPUTED_VALUE"""),820.0)</f>
        <v>820</v>
      </c>
      <c r="C197" s="5">
        <f>IFERROR(__xludf.DUMMYFUNCTION("""COMPUTED_VALUE"""),860.0)</f>
        <v>860</v>
      </c>
      <c r="D197" s="5">
        <f>IFERROR(__xludf.DUMMYFUNCTION("""COMPUTED_VALUE"""),810.0)</f>
        <v>810</v>
      </c>
      <c r="E197" s="5">
        <f>IFERROR(__xludf.DUMMYFUNCTION("""COMPUTED_VALUE"""),860.0)</f>
        <v>860</v>
      </c>
      <c r="F197" s="5">
        <f>IFERROR(__xludf.DUMMYFUNCTION("""COMPUTED_VALUE"""),1.007442E8)</f>
        <v>100744200</v>
      </c>
      <c r="G197" s="5">
        <f t="shared" si="1"/>
        <v>55</v>
      </c>
    </row>
    <row r="198">
      <c r="A198" s="4">
        <f>IFERROR(__xludf.DUMMYFUNCTION("""COMPUTED_VALUE"""),44124.66666666667)</f>
        <v>44124.66667</v>
      </c>
      <c r="B198" s="5">
        <f>IFERROR(__xludf.DUMMYFUNCTION("""COMPUTED_VALUE"""),860.0)</f>
        <v>860</v>
      </c>
      <c r="C198" s="5">
        <f>IFERROR(__xludf.DUMMYFUNCTION("""COMPUTED_VALUE"""),880.0)</f>
        <v>880</v>
      </c>
      <c r="D198" s="5">
        <f>IFERROR(__xludf.DUMMYFUNCTION("""COMPUTED_VALUE"""),840.0)</f>
        <v>840</v>
      </c>
      <c r="E198" s="5">
        <f>IFERROR(__xludf.DUMMYFUNCTION("""COMPUTED_VALUE"""),850.0)</f>
        <v>850</v>
      </c>
      <c r="F198" s="5">
        <f>IFERROR(__xludf.DUMMYFUNCTION("""COMPUTED_VALUE"""),6.34379E7)</f>
        <v>63437900</v>
      </c>
      <c r="G198" s="5">
        <f t="shared" si="1"/>
        <v>40</v>
      </c>
    </row>
    <row r="199">
      <c r="A199" s="4">
        <f>IFERROR(__xludf.DUMMYFUNCTION("""COMPUTED_VALUE"""),44125.66666666667)</f>
        <v>44125.66667</v>
      </c>
      <c r="B199" s="5">
        <f>IFERROR(__xludf.DUMMYFUNCTION("""COMPUTED_VALUE"""),865.0)</f>
        <v>865</v>
      </c>
      <c r="C199" s="5">
        <f>IFERROR(__xludf.DUMMYFUNCTION("""COMPUTED_VALUE"""),895.0)</f>
        <v>895</v>
      </c>
      <c r="D199" s="5">
        <f>IFERROR(__xludf.DUMMYFUNCTION("""COMPUTED_VALUE"""),860.0)</f>
        <v>860</v>
      </c>
      <c r="E199" s="5">
        <f>IFERROR(__xludf.DUMMYFUNCTION("""COMPUTED_VALUE"""),865.0)</f>
        <v>865</v>
      </c>
      <c r="F199" s="5">
        <f>IFERROR(__xludf.DUMMYFUNCTION("""COMPUTED_VALUE"""),1.311038E8)</f>
        <v>131103800</v>
      </c>
      <c r="G199" s="5">
        <f t="shared" si="1"/>
        <v>45</v>
      </c>
    </row>
    <row r="200">
      <c r="A200" s="4">
        <f>IFERROR(__xludf.DUMMYFUNCTION("""COMPUTED_VALUE"""),44126.66666666667)</f>
        <v>44126.66667</v>
      </c>
      <c r="B200" s="5">
        <f>IFERROR(__xludf.DUMMYFUNCTION("""COMPUTED_VALUE"""),865.0)</f>
        <v>865</v>
      </c>
      <c r="C200" s="5">
        <f>IFERROR(__xludf.DUMMYFUNCTION("""COMPUTED_VALUE"""),875.0)</f>
        <v>875</v>
      </c>
      <c r="D200" s="5">
        <f>IFERROR(__xludf.DUMMYFUNCTION("""COMPUTED_VALUE"""),850.0)</f>
        <v>850</v>
      </c>
      <c r="E200" s="5">
        <f>IFERROR(__xludf.DUMMYFUNCTION("""COMPUTED_VALUE"""),850.0)</f>
        <v>850</v>
      </c>
      <c r="F200" s="5">
        <f>IFERROR(__xludf.DUMMYFUNCTION("""COMPUTED_VALUE"""),3.62261E7)</f>
        <v>36226100</v>
      </c>
      <c r="G200" s="5">
        <f t="shared" si="1"/>
        <v>25</v>
      </c>
    </row>
    <row r="201">
      <c r="A201" s="4">
        <f>IFERROR(__xludf.DUMMYFUNCTION("""COMPUTED_VALUE"""),44127.66666666667)</f>
        <v>44127.66667</v>
      </c>
      <c r="B201" s="5">
        <f>IFERROR(__xludf.DUMMYFUNCTION("""COMPUTED_VALUE"""),860.0)</f>
        <v>860</v>
      </c>
      <c r="C201" s="5">
        <f>IFERROR(__xludf.DUMMYFUNCTION("""COMPUTED_VALUE"""),875.0)</f>
        <v>875</v>
      </c>
      <c r="D201" s="5">
        <f>IFERROR(__xludf.DUMMYFUNCTION("""COMPUTED_VALUE"""),845.0)</f>
        <v>845</v>
      </c>
      <c r="E201" s="5">
        <f>IFERROR(__xludf.DUMMYFUNCTION("""COMPUTED_VALUE"""),845.0)</f>
        <v>845</v>
      </c>
      <c r="F201" s="5">
        <f>IFERROR(__xludf.DUMMYFUNCTION("""COMPUTED_VALUE"""),2.33102E7)</f>
        <v>23310200</v>
      </c>
      <c r="G201" s="5">
        <f t="shared" si="1"/>
        <v>30</v>
      </c>
    </row>
    <row r="202">
      <c r="A202" s="4">
        <f>IFERROR(__xludf.DUMMYFUNCTION("""COMPUTED_VALUE"""),44130.66666666667)</f>
        <v>44130.66667</v>
      </c>
      <c r="B202" s="5">
        <f>IFERROR(__xludf.DUMMYFUNCTION("""COMPUTED_VALUE"""),845.0)</f>
        <v>845</v>
      </c>
      <c r="C202" s="5">
        <f>IFERROR(__xludf.DUMMYFUNCTION("""COMPUTED_VALUE"""),855.0)</f>
        <v>855</v>
      </c>
      <c r="D202" s="5">
        <f>IFERROR(__xludf.DUMMYFUNCTION("""COMPUTED_VALUE"""),835.0)</f>
        <v>835</v>
      </c>
      <c r="E202" s="5">
        <f>IFERROR(__xludf.DUMMYFUNCTION("""COMPUTED_VALUE"""),835.0)</f>
        <v>835</v>
      </c>
      <c r="F202" s="5">
        <f>IFERROR(__xludf.DUMMYFUNCTION("""COMPUTED_VALUE"""),1.43481E7)</f>
        <v>14348100</v>
      </c>
      <c r="G202" s="5">
        <f t="shared" si="1"/>
        <v>20</v>
      </c>
    </row>
    <row r="203">
      <c r="A203" s="4">
        <f>IFERROR(__xludf.DUMMYFUNCTION("""COMPUTED_VALUE"""),44131.66666666667)</f>
        <v>44131.66667</v>
      </c>
      <c r="B203" s="5">
        <f>IFERROR(__xludf.DUMMYFUNCTION("""COMPUTED_VALUE"""),835.0)</f>
        <v>835</v>
      </c>
      <c r="C203" s="5">
        <f>IFERROR(__xludf.DUMMYFUNCTION("""COMPUTED_VALUE"""),855.0)</f>
        <v>855</v>
      </c>
      <c r="D203" s="5">
        <f>IFERROR(__xludf.DUMMYFUNCTION("""COMPUTED_VALUE"""),820.0)</f>
        <v>820</v>
      </c>
      <c r="E203" s="5">
        <f>IFERROR(__xludf.DUMMYFUNCTION("""COMPUTED_VALUE"""),830.0)</f>
        <v>830</v>
      </c>
      <c r="F203" s="5">
        <f>IFERROR(__xludf.DUMMYFUNCTION("""COMPUTED_VALUE"""),2.21129E7)</f>
        <v>22112900</v>
      </c>
      <c r="G203" s="5">
        <f t="shared" si="1"/>
        <v>35</v>
      </c>
    </row>
    <row r="204">
      <c r="A204" s="4">
        <f>IFERROR(__xludf.DUMMYFUNCTION("""COMPUTED_VALUE"""),44137.66666666667)</f>
        <v>44137.66667</v>
      </c>
      <c r="B204" s="5">
        <f>IFERROR(__xludf.DUMMYFUNCTION("""COMPUTED_VALUE"""),830.0)</f>
        <v>830</v>
      </c>
      <c r="C204" s="5">
        <f>IFERROR(__xludf.DUMMYFUNCTION("""COMPUTED_VALUE"""),870.0)</f>
        <v>870</v>
      </c>
      <c r="D204" s="5">
        <f>IFERROR(__xludf.DUMMYFUNCTION("""COMPUTED_VALUE"""),825.0)</f>
        <v>825</v>
      </c>
      <c r="E204" s="5">
        <f>IFERROR(__xludf.DUMMYFUNCTION("""COMPUTED_VALUE"""),860.0)</f>
        <v>860</v>
      </c>
      <c r="F204" s="5">
        <f>IFERROR(__xludf.DUMMYFUNCTION("""COMPUTED_VALUE"""),4.30585E7)</f>
        <v>43058500</v>
      </c>
      <c r="G204" s="5">
        <f t="shared" si="1"/>
        <v>45</v>
      </c>
    </row>
    <row r="205">
      <c r="A205" s="4">
        <f>IFERROR(__xludf.DUMMYFUNCTION("""COMPUTED_VALUE"""),44138.66666666667)</f>
        <v>44138.66667</v>
      </c>
      <c r="B205" s="5">
        <f>IFERROR(__xludf.DUMMYFUNCTION("""COMPUTED_VALUE"""),870.0)</f>
        <v>870</v>
      </c>
      <c r="C205" s="5">
        <f>IFERROR(__xludf.DUMMYFUNCTION("""COMPUTED_VALUE"""),875.0)</f>
        <v>875</v>
      </c>
      <c r="D205" s="5">
        <f>IFERROR(__xludf.DUMMYFUNCTION("""COMPUTED_VALUE"""),855.0)</f>
        <v>855</v>
      </c>
      <c r="E205" s="5">
        <f>IFERROR(__xludf.DUMMYFUNCTION("""COMPUTED_VALUE"""),855.0)</f>
        <v>855</v>
      </c>
      <c r="F205" s="5">
        <f>IFERROR(__xludf.DUMMYFUNCTION("""COMPUTED_VALUE"""),2.56293E7)</f>
        <v>25629300</v>
      </c>
      <c r="G205" s="5">
        <f t="shared" si="1"/>
        <v>20</v>
      </c>
    </row>
    <row r="206">
      <c r="A206" s="4">
        <f>IFERROR(__xludf.DUMMYFUNCTION("""COMPUTED_VALUE"""),44139.66666666667)</f>
        <v>44139.66667</v>
      </c>
      <c r="B206" s="5">
        <f>IFERROR(__xludf.DUMMYFUNCTION("""COMPUTED_VALUE"""),865.0)</f>
        <v>865</v>
      </c>
      <c r="C206" s="5">
        <f>IFERROR(__xludf.DUMMYFUNCTION("""COMPUTED_VALUE"""),875.0)</f>
        <v>875</v>
      </c>
      <c r="D206" s="5">
        <f>IFERROR(__xludf.DUMMYFUNCTION("""COMPUTED_VALUE"""),835.0)</f>
        <v>835</v>
      </c>
      <c r="E206" s="5">
        <f>IFERROR(__xludf.DUMMYFUNCTION("""COMPUTED_VALUE"""),835.0)</f>
        <v>835</v>
      </c>
      <c r="F206" s="5">
        <f>IFERROR(__xludf.DUMMYFUNCTION("""COMPUTED_VALUE"""),3.46428E7)</f>
        <v>34642800</v>
      </c>
      <c r="G206" s="5">
        <f t="shared" si="1"/>
        <v>40</v>
      </c>
    </row>
    <row r="207">
      <c r="A207" s="4">
        <f>IFERROR(__xludf.DUMMYFUNCTION("""COMPUTED_VALUE"""),44140.66666666667)</f>
        <v>44140.66667</v>
      </c>
      <c r="B207" s="5">
        <f>IFERROR(__xludf.DUMMYFUNCTION("""COMPUTED_VALUE"""),845.0)</f>
        <v>845</v>
      </c>
      <c r="C207" s="5">
        <f>IFERROR(__xludf.DUMMYFUNCTION("""COMPUTED_VALUE"""),870.0)</f>
        <v>870</v>
      </c>
      <c r="D207" s="5">
        <f>IFERROR(__xludf.DUMMYFUNCTION("""COMPUTED_VALUE"""),845.0)</f>
        <v>845</v>
      </c>
      <c r="E207" s="5">
        <f>IFERROR(__xludf.DUMMYFUNCTION("""COMPUTED_VALUE"""),860.0)</f>
        <v>860</v>
      </c>
      <c r="F207" s="5">
        <f>IFERROR(__xludf.DUMMYFUNCTION("""COMPUTED_VALUE"""),1.83647E7)</f>
        <v>18364700</v>
      </c>
      <c r="G207" s="5">
        <f t="shared" si="1"/>
        <v>35</v>
      </c>
    </row>
    <row r="208">
      <c r="A208" s="4">
        <f>IFERROR(__xludf.DUMMYFUNCTION("""COMPUTED_VALUE"""),44141.66666666667)</f>
        <v>44141.66667</v>
      </c>
      <c r="B208" s="5">
        <f>IFERROR(__xludf.DUMMYFUNCTION("""COMPUTED_VALUE"""),870.0)</f>
        <v>870</v>
      </c>
      <c r="C208" s="5">
        <f>IFERROR(__xludf.DUMMYFUNCTION("""COMPUTED_VALUE"""),875.0)</f>
        <v>875</v>
      </c>
      <c r="D208" s="5">
        <f>IFERROR(__xludf.DUMMYFUNCTION("""COMPUTED_VALUE"""),850.0)</f>
        <v>850</v>
      </c>
      <c r="E208" s="5">
        <f>IFERROR(__xludf.DUMMYFUNCTION("""COMPUTED_VALUE"""),855.0)</f>
        <v>855</v>
      </c>
      <c r="F208" s="5">
        <f>IFERROR(__xludf.DUMMYFUNCTION("""COMPUTED_VALUE"""),1.93283E7)</f>
        <v>19328300</v>
      </c>
      <c r="G208" s="5">
        <f t="shared" si="1"/>
        <v>25</v>
      </c>
    </row>
    <row r="209">
      <c r="A209" s="4">
        <f>IFERROR(__xludf.DUMMYFUNCTION("""COMPUTED_VALUE"""),44144.66666666667)</f>
        <v>44144.66667</v>
      </c>
      <c r="B209" s="5">
        <f>IFERROR(__xludf.DUMMYFUNCTION("""COMPUTED_VALUE"""),870.0)</f>
        <v>870</v>
      </c>
      <c r="C209" s="5">
        <f>IFERROR(__xludf.DUMMYFUNCTION("""COMPUTED_VALUE"""),935.0)</f>
        <v>935</v>
      </c>
      <c r="D209" s="5">
        <f>IFERROR(__xludf.DUMMYFUNCTION("""COMPUTED_VALUE"""),865.0)</f>
        <v>865</v>
      </c>
      <c r="E209" s="5">
        <f>IFERROR(__xludf.DUMMYFUNCTION("""COMPUTED_VALUE"""),930.0)</f>
        <v>930</v>
      </c>
      <c r="F209" s="5">
        <f>IFERROR(__xludf.DUMMYFUNCTION("""COMPUTED_VALUE"""),1.867214E8)</f>
        <v>186721400</v>
      </c>
      <c r="G209" s="5">
        <f t="shared" si="1"/>
        <v>80</v>
      </c>
    </row>
    <row r="210">
      <c r="A210" s="4">
        <f>IFERROR(__xludf.DUMMYFUNCTION("""COMPUTED_VALUE"""),44145.66666666667)</f>
        <v>44145.66667</v>
      </c>
      <c r="B210" s="5">
        <f>IFERROR(__xludf.DUMMYFUNCTION("""COMPUTED_VALUE"""),940.0)</f>
        <v>940</v>
      </c>
      <c r="C210" s="5">
        <f>IFERROR(__xludf.DUMMYFUNCTION("""COMPUTED_VALUE"""),950.0)</f>
        <v>950</v>
      </c>
      <c r="D210" s="5">
        <f>IFERROR(__xludf.DUMMYFUNCTION("""COMPUTED_VALUE"""),900.0)</f>
        <v>900</v>
      </c>
      <c r="E210" s="5">
        <f>IFERROR(__xludf.DUMMYFUNCTION("""COMPUTED_VALUE"""),910.0)</f>
        <v>910</v>
      </c>
      <c r="F210" s="5">
        <f>IFERROR(__xludf.DUMMYFUNCTION("""COMPUTED_VALUE"""),7.64646E7)</f>
        <v>76464600</v>
      </c>
      <c r="G210" s="5">
        <f t="shared" si="1"/>
        <v>50</v>
      </c>
    </row>
    <row r="211">
      <c r="A211" s="4">
        <f>IFERROR(__xludf.DUMMYFUNCTION("""COMPUTED_VALUE"""),44146.66666666667)</f>
        <v>44146.66667</v>
      </c>
      <c r="B211" s="5">
        <f>IFERROR(__xludf.DUMMYFUNCTION("""COMPUTED_VALUE"""),925.0)</f>
        <v>925</v>
      </c>
      <c r="C211" s="5">
        <f>IFERROR(__xludf.DUMMYFUNCTION("""COMPUTED_VALUE"""),1120.0)</f>
        <v>1120</v>
      </c>
      <c r="D211" s="5">
        <f>IFERROR(__xludf.DUMMYFUNCTION("""COMPUTED_VALUE"""),900.0)</f>
        <v>900</v>
      </c>
      <c r="E211" s="5">
        <f>IFERROR(__xludf.DUMMYFUNCTION("""COMPUTED_VALUE"""),1050.0)</f>
        <v>1050</v>
      </c>
      <c r="F211" s="5">
        <f>IFERROR(__xludf.DUMMYFUNCTION("""COMPUTED_VALUE"""),6.296071E8)</f>
        <v>629607100</v>
      </c>
      <c r="G211" s="5">
        <f t="shared" si="1"/>
        <v>220</v>
      </c>
    </row>
    <row r="212">
      <c r="A212" s="4">
        <f>IFERROR(__xludf.DUMMYFUNCTION("""COMPUTED_VALUE"""),44147.66666666667)</f>
        <v>44147.66667</v>
      </c>
      <c r="B212" s="5">
        <f>IFERROR(__xludf.DUMMYFUNCTION("""COMPUTED_VALUE"""),1050.0)</f>
        <v>1050</v>
      </c>
      <c r="C212" s="5">
        <f>IFERROR(__xludf.DUMMYFUNCTION("""COMPUTED_VALUE"""),1060.0)</f>
        <v>1060</v>
      </c>
      <c r="D212" s="5">
        <f>IFERROR(__xludf.DUMMYFUNCTION("""COMPUTED_VALUE"""),1000.0)</f>
        <v>1000</v>
      </c>
      <c r="E212" s="5">
        <f>IFERROR(__xludf.DUMMYFUNCTION("""COMPUTED_VALUE"""),1010.0)</f>
        <v>1010</v>
      </c>
      <c r="F212" s="5">
        <f>IFERROR(__xludf.DUMMYFUNCTION("""COMPUTED_VALUE"""),1.210693E8)</f>
        <v>121069300</v>
      </c>
      <c r="G212" s="5">
        <f t="shared" si="1"/>
        <v>60</v>
      </c>
    </row>
    <row r="213">
      <c r="A213" s="4">
        <f>IFERROR(__xludf.DUMMYFUNCTION("""COMPUTED_VALUE"""),44148.66666666667)</f>
        <v>44148.66667</v>
      </c>
      <c r="B213" s="5">
        <f>IFERROR(__xludf.DUMMYFUNCTION("""COMPUTED_VALUE"""),1000.0)</f>
        <v>1000</v>
      </c>
      <c r="C213" s="5">
        <f>IFERROR(__xludf.DUMMYFUNCTION("""COMPUTED_VALUE"""),1070.0)</f>
        <v>1070</v>
      </c>
      <c r="D213" s="5">
        <f>IFERROR(__xludf.DUMMYFUNCTION("""COMPUTED_VALUE"""),995.0)</f>
        <v>995</v>
      </c>
      <c r="E213" s="5">
        <f>IFERROR(__xludf.DUMMYFUNCTION("""COMPUTED_VALUE"""),1030.0)</f>
        <v>1030</v>
      </c>
      <c r="F213" s="5">
        <f>IFERROR(__xludf.DUMMYFUNCTION("""COMPUTED_VALUE"""),1.473336E8)</f>
        <v>147333600</v>
      </c>
      <c r="G213" s="5">
        <f t="shared" si="1"/>
        <v>75</v>
      </c>
    </row>
    <row r="214">
      <c r="A214" s="4">
        <f>IFERROR(__xludf.DUMMYFUNCTION("""COMPUTED_VALUE"""),44151.66666666667)</f>
        <v>44151.66667</v>
      </c>
      <c r="B214" s="5">
        <f>IFERROR(__xludf.DUMMYFUNCTION("""COMPUTED_VALUE"""),1055.0)</f>
        <v>1055</v>
      </c>
      <c r="C214" s="5">
        <f>IFERROR(__xludf.DUMMYFUNCTION("""COMPUTED_VALUE"""),1070.0)</f>
        <v>1070</v>
      </c>
      <c r="D214" s="5">
        <f>IFERROR(__xludf.DUMMYFUNCTION("""COMPUTED_VALUE"""),1045.0)</f>
        <v>1045</v>
      </c>
      <c r="E214" s="5">
        <f>IFERROR(__xludf.DUMMYFUNCTION("""COMPUTED_VALUE"""),1055.0)</f>
        <v>1055</v>
      </c>
      <c r="F214" s="5">
        <f>IFERROR(__xludf.DUMMYFUNCTION("""COMPUTED_VALUE"""),8.00797E7)</f>
        <v>80079700</v>
      </c>
      <c r="G214" s="5">
        <f t="shared" si="1"/>
        <v>40</v>
      </c>
    </row>
    <row r="215">
      <c r="A215" s="4">
        <f>IFERROR(__xludf.DUMMYFUNCTION("""COMPUTED_VALUE"""),44152.66666666667)</f>
        <v>44152.66667</v>
      </c>
      <c r="B215" s="5">
        <f>IFERROR(__xludf.DUMMYFUNCTION("""COMPUTED_VALUE"""),1070.0)</f>
        <v>1070</v>
      </c>
      <c r="C215" s="5">
        <f>IFERROR(__xludf.DUMMYFUNCTION("""COMPUTED_VALUE"""),1110.0)</f>
        <v>1110</v>
      </c>
      <c r="D215" s="5">
        <f>IFERROR(__xludf.DUMMYFUNCTION("""COMPUTED_VALUE"""),1055.0)</f>
        <v>1055</v>
      </c>
      <c r="E215" s="5">
        <f>IFERROR(__xludf.DUMMYFUNCTION("""COMPUTED_VALUE"""),1065.0)</f>
        <v>1065</v>
      </c>
      <c r="F215" s="5">
        <f>IFERROR(__xludf.DUMMYFUNCTION("""COMPUTED_VALUE"""),1.519471E8)</f>
        <v>151947100</v>
      </c>
      <c r="G215" s="5">
        <f t="shared" si="1"/>
        <v>55</v>
      </c>
    </row>
    <row r="216">
      <c r="A216" s="4">
        <f>IFERROR(__xludf.DUMMYFUNCTION("""COMPUTED_VALUE"""),44153.66666666667)</f>
        <v>44153.66667</v>
      </c>
      <c r="B216" s="5">
        <f>IFERROR(__xludf.DUMMYFUNCTION("""COMPUTED_VALUE"""),1085.0)</f>
        <v>1085</v>
      </c>
      <c r="C216" s="5">
        <f>IFERROR(__xludf.DUMMYFUNCTION("""COMPUTED_VALUE"""),1150.0)</f>
        <v>1150</v>
      </c>
      <c r="D216" s="5">
        <f>IFERROR(__xludf.DUMMYFUNCTION("""COMPUTED_VALUE"""),1080.0)</f>
        <v>1080</v>
      </c>
      <c r="E216" s="5">
        <f>IFERROR(__xludf.DUMMYFUNCTION("""COMPUTED_VALUE"""),1140.0)</f>
        <v>1140</v>
      </c>
      <c r="F216" s="5">
        <f>IFERROR(__xludf.DUMMYFUNCTION("""COMPUTED_VALUE"""),2.518043E8)</f>
        <v>251804300</v>
      </c>
      <c r="G216" s="5">
        <f t="shared" si="1"/>
        <v>85</v>
      </c>
    </row>
    <row r="217">
      <c r="A217" s="4">
        <f>IFERROR(__xludf.DUMMYFUNCTION("""COMPUTED_VALUE"""),44154.66666666667)</f>
        <v>44154.66667</v>
      </c>
      <c r="B217" s="5">
        <f>IFERROR(__xludf.DUMMYFUNCTION("""COMPUTED_VALUE"""),1135.0)</f>
        <v>1135</v>
      </c>
      <c r="C217" s="5">
        <f>IFERROR(__xludf.DUMMYFUNCTION("""COMPUTED_VALUE"""),1145.0)</f>
        <v>1145</v>
      </c>
      <c r="D217" s="5">
        <f>IFERROR(__xludf.DUMMYFUNCTION("""COMPUTED_VALUE"""),1110.0)</f>
        <v>1110</v>
      </c>
      <c r="E217" s="5">
        <f>IFERROR(__xludf.DUMMYFUNCTION("""COMPUTED_VALUE"""),1130.0)</f>
        <v>1130</v>
      </c>
      <c r="F217" s="5">
        <f>IFERROR(__xludf.DUMMYFUNCTION("""COMPUTED_VALUE"""),9.93992E7)</f>
        <v>99399200</v>
      </c>
      <c r="G217" s="5">
        <f t="shared" si="1"/>
        <v>35</v>
      </c>
    </row>
    <row r="218">
      <c r="A218" s="4">
        <f>IFERROR(__xludf.DUMMYFUNCTION("""COMPUTED_VALUE"""),44155.66666666667)</f>
        <v>44155.66667</v>
      </c>
      <c r="B218" s="5">
        <f>IFERROR(__xludf.DUMMYFUNCTION("""COMPUTED_VALUE"""),1130.0)</f>
        <v>1130</v>
      </c>
      <c r="C218" s="5">
        <f>IFERROR(__xludf.DUMMYFUNCTION("""COMPUTED_VALUE"""),1145.0)</f>
        <v>1145</v>
      </c>
      <c r="D218" s="5">
        <f>IFERROR(__xludf.DUMMYFUNCTION("""COMPUTED_VALUE"""),1100.0)</f>
        <v>1100</v>
      </c>
      <c r="E218" s="5">
        <f>IFERROR(__xludf.DUMMYFUNCTION("""COMPUTED_VALUE"""),1105.0)</f>
        <v>1105</v>
      </c>
      <c r="F218" s="5">
        <f>IFERROR(__xludf.DUMMYFUNCTION("""COMPUTED_VALUE"""),7.59479E7)</f>
        <v>75947900</v>
      </c>
      <c r="G218" s="5">
        <f t="shared" si="1"/>
        <v>45</v>
      </c>
    </row>
    <row r="219">
      <c r="A219" s="4">
        <f>IFERROR(__xludf.DUMMYFUNCTION("""COMPUTED_VALUE"""),44158.66666666667)</f>
        <v>44158.66667</v>
      </c>
      <c r="B219" s="5">
        <f>IFERROR(__xludf.DUMMYFUNCTION("""COMPUTED_VALUE"""),1115.0)</f>
        <v>1115</v>
      </c>
      <c r="C219" s="5">
        <f>IFERROR(__xludf.DUMMYFUNCTION("""COMPUTED_VALUE"""),1140.0)</f>
        <v>1140</v>
      </c>
      <c r="D219" s="5">
        <f>IFERROR(__xludf.DUMMYFUNCTION("""COMPUTED_VALUE"""),1110.0)</f>
        <v>1110</v>
      </c>
      <c r="E219" s="5">
        <f>IFERROR(__xludf.DUMMYFUNCTION("""COMPUTED_VALUE"""),1140.0)</f>
        <v>1140</v>
      </c>
      <c r="F219" s="5">
        <f>IFERROR(__xludf.DUMMYFUNCTION("""COMPUTED_VALUE"""),7.92681E7)</f>
        <v>79268100</v>
      </c>
      <c r="G219" s="5">
        <f t="shared" si="1"/>
        <v>35</v>
      </c>
    </row>
    <row r="220">
      <c r="A220" s="4">
        <f>IFERROR(__xludf.DUMMYFUNCTION("""COMPUTED_VALUE"""),44159.66666666667)</f>
        <v>44159.66667</v>
      </c>
      <c r="B220" s="5">
        <f>IFERROR(__xludf.DUMMYFUNCTION("""COMPUTED_VALUE"""),1145.0)</f>
        <v>1145</v>
      </c>
      <c r="C220" s="5">
        <f>IFERROR(__xludf.DUMMYFUNCTION("""COMPUTED_VALUE"""),1150.0)</f>
        <v>1150</v>
      </c>
      <c r="D220" s="5">
        <f>IFERROR(__xludf.DUMMYFUNCTION("""COMPUTED_VALUE"""),1115.0)</f>
        <v>1115</v>
      </c>
      <c r="E220" s="5">
        <f>IFERROR(__xludf.DUMMYFUNCTION("""COMPUTED_VALUE"""),1120.0)</f>
        <v>1120</v>
      </c>
      <c r="F220" s="5">
        <f>IFERROR(__xludf.DUMMYFUNCTION("""COMPUTED_VALUE"""),4.3714E7)</f>
        <v>43714000</v>
      </c>
      <c r="G220" s="5">
        <f t="shared" si="1"/>
        <v>35</v>
      </c>
    </row>
    <row r="221">
      <c r="A221" s="4">
        <f>IFERROR(__xludf.DUMMYFUNCTION("""COMPUTED_VALUE"""),44160.66666666667)</f>
        <v>44160.66667</v>
      </c>
      <c r="B221" s="5">
        <f>IFERROR(__xludf.DUMMYFUNCTION("""COMPUTED_VALUE"""),1120.0)</f>
        <v>1120</v>
      </c>
      <c r="C221" s="5">
        <f>IFERROR(__xludf.DUMMYFUNCTION("""COMPUTED_VALUE"""),1135.0)</f>
        <v>1135</v>
      </c>
      <c r="D221" s="5">
        <f>IFERROR(__xludf.DUMMYFUNCTION("""COMPUTED_VALUE"""),1085.0)</f>
        <v>1085</v>
      </c>
      <c r="E221" s="5">
        <f>IFERROR(__xludf.DUMMYFUNCTION("""COMPUTED_VALUE"""),1095.0)</f>
        <v>1095</v>
      </c>
      <c r="F221" s="5">
        <f>IFERROR(__xludf.DUMMYFUNCTION("""COMPUTED_VALUE"""),5.29643E7)</f>
        <v>52964300</v>
      </c>
      <c r="G221" s="5">
        <f t="shared" si="1"/>
        <v>50</v>
      </c>
    </row>
    <row r="222">
      <c r="A222" s="4">
        <f>IFERROR(__xludf.DUMMYFUNCTION("""COMPUTED_VALUE"""),44161.66666666667)</f>
        <v>44161.66667</v>
      </c>
      <c r="B222" s="5">
        <f>IFERROR(__xludf.DUMMYFUNCTION("""COMPUTED_VALUE"""),1095.0)</f>
        <v>1095</v>
      </c>
      <c r="C222" s="5">
        <f>IFERROR(__xludf.DUMMYFUNCTION("""COMPUTED_VALUE"""),1120.0)</f>
        <v>1120</v>
      </c>
      <c r="D222" s="5">
        <f>IFERROR(__xludf.DUMMYFUNCTION("""COMPUTED_VALUE"""),1085.0)</f>
        <v>1085</v>
      </c>
      <c r="E222" s="5">
        <f>IFERROR(__xludf.DUMMYFUNCTION("""COMPUTED_VALUE"""),1095.0)</f>
        <v>1095</v>
      </c>
      <c r="F222" s="5">
        <f>IFERROR(__xludf.DUMMYFUNCTION("""COMPUTED_VALUE"""),3.53622E7)</f>
        <v>35362200</v>
      </c>
      <c r="G222" s="5">
        <f t="shared" si="1"/>
        <v>35</v>
      </c>
    </row>
    <row r="223">
      <c r="A223" s="4">
        <f>IFERROR(__xludf.DUMMYFUNCTION("""COMPUTED_VALUE"""),44162.66666666667)</f>
        <v>44162.66667</v>
      </c>
      <c r="B223" s="5">
        <f>IFERROR(__xludf.DUMMYFUNCTION("""COMPUTED_VALUE"""),1100.0)</f>
        <v>1100</v>
      </c>
      <c r="C223" s="5">
        <f>IFERROR(__xludf.DUMMYFUNCTION("""COMPUTED_VALUE"""),1135.0)</f>
        <v>1135</v>
      </c>
      <c r="D223" s="5">
        <f>IFERROR(__xludf.DUMMYFUNCTION("""COMPUTED_VALUE"""),1100.0)</f>
        <v>1100</v>
      </c>
      <c r="E223" s="5">
        <f>IFERROR(__xludf.DUMMYFUNCTION("""COMPUTED_VALUE"""),1125.0)</f>
        <v>1125</v>
      </c>
      <c r="F223" s="5">
        <f>IFERROR(__xludf.DUMMYFUNCTION("""COMPUTED_VALUE"""),7.4027E7)</f>
        <v>74027000</v>
      </c>
      <c r="G223" s="5">
        <f t="shared" si="1"/>
        <v>40</v>
      </c>
    </row>
    <row r="224">
      <c r="A224" s="4">
        <f>IFERROR(__xludf.DUMMYFUNCTION("""COMPUTED_VALUE"""),44165.66666666667)</f>
        <v>44165.66667</v>
      </c>
      <c r="B224" s="5">
        <f>IFERROR(__xludf.DUMMYFUNCTION("""COMPUTED_VALUE"""),1135.0)</f>
        <v>1135</v>
      </c>
      <c r="C224" s="5">
        <f>IFERROR(__xludf.DUMMYFUNCTION("""COMPUTED_VALUE"""),1145.0)</f>
        <v>1145</v>
      </c>
      <c r="D224" s="5">
        <f>IFERROR(__xludf.DUMMYFUNCTION("""COMPUTED_VALUE"""),1055.0)</f>
        <v>1055</v>
      </c>
      <c r="E224" s="5">
        <f>IFERROR(__xludf.DUMMYFUNCTION("""COMPUTED_VALUE"""),1070.0)</f>
        <v>1070</v>
      </c>
      <c r="F224" s="5">
        <f>IFERROR(__xludf.DUMMYFUNCTION("""COMPUTED_VALUE"""),1.074041E8)</f>
        <v>107404100</v>
      </c>
      <c r="G224" s="5">
        <f t="shared" si="1"/>
        <v>90</v>
      </c>
    </row>
    <row r="225">
      <c r="A225" s="4">
        <f>IFERROR(__xludf.DUMMYFUNCTION("""COMPUTED_VALUE"""),44166.66666666667)</f>
        <v>44166.66667</v>
      </c>
      <c r="B225" s="5">
        <f>IFERROR(__xludf.DUMMYFUNCTION("""COMPUTED_VALUE"""),1075.0)</f>
        <v>1075</v>
      </c>
      <c r="C225" s="5">
        <f>IFERROR(__xludf.DUMMYFUNCTION("""COMPUTED_VALUE"""),1095.0)</f>
        <v>1095</v>
      </c>
      <c r="D225" s="5">
        <f>IFERROR(__xludf.DUMMYFUNCTION("""COMPUTED_VALUE"""),1030.0)</f>
        <v>1030</v>
      </c>
      <c r="E225" s="5">
        <f>IFERROR(__xludf.DUMMYFUNCTION("""COMPUTED_VALUE"""),1070.0)</f>
        <v>1070</v>
      </c>
      <c r="F225" s="5">
        <f>IFERROR(__xludf.DUMMYFUNCTION("""COMPUTED_VALUE"""),7.10252E7)</f>
        <v>71025200</v>
      </c>
      <c r="G225" s="5">
        <f t="shared" si="1"/>
        <v>65</v>
      </c>
    </row>
    <row r="226">
      <c r="A226" s="4">
        <f>IFERROR(__xludf.DUMMYFUNCTION("""COMPUTED_VALUE"""),44167.66666666667)</f>
        <v>44167.66667</v>
      </c>
      <c r="B226" s="5">
        <f>IFERROR(__xludf.DUMMYFUNCTION("""COMPUTED_VALUE"""),1105.0)</f>
        <v>1105</v>
      </c>
      <c r="C226" s="5">
        <f>IFERROR(__xludf.DUMMYFUNCTION("""COMPUTED_VALUE"""),1165.0)</f>
        <v>1165</v>
      </c>
      <c r="D226" s="5">
        <f>IFERROR(__xludf.DUMMYFUNCTION("""COMPUTED_VALUE"""),1075.0)</f>
        <v>1075</v>
      </c>
      <c r="E226" s="5">
        <f>IFERROR(__xludf.DUMMYFUNCTION("""COMPUTED_VALUE"""),1135.0)</f>
        <v>1135</v>
      </c>
      <c r="F226" s="5">
        <f>IFERROR(__xludf.DUMMYFUNCTION("""COMPUTED_VALUE"""),1.896234E8)</f>
        <v>189623400</v>
      </c>
      <c r="G226" s="5">
        <f t="shared" si="1"/>
        <v>95</v>
      </c>
    </row>
    <row r="227">
      <c r="A227" s="4">
        <f>IFERROR(__xludf.DUMMYFUNCTION("""COMPUTED_VALUE"""),44168.66666666667)</f>
        <v>44168.66667</v>
      </c>
      <c r="B227" s="5">
        <f>IFERROR(__xludf.DUMMYFUNCTION("""COMPUTED_VALUE"""),1135.0)</f>
        <v>1135</v>
      </c>
      <c r="C227" s="5">
        <f>IFERROR(__xludf.DUMMYFUNCTION("""COMPUTED_VALUE"""),1365.0)</f>
        <v>1365</v>
      </c>
      <c r="D227" s="5">
        <f>IFERROR(__xludf.DUMMYFUNCTION("""COMPUTED_VALUE"""),1125.0)</f>
        <v>1125</v>
      </c>
      <c r="E227" s="5">
        <f>IFERROR(__xludf.DUMMYFUNCTION("""COMPUTED_VALUE"""),1225.0)</f>
        <v>1225</v>
      </c>
      <c r="F227" s="5">
        <f>IFERROR(__xludf.DUMMYFUNCTION("""COMPUTED_VALUE"""),3.428251E8)</f>
        <v>342825100</v>
      </c>
      <c r="G227" s="5">
        <f t="shared" si="1"/>
        <v>240</v>
      </c>
    </row>
    <row r="228">
      <c r="A228" s="4">
        <f>IFERROR(__xludf.DUMMYFUNCTION("""COMPUTED_VALUE"""),44169.66666666667)</f>
        <v>44169.66667</v>
      </c>
      <c r="B228" s="5">
        <f>IFERROR(__xludf.DUMMYFUNCTION("""COMPUTED_VALUE"""),1235.0)</f>
        <v>1235</v>
      </c>
      <c r="C228" s="5">
        <f>IFERROR(__xludf.DUMMYFUNCTION("""COMPUTED_VALUE"""),1245.0)</f>
        <v>1245</v>
      </c>
      <c r="D228" s="5">
        <f>IFERROR(__xludf.DUMMYFUNCTION("""COMPUTED_VALUE"""),1200.0)</f>
        <v>1200</v>
      </c>
      <c r="E228" s="5">
        <f>IFERROR(__xludf.DUMMYFUNCTION("""COMPUTED_VALUE"""),1220.0)</f>
        <v>1220</v>
      </c>
      <c r="F228" s="5">
        <f>IFERROR(__xludf.DUMMYFUNCTION("""COMPUTED_VALUE"""),6.637E7)</f>
        <v>66370000</v>
      </c>
      <c r="G228" s="5">
        <f t="shared" si="1"/>
        <v>45</v>
      </c>
    </row>
    <row r="229">
      <c r="A229" s="4">
        <f>IFERROR(__xludf.DUMMYFUNCTION("""COMPUTED_VALUE"""),44172.66666666667)</f>
        <v>44172.66667</v>
      </c>
      <c r="B229" s="5">
        <f>IFERROR(__xludf.DUMMYFUNCTION("""COMPUTED_VALUE"""),1230.0)</f>
        <v>1230</v>
      </c>
      <c r="C229" s="5">
        <f>IFERROR(__xludf.DUMMYFUNCTION("""COMPUTED_VALUE"""),1285.0)</f>
        <v>1285</v>
      </c>
      <c r="D229" s="5">
        <f>IFERROR(__xludf.DUMMYFUNCTION("""COMPUTED_VALUE"""),1225.0)</f>
        <v>1225</v>
      </c>
      <c r="E229" s="5">
        <f>IFERROR(__xludf.DUMMYFUNCTION("""COMPUTED_VALUE"""),1260.0)</f>
        <v>1260</v>
      </c>
      <c r="F229" s="5">
        <f>IFERROR(__xludf.DUMMYFUNCTION("""COMPUTED_VALUE"""),1.166633E8)</f>
        <v>116663300</v>
      </c>
      <c r="G229" s="5">
        <f t="shared" si="1"/>
        <v>65</v>
      </c>
    </row>
    <row r="230">
      <c r="A230" s="4">
        <f>IFERROR(__xludf.DUMMYFUNCTION("""COMPUTED_VALUE"""),44173.66666666667)</f>
        <v>44173.66667</v>
      </c>
      <c r="B230" s="5">
        <f>IFERROR(__xludf.DUMMYFUNCTION("""COMPUTED_VALUE"""),1280.0)</f>
        <v>1280</v>
      </c>
      <c r="C230" s="5">
        <f>IFERROR(__xludf.DUMMYFUNCTION("""COMPUTED_VALUE"""),1305.0)</f>
        <v>1305</v>
      </c>
      <c r="D230" s="5">
        <f>IFERROR(__xludf.DUMMYFUNCTION("""COMPUTED_VALUE"""),1250.0)</f>
        <v>1250</v>
      </c>
      <c r="E230" s="5">
        <f>IFERROR(__xludf.DUMMYFUNCTION("""COMPUTED_VALUE"""),1275.0)</f>
        <v>1275</v>
      </c>
      <c r="F230" s="5">
        <f>IFERROR(__xludf.DUMMYFUNCTION("""COMPUTED_VALUE"""),9.91382E7)</f>
        <v>99138200</v>
      </c>
      <c r="G230" s="5">
        <f t="shared" si="1"/>
        <v>55</v>
      </c>
    </row>
    <row r="231">
      <c r="A231" s="4">
        <f>IFERROR(__xludf.DUMMYFUNCTION("""COMPUTED_VALUE"""),44175.66666666667)</f>
        <v>44175.66667</v>
      </c>
      <c r="B231" s="5">
        <f>IFERROR(__xludf.DUMMYFUNCTION("""COMPUTED_VALUE"""),1295.0)</f>
        <v>1295</v>
      </c>
      <c r="C231" s="5">
        <f>IFERROR(__xludf.DUMMYFUNCTION("""COMPUTED_VALUE"""),1350.0)</f>
        <v>1350</v>
      </c>
      <c r="D231" s="5">
        <f>IFERROR(__xludf.DUMMYFUNCTION("""COMPUTED_VALUE"""),1275.0)</f>
        <v>1275</v>
      </c>
      <c r="E231" s="5">
        <f>IFERROR(__xludf.DUMMYFUNCTION("""COMPUTED_VALUE"""),1305.0)</f>
        <v>1305</v>
      </c>
      <c r="F231" s="5">
        <f>IFERROR(__xludf.DUMMYFUNCTION("""COMPUTED_VALUE"""),1.848359E8)</f>
        <v>184835900</v>
      </c>
      <c r="G231" s="5">
        <f t="shared" si="1"/>
        <v>75</v>
      </c>
    </row>
    <row r="232">
      <c r="A232" s="4">
        <f>IFERROR(__xludf.DUMMYFUNCTION("""COMPUTED_VALUE"""),44176.66666666667)</f>
        <v>44176.66667</v>
      </c>
      <c r="B232" s="5">
        <f>IFERROR(__xludf.DUMMYFUNCTION("""COMPUTED_VALUE"""),1325.0)</f>
        <v>1325</v>
      </c>
      <c r="C232" s="5">
        <f>IFERROR(__xludf.DUMMYFUNCTION("""COMPUTED_VALUE"""),1365.0)</f>
        <v>1365</v>
      </c>
      <c r="D232" s="5">
        <f>IFERROR(__xludf.DUMMYFUNCTION("""COMPUTED_VALUE"""),1295.0)</f>
        <v>1295</v>
      </c>
      <c r="E232" s="5">
        <f>IFERROR(__xludf.DUMMYFUNCTION("""COMPUTED_VALUE"""),1305.0)</f>
        <v>1305</v>
      </c>
      <c r="F232" s="5">
        <f>IFERROR(__xludf.DUMMYFUNCTION("""COMPUTED_VALUE"""),7.95295E7)</f>
        <v>79529500</v>
      </c>
      <c r="G232" s="5">
        <f t="shared" si="1"/>
        <v>70</v>
      </c>
    </row>
    <row r="233">
      <c r="A233" s="4">
        <f>IFERROR(__xludf.DUMMYFUNCTION("""COMPUTED_VALUE"""),44179.66666666667)</f>
        <v>44179.66667</v>
      </c>
      <c r="B233" s="5">
        <f>IFERROR(__xludf.DUMMYFUNCTION("""COMPUTED_VALUE"""),1340.0)</f>
        <v>1340</v>
      </c>
      <c r="C233" s="5">
        <f>IFERROR(__xludf.DUMMYFUNCTION("""COMPUTED_VALUE"""),1345.0)</f>
        <v>1345</v>
      </c>
      <c r="D233" s="5">
        <f>IFERROR(__xludf.DUMMYFUNCTION("""COMPUTED_VALUE"""),1310.0)</f>
        <v>1310</v>
      </c>
      <c r="E233" s="5">
        <f>IFERROR(__xludf.DUMMYFUNCTION("""COMPUTED_VALUE"""),1315.0)</f>
        <v>1315</v>
      </c>
      <c r="F233" s="5">
        <f>IFERROR(__xludf.DUMMYFUNCTION("""COMPUTED_VALUE"""),6.40344E7)</f>
        <v>64034400</v>
      </c>
      <c r="G233" s="5">
        <f t="shared" si="1"/>
        <v>40</v>
      </c>
    </row>
    <row r="234">
      <c r="A234" s="4">
        <f>IFERROR(__xludf.DUMMYFUNCTION("""COMPUTED_VALUE"""),44180.66666666667)</f>
        <v>44180.66667</v>
      </c>
      <c r="B234" s="5">
        <f>IFERROR(__xludf.DUMMYFUNCTION("""COMPUTED_VALUE"""),1325.0)</f>
        <v>1325</v>
      </c>
      <c r="C234" s="5">
        <f>IFERROR(__xludf.DUMMYFUNCTION("""COMPUTED_VALUE"""),1415.0)</f>
        <v>1415</v>
      </c>
      <c r="D234" s="5">
        <f>IFERROR(__xludf.DUMMYFUNCTION("""COMPUTED_VALUE"""),1300.0)</f>
        <v>1300</v>
      </c>
      <c r="E234" s="5">
        <f>IFERROR(__xludf.DUMMYFUNCTION("""COMPUTED_VALUE"""),1385.0)</f>
        <v>1385</v>
      </c>
      <c r="F234" s="5">
        <f>IFERROR(__xludf.DUMMYFUNCTION("""COMPUTED_VALUE"""),1.814873E8)</f>
        <v>181487300</v>
      </c>
      <c r="G234" s="5">
        <f t="shared" si="1"/>
        <v>115</v>
      </c>
    </row>
    <row r="235">
      <c r="A235" s="4">
        <f>IFERROR(__xludf.DUMMYFUNCTION("""COMPUTED_VALUE"""),44181.66666666667)</f>
        <v>44181.66667</v>
      </c>
      <c r="B235" s="5">
        <f>IFERROR(__xludf.DUMMYFUNCTION("""COMPUTED_VALUE"""),1400.0)</f>
        <v>1400</v>
      </c>
      <c r="C235" s="5">
        <f>IFERROR(__xludf.DUMMYFUNCTION("""COMPUTED_VALUE"""),1640.0)</f>
        <v>1640</v>
      </c>
      <c r="D235" s="5">
        <f>IFERROR(__xludf.DUMMYFUNCTION("""COMPUTED_VALUE"""),1400.0)</f>
        <v>1400</v>
      </c>
      <c r="E235" s="5">
        <f>IFERROR(__xludf.DUMMYFUNCTION("""COMPUTED_VALUE"""),1535.0)</f>
        <v>1535</v>
      </c>
      <c r="F235" s="5">
        <f>IFERROR(__xludf.DUMMYFUNCTION("""COMPUTED_VALUE"""),3.329706E8)</f>
        <v>332970600</v>
      </c>
      <c r="G235" s="5">
        <f t="shared" si="1"/>
        <v>255</v>
      </c>
    </row>
    <row r="236">
      <c r="A236" s="4">
        <f>IFERROR(__xludf.DUMMYFUNCTION("""COMPUTED_VALUE"""),44182.66666666667)</f>
        <v>44182.66667</v>
      </c>
      <c r="B236" s="5">
        <f>IFERROR(__xludf.DUMMYFUNCTION("""COMPUTED_VALUE"""),1550.0)</f>
        <v>1550</v>
      </c>
      <c r="C236" s="5">
        <f>IFERROR(__xludf.DUMMYFUNCTION("""COMPUTED_VALUE"""),1575.0)</f>
        <v>1575</v>
      </c>
      <c r="D236" s="5">
        <f>IFERROR(__xludf.DUMMYFUNCTION("""COMPUTED_VALUE"""),1495.0)</f>
        <v>1495</v>
      </c>
      <c r="E236" s="5">
        <f>IFERROR(__xludf.DUMMYFUNCTION("""COMPUTED_VALUE"""),1540.0)</f>
        <v>1540</v>
      </c>
      <c r="F236" s="5">
        <f>IFERROR(__xludf.DUMMYFUNCTION("""COMPUTED_VALUE"""),1.092617E8)</f>
        <v>109261700</v>
      </c>
      <c r="G236" s="5">
        <f t="shared" si="1"/>
        <v>80</v>
      </c>
    </row>
    <row r="237">
      <c r="A237" s="4">
        <f>IFERROR(__xludf.DUMMYFUNCTION("""COMPUTED_VALUE"""),44183.66666666667)</f>
        <v>44183.66667</v>
      </c>
      <c r="B237" s="5">
        <f>IFERROR(__xludf.DUMMYFUNCTION("""COMPUTED_VALUE"""),1560.0)</f>
        <v>1560</v>
      </c>
      <c r="C237" s="5">
        <f>IFERROR(__xludf.DUMMYFUNCTION("""COMPUTED_VALUE"""),1630.0)</f>
        <v>1630</v>
      </c>
      <c r="D237" s="5">
        <f>IFERROR(__xludf.DUMMYFUNCTION("""COMPUTED_VALUE"""),1540.0)</f>
        <v>1540</v>
      </c>
      <c r="E237" s="5">
        <f>IFERROR(__xludf.DUMMYFUNCTION("""COMPUTED_VALUE"""),1605.0)</f>
        <v>1605</v>
      </c>
      <c r="F237" s="5">
        <f>IFERROR(__xludf.DUMMYFUNCTION("""COMPUTED_VALUE"""),1.294685E8)</f>
        <v>129468500</v>
      </c>
      <c r="G237" s="5">
        <f t="shared" si="1"/>
        <v>90</v>
      </c>
    </row>
    <row r="238">
      <c r="A238" s="4">
        <f>IFERROR(__xludf.DUMMYFUNCTION("""COMPUTED_VALUE"""),44186.66666666667)</f>
        <v>44186.66667</v>
      </c>
      <c r="B238" s="5">
        <f>IFERROR(__xludf.DUMMYFUNCTION("""COMPUTED_VALUE"""),1620.0)</f>
        <v>1620</v>
      </c>
      <c r="C238" s="5">
        <f>IFERROR(__xludf.DUMMYFUNCTION("""COMPUTED_VALUE"""),1645.0)</f>
        <v>1645</v>
      </c>
      <c r="D238" s="5">
        <f>IFERROR(__xludf.DUMMYFUNCTION("""COMPUTED_VALUE"""),1585.0)</f>
        <v>1585</v>
      </c>
      <c r="E238" s="5">
        <f>IFERROR(__xludf.DUMMYFUNCTION("""COMPUTED_VALUE"""),1595.0)</f>
        <v>1595</v>
      </c>
      <c r="F238" s="5">
        <f>IFERROR(__xludf.DUMMYFUNCTION("""COMPUTED_VALUE"""),8.7957E7)</f>
        <v>87957000</v>
      </c>
      <c r="G238" s="5">
        <f t="shared" si="1"/>
        <v>60</v>
      </c>
    </row>
    <row r="239">
      <c r="A239" s="4">
        <f>IFERROR(__xludf.DUMMYFUNCTION("""COMPUTED_VALUE"""),44187.66666666667)</f>
        <v>44187.66667</v>
      </c>
      <c r="B239" s="5">
        <f>IFERROR(__xludf.DUMMYFUNCTION("""COMPUTED_VALUE"""),1585.0)</f>
        <v>1585</v>
      </c>
      <c r="C239" s="5">
        <f>IFERROR(__xludf.DUMMYFUNCTION("""COMPUTED_VALUE"""),1590.0)</f>
        <v>1590</v>
      </c>
      <c r="D239" s="5">
        <f>IFERROR(__xludf.DUMMYFUNCTION("""COMPUTED_VALUE"""),1485.0)</f>
        <v>1485</v>
      </c>
      <c r="E239" s="5">
        <f>IFERROR(__xludf.DUMMYFUNCTION("""COMPUTED_VALUE"""),1485.0)</f>
        <v>1485</v>
      </c>
      <c r="F239" s="5">
        <f>IFERROR(__xludf.DUMMYFUNCTION("""COMPUTED_VALUE"""),9.08812E7)</f>
        <v>90881200</v>
      </c>
      <c r="G239" s="5">
        <f t="shared" si="1"/>
        <v>110</v>
      </c>
    </row>
    <row r="240">
      <c r="A240" s="4">
        <f>IFERROR(__xludf.DUMMYFUNCTION("""COMPUTED_VALUE"""),44188.66666666667)</f>
        <v>44188.66667</v>
      </c>
      <c r="B240" s="5">
        <f>IFERROR(__xludf.DUMMYFUNCTION("""COMPUTED_VALUE"""),1495.0)</f>
        <v>1495</v>
      </c>
      <c r="C240" s="5">
        <f>IFERROR(__xludf.DUMMYFUNCTION("""COMPUTED_VALUE"""),1505.0)</f>
        <v>1505</v>
      </c>
      <c r="D240" s="5">
        <f>IFERROR(__xludf.DUMMYFUNCTION("""COMPUTED_VALUE"""),1385.0)</f>
        <v>1385</v>
      </c>
      <c r="E240" s="5">
        <f>IFERROR(__xludf.DUMMYFUNCTION("""COMPUTED_VALUE"""),1485.0)</f>
        <v>1485</v>
      </c>
      <c r="F240" s="5">
        <f>IFERROR(__xludf.DUMMYFUNCTION("""COMPUTED_VALUE"""),7.9509E7)</f>
        <v>79509000</v>
      </c>
      <c r="G240" s="5">
        <f t="shared" si="1"/>
        <v>120</v>
      </c>
    </row>
    <row r="241">
      <c r="A241" s="4">
        <f>IFERROR(__xludf.DUMMYFUNCTION("""COMPUTED_VALUE"""),44193.66666666667)</f>
        <v>44193.66667</v>
      </c>
      <c r="B241" s="5">
        <f>IFERROR(__xludf.DUMMYFUNCTION("""COMPUTED_VALUE"""),1500.0)</f>
        <v>1500</v>
      </c>
      <c r="C241" s="5">
        <f>IFERROR(__xludf.DUMMYFUNCTION("""COMPUTED_VALUE"""),1590.0)</f>
        <v>1590</v>
      </c>
      <c r="D241" s="5">
        <f>IFERROR(__xludf.DUMMYFUNCTION("""COMPUTED_VALUE"""),1455.0)</f>
        <v>1455</v>
      </c>
      <c r="E241" s="5">
        <f>IFERROR(__xludf.DUMMYFUNCTION("""COMPUTED_VALUE"""),1575.0)</f>
        <v>1575</v>
      </c>
      <c r="F241" s="5">
        <f>IFERROR(__xludf.DUMMYFUNCTION("""COMPUTED_VALUE"""),1.042594E8)</f>
        <v>104259400</v>
      </c>
      <c r="G241" s="5">
        <f t="shared" si="1"/>
        <v>135</v>
      </c>
    </row>
    <row r="242">
      <c r="A242" s="4">
        <f>IFERROR(__xludf.DUMMYFUNCTION("""COMPUTED_VALUE"""),44194.66666666667)</f>
        <v>44194.66667</v>
      </c>
      <c r="B242" s="5">
        <f>IFERROR(__xludf.DUMMYFUNCTION("""COMPUTED_VALUE"""),1595.0)</f>
        <v>1595</v>
      </c>
      <c r="C242" s="5">
        <f>IFERROR(__xludf.DUMMYFUNCTION("""COMPUTED_VALUE"""),1605.0)</f>
        <v>1605</v>
      </c>
      <c r="D242" s="5">
        <f>IFERROR(__xludf.DUMMYFUNCTION("""COMPUTED_VALUE"""),1510.0)</f>
        <v>1510</v>
      </c>
      <c r="E242" s="5">
        <f>IFERROR(__xludf.DUMMYFUNCTION("""COMPUTED_VALUE"""),1545.0)</f>
        <v>1545</v>
      </c>
      <c r="F242" s="5">
        <f>IFERROR(__xludf.DUMMYFUNCTION("""COMPUTED_VALUE"""),6.48747E7)</f>
        <v>64874700</v>
      </c>
      <c r="G242" s="5">
        <f t="shared" si="1"/>
        <v>95</v>
      </c>
    </row>
    <row r="243">
      <c r="A243" s="4">
        <f>IFERROR(__xludf.DUMMYFUNCTION("""COMPUTED_VALUE"""),44195.66666666667)</f>
        <v>44195.66667</v>
      </c>
      <c r="B243" s="5">
        <f>IFERROR(__xludf.DUMMYFUNCTION("""COMPUTED_VALUE"""),1565.0)</f>
        <v>1565</v>
      </c>
      <c r="C243" s="5">
        <f>IFERROR(__xludf.DUMMYFUNCTION("""COMPUTED_VALUE"""),1575.0)</f>
        <v>1575</v>
      </c>
      <c r="D243" s="5">
        <f>IFERROR(__xludf.DUMMYFUNCTION("""COMPUTED_VALUE"""),1470.0)</f>
        <v>1470</v>
      </c>
      <c r="E243" s="5">
        <f>IFERROR(__xludf.DUMMYFUNCTION("""COMPUTED_VALUE"""),1485.0)</f>
        <v>1485</v>
      </c>
      <c r="F243" s="5">
        <f>IFERROR(__xludf.DUMMYFUNCTION("""COMPUTED_VALUE"""),6.79116E7)</f>
        <v>67911600</v>
      </c>
      <c r="G243" s="5">
        <f t="shared" si="1"/>
        <v>105</v>
      </c>
    </row>
    <row r="244">
      <c r="A244" s="4">
        <f>IFERROR(__xludf.DUMMYFUNCTION("""COMPUTED_VALUE"""),44200.625)</f>
        <v>44200.625</v>
      </c>
      <c r="B244" s="5">
        <f>IFERROR(__xludf.DUMMYFUNCTION("""COMPUTED_VALUE"""),1500.0)</f>
        <v>1500</v>
      </c>
      <c r="C244" s="5">
        <f>IFERROR(__xludf.DUMMYFUNCTION("""COMPUTED_VALUE"""),1620.0)</f>
        <v>1620</v>
      </c>
      <c r="D244" s="5">
        <f>IFERROR(__xludf.DUMMYFUNCTION("""COMPUTED_VALUE"""),1485.0)</f>
        <v>1485</v>
      </c>
      <c r="E244" s="5">
        <f>IFERROR(__xludf.DUMMYFUNCTION("""COMPUTED_VALUE"""),1615.0)</f>
        <v>1615</v>
      </c>
      <c r="F244" s="5">
        <f>IFERROR(__xludf.DUMMYFUNCTION("""COMPUTED_VALUE"""),1.089119E8)</f>
        <v>108911900</v>
      </c>
      <c r="G244" s="5">
        <f t="shared" si="1"/>
        <v>135</v>
      </c>
    </row>
    <row r="245">
      <c r="A245" s="4">
        <f>IFERROR(__xludf.DUMMYFUNCTION("""COMPUTED_VALUE"""),44201.625)</f>
        <v>44201.625</v>
      </c>
      <c r="B245" s="5">
        <f>IFERROR(__xludf.DUMMYFUNCTION("""COMPUTED_VALUE"""),1615.0)</f>
        <v>1615</v>
      </c>
      <c r="C245" s="5">
        <f>IFERROR(__xludf.DUMMYFUNCTION("""COMPUTED_VALUE"""),1740.0)</f>
        <v>1740</v>
      </c>
      <c r="D245" s="5">
        <f>IFERROR(__xludf.DUMMYFUNCTION("""COMPUTED_VALUE"""),1600.0)</f>
        <v>1600</v>
      </c>
      <c r="E245" s="5">
        <f>IFERROR(__xludf.DUMMYFUNCTION("""COMPUTED_VALUE"""),1635.0)</f>
        <v>1635</v>
      </c>
      <c r="F245" s="5">
        <f>IFERROR(__xludf.DUMMYFUNCTION("""COMPUTED_VALUE"""),2.597946E8)</f>
        <v>259794600</v>
      </c>
      <c r="G245" s="5">
        <f t="shared" si="1"/>
        <v>140</v>
      </c>
    </row>
    <row r="246">
      <c r="A246" s="4">
        <f>IFERROR(__xludf.DUMMYFUNCTION("""COMPUTED_VALUE"""),44202.625)</f>
        <v>44202.625</v>
      </c>
      <c r="B246" s="5">
        <f>IFERROR(__xludf.DUMMYFUNCTION("""COMPUTED_VALUE"""),1660.0)</f>
        <v>1660</v>
      </c>
      <c r="C246" s="5">
        <f>IFERROR(__xludf.DUMMYFUNCTION("""COMPUTED_VALUE"""),1675.0)</f>
        <v>1675</v>
      </c>
      <c r="D246" s="5">
        <f>IFERROR(__xludf.DUMMYFUNCTION("""COMPUTED_VALUE"""),1535.0)</f>
        <v>1535</v>
      </c>
      <c r="E246" s="5">
        <f>IFERROR(__xludf.DUMMYFUNCTION("""COMPUTED_VALUE"""),1605.0)</f>
        <v>1605</v>
      </c>
      <c r="F246" s="5">
        <f>IFERROR(__xludf.DUMMYFUNCTION("""COMPUTED_VALUE"""),1.456556E8)</f>
        <v>145655600</v>
      </c>
      <c r="G246" s="5">
        <f t="shared" si="1"/>
        <v>140</v>
      </c>
    </row>
    <row r="247">
      <c r="A247" s="4">
        <f>IFERROR(__xludf.DUMMYFUNCTION("""COMPUTED_VALUE"""),44203.66666666667)</f>
        <v>44203.66667</v>
      </c>
      <c r="B247" s="5">
        <f>IFERROR(__xludf.DUMMYFUNCTION("""COMPUTED_VALUE"""),1630.0)</f>
        <v>1630</v>
      </c>
      <c r="C247" s="5">
        <f>IFERROR(__xludf.DUMMYFUNCTION("""COMPUTED_VALUE"""),1965.0)</f>
        <v>1965</v>
      </c>
      <c r="D247" s="5">
        <f>IFERROR(__xludf.DUMMYFUNCTION("""COMPUTED_VALUE"""),1615.0)</f>
        <v>1615</v>
      </c>
      <c r="E247" s="5">
        <f>IFERROR(__xludf.DUMMYFUNCTION("""COMPUTED_VALUE"""),1815.0)</f>
        <v>1815</v>
      </c>
      <c r="F247" s="5">
        <f>IFERROR(__xludf.DUMMYFUNCTION("""COMPUTED_VALUE"""),4.641273E8)</f>
        <v>464127300</v>
      </c>
      <c r="G247" s="5">
        <f t="shared" si="1"/>
        <v>360</v>
      </c>
    </row>
    <row r="248">
      <c r="A248" s="4">
        <f>IFERROR(__xludf.DUMMYFUNCTION("""COMPUTED_VALUE"""),44204.66666666667)</f>
        <v>44204.66667</v>
      </c>
      <c r="B248" s="5">
        <f>IFERROR(__xludf.DUMMYFUNCTION("""COMPUTED_VALUE"""),1840.0)</f>
        <v>1840</v>
      </c>
      <c r="C248" s="5">
        <f>IFERROR(__xludf.DUMMYFUNCTION("""COMPUTED_VALUE"""),1930.0)</f>
        <v>1930</v>
      </c>
      <c r="D248" s="5">
        <f>IFERROR(__xludf.DUMMYFUNCTION("""COMPUTED_VALUE"""),1815.0)</f>
        <v>1815</v>
      </c>
      <c r="E248" s="5">
        <f>IFERROR(__xludf.DUMMYFUNCTION("""COMPUTED_VALUE"""),1815.0)</f>
        <v>1815</v>
      </c>
      <c r="F248" s="5">
        <f>IFERROR(__xludf.DUMMYFUNCTION("""COMPUTED_VALUE"""),1.843051E8)</f>
        <v>184305100</v>
      </c>
      <c r="G248" s="5">
        <f t="shared" si="1"/>
        <v>115</v>
      </c>
    </row>
    <row r="249">
      <c r="A249" s="4">
        <f>IFERROR(__xludf.DUMMYFUNCTION("""COMPUTED_VALUE"""),44207.625)</f>
        <v>44207.625</v>
      </c>
      <c r="B249" s="5">
        <f>IFERROR(__xludf.DUMMYFUNCTION("""COMPUTED_VALUE"""),1770.0)</f>
        <v>1770</v>
      </c>
      <c r="C249" s="5">
        <f>IFERROR(__xludf.DUMMYFUNCTION("""COMPUTED_VALUE"""),1850.0)</f>
        <v>1850</v>
      </c>
      <c r="D249" s="5">
        <f>IFERROR(__xludf.DUMMYFUNCTION("""COMPUTED_VALUE"""),1745.0)</f>
        <v>1745</v>
      </c>
      <c r="E249" s="5">
        <f>IFERROR(__xludf.DUMMYFUNCTION("""COMPUTED_VALUE"""),1750.0)</f>
        <v>1750</v>
      </c>
      <c r="F249" s="5">
        <f>IFERROR(__xludf.DUMMYFUNCTION("""COMPUTED_VALUE"""),1.029517E8)</f>
        <v>102951700</v>
      </c>
      <c r="G249" s="5">
        <f t="shared" si="1"/>
        <v>105</v>
      </c>
    </row>
    <row r="250">
      <c r="A250" s="4">
        <f>IFERROR(__xludf.DUMMYFUNCTION("""COMPUTED_VALUE"""),44208.625)</f>
        <v>44208.625</v>
      </c>
      <c r="B250" s="5">
        <f>IFERROR(__xludf.DUMMYFUNCTION("""COMPUTED_VALUE"""),1750.0)</f>
        <v>1750</v>
      </c>
      <c r="C250" s="5">
        <f>IFERROR(__xludf.DUMMYFUNCTION("""COMPUTED_VALUE"""),1840.0)</f>
        <v>1840</v>
      </c>
      <c r="D250" s="5">
        <f>IFERROR(__xludf.DUMMYFUNCTION("""COMPUTED_VALUE"""),1705.0)</f>
        <v>1705</v>
      </c>
      <c r="E250" s="5">
        <f>IFERROR(__xludf.DUMMYFUNCTION("""COMPUTED_VALUE"""),1805.0)</f>
        <v>1805</v>
      </c>
      <c r="F250" s="5">
        <f>IFERROR(__xludf.DUMMYFUNCTION("""COMPUTED_VALUE"""),1.363566E8)</f>
        <v>136356600</v>
      </c>
      <c r="G250" s="5">
        <f t="shared" si="1"/>
        <v>135</v>
      </c>
    </row>
    <row r="251">
      <c r="A251" s="4">
        <f>IFERROR(__xludf.DUMMYFUNCTION("""COMPUTED_VALUE"""),44209.625)</f>
        <v>44209.625</v>
      </c>
      <c r="B251" s="5">
        <f>IFERROR(__xludf.DUMMYFUNCTION("""COMPUTED_VALUE"""),1840.0)</f>
        <v>1840</v>
      </c>
      <c r="C251" s="5">
        <f>IFERROR(__xludf.DUMMYFUNCTION("""COMPUTED_VALUE"""),1960.0)</f>
        <v>1960</v>
      </c>
      <c r="D251" s="5">
        <f>IFERROR(__xludf.DUMMYFUNCTION("""COMPUTED_VALUE"""),1805.0)</f>
        <v>1805</v>
      </c>
      <c r="E251" s="5">
        <f>IFERROR(__xludf.DUMMYFUNCTION("""COMPUTED_VALUE"""),1925.0)</f>
        <v>1925</v>
      </c>
      <c r="F251" s="5">
        <f>IFERROR(__xludf.DUMMYFUNCTION("""COMPUTED_VALUE"""),3.544562E8)</f>
        <v>354456200</v>
      </c>
      <c r="G251" s="5">
        <f t="shared" si="1"/>
        <v>155</v>
      </c>
    </row>
    <row r="252">
      <c r="A252" s="4">
        <f>IFERROR(__xludf.DUMMYFUNCTION("""COMPUTED_VALUE"""),44210.625)</f>
        <v>44210.625</v>
      </c>
      <c r="B252" s="5">
        <f>IFERROR(__xludf.DUMMYFUNCTION("""COMPUTED_VALUE"""),1945.0)</f>
        <v>1945</v>
      </c>
      <c r="C252" s="5">
        <f>IFERROR(__xludf.DUMMYFUNCTION("""COMPUTED_VALUE"""),2400.0)</f>
        <v>2400</v>
      </c>
      <c r="D252" s="5">
        <f>IFERROR(__xludf.DUMMYFUNCTION("""COMPUTED_VALUE"""),1925.0)</f>
        <v>1925</v>
      </c>
      <c r="E252" s="5">
        <f>IFERROR(__xludf.DUMMYFUNCTION("""COMPUTED_VALUE"""),2260.0)</f>
        <v>2260</v>
      </c>
      <c r="F252" s="5">
        <f>IFERROR(__xludf.DUMMYFUNCTION("""COMPUTED_VALUE"""),7.517098E8)</f>
        <v>751709800</v>
      </c>
      <c r="G252" s="5">
        <f t="shared" si="1"/>
        <v>475</v>
      </c>
    </row>
    <row r="253">
      <c r="A253" s="4">
        <f>IFERROR(__xludf.DUMMYFUNCTION("""COMPUTED_VALUE"""),44211.625)</f>
        <v>44211.625</v>
      </c>
      <c r="B253" s="5">
        <f>IFERROR(__xludf.DUMMYFUNCTION("""COMPUTED_VALUE"""),2290.0)</f>
        <v>2290</v>
      </c>
      <c r="C253" s="5">
        <f>IFERROR(__xludf.DUMMYFUNCTION("""COMPUTED_VALUE"""),2540.0)</f>
        <v>2540</v>
      </c>
      <c r="D253" s="5">
        <f>IFERROR(__xludf.DUMMYFUNCTION("""COMPUTED_VALUE"""),2250.0)</f>
        <v>2250</v>
      </c>
      <c r="E253" s="5">
        <f>IFERROR(__xludf.DUMMYFUNCTION("""COMPUTED_VALUE"""),2340.0)</f>
        <v>2340</v>
      </c>
      <c r="F253" s="5">
        <f>IFERROR(__xludf.DUMMYFUNCTION("""COMPUTED_VALUE"""),4.407728E8)</f>
        <v>440772800</v>
      </c>
      <c r="G253" s="5">
        <f t="shared" si="1"/>
        <v>290</v>
      </c>
    </row>
    <row r="254">
      <c r="A254" s="4">
        <f>IFERROR(__xludf.DUMMYFUNCTION("""COMPUTED_VALUE"""),44214.625)</f>
        <v>44214.625</v>
      </c>
      <c r="B254" s="5">
        <f>IFERROR(__xludf.DUMMYFUNCTION("""COMPUTED_VALUE"""),2330.0)</f>
        <v>2330</v>
      </c>
      <c r="C254" s="5">
        <f>IFERROR(__xludf.DUMMYFUNCTION("""COMPUTED_VALUE"""),2350.0)</f>
        <v>2350</v>
      </c>
      <c r="D254" s="5">
        <f>IFERROR(__xludf.DUMMYFUNCTION("""COMPUTED_VALUE"""),2180.0)</f>
        <v>2180</v>
      </c>
      <c r="E254" s="5">
        <f>IFERROR(__xludf.DUMMYFUNCTION("""COMPUTED_VALUE"""),2180.0)</f>
        <v>2180</v>
      </c>
      <c r="F254" s="5">
        <f>IFERROR(__xludf.DUMMYFUNCTION("""COMPUTED_VALUE"""),1.795656E8)</f>
        <v>179565600</v>
      </c>
      <c r="G254" s="5">
        <f t="shared" si="1"/>
        <v>170</v>
      </c>
    </row>
    <row r="255">
      <c r="A255" s="4">
        <f>IFERROR(__xludf.DUMMYFUNCTION("""COMPUTED_VALUE"""),44215.625)</f>
        <v>44215.625</v>
      </c>
      <c r="B255" s="5">
        <f>IFERROR(__xludf.DUMMYFUNCTION("""COMPUTED_VALUE"""),2110.0)</f>
        <v>2110</v>
      </c>
      <c r="C255" s="5">
        <f>IFERROR(__xludf.DUMMYFUNCTION("""COMPUTED_VALUE"""),2130.0)</f>
        <v>2130</v>
      </c>
      <c r="D255" s="5">
        <f>IFERROR(__xludf.DUMMYFUNCTION("""COMPUTED_VALUE"""),2030.0)</f>
        <v>2030</v>
      </c>
      <c r="E255" s="5">
        <f>IFERROR(__xludf.DUMMYFUNCTION("""COMPUTED_VALUE"""),2030.0)</f>
        <v>2030</v>
      </c>
      <c r="F255" s="5">
        <f>IFERROR(__xludf.DUMMYFUNCTION("""COMPUTED_VALUE"""),3.79651E7)</f>
        <v>37965100</v>
      </c>
      <c r="G255" s="5">
        <f t="shared" si="1"/>
        <v>150</v>
      </c>
    </row>
    <row r="256">
      <c r="A256" s="4">
        <f>IFERROR(__xludf.DUMMYFUNCTION("""COMPUTED_VALUE"""),44216.625)</f>
        <v>44216.625</v>
      </c>
      <c r="B256" s="5">
        <f>IFERROR(__xludf.DUMMYFUNCTION("""COMPUTED_VALUE"""),1890.0)</f>
        <v>1890</v>
      </c>
      <c r="C256" s="5">
        <f>IFERROR(__xludf.DUMMYFUNCTION("""COMPUTED_VALUE"""),2300.0)</f>
        <v>2300</v>
      </c>
      <c r="D256" s="5">
        <f>IFERROR(__xludf.DUMMYFUNCTION("""COMPUTED_VALUE"""),1890.0)</f>
        <v>1890</v>
      </c>
      <c r="E256" s="5">
        <f>IFERROR(__xludf.DUMMYFUNCTION("""COMPUTED_VALUE"""),2290.0)</f>
        <v>2290</v>
      </c>
      <c r="F256" s="5">
        <f>IFERROR(__xludf.DUMMYFUNCTION("""COMPUTED_VALUE"""),4.32401E8)</f>
        <v>432401000</v>
      </c>
      <c r="G256" s="5">
        <f t="shared" si="1"/>
        <v>410</v>
      </c>
    </row>
    <row r="257">
      <c r="A257" s="4">
        <f>IFERROR(__xludf.DUMMYFUNCTION("""COMPUTED_VALUE"""),44217.625)</f>
        <v>44217.625</v>
      </c>
      <c r="B257" s="5">
        <f>IFERROR(__xludf.DUMMYFUNCTION("""COMPUTED_VALUE"""),2360.0)</f>
        <v>2360</v>
      </c>
      <c r="C257" s="5">
        <f>IFERROR(__xludf.DUMMYFUNCTION("""COMPUTED_VALUE"""),2470.0)</f>
        <v>2470</v>
      </c>
      <c r="D257" s="5">
        <f>IFERROR(__xludf.DUMMYFUNCTION("""COMPUTED_VALUE"""),2290.0)</f>
        <v>2290</v>
      </c>
      <c r="E257" s="5">
        <f>IFERROR(__xludf.DUMMYFUNCTION("""COMPUTED_VALUE"""),2360.0)</f>
        <v>2360</v>
      </c>
      <c r="F257" s="5">
        <f>IFERROR(__xludf.DUMMYFUNCTION("""COMPUTED_VALUE"""),3.565655E8)</f>
        <v>356565500</v>
      </c>
      <c r="G257" s="5">
        <f t="shared" si="1"/>
        <v>180</v>
      </c>
    </row>
    <row r="258">
      <c r="A258" s="4">
        <f>IFERROR(__xludf.DUMMYFUNCTION("""COMPUTED_VALUE"""),44218.625)</f>
        <v>44218.625</v>
      </c>
      <c r="B258" s="5">
        <f>IFERROR(__xludf.DUMMYFUNCTION("""COMPUTED_VALUE"""),2370.0)</f>
        <v>2370</v>
      </c>
      <c r="C258" s="5">
        <f>IFERROR(__xludf.DUMMYFUNCTION("""COMPUTED_VALUE"""),2390.0)</f>
        <v>2390</v>
      </c>
      <c r="D258" s="5">
        <f>IFERROR(__xludf.DUMMYFUNCTION("""COMPUTED_VALUE"""),2200.0)</f>
        <v>2200</v>
      </c>
      <c r="E258" s="5">
        <f>IFERROR(__xludf.DUMMYFUNCTION("""COMPUTED_VALUE"""),2200.0)</f>
        <v>2200</v>
      </c>
      <c r="F258" s="5">
        <f>IFERROR(__xludf.DUMMYFUNCTION("""COMPUTED_VALUE"""),1.872378E8)</f>
        <v>187237800</v>
      </c>
      <c r="G258" s="5">
        <f t="shared" si="1"/>
        <v>190</v>
      </c>
    </row>
    <row r="259">
      <c r="A259" s="4">
        <f>IFERROR(__xludf.DUMMYFUNCTION("""COMPUTED_VALUE"""),44221.625)</f>
        <v>44221.625</v>
      </c>
      <c r="B259" s="5">
        <f>IFERROR(__xludf.DUMMYFUNCTION("""COMPUTED_VALUE"""),2170.0)</f>
        <v>2170</v>
      </c>
      <c r="C259" s="5">
        <f>IFERROR(__xludf.DUMMYFUNCTION("""COMPUTED_VALUE"""),2280.0)</f>
        <v>2280</v>
      </c>
      <c r="D259" s="5">
        <f>IFERROR(__xludf.DUMMYFUNCTION("""COMPUTED_VALUE"""),2050.0)</f>
        <v>2050</v>
      </c>
      <c r="E259" s="5">
        <f>IFERROR(__xludf.DUMMYFUNCTION("""COMPUTED_VALUE"""),2230.0)</f>
        <v>2230</v>
      </c>
      <c r="F259" s="5">
        <f>IFERROR(__xludf.DUMMYFUNCTION("""COMPUTED_VALUE"""),2.918853E8)</f>
        <v>291885300</v>
      </c>
      <c r="G259" s="5">
        <f t="shared" si="1"/>
        <v>230</v>
      </c>
    </row>
    <row r="260">
      <c r="A260" s="4">
        <f>IFERROR(__xludf.DUMMYFUNCTION("""COMPUTED_VALUE"""),44222.625)</f>
        <v>44222.625</v>
      </c>
      <c r="B260" s="5">
        <f>IFERROR(__xludf.DUMMYFUNCTION("""COMPUTED_VALUE"""),2260.0)</f>
        <v>2260</v>
      </c>
      <c r="C260" s="5">
        <f>IFERROR(__xludf.DUMMYFUNCTION("""COMPUTED_VALUE"""),2310.0)</f>
        <v>2310</v>
      </c>
      <c r="D260" s="5">
        <f>IFERROR(__xludf.DUMMYFUNCTION("""COMPUTED_VALUE"""),2080.0)</f>
        <v>2080</v>
      </c>
      <c r="E260" s="5">
        <f>IFERROR(__xludf.DUMMYFUNCTION("""COMPUTED_VALUE"""),2080.0)</f>
        <v>2080</v>
      </c>
      <c r="F260" s="5">
        <f>IFERROR(__xludf.DUMMYFUNCTION("""COMPUTED_VALUE"""),2.31407E8)</f>
        <v>231407000</v>
      </c>
      <c r="G260" s="5">
        <f t="shared" si="1"/>
        <v>230</v>
      </c>
    </row>
    <row r="261">
      <c r="A261" s="4">
        <f>IFERROR(__xludf.DUMMYFUNCTION("""COMPUTED_VALUE"""),44223.625)</f>
        <v>44223.625</v>
      </c>
      <c r="B261" s="5">
        <f>IFERROR(__xludf.DUMMYFUNCTION("""COMPUTED_VALUE"""),2100.0)</f>
        <v>2100</v>
      </c>
      <c r="C261" s="5">
        <f>IFERROR(__xludf.DUMMYFUNCTION("""COMPUTED_VALUE"""),2120.0)</f>
        <v>2120</v>
      </c>
      <c r="D261" s="5">
        <f>IFERROR(__xludf.DUMMYFUNCTION("""COMPUTED_VALUE"""),1940.0)</f>
        <v>1940</v>
      </c>
      <c r="E261" s="5">
        <f>IFERROR(__xludf.DUMMYFUNCTION("""COMPUTED_VALUE"""),1950.0)</f>
        <v>1950</v>
      </c>
      <c r="F261" s="5">
        <f>IFERROR(__xludf.DUMMYFUNCTION("""COMPUTED_VALUE"""),2.663616E8)</f>
        <v>266361600</v>
      </c>
      <c r="G261" s="5">
        <f t="shared" si="1"/>
        <v>180</v>
      </c>
    </row>
    <row r="262">
      <c r="A262" s="4">
        <f>IFERROR(__xludf.DUMMYFUNCTION("""COMPUTED_VALUE"""),44224.625)</f>
        <v>44224.625</v>
      </c>
      <c r="B262" s="5">
        <f>IFERROR(__xludf.DUMMYFUNCTION("""COMPUTED_VALUE"""),1900.0)</f>
        <v>1900</v>
      </c>
      <c r="C262" s="5">
        <f>IFERROR(__xludf.DUMMYFUNCTION("""COMPUTED_VALUE"""),1940.0)</f>
        <v>1940</v>
      </c>
      <c r="D262" s="5">
        <f>IFERROR(__xludf.DUMMYFUNCTION("""COMPUTED_VALUE"""),1815.0)</f>
        <v>1815</v>
      </c>
      <c r="E262" s="5">
        <f>IFERROR(__xludf.DUMMYFUNCTION("""COMPUTED_VALUE"""),1815.0)</f>
        <v>1815</v>
      </c>
      <c r="F262" s="5">
        <f>IFERROR(__xludf.DUMMYFUNCTION("""COMPUTED_VALUE"""),1.535331E8)</f>
        <v>153533100</v>
      </c>
      <c r="G262" s="5">
        <f t="shared" si="1"/>
        <v>135</v>
      </c>
    </row>
    <row r="263">
      <c r="A263" s="4">
        <f>IFERROR(__xludf.DUMMYFUNCTION("""COMPUTED_VALUE"""),44225.625)</f>
        <v>44225.625</v>
      </c>
      <c r="B263" s="5">
        <f>IFERROR(__xludf.DUMMYFUNCTION("""COMPUTED_VALUE"""),1800.0)</f>
        <v>1800</v>
      </c>
      <c r="C263" s="5">
        <f>IFERROR(__xludf.DUMMYFUNCTION("""COMPUTED_VALUE"""),1850.0)</f>
        <v>1850</v>
      </c>
      <c r="D263" s="5">
        <f>IFERROR(__xludf.DUMMYFUNCTION("""COMPUTED_VALUE"""),1690.0)</f>
        <v>1690</v>
      </c>
      <c r="E263" s="5">
        <f>IFERROR(__xludf.DUMMYFUNCTION("""COMPUTED_VALUE"""),1690.0)</f>
        <v>1690</v>
      </c>
      <c r="F263" s="5">
        <f>IFERROR(__xludf.DUMMYFUNCTION("""COMPUTED_VALUE"""),1.046488E8)</f>
        <v>104648800</v>
      </c>
      <c r="G263" s="5">
        <f t="shared" si="1"/>
        <v>160</v>
      </c>
    </row>
    <row r="264">
      <c r="A264" s="4">
        <f>IFERROR(__xludf.DUMMYFUNCTION("""COMPUTED_VALUE"""),44228.625)</f>
        <v>44228.625</v>
      </c>
      <c r="B264" s="5">
        <f>IFERROR(__xludf.DUMMYFUNCTION("""COMPUTED_VALUE"""),1640.0)</f>
        <v>1640</v>
      </c>
      <c r="C264" s="5">
        <f>IFERROR(__xludf.DUMMYFUNCTION("""COMPUTED_VALUE"""),2090.0)</f>
        <v>2090</v>
      </c>
      <c r="D264" s="5">
        <f>IFERROR(__xludf.DUMMYFUNCTION("""COMPUTED_VALUE"""),1575.0)</f>
        <v>1575</v>
      </c>
      <c r="E264" s="5">
        <f>IFERROR(__xludf.DUMMYFUNCTION("""COMPUTED_VALUE"""),2050.0)</f>
        <v>2050</v>
      </c>
      <c r="F264" s="5">
        <f>IFERROR(__xludf.DUMMYFUNCTION("""COMPUTED_VALUE"""),4.165906E8)</f>
        <v>416590600</v>
      </c>
      <c r="G264" s="5">
        <f t="shared" si="1"/>
        <v>515</v>
      </c>
    </row>
    <row r="265">
      <c r="A265" s="4">
        <f>IFERROR(__xludf.DUMMYFUNCTION("""COMPUTED_VALUE"""),44229.625)</f>
        <v>44229.625</v>
      </c>
      <c r="B265" s="5">
        <f>IFERROR(__xludf.DUMMYFUNCTION("""COMPUTED_VALUE"""),2070.0)</f>
        <v>2070</v>
      </c>
      <c r="C265" s="5">
        <f>IFERROR(__xludf.DUMMYFUNCTION("""COMPUTED_VALUE"""),2120.0)</f>
        <v>2120</v>
      </c>
      <c r="D265" s="5">
        <f>IFERROR(__xludf.DUMMYFUNCTION("""COMPUTED_VALUE"""),1910.0)</f>
        <v>1910</v>
      </c>
      <c r="E265" s="5">
        <f>IFERROR(__xludf.DUMMYFUNCTION("""COMPUTED_VALUE"""),1910.0)</f>
        <v>1910</v>
      </c>
      <c r="F265" s="5">
        <f>IFERROR(__xludf.DUMMYFUNCTION("""COMPUTED_VALUE"""),2.467201E8)</f>
        <v>246720100</v>
      </c>
      <c r="G265" s="5">
        <f t="shared" si="1"/>
        <v>210</v>
      </c>
    </row>
    <row r="266">
      <c r="A266" s="4">
        <f>IFERROR(__xludf.DUMMYFUNCTION("""COMPUTED_VALUE"""),44230.625)</f>
        <v>44230.625</v>
      </c>
      <c r="B266" s="5">
        <f>IFERROR(__xludf.DUMMYFUNCTION("""COMPUTED_VALUE"""),1880.0)</f>
        <v>1880</v>
      </c>
      <c r="C266" s="5">
        <f>IFERROR(__xludf.DUMMYFUNCTION("""COMPUTED_VALUE"""),2040.0)</f>
        <v>2040</v>
      </c>
      <c r="D266" s="5">
        <f>IFERROR(__xludf.DUMMYFUNCTION("""COMPUTED_VALUE"""),1870.0)</f>
        <v>1870</v>
      </c>
      <c r="E266" s="5">
        <f>IFERROR(__xludf.DUMMYFUNCTION("""COMPUTED_VALUE"""),1885.0)</f>
        <v>1885</v>
      </c>
      <c r="F266" s="5">
        <f>IFERROR(__xludf.DUMMYFUNCTION("""COMPUTED_VALUE"""),1.725989E8)</f>
        <v>172598900</v>
      </c>
      <c r="G266" s="5">
        <f t="shared" si="1"/>
        <v>170</v>
      </c>
    </row>
    <row r="267">
      <c r="A267" s="4">
        <f>IFERROR(__xludf.DUMMYFUNCTION("""COMPUTED_VALUE"""),44231.625)</f>
        <v>44231.625</v>
      </c>
      <c r="B267" s="5">
        <f>IFERROR(__xludf.DUMMYFUNCTION("""COMPUTED_VALUE"""),1950.0)</f>
        <v>1950</v>
      </c>
      <c r="C267" s="5">
        <f>IFERROR(__xludf.DUMMYFUNCTION("""COMPUTED_VALUE"""),2020.0)</f>
        <v>2020</v>
      </c>
      <c r="D267" s="5">
        <f>IFERROR(__xludf.DUMMYFUNCTION("""COMPUTED_VALUE"""),1835.0)</f>
        <v>1835</v>
      </c>
      <c r="E267" s="5">
        <f>IFERROR(__xludf.DUMMYFUNCTION("""COMPUTED_VALUE"""),1925.0)</f>
        <v>1925</v>
      </c>
      <c r="F267" s="5">
        <f>IFERROR(__xludf.DUMMYFUNCTION("""COMPUTED_VALUE"""),1.30572E8)</f>
        <v>130572000</v>
      </c>
      <c r="G267" s="5">
        <f t="shared" si="1"/>
        <v>185</v>
      </c>
    </row>
    <row r="268">
      <c r="A268" s="4">
        <f>IFERROR(__xludf.DUMMYFUNCTION("""COMPUTED_VALUE"""),44232.625)</f>
        <v>44232.625</v>
      </c>
      <c r="B268" s="5">
        <f>IFERROR(__xludf.DUMMYFUNCTION("""COMPUTED_VALUE"""),1965.0)</f>
        <v>1965</v>
      </c>
      <c r="C268" s="5">
        <f>IFERROR(__xludf.DUMMYFUNCTION("""COMPUTED_VALUE"""),2020.0)</f>
        <v>2020</v>
      </c>
      <c r="D268" s="5">
        <f>IFERROR(__xludf.DUMMYFUNCTION("""COMPUTED_VALUE"""),1900.0)</f>
        <v>1900</v>
      </c>
      <c r="E268" s="5">
        <f>IFERROR(__xludf.DUMMYFUNCTION("""COMPUTED_VALUE"""),1985.0)</f>
        <v>1985</v>
      </c>
      <c r="F268" s="5">
        <f>IFERROR(__xludf.DUMMYFUNCTION("""COMPUTED_VALUE"""),2.13918E8)</f>
        <v>213918000</v>
      </c>
      <c r="G268" s="5">
        <f t="shared" si="1"/>
        <v>120</v>
      </c>
    </row>
    <row r="269">
      <c r="A269" s="4">
        <f>IFERROR(__xludf.DUMMYFUNCTION("""COMPUTED_VALUE"""),44235.625)</f>
        <v>44235.625</v>
      </c>
      <c r="B269" s="5">
        <f>IFERROR(__xludf.DUMMYFUNCTION("""COMPUTED_VALUE"""),2050.0)</f>
        <v>2050</v>
      </c>
      <c r="C269" s="5">
        <f>IFERROR(__xludf.DUMMYFUNCTION("""COMPUTED_VALUE"""),2150.0)</f>
        <v>2150</v>
      </c>
      <c r="D269" s="5">
        <f>IFERROR(__xludf.DUMMYFUNCTION("""COMPUTED_VALUE"""),2010.0)</f>
        <v>2010</v>
      </c>
      <c r="E269" s="5">
        <f>IFERROR(__xludf.DUMMYFUNCTION("""COMPUTED_VALUE"""),2150.0)</f>
        <v>2150</v>
      </c>
      <c r="F269" s="5">
        <f>IFERROR(__xludf.DUMMYFUNCTION("""COMPUTED_VALUE"""),2.645251E8)</f>
        <v>264525100</v>
      </c>
      <c r="G269" s="5">
        <f t="shared" si="1"/>
        <v>165</v>
      </c>
    </row>
    <row r="270">
      <c r="A270" s="4">
        <f>IFERROR(__xludf.DUMMYFUNCTION("""COMPUTED_VALUE"""),44236.625)</f>
        <v>44236.625</v>
      </c>
      <c r="B270" s="5">
        <f>IFERROR(__xludf.DUMMYFUNCTION("""COMPUTED_VALUE"""),2160.0)</f>
        <v>2160</v>
      </c>
      <c r="C270" s="5">
        <f>IFERROR(__xludf.DUMMYFUNCTION("""COMPUTED_VALUE"""),2180.0)</f>
        <v>2180</v>
      </c>
      <c r="D270" s="5">
        <f>IFERROR(__xludf.DUMMYFUNCTION("""COMPUTED_VALUE"""),2000.0)</f>
        <v>2000</v>
      </c>
      <c r="E270" s="5">
        <f>IFERROR(__xludf.DUMMYFUNCTION("""COMPUTED_VALUE"""),2070.0)</f>
        <v>2070</v>
      </c>
      <c r="F270" s="5">
        <f>IFERROR(__xludf.DUMMYFUNCTION("""COMPUTED_VALUE"""),1.673464E8)</f>
        <v>167346400</v>
      </c>
      <c r="G270" s="5">
        <f t="shared" si="1"/>
        <v>180</v>
      </c>
    </row>
    <row r="271">
      <c r="A271" s="4">
        <f>IFERROR(__xludf.DUMMYFUNCTION("""COMPUTED_VALUE"""),44237.625)</f>
        <v>44237.625</v>
      </c>
      <c r="B271" s="5">
        <f>IFERROR(__xludf.DUMMYFUNCTION("""COMPUTED_VALUE"""),2090.0)</f>
        <v>2090</v>
      </c>
      <c r="C271" s="5">
        <f>IFERROR(__xludf.DUMMYFUNCTION("""COMPUTED_VALUE"""),2150.0)</f>
        <v>2150</v>
      </c>
      <c r="D271" s="5">
        <f>IFERROR(__xludf.DUMMYFUNCTION("""COMPUTED_VALUE"""),2030.0)</f>
        <v>2030</v>
      </c>
      <c r="E271" s="5">
        <f>IFERROR(__xludf.DUMMYFUNCTION("""COMPUTED_VALUE"""),2100.0)</f>
        <v>2100</v>
      </c>
      <c r="F271" s="5">
        <f>IFERROR(__xludf.DUMMYFUNCTION("""COMPUTED_VALUE"""),1.605646E8)</f>
        <v>160564600</v>
      </c>
      <c r="G271" s="5">
        <f t="shared" si="1"/>
        <v>120</v>
      </c>
    </row>
    <row r="272">
      <c r="A272" s="4">
        <f>IFERROR(__xludf.DUMMYFUNCTION("""COMPUTED_VALUE"""),44238.625)</f>
        <v>44238.625</v>
      </c>
      <c r="B272" s="5">
        <f>IFERROR(__xludf.DUMMYFUNCTION("""COMPUTED_VALUE"""),2120.0)</f>
        <v>2120</v>
      </c>
      <c r="C272" s="5">
        <f>IFERROR(__xludf.DUMMYFUNCTION("""COMPUTED_VALUE"""),2140.0)</f>
        <v>2140</v>
      </c>
      <c r="D272" s="5">
        <f>IFERROR(__xludf.DUMMYFUNCTION("""COMPUTED_VALUE"""),2070.0)</f>
        <v>2070</v>
      </c>
      <c r="E272" s="5">
        <f>IFERROR(__xludf.DUMMYFUNCTION("""COMPUTED_VALUE"""),2080.0)</f>
        <v>2080</v>
      </c>
      <c r="F272" s="5">
        <f>IFERROR(__xludf.DUMMYFUNCTION("""COMPUTED_VALUE"""),6.71389E7)</f>
        <v>67138900</v>
      </c>
      <c r="G272" s="5">
        <f t="shared" si="1"/>
        <v>70</v>
      </c>
    </row>
    <row r="273">
      <c r="A273" s="4">
        <f>IFERROR(__xludf.DUMMYFUNCTION("""COMPUTED_VALUE"""),44242.625)</f>
        <v>44242.625</v>
      </c>
      <c r="B273" s="5">
        <f>IFERROR(__xludf.DUMMYFUNCTION("""COMPUTED_VALUE"""),2130.0)</f>
        <v>2130</v>
      </c>
      <c r="C273" s="5">
        <f>IFERROR(__xludf.DUMMYFUNCTION("""COMPUTED_VALUE"""),2150.0)</f>
        <v>2150</v>
      </c>
      <c r="D273" s="5">
        <f>IFERROR(__xludf.DUMMYFUNCTION("""COMPUTED_VALUE"""),2070.0)</f>
        <v>2070</v>
      </c>
      <c r="E273" s="5">
        <f>IFERROR(__xludf.DUMMYFUNCTION("""COMPUTED_VALUE"""),2100.0)</f>
        <v>2100</v>
      </c>
      <c r="F273" s="5">
        <f>IFERROR(__xludf.DUMMYFUNCTION("""COMPUTED_VALUE"""),1.04759E8)</f>
        <v>104759000</v>
      </c>
      <c r="G273" s="5">
        <f t="shared" si="1"/>
        <v>80</v>
      </c>
    </row>
    <row r="274">
      <c r="A274" s="4">
        <f>IFERROR(__xludf.DUMMYFUNCTION("""COMPUTED_VALUE"""),44243.625)</f>
        <v>44243.625</v>
      </c>
      <c r="B274" s="5">
        <f>IFERROR(__xludf.DUMMYFUNCTION("""COMPUTED_VALUE"""),2150.0)</f>
        <v>2150</v>
      </c>
      <c r="C274" s="5">
        <f>IFERROR(__xludf.DUMMYFUNCTION("""COMPUTED_VALUE"""),2360.0)</f>
        <v>2360</v>
      </c>
      <c r="D274" s="5">
        <f>IFERROR(__xludf.DUMMYFUNCTION("""COMPUTED_VALUE"""),2140.0)</f>
        <v>2140</v>
      </c>
      <c r="E274" s="5">
        <f>IFERROR(__xludf.DUMMYFUNCTION("""COMPUTED_VALUE"""),2330.0)</f>
        <v>2330</v>
      </c>
      <c r="F274" s="5">
        <f>IFERROR(__xludf.DUMMYFUNCTION("""COMPUTED_VALUE"""),5.16329E8)</f>
        <v>516329000</v>
      </c>
      <c r="G274" s="5">
        <f t="shared" si="1"/>
        <v>260</v>
      </c>
    </row>
    <row r="275">
      <c r="A275" s="4">
        <f>IFERROR(__xludf.DUMMYFUNCTION("""COMPUTED_VALUE"""),44244.625)</f>
        <v>44244.625</v>
      </c>
      <c r="B275" s="5">
        <f>IFERROR(__xludf.DUMMYFUNCTION("""COMPUTED_VALUE"""),2280.0)</f>
        <v>2280</v>
      </c>
      <c r="C275" s="5">
        <f>IFERROR(__xludf.DUMMYFUNCTION("""COMPUTED_VALUE"""),2320.0)</f>
        <v>2320</v>
      </c>
      <c r="D275" s="5">
        <f>IFERROR(__xludf.DUMMYFUNCTION("""COMPUTED_VALUE"""),2170.0)</f>
        <v>2170</v>
      </c>
      <c r="E275" s="5">
        <f>IFERROR(__xludf.DUMMYFUNCTION("""COMPUTED_VALUE"""),2210.0)</f>
        <v>2210</v>
      </c>
      <c r="F275" s="5">
        <f>IFERROR(__xludf.DUMMYFUNCTION("""COMPUTED_VALUE"""),2.313206E8)</f>
        <v>231320600</v>
      </c>
      <c r="G275" s="5">
        <f t="shared" si="1"/>
        <v>160</v>
      </c>
    </row>
    <row r="276">
      <c r="A276" s="4">
        <f>IFERROR(__xludf.DUMMYFUNCTION("""COMPUTED_VALUE"""),44245.625)</f>
        <v>44245.625</v>
      </c>
      <c r="B276" s="5">
        <f>IFERROR(__xludf.DUMMYFUNCTION("""COMPUTED_VALUE"""),2210.0)</f>
        <v>2210</v>
      </c>
      <c r="C276" s="5">
        <f>IFERROR(__xludf.DUMMYFUNCTION("""COMPUTED_VALUE"""),2390.0)</f>
        <v>2390</v>
      </c>
      <c r="D276" s="5">
        <f>IFERROR(__xludf.DUMMYFUNCTION("""COMPUTED_VALUE"""),2170.0)</f>
        <v>2170</v>
      </c>
      <c r="E276" s="5">
        <f>IFERROR(__xludf.DUMMYFUNCTION("""COMPUTED_VALUE"""),2390.0)</f>
        <v>2390</v>
      </c>
      <c r="F276" s="5">
        <f>IFERROR(__xludf.DUMMYFUNCTION("""COMPUTED_VALUE"""),3.660581E8)</f>
        <v>366058100</v>
      </c>
      <c r="G276" s="5">
        <f t="shared" si="1"/>
        <v>220</v>
      </c>
    </row>
    <row r="277">
      <c r="A277" s="4">
        <f>IFERROR(__xludf.DUMMYFUNCTION("""COMPUTED_VALUE"""),44246.625)</f>
        <v>44246.625</v>
      </c>
      <c r="B277" s="5">
        <f>IFERROR(__xludf.DUMMYFUNCTION("""COMPUTED_VALUE"""),2400.0)</f>
        <v>2400</v>
      </c>
      <c r="C277" s="5">
        <f>IFERROR(__xludf.DUMMYFUNCTION("""COMPUTED_VALUE"""),2420.0)</f>
        <v>2420</v>
      </c>
      <c r="D277" s="5">
        <f>IFERROR(__xludf.DUMMYFUNCTION("""COMPUTED_VALUE"""),2270.0)</f>
        <v>2270</v>
      </c>
      <c r="E277" s="5">
        <f>IFERROR(__xludf.DUMMYFUNCTION("""COMPUTED_VALUE"""),2320.0)</f>
        <v>2320</v>
      </c>
      <c r="F277" s="5">
        <f>IFERROR(__xludf.DUMMYFUNCTION("""COMPUTED_VALUE"""),3.090535E8)</f>
        <v>309053500</v>
      </c>
      <c r="G277" s="5">
        <f t="shared" si="1"/>
        <v>150</v>
      </c>
    </row>
    <row r="278">
      <c r="A278" s="4">
        <f>IFERROR(__xludf.DUMMYFUNCTION("""COMPUTED_VALUE"""),44249.625)</f>
        <v>44249.625</v>
      </c>
      <c r="B278" s="5">
        <f>IFERROR(__xludf.DUMMYFUNCTION("""COMPUTED_VALUE"""),2430.0)</f>
        <v>2430</v>
      </c>
      <c r="C278" s="5">
        <f>IFERROR(__xludf.DUMMYFUNCTION("""COMPUTED_VALUE"""),2500.0)</f>
        <v>2500</v>
      </c>
      <c r="D278" s="5">
        <f>IFERROR(__xludf.DUMMYFUNCTION("""COMPUTED_VALUE"""),2360.0)</f>
        <v>2360</v>
      </c>
      <c r="E278" s="5">
        <f>IFERROR(__xludf.DUMMYFUNCTION("""COMPUTED_VALUE"""),2370.0)</f>
        <v>2370</v>
      </c>
      <c r="F278" s="5">
        <f>IFERROR(__xludf.DUMMYFUNCTION("""COMPUTED_VALUE"""),2.823089E8)</f>
        <v>282308900</v>
      </c>
      <c r="G278" s="5">
        <f t="shared" si="1"/>
        <v>180</v>
      </c>
    </row>
    <row r="279">
      <c r="A279" s="4">
        <f>IFERROR(__xludf.DUMMYFUNCTION("""COMPUTED_VALUE"""),44250.66666666667)</f>
        <v>44250.66667</v>
      </c>
      <c r="B279" s="5">
        <f>IFERROR(__xludf.DUMMYFUNCTION("""COMPUTED_VALUE"""),2370.0)</f>
        <v>2370</v>
      </c>
      <c r="C279" s="5">
        <f>IFERROR(__xludf.DUMMYFUNCTION("""COMPUTED_VALUE"""),2430.0)</f>
        <v>2430</v>
      </c>
      <c r="D279" s="5">
        <f>IFERROR(__xludf.DUMMYFUNCTION("""COMPUTED_VALUE"""),2350.0)</f>
        <v>2350</v>
      </c>
      <c r="E279" s="5">
        <f>IFERROR(__xludf.DUMMYFUNCTION("""COMPUTED_VALUE"""),2360.0)</f>
        <v>2360</v>
      </c>
      <c r="F279" s="5">
        <f>IFERROR(__xludf.DUMMYFUNCTION("""COMPUTED_VALUE"""),1.047825E8)</f>
        <v>104782500</v>
      </c>
      <c r="G279" s="5">
        <f t="shared" si="1"/>
        <v>80</v>
      </c>
    </row>
    <row r="280">
      <c r="A280" s="4">
        <f>IFERROR(__xludf.DUMMYFUNCTION("""COMPUTED_VALUE"""),44251.625)</f>
        <v>44251.625</v>
      </c>
      <c r="B280" s="5">
        <f>IFERROR(__xludf.DUMMYFUNCTION("""COMPUTED_VALUE"""),2350.0)</f>
        <v>2350</v>
      </c>
      <c r="C280" s="5">
        <f>IFERROR(__xludf.DUMMYFUNCTION("""COMPUTED_VALUE"""),2380.0)</f>
        <v>2380</v>
      </c>
      <c r="D280" s="5">
        <f>IFERROR(__xludf.DUMMYFUNCTION("""COMPUTED_VALUE"""),2220.0)</f>
        <v>2220</v>
      </c>
      <c r="E280" s="5">
        <f>IFERROR(__xludf.DUMMYFUNCTION("""COMPUTED_VALUE"""),2280.0)</f>
        <v>2280</v>
      </c>
      <c r="F280" s="5">
        <f>IFERROR(__xludf.DUMMYFUNCTION("""COMPUTED_VALUE"""),1.427888E8)</f>
        <v>142788800</v>
      </c>
      <c r="G280" s="5">
        <f t="shared" si="1"/>
        <v>160</v>
      </c>
    </row>
    <row r="281">
      <c r="A281" s="4">
        <f>IFERROR(__xludf.DUMMYFUNCTION("""COMPUTED_VALUE"""),44252.625)</f>
        <v>44252.625</v>
      </c>
      <c r="B281" s="5">
        <f>IFERROR(__xludf.DUMMYFUNCTION("""COMPUTED_VALUE"""),2330.0)</f>
        <v>2330</v>
      </c>
      <c r="C281" s="5">
        <f>IFERROR(__xludf.DUMMYFUNCTION("""COMPUTED_VALUE"""),2380.0)</f>
        <v>2380</v>
      </c>
      <c r="D281" s="5">
        <f>IFERROR(__xludf.DUMMYFUNCTION("""COMPUTED_VALUE"""),2290.0)</f>
        <v>2290</v>
      </c>
      <c r="E281" s="5">
        <f>IFERROR(__xludf.DUMMYFUNCTION("""COMPUTED_VALUE"""),2310.0)</f>
        <v>2310</v>
      </c>
      <c r="F281" s="5">
        <f>IFERROR(__xludf.DUMMYFUNCTION("""COMPUTED_VALUE"""),1.235969E8)</f>
        <v>123596900</v>
      </c>
      <c r="G281" s="5">
        <f t="shared" si="1"/>
        <v>100</v>
      </c>
    </row>
    <row r="282">
      <c r="A282" s="4">
        <f>IFERROR(__xludf.DUMMYFUNCTION("""COMPUTED_VALUE"""),44253.625)</f>
        <v>44253.625</v>
      </c>
      <c r="B282" s="5">
        <f>IFERROR(__xludf.DUMMYFUNCTION("""COMPUTED_VALUE"""),2200.0)</f>
        <v>2200</v>
      </c>
      <c r="C282" s="5">
        <f>IFERROR(__xludf.DUMMYFUNCTION("""COMPUTED_VALUE"""),2270.0)</f>
        <v>2270</v>
      </c>
      <c r="D282" s="5">
        <f>IFERROR(__xludf.DUMMYFUNCTION("""COMPUTED_VALUE"""),2160.0)</f>
        <v>2160</v>
      </c>
      <c r="E282" s="5">
        <f>IFERROR(__xludf.DUMMYFUNCTION("""COMPUTED_VALUE"""),2220.0)</f>
        <v>2220</v>
      </c>
      <c r="F282" s="5">
        <f>IFERROR(__xludf.DUMMYFUNCTION("""COMPUTED_VALUE"""),1.891102E8)</f>
        <v>189110200</v>
      </c>
      <c r="G282" s="5">
        <f t="shared" si="1"/>
        <v>150</v>
      </c>
    </row>
    <row r="283">
      <c r="A283" s="4">
        <f>IFERROR(__xludf.DUMMYFUNCTION("""COMPUTED_VALUE"""),44256.625)</f>
        <v>44256.625</v>
      </c>
      <c r="B283" s="5">
        <f>IFERROR(__xludf.DUMMYFUNCTION("""COMPUTED_VALUE"""),2220.0)</f>
        <v>2220</v>
      </c>
      <c r="C283" s="5">
        <f>IFERROR(__xludf.DUMMYFUNCTION("""COMPUTED_VALUE"""),2240.0)</f>
        <v>2240</v>
      </c>
      <c r="D283" s="5">
        <f>IFERROR(__xludf.DUMMYFUNCTION("""COMPUTED_VALUE"""),2160.0)</f>
        <v>2160</v>
      </c>
      <c r="E283" s="5">
        <f>IFERROR(__xludf.DUMMYFUNCTION("""COMPUTED_VALUE"""),2170.0)</f>
        <v>2170</v>
      </c>
      <c r="F283" s="5">
        <f>IFERROR(__xludf.DUMMYFUNCTION("""COMPUTED_VALUE"""),6.98171E7)</f>
        <v>69817100</v>
      </c>
      <c r="G283" s="5">
        <f t="shared" si="1"/>
        <v>80</v>
      </c>
    </row>
    <row r="284">
      <c r="A284" s="4">
        <f>IFERROR(__xludf.DUMMYFUNCTION("""COMPUTED_VALUE"""),44257.625)</f>
        <v>44257.625</v>
      </c>
      <c r="B284" s="5">
        <f>IFERROR(__xludf.DUMMYFUNCTION("""COMPUTED_VALUE"""),2160.0)</f>
        <v>2160</v>
      </c>
      <c r="C284" s="5">
        <f>IFERROR(__xludf.DUMMYFUNCTION("""COMPUTED_VALUE"""),2160.0)</f>
        <v>2160</v>
      </c>
      <c r="D284" s="5">
        <f>IFERROR(__xludf.DUMMYFUNCTION("""COMPUTED_VALUE"""),2050.0)</f>
        <v>2050</v>
      </c>
      <c r="E284" s="5">
        <f>IFERROR(__xludf.DUMMYFUNCTION("""COMPUTED_VALUE"""),2050.0)</f>
        <v>2050</v>
      </c>
      <c r="F284" s="5">
        <f>IFERROR(__xludf.DUMMYFUNCTION("""COMPUTED_VALUE"""),1.825722E8)</f>
        <v>182572200</v>
      </c>
      <c r="G284" s="5">
        <f t="shared" si="1"/>
        <v>120</v>
      </c>
    </row>
    <row r="285">
      <c r="A285" s="4">
        <f>IFERROR(__xludf.DUMMYFUNCTION("""COMPUTED_VALUE"""),44258.625)</f>
        <v>44258.625</v>
      </c>
      <c r="B285" s="5">
        <f>IFERROR(__xludf.DUMMYFUNCTION("""COMPUTED_VALUE"""),2100.0)</f>
        <v>2100</v>
      </c>
      <c r="C285" s="5">
        <f>IFERROR(__xludf.DUMMYFUNCTION("""COMPUTED_VALUE"""),2120.0)</f>
        <v>2120</v>
      </c>
      <c r="D285" s="5">
        <f>IFERROR(__xludf.DUMMYFUNCTION("""COMPUTED_VALUE"""),2010.0)</f>
        <v>2010</v>
      </c>
      <c r="E285" s="5">
        <f>IFERROR(__xludf.DUMMYFUNCTION("""COMPUTED_VALUE"""),2030.0)</f>
        <v>2030</v>
      </c>
      <c r="F285" s="5">
        <f>IFERROR(__xludf.DUMMYFUNCTION("""COMPUTED_VALUE"""),9.49321E7)</f>
        <v>94932100</v>
      </c>
      <c r="G285" s="5">
        <f t="shared" si="1"/>
        <v>110</v>
      </c>
    </row>
    <row r="286">
      <c r="A286" s="4">
        <f>IFERROR(__xludf.DUMMYFUNCTION("""COMPUTED_VALUE"""),44259.625)</f>
        <v>44259.625</v>
      </c>
      <c r="B286" s="5">
        <f>IFERROR(__xludf.DUMMYFUNCTION("""COMPUTED_VALUE"""),2000.0)</f>
        <v>2000</v>
      </c>
      <c r="C286" s="5">
        <f>IFERROR(__xludf.DUMMYFUNCTION("""COMPUTED_VALUE"""),2000.0)</f>
        <v>2000</v>
      </c>
      <c r="D286" s="5">
        <f>IFERROR(__xludf.DUMMYFUNCTION("""COMPUTED_VALUE"""),1890.0)</f>
        <v>1890</v>
      </c>
      <c r="E286" s="5">
        <f>IFERROR(__xludf.DUMMYFUNCTION("""COMPUTED_VALUE"""),1890.0)</f>
        <v>1890</v>
      </c>
      <c r="F286" s="5">
        <f>IFERROR(__xludf.DUMMYFUNCTION("""COMPUTED_VALUE"""),1.676545E8)</f>
        <v>167654500</v>
      </c>
      <c r="G286" s="5">
        <f t="shared" si="1"/>
        <v>140</v>
      </c>
    </row>
    <row r="287">
      <c r="A287" s="4">
        <f>IFERROR(__xludf.DUMMYFUNCTION("""COMPUTED_VALUE"""),44260.625)</f>
        <v>44260.625</v>
      </c>
      <c r="B287" s="5">
        <f>IFERROR(__xludf.DUMMYFUNCTION("""COMPUTED_VALUE"""),1850.0)</f>
        <v>1850</v>
      </c>
      <c r="C287" s="5">
        <f>IFERROR(__xludf.DUMMYFUNCTION("""COMPUTED_VALUE"""),1975.0)</f>
        <v>1975</v>
      </c>
      <c r="D287" s="5">
        <f>IFERROR(__xludf.DUMMYFUNCTION("""COMPUTED_VALUE"""),1780.0)</f>
        <v>1780</v>
      </c>
      <c r="E287" s="5">
        <f>IFERROR(__xludf.DUMMYFUNCTION("""COMPUTED_VALUE"""),1890.0)</f>
        <v>1890</v>
      </c>
      <c r="F287" s="5">
        <f>IFERROR(__xludf.DUMMYFUNCTION("""COMPUTED_VALUE"""),2.078155E8)</f>
        <v>207815500</v>
      </c>
      <c r="G287" s="5">
        <f t="shared" si="1"/>
        <v>195</v>
      </c>
    </row>
    <row r="288">
      <c r="A288" s="4">
        <f>IFERROR(__xludf.DUMMYFUNCTION("""COMPUTED_VALUE"""),44263.66666666667)</f>
        <v>44263.66667</v>
      </c>
      <c r="B288" s="5">
        <f>IFERROR(__xludf.DUMMYFUNCTION("""COMPUTED_VALUE"""),1940.0)</f>
        <v>1940</v>
      </c>
      <c r="C288" s="5">
        <f>IFERROR(__xludf.DUMMYFUNCTION("""COMPUTED_VALUE"""),1965.0)</f>
        <v>1965</v>
      </c>
      <c r="D288" s="5">
        <f>IFERROR(__xludf.DUMMYFUNCTION("""COMPUTED_VALUE"""),1780.0)</f>
        <v>1780</v>
      </c>
      <c r="E288" s="5">
        <f>IFERROR(__xludf.DUMMYFUNCTION("""COMPUTED_VALUE"""),1790.0)</f>
        <v>1790</v>
      </c>
      <c r="F288" s="5">
        <f>IFERROR(__xludf.DUMMYFUNCTION("""COMPUTED_VALUE"""),1.217041E8)</f>
        <v>121704100</v>
      </c>
      <c r="G288" s="5">
        <f t="shared" si="1"/>
        <v>185</v>
      </c>
    </row>
    <row r="289">
      <c r="A289" s="4">
        <f>IFERROR(__xludf.DUMMYFUNCTION("""COMPUTED_VALUE"""),44264.625)</f>
        <v>44264.625</v>
      </c>
      <c r="B289" s="5">
        <f>IFERROR(__xludf.DUMMYFUNCTION("""COMPUTED_VALUE"""),1800.0)</f>
        <v>1800</v>
      </c>
      <c r="C289" s="5">
        <f>IFERROR(__xludf.DUMMYFUNCTION("""COMPUTED_VALUE"""),1850.0)</f>
        <v>1850</v>
      </c>
      <c r="D289" s="5">
        <f>IFERROR(__xludf.DUMMYFUNCTION("""COMPUTED_VALUE"""),1735.0)</f>
        <v>1735</v>
      </c>
      <c r="E289" s="5">
        <f>IFERROR(__xludf.DUMMYFUNCTION("""COMPUTED_VALUE"""),1760.0)</f>
        <v>1760</v>
      </c>
      <c r="F289" s="5">
        <f>IFERROR(__xludf.DUMMYFUNCTION("""COMPUTED_VALUE"""),1.105477E8)</f>
        <v>110547700</v>
      </c>
      <c r="G289" s="5">
        <f t="shared" si="1"/>
        <v>115</v>
      </c>
    </row>
    <row r="290">
      <c r="A290" s="4">
        <f>IFERROR(__xludf.DUMMYFUNCTION("""COMPUTED_VALUE"""),44265.625)</f>
        <v>44265.625</v>
      </c>
      <c r="B290" s="5">
        <f>IFERROR(__xludf.DUMMYFUNCTION("""COMPUTED_VALUE"""),1780.0)</f>
        <v>1780</v>
      </c>
      <c r="C290" s="5">
        <f>IFERROR(__xludf.DUMMYFUNCTION("""COMPUTED_VALUE"""),1815.0)</f>
        <v>1815</v>
      </c>
      <c r="D290" s="5">
        <f>IFERROR(__xludf.DUMMYFUNCTION("""COMPUTED_VALUE"""),1750.0)</f>
        <v>1750</v>
      </c>
      <c r="E290" s="5">
        <f>IFERROR(__xludf.DUMMYFUNCTION("""COMPUTED_VALUE"""),1780.0)</f>
        <v>1780</v>
      </c>
      <c r="F290" s="5">
        <f>IFERROR(__xludf.DUMMYFUNCTION("""COMPUTED_VALUE"""),4.94395E7)</f>
        <v>49439500</v>
      </c>
      <c r="G290" s="5">
        <f t="shared" si="1"/>
        <v>65</v>
      </c>
    </row>
    <row r="291">
      <c r="A291" s="4">
        <f>IFERROR(__xludf.DUMMYFUNCTION("""COMPUTED_VALUE"""),44267.625)</f>
        <v>44267.625</v>
      </c>
      <c r="B291" s="5">
        <f>IFERROR(__xludf.DUMMYFUNCTION("""COMPUTED_VALUE"""),1830.0)</f>
        <v>1830</v>
      </c>
      <c r="C291" s="5">
        <f>IFERROR(__xludf.DUMMYFUNCTION("""COMPUTED_VALUE"""),2040.0)</f>
        <v>2040</v>
      </c>
      <c r="D291" s="5">
        <f>IFERROR(__xludf.DUMMYFUNCTION("""COMPUTED_VALUE"""),1815.0)</f>
        <v>1815</v>
      </c>
      <c r="E291" s="5">
        <f>IFERROR(__xludf.DUMMYFUNCTION("""COMPUTED_VALUE"""),2040.0)</f>
        <v>2040</v>
      </c>
      <c r="F291" s="5">
        <f>IFERROR(__xludf.DUMMYFUNCTION("""COMPUTED_VALUE"""),2.221633E8)</f>
        <v>222163300</v>
      </c>
      <c r="G291" s="5">
        <f t="shared" si="1"/>
        <v>260</v>
      </c>
    </row>
    <row r="292">
      <c r="A292" s="4">
        <f>IFERROR(__xludf.DUMMYFUNCTION("""COMPUTED_VALUE"""),44270.625)</f>
        <v>44270.625</v>
      </c>
      <c r="B292" s="5">
        <f>IFERROR(__xludf.DUMMYFUNCTION("""COMPUTED_VALUE"""),2040.0)</f>
        <v>2040</v>
      </c>
      <c r="C292" s="5">
        <f>IFERROR(__xludf.DUMMYFUNCTION("""COMPUTED_VALUE"""),2040.0)</f>
        <v>2040</v>
      </c>
      <c r="D292" s="5">
        <f>IFERROR(__xludf.DUMMYFUNCTION("""COMPUTED_VALUE"""),1900.0)</f>
        <v>1900</v>
      </c>
      <c r="E292" s="5">
        <f>IFERROR(__xludf.DUMMYFUNCTION("""COMPUTED_VALUE"""),1900.0)</f>
        <v>1900</v>
      </c>
      <c r="F292" s="5">
        <f>IFERROR(__xludf.DUMMYFUNCTION("""COMPUTED_VALUE"""),2.055861E8)</f>
        <v>205586100</v>
      </c>
      <c r="G292" s="5">
        <f t="shared" si="1"/>
        <v>140</v>
      </c>
    </row>
    <row r="293">
      <c r="A293" s="4">
        <f>IFERROR(__xludf.DUMMYFUNCTION("""COMPUTED_VALUE"""),44271.625)</f>
        <v>44271.625</v>
      </c>
      <c r="B293" s="5">
        <f>IFERROR(__xludf.DUMMYFUNCTION("""COMPUTED_VALUE"""),1930.0)</f>
        <v>1930</v>
      </c>
      <c r="C293" s="5">
        <f>IFERROR(__xludf.DUMMYFUNCTION("""COMPUTED_VALUE"""),1930.0)</f>
        <v>1930</v>
      </c>
      <c r="D293" s="5">
        <f>IFERROR(__xludf.DUMMYFUNCTION("""COMPUTED_VALUE"""),1770.0)</f>
        <v>1770</v>
      </c>
      <c r="E293" s="5">
        <f>IFERROR(__xludf.DUMMYFUNCTION("""COMPUTED_VALUE"""),1770.0)</f>
        <v>1770</v>
      </c>
      <c r="F293" s="5">
        <f>IFERROR(__xludf.DUMMYFUNCTION("""COMPUTED_VALUE"""),2.099955E8)</f>
        <v>209995500</v>
      </c>
      <c r="G293" s="5">
        <f t="shared" si="1"/>
        <v>160</v>
      </c>
    </row>
    <row r="294">
      <c r="A294" s="4">
        <f>IFERROR(__xludf.DUMMYFUNCTION("""COMPUTED_VALUE"""),44272.625)</f>
        <v>44272.625</v>
      </c>
      <c r="B294" s="5">
        <f>IFERROR(__xludf.DUMMYFUNCTION("""COMPUTED_VALUE"""),1770.0)</f>
        <v>1770</v>
      </c>
      <c r="C294" s="5">
        <f>IFERROR(__xludf.DUMMYFUNCTION("""COMPUTED_VALUE"""),1865.0)</f>
        <v>1865</v>
      </c>
      <c r="D294" s="5">
        <f>IFERROR(__xludf.DUMMYFUNCTION("""COMPUTED_VALUE"""),1735.0)</f>
        <v>1735</v>
      </c>
      <c r="E294" s="5">
        <f>IFERROR(__xludf.DUMMYFUNCTION("""COMPUTED_VALUE"""),1825.0)</f>
        <v>1825</v>
      </c>
      <c r="F294" s="5">
        <f>IFERROR(__xludf.DUMMYFUNCTION("""COMPUTED_VALUE"""),1.960807E8)</f>
        <v>196080700</v>
      </c>
      <c r="G294" s="5">
        <f t="shared" si="1"/>
        <v>130</v>
      </c>
    </row>
    <row r="295">
      <c r="A295" s="4">
        <f>IFERROR(__xludf.DUMMYFUNCTION("""COMPUTED_VALUE"""),44273.625)</f>
        <v>44273.625</v>
      </c>
      <c r="B295" s="5">
        <f>IFERROR(__xludf.DUMMYFUNCTION("""COMPUTED_VALUE"""),1850.0)</f>
        <v>1850</v>
      </c>
      <c r="C295" s="5">
        <f>IFERROR(__xludf.DUMMYFUNCTION("""COMPUTED_VALUE"""),1915.0)</f>
        <v>1915</v>
      </c>
      <c r="D295" s="5">
        <f>IFERROR(__xludf.DUMMYFUNCTION("""COMPUTED_VALUE"""),1845.0)</f>
        <v>1845</v>
      </c>
      <c r="E295" s="5">
        <f>IFERROR(__xludf.DUMMYFUNCTION("""COMPUTED_VALUE"""),1850.0)</f>
        <v>1850</v>
      </c>
      <c r="F295" s="5">
        <f>IFERROR(__xludf.DUMMYFUNCTION("""COMPUTED_VALUE"""),1.350574E8)</f>
        <v>135057400</v>
      </c>
      <c r="G295" s="5">
        <f t="shared" si="1"/>
        <v>90</v>
      </c>
    </row>
    <row r="296">
      <c r="A296" s="4">
        <f>IFERROR(__xludf.DUMMYFUNCTION("""COMPUTED_VALUE"""),44274.625)</f>
        <v>44274.625</v>
      </c>
      <c r="B296" s="5">
        <f>IFERROR(__xludf.DUMMYFUNCTION("""COMPUTED_VALUE"""),1850.0)</f>
        <v>1850</v>
      </c>
      <c r="C296" s="5">
        <f>IFERROR(__xludf.DUMMYFUNCTION("""COMPUTED_VALUE"""),1855.0)</f>
        <v>1855</v>
      </c>
      <c r="D296" s="5">
        <f>IFERROR(__xludf.DUMMYFUNCTION("""COMPUTED_VALUE"""),1790.0)</f>
        <v>1790</v>
      </c>
      <c r="E296" s="5">
        <f>IFERROR(__xludf.DUMMYFUNCTION("""COMPUTED_VALUE"""),1800.0)</f>
        <v>1800</v>
      </c>
      <c r="F296" s="5">
        <f>IFERROR(__xludf.DUMMYFUNCTION("""COMPUTED_VALUE"""),5.81462E7)</f>
        <v>58146200</v>
      </c>
      <c r="G296" s="5">
        <f t="shared" si="1"/>
        <v>65</v>
      </c>
    </row>
    <row r="297">
      <c r="A297" s="4">
        <f>IFERROR(__xludf.DUMMYFUNCTION("""COMPUTED_VALUE"""),44277.625)</f>
        <v>44277.625</v>
      </c>
      <c r="B297" s="5">
        <f>IFERROR(__xludf.DUMMYFUNCTION("""COMPUTED_VALUE"""),1805.0)</f>
        <v>1805</v>
      </c>
      <c r="C297" s="5">
        <f>IFERROR(__xludf.DUMMYFUNCTION("""COMPUTED_VALUE"""),1840.0)</f>
        <v>1840</v>
      </c>
      <c r="D297" s="5">
        <f>IFERROR(__xludf.DUMMYFUNCTION("""COMPUTED_VALUE"""),1775.0)</f>
        <v>1775</v>
      </c>
      <c r="E297" s="5">
        <f>IFERROR(__xludf.DUMMYFUNCTION("""COMPUTED_VALUE"""),1775.0)</f>
        <v>1775</v>
      </c>
      <c r="F297" s="5">
        <f>IFERROR(__xludf.DUMMYFUNCTION("""COMPUTED_VALUE"""),6.40702E7)</f>
        <v>64070200</v>
      </c>
      <c r="G297" s="5">
        <f t="shared" si="1"/>
        <v>65</v>
      </c>
    </row>
    <row r="298">
      <c r="A298" s="4">
        <f>IFERROR(__xludf.DUMMYFUNCTION("""COMPUTED_VALUE"""),44278.625)</f>
        <v>44278.625</v>
      </c>
      <c r="B298" s="5">
        <f>IFERROR(__xludf.DUMMYFUNCTION("""COMPUTED_VALUE"""),1800.0)</f>
        <v>1800</v>
      </c>
      <c r="C298" s="5">
        <f>IFERROR(__xludf.DUMMYFUNCTION("""COMPUTED_VALUE"""),1815.0)</f>
        <v>1815</v>
      </c>
      <c r="D298" s="5">
        <f>IFERROR(__xludf.DUMMYFUNCTION("""COMPUTED_VALUE"""),1720.0)</f>
        <v>1720</v>
      </c>
      <c r="E298" s="5">
        <f>IFERROR(__xludf.DUMMYFUNCTION("""COMPUTED_VALUE"""),1725.0)</f>
        <v>1725</v>
      </c>
      <c r="F298" s="5">
        <f>IFERROR(__xludf.DUMMYFUNCTION("""COMPUTED_VALUE"""),1.065307E8)</f>
        <v>106530700</v>
      </c>
      <c r="G298" s="5">
        <f t="shared" si="1"/>
        <v>95</v>
      </c>
    </row>
    <row r="299">
      <c r="A299" s="4">
        <f>IFERROR(__xludf.DUMMYFUNCTION("""COMPUTED_VALUE"""),44279.625)</f>
        <v>44279.625</v>
      </c>
      <c r="B299" s="5">
        <f>IFERROR(__xludf.DUMMYFUNCTION("""COMPUTED_VALUE"""),1725.0)</f>
        <v>1725</v>
      </c>
      <c r="C299" s="5">
        <f>IFERROR(__xludf.DUMMYFUNCTION("""COMPUTED_VALUE"""),1750.0)</f>
        <v>1750</v>
      </c>
      <c r="D299" s="5">
        <f>IFERROR(__xludf.DUMMYFUNCTION("""COMPUTED_VALUE"""),1610.0)</f>
        <v>1610</v>
      </c>
      <c r="E299" s="5">
        <f>IFERROR(__xludf.DUMMYFUNCTION("""COMPUTED_VALUE"""),1620.0)</f>
        <v>1620</v>
      </c>
      <c r="F299" s="5">
        <f>IFERROR(__xludf.DUMMYFUNCTION("""COMPUTED_VALUE"""),1.029053E8)</f>
        <v>102905300</v>
      </c>
      <c r="G299" s="5">
        <f t="shared" si="1"/>
        <v>140</v>
      </c>
    </row>
    <row r="300">
      <c r="A300" s="4">
        <f>IFERROR(__xludf.DUMMYFUNCTION("""COMPUTED_VALUE"""),44280.625)</f>
        <v>44280.625</v>
      </c>
      <c r="B300" s="5">
        <f>IFERROR(__xludf.DUMMYFUNCTION("""COMPUTED_VALUE"""),1620.0)</f>
        <v>1620</v>
      </c>
      <c r="C300" s="5">
        <f>IFERROR(__xludf.DUMMYFUNCTION("""COMPUTED_VALUE"""),1670.0)</f>
        <v>1670</v>
      </c>
      <c r="D300" s="5">
        <f>IFERROR(__xludf.DUMMYFUNCTION("""COMPUTED_VALUE"""),1560.0)</f>
        <v>1560</v>
      </c>
      <c r="E300" s="5">
        <f>IFERROR(__xludf.DUMMYFUNCTION("""COMPUTED_VALUE"""),1660.0)</f>
        <v>1660</v>
      </c>
      <c r="F300" s="5">
        <f>IFERROR(__xludf.DUMMYFUNCTION("""COMPUTED_VALUE"""),1.218369E8)</f>
        <v>121836900</v>
      </c>
      <c r="G300" s="5">
        <f t="shared" si="1"/>
        <v>110</v>
      </c>
    </row>
    <row r="301">
      <c r="A301" s="4">
        <f>IFERROR(__xludf.DUMMYFUNCTION("""COMPUTED_VALUE"""),44281.625)</f>
        <v>44281.625</v>
      </c>
      <c r="B301" s="5">
        <f>IFERROR(__xludf.DUMMYFUNCTION("""COMPUTED_VALUE"""),1690.0)</f>
        <v>1690</v>
      </c>
      <c r="C301" s="5">
        <f>IFERROR(__xludf.DUMMYFUNCTION("""COMPUTED_VALUE"""),1775.0)</f>
        <v>1775</v>
      </c>
      <c r="D301" s="5">
        <f>IFERROR(__xludf.DUMMYFUNCTION("""COMPUTED_VALUE"""),1650.0)</f>
        <v>1650</v>
      </c>
      <c r="E301" s="5">
        <f>IFERROR(__xludf.DUMMYFUNCTION("""COMPUTED_VALUE"""),1750.0)</f>
        <v>1750</v>
      </c>
      <c r="F301" s="5">
        <f>IFERROR(__xludf.DUMMYFUNCTION("""COMPUTED_VALUE"""),1.957826E8)</f>
        <v>195782600</v>
      </c>
      <c r="G301" s="5">
        <f t="shared" si="1"/>
        <v>125</v>
      </c>
    </row>
    <row r="302">
      <c r="A302" s="4">
        <f>IFERROR(__xludf.DUMMYFUNCTION("""COMPUTED_VALUE"""),44284.625)</f>
        <v>44284.625</v>
      </c>
      <c r="B302" s="5">
        <f>IFERROR(__xludf.DUMMYFUNCTION("""COMPUTED_VALUE"""),1755.0)</f>
        <v>1755</v>
      </c>
      <c r="C302" s="5">
        <f>IFERROR(__xludf.DUMMYFUNCTION("""COMPUTED_VALUE"""),1770.0)</f>
        <v>1770</v>
      </c>
      <c r="D302" s="5">
        <f>IFERROR(__xludf.DUMMYFUNCTION("""COMPUTED_VALUE"""),1630.0)</f>
        <v>1630</v>
      </c>
      <c r="E302" s="5">
        <f>IFERROR(__xludf.DUMMYFUNCTION("""COMPUTED_VALUE"""),1640.0)</f>
        <v>1640</v>
      </c>
      <c r="F302" s="5">
        <f>IFERROR(__xludf.DUMMYFUNCTION("""COMPUTED_VALUE"""),9.2482E7)</f>
        <v>92482000</v>
      </c>
      <c r="G302" s="5">
        <f t="shared" si="1"/>
        <v>140</v>
      </c>
    </row>
    <row r="303">
      <c r="A303" s="4">
        <f>IFERROR(__xludf.DUMMYFUNCTION("""COMPUTED_VALUE"""),44285.625)</f>
        <v>44285.625</v>
      </c>
      <c r="B303" s="5">
        <f>IFERROR(__xludf.DUMMYFUNCTION("""COMPUTED_VALUE"""),1640.0)</f>
        <v>1640</v>
      </c>
      <c r="C303" s="5">
        <f>IFERROR(__xludf.DUMMYFUNCTION("""COMPUTED_VALUE"""),1685.0)</f>
        <v>1685</v>
      </c>
      <c r="D303" s="5">
        <f>IFERROR(__xludf.DUMMYFUNCTION("""COMPUTED_VALUE"""),1610.0)</f>
        <v>1610</v>
      </c>
      <c r="E303" s="5">
        <f>IFERROR(__xludf.DUMMYFUNCTION("""COMPUTED_VALUE"""),1650.0)</f>
        <v>1650</v>
      </c>
      <c r="F303" s="5">
        <f>IFERROR(__xludf.DUMMYFUNCTION("""COMPUTED_VALUE"""),6.01976E7)</f>
        <v>60197600</v>
      </c>
      <c r="G303" s="5">
        <f t="shared" si="1"/>
        <v>75</v>
      </c>
    </row>
    <row r="304">
      <c r="A304" s="4">
        <f>IFERROR(__xludf.DUMMYFUNCTION("""COMPUTED_VALUE"""),44286.625)</f>
        <v>44286.625</v>
      </c>
      <c r="B304" s="5">
        <f>IFERROR(__xludf.DUMMYFUNCTION("""COMPUTED_VALUE"""),1635.0)</f>
        <v>1635</v>
      </c>
      <c r="C304" s="5">
        <f>IFERROR(__xludf.DUMMYFUNCTION("""COMPUTED_VALUE"""),1650.0)</f>
        <v>1650</v>
      </c>
      <c r="D304" s="5">
        <f>IFERROR(__xludf.DUMMYFUNCTION("""COMPUTED_VALUE"""),1545.0)</f>
        <v>1545</v>
      </c>
      <c r="E304" s="5">
        <f>IFERROR(__xludf.DUMMYFUNCTION("""COMPUTED_VALUE"""),1615.0)</f>
        <v>1615</v>
      </c>
      <c r="F304" s="5">
        <f>IFERROR(__xludf.DUMMYFUNCTION("""COMPUTED_VALUE"""),1.028572E8)</f>
        <v>102857200</v>
      </c>
      <c r="G304" s="5">
        <f t="shared" si="1"/>
        <v>105</v>
      </c>
    </row>
    <row r="305">
      <c r="A305" s="4">
        <f>IFERROR(__xludf.DUMMYFUNCTION("""COMPUTED_VALUE"""),44287.625)</f>
        <v>44287.625</v>
      </c>
      <c r="B305" s="5">
        <f>IFERROR(__xludf.DUMMYFUNCTION("""COMPUTED_VALUE"""),1625.0)</f>
        <v>1625</v>
      </c>
      <c r="C305" s="5">
        <f>IFERROR(__xludf.DUMMYFUNCTION("""COMPUTED_VALUE"""),1640.0)</f>
        <v>1640</v>
      </c>
      <c r="D305" s="5">
        <f>IFERROR(__xludf.DUMMYFUNCTION("""COMPUTED_VALUE"""),1570.0)</f>
        <v>1570</v>
      </c>
      <c r="E305" s="5">
        <f>IFERROR(__xludf.DUMMYFUNCTION("""COMPUTED_VALUE"""),1585.0)</f>
        <v>1585</v>
      </c>
      <c r="F305" s="5">
        <f>IFERROR(__xludf.DUMMYFUNCTION("""COMPUTED_VALUE"""),6.09275E7)</f>
        <v>60927500</v>
      </c>
      <c r="G305" s="5">
        <f t="shared" si="1"/>
        <v>70</v>
      </c>
    </row>
    <row r="306">
      <c r="A306" s="4">
        <f>IFERROR(__xludf.DUMMYFUNCTION("""COMPUTED_VALUE"""),44291.625)</f>
        <v>44291.625</v>
      </c>
      <c r="B306" s="5">
        <f>IFERROR(__xludf.DUMMYFUNCTION("""COMPUTED_VALUE"""),1610.0)</f>
        <v>1610</v>
      </c>
      <c r="C306" s="5">
        <f>IFERROR(__xludf.DUMMYFUNCTION("""COMPUTED_VALUE"""),1610.0)</f>
        <v>1610</v>
      </c>
      <c r="D306" s="5">
        <f>IFERROR(__xludf.DUMMYFUNCTION("""COMPUTED_VALUE"""),1495.0)</f>
        <v>1495</v>
      </c>
      <c r="E306" s="5">
        <f>IFERROR(__xludf.DUMMYFUNCTION("""COMPUTED_VALUE"""),1515.0)</f>
        <v>1515</v>
      </c>
      <c r="F306" s="5">
        <f>IFERROR(__xludf.DUMMYFUNCTION("""COMPUTED_VALUE"""),6.35529E7)</f>
        <v>63552900</v>
      </c>
      <c r="G306" s="5">
        <f t="shared" si="1"/>
        <v>115</v>
      </c>
    </row>
    <row r="307">
      <c r="A307" s="4">
        <f>IFERROR(__xludf.DUMMYFUNCTION("""COMPUTED_VALUE"""),44292.625)</f>
        <v>44292.625</v>
      </c>
      <c r="B307" s="5">
        <f>IFERROR(__xludf.DUMMYFUNCTION("""COMPUTED_VALUE"""),1540.0)</f>
        <v>1540</v>
      </c>
      <c r="C307" s="5">
        <f>IFERROR(__xludf.DUMMYFUNCTION("""COMPUTED_VALUE"""),1615.0)</f>
        <v>1615</v>
      </c>
      <c r="D307" s="5">
        <f>IFERROR(__xludf.DUMMYFUNCTION("""COMPUTED_VALUE"""),1525.0)</f>
        <v>1525</v>
      </c>
      <c r="E307" s="5">
        <f>IFERROR(__xludf.DUMMYFUNCTION("""COMPUTED_VALUE"""),1610.0)</f>
        <v>1610</v>
      </c>
      <c r="F307" s="5">
        <f>IFERROR(__xludf.DUMMYFUNCTION("""COMPUTED_VALUE"""),9.61918E7)</f>
        <v>96191800</v>
      </c>
      <c r="G307" s="5">
        <f t="shared" si="1"/>
        <v>100</v>
      </c>
    </row>
    <row r="308">
      <c r="A308" s="4">
        <f>IFERROR(__xludf.DUMMYFUNCTION("""COMPUTED_VALUE"""),44293.625)</f>
        <v>44293.625</v>
      </c>
      <c r="B308" s="5">
        <f>IFERROR(__xludf.DUMMYFUNCTION("""COMPUTED_VALUE"""),1625.0)</f>
        <v>1625</v>
      </c>
      <c r="C308" s="5">
        <f>IFERROR(__xludf.DUMMYFUNCTION("""COMPUTED_VALUE"""),1625.0)</f>
        <v>1625</v>
      </c>
      <c r="D308" s="5">
        <f>IFERROR(__xludf.DUMMYFUNCTION("""COMPUTED_VALUE"""),1565.0)</f>
        <v>1565</v>
      </c>
      <c r="E308" s="5">
        <f>IFERROR(__xludf.DUMMYFUNCTION("""COMPUTED_VALUE"""),1590.0)</f>
        <v>1590</v>
      </c>
      <c r="F308" s="5">
        <f>IFERROR(__xludf.DUMMYFUNCTION("""COMPUTED_VALUE"""),5.82189E7)</f>
        <v>58218900</v>
      </c>
      <c r="G308" s="5">
        <f t="shared" si="1"/>
        <v>60</v>
      </c>
    </row>
    <row r="309">
      <c r="A309" s="4">
        <f>IFERROR(__xludf.DUMMYFUNCTION("""COMPUTED_VALUE"""),44294.625)</f>
        <v>44294.625</v>
      </c>
      <c r="B309" s="5">
        <f>IFERROR(__xludf.DUMMYFUNCTION("""COMPUTED_VALUE"""),1590.0)</f>
        <v>1590</v>
      </c>
      <c r="C309" s="5">
        <f>IFERROR(__xludf.DUMMYFUNCTION("""COMPUTED_VALUE"""),1640.0)</f>
        <v>1640</v>
      </c>
      <c r="D309" s="5">
        <f>IFERROR(__xludf.DUMMYFUNCTION("""COMPUTED_VALUE"""),1570.0)</f>
        <v>1570</v>
      </c>
      <c r="E309" s="5">
        <f>IFERROR(__xludf.DUMMYFUNCTION("""COMPUTED_VALUE"""),1620.0)</f>
        <v>1620</v>
      </c>
      <c r="F309" s="5">
        <f>IFERROR(__xludf.DUMMYFUNCTION("""COMPUTED_VALUE"""),6.45395E7)</f>
        <v>64539500</v>
      </c>
      <c r="G309" s="5">
        <f t="shared" si="1"/>
        <v>70</v>
      </c>
    </row>
    <row r="310">
      <c r="A310" s="4">
        <f>IFERROR(__xludf.DUMMYFUNCTION("""COMPUTED_VALUE"""),44295.625)</f>
        <v>44295.625</v>
      </c>
      <c r="B310" s="5">
        <f>IFERROR(__xludf.DUMMYFUNCTION("""COMPUTED_VALUE"""),1620.0)</f>
        <v>1620</v>
      </c>
      <c r="C310" s="5">
        <f>IFERROR(__xludf.DUMMYFUNCTION("""COMPUTED_VALUE"""),1635.0)</f>
        <v>1635</v>
      </c>
      <c r="D310" s="5">
        <f>IFERROR(__xludf.DUMMYFUNCTION("""COMPUTED_VALUE"""),1575.0)</f>
        <v>1575</v>
      </c>
      <c r="E310" s="5">
        <f>IFERROR(__xludf.DUMMYFUNCTION("""COMPUTED_VALUE"""),1575.0)</f>
        <v>1575</v>
      </c>
      <c r="F310" s="5">
        <f>IFERROR(__xludf.DUMMYFUNCTION("""COMPUTED_VALUE"""),5.00225E7)</f>
        <v>50022500</v>
      </c>
      <c r="G310" s="5">
        <f t="shared" si="1"/>
        <v>60</v>
      </c>
    </row>
    <row r="311">
      <c r="A311" s="4">
        <f>IFERROR(__xludf.DUMMYFUNCTION("""COMPUTED_VALUE"""),44298.625)</f>
        <v>44298.625</v>
      </c>
      <c r="B311" s="5">
        <f>IFERROR(__xludf.DUMMYFUNCTION("""COMPUTED_VALUE"""),1575.0)</f>
        <v>1575</v>
      </c>
      <c r="C311" s="5">
        <f>IFERROR(__xludf.DUMMYFUNCTION("""COMPUTED_VALUE"""),1585.0)</f>
        <v>1585</v>
      </c>
      <c r="D311" s="5">
        <f>IFERROR(__xludf.DUMMYFUNCTION("""COMPUTED_VALUE"""),1500.0)</f>
        <v>1500</v>
      </c>
      <c r="E311" s="5">
        <f>IFERROR(__xludf.DUMMYFUNCTION("""COMPUTED_VALUE"""),1515.0)</f>
        <v>1515</v>
      </c>
      <c r="F311" s="5">
        <f>IFERROR(__xludf.DUMMYFUNCTION("""COMPUTED_VALUE"""),4.69444E7)</f>
        <v>46944400</v>
      </c>
      <c r="G311" s="5">
        <f t="shared" si="1"/>
        <v>85</v>
      </c>
    </row>
    <row r="312">
      <c r="A312" s="4">
        <f>IFERROR(__xludf.DUMMYFUNCTION("""COMPUTED_VALUE"""),44299.625)</f>
        <v>44299.625</v>
      </c>
      <c r="B312" s="5">
        <f>IFERROR(__xludf.DUMMYFUNCTION("""COMPUTED_VALUE"""),1520.0)</f>
        <v>1520</v>
      </c>
      <c r="C312" s="5">
        <f>IFERROR(__xludf.DUMMYFUNCTION("""COMPUTED_VALUE"""),1540.0)</f>
        <v>1540</v>
      </c>
      <c r="D312" s="5">
        <f>IFERROR(__xludf.DUMMYFUNCTION("""COMPUTED_VALUE"""),1480.0)</f>
        <v>1480</v>
      </c>
      <c r="E312" s="5">
        <f>IFERROR(__xludf.DUMMYFUNCTION("""COMPUTED_VALUE"""),1515.0)</f>
        <v>1515</v>
      </c>
      <c r="F312" s="5">
        <f>IFERROR(__xludf.DUMMYFUNCTION("""COMPUTED_VALUE"""),4.34909E7)</f>
        <v>43490900</v>
      </c>
      <c r="G312" s="5">
        <f t="shared" si="1"/>
        <v>60</v>
      </c>
    </row>
    <row r="313">
      <c r="A313" s="4">
        <f>IFERROR(__xludf.DUMMYFUNCTION("""COMPUTED_VALUE"""),44300.625)</f>
        <v>44300.625</v>
      </c>
      <c r="B313" s="5">
        <f>IFERROR(__xludf.DUMMYFUNCTION("""COMPUTED_VALUE"""),1515.0)</f>
        <v>1515</v>
      </c>
      <c r="C313" s="5">
        <f>IFERROR(__xludf.DUMMYFUNCTION("""COMPUTED_VALUE"""),1565.0)</f>
        <v>1565</v>
      </c>
      <c r="D313" s="5">
        <f>IFERROR(__xludf.DUMMYFUNCTION("""COMPUTED_VALUE"""),1515.0)</f>
        <v>1515</v>
      </c>
      <c r="E313" s="5">
        <f>IFERROR(__xludf.DUMMYFUNCTION("""COMPUTED_VALUE"""),1525.0)</f>
        <v>1525</v>
      </c>
      <c r="F313" s="5">
        <f>IFERROR(__xludf.DUMMYFUNCTION("""COMPUTED_VALUE"""),3.93882E7)</f>
        <v>39388200</v>
      </c>
      <c r="G313" s="5">
        <f t="shared" si="1"/>
        <v>50</v>
      </c>
    </row>
    <row r="314">
      <c r="A314" s="4">
        <f>IFERROR(__xludf.DUMMYFUNCTION("""COMPUTED_VALUE"""),44301.625)</f>
        <v>44301.625</v>
      </c>
      <c r="B314" s="5">
        <f>IFERROR(__xludf.DUMMYFUNCTION("""COMPUTED_VALUE"""),1550.0)</f>
        <v>1550</v>
      </c>
      <c r="C314" s="5">
        <f>IFERROR(__xludf.DUMMYFUNCTION("""COMPUTED_VALUE"""),1575.0)</f>
        <v>1575</v>
      </c>
      <c r="D314" s="5">
        <f>IFERROR(__xludf.DUMMYFUNCTION("""COMPUTED_VALUE"""),1530.0)</f>
        <v>1530</v>
      </c>
      <c r="E314" s="5">
        <f>IFERROR(__xludf.DUMMYFUNCTION("""COMPUTED_VALUE"""),1540.0)</f>
        <v>1540</v>
      </c>
      <c r="F314" s="5">
        <f>IFERROR(__xludf.DUMMYFUNCTION("""COMPUTED_VALUE"""),3.49291E7)</f>
        <v>34929100</v>
      </c>
      <c r="G314" s="5">
        <f t="shared" si="1"/>
        <v>50</v>
      </c>
    </row>
    <row r="315">
      <c r="A315" s="4">
        <f>IFERROR(__xludf.DUMMYFUNCTION("""COMPUTED_VALUE"""),44302.625)</f>
        <v>44302.625</v>
      </c>
      <c r="B315" s="5">
        <f>IFERROR(__xludf.DUMMYFUNCTION("""COMPUTED_VALUE"""),1560.0)</f>
        <v>1560</v>
      </c>
      <c r="C315" s="5">
        <f>IFERROR(__xludf.DUMMYFUNCTION("""COMPUTED_VALUE"""),1590.0)</f>
        <v>1590</v>
      </c>
      <c r="D315" s="5">
        <f>IFERROR(__xludf.DUMMYFUNCTION("""COMPUTED_VALUE"""),1545.0)</f>
        <v>1545</v>
      </c>
      <c r="E315" s="5">
        <f>IFERROR(__xludf.DUMMYFUNCTION("""COMPUTED_VALUE"""),1565.0)</f>
        <v>1565</v>
      </c>
      <c r="F315" s="5">
        <f>IFERROR(__xludf.DUMMYFUNCTION("""COMPUTED_VALUE"""),4.6568E7)</f>
        <v>46568000</v>
      </c>
      <c r="G315" s="5">
        <f t="shared" si="1"/>
        <v>50</v>
      </c>
    </row>
    <row r="316">
      <c r="A316" s="4">
        <f>IFERROR(__xludf.DUMMYFUNCTION("""COMPUTED_VALUE"""),44305.625)</f>
        <v>44305.625</v>
      </c>
      <c r="B316" s="5">
        <f>IFERROR(__xludf.DUMMYFUNCTION("""COMPUTED_VALUE"""),1565.0)</f>
        <v>1565</v>
      </c>
      <c r="C316" s="5">
        <f>IFERROR(__xludf.DUMMYFUNCTION("""COMPUTED_VALUE"""),1585.0)</f>
        <v>1585</v>
      </c>
      <c r="D316" s="5">
        <f>IFERROR(__xludf.DUMMYFUNCTION("""COMPUTED_VALUE"""),1545.0)</f>
        <v>1545</v>
      </c>
      <c r="E316" s="5">
        <f>IFERROR(__xludf.DUMMYFUNCTION("""COMPUTED_VALUE"""),1575.0)</f>
        <v>1575</v>
      </c>
      <c r="F316" s="5">
        <f>IFERROR(__xludf.DUMMYFUNCTION("""COMPUTED_VALUE"""),2.60592E7)</f>
        <v>26059200</v>
      </c>
      <c r="G316" s="5">
        <f t="shared" si="1"/>
        <v>40</v>
      </c>
    </row>
    <row r="317">
      <c r="A317" s="4">
        <f>IFERROR(__xludf.DUMMYFUNCTION("""COMPUTED_VALUE"""),44306.625)</f>
        <v>44306.625</v>
      </c>
      <c r="B317" s="5">
        <f>IFERROR(__xludf.DUMMYFUNCTION("""COMPUTED_VALUE"""),1575.0)</f>
        <v>1575</v>
      </c>
      <c r="C317" s="5">
        <f>IFERROR(__xludf.DUMMYFUNCTION("""COMPUTED_VALUE"""),1580.0)</f>
        <v>1580</v>
      </c>
      <c r="D317" s="5">
        <f>IFERROR(__xludf.DUMMYFUNCTION("""COMPUTED_VALUE"""),1555.0)</f>
        <v>1555</v>
      </c>
      <c r="E317" s="5">
        <f>IFERROR(__xludf.DUMMYFUNCTION("""COMPUTED_VALUE"""),1575.0)</f>
        <v>1575</v>
      </c>
      <c r="F317" s="5">
        <f>IFERROR(__xludf.DUMMYFUNCTION("""COMPUTED_VALUE"""),1.90009E7)</f>
        <v>19000900</v>
      </c>
      <c r="G317" s="5">
        <f t="shared" si="1"/>
        <v>25</v>
      </c>
    </row>
    <row r="318">
      <c r="A318" s="4">
        <f>IFERROR(__xludf.DUMMYFUNCTION("""COMPUTED_VALUE"""),44307.625)</f>
        <v>44307.625</v>
      </c>
      <c r="B318" s="5">
        <f>IFERROR(__xludf.DUMMYFUNCTION("""COMPUTED_VALUE"""),1570.0)</f>
        <v>1570</v>
      </c>
      <c r="C318" s="5">
        <f>IFERROR(__xludf.DUMMYFUNCTION("""COMPUTED_VALUE"""),1605.0)</f>
        <v>1605</v>
      </c>
      <c r="D318" s="5">
        <f>IFERROR(__xludf.DUMMYFUNCTION("""COMPUTED_VALUE"""),1550.0)</f>
        <v>1550</v>
      </c>
      <c r="E318" s="5">
        <f>IFERROR(__xludf.DUMMYFUNCTION("""COMPUTED_VALUE"""),1580.0)</f>
        <v>1580</v>
      </c>
      <c r="F318" s="5">
        <f>IFERROR(__xludf.DUMMYFUNCTION("""COMPUTED_VALUE"""),3.51739E7)</f>
        <v>35173900</v>
      </c>
      <c r="G318" s="5">
        <f t="shared" si="1"/>
        <v>55</v>
      </c>
    </row>
    <row r="319">
      <c r="A319" s="4">
        <f>IFERROR(__xludf.DUMMYFUNCTION("""COMPUTED_VALUE"""),44308.625)</f>
        <v>44308.625</v>
      </c>
      <c r="B319" s="5">
        <f>IFERROR(__xludf.DUMMYFUNCTION("""COMPUTED_VALUE"""),1590.0)</f>
        <v>1590</v>
      </c>
      <c r="C319" s="5">
        <f>IFERROR(__xludf.DUMMYFUNCTION("""COMPUTED_VALUE"""),1640.0)</f>
        <v>1640</v>
      </c>
      <c r="D319" s="5">
        <f>IFERROR(__xludf.DUMMYFUNCTION("""COMPUTED_VALUE"""),1580.0)</f>
        <v>1580</v>
      </c>
      <c r="E319" s="5">
        <f>IFERROR(__xludf.DUMMYFUNCTION("""COMPUTED_VALUE"""),1605.0)</f>
        <v>1605</v>
      </c>
      <c r="F319" s="5">
        <f>IFERROR(__xludf.DUMMYFUNCTION("""COMPUTED_VALUE"""),6.92135E7)</f>
        <v>69213500</v>
      </c>
      <c r="G319" s="5">
        <f t="shared" si="1"/>
        <v>60</v>
      </c>
    </row>
    <row r="320">
      <c r="A320" s="4">
        <f>IFERROR(__xludf.DUMMYFUNCTION("""COMPUTED_VALUE"""),44309.625)</f>
        <v>44309.625</v>
      </c>
      <c r="B320" s="5">
        <f>IFERROR(__xludf.DUMMYFUNCTION("""COMPUTED_VALUE"""),1615.0)</f>
        <v>1615</v>
      </c>
      <c r="C320" s="5">
        <f>IFERROR(__xludf.DUMMYFUNCTION("""COMPUTED_VALUE"""),1615.0)</f>
        <v>1615</v>
      </c>
      <c r="D320" s="5">
        <f>IFERROR(__xludf.DUMMYFUNCTION("""COMPUTED_VALUE"""),1575.0)</f>
        <v>1575</v>
      </c>
      <c r="E320" s="5">
        <f>IFERROR(__xludf.DUMMYFUNCTION("""COMPUTED_VALUE"""),1580.0)</f>
        <v>1580</v>
      </c>
      <c r="F320" s="5">
        <f>IFERROR(__xludf.DUMMYFUNCTION("""COMPUTED_VALUE"""),1.81819E7)</f>
        <v>18181900</v>
      </c>
      <c r="G320" s="5">
        <f t="shared" si="1"/>
        <v>40</v>
      </c>
    </row>
    <row r="321">
      <c r="A321" s="4">
        <f>IFERROR(__xludf.DUMMYFUNCTION("""COMPUTED_VALUE"""),44312.625)</f>
        <v>44312.625</v>
      </c>
      <c r="B321" s="5">
        <f>IFERROR(__xludf.DUMMYFUNCTION("""COMPUTED_VALUE"""),1600.0)</f>
        <v>1600</v>
      </c>
      <c r="C321" s="5">
        <f>IFERROR(__xludf.DUMMYFUNCTION("""COMPUTED_VALUE"""),1630.0)</f>
        <v>1630</v>
      </c>
      <c r="D321" s="5">
        <f>IFERROR(__xludf.DUMMYFUNCTION("""COMPUTED_VALUE"""),1585.0)</f>
        <v>1585</v>
      </c>
      <c r="E321" s="5">
        <f>IFERROR(__xludf.DUMMYFUNCTION("""COMPUTED_VALUE"""),1620.0)</f>
        <v>1620</v>
      </c>
      <c r="F321" s="5">
        <f>IFERROR(__xludf.DUMMYFUNCTION("""COMPUTED_VALUE"""),4.49538E7)</f>
        <v>44953800</v>
      </c>
      <c r="G321" s="5">
        <f t="shared" si="1"/>
        <v>50</v>
      </c>
    </row>
    <row r="322">
      <c r="A322" s="4">
        <f>IFERROR(__xludf.DUMMYFUNCTION("""COMPUTED_VALUE"""),44313.625)</f>
        <v>44313.625</v>
      </c>
      <c r="B322" s="5">
        <f>IFERROR(__xludf.DUMMYFUNCTION("""COMPUTED_VALUE"""),1630.0)</f>
        <v>1630</v>
      </c>
      <c r="C322" s="5">
        <f>IFERROR(__xludf.DUMMYFUNCTION("""COMPUTED_VALUE"""),1650.0)</f>
        <v>1650</v>
      </c>
      <c r="D322" s="5">
        <f>IFERROR(__xludf.DUMMYFUNCTION("""COMPUTED_VALUE"""),1585.0)</f>
        <v>1585</v>
      </c>
      <c r="E322" s="5">
        <f>IFERROR(__xludf.DUMMYFUNCTION("""COMPUTED_VALUE"""),1585.0)</f>
        <v>1585</v>
      </c>
      <c r="F322" s="5">
        <f>IFERROR(__xludf.DUMMYFUNCTION("""COMPUTED_VALUE"""),4.09967E7)</f>
        <v>40996700</v>
      </c>
      <c r="G322" s="5">
        <f t="shared" si="1"/>
        <v>65</v>
      </c>
    </row>
    <row r="323">
      <c r="A323" s="4">
        <f>IFERROR(__xludf.DUMMYFUNCTION("""COMPUTED_VALUE"""),44314.625)</f>
        <v>44314.625</v>
      </c>
      <c r="B323" s="5">
        <f>IFERROR(__xludf.DUMMYFUNCTION("""COMPUTED_VALUE"""),1585.0)</f>
        <v>1585</v>
      </c>
      <c r="C323" s="5">
        <f>IFERROR(__xludf.DUMMYFUNCTION("""COMPUTED_VALUE"""),1615.0)</f>
        <v>1615</v>
      </c>
      <c r="D323" s="5">
        <f>IFERROR(__xludf.DUMMYFUNCTION("""COMPUTED_VALUE"""),1560.0)</f>
        <v>1560</v>
      </c>
      <c r="E323" s="5">
        <f>IFERROR(__xludf.DUMMYFUNCTION("""COMPUTED_VALUE"""),1600.0)</f>
        <v>1600</v>
      </c>
      <c r="F323" s="5">
        <f>IFERROR(__xludf.DUMMYFUNCTION("""COMPUTED_VALUE"""),4.25779E7)</f>
        <v>42577900</v>
      </c>
      <c r="G323" s="5">
        <f t="shared" si="1"/>
        <v>55</v>
      </c>
    </row>
    <row r="324">
      <c r="A324" s="4">
        <f>IFERROR(__xludf.DUMMYFUNCTION("""COMPUTED_VALUE"""),44315.625)</f>
        <v>44315.625</v>
      </c>
      <c r="B324" s="5">
        <f>IFERROR(__xludf.DUMMYFUNCTION("""COMPUTED_VALUE"""),1650.0)</f>
        <v>1650</v>
      </c>
      <c r="C324" s="5">
        <f>IFERROR(__xludf.DUMMYFUNCTION("""COMPUTED_VALUE"""),1770.0)</f>
        <v>1770</v>
      </c>
      <c r="D324" s="5">
        <f>IFERROR(__xludf.DUMMYFUNCTION("""COMPUTED_VALUE"""),1630.0)</f>
        <v>1630</v>
      </c>
      <c r="E324" s="5">
        <f>IFERROR(__xludf.DUMMYFUNCTION("""COMPUTED_VALUE"""),1750.0)</f>
        <v>1750</v>
      </c>
      <c r="F324" s="5">
        <f>IFERROR(__xludf.DUMMYFUNCTION("""COMPUTED_VALUE"""),1.892058E8)</f>
        <v>189205800</v>
      </c>
      <c r="G324" s="5">
        <f t="shared" si="1"/>
        <v>170</v>
      </c>
    </row>
    <row r="325">
      <c r="A325" s="4">
        <f>IFERROR(__xludf.DUMMYFUNCTION("""COMPUTED_VALUE"""),44316.625)</f>
        <v>44316.625</v>
      </c>
      <c r="B325" s="5">
        <f>IFERROR(__xludf.DUMMYFUNCTION("""COMPUTED_VALUE"""),1745.0)</f>
        <v>1745</v>
      </c>
      <c r="C325" s="5">
        <f>IFERROR(__xludf.DUMMYFUNCTION("""COMPUTED_VALUE"""),1745.0)</f>
        <v>1745</v>
      </c>
      <c r="D325" s="5">
        <f>IFERROR(__xludf.DUMMYFUNCTION("""COMPUTED_VALUE"""),1695.0)</f>
        <v>1695</v>
      </c>
      <c r="E325" s="5">
        <f>IFERROR(__xludf.DUMMYFUNCTION("""COMPUTED_VALUE"""),1730.0)</f>
        <v>1730</v>
      </c>
      <c r="F325" s="5">
        <f>IFERROR(__xludf.DUMMYFUNCTION("""COMPUTED_VALUE"""),8.01009E7)</f>
        <v>80100900</v>
      </c>
      <c r="G325" s="5">
        <f t="shared" si="1"/>
        <v>55</v>
      </c>
    </row>
    <row r="326">
      <c r="A326" s="4">
        <f>IFERROR(__xludf.DUMMYFUNCTION("""COMPUTED_VALUE"""),44319.66666666667)</f>
        <v>44319.66667</v>
      </c>
      <c r="B326" s="5">
        <f>IFERROR(__xludf.DUMMYFUNCTION("""COMPUTED_VALUE"""),1745.0)</f>
        <v>1745</v>
      </c>
      <c r="C326" s="5">
        <f>IFERROR(__xludf.DUMMYFUNCTION("""COMPUTED_VALUE"""),1760.0)</f>
        <v>1760</v>
      </c>
      <c r="D326" s="5">
        <f>IFERROR(__xludf.DUMMYFUNCTION("""COMPUTED_VALUE"""),1715.0)</f>
        <v>1715</v>
      </c>
      <c r="E326" s="5">
        <f>IFERROR(__xludf.DUMMYFUNCTION("""COMPUTED_VALUE"""),1720.0)</f>
        <v>1720</v>
      </c>
      <c r="F326" s="5">
        <f>IFERROR(__xludf.DUMMYFUNCTION("""COMPUTED_VALUE"""),4.54802E7)</f>
        <v>45480200</v>
      </c>
      <c r="G326" s="5">
        <f t="shared" si="1"/>
        <v>45</v>
      </c>
    </row>
    <row r="327">
      <c r="A327" s="4">
        <f>IFERROR(__xludf.DUMMYFUNCTION("""COMPUTED_VALUE"""),44320.66666666667)</f>
        <v>44320.66667</v>
      </c>
      <c r="B327" s="5">
        <f>IFERROR(__xludf.DUMMYFUNCTION("""COMPUTED_VALUE"""),1725.0)</f>
        <v>1725</v>
      </c>
      <c r="C327" s="5">
        <f>IFERROR(__xludf.DUMMYFUNCTION("""COMPUTED_VALUE"""),1880.0)</f>
        <v>1880</v>
      </c>
      <c r="D327" s="5">
        <f>IFERROR(__xludf.DUMMYFUNCTION("""COMPUTED_VALUE"""),1725.0)</f>
        <v>1725</v>
      </c>
      <c r="E327" s="5">
        <f>IFERROR(__xludf.DUMMYFUNCTION("""COMPUTED_VALUE"""),1840.0)</f>
        <v>1840</v>
      </c>
      <c r="F327" s="5">
        <f>IFERROR(__xludf.DUMMYFUNCTION("""COMPUTED_VALUE"""),1.524434E8)</f>
        <v>152443400</v>
      </c>
      <c r="G327" s="5">
        <f t="shared" si="1"/>
        <v>160</v>
      </c>
    </row>
    <row r="328">
      <c r="A328" s="4">
        <f>IFERROR(__xludf.DUMMYFUNCTION("""COMPUTED_VALUE"""),44321.625)</f>
        <v>44321.625</v>
      </c>
      <c r="B328" s="5">
        <f>IFERROR(__xludf.DUMMYFUNCTION("""COMPUTED_VALUE"""),1850.0)</f>
        <v>1850</v>
      </c>
      <c r="C328" s="5">
        <f>IFERROR(__xludf.DUMMYFUNCTION("""COMPUTED_VALUE"""),1895.0)</f>
        <v>1895</v>
      </c>
      <c r="D328" s="5">
        <f>IFERROR(__xludf.DUMMYFUNCTION("""COMPUTED_VALUE"""),1840.0)</f>
        <v>1840</v>
      </c>
      <c r="E328" s="5">
        <f>IFERROR(__xludf.DUMMYFUNCTION("""COMPUTED_VALUE"""),1865.0)</f>
        <v>1865</v>
      </c>
      <c r="F328" s="5">
        <f>IFERROR(__xludf.DUMMYFUNCTION("""COMPUTED_VALUE"""),1.171701E8)</f>
        <v>117170100</v>
      </c>
      <c r="G328" s="5">
        <f t="shared" si="1"/>
        <v>55</v>
      </c>
    </row>
    <row r="329">
      <c r="A329" s="4">
        <f>IFERROR(__xludf.DUMMYFUNCTION("""COMPUTED_VALUE"""),44322.625)</f>
        <v>44322.625</v>
      </c>
      <c r="B329" s="5">
        <f>IFERROR(__xludf.DUMMYFUNCTION("""COMPUTED_VALUE"""),1900.0)</f>
        <v>1900</v>
      </c>
      <c r="C329" s="5">
        <f>IFERROR(__xludf.DUMMYFUNCTION("""COMPUTED_VALUE"""),1925.0)</f>
        <v>1925</v>
      </c>
      <c r="D329" s="5">
        <f>IFERROR(__xludf.DUMMYFUNCTION("""COMPUTED_VALUE"""),1865.0)</f>
        <v>1865</v>
      </c>
      <c r="E329" s="5">
        <f>IFERROR(__xludf.DUMMYFUNCTION("""COMPUTED_VALUE"""),1885.0)</f>
        <v>1885</v>
      </c>
      <c r="F329" s="5">
        <f>IFERROR(__xludf.DUMMYFUNCTION("""COMPUTED_VALUE"""),1.113775E8)</f>
        <v>111377500</v>
      </c>
      <c r="G329" s="5">
        <f t="shared" si="1"/>
        <v>60</v>
      </c>
    </row>
    <row r="330">
      <c r="A330" s="4">
        <f>IFERROR(__xludf.DUMMYFUNCTION("""COMPUTED_VALUE"""),44323.625)</f>
        <v>44323.625</v>
      </c>
      <c r="B330" s="5">
        <f>IFERROR(__xludf.DUMMYFUNCTION("""COMPUTED_VALUE"""),1875.0)</f>
        <v>1875</v>
      </c>
      <c r="C330" s="5">
        <f>IFERROR(__xludf.DUMMYFUNCTION("""COMPUTED_VALUE"""),1900.0)</f>
        <v>1900</v>
      </c>
      <c r="D330" s="5">
        <f>IFERROR(__xludf.DUMMYFUNCTION("""COMPUTED_VALUE"""),1785.0)</f>
        <v>1785</v>
      </c>
      <c r="E330" s="5">
        <f>IFERROR(__xludf.DUMMYFUNCTION("""COMPUTED_VALUE"""),1805.0)</f>
        <v>1805</v>
      </c>
      <c r="F330" s="5">
        <f>IFERROR(__xludf.DUMMYFUNCTION("""COMPUTED_VALUE"""),1.435637E8)</f>
        <v>143563700</v>
      </c>
      <c r="G330" s="5">
        <f t="shared" si="1"/>
        <v>115</v>
      </c>
    </row>
    <row r="331">
      <c r="A331" s="4">
        <f>IFERROR(__xludf.DUMMYFUNCTION("""COMPUTED_VALUE"""),44326.66666666667)</f>
        <v>44326.66667</v>
      </c>
      <c r="B331" s="5">
        <f>IFERROR(__xludf.DUMMYFUNCTION("""COMPUTED_VALUE"""),1805.0)</f>
        <v>1805</v>
      </c>
      <c r="C331" s="5">
        <f>IFERROR(__xludf.DUMMYFUNCTION("""COMPUTED_VALUE"""),1855.0)</f>
        <v>1855</v>
      </c>
      <c r="D331" s="5">
        <f>IFERROR(__xludf.DUMMYFUNCTION("""COMPUTED_VALUE"""),1770.0)</f>
        <v>1770</v>
      </c>
      <c r="E331" s="5">
        <f>IFERROR(__xludf.DUMMYFUNCTION("""COMPUTED_VALUE"""),1825.0)</f>
        <v>1825</v>
      </c>
      <c r="F331" s="5">
        <f>IFERROR(__xludf.DUMMYFUNCTION("""COMPUTED_VALUE"""),9.86955E7)</f>
        <v>98695500</v>
      </c>
      <c r="G331" s="5">
        <f t="shared" si="1"/>
        <v>85</v>
      </c>
    </row>
    <row r="332">
      <c r="A332" s="4">
        <f>IFERROR(__xludf.DUMMYFUNCTION("""COMPUTED_VALUE"""),44327.66666666667)</f>
        <v>44327.66667</v>
      </c>
      <c r="B332" s="5">
        <f>IFERROR(__xludf.DUMMYFUNCTION("""COMPUTED_VALUE"""),1825.0)</f>
        <v>1825</v>
      </c>
      <c r="C332" s="5">
        <f>IFERROR(__xludf.DUMMYFUNCTION("""COMPUTED_VALUE"""),1840.0)</f>
        <v>1840</v>
      </c>
      <c r="D332" s="5">
        <f>IFERROR(__xludf.DUMMYFUNCTION("""COMPUTED_VALUE"""),1790.0)</f>
        <v>1790</v>
      </c>
      <c r="E332" s="5">
        <f>IFERROR(__xludf.DUMMYFUNCTION("""COMPUTED_VALUE"""),1820.0)</f>
        <v>1820</v>
      </c>
      <c r="F332" s="5">
        <f>IFERROR(__xludf.DUMMYFUNCTION("""COMPUTED_VALUE"""),4.15431E7)</f>
        <v>41543100</v>
      </c>
      <c r="G332" s="5">
        <f t="shared" si="1"/>
        <v>50</v>
      </c>
    </row>
    <row r="333">
      <c r="A333" s="4">
        <f>IFERROR(__xludf.DUMMYFUNCTION("""COMPUTED_VALUE"""),44333.625)</f>
        <v>44333.625</v>
      </c>
      <c r="B333" s="5">
        <f>IFERROR(__xludf.DUMMYFUNCTION("""COMPUTED_VALUE"""),1820.0)</f>
        <v>1820</v>
      </c>
      <c r="C333" s="5">
        <f>IFERROR(__xludf.DUMMYFUNCTION("""COMPUTED_VALUE"""),1840.0)</f>
        <v>1840</v>
      </c>
      <c r="D333" s="5">
        <f>IFERROR(__xludf.DUMMYFUNCTION("""COMPUTED_VALUE"""),1695.0)</f>
        <v>1695</v>
      </c>
      <c r="E333" s="5">
        <f>IFERROR(__xludf.DUMMYFUNCTION("""COMPUTED_VALUE"""),1695.0)</f>
        <v>1695</v>
      </c>
      <c r="F333" s="5">
        <f>IFERROR(__xludf.DUMMYFUNCTION("""COMPUTED_VALUE"""),8.47268E7)</f>
        <v>84726800</v>
      </c>
      <c r="G333" s="5">
        <f t="shared" si="1"/>
        <v>145</v>
      </c>
    </row>
    <row r="334">
      <c r="A334" s="4">
        <f>IFERROR(__xludf.DUMMYFUNCTION("""COMPUTED_VALUE"""),44334.625)</f>
        <v>44334.625</v>
      </c>
      <c r="B334" s="5">
        <f>IFERROR(__xludf.DUMMYFUNCTION("""COMPUTED_VALUE"""),1715.0)</f>
        <v>1715</v>
      </c>
      <c r="C334" s="5">
        <f>IFERROR(__xludf.DUMMYFUNCTION("""COMPUTED_VALUE"""),1775.0)</f>
        <v>1775</v>
      </c>
      <c r="D334" s="5">
        <f>IFERROR(__xludf.DUMMYFUNCTION("""COMPUTED_VALUE"""),1700.0)</f>
        <v>1700</v>
      </c>
      <c r="E334" s="5">
        <f>IFERROR(__xludf.DUMMYFUNCTION("""COMPUTED_VALUE"""),1755.0)</f>
        <v>1755</v>
      </c>
      <c r="F334" s="5">
        <f>IFERROR(__xludf.DUMMYFUNCTION("""COMPUTED_VALUE"""),8.00961E7)</f>
        <v>80096100</v>
      </c>
      <c r="G334" s="5">
        <f t="shared" si="1"/>
        <v>80</v>
      </c>
    </row>
    <row r="335">
      <c r="A335" s="4">
        <f>IFERROR(__xludf.DUMMYFUNCTION("""COMPUTED_VALUE"""),44335.625)</f>
        <v>44335.625</v>
      </c>
      <c r="B335" s="5">
        <f>IFERROR(__xludf.DUMMYFUNCTION("""COMPUTED_VALUE"""),1755.0)</f>
        <v>1755</v>
      </c>
      <c r="C335" s="5">
        <f>IFERROR(__xludf.DUMMYFUNCTION("""COMPUTED_VALUE"""),1790.0)</f>
        <v>1790</v>
      </c>
      <c r="D335" s="5">
        <f>IFERROR(__xludf.DUMMYFUNCTION("""COMPUTED_VALUE"""),1720.0)</f>
        <v>1720</v>
      </c>
      <c r="E335" s="5">
        <f>IFERROR(__xludf.DUMMYFUNCTION("""COMPUTED_VALUE"""),1730.0)</f>
        <v>1730</v>
      </c>
      <c r="F335" s="5">
        <f>IFERROR(__xludf.DUMMYFUNCTION("""COMPUTED_VALUE"""),4.52396E7)</f>
        <v>45239600</v>
      </c>
      <c r="G335" s="5">
        <f t="shared" si="1"/>
        <v>70</v>
      </c>
    </row>
    <row r="336">
      <c r="A336" s="4">
        <f>IFERROR(__xludf.DUMMYFUNCTION("""COMPUTED_VALUE"""),44336.625)</f>
        <v>44336.625</v>
      </c>
      <c r="B336" s="5">
        <f>IFERROR(__xludf.DUMMYFUNCTION("""COMPUTED_VALUE"""),1700.0)</f>
        <v>1700</v>
      </c>
      <c r="C336" s="5">
        <f>IFERROR(__xludf.DUMMYFUNCTION("""COMPUTED_VALUE"""),1730.0)</f>
        <v>1730</v>
      </c>
      <c r="D336" s="5">
        <f>IFERROR(__xludf.DUMMYFUNCTION("""COMPUTED_VALUE"""),1650.0)</f>
        <v>1650</v>
      </c>
      <c r="E336" s="5">
        <f>IFERROR(__xludf.DUMMYFUNCTION("""COMPUTED_VALUE"""),1650.0)</f>
        <v>1650</v>
      </c>
      <c r="F336" s="5">
        <f>IFERROR(__xludf.DUMMYFUNCTION("""COMPUTED_VALUE"""),5.09503E7)</f>
        <v>50950300</v>
      </c>
      <c r="G336" s="5">
        <f t="shared" si="1"/>
        <v>80</v>
      </c>
    </row>
    <row r="337">
      <c r="A337" s="4">
        <f>IFERROR(__xludf.DUMMYFUNCTION("""COMPUTED_VALUE"""),44337.625)</f>
        <v>44337.625</v>
      </c>
      <c r="B337" s="5">
        <f>IFERROR(__xludf.DUMMYFUNCTION("""COMPUTED_VALUE"""),1655.0)</f>
        <v>1655</v>
      </c>
      <c r="C337" s="5">
        <f>IFERROR(__xludf.DUMMYFUNCTION("""COMPUTED_VALUE"""),1665.0)</f>
        <v>1665</v>
      </c>
      <c r="D337" s="5">
        <f>IFERROR(__xludf.DUMMYFUNCTION("""COMPUTED_VALUE"""),1560.0)</f>
        <v>1560</v>
      </c>
      <c r="E337" s="5">
        <f>IFERROR(__xludf.DUMMYFUNCTION("""COMPUTED_VALUE"""),1570.0)</f>
        <v>1570</v>
      </c>
      <c r="F337" s="5">
        <f>IFERROR(__xludf.DUMMYFUNCTION("""COMPUTED_VALUE"""),6.79288E7)</f>
        <v>67928800</v>
      </c>
      <c r="G337" s="5">
        <f t="shared" si="1"/>
        <v>105</v>
      </c>
    </row>
    <row r="338">
      <c r="A338" s="4">
        <f>IFERROR(__xludf.DUMMYFUNCTION("""COMPUTED_VALUE"""),44340.625)</f>
        <v>44340.625</v>
      </c>
      <c r="B338" s="5">
        <f>IFERROR(__xludf.DUMMYFUNCTION("""COMPUTED_VALUE"""),1570.0)</f>
        <v>1570</v>
      </c>
      <c r="C338" s="5">
        <f>IFERROR(__xludf.DUMMYFUNCTION("""COMPUTED_VALUE"""),1590.0)</f>
        <v>1590</v>
      </c>
      <c r="D338" s="5">
        <f>IFERROR(__xludf.DUMMYFUNCTION("""COMPUTED_VALUE"""),1495.0)</f>
        <v>1495</v>
      </c>
      <c r="E338" s="5">
        <f>IFERROR(__xludf.DUMMYFUNCTION("""COMPUTED_VALUE"""),1505.0)</f>
        <v>1505</v>
      </c>
      <c r="F338" s="5">
        <f>IFERROR(__xludf.DUMMYFUNCTION("""COMPUTED_VALUE"""),6.25538E7)</f>
        <v>62553800</v>
      </c>
      <c r="G338" s="5">
        <f t="shared" si="1"/>
        <v>95</v>
      </c>
    </row>
    <row r="339">
      <c r="A339" s="4">
        <f>IFERROR(__xludf.DUMMYFUNCTION("""COMPUTED_VALUE"""),44341.625)</f>
        <v>44341.625</v>
      </c>
      <c r="B339" s="5">
        <f>IFERROR(__xludf.DUMMYFUNCTION("""COMPUTED_VALUE"""),1515.0)</f>
        <v>1515</v>
      </c>
      <c r="C339" s="5">
        <f>IFERROR(__xludf.DUMMYFUNCTION("""COMPUTED_VALUE"""),1575.0)</f>
        <v>1575</v>
      </c>
      <c r="D339" s="5">
        <f>IFERROR(__xludf.DUMMYFUNCTION("""COMPUTED_VALUE"""),1505.0)</f>
        <v>1505</v>
      </c>
      <c r="E339" s="5">
        <f>IFERROR(__xludf.DUMMYFUNCTION("""COMPUTED_VALUE"""),1515.0)</f>
        <v>1515</v>
      </c>
      <c r="F339" s="5">
        <f>IFERROR(__xludf.DUMMYFUNCTION("""COMPUTED_VALUE"""),6.24677E7)</f>
        <v>62467700</v>
      </c>
      <c r="G339" s="5">
        <f t="shared" si="1"/>
        <v>70</v>
      </c>
    </row>
    <row r="340">
      <c r="A340" s="4">
        <f>IFERROR(__xludf.DUMMYFUNCTION("""COMPUTED_VALUE"""),44343.625)</f>
        <v>44343.625</v>
      </c>
      <c r="B340" s="5">
        <f>IFERROR(__xludf.DUMMYFUNCTION("""COMPUTED_VALUE"""),1525.0)</f>
        <v>1525</v>
      </c>
      <c r="C340" s="5">
        <f>IFERROR(__xludf.DUMMYFUNCTION("""COMPUTED_VALUE"""),1565.0)</f>
        <v>1565</v>
      </c>
      <c r="D340" s="5">
        <f>IFERROR(__xludf.DUMMYFUNCTION("""COMPUTED_VALUE"""),1520.0)</f>
        <v>1520</v>
      </c>
      <c r="E340" s="5">
        <f>IFERROR(__xludf.DUMMYFUNCTION("""COMPUTED_VALUE"""),1530.0)</f>
        <v>1530</v>
      </c>
      <c r="F340" s="5">
        <f>IFERROR(__xludf.DUMMYFUNCTION("""COMPUTED_VALUE"""),4.83848E7)</f>
        <v>48384800</v>
      </c>
      <c r="G340" s="5">
        <f t="shared" si="1"/>
        <v>50</v>
      </c>
    </row>
    <row r="341">
      <c r="A341" s="4">
        <f>IFERROR(__xludf.DUMMYFUNCTION("""COMPUTED_VALUE"""),44344.625)</f>
        <v>44344.625</v>
      </c>
      <c r="B341" s="5">
        <f>IFERROR(__xludf.DUMMYFUNCTION("""COMPUTED_VALUE"""),1575.0)</f>
        <v>1575</v>
      </c>
      <c r="C341" s="5">
        <f>IFERROR(__xludf.DUMMYFUNCTION("""COMPUTED_VALUE"""),1610.0)</f>
        <v>1610</v>
      </c>
      <c r="D341" s="5">
        <f>IFERROR(__xludf.DUMMYFUNCTION("""COMPUTED_VALUE"""),1560.0)</f>
        <v>1560</v>
      </c>
      <c r="E341" s="5">
        <f>IFERROR(__xludf.DUMMYFUNCTION("""COMPUTED_VALUE"""),1575.0)</f>
        <v>1575</v>
      </c>
      <c r="F341" s="5">
        <f>IFERROR(__xludf.DUMMYFUNCTION("""COMPUTED_VALUE"""),6.67492E7)</f>
        <v>66749200</v>
      </c>
      <c r="G341" s="5">
        <f t="shared" si="1"/>
        <v>80</v>
      </c>
    </row>
    <row r="342">
      <c r="A342" s="4">
        <f>IFERROR(__xludf.DUMMYFUNCTION("""COMPUTED_VALUE"""),44347.625)</f>
        <v>44347.625</v>
      </c>
      <c r="B342" s="5">
        <f>IFERROR(__xludf.DUMMYFUNCTION("""COMPUTED_VALUE"""),1585.0)</f>
        <v>1585</v>
      </c>
      <c r="C342" s="5">
        <f>IFERROR(__xludf.DUMMYFUNCTION("""COMPUTED_VALUE"""),1615.0)</f>
        <v>1615</v>
      </c>
      <c r="D342" s="5">
        <f>IFERROR(__xludf.DUMMYFUNCTION("""COMPUTED_VALUE"""),1585.0)</f>
        <v>1585</v>
      </c>
      <c r="E342" s="5">
        <f>IFERROR(__xludf.DUMMYFUNCTION("""COMPUTED_VALUE"""),1600.0)</f>
        <v>1600</v>
      </c>
      <c r="F342" s="5">
        <f>IFERROR(__xludf.DUMMYFUNCTION("""COMPUTED_VALUE"""),3.65746E7)</f>
        <v>36574600</v>
      </c>
      <c r="G342" s="5">
        <f t="shared" si="1"/>
        <v>40</v>
      </c>
    </row>
    <row r="343">
      <c r="A343" s="4">
        <f>IFERROR(__xludf.DUMMYFUNCTION("""COMPUTED_VALUE"""),44349.625)</f>
        <v>44349.625</v>
      </c>
      <c r="B343" s="5">
        <f>IFERROR(__xludf.DUMMYFUNCTION("""COMPUTED_VALUE"""),1610.0)</f>
        <v>1610</v>
      </c>
      <c r="C343" s="5">
        <f>IFERROR(__xludf.DUMMYFUNCTION("""COMPUTED_VALUE"""),1635.0)</f>
        <v>1635</v>
      </c>
      <c r="D343" s="5">
        <f>IFERROR(__xludf.DUMMYFUNCTION("""COMPUTED_VALUE"""),1565.0)</f>
        <v>1565</v>
      </c>
      <c r="E343" s="5">
        <f>IFERROR(__xludf.DUMMYFUNCTION("""COMPUTED_VALUE"""),1625.0)</f>
        <v>1625</v>
      </c>
      <c r="F343" s="5">
        <f>IFERROR(__xludf.DUMMYFUNCTION("""COMPUTED_VALUE"""),6.64704E7)</f>
        <v>66470400</v>
      </c>
      <c r="G343" s="5">
        <f t="shared" si="1"/>
        <v>70</v>
      </c>
    </row>
    <row r="344">
      <c r="A344" s="4">
        <f>IFERROR(__xludf.DUMMYFUNCTION("""COMPUTED_VALUE"""),44350.625)</f>
        <v>44350.625</v>
      </c>
      <c r="B344" s="5">
        <f>IFERROR(__xludf.DUMMYFUNCTION("""COMPUTED_VALUE"""),1650.0)</f>
        <v>1650</v>
      </c>
      <c r="C344" s="5">
        <f>IFERROR(__xludf.DUMMYFUNCTION("""COMPUTED_VALUE"""),1660.0)</f>
        <v>1660</v>
      </c>
      <c r="D344" s="5">
        <f>IFERROR(__xludf.DUMMYFUNCTION("""COMPUTED_VALUE"""),1605.0)</f>
        <v>1605</v>
      </c>
      <c r="E344" s="5">
        <f>IFERROR(__xludf.DUMMYFUNCTION("""COMPUTED_VALUE"""),1605.0)</f>
        <v>1605</v>
      </c>
      <c r="F344" s="5">
        <f>IFERROR(__xludf.DUMMYFUNCTION("""COMPUTED_VALUE"""),6.15691E7)</f>
        <v>61569100</v>
      </c>
      <c r="G344" s="5">
        <f t="shared" si="1"/>
        <v>55</v>
      </c>
    </row>
    <row r="345">
      <c r="A345" s="4">
        <f>IFERROR(__xludf.DUMMYFUNCTION("""COMPUTED_VALUE"""),44351.625)</f>
        <v>44351.625</v>
      </c>
      <c r="B345" s="5">
        <f>IFERROR(__xludf.DUMMYFUNCTION("""COMPUTED_VALUE"""),1600.0)</f>
        <v>1600</v>
      </c>
      <c r="C345" s="5">
        <f>IFERROR(__xludf.DUMMYFUNCTION("""COMPUTED_VALUE"""),1600.0)</f>
        <v>1600</v>
      </c>
      <c r="D345" s="5">
        <f>IFERROR(__xludf.DUMMYFUNCTION("""COMPUTED_VALUE"""),1565.0)</f>
        <v>1565</v>
      </c>
      <c r="E345" s="5">
        <f>IFERROR(__xludf.DUMMYFUNCTION("""COMPUTED_VALUE"""),1570.0)</f>
        <v>1570</v>
      </c>
      <c r="F345" s="5">
        <f>IFERROR(__xludf.DUMMYFUNCTION("""COMPUTED_VALUE"""),3.41845E7)</f>
        <v>34184500</v>
      </c>
      <c r="G345" s="5">
        <f t="shared" si="1"/>
        <v>40</v>
      </c>
    </row>
    <row r="346">
      <c r="A346" s="4">
        <f>IFERROR(__xludf.DUMMYFUNCTION("""COMPUTED_VALUE"""),44354.625)</f>
        <v>44354.625</v>
      </c>
      <c r="B346" s="5">
        <f>IFERROR(__xludf.DUMMYFUNCTION("""COMPUTED_VALUE"""),1575.0)</f>
        <v>1575</v>
      </c>
      <c r="C346" s="5">
        <f>IFERROR(__xludf.DUMMYFUNCTION("""COMPUTED_VALUE"""),1595.0)</f>
        <v>1595</v>
      </c>
      <c r="D346" s="5">
        <f>IFERROR(__xludf.DUMMYFUNCTION("""COMPUTED_VALUE"""),1555.0)</f>
        <v>1555</v>
      </c>
      <c r="E346" s="5">
        <f>IFERROR(__xludf.DUMMYFUNCTION("""COMPUTED_VALUE"""),1565.0)</f>
        <v>1565</v>
      </c>
      <c r="F346" s="5">
        <f>IFERROR(__xludf.DUMMYFUNCTION("""COMPUTED_VALUE"""),2.05957E7)</f>
        <v>20595700</v>
      </c>
      <c r="G346" s="5">
        <f t="shared" si="1"/>
        <v>40</v>
      </c>
    </row>
    <row r="347">
      <c r="A347" s="4">
        <f>IFERROR(__xludf.DUMMYFUNCTION("""COMPUTED_VALUE"""),44355.625)</f>
        <v>44355.625</v>
      </c>
      <c r="B347" s="5">
        <f>IFERROR(__xludf.DUMMYFUNCTION("""COMPUTED_VALUE"""),1570.0)</f>
        <v>1570</v>
      </c>
      <c r="C347" s="5">
        <f>IFERROR(__xludf.DUMMYFUNCTION("""COMPUTED_VALUE"""),1585.0)</f>
        <v>1585</v>
      </c>
      <c r="D347" s="5">
        <f>IFERROR(__xludf.DUMMYFUNCTION("""COMPUTED_VALUE"""),1545.0)</f>
        <v>1545</v>
      </c>
      <c r="E347" s="5">
        <f>IFERROR(__xludf.DUMMYFUNCTION("""COMPUTED_VALUE"""),1550.0)</f>
        <v>1550</v>
      </c>
      <c r="F347" s="5">
        <f>IFERROR(__xludf.DUMMYFUNCTION("""COMPUTED_VALUE"""),2.00395E7)</f>
        <v>20039500</v>
      </c>
      <c r="G347" s="5">
        <f t="shared" si="1"/>
        <v>40</v>
      </c>
    </row>
    <row r="348">
      <c r="A348" s="4">
        <f>IFERROR(__xludf.DUMMYFUNCTION("""COMPUTED_VALUE"""),44356.625)</f>
        <v>44356.625</v>
      </c>
      <c r="B348" s="5">
        <f>IFERROR(__xludf.DUMMYFUNCTION("""COMPUTED_VALUE"""),1580.0)</f>
        <v>1580</v>
      </c>
      <c r="C348" s="5">
        <f>IFERROR(__xludf.DUMMYFUNCTION("""COMPUTED_VALUE"""),1625.0)</f>
        <v>1625</v>
      </c>
      <c r="D348" s="5">
        <f>IFERROR(__xludf.DUMMYFUNCTION("""COMPUTED_VALUE"""),1570.0)</f>
        <v>1570</v>
      </c>
      <c r="E348" s="5">
        <f>IFERROR(__xludf.DUMMYFUNCTION("""COMPUTED_VALUE"""),1620.0)</f>
        <v>1620</v>
      </c>
      <c r="F348" s="5">
        <f>IFERROR(__xludf.DUMMYFUNCTION("""COMPUTED_VALUE"""),5.87039E7)</f>
        <v>58703900</v>
      </c>
      <c r="G348" s="5">
        <f t="shared" si="1"/>
        <v>75</v>
      </c>
    </row>
    <row r="349">
      <c r="A349" s="4">
        <f>IFERROR(__xludf.DUMMYFUNCTION("""COMPUTED_VALUE"""),44357.625)</f>
        <v>44357.625</v>
      </c>
      <c r="B349" s="5">
        <f>IFERROR(__xludf.DUMMYFUNCTION("""COMPUTED_VALUE"""),1615.0)</f>
        <v>1615</v>
      </c>
      <c r="C349" s="5">
        <f>IFERROR(__xludf.DUMMYFUNCTION("""COMPUTED_VALUE"""),1620.0)</f>
        <v>1620</v>
      </c>
      <c r="D349" s="5">
        <f>IFERROR(__xludf.DUMMYFUNCTION("""COMPUTED_VALUE"""),1580.0)</f>
        <v>1580</v>
      </c>
      <c r="E349" s="5">
        <f>IFERROR(__xludf.DUMMYFUNCTION("""COMPUTED_VALUE"""),1580.0)</f>
        <v>1580</v>
      </c>
      <c r="F349" s="5">
        <f>IFERROR(__xludf.DUMMYFUNCTION("""COMPUTED_VALUE"""),2.30757E7)</f>
        <v>23075700</v>
      </c>
      <c r="G349" s="5">
        <f t="shared" si="1"/>
        <v>40</v>
      </c>
    </row>
    <row r="350">
      <c r="A350" s="4">
        <f>IFERROR(__xludf.DUMMYFUNCTION("""COMPUTED_VALUE"""),44358.625)</f>
        <v>44358.625</v>
      </c>
      <c r="B350" s="5">
        <f>IFERROR(__xludf.DUMMYFUNCTION("""COMPUTED_VALUE"""),1590.0)</f>
        <v>1590</v>
      </c>
      <c r="C350" s="5">
        <f>IFERROR(__xludf.DUMMYFUNCTION("""COMPUTED_VALUE"""),1635.0)</f>
        <v>1635</v>
      </c>
      <c r="D350" s="5">
        <f>IFERROR(__xludf.DUMMYFUNCTION("""COMPUTED_VALUE"""),1590.0)</f>
        <v>1590</v>
      </c>
      <c r="E350" s="5">
        <f>IFERROR(__xludf.DUMMYFUNCTION("""COMPUTED_VALUE"""),1595.0)</f>
        <v>1595</v>
      </c>
      <c r="F350" s="5">
        <f>IFERROR(__xludf.DUMMYFUNCTION("""COMPUTED_VALUE"""),4.20274E7)</f>
        <v>42027400</v>
      </c>
      <c r="G350" s="5">
        <f t="shared" si="1"/>
        <v>55</v>
      </c>
    </row>
    <row r="351">
      <c r="A351" s="4">
        <f>IFERROR(__xludf.DUMMYFUNCTION("""COMPUTED_VALUE"""),44361.66666666667)</f>
        <v>44361.66667</v>
      </c>
      <c r="B351" s="5">
        <f>IFERROR(__xludf.DUMMYFUNCTION("""COMPUTED_VALUE"""),1600.0)</f>
        <v>1600</v>
      </c>
      <c r="C351" s="5">
        <f>IFERROR(__xludf.DUMMYFUNCTION("""COMPUTED_VALUE"""),1615.0)</f>
        <v>1615</v>
      </c>
      <c r="D351" s="5">
        <f>IFERROR(__xludf.DUMMYFUNCTION("""COMPUTED_VALUE"""),1570.0)</f>
        <v>1570</v>
      </c>
      <c r="E351" s="5">
        <f>IFERROR(__xludf.DUMMYFUNCTION("""COMPUTED_VALUE"""),1575.0)</f>
        <v>1575</v>
      </c>
      <c r="F351" s="5">
        <f>IFERROR(__xludf.DUMMYFUNCTION("""COMPUTED_VALUE"""),1.87254E7)</f>
        <v>18725400</v>
      </c>
      <c r="G351" s="5">
        <f t="shared" si="1"/>
        <v>45</v>
      </c>
    </row>
    <row r="352">
      <c r="A352" s="4">
        <f>IFERROR(__xludf.DUMMYFUNCTION("""COMPUTED_VALUE"""),44362.625)</f>
        <v>44362.625</v>
      </c>
      <c r="B352" s="5">
        <f>IFERROR(__xludf.DUMMYFUNCTION("""COMPUTED_VALUE"""),1570.0)</f>
        <v>1570</v>
      </c>
      <c r="C352" s="5">
        <f>IFERROR(__xludf.DUMMYFUNCTION("""COMPUTED_VALUE"""),1570.0)</f>
        <v>1570</v>
      </c>
      <c r="D352" s="5">
        <f>IFERROR(__xludf.DUMMYFUNCTION("""COMPUTED_VALUE"""),1535.0)</f>
        <v>1535</v>
      </c>
      <c r="E352" s="5">
        <f>IFERROR(__xludf.DUMMYFUNCTION("""COMPUTED_VALUE"""),1540.0)</f>
        <v>1540</v>
      </c>
      <c r="F352" s="5">
        <f>IFERROR(__xludf.DUMMYFUNCTION("""COMPUTED_VALUE"""),2.39806E7)</f>
        <v>23980600</v>
      </c>
      <c r="G352" s="5">
        <f t="shared" si="1"/>
        <v>40</v>
      </c>
    </row>
    <row r="353">
      <c r="A353" s="4">
        <f>IFERROR(__xludf.DUMMYFUNCTION("""COMPUTED_VALUE"""),44363.625)</f>
        <v>44363.625</v>
      </c>
      <c r="B353" s="5">
        <f>IFERROR(__xludf.DUMMYFUNCTION("""COMPUTED_VALUE"""),1535.0)</f>
        <v>1535</v>
      </c>
      <c r="C353" s="5">
        <f>IFERROR(__xludf.DUMMYFUNCTION("""COMPUTED_VALUE"""),1550.0)</f>
        <v>1550</v>
      </c>
      <c r="D353" s="5">
        <f>IFERROR(__xludf.DUMMYFUNCTION("""COMPUTED_VALUE"""),1515.0)</f>
        <v>1515</v>
      </c>
      <c r="E353" s="5">
        <f>IFERROR(__xludf.DUMMYFUNCTION("""COMPUTED_VALUE"""),1520.0)</f>
        <v>1520</v>
      </c>
      <c r="F353" s="5">
        <f>IFERROR(__xludf.DUMMYFUNCTION("""COMPUTED_VALUE"""),1.62222E7)</f>
        <v>16222200</v>
      </c>
      <c r="G353" s="5">
        <f t="shared" si="1"/>
        <v>35</v>
      </c>
    </row>
    <row r="354">
      <c r="A354" s="4">
        <f>IFERROR(__xludf.DUMMYFUNCTION("""COMPUTED_VALUE"""),44364.625)</f>
        <v>44364.625</v>
      </c>
      <c r="B354" s="5">
        <f>IFERROR(__xludf.DUMMYFUNCTION("""COMPUTED_VALUE"""),1525.0)</f>
        <v>1525</v>
      </c>
      <c r="C354" s="5">
        <f>IFERROR(__xludf.DUMMYFUNCTION("""COMPUTED_VALUE"""),1530.0)</f>
        <v>1530</v>
      </c>
      <c r="D354" s="5">
        <f>IFERROR(__xludf.DUMMYFUNCTION("""COMPUTED_VALUE"""),1500.0)</f>
        <v>1500</v>
      </c>
      <c r="E354" s="5">
        <f>IFERROR(__xludf.DUMMYFUNCTION("""COMPUTED_VALUE"""),1500.0)</f>
        <v>1500</v>
      </c>
      <c r="F354" s="5">
        <f>IFERROR(__xludf.DUMMYFUNCTION("""COMPUTED_VALUE"""),3.35222E7)</f>
        <v>33522200</v>
      </c>
      <c r="G354" s="5">
        <f t="shared" si="1"/>
        <v>30</v>
      </c>
    </row>
    <row r="355">
      <c r="A355" s="4">
        <f>IFERROR(__xludf.DUMMYFUNCTION("""COMPUTED_VALUE"""),44365.625)</f>
        <v>44365.625</v>
      </c>
      <c r="B355" s="5">
        <f>IFERROR(__xludf.DUMMYFUNCTION("""COMPUTED_VALUE"""),1500.0)</f>
        <v>1500</v>
      </c>
      <c r="C355" s="5">
        <f>IFERROR(__xludf.DUMMYFUNCTION("""COMPUTED_VALUE"""),1505.0)</f>
        <v>1505</v>
      </c>
      <c r="D355" s="5">
        <f>IFERROR(__xludf.DUMMYFUNCTION("""COMPUTED_VALUE"""),1430.0)</f>
        <v>1430</v>
      </c>
      <c r="E355" s="5">
        <f>IFERROR(__xludf.DUMMYFUNCTION("""COMPUTED_VALUE"""),1505.0)</f>
        <v>1505</v>
      </c>
      <c r="F355" s="5">
        <f>IFERROR(__xludf.DUMMYFUNCTION("""COMPUTED_VALUE"""),3.75322E7)</f>
        <v>37532200</v>
      </c>
      <c r="G355" s="5">
        <f t="shared" si="1"/>
        <v>75</v>
      </c>
    </row>
    <row r="356">
      <c r="A356" s="4">
        <f>IFERROR(__xludf.DUMMYFUNCTION("""COMPUTED_VALUE"""),44368.66666666667)</f>
        <v>44368.66667</v>
      </c>
      <c r="B356" s="5">
        <f>IFERROR(__xludf.DUMMYFUNCTION("""COMPUTED_VALUE"""),1485.0)</f>
        <v>1485</v>
      </c>
      <c r="C356" s="5">
        <f>IFERROR(__xludf.DUMMYFUNCTION("""COMPUTED_VALUE"""),1505.0)</f>
        <v>1505</v>
      </c>
      <c r="D356" s="5">
        <f>IFERROR(__xludf.DUMMYFUNCTION("""COMPUTED_VALUE"""),1430.0)</f>
        <v>1430</v>
      </c>
      <c r="E356" s="5">
        <f>IFERROR(__xludf.DUMMYFUNCTION("""COMPUTED_VALUE"""),1440.0)</f>
        <v>1440</v>
      </c>
      <c r="F356" s="5">
        <f>IFERROR(__xludf.DUMMYFUNCTION("""COMPUTED_VALUE"""),3.87553E7)</f>
        <v>38755300</v>
      </c>
      <c r="G356" s="5">
        <f t="shared" si="1"/>
        <v>75</v>
      </c>
    </row>
    <row r="357">
      <c r="A357" s="4">
        <f>IFERROR(__xludf.DUMMYFUNCTION("""COMPUTED_VALUE"""),44369.625)</f>
        <v>44369.625</v>
      </c>
      <c r="B357" s="5">
        <f>IFERROR(__xludf.DUMMYFUNCTION("""COMPUTED_VALUE"""),1460.0)</f>
        <v>1460</v>
      </c>
      <c r="C357" s="5">
        <f>IFERROR(__xludf.DUMMYFUNCTION("""COMPUTED_VALUE"""),1525.0)</f>
        <v>1525</v>
      </c>
      <c r="D357" s="5">
        <f>IFERROR(__xludf.DUMMYFUNCTION("""COMPUTED_VALUE"""),1460.0)</f>
        <v>1460</v>
      </c>
      <c r="E357" s="5">
        <f>IFERROR(__xludf.DUMMYFUNCTION("""COMPUTED_VALUE"""),1500.0)</f>
        <v>1500</v>
      </c>
      <c r="F357" s="5">
        <f>IFERROR(__xludf.DUMMYFUNCTION("""COMPUTED_VALUE"""),3.41807E7)</f>
        <v>34180700</v>
      </c>
      <c r="G357" s="5">
        <f t="shared" si="1"/>
        <v>85</v>
      </c>
    </row>
    <row r="358">
      <c r="A358" s="4">
        <f>IFERROR(__xludf.DUMMYFUNCTION("""COMPUTED_VALUE"""),44370.625)</f>
        <v>44370.625</v>
      </c>
      <c r="B358" s="5">
        <f>IFERROR(__xludf.DUMMYFUNCTION("""COMPUTED_VALUE"""),1500.0)</f>
        <v>1500</v>
      </c>
      <c r="C358" s="5">
        <f>IFERROR(__xludf.DUMMYFUNCTION("""COMPUTED_VALUE"""),1520.0)</f>
        <v>1520</v>
      </c>
      <c r="D358" s="5">
        <f>IFERROR(__xludf.DUMMYFUNCTION("""COMPUTED_VALUE"""),1450.0)</f>
        <v>1450</v>
      </c>
      <c r="E358" s="5">
        <f>IFERROR(__xludf.DUMMYFUNCTION("""COMPUTED_VALUE"""),1460.0)</f>
        <v>1460</v>
      </c>
      <c r="F358" s="5">
        <f>IFERROR(__xludf.DUMMYFUNCTION("""COMPUTED_VALUE"""),2.55061E7)</f>
        <v>25506100</v>
      </c>
      <c r="G358" s="5">
        <f t="shared" si="1"/>
        <v>70</v>
      </c>
    </row>
    <row r="359">
      <c r="A359" s="4">
        <f>IFERROR(__xludf.DUMMYFUNCTION("""COMPUTED_VALUE"""),44371.625)</f>
        <v>44371.625</v>
      </c>
      <c r="B359" s="5">
        <f>IFERROR(__xludf.DUMMYFUNCTION("""COMPUTED_VALUE"""),1455.0)</f>
        <v>1455</v>
      </c>
      <c r="C359" s="5">
        <f>IFERROR(__xludf.DUMMYFUNCTION("""COMPUTED_VALUE"""),1485.0)</f>
        <v>1485</v>
      </c>
      <c r="D359" s="5">
        <f>IFERROR(__xludf.DUMMYFUNCTION("""COMPUTED_VALUE"""),1435.0)</f>
        <v>1435</v>
      </c>
      <c r="E359" s="5">
        <f>IFERROR(__xludf.DUMMYFUNCTION("""COMPUTED_VALUE"""),1450.0)</f>
        <v>1450</v>
      </c>
      <c r="F359" s="5">
        <f>IFERROR(__xludf.DUMMYFUNCTION("""COMPUTED_VALUE"""),1.27053E7)</f>
        <v>12705300</v>
      </c>
      <c r="G359" s="5">
        <f t="shared" si="1"/>
        <v>50</v>
      </c>
    </row>
    <row r="360">
      <c r="A360" s="4">
        <f>IFERROR(__xludf.DUMMYFUNCTION("""COMPUTED_VALUE"""),44372.625)</f>
        <v>44372.625</v>
      </c>
      <c r="B360" s="5">
        <f>IFERROR(__xludf.DUMMYFUNCTION("""COMPUTED_VALUE"""),1460.0)</f>
        <v>1460</v>
      </c>
      <c r="C360" s="5">
        <f>IFERROR(__xludf.DUMMYFUNCTION("""COMPUTED_VALUE"""),1500.0)</f>
        <v>1500</v>
      </c>
      <c r="D360" s="5">
        <f>IFERROR(__xludf.DUMMYFUNCTION("""COMPUTED_VALUE"""),1450.0)</f>
        <v>1450</v>
      </c>
      <c r="E360" s="5">
        <f>IFERROR(__xludf.DUMMYFUNCTION("""COMPUTED_VALUE"""),1455.0)</f>
        <v>1455</v>
      </c>
      <c r="F360" s="5">
        <f>IFERROR(__xludf.DUMMYFUNCTION("""COMPUTED_VALUE"""),2.14912E7)</f>
        <v>21491200</v>
      </c>
      <c r="G360" s="5">
        <f t="shared" si="1"/>
        <v>50</v>
      </c>
    </row>
    <row r="361">
      <c r="A361" s="4">
        <f>IFERROR(__xludf.DUMMYFUNCTION("""COMPUTED_VALUE"""),44375.66666666667)</f>
        <v>44375.66667</v>
      </c>
      <c r="B361" s="5">
        <f>IFERROR(__xludf.DUMMYFUNCTION("""COMPUTED_VALUE"""),1455.0)</f>
        <v>1455</v>
      </c>
      <c r="C361" s="5">
        <f>IFERROR(__xludf.DUMMYFUNCTION("""COMPUTED_VALUE"""),1470.0)</f>
        <v>1470</v>
      </c>
      <c r="D361" s="5">
        <f>IFERROR(__xludf.DUMMYFUNCTION("""COMPUTED_VALUE"""),1395.0)</f>
        <v>1395</v>
      </c>
      <c r="E361" s="5">
        <f>IFERROR(__xludf.DUMMYFUNCTION("""COMPUTED_VALUE"""),1410.0)</f>
        <v>1410</v>
      </c>
      <c r="F361" s="5">
        <f>IFERROR(__xludf.DUMMYFUNCTION("""COMPUTED_VALUE"""),3.1089E7)</f>
        <v>31089000</v>
      </c>
      <c r="G361" s="5">
        <f t="shared" si="1"/>
        <v>75</v>
      </c>
    </row>
    <row r="362">
      <c r="A362" s="4">
        <f>IFERROR(__xludf.DUMMYFUNCTION("""COMPUTED_VALUE"""),44376.625)</f>
        <v>44376.625</v>
      </c>
      <c r="B362" s="5">
        <f>IFERROR(__xludf.DUMMYFUNCTION("""COMPUTED_VALUE"""),1410.0)</f>
        <v>1410</v>
      </c>
      <c r="C362" s="5">
        <f>IFERROR(__xludf.DUMMYFUNCTION("""COMPUTED_VALUE"""),1450.0)</f>
        <v>1450</v>
      </c>
      <c r="D362" s="5">
        <f>IFERROR(__xludf.DUMMYFUNCTION("""COMPUTED_VALUE"""),1385.0)</f>
        <v>1385</v>
      </c>
      <c r="E362" s="5">
        <f>IFERROR(__xludf.DUMMYFUNCTION("""COMPUTED_VALUE"""),1415.0)</f>
        <v>1415</v>
      </c>
      <c r="F362" s="5">
        <f>IFERROR(__xludf.DUMMYFUNCTION("""COMPUTED_VALUE"""),2.08701E7)</f>
        <v>20870100</v>
      </c>
      <c r="G362" s="5">
        <f t="shared" si="1"/>
        <v>65</v>
      </c>
    </row>
    <row r="363">
      <c r="A363" s="4">
        <f>IFERROR(__xludf.DUMMYFUNCTION("""COMPUTED_VALUE"""),44377.625)</f>
        <v>44377.625</v>
      </c>
      <c r="B363" s="5">
        <f>IFERROR(__xludf.DUMMYFUNCTION("""COMPUTED_VALUE"""),1415.0)</f>
        <v>1415</v>
      </c>
      <c r="C363" s="5">
        <f>IFERROR(__xludf.DUMMYFUNCTION("""COMPUTED_VALUE"""),1490.0)</f>
        <v>1490</v>
      </c>
      <c r="D363" s="5">
        <f>IFERROR(__xludf.DUMMYFUNCTION("""COMPUTED_VALUE"""),1415.0)</f>
        <v>1415</v>
      </c>
      <c r="E363" s="5">
        <f>IFERROR(__xludf.DUMMYFUNCTION("""COMPUTED_VALUE"""),1490.0)</f>
        <v>1490</v>
      </c>
      <c r="F363" s="5">
        <f>IFERROR(__xludf.DUMMYFUNCTION("""COMPUTED_VALUE"""),4.16481E7)</f>
        <v>41648100</v>
      </c>
      <c r="G363" s="5">
        <f t="shared" si="1"/>
        <v>75</v>
      </c>
    </row>
    <row r="364">
      <c r="A364" s="4">
        <f>IFERROR(__xludf.DUMMYFUNCTION("""COMPUTED_VALUE"""),44378.625)</f>
        <v>44378.625</v>
      </c>
      <c r="B364" s="5">
        <f>IFERROR(__xludf.DUMMYFUNCTION("""COMPUTED_VALUE"""),1490.0)</f>
        <v>1490</v>
      </c>
      <c r="C364" s="5">
        <f>IFERROR(__xludf.DUMMYFUNCTION("""COMPUTED_VALUE"""),1505.0)</f>
        <v>1505</v>
      </c>
      <c r="D364" s="5">
        <f>IFERROR(__xludf.DUMMYFUNCTION("""COMPUTED_VALUE"""),1425.0)</f>
        <v>1425</v>
      </c>
      <c r="E364" s="5">
        <f>IFERROR(__xludf.DUMMYFUNCTION("""COMPUTED_VALUE"""),1465.0)</f>
        <v>1465</v>
      </c>
      <c r="F364" s="5">
        <f>IFERROR(__xludf.DUMMYFUNCTION("""COMPUTED_VALUE"""),3.54238E7)</f>
        <v>35423800</v>
      </c>
      <c r="G364" s="5">
        <f t="shared" si="1"/>
        <v>80</v>
      </c>
    </row>
    <row r="365">
      <c r="A365" s="4">
        <f>IFERROR(__xludf.DUMMYFUNCTION("""COMPUTED_VALUE"""),44379.625)</f>
        <v>44379.625</v>
      </c>
      <c r="B365" s="5">
        <f>IFERROR(__xludf.DUMMYFUNCTION("""COMPUTED_VALUE"""),1470.0)</f>
        <v>1470</v>
      </c>
      <c r="C365" s="5">
        <f>IFERROR(__xludf.DUMMYFUNCTION("""COMPUTED_VALUE"""),1470.0)</f>
        <v>1470</v>
      </c>
      <c r="D365" s="5">
        <f>IFERROR(__xludf.DUMMYFUNCTION("""COMPUTED_VALUE"""),1440.0)</f>
        <v>1440</v>
      </c>
      <c r="E365" s="5">
        <f>IFERROR(__xludf.DUMMYFUNCTION("""COMPUTED_VALUE"""),1450.0)</f>
        <v>1450</v>
      </c>
      <c r="F365" s="5">
        <f>IFERROR(__xludf.DUMMYFUNCTION("""COMPUTED_VALUE"""),9646500.0)</f>
        <v>9646500</v>
      </c>
      <c r="G365" s="5">
        <f t="shared" si="1"/>
        <v>30</v>
      </c>
    </row>
    <row r="366">
      <c r="A366" s="4">
        <f>IFERROR(__xludf.DUMMYFUNCTION("""COMPUTED_VALUE"""),44382.625)</f>
        <v>44382.625</v>
      </c>
      <c r="B366" s="5">
        <f>IFERROR(__xludf.DUMMYFUNCTION("""COMPUTED_VALUE"""),1450.0)</f>
        <v>1450</v>
      </c>
      <c r="C366" s="5">
        <f>IFERROR(__xludf.DUMMYFUNCTION("""COMPUTED_VALUE"""),1480.0)</f>
        <v>1480</v>
      </c>
      <c r="D366" s="5">
        <f>IFERROR(__xludf.DUMMYFUNCTION("""COMPUTED_VALUE"""),1440.0)</f>
        <v>1440</v>
      </c>
      <c r="E366" s="5">
        <f>IFERROR(__xludf.DUMMYFUNCTION("""COMPUTED_VALUE"""),1450.0)</f>
        <v>1450</v>
      </c>
      <c r="F366" s="5">
        <f>IFERROR(__xludf.DUMMYFUNCTION("""COMPUTED_VALUE"""),2.08332E7)</f>
        <v>20833200</v>
      </c>
      <c r="G366" s="5">
        <f t="shared" si="1"/>
        <v>40</v>
      </c>
    </row>
    <row r="367">
      <c r="A367" s="4">
        <f>IFERROR(__xludf.DUMMYFUNCTION("""COMPUTED_VALUE"""),44383.625)</f>
        <v>44383.625</v>
      </c>
      <c r="B367" s="5">
        <f>IFERROR(__xludf.DUMMYFUNCTION("""COMPUTED_VALUE"""),1455.0)</f>
        <v>1455</v>
      </c>
      <c r="C367" s="5">
        <f>IFERROR(__xludf.DUMMYFUNCTION("""COMPUTED_VALUE"""),1595.0)</f>
        <v>1595</v>
      </c>
      <c r="D367" s="5">
        <f>IFERROR(__xludf.DUMMYFUNCTION("""COMPUTED_VALUE"""),1450.0)</f>
        <v>1450</v>
      </c>
      <c r="E367" s="5">
        <f>IFERROR(__xludf.DUMMYFUNCTION("""COMPUTED_VALUE"""),1580.0)</f>
        <v>1580</v>
      </c>
      <c r="F367" s="5">
        <f>IFERROR(__xludf.DUMMYFUNCTION("""COMPUTED_VALUE"""),1.028863E8)</f>
        <v>102886300</v>
      </c>
      <c r="G367" s="5">
        <f t="shared" si="1"/>
        <v>145</v>
      </c>
    </row>
    <row r="368">
      <c r="A368" s="4">
        <f>IFERROR(__xludf.DUMMYFUNCTION("""COMPUTED_VALUE"""),44384.625)</f>
        <v>44384.625</v>
      </c>
      <c r="B368" s="5">
        <f>IFERROR(__xludf.DUMMYFUNCTION("""COMPUTED_VALUE"""),1560.0)</f>
        <v>1560</v>
      </c>
      <c r="C368" s="5">
        <f>IFERROR(__xludf.DUMMYFUNCTION("""COMPUTED_VALUE"""),1560.0)</f>
        <v>1560</v>
      </c>
      <c r="D368" s="5">
        <f>IFERROR(__xludf.DUMMYFUNCTION("""COMPUTED_VALUE"""),1505.0)</f>
        <v>1505</v>
      </c>
      <c r="E368" s="5">
        <f>IFERROR(__xludf.DUMMYFUNCTION("""COMPUTED_VALUE"""),1535.0)</f>
        <v>1535</v>
      </c>
      <c r="F368" s="5">
        <f>IFERROR(__xludf.DUMMYFUNCTION("""COMPUTED_VALUE"""),5.25351E7)</f>
        <v>52535100</v>
      </c>
      <c r="G368" s="5">
        <f t="shared" si="1"/>
        <v>75</v>
      </c>
    </row>
    <row r="369">
      <c r="A369" s="4">
        <f>IFERROR(__xludf.DUMMYFUNCTION("""COMPUTED_VALUE"""),44385.625)</f>
        <v>44385.625</v>
      </c>
      <c r="B369" s="5">
        <f>IFERROR(__xludf.DUMMYFUNCTION("""COMPUTED_VALUE"""),1535.0)</f>
        <v>1535</v>
      </c>
      <c r="C369" s="5">
        <f>IFERROR(__xludf.DUMMYFUNCTION("""COMPUTED_VALUE"""),1625.0)</f>
        <v>1625</v>
      </c>
      <c r="D369" s="5">
        <f>IFERROR(__xludf.DUMMYFUNCTION("""COMPUTED_VALUE"""),1530.0)</f>
        <v>1530</v>
      </c>
      <c r="E369" s="5">
        <f>IFERROR(__xludf.DUMMYFUNCTION("""COMPUTED_VALUE"""),1610.0)</f>
        <v>1610</v>
      </c>
      <c r="F369" s="5">
        <f>IFERROR(__xludf.DUMMYFUNCTION("""COMPUTED_VALUE"""),1.112813E8)</f>
        <v>111281300</v>
      </c>
      <c r="G369" s="5">
        <f t="shared" si="1"/>
        <v>95</v>
      </c>
    </row>
    <row r="370">
      <c r="A370" s="4">
        <f>IFERROR(__xludf.DUMMYFUNCTION("""COMPUTED_VALUE"""),44386.625)</f>
        <v>44386.625</v>
      </c>
      <c r="B370" s="5">
        <f>IFERROR(__xludf.DUMMYFUNCTION("""COMPUTED_VALUE"""),1610.0)</f>
        <v>1610</v>
      </c>
      <c r="C370" s="5">
        <f>IFERROR(__xludf.DUMMYFUNCTION("""COMPUTED_VALUE"""),1640.0)</f>
        <v>1640</v>
      </c>
      <c r="D370" s="5">
        <f>IFERROR(__xludf.DUMMYFUNCTION("""COMPUTED_VALUE"""),1575.0)</f>
        <v>1575</v>
      </c>
      <c r="E370" s="5">
        <f>IFERROR(__xludf.DUMMYFUNCTION("""COMPUTED_VALUE"""),1630.0)</f>
        <v>1630</v>
      </c>
      <c r="F370" s="5">
        <f>IFERROR(__xludf.DUMMYFUNCTION("""COMPUTED_VALUE"""),5.98816E7)</f>
        <v>59881600</v>
      </c>
      <c r="G370" s="5">
        <f t="shared" si="1"/>
        <v>65</v>
      </c>
    </row>
    <row r="371">
      <c r="A371" s="4">
        <f>IFERROR(__xludf.DUMMYFUNCTION("""COMPUTED_VALUE"""),44389.625)</f>
        <v>44389.625</v>
      </c>
      <c r="B371" s="5">
        <f>IFERROR(__xludf.DUMMYFUNCTION("""COMPUTED_VALUE"""),1635.0)</f>
        <v>1635</v>
      </c>
      <c r="C371" s="5">
        <f>IFERROR(__xludf.DUMMYFUNCTION("""COMPUTED_VALUE"""),1670.0)</f>
        <v>1670</v>
      </c>
      <c r="D371" s="5">
        <f>IFERROR(__xludf.DUMMYFUNCTION("""COMPUTED_VALUE"""),1575.0)</f>
        <v>1575</v>
      </c>
      <c r="E371" s="5">
        <f>IFERROR(__xludf.DUMMYFUNCTION("""COMPUTED_VALUE"""),1575.0)</f>
        <v>1575</v>
      </c>
      <c r="F371" s="5">
        <f>IFERROR(__xludf.DUMMYFUNCTION("""COMPUTED_VALUE"""),4.16651E7)</f>
        <v>41665100</v>
      </c>
      <c r="G371" s="5">
        <f t="shared" si="1"/>
        <v>95</v>
      </c>
    </row>
    <row r="372">
      <c r="A372" s="4">
        <f>IFERROR(__xludf.DUMMYFUNCTION("""COMPUTED_VALUE"""),44390.625)</f>
        <v>44390.625</v>
      </c>
      <c r="B372" s="5">
        <f>IFERROR(__xludf.DUMMYFUNCTION("""COMPUTED_VALUE"""),1590.0)</f>
        <v>1590</v>
      </c>
      <c r="C372" s="5">
        <f>IFERROR(__xludf.DUMMYFUNCTION("""COMPUTED_VALUE"""),1615.0)</f>
        <v>1615</v>
      </c>
      <c r="D372" s="5">
        <f>IFERROR(__xludf.DUMMYFUNCTION("""COMPUTED_VALUE"""),1560.0)</f>
        <v>1560</v>
      </c>
      <c r="E372" s="5">
        <f>IFERROR(__xludf.DUMMYFUNCTION("""COMPUTED_VALUE"""),1575.0)</f>
        <v>1575</v>
      </c>
      <c r="F372" s="5">
        <f>IFERROR(__xludf.DUMMYFUNCTION("""COMPUTED_VALUE"""),3.10091E7)</f>
        <v>31009100</v>
      </c>
      <c r="G372" s="5">
        <f t="shared" si="1"/>
        <v>55</v>
      </c>
    </row>
    <row r="373">
      <c r="A373" s="4">
        <f>IFERROR(__xludf.DUMMYFUNCTION("""COMPUTED_VALUE"""),44391.625)</f>
        <v>44391.625</v>
      </c>
      <c r="B373" s="5">
        <f>IFERROR(__xludf.DUMMYFUNCTION("""COMPUTED_VALUE"""),1580.0)</f>
        <v>1580</v>
      </c>
      <c r="C373" s="5">
        <f>IFERROR(__xludf.DUMMYFUNCTION("""COMPUTED_VALUE"""),1630.0)</f>
        <v>1630</v>
      </c>
      <c r="D373" s="5">
        <f>IFERROR(__xludf.DUMMYFUNCTION("""COMPUTED_VALUE"""),1565.0)</f>
        <v>1565</v>
      </c>
      <c r="E373" s="5">
        <f>IFERROR(__xludf.DUMMYFUNCTION("""COMPUTED_VALUE"""),1610.0)</f>
        <v>1610</v>
      </c>
      <c r="F373" s="5">
        <f>IFERROR(__xludf.DUMMYFUNCTION("""COMPUTED_VALUE"""),5.34518E7)</f>
        <v>53451800</v>
      </c>
      <c r="G373" s="5">
        <f t="shared" si="1"/>
        <v>65</v>
      </c>
    </row>
    <row r="374">
      <c r="A374" s="4">
        <f>IFERROR(__xludf.DUMMYFUNCTION("""COMPUTED_VALUE"""),44392.625)</f>
        <v>44392.625</v>
      </c>
      <c r="B374" s="5">
        <f>IFERROR(__xludf.DUMMYFUNCTION("""COMPUTED_VALUE"""),1610.0)</f>
        <v>1610</v>
      </c>
      <c r="C374" s="5">
        <f>IFERROR(__xludf.DUMMYFUNCTION("""COMPUTED_VALUE"""),1650.0)</f>
        <v>1650</v>
      </c>
      <c r="D374" s="5">
        <f>IFERROR(__xludf.DUMMYFUNCTION("""COMPUTED_VALUE"""),1605.0)</f>
        <v>1605</v>
      </c>
      <c r="E374" s="5">
        <f>IFERROR(__xludf.DUMMYFUNCTION("""COMPUTED_VALUE"""),1625.0)</f>
        <v>1625</v>
      </c>
      <c r="F374" s="5">
        <f>IFERROR(__xludf.DUMMYFUNCTION("""COMPUTED_VALUE"""),4.12979E7)</f>
        <v>41297900</v>
      </c>
      <c r="G374" s="5">
        <f t="shared" si="1"/>
        <v>45</v>
      </c>
    </row>
    <row r="375">
      <c r="A375" s="4">
        <f>IFERROR(__xludf.DUMMYFUNCTION("""COMPUTED_VALUE"""),44393.625)</f>
        <v>44393.625</v>
      </c>
      <c r="B375" s="5">
        <f>IFERROR(__xludf.DUMMYFUNCTION("""COMPUTED_VALUE"""),1650.0)</f>
        <v>1650</v>
      </c>
      <c r="C375" s="5">
        <f>IFERROR(__xludf.DUMMYFUNCTION("""COMPUTED_VALUE"""),1730.0)</f>
        <v>1730</v>
      </c>
      <c r="D375" s="5">
        <f>IFERROR(__xludf.DUMMYFUNCTION("""COMPUTED_VALUE"""),1645.0)</f>
        <v>1645</v>
      </c>
      <c r="E375" s="5">
        <f>IFERROR(__xludf.DUMMYFUNCTION("""COMPUTED_VALUE"""),1695.0)</f>
        <v>1695</v>
      </c>
      <c r="F375" s="5">
        <f>IFERROR(__xludf.DUMMYFUNCTION("""COMPUTED_VALUE"""),9.56784E7)</f>
        <v>95678400</v>
      </c>
      <c r="G375" s="5">
        <f t="shared" si="1"/>
        <v>105</v>
      </c>
    </row>
    <row r="376">
      <c r="A376" s="4">
        <f>IFERROR(__xludf.DUMMYFUNCTION("""COMPUTED_VALUE"""),44396.625)</f>
        <v>44396.625</v>
      </c>
      <c r="B376" s="5">
        <f>IFERROR(__xludf.DUMMYFUNCTION("""COMPUTED_VALUE"""),1720.0)</f>
        <v>1720</v>
      </c>
      <c r="C376" s="5">
        <f>IFERROR(__xludf.DUMMYFUNCTION("""COMPUTED_VALUE"""),1735.0)</f>
        <v>1735</v>
      </c>
      <c r="D376" s="5">
        <f>IFERROR(__xludf.DUMMYFUNCTION("""COMPUTED_VALUE"""),1685.0)</f>
        <v>1685</v>
      </c>
      <c r="E376" s="5">
        <f>IFERROR(__xludf.DUMMYFUNCTION("""COMPUTED_VALUE"""),1695.0)</f>
        <v>1695</v>
      </c>
      <c r="F376" s="5">
        <f>IFERROR(__xludf.DUMMYFUNCTION("""COMPUTED_VALUE"""),3.88846E7)</f>
        <v>38884600</v>
      </c>
      <c r="G376" s="5">
        <f t="shared" si="1"/>
        <v>50</v>
      </c>
    </row>
    <row r="377">
      <c r="A377" s="4">
        <f>IFERROR(__xludf.DUMMYFUNCTION("""COMPUTED_VALUE"""),44398.625)</f>
        <v>44398.625</v>
      </c>
      <c r="B377" s="5">
        <f>IFERROR(__xludf.DUMMYFUNCTION("""COMPUTED_VALUE"""),1695.0)</f>
        <v>1695</v>
      </c>
      <c r="C377" s="5">
        <f>IFERROR(__xludf.DUMMYFUNCTION("""COMPUTED_VALUE"""),1705.0)</f>
        <v>1705</v>
      </c>
      <c r="D377" s="5">
        <f>IFERROR(__xludf.DUMMYFUNCTION("""COMPUTED_VALUE"""),1650.0)</f>
        <v>1650</v>
      </c>
      <c r="E377" s="5">
        <f>IFERROR(__xludf.DUMMYFUNCTION("""COMPUTED_VALUE"""),1655.0)</f>
        <v>1655</v>
      </c>
      <c r="F377" s="5">
        <f>IFERROR(__xludf.DUMMYFUNCTION("""COMPUTED_VALUE"""),3.14936E7)</f>
        <v>31493600</v>
      </c>
      <c r="G377" s="5">
        <f t="shared" si="1"/>
        <v>55</v>
      </c>
    </row>
    <row r="378">
      <c r="A378" s="4">
        <f>IFERROR(__xludf.DUMMYFUNCTION("""COMPUTED_VALUE"""),44399.625)</f>
        <v>44399.625</v>
      </c>
      <c r="B378" s="5">
        <f>IFERROR(__xludf.DUMMYFUNCTION("""COMPUTED_VALUE"""),1665.0)</f>
        <v>1665</v>
      </c>
      <c r="C378" s="5">
        <f>IFERROR(__xludf.DUMMYFUNCTION("""COMPUTED_VALUE"""),1695.0)</f>
        <v>1695</v>
      </c>
      <c r="D378" s="5">
        <f>IFERROR(__xludf.DUMMYFUNCTION("""COMPUTED_VALUE"""),1655.0)</f>
        <v>1655</v>
      </c>
      <c r="E378" s="5">
        <f>IFERROR(__xludf.DUMMYFUNCTION("""COMPUTED_VALUE"""),1655.0)</f>
        <v>1655</v>
      </c>
      <c r="F378" s="5">
        <f>IFERROR(__xludf.DUMMYFUNCTION("""COMPUTED_VALUE"""),2.59078E7)</f>
        <v>25907800</v>
      </c>
      <c r="G378" s="5">
        <f t="shared" si="1"/>
        <v>40</v>
      </c>
    </row>
    <row r="379">
      <c r="A379" s="4">
        <f>IFERROR(__xludf.DUMMYFUNCTION("""COMPUTED_VALUE"""),44400.625)</f>
        <v>44400.625</v>
      </c>
      <c r="B379" s="5">
        <f>IFERROR(__xludf.DUMMYFUNCTION("""COMPUTED_VALUE"""),1680.0)</f>
        <v>1680</v>
      </c>
      <c r="C379" s="5">
        <f>IFERROR(__xludf.DUMMYFUNCTION("""COMPUTED_VALUE"""),1755.0)</f>
        <v>1755</v>
      </c>
      <c r="D379" s="5">
        <f>IFERROR(__xludf.DUMMYFUNCTION("""COMPUTED_VALUE"""),1670.0)</f>
        <v>1670</v>
      </c>
      <c r="E379" s="5">
        <f>IFERROR(__xludf.DUMMYFUNCTION("""COMPUTED_VALUE"""),1730.0)</f>
        <v>1730</v>
      </c>
      <c r="F379" s="5">
        <f>IFERROR(__xludf.DUMMYFUNCTION("""COMPUTED_VALUE"""),9.65967E7)</f>
        <v>96596700</v>
      </c>
      <c r="G379" s="5">
        <f t="shared" si="1"/>
        <v>100</v>
      </c>
    </row>
    <row r="380">
      <c r="A380" s="4">
        <f>IFERROR(__xludf.DUMMYFUNCTION("""COMPUTED_VALUE"""),44403.625)</f>
        <v>44403.625</v>
      </c>
      <c r="B380" s="5">
        <f>IFERROR(__xludf.DUMMYFUNCTION("""COMPUTED_VALUE"""),1750.0)</f>
        <v>1750</v>
      </c>
      <c r="C380" s="5">
        <f>IFERROR(__xludf.DUMMYFUNCTION("""COMPUTED_VALUE"""),1770.0)</f>
        <v>1770</v>
      </c>
      <c r="D380" s="5">
        <f>IFERROR(__xludf.DUMMYFUNCTION("""COMPUTED_VALUE"""),1660.0)</f>
        <v>1660</v>
      </c>
      <c r="E380" s="5">
        <f>IFERROR(__xludf.DUMMYFUNCTION("""COMPUTED_VALUE"""),1660.0)</f>
        <v>1660</v>
      </c>
      <c r="F380" s="5">
        <f>IFERROR(__xludf.DUMMYFUNCTION("""COMPUTED_VALUE"""),6.51106E7)</f>
        <v>65110600</v>
      </c>
      <c r="G380" s="5">
        <f t="shared" si="1"/>
        <v>110</v>
      </c>
    </row>
    <row r="381">
      <c r="A381" s="4">
        <f>IFERROR(__xludf.DUMMYFUNCTION("""COMPUTED_VALUE"""),44404.625)</f>
        <v>44404.625</v>
      </c>
      <c r="B381" s="5">
        <f>IFERROR(__xludf.DUMMYFUNCTION("""COMPUTED_VALUE"""),1700.0)</f>
        <v>1700</v>
      </c>
      <c r="C381" s="5">
        <f>IFERROR(__xludf.DUMMYFUNCTION("""COMPUTED_VALUE"""),1745.0)</f>
        <v>1745</v>
      </c>
      <c r="D381" s="5">
        <f>IFERROR(__xludf.DUMMYFUNCTION("""COMPUTED_VALUE"""),1625.0)</f>
        <v>1625</v>
      </c>
      <c r="E381" s="5">
        <f>IFERROR(__xludf.DUMMYFUNCTION("""COMPUTED_VALUE"""),1640.0)</f>
        <v>1640</v>
      </c>
      <c r="F381" s="5">
        <f>IFERROR(__xludf.DUMMYFUNCTION("""COMPUTED_VALUE"""),6.8665E7)</f>
        <v>68665000</v>
      </c>
      <c r="G381" s="5">
        <f t="shared" si="1"/>
        <v>120</v>
      </c>
    </row>
    <row r="382">
      <c r="A382" s="4">
        <f>IFERROR(__xludf.DUMMYFUNCTION("""COMPUTED_VALUE"""),44405.625)</f>
        <v>44405.625</v>
      </c>
      <c r="B382" s="5">
        <f>IFERROR(__xludf.DUMMYFUNCTION("""COMPUTED_VALUE"""),1655.0)</f>
        <v>1655</v>
      </c>
      <c r="C382" s="5">
        <f>IFERROR(__xludf.DUMMYFUNCTION("""COMPUTED_VALUE"""),1660.0)</f>
        <v>1660</v>
      </c>
      <c r="D382" s="5">
        <f>IFERROR(__xludf.DUMMYFUNCTION("""COMPUTED_VALUE"""),1585.0)</f>
        <v>1585</v>
      </c>
      <c r="E382" s="5">
        <f>IFERROR(__xludf.DUMMYFUNCTION("""COMPUTED_VALUE"""),1585.0)</f>
        <v>1585</v>
      </c>
      <c r="F382" s="5">
        <f>IFERROR(__xludf.DUMMYFUNCTION("""COMPUTED_VALUE"""),4.81394E7)</f>
        <v>48139400</v>
      </c>
      <c r="G382" s="5">
        <f t="shared" si="1"/>
        <v>75</v>
      </c>
    </row>
    <row r="383">
      <c r="A383" s="4">
        <f>IFERROR(__xludf.DUMMYFUNCTION("""COMPUTED_VALUE"""),44406.625)</f>
        <v>44406.625</v>
      </c>
      <c r="B383" s="5">
        <f>IFERROR(__xludf.DUMMYFUNCTION("""COMPUTED_VALUE"""),1590.0)</f>
        <v>1590</v>
      </c>
      <c r="C383" s="5">
        <f>IFERROR(__xludf.DUMMYFUNCTION("""COMPUTED_VALUE"""),1640.0)</f>
        <v>1640</v>
      </c>
      <c r="D383" s="5">
        <f>IFERROR(__xludf.DUMMYFUNCTION("""COMPUTED_VALUE"""),1575.0)</f>
        <v>1575</v>
      </c>
      <c r="E383" s="5">
        <f>IFERROR(__xludf.DUMMYFUNCTION("""COMPUTED_VALUE"""),1635.0)</f>
        <v>1635</v>
      </c>
      <c r="F383" s="5">
        <f>IFERROR(__xludf.DUMMYFUNCTION("""COMPUTED_VALUE"""),3.79281E7)</f>
        <v>37928100</v>
      </c>
      <c r="G383" s="5">
        <f t="shared" si="1"/>
        <v>65</v>
      </c>
    </row>
    <row r="384">
      <c r="A384" s="4">
        <f>IFERROR(__xludf.DUMMYFUNCTION("""COMPUTED_VALUE"""),44407.625)</f>
        <v>44407.625</v>
      </c>
      <c r="B384" s="5">
        <f>IFERROR(__xludf.DUMMYFUNCTION("""COMPUTED_VALUE"""),1635.0)</f>
        <v>1635</v>
      </c>
      <c r="C384" s="5">
        <f>IFERROR(__xludf.DUMMYFUNCTION("""COMPUTED_VALUE"""),1665.0)</f>
        <v>1665</v>
      </c>
      <c r="D384" s="5">
        <f>IFERROR(__xludf.DUMMYFUNCTION("""COMPUTED_VALUE"""),1610.0)</f>
        <v>1610</v>
      </c>
      <c r="E384" s="5">
        <f>IFERROR(__xludf.DUMMYFUNCTION("""COMPUTED_VALUE"""),1665.0)</f>
        <v>1665</v>
      </c>
      <c r="F384" s="5">
        <f>IFERROR(__xludf.DUMMYFUNCTION("""COMPUTED_VALUE"""),3.83394E7)</f>
        <v>38339400</v>
      </c>
      <c r="G384" s="5">
        <f t="shared" si="1"/>
        <v>55</v>
      </c>
    </row>
    <row r="385">
      <c r="A385" s="4">
        <f>IFERROR(__xludf.DUMMYFUNCTION("""COMPUTED_VALUE"""),44410.625)</f>
        <v>44410.625</v>
      </c>
      <c r="B385" s="5">
        <f>IFERROR(__xludf.DUMMYFUNCTION("""COMPUTED_VALUE"""),1665.0)</f>
        <v>1665</v>
      </c>
      <c r="C385" s="5">
        <f>IFERROR(__xludf.DUMMYFUNCTION("""COMPUTED_VALUE"""),1700.0)</f>
        <v>1700</v>
      </c>
      <c r="D385" s="5">
        <f>IFERROR(__xludf.DUMMYFUNCTION("""COMPUTED_VALUE"""),1630.0)</f>
        <v>1630</v>
      </c>
      <c r="E385" s="5">
        <f>IFERROR(__xludf.DUMMYFUNCTION("""COMPUTED_VALUE"""),1685.0)</f>
        <v>1685</v>
      </c>
      <c r="F385" s="5">
        <f>IFERROR(__xludf.DUMMYFUNCTION("""COMPUTED_VALUE"""),3.72051E7)</f>
        <v>37205100</v>
      </c>
      <c r="G385" s="5">
        <f t="shared" si="1"/>
        <v>70</v>
      </c>
    </row>
    <row r="386">
      <c r="A386" s="4">
        <f>IFERROR(__xludf.DUMMYFUNCTION("""COMPUTED_VALUE"""),44411.625)</f>
        <v>44411.625</v>
      </c>
      <c r="B386" s="5">
        <f>IFERROR(__xludf.DUMMYFUNCTION("""COMPUTED_VALUE"""),1690.0)</f>
        <v>1690</v>
      </c>
      <c r="C386" s="5">
        <f>IFERROR(__xludf.DUMMYFUNCTION("""COMPUTED_VALUE"""),1690.0)</f>
        <v>1690</v>
      </c>
      <c r="D386" s="5">
        <f>IFERROR(__xludf.DUMMYFUNCTION("""COMPUTED_VALUE"""),1630.0)</f>
        <v>1630</v>
      </c>
      <c r="E386" s="5">
        <f>IFERROR(__xludf.DUMMYFUNCTION("""COMPUTED_VALUE"""),1655.0)</f>
        <v>1655</v>
      </c>
      <c r="F386" s="5">
        <f>IFERROR(__xludf.DUMMYFUNCTION("""COMPUTED_VALUE"""),2.28379E7)</f>
        <v>22837900</v>
      </c>
      <c r="G386" s="5">
        <f t="shared" si="1"/>
        <v>60</v>
      </c>
    </row>
    <row r="387">
      <c r="A387" s="4">
        <f>IFERROR(__xludf.DUMMYFUNCTION("""COMPUTED_VALUE"""),44412.625)</f>
        <v>44412.625</v>
      </c>
      <c r="B387" s="5">
        <f>IFERROR(__xludf.DUMMYFUNCTION("""COMPUTED_VALUE"""),1670.0)</f>
        <v>1670</v>
      </c>
      <c r="C387" s="5">
        <f>IFERROR(__xludf.DUMMYFUNCTION("""COMPUTED_VALUE"""),1670.0)</f>
        <v>1670</v>
      </c>
      <c r="D387" s="5">
        <f>IFERROR(__xludf.DUMMYFUNCTION("""COMPUTED_VALUE"""),1570.0)</f>
        <v>1570</v>
      </c>
      <c r="E387" s="5">
        <f>IFERROR(__xludf.DUMMYFUNCTION("""COMPUTED_VALUE"""),1585.0)</f>
        <v>1585</v>
      </c>
      <c r="F387" s="5">
        <f>IFERROR(__xludf.DUMMYFUNCTION("""COMPUTED_VALUE"""),4.3181E7)</f>
        <v>43181000</v>
      </c>
      <c r="G387" s="5">
        <f t="shared" si="1"/>
        <v>100</v>
      </c>
    </row>
    <row r="388">
      <c r="A388" s="4">
        <f>IFERROR(__xludf.DUMMYFUNCTION("""COMPUTED_VALUE"""),44413.625)</f>
        <v>44413.625</v>
      </c>
      <c r="B388" s="5">
        <f>IFERROR(__xludf.DUMMYFUNCTION("""COMPUTED_VALUE"""),1585.0)</f>
        <v>1585</v>
      </c>
      <c r="C388" s="5">
        <f>IFERROR(__xludf.DUMMYFUNCTION("""COMPUTED_VALUE"""),1585.0)</f>
        <v>1585</v>
      </c>
      <c r="D388" s="5">
        <f>IFERROR(__xludf.DUMMYFUNCTION("""COMPUTED_VALUE"""),1515.0)</f>
        <v>1515</v>
      </c>
      <c r="E388" s="5">
        <f>IFERROR(__xludf.DUMMYFUNCTION("""COMPUTED_VALUE"""),1520.0)</f>
        <v>1520</v>
      </c>
      <c r="F388" s="5">
        <f>IFERROR(__xludf.DUMMYFUNCTION("""COMPUTED_VALUE"""),4.65353E7)</f>
        <v>46535300</v>
      </c>
      <c r="G388" s="5">
        <f t="shared" si="1"/>
        <v>70</v>
      </c>
    </row>
    <row r="389">
      <c r="A389" s="4">
        <f>IFERROR(__xludf.DUMMYFUNCTION("""COMPUTED_VALUE"""),44414.625)</f>
        <v>44414.625</v>
      </c>
      <c r="B389" s="5">
        <f>IFERROR(__xludf.DUMMYFUNCTION("""COMPUTED_VALUE"""),1525.0)</f>
        <v>1525</v>
      </c>
      <c r="C389" s="5">
        <f>IFERROR(__xludf.DUMMYFUNCTION("""COMPUTED_VALUE"""),1545.0)</f>
        <v>1545</v>
      </c>
      <c r="D389" s="5">
        <f>IFERROR(__xludf.DUMMYFUNCTION("""COMPUTED_VALUE"""),1500.0)</f>
        <v>1500</v>
      </c>
      <c r="E389" s="5">
        <f>IFERROR(__xludf.DUMMYFUNCTION("""COMPUTED_VALUE"""),1505.0)</f>
        <v>1505</v>
      </c>
      <c r="F389" s="5">
        <f>IFERROR(__xludf.DUMMYFUNCTION("""COMPUTED_VALUE"""),2.80118E7)</f>
        <v>28011800</v>
      </c>
      <c r="G389" s="5">
        <f t="shared" si="1"/>
        <v>45</v>
      </c>
    </row>
    <row r="390">
      <c r="A390" s="4">
        <f>IFERROR(__xludf.DUMMYFUNCTION("""COMPUTED_VALUE"""),44417.625)</f>
        <v>44417.625</v>
      </c>
      <c r="B390" s="5">
        <f>IFERROR(__xludf.DUMMYFUNCTION("""COMPUTED_VALUE"""),1500.0)</f>
        <v>1500</v>
      </c>
      <c r="C390" s="5">
        <f>IFERROR(__xludf.DUMMYFUNCTION("""COMPUTED_VALUE"""),1500.0)</f>
        <v>1500</v>
      </c>
      <c r="D390" s="5">
        <f>IFERROR(__xludf.DUMMYFUNCTION("""COMPUTED_VALUE"""),1445.0)</f>
        <v>1445</v>
      </c>
      <c r="E390" s="5">
        <f>IFERROR(__xludf.DUMMYFUNCTION("""COMPUTED_VALUE"""),1460.0)</f>
        <v>1460</v>
      </c>
      <c r="F390" s="5">
        <f>IFERROR(__xludf.DUMMYFUNCTION("""COMPUTED_VALUE"""),4.88687E7)</f>
        <v>48868700</v>
      </c>
      <c r="G390" s="5">
        <f t="shared" si="1"/>
        <v>60</v>
      </c>
    </row>
    <row r="391">
      <c r="A391" s="4">
        <f>IFERROR(__xludf.DUMMYFUNCTION("""COMPUTED_VALUE"""),44418.625)</f>
        <v>44418.625</v>
      </c>
      <c r="B391" s="5">
        <f>IFERROR(__xludf.DUMMYFUNCTION("""COMPUTED_VALUE"""),1460.0)</f>
        <v>1460</v>
      </c>
      <c r="C391" s="5">
        <f>IFERROR(__xludf.DUMMYFUNCTION("""COMPUTED_VALUE"""),1520.0)</f>
        <v>1520</v>
      </c>
      <c r="D391" s="5">
        <f>IFERROR(__xludf.DUMMYFUNCTION("""COMPUTED_VALUE"""),1425.0)</f>
        <v>1425</v>
      </c>
      <c r="E391" s="5">
        <f>IFERROR(__xludf.DUMMYFUNCTION("""COMPUTED_VALUE"""),1505.0)</f>
        <v>1505</v>
      </c>
      <c r="F391" s="5">
        <f>IFERROR(__xludf.DUMMYFUNCTION("""COMPUTED_VALUE"""),5.43105E7)</f>
        <v>54310500</v>
      </c>
      <c r="G391" s="5">
        <f t="shared" si="1"/>
        <v>95</v>
      </c>
    </row>
    <row r="392">
      <c r="A392" s="4">
        <f>IFERROR(__xludf.DUMMYFUNCTION("""COMPUTED_VALUE"""),44420.625)</f>
        <v>44420.625</v>
      </c>
      <c r="B392" s="5">
        <f>IFERROR(__xludf.DUMMYFUNCTION("""COMPUTED_VALUE"""),1535.0)</f>
        <v>1535</v>
      </c>
      <c r="C392" s="5">
        <f>IFERROR(__xludf.DUMMYFUNCTION("""COMPUTED_VALUE"""),1560.0)</f>
        <v>1560</v>
      </c>
      <c r="D392" s="5">
        <f>IFERROR(__xludf.DUMMYFUNCTION("""COMPUTED_VALUE"""),1525.0)</f>
        <v>1525</v>
      </c>
      <c r="E392" s="5">
        <f>IFERROR(__xludf.DUMMYFUNCTION("""COMPUTED_VALUE"""),1550.0)</f>
        <v>1550</v>
      </c>
      <c r="F392" s="5">
        <f>IFERROR(__xludf.DUMMYFUNCTION("""COMPUTED_VALUE"""),4.19045E7)</f>
        <v>41904500</v>
      </c>
      <c r="G392" s="5">
        <f t="shared" si="1"/>
        <v>55</v>
      </c>
    </row>
    <row r="393">
      <c r="A393" s="4">
        <f>IFERROR(__xludf.DUMMYFUNCTION("""COMPUTED_VALUE"""),44421.625)</f>
        <v>44421.625</v>
      </c>
      <c r="B393" s="5">
        <f>IFERROR(__xludf.DUMMYFUNCTION("""COMPUTED_VALUE"""),1540.0)</f>
        <v>1540</v>
      </c>
      <c r="C393" s="5">
        <f>IFERROR(__xludf.DUMMYFUNCTION("""COMPUTED_VALUE"""),1545.0)</f>
        <v>1545</v>
      </c>
      <c r="D393" s="5">
        <f>IFERROR(__xludf.DUMMYFUNCTION("""COMPUTED_VALUE"""),1505.0)</f>
        <v>1505</v>
      </c>
      <c r="E393" s="5">
        <f>IFERROR(__xludf.DUMMYFUNCTION("""COMPUTED_VALUE"""),1520.0)</f>
        <v>1520</v>
      </c>
      <c r="F393" s="5">
        <f>IFERROR(__xludf.DUMMYFUNCTION("""COMPUTED_VALUE"""),1.55411E7)</f>
        <v>15541100</v>
      </c>
      <c r="G393" s="5">
        <f t="shared" si="1"/>
        <v>45</v>
      </c>
    </row>
    <row r="394">
      <c r="A394" s="4">
        <f>IFERROR(__xludf.DUMMYFUNCTION("""COMPUTED_VALUE"""),44424.625)</f>
        <v>44424.625</v>
      </c>
      <c r="B394" s="5">
        <f>IFERROR(__xludf.DUMMYFUNCTION("""COMPUTED_VALUE"""),1535.0)</f>
        <v>1535</v>
      </c>
      <c r="C394" s="5">
        <f>IFERROR(__xludf.DUMMYFUNCTION("""COMPUTED_VALUE"""),1535.0)</f>
        <v>1535</v>
      </c>
      <c r="D394" s="5">
        <f>IFERROR(__xludf.DUMMYFUNCTION("""COMPUTED_VALUE"""),1480.0)</f>
        <v>1480</v>
      </c>
      <c r="E394" s="5">
        <f>IFERROR(__xludf.DUMMYFUNCTION("""COMPUTED_VALUE"""),1490.0)</f>
        <v>1490</v>
      </c>
      <c r="F394" s="5">
        <f>IFERROR(__xludf.DUMMYFUNCTION("""COMPUTED_VALUE"""),1.4708E7)</f>
        <v>14708000</v>
      </c>
      <c r="G394" s="5">
        <f t="shared" si="1"/>
        <v>55</v>
      </c>
    </row>
    <row r="395">
      <c r="A395" s="4">
        <f>IFERROR(__xludf.DUMMYFUNCTION("""COMPUTED_VALUE"""),44426.625)</f>
        <v>44426.625</v>
      </c>
      <c r="B395" s="5">
        <f>IFERROR(__xludf.DUMMYFUNCTION("""COMPUTED_VALUE"""),1490.0)</f>
        <v>1490</v>
      </c>
      <c r="C395" s="5">
        <f>IFERROR(__xludf.DUMMYFUNCTION("""COMPUTED_VALUE"""),1515.0)</f>
        <v>1515</v>
      </c>
      <c r="D395" s="5">
        <f>IFERROR(__xludf.DUMMYFUNCTION("""COMPUTED_VALUE"""),1465.0)</f>
        <v>1465</v>
      </c>
      <c r="E395" s="5">
        <f>IFERROR(__xludf.DUMMYFUNCTION("""COMPUTED_VALUE"""),1485.0)</f>
        <v>1485</v>
      </c>
      <c r="F395" s="5">
        <f>IFERROR(__xludf.DUMMYFUNCTION("""COMPUTED_VALUE"""),1.23365E7)</f>
        <v>12336500</v>
      </c>
      <c r="G395" s="5">
        <f t="shared" si="1"/>
        <v>50</v>
      </c>
    </row>
    <row r="396">
      <c r="A396" s="4">
        <f>IFERROR(__xludf.DUMMYFUNCTION("""COMPUTED_VALUE"""),44427.625)</f>
        <v>44427.625</v>
      </c>
      <c r="B396" s="5">
        <f>IFERROR(__xludf.DUMMYFUNCTION("""COMPUTED_VALUE"""),1485.0)</f>
        <v>1485</v>
      </c>
      <c r="C396" s="5">
        <f>IFERROR(__xludf.DUMMYFUNCTION("""COMPUTED_VALUE"""),1490.0)</f>
        <v>1490</v>
      </c>
      <c r="D396" s="5">
        <f>IFERROR(__xludf.DUMMYFUNCTION("""COMPUTED_VALUE"""),1440.0)</f>
        <v>1440</v>
      </c>
      <c r="E396" s="5">
        <f>IFERROR(__xludf.DUMMYFUNCTION("""COMPUTED_VALUE"""),1445.0)</f>
        <v>1445</v>
      </c>
      <c r="F396" s="5">
        <f>IFERROR(__xludf.DUMMYFUNCTION("""COMPUTED_VALUE"""),2.04986E7)</f>
        <v>20498600</v>
      </c>
      <c r="G396" s="5">
        <f t="shared" si="1"/>
        <v>50</v>
      </c>
    </row>
    <row r="397">
      <c r="A397" s="4">
        <f>IFERROR(__xludf.DUMMYFUNCTION("""COMPUTED_VALUE"""),44428.625)</f>
        <v>44428.625</v>
      </c>
      <c r="B397" s="5">
        <f>IFERROR(__xludf.DUMMYFUNCTION("""COMPUTED_VALUE"""),1415.0)</f>
        <v>1415</v>
      </c>
      <c r="C397" s="5">
        <f>IFERROR(__xludf.DUMMYFUNCTION("""COMPUTED_VALUE"""),1455.0)</f>
        <v>1455</v>
      </c>
      <c r="D397" s="5">
        <f>IFERROR(__xludf.DUMMYFUNCTION("""COMPUTED_VALUE"""),1400.0)</f>
        <v>1400</v>
      </c>
      <c r="E397" s="5">
        <f>IFERROR(__xludf.DUMMYFUNCTION("""COMPUTED_VALUE"""),1420.0)</f>
        <v>1420</v>
      </c>
      <c r="F397" s="5">
        <f>IFERROR(__xludf.DUMMYFUNCTION("""COMPUTED_VALUE"""),3.05609E7)</f>
        <v>30560900</v>
      </c>
      <c r="G397" s="5">
        <f t="shared" si="1"/>
        <v>55</v>
      </c>
    </row>
    <row r="398">
      <c r="A398" s="4">
        <f>IFERROR(__xludf.DUMMYFUNCTION("""COMPUTED_VALUE"""),44431.66666666667)</f>
        <v>44431.66667</v>
      </c>
      <c r="B398" s="5">
        <f>IFERROR(__xludf.DUMMYFUNCTION("""COMPUTED_VALUE"""),1425.0)</f>
        <v>1425</v>
      </c>
      <c r="C398" s="5">
        <f>IFERROR(__xludf.DUMMYFUNCTION("""COMPUTED_VALUE"""),1490.0)</f>
        <v>1490</v>
      </c>
      <c r="D398" s="5">
        <f>IFERROR(__xludf.DUMMYFUNCTION("""COMPUTED_VALUE"""),1425.0)</f>
        <v>1425</v>
      </c>
      <c r="E398" s="5">
        <f>IFERROR(__xludf.DUMMYFUNCTION("""COMPUTED_VALUE"""),1485.0)</f>
        <v>1485</v>
      </c>
      <c r="F398" s="5">
        <f>IFERROR(__xludf.DUMMYFUNCTION("""COMPUTED_VALUE"""),2.88507E7)</f>
        <v>28850700</v>
      </c>
      <c r="G398" s="5">
        <f t="shared" si="1"/>
        <v>70</v>
      </c>
    </row>
    <row r="399">
      <c r="A399" s="4">
        <f>IFERROR(__xludf.DUMMYFUNCTION("""COMPUTED_VALUE"""),44432.66666666667)</f>
        <v>44432.66667</v>
      </c>
      <c r="B399" s="5">
        <f>IFERROR(__xludf.DUMMYFUNCTION("""COMPUTED_VALUE"""),1500.0)</f>
        <v>1500</v>
      </c>
      <c r="C399" s="5">
        <f>IFERROR(__xludf.DUMMYFUNCTION("""COMPUTED_VALUE"""),1505.0)</f>
        <v>1505</v>
      </c>
      <c r="D399" s="5">
        <f>IFERROR(__xludf.DUMMYFUNCTION("""COMPUTED_VALUE"""),1455.0)</f>
        <v>1455</v>
      </c>
      <c r="E399" s="5">
        <f>IFERROR(__xludf.DUMMYFUNCTION("""COMPUTED_VALUE"""),1455.0)</f>
        <v>1455</v>
      </c>
      <c r="F399" s="5">
        <f>IFERROR(__xludf.DUMMYFUNCTION("""COMPUTED_VALUE"""),9693100.0)</f>
        <v>9693100</v>
      </c>
      <c r="G399" s="5">
        <f t="shared" si="1"/>
        <v>50</v>
      </c>
    </row>
    <row r="400">
      <c r="A400" s="4">
        <f>IFERROR(__xludf.DUMMYFUNCTION("""COMPUTED_VALUE"""),44433.625)</f>
        <v>44433.625</v>
      </c>
      <c r="B400" s="5">
        <f>IFERROR(__xludf.DUMMYFUNCTION("""COMPUTED_VALUE"""),1475.0)</f>
        <v>1475</v>
      </c>
      <c r="C400" s="5">
        <f>IFERROR(__xludf.DUMMYFUNCTION("""COMPUTED_VALUE"""),1480.0)</f>
        <v>1480</v>
      </c>
      <c r="D400" s="5">
        <f>IFERROR(__xludf.DUMMYFUNCTION("""COMPUTED_VALUE"""),1450.0)</f>
        <v>1450</v>
      </c>
      <c r="E400" s="5">
        <f>IFERROR(__xludf.DUMMYFUNCTION("""COMPUTED_VALUE"""),1455.0)</f>
        <v>1455</v>
      </c>
      <c r="F400" s="5">
        <f>IFERROR(__xludf.DUMMYFUNCTION("""COMPUTED_VALUE"""),8632700.0)</f>
        <v>8632700</v>
      </c>
      <c r="G400" s="5">
        <f t="shared" si="1"/>
        <v>30</v>
      </c>
    </row>
    <row r="401">
      <c r="A401" s="4">
        <f>IFERROR(__xludf.DUMMYFUNCTION("""COMPUTED_VALUE"""),44434.625)</f>
        <v>44434.625</v>
      </c>
      <c r="B401" s="5">
        <f>IFERROR(__xludf.DUMMYFUNCTION("""COMPUTED_VALUE"""),1460.0)</f>
        <v>1460</v>
      </c>
      <c r="C401" s="5">
        <f>IFERROR(__xludf.DUMMYFUNCTION("""COMPUTED_VALUE"""),1470.0)</f>
        <v>1470</v>
      </c>
      <c r="D401" s="5">
        <f>IFERROR(__xludf.DUMMYFUNCTION("""COMPUTED_VALUE"""),1445.0)</f>
        <v>1445</v>
      </c>
      <c r="E401" s="5">
        <f>IFERROR(__xludf.DUMMYFUNCTION("""COMPUTED_VALUE"""),1445.0)</f>
        <v>1445</v>
      </c>
      <c r="F401" s="5">
        <f>IFERROR(__xludf.DUMMYFUNCTION("""COMPUTED_VALUE"""),6705100.0)</f>
        <v>6705100</v>
      </c>
      <c r="G401" s="5">
        <f t="shared" si="1"/>
        <v>25</v>
      </c>
    </row>
    <row r="402">
      <c r="A402" s="4">
        <f>IFERROR(__xludf.DUMMYFUNCTION("""COMPUTED_VALUE"""),44435.625)</f>
        <v>44435.625</v>
      </c>
      <c r="B402" s="5">
        <f>IFERROR(__xludf.DUMMYFUNCTION("""COMPUTED_VALUE"""),1450.0)</f>
        <v>1450</v>
      </c>
      <c r="C402" s="5">
        <f>IFERROR(__xludf.DUMMYFUNCTION("""COMPUTED_VALUE"""),1455.0)</f>
        <v>1455</v>
      </c>
      <c r="D402" s="5">
        <f>IFERROR(__xludf.DUMMYFUNCTION("""COMPUTED_VALUE"""),1430.0)</f>
        <v>1430</v>
      </c>
      <c r="E402" s="5">
        <f>IFERROR(__xludf.DUMMYFUNCTION("""COMPUTED_VALUE"""),1435.0)</f>
        <v>1435</v>
      </c>
      <c r="F402" s="5">
        <f>IFERROR(__xludf.DUMMYFUNCTION("""COMPUTED_VALUE"""),7026000.0)</f>
        <v>7026000</v>
      </c>
      <c r="G402" s="5">
        <f t="shared" si="1"/>
        <v>25</v>
      </c>
    </row>
    <row r="403">
      <c r="A403" s="4">
        <f>IFERROR(__xludf.DUMMYFUNCTION("""COMPUTED_VALUE"""),44438.625)</f>
        <v>44438.625</v>
      </c>
      <c r="B403" s="5">
        <f>IFERROR(__xludf.DUMMYFUNCTION("""COMPUTED_VALUE"""),1450.0)</f>
        <v>1450</v>
      </c>
      <c r="C403" s="5">
        <f>IFERROR(__xludf.DUMMYFUNCTION("""COMPUTED_VALUE"""),1470.0)</f>
        <v>1470</v>
      </c>
      <c r="D403" s="5">
        <f>IFERROR(__xludf.DUMMYFUNCTION("""COMPUTED_VALUE"""),1440.0)</f>
        <v>1440</v>
      </c>
      <c r="E403" s="5">
        <f>IFERROR(__xludf.DUMMYFUNCTION("""COMPUTED_VALUE"""),1465.0)</f>
        <v>1465</v>
      </c>
      <c r="F403" s="5">
        <f>IFERROR(__xludf.DUMMYFUNCTION("""COMPUTED_VALUE"""),1.12592E7)</f>
        <v>11259200</v>
      </c>
      <c r="G403" s="5">
        <f t="shared" si="1"/>
        <v>35</v>
      </c>
    </row>
    <row r="404">
      <c r="A404" s="4">
        <f>IFERROR(__xludf.DUMMYFUNCTION("""COMPUTED_VALUE"""),44439.625)</f>
        <v>44439.625</v>
      </c>
      <c r="B404" s="5">
        <f>IFERROR(__xludf.DUMMYFUNCTION("""COMPUTED_VALUE"""),1500.0)</f>
        <v>1500</v>
      </c>
      <c r="C404" s="5">
        <f>IFERROR(__xludf.DUMMYFUNCTION("""COMPUTED_VALUE"""),1535.0)</f>
        <v>1535</v>
      </c>
      <c r="D404" s="5">
        <f>IFERROR(__xludf.DUMMYFUNCTION("""COMPUTED_VALUE"""),1485.0)</f>
        <v>1485</v>
      </c>
      <c r="E404" s="5">
        <f>IFERROR(__xludf.DUMMYFUNCTION("""COMPUTED_VALUE"""),1525.0)</f>
        <v>1525</v>
      </c>
      <c r="F404" s="5">
        <f>IFERROR(__xludf.DUMMYFUNCTION("""COMPUTED_VALUE"""),4.55136E7)</f>
        <v>45513600</v>
      </c>
      <c r="G404" s="5">
        <f t="shared" si="1"/>
        <v>70</v>
      </c>
    </row>
    <row r="405">
      <c r="A405" s="4">
        <f>IFERROR(__xludf.DUMMYFUNCTION("""COMPUTED_VALUE"""),44440.625)</f>
        <v>44440.625</v>
      </c>
      <c r="B405" s="5">
        <f>IFERROR(__xludf.DUMMYFUNCTION("""COMPUTED_VALUE"""),1535.0)</f>
        <v>1535</v>
      </c>
      <c r="C405" s="5">
        <f>IFERROR(__xludf.DUMMYFUNCTION("""COMPUTED_VALUE"""),1540.0)</f>
        <v>1540</v>
      </c>
      <c r="D405" s="5">
        <f>IFERROR(__xludf.DUMMYFUNCTION("""COMPUTED_VALUE"""),1490.0)</f>
        <v>1490</v>
      </c>
      <c r="E405" s="5">
        <f>IFERROR(__xludf.DUMMYFUNCTION("""COMPUTED_VALUE"""),1500.0)</f>
        <v>1500</v>
      </c>
      <c r="F405" s="5">
        <f>IFERROR(__xludf.DUMMYFUNCTION("""COMPUTED_VALUE"""),2.05304E7)</f>
        <v>20530400</v>
      </c>
      <c r="G405" s="5">
        <f t="shared" si="1"/>
        <v>50</v>
      </c>
    </row>
    <row r="406">
      <c r="A406" s="4">
        <f>IFERROR(__xludf.DUMMYFUNCTION("""COMPUTED_VALUE"""),44441.625)</f>
        <v>44441.625</v>
      </c>
      <c r="B406" s="5">
        <f>IFERROR(__xludf.DUMMYFUNCTION("""COMPUTED_VALUE"""),1480.0)</f>
        <v>1480</v>
      </c>
      <c r="C406" s="5">
        <f>IFERROR(__xludf.DUMMYFUNCTION("""COMPUTED_VALUE"""),1490.0)</f>
        <v>1490</v>
      </c>
      <c r="D406" s="5">
        <f>IFERROR(__xludf.DUMMYFUNCTION("""COMPUTED_VALUE"""),1470.0)</f>
        <v>1470</v>
      </c>
      <c r="E406" s="5">
        <f>IFERROR(__xludf.DUMMYFUNCTION("""COMPUTED_VALUE"""),1475.0)</f>
        <v>1475</v>
      </c>
      <c r="F406" s="5">
        <f>IFERROR(__xludf.DUMMYFUNCTION("""COMPUTED_VALUE"""),1.45891E7)</f>
        <v>14589100</v>
      </c>
      <c r="G406" s="5">
        <f t="shared" si="1"/>
        <v>30</v>
      </c>
    </row>
    <row r="407">
      <c r="A407" s="4">
        <f>IFERROR(__xludf.DUMMYFUNCTION("""COMPUTED_VALUE"""),44442.625)</f>
        <v>44442.625</v>
      </c>
      <c r="B407" s="5">
        <f>IFERROR(__xludf.DUMMYFUNCTION("""COMPUTED_VALUE"""),1475.0)</f>
        <v>1475</v>
      </c>
      <c r="C407" s="5">
        <f>IFERROR(__xludf.DUMMYFUNCTION("""COMPUTED_VALUE"""),1505.0)</f>
        <v>1505</v>
      </c>
      <c r="D407" s="5">
        <f>IFERROR(__xludf.DUMMYFUNCTION("""COMPUTED_VALUE"""),1475.0)</f>
        <v>1475</v>
      </c>
      <c r="E407" s="5">
        <f>IFERROR(__xludf.DUMMYFUNCTION("""COMPUTED_VALUE"""),1505.0)</f>
        <v>1505</v>
      </c>
      <c r="F407" s="5">
        <f>IFERROR(__xludf.DUMMYFUNCTION("""COMPUTED_VALUE"""),1.23937E7)</f>
        <v>12393700</v>
      </c>
      <c r="G407" s="5">
        <f t="shared" si="1"/>
        <v>30</v>
      </c>
    </row>
    <row r="408">
      <c r="A408" s="4">
        <f>IFERROR(__xludf.DUMMYFUNCTION("""COMPUTED_VALUE"""),44445.625)</f>
        <v>44445.625</v>
      </c>
      <c r="B408" s="5">
        <f>IFERROR(__xludf.DUMMYFUNCTION("""COMPUTED_VALUE"""),1510.0)</f>
        <v>1510</v>
      </c>
      <c r="C408" s="5">
        <f>IFERROR(__xludf.DUMMYFUNCTION("""COMPUTED_VALUE"""),1525.0)</f>
        <v>1525</v>
      </c>
      <c r="D408" s="5">
        <f>IFERROR(__xludf.DUMMYFUNCTION("""COMPUTED_VALUE"""),1500.0)</f>
        <v>1500</v>
      </c>
      <c r="E408" s="5">
        <f>IFERROR(__xludf.DUMMYFUNCTION("""COMPUTED_VALUE"""),1505.0)</f>
        <v>1505</v>
      </c>
      <c r="F408" s="5">
        <f>IFERROR(__xludf.DUMMYFUNCTION("""COMPUTED_VALUE"""),1.90469E7)</f>
        <v>19046900</v>
      </c>
      <c r="G408" s="5">
        <f t="shared" si="1"/>
        <v>25</v>
      </c>
    </row>
    <row r="409">
      <c r="A409" s="4">
        <f>IFERROR(__xludf.DUMMYFUNCTION("""COMPUTED_VALUE"""),44446.625)</f>
        <v>44446.625</v>
      </c>
      <c r="B409" s="5">
        <f>IFERROR(__xludf.DUMMYFUNCTION("""COMPUTED_VALUE"""),1505.0)</f>
        <v>1505</v>
      </c>
      <c r="C409" s="5">
        <f>IFERROR(__xludf.DUMMYFUNCTION("""COMPUTED_VALUE"""),1515.0)</f>
        <v>1515</v>
      </c>
      <c r="D409" s="5">
        <f>IFERROR(__xludf.DUMMYFUNCTION("""COMPUTED_VALUE"""),1490.0)</f>
        <v>1490</v>
      </c>
      <c r="E409" s="5">
        <f>IFERROR(__xludf.DUMMYFUNCTION("""COMPUTED_VALUE"""),1500.0)</f>
        <v>1500</v>
      </c>
      <c r="F409" s="5">
        <f>IFERROR(__xludf.DUMMYFUNCTION("""COMPUTED_VALUE"""),9981500.0)</f>
        <v>9981500</v>
      </c>
      <c r="G409" s="5">
        <f t="shared" si="1"/>
        <v>25</v>
      </c>
    </row>
    <row r="410">
      <c r="A410" s="4">
        <f>IFERROR(__xludf.DUMMYFUNCTION("""COMPUTED_VALUE"""),44447.625)</f>
        <v>44447.625</v>
      </c>
      <c r="B410" s="5">
        <f>IFERROR(__xludf.DUMMYFUNCTION("""COMPUTED_VALUE"""),1490.0)</f>
        <v>1490</v>
      </c>
      <c r="C410" s="5">
        <f>IFERROR(__xludf.DUMMYFUNCTION("""COMPUTED_VALUE"""),1505.0)</f>
        <v>1505</v>
      </c>
      <c r="D410" s="5">
        <f>IFERROR(__xludf.DUMMYFUNCTION("""COMPUTED_VALUE"""),1450.0)</f>
        <v>1450</v>
      </c>
      <c r="E410" s="5">
        <f>IFERROR(__xludf.DUMMYFUNCTION("""COMPUTED_VALUE"""),1455.0)</f>
        <v>1455</v>
      </c>
      <c r="F410" s="5">
        <f>IFERROR(__xludf.DUMMYFUNCTION("""COMPUTED_VALUE"""),2.62346E7)</f>
        <v>26234600</v>
      </c>
      <c r="G410" s="5">
        <f t="shared" si="1"/>
        <v>55</v>
      </c>
    </row>
    <row r="411">
      <c r="A411" s="4">
        <f>IFERROR(__xludf.DUMMYFUNCTION("""COMPUTED_VALUE"""),44448.625)</f>
        <v>44448.625</v>
      </c>
      <c r="B411" s="5">
        <f>IFERROR(__xludf.DUMMYFUNCTION("""COMPUTED_VALUE"""),1460.0)</f>
        <v>1460</v>
      </c>
      <c r="C411" s="5">
        <f>IFERROR(__xludf.DUMMYFUNCTION("""COMPUTED_VALUE"""),1510.0)</f>
        <v>1510</v>
      </c>
      <c r="D411" s="5">
        <f>IFERROR(__xludf.DUMMYFUNCTION("""COMPUTED_VALUE"""),1450.0)</f>
        <v>1450</v>
      </c>
      <c r="E411" s="5">
        <f>IFERROR(__xludf.DUMMYFUNCTION("""COMPUTED_VALUE"""),1500.0)</f>
        <v>1500</v>
      </c>
      <c r="F411" s="5">
        <f>IFERROR(__xludf.DUMMYFUNCTION("""COMPUTED_VALUE"""),2.6585E7)</f>
        <v>26585000</v>
      </c>
      <c r="G411" s="5">
        <f t="shared" si="1"/>
        <v>60</v>
      </c>
    </row>
    <row r="412">
      <c r="A412" s="4">
        <f>IFERROR(__xludf.DUMMYFUNCTION("""COMPUTED_VALUE"""),44449.625)</f>
        <v>44449.625</v>
      </c>
      <c r="B412" s="5">
        <f>IFERROR(__xludf.DUMMYFUNCTION("""COMPUTED_VALUE"""),1520.0)</f>
        <v>1520</v>
      </c>
      <c r="C412" s="5">
        <f>IFERROR(__xludf.DUMMYFUNCTION("""COMPUTED_VALUE"""),1570.0)</f>
        <v>1570</v>
      </c>
      <c r="D412" s="5">
        <f>IFERROR(__xludf.DUMMYFUNCTION("""COMPUTED_VALUE"""),1515.0)</f>
        <v>1515</v>
      </c>
      <c r="E412" s="5">
        <f>IFERROR(__xludf.DUMMYFUNCTION("""COMPUTED_VALUE"""),1535.0)</f>
        <v>1535</v>
      </c>
      <c r="F412" s="5">
        <f>IFERROR(__xludf.DUMMYFUNCTION("""COMPUTED_VALUE"""),9.84724E7)</f>
        <v>98472400</v>
      </c>
      <c r="G412" s="5">
        <f t="shared" si="1"/>
        <v>70</v>
      </c>
    </row>
    <row r="413">
      <c r="A413" s="4">
        <f>IFERROR(__xludf.DUMMYFUNCTION("""COMPUTED_VALUE"""),44452.625)</f>
        <v>44452.625</v>
      </c>
      <c r="B413" s="5">
        <f>IFERROR(__xludf.DUMMYFUNCTION("""COMPUTED_VALUE"""),1535.0)</f>
        <v>1535</v>
      </c>
      <c r="C413" s="5">
        <f>IFERROR(__xludf.DUMMYFUNCTION("""COMPUTED_VALUE"""),1535.0)</f>
        <v>1535</v>
      </c>
      <c r="D413" s="5">
        <f>IFERROR(__xludf.DUMMYFUNCTION("""COMPUTED_VALUE"""),1500.0)</f>
        <v>1500</v>
      </c>
      <c r="E413" s="5">
        <f>IFERROR(__xludf.DUMMYFUNCTION("""COMPUTED_VALUE"""),1515.0)</f>
        <v>1515</v>
      </c>
      <c r="F413" s="5">
        <f>IFERROR(__xludf.DUMMYFUNCTION("""COMPUTED_VALUE"""),1.99386E7)</f>
        <v>19938600</v>
      </c>
      <c r="G413" s="5">
        <f t="shared" si="1"/>
        <v>35</v>
      </c>
    </row>
    <row r="414">
      <c r="A414" s="4">
        <f>IFERROR(__xludf.DUMMYFUNCTION("""COMPUTED_VALUE"""),44453.625)</f>
        <v>44453.625</v>
      </c>
      <c r="B414" s="5">
        <f>IFERROR(__xludf.DUMMYFUNCTION("""COMPUTED_VALUE"""),1515.0)</f>
        <v>1515</v>
      </c>
      <c r="C414" s="5">
        <f>IFERROR(__xludf.DUMMYFUNCTION("""COMPUTED_VALUE"""),1520.0)</f>
        <v>1520</v>
      </c>
      <c r="D414" s="5">
        <f>IFERROR(__xludf.DUMMYFUNCTION("""COMPUTED_VALUE"""),1490.0)</f>
        <v>1490</v>
      </c>
      <c r="E414" s="5">
        <f>IFERROR(__xludf.DUMMYFUNCTION("""COMPUTED_VALUE"""),1500.0)</f>
        <v>1500</v>
      </c>
      <c r="F414" s="5">
        <f>IFERROR(__xludf.DUMMYFUNCTION("""COMPUTED_VALUE"""),1.73588E7)</f>
        <v>17358800</v>
      </c>
      <c r="G414" s="5">
        <f t="shared" si="1"/>
        <v>30</v>
      </c>
    </row>
    <row r="415">
      <c r="A415" s="4">
        <f>IFERROR(__xludf.DUMMYFUNCTION("""COMPUTED_VALUE"""),44454.625)</f>
        <v>44454.625</v>
      </c>
      <c r="B415" s="5">
        <f>IFERROR(__xludf.DUMMYFUNCTION("""COMPUTED_VALUE"""),1495.0)</f>
        <v>1495</v>
      </c>
      <c r="C415" s="5">
        <f>IFERROR(__xludf.DUMMYFUNCTION("""COMPUTED_VALUE"""),1525.0)</f>
        <v>1525</v>
      </c>
      <c r="D415" s="5">
        <f>IFERROR(__xludf.DUMMYFUNCTION("""COMPUTED_VALUE"""),1490.0)</f>
        <v>1490</v>
      </c>
      <c r="E415" s="5">
        <f>IFERROR(__xludf.DUMMYFUNCTION("""COMPUTED_VALUE"""),1505.0)</f>
        <v>1505</v>
      </c>
      <c r="F415" s="5">
        <f>IFERROR(__xludf.DUMMYFUNCTION("""COMPUTED_VALUE"""),1.55572E7)</f>
        <v>15557200</v>
      </c>
      <c r="G415" s="5">
        <f t="shared" si="1"/>
        <v>35</v>
      </c>
    </row>
    <row r="416">
      <c r="A416" s="4">
        <f>IFERROR(__xludf.DUMMYFUNCTION("""COMPUTED_VALUE"""),44455.625)</f>
        <v>44455.625</v>
      </c>
      <c r="B416" s="5">
        <f>IFERROR(__xludf.DUMMYFUNCTION("""COMPUTED_VALUE"""),1515.0)</f>
        <v>1515</v>
      </c>
      <c r="C416" s="5">
        <f>IFERROR(__xludf.DUMMYFUNCTION("""COMPUTED_VALUE"""),1530.0)</f>
        <v>1530</v>
      </c>
      <c r="D416" s="5">
        <f>IFERROR(__xludf.DUMMYFUNCTION("""COMPUTED_VALUE"""),1480.0)</f>
        <v>1480</v>
      </c>
      <c r="E416" s="5">
        <f>IFERROR(__xludf.DUMMYFUNCTION("""COMPUTED_VALUE"""),1480.0)</f>
        <v>1480</v>
      </c>
      <c r="F416" s="5">
        <f>IFERROR(__xludf.DUMMYFUNCTION("""COMPUTED_VALUE"""),2.37223E7)</f>
        <v>23722300</v>
      </c>
      <c r="G416" s="5">
        <f t="shared" si="1"/>
        <v>50</v>
      </c>
    </row>
    <row r="417">
      <c r="A417" s="4">
        <f>IFERROR(__xludf.DUMMYFUNCTION("""COMPUTED_VALUE"""),44456.625)</f>
        <v>44456.625</v>
      </c>
      <c r="B417" s="5">
        <f>IFERROR(__xludf.DUMMYFUNCTION("""COMPUTED_VALUE"""),1485.0)</f>
        <v>1485</v>
      </c>
      <c r="C417" s="5">
        <f>IFERROR(__xludf.DUMMYFUNCTION("""COMPUTED_VALUE"""),1495.0)</f>
        <v>1495</v>
      </c>
      <c r="D417" s="5">
        <f>IFERROR(__xludf.DUMMYFUNCTION("""COMPUTED_VALUE"""),1475.0)</f>
        <v>1475</v>
      </c>
      <c r="E417" s="5">
        <f>IFERROR(__xludf.DUMMYFUNCTION("""COMPUTED_VALUE"""),1485.0)</f>
        <v>1485</v>
      </c>
      <c r="F417" s="5">
        <f>IFERROR(__xludf.DUMMYFUNCTION("""COMPUTED_VALUE"""),1.1097E7)</f>
        <v>11097000</v>
      </c>
      <c r="G417" s="5">
        <f t="shared" si="1"/>
        <v>20</v>
      </c>
    </row>
    <row r="418">
      <c r="A418" s="4">
        <f>IFERROR(__xludf.DUMMYFUNCTION("""COMPUTED_VALUE"""),44459.625)</f>
        <v>44459.625</v>
      </c>
      <c r="B418" s="5">
        <f>IFERROR(__xludf.DUMMYFUNCTION("""COMPUTED_VALUE"""),1475.0)</f>
        <v>1475</v>
      </c>
      <c r="C418" s="5">
        <f>IFERROR(__xludf.DUMMYFUNCTION("""COMPUTED_VALUE"""),1485.0)</f>
        <v>1485</v>
      </c>
      <c r="D418" s="5">
        <f>IFERROR(__xludf.DUMMYFUNCTION("""COMPUTED_VALUE"""),1455.0)</f>
        <v>1455</v>
      </c>
      <c r="E418" s="5">
        <f>IFERROR(__xludf.DUMMYFUNCTION("""COMPUTED_VALUE"""),1455.0)</f>
        <v>1455</v>
      </c>
      <c r="F418" s="5">
        <f>IFERROR(__xludf.DUMMYFUNCTION("""COMPUTED_VALUE"""),1.36221E7)</f>
        <v>13622100</v>
      </c>
      <c r="G418" s="5">
        <f t="shared" si="1"/>
        <v>30</v>
      </c>
    </row>
    <row r="419">
      <c r="A419" s="4">
        <f>IFERROR(__xludf.DUMMYFUNCTION("""COMPUTED_VALUE"""),44460.625)</f>
        <v>44460.625</v>
      </c>
      <c r="B419" s="5">
        <f>IFERROR(__xludf.DUMMYFUNCTION("""COMPUTED_VALUE"""),1450.0)</f>
        <v>1450</v>
      </c>
      <c r="C419" s="5">
        <f>IFERROR(__xludf.DUMMYFUNCTION("""COMPUTED_VALUE"""),1480.0)</f>
        <v>1480</v>
      </c>
      <c r="D419" s="5">
        <f>IFERROR(__xludf.DUMMYFUNCTION("""COMPUTED_VALUE"""),1430.0)</f>
        <v>1430</v>
      </c>
      <c r="E419" s="5">
        <f>IFERROR(__xludf.DUMMYFUNCTION("""COMPUTED_VALUE"""),1470.0)</f>
        <v>1470</v>
      </c>
      <c r="F419" s="5">
        <f>IFERROR(__xludf.DUMMYFUNCTION("""COMPUTED_VALUE"""),1.13848E7)</f>
        <v>11384800</v>
      </c>
      <c r="G419" s="5">
        <f t="shared" si="1"/>
        <v>50</v>
      </c>
    </row>
    <row r="420">
      <c r="A420" s="4">
        <f>IFERROR(__xludf.DUMMYFUNCTION("""COMPUTED_VALUE"""),44461.625)</f>
        <v>44461.625</v>
      </c>
      <c r="B420" s="5">
        <f>IFERROR(__xludf.DUMMYFUNCTION("""COMPUTED_VALUE"""),1480.0)</f>
        <v>1480</v>
      </c>
      <c r="C420" s="5">
        <f>IFERROR(__xludf.DUMMYFUNCTION("""COMPUTED_VALUE"""),1515.0)</f>
        <v>1515</v>
      </c>
      <c r="D420" s="5">
        <f>IFERROR(__xludf.DUMMYFUNCTION("""COMPUTED_VALUE"""),1460.0)</f>
        <v>1460</v>
      </c>
      <c r="E420" s="5">
        <f>IFERROR(__xludf.DUMMYFUNCTION("""COMPUTED_VALUE"""),1515.0)</f>
        <v>1515</v>
      </c>
      <c r="F420" s="5">
        <f>IFERROR(__xludf.DUMMYFUNCTION("""COMPUTED_VALUE"""),2.93183E7)</f>
        <v>29318300</v>
      </c>
      <c r="G420" s="5">
        <f t="shared" si="1"/>
        <v>55</v>
      </c>
    </row>
    <row r="421">
      <c r="A421" s="4">
        <f>IFERROR(__xludf.DUMMYFUNCTION("""COMPUTED_VALUE"""),44462.625)</f>
        <v>44462.625</v>
      </c>
      <c r="B421" s="5">
        <f>IFERROR(__xludf.DUMMYFUNCTION("""COMPUTED_VALUE"""),1520.0)</f>
        <v>1520</v>
      </c>
      <c r="C421" s="5">
        <f>IFERROR(__xludf.DUMMYFUNCTION("""COMPUTED_VALUE"""),1530.0)</f>
        <v>1530</v>
      </c>
      <c r="D421" s="5">
        <f>IFERROR(__xludf.DUMMYFUNCTION("""COMPUTED_VALUE"""),1495.0)</f>
        <v>1495</v>
      </c>
      <c r="E421" s="5">
        <f>IFERROR(__xludf.DUMMYFUNCTION("""COMPUTED_VALUE"""),1495.0)</f>
        <v>1495</v>
      </c>
      <c r="F421" s="5">
        <f>IFERROR(__xludf.DUMMYFUNCTION("""COMPUTED_VALUE"""),2.36351E7)</f>
        <v>23635100</v>
      </c>
      <c r="G421" s="5">
        <f t="shared" si="1"/>
        <v>35</v>
      </c>
    </row>
    <row r="422">
      <c r="A422" s="4">
        <f>IFERROR(__xludf.DUMMYFUNCTION("""COMPUTED_VALUE"""),44463.625)</f>
        <v>44463.625</v>
      </c>
      <c r="B422" s="5">
        <f>IFERROR(__xludf.DUMMYFUNCTION("""COMPUTED_VALUE"""),1515.0)</f>
        <v>1515</v>
      </c>
      <c r="C422" s="5">
        <f>IFERROR(__xludf.DUMMYFUNCTION("""COMPUTED_VALUE"""),1560.0)</f>
        <v>1560</v>
      </c>
      <c r="D422" s="5">
        <f>IFERROR(__xludf.DUMMYFUNCTION("""COMPUTED_VALUE"""),1510.0)</f>
        <v>1510</v>
      </c>
      <c r="E422" s="5">
        <f>IFERROR(__xludf.DUMMYFUNCTION("""COMPUTED_VALUE"""),1540.0)</f>
        <v>1540</v>
      </c>
      <c r="F422" s="5">
        <f>IFERROR(__xludf.DUMMYFUNCTION("""COMPUTED_VALUE"""),7.11909E7)</f>
        <v>71190900</v>
      </c>
      <c r="G422" s="5">
        <f t="shared" si="1"/>
        <v>65</v>
      </c>
    </row>
    <row r="423">
      <c r="A423" s="4">
        <f>IFERROR(__xludf.DUMMYFUNCTION("""COMPUTED_VALUE"""),44466.625)</f>
        <v>44466.625</v>
      </c>
      <c r="B423" s="5">
        <f>IFERROR(__xludf.DUMMYFUNCTION("""COMPUTED_VALUE"""),1565.0)</f>
        <v>1565</v>
      </c>
      <c r="C423" s="5">
        <f>IFERROR(__xludf.DUMMYFUNCTION("""COMPUTED_VALUE"""),1585.0)</f>
        <v>1585</v>
      </c>
      <c r="D423" s="5">
        <f>IFERROR(__xludf.DUMMYFUNCTION("""COMPUTED_VALUE"""),1505.0)</f>
        <v>1505</v>
      </c>
      <c r="E423" s="5">
        <f>IFERROR(__xludf.DUMMYFUNCTION("""COMPUTED_VALUE"""),1510.0)</f>
        <v>1510</v>
      </c>
      <c r="F423" s="5">
        <f>IFERROR(__xludf.DUMMYFUNCTION("""COMPUTED_VALUE"""),5.36972E7)</f>
        <v>53697200</v>
      </c>
      <c r="G423" s="5">
        <f t="shared" si="1"/>
        <v>80</v>
      </c>
    </row>
    <row r="424">
      <c r="A424" s="4">
        <f>IFERROR(__xludf.DUMMYFUNCTION("""COMPUTED_VALUE"""),44467.625)</f>
        <v>44467.625</v>
      </c>
      <c r="B424" s="5">
        <f>IFERROR(__xludf.DUMMYFUNCTION("""COMPUTED_VALUE"""),1500.0)</f>
        <v>1500</v>
      </c>
      <c r="C424" s="5">
        <f>IFERROR(__xludf.DUMMYFUNCTION("""COMPUTED_VALUE"""),1520.0)</f>
        <v>1520</v>
      </c>
      <c r="D424" s="5">
        <f>IFERROR(__xludf.DUMMYFUNCTION("""COMPUTED_VALUE"""),1485.0)</f>
        <v>1485</v>
      </c>
      <c r="E424" s="5">
        <f>IFERROR(__xludf.DUMMYFUNCTION("""COMPUTED_VALUE"""),1490.0)</f>
        <v>1490</v>
      </c>
      <c r="F424" s="5">
        <f>IFERROR(__xludf.DUMMYFUNCTION("""COMPUTED_VALUE"""),2.53937E7)</f>
        <v>25393700</v>
      </c>
      <c r="G424" s="5">
        <f t="shared" si="1"/>
        <v>35</v>
      </c>
    </row>
    <row r="425">
      <c r="A425" s="4">
        <f>IFERROR(__xludf.DUMMYFUNCTION("""COMPUTED_VALUE"""),44468.625)</f>
        <v>44468.625</v>
      </c>
      <c r="B425" s="5">
        <f>IFERROR(__xludf.DUMMYFUNCTION("""COMPUTED_VALUE"""),1500.0)</f>
        <v>1500</v>
      </c>
      <c r="C425" s="5">
        <f>IFERROR(__xludf.DUMMYFUNCTION("""COMPUTED_VALUE"""),1545.0)</f>
        <v>1545</v>
      </c>
      <c r="D425" s="5">
        <f>IFERROR(__xludf.DUMMYFUNCTION("""COMPUTED_VALUE"""),1495.0)</f>
        <v>1495</v>
      </c>
      <c r="E425" s="5">
        <f>IFERROR(__xludf.DUMMYFUNCTION("""COMPUTED_VALUE"""),1530.0)</f>
        <v>1530</v>
      </c>
      <c r="F425" s="5">
        <f>IFERROR(__xludf.DUMMYFUNCTION("""COMPUTED_VALUE"""),2.97311E7)</f>
        <v>29731100</v>
      </c>
      <c r="G425" s="5">
        <f t="shared" si="1"/>
        <v>55</v>
      </c>
    </row>
    <row r="426">
      <c r="A426" s="4">
        <f>IFERROR(__xludf.DUMMYFUNCTION("""COMPUTED_VALUE"""),44469.625)</f>
        <v>44469.625</v>
      </c>
      <c r="B426" s="5">
        <f>IFERROR(__xludf.DUMMYFUNCTION("""COMPUTED_VALUE"""),1540.0)</f>
        <v>1540</v>
      </c>
      <c r="C426" s="5">
        <f>IFERROR(__xludf.DUMMYFUNCTION("""COMPUTED_VALUE"""),1545.0)</f>
        <v>1545</v>
      </c>
      <c r="D426" s="5">
        <f>IFERROR(__xludf.DUMMYFUNCTION("""COMPUTED_VALUE"""),1500.0)</f>
        <v>1500</v>
      </c>
      <c r="E426" s="5">
        <f>IFERROR(__xludf.DUMMYFUNCTION("""COMPUTED_VALUE"""),1510.0)</f>
        <v>1510</v>
      </c>
      <c r="F426" s="5">
        <f>IFERROR(__xludf.DUMMYFUNCTION("""COMPUTED_VALUE"""),2.79166E7)</f>
        <v>27916600</v>
      </c>
      <c r="G426" s="5">
        <f t="shared" si="1"/>
        <v>45</v>
      </c>
    </row>
    <row r="427">
      <c r="A427" s="4">
        <f>IFERROR(__xludf.DUMMYFUNCTION("""COMPUTED_VALUE"""),44470.625)</f>
        <v>44470.625</v>
      </c>
      <c r="B427" s="5">
        <f>IFERROR(__xludf.DUMMYFUNCTION("""COMPUTED_VALUE"""),1490.0)</f>
        <v>1490</v>
      </c>
      <c r="C427" s="5">
        <f>IFERROR(__xludf.DUMMYFUNCTION("""COMPUTED_VALUE"""),1490.0)</f>
        <v>1490</v>
      </c>
      <c r="D427" s="5">
        <f>IFERROR(__xludf.DUMMYFUNCTION("""COMPUTED_VALUE"""),1460.0)</f>
        <v>1460</v>
      </c>
      <c r="E427" s="5">
        <f>IFERROR(__xludf.DUMMYFUNCTION("""COMPUTED_VALUE"""),1465.0)</f>
        <v>1465</v>
      </c>
      <c r="F427" s="5">
        <f>IFERROR(__xludf.DUMMYFUNCTION("""COMPUTED_VALUE"""),3.79866E7)</f>
        <v>37986600</v>
      </c>
      <c r="G427" s="5">
        <f t="shared" si="1"/>
        <v>50</v>
      </c>
    </row>
    <row r="428">
      <c r="A428" s="4">
        <f>IFERROR(__xludf.DUMMYFUNCTION("""COMPUTED_VALUE"""),44473.625)</f>
        <v>44473.625</v>
      </c>
      <c r="B428" s="5">
        <f>IFERROR(__xludf.DUMMYFUNCTION("""COMPUTED_VALUE"""),1480.0)</f>
        <v>1480</v>
      </c>
      <c r="C428" s="5">
        <f>IFERROR(__xludf.DUMMYFUNCTION("""COMPUTED_VALUE"""),1525.0)</f>
        <v>1525</v>
      </c>
      <c r="D428" s="5">
        <f>IFERROR(__xludf.DUMMYFUNCTION("""COMPUTED_VALUE"""),1480.0)</f>
        <v>1480</v>
      </c>
      <c r="E428" s="5">
        <f>IFERROR(__xludf.DUMMYFUNCTION("""COMPUTED_VALUE"""),1505.0)</f>
        <v>1505</v>
      </c>
      <c r="F428" s="5">
        <f>IFERROR(__xludf.DUMMYFUNCTION("""COMPUTED_VALUE"""),3.80302E7)</f>
        <v>38030200</v>
      </c>
      <c r="G428" s="5">
        <f t="shared" si="1"/>
        <v>60</v>
      </c>
    </row>
    <row r="429">
      <c r="A429" s="4">
        <f>IFERROR(__xludf.DUMMYFUNCTION("""COMPUTED_VALUE"""),44474.625)</f>
        <v>44474.625</v>
      </c>
      <c r="B429" s="5">
        <f>IFERROR(__xludf.DUMMYFUNCTION("""COMPUTED_VALUE"""),1510.0)</f>
        <v>1510</v>
      </c>
      <c r="C429" s="5">
        <f>IFERROR(__xludf.DUMMYFUNCTION("""COMPUTED_VALUE"""),1695.0)</f>
        <v>1695</v>
      </c>
      <c r="D429" s="5">
        <f>IFERROR(__xludf.DUMMYFUNCTION("""COMPUTED_VALUE"""),1510.0)</f>
        <v>1510</v>
      </c>
      <c r="E429" s="5">
        <f>IFERROR(__xludf.DUMMYFUNCTION("""COMPUTED_VALUE"""),1605.0)</f>
        <v>1605</v>
      </c>
      <c r="F429" s="5">
        <f>IFERROR(__xludf.DUMMYFUNCTION("""COMPUTED_VALUE"""),2.119725E8)</f>
        <v>211972500</v>
      </c>
      <c r="G429" s="5">
        <f t="shared" si="1"/>
        <v>190</v>
      </c>
    </row>
    <row r="430">
      <c r="A430" s="4">
        <f>IFERROR(__xludf.DUMMYFUNCTION("""COMPUTED_VALUE"""),44475.625)</f>
        <v>44475.625</v>
      </c>
      <c r="B430" s="5">
        <f>IFERROR(__xludf.DUMMYFUNCTION("""COMPUTED_VALUE"""),1630.0)</f>
        <v>1630</v>
      </c>
      <c r="C430" s="5">
        <f>IFERROR(__xludf.DUMMYFUNCTION("""COMPUTED_VALUE"""),1660.0)</f>
        <v>1660</v>
      </c>
      <c r="D430" s="5">
        <f>IFERROR(__xludf.DUMMYFUNCTION("""COMPUTED_VALUE"""),1580.0)</f>
        <v>1580</v>
      </c>
      <c r="E430" s="5">
        <f>IFERROR(__xludf.DUMMYFUNCTION("""COMPUTED_VALUE"""),1585.0)</f>
        <v>1585</v>
      </c>
      <c r="F430" s="5">
        <f>IFERROR(__xludf.DUMMYFUNCTION("""COMPUTED_VALUE"""),7.951E7)</f>
        <v>79510000</v>
      </c>
      <c r="G430" s="5">
        <f t="shared" si="1"/>
        <v>80</v>
      </c>
    </row>
    <row r="431">
      <c r="A431" s="4">
        <f>IFERROR(__xludf.DUMMYFUNCTION("""COMPUTED_VALUE"""),44476.625)</f>
        <v>44476.625</v>
      </c>
      <c r="B431" s="5">
        <f>IFERROR(__xludf.DUMMYFUNCTION("""COMPUTED_VALUE"""),1590.0)</f>
        <v>1590</v>
      </c>
      <c r="C431" s="5">
        <f>IFERROR(__xludf.DUMMYFUNCTION("""COMPUTED_VALUE"""),1615.0)</f>
        <v>1615</v>
      </c>
      <c r="D431" s="5">
        <f>IFERROR(__xludf.DUMMYFUNCTION("""COMPUTED_VALUE"""),1540.0)</f>
        <v>1540</v>
      </c>
      <c r="E431" s="5">
        <f>IFERROR(__xludf.DUMMYFUNCTION("""COMPUTED_VALUE"""),1575.0)</f>
        <v>1575</v>
      </c>
      <c r="F431" s="5">
        <f>IFERROR(__xludf.DUMMYFUNCTION("""COMPUTED_VALUE"""),5.79607E7)</f>
        <v>57960700</v>
      </c>
      <c r="G431" s="5">
        <f t="shared" si="1"/>
        <v>75</v>
      </c>
    </row>
    <row r="432">
      <c r="A432" s="4">
        <f>IFERROR(__xludf.DUMMYFUNCTION("""COMPUTED_VALUE"""),44477.625)</f>
        <v>44477.625</v>
      </c>
      <c r="B432" s="5">
        <f>IFERROR(__xludf.DUMMYFUNCTION("""COMPUTED_VALUE"""),1610.0)</f>
        <v>1610</v>
      </c>
      <c r="C432" s="5">
        <f>IFERROR(__xludf.DUMMYFUNCTION("""COMPUTED_VALUE"""),1630.0)</f>
        <v>1630</v>
      </c>
      <c r="D432" s="5">
        <f>IFERROR(__xludf.DUMMYFUNCTION("""COMPUTED_VALUE"""),1580.0)</f>
        <v>1580</v>
      </c>
      <c r="E432" s="5">
        <f>IFERROR(__xludf.DUMMYFUNCTION("""COMPUTED_VALUE"""),1590.0)</f>
        <v>1590</v>
      </c>
      <c r="F432" s="5">
        <f>IFERROR(__xludf.DUMMYFUNCTION("""COMPUTED_VALUE"""),6.12424E7)</f>
        <v>61242400</v>
      </c>
      <c r="G432" s="5">
        <f t="shared" si="1"/>
        <v>55</v>
      </c>
    </row>
    <row r="433">
      <c r="A433" s="4">
        <f>IFERROR(__xludf.DUMMYFUNCTION("""COMPUTED_VALUE"""),44480.625)</f>
        <v>44480.625</v>
      </c>
      <c r="B433" s="5">
        <f>IFERROR(__xludf.DUMMYFUNCTION("""COMPUTED_VALUE"""),1620.0)</f>
        <v>1620</v>
      </c>
      <c r="C433" s="5">
        <f>IFERROR(__xludf.DUMMYFUNCTION("""COMPUTED_VALUE"""),1705.0)</f>
        <v>1705</v>
      </c>
      <c r="D433" s="5">
        <f>IFERROR(__xludf.DUMMYFUNCTION("""COMPUTED_VALUE"""),1610.0)</f>
        <v>1610</v>
      </c>
      <c r="E433" s="5">
        <f>IFERROR(__xludf.DUMMYFUNCTION("""COMPUTED_VALUE"""),1685.0)</f>
        <v>1685</v>
      </c>
      <c r="F433" s="5">
        <f>IFERROR(__xludf.DUMMYFUNCTION("""COMPUTED_VALUE"""),1.742966E8)</f>
        <v>174296600</v>
      </c>
      <c r="G433" s="5">
        <f t="shared" si="1"/>
        <v>115</v>
      </c>
    </row>
    <row r="434">
      <c r="A434" s="4">
        <f>IFERROR(__xludf.DUMMYFUNCTION("""COMPUTED_VALUE"""),44481.66666666667)</f>
        <v>44481.66667</v>
      </c>
      <c r="B434" s="5">
        <f>IFERROR(__xludf.DUMMYFUNCTION("""COMPUTED_VALUE"""),1670.0)</f>
        <v>1670</v>
      </c>
      <c r="C434" s="5">
        <f>IFERROR(__xludf.DUMMYFUNCTION("""COMPUTED_VALUE"""),1670.0)</f>
        <v>1670</v>
      </c>
      <c r="D434" s="5">
        <f>IFERROR(__xludf.DUMMYFUNCTION("""COMPUTED_VALUE"""),1630.0)</f>
        <v>1630</v>
      </c>
      <c r="E434" s="5">
        <f>IFERROR(__xludf.DUMMYFUNCTION("""COMPUTED_VALUE"""),1650.0)</f>
        <v>1650</v>
      </c>
      <c r="F434" s="5">
        <f>IFERROR(__xludf.DUMMYFUNCTION("""COMPUTED_VALUE"""),8.09011E7)</f>
        <v>80901100</v>
      </c>
      <c r="G434" s="5">
        <f t="shared" si="1"/>
        <v>55</v>
      </c>
    </row>
    <row r="435">
      <c r="A435" s="4">
        <f>IFERROR(__xludf.DUMMYFUNCTION("""COMPUTED_VALUE"""),44482.625)</f>
        <v>44482.625</v>
      </c>
      <c r="B435" s="5">
        <f>IFERROR(__xludf.DUMMYFUNCTION("""COMPUTED_VALUE"""),1645.0)</f>
        <v>1645</v>
      </c>
      <c r="C435" s="5">
        <f>IFERROR(__xludf.DUMMYFUNCTION("""COMPUTED_VALUE"""),1680.0)</f>
        <v>1680</v>
      </c>
      <c r="D435" s="5">
        <f>IFERROR(__xludf.DUMMYFUNCTION("""COMPUTED_VALUE"""),1635.0)</f>
        <v>1635</v>
      </c>
      <c r="E435" s="5">
        <f>IFERROR(__xludf.DUMMYFUNCTION("""COMPUTED_VALUE"""),1655.0)</f>
        <v>1655</v>
      </c>
      <c r="F435" s="5">
        <f>IFERROR(__xludf.DUMMYFUNCTION("""COMPUTED_VALUE"""),4.55159E7)</f>
        <v>45515900</v>
      </c>
      <c r="G435" s="5">
        <f t="shared" si="1"/>
        <v>45</v>
      </c>
    </row>
    <row r="436">
      <c r="A436" s="4">
        <f>IFERROR(__xludf.DUMMYFUNCTION("""COMPUTED_VALUE"""),44483.66666666667)</f>
        <v>44483.66667</v>
      </c>
      <c r="B436" s="5">
        <f>IFERROR(__xludf.DUMMYFUNCTION("""COMPUTED_VALUE"""),1660.0)</f>
        <v>1660</v>
      </c>
      <c r="C436" s="5">
        <f>IFERROR(__xludf.DUMMYFUNCTION("""COMPUTED_VALUE"""),1720.0)</f>
        <v>1720</v>
      </c>
      <c r="D436" s="5">
        <f>IFERROR(__xludf.DUMMYFUNCTION("""COMPUTED_VALUE"""),1650.0)</f>
        <v>1650</v>
      </c>
      <c r="E436" s="5">
        <f>IFERROR(__xludf.DUMMYFUNCTION("""COMPUTED_VALUE"""),1705.0)</f>
        <v>1705</v>
      </c>
      <c r="F436" s="5">
        <f>IFERROR(__xludf.DUMMYFUNCTION("""COMPUTED_VALUE"""),9.13953E7)</f>
        <v>91395300</v>
      </c>
      <c r="G436" s="5">
        <f t="shared" si="1"/>
        <v>70</v>
      </c>
    </row>
    <row r="437">
      <c r="A437" s="4">
        <f>IFERROR(__xludf.DUMMYFUNCTION("""COMPUTED_VALUE"""),44484.66666666667)</f>
        <v>44484.66667</v>
      </c>
      <c r="B437" s="5">
        <f>IFERROR(__xludf.DUMMYFUNCTION("""COMPUTED_VALUE"""),1725.0)</f>
        <v>1725</v>
      </c>
      <c r="C437" s="5">
        <f>IFERROR(__xludf.DUMMYFUNCTION("""COMPUTED_VALUE"""),1745.0)</f>
        <v>1745</v>
      </c>
      <c r="D437" s="5">
        <f>IFERROR(__xludf.DUMMYFUNCTION("""COMPUTED_VALUE"""),1695.0)</f>
        <v>1695</v>
      </c>
      <c r="E437" s="5">
        <f>IFERROR(__xludf.DUMMYFUNCTION("""COMPUTED_VALUE"""),1720.0)</f>
        <v>1720</v>
      </c>
      <c r="F437" s="5">
        <f>IFERROR(__xludf.DUMMYFUNCTION("""COMPUTED_VALUE"""),1.052748E8)</f>
        <v>105274800</v>
      </c>
      <c r="G437" s="5">
        <f t="shared" si="1"/>
        <v>50</v>
      </c>
    </row>
    <row r="438">
      <c r="A438" s="4">
        <f>IFERROR(__xludf.DUMMYFUNCTION("""COMPUTED_VALUE"""),44487.625)</f>
        <v>44487.625</v>
      </c>
      <c r="B438" s="5">
        <f>IFERROR(__xludf.DUMMYFUNCTION("""COMPUTED_VALUE"""),1740.0)</f>
        <v>1740</v>
      </c>
      <c r="C438" s="5">
        <f>IFERROR(__xludf.DUMMYFUNCTION("""COMPUTED_VALUE"""),1755.0)</f>
        <v>1755</v>
      </c>
      <c r="D438" s="5">
        <f>IFERROR(__xludf.DUMMYFUNCTION("""COMPUTED_VALUE"""),1720.0)</f>
        <v>1720</v>
      </c>
      <c r="E438" s="5">
        <f>IFERROR(__xludf.DUMMYFUNCTION("""COMPUTED_VALUE"""),1725.0)</f>
        <v>1725</v>
      </c>
      <c r="F438" s="5">
        <f>IFERROR(__xludf.DUMMYFUNCTION("""COMPUTED_VALUE"""),6.42031E7)</f>
        <v>64203100</v>
      </c>
      <c r="G438" s="5">
        <f t="shared" si="1"/>
        <v>35</v>
      </c>
    </row>
    <row r="439">
      <c r="A439" s="4">
        <f>IFERROR(__xludf.DUMMYFUNCTION("""COMPUTED_VALUE"""),44488.625)</f>
        <v>44488.625</v>
      </c>
      <c r="B439" s="5">
        <f>IFERROR(__xludf.DUMMYFUNCTION("""COMPUTED_VALUE"""),1730.0)</f>
        <v>1730</v>
      </c>
      <c r="C439" s="5">
        <f>IFERROR(__xludf.DUMMYFUNCTION("""COMPUTED_VALUE"""),1745.0)</f>
        <v>1745</v>
      </c>
      <c r="D439" s="5">
        <f>IFERROR(__xludf.DUMMYFUNCTION("""COMPUTED_VALUE"""),1690.0)</f>
        <v>1690</v>
      </c>
      <c r="E439" s="5">
        <f>IFERROR(__xludf.DUMMYFUNCTION("""COMPUTED_VALUE"""),1725.0)</f>
        <v>1725</v>
      </c>
      <c r="F439" s="5">
        <f>IFERROR(__xludf.DUMMYFUNCTION("""COMPUTED_VALUE"""),9.41531E7)</f>
        <v>94153100</v>
      </c>
      <c r="G439" s="5">
        <f t="shared" si="1"/>
        <v>55</v>
      </c>
    </row>
    <row r="440">
      <c r="A440" s="4">
        <f>IFERROR(__xludf.DUMMYFUNCTION("""COMPUTED_VALUE"""),44490.625)</f>
        <v>44490.625</v>
      </c>
      <c r="B440" s="5">
        <f>IFERROR(__xludf.DUMMYFUNCTION("""COMPUTED_VALUE"""),1750.0)</f>
        <v>1750</v>
      </c>
      <c r="C440" s="5">
        <f>IFERROR(__xludf.DUMMYFUNCTION("""COMPUTED_VALUE"""),1765.0)</f>
        <v>1765</v>
      </c>
      <c r="D440" s="5">
        <f>IFERROR(__xludf.DUMMYFUNCTION("""COMPUTED_VALUE"""),1645.0)</f>
        <v>1645</v>
      </c>
      <c r="E440" s="5">
        <f>IFERROR(__xludf.DUMMYFUNCTION("""COMPUTED_VALUE"""),1665.0)</f>
        <v>1665</v>
      </c>
      <c r="F440" s="5">
        <f>IFERROR(__xludf.DUMMYFUNCTION("""COMPUTED_VALUE"""),9.95919E7)</f>
        <v>99591900</v>
      </c>
      <c r="G440" s="5">
        <f t="shared" si="1"/>
        <v>120</v>
      </c>
    </row>
    <row r="441">
      <c r="A441" s="4">
        <f>IFERROR(__xludf.DUMMYFUNCTION("""COMPUTED_VALUE"""),44491.625)</f>
        <v>44491.625</v>
      </c>
      <c r="B441" s="5">
        <f>IFERROR(__xludf.DUMMYFUNCTION("""COMPUTED_VALUE"""),1630.0)</f>
        <v>1630</v>
      </c>
      <c r="C441" s="5">
        <f>IFERROR(__xludf.DUMMYFUNCTION("""COMPUTED_VALUE"""),1645.0)</f>
        <v>1645</v>
      </c>
      <c r="D441" s="5">
        <f>IFERROR(__xludf.DUMMYFUNCTION("""COMPUTED_VALUE"""),1615.0)</f>
        <v>1615</v>
      </c>
      <c r="E441" s="5">
        <f>IFERROR(__xludf.DUMMYFUNCTION("""COMPUTED_VALUE"""),1630.0)</f>
        <v>1630</v>
      </c>
      <c r="F441" s="5">
        <f>IFERROR(__xludf.DUMMYFUNCTION("""COMPUTED_VALUE"""),5.39935E7)</f>
        <v>53993500</v>
      </c>
      <c r="G441" s="5">
        <f t="shared" si="1"/>
        <v>50</v>
      </c>
    </row>
    <row r="442">
      <c r="A442" s="4">
        <f>IFERROR(__xludf.DUMMYFUNCTION("""COMPUTED_VALUE"""),44494.625)</f>
        <v>44494.625</v>
      </c>
      <c r="B442" s="5">
        <f>IFERROR(__xludf.DUMMYFUNCTION("""COMPUTED_VALUE"""),1630.0)</f>
        <v>1630</v>
      </c>
      <c r="C442" s="5">
        <f>IFERROR(__xludf.DUMMYFUNCTION("""COMPUTED_VALUE"""),1655.0)</f>
        <v>1655</v>
      </c>
      <c r="D442" s="5">
        <f>IFERROR(__xludf.DUMMYFUNCTION("""COMPUTED_VALUE"""),1620.0)</f>
        <v>1620</v>
      </c>
      <c r="E442" s="5">
        <f>IFERROR(__xludf.DUMMYFUNCTION("""COMPUTED_VALUE"""),1625.0)</f>
        <v>1625</v>
      </c>
      <c r="F442" s="5">
        <f>IFERROR(__xludf.DUMMYFUNCTION("""COMPUTED_VALUE"""),2.79476E7)</f>
        <v>27947600</v>
      </c>
      <c r="G442" s="5">
        <f t="shared" si="1"/>
        <v>35</v>
      </c>
    </row>
    <row r="443">
      <c r="A443" s="4">
        <f>IFERROR(__xludf.DUMMYFUNCTION("""COMPUTED_VALUE"""),44495.625)</f>
        <v>44495.625</v>
      </c>
      <c r="B443" s="5">
        <f>IFERROR(__xludf.DUMMYFUNCTION("""COMPUTED_VALUE"""),1630.0)</f>
        <v>1630</v>
      </c>
      <c r="C443" s="5">
        <f>IFERROR(__xludf.DUMMYFUNCTION("""COMPUTED_VALUE"""),1655.0)</f>
        <v>1655</v>
      </c>
      <c r="D443" s="5">
        <f>IFERROR(__xludf.DUMMYFUNCTION("""COMPUTED_VALUE"""),1625.0)</f>
        <v>1625</v>
      </c>
      <c r="E443" s="5">
        <f>IFERROR(__xludf.DUMMYFUNCTION("""COMPUTED_VALUE"""),1625.0)</f>
        <v>1625</v>
      </c>
      <c r="F443" s="5">
        <f>IFERROR(__xludf.DUMMYFUNCTION("""COMPUTED_VALUE"""),2.18834E7)</f>
        <v>21883400</v>
      </c>
      <c r="G443" s="5">
        <f t="shared" si="1"/>
        <v>30</v>
      </c>
    </row>
    <row r="444">
      <c r="A444" s="4">
        <f>IFERROR(__xludf.DUMMYFUNCTION("""COMPUTED_VALUE"""),44496.625)</f>
        <v>44496.625</v>
      </c>
      <c r="B444" s="5">
        <f>IFERROR(__xludf.DUMMYFUNCTION("""COMPUTED_VALUE"""),1635.0)</f>
        <v>1635</v>
      </c>
      <c r="C444" s="5">
        <f>IFERROR(__xludf.DUMMYFUNCTION("""COMPUTED_VALUE"""),1635.0)</f>
        <v>1635</v>
      </c>
      <c r="D444" s="5">
        <f>IFERROR(__xludf.DUMMYFUNCTION("""COMPUTED_VALUE"""),1580.0)</f>
        <v>1580</v>
      </c>
      <c r="E444" s="5">
        <f>IFERROR(__xludf.DUMMYFUNCTION("""COMPUTED_VALUE"""),1580.0)</f>
        <v>1580</v>
      </c>
      <c r="F444" s="5">
        <f>IFERROR(__xludf.DUMMYFUNCTION("""COMPUTED_VALUE"""),3.08207E7)</f>
        <v>30820700</v>
      </c>
      <c r="G444" s="5">
        <f t="shared" si="1"/>
        <v>55</v>
      </c>
    </row>
    <row r="445">
      <c r="A445" s="4">
        <f>IFERROR(__xludf.DUMMYFUNCTION("""COMPUTED_VALUE"""),44497.625)</f>
        <v>44497.625</v>
      </c>
      <c r="B445" s="5">
        <f>IFERROR(__xludf.DUMMYFUNCTION("""COMPUTED_VALUE"""),1545.0)</f>
        <v>1545</v>
      </c>
      <c r="C445" s="5">
        <f>IFERROR(__xludf.DUMMYFUNCTION("""COMPUTED_VALUE"""),1570.0)</f>
        <v>1570</v>
      </c>
      <c r="D445" s="5">
        <f>IFERROR(__xludf.DUMMYFUNCTION("""COMPUTED_VALUE"""),1525.0)</f>
        <v>1525</v>
      </c>
      <c r="E445" s="5">
        <f>IFERROR(__xludf.DUMMYFUNCTION("""COMPUTED_VALUE"""),1560.0)</f>
        <v>1560</v>
      </c>
      <c r="F445" s="5">
        <f>IFERROR(__xludf.DUMMYFUNCTION("""COMPUTED_VALUE"""),6.00115E7)</f>
        <v>60011500</v>
      </c>
      <c r="G445" s="5">
        <f t="shared" si="1"/>
        <v>55</v>
      </c>
    </row>
    <row r="446">
      <c r="A446" s="4">
        <f>IFERROR(__xludf.DUMMYFUNCTION("""COMPUTED_VALUE"""),44498.625)</f>
        <v>44498.625</v>
      </c>
      <c r="B446" s="5">
        <f>IFERROR(__xludf.DUMMYFUNCTION("""COMPUTED_VALUE"""),1570.0)</f>
        <v>1570</v>
      </c>
      <c r="C446" s="5">
        <f>IFERROR(__xludf.DUMMYFUNCTION("""COMPUTED_VALUE"""),1595.0)</f>
        <v>1595</v>
      </c>
      <c r="D446" s="5">
        <f>IFERROR(__xludf.DUMMYFUNCTION("""COMPUTED_VALUE"""),1565.0)</f>
        <v>1565</v>
      </c>
      <c r="E446" s="5">
        <f>IFERROR(__xludf.DUMMYFUNCTION("""COMPUTED_VALUE"""),1590.0)</f>
        <v>1590</v>
      </c>
      <c r="F446" s="5">
        <f>IFERROR(__xludf.DUMMYFUNCTION("""COMPUTED_VALUE"""),2.22497E7)</f>
        <v>22249700</v>
      </c>
      <c r="G446" s="5">
        <f t="shared" si="1"/>
        <v>35</v>
      </c>
    </row>
    <row r="447">
      <c r="A447" s="4">
        <f>IFERROR(__xludf.DUMMYFUNCTION("""COMPUTED_VALUE"""),44501.625)</f>
        <v>44501.625</v>
      </c>
      <c r="B447" s="5">
        <f>IFERROR(__xludf.DUMMYFUNCTION("""COMPUTED_VALUE"""),1600.0)</f>
        <v>1600</v>
      </c>
      <c r="C447" s="5">
        <f>IFERROR(__xludf.DUMMYFUNCTION("""COMPUTED_VALUE"""),1615.0)</f>
        <v>1615</v>
      </c>
      <c r="D447" s="5">
        <f>IFERROR(__xludf.DUMMYFUNCTION("""COMPUTED_VALUE"""),1555.0)</f>
        <v>1555</v>
      </c>
      <c r="E447" s="5">
        <f>IFERROR(__xludf.DUMMYFUNCTION("""COMPUTED_VALUE"""),1560.0)</f>
        <v>1560</v>
      </c>
      <c r="F447" s="5">
        <f>IFERROR(__xludf.DUMMYFUNCTION("""COMPUTED_VALUE"""),2.27151E7)</f>
        <v>22715100</v>
      </c>
      <c r="G447" s="5">
        <f t="shared" si="1"/>
        <v>60</v>
      </c>
    </row>
    <row r="448">
      <c r="A448" s="4">
        <f>IFERROR(__xludf.DUMMYFUNCTION("""COMPUTED_VALUE"""),44502.625)</f>
        <v>44502.625</v>
      </c>
      <c r="B448" s="5">
        <f>IFERROR(__xludf.DUMMYFUNCTION("""COMPUTED_VALUE"""),1550.0)</f>
        <v>1550</v>
      </c>
      <c r="C448" s="5">
        <f>IFERROR(__xludf.DUMMYFUNCTION("""COMPUTED_VALUE"""),1570.0)</f>
        <v>1570</v>
      </c>
      <c r="D448" s="5">
        <f>IFERROR(__xludf.DUMMYFUNCTION("""COMPUTED_VALUE"""),1540.0)</f>
        <v>1540</v>
      </c>
      <c r="E448" s="5">
        <f>IFERROR(__xludf.DUMMYFUNCTION("""COMPUTED_VALUE"""),1540.0)</f>
        <v>1540</v>
      </c>
      <c r="F448" s="5">
        <f>IFERROR(__xludf.DUMMYFUNCTION("""COMPUTED_VALUE"""),1.30361E7)</f>
        <v>13036100</v>
      </c>
      <c r="G448" s="5">
        <f t="shared" si="1"/>
        <v>30</v>
      </c>
    </row>
    <row r="449">
      <c r="A449" s="4">
        <f>IFERROR(__xludf.DUMMYFUNCTION("""COMPUTED_VALUE"""),44503.625)</f>
        <v>44503.625</v>
      </c>
      <c r="B449" s="5">
        <f>IFERROR(__xludf.DUMMYFUNCTION("""COMPUTED_VALUE"""),1540.0)</f>
        <v>1540</v>
      </c>
      <c r="C449" s="5">
        <f>IFERROR(__xludf.DUMMYFUNCTION("""COMPUTED_VALUE"""),1570.0)</f>
        <v>1570</v>
      </c>
      <c r="D449" s="5">
        <f>IFERROR(__xludf.DUMMYFUNCTION("""COMPUTED_VALUE"""),1530.0)</f>
        <v>1530</v>
      </c>
      <c r="E449" s="5">
        <f>IFERROR(__xludf.DUMMYFUNCTION("""COMPUTED_VALUE"""),1560.0)</f>
        <v>1560</v>
      </c>
      <c r="F449" s="5">
        <f>IFERROR(__xludf.DUMMYFUNCTION("""COMPUTED_VALUE"""),1.69595E7)</f>
        <v>16959500</v>
      </c>
      <c r="G449" s="5">
        <f t="shared" si="1"/>
        <v>40</v>
      </c>
    </row>
    <row r="450">
      <c r="A450" s="4">
        <f>IFERROR(__xludf.DUMMYFUNCTION("""COMPUTED_VALUE"""),44504.66666666667)</f>
        <v>44504.66667</v>
      </c>
      <c r="B450" s="5">
        <f>IFERROR(__xludf.DUMMYFUNCTION("""COMPUTED_VALUE"""),1565.0)</f>
        <v>1565</v>
      </c>
      <c r="C450" s="5">
        <f>IFERROR(__xludf.DUMMYFUNCTION("""COMPUTED_VALUE"""),1590.0)</f>
        <v>1590</v>
      </c>
      <c r="D450" s="5">
        <f>IFERROR(__xludf.DUMMYFUNCTION("""COMPUTED_VALUE"""),1560.0)</f>
        <v>1560</v>
      </c>
      <c r="E450" s="5">
        <f>IFERROR(__xludf.DUMMYFUNCTION("""COMPUTED_VALUE"""),1580.0)</f>
        <v>1580</v>
      </c>
      <c r="F450" s="5">
        <f>IFERROR(__xludf.DUMMYFUNCTION("""COMPUTED_VALUE"""),1.63499E7)</f>
        <v>16349900</v>
      </c>
      <c r="G450" s="5">
        <f t="shared" si="1"/>
        <v>30</v>
      </c>
    </row>
    <row r="451">
      <c r="A451" s="4">
        <f>IFERROR(__xludf.DUMMYFUNCTION("""COMPUTED_VALUE"""),44505.625)</f>
        <v>44505.625</v>
      </c>
      <c r="B451" s="5">
        <f>IFERROR(__xludf.DUMMYFUNCTION("""COMPUTED_VALUE"""),1570.0)</f>
        <v>1570</v>
      </c>
      <c r="C451" s="5">
        <f>IFERROR(__xludf.DUMMYFUNCTION("""COMPUTED_VALUE"""),1590.0)</f>
        <v>1590</v>
      </c>
      <c r="D451" s="5">
        <f>IFERROR(__xludf.DUMMYFUNCTION("""COMPUTED_VALUE"""),1555.0)</f>
        <v>1555</v>
      </c>
      <c r="E451" s="5">
        <f>IFERROR(__xludf.DUMMYFUNCTION("""COMPUTED_VALUE"""),1565.0)</f>
        <v>1565</v>
      </c>
      <c r="F451" s="5">
        <f>IFERROR(__xludf.DUMMYFUNCTION("""COMPUTED_VALUE"""),1.12167E7)</f>
        <v>11216700</v>
      </c>
      <c r="G451" s="5">
        <f t="shared" si="1"/>
        <v>35</v>
      </c>
    </row>
    <row r="452">
      <c r="A452" s="4">
        <f>IFERROR(__xludf.DUMMYFUNCTION("""COMPUTED_VALUE"""),44508.625)</f>
        <v>44508.625</v>
      </c>
      <c r="B452" s="5">
        <f>IFERROR(__xludf.DUMMYFUNCTION("""COMPUTED_VALUE"""),1575.0)</f>
        <v>1575</v>
      </c>
      <c r="C452" s="5">
        <f>IFERROR(__xludf.DUMMYFUNCTION("""COMPUTED_VALUE"""),1590.0)</f>
        <v>1590</v>
      </c>
      <c r="D452" s="5">
        <f>IFERROR(__xludf.DUMMYFUNCTION("""COMPUTED_VALUE"""),1565.0)</f>
        <v>1565</v>
      </c>
      <c r="E452" s="5">
        <f>IFERROR(__xludf.DUMMYFUNCTION("""COMPUTED_VALUE"""),1570.0)</f>
        <v>1570</v>
      </c>
      <c r="F452" s="5">
        <f>IFERROR(__xludf.DUMMYFUNCTION("""COMPUTED_VALUE"""),9441000.0)</f>
        <v>9441000</v>
      </c>
      <c r="G452" s="5">
        <f t="shared" si="1"/>
        <v>25</v>
      </c>
    </row>
    <row r="453">
      <c r="A453" s="4">
        <f>IFERROR(__xludf.DUMMYFUNCTION("""COMPUTED_VALUE"""),44509.625)</f>
        <v>44509.625</v>
      </c>
      <c r="B453" s="5">
        <f>IFERROR(__xludf.DUMMYFUNCTION("""COMPUTED_VALUE"""),1580.0)</f>
        <v>1580</v>
      </c>
      <c r="C453" s="5">
        <f>IFERROR(__xludf.DUMMYFUNCTION("""COMPUTED_VALUE"""),1585.0)</f>
        <v>1585</v>
      </c>
      <c r="D453" s="5">
        <f>IFERROR(__xludf.DUMMYFUNCTION("""COMPUTED_VALUE"""),1570.0)</f>
        <v>1570</v>
      </c>
      <c r="E453" s="5">
        <f>IFERROR(__xludf.DUMMYFUNCTION("""COMPUTED_VALUE"""),1570.0)</f>
        <v>1570</v>
      </c>
      <c r="F453" s="5">
        <f>IFERROR(__xludf.DUMMYFUNCTION("""COMPUTED_VALUE"""),6623300.0)</f>
        <v>6623300</v>
      </c>
      <c r="G453" s="5">
        <f t="shared" si="1"/>
        <v>15</v>
      </c>
    </row>
    <row r="454">
      <c r="A454" s="4">
        <f>IFERROR(__xludf.DUMMYFUNCTION("""COMPUTED_VALUE"""),44510.625)</f>
        <v>44510.625</v>
      </c>
      <c r="B454" s="5">
        <f>IFERROR(__xludf.DUMMYFUNCTION("""COMPUTED_VALUE"""),1580.0)</f>
        <v>1580</v>
      </c>
      <c r="C454" s="5">
        <f>IFERROR(__xludf.DUMMYFUNCTION("""COMPUTED_VALUE"""),1585.0)</f>
        <v>1585</v>
      </c>
      <c r="D454" s="5">
        <f>IFERROR(__xludf.DUMMYFUNCTION("""COMPUTED_VALUE"""),1560.0)</f>
        <v>1560</v>
      </c>
      <c r="E454" s="5">
        <f>IFERROR(__xludf.DUMMYFUNCTION("""COMPUTED_VALUE"""),1585.0)</f>
        <v>1585</v>
      </c>
      <c r="F454" s="5">
        <f>IFERROR(__xludf.DUMMYFUNCTION("""COMPUTED_VALUE"""),8270900.0)</f>
        <v>8270900</v>
      </c>
      <c r="G454" s="5">
        <f t="shared" si="1"/>
        <v>25</v>
      </c>
    </row>
    <row r="455">
      <c r="A455" s="4">
        <f>IFERROR(__xludf.DUMMYFUNCTION("""COMPUTED_VALUE"""),44511.625)</f>
        <v>44511.625</v>
      </c>
      <c r="B455" s="5">
        <f>IFERROR(__xludf.DUMMYFUNCTION("""COMPUTED_VALUE"""),1630.0)</f>
        <v>1630</v>
      </c>
      <c r="C455" s="5">
        <f>IFERROR(__xludf.DUMMYFUNCTION("""COMPUTED_VALUE"""),1645.0)</f>
        <v>1645</v>
      </c>
      <c r="D455" s="5">
        <f>IFERROR(__xludf.DUMMYFUNCTION("""COMPUTED_VALUE"""),1595.0)</f>
        <v>1595</v>
      </c>
      <c r="E455" s="5">
        <f>IFERROR(__xludf.DUMMYFUNCTION("""COMPUTED_VALUE"""),1600.0)</f>
        <v>1600</v>
      </c>
      <c r="F455" s="5">
        <f>IFERROR(__xludf.DUMMYFUNCTION("""COMPUTED_VALUE"""),2.78114E7)</f>
        <v>27811400</v>
      </c>
      <c r="G455" s="5">
        <f t="shared" si="1"/>
        <v>60</v>
      </c>
    </row>
    <row r="456">
      <c r="A456" s="4">
        <f>IFERROR(__xludf.DUMMYFUNCTION("""COMPUTED_VALUE"""),44512.625)</f>
        <v>44512.625</v>
      </c>
      <c r="B456" s="5">
        <f>IFERROR(__xludf.DUMMYFUNCTION("""COMPUTED_VALUE"""),1600.0)</f>
        <v>1600</v>
      </c>
      <c r="C456" s="5">
        <f>IFERROR(__xludf.DUMMYFUNCTION("""COMPUTED_VALUE"""),1620.0)</f>
        <v>1620</v>
      </c>
      <c r="D456" s="5">
        <f>IFERROR(__xludf.DUMMYFUNCTION("""COMPUTED_VALUE"""),1595.0)</f>
        <v>1595</v>
      </c>
      <c r="E456" s="5">
        <f>IFERROR(__xludf.DUMMYFUNCTION("""COMPUTED_VALUE"""),1600.0)</f>
        <v>1600</v>
      </c>
      <c r="F456" s="5">
        <f>IFERROR(__xludf.DUMMYFUNCTION("""COMPUTED_VALUE"""),1.3227E7)</f>
        <v>13227000</v>
      </c>
      <c r="G456" s="5">
        <f t="shared" si="1"/>
        <v>25</v>
      </c>
    </row>
    <row r="457">
      <c r="A457" s="4">
        <f>IFERROR(__xludf.DUMMYFUNCTION("""COMPUTED_VALUE"""),44515.625)</f>
        <v>44515.625</v>
      </c>
      <c r="B457" s="5">
        <f>IFERROR(__xludf.DUMMYFUNCTION("""COMPUTED_VALUE"""),1600.0)</f>
        <v>1600</v>
      </c>
      <c r="C457" s="5">
        <f>IFERROR(__xludf.DUMMYFUNCTION("""COMPUTED_VALUE"""),1615.0)</f>
        <v>1615</v>
      </c>
      <c r="D457" s="5">
        <f>IFERROR(__xludf.DUMMYFUNCTION("""COMPUTED_VALUE"""),1580.0)</f>
        <v>1580</v>
      </c>
      <c r="E457" s="5">
        <f>IFERROR(__xludf.DUMMYFUNCTION("""COMPUTED_VALUE"""),1595.0)</f>
        <v>1595</v>
      </c>
      <c r="F457" s="5">
        <f>IFERROR(__xludf.DUMMYFUNCTION("""COMPUTED_VALUE"""),1.37935E7)</f>
        <v>13793500</v>
      </c>
      <c r="G457" s="5">
        <f t="shared" si="1"/>
        <v>35</v>
      </c>
    </row>
    <row r="458">
      <c r="A458" s="4">
        <f>IFERROR(__xludf.DUMMYFUNCTION("""COMPUTED_VALUE"""),44516.625)</f>
        <v>44516.625</v>
      </c>
      <c r="B458" s="5">
        <f>IFERROR(__xludf.DUMMYFUNCTION("""COMPUTED_VALUE"""),1600.0)</f>
        <v>1600</v>
      </c>
      <c r="C458" s="5">
        <f>IFERROR(__xludf.DUMMYFUNCTION("""COMPUTED_VALUE"""),1605.0)</f>
        <v>1605</v>
      </c>
      <c r="D458" s="5">
        <f>IFERROR(__xludf.DUMMYFUNCTION("""COMPUTED_VALUE"""),1580.0)</f>
        <v>1580</v>
      </c>
      <c r="E458" s="5">
        <f>IFERROR(__xludf.DUMMYFUNCTION("""COMPUTED_VALUE"""),1585.0)</f>
        <v>1585</v>
      </c>
      <c r="F458" s="5">
        <f>IFERROR(__xludf.DUMMYFUNCTION("""COMPUTED_VALUE"""),9179200.0)</f>
        <v>9179200</v>
      </c>
      <c r="G458" s="5">
        <f t="shared" si="1"/>
        <v>25</v>
      </c>
    </row>
    <row r="459">
      <c r="A459" s="4">
        <f>IFERROR(__xludf.DUMMYFUNCTION("""COMPUTED_VALUE"""),44517.625)</f>
        <v>44517.625</v>
      </c>
      <c r="B459" s="5">
        <f>IFERROR(__xludf.DUMMYFUNCTION("""COMPUTED_VALUE"""),1590.0)</f>
        <v>1590</v>
      </c>
      <c r="C459" s="5">
        <f>IFERROR(__xludf.DUMMYFUNCTION("""COMPUTED_VALUE"""),1605.0)</f>
        <v>1605</v>
      </c>
      <c r="D459" s="5">
        <f>IFERROR(__xludf.DUMMYFUNCTION("""COMPUTED_VALUE"""),1575.0)</f>
        <v>1575</v>
      </c>
      <c r="E459" s="5">
        <f>IFERROR(__xludf.DUMMYFUNCTION("""COMPUTED_VALUE"""),1585.0)</f>
        <v>1585</v>
      </c>
      <c r="F459" s="5">
        <f>IFERROR(__xludf.DUMMYFUNCTION("""COMPUTED_VALUE"""),9065500.0)</f>
        <v>9065500</v>
      </c>
      <c r="G459" s="5">
        <f t="shared" si="1"/>
        <v>30</v>
      </c>
    </row>
    <row r="460">
      <c r="A460" s="4">
        <f>IFERROR(__xludf.DUMMYFUNCTION("""COMPUTED_VALUE"""),44518.625)</f>
        <v>44518.625</v>
      </c>
      <c r="B460" s="5">
        <f>IFERROR(__xludf.DUMMYFUNCTION("""COMPUTED_VALUE"""),1590.0)</f>
        <v>1590</v>
      </c>
      <c r="C460" s="5">
        <f>IFERROR(__xludf.DUMMYFUNCTION("""COMPUTED_VALUE"""),1615.0)</f>
        <v>1615</v>
      </c>
      <c r="D460" s="5">
        <f>IFERROR(__xludf.DUMMYFUNCTION("""COMPUTED_VALUE"""),1585.0)</f>
        <v>1585</v>
      </c>
      <c r="E460" s="5">
        <f>IFERROR(__xludf.DUMMYFUNCTION("""COMPUTED_VALUE"""),1595.0)</f>
        <v>1595</v>
      </c>
      <c r="F460" s="5">
        <f>IFERROR(__xludf.DUMMYFUNCTION("""COMPUTED_VALUE"""),1.5033E7)</f>
        <v>15033000</v>
      </c>
      <c r="G460" s="5">
        <f t="shared" si="1"/>
        <v>30</v>
      </c>
    </row>
    <row r="461">
      <c r="A461" s="4">
        <f>IFERROR(__xludf.DUMMYFUNCTION("""COMPUTED_VALUE"""),44519.625)</f>
        <v>44519.625</v>
      </c>
      <c r="B461" s="5">
        <f>IFERROR(__xludf.DUMMYFUNCTION("""COMPUTED_VALUE"""),1610.0)</f>
        <v>1610</v>
      </c>
      <c r="C461" s="5">
        <f>IFERROR(__xludf.DUMMYFUNCTION("""COMPUTED_VALUE"""),1630.0)</f>
        <v>1630</v>
      </c>
      <c r="D461" s="5">
        <f>IFERROR(__xludf.DUMMYFUNCTION("""COMPUTED_VALUE"""),1595.0)</f>
        <v>1595</v>
      </c>
      <c r="E461" s="5">
        <f>IFERROR(__xludf.DUMMYFUNCTION("""COMPUTED_VALUE"""),1625.0)</f>
        <v>1625</v>
      </c>
      <c r="F461" s="5">
        <f>IFERROR(__xludf.DUMMYFUNCTION("""COMPUTED_VALUE"""),5.16026E7)</f>
        <v>51602600</v>
      </c>
      <c r="G461" s="5">
        <f t="shared" si="1"/>
        <v>35</v>
      </c>
    </row>
    <row r="462">
      <c r="A462" s="4">
        <f>IFERROR(__xludf.DUMMYFUNCTION("""COMPUTED_VALUE"""),44522.625)</f>
        <v>44522.625</v>
      </c>
      <c r="B462" s="5">
        <f>IFERROR(__xludf.DUMMYFUNCTION("""COMPUTED_VALUE"""),1625.0)</f>
        <v>1625</v>
      </c>
      <c r="C462" s="5">
        <f>IFERROR(__xludf.DUMMYFUNCTION("""COMPUTED_VALUE"""),1630.0)</f>
        <v>1630</v>
      </c>
      <c r="D462" s="5">
        <f>IFERROR(__xludf.DUMMYFUNCTION("""COMPUTED_VALUE"""),1605.0)</f>
        <v>1605</v>
      </c>
      <c r="E462" s="5">
        <f>IFERROR(__xludf.DUMMYFUNCTION("""COMPUTED_VALUE"""),1620.0)</f>
        <v>1620</v>
      </c>
      <c r="F462" s="5">
        <f>IFERROR(__xludf.DUMMYFUNCTION("""COMPUTED_VALUE"""),2.531E7)</f>
        <v>25310000</v>
      </c>
      <c r="G462" s="5">
        <f t="shared" si="1"/>
        <v>25</v>
      </c>
    </row>
    <row r="463">
      <c r="A463" s="4">
        <f>IFERROR(__xludf.DUMMYFUNCTION("""COMPUTED_VALUE"""),44523.625)</f>
        <v>44523.625</v>
      </c>
      <c r="B463" s="5">
        <f>IFERROR(__xludf.DUMMYFUNCTION("""COMPUTED_VALUE"""),1640.0)</f>
        <v>1640</v>
      </c>
      <c r="C463" s="5">
        <f>IFERROR(__xludf.DUMMYFUNCTION("""COMPUTED_VALUE"""),1685.0)</f>
        <v>1685</v>
      </c>
      <c r="D463" s="5">
        <f>IFERROR(__xludf.DUMMYFUNCTION("""COMPUTED_VALUE"""),1625.0)</f>
        <v>1625</v>
      </c>
      <c r="E463" s="5">
        <f>IFERROR(__xludf.DUMMYFUNCTION("""COMPUTED_VALUE"""),1645.0)</f>
        <v>1645</v>
      </c>
      <c r="F463" s="5">
        <f>IFERROR(__xludf.DUMMYFUNCTION("""COMPUTED_VALUE"""),7.87225E7)</f>
        <v>78722500</v>
      </c>
      <c r="G463" s="5">
        <f t="shared" si="1"/>
        <v>65</v>
      </c>
    </row>
    <row r="464">
      <c r="A464" s="4">
        <f>IFERROR(__xludf.DUMMYFUNCTION("""COMPUTED_VALUE"""),44524.625)</f>
        <v>44524.625</v>
      </c>
      <c r="B464" s="5">
        <f>IFERROR(__xludf.DUMMYFUNCTION("""COMPUTED_VALUE"""),1655.0)</f>
        <v>1655</v>
      </c>
      <c r="C464" s="5">
        <f>IFERROR(__xludf.DUMMYFUNCTION("""COMPUTED_VALUE"""),1665.0)</f>
        <v>1665</v>
      </c>
      <c r="D464" s="5">
        <f>IFERROR(__xludf.DUMMYFUNCTION("""COMPUTED_VALUE"""),1625.0)</f>
        <v>1625</v>
      </c>
      <c r="E464" s="5">
        <f>IFERROR(__xludf.DUMMYFUNCTION("""COMPUTED_VALUE"""),1660.0)</f>
        <v>1660</v>
      </c>
      <c r="F464" s="5">
        <f>IFERROR(__xludf.DUMMYFUNCTION("""COMPUTED_VALUE"""),2.87253E7)</f>
        <v>28725300</v>
      </c>
      <c r="G464" s="5">
        <f t="shared" si="1"/>
        <v>40</v>
      </c>
    </row>
    <row r="465">
      <c r="A465" s="4">
        <f>IFERROR(__xludf.DUMMYFUNCTION("""COMPUTED_VALUE"""),44525.625)</f>
        <v>44525.625</v>
      </c>
      <c r="B465" s="5">
        <f>IFERROR(__xludf.DUMMYFUNCTION("""COMPUTED_VALUE"""),1700.0)</f>
        <v>1700</v>
      </c>
      <c r="C465" s="5">
        <f>IFERROR(__xludf.DUMMYFUNCTION("""COMPUTED_VALUE"""),1705.0)</f>
        <v>1705</v>
      </c>
      <c r="D465" s="5">
        <f>IFERROR(__xludf.DUMMYFUNCTION("""COMPUTED_VALUE"""),1670.0)</f>
        <v>1670</v>
      </c>
      <c r="E465" s="5">
        <f>IFERROR(__xludf.DUMMYFUNCTION("""COMPUTED_VALUE"""),1680.0)</f>
        <v>1680</v>
      </c>
      <c r="F465" s="5">
        <f>IFERROR(__xludf.DUMMYFUNCTION("""COMPUTED_VALUE"""),6.428E7)</f>
        <v>64280000</v>
      </c>
      <c r="G465" s="5">
        <f t="shared" si="1"/>
        <v>45</v>
      </c>
    </row>
    <row r="466">
      <c r="A466" s="4">
        <f>IFERROR(__xludf.DUMMYFUNCTION("""COMPUTED_VALUE"""),44526.625)</f>
        <v>44526.625</v>
      </c>
      <c r="B466" s="5">
        <f>IFERROR(__xludf.DUMMYFUNCTION("""COMPUTED_VALUE"""),1655.0)</f>
        <v>1655</v>
      </c>
      <c r="C466" s="5">
        <f>IFERROR(__xludf.DUMMYFUNCTION("""COMPUTED_VALUE"""),1670.0)</f>
        <v>1670</v>
      </c>
      <c r="D466" s="5">
        <f>IFERROR(__xludf.DUMMYFUNCTION("""COMPUTED_VALUE"""),1590.0)</f>
        <v>1590</v>
      </c>
      <c r="E466" s="5">
        <f>IFERROR(__xludf.DUMMYFUNCTION("""COMPUTED_VALUE"""),1600.0)</f>
        <v>1600</v>
      </c>
      <c r="F466" s="5">
        <f>IFERROR(__xludf.DUMMYFUNCTION("""COMPUTED_VALUE"""),5.51261E7)</f>
        <v>55126100</v>
      </c>
      <c r="G466" s="5">
        <f t="shared" si="1"/>
        <v>90</v>
      </c>
    </row>
    <row r="467">
      <c r="A467" s="4">
        <f>IFERROR(__xludf.DUMMYFUNCTION("""COMPUTED_VALUE"""),44529.625)</f>
        <v>44529.625</v>
      </c>
      <c r="B467" s="5">
        <f>IFERROR(__xludf.DUMMYFUNCTION("""COMPUTED_VALUE"""),1575.0)</f>
        <v>1575</v>
      </c>
      <c r="C467" s="5">
        <f>IFERROR(__xludf.DUMMYFUNCTION("""COMPUTED_VALUE"""),1595.0)</f>
        <v>1595</v>
      </c>
      <c r="D467" s="5">
        <f>IFERROR(__xludf.DUMMYFUNCTION("""COMPUTED_VALUE"""),1540.0)</f>
        <v>1540</v>
      </c>
      <c r="E467" s="5">
        <f>IFERROR(__xludf.DUMMYFUNCTION("""COMPUTED_VALUE"""),1585.0)</f>
        <v>1585</v>
      </c>
      <c r="F467" s="5">
        <f>IFERROR(__xludf.DUMMYFUNCTION("""COMPUTED_VALUE"""),3.32341E7)</f>
        <v>33234100</v>
      </c>
      <c r="G467" s="5">
        <f t="shared" si="1"/>
        <v>60</v>
      </c>
    </row>
    <row r="468">
      <c r="A468" s="4">
        <f>IFERROR(__xludf.DUMMYFUNCTION("""COMPUTED_VALUE"""),44530.625)</f>
        <v>44530.625</v>
      </c>
      <c r="B468" s="5">
        <f>IFERROR(__xludf.DUMMYFUNCTION("""COMPUTED_VALUE"""),1590.0)</f>
        <v>1590</v>
      </c>
      <c r="C468" s="5">
        <f>IFERROR(__xludf.DUMMYFUNCTION("""COMPUTED_VALUE"""),1615.0)</f>
        <v>1615</v>
      </c>
      <c r="D468" s="5">
        <f>IFERROR(__xludf.DUMMYFUNCTION("""COMPUTED_VALUE"""),1555.0)</f>
        <v>1555</v>
      </c>
      <c r="E468" s="5">
        <f>IFERROR(__xludf.DUMMYFUNCTION("""COMPUTED_VALUE"""),1580.0)</f>
        <v>1580</v>
      </c>
      <c r="F468" s="5">
        <f>IFERROR(__xludf.DUMMYFUNCTION("""COMPUTED_VALUE"""),2.79543E7)</f>
        <v>27954300</v>
      </c>
      <c r="G468" s="5">
        <f t="shared" si="1"/>
        <v>60</v>
      </c>
    </row>
    <row r="469">
      <c r="A469" s="4">
        <f>IFERROR(__xludf.DUMMYFUNCTION("""COMPUTED_VALUE"""),44531.66666666667)</f>
        <v>44531.66667</v>
      </c>
      <c r="B469" s="5">
        <f>IFERROR(__xludf.DUMMYFUNCTION("""COMPUTED_VALUE"""),1580.0)</f>
        <v>1580</v>
      </c>
      <c r="C469" s="5">
        <f>IFERROR(__xludf.DUMMYFUNCTION("""COMPUTED_VALUE"""),1585.0)</f>
        <v>1585</v>
      </c>
      <c r="D469" s="5">
        <f>IFERROR(__xludf.DUMMYFUNCTION("""COMPUTED_VALUE"""),1540.0)</f>
        <v>1540</v>
      </c>
      <c r="E469" s="5">
        <f>IFERROR(__xludf.DUMMYFUNCTION("""COMPUTED_VALUE"""),1545.0)</f>
        <v>1545</v>
      </c>
      <c r="F469" s="5">
        <f>IFERROR(__xludf.DUMMYFUNCTION("""COMPUTED_VALUE"""),1.8405E7)</f>
        <v>18405000</v>
      </c>
      <c r="G469" s="5">
        <f t="shared" si="1"/>
        <v>45</v>
      </c>
    </row>
    <row r="470">
      <c r="A470" s="4">
        <f>IFERROR(__xludf.DUMMYFUNCTION("""COMPUTED_VALUE"""),44532.66666666667)</f>
        <v>44532.66667</v>
      </c>
      <c r="B470" s="5">
        <f>IFERROR(__xludf.DUMMYFUNCTION("""COMPUTED_VALUE"""),1540.0)</f>
        <v>1540</v>
      </c>
      <c r="C470" s="5">
        <f>IFERROR(__xludf.DUMMYFUNCTION("""COMPUTED_VALUE"""),1585.0)</f>
        <v>1585</v>
      </c>
      <c r="D470" s="5">
        <f>IFERROR(__xludf.DUMMYFUNCTION("""COMPUTED_VALUE"""),1530.0)</f>
        <v>1530</v>
      </c>
      <c r="E470" s="5">
        <f>IFERROR(__xludf.DUMMYFUNCTION("""COMPUTED_VALUE"""),1580.0)</f>
        <v>1580</v>
      </c>
      <c r="F470" s="5">
        <f>IFERROR(__xludf.DUMMYFUNCTION("""COMPUTED_VALUE"""),1.32356E7)</f>
        <v>13235600</v>
      </c>
      <c r="G470" s="5">
        <f t="shared" si="1"/>
        <v>55</v>
      </c>
    </row>
    <row r="471">
      <c r="A471" s="4">
        <f>IFERROR(__xludf.DUMMYFUNCTION("""COMPUTED_VALUE"""),44533.66666666667)</f>
        <v>44533.66667</v>
      </c>
      <c r="B471" s="5">
        <f>IFERROR(__xludf.DUMMYFUNCTION("""COMPUTED_VALUE"""),1580.0)</f>
        <v>1580</v>
      </c>
      <c r="C471" s="5">
        <f>IFERROR(__xludf.DUMMYFUNCTION("""COMPUTED_VALUE"""),1605.0)</f>
        <v>1605</v>
      </c>
      <c r="D471" s="5">
        <f>IFERROR(__xludf.DUMMYFUNCTION("""COMPUTED_VALUE"""),1570.0)</f>
        <v>1570</v>
      </c>
      <c r="E471" s="5">
        <f>IFERROR(__xludf.DUMMYFUNCTION("""COMPUTED_VALUE"""),1595.0)</f>
        <v>1595</v>
      </c>
      <c r="F471" s="5">
        <f>IFERROR(__xludf.DUMMYFUNCTION("""COMPUTED_VALUE"""),1.50516E7)</f>
        <v>15051600</v>
      </c>
      <c r="G471" s="5">
        <f t="shared" si="1"/>
        <v>35</v>
      </c>
    </row>
    <row r="472">
      <c r="A472" s="4">
        <f>IFERROR(__xludf.DUMMYFUNCTION("""COMPUTED_VALUE"""),44536.66666666667)</f>
        <v>44536.66667</v>
      </c>
      <c r="B472" s="5">
        <f>IFERROR(__xludf.DUMMYFUNCTION("""COMPUTED_VALUE"""),1595.0)</f>
        <v>1595</v>
      </c>
      <c r="C472" s="5">
        <f>IFERROR(__xludf.DUMMYFUNCTION("""COMPUTED_VALUE"""),1600.0)</f>
        <v>1600</v>
      </c>
      <c r="D472" s="5">
        <f>IFERROR(__xludf.DUMMYFUNCTION("""COMPUTED_VALUE"""),1550.0)</f>
        <v>1550</v>
      </c>
      <c r="E472" s="5">
        <f>IFERROR(__xludf.DUMMYFUNCTION("""COMPUTED_VALUE"""),1555.0)</f>
        <v>1555</v>
      </c>
      <c r="F472" s="5">
        <f>IFERROR(__xludf.DUMMYFUNCTION("""COMPUTED_VALUE"""),1.21203E7)</f>
        <v>12120300</v>
      </c>
      <c r="G472" s="5">
        <f t="shared" si="1"/>
        <v>50</v>
      </c>
    </row>
    <row r="473">
      <c r="A473" s="4">
        <f>IFERROR(__xludf.DUMMYFUNCTION("""COMPUTED_VALUE"""),44537.66666666667)</f>
        <v>44537.66667</v>
      </c>
      <c r="B473" s="5">
        <f>IFERROR(__xludf.DUMMYFUNCTION("""COMPUTED_VALUE"""),1560.0)</f>
        <v>1560</v>
      </c>
      <c r="C473" s="5">
        <f>IFERROR(__xludf.DUMMYFUNCTION("""COMPUTED_VALUE"""),1570.0)</f>
        <v>1570</v>
      </c>
      <c r="D473" s="5">
        <f>IFERROR(__xludf.DUMMYFUNCTION("""COMPUTED_VALUE"""),1550.0)</f>
        <v>1550</v>
      </c>
      <c r="E473" s="5">
        <f>IFERROR(__xludf.DUMMYFUNCTION("""COMPUTED_VALUE"""),1550.0)</f>
        <v>1550</v>
      </c>
      <c r="F473" s="5">
        <f>IFERROR(__xludf.DUMMYFUNCTION("""COMPUTED_VALUE"""),8925200.0)</f>
        <v>8925200</v>
      </c>
      <c r="G473" s="5">
        <f t="shared" si="1"/>
        <v>20</v>
      </c>
    </row>
    <row r="474">
      <c r="A474" s="4">
        <f>IFERROR(__xludf.DUMMYFUNCTION("""COMPUTED_VALUE"""),44538.66666666667)</f>
        <v>44538.66667</v>
      </c>
      <c r="B474" s="5">
        <f>IFERROR(__xludf.DUMMYFUNCTION("""COMPUTED_VALUE"""),1560.0)</f>
        <v>1560</v>
      </c>
      <c r="C474" s="5">
        <f>IFERROR(__xludf.DUMMYFUNCTION("""COMPUTED_VALUE"""),1570.0)</f>
        <v>1570</v>
      </c>
      <c r="D474" s="5">
        <f>IFERROR(__xludf.DUMMYFUNCTION("""COMPUTED_VALUE"""),1535.0)</f>
        <v>1535</v>
      </c>
      <c r="E474" s="5">
        <f>IFERROR(__xludf.DUMMYFUNCTION("""COMPUTED_VALUE"""),1540.0)</f>
        <v>1540</v>
      </c>
      <c r="F474" s="5">
        <f>IFERROR(__xludf.DUMMYFUNCTION("""COMPUTED_VALUE"""),1.20259E7)</f>
        <v>12025900</v>
      </c>
      <c r="G474" s="5">
        <f t="shared" si="1"/>
        <v>35</v>
      </c>
    </row>
    <row r="475">
      <c r="A475" s="4">
        <f>IFERROR(__xludf.DUMMYFUNCTION("""COMPUTED_VALUE"""),44539.66666666667)</f>
        <v>44539.66667</v>
      </c>
      <c r="B475" s="5">
        <f>IFERROR(__xludf.DUMMYFUNCTION("""COMPUTED_VALUE"""),1550.0)</f>
        <v>1550</v>
      </c>
      <c r="C475" s="5">
        <f>IFERROR(__xludf.DUMMYFUNCTION("""COMPUTED_VALUE"""),1565.0)</f>
        <v>1565</v>
      </c>
      <c r="D475" s="5">
        <f>IFERROR(__xludf.DUMMYFUNCTION("""COMPUTED_VALUE"""),1545.0)</f>
        <v>1545</v>
      </c>
      <c r="E475" s="5">
        <f>IFERROR(__xludf.DUMMYFUNCTION("""COMPUTED_VALUE"""),1565.0)</f>
        <v>1565</v>
      </c>
      <c r="F475" s="5">
        <f>IFERROR(__xludf.DUMMYFUNCTION("""COMPUTED_VALUE"""),9995700.0)</f>
        <v>9995700</v>
      </c>
      <c r="G475" s="5">
        <f t="shared" si="1"/>
        <v>25</v>
      </c>
    </row>
    <row r="476">
      <c r="A476" s="4">
        <f>IFERROR(__xludf.DUMMYFUNCTION("""COMPUTED_VALUE"""),44540.66666666667)</f>
        <v>44540.66667</v>
      </c>
      <c r="B476" s="5">
        <f>IFERROR(__xludf.DUMMYFUNCTION("""COMPUTED_VALUE"""),1570.0)</f>
        <v>1570</v>
      </c>
      <c r="C476" s="5">
        <f>IFERROR(__xludf.DUMMYFUNCTION("""COMPUTED_VALUE"""),1570.0)</f>
        <v>1570</v>
      </c>
      <c r="D476" s="5">
        <f>IFERROR(__xludf.DUMMYFUNCTION("""COMPUTED_VALUE"""),1550.0)</f>
        <v>1550</v>
      </c>
      <c r="E476" s="5">
        <f>IFERROR(__xludf.DUMMYFUNCTION("""COMPUTED_VALUE"""),1555.0)</f>
        <v>1555</v>
      </c>
      <c r="F476" s="5">
        <f>IFERROR(__xludf.DUMMYFUNCTION("""COMPUTED_VALUE"""),4490700.0)</f>
        <v>4490700</v>
      </c>
      <c r="G476" s="5">
        <f t="shared" si="1"/>
        <v>20</v>
      </c>
    </row>
    <row r="477">
      <c r="A477" s="4">
        <f>IFERROR(__xludf.DUMMYFUNCTION("""COMPUTED_VALUE"""),44543.66666666667)</f>
        <v>44543.66667</v>
      </c>
      <c r="B477" s="5">
        <f>IFERROR(__xludf.DUMMYFUNCTION("""COMPUTED_VALUE"""),1555.0)</f>
        <v>1555</v>
      </c>
      <c r="C477" s="5">
        <f>IFERROR(__xludf.DUMMYFUNCTION("""COMPUTED_VALUE"""),1570.0)</f>
        <v>1570</v>
      </c>
      <c r="D477" s="5">
        <f>IFERROR(__xludf.DUMMYFUNCTION("""COMPUTED_VALUE"""),1555.0)</f>
        <v>1555</v>
      </c>
      <c r="E477" s="5">
        <f>IFERROR(__xludf.DUMMYFUNCTION("""COMPUTED_VALUE"""),1565.0)</f>
        <v>1565</v>
      </c>
      <c r="F477" s="5">
        <f>IFERROR(__xludf.DUMMYFUNCTION("""COMPUTED_VALUE"""),7718700.0)</f>
        <v>7718700</v>
      </c>
      <c r="G477" s="5">
        <f t="shared" si="1"/>
        <v>15</v>
      </c>
    </row>
    <row r="478">
      <c r="A478" s="4">
        <f>IFERROR(__xludf.DUMMYFUNCTION("""COMPUTED_VALUE"""),44544.66666666667)</f>
        <v>44544.66667</v>
      </c>
      <c r="B478" s="5">
        <f>IFERROR(__xludf.DUMMYFUNCTION("""COMPUTED_VALUE"""),1565.0)</f>
        <v>1565</v>
      </c>
      <c r="C478" s="5">
        <f>IFERROR(__xludf.DUMMYFUNCTION("""COMPUTED_VALUE"""),1565.0)</f>
        <v>1565</v>
      </c>
      <c r="D478" s="5">
        <f>IFERROR(__xludf.DUMMYFUNCTION("""COMPUTED_VALUE"""),1540.0)</f>
        <v>1540</v>
      </c>
      <c r="E478" s="5">
        <f>IFERROR(__xludf.DUMMYFUNCTION("""COMPUTED_VALUE"""),1540.0)</f>
        <v>1540</v>
      </c>
      <c r="F478" s="5">
        <f>IFERROR(__xludf.DUMMYFUNCTION("""COMPUTED_VALUE"""),1.02895E7)</f>
        <v>10289500</v>
      </c>
      <c r="G478" s="5">
        <f t="shared" si="1"/>
        <v>25</v>
      </c>
    </row>
    <row r="479">
      <c r="A479" s="4">
        <f>IFERROR(__xludf.DUMMYFUNCTION("""COMPUTED_VALUE"""),44545.66666666667)</f>
        <v>44545.66667</v>
      </c>
      <c r="B479" s="5">
        <f>IFERROR(__xludf.DUMMYFUNCTION("""COMPUTED_VALUE"""),1545.0)</f>
        <v>1545</v>
      </c>
      <c r="C479" s="5">
        <f>IFERROR(__xludf.DUMMYFUNCTION("""COMPUTED_VALUE"""),1555.0)</f>
        <v>1555</v>
      </c>
      <c r="D479" s="5">
        <f>IFERROR(__xludf.DUMMYFUNCTION("""COMPUTED_VALUE"""),1500.0)</f>
        <v>1500</v>
      </c>
      <c r="E479" s="5">
        <f>IFERROR(__xludf.DUMMYFUNCTION("""COMPUTED_VALUE"""),1505.0)</f>
        <v>1505</v>
      </c>
      <c r="F479" s="5">
        <f>IFERROR(__xludf.DUMMYFUNCTION("""COMPUTED_VALUE"""),1.72105E7)</f>
        <v>17210500</v>
      </c>
      <c r="G479" s="5">
        <f t="shared" si="1"/>
        <v>55</v>
      </c>
    </row>
    <row r="480">
      <c r="A480" s="4">
        <f>IFERROR(__xludf.DUMMYFUNCTION("""COMPUTED_VALUE"""),44546.66666666667)</f>
        <v>44546.66667</v>
      </c>
      <c r="B480" s="5">
        <f>IFERROR(__xludf.DUMMYFUNCTION("""COMPUTED_VALUE"""),1510.0)</f>
        <v>1510</v>
      </c>
      <c r="C480" s="5">
        <f>IFERROR(__xludf.DUMMYFUNCTION("""COMPUTED_VALUE"""),1515.0)</f>
        <v>1515</v>
      </c>
      <c r="D480" s="5">
        <f>IFERROR(__xludf.DUMMYFUNCTION("""COMPUTED_VALUE"""),1480.0)</f>
        <v>1480</v>
      </c>
      <c r="E480" s="5">
        <f>IFERROR(__xludf.DUMMYFUNCTION("""COMPUTED_VALUE"""),1490.0)</f>
        <v>1490</v>
      </c>
      <c r="F480" s="5">
        <f>IFERROR(__xludf.DUMMYFUNCTION("""COMPUTED_VALUE"""),1.70046E7)</f>
        <v>17004600</v>
      </c>
      <c r="G480" s="5">
        <f t="shared" si="1"/>
        <v>35</v>
      </c>
    </row>
    <row r="481">
      <c r="A481" s="4">
        <f>IFERROR(__xludf.DUMMYFUNCTION("""COMPUTED_VALUE"""),44547.66666666667)</f>
        <v>44547.66667</v>
      </c>
      <c r="B481" s="5">
        <f>IFERROR(__xludf.DUMMYFUNCTION("""COMPUTED_VALUE"""),1510.0)</f>
        <v>1510</v>
      </c>
      <c r="C481" s="5">
        <f>IFERROR(__xludf.DUMMYFUNCTION("""COMPUTED_VALUE"""),1510.0)</f>
        <v>1510</v>
      </c>
      <c r="D481" s="5">
        <f>IFERROR(__xludf.DUMMYFUNCTION("""COMPUTED_VALUE"""),1480.0)</f>
        <v>1480</v>
      </c>
      <c r="E481" s="5">
        <f>IFERROR(__xludf.DUMMYFUNCTION("""COMPUTED_VALUE"""),1490.0)</f>
        <v>1490</v>
      </c>
      <c r="F481" s="5">
        <f>IFERROR(__xludf.DUMMYFUNCTION("""COMPUTED_VALUE"""),1.14363E7)</f>
        <v>11436300</v>
      </c>
      <c r="G481" s="5">
        <f t="shared" si="1"/>
        <v>30</v>
      </c>
    </row>
    <row r="482">
      <c r="A482" s="4">
        <f>IFERROR(__xludf.DUMMYFUNCTION("""COMPUTED_VALUE"""),44550.66666666667)</f>
        <v>44550.66667</v>
      </c>
      <c r="B482" s="5">
        <f>IFERROR(__xludf.DUMMYFUNCTION("""COMPUTED_VALUE"""),1475.0)</f>
        <v>1475</v>
      </c>
      <c r="C482" s="5">
        <f>IFERROR(__xludf.DUMMYFUNCTION("""COMPUTED_VALUE"""),1505.0)</f>
        <v>1505</v>
      </c>
      <c r="D482" s="5">
        <f>IFERROR(__xludf.DUMMYFUNCTION("""COMPUTED_VALUE"""),1465.0)</f>
        <v>1465</v>
      </c>
      <c r="E482" s="5">
        <f>IFERROR(__xludf.DUMMYFUNCTION("""COMPUTED_VALUE"""),1480.0)</f>
        <v>1480</v>
      </c>
      <c r="F482" s="5">
        <f>IFERROR(__xludf.DUMMYFUNCTION("""COMPUTED_VALUE"""),1.43209E7)</f>
        <v>14320900</v>
      </c>
      <c r="G482" s="5">
        <f t="shared" si="1"/>
        <v>40</v>
      </c>
    </row>
    <row r="483">
      <c r="A483" s="4">
        <f>IFERROR(__xludf.DUMMYFUNCTION("""COMPUTED_VALUE"""),44551.66666666667)</f>
        <v>44551.66667</v>
      </c>
      <c r="B483" s="5">
        <f>IFERROR(__xludf.DUMMYFUNCTION("""COMPUTED_VALUE"""),1480.0)</f>
        <v>1480</v>
      </c>
      <c r="C483" s="5">
        <f>IFERROR(__xludf.DUMMYFUNCTION("""COMPUTED_VALUE"""),1510.0)</f>
        <v>1510</v>
      </c>
      <c r="D483" s="5">
        <f>IFERROR(__xludf.DUMMYFUNCTION("""COMPUTED_VALUE"""),1470.0)</f>
        <v>1470</v>
      </c>
      <c r="E483" s="5">
        <f>IFERROR(__xludf.DUMMYFUNCTION("""COMPUTED_VALUE"""),1500.0)</f>
        <v>1500</v>
      </c>
      <c r="F483" s="5">
        <f>IFERROR(__xludf.DUMMYFUNCTION("""COMPUTED_VALUE"""),1.03628E7)</f>
        <v>10362800</v>
      </c>
      <c r="G483" s="5">
        <f t="shared" si="1"/>
        <v>40</v>
      </c>
    </row>
    <row r="484">
      <c r="A484" s="4">
        <f>IFERROR(__xludf.DUMMYFUNCTION("""COMPUTED_VALUE"""),44552.66666666667)</f>
        <v>44552.66667</v>
      </c>
      <c r="B484" s="5">
        <f>IFERROR(__xludf.DUMMYFUNCTION("""COMPUTED_VALUE"""),1510.0)</f>
        <v>1510</v>
      </c>
      <c r="C484" s="5">
        <f>IFERROR(__xludf.DUMMYFUNCTION("""COMPUTED_VALUE"""),1515.0)</f>
        <v>1515</v>
      </c>
      <c r="D484" s="5">
        <f>IFERROR(__xludf.DUMMYFUNCTION("""COMPUTED_VALUE"""),1480.0)</f>
        <v>1480</v>
      </c>
      <c r="E484" s="5">
        <f>IFERROR(__xludf.DUMMYFUNCTION("""COMPUTED_VALUE"""),1485.0)</f>
        <v>1485</v>
      </c>
      <c r="F484" s="5">
        <f>IFERROR(__xludf.DUMMYFUNCTION("""COMPUTED_VALUE"""),4918300.0)</f>
        <v>4918300</v>
      </c>
      <c r="G484" s="5">
        <f t="shared" si="1"/>
        <v>35</v>
      </c>
    </row>
    <row r="485">
      <c r="A485" s="4">
        <f>IFERROR(__xludf.DUMMYFUNCTION("""COMPUTED_VALUE"""),44553.66666666667)</f>
        <v>44553.66667</v>
      </c>
      <c r="B485" s="5">
        <f>IFERROR(__xludf.DUMMYFUNCTION("""COMPUTED_VALUE"""),1485.0)</f>
        <v>1485</v>
      </c>
      <c r="C485" s="5">
        <f>IFERROR(__xludf.DUMMYFUNCTION("""COMPUTED_VALUE"""),1490.0)</f>
        <v>1490</v>
      </c>
      <c r="D485" s="5">
        <f>IFERROR(__xludf.DUMMYFUNCTION("""COMPUTED_VALUE"""),1470.0)</f>
        <v>1470</v>
      </c>
      <c r="E485" s="5">
        <f>IFERROR(__xludf.DUMMYFUNCTION("""COMPUTED_VALUE"""),1475.0)</f>
        <v>1475</v>
      </c>
      <c r="F485" s="5">
        <f>IFERROR(__xludf.DUMMYFUNCTION("""COMPUTED_VALUE"""),6665500.0)</f>
        <v>6665500</v>
      </c>
      <c r="G485" s="5">
        <f t="shared" si="1"/>
        <v>20</v>
      </c>
    </row>
    <row r="486">
      <c r="A486" s="4">
        <f>IFERROR(__xludf.DUMMYFUNCTION("""COMPUTED_VALUE"""),44554.66666666667)</f>
        <v>44554.66667</v>
      </c>
      <c r="B486" s="5">
        <f>IFERROR(__xludf.DUMMYFUNCTION("""COMPUTED_VALUE"""),1480.0)</f>
        <v>1480</v>
      </c>
      <c r="C486" s="5">
        <f>IFERROR(__xludf.DUMMYFUNCTION("""COMPUTED_VALUE"""),1490.0)</f>
        <v>1490</v>
      </c>
      <c r="D486" s="5">
        <f>IFERROR(__xludf.DUMMYFUNCTION("""COMPUTED_VALUE"""),1465.0)</f>
        <v>1465</v>
      </c>
      <c r="E486" s="5">
        <f>IFERROR(__xludf.DUMMYFUNCTION("""COMPUTED_VALUE"""),1470.0)</f>
        <v>1470</v>
      </c>
      <c r="F486" s="5">
        <f>IFERROR(__xludf.DUMMYFUNCTION("""COMPUTED_VALUE"""),9160600.0)</f>
        <v>9160600</v>
      </c>
      <c r="G486" s="5">
        <f t="shared" si="1"/>
        <v>25</v>
      </c>
    </row>
    <row r="487">
      <c r="A487" s="4">
        <f>IFERROR(__xludf.DUMMYFUNCTION("""COMPUTED_VALUE"""),44557.66666666667)</f>
        <v>44557.66667</v>
      </c>
      <c r="B487" s="5">
        <f>IFERROR(__xludf.DUMMYFUNCTION("""COMPUTED_VALUE"""),1475.0)</f>
        <v>1475</v>
      </c>
      <c r="C487" s="5">
        <f>IFERROR(__xludf.DUMMYFUNCTION("""COMPUTED_VALUE"""),1490.0)</f>
        <v>1490</v>
      </c>
      <c r="D487" s="5">
        <f>IFERROR(__xludf.DUMMYFUNCTION("""COMPUTED_VALUE"""),1465.0)</f>
        <v>1465</v>
      </c>
      <c r="E487" s="5">
        <f>IFERROR(__xludf.DUMMYFUNCTION("""COMPUTED_VALUE"""),1480.0)</f>
        <v>1480</v>
      </c>
      <c r="F487" s="5">
        <f>IFERROR(__xludf.DUMMYFUNCTION("""COMPUTED_VALUE"""),6482000.0)</f>
        <v>6482000</v>
      </c>
      <c r="G487" s="5">
        <f t="shared" si="1"/>
        <v>25</v>
      </c>
    </row>
    <row r="488">
      <c r="A488" s="4">
        <f>IFERROR(__xludf.DUMMYFUNCTION("""COMPUTED_VALUE"""),44558.66666666667)</f>
        <v>44558.66667</v>
      </c>
      <c r="B488" s="5">
        <f>IFERROR(__xludf.DUMMYFUNCTION("""COMPUTED_VALUE"""),1500.0)</f>
        <v>1500</v>
      </c>
      <c r="C488" s="5">
        <f>IFERROR(__xludf.DUMMYFUNCTION("""COMPUTED_VALUE"""),1510.0)</f>
        <v>1510</v>
      </c>
      <c r="D488" s="5">
        <f>IFERROR(__xludf.DUMMYFUNCTION("""COMPUTED_VALUE"""),1480.0)</f>
        <v>1480</v>
      </c>
      <c r="E488" s="5">
        <f>IFERROR(__xludf.DUMMYFUNCTION("""COMPUTED_VALUE"""),1480.0)</f>
        <v>1480</v>
      </c>
      <c r="F488" s="5">
        <f>IFERROR(__xludf.DUMMYFUNCTION("""COMPUTED_VALUE"""),8904400.0)</f>
        <v>8904400</v>
      </c>
      <c r="G488" s="5">
        <f t="shared" si="1"/>
        <v>30</v>
      </c>
    </row>
    <row r="489">
      <c r="A489" s="4">
        <f>IFERROR(__xludf.DUMMYFUNCTION("""COMPUTED_VALUE"""),44559.66666666667)</f>
        <v>44559.66667</v>
      </c>
      <c r="B489" s="5">
        <f>IFERROR(__xludf.DUMMYFUNCTION("""COMPUTED_VALUE"""),1480.0)</f>
        <v>1480</v>
      </c>
      <c r="C489" s="5">
        <f>IFERROR(__xludf.DUMMYFUNCTION("""COMPUTED_VALUE"""),1490.0)</f>
        <v>1490</v>
      </c>
      <c r="D489" s="5">
        <f>IFERROR(__xludf.DUMMYFUNCTION("""COMPUTED_VALUE"""),1465.0)</f>
        <v>1465</v>
      </c>
      <c r="E489" s="5">
        <f>IFERROR(__xludf.DUMMYFUNCTION("""COMPUTED_VALUE"""),1475.0)</f>
        <v>1475</v>
      </c>
      <c r="F489" s="5">
        <f>IFERROR(__xludf.DUMMYFUNCTION("""COMPUTED_VALUE"""),8648100.0)</f>
        <v>8648100</v>
      </c>
      <c r="G489" s="5">
        <f t="shared" si="1"/>
        <v>25</v>
      </c>
    </row>
    <row r="490">
      <c r="A490" s="4">
        <f>IFERROR(__xludf.DUMMYFUNCTION("""COMPUTED_VALUE"""),44560.66666666667)</f>
        <v>44560.66667</v>
      </c>
      <c r="B490" s="5">
        <f>IFERROR(__xludf.DUMMYFUNCTION("""COMPUTED_VALUE"""),1480.0)</f>
        <v>1480</v>
      </c>
      <c r="C490" s="5">
        <f>IFERROR(__xludf.DUMMYFUNCTION("""COMPUTED_VALUE"""),1490.0)</f>
        <v>1490</v>
      </c>
      <c r="D490" s="5">
        <f>IFERROR(__xludf.DUMMYFUNCTION("""COMPUTED_VALUE"""),1455.0)</f>
        <v>1455</v>
      </c>
      <c r="E490" s="5">
        <f>IFERROR(__xludf.DUMMYFUNCTION("""COMPUTED_VALUE"""),1455.0)</f>
        <v>1455</v>
      </c>
      <c r="F490" s="5">
        <f>IFERROR(__xludf.DUMMYFUNCTION("""COMPUTED_VALUE"""),1.0009E7)</f>
        <v>10009000</v>
      </c>
      <c r="G490" s="5">
        <f t="shared" si="1"/>
        <v>35</v>
      </c>
    </row>
    <row r="491">
      <c r="A491" s="4">
        <f>IFERROR(__xludf.DUMMYFUNCTION("""COMPUTED_VALUE"""),44564.66666666667)</f>
        <v>44564.66667</v>
      </c>
      <c r="B491" s="5">
        <f>IFERROR(__xludf.DUMMYFUNCTION("""COMPUTED_VALUE"""),1460.0)</f>
        <v>1460</v>
      </c>
      <c r="C491" s="5">
        <f>IFERROR(__xludf.DUMMYFUNCTION("""COMPUTED_VALUE"""),1495.0)</f>
        <v>1495</v>
      </c>
      <c r="D491" s="5">
        <f>IFERROR(__xludf.DUMMYFUNCTION("""COMPUTED_VALUE"""),1455.0)</f>
        <v>1455</v>
      </c>
      <c r="E491" s="5">
        <f>IFERROR(__xludf.DUMMYFUNCTION("""COMPUTED_VALUE"""),1470.0)</f>
        <v>1470</v>
      </c>
      <c r="F491" s="5">
        <f>IFERROR(__xludf.DUMMYFUNCTION("""COMPUTED_VALUE"""),2.23636E7)</f>
        <v>22363600</v>
      </c>
      <c r="G491" s="5">
        <f t="shared" si="1"/>
        <v>40</v>
      </c>
    </row>
    <row r="492">
      <c r="A492" s="4">
        <f>IFERROR(__xludf.DUMMYFUNCTION("""COMPUTED_VALUE"""),44565.66666666667)</f>
        <v>44565.66667</v>
      </c>
      <c r="B492" s="5">
        <f>IFERROR(__xludf.DUMMYFUNCTION("""COMPUTED_VALUE"""),1475.0)</f>
        <v>1475</v>
      </c>
      <c r="C492" s="5">
        <f>IFERROR(__xludf.DUMMYFUNCTION("""COMPUTED_VALUE"""),1485.0)</f>
        <v>1485</v>
      </c>
      <c r="D492" s="5">
        <f>IFERROR(__xludf.DUMMYFUNCTION("""COMPUTED_VALUE"""),1460.0)</f>
        <v>1460</v>
      </c>
      <c r="E492" s="5">
        <f>IFERROR(__xludf.DUMMYFUNCTION("""COMPUTED_VALUE"""),1460.0)</f>
        <v>1460</v>
      </c>
      <c r="F492" s="5">
        <f>IFERROR(__xludf.DUMMYFUNCTION("""COMPUTED_VALUE"""),1.01807E7)</f>
        <v>10180700</v>
      </c>
      <c r="G492" s="5">
        <f t="shared" si="1"/>
        <v>25</v>
      </c>
    </row>
    <row r="493">
      <c r="A493" s="4">
        <f>IFERROR(__xludf.DUMMYFUNCTION("""COMPUTED_VALUE"""),44566.66666666667)</f>
        <v>44566.66667</v>
      </c>
      <c r="B493" s="5">
        <f>IFERROR(__xludf.DUMMYFUNCTION("""COMPUTED_VALUE"""),1460.0)</f>
        <v>1460</v>
      </c>
      <c r="C493" s="5">
        <f>IFERROR(__xludf.DUMMYFUNCTION("""COMPUTED_VALUE"""),1470.0)</f>
        <v>1470</v>
      </c>
      <c r="D493" s="5">
        <f>IFERROR(__xludf.DUMMYFUNCTION("""COMPUTED_VALUE"""),1420.0)</f>
        <v>1420</v>
      </c>
      <c r="E493" s="5">
        <f>IFERROR(__xludf.DUMMYFUNCTION("""COMPUTED_VALUE"""),1425.0)</f>
        <v>1425</v>
      </c>
      <c r="F493" s="5">
        <f>IFERROR(__xludf.DUMMYFUNCTION("""COMPUTED_VALUE"""),1.68763E7)</f>
        <v>16876300</v>
      </c>
      <c r="G493" s="5">
        <f t="shared" si="1"/>
        <v>50</v>
      </c>
    </row>
    <row r="494">
      <c r="A494" s="4">
        <f>IFERROR(__xludf.DUMMYFUNCTION("""COMPUTED_VALUE"""),44567.66666666667)</f>
        <v>44567.66667</v>
      </c>
      <c r="B494" s="5">
        <f>IFERROR(__xludf.DUMMYFUNCTION("""COMPUTED_VALUE"""),1425.0)</f>
        <v>1425</v>
      </c>
      <c r="C494" s="5">
        <f>IFERROR(__xludf.DUMMYFUNCTION("""COMPUTED_VALUE"""),1435.0)</f>
        <v>1435</v>
      </c>
      <c r="D494" s="5">
        <f>IFERROR(__xludf.DUMMYFUNCTION("""COMPUTED_VALUE"""),1400.0)</f>
        <v>1400</v>
      </c>
      <c r="E494" s="5">
        <f>IFERROR(__xludf.DUMMYFUNCTION("""COMPUTED_VALUE"""),1415.0)</f>
        <v>1415</v>
      </c>
      <c r="F494" s="5">
        <f>IFERROR(__xludf.DUMMYFUNCTION("""COMPUTED_VALUE"""),1.95416E7)</f>
        <v>19541600</v>
      </c>
      <c r="G494" s="5">
        <f t="shared" si="1"/>
        <v>35</v>
      </c>
    </row>
    <row r="495">
      <c r="A495" s="4">
        <f>IFERROR(__xludf.DUMMYFUNCTION("""COMPUTED_VALUE"""),44568.66666666667)</f>
        <v>44568.66667</v>
      </c>
      <c r="B495" s="5">
        <f>IFERROR(__xludf.DUMMYFUNCTION("""COMPUTED_VALUE"""),1415.0)</f>
        <v>1415</v>
      </c>
      <c r="C495" s="5">
        <f>IFERROR(__xludf.DUMMYFUNCTION("""COMPUTED_VALUE"""),1420.0)</f>
        <v>1420</v>
      </c>
      <c r="D495" s="5">
        <f>IFERROR(__xludf.DUMMYFUNCTION("""COMPUTED_VALUE"""),1400.0)</f>
        <v>1400</v>
      </c>
      <c r="E495" s="5">
        <f>IFERROR(__xludf.DUMMYFUNCTION("""COMPUTED_VALUE"""),1410.0)</f>
        <v>1410</v>
      </c>
      <c r="F495" s="5">
        <f>IFERROR(__xludf.DUMMYFUNCTION("""COMPUTED_VALUE"""),1.12598E7)</f>
        <v>11259800</v>
      </c>
      <c r="G495" s="5">
        <f t="shared" si="1"/>
        <v>20</v>
      </c>
    </row>
    <row r="496">
      <c r="A496" s="4">
        <f>IFERROR(__xludf.DUMMYFUNCTION("""COMPUTED_VALUE"""),44571.66666666667)</f>
        <v>44571.66667</v>
      </c>
      <c r="B496" s="5">
        <f>IFERROR(__xludf.DUMMYFUNCTION("""COMPUTED_VALUE"""),1410.0)</f>
        <v>1410</v>
      </c>
      <c r="C496" s="5">
        <f>IFERROR(__xludf.DUMMYFUNCTION("""COMPUTED_VALUE"""),1425.0)</f>
        <v>1425</v>
      </c>
      <c r="D496" s="5">
        <f>IFERROR(__xludf.DUMMYFUNCTION("""COMPUTED_VALUE"""),1400.0)</f>
        <v>1400</v>
      </c>
      <c r="E496" s="5">
        <f>IFERROR(__xludf.DUMMYFUNCTION("""COMPUTED_VALUE"""),1410.0)</f>
        <v>1410</v>
      </c>
      <c r="F496" s="5">
        <f>IFERROR(__xludf.DUMMYFUNCTION("""COMPUTED_VALUE"""),9611400.0)</f>
        <v>9611400</v>
      </c>
      <c r="G496" s="5">
        <f t="shared" si="1"/>
        <v>25</v>
      </c>
    </row>
    <row r="497">
      <c r="A497" s="4">
        <f>IFERROR(__xludf.DUMMYFUNCTION("""COMPUTED_VALUE"""),44572.66666666667)</f>
        <v>44572.66667</v>
      </c>
      <c r="B497" s="5">
        <f>IFERROR(__xludf.DUMMYFUNCTION("""COMPUTED_VALUE"""),1410.0)</f>
        <v>1410</v>
      </c>
      <c r="C497" s="5">
        <f>IFERROR(__xludf.DUMMYFUNCTION("""COMPUTED_VALUE"""),1425.0)</f>
        <v>1425</v>
      </c>
      <c r="D497" s="5">
        <f>IFERROR(__xludf.DUMMYFUNCTION("""COMPUTED_VALUE"""),1320.0)</f>
        <v>1320</v>
      </c>
      <c r="E497" s="5">
        <f>IFERROR(__xludf.DUMMYFUNCTION("""COMPUTED_VALUE"""),1320.0)</f>
        <v>1320</v>
      </c>
      <c r="F497" s="5">
        <f>IFERROR(__xludf.DUMMYFUNCTION("""COMPUTED_VALUE"""),3.21022E7)</f>
        <v>32102200</v>
      </c>
      <c r="G497" s="5">
        <f t="shared" si="1"/>
        <v>105</v>
      </c>
    </row>
    <row r="498">
      <c r="A498" s="4">
        <f>IFERROR(__xludf.DUMMYFUNCTION("""COMPUTED_VALUE"""),44573.66666666667)</f>
        <v>44573.66667</v>
      </c>
      <c r="B498" s="5">
        <f>IFERROR(__xludf.DUMMYFUNCTION("""COMPUTED_VALUE"""),1340.0)</f>
        <v>1340</v>
      </c>
      <c r="C498" s="5">
        <f>IFERROR(__xludf.DUMMYFUNCTION("""COMPUTED_VALUE"""),1370.0)</f>
        <v>1370</v>
      </c>
      <c r="D498" s="5">
        <f>IFERROR(__xludf.DUMMYFUNCTION("""COMPUTED_VALUE"""),1240.0)</f>
        <v>1240</v>
      </c>
      <c r="E498" s="5">
        <f>IFERROR(__xludf.DUMMYFUNCTION("""COMPUTED_VALUE"""),1260.0)</f>
        <v>1260</v>
      </c>
      <c r="F498" s="5">
        <f>IFERROR(__xludf.DUMMYFUNCTION("""COMPUTED_VALUE"""),4.68407E7)</f>
        <v>46840700</v>
      </c>
      <c r="G498" s="5">
        <f t="shared" si="1"/>
        <v>130</v>
      </c>
    </row>
    <row r="499">
      <c r="A499" s="4">
        <f>IFERROR(__xludf.DUMMYFUNCTION("""COMPUTED_VALUE"""),44574.66666666667)</f>
        <v>44574.66667</v>
      </c>
      <c r="B499" s="5">
        <f>IFERROR(__xludf.DUMMYFUNCTION("""COMPUTED_VALUE"""),1270.0)</f>
        <v>1270</v>
      </c>
      <c r="C499" s="5">
        <f>IFERROR(__xludf.DUMMYFUNCTION("""COMPUTED_VALUE"""),1380.0)</f>
        <v>1380</v>
      </c>
      <c r="D499" s="5">
        <f>IFERROR(__xludf.DUMMYFUNCTION("""COMPUTED_VALUE"""),1255.0)</f>
        <v>1255</v>
      </c>
      <c r="E499" s="5">
        <f>IFERROR(__xludf.DUMMYFUNCTION("""COMPUTED_VALUE"""),1375.0)</f>
        <v>1375</v>
      </c>
      <c r="F499" s="5">
        <f>IFERROR(__xludf.DUMMYFUNCTION("""COMPUTED_VALUE"""),3.48399E7)</f>
        <v>34839900</v>
      </c>
      <c r="G499" s="5">
        <f t="shared" si="1"/>
        <v>125</v>
      </c>
    </row>
    <row r="500">
      <c r="A500" s="4">
        <f>IFERROR(__xludf.DUMMYFUNCTION("""COMPUTED_VALUE"""),44575.66666666667)</f>
        <v>44575.66667</v>
      </c>
      <c r="B500" s="5">
        <f>IFERROR(__xludf.DUMMYFUNCTION("""COMPUTED_VALUE"""),1385.0)</f>
        <v>1385</v>
      </c>
      <c r="C500" s="5">
        <f>IFERROR(__xludf.DUMMYFUNCTION("""COMPUTED_VALUE"""),1405.0)</f>
        <v>1405</v>
      </c>
      <c r="D500" s="5">
        <f>IFERROR(__xludf.DUMMYFUNCTION("""COMPUTED_VALUE"""),1355.0)</f>
        <v>1355</v>
      </c>
      <c r="E500" s="5">
        <f>IFERROR(__xludf.DUMMYFUNCTION("""COMPUTED_VALUE"""),1400.0)</f>
        <v>1400</v>
      </c>
      <c r="F500" s="5">
        <f>IFERROR(__xludf.DUMMYFUNCTION("""COMPUTED_VALUE"""),1.72814E7)</f>
        <v>17281400</v>
      </c>
      <c r="G500" s="5">
        <f t="shared" si="1"/>
        <v>50</v>
      </c>
    </row>
    <row r="501">
      <c r="A501" s="4">
        <f>IFERROR(__xludf.DUMMYFUNCTION("""COMPUTED_VALUE"""),44578.66666666667)</f>
        <v>44578.66667</v>
      </c>
      <c r="B501" s="5">
        <f>IFERROR(__xludf.DUMMYFUNCTION("""COMPUTED_VALUE"""),1400.0)</f>
        <v>1400</v>
      </c>
      <c r="C501" s="5">
        <f>IFERROR(__xludf.DUMMYFUNCTION("""COMPUTED_VALUE"""),1400.0)</f>
        <v>1400</v>
      </c>
      <c r="D501" s="5">
        <f>IFERROR(__xludf.DUMMYFUNCTION("""COMPUTED_VALUE"""),1355.0)</f>
        <v>1355</v>
      </c>
      <c r="E501" s="5">
        <f>IFERROR(__xludf.DUMMYFUNCTION("""COMPUTED_VALUE"""),1355.0)</f>
        <v>1355</v>
      </c>
      <c r="F501" s="5">
        <f>IFERROR(__xludf.DUMMYFUNCTION("""COMPUTED_VALUE"""),1.91185E7)</f>
        <v>19118500</v>
      </c>
      <c r="G501" s="5">
        <f t="shared" si="1"/>
        <v>45</v>
      </c>
    </row>
    <row r="502">
      <c r="A502" s="4">
        <f>IFERROR(__xludf.DUMMYFUNCTION("""COMPUTED_VALUE"""),44579.66666666667)</f>
        <v>44579.66667</v>
      </c>
      <c r="B502" s="5">
        <f>IFERROR(__xludf.DUMMYFUNCTION("""COMPUTED_VALUE"""),1355.0)</f>
        <v>1355</v>
      </c>
      <c r="C502" s="5">
        <f>IFERROR(__xludf.DUMMYFUNCTION("""COMPUTED_VALUE"""),1370.0)</f>
        <v>1370</v>
      </c>
      <c r="D502" s="5">
        <f>IFERROR(__xludf.DUMMYFUNCTION("""COMPUTED_VALUE"""),1305.0)</f>
        <v>1305</v>
      </c>
      <c r="E502" s="5">
        <f>IFERROR(__xludf.DUMMYFUNCTION("""COMPUTED_VALUE"""),1365.0)</f>
        <v>1365</v>
      </c>
      <c r="F502" s="5">
        <f>IFERROR(__xludf.DUMMYFUNCTION("""COMPUTED_VALUE"""),2.16062E7)</f>
        <v>21606200</v>
      </c>
      <c r="G502" s="5">
        <f t="shared" si="1"/>
        <v>65</v>
      </c>
    </row>
    <row r="503">
      <c r="A503" s="4">
        <f>IFERROR(__xludf.DUMMYFUNCTION("""COMPUTED_VALUE"""),44580.66666666667)</f>
        <v>44580.66667</v>
      </c>
      <c r="B503" s="5">
        <f>IFERROR(__xludf.DUMMYFUNCTION("""COMPUTED_VALUE"""),1360.0)</f>
        <v>1360</v>
      </c>
      <c r="C503" s="5">
        <f>IFERROR(__xludf.DUMMYFUNCTION("""COMPUTED_VALUE"""),1395.0)</f>
        <v>1395</v>
      </c>
      <c r="D503" s="5">
        <f>IFERROR(__xludf.DUMMYFUNCTION("""COMPUTED_VALUE"""),1350.0)</f>
        <v>1350</v>
      </c>
      <c r="E503" s="5">
        <f>IFERROR(__xludf.DUMMYFUNCTION("""COMPUTED_VALUE"""),1355.0)</f>
        <v>1355</v>
      </c>
      <c r="F503" s="5">
        <f>IFERROR(__xludf.DUMMYFUNCTION("""COMPUTED_VALUE"""),1.88587E7)</f>
        <v>18858700</v>
      </c>
      <c r="G503" s="5">
        <f t="shared" si="1"/>
        <v>45</v>
      </c>
    </row>
    <row r="504">
      <c r="A504" s="4">
        <f>IFERROR(__xludf.DUMMYFUNCTION("""COMPUTED_VALUE"""),44581.66666666667)</f>
        <v>44581.66667</v>
      </c>
      <c r="B504" s="5">
        <f>IFERROR(__xludf.DUMMYFUNCTION("""COMPUTED_VALUE"""),1375.0)</f>
        <v>1375</v>
      </c>
      <c r="C504" s="5">
        <f>IFERROR(__xludf.DUMMYFUNCTION("""COMPUTED_VALUE"""),1455.0)</f>
        <v>1455</v>
      </c>
      <c r="D504" s="5">
        <f>IFERROR(__xludf.DUMMYFUNCTION("""COMPUTED_VALUE"""),1375.0)</f>
        <v>1375</v>
      </c>
      <c r="E504" s="5">
        <f>IFERROR(__xludf.DUMMYFUNCTION("""COMPUTED_VALUE"""),1440.0)</f>
        <v>1440</v>
      </c>
      <c r="F504" s="5">
        <f>IFERROR(__xludf.DUMMYFUNCTION("""COMPUTED_VALUE"""),4.56662E7)</f>
        <v>45666200</v>
      </c>
      <c r="G504" s="5">
        <f t="shared" si="1"/>
        <v>100</v>
      </c>
    </row>
    <row r="505">
      <c r="A505" s="4">
        <f>IFERROR(__xludf.DUMMYFUNCTION("""COMPUTED_VALUE"""),44582.66666666667)</f>
        <v>44582.66667</v>
      </c>
      <c r="B505" s="5">
        <f>IFERROR(__xludf.DUMMYFUNCTION("""COMPUTED_VALUE"""),1440.0)</f>
        <v>1440</v>
      </c>
      <c r="C505" s="5">
        <f>IFERROR(__xludf.DUMMYFUNCTION("""COMPUTED_VALUE"""),1480.0)</f>
        <v>1480</v>
      </c>
      <c r="D505" s="5">
        <f>IFERROR(__xludf.DUMMYFUNCTION("""COMPUTED_VALUE"""),1430.0)</f>
        <v>1430</v>
      </c>
      <c r="E505" s="5">
        <f>IFERROR(__xludf.DUMMYFUNCTION("""COMPUTED_VALUE"""),1480.0)</f>
        <v>1480</v>
      </c>
      <c r="F505" s="5">
        <f>IFERROR(__xludf.DUMMYFUNCTION("""COMPUTED_VALUE"""),2.62097E7)</f>
        <v>26209700</v>
      </c>
      <c r="G505" s="5">
        <f t="shared" si="1"/>
        <v>50</v>
      </c>
    </row>
    <row r="506">
      <c r="A506" s="4">
        <f>IFERROR(__xludf.DUMMYFUNCTION("""COMPUTED_VALUE"""),44585.66666666667)</f>
        <v>44585.66667</v>
      </c>
      <c r="B506" s="5">
        <f>IFERROR(__xludf.DUMMYFUNCTION("""COMPUTED_VALUE"""),1480.0)</f>
        <v>1480</v>
      </c>
      <c r="C506" s="5">
        <f>IFERROR(__xludf.DUMMYFUNCTION("""COMPUTED_VALUE"""),1480.0)</f>
        <v>1480</v>
      </c>
      <c r="D506" s="5">
        <f>IFERROR(__xludf.DUMMYFUNCTION("""COMPUTED_VALUE"""),1430.0)</f>
        <v>1430</v>
      </c>
      <c r="E506" s="5">
        <f>IFERROR(__xludf.DUMMYFUNCTION("""COMPUTED_VALUE"""),1435.0)</f>
        <v>1435</v>
      </c>
      <c r="F506" s="5">
        <f>IFERROR(__xludf.DUMMYFUNCTION("""COMPUTED_VALUE"""),1.43312E7)</f>
        <v>14331200</v>
      </c>
      <c r="G506" s="5">
        <f t="shared" si="1"/>
        <v>50</v>
      </c>
    </row>
    <row r="507">
      <c r="A507" s="4">
        <f>IFERROR(__xludf.DUMMYFUNCTION("""COMPUTED_VALUE"""),44586.66666666667)</f>
        <v>44586.66667</v>
      </c>
      <c r="B507" s="5">
        <f>IFERROR(__xludf.DUMMYFUNCTION("""COMPUTED_VALUE"""),1420.0)</f>
        <v>1420</v>
      </c>
      <c r="C507" s="5">
        <f>IFERROR(__xludf.DUMMYFUNCTION("""COMPUTED_VALUE"""),1445.0)</f>
        <v>1445</v>
      </c>
      <c r="D507" s="5">
        <f>IFERROR(__xludf.DUMMYFUNCTION("""COMPUTED_VALUE"""),1390.0)</f>
        <v>1390</v>
      </c>
      <c r="E507" s="5">
        <f>IFERROR(__xludf.DUMMYFUNCTION("""COMPUTED_VALUE"""),1395.0)</f>
        <v>1395</v>
      </c>
      <c r="F507" s="5">
        <f>IFERROR(__xludf.DUMMYFUNCTION("""COMPUTED_VALUE"""),1.45884E7)</f>
        <v>14588400</v>
      </c>
      <c r="G507" s="5">
        <f t="shared" si="1"/>
        <v>55</v>
      </c>
    </row>
    <row r="508">
      <c r="A508" s="4">
        <f>IFERROR(__xludf.DUMMYFUNCTION("""COMPUTED_VALUE"""),44587.66666666667)</f>
        <v>44587.66667</v>
      </c>
      <c r="B508" s="5">
        <f>IFERROR(__xludf.DUMMYFUNCTION("""COMPUTED_VALUE"""),1390.0)</f>
        <v>1390</v>
      </c>
      <c r="C508" s="5">
        <f>IFERROR(__xludf.DUMMYFUNCTION("""COMPUTED_VALUE"""),1415.0)</f>
        <v>1415</v>
      </c>
      <c r="D508" s="5">
        <f>IFERROR(__xludf.DUMMYFUNCTION("""COMPUTED_VALUE"""),1345.0)</f>
        <v>1345</v>
      </c>
      <c r="E508" s="5">
        <f>IFERROR(__xludf.DUMMYFUNCTION("""COMPUTED_VALUE"""),1375.0)</f>
        <v>1375</v>
      </c>
      <c r="F508" s="5">
        <f>IFERROR(__xludf.DUMMYFUNCTION("""COMPUTED_VALUE"""),1.63997E7)</f>
        <v>16399700</v>
      </c>
      <c r="G508" s="5">
        <f t="shared" si="1"/>
        <v>70</v>
      </c>
    </row>
    <row r="509">
      <c r="A509" s="4">
        <f>IFERROR(__xludf.DUMMYFUNCTION("""COMPUTED_VALUE"""),44588.66666666667)</f>
        <v>44588.66667</v>
      </c>
      <c r="B509" s="5">
        <f>IFERROR(__xludf.DUMMYFUNCTION("""COMPUTED_VALUE"""),1375.0)</f>
        <v>1375</v>
      </c>
      <c r="C509" s="5">
        <f>IFERROR(__xludf.DUMMYFUNCTION("""COMPUTED_VALUE"""),1385.0)</f>
        <v>1385</v>
      </c>
      <c r="D509" s="5">
        <f>IFERROR(__xludf.DUMMYFUNCTION("""COMPUTED_VALUE"""),1355.0)</f>
        <v>1355</v>
      </c>
      <c r="E509" s="5">
        <f>IFERROR(__xludf.DUMMYFUNCTION("""COMPUTED_VALUE"""),1380.0)</f>
        <v>1380</v>
      </c>
      <c r="F509" s="5">
        <f>IFERROR(__xludf.DUMMYFUNCTION("""COMPUTED_VALUE"""),1.00424E7)</f>
        <v>10042400</v>
      </c>
      <c r="G509" s="5">
        <f t="shared" si="1"/>
        <v>30</v>
      </c>
    </row>
    <row r="510">
      <c r="A510" s="4">
        <f>IFERROR(__xludf.DUMMYFUNCTION("""COMPUTED_VALUE"""),44589.66666666667)</f>
        <v>44589.66667</v>
      </c>
      <c r="B510" s="5">
        <f>IFERROR(__xludf.DUMMYFUNCTION("""COMPUTED_VALUE"""),1380.0)</f>
        <v>1380</v>
      </c>
      <c r="C510" s="5">
        <f>IFERROR(__xludf.DUMMYFUNCTION("""COMPUTED_VALUE"""),1405.0)</f>
        <v>1405</v>
      </c>
      <c r="D510" s="5">
        <f>IFERROR(__xludf.DUMMYFUNCTION("""COMPUTED_VALUE"""),1375.0)</f>
        <v>1375</v>
      </c>
      <c r="E510" s="5">
        <f>IFERROR(__xludf.DUMMYFUNCTION("""COMPUTED_VALUE"""),1390.0)</f>
        <v>1390</v>
      </c>
      <c r="F510" s="5">
        <f>IFERROR(__xludf.DUMMYFUNCTION("""COMPUTED_VALUE"""),1.06671E7)</f>
        <v>10667100</v>
      </c>
      <c r="G510" s="5">
        <f t="shared" si="1"/>
        <v>30</v>
      </c>
    </row>
    <row r="511">
      <c r="A511" s="4">
        <f>IFERROR(__xludf.DUMMYFUNCTION("""COMPUTED_VALUE"""),44592.66666666667)</f>
        <v>44592.66667</v>
      </c>
      <c r="B511" s="5">
        <f>IFERROR(__xludf.DUMMYFUNCTION("""COMPUTED_VALUE"""),1400.0)</f>
        <v>1400</v>
      </c>
      <c r="C511" s="5">
        <f>IFERROR(__xludf.DUMMYFUNCTION("""COMPUTED_VALUE"""),1400.0)</f>
        <v>1400</v>
      </c>
      <c r="D511" s="5">
        <f>IFERROR(__xludf.DUMMYFUNCTION("""COMPUTED_VALUE"""),1375.0)</f>
        <v>1375</v>
      </c>
      <c r="E511" s="5">
        <f>IFERROR(__xludf.DUMMYFUNCTION("""COMPUTED_VALUE"""),1380.0)</f>
        <v>1380</v>
      </c>
      <c r="F511" s="5">
        <f>IFERROR(__xludf.DUMMYFUNCTION("""COMPUTED_VALUE"""),6653600.0)</f>
        <v>6653600</v>
      </c>
      <c r="G511" s="5">
        <f t="shared" si="1"/>
        <v>25</v>
      </c>
    </row>
    <row r="512">
      <c r="A512" s="4">
        <f>IFERROR(__xludf.DUMMYFUNCTION("""COMPUTED_VALUE"""),44594.66666666667)</f>
        <v>44594.66667</v>
      </c>
      <c r="B512" s="5">
        <f>IFERROR(__xludf.DUMMYFUNCTION("""COMPUTED_VALUE"""),1405.0)</f>
        <v>1405</v>
      </c>
      <c r="C512" s="5">
        <f>IFERROR(__xludf.DUMMYFUNCTION("""COMPUTED_VALUE"""),1430.0)</f>
        <v>1430</v>
      </c>
      <c r="D512" s="5">
        <f>IFERROR(__xludf.DUMMYFUNCTION("""COMPUTED_VALUE"""),1390.0)</f>
        <v>1390</v>
      </c>
      <c r="E512" s="5">
        <f>IFERROR(__xludf.DUMMYFUNCTION("""COMPUTED_VALUE"""),1395.0)</f>
        <v>1395</v>
      </c>
      <c r="F512" s="5">
        <f>IFERROR(__xludf.DUMMYFUNCTION("""COMPUTED_VALUE"""),1.24113E7)</f>
        <v>12411300</v>
      </c>
      <c r="G512" s="5">
        <f t="shared" si="1"/>
        <v>50</v>
      </c>
    </row>
    <row r="513">
      <c r="A513" s="4">
        <f>IFERROR(__xludf.DUMMYFUNCTION("""COMPUTED_VALUE"""),44595.66666666667)</f>
        <v>44595.66667</v>
      </c>
      <c r="B513" s="5">
        <f>IFERROR(__xludf.DUMMYFUNCTION("""COMPUTED_VALUE"""),1390.0)</f>
        <v>1390</v>
      </c>
      <c r="C513" s="5">
        <f>IFERROR(__xludf.DUMMYFUNCTION("""COMPUTED_VALUE"""),1415.0)</f>
        <v>1415</v>
      </c>
      <c r="D513" s="5">
        <f>IFERROR(__xludf.DUMMYFUNCTION("""COMPUTED_VALUE"""),1370.0)</f>
        <v>1370</v>
      </c>
      <c r="E513" s="5">
        <f>IFERROR(__xludf.DUMMYFUNCTION("""COMPUTED_VALUE"""),1400.0)</f>
        <v>1400</v>
      </c>
      <c r="F513" s="5">
        <f>IFERROR(__xludf.DUMMYFUNCTION("""COMPUTED_VALUE"""),1.44678E7)</f>
        <v>14467800</v>
      </c>
      <c r="G513" s="5">
        <f t="shared" si="1"/>
        <v>45</v>
      </c>
    </row>
    <row r="514">
      <c r="A514" s="4">
        <f>IFERROR(__xludf.DUMMYFUNCTION("""COMPUTED_VALUE"""),44596.66666666667)</f>
        <v>44596.66667</v>
      </c>
      <c r="B514" s="5">
        <f>IFERROR(__xludf.DUMMYFUNCTION("""COMPUTED_VALUE"""),1400.0)</f>
        <v>1400</v>
      </c>
      <c r="C514" s="5">
        <f>IFERROR(__xludf.DUMMYFUNCTION("""COMPUTED_VALUE"""),1405.0)</f>
        <v>1405</v>
      </c>
      <c r="D514" s="5">
        <f>IFERROR(__xludf.DUMMYFUNCTION("""COMPUTED_VALUE"""),1375.0)</f>
        <v>1375</v>
      </c>
      <c r="E514" s="5">
        <f>IFERROR(__xludf.DUMMYFUNCTION("""COMPUTED_VALUE"""),1380.0)</f>
        <v>1380</v>
      </c>
      <c r="F514" s="5">
        <f>IFERROR(__xludf.DUMMYFUNCTION("""COMPUTED_VALUE"""),1.36013E7)</f>
        <v>13601300</v>
      </c>
      <c r="G514" s="5">
        <f t="shared" si="1"/>
        <v>30</v>
      </c>
    </row>
    <row r="515">
      <c r="A515" s="4">
        <f>IFERROR(__xludf.DUMMYFUNCTION("""COMPUTED_VALUE"""),44599.66666666667)</f>
        <v>44599.66667</v>
      </c>
      <c r="B515" s="5">
        <f>IFERROR(__xludf.DUMMYFUNCTION("""COMPUTED_VALUE"""),1370.0)</f>
        <v>1370</v>
      </c>
      <c r="C515" s="5">
        <f>IFERROR(__xludf.DUMMYFUNCTION("""COMPUTED_VALUE"""),1405.0)</f>
        <v>1405</v>
      </c>
      <c r="D515" s="5">
        <f>IFERROR(__xludf.DUMMYFUNCTION("""COMPUTED_VALUE"""),1370.0)</f>
        <v>1370</v>
      </c>
      <c r="E515" s="5">
        <f>IFERROR(__xludf.DUMMYFUNCTION("""COMPUTED_VALUE"""),1400.0)</f>
        <v>1400</v>
      </c>
      <c r="F515" s="5">
        <f>IFERROR(__xludf.DUMMYFUNCTION("""COMPUTED_VALUE"""),1.02003E7)</f>
        <v>10200300</v>
      </c>
      <c r="G515" s="5">
        <f t="shared" si="1"/>
        <v>35</v>
      </c>
    </row>
    <row r="516">
      <c r="A516" s="4">
        <f>IFERROR(__xludf.DUMMYFUNCTION("""COMPUTED_VALUE"""),44600.66666666667)</f>
        <v>44600.66667</v>
      </c>
      <c r="B516" s="5">
        <f>IFERROR(__xludf.DUMMYFUNCTION("""COMPUTED_VALUE"""),1410.0)</f>
        <v>1410</v>
      </c>
      <c r="C516" s="5">
        <f>IFERROR(__xludf.DUMMYFUNCTION("""COMPUTED_VALUE"""),1425.0)</f>
        <v>1425</v>
      </c>
      <c r="D516" s="5">
        <f>IFERROR(__xludf.DUMMYFUNCTION("""COMPUTED_VALUE"""),1395.0)</f>
        <v>1395</v>
      </c>
      <c r="E516" s="5">
        <f>IFERROR(__xludf.DUMMYFUNCTION("""COMPUTED_VALUE"""),1395.0)</f>
        <v>1395</v>
      </c>
      <c r="F516" s="5">
        <f>IFERROR(__xludf.DUMMYFUNCTION("""COMPUTED_VALUE"""),1.88473E7)</f>
        <v>18847300</v>
      </c>
      <c r="G516" s="5">
        <f t="shared" si="1"/>
        <v>30</v>
      </c>
    </row>
    <row r="517">
      <c r="A517" s="4">
        <f>IFERROR(__xludf.DUMMYFUNCTION("""COMPUTED_VALUE"""),44601.66666666667)</f>
        <v>44601.66667</v>
      </c>
      <c r="B517" s="5">
        <f>IFERROR(__xludf.DUMMYFUNCTION("""COMPUTED_VALUE"""),1405.0)</f>
        <v>1405</v>
      </c>
      <c r="C517" s="5">
        <f>IFERROR(__xludf.DUMMYFUNCTION("""COMPUTED_VALUE"""),1410.0)</f>
        <v>1410</v>
      </c>
      <c r="D517" s="5">
        <f>IFERROR(__xludf.DUMMYFUNCTION("""COMPUTED_VALUE"""),1385.0)</f>
        <v>1385</v>
      </c>
      <c r="E517" s="5">
        <f>IFERROR(__xludf.DUMMYFUNCTION("""COMPUTED_VALUE"""),1385.0)</f>
        <v>1385</v>
      </c>
      <c r="F517" s="5">
        <f>IFERROR(__xludf.DUMMYFUNCTION("""COMPUTED_VALUE"""),7891500.0)</f>
        <v>7891500</v>
      </c>
      <c r="G517" s="5">
        <f t="shared" si="1"/>
        <v>25</v>
      </c>
    </row>
    <row r="518">
      <c r="A518" s="4">
        <f>IFERROR(__xludf.DUMMYFUNCTION("""COMPUTED_VALUE"""),44602.66666666667)</f>
        <v>44602.66667</v>
      </c>
      <c r="B518" s="5">
        <f>IFERROR(__xludf.DUMMYFUNCTION("""COMPUTED_VALUE"""),1390.0)</f>
        <v>1390</v>
      </c>
      <c r="C518" s="5">
        <f>IFERROR(__xludf.DUMMYFUNCTION("""COMPUTED_VALUE"""),1440.0)</f>
        <v>1440</v>
      </c>
      <c r="D518" s="5">
        <f>IFERROR(__xludf.DUMMYFUNCTION("""COMPUTED_VALUE"""),1390.0)</f>
        <v>1390</v>
      </c>
      <c r="E518" s="5">
        <f>IFERROR(__xludf.DUMMYFUNCTION("""COMPUTED_VALUE"""),1415.0)</f>
        <v>1415</v>
      </c>
      <c r="F518" s="5">
        <f>IFERROR(__xludf.DUMMYFUNCTION("""COMPUTED_VALUE"""),2.17758E7)</f>
        <v>21775800</v>
      </c>
      <c r="G518" s="5">
        <f t="shared" si="1"/>
        <v>55</v>
      </c>
    </row>
    <row r="519">
      <c r="A519" s="4">
        <f>IFERROR(__xludf.DUMMYFUNCTION("""COMPUTED_VALUE"""),44603.66666666667)</f>
        <v>44603.66667</v>
      </c>
      <c r="B519" s="5">
        <f>IFERROR(__xludf.DUMMYFUNCTION("""COMPUTED_VALUE"""),1415.0)</f>
        <v>1415</v>
      </c>
      <c r="C519" s="5">
        <f>IFERROR(__xludf.DUMMYFUNCTION("""COMPUTED_VALUE"""),1415.0)</f>
        <v>1415</v>
      </c>
      <c r="D519" s="5">
        <f>IFERROR(__xludf.DUMMYFUNCTION("""COMPUTED_VALUE"""),1370.0)</f>
        <v>1370</v>
      </c>
      <c r="E519" s="5">
        <f>IFERROR(__xludf.DUMMYFUNCTION("""COMPUTED_VALUE"""),1385.0)</f>
        <v>1385</v>
      </c>
      <c r="F519" s="5">
        <f>IFERROR(__xludf.DUMMYFUNCTION("""COMPUTED_VALUE"""),2.26439E7)</f>
        <v>22643900</v>
      </c>
      <c r="G519" s="5">
        <f t="shared" si="1"/>
        <v>45</v>
      </c>
    </row>
    <row r="520">
      <c r="A520" s="4">
        <f>IFERROR(__xludf.DUMMYFUNCTION("""COMPUTED_VALUE"""),44606.66666666667)</f>
        <v>44606.66667</v>
      </c>
      <c r="B520" s="5">
        <f>IFERROR(__xludf.DUMMYFUNCTION("""COMPUTED_VALUE"""),1390.0)</f>
        <v>1390</v>
      </c>
      <c r="C520" s="5">
        <f>IFERROR(__xludf.DUMMYFUNCTION("""COMPUTED_VALUE"""),1410.0)</f>
        <v>1410</v>
      </c>
      <c r="D520" s="5">
        <f>IFERROR(__xludf.DUMMYFUNCTION("""COMPUTED_VALUE"""),1360.0)</f>
        <v>1360</v>
      </c>
      <c r="E520" s="5">
        <f>IFERROR(__xludf.DUMMYFUNCTION("""COMPUTED_VALUE"""),1395.0)</f>
        <v>1395</v>
      </c>
      <c r="F520" s="5">
        <f>IFERROR(__xludf.DUMMYFUNCTION("""COMPUTED_VALUE"""),1.90439E7)</f>
        <v>19043900</v>
      </c>
      <c r="G520" s="5">
        <f t="shared" si="1"/>
        <v>50</v>
      </c>
    </row>
    <row r="521">
      <c r="A521" s="4">
        <f>IFERROR(__xludf.DUMMYFUNCTION("""COMPUTED_VALUE"""),44607.66666666667)</f>
        <v>44607.66667</v>
      </c>
      <c r="B521" s="5">
        <f>IFERROR(__xludf.DUMMYFUNCTION("""COMPUTED_VALUE"""),1395.0)</f>
        <v>1395</v>
      </c>
      <c r="C521" s="5">
        <f>IFERROR(__xludf.DUMMYFUNCTION("""COMPUTED_VALUE"""),1405.0)</f>
        <v>1405</v>
      </c>
      <c r="D521" s="5">
        <f>IFERROR(__xludf.DUMMYFUNCTION("""COMPUTED_VALUE"""),1375.0)</f>
        <v>1375</v>
      </c>
      <c r="E521" s="5">
        <f>IFERROR(__xludf.DUMMYFUNCTION("""COMPUTED_VALUE"""),1375.0)</f>
        <v>1375</v>
      </c>
      <c r="F521" s="5">
        <f>IFERROR(__xludf.DUMMYFUNCTION("""COMPUTED_VALUE"""),1.53705E7)</f>
        <v>15370500</v>
      </c>
      <c r="G521" s="5">
        <f t="shared" si="1"/>
        <v>30</v>
      </c>
    </row>
    <row r="522">
      <c r="A522" s="4">
        <f>IFERROR(__xludf.DUMMYFUNCTION("""COMPUTED_VALUE"""),44608.66666666667)</f>
        <v>44608.66667</v>
      </c>
      <c r="B522" s="5">
        <f>IFERROR(__xludf.DUMMYFUNCTION("""COMPUTED_VALUE"""),1380.0)</f>
        <v>1380</v>
      </c>
      <c r="C522" s="5">
        <f>IFERROR(__xludf.DUMMYFUNCTION("""COMPUTED_VALUE"""),1385.0)</f>
        <v>1385</v>
      </c>
      <c r="D522" s="5">
        <f>IFERROR(__xludf.DUMMYFUNCTION("""COMPUTED_VALUE"""),1370.0)</f>
        <v>1370</v>
      </c>
      <c r="E522" s="5">
        <f>IFERROR(__xludf.DUMMYFUNCTION("""COMPUTED_VALUE"""),1375.0)</f>
        <v>1375</v>
      </c>
      <c r="F522" s="5">
        <f>IFERROR(__xludf.DUMMYFUNCTION("""COMPUTED_VALUE"""),1.70763E7)</f>
        <v>17076300</v>
      </c>
      <c r="G522" s="5">
        <f t="shared" si="1"/>
        <v>15</v>
      </c>
    </row>
    <row r="523">
      <c r="A523" s="4">
        <f>IFERROR(__xludf.DUMMYFUNCTION("""COMPUTED_VALUE"""),44609.66666666667)</f>
        <v>44609.66667</v>
      </c>
      <c r="B523" s="5">
        <f>IFERROR(__xludf.DUMMYFUNCTION("""COMPUTED_VALUE"""),1380.0)</f>
        <v>1380</v>
      </c>
      <c r="C523" s="5">
        <f>IFERROR(__xludf.DUMMYFUNCTION("""COMPUTED_VALUE"""),1385.0)</f>
        <v>1385</v>
      </c>
      <c r="D523" s="5">
        <f>IFERROR(__xludf.DUMMYFUNCTION("""COMPUTED_VALUE"""),1350.0)</f>
        <v>1350</v>
      </c>
      <c r="E523" s="5">
        <f>IFERROR(__xludf.DUMMYFUNCTION("""COMPUTED_VALUE"""),1370.0)</f>
        <v>1370</v>
      </c>
      <c r="F523" s="5">
        <f>IFERROR(__xludf.DUMMYFUNCTION("""COMPUTED_VALUE"""),2.23652E7)</f>
        <v>22365200</v>
      </c>
      <c r="G523" s="5">
        <f t="shared" si="1"/>
        <v>35</v>
      </c>
    </row>
    <row r="524">
      <c r="A524" s="4">
        <f>IFERROR(__xludf.DUMMYFUNCTION("""COMPUTED_VALUE"""),44610.66666666667)</f>
        <v>44610.66667</v>
      </c>
      <c r="B524" s="5">
        <f>IFERROR(__xludf.DUMMYFUNCTION("""COMPUTED_VALUE"""),1375.0)</f>
        <v>1375</v>
      </c>
      <c r="C524" s="5">
        <f>IFERROR(__xludf.DUMMYFUNCTION("""COMPUTED_VALUE"""),1460.0)</f>
        <v>1460</v>
      </c>
      <c r="D524" s="5">
        <f>IFERROR(__xludf.DUMMYFUNCTION("""COMPUTED_VALUE"""),1375.0)</f>
        <v>1375</v>
      </c>
      <c r="E524" s="5">
        <f>IFERROR(__xludf.DUMMYFUNCTION("""COMPUTED_VALUE"""),1440.0)</f>
        <v>1440</v>
      </c>
      <c r="F524" s="5">
        <f>IFERROR(__xludf.DUMMYFUNCTION("""COMPUTED_VALUE"""),7.47655E7)</f>
        <v>74765500</v>
      </c>
      <c r="G524" s="5">
        <f t="shared" si="1"/>
        <v>90</v>
      </c>
    </row>
    <row r="525">
      <c r="A525" s="4">
        <f>IFERROR(__xludf.DUMMYFUNCTION("""COMPUTED_VALUE"""),44613.66666666667)</f>
        <v>44613.66667</v>
      </c>
      <c r="B525" s="5">
        <f>IFERROR(__xludf.DUMMYFUNCTION("""COMPUTED_VALUE"""),1450.0)</f>
        <v>1450</v>
      </c>
      <c r="C525" s="5">
        <f>IFERROR(__xludf.DUMMYFUNCTION("""COMPUTED_VALUE"""),1485.0)</f>
        <v>1485</v>
      </c>
      <c r="D525" s="5">
        <f>IFERROR(__xludf.DUMMYFUNCTION("""COMPUTED_VALUE"""),1450.0)</f>
        <v>1450</v>
      </c>
      <c r="E525" s="5">
        <f>IFERROR(__xludf.DUMMYFUNCTION("""COMPUTED_VALUE"""),1480.0)</f>
        <v>1480</v>
      </c>
      <c r="F525" s="5">
        <f>IFERROR(__xludf.DUMMYFUNCTION("""COMPUTED_VALUE"""),5.3132E7)</f>
        <v>53132000</v>
      </c>
      <c r="G525" s="5">
        <f t="shared" si="1"/>
        <v>45</v>
      </c>
    </row>
    <row r="526">
      <c r="A526" s="4">
        <f>IFERROR(__xludf.DUMMYFUNCTION("""COMPUTED_VALUE"""),44614.66666666667)</f>
        <v>44614.66667</v>
      </c>
      <c r="B526" s="5">
        <f>IFERROR(__xludf.DUMMYFUNCTION("""COMPUTED_VALUE"""),1480.0)</f>
        <v>1480</v>
      </c>
      <c r="C526" s="5">
        <f>IFERROR(__xludf.DUMMYFUNCTION("""COMPUTED_VALUE"""),1500.0)</f>
        <v>1500</v>
      </c>
      <c r="D526" s="5">
        <f>IFERROR(__xludf.DUMMYFUNCTION("""COMPUTED_VALUE"""),1435.0)</f>
        <v>1435</v>
      </c>
      <c r="E526" s="5">
        <f>IFERROR(__xludf.DUMMYFUNCTION("""COMPUTED_VALUE"""),1455.0)</f>
        <v>1455</v>
      </c>
      <c r="F526" s="5">
        <f>IFERROR(__xludf.DUMMYFUNCTION("""COMPUTED_VALUE"""),3.896E7)</f>
        <v>38960000</v>
      </c>
      <c r="G526" s="5">
        <f t="shared" si="1"/>
        <v>65</v>
      </c>
    </row>
    <row r="527">
      <c r="A527" s="4">
        <f>IFERROR(__xludf.DUMMYFUNCTION("""COMPUTED_VALUE"""),44615.66666666667)</f>
        <v>44615.66667</v>
      </c>
      <c r="B527" s="5">
        <f>IFERROR(__xludf.DUMMYFUNCTION("""COMPUTED_VALUE"""),1460.0)</f>
        <v>1460</v>
      </c>
      <c r="C527" s="5">
        <f>IFERROR(__xludf.DUMMYFUNCTION("""COMPUTED_VALUE"""),1485.0)</f>
        <v>1485</v>
      </c>
      <c r="D527" s="5">
        <f>IFERROR(__xludf.DUMMYFUNCTION("""COMPUTED_VALUE"""),1460.0)</f>
        <v>1460</v>
      </c>
      <c r="E527" s="5">
        <f>IFERROR(__xludf.DUMMYFUNCTION("""COMPUTED_VALUE"""),1470.0)</f>
        <v>1470</v>
      </c>
      <c r="F527" s="5">
        <f>IFERROR(__xludf.DUMMYFUNCTION("""COMPUTED_VALUE"""),2.27181E7)</f>
        <v>22718100</v>
      </c>
      <c r="G527" s="5">
        <f t="shared" si="1"/>
        <v>30</v>
      </c>
    </row>
    <row r="528">
      <c r="A528" s="4">
        <f>IFERROR(__xludf.DUMMYFUNCTION("""COMPUTED_VALUE"""),44616.66666666667)</f>
        <v>44616.66667</v>
      </c>
      <c r="B528" s="5">
        <f>IFERROR(__xludf.DUMMYFUNCTION("""COMPUTED_VALUE"""),1480.0)</f>
        <v>1480</v>
      </c>
      <c r="C528" s="5">
        <f>IFERROR(__xludf.DUMMYFUNCTION("""COMPUTED_VALUE"""),1645.0)</f>
        <v>1645</v>
      </c>
      <c r="D528" s="5">
        <f>IFERROR(__xludf.DUMMYFUNCTION("""COMPUTED_VALUE"""),1480.0)</f>
        <v>1480</v>
      </c>
      <c r="E528" s="5">
        <f>IFERROR(__xludf.DUMMYFUNCTION("""COMPUTED_VALUE"""),1615.0)</f>
        <v>1615</v>
      </c>
      <c r="F528" s="5">
        <f>IFERROR(__xludf.DUMMYFUNCTION("""COMPUTED_VALUE"""),2.16511E8)</f>
        <v>216511000</v>
      </c>
      <c r="G528" s="5">
        <f t="shared" si="1"/>
        <v>175</v>
      </c>
    </row>
    <row r="529">
      <c r="A529" s="4">
        <f>IFERROR(__xludf.DUMMYFUNCTION("""COMPUTED_VALUE"""),44617.66666666667)</f>
        <v>44617.66667</v>
      </c>
      <c r="B529" s="5">
        <f>IFERROR(__xludf.DUMMYFUNCTION("""COMPUTED_VALUE"""),1625.0)</f>
        <v>1625</v>
      </c>
      <c r="C529" s="5">
        <f>IFERROR(__xludf.DUMMYFUNCTION("""COMPUTED_VALUE"""),1640.0)</f>
        <v>1640</v>
      </c>
      <c r="D529" s="5">
        <f>IFERROR(__xludf.DUMMYFUNCTION("""COMPUTED_VALUE"""),1560.0)</f>
        <v>1560</v>
      </c>
      <c r="E529" s="5">
        <f>IFERROR(__xludf.DUMMYFUNCTION("""COMPUTED_VALUE"""),1590.0)</f>
        <v>1590</v>
      </c>
      <c r="F529" s="5">
        <f>IFERROR(__xludf.DUMMYFUNCTION("""COMPUTED_VALUE"""),8.53152E7)</f>
        <v>85315200</v>
      </c>
      <c r="G529" s="5">
        <f t="shared" si="1"/>
        <v>80</v>
      </c>
    </row>
    <row r="530">
      <c r="A530" s="4">
        <f>IFERROR(__xludf.DUMMYFUNCTION("""COMPUTED_VALUE"""),44621.66666666667)</f>
        <v>44621.66667</v>
      </c>
      <c r="B530" s="5">
        <f>IFERROR(__xludf.DUMMYFUNCTION("""COMPUTED_VALUE"""),1590.0)</f>
        <v>1590</v>
      </c>
      <c r="C530" s="5">
        <f>IFERROR(__xludf.DUMMYFUNCTION("""COMPUTED_VALUE"""),1620.0)</f>
        <v>1620</v>
      </c>
      <c r="D530" s="5">
        <f>IFERROR(__xludf.DUMMYFUNCTION("""COMPUTED_VALUE"""),1570.0)</f>
        <v>1570</v>
      </c>
      <c r="E530" s="5">
        <f>IFERROR(__xludf.DUMMYFUNCTION("""COMPUTED_VALUE"""),1590.0)</f>
        <v>1590</v>
      </c>
      <c r="F530" s="5">
        <f>IFERROR(__xludf.DUMMYFUNCTION("""COMPUTED_VALUE"""),4.27258E7)</f>
        <v>42725800</v>
      </c>
      <c r="G530" s="5">
        <f t="shared" si="1"/>
        <v>50</v>
      </c>
    </row>
    <row r="531">
      <c r="A531" s="4">
        <f>IFERROR(__xludf.DUMMYFUNCTION("""COMPUTED_VALUE"""),44622.66666666667)</f>
        <v>44622.66667</v>
      </c>
      <c r="B531" s="5">
        <f>IFERROR(__xludf.DUMMYFUNCTION("""COMPUTED_VALUE"""),1615.0)</f>
        <v>1615</v>
      </c>
      <c r="C531" s="5">
        <f>IFERROR(__xludf.DUMMYFUNCTION("""COMPUTED_VALUE"""),1670.0)</f>
        <v>1670</v>
      </c>
      <c r="D531" s="5">
        <f>IFERROR(__xludf.DUMMYFUNCTION("""COMPUTED_VALUE"""),1590.0)</f>
        <v>1590</v>
      </c>
      <c r="E531" s="5">
        <f>IFERROR(__xludf.DUMMYFUNCTION("""COMPUTED_VALUE"""),1590.0)</f>
        <v>1590</v>
      </c>
      <c r="F531" s="5">
        <f>IFERROR(__xludf.DUMMYFUNCTION("""COMPUTED_VALUE"""),8.23059E7)</f>
        <v>82305900</v>
      </c>
      <c r="G531" s="5">
        <f t="shared" si="1"/>
        <v>80</v>
      </c>
    </row>
    <row r="532">
      <c r="A532" s="4">
        <f>IFERROR(__xludf.DUMMYFUNCTION("""COMPUTED_VALUE"""),44624.66666666667)</f>
        <v>44624.66667</v>
      </c>
      <c r="B532" s="5">
        <f>IFERROR(__xludf.DUMMYFUNCTION("""COMPUTED_VALUE"""),1615.0)</f>
        <v>1615</v>
      </c>
      <c r="C532" s="5">
        <f>IFERROR(__xludf.DUMMYFUNCTION("""COMPUTED_VALUE"""),1690.0)</f>
        <v>1690</v>
      </c>
      <c r="D532" s="5">
        <f>IFERROR(__xludf.DUMMYFUNCTION("""COMPUTED_VALUE"""),1615.0)</f>
        <v>1615</v>
      </c>
      <c r="E532" s="5">
        <f>IFERROR(__xludf.DUMMYFUNCTION("""COMPUTED_VALUE"""),1680.0)</f>
        <v>1680</v>
      </c>
      <c r="F532" s="5">
        <f>IFERROR(__xludf.DUMMYFUNCTION("""COMPUTED_VALUE"""),1.24707E8)</f>
        <v>124707000</v>
      </c>
      <c r="G532" s="5">
        <f t="shared" si="1"/>
        <v>100</v>
      </c>
    </row>
    <row r="533">
      <c r="A533" s="4">
        <f>IFERROR(__xludf.DUMMYFUNCTION("""COMPUTED_VALUE"""),44627.66666666667)</f>
        <v>44627.66667</v>
      </c>
      <c r="B533" s="5">
        <f>IFERROR(__xludf.DUMMYFUNCTION("""COMPUTED_VALUE"""),1700.0)</f>
        <v>1700</v>
      </c>
      <c r="C533" s="5">
        <f>IFERROR(__xludf.DUMMYFUNCTION("""COMPUTED_VALUE"""),1810.0)</f>
        <v>1810</v>
      </c>
      <c r="D533" s="5">
        <f>IFERROR(__xludf.DUMMYFUNCTION("""COMPUTED_VALUE"""),1680.0)</f>
        <v>1680</v>
      </c>
      <c r="E533" s="5">
        <f>IFERROR(__xludf.DUMMYFUNCTION("""COMPUTED_VALUE"""),1790.0)</f>
        <v>1790</v>
      </c>
      <c r="F533" s="5">
        <f>IFERROR(__xludf.DUMMYFUNCTION("""COMPUTED_VALUE"""),1.728972E8)</f>
        <v>172897200</v>
      </c>
      <c r="G533" s="5">
        <f t="shared" si="1"/>
        <v>130</v>
      </c>
    </row>
    <row r="534">
      <c r="A534" s="4">
        <f>IFERROR(__xludf.DUMMYFUNCTION("""COMPUTED_VALUE"""),44628.66666666667)</f>
        <v>44628.66667</v>
      </c>
      <c r="B534" s="5">
        <f>IFERROR(__xludf.DUMMYFUNCTION("""COMPUTED_VALUE"""),1850.0)</f>
        <v>1850</v>
      </c>
      <c r="C534" s="5">
        <f>IFERROR(__xludf.DUMMYFUNCTION("""COMPUTED_VALUE"""),1915.0)</f>
        <v>1915</v>
      </c>
      <c r="D534" s="5">
        <f>IFERROR(__xludf.DUMMYFUNCTION("""COMPUTED_VALUE"""),1665.0)</f>
        <v>1665</v>
      </c>
      <c r="E534" s="5">
        <f>IFERROR(__xludf.DUMMYFUNCTION("""COMPUTED_VALUE"""),1695.0)</f>
        <v>1695</v>
      </c>
      <c r="F534" s="5">
        <f>IFERROR(__xludf.DUMMYFUNCTION("""COMPUTED_VALUE"""),3.284189E8)</f>
        <v>328418900</v>
      </c>
      <c r="G534" s="5">
        <f t="shared" si="1"/>
        <v>250</v>
      </c>
    </row>
    <row r="535">
      <c r="A535" s="4">
        <f>IFERROR(__xludf.DUMMYFUNCTION("""COMPUTED_VALUE"""),44629.66666666667)</f>
        <v>44629.66667</v>
      </c>
      <c r="B535" s="5">
        <f>IFERROR(__xludf.DUMMYFUNCTION("""COMPUTED_VALUE"""),1705.0)</f>
        <v>1705</v>
      </c>
      <c r="C535" s="5">
        <f>IFERROR(__xludf.DUMMYFUNCTION("""COMPUTED_VALUE"""),1705.0)</f>
        <v>1705</v>
      </c>
      <c r="D535" s="5">
        <f>IFERROR(__xludf.DUMMYFUNCTION("""COMPUTED_VALUE"""),1590.0)</f>
        <v>1590</v>
      </c>
      <c r="E535" s="5">
        <f>IFERROR(__xludf.DUMMYFUNCTION("""COMPUTED_VALUE"""),1640.0)</f>
        <v>1640</v>
      </c>
      <c r="F535" s="5">
        <f>IFERROR(__xludf.DUMMYFUNCTION("""COMPUTED_VALUE"""),1.21327E8)</f>
        <v>121327000</v>
      </c>
      <c r="G535" s="5">
        <f t="shared" si="1"/>
        <v>115</v>
      </c>
    </row>
    <row r="536">
      <c r="A536" s="4">
        <f>IFERROR(__xludf.DUMMYFUNCTION("""COMPUTED_VALUE"""),44630.66666666667)</f>
        <v>44630.66667</v>
      </c>
      <c r="B536" s="5">
        <f>IFERROR(__xludf.DUMMYFUNCTION("""COMPUTED_VALUE"""),1640.0)</f>
        <v>1640</v>
      </c>
      <c r="C536" s="5">
        <f>IFERROR(__xludf.DUMMYFUNCTION("""COMPUTED_VALUE"""),1675.0)</f>
        <v>1675</v>
      </c>
      <c r="D536" s="5">
        <f>IFERROR(__xludf.DUMMYFUNCTION("""COMPUTED_VALUE"""),1575.0)</f>
        <v>1575</v>
      </c>
      <c r="E536" s="5">
        <f>IFERROR(__xludf.DUMMYFUNCTION("""COMPUTED_VALUE"""),1650.0)</f>
        <v>1650</v>
      </c>
      <c r="F536" s="5">
        <f>IFERROR(__xludf.DUMMYFUNCTION("""COMPUTED_VALUE"""),6.1268E7)</f>
        <v>61268000</v>
      </c>
      <c r="G536" s="5">
        <f t="shared" si="1"/>
        <v>100</v>
      </c>
    </row>
    <row r="537">
      <c r="A537" s="4">
        <f>IFERROR(__xludf.DUMMYFUNCTION("""COMPUTED_VALUE"""),44631.66666666667)</f>
        <v>44631.66667</v>
      </c>
      <c r="B537" s="5">
        <f>IFERROR(__xludf.DUMMYFUNCTION("""COMPUTED_VALUE"""),1625.0)</f>
        <v>1625</v>
      </c>
      <c r="C537" s="5">
        <f>IFERROR(__xludf.DUMMYFUNCTION("""COMPUTED_VALUE"""),1665.0)</f>
        <v>1665</v>
      </c>
      <c r="D537" s="5">
        <f>IFERROR(__xludf.DUMMYFUNCTION("""COMPUTED_VALUE"""),1585.0)</f>
        <v>1585</v>
      </c>
      <c r="E537" s="5">
        <f>IFERROR(__xludf.DUMMYFUNCTION("""COMPUTED_VALUE"""),1600.0)</f>
        <v>1600</v>
      </c>
      <c r="F537" s="5">
        <f>IFERROR(__xludf.DUMMYFUNCTION("""COMPUTED_VALUE"""),5.90433E7)</f>
        <v>59043300</v>
      </c>
      <c r="G537" s="5">
        <f t="shared" si="1"/>
        <v>80</v>
      </c>
    </row>
    <row r="538">
      <c r="A538" s="4">
        <f>IFERROR(__xludf.DUMMYFUNCTION("""COMPUTED_VALUE"""),44634.66666666667)</f>
        <v>44634.66667</v>
      </c>
      <c r="B538" s="5">
        <f>IFERROR(__xludf.DUMMYFUNCTION("""COMPUTED_VALUE"""),1615.0)</f>
        <v>1615</v>
      </c>
      <c r="C538" s="5">
        <f>IFERROR(__xludf.DUMMYFUNCTION("""COMPUTED_VALUE"""),1665.0)</f>
        <v>1665</v>
      </c>
      <c r="D538" s="5">
        <f>IFERROR(__xludf.DUMMYFUNCTION("""COMPUTED_VALUE"""),1540.0)</f>
        <v>1540</v>
      </c>
      <c r="E538" s="5">
        <f>IFERROR(__xludf.DUMMYFUNCTION("""COMPUTED_VALUE"""),1610.0)</f>
        <v>1610</v>
      </c>
      <c r="F538" s="5">
        <f>IFERROR(__xludf.DUMMYFUNCTION("""COMPUTED_VALUE"""),1.295782E8)</f>
        <v>129578200</v>
      </c>
      <c r="G538" s="5">
        <f t="shared" si="1"/>
        <v>125</v>
      </c>
    </row>
    <row r="539">
      <c r="A539" s="4">
        <f>IFERROR(__xludf.DUMMYFUNCTION("""COMPUTED_VALUE"""),44635.66666666667)</f>
        <v>44635.66667</v>
      </c>
      <c r="B539" s="5">
        <f>IFERROR(__xludf.DUMMYFUNCTION("""COMPUTED_VALUE"""),1615.0)</f>
        <v>1615</v>
      </c>
      <c r="C539" s="5">
        <f>IFERROR(__xludf.DUMMYFUNCTION("""COMPUTED_VALUE"""),1630.0)</f>
        <v>1630</v>
      </c>
      <c r="D539" s="5">
        <f>IFERROR(__xludf.DUMMYFUNCTION("""COMPUTED_VALUE"""),1555.0)</f>
        <v>1555</v>
      </c>
      <c r="E539" s="5">
        <f>IFERROR(__xludf.DUMMYFUNCTION("""COMPUTED_VALUE"""),1565.0)</f>
        <v>1565</v>
      </c>
      <c r="F539" s="5">
        <f>IFERROR(__xludf.DUMMYFUNCTION("""COMPUTED_VALUE"""),3.87176E7)</f>
        <v>38717600</v>
      </c>
      <c r="G539" s="5">
        <f t="shared" si="1"/>
        <v>75</v>
      </c>
    </row>
    <row r="540">
      <c r="A540" s="4">
        <f>IFERROR(__xludf.DUMMYFUNCTION("""COMPUTED_VALUE"""),44636.66666666667)</f>
        <v>44636.66667</v>
      </c>
      <c r="B540" s="5">
        <f>IFERROR(__xludf.DUMMYFUNCTION("""COMPUTED_VALUE"""),1565.0)</f>
        <v>1565</v>
      </c>
      <c r="C540" s="5">
        <f>IFERROR(__xludf.DUMMYFUNCTION("""COMPUTED_VALUE"""),1595.0)</f>
        <v>1595</v>
      </c>
      <c r="D540" s="5">
        <f>IFERROR(__xludf.DUMMYFUNCTION("""COMPUTED_VALUE"""),1560.0)</f>
        <v>1560</v>
      </c>
      <c r="E540" s="5">
        <f>IFERROR(__xludf.DUMMYFUNCTION("""COMPUTED_VALUE"""),1580.0)</f>
        <v>1580</v>
      </c>
      <c r="F540" s="5">
        <f>IFERROR(__xludf.DUMMYFUNCTION("""COMPUTED_VALUE"""),2.50086E7)</f>
        <v>25008600</v>
      </c>
      <c r="G540" s="5">
        <f t="shared" si="1"/>
        <v>35</v>
      </c>
    </row>
    <row r="541">
      <c r="A541" s="4">
        <f>IFERROR(__xludf.DUMMYFUNCTION("""COMPUTED_VALUE"""),44637.66666666667)</f>
        <v>44637.66667</v>
      </c>
      <c r="B541" s="5">
        <f>IFERROR(__xludf.DUMMYFUNCTION("""COMPUTED_VALUE"""),1595.0)</f>
        <v>1595</v>
      </c>
      <c r="C541" s="5">
        <f>IFERROR(__xludf.DUMMYFUNCTION("""COMPUTED_VALUE"""),1660.0)</f>
        <v>1660</v>
      </c>
      <c r="D541" s="5">
        <f>IFERROR(__xludf.DUMMYFUNCTION("""COMPUTED_VALUE"""),1590.0)</f>
        <v>1590</v>
      </c>
      <c r="E541" s="5">
        <f>IFERROR(__xludf.DUMMYFUNCTION("""COMPUTED_VALUE"""),1640.0)</f>
        <v>1640</v>
      </c>
      <c r="F541" s="5">
        <f>IFERROR(__xludf.DUMMYFUNCTION("""COMPUTED_VALUE"""),6.34583E7)</f>
        <v>63458300</v>
      </c>
      <c r="G541" s="5">
        <f t="shared" si="1"/>
        <v>80</v>
      </c>
    </row>
    <row r="542">
      <c r="A542" s="4">
        <f>IFERROR(__xludf.DUMMYFUNCTION("""COMPUTED_VALUE"""),44638.66666666667)</f>
        <v>44638.66667</v>
      </c>
      <c r="B542" s="5">
        <f>IFERROR(__xludf.DUMMYFUNCTION("""COMPUTED_VALUE"""),1645.0)</f>
        <v>1645</v>
      </c>
      <c r="C542" s="5">
        <f>IFERROR(__xludf.DUMMYFUNCTION("""COMPUTED_VALUE"""),1680.0)</f>
        <v>1680</v>
      </c>
      <c r="D542" s="5">
        <f>IFERROR(__xludf.DUMMYFUNCTION("""COMPUTED_VALUE"""),1630.0)</f>
        <v>1630</v>
      </c>
      <c r="E542" s="5">
        <f>IFERROR(__xludf.DUMMYFUNCTION("""COMPUTED_VALUE"""),1670.0)</f>
        <v>1670</v>
      </c>
      <c r="F542" s="5">
        <f>IFERROR(__xludf.DUMMYFUNCTION("""COMPUTED_VALUE"""),3.87448E7)</f>
        <v>38744800</v>
      </c>
      <c r="G542" s="5">
        <f t="shared" si="1"/>
        <v>50</v>
      </c>
    </row>
    <row r="543">
      <c r="A543" s="4">
        <f>IFERROR(__xludf.DUMMYFUNCTION("""COMPUTED_VALUE"""),44641.66666666667)</f>
        <v>44641.66667</v>
      </c>
      <c r="B543" s="5">
        <f>IFERROR(__xludf.DUMMYFUNCTION("""COMPUTED_VALUE"""),1660.0)</f>
        <v>1660</v>
      </c>
      <c r="C543" s="5">
        <f>IFERROR(__xludf.DUMMYFUNCTION("""COMPUTED_VALUE"""),1670.0)</f>
        <v>1670</v>
      </c>
      <c r="D543" s="5">
        <f>IFERROR(__xludf.DUMMYFUNCTION("""COMPUTED_VALUE"""),1630.0)</f>
        <v>1630</v>
      </c>
      <c r="E543" s="5">
        <f>IFERROR(__xludf.DUMMYFUNCTION("""COMPUTED_VALUE"""),1655.0)</f>
        <v>1655</v>
      </c>
      <c r="F543" s="5">
        <f>IFERROR(__xludf.DUMMYFUNCTION("""COMPUTED_VALUE"""),2.22605E7)</f>
        <v>22260500</v>
      </c>
      <c r="G543" s="5">
        <f t="shared" si="1"/>
        <v>40</v>
      </c>
    </row>
    <row r="544">
      <c r="A544" s="4">
        <f>IFERROR(__xludf.DUMMYFUNCTION("""COMPUTED_VALUE"""),44642.66666666667)</f>
        <v>44642.66667</v>
      </c>
      <c r="B544" s="5">
        <f>IFERROR(__xludf.DUMMYFUNCTION("""COMPUTED_VALUE"""),1655.0)</f>
        <v>1655</v>
      </c>
      <c r="C544" s="5">
        <f>IFERROR(__xludf.DUMMYFUNCTION("""COMPUTED_VALUE"""),1780.0)</f>
        <v>1780</v>
      </c>
      <c r="D544" s="5">
        <f>IFERROR(__xludf.DUMMYFUNCTION("""COMPUTED_VALUE"""),1650.0)</f>
        <v>1650</v>
      </c>
      <c r="E544" s="5">
        <f>IFERROR(__xludf.DUMMYFUNCTION("""COMPUTED_VALUE"""),1770.0)</f>
        <v>1770</v>
      </c>
      <c r="F544" s="5">
        <f>IFERROR(__xludf.DUMMYFUNCTION("""COMPUTED_VALUE"""),9.76173E7)</f>
        <v>97617300</v>
      </c>
      <c r="G544" s="5">
        <f t="shared" si="1"/>
        <v>130</v>
      </c>
    </row>
    <row r="545">
      <c r="A545" s="4">
        <f>IFERROR(__xludf.DUMMYFUNCTION("""COMPUTED_VALUE"""),44643.66666666667)</f>
        <v>44643.66667</v>
      </c>
      <c r="B545" s="5">
        <f>IFERROR(__xludf.DUMMYFUNCTION("""COMPUTED_VALUE"""),1770.0)</f>
        <v>1770</v>
      </c>
      <c r="C545" s="5">
        <f>IFERROR(__xludf.DUMMYFUNCTION("""COMPUTED_VALUE"""),1780.0)</f>
        <v>1780</v>
      </c>
      <c r="D545" s="5">
        <f>IFERROR(__xludf.DUMMYFUNCTION("""COMPUTED_VALUE"""),1725.0)</f>
        <v>1725</v>
      </c>
      <c r="E545" s="5">
        <f>IFERROR(__xludf.DUMMYFUNCTION("""COMPUTED_VALUE"""),1770.0)</f>
        <v>1770</v>
      </c>
      <c r="F545" s="5">
        <f>IFERROR(__xludf.DUMMYFUNCTION("""COMPUTED_VALUE"""),6.01611E7)</f>
        <v>60161100</v>
      </c>
      <c r="G545" s="5">
        <f t="shared" si="1"/>
        <v>55</v>
      </c>
    </row>
    <row r="546">
      <c r="A546" s="4">
        <f>IFERROR(__xludf.DUMMYFUNCTION("""COMPUTED_VALUE"""),44644.66666666667)</f>
        <v>44644.66667</v>
      </c>
      <c r="B546" s="5">
        <f>IFERROR(__xludf.DUMMYFUNCTION("""COMPUTED_VALUE"""),1790.0)</f>
        <v>1790</v>
      </c>
      <c r="C546" s="5">
        <f>IFERROR(__xludf.DUMMYFUNCTION("""COMPUTED_VALUE"""),1850.0)</f>
        <v>1850</v>
      </c>
      <c r="D546" s="5">
        <f>IFERROR(__xludf.DUMMYFUNCTION("""COMPUTED_VALUE"""),1790.0)</f>
        <v>1790</v>
      </c>
      <c r="E546" s="5">
        <f>IFERROR(__xludf.DUMMYFUNCTION("""COMPUTED_VALUE"""),1845.0)</f>
        <v>1845</v>
      </c>
      <c r="F546" s="5">
        <f>IFERROR(__xludf.DUMMYFUNCTION("""COMPUTED_VALUE"""),1.056158E8)</f>
        <v>105615800</v>
      </c>
      <c r="G546" s="5">
        <f t="shared" si="1"/>
        <v>80</v>
      </c>
    </row>
    <row r="547">
      <c r="A547" s="4">
        <f>IFERROR(__xludf.DUMMYFUNCTION("""COMPUTED_VALUE"""),44645.66666666667)</f>
        <v>44645.66667</v>
      </c>
      <c r="B547" s="5">
        <f>IFERROR(__xludf.DUMMYFUNCTION("""COMPUTED_VALUE"""),1850.0)</f>
        <v>1850</v>
      </c>
      <c r="C547" s="5">
        <f>IFERROR(__xludf.DUMMYFUNCTION("""COMPUTED_VALUE"""),1865.0)</f>
        <v>1865</v>
      </c>
      <c r="D547" s="5">
        <f>IFERROR(__xludf.DUMMYFUNCTION("""COMPUTED_VALUE"""),1820.0)</f>
        <v>1820</v>
      </c>
      <c r="E547" s="5">
        <f>IFERROR(__xludf.DUMMYFUNCTION("""COMPUTED_VALUE"""),1845.0)</f>
        <v>1845</v>
      </c>
      <c r="F547" s="5">
        <f>IFERROR(__xludf.DUMMYFUNCTION("""COMPUTED_VALUE"""),7.62871E7)</f>
        <v>76287100</v>
      </c>
      <c r="G547" s="5">
        <f t="shared" si="1"/>
        <v>45</v>
      </c>
    </row>
    <row r="548">
      <c r="A548" s="4">
        <f>IFERROR(__xludf.DUMMYFUNCTION("""COMPUTED_VALUE"""),44648.66666666667)</f>
        <v>44648.66667</v>
      </c>
      <c r="B548" s="5">
        <f>IFERROR(__xludf.DUMMYFUNCTION("""COMPUTED_VALUE"""),1840.0)</f>
        <v>1840</v>
      </c>
      <c r="C548" s="5">
        <f>IFERROR(__xludf.DUMMYFUNCTION("""COMPUTED_VALUE"""),1865.0)</f>
        <v>1865</v>
      </c>
      <c r="D548" s="5">
        <f>IFERROR(__xludf.DUMMYFUNCTION("""COMPUTED_VALUE"""),1810.0)</f>
        <v>1810</v>
      </c>
      <c r="E548" s="5">
        <f>IFERROR(__xludf.DUMMYFUNCTION("""COMPUTED_VALUE"""),1855.0)</f>
        <v>1855</v>
      </c>
      <c r="F548" s="5">
        <f>IFERROR(__xludf.DUMMYFUNCTION("""COMPUTED_VALUE"""),3.96188E7)</f>
        <v>39618800</v>
      </c>
      <c r="G548" s="5">
        <f t="shared" si="1"/>
        <v>55</v>
      </c>
    </row>
    <row r="549">
      <c r="A549" s="4">
        <f>IFERROR(__xludf.DUMMYFUNCTION("""COMPUTED_VALUE"""),44649.66666666667)</f>
        <v>44649.66667</v>
      </c>
      <c r="B549" s="5">
        <f>IFERROR(__xludf.DUMMYFUNCTION("""COMPUTED_VALUE"""),1845.0)</f>
        <v>1845</v>
      </c>
      <c r="C549" s="5">
        <f>IFERROR(__xludf.DUMMYFUNCTION("""COMPUTED_VALUE"""),1860.0)</f>
        <v>1860</v>
      </c>
      <c r="D549" s="5">
        <f>IFERROR(__xludf.DUMMYFUNCTION("""COMPUTED_VALUE"""),1785.0)</f>
        <v>1785</v>
      </c>
      <c r="E549" s="5">
        <f>IFERROR(__xludf.DUMMYFUNCTION("""COMPUTED_VALUE"""),1840.0)</f>
        <v>1840</v>
      </c>
      <c r="F549" s="5">
        <f>IFERROR(__xludf.DUMMYFUNCTION("""COMPUTED_VALUE"""),5.20871E7)</f>
        <v>52087100</v>
      </c>
      <c r="G549" s="5">
        <f t="shared" si="1"/>
        <v>75</v>
      </c>
    </row>
    <row r="550">
      <c r="A550" s="4">
        <f>IFERROR(__xludf.DUMMYFUNCTION("""COMPUTED_VALUE"""),44650.66666666667)</f>
        <v>44650.66667</v>
      </c>
      <c r="B550" s="5">
        <f>IFERROR(__xludf.DUMMYFUNCTION("""COMPUTED_VALUE"""),1840.0)</f>
        <v>1840</v>
      </c>
      <c r="C550" s="5">
        <f>IFERROR(__xludf.DUMMYFUNCTION("""COMPUTED_VALUE"""),1880.0)</f>
        <v>1880</v>
      </c>
      <c r="D550" s="5">
        <f>IFERROR(__xludf.DUMMYFUNCTION("""COMPUTED_VALUE"""),1780.0)</f>
        <v>1780</v>
      </c>
      <c r="E550" s="5">
        <f>IFERROR(__xludf.DUMMYFUNCTION("""COMPUTED_VALUE"""),1825.0)</f>
        <v>1825</v>
      </c>
      <c r="F550" s="5">
        <f>IFERROR(__xludf.DUMMYFUNCTION("""COMPUTED_VALUE"""),6.30868E7)</f>
        <v>63086800</v>
      </c>
      <c r="G550" s="5">
        <f t="shared" si="1"/>
        <v>100</v>
      </c>
    </row>
    <row r="551">
      <c r="A551" s="4">
        <f>IFERROR(__xludf.DUMMYFUNCTION("""COMPUTED_VALUE"""),44651.66666666667)</f>
        <v>44651.66667</v>
      </c>
      <c r="B551" s="5">
        <f>IFERROR(__xludf.DUMMYFUNCTION("""COMPUTED_VALUE"""),1825.0)</f>
        <v>1825</v>
      </c>
      <c r="C551" s="5">
        <f>IFERROR(__xludf.DUMMYFUNCTION("""COMPUTED_VALUE"""),1850.0)</f>
        <v>1850</v>
      </c>
      <c r="D551" s="5">
        <f>IFERROR(__xludf.DUMMYFUNCTION("""COMPUTED_VALUE"""),1810.0)</f>
        <v>1810</v>
      </c>
      <c r="E551" s="5">
        <f>IFERROR(__xludf.DUMMYFUNCTION("""COMPUTED_VALUE"""),1820.0)</f>
        <v>1820</v>
      </c>
      <c r="F551" s="5">
        <f>IFERROR(__xludf.DUMMYFUNCTION("""COMPUTED_VALUE"""),2.73159E7)</f>
        <v>27315900</v>
      </c>
      <c r="G551" s="5">
        <f t="shared" si="1"/>
        <v>40</v>
      </c>
    </row>
    <row r="552">
      <c r="A552" s="4">
        <f>IFERROR(__xludf.DUMMYFUNCTION("""COMPUTED_VALUE"""),44652.66666666667)</f>
        <v>44652.66667</v>
      </c>
      <c r="B552" s="5">
        <f>IFERROR(__xludf.DUMMYFUNCTION("""COMPUTED_VALUE"""),1820.0)</f>
        <v>1820</v>
      </c>
      <c r="C552" s="5">
        <f>IFERROR(__xludf.DUMMYFUNCTION("""COMPUTED_VALUE"""),1910.0)</f>
        <v>1910</v>
      </c>
      <c r="D552" s="5">
        <f>IFERROR(__xludf.DUMMYFUNCTION("""COMPUTED_VALUE"""),1810.0)</f>
        <v>1810</v>
      </c>
      <c r="E552" s="5">
        <f>IFERROR(__xludf.DUMMYFUNCTION("""COMPUTED_VALUE"""),1880.0)</f>
        <v>1880</v>
      </c>
      <c r="F552" s="5">
        <f>IFERROR(__xludf.DUMMYFUNCTION("""COMPUTED_VALUE"""),1.003672E8)</f>
        <v>100367200</v>
      </c>
      <c r="G552" s="5">
        <f t="shared" si="1"/>
        <v>100</v>
      </c>
    </row>
    <row r="553">
      <c r="A553" s="4">
        <f>IFERROR(__xludf.DUMMYFUNCTION("""COMPUTED_VALUE"""),44655.66666666667)</f>
        <v>44655.66667</v>
      </c>
      <c r="B553" s="5">
        <f>IFERROR(__xludf.DUMMYFUNCTION("""COMPUTED_VALUE"""),1900.0)</f>
        <v>1900</v>
      </c>
      <c r="C553" s="5">
        <f>IFERROR(__xludf.DUMMYFUNCTION("""COMPUTED_VALUE"""),1945.0)</f>
        <v>1945</v>
      </c>
      <c r="D553" s="5">
        <f>IFERROR(__xludf.DUMMYFUNCTION("""COMPUTED_VALUE"""),1880.0)</f>
        <v>1880</v>
      </c>
      <c r="E553" s="5">
        <f>IFERROR(__xludf.DUMMYFUNCTION("""COMPUTED_VALUE"""),1945.0)</f>
        <v>1945</v>
      </c>
      <c r="F553" s="5">
        <f>IFERROR(__xludf.DUMMYFUNCTION("""COMPUTED_VALUE"""),6.24161E7)</f>
        <v>62416100</v>
      </c>
      <c r="G553" s="5">
        <f t="shared" si="1"/>
        <v>65</v>
      </c>
    </row>
    <row r="554">
      <c r="A554" s="4">
        <f>IFERROR(__xludf.DUMMYFUNCTION("""COMPUTED_VALUE"""),44656.66666666667)</f>
        <v>44656.66667</v>
      </c>
      <c r="B554" s="5">
        <f>IFERROR(__xludf.DUMMYFUNCTION("""COMPUTED_VALUE"""),1950.0)</f>
        <v>1950</v>
      </c>
      <c r="C554" s="5">
        <f>IFERROR(__xludf.DUMMYFUNCTION("""COMPUTED_VALUE"""),1955.0)</f>
        <v>1955</v>
      </c>
      <c r="D554" s="5">
        <f>IFERROR(__xludf.DUMMYFUNCTION("""COMPUTED_VALUE"""),1920.0)</f>
        <v>1920</v>
      </c>
      <c r="E554" s="5">
        <f>IFERROR(__xludf.DUMMYFUNCTION("""COMPUTED_VALUE"""),1940.0)</f>
        <v>1940</v>
      </c>
      <c r="F554" s="5">
        <f>IFERROR(__xludf.DUMMYFUNCTION("""COMPUTED_VALUE"""),3.25885E7)</f>
        <v>32588500</v>
      </c>
      <c r="G554" s="5">
        <f t="shared" si="1"/>
        <v>35</v>
      </c>
    </row>
    <row r="555">
      <c r="A555" s="4">
        <f>IFERROR(__xludf.DUMMYFUNCTION("""COMPUTED_VALUE"""),44657.66666666667)</f>
        <v>44657.66667</v>
      </c>
      <c r="B555" s="5">
        <f>IFERROR(__xludf.DUMMYFUNCTION("""COMPUTED_VALUE"""),1935.0)</f>
        <v>1935</v>
      </c>
      <c r="C555" s="5">
        <f>IFERROR(__xludf.DUMMYFUNCTION("""COMPUTED_VALUE"""),1945.0)</f>
        <v>1945</v>
      </c>
      <c r="D555" s="5">
        <f>IFERROR(__xludf.DUMMYFUNCTION("""COMPUTED_VALUE"""),1885.0)</f>
        <v>1885</v>
      </c>
      <c r="E555" s="5">
        <f>IFERROR(__xludf.DUMMYFUNCTION("""COMPUTED_VALUE"""),1895.0)</f>
        <v>1895</v>
      </c>
      <c r="F555" s="5">
        <f>IFERROR(__xludf.DUMMYFUNCTION("""COMPUTED_VALUE"""),3.84518E7)</f>
        <v>38451800</v>
      </c>
      <c r="G555" s="5">
        <f t="shared" si="1"/>
        <v>60</v>
      </c>
    </row>
    <row r="556">
      <c r="A556" s="4">
        <f>IFERROR(__xludf.DUMMYFUNCTION("""COMPUTED_VALUE"""),44658.66666666667)</f>
        <v>44658.66667</v>
      </c>
      <c r="B556" s="5">
        <f>IFERROR(__xludf.DUMMYFUNCTION("""COMPUTED_VALUE"""),1890.0)</f>
        <v>1890</v>
      </c>
      <c r="C556" s="5">
        <f>IFERROR(__xludf.DUMMYFUNCTION("""COMPUTED_VALUE"""),1980.0)</f>
        <v>1980</v>
      </c>
      <c r="D556" s="5">
        <f>IFERROR(__xludf.DUMMYFUNCTION("""COMPUTED_VALUE"""),1880.0)</f>
        <v>1880</v>
      </c>
      <c r="E556" s="5">
        <f>IFERROR(__xludf.DUMMYFUNCTION("""COMPUTED_VALUE"""),1940.0)</f>
        <v>1940</v>
      </c>
      <c r="F556" s="5">
        <f>IFERROR(__xludf.DUMMYFUNCTION("""COMPUTED_VALUE"""),8.1142E7)</f>
        <v>81142000</v>
      </c>
      <c r="G556" s="5">
        <f t="shared" si="1"/>
        <v>100</v>
      </c>
    </row>
    <row r="557">
      <c r="A557" s="4">
        <f>IFERROR(__xludf.DUMMYFUNCTION("""COMPUTED_VALUE"""),44659.66666666667)</f>
        <v>44659.66667</v>
      </c>
      <c r="B557" s="5">
        <f>IFERROR(__xludf.DUMMYFUNCTION("""COMPUTED_VALUE"""),1945.0)</f>
        <v>1945</v>
      </c>
      <c r="C557" s="5">
        <f>IFERROR(__xludf.DUMMYFUNCTION("""COMPUTED_VALUE"""),1975.0)</f>
        <v>1975</v>
      </c>
      <c r="D557" s="5">
        <f>IFERROR(__xludf.DUMMYFUNCTION("""COMPUTED_VALUE"""),1925.0)</f>
        <v>1925</v>
      </c>
      <c r="E557" s="5">
        <f>IFERROR(__xludf.DUMMYFUNCTION("""COMPUTED_VALUE"""),1950.0)</f>
        <v>1950</v>
      </c>
      <c r="F557" s="5">
        <f>IFERROR(__xludf.DUMMYFUNCTION("""COMPUTED_VALUE"""),4.73795E7)</f>
        <v>47379500</v>
      </c>
      <c r="G557" s="5">
        <f t="shared" si="1"/>
        <v>50</v>
      </c>
    </row>
    <row r="558">
      <c r="A558" s="4">
        <f>IFERROR(__xludf.DUMMYFUNCTION("""COMPUTED_VALUE"""),44662.66666666667)</f>
        <v>44662.66667</v>
      </c>
      <c r="B558" s="5">
        <f>IFERROR(__xludf.DUMMYFUNCTION("""COMPUTED_VALUE"""),1950.0)</f>
        <v>1950</v>
      </c>
      <c r="C558" s="5">
        <f>IFERROR(__xludf.DUMMYFUNCTION("""COMPUTED_VALUE"""),1960.0)</f>
        <v>1960</v>
      </c>
      <c r="D558" s="5">
        <f>IFERROR(__xludf.DUMMYFUNCTION("""COMPUTED_VALUE"""),1860.0)</f>
        <v>1860</v>
      </c>
      <c r="E558" s="5">
        <f>IFERROR(__xludf.DUMMYFUNCTION("""COMPUTED_VALUE"""),1860.0)</f>
        <v>1860</v>
      </c>
      <c r="F558" s="5">
        <f>IFERROR(__xludf.DUMMYFUNCTION("""COMPUTED_VALUE"""),5.85145E7)</f>
        <v>58514500</v>
      </c>
      <c r="G558" s="5">
        <f t="shared" si="1"/>
        <v>100</v>
      </c>
    </row>
    <row r="559">
      <c r="A559" s="4">
        <f>IFERROR(__xludf.DUMMYFUNCTION("""COMPUTED_VALUE"""),44663.66666666667)</f>
        <v>44663.66667</v>
      </c>
      <c r="B559" s="5">
        <f>IFERROR(__xludf.DUMMYFUNCTION("""COMPUTED_VALUE"""),1850.0)</f>
        <v>1850</v>
      </c>
      <c r="C559" s="5">
        <f>IFERROR(__xludf.DUMMYFUNCTION("""COMPUTED_VALUE"""),1910.0)</f>
        <v>1910</v>
      </c>
      <c r="D559" s="5">
        <f>IFERROR(__xludf.DUMMYFUNCTION("""COMPUTED_VALUE"""),1825.0)</f>
        <v>1825</v>
      </c>
      <c r="E559" s="5">
        <f>IFERROR(__xludf.DUMMYFUNCTION("""COMPUTED_VALUE"""),1890.0)</f>
        <v>1890</v>
      </c>
      <c r="F559" s="5">
        <f>IFERROR(__xludf.DUMMYFUNCTION("""COMPUTED_VALUE"""),3.62787E7)</f>
        <v>36278700</v>
      </c>
      <c r="G559" s="5">
        <f t="shared" si="1"/>
        <v>85</v>
      </c>
    </row>
    <row r="560">
      <c r="A560" s="4">
        <f>IFERROR(__xludf.DUMMYFUNCTION("""COMPUTED_VALUE"""),44664.66666666667)</f>
        <v>44664.66667</v>
      </c>
      <c r="B560" s="5">
        <f>IFERROR(__xludf.DUMMYFUNCTION("""COMPUTED_VALUE"""),1900.0)</f>
        <v>1900</v>
      </c>
      <c r="C560" s="5">
        <f>IFERROR(__xludf.DUMMYFUNCTION("""COMPUTED_VALUE"""),1950.0)</f>
        <v>1950</v>
      </c>
      <c r="D560" s="5">
        <f>IFERROR(__xludf.DUMMYFUNCTION("""COMPUTED_VALUE"""),1890.0)</f>
        <v>1890</v>
      </c>
      <c r="E560" s="5">
        <f>IFERROR(__xludf.DUMMYFUNCTION("""COMPUTED_VALUE"""),1930.0)</f>
        <v>1930</v>
      </c>
      <c r="F560" s="5">
        <f>IFERROR(__xludf.DUMMYFUNCTION("""COMPUTED_VALUE"""),3.97375E7)</f>
        <v>39737500</v>
      </c>
      <c r="G560" s="5">
        <f t="shared" si="1"/>
        <v>60</v>
      </c>
    </row>
    <row r="561">
      <c r="A561" s="4">
        <f>IFERROR(__xludf.DUMMYFUNCTION("""COMPUTED_VALUE"""),44665.66666666667)</f>
        <v>44665.66667</v>
      </c>
      <c r="B561" s="5">
        <f>IFERROR(__xludf.DUMMYFUNCTION("""COMPUTED_VALUE"""),1930.0)</f>
        <v>1930</v>
      </c>
      <c r="C561" s="5">
        <f>IFERROR(__xludf.DUMMYFUNCTION("""COMPUTED_VALUE"""),1995.0)</f>
        <v>1995</v>
      </c>
      <c r="D561" s="5">
        <f>IFERROR(__xludf.DUMMYFUNCTION("""COMPUTED_VALUE"""),1905.0)</f>
        <v>1905</v>
      </c>
      <c r="E561" s="5">
        <f>IFERROR(__xludf.DUMMYFUNCTION("""COMPUTED_VALUE"""),1920.0)</f>
        <v>1920</v>
      </c>
      <c r="F561" s="5">
        <f>IFERROR(__xludf.DUMMYFUNCTION("""COMPUTED_VALUE"""),7.50452E7)</f>
        <v>75045200</v>
      </c>
      <c r="G561" s="5">
        <f t="shared" si="1"/>
        <v>90</v>
      </c>
    </row>
    <row r="562">
      <c r="A562" s="4">
        <f>IFERROR(__xludf.DUMMYFUNCTION("""COMPUTED_VALUE"""),44669.66666666667)</f>
        <v>44669.66667</v>
      </c>
      <c r="B562" s="5">
        <f>IFERROR(__xludf.DUMMYFUNCTION("""COMPUTED_VALUE"""),1920.0)</f>
        <v>1920</v>
      </c>
      <c r="C562" s="5">
        <f>IFERROR(__xludf.DUMMYFUNCTION("""COMPUTED_VALUE"""),2070.0)</f>
        <v>2070</v>
      </c>
      <c r="D562" s="5">
        <f>IFERROR(__xludf.DUMMYFUNCTION("""COMPUTED_VALUE"""),1915.0)</f>
        <v>1915</v>
      </c>
      <c r="E562" s="5">
        <f>IFERROR(__xludf.DUMMYFUNCTION("""COMPUTED_VALUE"""),2050.0)</f>
        <v>2050</v>
      </c>
      <c r="F562" s="5">
        <f>IFERROR(__xludf.DUMMYFUNCTION("""COMPUTED_VALUE"""),1.082204E8)</f>
        <v>108220400</v>
      </c>
      <c r="G562" s="5">
        <f t="shared" si="1"/>
        <v>155</v>
      </c>
    </row>
    <row r="563">
      <c r="A563" s="4">
        <f>IFERROR(__xludf.DUMMYFUNCTION("""COMPUTED_VALUE"""),44670.66666666667)</f>
        <v>44670.66667</v>
      </c>
      <c r="B563" s="5">
        <f>IFERROR(__xludf.DUMMYFUNCTION("""COMPUTED_VALUE"""),2050.0)</f>
        <v>2050</v>
      </c>
      <c r="C563" s="5">
        <f>IFERROR(__xludf.DUMMYFUNCTION("""COMPUTED_VALUE"""),2070.0)</f>
        <v>2070</v>
      </c>
      <c r="D563" s="5">
        <f>IFERROR(__xludf.DUMMYFUNCTION("""COMPUTED_VALUE"""),1980.0)</f>
        <v>1980</v>
      </c>
      <c r="E563" s="5">
        <f>IFERROR(__xludf.DUMMYFUNCTION("""COMPUTED_VALUE"""),2010.0)</f>
        <v>2010</v>
      </c>
      <c r="F563" s="5">
        <f>IFERROR(__xludf.DUMMYFUNCTION("""COMPUTED_VALUE"""),7.58314E7)</f>
        <v>75831400</v>
      </c>
      <c r="G563" s="5">
        <f t="shared" si="1"/>
        <v>90</v>
      </c>
    </row>
    <row r="564">
      <c r="A564" s="4">
        <f>IFERROR(__xludf.DUMMYFUNCTION("""COMPUTED_VALUE"""),44671.66666666667)</f>
        <v>44671.66667</v>
      </c>
      <c r="B564" s="5">
        <f>IFERROR(__xludf.DUMMYFUNCTION("""COMPUTED_VALUE"""),2010.0)</f>
        <v>2010</v>
      </c>
      <c r="C564" s="5">
        <f>IFERROR(__xludf.DUMMYFUNCTION("""COMPUTED_VALUE"""),2030.0)</f>
        <v>2030</v>
      </c>
      <c r="D564" s="5">
        <f>IFERROR(__xludf.DUMMYFUNCTION("""COMPUTED_VALUE"""),1930.0)</f>
        <v>1930</v>
      </c>
      <c r="E564" s="5">
        <f>IFERROR(__xludf.DUMMYFUNCTION("""COMPUTED_VALUE"""),1990.0)</f>
        <v>1990</v>
      </c>
      <c r="F564" s="5">
        <f>IFERROR(__xludf.DUMMYFUNCTION("""COMPUTED_VALUE"""),9.53362E7)</f>
        <v>95336200</v>
      </c>
      <c r="G564" s="5">
        <f t="shared" si="1"/>
        <v>100</v>
      </c>
    </row>
    <row r="565">
      <c r="A565" s="4">
        <f>IFERROR(__xludf.DUMMYFUNCTION("""COMPUTED_VALUE"""),44672.66666666667)</f>
        <v>44672.66667</v>
      </c>
      <c r="B565" s="5">
        <f>IFERROR(__xludf.DUMMYFUNCTION("""COMPUTED_VALUE"""),1995.0)</f>
        <v>1995</v>
      </c>
      <c r="C565" s="5">
        <f>IFERROR(__xludf.DUMMYFUNCTION("""COMPUTED_VALUE"""),1995.0)</f>
        <v>1995</v>
      </c>
      <c r="D565" s="5">
        <f>IFERROR(__xludf.DUMMYFUNCTION("""COMPUTED_VALUE"""),1940.0)</f>
        <v>1940</v>
      </c>
      <c r="E565" s="5">
        <f>IFERROR(__xludf.DUMMYFUNCTION("""COMPUTED_VALUE"""),1965.0)</f>
        <v>1965</v>
      </c>
      <c r="F565" s="5">
        <f>IFERROR(__xludf.DUMMYFUNCTION("""COMPUTED_VALUE"""),3.95013E7)</f>
        <v>39501300</v>
      </c>
      <c r="G565" s="5">
        <f t="shared" si="1"/>
        <v>55</v>
      </c>
    </row>
    <row r="566">
      <c r="A566" s="4">
        <f>IFERROR(__xludf.DUMMYFUNCTION("""COMPUTED_VALUE"""),44673.66666666667)</f>
        <v>44673.66667</v>
      </c>
      <c r="B566" s="5">
        <f>IFERROR(__xludf.DUMMYFUNCTION("""COMPUTED_VALUE"""),1950.0)</f>
        <v>1950</v>
      </c>
      <c r="C566" s="5">
        <f>IFERROR(__xludf.DUMMYFUNCTION("""COMPUTED_VALUE"""),1975.0)</f>
        <v>1975</v>
      </c>
      <c r="D566" s="5">
        <f>IFERROR(__xludf.DUMMYFUNCTION("""COMPUTED_VALUE"""),1920.0)</f>
        <v>1920</v>
      </c>
      <c r="E566" s="5">
        <f>IFERROR(__xludf.DUMMYFUNCTION("""COMPUTED_VALUE"""),1935.0)</f>
        <v>1935</v>
      </c>
      <c r="F566" s="5">
        <f>IFERROR(__xludf.DUMMYFUNCTION("""COMPUTED_VALUE"""),5.53403E7)</f>
        <v>55340300</v>
      </c>
      <c r="G566" s="5">
        <f t="shared" si="1"/>
        <v>55</v>
      </c>
    </row>
    <row r="567">
      <c r="A567" s="4">
        <f>IFERROR(__xludf.DUMMYFUNCTION("""COMPUTED_VALUE"""),44676.66666666667)</f>
        <v>44676.66667</v>
      </c>
      <c r="B567" s="5">
        <f>IFERROR(__xludf.DUMMYFUNCTION("""COMPUTED_VALUE"""),1900.0)</f>
        <v>1900</v>
      </c>
      <c r="C567" s="5">
        <f>IFERROR(__xludf.DUMMYFUNCTION("""COMPUTED_VALUE"""),1905.0)</f>
        <v>1905</v>
      </c>
      <c r="D567" s="5">
        <f>IFERROR(__xludf.DUMMYFUNCTION("""COMPUTED_VALUE"""),1860.0)</f>
        <v>1860</v>
      </c>
      <c r="E567" s="5">
        <f>IFERROR(__xludf.DUMMYFUNCTION("""COMPUTED_VALUE"""),1875.0)</f>
        <v>1875</v>
      </c>
      <c r="F567" s="5">
        <f>IFERROR(__xludf.DUMMYFUNCTION("""COMPUTED_VALUE"""),4.66776E7)</f>
        <v>46677600</v>
      </c>
      <c r="G567" s="5">
        <f t="shared" si="1"/>
        <v>75</v>
      </c>
    </row>
    <row r="568">
      <c r="A568" s="4">
        <f>IFERROR(__xludf.DUMMYFUNCTION("""COMPUTED_VALUE"""),44677.66666666667)</f>
        <v>44677.66667</v>
      </c>
      <c r="B568" s="5">
        <f>IFERROR(__xludf.DUMMYFUNCTION("""COMPUTED_VALUE"""),1870.0)</f>
        <v>1870</v>
      </c>
      <c r="C568" s="5">
        <f>IFERROR(__xludf.DUMMYFUNCTION("""COMPUTED_VALUE"""),1885.0)</f>
        <v>1885</v>
      </c>
      <c r="D568" s="5">
        <f>IFERROR(__xludf.DUMMYFUNCTION("""COMPUTED_VALUE"""),1760.0)</f>
        <v>1760</v>
      </c>
      <c r="E568" s="5">
        <f>IFERROR(__xludf.DUMMYFUNCTION("""COMPUTED_VALUE"""),1825.0)</f>
        <v>1825</v>
      </c>
      <c r="F568" s="5">
        <f>IFERROR(__xludf.DUMMYFUNCTION("""COMPUTED_VALUE"""),9.64094E7)</f>
        <v>96409400</v>
      </c>
      <c r="G568" s="5">
        <f t="shared" si="1"/>
        <v>125</v>
      </c>
    </row>
    <row r="569">
      <c r="A569" s="4">
        <f>IFERROR(__xludf.DUMMYFUNCTION("""COMPUTED_VALUE"""),44678.66666666667)</f>
        <v>44678.66667</v>
      </c>
      <c r="B569" s="5">
        <f>IFERROR(__xludf.DUMMYFUNCTION("""COMPUTED_VALUE"""),1800.0)</f>
        <v>1800</v>
      </c>
      <c r="C569" s="5">
        <f>IFERROR(__xludf.DUMMYFUNCTION("""COMPUTED_VALUE"""),1880.0)</f>
        <v>1880</v>
      </c>
      <c r="D569" s="5">
        <f>IFERROR(__xludf.DUMMYFUNCTION("""COMPUTED_VALUE"""),1790.0)</f>
        <v>1790</v>
      </c>
      <c r="E569" s="5">
        <f>IFERROR(__xludf.DUMMYFUNCTION("""COMPUTED_VALUE"""),1865.0)</f>
        <v>1865</v>
      </c>
      <c r="F569" s="5">
        <f>IFERROR(__xludf.DUMMYFUNCTION("""COMPUTED_VALUE"""),3.34705E7)</f>
        <v>33470500</v>
      </c>
      <c r="G569" s="5">
        <f t="shared" si="1"/>
        <v>90</v>
      </c>
    </row>
    <row r="570">
      <c r="A570" s="4">
        <f>IFERROR(__xludf.DUMMYFUNCTION("""COMPUTED_VALUE"""),44679.66666666667)</f>
        <v>44679.66667</v>
      </c>
      <c r="B570" s="5">
        <f>IFERROR(__xludf.DUMMYFUNCTION("""COMPUTED_VALUE"""),1880.0)</f>
        <v>1880</v>
      </c>
      <c r="C570" s="5">
        <f>IFERROR(__xludf.DUMMYFUNCTION("""COMPUTED_VALUE"""),1900.0)</f>
        <v>1900</v>
      </c>
      <c r="D570" s="5">
        <f>IFERROR(__xludf.DUMMYFUNCTION("""COMPUTED_VALUE"""),1850.0)</f>
        <v>1850</v>
      </c>
      <c r="E570" s="5">
        <f>IFERROR(__xludf.DUMMYFUNCTION("""COMPUTED_VALUE"""),1855.0)</f>
        <v>1855</v>
      </c>
      <c r="F570" s="5">
        <f>IFERROR(__xludf.DUMMYFUNCTION("""COMPUTED_VALUE"""),1.99618E7)</f>
        <v>19961800</v>
      </c>
      <c r="G570" s="5">
        <f t="shared" si="1"/>
        <v>50</v>
      </c>
    </row>
    <row r="571">
      <c r="A571" s="4">
        <f>IFERROR(__xludf.DUMMYFUNCTION("""COMPUTED_VALUE"""),44690.66666666667)</f>
        <v>44690.66667</v>
      </c>
      <c r="B571" s="5">
        <f>IFERROR(__xludf.DUMMYFUNCTION("""COMPUTED_VALUE"""),1825.0)</f>
        <v>1825</v>
      </c>
      <c r="C571" s="5">
        <f>IFERROR(__xludf.DUMMYFUNCTION("""COMPUTED_VALUE"""),1840.0)</f>
        <v>1840</v>
      </c>
      <c r="D571" s="5">
        <f>IFERROR(__xludf.DUMMYFUNCTION("""COMPUTED_VALUE"""),1775.0)</f>
        <v>1775</v>
      </c>
      <c r="E571" s="5">
        <f>IFERROR(__xludf.DUMMYFUNCTION("""COMPUTED_VALUE"""),1785.0)</f>
        <v>1785</v>
      </c>
      <c r="F571" s="5">
        <f>IFERROR(__xludf.DUMMYFUNCTION("""COMPUTED_VALUE"""),2.82438E7)</f>
        <v>28243800</v>
      </c>
      <c r="G571" s="5">
        <f t="shared" si="1"/>
        <v>80</v>
      </c>
    </row>
    <row r="572">
      <c r="A572" s="4">
        <f>IFERROR(__xludf.DUMMYFUNCTION("""COMPUTED_VALUE"""),44691.66666666667)</f>
        <v>44691.66667</v>
      </c>
      <c r="B572" s="5">
        <f>IFERROR(__xludf.DUMMYFUNCTION("""COMPUTED_VALUE"""),1735.0)</f>
        <v>1735</v>
      </c>
      <c r="C572" s="5">
        <f>IFERROR(__xludf.DUMMYFUNCTION("""COMPUTED_VALUE"""),1750.0)</f>
        <v>1750</v>
      </c>
      <c r="D572" s="5">
        <f>IFERROR(__xludf.DUMMYFUNCTION("""COMPUTED_VALUE"""),1675.0)</f>
        <v>1675</v>
      </c>
      <c r="E572" s="5">
        <f>IFERROR(__xludf.DUMMYFUNCTION("""COMPUTED_VALUE"""),1700.0)</f>
        <v>1700</v>
      </c>
      <c r="F572" s="5">
        <f>IFERROR(__xludf.DUMMYFUNCTION("""COMPUTED_VALUE"""),5.24572E7)</f>
        <v>52457200</v>
      </c>
      <c r="G572" s="5">
        <f t="shared" si="1"/>
        <v>110</v>
      </c>
    </row>
    <row r="573">
      <c r="A573" s="4">
        <f>IFERROR(__xludf.DUMMYFUNCTION("""COMPUTED_VALUE"""),44692.66666666667)</f>
        <v>44692.66667</v>
      </c>
      <c r="B573" s="5">
        <f>IFERROR(__xludf.DUMMYFUNCTION("""COMPUTED_VALUE"""),1700.0)</f>
        <v>1700</v>
      </c>
      <c r="C573" s="5">
        <f>IFERROR(__xludf.DUMMYFUNCTION("""COMPUTED_VALUE"""),1755.0)</f>
        <v>1755</v>
      </c>
      <c r="D573" s="5">
        <f>IFERROR(__xludf.DUMMYFUNCTION("""COMPUTED_VALUE"""),1695.0)</f>
        <v>1695</v>
      </c>
      <c r="E573" s="5">
        <f>IFERROR(__xludf.DUMMYFUNCTION("""COMPUTED_VALUE"""),1710.0)</f>
        <v>1710</v>
      </c>
      <c r="F573" s="5">
        <f>IFERROR(__xludf.DUMMYFUNCTION("""COMPUTED_VALUE"""),3.10775E7)</f>
        <v>31077500</v>
      </c>
      <c r="G573" s="5">
        <f t="shared" si="1"/>
        <v>60</v>
      </c>
    </row>
    <row r="574">
      <c r="A574" s="4">
        <f>IFERROR(__xludf.DUMMYFUNCTION("""COMPUTED_VALUE"""),44693.66666666667)</f>
        <v>44693.66667</v>
      </c>
      <c r="B574" s="5">
        <f>IFERROR(__xludf.DUMMYFUNCTION("""COMPUTED_VALUE"""),1700.0)</f>
        <v>1700</v>
      </c>
      <c r="C574" s="5">
        <f>IFERROR(__xludf.DUMMYFUNCTION("""COMPUTED_VALUE"""),1740.0)</f>
        <v>1740</v>
      </c>
      <c r="D574" s="5">
        <f>IFERROR(__xludf.DUMMYFUNCTION("""COMPUTED_VALUE"""),1615.0)</f>
        <v>1615</v>
      </c>
      <c r="E574" s="5">
        <f>IFERROR(__xludf.DUMMYFUNCTION("""COMPUTED_VALUE"""),1630.0)</f>
        <v>1630</v>
      </c>
      <c r="F574" s="5">
        <f>IFERROR(__xludf.DUMMYFUNCTION("""COMPUTED_VALUE"""),4.07356E7)</f>
        <v>40735600</v>
      </c>
      <c r="G574" s="5">
        <f t="shared" si="1"/>
        <v>125</v>
      </c>
    </row>
    <row r="575">
      <c r="A575" s="4">
        <f>IFERROR(__xludf.DUMMYFUNCTION("""COMPUTED_VALUE"""),44694.66666666667)</f>
        <v>44694.66667</v>
      </c>
      <c r="B575" s="5">
        <f>IFERROR(__xludf.DUMMYFUNCTION("""COMPUTED_VALUE"""),1650.0)</f>
        <v>1650</v>
      </c>
      <c r="C575" s="5">
        <f>IFERROR(__xludf.DUMMYFUNCTION("""COMPUTED_VALUE"""),1660.0)</f>
        <v>1660</v>
      </c>
      <c r="D575" s="5">
        <f>IFERROR(__xludf.DUMMYFUNCTION("""COMPUTED_VALUE"""),1620.0)</f>
        <v>1620</v>
      </c>
      <c r="E575" s="5">
        <f>IFERROR(__xludf.DUMMYFUNCTION("""COMPUTED_VALUE"""),1635.0)</f>
        <v>1635</v>
      </c>
      <c r="F575" s="5">
        <f>IFERROR(__xludf.DUMMYFUNCTION("""COMPUTED_VALUE"""),2.22477E7)</f>
        <v>22247700</v>
      </c>
      <c r="G575" s="5">
        <f t="shared" si="1"/>
        <v>40</v>
      </c>
    </row>
    <row r="576">
      <c r="A576" s="4">
        <f>IFERROR(__xludf.DUMMYFUNCTION("""COMPUTED_VALUE"""),44698.66666666667)</f>
        <v>44698.66667</v>
      </c>
      <c r="B576" s="5">
        <f>IFERROR(__xludf.DUMMYFUNCTION("""COMPUTED_VALUE"""),1640.0)</f>
        <v>1640</v>
      </c>
      <c r="C576" s="5">
        <f>IFERROR(__xludf.DUMMYFUNCTION("""COMPUTED_VALUE"""),1685.0)</f>
        <v>1685</v>
      </c>
      <c r="D576" s="5">
        <f>IFERROR(__xludf.DUMMYFUNCTION("""COMPUTED_VALUE"""),1640.0)</f>
        <v>1640</v>
      </c>
      <c r="E576" s="5">
        <f>IFERROR(__xludf.DUMMYFUNCTION("""COMPUTED_VALUE"""),1675.0)</f>
        <v>1675</v>
      </c>
      <c r="F576" s="5">
        <f>IFERROR(__xludf.DUMMYFUNCTION("""COMPUTED_VALUE"""),3.50002E7)</f>
        <v>35000200</v>
      </c>
      <c r="G576" s="5">
        <f t="shared" si="1"/>
        <v>50</v>
      </c>
    </row>
    <row r="577">
      <c r="A577" s="4">
        <f>IFERROR(__xludf.DUMMYFUNCTION("""COMPUTED_VALUE"""),44699.66666666667)</f>
        <v>44699.66667</v>
      </c>
      <c r="B577" s="5">
        <f>IFERROR(__xludf.DUMMYFUNCTION("""COMPUTED_VALUE"""),1695.0)</f>
        <v>1695</v>
      </c>
      <c r="C577" s="5">
        <f>IFERROR(__xludf.DUMMYFUNCTION("""COMPUTED_VALUE"""),1705.0)</f>
        <v>1705</v>
      </c>
      <c r="D577" s="5">
        <f>IFERROR(__xludf.DUMMYFUNCTION("""COMPUTED_VALUE"""),1630.0)</f>
        <v>1630</v>
      </c>
      <c r="E577" s="5">
        <f>IFERROR(__xludf.DUMMYFUNCTION("""COMPUTED_VALUE"""),1670.0)</f>
        <v>1670</v>
      </c>
      <c r="F577" s="5">
        <f>IFERROR(__xludf.DUMMYFUNCTION("""COMPUTED_VALUE"""),5.14586E7)</f>
        <v>51458600</v>
      </c>
      <c r="G577" s="5">
        <f t="shared" si="1"/>
        <v>75</v>
      </c>
    </row>
    <row r="578">
      <c r="A578" s="4">
        <f>IFERROR(__xludf.DUMMYFUNCTION("""COMPUTED_VALUE"""),44700.66666666667)</f>
        <v>44700.66667</v>
      </c>
      <c r="B578" s="5">
        <f>IFERROR(__xludf.DUMMYFUNCTION("""COMPUTED_VALUE"""),1670.0)</f>
        <v>1670</v>
      </c>
      <c r="C578" s="5">
        <f>IFERROR(__xludf.DUMMYFUNCTION("""COMPUTED_VALUE"""),1735.0)</f>
        <v>1735</v>
      </c>
      <c r="D578" s="5">
        <f>IFERROR(__xludf.DUMMYFUNCTION("""COMPUTED_VALUE"""),1655.0)</f>
        <v>1655</v>
      </c>
      <c r="E578" s="5">
        <f>IFERROR(__xludf.DUMMYFUNCTION("""COMPUTED_VALUE"""),1705.0)</f>
        <v>1705</v>
      </c>
      <c r="F578" s="5">
        <f>IFERROR(__xludf.DUMMYFUNCTION("""COMPUTED_VALUE"""),1.375714E8)</f>
        <v>137571400</v>
      </c>
      <c r="G578" s="5">
        <f t="shared" si="1"/>
        <v>80</v>
      </c>
    </row>
    <row r="579">
      <c r="A579" s="4">
        <f>IFERROR(__xludf.DUMMYFUNCTION("""COMPUTED_VALUE"""),44701.66666666667)</f>
        <v>44701.66667</v>
      </c>
      <c r="B579" s="5">
        <f>IFERROR(__xludf.DUMMYFUNCTION("""COMPUTED_VALUE"""),1735.0)</f>
        <v>1735</v>
      </c>
      <c r="C579" s="5">
        <f>IFERROR(__xludf.DUMMYFUNCTION("""COMPUTED_VALUE"""),1765.0)</f>
        <v>1765</v>
      </c>
      <c r="D579" s="5">
        <f>IFERROR(__xludf.DUMMYFUNCTION("""COMPUTED_VALUE"""),1720.0)</f>
        <v>1720</v>
      </c>
      <c r="E579" s="5">
        <f>IFERROR(__xludf.DUMMYFUNCTION("""COMPUTED_VALUE"""),1740.0)</f>
        <v>1740</v>
      </c>
      <c r="F579" s="5">
        <f>IFERROR(__xludf.DUMMYFUNCTION("""COMPUTED_VALUE"""),6.51572E7)</f>
        <v>65157200</v>
      </c>
      <c r="G579" s="5">
        <f t="shared" si="1"/>
        <v>60</v>
      </c>
    </row>
    <row r="580">
      <c r="A580" s="4">
        <f>IFERROR(__xludf.DUMMYFUNCTION("""COMPUTED_VALUE"""),44704.66666666667)</f>
        <v>44704.66667</v>
      </c>
      <c r="B580" s="5">
        <f>IFERROR(__xludf.DUMMYFUNCTION("""COMPUTED_VALUE"""),1765.0)</f>
        <v>1765</v>
      </c>
      <c r="C580" s="5">
        <f>IFERROR(__xludf.DUMMYFUNCTION("""COMPUTED_VALUE"""),1780.0)</f>
        <v>1780</v>
      </c>
      <c r="D580" s="5">
        <f>IFERROR(__xludf.DUMMYFUNCTION("""COMPUTED_VALUE"""),1740.0)</f>
        <v>1740</v>
      </c>
      <c r="E580" s="5">
        <f>IFERROR(__xludf.DUMMYFUNCTION("""COMPUTED_VALUE"""),1750.0)</f>
        <v>1750</v>
      </c>
      <c r="F580" s="5">
        <f>IFERROR(__xludf.DUMMYFUNCTION("""COMPUTED_VALUE"""),3.10384E7)</f>
        <v>31038400</v>
      </c>
      <c r="G580" s="5">
        <f t="shared" si="1"/>
        <v>40</v>
      </c>
    </row>
    <row r="581">
      <c r="A581" s="4">
        <f>IFERROR(__xludf.DUMMYFUNCTION("""COMPUTED_VALUE"""),44705.66666666667)</f>
        <v>44705.66667</v>
      </c>
      <c r="B581" s="5">
        <f>IFERROR(__xludf.DUMMYFUNCTION("""COMPUTED_VALUE"""),1765.0)</f>
        <v>1765</v>
      </c>
      <c r="C581" s="5">
        <f>IFERROR(__xludf.DUMMYFUNCTION("""COMPUTED_VALUE"""),1810.0)</f>
        <v>1810</v>
      </c>
      <c r="D581" s="5">
        <f>IFERROR(__xludf.DUMMYFUNCTION("""COMPUTED_VALUE"""),1755.0)</f>
        <v>1755</v>
      </c>
      <c r="E581" s="5">
        <f>IFERROR(__xludf.DUMMYFUNCTION("""COMPUTED_VALUE"""),1805.0)</f>
        <v>1805</v>
      </c>
      <c r="F581" s="5">
        <f>IFERROR(__xludf.DUMMYFUNCTION("""COMPUTED_VALUE"""),4.80911E7)</f>
        <v>48091100</v>
      </c>
      <c r="G581" s="5">
        <f t="shared" si="1"/>
        <v>60</v>
      </c>
    </row>
    <row r="582">
      <c r="A582" s="4">
        <f>IFERROR(__xludf.DUMMYFUNCTION("""COMPUTED_VALUE"""),44706.66666666667)</f>
        <v>44706.66667</v>
      </c>
      <c r="B582" s="5">
        <f>IFERROR(__xludf.DUMMYFUNCTION("""COMPUTED_VALUE"""),1805.0)</f>
        <v>1805</v>
      </c>
      <c r="C582" s="5">
        <f>IFERROR(__xludf.DUMMYFUNCTION("""COMPUTED_VALUE"""),1810.0)</f>
        <v>1810</v>
      </c>
      <c r="D582" s="5">
        <f>IFERROR(__xludf.DUMMYFUNCTION("""COMPUTED_VALUE"""),1745.0)</f>
        <v>1745</v>
      </c>
      <c r="E582" s="5">
        <f>IFERROR(__xludf.DUMMYFUNCTION("""COMPUTED_VALUE"""),1770.0)</f>
        <v>1770</v>
      </c>
      <c r="F582" s="5">
        <f>IFERROR(__xludf.DUMMYFUNCTION("""COMPUTED_VALUE"""),4.57522E7)</f>
        <v>45752200</v>
      </c>
      <c r="G582" s="5">
        <f t="shared" si="1"/>
        <v>65</v>
      </c>
    </row>
    <row r="583">
      <c r="A583" s="4">
        <f>IFERROR(__xludf.DUMMYFUNCTION("""COMPUTED_VALUE"""),44708.66666666667)</f>
        <v>44708.66667</v>
      </c>
      <c r="B583" s="5">
        <f>IFERROR(__xludf.DUMMYFUNCTION("""COMPUTED_VALUE"""),1785.0)</f>
        <v>1785</v>
      </c>
      <c r="C583" s="5">
        <f>IFERROR(__xludf.DUMMYFUNCTION("""COMPUTED_VALUE"""),1795.0)</f>
        <v>1795</v>
      </c>
      <c r="D583" s="5">
        <f>IFERROR(__xludf.DUMMYFUNCTION("""COMPUTED_VALUE"""),1765.0)</f>
        <v>1765</v>
      </c>
      <c r="E583" s="5">
        <f>IFERROR(__xludf.DUMMYFUNCTION("""COMPUTED_VALUE"""),1770.0)</f>
        <v>1770</v>
      </c>
      <c r="F583" s="5">
        <f>IFERROR(__xludf.DUMMYFUNCTION("""COMPUTED_VALUE"""),3.04847E7)</f>
        <v>30484700</v>
      </c>
      <c r="G583" s="5">
        <f t="shared" si="1"/>
        <v>30</v>
      </c>
    </row>
    <row r="584">
      <c r="A584" s="4">
        <f>IFERROR(__xludf.DUMMYFUNCTION("""COMPUTED_VALUE"""),44711.66666666667)</f>
        <v>44711.66667</v>
      </c>
      <c r="B584" s="5">
        <f>IFERROR(__xludf.DUMMYFUNCTION("""COMPUTED_VALUE"""),1790.0)</f>
        <v>1790</v>
      </c>
      <c r="C584" s="5">
        <f>IFERROR(__xludf.DUMMYFUNCTION("""COMPUTED_VALUE"""),1815.0)</f>
        <v>1815</v>
      </c>
      <c r="D584" s="5">
        <f>IFERROR(__xludf.DUMMYFUNCTION("""COMPUTED_VALUE"""),1760.0)</f>
        <v>1760</v>
      </c>
      <c r="E584" s="5">
        <f>IFERROR(__xludf.DUMMYFUNCTION("""COMPUTED_VALUE"""),1810.0)</f>
        <v>1810</v>
      </c>
      <c r="F584" s="5">
        <f>IFERROR(__xludf.DUMMYFUNCTION("""COMPUTED_VALUE"""),2.75293E7)</f>
        <v>27529300</v>
      </c>
      <c r="G584" s="5">
        <f t="shared" si="1"/>
        <v>55</v>
      </c>
    </row>
    <row r="585">
      <c r="A585" s="4">
        <f>IFERROR(__xludf.DUMMYFUNCTION("""COMPUTED_VALUE"""),44712.66666666667)</f>
        <v>44712.66667</v>
      </c>
      <c r="B585" s="5">
        <f>IFERROR(__xludf.DUMMYFUNCTION("""COMPUTED_VALUE"""),1815.0)</f>
        <v>1815</v>
      </c>
      <c r="C585" s="5">
        <f>IFERROR(__xludf.DUMMYFUNCTION("""COMPUTED_VALUE"""),1900.0)</f>
        <v>1900</v>
      </c>
      <c r="D585" s="5">
        <f>IFERROR(__xludf.DUMMYFUNCTION("""COMPUTED_VALUE"""),1805.0)</f>
        <v>1805</v>
      </c>
      <c r="E585" s="5">
        <f>IFERROR(__xludf.DUMMYFUNCTION("""COMPUTED_VALUE"""),1900.0)</f>
        <v>1900</v>
      </c>
      <c r="F585" s="5">
        <f>IFERROR(__xludf.DUMMYFUNCTION("""COMPUTED_VALUE"""),6.69307E7)</f>
        <v>66930700</v>
      </c>
      <c r="G585" s="5">
        <f t="shared" si="1"/>
        <v>95</v>
      </c>
    </row>
    <row r="586">
      <c r="A586" s="4">
        <f>IFERROR(__xludf.DUMMYFUNCTION("""COMPUTED_VALUE"""),44714.66666666667)</f>
        <v>44714.66667</v>
      </c>
      <c r="B586" s="5">
        <f>IFERROR(__xludf.DUMMYFUNCTION("""COMPUTED_VALUE"""),1900.0)</f>
        <v>1900</v>
      </c>
      <c r="C586" s="5">
        <f>IFERROR(__xludf.DUMMYFUNCTION("""COMPUTED_VALUE"""),2040.0)</f>
        <v>2040</v>
      </c>
      <c r="D586" s="5">
        <f>IFERROR(__xludf.DUMMYFUNCTION("""COMPUTED_VALUE"""),1885.0)</f>
        <v>1885</v>
      </c>
      <c r="E586" s="5">
        <f>IFERROR(__xludf.DUMMYFUNCTION("""COMPUTED_VALUE"""),1995.0)</f>
        <v>1995</v>
      </c>
      <c r="F586" s="5">
        <f>IFERROR(__xludf.DUMMYFUNCTION("""COMPUTED_VALUE"""),1.215555E8)</f>
        <v>121555500</v>
      </c>
      <c r="G586" s="5">
        <f t="shared" si="1"/>
        <v>155</v>
      </c>
    </row>
    <row r="587">
      <c r="A587" s="4">
        <f>IFERROR(__xludf.DUMMYFUNCTION("""COMPUTED_VALUE"""),44715.66666666667)</f>
        <v>44715.66667</v>
      </c>
      <c r="B587" s="5">
        <f>IFERROR(__xludf.DUMMYFUNCTION("""COMPUTED_VALUE"""),2000.0)</f>
        <v>2000</v>
      </c>
      <c r="C587" s="5">
        <f>IFERROR(__xludf.DUMMYFUNCTION("""COMPUTED_VALUE"""),2010.0)</f>
        <v>2010</v>
      </c>
      <c r="D587" s="5">
        <f>IFERROR(__xludf.DUMMYFUNCTION("""COMPUTED_VALUE"""),1970.0)</f>
        <v>1970</v>
      </c>
      <c r="E587" s="5">
        <f>IFERROR(__xludf.DUMMYFUNCTION("""COMPUTED_VALUE"""),1985.0)</f>
        <v>1985</v>
      </c>
      <c r="F587" s="5">
        <f>IFERROR(__xludf.DUMMYFUNCTION("""COMPUTED_VALUE"""),5.75236E7)</f>
        <v>57523600</v>
      </c>
      <c r="G587" s="5">
        <f t="shared" si="1"/>
        <v>40</v>
      </c>
    </row>
    <row r="588">
      <c r="A588" s="4">
        <f>IFERROR(__xludf.DUMMYFUNCTION("""COMPUTED_VALUE"""),44718.66666666667)</f>
        <v>44718.66667</v>
      </c>
      <c r="B588" s="5">
        <f>IFERROR(__xludf.DUMMYFUNCTION("""COMPUTED_VALUE"""),1945.0)</f>
        <v>1945</v>
      </c>
      <c r="C588" s="5">
        <f>IFERROR(__xludf.DUMMYFUNCTION("""COMPUTED_VALUE"""),1945.0)</f>
        <v>1945</v>
      </c>
      <c r="D588" s="5">
        <f>IFERROR(__xludf.DUMMYFUNCTION("""COMPUTED_VALUE"""),1895.0)</f>
        <v>1895</v>
      </c>
      <c r="E588" s="5">
        <f>IFERROR(__xludf.DUMMYFUNCTION("""COMPUTED_VALUE"""),1925.0)</f>
        <v>1925</v>
      </c>
      <c r="F588" s="5">
        <f>IFERROR(__xludf.DUMMYFUNCTION("""COMPUTED_VALUE"""),3.60358E7)</f>
        <v>36035800</v>
      </c>
      <c r="G588" s="5">
        <f t="shared" si="1"/>
        <v>90</v>
      </c>
    </row>
    <row r="589">
      <c r="A589" s="4">
        <f>IFERROR(__xludf.DUMMYFUNCTION("""COMPUTED_VALUE"""),44719.66666666667)</f>
        <v>44719.66667</v>
      </c>
      <c r="B589" s="5">
        <f>IFERROR(__xludf.DUMMYFUNCTION("""COMPUTED_VALUE"""),1930.0)</f>
        <v>1930</v>
      </c>
      <c r="C589" s="5">
        <f>IFERROR(__xludf.DUMMYFUNCTION("""COMPUTED_VALUE"""),1960.0)</f>
        <v>1960</v>
      </c>
      <c r="D589" s="5">
        <f>IFERROR(__xludf.DUMMYFUNCTION("""COMPUTED_VALUE"""),1925.0)</f>
        <v>1925</v>
      </c>
      <c r="E589" s="5">
        <f>IFERROR(__xludf.DUMMYFUNCTION("""COMPUTED_VALUE"""),1950.0)</f>
        <v>1950</v>
      </c>
      <c r="F589" s="5">
        <f>IFERROR(__xludf.DUMMYFUNCTION("""COMPUTED_VALUE"""),2.40685E7)</f>
        <v>24068500</v>
      </c>
      <c r="G589" s="5">
        <f t="shared" si="1"/>
        <v>35</v>
      </c>
    </row>
    <row r="590">
      <c r="A590" s="4">
        <f>IFERROR(__xludf.DUMMYFUNCTION("""COMPUTED_VALUE"""),44720.66666666667)</f>
        <v>44720.66667</v>
      </c>
      <c r="B590" s="5">
        <f>IFERROR(__xludf.DUMMYFUNCTION("""COMPUTED_VALUE"""),1960.0)</f>
        <v>1960</v>
      </c>
      <c r="C590" s="5">
        <f>IFERROR(__xludf.DUMMYFUNCTION("""COMPUTED_VALUE"""),1980.0)</f>
        <v>1980</v>
      </c>
      <c r="D590" s="5">
        <f>IFERROR(__xludf.DUMMYFUNCTION("""COMPUTED_VALUE"""),1930.0)</f>
        <v>1930</v>
      </c>
      <c r="E590" s="5">
        <f>IFERROR(__xludf.DUMMYFUNCTION("""COMPUTED_VALUE"""),1960.0)</f>
        <v>1960</v>
      </c>
      <c r="F590" s="5">
        <f>IFERROR(__xludf.DUMMYFUNCTION("""COMPUTED_VALUE"""),3.14923E7)</f>
        <v>31492300</v>
      </c>
      <c r="G590" s="5">
        <f t="shared" si="1"/>
        <v>50</v>
      </c>
    </row>
    <row r="591">
      <c r="A591" s="4">
        <f>IFERROR(__xludf.DUMMYFUNCTION("""COMPUTED_VALUE"""),44721.66666666667)</f>
        <v>44721.66667</v>
      </c>
      <c r="B591" s="5">
        <f>IFERROR(__xludf.DUMMYFUNCTION("""COMPUTED_VALUE"""),1970.0)</f>
        <v>1970</v>
      </c>
      <c r="C591" s="5">
        <f>IFERROR(__xludf.DUMMYFUNCTION("""COMPUTED_VALUE"""),2010.0)</f>
        <v>2010</v>
      </c>
      <c r="D591" s="5">
        <f>IFERROR(__xludf.DUMMYFUNCTION("""COMPUTED_VALUE"""),1950.0)</f>
        <v>1950</v>
      </c>
      <c r="E591" s="5">
        <f>IFERROR(__xludf.DUMMYFUNCTION("""COMPUTED_VALUE"""),1985.0)</f>
        <v>1985</v>
      </c>
      <c r="F591" s="5">
        <f>IFERROR(__xludf.DUMMYFUNCTION("""COMPUTED_VALUE"""),5.62471E7)</f>
        <v>56247100</v>
      </c>
      <c r="G591" s="5">
        <f t="shared" si="1"/>
        <v>60</v>
      </c>
    </row>
    <row r="592">
      <c r="A592" s="4">
        <f>IFERROR(__xludf.DUMMYFUNCTION("""COMPUTED_VALUE"""),44722.66666666667)</f>
        <v>44722.66667</v>
      </c>
      <c r="B592" s="5">
        <f>IFERROR(__xludf.DUMMYFUNCTION("""COMPUTED_VALUE"""),1985.0)</f>
        <v>1985</v>
      </c>
      <c r="C592" s="5">
        <f>IFERROR(__xludf.DUMMYFUNCTION("""COMPUTED_VALUE"""),1995.0)</f>
        <v>1995</v>
      </c>
      <c r="D592" s="5">
        <f>IFERROR(__xludf.DUMMYFUNCTION("""COMPUTED_VALUE"""),1910.0)</f>
        <v>1910</v>
      </c>
      <c r="E592" s="5">
        <f>IFERROR(__xludf.DUMMYFUNCTION("""COMPUTED_VALUE"""),1930.0)</f>
        <v>1930</v>
      </c>
      <c r="F592" s="5">
        <f>IFERROR(__xludf.DUMMYFUNCTION("""COMPUTED_VALUE"""),3.22982E7)</f>
        <v>32298200</v>
      </c>
      <c r="G592" s="5">
        <f t="shared" si="1"/>
        <v>85</v>
      </c>
    </row>
    <row r="593">
      <c r="A593" s="4">
        <f>IFERROR(__xludf.DUMMYFUNCTION("""COMPUTED_VALUE"""),44725.66666666667)</f>
        <v>44725.66667</v>
      </c>
      <c r="B593" s="5">
        <f>IFERROR(__xludf.DUMMYFUNCTION("""COMPUTED_VALUE"""),1880.0)</f>
        <v>1880</v>
      </c>
      <c r="C593" s="5">
        <f>IFERROR(__xludf.DUMMYFUNCTION("""COMPUTED_VALUE"""),1890.0)</f>
        <v>1890</v>
      </c>
      <c r="D593" s="5">
        <f>IFERROR(__xludf.DUMMYFUNCTION("""COMPUTED_VALUE"""),1800.0)</f>
        <v>1800</v>
      </c>
      <c r="E593" s="5">
        <f>IFERROR(__xludf.DUMMYFUNCTION("""COMPUTED_VALUE"""),1840.0)</f>
        <v>1840</v>
      </c>
      <c r="F593" s="5">
        <f>IFERROR(__xludf.DUMMYFUNCTION("""COMPUTED_VALUE"""),3.14413E7)</f>
        <v>31441300</v>
      </c>
      <c r="G593" s="5">
        <f t="shared" si="1"/>
        <v>130</v>
      </c>
    </row>
    <row r="594">
      <c r="A594" s="4">
        <f>IFERROR(__xludf.DUMMYFUNCTION("""COMPUTED_VALUE"""),44726.66666666667)</f>
        <v>44726.66667</v>
      </c>
      <c r="B594" s="5">
        <f>IFERROR(__xludf.DUMMYFUNCTION("""COMPUTED_VALUE"""),1815.0)</f>
        <v>1815</v>
      </c>
      <c r="C594" s="5">
        <f>IFERROR(__xludf.DUMMYFUNCTION("""COMPUTED_VALUE"""),1875.0)</f>
        <v>1875</v>
      </c>
      <c r="D594" s="5">
        <f>IFERROR(__xludf.DUMMYFUNCTION("""COMPUTED_VALUE"""),1800.0)</f>
        <v>1800</v>
      </c>
      <c r="E594" s="5">
        <f>IFERROR(__xludf.DUMMYFUNCTION("""COMPUTED_VALUE"""),1860.0)</f>
        <v>1860</v>
      </c>
      <c r="F594" s="5">
        <f>IFERROR(__xludf.DUMMYFUNCTION("""COMPUTED_VALUE"""),3.14494E7)</f>
        <v>31449400</v>
      </c>
      <c r="G594" s="5">
        <f t="shared" si="1"/>
        <v>75</v>
      </c>
    </row>
    <row r="595">
      <c r="A595" s="4">
        <f>IFERROR(__xludf.DUMMYFUNCTION("""COMPUTED_VALUE"""),44727.66666666667)</f>
        <v>44727.66667</v>
      </c>
      <c r="B595" s="5">
        <f>IFERROR(__xludf.DUMMYFUNCTION("""COMPUTED_VALUE"""),1840.0)</f>
        <v>1840</v>
      </c>
      <c r="C595" s="5">
        <f>IFERROR(__xludf.DUMMYFUNCTION("""COMPUTED_VALUE"""),1850.0)</f>
        <v>1850</v>
      </c>
      <c r="D595" s="5">
        <f>IFERROR(__xludf.DUMMYFUNCTION("""COMPUTED_VALUE"""),1770.0)</f>
        <v>1770</v>
      </c>
      <c r="E595" s="5">
        <f>IFERROR(__xludf.DUMMYFUNCTION("""COMPUTED_VALUE"""),1820.0)</f>
        <v>1820</v>
      </c>
      <c r="F595" s="5">
        <f>IFERROR(__xludf.DUMMYFUNCTION("""COMPUTED_VALUE"""),5.42912E7)</f>
        <v>54291200</v>
      </c>
      <c r="G595" s="5">
        <f t="shared" si="1"/>
        <v>90</v>
      </c>
    </row>
    <row r="596">
      <c r="A596" s="4">
        <f>IFERROR(__xludf.DUMMYFUNCTION("""COMPUTED_VALUE"""),44728.66666666667)</f>
        <v>44728.66667</v>
      </c>
      <c r="B596" s="5">
        <f>IFERROR(__xludf.DUMMYFUNCTION("""COMPUTED_VALUE"""),1840.0)</f>
        <v>1840</v>
      </c>
      <c r="C596" s="5">
        <f>IFERROR(__xludf.DUMMYFUNCTION("""COMPUTED_VALUE"""),1850.0)</f>
        <v>1850</v>
      </c>
      <c r="D596" s="5">
        <f>IFERROR(__xludf.DUMMYFUNCTION("""COMPUTED_VALUE"""),1790.0)</f>
        <v>1790</v>
      </c>
      <c r="E596" s="5">
        <f>IFERROR(__xludf.DUMMYFUNCTION("""COMPUTED_VALUE"""),1790.0)</f>
        <v>1790</v>
      </c>
      <c r="F596" s="5">
        <f>IFERROR(__xludf.DUMMYFUNCTION("""COMPUTED_VALUE"""),3.2951E7)</f>
        <v>32951000</v>
      </c>
      <c r="G596" s="5">
        <f t="shared" si="1"/>
        <v>60</v>
      </c>
    </row>
    <row r="597">
      <c r="A597" s="4">
        <f>IFERROR(__xludf.DUMMYFUNCTION("""COMPUTED_VALUE"""),44729.66666666667)</f>
        <v>44729.66667</v>
      </c>
      <c r="B597" s="5">
        <f>IFERROR(__xludf.DUMMYFUNCTION("""COMPUTED_VALUE"""),1780.0)</f>
        <v>1780</v>
      </c>
      <c r="C597" s="5">
        <f>IFERROR(__xludf.DUMMYFUNCTION("""COMPUTED_VALUE"""),1810.0)</f>
        <v>1810</v>
      </c>
      <c r="D597" s="5">
        <f>IFERROR(__xludf.DUMMYFUNCTION("""COMPUTED_VALUE"""),1720.0)</f>
        <v>1720</v>
      </c>
      <c r="E597" s="5">
        <f>IFERROR(__xludf.DUMMYFUNCTION("""COMPUTED_VALUE"""),1720.0)</f>
        <v>1720</v>
      </c>
      <c r="F597" s="5">
        <f>IFERROR(__xludf.DUMMYFUNCTION("""COMPUTED_VALUE"""),3.50657E7)</f>
        <v>35065700</v>
      </c>
      <c r="G597" s="5">
        <f t="shared" si="1"/>
        <v>90</v>
      </c>
    </row>
    <row r="598">
      <c r="A598" s="4">
        <f>IFERROR(__xludf.DUMMYFUNCTION("""COMPUTED_VALUE"""),44732.66666666667)</f>
        <v>44732.66667</v>
      </c>
      <c r="B598" s="5">
        <f>IFERROR(__xludf.DUMMYFUNCTION("""COMPUTED_VALUE"""),1720.0)</f>
        <v>1720</v>
      </c>
      <c r="C598" s="5">
        <f>IFERROR(__xludf.DUMMYFUNCTION("""COMPUTED_VALUE"""),1720.0)</f>
        <v>1720</v>
      </c>
      <c r="D598" s="5">
        <f>IFERROR(__xludf.DUMMYFUNCTION("""COMPUTED_VALUE"""),1655.0)</f>
        <v>1655</v>
      </c>
      <c r="E598" s="5">
        <f>IFERROR(__xludf.DUMMYFUNCTION("""COMPUTED_VALUE"""),1685.0)</f>
        <v>1685</v>
      </c>
      <c r="F598" s="5">
        <f>IFERROR(__xludf.DUMMYFUNCTION("""COMPUTED_VALUE"""),2.20998E7)</f>
        <v>22099800</v>
      </c>
      <c r="G598" s="5">
        <f t="shared" si="1"/>
        <v>65</v>
      </c>
    </row>
    <row r="599">
      <c r="A599" s="4">
        <f>IFERROR(__xludf.DUMMYFUNCTION("""COMPUTED_VALUE"""),44733.66666666667)</f>
        <v>44733.66667</v>
      </c>
      <c r="B599" s="5">
        <f>IFERROR(__xludf.DUMMYFUNCTION("""COMPUTED_VALUE"""),1700.0)</f>
        <v>1700</v>
      </c>
      <c r="C599" s="5">
        <f>IFERROR(__xludf.DUMMYFUNCTION("""COMPUTED_VALUE"""),1740.0)</f>
        <v>1740</v>
      </c>
      <c r="D599" s="5">
        <f>IFERROR(__xludf.DUMMYFUNCTION("""COMPUTED_VALUE"""),1695.0)</f>
        <v>1695</v>
      </c>
      <c r="E599" s="5">
        <f>IFERROR(__xludf.DUMMYFUNCTION("""COMPUTED_VALUE"""),1735.0)</f>
        <v>1735</v>
      </c>
      <c r="F599" s="5">
        <f>IFERROR(__xludf.DUMMYFUNCTION("""COMPUTED_VALUE"""),2.4595E7)</f>
        <v>24595000</v>
      </c>
      <c r="G599" s="5">
        <f t="shared" si="1"/>
        <v>55</v>
      </c>
    </row>
    <row r="600">
      <c r="A600" s="4">
        <f>IFERROR(__xludf.DUMMYFUNCTION("""COMPUTED_VALUE"""),44734.66666666667)</f>
        <v>44734.66667</v>
      </c>
      <c r="B600" s="5">
        <f>IFERROR(__xludf.DUMMYFUNCTION("""COMPUTED_VALUE"""),1725.0)</f>
        <v>1725</v>
      </c>
      <c r="C600" s="5">
        <f>IFERROR(__xludf.DUMMYFUNCTION("""COMPUTED_VALUE"""),1735.0)</f>
        <v>1735</v>
      </c>
      <c r="D600" s="5">
        <f>IFERROR(__xludf.DUMMYFUNCTION("""COMPUTED_VALUE"""),1615.0)</f>
        <v>1615</v>
      </c>
      <c r="E600" s="5">
        <f>IFERROR(__xludf.DUMMYFUNCTION("""COMPUTED_VALUE"""),1615.0)</f>
        <v>1615</v>
      </c>
      <c r="F600" s="5">
        <f>IFERROR(__xludf.DUMMYFUNCTION("""COMPUTED_VALUE"""),9.77322E7)</f>
        <v>97732200</v>
      </c>
      <c r="G600" s="5">
        <f t="shared" si="1"/>
        <v>120</v>
      </c>
    </row>
    <row r="601">
      <c r="A601" s="4">
        <f>IFERROR(__xludf.DUMMYFUNCTION("""COMPUTED_VALUE"""),44735.66666666667)</f>
        <v>44735.66667</v>
      </c>
      <c r="B601" s="5">
        <f>IFERROR(__xludf.DUMMYFUNCTION("""COMPUTED_VALUE"""),1580.0)</f>
        <v>1580</v>
      </c>
      <c r="C601" s="5">
        <f>IFERROR(__xludf.DUMMYFUNCTION("""COMPUTED_VALUE"""),1590.0)</f>
        <v>1590</v>
      </c>
      <c r="D601" s="5">
        <f>IFERROR(__xludf.DUMMYFUNCTION("""COMPUTED_VALUE"""),1505.0)</f>
        <v>1505</v>
      </c>
      <c r="E601" s="5">
        <f>IFERROR(__xludf.DUMMYFUNCTION("""COMPUTED_VALUE"""),1510.0)</f>
        <v>1510</v>
      </c>
      <c r="F601" s="5">
        <f>IFERROR(__xludf.DUMMYFUNCTION("""COMPUTED_VALUE"""),9.38997E7)</f>
        <v>93899700</v>
      </c>
      <c r="G601" s="5">
        <f t="shared" si="1"/>
        <v>110</v>
      </c>
    </row>
    <row r="602">
      <c r="A602" s="4">
        <f>IFERROR(__xludf.DUMMYFUNCTION("""COMPUTED_VALUE"""),44736.66666666667)</f>
        <v>44736.66667</v>
      </c>
      <c r="B602" s="5">
        <f>IFERROR(__xludf.DUMMYFUNCTION("""COMPUTED_VALUE"""),1470.0)</f>
        <v>1470</v>
      </c>
      <c r="C602" s="5">
        <f>IFERROR(__xludf.DUMMYFUNCTION("""COMPUTED_VALUE"""),1515.0)</f>
        <v>1515</v>
      </c>
      <c r="D602" s="5">
        <f>IFERROR(__xludf.DUMMYFUNCTION("""COMPUTED_VALUE"""),1460.0)</f>
        <v>1460</v>
      </c>
      <c r="E602" s="5">
        <f>IFERROR(__xludf.DUMMYFUNCTION("""COMPUTED_VALUE"""),1485.0)</f>
        <v>1485</v>
      </c>
      <c r="F602" s="5">
        <f>IFERROR(__xludf.DUMMYFUNCTION("""COMPUTED_VALUE"""),4.5584E7)</f>
        <v>45584000</v>
      </c>
      <c r="G602" s="5">
        <f t="shared" si="1"/>
        <v>55</v>
      </c>
    </row>
    <row r="603">
      <c r="A603" s="4">
        <f>IFERROR(__xludf.DUMMYFUNCTION("""COMPUTED_VALUE"""),44739.66666666667)</f>
        <v>44739.66667</v>
      </c>
      <c r="B603" s="5">
        <f>IFERROR(__xludf.DUMMYFUNCTION("""COMPUTED_VALUE"""),1475.0)</f>
        <v>1475</v>
      </c>
      <c r="C603" s="5">
        <f>IFERROR(__xludf.DUMMYFUNCTION("""COMPUTED_VALUE"""),1500.0)</f>
        <v>1500</v>
      </c>
      <c r="D603" s="5">
        <f>IFERROR(__xludf.DUMMYFUNCTION("""COMPUTED_VALUE"""),1425.0)</f>
        <v>1425</v>
      </c>
      <c r="E603" s="5">
        <f>IFERROR(__xludf.DUMMYFUNCTION("""COMPUTED_VALUE"""),1485.0)</f>
        <v>1485</v>
      </c>
      <c r="F603" s="5">
        <f>IFERROR(__xludf.DUMMYFUNCTION("""COMPUTED_VALUE"""),3.73815E7)</f>
        <v>37381500</v>
      </c>
      <c r="G603" s="5">
        <f t="shared" si="1"/>
        <v>75</v>
      </c>
    </row>
    <row r="604">
      <c r="A604" s="4">
        <f>IFERROR(__xludf.DUMMYFUNCTION("""COMPUTED_VALUE"""),44740.66666666667)</f>
        <v>44740.66667</v>
      </c>
      <c r="B604" s="5">
        <f>IFERROR(__xludf.DUMMYFUNCTION("""COMPUTED_VALUE"""),1500.0)</f>
        <v>1500</v>
      </c>
      <c r="C604" s="5">
        <f>IFERROR(__xludf.DUMMYFUNCTION("""COMPUTED_VALUE"""),1525.0)</f>
        <v>1525</v>
      </c>
      <c r="D604" s="5">
        <f>IFERROR(__xludf.DUMMYFUNCTION("""COMPUTED_VALUE"""),1480.0)</f>
        <v>1480</v>
      </c>
      <c r="E604" s="5">
        <f>IFERROR(__xludf.DUMMYFUNCTION("""COMPUTED_VALUE"""),1485.0)</f>
        <v>1485</v>
      </c>
      <c r="F604" s="5">
        <f>IFERROR(__xludf.DUMMYFUNCTION("""COMPUTED_VALUE"""),3.8574E7)</f>
        <v>38574000</v>
      </c>
      <c r="G604" s="5">
        <f t="shared" si="1"/>
        <v>45</v>
      </c>
    </row>
    <row r="605">
      <c r="A605" s="4">
        <f>IFERROR(__xludf.DUMMYFUNCTION("""COMPUTED_VALUE"""),44741.66666666667)</f>
        <v>44741.66667</v>
      </c>
      <c r="B605" s="5">
        <f>IFERROR(__xludf.DUMMYFUNCTION("""COMPUTED_VALUE"""),1495.0)</f>
        <v>1495</v>
      </c>
      <c r="C605" s="5">
        <f>IFERROR(__xludf.DUMMYFUNCTION("""COMPUTED_VALUE"""),1545.0)</f>
        <v>1545</v>
      </c>
      <c r="D605" s="5">
        <f>IFERROR(__xludf.DUMMYFUNCTION("""COMPUTED_VALUE"""),1495.0)</f>
        <v>1495</v>
      </c>
      <c r="E605" s="5">
        <f>IFERROR(__xludf.DUMMYFUNCTION("""COMPUTED_VALUE"""),1525.0)</f>
        <v>1525</v>
      </c>
      <c r="F605" s="5">
        <f>IFERROR(__xludf.DUMMYFUNCTION("""COMPUTED_VALUE"""),4.70847E7)</f>
        <v>47084700</v>
      </c>
      <c r="G605" s="5">
        <f t="shared" si="1"/>
        <v>60</v>
      </c>
    </row>
    <row r="606">
      <c r="A606" s="4">
        <f>IFERROR(__xludf.DUMMYFUNCTION("""COMPUTED_VALUE"""),44742.66666666667)</f>
        <v>44742.66667</v>
      </c>
      <c r="B606" s="5">
        <f>IFERROR(__xludf.DUMMYFUNCTION("""COMPUTED_VALUE"""),1540.0)</f>
        <v>1540</v>
      </c>
      <c r="C606" s="5">
        <f>IFERROR(__xludf.DUMMYFUNCTION("""COMPUTED_VALUE"""),1545.0)</f>
        <v>1545</v>
      </c>
      <c r="D606" s="5">
        <f>IFERROR(__xludf.DUMMYFUNCTION("""COMPUTED_VALUE"""),1445.0)</f>
        <v>1445</v>
      </c>
      <c r="E606" s="5">
        <f>IFERROR(__xludf.DUMMYFUNCTION("""COMPUTED_VALUE"""),1450.0)</f>
        <v>1450</v>
      </c>
      <c r="F606" s="5">
        <f>IFERROR(__xludf.DUMMYFUNCTION("""COMPUTED_VALUE"""),3.53399E7)</f>
        <v>35339900</v>
      </c>
      <c r="G606" s="5">
        <f t="shared" si="1"/>
        <v>100</v>
      </c>
    </row>
    <row r="607">
      <c r="A607" s="4">
        <f>IFERROR(__xludf.DUMMYFUNCTION("""COMPUTED_VALUE"""),44743.66666666667)</f>
        <v>44743.66667</v>
      </c>
      <c r="B607" s="5">
        <f>IFERROR(__xludf.DUMMYFUNCTION("""COMPUTED_VALUE"""),1440.0)</f>
        <v>1440</v>
      </c>
      <c r="C607" s="5">
        <f>IFERROR(__xludf.DUMMYFUNCTION("""COMPUTED_VALUE"""),1460.0)</f>
        <v>1460</v>
      </c>
      <c r="D607" s="5">
        <f>IFERROR(__xludf.DUMMYFUNCTION("""COMPUTED_VALUE"""),1375.0)</f>
        <v>1375</v>
      </c>
      <c r="E607" s="5">
        <f>IFERROR(__xludf.DUMMYFUNCTION("""COMPUTED_VALUE"""),1385.0)</f>
        <v>1385</v>
      </c>
      <c r="F607" s="5">
        <f>IFERROR(__xludf.DUMMYFUNCTION("""COMPUTED_VALUE"""),3.70604E7)</f>
        <v>37060400</v>
      </c>
      <c r="G607" s="5">
        <f t="shared" si="1"/>
        <v>85</v>
      </c>
    </row>
    <row r="608">
      <c r="A608" s="4">
        <f>IFERROR(__xludf.DUMMYFUNCTION("""COMPUTED_VALUE"""),44746.66666666667)</f>
        <v>44746.66667</v>
      </c>
      <c r="B608" s="5">
        <f>IFERROR(__xludf.DUMMYFUNCTION("""COMPUTED_VALUE"""),1385.0)</f>
        <v>1385</v>
      </c>
      <c r="C608" s="5">
        <f>IFERROR(__xludf.DUMMYFUNCTION("""COMPUTED_VALUE"""),1430.0)</f>
        <v>1430</v>
      </c>
      <c r="D608" s="5">
        <f>IFERROR(__xludf.DUMMYFUNCTION("""COMPUTED_VALUE"""),1375.0)</f>
        <v>1375</v>
      </c>
      <c r="E608" s="5">
        <f>IFERROR(__xludf.DUMMYFUNCTION("""COMPUTED_VALUE"""),1380.0)</f>
        <v>1380</v>
      </c>
      <c r="F608" s="5">
        <f>IFERROR(__xludf.DUMMYFUNCTION("""COMPUTED_VALUE"""),3.42705E7)</f>
        <v>34270500</v>
      </c>
      <c r="G608" s="5">
        <f t="shared" si="1"/>
        <v>55</v>
      </c>
    </row>
    <row r="609">
      <c r="A609" s="4">
        <f>IFERROR(__xludf.DUMMYFUNCTION("""COMPUTED_VALUE"""),44747.66666666667)</f>
        <v>44747.66667</v>
      </c>
      <c r="B609" s="5">
        <f>IFERROR(__xludf.DUMMYFUNCTION("""COMPUTED_VALUE"""),1395.0)</f>
        <v>1395</v>
      </c>
      <c r="C609" s="5">
        <f>IFERROR(__xludf.DUMMYFUNCTION("""COMPUTED_VALUE"""),1425.0)</f>
        <v>1425</v>
      </c>
      <c r="D609" s="5">
        <f>IFERROR(__xludf.DUMMYFUNCTION("""COMPUTED_VALUE"""),1385.0)</f>
        <v>1385</v>
      </c>
      <c r="E609" s="5">
        <f>IFERROR(__xludf.DUMMYFUNCTION("""COMPUTED_VALUE"""),1390.0)</f>
        <v>1390</v>
      </c>
      <c r="F609" s="5">
        <f>IFERROR(__xludf.DUMMYFUNCTION("""COMPUTED_VALUE"""),2.67306E7)</f>
        <v>26730600</v>
      </c>
      <c r="G609" s="5">
        <f t="shared" si="1"/>
        <v>45</v>
      </c>
    </row>
    <row r="610">
      <c r="A610" s="4">
        <f>IFERROR(__xludf.DUMMYFUNCTION("""COMPUTED_VALUE"""),44748.66666666667)</f>
        <v>44748.66667</v>
      </c>
      <c r="B610" s="5">
        <f>IFERROR(__xludf.DUMMYFUNCTION("""COMPUTED_VALUE"""),1390.0)</f>
        <v>1390</v>
      </c>
      <c r="C610" s="5">
        <f>IFERROR(__xludf.DUMMYFUNCTION("""COMPUTED_VALUE"""),1390.0)</f>
        <v>1390</v>
      </c>
      <c r="D610" s="5">
        <f>IFERROR(__xludf.DUMMYFUNCTION("""COMPUTED_VALUE"""),1295.0)</f>
        <v>1295</v>
      </c>
      <c r="E610" s="5">
        <f>IFERROR(__xludf.DUMMYFUNCTION("""COMPUTED_VALUE"""),1305.0)</f>
        <v>1305</v>
      </c>
      <c r="F610" s="5">
        <f>IFERROR(__xludf.DUMMYFUNCTION("""COMPUTED_VALUE"""),5.21952E7)</f>
        <v>52195200</v>
      </c>
      <c r="G610" s="5">
        <f t="shared" si="1"/>
        <v>95</v>
      </c>
    </row>
    <row r="611">
      <c r="A611" s="4">
        <f>IFERROR(__xludf.DUMMYFUNCTION("""COMPUTED_VALUE"""),44749.66666666667)</f>
        <v>44749.66667</v>
      </c>
      <c r="B611" s="5">
        <f>IFERROR(__xludf.DUMMYFUNCTION("""COMPUTED_VALUE"""),1310.0)</f>
        <v>1310</v>
      </c>
      <c r="C611" s="5">
        <f>IFERROR(__xludf.DUMMYFUNCTION("""COMPUTED_VALUE"""),1335.0)</f>
        <v>1335</v>
      </c>
      <c r="D611" s="5">
        <f>IFERROR(__xludf.DUMMYFUNCTION("""COMPUTED_VALUE"""),1295.0)</f>
        <v>1295</v>
      </c>
      <c r="E611" s="5">
        <f>IFERROR(__xludf.DUMMYFUNCTION("""COMPUTED_VALUE"""),1320.0)</f>
        <v>1320</v>
      </c>
      <c r="F611" s="5">
        <f>IFERROR(__xludf.DUMMYFUNCTION("""COMPUTED_VALUE"""),2.49491E7)</f>
        <v>24949100</v>
      </c>
      <c r="G611" s="5">
        <f t="shared" si="1"/>
        <v>40</v>
      </c>
    </row>
    <row r="612">
      <c r="A612" s="4">
        <f>IFERROR(__xludf.DUMMYFUNCTION("""COMPUTED_VALUE"""),44750.66666666667)</f>
        <v>44750.66667</v>
      </c>
      <c r="B612" s="5">
        <f>IFERROR(__xludf.DUMMYFUNCTION("""COMPUTED_VALUE"""),1325.0)</f>
        <v>1325</v>
      </c>
      <c r="C612" s="5">
        <f>IFERROR(__xludf.DUMMYFUNCTION("""COMPUTED_VALUE"""),1360.0)</f>
        <v>1360</v>
      </c>
      <c r="D612" s="5">
        <f>IFERROR(__xludf.DUMMYFUNCTION("""COMPUTED_VALUE"""),1325.0)</f>
        <v>1325</v>
      </c>
      <c r="E612" s="5">
        <f>IFERROR(__xludf.DUMMYFUNCTION("""COMPUTED_VALUE"""),1330.0)</f>
        <v>1330</v>
      </c>
      <c r="F612" s="5">
        <f>IFERROR(__xludf.DUMMYFUNCTION("""COMPUTED_VALUE"""),1.98627E7)</f>
        <v>19862700</v>
      </c>
      <c r="G612" s="5">
        <f t="shared" si="1"/>
        <v>40</v>
      </c>
    </row>
    <row r="613">
      <c r="A613" s="4">
        <f>IFERROR(__xludf.DUMMYFUNCTION("""COMPUTED_VALUE"""),44753.66666666667)</f>
        <v>44753.66667</v>
      </c>
      <c r="B613" s="5">
        <f>IFERROR(__xludf.DUMMYFUNCTION("""COMPUTED_VALUE"""),1335.0)</f>
        <v>1335</v>
      </c>
      <c r="C613" s="5">
        <f>IFERROR(__xludf.DUMMYFUNCTION("""COMPUTED_VALUE"""),1345.0)</f>
        <v>1345</v>
      </c>
      <c r="D613" s="5">
        <f>IFERROR(__xludf.DUMMYFUNCTION("""COMPUTED_VALUE"""),1320.0)</f>
        <v>1320</v>
      </c>
      <c r="E613" s="5">
        <f>IFERROR(__xludf.DUMMYFUNCTION("""COMPUTED_VALUE"""),1325.0)</f>
        <v>1325</v>
      </c>
      <c r="F613" s="5">
        <f>IFERROR(__xludf.DUMMYFUNCTION("""COMPUTED_VALUE"""),9146300.0)</f>
        <v>9146300</v>
      </c>
      <c r="G613" s="5">
        <f t="shared" si="1"/>
        <v>25</v>
      </c>
    </row>
    <row r="614">
      <c r="A614" s="4">
        <f>IFERROR(__xludf.DUMMYFUNCTION("""COMPUTED_VALUE"""),44754.66666666667)</f>
        <v>44754.66667</v>
      </c>
      <c r="B614" s="5">
        <f>IFERROR(__xludf.DUMMYFUNCTION("""COMPUTED_VALUE"""),1330.0)</f>
        <v>1330</v>
      </c>
      <c r="C614" s="5">
        <f>IFERROR(__xludf.DUMMYFUNCTION("""COMPUTED_VALUE"""),1380.0)</f>
        <v>1380</v>
      </c>
      <c r="D614" s="5">
        <f>IFERROR(__xludf.DUMMYFUNCTION("""COMPUTED_VALUE"""),1330.0)</f>
        <v>1330</v>
      </c>
      <c r="E614" s="5">
        <f>IFERROR(__xludf.DUMMYFUNCTION("""COMPUTED_VALUE"""),1360.0)</f>
        <v>1360</v>
      </c>
      <c r="F614" s="5">
        <f>IFERROR(__xludf.DUMMYFUNCTION("""COMPUTED_VALUE"""),1.68011E7)</f>
        <v>16801100</v>
      </c>
      <c r="G614" s="5">
        <f t="shared" si="1"/>
        <v>55</v>
      </c>
    </row>
    <row r="615">
      <c r="A615" s="4">
        <f>IFERROR(__xludf.DUMMYFUNCTION("""COMPUTED_VALUE"""),44755.66666666667)</f>
        <v>44755.66667</v>
      </c>
      <c r="B615" s="5">
        <f>IFERROR(__xludf.DUMMYFUNCTION("""COMPUTED_VALUE"""),1375.0)</f>
        <v>1375</v>
      </c>
      <c r="C615" s="5">
        <f>IFERROR(__xludf.DUMMYFUNCTION("""COMPUTED_VALUE"""),1385.0)</f>
        <v>1385</v>
      </c>
      <c r="D615" s="5">
        <f>IFERROR(__xludf.DUMMYFUNCTION("""COMPUTED_VALUE"""),1320.0)</f>
        <v>1320</v>
      </c>
      <c r="E615" s="5">
        <f>IFERROR(__xludf.DUMMYFUNCTION("""COMPUTED_VALUE"""),1335.0)</f>
        <v>1335</v>
      </c>
      <c r="F615" s="5">
        <f>IFERROR(__xludf.DUMMYFUNCTION("""COMPUTED_VALUE"""),1.63793E7)</f>
        <v>16379300</v>
      </c>
      <c r="G615" s="5">
        <f t="shared" si="1"/>
        <v>65</v>
      </c>
    </row>
    <row r="616">
      <c r="A616" s="4">
        <f>IFERROR(__xludf.DUMMYFUNCTION("""COMPUTED_VALUE"""),44756.66666666667)</f>
        <v>44756.66667</v>
      </c>
      <c r="B616" s="5">
        <f>IFERROR(__xludf.DUMMYFUNCTION("""COMPUTED_VALUE"""),1330.0)</f>
        <v>1330</v>
      </c>
      <c r="C616" s="5">
        <f>IFERROR(__xludf.DUMMYFUNCTION("""COMPUTED_VALUE"""),1360.0)</f>
        <v>1360</v>
      </c>
      <c r="D616" s="5">
        <f>IFERROR(__xludf.DUMMYFUNCTION("""COMPUTED_VALUE"""),1305.0)</f>
        <v>1305</v>
      </c>
      <c r="E616" s="5">
        <f>IFERROR(__xludf.DUMMYFUNCTION("""COMPUTED_VALUE"""),1315.0)</f>
        <v>1315</v>
      </c>
      <c r="F616" s="5">
        <f>IFERROR(__xludf.DUMMYFUNCTION("""COMPUTED_VALUE"""),1.05841E7)</f>
        <v>10584100</v>
      </c>
      <c r="G616" s="5">
        <f t="shared" si="1"/>
        <v>55</v>
      </c>
    </row>
    <row r="617">
      <c r="A617" s="4">
        <f>IFERROR(__xludf.DUMMYFUNCTION("""COMPUTED_VALUE"""),44757.66666666667)</f>
        <v>44757.66667</v>
      </c>
      <c r="B617" s="5">
        <f>IFERROR(__xludf.DUMMYFUNCTION("""COMPUTED_VALUE"""),1310.0)</f>
        <v>1310</v>
      </c>
      <c r="C617" s="5">
        <f>IFERROR(__xludf.DUMMYFUNCTION("""COMPUTED_VALUE"""),1340.0)</f>
        <v>1340</v>
      </c>
      <c r="D617" s="5">
        <f>IFERROR(__xludf.DUMMYFUNCTION("""COMPUTED_VALUE"""),1260.0)</f>
        <v>1260</v>
      </c>
      <c r="E617" s="5">
        <f>IFERROR(__xludf.DUMMYFUNCTION("""COMPUTED_VALUE"""),1270.0)</f>
        <v>1270</v>
      </c>
      <c r="F617" s="5">
        <f>IFERROR(__xludf.DUMMYFUNCTION("""COMPUTED_VALUE"""),2.61234E7)</f>
        <v>26123400</v>
      </c>
      <c r="G617" s="5">
        <f t="shared" si="1"/>
        <v>80</v>
      </c>
    </row>
    <row r="618">
      <c r="A618" s="4">
        <f>IFERROR(__xludf.DUMMYFUNCTION("""COMPUTED_VALUE"""),44760.66666666667)</f>
        <v>44760.66667</v>
      </c>
      <c r="B618" s="5">
        <f>IFERROR(__xludf.DUMMYFUNCTION("""COMPUTED_VALUE"""),1285.0)</f>
        <v>1285</v>
      </c>
      <c r="C618" s="5">
        <f>IFERROR(__xludf.DUMMYFUNCTION("""COMPUTED_VALUE"""),1320.0)</f>
        <v>1320</v>
      </c>
      <c r="D618" s="5">
        <f>IFERROR(__xludf.DUMMYFUNCTION("""COMPUTED_VALUE"""),1275.0)</f>
        <v>1275</v>
      </c>
      <c r="E618" s="5">
        <f>IFERROR(__xludf.DUMMYFUNCTION("""COMPUTED_VALUE"""),1300.0)</f>
        <v>1300</v>
      </c>
      <c r="F618" s="5">
        <f>IFERROR(__xludf.DUMMYFUNCTION("""COMPUTED_VALUE"""),1.34965E7)</f>
        <v>13496500</v>
      </c>
      <c r="G618" s="5">
        <f t="shared" si="1"/>
        <v>50</v>
      </c>
    </row>
    <row r="619">
      <c r="A619" s="4">
        <f>IFERROR(__xludf.DUMMYFUNCTION("""COMPUTED_VALUE"""),44761.66666666667)</f>
        <v>44761.66667</v>
      </c>
      <c r="B619" s="5">
        <f>IFERROR(__xludf.DUMMYFUNCTION("""COMPUTED_VALUE"""),1315.0)</f>
        <v>1315</v>
      </c>
      <c r="C619" s="5">
        <f>IFERROR(__xludf.DUMMYFUNCTION("""COMPUTED_VALUE"""),1385.0)</f>
        <v>1385</v>
      </c>
      <c r="D619" s="5">
        <f>IFERROR(__xludf.DUMMYFUNCTION("""COMPUTED_VALUE"""),1315.0)</f>
        <v>1315</v>
      </c>
      <c r="E619" s="5">
        <f>IFERROR(__xludf.DUMMYFUNCTION("""COMPUTED_VALUE"""),1375.0)</f>
        <v>1375</v>
      </c>
      <c r="F619" s="5">
        <f>IFERROR(__xludf.DUMMYFUNCTION("""COMPUTED_VALUE"""),2.58925E7)</f>
        <v>25892500</v>
      </c>
      <c r="G619" s="5">
        <f t="shared" si="1"/>
        <v>85</v>
      </c>
    </row>
    <row r="620">
      <c r="A620" s="4">
        <f>IFERROR(__xludf.DUMMYFUNCTION("""COMPUTED_VALUE"""),44762.66666666667)</f>
        <v>44762.66667</v>
      </c>
      <c r="B620" s="5">
        <f>IFERROR(__xludf.DUMMYFUNCTION("""COMPUTED_VALUE"""),1400.0)</f>
        <v>1400</v>
      </c>
      <c r="C620" s="5">
        <f>IFERROR(__xludf.DUMMYFUNCTION("""COMPUTED_VALUE"""),1415.0)</f>
        <v>1415</v>
      </c>
      <c r="D620" s="5">
        <f>IFERROR(__xludf.DUMMYFUNCTION("""COMPUTED_VALUE"""),1385.0)</f>
        <v>1385</v>
      </c>
      <c r="E620" s="5">
        <f>IFERROR(__xludf.DUMMYFUNCTION("""COMPUTED_VALUE"""),1400.0)</f>
        <v>1400</v>
      </c>
      <c r="F620" s="5">
        <f>IFERROR(__xludf.DUMMYFUNCTION("""COMPUTED_VALUE"""),2.44874E7)</f>
        <v>24487400</v>
      </c>
      <c r="G620" s="5">
        <f t="shared" si="1"/>
        <v>40</v>
      </c>
    </row>
    <row r="621">
      <c r="A621" s="4">
        <f>IFERROR(__xludf.DUMMYFUNCTION("""COMPUTED_VALUE"""),44763.66666666667)</f>
        <v>44763.66667</v>
      </c>
      <c r="B621" s="5">
        <f>IFERROR(__xludf.DUMMYFUNCTION("""COMPUTED_VALUE"""),1405.0)</f>
        <v>1405</v>
      </c>
      <c r="C621" s="5">
        <f>IFERROR(__xludf.DUMMYFUNCTION("""COMPUTED_VALUE"""),1415.0)</f>
        <v>1415</v>
      </c>
      <c r="D621" s="5">
        <f>IFERROR(__xludf.DUMMYFUNCTION("""COMPUTED_VALUE"""),1365.0)</f>
        <v>1365</v>
      </c>
      <c r="E621" s="5">
        <f>IFERROR(__xludf.DUMMYFUNCTION("""COMPUTED_VALUE"""),1380.0)</f>
        <v>1380</v>
      </c>
      <c r="F621" s="5">
        <f>IFERROR(__xludf.DUMMYFUNCTION("""COMPUTED_VALUE"""),1.85535E7)</f>
        <v>18553500</v>
      </c>
      <c r="G621" s="5">
        <f t="shared" si="1"/>
        <v>50</v>
      </c>
    </row>
    <row r="622">
      <c r="A622" s="4">
        <f>IFERROR(__xludf.DUMMYFUNCTION("""COMPUTED_VALUE"""),44764.66666666667)</f>
        <v>44764.66667</v>
      </c>
      <c r="B622" s="5">
        <f>IFERROR(__xludf.DUMMYFUNCTION("""COMPUTED_VALUE"""),1400.0)</f>
        <v>1400</v>
      </c>
      <c r="C622" s="5">
        <f>IFERROR(__xludf.DUMMYFUNCTION("""COMPUTED_VALUE"""),1435.0)</f>
        <v>1435</v>
      </c>
      <c r="D622" s="5">
        <f>IFERROR(__xludf.DUMMYFUNCTION("""COMPUTED_VALUE"""),1390.0)</f>
        <v>1390</v>
      </c>
      <c r="E622" s="5">
        <f>IFERROR(__xludf.DUMMYFUNCTION("""COMPUTED_VALUE"""),1430.0)</f>
        <v>1430</v>
      </c>
      <c r="F622" s="5">
        <f>IFERROR(__xludf.DUMMYFUNCTION("""COMPUTED_VALUE"""),2.94329E7)</f>
        <v>29432900</v>
      </c>
      <c r="G622" s="5">
        <f t="shared" si="1"/>
        <v>55</v>
      </c>
    </row>
    <row r="623">
      <c r="A623" s="4">
        <f>IFERROR(__xludf.DUMMYFUNCTION("""COMPUTED_VALUE"""),44767.66666666667)</f>
        <v>44767.66667</v>
      </c>
      <c r="B623" s="5">
        <f>IFERROR(__xludf.DUMMYFUNCTION("""COMPUTED_VALUE"""),1445.0)</f>
        <v>1445</v>
      </c>
      <c r="C623" s="5">
        <f>IFERROR(__xludf.DUMMYFUNCTION("""COMPUTED_VALUE"""),1445.0)</f>
        <v>1445</v>
      </c>
      <c r="D623" s="5">
        <f>IFERROR(__xludf.DUMMYFUNCTION("""COMPUTED_VALUE"""),1400.0)</f>
        <v>1400</v>
      </c>
      <c r="E623" s="5">
        <f>IFERROR(__xludf.DUMMYFUNCTION("""COMPUTED_VALUE"""),1405.0)</f>
        <v>1405</v>
      </c>
      <c r="F623" s="5">
        <f>IFERROR(__xludf.DUMMYFUNCTION("""COMPUTED_VALUE"""),1.75139E7)</f>
        <v>17513900</v>
      </c>
      <c r="G623" s="5">
        <f t="shared" si="1"/>
        <v>45</v>
      </c>
    </row>
    <row r="624">
      <c r="A624" s="4">
        <f>IFERROR(__xludf.DUMMYFUNCTION("""COMPUTED_VALUE"""),44768.66666666667)</f>
        <v>44768.66667</v>
      </c>
      <c r="B624" s="5">
        <f>IFERROR(__xludf.DUMMYFUNCTION("""COMPUTED_VALUE"""),1410.0)</f>
        <v>1410</v>
      </c>
      <c r="C624" s="5">
        <f>IFERROR(__xludf.DUMMYFUNCTION("""COMPUTED_VALUE"""),1430.0)</f>
        <v>1430</v>
      </c>
      <c r="D624" s="5">
        <f>IFERROR(__xludf.DUMMYFUNCTION("""COMPUTED_VALUE"""),1405.0)</f>
        <v>1405</v>
      </c>
      <c r="E624" s="5">
        <f>IFERROR(__xludf.DUMMYFUNCTION("""COMPUTED_VALUE"""),1425.0)</f>
        <v>1425</v>
      </c>
      <c r="F624" s="5">
        <f>IFERROR(__xludf.DUMMYFUNCTION("""COMPUTED_VALUE"""),1.4388E7)</f>
        <v>14388000</v>
      </c>
      <c r="G624" s="5">
        <f t="shared" si="1"/>
        <v>25</v>
      </c>
    </row>
    <row r="625">
      <c r="A625" s="4">
        <f>IFERROR(__xludf.DUMMYFUNCTION("""COMPUTED_VALUE"""),44769.66666666667)</f>
        <v>44769.66667</v>
      </c>
      <c r="B625" s="5">
        <f>IFERROR(__xludf.DUMMYFUNCTION("""COMPUTED_VALUE"""),1425.0)</f>
        <v>1425</v>
      </c>
      <c r="C625" s="5">
        <f>IFERROR(__xludf.DUMMYFUNCTION("""COMPUTED_VALUE"""),1440.0)</f>
        <v>1440</v>
      </c>
      <c r="D625" s="5">
        <f>IFERROR(__xludf.DUMMYFUNCTION("""COMPUTED_VALUE"""),1420.0)</f>
        <v>1420</v>
      </c>
      <c r="E625" s="5">
        <f>IFERROR(__xludf.DUMMYFUNCTION("""COMPUTED_VALUE"""),1435.0)</f>
        <v>1435</v>
      </c>
      <c r="F625" s="5">
        <f>IFERROR(__xludf.DUMMYFUNCTION("""COMPUTED_VALUE"""),1.21261E7)</f>
        <v>12126100</v>
      </c>
      <c r="G625" s="5">
        <f t="shared" si="1"/>
        <v>20</v>
      </c>
    </row>
    <row r="626">
      <c r="A626" s="4">
        <f>IFERROR(__xludf.DUMMYFUNCTION("""COMPUTED_VALUE"""),44770.66666666667)</f>
        <v>44770.66667</v>
      </c>
      <c r="B626" s="5">
        <f>IFERROR(__xludf.DUMMYFUNCTION("""COMPUTED_VALUE"""),1445.0)</f>
        <v>1445</v>
      </c>
      <c r="C626" s="5">
        <f>IFERROR(__xludf.DUMMYFUNCTION("""COMPUTED_VALUE"""),1520.0)</f>
        <v>1520</v>
      </c>
      <c r="D626" s="5">
        <f>IFERROR(__xludf.DUMMYFUNCTION("""COMPUTED_VALUE"""),1445.0)</f>
        <v>1445</v>
      </c>
      <c r="E626" s="5">
        <f>IFERROR(__xludf.DUMMYFUNCTION("""COMPUTED_VALUE"""),1505.0)</f>
        <v>1505</v>
      </c>
      <c r="F626" s="5">
        <f>IFERROR(__xludf.DUMMYFUNCTION("""COMPUTED_VALUE"""),5.81874E7)</f>
        <v>58187400</v>
      </c>
      <c r="G626" s="5">
        <f t="shared" si="1"/>
        <v>85</v>
      </c>
    </row>
    <row r="627">
      <c r="A627" s="4">
        <f>IFERROR(__xludf.DUMMYFUNCTION("""COMPUTED_VALUE"""),44771.66666666667)</f>
        <v>44771.66667</v>
      </c>
      <c r="B627" s="5">
        <f>IFERROR(__xludf.DUMMYFUNCTION("""COMPUTED_VALUE"""),1505.0)</f>
        <v>1505</v>
      </c>
      <c r="C627" s="5">
        <f>IFERROR(__xludf.DUMMYFUNCTION("""COMPUTED_VALUE"""),1515.0)</f>
        <v>1515</v>
      </c>
      <c r="D627" s="5">
        <f>IFERROR(__xludf.DUMMYFUNCTION("""COMPUTED_VALUE"""),1460.0)</f>
        <v>1460</v>
      </c>
      <c r="E627" s="5">
        <f>IFERROR(__xludf.DUMMYFUNCTION("""COMPUTED_VALUE"""),1460.0)</f>
        <v>1460</v>
      </c>
      <c r="F627" s="5">
        <f>IFERROR(__xludf.DUMMYFUNCTION("""COMPUTED_VALUE"""),3.21648E7)</f>
        <v>32164800</v>
      </c>
      <c r="G627" s="5">
        <f t="shared" si="1"/>
        <v>55</v>
      </c>
    </row>
    <row r="628">
      <c r="A628" s="4">
        <f>IFERROR(__xludf.DUMMYFUNCTION("""COMPUTED_VALUE"""),44774.66666666667)</f>
        <v>44774.66667</v>
      </c>
      <c r="B628" s="5">
        <f>IFERROR(__xludf.DUMMYFUNCTION("""COMPUTED_VALUE"""),1490.0)</f>
        <v>1490</v>
      </c>
      <c r="C628" s="5">
        <f>IFERROR(__xludf.DUMMYFUNCTION("""COMPUTED_VALUE"""),1515.0)</f>
        <v>1515</v>
      </c>
      <c r="D628" s="5">
        <f>IFERROR(__xludf.DUMMYFUNCTION("""COMPUTED_VALUE"""),1475.0)</f>
        <v>1475</v>
      </c>
      <c r="E628" s="5">
        <f>IFERROR(__xludf.DUMMYFUNCTION("""COMPUTED_VALUE"""),1510.0)</f>
        <v>1510</v>
      </c>
      <c r="F628" s="5">
        <f>IFERROR(__xludf.DUMMYFUNCTION("""COMPUTED_VALUE"""),2.67927E7)</f>
        <v>26792700</v>
      </c>
      <c r="G628" s="5">
        <f t="shared" si="1"/>
        <v>55</v>
      </c>
    </row>
    <row r="629">
      <c r="A629" s="4">
        <f>IFERROR(__xludf.DUMMYFUNCTION("""COMPUTED_VALUE"""),44775.66666666667)</f>
        <v>44775.66667</v>
      </c>
      <c r="B629" s="5">
        <f>IFERROR(__xludf.DUMMYFUNCTION("""COMPUTED_VALUE"""),1505.0)</f>
        <v>1505</v>
      </c>
      <c r="C629" s="5">
        <f>IFERROR(__xludf.DUMMYFUNCTION("""COMPUTED_VALUE"""),1505.0)</f>
        <v>1505</v>
      </c>
      <c r="D629" s="5">
        <f>IFERROR(__xludf.DUMMYFUNCTION("""COMPUTED_VALUE"""),1465.0)</f>
        <v>1465</v>
      </c>
      <c r="E629" s="5">
        <f>IFERROR(__xludf.DUMMYFUNCTION("""COMPUTED_VALUE"""),1475.0)</f>
        <v>1475</v>
      </c>
      <c r="F629" s="5">
        <f>IFERROR(__xludf.DUMMYFUNCTION("""COMPUTED_VALUE"""),1.66735E7)</f>
        <v>16673500</v>
      </c>
      <c r="G629" s="5">
        <f t="shared" si="1"/>
        <v>45</v>
      </c>
    </row>
    <row r="630">
      <c r="A630" s="4">
        <f>IFERROR(__xludf.DUMMYFUNCTION("""COMPUTED_VALUE"""),44776.66666666667)</f>
        <v>44776.66667</v>
      </c>
      <c r="B630" s="5">
        <f>IFERROR(__xludf.DUMMYFUNCTION("""COMPUTED_VALUE"""),1465.0)</f>
        <v>1465</v>
      </c>
      <c r="C630" s="5">
        <f>IFERROR(__xludf.DUMMYFUNCTION("""COMPUTED_VALUE"""),1480.0)</f>
        <v>1480</v>
      </c>
      <c r="D630" s="5">
        <f>IFERROR(__xludf.DUMMYFUNCTION("""COMPUTED_VALUE"""),1440.0)</f>
        <v>1440</v>
      </c>
      <c r="E630" s="5">
        <f>IFERROR(__xludf.DUMMYFUNCTION("""COMPUTED_VALUE"""),1460.0)</f>
        <v>1460</v>
      </c>
      <c r="F630" s="5">
        <f>IFERROR(__xludf.DUMMYFUNCTION("""COMPUTED_VALUE"""),2.08497E7)</f>
        <v>20849700</v>
      </c>
      <c r="G630" s="5">
        <f t="shared" si="1"/>
        <v>40</v>
      </c>
    </row>
    <row r="631">
      <c r="A631" s="4">
        <f>IFERROR(__xludf.DUMMYFUNCTION("""COMPUTED_VALUE"""),44777.66666666667)</f>
        <v>44777.66667</v>
      </c>
      <c r="B631" s="5">
        <f>IFERROR(__xludf.DUMMYFUNCTION("""COMPUTED_VALUE"""),1460.0)</f>
        <v>1460</v>
      </c>
      <c r="C631" s="5">
        <f>IFERROR(__xludf.DUMMYFUNCTION("""COMPUTED_VALUE"""),1480.0)</f>
        <v>1480</v>
      </c>
      <c r="D631" s="5">
        <f>IFERROR(__xludf.DUMMYFUNCTION("""COMPUTED_VALUE"""),1450.0)</f>
        <v>1450</v>
      </c>
      <c r="E631" s="5">
        <f>IFERROR(__xludf.DUMMYFUNCTION("""COMPUTED_VALUE"""),1450.0)</f>
        <v>1450</v>
      </c>
      <c r="F631" s="5">
        <f>IFERROR(__xludf.DUMMYFUNCTION("""COMPUTED_VALUE"""),1.32523E7)</f>
        <v>13252300</v>
      </c>
      <c r="G631" s="5">
        <f t="shared" si="1"/>
        <v>30</v>
      </c>
    </row>
    <row r="632">
      <c r="A632" s="4">
        <f>IFERROR(__xludf.DUMMYFUNCTION("""COMPUTED_VALUE"""),44778.66666666667)</f>
        <v>44778.66667</v>
      </c>
      <c r="B632" s="5">
        <f>IFERROR(__xludf.DUMMYFUNCTION("""COMPUTED_VALUE"""),1450.0)</f>
        <v>1450</v>
      </c>
      <c r="C632" s="5">
        <f>IFERROR(__xludf.DUMMYFUNCTION("""COMPUTED_VALUE"""),1475.0)</f>
        <v>1475</v>
      </c>
      <c r="D632" s="5">
        <f>IFERROR(__xludf.DUMMYFUNCTION("""COMPUTED_VALUE"""),1450.0)</f>
        <v>1450</v>
      </c>
      <c r="E632" s="5">
        <f>IFERROR(__xludf.DUMMYFUNCTION("""COMPUTED_VALUE"""),1465.0)</f>
        <v>1465</v>
      </c>
      <c r="F632" s="5">
        <f>IFERROR(__xludf.DUMMYFUNCTION("""COMPUTED_VALUE"""),1.35649E7)</f>
        <v>13564900</v>
      </c>
      <c r="G632" s="5">
        <f t="shared" si="1"/>
        <v>25</v>
      </c>
    </row>
    <row r="633">
      <c r="A633" s="4">
        <f>IFERROR(__xludf.DUMMYFUNCTION("""COMPUTED_VALUE"""),44781.66666666667)</f>
        <v>44781.66667</v>
      </c>
      <c r="B633" s="5">
        <f>IFERROR(__xludf.DUMMYFUNCTION("""COMPUTED_VALUE"""),1470.0)</f>
        <v>1470</v>
      </c>
      <c r="C633" s="5">
        <f>IFERROR(__xludf.DUMMYFUNCTION("""COMPUTED_VALUE"""),1505.0)</f>
        <v>1505</v>
      </c>
      <c r="D633" s="5">
        <f>IFERROR(__xludf.DUMMYFUNCTION("""COMPUTED_VALUE"""),1465.0)</f>
        <v>1465</v>
      </c>
      <c r="E633" s="5">
        <f>IFERROR(__xludf.DUMMYFUNCTION("""COMPUTED_VALUE"""),1500.0)</f>
        <v>1500</v>
      </c>
      <c r="F633" s="5">
        <f>IFERROR(__xludf.DUMMYFUNCTION("""COMPUTED_VALUE"""),1.80788E7)</f>
        <v>18078800</v>
      </c>
      <c r="G633" s="5">
        <f t="shared" si="1"/>
        <v>40</v>
      </c>
    </row>
    <row r="634">
      <c r="A634" s="4">
        <f>IFERROR(__xludf.DUMMYFUNCTION("""COMPUTED_VALUE"""),44782.66666666667)</f>
        <v>44782.66667</v>
      </c>
      <c r="B634" s="5">
        <f>IFERROR(__xludf.DUMMYFUNCTION("""COMPUTED_VALUE"""),1500.0)</f>
        <v>1500</v>
      </c>
      <c r="C634" s="5">
        <f>IFERROR(__xludf.DUMMYFUNCTION("""COMPUTED_VALUE"""),1560.0)</f>
        <v>1560</v>
      </c>
      <c r="D634" s="5">
        <f>IFERROR(__xludf.DUMMYFUNCTION("""COMPUTED_VALUE"""),1500.0)</f>
        <v>1500</v>
      </c>
      <c r="E634" s="5">
        <f>IFERROR(__xludf.DUMMYFUNCTION("""COMPUTED_VALUE"""),1555.0)</f>
        <v>1555</v>
      </c>
      <c r="F634" s="5">
        <f>IFERROR(__xludf.DUMMYFUNCTION("""COMPUTED_VALUE"""),5.78016E7)</f>
        <v>57801600</v>
      </c>
      <c r="G634" s="5">
        <f t="shared" si="1"/>
        <v>60</v>
      </c>
    </row>
    <row r="635">
      <c r="A635" s="4">
        <f>IFERROR(__xludf.DUMMYFUNCTION("""COMPUTED_VALUE"""),44783.66666666667)</f>
        <v>44783.66667</v>
      </c>
      <c r="B635" s="5">
        <f>IFERROR(__xludf.DUMMYFUNCTION("""COMPUTED_VALUE"""),1565.0)</f>
        <v>1565</v>
      </c>
      <c r="C635" s="5">
        <f>IFERROR(__xludf.DUMMYFUNCTION("""COMPUTED_VALUE"""),1575.0)</f>
        <v>1575</v>
      </c>
      <c r="D635" s="5">
        <f>IFERROR(__xludf.DUMMYFUNCTION("""COMPUTED_VALUE"""),1525.0)</f>
        <v>1525</v>
      </c>
      <c r="E635" s="5">
        <f>IFERROR(__xludf.DUMMYFUNCTION("""COMPUTED_VALUE"""),1530.0)</f>
        <v>1530</v>
      </c>
      <c r="F635" s="5">
        <f>IFERROR(__xludf.DUMMYFUNCTION("""COMPUTED_VALUE"""),2.3915E7)</f>
        <v>23915000</v>
      </c>
      <c r="G635" s="5">
        <f t="shared" si="1"/>
        <v>50</v>
      </c>
    </row>
    <row r="636">
      <c r="A636" s="4">
        <f>IFERROR(__xludf.DUMMYFUNCTION("""COMPUTED_VALUE"""),44784.66666666667)</f>
        <v>44784.66667</v>
      </c>
      <c r="B636" s="5">
        <f>IFERROR(__xludf.DUMMYFUNCTION("""COMPUTED_VALUE"""),1575.0)</f>
        <v>1575</v>
      </c>
      <c r="C636" s="5">
        <f>IFERROR(__xludf.DUMMYFUNCTION("""COMPUTED_VALUE"""),1585.0)</f>
        <v>1585</v>
      </c>
      <c r="D636" s="5">
        <f>IFERROR(__xludf.DUMMYFUNCTION("""COMPUTED_VALUE"""),1555.0)</f>
        <v>1555</v>
      </c>
      <c r="E636" s="5">
        <f>IFERROR(__xludf.DUMMYFUNCTION("""COMPUTED_VALUE"""),1570.0)</f>
        <v>1570</v>
      </c>
      <c r="F636" s="5">
        <f>IFERROR(__xludf.DUMMYFUNCTION("""COMPUTED_VALUE"""),3.48833E7)</f>
        <v>34883300</v>
      </c>
      <c r="G636" s="5">
        <f t="shared" si="1"/>
        <v>55</v>
      </c>
    </row>
    <row r="637">
      <c r="A637" s="4">
        <f>IFERROR(__xludf.DUMMYFUNCTION("""COMPUTED_VALUE"""),44785.66666666667)</f>
        <v>44785.66667</v>
      </c>
      <c r="B637" s="5">
        <f>IFERROR(__xludf.DUMMYFUNCTION("""COMPUTED_VALUE"""),1580.0)</f>
        <v>1580</v>
      </c>
      <c r="C637" s="5">
        <f>IFERROR(__xludf.DUMMYFUNCTION("""COMPUTED_VALUE"""),1580.0)</f>
        <v>1580</v>
      </c>
      <c r="D637" s="5">
        <f>IFERROR(__xludf.DUMMYFUNCTION("""COMPUTED_VALUE"""),1560.0)</f>
        <v>1560</v>
      </c>
      <c r="E637" s="5">
        <f>IFERROR(__xludf.DUMMYFUNCTION("""COMPUTED_VALUE"""),1565.0)</f>
        <v>1565</v>
      </c>
      <c r="F637" s="5">
        <f>IFERROR(__xludf.DUMMYFUNCTION("""COMPUTED_VALUE"""),1.36025E7)</f>
        <v>13602500</v>
      </c>
      <c r="G637" s="5">
        <f t="shared" si="1"/>
        <v>20</v>
      </c>
    </row>
    <row r="638">
      <c r="A638" s="4">
        <f>IFERROR(__xludf.DUMMYFUNCTION("""COMPUTED_VALUE"""),44788.66666666667)</f>
        <v>44788.66667</v>
      </c>
      <c r="B638" s="5">
        <f>IFERROR(__xludf.DUMMYFUNCTION("""COMPUTED_VALUE"""),1575.0)</f>
        <v>1575</v>
      </c>
      <c r="C638" s="5">
        <f>IFERROR(__xludf.DUMMYFUNCTION("""COMPUTED_VALUE"""),1580.0)</f>
        <v>1580</v>
      </c>
      <c r="D638" s="5">
        <f>IFERROR(__xludf.DUMMYFUNCTION("""COMPUTED_VALUE"""),1535.0)</f>
        <v>1535</v>
      </c>
      <c r="E638" s="5">
        <f>IFERROR(__xludf.DUMMYFUNCTION("""COMPUTED_VALUE"""),1535.0)</f>
        <v>1535</v>
      </c>
      <c r="F638" s="5">
        <f>IFERROR(__xludf.DUMMYFUNCTION("""COMPUTED_VALUE"""),9460900.0)</f>
        <v>9460900</v>
      </c>
      <c r="G638" s="5">
        <f t="shared" si="1"/>
        <v>45</v>
      </c>
    </row>
    <row r="639">
      <c r="A639" s="4">
        <f>IFERROR(__xludf.DUMMYFUNCTION("""COMPUTED_VALUE"""),44789.66666666667)</f>
        <v>44789.66667</v>
      </c>
      <c r="B639" s="5">
        <f>IFERROR(__xludf.DUMMYFUNCTION("""COMPUTED_VALUE"""),1530.0)</f>
        <v>1530</v>
      </c>
      <c r="C639" s="5">
        <f>IFERROR(__xludf.DUMMYFUNCTION("""COMPUTED_VALUE"""),1530.0)</f>
        <v>1530</v>
      </c>
      <c r="D639" s="5">
        <f>IFERROR(__xludf.DUMMYFUNCTION("""COMPUTED_VALUE"""),1475.0)</f>
        <v>1475</v>
      </c>
      <c r="E639" s="5">
        <f>IFERROR(__xludf.DUMMYFUNCTION("""COMPUTED_VALUE"""),1480.0)</f>
        <v>1480</v>
      </c>
      <c r="F639" s="5">
        <f>IFERROR(__xludf.DUMMYFUNCTION("""COMPUTED_VALUE"""),2.89159E7)</f>
        <v>28915900</v>
      </c>
      <c r="G639" s="5">
        <f t="shared" si="1"/>
        <v>60</v>
      </c>
    </row>
    <row r="640">
      <c r="A640" s="4">
        <f>IFERROR(__xludf.DUMMYFUNCTION("""COMPUTED_VALUE"""),44791.66666666667)</f>
        <v>44791.66667</v>
      </c>
      <c r="B640" s="5">
        <f>IFERROR(__xludf.DUMMYFUNCTION("""COMPUTED_VALUE"""),1480.0)</f>
        <v>1480</v>
      </c>
      <c r="C640" s="5">
        <f>IFERROR(__xludf.DUMMYFUNCTION("""COMPUTED_VALUE"""),1510.0)</f>
        <v>1510</v>
      </c>
      <c r="D640" s="5">
        <f>IFERROR(__xludf.DUMMYFUNCTION("""COMPUTED_VALUE"""),1465.0)</f>
        <v>1465</v>
      </c>
      <c r="E640" s="5">
        <f>IFERROR(__xludf.DUMMYFUNCTION("""COMPUTED_VALUE"""),1475.0)</f>
        <v>1475</v>
      </c>
      <c r="F640" s="5">
        <f>IFERROR(__xludf.DUMMYFUNCTION("""COMPUTED_VALUE"""),1.19939E7)</f>
        <v>11993900</v>
      </c>
      <c r="G640" s="5">
        <f t="shared" si="1"/>
        <v>45</v>
      </c>
    </row>
    <row r="641">
      <c r="A641" s="4">
        <f>IFERROR(__xludf.DUMMYFUNCTION("""COMPUTED_VALUE"""),44792.66666666667)</f>
        <v>44792.66667</v>
      </c>
      <c r="B641" s="5">
        <f>IFERROR(__xludf.DUMMYFUNCTION("""COMPUTED_VALUE"""),1475.0)</f>
        <v>1475</v>
      </c>
      <c r="C641" s="5">
        <f>IFERROR(__xludf.DUMMYFUNCTION("""COMPUTED_VALUE"""),1520.0)</f>
        <v>1520</v>
      </c>
      <c r="D641" s="5">
        <f>IFERROR(__xludf.DUMMYFUNCTION("""COMPUTED_VALUE"""),1475.0)</f>
        <v>1475</v>
      </c>
      <c r="E641" s="5">
        <f>IFERROR(__xludf.DUMMYFUNCTION("""COMPUTED_VALUE"""),1515.0)</f>
        <v>1515</v>
      </c>
      <c r="F641" s="5">
        <f>IFERROR(__xludf.DUMMYFUNCTION("""COMPUTED_VALUE"""),1.5828E7)</f>
        <v>15828000</v>
      </c>
      <c r="G641" s="5">
        <f t="shared" si="1"/>
        <v>45</v>
      </c>
    </row>
    <row r="642">
      <c r="A642" s="4">
        <f>IFERROR(__xludf.DUMMYFUNCTION("""COMPUTED_VALUE"""),44795.66666666667)</f>
        <v>44795.66667</v>
      </c>
      <c r="B642" s="5">
        <f>IFERROR(__xludf.DUMMYFUNCTION("""COMPUTED_VALUE"""),1520.0)</f>
        <v>1520</v>
      </c>
      <c r="C642" s="5">
        <f>IFERROR(__xludf.DUMMYFUNCTION("""COMPUTED_VALUE"""),1520.0)</f>
        <v>1520</v>
      </c>
      <c r="D642" s="5">
        <f>IFERROR(__xludf.DUMMYFUNCTION("""COMPUTED_VALUE"""),1465.0)</f>
        <v>1465</v>
      </c>
      <c r="E642" s="5">
        <f>IFERROR(__xludf.DUMMYFUNCTION("""COMPUTED_VALUE"""),1480.0)</f>
        <v>1480</v>
      </c>
      <c r="F642" s="5">
        <f>IFERROR(__xludf.DUMMYFUNCTION("""COMPUTED_VALUE"""),1.6615E7)</f>
        <v>16615000</v>
      </c>
      <c r="G642" s="5">
        <f t="shared" si="1"/>
        <v>55</v>
      </c>
    </row>
    <row r="643">
      <c r="A643" s="4">
        <f>IFERROR(__xludf.DUMMYFUNCTION("""COMPUTED_VALUE"""),44796.66666666667)</f>
        <v>44796.66667</v>
      </c>
      <c r="B643" s="5">
        <f>IFERROR(__xludf.DUMMYFUNCTION("""COMPUTED_VALUE"""),1480.0)</f>
        <v>1480</v>
      </c>
      <c r="C643" s="5">
        <f>IFERROR(__xludf.DUMMYFUNCTION("""COMPUTED_VALUE"""),1520.0)</f>
        <v>1520</v>
      </c>
      <c r="D643" s="5">
        <f>IFERROR(__xludf.DUMMYFUNCTION("""COMPUTED_VALUE"""),1480.0)</f>
        <v>1480</v>
      </c>
      <c r="E643" s="5">
        <f>IFERROR(__xludf.DUMMYFUNCTION("""COMPUTED_VALUE"""),1515.0)</f>
        <v>1515</v>
      </c>
      <c r="F643" s="5">
        <f>IFERROR(__xludf.DUMMYFUNCTION("""COMPUTED_VALUE"""),1.4703E7)</f>
        <v>14703000</v>
      </c>
      <c r="G643" s="5">
        <f t="shared" si="1"/>
        <v>40</v>
      </c>
    </row>
    <row r="644">
      <c r="A644" s="4">
        <f>IFERROR(__xludf.DUMMYFUNCTION("""COMPUTED_VALUE"""),44797.66666666667)</f>
        <v>44797.66667</v>
      </c>
      <c r="B644" s="5">
        <f>IFERROR(__xludf.DUMMYFUNCTION("""COMPUTED_VALUE"""),1515.0)</f>
        <v>1515</v>
      </c>
      <c r="C644" s="5">
        <f>IFERROR(__xludf.DUMMYFUNCTION("""COMPUTED_VALUE"""),1520.0)</f>
        <v>1520</v>
      </c>
      <c r="D644" s="5">
        <f>IFERROR(__xludf.DUMMYFUNCTION("""COMPUTED_VALUE"""),1485.0)</f>
        <v>1485</v>
      </c>
      <c r="E644" s="5">
        <f>IFERROR(__xludf.DUMMYFUNCTION("""COMPUTED_VALUE"""),1500.0)</f>
        <v>1500</v>
      </c>
      <c r="F644" s="5">
        <f>IFERROR(__xludf.DUMMYFUNCTION("""COMPUTED_VALUE"""),1.1567E7)</f>
        <v>11567000</v>
      </c>
      <c r="G644" s="5">
        <f t="shared" si="1"/>
        <v>35</v>
      </c>
    </row>
    <row r="645">
      <c r="A645" s="4">
        <f>IFERROR(__xludf.DUMMYFUNCTION("""COMPUTED_VALUE"""),44798.66666666667)</f>
        <v>44798.66667</v>
      </c>
      <c r="B645" s="5">
        <f>IFERROR(__xludf.DUMMYFUNCTION("""COMPUTED_VALUE"""),1500.0)</f>
        <v>1500</v>
      </c>
      <c r="C645" s="5">
        <f>IFERROR(__xludf.DUMMYFUNCTION("""COMPUTED_VALUE"""),1520.0)</f>
        <v>1520</v>
      </c>
      <c r="D645" s="5">
        <f>IFERROR(__xludf.DUMMYFUNCTION("""COMPUTED_VALUE"""),1490.0)</f>
        <v>1490</v>
      </c>
      <c r="E645" s="5">
        <f>IFERROR(__xludf.DUMMYFUNCTION("""COMPUTED_VALUE"""),1500.0)</f>
        <v>1500</v>
      </c>
      <c r="F645" s="5">
        <f>IFERROR(__xludf.DUMMYFUNCTION("""COMPUTED_VALUE"""),1.51048E7)</f>
        <v>15104800</v>
      </c>
      <c r="G645" s="5">
        <f t="shared" si="1"/>
        <v>30</v>
      </c>
    </row>
    <row r="646">
      <c r="A646" s="4">
        <f>IFERROR(__xludf.DUMMYFUNCTION("""COMPUTED_VALUE"""),44799.66666666667)</f>
        <v>44799.66667</v>
      </c>
      <c r="B646" s="5">
        <f>IFERROR(__xludf.DUMMYFUNCTION("""COMPUTED_VALUE"""),1515.0)</f>
        <v>1515</v>
      </c>
      <c r="C646" s="5">
        <f>IFERROR(__xludf.DUMMYFUNCTION("""COMPUTED_VALUE"""),1515.0)</f>
        <v>1515</v>
      </c>
      <c r="D646" s="5">
        <f>IFERROR(__xludf.DUMMYFUNCTION("""COMPUTED_VALUE"""),1485.0)</f>
        <v>1485</v>
      </c>
      <c r="E646" s="5">
        <f>IFERROR(__xludf.DUMMYFUNCTION("""COMPUTED_VALUE"""),1490.0)</f>
        <v>1490</v>
      </c>
      <c r="F646" s="5">
        <f>IFERROR(__xludf.DUMMYFUNCTION("""COMPUTED_VALUE"""),1.26357E7)</f>
        <v>12635700</v>
      </c>
      <c r="G646" s="5">
        <f t="shared" si="1"/>
        <v>30</v>
      </c>
    </row>
    <row r="647">
      <c r="A647" s="4">
        <f>IFERROR(__xludf.DUMMYFUNCTION("""COMPUTED_VALUE"""),44802.66666666667)</f>
        <v>44802.66667</v>
      </c>
      <c r="B647" s="5">
        <f>IFERROR(__xludf.DUMMYFUNCTION("""COMPUTED_VALUE"""),1465.0)</f>
        <v>1465</v>
      </c>
      <c r="C647" s="5">
        <f>IFERROR(__xludf.DUMMYFUNCTION("""COMPUTED_VALUE"""),1485.0)</f>
        <v>1485</v>
      </c>
      <c r="D647" s="5">
        <f>IFERROR(__xludf.DUMMYFUNCTION("""COMPUTED_VALUE"""),1450.0)</f>
        <v>1450</v>
      </c>
      <c r="E647" s="5">
        <f>IFERROR(__xludf.DUMMYFUNCTION("""COMPUTED_VALUE"""),1470.0)</f>
        <v>1470</v>
      </c>
      <c r="F647" s="5">
        <f>IFERROR(__xludf.DUMMYFUNCTION("""COMPUTED_VALUE"""),1.88859E7)</f>
        <v>18885900</v>
      </c>
      <c r="G647" s="5">
        <f t="shared" si="1"/>
        <v>40</v>
      </c>
    </row>
    <row r="648">
      <c r="A648" s="4">
        <f>IFERROR(__xludf.DUMMYFUNCTION("""COMPUTED_VALUE"""),44803.66666666667)</f>
        <v>44803.66667</v>
      </c>
      <c r="B648" s="5">
        <f>IFERROR(__xludf.DUMMYFUNCTION("""COMPUTED_VALUE"""),1475.0)</f>
        <v>1475</v>
      </c>
      <c r="C648" s="5">
        <f>IFERROR(__xludf.DUMMYFUNCTION("""COMPUTED_VALUE"""),1515.0)</f>
        <v>1515</v>
      </c>
      <c r="D648" s="5">
        <f>IFERROR(__xludf.DUMMYFUNCTION("""COMPUTED_VALUE"""),1475.0)</f>
        <v>1475</v>
      </c>
      <c r="E648" s="5">
        <f>IFERROR(__xludf.DUMMYFUNCTION("""COMPUTED_VALUE"""),1510.0)</f>
        <v>1510</v>
      </c>
      <c r="F648" s="5">
        <f>IFERROR(__xludf.DUMMYFUNCTION("""COMPUTED_VALUE"""),2.54171E7)</f>
        <v>25417100</v>
      </c>
      <c r="G648" s="5">
        <f t="shared" si="1"/>
        <v>45</v>
      </c>
    </row>
    <row r="649">
      <c r="A649" s="4">
        <f>IFERROR(__xludf.DUMMYFUNCTION("""COMPUTED_VALUE"""),44804.66666666667)</f>
        <v>44804.66667</v>
      </c>
      <c r="B649" s="5">
        <f>IFERROR(__xludf.DUMMYFUNCTION("""COMPUTED_VALUE"""),1510.0)</f>
        <v>1510</v>
      </c>
      <c r="C649" s="5">
        <f>IFERROR(__xludf.DUMMYFUNCTION("""COMPUTED_VALUE"""),1510.0)</f>
        <v>1510</v>
      </c>
      <c r="D649" s="5">
        <f>IFERROR(__xludf.DUMMYFUNCTION("""COMPUTED_VALUE"""),1465.0)</f>
        <v>1465</v>
      </c>
      <c r="E649" s="5">
        <f>IFERROR(__xludf.DUMMYFUNCTION("""COMPUTED_VALUE"""),1495.0)</f>
        <v>1495</v>
      </c>
      <c r="F649" s="5">
        <f>IFERROR(__xludf.DUMMYFUNCTION("""COMPUTED_VALUE"""),2.19338E7)</f>
        <v>21933800</v>
      </c>
      <c r="G649" s="5">
        <f t="shared" si="1"/>
        <v>45</v>
      </c>
    </row>
    <row r="650">
      <c r="A650" s="4">
        <f>IFERROR(__xludf.DUMMYFUNCTION("""COMPUTED_VALUE"""),44805.625)</f>
        <v>44805.625</v>
      </c>
      <c r="B650" s="5">
        <f>IFERROR(__xludf.DUMMYFUNCTION("""COMPUTED_VALUE"""),1480.0)</f>
        <v>1480</v>
      </c>
      <c r="C650" s="5">
        <f>IFERROR(__xludf.DUMMYFUNCTION("""COMPUTED_VALUE"""),1495.0)</f>
        <v>1495</v>
      </c>
      <c r="D650" s="5">
        <f>IFERROR(__xludf.DUMMYFUNCTION("""COMPUTED_VALUE"""),1470.0)</f>
        <v>1470</v>
      </c>
      <c r="E650" s="5">
        <f>IFERROR(__xludf.DUMMYFUNCTION("""COMPUTED_VALUE"""),1490.0)</f>
        <v>1490</v>
      </c>
      <c r="F650" s="5">
        <f>IFERROR(__xludf.DUMMYFUNCTION("""COMPUTED_VALUE"""),1.00032E7)</f>
        <v>10003200</v>
      </c>
      <c r="G650" s="5">
        <f t="shared" si="1"/>
        <v>25</v>
      </c>
    </row>
    <row r="651">
      <c r="A651" s="4">
        <f>IFERROR(__xludf.DUMMYFUNCTION("""COMPUTED_VALUE"""),44806.625)</f>
        <v>44806.625</v>
      </c>
      <c r="B651" s="5">
        <f>IFERROR(__xludf.DUMMYFUNCTION("""COMPUTED_VALUE"""),1505.0)</f>
        <v>1505</v>
      </c>
      <c r="C651" s="5">
        <f>IFERROR(__xludf.DUMMYFUNCTION("""COMPUTED_VALUE"""),1535.0)</f>
        <v>1535</v>
      </c>
      <c r="D651" s="5">
        <f>IFERROR(__xludf.DUMMYFUNCTION("""COMPUTED_VALUE"""),1500.0)</f>
        <v>1500</v>
      </c>
      <c r="E651" s="5">
        <f>IFERROR(__xludf.DUMMYFUNCTION("""COMPUTED_VALUE"""),1500.0)</f>
        <v>1500</v>
      </c>
      <c r="F651" s="5">
        <f>IFERROR(__xludf.DUMMYFUNCTION("""COMPUTED_VALUE"""),4.16669E7)</f>
        <v>41666900</v>
      </c>
      <c r="G651" s="5">
        <f t="shared" si="1"/>
        <v>45</v>
      </c>
    </row>
    <row r="652">
      <c r="A652" s="4">
        <f>IFERROR(__xludf.DUMMYFUNCTION("""COMPUTED_VALUE"""),44809.66666666667)</f>
        <v>44809.66667</v>
      </c>
      <c r="B652" s="5">
        <f>IFERROR(__xludf.DUMMYFUNCTION("""COMPUTED_VALUE"""),1500.0)</f>
        <v>1500</v>
      </c>
      <c r="C652" s="5">
        <f>IFERROR(__xludf.DUMMYFUNCTION("""COMPUTED_VALUE"""),1520.0)</f>
        <v>1520</v>
      </c>
      <c r="D652" s="5">
        <f>IFERROR(__xludf.DUMMYFUNCTION("""COMPUTED_VALUE"""),1490.0)</f>
        <v>1490</v>
      </c>
      <c r="E652" s="5">
        <f>IFERROR(__xludf.DUMMYFUNCTION("""COMPUTED_VALUE"""),1510.0)</f>
        <v>1510</v>
      </c>
      <c r="F652" s="5">
        <f>IFERROR(__xludf.DUMMYFUNCTION("""COMPUTED_VALUE"""),1.76105E7)</f>
        <v>17610500</v>
      </c>
      <c r="G652" s="5">
        <f t="shared" si="1"/>
        <v>30</v>
      </c>
    </row>
    <row r="653">
      <c r="A653" s="4">
        <f>IFERROR(__xludf.DUMMYFUNCTION("""COMPUTED_VALUE"""),44810.66666666667)</f>
        <v>44810.66667</v>
      </c>
      <c r="B653" s="5">
        <f>IFERROR(__xludf.DUMMYFUNCTION("""COMPUTED_VALUE"""),1530.0)</f>
        <v>1530</v>
      </c>
      <c r="C653" s="5">
        <f>IFERROR(__xludf.DUMMYFUNCTION("""COMPUTED_VALUE"""),1540.0)</f>
        <v>1540</v>
      </c>
      <c r="D653" s="5">
        <f>IFERROR(__xludf.DUMMYFUNCTION("""COMPUTED_VALUE"""),1515.0)</f>
        <v>1515</v>
      </c>
      <c r="E653" s="5">
        <f>IFERROR(__xludf.DUMMYFUNCTION("""COMPUTED_VALUE"""),1530.0)</f>
        <v>1530</v>
      </c>
      <c r="F653" s="5">
        <f>IFERROR(__xludf.DUMMYFUNCTION("""COMPUTED_VALUE"""),2.41842E7)</f>
        <v>24184200</v>
      </c>
      <c r="G653" s="5">
        <f t="shared" si="1"/>
        <v>30</v>
      </c>
    </row>
    <row r="654">
      <c r="A654" s="4">
        <f>IFERROR(__xludf.DUMMYFUNCTION("""COMPUTED_VALUE"""),44811.66666666667)</f>
        <v>44811.66667</v>
      </c>
      <c r="B654" s="5">
        <f>IFERROR(__xludf.DUMMYFUNCTION("""COMPUTED_VALUE"""),1530.0)</f>
        <v>1530</v>
      </c>
      <c r="C654" s="5">
        <f>IFERROR(__xludf.DUMMYFUNCTION("""COMPUTED_VALUE"""),1565.0)</f>
        <v>1565</v>
      </c>
      <c r="D654" s="5">
        <f>IFERROR(__xludf.DUMMYFUNCTION("""COMPUTED_VALUE"""),1500.0)</f>
        <v>1500</v>
      </c>
      <c r="E654" s="5">
        <f>IFERROR(__xludf.DUMMYFUNCTION("""COMPUTED_VALUE"""),1505.0)</f>
        <v>1505</v>
      </c>
      <c r="F654" s="5">
        <f>IFERROR(__xludf.DUMMYFUNCTION("""COMPUTED_VALUE"""),5.14423E7)</f>
        <v>51442300</v>
      </c>
      <c r="G654" s="5">
        <f t="shared" si="1"/>
        <v>65</v>
      </c>
    </row>
    <row r="655">
      <c r="A655" s="4">
        <f>IFERROR(__xludf.DUMMYFUNCTION("""COMPUTED_VALUE"""),44812.66666666667)</f>
        <v>44812.66667</v>
      </c>
      <c r="B655" s="5">
        <f>IFERROR(__xludf.DUMMYFUNCTION("""COMPUTED_VALUE"""),1510.0)</f>
        <v>1510</v>
      </c>
      <c r="C655" s="5">
        <f>IFERROR(__xludf.DUMMYFUNCTION("""COMPUTED_VALUE"""),1515.0)</f>
        <v>1515</v>
      </c>
      <c r="D655" s="5">
        <f>IFERROR(__xludf.DUMMYFUNCTION("""COMPUTED_VALUE"""),1480.0)</f>
        <v>1480</v>
      </c>
      <c r="E655" s="5">
        <f>IFERROR(__xludf.DUMMYFUNCTION("""COMPUTED_VALUE"""),1480.0)</f>
        <v>1480</v>
      </c>
      <c r="F655" s="5">
        <f>IFERROR(__xludf.DUMMYFUNCTION("""COMPUTED_VALUE"""),1.96479E7)</f>
        <v>19647900</v>
      </c>
      <c r="G655" s="5">
        <f t="shared" si="1"/>
        <v>35</v>
      </c>
    </row>
    <row r="656">
      <c r="A656" s="4">
        <f>IFERROR(__xludf.DUMMYFUNCTION("""COMPUTED_VALUE"""),44813.66666666667)</f>
        <v>44813.66667</v>
      </c>
      <c r="B656" s="5">
        <f>IFERROR(__xludf.DUMMYFUNCTION("""COMPUTED_VALUE"""),1490.0)</f>
        <v>1490</v>
      </c>
      <c r="C656" s="5">
        <f>IFERROR(__xludf.DUMMYFUNCTION("""COMPUTED_VALUE"""),1500.0)</f>
        <v>1500</v>
      </c>
      <c r="D656" s="5">
        <f>IFERROR(__xludf.DUMMYFUNCTION("""COMPUTED_VALUE"""),1480.0)</f>
        <v>1480</v>
      </c>
      <c r="E656" s="5">
        <f>IFERROR(__xludf.DUMMYFUNCTION("""COMPUTED_VALUE"""),1490.0)</f>
        <v>1490</v>
      </c>
      <c r="F656" s="5">
        <f>IFERROR(__xludf.DUMMYFUNCTION("""COMPUTED_VALUE"""),1.27922E7)</f>
        <v>12792200</v>
      </c>
      <c r="G656" s="5">
        <f t="shared" si="1"/>
        <v>20</v>
      </c>
    </row>
    <row r="657">
      <c r="A657" s="4">
        <f>IFERROR(__xludf.DUMMYFUNCTION("""COMPUTED_VALUE"""),44816.66666666667)</f>
        <v>44816.66667</v>
      </c>
      <c r="B657" s="5">
        <f>IFERROR(__xludf.DUMMYFUNCTION("""COMPUTED_VALUE"""),1505.0)</f>
        <v>1505</v>
      </c>
      <c r="C657" s="5">
        <f>IFERROR(__xludf.DUMMYFUNCTION("""COMPUTED_VALUE"""),1510.0)</f>
        <v>1510</v>
      </c>
      <c r="D657" s="5">
        <f>IFERROR(__xludf.DUMMYFUNCTION("""COMPUTED_VALUE"""),1485.0)</f>
        <v>1485</v>
      </c>
      <c r="E657" s="5">
        <f>IFERROR(__xludf.DUMMYFUNCTION("""COMPUTED_VALUE"""),1485.0)</f>
        <v>1485</v>
      </c>
      <c r="F657" s="5">
        <f>IFERROR(__xludf.DUMMYFUNCTION("""COMPUTED_VALUE"""),1.64646E7)</f>
        <v>16464600</v>
      </c>
      <c r="G657" s="5">
        <f t="shared" si="1"/>
        <v>25</v>
      </c>
    </row>
    <row r="658">
      <c r="A658" s="4">
        <f>IFERROR(__xludf.DUMMYFUNCTION("""COMPUTED_VALUE"""),44817.66666666667)</f>
        <v>44817.66667</v>
      </c>
      <c r="B658" s="5">
        <f>IFERROR(__xludf.DUMMYFUNCTION("""COMPUTED_VALUE"""),1510.0)</f>
        <v>1510</v>
      </c>
      <c r="C658" s="5">
        <f>IFERROR(__xludf.DUMMYFUNCTION("""COMPUTED_VALUE"""),1535.0)</f>
        <v>1535</v>
      </c>
      <c r="D658" s="5">
        <f>IFERROR(__xludf.DUMMYFUNCTION("""COMPUTED_VALUE"""),1505.0)</f>
        <v>1505</v>
      </c>
      <c r="E658" s="5">
        <f>IFERROR(__xludf.DUMMYFUNCTION("""COMPUTED_VALUE"""),1510.0)</f>
        <v>1510</v>
      </c>
      <c r="F658" s="5">
        <f>IFERROR(__xludf.DUMMYFUNCTION("""COMPUTED_VALUE"""),3.2944E7)</f>
        <v>32944000</v>
      </c>
      <c r="G658" s="5">
        <f t="shared" si="1"/>
        <v>50</v>
      </c>
    </row>
    <row r="659">
      <c r="A659" s="4">
        <f>IFERROR(__xludf.DUMMYFUNCTION("""COMPUTED_VALUE"""),44818.66666666667)</f>
        <v>44818.66667</v>
      </c>
      <c r="B659" s="5">
        <f>IFERROR(__xludf.DUMMYFUNCTION("""COMPUTED_VALUE"""),1490.0)</f>
        <v>1490</v>
      </c>
      <c r="C659" s="5">
        <f>IFERROR(__xludf.DUMMYFUNCTION("""COMPUTED_VALUE"""),1505.0)</f>
        <v>1505</v>
      </c>
      <c r="D659" s="5">
        <f>IFERROR(__xludf.DUMMYFUNCTION("""COMPUTED_VALUE"""),1465.0)</f>
        <v>1465</v>
      </c>
      <c r="E659" s="5">
        <f>IFERROR(__xludf.DUMMYFUNCTION("""COMPUTED_VALUE"""),1485.0)</f>
        <v>1485</v>
      </c>
      <c r="F659" s="5">
        <f>IFERROR(__xludf.DUMMYFUNCTION("""COMPUTED_VALUE"""),3.64185E7)</f>
        <v>36418500</v>
      </c>
      <c r="G659" s="5">
        <f t="shared" si="1"/>
        <v>45</v>
      </c>
    </row>
    <row r="660">
      <c r="A660" s="4">
        <f>IFERROR(__xludf.DUMMYFUNCTION("""COMPUTED_VALUE"""),44819.66666666667)</f>
        <v>44819.66667</v>
      </c>
      <c r="B660" s="5">
        <f>IFERROR(__xludf.DUMMYFUNCTION("""COMPUTED_VALUE"""),1490.0)</f>
        <v>1490</v>
      </c>
      <c r="C660" s="5">
        <f>IFERROR(__xludf.DUMMYFUNCTION("""COMPUTED_VALUE"""),1505.0)</f>
        <v>1505</v>
      </c>
      <c r="D660" s="5">
        <f>IFERROR(__xludf.DUMMYFUNCTION("""COMPUTED_VALUE"""),1485.0)</f>
        <v>1485</v>
      </c>
      <c r="E660" s="5">
        <f>IFERROR(__xludf.DUMMYFUNCTION("""COMPUTED_VALUE"""),1485.0)</f>
        <v>1485</v>
      </c>
      <c r="F660" s="5">
        <f>IFERROR(__xludf.DUMMYFUNCTION("""COMPUTED_VALUE"""),2.33333E7)</f>
        <v>23333300</v>
      </c>
      <c r="G660" s="5">
        <f t="shared" si="1"/>
        <v>20</v>
      </c>
    </row>
    <row r="661">
      <c r="A661" s="4">
        <f>IFERROR(__xludf.DUMMYFUNCTION("""COMPUTED_VALUE"""),44820.66666666667)</f>
        <v>44820.66667</v>
      </c>
      <c r="B661" s="5">
        <f>IFERROR(__xludf.DUMMYFUNCTION("""COMPUTED_VALUE"""),1490.0)</f>
        <v>1490</v>
      </c>
      <c r="C661" s="5">
        <f>IFERROR(__xludf.DUMMYFUNCTION("""COMPUTED_VALUE"""),1490.0)</f>
        <v>1490</v>
      </c>
      <c r="D661" s="5">
        <f>IFERROR(__xludf.DUMMYFUNCTION("""COMPUTED_VALUE"""),1455.0)</f>
        <v>1455</v>
      </c>
      <c r="E661" s="5">
        <f>IFERROR(__xludf.DUMMYFUNCTION("""COMPUTED_VALUE"""),1455.0)</f>
        <v>1455</v>
      </c>
      <c r="F661" s="5">
        <f>IFERROR(__xludf.DUMMYFUNCTION("""COMPUTED_VALUE"""),2.56067E7)</f>
        <v>25606700</v>
      </c>
      <c r="G661" s="5">
        <f t="shared" si="1"/>
        <v>35</v>
      </c>
    </row>
    <row r="662">
      <c r="A662" s="4">
        <f>IFERROR(__xludf.DUMMYFUNCTION("""COMPUTED_VALUE"""),44823.66666666667)</f>
        <v>44823.66667</v>
      </c>
      <c r="B662" s="5">
        <f>IFERROR(__xludf.DUMMYFUNCTION("""COMPUTED_VALUE"""),1470.0)</f>
        <v>1470</v>
      </c>
      <c r="C662" s="5">
        <f>IFERROR(__xludf.DUMMYFUNCTION("""COMPUTED_VALUE"""),1480.0)</f>
        <v>1480</v>
      </c>
      <c r="D662" s="5">
        <f>IFERROR(__xludf.DUMMYFUNCTION("""COMPUTED_VALUE"""),1395.0)</f>
        <v>1395</v>
      </c>
      <c r="E662" s="5">
        <f>IFERROR(__xludf.DUMMYFUNCTION("""COMPUTED_VALUE"""),1420.0)</f>
        <v>1420</v>
      </c>
      <c r="F662" s="5">
        <f>IFERROR(__xludf.DUMMYFUNCTION("""COMPUTED_VALUE"""),3.22349E7)</f>
        <v>32234900</v>
      </c>
      <c r="G662" s="5">
        <f t="shared" si="1"/>
        <v>85</v>
      </c>
    </row>
    <row r="663">
      <c r="A663" s="4">
        <f>IFERROR(__xludf.DUMMYFUNCTION("""COMPUTED_VALUE"""),44824.66666666667)</f>
        <v>44824.66667</v>
      </c>
      <c r="B663" s="5">
        <f>IFERROR(__xludf.DUMMYFUNCTION("""COMPUTED_VALUE"""),1430.0)</f>
        <v>1430</v>
      </c>
      <c r="C663" s="5">
        <f>IFERROR(__xludf.DUMMYFUNCTION("""COMPUTED_VALUE"""),1440.0)</f>
        <v>1440</v>
      </c>
      <c r="D663" s="5">
        <f>IFERROR(__xludf.DUMMYFUNCTION("""COMPUTED_VALUE"""),1410.0)</f>
        <v>1410</v>
      </c>
      <c r="E663" s="5">
        <f>IFERROR(__xludf.DUMMYFUNCTION("""COMPUTED_VALUE"""),1415.0)</f>
        <v>1415</v>
      </c>
      <c r="F663" s="5">
        <f>IFERROR(__xludf.DUMMYFUNCTION("""COMPUTED_VALUE"""),1.73044E7)</f>
        <v>17304400</v>
      </c>
      <c r="G663" s="5">
        <f t="shared" si="1"/>
        <v>30</v>
      </c>
    </row>
    <row r="664">
      <c r="A664" s="4">
        <f>IFERROR(__xludf.DUMMYFUNCTION("""COMPUTED_VALUE"""),44825.66666666667)</f>
        <v>44825.66667</v>
      </c>
      <c r="B664" s="5">
        <f>IFERROR(__xludf.DUMMYFUNCTION("""COMPUTED_VALUE"""),1425.0)</f>
        <v>1425</v>
      </c>
      <c r="C664" s="5">
        <f>IFERROR(__xludf.DUMMYFUNCTION("""COMPUTED_VALUE"""),1425.0)</f>
        <v>1425</v>
      </c>
      <c r="D664" s="5">
        <f>IFERROR(__xludf.DUMMYFUNCTION("""COMPUTED_VALUE"""),1385.0)</f>
        <v>1385</v>
      </c>
      <c r="E664" s="5">
        <f>IFERROR(__xludf.DUMMYFUNCTION("""COMPUTED_VALUE"""),1405.0)</f>
        <v>1405</v>
      </c>
      <c r="F664" s="5">
        <f>IFERROR(__xludf.DUMMYFUNCTION("""COMPUTED_VALUE"""),1.83604E7)</f>
        <v>18360400</v>
      </c>
      <c r="G664" s="5">
        <f t="shared" si="1"/>
        <v>40</v>
      </c>
    </row>
    <row r="665">
      <c r="A665" s="4">
        <f>IFERROR(__xludf.DUMMYFUNCTION("""COMPUTED_VALUE"""),44826.66666666667)</f>
        <v>44826.66667</v>
      </c>
      <c r="B665" s="5">
        <f>IFERROR(__xludf.DUMMYFUNCTION("""COMPUTED_VALUE"""),1390.0)</f>
        <v>1390</v>
      </c>
      <c r="C665" s="5">
        <f>IFERROR(__xludf.DUMMYFUNCTION("""COMPUTED_VALUE"""),1420.0)</f>
        <v>1420</v>
      </c>
      <c r="D665" s="5">
        <f>IFERROR(__xludf.DUMMYFUNCTION("""COMPUTED_VALUE"""),1390.0)</f>
        <v>1390</v>
      </c>
      <c r="E665" s="5">
        <f>IFERROR(__xludf.DUMMYFUNCTION("""COMPUTED_VALUE"""),1410.0)</f>
        <v>1410</v>
      </c>
      <c r="F665" s="5">
        <f>IFERROR(__xludf.DUMMYFUNCTION("""COMPUTED_VALUE"""),1.75451E7)</f>
        <v>17545100</v>
      </c>
      <c r="G665" s="5">
        <f t="shared" si="1"/>
        <v>30</v>
      </c>
    </row>
    <row r="666">
      <c r="A666" s="4">
        <f>IFERROR(__xludf.DUMMYFUNCTION("""COMPUTED_VALUE"""),44827.66666666667)</f>
        <v>44827.66667</v>
      </c>
      <c r="B666" s="5">
        <f>IFERROR(__xludf.DUMMYFUNCTION("""COMPUTED_VALUE"""),1415.0)</f>
        <v>1415</v>
      </c>
      <c r="C666" s="5">
        <f>IFERROR(__xludf.DUMMYFUNCTION("""COMPUTED_VALUE"""),1420.0)</f>
        <v>1420</v>
      </c>
      <c r="D666" s="5">
        <f>IFERROR(__xludf.DUMMYFUNCTION("""COMPUTED_VALUE"""),1395.0)</f>
        <v>1395</v>
      </c>
      <c r="E666" s="5">
        <f>IFERROR(__xludf.DUMMYFUNCTION("""COMPUTED_VALUE"""),1400.0)</f>
        <v>1400</v>
      </c>
      <c r="F666" s="5">
        <f>IFERROR(__xludf.DUMMYFUNCTION("""COMPUTED_VALUE"""),1.14505E7)</f>
        <v>11450500</v>
      </c>
      <c r="G666" s="5">
        <f t="shared" si="1"/>
        <v>25</v>
      </c>
    </row>
    <row r="667">
      <c r="A667" s="4">
        <f>IFERROR(__xludf.DUMMYFUNCTION("""COMPUTED_VALUE"""),44830.66666666667)</f>
        <v>44830.66667</v>
      </c>
      <c r="B667" s="5">
        <f>IFERROR(__xludf.DUMMYFUNCTION("""COMPUTED_VALUE"""),1390.0)</f>
        <v>1390</v>
      </c>
      <c r="C667" s="5">
        <f>IFERROR(__xludf.DUMMYFUNCTION("""COMPUTED_VALUE"""),1395.0)</f>
        <v>1395</v>
      </c>
      <c r="D667" s="5">
        <f>IFERROR(__xludf.DUMMYFUNCTION("""COMPUTED_VALUE"""),1380.0)</f>
        <v>1380</v>
      </c>
      <c r="E667" s="5">
        <f>IFERROR(__xludf.DUMMYFUNCTION("""COMPUTED_VALUE"""),1390.0)</f>
        <v>1390</v>
      </c>
      <c r="F667" s="5">
        <f>IFERROR(__xludf.DUMMYFUNCTION("""COMPUTED_VALUE"""),1.18105E7)</f>
        <v>11810500</v>
      </c>
      <c r="G667" s="5">
        <f t="shared" si="1"/>
        <v>20</v>
      </c>
    </row>
    <row r="668">
      <c r="A668" s="4">
        <f>IFERROR(__xludf.DUMMYFUNCTION("""COMPUTED_VALUE"""),44831.66666666667)</f>
        <v>44831.66667</v>
      </c>
      <c r="B668" s="5">
        <f>IFERROR(__xludf.DUMMYFUNCTION("""COMPUTED_VALUE"""),1380.0)</f>
        <v>1380</v>
      </c>
      <c r="C668" s="5">
        <f>IFERROR(__xludf.DUMMYFUNCTION("""COMPUTED_VALUE"""),1385.0)</f>
        <v>1385</v>
      </c>
      <c r="D668" s="5">
        <f>IFERROR(__xludf.DUMMYFUNCTION("""COMPUTED_VALUE"""),1360.0)</f>
        <v>1360</v>
      </c>
      <c r="E668" s="5">
        <f>IFERROR(__xludf.DUMMYFUNCTION("""COMPUTED_VALUE"""),1370.0)</f>
        <v>1370</v>
      </c>
      <c r="F668" s="5">
        <f>IFERROR(__xludf.DUMMYFUNCTION("""COMPUTED_VALUE"""),1.62033E7)</f>
        <v>16203300</v>
      </c>
      <c r="G668" s="5">
        <f t="shared" si="1"/>
        <v>30</v>
      </c>
    </row>
    <row r="669">
      <c r="A669" s="4">
        <f>IFERROR(__xludf.DUMMYFUNCTION("""COMPUTED_VALUE"""),44832.66666666667)</f>
        <v>44832.66667</v>
      </c>
      <c r="B669" s="5">
        <f>IFERROR(__xludf.DUMMYFUNCTION("""COMPUTED_VALUE"""),1370.0)</f>
        <v>1370</v>
      </c>
      <c r="C669" s="5">
        <f>IFERROR(__xludf.DUMMYFUNCTION("""COMPUTED_VALUE"""),1370.0)</f>
        <v>1370</v>
      </c>
      <c r="D669" s="5">
        <f>IFERROR(__xludf.DUMMYFUNCTION("""COMPUTED_VALUE"""),1340.0)</f>
        <v>1340</v>
      </c>
      <c r="E669" s="5">
        <f>IFERROR(__xludf.DUMMYFUNCTION("""COMPUTED_VALUE"""),1340.0)</f>
        <v>1340</v>
      </c>
      <c r="F669" s="5">
        <f>IFERROR(__xludf.DUMMYFUNCTION("""COMPUTED_VALUE"""),1.4551E7)</f>
        <v>14551000</v>
      </c>
      <c r="G669" s="5">
        <f t="shared" si="1"/>
        <v>30</v>
      </c>
    </row>
    <row r="670">
      <c r="A670" s="4">
        <f>IFERROR(__xludf.DUMMYFUNCTION("""COMPUTED_VALUE"""),44833.66666666667)</f>
        <v>44833.66667</v>
      </c>
      <c r="B670" s="5">
        <f>IFERROR(__xludf.DUMMYFUNCTION("""COMPUTED_VALUE"""),1355.0)</f>
        <v>1355</v>
      </c>
      <c r="C670" s="5">
        <f>IFERROR(__xludf.DUMMYFUNCTION("""COMPUTED_VALUE"""),1360.0)</f>
        <v>1360</v>
      </c>
      <c r="D670" s="5">
        <f>IFERROR(__xludf.DUMMYFUNCTION("""COMPUTED_VALUE"""),1310.0)</f>
        <v>1310</v>
      </c>
      <c r="E670" s="5">
        <f>IFERROR(__xludf.DUMMYFUNCTION("""COMPUTED_VALUE"""),1310.0)</f>
        <v>1310</v>
      </c>
      <c r="F670" s="5">
        <f>IFERROR(__xludf.DUMMYFUNCTION("""COMPUTED_VALUE"""),1.39819E7)</f>
        <v>13981900</v>
      </c>
      <c r="G670" s="5">
        <f t="shared" si="1"/>
        <v>50</v>
      </c>
    </row>
    <row r="671">
      <c r="A671" s="4">
        <f>IFERROR(__xludf.DUMMYFUNCTION("""COMPUTED_VALUE"""),44834.66666666667)</f>
        <v>44834.66667</v>
      </c>
      <c r="B671" s="5">
        <f>IFERROR(__xludf.DUMMYFUNCTION("""COMPUTED_VALUE"""),1315.0)</f>
        <v>1315</v>
      </c>
      <c r="C671" s="5">
        <f>IFERROR(__xludf.DUMMYFUNCTION("""COMPUTED_VALUE"""),1340.0)</f>
        <v>1340</v>
      </c>
      <c r="D671" s="5">
        <f>IFERROR(__xludf.DUMMYFUNCTION("""COMPUTED_VALUE"""),1290.0)</f>
        <v>1290</v>
      </c>
      <c r="E671" s="5">
        <f>IFERROR(__xludf.DUMMYFUNCTION("""COMPUTED_VALUE"""),1335.0)</f>
        <v>1335</v>
      </c>
      <c r="F671" s="5">
        <f>IFERROR(__xludf.DUMMYFUNCTION("""COMPUTED_VALUE"""),1.64705E7)</f>
        <v>16470500</v>
      </c>
      <c r="G671" s="5">
        <f t="shared" si="1"/>
        <v>50</v>
      </c>
    </row>
    <row r="672">
      <c r="A672" s="4">
        <f>IFERROR(__xludf.DUMMYFUNCTION("""COMPUTED_VALUE"""),44837.66666666667)</f>
        <v>44837.66667</v>
      </c>
      <c r="B672" s="5">
        <f>IFERROR(__xludf.DUMMYFUNCTION("""COMPUTED_VALUE"""),1335.0)</f>
        <v>1335</v>
      </c>
      <c r="C672" s="5">
        <f>IFERROR(__xludf.DUMMYFUNCTION("""COMPUTED_VALUE"""),1380.0)</f>
        <v>1380</v>
      </c>
      <c r="D672" s="5">
        <f>IFERROR(__xludf.DUMMYFUNCTION("""COMPUTED_VALUE"""),1315.0)</f>
        <v>1315</v>
      </c>
      <c r="E672" s="5">
        <f>IFERROR(__xludf.DUMMYFUNCTION("""COMPUTED_VALUE"""),1370.0)</f>
        <v>1370</v>
      </c>
      <c r="F672" s="5">
        <f>IFERROR(__xludf.DUMMYFUNCTION("""COMPUTED_VALUE"""),1.37841E7)</f>
        <v>13784100</v>
      </c>
      <c r="G672" s="5">
        <f t="shared" si="1"/>
        <v>65</v>
      </c>
    </row>
    <row r="673">
      <c r="A673" s="4">
        <f>IFERROR(__xludf.DUMMYFUNCTION("""COMPUTED_VALUE"""),44838.66666666667)</f>
        <v>44838.66667</v>
      </c>
      <c r="B673" s="5">
        <f>IFERROR(__xludf.DUMMYFUNCTION("""COMPUTED_VALUE"""),1380.0)</f>
        <v>1380</v>
      </c>
      <c r="C673" s="5">
        <f>IFERROR(__xludf.DUMMYFUNCTION("""COMPUTED_VALUE"""),1395.0)</f>
        <v>1395</v>
      </c>
      <c r="D673" s="5">
        <f>IFERROR(__xludf.DUMMYFUNCTION("""COMPUTED_VALUE"""),1375.0)</f>
        <v>1375</v>
      </c>
      <c r="E673" s="5">
        <f>IFERROR(__xludf.DUMMYFUNCTION("""COMPUTED_VALUE"""),1385.0)</f>
        <v>1385</v>
      </c>
      <c r="F673" s="5">
        <f>IFERROR(__xludf.DUMMYFUNCTION("""COMPUTED_VALUE"""),8835400.0)</f>
        <v>8835400</v>
      </c>
      <c r="G673" s="5">
        <f t="shared" si="1"/>
        <v>25</v>
      </c>
    </row>
    <row r="674">
      <c r="A674" s="4">
        <f>IFERROR(__xludf.DUMMYFUNCTION("""COMPUTED_VALUE"""),44839.66666666667)</f>
        <v>44839.66667</v>
      </c>
      <c r="B674" s="5">
        <f>IFERROR(__xludf.DUMMYFUNCTION("""COMPUTED_VALUE"""),1400.0)</f>
        <v>1400</v>
      </c>
      <c r="C674" s="5">
        <f>IFERROR(__xludf.DUMMYFUNCTION("""COMPUTED_VALUE"""),1410.0)</f>
        <v>1410</v>
      </c>
      <c r="D674" s="5">
        <f>IFERROR(__xludf.DUMMYFUNCTION("""COMPUTED_VALUE"""),1370.0)</f>
        <v>1370</v>
      </c>
      <c r="E674" s="5">
        <f>IFERROR(__xludf.DUMMYFUNCTION("""COMPUTED_VALUE"""),1375.0)</f>
        <v>1375</v>
      </c>
      <c r="F674" s="5">
        <f>IFERROR(__xludf.DUMMYFUNCTION("""COMPUTED_VALUE"""),1.09471E7)</f>
        <v>10947100</v>
      </c>
      <c r="G674" s="5">
        <f t="shared" si="1"/>
        <v>40</v>
      </c>
    </row>
    <row r="675">
      <c r="A675" s="4">
        <f>IFERROR(__xludf.DUMMYFUNCTION("""COMPUTED_VALUE"""),44840.66666666667)</f>
        <v>44840.66667</v>
      </c>
      <c r="B675" s="5">
        <f>IFERROR(__xludf.DUMMYFUNCTION("""COMPUTED_VALUE"""),1385.0)</f>
        <v>1385</v>
      </c>
      <c r="C675" s="5">
        <f>IFERROR(__xludf.DUMMYFUNCTION("""COMPUTED_VALUE"""),1390.0)</f>
        <v>1390</v>
      </c>
      <c r="D675" s="5">
        <f>IFERROR(__xludf.DUMMYFUNCTION("""COMPUTED_VALUE"""),1370.0)</f>
        <v>1370</v>
      </c>
      <c r="E675" s="5">
        <f>IFERROR(__xludf.DUMMYFUNCTION("""COMPUTED_VALUE"""),1375.0)</f>
        <v>1375</v>
      </c>
      <c r="F675" s="5">
        <f>IFERROR(__xludf.DUMMYFUNCTION("""COMPUTED_VALUE"""),8008700.0)</f>
        <v>8008700</v>
      </c>
      <c r="G675" s="5">
        <f t="shared" si="1"/>
        <v>20</v>
      </c>
    </row>
    <row r="676">
      <c r="A676" s="4">
        <f>IFERROR(__xludf.DUMMYFUNCTION("""COMPUTED_VALUE"""),44841.66666666667)</f>
        <v>44841.66667</v>
      </c>
      <c r="B676" s="5">
        <f>IFERROR(__xludf.DUMMYFUNCTION("""COMPUTED_VALUE"""),1375.0)</f>
        <v>1375</v>
      </c>
      <c r="C676" s="5">
        <f>IFERROR(__xludf.DUMMYFUNCTION("""COMPUTED_VALUE"""),1395.0)</f>
        <v>1395</v>
      </c>
      <c r="D676" s="5">
        <f>IFERROR(__xludf.DUMMYFUNCTION("""COMPUTED_VALUE"""),1370.0)</f>
        <v>1370</v>
      </c>
      <c r="E676" s="5">
        <f>IFERROR(__xludf.DUMMYFUNCTION("""COMPUTED_VALUE"""),1395.0)</f>
        <v>1395</v>
      </c>
      <c r="F676" s="5">
        <f>IFERROR(__xludf.DUMMYFUNCTION("""COMPUTED_VALUE"""),6590200.0)</f>
        <v>6590200</v>
      </c>
      <c r="G676" s="5">
        <f t="shared" si="1"/>
        <v>25</v>
      </c>
    </row>
    <row r="677">
      <c r="A677" s="4">
        <f>IFERROR(__xludf.DUMMYFUNCTION("""COMPUTED_VALUE"""),44844.66666666667)</f>
        <v>44844.66667</v>
      </c>
      <c r="B677" s="5">
        <f>IFERROR(__xludf.DUMMYFUNCTION("""COMPUTED_VALUE"""),1390.0)</f>
        <v>1390</v>
      </c>
      <c r="C677" s="5">
        <f>IFERROR(__xludf.DUMMYFUNCTION("""COMPUTED_VALUE"""),1390.0)</f>
        <v>1390</v>
      </c>
      <c r="D677" s="5">
        <f>IFERROR(__xludf.DUMMYFUNCTION("""COMPUTED_VALUE"""),1375.0)</f>
        <v>1375</v>
      </c>
      <c r="E677" s="5">
        <f>IFERROR(__xludf.DUMMYFUNCTION("""COMPUTED_VALUE"""),1385.0)</f>
        <v>1385</v>
      </c>
      <c r="F677" s="5">
        <f>IFERROR(__xludf.DUMMYFUNCTION("""COMPUTED_VALUE"""),5785400.0)</f>
        <v>5785400</v>
      </c>
      <c r="G677" s="5">
        <f t="shared" si="1"/>
        <v>20</v>
      </c>
    </row>
    <row r="678">
      <c r="A678" s="4">
        <f>IFERROR(__xludf.DUMMYFUNCTION("""COMPUTED_VALUE"""),44845.66666666667)</f>
        <v>44845.66667</v>
      </c>
      <c r="B678" s="5">
        <f>IFERROR(__xludf.DUMMYFUNCTION("""COMPUTED_VALUE"""),1385.0)</f>
        <v>1385</v>
      </c>
      <c r="C678" s="5">
        <f>IFERROR(__xludf.DUMMYFUNCTION("""COMPUTED_VALUE"""),1390.0)</f>
        <v>1390</v>
      </c>
      <c r="D678" s="5">
        <f>IFERROR(__xludf.DUMMYFUNCTION("""COMPUTED_VALUE"""),1365.0)</f>
        <v>1365</v>
      </c>
      <c r="E678" s="5">
        <f>IFERROR(__xludf.DUMMYFUNCTION("""COMPUTED_VALUE"""),1370.0)</f>
        <v>1370</v>
      </c>
      <c r="F678" s="5">
        <f>IFERROR(__xludf.DUMMYFUNCTION("""COMPUTED_VALUE"""),4288500.0)</f>
        <v>4288500</v>
      </c>
      <c r="G678" s="5">
        <f t="shared" si="1"/>
        <v>25</v>
      </c>
    </row>
    <row r="679">
      <c r="A679" s="4">
        <f>IFERROR(__xludf.DUMMYFUNCTION("""COMPUTED_VALUE"""),44846.66666666667)</f>
        <v>44846.66667</v>
      </c>
      <c r="B679" s="5">
        <f>IFERROR(__xludf.DUMMYFUNCTION("""COMPUTED_VALUE"""),1370.0)</f>
        <v>1370</v>
      </c>
      <c r="C679" s="5">
        <f>IFERROR(__xludf.DUMMYFUNCTION("""COMPUTED_VALUE"""),1400.0)</f>
        <v>1400</v>
      </c>
      <c r="D679" s="5">
        <f>IFERROR(__xludf.DUMMYFUNCTION("""COMPUTED_VALUE"""),1340.0)</f>
        <v>1340</v>
      </c>
      <c r="E679" s="5">
        <f>IFERROR(__xludf.DUMMYFUNCTION("""COMPUTED_VALUE"""),1400.0)</f>
        <v>1400</v>
      </c>
      <c r="F679" s="5">
        <f>IFERROR(__xludf.DUMMYFUNCTION("""COMPUTED_VALUE"""),1.33677E7)</f>
        <v>13367700</v>
      </c>
      <c r="G679" s="5">
        <f t="shared" si="1"/>
        <v>60</v>
      </c>
    </row>
    <row r="680">
      <c r="A680" s="4">
        <f>IFERROR(__xludf.DUMMYFUNCTION("""COMPUTED_VALUE"""),44847.66666666667)</f>
        <v>44847.66667</v>
      </c>
      <c r="B680" s="5">
        <f>IFERROR(__xludf.DUMMYFUNCTION("""COMPUTED_VALUE"""),1400.0)</f>
        <v>1400</v>
      </c>
      <c r="C680" s="5">
        <f>IFERROR(__xludf.DUMMYFUNCTION("""COMPUTED_VALUE"""),1405.0)</f>
        <v>1405</v>
      </c>
      <c r="D680" s="5">
        <f>IFERROR(__xludf.DUMMYFUNCTION("""COMPUTED_VALUE"""),1350.0)</f>
        <v>1350</v>
      </c>
      <c r="E680" s="5">
        <f>IFERROR(__xludf.DUMMYFUNCTION("""COMPUTED_VALUE"""),1350.0)</f>
        <v>1350</v>
      </c>
      <c r="F680" s="5">
        <f>IFERROR(__xludf.DUMMYFUNCTION("""COMPUTED_VALUE"""),1.23899E7)</f>
        <v>12389900</v>
      </c>
      <c r="G680" s="5">
        <f t="shared" si="1"/>
        <v>55</v>
      </c>
    </row>
    <row r="681">
      <c r="A681" s="4">
        <f>IFERROR(__xludf.DUMMYFUNCTION("""COMPUTED_VALUE"""),44848.66666666667)</f>
        <v>44848.66667</v>
      </c>
      <c r="B681" s="5">
        <f>IFERROR(__xludf.DUMMYFUNCTION("""COMPUTED_VALUE"""),1360.0)</f>
        <v>1360</v>
      </c>
      <c r="C681" s="5">
        <f>IFERROR(__xludf.DUMMYFUNCTION("""COMPUTED_VALUE"""),1365.0)</f>
        <v>1365</v>
      </c>
      <c r="D681" s="5">
        <f>IFERROR(__xludf.DUMMYFUNCTION("""COMPUTED_VALUE"""),1320.0)</f>
        <v>1320</v>
      </c>
      <c r="E681" s="5">
        <f>IFERROR(__xludf.DUMMYFUNCTION("""COMPUTED_VALUE"""),1320.0)</f>
        <v>1320</v>
      </c>
      <c r="F681" s="5">
        <f>IFERROR(__xludf.DUMMYFUNCTION("""COMPUTED_VALUE"""),1.17556E7)</f>
        <v>11755600</v>
      </c>
      <c r="G681" s="5">
        <f t="shared" si="1"/>
        <v>45</v>
      </c>
    </row>
    <row r="682">
      <c r="A682" s="4">
        <f>IFERROR(__xludf.DUMMYFUNCTION("""COMPUTED_VALUE"""),44851.66666666667)</f>
        <v>44851.66667</v>
      </c>
      <c r="B682" s="5">
        <f>IFERROR(__xludf.DUMMYFUNCTION("""COMPUTED_VALUE"""),1320.0)</f>
        <v>1320</v>
      </c>
      <c r="C682" s="5">
        <f>IFERROR(__xludf.DUMMYFUNCTION("""COMPUTED_VALUE"""),1320.0)</f>
        <v>1320</v>
      </c>
      <c r="D682" s="5">
        <f>IFERROR(__xludf.DUMMYFUNCTION("""COMPUTED_VALUE"""),1300.0)</f>
        <v>1300</v>
      </c>
      <c r="E682" s="5">
        <f>IFERROR(__xludf.DUMMYFUNCTION("""COMPUTED_VALUE"""),1300.0)</f>
        <v>1300</v>
      </c>
      <c r="F682" s="5">
        <f>IFERROR(__xludf.DUMMYFUNCTION("""COMPUTED_VALUE"""),7912700.0)</f>
        <v>7912700</v>
      </c>
      <c r="G682" s="5">
        <f t="shared" si="1"/>
        <v>20</v>
      </c>
    </row>
    <row r="683">
      <c r="A683" s="4">
        <f>IFERROR(__xludf.DUMMYFUNCTION("""COMPUTED_VALUE"""),44852.66666666667)</f>
        <v>44852.66667</v>
      </c>
      <c r="B683" s="5">
        <f>IFERROR(__xludf.DUMMYFUNCTION("""COMPUTED_VALUE"""),1300.0)</f>
        <v>1300</v>
      </c>
      <c r="C683" s="5">
        <f>IFERROR(__xludf.DUMMYFUNCTION("""COMPUTED_VALUE"""),1320.0)</f>
        <v>1320</v>
      </c>
      <c r="D683" s="5">
        <f>IFERROR(__xludf.DUMMYFUNCTION("""COMPUTED_VALUE"""),1295.0)</f>
        <v>1295</v>
      </c>
      <c r="E683" s="5">
        <f>IFERROR(__xludf.DUMMYFUNCTION("""COMPUTED_VALUE"""),1295.0)</f>
        <v>1295</v>
      </c>
      <c r="F683" s="5">
        <f>IFERROR(__xludf.DUMMYFUNCTION("""COMPUTED_VALUE"""),6091500.0)</f>
        <v>6091500</v>
      </c>
      <c r="G683" s="5">
        <f t="shared" si="1"/>
        <v>25</v>
      </c>
    </row>
    <row r="684">
      <c r="A684" s="4">
        <f>IFERROR(__xludf.DUMMYFUNCTION("""COMPUTED_VALUE"""),44853.66666666667)</f>
        <v>44853.66667</v>
      </c>
      <c r="B684" s="5">
        <f>IFERROR(__xludf.DUMMYFUNCTION("""COMPUTED_VALUE"""),1295.0)</f>
        <v>1295</v>
      </c>
      <c r="C684" s="5">
        <f>IFERROR(__xludf.DUMMYFUNCTION("""COMPUTED_VALUE"""),1315.0)</f>
        <v>1315</v>
      </c>
      <c r="D684" s="5">
        <f>IFERROR(__xludf.DUMMYFUNCTION("""COMPUTED_VALUE"""),1270.0)</f>
        <v>1270</v>
      </c>
      <c r="E684" s="5">
        <f>IFERROR(__xludf.DUMMYFUNCTION("""COMPUTED_VALUE"""),1300.0)</f>
        <v>1300</v>
      </c>
      <c r="F684" s="5">
        <f>IFERROR(__xludf.DUMMYFUNCTION("""COMPUTED_VALUE"""),8735500.0)</f>
        <v>8735500</v>
      </c>
      <c r="G684" s="5">
        <f t="shared" si="1"/>
        <v>45</v>
      </c>
    </row>
    <row r="685">
      <c r="A685" s="4">
        <f>IFERROR(__xludf.DUMMYFUNCTION("""COMPUTED_VALUE"""),44854.66666666667)</f>
        <v>44854.66667</v>
      </c>
      <c r="B685" s="5">
        <f>IFERROR(__xludf.DUMMYFUNCTION("""COMPUTED_VALUE"""),1300.0)</f>
        <v>1300</v>
      </c>
      <c r="C685" s="5">
        <f>IFERROR(__xludf.DUMMYFUNCTION("""COMPUTED_VALUE"""),1395.0)</f>
        <v>1395</v>
      </c>
      <c r="D685" s="5">
        <f>IFERROR(__xludf.DUMMYFUNCTION("""COMPUTED_VALUE"""),1290.0)</f>
        <v>1290</v>
      </c>
      <c r="E685" s="5">
        <f>IFERROR(__xludf.DUMMYFUNCTION("""COMPUTED_VALUE"""),1395.0)</f>
        <v>1395</v>
      </c>
      <c r="F685" s="5">
        <f>IFERROR(__xludf.DUMMYFUNCTION("""COMPUTED_VALUE"""),2.57964E7)</f>
        <v>25796400</v>
      </c>
      <c r="G685" s="5">
        <f t="shared" si="1"/>
        <v>105</v>
      </c>
    </row>
    <row r="686">
      <c r="A686" s="4">
        <f>IFERROR(__xludf.DUMMYFUNCTION("""COMPUTED_VALUE"""),44855.66666666667)</f>
        <v>44855.66667</v>
      </c>
      <c r="B686" s="5">
        <f>IFERROR(__xludf.DUMMYFUNCTION("""COMPUTED_VALUE"""),1395.0)</f>
        <v>1395</v>
      </c>
      <c r="C686" s="5">
        <f>IFERROR(__xludf.DUMMYFUNCTION("""COMPUTED_VALUE"""),1395.0)</f>
        <v>1395</v>
      </c>
      <c r="D686" s="5">
        <f>IFERROR(__xludf.DUMMYFUNCTION("""COMPUTED_VALUE"""),1355.0)</f>
        <v>1355</v>
      </c>
      <c r="E686" s="5">
        <f>IFERROR(__xludf.DUMMYFUNCTION("""COMPUTED_VALUE"""),1360.0)</f>
        <v>1360</v>
      </c>
      <c r="F686" s="5">
        <f>IFERROR(__xludf.DUMMYFUNCTION("""COMPUTED_VALUE"""),1.27185E7)</f>
        <v>12718500</v>
      </c>
      <c r="G686" s="5">
        <f t="shared" si="1"/>
        <v>40</v>
      </c>
    </row>
    <row r="687">
      <c r="A687" s="4">
        <f>IFERROR(__xludf.DUMMYFUNCTION("""COMPUTED_VALUE"""),44858.66666666667)</f>
        <v>44858.66667</v>
      </c>
      <c r="B687" s="5">
        <f>IFERROR(__xludf.DUMMYFUNCTION("""COMPUTED_VALUE"""),1365.0)</f>
        <v>1365</v>
      </c>
      <c r="C687" s="5">
        <f>IFERROR(__xludf.DUMMYFUNCTION("""COMPUTED_VALUE"""),1375.0)</f>
        <v>1375</v>
      </c>
      <c r="D687" s="5">
        <f>IFERROR(__xludf.DUMMYFUNCTION("""COMPUTED_VALUE"""),1355.0)</f>
        <v>1355</v>
      </c>
      <c r="E687" s="5">
        <f>IFERROR(__xludf.DUMMYFUNCTION("""COMPUTED_VALUE"""),1360.0)</f>
        <v>1360</v>
      </c>
      <c r="F687" s="5">
        <f>IFERROR(__xludf.DUMMYFUNCTION("""COMPUTED_VALUE"""),6948900.0)</f>
        <v>6948900</v>
      </c>
      <c r="G687" s="5">
        <f t="shared" si="1"/>
        <v>20</v>
      </c>
    </row>
    <row r="688">
      <c r="A688" s="4">
        <f>IFERROR(__xludf.DUMMYFUNCTION("""COMPUTED_VALUE"""),44859.66666666667)</f>
        <v>44859.66667</v>
      </c>
      <c r="B688" s="5">
        <f>IFERROR(__xludf.DUMMYFUNCTION("""COMPUTED_VALUE"""),1370.0)</f>
        <v>1370</v>
      </c>
      <c r="C688" s="5">
        <f>IFERROR(__xludf.DUMMYFUNCTION("""COMPUTED_VALUE"""),1370.0)</f>
        <v>1370</v>
      </c>
      <c r="D688" s="5">
        <f>IFERROR(__xludf.DUMMYFUNCTION("""COMPUTED_VALUE"""),1335.0)</f>
        <v>1335</v>
      </c>
      <c r="E688" s="5">
        <f>IFERROR(__xludf.DUMMYFUNCTION("""COMPUTED_VALUE"""),1335.0)</f>
        <v>1335</v>
      </c>
      <c r="F688" s="5">
        <f>IFERROR(__xludf.DUMMYFUNCTION("""COMPUTED_VALUE"""),1.17334E7)</f>
        <v>11733400</v>
      </c>
      <c r="G688" s="5">
        <f t="shared" si="1"/>
        <v>35</v>
      </c>
    </row>
    <row r="689">
      <c r="A689" s="4">
        <f>IFERROR(__xludf.DUMMYFUNCTION("""COMPUTED_VALUE"""),44860.66666666667)</f>
        <v>44860.66667</v>
      </c>
      <c r="B689" s="5">
        <f>IFERROR(__xludf.DUMMYFUNCTION("""COMPUTED_VALUE"""),1340.0)</f>
        <v>1340</v>
      </c>
      <c r="C689" s="5">
        <f>IFERROR(__xludf.DUMMYFUNCTION("""COMPUTED_VALUE"""),1370.0)</f>
        <v>1370</v>
      </c>
      <c r="D689" s="5">
        <f>IFERROR(__xludf.DUMMYFUNCTION("""COMPUTED_VALUE"""),1340.0)</f>
        <v>1340</v>
      </c>
      <c r="E689" s="5">
        <f>IFERROR(__xludf.DUMMYFUNCTION("""COMPUTED_VALUE"""),1370.0)</f>
        <v>1370</v>
      </c>
      <c r="F689" s="5">
        <f>IFERROR(__xludf.DUMMYFUNCTION("""COMPUTED_VALUE"""),7189300.0)</f>
        <v>7189300</v>
      </c>
      <c r="G689" s="5">
        <f t="shared" si="1"/>
        <v>35</v>
      </c>
    </row>
    <row r="690">
      <c r="A690" s="4">
        <f>IFERROR(__xludf.DUMMYFUNCTION("""COMPUTED_VALUE"""),44861.66666666667)</f>
        <v>44861.66667</v>
      </c>
      <c r="B690" s="5">
        <f>IFERROR(__xludf.DUMMYFUNCTION("""COMPUTED_VALUE"""),1375.0)</f>
        <v>1375</v>
      </c>
      <c r="C690" s="5">
        <f>IFERROR(__xludf.DUMMYFUNCTION("""COMPUTED_VALUE"""),1395.0)</f>
        <v>1395</v>
      </c>
      <c r="D690" s="5">
        <f>IFERROR(__xludf.DUMMYFUNCTION("""COMPUTED_VALUE"""),1360.0)</f>
        <v>1360</v>
      </c>
      <c r="E690" s="5">
        <f>IFERROR(__xludf.DUMMYFUNCTION("""COMPUTED_VALUE"""),1370.0)</f>
        <v>1370</v>
      </c>
      <c r="F690" s="5">
        <f>IFERROR(__xludf.DUMMYFUNCTION("""COMPUTED_VALUE"""),1.40936E7)</f>
        <v>14093600</v>
      </c>
      <c r="G690" s="5">
        <f t="shared" si="1"/>
        <v>35</v>
      </c>
    </row>
    <row r="691">
      <c r="A691" s="4">
        <f>IFERROR(__xludf.DUMMYFUNCTION("""COMPUTED_VALUE"""),44862.66666666667)</f>
        <v>44862.66667</v>
      </c>
      <c r="B691" s="5">
        <f>IFERROR(__xludf.DUMMYFUNCTION("""COMPUTED_VALUE"""),1390.0)</f>
        <v>1390</v>
      </c>
      <c r="C691" s="5">
        <f>IFERROR(__xludf.DUMMYFUNCTION("""COMPUTED_VALUE"""),1395.0)</f>
        <v>1395</v>
      </c>
      <c r="D691" s="5">
        <f>IFERROR(__xludf.DUMMYFUNCTION("""COMPUTED_VALUE"""),1355.0)</f>
        <v>1355</v>
      </c>
      <c r="E691" s="5">
        <f>IFERROR(__xludf.DUMMYFUNCTION("""COMPUTED_VALUE"""),1355.0)</f>
        <v>1355</v>
      </c>
      <c r="F691" s="5">
        <f>IFERROR(__xludf.DUMMYFUNCTION("""COMPUTED_VALUE"""),9896800.0)</f>
        <v>9896800</v>
      </c>
      <c r="G691" s="5">
        <f t="shared" si="1"/>
        <v>40</v>
      </c>
    </row>
    <row r="692">
      <c r="A692" s="4">
        <f>IFERROR(__xludf.DUMMYFUNCTION("""COMPUTED_VALUE"""),44865.66666666667)</f>
        <v>44865.66667</v>
      </c>
      <c r="B692" s="5">
        <f>IFERROR(__xludf.DUMMYFUNCTION("""COMPUTED_VALUE"""),1360.0)</f>
        <v>1360</v>
      </c>
      <c r="C692" s="5">
        <f>IFERROR(__xludf.DUMMYFUNCTION("""COMPUTED_VALUE"""),1365.0)</f>
        <v>1365</v>
      </c>
      <c r="D692" s="5">
        <f>IFERROR(__xludf.DUMMYFUNCTION("""COMPUTED_VALUE"""),1345.0)</f>
        <v>1345</v>
      </c>
      <c r="E692" s="5">
        <f>IFERROR(__xludf.DUMMYFUNCTION("""COMPUTED_VALUE"""),1355.0)</f>
        <v>1355</v>
      </c>
      <c r="F692" s="5">
        <f>IFERROR(__xludf.DUMMYFUNCTION("""COMPUTED_VALUE"""),6555800.0)</f>
        <v>6555800</v>
      </c>
      <c r="G692" s="5">
        <f t="shared" si="1"/>
        <v>20</v>
      </c>
    </row>
    <row r="693">
      <c r="A693" s="4">
        <f>IFERROR(__xludf.DUMMYFUNCTION("""COMPUTED_VALUE"""),44866.625)</f>
        <v>44866.625</v>
      </c>
      <c r="B693" s="5">
        <f>IFERROR(__xludf.DUMMYFUNCTION("""COMPUTED_VALUE"""),1350.0)</f>
        <v>1350</v>
      </c>
      <c r="C693" s="5">
        <f>IFERROR(__xludf.DUMMYFUNCTION("""COMPUTED_VALUE"""),1355.0)</f>
        <v>1355</v>
      </c>
      <c r="D693" s="5">
        <f>IFERROR(__xludf.DUMMYFUNCTION("""COMPUTED_VALUE"""),1325.0)</f>
        <v>1325</v>
      </c>
      <c r="E693" s="5">
        <f>IFERROR(__xludf.DUMMYFUNCTION("""COMPUTED_VALUE"""),1325.0)</f>
        <v>1325</v>
      </c>
      <c r="F693" s="5">
        <f>IFERROR(__xludf.DUMMYFUNCTION("""COMPUTED_VALUE"""),1.33964E7)</f>
        <v>13396400</v>
      </c>
      <c r="G693" s="5">
        <f t="shared" si="1"/>
        <v>30</v>
      </c>
    </row>
    <row r="694">
      <c r="A694" s="4">
        <f>IFERROR(__xludf.DUMMYFUNCTION("""COMPUTED_VALUE"""),44867.625)</f>
        <v>44867.625</v>
      </c>
      <c r="B694" s="5">
        <f>IFERROR(__xludf.DUMMYFUNCTION("""COMPUTED_VALUE"""),1335.0)</f>
        <v>1335</v>
      </c>
      <c r="C694" s="5">
        <f>IFERROR(__xludf.DUMMYFUNCTION("""COMPUTED_VALUE"""),1365.0)</f>
        <v>1365</v>
      </c>
      <c r="D694" s="5">
        <f>IFERROR(__xludf.DUMMYFUNCTION("""COMPUTED_VALUE"""),1335.0)</f>
        <v>1335</v>
      </c>
      <c r="E694" s="5">
        <f>IFERROR(__xludf.DUMMYFUNCTION("""COMPUTED_VALUE"""),1355.0)</f>
        <v>1355</v>
      </c>
      <c r="F694" s="5">
        <f>IFERROR(__xludf.DUMMYFUNCTION("""COMPUTED_VALUE"""),1.4034E7)</f>
        <v>14034000</v>
      </c>
      <c r="G694" s="5">
        <f t="shared" si="1"/>
        <v>40</v>
      </c>
    </row>
    <row r="695">
      <c r="A695" s="4">
        <f>IFERROR(__xludf.DUMMYFUNCTION("""COMPUTED_VALUE"""),44868.66666666667)</f>
        <v>44868.66667</v>
      </c>
      <c r="B695" s="5">
        <f>IFERROR(__xludf.DUMMYFUNCTION("""COMPUTED_VALUE"""),1350.0)</f>
        <v>1350</v>
      </c>
      <c r="C695" s="5">
        <f>IFERROR(__xludf.DUMMYFUNCTION("""COMPUTED_VALUE"""),1355.0)</f>
        <v>1355</v>
      </c>
      <c r="D695" s="5">
        <f>IFERROR(__xludf.DUMMYFUNCTION("""COMPUTED_VALUE"""),1330.0)</f>
        <v>1330</v>
      </c>
      <c r="E695" s="5">
        <f>IFERROR(__xludf.DUMMYFUNCTION("""COMPUTED_VALUE"""),1340.0)</f>
        <v>1340</v>
      </c>
      <c r="F695" s="5">
        <f>IFERROR(__xludf.DUMMYFUNCTION("""COMPUTED_VALUE"""),8262000.0)</f>
        <v>8262000</v>
      </c>
      <c r="G695" s="5">
        <f t="shared" si="1"/>
        <v>25</v>
      </c>
    </row>
    <row r="696">
      <c r="A696" s="4">
        <f>IFERROR(__xludf.DUMMYFUNCTION("""COMPUTED_VALUE"""),44869.66666666667)</f>
        <v>44869.66667</v>
      </c>
      <c r="B696" s="5">
        <f>IFERROR(__xludf.DUMMYFUNCTION("""COMPUTED_VALUE"""),1345.0)</f>
        <v>1345</v>
      </c>
      <c r="C696" s="5">
        <f>IFERROR(__xludf.DUMMYFUNCTION("""COMPUTED_VALUE"""),1360.0)</f>
        <v>1360</v>
      </c>
      <c r="D696" s="5">
        <f>IFERROR(__xludf.DUMMYFUNCTION("""COMPUTED_VALUE"""),1325.0)</f>
        <v>1325</v>
      </c>
      <c r="E696" s="5">
        <f>IFERROR(__xludf.DUMMYFUNCTION("""COMPUTED_VALUE"""),1360.0)</f>
        <v>1360</v>
      </c>
      <c r="F696" s="5">
        <f>IFERROR(__xludf.DUMMYFUNCTION("""COMPUTED_VALUE"""),8299100.0)</f>
        <v>8299100</v>
      </c>
      <c r="G696" s="5">
        <f t="shared" si="1"/>
        <v>35</v>
      </c>
    </row>
    <row r="697">
      <c r="A697" s="4">
        <f>IFERROR(__xludf.DUMMYFUNCTION("""COMPUTED_VALUE"""),44872.66666666667)</f>
        <v>44872.66667</v>
      </c>
      <c r="B697" s="5">
        <f>IFERROR(__xludf.DUMMYFUNCTION("""COMPUTED_VALUE"""),1385.0)</f>
        <v>1385</v>
      </c>
      <c r="C697" s="5">
        <f>IFERROR(__xludf.DUMMYFUNCTION("""COMPUTED_VALUE"""),1430.0)</f>
        <v>1430</v>
      </c>
      <c r="D697" s="5">
        <f>IFERROR(__xludf.DUMMYFUNCTION("""COMPUTED_VALUE"""),1380.0)</f>
        <v>1380</v>
      </c>
      <c r="E697" s="5">
        <f>IFERROR(__xludf.DUMMYFUNCTION("""COMPUTED_VALUE"""),1415.0)</f>
        <v>1415</v>
      </c>
      <c r="F697" s="5">
        <f>IFERROR(__xludf.DUMMYFUNCTION("""COMPUTED_VALUE"""),4.02832E7)</f>
        <v>40283200</v>
      </c>
      <c r="G697" s="5">
        <f t="shared" si="1"/>
        <v>70</v>
      </c>
    </row>
    <row r="698">
      <c r="A698" s="4">
        <f>IFERROR(__xludf.DUMMYFUNCTION("""COMPUTED_VALUE"""),44873.66666666667)</f>
        <v>44873.66667</v>
      </c>
      <c r="B698" s="5">
        <f>IFERROR(__xludf.DUMMYFUNCTION("""COMPUTED_VALUE"""),1425.0)</f>
        <v>1425</v>
      </c>
      <c r="C698" s="5">
        <f>IFERROR(__xludf.DUMMYFUNCTION("""COMPUTED_VALUE"""),1435.0)</f>
        <v>1435</v>
      </c>
      <c r="D698" s="5">
        <f>IFERROR(__xludf.DUMMYFUNCTION("""COMPUTED_VALUE"""),1400.0)</f>
        <v>1400</v>
      </c>
      <c r="E698" s="5">
        <f>IFERROR(__xludf.DUMMYFUNCTION("""COMPUTED_VALUE"""),1405.0)</f>
        <v>1405</v>
      </c>
      <c r="F698" s="5">
        <f>IFERROR(__xludf.DUMMYFUNCTION("""COMPUTED_VALUE"""),1.40428E7)</f>
        <v>14042800</v>
      </c>
      <c r="G698" s="5">
        <f t="shared" si="1"/>
        <v>35</v>
      </c>
    </row>
    <row r="699">
      <c r="A699" s="4">
        <f>IFERROR(__xludf.DUMMYFUNCTION("""COMPUTED_VALUE"""),44874.66666666667)</f>
        <v>44874.66667</v>
      </c>
      <c r="B699" s="5">
        <f>IFERROR(__xludf.DUMMYFUNCTION("""COMPUTED_VALUE"""),1410.0)</f>
        <v>1410</v>
      </c>
      <c r="C699" s="5">
        <f>IFERROR(__xludf.DUMMYFUNCTION("""COMPUTED_VALUE"""),1440.0)</f>
        <v>1440</v>
      </c>
      <c r="D699" s="5">
        <f>IFERROR(__xludf.DUMMYFUNCTION("""COMPUTED_VALUE"""),1405.0)</f>
        <v>1405</v>
      </c>
      <c r="E699" s="5">
        <f>IFERROR(__xludf.DUMMYFUNCTION("""COMPUTED_VALUE"""),1430.0)</f>
        <v>1430</v>
      </c>
      <c r="F699" s="5">
        <f>IFERROR(__xludf.DUMMYFUNCTION("""COMPUTED_VALUE"""),2.74432E7)</f>
        <v>27443200</v>
      </c>
      <c r="G699" s="5">
        <f t="shared" si="1"/>
        <v>35</v>
      </c>
    </row>
    <row r="700">
      <c r="A700" s="4">
        <f>IFERROR(__xludf.DUMMYFUNCTION("""COMPUTED_VALUE"""),44875.66666666667)</f>
        <v>44875.66667</v>
      </c>
      <c r="B700" s="5">
        <f>IFERROR(__xludf.DUMMYFUNCTION("""COMPUTED_VALUE"""),1435.0)</f>
        <v>1435</v>
      </c>
      <c r="C700" s="5">
        <f>IFERROR(__xludf.DUMMYFUNCTION("""COMPUTED_VALUE"""),1440.0)</f>
        <v>1440</v>
      </c>
      <c r="D700" s="5">
        <f>IFERROR(__xludf.DUMMYFUNCTION("""COMPUTED_VALUE"""),1410.0)</f>
        <v>1410</v>
      </c>
      <c r="E700" s="5">
        <f>IFERROR(__xludf.DUMMYFUNCTION("""COMPUTED_VALUE"""),1410.0)</f>
        <v>1410</v>
      </c>
      <c r="F700" s="5">
        <f>IFERROR(__xludf.DUMMYFUNCTION("""COMPUTED_VALUE"""),1.762E7)</f>
        <v>17620000</v>
      </c>
      <c r="G700" s="5">
        <f t="shared" si="1"/>
        <v>30</v>
      </c>
    </row>
    <row r="701">
      <c r="A701" s="4">
        <f>IFERROR(__xludf.DUMMYFUNCTION("""COMPUTED_VALUE"""),44876.66666666667)</f>
        <v>44876.66667</v>
      </c>
      <c r="B701" s="5">
        <f>IFERROR(__xludf.DUMMYFUNCTION("""COMPUTED_VALUE"""),1440.0)</f>
        <v>1440</v>
      </c>
      <c r="C701" s="5">
        <f>IFERROR(__xludf.DUMMYFUNCTION("""COMPUTED_VALUE"""),1460.0)</f>
        <v>1460</v>
      </c>
      <c r="D701" s="5">
        <f>IFERROR(__xludf.DUMMYFUNCTION("""COMPUTED_VALUE"""),1425.0)</f>
        <v>1425</v>
      </c>
      <c r="E701" s="5">
        <f>IFERROR(__xludf.DUMMYFUNCTION("""COMPUTED_VALUE"""),1450.0)</f>
        <v>1450</v>
      </c>
      <c r="F701" s="5">
        <f>IFERROR(__xludf.DUMMYFUNCTION("""COMPUTED_VALUE"""),2.65614E7)</f>
        <v>26561400</v>
      </c>
      <c r="G701" s="5">
        <f t="shared" si="1"/>
        <v>50</v>
      </c>
    </row>
    <row r="702">
      <c r="A702" s="4">
        <f>IFERROR(__xludf.DUMMYFUNCTION("""COMPUTED_VALUE"""),44879.66666666667)</f>
        <v>44879.66667</v>
      </c>
      <c r="B702" s="5">
        <f>IFERROR(__xludf.DUMMYFUNCTION("""COMPUTED_VALUE"""),1470.0)</f>
        <v>1470</v>
      </c>
      <c r="C702" s="5">
        <f>IFERROR(__xludf.DUMMYFUNCTION("""COMPUTED_VALUE"""),1480.0)</f>
        <v>1480</v>
      </c>
      <c r="D702" s="5">
        <f>IFERROR(__xludf.DUMMYFUNCTION("""COMPUTED_VALUE"""),1435.0)</f>
        <v>1435</v>
      </c>
      <c r="E702" s="5">
        <f>IFERROR(__xludf.DUMMYFUNCTION("""COMPUTED_VALUE"""),1445.0)</f>
        <v>1445</v>
      </c>
      <c r="F702" s="5">
        <f>IFERROR(__xludf.DUMMYFUNCTION("""COMPUTED_VALUE"""),2.18398E7)</f>
        <v>21839800</v>
      </c>
      <c r="G702" s="5">
        <f t="shared" si="1"/>
        <v>45</v>
      </c>
    </row>
    <row r="703">
      <c r="A703" s="4">
        <f>IFERROR(__xludf.DUMMYFUNCTION("""COMPUTED_VALUE"""),44880.66666666667)</f>
        <v>44880.66667</v>
      </c>
      <c r="B703" s="5">
        <f>IFERROR(__xludf.DUMMYFUNCTION("""COMPUTED_VALUE"""),1470.0)</f>
        <v>1470</v>
      </c>
      <c r="C703" s="5">
        <f>IFERROR(__xludf.DUMMYFUNCTION("""COMPUTED_VALUE"""),1480.0)</f>
        <v>1480</v>
      </c>
      <c r="D703" s="5">
        <f>IFERROR(__xludf.DUMMYFUNCTION("""COMPUTED_VALUE"""),1435.0)</f>
        <v>1435</v>
      </c>
      <c r="E703" s="5">
        <f>IFERROR(__xludf.DUMMYFUNCTION("""COMPUTED_VALUE"""),1445.0)</f>
        <v>1445</v>
      </c>
      <c r="F703" s="5">
        <f>IFERROR(__xludf.DUMMYFUNCTION("""COMPUTED_VALUE"""),3.19094E7)</f>
        <v>31909400</v>
      </c>
      <c r="G703" s="5">
        <f t="shared" si="1"/>
        <v>45</v>
      </c>
    </row>
    <row r="704">
      <c r="A704" s="4">
        <f>IFERROR(__xludf.DUMMYFUNCTION("""COMPUTED_VALUE"""),44881.66666666667)</f>
        <v>44881.66667</v>
      </c>
      <c r="B704" s="5">
        <f>IFERROR(__xludf.DUMMYFUNCTION("""COMPUTED_VALUE"""),1455.0)</f>
        <v>1455</v>
      </c>
      <c r="C704" s="5">
        <f>IFERROR(__xludf.DUMMYFUNCTION("""COMPUTED_VALUE"""),1455.0)</f>
        <v>1455</v>
      </c>
      <c r="D704" s="5">
        <f>IFERROR(__xludf.DUMMYFUNCTION("""COMPUTED_VALUE"""),1385.0)</f>
        <v>1385</v>
      </c>
      <c r="E704" s="5">
        <f>IFERROR(__xludf.DUMMYFUNCTION("""COMPUTED_VALUE"""),1390.0)</f>
        <v>1390</v>
      </c>
      <c r="F704" s="5">
        <f>IFERROR(__xludf.DUMMYFUNCTION("""COMPUTED_VALUE"""),2.7403E7)</f>
        <v>27403000</v>
      </c>
      <c r="G704" s="5">
        <f t="shared" si="1"/>
        <v>70</v>
      </c>
    </row>
    <row r="705">
      <c r="A705" s="4">
        <f>IFERROR(__xludf.DUMMYFUNCTION("""COMPUTED_VALUE"""),44882.66666666667)</f>
        <v>44882.66667</v>
      </c>
      <c r="B705" s="5">
        <f>IFERROR(__xludf.DUMMYFUNCTION("""COMPUTED_VALUE"""),1400.0)</f>
        <v>1400</v>
      </c>
      <c r="C705" s="5">
        <f>IFERROR(__xludf.DUMMYFUNCTION("""COMPUTED_VALUE"""),1410.0)</f>
        <v>1410</v>
      </c>
      <c r="D705" s="5">
        <f>IFERROR(__xludf.DUMMYFUNCTION("""COMPUTED_VALUE"""),1370.0)</f>
        <v>1370</v>
      </c>
      <c r="E705" s="5">
        <f>IFERROR(__xludf.DUMMYFUNCTION("""COMPUTED_VALUE"""),1375.0)</f>
        <v>1375</v>
      </c>
      <c r="F705" s="5">
        <f>IFERROR(__xludf.DUMMYFUNCTION("""COMPUTED_VALUE"""),2.16776E7)</f>
        <v>21677600</v>
      </c>
      <c r="G705" s="5">
        <f t="shared" si="1"/>
        <v>40</v>
      </c>
    </row>
    <row r="706">
      <c r="A706" s="4">
        <f>IFERROR(__xludf.DUMMYFUNCTION("""COMPUTED_VALUE"""),44883.66666666667)</f>
        <v>44883.66667</v>
      </c>
      <c r="B706" s="5">
        <f>IFERROR(__xludf.DUMMYFUNCTION("""COMPUTED_VALUE"""),1360.0)</f>
        <v>1360</v>
      </c>
      <c r="C706" s="5">
        <f>IFERROR(__xludf.DUMMYFUNCTION("""COMPUTED_VALUE"""),1380.0)</f>
        <v>1380</v>
      </c>
      <c r="D706" s="5">
        <f>IFERROR(__xludf.DUMMYFUNCTION("""COMPUTED_VALUE"""),1330.0)</f>
        <v>1330</v>
      </c>
      <c r="E706" s="5">
        <f>IFERROR(__xludf.DUMMYFUNCTION("""COMPUTED_VALUE"""),1335.0)</f>
        <v>1335</v>
      </c>
      <c r="F706" s="5">
        <f>IFERROR(__xludf.DUMMYFUNCTION("""COMPUTED_VALUE"""),3.49929E7)</f>
        <v>34992900</v>
      </c>
      <c r="G706" s="5">
        <f t="shared" si="1"/>
        <v>50</v>
      </c>
    </row>
    <row r="707">
      <c r="A707" s="4">
        <f>IFERROR(__xludf.DUMMYFUNCTION("""COMPUTED_VALUE"""),44886.66666666667)</f>
        <v>44886.66667</v>
      </c>
      <c r="B707" s="5">
        <f>IFERROR(__xludf.DUMMYFUNCTION("""COMPUTED_VALUE"""),1335.0)</f>
        <v>1335</v>
      </c>
      <c r="C707" s="5">
        <f>IFERROR(__xludf.DUMMYFUNCTION("""COMPUTED_VALUE"""),1355.0)</f>
        <v>1355</v>
      </c>
      <c r="D707" s="5">
        <f>IFERROR(__xludf.DUMMYFUNCTION("""COMPUTED_VALUE"""),1325.0)</f>
        <v>1325</v>
      </c>
      <c r="E707" s="5">
        <f>IFERROR(__xludf.DUMMYFUNCTION("""COMPUTED_VALUE"""),1330.0)</f>
        <v>1330</v>
      </c>
      <c r="F707" s="5">
        <f>IFERROR(__xludf.DUMMYFUNCTION("""COMPUTED_VALUE"""),2.40686E7)</f>
        <v>24068600</v>
      </c>
      <c r="G707" s="5">
        <f t="shared" si="1"/>
        <v>30</v>
      </c>
    </row>
    <row r="708">
      <c r="A708" s="4">
        <f>IFERROR(__xludf.DUMMYFUNCTION("""COMPUTED_VALUE"""),44887.66666666667)</f>
        <v>44887.66667</v>
      </c>
      <c r="B708" s="5">
        <f>IFERROR(__xludf.DUMMYFUNCTION("""COMPUTED_VALUE"""),1330.0)</f>
        <v>1330</v>
      </c>
      <c r="C708" s="5">
        <f>IFERROR(__xludf.DUMMYFUNCTION("""COMPUTED_VALUE"""),1345.0)</f>
        <v>1345</v>
      </c>
      <c r="D708" s="5">
        <f>IFERROR(__xludf.DUMMYFUNCTION("""COMPUTED_VALUE"""),1325.0)</f>
        <v>1325</v>
      </c>
      <c r="E708" s="5">
        <f>IFERROR(__xludf.DUMMYFUNCTION("""COMPUTED_VALUE"""),1330.0)</f>
        <v>1330</v>
      </c>
      <c r="F708" s="5">
        <f>IFERROR(__xludf.DUMMYFUNCTION("""COMPUTED_VALUE"""),1.14555E7)</f>
        <v>11455500</v>
      </c>
      <c r="G708" s="5">
        <f t="shared" si="1"/>
        <v>20</v>
      </c>
    </row>
    <row r="709">
      <c r="A709" s="4">
        <f>IFERROR(__xludf.DUMMYFUNCTION("""COMPUTED_VALUE"""),44888.66666666667)</f>
        <v>44888.66667</v>
      </c>
      <c r="B709" s="5">
        <f>IFERROR(__xludf.DUMMYFUNCTION("""COMPUTED_VALUE"""),1325.0)</f>
        <v>1325</v>
      </c>
      <c r="C709" s="5">
        <f>IFERROR(__xludf.DUMMYFUNCTION("""COMPUTED_VALUE"""),1330.0)</f>
        <v>1330</v>
      </c>
      <c r="D709" s="5">
        <f>IFERROR(__xludf.DUMMYFUNCTION("""COMPUTED_VALUE"""),1295.0)</f>
        <v>1295</v>
      </c>
      <c r="E709" s="5">
        <f>IFERROR(__xludf.DUMMYFUNCTION("""COMPUTED_VALUE"""),1300.0)</f>
        <v>1300</v>
      </c>
      <c r="F709" s="5">
        <f>IFERROR(__xludf.DUMMYFUNCTION("""COMPUTED_VALUE"""),6.36343E7)</f>
        <v>63634300</v>
      </c>
      <c r="G709" s="5">
        <f t="shared" si="1"/>
        <v>35</v>
      </c>
    </row>
    <row r="710">
      <c r="A710" s="4">
        <f>IFERROR(__xludf.DUMMYFUNCTION("""COMPUTED_VALUE"""),44889.66666666667)</f>
        <v>44889.66667</v>
      </c>
      <c r="B710" s="5">
        <f>IFERROR(__xludf.DUMMYFUNCTION("""COMPUTED_VALUE"""),1300.0)</f>
        <v>1300</v>
      </c>
      <c r="C710" s="5">
        <f>IFERROR(__xludf.DUMMYFUNCTION("""COMPUTED_VALUE"""),1310.0)</f>
        <v>1310</v>
      </c>
      <c r="D710" s="5">
        <f>IFERROR(__xludf.DUMMYFUNCTION("""COMPUTED_VALUE"""),1290.0)</f>
        <v>1290</v>
      </c>
      <c r="E710" s="5">
        <f>IFERROR(__xludf.DUMMYFUNCTION("""COMPUTED_VALUE"""),1290.0)</f>
        <v>1290</v>
      </c>
      <c r="F710" s="5">
        <f>IFERROR(__xludf.DUMMYFUNCTION("""COMPUTED_VALUE"""),1.91252E7)</f>
        <v>19125200</v>
      </c>
      <c r="G710" s="5">
        <f t="shared" si="1"/>
        <v>20</v>
      </c>
    </row>
    <row r="711">
      <c r="A711" s="4">
        <f>IFERROR(__xludf.DUMMYFUNCTION("""COMPUTED_VALUE"""),44890.66666666667)</f>
        <v>44890.66667</v>
      </c>
      <c r="B711" s="5">
        <f>IFERROR(__xludf.DUMMYFUNCTION("""COMPUTED_VALUE"""),1295.0)</f>
        <v>1295</v>
      </c>
      <c r="C711" s="5">
        <f>IFERROR(__xludf.DUMMYFUNCTION("""COMPUTED_VALUE"""),1305.0)</f>
        <v>1305</v>
      </c>
      <c r="D711" s="5">
        <f>IFERROR(__xludf.DUMMYFUNCTION("""COMPUTED_VALUE"""),1290.0)</f>
        <v>1290</v>
      </c>
      <c r="E711" s="5">
        <f>IFERROR(__xludf.DUMMYFUNCTION("""COMPUTED_VALUE"""),1295.0)</f>
        <v>1295</v>
      </c>
      <c r="F711" s="5">
        <f>IFERROR(__xludf.DUMMYFUNCTION("""COMPUTED_VALUE"""),1.31718E7)</f>
        <v>13171800</v>
      </c>
      <c r="G711" s="5">
        <f t="shared" si="1"/>
        <v>15</v>
      </c>
    </row>
    <row r="712">
      <c r="A712" s="4">
        <f>IFERROR(__xludf.DUMMYFUNCTION("""COMPUTED_VALUE"""),44893.66666666667)</f>
        <v>44893.66667</v>
      </c>
      <c r="B712" s="5">
        <f>IFERROR(__xludf.DUMMYFUNCTION("""COMPUTED_VALUE"""),1295.0)</f>
        <v>1295</v>
      </c>
      <c r="C712" s="5">
        <f>IFERROR(__xludf.DUMMYFUNCTION("""COMPUTED_VALUE"""),1300.0)</f>
        <v>1300</v>
      </c>
      <c r="D712" s="5">
        <f>IFERROR(__xludf.DUMMYFUNCTION("""COMPUTED_VALUE"""),1275.0)</f>
        <v>1275</v>
      </c>
      <c r="E712" s="5">
        <f>IFERROR(__xludf.DUMMYFUNCTION("""COMPUTED_VALUE"""),1280.0)</f>
        <v>1280</v>
      </c>
      <c r="F712" s="5">
        <f>IFERROR(__xludf.DUMMYFUNCTION("""COMPUTED_VALUE"""),1.69531E7)</f>
        <v>16953100</v>
      </c>
      <c r="G712" s="5">
        <f t="shared" si="1"/>
        <v>25</v>
      </c>
    </row>
    <row r="713">
      <c r="A713" s="4">
        <f>IFERROR(__xludf.DUMMYFUNCTION("""COMPUTED_VALUE"""),44894.66666666667)</f>
        <v>44894.66667</v>
      </c>
      <c r="B713" s="5">
        <f>IFERROR(__xludf.DUMMYFUNCTION("""COMPUTED_VALUE"""),1285.0)</f>
        <v>1285</v>
      </c>
      <c r="C713" s="5">
        <f>IFERROR(__xludf.DUMMYFUNCTION("""COMPUTED_VALUE"""),1295.0)</f>
        <v>1295</v>
      </c>
      <c r="D713" s="5">
        <f>IFERROR(__xludf.DUMMYFUNCTION("""COMPUTED_VALUE"""),1270.0)</f>
        <v>1270</v>
      </c>
      <c r="E713" s="5">
        <f>IFERROR(__xludf.DUMMYFUNCTION("""COMPUTED_VALUE"""),1275.0)</f>
        <v>1275</v>
      </c>
      <c r="F713" s="5">
        <f>IFERROR(__xludf.DUMMYFUNCTION("""COMPUTED_VALUE"""),2.47651E7)</f>
        <v>24765100</v>
      </c>
      <c r="G713" s="5">
        <f t="shared" si="1"/>
        <v>25</v>
      </c>
    </row>
    <row r="714">
      <c r="A714" s="4">
        <f>IFERROR(__xludf.DUMMYFUNCTION("""COMPUTED_VALUE"""),44895.66666666667)</f>
        <v>44895.66667</v>
      </c>
      <c r="B714" s="5">
        <f>IFERROR(__xludf.DUMMYFUNCTION("""COMPUTED_VALUE"""),1285.0)</f>
        <v>1285</v>
      </c>
      <c r="C714" s="5">
        <f>IFERROR(__xludf.DUMMYFUNCTION("""COMPUTED_VALUE"""),1295.0)</f>
        <v>1295</v>
      </c>
      <c r="D714" s="5">
        <f>IFERROR(__xludf.DUMMYFUNCTION("""COMPUTED_VALUE"""),1205.0)</f>
        <v>1205</v>
      </c>
      <c r="E714" s="5">
        <f>IFERROR(__xludf.DUMMYFUNCTION("""COMPUTED_VALUE"""),1225.0)</f>
        <v>1225</v>
      </c>
      <c r="F714" s="5">
        <f>IFERROR(__xludf.DUMMYFUNCTION("""COMPUTED_VALUE"""),6.50175E7)</f>
        <v>65017500</v>
      </c>
      <c r="G714" s="5">
        <f t="shared" si="1"/>
        <v>90</v>
      </c>
    </row>
    <row r="715">
      <c r="A715" s="4">
        <f>IFERROR(__xludf.DUMMYFUNCTION("""COMPUTED_VALUE"""),44896.66666666667)</f>
        <v>44896.66667</v>
      </c>
      <c r="B715" s="5">
        <f>IFERROR(__xludf.DUMMYFUNCTION("""COMPUTED_VALUE"""),1235.0)</f>
        <v>1235</v>
      </c>
      <c r="C715" s="5">
        <f>IFERROR(__xludf.DUMMYFUNCTION("""COMPUTED_VALUE"""),1260.0)</f>
        <v>1260</v>
      </c>
      <c r="D715" s="5">
        <f>IFERROR(__xludf.DUMMYFUNCTION("""COMPUTED_VALUE"""),1220.0)</f>
        <v>1220</v>
      </c>
      <c r="E715" s="5">
        <f>IFERROR(__xludf.DUMMYFUNCTION("""COMPUTED_VALUE"""),1225.0)</f>
        <v>1225</v>
      </c>
      <c r="F715" s="5">
        <f>IFERROR(__xludf.DUMMYFUNCTION("""COMPUTED_VALUE"""),4.48825E7)</f>
        <v>44882500</v>
      </c>
      <c r="G715" s="5">
        <f t="shared" si="1"/>
        <v>40</v>
      </c>
    </row>
    <row r="716">
      <c r="A716" s="4">
        <f>IFERROR(__xludf.DUMMYFUNCTION("""COMPUTED_VALUE"""),44897.66666666667)</f>
        <v>44897.66667</v>
      </c>
      <c r="B716" s="5">
        <f>IFERROR(__xludf.DUMMYFUNCTION("""COMPUTED_VALUE"""),1235.0)</f>
        <v>1235</v>
      </c>
      <c r="C716" s="5">
        <f>IFERROR(__xludf.DUMMYFUNCTION("""COMPUTED_VALUE"""),1245.0)</f>
        <v>1245</v>
      </c>
      <c r="D716" s="5">
        <f>IFERROR(__xludf.DUMMYFUNCTION("""COMPUTED_VALUE"""),1225.0)</f>
        <v>1225</v>
      </c>
      <c r="E716" s="5">
        <f>IFERROR(__xludf.DUMMYFUNCTION("""COMPUTED_VALUE"""),1235.0)</f>
        <v>1235</v>
      </c>
      <c r="F716" s="5">
        <f>IFERROR(__xludf.DUMMYFUNCTION("""COMPUTED_VALUE"""),1.32572E7)</f>
        <v>13257200</v>
      </c>
      <c r="G716" s="5">
        <f t="shared" si="1"/>
        <v>20</v>
      </c>
    </row>
    <row r="717">
      <c r="A717" s="4">
        <f>IFERROR(__xludf.DUMMYFUNCTION("""COMPUTED_VALUE"""),44900.66666666667)</f>
        <v>44900.66667</v>
      </c>
      <c r="B717" s="5">
        <f>IFERROR(__xludf.DUMMYFUNCTION("""COMPUTED_VALUE"""),1240.0)</f>
        <v>1240</v>
      </c>
      <c r="C717" s="5">
        <f>IFERROR(__xludf.DUMMYFUNCTION("""COMPUTED_VALUE"""),1265.0)</f>
        <v>1265</v>
      </c>
      <c r="D717" s="5">
        <f>IFERROR(__xludf.DUMMYFUNCTION("""COMPUTED_VALUE"""),1240.0)</f>
        <v>1240</v>
      </c>
      <c r="E717" s="5">
        <f>IFERROR(__xludf.DUMMYFUNCTION("""COMPUTED_VALUE"""),1245.0)</f>
        <v>1245</v>
      </c>
      <c r="F717" s="5">
        <f>IFERROR(__xludf.DUMMYFUNCTION("""COMPUTED_VALUE"""),1.64431E7)</f>
        <v>16443100</v>
      </c>
      <c r="G717" s="5">
        <f t="shared" si="1"/>
        <v>30</v>
      </c>
    </row>
    <row r="718">
      <c r="A718" s="4">
        <f>IFERROR(__xludf.DUMMYFUNCTION("""COMPUTED_VALUE"""),44901.66666666667)</f>
        <v>44901.66667</v>
      </c>
      <c r="B718" s="5">
        <f>IFERROR(__xludf.DUMMYFUNCTION("""COMPUTED_VALUE"""),1245.0)</f>
        <v>1245</v>
      </c>
      <c r="C718" s="5">
        <f>IFERROR(__xludf.DUMMYFUNCTION("""COMPUTED_VALUE"""),1245.0)</f>
        <v>1245</v>
      </c>
      <c r="D718" s="5">
        <f>IFERROR(__xludf.DUMMYFUNCTION("""COMPUTED_VALUE"""),1215.0)</f>
        <v>1215</v>
      </c>
      <c r="E718" s="5">
        <f>IFERROR(__xludf.DUMMYFUNCTION("""COMPUTED_VALUE"""),1215.0)</f>
        <v>1215</v>
      </c>
      <c r="F718" s="5">
        <f>IFERROR(__xludf.DUMMYFUNCTION("""COMPUTED_VALUE"""),1.34924E7)</f>
        <v>13492400</v>
      </c>
      <c r="G718" s="5">
        <f t="shared" si="1"/>
        <v>30</v>
      </c>
    </row>
    <row r="719">
      <c r="A719" s="4">
        <f>IFERROR(__xludf.DUMMYFUNCTION("""COMPUTED_VALUE"""),44902.66666666667)</f>
        <v>44902.66667</v>
      </c>
      <c r="B719" s="5">
        <f>IFERROR(__xludf.DUMMYFUNCTION("""COMPUTED_VALUE"""),1215.0)</f>
        <v>1215</v>
      </c>
      <c r="C719" s="5">
        <f>IFERROR(__xludf.DUMMYFUNCTION("""COMPUTED_VALUE"""),1235.0)</f>
        <v>1235</v>
      </c>
      <c r="D719" s="5">
        <f>IFERROR(__xludf.DUMMYFUNCTION("""COMPUTED_VALUE"""),1165.0)</f>
        <v>1165</v>
      </c>
      <c r="E719" s="5">
        <f>IFERROR(__xludf.DUMMYFUNCTION("""COMPUTED_VALUE"""),1175.0)</f>
        <v>1175</v>
      </c>
      <c r="F719" s="5">
        <f>IFERROR(__xludf.DUMMYFUNCTION("""COMPUTED_VALUE"""),2.52376E7)</f>
        <v>25237600</v>
      </c>
      <c r="G719" s="5">
        <f t="shared" si="1"/>
        <v>70</v>
      </c>
    </row>
    <row r="720">
      <c r="A720" s="4">
        <f>IFERROR(__xludf.DUMMYFUNCTION("""COMPUTED_VALUE"""),44903.66666666667)</f>
        <v>44903.66667</v>
      </c>
      <c r="B720" s="5">
        <f>IFERROR(__xludf.DUMMYFUNCTION("""COMPUTED_VALUE"""),1190.0)</f>
        <v>1190</v>
      </c>
      <c r="C720" s="5">
        <f>IFERROR(__xludf.DUMMYFUNCTION("""COMPUTED_VALUE"""),1200.0)</f>
        <v>1200</v>
      </c>
      <c r="D720" s="5">
        <f>IFERROR(__xludf.DUMMYFUNCTION("""COMPUTED_VALUE"""),1150.0)</f>
        <v>1150</v>
      </c>
      <c r="E720" s="5">
        <f>IFERROR(__xludf.DUMMYFUNCTION("""COMPUTED_VALUE"""),1195.0)</f>
        <v>1195</v>
      </c>
      <c r="F720" s="5">
        <f>IFERROR(__xludf.DUMMYFUNCTION("""COMPUTED_VALUE"""),1.87855E7)</f>
        <v>18785500</v>
      </c>
      <c r="G720" s="5">
        <f t="shared" si="1"/>
        <v>50</v>
      </c>
    </row>
    <row r="721">
      <c r="A721" s="4">
        <f>IFERROR(__xludf.DUMMYFUNCTION("""COMPUTED_VALUE"""),44904.66666666667)</f>
        <v>44904.66667</v>
      </c>
      <c r="B721" s="5">
        <f>IFERROR(__xludf.DUMMYFUNCTION("""COMPUTED_VALUE"""),1185.0)</f>
        <v>1185</v>
      </c>
      <c r="C721" s="5">
        <f>IFERROR(__xludf.DUMMYFUNCTION("""COMPUTED_VALUE"""),1190.0)</f>
        <v>1190</v>
      </c>
      <c r="D721" s="5">
        <f>IFERROR(__xludf.DUMMYFUNCTION("""COMPUTED_VALUE"""),1160.0)</f>
        <v>1160</v>
      </c>
      <c r="E721" s="5">
        <f>IFERROR(__xludf.DUMMYFUNCTION("""COMPUTED_VALUE"""),1165.0)</f>
        <v>1165</v>
      </c>
      <c r="F721" s="5">
        <f>IFERROR(__xludf.DUMMYFUNCTION("""COMPUTED_VALUE"""),9580700.0)</f>
        <v>9580700</v>
      </c>
      <c r="G721" s="5">
        <f t="shared" si="1"/>
        <v>35</v>
      </c>
    </row>
    <row r="722">
      <c r="A722" s="4">
        <f>IFERROR(__xludf.DUMMYFUNCTION("""COMPUTED_VALUE"""),44907.66666666667)</f>
        <v>44907.66667</v>
      </c>
      <c r="B722" s="5">
        <f>IFERROR(__xludf.DUMMYFUNCTION("""COMPUTED_VALUE"""),1165.0)</f>
        <v>1165</v>
      </c>
      <c r="C722" s="5">
        <f>IFERROR(__xludf.DUMMYFUNCTION("""COMPUTED_VALUE"""),1180.0)</f>
        <v>1180</v>
      </c>
      <c r="D722" s="5">
        <f>IFERROR(__xludf.DUMMYFUNCTION("""COMPUTED_VALUE"""),1160.0)</f>
        <v>1160</v>
      </c>
      <c r="E722" s="5">
        <f>IFERROR(__xludf.DUMMYFUNCTION("""COMPUTED_VALUE"""),1175.0)</f>
        <v>1175</v>
      </c>
      <c r="F722" s="5">
        <f>IFERROR(__xludf.DUMMYFUNCTION("""COMPUTED_VALUE"""),7385200.0)</f>
        <v>7385200</v>
      </c>
      <c r="G722" s="5">
        <f t="shared" si="1"/>
        <v>20</v>
      </c>
    </row>
    <row r="723">
      <c r="A723" s="4">
        <f>IFERROR(__xludf.DUMMYFUNCTION("""COMPUTED_VALUE"""),44908.66666666667)</f>
        <v>44908.66667</v>
      </c>
      <c r="B723" s="5">
        <f>IFERROR(__xludf.DUMMYFUNCTION("""COMPUTED_VALUE"""),1180.0)</f>
        <v>1180</v>
      </c>
      <c r="C723" s="5">
        <f>IFERROR(__xludf.DUMMYFUNCTION("""COMPUTED_VALUE"""),1190.0)</f>
        <v>1190</v>
      </c>
      <c r="D723" s="5">
        <f>IFERROR(__xludf.DUMMYFUNCTION("""COMPUTED_VALUE"""),1165.0)</f>
        <v>1165</v>
      </c>
      <c r="E723" s="5">
        <f>IFERROR(__xludf.DUMMYFUNCTION("""COMPUTED_VALUE"""),1175.0)</f>
        <v>1175</v>
      </c>
      <c r="F723" s="5">
        <f>IFERROR(__xludf.DUMMYFUNCTION("""COMPUTED_VALUE"""),5225900.0)</f>
        <v>5225900</v>
      </c>
      <c r="G723" s="5">
        <f t="shared" si="1"/>
        <v>25</v>
      </c>
    </row>
    <row r="724">
      <c r="A724" s="4">
        <f>IFERROR(__xludf.DUMMYFUNCTION("""COMPUTED_VALUE"""),44909.66666666667)</f>
        <v>44909.66667</v>
      </c>
      <c r="B724" s="5">
        <f>IFERROR(__xludf.DUMMYFUNCTION("""COMPUTED_VALUE"""),1175.0)</f>
        <v>1175</v>
      </c>
      <c r="C724" s="5">
        <f>IFERROR(__xludf.DUMMYFUNCTION("""COMPUTED_VALUE"""),1185.0)</f>
        <v>1185</v>
      </c>
      <c r="D724" s="5">
        <f>IFERROR(__xludf.DUMMYFUNCTION("""COMPUTED_VALUE"""),1165.0)</f>
        <v>1165</v>
      </c>
      <c r="E724" s="5">
        <f>IFERROR(__xludf.DUMMYFUNCTION("""COMPUTED_VALUE"""),1185.0)</f>
        <v>1185</v>
      </c>
      <c r="F724" s="5">
        <f>IFERROR(__xludf.DUMMYFUNCTION("""COMPUTED_VALUE"""),6912600.0)</f>
        <v>6912600</v>
      </c>
      <c r="G724" s="5">
        <f t="shared" si="1"/>
        <v>20</v>
      </c>
    </row>
    <row r="725">
      <c r="A725" s="4">
        <f>IFERROR(__xludf.DUMMYFUNCTION("""COMPUTED_VALUE"""),44910.66666666667)</f>
        <v>44910.66667</v>
      </c>
      <c r="B725" s="5">
        <f>IFERROR(__xludf.DUMMYFUNCTION("""COMPUTED_VALUE"""),1185.0)</f>
        <v>1185</v>
      </c>
      <c r="C725" s="5">
        <f>IFERROR(__xludf.DUMMYFUNCTION("""COMPUTED_VALUE"""),1210.0)</f>
        <v>1210</v>
      </c>
      <c r="D725" s="5">
        <f>IFERROR(__xludf.DUMMYFUNCTION("""COMPUTED_VALUE"""),1175.0)</f>
        <v>1175</v>
      </c>
      <c r="E725" s="5">
        <f>IFERROR(__xludf.DUMMYFUNCTION("""COMPUTED_VALUE"""),1190.0)</f>
        <v>1190</v>
      </c>
      <c r="F725" s="5">
        <f>IFERROR(__xludf.DUMMYFUNCTION("""COMPUTED_VALUE"""),1.20613E7)</f>
        <v>12061300</v>
      </c>
      <c r="G725" s="5">
        <f t="shared" si="1"/>
        <v>35</v>
      </c>
    </row>
    <row r="726">
      <c r="A726" s="4">
        <f>IFERROR(__xludf.DUMMYFUNCTION("""COMPUTED_VALUE"""),44911.66666666667)</f>
        <v>44911.66667</v>
      </c>
      <c r="B726" s="5">
        <f>IFERROR(__xludf.DUMMYFUNCTION("""COMPUTED_VALUE"""),1185.0)</f>
        <v>1185</v>
      </c>
      <c r="C726" s="5">
        <f>IFERROR(__xludf.DUMMYFUNCTION("""COMPUTED_VALUE"""),1200.0)</f>
        <v>1200</v>
      </c>
      <c r="D726" s="5">
        <f>IFERROR(__xludf.DUMMYFUNCTION("""COMPUTED_VALUE"""),1170.0)</f>
        <v>1170</v>
      </c>
      <c r="E726" s="5">
        <f>IFERROR(__xludf.DUMMYFUNCTION("""COMPUTED_VALUE"""),1195.0)</f>
        <v>1195</v>
      </c>
      <c r="F726" s="5">
        <f>IFERROR(__xludf.DUMMYFUNCTION("""COMPUTED_VALUE"""),1.25293E7)</f>
        <v>12529300</v>
      </c>
      <c r="G726" s="5">
        <f t="shared" si="1"/>
        <v>30</v>
      </c>
    </row>
    <row r="727">
      <c r="A727" s="4">
        <f>IFERROR(__xludf.DUMMYFUNCTION("""COMPUTED_VALUE"""),44914.66666666667)</f>
        <v>44914.66667</v>
      </c>
      <c r="B727" s="5">
        <f>IFERROR(__xludf.DUMMYFUNCTION("""COMPUTED_VALUE"""),1195.0)</f>
        <v>1195</v>
      </c>
      <c r="C727" s="5">
        <f>IFERROR(__xludf.DUMMYFUNCTION("""COMPUTED_VALUE"""),1205.0)</f>
        <v>1205</v>
      </c>
      <c r="D727" s="5">
        <f>IFERROR(__xludf.DUMMYFUNCTION("""COMPUTED_VALUE"""),1185.0)</f>
        <v>1185</v>
      </c>
      <c r="E727" s="5">
        <f>IFERROR(__xludf.DUMMYFUNCTION("""COMPUTED_VALUE"""),1185.0)</f>
        <v>1185</v>
      </c>
      <c r="F727" s="5">
        <f>IFERROR(__xludf.DUMMYFUNCTION("""COMPUTED_VALUE"""),6289000.0)</f>
        <v>6289000</v>
      </c>
      <c r="G727" s="5">
        <f t="shared" si="1"/>
        <v>20</v>
      </c>
    </row>
    <row r="728">
      <c r="A728" s="4">
        <f>IFERROR(__xludf.DUMMYFUNCTION("""COMPUTED_VALUE"""),44915.66666666667)</f>
        <v>44915.66667</v>
      </c>
      <c r="B728" s="5">
        <f>IFERROR(__xludf.DUMMYFUNCTION("""COMPUTED_VALUE"""),1180.0)</f>
        <v>1180</v>
      </c>
      <c r="C728" s="5">
        <f>IFERROR(__xludf.DUMMYFUNCTION("""COMPUTED_VALUE"""),1180.0)</f>
        <v>1180</v>
      </c>
      <c r="D728" s="5">
        <f>IFERROR(__xludf.DUMMYFUNCTION("""COMPUTED_VALUE"""),1160.0)</f>
        <v>1160</v>
      </c>
      <c r="E728" s="5">
        <f>IFERROR(__xludf.DUMMYFUNCTION("""COMPUTED_VALUE"""),1160.0)</f>
        <v>1160</v>
      </c>
      <c r="F728" s="5">
        <f>IFERROR(__xludf.DUMMYFUNCTION("""COMPUTED_VALUE"""),1.26963E7)</f>
        <v>12696300</v>
      </c>
      <c r="G728" s="5">
        <f t="shared" si="1"/>
        <v>25</v>
      </c>
    </row>
    <row r="729">
      <c r="A729" s="4">
        <f>IFERROR(__xludf.DUMMYFUNCTION("""COMPUTED_VALUE"""),44916.66666666667)</f>
        <v>44916.66667</v>
      </c>
      <c r="B729" s="5">
        <f>IFERROR(__xludf.DUMMYFUNCTION("""COMPUTED_VALUE"""),1160.0)</f>
        <v>1160</v>
      </c>
      <c r="C729" s="5">
        <f>IFERROR(__xludf.DUMMYFUNCTION("""COMPUTED_VALUE"""),1170.0)</f>
        <v>1170</v>
      </c>
      <c r="D729" s="5">
        <f>IFERROR(__xludf.DUMMYFUNCTION("""COMPUTED_VALUE"""),1160.0)</f>
        <v>1160</v>
      </c>
      <c r="E729" s="5">
        <f>IFERROR(__xludf.DUMMYFUNCTION("""COMPUTED_VALUE"""),1160.0)</f>
        <v>1160</v>
      </c>
      <c r="F729" s="5">
        <f>IFERROR(__xludf.DUMMYFUNCTION("""COMPUTED_VALUE"""),4923000.0)</f>
        <v>4923000</v>
      </c>
      <c r="G729" s="5">
        <f t="shared" si="1"/>
        <v>10</v>
      </c>
    </row>
    <row r="730">
      <c r="A730" s="4">
        <f>IFERROR(__xludf.DUMMYFUNCTION("""COMPUTED_VALUE"""),44917.66666666667)</f>
        <v>44917.66667</v>
      </c>
      <c r="B730" s="5">
        <f>IFERROR(__xludf.DUMMYFUNCTION("""COMPUTED_VALUE"""),1170.0)</f>
        <v>1170</v>
      </c>
      <c r="C730" s="5">
        <f>IFERROR(__xludf.DUMMYFUNCTION("""COMPUTED_VALUE"""),1175.0)</f>
        <v>1175</v>
      </c>
      <c r="D730" s="5">
        <f>IFERROR(__xludf.DUMMYFUNCTION("""COMPUTED_VALUE"""),1160.0)</f>
        <v>1160</v>
      </c>
      <c r="E730" s="5">
        <f>IFERROR(__xludf.DUMMYFUNCTION("""COMPUTED_VALUE"""),1165.0)</f>
        <v>1165</v>
      </c>
      <c r="F730" s="5">
        <f>IFERROR(__xludf.DUMMYFUNCTION("""COMPUTED_VALUE"""),4495600.0)</f>
        <v>4495600</v>
      </c>
      <c r="G730" s="5">
        <f t="shared" si="1"/>
        <v>15</v>
      </c>
    </row>
    <row r="731">
      <c r="A731" s="4">
        <f>IFERROR(__xludf.DUMMYFUNCTION("""COMPUTED_VALUE"""),44918.66666666667)</f>
        <v>44918.66667</v>
      </c>
      <c r="B731" s="5">
        <f>IFERROR(__xludf.DUMMYFUNCTION("""COMPUTED_VALUE"""),1165.0)</f>
        <v>1165</v>
      </c>
      <c r="C731" s="5">
        <f>IFERROR(__xludf.DUMMYFUNCTION("""COMPUTED_VALUE"""),1170.0)</f>
        <v>1170</v>
      </c>
      <c r="D731" s="5">
        <f>IFERROR(__xludf.DUMMYFUNCTION("""COMPUTED_VALUE"""),1150.0)</f>
        <v>1150</v>
      </c>
      <c r="E731" s="5">
        <f>IFERROR(__xludf.DUMMYFUNCTION("""COMPUTED_VALUE"""),1165.0)</f>
        <v>1165</v>
      </c>
      <c r="F731" s="5">
        <f>IFERROR(__xludf.DUMMYFUNCTION("""COMPUTED_VALUE"""),5549400.0)</f>
        <v>5549400</v>
      </c>
      <c r="G731" s="5">
        <f t="shared" si="1"/>
        <v>20</v>
      </c>
    </row>
    <row r="732">
      <c r="A732" s="4">
        <f>IFERROR(__xludf.DUMMYFUNCTION("""COMPUTED_VALUE"""),44921.66666666667)</f>
        <v>44921.66667</v>
      </c>
      <c r="B732" s="5">
        <f>IFERROR(__xludf.DUMMYFUNCTION("""COMPUTED_VALUE"""),1155.0)</f>
        <v>1155</v>
      </c>
      <c r="C732" s="5">
        <f>IFERROR(__xludf.DUMMYFUNCTION("""COMPUTED_VALUE"""),1165.0)</f>
        <v>1165</v>
      </c>
      <c r="D732" s="5">
        <f>IFERROR(__xludf.DUMMYFUNCTION("""COMPUTED_VALUE"""),1155.0)</f>
        <v>1155</v>
      </c>
      <c r="E732" s="5">
        <f>IFERROR(__xludf.DUMMYFUNCTION("""COMPUTED_VALUE"""),1165.0)</f>
        <v>1165</v>
      </c>
      <c r="F732" s="5">
        <f>IFERROR(__xludf.DUMMYFUNCTION("""COMPUTED_VALUE"""),2191900.0)</f>
        <v>2191900</v>
      </c>
      <c r="G732" s="5">
        <f t="shared" si="1"/>
        <v>10</v>
      </c>
    </row>
    <row r="733">
      <c r="A733" s="4">
        <f>IFERROR(__xludf.DUMMYFUNCTION("""COMPUTED_VALUE"""),44922.66666666667)</f>
        <v>44922.66667</v>
      </c>
      <c r="B733" s="5">
        <f>IFERROR(__xludf.DUMMYFUNCTION("""COMPUTED_VALUE"""),1165.0)</f>
        <v>1165</v>
      </c>
      <c r="C733" s="5">
        <f>IFERROR(__xludf.DUMMYFUNCTION("""COMPUTED_VALUE"""),1200.0)</f>
        <v>1200</v>
      </c>
      <c r="D733" s="5">
        <f>IFERROR(__xludf.DUMMYFUNCTION("""COMPUTED_VALUE"""),1160.0)</f>
        <v>1160</v>
      </c>
      <c r="E733" s="5">
        <f>IFERROR(__xludf.DUMMYFUNCTION("""COMPUTED_VALUE"""),1170.0)</f>
        <v>1170</v>
      </c>
      <c r="F733" s="5">
        <f>IFERROR(__xludf.DUMMYFUNCTION("""COMPUTED_VALUE"""),1.16056E7)</f>
        <v>11605600</v>
      </c>
      <c r="G733" s="5">
        <f t="shared" si="1"/>
        <v>40</v>
      </c>
    </row>
    <row r="734">
      <c r="A734" s="4">
        <f>IFERROR(__xludf.DUMMYFUNCTION("""COMPUTED_VALUE"""),44923.66666666667)</f>
        <v>44923.66667</v>
      </c>
      <c r="B734" s="5">
        <f>IFERROR(__xludf.DUMMYFUNCTION("""COMPUTED_VALUE"""),1175.0)</f>
        <v>1175</v>
      </c>
      <c r="C734" s="5">
        <f>IFERROR(__xludf.DUMMYFUNCTION("""COMPUTED_VALUE"""),1180.0)</f>
        <v>1180</v>
      </c>
      <c r="D734" s="5">
        <f>IFERROR(__xludf.DUMMYFUNCTION("""COMPUTED_VALUE"""),1155.0)</f>
        <v>1155</v>
      </c>
      <c r="E734" s="5">
        <f>IFERROR(__xludf.DUMMYFUNCTION("""COMPUTED_VALUE"""),1165.0)</f>
        <v>1165</v>
      </c>
      <c r="F734" s="5">
        <f>IFERROR(__xludf.DUMMYFUNCTION("""COMPUTED_VALUE"""),4666500.0)</f>
        <v>4666500</v>
      </c>
      <c r="G734" s="5">
        <f t="shared" si="1"/>
        <v>25</v>
      </c>
    </row>
    <row r="735">
      <c r="A735" s="4">
        <f>IFERROR(__xludf.DUMMYFUNCTION("""COMPUTED_VALUE"""),44924.66666666667)</f>
        <v>44924.66667</v>
      </c>
      <c r="B735" s="5">
        <f>IFERROR(__xludf.DUMMYFUNCTION("""COMPUTED_VALUE"""),1165.0)</f>
        <v>1165</v>
      </c>
      <c r="C735" s="5">
        <f>IFERROR(__xludf.DUMMYFUNCTION("""COMPUTED_VALUE"""),1175.0)</f>
        <v>1175</v>
      </c>
      <c r="D735" s="5">
        <f>IFERROR(__xludf.DUMMYFUNCTION("""COMPUTED_VALUE"""),1160.0)</f>
        <v>1160</v>
      </c>
      <c r="E735" s="5">
        <f>IFERROR(__xludf.DUMMYFUNCTION("""COMPUTED_VALUE"""),1165.0)</f>
        <v>1165</v>
      </c>
      <c r="F735" s="5">
        <f>IFERROR(__xludf.DUMMYFUNCTION("""COMPUTED_VALUE"""),2670500.0)</f>
        <v>2670500</v>
      </c>
      <c r="G735" s="5">
        <f t="shared" si="1"/>
        <v>15</v>
      </c>
    </row>
    <row r="736">
      <c r="A736" s="4">
        <f>IFERROR(__xludf.DUMMYFUNCTION("""COMPUTED_VALUE"""),44925.66666666667)</f>
        <v>44925.66667</v>
      </c>
      <c r="B736" s="5">
        <f>IFERROR(__xludf.DUMMYFUNCTION("""COMPUTED_VALUE"""),1170.0)</f>
        <v>1170</v>
      </c>
      <c r="C736" s="5">
        <f>IFERROR(__xludf.DUMMYFUNCTION("""COMPUTED_VALUE"""),1185.0)</f>
        <v>1185</v>
      </c>
      <c r="D736" s="5">
        <f>IFERROR(__xludf.DUMMYFUNCTION("""COMPUTED_VALUE"""),1170.0)</f>
        <v>1170</v>
      </c>
      <c r="E736" s="5">
        <f>IFERROR(__xludf.DUMMYFUNCTION("""COMPUTED_VALUE"""),1170.0)</f>
        <v>1170</v>
      </c>
      <c r="F736" s="5">
        <f>IFERROR(__xludf.DUMMYFUNCTION("""COMPUTED_VALUE"""),6741500.0)</f>
        <v>6741500</v>
      </c>
      <c r="G736" s="5">
        <f t="shared" si="1"/>
        <v>20</v>
      </c>
    </row>
    <row r="737">
      <c r="A737" s="4">
        <f>IFERROR(__xludf.DUMMYFUNCTION("""COMPUTED_VALUE"""),44928.66666666667)</f>
        <v>44928.66667</v>
      </c>
      <c r="B737" s="5">
        <f>IFERROR(__xludf.DUMMYFUNCTION("""COMPUTED_VALUE"""),1170.0)</f>
        <v>1170</v>
      </c>
      <c r="C737" s="5">
        <f>IFERROR(__xludf.DUMMYFUNCTION("""COMPUTED_VALUE"""),1180.0)</f>
        <v>1180</v>
      </c>
      <c r="D737" s="5">
        <f>IFERROR(__xludf.DUMMYFUNCTION("""COMPUTED_VALUE"""),1150.0)</f>
        <v>1150</v>
      </c>
      <c r="E737" s="5">
        <f>IFERROR(__xludf.DUMMYFUNCTION("""COMPUTED_VALUE"""),1160.0)</f>
        <v>1160</v>
      </c>
      <c r="F737" s="5">
        <f>IFERROR(__xludf.DUMMYFUNCTION("""COMPUTED_VALUE"""),1.02806E7)</f>
        <v>10280600</v>
      </c>
      <c r="G737" s="5">
        <f t="shared" si="1"/>
        <v>30</v>
      </c>
    </row>
    <row r="738">
      <c r="A738" s="4">
        <f>IFERROR(__xludf.DUMMYFUNCTION("""COMPUTED_VALUE"""),44929.66666666667)</f>
        <v>44929.66667</v>
      </c>
      <c r="B738" s="5">
        <f>IFERROR(__xludf.DUMMYFUNCTION("""COMPUTED_VALUE"""),1160.0)</f>
        <v>1160</v>
      </c>
      <c r="C738" s="5">
        <f>IFERROR(__xludf.DUMMYFUNCTION("""COMPUTED_VALUE"""),1180.0)</f>
        <v>1180</v>
      </c>
      <c r="D738" s="5">
        <f>IFERROR(__xludf.DUMMYFUNCTION("""COMPUTED_VALUE"""),1155.0)</f>
        <v>1155</v>
      </c>
      <c r="E738" s="5">
        <f>IFERROR(__xludf.DUMMYFUNCTION("""COMPUTED_VALUE"""),1165.0)</f>
        <v>1165</v>
      </c>
      <c r="F738" s="5">
        <f>IFERROR(__xludf.DUMMYFUNCTION("""COMPUTED_VALUE"""),6422000.0)</f>
        <v>6422000</v>
      </c>
      <c r="G738" s="5">
        <f t="shared" si="1"/>
        <v>25</v>
      </c>
    </row>
    <row r="739">
      <c r="A739" s="4">
        <f>IFERROR(__xludf.DUMMYFUNCTION("""COMPUTED_VALUE"""),44930.66666666667)</f>
        <v>44930.66667</v>
      </c>
      <c r="B739" s="5">
        <f>IFERROR(__xludf.DUMMYFUNCTION("""COMPUTED_VALUE"""),1170.0)</f>
        <v>1170</v>
      </c>
      <c r="C739" s="5">
        <f>IFERROR(__xludf.DUMMYFUNCTION("""COMPUTED_VALUE"""),1200.0)</f>
        <v>1200</v>
      </c>
      <c r="D739" s="5">
        <f>IFERROR(__xludf.DUMMYFUNCTION("""COMPUTED_VALUE"""),1170.0)</f>
        <v>1170</v>
      </c>
      <c r="E739" s="5">
        <f>IFERROR(__xludf.DUMMYFUNCTION("""COMPUTED_VALUE"""),1180.0)</f>
        <v>1180</v>
      </c>
      <c r="F739" s="5">
        <f>IFERROR(__xludf.DUMMYFUNCTION("""COMPUTED_VALUE"""),2.36716E7)</f>
        <v>23671600</v>
      </c>
      <c r="G739" s="5">
        <f t="shared" si="1"/>
        <v>35</v>
      </c>
    </row>
    <row r="740">
      <c r="A740" s="4">
        <f>IFERROR(__xludf.DUMMYFUNCTION("""COMPUTED_VALUE"""),44931.66666666667)</f>
        <v>44931.66667</v>
      </c>
      <c r="B740" s="5">
        <f>IFERROR(__xludf.DUMMYFUNCTION("""COMPUTED_VALUE"""),1180.0)</f>
        <v>1180</v>
      </c>
      <c r="C740" s="5">
        <f>IFERROR(__xludf.DUMMYFUNCTION("""COMPUTED_VALUE"""),1185.0)</f>
        <v>1185</v>
      </c>
      <c r="D740" s="5">
        <f>IFERROR(__xludf.DUMMYFUNCTION("""COMPUTED_VALUE"""),1120.0)</f>
        <v>1120</v>
      </c>
      <c r="E740" s="5">
        <f>IFERROR(__xludf.DUMMYFUNCTION("""COMPUTED_VALUE"""),1125.0)</f>
        <v>1125</v>
      </c>
      <c r="F740" s="5">
        <f>IFERROR(__xludf.DUMMYFUNCTION("""COMPUTED_VALUE"""),2.19836E7)</f>
        <v>21983600</v>
      </c>
      <c r="G740" s="5">
        <f t="shared" si="1"/>
        <v>65</v>
      </c>
    </row>
    <row r="741">
      <c r="A741" s="4">
        <f>IFERROR(__xludf.DUMMYFUNCTION("""COMPUTED_VALUE"""),44932.66666666667)</f>
        <v>44932.66667</v>
      </c>
      <c r="B741" s="5">
        <f>IFERROR(__xludf.DUMMYFUNCTION("""COMPUTED_VALUE"""),1125.0)</f>
        <v>1125</v>
      </c>
      <c r="C741" s="5">
        <f>IFERROR(__xludf.DUMMYFUNCTION("""COMPUTED_VALUE"""),1160.0)</f>
        <v>1160</v>
      </c>
      <c r="D741" s="5">
        <f>IFERROR(__xludf.DUMMYFUNCTION("""COMPUTED_VALUE"""),1090.0)</f>
        <v>1090</v>
      </c>
      <c r="E741" s="5">
        <f>IFERROR(__xludf.DUMMYFUNCTION("""COMPUTED_VALUE"""),1145.0)</f>
        <v>1145</v>
      </c>
      <c r="F741" s="5">
        <f>IFERROR(__xludf.DUMMYFUNCTION("""COMPUTED_VALUE"""),1.066E7)</f>
        <v>10660000</v>
      </c>
      <c r="G741" s="5">
        <f t="shared" si="1"/>
        <v>70</v>
      </c>
    </row>
    <row r="742">
      <c r="A742" s="4">
        <f>IFERROR(__xludf.DUMMYFUNCTION("""COMPUTED_VALUE"""),44935.66666666667)</f>
        <v>44935.66667</v>
      </c>
      <c r="B742" s="5">
        <f>IFERROR(__xludf.DUMMYFUNCTION("""COMPUTED_VALUE"""),1155.0)</f>
        <v>1155</v>
      </c>
      <c r="C742" s="5">
        <f>IFERROR(__xludf.DUMMYFUNCTION("""COMPUTED_VALUE"""),1175.0)</f>
        <v>1175</v>
      </c>
      <c r="D742" s="5">
        <f>IFERROR(__xludf.DUMMYFUNCTION("""COMPUTED_VALUE"""),1145.0)</f>
        <v>1145</v>
      </c>
      <c r="E742" s="5">
        <f>IFERROR(__xludf.DUMMYFUNCTION("""COMPUTED_VALUE"""),1165.0)</f>
        <v>1165</v>
      </c>
      <c r="F742" s="5">
        <f>IFERROR(__xludf.DUMMYFUNCTION("""COMPUTED_VALUE"""),1.03938E7)</f>
        <v>10393800</v>
      </c>
      <c r="G742" s="5">
        <f t="shared" si="1"/>
        <v>30</v>
      </c>
    </row>
    <row r="743">
      <c r="A743" s="4">
        <f>IFERROR(__xludf.DUMMYFUNCTION("""COMPUTED_VALUE"""),44936.66666666667)</f>
        <v>44936.66667</v>
      </c>
      <c r="B743" s="5">
        <f>IFERROR(__xludf.DUMMYFUNCTION("""COMPUTED_VALUE"""),1165.0)</f>
        <v>1165</v>
      </c>
      <c r="C743" s="5">
        <f>IFERROR(__xludf.DUMMYFUNCTION("""COMPUTED_VALUE"""),1175.0)</f>
        <v>1175</v>
      </c>
      <c r="D743" s="5">
        <f>IFERROR(__xludf.DUMMYFUNCTION("""COMPUTED_VALUE"""),1140.0)</f>
        <v>1140</v>
      </c>
      <c r="E743" s="5">
        <f>IFERROR(__xludf.DUMMYFUNCTION("""COMPUTED_VALUE"""),1160.0)</f>
        <v>1160</v>
      </c>
      <c r="F743" s="5">
        <f>IFERROR(__xludf.DUMMYFUNCTION("""COMPUTED_VALUE"""),8086900.0)</f>
        <v>8086900</v>
      </c>
      <c r="G743" s="5">
        <f t="shared" si="1"/>
        <v>35</v>
      </c>
    </row>
    <row r="744">
      <c r="A744" s="4">
        <f>IFERROR(__xludf.DUMMYFUNCTION("""COMPUTED_VALUE"""),44937.66666666667)</f>
        <v>44937.66667</v>
      </c>
      <c r="B744" s="5">
        <f>IFERROR(__xludf.DUMMYFUNCTION("""COMPUTED_VALUE"""),1170.0)</f>
        <v>1170</v>
      </c>
      <c r="C744" s="5">
        <f>IFERROR(__xludf.DUMMYFUNCTION("""COMPUTED_VALUE"""),1170.0)</f>
        <v>1170</v>
      </c>
      <c r="D744" s="5">
        <f>IFERROR(__xludf.DUMMYFUNCTION("""COMPUTED_VALUE"""),1150.0)</f>
        <v>1150</v>
      </c>
      <c r="E744" s="5">
        <f>IFERROR(__xludf.DUMMYFUNCTION("""COMPUTED_VALUE"""),1165.0)</f>
        <v>1165</v>
      </c>
      <c r="F744" s="5">
        <f>IFERROR(__xludf.DUMMYFUNCTION("""COMPUTED_VALUE"""),6202000.0)</f>
        <v>6202000</v>
      </c>
      <c r="G744" s="5">
        <f t="shared" si="1"/>
        <v>20</v>
      </c>
    </row>
    <row r="745">
      <c r="A745" s="4">
        <f>IFERROR(__xludf.DUMMYFUNCTION("""COMPUTED_VALUE"""),44938.66666666667)</f>
        <v>44938.66667</v>
      </c>
      <c r="B745" s="5">
        <f>IFERROR(__xludf.DUMMYFUNCTION("""COMPUTED_VALUE"""),1170.0)</f>
        <v>1170</v>
      </c>
      <c r="C745" s="5">
        <f>IFERROR(__xludf.DUMMYFUNCTION("""COMPUTED_VALUE"""),1190.0)</f>
        <v>1190</v>
      </c>
      <c r="D745" s="5">
        <f>IFERROR(__xludf.DUMMYFUNCTION("""COMPUTED_VALUE"""),1155.0)</f>
        <v>1155</v>
      </c>
      <c r="E745" s="5">
        <f>IFERROR(__xludf.DUMMYFUNCTION("""COMPUTED_VALUE"""),1180.0)</f>
        <v>1180</v>
      </c>
      <c r="F745" s="5">
        <f>IFERROR(__xludf.DUMMYFUNCTION("""COMPUTED_VALUE"""),1.23E7)</f>
        <v>12300000</v>
      </c>
      <c r="G745" s="5">
        <f t="shared" si="1"/>
        <v>35</v>
      </c>
    </row>
    <row r="746">
      <c r="A746" s="4">
        <f>IFERROR(__xludf.DUMMYFUNCTION("""COMPUTED_VALUE"""),44939.66666666667)</f>
        <v>44939.66667</v>
      </c>
      <c r="B746" s="5">
        <f>IFERROR(__xludf.DUMMYFUNCTION("""COMPUTED_VALUE"""),1195.0)</f>
        <v>1195</v>
      </c>
      <c r="C746" s="5">
        <f>IFERROR(__xludf.DUMMYFUNCTION("""COMPUTED_VALUE"""),1195.0)</f>
        <v>1195</v>
      </c>
      <c r="D746" s="5">
        <f>IFERROR(__xludf.DUMMYFUNCTION("""COMPUTED_VALUE"""),1170.0)</f>
        <v>1170</v>
      </c>
      <c r="E746" s="5">
        <f>IFERROR(__xludf.DUMMYFUNCTION("""COMPUTED_VALUE"""),1185.0)</f>
        <v>1185</v>
      </c>
      <c r="F746" s="5">
        <f>IFERROR(__xludf.DUMMYFUNCTION("""COMPUTED_VALUE"""),1.122E7)</f>
        <v>11220000</v>
      </c>
      <c r="G746" s="5">
        <f t="shared" si="1"/>
        <v>25</v>
      </c>
    </row>
    <row r="747">
      <c r="A747" s="4">
        <f>IFERROR(__xludf.DUMMYFUNCTION("""COMPUTED_VALUE"""),44942.66666666667)</f>
        <v>44942.66667</v>
      </c>
      <c r="B747" s="5">
        <f>IFERROR(__xludf.DUMMYFUNCTION("""COMPUTED_VALUE"""),1200.0)</f>
        <v>1200</v>
      </c>
      <c r="C747" s="5">
        <f>IFERROR(__xludf.DUMMYFUNCTION("""COMPUTED_VALUE"""),1235.0)</f>
        <v>1235</v>
      </c>
      <c r="D747" s="5">
        <f>IFERROR(__xludf.DUMMYFUNCTION("""COMPUTED_VALUE"""),1195.0)</f>
        <v>1195</v>
      </c>
      <c r="E747" s="5">
        <f>IFERROR(__xludf.DUMMYFUNCTION("""COMPUTED_VALUE"""),1230.0)</f>
        <v>1230</v>
      </c>
      <c r="F747" s="5">
        <f>IFERROR(__xludf.DUMMYFUNCTION("""COMPUTED_VALUE"""),4.53443E7)</f>
        <v>45344300</v>
      </c>
      <c r="G747" s="5">
        <f t="shared" si="1"/>
        <v>50</v>
      </c>
    </row>
    <row r="748">
      <c r="A748" s="4">
        <f>IFERROR(__xludf.DUMMYFUNCTION("""COMPUTED_VALUE"""),44943.66666666667)</f>
        <v>44943.66667</v>
      </c>
      <c r="B748" s="5">
        <f>IFERROR(__xludf.DUMMYFUNCTION("""COMPUTED_VALUE"""),1240.0)</f>
        <v>1240</v>
      </c>
      <c r="C748" s="5">
        <f>IFERROR(__xludf.DUMMYFUNCTION("""COMPUTED_VALUE"""),1300.0)</f>
        <v>1300</v>
      </c>
      <c r="D748" s="5">
        <f>IFERROR(__xludf.DUMMYFUNCTION("""COMPUTED_VALUE"""),1230.0)</f>
        <v>1230</v>
      </c>
      <c r="E748" s="5">
        <f>IFERROR(__xludf.DUMMYFUNCTION("""COMPUTED_VALUE"""),1295.0)</f>
        <v>1295</v>
      </c>
      <c r="F748" s="5">
        <f>IFERROR(__xludf.DUMMYFUNCTION("""COMPUTED_VALUE"""),6.48703E7)</f>
        <v>64870300</v>
      </c>
      <c r="G748" s="5">
        <f t="shared" si="1"/>
        <v>70</v>
      </c>
    </row>
    <row r="749">
      <c r="A749" s="4">
        <f>IFERROR(__xludf.DUMMYFUNCTION("""COMPUTED_VALUE"""),44944.66666666667)</f>
        <v>44944.66667</v>
      </c>
      <c r="B749" s="5">
        <f>IFERROR(__xludf.DUMMYFUNCTION("""COMPUTED_VALUE"""),1290.0)</f>
        <v>1290</v>
      </c>
      <c r="C749" s="5">
        <f>IFERROR(__xludf.DUMMYFUNCTION("""COMPUTED_VALUE"""),1295.0)</f>
        <v>1295</v>
      </c>
      <c r="D749" s="5">
        <f>IFERROR(__xludf.DUMMYFUNCTION("""COMPUTED_VALUE"""),1255.0)</f>
        <v>1255</v>
      </c>
      <c r="E749" s="5">
        <f>IFERROR(__xludf.DUMMYFUNCTION("""COMPUTED_VALUE"""),1270.0)</f>
        <v>1270</v>
      </c>
      <c r="F749" s="5">
        <f>IFERROR(__xludf.DUMMYFUNCTION("""COMPUTED_VALUE"""),2.07435E7)</f>
        <v>20743500</v>
      </c>
      <c r="G749" s="5">
        <f t="shared" si="1"/>
        <v>40</v>
      </c>
    </row>
    <row r="750">
      <c r="A750" s="4">
        <f>IFERROR(__xludf.DUMMYFUNCTION("""COMPUTED_VALUE"""),44945.66666666667)</f>
        <v>44945.66667</v>
      </c>
      <c r="B750" s="5">
        <f>IFERROR(__xludf.DUMMYFUNCTION("""COMPUTED_VALUE"""),1275.0)</f>
        <v>1275</v>
      </c>
      <c r="C750" s="5">
        <f>IFERROR(__xludf.DUMMYFUNCTION("""COMPUTED_VALUE"""),1295.0)</f>
        <v>1295</v>
      </c>
      <c r="D750" s="5">
        <f>IFERROR(__xludf.DUMMYFUNCTION("""COMPUTED_VALUE"""),1270.0)</f>
        <v>1270</v>
      </c>
      <c r="E750" s="5">
        <f>IFERROR(__xludf.DUMMYFUNCTION("""COMPUTED_VALUE"""),1280.0)</f>
        <v>1280</v>
      </c>
      <c r="F750" s="5">
        <f>IFERROR(__xludf.DUMMYFUNCTION("""COMPUTED_VALUE"""),1.46174E7)</f>
        <v>14617400</v>
      </c>
      <c r="G750" s="5">
        <f t="shared" si="1"/>
        <v>25</v>
      </c>
    </row>
    <row r="751">
      <c r="A751" s="4">
        <f>IFERROR(__xludf.DUMMYFUNCTION("""COMPUTED_VALUE"""),44946.66666666667)</f>
        <v>44946.66667</v>
      </c>
      <c r="B751" s="5">
        <f>IFERROR(__xludf.DUMMYFUNCTION("""COMPUTED_VALUE"""),1290.0)</f>
        <v>1290</v>
      </c>
      <c r="C751" s="5">
        <f>IFERROR(__xludf.DUMMYFUNCTION("""COMPUTED_VALUE"""),1295.0)</f>
        <v>1295</v>
      </c>
      <c r="D751" s="5">
        <f>IFERROR(__xludf.DUMMYFUNCTION("""COMPUTED_VALUE"""),1270.0)</f>
        <v>1270</v>
      </c>
      <c r="E751" s="5">
        <f>IFERROR(__xludf.DUMMYFUNCTION("""COMPUTED_VALUE"""),1275.0)</f>
        <v>1275</v>
      </c>
      <c r="F751" s="5">
        <f>IFERROR(__xludf.DUMMYFUNCTION("""COMPUTED_VALUE"""),1.66292E7)</f>
        <v>16629200</v>
      </c>
      <c r="G751" s="5">
        <f t="shared" si="1"/>
        <v>25</v>
      </c>
    </row>
    <row r="752">
      <c r="A752" s="4">
        <f>IFERROR(__xludf.DUMMYFUNCTION("""COMPUTED_VALUE"""),44950.66666666667)</f>
        <v>44950.66667</v>
      </c>
      <c r="B752" s="5">
        <f>IFERROR(__xludf.DUMMYFUNCTION("""COMPUTED_VALUE"""),1285.0)</f>
        <v>1285</v>
      </c>
      <c r="C752" s="5">
        <f>IFERROR(__xludf.DUMMYFUNCTION("""COMPUTED_VALUE"""),1295.0)</f>
        <v>1295</v>
      </c>
      <c r="D752" s="5">
        <f>IFERROR(__xludf.DUMMYFUNCTION("""COMPUTED_VALUE"""),1270.0)</f>
        <v>1270</v>
      </c>
      <c r="E752" s="5">
        <f>IFERROR(__xludf.DUMMYFUNCTION("""COMPUTED_VALUE"""),1280.0)</f>
        <v>1280</v>
      </c>
      <c r="F752" s="5">
        <f>IFERROR(__xludf.DUMMYFUNCTION("""COMPUTED_VALUE"""),1.27963E7)</f>
        <v>12796300</v>
      </c>
      <c r="G752" s="5">
        <f t="shared" si="1"/>
        <v>25</v>
      </c>
    </row>
    <row r="753">
      <c r="A753" s="4">
        <f>IFERROR(__xludf.DUMMYFUNCTION("""COMPUTED_VALUE"""),44951.66666666667)</f>
        <v>44951.66667</v>
      </c>
      <c r="B753" s="5">
        <f>IFERROR(__xludf.DUMMYFUNCTION("""COMPUTED_VALUE"""),1290.0)</f>
        <v>1290</v>
      </c>
      <c r="C753" s="5">
        <f>IFERROR(__xludf.DUMMYFUNCTION("""COMPUTED_VALUE"""),1290.0)</f>
        <v>1290</v>
      </c>
      <c r="D753" s="5">
        <f>IFERROR(__xludf.DUMMYFUNCTION("""COMPUTED_VALUE"""),1250.0)</f>
        <v>1250</v>
      </c>
      <c r="E753" s="5">
        <f>IFERROR(__xludf.DUMMYFUNCTION("""COMPUTED_VALUE"""),1265.0)</f>
        <v>1265</v>
      </c>
      <c r="F753" s="5">
        <f>IFERROR(__xludf.DUMMYFUNCTION("""COMPUTED_VALUE"""),1.39359E7)</f>
        <v>13935900</v>
      </c>
      <c r="G753" s="5">
        <f t="shared" si="1"/>
        <v>40</v>
      </c>
    </row>
    <row r="754">
      <c r="A754" s="4">
        <f>IFERROR(__xludf.DUMMYFUNCTION("""COMPUTED_VALUE"""),44952.66666666667)</f>
        <v>44952.66667</v>
      </c>
      <c r="B754" s="5">
        <f>IFERROR(__xludf.DUMMYFUNCTION("""COMPUTED_VALUE"""),1270.0)</f>
        <v>1270</v>
      </c>
      <c r="C754" s="5">
        <f>IFERROR(__xludf.DUMMYFUNCTION("""COMPUTED_VALUE"""),1285.0)</f>
        <v>1285</v>
      </c>
      <c r="D754" s="5">
        <f>IFERROR(__xludf.DUMMYFUNCTION("""COMPUTED_VALUE"""),1265.0)</f>
        <v>1265</v>
      </c>
      <c r="E754" s="5">
        <f>IFERROR(__xludf.DUMMYFUNCTION("""COMPUTED_VALUE"""),1275.0)</f>
        <v>1275</v>
      </c>
      <c r="F754" s="5">
        <f>IFERROR(__xludf.DUMMYFUNCTION("""COMPUTED_VALUE"""),1.11053E7)</f>
        <v>11105300</v>
      </c>
      <c r="G754" s="5">
        <f t="shared" si="1"/>
        <v>20</v>
      </c>
    </row>
    <row r="755">
      <c r="A755" s="4">
        <f>IFERROR(__xludf.DUMMYFUNCTION("""COMPUTED_VALUE"""),44953.66666666667)</f>
        <v>44953.66667</v>
      </c>
      <c r="B755" s="5">
        <f>IFERROR(__xludf.DUMMYFUNCTION("""COMPUTED_VALUE"""),1285.0)</f>
        <v>1285</v>
      </c>
      <c r="C755" s="5">
        <f>IFERROR(__xludf.DUMMYFUNCTION("""COMPUTED_VALUE"""),1335.0)</f>
        <v>1335</v>
      </c>
      <c r="D755" s="5">
        <f>IFERROR(__xludf.DUMMYFUNCTION("""COMPUTED_VALUE"""),1285.0)</f>
        <v>1285</v>
      </c>
      <c r="E755" s="5">
        <f>IFERROR(__xludf.DUMMYFUNCTION("""COMPUTED_VALUE"""),1310.0)</f>
        <v>1310</v>
      </c>
      <c r="F755" s="5">
        <f>IFERROR(__xludf.DUMMYFUNCTION("""COMPUTED_VALUE"""),5.73758E7)</f>
        <v>57375800</v>
      </c>
      <c r="G755" s="5">
        <f t="shared" si="1"/>
        <v>60</v>
      </c>
    </row>
    <row r="756">
      <c r="A756" s="4">
        <f>IFERROR(__xludf.DUMMYFUNCTION("""COMPUTED_VALUE"""),44956.66666666667)</f>
        <v>44956.66667</v>
      </c>
      <c r="B756" s="5">
        <f>IFERROR(__xludf.DUMMYFUNCTION("""COMPUTED_VALUE"""),1300.0)</f>
        <v>1300</v>
      </c>
      <c r="C756" s="5">
        <f>IFERROR(__xludf.DUMMYFUNCTION("""COMPUTED_VALUE"""),1305.0)</f>
        <v>1305</v>
      </c>
      <c r="D756" s="5">
        <f>IFERROR(__xludf.DUMMYFUNCTION("""COMPUTED_VALUE"""),1260.0)</f>
        <v>1260</v>
      </c>
      <c r="E756" s="5">
        <f>IFERROR(__xludf.DUMMYFUNCTION("""COMPUTED_VALUE"""),1265.0)</f>
        <v>1265</v>
      </c>
      <c r="F756" s="5">
        <f>IFERROR(__xludf.DUMMYFUNCTION("""COMPUTED_VALUE"""),2.18693E7)</f>
        <v>21869300</v>
      </c>
      <c r="G756" s="5">
        <f t="shared" si="1"/>
        <v>50</v>
      </c>
    </row>
    <row r="757">
      <c r="A757" s="4">
        <f>IFERROR(__xludf.DUMMYFUNCTION("""COMPUTED_VALUE"""),44957.66666666667)</f>
        <v>44957.66667</v>
      </c>
      <c r="B757" s="5">
        <f>IFERROR(__xludf.DUMMYFUNCTION("""COMPUTED_VALUE"""),1275.0)</f>
        <v>1275</v>
      </c>
      <c r="C757" s="5">
        <f>IFERROR(__xludf.DUMMYFUNCTION("""COMPUTED_VALUE"""),1285.0)</f>
        <v>1285</v>
      </c>
      <c r="D757" s="5">
        <f>IFERROR(__xludf.DUMMYFUNCTION("""COMPUTED_VALUE"""),1250.0)</f>
        <v>1250</v>
      </c>
      <c r="E757" s="5">
        <f>IFERROR(__xludf.DUMMYFUNCTION("""COMPUTED_VALUE"""),1250.0)</f>
        <v>1250</v>
      </c>
      <c r="F757" s="5">
        <f>IFERROR(__xludf.DUMMYFUNCTION("""COMPUTED_VALUE"""),2.93949E7)</f>
        <v>29394900</v>
      </c>
      <c r="G757" s="5">
        <f t="shared" si="1"/>
        <v>35</v>
      </c>
    </row>
    <row r="758">
      <c r="A758" s="4">
        <f>IFERROR(__xludf.DUMMYFUNCTION("""COMPUTED_VALUE"""),44958.66666666667)</f>
        <v>44958.66667</v>
      </c>
      <c r="B758" s="5">
        <f>IFERROR(__xludf.DUMMYFUNCTION("""COMPUTED_VALUE"""),1250.0)</f>
        <v>1250</v>
      </c>
      <c r="C758" s="5">
        <f>IFERROR(__xludf.DUMMYFUNCTION("""COMPUTED_VALUE"""),1290.0)</f>
        <v>1290</v>
      </c>
      <c r="D758" s="5">
        <f>IFERROR(__xludf.DUMMYFUNCTION("""COMPUTED_VALUE"""),1225.0)</f>
        <v>1225</v>
      </c>
      <c r="E758" s="5">
        <f>IFERROR(__xludf.DUMMYFUNCTION("""COMPUTED_VALUE"""),1270.0)</f>
        <v>1270</v>
      </c>
      <c r="F758" s="5">
        <f>IFERROR(__xludf.DUMMYFUNCTION("""COMPUTED_VALUE"""),3.59392E7)</f>
        <v>35939200</v>
      </c>
      <c r="G758" s="5">
        <f t="shared" si="1"/>
        <v>65</v>
      </c>
    </row>
    <row r="759">
      <c r="A759" s="4">
        <f>IFERROR(__xludf.DUMMYFUNCTION("""COMPUTED_VALUE"""),44959.66666666667)</f>
        <v>44959.66667</v>
      </c>
      <c r="B759" s="5">
        <f>IFERROR(__xludf.DUMMYFUNCTION("""COMPUTED_VALUE"""),1275.0)</f>
        <v>1275</v>
      </c>
      <c r="C759" s="5">
        <f>IFERROR(__xludf.DUMMYFUNCTION("""COMPUTED_VALUE"""),1285.0)</f>
        <v>1285</v>
      </c>
      <c r="D759" s="5">
        <f>IFERROR(__xludf.DUMMYFUNCTION("""COMPUTED_VALUE"""),1260.0)</f>
        <v>1260</v>
      </c>
      <c r="E759" s="5">
        <f>IFERROR(__xludf.DUMMYFUNCTION("""COMPUTED_VALUE"""),1265.0)</f>
        <v>1265</v>
      </c>
      <c r="F759" s="5">
        <f>IFERROR(__xludf.DUMMYFUNCTION("""COMPUTED_VALUE"""),8745800.0)</f>
        <v>8745800</v>
      </c>
      <c r="G759" s="5">
        <f t="shared" si="1"/>
        <v>25</v>
      </c>
    </row>
    <row r="760">
      <c r="A760" s="4">
        <f>IFERROR(__xludf.DUMMYFUNCTION("""COMPUTED_VALUE"""),44960.66666666667)</f>
        <v>44960.66667</v>
      </c>
      <c r="B760" s="5">
        <f>IFERROR(__xludf.DUMMYFUNCTION("""COMPUTED_VALUE"""),1270.0)</f>
        <v>1270</v>
      </c>
      <c r="C760" s="5">
        <f>IFERROR(__xludf.DUMMYFUNCTION("""COMPUTED_VALUE"""),1270.0)</f>
        <v>1270</v>
      </c>
      <c r="D760" s="5">
        <f>IFERROR(__xludf.DUMMYFUNCTION("""COMPUTED_VALUE"""),1250.0)</f>
        <v>1250</v>
      </c>
      <c r="E760" s="5">
        <f>IFERROR(__xludf.DUMMYFUNCTION("""COMPUTED_VALUE"""),1255.0)</f>
        <v>1255</v>
      </c>
      <c r="F760" s="5">
        <f>IFERROR(__xludf.DUMMYFUNCTION("""COMPUTED_VALUE"""),1.19119E7)</f>
        <v>11911900</v>
      </c>
      <c r="G760" s="5">
        <f t="shared" si="1"/>
        <v>20</v>
      </c>
    </row>
    <row r="761">
      <c r="A761" s="4">
        <f>IFERROR(__xludf.DUMMYFUNCTION("""COMPUTED_VALUE"""),44963.66666666667)</f>
        <v>44963.66667</v>
      </c>
      <c r="B761" s="5">
        <f>IFERROR(__xludf.DUMMYFUNCTION("""COMPUTED_VALUE"""),1240.0)</f>
        <v>1240</v>
      </c>
      <c r="C761" s="5">
        <f>IFERROR(__xludf.DUMMYFUNCTION("""COMPUTED_VALUE"""),1245.0)</f>
        <v>1245</v>
      </c>
      <c r="D761" s="5">
        <f>IFERROR(__xludf.DUMMYFUNCTION("""COMPUTED_VALUE"""),1210.0)</f>
        <v>1210</v>
      </c>
      <c r="E761" s="5">
        <f>IFERROR(__xludf.DUMMYFUNCTION("""COMPUTED_VALUE"""),1220.0)</f>
        <v>1220</v>
      </c>
      <c r="F761" s="5">
        <f>IFERROR(__xludf.DUMMYFUNCTION("""COMPUTED_VALUE"""),1.87677E7)</f>
        <v>18767700</v>
      </c>
      <c r="G761" s="5">
        <f t="shared" si="1"/>
        <v>45</v>
      </c>
    </row>
    <row r="762">
      <c r="A762" s="4">
        <f>IFERROR(__xludf.DUMMYFUNCTION("""COMPUTED_VALUE"""),44964.66666666667)</f>
        <v>44964.66667</v>
      </c>
      <c r="B762" s="5">
        <f>IFERROR(__xludf.DUMMYFUNCTION("""COMPUTED_VALUE"""),1215.0)</f>
        <v>1215</v>
      </c>
      <c r="C762" s="5">
        <f>IFERROR(__xludf.DUMMYFUNCTION("""COMPUTED_VALUE"""),1230.0)</f>
        <v>1230</v>
      </c>
      <c r="D762" s="5">
        <f>IFERROR(__xludf.DUMMYFUNCTION("""COMPUTED_VALUE"""),1210.0)</f>
        <v>1210</v>
      </c>
      <c r="E762" s="5">
        <f>IFERROR(__xludf.DUMMYFUNCTION("""COMPUTED_VALUE"""),1225.0)</f>
        <v>1225</v>
      </c>
      <c r="F762" s="5">
        <f>IFERROR(__xludf.DUMMYFUNCTION("""COMPUTED_VALUE"""),1.11272E7)</f>
        <v>11127200</v>
      </c>
      <c r="G762" s="5">
        <f t="shared" si="1"/>
        <v>20</v>
      </c>
    </row>
    <row r="763">
      <c r="A763" s="4">
        <f>IFERROR(__xludf.DUMMYFUNCTION("""COMPUTED_VALUE"""),44965.66666666667)</f>
        <v>44965.66667</v>
      </c>
      <c r="B763" s="5">
        <f>IFERROR(__xludf.DUMMYFUNCTION("""COMPUTED_VALUE"""),1220.0)</f>
        <v>1220</v>
      </c>
      <c r="C763" s="5">
        <f>IFERROR(__xludf.DUMMYFUNCTION("""COMPUTED_VALUE"""),1230.0)</f>
        <v>1230</v>
      </c>
      <c r="D763" s="5">
        <f>IFERROR(__xludf.DUMMYFUNCTION("""COMPUTED_VALUE"""),1215.0)</f>
        <v>1215</v>
      </c>
      <c r="E763" s="5">
        <f>IFERROR(__xludf.DUMMYFUNCTION("""COMPUTED_VALUE"""),1220.0)</f>
        <v>1220</v>
      </c>
      <c r="F763" s="5">
        <f>IFERROR(__xludf.DUMMYFUNCTION("""COMPUTED_VALUE"""),8733400.0)</f>
        <v>8733400</v>
      </c>
      <c r="G763" s="5">
        <f t="shared" si="1"/>
        <v>15</v>
      </c>
    </row>
    <row r="764">
      <c r="A764" s="4">
        <f>IFERROR(__xludf.DUMMYFUNCTION("""COMPUTED_VALUE"""),44966.66666666667)</f>
        <v>44966.66667</v>
      </c>
      <c r="B764" s="5">
        <f>IFERROR(__xludf.DUMMYFUNCTION("""COMPUTED_VALUE"""),1220.0)</f>
        <v>1220</v>
      </c>
      <c r="C764" s="5">
        <f>IFERROR(__xludf.DUMMYFUNCTION("""COMPUTED_VALUE"""),1230.0)</f>
        <v>1230</v>
      </c>
      <c r="D764" s="5">
        <f>IFERROR(__xludf.DUMMYFUNCTION("""COMPUTED_VALUE"""),1200.0)</f>
        <v>1200</v>
      </c>
      <c r="E764" s="5">
        <f>IFERROR(__xludf.DUMMYFUNCTION("""COMPUTED_VALUE"""),1210.0)</f>
        <v>1210</v>
      </c>
      <c r="F764" s="5">
        <f>IFERROR(__xludf.DUMMYFUNCTION("""COMPUTED_VALUE"""),1.35551E7)</f>
        <v>13555100</v>
      </c>
      <c r="G764" s="5">
        <f t="shared" si="1"/>
        <v>30</v>
      </c>
    </row>
    <row r="765">
      <c r="A765" s="4">
        <f>IFERROR(__xludf.DUMMYFUNCTION("""COMPUTED_VALUE"""),44967.66666666667)</f>
        <v>44967.66667</v>
      </c>
      <c r="B765" s="5">
        <f>IFERROR(__xludf.DUMMYFUNCTION("""COMPUTED_VALUE"""),1220.0)</f>
        <v>1220</v>
      </c>
      <c r="C765" s="5">
        <f>IFERROR(__xludf.DUMMYFUNCTION("""COMPUTED_VALUE"""),1225.0)</f>
        <v>1225</v>
      </c>
      <c r="D765" s="5">
        <f>IFERROR(__xludf.DUMMYFUNCTION("""COMPUTED_VALUE"""),1190.0)</f>
        <v>1190</v>
      </c>
      <c r="E765" s="5">
        <f>IFERROR(__xludf.DUMMYFUNCTION("""COMPUTED_VALUE"""),1210.0)</f>
        <v>1210</v>
      </c>
      <c r="F765" s="5">
        <f>IFERROR(__xludf.DUMMYFUNCTION("""COMPUTED_VALUE"""),1.17739E7)</f>
        <v>11773900</v>
      </c>
      <c r="G765" s="5">
        <f t="shared" si="1"/>
        <v>35</v>
      </c>
    </row>
    <row r="766">
      <c r="A766" s="4">
        <f>IFERROR(__xludf.DUMMYFUNCTION("""COMPUTED_VALUE"""),44970.66666666667)</f>
        <v>44970.66667</v>
      </c>
      <c r="B766" s="5">
        <f>IFERROR(__xludf.DUMMYFUNCTION("""COMPUTED_VALUE"""),1200.0)</f>
        <v>1200</v>
      </c>
      <c r="C766" s="5">
        <f>IFERROR(__xludf.DUMMYFUNCTION("""COMPUTED_VALUE"""),1220.0)</f>
        <v>1220</v>
      </c>
      <c r="D766" s="5">
        <f>IFERROR(__xludf.DUMMYFUNCTION("""COMPUTED_VALUE"""),1200.0)</f>
        <v>1200</v>
      </c>
      <c r="E766" s="5">
        <f>IFERROR(__xludf.DUMMYFUNCTION("""COMPUTED_VALUE"""),1210.0)</f>
        <v>1210</v>
      </c>
      <c r="F766" s="5">
        <f>IFERROR(__xludf.DUMMYFUNCTION("""COMPUTED_VALUE"""),3886700.0)</f>
        <v>3886700</v>
      </c>
      <c r="G766" s="5">
        <f t="shared" si="1"/>
        <v>20</v>
      </c>
    </row>
    <row r="767">
      <c r="A767" s="4">
        <f>IFERROR(__xludf.DUMMYFUNCTION("""COMPUTED_VALUE"""),44971.66666666667)</f>
        <v>44971.66667</v>
      </c>
      <c r="B767" s="5">
        <f>IFERROR(__xludf.DUMMYFUNCTION("""COMPUTED_VALUE"""),1210.0)</f>
        <v>1210</v>
      </c>
      <c r="C767" s="5">
        <f>IFERROR(__xludf.DUMMYFUNCTION("""COMPUTED_VALUE"""),1220.0)</f>
        <v>1220</v>
      </c>
      <c r="D767" s="5">
        <f>IFERROR(__xludf.DUMMYFUNCTION("""COMPUTED_VALUE"""),1205.0)</f>
        <v>1205</v>
      </c>
      <c r="E767" s="5">
        <f>IFERROR(__xludf.DUMMYFUNCTION("""COMPUTED_VALUE"""),1210.0)</f>
        <v>1210</v>
      </c>
      <c r="F767" s="5">
        <f>IFERROR(__xludf.DUMMYFUNCTION("""COMPUTED_VALUE"""),5687600.0)</f>
        <v>5687600</v>
      </c>
      <c r="G767" s="5">
        <f t="shared" si="1"/>
        <v>15</v>
      </c>
    </row>
    <row r="768">
      <c r="A768" s="4">
        <f>IFERROR(__xludf.DUMMYFUNCTION("""COMPUTED_VALUE"""),44972.66666666667)</f>
        <v>44972.66667</v>
      </c>
      <c r="B768" s="5">
        <f>IFERROR(__xludf.DUMMYFUNCTION("""COMPUTED_VALUE"""),1210.0)</f>
        <v>1210</v>
      </c>
      <c r="C768" s="5">
        <f>IFERROR(__xludf.DUMMYFUNCTION("""COMPUTED_VALUE"""),1220.0)</f>
        <v>1220</v>
      </c>
      <c r="D768" s="5">
        <f>IFERROR(__xludf.DUMMYFUNCTION("""COMPUTED_VALUE"""),1205.0)</f>
        <v>1205</v>
      </c>
      <c r="E768" s="5">
        <f>IFERROR(__xludf.DUMMYFUNCTION("""COMPUTED_VALUE"""),1210.0)</f>
        <v>1210</v>
      </c>
      <c r="F768" s="5">
        <f>IFERROR(__xludf.DUMMYFUNCTION("""COMPUTED_VALUE"""),4061700.0)</f>
        <v>4061700</v>
      </c>
      <c r="G768" s="5">
        <f t="shared" si="1"/>
        <v>15</v>
      </c>
    </row>
    <row r="769">
      <c r="A769" s="4">
        <f>IFERROR(__xludf.DUMMYFUNCTION("""COMPUTED_VALUE"""),44973.66666666667)</f>
        <v>44973.66667</v>
      </c>
      <c r="B769" s="5">
        <f>IFERROR(__xludf.DUMMYFUNCTION("""COMPUTED_VALUE"""),1215.0)</f>
        <v>1215</v>
      </c>
      <c r="C769" s="5">
        <f>IFERROR(__xludf.DUMMYFUNCTION("""COMPUTED_VALUE"""),1215.0)</f>
        <v>1215</v>
      </c>
      <c r="D769" s="5">
        <f>IFERROR(__xludf.DUMMYFUNCTION("""COMPUTED_VALUE"""),1195.0)</f>
        <v>1195</v>
      </c>
      <c r="E769" s="5">
        <f>IFERROR(__xludf.DUMMYFUNCTION("""COMPUTED_VALUE"""),1205.0)</f>
        <v>1205</v>
      </c>
      <c r="F769" s="5">
        <f>IFERROR(__xludf.DUMMYFUNCTION("""COMPUTED_VALUE"""),6022600.0)</f>
        <v>6022600</v>
      </c>
      <c r="G769" s="5">
        <f t="shared" si="1"/>
        <v>20</v>
      </c>
    </row>
    <row r="770">
      <c r="A770" s="4">
        <f>IFERROR(__xludf.DUMMYFUNCTION("""COMPUTED_VALUE"""),44974.66666666667)</f>
        <v>44974.66667</v>
      </c>
      <c r="B770" s="5">
        <f>IFERROR(__xludf.DUMMYFUNCTION("""COMPUTED_VALUE"""),1200.0)</f>
        <v>1200</v>
      </c>
      <c r="C770" s="5">
        <f>IFERROR(__xludf.DUMMYFUNCTION("""COMPUTED_VALUE"""),1215.0)</f>
        <v>1215</v>
      </c>
      <c r="D770" s="5">
        <f>IFERROR(__xludf.DUMMYFUNCTION("""COMPUTED_VALUE"""),1170.0)</f>
        <v>1170</v>
      </c>
      <c r="E770" s="5">
        <f>IFERROR(__xludf.DUMMYFUNCTION("""COMPUTED_VALUE"""),1200.0)</f>
        <v>1200</v>
      </c>
      <c r="F770" s="5">
        <f>IFERROR(__xludf.DUMMYFUNCTION("""COMPUTED_VALUE"""),1.03595E7)</f>
        <v>10359500</v>
      </c>
      <c r="G770" s="5">
        <f t="shared" si="1"/>
        <v>45</v>
      </c>
    </row>
    <row r="771">
      <c r="A771" s="4">
        <f>IFERROR(__xludf.DUMMYFUNCTION("""COMPUTED_VALUE"""),44977.66666666667)</f>
        <v>44977.66667</v>
      </c>
      <c r="B771" s="5">
        <f>IFERROR(__xludf.DUMMYFUNCTION("""COMPUTED_VALUE"""),1200.0)</f>
        <v>1200</v>
      </c>
      <c r="C771" s="5">
        <f>IFERROR(__xludf.DUMMYFUNCTION("""COMPUTED_VALUE"""),1205.0)</f>
        <v>1205</v>
      </c>
      <c r="D771" s="5">
        <f>IFERROR(__xludf.DUMMYFUNCTION("""COMPUTED_VALUE"""),1180.0)</f>
        <v>1180</v>
      </c>
      <c r="E771" s="5">
        <f>IFERROR(__xludf.DUMMYFUNCTION("""COMPUTED_VALUE"""),1200.0)</f>
        <v>1200</v>
      </c>
      <c r="F771" s="5">
        <f>IFERROR(__xludf.DUMMYFUNCTION("""COMPUTED_VALUE"""),3734000.0)</f>
        <v>3734000</v>
      </c>
      <c r="G771" s="5">
        <f t="shared" si="1"/>
        <v>25</v>
      </c>
    </row>
    <row r="772">
      <c r="A772" s="4">
        <f>IFERROR(__xludf.DUMMYFUNCTION("""COMPUTED_VALUE"""),44978.66666666667)</f>
        <v>44978.66667</v>
      </c>
      <c r="B772" s="5">
        <f>IFERROR(__xludf.DUMMYFUNCTION("""COMPUTED_VALUE"""),1210.0)</f>
        <v>1210</v>
      </c>
      <c r="C772" s="5">
        <f>IFERROR(__xludf.DUMMYFUNCTION("""COMPUTED_VALUE"""),1215.0)</f>
        <v>1215</v>
      </c>
      <c r="D772" s="5">
        <f>IFERROR(__xludf.DUMMYFUNCTION("""COMPUTED_VALUE"""),1190.0)</f>
        <v>1190</v>
      </c>
      <c r="E772" s="5">
        <f>IFERROR(__xludf.DUMMYFUNCTION("""COMPUTED_VALUE"""),1190.0)</f>
        <v>1190</v>
      </c>
      <c r="F772" s="5">
        <f>IFERROR(__xludf.DUMMYFUNCTION("""COMPUTED_VALUE"""),6651200.0)</f>
        <v>6651200</v>
      </c>
      <c r="G772" s="5">
        <f t="shared" si="1"/>
        <v>25</v>
      </c>
    </row>
    <row r="773">
      <c r="A773" s="4">
        <f>IFERROR(__xludf.DUMMYFUNCTION("""COMPUTED_VALUE"""),44979.66666666667)</f>
        <v>44979.66667</v>
      </c>
      <c r="B773" s="5">
        <f>IFERROR(__xludf.DUMMYFUNCTION("""COMPUTED_VALUE"""),1190.0)</f>
        <v>1190</v>
      </c>
      <c r="C773" s="5">
        <f>IFERROR(__xludf.DUMMYFUNCTION("""COMPUTED_VALUE"""),1200.0)</f>
        <v>1200</v>
      </c>
      <c r="D773" s="5">
        <f>IFERROR(__xludf.DUMMYFUNCTION("""COMPUTED_VALUE"""),1180.0)</f>
        <v>1180</v>
      </c>
      <c r="E773" s="5">
        <f>IFERROR(__xludf.DUMMYFUNCTION("""COMPUTED_VALUE"""),1185.0)</f>
        <v>1185</v>
      </c>
      <c r="F773" s="5">
        <f>IFERROR(__xludf.DUMMYFUNCTION("""COMPUTED_VALUE"""),4638600.0)</f>
        <v>4638600</v>
      </c>
      <c r="G773" s="5">
        <f t="shared" si="1"/>
        <v>20</v>
      </c>
    </row>
    <row r="774">
      <c r="A774" s="4">
        <f>IFERROR(__xludf.DUMMYFUNCTION("""COMPUTED_VALUE"""),44980.66666666667)</f>
        <v>44980.66667</v>
      </c>
      <c r="B774" s="5">
        <f>IFERROR(__xludf.DUMMYFUNCTION("""COMPUTED_VALUE"""),1185.0)</f>
        <v>1185</v>
      </c>
      <c r="C774" s="5">
        <f>IFERROR(__xludf.DUMMYFUNCTION("""COMPUTED_VALUE"""),1200.0)</f>
        <v>1200</v>
      </c>
      <c r="D774" s="5">
        <f>IFERROR(__xludf.DUMMYFUNCTION("""COMPUTED_VALUE"""),1180.0)</f>
        <v>1180</v>
      </c>
      <c r="E774" s="5">
        <f>IFERROR(__xludf.DUMMYFUNCTION("""COMPUTED_VALUE"""),1190.0)</f>
        <v>1190</v>
      </c>
      <c r="F774" s="5">
        <f>IFERROR(__xludf.DUMMYFUNCTION("""COMPUTED_VALUE"""),4585600.0)</f>
        <v>4585600</v>
      </c>
      <c r="G774" s="5">
        <f t="shared" si="1"/>
        <v>20</v>
      </c>
    </row>
    <row r="775">
      <c r="A775" s="4">
        <f>IFERROR(__xludf.DUMMYFUNCTION("""COMPUTED_VALUE"""),44981.66666666667)</f>
        <v>44981.66667</v>
      </c>
      <c r="B775" s="5">
        <f>IFERROR(__xludf.DUMMYFUNCTION("""COMPUTED_VALUE"""),1190.0)</f>
        <v>1190</v>
      </c>
      <c r="C775" s="5">
        <f>IFERROR(__xludf.DUMMYFUNCTION("""COMPUTED_VALUE"""),1195.0)</f>
        <v>1195</v>
      </c>
      <c r="D775" s="5">
        <f>IFERROR(__xludf.DUMMYFUNCTION("""COMPUTED_VALUE"""),1185.0)</f>
        <v>1185</v>
      </c>
      <c r="E775" s="5">
        <f>IFERROR(__xludf.DUMMYFUNCTION("""COMPUTED_VALUE"""),1185.0)</f>
        <v>1185</v>
      </c>
      <c r="F775" s="5">
        <f>IFERROR(__xludf.DUMMYFUNCTION("""COMPUTED_VALUE"""),1995300.0)</f>
        <v>1995300</v>
      </c>
      <c r="G775" s="5">
        <f t="shared" si="1"/>
        <v>10</v>
      </c>
    </row>
    <row r="776">
      <c r="A776" s="4">
        <f>IFERROR(__xludf.DUMMYFUNCTION("""COMPUTED_VALUE"""),44984.66666666667)</f>
        <v>44984.66667</v>
      </c>
      <c r="B776" s="5">
        <f>IFERROR(__xludf.DUMMYFUNCTION("""COMPUTED_VALUE"""),1185.0)</f>
        <v>1185</v>
      </c>
      <c r="C776" s="5">
        <f>IFERROR(__xludf.DUMMYFUNCTION("""COMPUTED_VALUE"""),1195.0)</f>
        <v>1195</v>
      </c>
      <c r="D776" s="5">
        <f>IFERROR(__xludf.DUMMYFUNCTION("""COMPUTED_VALUE"""),1170.0)</f>
        <v>1170</v>
      </c>
      <c r="E776" s="5">
        <f>IFERROR(__xludf.DUMMYFUNCTION("""COMPUTED_VALUE"""),1175.0)</f>
        <v>1175</v>
      </c>
      <c r="F776" s="5">
        <f>IFERROR(__xludf.DUMMYFUNCTION("""COMPUTED_VALUE"""),5681300.0)</f>
        <v>5681300</v>
      </c>
      <c r="G776" s="5">
        <f t="shared" si="1"/>
        <v>25</v>
      </c>
    </row>
    <row r="777">
      <c r="A777" s="4">
        <f>IFERROR(__xludf.DUMMYFUNCTION("""COMPUTED_VALUE"""),44985.66666666667)</f>
        <v>44985.66667</v>
      </c>
      <c r="B777" s="5">
        <f>IFERROR(__xludf.DUMMYFUNCTION("""COMPUTED_VALUE"""),1195.0)</f>
        <v>1195</v>
      </c>
      <c r="C777" s="5">
        <f>IFERROR(__xludf.DUMMYFUNCTION("""COMPUTED_VALUE"""),1195.0)</f>
        <v>1195</v>
      </c>
      <c r="D777" s="5">
        <f>IFERROR(__xludf.DUMMYFUNCTION("""COMPUTED_VALUE"""),1175.0)</f>
        <v>1175</v>
      </c>
      <c r="E777" s="5">
        <f>IFERROR(__xludf.DUMMYFUNCTION("""COMPUTED_VALUE"""),1190.0)</f>
        <v>1190</v>
      </c>
      <c r="F777" s="5">
        <f>IFERROR(__xludf.DUMMYFUNCTION("""COMPUTED_VALUE"""),4405300.0)</f>
        <v>4405300</v>
      </c>
      <c r="G777" s="5">
        <f t="shared" si="1"/>
        <v>20</v>
      </c>
    </row>
    <row r="778">
      <c r="A778" s="4">
        <f>IFERROR(__xludf.DUMMYFUNCTION("""COMPUTED_VALUE"""),44986.66666666667)</f>
        <v>44986.66667</v>
      </c>
      <c r="B778" s="5">
        <f>IFERROR(__xludf.DUMMYFUNCTION("""COMPUTED_VALUE"""),1190.0)</f>
        <v>1190</v>
      </c>
      <c r="C778" s="5">
        <f>IFERROR(__xludf.DUMMYFUNCTION("""COMPUTED_VALUE"""),1195.0)</f>
        <v>1195</v>
      </c>
      <c r="D778" s="5">
        <f>IFERROR(__xludf.DUMMYFUNCTION("""COMPUTED_VALUE"""),1170.0)</f>
        <v>1170</v>
      </c>
      <c r="E778" s="5">
        <f>IFERROR(__xludf.DUMMYFUNCTION("""COMPUTED_VALUE"""),1185.0)</f>
        <v>1185</v>
      </c>
      <c r="F778" s="5">
        <f>IFERROR(__xludf.DUMMYFUNCTION("""COMPUTED_VALUE"""),3728500.0)</f>
        <v>3728500</v>
      </c>
      <c r="G778" s="5">
        <f t="shared" si="1"/>
        <v>25</v>
      </c>
    </row>
    <row r="779">
      <c r="A779" s="4">
        <f>IFERROR(__xludf.DUMMYFUNCTION("""COMPUTED_VALUE"""),44987.66666666667)</f>
        <v>44987.66667</v>
      </c>
      <c r="B779" s="5">
        <f>IFERROR(__xludf.DUMMYFUNCTION("""COMPUTED_VALUE"""),1185.0)</f>
        <v>1185</v>
      </c>
      <c r="C779" s="5">
        <f>IFERROR(__xludf.DUMMYFUNCTION("""COMPUTED_VALUE"""),1205.0)</f>
        <v>1205</v>
      </c>
      <c r="D779" s="5">
        <f>IFERROR(__xludf.DUMMYFUNCTION("""COMPUTED_VALUE"""),1180.0)</f>
        <v>1180</v>
      </c>
      <c r="E779" s="5">
        <f>IFERROR(__xludf.DUMMYFUNCTION("""COMPUTED_VALUE"""),1200.0)</f>
        <v>1200</v>
      </c>
      <c r="F779" s="5">
        <f>IFERROR(__xludf.DUMMYFUNCTION("""COMPUTED_VALUE"""),6286500.0)</f>
        <v>6286500</v>
      </c>
      <c r="G779" s="5">
        <f t="shared" si="1"/>
        <v>25</v>
      </c>
    </row>
    <row r="780">
      <c r="A780" s="4">
        <f>IFERROR(__xludf.DUMMYFUNCTION("""COMPUTED_VALUE"""),44988.66666666667)</f>
        <v>44988.66667</v>
      </c>
      <c r="B780" s="5">
        <f>IFERROR(__xludf.DUMMYFUNCTION("""COMPUTED_VALUE"""),1200.0)</f>
        <v>1200</v>
      </c>
      <c r="C780" s="5">
        <f>IFERROR(__xludf.DUMMYFUNCTION("""COMPUTED_VALUE"""),1215.0)</f>
        <v>1215</v>
      </c>
      <c r="D780" s="5">
        <f>IFERROR(__xludf.DUMMYFUNCTION("""COMPUTED_VALUE"""),1200.0)</f>
        <v>1200</v>
      </c>
      <c r="E780" s="5">
        <f>IFERROR(__xludf.DUMMYFUNCTION("""COMPUTED_VALUE"""),1205.0)</f>
        <v>1205</v>
      </c>
      <c r="F780" s="5">
        <f>IFERROR(__xludf.DUMMYFUNCTION("""COMPUTED_VALUE"""),4712100.0)</f>
        <v>4712100</v>
      </c>
      <c r="G780" s="5">
        <f t="shared" si="1"/>
        <v>15</v>
      </c>
    </row>
    <row r="781">
      <c r="A781" s="4">
        <f>IFERROR(__xludf.DUMMYFUNCTION("""COMPUTED_VALUE"""),44991.66666666667)</f>
        <v>44991.66667</v>
      </c>
      <c r="B781" s="5">
        <f>IFERROR(__xludf.DUMMYFUNCTION("""COMPUTED_VALUE"""),1205.0)</f>
        <v>1205</v>
      </c>
      <c r="C781" s="5">
        <f>IFERROR(__xludf.DUMMYFUNCTION("""COMPUTED_VALUE"""),1215.0)</f>
        <v>1215</v>
      </c>
      <c r="D781" s="5">
        <f>IFERROR(__xludf.DUMMYFUNCTION("""COMPUTED_VALUE"""),1180.0)</f>
        <v>1180</v>
      </c>
      <c r="E781" s="5">
        <f>IFERROR(__xludf.DUMMYFUNCTION("""COMPUTED_VALUE"""),1185.0)</f>
        <v>1185</v>
      </c>
      <c r="F781" s="5">
        <f>IFERROR(__xludf.DUMMYFUNCTION("""COMPUTED_VALUE"""),7350900.0)</f>
        <v>7350900</v>
      </c>
      <c r="G781" s="5">
        <f t="shared" si="1"/>
        <v>35</v>
      </c>
    </row>
    <row r="782">
      <c r="A782" s="4">
        <f>IFERROR(__xludf.DUMMYFUNCTION("""COMPUTED_VALUE"""),44992.66666666667)</f>
        <v>44992.66667</v>
      </c>
      <c r="B782" s="5">
        <f>IFERROR(__xludf.DUMMYFUNCTION("""COMPUTED_VALUE"""),1190.0)</f>
        <v>1190</v>
      </c>
      <c r="C782" s="5">
        <f>IFERROR(__xludf.DUMMYFUNCTION("""COMPUTED_VALUE"""),1190.0)</f>
        <v>1190</v>
      </c>
      <c r="D782" s="5">
        <f>IFERROR(__xludf.DUMMYFUNCTION("""COMPUTED_VALUE"""),1175.0)</f>
        <v>1175</v>
      </c>
      <c r="E782" s="5">
        <f>IFERROR(__xludf.DUMMYFUNCTION("""COMPUTED_VALUE"""),1180.0)</f>
        <v>1180</v>
      </c>
      <c r="F782" s="5">
        <f>IFERROR(__xludf.DUMMYFUNCTION("""COMPUTED_VALUE"""),4420300.0)</f>
        <v>4420300</v>
      </c>
      <c r="G782" s="5">
        <f t="shared" si="1"/>
        <v>15</v>
      </c>
    </row>
    <row r="783">
      <c r="A783" s="4">
        <f>IFERROR(__xludf.DUMMYFUNCTION("""COMPUTED_VALUE"""),44993.66666666667)</f>
        <v>44993.66667</v>
      </c>
      <c r="B783" s="5">
        <f>IFERROR(__xludf.DUMMYFUNCTION("""COMPUTED_VALUE"""),1170.0)</f>
        <v>1170</v>
      </c>
      <c r="C783" s="5">
        <f>IFERROR(__xludf.DUMMYFUNCTION("""COMPUTED_VALUE"""),1175.0)</f>
        <v>1175</v>
      </c>
      <c r="D783" s="5">
        <f>IFERROR(__xludf.DUMMYFUNCTION("""COMPUTED_VALUE"""),1155.0)</f>
        <v>1155</v>
      </c>
      <c r="E783" s="5">
        <f>IFERROR(__xludf.DUMMYFUNCTION("""COMPUTED_VALUE"""),1155.0)</f>
        <v>1155</v>
      </c>
      <c r="F783" s="5">
        <f>IFERROR(__xludf.DUMMYFUNCTION("""COMPUTED_VALUE"""),1.01234E7)</f>
        <v>10123400</v>
      </c>
      <c r="G783" s="5">
        <f t="shared" si="1"/>
        <v>25</v>
      </c>
    </row>
    <row r="784">
      <c r="A784" s="4">
        <f>IFERROR(__xludf.DUMMYFUNCTION("""COMPUTED_VALUE"""),44994.66666666667)</f>
        <v>44994.66667</v>
      </c>
      <c r="B784" s="5">
        <f>IFERROR(__xludf.DUMMYFUNCTION("""COMPUTED_VALUE"""),1150.0)</f>
        <v>1150</v>
      </c>
      <c r="C784" s="5">
        <f>IFERROR(__xludf.DUMMYFUNCTION("""COMPUTED_VALUE"""),1165.0)</f>
        <v>1165</v>
      </c>
      <c r="D784" s="5">
        <f>IFERROR(__xludf.DUMMYFUNCTION("""COMPUTED_VALUE"""),1140.0)</f>
        <v>1140</v>
      </c>
      <c r="E784" s="5">
        <f>IFERROR(__xludf.DUMMYFUNCTION("""COMPUTED_VALUE"""),1155.0)</f>
        <v>1155</v>
      </c>
      <c r="F784" s="5">
        <f>IFERROR(__xludf.DUMMYFUNCTION("""COMPUTED_VALUE"""),4113700.0)</f>
        <v>4113700</v>
      </c>
      <c r="G784" s="5">
        <f t="shared" si="1"/>
        <v>25</v>
      </c>
    </row>
    <row r="785">
      <c r="A785" s="4">
        <f>IFERROR(__xludf.DUMMYFUNCTION("""COMPUTED_VALUE"""),44995.66666666667)</f>
        <v>44995.66667</v>
      </c>
      <c r="B785" s="5">
        <f>IFERROR(__xludf.DUMMYFUNCTION("""COMPUTED_VALUE"""),1150.0)</f>
        <v>1150</v>
      </c>
      <c r="C785" s="5">
        <f>IFERROR(__xludf.DUMMYFUNCTION("""COMPUTED_VALUE"""),1150.0)</f>
        <v>1150</v>
      </c>
      <c r="D785" s="5">
        <f>IFERROR(__xludf.DUMMYFUNCTION("""COMPUTED_VALUE"""),1125.0)</f>
        <v>1125</v>
      </c>
      <c r="E785" s="5">
        <f>IFERROR(__xludf.DUMMYFUNCTION("""COMPUTED_VALUE"""),1145.0)</f>
        <v>1145</v>
      </c>
      <c r="F785" s="5">
        <f>IFERROR(__xludf.DUMMYFUNCTION("""COMPUTED_VALUE"""),9271600.0)</f>
        <v>9271600</v>
      </c>
      <c r="G785" s="5">
        <f t="shared" si="1"/>
        <v>30</v>
      </c>
    </row>
    <row r="786">
      <c r="A786" s="4">
        <f>IFERROR(__xludf.DUMMYFUNCTION("""COMPUTED_VALUE"""),44998.66666666667)</f>
        <v>44998.66667</v>
      </c>
      <c r="B786" s="5">
        <f>IFERROR(__xludf.DUMMYFUNCTION("""COMPUTED_VALUE"""),1130.0)</f>
        <v>1130</v>
      </c>
      <c r="C786" s="5">
        <f>IFERROR(__xludf.DUMMYFUNCTION("""COMPUTED_VALUE"""),1130.0)</f>
        <v>1130</v>
      </c>
      <c r="D786" s="5">
        <f>IFERROR(__xludf.DUMMYFUNCTION("""COMPUTED_VALUE"""),1105.0)</f>
        <v>1105</v>
      </c>
      <c r="E786" s="5">
        <f>IFERROR(__xludf.DUMMYFUNCTION("""COMPUTED_VALUE"""),1115.0)</f>
        <v>1115</v>
      </c>
      <c r="F786" s="5">
        <f>IFERROR(__xludf.DUMMYFUNCTION("""COMPUTED_VALUE"""),9089700.0)</f>
        <v>9089700</v>
      </c>
      <c r="G786" s="5">
        <f t="shared" si="1"/>
        <v>40</v>
      </c>
    </row>
    <row r="787">
      <c r="A787" s="4">
        <f>IFERROR(__xludf.DUMMYFUNCTION("""COMPUTED_VALUE"""),44999.66666666667)</f>
        <v>44999.66667</v>
      </c>
      <c r="B787" s="5">
        <f>IFERROR(__xludf.DUMMYFUNCTION("""COMPUTED_VALUE"""),1115.0)</f>
        <v>1115</v>
      </c>
      <c r="C787" s="5">
        <f>IFERROR(__xludf.DUMMYFUNCTION("""COMPUTED_VALUE"""),1135.0)</f>
        <v>1135</v>
      </c>
      <c r="D787" s="5">
        <f>IFERROR(__xludf.DUMMYFUNCTION("""COMPUTED_VALUE"""),1055.0)</f>
        <v>1055</v>
      </c>
      <c r="E787" s="5">
        <f>IFERROR(__xludf.DUMMYFUNCTION("""COMPUTED_VALUE"""),1075.0)</f>
        <v>1075</v>
      </c>
      <c r="F787" s="5">
        <f>IFERROR(__xludf.DUMMYFUNCTION("""COMPUTED_VALUE"""),1.66894E7)</f>
        <v>16689400</v>
      </c>
      <c r="G787" s="5">
        <f t="shared" si="1"/>
        <v>80</v>
      </c>
    </row>
    <row r="788">
      <c r="A788" s="4">
        <f>IFERROR(__xludf.DUMMYFUNCTION("""COMPUTED_VALUE"""),45000.66666666667)</f>
        <v>45000.66667</v>
      </c>
      <c r="B788" s="5">
        <f>IFERROR(__xludf.DUMMYFUNCTION("""COMPUTED_VALUE"""),1080.0)</f>
        <v>1080</v>
      </c>
      <c r="C788" s="5">
        <f>IFERROR(__xludf.DUMMYFUNCTION("""COMPUTED_VALUE"""),1090.0)</f>
        <v>1090</v>
      </c>
      <c r="D788" s="5">
        <f>IFERROR(__xludf.DUMMYFUNCTION("""COMPUTED_VALUE"""),1035.0)</f>
        <v>1035</v>
      </c>
      <c r="E788" s="5">
        <f>IFERROR(__xludf.DUMMYFUNCTION("""COMPUTED_VALUE"""),1040.0)</f>
        <v>1040</v>
      </c>
      <c r="F788" s="5">
        <f>IFERROR(__xludf.DUMMYFUNCTION("""COMPUTED_VALUE"""),1.21769E7)</f>
        <v>12176900</v>
      </c>
      <c r="G788" s="5">
        <f t="shared" si="1"/>
        <v>55</v>
      </c>
    </row>
    <row r="789">
      <c r="A789" s="4">
        <f>IFERROR(__xludf.DUMMYFUNCTION("""COMPUTED_VALUE"""),45001.66666666667)</f>
        <v>45001.66667</v>
      </c>
      <c r="B789" s="5">
        <f>IFERROR(__xludf.DUMMYFUNCTION("""COMPUTED_VALUE"""),1000.0)</f>
        <v>1000</v>
      </c>
      <c r="C789" s="5">
        <f>IFERROR(__xludf.DUMMYFUNCTION("""COMPUTED_VALUE"""),1010.0)</f>
        <v>1010</v>
      </c>
      <c r="D789" s="5">
        <f>IFERROR(__xludf.DUMMYFUNCTION("""COMPUTED_VALUE"""),970.0)</f>
        <v>970</v>
      </c>
      <c r="E789" s="5">
        <f>IFERROR(__xludf.DUMMYFUNCTION("""COMPUTED_VALUE"""),970.0)</f>
        <v>970</v>
      </c>
      <c r="F789" s="5">
        <f>IFERROR(__xludf.DUMMYFUNCTION("""COMPUTED_VALUE"""),4.28926E7)</f>
        <v>42892600</v>
      </c>
      <c r="G789" s="5">
        <f t="shared" si="1"/>
        <v>70</v>
      </c>
    </row>
    <row r="790">
      <c r="A790" s="4">
        <f>IFERROR(__xludf.DUMMYFUNCTION("""COMPUTED_VALUE"""),45002.66666666667)</f>
        <v>45002.66667</v>
      </c>
      <c r="B790" s="5">
        <f>IFERROR(__xludf.DUMMYFUNCTION("""COMPUTED_VALUE"""),970.0)</f>
        <v>970</v>
      </c>
      <c r="C790" s="5">
        <f>IFERROR(__xludf.DUMMYFUNCTION("""COMPUTED_VALUE"""),985.0)</f>
        <v>985</v>
      </c>
      <c r="D790" s="5">
        <f>IFERROR(__xludf.DUMMYFUNCTION("""COMPUTED_VALUE"""),935.0)</f>
        <v>935</v>
      </c>
      <c r="E790" s="5">
        <f>IFERROR(__xludf.DUMMYFUNCTION("""COMPUTED_VALUE"""),960.0)</f>
        <v>960</v>
      </c>
      <c r="F790" s="5">
        <f>IFERROR(__xludf.DUMMYFUNCTION("""COMPUTED_VALUE"""),2.62416E7)</f>
        <v>26241600</v>
      </c>
      <c r="G790" s="5">
        <f t="shared" si="1"/>
        <v>50</v>
      </c>
    </row>
    <row r="791">
      <c r="A791" s="4">
        <f>IFERROR(__xludf.DUMMYFUNCTION("""COMPUTED_VALUE"""),45005.66666666667)</f>
        <v>45005.66667</v>
      </c>
      <c r="B791" s="5">
        <f>IFERROR(__xludf.DUMMYFUNCTION("""COMPUTED_VALUE"""),965.0)</f>
        <v>965</v>
      </c>
      <c r="C791" s="5">
        <f>IFERROR(__xludf.DUMMYFUNCTION("""COMPUTED_VALUE"""),975.0)</f>
        <v>975</v>
      </c>
      <c r="D791" s="5">
        <f>IFERROR(__xludf.DUMMYFUNCTION("""COMPUTED_VALUE"""),950.0)</f>
        <v>950</v>
      </c>
      <c r="E791" s="5">
        <f>IFERROR(__xludf.DUMMYFUNCTION("""COMPUTED_VALUE"""),955.0)</f>
        <v>955</v>
      </c>
      <c r="F791" s="5">
        <f>IFERROR(__xludf.DUMMYFUNCTION("""COMPUTED_VALUE"""),6959900.0)</f>
        <v>6959900</v>
      </c>
      <c r="G791" s="5">
        <f t="shared" si="1"/>
        <v>25</v>
      </c>
    </row>
    <row r="792">
      <c r="A792" s="4">
        <f>IFERROR(__xludf.DUMMYFUNCTION("""COMPUTED_VALUE"""),45006.66666666667)</f>
        <v>45006.66667</v>
      </c>
      <c r="B792" s="5">
        <f>IFERROR(__xludf.DUMMYFUNCTION("""COMPUTED_VALUE"""),955.0)</f>
        <v>955</v>
      </c>
      <c r="C792" s="5">
        <f>IFERROR(__xludf.DUMMYFUNCTION("""COMPUTED_VALUE"""),995.0)</f>
        <v>995</v>
      </c>
      <c r="D792" s="5">
        <f>IFERROR(__xludf.DUMMYFUNCTION("""COMPUTED_VALUE"""),955.0)</f>
        <v>955</v>
      </c>
      <c r="E792" s="5">
        <f>IFERROR(__xludf.DUMMYFUNCTION("""COMPUTED_VALUE"""),985.0)</f>
        <v>985</v>
      </c>
      <c r="F792" s="5">
        <f>IFERROR(__xludf.DUMMYFUNCTION("""COMPUTED_VALUE"""),7284800.0)</f>
        <v>7284800</v>
      </c>
      <c r="G792" s="5">
        <f t="shared" si="1"/>
        <v>40</v>
      </c>
    </row>
    <row r="793">
      <c r="A793" s="4">
        <f>IFERROR(__xludf.DUMMYFUNCTION("""COMPUTED_VALUE"""),45009.66666666667)</f>
        <v>45009.66667</v>
      </c>
      <c r="B793" s="5">
        <f>IFERROR(__xludf.DUMMYFUNCTION("""COMPUTED_VALUE"""),985.0)</f>
        <v>985</v>
      </c>
      <c r="C793" s="5">
        <f>IFERROR(__xludf.DUMMYFUNCTION("""COMPUTED_VALUE"""),1010.0)</f>
        <v>1010</v>
      </c>
      <c r="D793" s="5">
        <f>IFERROR(__xludf.DUMMYFUNCTION("""COMPUTED_VALUE"""),985.0)</f>
        <v>985</v>
      </c>
      <c r="E793" s="5">
        <f>IFERROR(__xludf.DUMMYFUNCTION("""COMPUTED_VALUE"""),995.0)</f>
        <v>995</v>
      </c>
      <c r="F793" s="5">
        <f>IFERROR(__xludf.DUMMYFUNCTION("""COMPUTED_VALUE"""),1.29226E7)</f>
        <v>12922600</v>
      </c>
      <c r="G793" s="5">
        <f t="shared" si="1"/>
        <v>25</v>
      </c>
    </row>
    <row r="794">
      <c r="A794" s="4">
        <f>IFERROR(__xludf.DUMMYFUNCTION("""COMPUTED_VALUE"""),45012.66666666667)</f>
        <v>45012.66667</v>
      </c>
      <c r="B794" s="5">
        <f>IFERROR(__xludf.DUMMYFUNCTION("""COMPUTED_VALUE"""),1010.0)</f>
        <v>1010</v>
      </c>
      <c r="C794" s="5">
        <f>IFERROR(__xludf.DUMMYFUNCTION("""COMPUTED_VALUE"""),1030.0)</f>
        <v>1030</v>
      </c>
      <c r="D794" s="5">
        <f>IFERROR(__xludf.DUMMYFUNCTION("""COMPUTED_VALUE"""),1005.0)</f>
        <v>1005</v>
      </c>
      <c r="E794" s="5">
        <f>IFERROR(__xludf.DUMMYFUNCTION("""COMPUTED_VALUE"""),1015.0)</f>
        <v>1015</v>
      </c>
      <c r="F794" s="5">
        <f>IFERROR(__xludf.DUMMYFUNCTION("""COMPUTED_VALUE"""),1.15285E7)</f>
        <v>11528500</v>
      </c>
      <c r="G794" s="5">
        <f t="shared" si="1"/>
        <v>35</v>
      </c>
    </row>
    <row r="795">
      <c r="A795" s="4">
        <f>IFERROR(__xludf.DUMMYFUNCTION("""COMPUTED_VALUE"""),45013.66666666667)</f>
        <v>45013.66667</v>
      </c>
      <c r="B795" s="5">
        <f>IFERROR(__xludf.DUMMYFUNCTION("""COMPUTED_VALUE"""),1025.0)</f>
        <v>1025</v>
      </c>
      <c r="C795" s="5">
        <f>IFERROR(__xludf.DUMMYFUNCTION("""COMPUTED_VALUE"""),1035.0)</f>
        <v>1035</v>
      </c>
      <c r="D795" s="5">
        <f>IFERROR(__xludf.DUMMYFUNCTION("""COMPUTED_VALUE"""),1010.0)</f>
        <v>1010</v>
      </c>
      <c r="E795" s="5">
        <f>IFERROR(__xludf.DUMMYFUNCTION("""COMPUTED_VALUE"""),1020.0)</f>
        <v>1020</v>
      </c>
      <c r="F795" s="5">
        <f>IFERROR(__xludf.DUMMYFUNCTION("""COMPUTED_VALUE"""),9297100.0)</f>
        <v>9297100</v>
      </c>
      <c r="G795" s="5">
        <f t="shared" si="1"/>
        <v>25</v>
      </c>
    </row>
    <row r="796">
      <c r="A796" s="4">
        <f>IFERROR(__xludf.DUMMYFUNCTION("""COMPUTED_VALUE"""),45014.66666666667)</f>
        <v>45014.66667</v>
      </c>
      <c r="B796" s="5">
        <f>IFERROR(__xludf.DUMMYFUNCTION("""COMPUTED_VALUE"""),1030.0)</f>
        <v>1030</v>
      </c>
      <c r="C796" s="5">
        <f>IFERROR(__xludf.DUMMYFUNCTION("""COMPUTED_VALUE"""),1060.0)</f>
        <v>1060</v>
      </c>
      <c r="D796" s="5">
        <f>IFERROR(__xludf.DUMMYFUNCTION("""COMPUTED_VALUE"""),1025.0)</f>
        <v>1025</v>
      </c>
      <c r="E796" s="5">
        <f>IFERROR(__xludf.DUMMYFUNCTION("""COMPUTED_VALUE"""),1050.0)</f>
        <v>1050</v>
      </c>
      <c r="F796" s="5">
        <f>IFERROR(__xludf.DUMMYFUNCTION("""COMPUTED_VALUE"""),1.67066E7)</f>
        <v>16706600</v>
      </c>
      <c r="G796" s="5">
        <f t="shared" si="1"/>
        <v>40</v>
      </c>
    </row>
    <row r="797">
      <c r="A797" s="4">
        <f>IFERROR(__xludf.DUMMYFUNCTION("""COMPUTED_VALUE"""),45015.66666666667)</f>
        <v>45015.66667</v>
      </c>
      <c r="B797" s="5">
        <f>IFERROR(__xludf.DUMMYFUNCTION("""COMPUTED_VALUE"""),1055.0)</f>
        <v>1055</v>
      </c>
      <c r="C797" s="5">
        <f>IFERROR(__xludf.DUMMYFUNCTION("""COMPUTED_VALUE"""),1060.0)</f>
        <v>1060</v>
      </c>
      <c r="D797" s="5">
        <f>IFERROR(__xludf.DUMMYFUNCTION("""COMPUTED_VALUE"""),1035.0)</f>
        <v>1035</v>
      </c>
      <c r="E797" s="5">
        <f>IFERROR(__xludf.DUMMYFUNCTION("""COMPUTED_VALUE"""),1050.0)</f>
        <v>1050</v>
      </c>
      <c r="F797" s="5">
        <f>IFERROR(__xludf.DUMMYFUNCTION("""COMPUTED_VALUE"""),7048500.0)</f>
        <v>7048500</v>
      </c>
      <c r="G797" s="5">
        <f t="shared" si="1"/>
        <v>25</v>
      </c>
    </row>
    <row r="798">
      <c r="A798" s="4">
        <f>IFERROR(__xludf.DUMMYFUNCTION("""COMPUTED_VALUE"""),45016.66666666667)</f>
        <v>45016.66667</v>
      </c>
      <c r="B798" s="5">
        <f>IFERROR(__xludf.DUMMYFUNCTION("""COMPUTED_VALUE"""),1055.0)</f>
        <v>1055</v>
      </c>
      <c r="C798" s="5">
        <f>IFERROR(__xludf.DUMMYFUNCTION("""COMPUTED_VALUE"""),1055.0)</f>
        <v>1055</v>
      </c>
      <c r="D798" s="5">
        <f>IFERROR(__xludf.DUMMYFUNCTION("""COMPUTED_VALUE"""),1025.0)</f>
        <v>1025</v>
      </c>
      <c r="E798" s="5">
        <f>IFERROR(__xludf.DUMMYFUNCTION("""COMPUTED_VALUE"""),1030.0)</f>
        <v>1030</v>
      </c>
      <c r="F798" s="5">
        <f>IFERROR(__xludf.DUMMYFUNCTION("""COMPUTED_VALUE"""),8718300.0)</f>
        <v>8718300</v>
      </c>
      <c r="G798" s="5">
        <f t="shared" si="1"/>
        <v>30</v>
      </c>
    </row>
    <row r="799">
      <c r="A799" s="4">
        <f>IFERROR(__xludf.DUMMYFUNCTION("""COMPUTED_VALUE"""),45019.66666666667)</f>
        <v>45019.66667</v>
      </c>
      <c r="B799" s="5">
        <f>IFERROR(__xludf.DUMMYFUNCTION("""COMPUTED_VALUE"""),1025.0)</f>
        <v>1025</v>
      </c>
      <c r="C799" s="5">
        <f>IFERROR(__xludf.DUMMYFUNCTION("""COMPUTED_VALUE"""),1045.0)</f>
        <v>1045</v>
      </c>
      <c r="D799" s="5">
        <f>IFERROR(__xludf.DUMMYFUNCTION("""COMPUTED_VALUE"""),1020.0)</f>
        <v>1020</v>
      </c>
      <c r="E799" s="5">
        <f>IFERROR(__xludf.DUMMYFUNCTION("""COMPUTED_VALUE"""),1025.0)</f>
        <v>1025</v>
      </c>
      <c r="F799" s="5">
        <f>IFERROR(__xludf.DUMMYFUNCTION("""COMPUTED_VALUE"""),6385800.0)</f>
        <v>6385800</v>
      </c>
      <c r="G799" s="5">
        <f t="shared" si="1"/>
        <v>25</v>
      </c>
    </row>
    <row r="800">
      <c r="A800" s="4">
        <f>IFERROR(__xludf.DUMMYFUNCTION("""COMPUTED_VALUE"""),45020.66666666667)</f>
        <v>45020.66667</v>
      </c>
      <c r="B800" s="5">
        <f>IFERROR(__xludf.DUMMYFUNCTION("""COMPUTED_VALUE"""),1020.0)</f>
        <v>1020</v>
      </c>
      <c r="C800" s="5">
        <f>IFERROR(__xludf.DUMMYFUNCTION("""COMPUTED_VALUE"""),1035.0)</f>
        <v>1035</v>
      </c>
      <c r="D800" s="5">
        <f>IFERROR(__xludf.DUMMYFUNCTION("""COMPUTED_VALUE"""),1005.0)</f>
        <v>1005</v>
      </c>
      <c r="E800" s="5">
        <f>IFERROR(__xludf.DUMMYFUNCTION("""COMPUTED_VALUE"""),1010.0)</f>
        <v>1010</v>
      </c>
      <c r="F800" s="5">
        <f>IFERROR(__xludf.DUMMYFUNCTION("""COMPUTED_VALUE"""),6286100.0)</f>
        <v>6286100</v>
      </c>
      <c r="G800" s="5">
        <f t="shared" si="1"/>
        <v>30</v>
      </c>
    </row>
    <row r="801">
      <c r="A801" s="4">
        <f>IFERROR(__xludf.DUMMYFUNCTION("""COMPUTED_VALUE"""),45021.66666666667)</f>
        <v>45021.66667</v>
      </c>
      <c r="B801" s="5">
        <f>IFERROR(__xludf.DUMMYFUNCTION("""COMPUTED_VALUE"""),1010.0)</f>
        <v>1010</v>
      </c>
      <c r="C801" s="5">
        <f>IFERROR(__xludf.DUMMYFUNCTION("""COMPUTED_VALUE"""),1045.0)</f>
        <v>1045</v>
      </c>
      <c r="D801" s="5">
        <f>IFERROR(__xludf.DUMMYFUNCTION("""COMPUTED_VALUE"""),1010.0)</f>
        <v>1010</v>
      </c>
      <c r="E801" s="5">
        <f>IFERROR(__xludf.DUMMYFUNCTION("""COMPUTED_VALUE"""),1020.0)</f>
        <v>1020</v>
      </c>
      <c r="F801" s="5">
        <f>IFERROR(__xludf.DUMMYFUNCTION("""COMPUTED_VALUE"""),1.43374E7)</f>
        <v>14337400</v>
      </c>
      <c r="G801" s="5">
        <f t="shared" si="1"/>
        <v>35</v>
      </c>
    </row>
    <row r="802">
      <c r="A802" s="4">
        <f>IFERROR(__xludf.DUMMYFUNCTION("""COMPUTED_VALUE"""),45022.66666666667)</f>
        <v>45022.66667</v>
      </c>
      <c r="B802" s="5">
        <f>IFERROR(__xludf.DUMMYFUNCTION("""COMPUTED_VALUE"""),1020.0)</f>
        <v>1020</v>
      </c>
      <c r="C802" s="5">
        <f>IFERROR(__xludf.DUMMYFUNCTION("""COMPUTED_VALUE"""),1030.0)</f>
        <v>1030</v>
      </c>
      <c r="D802" s="5">
        <f>IFERROR(__xludf.DUMMYFUNCTION("""COMPUTED_VALUE"""),1000.0)</f>
        <v>1000</v>
      </c>
      <c r="E802" s="5">
        <f>IFERROR(__xludf.DUMMYFUNCTION("""COMPUTED_VALUE"""),1000.0)</f>
        <v>1000</v>
      </c>
      <c r="F802" s="5">
        <f>IFERROR(__xludf.DUMMYFUNCTION("""COMPUTED_VALUE"""),8816500.0)</f>
        <v>8816500</v>
      </c>
      <c r="G802" s="5">
        <f t="shared" si="1"/>
        <v>30</v>
      </c>
    </row>
    <row r="803">
      <c r="A803" s="4">
        <f>IFERROR(__xludf.DUMMYFUNCTION("""COMPUTED_VALUE"""),45026.66666666667)</f>
        <v>45026.66667</v>
      </c>
      <c r="B803" s="5">
        <f>IFERROR(__xludf.DUMMYFUNCTION("""COMPUTED_VALUE"""),1000.0)</f>
        <v>1000</v>
      </c>
      <c r="C803" s="5">
        <f>IFERROR(__xludf.DUMMYFUNCTION("""COMPUTED_VALUE"""),1010.0)</f>
        <v>1010</v>
      </c>
      <c r="D803" s="5">
        <f>IFERROR(__xludf.DUMMYFUNCTION("""COMPUTED_VALUE"""),985.0)</f>
        <v>985</v>
      </c>
      <c r="E803" s="5">
        <f>IFERROR(__xludf.DUMMYFUNCTION("""COMPUTED_VALUE"""),990.0)</f>
        <v>990</v>
      </c>
      <c r="F803" s="5">
        <f>IFERROR(__xludf.DUMMYFUNCTION("""COMPUTED_VALUE"""),5597800.0)</f>
        <v>5597800</v>
      </c>
      <c r="G803" s="5">
        <f t="shared" si="1"/>
        <v>25</v>
      </c>
    </row>
    <row r="804">
      <c r="A804" s="4">
        <f>IFERROR(__xludf.DUMMYFUNCTION("""COMPUTED_VALUE"""),45027.66666666667)</f>
        <v>45027.66667</v>
      </c>
      <c r="B804" s="5">
        <f>IFERROR(__xludf.DUMMYFUNCTION("""COMPUTED_VALUE"""),990.0)</f>
        <v>990</v>
      </c>
      <c r="C804" s="5">
        <f>IFERROR(__xludf.DUMMYFUNCTION("""COMPUTED_VALUE"""),1020.0)</f>
        <v>1020</v>
      </c>
      <c r="D804" s="5">
        <f>IFERROR(__xludf.DUMMYFUNCTION("""COMPUTED_VALUE"""),990.0)</f>
        <v>990</v>
      </c>
      <c r="E804" s="5">
        <f>IFERROR(__xludf.DUMMYFUNCTION("""COMPUTED_VALUE"""),1015.0)</f>
        <v>1015</v>
      </c>
      <c r="F804" s="5">
        <f>IFERROR(__xludf.DUMMYFUNCTION("""COMPUTED_VALUE"""),5703700.0)</f>
        <v>5703700</v>
      </c>
      <c r="G804" s="5">
        <f t="shared" si="1"/>
        <v>30</v>
      </c>
    </row>
    <row r="805">
      <c r="A805" s="4">
        <f>IFERROR(__xludf.DUMMYFUNCTION("""COMPUTED_VALUE"""),45028.66666666667)</f>
        <v>45028.66667</v>
      </c>
      <c r="B805" s="5">
        <f>IFERROR(__xludf.DUMMYFUNCTION("""COMPUTED_VALUE"""),1020.0)</f>
        <v>1020</v>
      </c>
      <c r="C805" s="5">
        <f>IFERROR(__xludf.DUMMYFUNCTION("""COMPUTED_VALUE"""),1025.0)</f>
        <v>1025</v>
      </c>
      <c r="D805" s="5">
        <f>IFERROR(__xludf.DUMMYFUNCTION("""COMPUTED_VALUE"""),1005.0)</f>
        <v>1005</v>
      </c>
      <c r="E805" s="5">
        <f>IFERROR(__xludf.DUMMYFUNCTION("""COMPUTED_VALUE"""),1010.0)</f>
        <v>1010</v>
      </c>
      <c r="F805" s="5">
        <f>IFERROR(__xludf.DUMMYFUNCTION("""COMPUTED_VALUE"""),4488900.0)</f>
        <v>4488900</v>
      </c>
      <c r="G805" s="5">
        <f t="shared" si="1"/>
        <v>20</v>
      </c>
    </row>
    <row r="806">
      <c r="A806" s="4">
        <f>IFERROR(__xludf.DUMMYFUNCTION("""COMPUTED_VALUE"""),45029.66666666667)</f>
        <v>45029.66667</v>
      </c>
      <c r="B806" s="5">
        <f>IFERROR(__xludf.DUMMYFUNCTION("""COMPUTED_VALUE"""),1020.0)</f>
        <v>1020</v>
      </c>
      <c r="C806" s="5">
        <f>IFERROR(__xludf.DUMMYFUNCTION("""COMPUTED_VALUE"""),1020.0)</f>
        <v>1020</v>
      </c>
      <c r="D806" s="5">
        <f>IFERROR(__xludf.DUMMYFUNCTION("""COMPUTED_VALUE"""),975.0)</f>
        <v>975</v>
      </c>
      <c r="E806" s="5">
        <f>IFERROR(__xludf.DUMMYFUNCTION("""COMPUTED_VALUE"""),975.0)</f>
        <v>975</v>
      </c>
      <c r="F806" s="5">
        <f>IFERROR(__xludf.DUMMYFUNCTION("""COMPUTED_VALUE"""),7549800.0)</f>
        <v>7549800</v>
      </c>
      <c r="G806" s="5">
        <f t="shared" si="1"/>
        <v>45</v>
      </c>
    </row>
    <row r="807">
      <c r="A807" s="4">
        <f>IFERROR(__xludf.DUMMYFUNCTION("""COMPUTED_VALUE"""),45030.66666666667)</f>
        <v>45030.66667</v>
      </c>
      <c r="B807" s="5">
        <f>IFERROR(__xludf.DUMMYFUNCTION("""COMPUTED_VALUE"""),985.0)</f>
        <v>985</v>
      </c>
      <c r="C807" s="5">
        <f>IFERROR(__xludf.DUMMYFUNCTION("""COMPUTED_VALUE"""),1020.0)</f>
        <v>1020</v>
      </c>
      <c r="D807" s="5">
        <f>IFERROR(__xludf.DUMMYFUNCTION("""COMPUTED_VALUE"""),985.0)</f>
        <v>985</v>
      </c>
      <c r="E807" s="5">
        <f>IFERROR(__xludf.DUMMYFUNCTION("""COMPUTED_VALUE"""),995.0)</f>
        <v>995</v>
      </c>
      <c r="F807" s="5">
        <f>IFERROR(__xludf.DUMMYFUNCTION("""COMPUTED_VALUE"""),1.55382E7)</f>
        <v>15538200</v>
      </c>
      <c r="G807" s="5">
        <f t="shared" si="1"/>
        <v>45</v>
      </c>
    </row>
    <row r="808">
      <c r="A808" s="4">
        <f>IFERROR(__xludf.DUMMYFUNCTION("""COMPUTED_VALUE"""),45033.66666666667)</f>
        <v>45033.66667</v>
      </c>
      <c r="B808" s="5">
        <f>IFERROR(__xludf.DUMMYFUNCTION("""COMPUTED_VALUE"""),1000.0)</f>
        <v>1000</v>
      </c>
      <c r="C808" s="5">
        <f>IFERROR(__xludf.DUMMYFUNCTION("""COMPUTED_VALUE"""),1015.0)</f>
        <v>1015</v>
      </c>
      <c r="D808" s="5">
        <f>IFERROR(__xludf.DUMMYFUNCTION("""COMPUTED_VALUE"""),990.0)</f>
        <v>990</v>
      </c>
      <c r="E808" s="5">
        <f>IFERROR(__xludf.DUMMYFUNCTION("""COMPUTED_VALUE"""),1000.0)</f>
        <v>1000</v>
      </c>
      <c r="F808" s="5">
        <f>IFERROR(__xludf.DUMMYFUNCTION("""COMPUTED_VALUE"""),1.13524E7)</f>
        <v>11352400</v>
      </c>
      <c r="G808" s="5">
        <f t="shared" si="1"/>
        <v>25</v>
      </c>
    </row>
    <row r="809">
      <c r="A809" s="4">
        <f>IFERROR(__xludf.DUMMYFUNCTION("""COMPUTED_VALUE"""),45034.66666666667)</f>
        <v>45034.66667</v>
      </c>
      <c r="B809" s="5">
        <f>IFERROR(__xludf.DUMMYFUNCTION("""COMPUTED_VALUE"""),1025.0)</f>
        <v>1025</v>
      </c>
      <c r="C809" s="5">
        <f>IFERROR(__xludf.DUMMYFUNCTION("""COMPUTED_VALUE"""),1045.0)</f>
        <v>1045</v>
      </c>
      <c r="D809" s="5">
        <f>IFERROR(__xludf.DUMMYFUNCTION("""COMPUTED_VALUE"""),1015.0)</f>
        <v>1015</v>
      </c>
      <c r="E809" s="5">
        <f>IFERROR(__xludf.DUMMYFUNCTION("""COMPUTED_VALUE"""),1035.0)</f>
        <v>1035</v>
      </c>
      <c r="F809" s="5">
        <f>IFERROR(__xludf.DUMMYFUNCTION("""COMPUTED_VALUE"""),2.21922E7)</f>
        <v>22192200</v>
      </c>
      <c r="G809" s="5">
        <f t="shared" si="1"/>
        <v>45</v>
      </c>
    </row>
    <row r="810">
      <c r="A810" s="4">
        <f>IFERROR(__xludf.DUMMYFUNCTION("""COMPUTED_VALUE"""),45042.66666666667)</f>
        <v>45042.66667</v>
      </c>
      <c r="B810" s="5">
        <f>IFERROR(__xludf.DUMMYFUNCTION("""COMPUTED_VALUE"""),1030.0)</f>
        <v>1030</v>
      </c>
      <c r="C810" s="5">
        <f>IFERROR(__xludf.DUMMYFUNCTION("""COMPUTED_VALUE"""),1030.0)</f>
        <v>1030</v>
      </c>
      <c r="D810" s="5">
        <f>IFERROR(__xludf.DUMMYFUNCTION("""COMPUTED_VALUE"""),1015.0)</f>
        <v>1015</v>
      </c>
      <c r="E810" s="5">
        <f>IFERROR(__xludf.DUMMYFUNCTION("""COMPUTED_VALUE"""),1025.0)</f>
        <v>1025</v>
      </c>
      <c r="F810" s="5">
        <f>IFERROR(__xludf.DUMMYFUNCTION("""COMPUTED_VALUE"""),9785900.0)</f>
        <v>9785900</v>
      </c>
      <c r="G810" s="5">
        <f t="shared" si="1"/>
        <v>20</v>
      </c>
    </row>
    <row r="811">
      <c r="A811" s="4">
        <f>IFERROR(__xludf.DUMMYFUNCTION("""COMPUTED_VALUE"""),45043.66666666667)</f>
        <v>45043.66667</v>
      </c>
      <c r="B811" s="5">
        <f>IFERROR(__xludf.DUMMYFUNCTION("""COMPUTED_VALUE"""),1020.0)</f>
        <v>1020</v>
      </c>
      <c r="C811" s="5">
        <f>IFERROR(__xludf.DUMMYFUNCTION("""COMPUTED_VALUE"""),1025.0)</f>
        <v>1025</v>
      </c>
      <c r="D811" s="5">
        <f>IFERROR(__xludf.DUMMYFUNCTION("""COMPUTED_VALUE"""),1010.0)</f>
        <v>1010</v>
      </c>
      <c r="E811" s="5">
        <f>IFERROR(__xludf.DUMMYFUNCTION("""COMPUTED_VALUE"""),1010.0)</f>
        <v>1010</v>
      </c>
      <c r="F811" s="5">
        <f>IFERROR(__xludf.DUMMYFUNCTION("""COMPUTED_VALUE"""),6276700.0)</f>
        <v>6276700</v>
      </c>
      <c r="G811" s="5">
        <f t="shared" si="1"/>
        <v>15</v>
      </c>
    </row>
    <row r="812">
      <c r="A812" s="4">
        <f>IFERROR(__xludf.DUMMYFUNCTION("""COMPUTED_VALUE"""),45044.66666666667)</f>
        <v>45044.66667</v>
      </c>
      <c r="B812" s="5">
        <f>IFERROR(__xludf.DUMMYFUNCTION("""COMPUTED_VALUE"""),1015.0)</f>
        <v>1015</v>
      </c>
      <c r="C812" s="5">
        <f>IFERROR(__xludf.DUMMYFUNCTION("""COMPUTED_VALUE"""),1025.0)</f>
        <v>1025</v>
      </c>
      <c r="D812" s="5">
        <f>IFERROR(__xludf.DUMMYFUNCTION("""COMPUTED_VALUE"""),1000.0)</f>
        <v>1000</v>
      </c>
      <c r="E812" s="5">
        <f>IFERROR(__xludf.DUMMYFUNCTION("""COMPUTED_VALUE"""),1015.0)</f>
        <v>1015</v>
      </c>
      <c r="F812" s="5">
        <f>IFERROR(__xludf.DUMMYFUNCTION("""COMPUTED_VALUE"""),7967000.0)</f>
        <v>7967000</v>
      </c>
      <c r="G812" s="5">
        <f t="shared" si="1"/>
        <v>25</v>
      </c>
    </row>
    <row r="813">
      <c r="A813" s="4">
        <f>IFERROR(__xludf.DUMMYFUNCTION("""COMPUTED_VALUE"""),45048.66666666667)</f>
        <v>45048.66667</v>
      </c>
      <c r="B813" s="5">
        <f>IFERROR(__xludf.DUMMYFUNCTION("""COMPUTED_VALUE"""),1015.0)</f>
        <v>1015</v>
      </c>
      <c r="C813" s="5">
        <f>IFERROR(__xludf.DUMMYFUNCTION("""COMPUTED_VALUE"""),1015.0)</f>
        <v>1015</v>
      </c>
      <c r="D813" s="5">
        <f>IFERROR(__xludf.DUMMYFUNCTION("""COMPUTED_VALUE"""),1000.0)</f>
        <v>1000</v>
      </c>
      <c r="E813" s="5">
        <f>IFERROR(__xludf.DUMMYFUNCTION("""COMPUTED_VALUE"""),1005.0)</f>
        <v>1005</v>
      </c>
      <c r="F813" s="5">
        <f>IFERROR(__xludf.DUMMYFUNCTION("""COMPUTED_VALUE"""),5673900.0)</f>
        <v>5673900</v>
      </c>
      <c r="G813" s="5">
        <f t="shared" si="1"/>
        <v>15</v>
      </c>
    </row>
    <row r="814">
      <c r="A814" s="4">
        <f>IFERROR(__xludf.DUMMYFUNCTION("""COMPUTED_VALUE"""),45049.66666666667)</f>
        <v>45049.66667</v>
      </c>
      <c r="B814" s="5">
        <f>IFERROR(__xludf.DUMMYFUNCTION("""COMPUTED_VALUE"""),1000.0)</f>
        <v>1000</v>
      </c>
      <c r="C814" s="5">
        <f>IFERROR(__xludf.DUMMYFUNCTION("""COMPUTED_VALUE"""),1010.0)</f>
        <v>1010</v>
      </c>
      <c r="D814" s="5">
        <f>IFERROR(__xludf.DUMMYFUNCTION("""COMPUTED_VALUE"""),985.0)</f>
        <v>985</v>
      </c>
      <c r="E814" s="5">
        <f>IFERROR(__xludf.DUMMYFUNCTION("""COMPUTED_VALUE"""),1000.0)</f>
        <v>1000</v>
      </c>
      <c r="F814" s="5">
        <f>IFERROR(__xludf.DUMMYFUNCTION("""COMPUTED_VALUE"""),8686100.0)</f>
        <v>8686100</v>
      </c>
      <c r="G814" s="5">
        <f t="shared" si="1"/>
        <v>25</v>
      </c>
    </row>
    <row r="815">
      <c r="A815" s="4">
        <f>IFERROR(__xludf.DUMMYFUNCTION("""COMPUTED_VALUE"""),45050.66666666667)</f>
        <v>45050.66667</v>
      </c>
      <c r="B815" s="5">
        <f>IFERROR(__xludf.DUMMYFUNCTION("""COMPUTED_VALUE"""),995.0)</f>
        <v>995</v>
      </c>
      <c r="C815" s="5">
        <f>IFERROR(__xludf.DUMMYFUNCTION("""COMPUTED_VALUE"""),1000.0)</f>
        <v>1000</v>
      </c>
      <c r="D815" s="5">
        <f>IFERROR(__xludf.DUMMYFUNCTION("""COMPUTED_VALUE"""),985.0)</f>
        <v>985</v>
      </c>
      <c r="E815" s="5">
        <f>IFERROR(__xludf.DUMMYFUNCTION("""COMPUTED_VALUE"""),990.0)</f>
        <v>990</v>
      </c>
      <c r="F815" s="5">
        <f>IFERROR(__xludf.DUMMYFUNCTION("""COMPUTED_VALUE"""),5912500.0)</f>
        <v>5912500</v>
      </c>
      <c r="G815" s="5">
        <f t="shared" si="1"/>
        <v>15</v>
      </c>
    </row>
    <row r="816">
      <c r="A816" s="4">
        <f>IFERROR(__xludf.DUMMYFUNCTION("""COMPUTED_VALUE"""),45051.66666666667)</f>
        <v>45051.66667</v>
      </c>
      <c r="B816" s="5">
        <f>IFERROR(__xludf.DUMMYFUNCTION("""COMPUTED_VALUE"""),985.0)</f>
        <v>985</v>
      </c>
      <c r="C816" s="5">
        <f>IFERROR(__xludf.DUMMYFUNCTION("""COMPUTED_VALUE"""),990.0)</f>
        <v>990</v>
      </c>
      <c r="D816" s="5">
        <f>IFERROR(__xludf.DUMMYFUNCTION("""COMPUTED_VALUE"""),965.0)</f>
        <v>965</v>
      </c>
      <c r="E816" s="5">
        <f>IFERROR(__xludf.DUMMYFUNCTION("""COMPUTED_VALUE"""),965.0)</f>
        <v>965</v>
      </c>
      <c r="F816" s="5">
        <f>IFERROR(__xludf.DUMMYFUNCTION("""COMPUTED_VALUE"""),1.15648E7)</f>
        <v>11564800</v>
      </c>
      <c r="G816" s="5">
        <f t="shared" si="1"/>
        <v>25</v>
      </c>
    </row>
    <row r="817">
      <c r="A817" s="4">
        <f>IFERROR(__xludf.DUMMYFUNCTION("""COMPUTED_VALUE"""),45054.66666666667)</f>
        <v>45054.66667</v>
      </c>
      <c r="B817" s="5">
        <f>IFERROR(__xludf.DUMMYFUNCTION("""COMPUTED_VALUE"""),965.0)</f>
        <v>965</v>
      </c>
      <c r="C817" s="5">
        <f>IFERROR(__xludf.DUMMYFUNCTION("""COMPUTED_VALUE"""),980.0)</f>
        <v>980</v>
      </c>
      <c r="D817" s="5">
        <f>IFERROR(__xludf.DUMMYFUNCTION("""COMPUTED_VALUE"""),965.0)</f>
        <v>965</v>
      </c>
      <c r="E817" s="5">
        <f>IFERROR(__xludf.DUMMYFUNCTION("""COMPUTED_VALUE"""),975.0)</f>
        <v>975</v>
      </c>
      <c r="F817" s="5">
        <f>IFERROR(__xludf.DUMMYFUNCTION("""COMPUTED_VALUE"""),4678600.0)</f>
        <v>4678600</v>
      </c>
      <c r="G817" s="5">
        <f t="shared" si="1"/>
        <v>15</v>
      </c>
    </row>
    <row r="818">
      <c r="A818" s="4">
        <f>IFERROR(__xludf.DUMMYFUNCTION("""COMPUTED_VALUE"""),45055.66666666667)</f>
        <v>45055.66667</v>
      </c>
      <c r="B818" s="5">
        <f>IFERROR(__xludf.DUMMYFUNCTION("""COMPUTED_VALUE"""),980.0)</f>
        <v>980</v>
      </c>
      <c r="C818" s="5">
        <f>IFERROR(__xludf.DUMMYFUNCTION("""COMPUTED_VALUE"""),1005.0)</f>
        <v>1005</v>
      </c>
      <c r="D818" s="5">
        <f>IFERROR(__xludf.DUMMYFUNCTION("""COMPUTED_VALUE"""),975.0)</f>
        <v>975</v>
      </c>
      <c r="E818" s="5">
        <f>IFERROR(__xludf.DUMMYFUNCTION("""COMPUTED_VALUE"""),1000.0)</f>
        <v>1000</v>
      </c>
      <c r="F818" s="5">
        <f>IFERROR(__xludf.DUMMYFUNCTION("""COMPUTED_VALUE"""),7354400.0)</f>
        <v>7354400</v>
      </c>
      <c r="G818" s="5">
        <f t="shared" si="1"/>
        <v>30</v>
      </c>
    </row>
    <row r="819">
      <c r="A819" s="4">
        <f>IFERROR(__xludf.DUMMYFUNCTION("""COMPUTED_VALUE"""),45056.66666666667)</f>
        <v>45056.66667</v>
      </c>
      <c r="B819" s="5">
        <f>IFERROR(__xludf.DUMMYFUNCTION("""COMPUTED_VALUE"""),1000.0)</f>
        <v>1000</v>
      </c>
      <c r="C819" s="5">
        <f>IFERROR(__xludf.DUMMYFUNCTION("""COMPUTED_VALUE"""),1005.0)</f>
        <v>1005</v>
      </c>
      <c r="D819" s="5">
        <f>IFERROR(__xludf.DUMMYFUNCTION("""COMPUTED_VALUE"""),985.0)</f>
        <v>985</v>
      </c>
      <c r="E819" s="5">
        <f>IFERROR(__xludf.DUMMYFUNCTION("""COMPUTED_VALUE"""),990.0)</f>
        <v>990</v>
      </c>
      <c r="F819" s="5">
        <f>IFERROR(__xludf.DUMMYFUNCTION("""COMPUTED_VALUE"""),4341800.0)</f>
        <v>4341800</v>
      </c>
      <c r="G819" s="5">
        <f t="shared" si="1"/>
        <v>20</v>
      </c>
    </row>
    <row r="820">
      <c r="A820" s="4">
        <f>IFERROR(__xludf.DUMMYFUNCTION("""COMPUTED_VALUE"""),45057.66666666667)</f>
        <v>45057.66667</v>
      </c>
      <c r="B820" s="5">
        <f>IFERROR(__xludf.DUMMYFUNCTION("""COMPUTED_VALUE"""),990.0)</f>
        <v>990</v>
      </c>
      <c r="C820" s="5">
        <f>IFERROR(__xludf.DUMMYFUNCTION("""COMPUTED_VALUE"""),1000.0)</f>
        <v>1000</v>
      </c>
      <c r="D820" s="5">
        <f>IFERROR(__xludf.DUMMYFUNCTION("""COMPUTED_VALUE"""),975.0)</f>
        <v>975</v>
      </c>
      <c r="E820" s="5">
        <f>IFERROR(__xludf.DUMMYFUNCTION("""COMPUTED_VALUE"""),975.0)</f>
        <v>975</v>
      </c>
      <c r="F820" s="5">
        <f>IFERROR(__xludf.DUMMYFUNCTION("""COMPUTED_VALUE"""),6241800.0)</f>
        <v>6241800</v>
      </c>
      <c r="G820" s="5">
        <f t="shared" si="1"/>
        <v>25</v>
      </c>
    </row>
    <row r="821">
      <c r="A821" s="4">
        <f>IFERROR(__xludf.DUMMYFUNCTION("""COMPUTED_VALUE"""),45058.66666666667)</f>
        <v>45058.66667</v>
      </c>
      <c r="B821" s="5">
        <f>IFERROR(__xludf.DUMMYFUNCTION("""COMPUTED_VALUE"""),985.0)</f>
        <v>985</v>
      </c>
      <c r="C821" s="5">
        <f>IFERROR(__xludf.DUMMYFUNCTION("""COMPUTED_VALUE"""),990.0)</f>
        <v>990</v>
      </c>
      <c r="D821" s="5">
        <f>IFERROR(__xludf.DUMMYFUNCTION("""COMPUTED_VALUE"""),975.0)</f>
        <v>975</v>
      </c>
      <c r="E821" s="5">
        <f>IFERROR(__xludf.DUMMYFUNCTION("""COMPUTED_VALUE"""),975.0)</f>
        <v>975</v>
      </c>
      <c r="F821" s="5">
        <f>IFERROR(__xludf.DUMMYFUNCTION("""COMPUTED_VALUE"""),4885900.0)</f>
        <v>4885900</v>
      </c>
      <c r="G821" s="5">
        <f t="shared" si="1"/>
        <v>15</v>
      </c>
    </row>
    <row r="822">
      <c r="A822" s="4">
        <f>IFERROR(__xludf.DUMMYFUNCTION("""COMPUTED_VALUE"""),45061.66666666667)</f>
        <v>45061.66667</v>
      </c>
      <c r="B822" s="5">
        <f>IFERROR(__xludf.DUMMYFUNCTION("""COMPUTED_VALUE"""),975.0)</f>
        <v>975</v>
      </c>
      <c r="C822" s="5">
        <f>IFERROR(__xludf.DUMMYFUNCTION("""COMPUTED_VALUE"""),990.0)</f>
        <v>990</v>
      </c>
      <c r="D822" s="5">
        <f>IFERROR(__xludf.DUMMYFUNCTION("""COMPUTED_VALUE"""),975.0)</f>
        <v>975</v>
      </c>
      <c r="E822" s="5">
        <f>IFERROR(__xludf.DUMMYFUNCTION("""COMPUTED_VALUE"""),980.0)</f>
        <v>980</v>
      </c>
      <c r="F822" s="5">
        <f>IFERROR(__xludf.DUMMYFUNCTION("""COMPUTED_VALUE"""),3499400.0)</f>
        <v>3499400</v>
      </c>
      <c r="G822" s="5">
        <f t="shared" si="1"/>
        <v>15</v>
      </c>
    </row>
    <row r="823">
      <c r="A823" s="4">
        <f>IFERROR(__xludf.DUMMYFUNCTION("""COMPUTED_VALUE"""),45062.66666666667)</f>
        <v>45062.66667</v>
      </c>
      <c r="B823" s="5">
        <f>IFERROR(__xludf.DUMMYFUNCTION("""COMPUTED_VALUE"""),980.0)</f>
        <v>980</v>
      </c>
      <c r="C823" s="5">
        <f>IFERROR(__xludf.DUMMYFUNCTION("""COMPUTED_VALUE"""),995.0)</f>
        <v>995</v>
      </c>
      <c r="D823" s="5">
        <f>IFERROR(__xludf.DUMMYFUNCTION("""COMPUTED_VALUE"""),975.0)</f>
        <v>975</v>
      </c>
      <c r="E823" s="5">
        <f>IFERROR(__xludf.DUMMYFUNCTION("""COMPUTED_VALUE"""),980.0)</f>
        <v>980</v>
      </c>
      <c r="F823" s="5">
        <f>IFERROR(__xludf.DUMMYFUNCTION("""COMPUTED_VALUE"""),6677600.0)</f>
        <v>6677600</v>
      </c>
      <c r="G823" s="5">
        <f t="shared" si="1"/>
        <v>20</v>
      </c>
    </row>
    <row r="824">
      <c r="A824" s="4">
        <f>IFERROR(__xludf.DUMMYFUNCTION("""COMPUTED_VALUE"""),45063.66666666667)</f>
        <v>45063.66667</v>
      </c>
      <c r="B824" s="5">
        <f>IFERROR(__xludf.DUMMYFUNCTION("""COMPUTED_VALUE"""),990.0)</f>
        <v>990</v>
      </c>
      <c r="C824" s="5">
        <f>IFERROR(__xludf.DUMMYFUNCTION("""COMPUTED_VALUE"""),990.0)</f>
        <v>990</v>
      </c>
      <c r="D824" s="5">
        <f>IFERROR(__xludf.DUMMYFUNCTION("""COMPUTED_VALUE"""),965.0)</f>
        <v>965</v>
      </c>
      <c r="E824" s="5">
        <f>IFERROR(__xludf.DUMMYFUNCTION("""COMPUTED_VALUE"""),970.0)</f>
        <v>970</v>
      </c>
      <c r="F824" s="5">
        <f>IFERROR(__xludf.DUMMYFUNCTION("""COMPUTED_VALUE"""),4744100.0)</f>
        <v>4744100</v>
      </c>
      <c r="G824" s="5">
        <f t="shared" si="1"/>
        <v>25</v>
      </c>
    </row>
    <row r="825">
      <c r="A825" s="4">
        <f>IFERROR(__xludf.DUMMYFUNCTION("""COMPUTED_VALUE"""),45065.66666666667)</f>
        <v>45065.66667</v>
      </c>
      <c r="B825" s="5">
        <f>IFERROR(__xludf.DUMMYFUNCTION("""COMPUTED_VALUE"""),965.0)</f>
        <v>965</v>
      </c>
      <c r="C825" s="5">
        <f>IFERROR(__xludf.DUMMYFUNCTION("""COMPUTED_VALUE"""),970.0)</f>
        <v>970</v>
      </c>
      <c r="D825" s="5">
        <f>IFERROR(__xludf.DUMMYFUNCTION("""COMPUTED_VALUE"""),945.0)</f>
        <v>945</v>
      </c>
      <c r="E825" s="5">
        <f>IFERROR(__xludf.DUMMYFUNCTION("""COMPUTED_VALUE"""),945.0)</f>
        <v>945</v>
      </c>
      <c r="F825" s="5">
        <f>IFERROR(__xludf.DUMMYFUNCTION("""COMPUTED_VALUE"""),9916500.0)</f>
        <v>9916500</v>
      </c>
      <c r="G825" s="5">
        <f t="shared" si="1"/>
        <v>25</v>
      </c>
    </row>
    <row r="826">
      <c r="A826" s="4">
        <f>IFERROR(__xludf.DUMMYFUNCTION("""COMPUTED_VALUE"""),45068.66666666667)</f>
        <v>45068.66667</v>
      </c>
      <c r="B826" s="5">
        <f>IFERROR(__xludf.DUMMYFUNCTION("""COMPUTED_VALUE"""),945.0)</f>
        <v>945</v>
      </c>
      <c r="C826" s="5">
        <f>IFERROR(__xludf.DUMMYFUNCTION("""COMPUTED_VALUE"""),965.0)</f>
        <v>965</v>
      </c>
      <c r="D826" s="5">
        <f>IFERROR(__xludf.DUMMYFUNCTION("""COMPUTED_VALUE"""),940.0)</f>
        <v>940</v>
      </c>
      <c r="E826" s="5">
        <f>IFERROR(__xludf.DUMMYFUNCTION("""COMPUTED_VALUE"""),945.0)</f>
        <v>945</v>
      </c>
      <c r="F826" s="5">
        <f>IFERROR(__xludf.DUMMYFUNCTION("""COMPUTED_VALUE"""),4625100.0)</f>
        <v>4625100</v>
      </c>
      <c r="G826" s="5">
        <f t="shared" si="1"/>
        <v>25</v>
      </c>
    </row>
    <row r="827">
      <c r="A827" s="4">
        <f>IFERROR(__xludf.DUMMYFUNCTION("""COMPUTED_VALUE"""),45069.66666666667)</f>
        <v>45069.66667</v>
      </c>
      <c r="B827" s="5">
        <f>IFERROR(__xludf.DUMMYFUNCTION("""COMPUTED_VALUE"""),945.0)</f>
        <v>945</v>
      </c>
      <c r="C827" s="5">
        <f>IFERROR(__xludf.DUMMYFUNCTION("""COMPUTED_VALUE"""),955.0)</f>
        <v>955</v>
      </c>
      <c r="D827" s="5">
        <f>IFERROR(__xludf.DUMMYFUNCTION("""COMPUTED_VALUE"""),940.0)</f>
        <v>940</v>
      </c>
      <c r="E827" s="5">
        <f>IFERROR(__xludf.DUMMYFUNCTION("""COMPUTED_VALUE"""),940.0)</f>
        <v>940</v>
      </c>
      <c r="F827" s="5">
        <f>IFERROR(__xludf.DUMMYFUNCTION("""COMPUTED_VALUE"""),5208500.0)</f>
        <v>5208500</v>
      </c>
      <c r="G827" s="5">
        <f t="shared" si="1"/>
        <v>15</v>
      </c>
    </row>
    <row r="828">
      <c r="A828" s="4">
        <f>IFERROR(__xludf.DUMMYFUNCTION("""COMPUTED_VALUE"""),45070.66666666667)</f>
        <v>45070.66667</v>
      </c>
      <c r="B828" s="5">
        <f>IFERROR(__xludf.DUMMYFUNCTION("""COMPUTED_VALUE"""),940.0)</f>
        <v>940</v>
      </c>
      <c r="C828" s="5">
        <f>IFERROR(__xludf.DUMMYFUNCTION("""COMPUTED_VALUE"""),940.0)</f>
        <v>940</v>
      </c>
      <c r="D828" s="5">
        <f>IFERROR(__xludf.DUMMYFUNCTION("""COMPUTED_VALUE"""),925.0)</f>
        <v>925</v>
      </c>
      <c r="E828" s="5">
        <f>IFERROR(__xludf.DUMMYFUNCTION("""COMPUTED_VALUE"""),930.0)</f>
        <v>930</v>
      </c>
      <c r="F828" s="5">
        <f>IFERROR(__xludf.DUMMYFUNCTION("""COMPUTED_VALUE"""),7154100.0)</f>
        <v>7154100</v>
      </c>
      <c r="G828" s="5">
        <f t="shared" si="1"/>
        <v>15</v>
      </c>
    </row>
    <row r="829">
      <c r="A829" s="4">
        <f>IFERROR(__xludf.DUMMYFUNCTION("""COMPUTED_VALUE"""),45071.66666666667)</f>
        <v>45071.66667</v>
      </c>
      <c r="B829" s="5">
        <f>IFERROR(__xludf.DUMMYFUNCTION("""COMPUTED_VALUE"""),930.0)</f>
        <v>930</v>
      </c>
      <c r="C829" s="5">
        <f>IFERROR(__xludf.DUMMYFUNCTION("""COMPUTED_VALUE"""),930.0)</f>
        <v>930</v>
      </c>
      <c r="D829" s="5">
        <f>IFERROR(__xludf.DUMMYFUNCTION("""COMPUTED_VALUE"""),875.0)</f>
        <v>875</v>
      </c>
      <c r="E829" s="5">
        <f>IFERROR(__xludf.DUMMYFUNCTION("""COMPUTED_VALUE"""),880.0)</f>
        <v>880</v>
      </c>
      <c r="F829" s="5">
        <f>IFERROR(__xludf.DUMMYFUNCTION("""COMPUTED_VALUE"""),2.47123E7)</f>
        <v>24712300</v>
      </c>
      <c r="G829" s="5">
        <f t="shared" si="1"/>
        <v>55</v>
      </c>
    </row>
    <row r="830">
      <c r="A830" s="4">
        <f>IFERROR(__xludf.DUMMYFUNCTION("""COMPUTED_VALUE"""),45072.66666666667)</f>
        <v>45072.66667</v>
      </c>
      <c r="B830" s="5">
        <f>IFERROR(__xludf.DUMMYFUNCTION("""COMPUTED_VALUE"""),885.0)</f>
        <v>885</v>
      </c>
      <c r="C830" s="5">
        <f>IFERROR(__xludf.DUMMYFUNCTION("""COMPUTED_VALUE"""),885.0)</f>
        <v>885</v>
      </c>
      <c r="D830" s="5">
        <f>IFERROR(__xludf.DUMMYFUNCTION("""COMPUTED_VALUE"""),870.0)</f>
        <v>870</v>
      </c>
      <c r="E830" s="5">
        <f>IFERROR(__xludf.DUMMYFUNCTION("""COMPUTED_VALUE"""),880.0)</f>
        <v>880</v>
      </c>
      <c r="F830" s="5">
        <f>IFERROR(__xludf.DUMMYFUNCTION("""COMPUTED_VALUE"""),5900400.0)</f>
        <v>5900400</v>
      </c>
      <c r="G830" s="5">
        <f t="shared" si="1"/>
        <v>15</v>
      </c>
    </row>
    <row r="831">
      <c r="A831" s="4">
        <f>IFERROR(__xludf.DUMMYFUNCTION("""COMPUTED_VALUE"""),45075.66666666667)</f>
        <v>45075.66667</v>
      </c>
      <c r="B831" s="5">
        <f>IFERROR(__xludf.DUMMYFUNCTION("""COMPUTED_VALUE"""),880.0)</f>
        <v>880</v>
      </c>
      <c r="C831" s="5">
        <f>IFERROR(__xludf.DUMMYFUNCTION("""COMPUTED_VALUE"""),910.0)</f>
        <v>910</v>
      </c>
      <c r="D831" s="5">
        <f>IFERROR(__xludf.DUMMYFUNCTION("""COMPUTED_VALUE"""),880.0)</f>
        <v>880</v>
      </c>
      <c r="E831" s="5">
        <f>IFERROR(__xludf.DUMMYFUNCTION("""COMPUTED_VALUE"""),895.0)</f>
        <v>895</v>
      </c>
      <c r="F831" s="5">
        <f>IFERROR(__xludf.DUMMYFUNCTION("""COMPUTED_VALUE"""),7371200.0)</f>
        <v>7371200</v>
      </c>
      <c r="G831" s="5">
        <f t="shared" si="1"/>
        <v>30</v>
      </c>
    </row>
    <row r="832">
      <c r="A832" s="4">
        <f>IFERROR(__xludf.DUMMYFUNCTION("""COMPUTED_VALUE"""),45076.66666666667)</f>
        <v>45076.66667</v>
      </c>
      <c r="B832" s="5">
        <f>IFERROR(__xludf.DUMMYFUNCTION("""COMPUTED_VALUE"""),895.0)</f>
        <v>895</v>
      </c>
      <c r="C832" s="5">
        <f>IFERROR(__xludf.DUMMYFUNCTION("""COMPUTED_VALUE"""),915.0)</f>
        <v>915</v>
      </c>
      <c r="D832" s="5">
        <f>IFERROR(__xludf.DUMMYFUNCTION("""COMPUTED_VALUE"""),895.0)</f>
        <v>895</v>
      </c>
      <c r="E832" s="5">
        <f>IFERROR(__xludf.DUMMYFUNCTION("""COMPUTED_VALUE"""),910.0)</f>
        <v>910</v>
      </c>
      <c r="F832" s="5">
        <f>IFERROR(__xludf.DUMMYFUNCTION("""COMPUTED_VALUE"""),5401100.0)</f>
        <v>5401100</v>
      </c>
      <c r="G832" s="5">
        <f t="shared" si="1"/>
        <v>20</v>
      </c>
    </row>
    <row r="833">
      <c r="A833" s="4">
        <f>IFERROR(__xludf.DUMMYFUNCTION("""COMPUTED_VALUE"""),45077.66666666667)</f>
        <v>45077.66667</v>
      </c>
      <c r="B833" s="5">
        <f>IFERROR(__xludf.DUMMYFUNCTION("""COMPUTED_VALUE"""),915.0)</f>
        <v>915</v>
      </c>
      <c r="C833" s="5">
        <f>IFERROR(__xludf.DUMMYFUNCTION("""COMPUTED_VALUE"""),930.0)</f>
        <v>930</v>
      </c>
      <c r="D833" s="5">
        <f>IFERROR(__xludf.DUMMYFUNCTION("""COMPUTED_VALUE"""),880.0)</f>
        <v>880</v>
      </c>
      <c r="E833" s="5">
        <f>IFERROR(__xludf.DUMMYFUNCTION("""COMPUTED_VALUE"""),930.0)</f>
        <v>930</v>
      </c>
      <c r="F833" s="5">
        <f>IFERROR(__xludf.DUMMYFUNCTION("""COMPUTED_VALUE"""),1.78727E7)</f>
        <v>17872700</v>
      </c>
      <c r="G833" s="5">
        <f t="shared" si="1"/>
        <v>50</v>
      </c>
    </row>
    <row r="834">
      <c r="A834" s="4">
        <f>IFERROR(__xludf.DUMMYFUNCTION("""COMPUTED_VALUE"""),45082.66666666667)</f>
        <v>45082.66667</v>
      </c>
      <c r="B834" s="5">
        <f>IFERROR(__xludf.DUMMYFUNCTION("""COMPUTED_VALUE"""),925.0)</f>
        <v>925</v>
      </c>
      <c r="C834" s="5">
        <f>IFERROR(__xludf.DUMMYFUNCTION("""COMPUTED_VALUE"""),950.0)</f>
        <v>950</v>
      </c>
      <c r="D834" s="5">
        <f>IFERROR(__xludf.DUMMYFUNCTION("""COMPUTED_VALUE"""),910.0)</f>
        <v>910</v>
      </c>
      <c r="E834" s="5">
        <f>IFERROR(__xludf.DUMMYFUNCTION("""COMPUTED_VALUE"""),940.0)</f>
        <v>940</v>
      </c>
      <c r="F834" s="5">
        <f>IFERROR(__xludf.DUMMYFUNCTION("""COMPUTED_VALUE"""),1.11267E7)</f>
        <v>11126700</v>
      </c>
      <c r="G834" s="5">
        <f t="shared" si="1"/>
        <v>40</v>
      </c>
    </row>
    <row r="835">
      <c r="A835" s="4">
        <f>IFERROR(__xludf.DUMMYFUNCTION("""COMPUTED_VALUE"""),45083.66666666667)</f>
        <v>45083.66667</v>
      </c>
      <c r="B835" s="5">
        <f>IFERROR(__xludf.DUMMYFUNCTION("""COMPUTED_VALUE"""),940.0)</f>
        <v>940</v>
      </c>
      <c r="C835" s="5">
        <f>IFERROR(__xludf.DUMMYFUNCTION("""COMPUTED_VALUE"""),955.0)</f>
        <v>955</v>
      </c>
      <c r="D835" s="5">
        <f>IFERROR(__xludf.DUMMYFUNCTION("""COMPUTED_VALUE"""),935.0)</f>
        <v>935</v>
      </c>
      <c r="E835" s="5">
        <f>IFERROR(__xludf.DUMMYFUNCTION("""COMPUTED_VALUE"""),940.0)</f>
        <v>940</v>
      </c>
      <c r="F835" s="5">
        <f>IFERROR(__xludf.DUMMYFUNCTION("""COMPUTED_VALUE"""),5682400.0)</f>
        <v>5682400</v>
      </c>
      <c r="G835" s="5">
        <f t="shared" si="1"/>
        <v>20</v>
      </c>
    </row>
    <row r="836">
      <c r="A836" s="4">
        <f>IFERROR(__xludf.DUMMYFUNCTION("""COMPUTED_VALUE"""),45084.66666666667)</f>
        <v>45084.66667</v>
      </c>
      <c r="B836" s="5">
        <f>IFERROR(__xludf.DUMMYFUNCTION("""COMPUTED_VALUE"""),940.0)</f>
        <v>940</v>
      </c>
      <c r="C836" s="5">
        <f>IFERROR(__xludf.DUMMYFUNCTION("""COMPUTED_VALUE"""),945.0)</f>
        <v>945</v>
      </c>
      <c r="D836" s="5">
        <f>IFERROR(__xludf.DUMMYFUNCTION("""COMPUTED_VALUE"""),920.0)</f>
        <v>920</v>
      </c>
      <c r="E836" s="5">
        <f>IFERROR(__xludf.DUMMYFUNCTION("""COMPUTED_VALUE"""),940.0)</f>
        <v>940</v>
      </c>
      <c r="F836" s="5">
        <f>IFERROR(__xludf.DUMMYFUNCTION("""COMPUTED_VALUE"""),6364400.0)</f>
        <v>6364400</v>
      </c>
      <c r="G836" s="5">
        <f t="shared" si="1"/>
        <v>25</v>
      </c>
    </row>
    <row r="837">
      <c r="A837" s="4">
        <f>IFERROR(__xludf.DUMMYFUNCTION("""COMPUTED_VALUE"""),45085.66666666667)</f>
        <v>45085.66667</v>
      </c>
      <c r="B837" s="5">
        <f>IFERROR(__xludf.DUMMYFUNCTION("""COMPUTED_VALUE"""),935.0)</f>
        <v>935</v>
      </c>
      <c r="C837" s="5">
        <f>IFERROR(__xludf.DUMMYFUNCTION("""COMPUTED_VALUE"""),945.0)</f>
        <v>945</v>
      </c>
      <c r="D837" s="5">
        <f>IFERROR(__xludf.DUMMYFUNCTION("""COMPUTED_VALUE"""),925.0)</f>
        <v>925</v>
      </c>
      <c r="E837" s="5">
        <f>IFERROR(__xludf.DUMMYFUNCTION("""COMPUTED_VALUE"""),930.0)</f>
        <v>930</v>
      </c>
      <c r="F837" s="5">
        <f>IFERROR(__xludf.DUMMYFUNCTION("""COMPUTED_VALUE"""),4308100.0)</f>
        <v>4308100</v>
      </c>
      <c r="G837" s="5">
        <f t="shared" si="1"/>
        <v>20</v>
      </c>
    </row>
    <row r="838">
      <c r="A838" s="4">
        <f>IFERROR(__xludf.DUMMYFUNCTION("""COMPUTED_VALUE"""),45086.66666666667)</f>
        <v>45086.66667</v>
      </c>
      <c r="B838" s="5">
        <f>IFERROR(__xludf.DUMMYFUNCTION("""COMPUTED_VALUE"""),930.0)</f>
        <v>930</v>
      </c>
      <c r="C838" s="5">
        <f>IFERROR(__xludf.DUMMYFUNCTION("""COMPUTED_VALUE"""),940.0)</f>
        <v>940</v>
      </c>
      <c r="D838" s="5">
        <f>IFERROR(__xludf.DUMMYFUNCTION("""COMPUTED_VALUE"""),925.0)</f>
        <v>925</v>
      </c>
      <c r="E838" s="5">
        <f>IFERROR(__xludf.DUMMYFUNCTION("""COMPUTED_VALUE"""),930.0)</f>
        <v>930</v>
      </c>
      <c r="F838" s="5">
        <f>IFERROR(__xludf.DUMMYFUNCTION("""COMPUTED_VALUE"""),3450300.0)</f>
        <v>3450300</v>
      </c>
      <c r="G838" s="5">
        <f t="shared" si="1"/>
        <v>15</v>
      </c>
    </row>
    <row r="839">
      <c r="A839" s="4">
        <f>IFERROR(__xludf.DUMMYFUNCTION("""COMPUTED_VALUE"""),45089.66666666667)</f>
        <v>45089.66667</v>
      </c>
      <c r="B839" s="5">
        <f>IFERROR(__xludf.DUMMYFUNCTION("""COMPUTED_VALUE"""),930.0)</f>
        <v>930</v>
      </c>
      <c r="C839" s="5">
        <f>IFERROR(__xludf.DUMMYFUNCTION("""COMPUTED_VALUE"""),975.0)</f>
        <v>975</v>
      </c>
      <c r="D839" s="5">
        <f>IFERROR(__xludf.DUMMYFUNCTION("""COMPUTED_VALUE"""),930.0)</f>
        <v>930</v>
      </c>
      <c r="E839" s="5">
        <f>IFERROR(__xludf.DUMMYFUNCTION("""COMPUTED_VALUE"""),975.0)</f>
        <v>975</v>
      </c>
      <c r="F839" s="5">
        <f>IFERROR(__xludf.DUMMYFUNCTION("""COMPUTED_VALUE"""),1.56783E7)</f>
        <v>15678300</v>
      </c>
      <c r="G839" s="5">
        <f t="shared" si="1"/>
        <v>45</v>
      </c>
    </row>
    <row r="840">
      <c r="A840" s="4">
        <f>IFERROR(__xludf.DUMMYFUNCTION("""COMPUTED_VALUE"""),45090.66666666667)</f>
        <v>45090.66667</v>
      </c>
      <c r="B840" s="5">
        <f>IFERROR(__xludf.DUMMYFUNCTION("""COMPUTED_VALUE"""),980.0)</f>
        <v>980</v>
      </c>
      <c r="C840" s="5">
        <f>IFERROR(__xludf.DUMMYFUNCTION("""COMPUTED_VALUE"""),990.0)</f>
        <v>990</v>
      </c>
      <c r="D840" s="5">
        <f>IFERROR(__xludf.DUMMYFUNCTION("""COMPUTED_VALUE"""),960.0)</f>
        <v>960</v>
      </c>
      <c r="E840" s="5">
        <f>IFERROR(__xludf.DUMMYFUNCTION("""COMPUTED_VALUE"""),965.0)</f>
        <v>965</v>
      </c>
      <c r="F840" s="5">
        <f>IFERROR(__xludf.DUMMYFUNCTION("""COMPUTED_VALUE"""),1.17311E7)</f>
        <v>11731100</v>
      </c>
      <c r="G840" s="5">
        <f t="shared" si="1"/>
        <v>30</v>
      </c>
    </row>
    <row r="841">
      <c r="A841" s="4">
        <f>IFERROR(__xludf.DUMMYFUNCTION("""COMPUTED_VALUE"""),45091.66666666667)</f>
        <v>45091.66667</v>
      </c>
      <c r="B841" s="5">
        <f>IFERROR(__xludf.DUMMYFUNCTION("""COMPUTED_VALUE"""),975.0)</f>
        <v>975</v>
      </c>
      <c r="C841" s="5">
        <f>IFERROR(__xludf.DUMMYFUNCTION("""COMPUTED_VALUE"""),980.0)</f>
        <v>980</v>
      </c>
      <c r="D841" s="5">
        <f>IFERROR(__xludf.DUMMYFUNCTION("""COMPUTED_VALUE"""),965.0)</f>
        <v>965</v>
      </c>
      <c r="E841" s="5">
        <f>IFERROR(__xludf.DUMMYFUNCTION("""COMPUTED_VALUE"""),975.0)</f>
        <v>975</v>
      </c>
      <c r="F841" s="5">
        <f>IFERROR(__xludf.DUMMYFUNCTION("""COMPUTED_VALUE"""),4069700.0)</f>
        <v>4069700</v>
      </c>
      <c r="G841" s="5">
        <f t="shared" si="1"/>
        <v>15</v>
      </c>
    </row>
    <row r="842">
      <c r="A842" s="4">
        <f>IFERROR(__xludf.DUMMYFUNCTION("""COMPUTED_VALUE"""),45092.66666666667)</f>
        <v>45092.66667</v>
      </c>
      <c r="B842" s="5">
        <f>IFERROR(__xludf.DUMMYFUNCTION("""COMPUTED_VALUE"""),975.0)</f>
        <v>975</v>
      </c>
      <c r="C842" s="5">
        <f>IFERROR(__xludf.DUMMYFUNCTION("""COMPUTED_VALUE"""),990.0)</f>
        <v>990</v>
      </c>
      <c r="D842" s="5">
        <f>IFERROR(__xludf.DUMMYFUNCTION("""COMPUTED_VALUE"""),965.0)</f>
        <v>965</v>
      </c>
      <c r="E842" s="5">
        <f>IFERROR(__xludf.DUMMYFUNCTION("""COMPUTED_VALUE"""),975.0)</f>
        <v>975</v>
      </c>
      <c r="F842" s="5">
        <f>IFERROR(__xludf.DUMMYFUNCTION("""COMPUTED_VALUE"""),1.12011E7)</f>
        <v>11201100</v>
      </c>
      <c r="G842" s="5">
        <f t="shared" si="1"/>
        <v>25</v>
      </c>
    </row>
    <row r="843">
      <c r="A843" s="4">
        <f>IFERROR(__xludf.DUMMYFUNCTION("""COMPUTED_VALUE"""),45093.66666666667)</f>
        <v>45093.66667</v>
      </c>
      <c r="B843" s="5">
        <f>IFERROR(__xludf.DUMMYFUNCTION("""COMPUTED_VALUE"""),980.0)</f>
        <v>980</v>
      </c>
      <c r="C843" s="5">
        <f>IFERROR(__xludf.DUMMYFUNCTION("""COMPUTED_VALUE"""),985.0)</f>
        <v>985</v>
      </c>
      <c r="D843" s="5">
        <f>IFERROR(__xludf.DUMMYFUNCTION("""COMPUTED_VALUE"""),970.0)</f>
        <v>970</v>
      </c>
      <c r="E843" s="5">
        <f>IFERROR(__xludf.DUMMYFUNCTION("""COMPUTED_VALUE"""),980.0)</f>
        <v>980</v>
      </c>
      <c r="F843" s="5">
        <f>IFERROR(__xludf.DUMMYFUNCTION("""COMPUTED_VALUE"""),7848100.0)</f>
        <v>7848100</v>
      </c>
      <c r="G843" s="5">
        <f t="shared" si="1"/>
        <v>15</v>
      </c>
    </row>
    <row r="844">
      <c r="A844" s="4">
        <f>IFERROR(__xludf.DUMMYFUNCTION("""COMPUTED_VALUE"""),45096.66666666667)</f>
        <v>45096.66667</v>
      </c>
      <c r="B844" s="5">
        <f>IFERROR(__xludf.DUMMYFUNCTION("""COMPUTED_VALUE"""),980.0)</f>
        <v>980</v>
      </c>
      <c r="C844" s="5">
        <f>IFERROR(__xludf.DUMMYFUNCTION("""COMPUTED_VALUE"""),985.0)</f>
        <v>985</v>
      </c>
      <c r="D844" s="5">
        <f>IFERROR(__xludf.DUMMYFUNCTION("""COMPUTED_VALUE"""),955.0)</f>
        <v>955</v>
      </c>
      <c r="E844" s="5">
        <f>IFERROR(__xludf.DUMMYFUNCTION("""COMPUTED_VALUE"""),965.0)</f>
        <v>965</v>
      </c>
      <c r="F844" s="5">
        <f>IFERROR(__xludf.DUMMYFUNCTION("""COMPUTED_VALUE"""),5702500.0)</f>
        <v>5702500</v>
      </c>
      <c r="G844" s="5">
        <f t="shared" si="1"/>
        <v>30</v>
      </c>
    </row>
    <row r="845">
      <c r="A845" s="4">
        <f>IFERROR(__xludf.DUMMYFUNCTION("""COMPUTED_VALUE"""),45097.66666666667)</f>
        <v>45097.66667</v>
      </c>
      <c r="B845" s="5">
        <f>IFERROR(__xludf.DUMMYFUNCTION("""COMPUTED_VALUE"""),965.0)</f>
        <v>965</v>
      </c>
      <c r="C845" s="5">
        <f>IFERROR(__xludf.DUMMYFUNCTION("""COMPUTED_VALUE"""),975.0)</f>
        <v>975</v>
      </c>
      <c r="D845" s="5">
        <f>IFERROR(__xludf.DUMMYFUNCTION("""COMPUTED_VALUE"""),960.0)</f>
        <v>960</v>
      </c>
      <c r="E845" s="5">
        <f>IFERROR(__xludf.DUMMYFUNCTION("""COMPUTED_VALUE"""),965.0)</f>
        <v>965</v>
      </c>
      <c r="F845" s="5">
        <f>IFERROR(__xludf.DUMMYFUNCTION("""COMPUTED_VALUE"""),5889700.0)</f>
        <v>5889700</v>
      </c>
      <c r="G845" s="5">
        <f t="shared" si="1"/>
        <v>15</v>
      </c>
    </row>
    <row r="846">
      <c r="A846" s="4">
        <f>IFERROR(__xludf.DUMMYFUNCTION("""COMPUTED_VALUE"""),45098.66666666667)</f>
        <v>45098.66667</v>
      </c>
      <c r="B846" s="5">
        <f>IFERROR(__xludf.DUMMYFUNCTION("""COMPUTED_VALUE"""),965.0)</f>
        <v>965</v>
      </c>
      <c r="C846" s="5">
        <f>IFERROR(__xludf.DUMMYFUNCTION("""COMPUTED_VALUE"""),975.0)</f>
        <v>975</v>
      </c>
      <c r="D846" s="5">
        <f>IFERROR(__xludf.DUMMYFUNCTION("""COMPUTED_VALUE"""),930.0)</f>
        <v>930</v>
      </c>
      <c r="E846" s="5">
        <f>IFERROR(__xludf.DUMMYFUNCTION("""COMPUTED_VALUE"""),955.0)</f>
        <v>955</v>
      </c>
      <c r="F846" s="5">
        <f>IFERROR(__xludf.DUMMYFUNCTION("""COMPUTED_VALUE"""),1.08476E7)</f>
        <v>10847600</v>
      </c>
      <c r="G846" s="5">
        <f t="shared" si="1"/>
        <v>45</v>
      </c>
    </row>
    <row r="847">
      <c r="A847" s="4">
        <f>IFERROR(__xludf.DUMMYFUNCTION("""COMPUTED_VALUE"""),45099.66666666667)</f>
        <v>45099.66667</v>
      </c>
      <c r="B847" s="5">
        <f>IFERROR(__xludf.DUMMYFUNCTION("""COMPUTED_VALUE"""),960.0)</f>
        <v>960</v>
      </c>
      <c r="C847" s="5">
        <f>IFERROR(__xludf.DUMMYFUNCTION("""COMPUTED_VALUE"""),970.0)</f>
        <v>970</v>
      </c>
      <c r="D847" s="5">
        <f>IFERROR(__xludf.DUMMYFUNCTION("""COMPUTED_VALUE"""),945.0)</f>
        <v>945</v>
      </c>
      <c r="E847" s="5">
        <f>IFERROR(__xludf.DUMMYFUNCTION("""COMPUTED_VALUE"""),955.0)</f>
        <v>955</v>
      </c>
      <c r="F847" s="5">
        <f>IFERROR(__xludf.DUMMYFUNCTION("""COMPUTED_VALUE"""),8553900.0)</f>
        <v>8553900</v>
      </c>
      <c r="G847" s="5">
        <f t="shared" si="1"/>
        <v>25</v>
      </c>
    </row>
    <row r="848">
      <c r="A848" s="4">
        <f>IFERROR(__xludf.DUMMYFUNCTION("""COMPUTED_VALUE"""),45100.66666666667)</f>
        <v>45100.66667</v>
      </c>
      <c r="B848" s="5">
        <f>IFERROR(__xludf.DUMMYFUNCTION("""COMPUTED_VALUE"""),955.0)</f>
        <v>955</v>
      </c>
      <c r="C848" s="5">
        <f>IFERROR(__xludf.DUMMYFUNCTION("""COMPUTED_VALUE"""),960.0)</f>
        <v>960</v>
      </c>
      <c r="D848" s="5">
        <f>IFERROR(__xludf.DUMMYFUNCTION("""COMPUTED_VALUE"""),945.0)</f>
        <v>945</v>
      </c>
      <c r="E848" s="5">
        <f>IFERROR(__xludf.DUMMYFUNCTION("""COMPUTED_VALUE"""),950.0)</f>
        <v>950</v>
      </c>
      <c r="F848" s="5">
        <f>IFERROR(__xludf.DUMMYFUNCTION("""COMPUTED_VALUE"""),6720300.0)</f>
        <v>6720300</v>
      </c>
      <c r="G848" s="5">
        <f t="shared" si="1"/>
        <v>15</v>
      </c>
    </row>
    <row r="849">
      <c r="A849" s="4">
        <f>IFERROR(__xludf.DUMMYFUNCTION("""COMPUTED_VALUE"""),45103.66666666667)</f>
        <v>45103.66667</v>
      </c>
      <c r="B849" s="5">
        <f>IFERROR(__xludf.DUMMYFUNCTION("""COMPUTED_VALUE"""),920.0)</f>
        <v>920</v>
      </c>
      <c r="C849" s="5">
        <f>IFERROR(__xludf.DUMMYFUNCTION("""COMPUTED_VALUE"""),925.0)</f>
        <v>925</v>
      </c>
      <c r="D849" s="5">
        <f>IFERROR(__xludf.DUMMYFUNCTION("""COMPUTED_VALUE"""),900.0)</f>
        <v>900</v>
      </c>
      <c r="E849" s="5">
        <f>IFERROR(__xludf.DUMMYFUNCTION("""COMPUTED_VALUE"""),900.0)</f>
        <v>900</v>
      </c>
      <c r="F849" s="5">
        <f>IFERROR(__xludf.DUMMYFUNCTION("""COMPUTED_VALUE"""),2.07306E7)</f>
        <v>20730600</v>
      </c>
      <c r="G849" s="5">
        <f t="shared" si="1"/>
        <v>50</v>
      </c>
    </row>
    <row r="850">
      <c r="A850" s="4">
        <f>IFERROR(__xludf.DUMMYFUNCTION("""COMPUTED_VALUE"""),45104.66666666667)</f>
        <v>45104.66667</v>
      </c>
      <c r="B850" s="5">
        <f>IFERROR(__xludf.DUMMYFUNCTION("""COMPUTED_VALUE"""),900.0)</f>
        <v>900</v>
      </c>
      <c r="C850" s="5">
        <f>IFERROR(__xludf.DUMMYFUNCTION("""COMPUTED_VALUE"""),905.0)</f>
        <v>905</v>
      </c>
      <c r="D850" s="5">
        <f>IFERROR(__xludf.DUMMYFUNCTION("""COMPUTED_VALUE"""),880.0)</f>
        <v>880</v>
      </c>
      <c r="E850" s="5">
        <f>IFERROR(__xludf.DUMMYFUNCTION("""COMPUTED_VALUE"""),885.0)</f>
        <v>885</v>
      </c>
      <c r="F850" s="5">
        <f>IFERROR(__xludf.DUMMYFUNCTION("""COMPUTED_VALUE"""),1.2804E7)</f>
        <v>12804000</v>
      </c>
      <c r="G850" s="5">
        <f t="shared" si="1"/>
        <v>25</v>
      </c>
    </row>
    <row r="851">
      <c r="A851" s="4">
        <f>IFERROR(__xludf.DUMMYFUNCTION("""COMPUTED_VALUE"""),45110.66666666667)</f>
        <v>45110.66667</v>
      </c>
      <c r="B851" s="5">
        <f>IFERROR(__xludf.DUMMYFUNCTION("""COMPUTED_VALUE"""),890.0)</f>
        <v>890</v>
      </c>
      <c r="C851" s="5">
        <f>IFERROR(__xludf.DUMMYFUNCTION("""COMPUTED_VALUE"""),915.0)</f>
        <v>915</v>
      </c>
      <c r="D851" s="5">
        <f>IFERROR(__xludf.DUMMYFUNCTION("""COMPUTED_VALUE"""),890.0)</f>
        <v>890</v>
      </c>
      <c r="E851" s="5">
        <f>IFERROR(__xludf.DUMMYFUNCTION("""COMPUTED_VALUE"""),905.0)</f>
        <v>905</v>
      </c>
      <c r="F851" s="5">
        <f>IFERROR(__xludf.DUMMYFUNCTION("""COMPUTED_VALUE"""),7910600.0)</f>
        <v>7910600</v>
      </c>
      <c r="G851" s="5">
        <f t="shared" si="1"/>
        <v>30</v>
      </c>
    </row>
    <row r="852">
      <c r="A852" s="4">
        <f>IFERROR(__xludf.DUMMYFUNCTION("""COMPUTED_VALUE"""),45111.66666666667)</f>
        <v>45111.66667</v>
      </c>
      <c r="B852" s="5">
        <f>IFERROR(__xludf.DUMMYFUNCTION("""COMPUTED_VALUE"""),905.0)</f>
        <v>905</v>
      </c>
      <c r="C852" s="5">
        <f>IFERROR(__xludf.DUMMYFUNCTION("""COMPUTED_VALUE"""),915.0)</f>
        <v>915</v>
      </c>
      <c r="D852" s="5">
        <f>IFERROR(__xludf.DUMMYFUNCTION("""COMPUTED_VALUE"""),905.0)</f>
        <v>905</v>
      </c>
      <c r="E852" s="5">
        <f>IFERROR(__xludf.DUMMYFUNCTION("""COMPUTED_VALUE"""),910.0)</f>
        <v>910</v>
      </c>
      <c r="F852" s="5">
        <f>IFERROR(__xludf.DUMMYFUNCTION("""COMPUTED_VALUE"""),6709000.0)</f>
        <v>6709000</v>
      </c>
      <c r="G852" s="5">
        <f t="shared" si="1"/>
        <v>10</v>
      </c>
    </row>
    <row r="853">
      <c r="A853" s="4">
        <f>IFERROR(__xludf.DUMMYFUNCTION("""COMPUTED_VALUE"""),45112.66666666667)</f>
        <v>45112.66667</v>
      </c>
      <c r="B853" s="5">
        <f>IFERROR(__xludf.DUMMYFUNCTION("""COMPUTED_VALUE"""),910.0)</f>
        <v>910</v>
      </c>
      <c r="C853" s="5">
        <f>IFERROR(__xludf.DUMMYFUNCTION("""COMPUTED_VALUE"""),935.0)</f>
        <v>935</v>
      </c>
      <c r="D853" s="5">
        <f>IFERROR(__xludf.DUMMYFUNCTION("""COMPUTED_VALUE"""),910.0)</f>
        <v>910</v>
      </c>
      <c r="E853" s="5">
        <f>IFERROR(__xludf.DUMMYFUNCTION("""COMPUTED_VALUE"""),935.0)</f>
        <v>935</v>
      </c>
      <c r="F853" s="5">
        <f>IFERROR(__xludf.DUMMYFUNCTION("""COMPUTED_VALUE"""),1.49479E7)</f>
        <v>14947900</v>
      </c>
      <c r="G853" s="5">
        <f t="shared" si="1"/>
        <v>25</v>
      </c>
    </row>
    <row r="854">
      <c r="A854" s="4">
        <f>IFERROR(__xludf.DUMMYFUNCTION("""COMPUTED_VALUE"""),45113.66666666667)</f>
        <v>45113.66667</v>
      </c>
      <c r="B854" s="5">
        <f>IFERROR(__xludf.DUMMYFUNCTION("""COMPUTED_VALUE"""),940.0)</f>
        <v>940</v>
      </c>
      <c r="C854" s="5">
        <f>IFERROR(__xludf.DUMMYFUNCTION("""COMPUTED_VALUE"""),950.0)</f>
        <v>950</v>
      </c>
      <c r="D854" s="5">
        <f>IFERROR(__xludf.DUMMYFUNCTION("""COMPUTED_VALUE"""),935.0)</f>
        <v>935</v>
      </c>
      <c r="E854" s="5">
        <f>IFERROR(__xludf.DUMMYFUNCTION("""COMPUTED_VALUE"""),940.0)</f>
        <v>940</v>
      </c>
      <c r="F854" s="5">
        <f>IFERROR(__xludf.DUMMYFUNCTION("""COMPUTED_VALUE"""),8793200.0)</f>
        <v>8793200</v>
      </c>
      <c r="G854" s="5">
        <f t="shared" si="1"/>
        <v>15</v>
      </c>
    </row>
    <row r="855">
      <c r="A855" s="4">
        <f>IFERROR(__xludf.DUMMYFUNCTION("""COMPUTED_VALUE"""),45114.66666666667)</f>
        <v>45114.66667</v>
      </c>
      <c r="B855" s="5">
        <f>IFERROR(__xludf.DUMMYFUNCTION("""COMPUTED_VALUE"""),945.0)</f>
        <v>945</v>
      </c>
      <c r="C855" s="5">
        <f>IFERROR(__xludf.DUMMYFUNCTION("""COMPUTED_VALUE"""),960.0)</f>
        <v>960</v>
      </c>
      <c r="D855" s="5">
        <f>IFERROR(__xludf.DUMMYFUNCTION("""COMPUTED_VALUE"""),935.0)</f>
        <v>935</v>
      </c>
      <c r="E855" s="5">
        <f>IFERROR(__xludf.DUMMYFUNCTION("""COMPUTED_VALUE"""),950.0)</f>
        <v>950</v>
      </c>
      <c r="F855" s="5">
        <f>IFERROR(__xludf.DUMMYFUNCTION("""COMPUTED_VALUE"""),1.25068E7)</f>
        <v>12506800</v>
      </c>
      <c r="G855" s="5">
        <f t="shared" si="1"/>
        <v>25</v>
      </c>
    </row>
    <row r="856">
      <c r="A856" s="4">
        <f>IFERROR(__xludf.DUMMYFUNCTION("""COMPUTED_VALUE"""),45117.66666666667)</f>
        <v>45117.66667</v>
      </c>
      <c r="B856" s="5">
        <f>IFERROR(__xludf.DUMMYFUNCTION("""COMPUTED_VALUE"""),955.0)</f>
        <v>955</v>
      </c>
      <c r="C856" s="5">
        <f>IFERROR(__xludf.DUMMYFUNCTION("""COMPUTED_VALUE"""),965.0)</f>
        <v>965</v>
      </c>
      <c r="D856" s="5">
        <f>IFERROR(__xludf.DUMMYFUNCTION("""COMPUTED_VALUE"""),950.0)</f>
        <v>950</v>
      </c>
      <c r="E856" s="5">
        <f>IFERROR(__xludf.DUMMYFUNCTION("""COMPUTED_VALUE"""),955.0)</f>
        <v>955</v>
      </c>
      <c r="F856" s="5">
        <f>IFERROR(__xludf.DUMMYFUNCTION("""COMPUTED_VALUE"""),5334500.0)</f>
        <v>5334500</v>
      </c>
      <c r="G856" s="5">
        <f t="shared" si="1"/>
        <v>15</v>
      </c>
    </row>
    <row r="857">
      <c r="A857" s="4">
        <f>IFERROR(__xludf.DUMMYFUNCTION("""COMPUTED_VALUE"""),45118.66666666667)</f>
        <v>45118.66667</v>
      </c>
      <c r="B857" s="5">
        <f>IFERROR(__xludf.DUMMYFUNCTION("""COMPUTED_VALUE"""),960.0)</f>
        <v>960</v>
      </c>
      <c r="C857" s="5">
        <f>IFERROR(__xludf.DUMMYFUNCTION("""COMPUTED_VALUE"""),960.0)</f>
        <v>960</v>
      </c>
      <c r="D857" s="5">
        <f>IFERROR(__xludf.DUMMYFUNCTION("""COMPUTED_VALUE"""),945.0)</f>
        <v>945</v>
      </c>
      <c r="E857" s="5">
        <f>IFERROR(__xludf.DUMMYFUNCTION("""COMPUTED_VALUE"""),950.0)</f>
        <v>950</v>
      </c>
      <c r="F857" s="5">
        <f>IFERROR(__xludf.DUMMYFUNCTION("""COMPUTED_VALUE"""),4060200.0)</f>
        <v>4060200</v>
      </c>
      <c r="G857" s="5">
        <f t="shared" si="1"/>
        <v>15</v>
      </c>
    </row>
    <row r="858">
      <c r="A858" s="4">
        <f>IFERROR(__xludf.DUMMYFUNCTION("""COMPUTED_VALUE"""),45119.66666666667)</f>
        <v>45119.66667</v>
      </c>
      <c r="B858" s="5">
        <f>IFERROR(__xludf.DUMMYFUNCTION("""COMPUTED_VALUE"""),950.0)</f>
        <v>950</v>
      </c>
      <c r="C858" s="5">
        <f>IFERROR(__xludf.DUMMYFUNCTION("""COMPUTED_VALUE"""),960.0)</f>
        <v>960</v>
      </c>
      <c r="D858" s="5">
        <f>IFERROR(__xludf.DUMMYFUNCTION("""COMPUTED_VALUE"""),945.0)</f>
        <v>945</v>
      </c>
      <c r="E858" s="5">
        <f>IFERROR(__xludf.DUMMYFUNCTION("""COMPUTED_VALUE"""),945.0)</f>
        <v>945</v>
      </c>
      <c r="F858" s="5">
        <f>IFERROR(__xludf.DUMMYFUNCTION("""COMPUTED_VALUE"""),5790600.0)</f>
        <v>5790600</v>
      </c>
      <c r="G858" s="5">
        <f t="shared" si="1"/>
        <v>15</v>
      </c>
    </row>
    <row r="859">
      <c r="A859" s="4">
        <f>IFERROR(__xludf.DUMMYFUNCTION("""COMPUTED_VALUE"""),45120.66666666667)</f>
        <v>45120.66667</v>
      </c>
      <c r="B859" s="5">
        <f>IFERROR(__xludf.DUMMYFUNCTION("""COMPUTED_VALUE"""),955.0)</f>
        <v>955</v>
      </c>
      <c r="C859" s="5">
        <f>IFERROR(__xludf.DUMMYFUNCTION("""COMPUTED_VALUE"""),960.0)</f>
        <v>960</v>
      </c>
      <c r="D859" s="5">
        <f>IFERROR(__xludf.DUMMYFUNCTION("""COMPUTED_VALUE"""),945.0)</f>
        <v>945</v>
      </c>
      <c r="E859" s="5">
        <f>IFERROR(__xludf.DUMMYFUNCTION("""COMPUTED_VALUE"""),955.0)</f>
        <v>955</v>
      </c>
      <c r="F859" s="5">
        <f>IFERROR(__xludf.DUMMYFUNCTION("""COMPUTED_VALUE"""),4438700.0)</f>
        <v>4438700</v>
      </c>
      <c r="G859" s="5">
        <f t="shared" si="1"/>
        <v>15</v>
      </c>
    </row>
    <row r="860">
      <c r="A860" s="4">
        <f>IFERROR(__xludf.DUMMYFUNCTION("""COMPUTED_VALUE"""),45121.66666666667)</f>
        <v>45121.66667</v>
      </c>
      <c r="B860" s="5">
        <f>IFERROR(__xludf.DUMMYFUNCTION("""COMPUTED_VALUE"""),960.0)</f>
        <v>960</v>
      </c>
      <c r="C860" s="5">
        <f>IFERROR(__xludf.DUMMYFUNCTION("""COMPUTED_VALUE"""),1015.0)</f>
        <v>1015</v>
      </c>
      <c r="D860" s="5">
        <f>IFERROR(__xludf.DUMMYFUNCTION("""COMPUTED_VALUE"""),960.0)</f>
        <v>960</v>
      </c>
      <c r="E860" s="5">
        <f>IFERROR(__xludf.DUMMYFUNCTION("""COMPUTED_VALUE"""),1010.0)</f>
        <v>1010</v>
      </c>
      <c r="F860" s="5">
        <f>IFERROR(__xludf.DUMMYFUNCTION("""COMPUTED_VALUE"""),3.87172E7)</f>
        <v>38717200</v>
      </c>
      <c r="G860" s="5">
        <f t="shared" si="1"/>
        <v>60</v>
      </c>
    </row>
    <row r="861">
      <c r="A861" s="4">
        <f>IFERROR(__xludf.DUMMYFUNCTION("""COMPUTED_VALUE"""),45124.66666666667)</f>
        <v>45124.66667</v>
      </c>
      <c r="B861" s="5">
        <f>IFERROR(__xludf.DUMMYFUNCTION("""COMPUTED_VALUE"""),1015.0)</f>
        <v>1015</v>
      </c>
      <c r="C861" s="5">
        <f>IFERROR(__xludf.DUMMYFUNCTION("""COMPUTED_VALUE"""),1020.0)</f>
        <v>1020</v>
      </c>
      <c r="D861" s="5">
        <f>IFERROR(__xludf.DUMMYFUNCTION("""COMPUTED_VALUE"""),990.0)</f>
        <v>990</v>
      </c>
      <c r="E861" s="5">
        <f>IFERROR(__xludf.DUMMYFUNCTION("""COMPUTED_VALUE"""),990.0)</f>
        <v>990</v>
      </c>
      <c r="F861" s="5">
        <f>IFERROR(__xludf.DUMMYFUNCTION("""COMPUTED_VALUE"""),2.36451E7)</f>
        <v>23645100</v>
      </c>
      <c r="G861" s="5">
        <f t="shared" si="1"/>
        <v>30</v>
      </c>
    </row>
    <row r="862">
      <c r="A862" s="4">
        <f>IFERROR(__xludf.DUMMYFUNCTION("""COMPUTED_VALUE"""),45125.66666666667)</f>
        <v>45125.66667</v>
      </c>
      <c r="B862" s="5">
        <f>IFERROR(__xludf.DUMMYFUNCTION("""COMPUTED_VALUE"""),990.0)</f>
        <v>990</v>
      </c>
      <c r="C862" s="5">
        <f>IFERROR(__xludf.DUMMYFUNCTION("""COMPUTED_VALUE"""),1005.0)</f>
        <v>1005</v>
      </c>
      <c r="D862" s="5">
        <f>IFERROR(__xludf.DUMMYFUNCTION("""COMPUTED_VALUE"""),980.0)</f>
        <v>980</v>
      </c>
      <c r="E862" s="5">
        <f>IFERROR(__xludf.DUMMYFUNCTION("""COMPUTED_VALUE"""),990.0)</f>
        <v>990</v>
      </c>
      <c r="F862" s="5">
        <f>IFERROR(__xludf.DUMMYFUNCTION("""COMPUTED_VALUE"""),1.2884E7)</f>
        <v>12884000</v>
      </c>
      <c r="G862" s="5">
        <f t="shared" si="1"/>
        <v>25</v>
      </c>
    </row>
    <row r="863">
      <c r="A863" s="4">
        <f>IFERROR(__xludf.DUMMYFUNCTION("""COMPUTED_VALUE"""),45127.66666666667)</f>
        <v>45127.66667</v>
      </c>
      <c r="B863" s="5">
        <f>IFERROR(__xludf.DUMMYFUNCTION("""COMPUTED_VALUE"""),990.0)</f>
        <v>990</v>
      </c>
      <c r="C863" s="5">
        <f>IFERROR(__xludf.DUMMYFUNCTION("""COMPUTED_VALUE"""),995.0)</f>
        <v>995</v>
      </c>
      <c r="D863" s="5">
        <f>IFERROR(__xludf.DUMMYFUNCTION("""COMPUTED_VALUE"""),980.0)</f>
        <v>980</v>
      </c>
      <c r="E863" s="5">
        <f>IFERROR(__xludf.DUMMYFUNCTION("""COMPUTED_VALUE"""),995.0)</f>
        <v>995</v>
      </c>
      <c r="F863" s="5">
        <f>IFERROR(__xludf.DUMMYFUNCTION("""COMPUTED_VALUE"""),9306700.0)</f>
        <v>9306700</v>
      </c>
      <c r="G863" s="5">
        <f t="shared" si="1"/>
        <v>15</v>
      </c>
    </row>
    <row r="864">
      <c r="A864" s="4">
        <f>IFERROR(__xludf.DUMMYFUNCTION("""COMPUTED_VALUE"""),45128.66666666667)</f>
        <v>45128.66667</v>
      </c>
      <c r="B864" s="5">
        <f>IFERROR(__xludf.DUMMYFUNCTION("""COMPUTED_VALUE"""),1000.0)</f>
        <v>1000</v>
      </c>
      <c r="C864" s="5">
        <f>IFERROR(__xludf.DUMMYFUNCTION("""COMPUTED_VALUE"""),1000.0)</f>
        <v>1000</v>
      </c>
      <c r="D864" s="5">
        <f>IFERROR(__xludf.DUMMYFUNCTION("""COMPUTED_VALUE"""),975.0)</f>
        <v>975</v>
      </c>
      <c r="E864" s="5">
        <f>IFERROR(__xludf.DUMMYFUNCTION("""COMPUTED_VALUE"""),975.0)</f>
        <v>975</v>
      </c>
      <c r="F864" s="5">
        <f>IFERROR(__xludf.DUMMYFUNCTION("""COMPUTED_VALUE"""),1.62987E7)</f>
        <v>16298700</v>
      </c>
      <c r="G864" s="5">
        <f t="shared" si="1"/>
        <v>25</v>
      </c>
    </row>
    <row r="865">
      <c r="A865" s="4">
        <f>IFERROR(__xludf.DUMMYFUNCTION("""COMPUTED_VALUE"""),45131.66666666667)</f>
        <v>45131.66667</v>
      </c>
      <c r="B865" s="5">
        <f>IFERROR(__xludf.DUMMYFUNCTION("""COMPUTED_VALUE"""),975.0)</f>
        <v>975</v>
      </c>
      <c r="C865" s="5">
        <f>IFERROR(__xludf.DUMMYFUNCTION("""COMPUTED_VALUE"""),985.0)</f>
        <v>985</v>
      </c>
      <c r="D865" s="5">
        <f>IFERROR(__xludf.DUMMYFUNCTION("""COMPUTED_VALUE"""),940.0)</f>
        <v>940</v>
      </c>
      <c r="E865" s="5">
        <f>IFERROR(__xludf.DUMMYFUNCTION("""COMPUTED_VALUE"""),945.0)</f>
        <v>945</v>
      </c>
      <c r="F865" s="5">
        <f>IFERROR(__xludf.DUMMYFUNCTION("""COMPUTED_VALUE"""),3.83541E7)</f>
        <v>38354100</v>
      </c>
      <c r="G865" s="5">
        <f t="shared" si="1"/>
        <v>45</v>
      </c>
    </row>
    <row r="866">
      <c r="A866" s="4">
        <f>IFERROR(__xludf.DUMMYFUNCTION("""COMPUTED_VALUE"""),45132.66666666667)</f>
        <v>45132.66667</v>
      </c>
      <c r="B866" s="5">
        <f>IFERROR(__xludf.DUMMYFUNCTION("""COMPUTED_VALUE"""),950.0)</f>
        <v>950</v>
      </c>
      <c r="C866" s="5">
        <f>IFERROR(__xludf.DUMMYFUNCTION("""COMPUTED_VALUE"""),955.0)</f>
        <v>955</v>
      </c>
      <c r="D866" s="5">
        <f>IFERROR(__xludf.DUMMYFUNCTION("""COMPUTED_VALUE"""),925.0)</f>
        <v>925</v>
      </c>
      <c r="E866" s="5">
        <f>IFERROR(__xludf.DUMMYFUNCTION("""COMPUTED_VALUE"""),925.0)</f>
        <v>925</v>
      </c>
      <c r="F866" s="5">
        <f>IFERROR(__xludf.DUMMYFUNCTION("""COMPUTED_VALUE"""),2.28113E7)</f>
        <v>22811300</v>
      </c>
      <c r="G866" s="5">
        <f t="shared" si="1"/>
        <v>30</v>
      </c>
    </row>
    <row r="867">
      <c r="A867" s="4">
        <f>IFERROR(__xludf.DUMMYFUNCTION("""COMPUTED_VALUE"""),45133.66666666667)</f>
        <v>45133.66667</v>
      </c>
      <c r="B867" s="5">
        <f>IFERROR(__xludf.DUMMYFUNCTION("""COMPUTED_VALUE"""),925.0)</f>
        <v>925</v>
      </c>
      <c r="C867" s="5">
        <f>IFERROR(__xludf.DUMMYFUNCTION("""COMPUTED_VALUE"""),950.0)</f>
        <v>950</v>
      </c>
      <c r="D867" s="5">
        <f>IFERROR(__xludf.DUMMYFUNCTION("""COMPUTED_VALUE"""),920.0)</f>
        <v>920</v>
      </c>
      <c r="E867" s="5">
        <f>IFERROR(__xludf.DUMMYFUNCTION("""COMPUTED_VALUE"""),935.0)</f>
        <v>935</v>
      </c>
      <c r="F867" s="5">
        <f>IFERROR(__xludf.DUMMYFUNCTION("""COMPUTED_VALUE"""),2.31804E7)</f>
        <v>23180400</v>
      </c>
      <c r="G867" s="5">
        <f t="shared" si="1"/>
        <v>30</v>
      </c>
    </row>
    <row r="868">
      <c r="A868" s="4">
        <f>IFERROR(__xludf.DUMMYFUNCTION("""COMPUTED_VALUE"""),45134.66666666667)</f>
        <v>45134.66667</v>
      </c>
      <c r="B868" s="5">
        <f>IFERROR(__xludf.DUMMYFUNCTION("""COMPUTED_VALUE"""),935.0)</f>
        <v>935</v>
      </c>
      <c r="C868" s="5">
        <f>IFERROR(__xludf.DUMMYFUNCTION("""COMPUTED_VALUE"""),955.0)</f>
        <v>955</v>
      </c>
      <c r="D868" s="5">
        <f>IFERROR(__xludf.DUMMYFUNCTION("""COMPUTED_VALUE"""),935.0)</f>
        <v>935</v>
      </c>
      <c r="E868" s="5">
        <f>IFERROR(__xludf.DUMMYFUNCTION("""COMPUTED_VALUE"""),950.0)</f>
        <v>950</v>
      </c>
      <c r="F868" s="5">
        <f>IFERROR(__xludf.DUMMYFUNCTION("""COMPUTED_VALUE"""),1.51183E7)</f>
        <v>15118300</v>
      </c>
      <c r="G868" s="5">
        <f t="shared" si="1"/>
        <v>20</v>
      </c>
    </row>
    <row r="869">
      <c r="A869" s="4">
        <f>IFERROR(__xludf.DUMMYFUNCTION("""COMPUTED_VALUE"""),45135.66666666667)</f>
        <v>45135.66667</v>
      </c>
      <c r="B869" s="5">
        <f>IFERROR(__xludf.DUMMYFUNCTION("""COMPUTED_VALUE"""),950.0)</f>
        <v>950</v>
      </c>
      <c r="C869" s="5">
        <f>IFERROR(__xludf.DUMMYFUNCTION("""COMPUTED_VALUE"""),950.0)</f>
        <v>950</v>
      </c>
      <c r="D869" s="5">
        <f>IFERROR(__xludf.DUMMYFUNCTION("""COMPUTED_VALUE"""),930.0)</f>
        <v>930</v>
      </c>
      <c r="E869" s="5">
        <f>IFERROR(__xludf.DUMMYFUNCTION("""COMPUTED_VALUE"""),945.0)</f>
        <v>945</v>
      </c>
      <c r="F869" s="5">
        <f>IFERROR(__xludf.DUMMYFUNCTION("""COMPUTED_VALUE"""),1.03038E7)</f>
        <v>10303800</v>
      </c>
      <c r="G869" s="5">
        <f t="shared" si="1"/>
        <v>20</v>
      </c>
    </row>
    <row r="870">
      <c r="A870" s="4">
        <f>IFERROR(__xludf.DUMMYFUNCTION("""COMPUTED_VALUE"""),45138.66666666667)</f>
        <v>45138.66667</v>
      </c>
      <c r="B870" s="5">
        <f>IFERROR(__xludf.DUMMYFUNCTION("""COMPUTED_VALUE"""),945.0)</f>
        <v>945</v>
      </c>
      <c r="C870" s="5">
        <f>IFERROR(__xludf.DUMMYFUNCTION("""COMPUTED_VALUE"""),950.0)</f>
        <v>950</v>
      </c>
      <c r="D870" s="5">
        <f>IFERROR(__xludf.DUMMYFUNCTION("""COMPUTED_VALUE"""),930.0)</f>
        <v>930</v>
      </c>
      <c r="E870" s="5">
        <f>IFERROR(__xludf.DUMMYFUNCTION("""COMPUTED_VALUE"""),940.0)</f>
        <v>940</v>
      </c>
      <c r="F870" s="5">
        <f>IFERROR(__xludf.DUMMYFUNCTION("""COMPUTED_VALUE"""),1.25233E7)</f>
        <v>12523300</v>
      </c>
      <c r="G870" s="5">
        <f t="shared" si="1"/>
        <v>20</v>
      </c>
    </row>
    <row r="871">
      <c r="A871" s="4">
        <f>IFERROR(__xludf.DUMMYFUNCTION("""COMPUTED_VALUE"""),45139.66666666667)</f>
        <v>45139.66667</v>
      </c>
      <c r="B871" s="5">
        <f>IFERROR(__xludf.DUMMYFUNCTION("""COMPUTED_VALUE"""),940.0)</f>
        <v>940</v>
      </c>
      <c r="C871" s="5">
        <f>IFERROR(__xludf.DUMMYFUNCTION("""COMPUTED_VALUE"""),945.0)</f>
        <v>945</v>
      </c>
      <c r="D871" s="5">
        <f>IFERROR(__xludf.DUMMYFUNCTION("""COMPUTED_VALUE"""),920.0)</f>
        <v>920</v>
      </c>
      <c r="E871" s="5">
        <f>IFERROR(__xludf.DUMMYFUNCTION("""COMPUTED_VALUE"""),925.0)</f>
        <v>925</v>
      </c>
      <c r="F871" s="5">
        <f>IFERROR(__xludf.DUMMYFUNCTION("""COMPUTED_VALUE"""),1.07776E7)</f>
        <v>10777600</v>
      </c>
      <c r="G871" s="5">
        <f t="shared" si="1"/>
        <v>25</v>
      </c>
    </row>
    <row r="872">
      <c r="A872" s="4">
        <f>IFERROR(__xludf.DUMMYFUNCTION("""COMPUTED_VALUE"""),45140.66666666667)</f>
        <v>45140.66667</v>
      </c>
      <c r="B872" s="5">
        <f>IFERROR(__xludf.DUMMYFUNCTION("""COMPUTED_VALUE"""),925.0)</f>
        <v>925</v>
      </c>
      <c r="C872" s="5">
        <f>IFERROR(__xludf.DUMMYFUNCTION("""COMPUTED_VALUE"""),935.0)</f>
        <v>935</v>
      </c>
      <c r="D872" s="5">
        <f>IFERROR(__xludf.DUMMYFUNCTION("""COMPUTED_VALUE"""),905.0)</f>
        <v>905</v>
      </c>
      <c r="E872" s="5">
        <f>IFERROR(__xludf.DUMMYFUNCTION("""COMPUTED_VALUE"""),915.0)</f>
        <v>915</v>
      </c>
      <c r="F872" s="5">
        <f>IFERROR(__xludf.DUMMYFUNCTION("""COMPUTED_VALUE"""),9442900.0)</f>
        <v>9442900</v>
      </c>
      <c r="G872" s="5">
        <f t="shared" si="1"/>
        <v>30</v>
      </c>
    </row>
    <row r="873">
      <c r="A873" s="4">
        <f>IFERROR(__xludf.DUMMYFUNCTION("""COMPUTED_VALUE"""),45141.66666666667)</f>
        <v>45141.66667</v>
      </c>
      <c r="B873" s="5">
        <f>IFERROR(__xludf.DUMMYFUNCTION("""COMPUTED_VALUE"""),910.0)</f>
        <v>910</v>
      </c>
      <c r="C873" s="5">
        <f>IFERROR(__xludf.DUMMYFUNCTION("""COMPUTED_VALUE"""),930.0)</f>
        <v>930</v>
      </c>
      <c r="D873" s="5">
        <f>IFERROR(__xludf.DUMMYFUNCTION("""COMPUTED_VALUE"""),910.0)</f>
        <v>910</v>
      </c>
      <c r="E873" s="5">
        <f>IFERROR(__xludf.DUMMYFUNCTION("""COMPUTED_VALUE"""),915.0)</f>
        <v>915</v>
      </c>
      <c r="F873" s="5">
        <f>IFERROR(__xludf.DUMMYFUNCTION("""COMPUTED_VALUE"""),5925400.0)</f>
        <v>5925400</v>
      </c>
      <c r="G873" s="5">
        <f t="shared" si="1"/>
        <v>20</v>
      </c>
    </row>
    <row r="874">
      <c r="A874" s="4">
        <f>IFERROR(__xludf.DUMMYFUNCTION("""COMPUTED_VALUE"""),45142.66666666667)</f>
        <v>45142.66667</v>
      </c>
      <c r="B874" s="5">
        <f>IFERROR(__xludf.DUMMYFUNCTION("""COMPUTED_VALUE"""),920.0)</f>
        <v>920</v>
      </c>
      <c r="C874" s="5">
        <f>IFERROR(__xludf.DUMMYFUNCTION("""COMPUTED_VALUE"""),930.0)</f>
        <v>930</v>
      </c>
      <c r="D874" s="5">
        <f>IFERROR(__xludf.DUMMYFUNCTION("""COMPUTED_VALUE"""),920.0)</f>
        <v>920</v>
      </c>
      <c r="E874" s="5">
        <f>IFERROR(__xludf.DUMMYFUNCTION("""COMPUTED_VALUE"""),920.0)</f>
        <v>920</v>
      </c>
      <c r="F874" s="5">
        <f>IFERROR(__xludf.DUMMYFUNCTION("""COMPUTED_VALUE"""),2707700.0)</f>
        <v>2707700</v>
      </c>
      <c r="G874" s="5">
        <f t="shared" si="1"/>
        <v>15</v>
      </c>
    </row>
    <row r="875">
      <c r="A875" s="4">
        <f>IFERROR(__xludf.DUMMYFUNCTION("""COMPUTED_VALUE"""),45145.66666666667)</f>
        <v>45145.66667</v>
      </c>
      <c r="B875" s="5">
        <f>IFERROR(__xludf.DUMMYFUNCTION("""COMPUTED_VALUE"""),920.0)</f>
        <v>920</v>
      </c>
      <c r="C875" s="5">
        <f>IFERROR(__xludf.DUMMYFUNCTION("""COMPUTED_VALUE"""),935.0)</f>
        <v>935</v>
      </c>
      <c r="D875" s="5">
        <f>IFERROR(__xludf.DUMMYFUNCTION("""COMPUTED_VALUE"""),920.0)</f>
        <v>920</v>
      </c>
      <c r="E875" s="5">
        <f>IFERROR(__xludf.DUMMYFUNCTION("""COMPUTED_VALUE"""),925.0)</f>
        <v>925</v>
      </c>
      <c r="F875" s="5">
        <f>IFERROR(__xludf.DUMMYFUNCTION("""COMPUTED_VALUE"""),7742200.0)</f>
        <v>7742200</v>
      </c>
      <c r="G875" s="5">
        <f t="shared" si="1"/>
        <v>15</v>
      </c>
    </row>
    <row r="876">
      <c r="A876" s="4">
        <f>IFERROR(__xludf.DUMMYFUNCTION("""COMPUTED_VALUE"""),45146.66666666667)</f>
        <v>45146.66667</v>
      </c>
      <c r="B876" s="5">
        <f>IFERROR(__xludf.DUMMYFUNCTION("""COMPUTED_VALUE"""),925.0)</f>
        <v>925</v>
      </c>
      <c r="C876" s="5">
        <f>IFERROR(__xludf.DUMMYFUNCTION("""COMPUTED_VALUE"""),935.0)</f>
        <v>935</v>
      </c>
      <c r="D876" s="5">
        <f>IFERROR(__xludf.DUMMYFUNCTION("""COMPUTED_VALUE"""),915.0)</f>
        <v>915</v>
      </c>
      <c r="E876" s="5">
        <f>IFERROR(__xludf.DUMMYFUNCTION("""COMPUTED_VALUE"""),915.0)</f>
        <v>915</v>
      </c>
      <c r="F876" s="5">
        <f>IFERROR(__xludf.DUMMYFUNCTION("""COMPUTED_VALUE"""),7055600.0)</f>
        <v>7055600</v>
      </c>
      <c r="G876" s="5">
        <f t="shared" si="1"/>
        <v>20</v>
      </c>
    </row>
    <row r="877">
      <c r="A877" s="4">
        <f>IFERROR(__xludf.DUMMYFUNCTION("""COMPUTED_VALUE"""),45147.66666666667)</f>
        <v>45147.66667</v>
      </c>
      <c r="B877" s="5">
        <f>IFERROR(__xludf.DUMMYFUNCTION("""COMPUTED_VALUE"""),915.0)</f>
        <v>915</v>
      </c>
      <c r="C877" s="5">
        <f>IFERROR(__xludf.DUMMYFUNCTION("""COMPUTED_VALUE"""),920.0)</f>
        <v>920</v>
      </c>
      <c r="D877" s="5">
        <f>IFERROR(__xludf.DUMMYFUNCTION("""COMPUTED_VALUE"""),900.0)</f>
        <v>900</v>
      </c>
      <c r="E877" s="5">
        <f>IFERROR(__xludf.DUMMYFUNCTION("""COMPUTED_VALUE"""),905.0)</f>
        <v>905</v>
      </c>
      <c r="F877" s="5">
        <f>IFERROR(__xludf.DUMMYFUNCTION("""COMPUTED_VALUE"""),9975000.0)</f>
        <v>9975000</v>
      </c>
      <c r="G877" s="5">
        <f t="shared" si="1"/>
        <v>20</v>
      </c>
    </row>
    <row r="878">
      <c r="A878" s="4">
        <f>IFERROR(__xludf.DUMMYFUNCTION("""COMPUTED_VALUE"""),45148.66666666667)</f>
        <v>45148.66667</v>
      </c>
      <c r="B878" s="5">
        <f>IFERROR(__xludf.DUMMYFUNCTION("""COMPUTED_VALUE"""),905.0)</f>
        <v>905</v>
      </c>
      <c r="C878" s="5">
        <f>IFERROR(__xludf.DUMMYFUNCTION("""COMPUTED_VALUE"""),910.0)</f>
        <v>910</v>
      </c>
      <c r="D878" s="5">
        <f>IFERROR(__xludf.DUMMYFUNCTION("""COMPUTED_VALUE"""),900.0)</f>
        <v>900</v>
      </c>
      <c r="E878" s="5">
        <f>IFERROR(__xludf.DUMMYFUNCTION("""COMPUTED_VALUE"""),900.0)</f>
        <v>900</v>
      </c>
      <c r="F878" s="5">
        <f>IFERROR(__xludf.DUMMYFUNCTION("""COMPUTED_VALUE"""),8327600.0)</f>
        <v>8327600</v>
      </c>
      <c r="G878" s="5">
        <f t="shared" si="1"/>
        <v>10</v>
      </c>
    </row>
    <row r="879">
      <c r="A879" s="4">
        <f>IFERROR(__xludf.DUMMYFUNCTION("""COMPUTED_VALUE"""),45149.66666666667)</f>
        <v>45149.66667</v>
      </c>
      <c r="B879" s="5">
        <f>IFERROR(__xludf.DUMMYFUNCTION("""COMPUTED_VALUE"""),900.0)</f>
        <v>900</v>
      </c>
      <c r="C879" s="5">
        <f>IFERROR(__xludf.DUMMYFUNCTION("""COMPUTED_VALUE"""),910.0)</f>
        <v>910</v>
      </c>
      <c r="D879" s="5">
        <f>IFERROR(__xludf.DUMMYFUNCTION("""COMPUTED_VALUE"""),895.0)</f>
        <v>895</v>
      </c>
      <c r="E879" s="5">
        <f>IFERROR(__xludf.DUMMYFUNCTION("""COMPUTED_VALUE"""),905.0)</f>
        <v>905</v>
      </c>
      <c r="F879" s="5">
        <f>IFERROR(__xludf.DUMMYFUNCTION("""COMPUTED_VALUE"""),6277200.0)</f>
        <v>6277200</v>
      </c>
      <c r="G879" s="5">
        <f t="shared" si="1"/>
        <v>15</v>
      </c>
    </row>
    <row r="880">
      <c r="A880" s="4">
        <f>IFERROR(__xludf.DUMMYFUNCTION("""COMPUTED_VALUE"""),45152.66666666667)</f>
        <v>45152.66667</v>
      </c>
      <c r="B880" s="5">
        <f>IFERROR(__xludf.DUMMYFUNCTION("""COMPUTED_VALUE"""),905.0)</f>
        <v>905</v>
      </c>
      <c r="C880" s="5">
        <f>IFERROR(__xludf.DUMMYFUNCTION("""COMPUTED_VALUE"""),905.0)</f>
        <v>905</v>
      </c>
      <c r="D880" s="5">
        <f>IFERROR(__xludf.DUMMYFUNCTION("""COMPUTED_VALUE"""),890.0)</f>
        <v>890</v>
      </c>
      <c r="E880" s="5">
        <f>IFERROR(__xludf.DUMMYFUNCTION("""COMPUTED_VALUE"""),900.0)</f>
        <v>900</v>
      </c>
      <c r="F880" s="5">
        <f>IFERROR(__xludf.DUMMYFUNCTION("""COMPUTED_VALUE"""),7308400.0)</f>
        <v>7308400</v>
      </c>
      <c r="G880" s="5">
        <f t="shared" si="1"/>
        <v>15</v>
      </c>
    </row>
    <row r="881">
      <c r="A881" s="4">
        <f>IFERROR(__xludf.DUMMYFUNCTION("""COMPUTED_VALUE"""),45153.66666666667)</f>
        <v>45153.66667</v>
      </c>
      <c r="B881" s="5">
        <f>IFERROR(__xludf.DUMMYFUNCTION("""COMPUTED_VALUE"""),900.0)</f>
        <v>900</v>
      </c>
      <c r="C881" s="5">
        <f>IFERROR(__xludf.DUMMYFUNCTION("""COMPUTED_VALUE"""),920.0)</f>
        <v>920</v>
      </c>
      <c r="D881" s="5">
        <f>IFERROR(__xludf.DUMMYFUNCTION("""COMPUTED_VALUE"""),900.0)</f>
        <v>900</v>
      </c>
      <c r="E881" s="5">
        <f>IFERROR(__xludf.DUMMYFUNCTION("""COMPUTED_VALUE"""),915.0)</f>
        <v>915</v>
      </c>
      <c r="F881" s="5">
        <f>IFERROR(__xludf.DUMMYFUNCTION("""COMPUTED_VALUE"""),5583000.0)</f>
        <v>5583000</v>
      </c>
      <c r="G881" s="5">
        <f t="shared" si="1"/>
        <v>20</v>
      </c>
    </row>
    <row r="882">
      <c r="A882" s="4">
        <f>IFERROR(__xludf.DUMMYFUNCTION("""COMPUTED_VALUE"""),45154.66666666667)</f>
        <v>45154.66667</v>
      </c>
      <c r="B882" s="5">
        <f>IFERROR(__xludf.DUMMYFUNCTION("""COMPUTED_VALUE"""),915.0)</f>
        <v>915</v>
      </c>
      <c r="C882" s="5">
        <f>IFERROR(__xludf.DUMMYFUNCTION("""COMPUTED_VALUE"""),920.0)</f>
        <v>920</v>
      </c>
      <c r="D882" s="5">
        <f>IFERROR(__xludf.DUMMYFUNCTION("""COMPUTED_VALUE"""),905.0)</f>
        <v>905</v>
      </c>
      <c r="E882" s="5">
        <f>IFERROR(__xludf.DUMMYFUNCTION("""COMPUTED_VALUE"""),920.0)</f>
        <v>920</v>
      </c>
      <c r="F882" s="5">
        <f>IFERROR(__xludf.DUMMYFUNCTION("""COMPUTED_VALUE"""),3896700.0)</f>
        <v>3896700</v>
      </c>
      <c r="G882" s="5">
        <f t="shared" si="1"/>
        <v>15</v>
      </c>
    </row>
    <row r="883">
      <c r="A883" s="4">
        <f>IFERROR(__xludf.DUMMYFUNCTION("""COMPUTED_VALUE"""),45156.66666666667)</f>
        <v>45156.66667</v>
      </c>
      <c r="B883" s="5">
        <f>IFERROR(__xludf.DUMMYFUNCTION("""COMPUTED_VALUE"""),915.0)</f>
        <v>915</v>
      </c>
      <c r="C883" s="5">
        <f>IFERROR(__xludf.DUMMYFUNCTION("""COMPUTED_VALUE"""),920.0)</f>
        <v>920</v>
      </c>
      <c r="D883" s="5">
        <f>IFERROR(__xludf.DUMMYFUNCTION("""COMPUTED_VALUE"""),905.0)</f>
        <v>905</v>
      </c>
      <c r="E883" s="5">
        <f>IFERROR(__xludf.DUMMYFUNCTION("""COMPUTED_VALUE"""),910.0)</f>
        <v>910</v>
      </c>
      <c r="F883" s="5">
        <f>IFERROR(__xludf.DUMMYFUNCTION("""COMPUTED_VALUE"""),3419500.0)</f>
        <v>3419500</v>
      </c>
      <c r="G883" s="5">
        <f t="shared" si="1"/>
        <v>15</v>
      </c>
    </row>
    <row r="884">
      <c r="A884" s="4">
        <f>IFERROR(__xludf.DUMMYFUNCTION("""COMPUTED_VALUE"""),45159.66666666667)</f>
        <v>45159.66667</v>
      </c>
      <c r="B884" s="5">
        <f>IFERROR(__xludf.DUMMYFUNCTION("""COMPUTED_VALUE"""),910.0)</f>
        <v>910</v>
      </c>
      <c r="C884" s="5">
        <f>IFERROR(__xludf.DUMMYFUNCTION("""COMPUTED_VALUE"""),910.0)</f>
        <v>910</v>
      </c>
      <c r="D884" s="5">
        <f>IFERROR(__xludf.DUMMYFUNCTION("""COMPUTED_VALUE"""),900.0)</f>
        <v>900</v>
      </c>
      <c r="E884" s="5">
        <f>IFERROR(__xludf.DUMMYFUNCTION("""COMPUTED_VALUE"""),900.0)</f>
        <v>900</v>
      </c>
      <c r="F884" s="5">
        <f>IFERROR(__xludf.DUMMYFUNCTION("""COMPUTED_VALUE"""),4202500.0)</f>
        <v>4202500</v>
      </c>
      <c r="G884" s="5">
        <f t="shared" si="1"/>
        <v>10</v>
      </c>
    </row>
    <row r="885">
      <c r="A885" s="4">
        <f>IFERROR(__xludf.DUMMYFUNCTION("""COMPUTED_VALUE"""),45160.66666666667)</f>
        <v>45160.66667</v>
      </c>
      <c r="B885" s="5">
        <f>IFERROR(__xludf.DUMMYFUNCTION("""COMPUTED_VALUE"""),900.0)</f>
        <v>900</v>
      </c>
      <c r="C885" s="5">
        <f>IFERROR(__xludf.DUMMYFUNCTION("""COMPUTED_VALUE"""),910.0)</f>
        <v>910</v>
      </c>
      <c r="D885" s="5">
        <f>IFERROR(__xludf.DUMMYFUNCTION("""COMPUTED_VALUE"""),890.0)</f>
        <v>890</v>
      </c>
      <c r="E885" s="5">
        <f>IFERROR(__xludf.DUMMYFUNCTION("""COMPUTED_VALUE"""),900.0)</f>
        <v>900</v>
      </c>
      <c r="F885" s="5">
        <f>IFERROR(__xludf.DUMMYFUNCTION("""COMPUTED_VALUE"""),4170300.0)</f>
        <v>4170300</v>
      </c>
      <c r="G885" s="5">
        <f t="shared" si="1"/>
        <v>20</v>
      </c>
    </row>
    <row r="886">
      <c r="A886" s="4">
        <f>IFERROR(__xludf.DUMMYFUNCTION("""COMPUTED_VALUE"""),45161.66666666667)</f>
        <v>45161.66667</v>
      </c>
      <c r="B886" s="5">
        <f>IFERROR(__xludf.DUMMYFUNCTION("""COMPUTED_VALUE"""),900.0)</f>
        <v>900</v>
      </c>
      <c r="C886" s="5">
        <f>IFERROR(__xludf.DUMMYFUNCTION("""COMPUTED_VALUE"""),915.0)</f>
        <v>915</v>
      </c>
      <c r="D886" s="5">
        <f>IFERROR(__xludf.DUMMYFUNCTION("""COMPUTED_VALUE"""),900.0)</f>
        <v>900</v>
      </c>
      <c r="E886" s="5">
        <f>IFERROR(__xludf.DUMMYFUNCTION("""COMPUTED_VALUE"""),910.0)</f>
        <v>910</v>
      </c>
      <c r="F886" s="5">
        <f>IFERROR(__xludf.DUMMYFUNCTION("""COMPUTED_VALUE"""),5467000.0)</f>
        <v>5467000</v>
      </c>
      <c r="G886" s="5">
        <f t="shared" si="1"/>
        <v>15</v>
      </c>
    </row>
    <row r="887">
      <c r="A887" s="4">
        <f>IFERROR(__xludf.DUMMYFUNCTION("""COMPUTED_VALUE"""),45162.66666666667)</f>
        <v>45162.66667</v>
      </c>
      <c r="B887" s="5">
        <f>IFERROR(__xludf.DUMMYFUNCTION("""COMPUTED_VALUE"""),910.0)</f>
        <v>910</v>
      </c>
      <c r="C887" s="5">
        <f>IFERROR(__xludf.DUMMYFUNCTION("""COMPUTED_VALUE"""),920.0)</f>
        <v>920</v>
      </c>
      <c r="D887" s="5">
        <f>IFERROR(__xludf.DUMMYFUNCTION("""COMPUTED_VALUE"""),900.0)</f>
        <v>900</v>
      </c>
      <c r="E887" s="5">
        <f>IFERROR(__xludf.DUMMYFUNCTION("""COMPUTED_VALUE"""),920.0)</f>
        <v>920</v>
      </c>
      <c r="F887" s="5">
        <f>IFERROR(__xludf.DUMMYFUNCTION("""COMPUTED_VALUE"""),1.15631E7)</f>
        <v>11563100</v>
      </c>
      <c r="G887" s="5">
        <f t="shared" si="1"/>
        <v>20</v>
      </c>
    </row>
    <row r="888">
      <c r="A888" s="4">
        <f>IFERROR(__xludf.DUMMYFUNCTION("""COMPUTED_VALUE"""),45163.66666666667)</f>
        <v>45163.66667</v>
      </c>
      <c r="B888" s="5">
        <f>IFERROR(__xludf.DUMMYFUNCTION("""COMPUTED_VALUE"""),920.0)</f>
        <v>920</v>
      </c>
      <c r="C888" s="5">
        <f>IFERROR(__xludf.DUMMYFUNCTION("""COMPUTED_VALUE"""),920.0)</f>
        <v>920</v>
      </c>
      <c r="D888" s="5">
        <f>IFERROR(__xludf.DUMMYFUNCTION("""COMPUTED_VALUE"""),900.0)</f>
        <v>900</v>
      </c>
      <c r="E888" s="5">
        <f>IFERROR(__xludf.DUMMYFUNCTION("""COMPUTED_VALUE"""),915.0)</f>
        <v>915</v>
      </c>
      <c r="F888" s="5">
        <f>IFERROR(__xludf.DUMMYFUNCTION("""COMPUTED_VALUE"""),6879100.0)</f>
        <v>6879100</v>
      </c>
      <c r="G888" s="5">
        <f t="shared" si="1"/>
        <v>20</v>
      </c>
    </row>
    <row r="889">
      <c r="A889" s="4">
        <f>IFERROR(__xludf.DUMMYFUNCTION("""COMPUTED_VALUE"""),45166.66666666667)</f>
        <v>45166.66667</v>
      </c>
      <c r="B889" s="5">
        <f>IFERROR(__xludf.DUMMYFUNCTION("""COMPUTED_VALUE"""),915.0)</f>
        <v>915</v>
      </c>
      <c r="C889" s="5">
        <f>IFERROR(__xludf.DUMMYFUNCTION("""COMPUTED_VALUE"""),915.0)</f>
        <v>915</v>
      </c>
      <c r="D889" s="5">
        <f>IFERROR(__xludf.DUMMYFUNCTION("""COMPUTED_VALUE"""),900.0)</f>
        <v>900</v>
      </c>
      <c r="E889" s="5">
        <f>IFERROR(__xludf.DUMMYFUNCTION("""COMPUTED_VALUE"""),910.0)</f>
        <v>910</v>
      </c>
      <c r="F889" s="5">
        <f>IFERROR(__xludf.DUMMYFUNCTION("""COMPUTED_VALUE"""),4919800.0)</f>
        <v>4919800</v>
      </c>
      <c r="G889" s="5">
        <f t="shared" si="1"/>
        <v>15</v>
      </c>
    </row>
    <row r="890">
      <c r="A890" s="4">
        <f>IFERROR(__xludf.DUMMYFUNCTION("""COMPUTED_VALUE"""),45167.66666666667)</f>
        <v>45167.66667</v>
      </c>
      <c r="B890" s="5">
        <f>IFERROR(__xludf.DUMMYFUNCTION("""COMPUTED_VALUE"""),910.0)</f>
        <v>910</v>
      </c>
      <c r="C890" s="5">
        <f>IFERROR(__xludf.DUMMYFUNCTION("""COMPUTED_VALUE"""),910.0)</f>
        <v>910</v>
      </c>
      <c r="D890" s="5">
        <f>IFERROR(__xludf.DUMMYFUNCTION("""COMPUTED_VALUE"""),905.0)</f>
        <v>905</v>
      </c>
      <c r="E890" s="5">
        <f>IFERROR(__xludf.DUMMYFUNCTION("""COMPUTED_VALUE"""),905.0)</f>
        <v>905</v>
      </c>
      <c r="F890" s="5">
        <f>IFERROR(__xludf.DUMMYFUNCTION("""COMPUTED_VALUE"""),3249300.0)</f>
        <v>3249300</v>
      </c>
      <c r="G890" s="5">
        <f t="shared" si="1"/>
        <v>5</v>
      </c>
    </row>
    <row r="891">
      <c r="A891" s="4">
        <f>IFERROR(__xludf.DUMMYFUNCTION("""COMPUTED_VALUE"""),45168.66666666667)</f>
        <v>45168.66667</v>
      </c>
      <c r="B891" s="5">
        <f>IFERROR(__xludf.DUMMYFUNCTION("""COMPUTED_VALUE"""),910.0)</f>
        <v>910</v>
      </c>
      <c r="C891" s="5">
        <f>IFERROR(__xludf.DUMMYFUNCTION("""COMPUTED_VALUE"""),910.0)</f>
        <v>910</v>
      </c>
      <c r="D891" s="5">
        <f>IFERROR(__xludf.DUMMYFUNCTION("""COMPUTED_VALUE"""),900.0)</f>
        <v>900</v>
      </c>
      <c r="E891" s="5">
        <f>IFERROR(__xludf.DUMMYFUNCTION("""COMPUTED_VALUE"""),900.0)</f>
        <v>900</v>
      </c>
      <c r="F891" s="5">
        <f>IFERROR(__xludf.DUMMYFUNCTION("""COMPUTED_VALUE"""),4796700.0)</f>
        <v>4796700</v>
      </c>
      <c r="G891" s="5">
        <f t="shared" si="1"/>
        <v>10</v>
      </c>
    </row>
    <row r="892">
      <c r="A892" s="4">
        <f>IFERROR(__xludf.DUMMYFUNCTION("""COMPUTED_VALUE"""),45169.66666666667)</f>
        <v>45169.66667</v>
      </c>
      <c r="B892" s="5">
        <f>IFERROR(__xludf.DUMMYFUNCTION("""COMPUTED_VALUE"""),900.0)</f>
        <v>900</v>
      </c>
      <c r="C892" s="5">
        <f>IFERROR(__xludf.DUMMYFUNCTION("""COMPUTED_VALUE"""),920.0)</f>
        <v>920</v>
      </c>
      <c r="D892" s="5">
        <f>IFERROR(__xludf.DUMMYFUNCTION("""COMPUTED_VALUE"""),900.0)</f>
        <v>900</v>
      </c>
      <c r="E892" s="5">
        <f>IFERROR(__xludf.DUMMYFUNCTION("""COMPUTED_VALUE"""),910.0)</f>
        <v>910</v>
      </c>
      <c r="F892" s="5">
        <f>IFERROR(__xludf.DUMMYFUNCTION("""COMPUTED_VALUE"""),6809000.0)</f>
        <v>6809000</v>
      </c>
      <c r="G892" s="5">
        <f t="shared" si="1"/>
        <v>20</v>
      </c>
    </row>
    <row r="893">
      <c r="A893" s="4">
        <f>IFERROR(__xludf.DUMMYFUNCTION("""COMPUTED_VALUE"""),45170.66666666667)</f>
        <v>45170.66667</v>
      </c>
      <c r="B893" s="5">
        <f>IFERROR(__xludf.DUMMYFUNCTION("""COMPUTED_VALUE"""),910.0)</f>
        <v>910</v>
      </c>
      <c r="C893" s="5">
        <f>IFERROR(__xludf.DUMMYFUNCTION("""COMPUTED_VALUE"""),910.0)</f>
        <v>910</v>
      </c>
      <c r="D893" s="5">
        <f>IFERROR(__xludf.DUMMYFUNCTION("""COMPUTED_VALUE"""),880.0)</f>
        <v>880</v>
      </c>
      <c r="E893" s="5">
        <f>IFERROR(__xludf.DUMMYFUNCTION("""COMPUTED_VALUE"""),890.0)</f>
        <v>890</v>
      </c>
      <c r="F893" s="5">
        <f>IFERROR(__xludf.DUMMYFUNCTION("""COMPUTED_VALUE"""),1.93486E7)</f>
        <v>19348600</v>
      </c>
      <c r="G893" s="5">
        <f t="shared" si="1"/>
        <v>30</v>
      </c>
    </row>
    <row r="894">
      <c r="A894" s="4">
        <f>IFERROR(__xludf.DUMMYFUNCTION("""COMPUTED_VALUE"""),45173.66666666667)</f>
        <v>45173.66667</v>
      </c>
      <c r="B894" s="5">
        <f>IFERROR(__xludf.DUMMYFUNCTION("""COMPUTED_VALUE"""),890.0)</f>
        <v>890</v>
      </c>
      <c r="C894" s="5">
        <f>IFERROR(__xludf.DUMMYFUNCTION("""COMPUTED_VALUE"""),895.0)</f>
        <v>895</v>
      </c>
      <c r="D894" s="5">
        <f>IFERROR(__xludf.DUMMYFUNCTION("""COMPUTED_VALUE"""),870.0)</f>
        <v>870</v>
      </c>
      <c r="E894" s="5">
        <f>IFERROR(__xludf.DUMMYFUNCTION("""COMPUTED_VALUE"""),885.0)</f>
        <v>885</v>
      </c>
      <c r="F894" s="5">
        <f>IFERROR(__xludf.DUMMYFUNCTION("""COMPUTED_VALUE"""),8486000.0)</f>
        <v>8486000</v>
      </c>
      <c r="G894" s="5">
        <f t="shared" si="1"/>
        <v>25</v>
      </c>
    </row>
    <row r="895">
      <c r="A895" s="4">
        <f>IFERROR(__xludf.DUMMYFUNCTION("""COMPUTED_VALUE"""),45174.66666666667)</f>
        <v>45174.66667</v>
      </c>
      <c r="B895" s="5">
        <f>IFERROR(__xludf.DUMMYFUNCTION("""COMPUTED_VALUE"""),885.0)</f>
        <v>885</v>
      </c>
      <c r="C895" s="5">
        <f>IFERROR(__xludf.DUMMYFUNCTION("""COMPUTED_VALUE"""),890.0)</f>
        <v>890</v>
      </c>
      <c r="D895" s="5">
        <f>IFERROR(__xludf.DUMMYFUNCTION("""COMPUTED_VALUE"""),870.0)</f>
        <v>870</v>
      </c>
      <c r="E895" s="5">
        <f>IFERROR(__xludf.DUMMYFUNCTION("""COMPUTED_VALUE"""),875.0)</f>
        <v>875</v>
      </c>
      <c r="F895" s="5">
        <f>IFERROR(__xludf.DUMMYFUNCTION("""COMPUTED_VALUE"""),1.05701E7)</f>
        <v>10570100</v>
      </c>
      <c r="G895" s="5">
        <f t="shared" si="1"/>
        <v>20</v>
      </c>
    </row>
    <row r="896">
      <c r="A896" s="4">
        <f>IFERROR(__xludf.DUMMYFUNCTION("""COMPUTED_VALUE"""),45175.66666666667)</f>
        <v>45175.66667</v>
      </c>
      <c r="B896" s="5">
        <f>IFERROR(__xludf.DUMMYFUNCTION("""COMPUTED_VALUE"""),875.0)</f>
        <v>875</v>
      </c>
      <c r="C896" s="5">
        <f>IFERROR(__xludf.DUMMYFUNCTION("""COMPUTED_VALUE"""),885.0)</f>
        <v>885</v>
      </c>
      <c r="D896" s="5">
        <f>IFERROR(__xludf.DUMMYFUNCTION("""COMPUTED_VALUE"""),875.0)</f>
        <v>875</v>
      </c>
      <c r="E896" s="5">
        <f>IFERROR(__xludf.DUMMYFUNCTION("""COMPUTED_VALUE"""),875.0)</f>
        <v>875</v>
      </c>
      <c r="F896" s="5">
        <f>IFERROR(__xludf.DUMMYFUNCTION("""COMPUTED_VALUE"""),6365000.0)</f>
        <v>6365000</v>
      </c>
      <c r="G896" s="5">
        <f t="shared" si="1"/>
        <v>10</v>
      </c>
    </row>
    <row r="897">
      <c r="A897" s="4">
        <f>IFERROR(__xludf.DUMMYFUNCTION("""COMPUTED_VALUE"""),45176.66666666667)</f>
        <v>45176.66667</v>
      </c>
      <c r="B897" s="5">
        <f>IFERROR(__xludf.DUMMYFUNCTION("""COMPUTED_VALUE"""),880.0)</f>
        <v>880</v>
      </c>
      <c r="C897" s="5">
        <f>IFERROR(__xludf.DUMMYFUNCTION("""COMPUTED_VALUE"""),890.0)</f>
        <v>890</v>
      </c>
      <c r="D897" s="5">
        <f>IFERROR(__xludf.DUMMYFUNCTION("""COMPUTED_VALUE"""),875.0)</f>
        <v>875</v>
      </c>
      <c r="E897" s="5">
        <f>IFERROR(__xludf.DUMMYFUNCTION("""COMPUTED_VALUE"""),885.0)</f>
        <v>885</v>
      </c>
      <c r="F897" s="5">
        <f>IFERROR(__xludf.DUMMYFUNCTION("""COMPUTED_VALUE"""),4591600.0)</f>
        <v>4591600</v>
      </c>
      <c r="G897" s="5">
        <f t="shared" si="1"/>
        <v>15</v>
      </c>
    </row>
    <row r="898">
      <c r="A898" s="4">
        <f>IFERROR(__xludf.DUMMYFUNCTION("""COMPUTED_VALUE"""),45177.66666666667)</f>
        <v>45177.66667</v>
      </c>
      <c r="B898" s="5">
        <f>IFERROR(__xludf.DUMMYFUNCTION("""COMPUTED_VALUE"""),880.0)</f>
        <v>880</v>
      </c>
      <c r="C898" s="5">
        <f>IFERROR(__xludf.DUMMYFUNCTION("""COMPUTED_VALUE"""),885.0)</f>
        <v>885</v>
      </c>
      <c r="D898" s="5">
        <f>IFERROR(__xludf.DUMMYFUNCTION("""COMPUTED_VALUE"""),870.0)</f>
        <v>870</v>
      </c>
      <c r="E898" s="5">
        <f>IFERROR(__xludf.DUMMYFUNCTION("""COMPUTED_VALUE"""),885.0)</f>
        <v>885</v>
      </c>
      <c r="F898" s="5">
        <f>IFERROR(__xludf.DUMMYFUNCTION("""COMPUTED_VALUE"""),5626400.0)</f>
        <v>5626400</v>
      </c>
      <c r="G898" s="5">
        <f t="shared" si="1"/>
        <v>15</v>
      </c>
    </row>
    <row r="899">
      <c r="A899" s="4">
        <f>IFERROR(__xludf.DUMMYFUNCTION("""COMPUTED_VALUE"""),45180.66666666667)</f>
        <v>45180.66667</v>
      </c>
      <c r="B899" s="5">
        <f>IFERROR(__xludf.DUMMYFUNCTION("""COMPUTED_VALUE"""),885.0)</f>
        <v>885</v>
      </c>
      <c r="C899" s="5">
        <f>IFERROR(__xludf.DUMMYFUNCTION("""COMPUTED_VALUE"""),885.0)</f>
        <v>885</v>
      </c>
      <c r="D899" s="5">
        <f>IFERROR(__xludf.DUMMYFUNCTION("""COMPUTED_VALUE"""),870.0)</f>
        <v>870</v>
      </c>
      <c r="E899" s="5">
        <f>IFERROR(__xludf.DUMMYFUNCTION("""COMPUTED_VALUE"""),880.0)</f>
        <v>880</v>
      </c>
      <c r="F899" s="5">
        <f>IFERROR(__xludf.DUMMYFUNCTION("""COMPUTED_VALUE"""),5738800.0)</f>
        <v>5738800</v>
      </c>
      <c r="G899" s="5">
        <f t="shared" si="1"/>
        <v>15</v>
      </c>
    </row>
    <row r="900">
      <c r="A900" s="4">
        <f>IFERROR(__xludf.DUMMYFUNCTION("""COMPUTED_VALUE"""),45181.66666666667)</f>
        <v>45181.66667</v>
      </c>
      <c r="B900" s="5">
        <f>IFERROR(__xludf.DUMMYFUNCTION("""COMPUTED_VALUE"""),880.0)</f>
        <v>880</v>
      </c>
      <c r="C900" s="5">
        <f>IFERROR(__xludf.DUMMYFUNCTION("""COMPUTED_VALUE"""),880.0)</f>
        <v>880</v>
      </c>
      <c r="D900" s="5">
        <f>IFERROR(__xludf.DUMMYFUNCTION("""COMPUTED_VALUE"""),855.0)</f>
        <v>855</v>
      </c>
      <c r="E900" s="5">
        <f>IFERROR(__xludf.DUMMYFUNCTION("""COMPUTED_VALUE"""),860.0)</f>
        <v>860</v>
      </c>
      <c r="F900" s="5">
        <f>IFERROR(__xludf.DUMMYFUNCTION("""COMPUTED_VALUE"""),1.51989E7)</f>
        <v>15198900</v>
      </c>
      <c r="G900" s="5">
        <f t="shared" si="1"/>
        <v>25</v>
      </c>
    </row>
    <row r="901">
      <c r="A901" s="4">
        <f>IFERROR(__xludf.DUMMYFUNCTION("""COMPUTED_VALUE"""),45182.66666666667)</f>
        <v>45182.66667</v>
      </c>
      <c r="B901" s="5">
        <f>IFERROR(__xludf.DUMMYFUNCTION("""COMPUTED_VALUE"""),860.0)</f>
        <v>860</v>
      </c>
      <c r="C901" s="5">
        <f>IFERROR(__xludf.DUMMYFUNCTION("""COMPUTED_VALUE"""),865.0)</f>
        <v>865</v>
      </c>
      <c r="D901" s="5">
        <f>IFERROR(__xludf.DUMMYFUNCTION("""COMPUTED_VALUE"""),825.0)</f>
        <v>825</v>
      </c>
      <c r="E901" s="5">
        <f>IFERROR(__xludf.DUMMYFUNCTION("""COMPUTED_VALUE"""),835.0)</f>
        <v>835</v>
      </c>
      <c r="F901" s="5">
        <f>IFERROR(__xludf.DUMMYFUNCTION("""COMPUTED_VALUE"""),2.34376E7)</f>
        <v>23437600</v>
      </c>
      <c r="G901" s="5">
        <f t="shared" si="1"/>
        <v>40</v>
      </c>
    </row>
    <row r="902">
      <c r="A902" s="4">
        <f>IFERROR(__xludf.DUMMYFUNCTION("""COMPUTED_VALUE"""),45183.66666666667)</f>
        <v>45183.66667</v>
      </c>
      <c r="B902" s="5">
        <f>IFERROR(__xludf.DUMMYFUNCTION("""COMPUTED_VALUE"""),835.0)</f>
        <v>835</v>
      </c>
      <c r="C902" s="5">
        <f>IFERROR(__xludf.DUMMYFUNCTION("""COMPUTED_VALUE"""),840.0)</f>
        <v>840</v>
      </c>
      <c r="D902" s="5">
        <f>IFERROR(__xludf.DUMMYFUNCTION("""COMPUTED_VALUE"""),815.0)</f>
        <v>815</v>
      </c>
      <c r="E902" s="5">
        <f>IFERROR(__xludf.DUMMYFUNCTION("""COMPUTED_VALUE"""),815.0)</f>
        <v>815</v>
      </c>
      <c r="F902" s="5">
        <f>IFERROR(__xludf.DUMMYFUNCTION("""COMPUTED_VALUE"""),1.66582E7)</f>
        <v>16658200</v>
      </c>
      <c r="G902" s="5">
        <f t="shared" si="1"/>
        <v>25</v>
      </c>
    </row>
    <row r="903">
      <c r="A903" s="4">
        <f>IFERROR(__xludf.DUMMYFUNCTION("""COMPUTED_VALUE"""),45184.66666666667)</f>
        <v>45184.66667</v>
      </c>
      <c r="B903" s="5">
        <f>IFERROR(__xludf.DUMMYFUNCTION("""COMPUTED_VALUE"""),815.0)</f>
        <v>815</v>
      </c>
      <c r="C903" s="5">
        <f>IFERROR(__xludf.DUMMYFUNCTION("""COMPUTED_VALUE"""),835.0)</f>
        <v>835</v>
      </c>
      <c r="D903" s="5">
        <f>IFERROR(__xludf.DUMMYFUNCTION("""COMPUTED_VALUE"""),800.0)</f>
        <v>800</v>
      </c>
      <c r="E903" s="5">
        <f>IFERROR(__xludf.DUMMYFUNCTION("""COMPUTED_VALUE"""),800.0)</f>
        <v>800</v>
      </c>
      <c r="F903" s="5">
        <f>IFERROR(__xludf.DUMMYFUNCTION("""COMPUTED_VALUE"""),1.79881E7)</f>
        <v>17988100</v>
      </c>
      <c r="G903" s="5">
        <f t="shared" si="1"/>
        <v>35</v>
      </c>
    </row>
    <row r="904">
      <c r="A904" s="4">
        <f>IFERROR(__xludf.DUMMYFUNCTION("""COMPUTED_VALUE"""),45187.66666666667)</f>
        <v>45187.66667</v>
      </c>
      <c r="B904" s="5">
        <f>IFERROR(__xludf.DUMMYFUNCTION("""COMPUTED_VALUE"""),800.0)</f>
        <v>800</v>
      </c>
      <c r="C904" s="5">
        <f>IFERROR(__xludf.DUMMYFUNCTION("""COMPUTED_VALUE"""),810.0)</f>
        <v>810</v>
      </c>
      <c r="D904" s="5">
        <f>IFERROR(__xludf.DUMMYFUNCTION("""COMPUTED_VALUE"""),775.0)</f>
        <v>775</v>
      </c>
      <c r="E904" s="5">
        <f>IFERROR(__xludf.DUMMYFUNCTION("""COMPUTED_VALUE"""),780.0)</f>
        <v>780</v>
      </c>
      <c r="F904" s="5">
        <f>IFERROR(__xludf.DUMMYFUNCTION("""COMPUTED_VALUE"""),1.72852E7)</f>
        <v>17285200</v>
      </c>
      <c r="G904" s="5">
        <f t="shared" si="1"/>
        <v>35</v>
      </c>
    </row>
    <row r="905">
      <c r="A905" s="4">
        <f>IFERROR(__xludf.DUMMYFUNCTION("""COMPUTED_VALUE"""),45188.66666666667)</f>
        <v>45188.66667</v>
      </c>
      <c r="B905" s="5">
        <f>IFERROR(__xludf.DUMMYFUNCTION("""COMPUTED_VALUE"""),785.0)</f>
        <v>785</v>
      </c>
      <c r="C905" s="5">
        <f>IFERROR(__xludf.DUMMYFUNCTION("""COMPUTED_VALUE"""),815.0)</f>
        <v>815</v>
      </c>
      <c r="D905" s="5">
        <f>IFERROR(__xludf.DUMMYFUNCTION("""COMPUTED_VALUE"""),775.0)</f>
        <v>775</v>
      </c>
      <c r="E905" s="5">
        <f>IFERROR(__xludf.DUMMYFUNCTION("""COMPUTED_VALUE"""),810.0)</f>
        <v>810</v>
      </c>
      <c r="F905" s="5">
        <f>IFERROR(__xludf.DUMMYFUNCTION("""COMPUTED_VALUE"""),1.12908E7)</f>
        <v>11290800</v>
      </c>
      <c r="G905" s="5">
        <f t="shared" si="1"/>
        <v>40</v>
      </c>
    </row>
    <row r="906">
      <c r="A906" s="4">
        <f>IFERROR(__xludf.DUMMYFUNCTION("""COMPUTED_VALUE"""),45189.66666666667)</f>
        <v>45189.66667</v>
      </c>
      <c r="B906" s="5">
        <f>IFERROR(__xludf.DUMMYFUNCTION("""COMPUTED_VALUE"""),810.0)</f>
        <v>810</v>
      </c>
      <c r="C906" s="5">
        <f>IFERROR(__xludf.DUMMYFUNCTION("""COMPUTED_VALUE"""),830.0)</f>
        <v>830</v>
      </c>
      <c r="D906" s="5">
        <f>IFERROR(__xludf.DUMMYFUNCTION("""COMPUTED_VALUE"""),810.0)</f>
        <v>810</v>
      </c>
      <c r="E906" s="5">
        <f>IFERROR(__xludf.DUMMYFUNCTION("""COMPUTED_VALUE"""),820.0)</f>
        <v>820</v>
      </c>
      <c r="F906" s="5">
        <f>IFERROR(__xludf.DUMMYFUNCTION("""COMPUTED_VALUE"""),8346600.0)</f>
        <v>8346600</v>
      </c>
      <c r="G906" s="5">
        <f t="shared" si="1"/>
        <v>20</v>
      </c>
    </row>
    <row r="907">
      <c r="A907" s="4">
        <f>IFERROR(__xludf.DUMMYFUNCTION("""COMPUTED_VALUE"""),45190.66666666667)</f>
        <v>45190.66667</v>
      </c>
      <c r="B907" s="5">
        <f>IFERROR(__xludf.DUMMYFUNCTION("""COMPUTED_VALUE"""),825.0)</f>
        <v>825</v>
      </c>
      <c r="C907" s="5">
        <f>IFERROR(__xludf.DUMMYFUNCTION("""COMPUTED_VALUE"""),825.0)</f>
        <v>825</v>
      </c>
      <c r="D907" s="5">
        <f>IFERROR(__xludf.DUMMYFUNCTION("""COMPUTED_VALUE"""),800.0)</f>
        <v>800</v>
      </c>
      <c r="E907" s="5">
        <f>IFERROR(__xludf.DUMMYFUNCTION("""COMPUTED_VALUE"""),815.0)</f>
        <v>815</v>
      </c>
      <c r="F907" s="5">
        <f>IFERROR(__xludf.DUMMYFUNCTION("""COMPUTED_VALUE"""),7989600.0)</f>
        <v>7989600</v>
      </c>
      <c r="G907" s="5">
        <f t="shared" si="1"/>
        <v>25</v>
      </c>
    </row>
    <row r="908">
      <c r="A908" s="4">
        <f>IFERROR(__xludf.DUMMYFUNCTION("""COMPUTED_VALUE"""),45191.66666666667)</f>
        <v>45191.66667</v>
      </c>
      <c r="B908" s="5">
        <f>IFERROR(__xludf.DUMMYFUNCTION("""COMPUTED_VALUE"""),815.0)</f>
        <v>815</v>
      </c>
      <c r="C908" s="5">
        <f>IFERROR(__xludf.DUMMYFUNCTION("""COMPUTED_VALUE"""),820.0)</f>
        <v>820</v>
      </c>
      <c r="D908" s="5">
        <f>IFERROR(__xludf.DUMMYFUNCTION("""COMPUTED_VALUE"""),800.0)</f>
        <v>800</v>
      </c>
      <c r="E908" s="5">
        <f>IFERROR(__xludf.DUMMYFUNCTION("""COMPUTED_VALUE"""),810.0)</f>
        <v>810</v>
      </c>
      <c r="F908" s="5">
        <f>IFERROR(__xludf.DUMMYFUNCTION("""COMPUTED_VALUE"""),5546600.0)</f>
        <v>5546600</v>
      </c>
      <c r="G908" s="5">
        <f t="shared" si="1"/>
        <v>20</v>
      </c>
    </row>
    <row r="909">
      <c r="A909" s="4">
        <f>IFERROR(__xludf.DUMMYFUNCTION("""COMPUTED_VALUE"""),45194.66666666667)</f>
        <v>45194.66667</v>
      </c>
      <c r="B909" s="5">
        <f>IFERROR(__xludf.DUMMYFUNCTION("""COMPUTED_VALUE"""),810.0)</f>
        <v>810</v>
      </c>
      <c r="C909" s="5">
        <f>IFERROR(__xludf.DUMMYFUNCTION("""COMPUTED_VALUE"""),830.0)</f>
        <v>830</v>
      </c>
      <c r="D909" s="5">
        <f>IFERROR(__xludf.DUMMYFUNCTION("""COMPUTED_VALUE"""),810.0)</f>
        <v>810</v>
      </c>
      <c r="E909" s="5">
        <f>IFERROR(__xludf.DUMMYFUNCTION("""COMPUTED_VALUE"""),810.0)</f>
        <v>810</v>
      </c>
      <c r="F909" s="5">
        <f>IFERROR(__xludf.DUMMYFUNCTION("""COMPUTED_VALUE"""),1.07115E7)</f>
        <v>10711500</v>
      </c>
      <c r="G909" s="5">
        <f t="shared" si="1"/>
        <v>20</v>
      </c>
    </row>
    <row r="910">
      <c r="A910" s="4">
        <f>IFERROR(__xludf.DUMMYFUNCTION("""COMPUTED_VALUE"""),45195.66666666667)</f>
        <v>45195.66667</v>
      </c>
      <c r="B910" s="5">
        <f>IFERROR(__xludf.DUMMYFUNCTION("""COMPUTED_VALUE"""),825.0)</f>
        <v>825</v>
      </c>
      <c r="C910" s="5">
        <f>IFERROR(__xludf.DUMMYFUNCTION("""COMPUTED_VALUE"""),825.0)</f>
        <v>825</v>
      </c>
      <c r="D910" s="5">
        <f>IFERROR(__xludf.DUMMYFUNCTION("""COMPUTED_VALUE"""),795.0)</f>
        <v>795</v>
      </c>
      <c r="E910" s="5">
        <f>IFERROR(__xludf.DUMMYFUNCTION("""COMPUTED_VALUE"""),805.0)</f>
        <v>805</v>
      </c>
      <c r="F910" s="5">
        <f>IFERROR(__xludf.DUMMYFUNCTION("""COMPUTED_VALUE"""),1.73649E7)</f>
        <v>17364900</v>
      </c>
      <c r="G910" s="5">
        <f t="shared" si="1"/>
        <v>30</v>
      </c>
    </row>
    <row r="911">
      <c r="A911" s="4">
        <f>IFERROR(__xludf.DUMMYFUNCTION("""COMPUTED_VALUE"""),45196.66666666667)</f>
        <v>45196.66667</v>
      </c>
      <c r="B911" s="5">
        <f>IFERROR(__xludf.DUMMYFUNCTION("""COMPUTED_VALUE"""),805.0)</f>
        <v>805</v>
      </c>
      <c r="C911" s="5">
        <f>IFERROR(__xludf.DUMMYFUNCTION("""COMPUTED_VALUE"""),810.0)</f>
        <v>810</v>
      </c>
      <c r="D911" s="5">
        <f>IFERROR(__xludf.DUMMYFUNCTION("""COMPUTED_VALUE"""),790.0)</f>
        <v>790</v>
      </c>
      <c r="E911" s="5">
        <f>IFERROR(__xludf.DUMMYFUNCTION("""COMPUTED_VALUE"""),800.0)</f>
        <v>800</v>
      </c>
      <c r="F911" s="5">
        <f>IFERROR(__xludf.DUMMYFUNCTION("""COMPUTED_VALUE"""),7287800.0)</f>
        <v>7287800</v>
      </c>
      <c r="G911" s="5">
        <f t="shared" si="1"/>
        <v>20</v>
      </c>
    </row>
    <row r="912">
      <c r="A912" s="4">
        <f>IFERROR(__xludf.DUMMYFUNCTION("""COMPUTED_VALUE"""),45198.66666666667)</f>
        <v>45198.66667</v>
      </c>
      <c r="B912" s="5">
        <f>IFERROR(__xludf.DUMMYFUNCTION("""COMPUTED_VALUE"""),800.0)</f>
        <v>800</v>
      </c>
      <c r="C912" s="5">
        <f>IFERROR(__xludf.DUMMYFUNCTION("""COMPUTED_VALUE"""),805.0)</f>
        <v>805</v>
      </c>
      <c r="D912" s="5">
        <f>IFERROR(__xludf.DUMMYFUNCTION("""COMPUTED_VALUE"""),790.0)</f>
        <v>790</v>
      </c>
      <c r="E912" s="5">
        <f>IFERROR(__xludf.DUMMYFUNCTION("""COMPUTED_VALUE"""),790.0)</f>
        <v>790</v>
      </c>
      <c r="F912" s="5">
        <f>IFERROR(__xludf.DUMMYFUNCTION("""COMPUTED_VALUE"""),3901100.0)</f>
        <v>3901100</v>
      </c>
      <c r="G912" s="5">
        <f t="shared" si="1"/>
        <v>15</v>
      </c>
    </row>
    <row r="913">
      <c r="A913" s="4">
        <f>IFERROR(__xludf.DUMMYFUNCTION("""COMPUTED_VALUE"""),45201.66666666667)</f>
        <v>45201.66667</v>
      </c>
      <c r="B913" s="5">
        <f>IFERROR(__xludf.DUMMYFUNCTION("""COMPUTED_VALUE"""),790.0)</f>
        <v>790</v>
      </c>
      <c r="C913" s="5">
        <f>IFERROR(__xludf.DUMMYFUNCTION("""COMPUTED_VALUE"""),800.0)</f>
        <v>800</v>
      </c>
      <c r="D913" s="5">
        <f>IFERROR(__xludf.DUMMYFUNCTION("""COMPUTED_VALUE"""),780.0)</f>
        <v>780</v>
      </c>
      <c r="E913" s="5">
        <f>IFERROR(__xludf.DUMMYFUNCTION("""COMPUTED_VALUE"""),800.0)</f>
        <v>800</v>
      </c>
      <c r="F913" s="5">
        <f>IFERROR(__xludf.DUMMYFUNCTION("""COMPUTED_VALUE"""),5830100.0)</f>
        <v>5830100</v>
      </c>
      <c r="G913" s="5">
        <f t="shared" si="1"/>
        <v>20</v>
      </c>
    </row>
    <row r="914">
      <c r="A914" s="4">
        <f>IFERROR(__xludf.DUMMYFUNCTION("""COMPUTED_VALUE"""),45202.66666666667)</f>
        <v>45202.66667</v>
      </c>
      <c r="B914" s="5">
        <f>IFERROR(__xludf.DUMMYFUNCTION("""COMPUTED_VALUE"""),790.0)</f>
        <v>790</v>
      </c>
      <c r="C914" s="5">
        <f>IFERROR(__xludf.DUMMYFUNCTION("""COMPUTED_VALUE"""),805.0)</f>
        <v>805</v>
      </c>
      <c r="D914" s="5">
        <f>IFERROR(__xludf.DUMMYFUNCTION("""COMPUTED_VALUE"""),785.0)</f>
        <v>785</v>
      </c>
      <c r="E914" s="5">
        <f>IFERROR(__xludf.DUMMYFUNCTION("""COMPUTED_VALUE"""),785.0)</f>
        <v>785</v>
      </c>
      <c r="F914" s="5">
        <f>IFERROR(__xludf.DUMMYFUNCTION("""COMPUTED_VALUE"""),4214000.0)</f>
        <v>4214000</v>
      </c>
      <c r="G914" s="5">
        <f t="shared" si="1"/>
        <v>20</v>
      </c>
    </row>
    <row r="915">
      <c r="A915" s="4">
        <f>IFERROR(__xludf.DUMMYFUNCTION("""COMPUTED_VALUE"""),45203.66666666667)</f>
        <v>45203.66667</v>
      </c>
      <c r="B915" s="5">
        <f>IFERROR(__xludf.DUMMYFUNCTION("""COMPUTED_VALUE"""),785.0)</f>
        <v>785</v>
      </c>
      <c r="C915" s="5">
        <f>IFERROR(__xludf.DUMMYFUNCTION("""COMPUTED_VALUE"""),790.0)</f>
        <v>790</v>
      </c>
      <c r="D915" s="5">
        <f>IFERROR(__xludf.DUMMYFUNCTION("""COMPUTED_VALUE"""),770.0)</f>
        <v>770</v>
      </c>
      <c r="E915" s="5">
        <f>IFERROR(__xludf.DUMMYFUNCTION("""COMPUTED_VALUE"""),775.0)</f>
        <v>775</v>
      </c>
      <c r="F915" s="5">
        <f>IFERROR(__xludf.DUMMYFUNCTION("""COMPUTED_VALUE"""),6091900.0)</f>
        <v>6091900</v>
      </c>
      <c r="G915" s="5">
        <f t="shared" si="1"/>
        <v>20</v>
      </c>
    </row>
    <row r="916">
      <c r="A916" s="4">
        <f>IFERROR(__xludf.DUMMYFUNCTION("""COMPUTED_VALUE"""),45204.66666666667)</f>
        <v>45204.66667</v>
      </c>
      <c r="B916" s="5">
        <f>IFERROR(__xludf.DUMMYFUNCTION("""COMPUTED_VALUE"""),775.0)</f>
        <v>775</v>
      </c>
      <c r="C916" s="5">
        <f>IFERROR(__xludf.DUMMYFUNCTION("""COMPUTED_VALUE"""),780.0)</f>
        <v>780</v>
      </c>
      <c r="D916" s="5">
        <f>IFERROR(__xludf.DUMMYFUNCTION("""COMPUTED_VALUE"""),770.0)</f>
        <v>770</v>
      </c>
      <c r="E916" s="5">
        <f>IFERROR(__xludf.DUMMYFUNCTION("""COMPUTED_VALUE"""),770.0)</f>
        <v>770</v>
      </c>
      <c r="F916" s="5">
        <f>IFERROR(__xludf.DUMMYFUNCTION("""COMPUTED_VALUE"""),3929300.0)</f>
        <v>3929300</v>
      </c>
      <c r="G916" s="5">
        <f t="shared" si="1"/>
        <v>10</v>
      </c>
    </row>
    <row r="917">
      <c r="A917" s="4">
        <f>IFERROR(__xludf.DUMMYFUNCTION("""COMPUTED_VALUE"""),45205.66666666667)</f>
        <v>45205.66667</v>
      </c>
      <c r="B917" s="5">
        <f>IFERROR(__xludf.DUMMYFUNCTION("""COMPUTED_VALUE"""),775.0)</f>
        <v>775</v>
      </c>
      <c r="C917" s="5">
        <f>IFERROR(__xludf.DUMMYFUNCTION("""COMPUTED_VALUE"""),775.0)</f>
        <v>775</v>
      </c>
      <c r="D917" s="5">
        <f>IFERROR(__xludf.DUMMYFUNCTION("""COMPUTED_VALUE"""),755.0)</f>
        <v>755</v>
      </c>
      <c r="E917" s="5">
        <f>IFERROR(__xludf.DUMMYFUNCTION("""COMPUTED_VALUE"""),770.0)</f>
        <v>770</v>
      </c>
      <c r="F917" s="5">
        <f>IFERROR(__xludf.DUMMYFUNCTION("""COMPUTED_VALUE"""),7795900.0)</f>
        <v>7795900</v>
      </c>
      <c r="G917" s="5">
        <f t="shared" si="1"/>
        <v>20</v>
      </c>
    </row>
    <row r="918">
      <c r="A918" s="4">
        <f>IFERROR(__xludf.DUMMYFUNCTION("""COMPUTED_VALUE"""),45208.66666666667)</f>
        <v>45208.66667</v>
      </c>
      <c r="B918" s="5">
        <f>IFERROR(__xludf.DUMMYFUNCTION("""COMPUTED_VALUE"""),760.0)</f>
        <v>760</v>
      </c>
      <c r="C918" s="5">
        <f>IFERROR(__xludf.DUMMYFUNCTION("""COMPUTED_VALUE"""),805.0)</f>
        <v>805</v>
      </c>
      <c r="D918" s="5">
        <f>IFERROR(__xludf.DUMMYFUNCTION("""COMPUTED_VALUE"""),760.0)</f>
        <v>760</v>
      </c>
      <c r="E918" s="5">
        <f>IFERROR(__xludf.DUMMYFUNCTION("""COMPUTED_VALUE"""),800.0)</f>
        <v>800</v>
      </c>
      <c r="F918" s="5">
        <f>IFERROR(__xludf.DUMMYFUNCTION("""COMPUTED_VALUE"""),9277500.0)</f>
        <v>9277500</v>
      </c>
      <c r="G918" s="5">
        <f t="shared" si="1"/>
        <v>45</v>
      </c>
    </row>
    <row r="919">
      <c r="A919" s="4">
        <f>IFERROR(__xludf.DUMMYFUNCTION("""COMPUTED_VALUE"""),45209.66666666667)</f>
        <v>45209.66667</v>
      </c>
      <c r="B919" s="5">
        <f>IFERROR(__xludf.DUMMYFUNCTION("""COMPUTED_VALUE"""),805.0)</f>
        <v>805</v>
      </c>
      <c r="C919" s="5">
        <f>IFERROR(__xludf.DUMMYFUNCTION("""COMPUTED_VALUE"""),815.0)</f>
        <v>815</v>
      </c>
      <c r="D919" s="5">
        <f>IFERROR(__xludf.DUMMYFUNCTION("""COMPUTED_VALUE"""),795.0)</f>
        <v>795</v>
      </c>
      <c r="E919" s="5">
        <f>IFERROR(__xludf.DUMMYFUNCTION("""COMPUTED_VALUE"""),800.0)</f>
        <v>800</v>
      </c>
      <c r="F919" s="5">
        <f>IFERROR(__xludf.DUMMYFUNCTION("""COMPUTED_VALUE"""),6599700.0)</f>
        <v>6599700</v>
      </c>
      <c r="G919" s="5">
        <f t="shared" si="1"/>
        <v>20</v>
      </c>
    </row>
    <row r="920">
      <c r="A920" s="4">
        <f>IFERROR(__xludf.DUMMYFUNCTION("""COMPUTED_VALUE"""),45210.66666666667)</f>
        <v>45210.66667</v>
      </c>
      <c r="B920" s="5">
        <f>IFERROR(__xludf.DUMMYFUNCTION("""COMPUTED_VALUE"""),810.0)</f>
        <v>810</v>
      </c>
      <c r="C920" s="5">
        <f>IFERROR(__xludf.DUMMYFUNCTION("""COMPUTED_VALUE"""),810.0)</f>
        <v>810</v>
      </c>
      <c r="D920" s="5">
        <f>IFERROR(__xludf.DUMMYFUNCTION("""COMPUTED_VALUE"""),785.0)</f>
        <v>785</v>
      </c>
      <c r="E920" s="5">
        <f>IFERROR(__xludf.DUMMYFUNCTION("""COMPUTED_VALUE"""),790.0)</f>
        <v>790</v>
      </c>
      <c r="F920" s="5">
        <f>IFERROR(__xludf.DUMMYFUNCTION("""COMPUTED_VALUE"""),5176700.0)</f>
        <v>5176700</v>
      </c>
      <c r="G920" s="5">
        <f t="shared" si="1"/>
        <v>25</v>
      </c>
    </row>
    <row r="921">
      <c r="A921" s="4">
        <f>IFERROR(__xludf.DUMMYFUNCTION("""COMPUTED_VALUE"""),45211.66666666667)</f>
        <v>45211.66667</v>
      </c>
      <c r="B921" s="5">
        <f>IFERROR(__xludf.DUMMYFUNCTION("""COMPUTED_VALUE"""),790.0)</f>
        <v>790</v>
      </c>
      <c r="C921" s="5">
        <f>IFERROR(__xludf.DUMMYFUNCTION("""COMPUTED_VALUE"""),800.0)</f>
        <v>800</v>
      </c>
      <c r="D921" s="5">
        <f>IFERROR(__xludf.DUMMYFUNCTION("""COMPUTED_VALUE"""),780.0)</f>
        <v>780</v>
      </c>
      <c r="E921" s="5">
        <f>IFERROR(__xludf.DUMMYFUNCTION("""COMPUTED_VALUE"""),780.0)</f>
        <v>780</v>
      </c>
      <c r="F921" s="5">
        <f>IFERROR(__xludf.DUMMYFUNCTION("""COMPUTED_VALUE"""),2839100.0)</f>
        <v>2839100</v>
      </c>
      <c r="G921" s="5">
        <f t="shared" si="1"/>
        <v>20</v>
      </c>
    </row>
    <row r="922">
      <c r="A922" s="4">
        <f>IFERROR(__xludf.DUMMYFUNCTION("""COMPUTED_VALUE"""),45212.66666666667)</f>
        <v>45212.66667</v>
      </c>
      <c r="B922" s="5">
        <f>IFERROR(__xludf.DUMMYFUNCTION("""COMPUTED_VALUE"""),785.0)</f>
        <v>785</v>
      </c>
      <c r="C922" s="5">
        <f>IFERROR(__xludf.DUMMYFUNCTION("""COMPUTED_VALUE"""),795.0)</f>
        <v>795</v>
      </c>
      <c r="D922" s="5">
        <f>IFERROR(__xludf.DUMMYFUNCTION("""COMPUTED_VALUE"""),780.0)</f>
        <v>780</v>
      </c>
      <c r="E922" s="5">
        <f>IFERROR(__xludf.DUMMYFUNCTION("""COMPUTED_VALUE"""),785.0)</f>
        <v>785</v>
      </c>
      <c r="F922" s="5">
        <f>IFERROR(__xludf.DUMMYFUNCTION("""COMPUTED_VALUE"""),3882300.0)</f>
        <v>3882300</v>
      </c>
      <c r="G922" s="5">
        <f t="shared" si="1"/>
        <v>15</v>
      </c>
    </row>
    <row r="923">
      <c r="A923" s="4">
        <f>IFERROR(__xludf.DUMMYFUNCTION("""COMPUTED_VALUE"""),45215.66666666667)</f>
        <v>45215.66667</v>
      </c>
      <c r="B923" s="5">
        <f>IFERROR(__xludf.DUMMYFUNCTION("""COMPUTED_VALUE"""),785.0)</f>
        <v>785</v>
      </c>
      <c r="C923" s="5">
        <f>IFERROR(__xludf.DUMMYFUNCTION("""COMPUTED_VALUE"""),790.0)</f>
        <v>790</v>
      </c>
      <c r="D923" s="5">
        <f>IFERROR(__xludf.DUMMYFUNCTION("""COMPUTED_VALUE"""),775.0)</f>
        <v>775</v>
      </c>
      <c r="E923" s="5">
        <f>IFERROR(__xludf.DUMMYFUNCTION("""COMPUTED_VALUE"""),780.0)</f>
        <v>780</v>
      </c>
      <c r="F923" s="5">
        <f>IFERROR(__xludf.DUMMYFUNCTION("""COMPUTED_VALUE"""),3744300.0)</f>
        <v>3744300</v>
      </c>
      <c r="G923" s="5">
        <f t="shared" si="1"/>
        <v>15</v>
      </c>
    </row>
    <row r="924">
      <c r="A924" s="4">
        <f>IFERROR(__xludf.DUMMYFUNCTION("""COMPUTED_VALUE"""),45216.66666666667)</f>
        <v>45216.66667</v>
      </c>
      <c r="B924" s="5">
        <f>IFERROR(__xludf.DUMMYFUNCTION("""COMPUTED_VALUE"""),790.0)</f>
        <v>790</v>
      </c>
      <c r="C924" s="5">
        <f>IFERROR(__xludf.DUMMYFUNCTION("""COMPUTED_VALUE"""),790.0)</f>
        <v>790</v>
      </c>
      <c r="D924" s="5">
        <f>IFERROR(__xludf.DUMMYFUNCTION("""COMPUTED_VALUE"""),780.0)</f>
        <v>780</v>
      </c>
      <c r="E924" s="5">
        <f>IFERROR(__xludf.DUMMYFUNCTION("""COMPUTED_VALUE"""),790.0)</f>
        <v>790</v>
      </c>
      <c r="F924" s="5">
        <f>IFERROR(__xludf.DUMMYFUNCTION("""COMPUTED_VALUE"""),2511300.0)</f>
        <v>2511300</v>
      </c>
      <c r="G924" s="5">
        <f t="shared" si="1"/>
        <v>10</v>
      </c>
    </row>
    <row r="925">
      <c r="A925" s="4">
        <f>IFERROR(__xludf.DUMMYFUNCTION("""COMPUTED_VALUE"""),45217.66666666667)</f>
        <v>45217.66667</v>
      </c>
      <c r="B925" s="5">
        <f>IFERROR(__xludf.DUMMYFUNCTION("""COMPUTED_VALUE"""),790.0)</f>
        <v>790</v>
      </c>
      <c r="C925" s="5">
        <f>IFERROR(__xludf.DUMMYFUNCTION("""COMPUTED_VALUE"""),795.0)</f>
        <v>795</v>
      </c>
      <c r="D925" s="5">
        <f>IFERROR(__xludf.DUMMYFUNCTION("""COMPUTED_VALUE"""),750.0)</f>
        <v>750</v>
      </c>
      <c r="E925" s="5">
        <f>IFERROR(__xludf.DUMMYFUNCTION("""COMPUTED_VALUE"""),750.0)</f>
        <v>750</v>
      </c>
      <c r="F925" s="5">
        <f>IFERROR(__xludf.DUMMYFUNCTION("""COMPUTED_VALUE"""),2.14E7)</f>
        <v>21400000</v>
      </c>
      <c r="G925" s="5">
        <f t="shared" si="1"/>
        <v>45</v>
      </c>
    </row>
    <row r="926">
      <c r="A926" s="4">
        <f>IFERROR(__xludf.DUMMYFUNCTION("""COMPUTED_VALUE"""),45218.66666666667)</f>
        <v>45218.66667</v>
      </c>
      <c r="B926" s="5">
        <f>IFERROR(__xludf.DUMMYFUNCTION("""COMPUTED_VALUE"""),755.0)</f>
        <v>755</v>
      </c>
      <c r="C926" s="5">
        <f>IFERROR(__xludf.DUMMYFUNCTION("""COMPUTED_VALUE"""),770.0)</f>
        <v>770</v>
      </c>
      <c r="D926" s="5">
        <f>IFERROR(__xludf.DUMMYFUNCTION("""COMPUTED_VALUE"""),740.0)</f>
        <v>740</v>
      </c>
      <c r="E926" s="5">
        <f>IFERROR(__xludf.DUMMYFUNCTION("""COMPUTED_VALUE"""),750.0)</f>
        <v>750</v>
      </c>
      <c r="F926" s="5">
        <f>IFERROR(__xludf.DUMMYFUNCTION("""COMPUTED_VALUE"""),7090100.0)</f>
        <v>7090100</v>
      </c>
      <c r="G926" s="5">
        <f t="shared" si="1"/>
        <v>30</v>
      </c>
    </row>
    <row r="927">
      <c r="A927" s="4">
        <f>IFERROR(__xludf.DUMMYFUNCTION("""COMPUTED_VALUE"""),45219.66666666667)</f>
        <v>45219.66667</v>
      </c>
      <c r="B927" s="5">
        <f>IFERROR(__xludf.DUMMYFUNCTION("""COMPUTED_VALUE"""),750.0)</f>
        <v>750</v>
      </c>
      <c r="C927" s="5">
        <f>IFERROR(__xludf.DUMMYFUNCTION("""COMPUTED_VALUE"""),755.0)</f>
        <v>755</v>
      </c>
      <c r="D927" s="5">
        <f>IFERROR(__xludf.DUMMYFUNCTION("""COMPUTED_VALUE"""),710.0)</f>
        <v>710</v>
      </c>
      <c r="E927" s="5">
        <f>IFERROR(__xludf.DUMMYFUNCTION("""COMPUTED_VALUE"""),720.0)</f>
        <v>720</v>
      </c>
      <c r="F927" s="5">
        <f>IFERROR(__xludf.DUMMYFUNCTION("""COMPUTED_VALUE"""),1.6558E7)</f>
        <v>16558000</v>
      </c>
      <c r="G927" s="5">
        <f t="shared" si="1"/>
        <v>45</v>
      </c>
    </row>
    <row r="928">
      <c r="A928" s="4">
        <f>IFERROR(__xludf.DUMMYFUNCTION("""COMPUTED_VALUE"""),45222.66666666667)</f>
        <v>45222.66667</v>
      </c>
      <c r="B928" s="5">
        <f>IFERROR(__xludf.DUMMYFUNCTION("""COMPUTED_VALUE"""),720.0)</f>
        <v>720</v>
      </c>
      <c r="C928" s="5">
        <f>IFERROR(__xludf.DUMMYFUNCTION("""COMPUTED_VALUE"""),725.0)</f>
        <v>725</v>
      </c>
      <c r="D928" s="5">
        <f>IFERROR(__xludf.DUMMYFUNCTION("""COMPUTED_VALUE"""),690.0)</f>
        <v>690</v>
      </c>
      <c r="E928" s="5">
        <f>IFERROR(__xludf.DUMMYFUNCTION("""COMPUTED_VALUE"""),700.0)</f>
        <v>700</v>
      </c>
      <c r="F928" s="5">
        <f>IFERROR(__xludf.DUMMYFUNCTION("""COMPUTED_VALUE"""),1.01093E7)</f>
        <v>10109300</v>
      </c>
      <c r="G928" s="5">
        <f t="shared" si="1"/>
        <v>35</v>
      </c>
    </row>
    <row r="929">
      <c r="A929" s="4">
        <f>IFERROR(__xludf.DUMMYFUNCTION("""COMPUTED_VALUE"""),45223.66666666667)</f>
        <v>45223.66667</v>
      </c>
      <c r="B929" s="5">
        <f>IFERROR(__xludf.DUMMYFUNCTION("""COMPUTED_VALUE"""),700.0)</f>
        <v>700</v>
      </c>
      <c r="C929" s="5">
        <f>IFERROR(__xludf.DUMMYFUNCTION("""COMPUTED_VALUE"""),710.0)</f>
        <v>710</v>
      </c>
      <c r="D929" s="5">
        <f>IFERROR(__xludf.DUMMYFUNCTION("""COMPUTED_VALUE"""),690.0)</f>
        <v>690</v>
      </c>
      <c r="E929" s="5">
        <f>IFERROR(__xludf.DUMMYFUNCTION("""COMPUTED_VALUE"""),705.0)</f>
        <v>705</v>
      </c>
      <c r="F929" s="5">
        <f>IFERROR(__xludf.DUMMYFUNCTION("""COMPUTED_VALUE"""),6928400.0)</f>
        <v>6928400</v>
      </c>
      <c r="G929" s="5">
        <f t="shared" si="1"/>
        <v>20</v>
      </c>
    </row>
    <row r="930">
      <c r="A930" s="4">
        <f>IFERROR(__xludf.DUMMYFUNCTION("""COMPUTED_VALUE"""),45224.66666666667)</f>
        <v>45224.66667</v>
      </c>
      <c r="B930" s="5">
        <f>IFERROR(__xludf.DUMMYFUNCTION("""COMPUTED_VALUE"""),715.0)</f>
        <v>715</v>
      </c>
      <c r="C930" s="5">
        <f>IFERROR(__xludf.DUMMYFUNCTION("""COMPUTED_VALUE"""),715.0)</f>
        <v>715</v>
      </c>
      <c r="D930" s="5">
        <f>IFERROR(__xludf.DUMMYFUNCTION("""COMPUTED_VALUE"""),695.0)</f>
        <v>695</v>
      </c>
      <c r="E930" s="5">
        <f>IFERROR(__xludf.DUMMYFUNCTION("""COMPUTED_VALUE"""),700.0)</f>
        <v>700</v>
      </c>
      <c r="F930" s="5">
        <f>IFERROR(__xludf.DUMMYFUNCTION("""COMPUTED_VALUE"""),3845200.0)</f>
        <v>3845200</v>
      </c>
      <c r="G930" s="5">
        <f t="shared" si="1"/>
        <v>20</v>
      </c>
    </row>
    <row r="931">
      <c r="A931" s="4">
        <f>IFERROR(__xludf.DUMMYFUNCTION("""COMPUTED_VALUE"""),45225.66666666667)</f>
        <v>45225.66667</v>
      </c>
      <c r="B931" s="5">
        <f>IFERROR(__xludf.DUMMYFUNCTION("""COMPUTED_VALUE"""),705.0)</f>
        <v>705</v>
      </c>
      <c r="C931" s="5">
        <f>IFERROR(__xludf.DUMMYFUNCTION("""COMPUTED_VALUE"""),705.0)</f>
        <v>705</v>
      </c>
      <c r="D931" s="5">
        <f>IFERROR(__xludf.DUMMYFUNCTION("""COMPUTED_VALUE"""),680.0)</f>
        <v>680</v>
      </c>
      <c r="E931" s="5">
        <f>IFERROR(__xludf.DUMMYFUNCTION("""COMPUTED_VALUE"""),690.0)</f>
        <v>690</v>
      </c>
      <c r="F931" s="5">
        <f>IFERROR(__xludf.DUMMYFUNCTION("""COMPUTED_VALUE"""),5168100.0)</f>
        <v>5168100</v>
      </c>
      <c r="G931" s="5">
        <f t="shared" si="1"/>
        <v>25</v>
      </c>
    </row>
    <row r="932">
      <c r="A932" s="4">
        <f>IFERROR(__xludf.DUMMYFUNCTION("""COMPUTED_VALUE"""),45226.66666666667)</f>
        <v>45226.66667</v>
      </c>
      <c r="B932" s="5">
        <f>IFERROR(__xludf.DUMMYFUNCTION("""COMPUTED_VALUE"""),690.0)</f>
        <v>690</v>
      </c>
      <c r="C932" s="5">
        <f>IFERROR(__xludf.DUMMYFUNCTION("""COMPUTED_VALUE"""),700.0)</f>
        <v>700</v>
      </c>
      <c r="D932" s="5">
        <f>IFERROR(__xludf.DUMMYFUNCTION("""COMPUTED_VALUE"""),690.0)</f>
        <v>690</v>
      </c>
      <c r="E932" s="5">
        <f>IFERROR(__xludf.DUMMYFUNCTION("""COMPUTED_VALUE"""),700.0)</f>
        <v>700</v>
      </c>
      <c r="F932" s="5">
        <f>IFERROR(__xludf.DUMMYFUNCTION("""COMPUTED_VALUE"""),4179300.0)</f>
        <v>4179300</v>
      </c>
      <c r="G932" s="5">
        <f t="shared" si="1"/>
        <v>10</v>
      </c>
    </row>
    <row r="933">
      <c r="A933" s="4">
        <f>IFERROR(__xludf.DUMMYFUNCTION("""COMPUTED_VALUE"""),45229.66666666667)</f>
        <v>45229.66667</v>
      </c>
      <c r="B933" s="5">
        <f>IFERROR(__xludf.DUMMYFUNCTION("""COMPUTED_VALUE"""),700.0)</f>
        <v>700</v>
      </c>
      <c r="C933" s="5">
        <f>IFERROR(__xludf.DUMMYFUNCTION("""COMPUTED_VALUE"""),715.0)</f>
        <v>715</v>
      </c>
      <c r="D933" s="5">
        <f>IFERROR(__xludf.DUMMYFUNCTION("""COMPUTED_VALUE"""),685.0)</f>
        <v>685</v>
      </c>
      <c r="E933" s="5">
        <f>IFERROR(__xludf.DUMMYFUNCTION("""COMPUTED_VALUE"""),690.0)</f>
        <v>690</v>
      </c>
      <c r="F933" s="5">
        <f>IFERROR(__xludf.DUMMYFUNCTION("""COMPUTED_VALUE"""),6580100.0)</f>
        <v>6580100</v>
      </c>
      <c r="G933" s="5">
        <f t="shared" si="1"/>
        <v>30</v>
      </c>
    </row>
    <row r="934">
      <c r="A934" s="4">
        <f>IFERROR(__xludf.DUMMYFUNCTION("""COMPUTED_VALUE"""),45230.66666666667)</f>
        <v>45230.66667</v>
      </c>
      <c r="B934" s="5">
        <f>IFERROR(__xludf.DUMMYFUNCTION("""COMPUTED_VALUE"""),700.0)</f>
        <v>700</v>
      </c>
      <c r="C934" s="5">
        <f>IFERROR(__xludf.DUMMYFUNCTION("""COMPUTED_VALUE"""),705.0)</f>
        <v>705</v>
      </c>
      <c r="D934" s="5">
        <f>IFERROR(__xludf.DUMMYFUNCTION("""COMPUTED_VALUE"""),670.0)</f>
        <v>670</v>
      </c>
      <c r="E934" s="5">
        <f>IFERROR(__xludf.DUMMYFUNCTION("""COMPUTED_VALUE"""),690.0)</f>
        <v>690</v>
      </c>
      <c r="F934" s="5">
        <f>IFERROR(__xludf.DUMMYFUNCTION("""COMPUTED_VALUE"""),7390500.0)</f>
        <v>7390500</v>
      </c>
      <c r="G934" s="5">
        <f t="shared" si="1"/>
        <v>35</v>
      </c>
    </row>
    <row r="935">
      <c r="A935" s="4">
        <f>IFERROR(__xludf.DUMMYFUNCTION("""COMPUTED_VALUE"""),45231.66666666667)</f>
        <v>45231.66667</v>
      </c>
      <c r="B935" s="5">
        <f>IFERROR(__xludf.DUMMYFUNCTION("""COMPUTED_VALUE"""),690.0)</f>
        <v>690</v>
      </c>
      <c r="C935" s="5">
        <f>IFERROR(__xludf.DUMMYFUNCTION("""COMPUTED_VALUE"""),690.0)</f>
        <v>690</v>
      </c>
      <c r="D935" s="5">
        <f>IFERROR(__xludf.DUMMYFUNCTION("""COMPUTED_VALUE"""),650.0)</f>
        <v>650</v>
      </c>
      <c r="E935" s="5">
        <f>IFERROR(__xludf.DUMMYFUNCTION("""COMPUTED_VALUE"""),650.0)</f>
        <v>650</v>
      </c>
      <c r="F935" s="5">
        <f>IFERROR(__xludf.DUMMYFUNCTION("""COMPUTED_VALUE"""),1.09865E7)</f>
        <v>10986500</v>
      </c>
      <c r="G935" s="5">
        <f t="shared" si="1"/>
        <v>40</v>
      </c>
    </row>
    <row r="936">
      <c r="A936" s="4">
        <f>IFERROR(__xludf.DUMMYFUNCTION("""COMPUTED_VALUE"""),45232.66666666667)</f>
        <v>45232.66667</v>
      </c>
      <c r="B936" s="5">
        <f>IFERROR(__xludf.DUMMYFUNCTION("""COMPUTED_VALUE"""),650.0)</f>
        <v>650</v>
      </c>
      <c r="C936" s="5">
        <f>IFERROR(__xludf.DUMMYFUNCTION("""COMPUTED_VALUE"""),670.0)</f>
        <v>670</v>
      </c>
      <c r="D936" s="5">
        <f>IFERROR(__xludf.DUMMYFUNCTION("""COMPUTED_VALUE"""),645.0)</f>
        <v>645</v>
      </c>
      <c r="E936" s="5">
        <f>IFERROR(__xludf.DUMMYFUNCTION("""COMPUTED_VALUE"""),655.0)</f>
        <v>655</v>
      </c>
      <c r="F936" s="5">
        <f>IFERROR(__xludf.DUMMYFUNCTION("""COMPUTED_VALUE"""),5798600.0)</f>
        <v>5798600</v>
      </c>
      <c r="G936" s="5">
        <f t="shared" si="1"/>
        <v>25</v>
      </c>
    </row>
    <row r="937">
      <c r="A937" s="4">
        <f>IFERROR(__xludf.DUMMYFUNCTION("""COMPUTED_VALUE"""),45233.66666666667)</f>
        <v>45233.66667</v>
      </c>
      <c r="B937" s="5">
        <f>IFERROR(__xludf.DUMMYFUNCTION("""COMPUTED_VALUE"""),655.0)</f>
        <v>655</v>
      </c>
      <c r="C937" s="5">
        <f>IFERROR(__xludf.DUMMYFUNCTION("""COMPUTED_VALUE"""),670.0)</f>
        <v>670</v>
      </c>
      <c r="D937" s="5">
        <f>IFERROR(__xludf.DUMMYFUNCTION("""COMPUTED_VALUE"""),650.0)</f>
        <v>650</v>
      </c>
      <c r="E937" s="5">
        <f>IFERROR(__xludf.DUMMYFUNCTION("""COMPUTED_VALUE"""),660.0)</f>
        <v>660</v>
      </c>
      <c r="F937" s="5">
        <f>IFERROR(__xludf.DUMMYFUNCTION("""COMPUTED_VALUE"""),3786200.0)</f>
        <v>3786200</v>
      </c>
      <c r="G937" s="5">
        <f t="shared" si="1"/>
        <v>20</v>
      </c>
    </row>
    <row r="938">
      <c r="A938" s="4">
        <f>IFERROR(__xludf.DUMMYFUNCTION("""COMPUTED_VALUE"""),45236.66666666667)</f>
        <v>45236.66667</v>
      </c>
      <c r="B938" s="5">
        <f>IFERROR(__xludf.DUMMYFUNCTION("""COMPUTED_VALUE"""),665.0)</f>
        <v>665</v>
      </c>
      <c r="C938" s="5">
        <f>IFERROR(__xludf.DUMMYFUNCTION("""COMPUTED_VALUE"""),715.0)</f>
        <v>715</v>
      </c>
      <c r="D938" s="5">
        <f>IFERROR(__xludf.DUMMYFUNCTION("""COMPUTED_VALUE"""),660.0)</f>
        <v>660</v>
      </c>
      <c r="E938" s="5">
        <f>IFERROR(__xludf.DUMMYFUNCTION("""COMPUTED_VALUE"""),690.0)</f>
        <v>690</v>
      </c>
      <c r="F938" s="5">
        <f>IFERROR(__xludf.DUMMYFUNCTION("""COMPUTED_VALUE"""),1.21629E7)</f>
        <v>12162900</v>
      </c>
      <c r="G938" s="5">
        <f t="shared" si="1"/>
        <v>55</v>
      </c>
    </row>
    <row r="939">
      <c r="A939" s="4">
        <f>IFERROR(__xludf.DUMMYFUNCTION("""COMPUTED_VALUE"""),45237.66666666667)</f>
        <v>45237.66667</v>
      </c>
      <c r="B939" s="5">
        <f>IFERROR(__xludf.DUMMYFUNCTION("""COMPUTED_VALUE"""),695.0)</f>
        <v>695</v>
      </c>
      <c r="C939" s="5">
        <f>IFERROR(__xludf.DUMMYFUNCTION("""COMPUTED_VALUE"""),700.0)</f>
        <v>700</v>
      </c>
      <c r="D939" s="5">
        <f>IFERROR(__xludf.DUMMYFUNCTION("""COMPUTED_VALUE"""),670.0)</f>
        <v>670</v>
      </c>
      <c r="E939" s="5">
        <f>IFERROR(__xludf.DUMMYFUNCTION("""COMPUTED_VALUE"""),670.0)</f>
        <v>670</v>
      </c>
      <c r="F939" s="5">
        <f>IFERROR(__xludf.DUMMYFUNCTION("""COMPUTED_VALUE"""),6544000.0)</f>
        <v>6544000</v>
      </c>
      <c r="G939" s="5">
        <f t="shared" si="1"/>
        <v>30</v>
      </c>
    </row>
    <row r="940">
      <c r="A940" s="4">
        <f>IFERROR(__xludf.DUMMYFUNCTION("""COMPUTED_VALUE"""),45238.66666666667)</f>
        <v>45238.66667</v>
      </c>
      <c r="B940" s="5">
        <f>IFERROR(__xludf.DUMMYFUNCTION("""COMPUTED_VALUE"""),670.0)</f>
        <v>670</v>
      </c>
      <c r="C940" s="5">
        <f>IFERROR(__xludf.DUMMYFUNCTION("""COMPUTED_VALUE"""),670.0)</f>
        <v>670</v>
      </c>
      <c r="D940" s="5">
        <f>IFERROR(__xludf.DUMMYFUNCTION("""COMPUTED_VALUE"""),650.0)</f>
        <v>650</v>
      </c>
      <c r="E940" s="5">
        <f>IFERROR(__xludf.DUMMYFUNCTION("""COMPUTED_VALUE"""),665.0)</f>
        <v>665</v>
      </c>
      <c r="F940" s="5">
        <f>IFERROR(__xludf.DUMMYFUNCTION("""COMPUTED_VALUE"""),6407200.0)</f>
        <v>6407200</v>
      </c>
      <c r="G940" s="5">
        <f t="shared" si="1"/>
        <v>20</v>
      </c>
    </row>
    <row r="941">
      <c r="A941" s="4">
        <f>IFERROR(__xludf.DUMMYFUNCTION("""COMPUTED_VALUE"""),45239.66666666667)</f>
        <v>45239.66667</v>
      </c>
      <c r="B941" s="5">
        <f>IFERROR(__xludf.DUMMYFUNCTION("""COMPUTED_VALUE"""),665.0)</f>
        <v>665</v>
      </c>
      <c r="C941" s="5">
        <f>IFERROR(__xludf.DUMMYFUNCTION("""COMPUTED_VALUE"""),670.0)</f>
        <v>670</v>
      </c>
      <c r="D941" s="5">
        <f>IFERROR(__xludf.DUMMYFUNCTION("""COMPUTED_VALUE"""),660.0)</f>
        <v>660</v>
      </c>
      <c r="E941" s="5">
        <f>IFERROR(__xludf.DUMMYFUNCTION("""COMPUTED_VALUE"""),665.0)</f>
        <v>665</v>
      </c>
      <c r="F941" s="5">
        <f>IFERROR(__xludf.DUMMYFUNCTION("""COMPUTED_VALUE"""),2849800.0)</f>
        <v>2849800</v>
      </c>
      <c r="G941" s="5">
        <f t="shared" si="1"/>
        <v>10</v>
      </c>
    </row>
    <row r="942">
      <c r="A942" s="4">
        <f>IFERROR(__xludf.DUMMYFUNCTION("""COMPUTED_VALUE"""),45240.66666666667)</f>
        <v>45240.66667</v>
      </c>
      <c r="B942" s="5">
        <f>IFERROR(__xludf.DUMMYFUNCTION("""COMPUTED_VALUE"""),665.0)</f>
        <v>665</v>
      </c>
      <c r="C942" s="5">
        <f>IFERROR(__xludf.DUMMYFUNCTION("""COMPUTED_VALUE"""),670.0)</f>
        <v>670</v>
      </c>
      <c r="D942" s="5">
        <f>IFERROR(__xludf.DUMMYFUNCTION("""COMPUTED_VALUE"""),655.0)</f>
        <v>655</v>
      </c>
      <c r="E942" s="5">
        <f>IFERROR(__xludf.DUMMYFUNCTION("""COMPUTED_VALUE"""),660.0)</f>
        <v>660</v>
      </c>
      <c r="F942" s="5">
        <f>IFERROR(__xludf.DUMMYFUNCTION("""COMPUTED_VALUE"""),2595000.0)</f>
        <v>2595000</v>
      </c>
      <c r="G942" s="5">
        <f t="shared" si="1"/>
        <v>15</v>
      </c>
    </row>
    <row r="943">
      <c r="A943" s="4">
        <f>IFERROR(__xludf.DUMMYFUNCTION("""COMPUTED_VALUE"""),45243.66666666667)</f>
        <v>45243.66667</v>
      </c>
      <c r="B943" s="5">
        <f>IFERROR(__xludf.DUMMYFUNCTION("""COMPUTED_VALUE"""),660.0)</f>
        <v>660</v>
      </c>
      <c r="C943" s="5">
        <f>IFERROR(__xludf.DUMMYFUNCTION("""COMPUTED_VALUE"""),670.0)</f>
        <v>670</v>
      </c>
      <c r="D943" s="5">
        <f>IFERROR(__xludf.DUMMYFUNCTION("""COMPUTED_VALUE"""),645.0)</f>
        <v>645</v>
      </c>
      <c r="E943" s="5">
        <f>IFERROR(__xludf.DUMMYFUNCTION("""COMPUTED_VALUE"""),650.0)</f>
        <v>650</v>
      </c>
      <c r="F943" s="5">
        <f>IFERROR(__xludf.DUMMYFUNCTION("""COMPUTED_VALUE"""),7798000.0)</f>
        <v>7798000</v>
      </c>
      <c r="G943" s="5">
        <f t="shared" si="1"/>
        <v>25</v>
      </c>
    </row>
    <row r="944">
      <c r="A944" s="4">
        <f>IFERROR(__xludf.DUMMYFUNCTION("""COMPUTED_VALUE"""),45244.66666666667)</f>
        <v>45244.66667</v>
      </c>
      <c r="B944" s="5">
        <f>IFERROR(__xludf.DUMMYFUNCTION("""COMPUTED_VALUE"""),655.0)</f>
        <v>655</v>
      </c>
      <c r="C944" s="5">
        <f>IFERROR(__xludf.DUMMYFUNCTION("""COMPUTED_VALUE"""),660.0)</f>
        <v>660</v>
      </c>
      <c r="D944" s="5">
        <f>IFERROR(__xludf.DUMMYFUNCTION("""COMPUTED_VALUE"""),645.0)</f>
        <v>645</v>
      </c>
      <c r="E944" s="5">
        <f>IFERROR(__xludf.DUMMYFUNCTION("""COMPUTED_VALUE"""),650.0)</f>
        <v>650</v>
      </c>
      <c r="F944" s="5">
        <f>IFERROR(__xludf.DUMMYFUNCTION("""COMPUTED_VALUE"""),3092400.0)</f>
        <v>3092400</v>
      </c>
      <c r="G944" s="5">
        <f t="shared" si="1"/>
        <v>15</v>
      </c>
    </row>
    <row r="945">
      <c r="A945" s="4">
        <f>IFERROR(__xludf.DUMMYFUNCTION("""COMPUTED_VALUE"""),45245.66666666667)</f>
        <v>45245.66667</v>
      </c>
      <c r="B945" s="5">
        <f>IFERROR(__xludf.DUMMYFUNCTION("""COMPUTED_VALUE"""),640.0)</f>
        <v>640</v>
      </c>
      <c r="C945" s="5">
        <f>IFERROR(__xludf.DUMMYFUNCTION("""COMPUTED_VALUE"""),675.0)</f>
        <v>675</v>
      </c>
      <c r="D945" s="5">
        <f>IFERROR(__xludf.DUMMYFUNCTION("""COMPUTED_VALUE"""),640.0)</f>
        <v>640</v>
      </c>
      <c r="E945" s="5">
        <f>IFERROR(__xludf.DUMMYFUNCTION("""COMPUTED_VALUE"""),660.0)</f>
        <v>660</v>
      </c>
      <c r="F945" s="5">
        <f>IFERROR(__xludf.DUMMYFUNCTION("""COMPUTED_VALUE"""),9968500.0)</f>
        <v>9968500</v>
      </c>
      <c r="G945" s="5">
        <f t="shared" si="1"/>
        <v>35</v>
      </c>
    </row>
    <row r="946">
      <c r="A946" s="4">
        <f>IFERROR(__xludf.DUMMYFUNCTION("""COMPUTED_VALUE"""),45246.66666666667)</f>
        <v>45246.66667</v>
      </c>
      <c r="B946" s="5">
        <f>IFERROR(__xludf.DUMMYFUNCTION("""COMPUTED_VALUE"""),670.0)</f>
        <v>670</v>
      </c>
      <c r="C946" s="5">
        <f>IFERROR(__xludf.DUMMYFUNCTION("""COMPUTED_VALUE"""),670.0)</f>
        <v>670</v>
      </c>
      <c r="D946" s="5">
        <f>IFERROR(__xludf.DUMMYFUNCTION("""COMPUTED_VALUE"""),650.0)</f>
        <v>650</v>
      </c>
      <c r="E946" s="5">
        <f>IFERROR(__xludf.DUMMYFUNCTION("""COMPUTED_VALUE"""),665.0)</f>
        <v>665</v>
      </c>
      <c r="F946" s="5">
        <f>IFERROR(__xludf.DUMMYFUNCTION("""COMPUTED_VALUE"""),5991400.0)</f>
        <v>5991400</v>
      </c>
      <c r="G946" s="5">
        <f t="shared" si="1"/>
        <v>20</v>
      </c>
    </row>
    <row r="947">
      <c r="A947" s="4">
        <f>IFERROR(__xludf.DUMMYFUNCTION("""COMPUTED_VALUE"""),45247.66666666667)</f>
        <v>45247.66667</v>
      </c>
      <c r="B947" s="5">
        <f>IFERROR(__xludf.DUMMYFUNCTION("""COMPUTED_VALUE"""),665.0)</f>
        <v>665</v>
      </c>
      <c r="C947" s="5">
        <f>IFERROR(__xludf.DUMMYFUNCTION("""COMPUTED_VALUE"""),670.0)</f>
        <v>670</v>
      </c>
      <c r="D947" s="5">
        <f>IFERROR(__xludf.DUMMYFUNCTION("""COMPUTED_VALUE"""),655.0)</f>
        <v>655</v>
      </c>
      <c r="E947" s="5">
        <f>IFERROR(__xludf.DUMMYFUNCTION("""COMPUTED_VALUE"""),660.0)</f>
        <v>660</v>
      </c>
      <c r="F947" s="5">
        <f>IFERROR(__xludf.DUMMYFUNCTION("""COMPUTED_VALUE"""),4264100.0)</f>
        <v>4264100</v>
      </c>
      <c r="G947" s="5">
        <f t="shared" si="1"/>
        <v>15</v>
      </c>
    </row>
    <row r="948">
      <c r="A948" s="4">
        <f>IFERROR(__xludf.DUMMYFUNCTION("""COMPUTED_VALUE"""),45250.66666666667)</f>
        <v>45250.66667</v>
      </c>
      <c r="B948" s="5">
        <f>IFERROR(__xludf.DUMMYFUNCTION("""COMPUTED_VALUE"""),660.0)</f>
        <v>660</v>
      </c>
      <c r="C948" s="5">
        <f>IFERROR(__xludf.DUMMYFUNCTION("""COMPUTED_VALUE"""),665.0)</f>
        <v>665</v>
      </c>
      <c r="D948" s="5">
        <f>IFERROR(__xludf.DUMMYFUNCTION("""COMPUTED_VALUE"""),650.0)</f>
        <v>650</v>
      </c>
      <c r="E948" s="5">
        <f>IFERROR(__xludf.DUMMYFUNCTION("""COMPUTED_VALUE"""),655.0)</f>
        <v>655</v>
      </c>
      <c r="F948" s="5">
        <f>IFERROR(__xludf.DUMMYFUNCTION("""COMPUTED_VALUE"""),3876700.0)</f>
        <v>3876700</v>
      </c>
      <c r="G948" s="5">
        <f t="shared" si="1"/>
        <v>15</v>
      </c>
    </row>
    <row r="949">
      <c r="A949" s="4">
        <f>IFERROR(__xludf.DUMMYFUNCTION("""COMPUTED_VALUE"""),45251.66666666667)</f>
        <v>45251.66667</v>
      </c>
      <c r="B949" s="5">
        <f>IFERROR(__xludf.DUMMYFUNCTION("""COMPUTED_VALUE"""),655.0)</f>
        <v>655</v>
      </c>
      <c r="C949" s="5">
        <f>IFERROR(__xludf.DUMMYFUNCTION("""COMPUTED_VALUE"""),660.0)</f>
        <v>660</v>
      </c>
      <c r="D949" s="5">
        <f>IFERROR(__xludf.DUMMYFUNCTION("""COMPUTED_VALUE"""),645.0)</f>
        <v>645</v>
      </c>
      <c r="E949" s="5">
        <f>IFERROR(__xludf.DUMMYFUNCTION("""COMPUTED_VALUE"""),645.0)</f>
        <v>645</v>
      </c>
      <c r="F949" s="5">
        <f>IFERROR(__xludf.DUMMYFUNCTION("""COMPUTED_VALUE"""),4082300.0)</f>
        <v>4082300</v>
      </c>
      <c r="G949" s="5">
        <f t="shared" si="1"/>
        <v>15</v>
      </c>
    </row>
    <row r="950">
      <c r="A950" s="4">
        <f>IFERROR(__xludf.DUMMYFUNCTION("""COMPUTED_VALUE"""),45252.66666666667)</f>
        <v>45252.66667</v>
      </c>
      <c r="B950" s="5">
        <f>IFERROR(__xludf.DUMMYFUNCTION("""COMPUTED_VALUE"""),645.0)</f>
        <v>645</v>
      </c>
      <c r="C950" s="5">
        <f>IFERROR(__xludf.DUMMYFUNCTION("""COMPUTED_VALUE"""),650.0)</f>
        <v>650</v>
      </c>
      <c r="D950" s="5">
        <f>IFERROR(__xludf.DUMMYFUNCTION("""COMPUTED_VALUE"""),620.0)</f>
        <v>620</v>
      </c>
      <c r="E950" s="5">
        <f>IFERROR(__xludf.DUMMYFUNCTION("""COMPUTED_VALUE"""),625.0)</f>
        <v>625</v>
      </c>
      <c r="F950" s="5">
        <f>IFERROR(__xludf.DUMMYFUNCTION("""COMPUTED_VALUE"""),1.20013E7)</f>
        <v>12001300</v>
      </c>
      <c r="G950" s="5">
        <f t="shared" si="1"/>
        <v>30</v>
      </c>
    </row>
    <row r="951">
      <c r="A951" s="4">
        <f>IFERROR(__xludf.DUMMYFUNCTION("""COMPUTED_VALUE"""),45253.66666666667)</f>
        <v>45253.66667</v>
      </c>
      <c r="B951" s="5">
        <f>IFERROR(__xludf.DUMMYFUNCTION("""COMPUTED_VALUE"""),625.0)</f>
        <v>625</v>
      </c>
      <c r="C951" s="5">
        <f>IFERROR(__xludf.DUMMYFUNCTION("""COMPUTED_VALUE"""),635.0)</f>
        <v>635</v>
      </c>
      <c r="D951" s="5">
        <f>IFERROR(__xludf.DUMMYFUNCTION("""COMPUTED_VALUE"""),620.0)</f>
        <v>620</v>
      </c>
      <c r="E951" s="5">
        <f>IFERROR(__xludf.DUMMYFUNCTION("""COMPUTED_VALUE"""),630.0)</f>
        <v>630</v>
      </c>
      <c r="F951" s="5">
        <f>IFERROR(__xludf.DUMMYFUNCTION("""COMPUTED_VALUE"""),6761900.0)</f>
        <v>6761900</v>
      </c>
      <c r="G951" s="5">
        <f t="shared" si="1"/>
        <v>15</v>
      </c>
    </row>
    <row r="952">
      <c r="A952" s="4">
        <f>IFERROR(__xludf.DUMMYFUNCTION("""COMPUTED_VALUE"""),45254.66666666667)</f>
        <v>45254.66667</v>
      </c>
      <c r="B952" s="5">
        <f>IFERROR(__xludf.DUMMYFUNCTION("""COMPUTED_VALUE"""),630.0)</f>
        <v>630</v>
      </c>
      <c r="C952" s="5">
        <f>IFERROR(__xludf.DUMMYFUNCTION("""COMPUTED_VALUE"""),640.0)</f>
        <v>640</v>
      </c>
      <c r="D952" s="5">
        <f>IFERROR(__xludf.DUMMYFUNCTION("""COMPUTED_VALUE"""),625.0)</f>
        <v>625</v>
      </c>
      <c r="E952" s="5">
        <f>IFERROR(__xludf.DUMMYFUNCTION("""COMPUTED_VALUE"""),625.0)</f>
        <v>625</v>
      </c>
      <c r="F952" s="5">
        <f>IFERROR(__xludf.DUMMYFUNCTION("""COMPUTED_VALUE"""),5466800.0)</f>
        <v>5466800</v>
      </c>
      <c r="G952" s="5">
        <f t="shared" si="1"/>
        <v>15</v>
      </c>
    </row>
    <row r="953">
      <c r="A953" s="4">
        <f>IFERROR(__xludf.DUMMYFUNCTION("""COMPUTED_VALUE"""),45257.66666666667)</f>
        <v>45257.66667</v>
      </c>
      <c r="B953" s="5">
        <f>IFERROR(__xludf.DUMMYFUNCTION("""COMPUTED_VALUE"""),625.0)</f>
        <v>625</v>
      </c>
      <c r="C953" s="5">
        <f>IFERROR(__xludf.DUMMYFUNCTION("""COMPUTED_VALUE"""),640.0)</f>
        <v>640</v>
      </c>
      <c r="D953" s="5">
        <f>IFERROR(__xludf.DUMMYFUNCTION("""COMPUTED_VALUE"""),625.0)</f>
        <v>625</v>
      </c>
      <c r="E953" s="5">
        <f>IFERROR(__xludf.DUMMYFUNCTION("""COMPUTED_VALUE"""),625.0)</f>
        <v>625</v>
      </c>
      <c r="F953" s="5">
        <f>IFERROR(__xludf.DUMMYFUNCTION("""COMPUTED_VALUE"""),9741300.0)</f>
        <v>9741300</v>
      </c>
      <c r="G953" s="5">
        <f t="shared" si="1"/>
        <v>15</v>
      </c>
    </row>
    <row r="954">
      <c r="A954" s="4">
        <f>IFERROR(__xludf.DUMMYFUNCTION("""COMPUTED_VALUE"""),45258.66666666667)</f>
        <v>45258.66667</v>
      </c>
      <c r="B954" s="5">
        <f>IFERROR(__xludf.DUMMYFUNCTION("""COMPUTED_VALUE"""),630.0)</f>
        <v>630</v>
      </c>
      <c r="C954" s="5">
        <f>IFERROR(__xludf.DUMMYFUNCTION("""COMPUTED_VALUE"""),630.0)</f>
        <v>630</v>
      </c>
      <c r="D954" s="5">
        <f>IFERROR(__xludf.DUMMYFUNCTION("""COMPUTED_VALUE"""),615.0)</f>
        <v>615</v>
      </c>
      <c r="E954" s="5">
        <f>IFERROR(__xludf.DUMMYFUNCTION("""COMPUTED_VALUE"""),615.0)</f>
        <v>615</v>
      </c>
      <c r="F954" s="5">
        <f>IFERROR(__xludf.DUMMYFUNCTION("""COMPUTED_VALUE"""),8032000.0)</f>
        <v>8032000</v>
      </c>
      <c r="G954" s="5">
        <f t="shared" si="1"/>
        <v>15</v>
      </c>
    </row>
    <row r="955">
      <c r="A955" s="4">
        <f>IFERROR(__xludf.DUMMYFUNCTION("""COMPUTED_VALUE"""),45259.66666666667)</f>
        <v>45259.66667</v>
      </c>
      <c r="B955" s="5">
        <f>IFERROR(__xludf.DUMMYFUNCTION("""COMPUTED_VALUE"""),615.0)</f>
        <v>615</v>
      </c>
      <c r="C955" s="5">
        <f>IFERROR(__xludf.DUMMYFUNCTION("""COMPUTED_VALUE"""),655.0)</f>
        <v>655</v>
      </c>
      <c r="D955" s="5">
        <f>IFERROR(__xludf.DUMMYFUNCTION("""COMPUTED_VALUE"""),615.0)</f>
        <v>615</v>
      </c>
      <c r="E955" s="5">
        <f>IFERROR(__xludf.DUMMYFUNCTION("""COMPUTED_VALUE"""),655.0)</f>
        <v>655</v>
      </c>
      <c r="F955" s="5">
        <f>IFERROR(__xludf.DUMMYFUNCTION("""COMPUTED_VALUE"""),1.71086E7)</f>
        <v>17108600</v>
      </c>
      <c r="G955" s="5">
        <f t="shared" si="1"/>
        <v>40</v>
      </c>
    </row>
    <row r="956">
      <c r="A956" s="4">
        <f>IFERROR(__xludf.DUMMYFUNCTION("""COMPUTED_VALUE"""),45260.66666666667)</f>
        <v>45260.66667</v>
      </c>
      <c r="B956" s="5">
        <f>IFERROR(__xludf.DUMMYFUNCTION("""COMPUTED_VALUE"""),655.0)</f>
        <v>655</v>
      </c>
      <c r="C956" s="5">
        <f>IFERROR(__xludf.DUMMYFUNCTION("""COMPUTED_VALUE"""),665.0)</f>
        <v>665</v>
      </c>
      <c r="D956" s="5">
        <f>IFERROR(__xludf.DUMMYFUNCTION("""COMPUTED_VALUE"""),620.0)</f>
        <v>620</v>
      </c>
      <c r="E956" s="5">
        <f>IFERROR(__xludf.DUMMYFUNCTION("""COMPUTED_VALUE"""),620.0)</f>
        <v>620</v>
      </c>
      <c r="F956" s="5">
        <f>IFERROR(__xludf.DUMMYFUNCTION("""COMPUTED_VALUE"""),6.72697E7)</f>
        <v>67269700</v>
      </c>
      <c r="G956" s="5">
        <f t="shared" si="1"/>
        <v>45</v>
      </c>
    </row>
    <row r="957">
      <c r="A957" s="4">
        <f>IFERROR(__xludf.DUMMYFUNCTION("""COMPUTED_VALUE"""),45261.66666666667)</f>
        <v>45261.66667</v>
      </c>
      <c r="B957" s="5">
        <f>IFERROR(__xludf.DUMMYFUNCTION("""COMPUTED_VALUE"""),630.0)</f>
        <v>630</v>
      </c>
      <c r="C957" s="5">
        <f>IFERROR(__xludf.DUMMYFUNCTION("""COMPUTED_VALUE"""),660.0)</f>
        <v>660</v>
      </c>
      <c r="D957" s="5">
        <f>IFERROR(__xludf.DUMMYFUNCTION("""COMPUTED_VALUE"""),625.0)</f>
        <v>625</v>
      </c>
      <c r="E957" s="5">
        <f>IFERROR(__xludf.DUMMYFUNCTION("""COMPUTED_VALUE"""),650.0)</f>
        <v>650</v>
      </c>
      <c r="F957" s="5">
        <f>IFERROR(__xludf.DUMMYFUNCTION("""COMPUTED_VALUE"""),1.6052E7)</f>
        <v>16052000</v>
      </c>
      <c r="G957" s="5">
        <f t="shared" si="1"/>
        <v>40</v>
      </c>
    </row>
    <row r="958">
      <c r="A958" s="4">
        <f>IFERROR(__xludf.DUMMYFUNCTION("""COMPUTED_VALUE"""),45264.66666666667)</f>
        <v>45264.66667</v>
      </c>
      <c r="B958" s="5">
        <f>IFERROR(__xludf.DUMMYFUNCTION("""COMPUTED_VALUE"""),650.0)</f>
        <v>650</v>
      </c>
      <c r="C958" s="5">
        <f>IFERROR(__xludf.DUMMYFUNCTION("""COMPUTED_VALUE"""),690.0)</f>
        <v>690</v>
      </c>
      <c r="D958" s="5">
        <f>IFERROR(__xludf.DUMMYFUNCTION("""COMPUTED_VALUE"""),650.0)</f>
        <v>650</v>
      </c>
      <c r="E958" s="5">
        <f>IFERROR(__xludf.DUMMYFUNCTION("""COMPUTED_VALUE"""),665.0)</f>
        <v>665</v>
      </c>
      <c r="F958" s="5">
        <f>IFERROR(__xludf.DUMMYFUNCTION("""COMPUTED_VALUE"""),1.72594E7)</f>
        <v>17259400</v>
      </c>
      <c r="G958" s="5">
        <f t="shared" si="1"/>
        <v>40</v>
      </c>
    </row>
    <row r="959">
      <c r="A959" s="4">
        <f>IFERROR(__xludf.DUMMYFUNCTION("""COMPUTED_VALUE"""),45265.66666666667)</f>
        <v>45265.66667</v>
      </c>
      <c r="B959" s="5">
        <f>IFERROR(__xludf.DUMMYFUNCTION("""COMPUTED_VALUE"""),670.0)</f>
        <v>670</v>
      </c>
      <c r="C959" s="5">
        <f>IFERROR(__xludf.DUMMYFUNCTION("""COMPUTED_VALUE"""),670.0)</f>
        <v>670</v>
      </c>
      <c r="D959" s="5">
        <f>IFERROR(__xludf.DUMMYFUNCTION("""COMPUTED_VALUE"""),645.0)</f>
        <v>645</v>
      </c>
      <c r="E959" s="5">
        <f>IFERROR(__xludf.DUMMYFUNCTION("""COMPUTED_VALUE"""),655.0)</f>
        <v>655</v>
      </c>
      <c r="F959" s="5">
        <f>IFERROR(__xludf.DUMMYFUNCTION("""COMPUTED_VALUE"""),6735100.0)</f>
        <v>6735100</v>
      </c>
      <c r="G959" s="5">
        <f t="shared" si="1"/>
        <v>25</v>
      </c>
    </row>
    <row r="960">
      <c r="A960" s="4">
        <f>IFERROR(__xludf.DUMMYFUNCTION("""COMPUTED_VALUE"""),45266.66666666667)</f>
        <v>45266.66667</v>
      </c>
      <c r="B960" s="5">
        <f>IFERROR(__xludf.DUMMYFUNCTION("""COMPUTED_VALUE"""),655.0)</f>
        <v>655</v>
      </c>
      <c r="C960" s="5">
        <f>IFERROR(__xludf.DUMMYFUNCTION("""COMPUTED_VALUE"""),680.0)</f>
        <v>680</v>
      </c>
      <c r="D960" s="5">
        <f>IFERROR(__xludf.DUMMYFUNCTION("""COMPUTED_VALUE"""),655.0)</f>
        <v>655</v>
      </c>
      <c r="E960" s="5">
        <f>IFERROR(__xludf.DUMMYFUNCTION("""COMPUTED_VALUE"""),675.0)</f>
        <v>675</v>
      </c>
      <c r="F960" s="5">
        <f>IFERROR(__xludf.DUMMYFUNCTION("""COMPUTED_VALUE"""),1.55299E7)</f>
        <v>15529900</v>
      </c>
      <c r="G960" s="5">
        <f t="shared" si="1"/>
        <v>25</v>
      </c>
    </row>
    <row r="961">
      <c r="A961" s="4">
        <f>IFERROR(__xludf.DUMMYFUNCTION("""COMPUTED_VALUE"""),45267.66666666667)</f>
        <v>45267.66667</v>
      </c>
      <c r="B961" s="5">
        <f>IFERROR(__xludf.DUMMYFUNCTION("""COMPUTED_VALUE"""),680.0)</f>
        <v>680</v>
      </c>
      <c r="C961" s="5">
        <f>IFERROR(__xludf.DUMMYFUNCTION("""COMPUTED_VALUE"""),680.0)</f>
        <v>680</v>
      </c>
      <c r="D961" s="5">
        <f>IFERROR(__xludf.DUMMYFUNCTION("""COMPUTED_VALUE"""),645.0)</f>
        <v>645</v>
      </c>
      <c r="E961" s="5">
        <f>IFERROR(__xludf.DUMMYFUNCTION("""COMPUTED_VALUE"""),655.0)</f>
        <v>655</v>
      </c>
      <c r="F961" s="5">
        <f>IFERROR(__xludf.DUMMYFUNCTION("""COMPUTED_VALUE"""),8012800.0)</f>
        <v>8012800</v>
      </c>
      <c r="G961" s="5">
        <f t="shared" si="1"/>
        <v>35</v>
      </c>
    </row>
    <row r="962">
      <c r="A962" s="4">
        <f>IFERROR(__xludf.DUMMYFUNCTION("""COMPUTED_VALUE"""),45268.66666666667)</f>
        <v>45268.66667</v>
      </c>
      <c r="B962" s="5">
        <f>IFERROR(__xludf.DUMMYFUNCTION("""COMPUTED_VALUE"""),660.0)</f>
        <v>660</v>
      </c>
      <c r="C962" s="5">
        <f>IFERROR(__xludf.DUMMYFUNCTION("""COMPUTED_VALUE"""),665.0)</f>
        <v>665</v>
      </c>
      <c r="D962" s="5">
        <f>IFERROR(__xludf.DUMMYFUNCTION("""COMPUTED_VALUE"""),640.0)</f>
        <v>640</v>
      </c>
      <c r="E962" s="5">
        <f>IFERROR(__xludf.DUMMYFUNCTION("""COMPUTED_VALUE"""),640.0)</f>
        <v>640</v>
      </c>
      <c r="F962" s="5">
        <f>IFERROR(__xludf.DUMMYFUNCTION("""COMPUTED_VALUE"""),7828900.0)</f>
        <v>7828900</v>
      </c>
      <c r="G962" s="5">
        <f t="shared" si="1"/>
        <v>25</v>
      </c>
    </row>
    <row r="963">
      <c r="A963" s="4">
        <f>IFERROR(__xludf.DUMMYFUNCTION("""COMPUTED_VALUE"""),45271.66666666667)</f>
        <v>45271.66667</v>
      </c>
      <c r="B963" s="5">
        <f>IFERROR(__xludf.DUMMYFUNCTION("""COMPUTED_VALUE"""),640.0)</f>
        <v>640</v>
      </c>
      <c r="C963" s="5">
        <f>IFERROR(__xludf.DUMMYFUNCTION("""COMPUTED_VALUE"""),645.0)</f>
        <v>645</v>
      </c>
      <c r="D963" s="5">
        <f>IFERROR(__xludf.DUMMYFUNCTION("""COMPUTED_VALUE"""),620.0)</f>
        <v>620</v>
      </c>
      <c r="E963" s="5">
        <f>IFERROR(__xludf.DUMMYFUNCTION("""COMPUTED_VALUE"""),620.0)</f>
        <v>620</v>
      </c>
      <c r="F963" s="5">
        <f>IFERROR(__xludf.DUMMYFUNCTION("""COMPUTED_VALUE"""),8580100.0)</f>
        <v>8580100</v>
      </c>
      <c r="G963" s="5">
        <f t="shared" si="1"/>
        <v>25</v>
      </c>
    </row>
    <row r="964">
      <c r="A964" s="4">
        <f>IFERROR(__xludf.DUMMYFUNCTION("""COMPUTED_VALUE"""),45272.66666666667)</f>
        <v>45272.66667</v>
      </c>
      <c r="B964" s="5">
        <f>IFERROR(__xludf.DUMMYFUNCTION("""COMPUTED_VALUE"""),625.0)</f>
        <v>625</v>
      </c>
      <c r="C964" s="5">
        <f>IFERROR(__xludf.DUMMYFUNCTION("""COMPUTED_VALUE"""),630.0)</f>
        <v>630</v>
      </c>
      <c r="D964" s="5">
        <f>IFERROR(__xludf.DUMMYFUNCTION("""COMPUTED_VALUE"""),610.0)</f>
        <v>610</v>
      </c>
      <c r="E964" s="5">
        <f>IFERROR(__xludf.DUMMYFUNCTION("""COMPUTED_VALUE"""),620.0)</f>
        <v>620</v>
      </c>
      <c r="F964" s="5">
        <f>IFERROR(__xludf.DUMMYFUNCTION("""COMPUTED_VALUE"""),9543200.0)</f>
        <v>9543200</v>
      </c>
      <c r="G964" s="5">
        <f t="shared" si="1"/>
        <v>20</v>
      </c>
    </row>
    <row r="965">
      <c r="A965" s="4">
        <f>IFERROR(__xludf.DUMMYFUNCTION("""COMPUTED_VALUE"""),45273.66666666667)</f>
        <v>45273.66667</v>
      </c>
      <c r="B965" s="5">
        <f>IFERROR(__xludf.DUMMYFUNCTION("""COMPUTED_VALUE"""),625.0)</f>
        <v>625</v>
      </c>
      <c r="C965" s="5">
        <f>IFERROR(__xludf.DUMMYFUNCTION("""COMPUTED_VALUE"""),625.0)</f>
        <v>625</v>
      </c>
      <c r="D965" s="5">
        <f>IFERROR(__xludf.DUMMYFUNCTION("""COMPUTED_VALUE"""),605.0)</f>
        <v>605</v>
      </c>
      <c r="E965" s="5">
        <f>IFERROR(__xludf.DUMMYFUNCTION("""COMPUTED_VALUE"""),610.0)</f>
        <v>610</v>
      </c>
      <c r="F965" s="5">
        <f>IFERROR(__xludf.DUMMYFUNCTION("""COMPUTED_VALUE"""),8729700.0)</f>
        <v>8729700</v>
      </c>
      <c r="G965" s="5">
        <f t="shared" si="1"/>
        <v>20</v>
      </c>
    </row>
    <row r="966">
      <c r="A966" s="4">
        <f>IFERROR(__xludf.DUMMYFUNCTION("""COMPUTED_VALUE"""),45274.66666666667)</f>
        <v>45274.66667</v>
      </c>
      <c r="B966" s="5">
        <f>IFERROR(__xludf.DUMMYFUNCTION("""COMPUTED_VALUE"""),605.0)</f>
        <v>605</v>
      </c>
      <c r="C966" s="5">
        <f>IFERROR(__xludf.DUMMYFUNCTION("""COMPUTED_VALUE"""),630.0)</f>
        <v>630</v>
      </c>
      <c r="D966" s="5">
        <f>IFERROR(__xludf.DUMMYFUNCTION("""COMPUTED_VALUE"""),605.0)</f>
        <v>605</v>
      </c>
      <c r="E966" s="5">
        <f>IFERROR(__xludf.DUMMYFUNCTION("""COMPUTED_VALUE"""),620.0)</f>
        <v>620</v>
      </c>
      <c r="F966" s="5">
        <f>IFERROR(__xludf.DUMMYFUNCTION("""COMPUTED_VALUE"""),7877900.0)</f>
        <v>7877900</v>
      </c>
      <c r="G966" s="5">
        <f t="shared" si="1"/>
        <v>25</v>
      </c>
    </row>
    <row r="967">
      <c r="A967" s="4">
        <f>IFERROR(__xludf.DUMMYFUNCTION("""COMPUTED_VALUE"""),45275.66666666667)</f>
        <v>45275.66667</v>
      </c>
      <c r="B967" s="5">
        <f>IFERROR(__xludf.DUMMYFUNCTION("""COMPUTED_VALUE"""),625.0)</f>
        <v>625</v>
      </c>
      <c r="C967" s="5">
        <f>IFERROR(__xludf.DUMMYFUNCTION("""COMPUTED_VALUE"""),635.0)</f>
        <v>635</v>
      </c>
      <c r="D967" s="5">
        <f>IFERROR(__xludf.DUMMYFUNCTION("""COMPUTED_VALUE"""),620.0)</f>
        <v>620</v>
      </c>
      <c r="E967" s="5">
        <f>IFERROR(__xludf.DUMMYFUNCTION("""COMPUTED_VALUE"""),625.0)</f>
        <v>625</v>
      </c>
      <c r="F967" s="5">
        <f>IFERROR(__xludf.DUMMYFUNCTION("""COMPUTED_VALUE"""),5216100.0)</f>
        <v>5216100</v>
      </c>
      <c r="G967" s="5">
        <f t="shared" si="1"/>
        <v>15</v>
      </c>
    </row>
    <row r="968">
      <c r="A968" s="4">
        <f>IFERROR(__xludf.DUMMYFUNCTION("""COMPUTED_VALUE"""),45278.66666666667)</f>
        <v>45278.66667</v>
      </c>
      <c r="B968" s="5">
        <f>IFERROR(__xludf.DUMMYFUNCTION("""COMPUTED_VALUE"""),635.0)</f>
        <v>635</v>
      </c>
      <c r="C968" s="5">
        <f>IFERROR(__xludf.DUMMYFUNCTION("""COMPUTED_VALUE"""),635.0)</f>
        <v>635</v>
      </c>
      <c r="D968" s="5">
        <f>IFERROR(__xludf.DUMMYFUNCTION("""COMPUTED_VALUE"""),610.0)</f>
        <v>610</v>
      </c>
      <c r="E968" s="5">
        <f>IFERROR(__xludf.DUMMYFUNCTION("""COMPUTED_VALUE"""),610.0)</f>
        <v>610</v>
      </c>
      <c r="F968" s="5">
        <f>IFERROR(__xludf.DUMMYFUNCTION("""COMPUTED_VALUE"""),4307200.0)</f>
        <v>4307200</v>
      </c>
      <c r="G968" s="5">
        <f t="shared" si="1"/>
        <v>25</v>
      </c>
    </row>
    <row r="969">
      <c r="A969" s="4">
        <f>IFERROR(__xludf.DUMMYFUNCTION("""COMPUTED_VALUE"""),45279.66666666667)</f>
        <v>45279.66667</v>
      </c>
      <c r="B969" s="5">
        <f>IFERROR(__xludf.DUMMYFUNCTION("""COMPUTED_VALUE"""),610.0)</f>
        <v>610</v>
      </c>
      <c r="C969" s="5">
        <f>IFERROR(__xludf.DUMMYFUNCTION("""COMPUTED_VALUE"""),625.0)</f>
        <v>625</v>
      </c>
      <c r="D969" s="5">
        <f>IFERROR(__xludf.DUMMYFUNCTION("""COMPUTED_VALUE"""),610.0)</f>
        <v>610</v>
      </c>
      <c r="E969" s="5">
        <f>IFERROR(__xludf.DUMMYFUNCTION("""COMPUTED_VALUE"""),615.0)</f>
        <v>615</v>
      </c>
      <c r="F969" s="5">
        <f>IFERROR(__xludf.DUMMYFUNCTION("""COMPUTED_VALUE"""),5262000.0)</f>
        <v>5262000</v>
      </c>
      <c r="G969" s="5">
        <f t="shared" si="1"/>
        <v>15</v>
      </c>
    </row>
    <row r="970">
      <c r="A970" s="4">
        <f>IFERROR(__xludf.DUMMYFUNCTION("""COMPUTED_VALUE"""),45280.66666666667)</f>
        <v>45280.66667</v>
      </c>
      <c r="B970" s="5">
        <f>IFERROR(__xludf.DUMMYFUNCTION("""COMPUTED_VALUE"""),620.0)</f>
        <v>620</v>
      </c>
      <c r="C970" s="5">
        <f>IFERROR(__xludf.DUMMYFUNCTION("""COMPUTED_VALUE"""),650.0)</f>
        <v>650</v>
      </c>
      <c r="D970" s="5">
        <f>IFERROR(__xludf.DUMMYFUNCTION("""COMPUTED_VALUE"""),620.0)</f>
        <v>620</v>
      </c>
      <c r="E970" s="5">
        <f>IFERROR(__xludf.DUMMYFUNCTION("""COMPUTED_VALUE"""),630.0)</f>
        <v>630</v>
      </c>
      <c r="F970" s="5">
        <f>IFERROR(__xludf.DUMMYFUNCTION("""COMPUTED_VALUE"""),1.17757E7)</f>
        <v>11775700</v>
      </c>
      <c r="G970" s="5">
        <f t="shared" si="1"/>
        <v>35</v>
      </c>
    </row>
    <row r="971">
      <c r="A971" s="4">
        <f>IFERROR(__xludf.DUMMYFUNCTION("""COMPUTED_VALUE"""),45281.66666666667)</f>
        <v>45281.66667</v>
      </c>
      <c r="B971" s="5">
        <f>IFERROR(__xludf.DUMMYFUNCTION("""COMPUTED_VALUE"""),630.0)</f>
        <v>630</v>
      </c>
      <c r="C971" s="5">
        <f>IFERROR(__xludf.DUMMYFUNCTION("""COMPUTED_VALUE"""),650.0)</f>
        <v>650</v>
      </c>
      <c r="D971" s="5">
        <f>IFERROR(__xludf.DUMMYFUNCTION("""COMPUTED_VALUE"""),620.0)</f>
        <v>620</v>
      </c>
      <c r="E971" s="5">
        <f>IFERROR(__xludf.DUMMYFUNCTION("""COMPUTED_VALUE"""),625.0)</f>
        <v>625</v>
      </c>
      <c r="F971" s="5">
        <f>IFERROR(__xludf.DUMMYFUNCTION("""COMPUTED_VALUE"""),8030600.0)</f>
        <v>8030600</v>
      </c>
      <c r="G971" s="5">
        <f t="shared" si="1"/>
        <v>30</v>
      </c>
    </row>
    <row r="972">
      <c r="A972" s="4">
        <f>IFERROR(__xludf.DUMMYFUNCTION("""COMPUTED_VALUE"""),45282.66666666667)</f>
        <v>45282.66667</v>
      </c>
      <c r="B972" s="5">
        <f>IFERROR(__xludf.DUMMYFUNCTION("""COMPUTED_VALUE"""),630.0)</f>
        <v>630</v>
      </c>
      <c r="C972" s="5">
        <f>IFERROR(__xludf.DUMMYFUNCTION("""COMPUTED_VALUE"""),635.0)</f>
        <v>635</v>
      </c>
      <c r="D972" s="5">
        <f>IFERROR(__xludf.DUMMYFUNCTION("""COMPUTED_VALUE"""),620.0)</f>
        <v>620</v>
      </c>
      <c r="E972" s="5">
        <f>IFERROR(__xludf.DUMMYFUNCTION("""COMPUTED_VALUE"""),625.0)</f>
        <v>625</v>
      </c>
      <c r="F972" s="5">
        <f>IFERROR(__xludf.DUMMYFUNCTION("""COMPUTED_VALUE"""),6963200.0)</f>
        <v>6963200</v>
      </c>
      <c r="G972" s="5">
        <f t="shared" si="1"/>
        <v>15</v>
      </c>
    </row>
    <row r="973">
      <c r="A973" s="4">
        <f>IFERROR(__xludf.DUMMYFUNCTION("""COMPUTED_VALUE"""),45287.66666666667)</f>
        <v>45287.66667</v>
      </c>
      <c r="B973" s="5">
        <f>IFERROR(__xludf.DUMMYFUNCTION("""COMPUTED_VALUE"""),625.0)</f>
        <v>625</v>
      </c>
      <c r="C973" s="5">
        <f>IFERROR(__xludf.DUMMYFUNCTION("""COMPUTED_VALUE"""),660.0)</f>
        <v>660</v>
      </c>
      <c r="D973" s="5">
        <f>IFERROR(__xludf.DUMMYFUNCTION("""COMPUTED_VALUE"""),625.0)</f>
        <v>625</v>
      </c>
      <c r="E973" s="5">
        <f>IFERROR(__xludf.DUMMYFUNCTION("""COMPUTED_VALUE"""),645.0)</f>
        <v>645</v>
      </c>
      <c r="F973" s="5">
        <f>IFERROR(__xludf.DUMMYFUNCTION("""COMPUTED_VALUE"""),1.72795E7)</f>
        <v>17279500</v>
      </c>
      <c r="G973" s="5">
        <f t="shared" si="1"/>
        <v>35</v>
      </c>
    </row>
    <row r="974">
      <c r="A974" s="4">
        <f>IFERROR(__xludf.DUMMYFUNCTION("""COMPUTED_VALUE"""),45288.66666666667)</f>
        <v>45288.66667</v>
      </c>
      <c r="B974" s="5">
        <f>IFERROR(__xludf.DUMMYFUNCTION("""COMPUTED_VALUE"""),650.0)</f>
        <v>650</v>
      </c>
      <c r="C974" s="5">
        <f>IFERROR(__xludf.DUMMYFUNCTION("""COMPUTED_VALUE"""),665.0)</f>
        <v>665</v>
      </c>
      <c r="D974" s="5">
        <f>IFERROR(__xludf.DUMMYFUNCTION("""COMPUTED_VALUE"""),640.0)</f>
        <v>640</v>
      </c>
      <c r="E974" s="5">
        <f>IFERROR(__xludf.DUMMYFUNCTION("""COMPUTED_VALUE"""),650.0)</f>
        <v>650</v>
      </c>
      <c r="F974" s="5">
        <f>IFERROR(__xludf.DUMMYFUNCTION("""COMPUTED_VALUE"""),9605400.0)</f>
        <v>9605400</v>
      </c>
      <c r="G974" s="5">
        <f t="shared" si="1"/>
        <v>25</v>
      </c>
    </row>
    <row r="975">
      <c r="A975" s="4">
        <f>IFERROR(__xludf.DUMMYFUNCTION("""COMPUTED_VALUE"""),45289.66666666667)</f>
        <v>45289.66667</v>
      </c>
      <c r="B975" s="5">
        <f>IFERROR(__xludf.DUMMYFUNCTION("""COMPUTED_VALUE"""),655.0)</f>
        <v>655</v>
      </c>
      <c r="C975" s="5">
        <f>IFERROR(__xludf.DUMMYFUNCTION("""COMPUTED_VALUE"""),665.0)</f>
        <v>665</v>
      </c>
      <c r="D975" s="5">
        <f>IFERROR(__xludf.DUMMYFUNCTION("""COMPUTED_VALUE"""),640.0)</f>
        <v>640</v>
      </c>
      <c r="E975" s="5">
        <f>IFERROR(__xludf.DUMMYFUNCTION("""COMPUTED_VALUE"""),645.0)</f>
        <v>645</v>
      </c>
      <c r="F975" s="5">
        <f>IFERROR(__xludf.DUMMYFUNCTION("""COMPUTED_VALUE"""),7241300.0)</f>
        <v>7241300</v>
      </c>
      <c r="G975" s="5">
        <f t="shared" si="1"/>
        <v>25</v>
      </c>
    </row>
    <row r="976">
      <c r="A976" s="4">
        <f>IFERROR(__xludf.DUMMYFUNCTION("""COMPUTED_VALUE"""),45293.66666666667)</f>
        <v>45293.66667</v>
      </c>
      <c r="B976" s="5">
        <f>IFERROR(__xludf.DUMMYFUNCTION("""COMPUTED_VALUE"""),645.0)</f>
        <v>645</v>
      </c>
      <c r="C976" s="5">
        <f>IFERROR(__xludf.DUMMYFUNCTION("""COMPUTED_VALUE"""),665.0)</f>
        <v>665</v>
      </c>
      <c r="D976" s="5">
        <f>IFERROR(__xludf.DUMMYFUNCTION("""COMPUTED_VALUE"""),645.0)</f>
        <v>645</v>
      </c>
      <c r="E976" s="5">
        <f>IFERROR(__xludf.DUMMYFUNCTION("""COMPUTED_VALUE"""),660.0)</f>
        <v>660</v>
      </c>
      <c r="F976" s="5">
        <f>IFERROR(__xludf.DUMMYFUNCTION("""COMPUTED_VALUE"""),5846800.0)</f>
        <v>5846800</v>
      </c>
      <c r="G976" s="5">
        <f t="shared" si="1"/>
        <v>20</v>
      </c>
    </row>
    <row r="977">
      <c r="A977" s="4">
        <f>IFERROR(__xludf.DUMMYFUNCTION("""COMPUTED_VALUE"""),45294.66666666667)</f>
        <v>45294.66667</v>
      </c>
      <c r="B977" s="5">
        <f>IFERROR(__xludf.DUMMYFUNCTION("""COMPUTED_VALUE"""),655.0)</f>
        <v>655</v>
      </c>
      <c r="C977" s="5">
        <f>IFERROR(__xludf.DUMMYFUNCTION("""COMPUTED_VALUE"""),660.0)</f>
        <v>660</v>
      </c>
      <c r="D977" s="5">
        <f>IFERROR(__xludf.DUMMYFUNCTION("""COMPUTED_VALUE"""),645.0)</f>
        <v>645</v>
      </c>
      <c r="E977" s="5">
        <f>IFERROR(__xludf.DUMMYFUNCTION("""COMPUTED_VALUE"""),645.0)</f>
        <v>645</v>
      </c>
      <c r="F977" s="5">
        <f>IFERROR(__xludf.DUMMYFUNCTION("""COMPUTED_VALUE"""),4159600.0)</f>
        <v>4159600</v>
      </c>
      <c r="G977" s="5">
        <f t="shared" si="1"/>
        <v>15</v>
      </c>
    </row>
    <row r="978">
      <c r="A978" s="4">
        <f>IFERROR(__xludf.DUMMYFUNCTION("""COMPUTED_VALUE"""),45295.66666666667)</f>
        <v>45295.66667</v>
      </c>
      <c r="B978" s="5">
        <f>IFERROR(__xludf.DUMMYFUNCTION("""COMPUTED_VALUE"""),640.0)</f>
        <v>640</v>
      </c>
      <c r="C978" s="5">
        <f>IFERROR(__xludf.DUMMYFUNCTION("""COMPUTED_VALUE"""),655.0)</f>
        <v>655</v>
      </c>
      <c r="D978" s="5">
        <f>IFERROR(__xludf.DUMMYFUNCTION("""COMPUTED_VALUE"""),640.0)</f>
        <v>640</v>
      </c>
      <c r="E978" s="5">
        <f>IFERROR(__xludf.DUMMYFUNCTION("""COMPUTED_VALUE"""),645.0)</f>
        <v>645</v>
      </c>
      <c r="F978" s="5">
        <f>IFERROR(__xludf.DUMMYFUNCTION("""COMPUTED_VALUE"""),4893200.0)</f>
        <v>4893200</v>
      </c>
      <c r="G978" s="5">
        <f t="shared" si="1"/>
        <v>15</v>
      </c>
    </row>
    <row r="979">
      <c r="A979" s="4">
        <f>IFERROR(__xludf.DUMMYFUNCTION("""COMPUTED_VALUE"""),45296.66666666667)</f>
        <v>45296.66667</v>
      </c>
      <c r="B979" s="5">
        <f>IFERROR(__xludf.DUMMYFUNCTION("""COMPUTED_VALUE"""),650.0)</f>
        <v>650</v>
      </c>
      <c r="C979" s="5">
        <f>IFERROR(__xludf.DUMMYFUNCTION("""COMPUTED_VALUE"""),660.0)</f>
        <v>660</v>
      </c>
      <c r="D979" s="5">
        <f>IFERROR(__xludf.DUMMYFUNCTION("""COMPUTED_VALUE"""),640.0)</f>
        <v>640</v>
      </c>
      <c r="E979" s="5">
        <f>IFERROR(__xludf.DUMMYFUNCTION("""COMPUTED_VALUE"""),640.0)</f>
        <v>640</v>
      </c>
      <c r="F979" s="5">
        <f>IFERROR(__xludf.DUMMYFUNCTION("""COMPUTED_VALUE"""),5536100.0)</f>
        <v>5536100</v>
      </c>
      <c r="G979" s="5">
        <f t="shared" si="1"/>
        <v>20</v>
      </c>
    </row>
    <row r="980">
      <c r="A980" s="4">
        <f>IFERROR(__xludf.DUMMYFUNCTION("""COMPUTED_VALUE"""),45299.66666666667)</f>
        <v>45299.66667</v>
      </c>
      <c r="B980" s="5">
        <f>IFERROR(__xludf.DUMMYFUNCTION("""COMPUTED_VALUE"""),640.0)</f>
        <v>640</v>
      </c>
      <c r="C980" s="5">
        <f>IFERROR(__xludf.DUMMYFUNCTION("""COMPUTED_VALUE"""),645.0)</f>
        <v>645</v>
      </c>
      <c r="D980" s="5">
        <f>IFERROR(__xludf.DUMMYFUNCTION("""COMPUTED_VALUE"""),620.0)</f>
        <v>620</v>
      </c>
      <c r="E980" s="5">
        <f>IFERROR(__xludf.DUMMYFUNCTION("""COMPUTED_VALUE"""),630.0)</f>
        <v>630</v>
      </c>
      <c r="F980" s="5">
        <f>IFERROR(__xludf.DUMMYFUNCTION("""COMPUTED_VALUE"""),3316400.0)</f>
        <v>3316400</v>
      </c>
      <c r="G980" s="5">
        <f t="shared" si="1"/>
        <v>25</v>
      </c>
    </row>
    <row r="981">
      <c r="A981" s="4">
        <f>IFERROR(__xludf.DUMMYFUNCTION("""COMPUTED_VALUE"""),45300.66666666667)</f>
        <v>45300.66667</v>
      </c>
      <c r="B981" s="5">
        <f>IFERROR(__xludf.DUMMYFUNCTION("""COMPUTED_VALUE"""),635.0)</f>
        <v>635</v>
      </c>
      <c r="C981" s="5">
        <f>IFERROR(__xludf.DUMMYFUNCTION("""COMPUTED_VALUE"""),640.0)</f>
        <v>640</v>
      </c>
      <c r="D981" s="5">
        <f>IFERROR(__xludf.DUMMYFUNCTION("""COMPUTED_VALUE"""),620.0)</f>
        <v>620</v>
      </c>
      <c r="E981" s="5">
        <f>IFERROR(__xludf.DUMMYFUNCTION("""COMPUTED_VALUE"""),620.0)</f>
        <v>620</v>
      </c>
      <c r="F981" s="5">
        <f>IFERROR(__xludf.DUMMYFUNCTION("""COMPUTED_VALUE"""),6160200.0)</f>
        <v>6160200</v>
      </c>
      <c r="G981" s="5">
        <f t="shared" si="1"/>
        <v>20</v>
      </c>
    </row>
    <row r="982">
      <c r="A982" s="4">
        <f>IFERROR(__xludf.DUMMYFUNCTION("""COMPUTED_VALUE"""),45301.66666666667)</f>
        <v>45301.66667</v>
      </c>
      <c r="B982" s="5">
        <f>IFERROR(__xludf.DUMMYFUNCTION("""COMPUTED_VALUE"""),620.0)</f>
        <v>620</v>
      </c>
      <c r="C982" s="5">
        <f>IFERROR(__xludf.DUMMYFUNCTION("""COMPUTED_VALUE"""),640.0)</f>
        <v>640</v>
      </c>
      <c r="D982" s="5">
        <f>IFERROR(__xludf.DUMMYFUNCTION("""COMPUTED_VALUE"""),620.0)</f>
        <v>620</v>
      </c>
      <c r="E982" s="5">
        <f>IFERROR(__xludf.DUMMYFUNCTION("""COMPUTED_VALUE"""),630.0)</f>
        <v>630</v>
      </c>
      <c r="F982" s="5">
        <f>IFERROR(__xludf.DUMMYFUNCTION("""COMPUTED_VALUE"""),4686100.0)</f>
        <v>4686100</v>
      </c>
      <c r="G982" s="5">
        <f t="shared" si="1"/>
        <v>20</v>
      </c>
    </row>
    <row r="983">
      <c r="A983" s="4">
        <f>IFERROR(__xludf.DUMMYFUNCTION("""COMPUTED_VALUE"""),45302.66666666667)</f>
        <v>45302.66667</v>
      </c>
      <c r="B983" s="5">
        <f>IFERROR(__xludf.DUMMYFUNCTION("""COMPUTED_VALUE"""),635.0)</f>
        <v>635</v>
      </c>
      <c r="C983" s="5">
        <f>IFERROR(__xludf.DUMMYFUNCTION("""COMPUTED_VALUE"""),640.0)</f>
        <v>640</v>
      </c>
      <c r="D983" s="5">
        <f>IFERROR(__xludf.DUMMYFUNCTION("""COMPUTED_VALUE"""),625.0)</f>
        <v>625</v>
      </c>
      <c r="E983" s="5">
        <f>IFERROR(__xludf.DUMMYFUNCTION("""COMPUTED_VALUE"""),630.0)</f>
        <v>630</v>
      </c>
      <c r="F983" s="5">
        <f>IFERROR(__xludf.DUMMYFUNCTION("""COMPUTED_VALUE"""),2757500.0)</f>
        <v>2757500</v>
      </c>
      <c r="G983" s="5">
        <f t="shared" si="1"/>
        <v>15</v>
      </c>
    </row>
    <row r="984">
      <c r="A984" s="4">
        <f>IFERROR(__xludf.DUMMYFUNCTION("""COMPUTED_VALUE"""),45303.66666666667)</f>
        <v>45303.66667</v>
      </c>
      <c r="B984" s="5">
        <f>IFERROR(__xludf.DUMMYFUNCTION("""COMPUTED_VALUE"""),635.0)</f>
        <v>635</v>
      </c>
      <c r="C984" s="5">
        <f>IFERROR(__xludf.DUMMYFUNCTION("""COMPUTED_VALUE"""),635.0)</f>
        <v>635</v>
      </c>
      <c r="D984" s="5">
        <f>IFERROR(__xludf.DUMMYFUNCTION("""COMPUTED_VALUE"""),625.0)</f>
        <v>625</v>
      </c>
      <c r="E984" s="5">
        <f>IFERROR(__xludf.DUMMYFUNCTION("""COMPUTED_VALUE"""),625.0)</f>
        <v>625</v>
      </c>
      <c r="F984" s="5">
        <f>IFERROR(__xludf.DUMMYFUNCTION("""COMPUTED_VALUE"""),2464600.0)</f>
        <v>2464600</v>
      </c>
      <c r="G984" s="5">
        <f t="shared" si="1"/>
        <v>10</v>
      </c>
    </row>
    <row r="985">
      <c r="A985" s="4">
        <f>IFERROR(__xludf.DUMMYFUNCTION("""COMPUTED_VALUE"""),45306.66666666667)</f>
        <v>45306.66667</v>
      </c>
      <c r="B985" s="5">
        <f>IFERROR(__xludf.DUMMYFUNCTION("""COMPUTED_VALUE"""),630.0)</f>
        <v>630</v>
      </c>
      <c r="C985" s="5">
        <f>IFERROR(__xludf.DUMMYFUNCTION("""COMPUTED_VALUE"""),640.0)</f>
        <v>640</v>
      </c>
      <c r="D985" s="5">
        <f>IFERROR(__xludf.DUMMYFUNCTION("""COMPUTED_VALUE"""),625.0)</f>
        <v>625</v>
      </c>
      <c r="E985" s="5">
        <f>IFERROR(__xludf.DUMMYFUNCTION("""COMPUTED_VALUE"""),635.0)</f>
        <v>635</v>
      </c>
      <c r="F985" s="5">
        <f>IFERROR(__xludf.DUMMYFUNCTION("""COMPUTED_VALUE"""),5978300.0)</f>
        <v>5978300</v>
      </c>
      <c r="G985" s="5">
        <f t="shared" si="1"/>
        <v>15</v>
      </c>
    </row>
    <row r="986">
      <c r="A986" s="4">
        <f>IFERROR(__xludf.DUMMYFUNCTION("""COMPUTED_VALUE"""),45307.66666666667)</f>
        <v>45307.66667</v>
      </c>
      <c r="B986" s="5">
        <f>IFERROR(__xludf.DUMMYFUNCTION("""COMPUTED_VALUE"""),640.0)</f>
        <v>640</v>
      </c>
      <c r="C986" s="5">
        <f>IFERROR(__xludf.DUMMYFUNCTION("""COMPUTED_VALUE"""),645.0)</f>
        <v>645</v>
      </c>
      <c r="D986" s="5">
        <f>IFERROR(__xludf.DUMMYFUNCTION("""COMPUTED_VALUE"""),625.0)</f>
        <v>625</v>
      </c>
      <c r="E986" s="5">
        <f>IFERROR(__xludf.DUMMYFUNCTION("""COMPUTED_VALUE"""),625.0)</f>
        <v>625</v>
      </c>
      <c r="F986" s="5">
        <f>IFERROR(__xludf.DUMMYFUNCTION("""COMPUTED_VALUE"""),4966400.0)</f>
        <v>4966400</v>
      </c>
      <c r="G986" s="5">
        <f t="shared" si="1"/>
        <v>20</v>
      </c>
    </row>
    <row r="987">
      <c r="A987" s="4">
        <f>IFERROR(__xludf.DUMMYFUNCTION("""COMPUTED_VALUE"""),45308.66666666667)</f>
        <v>45308.66667</v>
      </c>
      <c r="B987" s="5">
        <f>IFERROR(__xludf.DUMMYFUNCTION("""COMPUTED_VALUE"""),625.0)</f>
        <v>625</v>
      </c>
      <c r="C987" s="5">
        <f>IFERROR(__xludf.DUMMYFUNCTION("""COMPUTED_VALUE"""),635.0)</f>
        <v>635</v>
      </c>
      <c r="D987" s="5">
        <f>IFERROR(__xludf.DUMMYFUNCTION("""COMPUTED_VALUE"""),620.0)</f>
        <v>620</v>
      </c>
      <c r="E987" s="5">
        <f>IFERROR(__xludf.DUMMYFUNCTION("""COMPUTED_VALUE"""),625.0)</f>
        <v>625</v>
      </c>
      <c r="F987" s="5">
        <f>IFERROR(__xludf.DUMMYFUNCTION("""COMPUTED_VALUE"""),7137900.0)</f>
        <v>7137900</v>
      </c>
      <c r="G987" s="5">
        <f t="shared" si="1"/>
        <v>15</v>
      </c>
    </row>
    <row r="988">
      <c r="A988" s="4">
        <f>IFERROR(__xludf.DUMMYFUNCTION("""COMPUTED_VALUE"""),45309.66666666667)</f>
        <v>45309.66667</v>
      </c>
      <c r="B988" s="5">
        <f>IFERROR(__xludf.DUMMYFUNCTION("""COMPUTED_VALUE"""),630.0)</f>
        <v>630</v>
      </c>
      <c r="C988" s="5">
        <f>IFERROR(__xludf.DUMMYFUNCTION("""COMPUTED_VALUE"""),630.0)</f>
        <v>630</v>
      </c>
      <c r="D988" s="5">
        <f>IFERROR(__xludf.DUMMYFUNCTION("""COMPUTED_VALUE"""),620.0)</f>
        <v>620</v>
      </c>
      <c r="E988" s="5">
        <f>IFERROR(__xludf.DUMMYFUNCTION("""COMPUTED_VALUE"""),630.0)</f>
        <v>630</v>
      </c>
      <c r="F988" s="5">
        <f>IFERROR(__xludf.DUMMYFUNCTION("""COMPUTED_VALUE"""),2947000.0)</f>
        <v>2947000</v>
      </c>
      <c r="G988" s="5">
        <f t="shared" si="1"/>
        <v>10</v>
      </c>
    </row>
    <row r="989">
      <c r="A989" s="4">
        <f>IFERROR(__xludf.DUMMYFUNCTION("""COMPUTED_VALUE"""),45310.66666666667)</f>
        <v>45310.66667</v>
      </c>
      <c r="B989" s="5">
        <f>IFERROR(__xludf.DUMMYFUNCTION("""COMPUTED_VALUE"""),635.0)</f>
        <v>635</v>
      </c>
      <c r="C989" s="5">
        <f>IFERROR(__xludf.DUMMYFUNCTION("""COMPUTED_VALUE"""),675.0)</f>
        <v>675</v>
      </c>
      <c r="D989" s="5">
        <f>IFERROR(__xludf.DUMMYFUNCTION("""COMPUTED_VALUE"""),630.0)</f>
        <v>630</v>
      </c>
      <c r="E989" s="5">
        <f>IFERROR(__xludf.DUMMYFUNCTION("""COMPUTED_VALUE"""),640.0)</f>
        <v>640</v>
      </c>
      <c r="F989" s="5">
        <f>IFERROR(__xludf.DUMMYFUNCTION("""COMPUTED_VALUE"""),2.94186E7)</f>
        <v>29418600</v>
      </c>
      <c r="G989" s="5">
        <f t="shared" si="1"/>
        <v>45</v>
      </c>
    </row>
    <row r="990">
      <c r="A990" s="4">
        <f>IFERROR(__xludf.DUMMYFUNCTION("""COMPUTED_VALUE"""),45313.66666666667)</f>
        <v>45313.66667</v>
      </c>
      <c r="B990" s="5">
        <f>IFERROR(__xludf.DUMMYFUNCTION("""COMPUTED_VALUE"""),645.0)</f>
        <v>645</v>
      </c>
      <c r="C990" s="5">
        <f>IFERROR(__xludf.DUMMYFUNCTION("""COMPUTED_VALUE"""),650.0)</f>
        <v>650</v>
      </c>
      <c r="D990" s="5">
        <f>IFERROR(__xludf.DUMMYFUNCTION("""COMPUTED_VALUE"""),620.0)</f>
        <v>620</v>
      </c>
      <c r="E990" s="5">
        <f>IFERROR(__xludf.DUMMYFUNCTION("""COMPUTED_VALUE"""),620.0)</f>
        <v>620</v>
      </c>
      <c r="F990" s="5">
        <f>IFERROR(__xludf.DUMMYFUNCTION("""COMPUTED_VALUE"""),1.05435E7)</f>
        <v>10543500</v>
      </c>
      <c r="G990" s="5">
        <f t="shared" si="1"/>
        <v>30</v>
      </c>
    </row>
    <row r="991">
      <c r="A991" s="4">
        <f>IFERROR(__xludf.DUMMYFUNCTION("""COMPUTED_VALUE"""),45314.66666666667)</f>
        <v>45314.66667</v>
      </c>
      <c r="B991" s="5">
        <f>IFERROR(__xludf.DUMMYFUNCTION("""COMPUTED_VALUE"""),625.0)</f>
        <v>625</v>
      </c>
      <c r="C991" s="5">
        <f>IFERROR(__xludf.DUMMYFUNCTION("""COMPUTED_VALUE"""),630.0)</f>
        <v>630</v>
      </c>
      <c r="D991" s="5">
        <f>IFERROR(__xludf.DUMMYFUNCTION("""COMPUTED_VALUE"""),610.0)</f>
        <v>610</v>
      </c>
      <c r="E991" s="5">
        <f>IFERROR(__xludf.DUMMYFUNCTION("""COMPUTED_VALUE"""),615.0)</f>
        <v>615</v>
      </c>
      <c r="F991" s="5">
        <f>IFERROR(__xludf.DUMMYFUNCTION("""COMPUTED_VALUE"""),1.44453E7)</f>
        <v>14445300</v>
      </c>
      <c r="G991" s="5">
        <f t="shared" si="1"/>
        <v>20</v>
      </c>
    </row>
    <row r="992">
      <c r="A992" s="4">
        <f>IFERROR(__xludf.DUMMYFUNCTION("""COMPUTED_VALUE"""),45315.66666666667)</f>
        <v>45315.66667</v>
      </c>
      <c r="B992" s="5">
        <f>IFERROR(__xludf.DUMMYFUNCTION("""COMPUTED_VALUE"""),615.0)</f>
        <v>615</v>
      </c>
      <c r="C992" s="5">
        <f>IFERROR(__xludf.DUMMYFUNCTION("""COMPUTED_VALUE"""),615.0)</f>
        <v>615</v>
      </c>
      <c r="D992" s="5">
        <f>IFERROR(__xludf.DUMMYFUNCTION("""COMPUTED_VALUE"""),590.0)</f>
        <v>590</v>
      </c>
      <c r="E992" s="5">
        <f>IFERROR(__xludf.DUMMYFUNCTION("""COMPUTED_VALUE"""),595.0)</f>
        <v>595</v>
      </c>
      <c r="F992" s="5">
        <f>IFERROR(__xludf.DUMMYFUNCTION("""COMPUTED_VALUE"""),2.15146E7)</f>
        <v>21514600</v>
      </c>
      <c r="G992" s="5">
        <f t="shared" si="1"/>
        <v>25</v>
      </c>
    </row>
    <row r="993">
      <c r="A993" s="4">
        <f>IFERROR(__xludf.DUMMYFUNCTION("""COMPUTED_VALUE"""),45316.66666666667)</f>
        <v>45316.66667</v>
      </c>
      <c r="B993" s="5">
        <f>IFERROR(__xludf.DUMMYFUNCTION("""COMPUTED_VALUE"""),595.0)</f>
        <v>595</v>
      </c>
      <c r="C993" s="5">
        <f>IFERROR(__xludf.DUMMYFUNCTION("""COMPUTED_VALUE"""),605.0)</f>
        <v>605</v>
      </c>
      <c r="D993" s="5">
        <f>IFERROR(__xludf.DUMMYFUNCTION("""COMPUTED_VALUE"""),590.0)</f>
        <v>590</v>
      </c>
      <c r="E993" s="5">
        <f>IFERROR(__xludf.DUMMYFUNCTION("""COMPUTED_VALUE"""),590.0)</f>
        <v>590</v>
      </c>
      <c r="F993" s="5">
        <f>IFERROR(__xludf.DUMMYFUNCTION("""COMPUTED_VALUE"""),1.75632E7)</f>
        <v>17563200</v>
      </c>
      <c r="G993" s="5">
        <f t="shared" si="1"/>
        <v>15</v>
      </c>
    </row>
    <row r="994">
      <c r="A994" s="4">
        <f>IFERROR(__xludf.DUMMYFUNCTION("""COMPUTED_VALUE"""),45317.66666666667)</f>
        <v>45317.66667</v>
      </c>
      <c r="B994" s="5">
        <f>IFERROR(__xludf.DUMMYFUNCTION("""COMPUTED_VALUE"""),590.0)</f>
        <v>590</v>
      </c>
      <c r="C994" s="5">
        <f>IFERROR(__xludf.DUMMYFUNCTION("""COMPUTED_VALUE"""),600.0)</f>
        <v>600</v>
      </c>
      <c r="D994" s="5">
        <f>IFERROR(__xludf.DUMMYFUNCTION("""COMPUTED_VALUE"""),580.0)</f>
        <v>580</v>
      </c>
      <c r="E994" s="5">
        <f>IFERROR(__xludf.DUMMYFUNCTION("""COMPUTED_VALUE"""),595.0)</f>
        <v>595</v>
      </c>
      <c r="F994" s="5">
        <f>IFERROR(__xludf.DUMMYFUNCTION("""COMPUTED_VALUE"""),7863200.0)</f>
        <v>7863200</v>
      </c>
      <c r="G994" s="5">
        <f t="shared" si="1"/>
        <v>20</v>
      </c>
    </row>
    <row r="995">
      <c r="A995" s="4">
        <f>IFERROR(__xludf.DUMMYFUNCTION("""COMPUTED_VALUE"""),45320.66666666667)</f>
        <v>45320.66667</v>
      </c>
      <c r="B995" s="5">
        <f>IFERROR(__xludf.DUMMYFUNCTION("""COMPUTED_VALUE"""),600.0)</f>
        <v>600</v>
      </c>
      <c r="C995" s="5">
        <f>IFERROR(__xludf.DUMMYFUNCTION("""COMPUTED_VALUE"""),600.0)</f>
        <v>600</v>
      </c>
      <c r="D995" s="5">
        <f>IFERROR(__xludf.DUMMYFUNCTION("""COMPUTED_VALUE"""),580.0)</f>
        <v>580</v>
      </c>
      <c r="E995" s="5">
        <f>IFERROR(__xludf.DUMMYFUNCTION("""COMPUTED_VALUE"""),580.0)</f>
        <v>580</v>
      </c>
      <c r="F995" s="5">
        <f>IFERROR(__xludf.DUMMYFUNCTION("""COMPUTED_VALUE"""),5358500.0)</f>
        <v>5358500</v>
      </c>
      <c r="G995" s="5">
        <f t="shared" si="1"/>
        <v>20</v>
      </c>
    </row>
    <row r="996">
      <c r="A996" s="4">
        <f>IFERROR(__xludf.DUMMYFUNCTION("""COMPUTED_VALUE"""),45321.66666666667)</f>
        <v>45321.66667</v>
      </c>
      <c r="B996" s="5">
        <f>IFERROR(__xludf.DUMMYFUNCTION("""COMPUTED_VALUE"""),580.0)</f>
        <v>580</v>
      </c>
      <c r="C996" s="5">
        <f>IFERROR(__xludf.DUMMYFUNCTION("""COMPUTED_VALUE"""),585.0)</f>
        <v>585</v>
      </c>
      <c r="D996" s="5">
        <f>IFERROR(__xludf.DUMMYFUNCTION("""COMPUTED_VALUE"""),565.0)</f>
        <v>565</v>
      </c>
      <c r="E996" s="5">
        <f>IFERROR(__xludf.DUMMYFUNCTION("""COMPUTED_VALUE"""),575.0)</f>
        <v>575</v>
      </c>
      <c r="F996" s="5">
        <f>IFERROR(__xludf.DUMMYFUNCTION("""COMPUTED_VALUE"""),5488600.0)</f>
        <v>5488600</v>
      </c>
      <c r="G996" s="5">
        <f t="shared" si="1"/>
        <v>20</v>
      </c>
    </row>
    <row r="997">
      <c r="A997" s="4">
        <f>IFERROR(__xludf.DUMMYFUNCTION("""COMPUTED_VALUE"""),45322.66666666667)</f>
        <v>45322.66667</v>
      </c>
      <c r="B997" s="5">
        <f>IFERROR(__xludf.DUMMYFUNCTION("""COMPUTED_VALUE"""),580.0)</f>
        <v>580</v>
      </c>
      <c r="C997" s="5">
        <f>IFERROR(__xludf.DUMMYFUNCTION("""COMPUTED_VALUE"""),595.0)</f>
        <v>595</v>
      </c>
      <c r="D997" s="5">
        <f>IFERROR(__xludf.DUMMYFUNCTION("""COMPUTED_VALUE"""),575.0)</f>
        <v>575</v>
      </c>
      <c r="E997" s="5">
        <f>IFERROR(__xludf.DUMMYFUNCTION("""COMPUTED_VALUE"""),575.0)</f>
        <v>575</v>
      </c>
      <c r="F997" s="5">
        <f>IFERROR(__xludf.DUMMYFUNCTION("""COMPUTED_VALUE"""),7523000.0)</f>
        <v>7523000</v>
      </c>
      <c r="G997" s="5">
        <f t="shared" si="1"/>
        <v>20</v>
      </c>
    </row>
    <row r="998">
      <c r="A998" s="4">
        <f>IFERROR(__xludf.DUMMYFUNCTION("""COMPUTED_VALUE"""),45323.66666666667)</f>
        <v>45323.66667</v>
      </c>
      <c r="B998" s="5">
        <f>IFERROR(__xludf.DUMMYFUNCTION("""COMPUTED_VALUE"""),575.0)</f>
        <v>575</v>
      </c>
      <c r="C998" s="5">
        <f>IFERROR(__xludf.DUMMYFUNCTION("""COMPUTED_VALUE"""),590.0)</f>
        <v>590</v>
      </c>
      <c r="D998" s="5">
        <f>IFERROR(__xludf.DUMMYFUNCTION("""COMPUTED_VALUE"""),570.0)</f>
        <v>570</v>
      </c>
      <c r="E998" s="5">
        <f>IFERROR(__xludf.DUMMYFUNCTION("""COMPUTED_VALUE"""),580.0)</f>
        <v>580</v>
      </c>
      <c r="F998" s="5">
        <f>IFERROR(__xludf.DUMMYFUNCTION("""COMPUTED_VALUE"""),2958700.0)</f>
        <v>2958700</v>
      </c>
      <c r="G998" s="5">
        <f t="shared" si="1"/>
        <v>20</v>
      </c>
    </row>
    <row r="999">
      <c r="A999" s="4">
        <f>IFERROR(__xludf.DUMMYFUNCTION("""COMPUTED_VALUE"""),45324.66666666667)</f>
        <v>45324.66667</v>
      </c>
      <c r="B999" s="5">
        <f>IFERROR(__xludf.DUMMYFUNCTION("""COMPUTED_VALUE"""),590.0)</f>
        <v>590</v>
      </c>
      <c r="C999" s="5">
        <f>IFERROR(__xludf.DUMMYFUNCTION("""COMPUTED_VALUE"""),590.0)</f>
        <v>590</v>
      </c>
      <c r="D999" s="5">
        <f>IFERROR(__xludf.DUMMYFUNCTION("""COMPUTED_VALUE"""),565.0)</f>
        <v>565</v>
      </c>
      <c r="E999" s="5">
        <f>IFERROR(__xludf.DUMMYFUNCTION("""COMPUTED_VALUE"""),565.0)</f>
        <v>565</v>
      </c>
      <c r="F999" s="5">
        <f>IFERROR(__xludf.DUMMYFUNCTION("""COMPUTED_VALUE"""),5605500.0)</f>
        <v>5605500</v>
      </c>
      <c r="G999" s="5">
        <f t="shared" si="1"/>
        <v>25</v>
      </c>
    </row>
    <row r="1000">
      <c r="A1000" s="4">
        <f>IFERROR(__xludf.DUMMYFUNCTION("""COMPUTED_VALUE"""),45327.66666666667)</f>
        <v>45327.66667</v>
      </c>
      <c r="B1000" s="5">
        <f>IFERROR(__xludf.DUMMYFUNCTION("""COMPUTED_VALUE"""),605.0)</f>
        <v>605</v>
      </c>
      <c r="C1000" s="5">
        <f>IFERROR(__xludf.DUMMYFUNCTION("""COMPUTED_VALUE"""),605.0)</f>
        <v>605</v>
      </c>
      <c r="D1000" s="5">
        <f>IFERROR(__xludf.DUMMYFUNCTION("""COMPUTED_VALUE"""),555.0)</f>
        <v>555</v>
      </c>
      <c r="E1000" s="5">
        <f>IFERROR(__xludf.DUMMYFUNCTION("""COMPUTED_VALUE"""),555.0)</f>
        <v>555</v>
      </c>
      <c r="F1000" s="5">
        <f>IFERROR(__xludf.DUMMYFUNCTION("""COMPUTED_VALUE"""),6419000.0)</f>
        <v>6419000</v>
      </c>
      <c r="G1000" s="5">
        <f t="shared" si="1"/>
        <v>50</v>
      </c>
    </row>
    <row r="1001">
      <c r="A1001" s="4">
        <f>IFERROR(__xludf.DUMMYFUNCTION("""COMPUTED_VALUE"""),45328.66666666667)</f>
        <v>45328.66667</v>
      </c>
      <c r="B1001" s="5">
        <f>IFERROR(__xludf.DUMMYFUNCTION("""COMPUTED_VALUE"""),555.0)</f>
        <v>555</v>
      </c>
      <c r="C1001" s="5">
        <f>IFERROR(__xludf.DUMMYFUNCTION("""COMPUTED_VALUE"""),560.0)</f>
        <v>560</v>
      </c>
      <c r="D1001" s="5">
        <f>IFERROR(__xludf.DUMMYFUNCTION("""COMPUTED_VALUE"""),550.0)</f>
        <v>550</v>
      </c>
      <c r="E1001" s="5">
        <f>IFERROR(__xludf.DUMMYFUNCTION("""COMPUTED_VALUE"""),550.0)</f>
        <v>550</v>
      </c>
      <c r="F1001" s="5">
        <f>IFERROR(__xludf.DUMMYFUNCTION("""COMPUTED_VALUE"""),3882600.0)</f>
        <v>3882600</v>
      </c>
      <c r="G1001" s="5">
        <f t="shared" si="1"/>
        <v>10</v>
      </c>
    </row>
    <row r="1002">
      <c r="A1002" s="4">
        <f>IFERROR(__xludf.DUMMYFUNCTION("""COMPUTED_VALUE"""),45329.66666666667)</f>
        <v>45329.66667</v>
      </c>
      <c r="B1002" s="5">
        <f>IFERROR(__xludf.DUMMYFUNCTION("""COMPUTED_VALUE"""),550.0)</f>
        <v>550</v>
      </c>
      <c r="C1002" s="5">
        <f>IFERROR(__xludf.DUMMYFUNCTION("""COMPUTED_VALUE"""),560.0)</f>
        <v>560</v>
      </c>
      <c r="D1002" s="5">
        <f>IFERROR(__xludf.DUMMYFUNCTION("""COMPUTED_VALUE"""),540.0)</f>
        <v>540</v>
      </c>
      <c r="E1002" s="5">
        <f>IFERROR(__xludf.DUMMYFUNCTION("""COMPUTED_VALUE"""),545.0)</f>
        <v>545</v>
      </c>
      <c r="F1002" s="5">
        <f>IFERROR(__xludf.DUMMYFUNCTION("""COMPUTED_VALUE"""),5915900.0)</f>
        <v>5915900</v>
      </c>
      <c r="G1002" s="5">
        <f t="shared" si="1"/>
        <v>20</v>
      </c>
    </row>
    <row r="1003">
      <c r="A1003" s="4">
        <f>IFERROR(__xludf.DUMMYFUNCTION("""COMPUTED_VALUE"""),45334.66666666667)</f>
        <v>45334.66667</v>
      </c>
      <c r="B1003" s="5">
        <f>IFERROR(__xludf.DUMMYFUNCTION("""COMPUTED_VALUE"""),550.0)</f>
        <v>550</v>
      </c>
      <c r="C1003" s="5">
        <f>IFERROR(__xludf.DUMMYFUNCTION("""COMPUTED_VALUE"""),570.0)</f>
        <v>570</v>
      </c>
      <c r="D1003" s="5">
        <f>IFERROR(__xludf.DUMMYFUNCTION("""COMPUTED_VALUE"""),545.0)</f>
        <v>545</v>
      </c>
      <c r="E1003" s="5">
        <f>IFERROR(__xludf.DUMMYFUNCTION("""COMPUTED_VALUE"""),565.0)</f>
        <v>565</v>
      </c>
      <c r="F1003" s="5">
        <f>IFERROR(__xludf.DUMMYFUNCTION("""COMPUTED_VALUE"""),1.02451E7)</f>
        <v>10245100</v>
      </c>
      <c r="G1003" s="5">
        <f t="shared" si="1"/>
        <v>25</v>
      </c>
    </row>
    <row r="1004">
      <c r="A1004" s="4">
        <f>IFERROR(__xludf.DUMMYFUNCTION("""COMPUTED_VALUE"""),45335.66666666667)</f>
        <v>45335.66667</v>
      </c>
      <c r="B1004" s="5">
        <f>IFERROR(__xludf.DUMMYFUNCTION("""COMPUTED_VALUE"""),605.0)</f>
        <v>605</v>
      </c>
      <c r="C1004" s="5">
        <f>IFERROR(__xludf.DUMMYFUNCTION("""COMPUTED_VALUE"""),605.0)</f>
        <v>605</v>
      </c>
      <c r="D1004" s="5">
        <f>IFERROR(__xludf.DUMMYFUNCTION("""COMPUTED_VALUE"""),565.0)</f>
        <v>565</v>
      </c>
      <c r="E1004" s="5">
        <f>IFERROR(__xludf.DUMMYFUNCTION("""COMPUTED_VALUE"""),580.0)</f>
        <v>580</v>
      </c>
      <c r="F1004" s="5">
        <f>IFERROR(__xludf.DUMMYFUNCTION("""COMPUTED_VALUE"""),1.70191E7)</f>
        <v>17019100</v>
      </c>
      <c r="G1004" s="5">
        <f t="shared" si="1"/>
        <v>40</v>
      </c>
    </row>
    <row r="1005">
      <c r="A1005" s="4">
        <f>IFERROR(__xludf.DUMMYFUNCTION("""COMPUTED_VALUE"""),45337.66666666667)</f>
        <v>45337.66667</v>
      </c>
      <c r="B1005" s="5">
        <f>IFERROR(__xludf.DUMMYFUNCTION("""COMPUTED_VALUE"""),540.0)</f>
        <v>540</v>
      </c>
      <c r="C1005" s="5">
        <f>IFERROR(__xludf.DUMMYFUNCTION("""COMPUTED_VALUE"""),605.0)</f>
        <v>605</v>
      </c>
      <c r="D1005" s="5">
        <f>IFERROR(__xludf.DUMMYFUNCTION("""COMPUTED_VALUE"""),540.0)</f>
        <v>540</v>
      </c>
      <c r="E1005" s="5">
        <f>IFERROR(__xludf.DUMMYFUNCTION("""COMPUTED_VALUE"""),570.0)</f>
        <v>570</v>
      </c>
      <c r="F1005" s="5">
        <f>IFERROR(__xludf.DUMMYFUNCTION("""COMPUTED_VALUE"""),1.23136E7)</f>
        <v>12313600</v>
      </c>
      <c r="G1005" s="5">
        <f t="shared" si="1"/>
        <v>65</v>
      </c>
    </row>
    <row r="1006">
      <c r="A1006" s="4">
        <f>IFERROR(__xludf.DUMMYFUNCTION("""COMPUTED_VALUE"""),45338.66666666667)</f>
        <v>45338.66667</v>
      </c>
      <c r="B1006" s="5">
        <f>IFERROR(__xludf.DUMMYFUNCTION("""COMPUTED_VALUE"""),570.0)</f>
        <v>570</v>
      </c>
      <c r="C1006" s="5">
        <f>IFERROR(__xludf.DUMMYFUNCTION("""COMPUTED_VALUE"""),585.0)</f>
        <v>585</v>
      </c>
      <c r="D1006" s="5">
        <f>IFERROR(__xludf.DUMMYFUNCTION("""COMPUTED_VALUE"""),570.0)</f>
        <v>570</v>
      </c>
      <c r="E1006" s="5">
        <f>IFERROR(__xludf.DUMMYFUNCTION("""COMPUTED_VALUE"""),570.0)</f>
        <v>570</v>
      </c>
      <c r="F1006" s="5">
        <f>IFERROR(__xludf.DUMMYFUNCTION("""COMPUTED_VALUE"""),5405000.0)</f>
        <v>5405000</v>
      </c>
      <c r="G1006" s="5">
        <f t="shared" si="1"/>
        <v>15</v>
      </c>
    </row>
    <row r="1007">
      <c r="A1007" s="4">
        <f>IFERROR(__xludf.DUMMYFUNCTION("""COMPUTED_VALUE"""),45341.66666666667)</f>
        <v>45341.66667</v>
      </c>
      <c r="B1007" s="5">
        <f>IFERROR(__xludf.DUMMYFUNCTION("""COMPUTED_VALUE"""),570.0)</f>
        <v>570</v>
      </c>
      <c r="C1007" s="5">
        <f>IFERROR(__xludf.DUMMYFUNCTION("""COMPUTED_VALUE"""),580.0)</f>
        <v>580</v>
      </c>
      <c r="D1007" s="5">
        <f>IFERROR(__xludf.DUMMYFUNCTION("""COMPUTED_VALUE"""),565.0)</f>
        <v>565</v>
      </c>
      <c r="E1007" s="5">
        <f>IFERROR(__xludf.DUMMYFUNCTION("""COMPUTED_VALUE"""),570.0)</f>
        <v>570</v>
      </c>
      <c r="F1007" s="5">
        <f>IFERROR(__xludf.DUMMYFUNCTION("""COMPUTED_VALUE"""),1280700.0)</f>
        <v>1280700</v>
      </c>
      <c r="G1007" s="5">
        <f t="shared" si="1"/>
        <v>15</v>
      </c>
    </row>
    <row r="1008">
      <c r="A1008" s="4">
        <f>IFERROR(__xludf.DUMMYFUNCTION("""COMPUTED_VALUE"""),45342.66666666667)</f>
        <v>45342.66667</v>
      </c>
      <c r="B1008" s="5">
        <f>IFERROR(__xludf.DUMMYFUNCTION("""COMPUTED_VALUE"""),570.0)</f>
        <v>570</v>
      </c>
      <c r="C1008" s="5">
        <f>IFERROR(__xludf.DUMMYFUNCTION("""COMPUTED_VALUE"""),575.0)</f>
        <v>575</v>
      </c>
      <c r="D1008" s="5">
        <f>IFERROR(__xludf.DUMMYFUNCTION("""COMPUTED_VALUE"""),560.0)</f>
        <v>560</v>
      </c>
      <c r="E1008" s="5">
        <f>IFERROR(__xludf.DUMMYFUNCTION("""COMPUTED_VALUE"""),560.0)</f>
        <v>560</v>
      </c>
      <c r="F1008" s="5">
        <f>IFERROR(__xludf.DUMMYFUNCTION("""COMPUTED_VALUE"""),5878200.0)</f>
        <v>5878200</v>
      </c>
      <c r="G1008" s="5">
        <f t="shared" si="1"/>
        <v>15</v>
      </c>
    </row>
    <row r="1009">
      <c r="A1009" s="4">
        <f>IFERROR(__xludf.DUMMYFUNCTION("""COMPUTED_VALUE"""),45343.66666666667)</f>
        <v>45343.66667</v>
      </c>
      <c r="B1009" s="5">
        <f>IFERROR(__xludf.DUMMYFUNCTION("""COMPUTED_VALUE"""),565.0)</f>
        <v>565</v>
      </c>
      <c r="C1009" s="5">
        <f>IFERROR(__xludf.DUMMYFUNCTION("""COMPUTED_VALUE"""),570.0)</f>
        <v>570</v>
      </c>
      <c r="D1009" s="5">
        <f>IFERROR(__xludf.DUMMYFUNCTION("""COMPUTED_VALUE"""),550.0)</f>
        <v>550</v>
      </c>
      <c r="E1009" s="5">
        <f>IFERROR(__xludf.DUMMYFUNCTION("""COMPUTED_VALUE"""),570.0)</f>
        <v>570</v>
      </c>
      <c r="F1009" s="5">
        <f>IFERROR(__xludf.DUMMYFUNCTION("""COMPUTED_VALUE"""),6743400.0)</f>
        <v>6743400</v>
      </c>
      <c r="G1009" s="5">
        <f t="shared" si="1"/>
        <v>20</v>
      </c>
    </row>
    <row r="1010">
      <c r="A1010" s="4">
        <f>IFERROR(__xludf.DUMMYFUNCTION("""COMPUTED_VALUE"""),45344.66666666667)</f>
        <v>45344.66667</v>
      </c>
      <c r="B1010" s="5">
        <f>IFERROR(__xludf.DUMMYFUNCTION("""COMPUTED_VALUE"""),570.0)</f>
        <v>570</v>
      </c>
      <c r="C1010" s="5">
        <f>IFERROR(__xludf.DUMMYFUNCTION("""COMPUTED_VALUE"""),575.0)</f>
        <v>575</v>
      </c>
      <c r="D1010" s="5">
        <f>IFERROR(__xludf.DUMMYFUNCTION("""COMPUTED_VALUE"""),560.0)</f>
        <v>560</v>
      </c>
      <c r="E1010" s="5">
        <f>IFERROR(__xludf.DUMMYFUNCTION("""COMPUTED_VALUE"""),575.0)</f>
        <v>575</v>
      </c>
      <c r="F1010" s="5">
        <f>IFERROR(__xludf.DUMMYFUNCTION("""COMPUTED_VALUE"""),4312700.0)</f>
        <v>4312700</v>
      </c>
      <c r="G1010" s="5">
        <f t="shared" si="1"/>
        <v>15</v>
      </c>
    </row>
    <row r="1011">
      <c r="A1011" s="4">
        <f>IFERROR(__xludf.DUMMYFUNCTION("""COMPUTED_VALUE"""),45345.66666666667)</f>
        <v>45345.66667</v>
      </c>
      <c r="B1011" s="5">
        <f>IFERROR(__xludf.DUMMYFUNCTION("""COMPUTED_VALUE"""),575.0)</f>
        <v>575</v>
      </c>
      <c r="C1011" s="5">
        <f>IFERROR(__xludf.DUMMYFUNCTION("""COMPUTED_VALUE"""),590.0)</f>
        <v>590</v>
      </c>
      <c r="D1011" s="5">
        <f>IFERROR(__xludf.DUMMYFUNCTION("""COMPUTED_VALUE"""),565.0)</f>
        <v>565</v>
      </c>
      <c r="E1011" s="5">
        <f>IFERROR(__xludf.DUMMYFUNCTION("""COMPUTED_VALUE"""),590.0)</f>
        <v>590</v>
      </c>
      <c r="F1011" s="5">
        <f>IFERROR(__xludf.DUMMYFUNCTION("""COMPUTED_VALUE"""),7106600.0)</f>
        <v>7106600</v>
      </c>
      <c r="G1011" s="5">
        <f t="shared" si="1"/>
        <v>25</v>
      </c>
    </row>
    <row r="1012">
      <c r="A1012" s="4">
        <f>IFERROR(__xludf.DUMMYFUNCTION("""COMPUTED_VALUE"""),45348.66666666667)</f>
        <v>45348.66667</v>
      </c>
      <c r="B1012" s="5">
        <f>IFERROR(__xludf.DUMMYFUNCTION("""COMPUTED_VALUE"""),590.0)</f>
        <v>590</v>
      </c>
      <c r="C1012" s="5">
        <f>IFERROR(__xludf.DUMMYFUNCTION("""COMPUTED_VALUE"""),595.0)</f>
        <v>595</v>
      </c>
      <c r="D1012" s="5">
        <f>IFERROR(__xludf.DUMMYFUNCTION("""COMPUTED_VALUE"""),570.0)</f>
        <v>570</v>
      </c>
      <c r="E1012" s="5">
        <f>IFERROR(__xludf.DUMMYFUNCTION("""COMPUTED_VALUE"""),575.0)</f>
        <v>575</v>
      </c>
      <c r="F1012" s="5">
        <f>IFERROR(__xludf.DUMMYFUNCTION("""COMPUTED_VALUE"""),3787600.0)</f>
        <v>3787600</v>
      </c>
      <c r="G1012" s="5">
        <f t="shared" si="1"/>
        <v>25</v>
      </c>
    </row>
    <row r="1013">
      <c r="A1013" s="4">
        <f>IFERROR(__xludf.DUMMYFUNCTION("""COMPUTED_VALUE"""),45349.66666666667)</f>
        <v>45349.66667</v>
      </c>
      <c r="B1013" s="5">
        <f>IFERROR(__xludf.DUMMYFUNCTION("""COMPUTED_VALUE"""),575.0)</f>
        <v>575</v>
      </c>
      <c r="C1013" s="5">
        <f>IFERROR(__xludf.DUMMYFUNCTION("""COMPUTED_VALUE"""),585.0)</f>
        <v>585</v>
      </c>
      <c r="D1013" s="5">
        <f>IFERROR(__xludf.DUMMYFUNCTION("""COMPUTED_VALUE"""),560.0)</f>
        <v>560</v>
      </c>
      <c r="E1013" s="5">
        <f>IFERROR(__xludf.DUMMYFUNCTION("""COMPUTED_VALUE"""),570.0)</f>
        <v>570</v>
      </c>
      <c r="F1013" s="5">
        <f>IFERROR(__xludf.DUMMYFUNCTION("""COMPUTED_VALUE"""),3488100.0)</f>
        <v>3488100</v>
      </c>
      <c r="G1013" s="5">
        <f t="shared" si="1"/>
        <v>25</v>
      </c>
    </row>
    <row r="1014">
      <c r="A1014" s="4">
        <f>IFERROR(__xludf.DUMMYFUNCTION("""COMPUTED_VALUE"""),45350.66666666667)</f>
        <v>45350.66667</v>
      </c>
      <c r="B1014" s="5">
        <f>IFERROR(__xludf.DUMMYFUNCTION("""COMPUTED_VALUE"""),575.0)</f>
        <v>575</v>
      </c>
      <c r="C1014" s="5">
        <f>IFERROR(__xludf.DUMMYFUNCTION("""COMPUTED_VALUE"""),575.0)</f>
        <v>575</v>
      </c>
      <c r="D1014" s="5">
        <f>IFERROR(__xludf.DUMMYFUNCTION("""COMPUTED_VALUE"""),565.0)</f>
        <v>565</v>
      </c>
      <c r="E1014" s="5">
        <f>IFERROR(__xludf.DUMMYFUNCTION("""COMPUTED_VALUE"""),575.0)</f>
        <v>575</v>
      </c>
      <c r="F1014" s="5">
        <f>IFERROR(__xludf.DUMMYFUNCTION("""COMPUTED_VALUE"""),1715000.0)</f>
        <v>1715000</v>
      </c>
      <c r="G1014" s="5">
        <f t="shared" si="1"/>
        <v>10</v>
      </c>
    </row>
    <row r="1015">
      <c r="A1015" s="4">
        <f>IFERROR(__xludf.DUMMYFUNCTION("""COMPUTED_VALUE"""),45351.66666666667)</f>
        <v>45351.66667</v>
      </c>
      <c r="B1015" s="5">
        <f>IFERROR(__xludf.DUMMYFUNCTION("""COMPUTED_VALUE"""),575.0)</f>
        <v>575</v>
      </c>
      <c r="C1015" s="5">
        <f>IFERROR(__xludf.DUMMYFUNCTION("""COMPUTED_VALUE"""),575.0)</f>
        <v>575</v>
      </c>
      <c r="D1015" s="5">
        <f>IFERROR(__xludf.DUMMYFUNCTION("""COMPUTED_VALUE"""),560.0)</f>
        <v>560</v>
      </c>
      <c r="E1015" s="5">
        <f>IFERROR(__xludf.DUMMYFUNCTION("""COMPUTED_VALUE"""),570.0)</f>
        <v>570</v>
      </c>
      <c r="F1015" s="5">
        <f>IFERROR(__xludf.DUMMYFUNCTION("""COMPUTED_VALUE"""),3935200.0)</f>
        <v>3935200</v>
      </c>
      <c r="G1015" s="5">
        <f t="shared" si="1"/>
        <v>15</v>
      </c>
    </row>
    <row r="1016">
      <c r="A1016" s="4">
        <f>IFERROR(__xludf.DUMMYFUNCTION("""COMPUTED_VALUE"""),45352.66666666667)</f>
        <v>45352.66667</v>
      </c>
      <c r="B1016" s="5">
        <f>IFERROR(__xludf.DUMMYFUNCTION("""COMPUTED_VALUE"""),520.0)</f>
        <v>520</v>
      </c>
      <c r="C1016" s="5">
        <f>IFERROR(__xludf.DUMMYFUNCTION("""COMPUTED_VALUE"""),575.0)</f>
        <v>575</v>
      </c>
      <c r="D1016" s="5">
        <f>IFERROR(__xludf.DUMMYFUNCTION("""COMPUTED_VALUE"""),520.0)</f>
        <v>520</v>
      </c>
      <c r="E1016" s="5">
        <f>IFERROR(__xludf.DUMMYFUNCTION("""COMPUTED_VALUE"""),575.0)</f>
        <v>575</v>
      </c>
      <c r="F1016" s="5">
        <f>IFERROR(__xludf.DUMMYFUNCTION("""COMPUTED_VALUE"""),4797900.0)</f>
        <v>4797900</v>
      </c>
      <c r="G1016" s="5">
        <f t="shared" si="1"/>
        <v>55</v>
      </c>
    </row>
    <row r="1017">
      <c r="A1017" s="4">
        <f>IFERROR(__xludf.DUMMYFUNCTION("""COMPUTED_VALUE"""),45355.66666666667)</f>
        <v>45355.66667</v>
      </c>
      <c r="B1017" s="5">
        <f>IFERROR(__xludf.DUMMYFUNCTION("""COMPUTED_VALUE"""),570.0)</f>
        <v>570</v>
      </c>
      <c r="C1017" s="5">
        <f>IFERROR(__xludf.DUMMYFUNCTION("""COMPUTED_VALUE"""),580.0)</f>
        <v>580</v>
      </c>
      <c r="D1017" s="5">
        <f>IFERROR(__xludf.DUMMYFUNCTION("""COMPUTED_VALUE"""),560.0)</f>
        <v>560</v>
      </c>
      <c r="E1017" s="5">
        <f>IFERROR(__xludf.DUMMYFUNCTION("""COMPUTED_VALUE"""),565.0)</f>
        <v>565</v>
      </c>
      <c r="F1017" s="5">
        <f>IFERROR(__xludf.DUMMYFUNCTION("""COMPUTED_VALUE"""),2643900.0)</f>
        <v>2643900</v>
      </c>
      <c r="G1017" s="5">
        <f t="shared" si="1"/>
        <v>20</v>
      </c>
    </row>
    <row r="1018">
      <c r="A1018" s="4">
        <f>IFERROR(__xludf.DUMMYFUNCTION("""COMPUTED_VALUE"""),45356.66666666667)</f>
        <v>45356.66667</v>
      </c>
      <c r="B1018" s="5">
        <f>IFERROR(__xludf.DUMMYFUNCTION("""COMPUTED_VALUE"""),570.0)</f>
        <v>570</v>
      </c>
      <c r="C1018" s="5">
        <f>IFERROR(__xludf.DUMMYFUNCTION("""COMPUTED_VALUE"""),570.0)</f>
        <v>570</v>
      </c>
      <c r="D1018" s="5">
        <f>IFERROR(__xludf.DUMMYFUNCTION("""COMPUTED_VALUE"""),555.0)</f>
        <v>555</v>
      </c>
      <c r="E1018" s="5">
        <f>IFERROR(__xludf.DUMMYFUNCTION("""COMPUTED_VALUE"""),565.0)</f>
        <v>565</v>
      </c>
      <c r="F1018" s="5">
        <f>IFERROR(__xludf.DUMMYFUNCTION("""COMPUTED_VALUE"""),3529800.0)</f>
        <v>3529800</v>
      </c>
      <c r="G1018" s="5">
        <f t="shared" si="1"/>
        <v>15</v>
      </c>
    </row>
    <row r="1019">
      <c r="A1019" s="4">
        <f>IFERROR(__xludf.DUMMYFUNCTION("""COMPUTED_VALUE"""),45357.66666666667)</f>
        <v>45357.66667</v>
      </c>
      <c r="B1019" s="5">
        <f>IFERROR(__xludf.DUMMYFUNCTION("""COMPUTED_VALUE"""),560.0)</f>
        <v>560</v>
      </c>
      <c r="C1019" s="5">
        <f>IFERROR(__xludf.DUMMYFUNCTION("""COMPUTED_VALUE"""),570.0)</f>
        <v>570</v>
      </c>
      <c r="D1019" s="5">
        <f>IFERROR(__xludf.DUMMYFUNCTION("""COMPUTED_VALUE"""),555.0)</f>
        <v>555</v>
      </c>
      <c r="E1019" s="5">
        <f>IFERROR(__xludf.DUMMYFUNCTION("""COMPUTED_VALUE"""),565.0)</f>
        <v>565</v>
      </c>
      <c r="F1019" s="5">
        <f>IFERROR(__xludf.DUMMYFUNCTION("""COMPUTED_VALUE"""),4717600.0)</f>
        <v>4717600</v>
      </c>
      <c r="G1019" s="5">
        <f t="shared" si="1"/>
        <v>15</v>
      </c>
    </row>
    <row r="1020">
      <c r="A1020" s="4">
        <f>IFERROR(__xludf.DUMMYFUNCTION("""COMPUTED_VALUE"""),45358.66666666667)</f>
        <v>45358.66667</v>
      </c>
      <c r="B1020" s="5">
        <f>IFERROR(__xludf.DUMMYFUNCTION("""COMPUTED_VALUE"""),565.0)</f>
        <v>565</v>
      </c>
      <c r="C1020" s="5">
        <f>IFERROR(__xludf.DUMMYFUNCTION("""COMPUTED_VALUE"""),615.0)</f>
        <v>615</v>
      </c>
      <c r="D1020" s="5">
        <f>IFERROR(__xludf.DUMMYFUNCTION("""COMPUTED_VALUE"""),565.0)</f>
        <v>565</v>
      </c>
      <c r="E1020" s="5">
        <f>IFERROR(__xludf.DUMMYFUNCTION("""COMPUTED_VALUE"""),605.0)</f>
        <v>605</v>
      </c>
      <c r="F1020" s="5">
        <f>IFERROR(__xludf.DUMMYFUNCTION("""COMPUTED_VALUE"""),2.45575E7)</f>
        <v>24557500</v>
      </c>
      <c r="G1020" s="5">
        <f t="shared" si="1"/>
        <v>50</v>
      </c>
    </row>
    <row r="1021">
      <c r="A1021" s="4">
        <f>IFERROR(__xludf.DUMMYFUNCTION("""COMPUTED_VALUE"""),45359.66666666667)</f>
        <v>45359.66667</v>
      </c>
      <c r="B1021" s="5">
        <f>IFERROR(__xludf.DUMMYFUNCTION("""COMPUTED_VALUE"""),605.0)</f>
        <v>605</v>
      </c>
      <c r="C1021" s="5">
        <f>IFERROR(__xludf.DUMMYFUNCTION("""COMPUTED_VALUE"""),750.0)</f>
        <v>750</v>
      </c>
      <c r="D1021" s="5">
        <f>IFERROR(__xludf.DUMMYFUNCTION("""COMPUTED_VALUE"""),605.0)</f>
        <v>605</v>
      </c>
      <c r="E1021" s="5">
        <f>IFERROR(__xludf.DUMMYFUNCTION("""COMPUTED_VALUE"""),730.0)</f>
        <v>730</v>
      </c>
      <c r="F1021" s="5">
        <f>IFERROR(__xludf.DUMMYFUNCTION("""COMPUTED_VALUE"""),1.752546E8)</f>
        <v>175254600</v>
      </c>
      <c r="G1021" s="5">
        <f t="shared" si="1"/>
        <v>145</v>
      </c>
    </row>
    <row r="1022">
      <c r="A1022" s="4">
        <f>IFERROR(__xludf.DUMMYFUNCTION("""COMPUTED_VALUE"""),45364.66666666667)</f>
        <v>45364.66667</v>
      </c>
      <c r="B1022" s="5">
        <f>IFERROR(__xludf.DUMMYFUNCTION("""COMPUTED_VALUE"""),730.0)</f>
        <v>730</v>
      </c>
      <c r="C1022" s="5">
        <f>IFERROR(__xludf.DUMMYFUNCTION("""COMPUTED_VALUE"""),850.0)</f>
        <v>850</v>
      </c>
      <c r="D1022" s="5">
        <f>IFERROR(__xludf.DUMMYFUNCTION("""COMPUTED_VALUE"""),725.0)</f>
        <v>725</v>
      </c>
      <c r="E1022" s="5">
        <f>IFERROR(__xludf.DUMMYFUNCTION("""COMPUTED_VALUE"""),830.0)</f>
        <v>830</v>
      </c>
      <c r="F1022" s="5">
        <f>IFERROR(__xludf.DUMMYFUNCTION("""COMPUTED_VALUE"""),2.600995E8)</f>
        <v>260099500</v>
      </c>
      <c r="G1022" s="5">
        <f t="shared" si="1"/>
        <v>125</v>
      </c>
    </row>
    <row r="1023">
      <c r="A1023" s="4">
        <f>IFERROR(__xludf.DUMMYFUNCTION("""COMPUTED_VALUE"""),45365.66666666667)</f>
        <v>45365.66667</v>
      </c>
      <c r="B1023" s="5">
        <f>IFERROR(__xludf.DUMMYFUNCTION("""COMPUTED_VALUE"""),845.0)</f>
        <v>845</v>
      </c>
      <c r="C1023" s="5">
        <f>IFERROR(__xludf.DUMMYFUNCTION("""COMPUTED_VALUE"""),860.0)</f>
        <v>860</v>
      </c>
      <c r="D1023" s="5">
        <f>IFERROR(__xludf.DUMMYFUNCTION("""COMPUTED_VALUE"""),785.0)</f>
        <v>785</v>
      </c>
      <c r="E1023" s="5">
        <f>IFERROR(__xludf.DUMMYFUNCTION("""COMPUTED_VALUE"""),805.0)</f>
        <v>805</v>
      </c>
      <c r="F1023" s="5">
        <f>IFERROR(__xludf.DUMMYFUNCTION("""COMPUTED_VALUE"""),7.86709E7)</f>
        <v>78670900</v>
      </c>
      <c r="G1023" s="5">
        <f t="shared" si="1"/>
        <v>75</v>
      </c>
    </row>
    <row r="1024">
      <c r="A1024" s="4">
        <f>IFERROR(__xludf.DUMMYFUNCTION("""COMPUTED_VALUE"""),45366.66666666667)</f>
        <v>45366.66667</v>
      </c>
      <c r="B1024" s="5">
        <f>IFERROR(__xludf.DUMMYFUNCTION("""COMPUTED_VALUE"""),820.0)</f>
        <v>820</v>
      </c>
      <c r="C1024" s="5">
        <f>IFERROR(__xludf.DUMMYFUNCTION("""COMPUTED_VALUE"""),915.0)</f>
        <v>915</v>
      </c>
      <c r="D1024" s="5">
        <f>IFERROR(__xludf.DUMMYFUNCTION("""COMPUTED_VALUE"""),800.0)</f>
        <v>800</v>
      </c>
      <c r="E1024" s="5">
        <f>IFERROR(__xludf.DUMMYFUNCTION("""COMPUTED_VALUE"""),885.0)</f>
        <v>885</v>
      </c>
      <c r="F1024" s="5">
        <f>IFERROR(__xludf.DUMMYFUNCTION("""COMPUTED_VALUE"""),1.872606E8)</f>
        <v>187260600</v>
      </c>
      <c r="G1024" s="5">
        <f t="shared" si="1"/>
        <v>115</v>
      </c>
    </row>
    <row r="1025">
      <c r="A1025" s="4">
        <f>IFERROR(__xludf.DUMMYFUNCTION("""COMPUTED_VALUE"""),45369.66666666667)</f>
        <v>45369.66667</v>
      </c>
      <c r="B1025" s="5">
        <f>IFERROR(__xludf.DUMMYFUNCTION("""COMPUTED_VALUE"""),900.0)</f>
        <v>900</v>
      </c>
      <c r="C1025" s="5">
        <f>IFERROR(__xludf.DUMMYFUNCTION("""COMPUTED_VALUE"""),955.0)</f>
        <v>955</v>
      </c>
      <c r="D1025" s="5">
        <f>IFERROR(__xludf.DUMMYFUNCTION("""COMPUTED_VALUE"""),870.0)</f>
        <v>870</v>
      </c>
      <c r="E1025" s="5">
        <f>IFERROR(__xludf.DUMMYFUNCTION("""COMPUTED_VALUE"""),895.0)</f>
        <v>895</v>
      </c>
      <c r="F1025" s="5">
        <f>IFERROR(__xludf.DUMMYFUNCTION("""COMPUTED_VALUE"""),1.231305E8)</f>
        <v>123130500</v>
      </c>
      <c r="G1025" s="5">
        <f t="shared" si="1"/>
        <v>85</v>
      </c>
    </row>
    <row r="1026">
      <c r="A1026" s="4">
        <f>IFERROR(__xludf.DUMMYFUNCTION("""COMPUTED_VALUE"""),45370.66666666667)</f>
        <v>45370.66667</v>
      </c>
      <c r="B1026" s="5">
        <f>IFERROR(__xludf.DUMMYFUNCTION("""COMPUTED_VALUE"""),895.0)</f>
        <v>895</v>
      </c>
      <c r="C1026" s="5">
        <f>IFERROR(__xludf.DUMMYFUNCTION("""COMPUTED_VALUE"""),900.0)</f>
        <v>900</v>
      </c>
      <c r="D1026" s="5">
        <f>IFERROR(__xludf.DUMMYFUNCTION("""COMPUTED_VALUE"""),830.0)</f>
        <v>830</v>
      </c>
      <c r="E1026" s="5">
        <f>IFERROR(__xludf.DUMMYFUNCTION("""COMPUTED_VALUE"""),830.0)</f>
        <v>830</v>
      </c>
      <c r="F1026" s="5">
        <f>IFERROR(__xludf.DUMMYFUNCTION("""COMPUTED_VALUE"""),7.98806E7)</f>
        <v>79880600</v>
      </c>
      <c r="G1026" s="5">
        <f t="shared" si="1"/>
        <v>70</v>
      </c>
    </row>
    <row r="1027">
      <c r="A1027" s="4">
        <f>IFERROR(__xludf.DUMMYFUNCTION("""COMPUTED_VALUE"""),45371.66666666667)</f>
        <v>45371.66667</v>
      </c>
      <c r="B1027" s="5">
        <f>IFERROR(__xludf.DUMMYFUNCTION("""COMPUTED_VALUE"""),830.0)</f>
        <v>830</v>
      </c>
      <c r="C1027" s="5">
        <f>IFERROR(__xludf.DUMMYFUNCTION("""COMPUTED_VALUE"""),830.0)</f>
        <v>830</v>
      </c>
      <c r="D1027" s="5">
        <f>IFERROR(__xludf.DUMMYFUNCTION("""COMPUTED_VALUE"""),765.0)</f>
        <v>765</v>
      </c>
      <c r="E1027" s="5">
        <f>IFERROR(__xludf.DUMMYFUNCTION("""COMPUTED_VALUE"""),770.0)</f>
        <v>770</v>
      </c>
      <c r="F1027" s="5">
        <f>IFERROR(__xludf.DUMMYFUNCTION("""COMPUTED_VALUE"""),5.38417E7)</f>
        <v>53841700</v>
      </c>
      <c r="G1027" s="5">
        <f t="shared" si="1"/>
        <v>65</v>
      </c>
    </row>
    <row r="1028">
      <c r="A1028" s="4">
        <f>IFERROR(__xludf.DUMMYFUNCTION("""COMPUTED_VALUE"""),45372.66666666667)</f>
        <v>45372.66667</v>
      </c>
      <c r="B1028" s="5">
        <f>IFERROR(__xludf.DUMMYFUNCTION("""COMPUTED_VALUE"""),770.0)</f>
        <v>770</v>
      </c>
      <c r="C1028" s="5">
        <f>IFERROR(__xludf.DUMMYFUNCTION("""COMPUTED_VALUE"""),860.0)</f>
        <v>860</v>
      </c>
      <c r="D1028" s="5">
        <f>IFERROR(__xludf.DUMMYFUNCTION("""COMPUTED_VALUE"""),770.0)</f>
        <v>770</v>
      </c>
      <c r="E1028" s="5">
        <f>IFERROR(__xludf.DUMMYFUNCTION("""COMPUTED_VALUE"""),855.0)</f>
        <v>855</v>
      </c>
      <c r="F1028" s="5">
        <f>IFERROR(__xludf.DUMMYFUNCTION("""COMPUTED_VALUE"""),1.378524E8)</f>
        <v>137852400</v>
      </c>
      <c r="G1028" s="5">
        <f t="shared" si="1"/>
        <v>90</v>
      </c>
    </row>
    <row r="1029">
      <c r="A1029" s="4">
        <f>IFERROR(__xludf.DUMMYFUNCTION("""COMPUTED_VALUE"""),45373.66666666667)</f>
        <v>45373.66667</v>
      </c>
      <c r="B1029" s="5">
        <f>IFERROR(__xludf.DUMMYFUNCTION("""COMPUTED_VALUE"""),865.0)</f>
        <v>865</v>
      </c>
      <c r="C1029" s="5">
        <f>IFERROR(__xludf.DUMMYFUNCTION("""COMPUTED_VALUE"""),865.0)</f>
        <v>865</v>
      </c>
      <c r="D1029" s="5">
        <f>IFERROR(__xludf.DUMMYFUNCTION("""COMPUTED_VALUE"""),795.0)</f>
        <v>795</v>
      </c>
      <c r="E1029" s="5">
        <f>IFERROR(__xludf.DUMMYFUNCTION("""COMPUTED_VALUE"""),800.0)</f>
        <v>800</v>
      </c>
      <c r="F1029" s="5">
        <f>IFERROR(__xludf.DUMMYFUNCTION("""COMPUTED_VALUE"""),8.99038E7)</f>
        <v>89903800</v>
      </c>
      <c r="G1029" s="5">
        <f t="shared" si="1"/>
        <v>70</v>
      </c>
    </row>
    <row r="1030">
      <c r="A1030" s="4">
        <f>IFERROR(__xludf.DUMMYFUNCTION("""COMPUTED_VALUE"""),45376.66666666667)</f>
        <v>45376.66667</v>
      </c>
      <c r="B1030" s="5">
        <f>IFERROR(__xludf.DUMMYFUNCTION("""COMPUTED_VALUE"""),800.0)</f>
        <v>800</v>
      </c>
      <c r="C1030" s="5">
        <f>IFERROR(__xludf.DUMMYFUNCTION("""COMPUTED_VALUE"""),800.0)</f>
        <v>800</v>
      </c>
      <c r="D1030" s="5">
        <f>IFERROR(__xludf.DUMMYFUNCTION("""COMPUTED_VALUE"""),750.0)</f>
        <v>750</v>
      </c>
      <c r="E1030" s="5">
        <f>IFERROR(__xludf.DUMMYFUNCTION("""COMPUTED_VALUE"""),785.0)</f>
        <v>785</v>
      </c>
      <c r="F1030" s="5">
        <f>IFERROR(__xludf.DUMMYFUNCTION("""COMPUTED_VALUE"""),5.99302E7)</f>
        <v>59930200</v>
      </c>
      <c r="G1030" s="5">
        <f t="shared" si="1"/>
        <v>50</v>
      </c>
    </row>
    <row r="1031">
      <c r="A1031" s="4">
        <f>IFERROR(__xludf.DUMMYFUNCTION("""COMPUTED_VALUE"""),45377.66666666667)</f>
        <v>45377.66667</v>
      </c>
      <c r="B1031" s="5">
        <f>IFERROR(__xludf.DUMMYFUNCTION("""COMPUTED_VALUE"""),820.0)</f>
        <v>820</v>
      </c>
      <c r="C1031" s="5">
        <f>IFERROR(__xludf.DUMMYFUNCTION("""COMPUTED_VALUE"""),820.0)</f>
        <v>820</v>
      </c>
      <c r="D1031" s="5">
        <f>IFERROR(__xludf.DUMMYFUNCTION("""COMPUTED_VALUE"""),770.0)</f>
        <v>770</v>
      </c>
      <c r="E1031" s="5">
        <f>IFERROR(__xludf.DUMMYFUNCTION("""COMPUTED_VALUE"""),810.0)</f>
        <v>810</v>
      </c>
      <c r="F1031" s="5">
        <f>IFERROR(__xludf.DUMMYFUNCTION("""COMPUTED_VALUE"""),4.98984E7)</f>
        <v>49898400</v>
      </c>
      <c r="G1031" s="5">
        <f t="shared" si="1"/>
        <v>50</v>
      </c>
    </row>
    <row r="1032">
      <c r="A1032" s="4">
        <f>IFERROR(__xludf.DUMMYFUNCTION("""COMPUTED_VALUE"""),45378.66666666667)</f>
        <v>45378.66667</v>
      </c>
      <c r="B1032" s="5">
        <f>IFERROR(__xludf.DUMMYFUNCTION("""COMPUTED_VALUE"""),810.0)</f>
        <v>810</v>
      </c>
      <c r="C1032" s="5">
        <f>IFERROR(__xludf.DUMMYFUNCTION("""COMPUTED_VALUE"""),845.0)</f>
        <v>845</v>
      </c>
      <c r="D1032" s="5">
        <f>IFERROR(__xludf.DUMMYFUNCTION("""COMPUTED_VALUE"""),795.0)</f>
        <v>795</v>
      </c>
      <c r="E1032" s="5">
        <f>IFERROR(__xludf.DUMMYFUNCTION("""COMPUTED_VALUE"""),805.0)</f>
        <v>805</v>
      </c>
      <c r="F1032" s="5">
        <f>IFERROR(__xludf.DUMMYFUNCTION("""COMPUTED_VALUE"""),5.58551E7)</f>
        <v>55855100</v>
      </c>
      <c r="G1032" s="5">
        <f t="shared" si="1"/>
        <v>50</v>
      </c>
    </row>
    <row r="1033">
      <c r="A1033" s="4">
        <f>IFERROR(__xludf.DUMMYFUNCTION("""COMPUTED_VALUE"""),45379.66666666667)</f>
        <v>45379.66667</v>
      </c>
      <c r="B1033" s="5">
        <f>IFERROR(__xludf.DUMMYFUNCTION("""COMPUTED_VALUE"""),800.0)</f>
        <v>800</v>
      </c>
      <c r="C1033" s="5">
        <f>IFERROR(__xludf.DUMMYFUNCTION("""COMPUTED_VALUE"""),880.0)</f>
        <v>880</v>
      </c>
      <c r="D1033" s="5">
        <f>IFERROR(__xludf.DUMMYFUNCTION("""COMPUTED_VALUE"""),800.0)</f>
        <v>800</v>
      </c>
      <c r="E1033" s="5">
        <f>IFERROR(__xludf.DUMMYFUNCTION("""COMPUTED_VALUE"""),830.0)</f>
        <v>830</v>
      </c>
      <c r="F1033" s="5">
        <f>IFERROR(__xludf.DUMMYFUNCTION("""COMPUTED_VALUE"""),1.141202E8)</f>
        <v>114120200</v>
      </c>
      <c r="G1033" s="5">
        <f t="shared" si="1"/>
        <v>80</v>
      </c>
    </row>
    <row r="1034">
      <c r="A1034" s="4">
        <f>IFERROR(__xludf.DUMMYFUNCTION("""COMPUTED_VALUE"""),45383.66666666667)</f>
        <v>45383.66667</v>
      </c>
      <c r="B1034" s="5">
        <f>IFERROR(__xludf.DUMMYFUNCTION("""COMPUTED_VALUE"""),825.0)</f>
        <v>825</v>
      </c>
      <c r="C1034" s="5">
        <f>IFERROR(__xludf.DUMMYFUNCTION("""COMPUTED_VALUE"""),830.0)</f>
        <v>830</v>
      </c>
      <c r="D1034" s="5">
        <f>IFERROR(__xludf.DUMMYFUNCTION("""COMPUTED_VALUE"""),780.0)</f>
        <v>780</v>
      </c>
      <c r="E1034" s="5">
        <f>IFERROR(__xludf.DUMMYFUNCTION("""COMPUTED_VALUE"""),815.0)</f>
        <v>815</v>
      </c>
      <c r="F1034" s="5">
        <f>IFERROR(__xludf.DUMMYFUNCTION("""COMPUTED_VALUE"""),4.89397E7)</f>
        <v>48939700</v>
      </c>
      <c r="G1034" s="5">
        <f t="shared" si="1"/>
        <v>50</v>
      </c>
    </row>
    <row r="1035">
      <c r="A1035" s="4">
        <f>IFERROR(__xludf.DUMMYFUNCTION("""COMPUTED_VALUE"""),45384.66666666667)</f>
        <v>45384.66667</v>
      </c>
      <c r="B1035" s="5">
        <f>IFERROR(__xludf.DUMMYFUNCTION("""COMPUTED_VALUE"""),815.0)</f>
        <v>815</v>
      </c>
      <c r="C1035" s="5">
        <f>IFERROR(__xludf.DUMMYFUNCTION("""COMPUTED_VALUE"""),925.0)</f>
        <v>925</v>
      </c>
      <c r="D1035" s="5">
        <f>IFERROR(__xludf.DUMMYFUNCTION("""COMPUTED_VALUE"""),810.0)</f>
        <v>810</v>
      </c>
      <c r="E1035" s="5">
        <f>IFERROR(__xludf.DUMMYFUNCTION("""COMPUTED_VALUE"""),925.0)</f>
        <v>925</v>
      </c>
      <c r="F1035" s="5">
        <f>IFERROR(__xludf.DUMMYFUNCTION("""COMPUTED_VALUE"""),1.400121E8)</f>
        <v>140012100</v>
      </c>
      <c r="G1035" s="5">
        <f t="shared" si="1"/>
        <v>115</v>
      </c>
    </row>
    <row r="1036">
      <c r="A1036" s="4">
        <f>IFERROR(__xludf.DUMMYFUNCTION("""COMPUTED_VALUE"""),45385.66666666667)</f>
        <v>45385.66667</v>
      </c>
      <c r="B1036" s="5">
        <f>IFERROR(__xludf.DUMMYFUNCTION("""COMPUTED_VALUE"""),930.0)</f>
        <v>930</v>
      </c>
      <c r="C1036" s="5">
        <f>IFERROR(__xludf.DUMMYFUNCTION("""COMPUTED_VALUE"""),930.0)</f>
        <v>930</v>
      </c>
      <c r="D1036" s="5">
        <f>IFERROR(__xludf.DUMMYFUNCTION("""COMPUTED_VALUE"""),875.0)</f>
        <v>875</v>
      </c>
      <c r="E1036" s="5">
        <f>IFERROR(__xludf.DUMMYFUNCTION("""COMPUTED_VALUE"""),880.0)</f>
        <v>880</v>
      </c>
      <c r="F1036" s="5">
        <f>IFERROR(__xludf.DUMMYFUNCTION("""COMPUTED_VALUE"""),1.299237E8)</f>
        <v>129923700</v>
      </c>
      <c r="G1036" s="5">
        <f t="shared" si="1"/>
        <v>55</v>
      </c>
    </row>
    <row r="1037">
      <c r="A1037" s="4">
        <f>IFERROR(__xludf.DUMMYFUNCTION("""COMPUTED_VALUE"""),45386.66666666667)</f>
        <v>45386.66667</v>
      </c>
      <c r="B1037" s="5">
        <f>IFERROR(__xludf.DUMMYFUNCTION("""COMPUTED_VALUE"""),880.0)</f>
        <v>880</v>
      </c>
      <c r="C1037" s="5">
        <f>IFERROR(__xludf.DUMMYFUNCTION("""COMPUTED_VALUE"""),950.0)</f>
        <v>950</v>
      </c>
      <c r="D1037" s="5">
        <f>IFERROR(__xludf.DUMMYFUNCTION("""COMPUTED_VALUE"""),880.0)</f>
        <v>880</v>
      </c>
      <c r="E1037" s="5">
        <f>IFERROR(__xludf.DUMMYFUNCTION("""COMPUTED_VALUE"""),925.0)</f>
        <v>925</v>
      </c>
      <c r="F1037" s="5">
        <f>IFERROR(__xludf.DUMMYFUNCTION("""COMPUTED_VALUE"""),1.312076E8)</f>
        <v>131207600</v>
      </c>
      <c r="G1037" s="5">
        <f t="shared" si="1"/>
        <v>70</v>
      </c>
    </row>
    <row r="1038">
      <c r="A1038" s="4">
        <f>IFERROR(__xludf.DUMMYFUNCTION("""COMPUTED_VALUE"""),45387.66666666667)</f>
        <v>45387.66667</v>
      </c>
      <c r="B1038" s="5">
        <f>IFERROR(__xludf.DUMMYFUNCTION("""COMPUTED_VALUE"""),930.0)</f>
        <v>930</v>
      </c>
      <c r="C1038" s="5">
        <f>IFERROR(__xludf.DUMMYFUNCTION("""COMPUTED_VALUE"""),935.0)</f>
        <v>935</v>
      </c>
      <c r="D1038" s="5">
        <f>IFERROR(__xludf.DUMMYFUNCTION("""COMPUTED_VALUE"""),900.0)</f>
        <v>900</v>
      </c>
      <c r="E1038" s="5">
        <f>IFERROR(__xludf.DUMMYFUNCTION("""COMPUTED_VALUE"""),900.0)</f>
        <v>900</v>
      </c>
      <c r="F1038" s="5">
        <f>IFERROR(__xludf.DUMMYFUNCTION("""COMPUTED_VALUE"""),5.16886E7)</f>
        <v>51688600</v>
      </c>
      <c r="G1038" s="5">
        <f t="shared" si="1"/>
        <v>35</v>
      </c>
    </row>
    <row r="1039">
      <c r="A1039" s="4">
        <f>IFERROR(__xludf.DUMMYFUNCTION("""COMPUTED_VALUE"""),45398.66666666667)</f>
        <v>45398.66667</v>
      </c>
      <c r="B1039" s="5">
        <f>IFERROR(__xludf.DUMMYFUNCTION("""COMPUTED_VALUE"""),915.0)</f>
        <v>915</v>
      </c>
      <c r="C1039" s="5">
        <f>IFERROR(__xludf.DUMMYFUNCTION("""COMPUTED_VALUE"""),1005.0)</f>
        <v>1005</v>
      </c>
      <c r="D1039" s="5">
        <f>IFERROR(__xludf.DUMMYFUNCTION("""COMPUTED_VALUE"""),900.0)</f>
        <v>900</v>
      </c>
      <c r="E1039" s="5">
        <f>IFERROR(__xludf.DUMMYFUNCTION("""COMPUTED_VALUE"""),990.0)</f>
        <v>990</v>
      </c>
      <c r="F1039" s="5">
        <f>IFERROR(__xludf.DUMMYFUNCTION("""COMPUTED_VALUE"""),1.466041E8)</f>
        <v>146604100</v>
      </c>
      <c r="G1039" s="5">
        <f t="shared" si="1"/>
        <v>105</v>
      </c>
    </row>
    <row r="1040">
      <c r="A1040" s="4">
        <f>IFERROR(__xludf.DUMMYFUNCTION("""COMPUTED_VALUE"""),45399.66666666667)</f>
        <v>45399.66667</v>
      </c>
      <c r="B1040" s="5">
        <f>IFERROR(__xludf.DUMMYFUNCTION("""COMPUTED_VALUE"""),1030.0)</f>
        <v>1030</v>
      </c>
      <c r="C1040" s="5">
        <f>IFERROR(__xludf.DUMMYFUNCTION("""COMPUTED_VALUE"""),1030.0)</f>
        <v>1030</v>
      </c>
      <c r="D1040" s="5">
        <f>IFERROR(__xludf.DUMMYFUNCTION("""COMPUTED_VALUE"""),950.0)</f>
        <v>950</v>
      </c>
      <c r="E1040" s="5">
        <f>IFERROR(__xludf.DUMMYFUNCTION("""COMPUTED_VALUE"""),960.0)</f>
        <v>960</v>
      </c>
      <c r="F1040" s="5">
        <f>IFERROR(__xludf.DUMMYFUNCTION("""COMPUTED_VALUE"""),6.66947E7)</f>
        <v>66694700</v>
      </c>
      <c r="G1040" s="5">
        <f t="shared" si="1"/>
        <v>80</v>
      </c>
    </row>
    <row r="1041">
      <c r="A1041" s="4">
        <f>IFERROR(__xludf.DUMMYFUNCTION("""COMPUTED_VALUE"""),45400.66666666667)</f>
        <v>45400.66667</v>
      </c>
      <c r="B1041" s="5">
        <f>IFERROR(__xludf.DUMMYFUNCTION("""COMPUTED_VALUE"""),975.0)</f>
        <v>975</v>
      </c>
      <c r="C1041" s="5">
        <f>IFERROR(__xludf.DUMMYFUNCTION("""COMPUTED_VALUE"""),1015.0)</f>
        <v>1015</v>
      </c>
      <c r="D1041" s="5">
        <f>IFERROR(__xludf.DUMMYFUNCTION("""COMPUTED_VALUE"""),960.0)</f>
        <v>960</v>
      </c>
      <c r="E1041" s="5">
        <f>IFERROR(__xludf.DUMMYFUNCTION("""COMPUTED_VALUE"""),1000.0)</f>
        <v>1000</v>
      </c>
      <c r="F1041" s="5">
        <f>IFERROR(__xludf.DUMMYFUNCTION("""COMPUTED_VALUE"""),9.18014E7)</f>
        <v>91801400</v>
      </c>
      <c r="G1041" s="5">
        <f t="shared" si="1"/>
        <v>55</v>
      </c>
    </row>
    <row r="1042">
      <c r="A1042" s="4">
        <f>IFERROR(__xludf.DUMMYFUNCTION("""COMPUTED_VALUE"""),45401.66666666667)</f>
        <v>45401.66667</v>
      </c>
      <c r="B1042" s="5">
        <f>IFERROR(__xludf.DUMMYFUNCTION("""COMPUTED_VALUE"""),1010.0)</f>
        <v>1010</v>
      </c>
      <c r="C1042" s="5">
        <f>IFERROR(__xludf.DUMMYFUNCTION("""COMPUTED_VALUE"""),1040.0)</f>
        <v>1040</v>
      </c>
      <c r="D1042" s="5">
        <f>IFERROR(__xludf.DUMMYFUNCTION("""COMPUTED_VALUE"""),1000.0)</f>
        <v>1000</v>
      </c>
      <c r="E1042" s="5">
        <f>IFERROR(__xludf.DUMMYFUNCTION("""COMPUTED_VALUE"""),1000.0)</f>
        <v>1000</v>
      </c>
      <c r="F1042" s="5">
        <f>IFERROR(__xludf.DUMMYFUNCTION("""COMPUTED_VALUE"""),1.093822E8)</f>
        <v>109382200</v>
      </c>
      <c r="G1042" s="5">
        <f t="shared" si="1"/>
        <v>40</v>
      </c>
    </row>
    <row r="1043">
      <c r="A1043" s="4">
        <f>IFERROR(__xludf.DUMMYFUNCTION("""COMPUTED_VALUE"""),45404.66666666667)</f>
        <v>45404.66667</v>
      </c>
      <c r="B1043" s="5">
        <f>IFERROR(__xludf.DUMMYFUNCTION("""COMPUTED_VALUE"""),1005.0)</f>
        <v>1005</v>
      </c>
      <c r="C1043" s="5">
        <f>IFERROR(__xludf.DUMMYFUNCTION("""COMPUTED_VALUE"""),1095.0)</f>
        <v>1095</v>
      </c>
      <c r="D1043" s="5">
        <f>IFERROR(__xludf.DUMMYFUNCTION("""COMPUTED_VALUE"""),1005.0)</f>
        <v>1005</v>
      </c>
      <c r="E1043" s="5">
        <f>IFERROR(__xludf.DUMMYFUNCTION("""COMPUTED_VALUE"""),1065.0)</f>
        <v>1065</v>
      </c>
      <c r="F1043" s="5">
        <f>IFERROR(__xludf.DUMMYFUNCTION("""COMPUTED_VALUE"""),1.297424E8)</f>
        <v>129742400</v>
      </c>
      <c r="G1043" s="5">
        <f t="shared" si="1"/>
        <v>95</v>
      </c>
    </row>
    <row r="1044">
      <c r="A1044" s="4">
        <f>IFERROR(__xludf.DUMMYFUNCTION("""COMPUTED_VALUE"""),45405.66666666667)</f>
        <v>45405.66667</v>
      </c>
      <c r="B1044" s="5">
        <f>IFERROR(__xludf.DUMMYFUNCTION("""COMPUTED_VALUE"""),1095.0)</f>
        <v>1095</v>
      </c>
      <c r="C1044" s="5">
        <f>IFERROR(__xludf.DUMMYFUNCTION("""COMPUTED_VALUE"""),1095.0)</f>
        <v>1095</v>
      </c>
      <c r="D1044" s="5">
        <f>IFERROR(__xludf.DUMMYFUNCTION("""COMPUTED_VALUE"""),1035.0)</f>
        <v>1035</v>
      </c>
      <c r="E1044" s="5">
        <f>IFERROR(__xludf.DUMMYFUNCTION("""COMPUTED_VALUE"""),1050.0)</f>
        <v>1050</v>
      </c>
      <c r="F1044" s="5">
        <f>IFERROR(__xludf.DUMMYFUNCTION("""COMPUTED_VALUE"""),6.11762E7)</f>
        <v>61176200</v>
      </c>
      <c r="G1044" s="5">
        <f t="shared" si="1"/>
        <v>60</v>
      </c>
    </row>
    <row r="1045">
      <c r="A1045" s="4">
        <f>IFERROR(__xludf.DUMMYFUNCTION("""COMPUTED_VALUE"""),45406.66666666667)</f>
        <v>45406.66667</v>
      </c>
      <c r="B1045" s="5">
        <f>IFERROR(__xludf.DUMMYFUNCTION("""COMPUTED_VALUE"""),1045.0)</f>
        <v>1045</v>
      </c>
      <c r="C1045" s="5">
        <f>IFERROR(__xludf.DUMMYFUNCTION("""COMPUTED_VALUE"""),1060.0)</f>
        <v>1060</v>
      </c>
      <c r="D1045" s="5">
        <f>IFERROR(__xludf.DUMMYFUNCTION("""COMPUTED_VALUE"""),985.0)</f>
        <v>985</v>
      </c>
      <c r="E1045" s="5">
        <f>IFERROR(__xludf.DUMMYFUNCTION("""COMPUTED_VALUE"""),985.0)</f>
        <v>985</v>
      </c>
      <c r="F1045" s="5">
        <f>IFERROR(__xludf.DUMMYFUNCTION("""COMPUTED_VALUE"""),8.87458E7)</f>
        <v>88745800</v>
      </c>
      <c r="G1045" s="5">
        <f t="shared" si="1"/>
        <v>75</v>
      </c>
    </row>
    <row r="1046">
      <c r="A1046" s="4">
        <f>IFERROR(__xludf.DUMMYFUNCTION("""COMPUTED_VALUE"""),45407.66666666667)</f>
        <v>45407.66667</v>
      </c>
      <c r="B1046" s="5">
        <f>IFERROR(__xludf.DUMMYFUNCTION("""COMPUTED_VALUE"""),985.0)</f>
        <v>985</v>
      </c>
      <c r="C1046" s="5">
        <f>IFERROR(__xludf.DUMMYFUNCTION("""COMPUTED_VALUE"""),985.0)</f>
        <v>985</v>
      </c>
      <c r="D1046" s="5">
        <f>IFERROR(__xludf.DUMMYFUNCTION("""COMPUTED_VALUE"""),835.0)</f>
        <v>835</v>
      </c>
      <c r="E1046" s="5">
        <f>IFERROR(__xludf.DUMMYFUNCTION("""COMPUTED_VALUE"""),840.0)</f>
        <v>840</v>
      </c>
      <c r="F1046" s="5">
        <f>IFERROR(__xludf.DUMMYFUNCTION("""COMPUTED_VALUE"""),2.269175E8)</f>
        <v>226917500</v>
      </c>
      <c r="G1046" s="5">
        <f t="shared" si="1"/>
        <v>150</v>
      </c>
    </row>
    <row r="1047">
      <c r="A1047" s="4">
        <f>IFERROR(__xludf.DUMMYFUNCTION("""COMPUTED_VALUE"""),45408.66666666667)</f>
        <v>45408.66667</v>
      </c>
      <c r="B1047" s="5">
        <f>IFERROR(__xludf.DUMMYFUNCTION("""COMPUTED_VALUE"""),840.0)</f>
        <v>840</v>
      </c>
      <c r="C1047" s="5">
        <f>IFERROR(__xludf.DUMMYFUNCTION("""COMPUTED_VALUE"""),890.0)</f>
        <v>890</v>
      </c>
      <c r="D1047" s="5">
        <f>IFERROR(__xludf.DUMMYFUNCTION("""COMPUTED_VALUE"""),805.0)</f>
        <v>805</v>
      </c>
      <c r="E1047" s="5">
        <f>IFERROR(__xludf.DUMMYFUNCTION("""COMPUTED_VALUE"""),820.0)</f>
        <v>820</v>
      </c>
      <c r="F1047" s="5">
        <f>IFERROR(__xludf.DUMMYFUNCTION("""COMPUTED_VALUE"""),1.742582E8)</f>
        <v>174258200</v>
      </c>
      <c r="G1047" s="5">
        <f t="shared" si="1"/>
        <v>85</v>
      </c>
    </row>
    <row r="1048">
      <c r="A1048" s="4">
        <f>IFERROR(__xludf.DUMMYFUNCTION("""COMPUTED_VALUE"""),45411.66666666667)</f>
        <v>45411.66667</v>
      </c>
      <c r="B1048" s="5">
        <f>IFERROR(__xludf.DUMMYFUNCTION("""COMPUTED_VALUE"""),820.0)</f>
        <v>820</v>
      </c>
      <c r="C1048" s="5">
        <f>IFERROR(__xludf.DUMMYFUNCTION("""COMPUTED_VALUE"""),910.0)</f>
        <v>910</v>
      </c>
      <c r="D1048" s="5">
        <f>IFERROR(__xludf.DUMMYFUNCTION("""COMPUTED_VALUE"""),815.0)</f>
        <v>815</v>
      </c>
      <c r="E1048" s="5">
        <f>IFERROR(__xludf.DUMMYFUNCTION("""COMPUTED_VALUE"""),885.0)</f>
        <v>885</v>
      </c>
      <c r="F1048" s="5">
        <f>IFERROR(__xludf.DUMMYFUNCTION("""COMPUTED_VALUE"""),8.208E7)</f>
        <v>82080000</v>
      </c>
      <c r="G1048" s="5">
        <f t="shared" si="1"/>
        <v>95</v>
      </c>
    </row>
    <row r="1049">
      <c r="A1049" s="4">
        <f>IFERROR(__xludf.DUMMYFUNCTION("""COMPUTED_VALUE"""),45412.66666666667)</f>
        <v>45412.66667</v>
      </c>
      <c r="B1049" s="5">
        <f>IFERROR(__xludf.DUMMYFUNCTION("""COMPUTED_VALUE"""),890.0)</f>
        <v>890</v>
      </c>
      <c r="C1049" s="5">
        <f>IFERROR(__xludf.DUMMYFUNCTION("""COMPUTED_VALUE"""),930.0)</f>
        <v>930</v>
      </c>
      <c r="D1049" s="5">
        <f>IFERROR(__xludf.DUMMYFUNCTION("""COMPUTED_VALUE"""),890.0)</f>
        <v>890</v>
      </c>
      <c r="E1049" s="5">
        <f>IFERROR(__xludf.DUMMYFUNCTION("""COMPUTED_VALUE"""),910.0)</f>
        <v>910</v>
      </c>
      <c r="F1049" s="5">
        <f>IFERROR(__xludf.DUMMYFUNCTION("""COMPUTED_VALUE"""),7.03505E7)</f>
        <v>70350500</v>
      </c>
      <c r="G1049" s="5">
        <f t="shared" si="1"/>
        <v>45</v>
      </c>
    </row>
    <row r="1050">
      <c r="A1050" s="4">
        <f>IFERROR(__xludf.DUMMYFUNCTION("""COMPUTED_VALUE"""),45414.66666666667)</f>
        <v>45414.66667</v>
      </c>
      <c r="B1050" s="5">
        <f>IFERROR(__xludf.DUMMYFUNCTION("""COMPUTED_VALUE"""),900.0)</f>
        <v>900</v>
      </c>
      <c r="C1050" s="5">
        <f>IFERROR(__xludf.DUMMYFUNCTION("""COMPUTED_VALUE"""),910.0)</f>
        <v>910</v>
      </c>
      <c r="D1050" s="5">
        <f>IFERROR(__xludf.DUMMYFUNCTION("""COMPUTED_VALUE"""),845.0)</f>
        <v>845</v>
      </c>
      <c r="E1050" s="5">
        <f>IFERROR(__xludf.DUMMYFUNCTION("""COMPUTED_VALUE"""),860.0)</f>
        <v>860</v>
      </c>
      <c r="F1050" s="5">
        <f>IFERROR(__xludf.DUMMYFUNCTION("""COMPUTED_VALUE"""),4.20365E7)</f>
        <v>42036500</v>
      </c>
      <c r="G1050" s="5">
        <f t="shared" si="1"/>
        <v>65</v>
      </c>
    </row>
    <row r="1051">
      <c r="A1051" s="4">
        <f>IFERROR(__xludf.DUMMYFUNCTION("""COMPUTED_VALUE"""),45415.66666666667)</f>
        <v>45415.66667</v>
      </c>
      <c r="B1051" s="5">
        <f>IFERROR(__xludf.DUMMYFUNCTION("""COMPUTED_VALUE"""),860.0)</f>
        <v>860</v>
      </c>
      <c r="C1051" s="5">
        <f>IFERROR(__xludf.DUMMYFUNCTION("""COMPUTED_VALUE"""),885.0)</f>
        <v>885</v>
      </c>
      <c r="D1051" s="5">
        <f>IFERROR(__xludf.DUMMYFUNCTION("""COMPUTED_VALUE"""),850.0)</f>
        <v>850</v>
      </c>
      <c r="E1051" s="5">
        <f>IFERROR(__xludf.DUMMYFUNCTION("""COMPUTED_VALUE"""),870.0)</f>
        <v>870</v>
      </c>
      <c r="F1051" s="5">
        <f>IFERROR(__xludf.DUMMYFUNCTION("""COMPUTED_VALUE"""),2.49957E7)</f>
        <v>24995700</v>
      </c>
      <c r="G1051" s="5">
        <f t="shared" si="1"/>
        <v>35</v>
      </c>
    </row>
    <row r="1052">
      <c r="A1052" s="4">
        <f>IFERROR(__xludf.DUMMYFUNCTION("""COMPUTED_VALUE"""),45418.66666666667)</f>
        <v>45418.66667</v>
      </c>
      <c r="B1052" s="5">
        <f>IFERROR(__xludf.DUMMYFUNCTION("""COMPUTED_VALUE"""),880.0)</f>
        <v>880</v>
      </c>
      <c r="C1052" s="5">
        <f>IFERROR(__xludf.DUMMYFUNCTION("""COMPUTED_VALUE"""),920.0)</f>
        <v>920</v>
      </c>
      <c r="D1052" s="5">
        <f>IFERROR(__xludf.DUMMYFUNCTION("""COMPUTED_VALUE"""),880.0)</f>
        <v>880</v>
      </c>
      <c r="E1052" s="5">
        <f>IFERROR(__xludf.DUMMYFUNCTION("""COMPUTED_VALUE"""),900.0)</f>
        <v>900</v>
      </c>
      <c r="F1052" s="5">
        <f>IFERROR(__xludf.DUMMYFUNCTION("""COMPUTED_VALUE"""),3.65493E7)</f>
        <v>36549300</v>
      </c>
      <c r="G1052" s="5">
        <f t="shared" si="1"/>
        <v>50</v>
      </c>
    </row>
    <row r="1053">
      <c r="A1053" s="4">
        <f>IFERROR(__xludf.DUMMYFUNCTION("""COMPUTED_VALUE"""),45419.66666666667)</f>
        <v>45419.66667</v>
      </c>
      <c r="B1053" s="5">
        <f>IFERROR(__xludf.DUMMYFUNCTION("""COMPUTED_VALUE"""),905.0)</f>
        <v>905</v>
      </c>
      <c r="C1053" s="5">
        <f>IFERROR(__xludf.DUMMYFUNCTION("""COMPUTED_VALUE"""),980.0)</f>
        <v>980</v>
      </c>
      <c r="D1053" s="5">
        <f>IFERROR(__xludf.DUMMYFUNCTION("""COMPUTED_VALUE"""),900.0)</f>
        <v>900</v>
      </c>
      <c r="E1053" s="5">
        <f>IFERROR(__xludf.DUMMYFUNCTION("""COMPUTED_VALUE"""),960.0)</f>
        <v>960</v>
      </c>
      <c r="F1053" s="5">
        <f>IFERROR(__xludf.DUMMYFUNCTION("""COMPUTED_VALUE"""),7.47904E7)</f>
        <v>74790400</v>
      </c>
      <c r="G1053" s="5">
        <f t="shared" si="1"/>
        <v>80</v>
      </c>
    </row>
    <row r="1054">
      <c r="A1054" s="4">
        <f>IFERROR(__xludf.DUMMYFUNCTION("""COMPUTED_VALUE"""),45420.66666666667)</f>
        <v>45420.66667</v>
      </c>
      <c r="B1054" s="5">
        <f>IFERROR(__xludf.DUMMYFUNCTION("""COMPUTED_VALUE"""),960.0)</f>
        <v>960</v>
      </c>
      <c r="C1054" s="5">
        <f>IFERROR(__xludf.DUMMYFUNCTION("""COMPUTED_VALUE"""),980.0)</f>
        <v>980</v>
      </c>
      <c r="D1054" s="5">
        <f>IFERROR(__xludf.DUMMYFUNCTION("""COMPUTED_VALUE"""),930.0)</f>
        <v>930</v>
      </c>
      <c r="E1054" s="5">
        <f>IFERROR(__xludf.DUMMYFUNCTION("""COMPUTED_VALUE"""),945.0)</f>
        <v>945</v>
      </c>
      <c r="F1054" s="5">
        <f>IFERROR(__xludf.DUMMYFUNCTION("""COMPUTED_VALUE"""),6.49253E7)</f>
        <v>64925300</v>
      </c>
      <c r="G1054" s="5">
        <f t="shared" si="1"/>
        <v>50</v>
      </c>
    </row>
    <row r="1055">
      <c r="A1055" s="4">
        <f>IFERROR(__xludf.DUMMYFUNCTION("""COMPUTED_VALUE"""),45425.66666666667)</f>
        <v>45425.66667</v>
      </c>
      <c r="B1055" s="5">
        <f>IFERROR(__xludf.DUMMYFUNCTION("""COMPUTED_VALUE"""),945.0)</f>
        <v>945</v>
      </c>
      <c r="C1055" s="5">
        <f>IFERROR(__xludf.DUMMYFUNCTION("""COMPUTED_VALUE"""),955.0)</f>
        <v>955</v>
      </c>
      <c r="D1055" s="5">
        <f>IFERROR(__xludf.DUMMYFUNCTION("""COMPUTED_VALUE"""),905.0)</f>
        <v>905</v>
      </c>
      <c r="E1055" s="5">
        <f>IFERROR(__xludf.DUMMYFUNCTION("""COMPUTED_VALUE"""),920.0)</f>
        <v>920</v>
      </c>
      <c r="F1055" s="5">
        <f>IFERROR(__xludf.DUMMYFUNCTION("""COMPUTED_VALUE"""),3.75534E7)</f>
        <v>37553400</v>
      </c>
      <c r="G1055" s="5">
        <f t="shared" si="1"/>
        <v>50</v>
      </c>
    </row>
    <row r="1056">
      <c r="A1056" s="4">
        <f>IFERROR(__xludf.DUMMYFUNCTION("""COMPUTED_VALUE"""),45426.66666666667)</f>
        <v>45426.66667</v>
      </c>
      <c r="B1056" s="5">
        <f>IFERROR(__xludf.DUMMYFUNCTION("""COMPUTED_VALUE"""),925.0)</f>
        <v>925</v>
      </c>
      <c r="C1056" s="5">
        <f>IFERROR(__xludf.DUMMYFUNCTION("""COMPUTED_VALUE"""),940.0)</f>
        <v>940</v>
      </c>
      <c r="D1056" s="5">
        <f>IFERROR(__xludf.DUMMYFUNCTION("""COMPUTED_VALUE"""),900.0)</f>
        <v>900</v>
      </c>
      <c r="E1056" s="5">
        <f>IFERROR(__xludf.DUMMYFUNCTION("""COMPUTED_VALUE"""),905.0)</f>
        <v>905</v>
      </c>
      <c r="F1056" s="5">
        <f>IFERROR(__xludf.DUMMYFUNCTION("""COMPUTED_VALUE"""),2.17707E7)</f>
        <v>21770700</v>
      </c>
      <c r="G1056" s="5">
        <f t="shared" si="1"/>
        <v>40</v>
      </c>
    </row>
    <row r="1057">
      <c r="A1057" s="4">
        <f>IFERROR(__xludf.DUMMYFUNCTION("""COMPUTED_VALUE"""),45427.66666666667)</f>
        <v>45427.66667</v>
      </c>
      <c r="B1057" s="5">
        <f>IFERROR(__xludf.DUMMYFUNCTION("""COMPUTED_VALUE"""),910.0)</f>
        <v>910</v>
      </c>
      <c r="C1057" s="5">
        <f>IFERROR(__xludf.DUMMYFUNCTION("""COMPUTED_VALUE"""),950.0)</f>
        <v>950</v>
      </c>
      <c r="D1057" s="5">
        <f>IFERROR(__xludf.DUMMYFUNCTION("""COMPUTED_VALUE"""),905.0)</f>
        <v>905</v>
      </c>
      <c r="E1057" s="5">
        <f>IFERROR(__xludf.DUMMYFUNCTION("""COMPUTED_VALUE"""),950.0)</f>
        <v>950</v>
      </c>
      <c r="F1057" s="5">
        <f>IFERROR(__xludf.DUMMYFUNCTION("""COMPUTED_VALUE"""),5.17664E7)</f>
        <v>51766400</v>
      </c>
      <c r="G1057" s="5">
        <f t="shared" si="1"/>
        <v>45</v>
      </c>
    </row>
    <row r="1058">
      <c r="A1058" s="4">
        <f>IFERROR(__xludf.DUMMYFUNCTION("""COMPUTED_VALUE"""),45428.66666666667)</f>
        <v>45428.66667</v>
      </c>
      <c r="B1058" s="5">
        <f>IFERROR(__xludf.DUMMYFUNCTION("""COMPUTED_VALUE"""),955.0)</f>
        <v>955</v>
      </c>
      <c r="C1058" s="5">
        <f>IFERROR(__xludf.DUMMYFUNCTION("""COMPUTED_VALUE"""),975.0)</f>
        <v>975</v>
      </c>
      <c r="D1058" s="5">
        <f>IFERROR(__xludf.DUMMYFUNCTION("""COMPUTED_VALUE"""),940.0)</f>
        <v>940</v>
      </c>
      <c r="E1058" s="5">
        <f>IFERROR(__xludf.DUMMYFUNCTION("""COMPUTED_VALUE"""),945.0)</f>
        <v>945</v>
      </c>
      <c r="F1058" s="5">
        <f>IFERROR(__xludf.DUMMYFUNCTION("""COMPUTED_VALUE"""),6.2303E7)</f>
        <v>62303000</v>
      </c>
      <c r="G1058" s="5">
        <f t="shared" si="1"/>
        <v>35</v>
      </c>
    </row>
    <row r="1059">
      <c r="A1059" s="4">
        <f>IFERROR(__xludf.DUMMYFUNCTION("""COMPUTED_VALUE"""),45429.66666666667)</f>
        <v>45429.66667</v>
      </c>
      <c r="B1059" s="5">
        <f>IFERROR(__xludf.DUMMYFUNCTION("""COMPUTED_VALUE"""),950.0)</f>
        <v>950</v>
      </c>
      <c r="C1059" s="5">
        <f>IFERROR(__xludf.DUMMYFUNCTION("""COMPUTED_VALUE"""),995.0)</f>
        <v>995</v>
      </c>
      <c r="D1059" s="5">
        <f>IFERROR(__xludf.DUMMYFUNCTION("""COMPUTED_VALUE"""),940.0)</f>
        <v>940</v>
      </c>
      <c r="E1059" s="5">
        <f>IFERROR(__xludf.DUMMYFUNCTION("""COMPUTED_VALUE"""),975.0)</f>
        <v>975</v>
      </c>
      <c r="F1059" s="5">
        <f>IFERROR(__xludf.DUMMYFUNCTION("""COMPUTED_VALUE"""),9.04852E7)</f>
        <v>90485200</v>
      </c>
      <c r="G1059" s="5">
        <f t="shared" si="1"/>
        <v>55</v>
      </c>
    </row>
    <row r="1060">
      <c r="A1060" s="4">
        <f>IFERROR(__xludf.DUMMYFUNCTION("""COMPUTED_VALUE"""),45432.66666666667)</f>
        <v>45432.66667</v>
      </c>
      <c r="B1060" s="5">
        <f>IFERROR(__xludf.DUMMYFUNCTION("""COMPUTED_VALUE"""),990.0)</f>
        <v>990</v>
      </c>
      <c r="C1060" s="5">
        <f>IFERROR(__xludf.DUMMYFUNCTION("""COMPUTED_VALUE"""),1010.0)</f>
        <v>1010</v>
      </c>
      <c r="D1060" s="5">
        <f>IFERROR(__xludf.DUMMYFUNCTION("""COMPUTED_VALUE"""),965.0)</f>
        <v>965</v>
      </c>
      <c r="E1060" s="5">
        <f>IFERROR(__xludf.DUMMYFUNCTION("""COMPUTED_VALUE"""),970.0)</f>
        <v>970</v>
      </c>
      <c r="F1060" s="5">
        <f>IFERROR(__xludf.DUMMYFUNCTION("""COMPUTED_VALUE"""),7.27134E7)</f>
        <v>72713400</v>
      </c>
      <c r="G1060" s="5">
        <f t="shared" si="1"/>
        <v>45</v>
      </c>
    </row>
    <row r="1061">
      <c r="A1061" s="4">
        <f>IFERROR(__xludf.DUMMYFUNCTION("""COMPUTED_VALUE"""),45433.66666666667)</f>
        <v>45433.66667</v>
      </c>
      <c r="B1061" s="5">
        <f>IFERROR(__xludf.DUMMYFUNCTION("""COMPUTED_VALUE"""),975.0)</f>
        <v>975</v>
      </c>
      <c r="C1061" s="5">
        <f>IFERROR(__xludf.DUMMYFUNCTION("""COMPUTED_VALUE"""),985.0)</f>
        <v>985</v>
      </c>
      <c r="D1061" s="5">
        <f>IFERROR(__xludf.DUMMYFUNCTION("""COMPUTED_VALUE"""),935.0)</f>
        <v>935</v>
      </c>
      <c r="E1061" s="5">
        <f>IFERROR(__xludf.DUMMYFUNCTION("""COMPUTED_VALUE"""),945.0)</f>
        <v>945</v>
      </c>
      <c r="F1061" s="5">
        <f>IFERROR(__xludf.DUMMYFUNCTION("""COMPUTED_VALUE"""),4.31659E7)</f>
        <v>43165900</v>
      </c>
      <c r="G1061" s="5">
        <f t="shared" si="1"/>
        <v>50</v>
      </c>
    </row>
    <row r="1062">
      <c r="A1062" s="4">
        <f>IFERROR(__xludf.DUMMYFUNCTION("""COMPUTED_VALUE"""),45434.66666666667)</f>
        <v>45434.66667</v>
      </c>
      <c r="B1062" s="5">
        <f>IFERROR(__xludf.DUMMYFUNCTION("""COMPUTED_VALUE"""),950.0)</f>
        <v>950</v>
      </c>
      <c r="C1062" s="5">
        <f>IFERROR(__xludf.DUMMYFUNCTION("""COMPUTED_VALUE"""),955.0)</f>
        <v>955</v>
      </c>
      <c r="D1062" s="5">
        <f>IFERROR(__xludf.DUMMYFUNCTION("""COMPUTED_VALUE"""),930.0)</f>
        <v>930</v>
      </c>
      <c r="E1062" s="5">
        <f>IFERROR(__xludf.DUMMYFUNCTION("""COMPUTED_VALUE"""),935.0)</f>
        <v>935</v>
      </c>
      <c r="F1062" s="5">
        <f>IFERROR(__xludf.DUMMYFUNCTION("""COMPUTED_VALUE"""),2.29645E7)</f>
        <v>22964500</v>
      </c>
      <c r="G1062" s="5">
        <f t="shared" si="1"/>
        <v>25</v>
      </c>
    </row>
    <row r="1063">
      <c r="A1063" s="4">
        <f>IFERROR(__xludf.DUMMYFUNCTION("""COMPUTED_VALUE"""),45439.66666666667)</f>
        <v>45439.66667</v>
      </c>
      <c r="B1063" s="5">
        <f>IFERROR(__xludf.DUMMYFUNCTION("""COMPUTED_VALUE"""),935.0)</f>
        <v>935</v>
      </c>
      <c r="C1063" s="5">
        <f>IFERROR(__xludf.DUMMYFUNCTION("""COMPUTED_VALUE"""),940.0)</f>
        <v>940</v>
      </c>
      <c r="D1063" s="5">
        <f>IFERROR(__xludf.DUMMYFUNCTION("""COMPUTED_VALUE"""),890.0)</f>
        <v>890</v>
      </c>
      <c r="E1063" s="5">
        <f>IFERROR(__xludf.DUMMYFUNCTION("""COMPUTED_VALUE"""),890.0)</f>
        <v>890</v>
      </c>
      <c r="F1063" s="5">
        <f>IFERROR(__xludf.DUMMYFUNCTION("""COMPUTED_VALUE"""),3.36749E7)</f>
        <v>33674900</v>
      </c>
      <c r="G1063" s="5">
        <f t="shared" si="1"/>
        <v>50</v>
      </c>
    </row>
    <row r="1064">
      <c r="A1064" s="4">
        <f>IFERROR(__xludf.DUMMYFUNCTION("""COMPUTED_VALUE"""),45440.66666666667)</f>
        <v>45440.66667</v>
      </c>
      <c r="B1064" s="5">
        <f>IFERROR(__xludf.DUMMYFUNCTION("""COMPUTED_VALUE"""),900.0)</f>
        <v>900</v>
      </c>
      <c r="C1064" s="5">
        <f>IFERROR(__xludf.DUMMYFUNCTION("""COMPUTED_VALUE"""),940.0)</f>
        <v>940</v>
      </c>
      <c r="D1064" s="5">
        <f>IFERROR(__xludf.DUMMYFUNCTION("""COMPUTED_VALUE"""),890.0)</f>
        <v>890</v>
      </c>
      <c r="E1064" s="5">
        <f>IFERROR(__xludf.DUMMYFUNCTION("""COMPUTED_VALUE"""),925.0)</f>
        <v>925</v>
      </c>
      <c r="F1064" s="5">
        <f>IFERROR(__xludf.DUMMYFUNCTION("""COMPUTED_VALUE"""),3.73686E7)</f>
        <v>37368600</v>
      </c>
      <c r="G1064" s="5">
        <f t="shared" si="1"/>
        <v>50</v>
      </c>
    </row>
    <row r="1065">
      <c r="A1065" s="4">
        <f>IFERROR(__xludf.DUMMYFUNCTION("""COMPUTED_VALUE"""),45441.66666666667)</f>
        <v>45441.66667</v>
      </c>
      <c r="B1065" s="5">
        <f>IFERROR(__xludf.DUMMYFUNCTION("""COMPUTED_VALUE"""),930.0)</f>
        <v>930</v>
      </c>
      <c r="C1065" s="5">
        <f>IFERROR(__xludf.DUMMYFUNCTION("""COMPUTED_VALUE"""),955.0)</f>
        <v>955</v>
      </c>
      <c r="D1065" s="5">
        <f>IFERROR(__xludf.DUMMYFUNCTION("""COMPUTED_VALUE"""),910.0)</f>
        <v>910</v>
      </c>
      <c r="E1065" s="5">
        <f>IFERROR(__xludf.DUMMYFUNCTION("""COMPUTED_VALUE"""),915.0)</f>
        <v>915</v>
      </c>
      <c r="F1065" s="5">
        <f>IFERROR(__xludf.DUMMYFUNCTION("""COMPUTED_VALUE"""),3.20575E7)</f>
        <v>32057500</v>
      </c>
      <c r="G1065" s="5">
        <f t="shared" si="1"/>
        <v>45</v>
      </c>
    </row>
    <row r="1066">
      <c r="A1066" s="4">
        <f>IFERROR(__xludf.DUMMYFUNCTION("""COMPUTED_VALUE"""),45442.66666666667)</f>
        <v>45442.66667</v>
      </c>
      <c r="B1066" s="5">
        <f>IFERROR(__xludf.DUMMYFUNCTION("""COMPUTED_VALUE"""),925.0)</f>
        <v>925</v>
      </c>
      <c r="C1066" s="5">
        <f>IFERROR(__xludf.DUMMYFUNCTION("""COMPUTED_VALUE"""),925.0)</f>
        <v>925</v>
      </c>
      <c r="D1066" s="5">
        <f>IFERROR(__xludf.DUMMYFUNCTION("""COMPUTED_VALUE"""),895.0)</f>
        <v>895</v>
      </c>
      <c r="E1066" s="5">
        <f>IFERROR(__xludf.DUMMYFUNCTION("""COMPUTED_VALUE"""),910.0)</f>
        <v>910</v>
      </c>
      <c r="F1066" s="5">
        <f>IFERROR(__xludf.DUMMYFUNCTION("""COMPUTED_VALUE"""),2.71307E7)</f>
        <v>27130700</v>
      </c>
      <c r="G1066" s="5">
        <f t="shared" si="1"/>
        <v>30</v>
      </c>
    </row>
    <row r="1067">
      <c r="A1067" s="4">
        <f>IFERROR(__xludf.DUMMYFUNCTION("""COMPUTED_VALUE"""),45443.66666666667)</f>
        <v>45443.66667</v>
      </c>
      <c r="B1067" s="5">
        <f>IFERROR(__xludf.DUMMYFUNCTION("""COMPUTED_VALUE"""),910.0)</f>
        <v>910</v>
      </c>
      <c r="C1067" s="5">
        <f>IFERROR(__xludf.DUMMYFUNCTION("""COMPUTED_VALUE"""),925.0)</f>
        <v>925</v>
      </c>
      <c r="D1067" s="5">
        <f>IFERROR(__xludf.DUMMYFUNCTION("""COMPUTED_VALUE"""),895.0)</f>
        <v>895</v>
      </c>
      <c r="E1067" s="5">
        <f>IFERROR(__xludf.DUMMYFUNCTION("""COMPUTED_VALUE"""),895.0)</f>
        <v>895</v>
      </c>
      <c r="F1067" s="5">
        <f>IFERROR(__xludf.DUMMYFUNCTION("""COMPUTED_VALUE"""),3.96314E7)</f>
        <v>39631400</v>
      </c>
      <c r="G1067" s="5">
        <f t="shared" si="1"/>
        <v>30</v>
      </c>
    </row>
    <row r="1068">
      <c r="A1068" s="4">
        <f>IFERROR(__xludf.DUMMYFUNCTION("""COMPUTED_VALUE"""),45446.66666666667)</f>
        <v>45446.66667</v>
      </c>
      <c r="B1068" s="5">
        <f>IFERROR(__xludf.DUMMYFUNCTION("""COMPUTED_VALUE"""),900.0)</f>
        <v>900</v>
      </c>
      <c r="C1068" s="5">
        <f>IFERROR(__xludf.DUMMYFUNCTION("""COMPUTED_VALUE"""),905.0)</f>
        <v>905</v>
      </c>
      <c r="D1068" s="5">
        <f>IFERROR(__xludf.DUMMYFUNCTION("""COMPUTED_VALUE"""),855.0)</f>
        <v>855</v>
      </c>
      <c r="E1068" s="5">
        <f>IFERROR(__xludf.DUMMYFUNCTION("""COMPUTED_VALUE"""),860.0)</f>
        <v>860</v>
      </c>
      <c r="F1068" s="5">
        <f>IFERROR(__xludf.DUMMYFUNCTION("""COMPUTED_VALUE"""),4.14458E7)</f>
        <v>41445800</v>
      </c>
      <c r="G1068" s="5">
        <f t="shared" si="1"/>
        <v>50</v>
      </c>
    </row>
    <row r="1069">
      <c r="A1069" s="4">
        <f>IFERROR(__xludf.DUMMYFUNCTION("""COMPUTED_VALUE"""),45447.66666666667)</f>
        <v>45447.66667</v>
      </c>
      <c r="B1069" s="5">
        <f>IFERROR(__xludf.DUMMYFUNCTION("""COMPUTED_VALUE"""),865.0)</f>
        <v>865</v>
      </c>
      <c r="C1069" s="5">
        <f>IFERROR(__xludf.DUMMYFUNCTION("""COMPUTED_VALUE"""),875.0)</f>
        <v>875</v>
      </c>
      <c r="D1069" s="5">
        <f>IFERROR(__xludf.DUMMYFUNCTION("""COMPUTED_VALUE"""),835.0)</f>
        <v>835</v>
      </c>
      <c r="E1069" s="5">
        <f>IFERROR(__xludf.DUMMYFUNCTION("""COMPUTED_VALUE"""),845.0)</f>
        <v>845</v>
      </c>
      <c r="F1069" s="5">
        <f>IFERROR(__xludf.DUMMYFUNCTION("""COMPUTED_VALUE"""),3.24328E7)</f>
        <v>32432800</v>
      </c>
      <c r="G1069" s="5">
        <f t="shared" si="1"/>
        <v>40</v>
      </c>
    </row>
    <row r="1070">
      <c r="A1070" s="4">
        <f>IFERROR(__xludf.DUMMYFUNCTION("""COMPUTED_VALUE"""),45448.66666666667)</f>
        <v>45448.66667</v>
      </c>
      <c r="B1070" s="5">
        <f>IFERROR(__xludf.DUMMYFUNCTION("""COMPUTED_VALUE"""),845.0)</f>
        <v>845</v>
      </c>
      <c r="C1070" s="5">
        <f>IFERROR(__xludf.DUMMYFUNCTION("""COMPUTED_VALUE"""),845.0)</f>
        <v>845</v>
      </c>
      <c r="D1070" s="5">
        <f>IFERROR(__xludf.DUMMYFUNCTION("""COMPUTED_VALUE"""),805.0)</f>
        <v>805</v>
      </c>
      <c r="E1070" s="5">
        <f>IFERROR(__xludf.DUMMYFUNCTION("""COMPUTED_VALUE"""),810.0)</f>
        <v>810</v>
      </c>
      <c r="F1070" s="5">
        <f>IFERROR(__xludf.DUMMYFUNCTION("""COMPUTED_VALUE"""),2.72609E7)</f>
        <v>27260900</v>
      </c>
      <c r="G1070" s="5">
        <f t="shared" si="1"/>
        <v>40</v>
      </c>
    </row>
    <row r="1071">
      <c r="A1071" s="4">
        <f>IFERROR(__xludf.DUMMYFUNCTION("""COMPUTED_VALUE"""),45449.66666666667)</f>
        <v>45449.66667</v>
      </c>
      <c r="B1071" s="5">
        <f>IFERROR(__xludf.DUMMYFUNCTION("""COMPUTED_VALUE"""),815.0)</f>
        <v>815</v>
      </c>
      <c r="C1071" s="5">
        <f>IFERROR(__xludf.DUMMYFUNCTION("""COMPUTED_VALUE"""),835.0)</f>
        <v>835</v>
      </c>
      <c r="D1071" s="5">
        <f>IFERROR(__xludf.DUMMYFUNCTION("""COMPUTED_VALUE"""),810.0)</f>
        <v>810</v>
      </c>
      <c r="E1071" s="5">
        <f>IFERROR(__xludf.DUMMYFUNCTION("""COMPUTED_VALUE"""),810.0)</f>
        <v>810</v>
      </c>
      <c r="F1071" s="5">
        <f>IFERROR(__xludf.DUMMYFUNCTION("""COMPUTED_VALUE"""),1.38605E7)</f>
        <v>13860500</v>
      </c>
      <c r="G1071" s="5">
        <f t="shared" si="1"/>
        <v>25</v>
      </c>
    </row>
    <row r="1072">
      <c r="A1072" s="4">
        <f>IFERROR(__xludf.DUMMYFUNCTION("""COMPUTED_VALUE"""),45450.66666666667)</f>
        <v>45450.66667</v>
      </c>
      <c r="B1072" s="5">
        <f>IFERROR(__xludf.DUMMYFUNCTION("""COMPUTED_VALUE"""),815.0)</f>
        <v>815</v>
      </c>
      <c r="C1072" s="5">
        <f>IFERROR(__xludf.DUMMYFUNCTION("""COMPUTED_VALUE"""),880.0)</f>
        <v>880</v>
      </c>
      <c r="D1072" s="5">
        <f>IFERROR(__xludf.DUMMYFUNCTION("""COMPUTED_VALUE"""),815.0)</f>
        <v>815</v>
      </c>
      <c r="E1072" s="5">
        <f>IFERROR(__xludf.DUMMYFUNCTION("""COMPUTED_VALUE"""),855.0)</f>
        <v>855</v>
      </c>
      <c r="F1072" s="5">
        <f>IFERROR(__xludf.DUMMYFUNCTION("""COMPUTED_VALUE"""),4.03874E7)</f>
        <v>40387400</v>
      </c>
      <c r="G1072" s="5">
        <f t="shared" si="1"/>
        <v>70</v>
      </c>
    </row>
    <row r="1073">
      <c r="A1073" s="4">
        <f>IFERROR(__xludf.DUMMYFUNCTION("""COMPUTED_VALUE"""),45453.66666666667)</f>
        <v>45453.66667</v>
      </c>
      <c r="B1073" s="5">
        <f>IFERROR(__xludf.DUMMYFUNCTION("""COMPUTED_VALUE"""),855.0)</f>
        <v>855</v>
      </c>
      <c r="C1073" s="5">
        <f>IFERROR(__xludf.DUMMYFUNCTION("""COMPUTED_VALUE"""),870.0)</f>
        <v>870</v>
      </c>
      <c r="D1073" s="5">
        <f>IFERROR(__xludf.DUMMYFUNCTION("""COMPUTED_VALUE"""),830.0)</f>
        <v>830</v>
      </c>
      <c r="E1073" s="5">
        <f>IFERROR(__xludf.DUMMYFUNCTION("""COMPUTED_VALUE"""),845.0)</f>
        <v>845</v>
      </c>
      <c r="F1073" s="5">
        <f>IFERROR(__xludf.DUMMYFUNCTION("""COMPUTED_VALUE"""),1.78744E7)</f>
        <v>17874400</v>
      </c>
      <c r="G1073" s="5">
        <f t="shared" si="1"/>
        <v>40</v>
      </c>
    </row>
    <row r="1074">
      <c r="A1074" s="4">
        <f>IFERROR(__xludf.DUMMYFUNCTION("""COMPUTED_VALUE"""),45454.66666666667)</f>
        <v>45454.66667</v>
      </c>
      <c r="B1074" s="5">
        <f>IFERROR(__xludf.DUMMYFUNCTION("""COMPUTED_VALUE"""),855.0)</f>
        <v>855</v>
      </c>
      <c r="C1074" s="5">
        <f>IFERROR(__xludf.DUMMYFUNCTION("""COMPUTED_VALUE"""),865.0)</f>
        <v>865</v>
      </c>
      <c r="D1074" s="5">
        <f>IFERROR(__xludf.DUMMYFUNCTION("""COMPUTED_VALUE"""),840.0)</f>
        <v>840</v>
      </c>
      <c r="E1074" s="5">
        <f>IFERROR(__xludf.DUMMYFUNCTION("""COMPUTED_VALUE"""),840.0)</f>
        <v>840</v>
      </c>
      <c r="F1074" s="5">
        <f>IFERROR(__xludf.DUMMYFUNCTION("""COMPUTED_VALUE"""),1.03636E7)</f>
        <v>10363600</v>
      </c>
      <c r="G1074" s="5">
        <f t="shared" si="1"/>
        <v>25</v>
      </c>
    </row>
    <row r="1075">
      <c r="A1075" s="4">
        <f>IFERROR(__xludf.DUMMYFUNCTION("""COMPUTED_VALUE"""),45455.66666666667)</f>
        <v>45455.66667</v>
      </c>
      <c r="B1075" s="5">
        <f>IFERROR(__xludf.DUMMYFUNCTION("""COMPUTED_VALUE"""),845.0)</f>
        <v>845</v>
      </c>
      <c r="C1075" s="5">
        <f>IFERROR(__xludf.DUMMYFUNCTION("""COMPUTED_VALUE"""),865.0)</f>
        <v>865</v>
      </c>
      <c r="D1075" s="5">
        <f>IFERROR(__xludf.DUMMYFUNCTION("""COMPUTED_VALUE"""),830.0)</f>
        <v>830</v>
      </c>
      <c r="E1075" s="5">
        <f>IFERROR(__xludf.DUMMYFUNCTION("""COMPUTED_VALUE"""),835.0)</f>
        <v>835</v>
      </c>
      <c r="F1075" s="5">
        <f>IFERROR(__xludf.DUMMYFUNCTION("""COMPUTED_VALUE"""),1.21688E7)</f>
        <v>12168800</v>
      </c>
      <c r="G1075" s="5">
        <f t="shared" si="1"/>
        <v>35</v>
      </c>
    </row>
    <row r="1076">
      <c r="A1076" s="4">
        <f>IFERROR(__xludf.DUMMYFUNCTION("""COMPUTED_VALUE"""),45456.66666666667)</f>
        <v>45456.66667</v>
      </c>
      <c r="B1076" s="5">
        <f>IFERROR(__xludf.DUMMYFUNCTION("""COMPUTED_VALUE"""),860.0)</f>
        <v>860</v>
      </c>
      <c r="C1076" s="5">
        <f>IFERROR(__xludf.DUMMYFUNCTION("""COMPUTED_VALUE"""),880.0)</f>
        <v>880</v>
      </c>
      <c r="D1076" s="5">
        <f>IFERROR(__xludf.DUMMYFUNCTION("""COMPUTED_VALUE"""),830.0)</f>
        <v>830</v>
      </c>
      <c r="E1076" s="5">
        <f>IFERROR(__xludf.DUMMYFUNCTION("""COMPUTED_VALUE"""),835.0)</f>
        <v>835</v>
      </c>
      <c r="F1076" s="5">
        <f>IFERROR(__xludf.DUMMYFUNCTION("""COMPUTED_VALUE"""),3.35565E7)</f>
        <v>33556500</v>
      </c>
      <c r="G1076" s="5">
        <f t="shared" si="1"/>
        <v>50</v>
      </c>
    </row>
    <row r="1077">
      <c r="A1077" s="4">
        <f>IFERROR(__xludf.DUMMYFUNCTION("""COMPUTED_VALUE"""),45457.66666666667)</f>
        <v>45457.66667</v>
      </c>
      <c r="B1077" s="5">
        <f>IFERROR(__xludf.DUMMYFUNCTION("""COMPUTED_VALUE"""),835.0)</f>
        <v>835</v>
      </c>
      <c r="C1077" s="5">
        <f>IFERROR(__xludf.DUMMYFUNCTION("""COMPUTED_VALUE"""),850.0)</f>
        <v>850</v>
      </c>
      <c r="D1077" s="5">
        <f>IFERROR(__xludf.DUMMYFUNCTION("""COMPUTED_VALUE"""),810.0)</f>
        <v>810</v>
      </c>
      <c r="E1077" s="5">
        <f>IFERROR(__xludf.DUMMYFUNCTION("""COMPUTED_VALUE"""),815.0)</f>
        <v>815</v>
      </c>
      <c r="F1077" s="5">
        <f>IFERROR(__xludf.DUMMYFUNCTION("""COMPUTED_VALUE"""),1.65608E7)</f>
        <v>16560800</v>
      </c>
      <c r="G1077" s="5">
        <f t="shared" si="1"/>
        <v>40</v>
      </c>
    </row>
    <row r="1078">
      <c r="A1078" s="4">
        <f>IFERROR(__xludf.DUMMYFUNCTION("""COMPUTED_VALUE"""),45462.66666666667)</f>
        <v>45462.66667</v>
      </c>
      <c r="B1078" s="5">
        <f>IFERROR(__xludf.DUMMYFUNCTION("""COMPUTED_VALUE"""),815.0)</f>
        <v>815</v>
      </c>
      <c r="C1078" s="5">
        <f>IFERROR(__xludf.DUMMYFUNCTION("""COMPUTED_VALUE"""),815.0)</f>
        <v>815</v>
      </c>
      <c r="D1078" s="5">
        <f>IFERROR(__xludf.DUMMYFUNCTION("""COMPUTED_VALUE"""),780.0)</f>
        <v>780</v>
      </c>
      <c r="E1078" s="5">
        <f>IFERROR(__xludf.DUMMYFUNCTION("""COMPUTED_VALUE"""),780.0)</f>
        <v>780</v>
      </c>
      <c r="F1078" s="5">
        <f>IFERROR(__xludf.DUMMYFUNCTION("""COMPUTED_VALUE"""),2.02925E7)</f>
        <v>20292500</v>
      </c>
      <c r="G1078" s="5">
        <f t="shared" si="1"/>
        <v>35</v>
      </c>
    </row>
    <row r="1079">
      <c r="A1079" s="4">
        <f>IFERROR(__xludf.DUMMYFUNCTION("""COMPUTED_VALUE"""),45463.66666666667)</f>
        <v>45463.66667</v>
      </c>
      <c r="B1079" s="5">
        <f>IFERROR(__xludf.DUMMYFUNCTION("""COMPUTED_VALUE"""),785.0)</f>
        <v>785</v>
      </c>
      <c r="C1079" s="5">
        <f>IFERROR(__xludf.DUMMYFUNCTION("""COMPUTED_VALUE"""),810.0)</f>
        <v>810</v>
      </c>
      <c r="D1079" s="5">
        <f>IFERROR(__xludf.DUMMYFUNCTION("""COMPUTED_VALUE"""),785.0)</f>
        <v>785</v>
      </c>
      <c r="E1079" s="5">
        <f>IFERROR(__xludf.DUMMYFUNCTION("""COMPUTED_VALUE"""),795.0)</f>
        <v>795</v>
      </c>
      <c r="F1079" s="5">
        <f>IFERROR(__xludf.DUMMYFUNCTION("""COMPUTED_VALUE"""),1.13491E7)</f>
        <v>11349100</v>
      </c>
      <c r="G1079" s="5">
        <f t="shared" si="1"/>
        <v>30</v>
      </c>
    </row>
    <row r="1080">
      <c r="A1080" s="4">
        <f>IFERROR(__xludf.DUMMYFUNCTION("""COMPUTED_VALUE"""),45464.66666666667)</f>
        <v>45464.66667</v>
      </c>
      <c r="B1080" s="5">
        <f>IFERROR(__xludf.DUMMYFUNCTION("""COMPUTED_VALUE"""),800.0)</f>
        <v>800</v>
      </c>
      <c r="C1080" s="5">
        <f>IFERROR(__xludf.DUMMYFUNCTION("""COMPUTED_VALUE"""),835.0)</f>
        <v>835</v>
      </c>
      <c r="D1080" s="5">
        <f>IFERROR(__xludf.DUMMYFUNCTION("""COMPUTED_VALUE"""),800.0)</f>
        <v>800</v>
      </c>
      <c r="E1080" s="5">
        <f>IFERROR(__xludf.DUMMYFUNCTION("""COMPUTED_VALUE"""),810.0)</f>
        <v>810</v>
      </c>
      <c r="F1080" s="5">
        <f>IFERROR(__xludf.DUMMYFUNCTION("""COMPUTED_VALUE"""),2.1663E7)</f>
        <v>21663000</v>
      </c>
      <c r="G1080" s="5">
        <f t="shared" si="1"/>
        <v>40</v>
      </c>
    </row>
    <row r="1081">
      <c r="A1081" s="4">
        <f>IFERROR(__xludf.DUMMYFUNCTION("""COMPUTED_VALUE"""),45467.66666666667)</f>
        <v>45467.66667</v>
      </c>
      <c r="B1081" s="5">
        <f>IFERROR(__xludf.DUMMYFUNCTION("""COMPUTED_VALUE"""),810.0)</f>
        <v>810</v>
      </c>
      <c r="C1081" s="5">
        <f>IFERROR(__xludf.DUMMYFUNCTION("""COMPUTED_VALUE"""),845.0)</f>
        <v>845</v>
      </c>
      <c r="D1081" s="5">
        <f>IFERROR(__xludf.DUMMYFUNCTION("""COMPUTED_VALUE"""),805.0)</f>
        <v>805</v>
      </c>
      <c r="E1081" s="5">
        <f>IFERROR(__xludf.DUMMYFUNCTION("""COMPUTED_VALUE"""),835.0)</f>
        <v>835</v>
      </c>
      <c r="F1081" s="5">
        <f>IFERROR(__xludf.DUMMYFUNCTION("""COMPUTED_VALUE"""),1.94613E7)</f>
        <v>19461300</v>
      </c>
      <c r="G1081" s="5">
        <f t="shared" si="1"/>
        <v>40</v>
      </c>
    </row>
    <row r="1082">
      <c r="A1082" s="4">
        <f>IFERROR(__xludf.DUMMYFUNCTION("""COMPUTED_VALUE"""),45468.66666666667)</f>
        <v>45468.66667</v>
      </c>
      <c r="B1082" s="5">
        <f>IFERROR(__xludf.DUMMYFUNCTION("""COMPUTED_VALUE"""),840.0)</f>
        <v>840</v>
      </c>
      <c r="C1082" s="5">
        <f>IFERROR(__xludf.DUMMYFUNCTION("""COMPUTED_VALUE"""),845.0)</f>
        <v>845</v>
      </c>
      <c r="D1082" s="5">
        <f>IFERROR(__xludf.DUMMYFUNCTION("""COMPUTED_VALUE"""),815.0)</f>
        <v>815</v>
      </c>
      <c r="E1082" s="5">
        <f>IFERROR(__xludf.DUMMYFUNCTION("""COMPUTED_VALUE"""),840.0)</f>
        <v>840</v>
      </c>
      <c r="F1082" s="5">
        <f>IFERROR(__xludf.DUMMYFUNCTION("""COMPUTED_VALUE"""),8285400.0)</f>
        <v>8285400</v>
      </c>
      <c r="G1082" s="5">
        <f t="shared" si="1"/>
        <v>30</v>
      </c>
    </row>
    <row r="1083">
      <c r="A1083" s="4">
        <f>IFERROR(__xludf.DUMMYFUNCTION("""COMPUTED_VALUE"""),45469.66666666667)</f>
        <v>45469.66667</v>
      </c>
      <c r="B1083" s="5">
        <f>IFERROR(__xludf.DUMMYFUNCTION("""COMPUTED_VALUE"""),840.0)</f>
        <v>840</v>
      </c>
      <c r="C1083" s="5">
        <f>IFERROR(__xludf.DUMMYFUNCTION("""COMPUTED_VALUE"""),875.0)</f>
        <v>875</v>
      </c>
      <c r="D1083" s="5">
        <f>IFERROR(__xludf.DUMMYFUNCTION("""COMPUTED_VALUE"""),825.0)</f>
        <v>825</v>
      </c>
      <c r="E1083" s="5">
        <f>IFERROR(__xludf.DUMMYFUNCTION("""COMPUTED_VALUE"""),870.0)</f>
        <v>870</v>
      </c>
      <c r="F1083" s="5">
        <f>IFERROR(__xludf.DUMMYFUNCTION("""COMPUTED_VALUE"""),2.65244E7)</f>
        <v>26524400</v>
      </c>
      <c r="G1083" s="5">
        <f t="shared" si="1"/>
        <v>50</v>
      </c>
    </row>
    <row r="1084">
      <c r="A1084" s="4">
        <f>IFERROR(__xludf.DUMMYFUNCTION("""COMPUTED_VALUE"""),45470.66666666667)</f>
        <v>45470.66667</v>
      </c>
      <c r="B1084" s="5">
        <f>IFERROR(__xludf.DUMMYFUNCTION("""COMPUTED_VALUE"""),875.0)</f>
        <v>875</v>
      </c>
      <c r="C1084" s="5">
        <f>IFERROR(__xludf.DUMMYFUNCTION("""COMPUTED_VALUE"""),885.0)</f>
        <v>885</v>
      </c>
      <c r="D1084" s="5">
        <f>IFERROR(__xludf.DUMMYFUNCTION("""COMPUTED_VALUE"""),855.0)</f>
        <v>855</v>
      </c>
      <c r="E1084" s="5">
        <f>IFERROR(__xludf.DUMMYFUNCTION("""COMPUTED_VALUE"""),880.0)</f>
        <v>880</v>
      </c>
      <c r="F1084" s="5">
        <f>IFERROR(__xludf.DUMMYFUNCTION("""COMPUTED_VALUE"""),2.04083E7)</f>
        <v>20408300</v>
      </c>
      <c r="G1084" s="5">
        <f t="shared" si="1"/>
        <v>30</v>
      </c>
    </row>
    <row r="1085">
      <c r="A1085" s="4">
        <f>IFERROR(__xludf.DUMMYFUNCTION("""COMPUTED_VALUE"""),45471.66666666667)</f>
        <v>45471.66667</v>
      </c>
      <c r="B1085" s="5">
        <f>IFERROR(__xludf.DUMMYFUNCTION("""COMPUTED_VALUE"""),890.0)</f>
        <v>890</v>
      </c>
      <c r="C1085" s="5">
        <f>IFERROR(__xludf.DUMMYFUNCTION("""COMPUTED_VALUE"""),890.0)</f>
        <v>890</v>
      </c>
      <c r="D1085" s="5">
        <f>IFERROR(__xludf.DUMMYFUNCTION("""COMPUTED_VALUE"""),870.0)</f>
        <v>870</v>
      </c>
      <c r="E1085" s="5">
        <f>IFERROR(__xludf.DUMMYFUNCTION("""COMPUTED_VALUE"""),875.0)</f>
        <v>875</v>
      </c>
      <c r="F1085" s="5">
        <f>IFERROR(__xludf.DUMMYFUNCTION("""COMPUTED_VALUE"""),1.7718E7)</f>
        <v>17718000</v>
      </c>
      <c r="G1085" s="5">
        <f t="shared" si="1"/>
        <v>20</v>
      </c>
    </row>
    <row r="1086">
      <c r="A1086" s="4">
        <f>IFERROR(__xludf.DUMMYFUNCTION("""COMPUTED_VALUE"""),45474.66666666667)</f>
        <v>45474.66667</v>
      </c>
      <c r="B1086" s="5">
        <f>IFERROR(__xludf.DUMMYFUNCTION("""COMPUTED_VALUE"""),880.0)</f>
        <v>880</v>
      </c>
      <c r="C1086" s="5">
        <f>IFERROR(__xludf.DUMMYFUNCTION("""COMPUTED_VALUE"""),940.0)</f>
        <v>940</v>
      </c>
      <c r="D1086" s="5">
        <f>IFERROR(__xludf.DUMMYFUNCTION("""COMPUTED_VALUE"""),880.0)</f>
        <v>880</v>
      </c>
      <c r="E1086" s="5">
        <f>IFERROR(__xludf.DUMMYFUNCTION("""COMPUTED_VALUE"""),925.0)</f>
        <v>925</v>
      </c>
      <c r="F1086" s="5">
        <f>IFERROR(__xludf.DUMMYFUNCTION("""COMPUTED_VALUE"""),3.71046E7)</f>
        <v>37104600</v>
      </c>
      <c r="G1086" s="5">
        <f t="shared" si="1"/>
        <v>65</v>
      </c>
    </row>
    <row r="1087">
      <c r="A1087" s="4">
        <f>IFERROR(__xludf.DUMMYFUNCTION("""COMPUTED_VALUE"""),45475.66666666667)</f>
        <v>45475.66667</v>
      </c>
      <c r="B1087" s="5">
        <f>IFERROR(__xludf.DUMMYFUNCTION("""COMPUTED_VALUE"""),930.0)</f>
        <v>930</v>
      </c>
      <c r="C1087" s="5">
        <f>IFERROR(__xludf.DUMMYFUNCTION("""COMPUTED_VALUE"""),945.0)</f>
        <v>945</v>
      </c>
      <c r="D1087" s="5">
        <f>IFERROR(__xludf.DUMMYFUNCTION("""COMPUTED_VALUE"""),915.0)</f>
        <v>915</v>
      </c>
      <c r="E1087" s="5">
        <f>IFERROR(__xludf.DUMMYFUNCTION("""COMPUTED_VALUE"""),935.0)</f>
        <v>935</v>
      </c>
      <c r="F1087" s="5">
        <f>IFERROR(__xludf.DUMMYFUNCTION("""COMPUTED_VALUE"""),2.048E7)</f>
        <v>20480000</v>
      </c>
      <c r="G1087" s="5">
        <f t="shared" si="1"/>
        <v>30</v>
      </c>
    </row>
    <row r="1088">
      <c r="A1088" s="4">
        <f>IFERROR(__xludf.DUMMYFUNCTION("""COMPUTED_VALUE"""),45476.66666666667)</f>
        <v>45476.66667</v>
      </c>
      <c r="B1088" s="5">
        <f>IFERROR(__xludf.DUMMYFUNCTION("""COMPUTED_VALUE"""),940.0)</f>
        <v>940</v>
      </c>
      <c r="C1088" s="5">
        <f>IFERROR(__xludf.DUMMYFUNCTION("""COMPUTED_VALUE"""),955.0)</f>
        <v>955</v>
      </c>
      <c r="D1088" s="5">
        <f>IFERROR(__xludf.DUMMYFUNCTION("""COMPUTED_VALUE"""),925.0)</f>
        <v>925</v>
      </c>
      <c r="E1088" s="5">
        <f>IFERROR(__xludf.DUMMYFUNCTION("""COMPUTED_VALUE"""),945.0)</f>
        <v>945</v>
      </c>
      <c r="F1088" s="5">
        <f>IFERROR(__xludf.DUMMYFUNCTION("""COMPUTED_VALUE"""),1.67374E7)</f>
        <v>16737400</v>
      </c>
      <c r="G1088" s="5">
        <f t="shared" si="1"/>
        <v>30</v>
      </c>
    </row>
    <row r="1089">
      <c r="A1089" s="4">
        <f>IFERROR(__xludf.DUMMYFUNCTION("""COMPUTED_VALUE"""),45477.66666666667)</f>
        <v>45477.66667</v>
      </c>
      <c r="B1089" s="5">
        <f>IFERROR(__xludf.DUMMYFUNCTION("""COMPUTED_VALUE"""),945.0)</f>
        <v>945</v>
      </c>
      <c r="C1089" s="5">
        <f>IFERROR(__xludf.DUMMYFUNCTION("""COMPUTED_VALUE"""),980.0)</f>
        <v>980</v>
      </c>
      <c r="D1089" s="5">
        <f>IFERROR(__xludf.DUMMYFUNCTION("""COMPUTED_VALUE"""),945.0)</f>
        <v>945</v>
      </c>
      <c r="E1089" s="5">
        <f>IFERROR(__xludf.DUMMYFUNCTION("""COMPUTED_VALUE"""),960.0)</f>
        <v>960</v>
      </c>
      <c r="F1089" s="5">
        <f>IFERROR(__xludf.DUMMYFUNCTION("""COMPUTED_VALUE"""),3.20085E7)</f>
        <v>32008500</v>
      </c>
      <c r="G1089" s="5">
        <f t="shared" si="1"/>
        <v>35</v>
      </c>
    </row>
    <row r="1090">
      <c r="A1090" s="4">
        <f>IFERROR(__xludf.DUMMYFUNCTION("""COMPUTED_VALUE"""),45478.66666666667)</f>
        <v>45478.66667</v>
      </c>
      <c r="B1090" s="5">
        <f>IFERROR(__xludf.DUMMYFUNCTION("""COMPUTED_VALUE"""),965.0)</f>
        <v>965</v>
      </c>
      <c r="C1090" s="5">
        <f>IFERROR(__xludf.DUMMYFUNCTION("""COMPUTED_VALUE"""),1005.0)</f>
        <v>1005</v>
      </c>
      <c r="D1090" s="5">
        <f>IFERROR(__xludf.DUMMYFUNCTION("""COMPUTED_VALUE"""),945.0)</f>
        <v>945</v>
      </c>
      <c r="E1090" s="5">
        <f>IFERROR(__xludf.DUMMYFUNCTION("""COMPUTED_VALUE"""),1000.0)</f>
        <v>1000</v>
      </c>
      <c r="F1090" s="5">
        <f>IFERROR(__xludf.DUMMYFUNCTION("""COMPUTED_VALUE"""),4.51961E7)</f>
        <v>45196100</v>
      </c>
      <c r="G1090" s="5">
        <f t="shared" si="1"/>
        <v>60</v>
      </c>
    </row>
    <row r="1091">
      <c r="A1091" s="4">
        <f>IFERROR(__xludf.DUMMYFUNCTION("""COMPUTED_VALUE"""),45481.66666666667)</f>
        <v>45481.66667</v>
      </c>
      <c r="B1091" s="5">
        <f>IFERROR(__xludf.DUMMYFUNCTION("""COMPUTED_VALUE"""),1000.0)</f>
        <v>1000</v>
      </c>
      <c r="C1091" s="5">
        <f>IFERROR(__xludf.DUMMYFUNCTION("""COMPUTED_VALUE"""),1035.0)</f>
        <v>1035</v>
      </c>
      <c r="D1091" s="5">
        <f>IFERROR(__xludf.DUMMYFUNCTION("""COMPUTED_VALUE"""),995.0)</f>
        <v>995</v>
      </c>
      <c r="E1091" s="5">
        <f>IFERROR(__xludf.DUMMYFUNCTION("""COMPUTED_VALUE"""),1000.0)</f>
        <v>1000</v>
      </c>
      <c r="F1091" s="5">
        <f>IFERROR(__xludf.DUMMYFUNCTION("""COMPUTED_VALUE"""),3.45946E7)</f>
        <v>34594600</v>
      </c>
      <c r="G1091" s="5">
        <f t="shared" si="1"/>
        <v>40</v>
      </c>
    </row>
    <row r="1092">
      <c r="A1092" s="4">
        <f>IFERROR(__xludf.DUMMYFUNCTION("""COMPUTED_VALUE"""),45482.66666666667)</f>
        <v>45482.66667</v>
      </c>
      <c r="B1092" s="5">
        <f>IFERROR(__xludf.DUMMYFUNCTION("""COMPUTED_VALUE"""),1000.0)</f>
        <v>1000</v>
      </c>
      <c r="C1092" s="5">
        <f>IFERROR(__xludf.DUMMYFUNCTION("""COMPUTED_VALUE"""),1015.0)</f>
        <v>1015</v>
      </c>
      <c r="D1092" s="5">
        <f>IFERROR(__xludf.DUMMYFUNCTION("""COMPUTED_VALUE"""),975.0)</f>
        <v>975</v>
      </c>
      <c r="E1092" s="5">
        <f>IFERROR(__xludf.DUMMYFUNCTION("""COMPUTED_VALUE"""),980.0)</f>
        <v>980</v>
      </c>
      <c r="F1092" s="5">
        <f>IFERROR(__xludf.DUMMYFUNCTION("""COMPUTED_VALUE"""),2.04171E7)</f>
        <v>20417100</v>
      </c>
      <c r="G1092" s="5">
        <f t="shared" si="1"/>
        <v>40</v>
      </c>
    </row>
    <row r="1093">
      <c r="A1093" s="4">
        <f>IFERROR(__xludf.DUMMYFUNCTION("""COMPUTED_VALUE"""),45483.66666666667)</f>
        <v>45483.66667</v>
      </c>
      <c r="B1093" s="5">
        <f>IFERROR(__xludf.DUMMYFUNCTION("""COMPUTED_VALUE"""),985.0)</f>
        <v>985</v>
      </c>
      <c r="C1093" s="5">
        <f>IFERROR(__xludf.DUMMYFUNCTION("""COMPUTED_VALUE"""),1000.0)</f>
        <v>1000</v>
      </c>
      <c r="D1093" s="5">
        <f>IFERROR(__xludf.DUMMYFUNCTION("""COMPUTED_VALUE"""),970.0)</f>
        <v>970</v>
      </c>
      <c r="E1093" s="5">
        <f>IFERROR(__xludf.DUMMYFUNCTION("""COMPUTED_VALUE"""),970.0)</f>
        <v>970</v>
      </c>
      <c r="F1093" s="5">
        <f>IFERROR(__xludf.DUMMYFUNCTION("""COMPUTED_VALUE"""),1.31759E7)</f>
        <v>13175900</v>
      </c>
      <c r="G1093" s="5">
        <f t="shared" si="1"/>
        <v>30</v>
      </c>
    </row>
    <row r="1094">
      <c r="A1094" s="4">
        <f>IFERROR(__xludf.DUMMYFUNCTION("""COMPUTED_VALUE"""),45484.66666666667)</f>
        <v>45484.66667</v>
      </c>
      <c r="B1094" s="5">
        <f>IFERROR(__xludf.DUMMYFUNCTION("""COMPUTED_VALUE"""),985.0)</f>
        <v>985</v>
      </c>
      <c r="C1094" s="5">
        <f>IFERROR(__xludf.DUMMYFUNCTION("""COMPUTED_VALUE"""),1020.0)</f>
        <v>1020</v>
      </c>
      <c r="D1094" s="5">
        <f>IFERROR(__xludf.DUMMYFUNCTION("""COMPUTED_VALUE"""),980.0)</f>
        <v>980</v>
      </c>
      <c r="E1094" s="5">
        <f>IFERROR(__xludf.DUMMYFUNCTION("""COMPUTED_VALUE"""),1010.0)</f>
        <v>1010</v>
      </c>
      <c r="F1094" s="5">
        <f>IFERROR(__xludf.DUMMYFUNCTION("""COMPUTED_VALUE"""),3.17073E7)</f>
        <v>31707300</v>
      </c>
      <c r="G1094" s="5">
        <f t="shared" si="1"/>
        <v>50</v>
      </c>
    </row>
    <row r="1095">
      <c r="A1095" s="4">
        <f>IFERROR(__xludf.DUMMYFUNCTION("""COMPUTED_VALUE"""),45485.66666666667)</f>
        <v>45485.66667</v>
      </c>
      <c r="B1095" s="5">
        <f>IFERROR(__xludf.DUMMYFUNCTION("""COMPUTED_VALUE"""),1000.0)</f>
        <v>1000</v>
      </c>
      <c r="C1095" s="5">
        <f>IFERROR(__xludf.DUMMYFUNCTION("""COMPUTED_VALUE"""),1010.0)</f>
        <v>1010</v>
      </c>
      <c r="D1095" s="5">
        <f>IFERROR(__xludf.DUMMYFUNCTION("""COMPUTED_VALUE"""),990.0)</f>
        <v>990</v>
      </c>
      <c r="E1095" s="5">
        <f>IFERROR(__xludf.DUMMYFUNCTION("""COMPUTED_VALUE"""),995.0)</f>
        <v>995</v>
      </c>
      <c r="F1095" s="5">
        <f>IFERROR(__xludf.DUMMYFUNCTION("""COMPUTED_VALUE"""),2.50925E7)</f>
        <v>25092500</v>
      </c>
      <c r="G1095" s="5">
        <f t="shared" si="1"/>
        <v>20</v>
      </c>
    </row>
    <row r="1096">
      <c r="A1096" s="4">
        <f>IFERROR(__xludf.DUMMYFUNCTION("""COMPUTED_VALUE"""),45488.66666666667)</f>
        <v>45488.66667</v>
      </c>
      <c r="B1096" s="5">
        <f>IFERROR(__xludf.DUMMYFUNCTION("""COMPUTED_VALUE"""),995.0)</f>
        <v>995</v>
      </c>
      <c r="C1096" s="5">
        <f>IFERROR(__xludf.DUMMYFUNCTION("""COMPUTED_VALUE"""),1000.0)</f>
        <v>1000</v>
      </c>
      <c r="D1096" s="5">
        <f>IFERROR(__xludf.DUMMYFUNCTION("""COMPUTED_VALUE"""),965.0)</f>
        <v>965</v>
      </c>
      <c r="E1096" s="5">
        <f>IFERROR(__xludf.DUMMYFUNCTION("""COMPUTED_VALUE"""),975.0)</f>
        <v>975</v>
      </c>
      <c r="F1096" s="5">
        <f>IFERROR(__xludf.DUMMYFUNCTION("""COMPUTED_VALUE"""),1.99884E7)</f>
        <v>19988400</v>
      </c>
      <c r="G1096" s="5">
        <f t="shared" si="1"/>
        <v>35</v>
      </c>
    </row>
    <row r="1097">
      <c r="A1097" s="4">
        <f>IFERROR(__xludf.DUMMYFUNCTION("""COMPUTED_VALUE"""),45489.66666666667)</f>
        <v>45489.66667</v>
      </c>
      <c r="B1097" s="5">
        <f>IFERROR(__xludf.DUMMYFUNCTION("""COMPUTED_VALUE"""),975.0)</f>
        <v>975</v>
      </c>
      <c r="C1097" s="5">
        <f>IFERROR(__xludf.DUMMYFUNCTION("""COMPUTED_VALUE"""),1020.0)</f>
        <v>1020</v>
      </c>
      <c r="D1097" s="5">
        <f>IFERROR(__xludf.DUMMYFUNCTION("""COMPUTED_VALUE"""),970.0)</f>
        <v>970</v>
      </c>
      <c r="E1097" s="5">
        <f>IFERROR(__xludf.DUMMYFUNCTION("""COMPUTED_VALUE"""),1010.0)</f>
        <v>1010</v>
      </c>
      <c r="F1097" s="5">
        <f>IFERROR(__xludf.DUMMYFUNCTION("""COMPUTED_VALUE"""),2.56703E7)</f>
        <v>25670300</v>
      </c>
      <c r="G1097" s="5">
        <f t="shared" si="1"/>
        <v>50</v>
      </c>
    </row>
    <row r="1098">
      <c r="A1098" s="4">
        <f>IFERROR(__xludf.DUMMYFUNCTION("""COMPUTED_VALUE"""),45490.66666666667)</f>
        <v>45490.66667</v>
      </c>
      <c r="B1098" s="5">
        <f>IFERROR(__xludf.DUMMYFUNCTION("""COMPUTED_VALUE"""),1010.0)</f>
        <v>1010</v>
      </c>
      <c r="C1098" s="5">
        <f>IFERROR(__xludf.DUMMYFUNCTION("""COMPUTED_VALUE"""),1090.0)</f>
        <v>1090</v>
      </c>
      <c r="D1098" s="5">
        <f>IFERROR(__xludf.DUMMYFUNCTION("""COMPUTED_VALUE"""),1000.0)</f>
        <v>1000</v>
      </c>
      <c r="E1098" s="5">
        <f>IFERROR(__xludf.DUMMYFUNCTION("""COMPUTED_VALUE"""),1075.0)</f>
        <v>1075</v>
      </c>
      <c r="F1098" s="5">
        <f>IFERROR(__xludf.DUMMYFUNCTION("""COMPUTED_VALUE"""),8.11786E7)</f>
        <v>81178600</v>
      </c>
      <c r="G1098" s="5">
        <f t="shared" si="1"/>
        <v>90</v>
      </c>
    </row>
    <row r="1099">
      <c r="A1099" s="4">
        <f>IFERROR(__xludf.DUMMYFUNCTION("""COMPUTED_VALUE"""),45491.66666666667)</f>
        <v>45491.66667</v>
      </c>
      <c r="B1099" s="5">
        <f>IFERROR(__xludf.DUMMYFUNCTION("""COMPUTED_VALUE"""),1075.0)</f>
        <v>1075</v>
      </c>
      <c r="C1099" s="5">
        <f>IFERROR(__xludf.DUMMYFUNCTION("""COMPUTED_VALUE"""),1080.0)</f>
        <v>1080</v>
      </c>
      <c r="D1099" s="5">
        <f>IFERROR(__xludf.DUMMYFUNCTION("""COMPUTED_VALUE"""),1030.0)</f>
        <v>1030</v>
      </c>
      <c r="E1099" s="5">
        <f>IFERROR(__xludf.DUMMYFUNCTION("""COMPUTED_VALUE"""),1035.0)</f>
        <v>1035</v>
      </c>
      <c r="F1099" s="5">
        <f>IFERROR(__xludf.DUMMYFUNCTION("""COMPUTED_VALUE"""),3.35514E7)</f>
        <v>33551400</v>
      </c>
      <c r="G1099" s="5">
        <f t="shared" si="1"/>
        <v>50</v>
      </c>
    </row>
    <row r="1100">
      <c r="A1100" s="4">
        <f>IFERROR(__xludf.DUMMYFUNCTION("""COMPUTED_VALUE"""),45492.66666666667)</f>
        <v>45492.66667</v>
      </c>
      <c r="B1100" s="5">
        <f>IFERROR(__xludf.DUMMYFUNCTION("""COMPUTED_VALUE"""),1035.0)</f>
        <v>1035</v>
      </c>
      <c r="C1100" s="5">
        <f>IFERROR(__xludf.DUMMYFUNCTION("""COMPUTED_VALUE"""),1045.0)</f>
        <v>1045</v>
      </c>
      <c r="D1100" s="5">
        <f>IFERROR(__xludf.DUMMYFUNCTION("""COMPUTED_VALUE"""),1000.0)</f>
        <v>1000</v>
      </c>
      <c r="E1100" s="5">
        <f>IFERROR(__xludf.DUMMYFUNCTION("""COMPUTED_VALUE"""),1005.0)</f>
        <v>1005</v>
      </c>
      <c r="F1100" s="5">
        <f>IFERROR(__xludf.DUMMYFUNCTION("""COMPUTED_VALUE"""),4.1997E7)</f>
        <v>41997000</v>
      </c>
      <c r="G1100" s="5">
        <f t="shared" si="1"/>
        <v>45</v>
      </c>
    </row>
    <row r="1101">
      <c r="A1101" s="4">
        <f>IFERROR(__xludf.DUMMYFUNCTION("""COMPUTED_VALUE"""),45495.66666666667)</f>
        <v>45495.66667</v>
      </c>
      <c r="B1101" s="5">
        <f>IFERROR(__xludf.DUMMYFUNCTION("""COMPUTED_VALUE"""),1005.0)</f>
        <v>1005</v>
      </c>
      <c r="C1101" s="5">
        <f>IFERROR(__xludf.DUMMYFUNCTION("""COMPUTED_VALUE"""),1005.0)</f>
        <v>1005</v>
      </c>
      <c r="D1101" s="5">
        <f>IFERROR(__xludf.DUMMYFUNCTION("""COMPUTED_VALUE"""),970.0)</f>
        <v>970</v>
      </c>
      <c r="E1101" s="5">
        <f>IFERROR(__xludf.DUMMYFUNCTION("""COMPUTED_VALUE"""),995.0)</f>
        <v>995</v>
      </c>
      <c r="F1101" s="5">
        <f>IFERROR(__xludf.DUMMYFUNCTION("""COMPUTED_VALUE"""),3.20821E7)</f>
        <v>32082100</v>
      </c>
      <c r="G1101" s="5">
        <f t="shared" si="1"/>
        <v>35</v>
      </c>
    </row>
    <row r="1102">
      <c r="A1102" s="4">
        <f>IFERROR(__xludf.DUMMYFUNCTION("""COMPUTED_VALUE"""),45496.66666666667)</f>
        <v>45496.66667</v>
      </c>
      <c r="B1102" s="5">
        <f>IFERROR(__xludf.DUMMYFUNCTION("""COMPUTED_VALUE"""),995.0)</f>
        <v>995</v>
      </c>
      <c r="C1102" s="5">
        <f>IFERROR(__xludf.DUMMYFUNCTION("""COMPUTED_VALUE"""),1025.0)</f>
        <v>1025</v>
      </c>
      <c r="D1102" s="5">
        <f>IFERROR(__xludf.DUMMYFUNCTION("""COMPUTED_VALUE"""),985.0)</f>
        <v>985</v>
      </c>
      <c r="E1102" s="5">
        <f>IFERROR(__xludf.DUMMYFUNCTION("""COMPUTED_VALUE"""),1000.0)</f>
        <v>1000</v>
      </c>
      <c r="F1102" s="5">
        <f>IFERROR(__xludf.DUMMYFUNCTION("""COMPUTED_VALUE"""),3.89655E7)</f>
        <v>38965500</v>
      </c>
      <c r="G1102" s="5">
        <f t="shared" si="1"/>
        <v>40</v>
      </c>
    </row>
    <row r="1103">
      <c r="A1103" s="4">
        <f>IFERROR(__xludf.DUMMYFUNCTION("""COMPUTED_VALUE"""),45497.66666666667)</f>
        <v>45497.66667</v>
      </c>
      <c r="B1103" s="5">
        <f>IFERROR(__xludf.DUMMYFUNCTION("""COMPUTED_VALUE"""),1000.0)</f>
        <v>1000</v>
      </c>
      <c r="C1103" s="5">
        <f>IFERROR(__xludf.DUMMYFUNCTION("""COMPUTED_VALUE"""),1005.0)</f>
        <v>1005</v>
      </c>
      <c r="D1103" s="5">
        <f>IFERROR(__xludf.DUMMYFUNCTION("""COMPUTED_VALUE"""),970.0)</f>
        <v>970</v>
      </c>
      <c r="E1103" s="5">
        <f>IFERROR(__xludf.DUMMYFUNCTION("""COMPUTED_VALUE"""),970.0)</f>
        <v>970</v>
      </c>
      <c r="F1103" s="5">
        <f>IFERROR(__xludf.DUMMYFUNCTION("""COMPUTED_VALUE"""),2.2216E7)</f>
        <v>22216000</v>
      </c>
      <c r="G1103" s="5">
        <f t="shared" si="1"/>
        <v>35</v>
      </c>
    </row>
    <row r="1104">
      <c r="A1104" s="4">
        <f>IFERROR(__xludf.DUMMYFUNCTION("""COMPUTED_VALUE"""),45498.66666666667)</f>
        <v>45498.66667</v>
      </c>
      <c r="B1104" s="5">
        <f>IFERROR(__xludf.DUMMYFUNCTION("""COMPUTED_VALUE"""),975.0)</f>
        <v>975</v>
      </c>
      <c r="C1104" s="5">
        <f>IFERROR(__xludf.DUMMYFUNCTION("""COMPUTED_VALUE"""),975.0)</f>
        <v>975</v>
      </c>
      <c r="D1104" s="5">
        <f>IFERROR(__xludf.DUMMYFUNCTION("""COMPUTED_VALUE"""),915.0)</f>
        <v>915</v>
      </c>
      <c r="E1104" s="5">
        <f>IFERROR(__xludf.DUMMYFUNCTION("""COMPUTED_VALUE"""),930.0)</f>
        <v>930</v>
      </c>
      <c r="F1104" s="5">
        <f>IFERROR(__xludf.DUMMYFUNCTION("""COMPUTED_VALUE"""),4.44888E7)</f>
        <v>44488800</v>
      </c>
      <c r="G1104" s="5">
        <f t="shared" si="1"/>
        <v>60</v>
      </c>
    </row>
    <row r="1105">
      <c r="A1105" s="4">
        <f>IFERROR(__xludf.DUMMYFUNCTION("""COMPUTED_VALUE"""),45499.66666666667)</f>
        <v>45499.66667</v>
      </c>
      <c r="B1105" s="5">
        <f>IFERROR(__xludf.DUMMYFUNCTION("""COMPUTED_VALUE"""),940.0)</f>
        <v>940</v>
      </c>
      <c r="C1105" s="5">
        <f>IFERROR(__xludf.DUMMYFUNCTION("""COMPUTED_VALUE"""),965.0)</f>
        <v>965</v>
      </c>
      <c r="D1105" s="5">
        <f>IFERROR(__xludf.DUMMYFUNCTION("""COMPUTED_VALUE"""),925.0)</f>
        <v>925</v>
      </c>
      <c r="E1105" s="5">
        <f>IFERROR(__xludf.DUMMYFUNCTION("""COMPUTED_VALUE"""),950.0)</f>
        <v>950</v>
      </c>
      <c r="F1105" s="5">
        <f>IFERROR(__xludf.DUMMYFUNCTION("""COMPUTED_VALUE"""),2.59256E7)</f>
        <v>25925600</v>
      </c>
      <c r="G1105" s="5">
        <f t="shared" si="1"/>
        <v>40</v>
      </c>
    </row>
    <row r="1106">
      <c r="A1106" s="4">
        <f>IFERROR(__xludf.DUMMYFUNCTION("""COMPUTED_VALUE"""),45502.66666666667)</f>
        <v>45502.66667</v>
      </c>
      <c r="B1106" s="5">
        <f>IFERROR(__xludf.DUMMYFUNCTION("""COMPUTED_VALUE"""),950.0)</f>
        <v>950</v>
      </c>
      <c r="C1106" s="5">
        <f>IFERROR(__xludf.DUMMYFUNCTION("""COMPUTED_VALUE"""),975.0)</f>
        <v>975</v>
      </c>
      <c r="D1106" s="5">
        <f>IFERROR(__xludf.DUMMYFUNCTION("""COMPUTED_VALUE"""),950.0)</f>
        <v>950</v>
      </c>
      <c r="E1106" s="5">
        <f>IFERROR(__xludf.DUMMYFUNCTION("""COMPUTED_VALUE"""),960.0)</f>
        <v>960</v>
      </c>
      <c r="F1106" s="5">
        <f>IFERROR(__xludf.DUMMYFUNCTION("""COMPUTED_VALUE"""),1.86538E7)</f>
        <v>18653800</v>
      </c>
      <c r="G1106" s="5">
        <f t="shared" si="1"/>
        <v>25</v>
      </c>
    </row>
    <row r="1107">
      <c r="A1107" s="4">
        <f>IFERROR(__xludf.DUMMYFUNCTION("""COMPUTED_VALUE"""),45503.66666666667)</f>
        <v>45503.66667</v>
      </c>
      <c r="B1107" s="5">
        <f>IFERROR(__xludf.DUMMYFUNCTION("""COMPUTED_VALUE"""),965.0)</f>
        <v>965</v>
      </c>
      <c r="C1107" s="5">
        <f>IFERROR(__xludf.DUMMYFUNCTION("""COMPUTED_VALUE"""),965.0)</f>
        <v>965</v>
      </c>
      <c r="D1107" s="5">
        <f>IFERROR(__xludf.DUMMYFUNCTION("""COMPUTED_VALUE"""),950.0)</f>
        <v>950</v>
      </c>
      <c r="E1107" s="5">
        <f>IFERROR(__xludf.DUMMYFUNCTION("""COMPUTED_VALUE"""),960.0)</f>
        <v>960</v>
      </c>
      <c r="F1107" s="5">
        <f>IFERROR(__xludf.DUMMYFUNCTION("""COMPUTED_VALUE"""),9232500.0)</f>
        <v>9232500</v>
      </c>
      <c r="G1107" s="5">
        <f t="shared" si="1"/>
        <v>15</v>
      </c>
    </row>
    <row r="1108">
      <c r="A1108" s="4">
        <f>IFERROR(__xludf.DUMMYFUNCTION("""COMPUTED_VALUE"""),45504.66666666667)</f>
        <v>45504.66667</v>
      </c>
      <c r="B1108" s="5">
        <f>IFERROR(__xludf.DUMMYFUNCTION("""COMPUTED_VALUE"""),960.0)</f>
        <v>960</v>
      </c>
      <c r="C1108" s="5">
        <f>IFERROR(__xludf.DUMMYFUNCTION("""COMPUTED_VALUE"""),985.0)</f>
        <v>985</v>
      </c>
      <c r="D1108" s="5">
        <f>IFERROR(__xludf.DUMMYFUNCTION("""COMPUTED_VALUE"""),935.0)</f>
        <v>935</v>
      </c>
      <c r="E1108" s="5">
        <f>IFERROR(__xludf.DUMMYFUNCTION("""COMPUTED_VALUE"""),945.0)</f>
        <v>945</v>
      </c>
      <c r="F1108" s="5">
        <f>IFERROR(__xludf.DUMMYFUNCTION("""COMPUTED_VALUE"""),1.70441E7)</f>
        <v>17044100</v>
      </c>
      <c r="G1108" s="5">
        <f t="shared" si="1"/>
        <v>50</v>
      </c>
    </row>
    <row r="1109">
      <c r="A1109" s="4">
        <f>IFERROR(__xludf.DUMMYFUNCTION("""COMPUTED_VALUE"""),45505.66666666667)</f>
        <v>45505.66667</v>
      </c>
      <c r="B1109" s="5">
        <f>IFERROR(__xludf.DUMMYFUNCTION("""COMPUTED_VALUE"""),990.0)</f>
        <v>990</v>
      </c>
      <c r="C1109" s="5">
        <f>IFERROR(__xludf.DUMMYFUNCTION("""COMPUTED_VALUE"""),1030.0)</f>
        <v>1030</v>
      </c>
      <c r="D1109" s="5">
        <f>IFERROR(__xludf.DUMMYFUNCTION("""COMPUTED_VALUE"""),965.0)</f>
        <v>965</v>
      </c>
      <c r="E1109" s="5">
        <f>IFERROR(__xludf.DUMMYFUNCTION("""COMPUTED_VALUE"""),975.0)</f>
        <v>975</v>
      </c>
      <c r="F1109" s="5">
        <f>IFERROR(__xludf.DUMMYFUNCTION("""COMPUTED_VALUE"""),8.95746E7)</f>
        <v>89574600</v>
      </c>
      <c r="G1109" s="5">
        <f t="shared" si="1"/>
        <v>85</v>
      </c>
    </row>
    <row r="1110">
      <c r="A1110" s="4">
        <f>IFERROR(__xludf.DUMMYFUNCTION("""COMPUTED_VALUE"""),45506.66666666667)</f>
        <v>45506.66667</v>
      </c>
      <c r="B1110" s="5">
        <f>IFERROR(__xludf.DUMMYFUNCTION("""COMPUTED_VALUE"""),975.0)</f>
        <v>975</v>
      </c>
      <c r="C1110" s="5">
        <f>IFERROR(__xludf.DUMMYFUNCTION("""COMPUTED_VALUE"""),980.0)</f>
        <v>980</v>
      </c>
      <c r="D1110" s="5">
        <f>IFERROR(__xludf.DUMMYFUNCTION("""COMPUTED_VALUE"""),960.0)</f>
        <v>960</v>
      </c>
      <c r="E1110" s="5">
        <f>IFERROR(__xludf.DUMMYFUNCTION("""COMPUTED_VALUE"""),980.0)</f>
        <v>980</v>
      </c>
      <c r="F1110" s="5">
        <f>IFERROR(__xludf.DUMMYFUNCTION("""COMPUTED_VALUE"""),2.22949E7)</f>
        <v>22294900</v>
      </c>
      <c r="G1110" s="5">
        <f t="shared" si="1"/>
        <v>20</v>
      </c>
    </row>
    <row r="1111">
      <c r="A1111" s="4">
        <f>IFERROR(__xludf.DUMMYFUNCTION("""COMPUTED_VALUE"""),45509.66666666667)</f>
        <v>45509.66667</v>
      </c>
      <c r="B1111" s="5">
        <f>IFERROR(__xludf.DUMMYFUNCTION("""COMPUTED_VALUE"""),975.0)</f>
        <v>975</v>
      </c>
      <c r="C1111" s="5">
        <f>IFERROR(__xludf.DUMMYFUNCTION("""COMPUTED_VALUE"""),1005.0)</f>
        <v>1005</v>
      </c>
      <c r="D1111" s="5">
        <f>IFERROR(__xludf.DUMMYFUNCTION("""COMPUTED_VALUE"""),890.0)</f>
        <v>890</v>
      </c>
      <c r="E1111" s="5">
        <f>IFERROR(__xludf.DUMMYFUNCTION("""COMPUTED_VALUE"""),900.0)</f>
        <v>900</v>
      </c>
      <c r="F1111" s="5">
        <f>IFERROR(__xludf.DUMMYFUNCTION("""COMPUTED_VALUE"""),5.68919E7)</f>
        <v>56891900</v>
      </c>
      <c r="G1111" s="5">
        <f t="shared" si="1"/>
        <v>115</v>
      </c>
    </row>
    <row r="1112">
      <c r="A1112" s="4">
        <f>IFERROR(__xludf.DUMMYFUNCTION("""COMPUTED_VALUE"""),45510.66666666667)</f>
        <v>45510.66667</v>
      </c>
      <c r="B1112" s="5">
        <f>IFERROR(__xludf.DUMMYFUNCTION("""COMPUTED_VALUE"""),905.0)</f>
        <v>905</v>
      </c>
      <c r="C1112" s="5">
        <f>IFERROR(__xludf.DUMMYFUNCTION("""COMPUTED_VALUE"""),935.0)</f>
        <v>935</v>
      </c>
      <c r="D1112" s="5">
        <f>IFERROR(__xludf.DUMMYFUNCTION("""COMPUTED_VALUE"""),900.0)</f>
        <v>900</v>
      </c>
      <c r="E1112" s="5">
        <f>IFERROR(__xludf.DUMMYFUNCTION("""COMPUTED_VALUE"""),915.0)</f>
        <v>915</v>
      </c>
      <c r="F1112" s="5">
        <f>IFERROR(__xludf.DUMMYFUNCTION("""COMPUTED_VALUE"""),2.89619E7)</f>
        <v>28961900</v>
      </c>
      <c r="G1112" s="5">
        <f t="shared" si="1"/>
        <v>35</v>
      </c>
    </row>
    <row r="1113">
      <c r="A1113" s="4">
        <f>IFERROR(__xludf.DUMMYFUNCTION("""COMPUTED_VALUE"""),45511.66666666667)</f>
        <v>45511.66667</v>
      </c>
      <c r="B1113" s="5">
        <f>IFERROR(__xludf.DUMMYFUNCTION("""COMPUTED_VALUE"""),915.0)</f>
        <v>915</v>
      </c>
      <c r="C1113" s="5">
        <f>IFERROR(__xludf.DUMMYFUNCTION("""COMPUTED_VALUE"""),930.0)</f>
        <v>930</v>
      </c>
      <c r="D1113" s="5">
        <f>IFERROR(__xludf.DUMMYFUNCTION("""COMPUTED_VALUE"""),915.0)</f>
        <v>915</v>
      </c>
      <c r="E1113" s="5">
        <f>IFERROR(__xludf.DUMMYFUNCTION("""COMPUTED_VALUE"""),920.0)</f>
        <v>920</v>
      </c>
      <c r="F1113" s="5">
        <f>IFERROR(__xludf.DUMMYFUNCTION("""COMPUTED_VALUE"""),1.84566E7)</f>
        <v>18456600</v>
      </c>
      <c r="G1113" s="5">
        <f t="shared" si="1"/>
        <v>15</v>
      </c>
    </row>
    <row r="1114">
      <c r="A1114" s="4">
        <f>IFERROR(__xludf.DUMMYFUNCTION("""COMPUTED_VALUE"""),45512.66666666667)</f>
        <v>45512.66667</v>
      </c>
      <c r="B1114" s="5">
        <f>IFERROR(__xludf.DUMMYFUNCTION("""COMPUTED_VALUE"""),935.0)</f>
        <v>935</v>
      </c>
      <c r="C1114" s="5">
        <f>IFERROR(__xludf.DUMMYFUNCTION("""COMPUTED_VALUE"""),955.0)</f>
        <v>955</v>
      </c>
      <c r="D1114" s="5">
        <f>IFERROR(__xludf.DUMMYFUNCTION("""COMPUTED_VALUE"""),920.0)</f>
        <v>920</v>
      </c>
      <c r="E1114" s="5">
        <f>IFERROR(__xludf.DUMMYFUNCTION("""COMPUTED_VALUE"""),925.0)</f>
        <v>925</v>
      </c>
      <c r="F1114" s="5">
        <f>IFERROR(__xludf.DUMMYFUNCTION("""COMPUTED_VALUE"""),2.58584E7)</f>
        <v>25858400</v>
      </c>
      <c r="G1114" s="5">
        <f t="shared" si="1"/>
        <v>35</v>
      </c>
    </row>
    <row r="1115">
      <c r="A1115" s="4">
        <f>IFERROR(__xludf.DUMMYFUNCTION("""COMPUTED_VALUE"""),45513.66666666667)</f>
        <v>45513.66667</v>
      </c>
      <c r="B1115" s="5">
        <f>IFERROR(__xludf.DUMMYFUNCTION("""COMPUTED_VALUE"""),940.0)</f>
        <v>940</v>
      </c>
      <c r="C1115" s="5">
        <f>IFERROR(__xludf.DUMMYFUNCTION("""COMPUTED_VALUE"""),970.0)</f>
        <v>970</v>
      </c>
      <c r="D1115" s="5">
        <f>IFERROR(__xludf.DUMMYFUNCTION("""COMPUTED_VALUE"""),935.0)</f>
        <v>935</v>
      </c>
      <c r="E1115" s="5">
        <f>IFERROR(__xludf.DUMMYFUNCTION("""COMPUTED_VALUE"""),955.0)</f>
        <v>955</v>
      </c>
      <c r="F1115" s="5">
        <f>IFERROR(__xludf.DUMMYFUNCTION("""COMPUTED_VALUE"""),3.14161E7)</f>
        <v>31416100</v>
      </c>
      <c r="G1115" s="5">
        <f t="shared" si="1"/>
        <v>45</v>
      </c>
    </row>
    <row r="1116">
      <c r="A1116" s="4">
        <f>IFERROR(__xludf.DUMMYFUNCTION("""COMPUTED_VALUE"""),45516.66666666667)</f>
        <v>45516.66667</v>
      </c>
      <c r="B1116" s="5">
        <f>IFERROR(__xludf.DUMMYFUNCTION("""COMPUTED_VALUE"""),970.0)</f>
        <v>970</v>
      </c>
      <c r="C1116" s="5">
        <f>IFERROR(__xludf.DUMMYFUNCTION("""COMPUTED_VALUE"""),1010.0)</f>
        <v>1010</v>
      </c>
      <c r="D1116" s="5">
        <f>IFERROR(__xludf.DUMMYFUNCTION("""COMPUTED_VALUE"""),955.0)</f>
        <v>955</v>
      </c>
      <c r="E1116" s="5">
        <f>IFERROR(__xludf.DUMMYFUNCTION("""COMPUTED_VALUE"""),1010.0)</f>
        <v>1010</v>
      </c>
      <c r="F1116" s="5">
        <f>IFERROR(__xludf.DUMMYFUNCTION("""COMPUTED_VALUE"""),6.31711E7)</f>
        <v>63171100</v>
      </c>
      <c r="G1116" s="5">
        <f t="shared" si="1"/>
        <v>55</v>
      </c>
    </row>
    <row r="1117">
      <c r="A1117" s="4">
        <f>IFERROR(__xludf.DUMMYFUNCTION("""COMPUTED_VALUE"""),45517.66666666667)</f>
        <v>45517.66667</v>
      </c>
      <c r="B1117" s="5">
        <f>IFERROR(__xludf.DUMMYFUNCTION("""COMPUTED_VALUE"""),1010.0)</f>
        <v>1010</v>
      </c>
      <c r="C1117" s="5">
        <f>IFERROR(__xludf.DUMMYFUNCTION("""COMPUTED_VALUE"""),1020.0)</f>
        <v>1020</v>
      </c>
      <c r="D1117" s="5">
        <f>IFERROR(__xludf.DUMMYFUNCTION("""COMPUTED_VALUE"""),985.0)</f>
        <v>985</v>
      </c>
      <c r="E1117" s="5">
        <f>IFERROR(__xludf.DUMMYFUNCTION("""COMPUTED_VALUE"""),995.0)</f>
        <v>995</v>
      </c>
      <c r="F1117" s="5">
        <f>IFERROR(__xludf.DUMMYFUNCTION("""COMPUTED_VALUE"""),3.55093E7)</f>
        <v>35509300</v>
      </c>
      <c r="G1117" s="5">
        <f t="shared" si="1"/>
        <v>35</v>
      </c>
    </row>
    <row r="1118">
      <c r="A1118" s="4">
        <f>IFERROR(__xludf.DUMMYFUNCTION("""COMPUTED_VALUE"""),45518.66666666667)</f>
        <v>45518.66667</v>
      </c>
      <c r="B1118" s="5">
        <f>IFERROR(__xludf.DUMMYFUNCTION("""COMPUTED_VALUE"""),995.0)</f>
        <v>995</v>
      </c>
      <c r="C1118" s="5">
        <f>IFERROR(__xludf.DUMMYFUNCTION("""COMPUTED_VALUE"""),1005.0)</f>
        <v>1005</v>
      </c>
      <c r="D1118" s="5">
        <f>IFERROR(__xludf.DUMMYFUNCTION("""COMPUTED_VALUE"""),985.0)</f>
        <v>985</v>
      </c>
      <c r="E1118" s="5">
        <f>IFERROR(__xludf.DUMMYFUNCTION("""COMPUTED_VALUE"""),995.0)</f>
        <v>995</v>
      </c>
      <c r="F1118" s="5">
        <f>IFERROR(__xludf.DUMMYFUNCTION("""COMPUTED_VALUE"""),1.61379E7)</f>
        <v>16137900</v>
      </c>
      <c r="G1118" s="5">
        <f t="shared" si="1"/>
        <v>20</v>
      </c>
    </row>
    <row r="1119">
      <c r="A1119" s="4">
        <f>IFERROR(__xludf.DUMMYFUNCTION("""COMPUTED_VALUE"""),45519.66666666667)</f>
        <v>45519.66667</v>
      </c>
      <c r="B1119" s="5">
        <f>IFERROR(__xludf.DUMMYFUNCTION("""COMPUTED_VALUE"""),1000.0)</f>
        <v>1000</v>
      </c>
      <c r="C1119" s="5">
        <f>IFERROR(__xludf.DUMMYFUNCTION("""COMPUTED_VALUE"""),1025.0)</f>
        <v>1025</v>
      </c>
      <c r="D1119" s="5">
        <f>IFERROR(__xludf.DUMMYFUNCTION("""COMPUTED_VALUE"""),990.0)</f>
        <v>990</v>
      </c>
      <c r="E1119" s="5">
        <f>IFERROR(__xludf.DUMMYFUNCTION("""COMPUTED_VALUE"""),1025.0)</f>
        <v>1025</v>
      </c>
      <c r="F1119" s="5">
        <f>IFERROR(__xludf.DUMMYFUNCTION("""COMPUTED_VALUE"""),4.95169E7)</f>
        <v>49516900</v>
      </c>
      <c r="G1119" s="5">
        <f t="shared" si="1"/>
        <v>35</v>
      </c>
    </row>
    <row r="1120">
      <c r="A1120" s="4">
        <f>IFERROR(__xludf.DUMMYFUNCTION("""COMPUTED_VALUE"""),45520.66666666667)</f>
        <v>45520.66667</v>
      </c>
      <c r="B1120" s="5">
        <f>IFERROR(__xludf.DUMMYFUNCTION("""COMPUTED_VALUE"""),1030.0)</f>
        <v>1030</v>
      </c>
      <c r="C1120" s="5">
        <f>IFERROR(__xludf.DUMMYFUNCTION("""COMPUTED_VALUE"""),1060.0)</f>
        <v>1060</v>
      </c>
      <c r="D1120" s="5">
        <f>IFERROR(__xludf.DUMMYFUNCTION("""COMPUTED_VALUE"""),1025.0)</f>
        <v>1025</v>
      </c>
      <c r="E1120" s="5">
        <f>IFERROR(__xludf.DUMMYFUNCTION("""COMPUTED_VALUE"""),1030.0)</f>
        <v>1030</v>
      </c>
      <c r="F1120" s="5">
        <f>IFERROR(__xludf.DUMMYFUNCTION("""COMPUTED_VALUE"""),6.2065E7)</f>
        <v>62065000</v>
      </c>
      <c r="G1120" s="5">
        <f t="shared" si="1"/>
        <v>35</v>
      </c>
    </row>
    <row r="1121">
      <c r="A1121" s="4">
        <f>IFERROR(__xludf.DUMMYFUNCTION("""COMPUTED_VALUE"""),45523.66666666667)</f>
        <v>45523.66667</v>
      </c>
      <c r="B1121" s="5">
        <f>IFERROR(__xludf.DUMMYFUNCTION("""COMPUTED_VALUE"""),1030.0)</f>
        <v>1030</v>
      </c>
      <c r="C1121" s="5">
        <f>IFERROR(__xludf.DUMMYFUNCTION("""COMPUTED_VALUE"""),1045.0)</f>
        <v>1045</v>
      </c>
      <c r="D1121" s="5">
        <f>IFERROR(__xludf.DUMMYFUNCTION("""COMPUTED_VALUE"""),1020.0)</f>
        <v>1020</v>
      </c>
      <c r="E1121" s="5">
        <f>IFERROR(__xludf.DUMMYFUNCTION("""COMPUTED_VALUE"""),1035.0)</f>
        <v>1035</v>
      </c>
      <c r="F1121" s="5">
        <f>IFERROR(__xludf.DUMMYFUNCTION("""COMPUTED_VALUE"""),1.94971E7)</f>
        <v>19497100</v>
      </c>
      <c r="G1121" s="5">
        <f t="shared" si="1"/>
        <v>25</v>
      </c>
    </row>
    <row r="1122">
      <c r="A1122" s="4">
        <f>IFERROR(__xludf.DUMMYFUNCTION("""COMPUTED_VALUE"""),45524.66666666667)</f>
        <v>45524.66667</v>
      </c>
      <c r="B1122" s="5">
        <f>IFERROR(__xludf.DUMMYFUNCTION("""COMPUTED_VALUE"""),1040.0)</f>
        <v>1040</v>
      </c>
      <c r="C1122" s="5">
        <f>IFERROR(__xludf.DUMMYFUNCTION("""COMPUTED_VALUE"""),1055.0)</f>
        <v>1055</v>
      </c>
      <c r="D1122" s="5">
        <f>IFERROR(__xludf.DUMMYFUNCTION("""COMPUTED_VALUE"""),1030.0)</f>
        <v>1030</v>
      </c>
      <c r="E1122" s="5">
        <f>IFERROR(__xludf.DUMMYFUNCTION("""COMPUTED_VALUE"""),1035.0)</f>
        <v>1035</v>
      </c>
      <c r="F1122" s="5">
        <f>IFERROR(__xludf.DUMMYFUNCTION("""COMPUTED_VALUE"""),2.29018E7)</f>
        <v>22901800</v>
      </c>
      <c r="G1122" s="5">
        <f t="shared" si="1"/>
        <v>25</v>
      </c>
    </row>
    <row r="1123">
      <c r="A1123" s="4">
        <f>IFERROR(__xludf.DUMMYFUNCTION("""COMPUTED_VALUE"""),45525.66666666667)</f>
        <v>45525.66667</v>
      </c>
      <c r="B1123" s="5">
        <f>IFERROR(__xludf.DUMMYFUNCTION("""COMPUTED_VALUE"""),1035.0)</f>
        <v>1035</v>
      </c>
      <c r="C1123" s="5">
        <f>IFERROR(__xludf.DUMMYFUNCTION("""COMPUTED_VALUE"""),1060.0)</f>
        <v>1060</v>
      </c>
      <c r="D1123" s="5">
        <f>IFERROR(__xludf.DUMMYFUNCTION("""COMPUTED_VALUE"""),1020.0)</f>
        <v>1020</v>
      </c>
      <c r="E1123" s="5">
        <f>IFERROR(__xludf.DUMMYFUNCTION("""COMPUTED_VALUE"""),1025.0)</f>
        <v>1025</v>
      </c>
      <c r="F1123" s="5">
        <f>IFERROR(__xludf.DUMMYFUNCTION("""COMPUTED_VALUE"""),3.27243E7)</f>
        <v>32724300</v>
      </c>
      <c r="G1123" s="5">
        <f t="shared" si="1"/>
        <v>40</v>
      </c>
    </row>
    <row r="1124">
      <c r="A1124" s="4">
        <f>IFERROR(__xludf.DUMMYFUNCTION("""COMPUTED_VALUE"""),45526.66666666667)</f>
        <v>45526.66667</v>
      </c>
      <c r="B1124" s="5">
        <f>IFERROR(__xludf.DUMMYFUNCTION("""COMPUTED_VALUE"""),1025.0)</f>
        <v>1025</v>
      </c>
      <c r="C1124" s="5">
        <f>IFERROR(__xludf.DUMMYFUNCTION("""COMPUTED_VALUE"""),1030.0)</f>
        <v>1030</v>
      </c>
      <c r="D1124" s="5">
        <f>IFERROR(__xludf.DUMMYFUNCTION("""COMPUTED_VALUE"""),1010.0)</f>
        <v>1010</v>
      </c>
      <c r="E1124" s="5">
        <f>IFERROR(__xludf.DUMMYFUNCTION("""COMPUTED_VALUE"""),1015.0)</f>
        <v>1015</v>
      </c>
      <c r="F1124" s="5">
        <f>IFERROR(__xludf.DUMMYFUNCTION("""COMPUTED_VALUE"""),1.98021E7)</f>
        <v>19802100</v>
      </c>
      <c r="G1124" s="5">
        <f t="shared" si="1"/>
        <v>20</v>
      </c>
    </row>
    <row r="1125">
      <c r="A1125" s="4">
        <f>IFERROR(__xludf.DUMMYFUNCTION("""COMPUTED_VALUE"""),45527.66666666667)</f>
        <v>45527.66667</v>
      </c>
      <c r="B1125" s="5">
        <f>IFERROR(__xludf.DUMMYFUNCTION("""COMPUTED_VALUE"""),1015.0)</f>
        <v>1015</v>
      </c>
      <c r="C1125" s="5">
        <f>IFERROR(__xludf.DUMMYFUNCTION("""COMPUTED_VALUE"""),1040.0)</f>
        <v>1040</v>
      </c>
      <c r="D1125" s="5">
        <f>IFERROR(__xludf.DUMMYFUNCTION("""COMPUTED_VALUE"""),1015.0)</f>
        <v>1015</v>
      </c>
      <c r="E1125" s="5">
        <f>IFERROR(__xludf.DUMMYFUNCTION("""COMPUTED_VALUE"""),1030.0)</f>
        <v>1030</v>
      </c>
      <c r="F1125" s="5">
        <f>IFERROR(__xludf.DUMMYFUNCTION("""COMPUTED_VALUE"""),1.87401E7)</f>
        <v>18740100</v>
      </c>
      <c r="G1125" s="5">
        <f t="shared" si="1"/>
        <v>25</v>
      </c>
    </row>
    <row r="1126">
      <c r="A1126" s="4">
        <f>IFERROR(__xludf.DUMMYFUNCTION("""COMPUTED_VALUE"""),45530.66666666667)</f>
        <v>45530.66667</v>
      </c>
      <c r="B1126" s="5">
        <f>IFERROR(__xludf.DUMMYFUNCTION("""COMPUTED_VALUE"""),1035.0)</f>
        <v>1035</v>
      </c>
      <c r="C1126" s="5">
        <f>IFERROR(__xludf.DUMMYFUNCTION("""COMPUTED_VALUE"""),1110.0)</f>
        <v>1110</v>
      </c>
      <c r="D1126" s="5">
        <f>IFERROR(__xludf.DUMMYFUNCTION("""COMPUTED_VALUE"""),1035.0)</f>
        <v>1035</v>
      </c>
      <c r="E1126" s="5">
        <f>IFERROR(__xludf.DUMMYFUNCTION("""COMPUTED_VALUE"""),1060.0)</f>
        <v>1060</v>
      </c>
      <c r="F1126" s="5">
        <f>IFERROR(__xludf.DUMMYFUNCTION("""COMPUTED_VALUE"""),8.22002E7)</f>
        <v>82200200</v>
      </c>
      <c r="G1126" s="5">
        <f t="shared" si="1"/>
        <v>80</v>
      </c>
    </row>
    <row r="1127">
      <c r="A1127" s="4">
        <f>IFERROR(__xludf.DUMMYFUNCTION("""COMPUTED_VALUE"""),45531.66666666667)</f>
        <v>45531.66667</v>
      </c>
      <c r="B1127" s="5">
        <f>IFERROR(__xludf.DUMMYFUNCTION("""COMPUTED_VALUE"""),1075.0)</f>
        <v>1075</v>
      </c>
      <c r="C1127" s="5">
        <f>IFERROR(__xludf.DUMMYFUNCTION("""COMPUTED_VALUE"""),1080.0)</f>
        <v>1080</v>
      </c>
      <c r="D1127" s="5">
        <f>IFERROR(__xludf.DUMMYFUNCTION("""COMPUTED_VALUE"""),1040.0)</f>
        <v>1040</v>
      </c>
      <c r="E1127" s="5">
        <f>IFERROR(__xludf.DUMMYFUNCTION("""COMPUTED_VALUE"""),1040.0)</f>
        <v>1040</v>
      </c>
      <c r="F1127" s="5">
        <f>IFERROR(__xludf.DUMMYFUNCTION("""COMPUTED_VALUE"""),3.36029E7)</f>
        <v>33602900</v>
      </c>
      <c r="G1127" s="5">
        <f t="shared" si="1"/>
        <v>40</v>
      </c>
    </row>
    <row r="1128">
      <c r="A1128" s="4">
        <f>IFERROR(__xludf.DUMMYFUNCTION("""COMPUTED_VALUE"""),45532.66666666667)</f>
        <v>45532.66667</v>
      </c>
      <c r="B1128" s="5">
        <f>IFERROR(__xludf.DUMMYFUNCTION("""COMPUTED_VALUE"""),1050.0)</f>
        <v>1050</v>
      </c>
      <c r="C1128" s="5">
        <f>IFERROR(__xludf.DUMMYFUNCTION("""COMPUTED_VALUE"""),1055.0)</f>
        <v>1055</v>
      </c>
      <c r="D1128" s="5">
        <f>IFERROR(__xludf.DUMMYFUNCTION("""COMPUTED_VALUE"""),1025.0)</f>
        <v>1025</v>
      </c>
      <c r="E1128" s="5">
        <f>IFERROR(__xludf.DUMMYFUNCTION("""COMPUTED_VALUE"""),1030.0)</f>
        <v>1030</v>
      </c>
      <c r="F1128" s="5">
        <f>IFERROR(__xludf.DUMMYFUNCTION("""COMPUTED_VALUE"""),1.68465E7)</f>
        <v>16846500</v>
      </c>
      <c r="G1128" s="5">
        <f t="shared" si="1"/>
        <v>30</v>
      </c>
    </row>
    <row r="1129">
      <c r="A1129" s="4">
        <f>IFERROR(__xludf.DUMMYFUNCTION("""COMPUTED_VALUE"""),45533.66666666667)</f>
        <v>45533.66667</v>
      </c>
      <c r="B1129" s="5">
        <f>IFERROR(__xludf.DUMMYFUNCTION("""COMPUTED_VALUE"""),1035.0)</f>
        <v>1035</v>
      </c>
      <c r="C1129" s="5">
        <f>IFERROR(__xludf.DUMMYFUNCTION("""COMPUTED_VALUE"""),1040.0)</f>
        <v>1040</v>
      </c>
      <c r="D1129" s="5">
        <f>IFERROR(__xludf.DUMMYFUNCTION("""COMPUTED_VALUE"""),995.0)</f>
        <v>995</v>
      </c>
      <c r="E1129" s="5">
        <f>IFERROR(__xludf.DUMMYFUNCTION("""COMPUTED_VALUE"""),995.0)</f>
        <v>995</v>
      </c>
      <c r="F1129" s="5">
        <f>IFERROR(__xludf.DUMMYFUNCTION("""COMPUTED_VALUE"""),3.80635E7)</f>
        <v>38063500</v>
      </c>
      <c r="G1129" s="5">
        <f t="shared" si="1"/>
        <v>45</v>
      </c>
    </row>
    <row r="1130">
      <c r="A1130" s="4">
        <f>IFERROR(__xludf.DUMMYFUNCTION("""COMPUTED_VALUE"""),45534.66666666667)</f>
        <v>45534.66667</v>
      </c>
      <c r="B1130" s="5">
        <f>IFERROR(__xludf.DUMMYFUNCTION("""COMPUTED_VALUE"""),1000.0)</f>
        <v>1000</v>
      </c>
      <c r="C1130" s="5">
        <f>IFERROR(__xludf.DUMMYFUNCTION("""COMPUTED_VALUE"""),1015.0)</f>
        <v>1015</v>
      </c>
      <c r="D1130" s="5">
        <f>IFERROR(__xludf.DUMMYFUNCTION("""COMPUTED_VALUE"""),990.0)</f>
        <v>990</v>
      </c>
      <c r="E1130" s="5">
        <f>IFERROR(__xludf.DUMMYFUNCTION("""COMPUTED_VALUE"""),1000.0)</f>
        <v>1000</v>
      </c>
      <c r="F1130" s="5">
        <f>IFERROR(__xludf.DUMMYFUNCTION("""COMPUTED_VALUE"""),1.59608E7)</f>
        <v>15960800</v>
      </c>
      <c r="G1130" s="5">
        <f t="shared" si="1"/>
        <v>25</v>
      </c>
    </row>
    <row r="1131">
      <c r="A1131" s="4">
        <f>IFERROR(__xludf.DUMMYFUNCTION("""COMPUTED_VALUE"""),45537.66666666667)</f>
        <v>45537.66667</v>
      </c>
      <c r="B1131" s="5">
        <f>IFERROR(__xludf.DUMMYFUNCTION("""COMPUTED_VALUE"""),1000.0)</f>
        <v>1000</v>
      </c>
      <c r="C1131" s="5">
        <f>IFERROR(__xludf.DUMMYFUNCTION("""COMPUTED_VALUE"""),1015.0)</f>
        <v>1015</v>
      </c>
      <c r="D1131" s="5">
        <f>IFERROR(__xludf.DUMMYFUNCTION("""COMPUTED_VALUE"""),970.0)</f>
        <v>970</v>
      </c>
      <c r="E1131" s="5">
        <f>IFERROR(__xludf.DUMMYFUNCTION("""COMPUTED_VALUE"""),1000.0)</f>
        <v>1000</v>
      </c>
      <c r="F1131" s="5">
        <f>IFERROR(__xludf.DUMMYFUNCTION("""COMPUTED_VALUE"""),2.95121E7)</f>
        <v>29512100</v>
      </c>
      <c r="G1131" s="5">
        <f t="shared" si="1"/>
        <v>45</v>
      </c>
    </row>
    <row r="1132">
      <c r="A1132" s="4">
        <f>IFERROR(__xludf.DUMMYFUNCTION("""COMPUTED_VALUE"""),45538.66666666667)</f>
        <v>45538.66667</v>
      </c>
      <c r="B1132" s="5">
        <f>IFERROR(__xludf.DUMMYFUNCTION("""COMPUTED_VALUE"""),1010.0)</f>
        <v>1010</v>
      </c>
      <c r="C1132" s="5">
        <f>IFERROR(__xludf.DUMMYFUNCTION("""COMPUTED_VALUE"""),1035.0)</f>
        <v>1035</v>
      </c>
      <c r="D1132" s="5">
        <f>IFERROR(__xludf.DUMMYFUNCTION("""COMPUTED_VALUE"""),995.0)</f>
        <v>995</v>
      </c>
      <c r="E1132" s="5">
        <f>IFERROR(__xludf.DUMMYFUNCTION("""COMPUTED_VALUE"""),1005.0)</f>
        <v>1005</v>
      </c>
      <c r="F1132" s="5">
        <f>IFERROR(__xludf.DUMMYFUNCTION("""COMPUTED_VALUE"""),2.87116E7)</f>
        <v>28711600</v>
      </c>
      <c r="G1132" s="5">
        <f t="shared" si="1"/>
        <v>40</v>
      </c>
    </row>
    <row r="1133">
      <c r="A1133" s="4">
        <f>IFERROR(__xludf.DUMMYFUNCTION("""COMPUTED_VALUE"""),45539.66666666667)</f>
        <v>45539.66667</v>
      </c>
      <c r="B1133" s="5">
        <f>IFERROR(__xludf.DUMMYFUNCTION("""COMPUTED_VALUE"""),1005.0)</f>
        <v>1005</v>
      </c>
      <c r="C1133" s="5">
        <f>IFERROR(__xludf.DUMMYFUNCTION("""COMPUTED_VALUE"""),1020.0)</f>
        <v>1020</v>
      </c>
      <c r="D1133" s="5">
        <f>IFERROR(__xludf.DUMMYFUNCTION("""COMPUTED_VALUE"""),985.0)</f>
        <v>985</v>
      </c>
      <c r="E1133" s="5">
        <f>IFERROR(__xludf.DUMMYFUNCTION("""COMPUTED_VALUE"""),985.0)</f>
        <v>985</v>
      </c>
      <c r="F1133" s="5">
        <f>IFERROR(__xludf.DUMMYFUNCTION("""COMPUTED_VALUE"""),2.09066E7)</f>
        <v>20906600</v>
      </c>
      <c r="G1133" s="5">
        <f t="shared" si="1"/>
        <v>35</v>
      </c>
    </row>
    <row r="1134">
      <c r="A1134" s="4">
        <f>IFERROR(__xludf.DUMMYFUNCTION("""COMPUTED_VALUE"""),45540.66666666667)</f>
        <v>45540.66667</v>
      </c>
      <c r="B1134" s="5">
        <f>IFERROR(__xludf.DUMMYFUNCTION("""COMPUTED_VALUE"""),995.0)</f>
        <v>995</v>
      </c>
      <c r="C1134" s="5">
        <f>IFERROR(__xludf.DUMMYFUNCTION("""COMPUTED_VALUE"""),1000.0)</f>
        <v>1000</v>
      </c>
      <c r="D1134" s="5">
        <f>IFERROR(__xludf.DUMMYFUNCTION("""COMPUTED_VALUE"""),985.0)</f>
        <v>985</v>
      </c>
      <c r="E1134" s="5">
        <f>IFERROR(__xludf.DUMMYFUNCTION("""COMPUTED_VALUE"""),995.0)</f>
        <v>995</v>
      </c>
      <c r="F1134" s="5">
        <f>IFERROR(__xludf.DUMMYFUNCTION("""COMPUTED_VALUE"""),1.28552E7)</f>
        <v>12855200</v>
      </c>
      <c r="G1134" s="5">
        <f t="shared" si="1"/>
        <v>15</v>
      </c>
    </row>
    <row r="1135">
      <c r="A1135" s="4">
        <f>IFERROR(__xludf.DUMMYFUNCTION("""COMPUTED_VALUE"""),45541.66666666667)</f>
        <v>45541.66667</v>
      </c>
      <c r="B1135" s="5">
        <f>IFERROR(__xludf.DUMMYFUNCTION("""COMPUTED_VALUE"""),995.0)</f>
        <v>995</v>
      </c>
      <c r="C1135" s="5">
        <f>IFERROR(__xludf.DUMMYFUNCTION("""COMPUTED_VALUE"""),1005.0)</f>
        <v>1005</v>
      </c>
      <c r="D1135" s="5">
        <f>IFERROR(__xludf.DUMMYFUNCTION("""COMPUTED_VALUE"""),990.0)</f>
        <v>990</v>
      </c>
      <c r="E1135" s="5">
        <f>IFERROR(__xludf.DUMMYFUNCTION("""COMPUTED_VALUE"""),1000.0)</f>
        <v>1000</v>
      </c>
      <c r="F1135" s="5">
        <f>IFERROR(__xludf.DUMMYFUNCTION("""COMPUTED_VALUE"""),7008700.0)</f>
        <v>7008700</v>
      </c>
      <c r="G1135" s="5">
        <f t="shared" si="1"/>
        <v>15</v>
      </c>
    </row>
    <row r="1136">
      <c r="A1136" s="4">
        <f>IFERROR(__xludf.DUMMYFUNCTION("""COMPUTED_VALUE"""),45544.66666666667)</f>
        <v>45544.66667</v>
      </c>
      <c r="B1136" s="5">
        <f>IFERROR(__xludf.DUMMYFUNCTION("""COMPUTED_VALUE"""),1000.0)</f>
        <v>1000</v>
      </c>
      <c r="C1136" s="5">
        <f>IFERROR(__xludf.DUMMYFUNCTION("""COMPUTED_VALUE"""),1010.0)</f>
        <v>1010</v>
      </c>
      <c r="D1136" s="5">
        <f>IFERROR(__xludf.DUMMYFUNCTION("""COMPUTED_VALUE"""),970.0)</f>
        <v>970</v>
      </c>
      <c r="E1136" s="5">
        <f>IFERROR(__xludf.DUMMYFUNCTION("""COMPUTED_VALUE"""),970.0)</f>
        <v>970</v>
      </c>
      <c r="F1136" s="5">
        <f>IFERROR(__xludf.DUMMYFUNCTION("""COMPUTED_VALUE"""),2.4372E7)</f>
        <v>24372000</v>
      </c>
      <c r="G1136" s="5">
        <f t="shared" si="1"/>
        <v>40</v>
      </c>
    </row>
    <row r="1137">
      <c r="A1137" s="4">
        <f>IFERROR(__xludf.DUMMYFUNCTION("""COMPUTED_VALUE"""),45545.66666666667)</f>
        <v>45545.66667</v>
      </c>
      <c r="B1137" s="5">
        <f>IFERROR(__xludf.DUMMYFUNCTION("""COMPUTED_VALUE"""),970.0)</f>
        <v>970</v>
      </c>
      <c r="C1137" s="5">
        <f>IFERROR(__xludf.DUMMYFUNCTION("""COMPUTED_VALUE"""),990.0)</f>
        <v>990</v>
      </c>
      <c r="D1137" s="5">
        <f>IFERROR(__xludf.DUMMYFUNCTION("""COMPUTED_VALUE"""),970.0)</f>
        <v>970</v>
      </c>
      <c r="E1137" s="5">
        <f>IFERROR(__xludf.DUMMYFUNCTION("""COMPUTED_VALUE"""),975.0)</f>
        <v>975</v>
      </c>
      <c r="F1137" s="5">
        <f>IFERROR(__xludf.DUMMYFUNCTION("""COMPUTED_VALUE"""),1.47469E7)</f>
        <v>14746900</v>
      </c>
      <c r="G1137" s="5">
        <f t="shared" si="1"/>
        <v>20</v>
      </c>
    </row>
    <row r="1138">
      <c r="A1138" s="4">
        <f>IFERROR(__xludf.DUMMYFUNCTION("""COMPUTED_VALUE"""),45546.66666666667)</f>
        <v>45546.66667</v>
      </c>
      <c r="B1138" s="5">
        <f>IFERROR(__xludf.DUMMYFUNCTION("""COMPUTED_VALUE"""),980.0)</f>
        <v>980</v>
      </c>
      <c r="C1138" s="5">
        <f>IFERROR(__xludf.DUMMYFUNCTION("""COMPUTED_VALUE"""),985.0)</f>
        <v>985</v>
      </c>
      <c r="D1138" s="5">
        <f>IFERROR(__xludf.DUMMYFUNCTION("""COMPUTED_VALUE"""),970.0)</f>
        <v>970</v>
      </c>
      <c r="E1138" s="5">
        <f>IFERROR(__xludf.DUMMYFUNCTION("""COMPUTED_VALUE"""),985.0)</f>
        <v>985</v>
      </c>
      <c r="F1138" s="5">
        <f>IFERROR(__xludf.DUMMYFUNCTION("""COMPUTED_VALUE"""),8267400.0)</f>
        <v>8267400</v>
      </c>
      <c r="G1138" s="5">
        <f t="shared" si="1"/>
        <v>15</v>
      </c>
    </row>
    <row r="1139">
      <c r="A1139" s="4">
        <f>IFERROR(__xludf.DUMMYFUNCTION("""COMPUTED_VALUE"""),45547.66666666667)</f>
        <v>45547.66667</v>
      </c>
      <c r="B1139" s="5">
        <f>IFERROR(__xludf.DUMMYFUNCTION("""COMPUTED_VALUE"""),985.0)</f>
        <v>985</v>
      </c>
      <c r="C1139" s="5">
        <f>IFERROR(__xludf.DUMMYFUNCTION("""COMPUTED_VALUE"""),1020.0)</f>
        <v>1020</v>
      </c>
      <c r="D1139" s="5">
        <f>IFERROR(__xludf.DUMMYFUNCTION("""COMPUTED_VALUE"""),980.0)</f>
        <v>980</v>
      </c>
      <c r="E1139" s="5">
        <f>IFERROR(__xludf.DUMMYFUNCTION("""COMPUTED_VALUE"""),1010.0)</f>
        <v>1010</v>
      </c>
      <c r="F1139" s="5">
        <f>IFERROR(__xludf.DUMMYFUNCTION("""COMPUTED_VALUE"""),2.27987E7)</f>
        <v>22798700</v>
      </c>
      <c r="G1139" s="5">
        <f t="shared" si="1"/>
        <v>40</v>
      </c>
    </row>
    <row r="1140">
      <c r="A1140" s="4">
        <f>IFERROR(__xludf.DUMMYFUNCTION("""COMPUTED_VALUE"""),45548.66666666667)</f>
        <v>45548.66667</v>
      </c>
      <c r="B1140" s="5">
        <f>IFERROR(__xludf.DUMMYFUNCTION("""COMPUTED_VALUE"""),1020.0)</f>
        <v>1020</v>
      </c>
      <c r="C1140" s="5">
        <f>IFERROR(__xludf.DUMMYFUNCTION("""COMPUTED_VALUE"""),1035.0)</f>
        <v>1035</v>
      </c>
      <c r="D1140" s="5">
        <f>IFERROR(__xludf.DUMMYFUNCTION("""COMPUTED_VALUE"""),1000.0)</f>
        <v>1000</v>
      </c>
      <c r="E1140" s="5">
        <f>IFERROR(__xludf.DUMMYFUNCTION("""COMPUTED_VALUE"""),1005.0)</f>
        <v>1005</v>
      </c>
      <c r="F1140" s="5">
        <f>IFERROR(__xludf.DUMMYFUNCTION("""COMPUTED_VALUE"""),2.30354E7)</f>
        <v>23035400</v>
      </c>
      <c r="G1140" s="5">
        <f t="shared" si="1"/>
        <v>35</v>
      </c>
    </row>
    <row r="1141">
      <c r="A1141" s="4">
        <f>IFERROR(__xludf.DUMMYFUNCTION("""COMPUTED_VALUE"""),45552.66666666667)</f>
        <v>45552.66667</v>
      </c>
      <c r="B1141" s="5">
        <f>IFERROR(__xludf.DUMMYFUNCTION("""COMPUTED_VALUE"""),1020.0)</f>
        <v>1020</v>
      </c>
      <c r="C1141" s="5">
        <f>IFERROR(__xludf.DUMMYFUNCTION("""COMPUTED_VALUE"""),1040.0)</f>
        <v>1040</v>
      </c>
      <c r="D1141" s="5">
        <f>IFERROR(__xludf.DUMMYFUNCTION("""COMPUTED_VALUE"""),1005.0)</f>
        <v>1005</v>
      </c>
      <c r="E1141" s="5">
        <f>IFERROR(__xludf.DUMMYFUNCTION("""COMPUTED_VALUE"""),1030.0)</f>
        <v>1030</v>
      </c>
      <c r="F1141" s="5">
        <f>IFERROR(__xludf.DUMMYFUNCTION("""COMPUTED_VALUE"""),2.64361E7)</f>
        <v>26436100</v>
      </c>
      <c r="G1141" s="5">
        <f t="shared" si="1"/>
        <v>35</v>
      </c>
    </row>
    <row r="1142">
      <c r="A1142" s="4">
        <f>IFERROR(__xludf.DUMMYFUNCTION("""COMPUTED_VALUE"""),45553.66666666667)</f>
        <v>45553.66667</v>
      </c>
      <c r="B1142" s="5">
        <f>IFERROR(__xludf.DUMMYFUNCTION("""COMPUTED_VALUE"""),1030.0)</f>
        <v>1030</v>
      </c>
      <c r="C1142" s="5">
        <f>IFERROR(__xludf.DUMMYFUNCTION("""COMPUTED_VALUE"""),1040.0)</f>
        <v>1040</v>
      </c>
      <c r="D1142" s="5">
        <f>IFERROR(__xludf.DUMMYFUNCTION("""COMPUTED_VALUE"""),1015.0)</f>
        <v>1015</v>
      </c>
      <c r="E1142" s="5">
        <f>IFERROR(__xludf.DUMMYFUNCTION("""COMPUTED_VALUE"""),1015.0)</f>
        <v>1015</v>
      </c>
      <c r="F1142" s="5">
        <f>IFERROR(__xludf.DUMMYFUNCTION("""COMPUTED_VALUE"""),1.47073E7)</f>
        <v>14707300</v>
      </c>
      <c r="G1142" s="5">
        <f t="shared" si="1"/>
        <v>25</v>
      </c>
    </row>
    <row r="1143">
      <c r="A1143" s="4">
        <f>IFERROR(__xludf.DUMMYFUNCTION("""COMPUTED_VALUE"""),45554.66666666667)</f>
        <v>45554.66667</v>
      </c>
      <c r="B1143" s="5">
        <f>IFERROR(__xludf.DUMMYFUNCTION("""COMPUTED_VALUE"""),1015.0)</f>
        <v>1015</v>
      </c>
      <c r="C1143" s="5">
        <f>IFERROR(__xludf.DUMMYFUNCTION("""COMPUTED_VALUE"""),1035.0)</f>
        <v>1035</v>
      </c>
      <c r="D1143" s="5">
        <f>IFERROR(__xludf.DUMMYFUNCTION("""COMPUTED_VALUE"""),1015.0)</f>
        <v>1015</v>
      </c>
      <c r="E1143" s="5">
        <f>IFERROR(__xludf.DUMMYFUNCTION("""COMPUTED_VALUE"""),1030.0)</f>
        <v>1030</v>
      </c>
      <c r="F1143" s="5">
        <f>IFERROR(__xludf.DUMMYFUNCTION("""COMPUTED_VALUE"""),1.49247E7)</f>
        <v>14924700</v>
      </c>
      <c r="G1143" s="5">
        <f t="shared" si="1"/>
        <v>20</v>
      </c>
    </row>
    <row r="1144">
      <c r="A1144" s="4">
        <f>IFERROR(__xludf.DUMMYFUNCTION("""COMPUTED_VALUE"""),45555.66666666667)</f>
        <v>45555.66667</v>
      </c>
      <c r="B1144" s="5">
        <f>IFERROR(__xludf.DUMMYFUNCTION("""COMPUTED_VALUE"""),1035.0)</f>
        <v>1035</v>
      </c>
      <c r="C1144" s="5">
        <f>IFERROR(__xludf.DUMMYFUNCTION("""COMPUTED_VALUE"""),1035.0)</f>
        <v>1035</v>
      </c>
      <c r="D1144" s="5">
        <f>IFERROR(__xludf.DUMMYFUNCTION("""COMPUTED_VALUE"""),1005.0)</f>
        <v>1005</v>
      </c>
      <c r="E1144" s="5">
        <f>IFERROR(__xludf.DUMMYFUNCTION("""COMPUTED_VALUE"""),1010.0)</f>
        <v>1010</v>
      </c>
      <c r="F1144" s="5">
        <f>IFERROR(__xludf.DUMMYFUNCTION("""COMPUTED_VALUE"""),1.3377E7)</f>
        <v>13377000</v>
      </c>
      <c r="G1144" s="5">
        <f t="shared" si="1"/>
        <v>30</v>
      </c>
    </row>
    <row r="1145">
      <c r="A1145" s="4">
        <f>IFERROR(__xludf.DUMMYFUNCTION("""COMPUTED_VALUE"""),45558.66666666667)</f>
        <v>45558.66667</v>
      </c>
      <c r="B1145" s="5">
        <f>IFERROR(__xludf.DUMMYFUNCTION("""COMPUTED_VALUE"""),1015.0)</f>
        <v>1015</v>
      </c>
      <c r="C1145" s="5">
        <f>IFERROR(__xludf.DUMMYFUNCTION("""COMPUTED_VALUE"""),1055.0)</f>
        <v>1055</v>
      </c>
      <c r="D1145" s="5">
        <f>IFERROR(__xludf.DUMMYFUNCTION("""COMPUTED_VALUE"""),1015.0)</f>
        <v>1015</v>
      </c>
      <c r="E1145" s="5">
        <f>IFERROR(__xludf.DUMMYFUNCTION("""COMPUTED_VALUE"""),1045.0)</f>
        <v>1045</v>
      </c>
      <c r="F1145" s="5">
        <f>IFERROR(__xludf.DUMMYFUNCTION("""COMPUTED_VALUE"""),3.22355E7)</f>
        <v>32235500</v>
      </c>
      <c r="G1145" s="5">
        <f t="shared" si="1"/>
        <v>45</v>
      </c>
    </row>
    <row r="1146">
      <c r="A1146" s="4">
        <f>IFERROR(__xludf.DUMMYFUNCTION("""COMPUTED_VALUE"""),45559.66666666667)</f>
        <v>45559.66667</v>
      </c>
      <c r="B1146" s="5">
        <f>IFERROR(__xludf.DUMMYFUNCTION("""COMPUTED_VALUE"""),1050.0)</f>
        <v>1050</v>
      </c>
      <c r="C1146" s="5">
        <f>IFERROR(__xludf.DUMMYFUNCTION("""COMPUTED_VALUE"""),1075.0)</f>
        <v>1075</v>
      </c>
      <c r="D1146" s="5">
        <f>IFERROR(__xludf.DUMMYFUNCTION("""COMPUTED_VALUE"""),1040.0)</f>
        <v>1040</v>
      </c>
      <c r="E1146" s="5">
        <f>IFERROR(__xludf.DUMMYFUNCTION("""COMPUTED_VALUE"""),1070.0)</f>
        <v>1070</v>
      </c>
      <c r="F1146" s="5">
        <f>IFERROR(__xludf.DUMMYFUNCTION("""COMPUTED_VALUE"""),3.94853E7)</f>
        <v>39485300</v>
      </c>
      <c r="G1146" s="5">
        <f t="shared" si="1"/>
        <v>35</v>
      </c>
    </row>
    <row r="1147">
      <c r="A1147" s="4">
        <f>IFERROR(__xludf.DUMMYFUNCTION("""COMPUTED_VALUE"""),45560.66666666667)</f>
        <v>45560.66667</v>
      </c>
      <c r="B1147" s="5">
        <f>IFERROR(__xludf.DUMMYFUNCTION("""COMPUTED_VALUE"""),1075.0)</f>
        <v>1075</v>
      </c>
      <c r="C1147" s="5">
        <f>IFERROR(__xludf.DUMMYFUNCTION("""COMPUTED_VALUE"""),1145.0)</f>
        <v>1145</v>
      </c>
      <c r="D1147" s="5">
        <f>IFERROR(__xludf.DUMMYFUNCTION("""COMPUTED_VALUE"""),1075.0)</f>
        <v>1075</v>
      </c>
      <c r="E1147" s="5">
        <f>IFERROR(__xludf.DUMMYFUNCTION("""COMPUTED_VALUE"""),1130.0)</f>
        <v>1130</v>
      </c>
      <c r="F1147" s="5">
        <f>IFERROR(__xludf.DUMMYFUNCTION("""COMPUTED_VALUE"""),1.088211E8)</f>
        <v>108821100</v>
      </c>
      <c r="G1147" s="5">
        <f t="shared" si="1"/>
        <v>75</v>
      </c>
    </row>
    <row r="1148">
      <c r="A1148" s="4">
        <f>IFERROR(__xludf.DUMMYFUNCTION("""COMPUTED_VALUE"""),45561.66666666667)</f>
        <v>45561.66667</v>
      </c>
      <c r="B1148" s="5">
        <f>IFERROR(__xludf.DUMMYFUNCTION("""COMPUTED_VALUE"""),1140.0)</f>
        <v>1140</v>
      </c>
      <c r="C1148" s="5">
        <f>IFERROR(__xludf.DUMMYFUNCTION("""COMPUTED_VALUE"""),1170.0)</f>
        <v>1170</v>
      </c>
      <c r="D1148" s="5">
        <f>IFERROR(__xludf.DUMMYFUNCTION("""COMPUTED_VALUE"""),1115.0)</f>
        <v>1115</v>
      </c>
      <c r="E1148" s="5">
        <f>IFERROR(__xludf.DUMMYFUNCTION("""COMPUTED_VALUE"""),1150.0)</f>
        <v>1150</v>
      </c>
      <c r="F1148" s="5">
        <f>IFERROR(__xludf.DUMMYFUNCTION("""COMPUTED_VALUE"""),4.59619E7)</f>
        <v>45961900</v>
      </c>
      <c r="G1148" s="5">
        <f t="shared" si="1"/>
        <v>55</v>
      </c>
    </row>
    <row r="1149">
      <c r="A1149" s="4">
        <f>IFERROR(__xludf.DUMMYFUNCTION("""COMPUTED_VALUE"""),45562.66666666667)</f>
        <v>45562.66667</v>
      </c>
      <c r="B1149" s="5">
        <f>IFERROR(__xludf.DUMMYFUNCTION("""COMPUTED_VALUE"""),1160.0)</f>
        <v>1160</v>
      </c>
      <c r="C1149" s="5">
        <f>IFERROR(__xludf.DUMMYFUNCTION("""COMPUTED_VALUE"""),1185.0)</f>
        <v>1185</v>
      </c>
      <c r="D1149" s="5">
        <f>IFERROR(__xludf.DUMMYFUNCTION("""COMPUTED_VALUE"""),1135.0)</f>
        <v>1135</v>
      </c>
      <c r="E1149" s="5">
        <f>IFERROR(__xludf.DUMMYFUNCTION("""COMPUTED_VALUE"""),1150.0)</f>
        <v>1150</v>
      </c>
      <c r="F1149" s="5">
        <f>IFERROR(__xludf.DUMMYFUNCTION("""COMPUTED_VALUE"""),4.25014E7)</f>
        <v>42501400</v>
      </c>
      <c r="G1149" s="5">
        <f t="shared" si="1"/>
        <v>50</v>
      </c>
    </row>
    <row r="1150">
      <c r="A1150" s="4">
        <f>IFERROR(__xludf.DUMMYFUNCTION("""COMPUTED_VALUE"""),45565.66666666667)</f>
        <v>45565.66667</v>
      </c>
      <c r="B1150" s="5">
        <f>IFERROR(__xludf.DUMMYFUNCTION("""COMPUTED_VALUE"""),1150.0)</f>
        <v>1150</v>
      </c>
      <c r="C1150" s="5">
        <f>IFERROR(__xludf.DUMMYFUNCTION("""COMPUTED_VALUE"""),1170.0)</f>
        <v>1170</v>
      </c>
      <c r="D1150" s="5">
        <f>IFERROR(__xludf.DUMMYFUNCTION("""COMPUTED_VALUE"""),1125.0)</f>
        <v>1125</v>
      </c>
      <c r="E1150" s="5">
        <f>IFERROR(__xludf.DUMMYFUNCTION("""COMPUTED_VALUE"""),1155.0)</f>
        <v>1155</v>
      </c>
      <c r="F1150" s="5">
        <f>IFERROR(__xludf.DUMMYFUNCTION("""COMPUTED_VALUE"""),2.91278E7)</f>
        <v>29127800</v>
      </c>
      <c r="G1150" s="5">
        <f t="shared" si="1"/>
        <v>45</v>
      </c>
    </row>
    <row r="1151">
      <c r="A1151" s="4">
        <f>IFERROR(__xludf.DUMMYFUNCTION("""COMPUTED_VALUE"""),45566.66666666667)</f>
        <v>45566.66667</v>
      </c>
      <c r="B1151" s="5">
        <f>IFERROR(__xludf.DUMMYFUNCTION("""COMPUTED_VALUE"""),1185.0)</f>
        <v>1185</v>
      </c>
      <c r="C1151" s="5">
        <f>IFERROR(__xludf.DUMMYFUNCTION("""COMPUTED_VALUE"""),1195.0)</f>
        <v>1195</v>
      </c>
      <c r="D1151" s="5">
        <f>IFERROR(__xludf.DUMMYFUNCTION("""COMPUTED_VALUE"""),1150.0)</f>
        <v>1150</v>
      </c>
      <c r="E1151" s="5">
        <f>IFERROR(__xludf.DUMMYFUNCTION("""COMPUTED_VALUE"""),1180.0)</f>
        <v>1180</v>
      </c>
      <c r="F1151" s="5">
        <f>IFERROR(__xludf.DUMMYFUNCTION("""COMPUTED_VALUE"""),4.90188E7)</f>
        <v>49018800</v>
      </c>
      <c r="G1151" s="5">
        <f t="shared" si="1"/>
        <v>45</v>
      </c>
    </row>
    <row r="1152">
      <c r="A1152" s="4">
        <f>IFERROR(__xludf.DUMMYFUNCTION("""COMPUTED_VALUE"""),45567.66666666667)</f>
        <v>45567.66667</v>
      </c>
      <c r="B1152" s="5">
        <f>IFERROR(__xludf.DUMMYFUNCTION("""COMPUTED_VALUE"""),1130.0)</f>
        <v>1130</v>
      </c>
      <c r="C1152" s="5">
        <f>IFERROR(__xludf.DUMMYFUNCTION("""COMPUTED_VALUE"""),1215.0)</f>
        <v>1215</v>
      </c>
      <c r="D1152" s="5">
        <f>IFERROR(__xludf.DUMMYFUNCTION("""COMPUTED_VALUE"""),1110.0)</f>
        <v>1110</v>
      </c>
      <c r="E1152" s="5">
        <f>IFERROR(__xludf.DUMMYFUNCTION("""COMPUTED_VALUE"""),1180.0)</f>
        <v>1180</v>
      </c>
      <c r="F1152" s="5">
        <f>IFERROR(__xludf.DUMMYFUNCTION("""COMPUTED_VALUE"""),6.43787E7)</f>
        <v>64378700</v>
      </c>
      <c r="G1152" s="5">
        <f t="shared" si="1"/>
        <v>105</v>
      </c>
    </row>
    <row r="1153">
      <c r="A1153" s="4">
        <f>IFERROR(__xludf.DUMMYFUNCTION("""COMPUTED_VALUE"""),45568.66666666667)</f>
        <v>45568.66667</v>
      </c>
      <c r="B1153" s="5">
        <f>IFERROR(__xludf.DUMMYFUNCTION("""COMPUTED_VALUE"""),1195.0)</f>
        <v>1195</v>
      </c>
      <c r="C1153" s="5">
        <f>IFERROR(__xludf.DUMMYFUNCTION("""COMPUTED_VALUE"""),1220.0)</f>
        <v>1220</v>
      </c>
      <c r="D1153" s="5">
        <f>IFERROR(__xludf.DUMMYFUNCTION("""COMPUTED_VALUE"""),1165.0)</f>
        <v>1165</v>
      </c>
      <c r="E1153" s="5">
        <f>IFERROR(__xludf.DUMMYFUNCTION("""COMPUTED_VALUE"""),1170.0)</f>
        <v>1170</v>
      </c>
      <c r="F1153" s="5">
        <f>IFERROR(__xludf.DUMMYFUNCTION("""COMPUTED_VALUE"""),4.55529E7)</f>
        <v>45552900</v>
      </c>
      <c r="G1153" s="5">
        <f t="shared" si="1"/>
        <v>55</v>
      </c>
    </row>
    <row r="1154">
      <c r="A1154" s="4">
        <f>IFERROR(__xludf.DUMMYFUNCTION("""COMPUTED_VALUE"""),45569.66666666667)</f>
        <v>45569.66667</v>
      </c>
      <c r="B1154" s="5">
        <f>IFERROR(__xludf.DUMMYFUNCTION("""COMPUTED_VALUE"""),1170.0)</f>
        <v>1170</v>
      </c>
      <c r="C1154" s="5">
        <f>IFERROR(__xludf.DUMMYFUNCTION("""COMPUTED_VALUE"""),1220.0)</f>
        <v>1220</v>
      </c>
      <c r="D1154" s="5">
        <f>IFERROR(__xludf.DUMMYFUNCTION("""COMPUTED_VALUE"""),1155.0)</f>
        <v>1155</v>
      </c>
      <c r="E1154" s="5">
        <f>IFERROR(__xludf.DUMMYFUNCTION("""COMPUTED_VALUE"""),1190.0)</f>
        <v>1190</v>
      </c>
      <c r="F1154" s="5">
        <f>IFERROR(__xludf.DUMMYFUNCTION("""COMPUTED_VALUE"""),4.93829E7)</f>
        <v>49382900</v>
      </c>
      <c r="G1154" s="5">
        <f t="shared" si="1"/>
        <v>65</v>
      </c>
    </row>
    <row r="1155">
      <c r="A1155" s="4">
        <f>IFERROR(__xludf.DUMMYFUNCTION("""COMPUTED_VALUE"""),45572.66666666667)</f>
        <v>45572.66667</v>
      </c>
      <c r="B1155" s="5">
        <f>IFERROR(__xludf.DUMMYFUNCTION("""COMPUTED_VALUE"""),1200.0)</f>
        <v>1200</v>
      </c>
      <c r="C1155" s="5">
        <f>IFERROR(__xludf.DUMMYFUNCTION("""COMPUTED_VALUE"""),1265.0)</f>
        <v>1265</v>
      </c>
      <c r="D1155" s="5">
        <f>IFERROR(__xludf.DUMMYFUNCTION("""COMPUTED_VALUE"""),1190.0)</f>
        <v>1190</v>
      </c>
      <c r="E1155" s="5">
        <f>IFERROR(__xludf.DUMMYFUNCTION("""COMPUTED_VALUE"""),1250.0)</f>
        <v>1250</v>
      </c>
      <c r="F1155" s="5">
        <f>IFERROR(__xludf.DUMMYFUNCTION("""COMPUTED_VALUE"""),7.13871E7)</f>
        <v>71387100</v>
      </c>
      <c r="G1155" s="5">
        <f t="shared" si="1"/>
        <v>75</v>
      </c>
    </row>
    <row r="1156">
      <c r="A1156" s="4">
        <f>IFERROR(__xludf.DUMMYFUNCTION("""COMPUTED_VALUE"""),45573.66666666667)</f>
        <v>45573.66667</v>
      </c>
      <c r="B1156" s="5">
        <f>IFERROR(__xludf.DUMMYFUNCTION("""COMPUTED_VALUE"""),1255.0)</f>
        <v>1255</v>
      </c>
      <c r="C1156" s="5">
        <f>IFERROR(__xludf.DUMMYFUNCTION("""COMPUTED_VALUE"""),1285.0)</f>
        <v>1285</v>
      </c>
      <c r="D1156" s="5">
        <f>IFERROR(__xludf.DUMMYFUNCTION("""COMPUTED_VALUE"""),1190.0)</f>
        <v>1190</v>
      </c>
      <c r="E1156" s="5">
        <f>IFERROR(__xludf.DUMMYFUNCTION("""COMPUTED_VALUE"""),1230.0)</f>
        <v>1230</v>
      </c>
      <c r="F1156" s="5">
        <f>IFERROR(__xludf.DUMMYFUNCTION("""COMPUTED_VALUE"""),8.39809E7)</f>
        <v>83980900</v>
      </c>
      <c r="G1156" s="5">
        <f t="shared" si="1"/>
        <v>95</v>
      </c>
    </row>
    <row r="1157">
      <c r="A1157" s="4">
        <f>IFERROR(__xludf.DUMMYFUNCTION("""COMPUTED_VALUE"""),45574.66666666667)</f>
        <v>45574.66667</v>
      </c>
      <c r="B1157" s="5">
        <f>IFERROR(__xludf.DUMMYFUNCTION("""COMPUTED_VALUE"""),1230.0)</f>
        <v>1230</v>
      </c>
      <c r="C1157" s="5">
        <f>IFERROR(__xludf.DUMMYFUNCTION("""COMPUTED_VALUE"""),1260.0)</f>
        <v>1260</v>
      </c>
      <c r="D1157" s="5">
        <f>IFERROR(__xludf.DUMMYFUNCTION("""COMPUTED_VALUE"""),1220.0)</f>
        <v>1220</v>
      </c>
      <c r="E1157" s="5">
        <f>IFERROR(__xludf.DUMMYFUNCTION("""COMPUTED_VALUE"""),1250.0)</f>
        <v>1250</v>
      </c>
      <c r="F1157" s="5">
        <f>IFERROR(__xludf.DUMMYFUNCTION("""COMPUTED_VALUE"""),3.73304E7)</f>
        <v>37330400</v>
      </c>
      <c r="G1157" s="5">
        <f t="shared" si="1"/>
        <v>40</v>
      </c>
    </row>
    <row r="1158">
      <c r="A1158" s="4">
        <f>IFERROR(__xludf.DUMMYFUNCTION("""COMPUTED_VALUE"""),45575.66666666667)</f>
        <v>45575.66667</v>
      </c>
      <c r="B1158" s="5">
        <f>IFERROR(__xludf.DUMMYFUNCTION("""COMPUTED_VALUE"""),1265.0)</f>
        <v>1265</v>
      </c>
      <c r="C1158" s="5">
        <f>IFERROR(__xludf.DUMMYFUNCTION("""COMPUTED_VALUE"""),1285.0)</f>
        <v>1285</v>
      </c>
      <c r="D1158" s="5">
        <f>IFERROR(__xludf.DUMMYFUNCTION("""COMPUTED_VALUE"""),1235.0)</f>
        <v>1235</v>
      </c>
      <c r="E1158" s="5">
        <f>IFERROR(__xludf.DUMMYFUNCTION("""COMPUTED_VALUE"""),1255.0)</f>
        <v>1255</v>
      </c>
      <c r="F1158" s="5">
        <f>IFERROR(__xludf.DUMMYFUNCTION("""COMPUTED_VALUE"""),5.03034E7)</f>
        <v>50303400</v>
      </c>
      <c r="G1158" s="5">
        <f t="shared" si="1"/>
        <v>50</v>
      </c>
    </row>
    <row r="1159">
      <c r="A1159" s="4">
        <f>IFERROR(__xludf.DUMMYFUNCTION("""COMPUTED_VALUE"""),45576.66666666667)</f>
        <v>45576.66667</v>
      </c>
      <c r="B1159" s="5">
        <f>IFERROR(__xludf.DUMMYFUNCTION("""COMPUTED_VALUE"""),1255.0)</f>
        <v>1255</v>
      </c>
      <c r="C1159" s="5">
        <f>IFERROR(__xludf.DUMMYFUNCTION("""COMPUTED_VALUE"""),1320.0)</f>
        <v>1320</v>
      </c>
      <c r="D1159" s="5">
        <f>IFERROR(__xludf.DUMMYFUNCTION("""COMPUTED_VALUE"""),1255.0)</f>
        <v>1255</v>
      </c>
      <c r="E1159" s="5">
        <f>IFERROR(__xludf.DUMMYFUNCTION("""COMPUTED_VALUE"""),1315.0)</f>
        <v>1315</v>
      </c>
      <c r="F1159" s="5">
        <f>IFERROR(__xludf.DUMMYFUNCTION("""COMPUTED_VALUE"""),8.02518E7)</f>
        <v>80251800</v>
      </c>
      <c r="G1159" s="5">
        <f t="shared" si="1"/>
        <v>65</v>
      </c>
    </row>
    <row r="1160">
      <c r="A1160" s="4">
        <f>IFERROR(__xludf.DUMMYFUNCTION("""COMPUTED_VALUE"""),45579.66666666667)</f>
        <v>45579.66667</v>
      </c>
      <c r="B1160" s="5">
        <f>IFERROR(__xludf.DUMMYFUNCTION("""COMPUTED_VALUE"""),1335.0)</f>
        <v>1335</v>
      </c>
      <c r="C1160" s="5">
        <f>IFERROR(__xludf.DUMMYFUNCTION("""COMPUTED_VALUE"""),1440.0)</f>
        <v>1440</v>
      </c>
      <c r="D1160" s="5">
        <f>IFERROR(__xludf.DUMMYFUNCTION("""COMPUTED_VALUE"""),1310.0)</f>
        <v>1310</v>
      </c>
      <c r="E1160" s="5">
        <f>IFERROR(__xludf.DUMMYFUNCTION("""COMPUTED_VALUE"""),1430.0)</f>
        <v>1430</v>
      </c>
      <c r="F1160" s="5">
        <f>IFERROR(__xludf.DUMMYFUNCTION("""COMPUTED_VALUE"""),1.152828E8)</f>
        <v>115282800</v>
      </c>
      <c r="G1160" s="5">
        <f t="shared" si="1"/>
        <v>130</v>
      </c>
    </row>
    <row r="1161">
      <c r="A1161" s="4">
        <f>IFERROR(__xludf.DUMMYFUNCTION("""COMPUTED_VALUE"""),45580.66666666667)</f>
        <v>45580.66667</v>
      </c>
      <c r="B1161" s="5">
        <f>IFERROR(__xludf.DUMMYFUNCTION("""COMPUTED_VALUE"""),1435.0)</f>
        <v>1435</v>
      </c>
      <c r="C1161" s="5">
        <f>IFERROR(__xludf.DUMMYFUNCTION("""COMPUTED_VALUE"""),1465.0)</f>
        <v>1465</v>
      </c>
      <c r="D1161" s="5">
        <f>IFERROR(__xludf.DUMMYFUNCTION("""COMPUTED_VALUE"""),1370.0)</f>
        <v>1370</v>
      </c>
      <c r="E1161" s="5">
        <f>IFERROR(__xludf.DUMMYFUNCTION("""COMPUTED_VALUE"""),1380.0)</f>
        <v>1380</v>
      </c>
      <c r="F1161" s="5">
        <f>IFERROR(__xludf.DUMMYFUNCTION("""COMPUTED_VALUE"""),6.47344E7)</f>
        <v>64734400</v>
      </c>
      <c r="G1161" s="5">
        <f t="shared" si="1"/>
        <v>95</v>
      </c>
    </row>
    <row r="1162">
      <c r="A1162" s="4">
        <f>IFERROR(__xludf.DUMMYFUNCTION("""COMPUTED_VALUE"""),45581.66666666667)</f>
        <v>45581.66667</v>
      </c>
      <c r="B1162" s="5">
        <f>IFERROR(__xludf.DUMMYFUNCTION("""COMPUTED_VALUE"""),1400.0)</f>
        <v>1400</v>
      </c>
      <c r="C1162" s="5">
        <f>IFERROR(__xludf.DUMMYFUNCTION("""COMPUTED_VALUE"""),1410.0)</f>
        <v>1410</v>
      </c>
      <c r="D1162" s="5">
        <f>IFERROR(__xludf.DUMMYFUNCTION("""COMPUTED_VALUE"""),1350.0)</f>
        <v>1350</v>
      </c>
      <c r="E1162" s="5">
        <f>IFERROR(__xludf.DUMMYFUNCTION("""COMPUTED_VALUE"""),1375.0)</f>
        <v>1375</v>
      </c>
      <c r="F1162" s="5">
        <f>IFERROR(__xludf.DUMMYFUNCTION("""COMPUTED_VALUE"""),2.96853E7)</f>
        <v>29685300</v>
      </c>
      <c r="G1162" s="5">
        <f t="shared" si="1"/>
        <v>60</v>
      </c>
    </row>
    <row r="1163">
      <c r="A1163" s="4">
        <f>IFERROR(__xludf.DUMMYFUNCTION("""COMPUTED_VALUE"""),45582.66666666667)</f>
        <v>45582.66667</v>
      </c>
      <c r="B1163" s="5">
        <f>IFERROR(__xludf.DUMMYFUNCTION("""COMPUTED_VALUE"""),1395.0)</f>
        <v>1395</v>
      </c>
      <c r="C1163" s="5">
        <f>IFERROR(__xludf.DUMMYFUNCTION("""COMPUTED_VALUE"""),1395.0)</f>
        <v>1395</v>
      </c>
      <c r="D1163" s="5">
        <f>IFERROR(__xludf.DUMMYFUNCTION("""COMPUTED_VALUE"""),1355.0)</f>
        <v>1355</v>
      </c>
      <c r="E1163" s="5">
        <f>IFERROR(__xludf.DUMMYFUNCTION("""COMPUTED_VALUE"""),1365.0)</f>
        <v>1365</v>
      </c>
      <c r="F1163" s="5">
        <f>IFERROR(__xludf.DUMMYFUNCTION("""COMPUTED_VALUE"""),3.07289E7)</f>
        <v>30728900</v>
      </c>
      <c r="G1163" s="5">
        <f t="shared" si="1"/>
        <v>40</v>
      </c>
    </row>
    <row r="1164">
      <c r="A1164" s="4">
        <f>IFERROR(__xludf.DUMMYFUNCTION("""COMPUTED_VALUE"""),45583.66666666667)</f>
        <v>45583.66667</v>
      </c>
      <c r="B1164" s="5">
        <f>IFERROR(__xludf.DUMMYFUNCTION("""COMPUTED_VALUE"""),1390.0)</f>
        <v>1390</v>
      </c>
      <c r="C1164" s="5">
        <f>IFERROR(__xludf.DUMMYFUNCTION("""COMPUTED_VALUE"""),1390.0)</f>
        <v>1390</v>
      </c>
      <c r="D1164" s="5">
        <f>IFERROR(__xludf.DUMMYFUNCTION("""COMPUTED_VALUE"""),1325.0)</f>
        <v>1325</v>
      </c>
      <c r="E1164" s="5">
        <f>IFERROR(__xludf.DUMMYFUNCTION("""COMPUTED_VALUE"""),1335.0)</f>
        <v>1335</v>
      </c>
      <c r="F1164" s="5">
        <f>IFERROR(__xludf.DUMMYFUNCTION("""COMPUTED_VALUE"""),3.21157E7)</f>
        <v>32115700</v>
      </c>
      <c r="G1164" s="5">
        <f t="shared" si="1"/>
        <v>65</v>
      </c>
    </row>
    <row r="1165">
      <c r="A1165" s="4">
        <f>IFERROR(__xludf.DUMMYFUNCTION("""COMPUTED_VALUE"""),45586.66666666667)</f>
        <v>45586.66667</v>
      </c>
      <c r="B1165" s="5">
        <f>IFERROR(__xludf.DUMMYFUNCTION("""COMPUTED_VALUE"""),1355.0)</f>
        <v>1355</v>
      </c>
      <c r="C1165" s="5">
        <f>IFERROR(__xludf.DUMMYFUNCTION("""COMPUTED_VALUE"""),1400.0)</f>
        <v>1400</v>
      </c>
      <c r="D1165" s="5">
        <f>IFERROR(__xludf.DUMMYFUNCTION("""COMPUTED_VALUE"""),1335.0)</f>
        <v>1335</v>
      </c>
      <c r="E1165" s="5">
        <f>IFERROR(__xludf.DUMMYFUNCTION("""COMPUTED_VALUE"""),1360.0)</f>
        <v>1360</v>
      </c>
      <c r="F1165" s="5">
        <f>IFERROR(__xludf.DUMMYFUNCTION("""COMPUTED_VALUE"""),4.99237E7)</f>
        <v>49923700</v>
      </c>
      <c r="G1165" s="5">
        <f t="shared" si="1"/>
        <v>65</v>
      </c>
    </row>
    <row r="1166">
      <c r="A1166" s="4">
        <f>IFERROR(__xludf.DUMMYFUNCTION("""COMPUTED_VALUE"""),45587.66666666667)</f>
        <v>45587.66667</v>
      </c>
      <c r="B1166" s="5">
        <f>IFERROR(__xludf.DUMMYFUNCTION("""COMPUTED_VALUE"""),1365.0)</f>
        <v>1365</v>
      </c>
      <c r="C1166" s="5">
        <f>IFERROR(__xludf.DUMMYFUNCTION("""COMPUTED_VALUE"""),1415.0)</f>
        <v>1415</v>
      </c>
      <c r="D1166" s="5">
        <f>IFERROR(__xludf.DUMMYFUNCTION("""COMPUTED_VALUE"""),1345.0)</f>
        <v>1345</v>
      </c>
      <c r="E1166" s="5">
        <f>IFERROR(__xludf.DUMMYFUNCTION("""COMPUTED_VALUE"""),1390.0)</f>
        <v>1390</v>
      </c>
      <c r="F1166" s="5">
        <f>IFERROR(__xludf.DUMMYFUNCTION("""COMPUTED_VALUE"""),4.86548E7)</f>
        <v>48654800</v>
      </c>
      <c r="G1166" s="5">
        <f t="shared" si="1"/>
        <v>70</v>
      </c>
    </row>
    <row r="1167">
      <c r="A1167" s="4">
        <f>IFERROR(__xludf.DUMMYFUNCTION("""COMPUTED_VALUE"""),45588.66666666667)</f>
        <v>45588.66667</v>
      </c>
      <c r="B1167" s="5">
        <f>IFERROR(__xludf.DUMMYFUNCTION("""COMPUTED_VALUE"""),1390.0)</f>
        <v>1390</v>
      </c>
      <c r="C1167" s="5">
        <f>IFERROR(__xludf.DUMMYFUNCTION("""COMPUTED_VALUE"""),1410.0)</f>
        <v>1410</v>
      </c>
      <c r="D1167" s="5">
        <f>IFERROR(__xludf.DUMMYFUNCTION("""COMPUTED_VALUE"""),1325.0)</f>
        <v>1325</v>
      </c>
      <c r="E1167" s="5">
        <f>IFERROR(__xludf.DUMMYFUNCTION("""COMPUTED_VALUE"""),1340.0)</f>
        <v>1340</v>
      </c>
      <c r="F1167" s="5">
        <f>IFERROR(__xludf.DUMMYFUNCTION("""COMPUTED_VALUE"""),4.22503E7)</f>
        <v>42250300</v>
      </c>
      <c r="G1167" s="5">
        <f t="shared" si="1"/>
        <v>85</v>
      </c>
    </row>
    <row r="1168">
      <c r="A1168" s="4">
        <f>IFERROR(__xludf.DUMMYFUNCTION("""COMPUTED_VALUE"""),45589.66666666667)</f>
        <v>45589.66667</v>
      </c>
      <c r="B1168" s="5">
        <f>IFERROR(__xludf.DUMMYFUNCTION("""COMPUTED_VALUE"""),1340.0)</f>
        <v>1340</v>
      </c>
      <c r="C1168" s="5">
        <f>IFERROR(__xludf.DUMMYFUNCTION("""COMPUTED_VALUE"""),1355.0)</f>
        <v>1355</v>
      </c>
      <c r="D1168" s="5">
        <f>IFERROR(__xludf.DUMMYFUNCTION("""COMPUTED_VALUE"""),1310.0)</f>
        <v>1310</v>
      </c>
      <c r="E1168" s="5">
        <f>IFERROR(__xludf.DUMMYFUNCTION("""COMPUTED_VALUE"""),1335.0)</f>
        <v>1335</v>
      </c>
      <c r="F1168" s="5">
        <f>IFERROR(__xludf.DUMMYFUNCTION("""COMPUTED_VALUE"""),2.97554E7)</f>
        <v>29755400</v>
      </c>
      <c r="G1168" s="5">
        <f t="shared" si="1"/>
        <v>45</v>
      </c>
    </row>
    <row r="1169">
      <c r="A1169" s="4">
        <f>IFERROR(__xludf.DUMMYFUNCTION("""COMPUTED_VALUE"""),45590.66666666667)</f>
        <v>45590.66667</v>
      </c>
      <c r="B1169" s="5">
        <f>IFERROR(__xludf.DUMMYFUNCTION("""COMPUTED_VALUE"""),1335.0)</f>
        <v>1335</v>
      </c>
      <c r="C1169" s="5">
        <f>IFERROR(__xludf.DUMMYFUNCTION("""COMPUTED_VALUE"""),1360.0)</f>
        <v>1360</v>
      </c>
      <c r="D1169" s="5">
        <f>IFERROR(__xludf.DUMMYFUNCTION("""COMPUTED_VALUE"""),1285.0)</f>
        <v>1285</v>
      </c>
      <c r="E1169" s="5">
        <f>IFERROR(__xludf.DUMMYFUNCTION("""COMPUTED_VALUE"""),1285.0)</f>
        <v>1285</v>
      </c>
      <c r="F1169" s="5">
        <f>IFERROR(__xludf.DUMMYFUNCTION("""COMPUTED_VALUE"""),2.66534E7)</f>
        <v>26653400</v>
      </c>
      <c r="G1169" s="5">
        <f t="shared" si="1"/>
        <v>75</v>
      </c>
    </row>
    <row r="1170">
      <c r="A1170" s="4">
        <f>IFERROR(__xludf.DUMMYFUNCTION("""COMPUTED_VALUE"""),45593.66666666667)</f>
        <v>45593.66667</v>
      </c>
      <c r="B1170" s="5">
        <f>IFERROR(__xludf.DUMMYFUNCTION("""COMPUTED_VALUE"""),1285.0)</f>
        <v>1285</v>
      </c>
      <c r="C1170" s="5">
        <f>IFERROR(__xludf.DUMMYFUNCTION("""COMPUTED_VALUE"""),1345.0)</f>
        <v>1345</v>
      </c>
      <c r="D1170" s="5">
        <f>IFERROR(__xludf.DUMMYFUNCTION("""COMPUTED_VALUE"""),1280.0)</f>
        <v>1280</v>
      </c>
      <c r="E1170" s="5">
        <f>IFERROR(__xludf.DUMMYFUNCTION("""COMPUTED_VALUE"""),1330.0)</f>
        <v>1330</v>
      </c>
      <c r="F1170" s="5">
        <f>IFERROR(__xludf.DUMMYFUNCTION("""COMPUTED_VALUE"""),2.07663E7)</f>
        <v>20766300</v>
      </c>
      <c r="G1170" s="5">
        <f t="shared" si="1"/>
        <v>65</v>
      </c>
    </row>
    <row r="1171">
      <c r="A1171" s="4">
        <f>IFERROR(__xludf.DUMMYFUNCTION("""COMPUTED_VALUE"""),45594.66666666667)</f>
        <v>45594.66667</v>
      </c>
      <c r="B1171" s="5">
        <f>IFERROR(__xludf.DUMMYFUNCTION("""COMPUTED_VALUE"""),1330.0)</f>
        <v>1330</v>
      </c>
      <c r="C1171" s="5">
        <f>IFERROR(__xludf.DUMMYFUNCTION("""COMPUTED_VALUE"""),1345.0)</f>
        <v>1345</v>
      </c>
      <c r="D1171" s="5">
        <f>IFERROR(__xludf.DUMMYFUNCTION("""COMPUTED_VALUE"""),1295.0)</f>
        <v>1295</v>
      </c>
      <c r="E1171" s="5">
        <f>IFERROR(__xludf.DUMMYFUNCTION("""COMPUTED_VALUE"""),1305.0)</f>
        <v>1305</v>
      </c>
      <c r="F1171" s="5">
        <f>IFERROR(__xludf.DUMMYFUNCTION("""COMPUTED_VALUE"""),1.99146E7)</f>
        <v>19914600</v>
      </c>
      <c r="G1171" s="5">
        <f t="shared" si="1"/>
        <v>50</v>
      </c>
    </row>
    <row r="1172">
      <c r="A1172" s="4">
        <f>IFERROR(__xludf.DUMMYFUNCTION("""COMPUTED_VALUE"""),45595.66666666667)</f>
        <v>45595.66667</v>
      </c>
      <c r="B1172" s="5">
        <f>IFERROR(__xludf.DUMMYFUNCTION("""COMPUTED_VALUE"""),1305.0)</f>
        <v>1305</v>
      </c>
      <c r="C1172" s="5">
        <f>IFERROR(__xludf.DUMMYFUNCTION("""COMPUTED_VALUE"""),1335.0)</f>
        <v>1335</v>
      </c>
      <c r="D1172" s="5">
        <f>IFERROR(__xludf.DUMMYFUNCTION("""COMPUTED_VALUE"""),1290.0)</f>
        <v>1290</v>
      </c>
      <c r="E1172" s="5">
        <f>IFERROR(__xludf.DUMMYFUNCTION("""COMPUTED_VALUE"""),1330.0)</f>
        <v>1330</v>
      </c>
      <c r="F1172" s="5">
        <f>IFERROR(__xludf.DUMMYFUNCTION("""COMPUTED_VALUE"""),2.0025E7)</f>
        <v>20025000</v>
      </c>
      <c r="G1172" s="5">
        <f t="shared" si="1"/>
        <v>45</v>
      </c>
    </row>
    <row r="1173">
      <c r="A1173" s="4">
        <f>IFERROR(__xludf.DUMMYFUNCTION("""COMPUTED_VALUE"""),45596.66666666667)</f>
        <v>45596.66667</v>
      </c>
      <c r="B1173" s="5">
        <f>IFERROR(__xludf.DUMMYFUNCTION("""COMPUTED_VALUE"""),1320.0)</f>
        <v>1320</v>
      </c>
      <c r="C1173" s="5">
        <f>IFERROR(__xludf.DUMMYFUNCTION("""COMPUTED_VALUE"""),1335.0)</f>
        <v>1335</v>
      </c>
      <c r="D1173" s="5">
        <f>IFERROR(__xludf.DUMMYFUNCTION("""COMPUTED_VALUE"""),1280.0)</f>
        <v>1280</v>
      </c>
      <c r="E1173" s="5">
        <f>IFERROR(__xludf.DUMMYFUNCTION("""COMPUTED_VALUE"""),1305.0)</f>
        <v>1305</v>
      </c>
      <c r="F1173" s="5">
        <f>IFERROR(__xludf.DUMMYFUNCTION("""COMPUTED_VALUE"""),1.86378E7)</f>
        <v>18637800</v>
      </c>
      <c r="G1173" s="5">
        <f t="shared" si="1"/>
        <v>55</v>
      </c>
    </row>
    <row r="1174">
      <c r="A1174" s="4">
        <f>IFERROR(__xludf.DUMMYFUNCTION("""COMPUTED_VALUE"""),45597.66666666667)</f>
        <v>45597.66667</v>
      </c>
      <c r="B1174" s="5">
        <f>IFERROR(__xludf.DUMMYFUNCTION("""COMPUTED_VALUE"""),1305.0)</f>
        <v>1305</v>
      </c>
      <c r="C1174" s="5">
        <f>IFERROR(__xludf.DUMMYFUNCTION("""COMPUTED_VALUE"""),1305.0)</f>
        <v>1305</v>
      </c>
      <c r="D1174" s="5">
        <f>IFERROR(__xludf.DUMMYFUNCTION("""COMPUTED_VALUE"""),1260.0)</f>
        <v>1260</v>
      </c>
      <c r="E1174" s="5">
        <f>IFERROR(__xludf.DUMMYFUNCTION("""COMPUTED_VALUE"""),1265.0)</f>
        <v>1265</v>
      </c>
      <c r="F1174" s="5">
        <f>IFERROR(__xludf.DUMMYFUNCTION("""COMPUTED_VALUE"""),1.70652E7)</f>
        <v>17065200</v>
      </c>
      <c r="G1174" s="5">
        <f t="shared" si="1"/>
        <v>45</v>
      </c>
    </row>
    <row r="1175">
      <c r="A1175" s="4">
        <f>IFERROR(__xludf.DUMMYFUNCTION("""COMPUTED_VALUE"""),45600.66666666667)</f>
        <v>45600.66667</v>
      </c>
      <c r="B1175" s="5">
        <f>IFERROR(__xludf.DUMMYFUNCTION("""COMPUTED_VALUE"""),1300.0)</f>
        <v>1300</v>
      </c>
      <c r="C1175" s="5">
        <f>IFERROR(__xludf.DUMMYFUNCTION("""COMPUTED_VALUE"""),1375.0)</f>
        <v>1375</v>
      </c>
      <c r="D1175" s="5">
        <f>IFERROR(__xludf.DUMMYFUNCTION("""COMPUTED_VALUE"""),1295.0)</f>
        <v>1295</v>
      </c>
      <c r="E1175" s="5">
        <f>IFERROR(__xludf.DUMMYFUNCTION("""COMPUTED_VALUE"""),1365.0)</f>
        <v>1365</v>
      </c>
      <c r="F1175" s="5">
        <f>IFERROR(__xludf.DUMMYFUNCTION("""COMPUTED_VALUE"""),8.13471E7)</f>
        <v>81347100</v>
      </c>
      <c r="G1175" s="5">
        <f t="shared" si="1"/>
        <v>110</v>
      </c>
    </row>
    <row r="1176">
      <c r="A1176" s="4">
        <f>IFERROR(__xludf.DUMMYFUNCTION("""COMPUTED_VALUE"""),45601.66666666667)</f>
        <v>45601.66667</v>
      </c>
      <c r="B1176" s="5">
        <f>IFERROR(__xludf.DUMMYFUNCTION("""COMPUTED_VALUE"""),1395.0)</f>
        <v>1395</v>
      </c>
      <c r="C1176" s="5">
        <f>IFERROR(__xludf.DUMMYFUNCTION("""COMPUTED_VALUE"""),1520.0)</f>
        <v>1520</v>
      </c>
      <c r="D1176" s="5">
        <f>IFERROR(__xludf.DUMMYFUNCTION("""COMPUTED_VALUE"""),1365.0)</f>
        <v>1365</v>
      </c>
      <c r="E1176" s="5">
        <f>IFERROR(__xludf.DUMMYFUNCTION("""COMPUTED_VALUE"""),1520.0)</f>
        <v>1520</v>
      </c>
      <c r="F1176" s="5">
        <f>IFERROR(__xludf.DUMMYFUNCTION("""COMPUTED_VALUE"""),1.780153E8)</f>
        <v>178015300</v>
      </c>
      <c r="G1176" s="5">
        <f t="shared" si="1"/>
        <v>155</v>
      </c>
    </row>
    <row r="1177">
      <c r="A1177" s="4">
        <f>IFERROR(__xludf.DUMMYFUNCTION("""COMPUTED_VALUE"""),45602.66666666667)</f>
        <v>45602.66667</v>
      </c>
      <c r="B1177" s="5">
        <f>IFERROR(__xludf.DUMMYFUNCTION("""COMPUTED_VALUE"""),1525.0)</f>
        <v>1525</v>
      </c>
      <c r="C1177" s="5">
        <f>IFERROR(__xludf.DUMMYFUNCTION("""COMPUTED_VALUE"""),1575.0)</f>
        <v>1575</v>
      </c>
      <c r="D1177" s="5">
        <f>IFERROR(__xludf.DUMMYFUNCTION("""COMPUTED_VALUE"""),1420.0)</f>
        <v>1420</v>
      </c>
      <c r="E1177" s="5">
        <f>IFERROR(__xludf.DUMMYFUNCTION("""COMPUTED_VALUE"""),1440.0)</f>
        <v>1440</v>
      </c>
      <c r="F1177" s="5">
        <f>IFERROR(__xludf.DUMMYFUNCTION("""COMPUTED_VALUE"""),1.021912E8)</f>
        <v>102191200</v>
      </c>
      <c r="G1177" s="5">
        <f t="shared" si="1"/>
        <v>155</v>
      </c>
    </row>
    <row r="1178">
      <c r="A1178" s="4">
        <f>IFERROR(__xludf.DUMMYFUNCTION("""COMPUTED_VALUE"""),45603.66666666667)</f>
        <v>45603.66667</v>
      </c>
      <c r="B1178" s="5">
        <f>IFERROR(__xludf.DUMMYFUNCTION("""COMPUTED_VALUE"""),1430.0)</f>
        <v>1430</v>
      </c>
      <c r="C1178" s="5">
        <f>IFERROR(__xludf.DUMMYFUNCTION("""COMPUTED_VALUE"""),1510.0)</f>
        <v>1510</v>
      </c>
      <c r="D1178" s="5">
        <f>IFERROR(__xludf.DUMMYFUNCTION("""COMPUTED_VALUE"""),1400.0)</f>
        <v>1400</v>
      </c>
      <c r="E1178" s="5">
        <f>IFERROR(__xludf.DUMMYFUNCTION("""COMPUTED_VALUE"""),1450.0)</f>
        <v>1450</v>
      </c>
      <c r="F1178" s="5">
        <f>IFERROR(__xludf.DUMMYFUNCTION("""COMPUTED_VALUE"""),9.97193E7)</f>
        <v>99719300</v>
      </c>
      <c r="G1178" s="5">
        <f t="shared" si="1"/>
        <v>110</v>
      </c>
    </row>
    <row r="1179">
      <c r="A1179" s="4">
        <f>IFERROR(__xludf.DUMMYFUNCTION("""COMPUTED_VALUE"""),45604.66666666667)</f>
        <v>45604.66667</v>
      </c>
      <c r="B1179" s="5">
        <f>IFERROR(__xludf.DUMMYFUNCTION("""COMPUTED_VALUE"""),1530.0)</f>
        <v>1530</v>
      </c>
      <c r="C1179" s="5">
        <f>IFERROR(__xludf.DUMMYFUNCTION("""COMPUTED_VALUE"""),1530.0)</f>
        <v>1530</v>
      </c>
      <c r="D1179" s="5">
        <f>IFERROR(__xludf.DUMMYFUNCTION("""COMPUTED_VALUE"""),1445.0)</f>
        <v>1445</v>
      </c>
      <c r="E1179" s="5">
        <f>IFERROR(__xludf.DUMMYFUNCTION("""COMPUTED_VALUE"""),1480.0)</f>
        <v>1480</v>
      </c>
      <c r="F1179" s="5">
        <f>IFERROR(__xludf.DUMMYFUNCTION("""COMPUTED_VALUE"""),3.79345E7)</f>
        <v>37934500</v>
      </c>
      <c r="G1179" s="5">
        <f t="shared" si="1"/>
        <v>85</v>
      </c>
    </row>
    <row r="1180">
      <c r="A1180" s="4">
        <f>IFERROR(__xludf.DUMMYFUNCTION("""COMPUTED_VALUE"""),45607.66666666667)</f>
        <v>45607.66667</v>
      </c>
      <c r="B1180" s="5">
        <f>IFERROR(__xludf.DUMMYFUNCTION("""COMPUTED_VALUE"""),1480.0)</f>
        <v>1480</v>
      </c>
      <c r="C1180" s="5">
        <f>IFERROR(__xludf.DUMMYFUNCTION("""COMPUTED_VALUE"""),1480.0)</f>
        <v>1480</v>
      </c>
      <c r="D1180" s="5">
        <f>IFERROR(__xludf.DUMMYFUNCTION("""COMPUTED_VALUE"""),1405.0)</f>
        <v>1405</v>
      </c>
      <c r="E1180" s="5">
        <f>IFERROR(__xludf.DUMMYFUNCTION("""COMPUTED_VALUE"""),1420.0)</f>
        <v>1420</v>
      </c>
      <c r="F1180" s="5">
        <f>IFERROR(__xludf.DUMMYFUNCTION("""COMPUTED_VALUE"""),4.73367E7)</f>
        <v>47336700</v>
      </c>
      <c r="G1180" s="5">
        <f t="shared" si="1"/>
        <v>75</v>
      </c>
    </row>
    <row r="1181">
      <c r="A1181" s="4">
        <f>IFERROR(__xludf.DUMMYFUNCTION("""COMPUTED_VALUE"""),45608.66666666667)</f>
        <v>45608.66667</v>
      </c>
      <c r="B1181" s="5">
        <f>IFERROR(__xludf.DUMMYFUNCTION("""COMPUTED_VALUE"""),1415.0)</f>
        <v>1415</v>
      </c>
      <c r="C1181" s="5">
        <f>IFERROR(__xludf.DUMMYFUNCTION("""COMPUTED_VALUE"""),1445.0)</f>
        <v>1445</v>
      </c>
      <c r="D1181" s="5">
        <f>IFERROR(__xludf.DUMMYFUNCTION("""COMPUTED_VALUE"""),1320.0)</f>
        <v>1320</v>
      </c>
      <c r="E1181" s="5">
        <f>IFERROR(__xludf.DUMMYFUNCTION("""COMPUTED_VALUE"""),1345.0)</f>
        <v>1345</v>
      </c>
      <c r="F1181" s="5">
        <f>IFERROR(__xludf.DUMMYFUNCTION("""COMPUTED_VALUE"""),6.71019E7)</f>
        <v>67101900</v>
      </c>
      <c r="G1181" s="5">
        <f t="shared" si="1"/>
        <v>125</v>
      </c>
    </row>
    <row r="1182">
      <c r="A1182" s="4">
        <f>IFERROR(__xludf.DUMMYFUNCTION("""COMPUTED_VALUE"""),45609.66666666667)</f>
        <v>45609.66667</v>
      </c>
      <c r="B1182" s="5">
        <f>IFERROR(__xludf.DUMMYFUNCTION("""COMPUTED_VALUE"""),1345.0)</f>
        <v>1345</v>
      </c>
      <c r="C1182" s="5">
        <f>IFERROR(__xludf.DUMMYFUNCTION("""COMPUTED_VALUE"""),1380.0)</f>
        <v>1380</v>
      </c>
      <c r="D1182" s="5">
        <f>IFERROR(__xludf.DUMMYFUNCTION("""COMPUTED_VALUE"""),1310.0)</f>
        <v>1310</v>
      </c>
      <c r="E1182" s="5">
        <f>IFERROR(__xludf.DUMMYFUNCTION("""COMPUTED_VALUE"""),1370.0)</f>
        <v>1370</v>
      </c>
      <c r="F1182" s="5">
        <f>IFERROR(__xludf.DUMMYFUNCTION("""COMPUTED_VALUE"""),4.13501E7)</f>
        <v>41350100</v>
      </c>
      <c r="G1182" s="5">
        <f t="shared" si="1"/>
        <v>70</v>
      </c>
    </row>
    <row r="1183">
      <c r="A1183" s="4">
        <f>IFERROR(__xludf.DUMMYFUNCTION("""COMPUTED_VALUE"""),45610.66666666667)</f>
        <v>45610.66667</v>
      </c>
      <c r="B1183" s="5">
        <f>IFERROR(__xludf.DUMMYFUNCTION("""COMPUTED_VALUE"""),1375.0)</f>
        <v>1375</v>
      </c>
      <c r="C1183" s="5">
        <f>IFERROR(__xludf.DUMMYFUNCTION("""COMPUTED_VALUE"""),1375.0)</f>
        <v>1375</v>
      </c>
      <c r="D1183" s="5">
        <f>IFERROR(__xludf.DUMMYFUNCTION("""COMPUTED_VALUE"""),1320.0)</f>
        <v>1320</v>
      </c>
      <c r="E1183" s="5">
        <f>IFERROR(__xludf.DUMMYFUNCTION("""COMPUTED_VALUE"""),1330.0)</f>
        <v>1330</v>
      </c>
      <c r="F1183" s="5">
        <f>IFERROR(__xludf.DUMMYFUNCTION("""COMPUTED_VALUE"""),3.20979E7)</f>
        <v>32097900</v>
      </c>
      <c r="G1183" s="5">
        <f t="shared" si="1"/>
        <v>55</v>
      </c>
    </row>
    <row r="1184">
      <c r="A1184" s="4">
        <f>IFERROR(__xludf.DUMMYFUNCTION("""COMPUTED_VALUE"""),45611.66666666667)</f>
        <v>45611.66667</v>
      </c>
      <c r="B1184" s="5">
        <f>IFERROR(__xludf.DUMMYFUNCTION("""COMPUTED_VALUE"""),1330.0)</f>
        <v>1330</v>
      </c>
      <c r="C1184" s="5">
        <f>IFERROR(__xludf.DUMMYFUNCTION("""COMPUTED_VALUE"""),1340.0)</f>
        <v>1340</v>
      </c>
      <c r="D1184" s="5">
        <f>IFERROR(__xludf.DUMMYFUNCTION("""COMPUTED_VALUE"""),1280.0)</f>
        <v>1280</v>
      </c>
      <c r="E1184" s="5">
        <f>IFERROR(__xludf.DUMMYFUNCTION("""COMPUTED_VALUE"""),1310.0)</f>
        <v>1310</v>
      </c>
      <c r="F1184" s="5">
        <f>IFERROR(__xludf.DUMMYFUNCTION("""COMPUTED_VALUE"""),3.4124E7)</f>
        <v>34124000</v>
      </c>
      <c r="G1184" s="5">
        <f t="shared" si="1"/>
        <v>60</v>
      </c>
    </row>
    <row r="1185">
      <c r="A1185" s="4">
        <f>IFERROR(__xludf.DUMMYFUNCTION("""COMPUTED_VALUE"""),45614.66666666667)</f>
        <v>45614.66667</v>
      </c>
      <c r="B1185" s="5">
        <f>IFERROR(__xludf.DUMMYFUNCTION("""COMPUTED_VALUE"""),1320.0)</f>
        <v>1320</v>
      </c>
      <c r="C1185" s="5">
        <f>IFERROR(__xludf.DUMMYFUNCTION("""COMPUTED_VALUE"""),1330.0)</f>
        <v>1330</v>
      </c>
      <c r="D1185" s="5">
        <f>IFERROR(__xludf.DUMMYFUNCTION("""COMPUTED_VALUE"""),1280.0)</f>
        <v>1280</v>
      </c>
      <c r="E1185" s="5">
        <f>IFERROR(__xludf.DUMMYFUNCTION("""COMPUTED_VALUE"""),1300.0)</f>
        <v>1300</v>
      </c>
      <c r="F1185" s="5">
        <f>IFERROR(__xludf.DUMMYFUNCTION("""COMPUTED_VALUE"""),1.51052E7)</f>
        <v>15105200</v>
      </c>
      <c r="G1185" s="5">
        <f t="shared" si="1"/>
        <v>50</v>
      </c>
    </row>
    <row r="1186">
      <c r="A1186" s="4">
        <f>IFERROR(__xludf.DUMMYFUNCTION("""COMPUTED_VALUE"""),45615.66666666667)</f>
        <v>45615.66667</v>
      </c>
      <c r="B1186" s="5">
        <f>IFERROR(__xludf.DUMMYFUNCTION("""COMPUTED_VALUE"""),1310.0)</f>
        <v>1310</v>
      </c>
      <c r="C1186" s="5">
        <f>IFERROR(__xludf.DUMMYFUNCTION("""COMPUTED_VALUE"""),1360.0)</f>
        <v>1360</v>
      </c>
      <c r="D1186" s="5">
        <f>IFERROR(__xludf.DUMMYFUNCTION("""COMPUTED_VALUE"""),1300.0)</f>
        <v>1300</v>
      </c>
      <c r="E1186" s="5">
        <f>IFERROR(__xludf.DUMMYFUNCTION("""COMPUTED_VALUE"""),1345.0)</f>
        <v>1345</v>
      </c>
      <c r="F1186" s="5">
        <f>IFERROR(__xludf.DUMMYFUNCTION("""COMPUTED_VALUE"""),3.1695E7)</f>
        <v>31695000</v>
      </c>
      <c r="G1186" s="5">
        <f t="shared" si="1"/>
        <v>60</v>
      </c>
    </row>
    <row r="1187">
      <c r="A1187" s="4">
        <f>IFERROR(__xludf.DUMMYFUNCTION("""COMPUTED_VALUE"""),45616.66666666667)</f>
        <v>45616.66667</v>
      </c>
      <c r="B1187" s="5">
        <f>IFERROR(__xludf.DUMMYFUNCTION("""COMPUTED_VALUE"""),1365.0)</f>
        <v>1365</v>
      </c>
      <c r="C1187" s="5">
        <f>IFERROR(__xludf.DUMMYFUNCTION("""COMPUTED_VALUE"""),1365.0)</f>
        <v>1365</v>
      </c>
      <c r="D1187" s="5">
        <f>IFERROR(__xludf.DUMMYFUNCTION("""COMPUTED_VALUE"""),1315.0)</f>
        <v>1315</v>
      </c>
      <c r="E1187" s="5">
        <f>IFERROR(__xludf.DUMMYFUNCTION("""COMPUTED_VALUE"""),1325.0)</f>
        <v>1325</v>
      </c>
      <c r="F1187" s="5">
        <f>IFERROR(__xludf.DUMMYFUNCTION("""COMPUTED_VALUE"""),1.87627E7)</f>
        <v>18762700</v>
      </c>
      <c r="G1187" s="5">
        <f t="shared" si="1"/>
        <v>50</v>
      </c>
    </row>
    <row r="1188">
      <c r="A1188" s="4">
        <f>IFERROR(__xludf.DUMMYFUNCTION("""COMPUTED_VALUE"""),45617.66666666667)</f>
        <v>45617.66667</v>
      </c>
      <c r="B1188" s="5">
        <f>IFERROR(__xludf.DUMMYFUNCTION("""COMPUTED_VALUE"""),1330.0)</f>
        <v>1330</v>
      </c>
      <c r="C1188" s="5">
        <f>IFERROR(__xludf.DUMMYFUNCTION("""COMPUTED_VALUE"""),1330.0)</f>
        <v>1330</v>
      </c>
      <c r="D1188" s="5">
        <f>IFERROR(__xludf.DUMMYFUNCTION("""COMPUTED_VALUE"""),1290.0)</f>
        <v>1290</v>
      </c>
      <c r="E1188" s="5">
        <f>IFERROR(__xludf.DUMMYFUNCTION("""COMPUTED_VALUE"""),1295.0)</f>
        <v>1295</v>
      </c>
      <c r="F1188" s="5">
        <f>IFERROR(__xludf.DUMMYFUNCTION("""COMPUTED_VALUE"""),1.39413E7)</f>
        <v>13941300</v>
      </c>
      <c r="G1188" s="5">
        <f t="shared" si="1"/>
        <v>40</v>
      </c>
    </row>
    <row r="1189">
      <c r="A1189" s="4">
        <f>IFERROR(__xludf.DUMMYFUNCTION("""COMPUTED_VALUE"""),45618.66666666667)</f>
        <v>45618.66667</v>
      </c>
      <c r="B1189" s="5">
        <f>IFERROR(__xludf.DUMMYFUNCTION("""COMPUTED_VALUE"""),1295.0)</f>
        <v>1295</v>
      </c>
      <c r="C1189" s="5">
        <f>IFERROR(__xludf.DUMMYFUNCTION("""COMPUTED_VALUE"""),1300.0)</f>
        <v>1300</v>
      </c>
      <c r="D1189" s="5">
        <f>IFERROR(__xludf.DUMMYFUNCTION("""COMPUTED_VALUE"""),1205.0)</f>
        <v>1205</v>
      </c>
      <c r="E1189" s="5">
        <f>IFERROR(__xludf.DUMMYFUNCTION("""COMPUTED_VALUE"""),1205.0)</f>
        <v>1205</v>
      </c>
      <c r="F1189" s="5">
        <f>IFERROR(__xludf.DUMMYFUNCTION("""COMPUTED_VALUE"""),5.04745E7)</f>
        <v>50474500</v>
      </c>
      <c r="G1189" s="5">
        <f t="shared" si="1"/>
        <v>95</v>
      </c>
    </row>
    <row r="1190">
      <c r="A1190" s="4">
        <f>IFERROR(__xludf.DUMMYFUNCTION("""COMPUTED_VALUE"""),45621.66666666667)</f>
        <v>45621.66667</v>
      </c>
      <c r="B1190" s="5">
        <f>IFERROR(__xludf.DUMMYFUNCTION("""COMPUTED_VALUE"""),1215.0)</f>
        <v>1215</v>
      </c>
      <c r="C1190" s="5">
        <f>IFERROR(__xludf.DUMMYFUNCTION("""COMPUTED_VALUE"""),1230.0)</f>
        <v>1230</v>
      </c>
      <c r="D1190" s="5">
        <f>IFERROR(__xludf.DUMMYFUNCTION("""COMPUTED_VALUE"""),1200.0)</f>
        <v>1200</v>
      </c>
      <c r="E1190" s="5">
        <f>IFERROR(__xludf.DUMMYFUNCTION("""COMPUTED_VALUE"""),1215.0)</f>
        <v>1215</v>
      </c>
      <c r="F1190" s="5">
        <f>IFERROR(__xludf.DUMMYFUNCTION("""COMPUTED_VALUE"""),2.75436E7)</f>
        <v>27543600</v>
      </c>
      <c r="G1190" s="5">
        <f t="shared" si="1"/>
        <v>30</v>
      </c>
    </row>
    <row r="1191">
      <c r="A1191" s="4">
        <f>IFERROR(__xludf.DUMMYFUNCTION("""COMPUTED_VALUE"""),45622.66666666667)</f>
        <v>45622.66667</v>
      </c>
      <c r="B1191" s="5">
        <f>IFERROR(__xludf.DUMMYFUNCTION("""COMPUTED_VALUE"""),1215.0)</f>
        <v>1215</v>
      </c>
      <c r="C1191" s="5">
        <f>IFERROR(__xludf.DUMMYFUNCTION("""COMPUTED_VALUE"""),1225.0)</f>
        <v>1225</v>
      </c>
      <c r="D1191" s="5">
        <f>IFERROR(__xludf.DUMMYFUNCTION("""COMPUTED_VALUE"""),1160.0)</f>
        <v>1160</v>
      </c>
      <c r="E1191" s="5">
        <f>IFERROR(__xludf.DUMMYFUNCTION("""COMPUTED_VALUE"""),1165.0)</f>
        <v>1165</v>
      </c>
      <c r="F1191" s="5">
        <f>IFERROR(__xludf.DUMMYFUNCTION("""COMPUTED_VALUE"""),4.40489E7)</f>
        <v>44048900</v>
      </c>
      <c r="G1191" s="5">
        <f t="shared" si="1"/>
        <v>65</v>
      </c>
    </row>
    <row r="1192">
      <c r="A1192" s="4">
        <f>IFERROR(__xludf.DUMMYFUNCTION("""COMPUTED_VALUE"""),45624.66666666667)</f>
        <v>45624.66667</v>
      </c>
      <c r="B1192" s="5">
        <f>IFERROR(__xludf.DUMMYFUNCTION("""COMPUTED_VALUE"""),1200.0)</f>
        <v>1200</v>
      </c>
      <c r="C1192" s="5">
        <f>IFERROR(__xludf.DUMMYFUNCTION("""COMPUTED_VALUE"""),1200.0)</f>
        <v>1200</v>
      </c>
      <c r="D1192" s="5">
        <f>IFERROR(__xludf.DUMMYFUNCTION("""COMPUTED_VALUE"""),1115.0)</f>
        <v>1115</v>
      </c>
      <c r="E1192" s="5">
        <f>IFERROR(__xludf.DUMMYFUNCTION("""COMPUTED_VALUE"""),1120.0)</f>
        <v>1120</v>
      </c>
      <c r="F1192" s="5">
        <f>IFERROR(__xludf.DUMMYFUNCTION("""COMPUTED_VALUE"""),2.48098E7)</f>
        <v>24809800</v>
      </c>
      <c r="G1192" s="5">
        <f t="shared" si="1"/>
        <v>85</v>
      </c>
    </row>
    <row r="1193">
      <c r="A1193" s="4">
        <f>IFERROR(__xludf.DUMMYFUNCTION("""COMPUTED_VALUE"""),45625.66666666667)</f>
        <v>45625.66667</v>
      </c>
      <c r="B1193" s="5">
        <f>IFERROR(__xludf.DUMMYFUNCTION("""COMPUTED_VALUE"""),1120.0)</f>
        <v>1120</v>
      </c>
      <c r="C1193" s="5">
        <f>IFERROR(__xludf.DUMMYFUNCTION("""COMPUTED_VALUE"""),1140.0)</f>
        <v>1140</v>
      </c>
      <c r="D1193" s="5">
        <f>IFERROR(__xludf.DUMMYFUNCTION("""COMPUTED_VALUE"""),1105.0)</f>
        <v>1105</v>
      </c>
      <c r="E1193" s="5">
        <f>IFERROR(__xludf.DUMMYFUNCTION("""COMPUTED_VALUE"""),1125.0)</f>
        <v>1125</v>
      </c>
      <c r="F1193" s="5">
        <f>IFERROR(__xludf.DUMMYFUNCTION("""COMPUTED_VALUE"""),2.62985E7)</f>
        <v>26298500</v>
      </c>
      <c r="G1193" s="5">
        <f t="shared" si="1"/>
        <v>35</v>
      </c>
    </row>
    <row r="1194">
      <c r="A1194" s="4">
        <f>IFERROR(__xludf.DUMMYFUNCTION("""COMPUTED_VALUE"""),45628.66666666667)</f>
        <v>45628.66667</v>
      </c>
      <c r="B1194" s="5">
        <f>IFERROR(__xludf.DUMMYFUNCTION("""COMPUTED_VALUE"""),1130.0)</f>
        <v>1130</v>
      </c>
      <c r="C1194" s="5">
        <f>IFERROR(__xludf.DUMMYFUNCTION("""COMPUTED_VALUE"""),1140.0)</f>
        <v>1140</v>
      </c>
      <c r="D1194" s="5">
        <f>IFERROR(__xludf.DUMMYFUNCTION("""COMPUTED_VALUE"""),1040.0)</f>
        <v>1040</v>
      </c>
      <c r="E1194" s="5">
        <f>IFERROR(__xludf.DUMMYFUNCTION("""COMPUTED_VALUE"""),1045.0)</f>
        <v>1045</v>
      </c>
      <c r="F1194" s="5">
        <f>IFERROR(__xludf.DUMMYFUNCTION("""COMPUTED_VALUE"""),5.37662E7)</f>
        <v>53766200</v>
      </c>
      <c r="G1194" s="5">
        <f t="shared" si="1"/>
        <v>100</v>
      </c>
    </row>
    <row r="1195">
      <c r="A1195" s="4">
        <f>IFERROR(__xludf.DUMMYFUNCTION("""COMPUTED_VALUE"""),45629.66666666667)</f>
        <v>45629.66667</v>
      </c>
      <c r="B1195" s="5">
        <f>IFERROR(__xludf.DUMMYFUNCTION("""COMPUTED_VALUE"""),1050.0)</f>
        <v>1050</v>
      </c>
      <c r="C1195" s="5">
        <f>IFERROR(__xludf.DUMMYFUNCTION("""COMPUTED_VALUE"""),1095.0)</f>
        <v>1095</v>
      </c>
      <c r="D1195" s="5">
        <f>IFERROR(__xludf.DUMMYFUNCTION("""COMPUTED_VALUE"""),1050.0)</f>
        <v>1050</v>
      </c>
      <c r="E1195" s="5">
        <f>IFERROR(__xludf.DUMMYFUNCTION("""COMPUTED_VALUE"""),1075.0)</f>
        <v>1075</v>
      </c>
      <c r="F1195" s="5">
        <f>IFERROR(__xludf.DUMMYFUNCTION("""COMPUTED_VALUE"""),4.58841E7)</f>
        <v>45884100</v>
      </c>
      <c r="G1195" s="5">
        <f t="shared" si="1"/>
        <v>50</v>
      </c>
    </row>
    <row r="1196">
      <c r="A1196" s="4">
        <f>IFERROR(__xludf.DUMMYFUNCTION("""COMPUTED_VALUE"""),45630.66666666667)</f>
        <v>45630.66667</v>
      </c>
      <c r="B1196" s="5">
        <f>IFERROR(__xludf.DUMMYFUNCTION("""COMPUTED_VALUE"""),1075.0)</f>
        <v>1075</v>
      </c>
      <c r="C1196" s="5">
        <f>IFERROR(__xludf.DUMMYFUNCTION("""COMPUTED_VALUE"""),1195.0)</f>
        <v>1195</v>
      </c>
      <c r="D1196" s="5">
        <f>IFERROR(__xludf.DUMMYFUNCTION("""COMPUTED_VALUE"""),1065.0)</f>
        <v>1065</v>
      </c>
      <c r="E1196" s="5">
        <f>IFERROR(__xludf.DUMMYFUNCTION("""COMPUTED_VALUE"""),1180.0)</f>
        <v>1180</v>
      </c>
      <c r="F1196" s="5">
        <f>IFERROR(__xludf.DUMMYFUNCTION("""COMPUTED_VALUE"""),7.80579E7)</f>
        <v>78057900</v>
      </c>
      <c r="G1196" s="5">
        <f t="shared" si="1"/>
        <v>130</v>
      </c>
    </row>
    <row r="1197">
      <c r="A1197" s="4">
        <f>IFERROR(__xludf.DUMMYFUNCTION("""COMPUTED_VALUE"""),45631.66666666667)</f>
        <v>45631.66667</v>
      </c>
      <c r="B1197" s="5">
        <f>IFERROR(__xludf.DUMMYFUNCTION("""COMPUTED_VALUE"""),1200.0)</f>
        <v>1200</v>
      </c>
      <c r="C1197" s="5">
        <f>IFERROR(__xludf.DUMMYFUNCTION("""COMPUTED_VALUE"""),1200.0)</f>
        <v>1200</v>
      </c>
      <c r="D1197" s="5">
        <f>IFERROR(__xludf.DUMMYFUNCTION("""COMPUTED_VALUE"""),1130.0)</f>
        <v>1130</v>
      </c>
      <c r="E1197" s="5">
        <f>IFERROR(__xludf.DUMMYFUNCTION("""COMPUTED_VALUE"""),1145.0)</f>
        <v>1145</v>
      </c>
      <c r="F1197" s="5">
        <f>IFERROR(__xludf.DUMMYFUNCTION("""COMPUTED_VALUE"""),2.43707E7)</f>
        <v>24370700</v>
      </c>
      <c r="G1197" s="5">
        <f t="shared" si="1"/>
        <v>70</v>
      </c>
    </row>
    <row r="1198">
      <c r="A1198" s="4">
        <f>IFERROR(__xludf.DUMMYFUNCTION("""COMPUTED_VALUE"""),45632.66666666667)</f>
        <v>45632.66667</v>
      </c>
      <c r="B1198" s="5">
        <f>IFERROR(__xludf.DUMMYFUNCTION("""COMPUTED_VALUE"""),1140.0)</f>
        <v>1140</v>
      </c>
      <c r="C1198" s="5">
        <f>IFERROR(__xludf.DUMMYFUNCTION("""COMPUTED_VALUE"""),1175.0)</f>
        <v>1175</v>
      </c>
      <c r="D1198" s="5">
        <f>IFERROR(__xludf.DUMMYFUNCTION("""COMPUTED_VALUE"""),1140.0)</f>
        <v>1140</v>
      </c>
      <c r="E1198" s="5">
        <f>IFERROR(__xludf.DUMMYFUNCTION("""COMPUTED_VALUE"""),1165.0)</f>
        <v>1165</v>
      </c>
      <c r="F1198" s="5">
        <f>IFERROR(__xludf.DUMMYFUNCTION("""COMPUTED_VALUE"""),2.7704E7)</f>
        <v>27704000</v>
      </c>
      <c r="G1198" s="5">
        <f t="shared" si="1"/>
        <v>35</v>
      </c>
    </row>
    <row r="1199">
      <c r="A1199" s="4">
        <f>IFERROR(__xludf.DUMMYFUNCTION("""COMPUTED_VALUE"""),45635.66666666667)</f>
        <v>45635.66667</v>
      </c>
      <c r="B1199" s="5">
        <f>IFERROR(__xludf.DUMMYFUNCTION("""COMPUTED_VALUE"""),1170.0)</f>
        <v>1170</v>
      </c>
      <c r="C1199" s="5">
        <f>IFERROR(__xludf.DUMMYFUNCTION("""COMPUTED_VALUE"""),1190.0)</f>
        <v>1190</v>
      </c>
      <c r="D1199" s="5">
        <f>IFERROR(__xludf.DUMMYFUNCTION("""COMPUTED_VALUE"""),1155.0)</f>
        <v>1155</v>
      </c>
      <c r="E1199" s="5">
        <f>IFERROR(__xludf.DUMMYFUNCTION("""COMPUTED_VALUE"""),1160.0)</f>
        <v>1160</v>
      </c>
      <c r="F1199" s="5">
        <f>IFERROR(__xludf.DUMMYFUNCTION("""COMPUTED_VALUE"""),2.17379E7)</f>
        <v>21737900</v>
      </c>
      <c r="G1199" s="5">
        <f t="shared" si="1"/>
        <v>35</v>
      </c>
    </row>
    <row r="1200">
      <c r="A1200" s="4">
        <f>IFERROR(__xludf.DUMMYFUNCTION("""COMPUTED_VALUE"""),45636.66666666667)</f>
        <v>45636.66667</v>
      </c>
      <c r="B1200" s="5">
        <f>IFERROR(__xludf.DUMMYFUNCTION("""COMPUTED_VALUE"""),1175.0)</f>
        <v>1175</v>
      </c>
      <c r="C1200" s="5">
        <f>IFERROR(__xludf.DUMMYFUNCTION("""COMPUTED_VALUE"""),1230.0)</f>
        <v>1230</v>
      </c>
      <c r="D1200" s="5">
        <f>IFERROR(__xludf.DUMMYFUNCTION("""COMPUTED_VALUE"""),1175.0)</f>
        <v>1175</v>
      </c>
      <c r="E1200" s="5">
        <f>IFERROR(__xludf.DUMMYFUNCTION("""COMPUTED_VALUE"""),1205.0)</f>
        <v>1205</v>
      </c>
      <c r="F1200" s="5">
        <f>IFERROR(__xludf.DUMMYFUNCTION("""COMPUTED_VALUE"""),3.96956E7)</f>
        <v>39695600</v>
      </c>
      <c r="G1200" s="5">
        <f t="shared" si="1"/>
        <v>70</v>
      </c>
    </row>
    <row r="1201">
      <c r="A1201" s="4">
        <f>IFERROR(__xludf.DUMMYFUNCTION("""COMPUTED_VALUE"""),45637.66666666667)</f>
        <v>45637.66667</v>
      </c>
      <c r="B1201" s="5">
        <f>IFERROR(__xludf.DUMMYFUNCTION("""COMPUTED_VALUE"""),1220.0)</f>
        <v>1220</v>
      </c>
      <c r="C1201" s="5">
        <f>IFERROR(__xludf.DUMMYFUNCTION("""COMPUTED_VALUE"""),1235.0)</f>
        <v>1235</v>
      </c>
      <c r="D1201" s="5">
        <f>IFERROR(__xludf.DUMMYFUNCTION("""COMPUTED_VALUE"""),1205.0)</f>
        <v>1205</v>
      </c>
      <c r="E1201" s="5">
        <f>IFERROR(__xludf.DUMMYFUNCTION("""COMPUTED_VALUE"""),1210.0)</f>
        <v>1210</v>
      </c>
      <c r="F1201" s="5">
        <f>IFERROR(__xludf.DUMMYFUNCTION("""COMPUTED_VALUE"""),2.62052E7)</f>
        <v>26205200</v>
      </c>
      <c r="G1201" s="5">
        <f t="shared" si="1"/>
        <v>30</v>
      </c>
    </row>
    <row r="1202">
      <c r="A1202" s="4">
        <f>IFERROR(__xludf.DUMMYFUNCTION("""COMPUTED_VALUE"""),45638.66666666667)</f>
        <v>45638.66667</v>
      </c>
      <c r="B1202" s="5">
        <f>IFERROR(__xludf.DUMMYFUNCTION("""COMPUTED_VALUE"""),1220.0)</f>
        <v>1220</v>
      </c>
      <c r="C1202" s="5">
        <f>IFERROR(__xludf.DUMMYFUNCTION("""COMPUTED_VALUE"""),1220.0)</f>
        <v>1220</v>
      </c>
      <c r="D1202" s="5">
        <f>IFERROR(__xludf.DUMMYFUNCTION("""COMPUTED_VALUE"""),1180.0)</f>
        <v>1180</v>
      </c>
      <c r="E1202" s="5">
        <f>IFERROR(__xludf.DUMMYFUNCTION("""COMPUTED_VALUE"""),1205.0)</f>
        <v>1205</v>
      </c>
      <c r="F1202" s="5">
        <f>IFERROR(__xludf.DUMMYFUNCTION("""COMPUTED_VALUE"""),1.51905E7)</f>
        <v>15190500</v>
      </c>
      <c r="G1202" s="5">
        <f t="shared" si="1"/>
        <v>40</v>
      </c>
    </row>
    <row r="1203">
      <c r="A1203" s="4">
        <f>IFERROR(__xludf.DUMMYFUNCTION("""COMPUTED_VALUE"""),45639.66666666667)</f>
        <v>45639.66667</v>
      </c>
      <c r="B1203" s="5">
        <f>IFERROR(__xludf.DUMMYFUNCTION("""COMPUTED_VALUE"""),1200.0)</f>
        <v>1200</v>
      </c>
      <c r="C1203" s="5">
        <f>IFERROR(__xludf.DUMMYFUNCTION("""COMPUTED_VALUE"""),1200.0)</f>
        <v>1200</v>
      </c>
      <c r="D1203" s="5">
        <f>IFERROR(__xludf.DUMMYFUNCTION("""COMPUTED_VALUE"""),1170.0)</f>
        <v>1170</v>
      </c>
      <c r="E1203" s="5">
        <f>IFERROR(__xludf.DUMMYFUNCTION("""COMPUTED_VALUE"""),1180.0)</f>
        <v>1180</v>
      </c>
      <c r="F1203" s="5">
        <f>IFERROR(__xludf.DUMMYFUNCTION("""COMPUTED_VALUE"""),1.02925E7)</f>
        <v>10292500</v>
      </c>
      <c r="G1203" s="5">
        <f t="shared" si="1"/>
        <v>35</v>
      </c>
    </row>
    <row r="1204">
      <c r="A1204" s="4">
        <f>IFERROR(__xludf.DUMMYFUNCTION("""COMPUTED_VALUE"""),45642.66666666667)</f>
        <v>45642.66667</v>
      </c>
      <c r="B1204" s="5">
        <f>IFERROR(__xludf.DUMMYFUNCTION("""COMPUTED_VALUE"""),1175.0)</f>
        <v>1175</v>
      </c>
      <c r="C1204" s="5">
        <f>IFERROR(__xludf.DUMMYFUNCTION("""COMPUTED_VALUE"""),1175.0)</f>
        <v>1175</v>
      </c>
      <c r="D1204" s="5">
        <f>IFERROR(__xludf.DUMMYFUNCTION("""COMPUTED_VALUE"""),1115.0)</f>
        <v>1115</v>
      </c>
      <c r="E1204" s="5">
        <f>IFERROR(__xludf.DUMMYFUNCTION("""COMPUTED_VALUE"""),1115.0)</f>
        <v>1115</v>
      </c>
      <c r="F1204" s="5">
        <f>IFERROR(__xludf.DUMMYFUNCTION("""COMPUTED_VALUE"""),1.22294E7)</f>
        <v>12229400</v>
      </c>
      <c r="G1204" s="5">
        <f t="shared" si="1"/>
        <v>65</v>
      </c>
    </row>
    <row r="1205">
      <c r="A1205" s="4">
        <f>IFERROR(__xludf.DUMMYFUNCTION("""COMPUTED_VALUE"""),45643.66666666667)</f>
        <v>45643.66667</v>
      </c>
      <c r="B1205" s="5">
        <f>IFERROR(__xludf.DUMMYFUNCTION("""COMPUTED_VALUE"""),1120.0)</f>
        <v>1120</v>
      </c>
      <c r="C1205" s="5">
        <f>IFERROR(__xludf.DUMMYFUNCTION("""COMPUTED_VALUE"""),1150.0)</f>
        <v>1150</v>
      </c>
      <c r="D1205" s="5">
        <f>IFERROR(__xludf.DUMMYFUNCTION("""COMPUTED_VALUE"""),1075.0)</f>
        <v>1075</v>
      </c>
      <c r="E1205" s="5">
        <f>IFERROR(__xludf.DUMMYFUNCTION("""COMPUTED_VALUE"""),1080.0)</f>
        <v>1080</v>
      </c>
      <c r="F1205" s="5">
        <f>IFERROR(__xludf.DUMMYFUNCTION("""COMPUTED_VALUE"""),1.55574E7)</f>
        <v>15557400</v>
      </c>
      <c r="G1205" s="5">
        <f t="shared" si="1"/>
        <v>75</v>
      </c>
    </row>
    <row r="1206">
      <c r="A1206" s="4">
        <f>IFERROR(__xludf.DUMMYFUNCTION("""COMPUTED_VALUE"""),45644.66666666667)</f>
        <v>45644.66667</v>
      </c>
      <c r="B1206" s="5">
        <f>IFERROR(__xludf.DUMMYFUNCTION("""COMPUTED_VALUE"""),1085.0)</f>
        <v>1085</v>
      </c>
      <c r="C1206" s="5">
        <f>IFERROR(__xludf.DUMMYFUNCTION("""COMPUTED_VALUE"""),1130.0)</f>
        <v>1130</v>
      </c>
      <c r="D1206" s="5">
        <f>IFERROR(__xludf.DUMMYFUNCTION("""COMPUTED_VALUE"""),1055.0)</f>
        <v>1055</v>
      </c>
      <c r="E1206" s="5">
        <f>IFERROR(__xludf.DUMMYFUNCTION("""COMPUTED_VALUE"""),1115.0)</f>
        <v>1115</v>
      </c>
      <c r="F1206" s="5">
        <f>IFERROR(__xludf.DUMMYFUNCTION("""COMPUTED_VALUE"""),2.30494E7)</f>
        <v>23049400</v>
      </c>
      <c r="G1206" s="5">
        <f t="shared" si="1"/>
        <v>75</v>
      </c>
    </row>
    <row r="1207">
      <c r="A1207" s="4">
        <f>IFERROR(__xludf.DUMMYFUNCTION("""COMPUTED_VALUE"""),45645.66666666667)</f>
        <v>45645.66667</v>
      </c>
      <c r="B1207" s="5">
        <f>IFERROR(__xludf.DUMMYFUNCTION("""COMPUTED_VALUE"""),1110.0)</f>
        <v>1110</v>
      </c>
      <c r="C1207" s="5">
        <f>IFERROR(__xludf.DUMMYFUNCTION("""COMPUTED_VALUE"""),1110.0)</f>
        <v>1110</v>
      </c>
      <c r="D1207" s="5">
        <f>IFERROR(__xludf.DUMMYFUNCTION("""COMPUTED_VALUE"""),1050.0)</f>
        <v>1050</v>
      </c>
      <c r="E1207" s="5">
        <f>IFERROR(__xludf.DUMMYFUNCTION("""COMPUTED_VALUE"""),1055.0)</f>
        <v>1055</v>
      </c>
      <c r="F1207" s="5">
        <f>IFERROR(__xludf.DUMMYFUNCTION("""COMPUTED_VALUE"""),2.08464E7)</f>
        <v>20846400</v>
      </c>
      <c r="G1207" s="5">
        <f t="shared" si="1"/>
        <v>65</v>
      </c>
    </row>
    <row r="1208">
      <c r="A1208" s="4">
        <f>IFERROR(__xludf.DUMMYFUNCTION("""COMPUTED_VALUE"""),45646.66666666667)</f>
        <v>45646.66667</v>
      </c>
      <c r="B1208" s="5">
        <f>IFERROR(__xludf.DUMMYFUNCTION("""COMPUTED_VALUE"""),1060.0)</f>
        <v>1060</v>
      </c>
      <c r="C1208" s="5">
        <f>IFERROR(__xludf.DUMMYFUNCTION("""COMPUTED_VALUE"""),1075.0)</f>
        <v>1075</v>
      </c>
      <c r="D1208" s="5">
        <f>IFERROR(__xludf.DUMMYFUNCTION("""COMPUTED_VALUE"""),1010.0)</f>
        <v>1010</v>
      </c>
      <c r="E1208" s="5">
        <f>IFERROR(__xludf.DUMMYFUNCTION("""COMPUTED_VALUE"""),1020.0)</f>
        <v>1020</v>
      </c>
      <c r="F1208" s="5">
        <f>IFERROR(__xludf.DUMMYFUNCTION("""COMPUTED_VALUE"""),2.46721E7)</f>
        <v>24672100</v>
      </c>
      <c r="G1208" s="5">
        <f t="shared" si="1"/>
        <v>65</v>
      </c>
    </row>
    <row r="1209">
      <c r="A1209" s="4">
        <f>IFERROR(__xludf.DUMMYFUNCTION("""COMPUTED_VALUE"""),45649.66666666667)</f>
        <v>45649.66667</v>
      </c>
      <c r="B1209" s="5">
        <f>IFERROR(__xludf.DUMMYFUNCTION("""COMPUTED_VALUE"""),1040.0)</f>
        <v>1040</v>
      </c>
      <c r="C1209" s="5">
        <f>IFERROR(__xludf.DUMMYFUNCTION("""COMPUTED_VALUE"""),1045.0)</f>
        <v>1045</v>
      </c>
      <c r="D1209" s="5">
        <f>IFERROR(__xludf.DUMMYFUNCTION("""COMPUTED_VALUE"""),995.0)</f>
        <v>995</v>
      </c>
      <c r="E1209" s="5">
        <f>IFERROR(__xludf.DUMMYFUNCTION("""COMPUTED_VALUE"""),1005.0)</f>
        <v>1005</v>
      </c>
      <c r="F1209" s="5">
        <f>IFERROR(__xludf.DUMMYFUNCTION("""COMPUTED_VALUE"""),1.57319E7)</f>
        <v>15731900</v>
      </c>
      <c r="G1209" s="5">
        <f t="shared" si="1"/>
        <v>50</v>
      </c>
    </row>
    <row r="1210">
      <c r="A1210" s="4">
        <f>IFERROR(__xludf.DUMMYFUNCTION("""COMPUTED_VALUE"""),45650.66666666667)</f>
        <v>45650.66667</v>
      </c>
      <c r="B1210" s="5">
        <f>IFERROR(__xludf.DUMMYFUNCTION("""COMPUTED_VALUE"""),1010.0)</f>
        <v>1010</v>
      </c>
      <c r="C1210" s="5">
        <f>IFERROR(__xludf.DUMMYFUNCTION("""COMPUTED_VALUE"""),1090.0)</f>
        <v>1090</v>
      </c>
      <c r="D1210" s="5">
        <f>IFERROR(__xludf.DUMMYFUNCTION("""COMPUTED_VALUE"""),1005.0)</f>
        <v>1005</v>
      </c>
      <c r="E1210" s="5">
        <f>IFERROR(__xludf.DUMMYFUNCTION("""COMPUTED_VALUE"""),1060.0)</f>
        <v>1060</v>
      </c>
      <c r="F1210" s="5">
        <f>IFERROR(__xludf.DUMMYFUNCTION("""COMPUTED_VALUE"""),2.42667E7)</f>
        <v>24266700</v>
      </c>
      <c r="G1210" s="5">
        <f t="shared" si="1"/>
        <v>85</v>
      </c>
    </row>
    <row r="1211">
      <c r="A1211" s="4">
        <f>IFERROR(__xludf.DUMMYFUNCTION("""COMPUTED_VALUE"""),45653.66666666667)</f>
        <v>45653.66667</v>
      </c>
      <c r="B1211" s="5">
        <f>IFERROR(__xludf.DUMMYFUNCTION("""COMPUTED_VALUE"""),1065.0)</f>
        <v>1065</v>
      </c>
      <c r="C1211" s="5">
        <f>IFERROR(__xludf.DUMMYFUNCTION("""COMPUTED_VALUE"""),1100.0)</f>
        <v>1100</v>
      </c>
      <c r="D1211" s="5">
        <f>IFERROR(__xludf.DUMMYFUNCTION("""COMPUTED_VALUE"""),1020.0)</f>
        <v>1020</v>
      </c>
      <c r="E1211" s="5">
        <f>IFERROR(__xludf.DUMMYFUNCTION("""COMPUTED_VALUE"""),1030.0)</f>
        <v>1030</v>
      </c>
      <c r="F1211" s="5">
        <f>IFERROR(__xludf.DUMMYFUNCTION("""COMPUTED_VALUE"""),2.87832E7)</f>
        <v>28783200</v>
      </c>
      <c r="G1211" s="5">
        <f t="shared" si="1"/>
        <v>80</v>
      </c>
    </row>
    <row r="1212">
      <c r="A1212" s="4">
        <f>IFERROR(__xludf.DUMMYFUNCTION("""COMPUTED_VALUE"""),45656.66666666667)</f>
        <v>45656.66667</v>
      </c>
      <c r="B1212" s="5">
        <f>IFERROR(__xludf.DUMMYFUNCTION("""COMPUTED_VALUE"""),1040.0)</f>
        <v>1040</v>
      </c>
      <c r="C1212" s="5">
        <f>IFERROR(__xludf.DUMMYFUNCTION("""COMPUTED_VALUE"""),1090.0)</f>
        <v>1090</v>
      </c>
      <c r="D1212" s="5">
        <f>IFERROR(__xludf.DUMMYFUNCTION("""COMPUTED_VALUE"""),1020.0)</f>
        <v>1020</v>
      </c>
      <c r="E1212" s="5">
        <f>IFERROR(__xludf.DUMMYFUNCTION("""COMPUTED_VALUE"""),1070.0)</f>
        <v>1070</v>
      </c>
      <c r="F1212" s="5">
        <f>IFERROR(__xludf.DUMMYFUNCTION("""COMPUTED_VALUE"""),2.24895E7)</f>
        <v>22489500</v>
      </c>
      <c r="G1212" s="5">
        <f t="shared" si="1"/>
        <v>70</v>
      </c>
    </row>
  </sheetData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4.5"/>
  </cols>
  <sheetData>
    <row r="1">
      <c r="A1" s="4" t="str">
        <f>IFERROR(__xludf.DUMMYFUNCTION("GOOGLEFINANCE(""IDX:TLKM"", ""all"", DATE(2020,1,1), DATE(2025,1,1), ""DAILY"")
"),"Date")</f>
        <v>Date</v>
      </c>
      <c r="B1" s="5" t="str">
        <f>IFERROR(__xludf.DUMMYFUNCTION("""COMPUTED_VALUE"""),"Open")</f>
        <v>Open</v>
      </c>
      <c r="C1" s="5" t="str">
        <f>IFERROR(__xludf.DUMMYFUNCTION("""COMPUTED_VALUE"""),"High")</f>
        <v>High</v>
      </c>
      <c r="D1" s="5" t="str">
        <f>IFERROR(__xludf.DUMMYFUNCTION("""COMPUTED_VALUE"""),"Low")</f>
        <v>Low</v>
      </c>
      <c r="E1" s="5" t="str">
        <f>IFERROR(__xludf.DUMMYFUNCTION("""COMPUTED_VALUE"""),"Close")</f>
        <v>Close</v>
      </c>
      <c r="F1" s="5" t="str">
        <f>IFERROR(__xludf.DUMMYFUNCTION("""COMPUTED_VALUE"""),"Volume")</f>
        <v>Volume</v>
      </c>
      <c r="G1" s="6" t="s">
        <v>0</v>
      </c>
    </row>
    <row r="2">
      <c r="A2" s="4">
        <f>IFERROR(__xludf.DUMMYFUNCTION("""COMPUTED_VALUE"""),43832.66666666667)</f>
        <v>43832.66667</v>
      </c>
      <c r="B2" s="5">
        <f>IFERROR(__xludf.DUMMYFUNCTION("""COMPUTED_VALUE"""),3970.0)</f>
        <v>3970</v>
      </c>
      <c r="C2" s="5">
        <f>IFERROR(__xludf.DUMMYFUNCTION("""COMPUTED_VALUE"""),4000.0)</f>
        <v>4000</v>
      </c>
      <c r="D2" s="5">
        <f>IFERROR(__xludf.DUMMYFUNCTION("""COMPUTED_VALUE"""),3900.0)</f>
        <v>3900</v>
      </c>
      <c r="E2" s="5">
        <f>IFERROR(__xludf.DUMMYFUNCTION("""COMPUTED_VALUE"""),3910.0)</f>
        <v>3910</v>
      </c>
      <c r="F2" s="5">
        <f>IFERROR(__xludf.DUMMYFUNCTION("""COMPUTED_VALUE"""),5.2094E7)</f>
        <v>52094000</v>
      </c>
    </row>
    <row r="3">
      <c r="A3" s="4">
        <f>IFERROR(__xludf.DUMMYFUNCTION("""COMPUTED_VALUE"""),43833.66666666667)</f>
        <v>43833.66667</v>
      </c>
      <c r="B3" s="5">
        <f>IFERROR(__xludf.DUMMYFUNCTION("""COMPUTED_VALUE"""),3960.0)</f>
        <v>3960</v>
      </c>
      <c r="C3" s="5">
        <f>IFERROR(__xludf.DUMMYFUNCTION("""COMPUTED_VALUE"""),3980.0)</f>
        <v>3980</v>
      </c>
      <c r="D3" s="5">
        <f>IFERROR(__xludf.DUMMYFUNCTION("""COMPUTED_VALUE"""),3930.0)</f>
        <v>3930</v>
      </c>
      <c r="E3" s="5">
        <f>IFERROR(__xludf.DUMMYFUNCTION("""COMPUTED_VALUE"""),3980.0)</f>
        <v>3980</v>
      </c>
      <c r="F3" s="5">
        <f>IFERROR(__xludf.DUMMYFUNCTION("""COMPUTED_VALUE"""),7.00329E7)</f>
        <v>70032900</v>
      </c>
      <c r="G3" s="5">
        <f t="shared" ref="G3:G1212" si="1">MAX(C3-D3, ABS(C3-E2), ABS(D3-E2))</f>
        <v>70</v>
      </c>
    </row>
    <row r="4">
      <c r="A4" s="4">
        <f>IFERROR(__xludf.DUMMYFUNCTION("""COMPUTED_VALUE"""),43836.66666666667)</f>
        <v>43836.66667</v>
      </c>
      <c r="B4" s="5">
        <f>IFERROR(__xludf.DUMMYFUNCTION("""COMPUTED_VALUE"""),3930.0)</f>
        <v>3930</v>
      </c>
      <c r="C4" s="5">
        <f>IFERROR(__xludf.DUMMYFUNCTION("""COMPUTED_VALUE"""),3970.0)</f>
        <v>3970</v>
      </c>
      <c r="D4" s="5">
        <f>IFERROR(__xludf.DUMMYFUNCTION("""COMPUTED_VALUE"""),3930.0)</f>
        <v>3930</v>
      </c>
      <c r="E4" s="5">
        <f>IFERROR(__xludf.DUMMYFUNCTION("""COMPUTED_VALUE"""),3960.0)</f>
        <v>3960</v>
      </c>
      <c r="F4" s="5">
        <f>IFERROR(__xludf.DUMMYFUNCTION("""COMPUTED_VALUE"""),4.29089E7)</f>
        <v>42908900</v>
      </c>
      <c r="G4" s="5">
        <f t="shared" si="1"/>
        <v>50</v>
      </c>
    </row>
    <row r="5">
      <c r="A5" s="4">
        <f>IFERROR(__xludf.DUMMYFUNCTION("""COMPUTED_VALUE"""),43837.66666666667)</f>
        <v>43837.66667</v>
      </c>
      <c r="B5" s="5">
        <f>IFERROR(__xludf.DUMMYFUNCTION("""COMPUTED_VALUE"""),3930.0)</f>
        <v>3930</v>
      </c>
      <c r="C5" s="5">
        <f>IFERROR(__xludf.DUMMYFUNCTION("""COMPUTED_VALUE"""),3970.0)</f>
        <v>3970</v>
      </c>
      <c r="D5" s="5">
        <f>IFERROR(__xludf.DUMMYFUNCTION("""COMPUTED_VALUE"""),3920.0)</f>
        <v>3920</v>
      </c>
      <c r="E5" s="5">
        <f>IFERROR(__xludf.DUMMYFUNCTION("""COMPUTED_VALUE"""),3940.0)</f>
        <v>3940</v>
      </c>
      <c r="F5" s="5">
        <f>IFERROR(__xludf.DUMMYFUNCTION("""COMPUTED_VALUE"""),5.18376E7)</f>
        <v>51837600</v>
      </c>
      <c r="G5" s="5">
        <f t="shared" si="1"/>
        <v>50</v>
      </c>
    </row>
    <row r="6">
      <c r="A6" s="4">
        <f>IFERROR(__xludf.DUMMYFUNCTION("""COMPUTED_VALUE"""),43838.66666666667)</f>
        <v>43838.66667</v>
      </c>
      <c r="B6" s="5">
        <f>IFERROR(__xludf.DUMMYFUNCTION("""COMPUTED_VALUE"""),3920.0)</f>
        <v>3920</v>
      </c>
      <c r="C6" s="5">
        <f>IFERROR(__xludf.DUMMYFUNCTION("""COMPUTED_VALUE"""),3950.0)</f>
        <v>3950</v>
      </c>
      <c r="D6" s="5">
        <f>IFERROR(__xludf.DUMMYFUNCTION("""COMPUTED_VALUE"""),3900.0)</f>
        <v>3900</v>
      </c>
      <c r="E6" s="5">
        <f>IFERROR(__xludf.DUMMYFUNCTION("""COMPUTED_VALUE"""),3900.0)</f>
        <v>3900</v>
      </c>
      <c r="F6" s="5">
        <f>IFERROR(__xludf.DUMMYFUNCTION("""COMPUTED_VALUE"""),5.24026E7)</f>
        <v>52402600</v>
      </c>
      <c r="G6" s="5">
        <f t="shared" si="1"/>
        <v>50</v>
      </c>
    </row>
    <row r="7">
      <c r="A7" s="4">
        <f>IFERROR(__xludf.DUMMYFUNCTION("""COMPUTED_VALUE"""),43839.66666666667)</f>
        <v>43839.66667</v>
      </c>
      <c r="B7" s="5">
        <f>IFERROR(__xludf.DUMMYFUNCTION("""COMPUTED_VALUE"""),3920.0)</f>
        <v>3920</v>
      </c>
      <c r="C7" s="5">
        <f>IFERROR(__xludf.DUMMYFUNCTION("""COMPUTED_VALUE"""),3970.0)</f>
        <v>3970</v>
      </c>
      <c r="D7" s="5">
        <f>IFERROR(__xludf.DUMMYFUNCTION("""COMPUTED_VALUE"""),3920.0)</f>
        <v>3920</v>
      </c>
      <c r="E7" s="5">
        <f>IFERROR(__xludf.DUMMYFUNCTION("""COMPUTED_VALUE"""),3960.0)</f>
        <v>3960</v>
      </c>
      <c r="F7" s="5">
        <f>IFERROR(__xludf.DUMMYFUNCTION("""COMPUTED_VALUE"""),3.75803E7)</f>
        <v>37580300</v>
      </c>
      <c r="G7" s="5">
        <f t="shared" si="1"/>
        <v>70</v>
      </c>
    </row>
    <row r="8">
      <c r="A8" s="4">
        <f>IFERROR(__xludf.DUMMYFUNCTION("""COMPUTED_VALUE"""),43840.66666666667)</f>
        <v>43840.66667</v>
      </c>
      <c r="B8" s="5">
        <f>IFERROR(__xludf.DUMMYFUNCTION("""COMPUTED_VALUE"""),3980.0)</f>
        <v>3980</v>
      </c>
      <c r="C8" s="5">
        <f>IFERROR(__xludf.DUMMYFUNCTION("""COMPUTED_VALUE"""),3990.0)</f>
        <v>3990</v>
      </c>
      <c r="D8" s="5">
        <f>IFERROR(__xludf.DUMMYFUNCTION("""COMPUTED_VALUE"""),3950.0)</f>
        <v>3950</v>
      </c>
      <c r="E8" s="5">
        <f>IFERROR(__xludf.DUMMYFUNCTION("""COMPUTED_VALUE"""),3980.0)</f>
        <v>3980</v>
      </c>
      <c r="F8" s="5">
        <f>IFERROR(__xludf.DUMMYFUNCTION("""COMPUTED_VALUE"""),4.8099E7)</f>
        <v>48099000</v>
      </c>
      <c r="G8" s="5">
        <f t="shared" si="1"/>
        <v>40</v>
      </c>
    </row>
    <row r="9">
      <c r="A9" s="4">
        <f>IFERROR(__xludf.DUMMYFUNCTION("""COMPUTED_VALUE"""),43843.66666666667)</f>
        <v>43843.66667</v>
      </c>
      <c r="B9" s="5">
        <f>IFERROR(__xludf.DUMMYFUNCTION("""COMPUTED_VALUE"""),4000.0)</f>
        <v>4000</v>
      </c>
      <c r="C9" s="5">
        <f>IFERROR(__xludf.DUMMYFUNCTION("""COMPUTED_VALUE"""),4030.0)</f>
        <v>4030</v>
      </c>
      <c r="D9" s="5">
        <f>IFERROR(__xludf.DUMMYFUNCTION("""COMPUTED_VALUE"""),3990.0)</f>
        <v>3990</v>
      </c>
      <c r="E9" s="5">
        <f>IFERROR(__xludf.DUMMYFUNCTION("""COMPUTED_VALUE"""),4030.0)</f>
        <v>4030</v>
      </c>
      <c r="F9" s="5">
        <f>IFERROR(__xludf.DUMMYFUNCTION("""COMPUTED_VALUE"""),6.19138E7)</f>
        <v>61913800</v>
      </c>
      <c r="G9" s="5">
        <f t="shared" si="1"/>
        <v>50</v>
      </c>
    </row>
    <row r="10">
      <c r="A10" s="4">
        <f>IFERROR(__xludf.DUMMYFUNCTION("""COMPUTED_VALUE"""),43844.66666666667)</f>
        <v>43844.66667</v>
      </c>
      <c r="B10" s="5">
        <f>IFERROR(__xludf.DUMMYFUNCTION("""COMPUTED_VALUE"""),3980.0)</f>
        <v>3980</v>
      </c>
      <c r="C10" s="5">
        <f>IFERROR(__xludf.DUMMYFUNCTION("""COMPUTED_VALUE"""),4000.0)</f>
        <v>4000</v>
      </c>
      <c r="D10" s="5">
        <f>IFERROR(__xludf.DUMMYFUNCTION("""COMPUTED_VALUE"""),3940.0)</f>
        <v>3940</v>
      </c>
      <c r="E10" s="5">
        <f>IFERROR(__xludf.DUMMYFUNCTION("""COMPUTED_VALUE"""),3950.0)</f>
        <v>3950</v>
      </c>
      <c r="F10" s="5">
        <f>IFERROR(__xludf.DUMMYFUNCTION("""COMPUTED_VALUE"""),9.50586E7)</f>
        <v>95058600</v>
      </c>
      <c r="G10" s="5">
        <f t="shared" si="1"/>
        <v>90</v>
      </c>
    </row>
    <row r="11">
      <c r="A11" s="4">
        <f>IFERROR(__xludf.DUMMYFUNCTION("""COMPUTED_VALUE"""),43845.66666666667)</f>
        <v>43845.66667</v>
      </c>
      <c r="B11" s="5">
        <f>IFERROR(__xludf.DUMMYFUNCTION("""COMPUTED_VALUE"""),3960.0)</f>
        <v>3960</v>
      </c>
      <c r="C11" s="5">
        <f>IFERROR(__xludf.DUMMYFUNCTION("""COMPUTED_VALUE"""),3960.0)</f>
        <v>3960</v>
      </c>
      <c r="D11" s="5">
        <f>IFERROR(__xludf.DUMMYFUNCTION("""COMPUTED_VALUE"""),3870.0)</f>
        <v>3870</v>
      </c>
      <c r="E11" s="5">
        <f>IFERROR(__xludf.DUMMYFUNCTION("""COMPUTED_VALUE"""),3880.0)</f>
        <v>3880</v>
      </c>
      <c r="F11" s="5">
        <f>IFERROR(__xludf.DUMMYFUNCTION("""COMPUTED_VALUE"""),1.475833E8)</f>
        <v>147583300</v>
      </c>
      <c r="G11" s="5">
        <f t="shared" si="1"/>
        <v>90</v>
      </c>
    </row>
    <row r="12">
      <c r="A12" s="4">
        <f>IFERROR(__xludf.DUMMYFUNCTION("""COMPUTED_VALUE"""),43846.66666666667)</f>
        <v>43846.66667</v>
      </c>
      <c r="B12" s="5">
        <f>IFERROR(__xludf.DUMMYFUNCTION("""COMPUTED_VALUE"""),3890.0)</f>
        <v>3890</v>
      </c>
      <c r="C12" s="5">
        <f>IFERROR(__xludf.DUMMYFUNCTION("""COMPUTED_VALUE"""),3890.0)</f>
        <v>3890</v>
      </c>
      <c r="D12" s="5">
        <f>IFERROR(__xludf.DUMMYFUNCTION("""COMPUTED_VALUE"""),3830.0)</f>
        <v>3830</v>
      </c>
      <c r="E12" s="5">
        <f>IFERROR(__xludf.DUMMYFUNCTION("""COMPUTED_VALUE"""),3850.0)</f>
        <v>3850</v>
      </c>
      <c r="F12" s="5">
        <f>IFERROR(__xludf.DUMMYFUNCTION("""COMPUTED_VALUE"""),1.189031E8)</f>
        <v>118903100</v>
      </c>
      <c r="G12" s="5">
        <f t="shared" si="1"/>
        <v>60</v>
      </c>
    </row>
    <row r="13">
      <c r="A13" s="4">
        <f>IFERROR(__xludf.DUMMYFUNCTION("""COMPUTED_VALUE"""),43847.66666666667)</f>
        <v>43847.66667</v>
      </c>
      <c r="B13" s="5">
        <f>IFERROR(__xludf.DUMMYFUNCTION("""COMPUTED_VALUE"""),3860.0)</f>
        <v>3860</v>
      </c>
      <c r="C13" s="5">
        <f>IFERROR(__xludf.DUMMYFUNCTION("""COMPUTED_VALUE"""),3870.0)</f>
        <v>3870</v>
      </c>
      <c r="D13" s="5">
        <f>IFERROR(__xludf.DUMMYFUNCTION("""COMPUTED_VALUE"""),3800.0)</f>
        <v>3800</v>
      </c>
      <c r="E13" s="5">
        <f>IFERROR(__xludf.DUMMYFUNCTION("""COMPUTED_VALUE"""),3810.0)</f>
        <v>3810</v>
      </c>
      <c r="F13" s="5">
        <f>IFERROR(__xludf.DUMMYFUNCTION("""COMPUTED_VALUE"""),1.199041E8)</f>
        <v>119904100</v>
      </c>
      <c r="G13" s="5">
        <f t="shared" si="1"/>
        <v>70</v>
      </c>
    </row>
    <row r="14">
      <c r="A14" s="4">
        <f>IFERROR(__xludf.DUMMYFUNCTION("""COMPUTED_VALUE"""),43850.66666666667)</f>
        <v>43850.66667</v>
      </c>
      <c r="B14" s="5">
        <f>IFERROR(__xludf.DUMMYFUNCTION("""COMPUTED_VALUE"""),3820.0)</f>
        <v>3820</v>
      </c>
      <c r="C14" s="5">
        <f>IFERROR(__xludf.DUMMYFUNCTION("""COMPUTED_VALUE"""),3840.0)</f>
        <v>3840</v>
      </c>
      <c r="D14" s="5">
        <f>IFERROR(__xludf.DUMMYFUNCTION("""COMPUTED_VALUE"""),3800.0)</f>
        <v>3800</v>
      </c>
      <c r="E14" s="5">
        <f>IFERROR(__xludf.DUMMYFUNCTION("""COMPUTED_VALUE"""),3810.0)</f>
        <v>3810</v>
      </c>
      <c r="F14" s="5">
        <f>IFERROR(__xludf.DUMMYFUNCTION("""COMPUTED_VALUE"""),7.35992E7)</f>
        <v>73599200</v>
      </c>
      <c r="G14" s="5">
        <f t="shared" si="1"/>
        <v>40</v>
      </c>
    </row>
    <row r="15">
      <c r="A15" s="4">
        <f>IFERROR(__xludf.DUMMYFUNCTION("""COMPUTED_VALUE"""),43851.66666666667)</f>
        <v>43851.66667</v>
      </c>
      <c r="B15" s="5">
        <f>IFERROR(__xludf.DUMMYFUNCTION("""COMPUTED_VALUE"""),3810.0)</f>
        <v>3810</v>
      </c>
      <c r="C15" s="5">
        <f>IFERROR(__xludf.DUMMYFUNCTION("""COMPUTED_VALUE"""),3900.0)</f>
        <v>3900</v>
      </c>
      <c r="D15" s="5">
        <f>IFERROR(__xludf.DUMMYFUNCTION("""COMPUTED_VALUE"""),3810.0)</f>
        <v>3810</v>
      </c>
      <c r="E15" s="5">
        <f>IFERROR(__xludf.DUMMYFUNCTION("""COMPUTED_VALUE"""),3890.0)</f>
        <v>3890</v>
      </c>
      <c r="F15" s="5">
        <f>IFERROR(__xludf.DUMMYFUNCTION("""COMPUTED_VALUE"""),7.80144E7)</f>
        <v>78014400</v>
      </c>
      <c r="G15" s="5">
        <f t="shared" si="1"/>
        <v>90</v>
      </c>
    </row>
    <row r="16">
      <c r="A16" s="4">
        <f>IFERROR(__xludf.DUMMYFUNCTION("""COMPUTED_VALUE"""),43852.66666666667)</f>
        <v>43852.66667</v>
      </c>
      <c r="B16" s="5">
        <f>IFERROR(__xludf.DUMMYFUNCTION("""COMPUTED_VALUE"""),3890.0)</f>
        <v>3890</v>
      </c>
      <c r="C16" s="5">
        <f>IFERROR(__xludf.DUMMYFUNCTION("""COMPUTED_VALUE"""),3890.0)</f>
        <v>3890</v>
      </c>
      <c r="D16" s="5">
        <f>IFERROR(__xludf.DUMMYFUNCTION("""COMPUTED_VALUE"""),3850.0)</f>
        <v>3850</v>
      </c>
      <c r="E16" s="5">
        <f>IFERROR(__xludf.DUMMYFUNCTION("""COMPUTED_VALUE"""),3860.0)</f>
        <v>3860</v>
      </c>
      <c r="F16" s="5">
        <f>IFERROR(__xludf.DUMMYFUNCTION("""COMPUTED_VALUE"""),4.58398E7)</f>
        <v>45839800</v>
      </c>
      <c r="G16" s="5">
        <f t="shared" si="1"/>
        <v>40</v>
      </c>
    </row>
    <row r="17">
      <c r="A17" s="4">
        <f>IFERROR(__xludf.DUMMYFUNCTION("""COMPUTED_VALUE"""),43853.66666666667)</f>
        <v>43853.66667</v>
      </c>
      <c r="B17" s="5">
        <f>IFERROR(__xludf.DUMMYFUNCTION("""COMPUTED_VALUE"""),3860.0)</f>
        <v>3860</v>
      </c>
      <c r="C17" s="5">
        <f>IFERROR(__xludf.DUMMYFUNCTION("""COMPUTED_VALUE"""),3880.0)</f>
        <v>3880</v>
      </c>
      <c r="D17" s="5">
        <f>IFERROR(__xludf.DUMMYFUNCTION("""COMPUTED_VALUE"""),3830.0)</f>
        <v>3830</v>
      </c>
      <c r="E17" s="5">
        <f>IFERROR(__xludf.DUMMYFUNCTION("""COMPUTED_VALUE"""),3880.0)</f>
        <v>3880</v>
      </c>
      <c r="F17" s="5">
        <f>IFERROR(__xludf.DUMMYFUNCTION("""COMPUTED_VALUE"""),4.10774E7)</f>
        <v>41077400</v>
      </c>
      <c r="G17" s="5">
        <f t="shared" si="1"/>
        <v>50</v>
      </c>
    </row>
    <row r="18">
      <c r="A18" s="4">
        <f>IFERROR(__xludf.DUMMYFUNCTION("""COMPUTED_VALUE"""),43854.66666666667)</f>
        <v>43854.66667</v>
      </c>
      <c r="B18" s="5">
        <f>IFERROR(__xludf.DUMMYFUNCTION("""COMPUTED_VALUE"""),3880.0)</f>
        <v>3880</v>
      </c>
      <c r="C18" s="5">
        <f>IFERROR(__xludf.DUMMYFUNCTION("""COMPUTED_VALUE"""),3930.0)</f>
        <v>3930</v>
      </c>
      <c r="D18" s="5">
        <f>IFERROR(__xludf.DUMMYFUNCTION("""COMPUTED_VALUE"""),3860.0)</f>
        <v>3860</v>
      </c>
      <c r="E18" s="5">
        <f>IFERROR(__xludf.DUMMYFUNCTION("""COMPUTED_VALUE"""),3920.0)</f>
        <v>3920</v>
      </c>
      <c r="F18" s="5">
        <f>IFERROR(__xludf.DUMMYFUNCTION("""COMPUTED_VALUE"""),5.8524E7)</f>
        <v>58524000</v>
      </c>
      <c r="G18" s="5">
        <f t="shared" si="1"/>
        <v>70</v>
      </c>
    </row>
    <row r="19">
      <c r="A19" s="4">
        <f>IFERROR(__xludf.DUMMYFUNCTION("""COMPUTED_VALUE"""),43857.66666666667)</f>
        <v>43857.66667</v>
      </c>
      <c r="B19" s="5">
        <f>IFERROR(__xludf.DUMMYFUNCTION("""COMPUTED_VALUE"""),3920.0)</f>
        <v>3920</v>
      </c>
      <c r="C19" s="5">
        <f>IFERROR(__xludf.DUMMYFUNCTION("""COMPUTED_VALUE"""),3920.0)</f>
        <v>3920</v>
      </c>
      <c r="D19" s="5">
        <f>IFERROR(__xludf.DUMMYFUNCTION("""COMPUTED_VALUE"""),3830.0)</f>
        <v>3830</v>
      </c>
      <c r="E19" s="5">
        <f>IFERROR(__xludf.DUMMYFUNCTION("""COMPUTED_VALUE"""),3840.0)</f>
        <v>3840</v>
      </c>
      <c r="F19" s="5">
        <f>IFERROR(__xludf.DUMMYFUNCTION("""COMPUTED_VALUE"""),3.30818E7)</f>
        <v>33081800</v>
      </c>
      <c r="G19" s="5">
        <f t="shared" si="1"/>
        <v>90</v>
      </c>
    </row>
    <row r="20">
      <c r="A20" s="4">
        <f>IFERROR(__xludf.DUMMYFUNCTION("""COMPUTED_VALUE"""),43858.66666666667)</f>
        <v>43858.66667</v>
      </c>
      <c r="B20" s="5">
        <f>IFERROR(__xludf.DUMMYFUNCTION("""COMPUTED_VALUE"""),3810.0)</f>
        <v>3810</v>
      </c>
      <c r="C20" s="5">
        <f>IFERROR(__xludf.DUMMYFUNCTION("""COMPUTED_VALUE"""),3840.0)</f>
        <v>3840</v>
      </c>
      <c r="D20" s="5">
        <f>IFERROR(__xludf.DUMMYFUNCTION("""COMPUTED_VALUE"""),3800.0)</f>
        <v>3800</v>
      </c>
      <c r="E20" s="5">
        <f>IFERROR(__xludf.DUMMYFUNCTION("""COMPUTED_VALUE"""),3830.0)</f>
        <v>3830</v>
      </c>
      <c r="F20" s="5">
        <f>IFERROR(__xludf.DUMMYFUNCTION("""COMPUTED_VALUE"""),5.621E7)</f>
        <v>56210000</v>
      </c>
      <c r="G20" s="5">
        <f t="shared" si="1"/>
        <v>40</v>
      </c>
    </row>
    <row r="21">
      <c r="A21" s="4">
        <f>IFERROR(__xludf.DUMMYFUNCTION("""COMPUTED_VALUE"""),43859.66666666667)</f>
        <v>43859.66667</v>
      </c>
      <c r="B21" s="5">
        <f>IFERROR(__xludf.DUMMYFUNCTION("""COMPUTED_VALUE"""),3840.0)</f>
        <v>3840</v>
      </c>
      <c r="C21" s="5">
        <f>IFERROR(__xludf.DUMMYFUNCTION("""COMPUTED_VALUE"""),3900.0)</f>
        <v>3900</v>
      </c>
      <c r="D21" s="5">
        <f>IFERROR(__xludf.DUMMYFUNCTION("""COMPUTED_VALUE"""),3840.0)</f>
        <v>3840</v>
      </c>
      <c r="E21" s="5">
        <f>IFERROR(__xludf.DUMMYFUNCTION("""COMPUTED_VALUE"""),3900.0)</f>
        <v>3900</v>
      </c>
      <c r="F21" s="5">
        <f>IFERROR(__xludf.DUMMYFUNCTION("""COMPUTED_VALUE"""),5.19298E7)</f>
        <v>51929800</v>
      </c>
      <c r="G21" s="5">
        <f t="shared" si="1"/>
        <v>70</v>
      </c>
    </row>
    <row r="22">
      <c r="A22" s="4">
        <f>IFERROR(__xludf.DUMMYFUNCTION("""COMPUTED_VALUE"""),43860.66666666667)</f>
        <v>43860.66667</v>
      </c>
      <c r="B22" s="5">
        <f>IFERROR(__xludf.DUMMYFUNCTION("""COMPUTED_VALUE"""),3910.0)</f>
        <v>3910</v>
      </c>
      <c r="C22" s="5">
        <f>IFERROR(__xludf.DUMMYFUNCTION("""COMPUTED_VALUE"""),3910.0)</f>
        <v>3910</v>
      </c>
      <c r="D22" s="5">
        <f>IFERROR(__xludf.DUMMYFUNCTION("""COMPUTED_VALUE"""),3850.0)</f>
        <v>3850</v>
      </c>
      <c r="E22" s="5">
        <f>IFERROR(__xludf.DUMMYFUNCTION("""COMPUTED_VALUE"""),3860.0)</f>
        <v>3860</v>
      </c>
      <c r="F22" s="5">
        <f>IFERROR(__xludf.DUMMYFUNCTION("""COMPUTED_VALUE"""),6.03916E7)</f>
        <v>60391600</v>
      </c>
      <c r="G22" s="5">
        <f t="shared" si="1"/>
        <v>60</v>
      </c>
    </row>
    <row r="23">
      <c r="A23" s="4">
        <f>IFERROR(__xludf.DUMMYFUNCTION("""COMPUTED_VALUE"""),43861.66666666667)</f>
        <v>43861.66667</v>
      </c>
      <c r="B23" s="5">
        <f>IFERROR(__xludf.DUMMYFUNCTION("""COMPUTED_VALUE"""),3890.0)</f>
        <v>3890</v>
      </c>
      <c r="C23" s="5">
        <f>IFERROR(__xludf.DUMMYFUNCTION("""COMPUTED_VALUE"""),3890.0)</f>
        <v>3890</v>
      </c>
      <c r="D23" s="5">
        <f>IFERROR(__xludf.DUMMYFUNCTION("""COMPUTED_VALUE"""),3780.0)</f>
        <v>3780</v>
      </c>
      <c r="E23" s="5">
        <f>IFERROR(__xludf.DUMMYFUNCTION("""COMPUTED_VALUE"""),3800.0)</f>
        <v>3800</v>
      </c>
      <c r="F23" s="5">
        <f>IFERROR(__xludf.DUMMYFUNCTION("""COMPUTED_VALUE"""),1.204479E8)</f>
        <v>120447900</v>
      </c>
      <c r="G23" s="5">
        <f t="shared" si="1"/>
        <v>110</v>
      </c>
    </row>
    <row r="24">
      <c r="A24" s="4">
        <f>IFERROR(__xludf.DUMMYFUNCTION("""COMPUTED_VALUE"""),43864.66666666667)</f>
        <v>43864.66667</v>
      </c>
      <c r="B24" s="5">
        <f>IFERROR(__xludf.DUMMYFUNCTION("""COMPUTED_VALUE"""),3800.0)</f>
        <v>3800</v>
      </c>
      <c r="C24" s="5">
        <f>IFERROR(__xludf.DUMMYFUNCTION("""COMPUTED_VALUE"""),3820.0)</f>
        <v>3820</v>
      </c>
      <c r="D24" s="5">
        <f>IFERROR(__xludf.DUMMYFUNCTION("""COMPUTED_VALUE"""),3730.0)</f>
        <v>3730</v>
      </c>
      <c r="E24" s="5">
        <f>IFERROR(__xludf.DUMMYFUNCTION("""COMPUTED_VALUE"""),3740.0)</f>
        <v>3740</v>
      </c>
      <c r="F24" s="5">
        <f>IFERROR(__xludf.DUMMYFUNCTION("""COMPUTED_VALUE"""),6.83606E7)</f>
        <v>68360600</v>
      </c>
      <c r="G24" s="5">
        <f t="shared" si="1"/>
        <v>90</v>
      </c>
    </row>
    <row r="25">
      <c r="A25" s="4">
        <f>IFERROR(__xludf.DUMMYFUNCTION("""COMPUTED_VALUE"""),43865.66666666667)</f>
        <v>43865.66667</v>
      </c>
      <c r="B25" s="5">
        <f>IFERROR(__xludf.DUMMYFUNCTION("""COMPUTED_VALUE"""),3810.0)</f>
        <v>3810</v>
      </c>
      <c r="C25" s="5">
        <f>IFERROR(__xludf.DUMMYFUNCTION("""COMPUTED_VALUE"""),3810.0)</f>
        <v>3810</v>
      </c>
      <c r="D25" s="5">
        <f>IFERROR(__xludf.DUMMYFUNCTION("""COMPUTED_VALUE"""),3730.0)</f>
        <v>3730</v>
      </c>
      <c r="E25" s="5">
        <f>IFERROR(__xludf.DUMMYFUNCTION("""COMPUTED_VALUE"""),3760.0)</f>
        <v>3760</v>
      </c>
      <c r="F25" s="5">
        <f>IFERROR(__xludf.DUMMYFUNCTION("""COMPUTED_VALUE"""),7.72596E7)</f>
        <v>77259600</v>
      </c>
      <c r="G25" s="5">
        <f t="shared" si="1"/>
        <v>80</v>
      </c>
    </row>
    <row r="26">
      <c r="A26" s="4">
        <f>IFERROR(__xludf.DUMMYFUNCTION("""COMPUTED_VALUE"""),43866.66666666667)</f>
        <v>43866.66667</v>
      </c>
      <c r="B26" s="5">
        <f>IFERROR(__xludf.DUMMYFUNCTION("""COMPUTED_VALUE"""),3760.0)</f>
        <v>3760</v>
      </c>
      <c r="C26" s="5">
        <f>IFERROR(__xludf.DUMMYFUNCTION("""COMPUTED_VALUE"""),3780.0)</f>
        <v>3780</v>
      </c>
      <c r="D26" s="5">
        <f>IFERROR(__xludf.DUMMYFUNCTION("""COMPUTED_VALUE"""),3720.0)</f>
        <v>3720</v>
      </c>
      <c r="E26" s="5">
        <f>IFERROR(__xludf.DUMMYFUNCTION("""COMPUTED_VALUE"""),3770.0)</f>
        <v>3770</v>
      </c>
      <c r="F26" s="5">
        <f>IFERROR(__xludf.DUMMYFUNCTION("""COMPUTED_VALUE"""),6.81508E7)</f>
        <v>68150800</v>
      </c>
      <c r="G26" s="5">
        <f t="shared" si="1"/>
        <v>60</v>
      </c>
    </row>
    <row r="27">
      <c r="A27" s="4">
        <f>IFERROR(__xludf.DUMMYFUNCTION("""COMPUTED_VALUE"""),43867.66666666667)</f>
        <v>43867.66667</v>
      </c>
      <c r="B27" s="5">
        <f>IFERROR(__xludf.DUMMYFUNCTION("""COMPUTED_VALUE"""),3800.0)</f>
        <v>3800</v>
      </c>
      <c r="C27" s="5">
        <f>IFERROR(__xludf.DUMMYFUNCTION("""COMPUTED_VALUE"""),3800.0)</f>
        <v>3800</v>
      </c>
      <c r="D27" s="5">
        <f>IFERROR(__xludf.DUMMYFUNCTION("""COMPUTED_VALUE"""),3750.0)</f>
        <v>3750</v>
      </c>
      <c r="E27" s="5">
        <f>IFERROR(__xludf.DUMMYFUNCTION("""COMPUTED_VALUE"""),3760.0)</f>
        <v>3760</v>
      </c>
      <c r="F27" s="5">
        <f>IFERROR(__xludf.DUMMYFUNCTION("""COMPUTED_VALUE"""),5.62615E7)</f>
        <v>56261500</v>
      </c>
      <c r="G27" s="5">
        <f t="shared" si="1"/>
        <v>50</v>
      </c>
    </row>
    <row r="28">
      <c r="A28" s="4">
        <f>IFERROR(__xludf.DUMMYFUNCTION("""COMPUTED_VALUE"""),43868.66666666667)</f>
        <v>43868.66667</v>
      </c>
      <c r="B28" s="5">
        <f>IFERROR(__xludf.DUMMYFUNCTION("""COMPUTED_VALUE"""),3780.0)</f>
        <v>3780</v>
      </c>
      <c r="C28" s="5">
        <f>IFERROR(__xludf.DUMMYFUNCTION("""COMPUTED_VALUE"""),3820.0)</f>
        <v>3820</v>
      </c>
      <c r="D28" s="5">
        <f>IFERROR(__xludf.DUMMYFUNCTION("""COMPUTED_VALUE"""),3760.0)</f>
        <v>3760</v>
      </c>
      <c r="E28" s="5">
        <f>IFERROR(__xludf.DUMMYFUNCTION("""COMPUTED_VALUE"""),3790.0)</f>
        <v>3790</v>
      </c>
      <c r="F28" s="5">
        <f>IFERROR(__xludf.DUMMYFUNCTION("""COMPUTED_VALUE"""),5.35789E7)</f>
        <v>53578900</v>
      </c>
      <c r="G28" s="5">
        <f t="shared" si="1"/>
        <v>60</v>
      </c>
    </row>
    <row r="29">
      <c r="A29" s="4">
        <f>IFERROR(__xludf.DUMMYFUNCTION("""COMPUTED_VALUE"""),43871.66666666667)</f>
        <v>43871.66667</v>
      </c>
      <c r="B29" s="5">
        <f>IFERROR(__xludf.DUMMYFUNCTION("""COMPUTED_VALUE"""),3800.0)</f>
        <v>3800</v>
      </c>
      <c r="C29" s="5">
        <f>IFERROR(__xludf.DUMMYFUNCTION("""COMPUTED_VALUE"""),3850.0)</f>
        <v>3850</v>
      </c>
      <c r="D29" s="5">
        <f>IFERROR(__xludf.DUMMYFUNCTION("""COMPUTED_VALUE"""),3780.0)</f>
        <v>3780</v>
      </c>
      <c r="E29" s="5">
        <f>IFERROR(__xludf.DUMMYFUNCTION("""COMPUTED_VALUE"""),3810.0)</f>
        <v>3810</v>
      </c>
      <c r="F29" s="5">
        <f>IFERROR(__xludf.DUMMYFUNCTION("""COMPUTED_VALUE"""),8.65885E7)</f>
        <v>86588500</v>
      </c>
      <c r="G29" s="5">
        <f t="shared" si="1"/>
        <v>70</v>
      </c>
    </row>
    <row r="30">
      <c r="A30" s="4">
        <f>IFERROR(__xludf.DUMMYFUNCTION("""COMPUTED_VALUE"""),43872.66666666667)</f>
        <v>43872.66667</v>
      </c>
      <c r="B30" s="5">
        <f>IFERROR(__xludf.DUMMYFUNCTION("""COMPUTED_VALUE"""),3810.0)</f>
        <v>3810</v>
      </c>
      <c r="C30" s="5">
        <f>IFERROR(__xludf.DUMMYFUNCTION("""COMPUTED_VALUE"""),3830.0)</f>
        <v>3830</v>
      </c>
      <c r="D30" s="5">
        <f>IFERROR(__xludf.DUMMYFUNCTION("""COMPUTED_VALUE"""),3780.0)</f>
        <v>3780</v>
      </c>
      <c r="E30" s="5">
        <f>IFERROR(__xludf.DUMMYFUNCTION("""COMPUTED_VALUE"""),3790.0)</f>
        <v>3790</v>
      </c>
      <c r="F30" s="5">
        <f>IFERROR(__xludf.DUMMYFUNCTION("""COMPUTED_VALUE"""),5.02482E7)</f>
        <v>50248200</v>
      </c>
      <c r="G30" s="5">
        <f t="shared" si="1"/>
        <v>50</v>
      </c>
    </row>
    <row r="31">
      <c r="A31" s="4">
        <f>IFERROR(__xludf.DUMMYFUNCTION("""COMPUTED_VALUE"""),43873.66666666667)</f>
        <v>43873.66667</v>
      </c>
      <c r="B31" s="5">
        <f>IFERROR(__xludf.DUMMYFUNCTION("""COMPUTED_VALUE"""),3800.0)</f>
        <v>3800</v>
      </c>
      <c r="C31" s="5">
        <f>IFERROR(__xludf.DUMMYFUNCTION("""COMPUTED_VALUE"""),3850.0)</f>
        <v>3850</v>
      </c>
      <c r="D31" s="5">
        <f>IFERROR(__xludf.DUMMYFUNCTION("""COMPUTED_VALUE"""),3780.0)</f>
        <v>3780</v>
      </c>
      <c r="E31" s="5">
        <f>IFERROR(__xludf.DUMMYFUNCTION("""COMPUTED_VALUE"""),3820.0)</f>
        <v>3820</v>
      </c>
      <c r="F31" s="5">
        <f>IFERROR(__xludf.DUMMYFUNCTION("""COMPUTED_VALUE"""),7.38403E7)</f>
        <v>73840300</v>
      </c>
      <c r="G31" s="5">
        <f t="shared" si="1"/>
        <v>70</v>
      </c>
    </row>
    <row r="32">
      <c r="A32" s="4">
        <f>IFERROR(__xludf.DUMMYFUNCTION("""COMPUTED_VALUE"""),43874.66666666667)</f>
        <v>43874.66667</v>
      </c>
      <c r="B32" s="5">
        <f>IFERROR(__xludf.DUMMYFUNCTION("""COMPUTED_VALUE"""),3820.0)</f>
        <v>3820</v>
      </c>
      <c r="C32" s="5">
        <f>IFERROR(__xludf.DUMMYFUNCTION("""COMPUTED_VALUE"""),3830.0)</f>
        <v>3830</v>
      </c>
      <c r="D32" s="5">
        <f>IFERROR(__xludf.DUMMYFUNCTION("""COMPUTED_VALUE"""),3710.0)</f>
        <v>3710</v>
      </c>
      <c r="E32" s="5">
        <f>IFERROR(__xludf.DUMMYFUNCTION("""COMPUTED_VALUE"""),3730.0)</f>
        <v>3730</v>
      </c>
      <c r="F32" s="5">
        <f>IFERROR(__xludf.DUMMYFUNCTION("""COMPUTED_VALUE"""),6.66998E7)</f>
        <v>66699800</v>
      </c>
      <c r="G32" s="5">
        <f t="shared" si="1"/>
        <v>120</v>
      </c>
    </row>
    <row r="33">
      <c r="A33" s="4">
        <f>IFERROR(__xludf.DUMMYFUNCTION("""COMPUTED_VALUE"""),43875.66666666667)</f>
        <v>43875.66667</v>
      </c>
      <c r="B33" s="5">
        <f>IFERROR(__xludf.DUMMYFUNCTION("""COMPUTED_VALUE"""),3680.0)</f>
        <v>3680</v>
      </c>
      <c r="C33" s="5">
        <f>IFERROR(__xludf.DUMMYFUNCTION("""COMPUTED_VALUE"""),3730.0)</f>
        <v>3730</v>
      </c>
      <c r="D33" s="5">
        <f>IFERROR(__xludf.DUMMYFUNCTION("""COMPUTED_VALUE"""),3640.0)</f>
        <v>3640</v>
      </c>
      <c r="E33" s="5">
        <f>IFERROR(__xludf.DUMMYFUNCTION("""COMPUTED_VALUE"""),3640.0)</f>
        <v>3640</v>
      </c>
      <c r="F33" s="5">
        <f>IFERROR(__xludf.DUMMYFUNCTION("""COMPUTED_VALUE"""),1.087933E8)</f>
        <v>108793300</v>
      </c>
      <c r="G33" s="5">
        <f t="shared" si="1"/>
        <v>90</v>
      </c>
    </row>
    <row r="34">
      <c r="A34" s="4">
        <f>IFERROR(__xludf.DUMMYFUNCTION("""COMPUTED_VALUE"""),43878.66666666667)</f>
        <v>43878.66667</v>
      </c>
      <c r="B34" s="5">
        <f>IFERROR(__xludf.DUMMYFUNCTION("""COMPUTED_VALUE"""),3630.0)</f>
        <v>3630</v>
      </c>
      <c r="C34" s="5">
        <f>IFERROR(__xludf.DUMMYFUNCTION("""COMPUTED_VALUE"""),3660.0)</f>
        <v>3660</v>
      </c>
      <c r="D34" s="5">
        <f>IFERROR(__xludf.DUMMYFUNCTION("""COMPUTED_VALUE"""),3590.0)</f>
        <v>3590</v>
      </c>
      <c r="E34" s="5">
        <f>IFERROR(__xludf.DUMMYFUNCTION("""COMPUTED_VALUE"""),3610.0)</f>
        <v>3610</v>
      </c>
      <c r="F34" s="5">
        <f>IFERROR(__xludf.DUMMYFUNCTION("""COMPUTED_VALUE"""),9.48878E7)</f>
        <v>94887800</v>
      </c>
      <c r="G34" s="5">
        <f t="shared" si="1"/>
        <v>70</v>
      </c>
    </row>
    <row r="35">
      <c r="A35" s="4">
        <f>IFERROR(__xludf.DUMMYFUNCTION("""COMPUTED_VALUE"""),43879.66666666667)</f>
        <v>43879.66667</v>
      </c>
      <c r="B35" s="5">
        <f>IFERROR(__xludf.DUMMYFUNCTION("""COMPUTED_VALUE"""),3590.0)</f>
        <v>3590</v>
      </c>
      <c r="C35" s="5">
        <f>IFERROR(__xludf.DUMMYFUNCTION("""COMPUTED_VALUE"""),3660.0)</f>
        <v>3660</v>
      </c>
      <c r="D35" s="5">
        <f>IFERROR(__xludf.DUMMYFUNCTION("""COMPUTED_VALUE"""),3590.0)</f>
        <v>3590</v>
      </c>
      <c r="E35" s="5">
        <f>IFERROR(__xludf.DUMMYFUNCTION("""COMPUTED_VALUE"""),3620.0)</f>
        <v>3620</v>
      </c>
      <c r="F35" s="5">
        <f>IFERROR(__xludf.DUMMYFUNCTION("""COMPUTED_VALUE"""),9.43829E7)</f>
        <v>94382900</v>
      </c>
      <c r="G35" s="5">
        <f t="shared" si="1"/>
        <v>70</v>
      </c>
    </row>
    <row r="36">
      <c r="A36" s="4">
        <f>IFERROR(__xludf.DUMMYFUNCTION("""COMPUTED_VALUE"""),43880.66666666667)</f>
        <v>43880.66667</v>
      </c>
      <c r="B36" s="5">
        <f>IFERROR(__xludf.DUMMYFUNCTION("""COMPUTED_VALUE"""),3620.0)</f>
        <v>3620</v>
      </c>
      <c r="C36" s="5">
        <f>IFERROR(__xludf.DUMMYFUNCTION("""COMPUTED_VALUE"""),3640.0)</f>
        <v>3640</v>
      </c>
      <c r="D36" s="5">
        <f>IFERROR(__xludf.DUMMYFUNCTION("""COMPUTED_VALUE"""),3590.0)</f>
        <v>3590</v>
      </c>
      <c r="E36" s="5">
        <f>IFERROR(__xludf.DUMMYFUNCTION("""COMPUTED_VALUE"""),3620.0)</f>
        <v>3620</v>
      </c>
      <c r="F36" s="5">
        <f>IFERROR(__xludf.DUMMYFUNCTION("""COMPUTED_VALUE"""),6.37178E7)</f>
        <v>63717800</v>
      </c>
      <c r="G36" s="5">
        <f t="shared" si="1"/>
        <v>50</v>
      </c>
    </row>
    <row r="37">
      <c r="A37" s="4">
        <f>IFERROR(__xludf.DUMMYFUNCTION("""COMPUTED_VALUE"""),43881.66666666667)</f>
        <v>43881.66667</v>
      </c>
      <c r="B37" s="5">
        <f>IFERROR(__xludf.DUMMYFUNCTION("""COMPUTED_VALUE"""),3620.0)</f>
        <v>3620</v>
      </c>
      <c r="C37" s="5">
        <f>IFERROR(__xludf.DUMMYFUNCTION("""COMPUTED_VALUE"""),3650.0)</f>
        <v>3650</v>
      </c>
      <c r="D37" s="5">
        <f>IFERROR(__xludf.DUMMYFUNCTION("""COMPUTED_VALUE"""),3600.0)</f>
        <v>3600</v>
      </c>
      <c r="E37" s="5">
        <f>IFERROR(__xludf.DUMMYFUNCTION("""COMPUTED_VALUE"""),3630.0)</f>
        <v>3630</v>
      </c>
      <c r="F37" s="5">
        <f>IFERROR(__xludf.DUMMYFUNCTION("""COMPUTED_VALUE"""),5.30354E7)</f>
        <v>53035400</v>
      </c>
      <c r="G37" s="5">
        <f t="shared" si="1"/>
        <v>50</v>
      </c>
    </row>
    <row r="38">
      <c r="A38" s="4">
        <f>IFERROR(__xludf.DUMMYFUNCTION("""COMPUTED_VALUE"""),43882.66666666667)</f>
        <v>43882.66667</v>
      </c>
      <c r="B38" s="5">
        <f>IFERROR(__xludf.DUMMYFUNCTION("""COMPUTED_VALUE"""),3650.0)</f>
        <v>3650</v>
      </c>
      <c r="C38" s="5">
        <f>IFERROR(__xludf.DUMMYFUNCTION("""COMPUTED_VALUE"""),3710.0)</f>
        <v>3710</v>
      </c>
      <c r="D38" s="5">
        <f>IFERROR(__xludf.DUMMYFUNCTION("""COMPUTED_VALUE"""),3640.0)</f>
        <v>3640</v>
      </c>
      <c r="E38" s="5">
        <f>IFERROR(__xludf.DUMMYFUNCTION("""COMPUTED_VALUE"""),3690.0)</f>
        <v>3690</v>
      </c>
      <c r="F38" s="5">
        <f>IFERROR(__xludf.DUMMYFUNCTION("""COMPUTED_VALUE"""),8.68626E7)</f>
        <v>86862600</v>
      </c>
      <c r="G38" s="5">
        <f t="shared" si="1"/>
        <v>80</v>
      </c>
    </row>
    <row r="39">
      <c r="A39" s="4">
        <f>IFERROR(__xludf.DUMMYFUNCTION("""COMPUTED_VALUE"""),43885.66666666667)</f>
        <v>43885.66667</v>
      </c>
      <c r="B39" s="5">
        <f>IFERROR(__xludf.DUMMYFUNCTION("""COMPUTED_VALUE"""),3670.0)</f>
        <v>3670</v>
      </c>
      <c r="C39" s="5">
        <f>IFERROR(__xludf.DUMMYFUNCTION("""COMPUTED_VALUE"""),3720.0)</f>
        <v>3720</v>
      </c>
      <c r="D39" s="5">
        <f>IFERROR(__xludf.DUMMYFUNCTION("""COMPUTED_VALUE"""),3630.0)</f>
        <v>3630</v>
      </c>
      <c r="E39" s="5">
        <f>IFERROR(__xludf.DUMMYFUNCTION("""COMPUTED_VALUE"""),3640.0)</f>
        <v>3640</v>
      </c>
      <c r="F39" s="5">
        <f>IFERROR(__xludf.DUMMYFUNCTION("""COMPUTED_VALUE"""),7.26106E7)</f>
        <v>72610600</v>
      </c>
      <c r="G39" s="5">
        <f t="shared" si="1"/>
        <v>90</v>
      </c>
    </row>
    <row r="40">
      <c r="A40" s="4">
        <f>IFERROR(__xludf.DUMMYFUNCTION("""COMPUTED_VALUE"""),43886.66666666667)</f>
        <v>43886.66667</v>
      </c>
      <c r="B40" s="5">
        <f>IFERROR(__xludf.DUMMYFUNCTION("""COMPUTED_VALUE"""),3600.0)</f>
        <v>3600</v>
      </c>
      <c r="C40" s="5">
        <f>IFERROR(__xludf.DUMMYFUNCTION("""COMPUTED_VALUE"""),3670.0)</f>
        <v>3670</v>
      </c>
      <c r="D40" s="5">
        <f>IFERROR(__xludf.DUMMYFUNCTION("""COMPUTED_VALUE"""),3590.0)</f>
        <v>3590</v>
      </c>
      <c r="E40" s="5">
        <f>IFERROR(__xludf.DUMMYFUNCTION("""COMPUTED_VALUE"""),3590.0)</f>
        <v>3590</v>
      </c>
      <c r="F40" s="5">
        <f>IFERROR(__xludf.DUMMYFUNCTION("""COMPUTED_VALUE"""),7.39907E7)</f>
        <v>73990700</v>
      </c>
      <c r="G40" s="5">
        <f t="shared" si="1"/>
        <v>80</v>
      </c>
    </row>
    <row r="41">
      <c r="A41" s="4">
        <f>IFERROR(__xludf.DUMMYFUNCTION("""COMPUTED_VALUE"""),43887.66666666667)</f>
        <v>43887.66667</v>
      </c>
      <c r="B41" s="5">
        <f>IFERROR(__xludf.DUMMYFUNCTION("""COMPUTED_VALUE"""),3530.0)</f>
        <v>3530</v>
      </c>
      <c r="C41" s="5">
        <f>IFERROR(__xludf.DUMMYFUNCTION("""COMPUTED_VALUE"""),3550.0)</f>
        <v>3550</v>
      </c>
      <c r="D41" s="5">
        <f>IFERROR(__xludf.DUMMYFUNCTION("""COMPUTED_VALUE"""),3450.0)</f>
        <v>3450</v>
      </c>
      <c r="E41" s="5">
        <f>IFERROR(__xludf.DUMMYFUNCTION("""COMPUTED_VALUE"""),3510.0)</f>
        <v>3510</v>
      </c>
      <c r="F41" s="5">
        <f>IFERROR(__xludf.DUMMYFUNCTION("""COMPUTED_VALUE"""),1.334499E8)</f>
        <v>133449900</v>
      </c>
      <c r="G41" s="5">
        <f t="shared" si="1"/>
        <v>140</v>
      </c>
    </row>
    <row r="42">
      <c r="A42" s="4">
        <f>IFERROR(__xludf.DUMMYFUNCTION("""COMPUTED_VALUE"""),43888.66666666667)</f>
        <v>43888.66667</v>
      </c>
      <c r="B42" s="5">
        <f>IFERROR(__xludf.DUMMYFUNCTION("""COMPUTED_VALUE"""),3510.0)</f>
        <v>3510</v>
      </c>
      <c r="C42" s="5">
        <f>IFERROR(__xludf.DUMMYFUNCTION("""COMPUTED_VALUE"""),3550.0)</f>
        <v>3550</v>
      </c>
      <c r="D42" s="5">
        <f>IFERROR(__xludf.DUMMYFUNCTION("""COMPUTED_VALUE"""),3420.0)</f>
        <v>3420</v>
      </c>
      <c r="E42" s="5">
        <f>IFERROR(__xludf.DUMMYFUNCTION("""COMPUTED_VALUE"""),3470.0)</f>
        <v>3470</v>
      </c>
      <c r="F42" s="5">
        <f>IFERROR(__xludf.DUMMYFUNCTION("""COMPUTED_VALUE"""),8.83894E7)</f>
        <v>88389400</v>
      </c>
      <c r="G42" s="5">
        <f t="shared" si="1"/>
        <v>130</v>
      </c>
    </row>
    <row r="43">
      <c r="A43" s="4">
        <f>IFERROR(__xludf.DUMMYFUNCTION("""COMPUTED_VALUE"""),43889.66666666667)</f>
        <v>43889.66667</v>
      </c>
      <c r="B43" s="5">
        <f>IFERROR(__xludf.DUMMYFUNCTION("""COMPUTED_VALUE"""),3390.0)</f>
        <v>3390</v>
      </c>
      <c r="C43" s="5">
        <f>IFERROR(__xludf.DUMMYFUNCTION("""COMPUTED_VALUE"""),3490.0)</f>
        <v>3490</v>
      </c>
      <c r="D43" s="5">
        <f>IFERROR(__xludf.DUMMYFUNCTION("""COMPUTED_VALUE"""),3340.0)</f>
        <v>3340</v>
      </c>
      <c r="E43" s="5">
        <f>IFERROR(__xludf.DUMMYFUNCTION("""COMPUTED_VALUE"""),3490.0)</f>
        <v>3490</v>
      </c>
      <c r="F43" s="5">
        <f>IFERROR(__xludf.DUMMYFUNCTION("""COMPUTED_VALUE"""),1.517518E8)</f>
        <v>151751800</v>
      </c>
      <c r="G43" s="5">
        <f t="shared" si="1"/>
        <v>150</v>
      </c>
    </row>
    <row r="44">
      <c r="A44" s="4">
        <f>IFERROR(__xludf.DUMMYFUNCTION("""COMPUTED_VALUE"""),43892.66666666667)</f>
        <v>43892.66667</v>
      </c>
      <c r="B44" s="5">
        <f>IFERROR(__xludf.DUMMYFUNCTION("""COMPUTED_VALUE"""),3470.0)</f>
        <v>3470</v>
      </c>
      <c r="C44" s="5">
        <f>IFERROR(__xludf.DUMMYFUNCTION("""COMPUTED_VALUE"""),3550.0)</f>
        <v>3550</v>
      </c>
      <c r="D44" s="5">
        <f>IFERROR(__xludf.DUMMYFUNCTION("""COMPUTED_VALUE"""),3440.0)</f>
        <v>3440</v>
      </c>
      <c r="E44" s="5">
        <f>IFERROR(__xludf.DUMMYFUNCTION("""COMPUTED_VALUE"""),3440.0)</f>
        <v>3440</v>
      </c>
      <c r="F44" s="5">
        <f>IFERROR(__xludf.DUMMYFUNCTION("""COMPUTED_VALUE"""),9.68029E7)</f>
        <v>96802900</v>
      </c>
      <c r="G44" s="5">
        <f t="shared" si="1"/>
        <v>110</v>
      </c>
    </row>
    <row r="45">
      <c r="A45" s="4">
        <f>IFERROR(__xludf.DUMMYFUNCTION("""COMPUTED_VALUE"""),43893.66666666667)</f>
        <v>43893.66667</v>
      </c>
      <c r="B45" s="5">
        <f>IFERROR(__xludf.DUMMYFUNCTION("""COMPUTED_VALUE"""),3510.0)</f>
        <v>3510</v>
      </c>
      <c r="C45" s="5">
        <f>IFERROR(__xludf.DUMMYFUNCTION("""COMPUTED_VALUE"""),3660.0)</f>
        <v>3660</v>
      </c>
      <c r="D45" s="5">
        <f>IFERROR(__xludf.DUMMYFUNCTION("""COMPUTED_VALUE"""),3470.0)</f>
        <v>3470</v>
      </c>
      <c r="E45" s="5">
        <f>IFERROR(__xludf.DUMMYFUNCTION("""COMPUTED_VALUE"""),3620.0)</f>
        <v>3620</v>
      </c>
      <c r="F45" s="5">
        <f>IFERROR(__xludf.DUMMYFUNCTION("""COMPUTED_VALUE"""),1.146982E8)</f>
        <v>114698200</v>
      </c>
      <c r="G45" s="5">
        <f t="shared" si="1"/>
        <v>220</v>
      </c>
    </row>
    <row r="46">
      <c r="A46" s="4">
        <f>IFERROR(__xludf.DUMMYFUNCTION("""COMPUTED_VALUE"""),43894.66666666667)</f>
        <v>43894.66667</v>
      </c>
      <c r="B46" s="5">
        <f>IFERROR(__xludf.DUMMYFUNCTION("""COMPUTED_VALUE"""),3640.0)</f>
        <v>3640</v>
      </c>
      <c r="C46" s="5">
        <f>IFERROR(__xludf.DUMMYFUNCTION("""COMPUTED_VALUE"""),3840.0)</f>
        <v>3840</v>
      </c>
      <c r="D46" s="5">
        <f>IFERROR(__xludf.DUMMYFUNCTION("""COMPUTED_VALUE"""),3630.0)</f>
        <v>3630</v>
      </c>
      <c r="E46" s="5">
        <f>IFERROR(__xludf.DUMMYFUNCTION("""COMPUTED_VALUE"""),3830.0)</f>
        <v>3830</v>
      </c>
      <c r="F46" s="5">
        <f>IFERROR(__xludf.DUMMYFUNCTION("""COMPUTED_VALUE"""),1.36081E8)</f>
        <v>136081000</v>
      </c>
      <c r="G46" s="5">
        <f t="shared" si="1"/>
        <v>220</v>
      </c>
    </row>
    <row r="47">
      <c r="A47" s="4">
        <f>IFERROR(__xludf.DUMMYFUNCTION("""COMPUTED_VALUE"""),43895.66666666667)</f>
        <v>43895.66667</v>
      </c>
      <c r="B47" s="5">
        <f>IFERROR(__xludf.DUMMYFUNCTION("""COMPUTED_VALUE"""),3820.0)</f>
        <v>3820</v>
      </c>
      <c r="C47" s="5">
        <f>IFERROR(__xludf.DUMMYFUNCTION("""COMPUTED_VALUE"""),3880.0)</f>
        <v>3880</v>
      </c>
      <c r="D47" s="5">
        <f>IFERROR(__xludf.DUMMYFUNCTION("""COMPUTED_VALUE"""),3760.0)</f>
        <v>3760</v>
      </c>
      <c r="E47" s="5">
        <f>IFERROR(__xludf.DUMMYFUNCTION("""COMPUTED_VALUE"""),3830.0)</f>
        <v>3830</v>
      </c>
      <c r="F47" s="5">
        <f>IFERROR(__xludf.DUMMYFUNCTION("""COMPUTED_VALUE"""),1.01235E8)</f>
        <v>101235000</v>
      </c>
      <c r="G47" s="5">
        <f t="shared" si="1"/>
        <v>120</v>
      </c>
    </row>
    <row r="48">
      <c r="A48" s="4">
        <f>IFERROR(__xludf.DUMMYFUNCTION("""COMPUTED_VALUE"""),43896.66666666667)</f>
        <v>43896.66667</v>
      </c>
      <c r="B48" s="5">
        <f>IFERROR(__xludf.DUMMYFUNCTION("""COMPUTED_VALUE"""),3730.0)</f>
        <v>3730</v>
      </c>
      <c r="C48" s="5">
        <f>IFERROR(__xludf.DUMMYFUNCTION("""COMPUTED_VALUE"""),3790.0)</f>
        <v>3790</v>
      </c>
      <c r="D48" s="5">
        <f>IFERROR(__xludf.DUMMYFUNCTION("""COMPUTED_VALUE"""),3710.0)</f>
        <v>3710</v>
      </c>
      <c r="E48" s="5">
        <f>IFERROR(__xludf.DUMMYFUNCTION("""COMPUTED_VALUE"""),3750.0)</f>
        <v>3750</v>
      </c>
      <c r="F48" s="5">
        <f>IFERROR(__xludf.DUMMYFUNCTION("""COMPUTED_VALUE"""),8.6476E7)</f>
        <v>86476000</v>
      </c>
      <c r="G48" s="5">
        <f t="shared" si="1"/>
        <v>120</v>
      </c>
    </row>
    <row r="49">
      <c r="A49" s="4">
        <f>IFERROR(__xludf.DUMMYFUNCTION("""COMPUTED_VALUE"""),43899.66666666667)</f>
        <v>43899.66667</v>
      </c>
      <c r="B49" s="5">
        <f>IFERROR(__xludf.DUMMYFUNCTION("""COMPUTED_VALUE"""),3560.0)</f>
        <v>3560</v>
      </c>
      <c r="C49" s="5">
        <f>IFERROR(__xludf.DUMMYFUNCTION("""COMPUTED_VALUE"""),3620.0)</f>
        <v>3620</v>
      </c>
      <c r="D49" s="5">
        <f>IFERROR(__xludf.DUMMYFUNCTION("""COMPUTED_VALUE"""),3500.0)</f>
        <v>3500</v>
      </c>
      <c r="E49" s="5">
        <f>IFERROR(__xludf.DUMMYFUNCTION("""COMPUTED_VALUE"""),3500.0)</f>
        <v>3500</v>
      </c>
      <c r="F49" s="5">
        <f>IFERROR(__xludf.DUMMYFUNCTION("""COMPUTED_VALUE"""),1.093473E8)</f>
        <v>109347300</v>
      </c>
      <c r="G49" s="5">
        <f t="shared" si="1"/>
        <v>250</v>
      </c>
    </row>
    <row r="50">
      <c r="A50" s="4">
        <f>IFERROR(__xludf.DUMMYFUNCTION("""COMPUTED_VALUE"""),43900.66666666667)</f>
        <v>43900.66667</v>
      </c>
      <c r="B50" s="5">
        <f>IFERROR(__xludf.DUMMYFUNCTION("""COMPUTED_VALUE"""),3480.0)</f>
        <v>3480</v>
      </c>
      <c r="C50" s="5">
        <f>IFERROR(__xludf.DUMMYFUNCTION("""COMPUTED_VALUE"""),3620.0)</f>
        <v>3620</v>
      </c>
      <c r="D50" s="5">
        <f>IFERROR(__xludf.DUMMYFUNCTION("""COMPUTED_VALUE"""),3480.0)</f>
        <v>3480</v>
      </c>
      <c r="E50" s="5">
        <f>IFERROR(__xludf.DUMMYFUNCTION("""COMPUTED_VALUE"""),3490.0)</f>
        <v>3490</v>
      </c>
      <c r="F50" s="5">
        <f>IFERROR(__xludf.DUMMYFUNCTION("""COMPUTED_VALUE"""),1.19718E8)</f>
        <v>119718000</v>
      </c>
      <c r="G50" s="5">
        <f t="shared" si="1"/>
        <v>140</v>
      </c>
    </row>
    <row r="51">
      <c r="A51" s="4">
        <f>IFERROR(__xludf.DUMMYFUNCTION("""COMPUTED_VALUE"""),43901.66666666667)</f>
        <v>43901.66667</v>
      </c>
      <c r="B51" s="5">
        <f>IFERROR(__xludf.DUMMYFUNCTION("""COMPUTED_VALUE"""),3470.0)</f>
        <v>3470</v>
      </c>
      <c r="C51" s="5">
        <f>IFERROR(__xludf.DUMMYFUNCTION("""COMPUTED_VALUE"""),3480.0)</f>
        <v>3480</v>
      </c>
      <c r="D51" s="5">
        <f>IFERROR(__xludf.DUMMYFUNCTION("""COMPUTED_VALUE"""),3370.0)</f>
        <v>3370</v>
      </c>
      <c r="E51" s="5">
        <f>IFERROR(__xludf.DUMMYFUNCTION("""COMPUTED_VALUE"""),3400.0)</f>
        <v>3400</v>
      </c>
      <c r="F51" s="5">
        <f>IFERROR(__xludf.DUMMYFUNCTION("""COMPUTED_VALUE"""),1.154869E8)</f>
        <v>115486900</v>
      </c>
      <c r="G51" s="5">
        <f t="shared" si="1"/>
        <v>120</v>
      </c>
    </row>
    <row r="52">
      <c r="A52" s="4">
        <f>IFERROR(__xludf.DUMMYFUNCTION("""COMPUTED_VALUE"""),43902.66666666667)</f>
        <v>43902.66667</v>
      </c>
      <c r="B52" s="5">
        <f>IFERROR(__xludf.DUMMYFUNCTION("""COMPUTED_VALUE"""),3300.0)</f>
        <v>3300</v>
      </c>
      <c r="C52" s="5">
        <f>IFERROR(__xludf.DUMMYFUNCTION("""COMPUTED_VALUE"""),3440.0)</f>
        <v>3440</v>
      </c>
      <c r="D52" s="5">
        <f>IFERROR(__xludf.DUMMYFUNCTION("""COMPUTED_VALUE"""),3270.0)</f>
        <v>3270</v>
      </c>
      <c r="E52" s="5">
        <f>IFERROR(__xludf.DUMMYFUNCTION("""COMPUTED_VALUE"""),3310.0)</f>
        <v>3310</v>
      </c>
      <c r="F52" s="5">
        <f>IFERROR(__xludf.DUMMYFUNCTION("""COMPUTED_VALUE"""),8.43638E7)</f>
        <v>84363800</v>
      </c>
      <c r="G52" s="5">
        <f t="shared" si="1"/>
        <v>170</v>
      </c>
    </row>
    <row r="53">
      <c r="A53" s="4">
        <f>IFERROR(__xludf.DUMMYFUNCTION("""COMPUTED_VALUE"""),43903.66666666667)</f>
        <v>43903.66667</v>
      </c>
      <c r="B53" s="5">
        <f>IFERROR(__xludf.DUMMYFUNCTION("""COMPUTED_VALUE"""),3250.0)</f>
        <v>3250</v>
      </c>
      <c r="C53" s="5">
        <f>IFERROR(__xludf.DUMMYFUNCTION("""COMPUTED_VALUE"""),3490.0)</f>
        <v>3490</v>
      </c>
      <c r="D53" s="5">
        <f>IFERROR(__xludf.DUMMYFUNCTION("""COMPUTED_VALUE"""),3080.0)</f>
        <v>3080</v>
      </c>
      <c r="E53" s="5">
        <f>IFERROR(__xludf.DUMMYFUNCTION("""COMPUTED_VALUE"""),3390.0)</f>
        <v>3390</v>
      </c>
      <c r="F53" s="5">
        <f>IFERROR(__xludf.DUMMYFUNCTION("""COMPUTED_VALUE"""),1.722484E8)</f>
        <v>172248400</v>
      </c>
      <c r="G53" s="5">
        <f t="shared" si="1"/>
        <v>410</v>
      </c>
    </row>
    <row r="54">
      <c r="A54" s="4">
        <f>IFERROR(__xludf.DUMMYFUNCTION("""COMPUTED_VALUE"""),43906.66666666667)</f>
        <v>43906.66667</v>
      </c>
      <c r="B54" s="5">
        <f>IFERROR(__xludf.DUMMYFUNCTION("""COMPUTED_VALUE"""),3300.0)</f>
        <v>3300</v>
      </c>
      <c r="C54" s="5">
        <f>IFERROR(__xludf.DUMMYFUNCTION("""COMPUTED_VALUE"""),3300.0)</f>
        <v>3300</v>
      </c>
      <c r="D54" s="5">
        <f>IFERROR(__xludf.DUMMYFUNCTION("""COMPUTED_VALUE"""),3160.0)</f>
        <v>3160</v>
      </c>
      <c r="E54" s="5">
        <f>IFERROR(__xludf.DUMMYFUNCTION("""COMPUTED_VALUE"""),3160.0)</f>
        <v>3160</v>
      </c>
      <c r="F54" s="5">
        <f>IFERROR(__xludf.DUMMYFUNCTION("""COMPUTED_VALUE"""),1.159723E8)</f>
        <v>115972300</v>
      </c>
      <c r="G54" s="5">
        <f t="shared" si="1"/>
        <v>230</v>
      </c>
    </row>
    <row r="55">
      <c r="A55" s="4">
        <f>IFERROR(__xludf.DUMMYFUNCTION("""COMPUTED_VALUE"""),43907.66666666667)</f>
        <v>43907.66667</v>
      </c>
      <c r="B55" s="5">
        <f>IFERROR(__xludf.DUMMYFUNCTION("""COMPUTED_VALUE"""),3160.0)</f>
        <v>3160</v>
      </c>
      <c r="C55" s="5">
        <f>IFERROR(__xludf.DUMMYFUNCTION("""COMPUTED_VALUE"""),3160.0)</f>
        <v>3160</v>
      </c>
      <c r="D55" s="5">
        <f>IFERROR(__xludf.DUMMYFUNCTION("""COMPUTED_VALUE"""),2940.0)</f>
        <v>2940</v>
      </c>
      <c r="E55" s="5">
        <f>IFERROR(__xludf.DUMMYFUNCTION("""COMPUTED_VALUE"""),2940.0)</f>
        <v>2940</v>
      </c>
      <c r="F55" s="5">
        <f>IFERROR(__xludf.DUMMYFUNCTION("""COMPUTED_VALUE"""),1.501227E8)</f>
        <v>150122700</v>
      </c>
      <c r="G55" s="5">
        <f t="shared" si="1"/>
        <v>220</v>
      </c>
    </row>
    <row r="56">
      <c r="A56" s="4">
        <f>IFERROR(__xludf.DUMMYFUNCTION("""COMPUTED_VALUE"""),43908.66666666667)</f>
        <v>43908.66667</v>
      </c>
      <c r="B56" s="5">
        <f>IFERROR(__xludf.DUMMYFUNCTION("""COMPUTED_VALUE"""),3010.0)</f>
        <v>3010</v>
      </c>
      <c r="C56" s="5">
        <f>IFERROR(__xludf.DUMMYFUNCTION("""COMPUTED_VALUE"""),3080.0)</f>
        <v>3080</v>
      </c>
      <c r="D56" s="5">
        <f>IFERROR(__xludf.DUMMYFUNCTION("""COMPUTED_VALUE"""),2740.0)</f>
        <v>2740</v>
      </c>
      <c r="E56" s="5">
        <f>IFERROR(__xludf.DUMMYFUNCTION("""COMPUTED_VALUE"""),2810.0)</f>
        <v>2810</v>
      </c>
      <c r="F56" s="5">
        <f>IFERROR(__xludf.DUMMYFUNCTION("""COMPUTED_VALUE"""),1.501473E8)</f>
        <v>150147300</v>
      </c>
      <c r="G56" s="5">
        <f t="shared" si="1"/>
        <v>340</v>
      </c>
    </row>
    <row r="57">
      <c r="A57" s="4">
        <f>IFERROR(__xludf.DUMMYFUNCTION("""COMPUTED_VALUE"""),43909.66666666667)</f>
        <v>43909.66667</v>
      </c>
      <c r="B57" s="5">
        <f>IFERROR(__xludf.DUMMYFUNCTION("""COMPUTED_VALUE"""),2810.0)</f>
        <v>2810</v>
      </c>
      <c r="C57" s="5">
        <f>IFERROR(__xludf.DUMMYFUNCTION("""COMPUTED_VALUE"""),2810.0)</f>
        <v>2810</v>
      </c>
      <c r="D57" s="5">
        <f>IFERROR(__xludf.DUMMYFUNCTION("""COMPUTED_VALUE"""),2620.0)</f>
        <v>2620</v>
      </c>
      <c r="E57" s="5">
        <f>IFERROR(__xludf.DUMMYFUNCTION("""COMPUTED_VALUE"""),2620.0)</f>
        <v>2620</v>
      </c>
      <c r="F57" s="5">
        <f>IFERROR(__xludf.DUMMYFUNCTION("""COMPUTED_VALUE"""),1.389873E8)</f>
        <v>138987300</v>
      </c>
      <c r="G57" s="5">
        <f t="shared" si="1"/>
        <v>190</v>
      </c>
    </row>
    <row r="58">
      <c r="A58" s="4">
        <f>IFERROR(__xludf.DUMMYFUNCTION("""COMPUTED_VALUE"""),43910.66666666667)</f>
        <v>43910.66667</v>
      </c>
      <c r="B58" s="5">
        <f>IFERROR(__xludf.DUMMYFUNCTION("""COMPUTED_VALUE"""),2660.0)</f>
        <v>2660</v>
      </c>
      <c r="C58" s="5">
        <f>IFERROR(__xludf.DUMMYFUNCTION("""COMPUTED_VALUE"""),2990.0)</f>
        <v>2990</v>
      </c>
      <c r="D58" s="5">
        <f>IFERROR(__xludf.DUMMYFUNCTION("""COMPUTED_VALUE"""),2450.0)</f>
        <v>2450</v>
      </c>
      <c r="E58" s="5">
        <f>IFERROR(__xludf.DUMMYFUNCTION("""COMPUTED_VALUE"""),2880.0)</f>
        <v>2880</v>
      </c>
      <c r="F58" s="5">
        <f>IFERROR(__xludf.DUMMYFUNCTION("""COMPUTED_VALUE"""),2.676947E8)</f>
        <v>267694700</v>
      </c>
      <c r="G58" s="5">
        <f t="shared" si="1"/>
        <v>540</v>
      </c>
    </row>
    <row r="59">
      <c r="A59" s="4">
        <f>IFERROR(__xludf.DUMMYFUNCTION("""COMPUTED_VALUE"""),43913.66666666667)</f>
        <v>43913.66667</v>
      </c>
      <c r="B59" s="5">
        <f>IFERROR(__xludf.DUMMYFUNCTION("""COMPUTED_VALUE"""),2880.0)</f>
        <v>2880</v>
      </c>
      <c r="C59" s="5">
        <f>IFERROR(__xludf.DUMMYFUNCTION("""COMPUTED_VALUE"""),2880.0)</f>
        <v>2880</v>
      </c>
      <c r="D59" s="5">
        <f>IFERROR(__xludf.DUMMYFUNCTION("""COMPUTED_VALUE"""),2680.0)</f>
        <v>2680</v>
      </c>
      <c r="E59" s="5">
        <f>IFERROR(__xludf.DUMMYFUNCTION("""COMPUTED_VALUE"""),2680.0)</f>
        <v>2680</v>
      </c>
      <c r="F59" s="5">
        <f>IFERROR(__xludf.DUMMYFUNCTION("""COMPUTED_VALUE"""),8.61572E7)</f>
        <v>86157200</v>
      </c>
      <c r="G59" s="5">
        <f t="shared" si="1"/>
        <v>200</v>
      </c>
    </row>
    <row r="60">
      <c r="A60" s="4">
        <f>IFERROR(__xludf.DUMMYFUNCTION("""COMPUTED_VALUE"""),43914.66666666667)</f>
        <v>43914.66667</v>
      </c>
      <c r="B60" s="5">
        <f>IFERROR(__xludf.DUMMYFUNCTION("""COMPUTED_VALUE"""),2700.0)</f>
        <v>2700</v>
      </c>
      <c r="C60" s="5">
        <f>IFERROR(__xludf.DUMMYFUNCTION("""COMPUTED_VALUE"""),2880.0)</f>
        <v>2880</v>
      </c>
      <c r="D60" s="5">
        <f>IFERROR(__xludf.DUMMYFUNCTION("""COMPUTED_VALUE"""),2570.0)</f>
        <v>2570</v>
      </c>
      <c r="E60" s="5">
        <f>IFERROR(__xludf.DUMMYFUNCTION("""COMPUTED_VALUE"""),2620.0)</f>
        <v>2620</v>
      </c>
      <c r="F60" s="5">
        <f>IFERROR(__xludf.DUMMYFUNCTION("""COMPUTED_VALUE"""),2.437789E8)</f>
        <v>243778900</v>
      </c>
      <c r="G60" s="5">
        <f t="shared" si="1"/>
        <v>310</v>
      </c>
    </row>
    <row r="61">
      <c r="A61" s="4">
        <f>IFERROR(__xludf.DUMMYFUNCTION("""COMPUTED_VALUE"""),43916.66666666667)</f>
        <v>43916.66667</v>
      </c>
      <c r="B61" s="5">
        <f>IFERROR(__xludf.DUMMYFUNCTION("""COMPUTED_VALUE"""),2550.0)</f>
        <v>2550</v>
      </c>
      <c r="C61" s="5">
        <f>IFERROR(__xludf.DUMMYFUNCTION("""COMPUTED_VALUE"""),3080.0)</f>
        <v>3080</v>
      </c>
      <c r="D61" s="5">
        <f>IFERROR(__xludf.DUMMYFUNCTION("""COMPUTED_VALUE"""),2550.0)</f>
        <v>2550</v>
      </c>
      <c r="E61" s="5">
        <f>IFERROR(__xludf.DUMMYFUNCTION("""COMPUTED_VALUE"""),2980.0)</f>
        <v>2980</v>
      </c>
      <c r="F61" s="5">
        <f>IFERROR(__xludf.DUMMYFUNCTION("""COMPUTED_VALUE"""),2.673695E8)</f>
        <v>267369500</v>
      </c>
      <c r="G61" s="5">
        <f t="shared" si="1"/>
        <v>530</v>
      </c>
    </row>
    <row r="62">
      <c r="A62" s="4">
        <f>IFERROR(__xludf.DUMMYFUNCTION("""COMPUTED_VALUE"""),43917.66666666667)</f>
        <v>43917.66667</v>
      </c>
      <c r="B62" s="5">
        <f>IFERROR(__xludf.DUMMYFUNCTION("""COMPUTED_VALUE"""),3050.0)</f>
        <v>3050</v>
      </c>
      <c r="C62" s="5">
        <f>IFERROR(__xludf.DUMMYFUNCTION("""COMPUTED_VALUE"""),3270.0)</f>
        <v>3270</v>
      </c>
      <c r="D62" s="5">
        <f>IFERROR(__xludf.DUMMYFUNCTION("""COMPUTED_VALUE"""),3050.0)</f>
        <v>3050</v>
      </c>
      <c r="E62" s="5">
        <f>IFERROR(__xludf.DUMMYFUNCTION("""COMPUTED_VALUE"""),3090.0)</f>
        <v>3090</v>
      </c>
      <c r="F62" s="5">
        <f>IFERROR(__xludf.DUMMYFUNCTION("""COMPUTED_VALUE"""),2.009525E8)</f>
        <v>200952500</v>
      </c>
      <c r="G62" s="5">
        <f t="shared" si="1"/>
        <v>290</v>
      </c>
    </row>
    <row r="63">
      <c r="A63" s="4">
        <f>IFERROR(__xludf.DUMMYFUNCTION("""COMPUTED_VALUE"""),43920.66666666667)</f>
        <v>43920.66667</v>
      </c>
      <c r="B63" s="5">
        <f>IFERROR(__xludf.DUMMYFUNCTION("""COMPUTED_VALUE"""),3060.0)</f>
        <v>3060</v>
      </c>
      <c r="C63" s="5">
        <f>IFERROR(__xludf.DUMMYFUNCTION("""COMPUTED_VALUE"""),3180.0)</f>
        <v>3180</v>
      </c>
      <c r="D63" s="5">
        <f>IFERROR(__xludf.DUMMYFUNCTION("""COMPUTED_VALUE"""),2880.0)</f>
        <v>2880</v>
      </c>
      <c r="E63" s="5">
        <f>IFERROR(__xludf.DUMMYFUNCTION("""COMPUTED_VALUE"""),3140.0)</f>
        <v>3140</v>
      </c>
      <c r="F63" s="5">
        <f>IFERROR(__xludf.DUMMYFUNCTION("""COMPUTED_VALUE"""),1.344743E8)</f>
        <v>134474300</v>
      </c>
      <c r="G63" s="5">
        <f t="shared" si="1"/>
        <v>300</v>
      </c>
    </row>
    <row r="64">
      <c r="A64" s="4">
        <f>IFERROR(__xludf.DUMMYFUNCTION("""COMPUTED_VALUE"""),43921.66666666667)</f>
        <v>43921.66667</v>
      </c>
      <c r="B64" s="5">
        <f>IFERROR(__xludf.DUMMYFUNCTION("""COMPUTED_VALUE"""),3180.0)</f>
        <v>3180</v>
      </c>
      <c r="C64" s="5">
        <f>IFERROR(__xludf.DUMMYFUNCTION("""COMPUTED_VALUE"""),3300.0)</f>
        <v>3300</v>
      </c>
      <c r="D64" s="5">
        <f>IFERROR(__xludf.DUMMYFUNCTION("""COMPUTED_VALUE"""),3120.0)</f>
        <v>3120</v>
      </c>
      <c r="E64" s="5">
        <f>IFERROR(__xludf.DUMMYFUNCTION("""COMPUTED_VALUE"""),3160.0)</f>
        <v>3160</v>
      </c>
      <c r="F64" s="5">
        <f>IFERROR(__xludf.DUMMYFUNCTION("""COMPUTED_VALUE"""),1.513029E8)</f>
        <v>151302900</v>
      </c>
      <c r="G64" s="5">
        <f t="shared" si="1"/>
        <v>180</v>
      </c>
    </row>
    <row r="65">
      <c r="A65" s="4">
        <f>IFERROR(__xludf.DUMMYFUNCTION("""COMPUTED_VALUE"""),43922.66666666667)</f>
        <v>43922.66667</v>
      </c>
      <c r="B65" s="5">
        <f>IFERROR(__xludf.DUMMYFUNCTION("""COMPUTED_VALUE"""),3180.0)</f>
        <v>3180</v>
      </c>
      <c r="C65" s="5">
        <f>IFERROR(__xludf.DUMMYFUNCTION("""COMPUTED_VALUE"""),3200.0)</f>
        <v>3200</v>
      </c>
      <c r="D65" s="5">
        <f>IFERROR(__xludf.DUMMYFUNCTION("""COMPUTED_VALUE"""),3040.0)</f>
        <v>3040</v>
      </c>
      <c r="E65" s="5">
        <f>IFERROR(__xludf.DUMMYFUNCTION("""COMPUTED_VALUE"""),3100.0)</f>
        <v>3100</v>
      </c>
      <c r="F65" s="5">
        <f>IFERROR(__xludf.DUMMYFUNCTION("""COMPUTED_VALUE"""),1.045506E8)</f>
        <v>104550600</v>
      </c>
      <c r="G65" s="5">
        <f t="shared" si="1"/>
        <v>160</v>
      </c>
    </row>
    <row r="66">
      <c r="A66" s="4">
        <f>IFERROR(__xludf.DUMMYFUNCTION("""COMPUTED_VALUE"""),43923.66666666667)</f>
        <v>43923.66667</v>
      </c>
      <c r="B66" s="5">
        <f>IFERROR(__xludf.DUMMYFUNCTION("""COMPUTED_VALUE"""),3100.0)</f>
        <v>3100</v>
      </c>
      <c r="C66" s="5">
        <f>IFERROR(__xludf.DUMMYFUNCTION("""COMPUTED_VALUE"""),3130.0)</f>
        <v>3130</v>
      </c>
      <c r="D66" s="5">
        <f>IFERROR(__xludf.DUMMYFUNCTION("""COMPUTED_VALUE"""),3020.0)</f>
        <v>3020</v>
      </c>
      <c r="E66" s="5">
        <f>IFERROR(__xludf.DUMMYFUNCTION("""COMPUTED_VALUE"""),3130.0)</f>
        <v>3130</v>
      </c>
      <c r="F66" s="5">
        <f>IFERROR(__xludf.DUMMYFUNCTION("""COMPUTED_VALUE"""),9.28936E7)</f>
        <v>92893600</v>
      </c>
      <c r="G66" s="5">
        <f t="shared" si="1"/>
        <v>110</v>
      </c>
    </row>
    <row r="67">
      <c r="A67" s="4">
        <f>IFERROR(__xludf.DUMMYFUNCTION("""COMPUTED_VALUE"""),43924.66666666667)</f>
        <v>43924.66667</v>
      </c>
      <c r="B67" s="5">
        <f>IFERROR(__xludf.DUMMYFUNCTION("""COMPUTED_VALUE"""),3150.0)</f>
        <v>3150</v>
      </c>
      <c r="C67" s="5">
        <f>IFERROR(__xludf.DUMMYFUNCTION("""COMPUTED_VALUE"""),3220.0)</f>
        <v>3220</v>
      </c>
      <c r="D67" s="5">
        <f>IFERROR(__xludf.DUMMYFUNCTION("""COMPUTED_VALUE"""),3120.0)</f>
        <v>3120</v>
      </c>
      <c r="E67" s="5">
        <f>IFERROR(__xludf.DUMMYFUNCTION("""COMPUTED_VALUE"""),3200.0)</f>
        <v>3200</v>
      </c>
      <c r="F67" s="5">
        <f>IFERROR(__xludf.DUMMYFUNCTION("""COMPUTED_VALUE"""),8.34692E7)</f>
        <v>83469200</v>
      </c>
      <c r="G67" s="5">
        <f t="shared" si="1"/>
        <v>100</v>
      </c>
    </row>
    <row r="68">
      <c r="A68" s="4">
        <f>IFERROR(__xludf.DUMMYFUNCTION("""COMPUTED_VALUE"""),43927.66666666667)</f>
        <v>43927.66667</v>
      </c>
      <c r="B68" s="5">
        <f>IFERROR(__xludf.DUMMYFUNCTION("""COMPUTED_VALUE"""),3280.0)</f>
        <v>3280</v>
      </c>
      <c r="C68" s="5">
        <f>IFERROR(__xludf.DUMMYFUNCTION("""COMPUTED_VALUE"""),3330.0)</f>
        <v>3330</v>
      </c>
      <c r="D68" s="5">
        <f>IFERROR(__xludf.DUMMYFUNCTION("""COMPUTED_VALUE"""),3180.0)</f>
        <v>3180</v>
      </c>
      <c r="E68" s="5">
        <f>IFERROR(__xludf.DUMMYFUNCTION("""COMPUTED_VALUE"""),3330.0)</f>
        <v>3330</v>
      </c>
      <c r="F68" s="5">
        <f>IFERROR(__xludf.DUMMYFUNCTION("""COMPUTED_VALUE"""),1.15495E8)</f>
        <v>115495000</v>
      </c>
      <c r="G68" s="5">
        <f t="shared" si="1"/>
        <v>150</v>
      </c>
    </row>
    <row r="69">
      <c r="A69" s="4">
        <f>IFERROR(__xludf.DUMMYFUNCTION("""COMPUTED_VALUE"""),43928.66666666667)</f>
        <v>43928.66667</v>
      </c>
      <c r="B69" s="5">
        <f>IFERROR(__xludf.DUMMYFUNCTION("""COMPUTED_VALUE"""),3390.0)</f>
        <v>3390</v>
      </c>
      <c r="C69" s="5">
        <f>IFERROR(__xludf.DUMMYFUNCTION("""COMPUTED_VALUE"""),3500.0)</f>
        <v>3500</v>
      </c>
      <c r="D69" s="5">
        <f>IFERROR(__xludf.DUMMYFUNCTION("""COMPUTED_VALUE"""),3200.0)</f>
        <v>3200</v>
      </c>
      <c r="E69" s="5">
        <f>IFERROR(__xludf.DUMMYFUNCTION("""COMPUTED_VALUE"""),3220.0)</f>
        <v>3220</v>
      </c>
      <c r="F69" s="5">
        <f>IFERROR(__xludf.DUMMYFUNCTION("""COMPUTED_VALUE"""),1.664256E8)</f>
        <v>166425600</v>
      </c>
      <c r="G69" s="5">
        <f t="shared" si="1"/>
        <v>300</v>
      </c>
    </row>
    <row r="70">
      <c r="A70" s="4">
        <f>IFERROR(__xludf.DUMMYFUNCTION("""COMPUTED_VALUE"""),43929.66666666667)</f>
        <v>43929.66667</v>
      </c>
      <c r="B70" s="5">
        <f>IFERROR(__xludf.DUMMYFUNCTION("""COMPUTED_VALUE"""),3220.0)</f>
        <v>3220</v>
      </c>
      <c r="C70" s="5">
        <f>IFERROR(__xludf.DUMMYFUNCTION("""COMPUTED_VALUE"""),3220.0)</f>
        <v>3220</v>
      </c>
      <c r="D70" s="5">
        <f>IFERROR(__xludf.DUMMYFUNCTION("""COMPUTED_VALUE"""),3050.0)</f>
        <v>3050</v>
      </c>
      <c r="E70" s="5">
        <f>IFERROR(__xludf.DUMMYFUNCTION("""COMPUTED_VALUE"""),3110.0)</f>
        <v>3110</v>
      </c>
      <c r="F70" s="5">
        <f>IFERROR(__xludf.DUMMYFUNCTION("""COMPUTED_VALUE"""),1.245539E8)</f>
        <v>124553900</v>
      </c>
      <c r="G70" s="5">
        <f t="shared" si="1"/>
        <v>170</v>
      </c>
    </row>
    <row r="71">
      <c r="A71" s="4">
        <f>IFERROR(__xludf.DUMMYFUNCTION("""COMPUTED_VALUE"""),43930.66666666667)</f>
        <v>43930.66667</v>
      </c>
      <c r="B71" s="5">
        <f>IFERROR(__xludf.DUMMYFUNCTION("""COMPUTED_VALUE"""),3110.0)</f>
        <v>3110</v>
      </c>
      <c r="C71" s="5">
        <f>IFERROR(__xludf.DUMMYFUNCTION("""COMPUTED_VALUE"""),3180.0)</f>
        <v>3180</v>
      </c>
      <c r="D71" s="5">
        <f>IFERROR(__xludf.DUMMYFUNCTION("""COMPUTED_VALUE"""),3030.0)</f>
        <v>3030</v>
      </c>
      <c r="E71" s="5">
        <f>IFERROR(__xludf.DUMMYFUNCTION("""COMPUTED_VALUE"""),3120.0)</f>
        <v>3120</v>
      </c>
      <c r="F71" s="5">
        <f>IFERROR(__xludf.DUMMYFUNCTION("""COMPUTED_VALUE"""),1.226224E8)</f>
        <v>122622400</v>
      </c>
      <c r="G71" s="5">
        <f t="shared" si="1"/>
        <v>150</v>
      </c>
    </row>
    <row r="72">
      <c r="A72" s="4">
        <f>IFERROR(__xludf.DUMMYFUNCTION("""COMPUTED_VALUE"""),43934.66666666667)</f>
        <v>43934.66667</v>
      </c>
      <c r="B72" s="5">
        <f>IFERROR(__xludf.DUMMYFUNCTION("""COMPUTED_VALUE"""),3140.0)</f>
        <v>3140</v>
      </c>
      <c r="C72" s="5">
        <f>IFERROR(__xludf.DUMMYFUNCTION("""COMPUTED_VALUE"""),3230.0)</f>
        <v>3230</v>
      </c>
      <c r="D72" s="5">
        <f>IFERROR(__xludf.DUMMYFUNCTION("""COMPUTED_VALUE"""),3130.0)</f>
        <v>3130</v>
      </c>
      <c r="E72" s="5">
        <f>IFERROR(__xludf.DUMMYFUNCTION("""COMPUTED_VALUE"""),3180.0)</f>
        <v>3180</v>
      </c>
      <c r="F72" s="5">
        <f>IFERROR(__xludf.DUMMYFUNCTION("""COMPUTED_VALUE"""),4.54695E7)</f>
        <v>45469500</v>
      </c>
      <c r="G72" s="5">
        <f t="shared" si="1"/>
        <v>110</v>
      </c>
    </row>
    <row r="73">
      <c r="A73" s="4">
        <f>IFERROR(__xludf.DUMMYFUNCTION("""COMPUTED_VALUE"""),43935.66666666667)</f>
        <v>43935.66667</v>
      </c>
      <c r="B73" s="5">
        <f>IFERROR(__xludf.DUMMYFUNCTION("""COMPUTED_VALUE"""),3200.0)</f>
        <v>3200</v>
      </c>
      <c r="C73" s="5">
        <f>IFERROR(__xludf.DUMMYFUNCTION("""COMPUTED_VALUE"""),3250.0)</f>
        <v>3250</v>
      </c>
      <c r="D73" s="5">
        <f>IFERROR(__xludf.DUMMYFUNCTION("""COMPUTED_VALUE"""),3160.0)</f>
        <v>3160</v>
      </c>
      <c r="E73" s="5">
        <f>IFERROR(__xludf.DUMMYFUNCTION("""COMPUTED_VALUE"""),3240.0)</f>
        <v>3240</v>
      </c>
      <c r="F73" s="5">
        <f>IFERROR(__xludf.DUMMYFUNCTION("""COMPUTED_VALUE"""),7.91146E7)</f>
        <v>79114600</v>
      </c>
      <c r="G73" s="5">
        <f t="shared" si="1"/>
        <v>90</v>
      </c>
    </row>
    <row r="74">
      <c r="A74" s="4">
        <f>IFERROR(__xludf.DUMMYFUNCTION("""COMPUTED_VALUE"""),43936.66666666667)</f>
        <v>43936.66667</v>
      </c>
      <c r="B74" s="5">
        <f>IFERROR(__xludf.DUMMYFUNCTION("""COMPUTED_VALUE"""),3250.0)</f>
        <v>3250</v>
      </c>
      <c r="C74" s="5">
        <f>IFERROR(__xludf.DUMMYFUNCTION("""COMPUTED_VALUE"""),3300.0)</f>
        <v>3300</v>
      </c>
      <c r="D74" s="5">
        <f>IFERROR(__xludf.DUMMYFUNCTION("""COMPUTED_VALUE"""),3090.0)</f>
        <v>3090</v>
      </c>
      <c r="E74" s="5">
        <f>IFERROR(__xludf.DUMMYFUNCTION("""COMPUTED_VALUE"""),3110.0)</f>
        <v>3110</v>
      </c>
      <c r="F74" s="5">
        <f>IFERROR(__xludf.DUMMYFUNCTION("""COMPUTED_VALUE"""),6.9832E7)</f>
        <v>69832000</v>
      </c>
      <c r="G74" s="5">
        <f t="shared" si="1"/>
        <v>210</v>
      </c>
    </row>
    <row r="75">
      <c r="A75" s="4">
        <f>IFERROR(__xludf.DUMMYFUNCTION("""COMPUTED_VALUE"""),43937.66666666667)</f>
        <v>43937.66667</v>
      </c>
      <c r="B75" s="5">
        <f>IFERROR(__xludf.DUMMYFUNCTION("""COMPUTED_VALUE"""),3110.0)</f>
        <v>3110</v>
      </c>
      <c r="C75" s="5">
        <f>IFERROR(__xludf.DUMMYFUNCTION("""COMPUTED_VALUE"""),3110.0)</f>
        <v>3110</v>
      </c>
      <c r="D75" s="5">
        <f>IFERROR(__xludf.DUMMYFUNCTION("""COMPUTED_VALUE"""),3000.0)</f>
        <v>3000</v>
      </c>
      <c r="E75" s="5">
        <f>IFERROR(__xludf.DUMMYFUNCTION("""COMPUTED_VALUE"""),3000.0)</f>
        <v>3000</v>
      </c>
      <c r="F75" s="5">
        <f>IFERROR(__xludf.DUMMYFUNCTION("""COMPUTED_VALUE"""),1.095825E8)</f>
        <v>109582500</v>
      </c>
      <c r="G75" s="5">
        <f t="shared" si="1"/>
        <v>110</v>
      </c>
    </row>
    <row r="76">
      <c r="A76" s="4">
        <f>IFERROR(__xludf.DUMMYFUNCTION("""COMPUTED_VALUE"""),43938.66666666667)</f>
        <v>43938.66667</v>
      </c>
      <c r="B76" s="5">
        <f>IFERROR(__xludf.DUMMYFUNCTION("""COMPUTED_VALUE"""),3050.0)</f>
        <v>3050</v>
      </c>
      <c r="C76" s="5">
        <f>IFERROR(__xludf.DUMMYFUNCTION("""COMPUTED_VALUE"""),3250.0)</f>
        <v>3250</v>
      </c>
      <c r="D76" s="5">
        <f>IFERROR(__xludf.DUMMYFUNCTION("""COMPUTED_VALUE"""),3050.0)</f>
        <v>3050</v>
      </c>
      <c r="E76" s="5">
        <f>IFERROR(__xludf.DUMMYFUNCTION("""COMPUTED_VALUE"""),3230.0)</f>
        <v>3230</v>
      </c>
      <c r="F76" s="5">
        <f>IFERROR(__xludf.DUMMYFUNCTION("""COMPUTED_VALUE"""),1.278604E8)</f>
        <v>127860400</v>
      </c>
      <c r="G76" s="5">
        <f t="shared" si="1"/>
        <v>250</v>
      </c>
    </row>
    <row r="77">
      <c r="A77" s="4">
        <f>IFERROR(__xludf.DUMMYFUNCTION("""COMPUTED_VALUE"""),43941.66666666667)</f>
        <v>43941.66667</v>
      </c>
      <c r="B77" s="5">
        <f>IFERROR(__xludf.DUMMYFUNCTION("""COMPUTED_VALUE"""),3270.0)</f>
        <v>3270</v>
      </c>
      <c r="C77" s="5">
        <f>IFERROR(__xludf.DUMMYFUNCTION("""COMPUTED_VALUE"""),3270.0)</f>
        <v>3270</v>
      </c>
      <c r="D77" s="5">
        <f>IFERROR(__xludf.DUMMYFUNCTION("""COMPUTED_VALUE"""),3120.0)</f>
        <v>3120</v>
      </c>
      <c r="E77" s="5">
        <f>IFERROR(__xludf.DUMMYFUNCTION("""COMPUTED_VALUE"""),3120.0)</f>
        <v>3120</v>
      </c>
      <c r="F77" s="5">
        <f>IFERROR(__xludf.DUMMYFUNCTION("""COMPUTED_VALUE"""),7.73069E7)</f>
        <v>77306900</v>
      </c>
      <c r="G77" s="5">
        <f t="shared" si="1"/>
        <v>150</v>
      </c>
    </row>
    <row r="78">
      <c r="A78" s="4">
        <f>IFERROR(__xludf.DUMMYFUNCTION("""COMPUTED_VALUE"""),43942.66666666667)</f>
        <v>43942.66667</v>
      </c>
      <c r="B78" s="5">
        <f>IFERROR(__xludf.DUMMYFUNCTION("""COMPUTED_VALUE"""),3120.0)</f>
        <v>3120</v>
      </c>
      <c r="C78" s="5">
        <f>IFERROR(__xludf.DUMMYFUNCTION("""COMPUTED_VALUE"""),3130.0)</f>
        <v>3130</v>
      </c>
      <c r="D78" s="5">
        <f>IFERROR(__xludf.DUMMYFUNCTION("""COMPUTED_VALUE"""),3050.0)</f>
        <v>3050</v>
      </c>
      <c r="E78" s="5">
        <f>IFERROR(__xludf.DUMMYFUNCTION("""COMPUTED_VALUE"""),3070.0)</f>
        <v>3070</v>
      </c>
      <c r="F78" s="5">
        <f>IFERROR(__xludf.DUMMYFUNCTION("""COMPUTED_VALUE"""),4.32394E7)</f>
        <v>43239400</v>
      </c>
      <c r="G78" s="5">
        <f t="shared" si="1"/>
        <v>80</v>
      </c>
    </row>
    <row r="79">
      <c r="A79" s="4">
        <f>IFERROR(__xludf.DUMMYFUNCTION("""COMPUTED_VALUE"""),43943.66666666667)</f>
        <v>43943.66667</v>
      </c>
      <c r="B79" s="5">
        <f>IFERROR(__xludf.DUMMYFUNCTION("""COMPUTED_VALUE"""),3050.0)</f>
        <v>3050</v>
      </c>
      <c r="C79" s="5">
        <f>IFERROR(__xludf.DUMMYFUNCTION("""COMPUTED_VALUE"""),3270.0)</f>
        <v>3270</v>
      </c>
      <c r="D79" s="5">
        <f>IFERROR(__xludf.DUMMYFUNCTION("""COMPUTED_VALUE"""),3030.0)</f>
        <v>3030</v>
      </c>
      <c r="E79" s="5">
        <f>IFERROR(__xludf.DUMMYFUNCTION("""COMPUTED_VALUE"""),3160.0)</f>
        <v>3160</v>
      </c>
      <c r="F79" s="5">
        <f>IFERROR(__xludf.DUMMYFUNCTION("""COMPUTED_VALUE"""),1.262783E8)</f>
        <v>126278300</v>
      </c>
      <c r="G79" s="5">
        <f t="shared" si="1"/>
        <v>240</v>
      </c>
    </row>
    <row r="80">
      <c r="A80" s="4">
        <f>IFERROR(__xludf.DUMMYFUNCTION("""COMPUTED_VALUE"""),43944.66666666667)</f>
        <v>43944.66667</v>
      </c>
      <c r="B80" s="5">
        <f>IFERROR(__xludf.DUMMYFUNCTION("""COMPUTED_VALUE"""),3200.0)</f>
        <v>3200</v>
      </c>
      <c r="C80" s="5">
        <f>IFERROR(__xludf.DUMMYFUNCTION("""COMPUTED_VALUE"""),3240.0)</f>
        <v>3240</v>
      </c>
      <c r="D80" s="5">
        <f>IFERROR(__xludf.DUMMYFUNCTION("""COMPUTED_VALUE"""),3070.0)</f>
        <v>3070</v>
      </c>
      <c r="E80" s="5">
        <f>IFERROR(__xludf.DUMMYFUNCTION("""COMPUTED_VALUE"""),3070.0)</f>
        <v>3070</v>
      </c>
      <c r="F80" s="5">
        <f>IFERROR(__xludf.DUMMYFUNCTION("""COMPUTED_VALUE"""),1.173915E8)</f>
        <v>117391500</v>
      </c>
      <c r="G80" s="5">
        <f t="shared" si="1"/>
        <v>170</v>
      </c>
    </row>
    <row r="81">
      <c r="A81" s="4">
        <f>IFERROR(__xludf.DUMMYFUNCTION("""COMPUTED_VALUE"""),43945.66666666667)</f>
        <v>43945.66667</v>
      </c>
      <c r="B81" s="5">
        <f>IFERROR(__xludf.DUMMYFUNCTION("""COMPUTED_VALUE"""),3100.0)</f>
        <v>3100</v>
      </c>
      <c r="C81" s="5">
        <f>IFERROR(__xludf.DUMMYFUNCTION("""COMPUTED_VALUE"""),3160.0)</f>
        <v>3160</v>
      </c>
      <c r="D81" s="5">
        <f>IFERROR(__xludf.DUMMYFUNCTION("""COMPUTED_VALUE"""),3080.0)</f>
        <v>3080</v>
      </c>
      <c r="E81" s="5">
        <f>IFERROR(__xludf.DUMMYFUNCTION("""COMPUTED_VALUE"""),3090.0)</f>
        <v>3090</v>
      </c>
      <c r="F81" s="5">
        <f>IFERROR(__xludf.DUMMYFUNCTION("""COMPUTED_VALUE"""),8.40614E7)</f>
        <v>84061400</v>
      </c>
      <c r="G81" s="5">
        <f t="shared" si="1"/>
        <v>90</v>
      </c>
    </row>
    <row r="82">
      <c r="A82" s="4">
        <f>IFERROR(__xludf.DUMMYFUNCTION("""COMPUTED_VALUE"""),43948.66666666667)</f>
        <v>43948.66667</v>
      </c>
      <c r="B82" s="5">
        <f>IFERROR(__xludf.DUMMYFUNCTION("""COMPUTED_VALUE"""),3120.0)</f>
        <v>3120</v>
      </c>
      <c r="C82" s="5">
        <f>IFERROR(__xludf.DUMMYFUNCTION("""COMPUTED_VALUE"""),3200.0)</f>
        <v>3200</v>
      </c>
      <c r="D82" s="5">
        <f>IFERROR(__xludf.DUMMYFUNCTION("""COMPUTED_VALUE"""),3100.0)</f>
        <v>3100</v>
      </c>
      <c r="E82" s="5">
        <f>IFERROR(__xludf.DUMMYFUNCTION("""COMPUTED_VALUE"""),3150.0)</f>
        <v>3150</v>
      </c>
      <c r="F82" s="5">
        <f>IFERROR(__xludf.DUMMYFUNCTION("""COMPUTED_VALUE"""),8.54754E7)</f>
        <v>85475400</v>
      </c>
      <c r="G82" s="5">
        <f t="shared" si="1"/>
        <v>110</v>
      </c>
    </row>
    <row r="83">
      <c r="A83" s="4">
        <f>IFERROR(__xludf.DUMMYFUNCTION("""COMPUTED_VALUE"""),43949.66666666667)</f>
        <v>43949.66667</v>
      </c>
      <c r="B83" s="5">
        <f>IFERROR(__xludf.DUMMYFUNCTION("""COMPUTED_VALUE"""),3170.0)</f>
        <v>3170</v>
      </c>
      <c r="C83" s="5">
        <f>IFERROR(__xludf.DUMMYFUNCTION("""COMPUTED_VALUE"""),3200.0)</f>
        <v>3200</v>
      </c>
      <c r="D83" s="5">
        <f>IFERROR(__xludf.DUMMYFUNCTION("""COMPUTED_VALUE"""),3140.0)</f>
        <v>3140</v>
      </c>
      <c r="E83" s="5">
        <f>IFERROR(__xludf.DUMMYFUNCTION("""COMPUTED_VALUE"""),3160.0)</f>
        <v>3160</v>
      </c>
      <c r="F83" s="5">
        <f>IFERROR(__xludf.DUMMYFUNCTION("""COMPUTED_VALUE"""),8.02127E7)</f>
        <v>80212700</v>
      </c>
      <c r="G83" s="5">
        <f t="shared" si="1"/>
        <v>60</v>
      </c>
    </row>
    <row r="84">
      <c r="A84" s="4">
        <f>IFERROR(__xludf.DUMMYFUNCTION("""COMPUTED_VALUE"""),43950.66666666667)</f>
        <v>43950.66667</v>
      </c>
      <c r="B84" s="5">
        <f>IFERROR(__xludf.DUMMYFUNCTION("""COMPUTED_VALUE"""),3200.0)</f>
        <v>3200</v>
      </c>
      <c r="C84" s="5">
        <f>IFERROR(__xludf.DUMMYFUNCTION("""COMPUTED_VALUE"""),3390.0)</f>
        <v>3390</v>
      </c>
      <c r="D84" s="5">
        <f>IFERROR(__xludf.DUMMYFUNCTION("""COMPUTED_VALUE"""),3100.0)</f>
        <v>3100</v>
      </c>
      <c r="E84" s="5">
        <f>IFERROR(__xludf.DUMMYFUNCTION("""COMPUTED_VALUE"""),3350.0)</f>
        <v>3350</v>
      </c>
      <c r="F84" s="5">
        <f>IFERROR(__xludf.DUMMYFUNCTION("""COMPUTED_VALUE"""),1.549021E8)</f>
        <v>154902100</v>
      </c>
      <c r="G84" s="5">
        <f t="shared" si="1"/>
        <v>290</v>
      </c>
    </row>
    <row r="85">
      <c r="A85" s="4">
        <f>IFERROR(__xludf.DUMMYFUNCTION("""COMPUTED_VALUE"""),43951.66666666667)</f>
        <v>43951.66667</v>
      </c>
      <c r="B85" s="5">
        <f>IFERROR(__xludf.DUMMYFUNCTION("""COMPUTED_VALUE"""),3400.0)</f>
        <v>3400</v>
      </c>
      <c r="C85" s="5">
        <f>IFERROR(__xludf.DUMMYFUNCTION("""COMPUTED_VALUE"""),3540.0)</f>
        <v>3540</v>
      </c>
      <c r="D85" s="5">
        <f>IFERROR(__xludf.DUMMYFUNCTION("""COMPUTED_VALUE"""),3350.0)</f>
        <v>3350</v>
      </c>
      <c r="E85" s="5">
        <f>IFERROR(__xludf.DUMMYFUNCTION("""COMPUTED_VALUE"""),3500.0)</f>
        <v>3500</v>
      </c>
      <c r="F85" s="5">
        <f>IFERROR(__xludf.DUMMYFUNCTION("""COMPUTED_VALUE"""),1.631701E8)</f>
        <v>163170100</v>
      </c>
      <c r="G85" s="5">
        <f t="shared" si="1"/>
        <v>190</v>
      </c>
    </row>
    <row r="86">
      <c r="A86" s="4">
        <f>IFERROR(__xludf.DUMMYFUNCTION("""COMPUTED_VALUE"""),43955.66666666667)</f>
        <v>43955.66667</v>
      </c>
      <c r="B86" s="5">
        <f>IFERROR(__xludf.DUMMYFUNCTION("""COMPUTED_VALUE"""),3400.0)</f>
        <v>3400</v>
      </c>
      <c r="C86" s="5">
        <f>IFERROR(__xludf.DUMMYFUNCTION("""COMPUTED_VALUE"""),3400.0)</f>
        <v>3400</v>
      </c>
      <c r="D86" s="5">
        <f>IFERROR(__xludf.DUMMYFUNCTION("""COMPUTED_VALUE"""),3260.0)</f>
        <v>3260</v>
      </c>
      <c r="E86" s="5">
        <f>IFERROR(__xludf.DUMMYFUNCTION("""COMPUTED_VALUE"""),3320.0)</f>
        <v>3320</v>
      </c>
      <c r="F86" s="5">
        <f>IFERROR(__xludf.DUMMYFUNCTION("""COMPUTED_VALUE"""),1.089886E8)</f>
        <v>108988600</v>
      </c>
      <c r="G86" s="5">
        <f t="shared" si="1"/>
        <v>240</v>
      </c>
    </row>
    <row r="87">
      <c r="A87" s="4">
        <f>IFERROR(__xludf.DUMMYFUNCTION("""COMPUTED_VALUE"""),43956.66666666667)</f>
        <v>43956.66667</v>
      </c>
      <c r="B87" s="5">
        <f>IFERROR(__xludf.DUMMYFUNCTION("""COMPUTED_VALUE"""),3320.0)</f>
        <v>3320</v>
      </c>
      <c r="C87" s="5">
        <f>IFERROR(__xludf.DUMMYFUNCTION("""COMPUTED_VALUE"""),3390.0)</f>
        <v>3390</v>
      </c>
      <c r="D87" s="5">
        <f>IFERROR(__xludf.DUMMYFUNCTION("""COMPUTED_VALUE"""),3320.0)</f>
        <v>3320</v>
      </c>
      <c r="E87" s="5">
        <f>IFERROR(__xludf.DUMMYFUNCTION("""COMPUTED_VALUE"""),3320.0)</f>
        <v>3320</v>
      </c>
      <c r="F87" s="5">
        <f>IFERROR(__xludf.DUMMYFUNCTION("""COMPUTED_VALUE"""),7.40367E7)</f>
        <v>74036700</v>
      </c>
      <c r="G87" s="5">
        <f t="shared" si="1"/>
        <v>70</v>
      </c>
    </row>
    <row r="88">
      <c r="A88" s="4">
        <f>IFERROR(__xludf.DUMMYFUNCTION("""COMPUTED_VALUE"""),43957.66666666667)</f>
        <v>43957.66667</v>
      </c>
      <c r="B88" s="5">
        <f>IFERROR(__xludf.DUMMYFUNCTION("""COMPUTED_VALUE"""),3300.0)</f>
        <v>3300</v>
      </c>
      <c r="C88" s="5">
        <f>IFERROR(__xludf.DUMMYFUNCTION("""COMPUTED_VALUE"""),3340.0)</f>
        <v>3340</v>
      </c>
      <c r="D88" s="5">
        <f>IFERROR(__xludf.DUMMYFUNCTION("""COMPUTED_VALUE"""),3220.0)</f>
        <v>3220</v>
      </c>
      <c r="E88" s="5">
        <f>IFERROR(__xludf.DUMMYFUNCTION("""COMPUTED_VALUE"""),3240.0)</f>
        <v>3240</v>
      </c>
      <c r="F88" s="5">
        <f>IFERROR(__xludf.DUMMYFUNCTION("""COMPUTED_VALUE"""),8.6395E7)</f>
        <v>86395000</v>
      </c>
      <c r="G88" s="5">
        <f t="shared" si="1"/>
        <v>120</v>
      </c>
    </row>
    <row r="89">
      <c r="A89" s="4">
        <f>IFERROR(__xludf.DUMMYFUNCTION("""COMPUTED_VALUE"""),43959.66666666667)</f>
        <v>43959.66667</v>
      </c>
      <c r="B89" s="5">
        <f>IFERROR(__xludf.DUMMYFUNCTION("""COMPUTED_VALUE"""),3270.0)</f>
        <v>3270</v>
      </c>
      <c r="C89" s="5">
        <f>IFERROR(__xludf.DUMMYFUNCTION("""COMPUTED_VALUE"""),3290.0)</f>
        <v>3290</v>
      </c>
      <c r="D89" s="5">
        <f>IFERROR(__xludf.DUMMYFUNCTION("""COMPUTED_VALUE"""),3150.0)</f>
        <v>3150</v>
      </c>
      <c r="E89" s="5">
        <f>IFERROR(__xludf.DUMMYFUNCTION("""COMPUTED_VALUE"""),3190.0)</f>
        <v>3190</v>
      </c>
      <c r="F89" s="5">
        <f>IFERROR(__xludf.DUMMYFUNCTION("""COMPUTED_VALUE"""),1.435844E8)</f>
        <v>143584400</v>
      </c>
      <c r="G89" s="5">
        <f t="shared" si="1"/>
        <v>140</v>
      </c>
    </row>
    <row r="90">
      <c r="A90" s="4">
        <f>IFERROR(__xludf.DUMMYFUNCTION("""COMPUTED_VALUE"""),43962.66666666667)</f>
        <v>43962.66667</v>
      </c>
      <c r="B90" s="5">
        <f>IFERROR(__xludf.DUMMYFUNCTION("""COMPUTED_VALUE"""),3220.0)</f>
        <v>3220</v>
      </c>
      <c r="C90" s="5">
        <f>IFERROR(__xludf.DUMMYFUNCTION("""COMPUTED_VALUE"""),3250.0)</f>
        <v>3250</v>
      </c>
      <c r="D90" s="5">
        <f>IFERROR(__xludf.DUMMYFUNCTION("""COMPUTED_VALUE"""),3210.0)</f>
        <v>3210</v>
      </c>
      <c r="E90" s="5">
        <f>IFERROR(__xludf.DUMMYFUNCTION("""COMPUTED_VALUE"""),3220.0)</f>
        <v>3220</v>
      </c>
      <c r="F90" s="5">
        <f>IFERROR(__xludf.DUMMYFUNCTION("""COMPUTED_VALUE"""),5.84731E7)</f>
        <v>58473100</v>
      </c>
      <c r="G90" s="5">
        <f t="shared" si="1"/>
        <v>60</v>
      </c>
    </row>
    <row r="91">
      <c r="A91" s="4">
        <f>IFERROR(__xludf.DUMMYFUNCTION("""COMPUTED_VALUE"""),43963.66666666667)</f>
        <v>43963.66667</v>
      </c>
      <c r="B91" s="5">
        <f>IFERROR(__xludf.DUMMYFUNCTION("""COMPUTED_VALUE"""),3270.0)</f>
        <v>3270</v>
      </c>
      <c r="C91" s="5">
        <f>IFERROR(__xludf.DUMMYFUNCTION("""COMPUTED_VALUE"""),3270.0)</f>
        <v>3270</v>
      </c>
      <c r="D91" s="5">
        <f>IFERROR(__xludf.DUMMYFUNCTION("""COMPUTED_VALUE"""),3100.0)</f>
        <v>3100</v>
      </c>
      <c r="E91" s="5">
        <f>IFERROR(__xludf.DUMMYFUNCTION("""COMPUTED_VALUE"""),3150.0)</f>
        <v>3150</v>
      </c>
      <c r="F91" s="5">
        <f>IFERROR(__xludf.DUMMYFUNCTION("""COMPUTED_VALUE"""),1.389787E8)</f>
        <v>138978700</v>
      </c>
      <c r="G91" s="5">
        <f t="shared" si="1"/>
        <v>170</v>
      </c>
    </row>
    <row r="92">
      <c r="A92" s="4">
        <f>IFERROR(__xludf.DUMMYFUNCTION("""COMPUTED_VALUE"""),43964.66666666667)</f>
        <v>43964.66667</v>
      </c>
      <c r="B92" s="5">
        <f>IFERROR(__xludf.DUMMYFUNCTION("""COMPUTED_VALUE"""),3150.0)</f>
        <v>3150</v>
      </c>
      <c r="C92" s="5">
        <f>IFERROR(__xludf.DUMMYFUNCTION("""COMPUTED_VALUE"""),3170.0)</f>
        <v>3170</v>
      </c>
      <c r="D92" s="5">
        <f>IFERROR(__xludf.DUMMYFUNCTION("""COMPUTED_VALUE"""),3080.0)</f>
        <v>3080</v>
      </c>
      <c r="E92" s="5">
        <f>IFERROR(__xludf.DUMMYFUNCTION("""COMPUTED_VALUE"""),3160.0)</f>
        <v>3160</v>
      </c>
      <c r="F92" s="5">
        <f>IFERROR(__xludf.DUMMYFUNCTION("""COMPUTED_VALUE"""),7.32387E7)</f>
        <v>73238700</v>
      </c>
      <c r="G92" s="5">
        <f t="shared" si="1"/>
        <v>90</v>
      </c>
    </row>
    <row r="93">
      <c r="A93" s="4">
        <f>IFERROR(__xludf.DUMMYFUNCTION("""COMPUTED_VALUE"""),43965.66666666667)</f>
        <v>43965.66667</v>
      </c>
      <c r="B93" s="5">
        <f>IFERROR(__xludf.DUMMYFUNCTION("""COMPUTED_VALUE"""),3110.0)</f>
        <v>3110</v>
      </c>
      <c r="C93" s="5">
        <f>IFERROR(__xludf.DUMMYFUNCTION("""COMPUTED_VALUE"""),3140.0)</f>
        <v>3140</v>
      </c>
      <c r="D93" s="5">
        <f>IFERROR(__xludf.DUMMYFUNCTION("""COMPUTED_VALUE"""),3060.0)</f>
        <v>3060</v>
      </c>
      <c r="E93" s="5">
        <f>IFERROR(__xludf.DUMMYFUNCTION("""COMPUTED_VALUE"""),3070.0)</f>
        <v>3070</v>
      </c>
      <c r="F93" s="5">
        <f>IFERROR(__xludf.DUMMYFUNCTION("""COMPUTED_VALUE"""),1.015813E8)</f>
        <v>101581300</v>
      </c>
      <c r="G93" s="5">
        <f t="shared" si="1"/>
        <v>100</v>
      </c>
    </row>
    <row r="94">
      <c r="A94" s="4">
        <f>IFERROR(__xludf.DUMMYFUNCTION("""COMPUTED_VALUE"""),43966.66666666667)</f>
        <v>43966.66667</v>
      </c>
      <c r="B94" s="5">
        <f>IFERROR(__xludf.DUMMYFUNCTION("""COMPUTED_VALUE"""),3100.0)</f>
        <v>3100</v>
      </c>
      <c r="C94" s="5">
        <f>IFERROR(__xludf.DUMMYFUNCTION("""COMPUTED_VALUE"""),3130.0)</f>
        <v>3130</v>
      </c>
      <c r="D94" s="5">
        <f>IFERROR(__xludf.DUMMYFUNCTION("""COMPUTED_VALUE"""),3020.0)</f>
        <v>3020</v>
      </c>
      <c r="E94" s="5">
        <f>IFERROR(__xludf.DUMMYFUNCTION("""COMPUTED_VALUE"""),3100.0)</f>
        <v>3100</v>
      </c>
      <c r="F94" s="5">
        <f>IFERROR(__xludf.DUMMYFUNCTION("""COMPUTED_VALUE"""),1.147539E8)</f>
        <v>114753900</v>
      </c>
      <c r="G94" s="5">
        <f t="shared" si="1"/>
        <v>110</v>
      </c>
    </row>
    <row r="95">
      <c r="A95" s="4">
        <f>IFERROR(__xludf.DUMMYFUNCTION("""COMPUTED_VALUE"""),43969.66666666667)</f>
        <v>43969.66667</v>
      </c>
      <c r="B95" s="5">
        <f>IFERROR(__xludf.DUMMYFUNCTION("""COMPUTED_VALUE"""),3100.0)</f>
        <v>3100</v>
      </c>
      <c r="C95" s="5">
        <f>IFERROR(__xludf.DUMMYFUNCTION("""COMPUTED_VALUE"""),3220.0)</f>
        <v>3220</v>
      </c>
      <c r="D95" s="5">
        <f>IFERROR(__xludf.DUMMYFUNCTION("""COMPUTED_VALUE"""),3100.0)</f>
        <v>3100</v>
      </c>
      <c r="E95" s="5">
        <f>IFERROR(__xludf.DUMMYFUNCTION("""COMPUTED_VALUE"""),3220.0)</f>
        <v>3220</v>
      </c>
      <c r="F95" s="5">
        <f>IFERROR(__xludf.DUMMYFUNCTION("""COMPUTED_VALUE"""),1.088288E8)</f>
        <v>108828800</v>
      </c>
      <c r="G95" s="5">
        <f t="shared" si="1"/>
        <v>120</v>
      </c>
    </row>
    <row r="96">
      <c r="A96" s="4">
        <f>IFERROR(__xludf.DUMMYFUNCTION("""COMPUTED_VALUE"""),43970.66666666667)</f>
        <v>43970.66667</v>
      </c>
      <c r="B96" s="5">
        <f>IFERROR(__xludf.DUMMYFUNCTION("""COMPUTED_VALUE"""),3250.0)</f>
        <v>3250</v>
      </c>
      <c r="C96" s="5">
        <f>IFERROR(__xludf.DUMMYFUNCTION("""COMPUTED_VALUE"""),3330.0)</f>
        <v>3330</v>
      </c>
      <c r="D96" s="5">
        <f>IFERROR(__xludf.DUMMYFUNCTION("""COMPUTED_VALUE"""),3250.0)</f>
        <v>3250</v>
      </c>
      <c r="E96" s="5">
        <f>IFERROR(__xludf.DUMMYFUNCTION("""COMPUTED_VALUE"""),3270.0)</f>
        <v>3270</v>
      </c>
      <c r="F96" s="5">
        <f>IFERROR(__xludf.DUMMYFUNCTION("""COMPUTED_VALUE"""),9.73871E7)</f>
        <v>97387100</v>
      </c>
      <c r="G96" s="5">
        <f t="shared" si="1"/>
        <v>110</v>
      </c>
    </row>
    <row r="97">
      <c r="A97" s="4">
        <f>IFERROR(__xludf.DUMMYFUNCTION("""COMPUTED_VALUE"""),43971.66666666667)</f>
        <v>43971.66667</v>
      </c>
      <c r="B97" s="5">
        <f>IFERROR(__xludf.DUMMYFUNCTION("""COMPUTED_VALUE"""),3200.0)</f>
        <v>3200</v>
      </c>
      <c r="C97" s="5">
        <f>IFERROR(__xludf.DUMMYFUNCTION("""COMPUTED_VALUE"""),3260.0)</f>
        <v>3260</v>
      </c>
      <c r="D97" s="5">
        <f>IFERROR(__xludf.DUMMYFUNCTION("""COMPUTED_VALUE"""),3180.0)</f>
        <v>3180</v>
      </c>
      <c r="E97" s="5">
        <f>IFERROR(__xludf.DUMMYFUNCTION("""COMPUTED_VALUE"""),3180.0)</f>
        <v>3180</v>
      </c>
      <c r="F97" s="5">
        <f>IFERROR(__xludf.DUMMYFUNCTION("""COMPUTED_VALUE"""),7.60866E7)</f>
        <v>76086600</v>
      </c>
      <c r="G97" s="5">
        <f t="shared" si="1"/>
        <v>90</v>
      </c>
    </row>
    <row r="98">
      <c r="A98" s="4">
        <f>IFERROR(__xludf.DUMMYFUNCTION("""COMPUTED_VALUE"""),43977.66666666667)</f>
        <v>43977.66667</v>
      </c>
      <c r="B98" s="5">
        <f>IFERROR(__xludf.DUMMYFUNCTION("""COMPUTED_VALUE"""),3150.0)</f>
        <v>3150</v>
      </c>
      <c r="C98" s="5">
        <f>IFERROR(__xludf.DUMMYFUNCTION("""COMPUTED_VALUE"""),3280.0)</f>
        <v>3280</v>
      </c>
      <c r="D98" s="5">
        <f>IFERROR(__xludf.DUMMYFUNCTION("""COMPUTED_VALUE"""),3130.0)</f>
        <v>3130</v>
      </c>
      <c r="E98" s="5">
        <f>IFERROR(__xludf.DUMMYFUNCTION("""COMPUTED_VALUE"""),3250.0)</f>
        <v>3250</v>
      </c>
      <c r="F98" s="5">
        <f>IFERROR(__xludf.DUMMYFUNCTION("""COMPUTED_VALUE"""),1.057929E8)</f>
        <v>105792900</v>
      </c>
      <c r="G98" s="5">
        <f t="shared" si="1"/>
        <v>150</v>
      </c>
    </row>
    <row r="99">
      <c r="A99" s="4">
        <f>IFERROR(__xludf.DUMMYFUNCTION("""COMPUTED_VALUE"""),43978.66666666667)</f>
        <v>43978.66667</v>
      </c>
      <c r="B99" s="5">
        <f>IFERROR(__xludf.DUMMYFUNCTION("""COMPUTED_VALUE"""),3250.0)</f>
        <v>3250</v>
      </c>
      <c r="C99" s="5">
        <f>IFERROR(__xludf.DUMMYFUNCTION("""COMPUTED_VALUE"""),3270.0)</f>
        <v>3270</v>
      </c>
      <c r="D99" s="5">
        <f>IFERROR(__xludf.DUMMYFUNCTION("""COMPUTED_VALUE"""),3150.0)</f>
        <v>3150</v>
      </c>
      <c r="E99" s="5">
        <f>IFERROR(__xludf.DUMMYFUNCTION("""COMPUTED_VALUE"""),3170.0)</f>
        <v>3170</v>
      </c>
      <c r="F99" s="5">
        <f>IFERROR(__xludf.DUMMYFUNCTION("""COMPUTED_VALUE"""),1.286939E8)</f>
        <v>128693900</v>
      </c>
      <c r="G99" s="5">
        <f t="shared" si="1"/>
        <v>120</v>
      </c>
    </row>
    <row r="100">
      <c r="A100" s="4">
        <f>IFERROR(__xludf.DUMMYFUNCTION("""COMPUTED_VALUE"""),43979.66666666667)</f>
        <v>43979.66667</v>
      </c>
      <c r="B100" s="5">
        <f>IFERROR(__xludf.DUMMYFUNCTION("""COMPUTED_VALUE"""),3180.0)</f>
        <v>3180</v>
      </c>
      <c r="C100" s="5">
        <f>IFERROR(__xludf.DUMMYFUNCTION("""COMPUTED_VALUE"""),3210.0)</f>
        <v>3210</v>
      </c>
      <c r="D100" s="5">
        <f>IFERROR(__xludf.DUMMYFUNCTION("""COMPUTED_VALUE"""),3130.0)</f>
        <v>3130</v>
      </c>
      <c r="E100" s="5">
        <f>IFERROR(__xludf.DUMMYFUNCTION("""COMPUTED_VALUE"""),3130.0)</f>
        <v>3130</v>
      </c>
      <c r="F100" s="5">
        <f>IFERROR(__xludf.DUMMYFUNCTION("""COMPUTED_VALUE"""),1.773851E8)</f>
        <v>177385100</v>
      </c>
      <c r="G100" s="5">
        <f t="shared" si="1"/>
        <v>80</v>
      </c>
    </row>
    <row r="101">
      <c r="A101" s="4">
        <f>IFERROR(__xludf.DUMMYFUNCTION("""COMPUTED_VALUE"""),43980.66666666667)</f>
        <v>43980.66667</v>
      </c>
      <c r="B101" s="5">
        <f>IFERROR(__xludf.DUMMYFUNCTION("""COMPUTED_VALUE"""),3100.0)</f>
        <v>3100</v>
      </c>
      <c r="C101" s="5">
        <f>IFERROR(__xludf.DUMMYFUNCTION("""COMPUTED_VALUE"""),3150.0)</f>
        <v>3150</v>
      </c>
      <c r="D101" s="5">
        <f>IFERROR(__xludf.DUMMYFUNCTION("""COMPUTED_VALUE"""),3080.0)</f>
        <v>3080</v>
      </c>
      <c r="E101" s="5">
        <f>IFERROR(__xludf.DUMMYFUNCTION("""COMPUTED_VALUE"""),3150.0)</f>
        <v>3150</v>
      </c>
      <c r="F101" s="5">
        <f>IFERROR(__xludf.DUMMYFUNCTION("""COMPUTED_VALUE"""),2.760921E8)</f>
        <v>276092100</v>
      </c>
      <c r="G101" s="5">
        <f t="shared" si="1"/>
        <v>70</v>
      </c>
    </row>
    <row r="102">
      <c r="A102" s="4">
        <f>IFERROR(__xludf.DUMMYFUNCTION("""COMPUTED_VALUE"""),43984.66666666667)</f>
        <v>43984.66667</v>
      </c>
      <c r="B102" s="5">
        <f>IFERROR(__xludf.DUMMYFUNCTION("""COMPUTED_VALUE"""),3160.0)</f>
        <v>3160</v>
      </c>
      <c r="C102" s="5">
        <f>IFERROR(__xludf.DUMMYFUNCTION("""COMPUTED_VALUE"""),3270.0)</f>
        <v>3270</v>
      </c>
      <c r="D102" s="5">
        <f>IFERROR(__xludf.DUMMYFUNCTION("""COMPUTED_VALUE"""),3120.0)</f>
        <v>3120</v>
      </c>
      <c r="E102" s="5">
        <f>IFERROR(__xludf.DUMMYFUNCTION("""COMPUTED_VALUE"""),3250.0)</f>
        <v>3250</v>
      </c>
      <c r="F102" s="5">
        <f>IFERROR(__xludf.DUMMYFUNCTION("""COMPUTED_VALUE"""),1.747906E8)</f>
        <v>174790600</v>
      </c>
      <c r="G102" s="5">
        <f t="shared" si="1"/>
        <v>150</v>
      </c>
    </row>
    <row r="103">
      <c r="A103" s="4">
        <f>IFERROR(__xludf.DUMMYFUNCTION("""COMPUTED_VALUE"""),43985.66666666667)</f>
        <v>43985.66667</v>
      </c>
      <c r="B103" s="5">
        <f>IFERROR(__xludf.DUMMYFUNCTION("""COMPUTED_VALUE"""),3280.0)</f>
        <v>3280</v>
      </c>
      <c r="C103" s="5">
        <f>IFERROR(__xludf.DUMMYFUNCTION("""COMPUTED_VALUE"""),3320.0)</f>
        <v>3320</v>
      </c>
      <c r="D103" s="5">
        <f>IFERROR(__xludf.DUMMYFUNCTION("""COMPUTED_VALUE"""),3230.0)</f>
        <v>3230</v>
      </c>
      <c r="E103" s="5">
        <f>IFERROR(__xludf.DUMMYFUNCTION("""COMPUTED_VALUE"""),3290.0)</f>
        <v>3290</v>
      </c>
      <c r="F103" s="5">
        <f>IFERROR(__xludf.DUMMYFUNCTION("""COMPUTED_VALUE"""),2.162009E8)</f>
        <v>216200900</v>
      </c>
      <c r="G103" s="5">
        <f t="shared" si="1"/>
        <v>90</v>
      </c>
    </row>
    <row r="104">
      <c r="A104" s="4">
        <f>IFERROR(__xludf.DUMMYFUNCTION("""COMPUTED_VALUE"""),43986.66666666667)</f>
        <v>43986.66667</v>
      </c>
      <c r="B104" s="5">
        <f>IFERROR(__xludf.DUMMYFUNCTION("""COMPUTED_VALUE"""),3320.0)</f>
        <v>3320</v>
      </c>
      <c r="C104" s="5">
        <f>IFERROR(__xludf.DUMMYFUNCTION("""COMPUTED_VALUE"""),3390.0)</f>
        <v>3390</v>
      </c>
      <c r="D104" s="5">
        <f>IFERROR(__xludf.DUMMYFUNCTION("""COMPUTED_VALUE"""),3250.0)</f>
        <v>3250</v>
      </c>
      <c r="E104" s="5">
        <f>IFERROR(__xludf.DUMMYFUNCTION("""COMPUTED_VALUE"""),3300.0)</f>
        <v>3300</v>
      </c>
      <c r="F104" s="5">
        <f>IFERROR(__xludf.DUMMYFUNCTION("""COMPUTED_VALUE"""),1.677086E8)</f>
        <v>167708600</v>
      </c>
      <c r="G104" s="5">
        <f t="shared" si="1"/>
        <v>140</v>
      </c>
    </row>
    <row r="105">
      <c r="A105" s="4">
        <f>IFERROR(__xludf.DUMMYFUNCTION("""COMPUTED_VALUE"""),43987.66666666667)</f>
        <v>43987.66667</v>
      </c>
      <c r="B105" s="5">
        <f>IFERROR(__xludf.DUMMYFUNCTION("""COMPUTED_VALUE"""),3360.0)</f>
        <v>3360</v>
      </c>
      <c r="C105" s="5">
        <f>IFERROR(__xludf.DUMMYFUNCTION("""COMPUTED_VALUE"""),3360.0)</f>
        <v>3360</v>
      </c>
      <c r="D105" s="5">
        <f>IFERROR(__xludf.DUMMYFUNCTION("""COMPUTED_VALUE"""),3200.0)</f>
        <v>3200</v>
      </c>
      <c r="E105" s="5">
        <f>IFERROR(__xludf.DUMMYFUNCTION("""COMPUTED_VALUE"""),3230.0)</f>
        <v>3230</v>
      </c>
      <c r="F105" s="5">
        <f>IFERROR(__xludf.DUMMYFUNCTION("""COMPUTED_VALUE"""),1.884207E8)</f>
        <v>188420700</v>
      </c>
      <c r="G105" s="5">
        <f t="shared" si="1"/>
        <v>160</v>
      </c>
    </row>
    <row r="106">
      <c r="A106" s="4">
        <f>IFERROR(__xludf.DUMMYFUNCTION("""COMPUTED_VALUE"""),43990.66666666667)</f>
        <v>43990.66667</v>
      </c>
      <c r="B106" s="5">
        <f>IFERROR(__xludf.DUMMYFUNCTION("""COMPUTED_VALUE"""),3250.0)</f>
        <v>3250</v>
      </c>
      <c r="C106" s="5">
        <f>IFERROR(__xludf.DUMMYFUNCTION("""COMPUTED_VALUE"""),3290.0)</f>
        <v>3290</v>
      </c>
      <c r="D106" s="5">
        <f>IFERROR(__xludf.DUMMYFUNCTION("""COMPUTED_VALUE"""),3220.0)</f>
        <v>3220</v>
      </c>
      <c r="E106" s="5">
        <f>IFERROR(__xludf.DUMMYFUNCTION("""COMPUTED_VALUE"""),3230.0)</f>
        <v>3230</v>
      </c>
      <c r="F106" s="5">
        <f>IFERROR(__xludf.DUMMYFUNCTION("""COMPUTED_VALUE"""),2.216416E8)</f>
        <v>221641600</v>
      </c>
      <c r="G106" s="5">
        <f t="shared" si="1"/>
        <v>70</v>
      </c>
    </row>
    <row r="107">
      <c r="A107" s="4">
        <f>IFERROR(__xludf.DUMMYFUNCTION("""COMPUTED_VALUE"""),43991.66666666667)</f>
        <v>43991.66667</v>
      </c>
      <c r="B107" s="5">
        <f>IFERROR(__xludf.DUMMYFUNCTION("""COMPUTED_VALUE"""),3250.0)</f>
        <v>3250</v>
      </c>
      <c r="C107" s="5">
        <f>IFERROR(__xludf.DUMMYFUNCTION("""COMPUTED_VALUE"""),3270.0)</f>
        <v>3270</v>
      </c>
      <c r="D107" s="5">
        <f>IFERROR(__xludf.DUMMYFUNCTION("""COMPUTED_VALUE"""),3140.0)</f>
        <v>3140</v>
      </c>
      <c r="E107" s="5">
        <f>IFERROR(__xludf.DUMMYFUNCTION("""COMPUTED_VALUE"""),3140.0)</f>
        <v>3140</v>
      </c>
      <c r="F107" s="5">
        <f>IFERROR(__xludf.DUMMYFUNCTION("""COMPUTED_VALUE"""),1.712145E8)</f>
        <v>171214500</v>
      </c>
      <c r="G107" s="5">
        <f t="shared" si="1"/>
        <v>130</v>
      </c>
    </row>
    <row r="108">
      <c r="A108" s="4">
        <f>IFERROR(__xludf.DUMMYFUNCTION("""COMPUTED_VALUE"""),43992.66666666667)</f>
        <v>43992.66667</v>
      </c>
      <c r="B108" s="5">
        <f>IFERROR(__xludf.DUMMYFUNCTION("""COMPUTED_VALUE"""),3150.0)</f>
        <v>3150</v>
      </c>
      <c r="C108" s="5">
        <f>IFERROR(__xludf.DUMMYFUNCTION("""COMPUTED_VALUE"""),3190.0)</f>
        <v>3190</v>
      </c>
      <c r="D108" s="5">
        <f>IFERROR(__xludf.DUMMYFUNCTION("""COMPUTED_VALUE"""),3100.0)</f>
        <v>3100</v>
      </c>
      <c r="E108" s="5">
        <f>IFERROR(__xludf.DUMMYFUNCTION("""COMPUTED_VALUE"""),3110.0)</f>
        <v>3110</v>
      </c>
      <c r="F108" s="5">
        <f>IFERROR(__xludf.DUMMYFUNCTION("""COMPUTED_VALUE"""),2.634837E8)</f>
        <v>263483700</v>
      </c>
      <c r="G108" s="5">
        <f t="shared" si="1"/>
        <v>90</v>
      </c>
    </row>
    <row r="109">
      <c r="A109" s="4">
        <f>IFERROR(__xludf.DUMMYFUNCTION("""COMPUTED_VALUE"""),43993.66666666667)</f>
        <v>43993.66667</v>
      </c>
      <c r="B109" s="5">
        <f>IFERROR(__xludf.DUMMYFUNCTION("""COMPUTED_VALUE"""),3120.0)</f>
        <v>3120</v>
      </c>
      <c r="C109" s="5">
        <f>IFERROR(__xludf.DUMMYFUNCTION("""COMPUTED_VALUE"""),3150.0)</f>
        <v>3150</v>
      </c>
      <c r="D109" s="5">
        <f>IFERROR(__xludf.DUMMYFUNCTION("""COMPUTED_VALUE"""),3060.0)</f>
        <v>3060</v>
      </c>
      <c r="E109" s="5">
        <f>IFERROR(__xludf.DUMMYFUNCTION("""COMPUTED_VALUE"""),3080.0)</f>
        <v>3080</v>
      </c>
      <c r="F109" s="5">
        <f>IFERROR(__xludf.DUMMYFUNCTION("""COMPUTED_VALUE"""),1.757678E8)</f>
        <v>175767800</v>
      </c>
      <c r="G109" s="5">
        <f t="shared" si="1"/>
        <v>90</v>
      </c>
    </row>
    <row r="110">
      <c r="A110" s="4">
        <f>IFERROR(__xludf.DUMMYFUNCTION("""COMPUTED_VALUE"""),43994.66666666667)</f>
        <v>43994.66667</v>
      </c>
      <c r="B110" s="5">
        <f>IFERROR(__xludf.DUMMYFUNCTION("""COMPUTED_VALUE"""),3080.0)</f>
        <v>3080</v>
      </c>
      <c r="C110" s="5">
        <f>IFERROR(__xludf.DUMMYFUNCTION("""COMPUTED_VALUE"""),3080.0)</f>
        <v>3080</v>
      </c>
      <c r="D110" s="5">
        <f>IFERROR(__xludf.DUMMYFUNCTION("""COMPUTED_VALUE"""),2970.0)</f>
        <v>2970</v>
      </c>
      <c r="E110" s="5">
        <f>IFERROR(__xludf.DUMMYFUNCTION("""COMPUTED_VALUE"""),3030.0)</f>
        <v>3030</v>
      </c>
      <c r="F110" s="5">
        <f>IFERROR(__xludf.DUMMYFUNCTION("""COMPUTED_VALUE"""),2.600873E8)</f>
        <v>260087300</v>
      </c>
      <c r="G110" s="5">
        <f t="shared" si="1"/>
        <v>110</v>
      </c>
    </row>
    <row r="111">
      <c r="A111" s="4">
        <f>IFERROR(__xludf.DUMMYFUNCTION("""COMPUTED_VALUE"""),43997.66666666667)</f>
        <v>43997.66667</v>
      </c>
      <c r="B111" s="5">
        <f>IFERROR(__xludf.DUMMYFUNCTION("""COMPUTED_VALUE"""),3060.0)</f>
        <v>3060</v>
      </c>
      <c r="C111" s="5">
        <f>IFERROR(__xludf.DUMMYFUNCTION("""COMPUTED_VALUE"""),3150.0)</f>
        <v>3150</v>
      </c>
      <c r="D111" s="5">
        <f>IFERROR(__xludf.DUMMYFUNCTION("""COMPUTED_VALUE"""),3030.0)</f>
        <v>3030</v>
      </c>
      <c r="E111" s="5">
        <f>IFERROR(__xludf.DUMMYFUNCTION("""COMPUTED_VALUE"""),3090.0)</f>
        <v>3090</v>
      </c>
      <c r="F111" s="5">
        <f>IFERROR(__xludf.DUMMYFUNCTION("""COMPUTED_VALUE"""),2.416257E8)</f>
        <v>241625700</v>
      </c>
      <c r="G111" s="5">
        <f t="shared" si="1"/>
        <v>120</v>
      </c>
    </row>
    <row r="112">
      <c r="A112" s="4">
        <f>IFERROR(__xludf.DUMMYFUNCTION("""COMPUTED_VALUE"""),43998.66666666667)</f>
        <v>43998.66667</v>
      </c>
      <c r="B112" s="5">
        <f>IFERROR(__xludf.DUMMYFUNCTION("""COMPUTED_VALUE"""),3150.0)</f>
        <v>3150</v>
      </c>
      <c r="C112" s="5">
        <f>IFERROR(__xludf.DUMMYFUNCTION("""COMPUTED_VALUE"""),3220.0)</f>
        <v>3220</v>
      </c>
      <c r="D112" s="5">
        <f>IFERROR(__xludf.DUMMYFUNCTION("""COMPUTED_VALUE"""),3130.0)</f>
        <v>3130</v>
      </c>
      <c r="E112" s="5">
        <f>IFERROR(__xludf.DUMMYFUNCTION("""COMPUTED_VALUE"""),3200.0)</f>
        <v>3200</v>
      </c>
      <c r="F112" s="5">
        <f>IFERROR(__xludf.DUMMYFUNCTION("""COMPUTED_VALUE"""),1.944248E8)</f>
        <v>194424800</v>
      </c>
      <c r="G112" s="5">
        <f t="shared" si="1"/>
        <v>130</v>
      </c>
    </row>
    <row r="113">
      <c r="A113" s="4">
        <f>IFERROR(__xludf.DUMMYFUNCTION("""COMPUTED_VALUE"""),43999.66666666667)</f>
        <v>43999.66667</v>
      </c>
      <c r="B113" s="5">
        <f>IFERROR(__xludf.DUMMYFUNCTION("""COMPUTED_VALUE"""),3210.0)</f>
        <v>3210</v>
      </c>
      <c r="C113" s="5">
        <f>IFERROR(__xludf.DUMMYFUNCTION("""COMPUTED_VALUE"""),3230.0)</f>
        <v>3230</v>
      </c>
      <c r="D113" s="5">
        <f>IFERROR(__xludf.DUMMYFUNCTION("""COMPUTED_VALUE"""),3140.0)</f>
        <v>3140</v>
      </c>
      <c r="E113" s="5">
        <f>IFERROR(__xludf.DUMMYFUNCTION("""COMPUTED_VALUE"""),3210.0)</f>
        <v>3210</v>
      </c>
      <c r="F113" s="5">
        <f>IFERROR(__xludf.DUMMYFUNCTION("""COMPUTED_VALUE"""),1.777849E8)</f>
        <v>177784900</v>
      </c>
      <c r="G113" s="5">
        <f t="shared" si="1"/>
        <v>90</v>
      </c>
    </row>
    <row r="114">
      <c r="A114" s="4">
        <f>IFERROR(__xludf.DUMMYFUNCTION("""COMPUTED_VALUE"""),44000.66666666667)</f>
        <v>44000.66667</v>
      </c>
      <c r="B114" s="5">
        <f>IFERROR(__xludf.DUMMYFUNCTION("""COMPUTED_VALUE"""),3210.0)</f>
        <v>3210</v>
      </c>
      <c r="C114" s="5">
        <f>IFERROR(__xludf.DUMMYFUNCTION("""COMPUTED_VALUE"""),3350.0)</f>
        <v>3350</v>
      </c>
      <c r="D114" s="5">
        <f>IFERROR(__xludf.DUMMYFUNCTION("""COMPUTED_VALUE"""),3180.0)</f>
        <v>3180</v>
      </c>
      <c r="E114" s="5">
        <f>IFERROR(__xludf.DUMMYFUNCTION("""COMPUTED_VALUE"""),3280.0)</f>
        <v>3280</v>
      </c>
      <c r="F114" s="5">
        <f>IFERROR(__xludf.DUMMYFUNCTION("""COMPUTED_VALUE"""),2.355866E8)</f>
        <v>235586600</v>
      </c>
      <c r="G114" s="5">
        <f t="shared" si="1"/>
        <v>170</v>
      </c>
    </row>
    <row r="115">
      <c r="A115" s="4">
        <f>IFERROR(__xludf.DUMMYFUNCTION("""COMPUTED_VALUE"""),44001.66666666667)</f>
        <v>44001.66667</v>
      </c>
      <c r="B115" s="5">
        <f>IFERROR(__xludf.DUMMYFUNCTION("""COMPUTED_VALUE"""),3300.0)</f>
        <v>3300</v>
      </c>
      <c r="C115" s="5">
        <f>IFERROR(__xludf.DUMMYFUNCTION("""COMPUTED_VALUE"""),3340.0)</f>
        <v>3340</v>
      </c>
      <c r="D115" s="5">
        <f>IFERROR(__xludf.DUMMYFUNCTION("""COMPUTED_VALUE"""),3250.0)</f>
        <v>3250</v>
      </c>
      <c r="E115" s="5">
        <f>IFERROR(__xludf.DUMMYFUNCTION("""COMPUTED_VALUE"""),3280.0)</f>
        <v>3280</v>
      </c>
      <c r="F115" s="5">
        <f>IFERROR(__xludf.DUMMYFUNCTION("""COMPUTED_VALUE"""),2.273588E8)</f>
        <v>227358800</v>
      </c>
      <c r="G115" s="5">
        <f t="shared" si="1"/>
        <v>90</v>
      </c>
    </row>
    <row r="116">
      <c r="A116" s="4">
        <f>IFERROR(__xludf.DUMMYFUNCTION("""COMPUTED_VALUE"""),44004.66666666667)</f>
        <v>44004.66667</v>
      </c>
      <c r="B116" s="5">
        <f>IFERROR(__xludf.DUMMYFUNCTION("""COMPUTED_VALUE"""),3290.0)</f>
        <v>3290</v>
      </c>
      <c r="C116" s="5">
        <f>IFERROR(__xludf.DUMMYFUNCTION("""COMPUTED_VALUE"""),3300.0)</f>
        <v>3300</v>
      </c>
      <c r="D116" s="5">
        <f>IFERROR(__xludf.DUMMYFUNCTION("""COMPUTED_VALUE"""),3180.0)</f>
        <v>3180</v>
      </c>
      <c r="E116" s="5">
        <f>IFERROR(__xludf.DUMMYFUNCTION("""COMPUTED_VALUE"""),3200.0)</f>
        <v>3200</v>
      </c>
      <c r="F116" s="5">
        <f>IFERROR(__xludf.DUMMYFUNCTION("""COMPUTED_VALUE"""),1.597765E8)</f>
        <v>159776500</v>
      </c>
      <c r="G116" s="5">
        <f t="shared" si="1"/>
        <v>120</v>
      </c>
    </row>
    <row r="117">
      <c r="A117" s="4">
        <f>IFERROR(__xludf.DUMMYFUNCTION("""COMPUTED_VALUE"""),44005.66666666667)</f>
        <v>44005.66667</v>
      </c>
      <c r="B117" s="5">
        <f>IFERROR(__xludf.DUMMYFUNCTION("""COMPUTED_VALUE"""),3200.0)</f>
        <v>3200</v>
      </c>
      <c r="C117" s="5">
        <f>IFERROR(__xludf.DUMMYFUNCTION("""COMPUTED_VALUE"""),3200.0)</f>
        <v>3200</v>
      </c>
      <c r="D117" s="5">
        <f>IFERROR(__xludf.DUMMYFUNCTION("""COMPUTED_VALUE"""),3120.0)</f>
        <v>3120</v>
      </c>
      <c r="E117" s="5">
        <f>IFERROR(__xludf.DUMMYFUNCTION("""COMPUTED_VALUE"""),3130.0)</f>
        <v>3130</v>
      </c>
      <c r="F117" s="5">
        <f>IFERROR(__xludf.DUMMYFUNCTION("""COMPUTED_VALUE"""),1.67271E8)</f>
        <v>167271000</v>
      </c>
      <c r="G117" s="5">
        <f t="shared" si="1"/>
        <v>80</v>
      </c>
    </row>
    <row r="118">
      <c r="A118" s="4">
        <f>IFERROR(__xludf.DUMMYFUNCTION("""COMPUTED_VALUE"""),44006.66666666667)</f>
        <v>44006.66667</v>
      </c>
      <c r="B118" s="5">
        <f>IFERROR(__xludf.DUMMYFUNCTION("""COMPUTED_VALUE"""),3150.0)</f>
        <v>3150</v>
      </c>
      <c r="C118" s="5">
        <f>IFERROR(__xludf.DUMMYFUNCTION("""COMPUTED_VALUE"""),3230.0)</f>
        <v>3230</v>
      </c>
      <c r="D118" s="5">
        <f>IFERROR(__xludf.DUMMYFUNCTION("""COMPUTED_VALUE"""),3140.0)</f>
        <v>3140</v>
      </c>
      <c r="E118" s="5">
        <f>IFERROR(__xludf.DUMMYFUNCTION("""COMPUTED_VALUE"""),3180.0)</f>
        <v>3180</v>
      </c>
      <c r="F118" s="5">
        <f>IFERROR(__xludf.DUMMYFUNCTION("""COMPUTED_VALUE"""),1.708956E8)</f>
        <v>170895600</v>
      </c>
      <c r="G118" s="5">
        <f t="shared" si="1"/>
        <v>100</v>
      </c>
    </row>
    <row r="119">
      <c r="A119" s="4">
        <f>IFERROR(__xludf.DUMMYFUNCTION("""COMPUTED_VALUE"""),44007.66666666667)</f>
        <v>44007.66667</v>
      </c>
      <c r="B119" s="5">
        <f>IFERROR(__xludf.DUMMYFUNCTION("""COMPUTED_VALUE"""),3160.0)</f>
        <v>3160</v>
      </c>
      <c r="C119" s="5">
        <f>IFERROR(__xludf.DUMMYFUNCTION("""COMPUTED_VALUE"""),3220.0)</f>
        <v>3220</v>
      </c>
      <c r="D119" s="5">
        <f>IFERROR(__xludf.DUMMYFUNCTION("""COMPUTED_VALUE"""),3140.0)</f>
        <v>3140</v>
      </c>
      <c r="E119" s="5">
        <f>IFERROR(__xludf.DUMMYFUNCTION("""COMPUTED_VALUE"""),3160.0)</f>
        <v>3160</v>
      </c>
      <c r="F119" s="5">
        <f>IFERROR(__xludf.DUMMYFUNCTION("""COMPUTED_VALUE"""),1.008826E8)</f>
        <v>100882600</v>
      </c>
      <c r="G119" s="5">
        <f t="shared" si="1"/>
        <v>80</v>
      </c>
    </row>
    <row r="120">
      <c r="A120" s="4">
        <f>IFERROR(__xludf.DUMMYFUNCTION("""COMPUTED_VALUE"""),44008.66666666667)</f>
        <v>44008.66667</v>
      </c>
      <c r="B120" s="5">
        <f>IFERROR(__xludf.DUMMYFUNCTION("""COMPUTED_VALUE"""),3190.0)</f>
        <v>3190</v>
      </c>
      <c r="C120" s="5">
        <f>IFERROR(__xludf.DUMMYFUNCTION("""COMPUTED_VALUE"""),3220.0)</f>
        <v>3220</v>
      </c>
      <c r="D120" s="5">
        <f>IFERROR(__xludf.DUMMYFUNCTION("""COMPUTED_VALUE"""),3180.0)</f>
        <v>3180</v>
      </c>
      <c r="E120" s="5">
        <f>IFERROR(__xludf.DUMMYFUNCTION("""COMPUTED_VALUE"""),3190.0)</f>
        <v>3190</v>
      </c>
      <c r="F120" s="5">
        <f>IFERROR(__xludf.DUMMYFUNCTION("""COMPUTED_VALUE"""),1.007845E8)</f>
        <v>100784500</v>
      </c>
      <c r="G120" s="5">
        <f t="shared" si="1"/>
        <v>60</v>
      </c>
    </row>
    <row r="121">
      <c r="A121" s="4">
        <f>IFERROR(__xludf.DUMMYFUNCTION("""COMPUTED_VALUE"""),44011.66666666667)</f>
        <v>44011.66667</v>
      </c>
      <c r="B121" s="5">
        <f>IFERROR(__xludf.DUMMYFUNCTION("""COMPUTED_VALUE"""),3200.0)</f>
        <v>3200</v>
      </c>
      <c r="C121" s="5">
        <f>IFERROR(__xludf.DUMMYFUNCTION("""COMPUTED_VALUE"""),3250.0)</f>
        <v>3250</v>
      </c>
      <c r="D121" s="5">
        <f>IFERROR(__xludf.DUMMYFUNCTION("""COMPUTED_VALUE"""),3160.0)</f>
        <v>3160</v>
      </c>
      <c r="E121" s="5">
        <f>IFERROR(__xludf.DUMMYFUNCTION("""COMPUTED_VALUE"""),3180.0)</f>
        <v>3180</v>
      </c>
      <c r="F121" s="5">
        <f>IFERROR(__xludf.DUMMYFUNCTION("""COMPUTED_VALUE"""),1.566132E8)</f>
        <v>156613200</v>
      </c>
      <c r="G121" s="5">
        <f t="shared" si="1"/>
        <v>90</v>
      </c>
    </row>
    <row r="122">
      <c r="A122" s="4">
        <f>IFERROR(__xludf.DUMMYFUNCTION("""COMPUTED_VALUE"""),44012.66666666667)</f>
        <v>44012.66667</v>
      </c>
      <c r="B122" s="5">
        <f>IFERROR(__xludf.DUMMYFUNCTION("""COMPUTED_VALUE"""),3090.0)</f>
        <v>3090</v>
      </c>
      <c r="C122" s="5">
        <f>IFERROR(__xludf.DUMMYFUNCTION("""COMPUTED_VALUE"""),3100.0)</f>
        <v>3100</v>
      </c>
      <c r="D122" s="5">
        <f>IFERROR(__xludf.DUMMYFUNCTION("""COMPUTED_VALUE"""),3050.0)</f>
        <v>3050</v>
      </c>
      <c r="E122" s="5">
        <f>IFERROR(__xludf.DUMMYFUNCTION("""COMPUTED_VALUE"""),3050.0)</f>
        <v>3050</v>
      </c>
      <c r="F122" s="5">
        <f>IFERROR(__xludf.DUMMYFUNCTION("""COMPUTED_VALUE"""),2.580684E8)</f>
        <v>258068400</v>
      </c>
      <c r="G122" s="5">
        <f t="shared" si="1"/>
        <v>130</v>
      </c>
    </row>
    <row r="123">
      <c r="A123" s="4">
        <f>IFERROR(__xludf.DUMMYFUNCTION("""COMPUTED_VALUE"""),44013.66666666667)</f>
        <v>44013.66667</v>
      </c>
      <c r="B123" s="5">
        <f>IFERROR(__xludf.DUMMYFUNCTION("""COMPUTED_VALUE"""),3070.0)</f>
        <v>3070</v>
      </c>
      <c r="C123" s="5">
        <f>IFERROR(__xludf.DUMMYFUNCTION("""COMPUTED_VALUE"""),3100.0)</f>
        <v>3100</v>
      </c>
      <c r="D123" s="5">
        <f>IFERROR(__xludf.DUMMYFUNCTION("""COMPUTED_VALUE"""),3010.0)</f>
        <v>3010</v>
      </c>
      <c r="E123" s="5">
        <f>IFERROR(__xludf.DUMMYFUNCTION("""COMPUTED_VALUE"""),3040.0)</f>
        <v>3040</v>
      </c>
      <c r="F123" s="5">
        <f>IFERROR(__xludf.DUMMYFUNCTION("""COMPUTED_VALUE"""),1.480374E8)</f>
        <v>148037400</v>
      </c>
      <c r="G123" s="5">
        <f t="shared" si="1"/>
        <v>90</v>
      </c>
    </row>
    <row r="124">
      <c r="A124" s="4">
        <f>IFERROR(__xludf.DUMMYFUNCTION("""COMPUTED_VALUE"""),44014.66666666667)</f>
        <v>44014.66667</v>
      </c>
      <c r="B124" s="5">
        <f>IFERROR(__xludf.DUMMYFUNCTION("""COMPUTED_VALUE"""),3040.0)</f>
        <v>3040</v>
      </c>
      <c r="C124" s="5">
        <f>IFERROR(__xludf.DUMMYFUNCTION("""COMPUTED_VALUE"""),3140.0)</f>
        <v>3140</v>
      </c>
      <c r="D124" s="5">
        <f>IFERROR(__xludf.DUMMYFUNCTION("""COMPUTED_VALUE"""),3040.0)</f>
        <v>3040</v>
      </c>
      <c r="E124" s="5">
        <f>IFERROR(__xludf.DUMMYFUNCTION("""COMPUTED_VALUE"""),3140.0)</f>
        <v>3140</v>
      </c>
      <c r="F124" s="5">
        <f>IFERROR(__xludf.DUMMYFUNCTION("""COMPUTED_VALUE"""),1.783579E8)</f>
        <v>178357900</v>
      </c>
      <c r="G124" s="5">
        <f t="shared" si="1"/>
        <v>100</v>
      </c>
    </row>
    <row r="125">
      <c r="A125" s="4">
        <f>IFERROR(__xludf.DUMMYFUNCTION("""COMPUTED_VALUE"""),44015.66666666667)</f>
        <v>44015.66667</v>
      </c>
      <c r="B125" s="5">
        <f>IFERROR(__xludf.DUMMYFUNCTION("""COMPUTED_VALUE"""),3150.0)</f>
        <v>3150</v>
      </c>
      <c r="C125" s="5">
        <f>IFERROR(__xludf.DUMMYFUNCTION("""COMPUTED_VALUE"""),3180.0)</f>
        <v>3180</v>
      </c>
      <c r="D125" s="5">
        <f>IFERROR(__xludf.DUMMYFUNCTION("""COMPUTED_VALUE"""),3110.0)</f>
        <v>3110</v>
      </c>
      <c r="E125" s="5">
        <f>IFERROR(__xludf.DUMMYFUNCTION("""COMPUTED_VALUE"""),3120.0)</f>
        <v>3120</v>
      </c>
      <c r="F125" s="5">
        <f>IFERROR(__xludf.DUMMYFUNCTION("""COMPUTED_VALUE"""),1.020331E8)</f>
        <v>102033100</v>
      </c>
      <c r="G125" s="5">
        <f t="shared" si="1"/>
        <v>70</v>
      </c>
    </row>
    <row r="126">
      <c r="A126" s="4">
        <f>IFERROR(__xludf.DUMMYFUNCTION("""COMPUTED_VALUE"""),44018.66666666667)</f>
        <v>44018.66667</v>
      </c>
      <c r="B126" s="5">
        <f>IFERROR(__xludf.DUMMYFUNCTION("""COMPUTED_VALUE"""),3130.0)</f>
        <v>3130</v>
      </c>
      <c r="C126" s="5">
        <f>IFERROR(__xludf.DUMMYFUNCTION("""COMPUTED_VALUE"""),3150.0)</f>
        <v>3150</v>
      </c>
      <c r="D126" s="5">
        <f>IFERROR(__xludf.DUMMYFUNCTION("""COMPUTED_VALUE"""),3040.0)</f>
        <v>3040</v>
      </c>
      <c r="E126" s="5">
        <f>IFERROR(__xludf.DUMMYFUNCTION("""COMPUTED_VALUE"""),3050.0)</f>
        <v>3050</v>
      </c>
      <c r="F126" s="5">
        <f>IFERROR(__xludf.DUMMYFUNCTION("""COMPUTED_VALUE"""),2.485726E8)</f>
        <v>248572600</v>
      </c>
      <c r="G126" s="5">
        <f t="shared" si="1"/>
        <v>110</v>
      </c>
    </row>
    <row r="127">
      <c r="A127" s="4">
        <f>IFERROR(__xludf.DUMMYFUNCTION("""COMPUTED_VALUE"""),44019.66666666667)</f>
        <v>44019.66667</v>
      </c>
      <c r="B127" s="5">
        <f>IFERROR(__xludf.DUMMYFUNCTION("""COMPUTED_VALUE"""),3060.0)</f>
        <v>3060</v>
      </c>
      <c r="C127" s="5">
        <f>IFERROR(__xludf.DUMMYFUNCTION("""COMPUTED_VALUE"""),3120.0)</f>
        <v>3120</v>
      </c>
      <c r="D127" s="5">
        <f>IFERROR(__xludf.DUMMYFUNCTION("""COMPUTED_VALUE"""),3050.0)</f>
        <v>3050</v>
      </c>
      <c r="E127" s="5">
        <f>IFERROR(__xludf.DUMMYFUNCTION("""COMPUTED_VALUE"""),3120.0)</f>
        <v>3120</v>
      </c>
      <c r="F127" s="5">
        <f>IFERROR(__xludf.DUMMYFUNCTION("""COMPUTED_VALUE"""),1.691042E8)</f>
        <v>169104200</v>
      </c>
      <c r="G127" s="5">
        <f t="shared" si="1"/>
        <v>70</v>
      </c>
    </row>
    <row r="128">
      <c r="A128" s="4">
        <f>IFERROR(__xludf.DUMMYFUNCTION("""COMPUTED_VALUE"""),44020.66666666667)</f>
        <v>44020.66667</v>
      </c>
      <c r="B128" s="5">
        <f>IFERROR(__xludf.DUMMYFUNCTION("""COMPUTED_VALUE"""),3130.0)</f>
        <v>3130</v>
      </c>
      <c r="C128" s="5">
        <f>IFERROR(__xludf.DUMMYFUNCTION("""COMPUTED_VALUE"""),3160.0)</f>
        <v>3160</v>
      </c>
      <c r="D128" s="5">
        <f>IFERROR(__xludf.DUMMYFUNCTION("""COMPUTED_VALUE"""),3110.0)</f>
        <v>3110</v>
      </c>
      <c r="E128" s="5">
        <f>IFERROR(__xludf.DUMMYFUNCTION("""COMPUTED_VALUE"""),3150.0)</f>
        <v>3150</v>
      </c>
      <c r="F128" s="5">
        <f>IFERROR(__xludf.DUMMYFUNCTION("""COMPUTED_VALUE"""),1.581663E8)</f>
        <v>158166300</v>
      </c>
      <c r="G128" s="5">
        <f t="shared" si="1"/>
        <v>50</v>
      </c>
    </row>
    <row r="129">
      <c r="A129" s="4">
        <f>IFERROR(__xludf.DUMMYFUNCTION("""COMPUTED_VALUE"""),44021.66666666667)</f>
        <v>44021.66667</v>
      </c>
      <c r="B129" s="5">
        <f>IFERROR(__xludf.DUMMYFUNCTION("""COMPUTED_VALUE"""),3170.0)</f>
        <v>3170</v>
      </c>
      <c r="C129" s="5">
        <f>IFERROR(__xludf.DUMMYFUNCTION("""COMPUTED_VALUE"""),3190.0)</f>
        <v>3190</v>
      </c>
      <c r="D129" s="5">
        <f>IFERROR(__xludf.DUMMYFUNCTION("""COMPUTED_VALUE"""),3110.0)</f>
        <v>3110</v>
      </c>
      <c r="E129" s="5">
        <f>IFERROR(__xludf.DUMMYFUNCTION("""COMPUTED_VALUE"""),3110.0)</f>
        <v>3110</v>
      </c>
      <c r="F129" s="5">
        <f>IFERROR(__xludf.DUMMYFUNCTION("""COMPUTED_VALUE"""),1.259408E8)</f>
        <v>125940800</v>
      </c>
      <c r="G129" s="5">
        <f t="shared" si="1"/>
        <v>80</v>
      </c>
    </row>
    <row r="130">
      <c r="A130" s="4">
        <f>IFERROR(__xludf.DUMMYFUNCTION("""COMPUTED_VALUE"""),44022.66666666667)</f>
        <v>44022.66667</v>
      </c>
      <c r="B130" s="5">
        <f>IFERROR(__xludf.DUMMYFUNCTION("""COMPUTED_VALUE"""),3110.0)</f>
        <v>3110</v>
      </c>
      <c r="C130" s="5">
        <f>IFERROR(__xludf.DUMMYFUNCTION("""COMPUTED_VALUE"""),3130.0)</f>
        <v>3130</v>
      </c>
      <c r="D130" s="5">
        <f>IFERROR(__xludf.DUMMYFUNCTION("""COMPUTED_VALUE"""),3100.0)</f>
        <v>3100</v>
      </c>
      <c r="E130" s="5">
        <f>IFERROR(__xludf.DUMMYFUNCTION("""COMPUTED_VALUE"""),3110.0)</f>
        <v>3110</v>
      </c>
      <c r="F130" s="5">
        <f>IFERROR(__xludf.DUMMYFUNCTION("""COMPUTED_VALUE"""),9.54224E7)</f>
        <v>95422400</v>
      </c>
      <c r="G130" s="5">
        <f t="shared" si="1"/>
        <v>30</v>
      </c>
    </row>
    <row r="131">
      <c r="A131" s="4">
        <f>IFERROR(__xludf.DUMMYFUNCTION("""COMPUTED_VALUE"""),44025.66666666667)</f>
        <v>44025.66667</v>
      </c>
      <c r="B131" s="5">
        <f>IFERROR(__xludf.DUMMYFUNCTION("""COMPUTED_VALUE"""),3120.0)</f>
        <v>3120</v>
      </c>
      <c r="C131" s="5">
        <f>IFERROR(__xludf.DUMMYFUNCTION("""COMPUTED_VALUE"""),3130.0)</f>
        <v>3130</v>
      </c>
      <c r="D131" s="5">
        <f>IFERROR(__xludf.DUMMYFUNCTION("""COMPUTED_VALUE"""),3080.0)</f>
        <v>3080</v>
      </c>
      <c r="E131" s="5">
        <f>IFERROR(__xludf.DUMMYFUNCTION("""COMPUTED_VALUE"""),3090.0)</f>
        <v>3090</v>
      </c>
      <c r="F131" s="5">
        <f>IFERROR(__xludf.DUMMYFUNCTION("""COMPUTED_VALUE"""),7.77339E7)</f>
        <v>77733900</v>
      </c>
      <c r="G131" s="5">
        <f t="shared" si="1"/>
        <v>50</v>
      </c>
    </row>
    <row r="132">
      <c r="A132" s="4">
        <f>IFERROR(__xludf.DUMMYFUNCTION("""COMPUTED_VALUE"""),44026.66666666667)</f>
        <v>44026.66667</v>
      </c>
      <c r="B132" s="5">
        <f>IFERROR(__xludf.DUMMYFUNCTION("""COMPUTED_VALUE"""),3100.0)</f>
        <v>3100</v>
      </c>
      <c r="C132" s="5">
        <f>IFERROR(__xludf.DUMMYFUNCTION("""COMPUTED_VALUE"""),3110.0)</f>
        <v>3110</v>
      </c>
      <c r="D132" s="5">
        <f>IFERROR(__xludf.DUMMYFUNCTION("""COMPUTED_VALUE"""),3070.0)</f>
        <v>3070</v>
      </c>
      <c r="E132" s="5">
        <f>IFERROR(__xludf.DUMMYFUNCTION("""COMPUTED_VALUE"""),3080.0)</f>
        <v>3080</v>
      </c>
      <c r="F132" s="5">
        <f>IFERROR(__xludf.DUMMYFUNCTION("""COMPUTED_VALUE"""),1.114426E8)</f>
        <v>111442600</v>
      </c>
      <c r="G132" s="5">
        <f t="shared" si="1"/>
        <v>40</v>
      </c>
    </row>
    <row r="133">
      <c r="A133" s="4">
        <f>IFERROR(__xludf.DUMMYFUNCTION("""COMPUTED_VALUE"""),44027.66666666667)</f>
        <v>44027.66667</v>
      </c>
      <c r="B133" s="5">
        <f>IFERROR(__xludf.DUMMYFUNCTION("""COMPUTED_VALUE"""),3120.0)</f>
        <v>3120</v>
      </c>
      <c r="C133" s="5">
        <f>IFERROR(__xludf.DUMMYFUNCTION("""COMPUTED_VALUE"""),3130.0)</f>
        <v>3130</v>
      </c>
      <c r="D133" s="5">
        <f>IFERROR(__xludf.DUMMYFUNCTION("""COMPUTED_VALUE"""),3080.0)</f>
        <v>3080</v>
      </c>
      <c r="E133" s="5">
        <f>IFERROR(__xludf.DUMMYFUNCTION("""COMPUTED_VALUE"""),3090.0)</f>
        <v>3090</v>
      </c>
      <c r="F133" s="5">
        <f>IFERROR(__xludf.DUMMYFUNCTION("""COMPUTED_VALUE"""),1.023041E8)</f>
        <v>102304100</v>
      </c>
      <c r="G133" s="5">
        <f t="shared" si="1"/>
        <v>50</v>
      </c>
    </row>
    <row r="134">
      <c r="A134" s="4">
        <f>IFERROR(__xludf.DUMMYFUNCTION("""COMPUTED_VALUE"""),44028.66666666667)</f>
        <v>44028.66667</v>
      </c>
      <c r="B134" s="5">
        <f>IFERROR(__xludf.DUMMYFUNCTION("""COMPUTED_VALUE"""),3090.0)</f>
        <v>3090</v>
      </c>
      <c r="C134" s="5">
        <f>IFERROR(__xludf.DUMMYFUNCTION("""COMPUTED_VALUE"""),3110.0)</f>
        <v>3110</v>
      </c>
      <c r="D134" s="5">
        <f>IFERROR(__xludf.DUMMYFUNCTION("""COMPUTED_VALUE"""),3080.0)</f>
        <v>3080</v>
      </c>
      <c r="E134" s="5">
        <f>IFERROR(__xludf.DUMMYFUNCTION("""COMPUTED_VALUE"""),3100.0)</f>
        <v>3100</v>
      </c>
      <c r="F134" s="5">
        <f>IFERROR(__xludf.DUMMYFUNCTION("""COMPUTED_VALUE"""),9.1951E7)</f>
        <v>91951000</v>
      </c>
      <c r="G134" s="5">
        <f t="shared" si="1"/>
        <v>30</v>
      </c>
    </row>
    <row r="135">
      <c r="A135" s="4">
        <f>IFERROR(__xludf.DUMMYFUNCTION("""COMPUTED_VALUE"""),44029.66666666667)</f>
        <v>44029.66667</v>
      </c>
      <c r="B135" s="5">
        <f>IFERROR(__xludf.DUMMYFUNCTION("""COMPUTED_VALUE"""),3100.0)</f>
        <v>3100</v>
      </c>
      <c r="C135" s="5">
        <f>IFERROR(__xludf.DUMMYFUNCTION("""COMPUTED_VALUE"""),3110.0)</f>
        <v>3110</v>
      </c>
      <c r="D135" s="5">
        <f>IFERROR(__xludf.DUMMYFUNCTION("""COMPUTED_VALUE"""),3060.0)</f>
        <v>3060</v>
      </c>
      <c r="E135" s="5">
        <f>IFERROR(__xludf.DUMMYFUNCTION("""COMPUTED_VALUE"""),3060.0)</f>
        <v>3060</v>
      </c>
      <c r="F135" s="5">
        <f>IFERROR(__xludf.DUMMYFUNCTION("""COMPUTED_VALUE"""),1.124163E8)</f>
        <v>112416300</v>
      </c>
      <c r="G135" s="5">
        <f t="shared" si="1"/>
        <v>50</v>
      </c>
    </row>
    <row r="136">
      <c r="A136" s="4">
        <f>IFERROR(__xludf.DUMMYFUNCTION("""COMPUTED_VALUE"""),44032.66666666667)</f>
        <v>44032.66667</v>
      </c>
      <c r="B136" s="5">
        <f>IFERROR(__xludf.DUMMYFUNCTION("""COMPUTED_VALUE"""),3080.0)</f>
        <v>3080</v>
      </c>
      <c r="C136" s="5">
        <f>IFERROR(__xludf.DUMMYFUNCTION("""COMPUTED_VALUE"""),3080.0)</f>
        <v>3080</v>
      </c>
      <c r="D136" s="5">
        <f>IFERROR(__xludf.DUMMYFUNCTION("""COMPUTED_VALUE"""),3040.0)</f>
        <v>3040</v>
      </c>
      <c r="E136" s="5">
        <f>IFERROR(__xludf.DUMMYFUNCTION("""COMPUTED_VALUE"""),3060.0)</f>
        <v>3060</v>
      </c>
      <c r="F136" s="5">
        <f>IFERROR(__xludf.DUMMYFUNCTION("""COMPUTED_VALUE"""),6.47355E7)</f>
        <v>64735500</v>
      </c>
      <c r="G136" s="5">
        <f t="shared" si="1"/>
        <v>40</v>
      </c>
    </row>
    <row r="137">
      <c r="A137" s="4">
        <f>IFERROR(__xludf.DUMMYFUNCTION("""COMPUTED_VALUE"""),44033.66666666667)</f>
        <v>44033.66667</v>
      </c>
      <c r="B137" s="5">
        <f>IFERROR(__xludf.DUMMYFUNCTION("""COMPUTED_VALUE"""),3050.0)</f>
        <v>3050</v>
      </c>
      <c r="C137" s="5">
        <f>IFERROR(__xludf.DUMMYFUNCTION("""COMPUTED_VALUE"""),3110.0)</f>
        <v>3110</v>
      </c>
      <c r="D137" s="5">
        <f>IFERROR(__xludf.DUMMYFUNCTION("""COMPUTED_VALUE"""),3050.0)</f>
        <v>3050</v>
      </c>
      <c r="E137" s="5">
        <f>IFERROR(__xludf.DUMMYFUNCTION("""COMPUTED_VALUE"""),3060.0)</f>
        <v>3060</v>
      </c>
      <c r="F137" s="5">
        <f>IFERROR(__xludf.DUMMYFUNCTION("""COMPUTED_VALUE"""),1.012838E8)</f>
        <v>101283800</v>
      </c>
      <c r="G137" s="5">
        <f t="shared" si="1"/>
        <v>60</v>
      </c>
    </row>
    <row r="138">
      <c r="A138" s="4">
        <f>IFERROR(__xludf.DUMMYFUNCTION("""COMPUTED_VALUE"""),44034.66666666667)</f>
        <v>44034.66667</v>
      </c>
      <c r="B138" s="5">
        <f>IFERROR(__xludf.DUMMYFUNCTION("""COMPUTED_VALUE"""),3070.0)</f>
        <v>3070</v>
      </c>
      <c r="C138" s="5">
        <f>IFERROR(__xludf.DUMMYFUNCTION("""COMPUTED_VALUE"""),3090.0)</f>
        <v>3090</v>
      </c>
      <c r="D138" s="5">
        <f>IFERROR(__xludf.DUMMYFUNCTION("""COMPUTED_VALUE"""),3060.0)</f>
        <v>3060</v>
      </c>
      <c r="E138" s="5">
        <f>IFERROR(__xludf.DUMMYFUNCTION("""COMPUTED_VALUE"""),3070.0)</f>
        <v>3070</v>
      </c>
      <c r="F138" s="5">
        <f>IFERROR(__xludf.DUMMYFUNCTION("""COMPUTED_VALUE"""),6.94621E7)</f>
        <v>69462100</v>
      </c>
      <c r="G138" s="5">
        <f t="shared" si="1"/>
        <v>30</v>
      </c>
    </row>
    <row r="139">
      <c r="A139" s="4">
        <f>IFERROR(__xludf.DUMMYFUNCTION("""COMPUTED_VALUE"""),44035.66666666667)</f>
        <v>44035.66667</v>
      </c>
      <c r="B139" s="5">
        <f>IFERROR(__xludf.DUMMYFUNCTION("""COMPUTED_VALUE"""),3070.0)</f>
        <v>3070</v>
      </c>
      <c r="C139" s="5">
        <f>IFERROR(__xludf.DUMMYFUNCTION("""COMPUTED_VALUE"""),3090.0)</f>
        <v>3090</v>
      </c>
      <c r="D139" s="5">
        <f>IFERROR(__xludf.DUMMYFUNCTION("""COMPUTED_VALUE"""),3060.0)</f>
        <v>3060</v>
      </c>
      <c r="E139" s="5">
        <f>IFERROR(__xludf.DUMMYFUNCTION("""COMPUTED_VALUE"""),3070.0)</f>
        <v>3070</v>
      </c>
      <c r="F139" s="5">
        <f>IFERROR(__xludf.DUMMYFUNCTION("""COMPUTED_VALUE"""),7.04821E7)</f>
        <v>70482100</v>
      </c>
      <c r="G139" s="5">
        <f t="shared" si="1"/>
        <v>30</v>
      </c>
    </row>
    <row r="140">
      <c r="A140" s="4">
        <f>IFERROR(__xludf.DUMMYFUNCTION("""COMPUTED_VALUE"""),44036.66666666667)</f>
        <v>44036.66667</v>
      </c>
      <c r="B140" s="5">
        <f>IFERROR(__xludf.DUMMYFUNCTION("""COMPUTED_VALUE"""),3080.0)</f>
        <v>3080</v>
      </c>
      <c r="C140" s="5">
        <f>IFERROR(__xludf.DUMMYFUNCTION("""COMPUTED_VALUE"""),3080.0)</f>
        <v>3080</v>
      </c>
      <c r="D140" s="5">
        <f>IFERROR(__xludf.DUMMYFUNCTION("""COMPUTED_VALUE"""),3020.0)</f>
        <v>3020</v>
      </c>
      <c r="E140" s="5">
        <f>IFERROR(__xludf.DUMMYFUNCTION("""COMPUTED_VALUE"""),3020.0)</f>
        <v>3020</v>
      </c>
      <c r="F140" s="5">
        <f>IFERROR(__xludf.DUMMYFUNCTION("""COMPUTED_VALUE"""),1.372651E8)</f>
        <v>137265100</v>
      </c>
      <c r="G140" s="5">
        <f t="shared" si="1"/>
        <v>60</v>
      </c>
    </row>
    <row r="141">
      <c r="A141" s="4">
        <f>IFERROR(__xludf.DUMMYFUNCTION("""COMPUTED_VALUE"""),44039.66666666667)</f>
        <v>44039.66667</v>
      </c>
      <c r="B141" s="5">
        <f>IFERROR(__xludf.DUMMYFUNCTION("""COMPUTED_VALUE"""),3020.0)</f>
        <v>3020</v>
      </c>
      <c r="C141" s="5">
        <f>IFERROR(__xludf.DUMMYFUNCTION("""COMPUTED_VALUE"""),3050.0)</f>
        <v>3050</v>
      </c>
      <c r="D141" s="5">
        <f>IFERROR(__xludf.DUMMYFUNCTION("""COMPUTED_VALUE"""),3020.0)</f>
        <v>3020</v>
      </c>
      <c r="E141" s="5">
        <f>IFERROR(__xludf.DUMMYFUNCTION("""COMPUTED_VALUE"""),3040.0)</f>
        <v>3040</v>
      </c>
      <c r="F141" s="5">
        <f>IFERROR(__xludf.DUMMYFUNCTION("""COMPUTED_VALUE"""),5.87088E7)</f>
        <v>58708800</v>
      </c>
      <c r="G141" s="5">
        <f t="shared" si="1"/>
        <v>30</v>
      </c>
    </row>
    <row r="142">
      <c r="A142" s="4">
        <f>IFERROR(__xludf.DUMMYFUNCTION("""COMPUTED_VALUE"""),44040.66666666667)</f>
        <v>44040.66667</v>
      </c>
      <c r="B142" s="5">
        <f>IFERROR(__xludf.DUMMYFUNCTION("""COMPUTED_VALUE"""),3050.0)</f>
        <v>3050</v>
      </c>
      <c r="C142" s="5">
        <f>IFERROR(__xludf.DUMMYFUNCTION("""COMPUTED_VALUE"""),3050.0)</f>
        <v>3050</v>
      </c>
      <c r="D142" s="5">
        <f>IFERROR(__xludf.DUMMYFUNCTION("""COMPUTED_VALUE"""),3010.0)</f>
        <v>3010</v>
      </c>
      <c r="E142" s="5">
        <f>IFERROR(__xludf.DUMMYFUNCTION("""COMPUTED_VALUE"""),3020.0)</f>
        <v>3020</v>
      </c>
      <c r="F142" s="5">
        <f>IFERROR(__xludf.DUMMYFUNCTION("""COMPUTED_VALUE"""),1.027053E8)</f>
        <v>102705300</v>
      </c>
      <c r="G142" s="5">
        <f t="shared" si="1"/>
        <v>40</v>
      </c>
    </row>
    <row r="143">
      <c r="A143" s="4">
        <f>IFERROR(__xludf.DUMMYFUNCTION("""COMPUTED_VALUE"""),44041.66666666667)</f>
        <v>44041.66667</v>
      </c>
      <c r="B143" s="5">
        <f>IFERROR(__xludf.DUMMYFUNCTION("""COMPUTED_VALUE"""),3030.0)</f>
        <v>3030</v>
      </c>
      <c r="C143" s="5">
        <f>IFERROR(__xludf.DUMMYFUNCTION("""COMPUTED_VALUE"""),3050.0)</f>
        <v>3050</v>
      </c>
      <c r="D143" s="5">
        <f>IFERROR(__xludf.DUMMYFUNCTION("""COMPUTED_VALUE"""),3000.0)</f>
        <v>3000</v>
      </c>
      <c r="E143" s="5">
        <f>IFERROR(__xludf.DUMMYFUNCTION("""COMPUTED_VALUE"""),3000.0)</f>
        <v>3000</v>
      </c>
      <c r="F143" s="5">
        <f>IFERROR(__xludf.DUMMYFUNCTION("""COMPUTED_VALUE"""),1.14352E8)</f>
        <v>114352000</v>
      </c>
      <c r="G143" s="5">
        <f t="shared" si="1"/>
        <v>50</v>
      </c>
    </row>
    <row r="144">
      <c r="A144" s="4">
        <f>IFERROR(__xludf.DUMMYFUNCTION("""COMPUTED_VALUE"""),44042.66666666667)</f>
        <v>44042.66667</v>
      </c>
      <c r="B144" s="5">
        <f>IFERROR(__xludf.DUMMYFUNCTION("""COMPUTED_VALUE"""),3040.0)</f>
        <v>3040</v>
      </c>
      <c r="C144" s="5">
        <f>IFERROR(__xludf.DUMMYFUNCTION("""COMPUTED_VALUE"""),3050.0)</f>
        <v>3050</v>
      </c>
      <c r="D144" s="5">
        <f>IFERROR(__xludf.DUMMYFUNCTION("""COMPUTED_VALUE"""),3000.0)</f>
        <v>3000</v>
      </c>
      <c r="E144" s="5">
        <f>IFERROR(__xludf.DUMMYFUNCTION("""COMPUTED_VALUE"""),3050.0)</f>
        <v>3050</v>
      </c>
      <c r="F144" s="5">
        <f>IFERROR(__xludf.DUMMYFUNCTION("""COMPUTED_VALUE"""),9.5785E7)</f>
        <v>95785000</v>
      </c>
      <c r="G144" s="5">
        <f t="shared" si="1"/>
        <v>50</v>
      </c>
    </row>
    <row r="145">
      <c r="A145" s="4">
        <f>IFERROR(__xludf.DUMMYFUNCTION("""COMPUTED_VALUE"""),44046.66666666667)</f>
        <v>44046.66667</v>
      </c>
      <c r="B145" s="5">
        <f>IFERROR(__xludf.DUMMYFUNCTION("""COMPUTED_VALUE"""),3060.0)</f>
        <v>3060</v>
      </c>
      <c r="C145" s="5">
        <f>IFERROR(__xludf.DUMMYFUNCTION("""COMPUTED_VALUE"""),3060.0)</f>
        <v>3060</v>
      </c>
      <c r="D145" s="5">
        <f>IFERROR(__xludf.DUMMYFUNCTION("""COMPUTED_VALUE"""),2850.0)</f>
        <v>2850</v>
      </c>
      <c r="E145" s="5">
        <f>IFERROR(__xludf.DUMMYFUNCTION("""COMPUTED_VALUE"""),2920.0)</f>
        <v>2920</v>
      </c>
      <c r="F145" s="5">
        <f>IFERROR(__xludf.DUMMYFUNCTION("""COMPUTED_VALUE"""),2.556598E8)</f>
        <v>255659800</v>
      </c>
      <c r="G145" s="5">
        <f t="shared" si="1"/>
        <v>210</v>
      </c>
    </row>
    <row r="146">
      <c r="A146" s="4">
        <f>IFERROR(__xludf.DUMMYFUNCTION("""COMPUTED_VALUE"""),44047.66666666667)</f>
        <v>44047.66667</v>
      </c>
      <c r="B146" s="5">
        <f>IFERROR(__xludf.DUMMYFUNCTION("""COMPUTED_VALUE"""),2970.0)</f>
        <v>2970</v>
      </c>
      <c r="C146" s="5">
        <f>IFERROR(__xludf.DUMMYFUNCTION("""COMPUTED_VALUE"""),2970.0)</f>
        <v>2970</v>
      </c>
      <c r="D146" s="5">
        <f>IFERROR(__xludf.DUMMYFUNCTION("""COMPUTED_VALUE"""),2920.0)</f>
        <v>2920</v>
      </c>
      <c r="E146" s="5">
        <f>IFERROR(__xludf.DUMMYFUNCTION("""COMPUTED_VALUE"""),2950.0)</f>
        <v>2950</v>
      </c>
      <c r="F146" s="5">
        <f>IFERROR(__xludf.DUMMYFUNCTION("""COMPUTED_VALUE"""),9.6018E7)</f>
        <v>96018000</v>
      </c>
      <c r="G146" s="5">
        <f t="shared" si="1"/>
        <v>50</v>
      </c>
    </row>
    <row r="147">
      <c r="A147" s="4">
        <f>IFERROR(__xludf.DUMMYFUNCTION("""COMPUTED_VALUE"""),44048.66666666667)</f>
        <v>44048.66667</v>
      </c>
      <c r="B147" s="5">
        <f>IFERROR(__xludf.DUMMYFUNCTION("""COMPUTED_VALUE"""),2960.0)</f>
        <v>2960</v>
      </c>
      <c r="C147" s="5">
        <f>IFERROR(__xludf.DUMMYFUNCTION("""COMPUTED_VALUE"""),3040.0)</f>
        <v>3040</v>
      </c>
      <c r="D147" s="5">
        <f>IFERROR(__xludf.DUMMYFUNCTION("""COMPUTED_VALUE"""),2920.0)</f>
        <v>2920</v>
      </c>
      <c r="E147" s="5">
        <f>IFERROR(__xludf.DUMMYFUNCTION("""COMPUTED_VALUE"""),3020.0)</f>
        <v>3020</v>
      </c>
      <c r="F147" s="5">
        <f>IFERROR(__xludf.DUMMYFUNCTION("""COMPUTED_VALUE"""),1.207191E8)</f>
        <v>120719100</v>
      </c>
      <c r="G147" s="5">
        <f t="shared" si="1"/>
        <v>120</v>
      </c>
    </row>
    <row r="148">
      <c r="A148" s="4">
        <f>IFERROR(__xludf.DUMMYFUNCTION("""COMPUTED_VALUE"""),44049.66666666667)</f>
        <v>44049.66667</v>
      </c>
      <c r="B148" s="5">
        <f>IFERROR(__xludf.DUMMYFUNCTION("""COMPUTED_VALUE"""),3050.0)</f>
        <v>3050</v>
      </c>
      <c r="C148" s="5">
        <f>IFERROR(__xludf.DUMMYFUNCTION("""COMPUTED_VALUE"""),3050.0)</f>
        <v>3050</v>
      </c>
      <c r="D148" s="5">
        <f>IFERROR(__xludf.DUMMYFUNCTION("""COMPUTED_VALUE"""),3000.0)</f>
        <v>3000</v>
      </c>
      <c r="E148" s="5">
        <f>IFERROR(__xludf.DUMMYFUNCTION("""COMPUTED_VALUE"""),3020.0)</f>
        <v>3020</v>
      </c>
      <c r="F148" s="5">
        <f>IFERROR(__xludf.DUMMYFUNCTION("""COMPUTED_VALUE"""),7.1699E7)</f>
        <v>71699000</v>
      </c>
      <c r="G148" s="5">
        <f t="shared" si="1"/>
        <v>50</v>
      </c>
    </row>
    <row r="149">
      <c r="A149" s="4">
        <f>IFERROR(__xludf.DUMMYFUNCTION("""COMPUTED_VALUE"""),44050.66666666667)</f>
        <v>44050.66667</v>
      </c>
      <c r="B149" s="5">
        <f>IFERROR(__xludf.DUMMYFUNCTION("""COMPUTED_VALUE"""),3020.0)</f>
        <v>3020</v>
      </c>
      <c r="C149" s="5">
        <f>IFERROR(__xludf.DUMMYFUNCTION("""COMPUTED_VALUE"""),3030.0)</f>
        <v>3030</v>
      </c>
      <c r="D149" s="5">
        <f>IFERROR(__xludf.DUMMYFUNCTION("""COMPUTED_VALUE"""),2970.0)</f>
        <v>2970</v>
      </c>
      <c r="E149" s="5">
        <f>IFERROR(__xludf.DUMMYFUNCTION("""COMPUTED_VALUE"""),2980.0)</f>
        <v>2980</v>
      </c>
      <c r="F149" s="5">
        <f>IFERROR(__xludf.DUMMYFUNCTION("""COMPUTED_VALUE"""),7.83472E7)</f>
        <v>78347200</v>
      </c>
      <c r="G149" s="5">
        <f t="shared" si="1"/>
        <v>60</v>
      </c>
    </row>
    <row r="150">
      <c r="A150" s="4">
        <f>IFERROR(__xludf.DUMMYFUNCTION("""COMPUTED_VALUE"""),44053.66666666667)</f>
        <v>44053.66667</v>
      </c>
      <c r="B150" s="5">
        <f>IFERROR(__xludf.DUMMYFUNCTION("""COMPUTED_VALUE"""),3000.0)</f>
        <v>3000</v>
      </c>
      <c r="C150" s="5">
        <f>IFERROR(__xludf.DUMMYFUNCTION("""COMPUTED_VALUE"""),3020.0)</f>
        <v>3020</v>
      </c>
      <c r="D150" s="5">
        <f>IFERROR(__xludf.DUMMYFUNCTION("""COMPUTED_VALUE"""),2970.0)</f>
        <v>2970</v>
      </c>
      <c r="E150" s="5">
        <f>IFERROR(__xludf.DUMMYFUNCTION("""COMPUTED_VALUE"""),2970.0)</f>
        <v>2970</v>
      </c>
      <c r="F150" s="5">
        <f>IFERROR(__xludf.DUMMYFUNCTION("""COMPUTED_VALUE"""),6.54854E7)</f>
        <v>65485400</v>
      </c>
      <c r="G150" s="5">
        <f t="shared" si="1"/>
        <v>50</v>
      </c>
    </row>
    <row r="151">
      <c r="A151" s="4">
        <f>IFERROR(__xludf.DUMMYFUNCTION("""COMPUTED_VALUE"""),44054.66666666667)</f>
        <v>44054.66667</v>
      </c>
      <c r="B151" s="5">
        <f>IFERROR(__xludf.DUMMYFUNCTION("""COMPUTED_VALUE"""),2980.0)</f>
        <v>2980</v>
      </c>
      <c r="C151" s="5">
        <f>IFERROR(__xludf.DUMMYFUNCTION("""COMPUTED_VALUE"""),3000.0)</f>
        <v>3000</v>
      </c>
      <c r="D151" s="5">
        <f>IFERROR(__xludf.DUMMYFUNCTION("""COMPUTED_VALUE"""),2930.0)</f>
        <v>2930</v>
      </c>
      <c r="E151" s="5">
        <f>IFERROR(__xludf.DUMMYFUNCTION("""COMPUTED_VALUE"""),2930.0)</f>
        <v>2930</v>
      </c>
      <c r="F151" s="5">
        <f>IFERROR(__xludf.DUMMYFUNCTION("""COMPUTED_VALUE"""),1.75693E8)</f>
        <v>175693000</v>
      </c>
      <c r="G151" s="5">
        <f t="shared" si="1"/>
        <v>70</v>
      </c>
    </row>
    <row r="152">
      <c r="A152" s="4">
        <f>IFERROR(__xludf.DUMMYFUNCTION("""COMPUTED_VALUE"""),44055.66666666667)</f>
        <v>44055.66667</v>
      </c>
      <c r="B152" s="5">
        <f>IFERROR(__xludf.DUMMYFUNCTION("""COMPUTED_VALUE"""),2930.0)</f>
        <v>2930</v>
      </c>
      <c r="C152" s="5">
        <f>IFERROR(__xludf.DUMMYFUNCTION("""COMPUTED_VALUE"""),2960.0)</f>
        <v>2960</v>
      </c>
      <c r="D152" s="5">
        <f>IFERROR(__xludf.DUMMYFUNCTION("""COMPUTED_VALUE"""),2920.0)</f>
        <v>2920</v>
      </c>
      <c r="E152" s="5">
        <f>IFERROR(__xludf.DUMMYFUNCTION("""COMPUTED_VALUE"""),2950.0)</f>
        <v>2950</v>
      </c>
      <c r="F152" s="5">
        <f>IFERROR(__xludf.DUMMYFUNCTION("""COMPUTED_VALUE"""),1.109348E8)</f>
        <v>110934800</v>
      </c>
      <c r="G152" s="5">
        <f t="shared" si="1"/>
        <v>40</v>
      </c>
    </row>
    <row r="153">
      <c r="A153" s="4">
        <f>IFERROR(__xludf.DUMMYFUNCTION("""COMPUTED_VALUE"""),44056.66666666667)</f>
        <v>44056.66667</v>
      </c>
      <c r="B153" s="5">
        <f>IFERROR(__xludf.DUMMYFUNCTION("""COMPUTED_VALUE"""),2950.0)</f>
        <v>2950</v>
      </c>
      <c r="C153" s="5">
        <f>IFERROR(__xludf.DUMMYFUNCTION("""COMPUTED_VALUE"""),3020.0)</f>
        <v>3020</v>
      </c>
      <c r="D153" s="5">
        <f>IFERROR(__xludf.DUMMYFUNCTION("""COMPUTED_VALUE"""),2950.0)</f>
        <v>2950</v>
      </c>
      <c r="E153" s="5">
        <f>IFERROR(__xludf.DUMMYFUNCTION("""COMPUTED_VALUE"""),3010.0)</f>
        <v>3010</v>
      </c>
      <c r="F153" s="5">
        <f>IFERROR(__xludf.DUMMYFUNCTION("""COMPUTED_VALUE"""),1.609066E8)</f>
        <v>160906600</v>
      </c>
      <c r="G153" s="5">
        <f t="shared" si="1"/>
        <v>70</v>
      </c>
    </row>
    <row r="154">
      <c r="A154" s="4">
        <f>IFERROR(__xludf.DUMMYFUNCTION("""COMPUTED_VALUE"""),44057.66666666667)</f>
        <v>44057.66667</v>
      </c>
      <c r="B154" s="5">
        <f>IFERROR(__xludf.DUMMYFUNCTION("""COMPUTED_VALUE"""),3020.0)</f>
        <v>3020</v>
      </c>
      <c r="C154" s="5">
        <f>IFERROR(__xludf.DUMMYFUNCTION("""COMPUTED_VALUE"""),3040.0)</f>
        <v>3040</v>
      </c>
      <c r="D154" s="5">
        <f>IFERROR(__xludf.DUMMYFUNCTION("""COMPUTED_VALUE"""),3000.0)</f>
        <v>3000</v>
      </c>
      <c r="E154" s="5">
        <f>IFERROR(__xludf.DUMMYFUNCTION("""COMPUTED_VALUE"""),3030.0)</f>
        <v>3030</v>
      </c>
      <c r="F154" s="5">
        <f>IFERROR(__xludf.DUMMYFUNCTION("""COMPUTED_VALUE"""),9.30075E7)</f>
        <v>93007500</v>
      </c>
      <c r="G154" s="5">
        <f t="shared" si="1"/>
        <v>40</v>
      </c>
    </row>
    <row r="155">
      <c r="A155" s="4">
        <f>IFERROR(__xludf.DUMMYFUNCTION("""COMPUTED_VALUE"""),44061.66666666667)</f>
        <v>44061.66667</v>
      </c>
      <c r="B155" s="5">
        <f>IFERROR(__xludf.DUMMYFUNCTION("""COMPUTED_VALUE"""),3030.0)</f>
        <v>3030</v>
      </c>
      <c r="C155" s="5">
        <f>IFERROR(__xludf.DUMMYFUNCTION("""COMPUTED_VALUE"""),3060.0)</f>
        <v>3060</v>
      </c>
      <c r="D155" s="5">
        <f>IFERROR(__xludf.DUMMYFUNCTION("""COMPUTED_VALUE"""),3000.0)</f>
        <v>3000</v>
      </c>
      <c r="E155" s="5">
        <f>IFERROR(__xludf.DUMMYFUNCTION("""COMPUTED_VALUE"""),3050.0)</f>
        <v>3050</v>
      </c>
      <c r="F155" s="5">
        <f>IFERROR(__xludf.DUMMYFUNCTION("""COMPUTED_VALUE"""),1.393585E8)</f>
        <v>139358500</v>
      </c>
      <c r="G155" s="5">
        <f t="shared" si="1"/>
        <v>60</v>
      </c>
    </row>
    <row r="156">
      <c r="A156" s="4">
        <f>IFERROR(__xludf.DUMMYFUNCTION("""COMPUTED_VALUE"""),44062.66666666667)</f>
        <v>44062.66667</v>
      </c>
      <c r="B156" s="5">
        <f>IFERROR(__xludf.DUMMYFUNCTION("""COMPUTED_VALUE"""),3050.0)</f>
        <v>3050</v>
      </c>
      <c r="C156" s="5">
        <f>IFERROR(__xludf.DUMMYFUNCTION("""COMPUTED_VALUE"""),3050.0)</f>
        <v>3050</v>
      </c>
      <c r="D156" s="5">
        <f>IFERROR(__xludf.DUMMYFUNCTION("""COMPUTED_VALUE"""),3000.0)</f>
        <v>3000</v>
      </c>
      <c r="E156" s="5">
        <f>IFERROR(__xludf.DUMMYFUNCTION("""COMPUTED_VALUE"""),3000.0)</f>
        <v>3000</v>
      </c>
      <c r="F156" s="5">
        <f>IFERROR(__xludf.DUMMYFUNCTION("""COMPUTED_VALUE"""),1.039806E8)</f>
        <v>103980600</v>
      </c>
      <c r="G156" s="5">
        <f t="shared" si="1"/>
        <v>50</v>
      </c>
    </row>
    <row r="157">
      <c r="A157" s="4">
        <f>IFERROR(__xludf.DUMMYFUNCTION("""COMPUTED_VALUE"""),44067.66666666667)</f>
        <v>44067.66667</v>
      </c>
      <c r="B157" s="5">
        <f>IFERROR(__xludf.DUMMYFUNCTION("""COMPUTED_VALUE"""),3010.0)</f>
        <v>3010</v>
      </c>
      <c r="C157" s="5">
        <f>IFERROR(__xludf.DUMMYFUNCTION("""COMPUTED_VALUE"""),3020.0)</f>
        <v>3020</v>
      </c>
      <c r="D157" s="5">
        <f>IFERROR(__xludf.DUMMYFUNCTION("""COMPUTED_VALUE"""),2990.0)</f>
        <v>2990</v>
      </c>
      <c r="E157" s="5">
        <f>IFERROR(__xludf.DUMMYFUNCTION("""COMPUTED_VALUE"""),3000.0)</f>
        <v>3000</v>
      </c>
      <c r="F157" s="5">
        <f>IFERROR(__xludf.DUMMYFUNCTION("""COMPUTED_VALUE"""),7.67139E7)</f>
        <v>76713900</v>
      </c>
      <c r="G157" s="5">
        <f t="shared" si="1"/>
        <v>30</v>
      </c>
    </row>
    <row r="158">
      <c r="A158" s="4">
        <f>IFERROR(__xludf.DUMMYFUNCTION("""COMPUTED_VALUE"""),44068.66666666667)</f>
        <v>44068.66667</v>
      </c>
      <c r="B158" s="5">
        <f>IFERROR(__xludf.DUMMYFUNCTION("""COMPUTED_VALUE"""),3010.0)</f>
        <v>3010</v>
      </c>
      <c r="C158" s="5">
        <f>IFERROR(__xludf.DUMMYFUNCTION("""COMPUTED_VALUE"""),3010.0)</f>
        <v>3010</v>
      </c>
      <c r="D158" s="5">
        <f>IFERROR(__xludf.DUMMYFUNCTION("""COMPUTED_VALUE"""),2980.0)</f>
        <v>2980</v>
      </c>
      <c r="E158" s="5">
        <f>IFERROR(__xludf.DUMMYFUNCTION("""COMPUTED_VALUE"""),2980.0)</f>
        <v>2980</v>
      </c>
      <c r="F158" s="5">
        <f>IFERROR(__xludf.DUMMYFUNCTION("""COMPUTED_VALUE"""),1.000136E8)</f>
        <v>100013600</v>
      </c>
      <c r="G158" s="5">
        <f t="shared" si="1"/>
        <v>30</v>
      </c>
    </row>
    <row r="159">
      <c r="A159" s="4">
        <f>IFERROR(__xludf.DUMMYFUNCTION("""COMPUTED_VALUE"""),44069.66666666667)</f>
        <v>44069.66667</v>
      </c>
      <c r="B159" s="5">
        <f>IFERROR(__xludf.DUMMYFUNCTION("""COMPUTED_VALUE"""),2980.0)</f>
        <v>2980</v>
      </c>
      <c r="C159" s="5">
        <f>IFERROR(__xludf.DUMMYFUNCTION("""COMPUTED_VALUE"""),3050.0)</f>
        <v>3050</v>
      </c>
      <c r="D159" s="5">
        <f>IFERROR(__xludf.DUMMYFUNCTION("""COMPUTED_VALUE"""),2980.0)</f>
        <v>2980</v>
      </c>
      <c r="E159" s="5">
        <f>IFERROR(__xludf.DUMMYFUNCTION("""COMPUTED_VALUE"""),3020.0)</f>
        <v>3020</v>
      </c>
      <c r="F159" s="5">
        <f>IFERROR(__xludf.DUMMYFUNCTION("""COMPUTED_VALUE"""),1.224653E8)</f>
        <v>122465300</v>
      </c>
      <c r="G159" s="5">
        <f t="shared" si="1"/>
        <v>70</v>
      </c>
    </row>
    <row r="160">
      <c r="A160" s="4">
        <f>IFERROR(__xludf.DUMMYFUNCTION("""COMPUTED_VALUE"""),44070.66666666667)</f>
        <v>44070.66667</v>
      </c>
      <c r="B160" s="5">
        <f>IFERROR(__xludf.DUMMYFUNCTION("""COMPUTED_VALUE"""),3020.0)</f>
        <v>3020</v>
      </c>
      <c r="C160" s="5">
        <f>IFERROR(__xludf.DUMMYFUNCTION("""COMPUTED_VALUE"""),3040.0)</f>
        <v>3040</v>
      </c>
      <c r="D160" s="5">
        <f>IFERROR(__xludf.DUMMYFUNCTION("""COMPUTED_VALUE"""),2970.0)</f>
        <v>2970</v>
      </c>
      <c r="E160" s="5">
        <f>IFERROR(__xludf.DUMMYFUNCTION("""COMPUTED_VALUE"""),2990.0)</f>
        <v>2990</v>
      </c>
      <c r="F160" s="5">
        <f>IFERROR(__xludf.DUMMYFUNCTION("""COMPUTED_VALUE"""),1.027878E8)</f>
        <v>102787800</v>
      </c>
      <c r="G160" s="5">
        <f t="shared" si="1"/>
        <v>70</v>
      </c>
    </row>
    <row r="161">
      <c r="A161" s="4">
        <f>IFERROR(__xludf.DUMMYFUNCTION("""COMPUTED_VALUE"""),44071.66666666667)</f>
        <v>44071.66667</v>
      </c>
      <c r="B161" s="5">
        <f>IFERROR(__xludf.DUMMYFUNCTION("""COMPUTED_VALUE"""),2990.0)</f>
        <v>2990</v>
      </c>
      <c r="C161" s="5">
        <f>IFERROR(__xludf.DUMMYFUNCTION("""COMPUTED_VALUE"""),2990.0)</f>
        <v>2990</v>
      </c>
      <c r="D161" s="5">
        <f>IFERROR(__xludf.DUMMYFUNCTION("""COMPUTED_VALUE"""),2940.0)</f>
        <v>2940</v>
      </c>
      <c r="E161" s="5">
        <f>IFERROR(__xludf.DUMMYFUNCTION("""COMPUTED_VALUE"""),2960.0)</f>
        <v>2960</v>
      </c>
      <c r="F161" s="5">
        <f>IFERROR(__xludf.DUMMYFUNCTION("""COMPUTED_VALUE"""),1.605695E8)</f>
        <v>160569500</v>
      </c>
      <c r="G161" s="5">
        <f t="shared" si="1"/>
        <v>50</v>
      </c>
    </row>
    <row r="162">
      <c r="A162" s="4">
        <f>IFERROR(__xludf.DUMMYFUNCTION("""COMPUTED_VALUE"""),44074.66666666667)</f>
        <v>44074.66667</v>
      </c>
      <c r="B162" s="5">
        <f>IFERROR(__xludf.DUMMYFUNCTION("""COMPUTED_VALUE"""),2960.0)</f>
        <v>2960</v>
      </c>
      <c r="C162" s="5">
        <f>IFERROR(__xludf.DUMMYFUNCTION("""COMPUTED_VALUE"""),2980.0)</f>
        <v>2980</v>
      </c>
      <c r="D162" s="5">
        <f>IFERROR(__xludf.DUMMYFUNCTION("""COMPUTED_VALUE"""),2860.0)</f>
        <v>2860</v>
      </c>
      <c r="E162" s="5">
        <f>IFERROR(__xludf.DUMMYFUNCTION("""COMPUTED_VALUE"""),2860.0)</f>
        <v>2860</v>
      </c>
      <c r="F162" s="5">
        <f>IFERROR(__xludf.DUMMYFUNCTION("""COMPUTED_VALUE"""),2.042611E8)</f>
        <v>204261100</v>
      </c>
      <c r="G162" s="5">
        <f t="shared" si="1"/>
        <v>120</v>
      </c>
    </row>
    <row r="163">
      <c r="A163" s="4">
        <f>IFERROR(__xludf.DUMMYFUNCTION("""COMPUTED_VALUE"""),44075.66666666667)</f>
        <v>44075.66667</v>
      </c>
      <c r="B163" s="5">
        <f>IFERROR(__xludf.DUMMYFUNCTION("""COMPUTED_VALUE"""),2900.0)</f>
        <v>2900</v>
      </c>
      <c r="C163" s="5">
        <f>IFERROR(__xludf.DUMMYFUNCTION("""COMPUTED_VALUE"""),2910.0)</f>
        <v>2910</v>
      </c>
      <c r="D163" s="5">
        <f>IFERROR(__xludf.DUMMYFUNCTION("""COMPUTED_VALUE"""),2860.0)</f>
        <v>2860</v>
      </c>
      <c r="E163" s="5">
        <f>IFERROR(__xludf.DUMMYFUNCTION("""COMPUTED_VALUE"""),2900.0)</f>
        <v>2900</v>
      </c>
      <c r="F163" s="5">
        <f>IFERROR(__xludf.DUMMYFUNCTION("""COMPUTED_VALUE"""),9.05654E7)</f>
        <v>90565400</v>
      </c>
      <c r="G163" s="5">
        <f t="shared" si="1"/>
        <v>50</v>
      </c>
    </row>
    <row r="164">
      <c r="A164" s="4">
        <f>IFERROR(__xludf.DUMMYFUNCTION("""COMPUTED_VALUE"""),44076.66666666667)</f>
        <v>44076.66667</v>
      </c>
      <c r="B164" s="5">
        <f>IFERROR(__xludf.DUMMYFUNCTION("""COMPUTED_VALUE"""),2900.0)</f>
        <v>2900</v>
      </c>
      <c r="C164" s="5">
        <f>IFERROR(__xludf.DUMMYFUNCTION("""COMPUTED_VALUE"""),2970.0)</f>
        <v>2970</v>
      </c>
      <c r="D164" s="5">
        <f>IFERROR(__xludf.DUMMYFUNCTION("""COMPUTED_VALUE"""),2900.0)</f>
        <v>2900</v>
      </c>
      <c r="E164" s="5">
        <f>IFERROR(__xludf.DUMMYFUNCTION("""COMPUTED_VALUE"""),2950.0)</f>
        <v>2950</v>
      </c>
      <c r="F164" s="5">
        <f>IFERROR(__xludf.DUMMYFUNCTION("""COMPUTED_VALUE"""),1.075898E8)</f>
        <v>107589800</v>
      </c>
      <c r="G164" s="5">
        <f t="shared" si="1"/>
        <v>70</v>
      </c>
    </row>
    <row r="165">
      <c r="A165" s="4">
        <f>IFERROR(__xludf.DUMMYFUNCTION("""COMPUTED_VALUE"""),44077.66666666667)</f>
        <v>44077.66667</v>
      </c>
      <c r="B165" s="5">
        <f>IFERROR(__xludf.DUMMYFUNCTION("""COMPUTED_VALUE"""),2950.0)</f>
        <v>2950</v>
      </c>
      <c r="C165" s="5">
        <f>IFERROR(__xludf.DUMMYFUNCTION("""COMPUTED_VALUE"""),2960.0)</f>
        <v>2960</v>
      </c>
      <c r="D165" s="5">
        <f>IFERROR(__xludf.DUMMYFUNCTION("""COMPUTED_VALUE"""),2880.0)</f>
        <v>2880</v>
      </c>
      <c r="E165" s="5">
        <f>IFERROR(__xludf.DUMMYFUNCTION("""COMPUTED_VALUE"""),2900.0)</f>
        <v>2900</v>
      </c>
      <c r="F165" s="5">
        <f>IFERROR(__xludf.DUMMYFUNCTION("""COMPUTED_VALUE"""),1.231061E8)</f>
        <v>123106100</v>
      </c>
      <c r="G165" s="5">
        <f t="shared" si="1"/>
        <v>80</v>
      </c>
    </row>
    <row r="166">
      <c r="A166" s="4">
        <f>IFERROR(__xludf.DUMMYFUNCTION("""COMPUTED_VALUE"""),44078.66666666667)</f>
        <v>44078.66667</v>
      </c>
      <c r="B166" s="5">
        <f>IFERROR(__xludf.DUMMYFUNCTION("""COMPUTED_VALUE"""),2850.0)</f>
        <v>2850</v>
      </c>
      <c r="C166" s="5">
        <f>IFERROR(__xludf.DUMMYFUNCTION("""COMPUTED_VALUE"""),2890.0)</f>
        <v>2890</v>
      </c>
      <c r="D166" s="5">
        <f>IFERROR(__xludf.DUMMYFUNCTION("""COMPUTED_VALUE"""),2840.0)</f>
        <v>2840</v>
      </c>
      <c r="E166" s="5">
        <f>IFERROR(__xludf.DUMMYFUNCTION("""COMPUTED_VALUE"""),2860.0)</f>
        <v>2860</v>
      </c>
      <c r="F166" s="5">
        <f>IFERROR(__xludf.DUMMYFUNCTION("""COMPUTED_VALUE"""),1.435691E8)</f>
        <v>143569100</v>
      </c>
      <c r="G166" s="5">
        <f t="shared" si="1"/>
        <v>60</v>
      </c>
    </row>
    <row r="167">
      <c r="A167" s="4">
        <f>IFERROR(__xludf.DUMMYFUNCTION("""COMPUTED_VALUE"""),44081.66666666667)</f>
        <v>44081.66667</v>
      </c>
      <c r="B167" s="5">
        <f>IFERROR(__xludf.DUMMYFUNCTION("""COMPUTED_VALUE"""),2870.0)</f>
        <v>2870</v>
      </c>
      <c r="C167" s="5">
        <f>IFERROR(__xludf.DUMMYFUNCTION("""COMPUTED_VALUE"""),2910.0)</f>
        <v>2910</v>
      </c>
      <c r="D167" s="5">
        <f>IFERROR(__xludf.DUMMYFUNCTION("""COMPUTED_VALUE"""),2870.0)</f>
        <v>2870</v>
      </c>
      <c r="E167" s="5">
        <f>IFERROR(__xludf.DUMMYFUNCTION("""COMPUTED_VALUE"""),2900.0)</f>
        <v>2900</v>
      </c>
      <c r="F167" s="5">
        <f>IFERROR(__xludf.DUMMYFUNCTION("""COMPUTED_VALUE"""),6.22066E7)</f>
        <v>62206600</v>
      </c>
      <c r="G167" s="5">
        <f t="shared" si="1"/>
        <v>50</v>
      </c>
    </row>
    <row r="168">
      <c r="A168" s="4">
        <f>IFERROR(__xludf.DUMMYFUNCTION("""COMPUTED_VALUE"""),44082.66666666667)</f>
        <v>44082.66667</v>
      </c>
      <c r="B168" s="5">
        <f>IFERROR(__xludf.DUMMYFUNCTION("""COMPUTED_VALUE"""),2890.0)</f>
        <v>2890</v>
      </c>
      <c r="C168" s="5">
        <f>IFERROR(__xludf.DUMMYFUNCTION("""COMPUTED_VALUE"""),2900.0)</f>
        <v>2900</v>
      </c>
      <c r="D168" s="5">
        <f>IFERROR(__xludf.DUMMYFUNCTION("""COMPUTED_VALUE"""),2860.0)</f>
        <v>2860</v>
      </c>
      <c r="E168" s="5">
        <f>IFERROR(__xludf.DUMMYFUNCTION("""COMPUTED_VALUE"""),2860.0)</f>
        <v>2860</v>
      </c>
      <c r="F168" s="5">
        <f>IFERROR(__xludf.DUMMYFUNCTION("""COMPUTED_VALUE"""),8.00682E7)</f>
        <v>80068200</v>
      </c>
      <c r="G168" s="5">
        <f t="shared" si="1"/>
        <v>40</v>
      </c>
    </row>
    <row r="169">
      <c r="A169" s="4">
        <f>IFERROR(__xludf.DUMMYFUNCTION("""COMPUTED_VALUE"""),44083.66666666667)</f>
        <v>44083.66667</v>
      </c>
      <c r="B169" s="5">
        <f>IFERROR(__xludf.DUMMYFUNCTION("""COMPUTED_VALUE"""),2850.0)</f>
        <v>2850</v>
      </c>
      <c r="C169" s="5">
        <f>IFERROR(__xludf.DUMMYFUNCTION("""COMPUTED_VALUE"""),2860.0)</f>
        <v>2860</v>
      </c>
      <c r="D169" s="5">
        <f>IFERROR(__xludf.DUMMYFUNCTION("""COMPUTED_VALUE"""),2800.0)</f>
        <v>2800</v>
      </c>
      <c r="E169" s="5">
        <f>IFERROR(__xludf.DUMMYFUNCTION("""COMPUTED_VALUE"""),2800.0)</f>
        <v>2800</v>
      </c>
      <c r="F169" s="5">
        <f>IFERROR(__xludf.DUMMYFUNCTION("""COMPUTED_VALUE"""),1.083974E8)</f>
        <v>108397400</v>
      </c>
      <c r="G169" s="5">
        <f t="shared" si="1"/>
        <v>60</v>
      </c>
    </row>
    <row r="170">
      <c r="A170" s="4">
        <f>IFERROR(__xludf.DUMMYFUNCTION("""COMPUTED_VALUE"""),44084.66666666667)</f>
        <v>44084.66667</v>
      </c>
      <c r="B170" s="5">
        <f>IFERROR(__xludf.DUMMYFUNCTION("""COMPUTED_VALUE"""),2800.0)</f>
        <v>2800</v>
      </c>
      <c r="C170" s="5">
        <f>IFERROR(__xludf.DUMMYFUNCTION("""COMPUTED_VALUE"""),2800.0)</f>
        <v>2800</v>
      </c>
      <c r="D170" s="5">
        <f>IFERROR(__xludf.DUMMYFUNCTION("""COMPUTED_VALUE"""),2620.0)</f>
        <v>2620</v>
      </c>
      <c r="E170" s="5">
        <f>IFERROR(__xludf.DUMMYFUNCTION("""COMPUTED_VALUE"""),2700.0)</f>
        <v>2700</v>
      </c>
      <c r="F170" s="5">
        <f>IFERROR(__xludf.DUMMYFUNCTION("""COMPUTED_VALUE"""),2.874963E8)</f>
        <v>287496300</v>
      </c>
      <c r="G170" s="5">
        <f t="shared" si="1"/>
        <v>180</v>
      </c>
    </row>
    <row r="171">
      <c r="A171" s="4">
        <f>IFERROR(__xludf.DUMMYFUNCTION("""COMPUTED_VALUE"""),44085.66666666667)</f>
        <v>44085.66667</v>
      </c>
      <c r="B171" s="5">
        <f>IFERROR(__xludf.DUMMYFUNCTION("""COMPUTED_VALUE"""),2670.0)</f>
        <v>2670</v>
      </c>
      <c r="C171" s="5">
        <f>IFERROR(__xludf.DUMMYFUNCTION("""COMPUTED_VALUE"""),2840.0)</f>
        <v>2840</v>
      </c>
      <c r="D171" s="5">
        <f>IFERROR(__xludf.DUMMYFUNCTION("""COMPUTED_VALUE"""),2650.0)</f>
        <v>2650</v>
      </c>
      <c r="E171" s="5">
        <f>IFERROR(__xludf.DUMMYFUNCTION("""COMPUTED_VALUE"""),2810.0)</f>
        <v>2810</v>
      </c>
      <c r="F171" s="5">
        <f>IFERROR(__xludf.DUMMYFUNCTION("""COMPUTED_VALUE"""),1.977568E8)</f>
        <v>197756800</v>
      </c>
      <c r="G171" s="5">
        <f t="shared" si="1"/>
        <v>190</v>
      </c>
    </row>
    <row r="172">
      <c r="A172" s="4">
        <f>IFERROR(__xludf.DUMMYFUNCTION("""COMPUTED_VALUE"""),44088.66666666667)</f>
        <v>44088.66667</v>
      </c>
      <c r="B172" s="5">
        <f>IFERROR(__xludf.DUMMYFUNCTION("""COMPUTED_VALUE"""),2830.0)</f>
        <v>2830</v>
      </c>
      <c r="C172" s="5">
        <f>IFERROR(__xludf.DUMMYFUNCTION("""COMPUTED_VALUE"""),2890.0)</f>
        <v>2890</v>
      </c>
      <c r="D172" s="5">
        <f>IFERROR(__xludf.DUMMYFUNCTION("""COMPUTED_VALUE"""),2820.0)</f>
        <v>2820</v>
      </c>
      <c r="E172" s="5">
        <f>IFERROR(__xludf.DUMMYFUNCTION("""COMPUTED_VALUE"""),2890.0)</f>
        <v>2890</v>
      </c>
      <c r="F172" s="5">
        <f>IFERROR(__xludf.DUMMYFUNCTION("""COMPUTED_VALUE"""),1.275627E8)</f>
        <v>127562700</v>
      </c>
      <c r="G172" s="5">
        <f t="shared" si="1"/>
        <v>80</v>
      </c>
    </row>
    <row r="173">
      <c r="A173" s="4">
        <f>IFERROR(__xludf.DUMMYFUNCTION("""COMPUTED_VALUE"""),44089.66666666667)</f>
        <v>44089.66667</v>
      </c>
      <c r="B173" s="5">
        <f>IFERROR(__xludf.DUMMYFUNCTION("""COMPUTED_VALUE"""),2890.0)</f>
        <v>2890</v>
      </c>
      <c r="C173" s="5">
        <f>IFERROR(__xludf.DUMMYFUNCTION("""COMPUTED_VALUE"""),2900.0)</f>
        <v>2900</v>
      </c>
      <c r="D173" s="5">
        <f>IFERROR(__xludf.DUMMYFUNCTION("""COMPUTED_VALUE"""),2810.0)</f>
        <v>2810</v>
      </c>
      <c r="E173" s="5">
        <f>IFERROR(__xludf.DUMMYFUNCTION("""COMPUTED_VALUE"""),2830.0)</f>
        <v>2830</v>
      </c>
      <c r="F173" s="5">
        <f>IFERROR(__xludf.DUMMYFUNCTION("""COMPUTED_VALUE"""),1.062159E8)</f>
        <v>106215900</v>
      </c>
      <c r="G173" s="5">
        <f t="shared" si="1"/>
        <v>90</v>
      </c>
    </row>
    <row r="174">
      <c r="A174" s="4">
        <f>IFERROR(__xludf.DUMMYFUNCTION("""COMPUTED_VALUE"""),44090.66666666667)</f>
        <v>44090.66667</v>
      </c>
      <c r="B174" s="5">
        <f>IFERROR(__xludf.DUMMYFUNCTION("""COMPUTED_VALUE"""),2810.0)</f>
        <v>2810</v>
      </c>
      <c r="C174" s="5">
        <f>IFERROR(__xludf.DUMMYFUNCTION("""COMPUTED_VALUE"""),2830.0)</f>
        <v>2830</v>
      </c>
      <c r="D174" s="5">
        <f>IFERROR(__xludf.DUMMYFUNCTION("""COMPUTED_VALUE"""),2770.0)</f>
        <v>2770</v>
      </c>
      <c r="E174" s="5">
        <f>IFERROR(__xludf.DUMMYFUNCTION("""COMPUTED_VALUE"""),2790.0)</f>
        <v>2790</v>
      </c>
      <c r="F174" s="5">
        <f>IFERROR(__xludf.DUMMYFUNCTION("""COMPUTED_VALUE"""),6.81134E7)</f>
        <v>68113400</v>
      </c>
      <c r="G174" s="5">
        <f t="shared" si="1"/>
        <v>60</v>
      </c>
    </row>
    <row r="175">
      <c r="A175" s="4">
        <f>IFERROR(__xludf.DUMMYFUNCTION("""COMPUTED_VALUE"""),44091.66666666667)</f>
        <v>44091.66667</v>
      </c>
      <c r="B175" s="5">
        <f>IFERROR(__xludf.DUMMYFUNCTION("""COMPUTED_VALUE"""),2810.0)</f>
        <v>2810</v>
      </c>
      <c r="C175" s="5">
        <f>IFERROR(__xludf.DUMMYFUNCTION("""COMPUTED_VALUE"""),2850.0)</f>
        <v>2850</v>
      </c>
      <c r="D175" s="5">
        <f>IFERROR(__xludf.DUMMYFUNCTION("""COMPUTED_VALUE"""),2780.0)</f>
        <v>2780</v>
      </c>
      <c r="E175" s="5">
        <f>IFERROR(__xludf.DUMMYFUNCTION("""COMPUTED_VALUE"""),2820.0)</f>
        <v>2820</v>
      </c>
      <c r="F175" s="5">
        <f>IFERROR(__xludf.DUMMYFUNCTION("""COMPUTED_VALUE"""),9.72574E7)</f>
        <v>97257400</v>
      </c>
      <c r="G175" s="5">
        <f t="shared" si="1"/>
        <v>70</v>
      </c>
    </row>
    <row r="176">
      <c r="A176" s="4">
        <f>IFERROR(__xludf.DUMMYFUNCTION("""COMPUTED_VALUE"""),44092.66666666667)</f>
        <v>44092.66667</v>
      </c>
      <c r="B176" s="5">
        <f>IFERROR(__xludf.DUMMYFUNCTION("""COMPUTED_VALUE"""),2850.0)</f>
        <v>2850</v>
      </c>
      <c r="C176" s="5">
        <f>IFERROR(__xludf.DUMMYFUNCTION("""COMPUTED_VALUE"""),2890.0)</f>
        <v>2890</v>
      </c>
      <c r="D176" s="5">
        <f>IFERROR(__xludf.DUMMYFUNCTION("""COMPUTED_VALUE"""),2840.0)</f>
        <v>2840</v>
      </c>
      <c r="E176" s="5">
        <f>IFERROR(__xludf.DUMMYFUNCTION("""COMPUTED_VALUE"""),2890.0)</f>
        <v>2890</v>
      </c>
      <c r="F176" s="5">
        <f>IFERROR(__xludf.DUMMYFUNCTION("""COMPUTED_VALUE"""),1.621167E8)</f>
        <v>162116700</v>
      </c>
      <c r="G176" s="5">
        <f t="shared" si="1"/>
        <v>70</v>
      </c>
    </row>
    <row r="177">
      <c r="A177" s="4">
        <f>IFERROR(__xludf.DUMMYFUNCTION("""COMPUTED_VALUE"""),44095.66666666667)</f>
        <v>44095.66667</v>
      </c>
      <c r="B177" s="5">
        <f>IFERROR(__xludf.DUMMYFUNCTION("""COMPUTED_VALUE"""),2890.0)</f>
        <v>2890</v>
      </c>
      <c r="C177" s="5">
        <f>IFERROR(__xludf.DUMMYFUNCTION("""COMPUTED_VALUE"""),2910.0)</f>
        <v>2910</v>
      </c>
      <c r="D177" s="5">
        <f>IFERROR(__xludf.DUMMYFUNCTION("""COMPUTED_VALUE"""),2800.0)</f>
        <v>2800</v>
      </c>
      <c r="E177" s="5">
        <f>IFERROR(__xludf.DUMMYFUNCTION("""COMPUTED_VALUE"""),2810.0)</f>
        <v>2810</v>
      </c>
      <c r="F177" s="5">
        <f>IFERROR(__xludf.DUMMYFUNCTION("""COMPUTED_VALUE"""),1.003051E8)</f>
        <v>100305100</v>
      </c>
      <c r="G177" s="5">
        <f t="shared" si="1"/>
        <v>110</v>
      </c>
    </row>
    <row r="178">
      <c r="A178" s="4">
        <f>IFERROR(__xludf.DUMMYFUNCTION("""COMPUTED_VALUE"""),44096.66666666667)</f>
        <v>44096.66667</v>
      </c>
      <c r="B178" s="5">
        <f>IFERROR(__xludf.DUMMYFUNCTION("""COMPUTED_VALUE"""),2790.0)</f>
        <v>2790</v>
      </c>
      <c r="C178" s="5">
        <f>IFERROR(__xludf.DUMMYFUNCTION("""COMPUTED_VALUE"""),2810.0)</f>
        <v>2810</v>
      </c>
      <c r="D178" s="5">
        <f>IFERROR(__xludf.DUMMYFUNCTION("""COMPUTED_VALUE"""),2750.0)</f>
        <v>2750</v>
      </c>
      <c r="E178" s="5">
        <f>IFERROR(__xludf.DUMMYFUNCTION("""COMPUTED_VALUE"""),2780.0)</f>
        <v>2780</v>
      </c>
      <c r="F178" s="5">
        <f>IFERROR(__xludf.DUMMYFUNCTION("""COMPUTED_VALUE"""),7.58916E7)</f>
        <v>75891600</v>
      </c>
      <c r="G178" s="5">
        <f t="shared" si="1"/>
        <v>60</v>
      </c>
    </row>
    <row r="179">
      <c r="A179" s="4">
        <f>IFERROR(__xludf.DUMMYFUNCTION("""COMPUTED_VALUE"""),44097.66666666667)</f>
        <v>44097.66667</v>
      </c>
      <c r="B179" s="5">
        <f>IFERROR(__xludf.DUMMYFUNCTION("""COMPUTED_VALUE"""),2770.0)</f>
        <v>2770</v>
      </c>
      <c r="C179" s="5">
        <f>IFERROR(__xludf.DUMMYFUNCTION("""COMPUTED_VALUE"""),2810.0)</f>
        <v>2810</v>
      </c>
      <c r="D179" s="5">
        <f>IFERROR(__xludf.DUMMYFUNCTION("""COMPUTED_VALUE"""),2740.0)</f>
        <v>2740</v>
      </c>
      <c r="E179" s="5">
        <f>IFERROR(__xludf.DUMMYFUNCTION("""COMPUTED_VALUE"""),2800.0)</f>
        <v>2800</v>
      </c>
      <c r="F179" s="5">
        <f>IFERROR(__xludf.DUMMYFUNCTION("""COMPUTED_VALUE"""),8.59533E7)</f>
        <v>85953300</v>
      </c>
      <c r="G179" s="5">
        <f t="shared" si="1"/>
        <v>70</v>
      </c>
    </row>
    <row r="180">
      <c r="A180" s="4">
        <f>IFERROR(__xludf.DUMMYFUNCTION("""COMPUTED_VALUE"""),44098.66666666667)</f>
        <v>44098.66667</v>
      </c>
      <c r="B180" s="5">
        <f>IFERROR(__xludf.DUMMYFUNCTION("""COMPUTED_VALUE"""),2750.0)</f>
        <v>2750</v>
      </c>
      <c r="C180" s="5">
        <f>IFERROR(__xludf.DUMMYFUNCTION("""COMPUTED_VALUE"""),2760.0)</f>
        <v>2760</v>
      </c>
      <c r="D180" s="5">
        <f>IFERROR(__xludf.DUMMYFUNCTION("""COMPUTED_VALUE"""),2710.0)</f>
        <v>2710</v>
      </c>
      <c r="E180" s="5">
        <f>IFERROR(__xludf.DUMMYFUNCTION("""COMPUTED_VALUE"""),2730.0)</f>
        <v>2730</v>
      </c>
      <c r="F180" s="5">
        <f>IFERROR(__xludf.DUMMYFUNCTION("""COMPUTED_VALUE"""),7.45168E7)</f>
        <v>74516800</v>
      </c>
      <c r="G180" s="5">
        <f t="shared" si="1"/>
        <v>90</v>
      </c>
    </row>
    <row r="181">
      <c r="A181" s="4">
        <f>IFERROR(__xludf.DUMMYFUNCTION("""COMPUTED_VALUE"""),44099.66666666667)</f>
        <v>44099.66667</v>
      </c>
      <c r="B181" s="5">
        <f>IFERROR(__xludf.DUMMYFUNCTION("""COMPUTED_VALUE"""),2720.0)</f>
        <v>2720</v>
      </c>
      <c r="C181" s="5">
        <f>IFERROR(__xludf.DUMMYFUNCTION("""COMPUTED_VALUE"""),2740.0)</f>
        <v>2740</v>
      </c>
      <c r="D181" s="5">
        <f>IFERROR(__xludf.DUMMYFUNCTION("""COMPUTED_VALUE"""),2670.0)</f>
        <v>2670</v>
      </c>
      <c r="E181" s="5">
        <f>IFERROR(__xludf.DUMMYFUNCTION("""COMPUTED_VALUE"""),2690.0)</f>
        <v>2690</v>
      </c>
      <c r="F181" s="5">
        <f>IFERROR(__xludf.DUMMYFUNCTION("""COMPUTED_VALUE"""),1.809689E8)</f>
        <v>180968900</v>
      </c>
      <c r="G181" s="5">
        <f t="shared" si="1"/>
        <v>70</v>
      </c>
    </row>
    <row r="182">
      <c r="A182" s="4">
        <f>IFERROR(__xludf.DUMMYFUNCTION("""COMPUTED_VALUE"""),44102.66666666667)</f>
        <v>44102.66667</v>
      </c>
      <c r="B182" s="5">
        <f>IFERROR(__xludf.DUMMYFUNCTION("""COMPUTED_VALUE"""),2710.0)</f>
        <v>2710</v>
      </c>
      <c r="C182" s="5">
        <f>IFERROR(__xludf.DUMMYFUNCTION("""COMPUTED_VALUE"""),2730.0)</f>
        <v>2730</v>
      </c>
      <c r="D182" s="5">
        <f>IFERROR(__xludf.DUMMYFUNCTION("""COMPUTED_VALUE"""),2660.0)</f>
        <v>2660</v>
      </c>
      <c r="E182" s="5">
        <f>IFERROR(__xludf.DUMMYFUNCTION("""COMPUTED_VALUE"""),2660.0)</f>
        <v>2660</v>
      </c>
      <c r="F182" s="5">
        <f>IFERROR(__xludf.DUMMYFUNCTION("""COMPUTED_VALUE"""),8.92567E7)</f>
        <v>89256700</v>
      </c>
      <c r="G182" s="5">
        <f t="shared" si="1"/>
        <v>70</v>
      </c>
    </row>
    <row r="183">
      <c r="A183" s="4">
        <f>IFERROR(__xludf.DUMMYFUNCTION("""COMPUTED_VALUE"""),44103.66666666667)</f>
        <v>44103.66667</v>
      </c>
      <c r="B183" s="5">
        <f>IFERROR(__xludf.DUMMYFUNCTION("""COMPUTED_VALUE"""),2690.0)</f>
        <v>2690</v>
      </c>
      <c r="C183" s="5">
        <f>IFERROR(__xludf.DUMMYFUNCTION("""COMPUTED_VALUE"""),2690.0)</f>
        <v>2690</v>
      </c>
      <c r="D183" s="5">
        <f>IFERROR(__xludf.DUMMYFUNCTION("""COMPUTED_VALUE"""),2630.0)</f>
        <v>2630</v>
      </c>
      <c r="E183" s="5">
        <f>IFERROR(__xludf.DUMMYFUNCTION("""COMPUTED_VALUE"""),2630.0)</f>
        <v>2630</v>
      </c>
      <c r="F183" s="5">
        <f>IFERROR(__xludf.DUMMYFUNCTION("""COMPUTED_VALUE"""),1.558539E8)</f>
        <v>155853900</v>
      </c>
      <c r="G183" s="5">
        <f t="shared" si="1"/>
        <v>60</v>
      </c>
    </row>
    <row r="184">
      <c r="A184" s="4">
        <f>IFERROR(__xludf.DUMMYFUNCTION("""COMPUTED_VALUE"""),44104.66666666667)</f>
        <v>44104.66667</v>
      </c>
      <c r="B184" s="5">
        <f>IFERROR(__xludf.DUMMYFUNCTION("""COMPUTED_VALUE"""),2630.0)</f>
        <v>2630</v>
      </c>
      <c r="C184" s="5">
        <f>IFERROR(__xludf.DUMMYFUNCTION("""COMPUTED_VALUE"""),2650.0)</f>
        <v>2650</v>
      </c>
      <c r="D184" s="5">
        <f>IFERROR(__xludf.DUMMYFUNCTION("""COMPUTED_VALUE"""),2540.0)</f>
        <v>2540</v>
      </c>
      <c r="E184" s="5">
        <f>IFERROR(__xludf.DUMMYFUNCTION("""COMPUTED_VALUE"""),2560.0)</f>
        <v>2560</v>
      </c>
      <c r="F184" s="5">
        <f>IFERROR(__xludf.DUMMYFUNCTION("""COMPUTED_VALUE"""),2.356116E8)</f>
        <v>235611600</v>
      </c>
      <c r="G184" s="5">
        <f t="shared" si="1"/>
        <v>110</v>
      </c>
    </row>
    <row r="185">
      <c r="A185" s="4">
        <f>IFERROR(__xludf.DUMMYFUNCTION("""COMPUTED_VALUE"""),44105.66666666667)</f>
        <v>44105.66667</v>
      </c>
      <c r="B185" s="5">
        <f>IFERROR(__xludf.DUMMYFUNCTION("""COMPUTED_VALUE"""),2600.0)</f>
        <v>2600</v>
      </c>
      <c r="C185" s="5">
        <f>IFERROR(__xludf.DUMMYFUNCTION("""COMPUTED_VALUE"""),2760.0)</f>
        <v>2760</v>
      </c>
      <c r="D185" s="5">
        <f>IFERROR(__xludf.DUMMYFUNCTION("""COMPUTED_VALUE"""),2600.0)</f>
        <v>2600</v>
      </c>
      <c r="E185" s="5">
        <f>IFERROR(__xludf.DUMMYFUNCTION("""COMPUTED_VALUE"""),2750.0)</f>
        <v>2750</v>
      </c>
      <c r="F185" s="5">
        <f>IFERROR(__xludf.DUMMYFUNCTION("""COMPUTED_VALUE"""),2.25006E8)</f>
        <v>225006000</v>
      </c>
      <c r="G185" s="5">
        <f t="shared" si="1"/>
        <v>200</v>
      </c>
    </row>
    <row r="186">
      <c r="A186" s="4">
        <f>IFERROR(__xludf.DUMMYFUNCTION("""COMPUTED_VALUE"""),44106.66666666667)</f>
        <v>44106.66667</v>
      </c>
      <c r="B186" s="5">
        <f>IFERROR(__xludf.DUMMYFUNCTION("""COMPUTED_VALUE"""),2750.0)</f>
        <v>2750</v>
      </c>
      <c r="C186" s="5">
        <f>IFERROR(__xludf.DUMMYFUNCTION("""COMPUTED_VALUE"""),2750.0)</f>
        <v>2750</v>
      </c>
      <c r="D186" s="5">
        <f>IFERROR(__xludf.DUMMYFUNCTION("""COMPUTED_VALUE"""),2650.0)</f>
        <v>2650</v>
      </c>
      <c r="E186" s="5">
        <f>IFERROR(__xludf.DUMMYFUNCTION("""COMPUTED_VALUE"""),2680.0)</f>
        <v>2680</v>
      </c>
      <c r="F186" s="5">
        <f>IFERROR(__xludf.DUMMYFUNCTION("""COMPUTED_VALUE"""),1.401619E8)</f>
        <v>140161900</v>
      </c>
      <c r="G186" s="5">
        <f t="shared" si="1"/>
        <v>100</v>
      </c>
    </row>
    <row r="187">
      <c r="A187" s="4">
        <f>IFERROR(__xludf.DUMMYFUNCTION("""COMPUTED_VALUE"""),44109.66666666667)</f>
        <v>44109.66667</v>
      </c>
      <c r="B187" s="5">
        <f>IFERROR(__xludf.DUMMYFUNCTION("""COMPUTED_VALUE"""),2690.0)</f>
        <v>2690</v>
      </c>
      <c r="C187" s="5">
        <f>IFERROR(__xludf.DUMMYFUNCTION("""COMPUTED_VALUE"""),2710.0)</f>
        <v>2710</v>
      </c>
      <c r="D187" s="5">
        <f>IFERROR(__xludf.DUMMYFUNCTION("""COMPUTED_VALUE"""),2640.0)</f>
        <v>2640</v>
      </c>
      <c r="E187" s="5">
        <f>IFERROR(__xludf.DUMMYFUNCTION("""COMPUTED_VALUE"""),2650.0)</f>
        <v>2650</v>
      </c>
      <c r="F187" s="5">
        <f>IFERROR(__xludf.DUMMYFUNCTION("""COMPUTED_VALUE"""),1.247202E8)</f>
        <v>124720200</v>
      </c>
      <c r="G187" s="5">
        <f t="shared" si="1"/>
        <v>70</v>
      </c>
    </row>
    <row r="188">
      <c r="A188" s="4">
        <f>IFERROR(__xludf.DUMMYFUNCTION("""COMPUTED_VALUE"""),44110.66666666667)</f>
        <v>44110.66667</v>
      </c>
      <c r="B188" s="5">
        <f>IFERROR(__xludf.DUMMYFUNCTION("""COMPUTED_VALUE"""),2680.0)</f>
        <v>2680</v>
      </c>
      <c r="C188" s="5">
        <f>IFERROR(__xludf.DUMMYFUNCTION("""COMPUTED_VALUE"""),2700.0)</f>
        <v>2700</v>
      </c>
      <c r="D188" s="5">
        <f>IFERROR(__xludf.DUMMYFUNCTION("""COMPUTED_VALUE"""),2620.0)</f>
        <v>2620</v>
      </c>
      <c r="E188" s="5">
        <f>IFERROR(__xludf.DUMMYFUNCTION("""COMPUTED_VALUE"""),2650.0)</f>
        <v>2650</v>
      </c>
      <c r="F188" s="5">
        <f>IFERROR(__xludf.DUMMYFUNCTION("""COMPUTED_VALUE"""),1.489774E8)</f>
        <v>148977400</v>
      </c>
      <c r="G188" s="5">
        <f t="shared" si="1"/>
        <v>80</v>
      </c>
    </row>
    <row r="189">
      <c r="A189" s="4">
        <f>IFERROR(__xludf.DUMMYFUNCTION("""COMPUTED_VALUE"""),44111.66666666667)</f>
        <v>44111.66667</v>
      </c>
      <c r="B189" s="5">
        <f>IFERROR(__xludf.DUMMYFUNCTION("""COMPUTED_VALUE"""),2650.0)</f>
        <v>2650</v>
      </c>
      <c r="C189" s="5">
        <f>IFERROR(__xludf.DUMMYFUNCTION("""COMPUTED_VALUE"""),2670.0)</f>
        <v>2670</v>
      </c>
      <c r="D189" s="5">
        <f>IFERROR(__xludf.DUMMYFUNCTION("""COMPUTED_VALUE"""),2620.0)</f>
        <v>2620</v>
      </c>
      <c r="E189" s="5">
        <f>IFERROR(__xludf.DUMMYFUNCTION("""COMPUTED_VALUE"""),2660.0)</f>
        <v>2660</v>
      </c>
      <c r="F189" s="5">
        <f>IFERROR(__xludf.DUMMYFUNCTION("""COMPUTED_VALUE"""),1.10186E8)</f>
        <v>110186000</v>
      </c>
      <c r="G189" s="5">
        <f t="shared" si="1"/>
        <v>50</v>
      </c>
    </row>
    <row r="190">
      <c r="A190" s="4">
        <f>IFERROR(__xludf.DUMMYFUNCTION("""COMPUTED_VALUE"""),44112.66666666667)</f>
        <v>44112.66667</v>
      </c>
      <c r="B190" s="5">
        <f>IFERROR(__xludf.DUMMYFUNCTION("""COMPUTED_VALUE"""),2670.0)</f>
        <v>2670</v>
      </c>
      <c r="C190" s="5">
        <f>IFERROR(__xludf.DUMMYFUNCTION("""COMPUTED_VALUE"""),2720.0)</f>
        <v>2720</v>
      </c>
      <c r="D190" s="5">
        <f>IFERROR(__xludf.DUMMYFUNCTION("""COMPUTED_VALUE"""),2650.0)</f>
        <v>2650</v>
      </c>
      <c r="E190" s="5">
        <f>IFERROR(__xludf.DUMMYFUNCTION("""COMPUTED_VALUE"""),2700.0)</f>
        <v>2700</v>
      </c>
      <c r="F190" s="5">
        <f>IFERROR(__xludf.DUMMYFUNCTION("""COMPUTED_VALUE"""),1.545878E8)</f>
        <v>154587800</v>
      </c>
      <c r="G190" s="5">
        <f t="shared" si="1"/>
        <v>70</v>
      </c>
    </row>
    <row r="191">
      <c r="A191" s="4">
        <f>IFERROR(__xludf.DUMMYFUNCTION("""COMPUTED_VALUE"""),44113.66666666667)</f>
        <v>44113.66667</v>
      </c>
      <c r="B191" s="5">
        <f>IFERROR(__xludf.DUMMYFUNCTION("""COMPUTED_VALUE"""),2710.0)</f>
        <v>2710</v>
      </c>
      <c r="C191" s="5">
        <f>IFERROR(__xludf.DUMMYFUNCTION("""COMPUTED_VALUE"""),2750.0)</f>
        <v>2750</v>
      </c>
      <c r="D191" s="5">
        <f>IFERROR(__xludf.DUMMYFUNCTION("""COMPUTED_VALUE"""),2700.0)</f>
        <v>2700</v>
      </c>
      <c r="E191" s="5">
        <f>IFERROR(__xludf.DUMMYFUNCTION("""COMPUTED_VALUE"""),2730.0)</f>
        <v>2730</v>
      </c>
      <c r="F191" s="5">
        <f>IFERROR(__xludf.DUMMYFUNCTION("""COMPUTED_VALUE"""),1.091223E8)</f>
        <v>109122300</v>
      </c>
      <c r="G191" s="5">
        <f t="shared" si="1"/>
        <v>50</v>
      </c>
    </row>
    <row r="192">
      <c r="A192" s="4">
        <f>IFERROR(__xludf.DUMMYFUNCTION("""COMPUTED_VALUE"""),44116.66666666667)</f>
        <v>44116.66667</v>
      </c>
      <c r="B192" s="5">
        <f>IFERROR(__xludf.DUMMYFUNCTION("""COMPUTED_VALUE"""),2750.0)</f>
        <v>2750</v>
      </c>
      <c r="C192" s="5">
        <f>IFERROR(__xludf.DUMMYFUNCTION("""COMPUTED_VALUE"""),2760.0)</f>
        <v>2760</v>
      </c>
      <c r="D192" s="5">
        <f>IFERROR(__xludf.DUMMYFUNCTION("""COMPUTED_VALUE"""),2710.0)</f>
        <v>2710</v>
      </c>
      <c r="E192" s="5">
        <f>IFERROR(__xludf.DUMMYFUNCTION("""COMPUTED_VALUE"""),2730.0)</f>
        <v>2730</v>
      </c>
      <c r="F192" s="5">
        <f>IFERROR(__xludf.DUMMYFUNCTION("""COMPUTED_VALUE"""),7.74791E7)</f>
        <v>77479100</v>
      </c>
      <c r="G192" s="5">
        <f t="shared" si="1"/>
        <v>50</v>
      </c>
    </row>
    <row r="193">
      <c r="A193" s="4">
        <f>IFERROR(__xludf.DUMMYFUNCTION("""COMPUTED_VALUE"""),44117.66666666667)</f>
        <v>44117.66667</v>
      </c>
      <c r="B193" s="5">
        <f>IFERROR(__xludf.DUMMYFUNCTION("""COMPUTED_VALUE"""),2730.0)</f>
        <v>2730</v>
      </c>
      <c r="C193" s="5">
        <f>IFERROR(__xludf.DUMMYFUNCTION("""COMPUTED_VALUE"""),2740.0)</f>
        <v>2740</v>
      </c>
      <c r="D193" s="5">
        <f>IFERROR(__xludf.DUMMYFUNCTION("""COMPUTED_VALUE"""),2680.0)</f>
        <v>2680</v>
      </c>
      <c r="E193" s="5">
        <f>IFERROR(__xludf.DUMMYFUNCTION("""COMPUTED_VALUE"""),2730.0)</f>
        <v>2730</v>
      </c>
      <c r="F193" s="5">
        <f>IFERROR(__xludf.DUMMYFUNCTION("""COMPUTED_VALUE"""),9.72055E7)</f>
        <v>97205500</v>
      </c>
      <c r="G193" s="5">
        <f t="shared" si="1"/>
        <v>60</v>
      </c>
    </row>
    <row r="194">
      <c r="A194" s="4">
        <f>IFERROR(__xludf.DUMMYFUNCTION("""COMPUTED_VALUE"""),44118.66666666667)</f>
        <v>44118.66667</v>
      </c>
      <c r="B194" s="5">
        <f>IFERROR(__xludf.DUMMYFUNCTION("""COMPUTED_VALUE"""),2730.0)</f>
        <v>2730</v>
      </c>
      <c r="C194" s="5">
        <f>IFERROR(__xludf.DUMMYFUNCTION("""COMPUTED_VALUE"""),2830.0)</f>
        <v>2830</v>
      </c>
      <c r="D194" s="5">
        <f>IFERROR(__xludf.DUMMYFUNCTION("""COMPUTED_VALUE"""),2710.0)</f>
        <v>2710</v>
      </c>
      <c r="E194" s="5">
        <f>IFERROR(__xludf.DUMMYFUNCTION("""COMPUTED_VALUE"""),2810.0)</f>
        <v>2810</v>
      </c>
      <c r="F194" s="5">
        <f>IFERROR(__xludf.DUMMYFUNCTION("""COMPUTED_VALUE"""),1.832365E8)</f>
        <v>183236500</v>
      </c>
      <c r="G194" s="5">
        <f t="shared" si="1"/>
        <v>120</v>
      </c>
    </row>
    <row r="195">
      <c r="A195" s="4">
        <f>IFERROR(__xludf.DUMMYFUNCTION("""COMPUTED_VALUE"""),44119.66666666667)</f>
        <v>44119.66667</v>
      </c>
      <c r="B195" s="5">
        <f>IFERROR(__xludf.DUMMYFUNCTION("""COMPUTED_VALUE"""),2800.0)</f>
        <v>2800</v>
      </c>
      <c r="C195" s="5">
        <f>IFERROR(__xludf.DUMMYFUNCTION("""COMPUTED_VALUE"""),2850.0)</f>
        <v>2850</v>
      </c>
      <c r="D195" s="5">
        <f>IFERROR(__xludf.DUMMYFUNCTION("""COMPUTED_VALUE"""),2760.0)</f>
        <v>2760</v>
      </c>
      <c r="E195" s="5">
        <f>IFERROR(__xludf.DUMMYFUNCTION("""COMPUTED_VALUE"""),2780.0)</f>
        <v>2780</v>
      </c>
      <c r="F195" s="5">
        <f>IFERROR(__xludf.DUMMYFUNCTION("""COMPUTED_VALUE"""),1.384629E8)</f>
        <v>138462900</v>
      </c>
      <c r="G195" s="5">
        <f t="shared" si="1"/>
        <v>90</v>
      </c>
    </row>
    <row r="196">
      <c r="A196" s="4">
        <f>IFERROR(__xludf.DUMMYFUNCTION("""COMPUTED_VALUE"""),44120.66666666667)</f>
        <v>44120.66667</v>
      </c>
      <c r="B196" s="5">
        <f>IFERROR(__xludf.DUMMYFUNCTION("""COMPUTED_VALUE"""),2780.0)</f>
        <v>2780</v>
      </c>
      <c r="C196" s="5">
        <f>IFERROR(__xludf.DUMMYFUNCTION("""COMPUTED_VALUE"""),2780.0)</f>
        <v>2780</v>
      </c>
      <c r="D196" s="5">
        <f>IFERROR(__xludf.DUMMYFUNCTION("""COMPUTED_VALUE"""),2720.0)</f>
        <v>2720</v>
      </c>
      <c r="E196" s="5">
        <f>IFERROR(__xludf.DUMMYFUNCTION("""COMPUTED_VALUE"""),2750.0)</f>
        <v>2750</v>
      </c>
      <c r="F196" s="5">
        <f>IFERROR(__xludf.DUMMYFUNCTION("""COMPUTED_VALUE"""),1.35175E8)</f>
        <v>135175000</v>
      </c>
      <c r="G196" s="5">
        <f t="shared" si="1"/>
        <v>60</v>
      </c>
    </row>
    <row r="197">
      <c r="A197" s="4">
        <f>IFERROR(__xludf.DUMMYFUNCTION("""COMPUTED_VALUE"""),44123.66666666667)</f>
        <v>44123.66667</v>
      </c>
      <c r="B197" s="5">
        <f>IFERROR(__xludf.DUMMYFUNCTION("""COMPUTED_VALUE"""),2800.0)</f>
        <v>2800</v>
      </c>
      <c r="C197" s="5">
        <f>IFERROR(__xludf.DUMMYFUNCTION("""COMPUTED_VALUE"""),2810.0)</f>
        <v>2810</v>
      </c>
      <c r="D197" s="5">
        <f>IFERROR(__xludf.DUMMYFUNCTION("""COMPUTED_VALUE"""),2710.0)</f>
        <v>2710</v>
      </c>
      <c r="E197" s="5">
        <f>IFERROR(__xludf.DUMMYFUNCTION("""COMPUTED_VALUE"""),2710.0)</f>
        <v>2710</v>
      </c>
      <c r="F197" s="5">
        <f>IFERROR(__xludf.DUMMYFUNCTION("""COMPUTED_VALUE"""),1.878405E8)</f>
        <v>187840500</v>
      </c>
      <c r="G197" s="5">
        <f t="shared" si="1"/>
        <v>100</v>
      </c>
    </row>
    <row r="198">
      <c r="A198" s="4">
        <f>IFERROR(__xludf.DUMMYFUNCTION("""COMPUTED_VALUE"""),44124.66666666667)</f>
        <v>44124.66667</v>
      </c>
      <c r="B198" s="5">
        <f>IFERROR(__xludf.DUMMYFUNCTION("""COMPUTED_VALUE"""),2710.0)</f>
        <v>2710</v>
      </c>
      <c r="C198" s="5">
        <f>IFERROR(__xludf.DUMMYFUNCTION("""COMPUTED_VALUE"""),2740.0)</f>
        <v>2740</v>
      </c>
      <c r="D198" s="5">
        <f>IFERROR(__xludf.DUMMYFUNCTION("""COMPUTED_VALUE"""),2670.0)</f>
        <v>2670</v>
      </c>
      <c r="E198" s="5">
        <f>IFERROR(__xludf.DUMMYFUNCTION("""COMPUTED_VALUE"""),2670.0)</f>
        <v>2670</v>
      </c>
      <c r="F198" s="5">
        <f>IFERROR(__xludf.DUMMYFUNCTION("""COMPUTED_VALUE"""),1.682111E8)</f>
        <v>168211100</v>
      </c>
      <c r="G198" s="5">
        <f t="shared" si="1"/>
        <v>70</v>
      </c>
    </row>
    <row r="199">
      <c r="A199" s="4">
        <f>IFERROR(__xludf.DUMMYFUNCTION("""COMPUTED_VALUE"""),44125.66666666667)</f>
        <v>44125.66667</v>
      </c>
      <c r="B199" s="5">
        <f>IFERROR(__xludf.DUMMYFUNCTION("""COMPUTED_VALUE"""),2680.0)</f>
        <v>2680</v>
      </c>
      <c r="C199" s="5">
        <f>IFERROR(__xludf.DUMMYFUNCTION("""COMPUTED_VALUE"""),2710.0)</f>
        <v>2710</v>
      </c>
      <c r="D199" s="5">
        <f>IFERROR(__xludf.DUMMYFUNCTION("""COMPUTED_VALUE"""),2670.0)</f>
        <v>2670</v>
      </c>
      <c r="E199" s="5">
        <f>IFERROR(__xludf.DUMMYFUNCTION("""COMPUTED_VALUE"""),2680.0)</f>
        <v>2680</v>
      </c>
      <c r="F199" s="5">
        <f>IFERROR(__xludf.DUMMYFUNCTION("""COMPUTED_VALUE"""),1.421463E8)</f>
        <v>142146300</v>
      </c>
      <c r="G199" s="5">
        <f t="shared" si="1"/>
        <v>40</v>
      </c>
    </row>
    <row r="200">
      <c r="A200" s="4">
        <f>IFERROR(__xludf.DUMMYFUNCTION("""COMPUTED_VALUE"""),44126.66666666667)</f>
        <v>44126.66667</v>
      </c>
      <c r="B200" s="5">
        <f>IFERROR(__xludf.DUMMYFUNCTION("""COMPUTED_VALUE"""),2670.0)</f>
        <v>2670</v>
      </c>
      <c r="C200" s="5">
        <f>IFERROR(__xludf.DUMMYFUNCTION("""COMPUTED_VALUE"""),2720.0)</f>
        <v>2720</v>
      </c>
      <c r="D200" s="5">
        <f>IFERROR(__xludf.DUMMYFUNCTION("""COMPUTED_VALUE"""),2650.0)</f>
        <v>2650</v>
      </c>
      <c r="E200" s="5">
        <f>IFERROR(__xludf.DUMMYFUNCTION("""COMPUTED_VALUE"""),2700.0)</f>
        <v>2700</v>
      </c>
      <c r="F200" s="5">
        <f>IFERROR(__xludf.DUMMYFUNCTION("""COMPUTED_VALUE"""),2.571794E8)</f>
        <v>257179400</v>
      </c>
      <c r="G200" s="5">
        <f t="shared" si="1"/>
        <v>70</v>
      </c>
    </row>
    <row r="201">
      <c r="A201" s="4">
        <f>IFERROR(__xludf.DUMMYFUNCTION("""COMPUTED_VALUE"""),44127.66666666667)</f>
        <v>44127.66667</v>
      </c>
      <c r="B201" s="5">
        <f>IFERROR(__xludf.DUMMYFUNCTION("""COMPUTED_VALUE"""),2710.0)</f>
        <v>2710</v>
      </c>
      <c r="C201" s="5">
        <f>IFERROR(__xludf.DUMMYFUNCTION("""COMPUTED_VALUE"""),2720.0)</f>
        <v>2720</v>
      </c>
      <c r="D201" s="5">
        <f>IFERROR(__xludf.DUMMYFUNCTION("""COMPUTED_VALUE"""),2630.0)</f>
        <v>2630</v>
      </c>
      <c r="E201" s="5">
        <f>IFERROR(__xludf.DUMMYFUNCTION("""COMPUTED_VALUE"""),2630.0)</f>
        <v>2630</v>
      </c>
      <c r="F201" s="5">
        <f>IFERROR(__xludf.DUMMYFUNCTION("""COMPUTED_VALUE"""),1.66356E8)</f>
        <v>166356000</v>
      </c>
      <c r="G201" s="5">
        <f t="shared" si="1"/>
        <v>90</v>
      </c>
    </row>
    <row r="202">
      <c r="A202" s="4">
        <f>IFERROR(__xludf.DUMMYFUNCTION("""COMPUTED_VALUE"""),44130.66666666667)</f>
        <v>44130.66667</v>
      </c>
      <c r="B202" s="5">
        <f>IFERROR(__xludf.DUMMYFUNCTION("""COMPUTED_VALUE"""),2630.0)</f>
        <v>2630</v>
      </c>
      <c r="C202" s="5">
        <f>IFERROR(__xludf.DUMMYFUNCTION("""COMPUTED_VALUE"""),2680.0)</f>
        <v>2680</v>
      </c>
      <c r="D202" s="5">
        <f>IFERROR(__xludf.DUMMYFUNCTION("""COMPUTED_VALUE"""),2630.0)</f>
        <v>2630</v>
      </c>
      <c r="E202" s="5">
        <f>IFERROR(__xludf.DUMMYFUNCTION("""COMPUTED_VALUE"""),2650.0)</f>
        <v>2650</v>
      </c>
      <c r="F202" s="5">
        <f>IFERROR(__xludf.DUMMYFUNCTION("""COMPUTED_VALUE"""),9.75232E7)</f>
        <v>97523200</v>
      </c>
      <c r="G202" s="5">
        <f t="shared" si="1"/>
        <v>50</v>
      </c>
    </row>
    <row r="203">
      <c r="A203" s="4">
        <f>IFERROR(__xludf.DUMMYFUNCTION("""COMPUTED_VALUE"""),44131.66666666667)</f>
        <v>44131.66667</v>
      </c>
      <c r="B203" s="5">
        <f>IFERROR(__xludf.DUMMYFUNCTION("""COMPUTED_VALUE"""),2640.0)</f>
        <v>2640</v>
      </c>
      <c r="C203" s="5">
        <f>IFERROR(__xludf.DUMMYFUNCTION("""COMPUTED_VALUE"""),2690.0)</f>
        <v>2690</v>
      </c>
      <c r="D203" s="5">
        <f>IFERROR(__xludf.DUMMYFUNCTION("""COMPUTED_VALUE"""),2620.0)</f>
        <v>2620</v>
      </c>
      <c r="E203" s="5">
        <f>IFERROR(__xludf.DUMMYFUNCTION("""COMPUTED_VALUE"""),2620.0)</f>
        <v>2620</v>
      </c>
      <c r="F203" s="5">
        <f>IFERROR(__xludf.DUMMYFUNCTION("""COMPUTED_VALUE"""),1.463666E8)</f>
        <v>146366600</v>
      </c>
      <c r="G203" s="5">
        <f t="shared" si="1"/>
        <v>70</v>
      </c>
    </row>
    <row r="204">
      <c r="A204" s="4">
        <f>IFERROR(__xludf.DUMMYFUNCTION("""COMPUTED_VALUE"""),44137.66666666667)</f>
        <v>44137.66667</v>
      </c>
      <c r="B204" s="5">
        <f>IFERROR(__xludf.DUMMYFUNCTION("""COMPUTED_VALUE"""),2590.0)</f>
        <v>2590</v>
      </c>
      <c r="C204" s="5">
        <f>IFERROR(__xludf.DUMMYFUNCTION("""COMPUTED_VALUE"""),2620.0)</f>
        <v>2620</v>
      </c>
      <c r="D204" s="5">
        <f>IFERROR(__xludf.DUMMYFUNCTION("""COMPUTED_VALUE"""),2550.0)</f>
        <v>2550</v>
      </c>
      <c r="E204" s="5">
        <f>IFERROR(__xludf.DUMMYFUNCTION("""COMPUTED_VALUE"""),2560.0)</f>
        <v>2560</v>
      </c>
      <c r="F204" s="5">
        <f>IFERROR(__xludf.DUMMYFUNCTION("""COMPUTED_VALUE"""),3.915106E8)</f>
        <v>391510600</v>
      </c>
      <c r="G204" s="5">
        <f t="shared" si="1"/>
        <v>70</v>
      </c>
    </row>
    <row r="205">
      <c r="A205" s="4">
        <f>IFERROR(__xludf.DUMMYFUNCTION("""COMPUTED_VALUE"""),44138.66666666667)</f>
        <v>44138.66667</v>
      </c>
      <c r="B205" s="5">
        <f>IFERROR(__xludf.DUMMYFUNCTION("""COMPUTED_VALUE"""),2570.0)</f>
        <v>2570</v>
      </c>
      <c r="C205" s="5">
        <f>IFERROR(__xludf.DUMMYFUNCTION("""COMPUTED_VALUE"""),2590.0)</f>
        <v>2590</v>
      </c>
      <c r="D205" s="5">
        <f>IFERROR(__xludf.DUMMYFUNCTION("""COMPUTED_VALUE"""),2540.0)</f>
        <v>2540</v>
      </c>
      <c r="E205" s="5">
        <f>IFERROR(__xludf.DUMMYFUNCTION("""COMPUTED_VALUE"""),2580.0)</f>
        <v>2580</v>
      </c>
      <c r="F205" s="5">
        <f>IFERROR(__xludf.DUMMYFUNCTION("""COMPUTED_VALUE"""),1.88874E8)</f>
        <v>188874000</v>
      </c>
      <c r="G205" s="5">
        <f t="shared" si="1"/>
        <v>50</v>
      </c>
    </row>
    <row r="206">
      <c r="A206" s="4">
        <f>IFERROR(__xludf.DUMMYFUNCTION("""COMPUTED_VALUE"""),44139.66666666667)</f>
        <v>44139.66667</v>
      </c>
      <c r="B206" s="5">
        <f>IFERROR(__xludf.DUMMYFUNCTION("""COMPUTED_VALUE"""),2600.0)</f>
        <v>2600</v>
      </c>
      <c r="C206" s="5">
        <f>IFERROR(__xludf.DUMMYFUNCTION("""COMPUTED_VALUE"""),2640.0)</f>
        <v>2640</v>
      </c>
      <c r="D206" s="5">
        <f>IFERROR(__xludf.DUMMYFUNCTION("""COMPUTED_VALUE"""),2580.0)</f>
        <v>2580</v>
      </c>
      <c r="E206" s="5">
        <f>IFERROR(__xludf.DUMMYFUNCTION("""COMPUTED_VALUE"""),2580.0)</f>
        <v>2580</v>
      </c>
      <c r="F206" s="5">
        <f>IFERROR(__xludf.DUMMYFUNCTION("""COMPUTED_VALUE"""),1.506782E8)</f>
        <v>150678200</v>
      </c>
      <c r="G206" s="5">
        <f t="shared" si="1"/>
        <v>60</v>
      </c>
    </row>
    <row r="207">
      <c r="A207" s="4">
        <f>IFERROR(__xludf.DUMMYFUNCTION("""COMPUTED_VALUE"""),44140.66666666667)</f>
        <v>44140.66667</v>
      </c>
      <c r="B207" s="5">
        <f>IFERROR(__xludf.DUMMYFUNCTION("""COMPUTED_VALUE"""),2630.0)</f>
        <v>2630</v>
      </c>
      <c r="C207" s="5">
        <f>IFERROR(__xludf.DUMMYFUNCTION("""COMPUTED_VALUE"""),2810.0)</f>
        <v>2810</v>
      </c>
      <c r="D207" s="5">
        <f>IFERROR(__xludf.DUMMYFUNCTION("""COMPUTED_VALUE"""),2620.0)</f>
        <v>2620</v>
      </c>
      <c r="E207" s="5">
        <f>IFERROR(__xludf.DUMMYFUNCTION("""COMPUTED_VALUE"""),2770.0)</f>
        <v>2770</v>
      </c>
      <c r="F207" s="5">
        <f>IFERROR(__xludf.DUMMYFUNCTION("""COMPUTED_VALUE"""),3.692604E8)</f>
        <v>369260400</v>
      </c>
      <c r="G207" s="5">
        <f t="shared" si="1"/>
        <v>230</v>
      </c>
    </row>
    <row r="208">
      <c r="A208" s="4">
        <f>IFERROR(__xludf.DUMMYFUNCTION("""COMPUTED_VALUE"""),44141.66666666667)</f>
        <v>44141.66667</v>
      </c>
      <c r="B208" s="5">
        <f>IFERROR(__xludf.DUMMYFUNCTION("""COMPUTED_VALUE"""),2800.0)</f>
        <v>2800</v>
      </c>
      <c r="C208" s="5">
        <f>IFERROR(__xludf.DUMMYFUNCTION("""COMPUTED_VALUE"""),2840.0)</f>
        <v>2840</v>
      </c>
      <c r="D208" s="5">
        <f>IFERROR(__xludf.DUMMYFUNCTION("""COMPUTED_VALUE"""),2750.0)</f>
        <v>2750</v>
      </c>
      <c r="E208" s="5">
        <f>IFERROR(__xludf.DUMMYFUNCTION("""COMPUTED_VALUE"""),2830.0)</f>
        <v>2830</v>
      </c>
      <c r="F208" s="5">
        <f>IFERROR(__xludf.DUMMYFUNCTION("""COMPUTED_VALUE"""),2.438658E8)</f>
        <v>243865800</v>
      </c>
      <c r="G208" s="5">
        <f t="shared" si="1"/>
        <v>90</v>
      </c>
    </row>
    <row r="209">
      <c r="A209" s="4">
        <f>IFERROR(__xludf.DUMMYFUNCTION("""COMPUTED_VALUE"""),44144.66666666667)</f>
        <v>44144.66667</v>
      </c>
      <c r="B209" s="5">
        <f>IFERROR(__xludf.DUMMYFUNCTION("""COMPUTED_VALUE"""),2860.0)</f>
        <v>2860</v>
      </c>
      <c r="C209" s="5">
        <f>IFERROR(__xludf.DUMMYFUNCTION("""COMPUTED_VALUE"""),2900.0)</f>
        <v>2900</v>
      </c>
      <c r="D209" s="5">
        <f>IFERROR(__xludf.DUMMYFUNCTION("""COMPUTED_VALUE"""),2840.0)</f>
        <v>2840</v>
      </c>
      <c r="E209" s="5">
        <f>IFERROR(__xludf.DUMMYFUNCTION("""COMPUTED_VALUE"""),2880.0)</f>
        <v>2880</v>
      </c>
      <c r="F209" s="5">
        <f>IFERROR(__xludf.DUMMYFUNCTION("""COMPUTED_VALUE"""),2.081927E8)</f>
        <v>208192700</v>
      </c>
      <c r="G209" s="5">
        <f t="shared" si="1"/>
        <v>70</v>
      </c>
    </row>
    <row r="210">
      <c r="A210" s="4">
        <f>IFERROR(__xludf.DUMMYFUNCTION("""COMPUTED_VALUE"""),44145.66666666667)</f>
        <v>44145.66667</v>
      </c>
      <c r="B210" s="5">
        <f>IFERROR(__xludf.DUMMYFUNCTION("""COMPUTED_VALUE"""),2950.0)</f>
        <v>2950</v>
      </c>
      <c r="C210" s="5">
        <f>IFERROR(__xludf.DUMMYFUNCTION("""COMPUTED_VALUE"""),2950.0)</f>
        <v>2950</v>
      </c>
      <c r="D210" s="5">
        <f>IFERROR(__xludf.DUMMYFUNCTION("""COMPUTED_VALUE"""),2860.0)</f>
        <v>2860</v>
      </c>
      <c r="E210" s="5">
        <f>IFERROR(__xludf.DUMMYFUNCTION("""COMPUTED_VALUE"""),2860.0)</f>
        <v>2860</v>
      </c>
      <c r="F210" s="5">
        <f>IFERROR(__xludf.DUMMYFUNCTION("""COMPUTED_VALUE"""),1.953373E8)</f>
        <v>195337300</v>
      </c>
      <c r="G210" s="5">
        <f t="shared" si="1"/>
        <v>90</v>
      </c>
    </row>
    <row r="211">
      <c r="A211" s="4">
        <f>IFERROR(__xludf.DUMMYFUNCTION("""COMPUTED_VALUE"""),44146.66666666667)</f>
        <v>44146.66667</v>
      </c>
      <c r="B211" s="5">
        <f>IFERROR(__xludf.DUMMYFUNCTION("""COMPUTED_VALUE"""),2900.0)</f>
        <v>2900</v>
      </c>
      <c r="C211" s="5">
        <f>IFERROR(__xludf.DUMMYFUNCTION("""COMPUTED_VALUE"""),3100.0)</f>
        <v>3100</v>
      </c>
      <c r="D211" s="5">
        <f>IFERROR(__xludf.DUMMYFUNCTION("""COMPUTED_VALUE"""),2880.0)</f>
        <v>2880</v>
      </c>
      <c r="E211" s="5">
        <f>IFERROR(__xludf.DUMMYFUNCTION("""COMPUTED_VALUE"""),3080.0)</f>
        <v>3080</v>
      </c>
      <c r="F211" s="5">
        <f>IFERROR(__xludf.DUMMYFUNCTION("""COMPUTED_VALUE"""),4.805302E8)</f>
        <v>480530200</v>
      </c>
      <c r="G211" s="5">
        <f t="shared" si="1"/>
        <v>240</v>
      </c>
    </row>
    <row r="212">
      <c r="A212" s="4">
        <f>IFERROR(__xludf.DUMMYFUNCTION("""COMPUTED_VALUE"""),44147.66666666667)</f>
        <v>44147.66667</v>
      </c>
      <c r="B212" s="5">
        <f>IFERROR(__xludf.DUMMYFUNCTION("""COMPUTED_VALUE"""),3080.0)</f>
        <v>3080</v>
      </c>
      <c r="C212" s="5">
        <f>IFERROR(__xludf.DUMMYFUNCTION("""COMPUTED_VALUE"""),3080.0)</f>
        <v>3080</v>
      </c>
      <c r="D212" s="5">
        <f>IFERROR(__xludf.DUMMYFUNCTION("""COMPUTED_VALUE"""),3010.0)</f>
        <v>3010</v>
      </c>
      <c r="E212" s="5">
        <f>IFERROR(__xludf.DUMMYFUNCTION("""COMPUTED_VALUE"""),3040.0)</f>
        <v>3040</v>
      </c>
      <c r="F212" s="5">
        <f>IFERROR(__xludf.DUMMYFUNCTION("""COMPUTED_VALUE"""),1.696099E8)</f>
        <v>169609900</v>
      </c>
      <c r="G212" s="5">
        <f t="shared" si="1"/>
        <v>70</v>
      </c>
    </row>
    <row r="213">
      <c r="A213" s="4">
        <f>IFERROR(__xludf.DUMMYFUNCTION("""COMPUTED_VALUE"""),44148.66666666667)</f>
        <v>44148.66667</v>
      </c>
      <c r="B213" s="5">
        <f>IFERROR(__xludf.DUMMYFUNCTION("""COMPUTED_VALUE"""),3010.0)</f>
        <v>3010</v>
      </c>
      <c r="C213" s="5">
        <f>IFERROR(__xludf.DUMMYFUNCTION("""COMPUTED_VALUE"""),3010.0)</f>
        <v>3010</v>
      </c>
      <c r="D213" s="5">
        <f>IFERROR(__xludf.DUMMYFUNCTION("""COMPUTED_VALUE"""),2950.0)</f>
        <v>2950</v>
      </c>
      <c r="E213" s="5">
        <f>IFERROR(__xludf.DUMMYFUNCTION("""COMPUTED_VALUE"""),2990.0)</f>
        <v>2990</v>
      </c>
      <c r="F213" s="5">
        <f>IFERROR(__xludf.DUMMYFUNCTION("""COMPUTED_VALUE"""),1.867088E8)</f>
        <v>186708800</v>
      </c>
      <c r="G213" s="5">
        <f t="shared" si="1"/>
        <v>90</v>
      </c>
    </row>
    <row r="214">
      <c r="A214" s="4">
        <f>IFERROR(__xludf.DUMMYFUNCTION("""COMPUTED_VALUE"""),44151.66666666667)</f>
        <v>44151.66667</v>
      </c>
      <c r="B214" s="5">
        <f>IFERROR(__xludf.DUMMYFUNCTION("""COMPUTED_VALUE"""),3040.0)</f>
        <v>3040</v>
      </c>
      <c r="C214" s="5">
        <f>IFERROR(__xludf.DUMMYFUNCTION("""COMPUTED_VALUE"""),3100.0)</f>
        <v>3100</v>
      </c>
      <c r="D214" s="5">
        <f>IFERROR(__xludf.DUMMYFUNCTION("""COMPUTED_VALUE"""),3020.0)</f>
        <v>3020</v>
      </c>
      <c r="E214" s="5">
        <f>IFERROR(__xludf.DUMMYFUNCTION("""COMPUTED_VALUE"""),3070.0)</f>
        <v>3070</v>
      </c>
      <c r="F214" s="5">
        <f>IFERROR(__xludf.DUMMYFUNCTION("""COMPUTED_VALUE"""),2.061455E8)</f>
        <v>206145500</v>
      </c>
      <c r="G214" s="5">
        <f t="shared" si="1"/>
        <v>110</v>
      </c>
    </row>
    <row r="215">
      <c r="A215" s="4">
        <f>IFERROR(__xludf.DUMMYFUNCTION("""COMPUTED_VALUE"""),44152.66666666667)</f>
        <v>44152.66667</v>
      </c>
      <c r="B215" s="5">
        <f>IFERROR(__xludf.DUMMYFUNCTION("""COMPUTED_VALUE"""),3100.0)</f>
        <v>3100</v>
      </c>
      <c r="C215" s="5">
        <f>IFERROR(__xludf.DUMMYFUNCTION("""COMPUTED_VALUE"""),3270.0)</f>
        <v>3270</v>
      </c>
      <c r="D215" s="5">
        <f>IFERROR(__xludf.DUMMYFUNCTION("""COMPUTED_VALUE"""),3100.0)</f>
        <v>3100</v>
      </c>
      <c r="E215" s="5">
        <f>IFERROR(__xludf.DUMMYFUNCTION("""COMPUTED_VALUE"""),3220.0)</f>
        <v>3220</v>
      </c>
      <c r="F215" s="5">
        <f>IFERROR(__xludf.DUMMYFUNCTION("""COMPUTED_VALUE"""),5.275018E8)</f>
        <v>527501800</v>
      </c>
      <c r="G215" s="5">
        <f t="shared" si="1"/>
        <v>200</v>
      </c>
    </row>
    <row r="216">
      <c r="A216" s="4">
        <f>IFERROR(__xludf.DUMMYFUNCTION("""COMPUTED_VALUE"""),44153.66666666667)</f>
        <v>44153.66667</v>
      </c>
      <c r="B216" s="5">
        <f>IFERROR(__xludf.DUMMYFUNCTION("""COMPUTED_VALUE"""),3200.0)</f>
        <v>3200</v>
      </c>
      <c r="C216" s="5">
        <f>IFERROR(__xludf.DUMMYFUNCTION("""COMPUTED_VALUE"""),3250.0)</f>
        <v>3250</v>
      </c>
      <c r="D216" s="5">
        <f>IFERROR(__xludf.DUMMYFUNCTION("""COMPUTED_VALUE"""),3160.0)</f>
        <v>3160</v>
      </c>
      <c r="E216" s="5">
        <f>IFERROR(__xludf.DUMMYFUNCTION("""COMPUTED_VALUE"""),3180.0)</f>
        <v>3180</v>
      </c>
      <c r="F216" s="5">
        <f>IFERROR(__xludf.DUMMYFUNCTION("""COMPUTED_VALUE"""),2.391226E8)</f>
        <v>239122600</v>
      </c>
      <c r="G216" s="5">
        <f t="shared" si="1"/>
        <v>90</v>
      </c>
    </row>
    <row r="217">
      <c r="A217" s="4">
        <f>IFERROR(__xludf.DUMMYFUNCTION("""COMPUTED_VALUE"""),44154.66666666667)</f>
        <v>44154.66667</v>
      </c>
      <c r="B217" s="5">
        <f>IFERROR(__xludf.DUMMYFUNCTION("""COMPUTED_VALUE"""),3150.0)</f>
        <v>3150</v>
      </c>
      <c r="C217" s="5">
        <f>IFERROR(__xludf.DUMMYFUNCTION("""COMPUTED_VALUE"""),3220.0)</f>
        <v>3220</v>
      </c>
      <c r="D217" s="5">
        <f>IFERROR(__xludf.DUMMYFUNCTION("""COMPUTED_VALUE"""),3140.0)</f>
        <v>3140</v>
      </c>
      <c r="E217" s="5">
        <f>IFERROR(__xludf.DUMMYFUNCTION("""COMPUTED_VALUE"""),3170.0)</f>
        <v>3170</v>
      </c>
      <c r="F217" s="5">
        <f>IFERROR(__xludf.DUMMYFUNCTION("""COMPUTED_VALUE"""),1.855588E8)</f>
        <v>185558800</v>
      </c>
      <c r="G217" s="5">
        <f t="shared" si="1"/>
        <v>80</v>
      </c>
    </row>
    <row r="218">
      <c r="A218" s="4">
        <f>IFERROR(__xludf.DUMMYFUNCTION("""COMPUTED_VALUE"""),44155.66666666667)</f>
        <v>44155.66667</v>
      </c>
      <c r="B218" s="5">
        <f>IFERROR(__xludf.DUMMYFUNCTION("""COMPUTED_VALUE"""),3190.0)</f>
        <v>3190</v>
      </c>
      <c r="C218" s="5">
        <f>IFERROR(__xludf.DUMMYFUNCTION("""COMPUTED_VALUE"""),3270.0)</f>
        <v>3270</v>
      </c>
      <c r="D218" s="5">
        <f>IFERROR(__xludf.DUMMYFUNCTION("""COMPUTED_VALUE"""),3180.0)</f>
        <v>3180</v>
      </c>
      <c r="E218" s="5">
        <f>IFERROR(__xludf.DUMMYFUNCTION("""COMPUTED_VALUE"""),3220.0)</f>
        <v>3220</v>
      </c>
      <c r="F218" s="5">
        <f>IFERROR(__xludf.DUMMYFUNCTION("""COMPUTED_VALUE"""),2.118925E8)</f>
        <v>211892500</v>
      </c>
      <c r="G218" s="5">
        <f t="shared" si="1"/>
        <v>100</v>
      </c>
    </row>
    <row r="219">
      <c r="A219" s="4">
        <f>IFERROR(__xludf.DUMMYFUNCTION("""COMPUTED_VALUE"""),44158.66666666667)</f>
        <v>44158.66667</v>
      </c>
      <c r="B219" s="5">
        <f>IFERROR(__xludf.DUMMYFUNCTION("""COMPUTED_VALUE"""),3230.0)</f>
        <v>3230</v>
      </c>
      <c r="C219" s="5">
        <f>IFERROR(__xludf.DUMMYFUNCTION("""COMPUTED_VALUE"""),3340.0)</f>
        <v>3340</v>
      </c>
      <c r="D219" s="5">
        <f>IFERROR(__xludf.DUMMYFUNCTION("""COMPUTED_VALUE"""),3220.0)</f>
        <v>3220</v>
      </c>
      <c r="E219" s="5">
        <f>IFERROR(__xludf.DUMMYFUNCTION("""COMPUTED_VALUE"""),3320.0)</f>
        <v>3320</v>
      </c>
      <c r="F219" s="5">
        <f>IFERROR(__xludf.DUMMYFUNCTION("""COMPUTED_VALUE"""),2.607522E8)</f>
        <v>260752200</v>
      </c>
      <c r="G219" s="5">
        <f t="shared" si="1"/>
        <v>120</v>
      </c>
    </row>
    <row r="220">
      <c r="A220" s="4">
        <f>IFERROR(__xludf.DUMMYFUNCTION("""COMPUTED_VALUE"""),44159.66666666667)</f>
        <v>44159.66667</v>
      </c>
      <c r="B220" s="5">
        <f>IFERROR(__xludf.DUMMYFUNCTION("""COMPUTED_VALUE"""),3350.0)</f>
        <v>3350</v>
      </c>
      <c r="C220" s="5">
        <f>IFERROR(__xludf.DUMMYFUNCTION("""COMPUTED_VALUE"""),3380.0)</f>
        <v>3380</v>
      </c>
      <c r="D220" s="5">
        <f>IFERROR(__xludf.DUMMYFUNCTION("""COMPUTED_VALUE"""),3330.0)</f>
        <v>3330</v>
      </c>
      <c r="E220" s="5">
        <f>IFERROR(__xludf.DUMMYFUNCTION("""COMPUTED_VALUE"""),3350.0)</f>
        <v>3350</v>
      </c>
      <c r="F220" s="5">
        <f>IFERROR(__xludf.DUMMYFUNCTION("""COMPUTED_VALUE"""),2.075039E8)</f>
        <v>207503900</v>
      </c>
      <c r="G220" s="5">
        <f t="shared" si="1"/>
        <v>60</v>
      </c>
    </row>
    <row r="221">
      <c r="A221" s="4">
        <f>IFERROR(__xludf.DUMMYFUNCTION("""COMPUTED_VALUE"""),44160.66666666667)</f>
        <v>44160.66667</v>
      </c>
      <c r="B221" s="5">
        <f>IFERROR(__xludf.DUMMYFUNCTION("""COMPUTED_VALUE"""),3370.0)</f>
        <v>3370</v>
      </c>
      <c r="C221" s="5">
        <f>IFERROR(__xludf.DUMMYFUNCTION("""COMPUTED_VALUE"""),3390.0)</f>
        <v>3390</v>
      </c>
      <c r="D221" s="5">
        <f>IFERROR(__xludf.DUMMYFUNCTION("""COMPUTED_VALUE"""),3280.0)</f>
        <v>3280</v>
      </c>
      <c r="E221" s="5">
        <f>IFERROR(__xludf.DUMMYFUNCTION("""COMPUTED_VALUE"""),3280.0)</f>
        <v>3280</v>
      </c>
      <c r="F221" s="5">
        <f>IFERROR(__xludf.DUMMYFUNCTION("""COMPUTED_VALUE"""),2.531562E8)</f>
        <v>253156200</v>
      </c>
      <c r="G221" s="5">
        <f t="shared" si="1"/>
        <v>110</v>
      </c>
    </row>
    <row r="222">
      <c r="A222" s="4">
        <f>IFERROR(__xludf.DUMMYFUNCTION("""COMPUTED_VALUE"""),44161.66666666667)</f>
        <v>44161.66667</v>
      </c>
      <c r="B222" s="5">
        <f>IFERROR(__xludf.DUMMYFUNCTION("""COMPUTED_VALUE"""),3280.0)</f>
        <v>3280</v>
      </c>
      <c r="C222" s="5">
        <f>IFERROR(__xludf.DUMMYFUNCTION("""COMPUTED_VALUE"""),3480.0)</f>
        <v>3480</v>
      </c>
      <c r="D222" s="5">
        <f>IFERROR(__xludf.DUMMYFUNCTION("""COMPUTED_VALUE"""),3280.0)</f>
        <v>3280</v>
      </c>
      <c r="E222" s="5">
        <f>IFERROR(__xludf.DUMMYFUNCTION("""COMPUTED_VALUE"""),3470.0)</f>
        <v>3470</v>
      </c>
      <c r="F222" s="5">
        <f>IFERROR(__xludf.DUMMYFUNCTION("""COMPUTED_VALUE"""),3.741854E8)</f>
        <v>374185400</v>
      </c>
      <c r="G222" s="5">
        <f t="shared" si="1"/>
        <v>200</v>
      </c>
    </row>
    <row r="223">
      <c r="A223" s="4">
        <f>IFERROR(__xludf.DUMMYFUNCTION("""COMPUTED_VALUE"""),44162.66666666667)</f>
        <v>44162.66667</v>
      </c>
      <c r="B223" s="5">
        <f>IFERROR(__xludf.DUMMYFUNCTION("""COMPUTED_VALUE"""),3480.0)</f>
        <v>3480</v>
      </c>
      <c r="C223" s="5">
        <f>IFERROR(__xludf.DUMMYFUNCTION("""COMPUTED_VALUE"""),3500.0)</f>
        <v>3500</v>
      </c>
      <c r="D223" s="5">
        <f>IFERROR(__xludf.DUMMYFUNCTION("""COMPUTED_VALUE"""),3420.0)</f>
        <v>3420</v>
      </c>
      <c r="E223" s="5">
        <f>IFERROR(__xludf.DUMMYFUNCTION("""COMPUTED_VALUE"""),3460.0)</f>
        <v>3460</v>
      </c>
      <c r="F223" s="5">
        <f>IFERROR(__xludf.DUMMYFUNCTION("""COMPUTED_VALUE"""),1.636516E8)</f>
        <v>163651600</v>
      </c>
      <c r="G223" s="5">
        <f t="shared" si="1"/>
        <v>80</v>
      </c>
    </row>
    <row r="224">
      <c r="A224" s="4">
        <f>IFERROR(__xludf.DUMMYFUNCTION("""COMPUTED_VALUE"""),44165.66666666667)</f>
        <v>44165.66667</v>
      </c>
      <c r="B224" s="5">
        <f>IFERROR(__xludf.DUMMYFUNCTION("""COMPUTED_VALUE"""),3460.0)</f>
        <v>3460</v>
      </c>
      <c r="C224" s="5">
        <f>IFERROR(__xludf.DUMMYFUNCTION("""COMPUTED_VALUE"""),3470.0)</f>
        <v>3470</v>
      </c>
      <c r="D224" s="5">
        <f>IFERROR(__xludf.DUMMYFUNCTION("""COMPUTED_VALUE"""),3220.0)</f>
        <v>3220</v>
      </c>
      <c r="E224" s="5">
        <f>IFERROR(__xludf.DUMMYFUNCTION("""COMPUTED_VALUE"""),3230.0)</f>
        <v>3230</v>
      </c>
      <c r="F224" s="5">
        <f>IFERROR(__xludf.DUMMYFUNCTION("""COMPUTED_VALUE"""),6.241426E8)</f>
        <v>624142600</v>
      </c>
      <c r="G224" s="5">
        <f t="shared" si="1"/>
        <v>250</v>
      </c>
    </row>
    <row r="225">
      <c r="A225" s="4">
        <f>IFERROR(__xludf.DUMMYFUNCTION("""COMPUTED_VALUE"""),44166.66666666667)</f>
        <v>44166.66667</v>
      </c>
      <c r="B225" s="5">
        <f>IFERROR(__xludf.DUMMYFUNCTION("""COMPUTED_VALUE"""),3230.0)</f>
        <v>3230</v>
      </c>
      <c r="C225" s="5">
        <f>IFERROR(__xludf.DUMMYFUNCTION("""COMPUTED_VALUE"""),3320.0)</f>
        <v>3320</v>
      </c>
      <c r="D225" s="5">
        <f>IFERROR(__xludf.DUMMYFUNCTION("""COMPUTED_VALUE"""),3160.0)</f>
        <v>3160</v>
      </c>
      <c r="E225" s="5">
        <f>IFERROR(__xludf.DUMMYFUNCTION("""COMPUTED_VALUE"""),3240.0)</f>
        <v>3240</v>
      </c>
      <c r="F225" s="5">
        <f>IFERROR(__xludf.DUMMYFUNCTION("""COMPUTED_VALUE"""),2.779292E8)</f>
        <v>277929200</v>
      </c>
      <c r="G225" s="5">
        <f t="shared" si="1"/>
        <v>160</v>
      </c>
    </row>
    <row r="226">
      <c r="A226" s="4">
        <f>IFERROR(__xludf.DUMMYFUNCTION("""COMPUTED_VALUE"""),44167.66666666667)</f>
        <v>44167.66667</v>
      </c>
      <c r="B226" s="5">
        <f>IFERROR(__xludf.DUMMYFUNCTION("""COMPUTED_VALUE"""),3270.0)</f>
        <v>3270</v>
      </c>
      <c r="C226" s="5">
        <f>IFERROR(__xludf.DUMMYFUNCTION("""COMPUTED_VALUE"""),3330.0)</f>
        <v>3330</v>
      </c>
      <c r="D226" s="5">
        <f>IFERROR(__xludf.DUMMYFUNCTION("""COMPUTED_VALUE"""),3240.0)</f>
        <v>3240</v>
      </c>
      <c r="E226" s="5">
        <f>IFERROR(__xludf.DUMMYFUNCTION("""COMPUTED_VALUE"""),3330.0)</f>
        <v>3330</v>
      </c>
      <c r="F226" s="5">
        <f>IFERROR(__xludf.DUMMYFUNCTION("""COMPUTED_VALUE"""),1.872766E8)</f>
        <v>187276600</v>
      </c>
      <c r="G226" s="5">
        <f t="shared" si="1"/>
        <v>90</v>
      </c>
    </row>
    <row r="227">
      <c r="A227" s="4">
        <f>IFERROR(__xludf.DUMMYFUNCTION("""COMPUTED_VALUE"""),44168.66666666667)</f>
        <v>44168.66667</v>
      </c>
      <c r="B227" s="5">
        <f>IFERROR(__xludf.DUMMYFUNCTION("""COMPUTED_VALUE"""),3330.0)</f>
        <v>3330</v>
      </c>
      <c r="C227" s="5">
        <f>IFERROR(__xludf.DUMMYFUNCTION("""COMPUTED_VALUE"""),3360.0)</f>
        <v>3360</v>
      </c>
      <c r="D227" s="5">
        <f>IFERROR(__xludf.DUMMYFUNCTION("""COMPUTED_VALUE"""),3280.0)</f>
        <v>3280</v>
      </c>
      <c r="E227" s="5">
        <f>IFERROR(__xludf.DUMMYFUNCTION("""COMPUTED_VALUE"""),3300.0)</f>
        <v>3300</v>
      </c>
      <c r="F227" s="5">
        <f>IFERROR(__xludf.DUMMYFUNCTION("""COMPUTED_VALUE"""),1.214342E8)</f>
        <v>121434200</v>
      </c>
      <c r="G227" s="5">
        <f t="shared" si="1"/>
        <v>80</v>
      </c>
    </row>
    <row r="228">
      <c r="A228" s="4">
        <f>IFERROR(__xludf.DUMMYFUNCTION("""COMPUTED_VALUE"""),44169.66666666667)</f>
        <v>44169.66667</v>
      </c>
      <c r="B228" s="5">
        <f>IFERROR(__xludf.DUMMYFUNCTION("""COMPUTED_VALUE"""),3270.0)</f>
        <v>3270</v>
      </c>
      <c r="C228" s="5">
        <f>IFERROR(__xludf.DUMMYFUNCTION("""COMPUTED_VALUE"""),3280.0)</f>
        <v>3280</v>
      </c>
      <c r="D228" s="5">
        <f>IFERROR(__xludf.DUMMYFUNCTION("""COMPUTED_VALUE"""),3210.0)</f>
        <v>3210</v>
      </c>
      <c r="E228" s="5">
        <f>IFERROR(__xludf.DUMMYFUNCTION("""COMPUTED_VALUE"""),3250.0)</f>
        <v>3250</v>
      </c>
      <c r="F228" s="5">
        <f>IFERROR(__xludf.DUMMYFUNCTION("""COMPUTED_VALUE"""),1.704189E8)</f>
        <v>170418900</v>
      </c>
      <c r="G228" s="5">
        <f t="shared" si="1"/>
        <v>90</v>
      </c>
    </row>
    <row r="229">
      <c r="A229" s="4">
        <f>IFERROR(__xludf.DUMMYFUNCTION("""COMPUTED_VALUE"""),44172.66666666667)</f>
        <v>44172.66667</v>
      </c>
      <c r="B229" s="5">
        <f>IFERROR(__xludf.DUMMYFUNCTION("""COMPUTED_VALUE"""),3280.0)</f>
        <v>3280</v>
      </c>
      <c r="C229" s="5">
        <f>IFERROR(__xludf.DUMMYFUNCTION("""COMPUTED_VALUE"""),3330.0)</f>
        <v>3330</v>
      </c>
      <c r="D229" s="5">
        <f>IFERROR(__xludf.DUMMYFUNCTION("""COMPUTED_VALUE"""),3260.0)</f>
        <v>3260</v>
      </c>
      <c r="E229" s="5">
        <f>IFERROR(__xludf.DUMMYFUNCTION("""COMPUTED_VALUE"""),3330.0)</f>
        <v>3330</v>
      </c>
      <c r="F229" s="5">
        <f>IFERROR(__xludf.DUMMYFUNCTION("""COMPUTED_VALUE"""),1.754369E8)</f>
        <v>175436900</v>
      </c>
      <c r="G229" s="5">
        <f t="shared" si="1"/>
        <v>80</v>
      </c>
    </row>
    <row r="230">
      <c r="A230" s="4">
        <f>IFERROR(__xludf.DUMMYFUNCTION("""COMPUTED_VALUE"""),44173.66666666667)</f>
        <v>44173.66667</v>
      </c>
      <c r="B230" s="5">
        <f>IFERROR(__xludf.DUMMYFUNCTION("""COMPUTED_VALUE"""),3350.0)</f>
        <v>3350</v>
      </c>
      <c r="C230" s="5">
        <f>IFERROR(__xludf.DUMMYFUNCTION("""COMPUTED_VALUE"""),3350.0)</f>
        <v>3350</v>
      </c>
      <c r="D230" s="5">
        <f>IFERROR(__xludf.DUMMYFUNCTION("""COMPUTED_VALUE"""),3290.0)</f>
        <v>3290</v>
      </c>
      <c r="E230" s="5">
        <f>IFERROR(__xludf.DUMMYFUNCTION("""COMPUTED_VALUE"""),3300.0)</f>
        <v>3300</v>
      </c>
      <c r="F230" s="5">
        <f>IFERROR(__xludf.DUMMYFUNCTION("""COMPUTED_VALUE"""),1.137751E8)</f>
        <v>113775100</v>
      </c>
      <c r="G230" s="5">
        <f t="shared" si="1"/>
        <v>60</v>
      </c>
    </row>
    <row r="231">
      <c r="A231" s="4">
        <f>IFERROR(__xludf.DUMMYFUNCTION("""COMPUTED_VALUE"""),44175.66666666667)</f>
        <v>44175.66667</v>
      </c>
      <c r="B231" s="5">
        <f>IFERROR(__xludf.DUMMYFUNCTION("""COMPUTED_VALUE"""),3270.0)</f>
        <v>3270</v>
      </c>
      <c r="C231" s="5">
        <f>IFERROR(__xludf.DUMMYFUNCTION("""COMPUTED_VALUE"""),3290.0)</f>
        <v>3290</v>
      </c>
      <c r="D231" s="5">
        <f>IFERROR(__xludf.DUMMYFUNCTION("""COMPUTED_VALUE"""),3250.0)</f>
        <v>3250</v>
      </c>
      <c r="E231" s="5">
        <f>IFERROR(__xludf.DUMMYFUNCTION("""COMPUTED_VALUE"""),3260.0)</f>
        <v>3260</v>
      </c>
      <c r="F231" s="5">
        <f>IFERROR(__xludf.DUMMYFUNCTION("""COMPUTED_VALUE"""),2.293802E8)</f>
        <v>229380200</v>
      </c>
      <c r="G231" s="5">
        <f t="shared" si="1"/>
        <v>50</v>
      </c>
    </row>
    <row r="232">
      <c r="A232" s="4">
        <f>IFERROR(__xludf.DUMMYFUNCTION("""COMPUTED_VALUE"""),44176.66666666667)</f>
        <v>44176.66667</v>
      </c>
      <c r="B232" s="5">
        <f>IFERROR(__xludf.DUMMYFUNCTION("""COMPUTED_VALUE"""),3270.0)</f>
        <v>3270</v>
      </c>
      <c r="C232" s="5">
        <f>IFERROR(__xludf.DUMMYFUNCTION("""COMPUTED_VALUE"""),3330.0)</f>
        <v>3330</v>
      </c>
      <c r="D232" s="5">
        <f>IFERROR(__xludf.DUMMYFUNCTION("""COMPUTED_VALUE"""),3250.0)</f>
        <v>3250</v>
      </c>
      <c r="E232" s="5">
        <f>IFERROR(__xludf.DUMMYFUNCTION("""COMPUTED_VALUE"""),3280.0)</f>
        <v>3280</v>
      </c>
      <c r="F232" s="5">
        <f>IFERROR(__xludf.DUMMYFUNCTION("""COMPUTED_VALUE"""),1.543654E8)</f>
        <v>154365400</v>
      </c>
      <c r="G232" s="5">
        <f t="shared" si="1"/>
        <v>80</v>
      </c>
    </row>
    <row r="233">
      <c r="A233" s="4">
        <f>IFERROR(__xludf.DUMMYFUNCTION("""COMPUTED_VALUE"""),44179.66666666667)</f>
        <v>44179.66667</v>
      </c>
      <c r="B233" s="5">
        <f>IFERROR(__xludf.DUMMYFUNCTION("""COMPUTED_VALUE"""),3300.0)</f>
        <v>3300</v>
      </c>
      <c r="C233" s="5">
        <f>IFERROR(__xludf.DUMMYFUNCTION("""COMPUTED_VALUE"""),3340.0)</f>
        <v>3340</v>
      </c>
      <c r="D233" s="5">
        <f>IFERROR(__xludf.DUMMYFUNCTION("""COMPUTED_VALUE"""),3250.0)</f>
        <v>3250</v>
      </c>
      <c r="E233" s="5">
        <f>IFERROR(__xludf.DUMMYFUNCTION("""COMPUTED_VALUE"""),3320.0)</f>
        <v>3320</v>
      </c>
      <c r="F233" s="5">
        <f>IFERROR(__xludf.DUMMYFUNCTION("""COMPUTED_VALUE"""),2.814749E8)</f>
        <v>281474900</v>
      </c>
      <c r="G233" s="5">
        <f t="shared" si="1"/>
        <v>90</v>
      </c>
    </row>
    <row r="234">
      <c r="A234" s="4">
        <f>IFERROR(__xludf.DUMMYFUNCTION("""COMPUTED_VALUE"""),44180.66666666667)</f>
        <v>44180.66667</v>
      </c>
      <c r="B234" s="5">
        <f>IFERROR(__xludf.DUMMYFUNCTION("""COMPUTED_VALUE"""),3320.0)</f>
        <v>3320</v>
      </c>
      <c r="C234" s="5">
        <f>IFERROR(__xludf.DUMMYFUNCTION("""COMPUTED_VALUE"""),3490.0)</f>
        <v>3490</v>
      </c>
      <c r="D234" s="5">
        <f>IFERROR(__xludf.DUMMYFUNCTION("""COMPUTED_VALUE"""),3290.0)</f>
        <v>3290</v>
      </c>
      <c r="E234" s="5">
        <f>IFERROR(__xludf.DUMMYFUNCTION("""COMPUTED_VALUE"""),3450.0)</f>
        <v>3450</v>
      </c>
      <c r="F234" s="5">
        <f>IFERROR(__xludf.DUMMYFUNCTION("""COMPUTED_VALUE"""),4.101757E8)</f>
        <v>410175700</v>
      </c>
      <c r="G234" s="5">
        <f t="shared" si="1"/>
        <v>200</v>
      </c>
    </row>
    <row r="235">
      <c r="A235" s="4">
        <f>IFERROR(__xludf.DUMMYFUNCTION("""COMPUTED_VALUE"""),44181.66666666667)</f>
        <v>44181.66667</v>
      </c>
      <c r="B235" s="5">
        <f>IFERROR(__xludf.DUMMYFUNCTION("""COMPUTED_VALUE"""),3500.0)</f>
        <v>3500</v>
      </c>
      <c r="C235" s="5">
        <f>IFERROR(__xludf.DUMMYFUNCTION("""COMPUTED_VALUE"""),3640.0)</f>
        <v>3640</v>
      </c>
      <c r="D235" s="5">
        <f>IFERROR(__xludf.DUMMYFUNCTION("""COMPUTED_VALUE"""),3500.0)</f>
        <v>3500</v>
      </c>
      <c r="E235" s="5">
        <f>IFERROR(__xludf.DUMMYFUNCTION("""COMPUTED_VALUE"""),3610.0)</f>
        <v>3610</v>
      </c>
      <c r="F235" s="5">
        <f>IFERROR(__xludf.DUMMYFUNCTION("""COMPUTED_VALUE"""),4.550884E8)</f>
        <v>455088400</v>
      </c>
      <c r="G235" s="5">
        <f t="shared" si="1"/>
        <v>190</v>
      </c>
    </row>
    <row r="236">
      <c r="A236" s="4">
        <f>IFERROR(__xludf.DUMMYFUNCTION("""COMPUTED_VALUE"""),44182.66666666667)</f>
        <v>44182.66667</v>
      </c>
      <c r="B236" s="5">
        <f>IFERROR(__xludf.DUMMYFUNCTION("""COMPUTED_VALUE"""),3610.0)</f>
        <v>3610</v>
      </c>
      <c r="C236" s="5">
        <f>IFERROR(__xludf.DUMMYFUNCTION("""COMPUTED_VALUE"""),3620.0)</f>
        <v>3620</v>
      </c>
      <c r="D236" s="5">
        <f>IFERROR(__xludf.DUMMYFUNCTION("""COMPUTED_VALUE"""),3520.0)</f>
        <v>3520</v>
      </c>
      <c r="E236" s="5">
        <f>IFERROR(__xludf.DUMMYFUNCTION("""COMPUTED_VALUE"""),3540.0)</f>
        <v>3540</v>
      </c>
      <c r="F236" s="5">
        <f>IFERROR(__xludf.DUMMYFUNCTION("""COMPUTED_VALUE"""),2.497978E8)</f>
        <v>249797800</v>
      </c>
      <c r="G236" s="5">
        <f t="shared" si="1"/>
        <v>100</v>
      </c>
    </row>
    <row r="237">
      <c r="A237" s="4">
        <f>IFERROR(__xludf.DUMMYFUNCTION("""COMPUTED_VALUE"""),44183.66666666667)</f>
        <v>44183.66667</v>
      </c>
      <c r="B237" s="5">
        <f>IFERROR(__xludf.DUMMYFUNCTION("""COMPUTED_VALUE"""),3500.0)</f>
        <v>3500</v>
      </c>
      <c r="C237" s="5">
        <f>IFERROR(__xludf.DUMMYFUNCTION("""COMPUTED_VALUE"""),3540.0)</f>
        <v>3540</v>
      </c>
      <c r="D237" s="5">
        <f>IFERROR(__xludf.DUMMYFUNCTION("""COMPUTED_VALUE"""),3500.0)</f>
        <v>3500</v>
      </c>
      <c r="E237" s="5">
        <f>IFERROR(__xludf.DUMMYFUNCTION("""COMPUTED_VALUE"""),3510.0)</f>
        <v>3510</v>
      </c>
      <c r="F237" s="5">
        <f>IFERROR(__xludf.DUMMYFUNCTION("""COMPUTED_VALUE"""),1.878566E8)</f>
        <v>187856600</v>
      </c>
      <c r="G237" s="5">
        <f t="shared" si="1"/>
        <v>40</v>
      </c>
    </row>
    <row r="238">
      <c r="A238" s="4">
        <f>IFERROR(__xludf.DUMMYFUNCTION("""COMPUTED_VALUE"""),44186.66666666667)</f>
        <v>44186.66667</v>
      </c>
      <c r="B238" s="5">
        <f>IFERROR(__xludf.DUMMYFUNCTION("""COMPUTED_VALUE"""),3530.0)</f>
        <v>3530</v>
      </c>
      <c r="C238" s="5">
        <f>IFERROR(__xludf.DUMMYFUNCTION("""COMPUTED_VALUE"""),3610.0)</f>
        <v>3610</v>
      </c>
      <c r="D238" s="5">
        <f>IFERROR(__xludf.DUMMYFUNCTION("""COMPUTED_VALUE"""),3510.0)</f>
        <v>3510</v>
      </c>
      <c r="E238" s="5">
        <f>IFERROR(__xludf.DUMMYFUNCTION("""COMPUTED_VALUE"""),3520.0)</f>
        <v>3520</v>
      </c>
      <c r="F238" s="5">
        <f>IFERROR(__xludf.DUMMYFUNCTION("""COMPUTED_VALUE"""),2.679702E8)</f>
        <v>267970200</v>
      </c>
      <c r="G238" s="5">
        <f t="shared" si="1"/>
        <v>100</v>
      </c>
    </row>
    <row r="239">
      <c r="A239" s="4">
        <f>IFERROR(__xludf.DUMMYFUNCTION("""COMPUTED_VALUE"""),44187.66666666667)</f>
        <v>44187.66667</v>
      </c>
      <c r="B239" s="5">
        <f>IFERROR(__xludf.DUMMYFUNCTION("""COMPUTED_VALUE"""),3500.0)</f>
        <v>3500</v>
      </c>
      <c r="C239" s="5">
        <f>IFERROR(__xludf.DUMMYFUNCTION("""COMPUTED_VALUE"""),3540.0)</f>
        <v>3540</v>
      </c>
      <c r="D239" s="5">
        <f>IFERROR(__xludf.DUMMYFUNCTION("""COMPUTED_VALUE"""),3340.0)</f>
        <v>3340</v>
      </c>
      <c r="E239" s="5">
        <f>IFERROR(__xludf.DUMMYFUNCTION("""COMPUTED_VALUE"""),3360.0)</f>
        <v>3360</v>
      </c>
      <c r="F239" s="5">
        <f>IFERROR(__xludf.DUMMYFUNCTION("""COMPUTED_VALUE"""),3.1186E8)</f>
        <v>311860000</v>
      </c>
      <c r="G239" s="5">
        <f t="shared" si="1"/>
        <v>200</v>
      </c>
    </row>
    <row r="240">
      <c r="A240" s="4">
        <f>IFERROR(__xludf.DUMMYFUNCTION("""COMPUTED_VALUE"""),44188.66666666667)</f>
        <v>44188.66667</v>
      </c>
      <c r="B240" s="5">
        <f>IFERROR(__xludf.DUMMYFUNCTION("""COMPUTED_VALUE"""),3350.0)</f>
        <v>3350</v>
      </c>
      <c r="C240" s="5">
        <f>IFERROR(__xludf.DUMMYFUNCTION("""COMPUTED_VALUE"""),3420.0)</f>
        <v>3420</v>
      </c>
      <c r="D240" s="5">
        <f>IFERROR(__xludf.DUMMYFUNCTION("""COMPUTED_VALUE"""),3240.0)</f>
        <v>3240</v>
      </c>
      <c r="E240" s="5">
        <f>IFERROR(__xludf.DUMMYFUNCTION("""COMPUTED_VALUE"""),3320.0)</f>
        <v>3320</v>
      </c>
      <c r="F240" s="5">
        <f>IFERROR(__xludf.DUMMYFUNCTION("""COMPUTED_VALUE"""),2.400676E8)</f>
        <v>240067600</v>
      </c>
      <c r="G240" s="5">
        <f t="shared" si="1"/>
        <v>180</v>
      </c>
    </row>
    <row r="241">
      <c r="A241" s="4">
        <f>IFERROR(__xludf.DUMMYFUNCTION("""COMPUTED_VALUE"""),44193.66666666667)</f>
        <v>44193.66667</v>
      </c>
      <c r="B241" s="5">
        <f>IFERROR(__xludf.DUMMYFUNCTION("""COMPUTED_VALUE"""),3370.0)</f>
        <v>3370</v>
      </c>
      <c r="C241" s="5">
        <f>IFERROR(__xludf.DUMMYFUNCTION("""COMPUTED_VALUE"""),3460.0)</f>
        <v>3460</v>
      </c>
      <c r="D241" s="5">
        <f>IFERROR(__xludf.DUMMYFUNCTION("""COMPUTED_VALUE"""),3280.0)</f>
        <v>3280</v>
      </c>
      <c r="E241" s="5">
        <f>IFERROR(__xludf.DUMMYFUNCTION("""COMPUTED_VALUE"""),3430.0)</f>
        <v>3430</v>
      </c>
      <c r="F241" s="5">
        <f>IFERROR(__xludf.DUMMYFUNCTION("""COMPUTED_VALUE"""),1.781381E8)</f>
        <v>178138100</v>
      </c>
      <c r="G241" s="5">
        <f t="shared" si="1"/>
        <v>180</v>
      </c>
    </row>
    <row r="242">
      <c r="A242" s="4">
        <f>IFERROR(__xludf.DUMMYFUNCTION("""COMPUTED_VALUE"""),44194.66666666667)</f>
        <v>44194.66667</v>
      </c>
      <c r="B242" s="5">
        <f>IFERROR(__xludf.DUMMYFUNCTION("""COMPUTED_VALUE"""),3500.0)</f>
        <v>3500</v>
      </c>
      <c r="C242" s="5">
        <f>IFERROR(__xludf.DUMMYFUNCTION("""COMPUTED_VALUE"""),3530.0)</f>
        <v>3530</v>
      </c>
      <c r="D242" s="5">
        <f>IFERROR(__xludf.DUMMYFUNCTION("""COMPUTED_VALUE"""),3400.0)</f>
        <v>3400</v>
      </c>
      <c r="E242" s="5">
        <f>IFERROR(__xludf.DUMMYFUNCTION("""COMPUTED_VALUE"""),3420.0)</f>
        <v>3420</v>
      </c>
      <c r="F242" s="5">
        <f>IFERROR(__xludf.DUMMYFUNCTION("""COMPUTED_VALUE"""),1.845255E8)</f>
        <v>184525500</v>
      </c>
      <c r="G242" s="5">
        <f t="shared" si="1"/>
        <v>130</v>
      </c>
    </row>
    <row r="243">
      <c r="A243" s="4">
        <f>IFERROR(__xludf.DUMMYFUNCTION("""COMPUTED_VALUE"""),44195.66666666667)</f>
        <v>44195.66667</v>
      </c>
      <c r="B243" s="5">
        <f>IFERROR(__xludf.DUMMYFUNCTION("""COMPUTED_VALUE"""),3420.0)</f>
        <v>3420</v>
      </c>
      <c r="C243" s="5">
        <f>IFERROR(__xludf.DUMMYFUNCTION("""COMPUTED_VALUE"""),3420.0)</f>
        <v>3420</v>
      </c>
      <c r="D243" s="5">
        <f>IFERROR(__xludf.DUMMYFUNCTION("""COMPUTED_VALUE"""),3310.0)</f>
        <v>3310</v>
      </c>
      <c r="E243" s="5">
        <f>IFERROR(__xludf.DUMMYFUNCTION("""COMPUTED_VALUE"""),3310.0)</f>
        <v>3310</v>
      </c>
      <c r="F243" s="5">
        <f>IFERROR(__xludf.DUMMYFUNCTION("""COMPUTED_VALUE"""),1.508445E8)</f>
        <v>150844500</v>
      </c>
      <c r="G243" s="5">
        <f t="shared" si="1"/>
        <v>110</v>
      </c>
    </row>
    <row r="244">
      <c r="A244" s="4">
        <f>IFERROR(__xludf.DUMMYFUNCTION("""COMPUTED_VALUE"""),44200.625)</f>
        <v>44200.625</v>
      </c>
      <c r="B244" s="5">
        <f>IFERROR(__xludf.DUMMYFUNCTION("""COMPUTED_VALUE"""),3320.0)</f>
        <v>3320</v>
      </c>
      <c r="C244" s="5">
        <f>IFERROR(__xludf.DUMMYFUNCTION("""COMPUTED_VALUE"""),3500.0)</f>
        <v>3500</v>
      </c>
      <c r="D244" s="5">
        <f>IFERROR(__xludf.DUMMYFUNCTION("""COMPUTED_VALUE"""),3310.0)</f>
        <v>3310</v>
      </c>
      <c r="E244" s="5">
        <f>IFERROR(__xludf.DUMMYFUNCTION("""COMPUTED_VALUE"""),3490.0)</f>
        <v>3490</v>
      </c>
      <c r="F244" s="5">
        <f>IFERROR(__xludf.DUMMYFUNCTION("""COMPUTED_VALUE"""),1.653398E8)</f>
        <v>165339800</v>
      </c>
      <c r="G244" s="5">
        <f t="shared" si="1"/>
        <v>190</v>
      </c>
    </row>
    <row r="245">
      <c r="A245" s="4">
        <f>IFERROR(__xludf.DUMMYFUNCTION("""COMPUTED_VALUE"""),44201.625)</f>
        <v>44201.625</v>
      </c>
      <c r="B245" s="5">
        <f>IFERROR(__xludf.DUMMYFUNCTION("""COMPUTED_VALUE"""),3480.0)</f>
        <v>3480</v>
      </c>
      <c r="C245" s="5">
        <f>IFERROR(__xludf.DUMMYFUNCTION("""COMPUTED_VALUE"""),3480.0)</f>
        <v>3480</v>
      </c>
      <c r="D245" s="5">
        <f>IFERROR(__xludf.DUMMYFUNCTION("""COMPUTED_VALUE"""),3420.0)</f>
        <v>3420</v>
      </c>
      <c r="E245" s="5">
        <f>IFERROR(__xludf.DUMMYFUNCTION("""COMPUTED_VALUE"""),3470.0)</f>
        <v>3470</v>
      </c>
      <c r="F245" s="5">
        <f>IFERROR(__xludf.DUMMYFUNCTION("""COMPUTED_VALUE"""),1.578007E8)</f>
        <v>157800700</v>
      </c>
      <c r="G245" s="5">
        <f t="shared" si="1"/>
        <v>70</v>
      </c>
    </row>
    <row r="246">
      <c r="A246" s="4">
        <f>IFERROR(__xludf.DUMMYFUNCTION("""COMPUTED_VALUE"""),44202.625)</f>
        <v>44202.625</v>
      </c>
      <c r="B246" s="5">
        <f>IFERROR(__xludf.DUMMYFUNCTION("""COMPUTED_VALUE"""),3470.0)</f>
        <v>3470</v>
      </c>
      <c r="C246" s="5">
        <f>IFERROR(__xludf.DUMMYFUNCTION("""COMPUTED_VALUE"""),3490.0)</f>
        <v>3490</v>
      </c>
      <c r="D246" s="5">
        <f>IFERROR(__xludf.DUMMYFUNCTION("""COMPUTED_VALUE"""),3330.0)</f>
        <v>3330</v>
      </c>
      <c r="E246" s="5">
        <f>IFERROR(__xludf.DUMMYFUNCTION("""COMPUTED_VALUE"""),3370.0)</f>
        <v>3370</v>
      </c>
      <c r="F246" s="5">
        <f>IFERROR(__xludf.DUMMYFUNCTION("""COMPUTED_VALUE"""),1.778779E8)</f>
        <v>177877900</v>
      </c>
      <c r="G246" s="5">
        <f t="shared" si="1"/>
        <v>160</v>
      </c>
    </row>
    <row r="247">
      <c r="A247" s="4">
        <f>IFERROR(__xludf.DUMMYFUNCTION("""COMPUTED_VALUE"""),44203.66666666667)</f>
        <v>44203.66667</v>
      </c>
      <c r="B247" s="5">
        <f>IFERROR(__xludf.DUMMYFUNCTION("""COMPUTED_VALUE"""),3390.0)</f>
        <v>3390</v>
      </c>
      <c r="C247" s="5">
        <f>IFERROR(__xludf.DUMMYFUNCTION("""COMPUTED_VALUE"""),3450.0)</f>
        <v>3450</v>
      </c>
      <c r="D247" s="5">
        <f>IFERROR(__xludf.DUMMYFUNCTION("""COMPUTED_VALUE"""),3380.0)</f>
        <v>3380</v>
      </c>
      <c r="E247" s="5">
        <f>IFERROR(__xludf.DUMMYFUNCTION("""COMPUTED_VALUE"""),3390.0)</f>
        <v>3390</v>
      </c>
      <c r="F247" s="5">
        <f>IFERROR(__xludf.DUMMYFUNCTION("""COMPUTED_VALUE"""),1.402219E8)</f>
        <v>140221900</v>
      </c>
      <c r="G247" s="5">
        <f t="shared" si="1"/>
        <v>80</v>
      </c>
    </row>
    <row r="248">
      <c r="A248" s="4">
        <f>IFERROR(__xludf.DUMMYFUNCTION("""COMPUTED_VALUE"""),44204.66666666667)</f>
        <v>44204.66667</v>
      </c>
      <c r="B248" s="5">
        <f>IFERROR(__xludf.DUMMYFUNCTION("""COMPUTED_VALUE"""),3450.0)</f>
        <v>3450</v>
      </c>
      <c r="C248" s="5">
        <f>IFERROR(__xludf.DUMMYFUNCTION("""COMPUTED_VALUE"""),3620.0)</f>
        <v>3620</v>
      </c>
      <c r="D248" s="5">
        <f>IFERROR(__xludf.DUMMYFUNCTION("""COMPUTED_VALUE"""),3440.0)</f>
        <v>3440</v>
      </c>
      <c r="E248" s="5">
        <f>IFERROR(__xludf.DUMMYFUNCTION("""COMPUTED_VALUE"""),3570.0)</f>
        <v>3570</v>
      </c>
      <c r="F248" s="5">
        <f>IFERROR(__xludf.DUMMYFUNCTION("""COMPUTED_VALUE"""),4.926437E8)</f>
        <v>492643700</v>
      </c>
      <c r="G248" s="5">
        <f t="shared" si="1"/>
        <v>230</v>
      </c>
    </row>
    <row r="249">
      <c r="A249" s="4">
        <f>IFERROR(__xludf.DUMMYFUNCTION("""COMPUTED_VALUE"""),44207.625)</f>
        <v>44207.625</v>
      </c>
      <c r="B249" s="5">
        <f>IFERROR(__xludf.DUMMYFUNCTION("""COMPUTED_VALUE"""),3590.0)</f>
        <v>3590</v>
      </c>
      <c r="C249" s="5">
        <f>IFERROR(__xludf.DUMMYFUNCTION("""COMPUTED_VALUE"""),3640.0)</f>
        <v>3640</v>
      </c>
      <c r="D249" s="5">
        <f>IFERROR(__xludf.DUMMYFUNCTION("""COMPUTED_VALUE"""),3570.0)</f>
        <v>3570</v>
      </c>
      <c r="E249" s="5">
        <f>IFERROR(__xludf.DUMMYFUNCTION("""COMPUTED_VALUE"""),3600.0)</f>
        <v>3600</v>
      </c>
      <c r="F249" s="5">
        <f>IFERROR(__xludf.DUMMYFUNCTION("""COMPUTED_VALUE"""),2.712312E8)</f>
        <v>271231200</v>
      </c>
      <c r="G249" s="5">
        <f t="shared" si="1"/>
        <v>70</v>
      </c>
    </row>
    <row r="250">
      <c r="A250" s="4">
        <f>IFERROR(__xludf.DUMMYFUNCTION("""COMPUTED_VALUE"""),44208.625)</f>
        <v>44208.625</v>
      </c>
      <c r="B250" s="5">
        <f>IFERROR(__xludf.DUMMYFUNCTION("""COMPUTED_VALUE"""),3600.0)</f>
        <v>3600</v>
      </c>
      <c r="C250" s="5">
        <f>IFERROR(__xludf.DUMMYFUNCTION("""COMPUTED_VALUE"""),3620.0)</f>
        <v>3620</v>
      </c>
      <c r="D250" s="5">
        <f>IFERROR(__xludf.DUMMYFUNCTION("""COMPUTED_VALUE"""),3500.0)</f>
        <v>3500</v>
      </c>
      <c r="E250" s="5">
        <f>IFERROR(__xludf.DUMMYFUNCTION("""COMPUTED_VALUE"""),3510.0)</f>
        <v>3510</v>
      </c>
      <c r="F250" s="5">
        <f>IFERROR(__xludf.DUMMYFUNCTION("""COMPUTED_VALUE"""),1.897795E8)</f>
        <v>189779500</v>
      </c>
      <c r="G250" s="5">
        <f t="shared" si="1"/>
        <v>120</v>
      </c>
    </row>
    <row r="251">
      <c r="A251" s="4">
        <f>IFERROR(__xludf.DUMMYFUNCTION("""COMPUTED_VALUE"""),44209.625)</f>
        <v>44209.625</v>
      </c>
      <c r="B251" s="5">
        <f>IFERROR(__xludf.DUMMYFUNCTION("""COMPUTED_VALUE"""),3550.0)</f>
        <v>3550</v>
      </c>
      <c r="C251" s="5">
        <f>IFERROR(__xludf.DUMMYFUNCTION("""COMPUTED_VALUE"""),3550.0)</f>
        <v>3550</v>
      </c>
      <c r="D251" s="5">
        <f>IFERROR(__xludf.DUMMYFUNCTION("""COMPUTED_VALUE"""),3460.0)</f>
        <v>3460</v>
      </c>
      <c r="E251" s="5">
        <f>IFERROR(__xludf.DUMMYFUNCTION("""COMPUTED_VALUE"""),3480.0)</f>
        <v>3480</v>
      </c>
      <c r="F251" s="5">
        <f>IFERROR(__xludf.DUMMYFUNCTION("""COMPUTED_VALUE"""),1.623293E8)</f>
        <v>162329300</v>
      </c>
      <c r="G251" s="5">
        <f t="shared" si="1"/>
        <v>90</v>
      </c>
    </row>
    <row r="252">
      <c r="A252" s="4">
        <f>IFERROR(__xludf.DUMMYFUNCTION("""COMPUTED_VALUE"""),44210.625)</f>
        <v>44210.625</v>
      </c>
      <c r="B252" s="5">
        <f>IFERROR(__xludf.DUMMYFUNCTION("""COMPUTED_VALUE"""),3480.0)</f>
        <v>3480</v>
      </c>
      <c r="C252" s="5">
        <f>IFERROR(__xludf.DUMMYFUNCTION("""COMPUTED_VALUE"""),3590.0)</f>
        <v>3590</v>
      </c>
      <c r="D252" s="5">
        <f>IFERROR(__xludf.DUMMYFUNCTION("""COMPUTED_VALUE"""),3470.0)</f>
        <v>3470</v>
      </c>
      <c r="E252" s="5">
        <f>IFERROR(__xludf.DUMMYFUNCTION("""COMPUTED_VALUE"""),3500.0)</f>
        <v>3500</v>
      </c>
      <c r="F252" s="5">
        <f>IFERROR(__xludf.DUMMYFUNCTION("""COMPUTED_VALUE"""),1.874484E8)</f>
        <v>187448400</v>
      </c>
      <c r="G252" s="5">
        <f t="shared" si="1"/>
        <v>120</v>
      </c>
    </row>
    <row r="253">
      <c r="A253" s="4">
        <f>IFERROR(__xludf.DUMMYFUNCTION("""COMPUTED_VALUE"""),44211.625)</f>
        <v>44211.625</v>
      </c>
      <c r="B253" s="5">
        <f>IFERROR(__xludf.DUMMYFUNCTION("""COMPUTED_VALUE"""),3510.0)</f>
        <v>3510</v>
      </c>
      <c r="C253" s="5">
        <f>IFERROR(__xludf.DUMMYFUNCTION("""COMPUTED_VALUE"""),3540.0)</f>
        <v>3540</v>
      </c>
      <c r="D253" s="5">
        <f>IFERROR(__xludf.DUMMYFUNCTION("""COMPUTED_VALUE"""),3450.0)</f>
        <v>3450</v>
      </c>
      <c r="E253" s="5">
        <f>IFERROR(__xludf.DUMMYFUNCTION("""COMPUTED_VALUE"""),3480.0)</f>
        <v>3480</v>
      </c>
      <c r="F253" s="5">
        <f>IFERROR(__xludf.DUMMYFUNCTION("""COMPUTED_VALUE"""),1.333043E8)</f>
        <v>133304300</v>
      </c>
      <c r="G253" s="5">
        <f t="shared" si="1"/>
        <v>90</v>
      </c>
    </row>
    <row r="254">
      <c r="A254" s="4">
        <f>IFERROR(__xludf.DUMMYFUNCTION("""COMPUTED_VALUE"""),44214.625)</f>
        <v>44214.625</v>
      </c>
      <c r="B254" s="5">
        <f>IFERROR(__xludf.DUMMYFUNCTION("""COMPUTED_VALUE"""),3480.0)</f>
        <v>3480</v>
      </c>
      <c r="C254" s="5">
        <f>IFERROR(__xludf.DUMMYFUNCTION("""COMPUTED_VALUE"""),3520.0)</f>
        <v>3520</v>
      </c>
      <c r="D254" s="5">
        <f>IFERROR(__xludf.DUMMYFUNCTION("""COMPUTED_VALUE"""),3430.0)</f>
        <v>3430</v>
      </c>
      <c r="E254" s="5">
        <f>IFERROR(__xludf.DUMMYFUNCTION("""COMPUTED_VALUE"""),3450.0)</f>
        <v>3450</v>
      </c>
      <c r="F254" s="5">
        <f>IFERROR(__xludf.DUMMYFUNCTION("""COMPUTED_VALUE"""),1.389131E8)</f>
        <v>138913100</v>
      </c>
      <c r="G254" s="5">
        <f t="shared" si="1"/>
        <v>90</v>
      </c>
    </row>
    <row r="255">
      <c r="A255" s="4">
        <f>IFERROR(__xludf.DUMMYFUNCTION("""COMPUTED_VALUE"""),44215.625)</f>
        <v>44215.625</v>
      </c>
      <c r="B255" s="5">
        <f>IFERROR(__xludf.DUMMYFUNCTION("""COMPUTED_VALUE"""),3470.0)</f>
        <v>3470</v>
      </c>
      <c r="C255" s="5">
        <f>IFERROR(__xludf.DUMMYFUNCTION("""COMPUTED_VALUE"""),3490.0)</f>
        <v>3490</v>
      </c>
      <c r="D255" s="5">
        <f>IFERROR(__xludf.DUMMYFUNCTION("""COMPUTED_VALUE"""),3370.0)</f>
        <v>3370</v>
      </c>
      <c r="E255" s="5">
        <f>IFERROR(__xludf.DUMMYFUNCTION("""COMPUTED_VALUE"""),3410.0)</f>
        <v>3410</v>
      </c>
      <c r="F255" s="5">
        <f>IFERROR(__xludf.DUMMYFUNCTION("""COMPUTED_VALUE"""),1.441007E8)</f>
        <v>144100700</v>
      </c>
      <c r="G255" s="5">
        <f t="shared" si="1"/>
        <v>120</v>
      </c>
    </row>
    <row r="256">
      <c r="A256" s="4">
        <f>IFERROR(__xludf.DUMMYFUNCTION("""COMPUTED_VALUE"""),44216.625)</f>
        <v>44216.625</v>
      </c>
      <c r="B256" s="5">
        <f>IFERROR(__xludf.DUMMYFUNCTION("""COMPUTED_VALUE"""),3420.0)</f>
        <v>3420</v>
      </c>
      <c r="C256" s="5">
        <f>IFERROR(__xludf.DUMMYFUNCTION("""COMPUTED_VALUE"""),3480.0)</f>
        <v>3480</v>
      </c>
      <c r="D256" s="5">
        <f>IFERROR(__xludf.DUMMYFUNCTION("""COMPUTED_VALUE"""),3380.0)</f>
        <v>3380</v>
      </c>
      <c r="E256" s="5">
        <f>IFERROR(__xludf.DUMMYFUNCTION("""COMPUTED_VALUE"""),3470.0)</f>
        <v>3470</v>
      </c>
      <c r="F256" s="5">
        <f>IFERROR(__xludf.DUMMYFUNCTION("""COMPUTED_VALUE"""),1.160981E8)</f>
        <v>116098100</v>
      </c>
      <c r="G256" s="5">
        <f t="shared" si="1"/>
        <v>100</v>
      </c>
    </row>
    <row r="257">
      <c r="A257" s="4">
        <f>IFERROR(__xludf.DUMMYFUNCTION("""COMPUTED_VALUE"""),44217.625)</f>
        <v>44217.625</v>
      </c>
      <c r="B257" s="5">
        <f>IFERROR(__xludf.DUMMYFUNCTION("""COMPUTED_VALUE"""),3500.0)</f>
        <v>3500</v>
      </c>
      <c r="C257" s="5">
        <f>IFERROR(__xludf.DUMMYFUNCTION("""COMPUTED_VALUE"""),3520.0)</f>
        <v>3520</v>
      </c>
      <c r="D257" s="5">
        <f>IFERROR(__xludf.DUMMYFUNCTION("""COMPUTED_VALUE"""),3460.0)</f>
        <v>3460</v>
      </c>
      <c r="E257" s="5">
        <f>IFERROR(__xludf.DUMMYFUNCTION("""COMPUTED_VALUE"""),3480.0)</f>
        <v>3480</v>
      </c>
      <c r="F257" s="5">
        <f>IFERROR(__xludf.DUMMYFUNCTION("""COMPUTED_VALUE"""),8.18019E7)</f>
        <v>81801900</v>
      </c>
      <c r="G257" s="5">
        <f t="shared" si="1"/>
        <v>60</v>
      </c>
    </row>
    <row r="258">
      <c r="A258" s="4">
        <f>IFERROR(__xludf.DUMMYFUNCTION("""COMPUTED_VALUE"""),44218.625)</f>
        <v>44218.625</v>
      </c>
      <c r="B258" s="5">
        <f>IFERROR(__xludf.DUMMYFUNCTION("""COMPUTED_VALUE"""),3420.0)</f>
        <v>3420</v>
      </c>
      <c r="C258" s="5">
        <f>IFERROR(__xludf.DUMMYFUNCTION("""COMPUTED_VALUE"""),3440.0)</f>
        <v>3440</v>
      </c>
      <c r="D258" s="5">
        <f>IFERROR(__xludf.DUMMYFUNCTION("""COMPUTED_VALUE"""),3360.0)</f>
        <v>3360</v>
      </c>
      <c r="E258" s="5">
        <f>IFERROR(__xludf.DUMMYFUNCTION("""COMPUTED_VALUE"""),3390.0)</f>
        <v>3390</v>
      </c>
      <c r="F258" s="5">
        <f>IFERROR(__xludf.DUMMYFUNCTION("""COMPUTED_VALUE"""),1.650242E8)</f>
        <v>165024200</v>
      </c>
      <c r="G258" s="5">
        <f t="shared" si="1"/>
        <v>120</v>
      </c>
    </row>
    <row r="259">
      <c r="A259" s="4">
        <f>IFERROR(__xludf.DUMMYFUNCTION("""COMPUTED_VALUE"""),44221.625)</f>
        <v>44221.625</v>
      </c>
      <c r="B259" s="5">
        <f>IFERROR(__xludf.DUMMYFUNCTION("""COMPUTED_VALUE"""),3370.0)</f>
        <v>3370</v>
      </c>
      <c r="C259" s="5">
        <f>IFERROR(__xludf.DUMMYFUNCTION("""COMPUTED_VALUE"""),3410.0)</f>
        <v>3410</v>
      </c>
      <c r="D259" s="5">
        <f>IFERROR(__xludf.DUMMYFUNCTION("""COMPUTED_VALUE"""),3310.0)</f>
        <v>3310</v>
      </c>
      <c r="E259" s="5">
        <f>IFERROR(__xludf.DUMMYFUNCTION("""COMPUTED_VALUE"""),3370.0)</f>
        <v>3370</v>
      </c>
      <c r="F259" s="5">
        <f>IFERROR(__xludf.DUMMYFUNCTION("""COMPUTED_VALUE"""),1.181318E8)</f>
        <v>118131800</v>
      </c>
      <c r="G259" s="5">
        <f t="shared" si="1"/>
        <v>100</v>
      </c>
    </row>
    <row r="260">
      <c r="A260" s="4">
        <f>IFERROR(__xludf.DUMMYFUNCTION("""COMPUTED_VALUE"""),44222.625)</f>
        <v>44222.625</v>
      </c>
      <c r="B260" s="5">
        <f>IFERROR(__xludf.DUMMYFUNCTION("""COMPUTED_VALUE"""),3360.0)</f>
        <v>3360</v>
      </c>
      <c r="C260" s="5">
        <f>IFERROR(__xludf.DUMMYFUNCTION("""COMPUTED_VALUE"""),3390.0)</f>
        <v>3390</v>
      </c>
      <c r="D260" s="5">
        <f>IFERROR(__xludf.DUMMYFUNCTION("""COMPUTED_VALUE"""),3260.0)</f>
        <v>3260</v>
      </c>
      <c r="E260" s="5">
        <f>IFERROR(__xludf.DUMMYFUNCTION("""COMPUTED_VALUE"""),3260.0)</f>
        <v>3260</v>
      </c>
      <c r="F260" s="5">
        <f>IFERROR(__xludf.DUMMYFUNCTION("""COMPUTED_VALUE"""),1.114145E8)</f>
        <v>111414500</v>
      </c>
      <c r="G260" s="5">
        <f t="shared" si="1"/>
        <v>130</v>
      </c>
    </row>
    <row r="261">
      <c r="A261" s="4">
        <f>IFERROR(__xludf.DUMMYFUNCTION("""COMPUTED_VALUE"""),44223.625)</f>
        <v>44223.625</v>
      </c>
      <c r="B261" s="5">
        <f>IFERROR(__xludf.DUMMYFUNCTION("""COMPUTED_VALUE"""),3340.0)</f>
        <v>3340</v>
      </c>
      <c r="C261" s="5">
        <f>IFERROR(__xludf.DUMMYFUNCTION("""COMPUTED_VALUE"""),3380.0)</f>
        <v>3380</v>
      </c>
      <c r="D261" s="5">
        <f>IFERROR(__xludf.DUMMYFUNCTION("""COMPUTED_VALUE"""),3260.0)</f>
        <v>3260</v>
      </c>
      <c r="E261" s="5">
        <f>IFERROR(__xludf.DUMMYFUNCTION("""COMPUTED_VALUE"""),3380.0)</f>
        <v>3380</v>
      </c>
      <c r="F261" s="5">
        <f>IFERROR(__xludf.DUMMYFUNCTION("""COMPUTED_VALUE"""),1.591447E8)</f>
        <v>159144700</v>
      </c>
      <c r="G261" s="5">
        <f t="shared" si="1"/>
        <v>120</v>
      </c>
    </row>
    <row r="262">
      <c r="A262" s="4">
        <f>IFERROR(__xludf.DUMMYFUNCTION("""COMPUTED_VALUE"""),44224.625)</f>
        <v>44224.625</v>
      </c>
      <c r="B262" s="5">
        <f>IFERROR(__xludf.DUMMYFUNCTION("""COMPUTED_VALUE"""),3280.0)</f>
        <v>3280</v>
      </c>
      <c r="C262" s="5">
        <f>IFERROR(__xludf.DUMMYFUNCTION("""COMPUTED_VALUE"""),3330.0)</f>
        <v>3330</v>
      </c>
      <c r="D262" s="5">
        <f>IFERROR(__xludf.DUMMYFUNCTION("""COMPUTED_VALUE"""),3230.0)</f>
        <v>3230</v>
      </c>
      <c r="E262" s="5">
        <f>IFERROR(__xludf.DUMMYFUNCTION("""COMPUTED_VALUE"""),3240.0)</f>
        <v>3240</v>
      </c>
      <c r="F262" s="5">
        <f>IFERROR(__xludf.DUMMYFUNCTION("""COMPUTED_VALUE"""),1.426488E8)</f>
        <v>142648800</v>
      </c>
      <c r="G262" s="5">
        <f t="shared" si="1"/>
        <v>150</v>
      </c>
    </row>
    <row r="263">
      <c r="A263" s="4">
        <f>IFERROR(__xludf.DUMMYFUNCTION("""COMPUTED_VALUE"""),44225.625)</f>
        <v>44225.625</v>
      </c>
      <c r="B263" s="5">
        <f>IFERROR(__xludf.DUMMYFUNCTION("""COMPUTED_VALUE"""),3290.0)</f>
        <v>3290</v>
      </c>
      <c r="C263" s="5">
        <f>IFERROR(__xludf.DUMMYFUNCTION("""COMPUTED_VALUE"""),3290.0)</f>
        <v>3290</v>
      </c>
      <c r="D263" s="5">
        <f>IFERROR(__xludf.DUMMYFUNCTION("""COMPUTED_VALUE"""),3110.0)</f>
        <v>3110</v>
      </c>
      <c r="E263" s="5">
        <f>IFERROR(__xludf.DUMMYFUNCTION("""COMPUTED_VALUE"""),3110.0)</f>
        <v>3110</v>
      </c>
      <c r="F263" s="5">
        <f>IFERROR(__xludf.DUMMYFUNCTION("""COMPUTED_VALUE"""),1.919151E8)</f>
        <v>191915100</v>
      </c>
      <c r="G263" s="5">
        <f t="shared" si="1"/>
        <v>180</v>
      </c>
    </row>
    <row r="264">
      <c r="A264" s="4">
        <f>IFERROR(__xludf.DUMMYFUNCTION("""COMPUTED_VALUE"""),44228.625)</f>
        <v>44228.625</v>
      </c>
      <c r="B264" s="5">
        <f>IFERROR(__xludf.DUMMYFUNCTION("""COMPUTED_VALUE"""),3130.0)</f>
        <v>3130</v>
      </c>
      <c r="C264" s="5">
        <f>IFERROR(__xludf.DUMMYFUNCTION("""COMPUTED_VALUE"""),3250.0)</f>
        <v>3250</v>
      </c>
      <c r="D264" s="5">
        <f>IFERROR(__xludf.DUMMYFUNCTION("""COMPUTED_VALUE"""),3040.0)</f>
        <v>3040</v>
      </c>
      <c r="E264" s="5">
        <f>IFERROR(__xludf.DUMMYFUNCTION("""COMPUTED_VALUE"""),3230.0)</f>
        <v>3230</v>
      </c>
      <c r="F264" s="5">
        <f>IFERROR(__xludf.DUMMYFUNCTION("""COMPUTED_VALUE"""),1.339296E8)</f>
        <v>133929600</v>
      </c>
      <c r="G264" s="5">
        <f t="shared" si="1"/>
        <v>210</v>
      </c>
    </row>
    <row r="265">
      <c r="A265" s="4">
        <f>IFERROR(__xludf.DUMMYFUNCTION("""COMPUTED_VALUE"""),44229.625)</f>
        <v>44229.625</v>
      </c>
      <c r="B265" s="5">
        <f>IFERROR(__xludf.DUMMYFUNCTION("""COMPUTED_VALUE"""),3300.0)</f>
        <v>3300</v>
      </c>
      <c r="C265" s="5">
        <f>IFERROR(__xludf.DUMMYFUNCTION("""COMPUTED_VALUE"""),3330.0)</f>
        <v>3330</v>
      </c>
      <c r="D265" s="5">
        <f>IFERROR(__xludf.DUMMYFUNCTION("""COMPUTED_VALUE"""),3250.0)</f>
        <v>3250</v>
      </c>
      <c r="E265" s="5">
        <f>IFERROR(__xludf.DUMMYFUNCTION("""COMPUTED_VALUE"""),3270.0)</f>
        <v>3270</v>
      </c>
      <c r="F265" s="5">
        <f>IFERROR(__xludf.DUMMYFUNCTION("""COMPUTED_VALUE"""),1.147346E8)</f>
        <v>114734600</v>
      </c>
      <c r="G265" s="5">
        <f t="shared" si="1"/>
        <v>100</v>
      </c>
    </row>
    <row r="266">
      <c r="A266" s="4">
        <f>IFERROR(__xludf.DUMMYFUNCTION("""COMPUTED_VALUE"""),44230.625)</f>
        <v>44230.625</v>
      </c>
      <c r="B266" s="5">
        <f>IFERROR(__xludf.DUMMYFUNCTION("""COMPUTED_VALUE"""),3250.0)</f>
        <v>3250</v>
      </c>
      <c r="C266" s="5">
        <f>IFERROR(__xludf.DUMMYFUNCTION("""COMPUTED_VALUE"""),3330.0)</f>
        <v>3330</v>
      </c>
      <c r="D266" s="5">
        <f>IFERROR(__xludf.DUMMYFUNCTION("""COMPUTED_VALUE"""),3220.0)</f>
        <v>3220</v>
      </c>
      <c r="E266" s="5">
        <f>IFERROR(__xludf.DUMMYFUNCTION("""COMPUTED_VALUE"""),3240.0)</f>
        <v>3240</v>
      </c>
      <c r="F266" s="5">
        <f>IFERROR(__xludf.DUMMYFUNCTION("""COMPUTED_VALUE"""),8.64339E7)</f>
        <v>86433900</v>
      </c>
      <c r="G266" s="5">
        <f t="shared" si="1"/>
        <v>110</v>
      </c>
    </row>
    <row r="267">
      <c r="A267" s="4">
        <f>IFERROR(__xludf.DUMMYFUNCTION("""COMPUTED_VALUE"""),44231.625)</f>
        <v>44231.625</v>
      </c>
      <c r="B267" s="5">
        <f>IFERROR(__xludf.DUMMYFUNCTION("""COMPUTED_VALUE"""),3270.0)</f>
        <v>3270</v>
      </c>
      <c r="C267" s="5">
        <f>IFERROR(__xludf.DUMMYFUNCTION("""COMPUTED_VALUE"""),3330.0)</f>
        <v>3330</v>
      </c>
      <c r="D267" s="5">
        <f>IFERROR(__xludf.DUMMYFUNCTION("""COMPUTED_VALUE"""),3260.0)</f>
        <v>3260</v>
      </c>
      <c r="E267" s="5">
        <f>IFERROR(__xludf.DUMMYFUNCTION("""COMPUTED_VALUE"""),3290.0)</f>
        <v>3290</v>
      </c>
      <c r="F267" s="5">
        <f>IFERROR(__xludf.DUMMYFUNCTION("""COMPUTED_VALUE"""),8.03195E7)</f>
        <v>80319500</v>
      </c>
      <c r="G267" s="5">
        <f t="shared" si="1"/>
        <v>90</v>
      </c>
    </row>
    <row r="268">
      <c r="A268" s="4">
        <f>IFERROR(__xludf.DUMMYFUNCTION("""COMPUTED_VALUE"""),44232.625)</f>
        <v>44232.625</v>
      </c>
      <c r="B268" s="5">
        <f>IFERROR(__xludf.DUMMYFUNCTION("""COMPUTED_VALUE"""),3320.0)</f>
        <v>3320</v>
      </c>
      <c r="C268" s="5">
        <f>IFERROR(__xludf.DUMMYFUNCTION("""COMPUTED_VALUE"""),3320.0)</f>
        <v>3320</v>
      </c>
      <c r="D268" s="5">
        <f>IFERROR(__xludf.DUMMYFUNCTION("""COMPUTED_VALUE"""),3270.0)</f>
        <v>3270</v>
      </c>
      <c r="E268" s="5">
        <f>IFERROR(__xludf.DUMMYFUNCTION("""COMPUTED_VALUE"""),3290.0)</f>
        <v>3290</v>
      </c>
      <c r="F268" s="5">
        <f>IFERROR(__xludf.DUMMYFUNCTION("""COMPUTED_VALUE"""),5.26305E7)</f>
        <v>52630500</v>
      </c>
      <c r="G268" s="5">
        <f t="shared" si="1"/>
        <v>50</v>
      </c>
    </row>
    <row r="269">
      <c r="A269" s="4">
        <f>IFERROR(__xludf.DUMMYFUNCTION("""COMPUTED_VALUE"""),44235.625)</f>
        <v>44235.625</v>
      </c>
      <c r="B269" s="5">
        <f>IFERROR(__xludf.DUMMYFUNCTION("""COMPUTED_VALUE"""),3300.0)</f>
        <v>3300</v>
      </c>
      <c r="C269" s="5">
        <f>IFERROR(__xludf.DUMMYFUNCTION("""COMPUTED_VALUE"""),3370.0)</f>
        <v>3370</v>
      </c>
      <c r="D269" s="5">
        <f>IFERROR(__xludf.DUMMYFUNCTION("""COMPUTED_VALUE"""),3270.0)</f>
        <v>3270</v>
      </c>
      <c r="E269" s="5">
        <f>IFERROR(__xludf.DUMMYFUNCTION("""COMPUTED_VALUE"""),3280.0)</f>
        <v>3280</v>
      </c>
      <c r="F269" s="5">
        <f>IFERROR(__xludf.DUMMYFUNCTION("""COMPUTED_VALUE"""),9.66356E7)</f>
        <v>96635600</v>
      </c>
      <c r="G269" s="5">
        <f t="shared" si="1"/>
        <v>100</v>
      </c>
    </row>
    <row r="270">
      <c r="A270" s="4">
        <f>IFERROR(__xludf.DUMMYFUNCTION("""COMPUTED_VALUE"""),44236.625)</f>
        <v>44236.625</v>
      </c>
      <c r="B270" s="5">
        <f>IFERROR(__xludf.DUMMYFUNCTION("""COMPUTED_VALUE"""),3250.0)</f>
        <v>3250</v>
      </c>
      <c r="C270" s="5">
        <f>IFERROR(__xludf.DUMMYFUNCTION("""COMPUTED_VALUE"""),3300.0)</f>
        <v>3300</v>
      </c>
      <c r="D270" s="5">
        <f>IFERROR(__xludf.DUMMYFUNCTION("""COMPUTED_VALUE"""),3180.0)</f>
        <v>3180</v>
      </c>
      <c r="E270" s="5">
        <f>IFERROR(__xludf.DUMMYFUNCTION("""COMPUTED_VALUE"""),3200.0)</f>
        <v>3200</v>
      </c>
      <c r="F270" s="5">
        <f>IFERROR(__xludf.DUMMYFUNCTION("""COMPUTED_VALUE"""),1.574792E8)</f>
        <v>157479200</v>
      </c>
      <c r="G270" s="5">
        <f t="shared" si="1"/>
        <v>120</v>
      </c>
    </row>
    <row r="271">
      <c r="A271" s="4">
        <f>IFERROR(__xludf.DUMMYFUNCTION("""COMPUTED_VALUE"""),44237.625)</f>
        <v>44237.625</v>
      </c>
      <c r="B271" s="5">
        <f>IFERROR(__xludf.DUMMYFUNCTION("""COMPUTED_VALUE"""),3180.0)</f>
        <v>3180</v>
      </c>
      <c r="C271" s="5">
        <f>IFERROR(__xludf.DUMMYFUNCTION("""COMPUTED_VALUE"""),3220.0)</f>
        <v>3220</v>
      </c>
      <c r="D271" s="5">
        <f>IFERROR(__xludf.DUMMYFUNCTION("""COMPUTED_VALUE"""),3160.0)</f>
        <v>3160</v>
      </c>
      <c r="E271" s="5">
        <f>IFERROR(__xludf.DUMMYFUNCTION("""COMPUTED_VALUE"""),3190.0)</f>
        <v>3190</v>
      </c>
      <c r="F271" s="5">
        <f>IFERROR(__xludf.DUMMYFUNCTION("""COMPUTED_VALUE"""),1.252214E8)</f>
        <v>125221400</v>
      </c>
      <c r="G271" s="5">
        <f t="shared" si="1"/>
        <v>60</v>
      </c>
    </row>
    <row r="272">
      <c r="A272" s="4">
        <f>IFERROR(__xludf.DUMMYFUNCTION("""COMPUTED_VALUE"""),44238.625)</f>
        <v>44238.625</v>
      </c>
      <c r="B272" s="5">
        <f>IFERROR(__xludf.DUMMYFUNCTION("""COMPUTED_VALUE"""),3220.0)</f>
        <v>3220</v>
      </c>
      <c r="C272" s="5">
        <f>IFERROR(__xludf.DUMMYFUNCTION("""COMPUTED_VALUE"""),3230.0)</f>
        <v>3230</v>
      </c>
      <c r="D272" s="5">
        <f>IFERROR(__xludf.DUMMYFUNCTION("""COMPUTED_VALUE"""),3170.0)</f>
        <v>3170</v>
      </c>
      <c r="E272" s="5">
        <f>IFERROR(__xludf.DUMMYFUNCTION("""COMPUTED_VALUE"""),3190.0)</f>
        <v>3190</v>
      </c>
      <c r="F272" s="5">
        <f>IFERROR(__xludf.DUMMYFUNCTION("""COMPUTED_VALUE"""),7.99407E7)</f>
        <v>79940700</v>
      </c>
      <c r="G272" s="5">
        <f t="shared" si="1"/>
        <v>60</v>
      </c>
    </row>
    <row r="273">
      <c r="A273" s="4">
        <f>IFERROR(__xludf.DUMMYFUNCTION("""COMPUTED_VALUE"""),44242.625)</f>
        <v>44242.625</v>
      </c>
      <c r="B273" s="5">
        <f>IFERROR(__xludf.DUMMYFUNCTION("""COMPUTED_VALUE"""),3200.0)</f>
        <v>3200</v>
      </c>
      <c r="C273" s="5">
        <f>IFERROR(__xludf.DUMMYFUNCTION("""COMPUTED_VALUE"""),3260.0)</f>
        <v>3260</v>
      </c>
      <c r="D273" s="5">
        <f>IFERROR(__xludf.DUMMYFUNCTION("""COMPUTED_VALUE"""),3200.0)</f>
        <v>3200</v>
      </c>
      <c r="E273" s="5">
        <f>IFERROR(__xludf.DUMMYFUNCTION("""COMPUTED_VALUE"""),3220.0)</f>
        <v>3220</v>
      </c>
      <c r="F273" s="5">
        <f>IFERROR(__xludf.DUMMYFUNCTION("""COMPUTED_VALUE"""),8.88833E7)</f>
        <v>88883300</v>
      </c>
      <c r="G273" s="5">
        <f t="shared" si="1"/>
        <v>70</v>
      </c>
    </row>
    <row r="274">
      <c r="A274" s="4">
        <f>IFERROR(__xludf.DUMMYFUNCTION("""COMPUTED_VALUE"""),44243.625)</f>
        <v>44243.625</v>
      </c>
      <c r="B274" s="5">
        <f>IFERROR(__xludf.DUMMYFUNCTION("""COMPUTED_VALUE"""),3200.0)</f>
        <v>3200</v>
      </c>
      <c r="C274" s="5">
        <f>IFERROR(__xludf.DUMMYFUNCTION("""COMPUTED_VALUE"""),3250.0)</f>
        <v>3250</v>
      </c>
      <c r="D274" s="5">
        <f>IFERROR(__xludf.DUMMYFUNCTION("""COMPUTED_VALUE"""),3190.0)</f>
        <v>3190</v>
      </c>
      <c r="E274" s="5">
        <f>IFERROR(__xludf.DUMMYFUNCTION("""COMPUTED_VALUE"""),3210.0)</f>
        <v>3210</v>
      </c>
      <c r="F274" s="5">
        <f>IFERROR(__xludf.DUMMYFUNCTION("""COMPUTED_VALUE"""),8.20263E7)</f>
        <v>82026300</v>
      </c>
      <c r="G274" s="5">
        <f t="shared" si="1"/>
        <v>60</v>
      </c>
    </row>
    <row r="275">
      <c r="A275" s="4">
        <f>IFERROR(__xludf.DUMMYFUNCTION("""COMPUTED_VALUE"""),44244.625)</f>
        <v>44244.625</v>
      </c>
      <c r="B275" s="5">
        <f>IFERROR(__xludf.DUMMYFUNCTION("""COMPUTED_VALUE"""),3220.0)</f>
        <v>3220</v>
      </c>
      <c r="C275" s="5">
        <f>IFERROR(__xludf.DUMMYFUNCTION("""COMPUTED_VALUE"""),3250.0)</f>
        <v>3250</v>
      </c>
      <c r="D275" s="5">
        <f>IFERROR(__xludf.DUMMYFUNCTION("""COMPUTED_VALUE"""),3140.0)</f>
        <v>3140</v>
      </c>
      <c r="E275" s="5">
        <f>IFERROR(__xludf.DUMMYFUNCTION("""COMPUTED_VALUE"""),3150.0)</f>
        <v>3150</v>
      </c>
      <c r="F275" s="5">
        <f>IFERROR(__xludf.DUMMYFUNCTION("""COMPUTED_VALUE"""),1.211053E8)</f>
        <v>121105300</v>
      </c>
      <c r="G275" s="5">
        <f t="shared" si="1"/>
        <v>110</v>
      </c>
    </row>
    <row r="276">
      <c r="A276" s="4">
        <f>IFERROR(__xludf.DUMMYFUNCTION("""COMPUTED_VALUE"""),44245.625)</f>
        <v>44245.625</v>
      </c>
      <c r="B276" s="5">
        <f>IFERROR(__xludf.DUMMYFUNCTION("""COMPUTED_VALUE"""),3190.0)</f>
        <v>3190</v>
      </c>
      <c r="C276" s="5">
        <f>IFERROR(__xludf.DUMMYFUNCTION("""COMPUTED_VALUE"""),3270.0)</f>
        <v>3270</v>
      </c>
      <c r="D276" s="5">
        <f>IFERROR(__xludf.DUMMYFUNCTION("""COMPUTED_VALUE"""),3180.0)</f>
        <v>3180</v>
      </c>
      <c r="E276" s="5">
        <f>IFERROR(__xludf.DUMMYFUNCTION("""COMPUTED_VALUE"""),3180.0)</f>
        <v>3180</v>
      </c>
      <c r="F276" s="5">
        <f>IFERROR(__xludf.DUMMYFUNCTION("""COMPUTED_VALUE"""),1.512003E8)</f>
        <v>151200300</v>
      </c>
      <c r="G276" s="5">
        <f t="shared" si="1"/>
        <v>120</v>
      </c>
    </row>
    <row r="277">
      <c r="A277" s="4">
        <f>IFERROR(__xludf.DUMMYFUNCTION("""COMPUTED_VALUE"""),44246.625)</f>
        <v>44246.625</v>
      </c>
      <c r="B277" s="5">
        <f>IFERROR(__xludf.DUMMYFUNCTION("""COMPUTED_VALUE"""),3180.0)</f>
        <v>3180</v>
      </c>
      <c r="C277" s="5">
        <f>IFERROR(__xludf.DUMMYFUNCTION("""COMPUTED_VALUE"""),3220.0)</f>
        <v>3220</v>
      </c>
      <c r="D277" s="5">
        <f>IFERROR(__xludf.DUMMYFUNCTION("""COMPUTED_VALUE"""),3170.0)</f>
        <v>3170</v>
      </c>
      <c r="E277" s="5">
        <f>IFERROR(__xludf.DUMMYFUNCTION("""COMPUTED_VALUE"""),3210.0)</f>
        <v>3210</v>
      </c>
      <c r="F277" s="5">
        <f>IFERROR(__xludf.DUMMYFUNCTION("""COMPUTED_VALUE"""),6.32146E7)</f>
        <v>63214600</v>
      </c>
      <c r="G277" s="5">
        <f t="shared" si="1"/>
        <v>50</v>
      </c>
    </row>
    <row r="278">
      <c r="A278" s="4">
        <f>IFERROR(__xludf.DUMMYFUNCTION("""COMPUTED_VALUE"""),44249.625)</f>
        <v>44249.625</v>
      </c>
      <c r="B278" s="5">
        <f>IFERROR(__xludf.DUMMYFUNCTION("""COMPUTED_VALUE"""),3210.0)</f>
        <v>3210</v>
      </c>
      <c r="C278" s="5">
        <f>IFERROR(__xludf.DUMMYFUNCTION("""COMPUTED_VALUE"""),3240.0)</f>
        <v>3240</v>
      </c>
      <c r="D278" s="5">
        <f>IFERROR(__xludf.DUMMYFUNCTION("""COMPUTED_VALUE"""),3170.0)</f>
        <v>3170</v>
      </c>
      <c r="E278" s="5">
        <f>IFERROR(__xludf.DUMMYFUNCTION("""COMPUTED_VALUE"""),3170.0)</f>
        <v>3170</v>
      </c>
      <c r="F278" s="5">
        <f>IFERROR(__xludf.DUMMYFUNCTION("""COMPUTED_VALUE"""),1.004255E8)</f>
        <v>100425500</v>
      </c>
      <c r="G278" s="5">
        <f t="shared" si="1"/>
        <v>70</v>
      </c>
    </row>
    <row r="279">
      <c r="A279" s="4">
        <f>IFERROR(__xludf.DUMMYFUNCTION("""COMPUTED_VALUE"""),44250.66666666667)</f>
        <v>44250.66667</v>
      </c>
      <c r="B279" s="5">
        <f>IFERROR(__xludf.DUMMYFUNCTION("""COMPUTED_VALUE"""),3200.0)</f>
        <v>3200</v>
      </c>
      <c r="C279" s="5">
        <f>IFERROR(__xludf.DUMMYFUNCTION("""COMPUTED_VALUE"""),3480.0)</f>
        <v>3480</v>
      </c>
      <c r="D279" s="5">
        <f>IFERROR(__xludf.DUMMYFUNCTION("""COMPUTED_VALUE"""),3200.0)</f>
        <v>3200</v>
      </c>
      <c r="E279" s="5">
        <f>IFERROR(__xludf.DUMMYFUNCTION("""COMPUTED_VALUE"""),3470.0)</f>
        <v>3470</v>
      </c>
      <c r="F279" s="5">
        <f>IFERROR(__xludf.DUMMYFUNCTION("""COMPUTED_VALUE"""),3.549662E8)</f>
        <v>354966200</v>
      </c>
      <c r="G279" s="5">
        <f t="shared" si="1"/>
        <v>310</v>
      </c>
    </row>
    <row r="280">
      <c r="A280" s="4">
        <f>IFERROR(__xludf.DUMMYFUNCTION("""COMPUTED_VALUE"""),44251.625)</f>
        <v>44251.625</v>
      </c>
      <c r="B280" s="5">
        <f>IFERROR(__xludf.DUMMYFUNCTION("""COMPUTED_VALUE"""),3490.0)</f>
        <v>3490</v>
      </c>
      <c r="C280" s="5">
        <f>IFERROR(__xludf.DUMMYFUNCTION("""COMPUTED_VALUE"""),3550.0)</f>
        <v>3550</v>
      </c>
      <c r="D280" s="5">
        <f>IFERROR(__xludf.DUMMYFUNCTION("""COMPUTED_VALUE"""),3460.0)</f>
        <v>3460</v>
      </c>
      <c r="E280" s="5">
        <f>IFERROR(__xludf.DUMMYFUNCTION("""COMPUTED_VALUE"""),3480.0)</f>
        <v>3480</v>
      </c>
      <c r="F280" s="5">
        <f>IFERROR(__xludf.DUMMYFUNCTION("""COMPUTED_VALUE"""),3.030171E8)</f>
        <v>303017100</v>
      </c>
      <c r="G280" s="5">
        <f t="shared" si="1"/>
        <v>90</v>
      </c>
    </row>
    <row r="281">
      <c r="A281" s="4">
        <f>IFERROR(__xludf.DUMMYFUNCTION("""COMPUTED_VALUE"""),44252.625)</f>
        <v>44252.625</v>
      </c>
      <c r="B281" s="5">
        <f>IFERROR(__xludf.DUMMYFUNCTION("""COMPUTED_VALUE"""),3510.0)</f>
        <v>3510</v>
      </c>
      <c r="C281" s="5">
        <f>IFERROR(__xludf.DUMMYFUNCTION("""COMPUTED_VALUE"""),3570.0)</f>
        <v>3570</v>
      </c>
      <c r="D281" s="5">
        <f>IFERROR(__xludf.DUMMYFUNCTION("""COMPUTED_VALUE"""),3450.0)</f>
        <v>3450</v>
      </c>
      <c r="E281" s="5">
        <f>IFERROR(__xludf.DUMMYFUNCTION("""COMPUTED_VALUE"""),3490.0)</f>
        <v>3490</v>
      </c>
      <c r="F281" s="5">
        <f>IFERROR(__xludf.DUMMYFUNCTION("""COMPUTED_VALUE"""),2.26833E8)</f>
        <v>226833000</v>
      </c>
      <c r="G281" s="5">
        <f t="shared" si="1"/>
        <v>120</v>
      </c>
    </row>
    <row r="282">
      <c r="A282" s="4">
        <f>IFERROR(__xludf.DUMMYFUNCTION("""COMPUTED_VALUE"""),44253.625)</f>
        <v>44253.625</v>
      </c>
      <c r="B282" s="5">
        <f>IFERROR(__xludf.DUMMYFUNCTION("""COMPUTED_VALUE"""),3450.0)</f>
        <v>3450</v>
      </c>
      <c r="C282" s="5">
        <f>IFERROR(__xludf.DUMMYFUNCTION("""COMPUTED_VALUE"""),3510.0)</f>
        <v>3510</v>
      </c>
      <c r="D282" s="5">
        <f>IFERROR(__xludf.DUMMYFUNCTION("""COMPUTED_VALUE"""),3410.0)</f>
        <v>3410</v>
      </c>
      <c r="E282" s="5">
        <f>IFERROR(__xludf.DUMMYFUNCTION("""COMPUTED_VALUE"""),3490.0)</f>
        <v>3490</v>
      </c>
      <c r="F282" s="5">
        <f>IFERROR(__xludf.DUMMYFUNCTION("""COMPUTED_VALUE"""),2.300077E8)</f>
        <v>230007700</v>
      </c>
      <c r="G282" s="5">
        <f t="shared" si="1"/>
        <v>100</v>
      </c>
    </row>
    <row r="283">
      <c r="A283" s="4">
        <f>IFERROR(__xludf.DUMMYFUNCTION("""COMPUTED_VALUE"""),44256.625)</f>
        <v>44256.625</v>
      </c>
      <c r="B283" s="5">
        <f>IFERROR(__xludf.DUMMYFUNCTION("""COMPUTED_VALUE"""),3490.0)</f>
        <v>3490</v>
      </c>
      <c r="C283" s="5">
        <f>IFERROR(__xludf.DUMMYFUNCTION("""COMPUTED_VALUE"""),3510.0)</f>
        <v>3510</v>
      </c>
      <c r="D283" s="5">
        <f>IFERROR(__xludf.DUMMYFUNCTION("""COMPUTED_VALUE"""),3470.0)</f>
        <v>3470</v>
      </c>
      <c r="E283" s="5">
        <f>IFERROR(__xludf.DUMMYFUNCTION("""COMPUTED_VALUE"""),3490.0)</f>
        <v>3490</v>
      </c>
      <c r="F283" s="5">
        <f>IFERROR(__xludf.DUMMYFUNCTION("""COMPUTED_VALUE"""),9.15135E7)</f>
        <v>91513500</v>
      </c>
      <c r="G283" s="5">
        <f t="shared" si="1"/>
        <v>40</v>
      </c>
    </row>
    <row r="284">
      <c r="A284" s="4">
        <f>IFERROR(__xludf.DUMMYFUNCTION("""COMPUTED_VALUE"""),44257.625)</f>
        <v>44257.625</v>
      </c>
      <c r="B284" s="5">
        <f>IFERROR(__xludf.DUMMYFUNCTION("""COMPUTED_VALUE"""),3490.0)</f>
        <v>3490</v>
      </c>
      <c r="C284" s="5">
        <f>IFERROR(__xludf.DUMMYFUNCTION("""COMPUTED_VALUE"""),3500.0)</f>
        <v>3500</v>
      </c>
      <c r="D284" s="5">
        <f>IFERROR(__xludf.DUMMYFUNCTION("""COMPUTED_VALUE"""),3440.0)</f>
        <v>3440</v>
      </c>
      <c r="E284" s="5">
        <f>IFERROR(__xludf.DUMMYFUNCTION("""COMPUTED_VALUE"""),3460.0)</f>
        <v>3460</v>
      </c>
      <c r="F284" s="5">
        <f>IFERROR(__xludf.DUMMYFUNCTION("""COMPUTED_VALUE"""),1.690614E8)</f>
        <v>169061400</v>
      </c>
      <c r="G284" s="5">
        <f t="shared" si="1"/>
        <v>60</v>
      </c>
    </row>
    <row r="285">
      <c r="A285" s="4">
        <f>IFERROR(__xludf.DUMMYFUNCTION("""COMPUTED_VALUE"""),44258.625)</f>
        <v>44258.625</v>
      </c>
      <c r="B285" s="5">
        <f>IFERROR(__xludf.DUMMYFUNCTION("""COMPUTED_VALUE"""),3480.0)</f>
        <v>3480</v>
      </c>
      <c r="C285" s="5">
        <f>IFERROR(__xludf.DUMMYFUNCTION("""COMPUTED_VALUE"""),3480.0)</f>
        <v>3480</v>
      </c>
      <c r="D285" s="5">
        <f>IFERROR(__xludf.DUMMYFUNCTION("""COMPUTED_VALUE"""),3420.0)</f>
        <v>3420</v>
      </c>
      <c r="E285" s="5">
        <f>IFERROR(__xludf.DUMMYFUNCTION("""COMPUTED_VALUE"""),3440.0)</f>
        <v>3440</v>
      </c>
      <c r="F285" s="5">
        <f>IFERROR(__xludf.DUMMYFUNCTION("""COMPUTED_VALUE"""),8.26107E7)</f>
        <v>82610700</v>
      </c>
      <c r="G285" s="5">
        <f t="shared" si="1"/>
        <v>60</v>
      </c>
    </row>
    <row r="286">
      <c r="A286" s="4">
        <f>IFERROR(__xludf.DUMMYFUNCTION("""COMPUTED_VALUE"""),44259.625)</f>
        <v>44259.625</v>
      </c>
      <c r="B286" s="5">
        <f>IFERROR(__xludf.DUMMYFUNCTION("""COMPUTED_VALUE"""),3420.0)</f>
        <v>3420</v>
      </c>
      <c r="C286" s="5">
        <f>IFERROR(__xludf.DUMMYFUNCTION("""COMPUTED_VALUE"""),3430.0)</f>
        <v>3430</v>
      </c>
      <c r="D286" s="5">
        <f>IFERROR(__xludf.DUMMYFUNCTION("""COMPUTED_VALUE"""),3350.0)</f>
        <v>3350</v>
      </c>
      <c r="E286" s="5">
        <f>IFERROR(__xludf.DUMMYFUNCTION("""COMPUTED_VALUE"""),3360.0)</f>
        <v>3360</v>
      </c>
      <c r="F286" s="5">
        <f>IFERROR(__xludf.DUMMYFUNCTION("""COMPUTED_VALUE"""),1.423221E8)</f>
        <v>142322100</v>
      </c>
      <c r="G286" s="5">
        <f t="shared" si="1"/>
        <v>90</v>
      </c>
    </row>
    <row r="287">
      <c r="A287" s="4">
        <f>IFERROR(__xludf.DUMMYFUNCTION("""COMPUTED_VALUE"""),44260.625)</f>
        <v>44260.625</v>
      </c>
      <c r="B287" s="5">
        <f>IFERROR(__xludf.DUMMYFUNCTION("""COMPUTED_VALUE"""),3340.0)</f>
        <v>3340</v>
      </c>
      <c r="C287" s="5">
        <f>IFERROR(__xludf.DUMMYFUNCTION("""COMPUTED_VALUE"""),3370.0)</f>
        <v>3370</v>
      </c>
      <c r="D287" s="5">
        <f>IFERROR(__xludf.DUMMYFUNCTION("""COMPUTED_VALUE"""),3320.0)</f>
        <v>3320</v>
      </c>
      <c r="E287" s="5">
        <f>IFERROR(__xludf.DUMMYFUNCTION("""COMPUTED_VALUE"""),3320.0)</f>
        <v>3320</v>
      </c>
      <c r="F287" s="5">
        <f>IFERROR(__xludf.DUMMYFUNCTION("""COMPUTED_VALUE"""),1.28546E8)</f>
        <v>128546000</v>
      </c>
      <c r="G287" s="5">
        <f t="shared" si="1"/>
        <v>50</v>
      </c>
    </row>
    <row r="288">
      <c r="A288" s="4">
        <f>IFERROR(__xludf.DUMMYFUNCTION("""COMPUTED_VALUE"""),44263.66666666667)</f>
        <v>44263.66667</v>
      </c>
      <c r="B288" s="5">
        <f>IFERROR(__xludf.DUMMYFUNCTION("""COMPUTED_VALUE"""),3360.0)</f>
        <v>3360</v>
      </c>
      <c r="C288" s="5">
        <f>IFERROR(__xludf.DUMMYFUNCTION("""COMPUTED_VALUE"""),3400.0)</f>
        <v>3400</v>
      </c>
      <c r="D288" s="5">
        <f>IFERROR(__xludf.DUMMYFUNCTION("""COMPUTED_VALUE"""),3330.0)</f>
        <v>3330</v>
      </c>
      <c r="E288" s="5">
        <f>IFERROR(__xludf.DUMMYFUNCTION("""COMPUTED_VALUE"""),3340.0)</f>
        <v>3340</v>
      </c>
      <c r="F288" s="5">
        <f>IFERROR(__xludf.DUMMYFUNCTION("""COMPUTED_VALUE"""),8.00949E7)</f>
        <v>80094900</v>
      </c>
      <c r="G288" s="5">
        <f t="shared" si="1"/>
        <v>80</v>
      </c>
    </row>
    <row r="289">
      <c r="A289" s="4">
        <f>IFERROR(__xludf.DUMMYFUNCTION("""COMPUTED_VALUE"""),44264.625)</f>
        <v>44264.625</v>
      </c>
      <c r="B289" s="5">
        <f>IFERROR(__xludf.DUMMYFUNCTION("""COMPUTED_VALUE"""),3370.0)</f>
        <v>3370</v>
      </c>
      <c r="C289" s="5">
        <f>IFERROR(__xludf.DUMMYFUNCTION("""COMPUTED_VALUE"""),3390.0)</f>
        <v>3390</v>
      </c>
      <c r="D289" s="5">
        <f>IFERROR(__xludf.DUMMYFUNCTION("""COMPUTED_VALUE"""),3280.0)</f>
        <v>3280</v>
      </c>
      <c r="E289" s="5">
        <f>IFERROR(__xludf.DUMMYFUNCTION("""COMPUTED_VALUE"""),3290.0)</f>
        <v>3290</v>
      </c>
      <c r="F289" s="5">
        <f>IFERROR(__xludf.DUMMYFUNCTION("""COMPUTED_VALUE"""),1.100908E8)</f>
        <v>110090800</v>
      </c>
      <c r="G289" s="5">
        <f t="shared" si="1"/>
        <v>110</v>
      </c>
    </row>
    <row r="290">
      <c r="A290" s="4">
        <f>IFERROR(__xludf.DUMMYFUNCTION("""COMPUTED_VALUE"""),44265.625)</f>
        <v>44265.625</v>
      </c>
      <c r="B290" s="5">
        <f>IFERROR(__xludf.DUMMYFUNCTION("""COMPUTED_VALUE"""),3340.0)</f>
        <v>3340</v>
      </c>
      <c r="C290" s="5">
        <f>IFERROR(__xludf.DUMMYFUNCTION("""COMPUTED_VALUE"""),3420.0)</f>
        <v>3420</v>
      </c>
      <c r="D290" s="5">
        <f>IFERROR(__xludf.DUMMYFUNCTION("""COMPUTED_VALUE"""),3310.0)</f>
        <v>3310</v>
      </c>
      <c r="E290" s="5">
        <f>IFERROR(__xludf.DUMMYFUNCTION("""COMPUTED_VALUE"""),3400.0)</f>
        <v>3400</v>
      </c>
      <c r="F290" s="5">
        <f>IFERROR(__xludf.DUMMYFUNCTION("""COMPUTED_VALUE"""),9.16319E7)</f>
        <v>91631900</v>
      </c>
      <c r="G290" s="5">
        <f t="shared" si="1"/>
        <v>130</v>
      </c>
    </row>
    <row r="291">
      <c r="A291" s="4">
        <f>IFERROR(__xludf.DUMMYFUNCTION("""COMPUTED_VALUE"""),44267.625)</f>
        <v>44267.625</v>
      </c>
      <c r="B291" s="5">
        <f>IFERROR(__xludf.DUMMYFUNCTION("""COMPUTED_VALUE"""),3440.0)</f>
        <v>3440</v>
      </c>
      <c r="C291" s="5">
        <f>IFERROR(__xludf.DUMMYFUNCTION("""COMPUTED_VALUE"""),3480.0)</f>
        <v>3480</v>
      </c>
      <c r="D291" s="5">
        <f>IFERROR(__xludf.DUMMYFUNCTION("""COMPUTED_VALUE"""),3430.0)</f>
        <v>3430</v>
      </c>
      <c r="E291" s="5">
        <f>IFERROR(__xludf.DUMMYFUNCTION("""COMPUTED_VALUE"""),3450.0)</f>
        <v>3450</v>
      </c>
      <c r="F291" s="5">
        <f>IFERROR(__xludf.DUMMYFUNCTION("""COMPUTED_VALUE"""),1.001952E8)</f>
        <v>100195200</v>
      </c>
      <c r="G291" s="5">
        <f t="shared" si="1"/>
        <v>80</v>
      </c>
    </row>
    <row r="292">
      <c r="A292" s="4">
        <f>IFERROR(__xludf.DUMMYFUNCTION("""COMPUTED_VALUE"""),44270.625)</f>
        <v>44270.625</v>
      </c>
      <c r="B292" s="5">
        <f>IFERROR(__xludf.DUMMYFUNCTION("""COMPUTED_VALUE"""),3440.0)</f>
        <v>3440</v>
      </c>
      <c r="C292" s="5">
        <f>IFERROR(__xludf.DUMMYFUNCTION("""COMPUTED_VALUE"""),3450.0)</f>
        <v>3450</v>
      </c>
      <c r="D292" s="5">
        <f>IFERROR(__xludf.DUMMYFUNCTION("""COMPUTED_VALUE"""),3380.0)</f>
        <v>3380</v>
      </c>
      <c r="E292" s="5">
        <f>IFERROR(__xludf.DUMMYFUNCTION("""COMPUTED_VALUE"""),3380.0)</f>
        <v>3380</v>
      </c>
      <c r="F292" s="5">
        <f>IFERROR(__xludf.DUMMYFUNCTION("""COMPUTED_VALUE"""),5.00773E7)</f>
        <v>50077300</v>
      </c>
      <c r="G292" s="5">
        <f t="shared" si="1"/>
        <v>70</v>
      </c>
    </row>
    <row r="293">
      <c r="A293" s="4">
        <f>IFERROR(__xludf.DUMMYFUNCTION("""COMPUTED_VALUE"""),44271.625)</f>
        <v>44271.625</v>
      </c>
      <c r="B293" s="5">
        <f>IFERROR(__xludf.DUMMYFUNCTION("""COMPUTED_VALUE"""),3400.0)</f>
        <v>3400</v>
      </c>
      <c r="C293" s="5">
        <f>IFERROR(__xludf.DUMMYFUNCTION("""COMPUTED_VALUE"""),3410.0)</f>
        <v>3410</v>
      </c>
      <c r="D293" s="5">
        <f>IFERROR(__xludf.DUMMYFUNCTION("""COMPUTED_VALUE"""),3360.0)</f>
        <v>3360</v>
      </c>
      <c r="E293" s="5">
        <f>IFERROR(__xludf.DUMMYFUNCTION("""COMPUTED_VALUE"""),3360.0)</f>
        <v>3360</v>
      </c>
      <c r="F293" s="5">
        <f>IFERROR(__xludf.DUMMYFUNCTION("""COMPUTED_VALUE"""),6.01112E7)</f>
        <v>60111200</v>
      </c>
      <c r="G293" s="5">
        <f t="shared" si="1"/>
        <v>50</v>
      </c>
    </row>
    <row r="294">
      <c r="A294" s="4">
        <f>IFERROR(__xludf.DUMMYFUNCTION("""COMPUTED_VALUE"""),44272.625)</f>
        <v>44272.625</v>
      </c>
      <c r="B294" s="5">
        <f>IFERROR(__xludf.DUMMYFUNCTION("""COMPUTED_VALUE"""),3410.0)</f>
        <v>3410</v>
      </c>
      <c r="C294" s="5">
        <f>IFERROR(__xludf.DUMMYFUNCTION("""COMPUTED_VALUE"""),3430.0)</f>
        <v>3430</v>
      </c>
      <c r="D294" s="5">
        <f>IFERROR(__xludf.DUMMYFUNCTION("""COMPUTED_VALUE"""),3370.0)</f>
        <v>3370</v>
      </c>
      <c r="E294" s="5">
        <f>IFERROR(__xludf.DUMMYFUNCTION("""COMPUTED_VALUE"""),3390.0)</f>
        <v>3390</v>
      </c>
      <c r="F294" s="5">
        <f>IFERROR(__xludf.DUMMYFUNCTION("""COMPUTED_VALUE"""),6.17014E7)</f>
        <v>61701400</v>
      </c>
      <c r="G294" s="5">
        <f t="shared" si="1"/>
        <v>70</v>
      </c>
    </row>
    <row r="295">
      <c r="A295" s="4">
        <f>IFERROR(__xludf.DUMMYFUNCTION("""COMPUTED_VALUE"""),44273.625)</f>
        <v>44273.625</v>
      </c>
      <c r="B295" s="5">
        <f>IFERROR(__xludf.DUMMYFUNCTION("""COMPUTED_VALUE"""),3450.0)</f>
        <v>3450</v>
      </c>
      <c r="C295" s="5">
        <f>IFERROR(__xludf.DUMMYFUNCTION("""COMPUTED_VALUE"""),3480.0)</f>
        <v>3480</v>
      </c>
      <c r="D295" s="5">
        <f>IFERROR(__xludf.DUMMYFUNCTION("""COMPUTED_VALUE"""),3430.0)</f>
        <v>3430</v>
      </c>
      <c r="E295" s="5">
        <f>IFERROR(__xludf.DUMMYFUNCTION("""COMPUTED_VALUE"""),3450.0)</f>
        <v>3450</v>
      </c>
      <c r="F295" s="5">
        <f>IFERROR(__xludf.DUMMYFUNCTION("""COMPUTED_VALUE"""),1.018964E8)</f>
        <v>101896400</v>
      </c>
      <c r="G295" s="5">
        <f t="shared" si="1"/>
        <v>90</v>
      </c>
    </row>
    <row r="296">
      <c r="A296" s="4">
        <f>IFERROR(__xludf.DUMMYFUNCTION("""COMPUTED_VALUE"""),44274.625)</f>
        <v>44274.625</v>
      </c>
      <c r="B296" s="5">
        <f>IFERROR(__xludf.DUMMYFUNCTION("""COMPUTED_VALUE"""),3410.0)</f>
        <v>3410</v>
      </c>
      <c r="C296" s="5">
        <f>IFERROR(__xludf.DUMMYFUNCTION("""COMPUTED_VALUE"""),3440.0)</f>
        <v>3440</v>
      </c>
      <c r="D296" s="5">
        <f>IFERROR(__xludf.DUMMYFUNCTION("""COMPUTED_VALUE"""),3380.0)</f>
        <v>3380</v>
      </c>
      <c r="E296" s="5">
        <f>IFERROR(__xludf.DUMMYFUNCTION("""COMPUTED_VALUE"""),3440.0)</f>
        <v>3440</v>
      </c>
      <c r="F296" s="5">
        <f>IFERROR(__xludf.DUMMYFUNCTION("""COMPUTED_VALUE"""),1.4E8)</f>
        <v>140000000</v>
      </c>
      <c r="G296" s="5">
        <f t="shared" si="1"/>
        <v>70</v>
      </c>
    </row>
    <row r="297">
      <c r="A297" s="4">
        <f>IFERROR(__xludf.DUMMYFUNCTION("""COMPUTED_VALUE"""),44277.625)</f>
        <v>44277.625</v>
      </c>
      <c r="B297" s="5">
        <f>IFERROR(__xludf.DUMMYFUNCTION("""COMPUTED_VALUE"""),3440.0)</f>
        <v>3440</v>
      </c>
      <c r="C297" s="5">
        <f>IFERROR(__xludf.DUMMYFUNCTION("""COMPUTED_VALUE"""),3440.0)</f>
        <v>3440</v>
      </c>
      <c r="D297" s="5">
        <f>IFERROR(__xludf.DUMMYFUNCTION("""COMPUTED_VALUE"""),3380.0)</f>
        <v>3380</v>
      </c>
      <c r="E297" s="5">
        <f>IFERROR(__xludf.DUMMYFUNCTION("""COMPUTED_VALUE"""),3380.0)</f>
        <v>3380</v>
      </c>
      <c r="F297" s="5">
        <f>IFERROR(__xludf.DUMMYFUNCTION("""COMPUTED_VALUE"""),5.38703E7)</f>
        <v>53870300</v>
      </c>
      <c r="G297" s="5">
        <f t="shared" si="1"/>
        <v>60</v>
      </c>
    </row>
    <row r="298">
      <c r="A298" s="4">
        <f>IFERROR(__xludf.DUMMYFUNCTION("""COMPUTED_VALUE"""),44278.625)</f>
        <v>44278.625</v>
      </c>
      <c r="B298" s="5">
        <f>IFERROR(__xludf.DUMMYFUNCTION("""COMPUTED_VALUE"""),3390.0)</f>
        <v>3390</v>
      </c>
      <c r="C298" s="5">
        <f>IFERROR(__xludf.DUMMYFUNCTION("""COMPUTED_VALUE"""),3420.0)</f>
        <v>3420</v>
      </c>
      <c r="D298" s="5">
        <f>IFERROR(__xludf.DUMMYFUNCTION("""COMPUTED_VALUE"""),3350.0)</f>
        <v>3350</v>
      </c>
      <c r="E298" s="5">
        <f>IFERROR(__xludf.DUMMYFUNCTION("""COMPUTED_VALUE"""),3360.0)</f>
        <v>3360</v>
      </c>
      <c r="F298" s="5">
        <f>IFERROR(__xludf.DUMMYFUNCTION("""COMPUTED_VALUE"""),5.53232E7)</f>
        <v>55323200</v>
      </c>
      <c r="G298" s="5">
        <f t="shared" si="1"/>
        <v>70</v>
      </c>
    </row>
    <row r="299">
      <c r="A299" s="4">
        <f>IFERROR(__xludf.DUMMYFUNCTION("""COMPUTED_VALUE"""),44279.625)</f>
        <v>44279.625</v>
      </c>
      <c r="B299" s="5">
        <f>IFERROR(__xludf.DUMMYFUNCTION("""COMPUTED_VALUE"""),3320.0)</f>
        <v>3320</v>
      </c>
      <c r="C299" s="5">
        <f>IFERROR(__xludf.DUMMYFUNCTION("""COMPUTED_VALUE"""),3390.0)</f>
        <v>3390</v>
      </c>
      <c r="D299" s="5">
        <f>IFERROR(__xludf.DUMMYFUNCTION("""COMPUTED_VALUE"""),3320.0)</f>
        <v>3320</v>
      </c>
      <c r="E299" s="5">
        <f>IFERROR(__xludf.DUMMYFUNCTION("""COMPUTED_VALUE"""),3370.0)</f>
        <v>3370</v>
      </c>
      <c r="F299" s="5">
        <f>IFERROR(__xludf.DUMMYFUNCTION("""COMPUTED_VALUE"""),6.71732E7)</f>
        <v>67173200</v>
      </c>
      <c r="G299" s="5">
        <f t="shared" si="1"/>
        <v>70</v>
      </c>
    </row>
    <row r="300">
      <c r="A300" s="4">
        <f>IFERROR(__xludf.DUMMYFUNCTION("""COMPUTED_VALUE"""),44280.625)</f>
        <v>44280.625</v>
      </c>
      <c r="B300" s="5">
        <f>IFERROR(__xludf.DUMMYFUNCTION("""COMPUTED_VALUE"""),3400.0)</f>
        <v>3400</v>
      </c>
      <c r="C300" s="5">
        <f>IFERROR(__xludf.DUMMYFUNCTION("""COMPUTED_VALUE"""),3430.0)</f>
        <v>3430</v>
      </c>
      <c r="D300" s="5">
        <f>IFERROR(__xludf.DUMMYFUNCTION("""COMPUTED_VALUE"""),3380.0)</f>
        <v>3380</v>
      </c>
      <c r="E300" s="5">
        <f>IFERROR(__xludf.DUMMYFUNCTION("""COMPUTED_VALUE"""),3410.0)</f>
        <v>3410</v>
      </c>
      <c r="F300" s="5">
        <f>IFERROR(__xludf.DUMMYFUNCTION("""COMPUTED_VALUE"""),1.076072E8)</f>
        <v>107607200</v>
      </c>
      <c r="G300" s="5">
        <f t="shared" si="1"/>
        <v>60</v>
      </c>
    </row>
    <row r="301">
      <c r="A301" s="4">
        <f>IFERROR(__xludf.DUMMYFUNCTION("""COMPUTED_VALUE"""),44281.625)</f>
        <v>44281.625</v>
      </c>
      <c r="B301" s="5">
        <f>IFERROR(__xludf.DUMMYFUNCTION("""COMPUTED_VALUE"""),3410.0)</f>
        <v>3410</v>
      </c>
      <c r="C301" s="5">
        <f>IFERROR(__xludf.DUMMYFUNCTION("""COMPUTED_VALUE"""),3500.0)</f>
        <v>3500</v>
      </c>
      <c r="D301" s="5">
        <f>IFERROR(__xludf.DUMMYFUNCTION("""COMPUTED_VALUE"""),3390.0)</f>
        <v>3390</v>
      </c>
      <c r="E301" s="5">
        <f>IFERROR(__xludf.DUMMYFUNCTION("""COMPUTED_VALUE"""),3490.0)</f>
        <v>3490</v>
      </c>
      <c r="F301" s="5">
        <f>IFERROR(__xludf.DUMMYFUNCTION("""COMPUTED_VALUE"""),1.068104E8)</f>
        <v>106810400</v>
      </c>
      <c r="G301" s="5">
        <f t="shared" si="1"/>
        <v>110</v>
      </c>
    </row>
    <row r="302">
      <c r="A302" s="4">
        <f>IFERROR(__xludf.DUMMYFUNCTION("""COMPUTED_VALUE"""),44284.625)</f>
        <v>44284.625</v>
      </c>
      <c r="B302" s="5">
        <f>IFERROR(__xludf.DUMMYFUNCTION("""COMPUTED_VALUE"""),3470.0)</f>
        <v>3470</v>
      </c>
      <c r="C302" s="5">
        <f>IFERROR(__xludf.DUMMYFUNCTION("""COMPUTED_VALUE"""),3490.0)</f>
        <v>3490</v>
      </c>
      <c r="D302" s="5">
        <f>IFERROR(__xludf.DUMMYFUNCTION("""COMPUTED_VALUE"""),3400.0)</f>
        <v>3400</v>
      </c>
      <c r="E302" s="5">
        <f>IFERROR(__xludf.DUMMYFUNCTION("""COMPUTED_VALUE"""),3410.0)</f>
        <v>3410</v>
      </c>
      <c r="F302" s="5">
        <f>IFERROR(__xludf.DUMMYFUNCTION("""COMPUTED_VALUE"""),7.22141E7)</f>
        <v>72214100</v>
      </c>
      <c r="G302" s="5">
        <f t="shared" si="1"/>
        <v>90</v>
      </c>
    </row>
    <row r="303">
      <c r="A303" s="4">
        <f>IFERROR(__xludf.DUMMYFUNCTION("""COMPUTED_VALUE"""),44285.625)</f>
        <v>44285.625</v>
      </c>
      <c r="B303" s="5">
        <f>IFERROR(__xludf.DUMMYFUNCTION("""COMPUTED_VALUE"""),3420.0)</f>
        <v>3420</v>
      </c>
      <c r="C303" s="5">
        <f>IFERROR(__xludf.DUMMYFUNCTION("""COMPUTED_VALUE"""),3430.0)</f>
        <v>3430</v>
      </c>
      <c r="D303" s="5">
        <f>IFERROR(__xludf.DUMMYFUNCTION("""COMPUTED_VALUE"""),3360.0)</f>
        <v>3360</v>
      </c>
      <c r="E303" s="5">
        <f>IFERROR(__xludf.DUMMYFUNCTION("""COMPUTED_VALUE"""),3380.0)</f>
        <v>3380</v>
      </c>
      <c r="F303" s="5">
        <f>IFERROR(__xludf.DUMMYFUNCTION("""COMPUTED_VALUE"""),6.64918E7)</f>
        <v>66491800</v>
      </c>
      <c r="G303" s="5">
        <f t="shared" si="1"/>
        <v>70</v>
      </c>
    </row>
    <row r="304">
      <c r="A304" s="4">
        <f>IFERROR(__xludf.DUMMYFUNCTION("""COMPUTED_VALUE"""),44286.625)</f>
        <v>44286.625</v>
      </c>
      <c r="B304" s="5">
        <f>IFERROR(__xludf.DUMMYFUNCTION("""COMPUTED_VALUE"""),3380.0)</f>
        <v>3380</v>
      </c>
      <c r="C304" s="5">
        <f>IFERROR(__xludf.DUMMYFUNCTION("""COMPUTED_VALUE"""),3420.0)</f>
        <v>3420</v>
      </c>
      <c r="D304" s="5">
        <f>IFERROR(__xludf.DUMMYFUNCTION("""COMPUTED_VALUE"""),3330.0)</f>
        <v>3330</v>
      </c>
      <c r="E304" s="5">
        <f>IFERROR(__xludf.DUMMYFUNCTION("""COMPUTED_VALUE"""),3420.0)</f>
        <v>3420</v>
      </c>
      <c r="F304" s="5">
        <f>IFERROR(__xludf.DUMMYFUNCTION("""COMPUTED_VALUE"""),1.346719E8)</f>
        <v>134671900</v>
      </c>
      <c r="G304" s="5">
        <f t="shared" si="1"/>
        <v>90</v>
      </c>
    </row>
    <row r="305">
      <c r="A305" s="4">
        <f>IFERROR(__xludf.DUMMYFUNCTION("""COMPUTED_VALUE"""),44287.625)</f>
        <v>44287.625</v>
      </c>
      <c r="B305" s="5">
        <f>IFERROR(__xludf.DUMMYFUNCTION("""COMPUTED_VALUE"""),3390.0)</f>
        <v>3390</v>
      </c>
      <c r="C305" s="5">
        <f>IFERROR(__xludf.DUMMYFUNCTION("""COMPUTED_VALUE"""),3440.0)</f>
        <v>3440</v>
      </c>
      <c r="D305" s="5">
        <f>IFERROR(__xludf.DUMMYFUNCTION("""COMPUTED_VALUE"""),3380.0)</f>
        <v>3380</v>
      </c>
      <c r="E305" s="5">
        <f>IFERROR(__xludf.DUMMYFUNCTION("""COMPUTED_VALUE"""),3390.0)</f>
        <v>3390</v>
      </c>
      <c r="F305" s="5">
        <f>IFERROR(__xludf.DUMMYFUNCTION("""COMPUTED_VALUE"""),7.3332E7)</f>
        <v>73332000</v>
      </c>
      <c r="G305" s="5">
        <f t="shared" si="1"/>
        <v>60</v>
      </c>
    </row>
    <row r="306">
      <c r="A306" s="4">
        <f>IFERROR(__xludf.DUMMYFUNCTION("""COMPUTED_VALUE"""),44291.625)</f>
        <v>44291.625</v>
      </c>
      <c r="B306" s="5">
        <f>IFERROR(__xludf.DUMMYFUNCTION("""COMPUTED_VALUE"""),3430.0)</f>
        <v>3430</v>
      </c>
      <c r="C306" s="5">
        <f>IFERROR(__xludf.DUMMYFUNCTION("""COMPUTED_VALUE"""),3430.0)</f>
        <v>3430</v>
      </c>
      <c r="D306" s="5">
        <f>IFERROR(__xludf.DUMMYFUNCTION("""COMPUTED_VALUE"""),3370.0)</f>
        <v>3370</v>
      </c>
      <c r="E306" s="5">
        <f>IFERROR(__xludf.DUMMYFUNCTION("""COMPUTED_VALUE"""),3380.0)</f>
        <v>3380</v>
      </c>
      <c r="F306" s="5">
        <f>IFERROR(__xludf.DUMMYFUNCTION("""COMPUTED_VALUE"""),3.60292E7)</f>
        <v>36029200</v>
      </c>
      <c r="G306" s="5">
        <f t="shared" si="1"/>
        <v>60</v>
      </c>
    </row>
    <row r="307">
      <c r="A307" s="4">
        <f>IFERROR(__xludf.DUMMYFUNCTION("""COMPUTED_VALUE"""),44292.625)</f>
        <v>44292.625</v>
      </c>
      <c r="B307" s="5">
        <f>IFERROR(__xludf.DUMMYFUNCTION("""COMPUTED_VALUE"""),3400.0)</f>
        <v>3400</v>
      </c>
      <c r="C307" s="5">
        <f>IFERROR(__xludf.DUMMYFUNCTION("""COMPUTED_VALUE"""),3410.0)</f>
        <v>3410</v>
      </c>
      <c r="D307" s="5">
        <f>IFERROR(__xludf.DUMMYFUNCTION("""COMPUTED_VALUE"""),3370.0)</f>
        <v>3370</v>
      </c>
      <c r="E307" s="5">
        <f>IFERROR(__xludf.DUMMYFUNCTION("""COMPUTED_VALUE"""),3370.0)</f>
        <v>3370</v>
      </c>
      <c r="F307" s="5">
        <f>IFERROR(__xludf.DUMMYFUNCTION("""COMPUTED_VALUE"""),4.05664E7)</f>
        <v>40566400</v>
      </c>
      <c r="G307" s="5">
        <f t="shared" si="1"/>
        <v>40</v>
      </c>
    </row>
    <row r="308">
      <c r="A308" s="4">
        <f>IFERROR(__xludf.DUMMYFUNCTION("""COMPUTED_VALUE"""),44293.625)</f>
        <v>44293.625</v>
      </c>
      <c r="B308" s="5">
        <f>IFERROR(__xludf.DUMMYFUNCTION("""COMPUTED_VALUE"""),3410.0)</f>
        <v>3410</v>
      </c>
      <c r="C308" s="5">
        <f>IFERROR(__xludf.DUMMYFUNCTION("""COMPUTED_VALUE"""),3430.0)</f>
        <v>3430</v>
      </c>
      <c r="D308" s="5">
        <f>IFERROR(__xludf.DUMMYFUNCTION("""COMPUTED_VALUE"""),3380.0)</f>
        <v>3380</v>
      </c>
      <c r="E308" s="5">
        <f>IFERROR(__xludf.DUMMYFUNCTION("""COMPUTED_VALUE"""),3400.0)</f>
        <v>3400</v>
      </c>
      <c r="F308" s="5">
        <f>IFERROR(__xludf.DUMMYFUNCTION("""COMPUTED_VALUE"""),8.47543E7)</f>
        <v>84754300</v>
      </c>
      <c r="G308" s="5">
        <f t="shared" si="1"/>
        <v>60</v>
      </c>
    </row>
    <row r="309">
      <c r="A309" s="4">
        <f>IFERROR(__xludf.DUMMYFUNCTION("""COMPUTED_VALUE"""),44294.625)</f>
        <v>44294.625</v>
      </c>
      <c r="B309" s="5">
        <f>IFERROR(__xludf.DUMMYFUNCTION("""COMPUTED_VALUE"""),3380.0)</f>
        <v>3380</v>
      </c>
      <c r="C309" s="5">
        <f>IFERROR(__xludf.DUMMYFUNCTION("""COMPUTED_VALUE"""),3400.0)</f>
        <v>3400</v>
      </c>
      <c r="D309" s="5">
        <f>IFERROR(__xludf.DUMMYFUNCTION("""COMPUTED_VALUE"""),3380.0)</f>
        <v>3380</v>
      </c>
      <c r="E309" s="5">
        <f>IFERROR(__xludf.DUMMYFUNCTION("""COMPUTED_VALUE"""),3390.0)</f>
        <v>3390</v>
      </c>
      <c r="F309" s="5">
        <f>IFERROR(__xludf.DUMMYFUNCTION("""COMPUTED_VALUE"""),5.90797E7)</f>
        <v>59079700</v>
      </c>
      <c r="G309" s="5">
        <f t="shared" si="1"/>
        <v>20</v>
      </c>
    </row>
    <row r="310">
      <c r="A310" s="4">
        <f>IFERROR(__xludf.DUMMYFUNCTION("""COMPUTED_VALUE"""),44295.625)</f>
        <v>44295.625</v>
      </c>
      <c r="B310" s="5">
        <f>IFERROR(__xludf.DUMMYFUNCTION("""COMPUTED_VALUE"""),3390.0)</f>
        <v>3390</v>
      </c>
      <c r="C310" s="5">
        <f>IFERROR(__xludf.DUMMYFUNCTION("""COMPUTED_VALUE"""),3390.0)</f>
        <v>3390</v>
      </c>
      <c r="D310" s="5">
        <f>IFERROR(__xludf.DUMMYFUNCTION("""COMPUTED_VALUE"""),3360.0)</f>
        <v>3360</v>
      </c>
      <c r="E310" s="5">
        <f>IFERROR(__xludf.DUMMYFUNCTION("""COMPUTED_VALUE"""),3360.0)</f>
        <v>3360</v>
      </c>
      <c r="F310" s="5">
        <f>IFERROR(__xludf.DUMMYFUNCTION("""COMPUTED_VALUE"""),5.68614E7)</f>
        <v>56861400</v>
      </c>
      <c r="G310" s="5">
        <f t="shared" si="1"/>
        <v>30</v>
      </c>
    </row>
    <row r="311">
      <c r="A311" s="4">
        <f>IFERROR(__xludf.DUMMYFUNCTION("""COMPUTED_VALUE"""),44298.625)</f>
        <v>44298.625</v>
      </c>
      <c r="B311" s="5">
        <f>IFERROR(__xludf.DUMMYFUNCTION("""COMPUTED_VALUE"""),3340.0)</f>
        <v>3340</v>
      </c>
      <c r="C311" s="5">
        <f>IFERROR(__xludf.DUMMYFUNCTION("""COMPUTED_VALUE"""),3390.0)</f>
        <v>3390</v>
      </c>
      <c r="D311" s="5">
        <f>IFERROR(__xludf.DUMMYFUNCTION("""COMPUTED_VALUE"""),3300.0)</f>
        <v>3300</v>
      </c>
      <c r="E311" s="5">
        <f>IFERROR(__xludf.DUMMYFUNCTION("""COMPUTED_VALUE"""),3310.0)</f>
        <v>3310</v>
      </c>
      <c r="F311" s="5">
        <f>IFERROR(__xludf.DUMMYFUNCTION("""COMPUTED_VALUE"""),7.90032E7)</f>
        <v>79003200</v>
      </c>
      <c r="G311" s="5">
        <f t="shared" si="1"/>
        <v>90</v>
      </c>
    </row>
    <row r="312">
      <c r="A312" s="4">
        <f>IFERROR(__xludf.DUMMYFUNCTION("""COMPUTED_VALUE"""),44299.625)</f>
        <v>44299.625</v>
      </c>
      <c r="B312" s="5">
        <f>IFERROR(__xludf.DUMMYFUNCTION("""COMPUTED_VALUE"""),3340.0)</f>
        <v>3340</v>
      </c>
      <c r="C312" s="5">
        <f>IFERROR(__xludf.DUMMYFUNCTION("""COMPUTED_VALUE"""),3340.0)</f>
        <v>3340</v>
      </c>
      <c r="D312" s="5">
        <f>IFERROR(__xludf.DUMMYFUNCTION("""COMPUTED_VALUE"""),3300.0)</f>
        <v>3300</v>
      </c>
      <c r="E312" s="5">
        <f>IFERROR(__xludf.DUMMYFUNCTION("""COMPUTED_VALUE"""),3330.0)</f>
        <v>3330</v>
      </c>
      <c r="F312" s="5">
        <f>IFERROR(__xludf.DUMMYFUNCTION("""COMPUTED_VALUE"""),5.13002E7)</f>
        <v>51300200</v>
      </c>
      <c r="G312" s="5">
        <f t="shared" si="1"/>
        <v>40</v>
      </c>
    </row>
    <row r="313">
      <c r="A313" s="4">
        <f>IFERROR(__xludf.DUMMYFUNCTION("""COMPUTED_VALUE"""),44300.625)</f>
        <v>44300.625</v>
      </c>
      <c r="B313" s="5">
        <f>IFERROR(__xludf.DUMMYFUNCTION("""COMPUTED_VALUE"""),3360.0)</f>
        <v>3360</v>
      </c>
      <c r="C313" s="5">
        <f>IFERROR(__xludf.DUMMYFUNCTION("""COMPUTED_VALUE"""),3360.0)</f>
        <v>3360</v>
      </c>
      <c r="D313" s="5">
        <f>IFERROR(__xludf.DUMMYFUNCTION("""COMPUTED_VALUE"""),3320.0)</f>
        <v>3320</v>
      </c>
      <c r="E313" s="5">
        <f>IFERROR(__xludf.DUMMYFUNCTION("""COMPUTED_VALUE"""),3340.0)</f>
        <v>3340</v>
      </c>
      <c r="F313" s="5">
        <f>IFERROR(__xludf.DUMMYFUNCTION("""COMPUTED_VALUE"""),5.25875E7)</f>
        <v>52587500</v>
      </c>
      <c r="G313" s="5">
        <f t="shared" si="1"/>
        <v>40</v>
      </c>
    </row>
    <row r="314">
      <c r="A314" s="4">
        <f>IFERROR(__xludf.DUMMYFUNCTION("""COMPUTED_VALUE"""),44301.625)</f>
        <v>44301.625</v>
      </c>
      <c r="B314" s="5">
        <f>IFERROR(__xludf.DUMMYFUNCTION("""COMPUTED_VALUE"""),3340.0)</f>
        <v>3340</v>
      </c>
      <c r="C314" s="5">
        <f>IFERROR(__xludf.DUMMYFUNCTION("""COMPUTED_VALUE"""),3360.0)</f>
        <v>3360</v>
      </c>
      <c r="D314" s="5">
        <f>IFERROR(__xludf.DUMMYFUNCTION("""COMPUTED_VALUE"""),3320.0)</f>
        <v>3320</v>
      </c>
      <c r="E314" s="5">
        <f>IFERROR(__xludf.DUMMYFUNCTION("""COMPUTED_VALUE"""),3360.0)</f>
        <v>3360</v>
      </c>
      <c r="F314" s="5">
        <f>IFERROR(__xludf.DUMMYFUNCTION("""COMPUTED_VALUE"""),6.56691E7)</f>
        <v>65669100</v>
      </c>
      <c r="G314" s="5">
        <f t="shared" si="1"/>
        <v>40</v>
      </c>
    </row>
    <row r="315">
      <c r="A315" s="4">
        <f>IFERROR(__xludf.DUMMYFUNCTION("""COMPUTED_VALUE"""),44302.625)</f>
        <v>44302.625</v>
      </c>
      <c r="B315" s="5">
        <f>IFERROR(__xludf.DUMMYFUNCTION("""COMPUTED_VALUE"""),3370.0)</f>
        <v>3370</v>
      </c>
      <c r="C315" s="5">
        <f>IFERROR(__xludf.DUMMYFUNCTION("""COMPUTED_VALUE"""),3370.0)</f>
        <v>3370</v>
      </c>
      <c r="D315" s="5">
        <f>IFERROR(__xludf.DUMMYFUNCTION("""COMPUTED_VALUE"""),3320.0)</f>
        <v>3320</v>
      </c>
      <c r="E315" s="5">
        <f>IFERROR(__xludf.DUMMYFUNCTION("""COMPUTED_VALUE"""),3360.0)</f>
        <v>3360</v>
      </c>
      <c r="F315" s="5">
        <f>IFERROR(__xludf.DUMMYFUNCTION("""COMPUTED_VALUE"""),5.25178E7)</f>
        <v>52517800</v>
      </c>
      <c r="G315" s="5">
        <f t="shared" si="1"/>
        <v>50</v>
      </c>
    </row>
    <row r="316">
      <c r="A316" s="4">
        <f>IFERROR(__xludf.DUMMYFUNCTION("""COMPUTED_VALUE"""),44305.625)</f>
        <v>44305.625</v>
      </c>
      <c r="B316" s="5">
        <f>IFERROR(__xludf.DUMMYFUNCTION("""COMPUTED_VALUE"""),3330.0)</f>
        <v>3330</v>
      </c>
      <c r="C316" s="5">
        <f>IFERROR(__xludf.DUMMYFUNCTION("""COMPUTED_VALUE"""),3360.0)</f>
        <v>3360</v>
      </c>
      <c r="D316" s="5">
        <f>IFERROR(__xludf.DUMMYFUNCTION("""COMPUTED_VALUE"""),3330.0)</f>
        <v>3330</v>
      </c>
      <c r="E316" s="5">
        <f>IFERROR(__xludf.DUMMYFUNCTION("""COMPUTED_VALUE"""),3340.0)</f>
        <v>3340</v>
      </c>
      <c r="F316" s="5">
        <f>IFERROR(__xludf.DUMMYFUNCTION("""COMPUTED_VALUE"""),4.48997E7)</f>
        <v>44899700</v>
      </c>
      <c r="G316" s="5">
        <f t="shared" si="1"/>
        <v>30</v>
      </c>
    </row>
    <row r="317">
      <c r="A317" s="4">
        <f>IFERROR(__xludf.DUMMYFUNCTION("""COMPUTED_VALUE"""),44306.625)</f>
        <v>44306.625</v>
      </c>
      <c r="B317" s="5">
        <f>IFERROR(__xludf.DUMMYFUNCTION("""COMPUTED_VALUE"""),3330.0)</f>
        <v>3330</v>
      </c>
      <c r="C317" s="5">
        <f>IFERROR(__xludf.DUMMYFUNCTION("""COMPUTED_VALUE"""),3350.0)</f>
        <v>3350</v>
      </c>
      <c r="D317" s="5">
        <f>IFERROR(__xludf.DUMMYFUNCTION("""COMPUTED_VALUE"""),3300.0)</f>
        <v>3300</v>
      </c>
      <c r="E317" s="5">
        <f>IFERROR(__xludf.DUMMYFUNCTION("""COMPUTED_VALUE"""),3320.0)</f>
        <v>3320</v>
      </c>
      <c r="F317" s="5">
        <f>IFERROR(__xludf.DUMMYFUNCTION("""COMPUTED_VALUE"""),5.57001E7)</f>
        <v>55700100</v>
      </c>
      <c r="G317" s="5">
        <f t="shared" si="1"/>
        <v>50</v>
      </c>
    </row>
    <row r="318">
      <c r="A318" s="4">
        <f>IFERROR(__xludf.DUMMYFUNCTION("""COMPUTED_VALUE"""),44307.625)</f>
        <v>44307.625</v>
      </c>
      <c r="B318" s="5">
        <f>IFERROR(__xludf.DUMMYFUNCTION("""COMPUTED_VALUE"""),3290.0)</f>
        <v>3290</v>
      </c>
      <c r="C318" s="5">
        <f>IFERROR(__xludf.DUMMYFUNCTION("""COMPUTED_VALUE"""),3330.0)</f>
        <v>3330</v>
      </c>
      <c r="D318" s="5">
        <f>IFERROR(__xludf.DUMMYFUNCTION("""COMPUTED_VALUE"""),3280.0)</f>
        <v>3280</v>
      </c>
      <c r="E318" s="5">
        <f>IFERROR(__xludf.DUMMYFUNCTION("""COMPUTED_VALUE"""),3280.0)</f>
        <v>3280</v>
      </c>
      <c r="F318" s="5">
        <f>IFERROR(__xludf.DUMMYFUNCTION("""COMPUTED_VALUE"""),4.71678E7)</f>
        <v>47167800</v>
      </c>
      <c r="G318" s="5">
        <f t="shared" si="1"/>
        <v>50</v>
      </c>
    </row>
    <row r="319">
      <c r="A319" s="4">
        <f>IFERROR(__xludf.DUMMYFUNCTION("""COMPUTED_VALUE"""),44308.625)</f>
        <v>44308.625</v>
      </c>
      <c r="B319" s="5">
        <f>IFERROR(__xludf.DUMMYFUNCTION("""COMPUTED_VALUE"""),3290.0)</f>
        <v>3290</v>
      </c>
      <c r="C319" s="5">
        <f>IFERROR(__xludf.DUMMYFUNCTION("""COMPUTED_VALUE"""),3340.0)</f>
        <v>3340</v>
      </c>
      <c r="D319" s="5">
        <f>IFERROR(__xludf.DUMMYFUNCTION("""COMPUTED_VALUE"""),3290.0)</f>
        <v>3290</v>
      </c>
      <c r="E319" s="5">
        <f>IFERROR(__xludf.DUMMYFUNCTION("""COMPUTED_VALUE"""),3330.0)</f>
        <v>3330</v>
      </c>
      <c r="F319" s="5">
        <f>IFERROR(__xludf.DUMMYFUNCTION("""COMPUTED_VALUE"""),5.497E7)</f>
        <v>54970000</v>
      </c>
      <c r="G319" s="5">
        <f t="shared" si="1"/>
        <v>60</v>
      </c>
    </row>
    <row r="320">
      <c r="A320" s="4">
        <f>IFERROR(__xludf.DUMMYFUNCTION("""COMPUTED_VALUE"""),44309.625)</f>
        <v>44309.625</v>
      </c>
      <c r="B320" s="5">
        <f>IFERROR(__xludf.DUMMYFUNCTION("""COMPUTED_VALUE"""),3330.0)</f>
        <v>3330</v>
      </c>
      <c r="C320" s="5">
        <f>IFERROR(__xludf.DUMMYFUNCTION("""COMPUTED_VALUE"""),3330.0)</f>
        <v>3330</v>
      </c>
      <c r="D320" s="5">
        <f>IFERROR(__xludf.DUMMYFUNCTION("""COMPUTED_VALUE"""),3290.0)</f>
        <v>3290</v>
      </c>
      <c r="E320" s="5">
        <f>IFERROR(__xludf.DUMMYFUNCTION("""COMPUTED_VALUE"""),3310.0)</f>
        <v>3310</v>
      </c>
      <c r="F320" s="5">
        <f>IFERROR(__xludf.DUMMYFUNCTION("""COMPUTED_VALUE"""),3.97984E7)</f>
        <v>39798400</v>
      </c>
      <c r="G320" s="5">
        <f t="shared" si="1"/>
        <v>40</v>
      </c>
    </row>
    <row r="321">
      <c r="A321" s="4">
        <f>IFERROR(__xludf.DUMMYFUNCTION("""COMPUTED_VALUE"""),44312.625)</f>
        <v>44312.625</v>
      </c>
      <c r="B321" s="5">
        <f>IFERROR(__xludf.DUMMYFUNCTION("""COMPUTED_VALUE"""),3280.0)</f>
        <v>3280</v>
      </c>
      <c r="C321" s="5">
        <f>IFERROR(__xludf.DUMMYFUNCTION("""COMPUTED_VALUE"""),3300.0)</f>
        <v>3300</v>
      </c>
      <c r="D321" s="5">
        <f>IFERROR(__xludf.DUMMYFUNCTION("""COMPUTED_VALUE"""),3250.0)</f>
        <v>3250</v>
      </c>
      <c r="E321" s="5">
        <f>IFERROR(__xludf.DUMMYFUNCTION("""COMPUTED_VALUE"""),3250.0)</f>
        <v>3250</v>
      </c>
      <c r="F321" s="5">
        <f>IFERROR(__xludf.DUMMYFUNCTION("""COMPUTED_VALUE"""),5.50762E7)</f>
        <v>55076200</v>
      </c>
      <c r="G321" s="5">
        <f t="shared" si="1"/>
        <v>60</v>
      </c>
    </row>
    <row r="322">
      <c r="A322" s="4">
        <f>IFERROR(__xludf.DUMMYFUNCTION("""COMPUTED_VALUE"""),44313.625)</f>
        <v>44313.625</v>
      </c>
      <c r="B322" s="5">
        <f>IFERROR(__xludf.DUMMYFUNCTION("""COMPUTED_VALUE"""),3240.0)</f>
        <v>3240</v>
      </c>
      <c r="C322" s="5">
        <f>IFERROR(__xludf.DUMMYFUNCTION("""COMPUTED_VALUE"""),3250.0)</f>
        <v>3250</v>
      </c>
      <c r="D322" s="5">
        <f>IFERROR(__xludf.DUMMYFUNCTION("""COMPUTED_VALUE"""),3140.0)</f>
        <v>3140</v>
      </c>
      <c r="E322" s="5">
        <f>IFERROR(__xludf.DUMMYFUNCTION("""COMPUTED_VALUE"""),3160.0)</f>
        <v>3160</v>
      </c>
      <c r="F322" s="5">
        <f>IFERROR(__xludf.DUMMYFUNCTION("""COMPUTED_VALUE"""),1.669854E8)</f>
        <v>166985400</v>
      </c>
      <c r="G322" s="5">
        <f t="shared" si="1"/>
        <v>110</v>
      </c>
    </row>
    <row r="323">
      <c r="A323" s="4">
        <f>IFERROR(__xludf.DUMMYFUNCTION("""COMPUTED_VALUE"""),44314.625)</f>
        <v>44314.625</v>
      </c>
      <c r="B323" s="5">
        <f>IFERROR(__xludf.DUMMYFUNCTION("""COMPUTED_VALUE"""),3160.0)</f>
        <v>3160</v>
      </c>
      <c r="C323" s="5">
        <f>IFERROR(__xludf.DUMMYFUNCTION("""COMPUTED_VALUE"""),3170.0)</f>
        <v>3170</v>
      </c>
      <c r="D323" s="5">
        <f>IFERROR(__xludf.DUMMYFUNCTION("""COMPUTED_VALUE"""),3130.0)</f>
        <v>3130</v>
      </c>
      <c r="E323" s="5">
        <f>IFERROR(__xludf.DUMMYFUNCTION("""COMPUTED_VALUE"""),3140.0)</f>
        <v>3140</v>
      </c>
      <c r="F323" s="5">
        <f>IFERROR(__xludf.DUMMYFUNCTION("""COMPUTED_VALUE"""),9.15963E7)</f>
        <v>91596300</v>
      </c>
      <c r="G323" s="5">
        <f t="shared" si="1"/>
        <v>40</v>
      </c>
    </row>
    <row r="324">
      <c r="A324" s="4">
        <f>IFERROR(__xludf.DUMMYFUNCTION("""COMPUTED_VALUE"""),44315.625)</f>
        <v>44315.625</v>
      </c>
      <c r="B324" s="5">
        <f>IFERROR(__xludf.DUMMYFUNCTION("""COMPUTED_VALUE"""),3150.0)</f>
        <v>3150</v>
      </c>
      <c r="C324" s="5">
        <f>IFERROR(__xludf.DUMMYFUNCTION("""COMPUTED_VALUE"""),3210.0)</f>
        <v>3210</v>
      </c>
      <c r="D324" s="5">
        <f>IFERROR(__xludf.DUMMYFUNCTION("""COMPUTED_VALUE"""),3140.0)</f>
        <v>3140</v>
      </c>
      <c r="E324" s="5">
        <f>IFERROR(__xludf.DUMMYFUNCTION("""COMPUTED_VALUE"""),3200.0)</f>
        <v>3200</v>
      </c>
      <c r="F324" s="5">
        <f>IFERROR(__xludf.DUMMYFUNCTION("""COMPUTED_VALUE"""),1.117851E8)</f>
        <v>111785100</v>
      </c>
      <c r="G324" s="5">
        <f t="shared" si="1"/>
        <v>70</v>
      </c>
    </row>
    <row r="325">
      <c r="A325" s="4">
        <f>IFERROR(__xludf.DUMMYFUNCTION("""COMPUTED_VALUE"""),44316.625)</f>
        <v>44316.625</v>
      </c>
      <c r="B325" s="5">
        <f>IFERROR(__xludf.DUMMYFUNCTION("""COMPUTED_VALUE"""),3220.0)</f>
        <v>3220</v>
      </c>
      <c r="C325" s="5">
        <f>IFERROR(__xludf.DUMMYFUNCTION("""COMPUTED_VALUE"""),3260.0)</f>
        <v>3260</v>
      </c>
      <c r="D325" s="5">
        <f>IFERROR(__xludf.DUMMYFUNCTION("""COMPUTED_VALUE"""),3200.0)</f>
        <v>3200</v>
      </c>
      <c r="E325" s="5">
        <f>IFERROR(__xludf.DUMMYFUNCTION("""COMPUTED_VALUE"""),3200.0)</f>
        <v>3200</v>
      </c>
      <c r="F325" s="5">
        <f>IFERROR(__xludf.DUMMYFUNCTION("""COMPUTED_VALUE"""),1.438408E8)</f>
        <v>143840800</v>
      </c>
      <c r="G325" s="5">
        <f t="shared" si="1"/>
        <v>60</v>
      </c>
    </row>
    <row r="326">
      <c r="A326" s="4">
        <f>IFERROR(__xludf.DUMMYFUNCTION("""COMPUTED_VALUE"""),44319.66666666667)</f>
        <v>44319.66667</v>
      </c>
      <c r="B326" s="5">
        <f>IFERROR(__xludf.DUMMYFUNCTION("""COMPUTED_VALUE"""),3200.0)</f>
        <v>3200</v>
      </c>
      <c r="C326" s="5">
        <f>IFERROR(__xludf.DUMMYFUNCTION("""COMPUTED_VALUE"""),3210.0)</f>
        <v>3210</v>
      </c>
      <c r="D326" s="5">
        <f>IFERROR(__xludf.DUMMYFUNCTION("""COMPUTED_VALUE"""),3130.0)</f>
        <v>3130</v>
      </c>
      <c r="E326" s="5">
        <f>IFERROR(__xludf.DUMMYFUNCTION("""COMPUTED_VALUE"""),3170.0)</f>
        <v>3170</v>
      </c>
      <c r="F326" s="5">
        <f>IFERROR(__xludf.DUMMYFUNCTION("""COMPUTED_VALUE"""),1.247244E8)</f>
        <v>124724400</v>
      </c>
      <c r="G326" s="5">
        <f t="shared" si="1"/>
        <v>80</v>
      </c>
    </row>
    <row r="327">
      <c r="A327" s="4">
        <f>IFERROR(__xludf.DUMMYFUNCTION("""COMPUTED_VALUE"""),44320.66666666667)</f>
        <v>44320.66667</v>
      </c>
      <c r="B327" s="5">
        <f>IFERROR(__xludf.DUMMYFUNCTION("""COMPUTED_VALUE"""),3180.0)</f>
        <v>3180</v>
      </c>
      <c r="C327" s="5">
        <f>IFERROR(__xludf.DUMMYFUNCTION("""COMPUTED_VALUE"""),3210.0)</f>
        <v>3210</v>
      </c>
      <c r="D327" s="5">
        <f>IFERROR(__xludf.DUMMYFUNCTION("""COMPUTED_VALUE"""),3170.0)</f>
        <v>3170</v>
      </c>
      <c r="E327" s="5">
        <f>IFERROR(__xludf.DUMMYFUNCTION("""COMPUTED_VALUE"""),3210.0)</f>
        <v>3210</v>
      </c>
      <c r="F327" s="5">
        <f>IFERROR(__xludf.DUMMYFUNCTION("""COMPUTED_VALUE"""),6.01806E7)</f>
        <v>60180600</v>
      </c>
      <c r="G327" s="5">
        <f t="shared" si="1"/>
        <v>40</v>
      </c>
    </row>
    <row r="328">
      <c r="A328" s="4">
        <f>IFERROR(__xludf.DUMMYFUNCTION("""COMPUTED_VALUE"""),44321.625)</f>
        <v>44321.625</v>
      </c>
      <c r="B328" s="5">
        <f>IFERROR(__xludf.DUMMYFUNCTION("""COMPUTED_VALUE"""),3210.0)</f>
        <v>3210</v>
      </c>
      <c r="C328" s="5">
        <f>IFERROR(__xludf.DUMMYFUNCTION("""COMPUTED_VALUE"""),3210.0)</f>
        <v>3210</v>
      </c>
      <c r="D328" s="5">
        <f>IFERROR(__xludf.DUMMYFUNCTION("""COMPUTED_VALUE"""),3180.0)</f>
        <v>3180</v>
      </c>
      <c r="E328" s="5">
        <f>IFERROR(__xludf.DUMMYFUNCTION("""COMPUTED_VALUE"""),3200.0)</f>
        <v>3200</v>
      </c>
      <c r="F328" s="5">
        <f>IFERROR(__xludf.DUMMYFUNCTION("""COMPUTED_VALUE"""),7.64803E7)</f>
        <v>76480300</v>
      </c>
      <c r="G328" s="5">
        <f t="shared" si="1"/>
        <v>30</v>
      </c>
    </row>
    <row r="329">
      <c r="A329" s="4">
        <f>IFERROR(__xludf.DUMMYFUNCTION("""COMPUTED_VALUE"""),44322.625)</f>
        <v>44322.625</v>
      </c>
      <c r="B329" s="5">
        <f>IFERROR(__xludf.DUMMYFUNCTION("""COMPUTED_VALUE"""),3200.0)</f>
        <v>3200</v>
      </c>
      <c r="C329" s="5">
        <f>IFERROR(__xludf.DUMMYFUNCTION("""COMPUTED_VALUE"""),3200.0)</f>
        <v>3200</v>
      </c>
      <c r="D329" s="5">
        <f>IFERROR(__xludf.DUMMYFUNCTION("""COMPUTED_VALUE"""),3150.0)</f>
        <v>3150</v>
      </c>
      <c r="E329" s="5">
        <f>IFERROR(__xludf.DUMMYFUNCTION("""COMPUTED_VALUE"""),3190.0)</f>
        <v>3190</v>
      </c>
      <c r="F329" s="5">
        <f>IFERROR(__xludf.DUMMYFUNCTION("""COMPUTED_VALUE"""),9.19556E7)</f>
        <v>91955600</v>
      </c>
      <c r="G329" s="5">
        <f t="shared" si="1"/>
        <v>50</v>
      </c>
    </row>
    <row r="330">
      <c r="A330" s="4">
        <f>IFERROR(__xludf.DUMMYFUNCTION("""COMPUTED_VALUE"""),44323.625)</f>
        <v>44323.625</v>
      </c>
      <c r="B330" s="5">
        <f>IFERROR(__xludf.DUMMYFUNCTION("""COMPUTED_VALUE"""),3200.0)</f>
        <v>3200</v>
      </c>
      <c r="C330" s="5">
        <f>IFERROR(__xludf.DUMMYFUNCTION("""COMPUTED_VALUE"""),3220.0)</f>
        <v>3220</v>
      </c>
      <c r="D330" s="5">
        <f>IFERROR(__xludf.DUMMYFUNCTION("""COMPUTED_VALUE"""),3180.0)</f>
        <v>3180</v>
      </c>
      <c r="E330" s="5">
        <f>IFERROR(__xludf.DUMMYFUNCTION("""COMPUTED_VALUE"""),3190.0)</f>
        <v>3190</v>
      </c>
      <c r="F330" s="5">
        <f>IFERROR(__xludf.DUMMYFUNCTION("""COMPUTED_VALUE"""),9.80999E7)</f>
        <v>98099900</v>
      </c>
      <c r="G330" s="5">
        <f t="shared" si="1"/>
        <v>40</v>
      </c>
    </row>
    <row r="331">
      <c r="A331" s="4">
        <f>IFERROR(__xludf.DUMMYFUNCTION("""COMPUTED_VALUE"""),44326.66666666667)</f>
        <v>44326.66667</v>
      </c>
      <c r="B331" s="5">
        <f>IFERROR(__xludf.DUMMYFUNCTION("""COMPUTED_VALUE"""),3190.0)</f>
        <v>3190</v>
      </c>
      <c r="C331" s="5">
        <f>IFERROR(__xludf.DUMMYFUNCTION("""COMPUTED_VALUE"""),3200.0)</f>
        <v>3200</v>
      </c>
      <c r="D331" s="5">
        <f>IFERROR(__xludf.DUMMYFUNCTION("""COMPUTED_VALUE"""),3160.0)</f>
        <v>3160</v>
      </c>
      <c r="E331" s="5">
        <f>IFERROR(__xludf.DUMMYFUNCTION("""COMPUTED_VALUE"""),3170.0)</f>
        <v>3170</v>
      </c>
      <c r="F331" s="5">
        <f>IFERROR(__xludf.DUMMYFUNCTION("""COMPUTED_VALUE"""),1.041219E8)</f>
        <v>104121900</v>
      </c>
      <c r="G331" s="5">
        <f t="shared" si="1"/>
        <v>40</v>
      </c>
    </row>
    <row r="332">
      <c r="A332" s="4">
        <f>IFERROR(__xludf.DUMMYFUNCTION("""COMPUTED_VALUE"""),44327.66666666667)</f>
        <v>44327.66667</v>
      </c>
      <c r="B332" s="5">
        <f>IFERROR(__xludf.DUMMYFUNCTION("""COMPUTED_VALUE"""),3170.0)</f>
        <v>3170</v>
      </c>
      <c r="C332" s="5">
        <f>IFERROR(__xludf.DUMMYFUNCTION("""COMPUTED_VALUE"""),3200.0)</f>
        <v>3200</v>
      </c>
      <c r="D332" s="5">
        <f>IFERROR(__xludf.DUMMYFUNCTION("""COMPUTED_VALUE"""),3150.0)</f>
        <v>3150</v>
      </c>
      <c r="E332" s="5">
        <f>IFERROR(__xludf.DUMMYFUNCTION("""COMPUTED_VALUE"""),3180.0)</f>
        <v>3180</v>
      </c>
      <c r="F332" s="5">
        <f>IFERROR(__xludf.DUMMYFUNCTION("""COMPUTED_VALUE"""),9.42819E7)</f>
        <v>94281900</v>
      </c>
      <c r="G332" s="5">
        <f t="shared" si="1"/>
        <v>50</v>
      </c>
    </row>
    <row r="333">
      <c r="A333" s="4">
        <f>IFERROR(__xludf.DUMMYFUNCTION("""COMPUTED_VALUE"""),44333.625)</f>
        <v>44333.625</v>
      </c>
      <c r="B333" s="5">
        <f>IFERROR(__xludf.DUMMYFUNCTION("""COMPUTED_VALUE"""),3190.0)</f>
        <v>3190</v>
      </c>
      <c r="C333" s="5">
        <f>IFERROR(__xludf.DUMMYFUNCTION("""COMPUTED_VALUE"""),3190.0)</f>
        <v>3190</v>
      </c>
      <c r="D333" s="5">
        <f>IFERROR(__xludf.DUMMYFUNCTION("""COMPUTED_VALUE"""),3150.0)</f>
        <v>3150</v>
      </c>
      <c r="E333" s="5">
        <f>IFERROR(__xludf.DUMMYFUNCTION("""COMPUTED_VALUE"""),3190.0)</f>
        <v>3190</v>
      </c>
      <c r="F333" s="5">
        <f>IFERROR(__xludf.DUMMYFUNCTION("""COMPUTED_VALUE"""),1.140714E8)</f>
        <v>114071400</v>
      </c>
      <c r="G333" s="5">
        <f t="shared" si="1"/>
        <v>40</v>
      </c>
    </row>
    <row r="334">
      <c r="A334" s="4">
        <f>IFERROR(__xludf.DUMMYFUNCTION("""COMPUTED_VALUE"""),44334.625)</f>
        <v>44334.625</v>
      </c>
      <c r="B334" s="5">
        <f>IFERROR(__xludf.DUMMYFUNCTION("""COMPUTED_VALUE"""),3190.0)</f>
        <v>3190</v>
      </c>
      <c r="C334" s="5">
        <f>IFERROR(__xludf.DUMMYFUNCTION("""COMPUTED_VALUE"""),3190.0)</f>
        <v>3190</v>
      </c>
      <c r="D334" s="5">
        <f>IFERROR(__xludf.DUMMYFUNCTION("""COMPUTED_VALUE"""),3150.0)</f>
        <v>3150</v>
      </c>
      <c r="E334" s="5">
        <f>IFERROR(__xludf.DUMMYFUNCTION("""COMPUTED_VALUE"""),3180.0)</f>
        <v>3180</v>
      </c>
      <c r="F334" s="5">
        <f>IFERROR(__xludf.DUMMYFUNCTION("""COMPUTED_VALUE"""),7.73104E7)</f>
        <v>77310400</v>
      </c>
      <c r="G334" s="5">
        <f t="shared" si="1"/>
        <v>40</v>
      </c>
    </row>
    <row r="335">
      <c r="A335" s="4">
        <f>IFERROR(__xludf.DUMMYFUNCTION("""COMPUTED_VALUE"""),44335.625)</f>
        <v>44335.625</v>
      </c>
      <c r="B335" s="5">
        <f>IFERROR(__xludf.DUMMYFUNCTION("""COMPUTED_VALUE"""),3150.0)</f>
        <v>3150</v>
      </c>
      <c r="C335" s="5">
        <f>IFERROR(__xludf.DUMMYFUNCTION("""COMPUTED_VALUE"""),3220.0)</f>
        <v>3220</v>
      </c>
      <c r="D335" s="5">
        <f>IFERROR(__xludf.DUMMYFUNCTION("""COMPUTED_VALUE"""),3150.0)</f>
        <v>3150</v>
      </c>
      <c r="E335" s="5">
        <f>IFERROR(__xludf.DUMMYFUNCTION("""COMPUTED_VALUE"""),3160.0)</f>
        <v>3160</v>
      </c>
      <c r="F335" s="5">
        <f>IFERROR(__xludf.DUMMYFUNCTION("""COMPUTED_VALUE"""),4.89581E7)</f>
        <v>48958100</v>
      </c>
      <c r="G335" s="5">
        <f t="shared" si="1"/>
        <v>70</v>
      </c>
    </row>
    <row r="336">
      <c r="A336" s="4">
        <f>IFERROR(__xludf.DUMMYFUNCTION("""COMPUTED_VALUE"""),44336.625)</f>
        <v>44336.625</v>
      </c>
      <c r="B336" s="5">
        <f>IFERROR(__xludf.DUMMYFUNCTION("""COMPUTED_VALUE"""),3190.0)</f>
        <v>3190</v>
      </c>
      <c r="C336" s="5">
        <f>IFERROR(__xludf.DUMMYFUNCTION("""COMPUTED_VALUE"""),3320.0)</f>
        <v>3320</v>
      </c>
      <c r="D336" s="5">
        <f>IFERROR(__xludf.DUMMYFUNCTION("""COMPUTED_VALUE"""),3180.0)</f>
        <v>3180</v>
      </c>
      <c r="E336" s="5">
        <f>IFERROR(__xludf.DUMMYFUNCTION("""COMPUTED_VALUE"""),3310.0)</f>
        <v>3310</v>
      </c>
      <c r="F336" s="5">
        <f>IFERROR(__xludf.DUMMYFUNCTION("""COMPUTED_VALUE"""),1.974309E8)</f>
        <v>197430900</v>
      </c>
      <c r="G336" s="5">
        <f t="shared" si="1"/>
        <v>160</v>
      </c>
    </row>
    <row r="337">
      <c r="A337" s="4">
        <f>IFERROR(__xludf.DUMMYFUNCTION("""COMPUTED_VALUE"""),44337.625)</f>
        <v>44337.625</v>
      </c>
      <c r="B337" s="5">
        <f>IFERROR(__xludf.DUMMYFUNCTION("""COMPUTED_VALUE"""),3340.0)</f>
        <v>3340</v>
      </c>
      <c r="C337" s="5">
        <f>IFERROR(__xludf.DUMMYFUNCTION("""COMPUTED_VALUE"""),3350.0)</f>
        <v>3350</v>
      </c>
      <c r="D337" s="5">
        <f>IFERROR(__xludf.DUMMYFUNCTION("""COMPUTED_VALUE"""),3270.0)</f>
        <v>3270</v>
      </c>
      <c r="E337" s="5">
        <f>IFERROR(__xludf.DUMMYFUNCTION("""COMPUTED_VALUE"""),3270.0)</f>
        <v>3270</v>
      </c>
      <c r="F337" s="5">
        <f>IFERROR(__xludf.DUMMYFUNCTION("""COMPUTED_VALUE"""),1.041014E8)</f>
        <v>104101400</v>
      </c>
      <c r="G337" s="5">
        <f t="shared" si="1"/>
        <v>80</v>
      </c>
    </row>
    <row r="338">
      <c r="A338" s="4">
        <f>IFERROR(__xludf.DUMMYFUNCTION("""COMPUTED_VALUE"""),44340.625)</f>
        <v>44340.625</v>
      </c>
      <c r="B338" s="5">
        <f>IFERROR(__xludf.DUMMYFUNCTION("""COMPUTED_VALUE"""),3290.0)</f>
        <v>3290</v>
      </c>
      <c r="C338" s="5">
        <f>IFERROR(__xludf.DUMMYFUNCTION("""COMPUTED_VALUE"""),3330.0)</f>
        <v>3330</v>
      </c>
      <c r="D338" s="5">
        <f>IFERROR(__xludf.DUMMYFUNCTION("""COMPUTED_VALUE"""),3220.0)</f>
        <v>3220</v>
      </c>
      <c r="E338" s="5">
        <f>IFERROR(__xludf.DUMMYFUNCTION("""COMPUTED_VALUE"""),3260.0)</f>
        <v>3260</v>
      </c>
      <c r="F338" s="5">
        <f>IFERROR(__xludf.DUMMYFUNCTION("""COMPUTED_VALUE"""),6.43471E7)</f>
        <v>64347100</v>
      </c>
      <c r="G338" s="5">
        <f t="shared" si="1"/>
        <v>110</v>
      </c>
    </row>
    <row r="339">
      <c r="A339" s="4">
        <f>IFERROR(__xludf.DUMMYFUNCTION("""COMPUTED_VALUE"""),44341.625)</f>
        <v>44341.625</v>
      </c>
      <c r="B339" s="5">
        <f>IFERROR(__xludf.DUMMYFUNCTION("""COMPUTED_VALUE"""),3290.0)</f>
        <v>3290</v>
      </c>
      <c r="C339" s="5">
        <f>IFERROR(__xludf.DUMMYFUNCTION("""COMPUTED_VALUE"""),3320.0)</f>
        <v>3320</v>
      </c>
      <c r="D339" s="5">
        <f>IFERROR(__xludf.DUMMYFUNCTION("""COMPUTED_VALUE"""),3270.0)</f>
        <v>3270</v>
      </c>
      <c r="E339" s="5">
        <f>IFERROR(__xludf.DUMMYFUNCTION("""COMPUTED_VALUE"""),3300.0)</f>
        <v>3300</v>
      </c>
      <c r="F339" s="5">
        <f>IFERROR(__xludf.DUMMYFUNCTION("""COMPUTED_VALUE"""),6.22193E7)</f>
        <v>62219300</v>
      </c>
      <c r="G339" s="5">
        <f t="shared" si="1"/>
        <v>60</v>
      </c>
    </row>
    <row r="340">
      <c r="A340" s="4">
        <f>IFERROR(__xludf.DUMMYFUNCTION("""COMPUTED_VALUE"""),44343.625)</f>
        <v>44343.625</v>
      </c>
      <c r="B340" s="5">
        <f>IFERROR(__xludf.DUMMYFUNCTION("""COMPUTED_VALUE"""),3350.0)</f>
        <v>3350</v>
      </c>
      <c r="C340" s="5">
        <f>IFERROR(__xludf.DUMMYFUNCTION("""COMPUTED_VALUE"""),3400.0)</f>
        <v>3400</v>
      </c>
      <c r="D340" s="5">
        <f>IFERROR(__xludf.DUMMYFUNCTION("""COMPUTED_VALUE"""),3330.0)</f>
        <v>3330</v>
      </c>
      <c r="E340" s="5">
        <f>IFERROR(__xludf.DUMMYFUNCTION("""COMPUTED_VALUE"""),3380.0)</f>
        <v>3380</v>
      </c>
      <c r="F340" s="5">
        <f>IFERROR(__xludf.DUMMYFUNCTION("""COMPUTED_VALUE"""),2.335513E8)</f>
        <v>233551300</v>
      </c>
      <c r="G340" s="5">
        <f t="shared" si="1"/>
        <v>100</v>
      </c>
    </row>
    <row r="341">
      <c r="A341" s="4">
        <f>IFERROR(__xludf.DUMMYFUNCTION("""COMPUTED_VALUE"""),44344.625)</f>
        <v>44344.625</v>
      </c>
      <c r="B341" s="5">
        <f>IFERROR(__xludf.DUMMYFUNCTION("""COMPUTED_VALUE"""),3380.0)</f>
        <v>3380</v>
      </c>
      <c r="C341" s="5">
        <f>IFERROR(__xludf.DUMMYFUNCTION("""COMPUTED_VALUE"""),3400.0)</f>
        <v>3400</v>
      </c>
      <c r="D341" s="5">
        <f>IFERROR(__xludf.DUMMYFUNCTION("""COMPUTED_VALUE"""),3260.0)</f>
        <v>3260</v>
      </c>
      <c r="E341" s="5">
        <f>IFERROR(__xludf.DUMMYFUNCTION("""COMPUTED_VALUE"""),3270.0)</f>
        <v>3270</v>
      </c>
      <c r="F341" s="5">
        <f>IFERROR(__xludf.DUMMYFUNCTION("""COMPUTED_VALUE"""),8.74399E7)</f>
        <v>87439900</v>
      </c>
      <c r="G341" s="5">
        <f t="shared" si="1"/>
        <v>140</v>
      </c>
    </row>
    <row r="342">
      <c r="A342" s="4">
        <f>IFERROR(__xludf.DUMMYFUNCTION("""COMPUTED_VALUE"""),44347.625)</f>
        <v>44347.625</v>
      </c>
      <c r="B342" s="5">
        <f>IFERROR(__xludf.DUMMYFUNCTION("""COMPUTED_VALUE"""),3300.0)</f>
        <v>3300</v>
      </c>
      <c r="C342" s="5">
        <f>IFERROR(__xludf.DUMMYFUNCTION("""COMPUTED_VALUE"""),3460.0)</f>
        <v>3460</v>
      </c>
      <c r="D342" s="5">
        <f>IFERROR(__xludf.DUMMYFUNCTION("""COMPUTED_VALUE"""),3300.0)</f>
        <v>3300</v>
      </c>
      <c r="E342" s="5">
        <f>IFERROR(__xludf.DUMMYFUNCTION("""COMPUTED_VALUE"""),3440.0)</f>
        <v>3440</v>
      </c>
      <c r="F342" s="5">
        <f>IFERROR(__xludf.DUMMYFUNCTION("""COMPUTED_VALUE"""),1.557682E8)</f>
        <v>155768200</v>
      </c>
      <c r="G342" s="5">
        <f t="shared" si="1"/>
        <v>190</v>
      </c>
    </row>
    <row r="343">
      <c r="A343" s="4">
        <f>IFERROR(__xludf.DUMMYFUNCTION("""COMPUTED_VALUE"""),44349.625)</f>
        <v>44349.625</v>
      </c>
      <c r="B343" s="5">
        <f>IFERROR(__xludf.DUMMYFUNCTION("""COMPUTED_VALUE"""),3490.0)</f>
        <v>3490</v>
      </c>
      <c r="C343" s="5">
        <f>IFERROR(__xludf.DUMMYFUNCTION("""COMPUTED_VALUE"""),3500.0)</f>
        <v>3500</v>
      </c>
      <c r="D343" s="5">
        <f>IFERROR(__xludf.DUMMYFUNCTION("""COMPUTED_VALUE"""),3420.0)</f>
        <v>3420</v>
      </c>
      <c r="E343" s="5">
        <f>IFERROR(__xludf.DUMMYFUNCTION("""COMPUTED_VALUE"""),3450.0)</f>
        <v>3450</v>
      </c>
      <c r="F343" s="5">
        <f>IFERROR(__xludf.DUMMYFUNCTION("""COMPUTED_VALUE"""),1.089334E8)</f>
        <v>108933400</v>
      </c>
      <c r="G343" s="5">
        <f t="shared" si="1"/>
        <v>80</v>
      </c>
    </row>
    <row r="344">
      <c r="A344" s="4">
        <f>IFERROR(__xludf.DUMMYFUNCTION("""COMPUTED_VALUE"""),44350.625)</f>
        <v>44350.625</v>
      </c>
      <c r="B344" s="5">
        <f>IFERROR(__xludf.DUMMYFUNCTION("""COMPUTED_VALUE"""),3420.0)</f>
        <v>3420</v>
      </c>
      <c r="C344" s="5">
        <f>IFERROR(__xludf.DUMMYFUNCTION("""COMPUTED_VALUE"""),3490.0)</f>
        <v>3490</v>
      </c>
      <c r="D344" s="5">
        <f>IFERROR(__xludf.DUMMYFUNCTION("""COMPUTED_VALUE"""),3420.0)</f>
        <v>3420</v>
      </c>
      <c r="E344" s="5">
        <f>IFERROR(__xludf.DUMMYFUNCTION("""COMPUTED_VALUE"""),3490.0)</f>
        <v>3490</v>
      </c>
      <c r="F344" s="5">
        <f>IFERROR(__xludf.DUMMYFUNCTION("""COMPUTED_VALUE"""),7.76279E7)</f>
        <v>77627900</v>
      </c>
      <c r="G344" s="5">
        <f t="shared" si="1"/>
        <v>70</v>
      </c>
    </row>
    <row r="345">
      <c r="A345" s="4">
        <f>IFERROR(__xludf.DUMMYFUNCTION("""COMPUTED_VALUE"""),44351.625)</f>
        <v>44351.625</v>
      </c>
      <c r="B345" s="5">
        <f>IFERROR(__xludf.DUMMYFUNCTION("""COMPUTED_VALUE"""),3490.0)</f>
        <v>3490</v>
      </c>
      <c r="C345" s="5">
        <f>IFERROR(__xludf.DUMMYFUNCTION("""COMPUTED_VALUE"""),3510.0)</f>
        <v>3510</v>
      </c>
      <c r="D345" s="5">
        <f>IFERROR(__xludf.DUMMYFUNCTION("""COMPUTED_VALUE"""),3450.0)</f>
        <v>3450</v>
      </c>
      <c r="E345" s="5">
        <f>IFERROR(__xludf.DUMMYFUNCTION("""COMPUTED_VALUE"""),3500.0)</f>
        <v>3500</v>
      </c>
      <c r="F345" s="5">
        <f>IFERROR(__xludf.DUMMYFUNCTION("""COMPUTED_VALUE"""),7.06242E7)</f>
        <v>70624200</v>
      </c>
      <c r="G345" s="5">
        <f t="shared" si="1"/>
        <v>60</v>
      </c>
    </row>
    <row r="346">
      <c r="A346" s="4">
        <f>IFERROR(__xludf.DUMMYFUNCTION("""COMPUTED_VALUE"""),44354.625)</f>
        <v>44354.625</v>
      </c>
      <c r="B346" s="5">
        <f>IFERROR(__xludf.DUMMYFUNCTION("""COMPUTED_VALUE"""),3540.0)</f>
        <v>3540</v>
      </c>
      <c r="C346" s="5">
        <f>IFERROR(__xludf.DUMMYFUNCTION("""COMPUTED_VALUE"""),3570.0)</f>
        <v>3570</v>
      </c>
      <c r="D346" s="5">
        <f>IFERROR(__xludf.DUMMYFUNCTION("""COMPUTED_VALUE"""),3500.0)</f>
        <v>3500</v>
      </c>
      <c r="E346" s="5">
        <f>IFERROR(__xludf.DUMMYFUNCTION("""COMPUTED_VALUE"""),3550.0)</f>
        <v>3550</v>
      </c>
      <c r="F346" s="5">
        <f>IFERROR(__xludf.DUMMYFUNCTION("""COMPUTED_VALUE"""),1.244403E8)</f>
        <v>124440300</v>
      </c>
      <c r="G346" s="5">
        <f t="shared" si="1"/>
        <v>70</v>
      </c>
    </row>
    <row r="347">
      <c r="A347" s="4">
        <f>IFERROR(__xludf.DUMMYFUNCTION("""COMPUTED_VALUE"""),44355.625)</f>
        <v>44355.625</v>
      </c>
      <c r="B347" s="5">
        <f>IFERROR(__xludf.DUMMYFUNCTION("""COMPUTED_VALUE"""),3550.0)</f>
        <v>3550</v>
      </c>
      <c r="C347" s="5">
        <f>IFERROR(__xludf.DUMMYFUNCTION("""COMPUTED_VALUE"""),3550.0)</f>
        <v>3550</v>
      </c>
      <c r="D347" s="5">
        <f>IFERROR(__xludf.DUMMYFUNCTION("""COMPUTED_VALUE"""),3470.0)</f>
        <v>3470</v>
      </c>
      <c r="E347" s="5">
        <f>IFERROR(__xludf.DUMMYFUNCTION("""COMPUTED_VALUE"""),3500.0)</f>
        <v>3500</v>
      </c>
      <c r="F347" s="5">
        <f>IFERROR(__xludf.DUMMYFUNCTION("""COMPUTED_VALUE"""),1.324094E8)</f>
        <v>132409400</v>
      </c>
      <c r="G347" s="5">
        <f t="shared" si="1"/>
        <v>80</v>
      </c>
    </row>
    <row r="348">
      <c r="A348" s="4">
        <f>IFERROR(__xludf.DUMMYFUNCTION("""COMPUTED_VALUE"""),44356.625)</f>
        <v>44356.625</v>
      </c>
      <c r="B348" s="5">
        <f>IFERROR(__xludf.DUMMYFUNCTION("""COMPUTED_VALUE"""),3340.0)</f>
        <v>3340</v>
      </c>
      <c r="C348" s="5">
        <f>IFERROR(__xludf.DUMMYFUNCTION("""COMPUTED_VALUE"""),3400.0)</f>
        <v>3400</v>
      </c>
      <c r="D348" s="5">
        <f>IFERROR(__xludf.DUMMYFUNCTION("""COMPUTED_VALUE"""),3310.0)</f>
        <v>3310</v>
      </c>
      <c r="E348" s="5">
        <f>IFERROR(__xludf.DUMMYFUNCTION("""COMPUTED_VALUE"""),3390.0)</f>
        <v>3390</v>
      </c>
      <c r="F348" s="5">
        <f>IFERROR(__xludf.DUMMYFUNCTION("""COMPUTED_VALUE"""),1.122042E8)</f>
        <v>112204200</v>
      </c>
      <c r="G348" s="5">
        <f t="shared" si="1"/>
        <v>190</v>
      </c>
    </row>
    <row r="349">
      <c r="A349" s="4">
        <f>IFERROR(__xludf.DUMMYFUNCTION("""COMPUTED_VALUE"""),44357.625)</f>
        <v>44357.625</v>
      </c>
      <c r="B349" s="5">
        <f>IFERROR(__xludf.DUMMYFUNCTION("""COMPUTED_VALUE"""),3350.0)</f>
        <v>3350</v>
      </c>
      <c r="C349" s="5">
        <f>IFERROR(__xludf.DUMMYFUNCTION("""COMPUTED_VALUE"""),3500.0)</f>
        <v>3500</v>
      </c>
      <c r="D349" s="5">
        <f>IFERROR(__xludf.DUMMYFUNCTION("""COMPUTED_VALUE"""),3340.0)</f>
        <v>3340</v>
      </c>
      <c r="E349" s="5">
        <f>IFERROR(__xludf.DUMMYFUNCTION("""COMPUTED_VALUE"""),3480.0)</f>
        <v>3480</v>
      </c>
      <c r="F349" s="5">
        <f>IFERROR(__xludf.DUMMYFUNCTION("""COMPUTED_VALUE"""),1.377137E8)</f>
        <v>137713700</v>
      </c>
      <c r="G349" s="5">
        <f t="shared" si="1"/>
        <v>160</v>
      </c>
    </row>
    <row r="350">
      <c r="A350" s="4">
        <f>IFERROR(__xludf.DUMMYFUNCTION("""COMPUTED_VALUE"""),44358.625)</f>
        <v>44358.625</v>
      </c>
      <c r="B350" s="5">
        <f>IFERROR(__xludf.DUMMYFUNCTION("""COMPUTED_VALUE"""),3490.0)</f>
        <v>3490</v>
      </c>
      <c r="C350" s="5">
        <f>IFERROR(__xludf.DUMMYFUNCTION("""COMPUTED_VALUE"""),3500.0)</f>
        <v>3500</v>
      </c>
      <c r="D350" s="5">
        <f>IFERROR(__xludf.DUMMYFUNCTION("""COMPUTED_VALUE"""),3420.0)</f>
        <v>3420</v>
      </c>
      <c r="E350" s="5">
        <f>IFERROR(__xludf.DUMMYFUNCTION("""COMPUTED_VALUE"""),3470.0)</f>
        <v>3470</v>
      </c>
      <c r="F350" s="5">
        <f>IFERROR(__xludf.DUMMYFUNCTION("""COMPUTED_VALUE"""),8.23366E7)</f>
        <v>82336600</v>
      </c>
      <c r="G350" s="5">
        <f t="shared" si="1"/>
        <v>80</v>
      </c>
    </row>
    <row r="351">
      <c r="A351" s="4">
        <f>IFERROR(__xludf.DUMMYFUNCTION("""COMPUTED_VALUE"""),44361.66666666667)</f>
        <v>44361.66667</v>
      </c>
      <c r="B351" s="5">
        <f>IFERROR(__xludf.DUMMYFUNCTION("""COMPUTED_VALUE"""),3460.0)</f>
        <v>3460</v>
      </c>
      <c r="C351" s="5">
        <f>IFERROR(__xludf.DUMMYFUNCTION("""COMPUTED_VALUE"""),3470.0)</f>
        <v>3470</v>
      </c>
      <c r="D351" s="5">
        <f>IFERROR(__xludf.DUMMYFUNCTION("""COMPUTED_VALUE"""),3400.0)</f>
        <v>3400</v>
      </c>
      <c r="E351" s="5">
        <f>IFERROR(__xludf.DUMMYFUNCTION("""COMPUTED_VALUE"""),3410.0)</f>
        <v>3410</v>
      </c>
      <c r="F351" s="5">
        <f>IFERROR(__xludf.DUMMYFUNCTION("""COMPUTED_VALUE"""),4.60165E7)</f>
        <v>46016500</v>
      </c>
      <c r="G351" s="5">
        <f t="shared" si="1"/>
        <v>70</v>
      </c>
    </row>
    <row r="352">
      <c r="A352" s="4">
        <f>IFERROR(__xludf.DUMMYFUNCTION("""COMPUTED_VALUE"""),44362.625)</f>
        <v>44362.625</v>
      </c>
      <c r="B352" s="5">
        <f>IFERROR(__xludf.DUMMYFUNCTION("""COMPUTED_VALUE"""),3410.0)</f>
        <v>3410</v>
      </c>
      <c r="C352" s="5">
        <f>IFERROR(__xludf.DUMMYFUNCTION("""COMPUTED_VALUE"""),3440.0)</f>
        <v>3440</v>
      </c>
      <c r="D352" s="5">
        <f>IFERROR(__xludf.DUMMYFUNCTION("""COMPUTED_VALUE"""),3380.0)</f>
        <v>3380</v>
      </c>
      <c r="E352" s="5">
        <f>IFERROR(__xludf.DUMMYFUNCTION("""COMPUTED_VALUE"""),3440.0)</f>
        <v>3440</v>
      </c>
      <c r="F352" s="5">
        <f>IFERROR(__xludf.DUMMYFUNCTION("""COMPUTED_VALUE"""),6.05286E7)</f>
        <v>60528600</v>
      </c>
      <c r="G352" s="5">
        <f t="shared" si="1"/>
        <v>60</v>
      </c>
    </row>
    <row r="353">
      <c r="A353" s="4">
        <f>IFERROR(__xludf.DUMMYFUNCTION("""COMPUTED_VALUE"""),44363.625)</f>
        <v>44363.625</v>
      </c>
      <c r="B353" s="5">
        <f>IFERROR(__xludf.DUMMYFUNCTION("""COMPUTED_VALUE"""),3380.0)</f>
        <v>3380</v>
      </c>
      <c r="C353" s="5">
        <f>IFERROR(__xludf.DUMMYFUNCTION("""COMPUTED_VALUE"""),3430.0)</f>
        <v>3430</v>
      </c>
      <c r="D353" s="5">
        <f>IFERROR(__xludf.DUMMYFUNCTION("""COMPUTED_VALUE"""),3380.0)</f>
        <v>3380</v>
      </c>
      <c r="E353" s="5">
        <f>IFERROR(__xludf.DUMMYFUNCTION("""COMPUTED_VALUE"""),3410.0)</f>
        <v>3410</v>
      </c>
      <c r="F353" s="5">
        <f>IFERROR(__xludf.DUMMYFUNCTION("""COMPUTED_VALUE"""),3.91498E7)</f>
        <v>39149800</v>
      </c>
      <c r="G353" s="5">
        <f t="shared" si="1"/>
        <v>60</v>
      </c>
    </row>
    <row r="354">
      <c r="A354" s="4">
        <f>IFERROR(__xludf.DUMMYFUNCTION("""COMPUTED_VALUE"""),44364.625)</f>
        <v>44364.625</v>
      </c>
      <c r="B354" s="5">
        <f>IFERROR(__xludf.DUMMYFUNCTION("""COMPUTED_VALUE"""),3370.0)</f>
        <v>3370</v>
      </c>
      <c r="C354" s="5">
        <f>IFERROR(__xludf.DUMMYFUNCTION("""COMPUTED_VALUE"""),3420.0)</f>
        <v>3420</v>
      </c>
      <c r="D354" s="5">
        <f>IFERROR(__xludf.DUMMYFUNCTION("""COMPUTED_VALUE"""),3350.0)</f>
        <v>3350</v>
      </c>
      <c r="E354" s="5">
        <f>IFERROR(__xludf.DUMMYFUNCTION("""COMPUTED_VALUE"""),3350.0)</f>
        <v>3350</v>
      </c>
      <c r="F354" s="5">
        <f>IFERROR(__xludf.DUMMYFUNCTION("""COMPUTED_VALUE"""),5.02861E7)</f>
        <v>50286100</v>
      </c>
      <c r="G354" s="5">
        <f t="shared" si="1"/>
        <v>70</v>
      </c>
    </row>
    <row r="355">
      <c r="A355" s="4">
        <f>IFERROR(__xludf.DUMMYFUNCTION("""COMPUTED_VALUE"""),44365.625)</f>
        <v>44365.625</v>
      </c>
      <c r="B355" s="5">
        <f>IFERROR(__xludf.DUMMYFUNCTION("""COMPUTED_VALUE"""),3350.0)</f>
        <v>3350</v>
      </c>
      <c r="C355" s="5">
        <f>IFERROR(__xludf.DUMMYFUNCTION("""COMPUTED_VALUE"""),3400.0)</f>
        <v>3400</v>
      </c>
      <c r="D355" s="5">
        <f>IFERROR(__xludf.DUMMYFUNCTION("""COMPUTED_VALUE"""),3290.0)</f>
        <v>3290</v>
      </c>
      <c r="E355" s="5">
        <f>IFERROR(__xludf.DUMMYFUNCTION("""COMPUTED_VALUE"""),3350.0)</f>
        <v>3350</v>
      </c>
      <c r="F355" s="5">
        <f>IFERROR(__xludf.DUMMYFUNCTION("""COMPUTED_VALUE"""),1.684143E8)</f>
        <v>168414300</v>
      </c>
      <c r="G355" s="5">
        <f t="shared" si="1"/>
        <v>110</v>
      </c>
    </row>
    <row r="356">
      <c r="A356" s="4">
        <f>IFERROR(__xludf.DUMMYFUNCTION("""COMPUTED_VALUE"""),44368.66666666667)</f>
        <v>44368.66667</v>
      </c>
      <c r="B356" s="5">
        <f>IFERROR(__xludf.DUMMYFUNCTION("""COMPUTED_VALUE"""),3280.0)</f>
        <v>3280</v>
      </c>
      <c r="C356" s="5">
        <f>IFERROR(__xludf.DUMMYFUNCTION("""COMPUTED_VALUE"""),3340.0)</f>
        <v>3340</v>
      </c>
      <c r="D356" s="5">
        <f>IFERROR(__xludf.DUMMYFUNCTION("""COMPUTED_VALUE"""),3260.0)</f>
        <v>3260</v>
      </c>
      <c r="E356" s="5">
        <f>IFERROR(__xludf.DUMMYFUNCTION("""COMPUTED_VALUE"""),3300.0)</f>
        <v>3300</v>
      </c>
      <c r="F356" s="5">
        <f>IFERROR(__xludf.DUMMYFUNCTION("""COMPUTED_VALUE"""),7.42482E7)</f>
        <v>74248200</v>
      </c>
      <c r="G356" s="5">
        <f t="shared" si="1"/>
        <v>90</v>
      </c>
    </row>
    <row r="357">
      <c r="A357" s="4">
        <f>IFERROR(__xludf.DUMMYFUNCTION("""COMPUTED_VALUE"""),44369.625)</f>
        <v>44369.625</v>
      </c>
      <c r="B357" s="5">
        <f>IFERROR(__xludf.DUMMYFUNCTION("""COMPUTED_VALUE"""),3300.0)</f>
        <v>3300</v>
      </c>
      <c r="C357" s="5">
        <f>IFERROR(__xludf.DUMMYFUNCTION("""COMPUTED_VALUE"""),3370.0)</f>
        <v>3370</v>
      </c>
      <c r="D357" s="5">
        <f>IFERROR(__xludf.DUMMYFUNCTION("""COMPUTED_VALUE"""),3290.0)</f>
        <v>3290</v>
      </c>
      <c r="E357" s="5">
        <f>IFERROR(__xludf.DUMMYFUNCTION("""COMPUTED_VALUE"""),3300.0)</f>
        <v>3300</v>
      </c>
      <c r="F357" s="5">
        <f>IFERROR(__xludf.DUMMYFUNCTION("""COMPUTED_VALUE"""),8.93492E7)</f>
        <v>89349200</v>
      </c>
      <c r="G357" s="5">
        <f t="shared" si="1"/>
        <v>80</v>
      </c>
    </row>
    <row r="358">
      <c r="A358" s="4">
        <f>IFERROR(__xludf.DUMMYFUNCTION("""COMPUTED_VALUE"""),44370.625)</f>
        <v>44370.625</v>
      </c>
      <c r="B358" s="5">
        <f>IFERROR(__xludf.DUMMYFUNCTION("""COMPUTED_VALUE"""),3310.0)</f>
        <v>3310</v>
      </c>
      <c r="C358" s="5">
        <f>IFERROR(__xludf.DUMMYFUNCTION("""COMPUTED_VALUE"""),3420.0)</f>
        <v>3420</v>
      </c>
      <c r="D358" s="5">
        <f>IFERROR(__xludf.DUMMYFUNCTION("""COMPUTED_VALUE"""),3310.0)</f>
        <v>3310</v>
      </c>
      <c r="E358" s="5">
        <f>IFERROR(__xludf.DUMMYFUNCTION("""COMPUTED_VALUE"""),3370.0)</f>
        <v>3370</v>
      </c>
      <c r="F358" s="5">
        <f>IFERROR(__xludf.DUMMYFUNCTION("""COMPUTED_VALUE"""),8.1901E7)</f>
        <v>81901000</v>
      </c>
      <c r="G358" s="5">
        <f t="shared" si="1"/>
        <v>120</v>
      </c>
    </row>
    <row r="359">
      <c r="A359" s="4">
        <f>IFERROR(__xludf.DUMMYFUNCTION("""COMPUTED_VALUE"""),44371.625)</f>
        <v>44371.625</v>
      </c>
      <c r="B359" s="5">
        <f>IFERROR(__xludf.DUMMYFUNCTION("""COMPUTED_VALUE"""),3330.0)</f>
        <v>3330</v>
      </c>
      <c r="C359" s="5">
        <f>IFERROR(__xludf.DUMMYFUNCTION("""COMPUTED_VALUE"""),3360.0)</f>
        <v>3360</v>
      </c>
      <c r="D359" s="5">
        <f>IFERROR(__xludf.DUMMYFUNCTION("""COMPUTED_VALUE"""),3240.0)</f>
        <v>3240</v>
      </c>
      <c r="E359" s="5">
        <f>IFERROR(__xludf.DUMMYFUNCTION("""COMPUTED_VALUE"""),3250.0)</f>
        <v>3250</v>
      </c>
      <c r="F359" s="5">
        <f>IFERROR(__xludf.DUMMYFUNCTION("""COMPUTED_VALUE"""),1.013342E8)</f>
        <v>101334200</v>
      </c>
      <c r="G359" s="5">
        <f t="shared" si="1"/>
        <v>130</v>
      </c>
    </row>
    <row r="360">
      <c r="A360" s="4">
        <f>IFERROR(__xludf.DUMMYFUNCTION("""COMPUTED_VALUE"""),44372.625)</f>
        <v>44372.625</v>
      </c>
      <c r="B360" s="5">
        <f>IFERROR(__xludf.DUMMYFUNCTION("""COMPUTED_VALUE"""),3250.0)</f>
        <v>3250</v>
      </c>
      <c r="C360" s="5">
        <f>IFERROR(__xludf.DUMMYFUNCTION("""COMPUTED_VALUE"""),3300.0)</f>
        <v>3300</v>
      </c>
      <c r="D360" s="5">
        <f>IFERROR(__xludf.DUMMYFUNCTION("""COMPUTED_VALUE"""),3240.0)</f>
        <v>3240</v>
      </c>
      <c r="E360" s="5">
        <f>IFERROR(__xludf.DUMMYFUNCTION("""COMPUTED_VALUE"""),3250.0)</f>
        <v>3250</v>
      </c>
      <c r="F360" s="5">
        <f>IFERROR(__xludf.DUMMYFUNCTION("""COMPUTED_VALUE"""),5.83307E7)</f>
        <v>58330700</v>
      </c>
      <c r="G360" s="5">
        <f t="shared" si="1"/>
        <v>60</v>
      </c>
    </row>
    <row r="361">
      <c r="A361" s="4">
        <f>IFERROR(__xludf.DUMMYFUNCTION("""COMPUTED_VALUE"""),44375.66666666667)</f>
        <v>44375.66667</v>
      </c>
      <c r="B361" s="5">
        <f>IFERROR(__xludf.DUMMYFUNCTION("""COMPUTED_VALUE"""),3250.0)</f>
        <v>3250</v>
      </c>
      <c r="C361" s="5">
        <f>IFERROR(__xludf.DUMMYFUNCTION("""COMPUTED_VALUE"""),3260.0)</f>
        <v>3260</v>
      </c>
      <c r="D361" s="5">
        <f>IFERROR(__xludf.DUMMYFUNCTION("""COMPUTED_VALUE"""),3170.0)</f>
        <v>3170</v>
      </c>
      <c r="E361" s="5">
        <f>IFERROR(__xludf.DUMMYFUNCTION("""COMPUTED_VALUE"""),3170.0)</f>
        <v>3170</v>
      </c>
      <c r="F361" s="5">
        <f>IFERROR(__xludf.DUMMYFUNCTION("""COMPUTED_VALUE"""),6.63389E7)</f>
        <v>66338900</v>
      </c>
      <c r="G361" s="5">
        <f t="shared" si="1"/>
        <v>90</v>
      </c>
    </row>
    <row r="362">
      <c r="A362" s="4">
        <f>IFERROR(__xludf.DUMMYFUNCTION("""COMPUTED_VALUE"""),44376.625)</f>
        <v>44376.625</v>
      </c>
      <c r="B362" s="5">
        <f>IFERROR(__xludf.DUMMYFUNCTION("""COMPUTED_VALUE"""),3190.0)</f>
        <v>3190</v>
      </c>
      <c r="C362" s="5">
        <f>IFERROR(__xludf.DUMMYFUNCTION("""COMPUTED_VALUE"""),3260.0)</f>
        <v>3260</v>
      </c>
      <c r="D362" s="5">
        <f>IFERROR(__xludf.DUMMYFUNCTION("""COMPUTED_VALUE"""),3150.0)</f>
        <v>3150</v>
      </c>
      <c r="E362" s="5">
        <f>IFERROR(__xludf.DUMMYFUNCTION("""COMPUTED_VALUE"""),3160.0)</f>
        <v>3160</v>
      </c>
      <c r="F362" s="5">
        <f>IFERROR(__xludf.DUMMYFUNCTION("""COMPUTED_VALUE"""),1.234112E8)</f>
        <v>123411200</v>
      </c>
      <c r="G362" s="5">
        <f t="shared" si="1"/>
        <v>110</v>
      </c>
    </row>
    <row r="363">
      <c r="A363" s="4">
        <f>IFERROR(__xludf.DUMMYFUNCTION("""COMPUTED_VALUE"""),44377.625)</f>
        <v>44377.625</v>
      </c>
      <c r="B363" s="5">
        <f>IFERROR(__xludf.DUMMYFUNCTION("""COMPUTED_VALUE"""),3150.0)</f>
        <v>3150</v>
      </c>
      <c r="C363" s="5">
        <f>IFERROR(__xludf.DUMMYFUNCTION("""COMPUTED_VALUE"""),3180.0)</f>
        <v>3180</v>
      </c>
      <c r="D363" s="5">
        <f>IFERROR(__xludf.DUMMYFUNCTION("""COMPUTED_VALUE"""),3130.0)</f>
        <v>3130</v>
      </c>
      <c r="E363" s="5">
        <f>IFERROR(__xludf.DUMMYFUNCTION("""COMPUTED_VALUE"""),3150.0)</f>
        <v>3150</v>
      </c>
      <c r="F363" s="5">
        <f>IFERROR(__xludf.DUMMYFUNCTION("""COMPUTED_VALUE"""),1.422045E8)</f>
        <v>142204500</v>
      </c>
      <c r="G363" s="5">
        <f t="shared" si="1"/>
        <v>50</v>
      </c>
    </row>
    <row r="364">
      <c r="A364" s="4">
        <f>IFERROR(__xludf.DUMMYFUNCTION("""COMPUTED_VALUE"""),44378.625)</f>
        <v>44378.625</v>
      </c>
      <c r="B364" s="5">
        <f>IFERROR(__xludf.DUMMYFUNCTION("""COMPUTED_VALUE"""),3160.0)</f>
        <v>3160</v>
      </c>
      <c r="C364" s="5">
        <f>IFERROR(__xludf.DUMMYFUNCTION("""COMPUTED_VALUE"""),3170.0)</f>
        <v>3170</v>
      </c>
      <c r="D364" s="5">
        <f>IFERROR(__xludf.DUMMYFUNCTION("""COMPUTED_VALUE"""),3090.0)</f>
        <v>3090</v>
      </c>
      <c r="E364" s="5">
        <f>IFERROR(__xludf.DUMMYFUNCTION("""COMPUTED_VALUE"""),3110.0)</f>
        <v>3110</v>
      </c>
      <c r="F364" s="5">
        <f>IFERROR(__xludf.DUMMYFUNCTION("""COMPUTED_VALUE"""),1.436659E8)</f>
        <v>143665900</v>
      </c>
      <c r="G364" s="5">
        <f t="shared" si="1"/>
        <v>80</v>
      </c>
    </row>
    <row r="365">
      <c r="A365" s="4">
        <f>IFERROR(__xludf.DUMMYFUNCTION("""COMPUTED_VALUE"""),44379.625)</f>
        <v>44379.625</v>
      </c>
      <c r="B365" s="5">
        <f>IFERROR(__xludf.DUMMYFUNCTION("""COMPUTED_VALUE"""),3110.0)</f>
        <v>3110</v>
      </c>
      <c r="C365" s="5">
        <f>IFERROR(__xludf.DUMMYFUNCTION("""COMPUTED_VALUE"""),3130.0)</f>
        <v>3130</v>
      </c>
      <c r="D365" s="5">
        <f>IFERROR(__xludf.DUMMYFUNCTION("""COMPUTED_VALUE"""),3060.0)</f>
        <v>3060</v>
      </c>
      <c r="E365" s="5">
        <f>IFERROR(__xludf.DUMMYFUNCTION("""COMPUTED_VALUE"""),3070.0)</f>
        <v>3070</v>
      </c>
      <c r="F365" s="5">
        <f>IFERROR(__xludf.DUMMYFUNCTION("""COMPUTED_VALUE"""),1.618557E8)</f>
        <v>161855700</v>
      </c>
      <c r="G365" s="5">
        <f t="shared" si="1"/>
        <v>70</v>
      </c>
    </row>
    <row r="366">
      <c r="A366" s="4">
        <f>IFERROR(__xludf.DUMMYFUNCTION("""COMPUTED_VALUE"""),44382.625)</f>
        <v>44382.625</v>
      </c>
      <c r="B366" s="5">
        <f>IFERROR(__xludf.DUMMYFUNCTION("""COMPUTED_VALUE"""),3070.0)</f>
        <v>3070</v>
      </c>
      <c r="C366" s="5">
        <f>IFERROR(__xludf.DUMMYFUNCTION("""COMPUTED_VALUE"""),3090.0)</f>
        <v>3090</v>
      </c>
      <c r="D366" s="5">
        <f>IFERROR(__xludf.DUMMYFUNCTION("""COMPUTED_VALUE"""),3010.0)</f>
        <v>3010</v>
      </c>
      <c r="E366" s="5">
        <f>IFERROR(__xludf.DUMMYFUNCTION("""COMPUTED_VALUE"""),3040.0)</f>
        <v>3040</v>
      </c>
      <c r="F366" s="5">
        <f>IFERROR(__xludf.DUMMYFUNCTION("""COMPUTED_VALUE"""),1.33815E8)</f>
        <v>133815000</v>
      </c>
      <c r="G366" s="5">
        <f t="shared" si="1"/>
        <v>80</v>
      </c>
    </row>
    <row r="367">
      <c r="A367" s="4">
        <f>IFERROR(__xludf.DUMMYFUNCTION("""COMPUTED_VALUE"""),44383.625)</f>
        <v>44383.625</v>
      </c>
      <c r="B367" s="5">
        <f>IFERROR(__xludf.DUMMYFUNCTION("""COMPUTED_VALUE"""),3050.0)</f>
        <v>3050</v>
      </c>
      <c r="C367" s="5">
        <f>IFERROR(__xludf.DUMMYFUNCTION("""COMPUTED_VALUE"""),3070.0)</f>
        <v>3070</v>
      </c>
      <c r="D367" s="5">
        <f>IFERROR(__xludf.DUMMYFUNCTION("""COMPUTED_VALUE"""),3000.0)</f>
        <v>3000</v>
      </c>
      <c r="E367" s="5">
        <f>IFERROR(__xludf.DUMMYFUNCTION("""COMPUTED_VALUE"""),3010.0)</f>
        <v>3010</v>
      </c>
      <c r="F367" s="5">
        <f>IFERROR(__xludf.DUMMYFUNCTION("""COMPUTED_VALUE"""),1.515735E8)</f>
        <v>151573500</v>
      </c>
      <c r="G367" s="5">
        <f t="shared" si="1"/>
        <v>70</v>
      </c>
    </row>
    <row r="368">
      <c r="A368" s="4">
        <f>IFERROR(__xludf.DUMMYFUNCTION("""COMPUTED_VALUE"""),44384.625)</f>
        <v>44384.625</v>
      </c>
      <c r="B368" s="5">
        <f>IFERROR(__xludf.DUMMYFUNCTION("""COMPUTED_VALUE"""),3030.0)</f>
        <v>3030</v>
      </c>
      <c r="C368" s="5">
        <f>IFERROR(__xludf.DUMMYFUNCTION("""COMPUTED_VALUE"""),3070.0)</f>
        <v>3070</v>
      </c>
      <c r="D368" s="5">
        <f>IFERROR(__xludf.DUMMYFUNCTION("""COMPUTED_VALUE"""),3010.0)</f>
        <v>3010</v>
      </c>
      <c r="E368" s="5">
        <f>IFERROR(__xludf.DUMMYFUNCTION("""COMPUTED_VALUE"""),3030.0)</f>
        <v>3030</v>
      </c>
      <c r="F368" s="5">
        <f>IFERROR(__xludf.DUMMYFUNCTION("""COMPUTED_VALUE"""),1.102155E8)</f>
        <v>110215500</v>
      </c>
      <c r="G368" s="5">
        <f t="shared" si="1"/>
        <v>60</v>
      </c>
    </row>
    <row r="369">
      <c r="A369" s="4">
        <f>IFERROR(__xludf.DUMMYFUNCTION("""COMPUTED_VALUE"""),44385.625)</f>
        <v>44385.625</v>
      </c>
      <c r="B369" s="5">
        <f>IFERROR(__xludf.DUMMYFUNCTION("""COMPUTED_VALUE"""),3060.0)</f>
        <v>3060</v>
      </c>
      <c r="C369" s="5">
        <f>IFERROR(__xludf.DUMMYFUNCTION("""COMPUTED_VALUE"""),3060.0)</f>
        <v>3060</v>
      </c>
      <c r="D369" s="5">
        <f>IFERROR(__xludf.DUMMYFUNCTION("""COMPUTED_VALUE"""),3000.0)</f>
        <v>3000</v>
      </c>
      <c r="E369" s="5">
        <f>IFERROR(__xludf.DUMMYFUNCTION("""COMPUTED_VALUE"""),3010.0)</f>
        <v>3010</v>
      </c>
      <c r="F369" s="5">
        <f>IFERROR(__xludf.DUMMYFUNCTION("""COMPUTED_VALUE"""),1.325766E8)</f>
        <v>132576600</v>
      </c>
      <c r="G369" s="5">
        <f t="shared" si="1"/>
        <v>60</v>
      </c>
    </row>
    <row r="370">
      <c r="A370" s="4">
        <f>IFERROR(__xludf.DUMMYFUNCTION("""COMPUTED_VALUE"""),44386.625)</f>
        <v>44386.625</v>
      </c>
      <c r="B370" s="5">
        <f>IFERROR(__xludf.DUMMYFUNCTION("""COMPUTED_VALUE"""),3040.0)</f>
        <v>3040</v>
      </c>
      <c r="C370" s="5">
        <f>IFERROR(__xludf.DUMMYFUNCTION("""COMPUTED_VALUE"""),3170.0)</f>
        <v>3170</v>
      </c>
      <c r="D370" s="5">
        <f>IFERROR(__xludf.DUMMYFUNCTION("""COMPUTED_VALUE"""),3030.0)</f>
        <v>3030</v>
      </c>
      <c r="E370" s="5">
        <f>IFERROR(__xludf.DUMMYFUNCTION("""COMPUTED_VALUE"""),3160.0)</f>
        <v>3160</v>
      </c>
      <c r="F370" s="5">
        <f>IFERROR(__xludf.DUMMYFUNCTION("""COMPUTED_VALUE"""),2.229164E8)</f>
        <v>222916400</v>
      </c>
      <c r="G370" s="5">
        <f t="shared" si="1"/>
        <v>160</v>
      </c>
    </row>
    <row r="371">
      <c r="A371" s="4">
        <f>IFERROR(__xludf.DUMMYFUNCTION("""COMPUTED_VALUE"""),44389.625)</f>
        <v>44389.625</v>
      </c>
      <c r="B371" s="5">
        <f>IFERROR(__xludf.DUMMYFUNCTION("""COMPUTED_VALUE"""),3190.0)</f>
        <v>3190</v>
      </c>
      <c r="C371" s="5">
        <f>IFERROR(__xludf.DUMMYFUNCTION("""COMPUTED_VALUE"""),3190.0)</f>
        <v>3190</v>
      </c>
      <c r="D371" s="5">
        <f>IFERROR(__xludf.DUMMYFUNCTION("""COMPUTED_VALUE"""),3110.0)</f>
        <v>3110</v>
      </c>
      <c r="E371" s="5">
        <f>IFERROR(__xludf.DUMMYFUNCTION("""COMPUTED_VALUE"""),3130.0)</f>
        <v>3130</v>
      </c>
      <c r="F371" s="5">
        <f>IFERROR(__xludf.DUMMYFUNCTION("""COMPUTED_VALUE"""),8.6268E7)</f>
        <v>86268000</v>
      </c>
      <c r="G371" s="5">
        <f t="shared" si="1"/>
        <v>80</v>
      </c>
    </row>
    <row r="372">
      <c r="A372" s="4">
        <f>IFERROR(__xludf.DUMMYFUNCTION("""COMPUTED_VALUE"""),44390.625)</f>
        <v>44390.625</v>
      </c>
      <c r="B372" s="5">
        <f>IFERROR(__xludf.DUMMYFUNCTION("""COMPUTED_VALUE"""),3160.0)</f>
        <v>3160</v>
      </c>
      <c r="C372" s="5">
        <f>IFERROR(__xludf.DUMMYFUNCTION("""COMPUTED_VALUE"""),3160.0)</f>
        <v>3160</v>
      </c>
      <c r="D372" s="5">
        <f>IFERROR(__xludf.DUMMYFUNCTION("""COMPUTED_VALUE"""),3050.0)</f>
        <v>3050</v>
      </c>
      <c r="E372" s="5">
        <f>IFERROR(__xludf.DUMMYFUNCTION("""COMPUTED_VALUE"""),3070.0)</f>
        <v>3070</v>
      </c>
      <c r="F372" s="5">
        <f>IFERROR(__xludf.DUMMYFUNCTION("""COMPUTED_VALUE"""),8.28566E7)</f>
        <v>82856600</v>
      </c>
      <c r="G372" s="5">
        <f t="shared" si="1"/>
        <v>110</v>
      </c>
    </row>
    <row r="373">
      <c r="A373" s="4">
        <f>IFERROR(__xludf.DUMMYFUNCTION("""COMPUTED_VALUE"""),44391.625)</f>
        <v>44391.625</v>
      </c>
      <c r="B373" s="5">
        <f>IFERROR(__xludf.DUMMYFUNCTION("""COMPUTED_VALUE"""),3050.0)</f>
        <v>3050</v>
      </c>
      <c r="C373" s="5">
        <f>IFERROR(__xludf.DUMMYFUNCTION("""COMPUTED_VALUE"""),3070.0)</f>
        <v>3070</v>
      </c>
      <c r="D373" s="5">
        <f>IFERROR(__xludf.DUMMYFUNCTION("""COMPUTED_VALUE"""),3020.0)</f>
        <v>3020</v>
      </c>
      <c r="E373" s="5">
        <f>IFERROR(__xludf.DUMMYFUNCTION("""COMPUTED_VALUE"""),3060.0)</f>
        <v>3060</v>
      </c>
      <c r="F373" s="5">
        <f>IFERROR(__xludf.DUMMYFUNCTION("""COMPUTED_VALUE"""),8.49934E7)</f>
        <v>84993400</v>
      </c>
      <c r="G373" s="5">
        <f t="shared" si="1"/>
        <v>50</v>
      </c>
    </row>
    <row r="374">
      <c r="A374" s="4">
        <f>IFERROR(__xludf.DUMMYFUNCTION("""COMPUTED_VALUE"""),44392.625)</f>
        <v>44392.625</v>
      </c>
      <c r="B374" s="5">
        <f>IFERROR(__xludf.DUMMYFUNCTION("""COMPUTED_VALUE"""),3110.0)</f>
        <v>3110</v>
      </c>
      <c r="C374" s="5">
        <f>IFERROR(__xludf.DUMMYFUNCTION("""COMPUTED_VALUE"""),3140.0)</f>
        <v>3140</v>
      </c>
      <c r="D374" s="5">
        <f>IFERROR(__xludf.DUMMYFUNCTION("""COMPUTED_VALUE"""),3080.0)</f>
        <v>3080</v>
      </c>
      <c r="E374" s="5">
        <f>IFERROR(__xludf.DUMMYFUNCTION("""COMPUTED_VALUE"""),3130.0)</f>
        <v>3130</v>
      </c>
      <c r="F374" s="5">
        <f>IFERROR(__xludf.DUMMYFUNCTION("""COMPUTED_VALUE"""),8.80928E7)</f>
        <v>88092800</v>
      </c>
      <c r="G374" s="5">
        <f t="shared" si="1"/>
        <v>80</v>
      </c>
    </row>
    <row r="375">
      <c r="A375" s="4">
        <f>IFERROR(__xludf.DUMMYFUNCTION("""COMPUTED_VALUE"""),44393.625)</f>
        <v>44393.625</v>
      </c>
      <c r="B375" s="5">
        <f>IFERROR(__xludf.DUMMYFUNCTION("""COMPUTED_VALUE"""),3140.0)</f>
        <v>3140</v>
      </c>
      <c r="C375" s="5">
        <f>IFERROR(__xludf.DUMMYFUNCTION("""COMPUTED_VALUE"""),3170.0)</f>
        <v>3170</v>
      </c>
      <c r="D375" s="5">
        <f>IFERROR(__xludf.DUMMYFUNCTION("""COMPUTED_VALUE"""),3110.0)</f>
        <v>3110</v>
      </c>
      <c r="E375" s="5">
        <f>IFERROR(__xludf.DUMMYFUNCTION("""COMPUTED_VALUE"""),3170.0)</f>
        <v>3170</v>
      </c>
      <c r="F375" s="5">
        <f>IFERROR(__xludf.DUMMYFUNCTION("""COMPUTED_VALUE"""),6.36263E7)</f>
        <v>63626300</v>
      </c>
      <c r="G375" s="5">
        <f t="shared" si="1"/>
        <v>60</v>
      </c>
    </row>
    <row r="376">
      <c r="A376" s="4">
        <f>IFERROR(__xludf.DUMMYFUNCTION("""COMPUTED_VALUE"""),44396.625)</f>
        <v>44396.625</v>
      </c>
      <c r="B376" s="5">
        <f>IFERROR(__xludf.DUMMYFUNCTION("""COMPUTED_VALUE"""),3160.0)</f>
        <v>3160</v>
      </c>
      <c r="C376" s="5">
        <f>IFERROR(__xludf.DUMMYFUNCTION("""COMPUTED_VALUE"""),3230.0)</f>
        <v>3230</v>
      </c>
      <c r="D376" s="5">
        <f>IFERROR(__xludf.DUMMYFUNCTION("""COMPUTED_VALUE"""),3150.0)</f>
        <v>3150</v>
      </c>
      <c r="E376" s="5">
        <f>IFERROR(__xludf.DUMMYFUNCTION("""COMPUTED_VALUE"""),3220.0)</f>
        <v>3220</v>
      </c>
      <c r="F376" s="5">
        <f>IFERROR(__xludf.DUMMYFUNCTION("""COMPUTED_VALUE"""),1.162195E8)</f>
        <v>116219500</v>
      </c>
      <c r="G376" s="5">
        <f t="shared" si="1"/>
        <v>80</v>
      </c>
    </row>
    <row r="377">
      <c r="A377" s="4">
        <f>IFERROR(__xludf.DUMMYFUNCTION("""COMPUTED_VALUE"""),44398.625)</f>
        <v>44398.625</v>
      </c>
      <c r="B377" s="5">
        <f>IFERROR(__xludf.DUMMYFUNCTION("""COMPUTED_VALUE"""),3190.0)</f>
        <v>3190</v>
      </c>
      <c r="C377" s="5">
        <f>IFERROR(__xludf.DUMMYFUNCTION("""COMPUTED_VALUE"""),3240.0)</f>
        <v>3240</v>
      </c>
      <c r="D377" s="5">
        <f>IFERROR(__xludf.DUMMYFUNCTION("""COMPUTED_VALUE"""),3180.0)</f>
        <v>3180</v>
      </c>
      <c r="E377" s="5">
        <f>IFERROR(__xludf.DUMMYFUNCTION("""COMPUTED_VALUE"""),3210.0)</f>
        <v>3210</v>
      </c>
      <c r="F377" s="5">
        <f>IFERROR(__xludf.DUMMYFUNCTION("""COMPUTED_VALUE"""),1.150994E8)</f>
        <v>115099400</v>
      </c>
      <c r="G377" s="5">
        <f t="shared" si="1"/>
        <v>60</v>
      </c>
    </row>
    <row r="378">
      <c r="A378" s="4">
        <f>IFERROR(__xludf.DUMMYFUNCTION("""COMPUTED_VALUE"""),44399.625)</f>
        <v>44399.625</v>
      </c>
      <c r="B378" s="5">
        <f>IFERROR(__xludf.DUMMYFUNCTION("""COMPUTED_VALUE"""),3210.0)</f>
        <v>3210</v>
      </c>
      <c r="C378" s="5">
        <f>IFERROR(__xludf.DUMMYFUNCTION("""COMPUTED_VALUE"""),3260.0)</f>
        <v>3260</v>
      </c>
      <c r="D378" s="5">
        <f>IFERROR(__xludf.DUMMYFUNCTION("""COMPUTED_VALUE"""),3210.0)</f>
        <v>3210</v>
      </c>
      <c r="E378" s="5">
        <f>IFERROR(__xludf.DUMMYFUNCTION("""COMPUTED_VALUE"""),3260.0)</f>
        <v>3260</v>
      </c>
      <c r="F378" s="5">
        <f>IFERROR(__xludf.DUMMYFUNCTION("""COMPUTED_VALUE"""),4.88657E7)</f>
        <v>48865700</v>
      </c>
      <c r="G378" s="5">
        <f t="shared" si="1"/>
        <v>50</v>
      </c>
    </row>
    <row r="379">
      <c r="A379" s="4">
        <f>IFERROR(__xludf.DUMMYFUNCTION("""COMPUTED_VALUE"""),44400.625)</f>
        <v>44400.625</v>
      </c>
      <c r="B379" s="5">
        <f>IFERROR(__xludf.DUMMYFUNCTION("""COMPUTED_VALUE"""),3250.0)</f>
        <v>3250</v>
      </c>
      <c r="C379" s="5">
        <f>IFERROR(__xludf.DUMMYFUNCTION("""COMPUTED_VALUE"""),3250.0)</f>
        <v>3250</v>
      </c>
      <c r="D379" s="5">
        <f>IFERROR(__xludf.DUMMYFUNCTION("""COMPUTED_VALUE"""),3150.0)</f>
        <v>3150</v>
      </c>
      <c r="E379" s="5">
        <f>IFERROR(__xludf.DUMMYFUNCTION("""COMPUTED_VALUE"""),3170.0)</f>
        <v>3170</v>
      </c>
      <c r="F379" s="5">
        <f>IFERROR(__xludf.DUMMYFUNCTION("""COMPUTED_VALUE"""),6.71284E7)</f>
        <v>67128400</v>
      </c>
      <c r="G379" s="5">
        <f t="shared" si="1"/>
        <v>110</v>
      </c>
    </row>
    <row r="380">
      <c r="A380" s="4">
        <f>IFERROR(__xludf.DUMMYFUNCTION("""COMPUTED_VALUE"""),44403.625)</f>
        <v>44403.625</v>
      </c>
      <c r="B380" s="5">
        <f>IFERROR(__xludf.DUMMYFUNCTION("""COMPUTED_VALUE"""),3140.0)</f>
        <v>3140</v>
      </c>
      <c r="C380" s="5">
        <f>IFERROR(__xludf.DUMMYFUNCTION("""COMPUTED_VALUE"""),3200.0)</f>
        <v>3200</v>
      </c>
      <c r="D380" s="5">
        <f>IFERROR(__xludf.DUMMYFUNCTION("""COMPUTED_VALUE"""),3140.0)</f>
        <v>3140</v>
      </c>
      <c r="E380" s="5">
        <f>IFERROR(__xludf.DUMMYFUNCTION("""COMPUTED_VALUE"""),3190.0)</f>
        <v>3190</v>
      </c>
      <c r="F380" s="5">
        <f>IFERROR(__xludf.DUMMYFUNCTION("""COMPUTED_VALUE"""),5.55258E7)</f>
        <v>55525800</v>
      </c>
      <c r="G380" s="5">
        <f t="shared" si="1"/>
        <v>60</v>
      </c>
    </row>
    <row r="381">
      <c r="A381" s="4">
        <f>IFERROR(__xludf.DUMMYFUNCTION("""COMPUTED_VALUE"""),44404.625)</f>
        <v>44404.625</v>
      </c>
      <c r="B381" s="5">
        <f>IFERROR(__xludf.DUMMYFUNCTION("""COMPUTED_VALUE"""),3210.0)</f>
        <v>3210</v>
      </c>
      <c r="C381" s="5">
        <f>IFERROR(__xludf.DUMMYFUNCTION("""COMPUTED_VALUE"""),3270.0)</f>
        <v>3270</v>
      </c>
      <c r="D381" s="5">
        <f>IFERROR(__xludf.DUMMYFUNCTION("""COMPUTED_VALUE"""),3160.0)</f>
        <v>3160</v>
      </c>
      <c r="E381" s="5">
        <f>IFERROR(__xludf.DUMMYFUNCTION("""COMPUTED_VALUE"""),3270.0)</f>
        <v>3270</v>
      </c>
      <c r="F381" s="5">
        <f>IFERROR(__xludf.DUMMYFUNCTION("""COMPUTED_VALUE"""),6.26734E7)</f>
        <v>62673400</v>
      </c>
      <c r="G381" s="5">
        <f t="shared" si="1"/>
        <v>110</v>
      </c>
    </row>
    <row r="382">
      <c r="A382" s="4">
        <f>IFERROR(__xludf.DUMMYFUNCTION("""COMPUTED_VALUE"""),44405.625)</f>
        <v>44405.625</v>
      </c>
      <c r="B382" s="5">
        <f>IFERROR(__xludf.DUMMYFUNCTION("""COMPUTED_VALUE"""),3250.0)</f>
        <v>3250</v>
      </c>
      <c r="C382" s="5">
        <f>IFERROR(__xludf.DUMMYFUNCTION("""COMPUTED_VALUE"""),3250.0)</f>
        <v>3250</v>
      </c>
      <c r="D382" s="5">
        <f>IFERROR(__xludf.DUMMYFUNCTION("""COMPUTED_VALUE"""),3150.0)</f>
        <v>3150</v>
      </c>
      <c r="E382" s="5">
        <f>IFERROR(__xludf.DUMMYFUNCTION("""COMPUTED_VALUE"""),3190.0)</f>
        <v>3190</v>
      </c>
      <c r="F382" s="5">
        <f>IFERROR(__xludf.DUMMYFUNCTION("""COMPUTED_VALUE"""),1.032823E8)</f>
        <v>103282300</v>
      </c>
      <c r="G382" s="5">
        <f t="shared" si="1"/>
        <v>120</v>
      </c>
    </row>
    <row r="383">
      <c r="A383" s="4">
        <f>IFERROR(__xludf.DUMMYFUNCTION("""COMPUTED_VALUE"""),44406.625)</f>
        <v>44406.625</v>
      </c>
      <c r="B383" s="5">
        <f>IFERROR(__xludf.DUMMYFUNCTION("""COMPUTED_VALUE"""),3210.0)</f>
        <v>3210</v>
      </c>
      <c r="C383" s="5">
        <f>IFERROR(__xludf.DUMMYFUNCTION("""COMPUTED_VALUE"""),3290.0)</f>
        <v>3290</v>
      </c>
      <c r="D383" s="5">
        <f>IFERROR(__xludf.DUMMYFUNCTION("""COMPUTED_VALUE"""),3200.0)</f>
        <v>3200</v>
      </c>
      <c r="E383" s="5">
        <f>IFERROR(__xludf.DUMMYFUNCTION("""COMPUTED_VALUE"""),3230.0)</f>
        <v>3230</v>
      </c>
      <c r="F383" s="5">
        <f>IFERROR(__xludf.DUMMYFUNCTION("""COMPUTED_VALUE"""),1.265424E8)</f>
        <v>126542400</v>
      </c>
      <c r="G383" s="5">
        <f t="shared" si="1"/>
        <v>100</v>
      </c>
    </row>
    <row r="384">
      <c r="A384" s="4">
        <f>IFERROR(__xludf.DUMMYFUNCTION("""COMPUTED_VALUE"""),44407.625)</f>
        <v>44407.625</v>
      </c>
      <c r="B384" s="5">
        <f>IFERROR(__xludf.DUMMYFUNCTION("""COMPUTED_VALUE"""),3200.0)</f>
        <v>3200</v>
      </c>
      <c r="C384" s="5">
        <f>IFERROR(__xludf.DUMMYFUNCTION("""COMPUTED_VALUE"""),3290.0)</f>
        <v>3290</v>
      </c>
      <c r="D384" s="5">
        <f>IFERROR(__xludf.DUMMYFUNCTION("""COMPUTED_VALUE"""),3200.0)</f>
        <v>3200</v>
      </c>
      <c r="E384" s="5">
        <f>IFERROR(__xludf.DUMMYFUNCTION("""COMPUTED_VALUE"""),3240.0)</f>
        <v>3240</v>
      </c>
      <c r="F384" s="5">
        <f>IFERROR(__xludf.DUMMYFUNCTION("""COMPUTED_VALUE"""),9.51431E7)</f>
        <v>95143100</v>
      </c>
      <c r="G384" s="5">
        <f t="shared" si="1"/>
        <v>90</v>
      </c>
    </row>
    <row r="385">
      <c r="A385" s="4">
        <f>IFERROR(__xludf.DUMMYFUNCTION("""COMPUTED_VALUE"""),44410.625)</f>
        <v>44410.625</v>
      </c>
      <c r="B385" s="5">
        <f>IFERROR(__xludf.DUMMYFUNCTION("""COMPUTED_VALUE"""),3240.0)</f>
        <v>3240</v>
      </c>
      <c r="C385" s="5">
        <f>IFERROR(__xludf.DUMMYFUNCTION("""COMPUTED_VALUE"""),3310.0)</f>
        <v>3310</v>
      </c>
      <c r="D385" s="5">
        <f>IFERROR(__xludf.DUMMYFUNCTION("""COMPUTED_VALUE"""),3210.0)</f>
        <v>3210</v>
      </c>
      <c r="E385" s="5">
        <f>IFERROR(__xludf.DUMMYFUNCTION("""COMPUTED_VALUE"""),3310.0)</f>
        <v>3310</v>
      </c>
      <c r="F385" s="5">
        <f>IFERROR(__xludf.DUMMYFUNCTION("""COMPUTED_VALUE"""),6.03682E7)</f>
        <v>60368200</v>
      </c>
      <c r="G385" s="5">
        <f t="shared" si="1"/>
        <v>100</v>
      </c>
    </row>
    <row r="386">
      <c r="A386" s="4">
        <f>IFERROR(__xludf.DUMMYFUNCTION("""COMPUTED_VALUE"""),44411.625)</f>
        <v>44411.625</v>
      </c>
      <c r="B386" s="5">
        <f>IFERROR(__xludf.DUMMYFUNCTION("""COMPUTED_VALUE"""),3310.0)</f>
        <v>3310</v>
      </c>
      <c r="C386" s="5">
        <f>IFERROR(__xludf.DUMMYFUNCTION("""COMPUTED_VALUE"""),3360.0)</f>
        <v>3360</v>
      </c>
      <c r="D386" s="5">
        <f>IFERROR(__xludf.DUMMYFUNCTION("""COMPUTED_VALUE"""),3290.0)</f>
        <v>3290</v>
      </c>
      <c r="E386" s="5">
        <f>IFERROR(__xludf.DUMMYFUNCTION("""COMPUTED_VALUE"""),3330.0)</f>
        <v>3330</v>
      </c>
      <c r="F386" s="5">
        <f>IFERROR(__xludf.DUMMYFUNCTION("""COMPUTED_VALUE"""),8.97125E7)</f>
        <v>89712500</v>
      </c>
      <c r="G386" s="5">
        <f t="shared" si="1"/>
        <v>70</v>
      </c>
    </row>
    <row r="387">
      <c r="A387" s="4">
        <f>IFERROR(__xludf.DUMMYFUNCTION("""COMPUTED_VALUE"""),44412.625)</f>
        <v>44412.625</v>
      </c>
      <c r="B387" s="5">
        <f>IFERROR(__xludf.DUMMYFUNCTION("""COMPUTED_VALUE"""),3330.0)</f>
        <v>3330</v>
      </c>
      <c r="C387" s="5">
        <f>IFERROR(__xludf.DUMMYFUNCTION("""COMPUTED_VALUE"""),3370.0)</f>
        <v>3370</v>
      </c>
      <c r="D387" s="5">
        <f>IFERROR(__xludf.DUMMYFUNCTION("""COMPUTED_VALUE"""),3310.0)</f>
        <v>3310</v>
      </c>
      <c r="E387" s="5">
        <f>IFERROR(__xludf.DUMMYFUNCTION("""COMPUTED_VALUE"""),3370.0)</f>
        <v>3370</v>
      </c>
      <c r="F387" s="5">
        <f>IFERROR(__xludf.DUMMYFUNCTION("""COMPUTED_VALUE"""),6.31086E7)</f>
        <v>63108600</v>
      </c>
      <c r="G387" s="5">
        <f t="shared" si="1"/>
        <v>60</v>
      </c>
    </row>
    <row r="388">
      <c r="A388" s="4">
        <f>IFERROR(__xludf.DUMMYFUNCTION("""COMPUTED_VALUE"""),44413.625)</f>
        <v>44413.625</v>
      </c>
      <c r="B388" s="5">
        <f>IFERROR(__xludf.DUMMYFUNCTION("""COMPUTED_VALUE"""),3360.0)</f>
        <v>3360</v>
      </c>
      <c r="C388" s="5">
        <f>IFERROR(__xludf.DUMMYFUNCTION("""COMPUTED_VALUE"""),3400.0)</f>
        <v>3400</v>
      </c>
      <c r="D388" s="5">
        <f>IFERROR(__xludf.DUMMYFUNCTION("""COMPUTED_VALUE"""),3320.0)</f>
        <v>3320</v>
      </c>
      <c r="E388" s="5">
        <f>IFERROR(__xludf.DUMMYFUNCTION("""COMPUTED_VALUE"""),3340.0)</f>
        <v>3340</v>
      </c>
      <c r="F388" s="5">
        <f>IFERROR(__xludf.DUMMYFUNCTION("""COMPUTED_VALUE"""),8.97428E7)</f>
        <v>89742800</v>
      </c>
      <c r="G388" s="5">
        <f t="shared" si="1"/>
        <v>80</v>
      </c>
    </row>
    <row r="389">
      <c r="A389" s="4">
        <f>IFERROR(__xludf.DUMMYFUNCTION("""COMPUTED_VALUE"""),44414.625)</f>
        <v>44414.625</v>
      </c>
      <c r="B389" s="5">
        <f>IFERROR(__xludf.DUMMYFUNCTION("""COMPUTED_VALUE"""),3360.0)</f>
        <v>3360</v>
      </c>
      <c r="C389" s="5">
        <f>IFERROR(__xludf.DUMMYFUNCTION("""COMPUTED_VALUE"""),3380.0)</f>
        <v>3380</v>
      </c>
      <c r="D389" s="5">
        <f>IFERROR(__xludf.DUMMYFUNCTION("""COMPUTED_VALUE"""),3310.0)</f>
        <v>3310</v>
      </c>
      <c r="E389" s="5">
        <f>IFERROR(__xludf.DUMMYFUNCTION("""COMPUTED_VALUE"""),3320.0)</f>
        <v>3320</v>
      </c>
      <c r="F389" s="5">
        <f>IFERROR(__xludf.DUMMYFUNCTION("""COMPUTED_VALUE"""),3.16642E7)</f>
        <v>31664200</v>
      </c>
      <c r="G389" s="5">
        <f t="shared" si="1"/>
        <v>70</v>
      </c>
    </row>
    <row r="390">
      <c r="A390" s="4">
        <f>IFERROR(__xludf.DUMMYFUNCTION("""COMPUTED_VALUE"""),44417.625)</f>
        <v>44417.625</v>
      </c>
      <c r="B390" s="5">
        <f>IFERROR(__xludf.DUMMYFUNCTION("""COMPUTED_VALUE"""),3260.0)</f>
        <v>3260</v>
      </c>
      <c r="C390" s="5">
        <f>IFERROR(__xludf.DUMMYFUNCTION("""COMPUTED_VALUE"""),3300.0)</f>
        <v>3300</v>
      </c>
      <c r="D390" s="5">
        <f>IFERROR(__xludf.DUMMYFUNCTION("""COMPUTED_VALUE"""),3220.0)</f>
        <v>3220</v>
      </c>
      <c r="E390" s="5">
        <f>IFERROR(__xludf.DUMMYFUNCTION("""COMPUTED_VALUE"""),3250.0)</f>
        <v>3250</v>
      </c>
      <c r="F390" s="5">
        <f>IFERROR(__xludf.DUMMYFUNCTION("""COMPUTED_VALUE"""),7.02995E7)</f>
        <v>70299500</v>
      </c>
      <c r="G390" s="5">
        <f t="shared" si="1"/>
        <v>100</v>
      </c>
    </row>
    <row r="391">
      <c r="A391" s="4">
        <f>IFERROR(__xludf.DUMMYFUNCTION("""COMPUTED_VALUE"""),44418.625)</f>
        <v>44418.625</v>
      </c>
      <c r="B391" s="5">
        <f>IFERROR(__xludf.DUMMYFUNCTION("""COMPUTED_VALUE"""),3240.0)</f>
        <v>3240</v>
      </c>
      <c r="C391" s="5">
        <f>IFERROR(__xludf.DUMMYFUNCTION("""COMPUTED_VALUE"""),3270.0)</f>
        <v>3270</v>
      </c>
      <c r="D391" s="5">
        <f>IFERROR(__xludf.DUMMYFUNCTION("""COMPUTED_VALUE"""),3190.0)</f>
        <v>3190</v>
      </c>
      <c r="E391" s="5">
        <f>IFERROR(__xludf.DUMMYFUNCTION("""COMPUTED_VALUE"""),3230.0)</f>
        <v>3230</v>
      </c>
      <c r="F391" s="5">
        <f>IFERROR(__xludf.DUMMYFUNCTION("""COMPUTED_VALUE"""),5.7658E7)</f>
        <v>57658000</v>
      </c>
      <c r="G391" s="5">
        <f t="shared" si="1"/>
        <v>80</v>
      </c>
    </row>
    <row r="392">
      <c r="A392" s="4">
        <f>IFERROR(__xludf.DUMMYFUNCTION("""COMPUTED_VALUE"""),44420.625)</f>
        <v>44420.625</v>
      </c>
      <c r="B392" s="5">
        <f>IFERROR(__xludf.DUMMYFUNCTION("""COMPUTED_VALUE"""),3260.0)</f>
        <v>3260</v>
      </c>
      <c r="C392" s="5">
        <f>IFERROR(__xludf.DUMMYFUNCTION("""COMPUTED_VALUE"""),3350.0)</f>
        <v>3350</v>
      </c>
      <c r="D392" s="5">
        <f>IFERROR(__xludf.DUMMYFUNCTION("""COMPUTED_VALUE"""),3240.0)</f>
        <v>3240</v>
      </c>
      <c r="E392" s="5">
        <f>IFERROR(__xludf.DUMMYFUNCTION("""COMPUTED_VALUE"""),3350.0)</f>
        <v>3350</v>
      </c>
      <c r="F392" s="5">
        <f>IFERROR(__xludf.DUMMYFUNCTION("""COMPUTED_VALUE"""),9.31334E7)</f>
        <v>93133400</v>
      </c>
      <c r="G392" s="5">
        <f t="shared" si="1"/>
        <v>120</v>
      </c>
    </row>
    <row r="393">
      <c r="A393" s="4">
        <f>IFERROR(__xludf.DUMMYFUNCTION("""COMPUTED_VALUE"""),44421.625)</f>
        <v>44421.625</v>
      </c>
      <c r="B393" s="5">
        <f>IFERROR(__xludf.DUMMYFUNCTION("""COMPUTED_VALUE"""),3370.0)</f>
        <v>3370</v>
      </c>
      <c r="C393" s="5">
        <f>IFERROR(__xludf.DUMMYFUNCTION("""COMPUTED_VALUE"""),3380.0)</f>
        <v>3380</v>
      </c>
      <c r="D393" s="5">
        <f>IFERROR(__xludf.DUMMYFUNCTION("""COMPUTED_VALUE"""),3260.0)</f>
        <v>3260</v>
      </c>
      <c r="E393" s="5">
        <f>IFERROR(__xludf.DUMMYFUNCTION("""COMPUTED_VALUE"""),3300.0)</f>
        <v>3300</v>
      </c>
      <c r="F393" s="5">
        <f>IFERROR(__xludf.DUMMYFUNCTION("""COMPUTED_VALUE"""),5.99036E7)</f>
        <v>59903600</v>
      </c>
      <c r="G393" s="5">
        <f t="shared" si="1"/>
        <v>120</v>
      </c>
    </row>
    <row r="394">
      <c r="A394" s="4">
        <f>IFERROR(__xludf.DUMMYFUNCTION("""COMPUTED_VALUE"""),44424.625)</f>
        <v>44424.625</v>
      </c>
      <c r="B394" s="5">
        <f>IFERROR(__xludf.DUMMYFUNCTION("""COMPUTED_VALUE"""),3300.0)</f>
        <v>3300</v>
      </c>
      <c r="C394" s="5">
        <f>IFERROR(__xludf.DUMMYFUNCTION("""COMPUTED_VALUE"""),3340.0)</f>
        <v>3340</v>
      </c>
      <c r="D394" s="5">
        <f>IFERROR(__xludf.DUMMYFUNCTION("""COMPUTED_VALUE"""),3290.0)</f>
        <v>3290</v>
      </c>
      <c r="E394" s="5">
        <f>IFERROR(__xludf.DUMMYFUNCTION("""COMPUTED_VALUE"""),3340.0)</f>
        <v>3340</v>
      </c>
      <c r="F394" s="5">
        <f>IFERROR(__xludf.DUMMYFUNCTION("""COMPUTED_VALUE"""),3.86618E7)</f>
        <v>38661800</v>
      </c>
      <c r="G394" s="5">
        <f t="shared" si="1"/>
        <v>50</v>
      </c>
    </row>
    <row r="395">
      <c r="A395" s="4">
        <f>IFERROR(__xludf.DUMMYFUNCTION("""COMPUTED_VALUE"""),44426.625)</f>
        <v>44426.625</v>
      </c>
      <c r="B395" s="5">
        <f>IFERROR(__xludf.DUMMYFUNCTION("""COMPUTED_VALUE"""),3360.0)</f>
        <v>3360</v>
      </c>
      <c r="C395" s="5">
        <f>IFERROR(__xludf.DUMMYFUNCTION("""COMPUTED_VALUE"""),3440.0)</f>
        <v>3440</v>
      </c>
      <c r="D395" s="5">
        <f>IFERROR(__xludf.DUMMYFUNCTION("""COMPUTED_VALUE"""),3350.0)</f>
        <v>3350</v>
      </c>
      <c r="E395" s="5">
        <f>IFERROR(__xludf.DUMMYFUNCTION("""COMPUTED_VALUE"""),3420.0)</f>
        <v>3420</v>
      </c>
      <c r="F395" s="5">
        <f>IFERROR(__xludf.DUMMYFUNCTION("""COMPUTED_VALUE"""),1.629213E8)</f>
        <v>162921300</v>
      </c>
      <c r="G395" s="5">
        <f t="shared" si="1"/>
        <v>100</v>
      </c>
    </row>
    <row r="396">
      <c r="A396" s="4">
        <f>IFERROR(__xludf.DUMMYFUNCTION("""COMPUTED_VALUE"""),44427.625)</f>
        <v>44427.625</v>
      </c>
      <c r="B396" s="5">
        <f>IFERROR(__xludf.DUMMYFUNCTION("""COMPUTED_VALUE"""),3410.0)</f>
        <v>3410</v>
      </c>
      <c r="C396" s="5">
        <f>IFERROR(__xludf.DUMMYFUNCTION("""COMPUTED_VALUE"""),3430.0)</f>
        <v>3430</v>
      </c>
      <c r="D396" s="5">
        <f>IFERROR(__xludf.DUMMYFUNCTION("""COMPUTED_VALUE"""),3360.0)</f>
        <v>3360</v>
      </c>
      <c r="E396" s="5">
        <f>IFERROR(__xludf.DUMMYFUNCTION("""COMPUTED_VALUE"""),3390.0)</f>
        <v>3390</v>
      </c>
      <c r="F396" s="5">
        <f>IFERROR(__xludf.DUMMYFUNCTION("""COMPUTED_VALUE"""),1.008518E8)</f>
        <v>100851800</v>
      </c>
      <c r="G396" s="5">
        <f t="shared" si="1"/>
        <v>70</v>
      </c>
    </row>
    <row r="397">
      <c r="A397" s="4">
        <f>IFERROR(__xludf.DUMMYFUNCTION("""COMPUTED_VALUE"""),44428.625)</f>
        <v>44428.625</v>
      </c>
      <c r="B397" s="5">
        <f>IFERROR(__xludf.DUMMYFUNCTION("""COMPUTED_VALUE"""),3390.0)</f>
        <v>3390</v>
      </c>
      <c r="C397" s="5">
        <f>IFERROR(__xludf.DUMMYFUNCTION("""COMPUTED_VALUE"""),3430.0)</f>
        <v>3430</v>
      </c>
      <c r="D397" s="5">
        <f>IFERROR(__xludf.DUMMYFUNCTION("""COMPUTED_VALUE"""),3370.0)</f>
        <v>3370</v>
      </c>
      <c r="E397" s="5">
        <f>IFERROR(__xludf.DUMMYFUNCTION("""COMPUTED_VALUE"""),3400.0)</f>
        <v>3400</v>
      </c>
      <c r="F397" s="5">
        <f>IFERROR(__xludf.DUMMYFUNCTION("""COMPUTED_VALUE"""),1.13411E8)</f>
        <v>113411000</v>
      </c>
      <c r="G397" s="5">
        <f t="shared" si="1"/>
        <v>60</v>
      </c>
    </row>
    <row r="398">
      <c r="A398" s="4">
        <f>IFERROR(__xludf.DUMMYFUNCTION("""COMPUTED_VALUE"""),44431.66666666667)</f>
        <v>44431.66667</v>
      </c>
      <c r="B398" s="5">
        <f>IFERROR(__xludf.DUMMYFUNCTION("""COMPUTED_VALUE"""),3420.0)</f>
        <v>3420</v>
      </c>
      <c r="C398" s="5">
        <f>IFERROR(__xludf.DUMMYFUNCTION("""COMPUTED_VALUE"""),3440.0)</f>
        <v>3440</v>
      </c>
      <c r="D398" s="5">
        <f>IFERROR(__xludf.DUMMYFUNCTION("""COMPUTED_VALUE"""),3400.0)</f>
        <v>3400</v>
      </c>
      <c r="E398" s="5">
        <f>IFERROR(__xludf.DUMMYFUNCTION("""COMPUTED_VALUE"""),3440.0)</f>
        <v>3440</v>
      </c>
      <c r="F398" s="5">
        <f>IFERROR(__xludf.DUMMYFUNCTION("""COMPUTED_VALUE"""),6.41224E7)</f>
        <v>64122400</v>
      </c>
      <c r="G398" s="5">
        <f t="shared" si="1"/>
        <v>40</v>
      </c>
    </row>
    <row r="399">
      <c r="A399" s="4">
        <f>IFERROR(__xludf.DUMMYFUNCTION("""COMPUTED_VALUE"""),44432.66666666667)</f>
        <v>44432.66667</v>
      </c>
      <c r="B399" s="5">
        <f>IFERROR(__xludf.DUMMYFUNCTION("""COMPUTED_VALUE"""),3410.0)</f>
        <v>3410</v>
      </c>
      <c r="C399" s="5">
        <f>IFERROR(__xludf.DUMMYFUNCTION("""COMPUTED_VALUE"""),3420.0)</f>
        <v>3420</v>
      </c>
      <c r="D399" s="5">
        <f>IFERROR(__xludf.DUMMYFUNCTION("""COMPUTED_VALUE"""),3310.0)</f>
        <v>3310</v>
      </c>
      <c r="E399" s="5">
        <f>IFERROR(__xludf.DUMMYFUNCTION("""COMPUTED_VALUE"""),3400.0)</f>
        <v>3400</v>
      </c>
      <c r="F399" s="5">
        <f>IFERROR(__xludf.DUMMYFUNCTION("""COMPUTED_VALUE"""),6.93381E7)</f>
        <v>69338100</v>
      </c>
      <c r="G399" s="5">
        <f t="shared" si="1"/>
        <v>130</v>
      </c>
    </row>
    <row r="400">
      <c r="A400" s="4">
        <f>IFERROR(__xludf.DUMMYFUNCTION("""COMPUTED_VALUE"""),44433.625)</f>
        <v>44433.625</v>
      </c>
      <c r="B400" s="5">
        <f>IFERROR(__xludf.DUMMYFUNCTION("""COMPUTED_VALUE"""),3390.0)</f>
        <v>3390</v>
      </c>
      <c r="C400" s="5">
        <f>IFERROR(__xludf.DUMMYFUNCTION("""COMPUTED_VALUE"""),3390.0)</f>
        <v>3390</v>
      </c>
      <c r="D400" s="5">
        <f>IFERROR(__xludf.DUMMYFUNCTION("""COMPUTED_VALUE"""),3330.0)</f>
        <v>3330</v>
      </c>
      <c r="E400" s="5">
        <f>IFERROR(__xludf.DUMMYFUNCTION("""COMPUTED_VALUE"""),3370.0)</f>
        <v>3370</v>
      </c>
      <c r="F400" s="5">
        <f>IFERROR(__xludf.DUMMYFUNCTION("""COMPUTED_VALUE"""),6.66182E7)</f>
        <v>66618200</v>
      </c>
      <c r="G400" s="5">
        <f t="shared" si="1"/>
        <v>70</v>
      </c>
    </row>
    <row r="401">
      <c r="A401" s="4">
        <f>IFERROR(__xludf.DUMMYFUNCTION("""COMPUTED_VALUE"""),44434.625)</f>
        <v>44434.625</v>
      </c>
      <c r="B401" s="5">
        <f>IFERROR(__xludf.DUMMYFUNCTION("""COMPUTED_VALUE"""),3330.0)</f>
        <v>3330</v>
      </c>
      <c r="C401" s="5">
        <f>IFERROR(__xludf.DUMMYFUNCTION("""COMPUTED_VALUE"""),3360.0)</f>
        <v>3360</v>
      </c>
      <c r="D401" s="5">
        <f>IFERROR(__xludf.DUMMYFUNCTION("""COMPUTED_VALUE"""),3320.0)</f>
        <v>3320</v>
      </c>
      <c r="E401" s="5">
        <f>IFERROR(__xludf.DUMMYFUNCTION("""COMPUTED_VALUE"""),3360.0)</f>
        <v>3360</v>
      </c>
      <c r="F401" s="5">
        <f>IFERROR(__xludf.DUMMYFUNCTION("""COMPUTED_VALUE"""),5.57561E7)</f>
        <v>55756100</v>
      </c>
      <c r="G401" s="5">
        <f t="shared" si="1"/>
        <v>50</v>
      </c>
    </row>
    <row r="402">
      <c r="A402" s="4">
        <f>IFERROR(__xludf.DUMMYFUNCTION("""COMPUTED_VALUE"""),44435.625)</f>
        <v>44435.625</v>
      </c>
      <c r="B402" s="5">
        <f>IFERROR(__xludf.DUMMYFUNCTION("""COMPUTED_VALUE"""),3370.0)</f>
        <v>3370</v>
      </c>
      <c r="C402" s="5">
        <f>IFERROR(__xludf.DUMMYFUNCTION("""COMPUTED_VALUE"""),3370.0)</f>
        <v>3370</v>
      </c>
      <c r="D402" s="5">
        <f>IFERROR(__xludf.DUMMYFUNCTION("""COMPUTED_VALUE"""),3310.0)</f>
        <v>3310</v>
      </c>
      <c r="E402" s="5">
        <f>IFERROR(__xludf.DUMMYFUNCTION("""COMPUTED_VALUE"""),3320.0)</f>
        <v>3320</v>
      </c>
      <c r="F402" s="5">
        <f>IFERROR(__xludf.DUMMYFUNCTION("""COMPUTED_VALUE"""),6.2419E7)</f>
        <v>62419000</v>
      </c>
      <c r="G402" s="5">
        <f t="shared" si="1"/>
        <v>60</v>
      </c>
    </row>
    <row r="403">
      <c r="A403" s="4">
        <f>IFERROR(__xludf.DUMMYFUNCTION("""COMPUTED_VALUE"""),44438.625)</f>
        <v>44438.625</v>
      </c>
      <c r="B403" s="5">
        <f>IFERROR(__xludf.DUMMYFUNCTION("""COMPUTED_VALUE"""),3330.0)</f>
        <v>3330</v>
      </c>
      <c r="C403" s="5">
        <f>IFERROR(__xludf.DUMMYFUNCTION("""COMPUTED_VALUE"""),3400.0)</f>
        <v>3400</v>
      </c>
      <c r="D403" s="5">
        <f>IFERROR(__xludf.DUMMYFUNCTION("""COMPUTED_VALUE"""),3330.0)</f>
        <v>3330</v>
      </c>
      <c r="E403" s="5">
        <f>IFERROR(__xludf.DUMMYFUNCTION("""COMPUTED_VALUE"""),3400.0)</f>
        <v>3400</v>
      </c>
      <c r="F403" s="5">
        <f>IFERROR(__xludf.DUMMYFUNCTION("""COMPUTED_VALUE"""),6.41777E7)</f>
        <v>64177700</v>
      </c>
      <c r="G403" s="5">
        <f t="shared" si="1"/>
        <v>80</v>
      </c>
    </row>
    <row r="404">
      <c r="A404" s="4">
        <f>IFERROR(__xludf.DUMMYFUNCTION("""COMPUTED_VALUE"""),44439.625)</f>
        <v>44439.625</v>
      </c>
      <c r="B404" s="5">
        <f>IFERROR(__xludf.DUMMYFUNCTION("""COMPUTED_VALUE"""),3400.0)</f>
        <v>3400</v>
      </c>
      <c r="C404" s="5">
        <f>IFERROR(__xludf.DUMMYFUNCTION("""COMPUTED_VALUE"""),3420.0)</f>
        <v>3420</v>
      </c>
      <c r="D404" s="5">
        <f>IFERROR(__xludf.DUMMYFUNCTION("""COMPUTED_VALUE"""),3360.0)</f>
        <v>3360</v>
      </c>
      <c r="E404" s="5">
        <f>IFERROR(__xludf.DUMMYFUNCTION("""COMPUTED_VALUE"""),3400.0)</f>
        <v>3400</v>
      </c>
      <c r="F404" s="5">
        <f>IFERROR(__xludf.DUMMYFUNCTION("""COMPUTED_VALUE"""),1.30019E8)</f>
        <v>130019000</v>
      </c>
      <c r="G404" s="5">
        <f t="shared" si="1"/>
        <v>60</v>
      </c>
    </row>
    <row r="405">
      <c r="A405" s="4">
        <f>IFERROR(__xludf.DUMMYFUNCTION("""COMPUTED_VALUE"""),44440.625)</f>
        <v>44440.625</v>
      </c>
      <c r="B405" s="5">
        <f>IFERROR(__xludf.DUMMYFUNCTION("""COMPUTED_VALUE"""),3420.0)</f>
        <v>3420</v>
      </c>
      <c r="C405" s="5">
        <f>IFERROR(__xludf.DUMMYFUNCTION("""COMPUTED_VALUE"""),3420.0)</f>
        <v>3420</v>
      </c>
      <c r="D405" s="5">
        <f>IFERROR(__xludf.DUMMYFUNCTION("""COMPUTED_VALUE"""),3330.0)</f>
        <v>3330</v>
      </c>
      <c r="E405" s="5">
        <f>IFERROR(__xludf.DUMMYFUNCTION("""COMPUTED_VALUE"""),3340.0)</f>
        <v>3340</v>
      </c>
      <c r="F405" s="5">
        <f>IFERROR(__xludf.DUMMYFUNCTION("""COMPUTED_VALUE"""),8.51352E7)</f>
        <v>85135200</v>
      </c>
      <c r="G405" s="5">
        <f t="shared" si="1"/>
        <v>90</v>
      </c>
    </row>
    <row r="406">
      <c r="A406" s="4">
        <f>IFERROR(__xludf.DUMMYFUNCTION("""COMPUTED_VALUE"""),44441.625)</f>
        <v>44441.625</v>
      </c>
      <c r="B406" s="5">
        <f>IFERROR(__xludf.DUMMYFUNCTION("""COMPUTED_VALUE"""),3350.0)</f>
        <v>3350</v>
      </c>
      <c r="C406" s="5">
        <f>IFERROR(__xludf.DUMMYFUNCTION("""COMPUTED_VALUE"""),3390.0)</f>
        <v>3390</v>
      </c>
      <c r="D406" s="5">
        <f>IFERROR(__xludf.DUMMYFUNCTION("""COMPUTED_VALUE"""),3350.0)</f>
        <v>3350</v>
      </c>
      <c r="E406" s="5">
        <f>IFERROR(__xludf.DUMMYFUNCTION("""COMPUTED_VALUE"""),3370.0)</f>
        <v>3370</v>
      </c>
      <c r="F406" s="5">
        <f>IFERROR(__xludf.DUMMYFUNCTION("""COMPUTED_VALUE"""),5.16338E7)</f>
        <v>51633800</v>
      </c>
      <c r="G406" s="5">
        <f t="shared" si="1"/>
        <v>50</v>
      </c>
    </row>
    <row r="407">
      <c r="A407" s="4">
        <f>IFERROR(__xludf.DUMMYFUNCTION("""COMPUTED_VALUE"""),44442.625)</f>
        <v>44442.625</v>
      </c>
      <c r="B407" s="5">
        <f>IFERROR(__xludf.DUMMYFUNCTION("""COMPUTED_VALUE"""),3400.0)</f>
        <v>3400</v>
      </c>
      <c r="C407" s="5">
        <f>IFERROR(__xludf.DUMMYFUNCTION("""COMPUTED_VALUE"""),3420.0)</f>
        <v>3420</v>
      </c>
      <c r="D407" s="5">
        <f>IFERROR(__xludf.DUMMYFUNCTION("""COMPUTED_VALUE"""),3370.0)</f>
        <v>3370</v>
      </c>
      <c r="E407" s="5">
        <f>IFERROR(__xludf.DUMMYFUNCTION("""COMPUTED_VALUE"""),3390.0)</f>
        <v>3390</v>
      </c>
      <c r="F407" s="5">
        <f>IFERROR(__xludf.DUMMYFUNCTION("""COMPUTED_VALUE"""),6.54798E7)</f>
        <v>65479800</v>
      </c>
      <c r="G407" s="5">
        <f t="shared" si="1"/>
        <v>50</v>
      </c>
    </row>
    <row r="408">
      <c r="A408" s="4">
        <f>IFERROR(__xludf.DUMMYFUNCTION("""COMPUTED_VALUE"""),44445.625)</f>
        <v>44445.625</v>
      </c>
      <c r="B408" s="5">
        <f>IFERROR(__xludf.DUMMYFUNCTION("""COMPUTED_VALUE"""),3410.0)</f>
        <v>3410</v>
      </c>
      <c r="C408" s="5">
        <f>IFERROR(__xludf.DUMMYFUNCTION("""COMPUTED_VALUE"""),3410.0)</f>
        <v>3410</v>
      </c>
      <c r="D408" s="5">
        <f>IFERROR(__xludf.DUMMYFUNCTION("""COMPUTED_VALUE"""),3380.0)</f>
        <v>3380</v>
      </c>
      <c r="E408" s="5">
        <f>IFERROR(__xludf.DUMMYFUNCTION("""COMPUTED_VALUE"""),3390.0)</f>
        <v>3390</v>
      </c>
      <c r="F408" s="5">
        <f>IFERROR(__xludf.DUMMYFUNCTION("""COMPUTED_VALUE"""),5.26404E7)</f>
        <v>52640400</v>
      </c>
      <c r="G408" s="5">
        <f t="shared" si="1"/>
        <v>30</v>
      </c>
    </row>
    <row r="409">
      <c r="A409" s="4">
        <f>IFERROR(__xludf.DUMMYFUNCTION("""COMPUTED_VALUE"""),44446.625)</f>
        <v>44446.625</v>
      </c>
      <c r="B409" s="5">
        <f>IFERROR(__xludf.DUMMYFUNCTION("""COMPUTED_VALUE"""),3410.0)</f>
        <v>3410</v>
      </c>
      <c r="C409" s="5">
        <f>IFERROR(__xludf.DUMMYFUNCTION("""COMPUTED_VALUE"""),3410.0)</f>
        <v>3410</v>
      </c>
      <c r="D409" s="5">
        <f>IFERROR(__xludf.DUMMYFUNCTION("""COMPUTED_VALUE"""),3360.0)</f>
        <v>3360</v>
      </c>
      <c r="E409" s="5">
        <f>IFERROR(__xludf.DUMMYFUNCTION("""COMPUTED_VALUE"""),3380.0)</f>
        <v>3380</v>
      </c>
      <c r="F409" s="5">
        <f>IFERROR(__xludf.DUMMYFUNCTION("""COMPUTED_VALUE"""),4.26174E7)</f>
        <v>42617400</v>
      </c>
      <c r="G409" s="5">
        <f t="shared" si="1"/>
        <v>50</v>
      </c>
    </row>
    <row r="410">
      <c r="A410" s="4">
        <f>IFERROR(__xludf.DUMMYFUNCTION("""COMPUTED_VALUE"""),44447.625)</f>
        <v>44447.625</v>
      </c>
      <c r="B410" s="5">
        <f>IFERROR(__xludf.DUMMYFUNCTION("""COMPUTED_VALUE"""),3400.0)</f>
        <v>3400</v>
      </c>
      <c r="C410" s="5">
        <f>IFERROR(__xludf.DUMMYFUNCTION("""COMPUTED_VALUE"""),3400.0)</f>
        <v>3400</v>
      </c>
      <c r="D410" s="5">
        <f>IFERROR(__xludf.DUMMYFUNCTION("""COMPUTED_VALUE"""),3310.0)</f>
        <v>3310</v>
      </c>
      <c r="E410" s="5">
        <f>IFERROR(__xludf.DUMMYFUNCTION("""COMPUTED_VALUE"""),3330.0)</f>
        <v>3330</v>
      </c>
      <c r="F410" s="5">
        <f>IFERROR(__xludf.DUMMYFUNCTION("""COMPUTED_VALUE"""),8.06368E7)</f>
        <v>80636800</v>
      </c>
      <c r="G410" s="5">
        <f t="shared" si="1"/>
        <v>90</v>
      </c>
    </row>
    <row r="411">
      <c r="A411" s="4">
        <f>IFERROR(__xludf.DUMMYFUNCTION("""COMPUTED_VALUE"""),44448.625)</f>
        <v>44448.625</v>
      </c>
      <c r="B411" s="5">
        <f>IFERROR(__xludf.DUMMYFUNCTION("""COMPUTED_VALUE"""),3360.0)</f>
        <v>3360</v>
      </c>
      <c r="C411" s="5">
        <f>IFERROR(__xludf.DUMMYFUNCTION("""COMPUTED_VALUE"""),3390.0)</f>
        <v>3390</v>
      </c>
      <c r="D411" s="5">
        <f>IFERROR(__xludf.DUMMYFUNCTION("""COMPUTED_VALUE"""),3330.0)</f>
        <v>3330</v>
      </c>
      <c r="E411" s="5">
        <f>IFERROR(__xludf.DUMMYFUNCTION("""COMPUTED_VALUE"""),3390.0)</f>
        <v>3390</v>
      </c>
      <c r="F411" s="5">
        <f>IFERROR(__xludf.DUMMYFUNCTION("""COMPUTED_VALUE"""),8.22144E7)</f>
        <v>82214400</v>
      </c>
      <c r="G411" s="5">
        <f t="shared" si="1"/>
        <v>60</v>
      </c>
    </row>
    <row r="412">
      <c r="A412" s="4">
        <f>IFERROR(__xludf.DUMMYFUNCTION("""COMPUTED_VALUE"""),44449.625)</f>
        <v>44449.625</v>
      </c>
      <c r="B412" s="5">
        <f>IFERROR(__xludf.DUMMYFUNCTION("""COMPUTED_VALUE"""),3380.0)</f>
        <v>3380</v>
      </c>
      <c r="C412" s="5">
        <f>IFERROR(__xludf.DUMMYFUNCTION("""COMPUTED_VALUE"""),3390.0)</f>
        <v>3390</v>
      </c>
      <c r="D412" s="5">
        <f>IFERROR(__xludf.DUMMYFUNCTION("""COMPUTED_VALUE"""),3320.0)</f>
        <v>3320</v>
      </c>
      <c r="E412" s="5">
        <f>IFERROR(__xludf.DUMMYFUNCTION("""COMPUTED_VALUE"""),3330.0)</f>
        <v>3330</v>
      </c>
      <c r="F412" s="5">
        <f>IFERROR(__xludf.DUMMYFUNCTION("""COMPUTED_VALUE"""),5.21153E7)</f>
        <v>52115300</v>
      </c>
      <c r="G412" s="5">
        <f t="shared" si="1"/>
        <v>70</v>
      </c>
    </row>
    <row r="413">
      <c r="A413" s="4">
        <f>IFERROR(__xludf.DUMMYFUNCTION("""COMPUTED_VALUE"""),44452.625)</f>
        <v>44452.625</v>
      </c>
      <c r="B413" s="5">
        <f>IFERROR(__xludf.DUMMYFUNCTION("""COMPUTED_VALUE"""),3310.0)</f>
        <v>3310</v>
      </c>
      <c r="C413" s="5">
        <f>IFERROR(__xludf.DUMMYFUNCTION("""COMPUTED_VALUE"""),3350.0)</f>
        <v>3350</v>
      </c>
      <c r="D413" s="5">
        <f>IFERROR(__xludf.DUMMYFUNCTION("""COMPUTED_VALUE"""),3300.0)</f>
        <v>3300</v>
      </c>
      <c r="E413" s="5">
        <f>IFERROR(__xludf.DUMMYFUNCTION("""COMPUTED_VALUE"""),3350.0)</f>
        <v>3350</v>
      </c>
      <c r="F413" s="5">
        <f>IFERROR(__xludf.DUMMYFUNCTION("""COMPUTED_VALUE"""),4.55472E7)</f>
        <v>45547200</v>
      </c>
      <c r="G413" s="5">
        <f t="shared" si="1"/>
        <v>50</v>
      </c>
    </row>
    <row r="414">
      <c r="A414" s="4">
        <f>IFERROR(__xludf.DUMMYFUNCTION("""COMPUTED_VALUE"""),44453.625)</f>
        <v>44453.625</v>
      </c>
      <c r="B414" s="5">
        <f>IFERROR(__xludf.DUMMYFUNCTION("""COMPUTED_VALUE"""),3380.0)</f>
        <v>3380</v>
      </c>
      <c r="C414" s="5">
        <f>IFERROR(__xludf.DUMMYFUNCTION("""COMPUTED_VALUE"""),3450.0)</f>
        <v>3450</v>
      </c>
      <c r="D414" s="5">
        <f>IFERROR(__xludf.DUMMYFUNCTION("""COMPUTED_VALUE"""),3350.0)</f>
        <v>3350</v>
      </c>
      <c r="E414" s="5">
        <f>IFERROR(__xludf.DUMMYFUNCTION("""COMPUTED_VALUE"""),3440.0)</f>
        <v>3440</v>
      </c>
      <c r="F414" s="5">
        <f>IFERROR(__xludf.DUMMYFUNCTION("""COMPUTED_VALUE"""),1.660021E8)</f>
        <v>166002100</v>
      </c>
      <c r="G414" s="5">
        <f t="shared" si="1"/>
        <v>100</v>
      </c>
    </row>
    <row r="415">
      <c r="A415" s="4">
        <f>IFERROR(__xludf.DUMMYFUNCTION("""COMPUTED_VALUE"""),44454.625)</f>
        <v>44454.625</v>
      </c>
      <c r="B415" s="5">
        <f>IFERROR(__xludf.DUMMYFUNCTION("""COMPUTED_VALUE"""),3430.0)</f>
        <v>3430</v>
      </c>
      <c r="C415" s="5">
        <f>IFERROR(__xludf.DUMMYFUNCTION("""COMPUTED_VALUE"""),3450.0)</f>
        <v>3450</v>
      </c>
      <c r="D415" s="5">
        <f>IFERROR(__xludf.DUMMYFUNCTION("""COMPUTED_VALUE"""),3410.0)</f>
        <v>3410</v>
      </c>
      <c r="E415" s="5">
        <f>IFERROR(__xludf.DUMMYFUNCTION("""COMPUTED_VALUE"""),3450.0)</f>
        <v>3450</v>
      </c>
      <c r="F415" s="5">
        <f>IFERROR(__xludf.DUMMYFUNCTION("""COMPUTED_VALUE"""),7.31583E7)</f>
        <v>73158300</v>
      </c>
      <c r="G415" s="5">
        <f t="shared" si="1"/>
        <v>40</v>
      </c>
    </row>
    <row r="416">
      <c r="A416" s="4">
        <f>IFERROR(__xludf.DUMMYFUNCTION("""COMPUTED_VALUE"""),44455.625)</f>
        <v>44455.625</v>
      </c>
      <c r="B416" s="5">
        <f>IFERROR(__xludf.DUMMYFUNCTION("""COMPUTED_VALUE"""),3470.0)</f>
        <v>3470</v>
      </c>
      <c r="C416" s="5">
        <f>IFERROR(__xludf.DUMMYFUNCTION("""COMPUTED_VALUE"""),3470.0)</f>
        <v>3470</v>
      </c>
      <c r="D416" s="5">
        <f>IFERROR(__xludf.DUMMYFUNCTION("""COMPUTED_VALUE"""),3400.0)</f>
        <v>3400</v>
      </c>
      <c r="E416" s="5">
        <f>IFERROR(__xludf.DUMMYFUNCTION("""COMPUTED_VALUE"""),3440.0)</f>
        <v>3440</v>
      </c>
      <c r="F416" s="5">
        <f>IFERROR(__xludf.DUMMYFUNCTION("""COMPUTED_VALUE"""),5.83187E7)</f>
        <v>58318700</v>
      </c>
      <c r="G416" s="5">
        <f t="shared" si="1"/>
        <v>70</v>
      </c>
    </row>
    <row r="417">
      <c r="A417" s="4">
        <f>IFERROR(__xludf.DUMMYFUNCTION("""COMPUTED_VALUE"""),44456.625)</f>
        <v>44456.625</v>
      </c>
      <c r="B417" s="5">
        <f>IFERROR(__xludf.DUMMYFUNCTION("""COMPUTED_VALUE"""),3400.0)</f>
        <v>3400</v>
      </c>
      <c r="C417" s="5">
        <f>IFERROR(__xludf.DUMMYFUNCTION("""COMPUTED_VALUE"""),3530.0)</f>
        <v>3530</v>
      </c>
      <c r="D417" s="5">
        <f>IFERROR(__xludf.DUMMYFUNCTION("""COMPUTED_VALUE"""),3390.0)</f>
        <v>3390</v>
      </c>
      <c r="E417" s="5">
        <f>IFERROR(__xludf.DUMMYFUNCTION("""COMPUTED_VALUE"""),3530.0)</f>
        <v>3530</v>
      </c>
      <c r="F417" s="5">
        <f>IFERROR(__xludf.DUMMYFUNCTION("""COMPUTED_VALUE"""),1.175731E8)</f>
        <v>117573100</v>
      </c>
      <c r="G417" s="5">
        <f t="shared" si="1"/>
        <v>140</v>
      </c>
    </row>
    <row r="418">
      <c r="A418" s="4">
        <f>IFERROR(__xludf.DUMMYFUNCTION("""COMPUTED_VALUE"""),44459.625)</f>
        <v>44459.625</v>
      </c>
      <c r="B418" s="5">
        <f>IFERROR(__xludf.DUMMYFUNCTION("""COMPUTED_VALUE"""),3500.0)</f>
        <v>3500</v>
      </c>
      <c r="C418" s="5">
        <f>IFERROR(__xludf.DUMMYFUNCTION("""COMPUTED_VALUE"""),3520.0)</f>
        <v>3520</v>
      </c>
      <c r="D418" s="5">
        <f>IFERROR(__xludf.DUMMYFUNCTION("""COMPUTED_VALUE"""),3460.0)</f>
        <v>3460</v>
      </c>
      <c r="E418" s="5">
        <f>IFERROR(__xludf.DUMMYFUNCTION("""COMPUTED_VALUE"""),3520.0)</f>
        <v>3520</v>
      </c>
      <c r="F418" s="5">
        <f>IFERROR(__xludf.DUMMYFUNCTION("""COMPUTED_VALUE"""),8.39851E7)</f>
        <v>83985100</v>
      </c>
      <c r="G418" s="5">
        <f t="shared" si="1"/>
        <v>70</v>
      </c>
    </row>
    <row r="419">
      <c r="A419" s="4">
        <f>IFERROR(__xludf.DUMMYFUNCTION("""COMPUTED_VALUE"""),44460.625)</f>
        <v>44460.625</v>
      </c>
      <c r="B419" s="5">
        <f>IFERROR(__xludf.DUMMYFUNCTION("""COMPUTED_VALUE"""),3500.0)</f>
        <v>3500</v>
      </c>
      <c r="C419" s="5">
        <f>IFERROR(__xludf.DUMMYFUNCTION("""COMPUTED_VALUE"""),3560.0)</f>
        <v>3560</v>
      </c>
      <c r="D419" s="5">
        <f>IFERROR(__xludf.DUMMYFUNCTION("""COMPUTED_VALUE"""),3480.0)</f>
        <v>3480</v>
      </c>
      <c r="E419" s="5">
        <f>IFERROR(__xludf.DUMMYFUNCTION("""COMPUTED_VALUE"""),3530.0)</f>
        <v>3530</v>
      </c>
      <c r="F419" s="5">
        <f>IFERROR(__xludf.DUMMYFUNCTION("""COMPUTED_VALUE"""),9.58481E7)</f>
        <v>95848100</v>
      </c>
      <c r="G419" s="5">
        <f t="shared" si="1"/>
        <v>80</v>
      </c>
    </row>
    <row r="420">
      <c r="A420" s="4">
        <f>IFERROR(__xludf.DUMMYFUNCTION("""COMPUTED_VALUE"""),44461.625)</f>
        <v>44461.625</v>
      </c>
      <c r="B420" s="5">
        <f>IFERROR(__xludf.DUMMYFUNCTION("""COMPUTED_VALUE"""),3530.0)</f>
        <v>3530</v>
      </c>
      <c r="C420" s="5">
        <f>IFERROR(__xludf.DUMMYFUNCTION("""COMPUTED_VALUE"""),3590.0)</f>
        <v>3590</v>
      </c>
      <c r="D420" s="5">
        <f>IFERROR(__xludf.DUMMYFUNCTION("""COMPUTED_VALUE"""),3520.0)</f>
        <v>3520</v>
      </c>
      <c r="E420" s="5">
        <f>IFERROR(__xludf.DUMMYFUNCTION("""COMPUTED_VALUE"""),3590.0)</f>
        <v>3590</v>
      </c>
      <c r="F420" s="5">
        <f>IFERROR(__xludf.DUMMYFUNCTION("""COMPUTED_VALUE"""),6.68352E7)</f>
        <v>66835200</v>
      </c>
      <c r="G420" s="5">
        <f t="shared" si="1"/>
        <v>70</v>
      </c>
    </row>
    <row r="421">
      <c r="A421" s="4">
        <f>IFERROR(__xludf.DUMMYFUNCTION("""COMPUTED_VALUE"""),44462.625)</f>
        <v>44462.625</v>
      </c>
      <c r="B421" s="5">
        <f>IFERROR(__xludf.DUMMYFUNCTION("""COMPUTED_VALUE"""),3600.0)</f>
        <v>3600</v>
      </c>
      <c r="C421" s="5">
        <f>IFERROR(__xludf.DUMMYFUNCTION("""COMPUTED_VALUE"""),3610.0)</f>
        <v>3610</v>
      </c>
      <c r="D421" s="5">
        <f>IFERROR(__xludf.DUMMYFUNCTION("""COMPUTED_VALUE"""),3550.0)</f>
        <v>3550</v>
      </c>
      <c r="E421" s="5">
        <f>IFERROR(__xludf.DUMMYFUNCTION("""COMPUTED_VALUE"""),3560.0)</f>
        <v>3560</v>
      </c>
      <c r="F421" s="5">
        <f>IFERROR(__xludf.DUMMYFUNCTION("""COMPUTED_VALUE"""),1.047375E8)</f>
        <v>104737500</v>
      </c>
      <c r="G421" s="5">
        <f t="shared" si="1"/>
        <v>60</v>
      </c>
    </row>
    <row r="422">
      <c r="A422" s="4">
        <f>IFERROR(__xludf.DUMMYFUNCTION("""COMPUTED_VALUE"""),44463.625)</f>
        <v>44463.625</v>
      </c>
      <c r="B422" s="5">
        <f>IFERROR(__xludf.DUMMYFUNCTION("""COMPUTED_VALUE"""),3560.0)</f>
        <v>3560</v>
      </c>
      <c r="C422" s="5">
        <f>IFERROR(__xludf.DUMMYFUNCTION("""COMPUTED_VALUE"""),3580.0)</f>
        <v>3580</v>
      </c>
      <c r="D422" s="5">
        <f>IFERROR(__xludf.DUMMYFUNCTION("""COMPUTED_VALUE"""),3540.0)</f>
        <v>3540</v>
      </c>
      <c r="E422" s="5">
        <f>IFERROR(__xludf.DUMMYFUNCTION("""COMPUTED_VALUE"""),3560.0)</f>
        <v>3560</v>
      </c>
      <c r="F422" s="5">
        <f>IFERROR(__xludf.DUMMYFUNCTION("""COMPUTED_VALUE"""),7.22245E7)</f>
        <v>72224500</v>
      </c>
      <c r="G422" s="5">
        <f t="shared" si="1"/>
        <v>40</v>
      </c>
    </row>
    <row r="423">
      <c r="A423" s="4">
        <f>IFERROR(__xludf.DUMMYFUNCTION("""COMPUTED_VALUE"""),44466.625)</f>
        <v>44466.625</v>
      </c>
      <c r="B423" s="5">
        <f>IFERROR(__xludf.DUMMYFUNCTION("""COMPUTED_VALUE"""),3530.0)</f>
        <v>3530</v>
      </c>
      <c r="C423" s="5">
        <f>IFERROR(__xludf.DUMMYFUNCTION("""COMPUTED_VALUE"""),3560.0)</f>
        <v>3560</v>
      </c>
      <c r="D423" s="5">
        <f>IFERROR(__xludf.DUMMYFUNCTION("""COMPUTED_VALUE"""),3480.0)</f>
        <v>3480</v>
      </c>
      <c r="E423" s="5">
        <f>IFERROR(__xludf.DUMMYFUNCTION("""COMPUTED_VALUE"""),3520.0)</f>
        <v>3520</v>
      </c>
      <c r="F423" s="5">
        <f>IFERROR(__xludf.DUMMYFUNCTION("""COMPUTED_VALUE"""),8.7303E7)</f>
        <v>87303000</v>
      </c>
      <c r="G423" s="5">
        <f t="shared" si="1"/>
        <v>80</v>
      </c>
    </row>
    <row r="424">
      <c r="A424" s="4">
        <f>IFERROR(__xludf.DUMMYFUNCTION("""COMPUTED_VALUE"""),44467.625)</f>
        <v>44467.625</v>
      </c>
      <c r="B424" s="5">
        <f>IFERROR(__xludf.DUMMYFUNCTION("""COMPUTED_VALUE"""),3510.0)</f>
        <v>3510</v>
      </c>
      <c r="C424" s="5">
        <f>IFERROR(__xludf.DUMMYFUNCTION("""COMPUTED_VALUE"""),3540.0)</f>
        <v>3540</v>
      </c>
      <c r="D424" s="5">
        <f>IFERROR(__xludf.DUMMYFUNCTION("""COMPUTED_VALUE"""),3490.0)</f>
        <v>3490</v>
      </c>
      <c r="E424" s="5">
        <f>IFERROR(__xludf.DUMMYFUNCTION("""COMPUTED_VALUE"""),3530.0)</f>
        <v>3530</v>
      </c>
      <c r="F424" s="5">
        <f>IFERROR(__xludf.DUMMYFUNCTION("""COMPUTED_VALUE"""),5.46717E7)</f>
        <v>54671700</v>
      </c>
      <c r="G424" s="5">
        <f t="shared" si="1"/>
        <v>50</v>
      </c>
    </row>
    <row r="425">
      <c r="A425" s="4">
        <f>IFERROR(__xludf.DUMMYFUNCTION("""COMPUTED_VALUE"""),44468.625)</f>
        <v>44468.625</v>
      </c>
      <c r="B425" s="5">
        <f>IFERROR(__xludf.DUMMYFUNCTION("""COMPUTED_VALUE"""),3490.0)</f>
        <v>3490</v>
      </c>
      <c r="C425" s="5">
        <f>IFERROR(__xludf.DUMMYFUNCTION("""COMPUTED_VALUE"""),3540.0)</f>
        <v>3540</v>
      </c>
      <c r="D425" s="5">
        <f>IFERROR(__xludf.DUMMYFUNCTION("""COMPUTED_VALUE"""),3490.0)</f>
        <v>3490</v>
      </c>
      <c r="E425" s="5">
        <f>IFERROR(__xludf.DUMMYFUNCTION("""COMPUTED_VALUE"""),3530.0)</f>
        <v>3530</v>
      </c>
      <c r="F425" s="5">
        <f>IFERROR(__xludf.DUMMYFUNCTION("""COMPUTED_VALUE"""),5.31701E7)</f>
        <v>53170100</v>
      </c>
      <c r="G425" s="5">
        <f t="shared" si="1"/>
        <v>50</v>
      </c>
    </row>
    <row r="426">
      <c r="A426" s="4">
        <f>IFERROR(__xludf.DUMMYFUNCTION("""COMPUTED_VALUE"""),44469.625)</f>
        <v>44469.625</v>
      </c>
      <c r="B426" s="5">
        <f>IFERROR(__xludf.DUMMYFUNCTION("""COMPUTED_VALUE"""),3550.0)</f>
        <v>3550</v>
      </c>
      <c r="C426" s="5">
        <f>IFERROR(__xludf.DUMMYFUNCTION("""COMPUTED_VALUE"""),3690.0)</f>
        <v>3690</v>
      </c>
      <c r="D426" s="5">
        <f>IFERROR(__xludf.DUMMYFUNCTION("""COMPUTED_VALUE"""),3540.0)</f>
        <v>3540</v>
      </c>
      <c r="E426" s="5">
        <f>IFERROR(__xludf.DUMMYFUNCTION("""COMPUTED_VALUE"""),3690.0)</f>
        <v>3690</v>
      </c>
      <c r="F426" s="5">
        <f>IFERROR(__xludf.DUMMYFUNCTION("""COMPUTED_VALUE"""),1.538539E8)</f>
        <v>153853900</v>
      </c>
      <c r="G426" s="5">
        <f t="shared" si="1"/>
        <v>160</v>
      </c>
    </row>
    <row r="427">
      <c r="A427" s="4">
        <f>IFERROR(__xludf.DUMMYFUNCTION("""COMPUTED_VALUE"""),44470.625)</f>
        <v>44470.625</v>
      </c>
      <c r="B427" s="5">
        <f>IFERROR(__xludf.DUMMYFUNCTION("""COMPUTED_VALUE"""),3680.0)</f>
        <v>3680</v>
      </c>
      <c r="C427" s="5">
        <f>IFERROR(__xludf.DUMMYFUNCTION("""COMPUTED_VALUE"""),3690.0)</f>
        <v>3690</v>
      </c>
      <c r="D427" s="5">
        <f>IFERROR(__xludf.DUMMYFUNCTION("""COMPUTED_VALUE"""),3610.0)</f>
        <v>3610</v>
      </c>
      <c r="E427" s="5">
        <f>IFERROR(__xludf.DUMMYFUNCTION("""COMPUTED_VALUE"""),3660.0)</f>
        <v>3660</v>
      </c>
      <c r="F427" s="5">
        <f>IFERROR(__xludf.DUMMYFUNCTION("""COMPUTED_VALUE"""),1.098984E8)</f>
        <v>109898400</v>
      </c>
      <c r="G427" s="5">
        <f t="shared" si="1"/>
        <v>80</v>
      </c>
    </row>
    <row r="428">
      <c r="A428" s="4">
        <f>IFERROR(__xludf.DUMMYFUNCTION("""COMPUTED_VALUE"""),44473.625)</f>
        <v>44473.625</v>
      </c>
      <c r="B428" s="5">
        <f>IFERROR(__xludf.DUMMYFUNCTION("""COMPUTED_VALUE"""),3620.0)</f>
        <v>3620</v>
      </c>
      <c r="C428" s="5">
        <f>IFERROR(__xludf.DUMMYFUNCTION("""COMPUTED_VALUE"""),3670.0)</f>
        <v>3670</v>
      </c>
      <c r="D428" s="5">
        <f>IFERROR(__xludf.DUMMYFUNCTION("""COMPUTED_VALUE"""),3600.0)</f>
        <v>3600</v>
      </c>
      <c r="E428" s="5">
        <f>IFERROR(__xludf.DUMMYFUNCTION("""COMPUTED_VALUE"""),3670.0)</f>
        <v>3670</v>
      </c>
      <c r="F428" s="5">
        <f>IFERROR(__xludf.DUMMYFUNCTION("""COMPUTED_VALUE"""),8.22051E7)</f>
        <v>82205100</v>
      </c>
      <c r="G428" s="5">
        <f t="shared" si="1"/>
        <v>70</v>
      </c>
    </row>
    <row r="429">
      <c r="A429" s="4">
        <f>IFERROR(__xludf.DUMMYFUNCTION("""COMPUTED_VALUE"""),44474.625)</f>
        <v>44474.625</v>
      </c>
      <c r="B429" s="5">
        <f>IFERROR(__xludf.DUMMYFUNCTION("""COMPUTED_VALUE"""),3670.0)</f>
        <v>3670</v>
      </c>
      <c r="C429" s="5">
        <f>IFERROR(__xludf.DUMMYFUNCTION("""COMPUTED_VALUE"""),3680.0)</f>
        <v>3680</v>
      </c>
      <c r="D429" s="5">
        <f>IFERROR(__xludf.DUMMYFUNCTION("""COMPUTED_VALUE"""),3620.0)</f>
        <v>3620</v>
      </c>
      <c r="E429" s="5">
        <f>IFERROR(__xludf.DUMMYFUNCTION("""COMPUTED_VALUE"""),3670.0)</f>
        <v>3670</v>
      </c>
      <c r="F429" s="5">
        <f>IFERROR(__xludf.DUMMYFUNCTION("""COMPUTED_VALUE"""),1.404883E8)</f>
        <v>140488300</v>
      </c>
      <c r="G429" s="5">
        <f t="shared" si="1"/>
        <v>60</v>
      </c>
    </row>
    <row r="430">
      <c r="A430" s="4">
        <f>IFERROR(__xludf.DUMMYFUNCTION("""COMPUTED_VALUE"""),44475.625)</f>
        <v>44475.625</v>
      </c>
      <c r="B430" s="5">
        <f>IFERROR(__xludf.DUMMYFUNCTION("""COMPUTED_VALUE"""),3690.0)</f>
        <v>3690</v>
      </c>
      <c r="C430" s="5">
        <f>IFERROR(__xludf.DUMMYFUNCTION("""COMPUTED_VALUE"""),3770.0)</f>
        <v>3770</v>
      </c>
      <c r="D430" s="5">
        <f>IFERROR(__xludf.DUMMYFUNCTION("""COMPUTED_VALUE"""),3650.0)</f>
        <v>3650</v>
      </c>
      <c r="E430" s="5">
        <f>IFERROR(__xludf.DUMMYFUNCTION("""COMPUTED_VALUE"""),3760.0)</f>
        <v>3760</v>
      </c>
      <c r="F430" s="5">
        <f>IFERROR(__xludf.DUMMYFUNCTION("""COMPUTED_VALUE"""),1.535357E8)</f>
        <v>153535700</v>
      </c>
      <c r="G430" s="5">
        <f t="shared" si="1"/>
        <v>120</v>
      </c>
    </row>
    <row r="431">
      <c r="A431" s="4">
        <f>IFERROR(__xludf.DUMMYFUNCTION("""COMPUTED_VALUE"""),44476.625)</f>
        <v>44476.625</v>
      </c>
      <c r="B431" s="5">
        <f>IFERROR(__xludf.DUMMYFUNCTION("""COMPUTED_VALUE"""),3720.0)</f>
        <v>3720</v>
      </c>
      <c r="C431" s="5">
        <f>IFERROR(__xludf.DUMMYFUNCTION("""COMPUTED_VALUE"""),3740.0)</f>
        <v>3740</v>
      </c>
      <c r="D431" s="5">
        <f>IFERROR(__xludf.DUMMYFUNCTION("""COMPUTED_VALUE"""),3690.0)</f>
        <v>3690</v>
      </c>
      <c r="E431" s="5">
        <f>IFERROR(__xludf.DUMMYFUNCTION("""COMPUTED_VALUE"""),3720.0)</f>
        <v>3720</v>
      </c>
      <c r="F431" s="5">
        <f>IFERROR(__xludf.DUMMYFUNCTION("""COMPUTED_VALUE"""),5.68376E7)</f>
        <v>56837600</v>
      </c>
      <c r="G431" s="5">
        <f t="shared" si="1"/>
        <v>70</v>
      </c>
    </row>
    <row r="432">
      <c r="A432" s="4">
        <f>IFERROR(__xludf.DUMMYFUNCTION("""COMPUTED_VALUE"""),44477.625)</f>
        <v>44477.625</v>
      </c>
      <c r="B432" s="5">
        <f>IFERROR(__xludf.DUMMYFUNCTION("""COMPUTED_VALUE"""),3730.0)</f>
        <v>3730</v>
      </c>
      <c r="C432" s="5">
        <f>IFERROR(__xludf.DUMMYFUNCTION("""COMPUTED_VALUE"""),3800.0)</f>
        <v>3800</v>
      </c>
      <c r="D432" s="5">
        <f>IFERROR(__xludf.DUMMYFUNCTION("""COMPUTED_VALUE"""),3720.0)</f>
        <v>3720</v>
      </c>
      <c r="E432" s="5">
        <f>IFERROR(__xludf.DUMMYFUNCTION("""COMPUTED_VALUE"""),3800.0)</f>
        <v>3800</v>
      </c>
      <c r="F432" s="5">
        <f>IFERROR(__xludf.DUMMYFUNCTION("""COMPUTED_VALUE"""),9.13618E7)</f>
        <v>91361800</v>
      </c>
      <c r="G432" s="5">
        <f t="shared" si="1"/>
        <v>80</v>
      </c>
    </row>
    <row r="433">
      <c r="A433" s="4">
        <f>IFERROR(__xludf.DUMMYFUNCTION("""COMPUTED_VALUE"""),44480.625)</f>
        <v>44480.625</v>
      </c>
      <c r="B433" s="5">
        <f>IFERROR(__xludf.DUMMYFUNCTION("""COMPUTED_VALUE"""),3800.0)</f>
        <v>3800</v>
      </c>
      <c r="C433" s="5">
        <f>IFERROR(__xludf.DUMMYFUNCTION("""COMPUTED_VALUE"""),3850.0)</f>
        <v>3850</v>
      </c>
      <c r="D433" s="5">
        <f>IFERROR(__xludf.DUMMYFUNCTION("""COMPUTED_VALUE"""),3770.0)</f>
        <v>3770</v>
      </c>
      <c r="E433" s="5">
        <f>IFERROR(__xludf.DUMMYFUNCTION("""COMPUTED_VALUE"""),3810.0)</f>
        <v>3810</v>
      </c>
      <c r="F433" s="5">
        <f>IFERROR(__xludf.DUMMYFUNCTION("""COMPUTED_VALUE"""),7.8865E7)</f>
        <v>78865000</v>
      </c>
      <c r="G433" s="5">
        <f t="shared" si="1"/>
        <v>80</v>
      </c>
    </row>
    <row r="434">
      <c r="A434" s="4">
        <f>IFERROR(__xludf.DUMMYFUNCTION("""COMPUTED_VALUE"""),44481.66666666667)</f>
        <v>44481.66667</v>
      </c>
      <c r="B434" s="5">
        <f>IFERROR(__xludf.DUMMYFUNCTION("""COMPUTED_VALUE"""),3780.0)</f>
        <v>3780</v>
      </c>
      <c r="C434" s="5">
        <f>IFERROR(__xludf.DUMMYFUNCTION("""COMPUTED_VALUE"""),3840.0)</f>
        <v>3840</v>
      </c>
      <c r="D434" s="5">
        <f>IFERROR(__xludf.DUMMYFUNCTION("""COMPUTED_VALUE"""),3770.0)</f>
        <v>3770</v>
      </c>
      <c r="E434" s="5">
        <f>IFERROR(__xludf.DUMMYFUNCTION("""COMPUTED_VALUE"""),3780.0)</f>
        <v>3780</v>
      </c>
      <c r="F434" s="5">
        <f>IFERROR(__xludf.DUMMYFUNCTION("""COMPUTED_VALUE"""),6.98663E7)</f>
        <v>69866300</v>
      </c>
      <c r="G434" s="5">
        <f t="shared" si="1"/>
        <v>70</v>
      </c>
    </row>
    <row r="435">
      <c r="A435" s="4">
        <f>IFERROR(__xludf.DUMMYFUNCTION("""COMPUTED_VALUE"""),44482.625)</f>
        <v>44482.625</v>
      </c>
      <c r="B435" s="5">
        <f>IFERROR(__xludf.DUMMYFUNCTION("""COMPUTED_VALUE"""),3750.0)</f>
        <v>3750</v>
      </c>
      <c r="C435" s="5">
        <f>IFERROR(__xludf.DUMMYFUNCTION("""COMPUTED_VALUE"""),3820.0)</f>
        <v>3820</v>
      </c>
      <c r="D435" s="5">
        <f>IFERROR(__xludf.DUMMYFUNCTION("""COMPUTED_VALUE"""),3750.0)</f>
        <v>3750</v>
      </c>
      <c r="E435" s="5">
        <f>IFERROR(__xludf.DUMMYFUNCTION("""COMPUTED_VALUE"""),3770.0)</f>
        <v>3770</v>
      </c>
      <c r="F435" s="5">
        <f>IFERROR(__xludf.DUMMYFUNCTION("""COMPUTED_VALUE"""),8.71439E7)</f>
        <v>87143900</v>
      </c>
      <c r="G435" s="5">
        <f t="shared" si="1"/>
        <v>70</v>
      </c>
    </row>
    <row r="436">
      <c r="A436" s="4">
        <f>IFERROR(__xludf.DUMMYFUNCTION("""COMPUTED_VALUE"""),44483.66666666667)</f>
        <v>44483.66667</v>
      </c>
      <c r="B436" s="5">
        <f>IFERROR(__xludf.DUMMYFUNCTION("""COMPUTED_VALUE"""),3770.0)</f>
        <v>3770</v>
      </c>
      <c r="C436" s="5">
        <f>IFERROR(__xludf.DUMMYFUNCTION("""COMPUTED_VALUE"""),3830.0)</f>
        <v>3830</v>
      </c>
      <c r="D436" s="5">
        <f>IFERROR(__xludf.DUMMYFUNCTION("""COMPUTED_VALUE"""),3770.0)</f>
        <v>3770</v>
      </c>
      <c r="E436" s="5">
        <f>IFERROR(__xludf.DUMMYFUNCTION("""COMPUTED_VALUE"""),3830.0)</f>
        <v>3830</v>
      </c>
      <c r="F436" s="5">
        <f>IFERROR(__xludf.DUMMYFUNCTION("""COMPUTED_VALUE"""),9.58179E7)</f>
        <v>95817900</v>
      </c>
      <c r="G436" s="5">
        <f t="shared" si="1"/>
        <v>60</v>
      </c>
    </row>
    <row r="437">
      <c r="A437" s="4">
        <f>IFERROR(__xludf.DUMMYFUNCTION("""COMPUTED_VALUE"""),44484.66666666667)</f>
        <v>44484.66667</v>
      </c>
      <c r="B437" s="5">
        <f>IFERROR(__xludf.DUMMYFUNCTION("""COMPUTED_VALUE"""),3840.0)</f>
        <v>3840</v>
      </c>
      <c r="C437" s="5">
        <f>IFERROR(__xludf.DUMMYFUNCTION("""COMPUTED_VALUE"""),3840.0)</f>
        <v>3840</v>
      </c>
      <c r="D437" s="5">
        <f>IFERROR(__xludf.DUMMYFUNCTION("""COMPUTED_VALUE"""),3750.0)</f>
        <v>3750</v>
      </c>
      <c r="E437" s="5">
        <f>IFERROR(__xludf.DUMMYFUNCTION("""COMPUTED_VALUE"""),3810.0)</f>
        <v>3810</v>
      </c>
      <c r="F437" s="5">
        <f>IFERROR(__xludf.DUMMYFUNCTION("""COMPUTED_VALUE"""),6.97077E7)</f>
        <v>69707700</v>
      </c>
      <c r="G437" s="5">
        <f t="shared" si="1"/>
        <v>90</v>
      </c>
    </row>
    <row r="438">
      <c r="A438" s="4">
        <f>IFERROR(__xludf.DUMMYFUNCTION("""COMPUTED_VALUE"""),44487.625)</f>
        <v>44487.625</v>
      </c>
      <c r="B438" s="5">
        <f>IFERROR(__xludf.DUMMYFUNCTION("""COMPUTED_VALUE"""),3840.0)</f>
        <v>3840</v>
      </c>
      <c r="C438" s="5">
        <f>IFERROR(__xludf.DUMMYFUNCTION("""COMPUTED_VALUE"""),3840.0)</f>
        <v>3840</v>
      </c>
      <c r="D438" s="5">
        <f>IFERROR(__xludf.DUMMYFUNCTION("""COMPUTED_VALUE"""),3790.0)</f>
        <v>3790</v>
      </c>
      <c r="E438" s="5">
        <f>IFERROR(__xludf.DUMMYFUNCTION("""COMPUTED_VALUE"""),3790.0)</f>
        <v>3790</v>
      </c>
      <c r="F438" s="5">
        <f>IFERROR(__xludf.DUMMYFUNCTION("""COMPUTED_VALUE"""),7.85807E7)</f>
        <v>78580700</v>
      </c>
      <c r="G438" s="5">
        <f t="shared" si="1"/>
        <v>50</v>
      </c>
    </row>
    <row r="439">
      <c r="A439" s="4">
        <f>IFERROR(__xludf.DUMMYFUNCTION("""COMPUTED_VALUE"""),44488.625)</f>
        <v>44488.625</v>
      </c>
      <c r="B439" s="5">
        <f>IFERROR(__xludf.DUMMYFUNCTION("""COMPUTED_VALUE"""),3750.0)</f>
        <v>3750</v>
      </c>
      <c r="C439" s="5">
        <f>IFERROR(__xludf.DUMMYFUNCTION("""COMPUTED_VALUE"""),3800.0)</f>
        <v>3800</v>
      </c>
      <c r="D439" s="5">
        <f>IFERROR(__xludf.DUMMYFUNCTION("""COMPUTED_VALUE"""),3720.0)</f>
        <v>3720</v>
      </c>
      <c r="E439" s="5">
        <f>IFERROR(__xludf.DUMMYFUNCTION("""COMPUTED_VALUE"""),3740.0)</f>
        <v>3740</v>
      </c>
      <c r="F439" s="5">
        <f>IFERROR(__xludf.DUMMYFUNCTION("""COMPUTED_VALUE"""),6.10957E7)</f>
        <v>61095700</v>
      </c>
      <c r="G439" s="5">
        <f t="shared" si="1"/>
        <v>80</v>
      </c>
    </row>
    <row r="440">
      <c r="A440" s="4">
        <f>IFERROR(__xludf.DUMMYFUNCTION("""COMPUTED_VALUE"""),44490.625)</f>
        <v>44490.625</v>
      </c>
      <c r="B440" s="5">
        <f>IFERROR(__xludf.DUMMYFUNCTION("""COMPUTED_VALUE"""),3780.0)</f>
        <v>3780</v>
      </c>
      <c r="C440" s="5">
        <f>IFERROR(__xludf.DUMMYFUNCTION("""COMPUTED_VALUE"""),3880.0)</f>
        <v>3880</v>
      </c>
      <c r="D440" s="5">
        <f>IFERROR(__xludf.DUMMYFUNCTION("""COMPUTED_VALUE"""),3760.0)</f>
        <v>3760</v>
      </c>
      <c r="E440" s="5">
        <f>IFERROR(__xludf.DUMMYFUNCTION("""COMPUTED_VALUE"""),3850.0)</f>
        <v>3850</v>
      </c>
      <c r="F440" s="5">
        <f>IFERROR(__xludf.DUMMYFUNCTION("""COMPUTED_VALUE"""),1.696595E8)</f>
        <v>169659500</v>
      </c>
      <c r="G440" s="5">
        <f t="shared" si="1"/>
        <v>140</v>
      </c>
    </row>
    <row r="441">
      <c r="A441" s="4">
        <f>IFERROR(__xludf.DUMMYFUNCTION("""COMPUTED_VALUE"""),44491.625)</f>
        <v>44491.625</v>
      </c>
      <c r="B441" s="5">
        <f>IFERROR(__xludf.DUMMYFUNCTION("""COMPUTED_VALUE"""),3860.0)</f>
        <v>3860</v>
      </c>
      <c r="C441" s="5">
        <f>IFERROR(__xludf.DUMMYFUNCTION("""COMPUTED_VALUE"""),3880.0)</f>
        <v>3880</v>
      </c>
      <c r="D441" s="5">
        <f>IFERROR(__xludf.DUMMYFUNCTION("""COMPUTED_VALUE"""),3820.0)</f>
        <v>3820</v>
      </c>
      <c r="E441" s="5">
        <f>IFERROR(__xludf.DUMMYFUNCTION("""COMPUTED_VALUE"""),3870.0)</f>
        <v>3870</v>
      </c>
      <c r="F441" s="5">
        <f>IFERROR(__xludf.DUMMYFUNCTION("""COMPUTED_VALUE"""),5.96407E7)</f>
        <v>59640700</v>
      </c>
      <c r="G441" s="5">
        <f t="shared" si="1"/>
        <v>60</v>
      </c>
    </row>
    <row r="442">
      <c r="A442" s="4">
        <f>IFERROR(__xludf.DUMMYFUNCTION("""COMPUTED_VALUE"""),44494.625)</f>
        <v>44494.625</v>
      </c>
      <c r="B442" s="5">
        <f>IFERROR(__xludf.DUMMYFUNCTION("""COMPUTED_VALUE"""),3800.0)</f>
        <v>3800</v>
      </c>
      <c r="C442" s="5">
        <f>IFERROR(__xludf.DUMMYFUNCTION("""COMPUTED_VALUE"""),3840.0)</f>
        <v>3840</v>
      </c>
      <c r="D442" s="5">
        <f>IFERROR(__xludf.DUMMYFUNCTION("""COMPUTED_VALUE"""),3780.0)</f>
        <v>3780</v>
      </c>
      <c r="E442" s="5">
        <f>IFERROR(__xludf.DUMMYFUNCTION("""COMPUTED_VALUE"""),3780.0)</f>
        <v>3780</v>
      </c>
      <c r="F442" s="5">
        <f>IFERROR(__xludf.DUMMYFUNCTION("""COMPUTED_VALUE"""),5.82463E7)</f>
        <v>58246300</v>
      </c>
      <c r="G442" s="5">
        <f t="shared" si="1"/>
        <v>90</v>
      </c>
    </row>
    <row r="443">
      <c r="A443" s="4">
        <f>IFERROR(__xludf.DUMMYFUNCTION("""COMPUTED_VALUE"""),44495.625)</f>
        <v>44495.625</v>
      </c>
      <c r="B443" s="5">
        <f>IFERROR(__xludf.DUMMYFUNCTION("""COMPUTED_VALUE"""),3800.0)</f>
        <v>3800</v>
      </c>
      <c r="C443" s="5">
        <f>IFERROR(__xludf.DUMMYFUNCTION("""COMPUTED_VALUE"""),3830.0)</f>
        <v>3830</v>
      </c>
      <c r="D443" s="5">
        <f>IFERROR(__xludf.DUMMYFUNCTION("""COMPUTED_VALUE"""),3780.0)</f>
        <v>3780</v>
      </c>
      <c r="E443" s="5">
        <f>IFERROR(__xludf.DUMMYFUNCTION("""COMPUTED_VALUE"""),3800.0)</f>
        <v>3800</v>
      </c>
      <c r="F443" s="5">
        <f>IFERROR(__xludf.DUMMYFUNCTION("""COMPUTED_VALUE"""),5.86151E7)</f>
        <v>58615100</v>
      </c>
      <c r="G443" s="5">
        <f t="shared" si="1"/>
        <v>50</v>
      </c>
    </row>
    <row r="444">
      <c r="A444" s="4">
        <f>IFERROR(__xludf.DUMMYFUNCTION("""COMPUTED_VALUE"""),44496.625)</f>
        <v>44496.625</v>
      </c>
      <c r="B444" s="5">
        <f>IFERROR(__xludf.DUMMYFUNCTION("""COMPUTED_VALUE"""),3820.0)</f>
        <v>3820</v>
      </c>
      <c r="C444" s="5">
        <f>IFERROR(__xludf.DUMMYFUNCTION("""COMPUTED_VALUE"""),3830.0)</f>
        <v>3830</v>
      </c>
      <c r="D444" s="5">
        <f>IFERROR(__xludf.DUMMYFUNCTION("""COMPUTED_VALUE"""),3770.0)</f>
        <v>3770</v>
      </c>
      <c r="E444" s="5">
        <f>IFERROR(__xludf.DUMMYFUNCTION("""COMPUTED_VALUE"""),3790.0)</f>
        <v>3790</v>
      </c>
      <c r="F444" s="5">
        <f>IFERROR(__xludf.DUMMYFUNCTION("""COMPUTED_VALUE"""),5.22101E7)</f>
        <v>52210100</v>
      </c>
      <c r="G444" s="5">
        <f t="shared" si="1"/>
        <v>60</v>
      </c>
    </row>
    <row r="445">
      <c r="A445" s="4">
        <f>IFERROR(__xludf.DUMMYFUNCTION("""COMPUTED_VALUE"""),44497.625)</f>
        <v>44497.625</v>
      </c>
      <c r="B445" s="5">
        <f>IFERROR(__xludf.DUMMYFUNCTION("""COMPUTED_VALUE"""),3820.0)</f>
        <v>3820</v>
      </c>
      <c r="C445" s="5">
        <f>IFERROR(__xludf.DUMMYFUNCTION("""COMPUTED_VALUE"""),3820.0)</f>
        <v>3820</v>
      </c>
      <c r="D445" s="5">
        <f>IFERROR(__xludf.DUMMYFUNCTION("""COMPUTED_VALUE"""),3710.0)</f>
        <v>3710</v>
      </c>
      <c r="E445" s="5">
        <f>IFERROR(__xludf.DUMMYFUNCTION("""COMPUTED_VALUE"""),3750.0)</f>
        <v>3750</v>
      </c>
      <c r="F445" s="5">
        <f>IFERROR(__xludf.DUMMYFUNCTION("""COMPUTED_VALUE"""),6.11511E7)</f>
        <v>61151100</v>
      </c>
      <c r="G445" s="5">
        <f t="shared" si="1"/>
        <v>110</v>
      </c>
    </row>
    <row r="446">
      <c r="A446" s="4">
        <f>IFERROR(__xludf.DUMMYFUNCTION("""COMPUTED_VALUE"""),44498.625)</f>
        <v>44498.625</v>
      </c>
      <c r="B446" s="5">
        <f>IFERROR(__xludf.DUMMYFUNCTION("""COMPUTED_VALUE"""),3750.0)</f>
        <v>3750</v>
      </c>
      <c r="C446" s="5">
        <f>IFERROR(__xludf.DUMMYFUNCTION("""COMPUTED_VALUE"""),3810.0)</f>
        <v>3810</v>
      </c>
      <c r="D446" s="5">
        <f>IFERROR(__xludf.DUMMYFUNCTION("""COMPUTED_VALUE"""),3730.0)</f>
        <v>3730</v>
      </c>
      <c r="E446" s="5">
        <f>IFERROR(__xludf.DUMMYFUNCTION("""COMPUTED_VALUE"""),3800.0)</f>
        <v>3800</v>
      </c>
      <c r="F446" s="5">
        <f>IFERROR(__xludf.DUMMYFUNCTION("""COMPUTED_VALUE"""),7.04309E7)</f>
        <v>70430900</v>
      </c>
      <c r="G446" s="5">
        <f t="shared" si="1"/>
        <v>80</v>
      </c>
    </row>
    <row r="447">
      <c r="A447" s="4">
        <f>IFERROR(__xludf.DUMMYFUNCTION("""COMPUTED_VALUE"""),44501.625)</f>
        <v>44501.625</v>
      </c>
      <c r="B447" s="5">
        <f>IFERROR(__xludf.DUMMYFUNCTION("""COMPUTED_VALUE"""),3810.0)</f>
        <v>3810</v>
      </c>
      <c r="C447" s="5">
        <f>IFERROR(__xludf.DUMMYFUNCTION("""COMPUTED_VALUE"""),3820.0)</f>
        <v>3820</v>
      </c>
      <c r="D447" s="5">
        <f>IFERROR(__xludf.DUMMYFUNCTION("""COMPUTED_VALUE"""),3700.0)</f>
        <v>3700</v>
      </c>
      <c r="E447" s="5">
        <f>IFERROR(__xludf.DUMMYFUNCTION("""COMPUTED_VALUE"""),3700.0)</f>
        <v>3700</v>
      </c>
      <c r="F447" s="5">
        <f>IFERROR(__xludf.DUMMYFUNCTION("""COMPUTED_VALUE"""),6.54471E7)</f>
        <v>65447100</v>
      </c>
      <c r="G447" s="5">
        <f t="shared" si="1"/>
        <v>120</v>
      </c>
    </row>
    <row r="448">
      <c r="A448" s="4">
        <f>IFERROR(__xludf.DUMMYFUNCTION("""COMPUTED_VALUE"""),44502.625)</f>
        <v>44502.625</v>
      </c>
      <c r="B448" s="5">
        <f>IFERROR(__xludf.DUMMYFUNCTION("""COMPUTED_VALUE"""),3700.0)</f>
        <v>3700</v>
      </c>
      <c r="C448" s="5">
        <f>IFERROR(__xludf.DUMMYFUNCTION("""COMPUTED_VALUE"""),3710.0)</f>
        <v>3710</v>
      </c>
      <c r="D448" s="5">
        <f>IFERROR(__xludf.DUMMYFUNCTION("""COMPUTED_VALUE"""),3640.0)</f>
        <v>3640</v>
      </c>
      <c r="E448" s="5">
        <f>IFERROR(__xludf.DUMMYFUNCTION("""COMPUTED_VALUE"""),3660.0)</f>
        <v>3660</v>
      </c>
      <c r="F448" s="5">
        <f>IFERROR(__xludf.DUMMYFUNCTION("""COMPUTED_VALUE"""),1.7026E8)</f>
        <v>170260000</v>
      </c>
      <c r="G448" s="5">
        <f t="shared" si="1"/>
        <v>70</v>
      </c>
    </row>
    <row r="449">
      <c r="A449" s="4">
        <f>IFERROR(__xludf.DUMMYFUNCTION("""COMPUTED_VALUE"""),44503.625)</f>
        <v>44503.625</v>
      </c>
      <c r="B449" s="5">
        <f>IFERROR(__xludf.DUMMYFUNCTION("""COMPUTED_VALUE"""),3620.0)</f>
        <v>3620</v>
      </c>
      <c r="C449" s="5">
        <f>IFERROR(__xludf.DUMMYFUNCTION("""COMPUTED_VALUE"""),3740.0)</f>
        <v>3740</v>
      </c>
      <c r="D449" s="5">
        <f>IFERROR(__xludf.DUMMYFUNCTION("""COMPUTED_VALUE"""),3620.0)</f>
        <v>3620</v>
      </c>
      <c r="E449" s="5">
        <f>IFERROR(__xludf.DUMMYFUNCTION("""COMPUTED_VALUE"""),3720.0)</f>
        <v>3720</v>
      </c>
      <c r="F449" s="5">
        <f>IFERROR(__xludf.DUMMYFUNCTION("""COMPUTED_VALUE"""),4.88105E7)</f>
        <v>48810500</v>
      </c>
      <c r="G449" s="5">
        <f t="shared" si="1"/>
        <v>120</v>
      </c>
    </row>
    <row r="450">
      <c r="A450" s="4">
        <f>IFERROR(__xludf.DUMMYFUNCTION("""COMPUTED_VALUE"""),44504.66666666667)</f>
        <v>44504.66667</v>
      </c>
      <c r="B450" s="5">
        <f>IFERROR(__xludf.DUMMYFUNCTION("""COMPUTED_VALUE"""),3750.0)</f>
        <v>3750</v>
      </c>
      <c r="C450" s="5">
        <f>IFERROR(__xludf.DUMMYFUNCTION("""COMPUTED_VALUE"""),3780.0)</f>
        <v>3780</v>
      </c>
      <c r="D450" s="5">
        <f>IFERROR(__xludf.DUMMYFUNCTION("""COMPUTED_VALUE"""),3720.0)</f>
        <v>3720</v>
      </c>
      <c r="E450" s="5">
        <f>IFERROR(__xludf.DUMMYFUNCTION("""COMPUTED_VALUE"""),3770.0)</f>
        <v>3770</v>
      </c>
      <c r="F450" s="5">
        <f>IFERROR(__xludf.DUMMYFUNCTION("""COMPUTED_VALUE"""),5.34942E7)</f>
        <v>53494200</v>
      </c>
      <c r="G450" s="5">
        <f t="shared" si="1"/>
        <v>60</v>
      </c>
    </row>
    <row r="451">
      <c r="A451" s="4">
        <f>IFERROR(__xludf.DUMMYFUNCTION("""COMPUTED_VALUE"""),44505.625)</f>
        <v>44505.625</v>
      </c>
      <c r="B451" s="5">
        <f>IFERROR(__xludf.DUMMYFUNCTION("""COMPUTED_VALUE"""),3760.0)</f>
        <v>3760</v>
      </c>
      <c r="C451" s="5">
        <f>IFERROR(__xludf.DUMMYFUNCTION("""COMPUTED_VALUE"""),3770.0)</f>
        <v>3770</v>
      </c>
      <c r="D451" s="5">
        <f>IFERROR(__xludf.DUMMYFUNCTION("""COMPUTED_VALUE"""),3710.0)</f>
        <v>3710</v>
      </c>
      <c r="E451" s="5">
        <f>IFERROR(__xludf.DUMMYFUNCTION("""COMPUTED_VALUE"""),3770.0)</f>
        <v>3770</v>
      </c>
      <c r="F451" s="5">
        <f>IFERROR(__xludf.DUMMYFUNCTION("""COMPUTED_VALUE"""),4.3133E7)</f>
        <v>43133000</v>
      </c>
      <c r="G451" s="5">
        <f t="shared" si="1"/>
        <v>60</v>
      </c>
    </row>
    <row r="452">
      <c r="A452" s="4">
        <f>IFERROR(__xludf.DUMMYFUNCTION("""COMPUTED_VALUE"""),44508.625)</f>
        <v>44508.625</v>
      </c>
      <c r="B452" s="5">
        <f>IFERROR(__xludf.DUMMYFUNCTION("""COMPUTED_VALUE"""),3780.0)</f>
        <v>3780</v>
      </c>
      <c r="C452" s="5">
        <f>IFERROR(__xludf.DUMMYFUNCTION("""COMPUTED_VALUE"""),3780.0)</f>
        <v>3780</v>
      </c>
      <c r="D452" s="5">
        <f>IFERROR(__xludf.DUMMYFUNCTION("""COMPUTED_VALUE"""),3710.0)</f>
        <v>3710</v>
      </c>
      <c r="E452" s="5">
        <f>IFERROR(__xludf.DUMMYFUNCTION("""COMPUTED_VALUE"""),3750.0)</f>
        <v>3750</v>
      </c>
      <c r="F452" s="5">
        <f>IFERROR(__xludf.DUMMYFUNCTION("""COMPUTED_VALUE"""),5.87586E7)</f>
        <v>58758600</v>
      </c>
      <c r="G452" s="5">
        <f t="shared" si="1"/>
        <v>70</v>
      </c>
    </row>
    <row r="453">
      <c r="A453" s="4">
        <f>IFERROR(__xludf.DUMMYFUNCTION("""COMPUTED_VALUE"""),44509.625)</f>
        <v>44509.625</v>
      </c>
      <c r="B453" s="5">
        <f>IFERROR(__xludf.DUMMYFUNCTION("""COMPUTED_VALUE"""),3730.0)</f>
        <v>3730</v>
      </c>
      <c r="C453" s="5">
        <f>IFERROR(__xludf.DUMMYFUNCTION("""COMPUTED_VALUE"""),3740.0)</f>
        <v>3740</v>
      </c>
      <c r="D453" s="5">
        <f>IFERROR(__xludf.DUMMYFUNCTION("""COMPUTED_VALUE"""),3680.0)</f>
        <v>3680</v>
      </c>
      <c r="E453" s="5">
        <f>IFERROR(__xludf.DUMMYFUNCTION("""COMPUTED_VALUE"""),3710.0)</f>
        <v>3710</v>
      </c>
      <c r="F453" s="5">
        <f>IFERROR(__xludf.DUMMYFUNCTION("""COMPUTED_VALUE"""),9.24278E7)</f>
        <v>92427800</v>
      </c>
      <c r="G453" s="5">
        <f t="shared" si="1"/>
        <v>70</v>
      </c>
    </row>
    <row r="454">
      <c r="A454" s="4">
        <f>IFERROR(__xludf.DUMMYFUNCTION("""COMPUTED_VALUE"""),44510.625)</f>
        <v>44510.625</v>
      </c>
      <c r="B454" s="5">
        <f>IFERROR(__xludf.DUMMYFUNCTION("""COMPUTED_VALUE"""),3670.0)</f>
        <v>3670</v>
      </c>
      <c r="C454" s="5">
        <f>IFERROR(__xludf.DUMMYFUNCTION("""COMPUTED_VALUE"""),3720.0)</f>
        <v>3720</v>
      </c>
      <c r="D454" s="5">
        <f>IFERROR(__xludf.DUMMYFUNCTION("""COMPUTED_VALUE"""),3670.0)</f>
        <v>3670</v>
      </c>
      <c r="E454" s="5">
        <f>IFERROR(__xludf.DUMMYFUNCTION("""COMPUTED_VALUE"""),3700.0)</f>
        <v>3700</v>
      </c>
      <c r="F454" s="5">
        <f>IFERROR(__xludf.DUMMYFUNCTION("""COMPUTED_VALUE"""),5.35112E7)</f>
        <v>53511200</v>
      </c>
      <c r="G454" s="5">
        <f t="shared" si="1"/>
        <v>50</v>
      </c>
    </row>
    <row r="455">
      <c r="A455" s="4">
        <f>IFERROR(__xludf.DUMMYFUNCTION("""COMPUTED_VALUE"""),44511.625)</f>
        <v>44511.625</v>
      </c>
      <c r="B455" s="5">
        <f>IFERROR(__xludf.DUMMYFUNCTION("""COMPUTED_VALUE"""),3700.0)</f>
        <v>3700</v>
      </c>
      <c r="C455" s="5">
        <f>IFERROR(__xludf.DUMMYFUNCTION("""COMPUTED_VALUE"""),3730.0)</f>
        <v>3730</v>
      </c>
      <c r="D455" s="5">
        <f>IFERROR(__xludf.DUMMYFUNCTION("""COMPUTED_VALUE"""),3640.0)</f>
        <v>3640</v>
      </c>
      <c r="E455" s="5">
        <f>IFERROR(__xludf.DUMMYFUNCTION("""COMPUTED_VALUE"""),3650.0)</f>
        <v>3650</v>
      </c>
      <c r="F455" s="5">
        <f>IFERROR(__xludf.DUMMYFUNCTION("""COMPUTED_VALUE"""),9.57896E7)</f>
        <v>95789600</v>
      </c>
      <c r="G455" s="5">
        <f t="shared" si="1"/>
        <v>90</v>
      </c>
    </row>
    <row r="456">
      <c r="A456" s="4">
        <f>IFERROR(__xludf.DUMMYFUNCTION("""COMPUTED_VALUE"""),44512.625)</f>
        <v>44512.625</v>
      </c>
      <c r="B456" s="5">
        <f>IFERROR(__xludf.DUMMYFUNCTION("""COMPUTED_VALUE"""),3660.0)</f>
        <v>3660</v>
      </c>
      <c r="C456" s="5">
        <f>IFERROR(__xludf.DUMMYFUNCTION("""COMPUTED_VALUE"""),3660.0)</f>
        <v>3660</v>
      </c>
      <c r="D456" s="5">
        <f>IFERROR(__xludf.DUMMYFUNCTION("""COMPUTED_VALUE"""),3600.0)</f>
        <v>3600</v>
      </c>
      <c r="E456" s="5">
        <f>IFERROR(__xludf.DUMMYFUNCTION("""COMPUTED_VALUE"""),3600.0)</f>
        <v>3600</v>
      </c>
      <c r="F456" s="5">
        <f>IFERROR(__xludf.DUMMYFUNCTION("""COMPUTED_VALUE"""),1.151424E8)</f>
        <v>115142400</v>
      </c>
      <c r="G456" s="5">
        <f t="shared" si="1"/>
        <v>60</v>
      </c>
    </row>
    <row r="457">
      <c r="A457" s="4">
        <f>IFERROR(__xludf.DUMMYFUNCTION("""COMPUTED_VALUE"""),44515.625)</f>
        <v>44515.625</v>
      </c>
      <c r="B457" s="5">
        <f>IFERROR(__xludf.DUMMYFUNCTION("""COMPUTED_VALUE"""),3600.0)</f>
        <v>3600</v>
      </c>
      <c r="C457" s="5">
        <f>IFERROR(__xludf.DUMMYFUNCTION("""COMPUTED_VALUE"""),3650.0)</f>
        <v>3650</v>
      </c>
      <c r="D457" s="5">
        <f>IFERROR(__xludf.DUMMYFUNCTION("""COMPUTED_VALUE"""),3600.0)</f>
        <v>3600</v>
      </c>
      <c r="E457" s="5">
        <f>IFERROR(__xludf.DUMMYFUNCTION("""COMPUTED_VALUE"""),3600.0)</f>
        <v>3600</v>
      </c>
      <c r="F457" s="5">
        <f>IFERROR(__xludf.DUMMYFUNCTION("""COMPUTED_VALUE"""),9.10018E7)</f>
        <v>91001800</v>
      </c>
      <c r="G457" s="5">
        <f t="shared" si="1"/>
        <v>50</v>
      </c>
    </row>
    <row r="458">
      <c r="A458" s="4">
        <f>IFERROR(__xludf.DUMMYFUNCTION("""COMPUTED_VALUE"""),44516.625)</f>
        <v>44516.625</v>
      </c>
      <c r="B458" s="5">
        <f>IFERROR(__xludf.DUMMYFUNCTION("""COMPUTED_VALUE"""),3590.0)</f>
        <v>3590</v>
      </c>
      <c r="C458" s="5">
        <f>IFERROR(__xludf.DUMMYFUNCTION("""COMPUTED_VALUE"""),3680.0)</f>
        <v>3680</v>
      </c>
      <c r="D458" s="5">
        <f>IFERROR(__xludf.DUMMYFUNCTION("""COMPUTED_VALUE"""),3590.0)</f>
        <v>3590</v>
      </c>
      <c r="E458" s="5">
        <f>IFERROR(__xludf.DUMMYFUNCTION("""COMPUTED_VALUE"""),3670.0)</f>
        <v>3670</v>
      </c>
      <c r="F458" s="5">
        <f>IFERROR(__xludf.DUMMYFUNCTION("""COMPUTED_VALUE"""),9.95907E7)</f>
        <v>99590700</v>
      </c>
      <c r="G458" s="5">
        <f t="shared" si="1"/>
        <v>90</v>
      </c>
    </row>
    <row r="459">
      <c r="A459" s="4">
        <f>IFERROR(__xludf.DUMMYFUNCTION("""COMPUTED_VALUE"""),44517.625)</f>
        <v>44517.625</v>
      </c>
      <c r="B459" s="5">
        <f>IFERROR(__xludf.DUMMYFUNCTION("""COMPUTED_VALUE"""),3690.0)</f>
        <v>3690</v>
      </c>
      <c r="C459" s="5">
        <f>IFERROR(__xludf.DUMMYFUNCTION("""COMPUTED_VALUE"""),3690.0)</f>
        <v>3690</v>
      </c>
      <c r="D459" s="5">
        <f>IFERROR(__xludf.DUMMYFUNCTION("""COMPUTED_VALUE"""),3600.0)</f>
        <v>3600</v>
      </c>
      <c r="E459" s="5">
        <f>IFERROR(__xludf.DUMMYFUNCTION("""COMPUTED_VALUE"""),3630.0)</f>
        <v>3630</v>
      </c>
      <c r="F459" s="5">
        <f>IFERROR(__xludf.DUMMYFUNCTION("""COMPUTED_VALUE"""),8.20233E7)</f>
        <v>82023300</v>
      </c>
      <c r="G459" s="5">
        <f t="shared" si="1"/>
        <v>90</v>
      </c>
    </row>
    <row r="460">
      <c r="A460" s="4">
        <f>IFERROR(__xludf.DUMMYFUNCTION("""COMPUTED_VALUE"""),44518.625)</f>
        <v>44518.625</v>
      </c>
      <c r="B460" s="5">
        <f>IFERROR(__xludf.DUMMYFUNCTION("""COMPUTED_VALUE"""),3630.0)</f>
        <v>3630</v>
      </c>
      <c r="C460" s="5">
        <f>IFERROR(__xludf.DUMMYFUNCTION("""COMPUTED_VALUE"""),3640.0)</f>
        <v>3640</v>
      </c>
      <c r="D460" s="5">
        <f>IFERROR(__xludf.DUMMYFUNCTION("""COMPUTED_VALUE"""),3600.0)</f>
        <v>3600</v>
      </c>
      <c r="E460" s="5">
        <f>IFERROR(__xludf.DUMMYFUNCTION("""COMPUTED_VALUE"""),3630.0)</f>
        <v>3630</v>
      </c>
      <c r="F460" s="5">
        <f>IFERROR(__xludf.DUMMYFUNCTION("""COMPUTED_VALUE"""),5.32904E7)</f>
        <v>53290400</v>
      </c>
      <c r="G460" s="5">
        <f t="shared" si="1"/>
        <v>40</v>
      </c>
    </row>
    <row r="461">
      <c r="A461" s="4">
        <f>IFERROR(__xludf.DUMMYFUNCTION("""COMPUTED_VALUE"""),44519.625)</f>
        <v>44519.625</v>
      </c>
      <c r="B461" s="5">
        <f>IFERROR(__xludf.DUMMYFUNCTION("""COMPUTED_VALUE"""),3660.0)</f>
        <v>3660</v>
      </c>
      <c r="C461" s="5">
        <f>IFERROR(__xludf.DUMMYFUNCTION("""COMPUTED_VALUE"""),3920.0)</f>
        <v>3920</v>
      </c>
      <c r="D461" s="5">
        <f>IFERROR(__xludf.DUMMYFUNCTION("""COMPUTED_VALUE"""),3660.0)</f>
        <v>3660</v>
      </c>
      <c r="E461" s="5">
        <f>IFERROR(__xludf.DUMMYFUNCTION("""COMPUTED_VALUE"""),3900.0)</f>
        <v>3900</v>
      </c>
      <c r="F461" s="5">
        <f>IFERROR(__xludf.DUMMYFUNCTION("""COMPUTED_VALUE"""),3.10615E8)</f>
        <v>310615000</v>
      </c>
      <c r="G461" s="5">
        <f t="shared" si="1"/>
        <v>290</v>
      </c>
    </row>
    <row r="462">
      <c r="A462" s="4">
        <f>IFERROR(__xludf.DUMMYFUNCTION("""COMPUTED_VALUE"""),44522.625)</f>
        <v>44522.625</v>
      </c>
      <c r="B462" s="5">
        <f>IFERROR(__xludf.DUMMYFUNCTION("""COMPUTED_VALUE"""),3920.0)</f>
        <v>3920</v>
      </c>
      <c r="C462" s="5">
        <f>IFERROR(__xludf.DUMMYFUNCTION("""COMPUTED_VALUE"""),3930.0)</f>
        <v>3930</v>
      </c>
      <c r="D462" s="5">
        <f>IFERROR(__xludf.DUMMYFUNCTION("""COMPUTED_VALUE"""),3780.0)</f>
        <v>3780</v>
      </c>
      <c r="E462" s="5">
        <f>IFERROR(__xludf.DUMMYFUNCTION("""COMPUTED_VALUE"""),3800.0)</f>
        <v>3800</v>
      </c>
      <c r="F462" s="5">
        <f>IFERROR(__xludf.DUMMYFUNCTION("""COMPUTED_VALUE"""),2.066831E8)</f>
        <v>206683100</v>
      </c>
      <c r="G462" s="5">
        <f t="shared" si="1"/>
        <v>150</v>
      </c>
    </row>
    <row r="463">
      <c r="A463" s="4">
        <f>IFERROR(__xludf.DUMMYFUNCTION("""COMPUTED_VALUE"""),44523.625)</f>
        <v>44523.625</v>
      </c>
      <c r="B463" s="5">
        <f>IFERROR(__xludf.DUMMYFUNCTION("""COMPUTED_VALUE"""),3800.0)</f>
        <v>3800</v>
      </c>
      <c r="C463" s="5">
        <f>IFERROR(__xludf.DUMMYFUNCTION("""COMPUTED_VALUE"""),3850.0)</f>
        <v>3850</v>
      </c>
      <c r="D463" s="5">
        <f>IFERROR(__xludf.DUMMYFUNCTION("""COMPUTED_VALUE"""),3780.0)</f>
        <v>3780</v>
      </c>
      <c r="E463" s="5">
        <f>IFERROR(__xludf.DUMMYFUNCTION("""COMPUTED_VALUE"""),3800.0)</f>
        <v>3800</v>
      </c>
      <c r="F463" s="5">
        <f>IFERROR(__xludf.DUMMYFUNCTION("""COMPUTED_VALUE"""),6.77788E7)</f>
        <v>67778800</v>
      </c>
      <c r="G463" s="5">
        <f t="shared" si="1"/>
        <v>70</v>
      </c>
    </row>
    <row r="464">
      <c r="A464" s="4">
        <f>IFERROR(__xludf.DUMMYFUNCTION("""COMPUTED_VALUE"""),44524.625)</f>
        <v>44524.625</v>
      </c>
      <c r="B464" s="5">
        <f>IFERROR(__xludf.DUMMYFUNCTION("""COMPUTED_VALUE"""),3840.0)</f>
        <v>3840</v>
      </c>
      <c r="C464" s="5">
        <f>IFERROR(__xludf.DUMMYFUNCTION("""COMPUTED_VALUE"""),3840.0)</f>
        <v>3840</v>
      </c>
      <c r="D464" s="5">
        <f>IFERROR(__xludf.DUMMYFUNCTION("""COMPUTED_VALUE"""),3790.0)</f>
        <v>3790</v>
      </c>
      <c r="E464" s="5">
        <f>IFERROR(__xludf.DUMMYFUNCTION("""COMPUTED_VALUE"""),3800.0)</f>
        <v>3800</v>
      </c>
      <c r="F464" s="5">
        <f>IFERROR(__xludf.DUMMYFUNCTION("""COMPUTED_VALUE"""),6.73038E7)</f>
        <v>67303800</v>
      </c>
      <c r="G464" s="5">
        <f t="shared" si="1"/>
        <v>50</v>
      </c>
    </row>
    <row r="465">
      <c r="A465" s="4">
        <f>IFERROR(__xludf.DUMMYFUNCTION("""COMPUTED_VALUE"""),44525.625)</f>
        <v>44525.625</v>
      </c>
      <c r="B465" s="5">
        <f>IFERROR(__xludf.DUMMYFUNCTION("""COMPUTED_VALUE"""),3880.0)</f>
        <v>3880</v>
      </c>
      <c r="C465" s="5">
        <f>IFERROR(__xludf.DUMMYFUNCTION("""COMPUTED_VALUE"""),4090.0)</f>
        <v>4090</v>
      </c>
      <c r="D465" s="5">
        <f>IFERROR(__xludf.DUMMYFUNCTION("""COMPUTED_VALUE"""),3850.0)</f>
        <v>3850</v>
      </c>
      <c r="E465" s="5">
        <f>IFERROR(__xludf.DUMMYFUNCTION("""COMPUTED_VALUE"""),4000.0)</f>
        <v>4000</v>
      </c>
      <c r="F465" s="5">
        <f>IFERROR(__xludf.DUMMYFUNCTION("""COMPUTED_VALUE"""),2.648971E8)</f>
        <v>264897100</v>
      </c>
      <c r="G465" s="5">
        <f t="shared" si="1"/>
        <v>290</v>
      </c>
    </row>
    <row r="466">
      <c r="A466" s="4">
        <f>IFERROR(__xludf.DUMMYFUNCTION("""COMPUTED_VALUE"""),44526.625)</f>
        <v>44526.625</v>
      </c>
      <c r="B466" s="5">
        <f>IFERROR(__xludf.DUMMYFUNCTION("""COMPUTED_VALUE"""),4040.0)</f>
        <v>4040</v>
      </c>
      <c r="C466" s="5">
        <f>IFERROR(__xludf.DUMMYFUNCTION("""COMPUTED_VALUE"""),4050.0)</f>
        <v>4050</v>
      </c>
      <c r="D466" s="5">
        <f>IFERROR(__xludf.DUMMYFUNCTION("""COMPUTED_VALUE"""),3970.0)</f>
        <v>3970</v>
      </c>
      <c r="E466" s="5">
        <f>IFERROR(__xludf.DUMMYFUNCTION("""COMPUTED_VALUE"""),4010.0)</f>
        <v>4010</v>
      </c>
      <c r="F466" s="5">
        <f>IFERROR(__xludf.DUMMYFUNCTION("""COMPUTED_VALUE"""),2.318703E8)</f>
        <v>231870300</v>
      </c>
      <c r="G466" s="5">
        <f t="shared" si="1"/>
        <v>80</v>
      </c>
    </row>
    <row r="467">
      <c r="A467" s="4">
        <f>IFERROR(__xludf.DUMMYFUNCTION("""COMPUTED_VALUE"""),44529.625)</f>
        <v>44529.625</v>
      </c>
      <c r="B467" s="5">
        <f>IFERROR(__xludf.DUMMYFUNCTION("""COMPUTED_VALUE"""),4010.0)</f>
        <v>4010</v>
      </c>
      <c r="C467" s="5">
        <f>IFERROR(__xludf.DUMMYFUNCTION("""COMPUTED_VALUE"""),4170.0)</f>
        <v>4170</v>
      </c>
      <c r="D467" s="5">
        <f>IFERROR(__xludf.DUMMYFUNCTION("""COMPUTED_VALUE"""),3980.0)</f>
        <v>3980</v>
      </c>
      <c r="E467" s="5">
        <f>IFERROR(__xludf.DUMMYFUNCTION("""COMPUTED_VALUE"""),4140.0)</f>
        <v>4140</v>
      </c>
      <c r="F467" s="5">
        <f>IFERROR(__xludf.DUMMYFUNCTION("""COMPUTED_VALUE"""),2.287746E8)</f>
        <v>228774600</v>
      </c>
      <c r="G467" s="5">
        <f t="shared" si="1"/>
        <v>190</v>
      </c>
    </row>
    <row r="468">
      <c r="A468" s="4">
        <f>IFERROR(__xludf.DUMMYFUNCTION("""COMPUTED_VALUE"""),44530.625)</f>
        <v>44530.625</v>
      </c>
      <c r="B468" s="5">
        <f>IFERROR(__xludf.DUMMYFUNCTION("""COMPUTED_VALUE"""),4150.0)</f>
        <v>4150</v>
      </c>
      <c r="C468" s="5">
        <f>IFERROR(__xludf.DUMMYFUNCTION("""COMPUTED_VALUE"""),4170.0)</f>
        <v>4170</v>
      </c>
      <c r="D468" s="5">
        <f>IFERROR(__xludf.DUMMYFUNCTION("""COMPUTED_VALUE"""),3990.0)</f>
        <v>3990</v>
      </c>
      <c r="E468" s="5">
        <f>IFERROR(__xludf.DUMMYFUNCTION("""COMPUTED_VALUE"""),3990.0)</f>
        <v>3990</v>
      </c>
      <c r="F468" s="5">
        <f>IFERROR(__xludf.DUMMYFUNCTION("""COMPUTED_VALUE"""),4.358006E8)</f>
        <v>435800600</v>
      </c>
      <c r="G468" s="5">
        <f t="shared" si="1"/>
        <v>180</v>
      </c>
    </row>
    <row r="469">
      <c r="A469" s="4">
        <f>IFERROR(__xludf.DUMMYFUNCTION("""COMPUTED_VALUE"""),44531.66666666667)</f>
        <v>44531.66667</v>
      </c>
      <c r="B469" s="5">
        <f>IFERROR(__xludf.DUMMYFUNCTION("""COMPUTED_VALUE"""),4040.0)</f>
        <v>4040</v>
      </c>
      <c r="C469" s="5">
        <f>IFERROR(__xludf.DUMMYFUNCTION("""COMPUTED_VALUE"""),4150.0)</f>
        <v>4150</v>
      </c>
      <c r="D469" s="5">
        <f>IFERROR(__xludf.DUMMYFUNCTION("""COMPUTED_VALUE"""),4020.0)</f>
        <v>4020</v>
      </c>
      <c r="E469" s="5">
        <f>IFERROR(__xludf.DUMMYFUNCTION("""COMPUTED_VALUE"""),4080.0)</f>
        <v>4080</v>
      </c>
      <c r="F469" s="5">
        <f>IFERROR(__xludf.DUMMYFUNCTION("""COMPUTED_VALUE"""),2.006992E8)</f>
        <v>200699200</v>
      </c>
      <c r="G469" s="5">
        <f t="shared" si="1"/>
        <v>160</v>
      </c>
    </row>
    <row r="470">
      <c r="A470" s="4">
        <f>IFERROR(__xludf.DUMMYFUNCTION("""COMPUTED_VALUE"""),44532.66666666667)</f>
        <v>44532.66667</v>
      </c>
      <c r="B470" s="5">
        <f>IFERROR(__xludf.DUMMYFUNCTION("""COMPUTED_VALUE"""),4140.0)</f>
        <v>4140</v>
      </c>
      <c r="C470" s="5">
        <f>IFERROR(__xludf.DUMMYFUNCTION("""COMPUTED_VALUE"""),4190.0)</f>
        <v>4190</v>
      </c>
      <c r="D470" s="5">
        <f>IFERROR(__xludf.DUMMYFUNCTION("""COMPUTED_VALUE"""),4100.0)</f>
        <v>4100</v>
      </c>
      <c r="E470" s="5">
        <f>IFERROR(__xludf.DUMMYFUNCTION("""COMPUTED_VALUE"""),4160.0)</f>
        <v>4160</v>
      </c>
      <c r="F470" s="5">
        <f>IFERROR(__xludf.DUMMYFUNCTION("""COMPUTED_VALUE"""),1.160931E8)</f>
        <v>116093100</v>
      </c>
      <c r="G470" s="5">
        <f t="shared" si="1"/>
        <v>110</v>
      </c>
    </row>
    <row r="471">
      <c r="A471" s="4">
        <f>IFERROR(__xludf.DUMMYFUNCTION("""COMPUTED_VALUE"""),44533.66666666667)</f>
        <v>44533.66667</v>
      </c>
      <c r="B471" s="5">
        <f>IFERROR(__xludf.DUMMYFUNCTION("""COMPUTED_VALUE"""),4130.0)</f>
        <v>4130</v>
      </c>
      <c r="C471" s="5">
        <f>IFERROR(__xludf.DUMMYFUNCTION("""COMPUTED_VALUE"""),4180.0)</f>
        <v>4180</v>
      </c>
      <c r="D471" s="5">
        <f>IFERROR(__xludf.DUMMYFUNCTION("""COMPUTED_VALUE"""),4050.0)</f>
        <v>4050</v>
      </c>
      <c r="E471" s="5">
        <f>IFERROR(__xludf.DUMMYFUNCTION("""COMPUTED_VALUE"""),4070.0)</f>
        <v>4070</v>
      </c>
      <c r="F471" s="5">
        <f>IFERROR(__xludf.DUMMYFUNCTION("""COMPUTED_VALUE"""),9.67607E7)</f>
        <v>96760700</v>
      </c>
      <c r="G471" s="5">
        <f t="shared" si="1"/>
        <v>130</v>
      </c>
    </row>
    <row r="472">
      <c r="A472" s="4">
        <f>IFERROR(__xludf.DUMMYFUNCTION("""COMPUTED_VALUE"""),44536.66666666667)</f>
        <v>44536.66667</v>
      </c>
      <c r="B472" s="5">
        <f>IFERROR(__xludf.DUMMYFUNCTION("""COMPUTED_VALUE"""),4060.0)</f>
        <v>4060</v>
      </c>
      <c r="C472" s="5">
        <f>IFERROR(__xludf.DUMMYFUNCTION("""COMPUTED_VALUE"""),4250.0)</f>
        <v>4250</v>
      </c>
      <c r="D472" s="5">
        <f>IFERROR(__xludf.DUMMYFUNCTION("""COMPUTED_VALUE"""),4050.0)</f>
        <v>4050</v>
      </c>
      <c r="E472" s="5">
        <f>IFERROR(__xludf.DUMMYFUNCTION("""COMPUTED_VALUE"""),4170.0)</f>
        <v>4170</v>
      </c>
      <c r="F472" s="5">
        <f>IFERROR(__xludf.DUMMYFUNCTION("""COMPUTED_VALUE"""),1.067569E8)</f>
        <v>106756900</v>
      </c>
      <c r="G472" s="5">
        <f t="shared" si="1"/>
        <v>200</v>
      </c>
    </row>
    <row r="473">
      <c r="A473" s="4">
        <f>IFERROR(__xludf.DUMMYFUNCTION("""COMPUTED_VALUE"""),44537.66666666667)</f>
        <v>44537.66667</v>
      </c>
      <c r="B473" s="5">
        <f>IFERROR(__xludf.DUMMYFUNCTION("""COMPUTED_VALUE"""),4180.0)</f>
        <v>4180</v>
      </c>
      <c r="C473" s="5">
        <f>IFERROR(__xludf.DUMMYFUNCTION("""COMPUTED_VALUE"""),4200.0)</f>
        <v>4200</v>
      </c>
      <c r="D473" s="5">
        <f>IFERROR(__xludf.DUMMYFUNCTION("""COMPUTED_VALUE"""),4120.0)</f>
        <v>4120</v>
      </c>
      <c r="E473" s="5">
        <f>IFERROR(__xludf.DUMMYFUNCTION("""COMPUTED_VALUE"""),4150.0)</f>
        <v>4150</v>
      </c>
      <c r="F473" s="5">
        <f>IFERROR(__xludf.DUMMYFUNCTION("""COMPUTED_VALUE"""),1.215434E8)</f>
        <v>121543400</v>
      </c>
      <c r="G473" s="5">
        <f t="shared" si="1"/>
        <v>80</v>
      </c>
    </row>
    <row r="474">
      <c r="A474" s="4">
        <f>IFERROR(__xludf.DUMMYFUNCTION("""COMPUTED_VALUE"""),44538.66666666667)</f>
        <v>44538.66667</v>
      </c>
      <c r="B474" s="5">
        <f>IFERROR(__xludf.DUMMYFUNCTION("""COMPUTED_VALUE"""),4100.0)</f>
        <v>4100</v>
      </c>
      <c r="C474" s="5">
        <f>IFERROR(__xludf.DUMMYFUNCTION("""COMPUTED_VALUE"""),4120.0)</f>
        <v>4120</v>
      </c>
      <c r="D474" s="5">
        <f>IFERROR(__xludf.DUMMYFUNCTION("""COMPUTED_VALUE"""),4010.0)</f>
        <v>4010</v>
      </c>
      <c r="E474" s="5">
        <f>IFERROR(__xludf.DUMMYFUNCTION("""COMPUTED_VALUE"""),4090.0)</f>
        <v>4090</v>
      </c>
      <c r="F474" s="5">
        <f>IFERROR(__xludf.DUMMYFUNCTION("""COMPUTED_VALUE"""),1.138456E8)</f>
        <v>113845600</v>
      </c>
      <c r="G474" s="5">
        <f t="shared" si="1"/>
        <v>140</v>
      </c>
    </row>
    <row r="475">
      <c r="A475" s="4">
        <f>IFERROR(__xludf.DUMMYFUNCTION("""COMPUTED_VALUE"""),44539.66666666667)</f>
        <v>44539.66667</v>
      </c>
      <c r="B475" s="5">
        <f>IFERROR(__xludf.DUMMYFUNCTION("""COMPUTED_VALUE"""),4090.0)</f>
        <v>4090</v>
      </c>
      <c r="C475" s="5">
        <f>IFERROR(__xludf.DUMMYFUNCTION("""COMPUTED_VALUE"""),4150.0)</f>
        <v>4150</v>
      </c>
      <c r="D475" s="5">
        <f>IFERROR(__xludf.DUMMYFUNCTION("""COMPUTED_VALUE"""),4080.0)</f>
        <v>4080</v>
      </c>
      <c r="E475" s="5">
        <f>IFERROR(__xludf.DUMMYFUNCTION("""COMPUTED_VALUE"""),4150.0)</f>
        <v>4150</v>
      </c>
      <c r="F475" s="5">
        <f>IFERROR(__xludf.DUMMYFUNCTION("""COMPUTED_VALUE"""),8.69858E7)</f>
        <v>86985800</v>
      </c>
      <c r="G475" s="5">
        <f t="shared" si="1"/>
        <v>70</v>
      </c>
    </row>
    <row r="476">
      <c r="A476" s="4">
        <f>IFERROR(__xludf.DUMMYFUNCTION("""COMPUTED_VALUE"""),44540.66666666667)</f>
        <v>44540.66667</v>
      </c>
      <c r="B476" s="5">
        <f>IFERROR(__xludf.DUMMYFUNCTION("""COMPUTED_VALUE"""),4070.0)</f>
        <v>4070</v>
      </c>
      <c r="C476" s="5">
        <f>IFERROR(__xludf.DUMMYFUNCTION("""COMPUTED_VALUE"""),4150.0)</f>
        <v>4150</v>
      </c>
      <c r="D476" s="5">
        <f>IFERROR(__xludf.DUMMYFUNCTION("""COMPUTED_VALUE"""),4070.0)</f>
        <v>4070</v>
      </c>
      <c r="E476" s="5">
        <f>IFERROR(__xludf.DUMMYFUNCTION("""COMPUTED_VALUE"""),4150.0)</f>
        <v>4150</v>
      </c>
      <c r="F476" s="5">
        <f>IFERROR(__xludf.DUMMYFUNCTION("""COMPUTED_VALUE"""),9.0725E7)</f>
        <v>90725000</v>
      </c>
      <c r="G476" s="5">
        <f t="shared" si="1"/>
        <v>80</v>
      </c>
    </row>
    <row r="477">
      <c r="A477" s="4">
        <f>IFERROR(__xludf.DUMMYFUNCTION("""COMPUTED_VALUE"""),44543.66666666667)</f>
        <v>44543.66667</v>
      </c>
      <c r="B477" s="5">
        <f>IFERROR(__xludf.DUMMYFUNCTION("""COMPUTED_VALUE"""),4150.0)</f>
        <v>4150</v>
      </c>
      <c r="C477" s="5">
        <f>IFERROR(__xludf.DUMMYFUNCTION("""COMPUTED_VALUE"""),4150.0)</f>
        <v>4150</v>
      </c>
      <c r="D477" s="5">
        <f>IFERROR(__xludf.DUMMYFUNCTION("""COMPUTED_VALUE"""),4080.0)</f>
        <v>4080</v>
      </c>
      <c r="E477" s="5">
        <f>IFERROR(__xludf.DUMMYFUNCTION("""COMPUTED_VALUE"""),4080.0)</f>
        <v>4080</v>
      </c>
      <c r="F477" s="5">
        <f>IFERROR(__xludf.DUMMYFUNCTION("""COMPUTED_VALUE"""),6.5533E7)</f>
        <v>65533000</v>
      </c>
      <c r="G477" s="5">
        <f t="shared" si="1"/>
        <v>70</v>
      </c>
    </row>
    <row r="478">
      <c r="A478" s="4">
        <f>IFERROR(__xludf.DUMMYFUNCTION("""COMPUTED_VALUE"""),44544.66666666667)</f>
        <v>44544.66667</v>
      </c>
      <c r="B478" s="5">
        <f>IFERROR(__xludf.DUMMYFUNCTION("""COMPUTED_VALUE"""),4120.0)</f>
        <v>4120</v>
      </c>
      <c r="C478" s="5">
        <f>IFERROR(__xludf.DUMMYFUNCTION("""COMPUTED_VALUE"""),4120.0)</f>
        <v>4120</v>
      </c>
      <c r="D478" s="5">
        <f>IFERROR(__xludf.DUMMYFUNCTION("""COMPUTED_VALUE"""),4070.0)</f>
        <v>4070</v>
      </c>
      <c r="E478" s="5">
        <f>IFERROR(__xludf.DUMMYFUNCTION("""COMPUTED_VALUE"""),4100.0)</f>
        <v>4100</v>
      </c>
      <c r="F478" s="5">
        <f>IFERROR(__xludf.DUMMYFUNCTION("""COMPUTED_VALUE"""),7.57369E7)</f>
        <v>75736900</v>
      </c>
      <c r="G478" s="5">
        <f t="shared" si="1"/>
        <v>50</v>
      </c>
    </row>
    <row r="479">
      <c r="A479" s="4">
        <f>IFERROR(__xludf.DUMMYFUNCTION("""COMPUTED_VALUE"""),44545.66666666667)</f>
        <v>44545.66667</v>
      </c>
      <c r="B479" s="5">
        <f>IFERROR(__xludf.DUMMYFUNCTION("""COMPUTED_VALUE"""),4060.0)</f>
        <v>4060</v>
      </c>
      <c r="C479" s="5">
        <f>IFERROR(__xludf.DUMMYFUNCTION("""COMPUTED_VALUE"""),4140.0)</f>
        <v>4140</v>
      </c>
      <c r="D479" s="5">
        <f>IFERROR(__xludf.DUMMYFUNCTION("""COMPUTED_VALUE"""),4060.0)</f>
        <v>4060</v>
      </c>
      <c r="E479" s="5">
        <f>IFERROR(__xludf.DUMMYFUNCTION("""COMPUTED_VALUE"""),4080.0)</f>
        <v>4080</v>
      </c>
      <c r="F479" s="5">
        <f>IFERROR(__xludf.DUMMYFUNCTION("""COMPUTED_VALUE"""),8.44245E7)</f>
        <v>84424500</v>
      </c>
      <c r="G479" s="5">
        <f t="shared" si="1"/>
        <v>80</v>
      </c>
    </row>
    <row r="480">
      <c r="A480" s="4">
        <f>IFERROR(__xludf.DUMMYFUNCTION("""COMPUTED_VALUE"""),44546.66666666667)</f>
        <v>44546.66667</v>
      </c>
      <c r="B480" s="5">
        <f>IFERROR(__xludf.DUMMYFUNCTION("""COMPUTED_VALUE"""),4110.0)</f>
        <v>4110</v>
      </c>
      <c r="C480" s="5">
        <f>IFERROR(__xludf.DUMMYFUNCTION("""COMPUTED_VALUE"""),4150.0)</f>
        <v>4150</v>
      </c>
      <c r="D480" s="5">
        <f>IFERROR(__xludf.DUMMYFUNCTION("""COMPUTED_VALUE"""),4060.0)</f>
        <v>4060</v>
      </c>
      <c r="E480" s="5">
        <f>IFERROR(__xludf.DUMMYFUNCTION("""COMPUTED_VALUE"""),4100.0)</f>
        <v>4100</v>
      </c>
      <c r="F480" s="5">
        <f>IFERROR(__xludf.DUMMYFUNCTION("""COMPUTED_VALUE"""),9.81643E7)</f>
        <v>98164300</v>
      </c>
      <c r="G480" s="5">
        <f t="shared" si="1"/>
        <v>90</v>
      </c>
    </row>
    <row r="481">
      <c r="A481" s="4">
        <f>IFERROR(__xludf.DUMMYFUNCTION("""COMPUTED_VALUE"""),44547.66666666667)</f>
        <v>44547.66667</v>
      </c>
      <c r="B481" s="5">
        <f>IFERROR(__xludf.DUMMYFUNCTION("""COMPUTED_VALUE"""),4010.0)</f>
        <v>4010</v>
      </c>
      <c r="C481" s="5">
        <f>IFERROR(__xludf.DUMMYFUNCTION("""COMPUTED_VALUE"""),4100.0)</f>
        <v>4100</v>
      </c>
      <c r="D481" s="5">
        <f>IFERROR(__xludf.DUMMYFUNCTION("""COMPUTED_VALUE"""),4010.0)</f>
        <v>4010</v>
      </c>
      <c r="E481" s="5">
        <f>IFERROR(__xludf.DUMMYFUNCTION("""COMPUTED_VALUE"""),4100.0)</f>
        <v>4100</v>
      </c>
      <c r="F481" s="5">
        <f>IFERROR(__xludf.DUMMYFUNCTION("""COMPUTED_VALUE"""),1.496158E8)</f>
        <v>149615800</v>
      </c>
      <c r="G481" s="5">
        <f t="shared" si="1"/>
        <v>90</v>
      </c>
    </row>
    <row r="482">
      <c r="A482" s="4">
        <f>IFERROR(__xludf.DUMMYFUNCTION("""COMPUTED_VALUE"""),44550.66666666667)</f>
        <v>44550.66667</v>
      </c>
      <c r="B482" s="5">
        <f>IFERROR(__xludf.DUMMYFUNCTION("""COMPUTED_VALUE"""),4070.0)</f>
        <v>4070</v>
      </c>
      <c r="C482" s="5">
        <f>IFERROR(__xludf.DUMMYFUNCTION("""COMPUTED_VALUE"""),4110.0)</f>
        <v>4110</v>
      </c>
      <c r="D482" s="5">
        <f>IFERROR(__xludf.DUMMYFUNCTION("""COMPUTED_VALUE"""),4040.0)</f>
        <v>4040</v>
      </c>
      <c r="E482" s="5">
        <f>IFERROR(__xludf.DUMMYFUNCTION("""COMPUTED_VALUE"""),4080.0)</f>
        <v>4080</v>
      </c>
      <c r="F482" s="5">
        <f>IFERROR(__xludf.DUMMYFUNCTION("""COMPUTED_VALUE"""),7.27942E7)</f>
        <v>72794200</v>
      </c>
      <c r="G482" s="5">
        <f t="shared" si="1"/>
        <v>70</v>
      </c>
    </row>
    <row r="483">
      <c r="A483" s="4">
        <f>IFERROR(__xludf.DUMMYFUNCTION("""COMPUTED_VALUE"""),44551.66666666667)</f>
        <v>44551.66667</v>
      </c>
      <c r="B483" s="5">
        <f>IFERROR(__xludf.DUMMYFUNCTION("""COMPUTED_VALUE"""),4110.0)</f>
        <v>4110</v>
      </c>
      <c r="C483" s="5">
        <f>IFERROR(__xludf.DUMMYFUNCTION("""COMPUTED_VALUE"""),4190.0)</f>
        <v>4190</v>
      </c>
      <c r="D483" s="5">
        <f>IFERROR(__xludf.DUMMYFUNCTION("""COMPUTED_VALUE"""),4100.0)</f>
        <v>4100</v>
      </c>
      <c r="E483" s="5">
        <f>IFERROR(__xludf.DUMMYFUNCTION("""COMPUTED_VALUE"""),4160.0)</f>
        <v>4160</v>
      </c>
      <c r="F483" s="5">
        <f>IFERROR(__xludf.DUMMYFUNCTION("""COMPUTED_VALUE"""),9.80393E7)</f>
        <v>98039300</v>
      </c>
      <c r="G483" s="5">
        <f t="shared" si="1"/>
        <v>110</v>
      </c>
    </row>
    <row r="484">
      <c r="A484" s="4">
        <f>IFERROR(__xludf.DUMMYFUNCTION("""COMPUTED_VALUE"""),44552.66666666667)</f>
        <v>44552.66667</v>
      </c>
      <c r="B484" s="5">
        <f>IFERROR(__xludf.DUMMYFUNCTION("""COMPUTED_VALUE"""),4160.0)</f>
        <v>4160</v>
      </c>
      <c r="C484" s="5">
        <f>IFERROR(__xludf.DUMMYFUNCTION("""COMPUTED_VALUE"""),4170.0)</f>
        <v>4170</v>
      </c>
      <c r="D484" s="5">
        <f>IFERROR(__xludf.DUMMYFUNCTION("""COMPUTED_VALUE"""),4110.0)</f>
        <v>4110</v>
      </c>
      <c r="E484" s="5">
        <f>IFERROR(__xludf.DUMMYFUNCTION("""COMPUTED_VALUE"""),4110.0)</f>
        <v>4110</v>
      </c>
      <c r="F484" s="5">
        <f>IFERROR(__xludf.DUMMYFUNCTION("""COMPUTED_VALUE"""),5.05745E7)</f>
        <v>50574500</v>
      </c>
      <c r="G484" s="5">
        <f t="shared" si="1"/>
        <v>60</v>
      </c>
    </row>
    <row r="485">
      <c r="A485" s="4">
        <f>IFERROR(__xludf.DUMMYFUNCTION("""COMPUTED_VALUE"""),44553.66666666667)</f>
        <v>44553.66667</v>
      </c>
      <c r="B485" s="5">
        <f>IFERROR(__xludf.DUMMYFUNCTION("""COMPUTED_VALUE"""),4110.0)</f>
        <v>4110</v>
      </c>
      <c r="C485" s="5">
        <f>IFERROR(__xludf.DUMMYFUNCTION("""COMPUTED_VALUE"""),4160.0)</f>
        <v>4160</v>
      </c>
      <c r="D485" s="5">
        <f>IFERROR(__xludf.DUMMYFUNCTION("""COMPUTED_VALUE"""),4100.0)</f>
        <v>4100</v>
      </c>
      <c r="E485" s="5">
        <f>IFERROR(__xludf.DUMMYFUNCTION("""COMPUTED_VALUE"""),4160.0)</f>
        <v>4160</v>
      </c>
      <c r="F485" s="5">
        <f>IFERROR(__xludf.DUMMYFUNCTION("""COMPUTED_VALUE"""),5.45082E7)</f>
        <v>54508200</v>
      </c>
      <c r="G485" s="5">
        <f t="shared" si="1"/>
        <v>60</v>
      </c>
    </row>
    <row r="486">
      <c r="A486" s="4">
        <f>IFERROR(__xludf.DUMMYFUNCTION("""COMPUTED_VALUE"""),44554.66666666667)</f>
        <v>44554.66667</v>
      </c>
      <c r="B486" s="5">
        <f>IFERROR(__xludf.DUMMYFUNCTION("""COMPUTED_VALUE"""),4160.0)</f>
        <v>4160</v>
      </c>
      <c r="C486" s="5">
        <f>IFERROR(__xludf.DUMMYFUNCTION("""COMPUTED_VALUE"""),4170.0)</f>
        <v>4170</v>
      </c>
      <c r="D486" s="5">
        <f>IFERROR(__xludf.DUMMYFUNCTION("""COMPUTED_VALUE"""),4100.0)</f>
        <v>4100</v>
      </c>
      <c r="E486" s="5">
        <f>IFERROR(__xludf.DUMMYFUNCTION("""COMPUTED_VALUE"""),4110.0)</f>
        <v>4110</v>
      </c>
      <c r="F486" s="5">
        <f>IFERROR(__xludf.DUMMYFUNCTION("""COMPUTED_VALUE"""),2.90756E7)</f>
        <v>29075600</v>
      </c>
      <c r="G486" s="5">
        <f t="shared" si="1"/>
        <v>70</v>
      </c>
    </row>
    <row r="487">
      <c r="A487" s="4">
        <f>IFERROR(__xludf.DUMMYFUNCTION("""COMPUTED_VALUE"""),44557.66666666667)</f>
        <v>44557.66667</v>
      </c>
      <c r="B487" s="5">
        <f>IFERROR(__xludf.DUMMYFUNCTION("""COMPUTED_VALUE"""),4150.0)</f>
        <v>4150</v>
      </c>
      <c r="C487" s="5">
        <f>IFERROR(__xludf.DUMMYFUNCTION("""COMPUTED_VALUE"""),4150.0)</f>
        <v>4150</v>
      </c>
      <c r="D487" s="5">
        <f>IFERROR(__xludf.DUMMYFUNCTION("""COMPUTED_VALUE"""),4070.0)</f>
        <v>4070</v>
      </c>
      <c r="E487" s="5">
        <f>IFERROR(__xludf.DUMMYFUNCTION("""COMPUTED_VALUE"""),4080.0)</f>
        <v>4080</v>
      </c>
      <c r="F487" s="5">
        <f>IFERROR(__xludf.DUMMYFUNCTION("""COMPUTED_VALUE"""),3.0748E7)</f>
        <v>30748000</v>
      </c>
      <c r="G487" s="5">
        <f t="shared" si="1"/>
        <v>80</v>
      </c>
    </row>
    <row r="488">
      <c r="A488" s="4">
        <f>IFERROR(__xludf.DUMMYFUNCTION("""COMPUTED_VALUE"""),44558.66666666667)</f>
        <v>44558.66667</v>
      </c>
      <c r="B488" s="5">
        <f>IFERROR(__xludf.DUMMYFUNCTION("""COMPUTED_VALUE"""),4080.0)</f>
        <v>4080</v>
      </c>
      <c r="C488" s="5">
        <f>IFERROR(__xludf.DUMMYFUNCTION("""COMPUTED_VALUE"""),4130.0)</f>
        <v>4130</v>
      </c>
      <c r="D488" s="5">
        <f>IFERROR(__xludf.DUMMYFUNCTION("""COMPUTED_VALUE"""),4050.0)</f>
        <v>4050</v>
      </c>
      <c r="E488" s="5">
        <f>IFERROR(__xludf.DUMMYFUNCTION("""COMPUTED_VALUE"""),4090.0)</f>
        <v>4090</v>
      </c>
      <c r="F488" s="5">
        <f>IFERROR(__xludf.DUMMYFUNCTION("""COMPUTED_VALUE"""),3.94433E7)</f>
        <v>39443300</v>
      </c>
      <c r="G488" s="5">
        <f t="shared" si="1"/>
        <v>80</v>
      </c>
    </row>
    <row r="489">
      <c r="A489" s="4">
        <f>IFERROR(__xludf.DUMMYFUNCTION("""COMPUTED_VALUE"""),44559.66666666667)</f>
        <v>44559.66667</v>
      </c>
      <c r="B489" s="5">
        <f>IFERROR(__xludf.DUMMYFUNCTION("""COMPUTED_VALUE"""),4100.0)</f>
        <v>4100</v>
      </c>
      <c r="C489" s="5">
        <f>IFERROR(__xludf.DUMMYFUNCTION("""COMPUTED_VALUE"""),4130.0)</f>
        <v>4130</v>
      </c>
      <c r="D489" s="5">
        <f>IFERROR(__xludf.DUMMYFUNCTION("""COMPUTED_VALUE"""),4080.0)</f>
        <v>4080</v>
      </c>
      <c r="E489" s="5">
        <f>IFERROR(__xludf.DUMMYFUNCTION("""COMPUTED_VALUE"""),4080.0)</f>
        <v>4080</v>
      </c>
      <c r="F489" s="5">
        <f>IFERROR(__xludf.DUMMYFUNCTION("""COMPUTED_VALUE"""),2.55961E7)</f>
        <v>25596100</v>
      </c>
      <c r="G489" s="5">
        <f t="shared" si="1"/>
        <v>50</v>
      </c>
    </row>
    <row r="490">
      <c r="A490" s="4">
        <f>IFERROR(__xludf.DUMMYFUNCTION("""COMPUTED_VALUE"""),44560.66666666667)</f>
        <v>44560.66667</v>
      </c>
      <c r="B490" s="5">
        <f>IFERROR(__xludf.DUMMYFUNCTION("""COMPUTED_VALUE"""),4130.0)</f>
        <v>4130</v>
      </c>
      <c r="C490" s="5">
        <f>IFERROR(__xludf.DUMMYFUNCTION("""COMPUTED_VALUE"""),4130.0)</f>
        <v>4130</v>
      </c>
      <c r="D490" s="5">
        <f>IFERROR(__xludf.DUMMYFUNCTION("""COMPUTED_VALUE"""),4040.0)</f>
        <v>4040</v>
      </c>
      <c r="E490" s="5">
        <f>IFERROR(__xludf.DUMMYFUNCTION("""COMPUTED_VALUE"""),4040.0)</f>
        <v>4040</v>
      </c>
      <c r="F490" s="5">
        <f>IFERROR(__xludf.DUMMYFUNCTION("""COMPUTED_VALUE"""),5.05751E7)</f>
        <v>50575100</v>
      </c>
      <c r="G490" s="5">
        <f t="shared" si="1"/>
        <v>90</v>
      </c>
    </row>
    <row r="491">
      <c r="A491" s="4">
        <f>IFERROR(__xludf.DUMMYFUNCTION("""COMPUTED_VALUE"""),44564.66666666667)</f>
        <v>44564.66667</v>
      </c>
      <c r="B491" s="5">
        <f>IFERROR(__xludf.DUMMYFUNCTION("""COMPUTED_VALUE"""),4060.0)</f>
        <v>4060</v>
      </c>
      <c r="C491" s="5">
        <f>IFERROR(__xludf.DUMMYFUNCTION("""COMPUTED_VALUE"""),4180.0)</f>
        <v>4180</v>
      </c>
      <c r="D491" s="5">
        <f>IFERROR(__xludf.DUMMYFUNCTION("""COMPUTED_VALUE"""),4050.0)</f>
        <v>4050</v>
      </c>
      <c r="E491" s="5">
        <f>IFERROR(__xludf.DUMMYFUNCTION("""COMPUTED_VALUE"""),4180.0)</f>
        <v>4180</v>
      </c>
      <c r="F491" s="5">
        <f>IFERROR(__xludf.DUMMYFUNCTION("""COMPUTED_VALUE"""),6.59379E7)</f>
        <v>65937900</v>
      </c>
      <c r="G491" s="5">
        <f t="shared" si="1"/>
        <v>140</v>
      </c>
    </row>
    <row r="492">
      <c r="A492" s="4">
        <f>IFERROR(__xludf.DUMMYFUNCTION("""COMPUTED_VALUE"""),44565.66666666667)</f>
        <v>44565.66667</v>
      </c>
      <c r="B492" s="5">
        <f>IFERROR(__xludf.DUMMYFUNCTION("""COMPUTED_VALUE"""),4180.0)</f>
        <v>4180</v>
      </c>
      <c r="C492" s="5">
        <f>IFERROR(__xludf.DUMMYFUNCTION("""COMPUTED_VALUE"""),4200.0)</f>
        <v>4200</v>
      </c>
      <c r="D492" s="5">
        <f>IFERROR(__xludf.DUMMYFUNCTION("""COMPUTED_VALUE"""),4150.0)</f>
        <v>4150</v>
      </c>
      <c r="E492" s="5">
        <f>IFERROR(__xludf.DUMMYFUNCTION("""COMPUTED_VALUE"""),4170.0)</f>
        <v>4170</v>
      </c>
      <c r="F492" s="5">
        <f>IFERROR(__xludf.DUMMYFUNCTION("""COMPUTED_VALUE"""),4.29847E7)</f>
        <v>42984700</v>
      </c>
      <c r="G492" s="5">
        <f t="shared" si="1"/>
        <v>50</v>
      </c>
    </row>
    <row r="493">
      <c r="A493" s="4">
        <f>IFERROR(__xludf.DUMMYFUNCTION("""COMPUTED_VALUE"""),44566.66666666667)</f>
        <v>44566.66667</v>
      </c>
      <c r="B493" s="5">
        <f>IFERROR(__xludf.DUMMYFUNCTION("""COMPUTED_VALUE"""),4150.0)</f>
        <v>4150</v>
      </c>
      <c r="C493" s="5">
        <f>IFERROR(__xludf.DUMMYFUNCTION("""COMPUTED_VALUE"""),4190.0)</f>
        <v>4190</v>
      </c>
      <c r="D493" s="5">
        <f>IFERROR(__xludf.DUMMYFUNCTION("""COMPUTED_VALUE"""),4030.0)</f>
        <v>4030</v>
      </c>
      <c r="E493" s="5">
        <f>IFERROR(__xludf.DUMMYFUNCTION("""COMPUTED_VALUE"""),4050.0)</f>
        <v>4050</v>
      </c>
      <c r="F493" s="5">
        <f>IFERROR(__xludf.DUMMYFUNCTION("""COMPUTED_VALUE"""),1.195847E8)</f>
        <v>119584700</v>
      </c>
      <c r="G493" s="5">
        <f t="shared" si="1"/>
        <v>160</v>
      </c>
    </row>
    <row r="494">
      <c r="A494" s="4">
        <f>IFERROR(__xludf.DUMMYFUNCTION("""COMPUTED_VALUE"""),44567.66666666667)</f>
        <v>44567.66667</v>
      </c>
      <c r="B494" s="5">
        <f>IFERROR(__xludf.DUMMYFUNCTION("""COMPUTED_VALUE"""),4090.0)</f>
        <v>4090</v>
      </c>
      <c r="C494" s="5">
        <f>IFERROR(__xludf.DUMMYFUNCTION("""COMPUTED_VALUE"""),4120.0)</f>
        <v>4120</v>
      </c>
      <c r="D494" s="5">
        <f>IFERROR(__xludf.DUMMYFUNCTION("""COMPUTED_VALUE"""),4030.0)</f>
        <v>4030</v>
      </c>
      <c r="E494" s="5">
        <f>IFERROR(__xludf.DUMMYFUNCTION("""COMPUTED_VALUE"""),4120.0)</f>
        <v>4120</v>
      </c>
      <c r="F494" s="5">
        <f>IFERROR(__xludf.DUMMYFUNCTION("""COMPUTED_VALUE"""),8.91975E7)</f>
        <v>89197500</v>
      </c>
      <c r="G494" s="5">
        <f t="shared" si="1"/>
        <v>90</v>
      </c>
    </row>
    <row r="495">
      <c r="A495" s="4">
        <f>IFERROR(__xludf.DUMMYFUNCTION("""COMPUTED_VALUE"""),44568.66666666667)</f>
        <v>44568.66667</v>
      </c>
      <c r="B495" s="5">
        <f>IFERROR(__xludf.DUMMYFUNCTION("""COMPUTED_VALUE"""),4120.0)</f>
        <v>4120</v>
      </c>
      <c r="C495" s="5">
        <f>IFERROR(__xludf.DUMMYFUNCTION("""COMPUTED_VALUE"""),4190.0)</f>
        <v>4190</v>
      </c>
      <c r="D495" s="5">
        <f>IFERROR(__xludf.DUMMYFUNCTION("""COMPUTED_VALUE"""),4090.0)</f>
        <v>4090</v>
      </c>
      <c r="E495" s="5">
        <f>IFERROR(__xludf.DUMMYFUNCTION("""COMPUTED_VALUE"""),4170.0)</f>
        <v>4170</v>
      </c>
      <c r="F495" s="5">
        <f>IFERROR(__xludf.DUMMYFUNCTION("""COMPUTED_VALUE"""),6.84151E7)</f>
        <v>68415100</v>
      </c>
      <c r="G495" s="5">
        <f t="shared" si="1"/>
        <v>100</v>
      </c>
    </row>
    <row r="496">
      <c r="A496" s="4">
        <f>IFERROR(__xludf.DUMMYFUNCTION("""COMPUTED_VALUE"""),44571.66666666667)</f>
        <v>44571.66667</v>
      </c>
      <c r="B496" s="5">
        <f>IFERROR(__xludf.DUMMYFUNCTION("""COMPUTED_VALUE"""),4180.0)</f>
        <v>4180</v>
      </c>
      <c r="C496" s="5">
        <f>IFERROR(__xludf.DUMMYFUNCTION("""COMPUTED_VALUE"""),4190.0)</f>
        <v>4190</v>
      </c>
      <c r="D496" s="5">
        <f>IFERROR(__xludf.DUMMYFUNCTION("""COMPUTED_VALUE"""),4100.0)</f>
        <v>4100</v>
      </c>
      <c r="E496" s="5">
        <f>IFERROR(__xludf.DUMMYFUNCTION("""COMPUTED_VALUE"""),4100.0)</f>
        <v>4100</v>
      </c>
      <c r="F496" s="5">
        <f>IFERROR(__xludf.DUMMYFUNCTION("""COMPUTED_VALUE"""),4.49212E7)</f>
        <v>44921200</v>
      </c>
      <c r="G496" s="5">
        <f t="shared" si="1"/>
        <v>90</v>
      </c>
    </row>
    <row r="497">
      <c r="A497" s="4">
        <f>IFERROR(__xludf.DUMMYFUNCTION("""COMPUTED_VALUE"""),44572.66666666667)</f>
        <v>44572.66667</v>
      </c>
      <c r="B497" s="5">
        <f>IFERROR(__xludf.DUMMYFUNCTION("""COMPUTED_VALUE"""),4120.0)</f>
        <v>4120</v>
      </c>
      <c r="C497" s="5">
        <f>IFERROR(__xludf.DUMMYFUNCTION("""COMPUTED_VALUE"""),4160.0)</f>
        <v>4160</v>
      </c>
      <c r="D497" s="5">
        <f>IFERROR(__xludf.DUMMYFUNCTION("""COMPUTED_VALUE"""),4090.0)</f>
        <v>4090</v>
      </c>
      <c r="E497" s="5">
        <f>IFERROR(__xludf.DUMMYFUNCTION("""COMPUTED_VALUE"""),4090.0)</f>
        <v>4090</v>
      </c>
      <c r="F497" s="5">
        <f>IFERROR(__xludf.DUMMYFUNCTION("""COMPUTED_VALUE"""),6.18902E7)</f>
        <v>61890200</v>
      </c>
      <c r="G497" s="5">
        <f t="shared" si="1"/>
        <v>70</v>
      </c>
    </row>
    <row r="498">
      <c r="A498" s="4">
        <f>IFERROR(__xludf.DUMMYFUNCTION("""COMPUTED_VALUE"""),44573.66666666667)</f>
        <v>44573.66667</v>
      </c>
      <c r="B498" s="5">
        <f>IFERROR(__xludf.DUMMYFUNCTION("""COMPUTED_VALUE"""),4110.0)</f>
        <v>4110</v>
      </c>
      <c r="C498" s="5">
        <f>IFERROR(__xludf.DUMMYFUNCTION("""COMPUTED_VALUE"""),4140.0)</f>
        <v>4140</v>
      </c>
      <c r="D498" s="5">
        <f>IFERROR(__xludf.DUMMYFUNCTION("""COMPUTED_VALUE"""),4070.0)</f>
        <v>4070</v>
      </c>
      <c r="E498" s="5">
        <f>IFERROR(__xludf.DUMMYFUNCTION("""COMPUTED_VALUE"""),4110.0)</f>
        <v>4110</v>
      </c>
      <c r="F498" s="5">
        <f>IFERROR(__xludf.DUMMYFUNCTION("""COMPUTED_VALUE"""),4.51327E7)</f>
        <v>45132700</v>
      </c>
      <c r="G498" s="5">
        <f t="shared" si="1"/>
        <v>70</v>
      </c>
    </row>
    <row r="499">
      <c r="A499" s="4">
        <f>IFERROR(__xludf.DUMMYFUNCTION("""COMPUTED_VALUE"""),44574.66666666667)</f>
        <v>44574.66667</v>
      </c>
      <c r="B499" s="5">
        <f>IFERROR(__xludf.DUMMYFUNCTION("""COMPUTED_VALUE"""),4170.0)</f>
        <v>4170</v>
      </c>
      <c r="C499" s="5">
        <f>IFERROR(__xludf.DUMMYFUNCTION("""COMPUTED_VALUE"""),4180.0)</f>
        <v>4180</v>
      </c>
      <c r="D499" s="5">
        <f>IFERROR(__xludf.DUMMYFUNCTION("""COMPUTED_VALUE"""),4110.0)</f>
        <v>4110</v>
      </c>
      <c r="E499" s="5">
        <f>IFERROR(__xludf.DUMMYFUNCTION("""COMPUTED_VALUE"""),4180.0)</f>
        <v>4180</v>
      </c>
      <c r="F499" s="5">
        <f>IFERROR(__xludf.DUMMYFUNCTION("""COMPUTED_VALUE"""),8.41484E7)</f>
        <v>84148400</v>
      </c>
      <c r="G499" s="5">
        <f t="shared" si="1"/>
        <v>70</v>
      </c>
    </row>
    <row r="500">
      <c r="A500" s="4">
        <f>IFERROR(__xludf.DUMMYFUNCTION("""COMPUTED_VALUE"""),44575.66666666667)</f>
        <v>44575.66667</v>
      </c>
      <c r="B500" s="5">
        <f>IFERROR(__xludf.DUMMYFUNCTION("""COMPUTED_VALUE"""),4140.0)</f>
        <v>4140</v>
      </c>
      <c r="C500" s="5">
        <f>IFERROR(__xludf.DUMMYFUNCTION("""COMPUTED_VALUE"""),4190.0)</f>
        <v>4190</v>
      </c>
      <c r="D500" s="5">
        <f>IFERROR(__xludf.DUMMYFUNCTION("""COMPUTED_VALUE"""),4130.0)</f>
        <v>4130</v>
      </c>
      <c r="E500" s="5">
        <f>IFERROR(__xludf.DUMMYFUNCTION("""COMPUTED_VALUE"""),4190.0)</f>
        <v>4190</v>
      </c>
      <c r="F500" s="5">
        <f>IFERROR(__xludf.DUMMYFUNCTION("""COMPUTED_VALUE"""),2.81931E7)</f>
        <v>28193100</v>
      </c>
      <c r="G500" s="5">
        <f t="shared" si="1"/>
        <v>60</v>
      </c>
    </row>
    <row r="501">
      <c r="A501" s="4">
        <f>IFERROR(__xludf.DUMMYFUNCTION("""COMPUTED_VALUE"""),44578.66666666667)</f>
        <v>44578.66667</v>
      </c>
      <c r="B501" s="5">
        <f>IFERROR(__xludf.DUMMYFUNCTION("""COMPUTED_VALUE"""),4200.0)</f>
        <v>4200</v>
      </c>
      <c r="C501" s="5">
        <f>IFERROR(__xludf.DUMMYFUNCTION("""COMPUTED_VALUE"""),4200.0)</f>
        <v>4200</v>
      </c>
      <c r="D501" s="5">
        <f>IFERROR(__xludf.DUMMYFUNCTION("""COMPUTED_VALUE"""),4140.0)</f>
        <v>4140</v>
      </c>
      <c r="E501" s="5">
        <f>IFERROR(__xludf.DUMMYFUNCTION("""COMPUTED_VALUE"""),4180.0)</f>
        <v>4180</v>
      </c>
      <c r="F501" s="5">
        <f>IFERROR(__xludf.DUMMYFUNCTION("""COMPUTED_VALUE"""),3.98163E7)</f>
        <v>39816300</v>
      </c>
      <c r="G501" s="5">
        <f t="shared" si="1"/>
        <v>60</v>
      </c>
    </row>
    <row r="502">
      <c r="A502" s="4">
        <f>IFERROR(__xludf.DUMMYFUNCTION("""COMPUTED_VALUE"""),44579.66666666667)</f>
        <v>44579.66667</v>
      </c>
      <c r="B502" s="5">
        <f>IFERROR(__xludf.DUMMYFUNCTION("""COMPUTED_VALUE"""),4200.0)</f>
        <v>4200</v>
      </c>
      <c r="C502" s="5">
        <f>IFERROR(__xludf.DUMMYFUNCTION("""COMPUTED_VALUE"""),4250.0)</f>
        <v>4250</v>
      </c>
      <c r="D502" s="5">
        <f>IFERROR(__xludf.DUMMYFUNCTION("""COMPUTED_VALUE"""),4160.0)</f>
        <v>4160</v>
      </c>
      <c r="E502" s="5">
        <f>IFERROR(__xludf.DUMMYFUNCTION("""COMPUTED_VALUE"""),4250.0)</f>
        <v>4250</v>
      </c>
      <c r="F502" s="5">
        <f>IFERROR(__xludf.DUMMYFUNCTION("""COMPUTED_VALUE"""),1.122122E8)</f>
        <v>112212200</v>
      </c>
      <c r="G502" s="5">
        <f t="shared" si="1"/>
        <v>90</v>
      </c>
    </row>
    <row r="503">
      <c r="A503" s="4">
        <f>IFERROR(__xludf.DUMMYFUNCTION("""COMPUTED_VALUE"""),44580.66666666667)</f>
        <v>44580.66667</v>
      </c>
      <c r="B503" s="5">
        <f>IFERROR(__xludf.DUMMYFUNCTION("""COMPUTED_VALUE"""),4260.0)</f>
        <v>4260</v>
      </c>
      <c r="C503" s="5">
        <f>IFERROR(__xludf.DUMMYFUNCTION("""COMPUTED_VALUE"""),4260.0)</f>
        <v>4260</v>
      </c>
      <c r="D503" s="5">
        <f>IFERROR(__xludf.DUMMYFUNCTION("""COMPUTED_VALUE"""),4230.0)</f>
        <v>4230</v>
      </c>
      <c r="E503" s="5">
        <f>IFERROR(__xludf.DUMMYFUNCTION("""COMPUTED_VALUE"""),4250.0)</f>
        <v>4250</v>
      </c>
      <c r="F503" s="5">
        <f>IFERROR(__xludf.DUMMYFUNCTION("""COMPUTED_VALUE"""),8.87139E7)</f>
        <v>88713900</v>
      </c>
      <c r="G503" s="5">
        <f t="shared" si="1"/>
        <v>30</v>
      </c>
    </row>
    <row r="504">
      <c r="A504" s="4">
        <f>IFERROR(__xludf.DUMMYFUNCTION("""COMPUTED_VALUE"""),44581.66666666667)</f>
        <v>44581.66667</v>
      </c>
      <c r="B504" s="5">
        <f>IFERROR(__xludf.DUMMYFUNCTION("""COMPUTED_VALUE"""),4300.0)</f>
        <v>4300</v>
      </c>
      <c r="C504" s="5">
        <f>IFERROR(__xludf.DUMMYFUNCTION("""COMPUTED_VALUE"""),4300.0)</f>
        <v>4300</v>
      </c>
      <c r="D504" s="5">
        <f>IFERROR(__xludf.DUMMYFUNCTION("""COMPUTED_VALUE"""),4190.0)</f>
        <v>4190</v>
      </c>
      <c r="E504" s="5">
        <f>IFERROR(__xludf.DUMMYFUNCTION("""COMPUTED_VALUE"""),4220.0)</f>
        <v>4220</v>
      </c>
      <c r="F504" s="5">
        <f>IFERROR(__xludf.DUMMYFUNCTION("""COMPUTED_VALUE"""),1.000145E8)</f>
        <v>100014500</v>
      </c>
      <c r="G504" s="5">
        <f t="shared" si="1"/>
        <v>110</v>
      </c>
    </row>
    <row r="505">
      <c r="A505" s="4">
        <f>IFERROR(__xludf.DUMMYFUNCTION("""COMPUTED_VALUE"""),44582.66666666667)</f>
        <v>44582.66667</v>
      </c>
      <c r="B505" s="5">
        <f>IFERROR(__xludf.DUMMYFUNCTION("""COMPUTED_VALUE"""),4240.0)</f>
        <v>4240</v>
      </c>
      <c r="C505" s="5">
        <f>IFERROR(__xludf.DUMMYFUNCTION("""COMPUTED_VALUE"""),4330.0)</f>
        <v>4330</v>
      </c>
      <c r="D505" s="5">
        <f>IFERROR(__xludf.DUMMYFUNCTION("""COMPUTED_VALUE"""),4190.0)</f>
        <v>4190</v>
      </c>
      <c r="E505" s="5">
        <f>IFERROR(__xludf.DUMMYFUNCTION("""COMPUTED_VALUE"""),4330.0)</f>
        <v>4330</v>
      </c>
      <c r="F505" s="5">
        <f>IFERROR(__xludf.DUMMYFUNCTION("""COMPUTED_VALUE"""),7.55348E7)</f>
        <v>75534800</v>
      </c>
      <c r="G505" s="5">
        <f t="shared" si="1"/>
        <v>140</v>
      </c>
    </row>
    <row r="506">
      <c r="A506" s="4">
        <f>IFERROR(__xludf.DUMMYFUNCTION("""COMPUTED_VALUE"""),44585.66666666667)</f>
        <v>44585.66667</v>
      </c>
      <c r="B506" s="5">
        <f>IFERROR(__xludf.DUMMYFUNCTION("""COMPUTED_VALUE"""),4260.0)</f>
        <v>4260</v>
      </c>
      <c r="C506" s="5">
        <f>IFERROR(__xludf.DUMMYFUNCTION("""COMPUTED_VALUE"""),4310.0)</f>
        <v>4310</v>
      </c>
      <c r="D506" s="5">
        <f>IFERROR(__xludf.DUMMYFUNCTION("""COMPUTED_VALUE"""),4250.0)</f>
        <v>4250</v>
      </c>
      <c r="E506" s="5">
        <f>IFERROR(__xludf.DUMMYFUNCTION("""COMPUTED_VALUE"""),4300.0)</f>
        <v>4300</v>
      </c>
      <c r="F506" s="5">
        <f>IFERROR(__xludf.DUMMYFUNCTION("""COMPUTED_VALUE"""),7.04045E7)</f>
        <v>70404500</v>
      </c>
      <c r="G506" s="5">
        <f t="shared" si="1"/>
        <v>80</v>
      </c>
    </row>
    <row r="507">
      <c r="A507" s="4">
        <f>IFERROR(__xludf.DUMMYFUNCTION("""COMPUTED_VALUE"""),44586.66666666667)</f>
        <v>44586.66667</v>
      </c>
      <c r="B507" s="5">
        <f>IFERROR(__xludf.DUMMYFUNCTION("""COMPUTED_VALUE"""),4310.0)</f>
        <v>4310</v>
      </c>
      <c r="C507" s="5">
        <f>IFERROR(__xludf.DUMMYFUNCTION("""COMPUTED_VALUE"""),4320.0)</f>
        <v>4320</v>
      </c>
      <c r="D507" s="5">
        <f>IFERROR(__xludf.DUMMYFUNCTION("""COMPUTED_VALUE"""),4250.0)</f>
        <v>4250</v>
      </c>
      <c r="E507" s="5">
        <f>IFERROR(__xludf.DUMMYFUNCTION("""COMPUTED_VALUE"""),4290.0)</f>
        <v>4290</v>
      </c>
      <c r="F507" s="5">
        <f>IFERROR(__xludf.DUMMYFUNCTION("""COMPUTED_VALUE"""),1.163536E8)</f>
        <v>116353600</v>
      </c>
      <c r="G507" s="5">
        <f t="shared" si="1"/>
        <v>70</v>
      </c>
    </row>
    <row r="508">
      <c r="A508" s="4">
        <f>IFERROR(__xludf.DUMMYFUNCTION("""COMPUTED_VALUE"""),44587.66666666667)</f>
        <v>44587.66667</v>
      </c>
      <c r="B508" s="5">
        <f>IFERROR(__xludf.DUMMYFUNCTION("""COMPUTED_VALUE"""),4380.0)</f>
        <v>4380</v>
      </c>
      <c r="C508" s="5">
        <f>IFERROR(__xludf.DUMMYFUNCTION("""COMPUTED_VALUE"""),4390.0)</f>
        <v>4390</v>
      </c>
      <c r="D508" s="5">
        <f>IFERROR(__xludf.DUMMYFUNCTION("""COMPUTED_VALUE"""),4290.0)</f>
        <v>4290</v>
      </c>
      <c r="E508" s="5">
        <f>IFERROR(__xludf.DUMMYFUNCTION("""COMPUTED_VALUE"""),4390.0)</f>
        <v>4390</v>
      </c>
      <c r="F508" s="5">
        <f>IFERROR(__xludf.DUMMYFUNCTION("""COMPUTED_VALUE"""),1.276414E8)</f>
        <v>127641400</v>
      </c>
      <c r="G508" s="5">
        <f t="shared" si="1"/>
        <v>100</v>
      </c>
    </row>
    <row r="509">
      <c r="A509" s="4">
        <f>IFERROR(__xludf.DUMMYFUNCTION("""COMPUTED_VALUE"""),44588.66666666667)</f>
        <v>44588.66667</v>
      </c>
      <c r="B509" s="5">
        <f>IFERROR(__xludf.DUMMYFUNCTION("""COMPUTED_VALUE"""),4400.0)</f>
        <v>4400</v>
      </c>
      <c r="C509" s="5">
        <f>IFERROR(__xludf.DUMMYFUNCTION("""COMPUTED_VALUE"""),4400.0)</f>
        <v>4400</v>
      </c>
      <c r="D509" s="5">
        <f>IFERROR(__xludf.DUMMYFUNCTION("""COMPUTED_VALUE"""),4260.0)</f>
        <v>4260</v>
      </c>
      <c r="E509" s="5">
        <f>IFERROR(__xludf.DUMMYFUNCTION("""COMPUTED_VALUE"""),4270.0)</f>
        <v>4270</v>
      </c>
      <c r="F509" s="5">
        <f>IFERROR(__xludf.DUMMYFUNCTION("""COMPUTED_VALUE"""),9.86139E7)</f>
        <v>98613900</v>
      </c>
      <c r="G509" s="5">
        <f t="shared" si="1"/>
        <v>140</v>
      </c>
    </row>
    <row r="510">
      <c r="A510" s="4">
        <f>IFERROR(__xludf.DUMMYFUNCTION("""COMPUTED_VALUE"""),44589.66666666667)</f>
        <v>44589.66667</v>
      </c>
      <c r="B510" s="5">
        <f>IFERROR(__xludf.DUMMYFUNCTION("""COMPUTED_VALUE"""),4260.0)</f>
        <v>4260</v>
      </c>
      <c r="C510" s="5">
        <f>IFERROR(__xludf.DUMMYFUNCTION("""COMPUTED_VALUE"""),4300.0)</f>
        <v>4300</v>
      </c>
      <c r="D510" s="5">
        <f>IFERROR(__xludf.DUMMYFUNCTION("""COMPUTED_VALUE"""),4230.0)</f>
        <v>4230</v>
      </c>
      <c r="E510" s="5">
        <f>IFERROR(__xludf.DUMMYFUNCTION("""COMPUTED_VALUE"""),4260.0)</f>
        <v>4260</v>
      </c>
      <c r="F510" s="5">
        <f>IFERROR(__xludf.DUMMYFUNCTION("""COMPUTED_VALUE"""),6.16867E7)</f>
        <v>61686700</v>
      </c>
      <c r="G510" s="5">
        <f t="shared" si="1"/>
        <v>70</v>
      </c>
    </row>
    <row r="511">
      <c r="A511" s="4">
        <f>IFERROR(__xludf.DUMMYFUNCTION("""COMPUTED_VALUE"""),44592.66666666667)</f>
        <v>44592.66667</v>
      </c>
      <c r="B511" s="5">
        <f>IFERROR(__xludf.DUMMYFUNCTION("""COMPUTED_VALUE"""),4210.0)</f>
        <v>4210</v>
      </c>
      <c r="C511" s="5">
        <f>IFERROR(__xludf.DUMMYFUNCTION("""COMPUTED_VALUE"""),4250.0)</f>
        <v>4250</v>
      </c>
      <c r="D511" s="5">
        <f>IFERROR(__xludf.DUMMYFUNCTION("""COMPUTED_VALUE"""),4190.0)</f>
        <v>4190</v>
      </c>
      <c r="E511" s="5">
        <f>IFERROR(__xludf.DUMMYFUNCTION("""COMPUTED_VALUE"""),4190.0)</f>
        <v>4190</v>
      </c>
      <c r="F511" s="5">
        <f>IFERROR(__xludf.DUMMYFUNCTION("""COMPUTED_VALUE"""),8.87359E7)</f>
        <v>88735900</v>
      </c>
      <c r="G511" s="5">
        <f t="shared" si="1"/>
        <v>70</v>
      </c>
    </row>
    <row r="512">
      <c r="A512" s="4">
        <f>IFERROR(__xludf.DUMMYFUNCTION("""COMPUTED_VALUE"""),44594.66666666667)</f>
        <v>44594.66667</v>
      </c>
      <c r="B512" s="5">
        <f>IFERROR(__xludf.DUMMYFUNCTION("""COMPUTED_VALUE"""),4170.0)</f>
        <v>4170</v>
      </c>
      <c r="C512" s="5">
        <f>IFERROR(__xludf.DUMMYFUNCTION("""COMPUTED_VALUE"""),4200.0)</f>
        <v>4200</v>
      </c>
      <c r="D512" s="5">
        <f>IFERROR(__xludf.DUMMYFUNCTION("""COMPUTED_VALUE"""),4150.0)</f>
        <v>4150</v>
      </c>
      <c r="E512" s="5">
        <f>IFERROR(__xludf.DUMMYFUNCTION("""COMPUTED_VALUE"""),4170.0)</f>
        <v>4170</v>
      </c>
      <c r="F512" s="5">
        <f>IFERROR(__xludf.DUMMYFUNCTION("""COMPUTED_VALUE"""),1.44006E8)</f>
        <v>144006000</v>
      </c>
      <c r="G512" s="5">
        <f t="shared" si="1"/>
        <v>50</v>
      </c>
    </row>
    <row r="513">
      <c r="A513" s="4">
        <f>IFERROR(__xludf.DUMMYFUNCTION("""COMPUTED_VALUE"""),44595.66666666667)</f>
        <v>44595.66667</v>
      </c>
      <c r="B513" s="5">
        <f>IFERROR(__xludf.DUMMYFUNCTION("""COMPUTED_VALUE"""),4200.0)</f>
        <v>4200</v>
      </c>
      <c r="C513" s="5">
        <f>IFERROR(__xludf.DUMMYFUNCTION("""COMPUTED_VALUE"""),4210.0)</f>
        <v>4210</v>
      </c>
      <c r="D513" s="5">
        <f>IFERROR(__xludf.DUMMYFUNCTION("""COMPUTED_VALUE"""),4160.0)</f>
        <v>4160</v>
      </c>
      <c r="E513" s="5">
        <f>IFERROR(__xludf.DUMMYFUNCTION("""COMPUTED_VALUE"""),4200.0)</f>
        <v>4200</v>
      </c>
      <c r="F513" s="5">
        <f>IFERROR(__xludf.DUMMYFUNCTION("""COMPUTED_VALUE"""),5.82124E7)</f>
        <v>58212400</v>
      </c>
      <c r="G513" s="5">
        <f t="shared" si="1"/>
        <v>50</v>
      </c>
    </row>
    <row r="514">
      <c r="A514" s="4">
        <f>IFERROR(__xludf.DUMMYFUNCTION("""COMPUTED_VALUE"""),44596.66666666667)</f>
        <v>44596.66667</v>
      </c>
      <c r="B514" s="5">
        <f>IFERROR(__xludf.DUMMYFUNCTION("""COMPUTED_VALUE"""),4260.0)</f>
        <v>4260</v>
      </c>
      <c r="C514" s="5">
        <f>IFERROR(__xludf.DUMMYFUNCTION("""COMPUTED_VALUE"""),4260.0)</f>
        <v>4260</v>
      </c>
      <c r="D514" s="5">
        <f>IFERROR(__xludf.DUMMYFUNCTION("""COMPUTED_VALUE"""),4180.0)</f>
        <v>4180</v>
      </c>
      <c r="E514" s="5">
        <f>IFERROR(__xludf.DUMMYFUNCTION("""COMPUTED_VALUE"""),4230.0)</f>
        <v>4230</v>
      </c>
      <c r="F514" s="5">
        <f>IFERROR(__xludf.DUMMYFUNCTION("""COMPUTED_VALUE"""),9.87287E7)</f>
        <v>98728700</v>
      </c>
      <c r="G514" s="5">
        <f t="shared" si="1"/>
        <v>80</v>
      </c>
    </row>
    <row r="515">
      <c r="A515" s="4">
        <f>IFERROR(__xludf.DUMMYFUNCTION("""COMPUTED_VALUE"""),44599.66666666667)</f>
        <v>44599.66667</v>
      </c>
      <c r="B515" s="5">
        <f>IFERROR(__xludf.DUMMYFUNCTION("""COMPUTED_VALUE"""),4230.0)</f>
        <v>4230</v>
      </c>
      <c r="C515" s="5">
        <f>IFERROR(__xludf.DUMMYFUNCTION("""COMPUTED_VALUE"""),4290.0)</f>
        <v>4290</v>
      </c>
      <c r="D515" s="5">
        <f>IFERROR(__xludf.DUMMYFUNCTION("""COMPUTED_VALUE"""),4210.0)</f>
        <v>4210</v>
      </c>
      <c r="E515" s="5">
        <f>IFERROR(__xludf.DUMMYFUNCTION("""COMPUTED_VALUE"""),4290.0)</f>
        <v>4290</v>
      </c>
      <c r="F515" s="5">
        <f>IFERROR(__xludf.DUMMYFUNCTION("""COMPUTED_VALUE"""),9.02858E7)</f>
        <v>90285800</v>
      </c>
      <c r="G515" s="5">
        <f t="shared" si="1"/>
        <v>80</v>
      </c>
    </row>
    <row r="516">
      <c r="A516" s="4">
        <f>IFERROR(__xludf.DUMMYFUNCTION("""COMPUTED_VALUE"""),44600.66666666667)</f>
        <v>44600.66667</v>
      </c>
      <c r="B516" s="5">
        <f>IFERROR(__xludf.DUMMYFUNCTION("""COMPUTED_VALUE"""),4280.0)</f>
        <v>4280</v>
      </c>
      <c r="C516" s="5">
        <f>IFERROR(__xludf.DUMMYFUNCTION("""COMPUTED_VALUE"""),4280.0)</f>
        <v>4280</v>
      </c>
      <c r="D516" s="5">
        <f>IFERROR(__xludf.DUMMYFUNCTION("""COMPUTED_VALUE"""),4230.0)</f>
        <v>4230</v>
      </c>
      <c r="E516" s="5">
        <f>IFERROR(__xludf.DUMMYFUNCTION("""COMPUTED_VALUE"""),4230.0)</f>
        <v>4230</v>
      </c>
      <c r="F516" s="5">
        <f>IFERROR(__xludf.DUMMYFUNCTION("""COMPUTED_VALUE"""),7.12104E7)</f>
        <v>71210400</v>
      </c>
      <c r="G516" s="5">
        <f t="shared" si="1"/>
        <v>60</v>
      </c>
    </row>
    <row r="517">
      <c r="A517" s="4">
        <f>IFERROR(__xludf.DUMMYFUNCTION("""COMPUTED_VALUE"""),44601.66666666667)</f>
        <v>44601.66667</v>
      </c>
      <c r="B517" s="5">
        <f>IFERROR(__xludf.DUMMYFUNCTION("""COMPUTED_VALUE"""),4280.0)</f>
        <v>4280</v>
      </c>
      <c r="C517" s="5">
        <f>IFERROR(__xludf.DUMMYFUNCTION("""COMPUTED_VALUE"""),4280.0)</f>
        <v>4280</v>
      </c>
      <c r="D517" s="5">
        <f>IFERROR(__xludf.DUMMYFUNCTION("""COMPUTED_VALUE"""),4210.0)</f>
        <v>4210</v>
      </c>
      <c r="E517" s="5">
        <f>IFERROR(__xludf.DUMMYFUNCTION("""COMPUTED_VALUE"""),4280.0)</f>
        <v>4280</v>
      </c>
      <c r="F517" s="5">
        <f>IFERROR(__xludf.DUMMYFUNCTION("""COMPUTED_VALUE"""),9.5375E7)</f>
        <v>95375000</v>
      </c>
      <c r="G517" s="5">
        <f t="shared" si="1"/>
        <v>70</v>
      </c>
    </row>
    <row r="518">
      <c r="A518" s="4">
        <f>IFERROR(__xludf.DUMMYFUNCTION("""COMPUTED_VALUE"""),44602.66666666667)</f>
        <v>44602.66667</v>
      </c>
      <c r="B518" s="5">
        <f>IFERROR(__xludf.DUMMYFUNCTION("""COMPUTED_VALUE"""),4400.0)</f>
        <v>4400</v>
      </c>
      <c r="C518" s="5">
        <f>IFERROR(__xludf.DUMMYFUNCTION("""COMPUTED_VALUE"""),4470.0)</f>
        <v>4470</v>
      </c>
      <c r="D518" s="5">
        <f>IFERROR(__xludf.DUMMYFUNCTION("""COMPUTED_VALUE"""),4340.0)</f>
        <v>4340</v>
      </c>
      <c r="E518" s="5">
        <f>IFERROR(__xludf.DUMMYFUNCTION("""COMPUTED_VALUE"""),4460.0)</f>
        <v>4460</v>
      </c>
      <c r="F518" s="5">
        <f>IFERROR(__xludf.DUMMYFUNCTION("""COMPUTED_VALUE"""),2.339847E8)</f>
        <v>233984700</v>
      </c>
      <c r="G518" s="5">
        <f t="shared" si="1"/>
        <v>190</v>
      </c>
    </row>
    <row r="519">
      <c r="A519" s="4">
        <f>IFERROR(__xludf.DUMMYFUNCTION("""COMPUTED_VALUE"""),44603.66666666667)</f>
        <v>44603.66667</v>
      </c>
      <c r="B519" s="5">
        <f>IFERROR(__xludf.DUMMYFUNCTION("""COMPUTED_VALUE"""),4500.0)</f>
        <v>4500</v>
      </c>
      <c r="C519" s="5">
        <f>IFERROR(__xludf.DUMMYFUNCTION("""COMPUTED_VALUE"""),4550.0)</f>
        <v>4550</v>
      </c>
      <c r="D519" s="5">
        <f>IFERROR(__xludf.DUMMYFUNCTION("""COMPUTED_VALUE"""),4410.0)</f>
        <v>4410</v>
      </c>
      <c r="E519" s="5">
        <f>IFERROR(__xludf.DUMMYFUNCTION("""COMPUTED_VALUE"""),4450.0)</f>
        <v>4450</v>
      </c>
      <c r="F519" s="5">
        <f>IFERROR(__xludf.DUMMYFUNCTION("""COMPUTED_VALUE"""),1.300819E8)</f>
        <v>130081900</v>
      </c>
      <c r="G519" s="5">
        <f t="shared" si="1"/>
        <v>140</v>
      </c>
    </row>
    <row r="520">
      <c r="A520" s="4">
        <f>IFERROR(__xludf.DUMMYFUNCTION("""COMPUTED_VALUE"""),44606.66666666667)</f>
        <v>44606.66667</v>
      </c>
      <c r="B520" s="5">
        <f>IFERROR(__xludf.DUMMYFUNCTION("""COMPUTED_VALUE"""),4380.0)</f>
        <v>4380</v>
      </c>
      <c r="C520" s="5">
        <f>IFERROR(__xludf.DUMMYFUNCTION("""COMPUTED_VALUE"""),4400.0)</f>
        <v>4400</v>
      </c>
      <c r="D520" s="5">
        <f>IFERROR(__xludf.DUMMYFUNCTION("""COMPUTED_VALUE"""),4310.0)</f>
        <v>4310</v>
      </c>
      <c r="E520" s="5">
        <f>IFERROR(__xludf.DUMMYFUNCTION("""COMPUTED_VALUE"""),4400.0)</f>
        <v>4400</v>
      </c>
      <c r="F520" s="5">
        <f>IFERROR(__xludf.DUMMYFUNCTION("""COMPUTED_VALUE"""),1.049037E8)</f>
        <v>104903700</v>
      </c>
      <c r="G520" s="5">
        <f t="shared" si="1"/>
        <v>140</v>
      </c>
    </row>
    <row r="521">
      <c r="A521" s="4">
        <f>IFERROR(__xludf.DUMMYFUNCTION("""COMPUTED_VALUE"""),44607.66666666667)</f>
        <v>44607.66667</v>
      </c>
      <c r="B521" s="5">
        <f>IFERROR(__xludf.DUMMYFUNCTION("""COMPUTED_VALUE"""),4400.0)</f>
        <v>4400</v>
      </c>
      <c r="C521" s="5">
        <f>IFERROR(__xludf.DUMMYFUNCTION("""COMPUTED_VALUE"""),4440.0)</f>
        <v>4440</v>
      </c>
      <c r="D521" s="5">
        <f>IFERROR(__xludf.DUMMYFUNCTION("""COMPUTED_VALUE"""),4360.0)</f>
        <v>4360</v>
      </c>
      <c r="E521" s="5">
        <f>IFERROR(__xludf.DUMMYFUNCTION("""COMPUTED_VALUE"""),4410.0)</f>
        <v>4410</v>
      </c>
      <c r="F521" s="5">
        <f>IFERROR(__xludf.DUMMYFUNCTION("""COMPUTED_VALUE"""),7.53059E7)</f>
        <v>75305900</v>
      </c>
      <c r="G521" s="5">
        <f t="shared" si="1"/>
        <v>80</v>
      </c>
    </row>
    <row r="522">
      <c r="A522" s="4">
        <f>IFERROR(__xludf.DUMMYFUNCTION("""COMPUTED_VALUE"""),44608.66666666667)</f>
        <v>44608.66667</v>
      </c>
      <c r="B522" s="5">
        <f>IFERROR(__xludf.DUMMYFUNCTION("""COMPUTED_VALUE"""),4420.0)</f>
        <v>4420</v>
      </c>
      <c r="C522" s="5">
        <f>IFERROR(__xludf.DUMMYFUNCTION("""COMPUTED_VALUE"""),4460.0)</f>
        <v>4460</v>
      </c>
      <c r="D522" s="5">
        <f>IFERROR(__xludf.DUMMYFUNCTION("""COMPUTED_VALUE"""),4380.0)</f>
        <v>4380</v>
      </c>
      <c r="E522" s="5">
        <f>IFERROR(__xludf.DUMMYFUNCTION("""COMPUTED_VALUE"""),4400.0)</f>
        <v>4400</v>
      </c>
      <c r="F522" s="5">
        <f>IFERROR(__xludf.DUMMYFUNCTION("""COMPUTED_VALUE"""),9.01212E7)</f>
        <v>90121200</v>
      </c>
      <c r="G522" s="5">
        <f t="shared" si="1"/>
        <v>80</v>
      </c>
    </row>
    <row r="523">
      <c r="A523" s="4">
        <f>IFERROR(__xludf.DUMMYFUNCTION("""COMPUTED_VALUE"""),44609.66666666667)</f>
        <v>44609.66667</v>
      </c>
      <c r="B523" s="5">
        <f>IFERROR(__xludf.DUMMYFUNCTION("""COMPUTED_VALUE"""),4400.0)</f>
        <v>4400</v>
      </c>
      <c r="C523" s="5">
        <f>IFERROR(__xludf.DUMMYFUNCTION("""COMPUTED_VALUE"""),4440.0)</f>
        <v>4440</v>
      </c>
      <c r="D523" s="5">
        <f>IFERROR(__xludf.DUMMYFUNCTION("""COMPUTED_VALUE"""),4360.0)</f>
        <v>4360</v>
      </c>
      <c r="E523" s="5">
        <f>IFERROR(__xludf.DUMMYFUNCTION("""COMPUTED_VALUE"""),4410.0)</f>
        <v>4410</v>
      </c>
      <c r="F523" s="5">
        <f>IFERROR(__xludf.DUMMYFUNCTION("""COMPUTED_VALUE"""),7.29702E7)</f>
        <v>72970200</v>
      </c>
      <c r="G523" s="5">
        <f t="shared" si="1"/>
        <v>80</v>
      </c>
    </row>
    <row r="524">
      <c r="A524" s="4">
        <f>IFERROR(__xludf.DUMMYFUNCTION("""COMPUTED_VALUE"""),44610.66666666667)</f>
        <v>44610.66667</v>
      </c>
      <c r="B524" s="5">
        <f>IFERROR(__xludf.DUMMYFUNCTION("""COMPUTED_VALUE"""),4420.0)</f>
        <v>4420</v>
      </c>
      <c r="C524" s="5">
        <f>IFERROR(__xludf.DUMMYFUNCTION("""COMPUTED_VALUE"""),4440.0)</f>
        <v>4440</v>
      </c>
      <c r="D524" s="5">
        <f>IFERROR(__xludf.DUMMYFUNCTION("""COMPUTED_VALUE"""),4370.0)</f>
        <v>4370</v>
      </c>
      <c r="E524" s="5">
        <f>IFERROR(__xludf.DUMMYFUNCTION("""COMPUTED_VALUE"""),4400.0)</f>
        <v>4400</v>
      </c>
      <c r="F524" s="5">
        <f>IFERROR(__xludf.DUMMYFUNCTION("""COMPUTED_VALUE"""),7.11113E7)</f>
        <v>71111300</v>
      </c>
      <c r="G524" s="5">
        <f t="shared" si="1"/>
        <v>70</v>
      </c>
    </row>
    <row r="525">
      <c r="A525" s="4">
        <f>IFERROR(__xludf.DUMMYFUNCTION("""COMPUTED_VALUE"""),44613.66666666667)</f>
        <v>44613.66667</v>
      </c>
      <c r="B525" s="5">
        <f>IFERROR(__xludf.DUMMYFUNCTION("""COMPUTED_VALUE"""),4370.0)</f>
        <v>4370</v>
      </c>
      <c r="C525" s="5">
        <f>IFERROR(__xludf.DUMMYFUNCTION("""COMPUTED_VALUE"""),4420.0)</f>
        <v>4420</v>
      </c>
      <c r="D525" s="5">
        <f>IFERROR(__xludf.DUMMYFUNCTION("""COMPUTED_VALUE"""),4340.0)</f>
        <v>4340</v>
      </c>
      <c r="E525" s="5">
        <f>IFERROR(__xludf.DUMMYFUNCTION("""COMPUTED_VALUE"""),4370.0)</f>
        <v>4370</v>
      </c>
      <c r="F525" s="5">
        <f>IFERROR(__xludf.DUMMYFUNCTION("""COMPUTED_VALUE"""),5.8883E7)</f>
        <v>58883000</v>
      </c>
      <c r="G525" s="5">
        <f t="shared" si="1"/>
        <v>80</v>
      </c>
    </row>
    <row r="526">
      <c r="A526" s="4">
        <f>IFERROR(__xludf.DUMMYFUNCTION("""COMPUTED_VALUE"""),44614.66666666667)</f>
        <v>44614.66667</v>
      </c>
      <c r="B526" s="5">
        <f>IFERROR(__xludf.DUMMYFUNCTION("""COMPUTED_VALUE"""),4320.0)</f>
        <v>4320</v>
      </c>
      <c r="C526" s="5">
        <f>IFERROR(__xludf.DUMMYFUNCTION("""COMPUTED_VALUE"""),4360.0)</f>
        <v>4360</v>
      </c>
      <c r="D526" s="5">
        <f>IFERROR(__xludf.DUMMYFUNCTION("""COMPUTED_VALUE"""),4250.0)</f>
        <v>4250</v>
      </c>
      <c r="E526" s="5">
        <f>IFERROR(__xludf.DUMMYFUNCTION("""COMPUTED_VALUE"""),4300.0)</f>
        <v>4300</v>
      </c>
      <c r="F526" s="5">
        <f>IFERROR(__xludf.DUMMYFUNCTION("""COMPUTED_VALUE"""),1.069858E8)</f>
        <v>106985800</v>
      </c>
      <c r="G526" s="5">
        <f t="shared" si="1"/>
        <v>120</v>
      </c>
    </row>
    <row r="527">
      <c r="A527" s="4">
        <f>IFERROR(__xludf.DUMMYFUNCTION("""COMPUTED_VALUE"""),44615.66666666667)</f>
        <v>44615.66667</v>
      </c>
      <c r="B527" s="5">
        <f>IFERROR(__xludf.DUMMYFUNCTION("""COMPUTED_VALUE"""),4280.0)</f>
        <v>4280</v>
      </c>
      <c r="C527" s="5">
        <f>IFERROR(__xludf.DUMMYFUNCTION("""COMPUTED_VALUE"""),4370.0)</f>
        <v>4370</v>
      </c>
      <c r="D527" s="5">
        <f>IFERROR(__xludf.DUMMYFUNCTION("""COMPUTED_VALUE"""),4270.0)</f>
        <v>4270</v>
      </c>
      <c r="E527" s="5">
        <f>IFERROR(__xludf.DUMMYFUNCTION("""COMPUTED_VALUE"""),4350.0)</f>
        <v>4350</v>
      </c>
      <c r="F527" s="5">
        <f>IFERROR(__xludf.DUMMYFUNCTION("""COMPUTED_VALUE"""),1.105624E8)</f>
        <v>110562400</v>
      </c>
      <c r="G527" s="5">
        <f t="shared" si="1"/>
        <v>100</v>
      </c>
    </row>
    <row r="528">
      <c r="A528" s="4">
        <f>IFERROR(__xludf.DUMMYFUNCTION("""COMPUTED_VALUE"""),44616.66666666667)</f>
        <v>44616.66667</v>
      </c>
      <c r="B528" s="5">
        <f>IFERROR(__xludf.DUMMYFUNCTION("""COMPUTED_VALUE"""),4280.0)</f>
        <v>4280</v>
      </c>
      <c r="C528" s="5">
        <f>IFERROR(__xludf.DUMMYFUNCTION("""COMPUTED_VALUE"""),4320.0)</f>
        <v>4320</v>
      </c>
      <c r="D528" s="5">
        <f>IFERROR(__xludf.DUMMYFUNCTION("""COMPUTED_VALUE"""),4200.0)</f>
        <v>4200</v>
      </c>
      <c r="E528" s="5">
        <f>IFERROR(__xludf.DUMMYFUNCTION("""COMPUTED_VALUE"""),4240.0)</f>
        <v>4240</v>
      </c>
      <c r="F528" s="5">
        <f>IFERROR(__xludf.DUMMYFUNCTION("""COMPUTED_VALUE"""),1.261586E8)</f>
        <v>126158600</v>
      </c>
      <c r="G528" s="5">
        <f t="shared" si="1"/>
        <v>150</v>
      </c>
    </row>
    <row r="529">
      <c r="A529" s="4">
        <f>IFERROR(__xludf.DUMMYFUNCTION("""COMPUTED_VALUE"""),44617.66666666667)</f>
        <v>44617.66667</v>
      </c>
      <c r="B529" s="5">
        <f>IFERROR(__xludf.DUMMYFUNCTION("""COMPUTED_VALUE"""),4240.0)</f>
        <v>4240</v>
      </c>
      <c r="C529" s="5">
        <f>IFERROR(__xludf.DUMMYFUNCTION("""COMPUTED_VALUE"""),4350.0)</f>
        <v>4350</v>
      </c>
      <c r="D529" s="5">
        <f>IFERROR(__xludf.DUMMYFUNCTION("""COMPUTED_VALUE"""),4240.0)</f>
        <v>4240</v>
      </c>
      <c r="E529" s="5">
        <f>IFERROR(__xludf.DUMMYFUNCTION("""COMPUTED_VALUE"""),4340.0)</f>
        <v>4340</v>
      </c>
      <c r="F529" s="5">
        <f>IFERROR(__xludf.DUMMYFUNCTION("""COMPUTED_VALUE"""),2.08757E8)</f>
        <v>208757000</v>
      </c>
      <c r="G529" s="5">
        <f t="shared" si="1"/>
        <v>110</v>
      </c>
    </row>
    <row r="530">
      <c r="A530" s="4">
        <f>IFERROR(__xludf.DUMMYFUNCTION("""COMPUTED_VALUE"""),44621.66666666667)</f>
        <v>44621.66667</v>
      </c>
      <c r="B530" s="5">
        <f>IFERROR(__xludf.DUMMYFUNCTION("""COMPUTED_VALUE"""),4640.0)</f>
        <v>4640</v>
      </c>
      <c r="C530" s="5">
        <f>IFERROR(__xludf.DUMMYFUNCTION("""COMPUTED_VALUE"""),4650.0)</f>
        <v>4650</v>
      </c>
      <c r="D530" s="5">
        <f>IFERROR(__xludf.DUMMYFUNCTION("""COMPUTED_VALUE"""),4350.0)</f>
        <v>4350</v>
      </c>
      <c r="E530" s="5">
        <f>IFERROR(__xludf.DUMMYFUNCTION("""COMPUTED_VALUE"""),4350.0)</f>
        <v>4350</v>
      </c>
      <c r="F530" s="5">
        <f>IFERROR(__xludf.DUMMYFUNCTION("""COMPUTED_VALUE"""),2.064169E8)</f>
        <v>206416900</v>
      </c>
      <c r="G530" s="5">
        <f t="shared" si="1"/>
        <v>310</v>
      </c>
    </row>
    <row r="531">
      <c r="A531" s="4">
        <f>IFERROR(__xludf.DUMMYFUNCTION("""COMPUTED_VALUE"""),44622.66666666667)</f>
        <v>44622.66667</v>
      </c>
      <c r="B531" s="5">
        <f>IFERROR(__xludf.DUMMYFUNCTION("""COMPUTED_VALUE"""),4400.0)</f>
        <v>4400</v>
      </c>
      <c r="C531" s="5">
        <f>IFERROR(__xludf.DUMMYFUNCTION("""COMPUTED_VALUE"""),4400.0)</f>
        <v>4400</v>
      </c>
      <c r="D531" s="5">
        <f>IFERROR(__xludf.DUMMYFUNCTION("""COMPUTED_VALUE"""),4270.0)</f>
        <v>4270</v>
      </c>
      <c r="E531" s="5">
        <f>IFERROR(__xludf.DUMMYFUNCTION("""COMPUTED_VALUE"""),4290.0)</f>
        <v>4290</v>
      </c>
      <c r="F531" s="5">
        <f>IFERROR(__xludf.DUMMYFUNCTION("""COMPUTED_VALUE"""),1.521653E8)</f>
        <v>152165300</v>
      </c>
      <c r="G531" s="5">
        <f t="shared" si="1"/>
        <v>130</v>
      </c>
    </row>
    <row r="532">
      <c r="A532" s="4">
        <f>IFERROR(__xludf.DUMMYFUNCTION("""COMPUTED_VALUE"""),44624.66666666667)</f>
        <v>44624.66667</v>
      </c>
      <c r="B532" s="5">
        <f>IFERROR(__xludf.DUMMYFUNCTION("""COMPUTED_VALUE"""),4440.0)</f>
        <v>4440</v>
      </c>
      <c r="C532" s="5">
        <f>IFERROR(__xludf.DUMMYFUNCTION("""COMPUTED_VALUE"""),4440.0)</f>
        <v>4440</v>
      </c>
      <c r="D532" s="5">
        <f>IFERROR(__xludf.DUMMYFUNCTION("""COMPUTED_VALUE"""),4300.0)</f>
        <v>4300</v>
      </c>
      <c r="E532" s="5">
        <f>IFERROR(__xludf.DUMMYFUNCTION("""COMPUTED_VALUE"""),4400.0)</f>
        <v>4400</v>
      </c>
      <c r="F532" s="5">
        <f>IFERROR(__xludf.DUMMYFUNCTION("""COMPUTED_VALUE"""),1.553691E8)</f>
        <v>155369100</v>
      </c>
      <c r="G532" s="5">
        <f t="shared" si="1"/>
        <v>150</v>
      </c>
    </row>
    <row r="533">
      <c r="A533" s="4">
        <f>IFERROR(__xludf.DUMMYFUNCTION("""COMPUTED_VALUE"""),44627.66666666667)</f>
        <v>44627.66667</v>
      </c>
      <c r="B533" s="5">
        <f>IFERROR(__xludf.DUMMYFUNCTION("""COMPUTED_VALUE"""),4400.0)</f>
        <v>4400</v>
      </c>
      <c r="C533" s="5">
        <f>IFERROR(__xludf.DUMMYFUNCTION("""COMPUTED_VALUE"""),4530.0)</f>
        <v>4530</v>
      </c>
      <c r="D533" s="5">
        <f>IFERROR(__xludf.DUMMYFUNCTION("""COMPUTED_VALUE"""),4370.0)</f>
        <v>4370</v>
      </c>
      <c r="E533" s="5">
        <f>IFERROR(__xludf.DUMMYFUNCTION("""COMPUTED_VALUE"""),4510.0)</f>
        <v>4510</v>
      </c>
      <c r="F533" s="5">
        <f>IFERROR(__xludf.DUMMYFUNCTION("""COMPUTED_VALUE"""),1.773604E8)</f>
        <v>177360400</v>
      </c>
      <c r="G533" s="5">
        <f t="shared" si="1"/>
        <v>160</v>
      </c>
    </row>
    <row r="534">
      <c r="A534" s="4">
        <f>IFERROR(__xludf.DUMMYFUNCTION("""COMPUTED_VALUE"""),44628.66666666667)</f>
        <v>44628.66667</v>
      </c>
      <c r="B534" s="5">
        <f>IFERROR(__xludf.DUMMYFUNCTION("""COMPUTED_VALUE"""),4600.0)</f>
        <v>4600</v>
      </c>
      <c r="C534" s="5">
        <f>IFERROR(__xludf.DUMMYFUNCTION("""COMPUTED_VALUE"""),4700.0)</f>
        <v>4700</v>
      </c>
      <c r="D534" s="5">
        <f>IFERROR(__xludf.DUMMYFUNCTION("""COMPUTED_VALUE"""),4540.0)</f>
        <v>4540</v>
      </c>
      <c r="E534" s="5">
        <f>IFERROR(__xludf.DUMMYFUNCTION("""COMPUTED_VALUE"""),4620.0)</f>
        <v>4620</v>
      </c>
      <c r="F534" s="5">
        <f>IFERROR(__xludf.DUMMYFUNCTION("""COMPUTED_VALUE"""),2.34086E8)</f>
        <v>234086000</v>
      </c>
      <c r="G534" s="5">
        <f t="shared" si="1"/>
        <v>190</v>
      </c>
    </row>
    <row r="535">
      <c r="A535" s="4">
        <f>IFERROR(__xludf.DUMMYFUNCTION("""COMPUTED_VALUE"""),44629.66666666667)</f>
        <v>44629.66667</v>
      </c>
      <c r="B535" s="5">
        <f>IFERROR(__xludf.DUMMYFUNCTION("""COMPUTED_VALUE"""),4550.0)</f>
        <v>4550</v>
      </c>
      <c r="C535" s="5">
        <f>IFERROR(__xludf.DUMMYFUNCTION("""COMPUTED_VALUE"""),4620.0)</f>
        <v>4620</v>
      </c>
      <c r="D535" s="5">
        <f>IFERROR(__xludf.DUMMYFUNCTION("""COMPUTED_VALUE"""),4420.0)</f>
        <v>4420</v>
      </c>
      <c r="E535" s="5">
        <f>IFERROR(__xludf.DUMMYFUNCTION("""COMPUTED_VALUE"""),4440.0)</f>
        <v>4440</v>
      </c>
      <c r="F535" s="5">
        <f>IFERROR(__xludf.DUMMYFUNCTION("""COMPUTED_VALUE"""),1.451459E8)</f>
        <v>145145900</v>
      </c>
      <c r="G535" s="5">
        <f t="shared" si="1"/>
        <v>200</v>
      </c>
    </row>
    <row r="536">
      <c r="A536" s="4">
        <f>IFERROR(__xludf.DUMMYFUNCTION("""COMPUTED_VALUE"""),44630.66666666667)</f>
        <v>44630.66667</v>
      </c>
      <c r="B536" s="5">
        <f>IFERROR(__xludf.DUMMYFUNCTION("""COMPUTED_VALUE"""),4500.0)</f>
        <v>4500</v>
      </c>
      <c r="C536" s="5">
        <f>IFERROR(__xludf.DUMMYFUNCTION("""COMPUTED_VALUE"""),4500.0)</f>
        <v>4500</v>
      </c>
      <c r="D536" s="5">
        <f>IFERROR(__xludf.DUMMYFUNCTION("""COMPUTED_VALUE"""),4380.0)</f>
        <v>4380</v>
      </c>
      <c r="E536" s="5">
        <f>IFERROR(__xludf.DUMMYFUNCTION("""COMPUTED_VALUE"""),4410.0)</f>
        <v>4410</v>
      </c>
      <c r="F536" s="5">
        <f>IFERROR(__xludf.DUMMYFUNCTION("""COMPUTED_VALUE"""),1.308308E8)</f>
        <v>130830800</v>
      </c>
      <c r="G536" s="5">
        <f t="shared" si="1"/>
        <v>120</v>
      </c>
    </row>
    <row r="537">
      <c r="A537" s="4">
        <f>IFERROR(__xludf.DUMMYFUNCTION("""COMPUTED_VALUE"""),44631.66666666667)</f>
        <v>44631.66667</v>
      </c>
      <c r="B537" s="5">
        <f>IFERROR(__xludf.DUMMYFUNCTION("""COMPUTED_VALUE"""),4410.0)</f>
        <v>4410</v>
      </c>
      <c r="C537" s="5">
        <f>IFERROR(__xludf.DUMMYFUNCTION("""COMPUTED_VALUE"""),4590.0)</f>
        <v>4590</v>
      </c>
      <c r="D537" s="5">
        <f>IFERROR(__xludf.DUMMYFUNCTION("""COMPUTED_VALUE"""),4400.0)</f>
        <v>4400</v>
      </c>
      <c r="E537" s="5">
        <f>IFERROR(__xludf.DUMMYFUNCTION("""COMPUTED_VALUE"""),4590.0)</f>
        <v>4590</v>
      </c>
      <c r="F537" s="5">
        <f>IFERROR(__xludf.DUMMYFUNCTION("""COMPUTED_VALUE"""),1.434462E8)</f>
        <v>143446200</v>
      </c>
      <c r="G537" s="5">
        <f t="shared" si="1"/>
        <v>190</v>
      </c>
    </row>
    <row r="538">
      <c r="A538" s="4">
        <f>IFERROR(__xludf.DUMMYFUNCTION("""COMPUTED_VALUE"""),44634.66666666667)</f>
        <v>44634.66667</v>
      </c>
      <c r="B538" s="5">
        <f>IFERROR(__xludf.DUMMYFUNCTION("""COMPUTED_VALUE"""),4650.0)</f>
        <v>4650</v>
      </c>
      <c r="C538" s="5">
        <f>IFERROR(__xludf.DUMMYFUNCTION("""COMPUTED_VALUE"""),4670.0)</f>
        <v>4670</v>
      </c>
      <c r="D538" s="5">
        <f>IFERROR(__xludf.DUMMYFUNCTION("""COMPUTED_VALUE"""),4540.0)</f>
        <v>4540</v>
      </c>
      <c r="E538" s="5">
        <f>IFERROR(__xludf.DUMMYFUNCTION("""COMPUTED_VALUE"""),4580.0)</f>
        <v>4580</v>
      </c>
      <c r="F538" s="5">
        <f>IFERROR(__xludf.DUMMYFUNCTION("""COMPUTED_VALUE"""),1.665727E8)</f>
        <v>166572700</v>
      </c>
      <c r="G538" s="5">
        <f t="shared" si="1"/>
        <v>130</v>
      </c>
    </row>
    <row r="539">
      <c r="A539" s="4">
        <f>IFERROR(__xludf.DUMMYFUNCTION("""COMPUTED_VALUE"""),44635.66666666667)</f>
        <v>44635.66667</v>
      </c>
      <c r="B539" s="5">
        <f>IFERROR(__xludf.DUMMYFUNCTION("""COMPUTED_VALUE"""),4630.0)</f>
        <v>4630</v>
      </c>
      <c r="C539" s="5">
        <f>IFERROR(__xludf.DUMMYFUNCTION("""COMPUTED_VALUE"""),4630.0)</f>
        <v>4630</v>
      </c>
      <c r="D539" s="5">
        <f>IFERROR(__xludf.DUMMYFUNCTION("""COMPUTED_VALUE"""),4570.0)</f>
        <v>4570</v>
      </c>
      <c r="E539" s="5">
        <f>IFERROR(__xludf.DUMMYFUNCTION("""COMPUTED_VALUE"""),4620.0)</f>
        <v>4620</v>
      </c>
      <c r="F539" s="5">
        <f>IFERROR(__xludf.DUMMYFUNCTION("""COMPUTED_VALUE"""),2.310778E8)</f>
        <v>231077800</v>
      </c>
      <c r="G539" s="5">
        <f t="shared" si="1"/>
        <v>60</v>
      </c>
    </row>
    <row r="540">
      <c r="A540" s="4">
        <f>IFERROR(__xludf.DUMMYFUNCTION("""COMPUTED_VALUE"""),44636.66666666667)</f>
        <v>44636.66667</v>
      </c>
      <c r="B540" s="5">
        <f>IFERROR(__xludf.DUMMYFUNCTION("""COMPUTED_VALUE"""),4660.0)</f>
        <v>4660</v>
      </c>
      <c r="C540" s="5">
        <f>IFERROR(__xludf.DUMMYFUNCTION("""COMPUTED_VALUE"""),4660.0)</f>
        <v>4660</v>
      </c>
      <c r="D540" s="5">
        <f>IFERROR(__xludf.DUMMYFUNCTION("""COMPUTED_VALUE"""),4550.0)</f>
        <v>4550</v>
      </c>
      <c r="E540" s="5">
        <f>IFERROR(__xludf.DUMMYFUNCTION("""COMPUTED_VALUE"""),4630.0)</f>
        <v>4630</v>
      </c>
      <c r="F540" s="5">
        <f>IFERROR(__xludf.DUMMYFUNCTION("""COMPUTED_VALUE"""),1.099619E8)</f>
        <v>109961900</v>
      </c>
      <c r="G540" s="5">
        <f t="shared" si="1"/>
        <v>110</v>
      </c>
    </row>
    <row r="541">
      <c r="A541" s="4">
        <f>IFERROR(__xludf.DUMMYFUNCTION("""COMPUTED_VALUE"""),44637.66666666667)</f>
        <v>44637.66667</v>
      </c>
      <c r="B541" s="5">
        <f>IFERROR(__xludf.DUMMYFUNCTION("""COMPUTED_VALUE"""),4550.0)</f>
        <v>4550</v>
      </c>
      <c r="C541" s="5">
        <f>IFERROR(__xludf.DUMMYFUNCTION("""COMPUTED_VALUE"""),4580.0)</f>
        <v>4580</v>
      </c>
      <c r="D541" s="5">
        <f>IFERROR(__xludf.DUMMYFUNCTION("""COMPUTED_VALUE"""),4450.0)</f>
        <v>4450</v>
      </c>
      <c r="E541" s="5">
        <f>IFERROR(__xludf.DUMMYFUNCTION("""COMPUTED_VALUE"""),4480.0)</f>
        <v>4480</v>
      </c>
      <c r="F541" s="5">
        <f>IFERROR(__xludf.DUMMYFUNCTION("""COMPUTED_VALUE"""),2.463008E8)</f>
        <v>246300800</v>
      </c>
      <c r="G541" s="5">
        <f t="shared" si="1"/>
        <v>180</v>
      </c>
    </row>
    <row r="542">
      <c r="A542" s="4">
        <f>IFERROR(__xludf.DUMMYFUNCTION("""COMPUTED_VALUE"""),44638.66666666667)</f>
        <v>44638.66667</v>
      </c>
      <c r="B542" s="5">
        <f>IFERROR(__xludf.DUMMYFUNCTION("""COMPUTED_VALUE"""),4490.0)</f>
        <v>4490</v>
      </c>
      <c r="C542" s="5">
        <f>IFERROR(__xludf.DUMMYFUNCTION("""COMPUTED_VALUE"""),4540.0)</f>
        <v>4540</v>
      </c>
      <c r="D542" s="5">
        <f>IFERROR(__xludf.DUMMYFUNCTION("""COMPUTED_VALUE"""),4470.0)</f>
        <v>4470</v>
      </c>
      <c r="E542" s="5">
        <f>IFERROR(__xludf.DUMMYFUNCTION("""COMPUTED_VALUE"""),4540.0)</f>
        <v>4540</v>
      </c>
      <c r="F542" s="5">
        <f>IFERROR(__xludf.DUMMYFUNCTION("""COMPUTED_VALUE"""),2.102661E8)</f>
        <v>210266100</v>
      </c>
      <c r="G542" s="5">
        <f t="shared" si="1"/>
        <v>70</v>
      </c>
    </row>
    <row r="543">
      <c r="A543" s="4">
        <f>IFERROR(__xludf.DUMMYFUNCTION("""COMPUTED_VALUE"""),44641.66666666667)</f>
        <v>44641.66667</v>
      </c>
      <c r="B543" s="5">
        <f>IFERROR(__xludf.DUMMYFUNCTION("""COMPUTED_VALUE"""),4550.0)</f>
        <v>4550</v>
      </c>
      <c r="C543" s="5">
        <f>IFERROR(__xludf.DUMMYFUNCTION("""COMPUTED_VALUE"""),4570.0)</f>
        <v>4570</v>
      </c>
      <c r="D543" s="5">
        <f>IFERROR(__xludf.DUMMYFUNCTION("""COMPUTED_VALUE"""),4520.0)</f>
        <v>4520</v>
      </c>
      <c r="E543" s="5">
        <f>IFERROR(__xludf.DUMMYFUNCTION("""COMPUTED_VALUE"""),4550.0)</f>
        <v>4550</v>
      </c>
      <c r="F543" s="5">
        <f>IFERROR(__xludf.DUMMYFUNCTION("""COMPUTED_VALUE"""),7.96916E7)</f>
        <v>79691600</v>
      </c>
      <c r="G543" s="5">
        <f t="shared" si="1"/>
        <v>50</v>
      </c>
    </row>
    <row r="544">
      <c r="A544" s="4">
        <f>IFERROR(__xludf.DUMMYFUNCTION("""COMPUTED_VALUE"""),44642.66666666667)</f>
        <v>44642.66667</v>
      </c>
      <c r="B544" s="5">
        <f>IFERROR(__xludf.DUMMYFUNCTION("""COMPUTED_VALUE"""),4550.0)</f>
        <v>4550</v>
      </c>
      <c r="C544" s="5">
        <f>IFERROR(__xludf.DUMMYFUNCTION("""COMPUTED_VALUE"""),4580.0)</f>
        <v>4580</v>
      </c>
      <c r="D544" s="5">
        <f>IFERROR(__xludf.DUMMYFUNCTION("""COMPUTED_VALUE"""),4540.0)</f>
        <v>4540</v>
      </c>
      <c r="E544" s="5">
        <f>IFERROR(__xludf.DUMMYFUNCTION("""COMPUTED_VALUE"""),4550.0)</f>
        <v>4550</v>
      </c>
      <c r="F544" s="5">
        <f>IFERROR(__xludf.DUMMYFUNCTION("""COMPUTED_VALUE"""),9.86999E7)</f>
        <v>98699900</v>
      </c>
      <c r="G544" s="5">
        <f t="shared" si="1"/>
        <v>40</v>
      </c>
    </row>
    <row r="545">
      <c r="A545" s="4">
        <f>IFERROR(__xludf.DUMMYFUNCTION("""COMPUTED_VALUE"""),44643.66666666667)</f>
        <v>44643.66667</v>
      </c>
      <c r="B545" s="5">
        <f>IFERROR(__xludf.DUMMYFUNCTION("""COMPUTED_VALUE"""),4550.0)</f>
        <v>4550</v>
      </c>
      <c r="C545" s="5">
        <f>IFERROR(__xludf.DUMMYFUNCTION("""COMPUTED_VALUE"""),4570.0)</f>
        <v>4570</v>
      </c>
      <c r="D545" s="5">
        <f>IFERROR(__xludf.DUMMYFUNCTION("""COMPUTED_VALUE"""),4500.0)</f>
        <v>4500</v>
      </c>
      <c r="E545" s="5">
        <f>IFERROR(__xludf.DUMMYFUNCTION("""COMPUTED_VALUE"""),4550.0)</f>
        <v>4550</v>
      </c>
      <c r="F545" s="5">
        <f>IFERROR(__xludf.DUMMYFUNCTION("""COMPUTED_VALUE"""),7.82995E7)</f>
        <v>78299500</v>
      </c>
      <c r="G545" s="5">
        <f t="shared" si="1"/>
        <v>70</v>
      </c>
    </row>
    <row r="546">
      <c r="A546" s="4">
        <f>IFERROR(__xludf.DUMMYFUNCTION("""COMPUTED_VALUE"""),44644.66666666667)</f>
        <v>44644.66667</v>
      </c>
      <c r="B546" s="5">
        <f>IFERROR(__xludf.DUMMYFUNCTION("""COMPUTED_VALUE"""),4500.0)</f>
        <v>4500</v>
      </c>
      <c r="C546" s="5">
        <f>IFERROR(__xludf.DUMMYFUNCTION("""COMPUTED_VALUE"""),4570.0)</f>
        <v>4570</v>
      </c>
      <c r="D546" s="5">
        <f>IFERROR(__xludf.DUMMYFUNCTION("""COMPUTED_VALUE"""),4500.0)</f>
        <v>4500</v>
      </c>
      <c r="E546" s="5">
        <f>IFERROR(__xludf.DUMMYFUNCTION("""COMPUTED_VALUE"""),4560.0)</f>
        <v>4560</v>
      </c>
      <c r="F546" s="5">
        <f>IFERROR(__xludf.DUMMYFUNCTION("""COMPUTED_VALUE"""),8.95784E7)</f>
        <v>89578400</v>
      </c>
      <c r="G546" s="5">
        <f t="shared" si="1"/>
        <v>70</v>
      </c>
    </row>
    <row r="547">
      <c r="A547" s="4">
        <f>IFERROR(__xludf.DUMMYFUNCTION("""COMPUTED_VALUE"""),44645.66666666667)</f>
        <v>44645.66667</v>
      </c>
      <c r="B547" s="5">
        <f>IFERROR(__xludf.DUMMYFUNCTION("""COMPUTED_VALUE"""),4510.0)</f>
        <v>4510</v>
      </c>
      <c r="C547" s="5">
        <f>IFERROR(__xludf.DUMMYFUNCTION("""COMPUTED_VALUE"""),4540.0)</f>
        <v>4540</v>
      </c>
      <c r="D547" s="5">
        <f>IFERROR(__xludf.DUMMYFUNCTION("""COMPUTED_VALUE"""),4480.0)</f>
        <v>4480</v>
      </c>
      <c r="E547" s="5">
        <f>IFERROR(__xludf.DUMMYFUNCTION("""COMPUTED_VALUE"""),4520.0)</f>
        <v>4520</v>
      </c>
      <c r="F547" s="5">
        <f>IFERROR(__xludf.DUMMYFUNCTION("""COMPUTED_VALUE"""),9.00537E7)</f>
        <v>90053700</v>
      </c>
      <c r="G547" s="5">
        <f t="shared" si="1"/>
        <v>80</v>
      </c>
    </row>
    <row r="548">
      <c r="A548" s="4">
        <f>IFERROR(__xludf.DUMMYFUNCTION("""COMPUTED_VALUE"""),44648.66666666667)</f>
        <v>44648.66667</v>
      </c>
      <c r="B548" s="5">
        <f>IFERROR(__xludf.DUMMYFUNCTION("""COMPUTED_VALUE"""),4510.0)</f>
        <v>4510</v>
      </c>
      <c r="C548" s="5">
        <f>IFERROR(__xludf.DUMMYFUNCTION("""COMPUTED_VALUE"""),4600.0)</f>
        <v>4600</v>
      </c>
      <c r="D548" s="5">
        <f>IFERROR(__xludf.DUMMYFUNCTION("""COMPUTED_VALUE"""),4500.0)</f>
        <v>4500</v>
      </c>
      <c r="E548" s="5">
        <f>IFERROR(__xludf.DUMMYFUNCTION("""COMPUTED_VALUE"""),4600.0)</f>
        <v>4600</v>
      </c>
      <c r="F548" s="5">
        <f>IFERROR(__xludf.DUMMYFUNCTION("""COMPUTED_VALUE"""),1.84131E8)</f>
        <v>184131000</v>
      </c>
      <c r="G548" s="5">
        <f t="shared" si="1"/>
        <v>100</v>
      </c>
    </row>
    <row r="549">
      <c r="A549" s="4">
        <f>IFERROR(__xludf.DUMMYFUNCTION("""COMPUTED_VALUE"""),44649.66666666667)</f>
        <v>44649.66667</v>
      </c>
      <c r="B549" s="5">
        <f>IFERROR(__xludf.DUMMYFUNCTION("""COMPUTED_VALUE"""),4600.0)</f>
        <v>4600</v>
      </c>
      <c r="C549" s="5">
        <f>IFERROR(__xludf.DUMMYFUNCTION("""COMPUTED_VALUE"""),4620.0)</f>
        <v>4620</v>
      </c>
      <c r="D549" s="5">
        <f>IFERROR(__xludf.DUMMYFUNCTION("""COMPUTED_VALUE"""),4560.0)</f>
        <v>4560</v>
      </c>
      <c r="E549" s="5">
        <f>IFERROR(__xludf.DUMMYFUNCTION("""COMPUTED_VALUE"""),4560.0)</f>
        <v>4560</v>
      </c>
      <c r="F549" s="5">
        <f>IFERROR(__xludf.DUMMYFUNCTION("""COMPUTED_VALUE"""),7.79208E7)</f>
        <v>77920800</v>
      </c>
      <c r="G549" s="5">
        <f t="shared" si="1"/>
        <v>60</v>
      </c>
    </row>
    <row r="550">
      <c r="A550" s="4">
        <f>IFERROR(__xludf.DUMMYFUNCTION("""COMPUTED_VALUE"""),44650.66666666667)</f>
        <v>44650.66667</v>
      </c>
      <c r="B550" s="5">
        <f>IFERROR(__xludf.DUMMYFUNCTION("""COMPUTED_VALUE"""),4620.0)</f>
        <v>4620</v>
      </c>
      <c r="C550" s="5">
        <f>IFERROR(__xludf.DUMMYFUNCTION("""COMPUTED_VALUE"""),4620.0)</f>
        <v>4620</v>
      </c>
      <c r="D550" s="5">
        <f>IFERROR(__xludf.DUMMYFUNCTION("""COMPUTED_VALUE"""),4560.0)</f>
        <v>4560</v>
      </c>
      <c r="E550" s="5">
        <f>IFERROR(__xludf.DUMMYFUNCTION("""COMPUTED_VALUE"""),4580.0)</f>
        <v>4580</v>
      </c>
      <c r="F550" s="5">
        <f>IFERROR(__xludf.DUMMYFUNCTION("""COMPUTED_VALUE"""),1.187491E8)</f>
        <v>118749100</v>
      </c>
      <c r="G550" s="5">
        <f t="shared" si="1"/>
        <v>60</v>
      </c>
    </row>
    <row r="551">
      <c r="A551" s="4">
        <f>IFERROR(__xludf.DUMMYFUNCTION("""COMPUTED_VALUE"""),44651.66666666667)</f>
        <v>44651.66667</v>
      </c>
      <c r="B551" s="5">
        <f>IFERROR(__xludf.DUMMYFUNCTION("""COMPUTED_VALUE"""),4620.0)</f>
        <v>4620</v>
      </c>
      <c r="C551" s="5">
        <f>IFERROR(__xludf.DUMMYFUNCTION("""COMPUTED_VALUE"""),4640.0)</f>
        <v>4640</v>
      </c>
      <c r="D551" s="5">
        <f>IFERROR(__xludf.DUMMYFUNCTION("""COMPUTED_VALUE"""),4560.0)</f>
        <v>4560</v>
      </c>
      <c r="E551" s="5">
        <f>IFERROR(__xludf.DUMMYFUNCTION("""COMPUTED_VALUE"""),4580.0)</f>
        <v>4580</v>
      </c>
      <c r="F551" s="5">
        <f>IFERROR(__xludf.DUMMYFUNCTION("""COMPUTED_VALUE"""),1.081097E8)</f>
        <v>108109700</v>
      </c>
      <c r="G551" s="5">
        <f t="shared" si="1"/>
        <v>80</v>
      </c>
    </row>
    <row r="552">
      <c r="A552" s="4">
        <f>IFERROR(__xludf.DUMMYFUNCTION("""COMPUTED_VALUE"""),44652.66666666667)</f>
        <v>44652.66667</v>
      </c>
      <c r="B552" s="5">
        <f>IFERROR(__xludf.DUMMYFUNCTION("""COMPUTED_VALUE"""),4550.0)</f>
        <v>4550</v>
      </c>
      <c r="C552" s="5">
        <f>IFERROR(__xludf.DUMMYFUNCTION("""COMPUTED_VALUE"""),4580.0)</f>
        <v>4580</v>
      </c>
      <c r="D552" s="5">
        <f>IFERROR(__xludf.DUMMYFUNCTION("""COMPUTED_VALUE"""),4530.0)</f>
        <v>4530</v>
      </c>
      <c r="E552" s="5">
        <f>IFERROR(__xludf.DUMMYFUNCTION("""COMPUTED_VALUE"""),4580.0)</f>
        <v>4580</v>
      </c>
      <c r="F552" s="5">
        <f>IFERROR(__xludf.DUMMYFUNCTION("""COMPUTED_VALUE"""),8.65903E7)</f>
        <v>86590300</v>
      </c>
      <c r="G552" s="5">
        <f t="shared" si="1"/>
        <v>50</v>
      </c>
    </row>
    <row r="553">
      <c r="A553" s="4">
        <f>IFERROR(__xludf.DUMMYFUNCTION("""COMPUTED_VALUE"""),44655.66666666667)</f>
        <v>44655.66667</v>
      </c>
      <c r="B553" s="5">
        <f>IFERROR(__xludf.DUMMYFUNCTION("""COMPUTED_VALUE"""),4560.0)</f>
        <v>4560</v>
      </c>
      <c r="C553" s="5">
        <f>IFERROR(__xludf.DUMMYFUNCTION("""COMPUTED_VALUE"""),4570.0)</f>
        <v>4570</v>
      </c>
      <c r="D553" s="5">
        <f>IFERROR(__xludf.DUMMYFUNCTION("""COMPUTED_VALUE"""),4490.0)</f>
        <v>4490</v>
      </c>
      <c r="E553" s="5">
        <f>IFERROR(__xludf.DUMMYFUNCTION("""COMPUTED_VALUE"""),4540.0)</f>
        <v>4540</v>
      </c>
      <c r="F553" s="5">
        <f>IFERROR(__xludf.DUMMYFUNCTION("""COMPUTED_VALUE"""),1.034803E8)</f>
        <v>103480300</v>
      </c>
      <c r="G553" s="5">
        <f t="shared" si="1"/>
        <v>90</v>
      </c>
    </row>
    <row r="554">
      <c r="A554" s="4">
        <f>IFERROR(__xludf.DUMMYFUNCTION("""COMPUTED_VALUE"""),44656.66666666667)</f>
        <v>44656.66667</v>
      </c>
      <c r="B554" s="5">
        <f>IFERROR(__xludf.DUMMYFUNCTION("""COMPUTED_VALUE"""),4550.0)</f>
        <v>4550</v>
      </c>
      <c r="C554" s="5">
        <f>IFERROR(__xludf.DUMMYFUNCTION("""COMPUTED_VALUE"""),4550.0)</f>
        <v>4550</v>
      </c>
      <c r="D554" s="5">
        <f>IFERROR(__xludf.DUMMYFUNCTION("""COMPUTED_VALUE"""),4500.0)</f>
        <v>4500</v>
      </c>
      <c r="E554" s="5">
        <f>IFERROR(__xludf.DUMMYFUNCTION("""COMPUTED_VALUE"""),4520.0)</f>
        <v>4520</v>
      </c>
      <c r="F554" s="5">
        <f>IFERROR(__xludf.DUMMYFUNCTION("""COMPUTED_VALUE"""),5.21723E7)</f>
        <v>52172300</v>
      </c>
      <c r="G554" s="5">
        <f t="shared" si="1"/>
        <v>50</v>
      </c>
    </row>
    <row r="555">
      <c r="A555" s="4">
        <f>IFERROR(__xludf.DUMMYFUNCTION("""COMPUTED_VALUE"""),44657.66666666667)</f>
        <v>44657.66667</v>
      </c>
      <c r="B555" s="5">
        <f>IFERROR(__xludf.DUMMYFUNCTION("""COMPUTED_VALUE"""),4490.0)</f>
        <v>4490</v>
      </c>
      <c r="C555" s="5">
        <f>IFERROR(__xludf.DUMMYFUNCTION("""COMPUTED_VALUE"""),4500.0)</f>
        <v>4500</v>
      </c>
      <c r="D555" s="5">
        <f>IFERROR(__xludf.DUMMYFUNCTION("""COMPUTED_VALUE"""),4420.0)</f>
        <v>4420</v>
      </c>
      <c r="E555" s="5">
        <f>IFERROR(__xludf.DUMMYFUNCTION("""COMPUTED_VALUE"""),4430.0)</f>
        <v>4430</v>
      </c>
      <c r="F555" s="5">
        <f>IFERROR(__xludf.DUMMYFUNCTION("""COMPUTED_VALUE"""),1.083688E8)</f>
        <v>108368800</v>
      </c>
      <c r="G555" s="5">
        <f t="shared" si="1"/>
        <v>100</v>
      </c>
    </row>
    <row r="556">
      <c r="A556" s="4">
        <f>IFERROR(__xludf.DUMMYFUNCTION("""COMPUTED_VALUE"""),44658.66666666667)</f>
        <v>44658.66667</v>
      </c>
      <c r="B556" s="5">
        <f>IFERROR(__xludf.DUMMYFUNCTION("""COMPUTED_VALUE"""),4450.0)</f>
        <v>4450</v>
      </c>
      <c r="C556" s="5">
        <f>IFERROR(__xludf.DUMMYFUNCTION("""COMPUTED_VALUE"""),4540.0)</f>
        <v>4540</v>
      </c>
      <c r="D556" s="5">
        <f>IFERROR(__xludf.DUMMYFUNCTION("""COMPUTED_VALUE"""),4440.0)</f>
        <v>4440</v>
      </c>
      <c r="E556" s="5">
        <f>IFERROR(__xludf.DUMMYFUNCTION("""COMPUTED_VALUE"""),4540.0)</f>
        <v>4540</v>
      </c>
      <c r="F556" s="5">
        <f>IFERROR(__xludf.DUMMYFUNCTION("""COMPUTED_VALUE"""),1.439218E8)</f>
        <v>143921800</v>
      </c>
      <c r="G556" s="5">
        <f t="shared" si="1"/>
        <v>110</v>
      </c>
    </row>
    <row r="557">
      <c r="A557" s="4">
        <f>IFERROR(__xludf.DUMMYFUNCTION("""COMPUTED_VALUE"""),44659.66666666667)</f>
        <v>44659.66667</v>
      </c>
      <c r="B557" s="5">
        <f>IFERROR(__xludf.DUMMYFUNCTION("""COMPUTED_VALUE"""),4580.0)</f>
        <v>4580</v>
      </c>
      <c r="C557" s="5">
        <f>IFERROR(__xludf.DUMMYFUNCTION("""COMPUTED_VALUE"""),4610.0)</f>
        <v>4610</v>
      </c>
      <c r="D557" s="5">
        <f>IFERROR(__xludf.DUMMYFUNCTION("""COMPUTED_VALUE"""),4560.0)</f>
        <v>4560</v>
      </c>
      <c r="E557" s="5">
        <f>IFERROR(__xludf.DUMMYFUNCTION("""COMPUTED_VALUE"""),4580.0)</f>
        <v>4580</v>
      </c>
      <c r="F557" s="5">
        <f>IFERROR(__xludf.DUMMYFUNCTION("""COMPUTED_VALUE"""),1.619745E8)</f>
        <v>161974500</v>
      </c>
      <c r="G557" s="5">
        <f t="shared" si="1"/>
        <v>70</v>
      </c>
    </row>
    <row r="558">
      <c r="A558" s="4">
        <f>IFERROR(__xludf.DUMMYFUNCTION("""COMPUTED_VALUE"""),44662.66666666667)</f>
        <v>44662.66667</v>
      </c>
      <c r="B558" s="5">
        <f>IFERROR(__xludf.DUMMYFUNCTION("""COMPUTED_VALUE"""),4610.0)</f>
        <v>4610</v>
      </c>
      <c r="C558" s="5">
        <f>IFERROR(__xludf.DUMMYFUNCTION("""COMPUTED_VALUE"""),4610.0)</f>
        <v>4610</v>
      </c>
      <c r="D558" s="5">
        <f>IFERROR(__xludf.DUMMYFUNCTION("""COMPUTED_VALUE"""),4550.0)</f>
        <v>4550</v>
      </c>
      <c r="E558" s="5">
        <f>IFERROR(__xludf.DUMMYFUNCTION("""COMPUTED_VALUE"""),4590.0)</f>
        <v>4590</v>
      </c>
      <c r="F558" s="5">
        <f>IFERROR(__xludf.DUMMYFUNCTION("""COMPUTED_VALUE"""),9.05215E7)</f>
        <v>90521500</v>
      </c>
      <c r="G558" s="5">
        <f t="shared" si="1"/>
        <v>60</v>
      </c>
    </row>
    <row r="559">
      <c r="A559" s="4">
        <f>IFERROR(__xludf.DUMMYFUNCTION("""COMPUTED_VALUE"""),44663.66666666667)</f>
        <v>44663.66667</v>
      </c>
      <c r="B559" s="5">
        <f>IFERROR(__xludf.DUMMYFUNCTION("""COMPUTED_VALUE"""),4620.0)</f>
        <v>4620</v>
      </c>
      <c r="C559" s="5">
        <f>IFERROR(__xludf.DUMMYFUNCTION("""COMPUTED_VALUE"""),4630.0)</f>
        <v>4630</v>
      </c>
      <c r="D559" s="5">
        <f>IFERROR(__xludf.DUMMYFUNCTION("""COMPUTED_VALUE"""),4580.0)</f>
        <v>4580</v>
      </c>
      <c r="E559" s="5">
        <f>IFERROR(__xludf.DUMMYFUNCTION("""COMPUTED_VALUE"""),4630.0)</f>
        <v>4630</v>
      </c>
      <c r="F559" s="5">
        <f>IFERROR(__xludf.DUMMYFUNCTION("""COMPUTED_VALUE"""),1.87948E8)</f>
        <v>187948000</v>
      </c>
      <c r="G559" s="5">
        <f t="shared" si="1"/>
        <v>50</v>
      </c>
    </row>
    <row r="560">
      <c r="A560" s="4">
        <f>IFERROR(__xludf.DUMMYFUNCTION("""COMPUTED_VALUE"""),44664.66666666667)</f>
        <v>44664.66667</v>
      </c>
      <c r="B560" s="5">
        <f>IFERROR(__xludf.DUMMYFUNCTION("""COMPUTED_VALUE"""),4700.0)</f>
        <v>4700</v>
      </c>
      <c r="C560" s="5">
        <f>IFERROR(__xludf.DUMMYFUNCTION("""COMPUTED_VALUE"""),4720.0)</f>
        <v>4720</v>
      </c>
      <c r="D560" s="5">
        <f>IFERROR(__xludf.DUMMYFUNCTION("""COMPUTED_VALUE"""),4650.0)</f>
        <v>4650</v>
      </c>
      <c r="E560" s="5">
        <f>IFERROR(__xludf.DUMMYFUNCTION("""COMPUTED_VALUE"""),4690.0)</f>
        <v>4690</v>
      </c>
      <c r="F560" s="5">
        <f>IFERROR(__xludf.DUMMYFUNCTION("""COMPUTED_VALUE"""),1.968642E8)</f>
        <v>196864200</v>
      </c>
      <c r="G560" s="5">
        <f t="shared" si="1"/>
        <v>90</v>
      </c>
    </row>
    <row r="561">
      <c r="A561" s="4">
        <f>IFERROR(__xludf.DUMMYFUNCTION("""COMPUTED_VALUE"""),44665.66666666667)</f>
        <v>44665.66667</v>
      </c>
      <c r="B561" s="5">
        <f>IFERROR(__xludf.DUMMYFUNCTION("""COMPUTED_VALUE"""),4700.0)</f>
        <v>4700</v>
      </c>
      <c r="C561" s="5">
        <f>IFERROR(__xludf.DUMMYFUNCTION("""COMPUTED_VALUE"""),4730.0)</f>
        <v>4730</v>
      </c>
      <c r="D561" s="5">
        <f>IFERROR(__xludf.DUMMYFUNCTION("""COMPUTED_VALUE"""),4660.0)</f>
        <v>4660</v>
      </c>
      <c r="E561" s="5">
        <f>IFERROR(__xludf.DUMMYFUNCTION("""COMPUTED_VALUE"""),4680.0)</f>
        <v>4680</v>
      </c>
      <c r="F561" s="5">
        <f>IFERROR(__xludf.DUMMYFUNCTION("""COMPUTED_VALUE"""),1.127352E8)</f>
        <v>112735200</v>
      </c>
      <c r="G561" s="5">
        <f t="shared" si="1"/>
        <v>70</v>
      </c>
    </row>
    <row r="562">
      <c r="A562" s="4">
        <f>IFERROR(__xludf.DUMMYFUNCTION("""COMPUTED_VALUE"""),44669.66666666667)</f>
        <v>44669.66667</v>
      </c>
      <c r="B562" s="5">
        <f>IFERROR(__xludf.DUMMYFUNCTION("""COMPUTED_VALUE"""),4720.0)</f>
        <v>4720</v>
      </c>
      <c r="C562" s="5">
        <f>IFERROR(__xludf.DUMMYFUNCTION("""COMPUTED_VALUE"""),4730.0)</f>
        <v>4730</v>
      </c>
      <c r="D562" s="5">
        <f>IFERROR(__xludf.DUMMYFUNCTION("""COMPUTED_VALUE"""),4690.0)</f>
        <v>4690</v>
      </c>
      <c r="E562" s="5">
        <f>IFERROR(__xludf.DUMMYFUNCTION("""COMPUTED_VALUE"""),4710.0)</f>
        <v>4710</v>
      </c>
      <c r="F562" s="5">
        <f>IFERROR(__xludf.DUMMYFUNCTION("""COMPUTED_VALUE"""),1.207782E8)</f>
        <v>120778200</v>
      </c>
      <c r="G562" s="5">
        <f t="shared" si="1"/>
        <v>50</v>
      </c>
    </row>
    <row r="563">
      <c r="A563" s="4">
        <f>IFERROR(__xludf.DUMMYFUNCTION("""COMPUTED_VALUE"""),44670.66666666667)</f>
        <v>44670.66667</v>
      </c>
      <c r="B563" s="5">
        <f>IFERROR(__xludf.DUMMYFUNCTION("""COMPUTED_VALUE"""),4740.0)</f>
        <v>4740</v>
      </c>
      <c r="C563" s="5">
        <f>IFERROR(__xludf.DUMMYFUNCTION("""COMPUTED_VALUE"""),4750.0)</f>
        <v>4750</v>
      </c>
      <c r="D563" s="5">
        <f>IFERROR(__xludf.DUMMYFUNCTION("""COMPUTED_VALUE"""),4680.0)</f>
        <v>4680</v>
      </c>
      <c r="E563" s="5">
        <f>IFERROR(__xludf.DUMMYFUNCTION("""COMPUTED_VALUE"""),4680.0)</f>
        <v>4680</v>
      </c>
      <c r="F563" s="5">
        <f>IFERROR(__xludf.DUMMYFUNCTION("""COMPUTED_VALUE"""),9.22683E7)</f>
        <v>92268300</v>
      </c>
      <c r="G563" s="5">
        <f t="shared" si="1"/>
        <v>70</v>
      </c>
    </row>
    <row r="564">
      <c r="A564" s="4">
        <f>IFERROR(__xludf.DUMMYFUNCTION("""COMPUTED_VALUE"""),44671.66666666667)</f>
        <v>44671.66667</v>
      </c>
      <c r="B564" s="5">
        <f>IFERROR(__xludf.DUMMYFUNCTION("""COMPUTED_VALUE"""),4680.0)</f>
        <v>4680</v>
      </c>
      <c r="C564" s="5">
        <f>IFERROR(__xludf.DUMMYFUNCTION("""COMPUTED_VALUE"""),4690.0)</f>
        <v>4690</v>
      </c>
      <c r="D564" s="5">
        <f>IFERROR(__xludf.DUMMYFUNCTION("""COMPUTED_VALUE"""),4620.0)</f>
        <v>4620</v>
      </c>
      <c r="E564" s="5">
        <f>IFERROR(__xludf.DUMMYFUNCTION("""COMPUTED_VALUE"""),4630.0)</f>
        <v>4630</v>
      </c>
      <c r="F564" s="5">
        <f>IFERROR(__xludf.DUMMYFUNCTION("""COMPUTED_VALUE"""),8.83609E7)</f>
        <v>88360900</v>
      </c>
      <c r="G564" s="5">
        <f t="shared" si="1"/>
        <v>70</v>
      </c>
    </row>
    <row r="565">
      <c r="A565" s="4">
        <f>IFERROR(__xludf.DUMMYFUNCTION("""COMPUTED_VALUE"""),44672.66666666667)</f>
        <v>44672.66667</v>
      </c>
      <c r="B565" s="5">
        <f>IFERROR(__xludf.DUMMYFUNCTION("""COMPUTED_VALUE"""),4620.0)</f>
        <v>4620</v>
      </c>
      <c r="C565" s="5">
        <f>IFERROR(__xludf.DUMMYFUNCTION("""COMPUTED_VALUE"""),4670.0)</f>
        <v>4670</v>
      </c>
      <c r="D565" s="5">
        <f>IFERROR(__xludf.DUMMYFUNCTION("""COMPUTED_VALUE"""),4600.0)</f>
        <v>4600</v>
      </c>
      <c r="E565" s="5">
        <f>IFERROR(__xludf.DUMMYFUNCTION("""COMPUTED_VALUE"""),4620.0)</f>
        <v>4620</v>
      </c>
      <c r="F565" s="5">
        <f>IFERROR(__xludf.DUMMYFUNCTION("""COMPUTED_VALUE"""),9.75758E7)</f>
        <v>97575800</v>
      </c>
      <c r="G565" s="5">
        <f t="shared" si="1"/>
        <v>70</v>
      </c>
    </row>
    <row r="566">
      <c r="A566" s="4">
        <f>IFERROR(__xludf.DUMMYFUNCTION("""COMPUTED_VALUE"""),44673.66666666667)</f>
        <v>44673.66667</v>
      </c>
      <c r="B566" s="5">
        <f>IFERROR(__xludf.DUMMYFUNCTION("""COMPUTED_VALUE"""),4620.0)</f>
        <v>4620</v>
      </c>
      <c r="C566" s="5">
        <f>IFERROR(__xludf.DUMMYFUNCTION("""COMPUTED_VALUE"""),4680.0)</f>
        <v>4680</v>
      </c>
      <c r="D566" s="5">
        <f>IFERROR(__xludf.DUMMYFUNCTION("""COMPUTED_VALUE"""),4580.0)</f>
        <v>4580</v>
      </c>
      <c r="E566" s="5">
        <f>IFERROR(__xludf.DUMMYFUNCTION("""COMPUTED_VALUE"""),4620.0)</f>
        <v>4620</v>
      </c>
      <c r="F566" s="5">
        <f>IFERROR(__xludf.DUMMYFUNCTION("""COMPUTED_VALUE"""),1.012991E8)</f>
        <v>101299100</v>
      </c>
      <c r="G566" s="5">
        <f t="shared" si="1"/>
        <v>100</v>
      </c>
    </row>
    <row r="567">
      <c r="A567" s="4">
        <f>IFERROR(__xludf.DUMMYFUNCTION("""COMPUTED_VALUE"""),44676.66666666667)</f>
        <v>44676.66667</v>
      </c>
      <c r="B567" s="5">
        <f>IFERROR(__xludf.DUMMYFUNCTION("""COMPUTED_VALUE"""),4610.0)</f>
        <v>4610</v>
      </c>
      <c r="C567" s="5">
        <f>IFERROR(__xludf.DUMMYFUNCTION("""COMPUTED_VALUE"""),4720.0)</f>
        <v>4720</v>
      </c>
      <c r="D567" s="5">
        <f>IFERROR(__xludf.DUMMYFUNCTION("""COMPUTED_VALUE"""),4580.0)</f>
        <v>4580</v>
      </c>
      <c r="E567" s="5">
        <f>IFERROR(__xludf.DUMMYFUNCTION("""COMPUTED_VALUE"""),4710.0)</f>
        <v>4710</v>
      </c>
      <c r="F567" s="5">
        <f>IFERROR(__xludf.DUMMYFUNCTION("""COMPUTED_VALUE"""),9.20455E7)</f>
        <v>92045500</v>
      </c>
      <c r="G567" s="5">
        <f t="shared" si="1"/>
        <v>140</v>
      </c>
    </row>
    <row r="568">
      <c r="A568" s="4">
        <f>IFERROR(__xludf.DUMMYFUNCTION("""COMPUTED_VALUE"""),44677.66666666667)</f>
        <v>44677.66667</v>
      </c>
      <c r="B568" s="5">
        <f>IFERROR(__xludf.DUMMYFUNCTION("""COMPUTED_VALUE"""),4680.0)</f>
        <v>4680</v>
      </c>
      <c r="C568" s="5">
        <f>IFERROR(__xludf.DUMMYFUNCTION("""COMPUTED_VALUE"""),4760.0)</f>
        <v>4760</v>
      </c>
      <c r="D568" s="5">
        <f>IFERROR(__xludf.DUMMYFUNCTION("""COMPUTED_VALUE"""),4670.0)</f>
        <v>4670</v>
      </c>
      <c r="E568" s="5">
        <f>IFERROR(__xludf.DUMMYFUNCTION("""COMPUTED_VALUE"""),4760.0)</f>
        <v>4760</v>
      </c>
      <c r="F568" s="5">
        <f>IFERROR(__xludf.DUMMYFUNCTION("""COMPUTED_VALUE"""),8.59458E7)</f>
        <v>85945800</v>
      </c>
      <c r="G568" s="5">
        <f t="shared" si="1"/>
        <v>90</v>
      </c>
    </row>
    <row r="569">
      <c r="A569" s="4">
        <f>IFERROR(__xludf.DUMMYFUNCTION("""COMPUTED_VALUE"""),44678.66666666667)</f>
        <v>44678.66667</v>
      </c>
      <c r="B569" s="5">
        <f>IFERROR(__xludf.DUMMYFUNCTION("""COMPUTED_VALUE"""),4720.0)</f>
        <v>4720</v>
      </c>
      <c r="C569" s="5">
        <f>IFERROR(__xludf.DUMMYFUNCTION("""COMPUTED_VALUE"""),4790.0)</f>
        <v>4790</v>
      </c>
      <c r="D569" s="5">
        <f>IFERROR(__xludf.DUMMYFUNCTION("""COMPUTED_VALUE"""),4720.0)</f>
        <v>4720</v>
      </c>
      <c r="E569" s="5">
        <f>IFERROR(__xludf.DUMMYFUNCTION("""COMPUTED_VALUE"""),4770.0)</f>
        <v>4770</v>
      </c>
      <c r="F569" s="5">
        <f>IFERROR(__xludf.DUMMYFUNCTION("""COMPUTED_VALUE"""),1.364856E8)</f>
        <v>136485600</v>
      </c>
      <c r="G569" s="5">
        <f t="shared" si="1"/>
        <v>70</v>
      </c>
    </row>
    <row r="570">
      <c r="A570" s="4">
        <f>IFERROR(__xludf.DUMMYFUNCTION("""COMPUTED_VALUE"""),44679.66666666667)</f>
        <v>44679.66667</v>
      </c>
      <c r="B570" s="5">
        <f>IFERROR(__xludf.DUMMYFUNCTION("""COMPUTED_VALUE"""),4850.0)</f>
        <v>4850</v>
      </c>
      <c r="C570" s="5">
        <f>IFERROR(__xludf.DUMMYFUNCTION("""COMPUTED_VALUE"""),4850.0)</f>
        <v>4850</v>
      </c>
      <c r="D570" s="5">
        <f>IFERROR(__xludf.DUMMYFUNCTION("""COMPUTED_VALUE"""),4620.0)</f>
        <v>4620</v>
      </c>
      <c r="E570" s="5">
        <f>IFERROR(__xludf.DUMMYFUNCTION("""COMPUTED_VALUE"""),4620.0)</f>
        <v>4620</v>
      </c>
      <c r="F570" s="5">
        <f>IFERROR(__xludf.DUMMYFUNCTION("""COMPUTED_VALUE"""),1.984848E8)</f>
        <v>198484800</v>
      </c>
      <c r="G570" s="5">
        <f t="shared" si="1"/>
        <v>230</v>
      </c>
    </row>
    <row r="571">
      <c r="A571" s="4">
        <f>IFERROR(__xludf.DUMMYFUNCTION("""COMPUTED_VALUE"""),44690.66666666667)</f>
        <v>44690.66667</v>
      </c>
      <c r="B571" s="5">
        <f>IFERROR(__xludf.DUMMYFUNCTION("""COMPUTED_VALUE"""),4560.0)</f>
        <v>4560</v>
      </c>
      <c r="C571" s="5">
        <f>IFERROR(__xludf.DUMMYFUNCTION("""COMPUTED_VALUE"""),4560.0)</f>
        <v>4560</v>
      </c>
      <c r="D571" s="5">
        <f>IFERROR(__xludf.DUMMYFUNCTION("""COMPUTED_VALUE"""),4300.0)</f>
        <v>4300</v>
      </c>
      <c r="E571" s="5">
        <f>IFERROR(__xludf.DUMMYFUNCTION("""COMPUTED_VALUE"""),4310.0)</f>
        <v>4310</v>
      </c>
      <c r="F571" s="5">
        <f>IFERROR(__xludf.DUMMYFUNCTION("""COMPUTED_VALUE"""),3.43682E8)</f>
        <v>343682000</v>
      </c>
      <c r="G571" s="5">
        <f t="shared" si="1"/>
        <v>320</v>
      </c>
    </row>
    <row r="572">
      <c r="A572" s="4">
        <f>IFERROR(__xludf.DUMMYFUNCTION("""COMPUTED_VALUE"""),44691.66666666667)</f>
        <v>44691.66667</v>
      </c>
      <c r="B572" s="5">
        <f>IFERROR(__xludf.DUMMYFUNCTION("""COMPUTED_VALUE"""),4120.0)</f>
        <v>4120</v>
      </c>
      <c r="C572" s="5">
        <f>IFERROR(__xludf.DUMMYFUNCTION("""COMPUTED_VALUE"""),4380.0)</f>
        <v>4380</v>
      </c>
      <c r="D572" s="5">
        <f>IFERROR(__xludf.DUMMYFUNCTION("""COMPUTED_VALUE"""),4120.0)</f>
        <v>4120</v>
      </c>
      <c r="E572" s="5">
        <f>IFERROR(__xludf.DUMMYFUNCTION("""COMPUTED_VALUE"""),4340.0)</f>
        <v>4340</v>
      </c>
      <c r="F572" s="5">
        <f>IFERROR(__xludf.DUMMYFUNCTION("""COMPUTED_VALUE"""),2.813863E8)</f>
        <v>281386300</v>
      </c>
      <c r="G572" s="5">
        <f t="shared" si="1"/>
        <v>260</v>
      </c>
    </row>
    <row r="573">
      <c r="A573" s="4">
        <f>IFERROR(__xludf.DUMMYFUNCTION("""COMPUTED_VALUE"""),44692.66666666667)</f>
        <v>44692.66667</v>
      </c>
      <c r="B573" s="5">
        <f>IFERROR(__xludf.DUMMYFUNCTION("""COMPUTED_VALUE"""),4400.0)</f>
        <v>4400</v>
      </c>
      <c r="C573" s="5">
        <f>IFERROR(__xludf.DUMMYFUNCTION("""COMPUTED_VALUE"""),4480.0)</f>
        <v>4480</v>
      </c>
      <c r="D573" s="5">
        <f>IFERROR(__xludf.DUMMYFUNCTION("""COMPUTED_VALUE"""),4330.0)</f>
        <v>4330</v>
      </c>
      <c r="E573" s="5">
        <f>IFERROR(__xludf.DUMMYFUNCTION("""COMPUTED_VALUE"""),4330.0)</f>
        <v>4330</v>
      </c>
      <c r="F573" s="5">
        <f>IFERROR(__xludf.DUMMYFUNCTION("""COMPUTED_VALUE"""),1.544554E8)</f>
        <v>154455400</v>
      </c>
      <c r="G573" s="5">
        <f t="shared" si="1"/>
        <v>150</v>
      </c>
    </row>
    <row r="574">
      <c r="A574" s="4">
        <f>IFERROR(__xludf.DUMMYFUNCTION("""COMPUTED_VALUE"""),44693.66666666667)</f>
        <v>44693.66667</v>
      </c>
      <c r="B574" s="5">
        <f>IFERROR(__xludf.DUMMYFUNCTION("""COMPUTED_VALUE"""),4340.0)</f>
        <v>4340</v>
      </c>
      <c r="C574" s="5">
        <f>IFERROR(__xludf.DUMMYFUNCTION("""COMPUTED_VALUE"""),4390.0)</f>
        <v>4390</v>
      </c>
      <c r="D574" s="5">
        <f>IFERROR(__xludf.DUMMYFUNCTION("""COMPUTED_VALUE"""),4250.0)</f>
        <v>4250</v>
      </c>
      <c r="E574" s="5">
        <f>IFERROR(__xludf.DUMMYFUNCTION("""COMPUTED_VALUE"""),4300.0)</f>
        <v>4300</v>
      </c>
      <c r="F574" s="5">
        <f>IFERROR(__xludf.DUMMYFUNCTION("""COMPUTED_VALUE"""),2.335185E8)</f>
        <v>233518500</v>
      </c>
      <c r="G574" s="5">
        <f t="shared" si="1"/>
        <v>140</v>
      </c>
    </row>
    <row r="575">
      <c r="A575" s="4">
        <f>IFERROR(__xludf.DUMMYFUNCTION("""COMPUTED_VALUE"""),44694.66666666667)</f>
        <v>44694.66667</v>
      </c>
      <c r="B575" s="5">
        <f>IFERROR(__xludf.DUMMYFUNCTION("""COMPUTED_VALUE"""),4250.0)</f>
        <v>4250</v>
      </c>
      <c r="C575" s="5">
        <f>IFERROR(__xludf.DUMMYFUNCTION("""COMPUTED_VALUE"""),4350.0)</f>
        <v>4350</v>
      </c>
      <c r="D575" s="5">
        <f>IFERROR(__xludf.DUMMYFUNCTION("""COMPUTED_VALUE"""),4230.0)</f>
        <v>4230</v>
      </c>
      <c r="E575" s="5">
        <f>IFERROR(__xludf.DUMMYFUNCTION("""COMPUTED_VALUE"""),4260.0)</f>
        <v>4260</v>
      </c>
      <c r="F575" s="5">
        <f>IFERROR(__xludf.DUMMYFUNCTION("""COMPUTED_VALUE"""),1.908892E8)</f>
        <v>190889200</v>
      </c>
      <c r="G575" s="5">
        <f t="shared" si="1"/>
        <v>120</v>
      </c>
    </row>
    <row r="576">
      <c r="A576" s="4">
        <f>IFERROR(__xludf.DUMMYFUNCTION("""COMPUTED_VALUE"""),44698.66666666667)</f>
        <v>44698.66667</v>
      </c>
      <c r="B576" s="5">
        <f>IFERROR(__xludf.DUMMYFUNCTION("""COMPUTED_VALUE"""),4250.0)</f>
        <v>4250</v>
      </c>
      <c r="C576" s="5">
        <f>IFERROR(__xludf.DUMMYFUNCTION("""COMPUTED_VALUE"""),4290.0)</f>
        <v>4290</v>
      </c>
      <c r="D576" s="5">
        <f>IFERROR(__xludf.DUMMYFUNCTION("""COMPUTED_VALUE"""),4180.0)</f>
        <v>4180</v>
      </c>
      <c r="E576" s="5">
        <f>IFERROR(__xludf.DUMMYFUNCTION("""COMPUTED_VALUE"""),4180.0)</f>
        <v>4180</v>
      </c>
      <c r="F576" s="5">
        <f>IFERROR(__xludf.DUMMYFUNCTION("""COMPUTED_VALUE"""),1.708807E8)</f>
        <v>170880700</v>
      </c>
      <c r="G576" s="5">
        <f t="shared" si="1"/>
        <v>110</v>
      </c>
    </row>
    <row r="577">
      <c r="A577" s="4">
        <f>IFERROR(__xludf.DUMMYFUNCTION("""COMPUTED_VALUE"""),44699.66666666667)</f>
        <v>44699.66667</v>
      </c>
      <c r="B577" s="5">
        <f>IFERROR(__xludf.DUMMYFUNCTION("""COMPUTED_VALUE"""),4230.0)</f>
        <v>4230</v>
      </c>
      <c r="C577" s="5">
        <f>IFERROR(__xludf.DUMMYFUNCTION("""COMPUTED_VALUE"""),4290.0)</f>
        <v>4290</v>
      </c>
      <c r="D577" s="5">
        <f>IFERROR(__xludf.DUMMYFUNCTION("""COMPUTED_VALUE"""),4190.0)</f>
        <v>4190</v>
      </c>
      <c r="E577" s="5">
        <f>IFERROR(__xludf.DUMMYFUNCTION("""COMPUTED_VALUE"""),4250.0)</f>
        <v>4250</v>
      </c>
      <c r="F577" s="5">
        <f>IFERROR(__xludf.DUMMYFUNCTION("""COMPUTED_VALUE"""),1.853595E8)</f>
        <v>185359500</v>
      </c>
      <c r="G577" s="5">
        <f t="shared" si="1"/>
        <v>110</v>
      </c>
    </row>
    <row r="578">
      <c r="A578" s="4">
        <f>IFERROR(__xludf.DUMMYFUNCTION("""COMPUTED_VALUE"""),44700.66666666667)</f>
        <v>44700.66667</v>
      </c>
      <c r="B578" s="5">
        <f>IFERROR(__xludf.DUMMYFUNCTION("""COMPUTED_VALUE"""),4180.0)</f>
        <v>4180</v>
      </c>
      <c r="C578" s="5">
        <f>IFERROR(__xludf.DUMMYFUNCTION("""COMPUTED_VALUE"""),4230.0)</f>
        <v>4230</v>
      </c>
      <c r="D578" s="5">
        <f>IFERROR(__xludf.DUMMYFUNCTION("""COMPUTED_VALUE"""),4150.0)</f>
        <v>4150</v>
      </c>
      <c r="E578" s="5">
        <f>IFERROR(__xludf.DUMMYFUNCTION("""COMPUTED_VALUE"""),4210.0)</f>
        <v>4210</v>
      </c>
      <c r="F578" s="5">
        <f>IFERROR(__xludf.DUMMYFUNCTION("""COMPUTED_VALUE"""),1.126793E8)</f>
        <v>112679300</v>
      </c>
      <c r="G578" s="5">
        <f t="shared" si="1"/>
        <v>100</v>
      </c>
    </row>
    <row r="579">
      <c r="A579" s="4">
        <f>IFERROR(__xludf.DUMMYFUNCTION("""COMPUTED_VALUE"""),44701.66666666667)</f>
        <v>44701.66667</v>
      </c>
      <c r="B579" s="5">
        <f>IFERROR(__xludf.DUMMYFUNCTION("""COMPUTED_VALUE"""),4220.0)</f>
        <v>4220</v>
      </c>
      <c r="C579" s="5">
        <f>IFERROR(__xludf.DUMMYFUNCTION("""COMPUTED_VALUE"""),4230.0)</f>
        <v>4230</v>
      </c>
      <c r="D579" s="5">
        <f>IFERROR(__xludf.DUMMYFUNCTION("""COMPUTED_VALUE"""),4170.0)</f>
        <v>4170</v>
      </c>
      <c r="E579" s="5">
        <f>IFERROR(__xludf.DUMMYFUNCTION("""COMPUTED_VALUE"""),4170.0)</f>
        <v>4170</v>
      </c>
      <c r="F579" s="5">
        <f>IFERROR(__xludf.DUMMYFUNCTION("""COMPUTED_VALUE"""),1.417018E8)</f>
        <v>141701800</v>
      </c>
      <c r="G579" s="5">
        <f t="shared" si="1"/>
        <v>60</v>
      </c>
    </row>
    <row r="580">
      <c r="A580" s="4">
        <f>IFERROR(__xludf.DUMMYFUNCTION("""COMPUTED_VALUE"""),44704.66666666667)</f>
        <v>44704.66667</v>
      </c>
      <c r="B580" s="5">
        <f>IFERROR(__xludf.DUMMYFUNCTION("""COMPUTED_VALUE"""),4160.0)</f>
        <v>4160</v>
      </c>
      <c r="C580" s="5">
        <f>IFERROR(__xludf.DUMMYFUNCTION("""COMPUTED_VALUE"""),4180.0)</f>
        <v>4180</v>
      </c>
      <c r="D580" s="5">
        <f>IFERROR(__xludf.DUMMYFUNCTION("""COMPUTED_VALUE"""),4070.0)</f>
        <v>4070</v>
      </c>
      <c r="E580" s="5">
        <f>IFERROR(__xludf.DUMMYFUNCTION("""COMPUTED_VALUE"""),4110.0)</f>
        <v>4110</v>
      </c>
      <c r="F580" s="5">
        <f>IFERROR(__xludf.DUMMYFUNCTION("""COMPUTED_VALUE"""),1.965699E8)</f>
        <v>196569900</v>
      </c>
      <c r="G580" s="5">
        <f t="shared" si="1"/>
        <v>110</v>
      </c>
    </row>
    <row r="581">
      <c r="A581" s="4">
        <f>IFERROR(__xludf.DUMMYFUNCTION("""COMPUTED_VALUE"""),44705.66666666667)</f>
        <v>44705.66667</v>
      </c>
      <c r="B581" s="5">
        <f>IFERROR(__xludf.DUMMYFUNCTION("""COMPUTED_VALUE"""),4120.0)</f>
        <v>4120</v>
      </c>
      <c r="C581" s="5">
        <f>IFERROR(__xludf.DUMMYFUNCTION("""COMPUTED_VALUE"""),4200.0)</f>
        <v>4200</v>
      </c>
      <c r="D581" s="5">
        <f>IFERROR(__xludf.DUMMYFUNCTION("""COMPUTED_VALUE"""),4120.0)</f>
        <v>4120</v>
      </c>
      <c r="E581" s="5">
        <f>IFERROR(__xludf.DUMMYFUNCTION("""COMPUTED_VALUE"""),4150.0)</f>
        <v>4150</v>
      </c>
      <c r="F581" s="5">
        <f>IFERROR(__xludf.DUMMYFUNCTION("""COMPUTED_VALUE"""),1.516937E8)</f>
        <v>151693700</v>
      </c>
      <c r="G581" s="5">
        <f t="shared" si="1"/>
        <v>90</v>
      </c>
    </row>
    <row r="582">
      <c r="A582" s="4">
        <f>IFERROR(__xludf.DUMMYFUNCTION("""COMPUTED_VALUE"""),44706.66666666667)</f>
        <v>44706.66667</v>
      </c>
      <c r="B582" s="5">
        <f>IFERROR(__xludf.DUMMYFUNCTION("""COMPUTED_VALUE"""),4200.0)</f>
        <v>4200</v>
      </c>
      <c r="C582" s="5">
        <f>IFERROR(__xludf.DUMMYFUNCTION("""COMPUTED_VALUE"""),4210.0)</f>
        <v>4210</v>
      </c>
      <c r="D582" s="5">
        <f>IFERROR(__xludf.DUMMYFUNCTION("""COMPUTED_VALUE"""),4150.0)</f>
        <v>4150</v>
      </c>
      <c r="E582" s="5">
        <f>IFERROR(__xludf.DUMMYFUNCTION("""COMPUTED_VALUE"""),4200.0)</f>
        <v>4200</v>
      </c>
      <c r="F582" s="5">
        <f>IFERROR(__xludf.DUMMYFUNCTION("""COMPUTED_VALUE"""),1.665959E8)</f>
        <v>166595900</v>
      </c>
      <c r="G582" s="5">
        <f t="shared" si="1"/>
        <v>60</v>
      </c>
    </row>
    <row r="583">
      <c r="A583" s="4">
        <f>IFERROR(__xludf.DUMMYFUNCTION("""COMPUTED_VALUE"""),44708.66666666667)</f>
        <v>44708.66667</v>
      </c>
      <c r="B583" s="5">
        <f>IFERROR(__xludf.DUMMYFUNCTION("""COMPUTED_VALUE"""),4260.0)</f>
        <v>4260</v>
      </c>
      <c r="C583" s="5">
        <f>IFERROR(__xludf.DUMMYFUNCTION("""COMPUTED_VALUE"""),4300.0)</f>
        <v>4300</v>
      </c>
      <c r="D583" s="5">
        <f>IFERROR(__xludf.DUMMYFUNCTION("""COMPUTED_VALUE"""),4210.0)</f>
        <v>4210</v>
      </c>
      <c r="E583" s="5">
        <f>IFERROR(__xludf.DUMMYFUNCTION("""COMPUTED_VALUE"""),4300.0)</f>
        <v>4300</v>
      </c>
      <c r="F583" s="5">
        <f>IFERROR(__xludf.DUMMYFUNCTION("""COMPUTED_VALUE"""),1.865135E8)</f>
        <v>186513500</v>
      </c>
      <c r="G583" s="5">
        <f t="shared" si="1"/>
        <v>100</v>
      </c>
    </row>
    <row r="584">
      <c r="A584" s="4">
        <f>IFERROR(__xludf.DUMMYFUNCTION("""COMPUTED_VALUE"""),44711.66666666667)</f>
        <v>44711.66667</v>
      </c>
      <c r="B584" s="5">
        <f>IFERROR(__xludf.DUMMYFUNCTION("""COMPUTED_VALUE"""),4340.0)</f>
        <v>4340</v>
      </c>
      <c r="C584" s="5">
        <f>IFERROR(__xludf.DUMMYFUNCTION("""COMPUTED_VALUE"""),4340.0)</f>
        <v>4340</v>
      </c>
      <c r="D584" s="5">
        <f>IFERROR(__xludf.DUMMYFUNCTION("""COMPUTED_VALUE"""),4200.0)</f>
        <v>4200</v>
      </c>
      <c r="E584" s="5">
        <f>IFERROR(__xludf.DUMMYFUNCTION("""COMPUTED_VALUE"""),4250.0)</f>
        <v>4250</v>
      </c>
      <c r="F584" s="5">
        <f>IFERROR(__xludf.DUMMYFUNCTION("""COMPUTED_VALUE"""),1.076141E8)</f>
        <v>107614100</v>
      </c>
      <c r="G584" s="5">
        <f t="shared" si="1"/>
        <v>140</v>
      </c>
    </row>
    <row r="585">
      <c r="A585" s="4">
        <f>IFERROR(__xludf.DUMMYFUNCTION("""COMPUTED_VALUE"""),44712.66666666667)</f>
        <v>44712.66667</v>
      </c>
      <c r="B585" s="5">
        <f>IFERROR(__xludf.DUMMYFUNCTION("""COMPUTED_VALUE"""),4270.0)</f>
        <v>4270</v>
      </c>
      <c r="C585" s="5">
        <f>IFERROR(__xludf.DUMMYFUNCTION("""COMPUTED_VALUE"""),4330.0)</f>
        <v>4330</v>
      </c>
      <c r="D585" s="5">
        <f>IFERROR(__xludf.DUMMYFUNCTION("""COMPUTED_VALUE"""),4230.0)</f>
        <v>4230</v>
      </c>
      <c r="E585" s="5">
        <f>IFERROR(__xludf.DUMMYFUNCTION("""COMPUTED_VALUE"""),4310.0)</f>
        <v>4310</v>
      </c>
      <c r="F585" s="5">
        <f>IFERROR(__xludf.DUMMYFUNCTION("""COMPUTED_VALUE"""),4.696203E8)</f>
        <v>469620300</v>
      </c>
      <c r="G585" s="5">
        <f t="shared" si="1"/>
        <v>100</v>
      </c>
    </row>
    <row r="586">
      <c r="A586" s="4">
        <f>IFERROR(__xludf.DUMMYFUNCTION("""COMPUTED_VALUE"""),44714.66666666667)</f>
        <v>44714.66667</v>
      </c>
      <c r="B586" s="5">
        <f>IFERROR(__xludf.DUMMYFUNCTION("""COMPUTED_VALUE"""),4390.0)</f>
        <v>4390</v>
      </c>
      <c r="C586" s="5">
        <f>IFERROR(__xludf.DUMMYFUNCTION("""COMPUTED_VALUE"""),4390.0)</f>
        <v>4390</v>
      </c>
      <c r="D586" s="5">
        <f>IFERROR(__xludf.DUMMYFUNCTION("""COMPUTED_VALUE"""),4270.0)</f>
        <v>4270</v>
      </c>
      <c r="E586" s="5">
        <f>IFERROR(__xludf.DUMMYFUNCTION("""COMPUTED_VALUE"""),4290.0)</f>
        <v>4290</v>
      </c>
      <c r="F586" s="5">
        <f>IFERROR(__xludf.DUMMYFUNCTION("""COMPUTED_VALUE"""),1.644811E8)</f>
        <v>164481100</v>
      </c>
      <c r="G586" s="5">
        <f t="shared" si="1"/>
        <v>120</v>
      </c>
    </row>
    <row r="587">
      <c r="A587" s="4">
        <f>IFERROR(__xludf.DUMMYFUNCTION("""COMPUTED_VALUE"""),44715.66666666667)</f>
        <v>44715.66667</v>
      </c>
      <c r="B587" s="5">
        <f>IFERROR(__xludf.DUMMYFUNCTION("""COMPUTED_VALUE"""),4310.0)</f>
        <v>4310</v>
      </c>
      <c r="C587" s="5">
        <f>IFERROR(__xludf.DUMMYFUNCTION("""COMPUTED_VALUE"""),4390.0)</f>
        <v>4390</v>
      </c>
      <c r="D587" s="5">
        <f>IFERROR(__xludf.DUMMYFUNCTION("""COMPUTED_VALUE"""),4300.0)</f>
        <v>4300</v>
      </c>
      <c r="E587" s="5">
        <f>IFERROR(__xludf.DUMMYFUNCTION("""COMPUTED_VALUE"""),4310.0)</f>
        <v>4310</v>
      </c>
      <c r="F587" s="5">
        <f>IFERROR(__xludf.DUMMYFUNCTION("""COMPUTED_VALUE"""),1.088528E8)</f>
        <v>108852800</v>
      </c>
      <c r="G587" s="5">
        <f t="shared" si="1"/>
        <v>100</v>
      </c>
    </row>
    <row r="588">
      <c r="A588" s="4">
        <f>IFERROR(__xludf.DUMMYFUNCTION("""COMPUTED_VALUE"""),44718.66666666667)</f>
        <v>44718.66667</v>
      </c>
      <c r="B588" s="5">
        <f>IFERROR(__xludf.DUMMYFUNCTION("""COMPUTED_VALUE"""),4310.0)</f>
        <v>4310</v>
      </c>
      <c r="C588" s="5">
        <f>IFERROR(__xludf.DUMMYFUNCTION("""COMPUTED_VALUE"""),4340.0)</f>
        <v>4340</v>
      </c>
      <c r="D588" s="5">
        <f>IFERROR(__xludf.DUMMYFUNCTION("""COMPUTED_VALUE"""),4270.0)</f>
        <v>4270</v>
      </c>
      <c r="E588" s="5">
        <f>IFERROR(__xludf.DUMMYFUNCTION("""COMPUTED_VALUE"""),4340.0)</f>
        <v>4340</v>
      </c>
      <c r="F588" s="5">
        <f>IFERROR(__xludf.DUMMYFUNCTION("""COMPUTED_VALUE"""),7.93194E7)</f>
        <v>79319400</v>
      </c>
      <c r="G588" s="5">
        <f t="shared" si="1"/>
        <v>70</v>
      </c>
    </row>
    <row r="589">
      <c r="A589" s="4">
        <f>IFERROR(__xludf.DUMMYFUNCTION("""COMPUTED_VALUE"""),44719.66666666667)</f>
        <v>44719.66667</v>
      </c>
      <c r="B589" s="5">
        <f>IFERROR(__xludf.DUMMYFUNCTION("""COMPUTED_VALUE"""),4340.0)</f>
        <v>4340</v>
      </c>
      <c r="C589" s="5">
        <f>IFERROR(__xludf.DUMMYFUNCTION("""COMPUTED_VALUE"""),4340.0)</f>
        <v>4340</v>
      </c>
      <c r="D589" s="5">
        <f>IFERROR(__xludf.DUMMYFUNCTION("""COMPUTED_VALUE"""),4250.0)</f>
        <v>4250</v>
      </c>
      <c r="E589" s="5">
        <f>IFERROR(__xludf.DUMMYFUNCTION("""COMPUTED_VALUE"""),4250.0)</f>
        <v>4250</v>
      </c>
      <c r="F589" s="5">
        <f>IFERROR(__xludf.DUMMYFUNCTION("""COMPUTED_VALUE"""),1.42504E8)</f>
        <v>142504000</v>
      </c>
      <c r="G589" s="5">
        <f t="shared" si="1"/>
        <v>90</v>
      </c>
    </row>
    <row r="590">
      <c r="A590" s="4">
        <f>IFERROR(__xludf.DUMMYFUNCTION("""COMPUTED_VALUE"""),44720.66666666667)</f>
        <v>44720.66667</v>
      </c>
      <c r="B590" s="5">
        <f>IFERROR(__xludf.DUMMYFUNCTION("""COMPUTED_VALUE"""),4150.0)</f>
        <v>4150</v>
      </c>
      <c r="C590" s="5">
        <f>IFERROR(__xludf.DUMMYFUNCTION("""COMPUTED_VALUE"""),4170.0)</f>
        <v>4170</v>
      </c>
      <c r="D590" s="5">
        <f>IFERROR(__xludf.DUMMYFUNCTION("""COMPUTED_VALUE"""),4080.0)</f>
        <v>4080</v>
      </c>
      <c r="E590" s="5">
        <f>IFERROR(__xludf.DUMMYFUNCTION("""COMPUTED_VALUE"""),4100.0)</f>
        <v>4100</v>
      </c>
      <c r="F590" s="5">
        <f>IFERROR(__xludf.DUMMYFUNCTION("""COMPUTED_VALUE"""),2.025559E8)</f>
        <v>202555900</v>
      </c>
      <c r="G590" s="5">
        <f t="shared" si="1"/>
        <v>170</v>
      </c>
    </row>
    <row r="591">
      <c r="A591" s="4">
        <f>IFERROR(__xludf.DUMMYFUNCTION("""COMPUTED_VALUE"""),44721.66666666667)</f>
        <v>44721.66667</v>
      </c>
      <c r="B591" s="5">
        <f>IFERROR(__xludf.DUMMYFUNCTION("""COMPUTED_VALUE"""),4080.0)</f>
        <v>4080</v>
      </c>
      <c r="C591" s="5">
        <f>IFERROR(__xludf.DUMMYFUNCTION("""COMPUTED_VALUE"""),4130.0)</f>
        <v>4130</v>
      </c>
      <c r="D591" s="5">
        <f>IFERROR(__xludf.DUMMYFUNCTION("""COMPUTED_VALUE"""),4050.0)</f>
        <v>4050</v>
      </c>
      <c r="E591" s="5">
        <f>IFERROR(__xludf.DUMMYFUNCTION("""COMPUTED_VALUE"""),4050.0)</f>
        <v>4050</v>
      </c>
      <c r="F591" s="5">
        <f>IFERROR(__xludf.DUMMYFUNCTION("""COMPUTED_VALUE"""),1.485802E8)</f>
        <v>148580200</v>
      </c>
      <c r="G591" s="5">
        <f t="shared" si="1"/>
        <v>80</v>
      </c>
    </row>
    <row r="592">
      <c r="A592" s="4">
        <f>IFERROR(__xludf.DUMMYFUNCTION("""COMPUTED_VALUE"""),44722.66666666667)</f>
        <v>44722.66667</v>
      </c>
      <c r="B592" s="5">
        <f>IFERROR(__xludf.DUMMYFUNCTION("""COMPUTED_VALUE"""),4040.0)</f>
        <v>4040</v>
      </c>
      <c r="C592" s="5">
        <f>IFERROR(__xludf.DUMMYFUNCTION("""COMPUTED_VALUE"""),4080.0)</f>
        <v>4080</v>
      </c>
      <c r="D592" s="5">
        <f>IFERROR(__xludf.DUMMYFUNCTION("""COMPUTED_VALUE"""),4000.0)</f>
        <v>4000</v>
      </c>
      <c r="E592" s="5">
        <f>IFERROR(__xludf.DUMMYFUNCTION("""COMPUTED_VALUE"""),4020.0)</f>
        <v>4020</v>
      </c>
      <c r="F592" s="5">
        <f>IFERROR(__xludf.DUMMYFUNCTION("""COMPUTED_VALUE"""),1.891867E8)</f>
        <v>189186700</v>
      </c>
      <c r="G592" s="5">
        <f t="shared" si="1"/>
        <v>80</v>
      </c>
    </row>
    <row r="593">
      <c r="A593" s="4">
        <f>IFERROR(__xludf.DUMMYFUNCTION("""COMPUTED_VALUE"""),44725.66666666667)</f>
        <v>44725.66667</v>
      </c>
      <c r="B593" s="5">
        <f>IFERROR(__xludf.DUMMYFUNCTION("""COMPUTED_VALUE"""),3950.0)</f>
        <v>3950</v>
      </c>
      <c r="C593" s="5">
        <f>IFERROR(__xludf.DUMMYFUNCTION("""COMPUTED_VALUE"""),4100.0)</f>
        <v>4100</v>
      </c>
      <c r="D593" s="5">
        <f>IFERROR(__xludf.DUMMYFUNCTION("""COMPUTED_VALUE"""),3930.0)</f>
        <v>3930</v>
      </c>
      <c r="E593" s="5">
        <f>IFERROR(__xludf.DUMMYFUNCTION("""COMPUTED_VALUE"""),4080.0)</f>
        <v>4080</v>
      </c>
      <c r="F593" s="5">
        <f>IFERROR(__xludf.DUMMYFUNCTION("""COMPUTED_VALUE"""),1.560549E8)</f>
        <v>156054900</v>
      </c>
      <c r="G593" s="5">
        <f t="shared" si="1"/>
        <v>170</v>
      </c>
    </row>
    <row r="594">
      <c r="A594" s="4">
        <f>IFERROR(__xludf.DUMMYFUNCTION("""COMPUTED_VALUE"""),44726.66666666667)</f>
        <v>44726.66667</v>
      </c>
      <c r="B594" s="5">
        <f>IFERROR(__xludf.DUMMYFUNCTION("""COMPUTED_VALUE"""),4050.0)</f>
        <v>4050</v>
      </c>
      <c r="C594" s="5">
        <f>IFERROR(__xludf.DUMMYFUNCTION("""COMPUTED_VALUE"""),4120.0)</f>
        <v>4120</v>
      </c>
      <c r="D594" s="5">
        <f>IFERROR(__xludf.DUMMYFUNCTION("""COMPUTED_VALUE"""),4020.0)</f>
        <v>4020</v>
      </c>
      <c r="E594" s="5">
        <f>IFERROR(__xludf.DUMMYFUNCTION("""COMPUTED_VALUE"""),4110.0)</f>
        <v>4110</v>
      </c>
      <c r="F594" s="5">
        <f>IFERROR(__xludf.DUMMYFUNCTION("""COMPUTED_VALUE"""),1.173256E8)</f>
        <v>117325600</v>
      </c>
      <c r="G594" s="5">
        <f t="shared" si="1"/>
        <v>100</v>
      </c>
    </row>
    <row r="595">
      <c r="A595" s="4">
        <f>IFERROR(__xludf.DUMMYFUNCTION("""COMPUTED_VALUE"""),44727.66666666667)</f>
        <v>44727.66667</v>
      </c>
      <c r="B595" s="5">
        <f>IFERROR(__xludf.DUMMYFUNCTION("""COMPUTED_VALUE"""),4060.0)</f>
        <v>4060</v>
      </c>
      <c r="C595" s="5">
        <f>IFERROR(__xludf.DUMMYFUNCTION("""COMPUTED_VALUE"""),4080.0)</f>
        <v>4080</v>
      </c>
      <c r="D595" s="5">
        <f>IFERROR(__xludf.DUMMYFUNCTION("""COMPUTED_VALUE"""),4030.0)</f>
        <v>4030</v>
      </c>
      <c r="E595" s="5">
        <f>IFERROR(__xludf.DUMMYFUNCTION("""COMPUTED_VALUE"""),4060.0)</f>
        <v>4060</v>
      </c>
      <c r="F595" s="5">
        <f>IFERROR(__xludf.DUMMYFUNCTION("""COMPUTED_VALUE"""),9.48488E7)</f>
        <v>94848800</v>
      </c>
      <c r="G595" s="5">
        <f t="shared" si="1"/>
        <v>80</v>
      </c>
    </row>
    <row r="596">
      <c r="A596" s="4">
        <f>IFERROR(__xludf.DUMMYFUNCTION("""COMPUTED_VALUE"""),44728.66666666667)</f>
        <v>44728.66667</v>
      </c>
      <c r="B596" s="5">
        <f>IFERROR(__xludf.DUMMYFUNCTION("""COMPUTED_VALUE"""),4120.0)</f>
        <v>4120</v>
      </c>
      <c r="C596" s="5">
        <f>IFERROR(__xludf.DUMMYFUNCTION("""COMPUTED_VALUE"""),4120.0)</f>
        <v>4120</v>
      </c>
      <c r="D596" s="5">
        <f>IFERROR(__xludf.DUMMYFUNCTION("""COMPUTED_VALUE"""),4030.0)</f>
        <v>4030</v>
      </c>
      <c r="E596" s="5">
        <f>IFERROR(__xludf.DUMMYFUNCTION("""COMPUTED_VALUE"""),4040.0)</f>
        <v>4040</v>
      </c>
      <c r="F596" s="5">
        <f>IFERROR(__xludf.DUMMYFUNCTION("""COMPUTED_VALUE"""),9.60422E7)</f>
        <v>96042200</v>
      </c>
      <c r="G596" s="5">
        <f t="shared" si="1"/>
        <v>90</v>
      </c>
    </row>
    <row r="597">
      <c r="A597" s="4">
        <f>IFERROR(__xludf.DUMMYFUNCTION("""COMPUTED_VALUE"""),44729.66666666667)</f>
        <v>44729.66667</v>
      </c>
      <c r="B597" s="5">
        <f>IFERROR(__xludf.DUMMYFUNCTION("""COMPUTED_VALUE"""),4010.0)</f>
        <v>4010</v>
      </c>
      <c r="C597" s="5">
        <f>IFERROR(__xludf.DUMMYFUNCTION("""COMPUTED_VALUE"""),4120.0)</f>
        <v>4120</v>
      </c>
      <c r="D597" s="5">
        <f>IFERROR(__xludf.DUMMYFUNCTION("""COMPUTED_VALUE"""),3980.0)</f>
        <v>3980</v>
      </c>
      <c r="E597" s="5">
        <f>IFERROR(__xludf.DUMMYFUNCTION("""COMPUTED_VALUE"""),4120.0)</f>
        <v>4120</v>
      </c>
      <c r="F597" s="5">
        <f>IFERROR(__xludf.DUMMYFUNCTION("""COMPUTED_VALUE"""),1.693758E8)</f>
        <v>169375800</v>
      </c>
      <c r="G597" s="5">
        <f t="shared" si="1"/>
        <v>140</v>
      </c>
    </row>
    <row r="598">
      <c r="A598" s="4">
        <f>IFERROR(__xludf.DUMMYFUNCTION("""COMPUTED_VALUE"""),44732.66666666667)</f>
        <v>44732.66667</v>
      </c>
      <c r="B598" s="5">
        <f>IFERROR(__xludf.DUMMYFUNCTION("""COMPUTED_VALUE"""),4050.0)</f>
        <v>4050</v>
      </c>
      <c r="C598" s="5">
        <f>IFERROR(__xludf.DUMMYFUNCTION("""COMPUTED_VALUE"""),4060.0)</f>
        <v>4060</v>
      </c>
      <c r="D598" s="5">
        <f>IFERROR(__xludf.DUMMYFUNCTION("""COMPUTED_VALUE"""),4000.0)</f>
        <v>4000</v>
      </c>
      <c r="E598" s="5">
        <f>IFERROR(__xludf.DUMMYFUNCTION("""COMPUTED_VALUE"""),4040.0)</f>
        <v>4040</v>
      </c>
      <c r="F598" s="5">
        <f>IFERROR(__xludf.DUMMYFUNCTION("""COMPUTED_VALUE"""),8.21012E7)</f>
        <v>82101200</v>
      </c>
      <c r="G598" s="5">
        <f t="shared" si="1"/>
        <v>120</v>
      </c>
    </row>
    <row r="599">
      <c r="A599" s="4">
        <f>IFERROR(__xludf.DUMMYFUNCTION("""COMPUTED_VALUE"""),44733.66666666667)</f>
        <v>44733.66667</v>
      </c>
      <c r="B599" s="5">
        <f>IFERROR(__xludf.DUMMYFUNCTION("""COMPUTED_VALUE"""),4060.0)</f>
        <v>4060</v>
      </c>
      <c r="C599" s="5">
        <f>IFERROR(__xludf.DUMMYFUNCTION("""COMPUTED_VALUE"""),4120.0)</f>
        <v>4120</v>
      </c>
      <c r="D599" s="5">
        <f>IFERROR(__xludf.DUMMYFUNCTION("""COMPUTED_VALUE"""),4030.0)</f>
        <v>4030</v>
      </c>
      <c r="E599" s="5">
        <f>IFERROR(__xludf.DUMMYFUNCTION("""COMPUTED_VALUE"""),4110.0)</f>
        <v>4110</v>
      </c>
      <c r="F599" s="5">
        <f>IFERROR(__xludf.DUMMYFUNCTION("""COMPUTED_VALUE"""),7.7489E7)</f>
        <v>77489000</v>
      </c>
      <c r="G599" s="5">
        <f t="shared" si="1"/>
        <v>90</v>
      </c>
    </row>
    <row r="600">
      <c r="A600" s="4">
        <f>IFERROR(__xludf.DUMMYFUNCTION("""COMPUTED_VALUE"""),44734.66666666667)</f>
        <v>44734.66667</v>
      </c>
      <c r="B600" s="5">
        <f>IFERROR(__xludf.DUMMYFUNCTION("""COMPUTED_VALUE"""),4090.0)</f>
        <v>4090</v>
      </c>
      <c r="C600" s="5">
        <f>IFERROR(__xludf.DUMMYFUNCTION("""COMPUTED_VALUE"""),4090.0)</f>
        <v>4090</v>
      </c>
      <c r="D600" s="5">
        <f>IFERROR(__xludf.DUMMYFUNCTION("""COMPUTED_VALUE"""),4040.0)</f>
        <v>4040</v>
      </c>
      <c r="E600" s="5">
        <f>IFERROR(__xludf.DUMMYFUNCTION("""COMPUTED_VALUE"""),4050.0)</f>
        <v>4050</v>
      </c>
      <c r="F600" s="5">
        <f>IFERROR(__xludf.DUMMYFUNCTION("""COMPUTED_VALUE"""),6.09078E7)</f>
        <v>60907800</v>
      </c>
      <c r="G600" s="5">
        <f t="shared" si="1"/>
        <v>70</v>
      </c>
    </row>
    <row r="601">
      <c r="A601" s="4">
        <f>IFERROR(__xludf.DUMMYFUNCTION("""COMPUTED_VALUE"""),44735.66666666667)</f>
        <v>44735.66667</v>
      </c>
      <c r="B601" s="5">
        <f>IFERROR(__xludf.DUMMYFUNCTION("""COMPUTED_VALUE"""),4030.0)</f>
        <v>4030</v>
      </c>
      <c r="C601" s="5">
        <f>IFERROR(__xludf.DUMMYFUNCTION("""COMPUTED_VALUE"""),4160.0)</f>
        <v>4160</v>
      </c>
      <c r="D601" s="5">
        <f>IFERROR(__xludf.DUMMYFUNCTION("""COMPUTED_VALUE"""),4030.0)</f>
        <v>4030</v>
      </c>
      <c r="E601" s="5">
        <f>IFERROR(__xludf.DUMMYFUNCTION("""COMPUTED_VALUE"""),4160.0)</f>
        <v>4160</v>
      </c>
      <c r="F601" s="5">
        <f>IFERROR(__xludf.DUMMYFUNCTION("""COMPUTED_VALUE"""),1.010654E8)</f>
        <v>101065400</v>
      </c>
      <c r="G601" s="5">
        <f t="shared" si="1"/>
        <v>130</v>
      </c>
    </row>
    <row r="602">
      <c r="A602" s="4">
        <f>IFERROR(__xludf.DUMMYFUNCTION("""COMPUTED_VALUE"""),44736.66666666667)</f>
        <v>44736.66667</v>
      </c>
      <c r="B602" s="5">
        <f>IFERROR(__xludf.DUMMYFUNCTION("""COMPUTED_VALUE"""),4230.0)</f>
        <v>4230</v>
      </c>
      <c r="C602" s="5">
        <f>IFERROR(__xludf.DUMMYFUNCTION("""COMPUTED_VALUE"""),4230.0)</f>
        <v>4230</v>
      </c>
      <c r="D602" s="5">
        <f>IFERROR(__xludf.DUMMYFUNCTION("""COMPUTED_VALUE"""),4100.0)</f>
        <v>4100</v>
      </c>
      <c r="E602" s="5">
        <f>IFERROR(__xludf.DUMMYFUNCTION("""COMPUTED_VALUE"""),4150.0)</f>
        <v>4150</v>
      </c>
      <c r="F602" s="5">
        <f>IFERROR(__xludf.DUMMYFUNCTION("""COMPUTED_VALUE"""),8.10507E7)</f>
        <v>81050700</v>
      </c>
      <c r="G602" s="5">
        <f t="shared" si="1"/>
        <v>130</v>
      </c>
    </row>
    <row r="603">
      <c r="A603" s="4">
        <f>IFERROR(__xludf.DUMMYFUNCTION("""COMPUTED_VALUE"""),44739.66666666667)</f>
        <v>44739.66667</v>
      </c>
      <c r="B603" s="5">
        <f>IFERROR(__xludf.DUMMYFUNCTION("""COMPUTED_VALUE"""),4110.0)</f>
        <v>4110</v>
      </c>
      <c r="C603" s="5">
        <f>IFERROR(__xludf.DUMMYFUNCTION("""COMPUTED_VALUE"""),4120.0)</f>
        <v>4120</v>
      </c>
      <c r="D603" s="5">
        <f>IFERROR(__xludf.DUMMYFUNCTION("""COMPUTED_VALUE"""),4040.0)</f>
        <v>4040</v>
      </c>
      <c r="E603" s="5">
        <f>IFERROR(__xludf.DUMMYFUNCTION("""COMPUTED_VALUE"""),4070.0)</f>
        <v>4070</v>
      </c>
      <c r="F603" s="5">
        <f>IFERROR(__xludf.DUMMYFUNCTION("""COMPUTED_VALUE"""),7.15743E7)</f>
        <v>71574300</v>
      </c>
      <c r="G603" s="5">
        <f t="shared" si="1"/>
        <v>110</v>
      </c>
    </row>
    <row r="604">
      <c r="A604" s="4">
        <f>IFERROR(__xludf.DUMMYFUNCTION("""COMPUTED_VALUE"""),44740.66666666667)</f>
        <v>44740.66667</v>
      </c>
      <c r="B604" s="5">
        <f>IFERROR(__xludf.DUMMYFUNCTION("""COMPUTED_VALUE"""),4010.0)</f>
        <v>4010</v>
      </c>
      <c r="C604" s="5">
        <f>IFERROR(__xludf.DUMMYFUNCTION("""COMPUTED_VALUE"""),4050.0)</f>
        <v>4050</v>
      </c>
      <c r="D604" s="5">
        <f>IFERROR(__xludf.DUMMYFUNCTION("""COMPUTED_VALUE"""),4000.0)</f>
        <v>4000</v>
      </c>
      <c r="E604" s="5">
        <f>IFERROR(__xludf.DUMMYFUNCTION("""COMPUTED_VALUE"""),4030.0)</f>
        <v>4030</v>
      </c>
      <c r="F604" s="5">
        <f>IFERROR(__xludf.DUMMYFUNCTION("""COMPUTED_VALUE"""),1.286188E8)</f>
        <v>128618800</v>
      </c>
      <c r="G604" s="5">
        <f t="shared" si="1"/>
        <v>70</v>
      </c>
    </row>
    <row r="605">
      <c r="A605" s="4">
        <f>IFERROR(__xludf.DUMMYFUNCTION("""COMPUTED_VALUE"""),44741.66666666667)</f>
        <v>44741.66667</v>
      </c>
      <c r="B605" s="5">
        <f>IFERROR(__xludf.DUMMYFUNCTION("""COMPUTED_VALUE"""),4000.0)</f>
        <v>4000</v>
      </c>
      <c r="C605" s="5">
        <f>IFERROR(__xludf.DUMMYFUNCTION("""COMPUTED_VALUE"""),4080.0)</f>
        <v>4080</v>
      </c>
      <c r="D605" s="5">
        <f>IFERROR(__xludf.DUMMYFUNCTION("""COMPUTED_VALUE"""),4000.0)</f>
        <v>4000</v>
      </c>
      <c r="E605" s="5">
        <f>IFERROR(__xludf.DUMMYFUNCTION("""COMPUTED_VALUE"""),4040.0)</f>
        <v>4040</v>
      </c>
      <c r="F605" s="5">
        <f>IFERROR(__xludf.DUMMYFUNCTION("""COMPUTED_VALUE"""),7.28881E7)</f>
        <v>72888100</v>
      </c>
      <c r="G605" s="5">
        <f t="shared" si="1"/>
        <v>80</v>
      </c>
    </row>
    <row r="606">
      <c r="A606" s="4">
        <f>IFERROR(__xludf.DUMMYFUNCTION("""COMPUTED_VALUE"""),44742.66666666667)</f>
        <v>44742.66667</v>
      </c>
      <c r="B606" s="5">
        <f>IFERROR(__xludf.DUMMYFUNCTION("""COMPUTED_VALUE"""),4110.0)</f>
        <v>4110</v>
      </c>
      <c r="C606" s="5">
        <f>IFERROR(__xludf.DUMMYFUNCTION("""COMPUTED_VALUE"""),4110.0)</f>
        <v>4110</v>
      </c>
      <c r="D606" s="5">
        <f>IFERROR(__xludf.DUMMYFUNCTION("""COMPUTED_VALUE"""),4000.0)</f>
        <v>4000</v>
      </c>
      <c r="E606" s="5">
        <f>IFERROR(__xludf.DUMMYFUNCTION("""COMPUTED_VALUE"""),4000.0)</f>
        <v>4000</v>
      </c>
      <c r="F606" s="5">
        <f>IFERROR(__xludf.DUMMYFUNCTION("""COMPUTED_VALUE"""),1.167189E8)</f>
        <v>116718900</v>
      </c>
      <c r="G606" s="5">
        <f t="shared" si="1"/>
        <v>110</v>
      </c>
    </row>
    <row r="607">
      <c r="A607" s="4">
        <f>IFERROR(__xludf.DUMMYFUNCTION("""COMPUTED_VALUE"""),44743.66666666667)</f>
        <v>44743.66667</v>
      </c>
      <c r="B607" s="5">
        <f>IFERROR(__xludf.DUMMYFUNCTION("""COMPUTED_VALUE"""),4010.0)</f>
        <v>4010</v>
      </c>
      <c r="C607" s="5">
        <f>IFERROR(__xludf.DUMMYFUNCTION("""COMPUTED_VALUE"""),4040.0)</f>
        <v>4040</v>
      </c>
      <c r="D607" s="5">
        <f>IFERROR(__xludf.DUMMYFUNCTION("""COMPUTED_VALUE"""),4000.0)</f>
        <v>4000</v>
      </c>
      <c r="E607" s="5">
        <f>IFERROR(__xludf.DUMMYFUNCTION("""COMPUTED_VALUE"""),4020.0)</f>
        <v>4020</v>
      </c>
      <c r="F607" s="5">
        <f>IFERROR(__xludf.DUMMYFUNCTION("""COMPUTED_VALUE"""),3.95725E7)</f>
        <v>39572500</v>
      </c>
      <c r="G607" s="5">
        <f t="shared" si="1"/>
        <v>40</v>
      </c>
    </row>
    <row r="608">
      <c r="A608" s="4">
        <f>IFERROR(__xludf.DUMMYFUNCTION("""COMPUTED_VALUE"""),44746.66666666667)</f>
        <v>44746.66667</v>
      </c>
      <c r="B608" s="5">
        <f>IFERROR(__xludf.DUMMYFUNCTION("""COMPUTED_VALUE"""),4020.0)</f>
        <v>4020</v>
      </c>
      <c r="C608" s="5">
        <f>IFERROR(__xludf.DUMMYFUNCTION("""COMPUTED_VALUE"""),4040.0)</f>
        <v>4040</v>
      </c>
      <c r="D608" s="5">
        <f>IFERROR(__xludf.DUMMYFUNCTION("""COMPUTED_VALUE"""),3840.0)</f>
        <v>3840</v>
      </c>
      <c r="E608" s="5">
        <f>IFERROR(__xludf.DUMMYFUNCTION("""COMPUTED_VALUE"""),3990.0)</f>
        <v>3990</v>
      </c>
      <c r="F608" s="5">
        <f>IFERROR(__xludf.DUMMYFUNCTION("""COMPUTED_VALUE"""),1.158852E8)</f>
        <v>115885200</v>
      </c>
      <c r="G608" s="5">
        <f t="shared" si="1"/>
        <v>200</v>
      </c>
    </row>
    <row r="609">
      <c r="A609" s="4">
        <f>IFERROR(__xludf.DUMMYFUNCTION("""COMPUTED_VALUE"""),44747.66666666667)</f>
        <v>44747.66667</v>
      </c>
      <c r="B609" s="5">
        <f>IFERROR(__xludf.DUMMYFUNCTION("""COMPUTED_VALUE"""),4010.0)</f>
        <v>4010</v>
      </c>
      <c r="C609" s="5">
        <f>IFERROR(__xludf.DUMMYFUNCTION("""COMPUTED_VALUE"""),4070.0)</f>
        <v>4070</v>
      </c>
      <c r="D609" s="5">
        <f>IFERROR(__xludf.DUMMYFUNCTION("""COMPUTED_VALUE"""),3950.0)</f>
        <v>3950</v>
      </c>
      <c r="E609" s="5">
        <f>IFERROR(__xludf.DUMMYFUNCTION("""COMPUTED_VALUE"""),3990.0)</f>
        <v>3990</v>
      </c>
      <c r="F609" s="5">
        <f>IFERROR(__xludf.DUMMYFUNCTION("""COMPUTED_VALUE"""),7.23296E7)</f>
        <v>72329600</v>
      </c>
      <c r="G609" s="5">
        <f t="shared" si="1"/>
        <v>120</v>
      </c>
    </row>
    <row r="610">
      <c r="A610" s="4">
        <f>IFERROR(__xludf.DUMMYFUNCTION("""COMPUTED_VALUE"""),44748.66666666667)</f>
        <v>44748.66667</v>
      </c>
      <c r="B610" s="5">
        <f>IFERROR(__xludf.DUMMYFUNCTION("""COMPUTED_VALUE"""),4050.0)</f>
        <v>4050</v>
      </c>
      <c r="C610" s="5">
        <f>IFERROR(__xludf.DUMMYFUNCTION("""COMPUTED_VALUE"""),4050.0)</f>
        <v>4050</v>
      </c>
      <c r="D610" s="5">
        <f>IFERROR(__xludf.DUMMYFUNCTION("""COMPUTED_VALUE"""),3970.0)</f>
        <v>3970</v>
      </c>
      <c r="E610" s="5">
        <f>IFERROR(__xludf.DUMMYFUNCTION("""COMPUTED_VALUE"""),4020.0)</f>
        <v>4020</v>
      </c>
      <c r="F610" s="5">
        <f>IFERROR(__xludf.DUMMYFUNCTION("""COMPUTED_VALUE"""),6.2679E7)</f>
        <v>62679000</v>
      </c>
      <c r="G610" s="5">
        <f t="shared" si="1"/>
        <v>80</v>
      </c>
    </row>
    <row r="611">
      <c r="A611" s="4">
        <f>IFERROR(__xludf.DUMMYFUNCTION("""COMPUTED_VALUE"""),44749.66666666667)</f>
        <v>44749.66667</v>
      </c>
      <c r="B611" s="5">
        <f>IFERROR(__xludf.DUMMYFUNCTION("""COMPUTED_VALUE"""),4040.0)</f>
        <v>4040</v>
      </c>
      <c r="C611" s="5">
        <f>IFERROR(__xludf.DUMMYFUNCTION("""COMPUTED_VALUE"""),4050.0)</f>
        <v>4050</v>
      </c>
      <c r="D611" s="5">
        <f>IFERROR(__xludf.DUMMYFUNCTION("""COMPUTED_VALUE"""),4010.0)</f>
        <v>4010</v>
      </c>
      <c r="E611" s="5">
        <f>IFERROR(__xludf.DUMMYFUNCTION("""COMPUTED_VALUE"""),4040.0)</f>
        <v>4040</v>
      </c>
      <c r="F611" s="5">
        <f>IFERROR(__xludf.DUMMYFUNCTION("""COMPUTED_VALUE"""),4.23938E7)</f>
        <v>42393800</v>
      </c>
      <c r="G611" s="5">
        <f t="shared" si="1"/>
        <v>40</v>
      </c>
    </row>
    <row r="612">
      <c r="A612" s="4">
        <f>IFERROR(__xludf.DUMMYFUNCTION("""COMPUTED_VALUE"""),44750.66666666667)</f>
        <v>44750.66667</v>
      </c>
      <c r="B612" s="5">
        <f>IFERROR(__xludf.DUMMYFUNCTION("""COMPUTED_VALUE"""),4050.0)</f>
        <v>4050</v>
      </c>
      <c r="C612" s="5">
        <f>IFERROR(__xludf.DUMMYFUNCTION("""COMPUTED_VALUE"""),4060.0)</f>
        <v>4060</v>
      </c>
      <c r="D612" s="5">
        <f>IFERROR(__xludf.DUMMYFUNCTION("""COMPUTED_VALUE"""),4000.0)</f>
        <v>4000</v>
      </c>
      <c r="E612" s="5">
        <f>IFERROR(__xludf.DUMMYFUNCTION("""COMPUTED_VALUE"""),4010.0)</f>
        <v>4010</v>
      </c>
      <c r="F612" s="5">
        <f>IFERROR(__xludf.DUMMYFUNCTION("""COMPUTED_VALUE"""),6.4049E7)</f>
        <v>64049000</v>
      </c>
      <c r="G612" s="5">
        <f t="shared" si="1"/>
        <v>60</v>
      </c>
    </row>
    <row r="613">
      <c r="A613" s="4">
        <f>IFERROR(__xludf.DUMMYFUNCTION("""COMPUTED_VALUE"""),44753.66666666667)</f>
        <v>44753.66667</v>
      </c>
      <c r="B613" s="5">
        <f>IFERROR(__xludf.DUMMYFUNCTION("""COMPUTED_VALUE"""),4100.0)</f>
        <v>4100</v>
      </c>
      <c r="C613" s="5">
        <f>IFERROR(__xludf.DUMMYFUNCTION("""COMPUTED_VALUE"""),4100.0)</f>
        <v>4100</v>
      </c>
      <c r="D613" s="5">
        <f>IFERROR(__xludf.DUMMYFUNCTION("""COMPUTED_VALUE"""),4000.0)</f>
        <v>4000</v>
      </c>
      <c r="E613" s="5">
        <f>IFERROR(__xludf.DUMMYFUNCTION("""COMPUTED_VALUE"""),4040.0)</f>
        <v>4040</v>
      </c>
      <c r="F613" s="5">
        <f>IFERROR(__xludf.DUMMYFUNCTION("""COMPUTED_VALUE"""),4.2258E7)</f>
        <v>42258000</v>
      </c>
      <c r="G613" s="5">
        <f t="shared" si="1"/>
        <v>100</v>
      </c>
    </row>
    <row r="614">
      <c r="A614" s="4">
        <f>IFERROR(__xludf.DUMMYFUNCTION("""COMPUTED_VALUE"""),44754.66666666667)</f>
        <v>44754.66667</v>
      </c>
      <c r="B614" s="5">
        <f>IFERROR(__xludf.DUMMYFUNCTION("""COMPUTED_VALUE"""),4060.0)</f>
        <v>4060</v>
      </c>
      <c r="C614" s="5">
        <f>IFERROR(__xludf.DUMMYFUNCTION("""COMPUTED_VALUE"""),4060.0)</f>
        <v>4060</v>
      </c>
      <c r="D614" s="5">
        <f>IFERROR(__xludf.DUMMYFUNCTION("""COMPUTED_VALUE"""),4010.0)</f>
        <v>4010</v>
      </c>
      <c r="E614" s="5">
        <f>IFERROR(__xludf.DUMMYFUNCTION("""COMPUTED_VALUE"""),4010.0)</f>
        <v>4010</v>
      </c>
      <c r="F614" s="5">
        <f>IFERROR(__xludf.DUMMYFUNCTION("""COMPUTED_VALUE"""),4.33998E7)</f>
        <v>43399800</v>
      </c>
      <c r="G614" s="5">
        <f t="shared" si="1"/>
        <v>50</v>
      </c>
    </row>
    <row r="615">
      <c r="A615" s="4">
        <f>IFERROR(__xludf.DUMMYFUNCTION("""COMPUTED_VALUE"""),44755.66666666667)</f>
        <v>44755.66667</v>
      </c>
      <c r="B615" s="5">
        <f>IFERROR(__xludf.DUMMYFUNCTION("""COMPUTED_VALUE"""),4010.0)</f>
        <v>4010</v>
      </c>
      <c r="C615" s="5">
        <f>IFERROR(__xludf.DUMMYFUNCTION("""COMPUTED_VALUE"""),4030.0)</f>
        <v>4030</v>
      </c>
      <c r="D615" s="5">
        <f>IFERROR(__xludf.DUMMYFUNCTION("""COMPUTED_VALUE"""),3930.0)</f>
        <v>3930</v>
      </c>
      <c r="E615" s="5">
        <f>IFERROR(__xludf.DUMMYFUNCTION("""COMPUTED_VALUE"""),3940.0)</f>
        <v>3940</v>
      </c>
      <c r="F615" s="5">
        <f>IFERROR(__xludf.DUMMYFUNCTION("""COMPUTED_VALUE"""),9.62182E7)</f>
        <v>96218200</v>
      </c>
      <c r="G615" s="5">
        <f t="shared" si="1"/>
        <v>100</v>
      </c>
    </row>
    <row r="616">
      <c r="A616" s="4">
        <f>IFERROR(__xludf.DUMMYFUNCTION("""COMPUTED_VALUE"""),44756.66666666667)</f>
        <v>44756.66667</v>
      </c>
      <c r="B616" s="5">
        <f>IFERROR(__xludf.DUMMYFUNCTION("""COMPUTED_VALUE"""),3940.0)</f>
        <v>3940</v>
      </c>
      <c r="C616" s="5">
        <f>IFERROR(__xludf.DUMMYFUNCTION("""COMPUTED_VALUE"""),4020.0)</f>
        <v>4020</v>
      </c>
      <c r="D616" s="5">
        <f>IFERROR(__xludf.DUMMYFUNCTION("""COMPUTED_VALUE"""),3900.0)</f>
        <v>3900</v>
      </c>
      <c r="E616" s="5">
        <f>IFERROR(__xludf.DUMMYFUNCTION("""COMPUTED_VALUE"""),4020.0)</f>
        <v>4020</v>
      </c>
      <c r="F616" s="5">
        <f>IFERROR(__xludf.DUMMYFUNCTION("""COMPUTED_VALUE"""),6.87085E7)</f>
        <v>68708500</v>
      </c>
      <c r="G616" s="5">
        <f t="shared" si="1"/>
        <v>120</v>
      </c>
    </row>
    <row r="617">
      <c r="A617" s="4">
        <f>IFERROR(__xludf.DUMMYFUNCTION("""COMPUTED_VALUE"""),44757.66666666667)</f>
        <v>44757.66667</v>
      </c>
      <c r="B617" s="5">
        <f>IFERROR(__xludf.DUMMYFUNCTION("""COMPUTED_VALUE"""),4040.0)</f>
        <v>4040</v>
      </c>
      <c r="C617" s="5">
        <f>IFERROR(__xludf.DUMMYFUNCTION("""COMPUTED_VALUE"""),4210.0)</f>
        <v>4210</v>
      </c>
      <c r="D617" s="5">
        <f>IFERROR(__xludf.DUMMYFUNCTION("""COMPUTED_VALUE"""),4010.0)</f>
        <v>4010</v>
      </c>
      <c r="E617" s="5">
        <f>IFERROR(__xludf.DUMMYFUNCTION("""COMPUTED_VALUE"""),4150.0)</f>
        <v>4150</v>
      </c>
      <c r="F617" s="5">
        <f>IFERROR(__xludf.DUMMYFUNCTION("""COMPUTED_VALUE"""),1.460938E8)</f>
        <v>146093800</v>
      </c>
      <c r="G617" s="5">
        <f t="shared" si="1"/>
        <v>200</v>
      </c>
    </row>
    <row r="618">
      <c r="A618" s="4">
        <f>IFERROR(__xludf.DUMMYFUNCTION("""COMPUTED_VALUE"""),44760.66666666667)</f>
        <v>44760.66667</v>
      </c>
      <c r="B618" s="5">
        <f>IFERROR(__xludf.DUMMYFUNCTION("""COMPUTED_VALUE"""),4110.0)</f>
        <v>4110</v>
      </c>
      <c r="C618" s="5">
        <f>IFERROR(__xludf.DUMMYFUNCTION("""COMPUTED_VALUE"""),4190.0)</f>
        <v>4190</v>
      </c>
      <c r="D618" s="5">
        <f>IFERROR(__xludf.DUMMYFUNCTION("""COMPUTED_VALUE"""),4070.0)</f>
        <v>4070</v>
      </c>
      <c r="E618" s="5">
        <f>IFERROR(__xludf.DUMMYFUNCTION("""COMPUTED_VALUE"""),4190.0)</f>
        <v>4190</v>
      </c>
      <c r="F618" s="5">
        <f>IFERROR(__xludf.DUMMYFUNCTION("""COMPUTED_VALUE"""),8.40094E7)</f>
        <v>84009400</v>
      </c>
      <c r="G618" s="5">
        <f t="shared" si="1"/>
        <v>120</v>
      </c>
    </row>
    <row r="619">
      <c r="A619" s="4">
        <f>IFERROR(__xludf.DUMMYFUNCTION("""COMPUTED_VALUE"""),44761.66666666667)</f>
        <v>44761.66667</v>
      </c>
      <c r="B619" s="5">
        <f>IFERROR(__xludf.DUMMYFUNCTION("""COMPUTED_VALUE"""),4190.0)</f>
        <v>4190</v>
      </c>
      <c r="C619" s="5">
        <f>IFERROR(__xludf.DUMMYFUNCTION("""COMPUTED_VALUE"""),4190.0)</f>
        <v>4190</v>
      </c>
      <c r="D619" s="5">
        <f>IFERROR(__xludf.DUMMYFUNCTION("""COMPUTED_VALUE"""),4130.0)</f>
        <v>4130</v>
      </c>
      <c r="E619" s="5">
        <f>IFERROR(__xludf.DUMMYFUNCTION("""COMPUTED_VALUE"""),4160.0)</f>
        <v>4160</v>
      </c>
      <c r="F619" s="5">
        <f>IFERROR(__xludf.DUMMYFUNCTION("""COMPUTED_VALUE"""),9.13679E7)</f>
        <v>91367900</v>
      </c>
      <c r="G619" s="5">
        <f t="shared" si="1"/>
        <v>60</v>
      </c>
    </row>
    <row r="620">
      <c r="A620" s="4">
        <f>IFERROR(__xludf.DUMMYFUNCTION("""COMPUTED_VALUE"""),44762.66666666667)</f>
        <v>44762.66667</v>
      </c>
      <c r="B620" s="5">
        <f>IFERROR(__xludf.DUMMYFUNCTION("""COMPUTED_VALUE"""),4140.0)</f>
        <v>4140</v>
      </c>
      <c r="C620" s="5">
        <f>IFERROR(__xludf.DUMMYFUNCTION("""COMPUTED_VALUE"""),4220.0)</f>
        <v>4220</v>
      </c>
      <c r="D620" s="5">
        <f>IFERROR(__xludf.DUMMYFUNCTION("""COMPUTED_VALUE"""),4140.0)</f>
        <v>4140</v>
      </c>
      <c r="E620" s="5">
        <f>IFERROR(__xludf.DUMMYFUNCTION("""COMPUTED_VALUE"""),4210.0)</f>
        <v>4210</v>
      </c>
      <c r="F620" s="5">
        <f>IFERROR(__xludf.DUMMYFUNCTION("""COMPUTED_VALUE"""),8.2344E7)</f>
        <v>82344000</v>
      </c>
      <c r="G620" s="5">
        <f t="shared" si="1"/>
        <v>80</v>
      </c>
    </row>
    <row r="621">
      <c r="A621" s="4">
        <f>IFERROR(__xludf.DUMMYFUNCTION("""COMPUTED_VALUE"""),44763.66666666667)</f>
        <v>44763.66667</v>
      </c>
      <c r="B621" s="5">
        <f>IFERROR(__xludf.DUMMYFUNCTION("""COMPUTED_VALUE"""),4210.0)</f>
        <v>4210</v>
      </c>
      <c r="C621" s="5">
        <f>IFERROR(__xludf.DUMMYFUNCTION("""COMPUTED_VALUE"""),4260.0)</f>
        <v>4260</v>
      </c>
      <c r="D621" s="5">
        <f>IFERROR(__xludf.DUMMYFUNCTION("""COMPUTED_VALUE"""),4180.0)</f>
        <v>4180</v>
      </c>
      <c r="E621" s="5">
        <f>IFERROR(__xludf.DUMMYFUNCTION("""COMPUTED_VALUE"""),4260.0)</f>
        <v>4260</v>
      </c>
      <c r="F621" s="5">
        <f>IFERROR(__xludf.DUMMYFUNCTION("""COMPUTED_VALUE"""),1.072346E8)</f>
        <v>107234600</v>
      </c>
      <c r="G621" s="5">
        <f t="shared" si="1"/>
        <v>80</v>
      </c>
    </row>
    <row r="622">
      <c r="A622" s="4">
        <f>IFERROR(__xludf.DUMMYFUNCTION("""COMPUTED_VALUE"""),44764.66666666667)</f>
        <v>44764.66667</v>
      </c>
      <c r="B622" s="5">
        <f>IFERROR(__xludf.DUMMYFUNCTION("""COMPUTED_VALUE"""),4240.0)</f>
        <v>4240</v>
      </c>
      <c r="C622" s="5">
        <f>IFERROR(__xludf.DUMMYFUNCTION("""COMPUTED_VALUE"""),4240.0)</f>
        <v>4240</v>
      </c>
      <c r="D622" s="5">
        <f>IFERROR(__xludf.DUMMYFUNCTION("""COMPUTED_VALUE"""),4190.0)</f>
        <v>4190</v>
      </c>
      <c r="E622" s="5">
        <f>IFERROR(__xludf.DUMMYFUNCTION("""COMPUTED_VALUE"""),4230.0)</f>
        <v>4230</v>
      </c>
      <c r="F622" s="5">
        <f>IFERROR(__xludf.DUMMYFUNCTION("""COMPUTED_VALUE"""),5.97923E7)</f>
        <v>59792300</v>
      </c>
      <c r="G622" s="5">
        <f t="shared" si="1"/>
        <v>70</v>
      </c>
    </row>
    <row r="623">
      <c r="A623" s="4">
        <f>IFERROR(__xludf.DUMMYFUNCTION("""COMPUTED_VALUE"""),44767.66666666667)</f>
        <v>44767.66667</v>
      </c>
      <c r="B623" s="5">
        <f>IFERROR(__xludf.DUMMYFUNCTION("""COMPUTED_VALUE"""),4240.0)</f>
        <v>4240</v>
      </c>
      <c r="C623" s="5">
        <f>IFERROR(__xludf.DUMMYFUNCTION("""COMPUTED_VALUE"""),4260.0)</f>
        <v>4260</v>
      </c>
      <c r="D623" s="5">
        <f>IFERROR(__xludf.DUMMYFUNCTION("""COMPUTED_VALUE"""),4220.0)</f>
        <v>4220</v>
      </c>
      <c r="E623" s="5">
        <f>IFERROR(__xludf.DUMMYFUNCTION("""COMPUTED_VALUE"""),4240.0)</f>
        <v>4240</v>
      </c>
      <c r="F623" s="5">
        <f>IFERROR(__xludf.DUMMYFUNCTION("""COMPUTED_VALUE"""),3.7218E7)</f>
        <v>37218000</v>
      </c>
      <c r="G623" s="5">
        <f t="shared" si="1"/>
        <v>40</v>
      </c>
    </row>
    <row r="624">
      <c r="A624" s="4">
        <f>IFERROR(__xludf.DUMMYFUNCTION("""COMPUTED_VALUE"""),44768.66666666667)</f>
        <v>44768.66667</v>
      </c>
      <c r="B624" s="5">
        <f>IFERROR(__xludf.DUMMYFUNCTION("""COMPUTED_VALUE"""),4240.0)</f>
        <v>4240</v>
      </c>
      <c r="C624" s="5">
        <f>IFERROR(__xludf.DUMMYFUNCTION("""COMPUTED_VALUE"""),4250.0)</f>
        <v>4250</v>
      </c>
      <c r="D624" s="5">
        <f>IFERROR(__xludf.DUMMYFUNCTION("""COMPUTED_VALUE"""),4190.0)</f>
        <v>4190</v>
      </c>
      <c r="E624" s="5">
        <f>IFERROR(__xludf.DUMMYFUNCTION("""COMPUTED_VALUE"""),4250.0)</f>
        <v>4250</v>
      </c>
      <c r="F624" s="5">
        <f>IFERROR(__xludf.DUMMYFUNCTION("""COMPUTED_VALUE"""),4.97869E7)</f>
        <v>49786900</v>
      </c>
      <c r="G624" s="5">
        <f t="shared" si="1"/>
        <v>60</v>
      </c>
    </row>
    <row r="625">
      <c r="A625" s="4">
        <f>IFERROR(__xludf.DUMMYFUNCTION("""COMPUTED_VALUE"""),44769.66666666667)</f>
        <v>44769.66667</v>
      </c>
      <c r="B625" s="5">
        <f>IFERROR(__xludf.DUMMYFUNCTION("""COMPUTED_VALUE"""),4230.0)</f>
        <v>4230</v>
      </c>
      <c r="C625" s="5">
        <f>IFERROR(__xludf.DUMMYFUNCTION("""COMPUTED_VALUE"""),4300.0)</f>
        <v>4300</v>
      </c>
      <c r="D625" s="5">
        <f>IFERROR(__xludf.DUMMYFUNCTION("""COMPUTED_VALUE"""),4210.0)</f>
        <v>4210</v>
      </c>
      <c r="E625" s="5">
        <f>IFERROR(__xludf.DUMMYFUNCTION("""COMPUTED_VALUE"""),4300.0)</f>
        <v>4300</v>
      </c>
      <c r="F625" s="5">
        <f>IFERROR(__xludf.DUMMYFUNCTION("""COMPUTED_VALUE"""),6.06723E7)</f>
        <v>60672300</v>
      </c>
      <c r="G625" s="5">
        <f t="shared" si="1"/>
        <v>90</v>
      </c>
    </row>
    <row r="626">
      <c r="A626" s="4">
        <f>IFERROR(__xludf.DUMMYFUNCTION("""COMPUTED_VALUE"""),44770.66666666667)</f>
        <v>44770.66667</v>
      </c>
      <c r="B626" s="5">
        <f>IFERROR(__xludf.DUMMYFUNCTION("""COMPUTED_VALUE"""),4310.0)</f>
        <v>4310</v>
      </c>
      <c r="C626" s="5">
        <f>IFERROR(__xludf.DUMMYFUNCTION("""COMPUTED_VALUE"""),4320.0)</f>
        <v>4320</v>
      </c>
      <c r="D626" s="5">
        <f>IFERROR(__xludf.DUMMYFUNCTION("""COMPUTED_VALUE"""),4190.0)</f>
        <v>4190</v>
      </c>
      <c r="E626" s="5">
        <f>IFERROR(__xludf.DUMMYFUNCTION("""COMPUTED_VALUE"""),4240.0)</f>
        <v>4240</v>
      </c>
      <c r="F626" s="5">
        <f>IFERROR(__xludf.DUMMYFUNCTION("""COMPUTED_VALUE"""),1.107673E8)</f>
        <v>110767300</v>
      </c>
      <c r="G626" s="5">
        <f t="shared" si="1"/>
        <v>130</v>
      </c>
    </row>
    <row r="627">
      <c r="A627" s="4">
        <f>IFERROR(__xludf.DUMMYFUNCTION("""COMPUTED_VALUE"""),44771.66666666667)</f>
        <v>44771.66667</v>
      </c>
      <c r="B627" s="5">
        <f>IFERROR(__xludf.DUMMYFUNCTION("""COMPUTED_VALUE"""),4280.0)</f>
        <v>4280</v>
      </c>
      <c r="C627" s="5">
        <f>IFERROR(__xludf.DUMMYFUNCTION("""COMPUTED_VALUE"""),4300.0)</f>
        <v>4300</v>
      </c>
      <c r="D627" s="5">
        <f>IFERROR(__xludf.DUMMYFUNCTION("""COMPUTED_VALUE"""),4210.0)</f>
        <v>4210</v>
      </c>
      <c r="E627" s="5">
        <f>IFERROR(__xludf.DUMMYFUNCTION("""COMPUTED_VALUE"""),4230.0)</f>
        <v>4230</v>
      </c>
      <c r="F627" s="5">
        <f>IFERROR(__xludf.DUMMYFUNCTION("""COMPUTED_VALUE"""),1.08821E8)</f>
        <v>108821000</v>
      </c>
      <c r="G627" s="5">
        <f t="shared" si="1"/>
        <v>90</v>
      </c>
    </row>
    <row r="628">
      <c r="A628" s="4">
        <f>IFERROR(__xludf.DUMMYFUNCTION("""COMPUTED_VALUE"""),44774.66666666667)</f>
        <v>44774.66667</v>
      </c>
      <c r="B628" s="5">
        <f>IFERROR(__xludf.DUMMYFUNCTION("""COMPUTED_VALUE"""),4230.0)</f>
        <v>4230</v>
      </c>
      <c r="C628" s="5">
        <f>IFERROR(__xludf.DUMMYFUNCTION("""COMPUTED_VALUE"""),4300.0)</f>
        <v>4300</v>
      </c>
      <c r="D628" s="5">
        <f>IFERROR(__xludf.DUMMYFUNCTION("""COMPUTED_VALUE"""),4230.0)</f>
        <v>4230</v>
      </c>
      <c r="E628" s="5">
        <f>IFERROR(__xludf.DUMMYFUNCTION("""COMPUTED_VALUE"""),4300.0)</f>
        <v>4300</v>
      </c>
      <c r="F628" s="5">
        <f>IFERROR(__xludf.DUMMYFUNCTION("""COMPUTED_VALUE"""),1.047243E8)</f>
        <v>104724300</v>
      </c>
      <c r="G628" s="5">
        <f t="shared" si="1"/>
        <v>70</v>
      </c>
    </row>
    <row r="629">
      <c r="A629" s="4">
        <f>IFERROR(__xludf.DUMMYFUNCTION("""COMPUTED_VALUE"""),44775.66666666667)</f>
        <v>44775.66667</v>
      </c>
      <c r="B629" s="5">
        <f>IFERROR(__xludf.DUMMYFUNCTION("""COMPUTED_VALUE"""),4350.0)</f>
        <v>4350</v>
      </c>
      <c r="C629" s="5">
        <f>IFERROR(__xludf.DUMMYFUNCTION("""COMPUTED_VALUE"""),4450.0)</f>
        <v>4450</v>
      </c>
      <c r="D629" s="5">
        <f>IFERROR(__xludf.DUMMYFUNCTION("""COMPUTED_VALUE"""),4250.0)</f>
        <v>4250</v>
      </c>
      <c r="E629" s="5">
        <f>IFERROR(__xludf.DUMMYFUNCTION("""COMPUTED_VALUE"""),4450.0)</f>
        <v>4450</v>
      </c>
      <c r="F629" s="5">
        <f>IFERROR(__xludf.DUMMYFUNCTION("""COMPUTED_VALUE"""),1.122288E8)</f>
        <v>112228800</v>
      </c>
      <c r="G629" s="5">
        <f t="shared" si="1"/>
        <v>200</v>
      </c>
    </row>
    <row r="630">
      <c r="A630" s="4">
        <f>IFERROR(__xludf.DUMMYFUNCTION("""COMPUTED_VALUE"""),44776.66666666667)</f>
        <v>44776.66667</v>
      </c>
      <c r="B630" s="5">
        <f>IFERROR(__xludf.DUMMYFUNCTION("""COMPUTED_VALUE"""),4450.0)</f>
        <v>4450</v>
      </c>
      <c r="C630" s="5">
        <f>IFERROR(__xludf.DUMMYFUNCTION("""COMPUTED_VALUE"""),4590.0)</f>
        <v>4590</v>
      </c>
      <c r="D630" s="5">
        <f>IFERROR(__xludf.DUMMYFUNCTION("""COMPUTED_VALUE"""),4410.0)</f>
        <v>4410</v>
      </c>
      <c r="E630" s="5">
        <f>IFERROR(__xludf.DUMMYFUNCTION("""COMPUTED_VALUE"""),4500.0)</f>
        <v>4500</v>
      </c>
      <c r="F630" s="5">
        <f>IFERROR(__xludf.DUMMYFUNCTION("""COMPUTED_VALUE"""),2.51825E8)</f>
        <v>251825000</v>
      </c>
      <c r="G630" s="5">
        <f t="shared" si="1"/>
        <v>180</v>
      </c>
    </row>
    <row r="631">
      <c r="A631" s="4">
        <f>IFERROR(__xludf.DUMMYFUNCTION("""COMPUTED_VALUE"""),44777.66666666667)</f>
        <v>44777.66667</v>
      </c>
      <c r="B631" s="5">
        <f>IFERROR(__xludf.DUMMYFUNCTION("""COMPUTED_VALUE"""),4450.0)</f>
        <v>4450</v>
      </c>
      <c r="C631" s="5">
        <f>IFERROR(__xludf.DUMMYFUNCTION("""COMPUTED_VALUE"""),4550.0)</f>
        <v>4550</v>
      </c>
      <c r="D631" s="5">
        <f>IFERROR(__xludf.DUMMYFUNCTION("""COMPUTED_VALUE"""),4450.0)</f>
        <v>4450</v>
      </c>
      <c r="E631" s="5">
        <f>IFERROR(__xludf.DUMMYFUNCTION("""COMPUTED_VALUE"""),4550.0)</f>
        <v>4550</v>
      </c>
      <c r="F631" s="5">
        <f>IFERROR(__xludf.DUMMYFUNCTION("""COMPUTED_VALUE"""),1.868815E8)</f>
        <v>186881500</v>
      </c>
      <c r="G631" s="5">
        <f t="shared" si="1"/>
        <v>100</v>
      </c>
    </row>
    <row r="632">
      <c r="A632" s="4">
        <f>IFERROR(__xludf.DUMMYFUNCTION("""COMPUTED_VALUE"""),44778.66666666667)</f>
        <v>44778.66667</v>
      </c>
      <c r="B632" s="5">
        <f>IFERROR(__xludf.DUMMYFUNCTION("""COMPUTED_VALUE"""),4590.0)</f>
        <v>4590</v>
      </c>
      <c r="C632" s="5">
        <f>IFERROR(__xludf.DUMMYFUNCTION("""COMPUTED_VALUE"""),4650.0)</f>
        <v>4650</v>
      </c>
      <c r="D632" s="5">
        <f>IFERROR(__xludf.DUMMYFUNCTION("""COMPUTED_VALUE"""),4530.0)</f>
        <v>4530</v>
      </c>
      <c r="E632" s="5">
        <f>IFERROR(__xludf.DUMMYFUNCTION("""COMPUTED_VALUE"""),4650.0)</f>
        <v>4650</v>
      </c>
      <c r="F632" s="5">
        <f>IFERROR(__xludf.DUMMYFUNCTION("""COMPUTED_VALUE"""),2.689672E8)</f>
        <v>268967200</v>
      </c>
      <c r="G632" s="5">
        <f t="shared" si="1"/>
        <v>120</v>
      </c>
    </row>
    <row r="633">
      <c r="A633" s="4">
        <f>IFERROR(__xludf.DUMMYFUNCTION("""COMPUTED_VALUE"""),44781.66666666667)</f>
        <v>44781.66667</v>
      </c>
      <c r="B633" s="5">
        <f>IFERROR(__xludf.DUMMYFUNCTION("""COMPUTED_VALUE"""),4700.0)</f>
        <v>4700</v>
      </c>
      <c r="C633" s="5">
        <f>IFERROR(__xludf.DUMMYFUNCTION("""COMPUTED_VALUE"""),4700.0)</f>
        <v>4700</v>
      </c>
      <c r="D633" s="5">
        <f>IFERROR(__xludf.DUMMYFUNCTION("""COMPUTED_VALUE"""),4650.0)</f>
        <v>4650</v>
      </c>
      <c r="E633" s="5">
        <f>IFERROR(__xludf.DUMMYFUNCTION("""COMPUTED_VALUE"""),4700.0)</f>
        <v>4700</v>
      </c>
      <c r="F633" s="5">
        <f>IFERROR(__xludf.DUMMYFUNCTION("""COMPUTED_VALUE"""),1.910235E8)</f>
        <v>191023500</v>
      </c>
      <c r="G633" s="5">
        <f t="shared" si="1"/>
        <v>50</v>
      </c>
    </row>
    <row r="634">
      <c r="A634" s="4">
        <f>IFERROR(__xludf.DUMMYFUNCTION("""COMPUTED_VALUE"""),44782.66666666667)</f>
        <v>44782.66667</v>
      </c>
      <c r="B634" s="5">
        <f>IFERROR(__xludf.DUMMYFUNCTION("""COMPUTED_VALUE"""),4700.0)</f>
        <v>4700</v>
      </c>
      <c r="C634" s="5">
        <f>IFERROR(__xludf.DUMMYFUNCTION("""COMPUTED_VALUE"""),4700.0)</f>
        <v>4700</v>
      </c>
      <c r="D634" s="5">
        <f>IFERROR(__xludf.DUMMYFUNCTION("""COMPUTED_VALUE"""),4630.0)</f>
        <v>4630</v>
      </c>
      <c r="E634" s="5">
        <f>IFERROR(__xludf.DUMMYFUNCTION("""COMPUTED_VALUE"""),4640.0)</f>
        <v>4640</v>
      </c>
      <c r="F634" s="5">
        <f>IFERROR(__xludf.DUMMYFUNCTION("""COMPUTED_VALUE"""),1.644539E8)</f>
        <v>164453900</v>
      </c>
      <c r="G634" s="5">
        <f t="shared" si="1"/>
        <v>70</v>
      </c>
    </row>
    <row r="635">
      <c r="A635" s="4">
        <f>IFERROR(__xludf.DUMMYFUNCTION("""COMPUTED_VALUE"""),44783.66666666667)</f>
        <v>44783.66667</v>
      </c>
      <c r="B635" s="5">
        <f>IFERROR(__xludf.DUMMYFUNCTION("""COMPUTED_VALUE"""),4530.0)</f>
        <v>4530</v>
      </c>
      <c r="C635" s="5">
        <f>IFERROR(__xludf.DUMMYFUNCTION("""COMPUTED_VALUE"""),4590.0)</f>
        <v>4590</v>
      </c>
      <c r="D635" s="5">
        <f>IFERROR(__xludf.DUMMYFUNCTION("""COMPUTED_VALUE"""),4490.0)</f>
        <v>4490</v>
      </c>
      <c r="E635" s="5">
        <f>IFERROR(__xludf.DUMMYFUNCTION("""COMPUTED_VALUE"""),4560.0)</f>
        <v>4560</v>
      </c>
      <c r="F635" s="5">
        <f>IFERROR(__xludf.DUMMYFUNCTION("""COMPUTED_VALUE"""),1.620614E8)</f>
        <v>162061400</v>
      </c>
      <c r="G635" s="5">
        <f t="shared" si="1"/>
        <v>150</v>
      </c>
    </row>
    <row r="636">
      <c r="A636" s="4">
        <f>IFERROR(__xludf.DUMMYFUNCTION("""COMPUTED_VALUE"""),44784.66666666667)</f>
        <v>44784.66667</v>
      </c>
      <c r="B636" s="5">
        <f>IFERROR(__xludf.DUMMYFUNCTION("""COMPUTED_VALUE"""),4550.0)</f>
        <v>4550</v>
      </c>
      <c r="C636" s="5">
        <f>IFERROR(__xludf.DUMMYFUNCTION("""COMPUTED_VALUE"""),4610.0)</f>
        <v>4610</v>
      </c>
      <c r="D636" s="5">
        <f>IFERROR(__xludf.DUMMYFUNCTION("""COMPUTED_VALUE"""),4520.0)</f>
        <v>4520</v>
      </c>
      <c r="E636" s="5">
        <f>IFERROR(__xludf.DUMMYFUNCTION("""COMPUTED_VALUE"""),4570.0)</f>
        <v>4570</v>
      </c>
      <c r="F636" s="5">
        <f>IFERROR(__xludf.DUMMYFUNCTION("""COMPUTED_VALUE"""),1.23629E8)</f>
        <v>123629000</v>
      </c>
      <c r="G636" s="5">
        <f t="shared" si="1"/>
        <v>90</v>
      </c>
    </row>
    <row r="637">
      <c r="A637" s="4">
        <f>IFERROR(__xludf.DUMMYFUNCTION("""COMPUTED_VALUE"""),44785.66666666667)</f>
        <v>44785.66667</v>
      </c>
      <c r="B637" s="5">
        <f>IFERROR(__xludf.DUMMYFUNCTION("""COMPUTED_VALUE"""),4570.0)</f>
        <v>4570</v>
      </c>
      <c r="C637" s="5">
        <f>IFERROR(__xludf.DUMMYFUNCTION("""COMPUTED_VALUE"""),4600.0)</f>
        <v>4600</v>
      </c>
      <c r="D637" s="5">
        <f>IFERROR(__xludf.DUMMYFUNCTION("""COMPUTED_VALUE"""),4530.0)</f>
        <v>4530</v>
      </c>
      <c r="E637" s="5">
        <f>IFERROR(__xludf.DUMMYFUNCTION("""COMPUTED_VALUE"""),4550.0)</f>
        <v>4550</v>
      </c>
      <c r="F637" s="5">
        <f>IFERROR(__xludf.DUMMYFUNCTION("""COMPUTED_VALUE"""),1.245525E8)</f>
        <v>124552500</v>
      </c>
      <c r="G637" s="5">
        <f t="shared" si="1"/>
        <v>70</v>
      </c>
    </row>
    <row r="638">
      <c r="A638" s="4">
        <f>IFERROR(__xludf.DUMMYFUNCTION("""COMPUTED_VALUE"""),44788.66666666667)</f>
        <v>44788.66667</v>
      </c>
      <c r="B638" s="5">
        <f>IFERROR(__xludf.DUMMYFUNCTION("""COMPUTED_VALUE"""),4540.0)</f>
        <v>4540</v>
      </c>
      <c r="C638" s="5">
        <f>IFERROR(__xludf.DUMMYFUNCTION("""COMPUTED_VALUE"""),4570.0)</f>
        <v>4570</v>
      </c>
      <c r="D638" s="5">
        <f>IFERROR(__xludf.DUMMYFUNCTION("""COMPUTED_VALUE"""),4440.0)</f>
        <v>4440</v>
      </c>
      <c r="E638" s="5">
        <f>IFERROR(__xludf.DUMMYFUNCTION("""COMPUTED_VALUE"""),4450.0)</f>
        <v>4450</v>
      </c>
      <c r="F638" s="5">
        <f>IFERROR(__xludf.DUMMYFUNCTION("""COMPUTED_VALUE"""),1.368828E8)</f>
        <v>136882800</v>
      </c>
      <c r="G638" s="5">
        <f t="shared" si="1"/>
        <v>130</v>
      </c>
    </row>
    <row r="639">
      <c r="A639" s="4">
        <f>IFERROR(__xludf.DUMMYFUNCTION("""COMPUTED_VALUE"""),44789.66666666667)</f>
        <v>44789.66667</v>
      </c>
      <c r="B639" s="5">
        <f>IFERROR(__xludf.DUMMYFUNCTION("""COMPUTED_VALUE"""),4530.0)</f>
        <v>4530</v>
      </c>
      <c r="C639" s="5">
        <f>IFERROR(__xludf.DUMMYFUNCTION("""COMPUTED_VALUE"""),4580.0)</f>
        <v>4580</v>
      </c>
      <c r="D639" s="5">
        <f>IFERROR(__xludf.DUMMYFUNCTION("""COMPUTED_VALUE"""),4410.0)</f>
        <v>4410</v>
      </c>
      <c r="E639" s="5">
        <f>IFERROR(__xludf.DUMMYFUNCTION("""COMPUTED_VALUE"""),4410.0)</f>
        <v>4410</v>
      </c>
      <c r="F639" s="5">
        <f>IFERROR(__xludf.DUMMYFUNCTION("""COMPUTED_VALUE"""),1.277108E8)</f>
        <v>127710800</v>
      </c>
      <c r="G639" s="5">
        <f t="shared" si="1"/>
        <v>170</v>
      </c>
    </row>
    <row r="640">
      <c r="A640" s="4">
        <f>IFERROR(__xludf.DUMMYFUNCTION("""COMPUTED_VALUE"""),44791.66666666667)</f>
        <v>44791.66667</v>
      </c>
      <c r="B640" s="5">
        <f>IFERROR(__xludf.DUMMYFUNCTION("""COMPUTED_VALUE"""),4360.0)</f>
        <v>4360</v>
      </c>
      <c r="C640" s="5">
        <f>IFERROR(__xludf.DUMMYFUNCTION("""COMPUTED_VALUE"""),4550.0)</f>
        <v>4550</v>
      </c>
      <c r="D640" s="5">
        <f>IFERROR(__xludf.DUMMYFUNCTION("""COMPUTED_VALUE"""),4350.0)</f>
        <v>4350</v>
      </c>
      <c r="E640" s="5">
        <f>IFERROR(__xludf.DUMMYFUNCTION("""COMPUTED_VALUE"""),4550.0)</f>
        <v>4550</v>
      </c>
      <c r="F640" s="5">
        <f>IFERROR(__xludf.DUMMYFUNCTION("""COMPUTED_VALUE"""),1.820443E8)</f>
        <v>182044300</v>
      </c>
      <c r="G640" s="5">
        <f t="shared" si="1"/>
        <v>200</v>
      </c>
    </row>
    <row r="641">
      <c r="A641" s="4">
        <f>IFERROR(__xludf.DUMMYFUNCTION("""COMPUTED_VALUE"""),44792.66666666667)</f>
        <v>44792.66667</v>
      </c>
      <c r="B641" s="5">
        <f>IFERROR(__xludf.DUMMYFUNCTION("""COMPUTED_VALUE"""),4560.0)</f>
        <v>4560</v>
      </c>
      <c r="C641" s="5">
        <f>IFERROR(__xludf.DUMMYFUNCTION("""COMPUTED_VALUE"""),4610.0)</f>
        <v>4610</v>
      </c>
      <c r="D641" s="5">
        <f>IFERROR(__xludf.DUMMYFUNCTION("""COMPUTED_VALUE"""),4460.0)</f>
        <v>4460</v>
      </c>
      <c r="E641" s="5">
        <f>IFERROR(__xludf.DUMMYFUNCTION("""COMPUTED_VALUE"""),4600.0)</f>
        <v>4600</v>
      </c>
      <c r="F641" s="5">
        <f>IFERROR(__xludf.DUMMYFUNCTION("""COMPUTED_VALUE"""),1.776239E8)</f>
        <v>177623900</v>
      </c>
      <c r="G641" s="5">
        <f t="shared" si="1"/>
        <v>150</v>
      </c>
    </row>
    <row r="642">
      <c r="A642" s="4">
        <f>IFERROR(__xludf.DUMMYFUNCTION("""COMPUTED_VALUE"""),44795.66666666667)</f>
        <v>44795.66667</v>
      </c>
      <c r="B642" s="5">
        <f>IFERROR(__xludf.DUMMYFUNCTION("""COMPUTED_VALUE"""),4550.0)</f>
        <v>4550</v>
      </c>
      <c r="C642" s="5">
        <f>IFERROR(__xludf.DUMMYFUNCTION("""COMPUTED_VALUE"""),4660.0)</f>
        <v>4660</v>
      </c>
      <c r="D642" s="5">
        <f>IFERROR(__xludf.DUMMYFUNCTION("""COMPUTED_VALUE"""),4530.0)</f>
        <v>4530</v>
      </c>
      <c r="E642" s="5">
        <f>IFERROR(__xludf.DUMMYFUNCTION("""COMPUTED_VALUE"""),4650.0)</f>
        <v>4650</v>
      </c>
      <c r="F642" s="5">
        <f>IFERROR(__xludf.DUMMYFUNCTION("""COMPUTED_VALUE"""),2.023204E8)</f>
        <v>202320400</v>
      </c>
      <c r="G642" s="5">
        <f t="shared" si="1"/>
        <v>130</v>
      </c>
    </row>
    <row r="643">
      <c r="A643" s="4">
        <f>IFERROR(__xludf.DUMMYFUNCTION("""COMPUTED_VALUE"""),44796.66666666667)</f>
        <v>44796.66667</v>
      </c>
      <c r="B643" s="5">
        <f>IFERROR(__xludf.DUMMYFUNCTION("""COMPUTED_VALUE"""),4680.0)</f>
        <v>4680</v>
      </c>
      <c r="C643" s="5">
        <f>IFERROR(__xludf.DUMMYFUNCTION("""COMPUTED_VALUE"""),4710.0)</f>
        <v>4710</v>
      </c>
      <c r="D643" s="5">
        <f>IFERROR(__xludf.DUMMYFUNCTION("""COMPUTED_VALUE"""),4610.0)</f>
        <v>4610</v>
      </c>
      <c r="E643" s="5">
        <f>IFERROR(__xludf.DUMMYFUNCTION("""COMPUTED_VALUE"""),4660.0)</f>
        <v>4660</v>
      </c>
      <c r="F643" s="5">
        <f>IFERROR(__xludf.DUMMYFUNCTION("""COMPUTED_VALUE"""),2.294314E8)</f>
        <v>229431400</v>
      </c>
      <c r="G643" s="5">
        <f t="shared" si="1"/>
        <v>100</v>
      </c>
    </row>
    <row r="644">
      <c r="A644" s="4">
        <f>IFERROR(__xludf.DUMMYFUNCTION("""COMPUTED_VALUE"""),44797.66666666667)</f>
        <v>44797.66667</v>
      </c>
      <c r="B644" s="5">
        <f>IFERROR(__xludf.DUMMYFUNCTION("""COMPUTED_VALUE"""),4660.0)</f>
        <v>4660</v>
      </c>
      <c r="C644" s="5">
        <f>IFERROR(__xludf.DUMMYFUNCTION("""COMPUTED_VALUE"""),4770.0)</f>
        <v>4770</v>
      </c>
      <c r="D644" s="5">
        <f>IFERROR(__xludf.DUMMYFUNCTION("""COMPUTED_VALUE"""),4600.0)</f>
        <v>4600</v>
      </c>
      <c r="E644" s="5">
        <f>IFERROR(__xludf.DUMMYFUNCTION("""COMPUTED_VALUE"""),4750.0)</f>
        <v>4750</v>
      </c>
      <c r="F644" s="5">
        <f>IFERROR(__xludf.DUMMYFUNCTION("""COMPUTED_VALUE"""),1.890079E8)</f>
        <v>189007900</v>
      </c>
      <c r="G644" s="5">
        <f t="shared" si="1"/>
        <v>170</v>
      </c>
    </row>
    <row r="645">
      <c r="A645" s="4">
        <f>IFERROR(__xludf.DUMMYFUNCTION("""COMPUTED_VALUE"""),44798.66666666667)</f>
        <v>44798.66667</v>
      </c>
      <c r="B645" s="5">
        <f>IFERROR(__xludf.DUMMYFUNCTION("""COMPUTED_VALUE"""),4680.0)</f>
        <v>4680</v>
      </c>
      <c r="C645" s="5">
        <f>IFERROR(__xludf.DUMMYFUNCTION("""COMPUTED_VALUE"""),4700.0)</f>
        <v>4700</v>
      </c>
      <c r="D645" s="5">
        <f>IFERROR(__xludf.DUMMYFUNCTION("""COMPUTED_VALUE"""),4560.0)</f>
        <v>4560</v>
      </c>
      <c r="E645" s="5">
        <f>IFERROR(__xludf.DUMMYFUNCTION("""COMPUTED_VALUE"""),4570.0)</f>
        <v>4570</v>
      </c>
      <c r="F645" s="5">
        <f>IFERROR(__xludf.DUMMYFUNCTION("""COMPUTED_VALUE"""),1.794957E8)</f>
        <v>179495700</v>
      </c>
      <c r="G645" s="5">
        <f t="shared" si="1"/>
        <v>190</v>
      </c>
    </row>
    <row r="646">
      <c r="A646" s="4">
        <f>IFERROR(__xludf.DUMMYFUNCTION("""COMPUTED_VALUE"""),44799.66666666667)</f>
        <v>44799.66667</v>
      </c>
      <c r="B646" s="5">
        <f>IFERROR(__xludf.DUMMYFUNCTION("""COMPUTED_VALUE"""),4510.0)</f>
        <v>4510</v>
      </c>
      <c r="C646" s="5">
        <f>IFERROR(__xludf.DUMMYFUNCTION("""COMPUTED_VALUE"""),4540.0)</f>
        <v>4540</v>
      </c>
      <c r="D646" s="5">
        <f>IFERROR(__xludf.DUMMYFUNCTION("""COMPUTED_VALUE"""),4480.0)</f>
        <v>4480</v>
      </c>
      <c r="E646" s="5">
        <f>IFERROR(__xludf.DUMMYFUNCTION("""COMPUTED_VALUE"""),4490.0)</f>
        <v>4490</v>
      </c>
      <c r="F646" s="5">
        <f>IFERROR(__xludf.DUMMYFUNCTION("""COMPUTED_VALUE"""),1.843171E8)</f>
        <v>184317100</v>
      </c>
      <c r="G646" s="5">
        <f t="shared" si="1"/>
        <v>90</v>
      </c>
    </row>
    <row r="647">
      <c r="A647" s="4">
        <f>IFERROR(__xludf.DUMMYFUNCTION("""COMPUTED_VALUE"""),44802.66666666667)</f>
        <v>44802.66667</v>
      </c>
      <c r="B647" s="5">
        <f>IFERROR(__xludf.DUMMYFUNCTION("""COMPUTED_VALUE"""),4370.0)</f>
        <v>4370</v>
      </c>
      <c r="C647" s="5">
        <f>IFERROR(__xludf.DUMMYFUNCTION("""COMPUTED_VALUE"""),4550.0)</f>
        <v>4550</v>
      </c>
      <c r="D647" s="5">
        <f>IFERROR(__xludf.DUMMYFUNCTION("""COMPUTED_VALUE"""),4360.0)</f>
        <v>4360</v>
      </c>
      <c r="E647" s="5">
        <f>IFERROR(__xludf.DUMMYFUNCTION("""COMPUTED_VALUE"""),4520.0)</f>
        <v>4520</v>
      </c>
      <c r="F647" s="5">
        <f>IFERROR(__xludf.DUMMYFUNCTION("""COMPUTED_VALUE"""),1.015298E8)</f>
        <v>101529800</v>
      </c>
      <c r="G647" s="5">
        <f t="shared" si="1"/>
        <v>190</v>
      </c>
    </row>
    <row r="648">
      <c r="A648" s="4">
        <f>IFERROR(__xludf.DUMMYFUNCTION("""COMPUTED_VALUE"""),44803.66666666667)</f>
        <v>44803.66667</v>
      </c>
      <c r="B648" s="5">
        <f>IFERROR(__xludf.DUMMYFUNCTION("""COMPUTED_VALUE"""),4580.0)</f>
        <v>4580</v>
      </c>
      <c r="C648" s="5">
        <f>IFERROR(__xludf.DUMMYFUNCTION("""COMPUTED_VALUE"""),4620.0)</f>
        <v>4620</v>
      </c>
      <c r="D648" s="5">
        <f>IFERROR(__xludf.DUMMYFUNCTION("""COMPUTED_VALUE"""),4480.0)</f>
        <v>4480</v>
      </c>
      <c r="E648" s="5">
        <f>IFERROR(__xludf.DUMMYFUNCTION("""COMPUTED_VALUE"""),4480.0)</f>
        <v>4480</v>
      </c>
      <c r="F648" s="5">
        <f>IFERROR(__xludf.DUMMYFUNCTION("""COMPUTED_VALUE"""),1.188843E8)</f>
        <v>118884300</v>
      </c>
      <c r="G648" s="5">
        <f t="shared" si="1"/>
        <v>140</v>
      </c>
    </row>
    <row r="649">
      <c r="A649" s="4">
        <f>IFERROR(__xludf.DUMMYFUNCTION("""COMPUTED_VALUE"""),44804.66666666667)</f>
        <v>44804.66667</v>
      </c>
      <c r="B649" s="5">
        <f>IFERROR(__xludf.DUMMYFUNCTION("""COMPUTED_VALUE"""),4420.0)</f>
        <v>4420</v>
      </c>
      <c r="C649" s="5">
        <f>IFERROR(__xludf.DUMMYFUNCTION("""COMPUTED_VALUE"""),4600.0)</f>
        <v>4600</v>
      </c>
      <c r="D649" s="5">
        <f>IFERROR(__xludf.DUMMYFUNCTION("""COMPUTED_VALUE"""),4420.0)</f>
        <v>4420</v>
      </c>
      <c r="E649" s="5">
        <f>IFERROR(__xludf.DUMMYFUNCTION("""COMPUTED_VALUE"""),4560.0)</f>
        <v>4560</v>
      </c>
      <c r="F649" s="5">
        <f>IFERROR(__xludf.DUMMYFUNCTION("""COMPUTED_VALUE"""),1.753004E8)</f>
        <v>175300400</v>
      </c>
      <c r="G649" s="5">
        <f t="shared" si="1"/>
        <v>180</v>
      </c>
    </row>
    <row r="650">
      <c r="A650" s="4">
        <f>IFERROR(__xludf.DUMMYFUNCTION("""COMPUTED_VALUE"""),44805.625)</f>
        <v>44805.625</v>
      </c>
      <c r="B650" s="5">
        <f>IFERROR(__xludf.DUMMYFUNCTION("""COMPUTED_VALUE"""),4560.0)</f>
        <v>4560</v>
      </c>
      <c r="C650" s="5">
        <f>IFERROR(__xludf.DUMMYFUNCTION("""COMPUTED_VALUE"""),4650.0)</f>
        <v>4650</v>
      </c>
      <c r="D650" s="5">
        <f>IFERROR(__xludf.DUMMYFUNCTION("""COMPUTED_VALUE"""),4530.0)</f>
        <v>4530</v>
      </c>
      <c r="E650" s="5">
        <f>IFERROR(__xludf.DUMMYFUNCTION("""COMPUTED_VALUE"""),4580.0)</f>
        <v>4580</v>
      </c>
      <c r="F650" s="5">
        <f>IFERROR(__xludf.DUMMYFUNCTION("""COMPUTED_VALUE"""),1.208717E8)</f>
        <v>120871700</v>
      </c>
      <c r="G650" s="5">
        <f t="shared" si="1"/>
        <v>120</v>
      </c>
    </row>
    <row r="651">
      <c r="A651" s="4">
        <f>IFERROR(__xludf.DUMMYFUNCTION("""COMPUTED_VALUE"""),44806.625)</f>
        <v>44806.625</v>
      </c>
      <c r="B651" s="5">
        <f>IFERROR(__xludf.DUMMYFUNCTION("""COMPUTED_VALUE"""),4540.0)</f>
        <v>4540</v>
      </c>
      <c r="C651" s="5">
        <f>IFERROR(__xludf.DUMMYFUNCTION("""COMPUTED_VALUE"""),4620.0)</f>
        <v>4620</v>
      </c>
      <c r="D651" s="5">
        <f>IFERROR(__xludf.DUMMYFUNCTION("""COMPUTED_VALUE"""),4540.0)</f>
        <v>4540</v>
      </c>
      <c r="E651" s="5">
        <f>IFERROR(__xludf.DUMMYFUNCTION("""COMPUTED_VALUE"""),4600.0)</f>
        <v>4600</v>
      </c>
      <c r="F651" s="5">
        <f>IFERROR(__xludf.DUMMYFUNCTION("""COMPUTED_VALUE"""),1.06985E8)</f>
        <v>106985000</v>
      </c>
      <c r="G651" s="5">
        <f t="shared" si="1"/>
        <v>80</v>
      </c>
    </row>
    <row r="652">
      <c r="A652" s="4">
        <f>IFERROR(__xludf.DUMMYFUNCTION("""COMPUTED_VALUE"""),44809.66666666667)</f>
        <v>44809.66667</v>
      </c>
      <c r="B652" s="5">
        <f>IFERROR(__xludf.DUMMYFUNCTION("""COMPUTED_VALUE"""),4560.0)</f>
        <v>4560</v>
      </c>
      <c r="C652" s="5">
        <f>IFERROR(__xludf.DUMMYFUNCTION("""COMPUTED_VALUE"""),4630.0)</f>
        <v>4630</v>
      </c>
      <c r="D652" s="5">
        <f>IFERROR(__xludf.DUMMYFUNCTION("""COMPUTED_VALUE"""),4550.0)</f>
        <v>4550</v>
      </c>
      <c r="E652" s="5">
        <f>IFERROR(__xludf.DUMMYFUNCTION("""COMPUTED_VALUE"""),4620.0)</f>
        <v>4620</v>
      </c>
      <c r="F652" s="5">
        <f>IFERROR(__xludf.DUMMYFUNCTION("""COMPUTED_VALUE"""),7.73238E7)</f>
        <v>77323800</v>
      </c>
      <c r="G652" s="5">
        <f t="shared" si="1"/>
        <v>80</v>
      </c>
    </row>
    <row r="653">
      <c r="A653" s="4">
        <f>IFERROR(__xludf.DUMMYFUNCTION("""COMPUTED_VALUE"""),44810.66666666667)</f>
        <v>44810.66667</v>
      </c>
      <c r="B653" s="5">
        <f>IFERROR(__xludf.DUMMYFUNCTION("""COMPUTED_VALUE"""),4610.0)</f>
        <v>4610</v>
      </c>
      <c r="C653" s="5">
        <f>IFERROR(__xludf.DUMMYFUNCTION("""COMPUTED_VALUE"""),4620.0)</f>
        <v>4620</v>
      </c>
      <c r="D653" s="5">
        <f>IFERROR(__xludf.DUMMYFUNCTION("""COMPUTED_VALUE"""),4510.0)</f>
        <v>4510</v>
      </c>
      <c r="E653" s="5">
        <f>IFERROR(__xludf.DUMMYFUNCTION("""COMPUTED_VALUE"""),4510.0)</f>
        <v>4510</v>
      </c>
      <c r="F653" s="5">
        <f>IFERROR(__xludf.DUMMYFUNCTION("""COMPUTED_VALUE"""),6.19701E7)</f>
        <v>61970100</v>
      </c>
      <c r="G653" s="5">
        <f t="shared" si="1"/>
        <v>110</v>
      </c>
    </row>
    <row r="654">
      <c r="A654" s="4">
        <f>IFERROR(__xludf.DUMMYFUNCTION("""COMPUTED_VALUE"""),44811.66666666667)</f>
        <v>44811.66667</v>
      </c>
      <c r="B654" s="5">
        <f>IFERROR(__xludf.DUMMYFUNCTION("""COMPUTED_VALUE"""),4500.0)</f>
        <v>4500</v>
      </c>
      <c r="C654" s="5">
        <f>IFERROR(__xludf.DUMMYFUNCTION("""COMPUTED_VALUE"""),4560.0)</f>
        <v>4560</v>
      </c>
      <c r="D654" s="5">
        <f>IFERROR(__xludf.DUMMYFUNCTION("""COMPUTED_VALUE"""),4480.0)</f>
        <v>4480</v>
      </c>
      <c r="E654" s="5">
        <f>IFERROR(__xludf.DUMMYFUNCTION("""COMPUTED_VALUE"""),4490.0)</f>
        <v>4490</v>
      </c>
      <c r="F654" s="5">
        <f>IFERROR(__xludf.DUMMYFUNCTION("""COMPUTED_VALUE"""),1.061457E8)</f>
        <v>106145700</v>
      </c>
      <c r="G654" s="5">
        <f t="shared" si="1"/>
        <v>80</v>
      </c>
    </row>
    <row r="655">
      <c r="A655" s="4">
        <f>IFERROR(__xludf.DUMMYFUNCTION("""COMPUTED_VALUE"""),44812.66666666667)</f>
        <v>44812.66667</v>
      </c>
      <c r="B655" s="5">
        <f>IFERROR(__xludf.DUMMYFUNCTION("""COMPUTED_VALUE"""),4500.0)</f>
        <v>4500</v>
      </c>
      <c r="C655" s="5">
        <f>IFERROR(__xludf.DUMMYFUNCTION("""COMPUTED_VALUE"""),4640.0)</f>
        <v>4640</v>
      </c>
      <c r="D655" s="5">
        <f>IFERROR(__xludf.DUMMYFUNCTION("""COMPUTED_VALUE"""),4500.0)</f>
        <v>4500</v>
      </c>
      <c r="E655" s="5">
        <f>IFERROR(__xludf.DUMMYFUNCTION("""COMPUTED_VALUE"""),4560.0)</f>
        <v>4560</v>
      </c>
      <c r="F655" s="5">
        <f>IFERROR(__xludf.DUMMYFUNCTION("""COMPUTED_VALUE"""),1.233892E8)</f>
        <v>123389200</v>
      </c>
      <c r="G655" s="5">
        <f t="shared" si="1"/>
        <v>150</v>
      </c>
    </row>
    <row r="656">
      <c r="A656" s="4">
        <f>IFERROR(__xludf.DUMMYFUNCTION("""COMPUTED_VALUE"""),44813.66666666667)</f>
        <v>44813.66667</v>
      </c>
      <c r="B656" s="5">
        <f>IFERROR(__xludf.DUMMYFUNCTION("""COMPUTED_VALUE"""),4550.0)</f>
        <v>4550</v>
      </c>
      <c r="C656" s="5">
        <f>IFERROR(__xludf.DUMMYFUNCTION("""COMPUTED_VALUE"""),4600.0)</f>
        <v>4600</v>
      </c>
      <c r="D656" s="5">
        <f>IFERROR(__xludf.DUMMYFUNCTION("""COMPUTED_VALUE"""),4530.0)</f>
        <v>4530</v>
      </c>
      <c r="E656" s="5">
        <f>IFERROR(__xludf.DUMMYFUNCTION("""COMPUTED_VALUE"""),4600.0)</f>
        <v>4600</v>
      </c>
      <c r="F656" s="5">
        <f>IFERROR(__xludf.DUMMYFUNCTION("""COMPUTED_VALUE"""),5.03078E7)</f>
        <v>50307800</v>
      </c>
      <c r="G656" s="5">
        <f t="shared" si="1"/>
        <v>70</v>
      </c>
    </row>
    <row r="657">
      <c r="A657" s="4">
        <f>IFERROR(__xludf.DUMMYFUNCTION("""COMPUTED_VALUE"""),44816.66666666667)</f>
        <v>44816.66667</v>
      </c>
      <c r="B657" s="5">
        <f>IFERROR(__xludf.DUMMYFUNCTION("""COMPUTED_VALUE"""),4600.0)</f>
        <v>4600</v>
      </c>
      <c r="C657" s="5">
        <f>IFERROR(__xludf.DUMMYFUNCTION("""COMPUTED_VALUE"""),4600.0)</f>
        <v>4600</v>
      </c>
      <c r="D657" s="5">
        <f>IFERROR(__xludf.DUMMYFUNCTION("""COMPUTED_VALUE"""),4530.0)</f>
        <v>4530</v>
      </c>
      <c r="E657" s="5">
        <f>IFERROR(__xludf.DUMMYFUNCTION("""COMPUTED_VALUE"""),4540.0)</f>
        <v>4540</v>
      </c>
      <c r="F657" s="5">
        <f>IFERROR(__xludf.DUMMYFUNCTION("""COMPUTED_VALUE"""),7.48206E7)</f>
        <v>74820600</v>
      </c>
      <c r="G657" s="5">
        <f t="shared" si="1"/>
        <v>70</v>
      </c>
    </row>
    <row r="658">
      <c r="A658" s="4">
        <f>IFERROR(__xludf.DUMMYFUNCTION("""COMPUTED_VALUE"""),44817.66666666667)</f>
        <v>44817.66667</v>
      </c>
      <c r="B658" s="5">
        <f>IFERROR(__xludf.DUMMYFUNCTION("""COMPUTED_VALUE"""),4540.0)</f>
        <v>4540</v>
      </c>
      <c r="C658" s="5">
        <f>IFERROR(__xludf.DUMMYFUNCTION("""COMPUTED_VALUE"""),4560.0)</f>
        <v>4560</v>
      </c>
      <c r="D658" s="5">
        <f>IFERROR(__xludf.DUMMYFUNCTION("""COMPUTED_VALUE"""),4520.0)</f>
        <v>4520</v>
      </c>
      <c r="E658" s="5">
        <f>IFERROR(__xludf.DUMMYFUNCTION("""COMPUTED_VALUE"""),4520.0)</f>
        <v>4520</v>
      </c>
      <c r="F658" s="5">
        <f>IFERROR(__xludf.DUMMYFUNCTION("""COMPUTED_VALUE"""),9.15102E7)</f>
        <v>91510200</v>
      </c>
      <c r="G658" s="5">
        <f t="shared" si="1"/>
        <v>40</v>
      </c>
    </row>
    <row r="659">
      <c r="A659" s="4">
        <f>IFERROR(__xludf.DUMMYFUNCTION("""COMPUTED_VALUE"""),44818.66666666667)</f>
        <v>44818.66667</v>
      </c>
      <c r="B659" s="5">
        <f>IFERROR(__xludf.DUMMYFUNCTION("""COMPUTED_VALUE"""),4490.0)</f>
        <v>4490</v>
      </c>
      <c r="C659" s="5">
        <f>IFERROR(__xludf.DUMMYFUNCTION("""COMPUTED_VALUE"""),4530.0)</f>
        <v>4530</v>
      </c>
      <c r="D659" s="5">
        <f>IFERROR(__xludf.DUMMYFUNCTION("""COMPUTED_VALUE"""),4460.0)</f>
        <v>4460</v>
      </c>
      <c r="E659" s="5">
        <f>IFERROR(__xludf.DUMMYFUNCTION("""COMPUTED_VALUE"""),4480.0)</f>
        <v>4480</v>
      </c>
      <c r="F659" s="5">
        <f>IFERROR(__xludf.DUMMYFUNCTION("""COMPUTED_VALUE"""),9.79192E7)</f>
        <v>97919200</v>
      </c>
      <c r="G659" s="5">
        <f t="shared" si="1"/>
        <v>70</v>
      </c>
    </row>
    <row r="660">
      <c r="A660" s="4">
        <f>IFERROR(__xludf.DUMMYFUNCTION("""COMPUTED_VALUE"""),44819.66666666667)</f>
        <v>44819.66667</v>
      </c>
      <c r="B660" s="5">
        <f>IFERROR(__xludf.DUMMYFUNCTION("""COMPUTED_VALUE"""),4540.0)</f>
        <v>4540</v>
      </c>
      <c r="C660" s="5">
        <f>IFERROR(__xludf.DUMMYFUNCTION("""COMPUTED_VALUE"""),4600.0)</f>
        <v>4600</v>
      </c>
      <c r="D660" s="5">
        <f>IFERROR(__xludf.DUMMYFUNCTION("""COMPUTED_VALUE"""),4500.0)</f>
        <v>4500</v>
      </c>
      <c r="E660" s="5">
        <f>IFERROR(__xludf.DUMMYFUNCTION("""COMPUTED_VALUE"""),4500.0)</f>
        <v>4500</v>
      </c>
      <c r="F660" s="5">
        <f>IFERROR(__xludf.DUMMYFUNCTION("""COMPUTED_VALUE"""),1.255999E8)</f>
        <v>125599900</v>
      </c>
      <c r="G660" s="5">
        <f t="shared" si="1"/>
        <v>120</v>
      </c>
    </row>
    <row r="661">
      <c r="A661" s="4">
        <f>IFERROR(__xludf.DUMMYFUNCTION("""COMPUTED_VALUE"""),44820.66666666667)</f>
        <v>44820.66667</v>
      </c>
      <c r="B661" s="5">
        <f>IFERROR(__xludf.DUMMYFUNCTION("""COMPUTED_VALUE"""),4500.0)</f>
        <v>4500</v>
      </c>
      <c r="C661" s="5">
        <f>IFERROR(__xludf.DUMMYFUNCTION("""COMPUTED_VALUE"""),4500.0)</f>
        <v>4500</v>
      </c>
      <c r="D661" s="5">
        <f>IFERROR(__xludf.DUMMYFUNCTION("""COMPUTED_VALUE"""),4410.0)</f>
        <v>4410</v>
      </c>
      <c r="E661" s="5">
        <f>IFERROR(__xludf.DUMMYFUNCTION("""COMPUTED_VALUE"""),4410.0)</f>
        <v>4410</v>
      </c>
      <c r="F661" s="5">
        <f>IFERROR(__xludf.DUMMYFUNCTION("""COMPUTED_VALUE"""),2.102773E8)</f>
        <v>210277300</v>
      </c>
      <c r="G661" s="5">
        <f t="shared" si="1"/>
        <v>90</v>
      </c>
    </row>
    <row r="662">
      <c r="A662" s="4">
        <f>IFERROR(__xludf.DUMMYFUNCTION("""COMPUTED_VALUE"""),44823.66666666667)</f>
        <v>44823.66667</v>
      </c>
      <c r="B662" s="5">
        <f>IFERROR(__xludf.DUMMYFUNCTION("""COMPUTED_VALUE"""),4460.0)</f>
        <v>4460</v>
      </c>
      <c r="C662" s="5">
        <f>IFERROR(__xludf.DUMMYFUNCTION("""COMPUTED_VALUE"""),4560.0)</f>
        <v>4560</v>
      </c>
      <c r="D662" s="5">
        <f>IFERROR(__xludf.DUMMYFUNCTION("""COMPUTED_VALUE"""),4440.0)</f>
        <v>4440</v>
      </c>
      <c r="E662" s="5">
        <f>IFERROR(__xludf.DUMMYFUNCTION("""COMPUTED_VALUE"""),4500.0)</f>
        <v>4500</v>
      </c>
      <c r="F662" s="5">
        <f>IFERROR(__xludf.DUMMYFUNCTION("""COMPUTED_VALUE"""),1.161645E8)</f>
        <v>116164500</v>
      </c>
      <c r="G662" s="5">
        <f t="shared" si="1"/>
        <v>150</v>
      </c>
    </row>
    <row r="663">
      <c r="A663" s="4">
        <f>IFERROR(__xludf.DUMMYFUNCTION("""COMPUTED_VALUE"""),44824.66666666667)</f>
        <v>44824.66667</v>
      </c>
      <c r="B663" s="5">
        <f>IFERROR(__xludf.DUMMYFUNCTION("""COMPUTED_VALUE"""),4530.0)</f>
        <v>4530</v>
      </c>
      <c r="C663" s="5">
        <f>IFERROR(__xludf.DUMMYFUNCTION("""COMPUTED_VALUE"""),4540.0)</f>
        <v>4540</v>
      </c>
      <c r="D663" s="5">
        <f>IFERROR(__xludf.DUMMYFUNCTION("""COMPUTED_VALUE"""),4480.0)</f>
        <v>4480</v>
      </c>
      <c r="E663" s="5">
        <f>IFERROR(__xludf.DUMMYFUNCTION("""COMPUTED_VALUE"""),4480.0)</f>
        <v>4480</v>
      </c>
      <c r="F663" s="5">
        <f>IFERROR(__xludf.DUMMYFUNCTION("""COMPUTED_VALUE"""),1.007437E8)</f>
        <v>100743700</v>
      </c>
      <c r="G663" s="5">
        <f t="shared" si="1"/>
        <v>60</v>
      </c>
    </row>
    <row r="664">
      <c r="A664" s="4">
        <f>IFERROR(__xludf.DUMMYFUNCTION("""COMPUTED_VALUE"""),44825.66666666667)</f>
        <v>44825.66667</v>
      </c>
      <c r="B664" s="5">
        <f>IFERROR(__xludf.DUMMYFUNCTION("""COMPUTED_VALUE"""),4450.0)</f>
        <v>4450</v>
      </c>
      <c r="C664" s="5">
        <f>IFERROR(__xludf.DUMMYFUNCTION("""COMPUTED_VALUE"""),4470.0)</f>
        <v>4470</v>
      </c>
      <c r="D664" s="5">
        <f>IFERROR(__xludf.DUMMYFUNCTION("""COMPUTED_VALUE"""),4410.0)</f>
        <v>4410</v>
      </c>
      <c r="E664" s="5">
        <f>IFERROR(__xludf.DUMMYFUNCTION("""COMPUTED_VALUE"""),4430.0)</f>
        <v>4430</v>
      </c>
      <c r="F664" s="5">
        <f>IFERROR(__xludf.DUMMYFUNCTION("""COMPUTED_VALUE"""),9.13632E7)</f>
        <v>91363200</v>
      </c>
      <c r="G664" s="5">
        <f t="shared" si="1"/>
        <v>70</v>
      </c>
    </row>
    <row r="665">
      <c r="A665" s="4">
        <f>IFERROR(__xludf.DUMMYFUNCTION("""COMPUTED_VALUE"""),44826.66666666667)</f>
        <v>44826.66667</v>
      </c>
      <c r="B665" s="5">
        <f>IFERROR(__xludf.DUMMYFUNCTION("""COMPUTED_VALUE"""),4400.0)</f>
        <v>4400</v>
      </c>
      <c r="C665" s="5">
        <f>IFERROR(__xludf.DUMMYFUNCTION("""COMPUTED_VALUE"""),4450.0)</f>
        <v>4450</v>
      </c>
      <c r="D665" s="5">
        <f>IFERROR(__xludf.DUMMYFUNCTION("""COMPUTED_VALUE"""),4380.0)</f>
        <v>4380</v>
      </c>
      <c r="E665" s="5">
        <f>IFERROR(__xludf.DUMMYFUNCTION("""COMPUTED_VALUE"""),4430.0)</f>
        <v>4430</v>
      </c>
      <c r="F665" s="5">
        <f>IFERROR(__xludf.DUMMYFUNCTION("""COMPUTED_VALUE"""),8.99229E7)</f>
        <v>89922900</v>
      </c>
      <c r="G665" s="5">
        <f t="shared" si="1"/>
        <v>70</v>
      </c>
    </row>
    <row r="666">
      <c r="A666" s="4">
        <f>IFERROR(__xludf.DUMMYFUNCTION("""COMPUTED_VALUE"""),44827.66666666667)</f>
        <v>44827.66667</v>
      </c>
      <c r="B666" s="5">
        <f>IFERROR(__xludf.DUMMYFUNCTION("""COMPUTED_VALUE"""),4400.0)</f>
        <v>4400</v>
      </c>
      <c r="C666" s="5">
        <f>IFERROR(__xludf.DUMMYFUNCTION("""COMPUTED_VALUE"""),4430.0)</f>
        <v>4430</v>
      </c>
      <c r="D666" s="5">
        <f>IFERROR(__xludf.DUMMYFUNCTION("""COMPUTED_VALUE"""),4380.0)</f>
        <v>4380</v>
      </c>
      <c r="E666" s="5">
        <f>IFERROR(__xludf.DUMMYFUNCTION("""COMPUTED_VALUE"""),4380.0)</f>
        <v>4380</v>
      </c>
      <c r="F666" s="5">
        <f>IFERROR(__xludf.DUMMYFUNCTION("""COMPUTED_VALUE"""),9.59114E7)</f>
        <v>95911400</v>
      </c>
      <c r="G666" s="5">
        <f t="shared" si="1"/>
        <v>50</v>
      </c>
    </row>
    <row r="667">
      <c r="A667" s="4">
        <f>IFERROR(__xludf.DUMMYFUNCTION("""COMPUTED_VALUE"""),44830.66666666667)</f>
        <v>44830.66667</v>
      </c>
      <c r="B667" s="5">
        <f>IFERROR(__xludf.DUMMYFUNCTION("""COMPUTED_VALUE"""),4390.0)</f>
        <v>4390</v>
      </c>
      <c r="C667" s="5">
        <f>IFERROR(__xludf.DUMMYFUNCTION("""COMPUTED_VALUE"""),4510.0)</f>
        <v>4510</v>
      </c>
      <c r="D667" s="5">
        <f>IFERROR(__xludf.DUMMYFUNCTION("""COMPUTED_VALUE"""),4300.0)</f>
        <v>4300</v>
      </c>
      <c r="E667" s="5">
        <f>IFERROR(__xludf.DUMMYFUNCTION("""COMPUTED_VALUE"""),4460.0)</f>
        <v>4460</v>
      </c>
      <c r="F667" s="5">
        <f>IFERROR(__xludf.DUMMYFUNCTION("""COMPUTED_VALUE"""),1.321854E8)</f>
        <v>132185400</v>
      </c>
      <c r="G667" s="5">
        <f t="shared" si="1"/>
        <v>210</v>
      </c>
    </row>
    <row r="668">
      <c r="A668" s="4">
        <f>IFERROR(__xludf.DUMMYFUNCTION("""COMPUTED_VALUE"""),44831.66666666667)</f>
        <v>44831.66667</v>
      </c>
      <c r="B668" s="5">
        <f>IFERROR(__xludf.DUMMYFUNCTION("""COMPUTED_VALUE"""),4450.0)</f>
        <v>4450</v>
      </c>
      <c r="C668" s="5">
        <f>IFERROR(__xludf.DUMMYFUNCTION("""COMPUTED_VALUE"""),4470.0)</f>
        <v>4470</v>
      </c>
      <c r="D668" s="5">
        <f>IFERROR(__xludf.DUMMYFUNCTION("""COMPUTED_VALUE"""),4380.0)</f>
        <v>4380</v>
      </c>
      <c r="E668" s="5">
        <f>IFERROR(__xludf.DUMMYFUNCTION("""COMPUTED_VALUE"""),4440.0)</f>
        <v>4440</v>
      </c>
      <c r="F668" s="5">
        <f>IFERROR(__xludf.DUMMYFUNCTION("""COMPUTED_VALUE"""),1.231138E8)</f>
        <v>123113800</v>
      </c>
      <c r="G668" s="5">
        <f t="shared" si="1"/>
        <v>90</v>
      </c>
    </row>
    <row r="669">
      <c r="A669" s="4">
        <f>IFERROR(__xludf.DUMMYFUNCTION("""COMPUTED_VALUE"""),44832.66666666667)</f>
        <v>44832.66667</v>
      </c>
      <c r="B669" s="5">
        <f>IFERROR(__xludf.DUMMYFUNCTION("""COMPUTED_VALUE"""),4430.0)</f>
        <v>4430</v>
      </c>
      <c r="C669" s="5">
        <f>IFERROR(__xludf.DUMMYFUNCTION("""COMPUTED_VALUE"""),4530.0)</f>
        <v>4530</v>
      </c>
      <c r="D669" s="5">
        <f>IFERROR(__xludf.DUMMYFUNCTION("""COMPUTED_VALUE"""),4400.0)</f>
        <v>4400</v>
      </c>
      <c r="E669" s="5">
        <f>IFERROR(__xludf.DUMMYFUNCTION("""COMPUTED_VALUE"""),4470.0)</f>
        <v>4470</v>
      </c>
      <c r="F669" s="5">
        <f>IFERROR(__xludf.DUMMYFUNCTION("""COMPUTED_VALUE"""),1.043855E8)</f>
        <v>104385500</v>
      </c>
      <c r="G669" s="5">
        <f t="shared" si="1"/>
        <v>130</v>
      </c>
    </row>
    <row r="670">
      <c r="A670" s="4">
        <f>IFERROR(__xludf.DUMMYFUNCTION("""COMPUTED_VALUE"""),44833.66666666667)</f>
        <v>44833.66667</v>
      </c>
      <c r="B670" s="5">
        <f>IFERROR(__xludf.DUMMYFUNCTION("""COMPUTED_VALUE"""),4460.0)</f>
        <v>4460</v>
      </c>
      <c r="C670" s="5">
        <f>IFERROR(__xludf.DUMMYFUNCTION("""COMPUTED_VALUE"""),4500.0)</f>
        <v>4500</v>
      </c>
      <c r="D670" s="5">
        <f>IFERROR(__xludf.DUMMYFUNCTION("""COMPUTED_VALUE"""),4420.0)</f>
        <v>4420</v>
      </c>
      <c r="E670" s="5">
        <f>IFERROR(__xludf.DUMMYFUNCTION("""COMPUTED_VALUE"""),4440.0)</f>
        <v>4440</v>
      </c>
      <c r="F670" s="5">
        <f>IFERROR(__xludf.DUMMYFUNCTION("""COMPUTED_VALUE"""),9.02904E7)</f>
        <v>90290400</v>
      </c>
      <c r="G670" s="5">
        <f t="shared" si="1"/>
        <v>80</v>
      </c>
    </row>
    <row r="671">
      <c r="A671" s="4">
        <f>IFERROR(__xludf.DUMMYFUNCTION("""COMPUTED_VALUE"""),44834.66666666667)</f>
        <v>44834.66667</v>
      </c>
      <c r="B671" s="5">
        <f>IFERROR(__xludf.DUMMYFUNCTION("""COMPUTED_VALUE"""),4400.0)</f>
        <v>4400</v>
      </c>
      <c r="C671" s="5">
        <f>IFERROR(__xludf.DUMMYFUNCTION("""COMPUTED_VALUE"""),4500.0)</f>
        <v>4500</v>
      </c>
      <c r="D671" s="5">
        <f>IFERROR(__xludf.DUMMYFUNCTION("""COMPUTED_VALUE"""),4390.0)</f>
        <v>4390</v>
      </c>
      <c r="E671" s="5">
        <f>IFERROR(__xludf.DUMMYFUNCTION("""COMPUTED_VALUE"""),4460.0)</f>
        <v>4460</v>
      </c>
      <c r="F671" s="5">
        <f>IFERROR(__xludf.DUMMYFUNCTION("""COMPUTED_VALUE"""),1.11482E8)</f>
        <v>111482000</v>
      </c>
      <c r="G671" s="5">
        <f t="shared" si="1"/>
        <v>110</v>
      </c>
    </row>
    <row r="672">
      <c r="A672" s="4">
        <f>IFERROR(__xludf.DUMMYFUNCTION("""COMPUTED_VALUE"""),44837.66666666667)</f>
        <v>44837.66667</v>
      </c>
      <c r="B672" s="5">
        <f>IFERROR(__xludf.DUMMYFUNCTION("""COMPUTED_VALUE"""),4460.0)</f>
        <v>4460</v>
      </c>
      <c r="C672" s="5">
        <f>IFERROR(__xludf.DUMMYFUNCTION("""COMPUTED_VALUE"""),4470.0)</f>
        <v>4470</v>
      </c>
      <c r="D672" s="5">
        <f>IFERROR(__xludf.DUMMYFUNCTION("""COMPUTED_VALUE"""),4380.0)</f>
        <v>4380</v>
      </c>
      <c r="E672" s="5">
        <f>IFERROR(__xludf.DUMMYFUNCTION("""COMPUTED_VALUE"""),4460.0)</f>
        <v>4460</v>
      </c>
      <c r="F672" s="5">
        <f>IFERROR(__xludf.DUMMYFUNCTION("""COMPUTED_VALUE"""),7.75691E7)</f>
        <v>77569100</v>
      </c>
      <c r="G672" s="5">
        <f t="shared" si="1"/>
        <v>90</v>
      </c>
    </row>
    <row r="673">
      <c r="A673" s="4">
        <f>IFERROR(__xludf.DUMMYFUNCTION("""COMPUTED_VALUE"""),44838.66666666667)</f>
        <v>44838.66667</v>
      </c>
      <c r="B673" s="5">
        <f>IFERROR(__xludf.DUMMYFUNCTION("""COMPUTED_VALUE"""),4460.0)</f>
        <v>4460</v>
      </c>
      <c r="C673" s="5">
        <f>IFERROR(__xludf.DUMMYFUNCTION("""COMPUTED_VALUE"""),4510.0)</f>
        <v>4510</v>
      </c>
      <c r="D673" s="5">
        <f>IFERROR(__xludf.DUMMYFUNCTION("""COMPUTED_VALUE"""),4430.0)</f>
        <v>4430</v>
      </c>
      <c r="E673" s="5">
        <f>IFERROR(__xludf.DUMMYFUNCTION("""COMPUTED_VALUE"""),4440.0)</f>
        <v>4440</v>
      </c>
      <c r="F673" s="5">
        <f>IFERROR(__xludf.DUMMYFUNCTION("""COMPUTED_VALUE"""),8.78328E7)</f>
        <v>87832800</v>
      </c>
      <c r="G673" s="5">
        <f t="shared" si="1"/>
        <v>80</v>
      </c>
    </row>
    <row r="674">
      <c r="A674" s="4">
        <f>IFERROR(__xludf.DUMMYFUNCTION("""COMPUTED_VALUE"""),44839.66666666667)</f>
        <v>44839.66667</v>
      </c>
      <c r="B674" s="5">
        <f>IFERROR(__xludf.DUMMYFUNCTION("""COMPUTED_VALUE"""),4490.0)</f>
        <v>4490</v>
      </c>
      <c r="C674" s="5">
        <f>IFERROR(__xludf.DUMMYFUNCTION("""COMPUTED_VALUE"""),4540.0)</f>
        <v>4540</v>
      </c>
      <c r="D674" s="5">
        <f>IFERROR(__xludf.DUMMYFUNCTION("""COMPUTED_VALUE"""),4460.0)</f>
        <v>4460</v>
      </c>
      <c r="E674" s="5">
        <f>IFERROR(__xludf.DUMMYFUNCTION("""COMPUTED_VALUE"""),4460.0)</f>
        <v>4460</v>
      </c>
      <c r="F674" s="5">
        <f>IFERROR(__xludf.DUMMYFUNCTION("""COMPUTED_VALUE"""),6.18884E7)</f>
        <v>61888400</v>
      </c>
      <c r="G674" s="5">
        <f t="shared" si="1"/>
        <v>100</v>
      </c>
    </row>
    <row r="675">
      <c r="A675" s="4">
        <f>IFERROR(__xludf.DUMMYFUNCTION("""COMPUTED_VALUE"""),44840.66666666667)</f>
        <v>44840.66667</v>
      </c>
      <c r="B675" s="5">
        <f>IFERROR(__xludf.DUMMYFUNCTION("""COMPUTED_VALUE"""),4460.0)</f>
        <v>4460</v>
      </c>
      <c r="C675" s="5">
        <f>IFERROR(__xludf.DUMMYFUNCTION("""COMPUTED_VALUE"""),4480.0)</f>
        <v>4480</v>
      </c>
      <c r="D675" s="5">
        <f>IFERROR(__xludf.DUMMYFUNCTION("""COMPUTED_VALUE"""),4420.0)</f>
        <v>4420</v>
      </c>
      <c r="E675" s="5">
        <f>IFERROR(__xludf.DUMMYFUNCTION("""COMPUTED_VALUE"""),4430.0)</f>
        <v>4430</v>
      </c>
      <c r="F675" s="5">
        <f>IFERROR(__xludf.DUMMYFUNCTION("""COMPUTED_VALUE"""),6.04643E7)</f>
        <v>60464300</v>
      </c>
      <c r="G675" s="5">
        <f t="shared" si="1"/>
        <v>60</v>
      </c>
    </row>
    <row r="676">
      <c r="A676" s="4">
        <f>IFERROR(__xludf.DUMMYFUNCTION("""COMPUTED_VALUE"""),44841.66666666667)</f>
        <v>44841.66667</v>
      </c>
      <c r="B676" s="5">
        <f>IFERROR(__xludf.DUMMYFUNCTION("""COMPUTED_VALUE"""),4400.0)</f>
        <v>4400</v>
      </c>
      <c r="C676" s="5">
        <f>IFERROR(__xludf.DUMMYFUNCTION("""COMPUTED_VALUE"""),4430.0)</f>
        <v>4430</v>
      </c>
      <c r="D676" s="5">
        <f>IFERROR(__xludf.DUMMYFUNCTION("""COMPUTED_VALUE"""),4350.0)</f>
        <v>4350</v>
      </c>
      <c r="E676" s="5">
        <f>IFERROR(__xludf.DUMMYFUNCTION("""COMPUTED_VALUE"""),4350.0)</f>
        <v>4350</v>
      </c>
      <c r="F676" s="5">
        <f>IFERROR(__xludf.DUMMYFUNCTION("""COMPUTED_VALUE"""),1.0257E8)</f>
        <v>102570000</v>
      </c>
      <c r="G676" s="5">
        <f t="shared" si="1"/>
        <v>80</v>
      </c>
    </row>
    <row r="677">
      <c r="A677" s="4">
        <f>IFERROR(__xludf.DUMMYFUNCTION("""COMPUTED_VALUE"""),44844.66666666667)</f>
        <v>44844.66667</v>
      </c>
      <c r="B677" s="5">
        <f>IFERROR(__xludf.DUMMYFUNCTION("""COMPUTED_VALUE"""),4340.0)</f>
        <v>4340</v>
      </c>
      <c r="C677" s="5">
        <f>IFERROR(__xludf.DUMMYFUNCTION("""COMPUTED_VALUE"""),4420.0)</f>
        <v>4420</v>
      </c>
      <c r="D677" s="5">
        <f>IFERROR(__xludf.DUMMYFUNCTION("""COMPUTED_VALUE"""),4330.0)</f>
        <v>4330</v>
      </c>
      <c r="E677" s="5">
        <f>IFERROR(__xludf.DUMMYFUNCTION("""COMPUTED_VALUE"""),4420.0)</f>
        <v>4420</v>
      </c>
      <c r="F677" s="5">
        <f>IFERROR(__xludf.DUMMYFUNCTION("""COMPUTED_VALUE"""),7.23891E7)</f>
        <v>72389100</v>
      </c>
      <c r="G677" s="5">
        <f t="shared" si="1"/>
        <v>90</v>
      </c>
    </row>
    <row r="678">
      <c r="A678" s="4">
        <f>IFERROR(__xludf.DUMMYFUNCTION("""COMPUTED_VALUE"""),44845.66666666667)</f>
        <v>44845.66667</v>
      </c>
      <c r="B678" s="5">
        <f>IFERROR(__xludf.DUMMYFUNCTION("""COMPUTED_VALUE"""),4360.0)</f>
        <v>4360</v>
      </c>
      <c r="C678" s="5">
        <f>IFERROR(__xludf.DUMMYFUNCTION("""COMPUTED_VALUE"""),4380.0)</f>
        <v>4380</v>
      </c>
      <c r="D678" s="5">
        <f>IFERROR(__xludf.DUMMYFUNCTION("""COMPUTED_VALUE"""),4310.0)</f>
        <v>4310</v>
      </c>
      <c r="E678" s="5">
        <f>IFERROR(__xludf.DUMMYFUNCTION("""COMPUTED_VALUE"""),4310.0)</f>
        <v>4310</v>
      </c>
      <c r="F678" s="5">
        <f>IFERROR(__xludf.DUMMYFUNCTION("""COMPUTED_VALUE"""),1.087945E8)</f>
        <v>108794500</v>
      </c>
      <c r="G678" s="5">
        <f t="shared" si="1"/>
        <v>110</v>
      </c>
    </row>
    <row r="679">
      <c r="A679" s="4">
        <f>IFERROR(__xludf.DUMMYFUNCTION("""COMPUTED_VALUE"""),44846.66666666667)</f>
        <v>44846.66667</v>
      </c>
      <c r="B679" s="5">
        <f>IFERROR(__xludf.DUMMYFUNCTION("""COMPUTED_VALUE"""),4300.0)</f>
        <v>4300</v>
      </c>
      <c r="C679" s="5">
        <f>IFERROR(__xludf.DUMMYFUNCTION("""COMPUTED_VALUE"""),4350.0)</f>
        <v>4350</v>
      </c>
      <c r="D679" s="5">
        <f>IFERROR(__xludf.DUMMYFUNCTION("""COMPUTED_VALUE"""),4280.0)</f>
        <v>4280</v>
      </c>
      <c r="E679" s="5">
        <f>IFERROR(__xludf.DUMMYFUNCTION("""COMPUTED_VALUE"""),4340.0)</f>
        <v>4340</v>
      </c>
      <c r="F679" s="5">
        <f>IFERROR(__xludf.DUMMYFUNCTION("""COMPUTED_VALUE"""),1.079386E8)</f>
        <v>107938600</v>
      </c>
      <c r="G679" s="5">
        <f t="shared" si="1"/>
        <v>70</v>
      </c>
    </row>
    <row r="680">
      <c r="A680" s="4">
        <f>IFERROR(__xludf.DUMMYFUNCTION("""COMPUTED_VALUE"""),44847.66666666667)</f>
        <v>44847.66667</v>
      </c>
      <c r="B680" s="5">
        <f>IFERROR(__xludf.DUMMYFUNCTION("""COMPUTED_VALUE"""),4330.0)</f>
        <v>4330</v>
      </c>
      <c r="C680" s="5">
        <f>IFERROR(__xludf.DUMMYFUNCTION("""COMPUTED_VALUE"""),4350.0)</f>
        <v>4350</v>
      </c>
      <c r="D680" s="5">
        <f>IFERROR(__xludf.DUMMYFUNCTION("""COMPUTED_VALUE"""),4290.0)</f>
        <v>4290</v>
      </c>
      <c r="E680" s="5">
        <f>IFERROR(__xludf.DUMMYFUNCTION("""COMPUTED_VALUE"""),4300.0)</f>
        <v>4300</v>
      </c>
      <c r="F680" s="5">
        <f>IFERROR(__xludf.DUMMYFUNCTION("""COMPUTED_VALUE"""),7.00345E7)</f>
        <v>70034500</v>
      </c>
      <c r="G680" s="5">
        <f t="shared" si="1"/>
        <v>60</v>
      </c>
    </row>
    <row r="681">
      <c r="A681" s="4">
        <f>IFERROR(__xludf.DUMMYFUNCTION("""COMPUTED_VALUE"""),44848.66666666667)</f>
        <v>44848.66667</v>
      </c>
      <c r="B681" s="5">
        <f>IFERROR(__xludf.DUMMYFUNCTION("""COMPUTED_VALUE"""),4360.0)</f>
        <v>4360</v>
      </c>
      <c r="C681" s="5">
        <f>IFERROR(__xludf.DUMMYFUNCTION("""COMPUTED_VALUE"""),4360.0)</f>
        <v>4360</v>
      </c>
      <c r="D681" s="5">
        <f>IFERROR(__xludf.DUMMYFUNCTION("""COMPUTED_VALUE"""),4290.0)</f>
        <v>4290</v>
      </c>
      <c r="E681" s="5">
        <f>IFERROR(__xludf.DUMMYFUNCTION("""COMPUTED_VALUE"""),4290.0)</f>
        <v>4290</v>
      </c>
      <c r="F681" s="5">
        <f>IFERROR(__xludf.DUMMYFUNCTION("""COMPUTED_VALUE"""),6.80963E7)</f>
        <v>68096300</v>
      </c>
      <c r="G681" s="5">
        <f t="shared" si="1"/>
        <v>70</v>
      </c>
    </row>
    <row r="682">
      <c r="A682" s="4">
        <f>IFERROR(__xludf.DUMMYFUNCTION("""COMPUTED_VALUE"""),44851.66666666667)</f>
        <v>44851.66667</v>
      </c>
      <c r="B682" s="5">
        <f>IFERROR(__xludf.DUMMYFUNCTION("""COMPUTED_VALUE"""),4200.0)</f>
        <v>4200</v>
      </c>
      <c r="C682" s="5">
        <f>IFERROR(__xludf.DUMMYFUNCTION("""COMPUTED_VALUE"""),4330.0)</f>
        <v>4330</v>
      </c>
      <c r="D682" s="5">
        <f>IFERROR(__xludf.DUMMYFUNCTION("""COMPUTED_VALUE"""),4200.0)</f>
        <v>4200</v>
      </c>
      <c r="E682" s="5">
        <f>IFERROR(__xludf.DUMMYFUNCTION("""COMPUTED_VALUE"""),4330.0)</f>
        <v>4330</v>
      </c>
      <c r="F682" s="5">
        <f>IFERROR(__xludf.DUMMYFUNCTION("""COMPUTED_VALUE"""),9.03217E7)</f>
        <v>90321700</v>
      </c>
      <c r="G682" s="5">
        <f t="shared" si="1"/>
        <v>130</v>
      </c>
    </row>
    <row r="683">
      <c r="A683" s="4">
        <f>IFERROR(__xludf.DUMMYFUNCTION("""COMPUTED_VALUE"""),44852.66666666667)</f>
        <v>44852.66667</v>
      </c>
      <c r="B683" s="5">
        <f>IFERROR(__xludf.DUMMYFUNCTION("""COMPUTED_VALUE"""),4310.0)</f>
        <v>4310</v>
      </c>
      <c r="C683" s="5">
        <f>IFERROR(__xludf.DUMMYFUNCTION("""COMPUTED_VALUE"""),4340.0)</f>
        <v>4340</v>
      </c>
      <c r="D683" s="5">
        <f>IFERROR(__xludf.DUMMYFUNCTION("""COMPUTED_VALUE"""),4250.0)</f>
        <v>4250</v>
      </c>
      <c r="E683" s="5">
        <f>IFERROR(__xludf.DUMMYFUNCTION("""COMPUTED_VALUE"""),4250.0)</f>
        <v>4250</v>
      </c>
      <c r="F683" s="5">
        <f>IFERROR(__xludf.DUMMYFUNCTION("""COMPUTED_VALUE"""),7.2516E7)</f>
        <v>72516000</v>
      </c>
      <c r="G683" s="5">
        <f t="shared" si="1"/>
        <v>90</v>
      </c>
    </row>
    <row r="684">
      <c r="A684" s="4">
        <f>IFERROR(__xludf.DUMMYFUNCTION("""COMPUTED_VALUE"""),44853.66666666667)</f>
        <v>44853.66667</v>
      </c>
      <c r="B684" s="5">
        <f>IFERROR(__xludf.DUMMYFUNCTION("""COMPUTED_VALUE"""),4220.0)</f>
        <v>4220</v>
      </c>
      <c r="C684" s="5">
        <f>IFERROR(__xludf.DUMMYFUNCTION("""COMPUTED_VALUE"""),4300.0)</f>
        <v>4300</v>
      </c>
      <c r="D684" s="5">
        <f>IFERROR(__xludf.DUMMYFUNCTION("""COMPUTED_VALUE"""),4200.0)</f>
        <v>4200</v>
      </c>
      <c r="E684" s="5">
        <f>IFERROR(__xludf.DUMMYFUNCTION("""COMPUTED_VALUE"""),4200.0)</f>
        <v>4200</v>
      </c>
      <c r="F684" s="5">
        <f>IFERROR(__xludf.DUMMYFUNCTION("""COMPUTED_VALUE"""),6.58483E7)</f>
        <v>65848300</v>
      </c>
      <c r="G684" s="5">
        <f t="shared" si="1"/>
        <v>100</v>
      </c>
    </row>
    <row r="685">
      <c r="A685" s="4">
        <f>IFERROR(__xludf.DUMMYFUNCTION("""COMPUTED_VALUE"""),44854.66666666667)</f>
        <v>44854.66667</v>
      </c>
      <c r="B685" s="5">
        <f>IFERROR(__xludf.DUMMYFUNCTION("""COMPUTED_VALUE"""),4200.0)</f>
        <v>4200</v>
      </c>
      <c r="C685" s="5">
        <f>IFERROR(__xludf.DUMMYFUNCTION("""COMPUTED_VALUE"""),4350.0)</f>
        <v>4350</v>
      </c>
      <c r="D685" s="5">
        <f>IFERROR(__xludf.DUMMYFUNCTION("""COMPUTED_VALUE"""),4200.0)</f>
        <v>4200</v>
      </c>
      <c r="E685" s="5">
        <f>IFERROR(__xludf.DUMMYFUNCTION("""COMPUTED_VALUE"""),4350.0)</f>
        <v>4350</v>
      </c>
      <c r="F685" s="5">
        <f>IFERROR(__xludf.DUMMYFUNCTION("""COMPUTED_VALUE"""),1.653915E8)</f>
        <v>165391500</v>
      </c>
      <c r="G685" s="5">
        <f t="shared" si="1"/>
        <v>150</v>
      </c>
    </row>
    <row r="686">
      <c r="A686" s="4">
        <f>IFERROR(__xludf.DUMMYFUNCTION("""COMPUTED_VALUE"""),44855.66666666667)</f>
        <v>44855.66667</v>
      </c>
      <c r="B686" s="5">
        <f>IFERROR(__xludf.DUMMYFUNCTION("""COMPUTED_VALUE"""),4300.0)</f>
        <v>4300</v>
      </c>
      <c r="C686" s="5">
        <f>IFERROR(__xludf.DUMMYFUNCTION("""COMPUTED_VALUE"""),4390.0)</f>
        <v>4390</v>
      </c>
      <c r="D686" s="5">
        <f>IFERROR(__xludf.DUMMYFUNCTION("""COMPUTED_VALUE"""),4300.0)</f>
        <v>4300</v>
      </c>
      <c r="E686" s="5">
        <f>IFERROR(__xludf.DUMMYFUNCTION("""COMPUTED_VALUE"""),4360.0)</f>
        <v>4360</v>
      </c>
      <c r="F686" s="5">
        <f>IFERROR(__xludf.DUMMYFUNCTION("""COMPUTED_VALUE"""),7.98257E7)</f>
        <v>79825700</v>
      </c>
      <c r="G686" s="5">
        <f t="shared" si="1"/>
        <v>90</v>
      </c>
    </row>
    <row r="687">
      <c r="A687" s="4">
        <f>IFERROR(__xludf.DUMMYFUNCTION("""COMPUTED_VALUE"""),44858.66666666667)</f>
        <v>44858.66667</v>
      </c>
      <c r="B687" s="5">
        <f>IFERROR(__xludf.DUMMYFUNCTION("""COMPUTED_VALUE"""),4380.0)</f>
        <v>4380</v>
      </c>
      <c r="C687" s="5">
        <f>IFERROR(__xludf.DUMMYFUNCTION("""COMPUTED_VALUE"""),4450.0)</f>
        <v>4450</v>
      </c>
      <c r="D687" s="5">
        <f>IFERROR(__xludf.DUMMYFUNCTION("""COMPUTED_VALUE"""),4380.0)</f>
        <v>4380</v>
      </c>
      <c r="E687" s="5">
        <f>IFERROR(__xludf.DUMMYFUNCTION("""COMPUTED_VALUE"""),4410.0)</f>
        <v>4410</v>
      </c>
      <c r="F687" s="5">
        <f>IFERROR(__xludf.DUMMYFUNCTION("""COMPUTED_VALUE"""),7.67772E7)</f>
        <v>76777200</v>
      </c>
      <c r="G687" s="5">
        <f t="shared" si="1"/>
        <v>90</v>
      </c>
    </row>
    <row r="688">
      <c r="A688" s="4">
        <f>IFERROR(__xludf.DUMMYFUNCTION("""COMPUTED_VALUE"""),44859.66666666667)</f>
        <v>44859.66667</v>
      </c>
      <c r="B688" s="5">
        <f>IFERROR(__xludf.DUMMYFUNCTION("""COMPUTED_VALUE"""),4430.0)</f>
        <v>4430</v>
      </c>
      <c r="C688" s="5">
        <f>IFERROR(__xludf.DUMMYFUNCTION("""COMPUTED_VALUE"""),4470.0)</f>
        <v>4470</v>
      </c>
      <c r="D688" s="5">
        <f>IFERROR(__xludf.DUMMYFUNCTION("""COMPUTED_VALUE"""),4390.0)</f>
        <v>4390</v>
      </c>
      <c r="E688" s="5">
        <f>IFERROR(__xludf.DUMMYFUNCTION("""COMPUTED_VALUE"""),4390.0)</f>
        <v>4390</v>
      </c>
      <c r="F688" s="5">
        <f>IFERROR(__xludf.DUMMYFUNCTION("""COMPUTED_VALUE"""),1.091543E8)</f>
        <v>109154300</v>
      </c>
      <c r="G688" s="5">
        <f t="shared" si="1"/>
        <v>80</v>
      </c>
    </row>
    <row r="689">
      <c r="A689" s="4">
        <f>IFERROR(__xludf.DUMMYFUNCTION("""COMPUTED_VALUE"""),44860.66666666667)</f>
        <v>44860.66667</v>
      </c>
      <c r="B689" s="5">
        <f>IFERROR(__xludf.DUMMYFUNCTION("""COMPUTED_VALUE"""),4420.0)</f>
        <v>4420</v>
      </c>
      <c r="C689" s="5">
        <f>IFERROR(__xludf.DUMMYFUNCTION("""COMPUTED_VALUE"""),4430.0)</f>
        <v>4430</v>
      </c>
      <c r="D689" s="5">
        <f>IFERROR(__xludf.DUMMYFUNCTION("""COMPUTED_VALUE"""),4330.0)</f>
        <v>4330</v>
      </c>
      <c r="E689" s="5">
        <f>IFERROR(__xludf.DUMMYFUNCTION("""COMPUTED_VALUE"""),4370.0)</f>
        <v>4370</v>
      </c>
      <c r="F689" s="5">
        <f>IFERROR(__xludf.DUMMYFUNCTION("""COMPUTED_VALUE"""),9.73205E7)</f>
        <v>97320500</v>
      </c>
      <c r="G689" s="5">
        <f t="shared" si="1"/>
        <v>100</v>
      </c>
    </row>
    <row r="690">
      <c r="A690" s="4">
        <f>IFERROR(__xludf.DUMMYFUNCTION("""COMPUTED_VALUE"""),44861.66666666667)</f>
        <v>44861.66667</v>
      </c>
      <c r="B690" s="5">
        <f>IFERROR(__xludf.DUMMYFUNCTION("""COMPUTED_VALUE"""),4390.0)</f>
        <v>4390</v>
      </c>
      <c r="C690" s="5">
        <f>IFERROR(__xludf.DUMMYFUNCTION("""COMPUTED_VALUE"""),4410.0)</f>
        <v>4410</v>
      </c>
      <c r="D690" s="5">
        <f>IFERROR(__xludf.DUMMYFUNCTION("""COMPUTED_VALUE"""),4340.0)</f>
        <v>4340</v>
      </c>
      <c r="E690" s="5">
        <f>IFERROR(__xludf.DUMMYFUNCTION("""COMPUTED_VALUE"""),4370.0)</f>
        <v>4370</v>
      </c>
      <c r="F690" s="5">
        <f>IFERROR(__xludf.DUMMYFUNCTION("""COMPUTED_VALUE"""),8.02703E7)</f>
        <v>80270300</v>
      </c>
      <c r="G690" s="5">
        <f t="shared" si="1"/>
        <v>70</v>
      </c>
    </row>
    <row r="691">
      <c r="A691" s="4">
        <f>IFERROR(__xludf.DUMMYFUNCTION("""COMPUTED_VALUE"""),44862.66666666667)</f>
        <v>44862.66667</v>
      </c>
      <c r="B691" s="5">
        <f>IFERROR(__xludf.DUMMYFUNCTION("""COMPUTED_VALUE"""),4420.0)</f>
        <v>4420</v>
      </c>
      <c r="C691" s="5">
        <f>IFERROR(__xludf.DUMMYFUNCTION("""COMPUTED_VALUE"""),4450.0)</f>
        <v>4450</v>
      </c>
      <c r="D691" s="5">
        <f>IFERROR(__xludf.DUMMYFUNCTION("""COMPUTED_VALUE"""),4380.0)</f>
        <v>4380</v>
      </c>
      <c r="E691" s="5">
        <f>IFERROR(__xludf.DUMMYFUNCTION("""COMPUTED_VALUE"""),4450.0)</f>
        <v>4450</v>
      </c>
      <c r="F691" s="5">
        <f>IFERROR(__xludf.DUMMYFUNCTION("""COMPUTED_VALUE"""),9.11015E7)</f>
        <v>91101500</v>
      </c>
      <c r="G691" s="5">
        <f t="shared" si="1"/>
        <v>80</v>
      </c>
    </row>
    <row r="692">
      <c r="A692" s="4">
        <f>IFERROR(__xludf.DUMMYFUNCTION("""COMPUTED_VALUE"""),44865.66666666667)</f>
        <v>44865.66667</v>
      </c>
      <c r="B692" s="5">
        <f>IFERROR(__xludf.DUMMYFUNCTION("""COMPUTED_VALUE"""),4460.0)</f>
        <v>4460</v>
      </c>
      <c r="C692" s="5">
        <f>IFERROR(__xludf.DUMMYFUNCTION("""COMPUTED_VALUE"""),4460.0)</f>
        <v>4460</v>
      </c>
      <c r="D692" s="5">
        <f>IFERROR(__xludf.DUMMYFUNCTION("""COMPUTED_VALUE"""),4360.0)</f>
        <v>4360</v>
      </c>
      <c r="E692" s="5">
        <f>IFERROR(__xludf.DUMMYFUNCTION("""COMPUTED_VALUE"""),4390.0)</f>
        <v>4390</v>
      </c>
      <c r="F692" s="5">
        <f>IFERROR(__xludf.DUMMYFUNCTION("""COMPUTED_VALUE"""),1.627535E8)</f>
        <v>162753500</v>
      </c>
      <c r="G692" s="5">
        <f t="shared" si="1"/>
        <v>100</v>
      </c>
    </row>
    <row r="693">
      <c r="A693" s="4">
        <f>IFERROR(__xludf.DUMMYFUNCTION("""COMPUTED_VALUE"""),44866.625)</f>
        <v>44866.625</v>
      </c>
      <c r="B693" s="5">
        <f>IFERROR(__xludf.DUMMYFUNCTION("""COMPUTED_VALUE"""),4420.0)</f>
        <v>4420</v>
      </c>
      <c r="C693" s="5">
        <f>IFERROR(__xludf.DUMMYFUNCTION("""COMPUTED_VALUE"""),4420.0)</f>
        <v>4420</v>
      </c>
      <c r="D693" s="5">
        <f>IFERROR(__xludf.DUMMYFUNCTION("""COMPUTED_VALUE"""),4360.0)</f>
        <v>4360</v>
      </c>
      <c r="E693" s="5">
        <f>IFERROR(__xludf.DUMMYFUNCTION("""COMPUTED_VALUE"""),4420.0)</f>
        <v>4420</v>
      </c>
      <c r="F693" s="5">
        <f>IFERROR(__xludf.DUMMYFUNCTION("""COMPUTED_VALUE"""),1.085929E8)</f>
        <v>108592900</v>
      </c>
      <c r="G693" s="5">
        <f t="shared" si="1"/>
        <v>60</v>
      </c>
    </row>
    <row r="694">
      <c r="A694" s="4">
        <f>IFERROR(__xludf.DUMMYFUNCTION("""COMPUTED_VALUE"""),44867.625)</f>
        <v>44867.625</v>
      </c>
      <c r="B694" s="5">
        <f>IFERROR(__xludf.DUMMYFUNCTION("""COMPUTED_VALUE"""),4400.0)</f>
        <v>4400</v>
      </c>
      <c r="C694" s="5">
        <f>IFERROR(__xludf.DUMMYFUNCTION("""COMPUTED_VALUE"""),4420.0)</f>
        <v>4420</v>
      </c>
      <c r="D694" s="5">
        <f>IFERROR(__xludf.DUMMYFUNCTION("""COMPUTED_VALUE"""),4220.0)</f>
        <v>4220</v>
      </c>
      <c r="E694" s="5">
        <f>IFERROR(__xludf.DUMMYFUNCTION("""COMPUTED_VALUE"""),4220.0)</f>
        <v>4220</v>
      </c>
      <c r="F694" s="5">
        <f>IFERROR(__xludf.DUMMYFUNCTION("""COMPUTED_VALUE"""),2.178552E8)</f>
        <v>217855200</v>
      </c>
      <c r="G694" s="5">
        <f t="shared" si="1"/>
        <v>200</v>
      </c>
    </row>
    <row r="695">
      <c r="A695" s="4">
        <f>IFERROR(__xludf.DUMMYFUNCTION("""COMPUTED_VALUE"""),44868.66666666667)</f>
        <v>44868.66667</v>
      </c>
      <c r="B695" s="5">
        <f>IFERROR(__xludf.DUMMYFUNCTION("""COMPUTED_VALUE"""),4140.0)</f>
        <v>4140</v>
      </c>
      <c r="C695" s="5">
        <f>IFERROR(__xludf.DUMMYFUNCTION("""COMPUTED_VALUE"""),4170.0)</f>
        <v>4170</v>
      </c>
      <c r="D695" s="5">
        <f>IFERROR(__xludf.DUMMYFUNCTION("""COMPUTED_VALUE"""),4050.0)</f>
        <v>4050</v>
      </c>
      <c r="E695" s="5">
        <f>IFERROR(__xludf.DUMMYFUNCTION("""COMPUTED_VALUE"""),4130.0)</f>
        <v>4130</v>
      </c>
      <c r="F695" s="5">
        <f>IFERROR(__xludf.DUMMYFUNCTION("""COMPUTED_VALUE"""),2.31475E8)</f>
        <v>231475000</v>
      </c>
      <c r="G695" s="5">
        <f t="shared" si="1"/>
        <v>170</v>
      </c>
    </row>
    <row r="696">
      <c r="A696" s="4">
        <f>IFERROR(__xludf.DUMMYFUNCTION("""COMPUTED_VALUE"""),44869.66666666667)</f>
        <v>44869.66667</v>
      </c>
      <c r="B696" s="5">
        <f>IFERROR(__xludf.DUMMYFUNCTION("""COMPUTED_VALUE"""),4070.0)</f>
        <v>4070</v>
      </c>
      <c r="C696" s="5">
        <f>IFERROR(__xludf.DUMMYFUNCTION("""COMPUTED_VALUE"""),4210.0)</f>
        <v>4210</v>
      </c>
      <c r="D696" s="5">
        <f>IFERROR(__xludf.DUMMYFUNCTION("""COMPUTED_VALUE"""),4070.0)</f>
        <v>4070</v>
      </c>
      <c r="E696" s="5">
        <f>IFERROR(__xludf.DUMMYFUNCTION("""COMPUTED_VALUE"""),4210.0)</f>
        <v>4210</v>
      </c>
      <c r="F696" s="5">
        <f>IFERROR(__xludf.DUMMYFUNCTION("""COMPUTED_VALUE"""),2.011831E8)</f>
        <v>201183100</v>
      </c>
      <c r="G696" s="5">
        <f t="shared" si="1"/>
        <v>140</v>
      </c>
    </row>
    <row r="697">
      <c r="A697" s="4">
        <f>IFERROR(__xludf.DUMMYFUNCTION("""COMPUTED_VALUE"""),44872.66666666667)</f>
        <v>44872.66667</v>
      </c>
      <c r="B697" s="5">
        <f>IFERROR(__xludf.DUMMYFUNCTION("""COMPUTED_VALUE"""),4250.0)</f>
        <v>4250</v>
      </c>
      <c r="C697" s="5">
        <f>IFERROR(__xludf.DUMMYFUNCTION("""COMPUTED_VALUE"""),4280.0)</f>
        <v>4280</v>
      </c>
      <c r="D697" s="5">
        <f>IFERROR(__xludf.DUMMYFUNCTION("""COMPUTED_VALUE"""),4160.0)</f>
        <v>4160</v>
      </c>
      <c r="E697" s="5">
        <f>IFERROR(__xludf.DUMMYFUNCTION("""COMPUTED_VALUE"""),4280.0)</f>
        <v>4280</v>
      </c>
      <c r="F697" s="5">
        <f>IFERROR(__xludf.DUMMYFUNCTION("""COMPUTED_VALUE"""),1.298688E8)</f>
        <v>129868800</v>
      </c>
      <c r="G697" s="5">
        <f t="shared" si="1"/>
        <v>120</v>
      </c>
    </row>
    <row r="698">
      <c r="A698" s="4">
        <f>IFERROR(__xludf.DUMMYFUNCTION("""COMPUTED_VALUE"""),44873.66666666667)</f>
        <v>44873.66667</v>
      </c>
      <c r="B698" s="5">
        <f>IFERROR(__xludf.DUMMYFUNCTION("""COMPUTED_VALUE"""),4270.0)</f>
        <v>4270</v>
      </c>
      <c r="C698" s="5">
        <f>IFERROR(__xludf.DUMMYFUNCTION("""COMPUTED_VALUE"""),4280.0)</f>
        <v>4280</v>
      </c>
      <c r="D698" s="5">
        <f>IFERROR(__xludf.DUMMYFUNCTION("""COMPUTED_VALUE"""),4200.0)</f>
        <v>4200</v>
      </c>
      <c r="E698" s="5">
        <f>IFERROR(__xludf.DUMMYFUNCTION("""COMPUTED_VALUE"""),4220.0)</f>
        <v>4220</v>
      </c>
      <c r="F698" s="5">
        <f>IFERROR(__xludf.DUMMYFUNCTION("""COMPUTED_VALUE"""),1.105468E8)</f>
        <v>110546800</v>
      </c>
      <c r="G698" s="5">
        <f t="shared" si="1"/>
        <v>80</v>
      </c>
    </row>
    <row r="699">
      <c r="A699" s="4">
        <f>IFERROR(__xludf.DUMMYFUNCTION("""COMPUTED_VALUE"""),44874.66666666667)</f>
        <v>44874.66667</v>
      </c>
      <c r="B699" s="5">
        <f>IFERROR(__xludf.DUMMYFUNCTION("""COMPUTED_VALUE"""),4200.0)</f>
        <v>4200</v>
      </c>
      <c r="C699" s="5">
        <f>IFERROR(__xludf.DUMMYFUNCTION("""COMPUTED_VALUE"""),4230.0)</f>
        <v>4230</v>
      </c>
      <c r="D699" s="5">
        <f>IFERROR(__xludf.DUMMYFUNCTION("""COMPUTED_VALUE"""),4180.0)</f>
        <v>4180</v>
      </c>
      <c r="E699" s="5">
        <f>IFERROR(__xludf.DUMMYFUNCTION("""COMPUTED_VALUE"""),4190.0)</f>
        <v>4190</v>
      </c>
      <c r="F699" s="5">
        <f>IFERROR(__xludf.DUMMYFUNCTION("""COMPUTED_VALUE"""),1.458332E8)</f>
        <v>145833200</v>
      </c>
      <c r="G699" s="5">
        <f t="shared" si="1"/>
        <v>50</v>
      </c>
    </row>
    <row r="700">
      <c r="A700" s="4">
        <f>IFERROR(__xludf.DUMMYFUNCTION("""COMPUTED_VALUE"""),44875.66666666667)</f>
        <v>44875.66667</v>
      </c>
      <c r="B700" s="5">
        <f>IFERROR(__xludf.DUMMYFUNCTION("""COMPUTED_VALUE"""),4110.0)</f>
        <v>4110</v>
      </c>
      <c r="C700" s="5">
        <f>IFERROR(__xludf.DUMMYFUNCTION("""COMPUTED_VALUE"""),4210.0)</f>
        <v>4210</v>
      </c>
      <c r="D700" s="5">
        <f>IFERROR(__xludf.DUMMYFUNCTION("""COMPUTED_VALUE"""),4110.0)</f>
        <v>4110</v>
      </c>
      <c r="E700" s="5">
        <f>IFERROR(__xludf.DUMMYFUNCTION("""COMPUTED_VALUE"""),4170.0)</f>
        <v>4170</v>
      </c>
      <c r="F700" s="5">
        <f>IFERROR(__xludf.DUMMYFUNCTION("""COMPUTED_VALUE"""),8.12492E7)</f>
        <v>81249200</v>
      </c>
      <c r="G700" s="5">
        <f t="shared" si="1"/>
        <v>100</v>
      </c>
    </row>
    <row r="701">
      <c r="A701" s="4">
        <f>IFERROR(__xludf.DUMMYFUNCTION("""COMPUTED_VALUE"""),44876.66666666667)</f>
        <v>44876.66667</v>
      </c>
      <c r="B701" s="5">
        <f>IFERROR(__xludf.DUMMYFUNCTION("""COMPUTED_VALUE"""),4160.0)</f>
        <v>4160</v>
      </c>
      <c r="C701" s="5">
        <f>IFERROR(__xludf.DUMMYFUNCTION("""COMPUTED_VALUE"""),4180.0)</f>
        <v>4180</v>
      </c>
      <c r="D701" s="5">
        <f>IFERROR(__xludf.DUMMYFUNCTION("""COMPUTED_VALUE"""),4140.0)</f>
        <v>4140</v>
      </c>
      <c r="E701" s="5">
        <f>IFERROR(__xludf.DUMMYFUNCTION("""COMPUTED_VALUE"""),4150.0)</f>
        <v>4150</v>
      </c>
      <c r="F701" s="5">
        <f>IFERROR(__xludf.DUMMYFUNCTION("""COMPUTED_VALUE"""),2.277993E8)</f>
        <v>227799300</v>
      </c>
      <c r="G701" s="5">
        <f t="shared" si="1"/>
        <v>40</v>
      </c>
    </row>
    <row r="702">
      <c r="A702" s="4">
        <f>IFERROR(__xludf.DUMMYFUNCTION("""COMPUTED_VALUE"""),44879.66666666667)</f>
        <v>44879.66667</v>
      </c>
      <c r="B702" s="5">
        <f>IFERROR(__xludf.DUMMYFUNCTION("""COMPUTED_VALUE"""),4090.0)</f>
        <v>4090</v>
      </c>
      <c r="C702" s="5">
        <f>IFERROR(__xludf.DUMMYFUNCTION("""COMPUTED_VALUE"""),4120.0)</f>
        <v>4120</v>
      </c>
      <c r="D702" s="5">
        <f>IFERROR(__xludf.DUMMYFUNCTION("""COMPUTED_VALUE"""),4030.0)</f>
        <v>4030</v>
      </c>
      <c r="E702" s="5">
        <f>IFERROR(__xludf.DUMMYFUNCTION("""COMPUTED_VALUE"""),4050.0)</f>
        <v>4050</v>
      </c>
      <c r="F702" s="5">
        <f>IFERROR(__xludf.DUMMYFUNCTION("""COMPUTED_VALUE"""),1.887712E8)</f>
        <v>188771200</v>
      </c>
      <c r="G702" s="5">
        <f t="shared" si="1"/>
        <v>120</v>
      </c>
    </row>
    <row r="703">
      <c r="A703" s="4">
        <f>IFERROR(__xludf.DUMMYFUNCTION("""COMPUTED_VALUE"""),44880.66666666667)</f>
        <v>44880.66667</v>
      </c>
      <c r="B703" s="5">
        <f>IFERROR(__xludf.DUMMYFUNCTION("""COMPUTED_VALUE"""),4050.0)</f>
        <v>4050</v>
      </c>
      <c r="C703" s="5">
        <f>IFERROR(__xludf.DUMMYFUNCTION("""COMPUTED_VALUE"""),4080.0)</f>
        <v>4080</v>
      </c>
      <c r="D703" s="5">
        <f>IFERROR(__xludf.DUMMYFUNCTION("""COMPUTED_VALUE"""),4030.0)</f>
        <v>4030</v>
      </c>
      <c r="E703" s="5">
        <f>IFERROR(__xludf.DUMMYFUNCTION("""COMPUTED_VALUE"""),4050.0)</f>
        <v>4050</v>
      </c>
      <c r="F703" s="5">
        <f>IFERROR(__xludf.DUMMYFUNCTION("""COMPUTED_VALUE"""),8.85704E7)</f>
        <v>88570400</v>
      </c>
      <c r="G703" s="5">
        <f t="shared" si="1"/>
        <v>50</v>
      </c>
    </row>
    <row r="704">
      <c r="A704" s="4">
        <f>IFERROR(__xludf.DUMMYFUNCTION("""COMPUTED_VALUE"""),44881.66666666667)</f>
        <v>44881.66667</v>
      </c>
      <c r="B704" s="5">
        <f>IFERROR(__xludf.DUMMYFUNCTION("""COMPUTED_VALUE"""),4000.0)</f>
        <v>4000</v>
      </c>
      <c r="C704" s="5">
        <f>IFERROR(__xludf.DUMMYFUNCTION("""COMPUTED_VALUE"""),4070.0)</f>
        <v>4070</v>
      </c>
      <c r="D704" s="5">
        <f>IFERROR(__xludf.DUMMYFUNCTION("""COMPUTED_VALUE"""),3960.0)</f>
        <v>3960</v>
      </c>
      <c r="E704" s="5">
        <f>IFERROR(__xludf.DUMMYFUNCTION("""COMPUTED_VALUE"""),4050.0)</f>
        <v>4050</v>
      </c>
      <c r="F704" s="5">
        <f>IFERROR(__xludf.DUMMYFUNCTION("""COMPUTED_VALUE"""),1.495123E8)</f>
        <v>149512300</v>
      </c>
      <c r="G704" s="5">
        <f t="shared" si="1"/>
        <v>110</v>
      </c>
    </row>
    <row r="705">
      <c r="A705" s="4">
        <f>IFERROR(__xludf.DUMMYFUNCTION("""COMPUTED_VALUE"""),44882.66666666667)</f>
        <v>44882.66667</v>
      </c>
      <c r="B705" s="5">
        <f>IFERROR(__xludf.DUMMYFUNCTION("""COMPUTED_VALUE"""),4020.0)</f>
        <v>4020</v>
      </c>
      <c r="C705" s="5">
        <f>IFERROR(__xludf.DUMMYFUNCTION("""COMPUTED_VALUE"""),4070.0)</f>
        <v>4070</v>
      </c>
      <c r="D705" s="5">
        <f>IFERROR(__xludf.DUMMYFUNCTION("""COMPUTED_VALUE"""),4020.0)</f>
        <v>4020</v>
      </c>
      <c r="E705" s="5">
        <f>IFERROR(__xludf.DUMMYFUNCTION("""COMPUTED_VALUE"""),4040.0)</f>
        <v>4040</v>
      </c>
      <c r="F705" s="5">
        <f>IFERROR(__xludf.DUMMYFUNCTION("""COMPUTED_VALUE"""),6.86167E7)</f>
        <v>68616700</v>
      </c>
      <c r="G705" s="5">
        <f t="shared" si="1"/>
        <v>50</v>
      </c>
    </row>
    <row r="706">
      <c r="A706" s="4">
        <f>IFERROR(__xludf.DUMMYFUNCTION("""COMPUTED_VALUE"""),44883.66666666667)</f>
        <v>44883.66667</v>
      </c>
      <c r="B706" s="5">
        <f>IFERROR(__xludf.DUMMYFUNCTION("""COMPUTED_VALUE"""),4070.0)</f>
        <v>4070</v>
      </c>
      <c r="C706" s="5">
        <f>IFERROR(__xludf.DUMMYFUNCTION("""COMPUTED_VALUE"""),4080.0)</f>
        <v>4080</v>
      </c>
      <c r="D706" s="5">
        <f>IFERROR(__xludf.DUMMYFUNCTION("""COMPUTED_VALUE"""),4010.0)</f>
        <v>4010</v>
      </c>
      <c r="E706" s="5">
        <f>IFERROR(__xludf.DUMMYFUNCTION("""COMPUTED_VALUE"""),4010.0)</f>
        <v>4010</v>
      </c>
      <c r="F706" s="5">
        <f>IFERROR(__xludf.DUMMYFUNCTION("""COMPUTED_VALUE"""),1.159079E8)</f>
        <v>115907900</v>
      </c>
      <c r="G706" s="5">
        <f t="shared" si="1"/>
        <v>70</v>
      </c>
    </row>
    <row r="707">
      <c r="A707" s="4">
        <f>IFERROR(__xludf.DUMMYFUNCTION("""COMPUTED_VALUE"""),44886.66666666667)</f>
        <v>44886.66667</v>
      </c>
      <c r="B707" s="5">
        <f>IFERROR(__xludf.DUMMYFUNCTION("""COMPUTED_VALUE"""),4020.0)</f>
        <v>4020</v>
      </c>
      <c r="C707" s="5">
        <f>IFERROR(__xludf.DUMMYFUNCTION("""COMPUTED_VALUE"""),4060.0)</f>
        <v>4060</v>
      </c>
      <c r="D707" s="5">
        <f>IFERROR(__xludf.DUMMYFUNCTION("""COMPUTED_VALUE"""),4010.0)</f>
        <v>4010</v>
      </c>
      <c r="E707" s="5">
        <f>IFERROR(__xludf.DUMMYFUNCTION("""COMPUTED_VALUE"""),4030.0)</f>
        <v>4030</v>
      </c>
      <c r="F707" s="5">
        <f>IFERROR(__xludf.DUMMYFUNCTION("""COMPUTED_VALUE"""),4.52774E7)</f>
        <v>45277400</v>
      </c>
      <c r="G707" s="5">
        <f t="shared" si="1"/>
        <v>50</v>
      </c>
    </row>
    <row r="708">
      <c r="A708" s="4">
        <f>IFERROR(__xludf.DUMMYFUNCTION("""COMPUTED_VALUE"""),44887.66666666667)</f>
        <v>44887.66667</v>
      </c>
      <c r="B708" s="5">
        <f>IFERROR(__xludf.DUMMYFUNCTION("""COMPUTED_VALUE"""),4020.0)</f>
        <v>4020</v>
      </c>
      <c r="C708" s="5">
        <f>IFERROR(__xludf.DUMMYFUNCTION("""COMPUTED_VALUE"""),4040.0)</f>
        <v>4040</v>
      </c>
      <c r="D708" s="5">
        <f>IFERROR(__xludf.DUMMYFUNCTION("""COMPUTED_VALUE"""),4000.0)</f>
        <v>4000</v>
      </c>
      <c r="E708" s="5">
        <f>IFERROR(__xludf.DUMMYFUNCTION("""COMPUTED_VALUE"""),4000.0)</f>
        <v>4000</v>
      </c>
      <c r="F708" s="5">
        <f>IFERROR(__xludf.DUMMYFUNCTION("""COMPUTED_VALUE"""),8.38883E7)</f>
        <v>83888300</v>
      </c>
      <c r="G708" s="5">
        <f t="shared" si="1"/>
        <v>40</v>
      </c>
    </row>
    <row r="709">
      <c r="A709" s="4">
        <f>IFERROR(__xludf.DUMMYFUNCTION("""COMPUTED_VALUE"""),44888.66666666667)</f>
        <v>44888.66667</v>
      </c>
      <c r="B709" s="5">
        <f>IFERROR(__xludf.DUMMYFUNCTION("""COMPUTED_VALUE"""),3990.0)</f>
        <v>3990</v>
      </c>
      <c r="C709" s="5">
        <f>IFERROR(__xludf.DUMMYFUNCTION("""COMPUTED_VALUE"""),4030.0)</f>
        <v>4030</v>
      </c>
      <c r="D709" s="5">
        <f>IFERROR(__xludf.DUMMYFUNCTION("""COMPUTED_VALUE"""),3970.0)</f>
        <v>3970</v>
      </c>
      <c r="E709" s="5">
        <f>IFERROR(__xludf.DUMMYFUNCTION("""COMPUTED_VALUE"""),3970.0)</f>
        <v>3970</v>
      </c>
      <c r="F709" s="5">
        <f>IFERROR(__xludf.DUMMYFUNCTION("""COMPUTED_VALUE"""),9.57504E7)</f>
        <v>95750400</v>
      </c>
      <c r="G709" s="5">
        <f t="shared" si="1"/>
        <v>60</v>
      </c>
    </row>
    <row r="710">
      <c r="A710" s="4">
        <f>IFERROR(__xludf.DUMMYFUNCTION("""COMPUTED_VALUE"""),44889.66666666667)</f>
        <v>44889.66667</v>
      </c>
      <c r="B710" s="5">
        <f>IFERROR(__xludf.DUMMYFUNCTION("""COMPUTED_VALUE"""),3980.0)</f>
        <v>3980</v>
      </c>
      <c r="C710" s="5">
        <f>IFERROR(__xludf.DUMMYFUNCTION("""COMPUTED_VALUE"""),4040.0)</f>
        <v>4040</v>
      </c>
      <c r="D710" s="5">
        <f>IFERROR(__xludf.DUMMYFUNCTION("""COMPUTED_VALUE"""),3980.0)</f>
        <v>3980</v>
      </c>
      <c r="E710" s="5">
        <f>IFERROR(__xludf.DUMMYFUNCTION("""COMPUTED_VALUE"""),4030.0)</f>
        <v>4030</v>
      </c>
      <c r="F710" s="5">
        <f>IFERROR(__xludf.DUMMYFUNCTION("""COMPUTED_VALUE"""),5.07416E7)</f>
        <v>50741600</v>
      </c>
      <c r="G710" s="5">
        <f t="shared" si="1"/>
        <v>70</v>
      </c>
    </row>
    <row r="711">
      <c r="A711" s="4">
        <f>IFERROR(__xludf.DUMMYFUNCTION("""COMPUTED_VALUE"""),44890.66666666667)</f>
        <v>44890.66667</v>
      </c>
      <c r="B711" s="5">
        <f>IFERROR(__xludf.DUMMYFUNCTION("""COMPUTED_VALUE"""),4010.0)</f>
        <v>4010</v>
      </c>
      <c r="C711" s="5">
        <f>IFERROR(__xludf.DUMMYFUNCTION("""COMPUTED_VALUE"""),4040.0)</f>
        <v>4040</v>
      </c>
      <c r="D711" s="5">
        <f>IFERROR(__xludf.DUMMYFUNCTION("""COMPUTED_VALUE"""),3980.0)</f>
        <v>3980</v>
      </c>
      <c r="E711" s="5">
        <f>IFERROR(__xludf.DUMMYFUNCTION("""COMPUTED_VALUE"""),4030.0)</f>
        <v>4030</v>
      </c>
      <c r="F711" s="5">
        <f>IFERROR(__xludf.DUMMYFUNCTION("""COMPUTED_VALUE"""),7.33058E7)</f>
        <v>73305800</v>
      </c>
      <c r="G711" s="5">
        <f t="shared" si="1"/>
        <v>60</v>
      </c>
    </row>
    <row r="712">
      <c r="A712" s="4">
        <f>IFERROR(__xludf.DUMMYFUNCTION("""COMPUTED_VALUE"""),44893.66666666667)</f>
        <v>44893.66667</v>
      </c>
      <c r="B712" s="5">
        <f>IFERROR(__xludf.DUMMYFUNCTION("""COMPUTED_VALUE"""),4030.0)</f>
        <v>4030</v>
      </c>
      <c r="C712" s="5">
        <f>IFERROR(__xludf.DUMMYFUNCTION("""COMPUTED_VALUE"""),4040.0)</f>
        <v>4040</v>
      </c>
      <c r="D712" s="5">
        <f>IFERROR(__xludf.DUMMYFUNCTION("""COMPUTED_VALUE"""),3980.0)</f>
        <v>3980</v>
      </c>
      <c r="E712" s="5">
        <f>IFERROR(__xludf.DUMMYFUNCTION("""COMPUTED_VALUE"""),3980.0)</f>
        <v>3980</v>
      </c>
      <c r="F712" s="5">
        <f>IFERROR(__xludf.DUMMYFUNCTION("""COMPUTED_VALUE"""),9.40631E7)</f>
        <v>94063100</v>
      </c>
      <c r="G712" s="5">
        <f t="shared" si="1"/>
        <v>60</v>
      </c>
    </row>
    <row r="713">
      <c r="A713" s="4">
        <f>IFERROR(__xludf.DUMMYFUNCTION("""COMPUTED_VALUE"""),44894.66666666667)</f>
        <v>44894.66667</v>
      </c>
      <c r="B713" s="5">
        <f>IFERROR(__xludf.DUMMYFUNCTION("""COMPUTED_VALUE"""),3980.0)</f>
        <v>3980</v>
      </c>
      <c r="C713" s="5">
        <f>IFERROR(__xludf.DUMMYFUNCTION("""COMPUTED_VALUE"""),4020.0)</f>
        <v>4020</v>
      </c>
      <c r="D713" s="5">
        <f>IFERROR(__xludf.DUMMYFUNCTION("""COMPUTED_VALUE"""),3980.0)</f>
        <v>3980</v>
      </c>
      <c r="E713" s="5">
        <f>IFERROR(__xludf.DUMMYFUNCTION("""COMPUTED_VALUE"""),3980.0)</f>
        <v>3980</v>
      </c>
      <c r="F713" s="5">
        <f>IFERROR(__xludf.DUMMYFUNCTION("""COMPUTED_VALUE"""),9.43898E7)</f>
        <v>94389800</v>
      </c>
      <c r="G713" s="5">
        <f t="shared" si="1"/>
        <v>40</v>
      </c>
    </row>
    <row r="714">
      <c r="A714" s="4">
        <f>IFERROR(__xludf.DUMMYFUNCTION("""COMPUTED_VALUE"""),44895.66666666667)</f>
        <v>44895.66667</v>
      </c>
      <c r="B714" s="5">
        <f>IFERROR(__xludf.DUMMYFUNCTION("""COMPUTED_VALUE"""),3970.0)</f>
        <v>3970</v>
      </c>
      <c r="C714" s="5">
        <f>IFERROR(__xludf.DUMMYFUNCTION("""COMPUTED_VALUE"""),4050.0)</f>
        <v>4050</v>
      </c>
      <c r="D714" s="5">
        <f>IFERROR(__xludf.DUMMYFUNCTION("""COMPUTED_VALUE"""),3970.0)</f>
        <v>3970</v>
      </c>
      <c r="E714" s="5">
        <f>IFERROR(__xludf.DUMMYFUNCTION("""COMPUTED_VALUE"""),4040.0)</f>
        <v>4040</v>
      </c>
      <c r="F714" s="5">
        <f>IFERROR(__xludf.DUMMYFUNCTION("""COMPUTED_VALUE"""),5.856874E8)</f>
        <v>585687400</v>
      </c>
      <c r="G714" s="5">
        <f t="shared" si="1"/>
        <v>80</v>
      </c>
    </row>
    <row r="715">
      <c r="A715" s="4">
        <f>IFERROR(__xludf.DUMMYFUNCTION("""COMPUTED_VALUE"""),44896.66666666667)</f>
        <v>44896.66667</v>
      </c>
      <c r="B715" s="5">
        <f>IFERROR(__xludf.DUMMYFUNCTION("""COMPUTED_VALUE"""),4020.0)</f>
        <v>4020</v>
      </c>
      <c r="C715" s="5">
        <f>IFERROR(__xludf.DUMMYFUNCTION("""COMPUTED_VALUE"""),4040.0)</f>
        <v>4040</v>
      </c>
      <c r="D715" s="5">
        <f>IFERROR(__xludf.DUMMYFUNCTION("""COMPUTED_VALUE"""),3960.0)</f>
        <v>3960</v>
      </c>
      <c r="E715" s="5">
        <f>IFERROR(__xludf.DUMMYFUNCTION("""COMPUTED_VALUE"""),3960.0)</f>
        <v>3960</v>
      </c>
      <c r="F715" s="5">
        <f>IFERROR(__xludf.DUMMYFUNCTION("""COMPUTED_VALUE"""),2.300666E8)</f>
        <v>230066600</v>
      </c>
      <c r="G715" s="5">
        <f t="shared" si="1"/>
        <v>80</v>
      </c>
    </row>
    <row r="716">
      <c r="A716" s="4">
        <f>IFERROR(__xludf.DUMMYFUNCTION("""COMPUTED_VALUE"""),44897.66666666667)</f>
        <v>44897.66667</v>
      </c>
      <c r="B716" s="5">
        <f>IFERROR(__xludf.DUMMYFUNCTION("""COMPUTED_VALUE"""),3950.0)</f>
        <v>3950</v>
      </c>
      <c r="C716" s="5">
        <f>IFERROR(__xludf.DUMMYFUNCTION("""COMPUTED_VALUE"""),4020.0)</f>
        <v>4020</v>
      </c>
      <c r="D716" s="5">
        <f>IFERROR(__xludf.DUMMYFUNCTION("""COMPUTED_VALUE"""),3930.0)</f>
        <v>3930</v>
      </c>
      <c r="E716" s="5">
        <f>IFERROR(__xludf.DUMMYFUNCTION("""COMPUTED_VALUE"""),4000.0)</f>
        <v>4000</v>
      </c>
      <c r="F716" s="5">
        <f>IFERROR(__xludf.DUMMYFUNCTION("""COMPUTED_VALUE"""),1.133366E8)</f>
        <v>113336600</v>
      </c>
      <c r="G716" s="5">
        <f t="shared" si="1"/>
        <v>90</v>
      </c>
    </row>
    <row r="717">
      <c r="A717" s="4">
        <f>IFERROR(__xludf.DUMMYFUNCTION("""COMPUTED_VALUE"""),44900.66666666667)</f>
        <v>44900.66667</v>
      </c>
      <c r="B717" s="5">
        <f>IFERROR(__xludf.DUMMYFUNCTION("""COMPUTED_VALUE"""),3980.0)</f>
        <v>3980</v>
      </c>
      <c r="C717" s="5">
        <f>IFERROR(__xludf.DUMMYFUNCTION("""COMPUTED_VALUE"""),3990.0)</f>
        <v>3990</v>
      </c>
      <c r="D717" s="5">
        <f>IFERROR(__xludf.DUMMYFUNCTION("""COMPUTED_VALUE"""),3820.0)</f>
        <v>3820</v>
      </c>
      <c r="E717" s="5">
        <f>IFERROR(__xludf.DUMMYFUNCTION("""COMPUTED_VALUE"""),3840.0)</f>
        <v>3840</v>
      </c>
      <c r="F717" s="5">
        <f>IFERROR(__xludf.DUMMYFUNCTION("""COMPUTED_VALUE"""),1.487512E8)</f>
        <v>148751200</v>
      </c>
      <c r="G717" s="5">
        <f t="shared" si="1"/>
        <v>180</v>
      </c>
    </row>
    <row r="718">
      <c r="A718" s="4">
        <f>IFERROR(__xludf.DUMMYFUNCTION("""COMPUTED_VALUE"""),44901.66666666667)</f>
        <v>44901.66667</v>
      </c>
      <c r="B718" s="5">
        <f>IFERROR(__xludf.DUMMYFUNCTION("""COMPUTED_VALUE"""),3640.0)</f>
        <v>3640</v>
      </c>
      <c r="C718" s="5">
        <f>IFERROR(__xludf.DUMMYFUNCTION("""COMPUTED_VALUE"""),3720.0)</f>
        <v>3720</v>
      </c>
      <c r="D718" s="5">
        <f>IFERROR(__xludf.DUMMYFUNCTION("""COMPUTED_VALUE"""),3580.0)</f>
        <v>3580</v>
      </c>
      <c r="E718" s="5">
        <f>IFERROR(__xludf.DUMMYFUNCTION("""COMPUTED_VALUE"""),3600.0)</f>
        <v>3600</v>
      </c>
      <c r="F718" s="5">
        <f>IFERROR(__xludf.DUMMYFUNCTION("""COMPUTED_VALUE"""),4.164687E8)</f>
        <v>416468700</v>
      </c>
      <c r="G718" s="5">
        <f t="shared" si="1"/>
        <v>260</v>
      </c>
    </row>
    <row r="719">
      <c r="A719" s="4">
        <f>IFERROR(__xludf.DUMMYFUNCTION("""COMPUTED_VALUE"""),44902.66666666667)</f>
        <v>44902.66667</v>
      </c>
      <c r="B719" s="5">
        <f>IFERROR(__xludf.DUMMYFUNCTION("""COMPUTED_VALUE"""),3600.0)</f>
        <v>3600</v>
      </c>
      <c r="C719" s="5">
        <f>IFERROR(__xludf.DUMMYFUNCTION("""COMPUTED_VALUE"""),3700.0)</f>
        <v>3700</v>
      </c>
      <c r="D719" s="5">
        <f>IFERROR(__xludf.DUMMYFUNCTION("""COMPUTED_VALUE"""),3570.0)</f>
        <v>3570</v>
      </c>
      <c r="E719" s="5">
        <f>IFERROR(__xludf.DUMMYFUNCTION("""COMPUTED_VALUE"""),3680.0)</f>
        <v>3680</v>
      </c>
      <c r="F719" s="5">
        <f>IFERROR(__xludf.DUMMYFUNCTION("""COMPUTED_VALUE"""),2.785722E8)</f>
        <v>278572200</v>
      </c>
      <c r="G719" s="5">
        <f t="shared" si="1"/>
        <v>130</v>
      </c>
    </row>
    <row r="720">
      <c r="A720" s="4">
        <f>IFERROR(__xludf.DUMMYFUNCTION("""COMPUTED_VALUE"""),44903.66666666667)</f>
        <v>44903.66667</v>
      </c>
      <c r="B720" s="5">
        <f>IFERROR(__xludf.DUMMYFUNCTION("""COMPUTED_VALUE"""),3700.0)</f>
        <v>3700</v>
      </c>
      <c r="C720" s="5">
        <f>IFERROR(__xludf.DUMMYFUNCTION("""COMPUTED_VALUE"""),3780.0)</f>
        <v>3780</v>
      </c>
      <c r="D720" s="5">
        <f>IFERROR(__xludf.DUMMYFUNCTION("""COMPUTED_VALUE"""),3620.0)</f>
        <v>3620</v>
      </c>
      <c r="E720" s="5">
        <f>IFERROR(__xludf.DUMMYFUNCTION("""COMPUTED_VALUE"""),3740.0)</f>
        <v>3740</v>
      </c>
      <c r="F720" s="5">
        <f>IFERROR(__xludf.DUMMYFUNCTION("""COMPUTED_VALUE"""),2.456464E8)</f>
        <v>245646400</v>
      </c>
      <c r="G720" s="5">
        <f t="shared" si="1"/>
        <v>160</v>
      </c>
    </row>
    <row r="721">
      <c r="A721" s="4">
        <f>IFERROR(__xludf.DUMMYFUNCTION("""COMPUTED_VALUE"""),44904.66666666667)</f>
        <v>44904.66667</v>
      </c>
      <c r="B721" s="5">
        <f>IFERROR(__xludf.DUMMYFUNCTION("""COMPUTED_VALUE"""),3680.0)</f>
        <v>3680</v>
      </c>
      <c r="C721" s="5">
        <f>IFERROR(__xludf.DUMMYFUNCTION("""COMPUTED_VALUE"""),3720.0)</f>
        <v>3720</v>
      </c>
      <c r="D721" s="5">
        <f>IFERROR(__xludf.DUMMYFUNCTION("""COMPUTED_VALUE"""),3630.0)</f>
        <v>3630</v>
      </c>
      <c r="E721" s="5">
        <f>IFERROR(__xludf.DUMMYFUNCTION("""COMPUTED_VALUE"""),3650.0)</f>
        <v>3650</v>
      </c>
      <c r="F721" s="5">
        <f>IFERROR(__xludf.DUMMYFUNCTION("""COMPUTED_VALUE"""),1.646215E8)</f>
        <v>164621500</v>
      </c>
      <c r="G721" s="5">
        <f t="shared" si="1"/>
        <v>110</v>
      </c>
    </row>
    <row r="722">
      <c r="A722" s="4">
        <f>IFERROR(__xludf.DUMMYFUNCTION("""COMPUTED_VALUE"""),44907.66666666667)</f>
        <v>44907.66667</v>
      </c>
      <c r="B722" s="5">
        <f>IFERROR(__xludf.DUMMYFUNCTION("""COMPUTED_VALUE"""),3670.0)</f>
        <v>3670</v>
      </c>
      <c r="C722" s="5">
        <f>IFERROR(__xludf.DUMMYFUNCTION("""COMPUTED_VALUE"""),3710.0)</f>
        <v>3710</v>
      </c>
      <c r="D722" s="5">
        <f>IFERROR(__xludf.DUMMYFUNCTION("""COMPUTED_VALUE"""),3640.0)</f>
        <v>3640</v>
      </c>
      <c r="E722" s="5">
        <f>IFERROR(__xludf.DUMMYFUNCTION("""COMPUTED_VALUE"""),3700.0)</f>
        <v>3700</v>
      </c>
      <c r="F722" s="5">
        <f>IFERROR(__xludf.DUMMYFUNCTION("""COMPUTED_VALUE"""),1.70545E8)</f>
        <v>170545000</v>
      </c>
      <c r="G722" s="5">
        <f t="shared" si="1"/>
        <v>70</v>
      </c>
    </row>
    <row r="723">
      <c r="A723" s="4">
        <f>IFERROR(__xludf.DUMMYFUNCTION("""COMPUTED_VALUE"""),44908.66666666667)</f>
        <v>44908.66667</v>
      </c>
      <c r="B723" s="5">
        <f>IFERROR(__xludf.DUMMYFUNCTION("""COMPUTED_VALUE"""),3690.0)</f>
        <v>3690</v>
      </c>
      <c r="C723" s="5">
        <f>IFERROR(__xludf.DUMMYFUNCTION("""COMPUTED_VALUE"""),3790.0)</f>
        <v>3790</v>
      </c>
      <c r="D723" s="5">
        <f>IFERROR(__xludf.DUMMYFUNCTION("""COMPUTED_VALUE"""),3680.0)</f>
        <v>3680</v>
      </c>
      <c r="E723" s="5">
        <f>IFERROR(__xludf.DUMMYFUNCTION("""COMPUTED_VALUE"""),3750.0)</f>
        <v>3750</v>
      </c>
      <c r="F723" s="5">
        <f>IFERROR(__xludf.DUMMYFUNCTION("""COMPUTED_VALUE"""),2.31127E8)</f>
        <v>231127000</v>
      </c>
      <c r="G723" s="5">
        <f t="shared" si="1"/>
        <v>110</v>
      </c>
    </row>
    <row r="724">
      <c r="A724" s="4">
        <f>IFERROR(__xludf.DUMMYFUNCTION("""COMPUTED_VALUE"""),44909.66666666667)</f>
        <v>44909.66667</v>
      </c>
      <c r="B724" s="5">
        <f>IFERROR(__xludf.DUMMYFUNCTION("""COMPUTED_VALUE"""),3820.0)</f>
        <v>3820</v>
      </c>
      <c r="C724" s="5">
        <f>IFERROR(__xludf.DUMMYFUNCTION("""COMPUTED_VALUE"""),3820.0)</f>
        <v>3820</v>
      </c>
      <c r="D724" s="5">
        <f>IFERROR(__xludf.DUMMYFUNCTION("""COMPUTED_VALUE"""),3740.0)</f>
        <v>3740</v>
      </c>
      <c r="E724" s="5">
        <f>IFERROR(__xludf.DUMMYFUNCTION("""COMPUTED_VALUE"""),3750.0)</f>
        <v>3750</v>
      </c>
      <c r="F724" s="5">
        <f>IFERROR(__xludf.DUMMYFUNCTION("""COMPUTED_VALUE"""),1.071757E8)</f>
        <v>107175700</v>
      </c>
      <c r="G724" s="5">
        <f t="shared" si="1"/>
        <v>80</v>
      </c>
    </row>
    <row r="725">
      <c r="A725" s="4">
        <f>IFERROR(__xludf.DUMMYFUNCTION("""COMPUTED_VALUE"""),44910.66666666667)</f>
        <v>44910.66667</v>
      </c>
      <c r="B725" s="5">
        <f>IFERROR(__xludf.DUMMYFUNCTION("""COMPUTED_VALUE"""),3680.0)</f>
        <v>3680</v>
      </c>
      <c r="C725" s="5">
        <f>IFERROR(__xludf.DUMMYFUNCTION("""COMPUTED_VALUE"""),3720.0)</f>
        <v>3720</v>
      </c>
      <c r="D725" s="5">
        <f>IFERROR(__xludf.DUMMYFUNCTION("""COMPUTED_VALUE"""),3670.0)</f>
        <v>3670</v>
      </c>
      <c r="E725" s="5">
        <f>IFERROR(__xludf.DUMMYFUNCTION("""COMPUTED_VALUE"""),3670.0)</f>
        <v>3670</v>
      </c>
      <c r="F725" s="5">
        <f>IFERROR(__xludf.DUMMYFUNCTION("""COMPUTED_VALUE"""),1.432336E8)</f>
        <v>143233600</v>
      </c>
      <c r="G725" s="5">
        <f t="shared" si="1"/>
        <v>80</v>
      </c>
    </row>
    <row r="726">
      <c r="A726" s="4">
        <f>IFERROR(__xludf.DUMMYFUNCTION("""COMPUTED_VALUE"""),44911.66666666667)</f>
        <v>44911.66667</v>
      </c>
      <c r="B726" s="5">
        <f>IFERROR(__xludf.DUMMYFUNCTION("""COMPUTED_VALUE"""),3610.0)</f>
        <v>3610</v>
      </c>
      <c r="C726" s="5">
        <f>IFERROR(__xludf.DUMMYFUNCTION("""COMPUTED_VALUE"""),3740.0)</f>
        <v>3740</v>
      </c>
      <c r="D726" s="5">
        <f>IFERROR(__xludf.DUMMYFUNCTION("""COMPUTED_VALUE"""),3610.0)</f>
        <v>3610</v>
      </c>
      <c r="E726" s="5">
        <f>IFERROR(__xludf.DUMMYFUNCTION("""COMPUTED_VALUE"""),3680.0)</f>
        <v>3680</v>
      </c>
      <c r="F726" s="5">
        <f>IFERROR(__xludf.DUMMYFUNCTION("""COMPUTED_VALUE"""),3.109445E8)</f>
        <v>310944500</v>
      </c>
      <c r="G726" s="5">
        <f t="shared" si="1"/>
        <v>130</v>
      </c>
    </row>
    <row r="727">
      <c r="A727" s="4">
        <f>IFERROR(__xludf.DUMMYFUNCTION("""COMPUTED_VALUE"""),44914.66666666667)</f>
        <v>44914.66667</v>
      </c>
      <c r="B727" s="5">
        <f>IFERROR(__xludf.DUMMYFUNCTION("""COMPUTED_VALUE"""),3740.0)</f>
        <v>3740</v>
      </c>
      <c r="C727" s="5">
        <f>IFERROR(__xludf.DUMMYFUNCTION("""COMPUTED_VALUE"""),3790.0)</f>
        <v>3790</v>
      </c>
      <c r="D727" s="5">
        <f>IFERROR(__xludf.DUMMYFUNCTION("""COMPUTED_VALUE"""),3680.0)</f>
        <v>3680</v>
      </c>
      <c r="E727" s="5">
        <f>IFERROR(__xludf.DUMMYFUNCTION("""COMPUTED_VALUE"""),3720.0)</f>
        <v>3720</v>
      </c>
      <c r="F727" s="5">
        <f>IFERROR(__xludf.DUMMYFUNCTION("""COMPUTED_VALUE"""),1.191377E8)</f>
        <v>119137700</v>
      </c>
      <c r="G727" s="5">
        <f t="shared" si="1"/>
        <v>110</v>
      </c>
    </row>
    <row r="728">
      <c r="A728" s="4">
        <f>IFERROR(__xludf.DUMMYFUNCTION("""COMPUTED_VALUE"""),44915.66666666667)</f>
        <v>44915.66667</v>
      </c>
      <c r="B728" s="5">
        <f>IFERROR(__xludf.DUMMYFUNCTION("""COMPUTED_VALUE"""),3730.0)</f>
        <v>3730</v>
      </c>
      <c r="C728" s="5">
        <f>IFERROR(__xludf.DUMMYFUNCTION("""COMPUTED_VALUE"""),3750.0)</f>
        <v>3750</v>
      </c>
      <c r="D728" s="5">
        <f>IFERROR(__xludf.DUMMYFUNCTION("""COMPUTED_VALUE"""),3700.0)</f>
        <v>3700</v>
      </c>
      <c r="E728" s="5">
        <f>IFERROR(__xludf.DUMMYFUNCTION("""COMPUTED_VALUE"""),3720.0)</f>
        <v>3720</v>
      </c>
      <c r="F728" s="5">
        <f>IFERROR(__xludf.DUMMYFUNCTION("""COMPUTED_VALUE"""),5.53513E7)</f>
        <v>55351300</v>
      </c>
      <c r="G728" s="5">
        <f t="shared" si="1"/>
        <v>50</v>
      </c>
    </row>
    <row r="729">
      <c r="A729" s="4">
        <f>IFERROR(__xludf.DUMMYFUNCTION("""COMPUTED_VALUE"""),44916.66666666667)</f>
        <v>44916.66667</v>
      </c>
      <c r="B729" s="5">
        <f>IFERROR(__xludf.DUMMYFUNCTION("""COMPUTED_VALUE"""),3690.0)</f>
        <v>3690</v>
      </c>
      <c r="C729" s="5">
        <f>IFERROR(__xludf.DUMMYFUNCTION("""COMPUTED_VALUE"""),3790.0)</f>
        <v>3790</v>
      </c>
      <c r="D729" s="5">
        <f>IFERROR(__xludf.DUMMYFUNCTION("""COMPUTED_VALUE"""),3670.0)</f>
        <v>3670</v>
      </c>
      <c r="E729" s="5">
        <f>IFERROR(__xludf.DUMMYFUNCTION("""COMPUTED_VALUE"""),3790.0)</f>
        <v>3790</v>
      </c>
      <c r="F729" s="5">
        <f>IFERROR(__xludf.DUMMYFUNCTION("""COMPUTED_VALUE"""),9.8741E7)</f>
        <v>98741000</v>
      </c>
      <c r="G729" s="5">
        <f t="shared" si="1"/>
        <v>120</v>
      </c>
    </row>
    <row r="730">
      <c r="A730" s="4">
        <f>IFERROR(__xludf.DUMMYFUNCTION("""COMPUTED_VALUE"""),44917.66666666667)</f>
        <v>44917.66667</v>
      </c>
      <c r="B730" s="5">
        <f>IFERROR(__xludf.DUMMYFUNCTION("""COMPUTED_VALUE"""),3800.0)</f>
        <v>3800</v>
      </c>
      <c r="C730" s="5">
        <f>IFERROR(__xludf.DUMMYFUNCTION("""COMPUTED_VALUE"""),3810.0)</f>
        <v>3810</v>
      </c>
      <c r="D730" s="5">
        <f>IFERROR(__xludf.DUMMYFUNCTION("""COMPUTED_VALUE"""),3740.0)</f>
        <v>3740</v>
      </c>
      <c r="E730" s="5">
        <f>IFERROR(__xludf.DUMMYFUNCTION("""COMPUTED_VALUE"""),3750.0)</f>
        <v>3750</v>
      </c>
      <c r="F730" s="5">
        <f>IFERROR(__xludf.DUMMYFUNCTION("""COMPUTED_VALUE"""),6.87021E7)</f>
        <v>68702100</v>
      </c>
      <c r="G730" s="5">
        <f t="shared" si="1"/>
        <v>70</v>
      </c>
    </row>
    <row r="731">
      <c r="A731" s="4">
        <f>IFERROR(__xludf.DUMMYFUNCTION("""COMPUTED_VALUE"""),44918.66666666667)</f>
        <v>44918.66667</v>
      </c>
      <c r="B731" s="5">
        <f>IFERROR(__xludf.DUMMYFUNCTION("""COMPUTED_VALUE"""),3710.0)</f>
        <v>3710</v>
      </c>
      <c r="C731" s="5">
        <f>IFERROR(__xludf.DUMMYFUNCTION("""COMPUTED_VALUE"""),3780.0)</f>
        <v>3780</v>
      </c>
      <c r="D731" s="5">
        <f>IFERROR(__xludf.DUMMYFUNCTION("""COMPUTED_VALUE"""),3700.0)</f>
        <v>3700</v>
      </c>
      <c r="E731" s="5">
        <f>IFERROR(__xludf.DUMMYFUNCTION("""COMPUTED_VALUE"""),3780.0)</f>
        <v>3780</v>
      </c>
      <c r="F731" s="5">
        <f>IFERROR(__xludf.DUMMYFUNCTION("""COMPUTED_VALUE"""),4.51794E7)</f>
        <v>45179400</v>
      </c>
      <c r="G731" s="5">
        <f t="shared" si="1"/>
        <v>80</v>
      </c>
    </row>
    <row r="732">
      <c r="A732" s="4">
        <f>IFERROR(__xludf.DUMMYFUNCTION("""COMPUTED_VALUE"""),44921.66666666667)</f>
        <v>44921.66667</v>
      </c>
      <c r="B732" s="5">
        <f>IFERROR(__xludf.DUMMYFUNCTION("""COMPUTED_VALUE"""),3780.0)</f>
        <v>3780</v>
      </c>
      <c r="C732" s="5">
        <f>IFERROR(__xludf.DUMMYFUNCTION("""COMPUTED_VALUE"""),3800.0)</f>
        <v>3800</v>
      </c>
      <c r="D732" s="5">
        <f>IFERROR(__xludf.DUMMYFUNCTION("""COMPUTED_VALUE"""),3730.0)</f>
        <v>3730</v>
      </c>
      <c r="E732" s="5">
        <f>IFERROR(__xludf.DUMMYFUNCTION("""COMPUTED_VALUE"""),3750.0)</f>
        <v>3750</v>
      </c>
      <c r="F732" s="5">
        <f>IFERROR(__xludf.DUMMYFUNCTION("""COMPUTED_VALUE"""),1.92167E7)</f>
        <v>19216700</v>
      </c>
      <c r="G732" s="5">
        <f t="shared" si="1"/>
        <v>70</v>
      </c>
    </row>
    <row r="733">
      <c r="A733" s="4">
        <f>IFERROR(__xludf.DUMMYFUNCTION("""COMPUTED_VALUE"""),44922.66666666667)</f>
        <v>44922.66667</v>
      </c>
      <c r="B733" s="5">
        <f>IFERROR(__xludf.DUMMYFUNCTION("""COMPUTED_VALUE"""),3770.0)</f>
        <v>3770</v>
      </c>
      <c r="C733" s="5">
        <f>IFERROR(__xludf.DUMMYFUNCTION("""COMPUTED_VALUE"""),3840.0)</f>
        <v>3840</v>
      </c>
      <c r="D733" s="5">
        <f>IFERROR(__xludf.DUMMYFUNCTION("""COMPUTED_VALUE"""),3750.0)</f>
        <v>3750</v>
      </c>
      <c r="E733" s="5">
        <f>IFERROR(__xludf.DUMMYFUNCTION("""COMPUTED_VALUE"""),3810.0)</f>
        <v>3810</v>
      </c>
      <c r="F733" s="5">
        <f>IFERROR(__xludf.DUMMYFUNCTION("""COMPUTED_VALUE"""),4.98165E7)</f>
        <v>49816500</v>
      </c>
      <c r="G733" s="5">
        <f t="shared" si="1"/>
        <v>90</v>
      </c>
    </row>
    <row r="734">
      <c r="A734" s="4">
        <f>IFERROR(__xludf.DUMMYFUNCTION("""COMPUTED_VALUE"""),44923.66666666667)</f>
        <v>44923.66667</v>
      </c>
      <c r="B734" s="5">
        <f>IFERROR(__xludf.DUMMYFUNCTION("""COMPUTED_VALUE"""),3800.0)</f>
        <v>3800</v>
      </c>
      <c r="C734" s="5">
        <f>IFERROR(__xludf.DUMMYFUNCTION("""COMPUTED_VALUE"""),3810.0)</f>
        <v>3810</v>
      </c>
      <c r="D734" s="5">
        <f>IFERROR(__xludf.DUMMYFUNCTION("""COMPUTED_VALUE"""),3710.0)</f>
        <v>3710</v>
      </c>
      <c r="E734" s="5">
        <f>IFERROR(__xludf.DUMMYFUNCTION("""COMPUTED_VALUE"""),3730.0)</f>
        <v>3730</v>
      </c>
      <c r="F734" s="5">
        <f>IFERROR(__xludf.DUMMYFUNCTION("""COMPUTED_VALUE"""),6.50063E7)</f>
        <v>65006300</v>
      </c>
      <c r="G734" s="5">
        <f t="shared" si="1"/>
        <v>100</v>
      </c>
    </row>
    <row r="735">
      <c r="A735" s="4">
        <f>IFERROR(__xludf.DUMMYFUNCTION("""COMPUTED_VALUE"""),44924.66666666667)</f>
        <v>44924.66667</v>
      </c>
      <c r="B735" s="5">
        <f>IFERROR(__xludf.DUMMYFUNCTION("""COMPUTED_VALUE"""),3720.0)</f>
        <v>3720</v>
      </c>
      <c r="C735" s="5">
        <f>IFERROR(__xludf.DUMMYFUNCTION("""COMPUTED_VALUE"""),3790.0)</f>
        <v>3790</v>
      </c>
      <c r="D735" s="5">
        <f>IFERROR(__xludf.DUMMYFUNCTION("""COMPUTED_VALUE"""),3710.0)</f>
        <v>3710</v>
      </c>
      <c r="E735" s="5">
        <f>IFERROR(__xludf.DUMMYFUNCTION("""COMPUTED_VALUE"""),3780.0)</f>
        <v>3780</v>
      </c>
      <c r="F735" s="5">
        <f>IFERROR(__xludf.DUMMYFUNCTION("""COMPUTED_VALUE"""),5.17035E7)</f>
        <v>51703500</v>
      </c>
      <c r="G735" s="5">
        <f t="shared" si="1"/>
        <v>80</v>
      </c>
    </row>
    <row r="736">
      <c r="A736" s="4">
        <f>IFERROR(__xludf.DUMMYFUNCTION("""COMPUTED_VALUE"""),44925.66666666667)</f>
        <v>44925.66667</v>
      </c>
      <c r="B736" s="5">
        <f>IFERROR(__xludf.DUMMYFUNCTION("""COMPUTED_VALUE"""),3760.0)</f>
        <v>3760</v>
      </c>
      <c r="C736" s="5">
        <f>IFERROR(__xludf.DUMMYFUNCTION("""COMPUTED_VALUE"""),3800.0)</f>
        <v>3800</v>
      </c>
      <c r="D736" s="5">
        <f>IFERROR(__xludf.DUMMYFUNCTION("""COMPUTED_VALUE"""),3750.0)</f>
        <v>3750</v>
      </c>
      <c r="E736" s="5">
        <f>IFERROR(__xludf.DUMMYFUNCTION("""COMPUTED_VALUE"""),3750.0)</f>
        <v>3750</v>
      </c>
      <c r="F736" s="5">
        <f>IFERROR(__xludf.DUMMYFUNCTION("""COMPUTED_VALUE"""),7.96773E7)</f>
        <v>79677300</v>
      </c>
      <c r="G736" s="5">
        <f t="shared" si="1"/>
        <v>50</v>
      </c>
    </row>
    <row r="737">
      <c r="A737" s="4">
        <f>IFERROR(__xludf.DUMMYFUNCTION("""COMPUTED_VALUE"""),44928.66666666667)</f>
        <v>44928.66667</v>
      </c>
      <c r="B737" s="5">
        <f>IFERROR(__xludf.DUMMYFUNCTION("""COMPUTED_VALUE"""),3750.0)</f>
        <v>3750</v>
      </c>
      <c r="C737" s="5">
        <f>IFERROR(__xludf.DUMMYFUNCTION("""COMPUTED_VALUE"""),3800.0)</f>
        <v>3800</v>
      </c>
      <c r="D737" s="5">
        <f>IFERROR(__xludf.DUMMYFUNCTION("""COMPUTED_VALUE"""),3750.0)</f>
        <v>3750</v>
      </c>
      <c r="E737" s="5">
        <f>IFERROR(__xludf.DUMMYFUNCTION("""COMPUTED_VALUE"""),3800.0)</f>
        <v>3800</v>
      </c>
      <c r="F737" s="5">
        <f>IFERROR(__xludf.DUMMYFUNCTION("""COMPUTED_VALUE"""),7959900.0)</f>
        <v>7959900</v>
      </c>
      <c r="G737" s="5">
        <f t="shared" si="1"/>
        <v>50</v>
      </c>
    </row>
    <row r="738">
      <c r="A738" s="4">
        <f>IFERROR(__xludf.DUMMYFUNCTION("""COMPUTED_VALUE"""),44929.66666666667)</f>
        <v>44929.66667</v>
      </c>
      <c r="B738" s="5">
        <f>IFERROR(__xludf.DUMMYFUNCTION("""COMPUTED_VALUE"""),3790.0)</f>
        <v>3790</v>
      </c>
      <c r="C738" s="5">
        <f>IFERROR(__xludf.DUMMYFUNCTION("""COMPUTED_VALUE"""),3890.0)</f>
        <v>3890</v>
      </c>
      <c r="D738" s="5">
        <f>IFERROR(__xludf.DUMMYFUNCTION("""COMPUTED_VALUE"""),3770.0)</f>
        <v>3770</v>
      </c>
      <c r="E738" s="5">
        <f>IFERROR(__xludf.DUMMYFUNCTION("""COMPUTED_VALUE"""),3860.0)</f>
        <v>3860</v>
      </c>
      <c r="F738" s="5">
        <f>IFERROR(__xludf.DUMMYFUNCTION("""COMPUTED_VALUE"""),6.4235E7)</f>
        <v>64235000</v>
      </c>
      <c r="G738" s="5">
        <f t="shared" si="1"/>
        <v>120</v>
      </c>
    </row>
    <row r="739">
      <c r="A739" s="4">
        <f>IFERROR(__xludf.DUMMYFUNCTION("""COMPUTED_VALUE"""),44930.66666666667)</f>
        <v>44930.66667</v>
      </c>
      <c r="B739" s="5">
        <f>IFERROR(__xludf.DUMMYFUNCTION("""COMPUTED_VALUE"""),3840.0)</f>
        <v>3840</v>
      </c>
      <c r="C739" s="5">
        <f>IFERROR(__xludf.DUMMYFUNCTION("""COMPUTED_VALUE"""),3860.0)</f>
        <v>3860</v>
      </c>
      <c r="D739" s="5">
        <f>IFERROR(__xludf.DUMMYFUNCTION("""COMPUTED_VALUE"""),3810.0)</f>
        <v>3810</v>
      </c>
      <c r="E739" s="5">
        <f>IFERROR(__xludf.DUMMYFUNCTION("""COMPUTED_VALUE"""),3820.0)</f>
        <v>3820</v>
      </c>
      <c r="F739" s="5">
        <f>IFERROR(__xludf.DUMMYFUNCTION("""COMPUTED_VALUE"""),5.67856E7)</f>
        <v>56785600</v>
      </c>
      <c r="G739" s="5">
        <f t="shared" si="1"/>
        <v>50</v>
      </c>
    </row>
    <row r="740">
      <c r="A740" s="4">
        <f>IFERROR(__xludf.DUMMYFUNCTION("""COMPUTED_VALUE"""),44931.66666666667)</f>
        <v>44931.66667</v>
      </c>
      <c r="B740" s="5">
        <f>IFERROR(__xludf.DUMMYFUNCTION("""COMPUTED_VALUE"""),3800.0)</f>
        <v>3800</v>
      </c>
      <c r="C740" s="5">
        <f>IFERROR(__xludf.DUMMYFUNCTION("""COMPUTED_VALUE"""),3820.0)</f>
        <v>3820</v>
      </c>
      <c r="D740" s="5">
        <f>IFERROR(__xludf.DUMMYFUNCTION("""COMPUTED_VALUE"""),3720.0)</f>
        <v>3720</v>
      </c>
      <c r="E740" s="5">
        <f>IFERROR(__xludf.DUMMYFUNCTION("""COMPUTED_VALUE"""),3770.0)</f>
        <v>3770</v>
      </c>
      <c r="F740" s="5">
        <f>IFERROR(__xludf.DUMMYFUNCTION("""COMPUTED_VALUE"""),1.35167E8)</f>
        <v>135167000</v>
      </c>
      <c r="G740" s="5">
        <f t="shared" si="1"/>
        <v>100</v>
      </c>
    </row>
    <row r="741">
      <c r="A741" s="4">
        <f>IFERROR(__xludf.DUMMYFUNCTION("""COMPUTED_VALUE"""),44932.66666666667)</f>
        <v>44932.66667</v>
      </c>
      <c r="B741" s="5">
        <f>IFERROR(__xludf.DUMMYFUNCTION("""COMPUTED_VALUE"""),3750.0)</f>
        <v>3750</v>
      </c>
      <c r="C741" s="5">
        <f>IFERROR(__xludf.DUMMYFUNCTION("""COMPUTED_VALUE"""),3770.0)</f>
        <v>3770</v>
      </c>
      <c r="D741" s="5">
        <f>IFERROR(__xludf.DUMMYFUNCTION("""COMPUTED_VALUE"""),3710.0)</f>
        <v>3710</v>
      </c>
      <c r="E741" s="5">
        <f>IFERROR(__xludf.DUMMYFUNCTION("""COMPUTED_VALUE"""),3710.0)</f>
        <v>3710</v>
      </c>
      <c r="F741" s="5">
        <f>IFERROR(__xludf.DUMMYFUNCTION("""COMPUTED_VALUE"""),6.52074E7)</f>
        <v>65207400</v>
      </c>
      <c r="G741" s="5">
        <f t="shared" si="1"/>
        <v>60</v>
      </c>
    </row>
    <row r="742">
      <c r="A742" s="4">
        <f>IFERROR(__xludf.DUMMYFUNCTION("""COMPUTED_VALUE"""),44935.66666666667)</f>
        <v>44935.66667</v>
      </c>
      <c r="B742" s="5">
        <f>IFERROR(__xludf.DUMMYFUNCTION("""COMPUTED_VALUE"""),3730.0)</f>
        <v>3730</v>
      </c>
      <c r="C742" s="5">
        <f>IFERROR(__xludf.DUMMYFUNCTION("""COMPUTED_VALUE"""),3790.0)</f>
        <v>3790</v>
      </c>
      <c r="D742" s="5">
        <f>IFERROR(__xludf.DUMMYFUNCTION("""COMPUTED_VALUE"""),3730.0)</f>
        <v>3730</v>
      </c>
      <c r="E742" s="5">
        <f>IFERROR(__xludf.DUMMYFUNCTION("""COMPUTED_VALUE"""),3790.0)</f>
        <v>3790</v>
      </c>
      <c r="F742" s="5">
        <f>IFERROR(__xludf.DUMMYFUNCTION("""COMPUTED_VALUE"""),4.66164E7)</f>
        <v>46616400</v>
      </c>
      <c r="G742" s="5">
        <f t="shared" si="1"/>
        <v>80</v>
      </c>
    </row>
    <row r="743">
      <c r="A743" s="4">
        <f>IFERROR(__xludf.DUMMYFUNCTION("""COMPUTED_VALUE"""),44936.66666666667)</f>
        <v>44936.66667</v>
      </c>
      <c r="B743" s="5">
        <f>IFERROR(__xludf.DUMMYFUNCTION("""COMPUTED_VALUE"""),3810.0)</f>
        <v>3810</v>
      </c>
      <c r="C743" s="5">
        <f>IFERROR(__xludf.DUMMYFUNCTION("""COMPUTED_VALUE"""),3850.0)</f>
        <v>3850</v>
      </c>
      <c r="D743" s="5">
        <f>IFERROR(__xludf.DUMMYFUNCTION("""COMPUTED_VALUE"""),3750.0)</f>
        <v>3750</v>
      </c>
      <c r="E743" s="5">
        <f>IFERROR(__xludf.DUMMYFUNCTION("""COMPUTED_VALUE"""),3830.0)</f>
        <v>3830</v>
      </c>
      <c r="F743" s="5">
        <f>IFERROR(__xludf.DUMMYFUNCTION("""COMPUTED_VALUE"""),8.00099E7)</f>
        <v>80009900</v>
      </c>
      <c r="G743" s="5">
        <f t="shared" si="1"/>
        <v>100</v>
      </c>
    </row>
    <row r="744">
      <c r="A744" s="4">
        <f>IFERROR(__xludf.DUMMYFUNCTION("""COMPUTED_VALUE"""),44937.66666666667)</f>
        <v>44937.66667</v>
      </c>
      <c r="B744" s="5">
        <f>IFERROR(__xludf.DUMMYFUNCTION("""COMPUTED_VALUE"""),3820.0)</f>
        <v>3820</v>
      </c>
      <c r="C744" s="5">
        <f>IFERROR(__xludf.DUMMYFUNCTION("""COMPUTED_VALUE"""),3900.0)</f>
        <v>3900</v>
      </c>
      <c r="D744" s="5">
        <f>IFERROR(__xludf.DUMMYFUNCTION("""COMPUTED_VALUE"""),3790.0)</f>
        <v>3790</v>
      </c>
      <c r="E744" s="5">
        <f>IFERROR(__xludf.DUMMYFUNCTION("""COMPUTED_VALUE"""),3870.0)</f>
        <v>3870</v>
      </c>
      <c r="F744" s="5">
        <f>IFERROR(__xludf.DUMMYFUNCTION("""COMPUTED_VALUE"""),7.51393E7)</f>
        <v>75139300</v>
      </c>
      <c r="G744" s="5">
        <f t="shared" si="1"/>
        <v>110</v>
      </c>
    </row>
    <row r="745">
      <c r="A745" s="4">
        <f>IFERROR(__xludf.DUMMYFUNCTION("""COMPUTED_VALUE"""),44938.66666666667)</f>
        <v>44938.66667</v>
      </c>
      <c r="B745" s="5">
        <f>IFERROR(__xludf.DUMMYFUNCTION("""COMPUTED_VALUE"""),3790.0)</f>
        <v>3790</v>
      </c>
      <c r="C745" s="5">
        <f>IFERROR(__xludf.DUMMYFUNCTION("""COMPUTED_VALUE"""),3900.0)</f>
        <v>3900</v>
      </c>
      <c r="D745" s="5">
        <f>IFERROR(__xludf.DUMMYFUNCTION("""COMPUTED_VALUE"""),3780.0)</f>
        <v>3780</v>
      </c>
      <c r="E745" s="5">
        <f>IFERROR(__xludf.DUMMYFUNCTION("""COMPUTED_VALUE"""),3860.0)</f>
        <v>3860</v>
      </c>
      <c r="F745" s="5">
        <f>IFERROR(__xludf.DUMMYFUNCTION("""COMPUTED_VALUE"""),1.057755E8)</f>
        <v>105775500</v>
      </c>
      <c r="G745" s="5">
        <f t="shared" si="1"/>
        <v>120</v>
      </c>
    </row>
    <row r="746">
      <c r="A746" s="4">
        <f>IFERROR(__xludf.DUMMYFUNCTION("""COMPUTED_VALUE"""),44939.66666666667)</f>
        <v>44939.66667</v>
      </c>
      <c r="B746" s="5">
        <f>IFERROR(__xludf.DUMMYFUNCTION("""COMPUTED_VALUE"""),3820.0)</f>
        <v>3820</v>
      </c>
      <c r="C746" s="5">
        <f>IFERROR(__xludf.DUMMYFUNCTION("""COMPUTED_VALUE"""),3860.0)</f>
        <v>3860</v>
      </c>
      <c r="D746" s="5">
        <f>IFERROR(__xludf.DUMMYFUNCTION("""COMPUTED_VALUE"""),3770.0)</f>
        <v>3770</v>
      </c>
      <c r="E746" s="5">
        <f>IFERROR(__xludf.DUMMYFUNCTION("""COMPUTED_VALUE"""),3780.0)</f>
        <v>3780</v>
      </c>
      <c r="F746" s="5">
        <f>IFERROR(__xludf.DUMMYFUNCTION("""COMPUTED_VALUE"""),8.57806E7)</f>
        <v>85780600</v>
      </c>
      <c r="G746" s="5">
        <f t="shared" si="1"/>
        <v>90</v>
      </c>
    </row>
    <row r="747">
      <c r="A747" s="4">
        <f>IFERROR(__xludf.DUMMYFUNCTION("""COMPUTED_VALUE"""),44942.66666666667)</f>
        <v>44942.66667</v>
      </c>
      <c r="B747" s="5">
        <f>IFERROR(__xludf.DUMMYFUNCTION("""COMPUTED_VALUE"""),3780.0)</f>
        <v>3780</v>
      </c>
      <c r="C747" s="5">
        <f>IFERROR(__xludf.DUMMYFUNCTION("""COMPUTED_VALUE"""),3850.0)</f>
        <v>3850</v>
      </c>
      <c r="D747" s="5">
        <f>IFERROR(__xludf.DUMMYFUNCTION("""COMPUTED_VALUE"""),3780.0)</f>
        <v>3780</v>
      </c>
      <c r="E747" s="5">
        <f>IFERROR(__xludf.DUMMYFUNCTION("""COMPUTED_VALUE"""),3850.0)</f>
        <v>3850</v>
      </c>
      <c r="F747" s="5">
        <f>IFERROR(__xludf.DUMMYFUNCTION("""COMPUTED_VALUE"""),5.89187E7)</f>
        <v>58918700</v>
      </c>
      <c r="G747" s="5">
        <f t="shared" si="1"/>
        <v>70</v>
      </c>
    </row>
    <row r="748">
      <c r="A748" s="4">
        <f>IFERROR(__xludf.DUMMYFUNCTION("""COMPUTED_VALUE"""),44943.66666666667)</f>
        <v>44943.66667</v>
      </c>
      <c r="B748" s="5">
        <f>IFERROR(__xludf.DUMMYFUNCTION("""COMPUTED_VALUE"""),3870.0)</f>
        <v>3870</v>
      </c>
      <c r="C748" s="5">
        <f>IFERROR(__xludf.DUMMYFUNCTION("""COMPUTED_VALUE"""),3990.0)</f>
        <v>3990</v>
      </c>
      <c r="D748" s="5">
        <f>IFERROR(__xludf.DUMMYFUNCTION("""COMPUTED_VALUE"""),3860.0)</f>
        <v>3860</v>
      </c>
      <c r="E748" s="5">
        <f>IFERROR(__xludf.DUMMYFUNCTION("""COMPUTED_VALUE"""),3950.0)</f>
        <v>3950</v>
      </c>
      <c r="F748" s="5">
        <f>IFERROR(__xludf.DUMMYFUNCTION("""COMPUTED_VALUE"""),1.322566E8)</f>
        <v>132256600</v>
      </c>
      <c r="G748" s="5">
        <f t="shared" si="1"/>
        <v>140</v>
      </c>
    </row>
    <row r="749">
      <c r="A749" s="4">
        <f>IFERROR(__xludf.DUMMYFUNCTION("""COMPUTED_VALUE"""),44944.66666666667)</f>
        <v>44944.66667</v>
      </c>
      <c r="B749" s="5">
        <f>IFERROR(__xludf.DUMMYFUNCTION("""COMPUTED_VALUE"""),4010.0)</f>
        <v>4010</v>
      </c>
      <c r="C749" s="5">
        <f>IFERROR(__xludf.DUMMYFUNCTION("""COMPUTED_VALUE"""),4010.0)</f>
        <v>4010</v>
      </c>
      <c r="D749" s="5">
        <f>IFERROR(__xludf.DUMMYFUNCTION("""COMPUTED_VALUE"""),3900.0)</f>
        <v>3900</v>
      </c>
      <c r="E749" s="5">
        <f>IFERROR(__xludf.DUMMYFUNCTION("""COMPUTED_VALUE"""),3930.0)</f>
        <v>3930</v>
      </c>
      <c r="F749" s="5">
        <f>IFERROR(__xludf.DUMMYFUNCTION("""COMPUTED_VALUE"""),9.4772E7)</f>
        <v>94772000</v>
      </c>
      <c r="G749" s="5">
        <f t="shared" si="1"/>
        <v>110</v>
      </c>
    </row>
    <row r="750">
      <c r="A750" s="4">
        <f>IFERROR(__xludf.DUMMYFUNCTION("""COMPUTED_VALUE"""),44945.66666666667)</f>
        <v>44945.66667</v>
      </c>
      <c r="B750" s="5">
        <f>IFERROR(__xludf.DUMMYFUNCTION("""COMPUTED_VALUE"""),3900.0)</f>
        <v>3900</v>
      </c>
      <c r="C750" s="5">
        <f>IFERROR(__xludf.DUMMYFUNCTION("""COMPUTED_VALUE"""),3980.0)</f>
        <v>3980</v>
      </c>
      <c r="D750" s="5">
        <f>IFERROR(__xludf.DUMMYFUNCTION("""COMPUTED_VALUE"""),3880.0)</f>
        <v>3880</v>
      </c>
      <c r="E750" s="5">
        <f>IFERROR(__xludf.DUMMYFUNCTION("""COMPUTED_VALUE"""),3890.0)</f>
        <v>3890</v>
      </c>
      <c r="F750" s="5">
        <f>IFERROR(__xludf.DUMMYFUNCTION("""COMPUTED_VALUE"""),1.095552E8)</f>
        <v>109555200</v>
      </c>
      <c r="G750" s="5">
        <f t="shared" si="1"/>
        <v>100</v>
      </c>
    </row>
    <row r="751">
      <c r="A751" s="4">
        <f>IFERROR(__xludf.DUMMYFUNCTION("""COMPUTED_VALUE"""),44946.66666666667)</f>
        <v>44946.66667</v>
      </c>
      <c r="B751" s="5">
        <f>IFERROR(__xludf.DUMMYFUNCTION("""COMPUTED_VALUE"""),3910.0)</f>
        <v>3910</v>
      </c>
      <c r="C751" s="5">
        <f>IFERROR(__xludf.DUMMYFUNCTION("""COMPUTED_VALUE"""),3920.0)</f>
        <v>3920</v>
      </c>
      <c r="D751" s="5">
        <f>IFERROR(__xludf.DUMMYFUNCTION("""COMPUTED_VALUE"""),3850.0)</f>
        <v>3850</v>
      </c>
      <c r="E751" s="5">
        <f>IFERROR(__xludf.DUMMYFUNCTION("""COMPUTED_VALUE"""),3870.0)</f>
        <v>3870</v>
      </c>
      <c r="F751" s="5">
        <f>IFERROR(__xludf.DUMMYFUNCTION("""COMPUTED_VALUE"""),8.84578E7)</f>
        <v>88457800</v>
      </c>
      <c r="G751" s="5">
        <f t="shared" si="1"/>
        <v>70</v>
      </c>
    </row>
    <row r="752">
      <c r="A752" s="4">
        <f>IFERROR(__xludf.DUMMYFUNCTION("""COMPUTED_VALUE"""),44950.66666666667)</f>
        <v>44950.66667</v>
      </c>
      <c r="B752" s="5">
        <f>IFERROR(__xludf.DUMMYFUNCTION("""COMPUTED_VALUE"""),3890.0)</f>
        <v>3890</v>
      </c>
      <c r="C752" s="5">
        <f>IFERROR(__xludf.DUMMYFUNCTION("""COMPUTED_VALUE"""),3910.0)</f>
        <v>3910</v>
      </c>
      <c r="D752" s="5">
        <f>IFERROR(__xludf.DUMMYFUNCTION("""COMPUTED_VALUE"""),3850.0)</f>
        <v>3850</v>
      </c>
      <c r="E752" s="5">
        <f>IFERROR(__xludf.DUMMYFUNCTION("""COMPUTED_VALUE"""),3850.0)</f>
        <v>3850</v>
      </c>
      <c r="F752" s="5">
        <f>IFERROR(__xludf.DUMMYFUNCTION("""COMPUTED_VALUE"""),4.55049E7)</f>
        <v>45504900</v>
      </c>
      <c r="G752" s="5">
        <f t="shared" si="1"/>
        <v>60</v>
      </c>
    </row>
    <row r="753">
      <c r="A753" s="4">
        <f>IFERROR(__xludf.DUMMYFUNCTION("""COMPUTED_VALUE"""),44951.66666666667)</f>
        <v>44951.66667</v>
      </c>
      <c r="B753" s="5">
        <f>IFERROR(__xludf.DUMMYFUNCTION("""COMPUTED_VALUE"""),3850.0)</f>
        <v>3850</v>
      </c>
      <c r="C753" s="5">
        <f>IFERROR(__xludf.DUMMYFUNCTION("""COMPUTED_VALUE"""),3880.0)</f>
        <v>3880</v>
      </c>
      <c r="D753" s="5">
        <f>IFERROR(__xludf.DUMMYFUNCTION("""COMPUTED_VALUE"""),3810.0)</f>
        <v>3810</v>
      </c>
      <c r="E753" s="5">
        <f>IFERROR(__xludf.DUMMYFUNCTION("""COMPUTED_VALUE"""),3840.0)</f>
        <v>3840</v>
      </c>
      <c r="F753" s="5">
        <f>IFERROR(__xludf.DUMMYFUNCTION("""COMPUTED_VALUE"""),8.05751E7)</f>
        <v>80575100</v>
      </c>
      <c r="G753" s="5">
        <f t="shared" si="1"/>
        <v>70</v>
      </c>
    </row>
    <row r="754">
      <c r="A754" s="4">
        <f>IFERROR(__xludf.DUMMYFUNCTION("""COMPUTED_VALUE"""),44952.66666666667)</f>
        <v>44952.66667</v>
      </c>
      <c r="B754" s="5">
        <f>IFERROR(__xludf.DUMMYFUNCTION("""COMPUTED_VALUE"""),3850.0)</f>
        <v>3850</v>
      </c>
      <c r="C754" s="5">
        <f>IFERROR(__xludf.DUMMYFUNCTION("""COMPUTED_VALUE"""),4000.0)</f>
        <v>4000</v>
      </c>
      <c r="D754" s="5">
        <f>IFERROR(__xludf.DUMMYFUNCTION("""COMPUTED_VALUE"""),3850.0)</f>
        <v>3850</v>
      </c>
      <c r="E754" s="5">
        <f>IFERROR(__xludf.DUMMYFUNCTION("""COMPUTED_VALUE"""),3970.0)</f>
        <v>3970</v>
      </c>
      <c r="F754" s="5">
        <f>IFERROR(__xludf.DUMMYFUNCTION("""COMPUTED_VALUE"""),1.17238E8)</f>
        <v>117238000</v>
      </c>
      <c r="G754" s="5">
        <f t="shared" si="1"/>
        <v>160</v>
      </c>
    </row>
    <row r="755">
      <c r="A755" s="4">
        <f>IFERROR(__xludf.DUMMYFUNCTION("""COMPUTED_VALUE"""),44953.66666666667)</f>
        <v>44953.66667</v>
      </c>
      <c r="B755" s="5">
        <f>IFERROR(__xludf.DUMMYFUNCTION("""COMPUTED_VALUE"""),3970.0)</f>
        <v>3970</v>
      </c>
      <c r="C755" s="5">
        <f>IFERROR(__xludf.DUMMYFUNCTION("""COMPUTED_VALUE"""),3990.0)</f>
        <v>3990</v>
      </c>
      <c r="D755" s="5">
        <f>IFERROR(__xludf.DUMMYFUNCTION("""COMPUTED_VALUE"""),3950.0)</f>
        <v>3950</v>
      </c>
      <c r="E755" s="5">
        <f>IFERROR(__xludf.DUMMYFUNCTION("""COMPUTED_VALUE"""),3960.0)</f>
        <v>3960</v>
      </c>
      <c r="F755" s="5">
        <f>IFERROR(__xludf.DUMMYFUNCTION("""COMPUTED_VALUE"""),1.007695E8)</f>
        <v>100769500</v>
      </c>
      <c r="G755" s="5">
        <f t="shared" si="1"/>
        <v>40</v>
      </c>
    </row>
    <row r="756">
      <c r="A756" s="4">
        <f>IFERROR(__xludf.DUMMYFUNCTION("""COMPUTED_VALUE"""),44956.66666666667)</f>
        <v>44956.66667</v>
      </c>
      <c r="B756" s="5">
        <f>IFERROR(__xludf.DUMMYFUNCTION("""COMPUTED_VALUE"""),3960.0)</f>
        <v>3960</v>
      </c>
      <c r="C756" s="5">
        <f>IFERROR(__xludf.DUMMYFUNCTION("""COMPUTED_VALUE"""),3970.0)</f>
        <v>3970</v>
      </c>
      <c r="D756" s="5">
        <f>IFERROR(__xludf.DUMMYFUNCTION("""COMPUTED_VALUE"""),3910.0)</f>
        <v>3910</v>
      </c>
      <c r="E756" s="5">
        <f>IFERROR(__xludf.DUMMYFUNCTION("""COMPUTED_VALUE"""),3960.0)</f>
        <v>3960</v>
      </c>
      <c r="F756" s="5">
        <f>IFERROR(__xludf.DUMMYFUNCTION("""COMPUTED_VALUE"""),5.94253E7)</f>
        <v>59425300</v>
      </c>
      <c r="G756" s="5">
        <f t="shared" si="1"/>
        <v>60</v>
      </c>
    </row>
    <row r="757">
      <c r="A757" s="4">
        <f>IFERROR(__xludf.DUMMYFUNCTION("""COMPUTED_VALUE"""),44957.66666666667)</f>
        <v>44957.66667</v>
      </c>
      <c r="B757" s="5">
        <f>IFERROR(__xludf.DUMMYFUNCTION("""COMPUTED_VALUE"""),3940.0)</f>
        <v>3940</v>
      </c>
      <c r="C757" s="5">
        <f>IFERROR(__xludf.DUMMYFUNCTION("""COMPUTED_VALUE"""),3950.0)</f>
        <v>3950</v>
      </c>
      <c r="D757" s="5">
        <f>IFERROR(__xludf.DUMMYFUNCTION("""COMPUTED_VALUE"""),3850.0)</f>
        <v>3850</v>
      </c>
      <c r="E757" s="5">
        <f>IFERROR(__xludf.DUMMYFUNCTION("""COMPUTED_VALUE"""),3850.0)</f>
        <v>3850</v>
      </c>
      <c r="F757" s="5">
        <f>IFERROR(__xludf.DUMMYFUNCTION("""COMPUTED_VALUE"""),1.797267E8)</f>
        <v>179726700</v>
      </c>
      <c r="G757" s="5">
        <f t="shared" si="1"/>
        <v>110</v>
      </c>
    </row>
    <row r="758">
      <c r="A758" s="4">
        <f>IFERROR(__xludf.DUMMYFUNCTION("""COMPUTED_VALUE"""),44958.66666666667)</f>
        <v>44958.66667</v>
      </c>
      <c r="B758" s="5">
        <f>IFERROR(__xludf.DUMMYFUNCTION("""COMPUTED_VALUE"""),3850.0)</f>
        <v>3850</v>
      </c>
      <c r="C758" s="5">
        <f>IFERROR(__xludf.DUMMYFUNCTION("""COMPUTED_VALUE"""),3900.0)</f>
        <v>3900</v>
      </c>
      <c r="D758" s="5">
        <f>IFERROR(__xludf.DUMMYFUNCTION("""COMPUTED_VALUE"""),3840.0)</f>
        <v>3840</v>
      </c>
      <c r="E758" s="5">
        <f>IFERROR(__xludf.DUMMYFUNCTION("""COMPUTED_VALUE"""),3870.0)</f>
        <v>3870</v>
      </c>
      <c r="F758" s="5">
        <f>IFERROR(__xludf.DUMMYFUNCTION("""COMPUTED_VALUE"""),7.09973E7)</f>
        <v>70997300</v>
      </c>
      <c r="G758" s="5">
        <f t="shared" si="1"/>
        <v>60</v>
      </c>
    </row>
    <row r="759">
      <c r="A759" s="4">
        <f>IFERROR(__xludf.DUMMYFUNCTION("""COMPUTED_VALUE"""),44959.66666666667)</f>
        <v>44959.66667</v>
      </c>
      <c r="B759" s="5">
        <f>IFERROR(__xludf.DUMMYFUNCTION("""COMPUTED_VALUE"""),3850.0)</f>
        <v>3850</v>
      </c>
      <c r="C759" s="5">
        <f>IFERROR(__xludf.DUMMYFUNCTION("""COMPUTED_VALUE"""),3900.0)</f>
        <v>3900</v>
      </c>
      <c r="D759" s="5">
        <f>IFERROR(__xludf.DUMMYFUNCTION("""COMPUTED_VALUE"""),3840.0)</f>
        <v>3840</v>
      </c>
      <c r="E759" s="5">
        <f>IFERROR(__xludf.DUMMYFUNCTION("""COMPUTED_VALUE"""),3890.0)</f>
        <v>3890</v>
      </c>
      <c r="F759" s="5">
        <f>IFERROR(__xludf.DUMMYFUNCTION("""COMPUTED_VALUE"""),7.88523E7)</f>
        <v>78852300</v>
      </c>
      <c r="G759" s="5">
        <f t="shared" si="1"/>
        <v>60</v>
      </c>
    </row>
    <row r="760">
      <c r="A760" s="4">
        <f>IFERROR(__xludf.DUMMYFUNCTION("""COMPUTED_VALUE"""),44960.66666666667)</f>
        <v>44960.66667</v>
      </c>
      <c r="B760" s="5">
        <f>IFERROR(__xludf.DUMMYFUNCTION("""COMPUTED_VALUE"""),3910.0)</f>
        <v>3910</v>
      </c>
      <c r="C760" s="5">
        <f>IFERROR(__xludf.DUMMYFUNCTION("""COMPUTED_VALUE"""),3920.0)</f>
        <v>3920</v>
      </c>
      <c r="D760" s="5">
        <f>IFERROR(__xludf.DUMMYFUNCTION("""COMPUTED_VALUE"""),3870.0)</f>
        <v>3870</v>
      </c>
      <c r="E760" s="5">
        <f>IFERROR(__xludf.DUMMYFUNCTION("""COMPUTED_VALUE"""),3880.0)</f>
        <v>3880</v>
      </c>
      <c r="F760" s="5">
        <f>IFERROR(__xludf.DUMMYFUNCTION("""COMPUTED_VALUE"""),5.51548E7)</f>
        <v>55154800</v>
      </c>
      <c r="G760" s="5">
        <f t="shared" si="1"/>
        <v>50</v>
      </c>
    </row>
    <row r="761">
      <c r="A761" s="4">
        <f>IFERROR(__xludf.DUMMYFUNCTION("""COMPUTED_VALUE"""),44963.66666666667)</f>
        <v>44963.66667</v>
      </c>
      <c r="B761" s="5">
        <f>IFERROR(__xludf.DUMMYFUNCTION("""COMPUTED_VALUE"""),3860.0)</f>
        <v>3860</v>
      </c>
      <c r="C761" s="5">
        <f>IFERROR(__xludf.DUMMYFUNCTION("""COMPUTED_VALUE"""),3910.0)</f>
        <v>3910</v>
      </c>
      <c r="D761" s="5">
        <f>IFERROR(__xludf.DUMMYFUNCTION("""COMPUTED_VALUE"""),3850.0)</f>
        <v>3850</v>
      </c>
      <c r="E761" s="5">
        <f>IFERROR(__xludf.DUMMYFUNCTION("""COMPUTED_VALUE"""),3880.0)</f>
        <v>3880</v>
      </c>
      <c r="F761" s="5">
        <f>IFERROR(__xludf.DUMMYFUNCTION("""COMPUTED_VALUE"""),5.88613E7)</f>
        <v>58861300</v>
      </c>
      <c r="G761" s="5">
        <f t="shared" si="1"/>
        <v>60</v>
      </c>
    </row>
    <row r="762">
      <c r="A762" s="4">
        <f>IFERROR(__xludf.DUMMYFUNCTION("""COMPUTED_VALUE"""),44964.66666666667)</f>
        <v>44964.66667</v>
      </c>
      <c r="B762" s="5">
        <f>IFERROR(__xludf.DUMMYFUNCTION("""COMPUTED_VALUE"""),3880.0)</f>
        <v>3880</v>
      </c>
      <c r="C762" s="5">
        <f>IFERROR(__xludf.DUMMYFUNCTION("""COMPUTED_VALUE"""),3880.0)</f>
        <v>3880</v>
      </c>
      <c r="D762" s="5">
        <f>IFERROR(__xludf.DUMMYFUNCTION("""COMPUTED_VALUE"""),3800.0)</f>
        <v>3800</v>
      </c>
      <c r="E762" s="5">
        <f>IFERROR(__xludf.DUMMYFUNCTION("""COMPUTED_VALUE"""),3800.0)</f>
        <v>3800</v>
      </c>
      <c r="F762" s="5">
        <f>IFERROR(__xludf.DUMMYFUNCTION("""COMPUTED_VALUE"""),7.62549E7)</f>
        <v>76254900</v>
      </c>
      <c r="G762" s="5">
        <f t="shared" si="1"/>
        <v>80</v>
      </c>
    </row>
    <row r="763">
      <c r="A763" s="4">
        <f>IFERROR(__xludf.DUMMYFUNCTION("""COMPUTED_VALUE"""),44965.66666666667)</f>
        <v>44965.66667</v>
      </c>
      <c r="B763" s="5">
        <f>IFERROR(__xludf.DUMMYFUNCTION("""COMPUTED_VALUE"""),3800.0)</f>
        <v>3800</v>
      </c>
      <c r="C763" s="5">
        <f>IFERROR(__xludf.DUMMYFUNCTION("""COMPUTED_VALUE"""),3850.0)</f>
        <v>3850</v>
      </c>
      <c r="D763" s="5">
        <f>IFERROR(__xludf.DUMMYFUNCTION("""COMPUTED_VALUE"""),3790.0)</f>
        <v>3790</v>
      </c>
      <c r="E763" s="5">
        <f>IFERROR(__xludf.DUMMYFUNCTION("""COMPUTED_VALUE"""),3840.0)</f>
        <v>3840</v>
      </c>
      <c r="F763" s="5">
        <f>IFERROR(__xludf.DUMMYFUNCTION("""COMPUTED_VALUE"""),6.58565E7)</f>
        <v>65856500</v>
      </c>
      <c r="G763" s="5">
        <f t="shared" si="1"/>
        <v>60</v>
      </c>
    </row>
    <row r="764">
      <c r="A764" s="4">
        <f>IFERROR(__xludf.DUMMYFUNCTION("""COMPUTED_VALUE"""),44966.66666666667)</f>
        <v>44966.66667</v>
      </c>
      <c r="B764" s="5">
        <f>IFERROR(__xludf.DUMMYFUNCTION("""COMPUTED_VALUE"""),3840.0)</f>
        <v>3840</v>
      </c>
      <c r="C764" s="5">
        <f>IFERROR(__xludf.DUMMYFUNCTION("""COMPUTED_VALUE"""),3840.0)</f>
        <v>3840</v>
      </c>
      <c r="D764" s="5">
        <f>IFERROR(__xludf.DUMMYFUNCTION("""COMPUTED_VALUE"""),3760.0)</f>
        <v>3760</v>
      </c>
      <c r="E764" s="5">
        <f>IFERROR(__xludf.DUMMYFUNCTION("""COMPUTED_VALUE"""),3770.0)</f>
        <v>3770</v>
      </c>
      <c r="F764" s="5">
        <f>IFERROR(__xludf.DUMMYFUNCTION("""COMPUTED_VALUE"""),9.13373E7)</f>
        <v>91337300</v>
      </c>
      <c r="G764" s="5">
        <f t="shared" si="1"/>
        <v>80</v>
      </c>
    </row>
    <row r="765">
      <c r="A765" s="4">
        <f>IFERROR(__xludf.DUMMYFUNCTION("""COMPUTED_VALUE"""),44967.66666666667)</f>
        <v>44967.66667</v>
      </c>
      <c r="B765" s="5">
        <f>IFERROR(__xludf.DUMMYFUNCTION("""COMPUTED_VALUE"""),3750.0)</f>
        <v>3750</v>
      </c>
      <c r="C765" s="5">
        <f>IFERROR(__xludf.DUMMYFUNCTION("""COMPUTED_VALUE"""),3800.0)</f>
        <v>3800</v>
      </c>
      <c r="D765" s="5">
        <f>IFERROR(__xludf.DUMMYFUNCTION("""COMPUTED_VALUE"""),3690.0)</f>
        <v>3690</v>
      </c>
      <c r="E765" s="5">
        <f>IFERROR(__xludf.DUMMYFUNCTION("""COMPUTED_VALUE"""),3800.0)</f>
        <v>3800</v>
      </c>
      <c r="F765" s="5">
        <f>IFERROR(__xludf.DUMMYFUNCTION("""COMPUTED_VALUE"""),8.87596E7)</f>
        <v>88759600</v>
      </c>
      <c r="G765" s="5">
        <f t="shared" si="1"/>
        <v>110</v>
      </c>
    </row>
    <row r="766">
      <c r="A766" s="4">
        <f>IFERROR(__xludf.DUMMYFUNCTION("""COMPUTED_VALUE"""),44970.66666666667)</f>
        <v>44970.66667</v>
      </c>
      <c r="B766" s="5">
        <f>IFERROR(__xludf.DUMMYFUNCTION("""COMPUTED_VALUE"""),3800.0)</f>
        <v>3800</v>
      </c>
      <c r="C766" s="5">
        <f>IFERROR(__xludf.DUMMYFUNCTION("""COMPUTED_VALUE"""),3810.0)</f>
        <v>3810</v>
      </c>
      <c r="D766" s="5">
        <f>IFERROR(__xludf.DUMMYFUNCTION("""COMPUTED_VALUE"""),3750.0)</f>
        <v>3750</v>
      </c>
      <c r="E766" s="5">
        <f>IFERROR(__xludf.DUMMYFUNCTION("""COMPUTED_VALUE"""),3790.0)</f>
        <v>3790</v>
      </c>
      <c r="F766" s="5">
        <f>IFERROR(__xludf.DUMMYFUNCTION("""COMPUTED_VALUE"""),6.90044E7)</f>
        <v>69004400</v>
      </c>
      <c r="G766" s="5">
        <f t="shared" si="1"/>
        <v>60</v>
      </c>
    </row>
    <row r="767">
      <c r="A767" s="4">
        <f>IFERROR(__xludf.DUMMYFUNCTION("""COMPUTED_VALUE"""),44971.66666666667)</f>
        <v>44971.66667</v>
      </c>
      <c r="B767" s="5">
        <f>IFERROR(__xludf.DUMMYFUNCTION("""COMPUTED_VALUE"""),3830.0)</f>
        <v>3830</v>
      </c>
      <c r="C767" s="5">
        <f>IFERROR(__xludf.DUMMYFUNCTION("""COMPUTED_VALUE"""),3830.0)</f>
        <v>3830</v>
      </c>
      <c r="D767" s="5">
        <f>IFERROR(__xludf.DUMMYFUNCTION("""COMPUTED_VALUE"""),3760.0)</f>
        <v>3760</v>
      </c>
      <c r="E767" s="5">
        <f>IFERROR(__xludf.DUMMYFUNCTION("""COMPUTED_VALUE"""),3800.0)</f>
        <v>3800</v>
      </c>
      <c r="F767" s="5">
        <f>IFERROR(__xludf.DUMMYFUNCTION("""COMPUTED_VALUE"""),8.03311E7)</f>
        <v>80331100</v>
      </c>
      <c r="G767" s="5">
        <f t="shared" si="1"/>
        <v>70</v>
      </c>
    </row>
    <row r="768">
      <c r="A768" s="4">
        <f>IFERROR(__xludf.DUMMYFUNCTION("""COMPUTED_VALUE"""),44972.66666666667)</f>
        <v>44972.66667</v>
      </c>
      <c r="B768" s="5">
        <f>IFERROR(__xludf.DUMMYFUNCTION("""COMPUTED_VALUE"""),3810.0)</f>
        <v>3810</v>
      </c>
      <c r="C768" s="5">
        <f>IFERROR(__xludf.DUMMYFUNCTION("""COMPUTED_VALUE"""),3820.0)</f>
        <v>3820</v>
      </c>
      <c r="D768" s="5">
        <f>IFERROR(__xludf.DUMMYFUNCTION("""COMPUTED_VALUE"""),3730.0)</f>
        <v>3730</v>
      </c>
      <c r="E768" s="5">
        <f>IFERROR(__xludf.DUMMYFUNCTION("""COMPUTED_VALUE"""),3790.0)</f>
        <v>3790</v>
      </c>
      <c r="F768" s="5">
        <f>IFERROR(__xludf.DUMMYFUNCTION("""COMPUTED_VALUE"""),5.90299E7)</f>
        <v>59029900</v>
      </c>
      <c r="G768" s="5">
        <f t="shared" si="1"/>
        <v>90</v>
      </c>
    </row>
    <row r="769">
      <c r="A769" s="4">
        <f>IFERROR(__xludf.DUMMYFUNCTION("""COMPUTED_VALUE"""),44973.66666666667)</f>
        <v>44973.66667</v>
      </c>
      <c r="B769" s="5">
        <f>IFERROR(__xludf.DUMMYFUNCTION("""COMPUTED_VALUE"""),3800.0)</f>
        <v>3800</v>
      </c>
      <c r="C769" s="5">
        <f>IFERROR(__xludf.DUMMYFUNCTION("""COMPUTED_VALUE"""),3800.0)</f>
        <v>3800</v>
      </c>
      <c r="D769" s="5">
        <f>IFERROR(__xludf.DUMMYFUNCTION("""COMPUTED_VALUE"""),3750.0)</f>
        <v>3750</v>
      </c>
      <c r="E769" s="5">
        <f>IFERROR(__xludf.DUMMYFUNCTION("""COMPUTED_VALUE"""),3770.0)</f>
        <v>3770</v>
      </c>
      <c r="F769" s="5">
        <f>IFERROR(__xludf.DUMMYFUNCTION("""COMPUTED_VALUE"""),4.98699E7)</f>
        <v>49869900</v>
      </c>
      <c r="G769" s="5">
        <f t="shared" si="1"/>
        <v>50</v>
      </c>
    </row>
    <row r="770">
      <c r="A770" s="4">
        <f>IFERROR(__xludf.DUMMYFUNCTION("""COMPUTED_VALUE"""),44974.66666666667)</f>
        <v>44974.66667</v>
      </c>
      <c r="B770" s="5">
        <f>IFERROR(__xludf.DUMMYFUNCTION("""COMPUTED_VALUE"""),3770.0)</f>
        <v>3770</v>
      </c>
      <c r="C770" s="5">
        <f>IFERROR(__xludf.DUMMYFUNCTION("""COMPUTED_VALUE"""),3770.0)</f>
        <v>3770</v>
      </c>
      <c r="D770" s="5">
        <f>IFERROR(__xludf.DUMMYFUNCTION("""COMPUTED_VALUE"""),3720.0)</f>
        <v>3720</v>
      </c>
      <c r="E770" s="5">
        <f>IFERROR(__xludf.DUMMYFUNCTION("""COMPUTED_VALUE"""),3760.0)</f>
        <v>3760</v>
      </c>
      <c r="F770" s="5">
        <f>IFERROR(__xludf.DUMMYFUNCTION("""COMPUTED_VALUE"""),5.0369E7)</f>
        <v>50369000</v>
      </c>
      <c r="G770" s="5">
        <f t="shared" si="1"/>
        <v>50</v>
      </c>
    </row>
    <row r="771">
      <c r="A771" s="4">
        <f>IFERROR(__xludf.DUMMYFUNCTION("""COMPUTED_VALUE"""),44977.66666666667)</f>
        <v>44977.66667</v>
      </c>
      <c r="B771" s="5">
        <f>IFERROR(__xludf.DUMMYFUNCTION("""COMPUTED_VALUE"""),3760.0)</f>
        <v>3760</v>
      </c>
      <c r="C771" s="5">
        <f>IFERROR(__xludf.DUMMYFUNCTION("""COMPUTED_VALUE"""),3820.0)</f>
        <v>3820</v>
      </c>
      <c r="D771" s="5">
        <f>IFERROR(__xludf.DUMMYFUNCTION("""COMPUTED_VALUE"""),3760.0)</f>
        <v>3760</v>
      </c>
      <c r="E771" s="5">
        <f>IFERROR(__xludf.DUMMYFUNCTION("""COMPUTED_VALUE"""),3820.0)</f>
        <v>3820</v>
      </c>
      <c r="F771" s="5">
        <f>IFERROR(__xludf.DUMMYFUNCTION("""COMPUTED_VALUE"""),5.74389E7)</f>
        <v>57438900</v>
      </c>
      <c r="G771" s="5">
        <f t="shared" si="1"/>
        <v>60</v>
      </c>
    </row>
    <row r="772">
      <c r="A772" s="4">
        <f>IFERROR(__xludf.DUMMYFUNCTION("""COMPUTED_VALUE"""),44978.66666666667)</f>
        <v>44978.66667</v>
      </c>
      <c r="B772" s="5">
        <f>IFERROR(__xludf.DUMMYFUNCTION("""COMPUTED_VALUE"""),3850.0)</f>
        <v>3850</v>
      </c>
      <c r="C772" s="5">
        <f>IFERROR(__xludf.DUMMYFUNCTION("""COMPUTED_VALUE"""),3870.0)</f>
        <v>3870</v>
      </c>
      <c r="D772" s="5">
        <f>IFERROR(__xludf.DUMMYFUNCTION("""COMPUTED_VALUE"""),3830.0)</f>
        <v>3830</v>
      </c>
      <c r="E772" s="5">
        <f>IFERROR(__xludf.DUMMYFUNCTION("""COMPUTED_VALUE"""),3840.0)</f>
        <v>3840</v>
      </c>
      <c r="F772" s="5">
        <f>IFERROR(__xludf.DUMMYFUNCTION("""COMPUTED_VALUE"""),6.38803E7)</f>
        <v>63880300</v>
      </c>
      <c r="G772" s="5">
        <f t="shared" si="1"/>
        <v>50</v>
      </c>
    </row>
    <row r="773">
      <c r="A773" s="4">
        <f>IFERROR(__xludf.DUMMYFUNCTION("""COMPUTED_VALUE"""),44979.66666666667)</f>
        <v>44979.66667</v>
      </c>
      <c r="B773" s="5">
        <f>IFERROR(__xludf.DUMMYFUNCTION("""COMPUTED_VALUE"""),3850.0)</f>
        <v>3850</v>
      </c>
      <c r="C773" s="5">
        <f>IFERROR(__xludf.DUMMYFUNCTION("""COMPUTED_VALUE"""),3870.0)</f>
        <v>3870</v>
      </c>
      <c r="D773" s="5">
        <f>IFERROR(__xludf.DUMMYFUNCTION("""COMPUTED_VALUE"""),3800.0)</f>
        <v>3800</v>
      </c>
      <c r="E773" s="5">
        <f>IFERROR(__xludf.DUMMYFUNCTION("""COMPUTED_VALUE"""),3860.0)</f>
        <v>3860</v>
      </c>
      <c r="F773" s="5">
        <f>IFERROR(__xludf.DUMMYFUNCTION("""COMPUTED_VALUE"""),4.85056E7)</f>
        <v>48505600</v>
      </c>
      <c r="G773" s="5">
        <f t="shared" si="1"/>
        <v>70</v>
      </c>
    </row>
    <row r="774">
      <c r="A774" s="4">
        <f>IFERROR(__xludf.DUMMYFUNCTION("""COMPUTED_VALUE"""),44980.66666666667)</f>
        <v>44980.66667</v>
      </c>
      <c r="B774" s="5">
        <f>IFERROR(__xludf.DUMMYFUNCTION("""COMPUTED_VALUE"""),3950.0)</f>
        <v>3950</v>
      </c>
      <c r="C774" s="5">
        <f>IFERROR(__xludf.DUMMYFUNCTION("""COMPUTED_VALUE"""),3970.0)</f>
        <v>3970</v>
      </c>
      <c r="D774" s="5">
        <f>IFERROR(__xludf.DUMMYFUNCTION("""COMPUTED_VALUE"""),3890.0)</f>
        <v>3890</v>
      </c>
      <c r="E774" s="5">
        <f>IFERROR(__xludf.DUMMYFUNCTION("""COMPUTED_VALUE"""),3970.0)</f>
        <v>3970</v>
      </c>
      <c r="F774" s="5">
        <f>IFERROR(__xludf.DUMMYFUNCTION("""COMPUTED_VALUE"""),1.091471E8)</f>
        <v>109147100</v>
      </c>
      <c r="G774" s="5">
        <f t="shared" si="1"/>
        <v>110</v>
      </c>
    </row>
    <row r="775">
      <c r="A775" s="4">
        <f>IFERROR(__xludf.DUMMYFUNCTION("""COMPUTED_VALUE"""),44981.66666666667)</f>
        <v>44981.66667</v>
      </c>
      <c r="B775" s="5">
        <f>IFERROR(__xludf.DUMMYFUNCTION("""COMPUTED_VALUE"""),4000.0)</f>
        <v>4000</v>
      </c>
      <c r="C775" s="5">
        <f>IFERROR(__xludf.DUMMYFUNCTION("""COMPUTED_VALUE"""),4040.0)</f>
        <v>4040</v>
      </c>
      <c r="D775" s="5">
        <f>IFERROR(__xludf.DUMMYFUNCTION("""COMPUTED_VALUE"""),3950.0)</f>
        <v>3950</v>
      </c>
      <c r="E775" s="5">
        <f>IFERROR(__xludf.DUMMYFUNCTION("""COMPUTED_VALUE"""),4040.0)</f>
        <v>4040</v>
      </c>
      <c r="F775" s="5">
        <f>IFERROR(__xludf.DUMMYFUNCTION("""COMPUTED_VALUE"""),1.421657E8)</f>
        <v>142165700</v>
      </c>
      <c r="G775" s="5">
        <f t="shared" si="1"/>
        <v>90</v>
      </c>
    </row>
    <row r="776">
      <c r="A776" s="4">
        <f>IFERROR(__xludf.DUMMYFUNCTION("""COMPUTED_VALUE"""),44984.66666666667)</f>
        <v>44984.66667</v>
      </c>
      <c r="B776" s="5">
        <f>IFERROR(__xludf.DUMMYFUNCTION("""COMPUTED_VALUE"""),3990.0)</f>
        <v>3990</v>
      </c>
      <c r="C776" s="5">
        <f>IFERROR(__xludf.DUMMYFUNCTION("""COMPUTED_VALUE"""),4000.0)</f>
        <v>4000</v>
      </c>
      <c r="D776" s="5">
        <f>IFERROR(__xludf.DUMMYFUNCTION("""COMPUTED_VALUE"""),3920.0)</f>
        <v>3920</v>
      </c>
      <c r="E776" s="5">
        <f>IFERROR(__xludf.DUMMYFUNCTION("""COMPUTED_VALUE"""),3960.0)</f>
        <v>3960</v>
      </c>
      <c r="F776" s="5">
        <f>IFERROR(__xludf.DUMMYFUNCTION("""COMPUTED_VALUE"""),6.64616E7)</f>
        <v>66461600</v>
      </c>
      <c r="G776" s="5">
        <f t="shared" si="1"/>
        <v>120</v>
      </c>
    </row>
    <row r="777">
      <c r="A777" s="4">
        <f>IFERROR(__xludf.DUMMYFUNCTION("""COMPUTED_VALUE"""),44985.66666666667)</f>
        <v>44985.66667</v>
      </c>
      <c r="B777" s="5">
        <f>IFERROR(__xludf.DUMMYFUNCTION("""COMPUTED_VALUE"""),3930.0)</f>
        <v>3930</v>
      </c>
      <c r="C777" s="5">
        <f>IFERROR(__xludf.DUMMYFUNCTION("""COMPUTED_VALUE"""),3970.0)</f>
        <v>3970</v>
      </c>
      <c r="D777" s="5">
        <f>IFERROR(__xludf.DUMMYFUNCTION("""COMPUTED_VALUE"""),3880.0)</f>
        <v>3880</v>
      </c>
      <c r="E777" s="5">
        <f>IFERROR(__xludf.DUMMYFUNCTION("""COMPUTED_VALUE"""),3880.0)</f>
        <v>3880</v>
      </c>
      <c r="F777" s="5">
        <f>IFERROR(__xludf.DUMMYFUNCTION("""COMPUTED_VALUE"""),1.157669E8)</f>
        <v>115766900</v>
      </c>
      <c r="G777" s="5">
        <f t="shared" si="1"/>
        <v>90</v>
      </c>
    </row>
    <row r="778">
      <c r="A778" s="4">
        <f>IFERROR(__xludf.DUMMYFUNCTION("""COMPUTED_VALUE"""),44986.66666666667)</f>
        <v>44986.66667</v>
      </c>
      <c r="B778" s="5">
        <f>IFERROR(__xludf.DUMMYFUNCTION("""COMPUTED_VALUE"""),3930.0)</f>
        <v>3930</v>
      </c>
      <c r="C778" s="5">
        <f>IFERROR(__xludf.DUMMYFUNCTION("""COMPUTED_VALUE"""),3990.0)</f>
        <v>3990</v>
      </c>
      <c r="D778" s="5">
        <f>IFERROR(__xludf.DUMMYFUNCTION("""COMPUTED_VALUE"""),3910.0)</f>
        <v>3910</v>
      </c>
      <c r="E778" s="5">
        <f>IFERROR(__xludf.DUMMYFUNCTION("""COMPUTED_VALUE"""),3930.0)</f>
        <v>3930</v>
      </c>
      <c r="F778" s="5">
        <f>IFERROR(__xludf.DUMMYFUNCTION("""COMPUTED_VALUE"""),4.73952E7)</f>
        <v>47395200</v>
      </c>
      <c r="G778" s="5">
        <f t="shared" si="1"/>
        <v>110</v>
      </c>
    </row>
    <row r="779">
      <c r="A779" s="4">
        <f>IFERROR(__xludf.DUMMYFUNCTION("""COMPUTED_VALUE"""),44987.66666666667)</f>
        <v>44987.66667</v>
      </c>
      <c r="B779" s="5">
        <f>IFERROR(__xludf.DUMMYFUNCTION("""COMPUTED_VALUE"""),3900.0)</f>
        <v>3900</v>
      </c>
      <c r="C779" s="5">
        <f>IFERROR(__xludf.DUMMYFUNCTION("""COMPUTED_VALUE"""),3930.0)</f>
        <v>3930</v>
      </c>
      <c r="D779" s="5">
        <f>IFERROR(__xludf.DUMMYFUNCTION("""COMPUTED_VALUE"""),3880.0)</f>
        <v>3880</v>
      </c>
      <c r="E779" s="5">
        <f>IFERROR(__xludf.DUMMYFUNCTION("""COMPUTED_VALUE"""),3880.0)</f>
        <v>3880</v>
      </c>
      <c r="F779" s="5">
        <f>IFERROR(__xludf.DUMMYFUNCTION("""COMPUTED_VALUE"""),4.32088E7)</f>
        <v>43208800</v>
      </c>
      <c r="G779" s="5">
        <f t="shared" si="1"/>
        <v>50</v>
      </c>
    </row>
    <row r="780">
      <c r="A780" s="4">
        <f>IFERROR(__xludf.DUMMYFUNCTION("""COMPUTED_VALUE"""),44988.66666666667)</f>
        <v>44988.66667</v>
      </c>
      <c r="B780" s="5">
        <f>IFERROR(__xludf.DUMMYFUNCTION("""COMPUTED_VALUE"""),3880.0)</f>
        <v>3880</v>
      </c>
      <c r="C780" s="5">
        <f>IFERROR(__xludf.DUMMYFUNCTION("""COMPUTED_VALUE"""),3920.0)</f>
        <v>3920</v>
      </c>
      <c r="D780" s="5">
        <f>IFERROR(__xludf.DUMMYFUNCTION("""COMPUTED_VALUE"""),3870.0)</f>
        <v>3870</v>
      </c>
      <c r="E780" s="5">
        <f>IFERROR(__xludf.DUMMYFUNCTION("""COMPUTED_VALUE"""),3900.0)</f>
        <v>3900</v>
      </c>
      <c r="F780" s="5">
        <f>IFERROR(__xludf.DUMMYFUNCTION("""COMPUTED_VALUE"""),4.9796E7)</f>
        <v>49796000</v>
      </c>
      <c r="G780" s="5">
        <f t="shared" si="1"/>
        <v>50</v>
      </c>
    </row>
    <row r="781">
      <c r="A781" s="4">
        <f>IFERROR(__xludf.DUMMYFUNCTION("""COMPUTED_VALUE"""),44991.66666666667)</f>
        <v>44991.66667</v>
      </c>
      <c r="B781" s="5">
        <f>IFERROR(__xludf.DUMMYFUNCTION("""COMPUTED_VALUE"""),3940.0)</f>
        <v>3940</v>
      </c>
      <c r="C781" s="5">
        <f>IFERROR(__xludf.DUMMYFUNCTION("""COMPUTED_VALUE"""),3950.0)</f>
        <v>3950</v>
      </c>
      <c r="D781" s="5">
        <f>IFERROR(__xludf.DUMMYFUNCTION("""COMPUTED_VALUE"""),3870.0)</f>
        <v>3870</v>
      </c>
      <c r="E781" s="5">
        <f>IFERROR(__xludf.DUMMYFUNCTION("""COMPUTED_VALUE"""),3880.0)</f>
        <v>3880</v>
      </c>
      <c r="F781" s="5">
        <f>IFERROR(__xludf.DUMMYFUNCTION("""COMPUTED_VALUE"""),5.01038E7)</f>
        <v>50103800</v>
      </c>
      <c r="G781" s="5">
        <f t="shared" si="1"/>
        <v>80</v>
      </c>
    </row>
    <row r="782">
      <c r="A782" s="4">
        <f>IFERROR(__xludf.DUMMYFUNCTION("""COMPUTED_VALUE"""),44992.66666666667)</f>
        <v>44992.66667</v>
      </c>
      <c r="B782" s="5">
        <f>IFERROR(__xludf.DUMMYFUNCTION("""COMPUTED_VALUE"""),3890.0)</f>
        <v>3890</v>
      </c>
      <c r="C782" s="5">
        <f>IFERROR(__xludf.DUMMYFUNCTION("""COMPUTED_VALUE"""),3910.0)</f>
        <v>3910</v>
      </c>
      <c r="D782" s="5">
        <f>IFERROR(__xludf.DUMMYFUNCTION("""COMPUTED_VALUE"""),3850.0)</f>
        <v>3850</v>
      </c>
      <c r="E782" s="5">
        <f>IFERROR(__xludf.DUMMYFUNCTION("""COMPUTED_VALUE"""),3880.0)</f>
        <v>3880</v>
      </c>
      <c r="F782" s="5">
        <f>IFERROR(__xludf.DUMMYFUNCTION("""COMPUTED_VALUE"""),5.90868E7)</f>
        <v>59086800</v>
      </c>
      <c r="G782" s="5">
        <f t="shared" si="1"/>
        <v>60</v>
      </c>
    </row>
    <row r="783">
      <c r="A783" s="4">
        <f>IFERROR(__xludf.DUMMYFUNCTION("""COMPUTED_VALUE"""),44993.66666666667)</f>
        <v>44993.66667</v>
      </c>
      <c r="B783" s="5">
        <f>IFERROR(__xludf.DUMMYFUNCTION("""COMPUTED_VALUE"""),3850.0)</f>
        <v>3850</v>
      </c>
      <c r="C783" s="5">
        <f>IFERROR(__xludf.DUMMYFUNCTION("""COMPUTED_VALUE"""),3940.0)</f>
        <v>3940</v>
      </c>
      <c r="D783" s="5">
        <f>IFERROR(__xludf.DUMMYFUNCTION("""COMPUTED_VALUE"""),3850.0)</f>
        <v>3850</v>
      </c>
      <c r="E783" s="5">
        <f>IFERROR(__xludf.DUMMYFUNCTION("""COMPUTED_VALUE"""),3940.0)</f>
        <v>3940</v>
      </c>
      <c r="F783" s="5">
        <f>IFERROR(__xludf.DUMMYFUNCTION("""COMPUTED_VALUE"""),7.8551E7)</f>
        <v>78551000</v>
      </c>
      <c r="G783" s="5">
        <f t="shared" si="1"/>
        <v>90</v>
      </c>
    </row>
    <row r="784">
      <c r="A784" s="4">
        <f>IFERROR(__xludf.DUMMYFUNCTION("""COMPUTED_VALUE"""),44994.66666666667)</f>
        <v>44994.66667</v>
      </c>
      <c r="B784" s="5">
        <f>IFERROR(__xludf.DUMMYFUNCTION("""COMPUTED_VALUE"""),3970.0)</f>
        <v>3970</v>
      </c>
      <c r="C784" s="5">
        <f>IFERROR(__xludf.DUMMYFUNCTION("""COMPUTED_VALUE"""),4000.0)</f>
        <v>4000</v>
      </c>
      <c r="D784" s="5">
        <f>IFERROR(__xludf.DUMMYFUNCTION("""COMPUTED_VALUE"""),3960.0)</f>
        <v>3960</v>
      </c>
      <c r="E784" s="5">
        <f>IFERROR(__xludf.DUMMYFUNCTION("""COMPUTED_VALUE"""),3970.0)</f>
        <v>3970</v>
      </c>
      <c r="F784" s="5">
        <f>IFERROR(__xludf.DUMMYFUNCTION("""COMPUTED_VALUE"""),6.87228E7)</f>
        <v>68722800</v>
      </c>
      <c r="G784" s="5">
        <f t="shared" si="1"/>
        <v>60</v>
      </c>
    </row>
    <row r="785">
      <c r="A785" s="4">
        <f>IFERROR(__xludf.DUMMYFUNCTION("""COMPUTED_VALUE"""),44995.66666666667)</f>
        <v>44995.66667</v>
      </c>
      <c r="B785" s="5">
        <f>IFERROR(__xludf.DUMMYFUNCTION("""COMPUTED_VALUE"""),3960.0)</f>
        <v>3960</v>
      </c>
      <c r="C785" s="5">
        <f>IFERROR(__xludf.DUMMYFUNCTION("""COMPUTED_VALUE"""),4020.0)</f>
        <v>4020</v>
      </c>
      <c r="D785" s="5">
        <f>IFERROR(__xludf.DUMMYFUNCTION("""COMPUTED_VALUE"""),3930.0)</f>
        <v>3930</v>
      </c>
      <c r="E785" s="5">
        <f>IFERROR(__xludf.DUMMYFUNCTION("""COMPUTED_VALUE"""),4010.0)</f>
        <v>4010</v>
      </c>
      <c r="F785" s="5">
        <f>IFERROR(__xludf.DUMMYFUNCTION("""COMPUTED_VALUE"""),7.61362E7)</f>
        <v>76136200</v>
      </c>
      <c r="G785" s="5">
        <f t="shared" si="1"/>
        <v>90</v>
      </c>
    </row>
    <row r="786">
      <c r="A786" s="4">
        <f>IFERROR(__xludf.DUMMYFUNCTION("""COMPUTED_VALUE"""),44998.66666666667)</f>
        <v>44998.66667</v>
      </c>
      <c r="B786" s="5">
        <f>IFERROR(__xludf.DUMMYFUNCTION("""COMPUTED_VALUE"""),4020.0)</f>
        <v>4020</v>
      </c>
      <c r="C786" s="5">
        <f>IFERROR(__xludf.DUMMYFUNCTION("""COMPUTED_VALUE"""),4090.0)</f>
        <v>4090</v>
      </c>
      <c r="D786" s="5">
        <f>IFERROR(__xludf.DUMMYFUNCTION("""COMPUTED_VALUE"""),3980.0)</f>
        <v>3980</v>
      </c>
      <c r="E786" s="5">
        <f>IFERROR(__xludf.DUMMYFUNCTION("""COMPUTED_VALUE"""),4070.0)</f>
        <v>4070</v>
      </c>
      <c r="F786" s="5">
        <f>IFERROR(__xludf.DUMMYFUNCTION("""COMPUTED_VALUE"""),1.046633E8)</f>
        <v>104663300</v>
      </c>
      <c r="G786" s="5">
        <f t="shared" si="1"/>
        <v>110</v>
      </c>
    </row>
    <row r="787">
      <c r="A787" s="4">
        <f>IFERROR(__xludf.DUMMYFUNCTION("""COMPUTED_VALUE"""),44999.66666666667)</f>
        <v>44999.66667</v>
      </c>
      <c r="B787" s="5">
        <f>IFERROR(__xludf.DUMMYFUNCTION("""COMPUTED_VALUE"""),4030.0)</f>
        <v>4030</v>
      </c>
      <c r="C787" s="5">
        <f>IFERROR(__xludf.DUMMYFUNCTION("""COMPUTED_VALUE"""),4090.0)</f>
        <v>4090</v>
      </c>
      <c r="D787" s="5">
        <f>IFERROR(__xludf.DUMMYFUNCTION("""COMPUTED_VALUE"""),4000.0)</f>
        <v>4000</v>
      </c>
      <c r="E787" s="5">
        <f>IFERROR(__xludf.DUMMYFUNCTION("""COMPUTED_VALUE"""),4020.0)</f>
        <v>4020</v>
      </c>
      <c r="F787" s="5">
        <f>IFERROR(__xludf.DUMMYFUNCTION("""COMPUTED_VALUE"""),1.114301E8)</f>
        <v>111430100</v>
      </c>
      <c r="G787" s="5">
        <f t="shared" si="1"/>
        <v>90</v>
      </c>
    </row>
    <row r="788">
      <c r="A788" s="4">
        <f>IFERROR(__xludf.DUMMYFUNCTION("""COMPUTED_VALUE"""),45000.66666666667)</f>
        <v>45000.66667</v>
      </c>
      <c r="B788" s="5">
        <f>IFERROR(__xludf.DUMMYFUNCTION("""COMPUTED_VALUE"""),4050.0)</f>
        <v>4050</v>
      </c>
      <c r="C788" s="5">
        <f>IFERROR(__xludf.DUMMYFUNCTION("""COMPUTED_VALUE"""),4050.0)</f>
        <v>4050</v>
      </c>
      <c r="D788" s="5">
        <f>IFERROR(__xludf.DUMMYFUNCTION("""COMPUTED_VALUE"""),3990.0)</f>
        <v>3990</v>
      </c>
      <c r="E788" s="5">
        <f>IFERROR(__xludf.DUMMYFUNCTION("""COMPUTED_VALUE"""),4010.0)</f>
        <v>4010</v>
      </c>
      <c r="F788" s="5">
        <f>IFERROR(__xludf.DUMMYFUNCTION("""COMPUTED_VALUE"""),6.50254E7)</f>
        <v>65025400</v>
      </c>
      <c r="G788" s="5">
        <f t="shared" si="1"/>
        <v>60</v>
      </c>
    </row>
    <row r="789">
      <c r="A789" s="4">
        <f>IFERROR(__xludf.DUMMYFUNCTION("""COMPUTED_VALUE"""),45001.66666666667)</f>
        <v>45001.66667</v>
      </c>
      <c r="B789" s="5">
        <f>IFERROR(__xludf.DUMMYFUNCTION("""COMPUTED_VALUE"""),4040.0)</f>
        <v>4040</v>
      </c>
      <c r="C789" s="5">
        <f>IFERROR(__xludf.DUMMYFUNCTION("""COMPUTED_VALUE"""),4060.0)</f>
        <v>4060</v>
      </c>
      <c r="D789" s="5">
        <f>IFERROR(__xludf.DUMMYFUNCTION("""COMPUTED_VALUE"""),3980.0)</f>
        <v>3980</v>
      </c>
      <c r="E789" s="5">
        <f>IFERROR(__xludf.DUMMYFUNCTION("""COMPUTED_VALUE"""),4050.0)</f>
        <v>4050</v>
      </c>
      <c r="F789" s="5">
        <f>IFERROR(__xludf.DUMMYFUNCTION("""COMPUTED_VALUE"""),9.67079E7)</f>
        <v>96707900</v>
      </c>
      <c r="G789" s="5">
        <f t="shared" si="1"/>
        <v>80</v>
      </c>
    </row>
    <row r="790">
      <c r="A790" s="4">
        <f>IFERROR(__xludf.DUMMYFUNCTION("""COMPUTED_VALUE"""),45002.66666666667)</f>
        <v>45002.66667</v>
      </c>
      <c r="B790" s="5">
        <f>IFERROR(__xludf.DUMMYFUNCTION("""COMPUTED_VALUE"""),4090.0)</f>
        <v>4090</v>
      </c>
      <c r="C790" s="5">
        <f>IFERROR(__xludf.DUMMYFUNCTION("""COMPUTED_VALUE"""),4100.0)</f>
        <v>4100</v>
      </c>
      <c r="D790" s="5">
        <f>IFERROR(__xludf.DUMMYFUNCTION("""COMPUTED_VALUE"""),4030.0)</f>
        <v>4030</v>
      </c>
      <c r="E790" s="5">
        <f>IFERROR(__xludf.DUMMYFUNCTION("""COMPUTED_VALUE"""),4050.0)</f>
        <v>4050</v>
      </c>
      <c r="F790" s="5">
        <f>IFERROR(__xludf.DUMMYFUNCTION("""COMPUTED_VALUE"""),2.322709E8)</f>
        <v>232270900</v>
      </c>
      <c r="G790" s="5">
        <f t="shared" si="1"/>
        <v>70</v>
      </c>
    </row>
    <row r="791">
      <c r="A791" s="4">
        <f>IFERROR(__xludf.DUMMYFUNCTION("""COMPUTED_VALUE"""),45005.66666666667)</f>
        <v>45005.66667</v>
      </c>
      <c r="B791" s="5">
        <f>IFERROR(__xludf.DUMMYFUNCTION("""COMPUTED_VALUE"""),4050.0)</f>
        <v>4050</v>
      </c>
      <c r="C791" s="5">
        <f>IFERROR(__xludf.DUMMYFUNCTION("""COMPUTED_VALUE"""),4050.0)</f>
        <v>4050</v>
      </c>
      <c r="D791" s="5">
        <f>IFERROR(__xludf.DUMMYFUNCTION("""COMPUTED_VALUE"""),3940.0)</f>
        <v>3940</v>
      </c>
      <c r="E791" s="5">
        <f>IFERROR(__xludf.DUMMYFUNCTION("""COMPUTED_VALUE"""),3990.0)</f>
        <v>3990</v>
      </c>
      <c r="F791" s="5">
        <f>IFERROR(__xludf.DUMMYFUNCTION("""COMPUTED_VALUE"""),1.059827E8)</f>
        <v>105982700</v>
      </c>
      <c r="G791" s="5">
        <f t="shared" si="1"/>
        <v>110</v>
      </c>
    </row>
    <row r="792">
      <c r="A792" s="4">
        <f>IFERROR(__xludf.DUMMYFUNCTION("""COMPUTED_VALUE"""),45006.66666666667)</f>
        <v>45006.66667</v>
      </c>
      <c r="B792" s="5">
        <f>IFERROR(__xludf.DUMMYFUNCTION("""COMPUTED_VALUE"""),4000.0)</f>
        <v>4000</v>
      </c>
      <c r="C792" s="5">
        <f>IFERROR(__xludf.DUMMYFUNCTION("""COMPUTED_VALUE"""),4120.0)</f>
        <v>4120</v>
      </c>
      <c r="D792" s="5">
        <f>IFERROR(__xludf.DUMMYFUNCTION("""COMPUTED_VALUE"""),4000.0)</f>
        <v>4000</v>
      </c>
      <c r="E792" s="5">
        <f>IFERROR(__xludf.DUMMYFUNCTION("""COMPUTED_VALUE"""),4120.0)</f>
        <v>4120</v>
      </c>
      <c r="F792" s="5">
        <f>IFERROR(__xludf.DUMMYFUNCTION("""COMPUTED_VALUE"""),8.88082E7)</f>
        <v>88808200</v>
      </c>
      <c r="G792" s="5">
        <f t="shared" si="1"/>
        <v>130</v>
      </c>
    </row>
    <row r="793">
      <c r="A793" s="4">
        <f>IFERROR(__xludf.DUMMYFUNCTION("""COMPUTED_VALUE"""),45009.66666666667)</f>
        <v>45009.66667</v>
      </c>
      <c r="B793" s="5">
        <f>IFERROR(__xludf.DUMMYFUNCTION("""COMPUTED_VALUE"""),4100.0)</f>
        <v>4100</v>
      </c>
      <c r="C793" s="5">
        <f>IFERROR(__xludf.DUMMYFUNCTION("""COMPUTED_VALUE"""),4120.0)</f>
        <v>4120</v>
      </c>
      <c r="D793" s="5">
        <f>IFERROR(__xludf.DUMMYFUNCTION("""COMPUTED_VALUE"""),4060.0)</f>
        <v>4060</v>
      </c>
      <c r="E793" s="5">
        <f>IFERROR(__xludf.DUMMYFUNCTION("""COMPUTED_VALUE"""),4070.0)</f>
        <v>4070</v>
      </c>
      <c r="F793" s="5">
        <f>IFERROR(__xludf.DUMMYFUNCTION("""COMPUTED_VALUE"""),9.62147E7)</f>
        <v>96214700</v>
      </c>
      <c r="G793" s="5">
        <f t="shared" si="1"/>
        <v>60</v>
      </c>
    </row>
    <row r="794">
      <c r="A794" s="4">
        <f>IFERROR(__xludf.DUMMYFUNCTION("""COMPUTED_VALUE"""),45012.66666666667)</f>
        <v>45012.66667</v>
      </c>
      <c r="B794" s="5">
        <f>IFERROR(__xludf.DUMMYFUNCTION("""COMPUTED_VALUE"""),4100.0)</f>
        <v>4100</v>
      </c>
      <c r="C794" s="5">
        <f>IFERROR(__xludf.DUMMYFUNCTION("""COMPUTED_VALUE"""),4120.0)</f>
        <v>4120</v>
      </c>
      <c r="D794" s="5">
        <f>IFERROR(__xludf.DUMMYFUNCTION("""COMPUTED_VALUE"""),4030.0)</f>
        <v>4030</v>
      </c>
      <c r="E794" s="5">
        <f>IFERROR(__xludf.DUMMYFUNCTION("""COMPUTED_VALUE"""),4050.0)</f>
        <v>4050</v>
      </c>
      <c r="F794" s="5">
        <f>IFERROR(__xludf.DUMMYFUNCTION("""COMPUTED_VALUE"""),7.15564E7)</f>
        <v>71556400</v>
      </c>
      <c r="G794" s="5">
        <f t="shared" si="1"/>
        <v>90</v>
      </c>
    </row>
    <row r="795">
      <c r="A795" s="4">
        <f>IFERROR(__xludf.DUMMYFUNCTION("""COMPUTED_VALUE"""),45013.66666666667)</f>
        <v>45013.66667</v>
      </c>
      <c r="B795" s="5">
        <f>IFERROR(__xludf.DUMMYFUNCTION("""COMPUTED_VALUE"""),4100.0)</f>
        <v>4100</v>
      </c>
      <c r="C795" s="5">
        <f>IFERROR(__xludf.DUMMYFUNCTION("""COMPUTED_VALUE"""),4100.0)</f>
        <v>4100</v>
      </c>
      <c r="D795" s="5">
        <f>IFERROR(__xludf.DUMMYFUNCTION("""COMPUTED_VALUE"""),4030.0)</f>
        <v>4030</v>
      </c>
      <c r="E795" s="5">
        <f>IFERROR(__xludf.DUMMYFUNCTION("""COMPUTED_VALUE"""),4050.0)</f>
        <v>4050</v>
      </c>
      <c r="F795" s="5">
        <f>IFERROR(__xludf.DUMMYFUNCTION("""COMPUTED_VALUE"""),8.79553E7)</f>
        <v>87955300</v>
      </c>
      <c r="G795" s="5">
        <f t="shared" si="1"/>
        <v>70</v>
      </c>
    </row>
    <row r="796">
      <c r="A796" s="4">
        <f>IFERROR(__xludf.DUMMYFUNCTION("""COMPUTED_VALUE"""),45014.66666666667)</f>
        <v>45014.66667</v>
      </c>
      <c r="B796" s="5">
        <f>IFERROR(__xludf.DUMMYFUNCTION("""COMPUTED_VALUE"""),4090.0)</f>
        <v>4090</v>
      </c>
      <c r="C796" s="5">
        <f>IFERROR(__xludf.DUMMYFUNCTION("""COMPUTED_VALUE"""),4120.0)</f>
        <v>4120</v>
      </c>
      <c r="D796" s="5">
        <f>IFERROR(__xludf.DUMMYFUNCTION("""COMPUTED_VALUE"""),4070.0)</f>
        <v>4070</v>
      </c>
      <c r="E796" s="5">
        <f>IFERROR(__xludf.DUMMYFUNCTION("""COMPUTED_VALUE"""),4100.0)</f>
        <v>4100</v>
      </c>
      <c r="F796" s="5">
        <f>IFERROR(__xludf.DUMMYFUNCTION("""COMPUTED_VALUE"""),1.135047E8)</f>
        <v>113504700</v>
      </c>
      <c r="G796" s="5">
        <f t="shared" si="1"/>
        <v>70</v>
      </c>
    </row>
    <row r="797">
      <c r="A797" s="4">
        <f>IFERROR(__xludf.DUMMYFUNCTION("""COMPUTED_VALUE"""),45015.66666666667)</f>
        <v>45015.66667</v>
      </c>
      <c r="B797" s="5">
        <f>IFERROR(__xludf.DUMMYFUNCTION("""COMPUTED_VALUE"""),4050.0)</f>
        <v>4050</v>
      </c>
      <c r="C797" s="5">
        <f>IFERROR(__xludf.DUMMYFUNCTION("""COMPUTED_VALUE"""),4130.0)</f>
        <v>4130</v>
      </c>
      <c r="D797" s="5">
        <f>IFERROR(__xludf.DUMMYFUNCTION("""COMPUTED_VALUE"""),4040.0)</f>
        <v>4040</v>
      </c>
      <c r="E797" s="5">
        <f>IFERROR(__xludf.DUMMYFUNCTION("""COMPUTED_VALUE"""),4090.0)</f>
        <v>4090</v>
      </c>
      <c r="F797" s="5">
        <f>IFERROR(__xludf.DUMMYFUNCTION("""COMPUTED_VALUE"""),8.76908E7)</f>
        <v>87690800</v>
      </c>
      <c r="G797" s="5">
        <f t="shared" si="1"/>
        <v>90</v>
      </c>
    </row>
    <row r="798">
      <c r="A798" s="4">
        <f>IFERROR(__xludf.DUMMYFUNCTION("""COMPUTED_VALUE"""),45016.66666666667)</f>
        <v>45016.66667</v>
      </c>
      <c r="B798" s="5">
        <f>IFERROR(__xludf.DUMMYFUNCTION("""COMPUTED_VALUE"""),4110.0)</f>
        <v>4110</v>
      </c>
      <c r="C798" s="5">
        <f>IFERROR(__xludf.DUMMYFUNCTION("""COMPUTED_VALUE"""),4120.0)</f>
        <v>4120</v>
      </c>
      <c r="D798" s="5">
        <f>IFERROR(__xludf.DUMMYFUNCTION("""COMPUTED_VALUE"""),4040.0)</f>
        <v>4040</v>
      </c>
      <c r="E798" s="5">
        <f>IFERROR(__xludf.DUMMYFUNCTION("""COMPUTED_VALUE"""),4060.0)</f>
        <v>4060</v>
      </c>
      <c r="F798" s="5">
        <f>IFERROR(__xludf.DUMMYFUNCTION("""COMPUTED_VALUE"""),9.3699E7)</f>
        <v>93699000</v>
      </c>
      <c r="G798" s="5">
        <f t="shared" si="1"/>
        <v>80</v>
      </c>
    </row>
    <row r="799">
      <c r="A799" s="4">
        <f>IFERROR(__xludf.DUMMYFUNCTION("""COMPUTED_VALUE"""),45019.66666666667)</f>
        <v>45019.66667</v>
      </c>
      <c r="B799" s="5">
        <f>IFERROR(__xludf.DUMMYFUNCTION("""COMPUTED_VALUE"""),4100.0)</f>
        <v>4100</v>
      </c>
      <c r="C799" s="5">
        <f>IFERROR(__xludf.DUMMYFUNCTION("""COMPUTED_VALUE"""),4100.0)</f>
        <v>4100</v>
      </c>
      <c r="D799" s="5">
        <f>IFERROR(__xludf.DUMMYFUNCTION("""COMPUTED_VALUE"""),4070.0)</f>
        <v>4070</v>
      </c>
      <c r="E799" s="5">
        <f>IFERROR(__xludf.DUMMYFUNCTION("""COMPUTED_VALUE"""),4080.0)</f>
        <v>4080</v>
      </c>
      <c r="F799" s="5">
        <f>IFERROR(__xludf.DUMMYFUNCTION("""COMPUTED_VALUE"""),5.68962E7)</f>
        <v>56896200</v>
      </c>
      <c r="G799" s="5">
        <f t="shared" si="1"/>
        <v>40</v>
      </c>
    </row>
    <row r="800">
      <c r="A800" s="4">
        <f>IFERROR(__xludf.DUMMYFUNCTION("""COMPUTED_VALUE"""),45020.66666666667)</f>
        <v>45020.66667</v>
      </c>
      <c r="B800" s="5">
        <f>IFERROR(__xludf.DUMMYFUNCTION("""COMPUTED_VALUE"""),4080.0)</f>
        <v>4080</v>
      </c>
      <c r="C800" s="5">
        <f>IFERROR(__xludf.DUMMYFUNCTION("""COMPUTED_VALUE"""),4100.0)</f>
        <v>4100</v>
      </c>
      <c r="D800" s="5">
        <f>IFERROR(__xludf.DUMMYFUNCTION("""COMPUTED_VALUE"""),4040.0)</f>
        <v>4040</v>
      </c>
      <c r="E800" s="5">
        <f>IFERROR(__xludf.DUMMYFUNCTION("""COMPUTED_VALUE"""),4060.0)</f>
        <v>4060</v>
      </c>
      <c r="F800" s="5">
        <f>IFERROR(__xludf.DUMMYFUNCTION("""COMPUTED_VALUE"""),8.29692E7)</f>
        <v>82969200</v>
      </c>
      <c r="G800" s="5">
        <f t="shared" si="1"/>
        <v>60</v>
      </c>
    </row>
    <row r="801">
      <c r="A801" s="4">
        <f>IFERROR(__xludf.DUMMYFUNCTION("""COMPUTED_VALUE"""),45021.66666666667)</f>
        <v>45021.66667</v>
      </c>
      <c r="B801" s="5">
        <f>IFERROR(__xludf.DUMMYFUNCTION("""COMPUTED_VALUE"""),4100.0)</f>
        <v>4100</v>
      </c>
      <c r="C801" s="5">
        <f>IFERROR(__xludf.DUMMYFUNCTION("""COMPUTED_VALUE"""),4170.0)</f>
        <v>4170</v>
      </c>
      <c r="D801" s="5">
        <f>IFERROR(__xludf.DUMMYFUNCTION("""COMPUTED_VALUE"""),4080.0)</f>
        <v>4080</v>
      </c>
      <c r="E801" s="5">
        <f>IFERROR(__xludf.DUMMYFUNCTION("""COMPUTED_VALUE"""),4150.0)</f>
        <v>4150</v>
      </c>
      <c r="F801" s="5">
        <f>IFERROR(__xludf.DUMMYFUNCTION("""COMPUTED_VALUE"""),7.04191E7)</f>
        <v>70419100</v>
      </c>
      <c r="G801" s="5">
        <f t="shared" si="1"/>
        <v>110</v>
      </c>
    </row>
    <row r="802">
      <c r="A802" s="4">
        <f>IFERROR(__xludf.DUMMYFUNCTION("""COMPUTED_VALUE"""),45022.66666666667)</f>
        <v>45022.66667</v>
      </c>
      <c r="B802" s="5">
        <f>IFERROR(__xludf.DUMMYFUNCTION("""COMPUTED_VALUE"""),4200.0)</f>
        <v>4200</v>
      </c>
      <c r="C802" s="5">
        <f>IFERROR(__xludf.DUMMYFUNCTION("""COMPUTED_VALUE"""),4270.0)</f>
        <v>4270</v>
      </c>
      <c r="D802" s="5">
        <f>IFERROR(__xludf.DUMMYFUNCTION("""COMPUTED_VALUE"""),4170.0)</f>
        <v>4170</v>
      </c>
      <c r="E802" s="5">
        <f>IFERROR(__xludf.DUMMYFUNCTION("""COMPUTED_VALUE"""),4250.0)</f>
        <v>4250</v>
      </c>
      <c r="F802" s="5">
        <f>IFERROR(__xludf.DUMMYFUNCTION("""COMPUTED_VALUE"""),1.253297E8)</f>
        <v>125329700</v>
      </c>
      <c r="G802" s="5">
        <f t="shared" si="1"/>
        <v>120</v>
      </c>
    </row>
    <row r="803">
      <c r="A803" s="4">
        <f>IFERROR(__xludf.DUMMYFUNCTION("""COMPUTED_VALUE"""),45026.66666666667)</f>
        <v>45026.66667</v>
      </c>
      <c r="B803" s="5">
        <f>IFERROR(__xludf.DUMMYFUNCTION("""COMPUTED_VALUE"""),4250.0)</f>
        <v>4250</v>
      </c>
      <c r="C803" s="5">
        <f>IFERROR(__xludf.DUMMYFUNCTION("""COMPUTED_VALUE"""),4300.0)</f>
        <v>4300</v>
      </c>
      <c r="D803" s="5">
        <f>IFERROR(__xludf.DUMMYFUNCTION("""COMPUTED_VALUE"""),4190.0)</f>
        <v>4190</v>
      </c>
      <c r="E803" s="5">
        <f>IFERROR(__xludf.DUMMYFUNCTION("""COMPUTED_VALUE"""),4300.0)</f>
        <v>4300</v>
      </c>
      <c r="F803" s="5">
        <f>IFERROR(__xludf.DUMMYFUNCTION("""COMPUTED_VALUE"""),8.57579E7)</f>
        <v>85757900</v>
      </c>
      <c r="G803" s="5">
        <f t="shared" si="1"/>
        <v>110</v>
      </c>
    </row>
    <row r="804">
      <c r="A804" s="4">
        <f>IFERROR(__xludf.DUMMYFUNCTION("""COMPUTED_VALUE"""),45027.66666666667)</f>
        <v>45027.66667</v>
      </c>
      <c r="B804" s="5">
        <f>IFERROR(__xludf.DUMMYFUNCTION("""COMPUTED_VALUE"""),4290.0)</f>
        <v>4290</v>
      </c>
      <c r="C804" s="5">
        <f>IFERROR(__xludf.DUMMYFUNCTION("""COMPUTED_VALUE"""),4300.0)</f>
        <v>4300</v>
      </c>
      <c r="D804" s="5">
        <f>IFERROR(__xludf.DUMMYFUNCTION("""COMPUTED_VALUE"""),4250.0)</f>
        <v>4250</v>
      </c>
      <c r="E804" s="5">
        <f>IFERROR(__xludf.DUMMYFUNCTION("""COMPUTED_VALUE"""),4300.0)</f>
        <v>4300</v>
      </c>
      <c r="F804" s="5">
        <f>IFERROR(__xludf.DUMMYFUNCTION("""COMPUTED_VALUE"""),8.43229E7)</f>
        <v>84322900</v>
      </c>
      <c r="G804" s="5">
        <f t="shared" si="1"/>
        <v>50</v>
      </c>
    </row>
    <row r="805">
      <c r="A805" s="4">
        <f>IFERROR(__xludf.DUMMYFUNCTION("""COMPUTED_VALUE"""),45028.66666666667)</f>
        <v>45028.66667</v>
      </c>
      <c r="B805" s="5">
        <f>IFERROR(__xludf.DUMMYFUNCTION("""COMPUTED_VALUE"""),4320.0)</f>
        <v>4320</v>
      </c>
      <c r="C805" s="5">
        <f>IFERROR(__xludf.DUMMYFUNCTION("""COMPUTED_VALUE"""),4350.0)</f>
        <v>4350</v>
      </c>
      <c r="D805" s="5">
        <f>IFERROR(__xludf.DUMMYFUNCTION("""COMPUTED_VALUE"""),4260.0)</f>
        <v>4260</v>
      </c>
      <c r="E805" s="5">
        <f>IFERROR(__xludf.DUMMYFUNCTION("""COMPUTED_VALUE"""),4310.0)</f>
        <v>4310</v>
      </c>
      <c r="F805" s="5">
        <f>IFERROR(__xludf.DUMMYFUNCTION("""COMPUTED_VALUE"""),1.789237E8)</f>
        <v>178923700</v>
      </c>
      <c r="G805" s="5">
        <f t="shared" si="1"/>
        <v>90</v>
      </c>
    </row>
    <row r="806">
      <c r="A806" s="4">
        <f>IFERROR(__xludf.DUMMYFUNCTION("""COMPUTED_VALUE"""),45029.66666666667)</f>
        <v>45029.66667</v>
      </c>
      <c r="B806" s="5">
        <f>IFERROR(__xludf.DUMMYFUNCTION("""COMPUTED_VALUE"""),4340.0)</f>
        <v>4340</v>
      </c>
      <c r="C806" s="5">
        <f>IFERROR(__xludf.DUMMYFUNCTION("""COMPUTED_VALUE"""),4350.0)</f>
        <v>4350</v>
      </c>
      <c r="D806" s="5">
        <f>IFERROR(__xludf.DUMMYFUNCTION("""COMPUTED_VALUE"""),4290.0)</f>
        <v>4290</v>
      </c>
      <c r="E806" s="5">
        <f>IFERROR(__xludf.DUMMYFUNCTION("""COMPUTED_VALUE"""),4340.0)</f>
        <v>4340</v>
      </c>
      <c r="F806" s="5">
        <f>IFERROR(__xludf.DUMMYFUNCTION("""COMPUTED_VALUE"""),1.194316E8)</f>
        <v>119431600</v>
      </c>
      <c r="G806" s="5">
        <f t="shared" si="1"/>
        <v>60</v>
      </c>
    </row>
    <row r="807">
      <c r="A807" s="4">
        <f>IFERROR(__xludf.DUMMYFUNCTION("""COMPUTED_VALUE"""),45030.66666666667)</f>
        <v>45030.66667</v>
      </c>
      <c r="B807" s="5">
        <f>IFERROR(__xludf.DUMMYFUNCTION("""COMPUTED_VALUE"""),4340.0)</f>
        <v>4340</v>
      </c>
      <c r="C807" s="5">
        <f>IFERROR(__xludf.DUMMYFUNCTION("""COMPUTED_VALUE"""),4360.0)</f>
        <v>4360</v>
      </c>
      <c r="D807" s="5">
        <f>IFERROR(__xludf.DUMMYFUNCTION("""COMPUTED_VALUE"""),4320.0)</f>
        <v>4320</v>
      </c>
      <c r="E807" s="5">
        <f>IFERROR(__xludf.DUMMYFUNCTION("""COMPUTED_VALUE"""),4340.0)</f>
        <v>4340</v>
      </c>
      <c r="F807" s="5">
        <f>IFERROR(__xludf.DUMMYFUNCTION("""COMPUTED_VALUE"""),1.173055E8)</f>
        <v>117305500</v>
      </c>
      <c r="G807" s="5">
        <f t="shared" si="1"/>
        <v>40</v>
      </c>
    </row>
    <row r="808">
      <c r="A808" s="4">
        <f>IFERROR(__xludf.DUMMYFUNCTION("""COMPUTED_VALUE"""),45033.66666666667)</f>
        <v>45033.66667</v>
      </c>
      <c r="B808" s="5">
        <f>IFERROR(__xludf.DUMMYFUNCTION("""COMPUTED_VALUE"""),4340.0)</f>
        <v>4340</v>
      </c>
      <c r="C808" s="5">
        <f>IFERROR(__xludf.DUMMYFUNCTION("""COMPUTED_VALUE"""),4340.0)</f>
        <v>4340</v>
      </c>
      <c r="D808" s="5">
        <f>IFERROR(__xludf.DUMMYFUNCTION("""COMPUTED_VALUE"""),4250.0)</f>
        <v>4250</v>
      </c>
      <c r="E808" s="5">
        <f>IFERROR(__xludf.DUMMYFUNCTION("""COMPUTED_VALUE"""),4270.0)</f>
        <v>4270</v>
      </c>
      <c r="F808" s="5">
        <f>IFERROR(__xludf.DUMMYFUNCTION("""COMPUTED_VALUE"""),5.9688E7)</f>
        <v>59688000</v>
      </c>
      <c r="G808" s="5">
        <f t="shared" si="1"/>
        <v>90</v>
      </c>
    </row>
    <row r="809">
      <c r="A809" s="4">
        <f>IFERROR(__xludf.DUMMYFUNCTION("""COMPUTED_VALUE"""),45034.66666666667)</f>
        <v>45034.66667</v>
      </c>
      <c r="B809" s="5">
        <f>IFERROR(__xludf.DUMMYFUNCTION("""COMPUTED_VALUE"""),4240.0)</f>
        <v>4240</v>
      </c>
      <c r="C809" s="5">
        <f>IFERROR(__xludf.DUMMYFUNCTION("""COMPUTED_VALUE"""),4280.0)</f>
        <v>4280</v>
      </c>
      <c r="D809" s="5">
        <f>IFERROR(__xludf.DUMMYFUNCTION("""COMPUTED_VALUE"""),4230.0)</f>
        <v>4230</v>
      </c>
      <c r="E809" s="5">
        <f>IFERROR(__xludf.DUMMYFUNCTION("""COMPUTED_VALUE"""),4270.0)</f>
        <v>4270</v>
      </c>
      <c r="F809" s="5">
        <f>IFERROR(__xludf.DUMMYFUNCTION("""COMPUTED_VALUE"""),6.56446E7)</f>
        <v>65644600</v>
      </c>
      <c r="G809" s="5">
        <f t="shared" si="1"/>
        <v>50</v>
      </c>
    </row>
    <row r="810">
      <c r="A810" s="4">
        <f>IFERROR(__xludf.DUMMYFUNCTION("""COMPUTED_VALUE"""),45042.66666666667)</f>
        <v>45042.66667</v>
      </c>
      <c r="B810" s="5">
        <f>IFERROR(__xludf.DUMMYFUNCTION("""COMPUTED_VALUE"""),4480.0)</f>
        <v>4480</v>
      </c>
      <c r="C810" s="5">
        <f>IFERROR(__xludf.DUMMYFUNCTION("""COMPUTED_VALUE"""),4500.0)</f>
        <v>4500</v>
      </c>
      <c r="D810" s="5">
        <f>IFERROR(__xludf.DUMMYFUNCTION("""COMPUTED_VALUE"""),4330.0)</f>
        <v>4330</v>
      </c>
      <c r="E810" s="5">
        <f>IFERROR(__xludf.DUMMYFUNCTION("""COMPUTED_VALUE"""),4400.0)</f>
        <v>4400</v>
      </c>
      <c r="F810" s="5">
        <f>IFERROR(__xludf.DUMMYFUNCTION("""COMPUTED_VALUE"""),1.989841E8)</f>
        <v>198984100</v>
      </c>
      <c r="G810" s="5">
        <f t="shared" si="1"/>
        <v>230</v>
      </c>
    </row>
    <row r="811">
      <c r="A811" s="4">
        <f>IFERROR(__xludf.DUMMYFUNCTION("""COMPUTED_VALUE"""),45043.66666666667)</f>
        <v>45043.66667</v>
      </c>
      <c r="B811" s="5">
        <f>IFERROR(__xludf.DUMMYFUNCTION("""COMPUTED_VALUE"""),4450.0)</f>
        <v>4450</v>
      </c>
      <c r="C811" s="5">
        <f>IFERROR(__xludf.DUMMYFUNCTION("""COMPUTED_VALUE"""),4450.0)</f>
        <v>4450</v>
      </c>
      <c r="D811" s="5">
        <f>IFERROR(__xludf.DUMMYFUNCTION("""COMPUTED_VALUE"""),4300.0)</f>
        <v>4300</v>
      </c>
      <c r="E811" s="5">
        <f>IFERROR(__xludf.DUMMYFUNCTION("""COMPUTED_VALUE"""),4320.0)</f>
        <v>4320</v>
      </c>
      <c r="F811" s="5">
        <f>IFERROR(__xludf.DUMMYFUNCTION("""COMPUTED_VALUE"""),5.8407E7)</f>
        <v>58407000</v>
      </c>
      <c r="G811" s="5">
        <f t="shared" si="1"/>
        <v>150</v>
      </c>
    </row>
    <row r="812">
      <c r="A812" s="4">
        <f>IFERROR(__xludf.DUMMYFUNCTION("""COMPUTED_VALUE"""),45044.66666666667)</f>
        <v>45044.66667</v>
      </c>
      <c r="B812" s="5">
        <f>IFERROR(__xludf.DUMMYFUNCTION("""COMPUTED_VALUE"""),4270.0)</f>
        <v>4270</v>
      </c>
      <c r="C812" s="5">
        <f>IFERROR(__xludf.DUMMYFUNCTION("""COMPUTED_VALUE"""),4320.0)</f>
        <v>4320</v>
      </c>
      <c r="D812" s="5">
        <f>IFERROR(__xludf.DUMMYFUNCTION("""COMPUTED_VALUE"""),4220.0)</f>
        <v>4220</v>
      </c>
      <c r="E812" s="5">
        <f>IFERROR(__xludf.DUMMYFUNCTION("""COMPUTED_VALUE"""),4250.0)</f>
        <v>4250</v>
      </c>
      <c r="F812" s="5">
        <f>IFERROR(__xludf.DUMMYFUNCTION("""COMPUTED_VALUE"""),1.121169E8)</f>
        <v>112116900</v>
      </c>
      <c r="G812" s="5">
        <f t="shared" si="1"/>
        <v>100</v>
      </c>
    </row>
    <row r="813">
      <c r="A813" s="4">
        <f>IFERROR(__xludf.DUMMYFUNCTION("""COMPUTED_VALUE"""),45048.66666666667)</f>
        <v>45048.66667</v>
      </c>
      <c r="B813" s="5">
        <f>IFERROR(__xludf.DUMMYFUNCTION("""COMPUTED_VALUE"""),4210.0)</f>
        <v>4210</v>
      </c>
      <c r="C813" s="5">
        <f>IFERROR(__xludf.DUMMYFUNCTION("""COMPUTED_VALUE"""),4220.0)</f>
        <v>4220</v>
      </c>
      <c r="D813" s="5">
        <f>IFERROR(__xludf.DUMMYFUNCTION("""COMPUTED_VALUE"""),4130.0)</f>
        <v>4130</v>
      </c>
      <c r="E813" s="5">
        <f>IFERROR(__xludf.DUMMYFUNCTION("""COMPUTED_VALUE"""),4190.0)</f>
        <v>4190</v>
      </c>
      <c r="F813" s="5">
        <f>IFERROR(__xludf.DUMMYFUNCTION("""COMPUTED_VALUE"""),1.170974E8)</f>
        <v>117097400</v>
      </c>
      <c r="G813" s="5">
        <f t="shared" si="1"/>
        <v>120</v>
      </c>
    </row>
    <row r="814">
      <c r="A814" s="4">
        <f>IFERROR(__xludf.DUMMYFUNCTION("""COMPUTED_VALUE"""),45049.66666666667)</f>
        <v>45049.66667</v>
      </c>
      <c r="B814" s="5">
        <f>IFERROR(__xludf.DUMMYFUNCTION("""COMPUTED_VALUE"""),4200.0)</f>
        <v>4200</v>
      </c>
      <c r="C814" s="5">
        <f>IFERROR(__xludf.DUMMYFUNCTION("""COMPUTED_VALUE"""),4200.0)</f>
        <v>4200</v>
      </c>
      <c r="D814" s="5">
        <f>IFERROR(__xludf.DUMMYFUNCTION("""COMPUTED_VALUE"""),4080.0)</f>
        <v>4080</v>
      </c>
      <c r="E814" s="5">
        <f>IFERROR(__xludf.DUMMYFUNCTION("""COMPUTED_VALUE"""),4150.0)</f>
        <v>4150</v>
      </c>
      <c r="F814" s="5">
        <f>IFERROR(__xludf.DUMMYFUNCTION("""COMPUTED_VALUE"""),1.585978E8)</f>
        <v>158597800</v>
      </c>
      <c r="G814" s="5">
        <f t="shared" si="1"/>
        <v>120</v>
      </c>
    </row>
    <row r="815">
      <c r="A815" s="4">
        <f>IFERROR(__xludf.DUMMYFUNCTION("""COMPUTED_VALUE"""),45050.66666666667)</f>
        <v>45050.66667</v>
      </c>
      <c r="B815" s="5">
        <f>IFERROR(__xludf.DUMMYFUNCTION("""COMPUTED_VALUE"""),4170.0)</f>
        <v>4170</v>
      </c>
      <c r="C815" s="5">
        <f>IFERROR(__xludf.DUMMYFUNCTION("""COMPUTED_VALUE"""),4190.0)</f>
        <v>4190</v>
      </c>
      <c r="D815" s="5">
        <f>IFERROR(__xludf.DUMMYFUNCTION("""COMPUTED_VALUE"""),4140.0)</f>
        <v>4140</v>
      </c>
      <c r="E815" s="5">
        <f>IFERROR(__xludf.DUMMYFUNCTION("""COMPUTED_VALUE"""),4150.0)</f>
        <v>4150</v>
      </c>
      <c r="F815" s="5">
        <f>IFERROR(__xludf.DUMMYFUNCTION("""COMPUTED_VALUE"""),9.84213E7)</f>
        <v>98421300</v>
      </c>
      <c r="G815" s="5">
        <f t="shared" si="1"/>
        <v>50</v>
      </c>
    </row>
    <row r="816">
      <c r="A816" s="4">
        <f>IFERROR(__xludf.DUMMYFUNCTION("""COMPUTED_VALUE"""),45051.66666666667)</f>
        <v>45051.66667</v>
      </c>
      <c r="B816" s="5">
        <f>IFERROR(__xludf.DUMMYFUNCTION("""COMPUTED_VALUE"""),4160.0)</f>
        <v>4160</v>
      </c>
      <c r="C816" s="5">
        <f>IFERROR(__xludf.DUMMYFUNCTION("""COMPUTED_VALUE"""),4170.0)</f>
        <v>4170</v>
      </c>
      <c r="D816" s="5">
        <f>IFERROR(__xludf.DUMMYFUNCTION("""COMPUTED_VALUE"""),4080.0)</f>
        <v>4080</v>
      </c>
      <c r="E816" s="5">
        <f>IFERROR(__xludf.DUMMYFUNCTION("""COMPUTED_VALUE"""),4170.0)</f>
        <v>4170</v>
      </c>
      <c r="F816" s="5">
        <f>IFERROR(__xludf.DUMMYFUNCTION("""COMPUTED_VALUE"""),1.134081E8)</f>
        <v>113408100</v>
      </c>
      <c r="G816" s="5">
        <f t="shared" si="1"/>
        <v>90</v>
      </c>
    </row>
    <row r="817">
      <c r="A817" s="4">
        <f>IFERROR(__xludf.DUMMYFUNCTION("""COMPUTED_VALUE"""),45054.66666666667)</f>
        <v>45054.66667</v>
      </c>
      <c r="B817" s="5">
        <f>IFERROR(__xludf.DUMMYFUNCTION("""COMPUTED_VALUE"""),4170.0)</f>
        <v>4170</v>
      </c>
      <c r="C817" s="5">
        <f>IFERROR(__xludf.DUMMYFUNCTION("""COMPUTED_VALUE"""),4180.0)</f>
        <v>4180</v>
      </c>
      <c r="D817" s="5">
        <f>IFERROR(__xludf.DUMMYFUNCTION("""COMPUTED_VALUE"""),4040.0)</f>
        <v>4040</v>
      </c>
      <c r="E817" s="5">
        <f>IFERROR(__xludf.DUMMYFUNCTION("""COMPUTED_VALUE"""),4060.0)</f>
        <v>4060</v>
      </c>
      <c r="F817" s="5">
        <f>IFERROR(__xludf.DUMMYFUNCTION("""COMPUTED_VALUE"""),1.210026E8)</f>
        <v>121002600</v>
      </c>
      <c r="G817" s="5">
        <f t="shared" si="1"/>
        <v>140</v>
      </c>
    </row>
    <row r="818">
      <c r="A818" s="4">
        <f>IFERROR(__xludf.DUMMYFUNCTION("""COMPUTED_VALUE"""),45055.66666666667)</f>
        <v>45055.66667</v>
      </c>
      <c r="B818" s="5">
        <f>IFERROR(__xludf.DUMMYFUNCTION("""COMPUTED_VALUE"""),4050.0)</f>
        <v>4050</v>
      </c>
      <c r="C818" s="5">
        <f>IFERROR(__xludf.DUMMYFUNCTION("""COMPUTED_VALUE"""),4090.0)</f>
        <v>4090</v>
      </c>
      <c r="D818" s="5">
        <f>IFERROR(__xludf.DUMMYFUNCTION("""COMPUTED_VALUE"""),4030.0)</f>
        <v>4030</v>
      </c>
      <c r="E818" s="5">
        <f>IFERROR(__xludf.DUMMYFUNCTION("""COMPUTED_VALUE"""),4070.0)</f>
        <v>4070</v>
      </c>
      <c r="F818" s="5">
        <f>IFERROR(__xludf.DUMMYFUNCTION("""COMPUTED_VALUE"""),1.059079E8)</f>
        <v>105907900</v>
      </c>
      <c r="G818" s="5">
        <f t="shared" si="1"/>
        <v>60</v>
      </c>
    </row>
    <row r="819">
      <c r="A819" s="4">
        <f>IFERROR(__xludf.DUMMYFUNCTION("""COMPUTED_VALUE"""),45056.66666666667)</f>
        <v>45056.66667</v>
      </c>
      <c r="B819" s="5">
        <f>IFERROR(__xludf.DUMMYFUNCTION("""COMPUTED_VALUE"""),4050.0)</f>
        <v>4050</v>
      </c>
      <c r="C819" s="5">
        <f>IFERROR(__xludf.DUMMYFUNCTION("""COMPUTED_VALUE"""),4130.0)</f>
        <v>4130</v>
      </c>
      <c r="D819" s="5">
        <f>IFERROR(__xludf.DUMMYFUNCTION("""COMPUTED_VALUE"""),4040.0)</f>
        <v>4040</v>
      </c>
      <c r="E819" s="5">
        <f>IFERROR(__xludf.DUMMYFUNCTION("""COMPUTED_VALUE"""),4130.0)</f>
        <v>4130</v>
      </c>
      <c r="F819" s="5">
        <f>IFERROR(__xludf.DUMMYFUNCTION("""COMPUTED_VALUE"""),8.43066E7)</f>
        <v>84306600</v>
      </c>
      <c r="G819" s="5">
        <f t="shared" si="1"/>
        <v>90</v>
      </c>
    </row>
    <row r="820">
      <c r="A820" s="4">
        <f>IFERROR(__xludf.DUMMYFUNCTION("""COMPUTED_VALUE"""),45057.66666666667)</f>
        <v>45057.66667</v>
      </c>
      <c r="B820" s="5">
        <f>IFERROR(__xludf.DUMMYFUNCTION("""COMPUTED_VALUE"""),4100.0)</f>
        <v>4100</v>
      </c>
      <c r="C820" s="5">
        <f>IFERROR(__xludf.DUMMYFUNCTION("""COMPUTED_VALUE"""),4120.0)</f>
        <v>4120</v>
      </c>
      <c r="D820" s="5">
        <f>IFERROR(__xludf.DUMMYFUNCTION("""COMPUTED_VALUE"""),4060.0)</f>
        <v>4060</v>
      </c>
      <c r="E820" s="5">
        <f>IFERROR(__xludf.DUMMYFUNCTION("""COMPUTED_VALUE"""),4090.0)</f>
        <v>4090</v>
      </c>
      <c r="F820" s="5">
        <f>IFERROR(__xludf.DUMMYFUNCTION("""COMPUTED_VALUE"""),7.41713E7)</f>
        <v>74171300</v>
      </c>
      <c r="G820" s="5">
        <f t="shared" si="1"/>
        <v>70</v>
      </c>
    </row>
    <row r="821">
      <c r="A821" s="4">
        <f>IFERROR(__xludf.DUMMYFUNCTION("""COMPUTED_VALUE"""),45058.66666666667)</f>
        <v>45058.66667</v>
      </c>
      <c r="B821" s="5">
        <f>IFERROR(__xludf.DUMMYFUNCTION("""COMPUTED_VALUE"""),4050.0)</f>
        <v>4050</v>
      </c>
      <c r="C821" s="5">
        <f>IFERROR(__xludf.DUMMYFUNCTION("""COMPUTED_VALUE"""),4050.0)</f>
        <v>4050</v>
      </c>
      <c r="D821" s="5">
        <f>IFERROR(__xludf.DUMMYFUNCTION("""COMPUTED_VALUE"""),3950.0)</f>
        <v>3950</v>
      </c>
      <c r="E821" s="5">
        <f>IFERROR(__xludf.DUMMYFUNCTION("""COMPUTED_VALUE"""),3980.0)</f>
        <v>3980</v>
      </c>
      <c r="F821" s="5">
        <f>IFERROR(__xludf.DUMMYFUNCTION("""COMPUTED_VALUE"""),2.367776E8)</f>
        <v>236777600</v>
      </c>
      <c r="G821" s="5">
        <f t="shared" si="1"/>
        <v>140</v>
      </c>
    </row>
    <row r="822">
      <c r="A822" s="4">
        <f>IFERROR(__xludf.DUMMYFUNCTION("""COMPUTED_VALUE"""),45061.66666666667)</f>
        <v>45061.66667</v>
      </c>
      <c r="B822" s="5">
        <f>IFERROR(__xludf.DUMMYFUNCTION("""COMPUTED_VALUE"""),3990.0)</f>
        <v>3990</v>
      </c>
      <c r="C822" s="5">
        <f>IFERROR(__xludf.DUMMYFUNCTION("""COMPUTED_VALUE"""),3990.0)</f>
        <v>3990</v>
      </c>
      <c r="D822" s="5">
        <f>IFERROR(__xludf.DUMMYFUNCTION("""COMPUTED_VALUE"""),3930.0)</f>
        <v>3930</v>
      </c>
      <c r="E822" s="5">
        <f>IFERROR(__xludf.DUMMYFUNCTION("""COMPUTED_VALUE"""),3980.0)</f>
        <v>3980</v>
      </c>
      <c r="F822" s="5">
        <f>IFERROR(__xludf.DUMMYFUNCTION("""COMPUTED_VALUE"""),1.133293E8)</f>
        <v>113329300</v>
      </c>
      <c r="G822" s="5">
        <f t="shared" si="1"/>
        <v>60</v>
      </c>
    </row>
    <row r="823">
      <c r="A823" s="4">
        <f>IFERROR(__xludf.DUMMYFUNCTION("""COMPUTED_VALUE"""),45062.66666666667)</f>
        <v>45062.66667</v>
      </c>
      <c r="B823" s="5">
        <f>IFERROR(__xludf.DUMMYFUNCTION("""COMPUTED_VALUE"""),4020.0)</f>
        <v>4020</v>
      </c>
      <c r="C823" s="5">
        <f>IFERROR(__xludf.DUMMYFUNCTION("""COMPUTED_VALUE"""),4020.0)</f>
        <v>4020</v>
      </c>
      <c r="D823" s="5">
        <f>IFERROR(__xludf.DUMMYFUNCTION("""COMPUTED_VALUE"""),3940.0)</f>
        <v>3940</v>
      </c>
      <c r="E823" s="5">
        <f>IFERROR(__xludf.DUMMYFUNCTION("""COMPUTED_VALUE"""),3980.0)</f>
        <v>3980</v>
      </c>
      <c r="F823" s="5">
        <f>IFERROR(__xludf.DUMMYFUNCTION("""COMPUTED_VALUE"""),6.87772E7)</f>
        <v>68777200</v>
      </c>
      <c r="G823" s="5">
        <f t="shared" si="1"/>
        <v>80</v>
      </c>
    </row>
    <row r="824">
      <c r="A824" s="4">
        <f>IFERROR(__xludf.DUMMYFUNCTION("""COMPUTED_VALUE"""),45063.66666666667)</f>
        <v>45063.66667</v>
      </c>
      <c r="B824" s="5">
        <f>IFERROR(__xludf.DUMMYFUNCTION("""COMPUTED_VALUE"""),3980.0)</f>
        <v>3980</v>
      </c>
      <c r="C824" s="5">
        <f>IFERROR(__xludf.DUMMYFUNCTION("""COMPUTED_VALUE"""),4020.0)</f>
        <v>4020</v>
      </c>
      <c r="D824" s="5">
        <f>IFERROR(__xludf.DUMMYFUNCTION("""COMPUTED_VALUE"""),3960.0)</f>
        <v>3960</v>
      </c>
      <c r="E824" s="5">
        <f>IFERROR(__xludf.DUMMYFUNCTION("""COMPUTED_VALUE"""),3990.0)</f>
        <v>3990</v>
      </c>
      <c r="F824" s="5">
        <f>IFERROR(__xludf.DUMMYFUNCTION("""COMPUTED_VALUE"""),8.31833E7)</f>
        <v>83183300</v>
      </c>
      <c r="G824" s="5">
        <f t="shared" si="1"/>
        <v>60</v>
      </c>
    </row>
    <row r="825">
      <c r="A825" s="4">
        <f>IFERROR(__xludf.DUMMYFUNCTION("""COMPUTED_VALUE"""),45065.66666666667)</f>
        <v>45065.66667</v>
      </c>
      <c r="B825" s="5">
        <f>IFERROR(__xludf.DUMMYFUNCTION("""COMPUTED_VALUE"""),3990.0)</f>
        <v>3990</v>
      </c>
      <c r="C825" s="5">
        <f>IFERROR(__xludf.DUMMYFUNCTION("""COMPUTED_VALUE"""),4060.0)</f>
        <v>4060</v>
      </c>
      <c r="D825" s="5">
        <f>IFERROR(__xludf.DUMMYFUNCTION("""COMPUTED_VALUE"""),3970.0)</f>
        <v>3970</v>
      </c>
      <c r="E825" s="5">
        <f>IFERROR(__xludf.DUMMYFUNCTION("""COMPUTED_VALUE"""),4020.0)</f>
        <v>4020</v>
      </c>
      <c r="F825" s="5">
        <f>IFERROR(__xludf.DUMMYFUNCTION("""COMPUTED_VALUE"""),9.5986E7)</f>
        <v>95986000</v>
      </c>
      <c r="G825" s="5">
        <f t="shared" si="1"/>
        <v>90</v>
      </c>
    </row>
    <row r="826">
      <c r="A826" s="4">
        <f>IFERROR(__xludf.DUMMYFUNCTION("""COMPUTED_VALUE"""),45068.66666666667)</f>
        <v>45068.66667</v>
      </c>
      <c r="B826" s="5">
        <f>IFERROR(__xludf.DUMMYFUNCTION("""COMPUTED_VALUE"""),4000.0)</f>
        <v>4000</v>
      </c>
      <c r="C826" s="5">
        <f>IFERROR(__xludf.DUMMYFUNCTION("""COMPUTED_VALUE"""),4080.0)</f>
        <v>4080</v>
      </c>
      <c r="D826" s="5">
        <f>IFERROR(__xludf.DUMMYFUNCTION("""COMPUTED_VALUE"""),3980.0)</f>
        <v>3980</v>
      </c>
      <c r="E826" s="5">
        <f>IFERROR(__xludf.DUMMYFUNCTION("""COMPUTED_VALUE"""),4040.0)</f>
        <v>4040</v>
      </c>
      <c r="F826" s="5">
        <f>IFERROR(__xludf.DUMMYFUNCTION("""COMPUTED_VALUE"""),1.155781E8)</f>
        <v>115578100</v>
      </c>
      <c r="G826" s="5">
        <f t="shared" si="1"/>
        <v>100</v>
      </c>
    </row>
    <row r="827">
      <c r="A827" s="4">
        <f>IFERROR(__xludf.DUMMYFUNCTION("""COMPUTED_VALUE"""),45069.66666666667)</f>
        <v>45069.66667</v>
      </c>
      <c r="B827" s="5">
        <f>IFERROR(__xludf.DUMMYFUNCTION("""COMPUTED_VALUE"""),4030.0)</f>
        <v>4030</v>
      </c>
      <c r="C827" s="5">
        <f>IFERROR(__xludf.DUMMYFUNCTION("""COMPUTED_VALUE"""),4080.0)</f>
        <v>4080</v>
      </c>
      <c r="D827" s="5">
        <f>IFERROR(__xludf.DUMMYFUNCTION("""COMPUTED_VALUE"""),4030.0)</f>
        <v>4030</v>
      </c>
      <c r="E827" s="5">
        <f>IFERROR(__xludf.DUMMYFUNCTION("""COMPUTED_VALUE"""),4040.0)</f>
        <v>4040</v>
      </c>
      <c r="F827" s="5">
        <f>IFERROR(__xludf.DUMMYFUNCTION("""COMPUTED_VALUE"""),1.32751E8)</f>
        <v>132751000</v>
      </c>
      <c r="G827" s="5">
        <f t="shared" si="1"/>
        <v>50</v>
      </c>
    </row>
    <row r="828">
      <c r="A828" s="4">
        <f>IFERROR(__xludf.DUMMYFUNCTION("""COMPUTED_VALUE"""),45070.66666666667)</f>
        <v>45070.66667</v>
      </c>
      <c r="B828" s="5">
        <f>IFERROR(__xludf.DUMMYFUNCTION("""COMPUTED_VALUE"""),4020.0)</f>
        <v>4020</v>
      </c>
      <c r="C828" s="5">
        <f>IFERROR(__xludf.DUMMYFUNCTION("""COMPUTED_VALUE"""),4200.0)</f>
        <v>4200</v>
      </c>
      <c r="D828" s="5">
        <f>IFERROR(__xludf.DUMMYFUNCTION("""COMPUTED_VALUE"""),4020.0)</f>
        <v>4020</v>
      </c>
      <c r="E828" s="5">
        <f>IFERROR(__xludf.DUMMYFUNCTION("""COMPUTED_VALUE"""),4160.0)</f>
        <v>4160</v>
      </c>
      <c r="F828" s="5">
        <f>IFERROR(__xludf.DUMMYFUNCTION("""COMPUTED_VALUE"""),1.941275E8)</f>
        <v>194127500</v>
      </c>
      <c r="G828" s="5">
        <f t="shared" si="1"/>
        <v>180</v>
      </c>
    </row>
    <row r="829">
      <c r="A829" s="4">
        <f>IFERROR(__xludf.DUMMYFUNCTION("""COMPUTED_VALUE"""),45071.66666666667)</f>
        <v>45071.66667</v>
      </c>
      <c r="B829" s="5">
        <f>IFERROR(__xludf.DUMMYFUNCTION("""COMPUTED_VALUE"""),4190.0)</f>
        <v>4190</v>
      </c>
      <c r="C829" s="5">
        <f>IFERROR(__xludf.DUMMYFUNCTION("""COMPUTED_VALUE"""),4220.0)</f>
        <v>4220</v>
      </c>
      <c r="D829" s="5">
        <f>IFERROR(__xludf.DUMMYFUNCTION("""COMPUTED_VALUE"""),4120.0)</f>
        <v>4120</v>
      </c>
      <c r="E829" s="5">
        <f>IFERROR(__xludf.DUMMYFUNCTION("""COMPUTED_VALUE"""),4120.0)</f>
        <v>4120</v>
      </c>
      <c r="F829" s="5">
        <f>IFERROR(__xludf.DUMMYFUNCTION("""COMPUTED_VALUE"""),1.22121E8)</f>
        <v>122121000</v>
      </c>
      <c r="G829" s="5">
        <f t="shared" si="1"/>
        <v>100</v>
      </c>
    </row>
    <row r="830">
      <c r="A830" s="4">
        <f>IFERROR(__xludf.DUMMYFUNCTION("""COMPUTED_VALUE"""),45072.66666666667)</f>
        <v>45072.66667</v>
      </c>
      <c r="B830" s="5">
        <f>IFERROR(__xludf.DUMMYFUNCTION("""COMPUTED_VALUE"""),4140.0)</f>
        <v>4140</v>
      </c>
      <c r="C830" s="5">
        <f>IFERROR(__xludf.DUMMYFUNCTION("""COMPUTED_VALUE"""),4160.0)</f>
        <v>4160</v>
      </c>
      <c r="D830" s="5">
        <f>IFERROR(__xludf.DUMMYFUNCTION("""COMPUTED_VALUE"""),4110.0)</f>
        <v>4110</v>
      </c>
      <c r="E830" s="5">
        <f>IFERROR(__xludf.DUMMYFUNCTION("""COMPUTED_VALUE"""),4130.0)</f>
        <v>4130</v>
      </c>
      <c r="F830" s="5">
        <f>IFERROR(__xludf.DUMMYFUNCTION("""COMPUTED_VALUE"""),6.22118E7)</f>
        <v>62211800</v>
      </c>
      <c r="G830" s="5">
        <f t="shared" si="1"/>
        <v>50</v>
      </c>
    </row>
    <row r="831">
      <c r="A831" s="4">
        <f>IFERROR(__xludf.DUMMYFUNCTION("""COMPUTED_VALUE"""),45075.66666666667)</f>
        <v>45075.66667</v>
      </c>
      <c r="B831" s="5">
        <f>IFERROR(__xludf.DUMMYFUNCTION("""COMPUTED_VALUE"""),4120.0)</f>
        <v>4120</v>
      </c>
      <c r="C831" s="5">
        <f>IFERROR(__xludf.DUMMYFUNCTION("""COMPUTED_VALUE"""),4200.0)</f>
        <v>4200</v>
      </c>
      <c r="D831" s="5">
        <f>IFERROR(__xludf.DUMMYFUNCTION("""COMPUTED_VALUE"""),4090.0)</f>
        <v>4090</v>
      </c>
      <c r="E831" s="5">
        <f>IFERROR(__xludf.DUMMYFUNCTION("""COMPUTED_VALUE"""),4200.0)</f>
        <v>4200</v>
      </c>
      <c r="F831" s="5">
        <f>IFERROR(__xludf.DUMMYFUNCTION("""COMPUTED_VALUE"""),7.75403E7)</f>
        <v>77540300</v>
      </c>
      <c r="G831" s="5">
        <f t="shared" si="1"/>
        <v>110</v>
      </c>
    </row>
    <row r="832">
      <c r="A832" s="4">
        <f>IFERROR(__xludf.DUMMYFUNCTION("""COMPUTED_VALUE"""),45076.66666666667)</f>
        <v>45076.66667</v>
      </c>
      <c r="B832" s="5">
        <f>IFERROR(__xludf.DUMMYFUNCTION("""COMPUTED_VALUE"""),4140.0)</f>
        <v>4140</v>
      </c>
      <c r="C832" s="5">
        <f>IFERROR(__xludf.DUMMYFUNCTION("""COMPUTED_VALUE"""),4190.0)</f>
        <v>4190</v>
      </c>
      <c r="D832" s="5">
        <f>IFERROR(__xludf.DUMMYFUNCTION("""COMPUTED_VALUE"""),4120.0)</f>
        <v>4120</v>
      </c>
      <c r="E832" s="5">
        <f>IFERROR(__xludf.DUMMYFUNCTION("""COMPUTED_VALUE"""),4120.0)</f>
        <v>4120</v>
      </c>
      <c r="F832" s="5">
        <f>IFERROR(__xludf.DUMMYFUNCTION("""COMPUTED_VALUE"""),7.89247E7)</f>
        <v>78924700</v>
      </c>
      <c r="G832" s="5">
        <f t="shared" si="1"/>
        <v>80</v>
      </c>
    </row>
    <row r="833">
      <c r="A833" s="4">
        <f>IFERROR(__xludf.DUMMYFUNCTION("""COMPUTED_VALUE"""),45077.66666666667)</f>
        <v>45077.66667</v>
      </c>
      <c r="B833" s="5">
        <f>IFERROR(__xludf.DUMMYFUNCTION("""COMPUTED_VALUE"""),4120.0)</f>
        <v>4120</v>
      </c>
      <c r="C833" s="5">
        <f>IFERROR(__xludf.DUMMYFUNCTION("""COMPUTED_VALUE"""),4160.0)</f>
        <v>4160</v>
      </c>
      <c r="D833" s="5">
        <f>IFERROR(__xludf.DUMMYFUNCTION("""COMPUTED_VALUE"""),4040.0)</f>
        <v>4040</v>
      </c>
      <c r="E833" s="5">
        <f>IFERROR(__xludf.DUMMYFUNCTION("""COMPUTED_VALUE"""),4040.0)</f>
        <v>4040</v>
      </c>
      <c r="F833" s="5">
        <f>IFERROR(__xludf.DUMMYFUNCTION("""COMPUTED_VALUE"""),1.1558614E9)</f>
        <v>1155861400</v>
      </c>
      <c r="G833" s="5">
        <f t="shared" si="1"/>
        <v>120</v>
      </c>
    </row>
    <row r="834">
      <c r="A834" s="4">
        <f>IFERROR(__xludf.DUMMYFUNCTION("""COMPUTED_VALUE"""),45082.66666666667)</f>
        <v>45082.66667</v>
      </c>
      <c r="B834" s="5">
        <f>IFERROR(__xludf.DUMMYFUNCTION("""COMPUTED_VALUE"""),4060.0)</f>
        <v>4060</v>
      </c>
      <c r="C834" s="5">
        <f>IFERROR(__xludf.DUMMYFUNCTION("""COMPUTED_VALUE"""),4130.0)</f>
        <v>4130</v>
      </c>
      <c r="D834" s="5">
        <f>IFERROR(__xludf.DUMMYFUNCTION("""COMPUTED_VALUE"""),4020.0)</f>
        <v>4020</v>
      </c>
      <c r="E834" s="5">
        <f>IFERROR(__xludf.DUMMYFUNCTION("""COMPUTED_VALUE"""),4080.0)</f>
        <v>4080</v>
      </c>
      <c r="F834" s="5">
        <f>IFERROR(__xludf.DUMMYFUNCTION("""COMPUTED_VALUE"""),1.891293E8)</f>
        <v>189129300</v>
      </c>
      <c r="G834" s="5">
        <f t="shared" si="1"/>
        <v>110</v>
      </c>
    </row>
    <row r="835">
      <c r="A835" s="4">
        <f>IFERROR(__xludf.DUMMYFUNCTION("""COMPUTED_VALUE"""),45083.66666666667)</f>
        <v>45083.66667</v>
      </c>
      <c r="B835" s="5">
        <f>IFERROR(__xludf.DUMMYFUNCTION("""COMPUTED_VALUE"""),4090.0)</f>
        <v>4090</v>
      </c>
      <c r="C835" s="5">
        <f>IFERROR(__xludf.DUMMYFUNCTION("""COMPUTED_VALUE"""),4130.0)</f>
        <v>4130</v>
      </c>
      <c r="D835" s="5">
        <f>IFERROR(__xludf.DUMMYFUNCTION("""COMPUTED_VALUE"""),4050.0)</f>
        <v>4050</v>
      </c>
      <c r="E835" s="5">
        <f>IFERROR(__xludf.DUMMYFUNCTION("""COMPUTED_VALUE"""),4090.0)</f>
        <v>4090</v>
      </c>
      <c r="F835" s="5">
        <f>IFERROR(__xludf.DUMMYFUNCTION("""COMPUTED_VALUE"""),9.57927E7)</f>
        <v>95792700</v>
      </c>
      <c r="G835" s="5">
        <f t="shared" si="1"/>
        <v>80</v>
      </c>
    </row>
    <row r="836">
      <c r="A836" s="4">
        <f>IFERROR(__xludf.DUMMYFUNCTION("""COMPUTED_VALUE"""),45084.66666666667)</f>
        <v>45084.66667</v>
      </c>
      <c r="B836" s="5">
        <f>IFERROR(__xludf.DUMMYFUNCTION("""COMPUTED_VALUE"""),4100.0)</f>
        <v>4100</v>
      </c>
      <c r="C836" s="5">
        <f>IFERROR(__xludf.DUMMYFUNCTION("""COMPUTED_VALUE"""),4150.0)</f>
        <v>4150</v>
      </c>
      <c r="D836" s="5">
        <f>IFERROR(__xludf.DUMMYFUNCTION("""COMPUTED_VALUE"""),4080.0)</f>
        <v>4080</v>
      </c>
      <c r="E836" s="5">
        <f>IFERROR(__xludf.DUMMYFUNCTION("""COMPUTED_VALUE"""),4150.0)</f>
        <v>4150</v>
      </c>
      <c r="F836" s="5">
        <f>IFERROR(__xludf.DUMMYFUNCTION("""COMPUTED_VALUE"""),1.277074E8)</f>
        <v>127707400</v>
      </c>
      <c r="G836" s="5">
        <f t="shared" si="1"/>
        <v>70</v>
      </c>
    </row>
    <row r="837">
      <c r="A837" s="4">
        <f>IFERROR(__xludf.DUMMYFUNCTION("""COMPUTED_VALUE"""),45085.66666666667)</f>
        <v>45085.66667</v>
      </c>
      <c r="B837" s="5">
        <f>IFERROR(__xludf.DUMMYFUNCTION("""COMPUTED_VALUE"""),4160.0)</f>
        <v>4160</v>
      </c>
      <c r="C837" s="5">
        <f>IFERROR(__xludf.DUMMYFUNCTION("""COMPUTED_VALUE"""),4180.0)</f>
        <v>4180</v>
      </c>
      <c r="D837" s="5">
        <f>IFERROR(__xludf.DUMMYFUNCTION("""COMPUTED_VALUE"""),4120.0)</f>
        <v>4120</v>
      </c>
      <c r="E837" s="5">
        <f>IFERROR(__xludf.DUMMYFUNCTION("""COMPUTED_VALUE"""),4170.0)</f>
        <v>4170</v>
      </c>
      <c r="F837" s="5">
        <f>IFERROR(__xludf.DUMMYFUNCTION("""COMPUTED_VALUE"""),7.89897E7)</f>
        <v>78989700</v>
      </c>
      <c r="G837" s="5">
        <f t="shared" si="1"/>
        <v>60</v>
      </c>
    </row>
    <row r="838">
      <c r="A838" s="4">
        <f>IFERROR(__xludf.DUMMYFUNCTION("""COMPUTED_VALUE"""),45086.66666666667)</f>
        <v>45086.66667</v>
      </c>
      <c r="B838" s="5">
        <f>IFERROR(__xludf.DUMMYFUNCTION("""COMPUTED_VALUE"""),4170.0)</f>
        <v>4170</v>
      </c>
      <c r="C838" s="5">
        <f>IFERROR(__xludf.DUMMYFUNCTION("""COMPUTED_VALUE"""),4170.0)</f>
        <v>4170</v>
      </c>
      <c r="D838" s="5">
        <f>IFERROR(__xludf.DUMMYFUNCTION("""COMPUTED_VALUE"""),4140.0)</f>
        <v>4140</v>
      </c>
      <c r="E838" s="5">
        <f>IFERROR(__xludf.DUMMYFUNCTION("""COMPUTED_VALUE"""),4150.0)</f>
        <v>4150</v>
      </c>
      <c r="F838" s="5">
        <f>IFERROR(__xludf.DUMMYFUNCTION("""COMPUTED_VALUE"""),8.30147E7)</f>
        <v>83014700</v>
      </c>
      <c r="G838" s="5">
        <f t="shared" si="1"/>
        <v>30</v>
      </c>
    </row>
    <row r="839">
      <c r="A839" s="4">
        <f>IFERROR(__xludf.DUMMYFUNCTION("""COMPUTED_VALUE"""),45089.66666666667)</f>
        <v>45089.66667</v>
      </c>
      <c r="B839" s="5">
        <f>IFERROR(__xludf.DUMMYFUNCTION("""COMPUTED_VALUE"""),4040.0)</f>
        <v>4040</v>
      </c>
      <c r="C839" s="5">
        <f>IFERROR(__xludf.DUMMYFUNCTION("""COMPUTED_VALUE"""),4050.0)</f>
        <v>4050</v>
      </c>
      <c r="D839" s="5">
        <f>IFERROR(__xludf.DUMMYFUNCTION("""COMPUTED_VALUE"""),4010.0)</f>
        <v>4010</v>
      </c>
      <c r="E839" s="5">
        <f>IFERROR(__xludf.DUMMYFUNCTION("""COMPUTED_VALUE"""),4050.0)</f>
        <v>4050</v>
      </c>
      <c r="F839" s="5">
        <f>IFERROR(__xludf.DUMMYFUNCTION("""COMPUTED_VALUE"""),9.46873E7)</f>
        <v>94687300</v>
      </c>
      <c r="G839" s="5">
        <f t="shared" si="1"/>
        <v>140</v>
      </c>
    </row>
    <row r="840">
      <c r="A840" s="4">
        <f>IFERROR(__xludf.DUMMYFUNCTION("""COMPUTED_VALUE"""),45090.66666666667)</f>
        <v>45090.66667</v>
      </c>
      <c r="B840" s="5">
        <f>IFERROR(__xludf.DUMMYFUNCTION("""COMPUTED_VALUE"""),4040.0)</f>
        <v>4040</v>
      </c>
      <c r="C840" s="5">
        <f>IFERROR(__xludf.DUMMYFUNCTION("""COMPUTED_VALUE"""),4060.0)</f>
        <v>4060</v>
      </c>
      <c r="D840" s="5">
        <f>IFERROR(__xludf.DUMMYFUNCTION("""COMPUTED_VALUE"""),4030.0)</f>
        <v>4030</v>
      </c>
      <c r="E840" s="5">
        <f>IFERROR(__xludf.DUMMYFUNCTION("""COMPUTED_VALUE"""),4030.0)</f>
        <v>4030</v>
      </c>
      <c r="F840" s="5">
        <f>IFERROR(__xludf.DUMMYFUNCTION("""COMPUTED_VALUE"""),6.9609E7)</f>
        <v>69609000</v>
      </c>
      <c r="G840" s="5">
        <f t="shared" si="1"/>
        <v>30</v>
      </c>
    </row>
    <row r="841">
      <c r="A841" s="4">
        <f>IFERROR(__xludf.DUMMYFUNCTION("""COMPUTED_VALUE"""),45091.66666666667)</f>
        <v>45091.66667</v>
      </c>
      <c r="B841" s="5">
        <f>IFERROR(__xludf.DUMMYFUNCTION("""COMPUTED_VALUE"""),4020.0)</f>
        <v>4020</v>
      </c>
      <c r="C841" s="5">
        <f>IFERROR(__xludf.DUMMYFUNCTION("""COMPUTED_VALUE"""),4040.0)</f>
        <v>4040</v>
      </c>
      <c r="D841" s="5">
        <f>IFERROR(__xludf.DUMMYFUNCTION("""COMPUTED_VALUE"""),3990.0)</f>
        <v>3990</v>
      </c>
      <c r="E841" s="5">
        <f>IFERROR(__xludf.DUMMYFUNCTION("""COMPUTED_VALUE"""),4000.0)</f>
        <v>4000</v>
      </c>
      <c r="F841" s="5">
        <f>IFERROR(__xludf.DUMMYFUNCTION("""COMPUTED_VALUE"""),1.107308E8)</f>
        <v>110730800</v>
      </c>
      <c r="G841" s="5">
        <f t="shared" si="1"/>
        <v>50</v>
      </c>
    </row>
    <row r="842">
      <c r="A842" s="4">
        <f>IFERROR(__xludf.DUMMYFUNCTION("""COMPUTED_VALUE"""),45092.66666666667)</f>
        <v>45092.66667</v>
      </c>
      <c r="B842" s="5">
        <f>IFERROR(__xludf.DUMMYFUNCTION("""COMPUTED_VALUE"""),3990.0)</f>
        <v>3990</v>
      </c>
      <c r="C842" s="5">
        <f>IFERROR(__xludf.DUMMYFUNCTION("""COMPUTED_VALUE"""),4040.0)</f>
        <v>4040</v>
      </c>
      <c r="D842" s="5">
        <f>IFERROR(__xludf.DUMMYFUNCTION("""COMPUTED_VALUE"""),3980.0)</f>
        <v>3980</v>
      </c>
      <c r="E842" s="5">
        <f>IFERROR(__xludf.DUMMYFUNCTION("""COMPUTED_VALUE"""),4020.0)</f>
        <v>4020</v>
      </c>
      <c r="F842" s="5">
        <f>IFERROR(__xludf.DUMMYFUNCTION("""COMPUTED_VALUE"""),8.53918E7)</f>
        <v>85391800</v>
      </c>
      <c r="G842" s="5">
        <f t="shared" si="1"/>
        <v>60</v>
      </c>
    </row>
    <row r="843">
      <c r="A843" s="4">
        <f>IFERROR(__xludf.DUMMYFUNCTION("""COMPUTED_VALUE"""),45093.66666666667)</f>
        <v>45093.66667</v>
      </c>
      <c r="B843" s="5">
        <f>IFERROR(__xludf.DUMMYFUNCTION("""COMPUTED_VALUE"""),4020.0)</f>
        <v>4020</v>
      </c>
      <c r="C843" s="5">
        <f>IFERROR(__xludf.DUMMYFUNCTION("""COMPUTED_VALUE"""),4030.0)</f>
        <v>4030</v>
      </c>
      <c r="D843" s="5">
        <f>IFERROR(__xludf.DUMMYFUNCTION("""COMPUTED_VALUE"""),3960.0)</f>
        <v>3960</v>
      </c>
      <c r="E843" s="5">
        <f>IFERROR(__xludf.DUMMYFUNCTION("""COMPUTED_VALUE"""),3970.0)</f>
        <v>3970</v>
      </c>
      <c r="F843" s="5">
        <f>IFERROR(__xludf.DUMMYFUNCTION("""COMPUTED_VALUE"""),1.609789E8)</f>
        <v>160978900</v>
      </c>
      <c r="G843" s="5">
        <f t="shared" si="1"/>
        <v>70</v>
      </c>
    </row>
    <row r="844">
      <c r="A844" s="4">
        <f>IFERROR(__xludf.DUMMYFUNCTION("""COMPUTED_VALUE"""),45096.66666666667)</f>
        <v>45096.66667</v>
      </c>
      <c r="B844" s="5">
        <f>IFERROR(__xludf.DUMMYFUNCTION("""COMPUTED_VALUE"""),3960.0)</f>
        <v>3960</v>
      </c>
      <c r="C844" s="5">
        <f>IFERROR(__xludf.DUMMYFUNCTION("""COMPUTED_VALUE"""),3990.0)</f>
        <v>3990</v>
      </c>
      <c r="D844" s="5">
        <f>IFERROR(__xludf.DUMMYFUNCTION("""COMPUTED_VALUE"""),3950.0)</f>
        <v>3950</v>
      </c>
      <c r="E844" s="5">
        <f>IFERROR(__xludf.DUMMYFUNCTION("""COMPUTED_VALUE"""),3960.0)</f>
        <v>3960</v>
      </c>
      <c r="F844" s="5">
        <f>IFERROR(__xludf.DUMMYFUNCTION("""COMPUTED_VALUE"""),5.49341E7)</f>
        <v>54934100</v>
      </c>
      <c r="G844" s="5">
        <f t="shared" si="1"/>
        <v>40</v>
      </c>
    </row>
    <row r="845">
      <c r="A845" s="4">
        <f>IFERROR(__xludf.DUMMYFUNCTION("""COMPUTED_VALUE"""),45097.66666666667)</f>
        <v>45097.66667</v>
      </c>
      <c r="B845" s="5">
        <f>IFERROR(__xludf.DUMMYFUNCTION("""COMPUTED_VALUE"""),3980.0)</f>
        <v>3980</v>
      </c>
      <c r="C845" s="5">
        <f>IFERROR(__xludf.DUMMYFUNCTION("""COMPUTED_VALUE"""),3990.0)</f>
        <v>3990</v>
      </c>
      <c r="D845" s="5">
        <f>IFERROR(__xludf.DUMMYFUNCTION("""COMPUTED_VALUE"""),3950.0)</f>
        <v>3950</v>
      </c>
      <c r="E845" s="5">
        <f>IFERROR(__xludf.DUMMYFUNCTION("""COMPUTED_VALUE"""),3990.0)</f>
        <v>3990</v>
      </c>
      <c r="F845" s="5">
        <f>IFERROR(__xludf.DUMMYFUNCTION("""COMPUTED_VALUE"""),5.51556E7)</f>
        <v>55155600</v>
      </c>
      <c r="G845" s="5">
        <f t="shared" si="1"/>
        <v>40</v>
      </c>
    </row>
    <row r="846">
      <c r="A846" s="4">
        <f>IFERROR(__xludf.DUMMYFUNCTION("""COMPUTED_VALUE"""),45098.66666666667)</f>
        <v>45098.66667</v>
      </c>
      <c r="B846" s="5">
        <f>IFERROR(__xludf.DUMMYFUNCTION("""COMPUTED_VALUE"""),3970.0)</f>
        <v>3970</v>
      </c>
      <c r="C846" s="5">
        <f>IFERROR(__xludf.DUMMYFUNCTION("""COMPUTED_VALUE"""),3980.0)</f>
        <v>3980</v>
      </c>
      <c r="D846" s="5">
        <f>IFERROR(__xludf.DUMMYFUNCTION("""COMPUTED_VALUE"""),3950.0)</f>
        <v>3950</v>
      </c>
      <c r="E846" s="5">
        <f>IFERROR(__xludf.DUMMYFUNCTION("""COMPUTED_VALUE"""),3980.0)</f>
        <v>3980</v>
      </c>
      <c r="F846" s="5">
        <f>IFERROR(__xludf.DUMMYFUNCTION("""COMPUTED_VALUE"""),6.01913E7)</f>
        <v>60191300</v>
      </c>
      <c r="G846" s="5">
        <f t="shared" si="1"/>
        <v>40</v>
      </c>
    </row>
    <row r="847">
      <c r="A847" s="4">
        <f>IFERROR(__xludf.DUMMYFUNCTION("""COMPUTED_VALUE"""),45099.66666666667)</f>
        <v>45099.66667</v>
      </c>
      <c r="B847" s="5">
        <f>IFERROR(__xludf.DUMMYFUNCTION("""COMPUTED_VALUE"""),3980.0)</f>
        <v>3980</v>
      </c>
      <c r="C847" s="5">
        <f>IFERROR(__xludf.DUMMYFUNCTION("""COMPUTED_VALUE"""),3990.0)</f>
        <v>3990</v>
      </c>
      <c r="D847" s="5">
        <f>IFERROR(__xludf.DUMMYFUNCTION("""COMPUTED_VALUE"""),3940.0)</f>
        <v>3940</v>
      </c>
      <c r="E847" s="5">
        <f>IFERROR(__xludf.DUMMYFUNCTION("""COMPUTED_VALUE"""),3940.0)</f>
        <v>3940</v>
      </c>
      <c r="F847" s="5">
        <f>IFERROR(__xludf.DUMMYFUNCTION("""COMPUTED_VALUE"""),5.61509E7)</f>
        <v>56150900</v>
      </c>
      <c r="G847" s="5">
        <f t="shared" si="1"/>
        <v>50</v>
      </c>
    </row>
    <row r="848">
      <c r="A848" s="4">
        <f>IFERROR(__xludf.DUMMYFUNCTION("""COMPUTED_VALUE"""),45100.66666666667)</f>
        <v>45100.66667</v>
      </c>
      <c r="B848" s="5">
        <f>IFERROR(__xludf.DUMMYFUNCTION("""COMPUTED_VALUE"""),3940.0)</f>
        <v>3940</v>
      </c>
      <c r="C848" s="5">
        <f>IFERROR(__xludf.DUMMYFUNCTION("""COMPUTED_VALUE"""),3960.0)</f>
        <v>3960</v>
      </c>
      <c r="D848" s="5">
        <f>IFERROR(__xludf.DUMMYFUNCTION("""COMPUTED_VALUE"""),3940.0)</f>
        <v>3940</v>
      </c>
      <c r="E848" s="5">
        <f>IFERROR(__xludf.DUMMYFUNCTION("""COMPUTED_VALUE"""),3950.0)</f>
        <v>3950</v>
      </c>
      <c r="F848" s="5">
        <f>IFERROR(__xludf.DUMMYFUNCTION("""COMPUTED_VALUE"""),4.18124E7)</f>
        <v>41812400</v>
      </c>
      <c r="G848" s="5">
        <f t="shared" si="1"/>
        <v>20</v>
      </c>
    </row>
    <row r="849">
      <c r="A849" s="4">
        <f>IFERROR(__xludf.DUMMYFUNCTION("""COMPUTED_VALUE"""),45103.66666666667)</f>
        <v>45103.66667</v>
      </c>
      <c r="B849" s="5">
        <f>IFERROR(__xludf.DUMMYFUNCTION("""COMPUTED_VALUE"""),3940.0)</f>
        <v>3940</v>
      </c>
      <c r="C849" s="5">
        <f>IFERROR(__xludf.DUMMYFUNCTION("""COMPUTED_VALUE"""),3990.0)</f>
        <v>3990</v>
      </c>
      <c r="D849" s="5">
        <f>IFERROR(__xludf.DUMMYFUNCTION("""COMPUTED_VALUE"""),3940.0)</f>
        <v>3940</v>
      </c>
      <c r="E849" s="5">
        <f>IFERROR(__xludf.DUMMYFUNCTION("""COMPUTED_VALUE"""),3990.0)</f>
        <v>3990</v>
      </c>
      <c r="F849" s="5">
        <f>IFERROR(__xludf.DUMMYFUNCTION("""COMPUTED_VALUE"""),3.60115E7)</f>
        <v>36011500</v>
      </c>
      <c r="G849" s="5">
        <f t="shared" si="1"/>
        <v>50</v>
      </c>
    </row>
    <row r="850">
      <c r="A850" s="4">
        <f>IFERROR(__xludf.DUMMYFUNCTION("""COMPUTED_VALUE"""),45104.66666666667)</f>
        <v>45104.66667</v>
      </c>
      <c r="B850" s="5">
        <f>IFERROR(__xludf.DUMMYFUNCTION("""COMPUTED_VALUE"""),4030.0)</f>
        <v>4030</v>
      </c>
      <c r="C850" s="5">
        <f>IFERROR(__xludf.DUMMYFUNCTION("""COMPUTED_VALUE"""),4030.0)</f>
        <v>4030</v>
      </c>
      <c r="D850" s="5">
        <f>IFERROR(__xludf.DUMMYFUNCTION("""COMPUTED_VALUE"""),3990.0)</f>
        <v>3990</v>
      </c>
      <c r="E850" s="5">
        <f>IFERROR(__xludf.DUMMYFUNCTION("""COMPUTED_VALUE"""),4000.0)</f>
        <v>4000</v>
      </c>
      <c r="F850" s="5">
        <f>IFERROR(__xludf.DUMMYFUNCTION("""COMPUTED_VALUE"""),6.48799E7)</f>
        <v>64879900</v>
      </c>
      <c r="G850" s="5">
        <f t="shared" si="1"/>
        <v>40</v>
      </c>
    </row>
    <row r="851">
      <c r="A851" s="4">
        <f>IFERROR(__xludf.DUMMYFUNCTION("""COMPUTED_VALUE"""),45110.66666666667)</f>
        <v>45110.66667</v>
      </c>
      <c r="B851" s="5">
        <f>IFERROR(__xludf.DUMMYFUNCTION("""COMPUTED_VALUE"""),4030.0)</f>
        <v>4030</v>
      </c>
      <c r="C851" s="5">
        <f>IFERROR(__xludf.DUMMYFUNCTION("""COMPUTED_VALUE"""),4030.0)</f>
        <v>4030</v>
      </c>
      <c r="D851" s="5">
        <f>IFERROR(__xludf.DUMMYFUNCTION("""COMPUTED_VALUE"""),3970.0)</f>
        <v>3970</v>
      </c>
      <c r="E851" s="5">
        <f>IFERROR(__xludf.DUMMYFUNCTION("""COMPUTED_VALUE"""),4000.0)</f>
        <v>4000</v>
      </c>
      <c r="F851" s="5">
        <f>IFERROR(__xludf.DUMMYFUNCTION("""COMPUTED_VALUE"""),7.51932E7)</f>
        <v>75193200</v>
      </c>
      <c r="G851" s="5">
        <f t="shared" si="1"/>
        <v>60</v>
      </c>
    </row>
    <row r="852">
      <c r="A852" s="4">
        <f>IFERROR(__xludf.DUMMYFUNCTION("""COMPUTED_VALUE"""),45111.66666666667)</f>
        <v>45111.66667</v>
      </c>
      <c r="B852" s="5">
        <f>IFERROR(__xludf.DUMMYFUNCTION("""COMPUTED_VALUE"""),4000.0)</f>
        <v>4000</v>
      </c>
      <c r="C852" s="5">
        <f>IFERROR(__xludf.DUMMYFUNCTION("""COMPUTED_VALUE"""),4010.0)</f>
        <v>4010</v>
      </c>
      <c r="D852" s="5">
        <f>IFERROR(__xludf.DUMMYFUNCTION("""COMPUTED_VALUE"""),3970.0)</f>
        <v>3970</v>
      </c>
      <c r="E852" s="5">
        <f>IFERROR(__xludf.DUMMYFUNCTION("""COMPUTED_VALUE"""),3970.0)</f>
        <v>3970</v>
      </c>
      <c r="F852" s="5">
        <f>IFERROR(__xludf.DUMMYFUNCTION("""COMPUTED_VALUE"""),3.39743E7)</f>
        <v>33974300</v>
      </c>
      <c r="G852" s="5">
        <f t="shared" si="1"/>
        <v>40</v>
      </c>
    </row>
    <row r="853">
      <c r="A853" s="4">
        <f>IFERROR(__xludf.DUMMYFUNCTION("""COMPUTED_VALUE"""),45112.66666666667)</f>
        <v>45112.66667</v>
      </c>
      <c r="B853" s="5">
        <f>IFERROR(__xludf.DUMMYFUNCTION("""COMPUTED_VALUE"""),3970.0)</f>
        <v>3970</v>
      </c>
      <c r="C853" s="5">
        <f>IFERROR(__xludf.DUMMYFUNCTION("""COMPUTED_VALUE"""),3980.0)</f>
        <v>3980</v>
      </c>
      <c r="D853" s="5">
        <f>IFERROR(__xludf.DUMMYFUNCTION("""COMPUTED_VALUE"""),3950.0)</f>
        <v>3950</v>
      </c>
      <c r="E853" s="5">
        <f>IFERROR(__xludf.DUMMYFUNCTION("""COMPUTED_VALUE"""),3980.0)</f>
        <v>3980</v>
      </c>
      <c r="F853" s="5">
        <f>IFERROR(__xludf.DUMMYFUNCTION("""COMPUTED_VALUE"""),4.3303E7)</f>
        <v>43303000</v>
      </c>
      <c r="G853" s="5">
        <f t="shared" si="1"/>
        <v>30</v>
      </c>
    </row>
    <row r="854">
      <c r="A854" s="4">
        <f>IFERROR(__xludf.DUMMYFUNCTION("""COMPUTED_VALUE"""),45113.66666666667)</f>
        <v>45113.66667</v>
      </c>
      <c r="B854" s="5">
        <f>IFERROR(__xludf.DUMMYFUNCTION("""COMPUTED_VALUE"""),3970.0)</f>
        <v>3970</v>
      </c>
      <c r="C854" s="5">
        <f>IFERROR(__xludf.DUMMYFUNCTION("""COMPUTED_VALUE"""),3990.0)</f>
        <v>3990</v>
      </c>
      <c r="D854" s="5">
        <f>IFERROR(__xludf.DUMMYFUNCTION("""COMPUTED_VALUE"""),3960.0)</f>
        <v>3960</v>
      </c>
      <c r="E854" s="5">
        <f>IFERROR(__xludf.DUMMYFUNCTION("""COMPUTED_VALUE"""),3960.0)</f>
        <v>3960</v>
      </c>
      <c r="F854" s="5">
        <f>IFERROR(__xludf.DUMMYFUNCTION("""COMPUTED_VALUE"""),6.80889E7)</f>
        <v>68088900</v>
      </c>
      <c r="G854" s="5">
        <f t="shared" si="1"/>
        <v>30</v>
      </c>
    </row>
    <row r="855">
      <c r="A855" s="4">
        <f>IFERROR(__xludf.DUMMYFUNCTION("""COMPUTED_VALUE"""),45114.66666666667)</f>
        <v>45114.66667</v>
      </c>
      <c r="B855" s="5">
        <f>IFERROR(__xludf.DUMMYFUNCTION("""COMPUTED_VALUE"""),3960.0)</f>
        <v>3960</v>
      </c>
      <c r="C855" s="5">
        <f>IFERROR(__xludf.DUMMYFUNCTION("""COMPUTED_VALUE"""),3980.0)</f>
        <v>3980</v>
      </c>
      <c r="D855" s="5">
        <f>IFERROR(__xludf.DUMMYFUNCTION("""COMPUTED_VALUE"""),3950.0)</f>
        <v>3950</v>
      </c>
      <c r="E855" s="5">
        <f>IFERROR(__xludf.DUMMYFUNCTION("""COMPUTED_VALUE"""),3960.0)</f>
        <v>3960</v>
      </c>
      <c r="F855" s="5">
        <f>IFERROR(__xludf.DUMMYFUNCTION("""COMPUTED_VALUE"""),5.04748E7)</f>
        <v>50474800</v>
      </c>
      <c r="G855" s="5">
        <f t="shared" si="1"/>
        <v>30</v>
      </c>
    </row>
    <row r="856">
      <c r="A856" s="4">
        <f>IFERROR(__xludf.DUMMYFUNCTION("""COMPUTED_VALUE"""),45117.66666666667)</f>
        <v>45117.66667</v>
      </c>
      <c r="B856" s="5">
        <f>IFERROR(__xludf.DUMMYFUNCTION("""COMPUTED_VALUE"""),3960.0)</f>
        <v>3960</v>
      </c>
      <c r="C856" s="5">
        <f>IFERROR(__xludf.DUMMYFUNCTION("""COMPUTED_VALUE"""),3980.0)</f>
        <v>3980</v>
      </c>
      <c r="D856" s="5">
        <f>IFERROR(__xludf.DUMMYFUNCTION("""COMPUTED_VALUE"""),3940.0)</f>
        <v>3940</v>
      </c>
      <c r="E856" s="5">
        <f>IFERROR(__xludf.DUMMYFUNCTION("""COMPUTED_VALUE"""),3950.0)</f>
        <v>3950</v>
      </c>
      <c r="F856" s="5">
        <f>IFERROR(__xludf.DUMMYFUNCTION("""COMPUTED_VALUE"""),6.56433E7)</f>
        <v>65643300</v>
      </c>
      <c r="G856" s="5">
        <f t="shared" si="1"/>
        <v>40</v>
      </c>
    </row>
    <row r="857">
      <c r="A857" s="4">
        <f>IFERROR(__xludf.DUMMYFUNCTION("""COMPUTED_VALUE"""),45118.66666666667)</f>
        <v>45118.66667</v>
      </c>
      <c r="B857" s="5">
        <f>IFERROR(__xludf.DUMMYFUNCTION("""COMPUTED_VALUE"""),3950.0)</f>
        <v>3950</v>
      </c>
      <c r="C857" s="5">
        <f>IFERROR(__xludf.DUMMYFUNCTION("""COMPUTED_VALUE"""),3990.0)</f>
        <v>3990</v>
      </c>
      <c r="D857" s="5">
        <f>IFERROR(__xludf.DUMMYFUNCTION("""COMPUTED_VALUE"""),3950.0)</f>
        <v>3950</v>
      </c>
      <c r="E857" s="5">
        <f>IFERROR(__xludf.DUMMYFUNCTION("""COMPUTED_VALUE"""),3980.0)</f>
        <v>3980</v>
      </c>
      <c r="F857" s="5">
        <f>IFERROR(__xludf.DUMMYFUNCTION("""COMPUTED_VALUE"""),8.97685E7)</f>
        <v>89768500</v>
      </c>
      <c r="G857" s="5">
        <f t="shared" si="1"/>
        <v>40</v>
      </c>
    </row>
    <row r="858">
      <c r="A858" s="4">
        <f>IFERROR(__xludf.DUMMYFUNCTION("""COMPUTED_VALUE"""),45119.66666666667)</f>
        <v>45119.66667</v>
      </c>
      <c r="B858" s="5">
        <f>IFERROR(__xludf.DUMMYFUNCTION("""COMPUTED_VALUE"""),3980.0)</f>
        <v>3980</v>
      </c>
      <c r="C858" s="5">
        <f>IFERROR(__xludf.DUMMYFUNCTION("""COMPUTED_VALUE"""),4010.0)</f>
        <v>4010</v>
      </c>
      <c r="D858" s="5">
        <f>IFERROR(__xludf.DUMMYFUNCTION("""COMPUTED_VALUE"""),3970.0)</f>
        <v>3970</v>
      </c>
      <c r="E858" s="5">
        <f>IFERROR(__xludf.DUMMYFUNCTION("""COMPUTED_VALUE"""),3980.0)</f>
        <v>3980</v>
      </c>
      <c r="F858" s="5">
        <f>IFERROR(__xludf.DUMMYFUNCTION("""COMPUTED_VALUE"""),7.37704E7)</f>
        <v>73770400</v>
      </c>
      <c r="G858" s="5">
        <f t="shared" si="1"/>
        <v>40</v>
      </c>
    </row>
    <row r="859">
      <c r="A859" s="4">
        <f>IFERROR(__xludf.DUMMYFUNCTION("""COMPUTED_VALUE"""),45120.66666666667)</f>
        <v>45120.66667</v>
      </c>
      <c r="B859" s="5">
        <f>IFERROR(__xludf.DUMMYFUNCTION("""COMPUTED_VALUE"""),3960.0)</f>
        <v>3960</v>
      </c>
      <c r="C859" s="5">
        <f>IFERROR(__xludf.DUMMYFUNCTION("""COMPUTED_VALUE"""),3970.0)</f>
        <v>3970</v>
      </c>
      <c r="D859" s="5">
        <f>IFERROR(__xludf.DUMMYFUNCTION("""COMPUTED_VALUE"""),3910.0)</f>
        <v>3910</v>
      </c>
      <c r="E859" s="5">
        <f>IFERROR(__xludf.DUMMYFUNCTION("""COMPUTED_VALUE"""),3920.0)</f>
        <v>3920</v>
      </c>
      <c r="F859" s="5">
        <f>IFERROR(__xludf.DUMMYFUNCTION("""COMPUTED_VALUE"""),8.30099E7)</f>
        <v>83009900</v>
      </c>
      <c r="G859" s="5">
        <f t="shared" si="1"/>
        <v>70</v>
      </c>
    </row>
    <row r="860">
      <c r="A860" s="4">
        <f>IFERROR(__xludf.DUMMYFUNCTION("""COMPUTED_VALUE"""),45121.66666666667)</f>
        <v>45121.66667</v>
      </c>
      <c r="B860" s="5">
        <f>IFERROR(__xludf.DUMMYFUNCTION("""COMPUTED_VALUE"""),3960.0)</f>
        <v>3960</v>
      </c>
      <c r="C860" s="5">
        <f>IFERROR(__xludf.DUMMYFUNCTION("""COMPUTED_VALUE"""),3960.0)</f>
        <v>3960</v>
      </c>
      <c r="D860" s="5">
        <f>IFERROR(__xludf.DUMMYFUNCTION("""COMPUTED_VALUE"""),3920.0)</f>
        <v>3920</v>
      </c>
      <c r="E860" s="5">
        <f>IFERROR(__xludf.DUMMYFUNCTION("""COMPUTED_VALUE"""),3930.0)</f>
        <v>3930</v>
      </c>
      <c r="F860" s="5">
        <f>IFERROR(__xludf.DUMMYFUNCTION("""COMPUTED_VALUE"""),6.48869E7)</f>
        <v>64886900</v>
      </c>
      <c r="G860" s="5">
        <f t="shared" si="1"/>
        <v>40</v>
      </c>
    </row>
    <row r="861">
      <c r="A861" s="4">
        <f>IFERROR(__xludf.DUMMYFUNCTION("""COMPUTED_VALUE"""),45124.66666666667)</f>
        <v>45124.66667</v>
      </c>
      <c r="B861" s="5">
        <f>IFERROR(__xludf.DUMMYFUNCTION("""COMPUTED_VALUE"""),3950.0)</f>
        <v>3950</v>
      </c>
      <c r="C861" s="5">
        <f>IFERROR(__xludf.DUMMYFUNCTION("""COMPUTED_VALUE"""),3970.0)</f>
        <v>3970</v>
      </c>
      <c r="D861" s="5">
        <f>IFERROR(__xludf.DUMMYFUNCTION("""COMPUTED_VALUE"""),3910.0)</f>
        <v>3910</v>
      </c>
      <c r="E861" s="5">
        <f>IFERROR(__xludf.DUMMYFUNCTION("""COMPUTED_VALUE"""),3910.0)</f>
        <v>3910</v>
      </c>
      <c r="F861" s="5">
        <f>IFERROR(__xludf.DUMMYFUNCTION("""COMPUTED_VALUE"""),8.13997E7)</f>
        <v>81399700</v>
      </c>
      <c r="G861" s="5">
        <f t="shared" si="1"/>
        <v>60</v>
      </c>
    </row>
    <row r="862">
      <c r="A862" s="4">
        <f>IFERROR(__xludf.DUMMYFUNCTION("""COMPUTED_VALUE"""),45125.66666666667)</f>
        <v>45125.66667</v>
      </c>
      <c r="B862" s="5">
        <f>IFERROR(__xludf.DUMMYFUNCTION("""COMPUTED_VALUE"""),3930.0)</f>
        <v>3930</v>
      </c>
      <c r="C862" s="5">
        <f>IFERROR(__xludf.DUMMYFUNCTION("""COMPUTED_VALUE"""),3930.0)</f>
        <v>3930</v>
      </c>
      <c r="D862" s="5">
        <f>IFERROR(__xludf.DUMMYFUNCTION("""COMPUTED_VALUE"""),3820.0)</f>
        <v>3820</v>
      </c>
      <c r="E862" s="5">
        <f>IFERROR(__xludf.DUMMYFUNCTION("""COMPUTED_VALUE"""),3850.0)</f>
        <v>3850</v>
      </c>
      <c r="F862" s="5">
        <f>IFERROR(__xludf.DUMMYFUNCTION("""COMPUTED_VALUE"""),1.358605E8)</f>
        <v>135860500</v>
      </c>
      <c r="G862" s="5">
        <f t="shared" si="1"/>
        <v>110</v>
      </c>
    </row>
    <row r="863">
      <c r="A863" s="4">
        <f>IFERROR(__xludf.DUMMYFUNCTION("""COMPUTED_VALUE"""),45127.66666666667)</f>
        <v>45127.66667</v>
      </c>
      <c r="B863" s="5">
        <f>IFERROR(__xludf.DUMMYFUNCTION("""COMPUTED_VALUE"""),3820.0)</f>
        <v>3820</v>
      </c>
      <c r="C863" s="5">
        <f>IFERROR(__xludf.DUMMYFUNCTION("""COMPUTED_VALUE"""),3860.0)</f>
        <v>3860</v>
      </c>
      <c r="D863" s="5">
        <f>IFERROR(__xludf.DUMMYFUNCTION("""COMPUTED_VALUE"""),3810.0)</f>
        <v>3810</v>
      </c>
      <c r="E863" s="5">
        <f>IFERROR(__xludf.DUMMYFUNCTION("""COMPUTED_VALUE"""),3850.0)</f>
        <v>3850</v>
      </c>
      <c r="F863" s="5">
        <f>IFERROR(__xludf.DUMMYFUNCTION("""COMPUTED_VALUE"""),8.89076E7)</f>
        <v>88907600</v>
      </c>
      <c r="G863" s="5">
        <f t="shared" si="1"/>
        <v>50</v>
      </c>
    </row>
    <row r="864">
      <c r="A864" s="4">
        <f>IFERROR(__xludf.DUMMYFUNCTION("""COMPUTED_VALUE"""),45128.66666666667)</f>
        <v>45128.66667</v>
      </c>
      <c r="B864" s="5">
        <f>IFERROR(__xludf.DUMMYFUNCTION("""COMPUTED_VALUE"""),3840.0)</f>
        <v>3840</v>
      </c>
      <c r="C864" s="5">
        <f>IFERROR(__xludf.DUMMYFUNCTION("""COMPUTED_VALUE"""),3870.0)</f>
        <v>3870</v>
      </c>
      <c r="D864" s="5">
        <f>IFERROR(__xludf.DUMMYFUNCTION("""COMPUTED_VALUE"""),3840.0)</f>
        <v>3840</v>
      </c>
      <c r="E864" s="5">
        <f>IFERROR(__xludf.DUMMYFUNCTION("""COMPUTED_VALUE"""),3860.0)</f>
        <v>3860</v>
      </c>
      <c r="F864" s="5">
        <f>IFERROR(__xludf.DUMMYFUNCTION("""COMPUTED_VALUE"""),5.39551E7)</f>
        <v>53955100</v>
      </c>
      <c r="G864" s="5">
        <f t="shared" si="1"/>
        <v>30</v>
      </c>
    </row>
    <row r="865">
      <c r="A865" s="4">
        <f>IFERROR(__xludf.DUMMYFUNCTION("""COMPUTED_VALUE"""),45131.66666666667)</f>
        <v>45131.66667</v>
      </c>
      <c r="B865" s="5">
        <f>IFERROR(__xludf.DUMMYFUNCTION("""COMPUTED_VALUE"""),3880.0)</f>
        <v>3880</v>
      </c>
      <c r="C865" s="5">
        <f>IFERROR(__xludf.DUMMYFUNCTION("""COMPUTED_VALUE"""),3930.0)</f>
        <v>3930</v>
      </c>
      <c r="D865" s="5">
        <f>IFERROR(__xludf.DUMMYFUNCTION("""COMPUTED_VALUE"""),3870.0)</f>
        <v>3870</v>
      </c>
      <c r="E865" s="5">
        <f>IFERROR(__xludf.DUMMYFUNCTION("""COMPUTED_VALUE"""),3900.0)</f>
        <v>3900</v>
      </c>
      <c r="F865" s="5">
        <f>IFERROR(__xludf.DUMMYFUNCTION("""COMPUTED_VALUE"""),8.07101E7)</f>
        <v>80710100</v>
      </c>
      <c r="G865" s="5">
        <f t="shared" si="1"/>
        <v>70</v>
      </c>
    </row>
    <row r="866">
      <c r="A866" s="4">
        <f>IFERROR(__xludf.DUMMYFUNCTION("""COMPUTED_VALUE"""),45132.66666666667)</f>
        <v>45132.66667</v>
      </c>
      <c r="B866" s="5">
        <f>IFERROR(__xludf.DUMMYFUNCTION("""COMPUTED_VALUE"""),3920.0)</f>
        <v>3920</v>
      </c>
      <c r="C866" s="5">
        <f>IFERROR(__xludf.DUMMYFUNCTION("""COMPUTED_VALUE"""),3920.0)</f>
        <v>3920</v>
      </c>
      <c r="D866" s="5">
        <f>IFERROR(__xludf.DUMMYFUNCTION("""COMPUTED_VALUE"""),3880.0)</f>
        <v>3880</v>
      </c>
      <c r="E866" s="5">
        <f>IFERROR(__xludf.DUMMYFUNCTION("""COMPUTED_VALUE"""),3880.0)</f>
        <v>3880</v>
      </c>
      <c r="F866" s="5">
        <f>IFERROR(__xludf.DUMMYFUNCTION("""COMPUTED_VALUE"""),6.64344E7)</f>
        <v>66434400</v>
      </c>
      <c r="G866" s="5">
        <f t="shared" si="1"/>
        <v>40</v>
      </c>
    </row>
    <row r="867">
      <c r="A867" s="4">
        <f>IFERROR(__xludf.DUMMYFUNCTION("""COMPUTED_VALUE"""),45133.66666666667)</f>
        <v>45133.66667</v>
      </c>
      <c r="B867" s="5">
        <f>IFERROR(__xludf.DUMMYFUNCTION("""COMPUTED_VALUE"""),3890.0)</f>
        <v>3890</v>
      </c>
      <c r="C867" s="5">
        <f>IFERROR(__xludf.DUMMYFUNCTION("""COMPUTED_VALUE"""),3900.0)</f>
        <v>3900</v>
      </c>
      <c r="D867" s="5">
        <f>IFERROR(__xludf.DUMMYFUNCTION("""COMPUTED_VALUE"""),3830.0)</f>
        <v>3830</v>
      </c>
      <c r="E867" s="5">
        <f>IFERROR(__xludf.DUMMYFUNCTION("""COMPUTED_VALUE"""),3880.0)</f>
        <v>3880</v>
      </c>
      <c r="F867" s="5">
        <f>IFERROR(__xludf.DUMMYFUNCTION("""COMPUTED_VALUE"""),8.67329E7)</f>
        <v>86732900</v>
      </c>
      <c r="G867" s="5">
        <f t="shared" si="1"/>
        <v>70</v>
      </c>
    </row>
    <row r="868">
      <c r="A868" s="4">
        <f>IFERROR(__xludf.DUMMYFUNCTION("""COMPUTED_VALUE"""),45134.66666666667)</f>
        <v>45134.66667</v>
      </c>
      <c r="B868" s="5">
        <f>IFERROR(__xludf.DUMMYFUNCTION("""COMPUTED_VALUE"""),3840.0)</f>
        <v>3840</v>
      </c>
      <c r="C868" s="5">
        <f>IFERROR(__xludf.DUMMYFUNCTION("""COMPUTED_VALUE"""),3860.0)</f>
        <v>3860</v>
      </c>
      <c r="D868" s="5">
        <f>IFERROR(__xludf.DUMMYFUNCTION("""COMPUTED_VALUE"""),3720.0)</f>
        <v>3720</v>
      </c>
      <c r="E868" s="5">
        <f>IFERROR(__xludf.DUMMYFUNCTION("""COMPUTED_VALUE"""),3720.0)</f>
        <v>3720</v>
      </c>
      <c r="F868" s="5">
        <f>IFERROR(__xludf.DUMMYFUNCTION("""COMPUTED_VALUE"""),2.350264E8)</f>
        <v>235026400</v>
      </c>
      <c r="G868" s="5">
        <f t="shared" si="1"/>
        <v>160</v>
      </c>
    </row>
    <row r="869">
      <c r="A869" s="4">
        <f>IFERROR(__xludf.DUMMYFUNCTION("""COMPUTED_VALUE"""),45135.66666666667)</f>
        <v>45135.66667</v>
      </c>
      <c r="B869" s="5">
        <f>IFERROR(__xludf.DUMMYFUNCTION("""COMPUTED_VALUE"""),3710.0)</f>
        <v>3710</v>
      </c>
      <c r="C869" s="5">
        <f>IFERROR(__xludf.DUMMYFUNCTION("""COMPUTED_VALUE"""),3750.0)</f>
        <v>3750</v>
      </c>
      <c r="D869" s="5">
        <f>IFERROR(__xludf.DUMMYFUNCTION("""COMPUTED_VALUE"""),3690.0)</f>
        <v>3690</v>
      </c>
      <c r="E869" s="5">
        <f>IFERROR(__xludf.DUMMYFUNCTION("""COMPUTED_VALUE"""),3720.0)</f>
        <v>3720</v>
      </c>
      <c r="F869" s="5">
        <f>IFERROR(__xludf.DUMMYFUNCTION("""COMPUTED_VALUE"""),1.816267E8)</f>
        <v>181626700</v>
      </c>
      <c r="G869" s="5">
        <f t="shared" si="1"/>
        <v>60</v>
      </c>
    </row>
    <row r="870">
      <c r="A870" s="4">
        <f>IFERROR(__xludf.DUMMYFUNCTION("""COMPUTED_VALUE"""),45138.66666666667)</f>
        <v>45138.66667</v>
      </c>
      <c r="B870" s="5">
        <f>IFERROR(__xludf.DUMMYFUNCTION("""COMPUTED_VALUE"""),3700.0)</f>
        <v>3700</v>
      </c>
      <c r="C870" s="5">
        <f>IFERROR(__xludf.DUMMYFUNCTION("""COMPUTED_VALUE"""),3750.0)</f>
        <v>3750</v>
      </c>
      <c r="D870" s="5">
        <f>IFERROR(__xludf.DUMMYFUNCTION("""COMPUTED_VALUE"""),3670.0)</f>
        <v>3670</v>
      </c>
      <c r="E870" s="5">
        <f>IFERROR(__xludf.DUMMYFUNCTION("""COMPUTED_VALUE"""),3720.0)</f>
        <v>3720</v>
      </c>
      <c r="F870" s="5">
        <f>IFERROR(__xludf.DUMMYFUNCTION("""COMPUTED_VALUE"""),1.535833E8)</f>
        <v>153583300</v>
      </c>
      <c r="G870" s="5">
        <f t="shared" si="1"/>
        <v>80</v>
      </c>
    </row>
    <row r="871">
      <c r="A871" s="4">
        <f>IFERROR(__xludf.DUMMYFUNCTION("""COMPUTED_VALUE"""),45139.66666666667)</f>
        <v>45139.66667</v>
      </c>
      <c r="B871" s="5">
        <f>IFERROR(__xludf.DUMMYFUNCTION("""COMPUTED_VALUE"""),3700.0)</f>
        <v>3700</v>
      </c>
      <c r="C871" s="5">
        <f>IFERROR(__xludf.DUMMYFUNCTION("""COMPUTED_VALUE"""),3780.0)</f>
        <v>3780</v>
      </c>
      <c r="D871" s="5">
        <f>IFERROR(__xludf.DUMMYFUNCTION("""COMPUTED_VALUE"""),3700.0)</f>
        <v>3700</v>
      </c>
      <c r="E871" s="5">
        <f>IFERROR(__xludf.DUMMYFUNCTION("""COMPUTED_VALUE"""),3750.0)</f>
        <v>3750</v>
      </c>
      <c r="F871" s="5">
        <f>IFERROR(__xludf.DUMMYFUNCTION("""COMPUTED_VALUE"""),9.76805E7)</f>
        <v>97680500</v>
      </c>
      <c r="G871" s="5">
        <f t="shared" si="1"/>
        <v>80</v>
      </c>
    </row>
    <row r="872">
      <c r="A872" s="4">
        <f>IFERROR(__xludf.DUMMYFUNCTION("""COMPUTED_VALUE"""),45140.66666666667)</f>
        <v>45140.66667</v>
      </c>
      <c r="B872" s="5">
        <f>IFERROR(__xludf.DUMMYFUNCTION("""COMPUTED_VALUE"""),3740.0)</f>
        <v>3740</v>
      </c>
      <c r="C872" s="5">
        <f>IFERROR(__xludf.DUMMYFUNCTION("""COMPUTED_VALUE"""),3740.0)</f>
        <v>3740</v>
      </c>
      <c r="D872" s="5">
        <f>IFERROR(__xludf.DUMMYFUNCTION("""COMPUTED_VALUE"""),3680.0)</f>
        <v>3680</v>
      </c>
      <c r="E872" s="5">
        <f>IFERROR(__xludf.DUMMYFUNCTION("""COMPUTED_VALUE"""),3690.0)</f>
        <v>3690</v>
      </c>
      <c r="F872" s="5">
        <f>IFERROR(__xludf.DUMMYFUNCTION("""COMPUTED_VALUE"""),1.213335E8)</f>
        <v>121333500</v>
      </c>
      <c r="G872" s="5">
        <f t="shared" si="1"/>
        <v>70</v>
      </c>
    </row>
    <row r="873">
      <c r="A873" s="4">
        <f>IFERROR(__xludf.DUMMYFUNCTION("""COMPUTED_VALUE"""),45141.66666666667)</f>
        <v>45141.66667</v>
      </c>
      <c r="B873" s="5">
        <f>IFERROR(__xludf.DUMMYFUNCTION("""COMPUTED_VALUE"""),3670.0)</f>
        <v>3670</v>
      </c>
      <c r="C873" s="5">
        <f>IFERROR(__xludf.DUMMYFUNCTION("""COMPUTED_VALUE"""),3760.0)</f>
        <v>3760</v>
      </c>
      <c r="D873" s="5">
        <f>IFERROR(__xludf.DUMMYFUNCTION("""COMPUTED_VALUE"""),3670.0)</f>
        <v>3670</v>
      </c>
      <c r="E873" s="5">
        <f>IFERROR(__xludf.DUMMYFUNCTION("""COMPUTED_VALUE"""),3720.0)</f>
        <v>3720</v>
      </c>
      <c r="F873" s="5">
        <f>IFERROR(__xludf.DUMMYFUNCTION("""COMPUTED_VALUE"""),8.20133E7)</f>
        <v>82013300</v>
      </c>
      <c r="G873" s="5">
        <f t="shared" si="1"/>
        <v>90</v>
      </c>
    </row>
    <row r="874">
      <c r="A874" s="4">
        <f>IFERROR(__xludf.DUMMYFUNCTION("""COMPUTED_VALUE"""),45142.66666666667)</f>
        <v>45142.66667</v>
      </c>
      <c r="B874" s="5">
        <f>IFERROR(__xludf.DUMMYFUNCTION("""COMPUTED_VALUE"""),3720.0)</f>
        <v>3720</v>
      </c>
      <c r="C874" s="5">
        <f>IFERROR(__xludf.DUMMYFUNCTION("""COMPUTED_VALUE"""),3730.0)</f>
        <v>3730</v>
      </c>
      <c r="D874" s="5">
        <f>IFERROR(__xludf.DUMMYFUNCTION("""COMPUTED_VALUE"""),3690.0)</f>
        <v>3690</v>
      </c>
      <c r="E874" s="5">
        <f>IFERROR(__xludf.DUMMYFUNCTION("""COMPUTED_VALUE"""),3690.0)</f>
        <v>3690</v>
      </c>
      <c r="F874" s="5">
        <f>IFERROR(__xludf.DUMMYFUNCTION("""COMPUTED_VALUE"""),6.77468E7)</f>
        <v>67746800</v>
      </c>
      <c r="G874" s="5">
        <f t="shared" si="1"/>
        <v>40</v>
      </c>
    </row>
    <row r="875">
      <c r="A875" s="4">
        <f>IFERROR(__xludf.DUMMYFUNCTION("""COMPUTED_VALUE"""),45145.66666666667)</f>
        <v>45145.66667</v>
      </c>
      <c r="B875" s="5">
        <f>IFERROR(__xludf.DUMMYFUNCTION("""COMPUTED_VALUE"""),3700.0)</f>
        <v>3700</v>
      </c>
      <c r="C875" s="5">
        <f>IFERROR(__xludf.DUMMYFUNCTION("""COMPUTED_VALUE"""),3720.0)</f>
        <v>3720</v>
      </c>
      <c r="D875" s="5">
        <f>IFERROR(__xludf.DUMMYFUNCTION("""COMPUTED_VALUE"""),3680.0)</f>
        <v>3680</v>
      </c>
      <c r="E875" s="5">
        <f>IFERROR(__xludf.DUMMYFUNCTION("""COMPUTED_VALUE"""),3680.0)</f>
        <v>3680</v>
      </c>
      <c r="F875" s="5">
        <f>IFERROR(__xludf.DUMMYFUNCTION("""COMPUTED_VALUE"""),9.49097E7)</f>
        <v>94909700</v>
      </c>
      <c r="G875" s="5">
        <f t="shared" si="1"/>
        <v>40</v>
      </c>
    </row>
    <row r="876">
      <c r="A876" s="4">
        <f>IFERROR(__xludf.DUMMYFUNCTION("""COMPUTED_VALUE"""),45146.66666666667)</f>
        <v>45146.66667</v>
      </c>
      <c r="B876" s="5">
        <f>IFERROR(__xludf.DUMMYFUNCTION("""COMPUTED_VALUE"""),3680.0)</f>
        <v>3680</v>
      </c>
      <c r="C876" s="5">
        <f>IFERROR(__xludf.DUMMYFUNCTION("""COMPUTED_VALUE"""),3760.0)</f>
        <v>3760</v>
      </c>
      <c r="D876" s="5">
        <f>IFERROR(__xludf.DUMMYFUNCTION("""COMPUTED_VALUE"""),3680.0)</f>
        <v>3680</v>
      </c>
      <c r="E876" s="5">
        <f>IFERROR(__xludf.DUMMYFUNCTION("""COMPUTED_VALUE"""),3730.0)</f>
        <v>3730</v>
      </c>
      <c r="F876" s="5">
        <f>IFERROR(__xludf.DUMMYFUNCTION("""COMPUTED_VALUE"""),1.163294E8)</f>
        <v>116329400</v>
      </c>
      <c r="G876" s="5">
        <f t="shared" si="1"/>
        <v>80</v>
      </c>
    </row>
    <row r="877">
      <c r="A877" s="4">
        <f>IFERROR(__xludf.DUMMYFUNCTION("""COMPUTED_VALUE"""),45147.66666666667)</f>
        <v>45147.66667</v>
      </c>
      <c r="B877" s="5">
        <f>IFERROR(__xludf.DUMMYFUNCTION("""COMPUTED_VALUE"""),3750.0)</f>
        <v>3750</v>
      </c>
      <c r="C877" s="5">
        <f>IFERROR(__xludf.DUMMYFUNCTION("""COMPUTED_VALUE"""),3800.0)</f>
        <v>3800</v>
      </c>
      <c r="D877" s="5">
        <f>IFERROR(__xludf.DUMMYFUNCTION("""COMPUTED_VALUE"""),3740.0)</f>
        <v>3740</v>
      </c>
      <c r="E877" s="5">
        <f>IFERROR(__xludf.DUMMYFUNCTION("""COMPUTED_VALUE"""),3770.0)</f>
        <v>3770</v>
      </c>
      <c r="F877" s="5">
        <f>IFERROR(__xludf.DUMMYFUNCTION("""COMPUTED_VALUE"""),1.294161E8)</f>
        <v>129416100</v>
      </c>
      <c r="G877" s="5">
        <f t="shared" si="1"/>
        <v>70</v>
      </c>
    </row>
    <row r="878">
      <c r="A878" s="4">
        <f>IFERROR(__xludf.DUMMYFUNCTION("""COMPUTED_VALUE"""),45148.66666666667)</f>
        <v>45148.66667</v>
      </c>
      <c r="B878" s="5">
        <f>IFERROR(__xludf.DUMMYFUNCTION("""COMPUTED_VALUE"""),3800.0)</f>
        <v>3800</v>
      </c>
      <c r="C878" s="5">
        <f>IFERROR(__xludf.DUMMYFUNCTION("""COMPUTED_VALUE"""),3830.0)</f>
        <v>3830</v>
      </c>
      <c r="D878" s="5">
        <f>IFERROR(__xludf.DUMMYFUNCTION("""COMPUTED_VALUE"""),3800.0)</f>
        <v>3800</v>
      </c>
      <c r="E878" s="5">
        <f>IFERROR(__xludf.DUMMYFUNCTION("""COMPUTED_VALUE"""),3800.0)</f>
        <v>3800</v>
      </c>
      <c r="F878" s="5">
        <f>IFERROR(__xludf.DUMMYFUNCTION("""COMPUTED_VALUE"""),1.401589E8)</f>
        <v>140158900</v>
      </c>
      <c r="G878" s="5">
        <f t="shared" si="1"/>
        <v>60</v>
      </c>
    </row>
    <row r="879">
      <c r="A879" s="4">
        <f>IFERROR(__xludf.DUMMYFUNCTION("""COMPUTED_VALUE"""),45149.66666666667)</f>
        <v>45149.66667</v>
      </c>
      <c r="B879" s="5">
        <f>IFERROR(__xludf.DUMMYFUNCTION("""COMPUTED_VALUE"""),3830.0)</f>
        <v>3830</v>
      </c>
      <c r="C879" s="5">
        <f>IFERROR(__xludf.DUMMYFUNCTION("""COMPUTED_VALUE"""),3840.0)</f>
        <v>3840</v>
      </c>
      <c r="D879" s="5">
        <f>IFERROR(__xludf.DUMMYFUNCTION("""COMPUTED_VALUE"""),3790.0)</f>
        <v>3790</v>
      </c>
      <c r="E879" s="5">
        <f>IFERROR(__xludf.DUMMYFUNCTION("""COMPUTED_VALUE"""),3810.0)</f>
        <v>3810</v>
      </c>
      <c r="F879" s="5">
        <f>IFERROR(__xludf.DUMMYFUNCTION("""COMPUTED_VALUE"""),1.097144E8)</f>
        <v>109714400</v>
      </c>
      <c r="G879" s="5">
        <f t="shared" si="1"/>
        <v>50</v>
      </c>
    </row>
    <row r="880">
      <c r="A880" s="4">
        <f>IFERROR(__xludf.DUMMYFUNCTION("""COMPUTED_VALUE"""),45152.66666666667)</f>
        <v>45152.66667</v>
      </c>
      <c r="B880" s="5">
        <f>IFERROR(__xludf.DUMMYFUNCTION("""COMPUTED_VALUE"""),3810.0)</f>
        <v>3810</v>
      </c>
      <c r="C880" s="5">
        <f>IFERROR(__xludf.DUMMYFUNCTION("""COMPUTED_VALUE"""),3830.0)</f>
        <v>3830</v>
      </c>
      <c r="D880" s="5">
        <f>IFERROR(__xludf.DUMMYFUNCTION("""COMPUTED_VALUE"""),3760.0)</f>
        <v>3760</v>
      </c>
      <c r="E880" s="5">
        <f>IFERROR(__xludf.DUMMYFUNCTION("""COMPUTED_VALUE"""),3830.0)</f>
        <v>3830</v>
      </c>
      <c r="F880" s="5">
        <f>IFERROR(__xludf.DUMMYFUNCTION("""COMPUTED_VALUE"""),8.68718E7)</f>
        <v>86871800</v>
      </c>
      <c r="G880" s="5">
        <f t="shared" si="1"/>
        <v>70</v>
      </c>
    </row>
    <row r="881">
      <c r="A881" s="4">
        <f>IFERROR(__xludf.DUMMYFUNCTION("""COMPUTED_VALUE"""),45153.66666666667)</f>
        <v>45153.66667</v>
      </c>
      <c r="B881" s="5">
        <f>IFERROR(__xludf.DUMMYFUNCTION("""COMPUTED_VALUE"""),3800.0)</f>
        <v>3800</v>
      </c>
      <c r="C881" s="5">
        <f>IFERROR(__xludf.DUMMYFUNCTION("""COMPUTED_VALUE"""),3830.0)</f>
        <v>3830</v>
      </c>
      <c r="D881" s="5">
        <f>IFERROR(__xludf.DUMMYFUNCTION("""COMPUTED_VALUE"""),3800.0)</f>
        <v>3800</v>
      </c>
      <c r="E881" s="5">
        <f>IFERROR(__xludf.DUMMYFUNCTION("""COMPUTED_VALUE"""),3820.0)</f>
        <v>3820</v>
      </c>
      <c r="F881" s="5">
        <f>IFERROR(__xludf.DUMMYFUNCTION("""COMPUTED_VALUE"""),8.00152E7)</f>
        <v>80015200</v>
      </c>
      <c r="G881" s="5">
        <f t="shared" si="1"/>
        <v>30</v>
      </c>
    </row>
    <row r="882">
      <c r="A882" s="4">
        <f>IFERROR(__xludf.DUMMYFUNCTION("""COMPUTED_VALUE"""),45154.66666666667)</f>
        <v>45154.66667</v>
      </c>
      <c r="B882" s="5">
        <f>IFERROR(__xludf.DUMMYFUNCTION("""COMPUTED_VALUE"""),3790.0)</f>
        <v>3790</v>
      </c>
      <c r="C882" s="5">
        <f>IFERROR(__xludf.DUMMYFUNCTION("""COMPUTED_VALUE"""),3830.0)</f>
        <v>3830</v>
      </c>
      <c r="D882" s="5">
        <f>IFERROR(__xludf.DUMMYFUNCTION("""COMPUTED_VALUE"""),3750.0)</f>
        <v>3750</v>
      </c>
      <c r="E882" s="5">
        <f>IFERROR(__xludf.DUMMYFUNCTION("""COMPUTED_VALUE"""),3830.0)</f>
        <v>3830</v>
      </c>
      <c r="F882" s="5">
        <f>IFERROR(__xludf.DUMMYFUNCTION("""COMPUTED_VALUE"""),8.15078E7)</f>
        <v>81507800</v>
      </c>
      <c r="G882" s="5">
        <f t="shared" si="1"/>
        <v>80</v>
      </c>
    </row>
    <row r="883">
      <c r="A883" s="4">
        <f>IFERROR(__xludf.DUMMYFUNCTION("""COMPUTED_VALUE"""),45156.66666666667)</f>
        <v>45156.66667</v>
      </c>
      <c r="B883" s="5">
        <f>IFERROR(__xludf.DUMMYFUNCTION("""COMPUTED_VALUE"""),3790.0)</f>
        <v>3790</v>
      </c>
      <c r="C883" s="5">
        <f>IFERROR(__xludf.DUMMYFUNCTION("""COMPUTED_VALUE"""),3800.0)</f>
        <v>3800</v>
      </c>
      <c r="D883" s="5">
        <f>IFERROR(__xludf.DUMMYFUNCTION("""COMPUTED_VALUE"""),3760.0)</f>
        <v>3760</v>
      </c>
      <c r="E883" s="5">
        <f>IFERROR(__xludf.DUMMYFUNCTION("""COMPUTED_VALUE"""),3760.0)</f>
        <v>3760</v>
      </c>
      <c r="F883" s="5">
        <f>IFERROR(__xludf.DUMMYFUNCTION("""COMPUTED_VALUE"""),1.087801E8)</f>
        <v>108780100</v>
      </c>
      <c r="G883" s="5">
        <f t="shared" si="1"/>
        <v>70</v>
      </c>
    </row>
    <row r="884">
      <c r="A884" s="4">
        <f>IFERROR(__xludf.DUMMYFUNCTION("""COMPUTED_VALUE"""),45159.66666666667)</f>
        <v>45159.66667</v>
      </c>
      <c r="B884" s="5">
        <f>IFERROR(__xludf.DUMMYFUNCTION("""COMPUTED_VALUE"""),3760.0)</f>
        <v>3760</v>
      </c>
      <c r="C884" s="5">
        <f>IFERROR(__xludf.DUMMYFUNCTION("""COMPUTED_VALUE"""),3780.0)</f>
        <v>3780</v>
      </c>
      <c r="D884" s="5">
        <f>IFERROR(__xludf.DUMMYFUNCTION("""COMPUTED_VALUE"""),3720.0)</f>
        <v>3720</v>
      </c>
      <c r="E884" s="5">
        <f>IFERROR(__xludf.DUMMYFUNCTION("""COMPUTED_VALUE"""),3740.0)</f>
        <v>3740</v>
      </c>
      <c r="F884" s="5">
        <f>IFERROR(__xludf.DUMMYFUNCTION("""COMPUTED_VALUE"""),6.4449E7)</f>
        <v>64449000</v>
      </c>
      <c r="G884" s="5">
        <f t="shared" si="1"/>
        <v>60</v>
      </c>
    </row>
    <row r="885">
      <c r="A885" s="4">
        <f>IFERROR(__xludf.DUMMYFUNCTION("""COMPUTED_VALUE"""),45160.66666666667)</f>
        <v>45160.66667</v>
      </c>
      <c r="B885" s="5">
        <f>IFERROR(__xludf.DUMMYFUNCTION("""COMPUTED_VALUE"""),3740.0)</f>
        <v>3740</v>
      </c>
      <c r="C885" s="5">
        <f>IFERROR(__xludf.DUMMYFUNCTION("""COMPUTED_VALUE"""),3780.0)</f>
        <v>3780</v>
      </c>
      <c r="D885" s="5">
        <f>IFERROR(__xludf.DUMMYFUNCTION("""COMPUTED_VALUE"""),3730.0)</f>
        <v>3730</v>
      </c>
      <c r="E885" s="5">
        <f>IFERROR(__xludf.DUMMYFUNCTION("""COMPUTED_VALUE"""),3750.0)</f>
        <v>3750</v>
      </c>
      <c r="F885" s="5">
        <f>IFERROR(__xludf.DUMMYFUNCTION("""COMPUTED_VALUE"""),9.80596E7)</f>
        <v>98059600</v>
      </c>
      <c r="G885" s="5">
        <f t="shared" si="1"/>
        <v>50</v>
      </c>
    </row>
    <row r="886">
      <c r="A886" s="4">
        <f>IFERROR(__xludf.DUMMYFUNCTION("""COMPUTED_VALUE"""),45161.66666666667)</f>
        <v>45161.66667</v>
      </c>
      <c r="B886" s="5">
        <f>IFERROR(__xludf.DUMMYFUNCTION("""COMPUTED_VALUE"""),3750.0)</f>
        <v>3750</v>
      </c>
      <c r="C886" s="5">
        <f>IFERROR(__xludf.DUMMYFUNCTION("""COMPUTED_VALUE"""),3770.0)</f>
        <v>3770</v>
      </c>
      <c r="D886" s="5">
        <f>IFERROR(__xludf.DUMMYFUNCTION("""COMPUTED_VALUE"""),3730.0)</f>
        <v>3730</v>
      </c>
      <c r="E886" s="5">
        <f>IFERROR(__xludf.DUMMYFUNCTION("""COMPUTED_VALUE"""),3740.0)</f>
        <v>3740</v>
      </c>
      <c r="F886" s="5">
        <f>IFERROR(__xludf.DUMMYFUNCTION("""COMPUTED_VALUE"""),8.48425E7)</f>
        <v>84842500</v>
      </c>
      <c r="G886" s="5">
        <f t="shared" si="1"/>
        <v>40</v>
      </c>
    </row>
    <row r="887">
      <c r="A887" s="4">
        <f>IFERROR(__xludf.DUMMYFUNCTION("""COMPUTED_VALUE"""),45162.66666666667)</f>
        <v>45162.66667</v>
      </c>
      <c r="B887" s="5">
        <f>IFERROR(__xludf.DUMMYFUNCTION("""COMPUTED_VALUE"""),3730.0)</f>
        <v>3730</v>
      </c>
      <c r="C887" s="5">
        <f>IFERROR(__xludf.DUMMYFUNCTION("""COMPUTED_VALUE"""),3770.0)</f>
        <v>3770</v>
      </c>
      <c r="D887" s="5">
        <f>IFERROR(__xludf.DUMMYFUNCTION("""COMPUTED_VALUE"""),3720.0)</f>
        <v>3720</v>
      </c>
      <c r="E887" s="5">
        <f>IFERROR(__xludf.DUMMYFUNCTION("""COMPUTED_VALUE"""),3720.0)</f>
        <v>3720</v>
      </c>
      <c r="F887" s="5">
        <f>IFERROR(__xludf.DUMMYFUNCTION("""COMPUTED_VALUE"""),8.27897E7)</f>
        <v>82789700</v>
      </c>
      <c r="G887" s="5">
        <f t="shared" si="1"/>
        <v>50</v>
      </c>
    </row>
    <row r="888">
      <c r="A888" s="4">
        <f>IFERROR(__xludf.DUMMYFUNCTION("""COMPUTED_VALUE"""),45163.66666666667)</f>
        <v>45163.66667</v>
      </c>
      <c r="B888" s="5">
        <f>IFERROR(__xludf.DUMMYFUNCTION("""COMPUTED_VALUE"""),3700.0)</f>
        <v>3700</v>
      </c>
      <c r="C888" s="5">
        <f>IFERROR(__xludf.DUMMYFUNCTION("""COMPUTED_VALUE"""),3730.0)</f>
        <v>3730</v>
      </c>
      <c r="D888" s="5">
        <f>IFERROR(__xludf.DUMMYFUNCTION("""COMPUTED_VALUE"""),3700.0)</f>
        <v>3700</v>
      </c>
      <c r="E888" s="5">
        <f>IFERROR(__xludf.DUMMYFUNCTION("""COMPUTED_VALUE"""),3720.0)</f>
        <v>3720</v>
      </c>
      <c r="F888" s="5">
        <f>IFERROR(__xludf.DUMMYFUNCTION("""COMPUTED_VALUE"""),4.20492E7)</f>
        <v>42049200</v>
      </c>
      <c r="G888" s="5">
        <f t="shared" si="1"/>
        <v>30</v>
      </c>
    </row>
    <row r="889">
      <c r="A889" s="4">
        <f>IFERROR(__xludf.DUMMYFUNCTION("""COMPUTED_VALUE"""),45166.66666666667)</f>
        <v>45166.66667</v>
      </c>
      <c r="B889" s="5">
        <f>IFERROR(__xludf.DUMMYFUNCTION("""COMPUTED_VALUE"""),3730.0)</f>
        <v>3730</v>
      </c>
      <c r="C889" s="5">
        <f>IFERROR(__xludf.DUMMYFUNCTION("""COMPUTED_VALUE"""),3740.0)</f>
        <v>3740</v>
      </c>
      <c r="D889" s="5">
        <f>IFERROR(__xludf.DUMMYFUNCTION("""COMPUTED_VALUE"""),3700.0)</f>
        <v>3700</v>
      </c>
      <c r="E889" s="5">
        <f>IFERROR(__xludf.DUMMYFUNCTION("""COMPUTED_VALUE"""),3700.0)</f>
        <v>3700</v>
      </c>
      <c r="F889" s="5">
        <f>IFERROR(__xludf.DUMMYFUNCTION("""COMPUTED_VALUE"""),3.77275E7)</f>
        <v>37727500</v>
      </c>
      <c r="G889" s="5">
        <f t="shared" si="1"/>
        <v>40</v>
      </c>
    </row>
    <row r="890">
      <c r="A890" s="4">
        <f>IFERROR(__xludf.DUMMYFUNCTION("""COMPUTED_VALUE"""),45167.66666666667)</f>
        <v>45167.66667</v>
      </c>
      <c r="B890" s="5">
        <f>IFERROR(__xludf.DUMMYFUNCTION("""COMPUTED_VALUE"""),3700.0)</f>
        <v>3700</v>
      </c>
      <c r="C890" s="5">
        <f>IFERROR(__xludf.DUMMYFUNCTION("""COMPUTED_VALUE"""),3720.0)</f>
        <v>3720</v>
      </c>
      <c r="D890" s="5">
        <f>IFERROR(__xludf.DUMMYFUNCTION("""COMPUTED_VALUE"""),3700.0)</f>
        <v>3700</v>
      </c>
      <c r="E890" s="5">
        <f>IFERROR(__xludf.DUMMYFUNCTION("""COMPUTED_VALUE"""),3720.0)</f>
        <v>3720</v>
      </c>
      <c r="F890" s="5">
        <f>IFERROR(__xludf.DUMMYFUNCTION("""COMPUTED_VALUE"""),5.34536E7)</f>
        <v>53453600</v>
      </c>
      <c r="G890" s="5">
        <f t="shared" si="1"/>
        <v>20</v>
      </c>
    </row>
    <row r="891">
      <c r="A891" s="4">
        <f>IFERROR(__xludf.DUMMYFUNCTION("""COMPUTED_VALUE"""),45168.66666666667)</f>
        <v>45168.66667</v>
      </c>
      <c r="B891" s="5">
        <f>IFERROR(__xludf.DUMMYFUNCTION("""COMPUTED_VALUE"""),3730.0)</f>
        <v>3730</v>
      </c>
      <c r="C891" s="5">
        <f>IFERROR(__xludf.DUMMYFUNCTION("""COMPUTED_VALUE"""),3850.0)</f>
        <v>3850</v>
      </c>
      <c r="D891" s="5">
        <f>IFERROR(__xludf.DUMMYFUNCTION("""COMPUTED_VALUE"""),3720.0)</f>
        <v>3720</v>
      </c>
      <c r="E891" s="5">
        <f>IFERROR(__xludf.DUMMYFUNCTION("""COMPUTED_VALUE"""),3810.0)</f>
        <v>3810</v>
      </c>
      <c r="F891" s="5">
        <f>IFERROR(__xludf.DUMMYFUNCTION("""COMPUTED_VALUE"""),1.300272E8)</f>
        <v>130027200</v>
      </c>
      <c r="G891" s="5">
        <f t="shared" si="1"/>
        <v>130</v>
      </c>
    </row>
    <row r="892">
      <c r="A892" s="4">
        <f>IFERROR(__xludf.DUMMYFUNCTION("""COMPUTED_VALUE"""),45169.66666666667)</f>
        <v>45169.66667</v>
      </c>
      <c r="B892" s="5">
        <f>IFERROR(__xludf.DUMMYFUNCTION("""COMPUTED_VALUE"""),3810.0)</f>
        <v>3810</v>
      </c>
      <c r="C892" s="5">
        <f>IFERROR(__xludf.DUMMYFUNCTION("""COMPUTED_VALUE"""),3820.0)</f>
        <v>3820</v>
      </c>
      <c r="D892" s="5">
        <f>IFERROR(__xludf.DUMMYFUNCTION("""COMPUTED_VALUE"""),3700.0)</f>
        <v>3700</v>
      </c>
      <c r="E892" s="5">
        <f>IFERROR(__xludf.DUMMYFUNCTION("""COMPUTED_VALUE"""),3730.0)</f>
        <v>3730</v>
      </c>
      <c r="F892" s="5">
        <f>IFERROR(__xludf.DUMMYFUNCTION("""COMPUTED_VALUE"""),2.276358E8)</f>
        <v>227635800</v>
      </c>
      <c r="G892" s="5">
        <f t="shared" si="1"/>
        <v>120</v>
      </c>
    </row>
    <row r="893">
      <c r="A893" s="4">
        <f>IFERROR(__xludf.DUMMYFUNCTION("""COMPUTED_VALUE"""),45170.66666666667)</f>
        <v>45170.66667</v>
      </c>
      <c r="B893" s="5">
        <f>IFERROR(__xludf.DUMMYFUNCTION("""COMPUTED_VALUE"""),3710.0)</f>
        <v>3710</v>
      </c>
      <c r="C893" s="5">
        <f>IFERROR(__xludf.DUMMYFUNCTION("""COMPUTED_VALUE"""),3740.0)</f>
        <v>3740</v>
      </c>
      <c r="D893" s="5">
        <f>IFERROR(__xludf.DUMMYFUNCTION("""COMPUTED_VALUE"""),3710.0)</f>
        <v>3710</v>
      </c>
      <c r="E893" s="5">
        <f>IFERROR(__xludf.DUMMYFUNCTION("""COMPUTED_VALUE"""),3720.0)</f>
        <v>3720</v>
      </c>
      <c r="F893" s="5">
        <f>IFERROR(__xludf.DUMMYFUNCTION("""COMPUTED_VALUE"""),8.22532E7)</f>
        <v>82253200</v>
      </c>
      <c r="G893" s="5">
        <f t="shared" si="1"/>
        <v>30</v>
      </c>
    </row>
    <row r="894">
      <c r="A894" s="4">
        <f>IFERROR(__xludf.DUMMYFUNCTION("""COMPUTED_VALUE"""),45173.66666666667)</f>
        <v>45173.66667</v>
      </c>
      <c r="B894" s="5">
        <f>IFERROR(__xludf.DUMMYFUNCTION("""COMPUTED_VALUE"""),3720.0)</f>
        <v>3720</v>
      </c>
      <c r="C894" s="5">
        <f>IFERROR(__xludf.DUMMYFUNCTION("""COMPUTED_VALUE"""),3750.0)</f>
        <v>3750</v>
      </c>
      <c r="D894" s="5">
        <f>IFERROR(__xludf.DUMMYFUNCTION("""COMPUTED_VALUE"""),3710.0)</f>
        <v>3710</v>
      </c>
      <c r="E894" s="5">
        <f>IFERROR(__xludf.DUMMYFUNCTION("""COMPUTED_VALUE"""),3730.0)</f>
        <v>3730</v>
      </c>
      <c r="F894" s="5">
        <f>IFERROR(__xludf.DUMMYFUNCTION("""COMPUTED_VALUE"""),5.58819E7)</f>
        <v>55881900</v>
      </c>
      <c r="G894" s="5">
        <f t="shared" si="1"/>
        <v>40</v>
      </c>
    </row>
    <row r="895">
      <c r="A895" s="4">
        <f>IFERROR(__xludf.DUMMYFUNCTION("""COMPUTED_VALUE"""),45174.66666666667)</f>
        <v>45174.66667</v>
      </c>
      <c r="B895" s="5">
        <f>IFERROR(__xludf.DUMMYFUNCTION("""COMPUTED_VALUE"""),3730.0)</f>
        <v>3730</v>
      </c>
      <c r="C895" s="5">
        <f>IFERROR(__xludf.DUMMYFUNCTION("""COMPUTED_VALUE"""),3750.0)</f>
        <v>3750</v>
      </c>
      <c r="D895" s="5">
        <f>IFERROR(__xludf.DUMMYFUNCTION("""COMPUTED_VALUE"""),3710.0)</f>
        <v>3710</v>
      </c>
      <c r="E895" s="5">
        <f>IFERROR(__xludf.DUMMYFUNCTION("""COMPUTED_VALUE"""),3740.0)</f>
        <v>3740</v>
      </c>
      <c r="F895" s="5">
        <f>IFERROR(__xludf.DUMMYFUNCTION("""COMPUTED_VALUE"""),6.29333E7)</f>
        <v>62933300</v>
      </c>
      <c r="G895" s="5">
        <f t="shared" si="1"/>
        <v>40</v>
      </c>
    </row>
    <row r="896">
      <c r="A896" s="4">
        <f>IFERROR(__xludf.DUMMYFUNCTION("""COMPUTED_VALUE"""),45175.66666666667)</f>
        <v>45175.66667</v>
      </c>
      <c r="B896" s="5">
        <f>IFERROR(__xludf.DUMMYFUNCTION("""COMPUTED_VALUE"""),3750.0)</f>
        <v>3750</v>
      </c>
      <c r="C896" s="5">
        <f>IFERROR(__xludf.DUMMYFUNCTION("""COMPUTED_VALUE"""),3810.0)</f>
        <v>3810</v>
      </c>
      <c r="D896" s="5">
        <f>IFERROR(__xludf.DUMMYFUNCTION("""COMPUTED_VALUE"""),3740.0)</f>
        <v>3740</v>
      </c>
      <c r="E896" s="5">
        <f>IFERROR(__xludf.DUMMYFUNCTION("""COMPUTED_VALUE"""),3790.0)</f>
        <v>3790</v>
      </c>
      <c r="F896" s="5">
        <f>IFERROR(__xludf.DUMMYFUNCTION("""COMPUTED_VALUE"""),9.86734E7)</f>
        <v>98673400</v>
      </c>
      <c r="G896" s="5">
        <f t="shared" si="1"/>
        <v>70</v>
      </c>
    </row>
    <row r="897">
      <c r="A897" s="4">
        <f>IFERROR(__xludf.DUMMYFUNCTION("""COMPUTED_VALUE"""),45176.66666666667)</f>
        <v>45176.66667</v>
      </c>
      <c r="B897" s="5">
        <f>IFERROR(__xludf.DUMMYFUNCTION("""COMPUTED_VALUE"""),3780.0)</f>
        <v>3780</v>
      </c>
      <c r="C897" s="5">
        <f>IFERROR(__xludf.DUMMYFUNCTION("""COMPUTED_VALUE"""),3790.0)</f>
        <v>3790</v>
      </c>
      <c r="D897" s="5">
        <f>IFERROR(__xludf.DUMMYFUNCTION("""COMPUTED_VALUE"""),3730.0)</f>
        <v>3730</v>
      </c>
      <c r="E897" s="5">
        <f>IFERROR(__xludf.DUMMYFUNCTION("""COMPUTED_VALUE"""),3760.0)</f>
        <v>3760</v>
      </c>
      <c r="F897" s="5">
        <f>IFERROR(__xludf.DUMMYFUNCTION("""COMPUTED_VALUE"""),6.30545E7)</f>
        <v>63054500</v>
      </c>
      <c r="G897" s="5">
        <f t="shared" si="1"/>
        <v>60</v>
      </c>
    </row>
    <row r="898">
      <c r="A898" s="4">
        <f>IFERROR(__xludf.DUMMYFUNCTION("""COMPUTED_VALUE"""),45177.66666666667)</f>
        <v>45177.66667</v>
      </c>
      <c r="B898" s="5">
        <f>IFERROR(__xludf.DUMMYFUNCTION("""COMPUTED_VALUE"""),3770.0)</f>
        <v>3770</v>
      </c>
      <c r="C898" s="5">
        <f>IFERROR(__xludf.DUMMYFUNCTION("""COMPUTED_VALUE"""),3770.0)</f>
        <v>3770</v>
      </c>
      <c r="D898" s="5">
        <f>IFERROR(__xludf.DUMMYFUNCTION("""COMPUTED_VALUE"""),3670.0)</f>
        <v>3670</v>
      </c>
      <c r="E898" s="5">
        <f>IFERROR(__xludf.DUMMYFUNCTION("""COMPUTED_VALUE"""),3690.0)</f>
        <v>3690</v>
      </c>
      <c r="F898" s="5">
        <f>IFERROR(__xludf.DUMMYFUNCTION("""COMPUTED_VALUE"""),1.430901E8)</f>
        <v>143090100</v>
      </c>
      <c r="G898" s="5">
        <f t="shared" si="1"/>
        <v>100</v>
      </c>
    </row>
    <row r="899">
      <c r="A899" s="4">
        <f>IFERROR(__xludf.DUMMYFUNCTION("""COMPUTED_VALUE"""),45180.66666666667)</f>
        <v>45180.66667</v>
      </c>
      <c r="B899" s="5">
        <f>IFERROR(__xludf.DUMMYFUNCTION("""COMPUTED_VALUE"""),3710.0)</f>
        <v>3710</v>
      </c>
      <c r="C899" s="5">
        <f>IFERROR(__xludf.DUMMYFUNCTION("""COMPUTED_VALUE"""),3710.0)</f>
        <v>3710</v>
      </c>
      <c r="D899" s="5">
        <f>IFERROR(__xludf.DUMMYFUNCTION("""COMPUTED_VALUE"""),3680.0)</f>
        <v>3680</v>
      </c>
      <c r="E899" s="5">
        <f>IFERROR(__xludf.DUMMYFUNCTION("""COMPUTED_VALUE"""),3700.0)</f>
        <v>3700</v>
      </c>
      <c r="F899" s="5">
        <f>IFERROR(__xludf.DUMMYFUNCTION("""COMPUTED_VALUE"""),7.65775E7)</f>
        <v>76577500</v>
      </c>
      <c r="G899" s="5">
        <f t="shared" si="1"/>
        <v>30</v>
      </c>
    </row>
    <row r="900">
      <c r="A900" s="4">
        <f>IFERROR(__xludf.DUMMYFUNCTION("""COMPUTED_VALUE"""),45181.66666666667)</f>
        <v>45181.66667</v>
      </c>
      <c r="B900" s="5">
        <f>IFERROR(__xludf.DUMMYFUNCTION("""COMPUTED_VALUE"""),3700.0)</f>
        <v>3700</v>
      </c>
      <c r="C900" s="5">
        <f>IFERROR(__xludf.DUMMYFUNCTION("""COMPUTED_VALUE"""),3740.0)</f>
        <v>3740</v>
      </c>
      <c r="D900" s="5">
        <f>IFERROR(__xludf.DUMMYFUNCTION("""COMPUTED_VALUE"""),3700.0)</f>
        <v>3700</v>
      </c>
      <c r="E900" s="5">
        <f>IFERROR(__xludf.DUMMYFUNCTION("""COMPUTED_VALUE"""),3710.0)</f>
        <v>3710</v>
      </c>
      <c r="F900" s="5">
        <f>IFERROR(__xludf.DUMMYFUNCTION("""COMPUTED_VALUE"""),7.21706E7)</f>
        <v>72170600</v>
      </c>
      <c r="G900" s="5">
        <f t="shared" si="1"/>
        <v>40</v>
      </c>
    </row>
    <row r="901">
      <c r="A901" s="4">
        <f>IFERROR(__xludf.DUMMYFUNCTION("""COMPUTED_VALUE"""),45182.66666666667)</f>
        <v>45182.66667</v>
      </c>
      <c r="B901" s="5">
        <f>IFERROR(__xludf.DUMMYFUNCTION("""COMPUTED_VALUE"""),3720.0)</f>
        <v>3720</v>
      </c>
      <c r="C901" s="5">
        <f>IFERROR(__xludf.DUMMYFUNCTION("""COMPUTED_VALUE"""),3720.0)</f>
        <v>3720</v>
      </c>
      <c r="D901" s="5">
        <f>IFERROR(__xludf.DUMMYFUNCTION("""COMPUTED_VALUE"""),3670.0)</f>
        <v>3670</v>
      </c>
      <c r="E901" s="5">
        <f>IFERROR(__xludf.DUMMYFUNCTION("""COMPUTED_VALUE"""),3710.0)</f>
        <v>3710</v>
      </c>
      <c r="F901" s="5">
        <f>IFERROR(__xludf.DUMMYFUNCTION("""COMPUTED_VALUE"""),8.26359E7)</f>
        <v>82635900</v>
      </c>
      <c r="G901" s="5">
        <f t="shared" si="1"/>
        <v>50</v>
      </c>
    </row>
    <row r="902">
      <c r="A902" s="4">
        <f>IFERROR(__xludf.DUMMYFUNCTION("""COMPUTED_VALUE"""),45183.66666666667)</f>
        <v>45183.66667</v>
      </c>
      <c r="B902" s="5">
        <f>IFERROR(__xludf.DUMMYFUNCTION("""COMPUTED_VALUE"""),3710.0)</f>
        <v>3710</v>
      </c>
      <c r="C902" s="5">
        <f>IFERROR(__xludf.DUMMYFUNCTION("""COMPUTED_VALUE"""),3720.0)</f>
        <v>3720</v>
      </c>
      <c r="D902" s="5">
        <f>IFERROR(__xludf.DUMMYFUNCTION("""COMPUTED_VALUE"""),3680.0)</f>
        <v>3680</v>
      </c>
      <c r="E902" s="5">
        <f>IFERROR(__xludf.DUMMYFUNCTION("""COMPUTED_VALUE"""),3680.0)</f>
        <v>3680</v>
      </c>
      <c r="F902" s="5">
        <f>IFERROR(__xludf.DUMMYFUNCTION("""COMPUTED_VALUE"""),5.55329E7)</f>
        <v>55532900</v>
      </c>
      <c r="G902" s="5">
        <f t="shared" si="1"/>
        <v>40</v>
      </c>
    </row>
    <row r="903">
      <c r="A903" s="4">
        <f>IFERROR(__xludf.DUMMYFUNCTION("""COMPUTED_VALUE"""),45184.66666666667)</f>
        <v>45184.66667</v>
      </c>
      <c r="B903" s="5">
        <f>IFERROR(__xludf.DUMMYFUNCTION("""COMPUTED_VALUE"""),3680.0)</f>
        <v>3680</v>
      </c>
      <c r="C903" s="5">
        <f>IFERROR(__xludf.DUMMYFUNCTION("""COMPUTED_VALUE"""),3780.0)</f>
        <v>3780</v>
      </c>
      <c r="D903" s="5">
        <f>IFERROR(__xludf.DUMMYFUNCTION("""COMPUTED_VALUE"""),3670.0)</f>
        <v>3670</v>
      </c>
      <c r="E903" s="5">
        <f>IFERROR(__xludf.DUMMYFUNCTION("""COMPUTED_VALUE"""),3720.0)</f>
        <v>3720</v>
      </c>
      <c r="F903" s="5">
        <f>IFERROR(__xludf.DUMMYFUNCTION("""COMPUTED_VALUE"""),1.477573E8)</f>
        <v>147757300</v>
      </c>
      <c r="G903" s="5">
        <f t="shared" si="1"/>
        <v>110</v>
      </c>
    </row>
    <row r="904">
      <c r="A904" s="4">
        <f>IFERROR(__xludf.DUMMYFUNCTION("""COMPUTED_VALUE"""),45187.66666666667)</f>
        <v>45187.66667</v>
      </c>
      <c r="B904" s="5">
        <f>IFERROR(__xludf.DUMMYFUNCTION("""COMPUTED_VALUE"""),3700.0)</f>
        <v>3700</v>
      </c>
      <c r="C904" s="5">
        <f>IFERROR(__xludf.DUMMYFUNCTION("""COMPUTED_VALUE"""),3720.0)</f>
        <v>3720</v>
      </c>
      <c r="D904" s="5">
        <f>IFERROR(__xludf.DUMMYFUNCTION("""COMPUTED_VALUE"""),3680.0)</f>
        <v>3680</v>
      </c>
      <c r="E904" s="5">
        <f>IFERROR(__xludf.DUMMYFUNCTION("""COMPUTED_VALUE"""),3680.0)</f>
        <v>3680</v>
      </c>
      <c r="F904" s="5">
        <f>IFERROR(__xludf.DUMMYFUNCTION("""COMPUTED_VALUE"""),4.06459E7)</f>
        <v>40645900</v>
      </c>
      <c r="G904" s="5">
        <f t="shared" si="1"/>
        <v>40</v>
      </c>
    </row>
    <row r="905">
      <c r="A905" s="4">
        <f>IFERROR(__xludf.DUMMYFUNCTION("""COMPUTED_VALUE"""),45188.66666666667)</f>
        <v>45188.66667</v>
      </c>
      <c r="B905" s="5">
        <f>IFERROR(__xludf.DUMMYFUNCTION("""COMPUTED_VALUE"""),3690.0)</f>
        <v>3690</v>
      </c>
      <c r="C905" s="5">
        <f>IFERROR(__xludf.DUMMYFUNCTION("""COMPUTED_VALUE"""),3740.0)</f>
        <v>3740</v>
      </c>
      <c r="D905" s="5">
        <f>IFERROR(__xludf.DUMMYFUNCTION("""COMPUTED_VALUE"""),3690.0)</f>
        <v>3690</v>
      </c>
      <c r="E905" s="5">
        <f>IFERROR(__xludf.DUMMYFUNCTION("""COMPUTED_VALUE"""),3730.0)</f>
        <v>3730</v>
      </c>
      <c r="F905" s="5">
        <f>IFERROR(__xludf.DUMMYFUNCTION("""COMPUTED_VALUE"""),3.8375E7)</f>
        <v>38375000</v>
      </c>
      <c r="G905" s="5">
        <f t="shared" si="1"/>
        <v>60</v>
      </c>
    </row>
    <row r="906">
      <c r="A906" s="4">
        <f>IFERROR(__xludf.DUMMYFUNCTION("""COMPUTED_VALUE"""),45189.66666666667)</f>
        <v>45189.66667</v>
      </c>
      <c r="B906" s="5">
        <f>IFERROR(__xludf.DUMMYFUNCTION("""COMPUTED_VALUE"""),3740.0)</f>
        <v>3740</v>
      </c>
      <c r="C906" s="5">
        <f>IFERROR(__xludf.DUMMYFUNCTION("""COMPUTED_VALUE"""),3850.0)</f>
        <v>3850</v>
      </c>
      <c r="D906" s="5">
        <f>IFERROR(__xludf.DUMMYFUNCTION("""COMPUTED_VALUE"""),3740.0)</f>
        <v>3740</v>
      </c>
      <c r="E906" s="5">
        <f>IFERROR(__xludf.DUMMYFUNCTION("""COMPUTED_VALUE"""),3810.0)</f>
        <v>3810</v>
      </c>
      <c r="F906" s="5">
        <f>IFERROR(__xludf.DUMMYFUNCTION("""COMPUTED_VALUE"""),1.717519E8)</f>
        <v>171751900</v>
      </c>
      <c r="G906" s="5">
        <f t="shared" si="1"/>
        <v>120</v>
      </c>
    </row>
    <row r="907">
      <c r="A907" s="4">
        <f>IFERROR(__xludf.DUMMYFUNCTION("""COMPUTED_VALUE"""),45190.66666666667)</f>
        <v>45190.66667</v>
      </c>
      <c r="B907" s="5">
        <f>IFERROR(__xludf.DUMMYFUNCTION("""COMPUTED_VALUE"""),3810.0)</f>
        <v>3810</v>
      </c>
      <c r="C907" s="5">
        <f>IFERROR(__xludf.DUMMYFUNCTION("""COMPUTED_VALUE"""),3840.0)</f>
        <v>3840</v>
      </c>
      <c r="D907" s="5">
        <f>IFERROR(__xludf.DUMMYFUNCTION("""COMPUTED_VALUE"""),3790.0)</f>
        <v>3790</v>
      </c>
      <c r="E907" s="5">
        <f>IFERROR(__xludf.DUMMYFUNCTION("""COMPUTED_VALUE"""),3810.0)</f>
        <v>3810</v>
      </c>
      <c r="F907" s="5">
        <f>IFERROR(__xludf.DUMMYFUNCTION("""COMPUTED_VALUE"""),9.48807E7)</f>
        <v>94880700</v>
      </c>
      <c r="G907" s="5">
        <f t="shared" si="1"/>
        <v>50</v>
      </c>
    </row>
    <row r="908">
      <c r="A908" s="4">
        <f>IFERROR(__xludf.DUMMYFUNCTION("""COMPUTED_VALUE"""),45191.66666666667)</f>
        <v>45191.66667</v>
      </c>
      <c r="B908" s="5">
        <f>IFERROR(__xludf.DUMMYFUNCTION("""COMPUTED_VALUE"""),3830.0)</f>
        <v>3830</v>
      </c>
      <c r="C908" s="5">
        <f>IFERROR(__xludf.DUMMYFUNCTION("""COMPUTED_VALUE"""),3880.0)</f>
        <v>3880</v>
      </c>
      <c r="D908" s="5">
        <f>IFERROR(__xludf.DUMMYFUNCTION("""COMPUTED_VALUE"""),3810.0)</f>
        <v>3810</v>
      </c>
      <c r="E908" s="5">
        <f>IFERROR(__xludf.DUMMYFUNCTION("""COMPUTED_VALUE"""),3860.0)</f>
        <v>3860</v>
      </c>
      <c r="F908" s="5">
        <f>IFERROR(__xludf.DUMMYFUNCTION("""COMPUTED_VALUE"""),1.011857E8)</f>
        <v>101185700</v>
      </c>
      <c r="G908" s="5">
        <f t="shared" si="1"/>
        <v>70</v>
      </c>
    </row>
    <row r="909">
      <c r="A909" s="4">
        <f>IFERROR(__xludf.DUMMYFUNCTION("""COMPUTED_VALUE"""),45194.66666666667)</f>
        <v>45194.66667</v>
      </c>
      <c r="B909" s="5">
        <f>IFERROR(__xludf.DUMMYFUNCTION("""COMPUTED_VALUE"""),3810.0)</f>
        <v>3810</v>
      </c>
      <c r="C909" s="5">
        <f>IFERROR(__xludf.DUMMYFUNCTION("""COMPUTED_VALUE"""),3830.0)</f>
        <v>3830</v>
      </c>
      <c r="D909" s="5">
        <f>IFERROR(__xludf.DUMMYFUNCTION("""COMPUTED_VALUE"""),3770.0)</f>
        <v>3770</v>
      </c>
      <c r="E909" s="5">
        <f>IFERROR(__xludf.DUMMYFUNCTION("""COMPUTED_VALUE"""),3770.0)</f>
        <v>3770</v>
      </c>
      <c r="F909" s="5">
        <f>IFERROR(__xludf.DUMMYFUNCTION("""COMPUTED_VALUE"""),1.258177E8)</f>
        <v>125817700</v>
      </c>
      <c r="G909" s="5">
        <f t="shared" si="1"/>
        <v>90</v>
      </c>
    </row>
    <row r="910">
      <c r="A910" s="4">
        <f>IFERROR(__xludf.DUMMYFUNCTION("""COMPUTED_VALUE"""),45195.66666666667)</f>
        <v>45195.66667</v>
      </c>
      <c r="B910" s="5">
        <f>IFERROR(__xludf.DUMMYFUNCTION("""COMPUTED_VALUE"""),3770.0)</f>
        <v>3770</v>
      </c>
      <c r="C910" s="5">
        <f>IFERROR(__xludf.DUMMYFUNCTION("""COMPUTED_VALUE"""),3800.0)</f>
        <v>3800</v>
      </c>
      <c r="D910" s="5">
        <f>IFERROR(__xludf.DUMMYFUNCTION("""COMPUTED_VALUE"""),3750.0)</f>
        <v>3750</v>
      </c>
      <c r="E910" s="5">
        <f>IFERROR(__xludf.DUMMYFUNCTION("""COMPUTED_VALUE"""),3760.0)</f>
        <v>3760</v>
      </c>
      <c r="F910" s="5">
        <f>IFERROR(__xludf.DUMMYFUNCTION("""COMPUTED_VALUE"""),7.47345E7)</f>
        <v>74734500</v>
      </c>
      <c r="G910" s="5">
        <f t="shared" si="1"/>
        <v>50</v>
      </c>
    </row>
    <row r="911">
      <c r="A911" s="4">
        <f>IFERROR(__xludf.DUMMYFUNCTION("""COMPUTED_VALUE"""),45196.66666666667)</f>
        <v>45196.66667</v>
      </c>
      <c r="B911" s="5">
        <f>IFERROR(__xludf.DUMMYFUNCTION("""COMPUTED_VALUE"""),3750.0)</f>
        <v>3750</v>
      </c>
      <c r="C911" s="5">
        <f>IFERROR(__xludf.DUMMYFUNCTION("""COMPUTED_VALUE"""),3780.0)</f>
        <v>3780</v>
      </c>
      <c r="D911" s="5">
        <f>IFERROR(__xludf.DUMMYFUNCTION("""COMPUTED_VALUE"""),3720.0)</f>
        <v>3720</v>
      </c>
      <c r="E911" s="5">
        <f>IFERROR(__xludf.DUMMYFUNCTION("""COMPUTED_VALUE"""),3720.0)</f>
        <v>3720</v>
      </c>
      <c r="F911" s="5">
        <f>IFERROR(__xludf.DUMMYFUNCTION("""COMPUTED_VALUE"""),8.33377E7)</f>
        <v>83337700</v>
      </c>
      <c r="G911" s="5">
        <f t="shared" si="1"/>
        <v>60</v>
      </c>
    </row>
    <row r="912">
      <c r="A912" s="4">
        <f>IFERROR(__xludf.DUMMYFUNCTION("""COMPUTED_VALUE"""),45198.66666666667)</f>
        <v>45198.66667</v>
      </c>
      <c r="B912" s="5">
        <f>IFERROR(__xludf.DUMMYFUNCTION("""COMPUTED_VALUE"""),3730.0)</f>
        <v>3730</v>
      </c>
      <c r="C912" s="5">
        <f>IFERROR(__xludf.DUMMYFUNCTION("""COMPUTED_VALUE"""),3800.0)</f>
        <v>3800</v>
      </c>
      <c r="D912" s="5">
        <f>IFERROR(__xludf.DUMMYFUNCTION("""COMPUTED_VALUE"""),3730.0)</f>
        <v>3730</v>
      </c>
      <c r="E912" s="5">
        <f>IFERROR(__xludf.DUMMYFUNCTION("""COMPUTED_VALUE"""),3750.0)</f>
        <v>3750</v>
      </c>
      <c r="F912" s="5">
        <f>IFERROR(__xludf.DUMMYFUNCTION("""COMPUTED_VALUE"""),6.62193E7)</f>
        <v>66219300</v>
      </c>
      <c r="G912" s="5">
        <f t="shared" si="1"/>
        <v>80</v>
      </c>
    </row>
    <row r="913">
      <c r="A913" s="4">
        <f>IFERROR(__xludf.DUMMYFUNCTION("""COMPUTED_VALUE"""),45201.66666666667)</f>
        <v>45201.66667</v>
      </c>
      <c r="B913" s="5">
        <f>IFERROR(__xludf.DUMMYFUNCTION("""COMPUTED_VALUE"""),3750.0)</f>
        <v>3750</v>
      </c>
      <c r="C913" s="5">
        <f>IFERROR(__xludf.DUMMYFUNCTION("""COMPUTED_VALUE"""),3780.0)</f>
        <v>3780</v>
      </c>
      <c r="D913" s="5">
        <f>IFERROR(__xludf.DUMMYFUNCTION("""COMPUTED_VALUE"""),3730.0)</f>
        <v>3730</v>
      </c>
      <c r="E913" s="5">
        <f>IFERROR(__xludf.DUMMYFUNCTION("""COMPUTED_VALUE"""),3750.0)</f>
        <v>3750</v>
      </c>
      <c r="F913" s="5">
        <f>IFERROR(__xludf.DUMMYFUNCTION("""COMPUTED_VALUE"""),7.1945E7)</f>
        <v>71945000</v>
      </c>
      <c r="G913" s="5">
        <f t="shared" si="1"/>
        <v>50</v>
      </c>
    </row>
    <row r="914">
      <c r="A914" s="4">
        <f>IFERROR(__xludf.DUMMYFUNCTION("""COMPUTED_VALUE"""),45202.66666666667)</f>
        <v>45202.66667</v>
      </c>
      <c r="B914" s="5">
        <f>IFERROR(__xludf.DUMMYFUNCTION("""COMPUTED_VALUE"""),3750.0)</f>
        <v>3750</v>
      </c>
      <c r="C914" s="5">
        <f>IFERROR(__xludf.DUMMYFUNCTION("""COMPUTED_VALUE"""),3800.0)</f>
        <v>3800</v>
      </c>
      <c r="D914" s="5">
        <f>IFERROR(__xludf.DUMMYFUNCTION("""COMPUTED_VALUE"""),3740.0)</f>
        <v>3740</v>
      </c>
      <c r="E914" s="5">
        <f>IFERROR(__xludf.DUMMYFUNCTION("""COMPUTED_VALUE"""),3770.0)</f>
        <v>3770</v>
      </c>
      <c r="F914" s="5">
        <f>IFERROR(__xludf.DUMMYFUNCTION("""COMPUTED_VALUE"""),6.11551E7)</f>
        <v>61155100</v>
      </c>
      <c r="G914" s="5">
        <f t="shared" si="1"/>
        <v>60</v>
      </c>
    </row>
    <row r="915">
      <c r="A915" s="4">
        <f>IFERROR(__xludf.DUMMYFUNCTION("""COMPUTED_VALUE"""),45203.66666666667)</f>
        <v>45203.66667</v>
      </c>
      <c r="B915" s="5">
        <f>IFERROR(__xludf.DUMMYFUNCTION("""COMPUTED_VALUE"""),3800.0)</f>
        <v>3800</v>
      </c>
      <c r="C915" s="5">
        <f>IFERROR(__xludf.DUMMYFUNCTION("""COMPUTED_VALUE"""),3800.0)</f>
        <v>3800</v>
      </c>
      <c r="D915" s="5">
        <f>IFERROR(__xludf.DUMMYFUNCTION("""COMPUTED_VALUE"""),3740.0)</f>
        <v>3740</v>
      </c>
      <c r="E915" s="5">
        <f>IFERROR(__xludf.DUMMYFUNCTION("""COMPUTED_VALUE"""),3780.0)</f>
        <v>3780</v>
      </c>
      <c r="F915" s="5">
        <f>IFERROR(__xludf.DUMMYFUNCTION("""COMPUTED_VALUE"""),7.75277E7)</f>
        <v>77527700</v>
      </c>
      <c r="G915" s="5">
        <f t="shared" si="1"/>
        <v>60</v>
      </c>
    </row>
    <row r="916">
      <c r="A916" s="4">
        <f>IFERROR(__xludf.DUMMYFUNCTION("""COMPUTED_VALUE"""),45204.66666666667)</f>
        <v>45204.66667</v>
      </c>
      <c r="B916" s="5">
        <f>IFERROR(__xludf.DUMMYFUNCTION("""COMPUTED_VALUE"""),3790.0)</f>
        <v>3790</v>
      </c>
      <c r="C916" s="5">
        <f>IFERROR(__xludf.DUMMYFUNCTION("""COMPUTED_VALUE"""),3800.0)</f>
        <v>3800</v>
      </c>
      <c r="D916" s="5">
        <f>IFERROR(__xludf.DUMMYFUNCTION("""COMPUTED_VALUE"""),3720.0)</f>
        <v>3720</v>
      </c>
      <c r="E916" s="5">
        <f>IFERROR(__xludf.DUMMYFUNCTION("""COMPUTED_VALUE"""),3720.0)</f>
        <v>3720</v>
      </c>
      <c r="F916" s="5">
        <f>IFERROR(__xludf.DUMMYFUNCTION("""COMPUTED_VALUE"""),8.12589E7)</f>
        <v>81258900</v>
      </c>
      <c r="G916" s="5">
        <f t="shared" si="1"/>
        <v>80</v>
      </c>
    </row>
    <row r="917">
      <c r="A917" s="4">
        <f>IFERROR(__xludf.DUMMYFUNCTION("""COMPUTED_VALUE"""),45205.66666666667)</f>
        <v>45205.66667</v>
      </c>
      <c r="B917" s="5">
        <f>IFERROR(__xludf.DUMMYFUNCTION("""COMPUTED_VALUE"""),3780.0)</f>
        <v>3780</v>
      </c>
      <c r="C917" s="5">
        <f>IFERROR(__xludf.DUMMYFUNCTION("""COMPUTED_VALUE"""),3800.0)</f>
        <v>3800</v>
      </c>
      <c r="D917" s="5">
        <f>IFERROR(__xludf.DUMMYFUNCTION("""COMPUTED_VALUE"""),3770.0)</f>
        <v>3770</v>
      </c>
      <c r="E917" s="5">
        <f>IFERROR(__xludf.DUMMYFUNCTION("""COMPUTED_VALUE"""),3780.0)</f>
        <v>3780</v>
      </c>
      <c r="F917" s="5">
        <f>IFERROR(__xludf.DUMMYFUNCTION("""COMPUTED_VALUE"""),6.01561E7)</f>
        <v>60156100</v>
      </c>
      <c r="G917" s="5">
        <f t="shared" si="1"/>
        <v>80</v>
      </c>
    </row>
    <row r="918">
      <c r="A918" s="4">
        <f>IFERROR(__xludf.DUMMYFUNCTION("""COMPUTED_VALUE"""),45208.66666666667)</f>
        <v>45208.66667</v>
      </c>
      <c r="B918" s="5">
        <f>IFERROR(__xludf.DUMMYFUNCTION("""COMPUTED_VALUE"""),3770.0)</f>
        <v>3770</v>
      </c>
      <c r="C918" s="5">
        <f>IFERROR(__xludf.DUMMYFUNCTION("""COMPUTED_VALUE"""),3780.0)</f>
        <v>3780</v>
      </c>
      <c r="D918" s="5">
        <f>IFERROR(__xludf.DUMMYFUNCTION("""COMPUTED_VALUE"""),3750.0)</f>
        <v>3750</v>
      </c>
      <c r="E918" s="5">
        <f>IFERROR(__xludf.DUMMYFUNCTION("""COMPUTED_VALUE"""),3760.0)</f>
        <v>3760</v>
      </c>
      <c r="F918" s="5">
        <f>IFERROR(__xludf.DUMMYFUNCTION("""COMPUTED_VALUE"""),3.77114E7)</f>
        <v>37711400</v>
      </c>
      <c r="G918" s="5">
        <f t="shared" si="1"/>
        <v>30</v>
      </c>
    </row>
    <row r="919">
      <c r="A919" s="4">
        <f>IFERROR(__xludf.DUMMYFUNCTION("""COMPUTED_VALUE"""),45209.66666666667)</f>
        <v>45209.66667</v>
      </c>
      <c r="B919" s="5">
        <f>IFERROR(__xludf.DUMMYFUNCTION("""COMPUTED_VALUE"""),3780.0)</f>
        <v>3780</v>
      </c>
      <c r="C919" s="5">
        <f>IFERROR(__xludf.DUMMYFUNCTION("""COMPUTED_VALUE"""),3820.0)</f>
        <v>3820</v>
      </c>
      <c r="D919" s="5">
        <f>IFERROR(__xludf.DUMMYFUNCTION("""COMPUTED_VALUE"""),3770.0)</f>
        <v>3770</v>
      </c>
      <c r="E919" s="5">
        <f>IFERROR(__xludf.DUMMYFUNCTION("""COMPUTED_VALUE"""),3810.0)</f>
        <v>3810</v>
      </c>
      <c r="F919" s="5">
        <f>IFERROR(__xludf.DUMMYFUNCTION("""COMPUTED_VALUE"""),5.11679E7)</f>
        <v>51167900</v>
      </c>
      <c r="G919" s="5">
        <f t="shared" si="1"/>
        <v>60</v>
      </c>
    </row>
    <row r="920">
      <c r="A920" s="4">
        <f>IFERROR(__xludf.DUMMYFUNCTION("""COMPUTED_VALUE"""),45210.66666666667)</f>
        <v>45210.66667</v>
      </c>
      <c r="B920" s="5">
        <f>IFERROR(__xludf.DUMMYFUNCTION("""COMPUTED_VALUE"""),3780.0)</f>
        <v>3780</v>
      </c>
      <c r="C920" s="5">
        <f>IFERROR(__xludf.DUMMYFUNCTION("""COMPUTED_VALUE"""),3810.0)</f>
        <v>3810</v>
      </c>
      <c r="D920" s="5">
        <f>IFERROR(__xludf.DUMMYFUNCTION("""COMPUTED_VALUE"""),3780.0)</f>
        <v>3780</v>
      </c>
      <c r="E920" s="5">
        <f>IFERROR(__xludf.DUMMYFUNCTION("""COMPUTED_VALUE"""),3780.0)</f>
        <v>3780</v>
      </c>
      <c r="F920" s="5">
        <f>IFERROR(__xludf.DUMMYFUNCTION("""COMPUTED_VALUE"""),8.31543E7)</f>
        <v>83154300</v>
      </c>
      <c r="G920" s="5">
        <f t="shared" si="1"/>
        <v>30</v>
      </c>
    </row>
    <row r="921">
      <c r="A921" s="4">
        <f>IFERROR(__xludf.DUMMYFUNCTION("""COMPUTED_VALUE"""),45211.66666666667)</f>
        <v>45211.66667</v>
      </c>
      <c r="B921" s="5">
        <f>IFERROR(__xludf.DUMMYFUNCTION("""COMPUTED_VALUE"""),3820.0)</f>
        <v>3820</v>
      </c>
      <c r="C921" s="5">
        <f>IFERROR(__xludf.DUMMYFUNCTION("""COMPUTED_VALUE"""),3870.0)</f>
        <v>3870</v>
      </c>
      <c r="D921" s="5">
        <f>IFERROR(__xludf.DUMMYFUNCTION("""COMPUTED_VALUE"""),3800.0)</f>
        <v>3800</v>
      </c>
      <c r="E921" s="5">
        <f>IFERROR(__xludf.DUMMYFUNCTION("""COMPUTED_VALUE"""),3830.0)</f>
        <v>3830</v>
      </c>
      <c r="F921" s="5">
        <f>IFERROR(__xludf.DUMMYFUNCTION("""COMPUTED_VALUE"""),1.016451E8)</f>
        <v>101645100</v>
      </c>
      <c r="G921" s="5">
        <f t="shared" si="1"/>
        <v>90</v>
      </c>
    </row>
    <row r="922">
      <c r="A922" s="4">
        <f>IFERROR(__xludf.DUMMYFUNCTION("""COMPUTED_VALUE"""),45212.66666666667)</f>
        <v>45212.66667</v>
      </c>
      <c r="B922" s="5">
        <f>IFERROR(__xludf.DUMMYFUNCTION("""COMPUTED_VALUE"""),3820.0)</f>
        <v>3820</v>
      </c>
      <c r="C922" s="5">
        <f>IFERROR(__xludf.DUMMYFUNCTION("""COMPUTED_VALUE"""),3850.0)</f>
        <v>3850</v>
      </c>
      <c r="D922" s="5">
        <f>IFERROR(__xludf.DUMMYFUNCTION("""COMPUTED_VALUE"""),3810.0)</f>
        <v>3810</v>
      </c>
      <c r="E922" s="5">
        <f>IFERROR(__xludf.DUMMYFUNCTION("""COMPUTED_VALUE"""),3850.0)</f>
        <v>3850</v>
      </c>
      <c r="F922" s="5">
        <f>IFERROR(__xludf.DUMMYFUNCTION("""COMPUTED_VALUE"""),4.88565E7)</f>
        <v>48856500</v>
      </c>
      <c r="G922" s="5">
        <f t="shared" si="1"/>
        <v>40</v>
      </c>
    </row>
    <row r="923">
      <c r="A923" s="4">
        <f>IFERROR(__xludf.DUMMYFUNCTION("""COMPUTED_VALUE"""),45215.66666666667)</f>
        <v>45215.66667</v>
      </c>
      <c r="B923" s="5">
        <f>IFERROR(__xludf.DUMMYFUNCTION("""COMPUTED_VALUE"""),3850.0)</f>
        <v>3850</v>
      </c>
      <c r="C923" s="5">
        <f>IFERROR(__xludf.DUMMYFUNCTION("""COMPUTED_VALUE"""),3850.0)</f>
        <v>3850</v>
      </c>
      <c r="D923" s="5">
        <f>IFERROR(__xludf.DUMMYFUNCTION("""COMPUTED_VALUE"""),3740.0)</f>
        <v>3740</v>
      </c>
      <c r="E923" s="5">
        <f>IFERROR(__xludf.DUMMYFUNCTION("""COMPUTED_VALUE"""),3760.0)</f>
        <v>3760</v>
      </c>
      <c r="F923" s="5">
        <f>IFERROR(__xludf.DUMMYFUNCTION("""COMPUTED_VALUE"""),1.174728E8)</f>
        <v>117472800</v>
      </c>
      <c r="G923" s="5">
        <f t="shared" si="1"/>
        <v>110</v>
      </c>
    </row>
    <row r="924">
      <c r="A924" s="4">
        <f>IFERROR(__xludf.DUMMYFUNCTION("""COMPUTED_VALUE"""),45216.66666666667)</f>
        <v>45216.66667</v>
      </c>
      <c r="B924" s="5">
        <f>IFERROR(__xludf.DUMMYFUNCTION("""COMPUTED_VALUE"""),3780.0)</f>
        <v>3780</v>
      </c>
      <c r="C924" s="5">
        <f>IFERROR(__xludf.DUMMYFUNCTION("""COMPUTED_VALUE"""),3810.0)</f>
        <v>3810</v>
      </c>
      <c r="D924" s="5">
        <f>IFERROR(__xludf.DUMMYFUNCTION("""COMPUTED_VALUE"""),3770.0)</f>
        <v>3770</v>
      </c>
      <c r="E924" s="5">
        <f>IFERROR(__xludf.DUMMYFUNCTION("""COMPUTED_VALUE"""),3790.0)</f>
        <v>3790</v>
      </c>
      <c r="F924" s="5">
        <f>IFERROR(__xludf.DUMMYFUNCTION("""COMPUTED_VALUE"""),5.70469E7)</f>
        <v>57046900</v>
      </c>
      <c r="G924" s="5">
        <f t="shared" si="1"/>
        <v>50</v>
      </c>
    </row>
    <row r="925">
      <c r="A925" s="4">
        <f>IFERROR(__xludf.DUMMYFUNCTION("""COMPUTED_VALUE"""),45217.66666666667)</f>
        <v>45217.66667</v>
      </c>
      <c r="B925" s="5">
        <f>IFERROR(__xludf.DUMMYFUNCTION("""COMPUTED_VALUE"""),3770.0)</f>
        <v>3770</v>
      </c>
      <c r="C925" s="5">
        <f>IFERROR(__xludf.DUMMYFUNCTION("""COMPUTED_VALUE"""),3780.0)</f>
        <v>3780</v>
      </c>
      <c r="D925" s="5">
        <f>IFERROR(__xludf.DUMMYFUNCTION("""COMPUTED_VALUE"""),3730.0)</f>
        <v>3730</v>
      </c>
      <c r="E925" s="5">
        <f>IFERROR(__xludf.DUMMYFUNCTION("""COMPUTED_VALUE"""),3750.0)</f>
        <v>3750</v>
      </c>
      <c r="F925" s="5">
        <f>IFERROR(__xludf.DUMMYFUNCTION("""COMPUTED_VALUE"""),6.49106E7)</f>
        <v>64910600</v>
      </c>
      <c r="G925" s="5">
        <f t="shared" si="1"/>
        <v>60</v>
      </c>
    </row>
    <row r="926">
      <c r="A926" s="4">
        <f>IFERROR(__xludf.DUMMYFUNCTION("""COMPUTED_VALUE"""),45218.66666666667)</f>
        <v>45218.66667</v>
      </c>
      <c r="B926" s="5">
        <f>IFERROR(__xludf.DUMMYFUNCTION("""COMPUTED_VALUE"""),3730.0)</f>
        <v>3730</v>
      </c>
      <c r="C926" s="5">
        <f>IFERROR(__xludf.DUMMYFUNCTION("""COMPUTED_VALUE"""),3760.0)</f>
        <v>3760</v>
      </c>
      <c r="D926" s="5">
        <f>IFERROR(__xludf.DUMMYFUNCTION("""COMPUTED_VALUE"""),3720.0)</f>
        <v>3720</v>
      </c>
      <c r="E926" s="5">
        <f>IFERROR(__xludf.DUMMYFUNCTION("""COMPUTED_VALUE"""),3730.0)</f>
        <v>3730</v>
      </c>
      <c r="F926" s="5">
        <f>IFERROR(__xludf.DUMMYFUNCTION("""COMPUTED_VALUE"""),6.22969E7)</f>
        <v>62296900</v>
      </c>
      <c r="G926" s="5">
        <f t="shared" si="1"/>
        <v>40</v>
      </c>
    </row>
    <row r="927">
      <c r="A927" s="4">
        <f>IFERROR(__xludf.DUMMYFUNCTION("""COMPUTED_VALUE"""),45219.66666666667)</f>
        <v>45219.66667</v>
      </c>
      <c r="B927" s="5">
        <f>IFERROR(__xludf.DUMMYFUNCTION("""COMPUTED_VALUE"""),3720.0)</f>
        <v>3720</v>
      </c>
      <c r="C927" s="5">
        <f>IFERROR(__xludf.DUMMYFUNCTION("""COMPUTED_VALUE"""),3730.0)</f>
        <v>3730</v>
      </c>
      <c r="D927" s="5">
        <f>IFERROR(__xludf.DUMMYFUNCTION("""COMPUTED_VALUE"""),3690.0)</f>
        <v>3690</v>
      </c>
      <c r="E927" s="5">
        <f>IFERROR(__xludf.DUMMYFUNCTION("""COMPUTED_VALUE"""),3700.0)</f>
        <v>3700</v>
      </c>
      <c r="F927" s="5">
        <f>IFERROR(__xludf.DUMMYFUNCTION("""COMPUTED_VALUE"""),3.89782E7)</f>
        <v>38978200</v>
      </c>
      <c r="G927" s="5">
        <f t="shared" si="1"/>
        <v>40</v>
      </c>
    </row>
    <row r="928">
      <c r="A928" s="4">
        <f>IFERROR(__xludf.DUMMYFUNCTION("""COMPUTED_VALUE"""),45222.66666666667)</f>
        <v>45222.66667</v>
      </c>
      <c r="B928" s="5">
        <f>IFERROR(__xludf.DUMMYFUNCTION("""COMPUTED_VALUE"""),3710.0)</f>
        <v>3710</v>
      </c>
      <c r="C928" s="5">
        <f>IFERROR(__xludf.DUMMYFUNCTION("""COMPUTED_VALUE"""),3720.0)</f>
        <v>3720</v>
      </c>
      <c r="D928" s="5">
        <f>IFERROR(__xludf.DUMMYFUNCTION("""COMPUTED_VALUE"""),3610.0)</f>
        <v>3610</v>
      </c>
      <c r="E928" s="5">
        <f>IFERROR(__xludf.DUMMYFUNCTION("""COMPUTED_VALUE"""),3610.0)</f>
        <v>3610</v>
      </c>
      <c r="F928" s="5">
        <f>IFERROR(__xludf.DUMMYFUNCTION("""COMPUTED_VALUE"""),6.94284E7)</f>
        <v>69428400</v>
      </c>
      <c r="G928" s="5">
        <f t="shared" si="1"/>
        <v>110</v>
      </c>
    </row>
    <row r="929">
      <c r="A929" s="4">
        <f>IFERROR(__xludf.DUMMYFUNCTION("""COMPUTED_VALUE"""),45223.66666666667)</f>
        <v>45223.66667</v>
      </c>
      <c r="B929" s="5">
        <f>IFERROR(__xludf.DUMMYFUNCTION("""COMPUTED_VALUE"""),3640.0)</f>
        <v>3640</v>
      </c>
      <c r="C929" s="5">
        <f>IFERROR(__xludf.DUMMYFUNCTION("""COMPUTED_VALUE"""),3670.0)</f>
        <v>3670</v>
      </c>
      <c r="D929" s="5">
        <f>IFERROR(__xludf.DUMMYFUNCTION("""COMPUTED_VALUE"""),3600.0)</f>
        <v>3600</v>
      </c>
      <c r="E929" s="5">
        <f>IFERROR(__xludf.DUMMYFUNCTION("""COMPUTED_VALUE"""),3650.0)</f>
        <v>3650</v>
      </c>
      <c r="F929" s="5">
        <f>IFERROR(__xludf.DUMMYFUNCTION("""COMPUTED_VALUE"""),6.70417E7)</f>
        <v>67041700</v>
      </c>
      <c r="G929" s="5">
        <f t="shared" si="1"/>
        <v>70</v>
      </c>
    </row>
    <row r="930">
      <c r="A930" s="4">
        <f>IFERROR(__xludf.DUMMYFUNCTION("""COMPUTED_VALUE"""),45224.66666666667)</f>
        <v>45224.66667</v>
      </c>
      <c r="B930" s="5">
        <f>IFERROR(__xludf.DUMMYFUNCTION("""COMPUTED_VALUE"""),3650.0)</f>
        <v>3650</v>
      </c>
      <c r="C930" s="5">
        <f>IFERROR(__xludf.DUMMYFUNCTION("""COMPUTED_VALUE"""),3680.0)</f>
        <v>3680</v>
      </c>
      <c r="D930" s="5">
        <f>IFERROR(__xludf.DUMMYFUNCTION("""COMPUTED_VALUE"""),3580.0)</f>
        <v>3580</v>
      </c>
      <c r="E930" s="5">
        <f>IFERROR(__xludf.DUMMYFUNCTION("""COMPUTED_VALUE"""),3600.0)</f>
        <v>3600</v>
      </c>
      <c r="F930" s="5">
        <f>IFERROR(__xludf.DUMMYFUNCTION("""COMPUTED_VALUE"""),8.95679E7)</f>
        <v>89567900</v>
      </c>
      <c r="G930" s="5">
        <f t="shared" si="1"/>
        <v>100</v>
      </c>
    </row>
    <row r="931">
      <c r="A931" s="4">
        <f>IFERROR(__xludf.DUMMYFUNCTION("""COMPUTED_VALUE"""),45225.66666666667)</f>
        <v>45225.66667</v>
      </c>
      <c r="B931" s="5">
        <f>IFERROR(__xludf.DUMMYFUNCTION("""COMPUTED_VALUE"""),3600.0)</f>
        <v>3600</v>
      </c>
      <c r="C931" s="5">
        <f>IFERROR(__xludf.DUMMYFUNCTION("""COMPUTED_VALUE"""),3610.0)</f>
        <v>3610</v>
      </c>
      <c r="D931" s="5">
        <f>IFERROR(__xludf.DUMMYFUNCTION("""COMPUTED_VALUE"""),3460.0)</f>
        <v>3460</v>
      </c>
      <c r="E931" s="5">
        <f>IFERROR(__xludf.DUMMYFUNCTION("""COMPUTED_VALUE"""),3480.0)</f>
        <v>3480</v>
      </c>
      <c r="F931" s="5">
        <f>IFERROR(__xludf.DUMMYFUNCTION("""COMPUTED_VALUE"""),1.411397E8)</f>
        <v>141139700</v>
      </c>
      <c r="G931" s="5">
        <f t="shared" si="1"/>
        <v>150</v>
      </c>
    </row>
    <row r="932">
      <c r="A932" s="4">
        <f>IFERROR(__xludf.DUMMYFUNCTION("""COMPUTED_VALUE"""),45226.66666666667)</f>
        <v>45226.66667</v>
      </c>
      <c r="B932" s="5">
        <f>IFERROR(__xludf.DUMMYFUNCTION("""COMPUTED_VALUE"""),3480.0)</f>
        <v>3480</v>
      </c>
      <c r="C932" s="5">
        <f>IFERROR(__xludf.DUMMYFUNCTION("""COMPUTED_VALUE"""),3530.0)</f>
        <v>3530</v>
      </c>
      <c r="D932" s="5">
        <f>IFERROR(__xludf.DUMMYFUNCTION("""COMPUTED_VALUE"""),3440.0)</f>
        <v>3440</v>
      </c>
      <c r="E932" s="5">
        <f>IFERROR(__xludf.DUMMYFUNCTION("""COMPUTED_VALUE"""),3500.0)</f>
        <v>3500</v>
      </c>
      <c r="F932" s="5">
        <f>IFERROR(__xludf.DUMMYFUNCTION("""COMPUTED_VALUE"""),9.9607E7)</f>
        <v>99607000</v>
      </c>
      <c r="G932" s="5">
        <f t="shared" si="1"/>
        <v>90</v>
      </c>
    </row>
    <row r="933">
      <c r="A933" s="4">
        <f>IFERROR(__xludf.DUMMYFUNCTION("""COMPUTED_VALUE"""),45229.66666666667)</f>
        <v>45229.66667</v>
      </c>
      <c r="B933" s="5">
        <f>IFERROR(__xludf.DUMMYFUNCTION("""COMPUTED_VALUE"""),3500.0)</f>
        <v>3500</v>
      </c>
      <c r="C933" s="5">
        <f>IFERROR(__xludf.DUMMYFUNCTION("""COMPUTED_VALUE"""),3500.0)</f>
        <v>3500</v>
      </c>
      <c r="D933" s="5">
        <f>IFERROR(__xludf.DUMMYFUNCTION("""COMPUTED_VALUE"""),3390.0)</f>
        <v>3390</v>
      </c>
      <c r="E933" s="5">
        <f>IFERROR(__xludf.DUMMYFUNCTION("""COMPUTED_VALUE"""),3420.0)</f>
        <v>3420</v>
      </c>
      <c r="F933" s="5">
        <f>IFERROR(__xludf.DUMMYFUNCTION("""COMPUTED_VALUE"""),8.29455E7)</f>
        <v>82945500</v>
      </c>
      <c r="G933" s="5">
        <f t="shared" si="1"/>
        <v>110</v>
      </c>
    </row>
    <row r="934">
      <c r="A934" s="4">
        <f>IFERROR(__xludf.DUMMYFUNCTION("""COMPUTED_VALUE"""),45230.66666666667)</f>
        <v>45230.66667</v>
      </c>
      <c r="B934" s="5">
        <f>IFERROR(__xludf.DUMMYFUNCTION("""COMPUTED_VALUE"""),3400.0)</f>
        <v>3400</v>
      </c>
      <c r="C934" s="5">
        <f>IFERROR(__xludf.DUMMYFUNCTION("""COMPUTED_VALUE"""),3510.0)</f>
        <v>3510</v>
      </c>
      <c r="D934" s="5">
        <f>IFERROR(__xludf.DUMMYFUNCTION("""COMPUTED_VALUE"""),3400.0)</f>
        <v>3400</v>
      </c>
      <c r="E934" s="5">
        <f>IFERROR(__xludf.DUMMYFUNCTION("""COMPUTED_VALUE"""),3490.0)</f>
        <v>3490</v>
      </c>
      <c r="F934" s="5">
        <f>IFERROR(__xludf.DUMMYFUNCTION("""COMPUTED_VALUE"""),6.68016E7)</f>
        <v>66801600</v>
      </c>
      <c r="G934" s="5">
        <f t="shared" si="1"/>
        <v>110</v>
      </c>
    </row>
    <row r="935">
      <c r="A935" s="4">
        <f>IFERROR(__xludf.DUMMYFUNCTION("""COMPUTED_VALUE"""),45231.66666666667)</f>
        <v>45231.66667</v>
      </c>
      <c r="B935" s="5">
        <f>IFERROR(__xludf.DUMMYFUNCTION("""COMPUTED_VALUE"""),3600.0)</f>
        <v>3600</v>
      </c>
      <c r="C935" s="5">
        <f>IFERROR(__xludf.DUMMYFUNCTION("""COMPUTED_VALUE"""),3700.0)</f>
        <v>3700</v>
      </c>
      <c r="D935" s="5">
        <f>IFERROR(__xludf.DUMMYFUNCTION("""COMPUTED_VALUE"""),3600.0)</f>
        <v>3600</v>
      </c>
      <c r="E935" s="5">
        <f>IFERROR(__xludf.DUMMYFUNCTION("""COMPUTED_VALUE"""),3620.0)</f>
        <v>3620</v>
      </c>
      <c r="F935" s="5">
        <f>IFERROR(__xludf.DUMMYFUNCTION("""COMPUTED_VALUE"""),1.544411E8)</f>
        <v>154441100</v>
      </c>
      <c r="G935" s="5">
        <f t="shared" si="1"/>
        <v>210</v>
      </c>
    </row>
    <row r="936">
      <c r="A936" s="4">
        <f>IFERROR(__xludf.DUMMYFUNCTION("""COMPUTED_VALUE"""),45232.66666666667)</f>
        <v>45232.66667</v>
      </c>
      <c r="B936" s="5">
        <f>IFERROR(__xludf.DUMMYFUNCTION("""COMPUTED_VALUE"""),3690.0)</f>
        <v>3690</v>
      </c>
      <c r="C936" s="5">
        <f>IFERROR(__xludf.DUMMYFUNCTION("""COMPUTED_VALUE"""),3690.0)</f>
        <v>3690</v>
      </c>
      <c r="D936" s="5">
        <f>IFERROR(__xludf.DUMMYFUNCTION("""COMPUTED_VALUE"""),3620.0)</f>
        <v>3620</v>
      </c>
      <c r="E936" s="5">
        <f>IFERROR(__xludf.DUMMYFUNCTION("""COMPUTED_VALUE"""),3620.0)</f>
        <v>3620</v>
      </c>
      <c r="F936" s="5">
        <f>IFERROR(__xludf.DUMMYFUNCTION("""COMPUTED_VALUE"""),6.95825E7)</f>
        <v>69582500</v>
      </c>
      <c r="G936" s="5">
        <f t="shared" si="1"/>
        <v>70</v>
      </c>
    </row>
    <row r="937">
      <c r="A937" s="4">
        <f>IFERROR(__xludf.DUMMYFUNCTION("""COMPUTED_VALUE"""),45233.66666666667)</f>
        <v>45233.66667</v>
      </c>
      <c r="B937" s="5">
        <f>IFERROR(__xludf.DUMMYFUNCTION("""COMPUTED_VALUE"""),3590.0)</f>
        <v>3590</v>
      </c>
      <c r="C937" s="5">
        <f>IFERROR(__xludf.DUMMYFUNCTION("""COMPUTED_VALUE"""),3630.0)</f>
        <v>3630</v>
      </c>
      <c r="D937" s="5">
        <f>IFERROR(__xludf.DUMMYFUNCTION("""COMPUTED_VALUE"""),3540.0)</f>
        <v>3540</v>
      </c>
      <c r="E937" s="5">
        <f>IFERROR(__xludf.DUMMYFUNCTION("""COMPUTED_VALUE"""),3570.0)</f>
        <v>3570</v>
      </c>
      <c r="F937" s="5">
        <f>IFERROR(__xludf.DUMMYFUNCTION("""COMPUTED_VALUE"""),8.51468E7)</f>
        <v>85146800</v>
      </c>
      <c r="G937" s="5">
        <f t="shared" si="1"/>
        <v>90</v>
      </c>
    </row>
    <row r="938">
      <c r="A938" s="4">
        <f>IFERROR(__xludf.DUMMYFUNCTION("""COMPUTED_VALUE"""),45236.66666666667)</f>
        <v>45236.66667</v>
      </c>
      <c r="B938" s="5">
        <f>IFERROR(__xludf.DUMMYFUNCTION("""COMPUTED_VALUE"""),3610.0)</f>
        <v>3610</v>
      </c>
      <c r="C938" s="5">
        <f>IFERROR(__xludf.DUMMYFUNCTION("""COMPUTED_VALUE"""),3650.0)</f>
        <v>3650</v>
      </c>
      <c r="D938" s="5">
        <f>IFERROR(__xludf.DUMMYFUNCTION("""COMPUTED_VALUE"""),3600.0)</f>
        <v>3600</v>
      </c>
      <c r="E938" s="5">
        <f>IFERROR(__xludf.DUMMYFUNCTION("""COMPUTED_VALUE"""),3650.0)</f>
        <v>3650</v>
      </c>
      <c r="F938" s="5">
        <f>IFERROR(__xludf.DUMMYFUNCTION("""COMPUTED_VALUE"""),6.69024E7)</f>
        <v>66902400</v>
      </c>
      <c r="G938" s="5">
        <f t="shared" si="1"/>
        <v>80</v>
      </c>
    </row>
    <row r="939">
      <c r="A939" s="4">
        <f>IFERROR(__xludf.DUMMYFUNCTION("""COMPUTED_VALUE"""),45237.66666666667)</f>
        <v>45237.66667</v>
      </c>
      <c r="B939" s="5">
        <f>IFERROR(__xludf.DUMMYFUNCTION("""COMPUTED_VALUE"""),3600.0)</f>
        <v>3600</v>
      </c>
      <c r="C939" s="5">
        <f>IFERROR(__xludf.DUMMYFUNCTION("""COMPUTED_VALUE"""),3610.0)</f>
        <v>3610</v>
      </c>
      <c r="D939" s="5">
        <f>IFERROR(__xludf.DUMMYFUNCTION("""COMPUTED_VALUE"""),3550.0)</f>
        <v>3550</v>
      </c>
      <c r="E939" s="5">
        <f>IFERROR(__xludf.DUMMYFUNCTION("""COMPUTED_VALUE"""),3570.0)</f>
        <v>3570</v>
      </c>
      <c r="F939" s="5">
        <f>IFERROR(__xludf.DUMMYFUNCTION("""COMPUTED_VALUE"""),1.036422E8)</f>
        <v>103642200</v>
      </c>
      <c r="G939" s="5">
        <f t="shared" si="1"/>
        <v>100</v>
      </c>
    </row>
    <row r="940">
      <c r="A940" s="4">
        <f>IFERROR(__xludf.DUMMYFUNCTION("""COMPUTED_VALUE"""),45238.66666666667)</f>
        <v>45238.66667</v>
      </c>
      <c r="B940" s="5">
        <f>IFERROR(__xludf.DUMMYFUNCTION("""COMPUTED_VALUE"""),3520.0)</f>
        <v>3520</v>
      </c>
      <c r="C940" s="5">
        <f>IFERROR(__xludf.DUMMYFUNCTION("""COMPUTED_VALUE"""),3540.0)</f>
        <v>3540</v>
      </c>
      <c r="D940" s="5">
        <f>IFERROR(__xludf.DUMMYFUNCTION("""COMPUTED_VALUE"""),3500.0)</f>
        <v>3500</v>
      </c>
      <c r="E940" s="5">
        <f>IFERROR(__xludf.DUMMYFUNCTION("""COMPUTED_VALUE"""),3520.0)</f>
        <v>3520</v>
      </c>
      <c r="F940" s="5">
        <f>IFERROR(__xludf.DUMMYFUNCTION("""COMPUTED_VALUE"""),1.034154E8)</f>
        <v>103415400</v>
      </c>
      <c r="G940" s="5">
        <f t="shared" si="1"/>
        <v>70</v>
      </c>
    </row>
    <row r="941">
      <c r="A941" s="4">
        <f>IFERROR(__xludf.DUMMYFUNCTION("""COMPUTED_VALUE"""),45239.66666666667)</f>
        <v>45239.66667</v>
      </c>
      <c r="B941" s="5">
        <f>IFERROR(__xludf.DUMMYFUNCTION("""COMPUTED_VALUE"""),3500.0)</f>
        <v>3500</v>
      </c>
      <c r="C941" s="5">
        <f>IFERROR(__xludf.DUMMYFUNCTION("""COMPUTED_VALUE"""),3570.0)</f>
        <v>3570</v>
      </c>
      <c r="D941" s="5">
        <f>IFERROR(__xludf.DUMMYFUNCTION("""COMPUTED_VALUE"""),3500.0)</f>
        <v>3500</v>
      </c>
      <c r="E941" s="5">
        <f>IFERROR(__xludf.DUMMYFUNCTION("""COMPUTED_VALUE"""),3530.0)</f>
        <v>3530</v>
      </c>
      <c r="F941" s="5">
        <f>IFERROR(__xludf.DUMMYFUNCTION("""COMPUTED_VALUE"""),9.65949E7)</f>
        <v>96594900</v>
      </c>
      <c r="G941" s="5">
        <f t="shared" si="1"/>
        <v>70</v>
      </c>
    </row>
    <row r="942">
      <c r="A942" s="4">
        <f>IFERROR(__xludf.DUMMYFUNCTION("""COMPUTED_VALUE"""),45240.66666666667)</f>
        <v>45240.66667</v>
      </c>
      <c r="B942" s="5">
        <f>IFERROR(__xludf.DUMMYFUNCTION("""COMPUTED_VALUE"""),3520.0)</f>
        <v>3520</v>
      </c>
      <c r="C942" s="5">
        <f>IFERROR(__xludf.DUMMYFUNCTION("""COMPUTED_VALUE"""),3550.0)</f>
        <v>3550</v>
      </c>
      <c r="D942" s="5">
        <f>IFERROR(__xludf.DUMMYFUNCTION("""COMPUTED_VALUE"""),3490.0)</f>
        <v>3490</v>
      </c>
      <c r="E942" s="5">
        <f>IFERROR(__xludf.DUMMYFUNCTION("""COMPUTED_VALUE"""),3550.0)</f>
        <v>3550</v>
      </c>
      <c r="F942" s="5">
        <f>IFERROR(__xludf.DUMMYFUNCTION("""COMPUTED_VALUE"""),4.86195E7)</f>
        <v>48619500</v>
      </c>
      <c r="G942" s="5">
        <f t="shared" si="1"/>
        <v>60</v>
      </c>
    </row>
    <row r="943">
      <c r="A943" s="4">
        <f>IFERROR(__xludf.DUMMYFUNCTION("""COMPUTED_VALUE"""),45243.66666666667)</f>
        <v>45243.66667</v>
      </c>
      <c r="B943" s="5">
        <f>IFERROR(__xludf.DUMMYFUNCTION("""COMPUTED_VALUE"""),3570.0)</f>
        <v>3570</v>
      </c>
      <c r="C943" s="5">
        <f>IFERROR(__xludf.DUMMYFUNCTION("""COMPUTED_VALUE"""),3570.0)</f>
        <v>3570</v>
      </c>
      <c r="D943" s="5">
        <f>IFERROR(__xludf.DUMMYFUNCTION("""COMPUTED_VALUE"""),3510.0)</f>
        <v>3510</v>
      </c>
      <c r="E943" s="5">
        <f>IFERROR(__xludf.DUMMYFUNCTION("""COMPUTED_VALUE"""),3520.0)</f>
        <v>3520</v>
      </c>
      <c r="F943" s="5">
        <f>IFERROR(__xludf.DUMMYFUNCTION("""COMPUTED_VALUE"""),3.79754E7)</f>
        <v>37975400</v>
      </c>
      <c r="G943" s="5">
        <f t="shared" si="1"/>
        <v>60</v>
      </c>
    </row>
    <row r="944">
      <c r="A944" s="4">
        <f>IFERROR(__xludf.DUMMYFUNCTION("""COMPUTED_VALUE"""),45244.66666666667)</f>
        <v>45244.66667</v>
      </c>
      <c r="B944" s="5">
        <f>IFERROR(__xludf.DUMMYFUNCTION("""COMPUTED_VALUE"""),3500.0)</f>
        <v>3500</v>
      </c>
      <c r="C944" s="5">
        <f>IFERROR(__xludf.DUMMYFUNCTION("""COMPUTED_VALUE"""),3540.0)</f>
        <v>3540</v>
      </c>
      <c r="D944" s="5">
        <f>IFERROR(__xludf.DUMMYFUNCTION("""COMPUTED_VALUE"""),3500.0)</f>
        <v>3500</v>
      </c>
      <c r="E944" s="5">
        <f>IFERROR(__xludf.DUMMYFUNCTION("""COMPUTED_VALUE"""),3500.0)</f>
        <v>3500</v>
      </c>
      <c r="F944" s="5">
        <f>IFERROR(__xludf.DUMMYFUNCTION("""COMPUTED_VALUE"""),4.5987E7)</f>
        <v>45987000</v>
      </c>
      <c r="G944" s="5">
        <f t="shared" si="1"/>
        <v>40</v>
      </c>
    </row>
    <row r="945">
      <c r="A945" s="4">
        <f>IFERROR(__xludf.DUMMYFUNCTION("""COMPUTED_VALUE"""),45245.66666666667)</f>
        <v>45245.66667</v>
      </c>
      <c r="B945" s="5">
        <f>IFERROR(__xludf.DUMMYFUNCTION("""COMPUTED_VALUE"""),3520.0)</f>
        <v>3520</v>
      </c>
      <c r="C945" s="5">
        <f>IFERROR(__xludf.DUMMYFUNCTION("""COMPUTED_VALUE"""),3570.0)</f>
        <v>3570</v>
      </c>
      <c r="D945" s="5">
        <f>IFERROR(__xludf.DUMMYFUNCTION("""COMPUTED_VALUE"""),3520.0)</f>
        <v>3520</v>
      </c>
      <c r="E945" s="5">
        <f>IFERROR(__xludf.DUMMYFUNCTION("""COMPUTED_VALUE"""),3550.0)</f>
        <v>3550</v>
      </c>
      <c r="F945" s="5">
        <f>IFERROR(__xludf.DUMMYFUNCTION("""COMPUTED_VALUE"""),1.141045E8)</f>
        <v>114104500</v>
      </c>
      <c r="G945" s="5">
        <f t="shared" si="1"/>
        <v>70</v>
      </c>
    </row>
    <row r="946">
      <c r="A946" s="4">
        <f>IFERROR(__xludf.DUMMYFUNCTION("""COMPUTED_VALUE"""),45246.66666666667)</f>
        <v>45246.66667</v>
      </c>
      <c r="B946" s="5">
        <f>IFERROR(__xludf.DUMMYFUNCTION("""COMPUTED_VALUE"""),3550.0)</f>
        <v>3550</v>
      </c>
      <c r="C946" s="5">
        <f>IFERROR(__xludf.DUMMYFUNCTION("""COMPUTED_VALUE"""),3550.0)</f>
        <v>3550</v>
      </c>
      <c r="D946" s="5">
        <f>IFERROR(__xludf.DUMMYFUNCTION("""COMPUTED_VALUE"""),3510.0)</f>
        <v>3510</v>
      </c>
      <c r="E946" s="5">
        <f>IFERROR(__xludf.DUMMYFUNCTION("""COMPUTED_VALUE"""),3540.0)</f>
        <v>3540</v>
      </c>
      <c r="F946" s="5">
        <f>IFERROR(__xludf.DUMMYFUNCTION("""COMPUTED_VALUE"""),4.18306E7)</f>
        <v>41830600</v>
      </c>
      <c r="G946" s="5">
        <f t="shared" si="1"/>
        <v>40</v>
      </c>
    </row>
    <row r="947">
      <c r="A947" s="4">
        <f>IFERROR(__xludf.DUMMYFUNCTION("""COMPUTED_VALUE"""),45247.66666666667)</f>
        <v>45247.66667</v>
      </c>
      <c r="B947" s="5">
        <f>IFERROR(__xludf.DUMMYFUNCTION("""COMPUTED_VALUE"""),3530.0)</f>
        <v>3530</v>
      </c>
      <c r="C947" s="5">
        <f>IFERROR(__xludf.DUMMYFUNCTION("""COMPUTED_VALUE"""),3550.0)</f>
        <v>3550</v>
      </c>
      <c r="D947" s="5">
        <f>IFERROR(__xludf.DUMMYFUNCTION("""COMPUTED_VALUE"""),3480.0)</f>
        <v>3480</v>
      </c>
      <c r="E947" s="5">
        <f>IFERROR(__xludf.DUMMYFUNCTION("""COMPUTED_VALUE"""),3550.0)</f>
        <v>3550</v>
      </c>
      <c r="F947" s="5">
        <f>IFERROR(__xludf.DUMMYFUNCTION("""COMPUTED_VALUE"""),5.55856E7)</f>
        <v>55585600</v>
      </c>
      <c r="G947" s="5">
        <f t="shared" si="1"/>
        <v>70</v>
      </c>
    </row>
    <row r="948">
      <c r="A948" s="4">
        <f>IFERROR(__xludf.DUMMYFUNCTION("""COMPUTED_VALUE"""),45250.66666666667)</f>
        <v>45250.66667</v>
      </c>
      <c r="B948" s="5">
        <f>IFERROR(__xludf.DUMMYFUNCTION("""COMPUTED_VALUE"""),3560.0)</f>
        <v>3560</v>
      </c>
      <c r="C948" s="5">
        <f>IFERROR(__xludf.DUMMYFUNCTION("""COMPUTED_VALUE"""),3600.0)</f>
        <v>3600</v>
      </c>
      <c r="D948" s="5">
        <f>IFERROR(__xludf.DUMMYFUNCTION("""COMPUTED_VALUE"""),3540.0)</f>
        <v>3540</v>
      </c>
      <c r="E948" s="5">
        <f>IFERROR(__xludf.DUMMYFUNCTION("""COMPUTED_VALUE"""),3590.0)</f>
        <v>3590</v>
      </c>
      <c r="F948" s="5">
        <f>IFERROR(__xludf.DUMMYFUNCTION("""COMPUTED_VALUE"""),3.99327E7)</f>
        <v>39932700</v>
      </c>
      <c r="G948" s="5">
        <f t="shared" si="1"/>
        <v>60</v>
      </c>
    </row>
    <row r="949">
      <c r="A949" s="4">
        <f>IFERROR(__xludf.DUMMYFUNCTION("""COMPUTED_VALUE"""),45251.66666666667)</f>
        <v>45251.66667</v>
      </c>
      <c r="B949" s="5">
        <f>IFERROR(__xludf.DUMMYFUNCTION("""COMPUTED_VALUE"""),3590.0)</f>
        <v>3590</v>
      </c>
      <c r="C949" s="5">
        <f>IFERROR(__xludf.DUMMYFUNCTION("""COMPUTED_VALUE"""),3620.0)</f>
        <v>3620</v>
      </c>
      <c r="D949" s="5">
        <f>IFERROR(__xludf.DUMMYFUNCTION("""COMPUTED_VALUE"""),3580.0)</f>
        <v>3580</v>
      </c>
      <c r="E949" s="5">
        <f>IFERROR(__xludf.DUMMYFUNCTION("""COMPUTED_VALUE"""),3620.0)</f>
        <v>3620</v>
      </c>
      <c r="F949" s="5">
        <f>IFERROR(__xludf.DUMMYFUNCTION("""COMPUTED_VALUE"""),6.82558E7)</f>
        <v>68255800</v>
      </c>
      <c r="G949" s="5">
        <f t="shared" si="1"/>
        <v>40</v>
      </c>
    </row>
    <row r="950">
      <c r="A950" s="4">
        <f>IFERROR(__xludf.DUMMYFUNCTION("""COMPUTED_VALUE"""),45252.66666666667)</f>
        <v>45252.66667</v>
      </c>
      <c r="B950" s="5">
        <f>IFERROR(__xludf.DUMMYFUNCTION("""COMPUTED_VALUE"""),3610.0)</f>
        <v>3610</v>
      </c>
      <c r="C950" s="5">
        <f>IFERROR(__xludf.DUMMYFUNCTION("""COMPUTED_VALUE"""),3630.0)</f>
        <v>3630</v>
      </c>
      <c r="D950" s="5">
        <f>IFERROR(__xludf.DUMMYFUNCTION("""COMPUTED_VALUE"""),3590.0)</f>
        <v>3590</v>
      </c>
      <c r="E950" s="5">
        <f>IFERROR(__xludf.DUMMYFUNCTION("""COMPUTED_VALUE"""),3610.0)</f>
        <v>3610</v>
      </c>
      <c r="F950" s="5">
        <f>IFERROR(__xludf.DUMMYFUNCTION("""COMPUTED_VALUE"""),3.45553E7)</f>
        <v>34555300</v>
      </c>
      <c r="G950" s="5">
        <f t="shared" si="1"/>
        <v>40</v>
      </c>
    </row>
    <row r="951">
      <c r="A951" s="4">
        <f>IFERROR(__xludf.DUMMYFUNCTION("""COMPUTED_VALUE"""),45253.66666666667)</f>
        <v>45253.66667</v>
      </c>
      <c r="B951" s="5">
        <f>IFERROR(__xludf.DUMMYFUNCTION("""COMPUTED_VALUE"""),3610.0)</f>
        <v>3610</v>
      </c>
      <c r="C951" s="5">
        <f>IFERROR(__xludf.DUMMYFUNCTION("""COMPUTED_VALUE"""),3630.0)</f>
        <v>3630</v>
      </c>
      <c r="D951" s="5">
        <f>IFERROR(__xludf.DUMMYFUNCTION("""COMPUTED_VALUE"""),3590.0)</f>
        <v>3590</v>
      </c>
      <c r="E951" s="5">
        <f>IFERROR(__xludf.DUMMYFUNCTION("""COMPUTED_VALUE"""),3600.0)</f>
        <v>3600</v>
      </c>
      <c r="F951" s="5">
        <f>IFERROR(__xludf.DUMMYFUNCTION("""COMPUTED_VALUE"""),5.73851E7)</f>
        <v>57385100</v>
      </c>
      <c r="G951" s="5">
        <f t="shared" si="1"/>
        <v>40</v>
      </c>
    </row>
    <row r="952">
      <c r="A952" s="4">
        <f>IFERROR(__xludf.DUMMYFUNCTION("""COMPUTED_VALUE"""),45254.66666666667)</f>
        <v>45254.66667</v>
      </c>
      <c r="B952" s="5">
        <f>IFERROR(__xludf.DUMMYFUNCTION("""COMPUTED_VALUE"""),3600.0)</f>
        <v>3600</v>
      </c>
      <c r="C952" s="5">
        <f>IFERROR(__xludf.DUMMYFUNCTION("""COMPUTED_VALUE"""),3620.0)</f>
        <v>3620</v>
      </c>
      <c r="D952" s="5">
        <f>IFERROR(__xludf.DUMMYFUNCTION("""COMPUTED_VALUE"""),3570.0)</f>
        <v>3570</v>
      </c>
      <c r="E952" s="5">
        <f>IFERROR(__xludf.DUMMYFUNCTION("""COMPUTED_VALUE"""),3620.0)</f>
        <v>3620</v>
      </c>
      <c r="F952" s="5">
        <f>IFERROR(__xludf.DUMMYFUNCTION("""COMPUTED_VALUE"""),3.45837E7)</f>
        <v>34583700</v>
      </c>
      <c r="G952" s="5">
        <f t="shared" si="1"/>
        <v>50</v>
      </c>
    </row>
    <row r="953">
      <c r="A953" s="4">
        <f>IFERROR(__xludf.DUMMYFUNCTION("""COMPUTED_VALUE"""),45257.66666666667)</f>
        <v>45257.66667</v>
      </c>
      <c r="B953" s="5">
        <f>IFERROR(__xludf.DUMMYFUNCTION("""COMPUTED_VALUE"""),3640.0)</f>
        <v>3640</v>
      </c>
      <c r="C953" s="5">
        <f>IFERROR(__xludf.DUMMYFUNCTION("""COMPUTED_VALUE"""),3730.0)</f>
        <v>3730</v>
      </c>
      <c r="D953" s="5">
        <f>IFERROR(__xludf.DUMMYFUNCTION("""COMPUTED_VALUE"""),3640.0)</f>
        <v>3640</v>
      </c>
      <c r="E953" s="5">
        <f>IFERROR(__xludf.DUMMYFUNCTION("""COMPUTED_VALUE"""),3680.0)</f>
        <v>3680</v>
      </c>
      <c r="F953" s="5">
        <f>IFERROR(__xludf.DUMMYFUNCTION("""COMPUTED_VALUE"""),7.38887E7)</f>
        <v>73888700</v>
      </c>
      <c r="G953" s="5">
        <f t="shared" si="1"/>
        <v>110</v>
      </c>
    </row>
    <row r="954">
      <c r="A954" s="4">
        <f>IFERROR(__xludf.DUMMYFUNCTION("""COMPUTED_VALUE"""),45258.66666666667)</f>
        <v>45258.66667</v>
      </c>
      <c r="B954" s="5">
        <f>IFERROR(__xludf.DUMMYFUNCTION("""COMPUTED_VALUE"""),3680.0)</f>
        <v>3680</v>
      </c>
      <c r="C954" s="5">
        <f>IFERROR(__xludf.DUMMYFUNCTION("""COMPUTED_VALUE"""),3800.0)</f>
        <v>3800</v>
      </c>
      <c r="D954" s="5">
        <f>IFERROR(__xludf.DUMMYFUNCTION("""COMPUTED_VALUE"""),3680.0)</f>
        <v>3680</v>
      </c>
      <c r="E954" s="5">
        <f>IFERROR(__xludf.DUMMYFUNCTION("""COMPUTED_VALUE"""),3770.0)</f>
        <v>3770</v>
      </c>
      <c r="F954" s="5">
        <f>IFERROR(__xludf.DUMMYFUNCTION("""COMPUTED_VALUE"""),1.068291E8)</f>
        <v>106829100</v>
      </c>
      <c r="G954" s="5">
        <f t="shared" si="1"/>
        <v>120</v>
      </c>
    </row>
    <row r="955">
      <c r="A955" s="4">
        <f>IFERROR(__xludf.DUMMYFUNCTION("""COMPUTED_VALUE"""),45259.66666666667)</f>
        <v>45259.66667</v>
      </c>
      <c r="B955" s="5">
        <f>IFERROR(__xludf.DUMMYFUNCTION("""COMPUTED_VALUE"""),3750.0)</f>
        <v>3750</v>
      </c>
      <c r="C955" s="5">
        <f>IFERROR(__xludf.DUMMYFUNCTION("""COMPUTED_VALUE"""),3770.0)</f>
        <v>3770</v>
      </c>
      <c r="D955" s="5">
        <f>IFERROR(__xludf.DUMMYFUNCTION("""COMPUTED_VALUE"""),3700.0)</f>
        <v>3700</v>
      </c>
      <c r="E955" s="5">
        <f>IFERROR(__xludf.DUMMYFUNCTION("""COMPUTED_VALUE"""),3720.0)</f>
        <v>3720</v>
      </c>
      <c r="F955" s="5">
        <f>IFERROR(__xludf.DUMMYFUNCTION("""COMPUTED_VALUE"""),5.64674E7)</f>
        <v>56467400</v>
      </c>
      <c r="G955" s="5">
        <f t="shared" si="1"/>
        <v>70</v>
      </c>
    </row>
    <row r="956">
      <c r="A956" s="4">
        <f>IFERROR(__xludf.DUMMYFUNCTION("""COMPUTED_VALUE"""),45260.66666666667)</f>
        <v>45260.66667</v>
      </c>
      <c r="B956" s="5">
        <f>IFERROR(__xludf.DUMMYFUNCTION("""COMPUTED_VALUE"""),3750.0)</f>
        <v>3750</v>
      </c>
      <c r="C956" s="5">
        <f>IFERROR(__xludf.DUMMYFUNCTION("""COMPUTED_VALUE"""),3820.0)</f>
        <v>3820</v>
      </c>
      <c r="D956" s="5">
        <f>IFERROR(__xludf.DUMMYFUNCTION("""COMPUTED_VALUE"""),3740.0)</f>
        <v>3740</v>
      </c>
      <c r="E956" s="5">
        <f>IFERROR(__xludf.DUMMYFUNCTION("""COMPUTED_VALUE"""),3760.0)</f>
        <v>3760</v>
      </c>
      <c r="F956" s="5">
        <f>IFERROR(__xludf.DUMMYFUNCTION("""COMPUTED_VALUE"""),2.585224E8)</f>
        <v>258522400</v>
      </c>
      <c r="G956" s="5">
        <f t="shared" si="1"/>
        <v>100</v>
      </c>
    </row>
    <row r="957">
      <c r="A957" s="4">
        <f>IFERROR(__xludf.DUMMYFUNCTION("""COMPUTED_VALUE"""),45261.66666666667)</f>
        <v>45261.66667</v>
      </c>
      <c r="B957" s="5">
        <f>IFERROR(__xludf.DUMMYFUNCTION("""COMPUTED_VALUE"""),3790.0)</f>
        <v>3790</v>
      </c>
      <c r="C957" s="5">
        <f>IFERROR(__xludf.DUMMYFUNCTION("""COMPUTED_VALUE"""),3840.0)</f>
        <v>3840</v>
      </c>
      <c r="D957" s="5">
        <f>IFERROR(__xludf.DUMMYFUNCTION("""COMPUTED_VALUE"""),3790.0)</f>
        <v>3790</v>
      </c>
      <c r="E957" s="5">
        <f>IFERROR(__xludf.DUMMYFUNCTION("""COMPUTED_VALUE"""),3830.0)</f>
        <v>3830</v>
      </c>
      <c r="F957" s="5">
        <f>IFERROR(__xludf.DUMMYFUNCTION("""COMPUTED_VALUE"""),8.10372E7)</f>
        <v>81037200</v>
      </c>
      <c r="G957" s="5">
        <f t="shared" si="1"/>
        <v>80</v>
      </c>
    </row>
    <row r="958">
      <c r="A958" s="4">
        <f>IFERROR(__xludf.DUMMYFUNCTION("""COMPUTED_VALUE"""),45264.66666666667)</f>
        <v>45264.66667</v>
      </c>
      <c r="B958" s="5">
        <f>IFERROR(__xludf.DUMMYFUNCTION("""COMPUTED_VALUE"""),3840.0)</f>
        <v>3840</v>
      </c>
      <c r="C958" s="5">
        <f>IFERROR(__xludf.DUMMYFUNCTION("""COMPUTED_VALUE"""),3860.0)</f>
        <v>3860</v>
      </c>
      <c r="D958" s="5">
        <f>IFERROR(__xludf.DUMMYFUNCTION("""COMPUTED_VALUE"""),3780.0)</f>
        <v>3780</v>
      </c>
      <c r="E958" s="5">
        <f>IFERROR(__xludf.DUMMYFUNCTION("""COMPUTED_VALUE"""),3810.0)</f>
        <v>3810</v>
      </c>
      <c r="F958" s="5">
        <f>IFERROR(__xludf.DUMMYFUNCTION("""COMPUTED_VALUE"""),1.184839E8)</f>
        <v>118483900</v>
      </c>
      <c r="G958" s="5">
        <f t="shared" si="1"/>
        <v>80</v>
      </c>
    </row>
    <row r="959">
      <c r="A959" s="4">
        <f>IFERROR(__xludf.DUMMYFUNCTION("""COMPUTED_VALUE"""),45265.66666666667)</f>
        <v>45265.66667</v>
      </c>
      <c r="B959" s="5">
        <f>IFERROR(__xludf.DUMMYFUNCTION("""COMPUTED_VALUE"""),3830.0)</f>
        <v>3830</v>
      </c>
      <c r="C959" s="5">
        <f>IFERROR(__xludf.DUMMYFUNCTION("""COMPUTED_VALUE"""),3850.0)</f>
        <v>3850</v>
      </c>
      <c r="D959" s="5">
        <f>IFERROR(__xludf.DUMMYFUNCTION("""COMPUTED_VALUE"""),3800.0)</f>
        <v>3800</v>
      </c>
      <c r="E959" s="5">
        <f>IFERROR(__xludf.DUMMYFUNCTION("""COMPUTED_VALUE"""),3850.0)</f>
        <v>3850</v>
      </c>
      <c r="F959" s="5">
        <f>IFERROR(__xludf.DUMMYFUNCTION("""COMPUTED_VALUE"""),7.46089E7)</f>
        <v>74608900</v>
      </c>
      <c r="G959" s="5">
        <f t="shared" si="1"/>
        <v>50</v>
      </c>
    </row>
    <row r="960">
      <c r="A960" s="4">
        <f>IFERROR(__xludf.DUMMYFUNCTION("""COMPUTED_VALUE"""),45266.66666666667)</f>
        <v>45266.66667</v>
      </c>
      <c r="B960" s="5">
        <f>IFERROR(__xludf.DUMMYFUNCTION("""COMPUTED_VALUE"""),3900.0)</f>
        <v>3900</v>
      </c>
      <c r="C960" s="5">
        <f>IFERROR(__xludf.DUMMYFUNCTION("""COMPUTED_VALUE"""),3950.0)</f>
        <v>3950</v>
      </c>
      <c r="D960" s="5">
        <f>IFERROR(__xludf.DUMMYFUNCTION("""COMPUTED_VALUE"""),3870.0)</f>
        <v>3870</v>
      </c>
      <c r="E960" s="5">
        <f>IFERROR(__xludf.DUMMYFUNCTION("""COMPUTED_VALUE"""),3920.0)</f>
        <v>3920</v>
      </c>
      <c r="F960" s="5">
        <f>IFERROR(__xludf.DUMMYFUNCTION("""COMPUTED_VALUE"""),1.493451E8)</f>
        <v>149345100</v>
      </c>
      <c r="G960" s="5">
        <f t="shared" si="1"/>
        <v>100</v>
      </c>
    </row>
    <row r="961">
      <c r="A961" s="4">
        <f>IFERROR(__xludf.DUMMYFUNCTION("""COMPUTED_VALUE"""),45267.66666666667)</f>
        <v>45267.66667</v>
      </c>
      <c r="B961" s="5">
        <f>IFERROR(__xludf.DUMMYFUNCTION("""COMPUTED_VALUE"""),3950.0)</f>
        <v>3950</v>
      </c>
      <c r="C961" s="5">
        <f>IFERROR(__xludf.DUMMYFUNCTION("""COMPUTED_VALUE"""),3950.0)</f>
        <v>3950</v>
      </c>
      <c r="D961" s="5">
        <f>IFERROR(__xludf.DUMMYFUNCTION("""COMPUTED_VALUE"""),3880.0)</f>
        <v>3880</v>
      </c>
      <c r="E961" s="5">
        <f>IFERROR(__xludf.DUMMYFUNCTION("""COMPUTED_VALUE"""),3910.0)</f>
        <v>3910</v>
      </c>
      <c r="F961" s="5">
        <f>IFERROR(__xludf.DUMMYFUNCTION("""COMPUTED_VALUE"""),9.10762E7)</f>
        <v>91076200</v>
      </c>
      <c r="G961" s="5">
        <f t="shared" si="1"/>
        <v>70</v>
      </c>
    </row>
    <row r="962">
      <c r="A962" s="4">
        <f>IFERROR(__xludf.DUMMYFUNCTION("""COMPUTED_VALUE"""),45268.66666666667)</f>
        <v>45268.66667</v>
      </c>
      <c r="B962" s="5">
        <f>IFERROR(__xludf.DUMMYFUNCTION("""COMPUTED_VALUE"""),3940.0)</f>
        <v>3940</v>
      </c>
      <c r="C962" s="5">
        <f>IFERROR(__xludf.DUMMYFUNCTION("""COMPUTED_VALUE"""),3940.0)</f>
        <v>3940</v>
      </c>
      <c r="D962" s="5">
        <f>IFERROR(__xludf.DUMMYFUNCTION("""COMPUTED_VALUE"""),3900.0)</f>
        <v>3900</v>
      </c>
      <c r="E962" s="5">
        <f>IFERROR(__xludf.DUMMYFUNCTION("""COMPUTED_VALUE"""),3940.0)</f>
        <v>3940</v>
      </c>
      <c r="F962" s="5">
        <f>IFERROR(__xludf.DUMMYFUNCTION("""COMPUTED_VALUE"""),6.14763E7)</f>
        <v>61476300</v>
      </c>
      <c r="G962" s="5">
        <f t="shared" si="1"/>
        <v>40</v>
      </c>
    </row>
    <row r="963">
      <c r="A963" s="4">
        <f>IFERROR(__xludf.DUMMYFUNCTION("""COMPUTED_VALUE"""),45271.66666666667)</f>
        <v>45271.66667</v>
      </c>
      <c r="B963" s="5">
        <f>IFERROR(__xludf.DUMMYFUNCTION("""COMPUTED_VALUE"""),3870.0)</f>
        <v>3870</v>
      </c>
      <c r="C963" s="5">
        <f>IFERROR(__xludf.DUMMYFUNCTION("""COMPUTED_VALUE"""),3980.0)</f>
        <v>3980</v>
      </c>
      <c r="D963" s="5">
        <f>IFERROR(__xludf.DUMMYFUNCTION("""COMPUTED_VALUE"""),3850.0)</f>
        <v>3850</v>
      </c>
      <c r="E963" s="5">
        <f>IFERROR(__xludf.DUMMYFUNCTION("""COMPUTED_VALUE"""),3980.0)</f>
        <v>3980</v>
      </c>
      <c r="F963" s="5">
        <f>IFERROR(__xludf.DUMMYFUNCTION("""COMPUTED_VALUE"""),9.93655E7)</f>
        <v>99365500</v>
      </c>
      <c r="G963" s="5">
        <f t="shared" si="1"/>
        <v>130</v>
      </c>
    </row>
    <row r="964">
      <c r="A964" s="4">
        <f>IFERROR(__xludf.DUMMYFUNCTION("""COMPUTED_VALUE"""),45272.66666666667)</f>
        <v>45272.66667</v>
      </c>
      <c r="B964" s="5">
        <f>IFERROR(__xludf.DUMMYFUNCTION("""COMPUTED_VALUE"""),3940.0)</f>
        <v>3940</v>
      </c>
      <c r="C964" s="5">
        <f>IFERROR(__xludf.DUMMYFUNCTION("""COMPUTED_VALUE"""),3950.0)</f>
        <v>3950</v>
      </c>
      <c r="D964" s="5">
        <f>IFERROR(__xludf.DUMMYFUNCTION("""COMPUTED_VALUE"""),3890.0)</f>
        <v>3890</v>
      </c>
      <c r="E964" s="5">
        <f>IFERROR(__xludf.DUMMYFUNCTION("""COMPUTED_VALUE"""),3910.0)</f>
        <v>3910</v>
      </c>
      <c r="F964" s="5">
        <f>IFERROR(__xludf.DUMMYFUNCTION("""COMPUTED_VALUE"""),5.87077E7)</f>
        <v>58707700</v>
      </c>
      <c r="G964" s="5">
        <f t="shared" si="1"/>
        <v>90</v>
      </c>
    </row>
    <row r="965">
      <c r="A965" s="4">
        <f>IFERROR(__xludf.DUMMYFUNCTION("""COMPUTED_VALUE"""),45273.66666666667)</f>
        <v>45273.66667</v>
      </c>
      <c r="B965" s="5">
        <f>IFERROR(__xludf.DUMMYFUNCTION("""COMPUTED_VALUE"""),3870.0)</f>
        <v>3870</v>
      </c>
      <c r="C965" s="5">
        <f>IFERROR(__xludf.DUMMYFUNCTION("""COMPUTED_VALUE"""),3920.0)</f>
        <v>3920</v>
      </c>
      <c r="D965" s="5">
        <f>IFERROR(__xludf.DUMMYFUNCTION("""COMPUTED_VALUE"""),3870.0)</f>
        <v>3870</v>
      </c>
      <c r="E965" s="5">
        <f>IFERROR(__xludf.DUMMYFUNCTION("""COMPUTED_VALUE"""),3920.0)</f>
        <v>3920</v>
      </c>
      <c r="F965" s="5">
        <f>IFERROR(__xludf.DUMMYFUNCTION("""COMPUTED_VALUE"""),5.43868E7)</f>
        <v>54386800</v>
      </c>
      <c r="G965" s="5">
        <f t="shared" si="1"/>
        <v>50</v>
      </c>
    </row>
    <row r="966">
      <c r="A966" s="4">
        <f>IFERROR(__xludf.DUMMYFUNCTION("""COMPUTED_VALUE"""),45274.66666666667)</f>
        <v>45274.66667</v>
      </c>
      <c r="B966" s="5">
        <f>IFERROR(__xludf.DUMMYFUNCTION("""COMPUTED_VALUE"""),3880.0)</f>
        <v>3880</v>
      </c>
      <c r="C966" s="5">
        <f>IFERROR(__xludf.DUMMYFUNCTION("""COMPUTED_VALUE"""),3960.0)</f>
        <v>3960</v>
      </c>
      <c r="D966" s="5">
        <f>IFERROR(__xludf.DUMMYFUNCTION("""COMPUTED_VALUE"""),3880.0)</f>
        <v>3880</v>
      </c>
      <c r="E966" s="5">
        <f>IFERROR(__xludf.DUMMYFUNCTION("""COMPUTED_VALUE"""),3940.0)</f>
        <v>3940</v>
      </c>
      <c r="F966" s="5">
        <f>IFERROR(__xludf.DUMMYFUNCTION("""COMPUTED_VALUE"""),7.07053E7)</f>
        <v>70705300</v>
      </c>
      <c r="G966" s="5">
        <f t="shared" si="1"/>
        <v>80</v>
      </c>
    </row>
    <row r="967">
      <c r="A967" s="4">
        <f>IFERROR(__xludf.DUMMYFUNCTION("""COMPUTED_VALUE"""),45275.66666666667)</f>
        <v>45275.66667</v>
      </c>
      <c r="B967" s="5">
        <f>IFERROR(__xludf.DUMMYFUNCTION("""COMPUTED_VALUE"""),3940.0)</f>
        <v>3940</v>
      </c>
      <c r="C967" s="5">
        <f>IFERROR(__xludf.DUMMYFUNCTION("""COMPUTED_VALUE"""),3980.0)</f>
        <v>3980</v>
      </c>
      <c r="D967" s="5">
        <f>IFERROR(__xludf.DUMMYFUNCTION("""COMPUTED_VALUE"""),3900.0)</f>
        <v>3900</v>
      </c>
      <c r="E967" s="5">
        <f>IFERROR(__xludf.DUMMYFUNCTION("""COMPUTED_VALUE"""),3980.0)</f>
        <v>3980</v>
      </c>
      <c r="F967" s="5">
        <f>IFERROR(__xludf.DUMMYFUNCTION("""COMPUTED_VALUE"""),1.090642E8)</f>
        <v>109064200</v>
      </c>
      <c r="G967" s="5">
        <f t="shared" si="1"/>
        <v>80</v>
      </c>
    </row>
    <row r="968">
      <c r="A968" s="4">
        <f>IFERROR(__xludf.DUMMYFUNCTION("""COMPUTED_VALUE"""),45278.66666666667)</f>
        <v>45278.66667</v>
      </c>
      <c r="B968" s="5">
        <f>IFERROR(__xludf.DUMMYFUNCTION("""COMPUTED_VALUE"""),3940.0)</f>
        <v>3940</v>
      </c>
      <c r="C968" s="5">
        <f>IFERROR(__xludf.DUMMYFUNCTION("""COMPUTED_VALUE"""),3970.0)</f>
        <v>3970</v>
      </c>
      <c r="D968" s="5">
        <f>IFERROR(__xludf.DUMMYFUNCTION("""COMPUTED_VALUE"""),3930.0)</f>
        <v>3930</v>
      </c>
      <c r="E968" s="5">
        <f>IFERROR(__xludf.DUMMYFUNCTION("""COMPUTED_VALUE"""),3970.0)</f>
        <v>3970</v>
      </c>
      <c r="F968" s="5">
        <f>IFERROR(__xludf.DUMMYFUNCTION("""COMPUTED_VALUE"""),6.09404E7)</f>
        <v>60940400</v>
      </c>
      <c r="G968" s="5">
        <f t="shared" si="1"/>
        <v>50</v>
      </c>
    </row>
    <row r="969">
      <c r="A969" s="4">
        <f>IFERROR(__xludf.DUMMYFUNCTION("""COMPUTED_VALUE"""),45279.66666666667)</f>
        <v>45279.66667</v>
      </c>
      <c r="B969" s="5">
        <f>IFERROR(__xludf.DUMMYFUNCTION("""COMPUTED_VALUE"""),3950.0)</f>
        <v>3950</v>
      </c>
      <c r="C969" s="5">
        <f>IFERROR(__xludf.DUMMYFUNCTION("""COMPUTED_VALUE"""),3970.0)</f>
        <v>3970</v>
      </c>
      <c r="D969" s="5">
        <f>IFERROR(__xludf.DUMMYFUNCTION("""COMPUTED_VALUE"""),3940.0)</f>
        <v>3940</v>
      </c>
      <c r="E969" s="5">
        <f>IFERROR(__xludf.DUMMYFUNCTION("""COMPUTED_VALUE"""),3970.0)</f>
        <v>3970</v>
      </c>
      <c r="F969" s="5">
        <f>IFERROR(__xludf.DUMMYFUNCTION("""COMPUTED_VALUE"""),3.29845E7)</f>
        <v>32984500</v>
      </c>
      <c r="G969" s="5">
        <f t="shared" si="1"/>
        <v>30</v>
      </c>
    </row>
    <row r="970">
      <c r="A970" s="4">
        <f>IFERROR(__xludf.DUMMYFUNCTION("""COMPUTED_VALUE"""),45280.66666666667)</f>
        <v>45280.66667</v>
      </c>
      <c r="B970" s="5">
        <f>IFERROR(__xludf.DUMMYFUNCTION("""COMPUTED_VALUE"""),3960.0)</f>
        <v>3960</v>
      </c>
      <c r="C970" s="5">
        <f>IFERROR(__xludf.DUMMYFUNCTION("""COMPUTED_VALUE"""),3990.0)</f>
        <v>3990</v>
      </c>
      <c r="D970" s="5">
        <f>IFERROR(__xludf.DUMMYFUNCTION("""COMPUTED_VALUE"""),3960.0)</f>
        <v>3960</v>
      </c>
      <c r="E970" s="5">
        <f>IFERROR(__xludf.DUMMYFUNCTION("""COMPUTED_VALUE"""),3960.0)</f>
        <v>3960</v>
      </c>
      <c r="F970" s="5">
        <f>IFERROR(__xludf.DUMMYFUNCTION("""COMPUTED_VALUE"""),5.95748E7)</f>
        <v>59574800</v>
      </c>
      <c r="G970" s="5">
        <f t="shared" si="1"/>
        <v>30</v>
      </c>
    </row>
    <row r="971">
      <c r="A971" s="4">
        <f>IFERROR(__xludf.DUMMYFUNCTION("""COMPUTED_VALUE"""),45281.66666666667)</f>
        <v>45281.66667</v>
      </c>
      <c r="B971" s="5">
        <f>IFERROR(__xludf.DUMMYFUNCTION("""COMPUTED_VALUE"""),3960.0)</f>
        <v>3960</v>
      </c>
      <c r="C971" s="5">
        <f>IFERROR(__xludf.DUMMYFUNCTION("""COMPUTED_VALUE"""),3970.0)</f>
        <v>3970</v>
      </c>
      <c r="D971" s="5">
        <f>IFERROR(__xludf.DUMMYFUNCTION("""COMPUTED_VALUE"""),3930.0)</f>
        <v>3930</v>
      </c>
      <c r="E971" s="5">
        <f>IFERROR(__xludf.DUMMYFUNCTION("""COMPUTED_VALUE"""),3950.0)</f>
        <v>3950</v>
      </c>
      <c r="F971" s="5">
        <f>IFERROR(__xludf.DUMMYFUNCTION("""COMPUTED_VALUE"""),4.82421E7)</f>
        <v>48242100</v>
      </c>
      <c r="G971" s="5">
        <f t="shared" si="1"/>
        <v>40</v>
      </c>
    </row>
    <row r="972">
      <c r="A972" s="4">
        <f>IFERROR(__xludf.DUMMYFUNCTION("""COMPUTED_VALUE"""),45282.66666666667)</f>
        <v>45282.66667</v>
      </c>
      <c r="B972" s="5">
        <f>IFERROR(__xludf.DUMMYFUNCTION("""COMPUTED_VALUE"""),3980.0)</f>
        <v>3980</v>
      </c>
      <c r="C972" s="5">
        <f>IFERROR(__xludf.DUMMYFUNCTION("""COMPUTED_VALUE"""),3980.0)</f>
        <v>3980</v>
      </c>
      <c r="D972" s="5">
        <f>IFERROR(__xludf.DUMMYFUNCTION("""COMPUTED_VALUE"""),3950.0)</f>
        <v>3950</v>
      </c>
      <c r="E972" s="5">
        <f>IFERROR(__xludf.DUMMYFUNCTION("""COMPUTED_VALUE"""),3960.0)</f>
        <v>3960</v>
      </c>
      <c r="F972" s="5">
        <f>IFERROR(__xludf.DUMMYFUNCTION("""COMPUTED_VALUE"""),2.82227E7)</f>
        <v>28222700</v>
      </c>
      <c r="G972" s="5">
        <f t="shared" si="1"/>
        <v>30</v>
      </c>
    </row>
    <row r="973">
      <c r="A973" s="4">
        <f>IFERROR(__xludf.DUMMYFUNCTION("""COMPUTED_VALUE"""),45287.66666666667)</f>
        <v>45287.66667</v>
      </c>
      <c r="B973" s="5">
        <f>IFERROR(__xludf.DUMMYFUNCTION("""COMPUTED_VALUE"""),3990.0)</f>
        <v>3990</v>
      </c>
      <c r="C973" s="5">
        <f>IFERROR(__xludf.DUMMYFUNCTION("""COMPUTED_VALUE"""),4000.0)</f>
        <v>4000</v>
      </c>
      <c r="D973" s="5">
        <f>IFERROR(__xludf.DUMMYFUNCTION("""COMPUTED_VALUE"""),3920.0)</f>
        <v>3920</v>
      </c>
      <c r="E973" s="5">
        <f>IFERROR(__xludf.DUMMYFUNCTION("""COMPUTED_VALUE"""),3940.0)</f>
        <v>3940</v>
      </c>
      <c r="F973" s="5">
        <f>IFERROR(__xludf.DUMMYFUNCTION("""COMPUTED_VALUE"""),7.31572E7)</f>
        <v>73157200</v>
      </c>
      <c r="G973" s="5">
        <f t="shared" si="1"/>
        <v>80</v>
      </c>
    </row>
    <row r="974">
      <c r="A974" s="4">
        <f>IFERROR(__xludf.DUMMYFUNCTION("""COMPUTED_VALUE"""),45288.66666666667)</f>
        <v>45288.66667</v>
      </c>
      <c r="B974" s="5">
        <f>IFERROR(__xludf.DUMMYFUNCTION("""COMPUTED_VALUE"""),3960.0)</f>
        <v>3960</v>
      </c>
      <c r="C974" s="5">
        <f>IFERROR(__xludf.DUMMYFUNCTION("""COMPUTED_VALUE"""),3970.0)</f>
        <v>3970</v>
      </c>
      <c r="D974" s="5">
        <f>IFERROR(__xludf.DUMMYFUNCTION("""COMPUTED_VALUE"""),3940.0)</f>
        <v>3940</v>
      </c>
      <c r="E974" s="5">
        <f>IFERROR(__xludf.DUMMYFUNCTION("""COMPUTED_VALUE"""),3960.0)</f>
        <v>3960</v>
      </c>
      <c r="F974" s="5">
        <f>IFERROR(__xludf.DUMMYFUNCTION("""COMPUTED_VALUE"""),3.40244E7)</f>
        <v>34024400</v>
      </c>
      <c r="G974" s="5">
        <f t="shared" si="1"/>
        <v>30</v>
      </c>
    </row>
    <row r="975">
      <c r="A975" s="4">
        <f>IFERROR(__xludf.DUMMYFUNCTION("""COMPUTED_VALUE"""),45289.66666666667)</f>
        <v>45289.66667</v>
      </c>
      <c r="B975" s="5">
        <f>IFERROR(__xludf.DUMMYFUNCTION("""COMPUTED_VALUE"""),3960.0)</f>
        <v>3960</v>
      </c>
      <c r="C975" s="5">
        <f>IFERROR(__xludf.DUMMYFUNCTION("""COMPUTED_VALUE"""),3980.0)</f>
        <v>3980</v>
      </c>
      <c r="D975" s="5">
        <f>IFERROR(__xludf.DUMMYFUNCTION("""COMPUTED_VALUE"""),3940.0)</f>
        <v>3940</v>
      </c>
      <c r="E975" s="5">
        <f>IFERROR(__xludf.DUMMYFUNCTION("""COMPUTED_VALUE"""),3950.0)</f>
        <v>3950</v>
      </c>
      <c r="F975" s="5">
        <f>IFERROR(__xludf.DUMMYFUNCTION("""COMPUTED_VALUE"""),2.74976E7)</f>
        <v>27497600</v>
      </c>
      <c r="G975" s="5">
        <f t="shared" si="1"/>
        <v>40</v>
      </c>
    </row>
    <row r="976">
      <c r="A976" s="4">
        <f>IFERROR(__xludf.DUMMYFUNCTION("""COMPUTED_VALUE"""),45293.66666666667)</f>
        <v>45293.66667</v>
      </c>
      <c r="B976" s="5">
        <f>IFERROR(__xludf.DUMMYFUNCTION("""COMPUTED_VALUE"""),3950.0)</f>
        <v>3950</v>
      </c>
      <c r="C976" s="5">
        <f>IFERROR(__xludf.DUMMYFUNCTION("""COMPUTED_VALUE"""),3990.0)</f>
        <v>3990</v>
      </c>
      <c r="D976" s="5">
        <f>IFERROR(__xludf.DUMMYFUNCTION("""COMPUTED_VALUE"""),3940.0)</f>
        <v>3940</v>
      </c>
      <c r="E976" s="5">
        <f>IFERROR(__xludf.DUMMYFUNCTION("""COMPUTED_VALUE"""),3990.0)</f>
        <v>3990</v>
      </c>
      <c r="F976" s="5">
        <f>IFERROR(__xludf.DUMMYFUNCTION("""COMPUTED_VALUE"""),2.37741E7)</f>
        <v>23774100</v>
      </c>
      <c r="G976" s="5">
        <f t="shared" si="1"/>
        <v>50</v>
      </c>
    </row>
    <row r="977">
      <c r="A977" s="4">
        <f>IFERROR(__xludf.DUMMYFUNCTION("""COMPUTED_VALUE"""),45294.66666666667)</f>
        <v>45294.66667</v>
      </c>
      <c r="B977" s="5">
        <f>IFERROR(__xludf.DUMMYFUNCTION("""COMPUTED_VALUE"""),3990.0)</f>
        <v>3990</v>
      </c>
      <c r="C977" s="5">
        <f>IFERROR(__xludf.DUMMYFUNCTION("""COMPUTED_VALUE"""),3990.0)</f>
        <v>3990</v>
      </c>
      <c r="D977" s="5">
        <f>IFERROR(__xludf.DUMMYFUNCTION("""COMPUTED_VALUE"""),3950.0)</f>
        <v>3950</v>
      </c>
      <c r="E977" s="5">
        <f>IFERROR(__xludf.DUMMYFUNCTION("""COMPUTED_VALUE"""),3960.0)</f>
        <v>3960</v>
      </c>
      <c r="F977" s="5">
        <f>IFERROR(__xludf.DUMMYFUNCTION("""COMPUTED_VALUE"""),2.20185E7)</f>
        <v>22018500</v>
      </c>
      <c r="G977" s="5">
        <f t="shared" si="1"/>
        <v>40</v>
      </c>
    </row>
    <row r="978">
      <c r="A978" s="4">
        <f>IFERROR(__xludf.DUMMYFUNCTION("""COMPUTED_VALUE"""),45295.66666666667)</f>
        <v>45295.66667</v>
      </c>
      <c r="B978" s="5">
        <f>IFERROR(__xludf.DUMMYFUNCTION("""COMPUTED_VALUE"""),3980.0)</f>
        <v>3980</v>
      </c>
      <c r="C978" s="5">
        <f>IFERROR(__xludf.DUMMYFUNCTION("""COMPUTED_VALUE"""),3990.0)</f>
        <v>3990</v>
      </c>
      <c r="D978" s="5">
        <f>IFERROR(__xludf.DUMMYFUNCTION("""COMPUTED_VALUE"""),3960.0)</f>
        <v>3960</v>
      </c>
      <c r="E978" s="5">
        <f>IFERROR(__xludf.DUMMYFUNCTION("""COMPUTED_VALUE"""),3970.0)</f>
        <v>3970</v>
      </c>
      <c r="F978" s="5">
        <f>IFERROR(__xludf.DUMMYFUNCTION("""COMPUTED_VALUE"""),3.39224E7)</f>
        <v>33922400</v>
      </c>
      <c r="G978" s="5">
        <f t="shared" si="1"/>
        <v>30</v>
      </c>
    </row>
    <row r="979">
      <c r="A979" s="4">
        <f>IFERROR(__xludf.DUMMYFUNCTION("""COMPUTED_VALUE"""),45296.66666666667)</f>
        <v>45296.66667</v>
      </c>
      <c r="B979" s="5">
        <f>IFERROR(__xludf.DUMMYFUNCTION("""COMPUTED_VALUE"""),3950.0)</f>
        <v>3950</v>
      </c>
      <c r="C979" s="5">
        <f>IFERROR(__xludf.DUMMYFUNCTION("""COMPUTED_VALUE"""),3970.0)</f>
        <v>3970</v>
      </c>
      <c r="D979" s="5">
        <f>IFERROR(__xludf.DUMMYFUNCTION("""COMPUTED_VALUE"""),3880.0)</f>
        <v>3880</v>
      </c>
      <c r="E979" s="5">
        <f>IFERROR(__xludf.DUMMYFUNCTION("""COMPUTED_VALUE"""),3890.0)</f>
        <v>3890</v>
      </c>
      <c r="F979" s="5">
        <f>IFERROR(__xludf.DUMMYFUNCTION("""COMPUTED_VALUE"""),6.9268E7)</f>
        <v>69268000</v>
      </c>
      <c r="G979" s="5">
        <f t="shared" si="1"/>
        <v>90</v>
      </c>
    </row>
    <row r="980">
      <c r="A980" s="4">
        <f>IFERROR(__xludf.DUMMYFUNCTION("""COMPUTED_VALUE"""),45299.66666666667)</f>
        <v>45299.66667</v>
      </c>
      <c r="B980" s="5">
        <f>IFERROR(__xludf.DUMMYFUNCTION("""COMPUTED_VALUE"""),3890.0)</f>
        <v>3890</v>
      </c>
      <c r="C980" s="5">
        <f>IFERROR(__xludf.DUMMYFUNCTION("""COMPUTED_VALUE"""),3920.0)</f>
        <v>3920</v>
      </c>
      <c r="D980" s="5">
        <f>IFERROR(__xludf.DUMMYFUNCTION("""COMPUTED_VALUE"""),3860.0)</f>
        <v>3860</v>
      </c>
      <c r="E980" s="5">
        <f>IFERROR(__xludf.DUMMYFUNCTION("""COMPUTED_VALUE"""),3890.0)</f>
        <v>3890</v>
      </c>
      <c r="F980" s="5">
        <f>IFERROR(__xludf.DUMMYFUNCTION("""COMPUTED_VALUE"""),6.10641E7)</f>
        <v>61064100</v>
      </c>
      <c r="G980" s="5">
        <f t="shared" si="1"/>
        <v>60</v>
      </c>
    </row>
    <row r="981">
      <c r="A981" s="4">
        <f>IFERROR(__xludf.DUMMYFUNCTION("""COMPUTED_VALUE"""),45300.66666666667)</f>
        <v>45300.66667</v>
      </c>
      <c r="B981" s="5">
        <f>IFERROR(__xludf.DUMMYFUNCTION("""COMPUTED_VALUE"""),3930.0)</f>
        <v>3930</v>
      </c>
      <c r="C981" s="5">
        <f>IFERROR(__xludf.DUMMYFUNCTION("""COMPUTED_VALUE"""),3980.0)</f>
        <v>3980</v>
      </c>
      <c r="D981" s="5">
        <f>IFERROR(__xludf.DUMMYFUNCTION("""COMPUTED_VALUE"""),3920.0)</f>
        <v>3920</v>
      </c>
      <c r="E981" s="5">
        <f>IFERROR(__xludf.DUMMYFUNCTION("""COMPUTED_VALUE"""),3960.0)</f>
        <v>3960</v>
      </c>
      <c r="F981" s="5">
        <f>IFERROR(__xludf.DUMMYFUNCTION("""COMPUTED_VALUE"""),6.40154E7)</f>
        <v>64015400</v>
      </c>
      <c r="G981" s="5">
        <f t="shared" si="1"/>
        <v>90</v>
      </c>
    </row>
    <row r="982">
      <c r="A982" s="4">
        <f>IFERROR(__xludf.DUMMYFUNCTION("""COMPUTED_VALUE"""),45301.66666666667)</f>
        <v>45301.66667</v>
      </c>
      <c r="B982" s="5">
        <f>IFERROR(__xludf.DUMMYFUNCTION("""COMPUTED_VALUE"""),4000.0)</f>
        <v>4000</v>
      </c>
      <c r="C982" s="5">
        <f>IFERROR(__xludf.DUMMYFUNCTION("""COMPUTED_VALUE"""),4030.0)</f>
        <v>4030</v>
      </c>
      <c r="D982" s="5">
        <f>IFERROR(__xludf.DUMMYFUNCTION("""COMPUTED_VALUE"""),3980.0)</f>
        <v>3980</v>
      </c>
      <c r="E982" s="5">
        <f>IFERROR(__xludf.DUMMYFUNCTION("""COMPUTED_VALUE"""),4000.0)</f>
        <v>4000</v>
      </c>
      <c r="F982" s="5">
        <f>IFERROR(__xludf.DUMMYFUNCTION("""COMPUTED_VALUE"""),9.90836E7)</f>
        <v>99083600</v>
      </c>
      <c r="G982" s="5">
        <f t="shared" si="1"/>
        <v>70</v>
      </c>
    </row>
    <row r="983">
      <c r="A983" s="4">
        <f>IFERROR(__xludf.DUMMYFUNCTION("""COMPUTED_VALUE"""),45302.66666666667)</f>
        <v>45302.66667</v>
      </c>
      <c r="B983" s="5">
        <f>IFERROR(__xludf.DUMMYFUNCTION("""COMPUTED_VALUE"""),4040.0)</f>
        <v>4040</v>
      </c>
      <c r="C983" s="5">
        <f>IFERROR(__xludf.DUMMYFUNCTION("""COMPUTED_VALUE"""),4040.0)</f>
        <v>4040</v>
      </c>
      <c r="D983" s="5">
        <f>IFERROR(__xludf.DUMMYFUNCTION("""COMPUTED_VALUE"""),3990.0)</f>
        <v>3990</v>
      </c>
      <c r="E983" s="5">
        <f>IFERROR(__xludf.DUMMYFUNCTION("""COMPUTED_VALUE"""),3990.0)</f>
        <v>3990</v>
      </c>
      <c r="F983" s="5">
        <f>IFERROR(__xludf.DUMMYFUNCTION("""COMPUTED_VALUE"""),3.63333E7)</f>
        <v>36333300</v>
      </c>
      <c r="G983" s="5">
        <f t="shared" si="1"/>
        <v>50</v>
      </c>
    </row>
    <row r="984">
      <c r="A984" s="4">
        <f>IFERROR(__xludf.DUMMYFUNCTION("""COMPUTED_VALUE"""),45303.66666666667)</f>
        <v>45303.66667</v>
      </c>
      <c r="B984" s="5">
        <f>IFERROR(__xludf.DUMMYFUNCTION("""COMPUTED_VALUE"""),3970.0)</f>
        <v>3970</v>
      </c>
      <c r="C984" s="5">
        <f>IFERROR(__xludf.DUMMYFUNCTION("""COMPUTED_VALUE"""),4010.0)</f>
        <v>4010</v>
      </c>
      <c r="D984" s="5">
        <f>IFERROR(__xludf.DUMMYFUNCTION("""COMPUTED_VALUE"""),3970.0)</f>
        <v>3970</v>
      </c>
      <c r="E984" s="5">
        <f>IFERROR(__xludf.DUMMYFUNCTION("""COMPUTED_VALUE"""),4010.0)</f>
        <v>4010</v>
      </c>
      <c r="F984" s="5">
        <f>IFERROR(__xludf.DUMMYFUNCTION("""COMPUTED_VALUE"""),5.36856E7)</f>
        <v>53685600</v>
      </c>
      <c r="G984" s="5">
        <f t="shared" si="1"/>
        <v>40</v>
      </c>
    </row>
    <row r="985">
      <c r="A985" s="4">
        <f>IFERROR(__xludf.DUMMYFUNCTION("""COMPUTED_VALUE"""),45306.66666666667)</f>
        <v>45306.66667</v>
      </c>
      <c r="B985" s="5">
        <f>IFERROR(__xludf.DUMMYFUNCTION("""COMPUTED_VALUE"""),4040.0)</f>
        <v>4040</v>
      </c>
      <c r="C985" s="5">
        <f>IFERROR(__xludf.DUMMYFUNCTION("""COMPUTED_VALUE"""),4040.0)</f>
        <v>4040</v>
      </c>
      <c r="D985" s="5">
        <f>IFERROR(__xludf.DUMMYFUNCTION("""COMPUTED_VALUE"""),3980.0)</f>
        <v>3980</v>
      </c>
      <c r="E985" s="5">
        <f>IFERROR(__xludf.DUMMYFUNCTION("""COMPUTED_VALUE"""),4000.0)</f>
        <v>4000</v>
      </c>
      <c r="F985" s="5">
        <f>IFERROR(__xludf.DUMMYFUNCTION("""COMPUTED_VALUE"""),3.83395E7)</f>
        <v>38339500</v>
      </c>
      <c r="G985" s="5">
        <f t="shared" si="1"/>
        <v>60</v>
      </c>
    </row>
    <row r="986">
      <c r="A986" s="4">
        <f>IFERROR(__xludf.DUMMYFUNCTION("""COMPUTED_VALUE"""),45307.66666666667)</f>
        <v>45307.66667</v>
      </c>
      <c r="B986" s="5">
        <f>IFERROR(__xludf.DUMMYFUNCTION("""COMPUTED_VALUE"""),4020.0)</f>
        <v>4020</v>
      </c>
      <c r="C986" s="5">
        <f>IFERROR(__xludf.DUMMYFUNCTION("""COMPUTED_VALUE"""),4030.0)</f>
        <v>4030</v>
      </c>
      <c r="D986" s="5">
        <f>IFERROR(__xludf.DUMMYFUNCTION("""COMPUTED_VALUE"""),3980.0)</f>
        <v>3980</v>
      </c>
      <c r="E986" s="5">
        <f>IFERROR(__xludf.DUMMYFUNCTION("""COMPUTED_VALUE"""),4010.0)</f>
        <v>4010</v>
      </c>
      <c r="F986" s="5">
        <f>IFERROR(__xludf.DUMMYFUNCTION("""COMPUTED_VALUE"""),4.47823E7)</f>
        <v>44782300</v>
      </c>
      <c r="G986" s="5">
        <f t="shared" si="1"/>
        <v>50</v>
      </c>
    </row>
    <row r="987">
      <c r="A987" s="4">
        <f>IFERROR(__xludf.DUMMYFUNCTION("""COMPUTED_VALUE"""),45308.66666666667)</f>
        <v>45308.66667</v>
      </c>
      <c r="B987" s="5">
        <f>IFERROR(__xludf.DUMMYFUNCTION("""COMPUTED_VALUE"""),4000.0)</f>
        <v>4000</v>
      </c>
      <c r="C987" s="5">
        <f>IFERROR(__xludf.DUMMYFUNCTION("""COMPUTED_VALUE"""),4010.0)</f>
        <v>4010</v>
      </c>
      <c r="D987" s="5">
        <f>IFERROR(__xludf.DUMMYFUNCTION("""COMPUTED_VALUE"""),3970.0)</f>
        <v>3970</v>
      </c>
      <c r="E987" s="5">
        <f>IFERROR(__xludf.DUMMYFUNCTION("""COMPUTED_VALUE"""),3990.0)</f>
        <v>3990</v>
      </c>
      <c r="F987" s="5">
        <f>IFERROR(__xludf.DUMMYFUNCTION("""COMPUTED_VALUE"""),6.27284E7)</f>
        <v>62728400</v>
      </c>
      <c r="G987" s="5">
        <f t="shared" si="1"/>
        <v>40</v>
      </c>
    </row>
    <row r="988">
      <c r="A988" s="4">
        <f>IFERROR(__xludf.DUMMYFUNCTION("""COMPUTED_VALUE"""),45309.66666666667)</f>
        <v>45309.66667</v>
      </c>
      <c r="B988" s="5">
        <f>IFERROR(__xludf.DUMMYFUNCTION("""COMPUTED_VALUE"""),3990.0)</f>
        <v>3990</v>
      </c>
      <c r="C988" s="5">
        <f>IFERROR(__xludf.DUMMYFUNCTION("""COMPUTED_VALUE"""),4010.0)</f>
        <v>4010</v>
      </c>
      <c r="D988" s="5">
        <f>IFERROR(__xludf.DUMMYFUNCTION("""COMPUTED_VALUE"""),3930.0)</f>
        <v>3930</v>
      </c>
      <c r="E988" s="5">
        <f>IFERROR(__xludf.DUMMYFUNCTION("""COMPUTED_VALUE"""),3950.0)</f>
        <v>3950</v>
      </c>
      <c r="F988" s="5">
        <f>IFERROR(__xludf.DUMMYFUNCTION("""COMPUTED_VALUE"""),7.30293E7)</f>
        <v>73029300</v>
      </c>
      <c r="G988" s="5">
        <f t="shared" si="1"/>
        <v>80</v>
      </c>
    </row>
    <row r="989">
      <c r="A989" s="4">
        <f>IFERROR(__xludf.DUMMYFUNCTION("""COMPUTED_VALUE"""),45310.66666666667)</f>
        <v>45310.66667</v>
      </c>
      <c r="B989" s="5">
        <f>IFERROR(__xludf.DUMMYFUNCTION("""COMPUTED_VALUE"""),3950.0)</f>
        <v>3950</v>
      </c>
      <c r="C989" s="5">
        <f>IFERROR(__xludf.DUMMYFUNCTION("""COMPUTED_VALUE"""),3960.0)</f>
        <v>3960</v>
      </c>
      <c r="D989" s="5">
        <f>IFERROR(__xludf.DUMMYFUNCTION("""COMPUTED_VALUE"""),3890.0)</f>
        <v>3890</v>
      </c>
      <c r="E989" s="5">
        <f>IFERROR(__xludf.DUMMYFUNCTION("""COMPUTED_VALUE"""),3940.0)</f>
        <v>3940</v>
      </c>
      <c r="F989" s="5">
        <f>IFERROR(__xludf.DUMMYFUNCTION("""COMPUTED_VALUE"""),6.70161E7)</f>
        <v>67016100</v>
      </c>
      <c r="G989" s="5">
        <f t="shared" si="1"/>
        <v>70</v>
      </c>
    </row>
    <row r="990">
      <c r="A990" s="4">
        <f>IFERROR(__xludf.DUMMYFUNCTION("""COMPUTED_VALUE"""),45313.66666666667)</f>
        <v>45313.66667</v>
      </c>
      <c r="B990" s="5">
        <f>IFERROR(__xludf.DUMMYFUNCTION("""COMPUTED_VALUE"""),3980.0)</f>
        <v>3980</v>
      </c>
      <c r="C990" s="5">
        <f>IFERROR(__xludf.DUMMYFUNCTION("""COMPUTED_VALUE"""),4010.0)</f>
        <v>4010</v>
      </c>
      <c r="D990" s="5">
        <f>IFERROR(__xludf.DUMMYFUNCTION("""COMPUTED_VALUE"""),3960.0)</f>
        <v>3960</v>
      </c>
      <c r="E990" s="5">
        <f>IFERROR(__xludf.DUMMYFUNCTION("""COMPUTED_VALUE"""),3980.0)</f>
        <v>3980</v>
      </c>
      <c r="F990" s="5">
        <f>IFERROR(__xludf.DUMMYFUNCTION("""COMPUTED_VALUE"""),5.06437E7)</f>
        <v>50643700</v>
      </c>
      <c r="G990" s="5">
        <f t="shared" si="1"/>
        <v>70</v>
      </c>
    </row>
    <row r="991">
      <c r="A991" s="4">
        <f>IFERROR(__xludf.DUMMYFUNCTION("""COMPUTED_VALUE"""),45314.66666666667)</f>
        <v>45314.66667</v>
      </c>
      <c r="B991" s="5">
        <f>IFERROR(__xludf.DUMMYFUNCTION("""COMPUTED_VALUE"""),4000.0)</f>
        <v>4000</v>
      </c>
      <c r="C991" s="5">
        <f>IFERROR(__xludf.DUMMYFUNCTION("""COMPUTED_VALUE"""),4010.0)</f>
        <v>4010</v>
      </c>
      <c r="D991" s="5">
        <f>IFERROR(__xludf.DUMMYFUNCTION("""COMPUTED_VALUE"""),3910.0)</f>
        <v>3910</v>
      </c>
      <c r="E991" s="5">
        <f>IFERROR(__xludf.DUMMYFUNCTION("""COMPUTED_VALUE"""),3950.0)</f>
        <v>3950</v>
      </c>
      <c r="F991" s="5">
        <f>IFERROR(__xludf.DUMMYFUNCTION("""COMPUTED_VALUE"""),7.25954E7)</f>
        <v>72595400</v>
      </c>
      <c r="G991" s="5">
        <f t="shared" si="1"/>
        <v>100</v>
      </c>
    </row>
    <row r="992">
      <c r="A992" s="4">
        <f>IFERROR(__xludf.DUMMYFUNCTION("""COMPUTED_VALUE"""),45315.66666666667)</f>
        <v>45315.66667</v>
      </c>
      <c r="B992" s="5">
        <f>IFERROR(__xludf.DUMMYFUNCTION("""COMPUTED_VALUE"""),3950.0)</f>
        <v>3950</v>
      </c>
      <c r="C992" s="5">
        <f>IFERROR(__xludf.DUMMYFUNCTION("""COMPUTED_VALUE"""),3980.0)</f>
        <v>3980</v>
      </c>
      <c r="D992" s="5">
        <f>IFERROR(__xludf.DUMMYFUNCTION("""COMPUTED_VALUE"""),3930.0)</f>
        <v>3930</v>
      </c>
      <c r="E992" s="5">
        <f>IFERROR(__xludf.DUMMYFUNCTION("""COMPUTED_VALUE"""),3970.0)</f>
        <v>3970</v>
      </c>
      <c r="F992" s="5">
        <f>IFERROR(__xludf.DUMMYFUNCTION("""COMPUTED_VALUE"""),3.8732E7)</f>
        <v>38732000</v>
      </c>
      <c r="G992" s="5">
        <f t="shared" si="1"/>
        <v>50</v>
      </c>
    </row>
    <row r="993">
      <c r="A993" s="4">
        <f>IFERROR(__xludf.DUMMYFUNCTION("""COMPUTED_VALUE"""),45316.66666666667)</f>
        <v>45316.66667</v>
      </c>
      <c r="B993" s="5">
        <f>IFERROR(__xludf.DUMMYFUNCTION("""COMPUTED_VALUE"""),3980.0)</f>
        <v>3980</v>
      </c>
      <c r="C993" s="5">
        <f>IFERROR(__xludf.DUMMYFUNCTION("""COMPUTED_VALUE"""),4000.0)</f>
        <v>4000</v>
      </c>
      <c r="D993" s="5">
        <f>IFERROR(__xludf.DUMMYFUNCTION("""COMPUTED_VALUE"""),3960.0)</f>
        <v>3960</v>
      </c>
      <c r="E993" s="5">
        <f>IFERROR(__xludf.DUMMYFUNCTION("""COMPUTED_VALUE"""),3980.0)</f>
        <v>3980</v>
      </c>
      <c r="F993" s="5">
        <f>IFERROR(__xludf.DUMMYFUNCTION("""COMPUTED_VALUE"""),5.85413E7)</f>
        <v>58541300</v>
      </c>
      <c r="G993" s="5">
        <f t="shared" si="1"/>
        <v>40</v>
      </c>
    </row>
    <row r="994">
      <c r="A994" s="4">
        <f>IFERROR(__xludf.DUMMYFUNCTION("""COMPUTED_VALUE"""),45317.66666666667)</f>
        <v>45317.66667</v>
      </c>
      <c r="B994" s="5">
        <f>IFERROR(__xludf.DUMMYFUNCTION("""COMPUTED_VALUE"""),3940.0)</f>
        <v>3940</v>
      </c>
      <c r="C994" s="5">
        <f>IFERROR(__xludf.DUMMYFUNCTION("""COMPUTED_VALUE"""),3990.0)</f>
        <v>3990</v>
      </c>
      <c r="D994" s="5">
        <f>IFERROR(__xludf.DUMMYFUNCTION("""COMPUTED_VALUE"""),3930.0)</f>
        <v>3930</v>
      </c>
      <c r="E994" s="5">
        <f>IFERROR(__xludf.DUMMYFUNCTION("""COMPUTED_VALUE"""),3980.0)</f>
        <v>3980</v>
      </c>
      <c r="F994" s="5">
        <f>IFERROR(__xludf.DUMMYFUNCTION("""COMPUTED_VALUE"""),6.52726E7)</f>
        <v>65272600</v>
      </c>
      <c r="G994" s="5">
        <f t="shared" si="1"/>
        <v>60</v>
      </c>
    </row>
    <row r="995">
      <c r="A995" s="4">
        <f>IFERROR(__xludf.DUMMYFUNCTION("""COMPUTED_VALUE"""),45320.66666666667)</f>
        <v>45320.66667</v>
      </c>
      <c r="B995" s="5">
        <f>IFERROR(__xludf.DUMMYFUNCTION("""COMPUTED_VALUE"""),4000.0)</f>
        <v>4000</v>
      </c>
      <c r="C995" s="5">
        <f>IFERROR(__xludf.DUMMYFUNCTION("""COMPUTED_VALUE"""),4010.0)</f>
        <v>4010</v>
      </c>
      <c r="D995" s="5">
        <f>IFERROR(__xludf.DUMMYFUNCTION("""COMPUTED_VALUE"""),3970.0)</f>
        <v>3970</v>
      </c>
      <c r="E995" s="5">
        <f>IFERROR(__xludf.DUMMYFUNCTION("""COMPUTED_VALUE"""),4010.0)</f>
        <v>4010</v>
      </c>
      <c r="F995" s="5">
        <f>IFERROR(__xludf.DUMMYFUNCTION("""COMPUTED_VALUE"""),5.915E7)</f>
        <v>59150000</v>
      </c>
      <c r="G995" s="5">
        <f t="shared" si="1"/>
        <v>40</v>
      </c>
    </row>
    <row r="996">
      <c r="A996" s="4">
        <f>IFERROR(__xludf.DUMMYFUNCTION("""COMPUTED_VALUE"""),45321.66666666667)</f>
        <v>45321.66667</v>
      </c>
      <c r="B996" s="5">
        <f>IFERROR(__xludf.DUMMYFUNCTION("""COMPUTED_VALUE"""),4000.0)</f>
        <v>4000</v>
      </c>
      <c r="C996" s="5">
        <f>IFERROR(__xludf.DUMMYFUNCTION("""COMPUTED_VALUE"""),4020.0)</f>
        <v>4020</v>
      </c>
      <c r="D996" s="5">
        <f>IFERROR(__xludf.DUMMYFUNCTION("""COMPUTED_VALUE"""),3980.0)</f>
        <v>3980</v>
      </c>
      <c r="E996" s="5">
        <f>IFERROR(__xludf.DUMMYFUNCTION("""COMPUTED_VALUE"""),4000.0)</f>
        <v>4000</v>
      </c>
      <c r="F996" s="5">
        <f>IFERROR(__xludf.DUMMYFUNCTION("""COMPUTED_VALUE"""),6.69069E7)</f>
        <v>66906900</v>
      </c>
      <c r="G996" s="5">
        <f t="shared" si="1"/>
        <v>40</v>
      </c>
    </row>
    <row r="997">
      <c r="A997" s="4">
        <f>IFERROR(__xludf.DUMMYFUNCTION("""COMPUTED_VALUE"""),45322.66666666667)</f>
        <v>45322.66667</v>
      </c>
      <c r="B997" s="5">
        <f>IFERROR(__xludf.DUMMYFUNCTION("""COMPUTED_VALUE"""),4000.0)</f>
        <v>4000</v>
      </c>
      <c r="C997" s="5">
        <f>IFERROR(__xludf.DUMMYFUNCTION("""COMPUTED_VALUE"""),4020.0)</f>
        <v>4020</v>
      </c>
      <c r="D997" s="5">
        <f>IFERROR(__xludf.DUMMYFUNCTION("""COMPUTED_VALUE"""),3960.0)</f>
        <v>3960</v>
      </c>
      <c r="E997" s="5">
        <f>IFERROR(__xludf.DUMMYFUNCTION("""COMPUTED_VALUE"""),3960.0)</f>
        <v>3960</v>
      </c>
      <c r="F997" s="5">
        <f>IFERROR(__xludf.DUMMYFUNCTION("""COMPUTED_VALUE"""),1.004037E8)</f>
        <v>100403700</v>
      </c>
      <c r="G997" s="5">
        <f t="shared" si="1"/>
        <v>60</v>
      </c>
    </row>
    <row r="998">
      <c r="A998" s="4">
        <f>IFERROR(__xludf.DUMMYFUNCTION("""COMPUTED_VALUE"""),45323.66666666667)</f>
        <v>45323.66667</v>
      </c>
      <c r="B998" s="5">
        <f>IFERROR(__xludf.DUMMYFUNCTION("""COMPUTED_VALUE"""),3970.0)</f>
        <v>3970</v>
      </c>
      <c r="C998" s="5">
        <f>IFERROR(__xludf.DUMMYFUNCTION("""COMPUTED_VALUE"""),4050.0)</f>
        <v>4050</v>
      </c>
      <c r="D998" s="5">
        <f>IFERROR(__xludf.DUMMYFUNCTION("""COMPUTED_VALUE"""),3970.0)</f>
        <v>3970</v>
      </c>
      <c r="E998" s="5">
        <f>IFERROR(__xludf.DUMMYFUNCTION("""COMPUTED_VALUE"""),4040.0)</f>
        <v>4040</v>
      </c>
      <c r="F998" s="5">
        <f>IFERROR(__xludf.DUMMYFUNCTION("""COMPUTED_VALUE"""),1.054144E8)</f>
        <v>105414400</v>
      </c>
      <c r="G998" s="5">
        <f t="shared" si="1"/>
        <v>90</v>
      </c>
    </row>
    <row r="999">
      <c r="A999" s="4">
        <f>IFERROR(__xludf.DUMMYFUNCTION("""COMPUTED_VALUE"""),45324.66666666667)</f>
        <v>45324.66667</v>
      </c>
      <c r="B999" s="5">
        <f>IFERROR(__xludf.DUMMYFUNCTION("""COMPUTED_VALUE"""),4030.0)</f>
        <v>4030</v>
      </c>
      <c r="C999" s="5">
        <f>IFERROR(__xludf.DUMMYFUNCTION("""COMPUTED_VALUE"""),4030.0)</f>
        <v>4030</v>
      </c>
      <c r="D999" s="5">
        <f>IFERROR(__xludf.DUMMYFUNCTION("""COMPUTED_VALUE"""),3930.0)</f>
        <v>3930</v>
      </c>
      <c r="E999" s="5">
        <f>IFERROR(__xludf.DUMMYFUNCTION("""COMPUTED_VALUE"""),3990.0)</f>
        <v>3990</v>
      </c>
      <c r="F999" s="5">
        <f>IFERROR(__xludf.DUMMYFUNCTION("""COMPUTED_VALUE"""),9.618E7)</f>
        <v>96180000</v>
      </c>
      <c r="G999" s="5">
        <f t="shared" si="1"/>
        <v>110</v>
      </c>
    </row>
    <row r="1000">
      <c r="A1000" s="4">
        <f>IFERROR(__xludf.DUMMYFUNCTION("""COMPUTED_VALUE"""),45327.66666666667)</f>
        <v>45327.66667</v>
      </c>
      <c r="B1000" s="5">
        <f>IFERROR(__xludf.DUMMYFUNCTION("""COMPUTED_VALUE"""),4010.0)</f>
        <v>4010</v>
      </c>
      <c r="C1000" s="5">
        <f>IFERROR(__xludf.DUMMYFUNCTION("""COMPUTED_VALUE"""),4010.0)</f>
        <v>4010</v>
      </c>
      <c r="D1000" s="5">
        <f>IFERROR(__xludf.DUMMYFUNCTION("""COMPUTED_VALUE"""),3970.0)</f>
        <v>3970</v>
      </c>
      <c r="E1000" s="5">
        <f>IFERROR(__xludf.DUMMYFUNCTION("""COMPUTED_VALUE"""),3980.0)</f>
        <v>3980</v>
      </c>
      <c r="F1000" s="5">
        <f>IFERROR(__xludf.DUMMYFUNCTION("""COMPUTED_VALUE"""),5.77895E7)</f>
        <v>57789500</v>
      </c>
      <c r="G1000" s="5">
        <f t="shared" si="1"/>
        <v>40</v>
      </c>
    </row>
    <row r="1001">
      <c r="A1001" s="4">
        <f>IFERROR(__xludf.DUMMYFUNCTION("""COMPUTED_VALUE"""),45328.66666666667)</f>
        <v>45328.66667</v>
      </c>
      <c r="B1001" s="5">
        <f>IFERROR(__xludf.DUMMYFUNCTION("""COMPUTED_VALUE"""),3970.0)</f>
        <v>3970</v>
      </c>
      <c r="C1001" s="5">
        <f>IFERROR(__xludf.DUMMYFUNCTION("""COMPUTED_VALUE"""),4000.0)</f>
        <v>4000</v>
      </c>
      <c r="D1001" s="5">
        <f>IFERROR(__xludf.DUMMYFUNCTION("""COMPUTED_VALUE"""),3970.0)</f>
        <v>3970</v>
      </c>
      <c r="E1001" s="5">
        <f>IFERROR(__xludf.DUMMYFUNCTION("""COMPUTED_VALUE"""),3980.0)</f>
        <v>3980</v>
      </c>
      <c r="F1001" s="5">
        <f>IFERROR(__xludf.DUMMYFUNCTION("""COMPUTED_VALUE"""),6.51675E7)</f>
        <v>65167500</v>
      </c>
      <c r="G1001" s="5">
        <f t="shared" si="1"/>
        <v>30</v>
      </c>
    </row>
    <row r="1002">
      <c r="A1002" s="4">
        <f>IFERROR(__xludf.DUMMYFUNCTION("""COMPUTED_VALUE"""),45329.66666666667)</f>
        <v>45329.66667</v>
      </c>
      <c r="B1002" s="5">
        <f>IFERROR(__xludf.DUMMYFUNCTION("""COMPUTED_VALUE"""),4010.0)</f>
        <v>4010</v>
      </c>
      <c r="C1002" s="5">
        <f>IFERROR(__xludf.DUMMYFUNCTION("""COMPUTED_VALUE"""),4020.0)</f>
        <v>4020</v>
      </c>
      <c r="D1002" s="5">
        <f>IFERROR(__xludf.DUMMYFUNCTION("""COMPUTED_VALUE"""),3980.0)</f>
        <v>3980</v>
      </c>
      <c r="E1002" s="5">
        <f>IFERROR(__xludf.DUMMYFUNCTION("""COMPUTED_VALUE"""),3980.0)</f>
        <v>3980</v>
      </c>
      <c r="F1002" s="5">
        <f>IFERROR(__xludf.DUMMYFUNCTION("""COMPUTED_VALUE"""),5.30846E7)</f>
        <v>53084600</v>
      </c>
      <c r="G1002" s="5">
        <f t="shared" si="1"/>
        <v>40</v>
      </c>
    </row>
    <row r="1003">
      <c r="A1003" s="4">
        <f>IFERROR(__xludf.DUMMYFUNCTION("""COMPUTED_VALUE"""),45334.66666666667)</f>
        <v>45334.66667</v>
      </c>
      <c r="B1003" s="5">
        <f>IFERROR(__xludf.DUMMYFUNCTION("""COMPUTED_VALUE"""),4000.0)</f>
        <v>4000</v>
      </c>
      <c r="C1003" s="5">
        <f>IFERROR(__xludf.DUMMYFUNCTION("""COMPUTED_VALUE"""),4020.0)</f>
        <v>4020</v>
      </c>
      <c r="D1003" s="5">
        <f>IFERROR(__xludf.DUMMYFUNCTION("""COMPUTED_VALUE"""),3970.0)</f>
        <v>3970</v>
      </c>
      <c r="E1003" s="5">
        <f>IFERROR(__xludf.DUMMYFUNCTION("""COMPUTED_VALUE"""),4000.0)</f>
        <v>4000</v>
      </c>
      <c r="F1003" s="5">
        <f>IFERROR(__xludf.DUMMYFUNCTION("""COMPUTED_VALUE"""),8.57632E7)</f>
        <v>85763200</v>
      </c>
      <c r="G1003" s="5">
        <f t="shared" si="1"/>
        <v>50</v>
      </c>
    </row>
    <row r="1004">
      <c r="A1004" s="4">
        <f>IFERROR(__xludf.DUMMYFUNCTION("""COMPUTED_VALUE"""),45335.66666666667)</f>
        <v>45335.66667</v>
      </c>
      <c r="B1004" s="5">
        <f>IFERROR(__xludf.DUMMYFUNCTION("""COMPUTED_VALUE"""),4010.0)</f>
        <v>4010</v>
      </c>
      <c r="C1004" s="5">
        <f>IFERROR(__xludf.DUMMYFUNCTION("""COMPUTED_VALUE"""),4010.0)</f>
        <v>4010</v>
      </c>
      <c r="D1004" s="5">
        <f>IFERROR(__xludf.DUMMYFUNCTION("""COMPUTED_VALUE"""),3980.0)</f>
        <v>3980</v>
      </c>
      <c r="E1004" s="5">
        <f>IFERROR(__xludf.DUMMYFUNCTION("""COMPUTED_VALUE"""),3980.0)</f>
        <v>3980</v>
      </c>
      <c r="F1004" s="5">
        <f>IFERROR(__xludf.DUMMYFUNCTION("""COMPUTED_VALUE"""),5.20203E7)</f>
        <v>52020300</v>
      </c>
      <c r="G1004" s="5">
        <f t="shared" si="1"/>
        <v>30</v>
      </c>
    </row>
    <row r="1005">
      <c r="A1005" s="4">
        <f>IFERROR(__xludf.DUMMYFUNCTION("""COMPUTED_VALUE"""),45337.66666666667)</f>
        <v>45337.66667</v>
      </c>
      <c r="B1005" s="5">
        <f>IFERROR(__xludf.DUMMYFUNCTION("""COMPUTED_VALUE"""),4040.0)</f>
        <v>4040</v>
      </c>
      <c r="C1005" s="5">
        <f>IFERROR(__xludf.DUMMYFUNCTION("""COMPUTED_VALUE"""),4080.0)</f>
        <v>4080</v>
      </c>
      <c r="D1005" s="5">
        <f>IFERROR(__xludf.DUMMYFUNCTION("""COMPUTED_VALUE"""),3980.0)</f>
        <v>3980</v>
      </c>
      <c r="E1005" s="5">
        <f>IFERROR(__xludf.DUMMYFUNCTION("""COMPUTED_VALUE"""),4030.0)</f>
        <v>4030</v>
      </c>
      <c r="F1005" s="5">
        <f>IFERROR(__xludf.DUMMYFUNCTION("""COMPUTED_VALUE"""),1.293479E8)</f>
        <v>129347900</v>
      </c>
      <c r="G1005" s="5">
        <f t="shared" si="1"/>
        <v>100</v>
      </c>
    </row>
    <row r="1006">
      <c r="A1006" s="4">
        <f>IFERROR(__xludf.DUMMYFUNCTION("""COMPUTED_VALUE"""),45338.66666666667)</f>
        <v>45338.66667</v>
      </c>
      <c r="B1006" s="5">
        <f>IFERROR(__xludf.DUMMYFUNCTION("""COMPUTED_VALUE"""),4050.0)</f>
        <v>4050</v>
      </c>
      <c r="C1006" s="5">
        <f>IFERROR(__xludf.DUMMYFUNCTION("""COMPUTED_VALUE"""),4160.0)</f>
        <v>4160</v>
      </c>
      <c r="D1006" s="5">
        <f>IFERROR(__xludf.DUMMYFUNCTION("""COMPUTED_VALUE"""),4050.0)</f>
        <v>4050</v>
      </c>
      <c r="E1006" s="5">
        <f>IFERROR(__xludf.DUMMYFUNCTION("""COMPUTED_VALUE"""),4160.0)</f>
        <v>4160</v>
      </c>
      <c r="F1006" s="5">
        <f>IFERROR(__xludf.DUMMYFUNCTION("""COMPUTED_VALUE"""),2.440642E8)</f>
        <v>244064200</v>
      </c>
      <c r="G1006" s="5">
        <f t="shared" si="1"/>
        <v>130</v>
      </c>
    </row>
    <row r="1007">
      <c r="A1007" s="4">
        <f>IFERROR(__xludf.DUMMYFUNCTION("""COMPUTED_VALUE"""),45341.66666666667)</f>
        <v>45341.66667</v>
      </c>
      <c r="B1007" s="5">
        <f>IFERROR(__xludf.DUMMYFUNCTION("""COMPUTED_VALUE"""),4130.0)</f>
        <v>4130</v>
      </c>
      <c r="C1007" s="5">
        <f>IFERROR(__xludf.DUMMYFUNCTION("""COMPUTED_VALUE"""),4170.0)</f>
        <v>4170</v>
      </c>
      <c r="D1007" s="5">
        <f>IFERROR(__xludf.DUMMYFUNCTION("""COMPUTED_VALUE"""),4130.0)</f>
        <v>4130</v>
      </c>
      <c r="E1007" s="5">
        <f>IFERROR(__xludf.DUMMYFUNCTION("""COMPUTED_VALUE"""),4160.0)</f>
        <v>4160</v>
      </c>
      <c r="F1007" s="5">
        <f>IFERROR(__xludf.DUMMYFUNCTION("""COMPUTED_VALUE"""),8.28675E7)</f>
        <v>82867500</v>
      </c>
      <c r="G1007" s="5">
        <f t="shared" si="1"/>
        <v>40</v>
      </c>
    </row>
    <row r="1008">
      <c r="A1008" s="4">
        <f>IFERROR(__xludf.DUMMYFUNCTION("""COMPUTED_VALUE"""),45342.66666666667)</f>
        <v>45342.66667</v>
      </c>
      <c r="B1008" s="5">
        <f>IFERROR(__xludf.DUMMYFUNCTION("""COMPUTED_VALUE"""),4200.0)</f>
        <v>4200</v>
      </c>
      <c r="C1008" s="5">
        <f>IFERROR(__xludf.DUMMYFUNCTION("""COMPUTED_VALUE"""),4210.0)</f>
        <v>4210</v>
      </c>
      <c r="D1008" s="5">
        <f>IFERROR(__xludf.DUMMYFUNCTION("""COMPUTED_VALUE"""),4160.0)</f>
        <v>4160</v>
      </c>
      <c r="E1008" s="5">
        <f>IFERROR(__xludf.DUMMYFUNCTION("""COMPUTED_VALUE"""),4210.0)</f>
        <v>4210</v>
      </c>
      <c r="F1008" s="5">
        <f>IFERROR(__xludf.DUMMYFUNCTION("""COMPUTED_VALUE"""),2.676367E8)</f>
        <v>267636700</v>
      </c>
      <c r="G1008" s="5">
        <f t="shared" si="1"/>
        <v>50</v>
      </c>
    </row>
    <row r="1009">
      <c r="A1009" s="4">
        <f>IFERROR(__xludf.DUMMYFUNCTION("""COMPUTED_VALUE"""),45343.66666666667)</f>
        <v>45343.66667</v>
      </c>
      <c r="B1009" s="5">
        <f>IFERROR(__xludf.DUMMYFUNCTION("""COMPUTED_VALUE"""),4190.0)</f>
        <v>4190</v>
      </c>
      <c r="C1009" s="5">
        <f>IFERROR(__xludf.DUMMYFUNCTION("""COMPUTED_VALUE"""),4240.0)</f>
        <v>4240</v>
      </c>
      <c r="D1009" s="5">
        <f>IFERROR(__xludf.DUMMYFUNCTION("""COMPUTED_VALUE"""),4070.0)</f>
        <v>4070</v>
      </c>
      <c r="E1009" s="5">
        <f>IFERROR(__xludf.DUMMYFUNCTION("""COMPUTED_VALUE"""),4180.0)</f>
        <v>4180</v>
      </c>
      <c r="F1009" s="5">
        <f>IFERROR(__xludf.DUMMYFUNCTION("""COMPUTED_VALUE"""),1.527871E8)</f>
        <v>152787100</v>
      </c>
      <c r="G1009" s="5">
        <f t="shared" si="1"/>
        <v>170</v>
      </c>
    </row>
    <row r="1010">
      <c r="A1010" s="4">
        <f>IFERROR(__xludf.DUMMYFUNCTION("""COMPUTED_VALUE"""),45344.66666666667)</f>
        <v>45344.66667</v>
      </c>
      <c r="B1010" s="5">
        <f>IFERROR(__xludf.DUMMYFUNCTION("""COMPUTED_VALUE"""),4130.0)</f>
        <v>4130</v>
      </c>
      <c r="C1010" s="5">
        <f>IFERROR(__xludf.DUMMYFUNCTION("""COMPUTED_VALUE"""),4150.0)</f>
        <v>4150</v>
      </c>
      <c r="D1010" s="5">
        <f>IFERROR(__xludf.DUMMYFUNCTION("""COMPUTED_VALUE"""),4070.0)</f>
        <v>4070</v>
      </c>
      <c r="E1010" s="5">
        <f>IFERROR(__xludf.DUMMYFUNCTION("""COMPUTED_VALUE"""),4090.0)</f>
        <v>4090</v>
      </c>
      <c r="F1010" s="5">
        <f>IFERROR(__xludf.DUMMYFUNCTION("""COMPUTED_VALUE"""),9.35551E7)</f>
        <v>93555100</v>
      </c>
      <c r="G1010" s="5">
        <f t="shared" si="1"/>
        <v>110</v>
      </c>
    </row>
    <row r="1011">
      <c r="A1011" s="4">
        <f>IFERROR(__xludf.DUMMYFUNCTION("""COMPUTED_VALUE"""),45345.66666666667)</f>
        <v>45345.66667</v>
      </c>
      <c r="B1011" s="5">
        <f>IFERROR(__xludf.DUMMYFUNCTION("""COMPUTED_VALUE"""),4070.0)</f>
        <v>4070</v>
      </c>
      <c r="C1011" s="5">
        <f>IFERROR(__xludf.DUMMYFUNCTION("""COMPUTED_VALUE"""),4100.0)</f>
        <v>4100</v>
      </c>
      <c r="D1011" s="5">
        <f>IFERROR(__xludf.DUMMYFUNCTION("""COMPUTED_VALUE"""),4040.0)</f>
        <v>4040</v>
      </c>
      <c r="E1011" s="5">
        <f>IFERROR(__xludf.DUMMYFUNCTION("""COMPUTED_VALUE"""),4100.0)</f>
        <v>4100</v>
      </c>
      <c r="F1011" s="5">
        <f>IFERROR(__xludf.DUMMYFUNCTION("""COMPUTED_VALUE"""),8.76658E7)</f>
        <v>87665800</v>
      </c>
      <c r="G1011" s="5">
        <f t="shared" si="1"/>
        <v>60</v>
      </c>
    </row>
    <row r="1012">
      <c r="A1012" s="4">
        <f>IFERROR(__xludf.DUMMYFUNCTION("""COMPUTED_VALUE"""),45348.66666666667)</f>
        <v>45348.66667</v>
      </c>
      <c r="B1012" s="5">
        <f>IFERROR(__xludf.DUMMYFUNCTION("""COMPUTED_VALUE"""),4060.0)</f>
        <v>4060</v>
      </c>
      <c r="C1012" s="5">
        <f>IFERROR(__xludf.DUMMYFUNCTION("""COMPUTED_VALUE"""),4100.0)</f>
        <v>4100</v>
      </c>
      <c r="D1012" s="5">
        <f>IFERROR(__xludf.DUMMYFUNCTION("""COMPUTED_VALUE"""),4050.0)</f>
        <v>4050</v>
      </c>
      <c r="E1012" s="5">
        <f>IFERROR(__xludf.DUMMYFUNCTION("""COMPUTED_VALUE"""),4090.0)</f>
        <v>4090</v>
      </c>
      <c r="F1012" s="5">
        <f>IFERROR(__xludf.DUMMYFUNCTION("""COMPUTED_VALUE"""),5.57617E7)</f>
        <v>55761700</v>
      </c>
      <c r="G1012" s="5">
        <f t="shared" si="1"/>
        <v>50</v>
      </c>
    </row>
    <row r="1013">
      <c r="A1013" s="4">
        <f>IFERROR(__xludf.DUMMYFUNCTION("""COMPUTED_VALUE"""),45349.66666666667)</f>
        <v>45349.66667</v>
      </c>
      <c r="B1013" s="5">
        <f>IFERROR(__xludf.DUMMYFUNCTION("""COMPUTED_VALUE"""),4050.0)</f>
        <v>4050</v>
      </c>
      <c r="C1013" s="5">
        <f>IFERROR(__xludf.DUMMYFUNCTION("""COMPUTED_VALUE"""),4060.0)</f>
        <v>4060</v>
      </c>
      <c r="D1013" s="5">
        <f>IFERROR(__xludf.DUMMYFUNCTION("""COMPUTED_VALUE"""),3990.0)</f>
        <v>3990</v>
      </c>
      <c r="E1013" s="5">
        <f>IFERROR(__xludf.DUMMYFUNCTION("""COMPUTED_VALUE"""),3990.0)</f>
        <v>3990</v>
      </c>
      <c r="F1013" s="5">
        <f>IFERROR(__xludf.DUMMYFUNCTION("""COMPUTED_VALUE"""),1.19637E8)</f>
        <v>119637000</v>
      </c>
      <c r="G1013" s="5">
        <f t="shared" si="1"/>
        <v>100</v>
      </c>
    </row>
    <row r="1014">
      <c r="A1014" s="4">
        <f>IFERROR(__xludf.DUMMYFUNCTION("""COMPUTED_VALUE"""),45350.66666666667)</f>
        <v>45350.66667</v>
      </c>
      <c r="B1014" s="5">
        <f>IFERROR(__xludf.DUMMYFUNCTION("""COMPUTED_VALUE"""),3980.0)</f>
        <v>3980</v>
      </c>
      <c r="C1014" s="5">
        <f>IFERROR(__xludf.DUMMYFUNCTION("""COMPUTED_VALUE"""),4020.0)</f>
        <v>4020</v>
      </c>
      <c r="D1014" s="5">
        <f>IFERROR(__xludf.DUMMYFUNCTION("""COMPUTED_VALUE"""),3950.0)</f>
        <v>3950</v>
      </c>
      <c r="E1014" s="5">
        <f>IFERROR(__xludf.DUMMYFUNCTION("""COMPUTED_VALUE"""),3990.0)</f>
        <v>3990</v>
      </c>
      <c r="F1014" s="5">
        <f>IFERROR(__xludf.DUMMYFUNCTION("""COMPUTED_VALUE"""),7.72553E7)</f>
        <v>77255300</v>
      </c>
      <c r="G1014" s="5">
        <f t="shared" si="1"/>
        <v>70</v>
      </c>
    </row>
    <row r="1015">
      <c r="A1015" s="4">
        <f>IFERROR(__xludf.DUMMYFUNCTION("""COMPUTED_VALUE"""),45351.66666666667)</f>
        <v>45351.66667</v>
      </c>
      <c r="B1015" s="5">
        <f>IFERROR(__xludf.DUMMYFUNCTION("""COMPUTED_VALUE"""),4020.0)</f>
        <v>4020</v>
      </c>
      <c r="C1015" s="5">
        <f>IFERROR(__xludf.DUMMYFUNCTION("""COMPUTED_VALUE"""),4040.0)</f>
        <v>4040</v>
      </c>
      <c r="D1015" s="5">
        <f>IFERROR(__xludf.DUMMYFUNCTION("""COMPUTED_VALUE"""),3950.0)</f>
        <v>3950</v>
      </c>
      <c r="E1015" s="5">
        <f>IFERROR(__xludf.DUMMYFUNCTION("""COMPUTED_VALUE"""),4000.0)</f>
        <v>4000</v>
      </c>
      <c r="F1015" s="5">
        <f>IFERROR(__xludf.DUMMYFUNCTION("""COMPUTED_VALUE"""),1.574319E8)</f>
        <v>157431900</v>
      </c>
      <c r="G1015" s="5">
        <f t="shared" si="1"/>
        <v>90</v>
      </c>
    </row>
    <row r="1016">
      <c r="A1016" s="4">
        <f>IFERROR(__xludf.DUMMYFUNCTION("""COMPUTED_VALUE"""),45352.66666666667)</f>
        <v>45352.66667</v>
      </c>
      <c r="B1016" s="5">
        <f>IFERROR(__xludf.DUMMYFUNCTION("""COMPUTED_VALUE"""),3950.0)</f>
        <v>3950</v>
      </c>
      <c r="C1016" s="5">
        <f>IFERROR(__xludf.DUMMYFUNCTION("""COMPUTED_VALUE"""),3990.0)</f>
        <v>3990</v>
      </c>
      <c r="D1016" s="5">
        <f>IFERROR(__xludf.DUMMYFUNCTION("""COMPUTED_VALUE"""),3860.0)</f>
        <v>3860</v>
      </c>
      <c r="E1016" s="5">
        <f>IFERROR(__xludf.DUMMYFUNCTION("""COMPUTED_VALUE"""),3920.0)</f>
        <v>3920</v>
      </c>
      <c r="F1016" s="5">
        <f>IFERROR(__xludf.DUMMYFUNCTION("""COMPUTED_VALUE"""),1.39582E8)</f>
        <v>139582000</v>
      </c>
      <c r="G1016" s="5">
        <f t="shared" si="1"/>
        <v>140</v>
      </c>
    </row>
    <row r="1017">
      <c r="A1017" s="4">
        <f>IFERROR(__xludf.DUMMYFUNCTION("""COMPUTED_VALUE"""),45355.66666666667)</f>
        <v>45355.66667</v>
      </c>
      <c r="B1017" s="5">
        <f>IFERROR(__xludf.DUMMYFUNCTION("""COMPUTED_VALUE"""),3960.0)</f>
        <v>3960</v>
      </c>
      <c r="C1017" s="5">
        <f>IFERROR(__xludf.DUMMYFUNCTION("""COMPUTED_VALUE"""),3960.0)</f>
        <v>3960</v>
      </c>
      <c r="D1017" s="5">
        <f>IFERROR(__xludf.DUMMYFUNCTION("""COMPUTED_VALUE"""),3900.0)</f>
        <v>3900</v>
      </c>
      <c r="E1017" s="5">
        <f>IFERROR(__xludf.DUMMYFUNCTION("""COMPUTED_VALUE"""),3940.0)</f>
        <v>3940</v>
      </c>
      <c r="F1017" s="5">
        <f>IFERROR(__xludf.DUMMYFUNCTION("""COMPUTED_VALUE"""),8.15808E7)</f>
        <v>81580800</v>
      </c>
      <c r="G1017" s="5">
        <f t="shared" si="1"/>
        <v>60</v>
      </c>
    </row>
    <row r="1018">
      <c r="A1018" s="4">
        <f>IFERROR(__xludf.DUMMYFUNCTION("""COMPUTED_VALUE"""),45356.66666666667)</f>
        <v>45356.66667</v>
      </c>
      <c r="B1018" s="5">
        <f>IFERROR(__xludf.DUMMYFUNCTION("""COMPUTED_VALUE"""),3880.0)</f>
        <v>3880</v>
      </c>
      <c r="C1018" s="5">
        <f>IFERROR(__xludf.DUMMYFUNCTION("""COMPUTED_VALUE"""),3900.0)</f>
        <v>3900</v>
      </c>
      <c r="D1018" s="5">
        <f>IFERROR(__xludf.DUMMYFUNCTION("""COMPUTED_VALUE"""),3860.0)</f>
        <v>3860</v>
      </c>
      <c r="E1018" s="5">
        <f>IFERROR(__xludf.DUMMYFUNCTION("""COMPUTED_VALUE"""),3870.0)</f>
        <v>3870</v>
      </c>
      <c r="F1018" s="5">
        <f>IFERROR(__xludf.DUMMYFUNCTION("""COMPUTED_VALUE"""),1.006715E8)</f>
        <v>100671500</v>
      </c>
      <c r="G1018" s="5">
        <f t="shared" si="1"/>
        <v>80</v>
      </c>
    </row>
    <row r="1019">
      <c r="A1019" s="4">
        <f>IFERROR(__xludf.DUMMYFUNCTION("""COMPUTED_VALUE"""),45357.66666666667)</f>
        <v>45357.66667</v>
      </c>
      <c r="B1019" s="5">
        <f>IFERROR(__xludf.DUMMYFUNCTION("""COMPUTED_VALUE"""),3870.0)</f>
        <v>3870</v>
      </c>
      <c r="C1019" s="5">
        <f>IFERROR(__xludf.DUMMYFUNCTION("""COMPUTED_VALUE"""),3920.0)</f>
        <v>3920</v>
      </c>
      <c r="D1019" s="5">
        <f>IFERROR(__xludf.DUMMYFUNCTION("""COMPUTED_VALUE"""),3860.0)</f>
        <v>3860</v>
      </c>
      <c r="E1019" s="5">
        <f>IFERROR(__xludf.DUMMYFUNCTION("""COMPUTED_VALUE"""),3900.0)</f>
        <v>3900</v>
      </c>
      <c r="F1019" s="5">
        <f>IFERROR(__xludf.DUMMYFUNCTION("""COMPUTED_VALUE"""),8.32515E7)</f>
        <v>83251500</v>
      </c>
      <c r="G1019" s="5">
        <f t="shared" si="1"/>
        <v>60</v>
      </c>
    </row>
    <row r="1020">
      <c r="A1020" s="4">
        <f>IFERROR(__xludf.DUMMYFUNCTION("""COMPUTED_VALUE"""),45358.66666666667)</f>
        <v>45358.66667</v>
      </c>
      <c r="B1020" s="5">
        <f>IFERROR(__xludf.DUMMYFUNCTION("""COMPUTED_VALUE"""),3900.0)</f>
        <v>3900</v>
      </c>
      <c r="C1020" s="5">
        <f>IFERROR(__xludf.DUMMYFUNCTION("""COMPUTED_VALUE"""),3930.0)</f>
        <v>3930</v>
      </c>
      <c r="D1020" s="5">
        <f>IFERROR(__xludf.DUMMYFUNCTION("""COMPUTED_VALUE"""),3900.0)</f>
        <v>3900</v>
      </c>
      <c r="E1020" s="5">
        <f>IFERROR(__xludf.DUMMYFUNCTION("""COMPUTED_VALUE"""),3900.0)</f>
        <v>3900</v>
      </c>
      <c r="F1020" s="5">
        <f>IFERROR(__xludf.DUMMYFUNCTION("""COMPUTED_VALUE"""),8.68881E7)</f>
        <v>86888100</v>
      </c>
      <c r="G1020" s="5">
        <f t="shared" si="1"/>
        <v>30</v>
      </c>
    </row>
    <row r="1021">
      <c r="A1021" s="4">
        <f>IFERROR(__xludf.DUMMYFUNCTION("""COMPUTED_VALUE"""),45359.66666666667)</f>
        <v>45359.66667</v>
      </c>
      <c r="B1021" s="5">
        <f>IFERROR(__xludf.DUMMYFUNCTION("""COMPUTED_VALUE"""),3900.0)</f>
        <v>3900</v>
      </c>
      <c r="C1021" s="5">
        <f>IFERROR(__xludf.DUMMYFUNCTION("""COMPUTED_VALUE"""),3910.0)</f>
        <v>3910</v>
      </c>
      <c r="D1021" s="5">
        <f>IFERROR(__xludf.DUMMYFUNCTION("""COMPUTED_VALUE"""),3840.0)</f>
        <v>3840</v>
      </c>
      <c r="E1021" s="5">
        <f>IFERROR(__xludf.DUMMYFUNCTION("""COMPUTED_VALUE"""),3860.0)</f>
        <v>3860</v>
      </c>
      <c r="F1021" s="5">
        <f>IFERROR(__xludf.DUMMYFUNCTION("""COMPUTED_VALUE"""),1.015565E8)</f>
        <v>101556500</v>
      </c>
      <c r="G1021" s="5">
        <f t="shared" si="1"/>
        <v>70</v>
      </c>
    </row>
    <row r="1022">
      <c r="A1022" s="4">
        <f>IFERROR(__xludf.DUMMYFUNCTION("""COMPUTED_VALUE"""),45364.66666666667)</f>
        <v>45364.66667</v>
      </c>
      <c r="B1022" s="5">
        <f>IFERROR(__xludf.DUMMYFUNCTION("""COMPUTED_VALUE"""),3910.0)</f>
        <v>3910</v>
      </c>
      <c r="C1022" s="5">
        <f>IFERROR(__xludf.DUMMYFUNCTION("""COMPUTED_VALUE"""),3910.0)</f>
        <v>3910</v>
      </c>
      <c r="D1022" s="5">
        <f>IFERROR(__xludf.DUMMYFUNCTION("""COMPUTED_VALUE"""),3890.0)</f>
        <v>3890</v>
      </c>
      <c r="E1022" s="5">
        <f>IFERROR(__xludf.DUMMYFUNCTION("""COMPUTED_VALUE"""),3900.0)</f>
        <v>3900</v>
      </c>
      <c r="F1022" s="5">
        <f>IFERROR(__xludf.DUMMYFUNCTION("""COMPUTED_VALUE"""),1.061914E8)</f>
        <v>106191400</v>
      </c>
      <c r="G1022" s="5">
        <f t="shared" si="1"/>
        <v>50</v>
      </c>
    </row>
    <row r="1023">
      <c r="A1023" s="4">
        <f>IFERROR(__xludf.DUMMYFUNCTION("""COMPUTED_VALUE"""),45365.66666666667)</f>
        <v>45365.66667</v>
      </c>
      <c r="B1023" s="5">
        <f>IFERROR(__xludf.DUMMYFUNCTION("""COMPUTED_VALUE"""),3930.0)</f>
        <v>3930</v>
      </c>
      <c r="C1023" s="5">
        <f>IFERROR(__xludf.DUMMYFUNCTION("""COMPUTED_VALUE"""),3980.0)</f>
        <v>3980</v>
      </c>
      <c r="D1023" s="5">
        <f>IFERROR(__xludf.DUMMYFUNCTION("""COMPUTED_VALUE"""),3920.0)</f>
        <v>3920</v>
      </c>
      <c r="E1023" s="5">
        <f>IFERROR(__xludf.DUMMYFUNCTION("""COMPUTED_VALUE"""),3960.0)</f>
        <v>3960</v>
      </c>
      <c r="F1023" s="5">
        <f>IFERROR(__xludf.DUMMYFUNCTION("""COMPUTED_VALUE"""),1.225707E8)</f>
        <v>122570700</v>
      </c>
      <c r="G1023" s="5">
        <f t="shared" si="1"/>
        <v>80</v>
      </c>
    </row>
    <row r="1024">
      <c r="A1024" s="4">
        <f>IFERROR(__xludf.DUMMYFUNCTION("""COMPUTED_VALUE"""),45366.66666666667)</f>
        <v>45366.66667</v>
      </c>
      <c r="B1024" s="5">
        <f>IFERROR(__xludf.DUMMYFUNCTION("""COMPUTED_VALUE"""),4000.0)</f>
        <v>4000</v>
      </c>
      <c r="C1024" s="5">
        <f>IFERROR(__xludf.DUMMYFUNCTION("""COMPUTED_VALUE"""),4000.0)</f>
        <v>4000</v>
      </c>
      <c r="D1024" s="5">
        <f>IFERROR(__xludf.DUMMYFUNCTION("""COMPUTED_VALUE"""),3900.0)</f>
        <v>3900</v>
      </c>
      <c r="E1024" s="5">
        <f>IFERROR(__xludf.DUMMYFUNCTION("""COMPUTED_VALUE"""),3970.0)</f>
        <v>3970</v>
      </c>
      <c r="F1024" s="5">
        <f>IFERROR(__xludf.DUMMYFUNCTION("""COMPUTED_VALUE"""),1.848859E8)</f>
        <v>184885900</v>
      </c>
      <c r="G1024" s="5">
        <f t="shared" si="1"/>
        <v>100</v>
      </c>
    </row>
    <row r="1025">
      <c r="A1025" s="4">
        <f>IFERROR(__xludf.DUMMYFUNCTION("""COMPUTED_VALUE"""),45369.66666666667)</f>
        <v>45369.66667</v>
      </c>
      <c r="B1025" s="5">
        <f>IFERROR(__xludf.DUMMYFUNCTION("""COMPUTED_VALUE"""),3960.0)</f>
        <v>3960</v>
      </c>
      <c r="C1025" s="5">
        <f>IFERROR(__xludf.DUMMYFUNCTION("""COMPUTED_VALUE"""),3970.0)</f>
        <v>3970</v>
      </c>
      <c r="D1025" s="5">
        <f>IFERROR(__xludf.DUMMYFUNCTION("""COMPUTED_VALUE"""),3920.0)</f>
        <v>3920</v>
      </c>
      <c r="E1025" s="5">
        <f>IFERROR(__xludf.DUMMYFUNCTION("""COMPUTED_VALUE"""),3920.0)</f>
        <v>3920</v>
      </c>
      <c r="F1025" s="5">
        <f>IFERROR(__xludf.DUMMYFUNCTION("""COMPUTED_VALUE"""),5.75083E7)</f>
        <v>57508300</v>
      </c>
      <c r="G1025" s="5">
        <f t="shared" si="1"/>
        <v>50</v>
      </c>
    </row>
    <row r="1026">
      <c r="A1026" s="4">
        <f>IFERROR(__xludf.DUMMYFUNCTION("""COMPUTED_VALUE"""),45370.66666666667)</f>
        <v>45370.66667</v>
      </c>
      <c r="B1026" s="5">
        <f>IFERROR(__xludf.DUMMYFUNCTION("""COMPUTED_VALUE"""),3980.0)</f>
        <v>3980</v>
      </c>
      <c r="C1026" s="5">
        <f>IFERROR(__xludf.DUMMYFUNCTION("""COMPUTED_VALUE"""),3980.0)</f>
        <v>3980</v>
      </c>
      <c r="D1026" s="5">
        <f>IFERROR(__xludf.DUMMYFUNCTION("""COMPUTED_VALUE"""),3940.0)</f>
        <v>3940</v>
      </c>
      <c r="E1026" s="5">
        <f>IFERROR(__xludf.DUMMYFUNCTION("""COMPUTED_VALUE"""),3940.0)</f>
        <v>3940</v>
      </c>
      <c r="F1026" s="5">
        <f>IFERROR(__xludf.DUMMYFUNCTION("""COMPUTED_VALUE"""),5.16297E7)</f>
        <v>51629700</v>
      </c>
      <c r="G1026" s="5">
        <f t="shared" si="1"/>
        <v>60</v>
      </c>
    </row>
    <row r="1027">
      <c r="A1027" s="4">
        <f>IFERROR(__xludf.DUMMYFUNCTION("""COMPUTED_VALUE"""),45371.66666666667)</f>
        <v>45371.66667</v>
      </c>
      <c r="B1027" s="5">
        <f>IFERROR(__xludf.DUMMYFUNCTION("""COMPUTED_VALUE"""),3910.0)</f>
        <v>3910</v>
      </c>
      <c r="C1027" s="5">
        <f>IFERROR(__xludf.DUMMYFUNCTION("""COMPUTED_VALUE"""),3940.0)</f>
        <v>3940</v>
      </c>
      <c r="D1027" s="5">
        <f>IFERROR(__xludf.DUMMYFUNCTION("""COMPUTED_VALUE"""),3910.0)</f>
        <v>3910</v>
      </c>
      <c r="E1027" s="5">
        <f>IFERROR(__xludf.DUMMYFUNCTION("""COMPUTED_VALUE"""),3930.0)</f>
        <v>3930</v>
      </c>
      <c r="F1027" s="5">
        <f>IFERROR(__xludf.DUMMYFUNCTION("""COMPUTED_VALUE"""),8.47774E7)</f>
        <v>84777400</v>
      </c>
      <c r="G1027" s="5">
        <f t="shared" si="1"/>
        <v>30</v>
      </c>
    </row>
    <row r="1028">
      <c r="A1028" s="4">
        <f>IFERROR(__xludf.DUMMYFUNCTION("""COMPUTED_VALUE"""),45372.66666666667)</f>
        <v>45372.66667</v>
      </c>
      <c r="B1028" s="5">
        <f>IFERROR(__xludf.DUMMYFUNCTION("""COMPUTED_VALUE"""),3930.0)</f>
        <v>3930</v>
      </c>
      <c r="C1028" s="5">
        <f>IFERROR(__xludf.DUMMYFUNCTION("""COMPUTED_VALUE"""),3960.0)</f>
        <v>3960</v>
      </c>
      <c r="D1028" s="5">
        <f>IFERROR(__xludf.DUMMYFUNCTION("""COMPUTED_VALUE"""),3890.0)</f>
        <v>3890</v>
      </c>
      <c r="E1028" s="5">
        <f>IFERROR(__xludf.DUMMYFUNCTION("""COMPUTED_VALUE"""),3890.0)</f>
        <v>3890</v>
      </c>
      <c r="F1028" s="5">
        <f>IFERROR(__xludf.DUMMYFUNCTION("""COMPUTED_VALUE"""),8.15209E7)</f>
        <v>81520900</v>
      </c>
      <c r="G1028" s="5">
        <f t="shared" si="1"/>
        <v>70</v>
      </c>
    </row>
    <row r="1029">
      <c r="A1029" s="4">
        <f>IFERROR(__xludf.DUMMYFUNCTION("""COMPUTED_VALUE"""),45373.66666666667)</f>
        <v>45373.66667</v>
      </c>
      <c r="B1029" s="5">
        <f>IFERROR(__xludf.DUMMYFUNCTION("""COMPUTED_VALUE"""),3900.0)</f>
        <v>3900</v>
      </c>
      <c r="C1029" s="5">
        <f>IFERROR(__xludf.DUMMYFUNCTION("""COMPUTED_VALUE"""),3920.0)</f>
        <v>3920</v>
      </c>
      <c r="D1029" s="5">
        <f>IFERROR(__xludf.DUMMYFUNCTION("""COMPUTED_VALUE"""),3890.0)</f>
        <v>3890</v>
      </c>
      <c r="E1029" s="5">
        <f>IFERROR(__xludf.DUMMYFUNCTION("""COMPUTED_VALUE"""),3900.0)</f>
        <v>3900</v>
      </c>
      <c r="F1029" s="5">
        <f>IFERROR(__xludf.DUMMYFUNCTION("""COMPUTED_VALUE"""),4.45017E7)</f>
        <v>44501700</v>
      </c>
      <c r="G1029" s="5">
        <f t="shared" si="1"/>
        <v>30</v>
      </c>
    </row>
    <row r="1030">
      <c r="A1030" s="4">
        <f>IFERROR(__xludf.DUMMYFUNCTION("""COMPUTED_VALUE"""),45376.66666666667)</f>
        <v>45376.66667</v>
      </c>
      <c r="B1030" s="5">
        <f>IFERROR(__xludf.DUMMYFUNCTION("""COMPUTED_VALUE"""),3890.0)</f>
        <v>3890</v>
      </c>
      <c r="C1030" s="5">
        <f>IFERROR(__xludf.DUMMYFUNCTION("""COMPUTED_VALUE"""),3890.0)</f>
        <v>3890</v>
      </c>
      <c r="D1030" s="5">
        <f>IFERROR(__xludf.DUMMYFUNCTION("""COMPUTED_VALUE"""),3700.0)</f>
        <v>3700</v>
      </c>
      <c r="E1030" s="5">
        <f>IFERROR(__xludf.DUMMYFUNCTION("""COMPUTED_VALUE"""),3730.0)</f>
        <v>3730</v>
      </c>
      <c r="F1030" s="5">
        <f>IFERROR(__xludf.DUMMYFUNCTION("""COMPUTED_VALUE"""),3.133944E8)</f>
        <v>313394400</v>
      </c>
      <c r="G1030" s="5">
        <f t="shared" si="1"/>
        <v>200</v>
      </c>
    </row>
    <row r="1031">
      <c r="A1031" s="4">
        <f>IFERROR(__xludf.DUMMYFUNCTION("""COMPUTED_VALUE"""),45377.66666666667)</f>
        <v>45377.66667</v>
      </c>
      <c r="B1031" s="5">
        <f>IFERROR(__xludf.DUMMYFUNCTION("""COMPUTED_VALUE"""),3680.0)</f>
        <v>3680</v>
      </c>
      <c r="C1031" s="5">
        <f>IFERROR(__xludf.DUMMYFUNCTION("""COMPUTED_VALUE"""),3680.0)</f>
        <v>3680</v>
      </c>
      <c r="D1031" s="5">
        <f>IFERROR(__xludf.DUMMYFUNCTION("""COMPUTED_VALUE"""),3610.0)</f>
        <v>3610</v>
      </c>
      <c r="E1031" s="5">
        <f>IFERROR(__xludf.DUMMYFUNCTION("""COMPUTED_VALUE"""),3620.0)</f>
        <v>3620</v>
      </c>
      <c r="F1031" s="5">
        <f>IFERROR(__xludf.DUMMYFUNCTION("""COMPUTED_VALUE"""),3.540864E8)</f>
        <v>354086400</v>
      </c>
      <c r="G1031" s="5">
        <f t="shared" si="1"/>
        <v>120</v>
      </c>
    </row>
    <row r="1032">
      <c r="A1032" s="4">
        <f>IFERROR(__xludf.DUMMYFUNCTION("""COMPUTED_VALUE"""),45378.66666666667)</f>
        <v>45378.66667</v>
      </c>
      <c r="B1032" s="5">
        <f>IFERROR(__xludf.DUMMYFUNCTION("""COMPUTED_VALUE"""),3610.0)</f>
        <v>3610</v>
      </c>
      <c r="C1032" s="5">
        <f>IFERROR(__xludf.DUMMYFUNCTION("""COMPUTED_VALUE"""),3630.0)</f>
        <v>3630</v>
      </c>
      <c r="D1032" s="5">
        <f>IFERROR(__xludf.DUMMYFUNCTION("""COMPUTED_VALUE"""),3490.0)</f>
        <v>3490</v>
      </c>
      <c r="E1032" s="5">
        <f>IFERROR(__xludf.DUMMYFUNCTION("""COMPUTED_VALUE"""),3490.0)</f>
        <v>3490</v>
      </c>
      <c r="F1032" s="5">
        <f>IFERROR(__xludf.DUMMYFUNCTION("""COMPUTED_VALUE"""),4.962028E8)</f>
        <v>496202800</v>
      </c>
      <c r="G1032" s="5">
        <f t="shared" si="1"/>
        <v>140</v>
      </c>
    </row>
    <row r="1033">
      <c r="A1033" s="4">
        <f>IFERROR(__xludf.DUMMYFUNCTION("""COMPUTED_VALUE"""),45379.66666666667)</f>
        <v>45379.66667</v>
      </c>
      <c r="B1033" s="5">
        <f>IFERROR(__xludf.DUMMYFUNCTION("""COMPUTED_VALUE"""),3470.0)</f>
        <v>3470</v>
      </c>
      <c r="C1033" s="5">
        <f>IFERROR(__xludf.DUMMYFUNCTION("""COMPUTED_VALUE"""),3520.0)</f>
        <v>3520</v>
      </c>
      <c r="D1033" s="5">
        <f>IFERROR(__xludf.DUMMYFUNCTION("""COMPUTED_VALUE"""),3430.0)</f>
        <v>3430</v>
      </c>
      <c r="E1033" s="5">
        <f>IFERROR(__xludf.DUMMYFUNCTION("""COMPUTED_VALUE"""),3470.0)</f>
        <v>3470</v>
      </c>
      <c r="F1033" s="5">
        <f>IFERROR(__xludf.DUMMYFUNCTION("""COMPUTED_VALUE"""),2.589852E8)</f>
        <v>258985200</v>
      </c>
      <c r="G1033" s="5">
        <f t="shared" si="1"/>
        <v>90</v>
      </c>
    </row>
    <row r="1034">
      <c r="A1034" s="4">
        <f>IFERROR(__xludf.DUMMYFUNCTION("""COMPUTED_VALUE"""),45383.66666666667)</f>
        <v>45383.66667</v>
      </c>
      <c r="B1034" s="5">
        <f>IFERROR(__xludf.DUMMYFUNCTION("""COMPUTED_VALUE"""),3480.0)</f>
        <v>3480</v>
      </c>
      <c r="C1034" s="5">
        <f>IFERROR(__xludf.DUMMYFUNCTION("""COMPUTED_VALUE"""),3520.0)</f>
        <v>3520</v>
      </c>
      <c r="D1034" s="5">
        <f>IFERROR(__xludf.DUMMYFUNCTION("""COMPUTED_VALUE"""),3420.0)</f>
        <v>3420</v>
      </c>
      <c r="E1034" s="5">
        <f>IFERROR(__xludf.DUMMYFUNCTION("""COMPUTED_VALUE"""),3510.0)</f>
        <v>3510</v>
      </c>
      <c r="F1034" s="5">
        <f>IFERROR(__xludf.DUMMYFUNCTION("""COMPUTED_VALUE"""),2.481163E8)</f>
        <v>248116300</v>
      </c>
      <c r="G1034" s="5">
        <f t="shared" si="1"/>
        <v>100</v>
      </c>
    </row>
    <row r="1035">
      <c r="A1035" s="4">
        <f>IFERROR(__xludf.DUMMYFUNCTION("""COMPUTED_VALUE"""),45384.66666666667)</f>
        <v>45384.66667</v>
      </c>
      <c r="B1035" s="5">
        <f>IFERROR(__xludf.DUMMYFUNCTION("""COMPUTED_VALUE"""),3460.0)</f>
        <v>3460</v>
      </c>
      <c r="C1035" s="5">
        <f>IFERROR(__xludf.DUMMYFUNCTION("""COMPUTED_VALUE"""),3500.0)</f>
        <v>3500</v>
      </c>
      <c r="D1035" s="5">
        <f>IFERROR(__xludf.DUMMYFUNCTION("""COMPUTED_VALUE"""),3410.0)</f>
        <v>3410</v>
      </c>
      <c r="E1035" s="5">
        <f>IFERROR(__xludf.DUMMYFUNCTION("""COMPUTED_VALUE"""),3490.0)</f>
        <v>3490</v>
      </c>
      <c r="F1035" s="5">
        <f>IFERROR(__xludf.DUMMYFUNCTION("""COMPUTED_VALUE"""),2.330177E8)</f>
        <v>233017700</v>
      </c>
      <c r="G1035" s="5">
        <f t="shared" si="1"/>
        <v>100</v>
      </c>
    </row>
    <row r="1036">
      <c r="A1036" s="4">
        <f>IFERROR(__xludf.DUMMYFUNCTION("""COMPUTED_VALUE"""),45385.66666666667)</f>
        <v>45385.66667</v>
      </c>
      <c r="B1036" s="5">
        <f>IFERROR(__xludf.DUMMYFUNCTION("""COMPUTED_VALUE"""),3450.0)</f>
        <v>3450</v>
      </c>
      <c r="C1036" s="5">
        <f>IFERROR(__xludf.DUMMYFUNCTION("""COMPUTED_VALUE"""),3490.0)</f>
        <v>3490</v>
      </c>
      <c r="D1036" s="5">
        <f>IFERROR(__xludf.DUMMYFUNCTION("""COMPUTED_VALUE"""),3420.0)</f>
        <v>3420</v>
      </c>
      <c r="E1036" s="5">
        <f>IFERROR(__xludf.DUMMYFUNCTION("""COMPUTED_VALUE"""),3420.0)</f>
        <v>3420</v>
      </c>
      <c r="F1036" s="5">
        <f>IFERROR(__xludf.DUMMYFUNCTION("""COMPUTED_VALUE"""),1.502657E8)</f>
        <v>150265700</v>
      </c>
      <c r="G1036" s="5">
        <f t="shared" si="1"/>
        <v>70</v>
      </c>
    </row>
    <row r="1037">
      <c r="A1037" s="4">
        <f>IFERROR(__xludf.DUMMYFUNCTION("""COMPUTED_VALUE"""),45386.66666666667)</f>
        <v>45386.66667</v>
      </c>
      <c r="B1037" s="5">
        <f>IFERROR(__xludf.DUMMYFUNCTION("""COMPUTED_VALUE"""),3410.0)</f>
        <v>3410</v>
      </c>
      <c r="C1037" s="5">
        <f>IFERROR(__xludf.DUMMYFUNCTION("""COMPUTED_VALUE"""),3460.0)</f>
        <v>3460</v>
      </c>
      <c r="D1037" s="5">
        <f>IFERROR(__xludf.DUMMYFUNCTION("""COMPUTED_VALUE"""),3410.0)</f>
        <v>3410</v>
      </c>
      <c r="E1037" s="5">
        <f>IFERROR(__xludf.DUMMYFUNCTION("""COMPUTED_VALUE"""),3450.0)</f>
        <v>3450</v>
      </c>
      <c r="F1037" s="5">
        <f>IFERROR(__xludf.DUMMYFUNCTION("""COMPUTED_VALUE"""),2.05184E8)</f>
        <v>205184000</v>
      </c>
      <c r="G1037" s="5">
        <f t="shared" si="1"/>
        <v>50</v>
      </c>
    </row>
    <row r="1038">
      <c r="A1038" s="4">
        <f>IFERROR(__xludf.DUMMYFUNCTION("""COMPUTED_VALUE"""),45387.66666666667)</f>
        <v>45387.66667</v>
      </c>
      <c r="B1038" s="5">
        <f>IFERROR(__xludf.DUMMYFUNCTION("""COMPUTED_VALUE"""),3440.0)</f>
        <v>3440</v>
      </c>
      <c r="C1038" s="5">
        <f>IFERROR(__xludf.DUMMYFUNCTION("""COMPUTED_VALUE"""),3450.0)</f>
        <v>3450</v>
      </c>
      <c r="D1038" s="5">
        <f>IFERROR(__xludf.DUMMYFUNCTION("""COMPUTED_VALUE"""),3420.0)</f>
        <v>3420</v>
      </c>
      <c r="E1038" s="5">
        <f>IFERROR(__xludf.DUMMYFUNCTION("""COMPUTED_VALUE"""),3430.0)</f>
        <v>3430</v>
      </c>
      <c r="F1038" s="5">
        <f>IFERROR(__xludf.DUMMYFUNCTION("""COMPUTED_VALUE"""),1.160517E8)</f>
        <v>116051700</v>
      </c>
      <c r="G1038" s="5">
        <f t="shared" si="1"/>
        <v>30</v>
      </c>
    </row>
    <row r="1039">
      <c r="A1039" s="4">
        <f>IFERROR(__xludf.DUMMYFUNCTION("""COMPUTED_VALUE"""),45398.66666666667)</f>
        <v>45398.66667</v>
      </c>
      <c r="B1039" s="5">
        <f>IFERROR(__xludf.DUMMYFUNCTION("""COMPUTED_VALUE"""),3260.0)</f>
        <v>3260</v>
      </c>
      <c r="C1039" s="5">
        <f>IFERROR(__xludf.DUMMYFUNCTION("""COMPUTED_VALUE"""),3280.0)</f>
        <v>3280</v>
      </c>
      <c r="D1039" s="5">
        <f>IFERROR(__xludf.DUMMYFUNCTION("""COMPUTED_VALUE"""),3150.0)</f>
        <v>3150</v>
      </c>
      <c r="E1039" s="5">
        <f>IFERROR(__xludf.DUMMYFUNCTION("""COMPUTED_VALUE"""),3220.0)</f>
        <v>3220</v>
      </c>
      <c r="F1039" s="5">
        <f>IFERROR(__xludf.DUMMYFUNCTION("""COMPUTED_VALUE"""),4.906582E8)</f>
        <v>490658200</v>
      </c>
      <c r="G1039" s="5">
        <f t="shared" si="1"/>
        <v>280</v>
      </c>
    </row>
    <row r="1040">
      <c r="A1040" s="4">
        <f>IFERROR(__xludf.DUMMYFUNCTION("""COMPUTED_VALUE"""),45399.66666666667)</f>
        <v>45399.66667</v>
      </c>
      <c r="B1040" s="5">
        <f>IFERROR(__xludf.DUMMYFUNCTION("""COMPUTED_VALUE"""),3220.0)</f>
        <v>3220</v>
      </c>
      <c r="C1040" s="5">
        <f>IFERROR(__xludf.DUMMYFUNCTION("""COMPUTED_VALUE"""),3240.0)</f>
        <v>3240</v>
      </c>
      <c r="D1040" s="5">
        <f>IFERROR(__xludf.DUMMYFUNCTION("""COMPUTED_VALUE"""),3200.0)</f>
        <v>3200</v>
      </c>
      <c r="E1040" s="5">
        <f>IFERROR(__xludf.DUMMYFUNCTION("""COMPUTED_VALUE"""),3200.0)</f>
        <v>3200</v>
      </c>
      <c r="F1040" s="5">
        <f>IFERROR(__xludf.DUMMYFUNCTION("""COMPUTED_VALUE"""),1.878764E8)</f>
        <v>187876400</v>
      </c>
      <c r="G1040" s="5">
        <f t="shared" si="1"/>
        <v>40</v>
      </c>
    </row>
    <row r="1041">
      <c r="A1041" s="4">
        <f>IFERROR(__xludf.DUMMYFUNCTION("""COMPUTED_VALUE"""),45400.66666666667)</f>
        <v>45400.66667</v>
      </c>
      <c r="B1041" s="5">
        <f>IFERROR(__xludf.DUMMYFUNCTION("""COMPUTED_VALUE"""),3190.0)</f>
        <v>3190</v>
      </c>
      <c r="C1041" s="5">
        <f>IFERROR(__xludf.DUMMYFUNCTION("""COMPUTED_VALUE"""),3310.0)</f>
        <v>3310</v>
      </c>
      <c r="D1041" s="5">
        <f>IFERROR(__xludf.DUMMYFUNCTION("""COMPUTED_VALUE"""),3110.0)</f>
        <v>3110</v>
      </c>
      <c r="E1041" s="5">
        <f>IFERROR(__xludf.DUMMYFUNCTION("""COMPUTED_VALUE"""),3250.0)</f>
        <v>3250</v>
      </c>
      <c r="F1041" s="5">
        <f>IFERROR(__xludf.DUMMYFUNCTION("""COMPUTED_VALUE"""),3.374901E8)</f>
        <v>337490100</v>
      </c>
      <c r="G1041" s="5">
        <f t="shared" si="1"/>
        <v>200</v>
      </c>
    </row>
    <row r="1042">
      <c r="A1042" s="4">
        <f>IFERROR(__xludf.DUMMYFUNCTION("""COMPUTED_VALUE"""),45401.66666666667)</f>
        <v>45401.66667</v>
      </c>
      <c r="B1042" s="5">
        <f>IFERROR(__xludf.DUMMYFUNCTION("""COMPUTED_VALUE"""),3230.0)</f>
        <v>3230</v>
      </c>
      <c r="C1042" s="5">
        <f>IFERROR(__xludf.DUMMYFUNCTION("""COMPUTED_VALUE"""),3230.0)</f>
        <v>3230</v>
      </c>
      <c r="D1042" s="5">
        <f>IFERROR(__xludf.DUMMYFUNCTION("""COMPUTED_VALUE"""),3130.0)</f>
        <v>3130</v>
      </c>
      <c r="E1042" s="5">
        <f>IFERROR(__xludf.DUMMYFUNCTION("""COMPUTED_VALUE"""),3150.0)</f>
        <v>3150</v>
      </c>
      <c r="F1042" s="5">
        <f>IFERROR(__xludf.DUMMYFUNCTION("""COMPUTED_VALUE"""),1.49997E8)</f>
        <v>149997000</v>
      </c>
      <c r="G1042" s="5">
        <f t="shared" si="1"/>
        <v>120</v>
      </c>
    </row>
    <row r="1043">
      <c r="A1043" s="4">
        <f>IFERROR(__xludf.DUMMYFUNCTION("""COMPUTED_VALUE"""),45404.66666666667)</f>
        <v>45404.66667</v>
      </c>
      <c r="B1043" s="5">
        <f>IFERROR(__xludf.DUMMYFUNCTION("""COMPUTED_VALUE"""),3150.0)</f>
        <v>3150</v>
      </c>
      <c r="C1043" s="5">
        <f>IFERROR(__xludf.DUMMYFUNCTION("""COMPUTED_VALUE"""),3200.0)</f>
        <v>3200</v>
      </c>
      <c r="D1043" s="5">
        <f>IFERROR(__xludf.DUMMYFUNCTION("""COMPUTED_VALUE"""),3130.0)</f>
        <v>3130</v>
      </c>
      <c r="E1043" s="5">
        <f>IFERROR(__xludf.DUMMYFUNCTION("""COMPUTED_VALUE"""),3170.0)</f>
        <v>3170</v>
      </c>
      <c r="F1043" s="5">
        <f>IFERROR(__xludf.DUMMYFUNCTION("""COMPUTED_VALUE"""),1.409718E8)</f>
        <v>140971800</v>
      </c>
      <c r="G1043" s="5">
        <f t="shared" si="1"/>
        <v>70</v>
      </c>
    </row>
    <row r="1044">
      <c r="A1044" s="4">
        <f>IFERROR(__xludf.DUMMYFUNCTION("""COMPUTED_VALUE"""),45405.66666666667)</f>
        <v>45405.66667</v>
      </c>
      <c r="B1044" s="5">
        <f>IFERROR(__xludf.DUMMYFUNCTION("""COMPUTED_VALUE"""),3180.0)</f>
        <v>3180</v>
      </c>
      <c r="C1044" s="5">
        <f>IFERROR(__xludf.DUMMYFUNCTION("""COMPUTED_VALUE"""),3190.0)</f>
        <v>3190</v>
      </c>
      <c r="D1044" s="5">
        <f>IFERROR(__xludf.DUMMYFUNCTION("""COMPUTED_VALUE"""),3080.0)</f>
        <v>3080</v>
      </c>
      <c r="E1044" s="5">
        <f>IFERROR(__xludf.DUMMYFUNCTION("""COMPUTED_VALUE"""),3100.0)</f>
        <v>3100</v>
      </c>
      <c r="F1044" s="5">
        <f>IFERROR(__xludf.DUMMYFUNCTION("""COMPUTED_VALUE"""),3.120523E8)</f>
        <v>312052300</v>
      </c>
      <c r="G1044" s="5">
        <f t="shared" si="1"/>
        <v>110</v>
      </c>
    </row>
    <row r="1045">
      <c r="A1045" s="4">
        <f>IFERROR(__xludf.DUMMYFUNCTION("""COMPUTED_VALUE"""),45406.66666666667)</f>
        <v>45406.66667</v>
      </c>
      <c r="B1045" s="5">
        <f>IFERROR(__xludf.DUMMYFUNCTION("""COMPUTED_VALUE"""),3100.0)</f>
        <v>3100</v>
      </c>
      <c r="C1045" s="5">
        <f>IFERROR(__xludf.DUMMYFUNCTION("""COMPUTED_VALUE"""),3110.0)</f>
        <v>3110</v>
      </c>
      <c r="D1045" s="5">
        <f>IFERROR(__xludf.DUMMYFUNCTION("""COMPUTED_VALUE"""),3040.0)</f>
        <v>3040</v>
      </c>
      <c r="E1045" s="5">
        <f>IFERROR(__xludf.DUMMYFUNCTION("""COMPUTED_VALUE"""),3040.0)</f>
        <v>3040</v>
      </c>
      <c r="F1045" s="5">
        <f>IFERROR(__xludf.DUMMYFUNCTION("""COMPUTED_VALUE"""),3.273308E8)</f>
        <v>327330800</v>
      </c>
      <c r="G1045" s="5">
        <f t="shared" si="1"/>
        <v>70</v>
      </c>
    </row>
    <row r="1046">
      <c r="A1046" s="4">
        <f>IFERROR(__xludf.DUMMYFUNCTION("""COMPUTED_VALUE"""),45407.66666666667)</f>
        <v>45407.66667</v>
      </c>
      <c r="B1046" s="5">
        <f>IFERROR(__xludf.DUMMYFUNCTION("""COMPUTED_VALUE"""),3010.0)</f>
        <v>3010</v>
      </c>
      <c r="C1046" s="5">
        <f>IFERROR(__xludf.DUMMYFUNCTION("""COMPUTED_VALUE"""),3060.0)</f>
        <v>3060</v>
      </c>
      <c r="D1046" s="5">
        <f>IFERROR(__xludf.DUMMYFUNCTION("""COMPUTED_VALUE"""),2990.0)</f>
        <v>2990</v>
      </c>
      <c r="E1046" s="5">
        <f>IFERROR(__xludf.DUMMYFUNCTION("""COMPUTED_VALUE"""),3040.0)</f>
        <v>3040</v>
      </c>
      <c r="F1046" s="5">
        <f>IFERROR(__xludf.DUMMYFUNCTION("""COMPUTED_VALUE"""),3.695252E8)</f>
        <v>369525200</v>
      </c>
      <c r="G1046" s="5">
        <f t="shared" si="1"/>
        <v>70</v>
      </c>
    </row>
    <row r="1047">
      <c r="A1047" s="4">
        <f>IFERROR(__xludf.DUMMYFUNCTION("""COMPUTED_VALUE"""),45408.66666666667)</f>
        <v>45408.66667</v>
      </c>
      <c r="B1047" s="5">
        <f>IFERROR(__xludf.DUMMYFUNCTION("""COMPUTED_VALUE"""),2980.0)</f>
        <v>2980</v>
      </c>
      <c r="C1047" s="5">
        <f>IFERROR(__xludf.DUMMYFUNCTION("""COMPUTED_VALUE"""),3060.0)</f>
        <v>3060</v>
      </c>
      <c r="D1047" s="5">
        <f>IFERROR(__xludf.DUMMYFUNCTION("""COMPUTED_VALUE"""),2960.0)</f>
        <v>2960</v>
      </c>
      <c r="E1047" s="5">
        <f>IFERROR(__xludf.DUMMYFUNCTION("""COMPUTED_VALUE"""),3030.0)</f>
        <v>3030</v>
      </c>
      <c r="F1047" s="5">
        <f>IFERROR(__xludf.DUMMYFUNCTION("""COMPUTED_VALUE"""),4.425279E8)</f>
        <v>442527900</v>
      </c>
      <c r="G1047" s="5">
        <f t="shared" si="1"/>
        <v>100</v>
      </c>
    </row>
    <row r="1048">
      <c r="A1048" s="4">
        <f>IFERROR(__xludf.DUMMYFUNCTION("""COMPUTED_VALUE"""),45411.66666666667)</f>
        <v>45411.66667</v>
      </c>
      <c r="B1048" s="5">
        <f>IFERROR(__xludf.DUMMYFUNCTION("""COMPUTED_VALUE"""),3030.0)</f>
        <v>3030</v>
      </c>
      <c r="C1048" s="5">
        <f>IFERROR(__xludf.DUMMYFUNCTION("""COMPUTED_VALUE"""),3090.0)</f>
        <v>3090</v>
      </c>
      <c r="D1048" s="5">
        <f>IFERROR(__xludf.DUMMYFUNCTION("""COMPUTED_VALUE"""),3010.0)</f>
        <v>3010</v>
      </c>
      <c r="E1048" s="5">
        <f>IFERROR(__xludf.DUMMYFUNCTION("""COMPUTED_VALUE"""),3080.0)</f>
        <v>3080</v>
      </c>
      <c r="F1048" s="5">
        <f>IFERROR(__xludf.DUMMYFUNCTION("""COMPUTED_VALUE"""),1.727736E8)</f>
        <v>172773600</v>
      </c>
      <c r="G1048" s="5">
        <f t="shared" si="1"/>
        <v>80</v>
      </c>
    </row>
    <row r="1049">
      <c r="A1049" s="4">
        <f>IFERROR(__xludf.DUMMYFUNCTION("""COMPUTED_VALUE"""),45412.66666666667)</f>
        <v>45412.66667</v>
      </c>
      <c r="B1049" s="5">
        <f>IFERROR(__xludf.DUMMYFUNCTION("""COMPUTED_VALUE"""),3120.0)</f>
        <v>3120</v>
      </c>
      <c r="C1049" s="5">
        <f>IFERROR(__xludf.DUMMYFUNCTION("""COMPUTED_VALUE"""),3200.0)</f>
        <v>3200</v>
      </c>
      <c r="D1049" s="5">
        <f>IFERROR(__xludf.DUMMYFUNCTION("""COMPUTED_VALUE"""),3110.0)</f>
        <v>3110</v>
      </c>
      <c r="E1049" s="5">
        <f>IFERROR(__xludf.DUMMYFUNCTION("""COMPUTED_VALUE"""),3170.0)</f>
        <v>3170</v>
      </c>
      <c r="F1049" s="5">
        <f>IFERROR(__xludf.DUMMYFUNCTION("""COMPUTED_VALUE"""),2.731218E8)</f>
        <v>273121800</v>
      </c>
      <c r="G1049" s="5">
        <f t="shared" si="1"/>
        <v>120</v>
      </c>
    </row>
    <row r="1050">
      <c r="A1050" s="4">
        <f>IFERROR(__xludf.DUMMYFUNCTION("""COMPUTED_VALUE"""),45414.66666666667)</f>
        <v>45414.66667</v>
      </c>
      <c r="B1050" s="5">
        <f>IFERROR(__xludf.DUMMYFUNCTION("""COMPUTED_VALUE"""),3170.0)</f>
        <v>3170</v>
      </c>
      <c r="C1050" s="5">
        <f>IFERROR(__xludf.DUMMYFUNCTION("""COMPUTED_VALUE"""),3200.0)</f>
        <v>3200</v>
      </c>
      <c r="D1050" s="5">
        <f>IFERROR(__xludf.DUMMYFUNCTION("""COMPUTED_VALUE"""),3120.0)</f>
        <v>3120</v>
      </c>
      <c r="E1050" s="5">
        <f>IFERROR(__xludf.DUMMYFUNCTION("""COMPUTED_VALUE"""),3120.0)</f>
        <v>3120</v>
      </c>
      <c r="F1050" s="5">
        <f>IFERROR(__xludf.DUMMYFUNCTION("""COMPUTED_VALUE"""),1.576371E8)</f>
        <v>157637100</v>
      </c>
      <c r="G1050" s="5">
        <f t="shared" si="1"/>
        <v>80</v>
      </c>
    </row>
    <row r="1051">
      <c r="A1051" s="4">
        <f>IFERROR(__xludf.DUMMYFUNCTION("""COMPUTED_VALUE"""),45415.66666666667)</f>
        <v>45415.66667</v>
      </c>
      <c r="B1051" s="5">
        <f>IFERROR(__xludf.DUMMYFUNCTION("""COMPUTED_VALUE"""),3180.0)</f>
        <v>3180</v>
      </c>
      <c r="C1051" s="5">
        <f>IFERROR(__xludf.DUMMYFUNCTION("""COMPUTED_VALUE"""),3180.0)</f>
        <v>3180</v>
      </c>
      <c r="D1051" s="5">
        <f>IFERROR(__xludf.DUMMYFUNCTION("""COMPUTED_VALUE"""),3120.0)</f>
        <v>3120</v>
      </c>
      <c r="E1051" s="5">
        <f>IFERROR(__xludf.DUMMYFUNCTION("""COMPUTED_VALUE"""),3160.0)</f>
        <v>3160</v>
      </c>
      <c r="F1051" s="5">
        <f>IFERROR(__xludf.DUMMYFUNCTION("""COMPUTED_VALUE"""),1.279453E8)</f>
        <v>127945300</v>
      </c>
      <c r="G1051" s="5">
        <f t="shared" si="1"/>
        <v>60</v>
      </c>
    </row>
    <row r="1052">
      <c r="A1052" s="4">
        <f>IFERROR(__xludf.DUMMYFUNCTION("""COMPUTED_VALUE"""),45418.66666666667)</f>
        <v>45418.66667</v>
      </c>
      <c r="B1052" s="5">
        <f>IFERROR(__xludf.DUMMYFUNCTION("""COMPUTED_VALUE"""),3180.0)</f>
        <v>3180</v>
      </c>
      <c r="C1052" s="5">
        <f>IFERROR(__xludf.DUMMYFUNCTION("""COMPUTED_VALUE"""),3200.0)</f>
        <v>3200</v>
      </c>
      <c r="D1052" s="5">
        <f>IFERROR(__xludf.DUMMYFUNCTION("""COMPUTED_VALUE"""),3040.0)</f>
        <v>3040</v>
      </c>
      <c r="E1052" s="5">
        <f>IFERROR(__xludf.DUMMYFUNCTION("""COMPUTED_VALUE"""),3050.0)</f>
        <v>3050</v>
      </c>
      <c r="F1052" s="5">
        <f>IFERROR(__xludf.DUMMYFUNCTION("""COMPUTED_VALUE"""),2.213309E8)</f>
        <v>221330900</v>
      </c>
      <c r="G1052" s="5">
        <f t="shared" si="1"/>
        <v>160</v>
      </c>
    </row>
    <row r="1053">
      <c r="A1053" s="4">
        <f>IFERROR(__xludf.DUMMYFUNCTION("""COMPUTED_VALUE"""),45419.66666666667)</f>
        <v>45419.66667</v>
      </c>
      <c r="B1053" s="5">
        <f>IFERROR(__xludf.DUMMYFUNCTION("""COMPUTED_VALUE"""),3070.0)</f>
        <v>3070</v>
      </c>
      <c r="C1053" s="5">
        <f>IFERROR(__xludf.DUMMYFUNCTION("""COMPUTED_VALUE"""),3110.0)</f>
        <v>3110</v>
      </c>
      <c r="D1053" s="5">
        <f>IFERROR(__xludf.DUMMYFUNCTION("""COMPUTED_VALUE"""),3060.0)</f>
        <v>3060</v>
      </c>
      <c r="E1053" s="5">
        <f>IFERROR(__xludf.DUMMYFUNCTION("""COMPUTED_VALUE"""),3090.0)</f>
        <v>3090</v>
      </c>
      <c r="F1053" s="5">
        <f>IFERROR(__xludf.DUMMYFUNCTION("""COMPUTED_VALUE"""),1.249146E8)</f>
        <v>124914600</v>
      </c>
      <c r="G1053" s="5">
        <f t="shared" si="1"/>
        <v>60</v>
      </c>
    </row>
    <row r="1054">
      <c r="A1054" s="4">
        <f>IFERROR(__xludf.DUMMYFUNCTION("""COMPUTED_VALUE"""),45420.66666666667)</f>
        <v>45420.66667</v>
      </c>
      <c r="B1054" s="5">
        <f>IFERROR(__xludf.DUMMYFUNCTION("""COMPUTED_VALUE"""),3130.0)</f>
        <v>3130</v>
      </c>
      <c r="C1054" s="5">
        <f>IFERROR(__xludf.DUMMYFUNCTION("""COMPUTED_VALUE"""),3150.0)</f>
        <v>3150</v>
      </c>
      <c r="D1054" s="5">
        <f>IFERROR(__xludf.DUMMYFUNCTION("""COMPUTED_VALUE"""),3050.0)</f>
        <v>3050</v>
      </c>
      <c r="E1054" s="5">
        <f>IFERROR(__xludf.DUMMYFUNCTION("""COMPUTED_VALUE"""),3080.0)</f>
        <v>3080</v>
      </c>
      <c r="F1054" s="5">
        <f>IFERROR(__xludf.DUMMYFUNCTION("""COMPUTED_VALUE"""),1.206226E8)</f>
        <v>120622600</v>
      </c>
      <c r="G1054" s="5">
        <f t="shared" si="1"/>
        <v>100</v>
      </c>
    </row>
    <row r="1055">
      <c r="A1055" s="4">
        <f>IFERROR(__xludf.DUMMYFUNCTION("""COMPUTED_VALUE"""),45425.66666666667)</f>
        <v>45425.66667</v>
      </c>
      <c r="B1055" s="5">
        <f>IFERROR(__xludf.DUMMYFUNCTION("""COMPUTED_VALUE"""),3070.0)</f>
        <v>3070</v>
      </c>
      <c r="C1055" s="5">
        <f>IFERROR(__xludf.DUMMYFUNCTION("""COMPUTED_VALUE"""),3100.0)</f>
        <v>3100</v>
      </c>
      <c r="D1055" s="5">
        <f>IFERROR(__xludf.DUMMYFUNCTION("""COMPUTED_VALUE"""),3040.0)</f>
        <v>3040</v>
      </c>
      <c r="E1055" s="5">
        <f>IFERROR(__xludf.DUMMYFUNCTION("""COMPUTED_VALUE"""),3090.0)</f>
        <v>3090</v>
      </c>
      <c r="F1055" s="5">
        <f>IFERROR(__xludf.DUMMYFUNCTION("""COMPUTED_VALUE"""),1.330483E8)</f>
        <v>133048300</v>
      </c>
      <c r="G1055" s="5">
        <f t="shared" si="1"/>
        <v>60</v>
      </c>
    </row>
    <row r="1056">
      <c r="A1056" s="4">
        <f>IFERROR(__xludf.DUMMYFUNCTION("""COMPUTED_VALUE"""),45426.66666666667)</f>
        <v>45426.66667</v>
      </c>
      <c r="B1056" s="5">
        <f>IFERROR(__xludf.DUMMYFUNCTION("""COMPUTED_VALUE"""),3100.0)</f>
        <v>3100</v>
      </c>
      <c r="C1056" s="5">
        <f>IFERROR(__xludf.DUMMYFUNCTION("""COMPUTED_VALUE"""),3120.0)</f>
        <v>3120</v>
      </c>
      <c r="D1056" s="5">
        <f>IFERROR(__xludf.DUMMYFUNCTION("""COMPUTED_VALUE"""),3080.0)</f>
        <v>3080</v>
      </c>
      <c r="E1056" s="5">
        <f>IFERROR(__xludf.DUMMYFUNCTION("""COMPUTED_VALUE"""),3120.0)</f>
        <v>3120</v>
      </c>
      <c r="F1056" s="5">
        <f>IFERROR(__xludf.DUMMYFUNCTION("""COMPUTED_VALUE"""),1.041268E8)</f>
        <v>104126800</v>
      </c>
      <c r="G1056" s="5">
        <f t="shared" si="1"/>
        <v>40</v>
      </c>
    </row>
    <row r="1057">
      <c r="A1057" s="4">
        <f>IFERROR(__xludf.DUMMYFUNCTION("""COMPUTED_VALUE"""),45427.66666666667)</f>
        <v>45427.66667</v>
      </c>
      <c r="B1057" s="5">
        <f>IFERROR(__xludf.DUMMYFUNCTION("""COMPUTED_VALUE"""),3120.0)</f>
        <v>3120</v>
      </c>
      <c r="C1057" s="5">
        <f>IFERROR(__xludf.DUMMYFUNCTION("""COMPUTED_VALUE"""),3130.0)</f>
        <v>3130</v>
      </c>
      <c r="D1057" s="5">
        <f>IFERROR(__xludf.DUMMYFUNCTION("""COMPUTED_VALUE"""),3070.0)</f>
        <v>3070</v>
      </c>
      <c r="E1057" s="5">
        <f>IFERROR(__xludf.DUMMYFUNCTION("""COMPUTED_VALUE"""),3100.0)</f>
        <v>3100</v>
      </c>
      <c r="F1057" s="5">
        <f>IFERROR(__xludf.DUMMYFUNCTION("""COMPUTED_VALUE"""),1.491436E8)</f>
        <v>149143600</v>
      </c>
      <c r="G1057" s="5">
        <f t="shared" si="1"/>
        <v>60</v>
      </c>
    </row>
    <row r="1058">
      <c r="A1058" s="4">
        <f>IFERROR(__xludf.DUMMYFUNCTION("""COMPUTED_VALUE"""),45428.66666666667)</f>
        <v>45428.66667</v>
      </c>
      <c r="B1058" s="5">
        <f>IFERROR(__xludf.DUMMYFUNCTION("""COMPUTED_VALUE"""),2960.0)</f>
        <v>2960</v>
      </c>
      <c r="C1058" s="5">
        <f>IFERROR(__xludf.DUMMYFUNCTION("""COMPUTED_VALUE"""),3050.0)</f>
        <v>3050</v>
      </c>
      <c r="D1058" s="5">
        <f>IFERROR(__xludf.DUMMYFUNCTION("""COMPUTED_VALUE"""),2960.0)</f>
        <v>2960</v>
      </c>
      <c r="E1058" s="5">
        <f>IFERROR(__xludf.DUMMYFUNCTION("""COMPUTED_VALUE"""),3010.0)</f>
        <v>3010</v>
      </c>
      <c r="F1058" s="5">
        <f>IFERROR(__xludf.DUMMYFUNCTION("""COMPUTED_VALUE"""),1.962392E8)</f>
        <v>196239200</v>
      </c>
      <c r="G1058" s="5">
        <f t="shared" si="1"/>
        <v>140</v>
      </c>
    </row>
    <row r="1059">
      <c r="A1059" s="4">
        <f>IFERROR(__xludf.DUMMYFUNCTION("""COMPUTED_VALUE"""),45429.66666666667)</f>
        <v>45429.66667</v>
      </c>
      <c r="B1059" s="5">
        <f>IFERROR(__xludf.DUMMYFUNCTION("""COMPUTED_VALUE"""),3050.0)</f>
        <v>3050</v>
      </c>
      <c r="C1059" s="5">
        <f>IFERROR(__xludf.DUMMYFUNCTION("""COMPUTED_VALUE"""),3050.0)</f>
        <v>3050</v>
      </c>
      <c r="D1059" s="5">
        <f>IFERROR(__xludf.DUMMYFUNCTION("""COMPUTED_VALUE"""),2980.0)</f>
        <v>2980</v>
      </c>
      <c r="E1059" s="5">
        <f>IFERROR(__xludf.DUMMYFUNCTION("""COMPUTED_VALUE"""),2990.0)</f>
        <v>2990</v>
      </c>
      <c r="F1059" s="5">
        <f>IFERROR(__xludf.DUMMYFUNCTION("""COMPUTED_VALUE"""),1.203453E8)</f>
        <v>120345300</v>
      </c>
      <c r="G1059" s="5">
        <f t="shared" si="1"/>
        <v>70</v>
      </c>
    </row>
    <row r="1060">
      <c r="A1060" s="4">
        <f>IFERROR(__xludf.DUMMYFUNCTION("""COMPUTED_VALUE"""),45432.66666666667)</f>
        <v>45432.66667</v>
      </c>
      <c r="B1060" s="5">
        <f>IFERROR(__xludf.DUMMYFUNCTION("""COMPUTED_VALUE"""),2950.0)</f>
        <v>2950</v>
      </c>
      <c r="C1060" s="5">
        <f>IFERROR(__xludf.DUMMYFUNCTION("""COMPUTED_VALUE"""),3000.0)</f>
        <v>3000</v>
      </c>
      <c r="D1060" s="5">
        <f>IFERROR(__xludf.DUMMYFUNCTION("""COMPUTED_VALUE"""),2950.0)</f>
        <v>2950</v>
      </c>
      <c r="E1060" s="5">
        <f>IFERROR(__xludf.DUMMYFUNCTION("""COMPUTED_VALUE"""),2990.0)</f>
        <v>2990</v>
      </c>
      <c r="F1060" s="5">
        <f>IFERROR(__xludf.DUMMYFUNCTION("""COMPUTED_VALUE"""),2.158775E8)</f>
        <v>215877500</v>
      </c>
      <c r="G1060" s="5">
        <f t="shared" si="1"/>
        <v>50</v>
      </c>
    </row>
    <row r="1061">
      <c r="A1061" s="4">
        <f>IFERROR(__xludf.DUMMYFUNCTION("""COMPUTED_VALUE"""),45433.66666666667)</f>
        <v>45433.66667</v>
      </c>
      <c r="B1061" s="5">
        <f>IFERROR(__xludf.DUMMYFUNCTION("""COMPUTED_VALUE"""),2990.0)</f>
        <v>2990</v>
      </c>
      <c r="C1061" s="5">
        <f>IFERROR(__xludf.DUMMYFUNCTION("""COMPUTED_VALUE"""),2990.0)</f>
        <v>2990</v>
      </c>
      <c r="D1061" s="5">
        <f>IFERROR(__xludf.DUMMYFUNCTION("""COMPUTED_VALUE"""),2920.0)</f>
        <v>2920</v>
      </c>
      <c r="E1061" s="5">
        <f>IFERROR(__xludf.DUMMYFUNCTION("""COMPUTED_VALUE"""),2950.0)</f>
        <v>2950</v>
      </c>
      <c r="F1061" s="5">
        <f>IFERROR(__xludf.DUMMYFUNCTION("""COMPUTED_VALUE"""),1.388644E8)</f>
        <v>138864400</v>
      </c>
      <c r="G1061" s="5">
        <f t="shared" si="1"/>
        <v>70</v>
      </c>
    </row>
    <row r="1062">
      <c r="A1062" s="4">
        <f>IFERROR(__xludf.DUMMYFUNCTION("""COMPUTED_VALUE"""),45434.66666666667)</f>
        <v>45434.66667</v>
      </c>
      <c r="B1062" s="5">
        <f>IFERROR(__xludf.DUMMYFUNCTION("""COMPUTED_VALUE"""),2980.0)</f>
        <v>2980</v>
      </c>
      <c r="C1062" s="5">
        <f>IFERROR(__xludf.DUMMYFUNCTION("""COMPUTED_VALUE"""),2980.0)</f>
        <v>2980</v>
      </c>
      <c r="D1062" s="5">
        <f>IFERROR(__xludf.DUMMYFUNCTION("""COMPUTED_VALUE"""),2910.0)</f>
        <v>2910</v>
      </c>
      <c r="E1062" s="5">
        <f>IFERROR(__xludf.DUMMYFUNCTION("""COMPUTED_VALUE"""),2940.0)</f>
        <v>2940</v>
      </c>
      <c r="F1062" s="5">
        <f>IFERROR(__xludf.DUMMYFUNCTION("""COMPUTED_VALUE"""),1.451092E8)</f>
        <v>145109200</v>
      </c>
      <c r="G1062" s="5">
        <f t="shared" si="1"/>
        <v>70</v>
      </c>
    </row>
    <row r="1063">
      <c r="A1063" s="4">
        <f>IFERROR(__xludf.DUMMYFUNCTION("""COMPUTED_VALUE"""),45439.66666666667)</f>
        <v>45439.66667</v>
      </c>
      <c r="B1063" s="5">
        <f>IFERROR(__xludf.DUMMYFUNCTION("""COMPUTED_VALUE"""),2900.0)</f>
        <v>2900</v>
      </c>
      <c r="C1063" s="5">
        <f>IFERROR(__xludf.DUMMYFUNCTION("""COMPUTED_VALUE"""),2920.0)</f>
        <v>2920</v>
      </c>
      <c r="D1063" s="5">
        <f>IFERROR(__xludf.DUMMYFUNCTION("""COMPUTED_VALUE"""),2780.0)</f>
        <v>2780</v>
      </c>
      <c r="E1063" s="5">
        <f>IFERROR(__xludf.DUMMYFUNCTION("""COMPUTED_VALUE"""),2810.0)</f>
        <v>2810</v>
      </c>
      <c r="F1063" s="5">
        <f>IFERROR(__xludf.DUMMYFUNCTION("""COMPUTED_VALUE"""),2.469796E8)</f>
        <v>246979600</v>
      </c>
      <c r="G1063" s="5">
        <f t="shared" si="1"/>
        <v>160</v>
      </c>
    </row>
    <row r="1064">
      <c r="A1064" s="4">
        <f>IFERROR(__xludf.DUMMYFUNCTION("""COMPUTED_VALUE"""),45440.66666666667)</f>
        <v>45440.66667</v>
      </c>
      <c r="B1064" s="5">
        <f>IFERROR(__xludf.DUMMYFUNCTION("""COMPUTED_VALUE"""),2810.0)</f>
        <v>2810</v>
      </c>
      <c r="C1064" s="5">
        <f>IFERROR(__xludf.DUMMYFUNCTION("""COMPUTED_VALUE"""),2880.0)</f>
        <v>2880</v>
      </c>
      <c r="D1064" s="5">
        <f>IFERROR(__xludf.DUMMYFUNCTION("""COMPUTED_VALUE"""),2810.0)</f>
        <v>2810</v>
      </c>
      <c r="E1064" s="5">
        <f>IFERROR(__xludf.DUMMYFUNCTION("""COMPUTED_VALUE"""),2860.0)</f>
        <v>2860</v>
      </c>
      <c r="F1064" s="5">
        <f>IFERROR(__xludf.DUMMYFUNCTION("""COMPUTED_VALUE"""),1.130933E8)</f>
        <v>113093300</v>
      </c>
      <c r="G1064" s="5">
        <f t="shared" si="1"/>
        <v>70</v>
      </c>
    </row>
    <row r="1065">
      <c r="A1065" s="4">
        <f>IFERROR(__xludf.DUMMYFUNCTION("""COMPUTED_VALUE"""),45441.66666666667)</f>
        <v>45441.66667</v>
      </c>
      <c r="B1065" s="5">
        <f>IFERROR(__xludf.DUMMYFUNCTION("""COMPUTED_VALUE"""),2850.0)</f>
        <v>2850</v>
      </c>
      <c r="C1065" s="5">
        <f>IFERROR(__xludf.DUMMYFUNCTION("""COMPUTED_VALUE"""),2860.0)</f>
        <v>2860</v>
      </c>
      <c r="D1065" s="5">
        <f>IFERROR(__xludf.DUMMYFUNCTION("""COMPUTED_VALUE"""),2810.0)</f>
        <v>2810</v>
      </c>
      <c r="E1065" s="5">
        <f>IFERROR(__xludf.DUMMYFUNCTION("""COMPUTED_VALUE"""),2810.0)</f>
        <v>2810</v>
      </c>
      <c r="F1065" s="5">
        <f>IFERROR(__xludf.DUMMYFUNCTION("""COMPUTED_VALUE"""),1.489529E8)</f>
        <v>148952900</v>
      </c>
      <c r="G1065" s="5">
        <f t="shared" si="1"/>
        <v>50</v>
      </c>
    </row>
    <row r="1066">
      <c r="A1066" s="4">
        <f>IFERROR(__xludf.DUMMYFUNCTION("""COMPUTED_VALUE"""),45442.66666666667)</f>
        <v>45442.66667</v>
      </c>
      <c r="B1066" s="5">
        <f>IFERROR(__xludf.DUMMYFUNCTION("""COMPUTED_VALUE"""),2810.0)</f>
        <v>2810</v>
      </c>
      <c r="C1066" s="5">
        <f>IFERROR(__xludf.DUMMYFUNCTION("""COMPUTED_VALUE"""),2870.0)</f>
        <v>2870</v>
      </c>
      <c r="D1066" s="5">
        <f>IFERROR(__xludf.DUMMYFUNCTION("""COMPUTED_VALUE"""),2720.0)</f>
        <v>2720</v>
      </c>
      <c r="E1066" s="5">
        <f>IFERROR(__xludf.DUMMYFUNCTION("""COMPUTED_VALUE"""),2810.0)</f>
        <v>2810</v>
      </c>
      <c r="F1066" s="5">
        <f>IFERROR(__xludf.DUMMYFUNCTION("""COMPUTED_VALUE"""),2.534718E8)</f>
        <v>253471800</v>
      </c>
      <c r="G1066" s="5">
        <f t="shared" si="1"/>
        <v>150</v>
      </c>
    </row>
    <row r="1067">
      <c r="A1067" s="4">
        <f>IFERROR(__xludf.DUMMYFUNCTION("""COMPUTED_VALUE"""),45443.66666666667)</f>
        <v>45443.66667</v>
      </c>
      <c r="B1067" s="5">
        <f>IFERROR(__xludf.DUMMYFUNCTION("""COMPUTED_VALUE"""),2840.0)</f>
        <v>2840</v>
      </c>
      <c r="C1067" s="5">
        <f>IFERROR(__xludf.DUMMYFUNCTION("""COMPUTED_VALUE"""),2920.0)</f>
        <v>2920</v>
      </c>
      <c r="D1067" s="5">
        <f>IFERROR(__xludf.DUMMYFUNCTION("""COMPUTED_VALUE"""),2810.0)</f>
        <v>2810</v>
      </c>
      <c r="E1067" s="5">
        <f>IFERROR(__xludf.DUMMYFUNCTION("""COMPUTED_VALUE"""),2900.0)</f>
        <v>2900</v>
      </c>
      <c r="F1067" s="5">
        <f>IFERROR(__xludf.DUMMYFUNCTION("""COMPUTED_VALUE"""),4.113246E8)</f>
        <v>411324600</v>
      </c>
      <c r="G1067" s="5">
        <f t="shared" si="1"/>
        <v>110</v>
      </c>
    </row>
    <row r="1068">
      <c r="A1068" s="4">
        <f>IFERROR(__xludf.DUMMYFUNCTION("""COMPUTED_VALUE"""),45446.66666666667)</f>
        <v>45446.66667</v>
      </c>
      <c r="B1068" s="5">
        <f>IFERROR(__xludf.DUMMYFUNCTION("""COMPUTED_VALUE"""),2930.0)</f>
        <v>2930</v>
      </c>
      <c r="C1068" s="5">
        <f>IFERROR(__xludf.DUMMYFUNCTION("""COMPUTED_VALUE"""),2970.0)</f>
        <v>2970</v>
      </c>
      <c r="D1068" s="5">
        <f>IFERROR(__xludf.DUMMYFUNCTION("""COMPUTED_VALUE"""),2900.0)</f>
        <v>2900</v>
      </c>
      <c r="E1068" s="5">
        <f>IFERROR(__xludf.DUMMYFUNCTION("""COMPUTED_VALUE"""),2930.0)</f>
        <v>2930</v>
      </c>
      <c r="F1068" s="5">
        <f>IFERROR(__xludf.DUMMYFUNCTION("""COMPUTED_VALUE"""),1.245704E8)</f>
        <v>124570400</v>
      </c>
      <c r="G1068" s="5">
        <f t="shared" si="1"/>
        <v>70</v>
      </c>
    </row>
    <row r="1069">
      <c r="A1069" s="4">
        <f>IFERROR(__xludf.DUMMYFUNCTION("""COMPUTED_VALUE"""),45447.66666666667)</f>
        <v>45447.66667</v>
      </c>
      <c r="B1069" s="5">
        <f>IFERROR(__xludf.DUMMYFUNCTION("""COMPUTED_VALUE"""),2980.0)</f>
        <v>2980</v>
      </c>
      <c r="C1069" s="5">
        <f>IFERROR(__xludf.DUMMYFUNCTION("""COMPUTED_VALUE"""),3060.0)</f>
        <v>3060</v>
      </c>
      <c r="D1069" s="5">
        <f>IFERROR(__xludf.DUMMYFUNCTION("""COMPUTED_VALUE"""),2940.0)</f>
        <v>2940</v>
      </c>
      <c r="E1069" s="5">
        <f>IFERROR(__xludf.DUMMYFUNCTION("""COMPUTED_VALUE"""),3000.0)</f>
        <v>3000</v>
      </c>
      <c r="F1069" s="5">
        <f>IFERROR(__xludf.DUMMYFUNCTION("""COMPUTED_VALUE"""),1.302031E8)</f>
        <v>130203100</v>
      </c>
      <c r="G1069" s="5">
        <f t="shared" si="1"/>
        <v>130</v>
      </c>
    </row>
    <row r="1070">
      <c r="A1070" s="4">
        <f>IFERROR(__xludf.DUMMYFUNCTION("""COMPUTED_VALUE"""),45448.66666666667)</f>
        <v>45448.66667</v>
      </c>
      <c r="B1070" s="5">
        <f>IFERROR(__xludf.DUMMYFUNCTION("""COMPUTED_VALUE"""),3000.0)</f>
        <v>3000</v>
      </c>
      <c r="C1070" s="5">
        <f>IFERROR(__xludf.DUMMYFUNCTION("""COMPUTED_VALUE"""),3080.0)</f>
        <v>3080</v>
      </c>
      <c r="D1070" s="5">
        <f>IFERROR(__xludf.DUMMYFUNCTION("""COMPUTED_VALUE"""),3000.0)</f>
        <v>3000</v>
      </c>
      <c r="E1070" s="5">
        <f>IFERROR(__xludf.DUMMYFUNCTION("""COMPUTED_VALUE"""),3060.0)</f>
        <v>3060</v>
      </c>
      <c r="F1070" s="5">
        <f>IFERROR(__xludf.DUMMYFUNCTION("""COMPUTED_VALUE"""),1.411573E8)</f>
        <v>141157300</v>
      </c>
      <c r="G1070" s="5">
        <f t="shared" si="1"/>
        <v>80</v>
      </c>
    </row>
    <row r="1071">
      <c r="A1071" s="4">
        <f>IFERROR(__xludf.DUMMYFUNCTION("""COMPUTED_VALUE"""),45449.66666666667)</f>
        <v>45449.66667</v>
      </c>
      <c r="B1071" s="5">
        <f>IFERROR(__xludf.DUMMYFUNCTION("""COMPUTED_VALUE"""),3100.0)</f>
        <v>3100</v>
      </c>
      <c r="C1071" s="5">
        <f>IFERROR(__xludf.DUMMYFUNCTION("""COMPUTED_VALUE"""),3100.0)</f>
        <v>3100</v>
      </c>
      <c r="D1071" s="5">
        <f>IFERROR(__xludf.DUMMYFUNCTION("""COMPUTED_VALUE"""),3030.0)</f>
        <v>3030</v>
      </c>
      <c r="E1071" s="5">
        <f>IFERROR(__xludf.DUMMYFUNCTION("""COMPUTED_VALUE"""),3050.0)</f>
        <v>3050</v>
      </c>
      <c r="F1071" s="5">
        <f>IFERROR(__xludf.DUMMYFUNCTION("""COMPUTED_VALUE"""),1.079969E8)</f>
        <v>107996900</v>
      </c>
      <c r="G1071" s="5">
        <f t="shared" si="1"/>
        <v>70</v>
      </c>
    </row>
    <row r="1072">
      <c r="A1072" s="4">
        <f>IFERROR(__xludf.DUMMYFUNCTION("""COMPUTED_VALUE"""),45450.66666666667)</f>
        <v>45450.66667</v>
      </c>
      <c r="B1072" s="5">
        <f>IFERROR(__xludf.DUMMYFUNCTION("""COMPUTED_VALUE"""),3050.0)</f>
        <v>3050</v>
      </c>
      <c r="C1072" s="5">
        <f>IFERROR(__xludf.DUMMYFUNCTION("""COMPUTED_VALUE"""),3090.0)</f>
        <v>3090</v>
      </c>
      <c r="D1072" s="5">
        <f>IFERROR(__xludf.DUMMYFUNCTION("""COMPUTED_VALUE"""),3050.0)</f>
        <v>3050</v>
      </c>
      <c r="E1072" s="5">
        <f>IFERROR(__xludf.DUMMYFUNCTION("""COMPUTED_VALUE"""),3050.0)</f>
        <v>3050</v>
      </c>
      <c r="F1072" s="5">
        <f>IFERROR(__xludf.DUMMYFUNCTION("""COMPUTED_VALUE"""),6.71911E7)</f>
        <v>67191100</v>
      </c>
      <c r="G1072" s="5">
        <f t="shared" si="1"/>
        <v>40</v>
      </c>
    </row>
    <row r="1073">
      <c r="A1073" s="4">
        <f>IFERROR(__xludf.DUMMYFUNCTION("""COMPUTED_VALUE"""),45453.66666666667)</f>
        <v>45453.66667</v>
      </c>
      <c r="B1073" s="5">
        <f>IFERROR(__xludf.DUMMYFUNCTION("""COMPUTED_VALUE"""),3050.0)</f>
        <v>3050</v>
      </c>
      <c r="C1073" s="5">
        <f>IFERROR(__xludf.DUMMYFUNCTION("""COMPUTED_VALUE"""),3050.0)</f>
        <v>3050</v>
      </c>
      <c r="D1073" s="5">
        <f>IFERROR(__xludf.DUMMYFUNCTION("""COMPUTED_VALUE"""),2980.0)</f>
        <v>2980</v>
      </c>
      <c r="E1073" s="5">
        <f>IFERROR(__xludf.DUMMYFUNCTION("""COMPUTED_VALUE"""),3010.0)</f>
        <v>3010</v>
      </c>
      <c r="F1073" s="5">
        <f>IFERROR(__xludf.DUMMYFUNCTION("""COMPUTED_VALUE"""),6.69839E7)</f>
        <v>66983900</v>
      </c>
      <c r="G1073" s="5">
        <f t="shared" si="1"/>
        <v>70</v>
      </c>
    </row>
    <row r="1074">
      <c r="A1074" s="4">
        <f>IFERROR(__xludf.DUMMYFUNCTION("""COMPUTED_VALUE"""),45454.66666666667)</f>
        <v>45454.66667</v>
      </c>
      <c r="B1074" s="5">
        <f>IFERROR(__xludf.DUMMYFUNCTION("""COMPUTED_VALUE"""),2960.0)</f>
        <v>2960</v>
      </c>
      <c r="C1074" s="5">
        <f>IFERROR(__xludf.DUMMYFUNCTION("""COMPUTED_VALUE"""),2980.0)</f>
        <v>2980</v>
      </c>
      <c r="D1074" s="5">
        <f>IFERROR(__xludf.DUMMYFUNCTION("""COMPUTED_VALUE"""),2880.0)</f>
        <v>2880</v>
      </c>
      <c r="E1074" s="5">
        <f>IFERROR(__xludf.DUMMYFUNCTION("""COMPUTED_VALUE"""),2880.0)</f>
        <v>2880</v>
      </c>
      <c r="F1074" s="5">
        <f>IFERROR(__xludf.DUMMYFUNCTION("""COMPUTED_VALUE"""),1.726881E8)</f>
        <v>172688100</v>
      </c>
      <c r="G1074" s="5">
        <f t="shared" si="1"/>
        <v>130</v>
      </c>
    </row>
    <row r="1075">
      <c r="A1075" s="4">
        <f>IFERROR(__xludf.DUMMYFUNCTION("""COMPUTED_VALUE"""),45455.66666666667)</f>
        <v>45455.66667</v>
      </c>
      <c r="B1075" s="5">
        <f>IFERROR(__xludf.DUMMYFUNCTION("""COMPUTED_VALUE"""),2890.0)</f>
        <v>2890</v>
      </c>
      <c r="C1075" s="5">
        <f>IFERROR(__xludf.DUMMYFUNCTION("""COMPUTED_VALUE"""),2970.0)</f>
        <v>2970</v>
      </c>
      <c r="D1075" s="5">
        <f>IFERROR(__xludf.DUMMYFUNCTION("""COMPUTED_VALUE"""),2890.0)</f>
        <v>2890</v>
      </c>
      <c r="E1075" s="5">
        <f>IFERROR(__xludf.DUMMYFUNCTION("""COMPUTED_VALUE"""),2920.0)</f>
        <v>2920</v>
      </c>
      <c r="F1075" s="5">
        <f>IFERROR(__xludf.DUMMYFUNCTION("""COMPUTED_VALUE"""),9.15845E7)</f>
        <v>91584500</v>
      </c>
      <c r="G1075" s="5">
        <f t="shared" si="1"/>
        <v>90</v>
      </c>
    </row>
    <row r="1076">
      <c r="A1076" s="4">
        <f>IFERROR(__xludf.DUMMYFUNCTION("""COMPUTED_VALUE"""),45456.66666666667)</f>
        <v>45456.66667</v>
      </c>
      <c r="B1076" s="5">
        <f>IFERROR(__xludf.DUMMYFUNCTION("""COMPUTED_VALUE"""),2940.0)</f>
        <v>2940</v>
      </c>
      <c r="C1076" s="5">
        <f>IFERROR(__xludf.DUMMYFUNCTION("""COMPUTED_VALUE"""),2940.0)</f>
        <v>2940</v>
      </c>
      <c r="D1076" s="5">
        <f>IFERROR(__xludf.DUMMYFUNCTION("""COMPUTED_VALUE"""),2830.0)</f>
        <v>2830</v>
      </c>
      <c r="E1076" s="5">
        <f>IFERROR(__xludf.DUMMYFUNCTION("""COMPUTED_VALUE"""),2840.0)</f>
        <v>2840</v>
      </c>
      <c r="F1076" s="5">
        <f>IFERROR(__xludf.DUMMYFUNCTION("""COMPUTED_VALUE"""),9.574E7)</f>
        <v>95740000</v>
      </c>
      <c r="G1076" s="5">
        <f t="shared" si="1"/>
        <v>110</v>
      </c>
    </row>
    <row r="1077">
      <c r="A1077" s="4">
        <f>IFERROR(__xludf.DUMMYFUNCTION("""COMPUTED_VALUE"""),45457.66666666667)</f>
        <v>45457.66667</v>
      </c>
      <c r="B1077" s="5">
        <f>IFERROR(__xludf.DUMMYFUNCTION("""COMPUTED_VALUE"""),2820.0)</f>
        <v>2820</v>
      </c>
      <c r="C1077" s="5">
        <f>IFERROR(__xludf.DUMMYFUNCTION("""COMPUTED_VALUE"""),2830.0)</f>
        <v>2830</v>
      </c>
      <c r="D1077" s="5">
        <f>IFERROR(__xludf.DUMMYFUNCTION("""COMPUTED_VALUE"""),2700.0)</f>
        <v>2700</v>
      </c>
      <c r="E1077" s="5">
        <f>IFERROR(__xludf.DUMMYFUNCTION("""COMPUTED_VALUE"""),2720.0)</f>
        <v>2720</v>
      </c>
      <c r="F1077" s="5">
        <f>IFERROR(__xludf.DUMMYFUNCTION("""COMPUTED_VALUE"""),2.027505E8)</f>
        <v>202750500</v>
      </c>
      <c r="G1077" s="5">
        <f t="shared" si="1"/>
        <v>140</v>
      </c>
    </row>
    <row r="1078">
      <c r="A1078" s="4">
        <f>IFERROR(__xludf.DUMMYFUNCTION("""COMPUTED_VALUE"""),45462.66666666667)</f>
        <v>45462.66667</v>
      </c>
      <c r="B1078" s="5">
        <f>IFERROR(__xludf.DUMMYFUNCTION("""COMPUTED_VALUE"""),2780.0)</f>
        <v>2780</v>
      </c>
      <c r="C1078" s="5">
        <f>IFERROR(__xludf.DUMMYFUNCTION("""COMPUTED_VALUE"""),2850.0)</f>
        <v>2850</v>
      </c>
      <c r="D1078" s="5">
        <f>IFERROR(__xludf.DUMMYFUNCTION("""COMPUTED_VALUE"""),2760.0)</f>
        <v>2760</v>
      </c>
      <c r="E1078" s="5">
        <f>IFERROR(__xludf.DUMMYFUNCTION("""COMPUTED_VALUE"""),2830.0)</f>
        <v>2830</v>
      </c>
      <c r="F1078" s="5">
        <f>IFERROR(__xludf.DUMMYFUNCTION("""COMPUTED_VALUE"""),1.288435E8)</f>
        <v>128843500</v>
      </c>
      <c r="G1078" s="5">
        <f t="shared" si="1"/>
        <v>130</v>
      </c>
    </row>
    <row r="1079">
      <c r="A1079" s="4">
        <f>IFERROR(__xludf.DUMMYFUNCTION("""COMPUTED_VALUE"""),45463.66666666667)</f>
        <v>45463.66667</v>
      </c>
      <c r="B1079" s="5">
        <f>IFERROR(__xludf.DUMMYFUNCTION("""COMPUTED_VALUE"""),2850.0)</f>
        <v>2850</v>
      </c>
      <c r="C1079" s="5">
        <f>IFERROR(__xludf.DUMMYFUNCTION("""COMPUTED_VALUE"""),2850.0)</f>
        <v>2850</v>
      </c>
      <c r="D1079" s="5">
        <f>IFERROR(__xludf.DUMMYFUNCTION("""COMPUTED_VALUE"""),2800.0)</f>
        <v>2800</v>
      </c>
      <c r="E1079" s="5">
        <f>IFERROR(__xludf.DUMMYFUNCTION("""COMPUTED_VALUE"""),2840.0)</f>
        <v>2840</v>
      </c>
      <c r="F1079" s="5">
        <f>IFERROR(__xludf.DUMMYFUNCTION("""COMPUTED_VALUE"""),5.54348E7)</f>
        <v>55434800</v>
      </c>
      <c r="G1079" s="5">
        <f t="shared" si="1"/>
        <v>50</v>
      </c>
    </row>
    <row r="1080">
      <c r="A1080" s="4">
        <f>IFERROR(__xludf.DUMMYFUNCTION("""COMPUTED_VALUE"""),45464.66666666667)</f>
        <v>45464.66667</v>
      </c>
      <c r="B1080" s="5">
        <f>IFERROR(__xludf.DUMMYFUNCTION("""COMPUTED_VALUE"""),2850.0)</f>
        <v>2850</v>
      </c>
      <c r="C1080" s="5">
        <f>IFERROR(__xludf.DUMMYFUNCTION("""COMPUTED_VALUE"""),2960.0)</f>
        <v>2960</v>
      </c>
      <c r="D1080" s="5">
        <f>IFERROR(__xludf.DUMMYFUNCTION("""COMPUTED_VALUE"""),2840.0)</f>
        <v>2840</v>
      </c>
      <c r="E1080" s="5">
        <f>IFERROR(__xludf.DUMMYFUNCTION("""COMPUTED_VALUE"""),2950.0)</f>
        <v>2950</v>
      </c>
      <c r="F1080" s="5">
        <f>IFERROR(__xludf.DUMMYFUNCTION("""COMPUTED_VALUE"""),1.84918E8)</f>
        <v>184918000</v>
      </c>
      <c r="G1080" s="5">
        <f t="shared" si="1"/>
        <v>120</v>
      </c>
    </row>
    <row r="1081">
      <c r="A1081" s="4">
        <f>IFERROR(__xludf.DUMMYFUNCTION("""COMPUTED_VALUE"""),45467.66666666667)</f>
        <v>45467.66667</v>
      </c>
      <c r="B1081" s="5">
        <f>IFERROR(__xludf.DUMMYFUNCTION("""COMPUTED_VALUE"""),2930.0)</f>
        <v>2930</v>
      </c>
      <c r="C1081" s="5">
        <f>IFERROR(__xludf.DUMMYFUNCTION("""COMPUTED_VALUE"""),2980.0)</f>
        <v>2980</v>
      </c>
      <c r="D1081" s="5">
        <f>IFERROR(__xludf.DUMMYFUNCTION("""COMPUTED_VALUE"""),2910.0)</f>
        <v>2910</v>
      </c>
      <c r="E1081" s="5">
        <f>IFERROR(__xludf.DUMMYFUNCTION("""COMPUTED_VALUE"""),2950.0)</f>
        <v>2950</v>
      </c>
      <c r="F1081" s="5">
        <f>IFERROR(__xludf.DUMMYFUNCTION("""COMPUTED_VALUE"""),1.116188E8)</f>
        <v>111618800</v>
      </c>
      <c r="G1081" s="5">
        <f t="shared" si="1"/>
        <v>70</v>
      </c>
    </row>
    <row r="1082">
      <c r="A1082" s="4">
        <f>IFERROR(__xludf.DUMMYFUNCTION("""COMPUTED_VALUE"""),45468.66666666667)</f>
        <v>45468.66667</v>
      </c>
      <c r="B1082" s="5">
        <f>IFERROR(__xludf.DUMMYFUNCTION("""COMPUTED_VALUE"""),2950.0)</f>
        <v>2950</v>
      </c>
      <c r="C1082" s="5">
        <f>IFERROR(__xludf.DUMMYFUNCTION("""COMPUTED_VALUE"""),2990.0)</f>
        <v>2990</v>
      </c>
      <c r="D1082" s="5">
        <f>IFERROR(__xludf.DUMMYFUNCTION("""COMPUTED_VALUE"""),2930.0)</f>
        <v>2930</v>
      </c>
      <c r="E1082" s="5">
        <f>IFERROR(__xludf.DUMMYFUNCTION("""COMPUTED_VALUE"""),2990.0)</f>
        <v>2990</v>
      </c>
      <c r="F1082" s="5">
        <f>IFERROR(__xludf.DUMMYFUNCTION("""COMPUTED_VALUE"""),8.99134E7)</f>
        <v>89913400</v>
      </c>
      <c r="G1082" s="5">
        <f t="shared" si="1"/>
        <v>60</v>
      </c>
    </row>
    <row r="1083">
      <c r="A1083" s="4">
        <f>IFERROR(__xludf.DUMMYFUNCTION("""COMPUTED_VALUE"""),45469.66666666667)</f>
        <v>45469.66667</v>
      </c>
      <c r="B1083" s="5">
        <f>IFERROR(__xludf.DUMMYFUNCTION("""COMPUTED_VALUE"""),2990.0)</f>
        <v>2990</v>
      </c>
      <c r="C1083" s="5">
        <f>IFERROR(__xludf.DUMMYFUNCTION("""COMPUTED_VALUE"""),3020.0)</f>
        <v>3020</v>
      </c>
      <c r="D1083" s="5">
        <f>IFERROR(__xludf.DUMMYFUNCTION("""COMPUTED_VALUE"""),2980.0)</f>
        <v>2980</v>
      </c>
      <c r="E1083" s="5">
        <f>IFERROR(__xludf.DUMMYFUNCTION("""COMPUTED_VALUE"""),3000.0)</f>
        <v>3000</v>
      </c>
      <c r="F1083" s="5">
        <f>IFERROR(__xludf.DUMMYFUNCTION("""COMPUTED_VALUE"""),7.3994E7)</f>
        <v>73994000</v>
      </c>
      <c r="G1083" s="5">
        <f t="shared" si="1"/>
        <v>40</v>
      </c>
    </row>
    <row r="1084">
      <c r="A1084" s="4">
        <f>IFERROR(__xludf.DUMMYFUNCTION("""COMPUTED_VALUE"""),45470.66666666667)</f>
        <v>45470.66667</v>
      </c>
      <c r="B1084" s="5">
        <f>IFERROR(__xludf.DUMMYFUNCTION("""COMPUTED_VALUE"""),3030.0)</f>
        <v>3030</v>
      </c>
      <c r="C1084" s="5">
        <f>IFERROR(__xludf.DUMMYFUNCTION("""COMPUTED_VALUE"""),3030.0)</f>
        <v>3030</v>
      </c>
      <c r="D1084" s="5">
        <f>IFERROR(__xludf.DUMMYFUNCTION("""COMPUTED_VALUE"""),2990.0)</f>
        <v>2990</v>
      </c>
      <c r="E1084" s="5">
        <f>IFERROR(__xludf.DUMMYFUNCTION("""COMPUTED_VALUE"""),3030.0)</f>
        <v>3030</v>
      </c>
      <c r="F1084" s="5">
        <f>IFERROR(__xludf.DUMMYFUNCTION("""COMPUTED_VALUE"""),7.01546E7)</f>
        <v>70154600</v>
      </c>
      <c r="G1084" s="5">
        <f t="shared" si="1"/>
        <v>40</v>
      </c>
    </row>
    <row r="1085">
      <c r="A1085" s="4">
        <f>IFERROR(__xludf.DUMMYFUNCTION("""COMPUTED_VALUE"""),45471.66666666667)</f>
        <v>45471.66667</v>
      </c>
      <c r="B1085" s="5">
        <f>IFERROR(__xludf.DUMMYFUNCTION("""COMPUTED_VALUE"""),3030.0)</f>
        <v>3030</v>
      </c>
      <c r="C1085" s="5">
        <f>IFERROR(__xludf.DUMMYFUNCTION("""COMPUTED_VALUE"""),3140.0)</f>
        <v>3140</v>
      </c>
      <c r="D1085" s="5">
        <f>IFERROR(__xludf.DUMMYFUNCTION("""COMPUTED_VALUE"""),3030.0)</f>
        <v>3030</v>
      </c>
      <c r="E1085" s="5">
        <f>IFERROR(__xludf.DUMMYFUNCTION("""COMPUTED_VALUE"""),3130.0)</f>
        <v>3130</v>
      </c>
      <c r="F1085" s="5">
        <f>IFERROR(__xludf.DUMMYFUNCTION("""COMPUTED_VALUE"""),2.135393E8)</f>
        <v>213539300</v>
      </c>
      <c r="G1085" s="5">
        <f t="shared" si="1"/>
        <v>110</v>
      </c>
    </row>
    <row r="1086">
      <c r="A1086" s="4">
        <f>IFERROR(__xludf.DUMMYFUNCTION("""COMPUTED_VALUE"""),45474.66666666667)</f>
        <v>45474.66667</v>
      </c>
      <c r="B1086" s="5">
        <f>IFERROR(__xludf.DUMMYFUNCTION("""COMPUTED_VALUE"""),3130.0)</f>
        <v>3130</v>
      </c>
      <c r="C1086" s="5">
        <f>IFERROR(__xludf.DUMMYFUNCTION("""COMPUTED_VALUE"""),3130.0)</f>
        <v>3130</v>
      </c>
      <c r="D1086" s="5">
        <f>IFERROR(__xludf.DUMMYFUNCTION("""COMPUTED_VALUE"""),3080.0)</f>
        <v>3080</v>
      </c>
      <c r="E1086" s="5">
        <f>IFERROR(__xludf.DUMMYFUNCTION("""COMPUTED_VALUE"""),3090.0)</f>
        <v>3090</v>
      </c>
      <c r="F1086" s="5">
        <f>IFERROR(__xludf.DUMMYFUNCTION("""COMPUTED_VALUE"""),1.340828E8)</f>
        <v>134082800</v>
      </c>
      <c r="G1086" s="5">
        <f t="shared" si="1"/>
        <v>50</v>
      </c>
    </row>
    <row r="1087">
      <c r="A1087" s="4">
        <f>IFERROR(__xludf.DUMMYFUNCTION("""COMPUTED_VALUE"""),45475.66666666667)</f>
        <v>45475.66667</v>
      </c>
      <c r="B1087" s="5">
        <f>IFERROR(__xludf.DUMMYFUNCTION("""COMPUTED_VALUE"""),3070.0)</f>
        <v>3070</v>
      </c>
      <c r="C1087" s="5">
        <f>IFERROR(__xludf.DUMMYFUNCTION("""COMPUTED_VALUE"""),3090.0)</f>
        <v>3090</v>
      </c>
      <c r="D1087" s="5">
        <f>IFERROR(__xludf.DUMMYFUNCTION("""COMPUTED_VALUE"""),3030.0)</f>
        <v>3030</v>
      </c>
      <c r="E1087" s="5">
        <f>IFERROR(__xludf.DUMMYFUNCTION("""COMPUTED_VALUE"""),3040.0)</f>
        <v>3040</v>
      </c>
      <c r="F1087" s="5">
        <f>IFERROR(__xludf.DUMMYFUNCTION("""COMPUTED_VALUE"""),7.90242E7)</f>
        <v>79024200</v>
      </c>
      <c r="G1087" s="5">
        <f t="shared" si="1"/>
        <v>60</v>
      </c>
    </row>
    <row r="1088">
      <c r="A1088" s="4">
        <f>IFERROR(__xludf.DUMMYFUNCTION("""COMPUTED_VALUE"""),45476.66666666667)</f>
        <v>45476.66667</v>
      </c>
      <c r="B1088" s="5">
        <f>IFERROR(__xludf.DUMMYFUNCTION("""COMPUTED_VALUE"""),3040.0)</f>
        <v>3040</v>
      </c>
      <c r="C1088" s="5">
        <f>IFERROR(__xludf.DUMMYFUNCTION("""COMPUTED_VALUE"""),3050.0)</f>
        <v>3050</v>
      </c>
      <c r="D1088" s="5">
        <f>IFERROR(__xludf.DUMMYFUNCTION("""COMPUTED_VALUE"""),3020.0)</f>
        <v>3020</v>
      </c>
      <c r="E1088" s="5">
        <f>IFERROR(__xludf.DUMMYFUNCTION("""COMPUTED_VALUE"""),3030.0)</f>
        <v>3030</v>
      </c>
      <c r="F1088" s="5">
        <f>IFERROR(__xludf.DUMMYFUNCTION("""COMPUTED_VALUE"""),5.19771E7)</f>
        <v>51977100</v>
      </c>
      <c r="G1088" s="5">
        <f t="shared" si="1"/>
        <v>30</v>
      </c>
    </row>
    <row r="1089">
      <c r="A1089" s="4">
        <f>IFERROR(__xludf.DUMMYFUNCTION("""COMPUTED_VALUE"""),45477.66666666667)</f>
        <v>45477.66667</v>
      </c>
      <c r="B1089" s="5">
        <f>IFERROR(__xludf.DUMMYFUNCTION("""COMPUTED_VALUE"""),3000.0)</f>
        <v>3000</v>
      </c>
      <c r="C1089" s="5">
        <f>IFERROR(__xludf.DUMMYFUNCTION("""COMPUTED_VALUE"""),3050.0)</f>
        <v>3050</v>
      </c>
      <c r="D1089" s="5">
        <f>IFERROR(__xludf.DUMMYFUNCTION("""COMPUTED_VALUE"""),2960.0)</f>
        <v>2960</v>
      </c>
      <c r="E1089" s="5">
        <f>IFERROR(__xludf.DUMMYFUNCTION("""COMPUTED_VALUE"""),2960.0)</f>
        <v>2960</v>
      </c>
      <c r="F1089" s="5">
        <f>IFERROR(__xludf.DUMMYFUNCTION("""COMPUTED_VALUE"""),9.31005E7)</f>
        <v>93100500</v>
      </c>
      <c r="G1089" s="5">
        <f t="shared" si="1"/>
        <v>90</v>
      </c>
    </row>
    <row r="1090">
      <c r="A1090" s="4">
        <f>IFERROR(__xludf.DUMMYFUNCTION("""COMPUTED_VALUE"""),45478.66666666667)</f>
        <v>45478.66667</v>
      </c>
      <c r="B1090" s="5">
        <f>IFERROR(__xludf.DUMMYFUNCTION("""COMPUTED_VALUE"""),2970.0)</f>
        <v>2970</v>
      </c>
      <c r="C1090" s="5">
        <f>IFERROR(__xludf.DUMMYFUNCTION("""COMPUTED_VALUE"""),3020.0)</f>
        <v>3020</v>
      </c>
      <c r="D1090" s="5">
        <f>IFERROR(__xludf.DUMMYFUNCTION("""COMPUTED_VALUE"""),2960.0)</f>
        <v>2960</v>
      </c>
      <c r="E1090" s="5">
        <f>IFERROR(__xludf.DUMMYFUNCTION("""COMPUTED_VALUE"""),3020.0)</f>
        <v>3020</v>
      </c>
      <c r="F1090" s="5">
        <f>IFERROR(__xludf.DUMMYFUNCTION("""COMPUTED_VALUE"""),6.93392E7)</f>
        <v>69339200</v>
      </c>
      <c r="G1090" s="5">
        <f t="shared" si="1"/>
        <v>60</v>
      </c>
    </row>
    <row r="1091">
      <c r="A1091" s="4">
        <f>IFERROR(__xludf.DUMMYFUNCTION("""COMPUTED_VALUE"""),45481.66666666667)</f>
        <v>45481.66667</v>
      </c>
      <c r="B1091" s="5">
        <f>IFERROR(__xludf.DUMMYFUNCTION("""COMPUTED_VALUE"""),3040.0)</f>
        <v>3040</v>
      </c>
      <c r="C1091" s="5">
        <f>IFERROR(__xludf.DUMMYFUNCTION("""COMPUTED_VALUE"""),3090.0)</f>
        <v>3090</v>
      </c>
      <c r="D1091" s="5">
        <f>IFERROR(__xludf.DUMMYFUNCTION("""COMPUTED_VALUE"""),3000.0)</f>
        <v>3000</v>
      </c>
      <c r="E1091" s="5">
        <f>IFERROR(__xludf.DUMMYFUNCTION("""COMPUTED_VALUE"""),3080.0)</f>
        <v>3080</v>
      </c>
      <c r="F1091" s="5">
        <f>IFERROR(__xludf.DUMMYFUNCTION("""COMPUTED_VALUE"""),1.250046E8)</f>
        <v>125004600</v>
      </c>
      <c r="G1091" s="5">
        <f t="shared" si="1"/>
        <v>90</v>
      </c>
    </row>
    <row r="1092">
      <c r="A1092" s="4">
        <f>IFERROR(__xludf.DUMMYFUNCTION("""COMPUTED_VALUE"""),45482.66666666667)</f>
        <v>45482.66667</v>
      </c>
      <c r="B1092" s="5">
        <f>IFERROR(__xludf.DUMMYFUNCTION("""COMPUTED_VALUE"""),3050.0)</f>
        <v>3050</v>
      </c>
      <c r="C1092" s="5">
        <f>IFERROR(__xludf.DUMMYFUNCTION("""COMPUTED_VALUE"""),3120.0)</f>
        <v>3120</v>
      </c>
      <c r="D1092" s="5">
        <f>IFERROR(__xludf.DUMMYFUNCTION("""COMPUTED_VALUE"""),3040.0)</f>
        <v>3040</v>
      </c>
      <c r="E1092" s="5">
        <f>IFERROR(__xludf.DUMMYFUNCTION("""COMPUTED_VALUE"""),3080.0)</f>
        <v>3080</v>
      </c>
      <c r="F1092" s="5">
        <f>IFERROR(__xludf.DUMMYFUNCTION("""COMPUTED_VALUE"""),1.182456E8)</f>
        <v>118245600</v>
      </c>
      <c r="G1092" s="5">
        <f t="shared" si="1"/>
        <v>80</v>
      </c>
    </row>
    <row r="1093">
      <c r="A1093" s="4">
        <f>IFERROR(__xludf.DUMMYFUNCTION("""COMPUTED_VALUE"""),45483.66666666667)</f>
        <v>45483.66667</v>
      </c>
      <c r="B1093" s="5">
        <f>IFERROR(__xludf.DUMMYFUNCTION("""COMPUTED_VALUE"""),3090.0)</f>
        <v>3090</v>
      </c>
      <c r="C1093" s="5">
        <f>IFERROR(__xludf.DUMMYFUNCTION("""COMPUTED_VALUE"""),3180.0)</f>
        <v>3180</v>
      </c>
      <c r="D1093" s="5">
        <f>IFERROR(__xludf.DUMMYFUNCTION("""COMPUTED_VALUE"""),3090.0)</f>
        <v>3090</v>
      </c>
      <c r="E1093" s="5">
        <f>IFERROR(__xludf.DUMMYFUNCTION("""COMPUTED_VALUE"""),3160.0)</f>
        <v>3160</v>
      </c>
      <c r="F1093" s="5">
        <f>IFERROR(__xludf.DUMMYFUNCTION("""COMPUTED_VALUE"""),1.200074E8)</f>
        <v>120007400</v>
      </c>
      <c r="G1093" s="5">
        <f t="shared" si="1"/>
        <v>100</v>
      </c>
    </row>
    <row r="1094">
      <c r="A1094" s="4">
        <f>IFERROR(__xludf.DUMMYFUNCTION("""COMPUTED_VALUE"""),45484.66666666667)</f>
        <v>45484.66667</v>
      </c>
      <c r="B1094" s="5">
        <f>IFERROR(__xludf.DUMMYFUNCTION("""COMPUTED_VALUE"""),3200.0)</f>
        <v>3200</v>
      </c>
      <c r="C1094" s="5">
        <f>IFERROR(__xludf.DUMMYFUNCTION("""COMPUTED_VALUE"""),3200.0)</f>
        <v>3200</v>
      </c>
      <c r="D1094" s="5">
        <f>IFERROR(__xludf.DUMMYFUNCTION("""COMPUTED_VALUE"""),3160.0)</f>
        <v>3160</v>
      </c>
      <c r="E1094" s="5">
        <f>IFERROR(__xludf.DUMMYFUNCTION("""COMPUTED_VALUE"""),3180.0)</f>
        <v>3180</v>
      </c>
      <c r="F1094" s="5">
        <f>IFERROR(__xludf.DUMMYFUNCTION("""COMPUTED_VALUE"""),1.2649E8)</f>
        <v>126490000</v>
      </c>
      <c r="G1094" s="5">
        <f t="shared" si="1"/>
        <v>40</v>
      </c>
    </row>
    <row r="1095">
      <c r="A1095" s="4">
        <f>IFERROR(__xludf.DUMMYFUNCTION("""COMPUTED_VALUE"""),45485.66666666667)</f>
        <v>45485.66667</v>
      </c>
      <c r="B1095" s="5">
        <f>IFERROR(__xludf.DUMMYFUNCTION("""COMPUTED_VALUE"""),3230.0)</f>
        <v>3230</v>
      </c>
      <c r="C1095" s="5">
        <f>IFERROR(__xludf.DUMMYFUNCTION("""COMPUTED_VALUE"""),3270.0)</f>
        <v>3270</v>
      </c>
      <c r="D1095" s="5">
        <f>IFERROR(__xludf.DUMMYFUNCTION("""COMPUTED_VALUE"""),3210.0)</f>
        <v>3210</v>
      </c>
      <c r="E1095" s="5">
        <f>IFERROR(__xludf.DUMMYFUNCTION("""COMPUTED_VALUE"""),3220.0)</f>
        <v>3220</v>
      </c>
      <c r="F1095" s="5">
        <f>IFERROR(__xludf.DUMMYFUNCTION("""COMPUTED_VALUE"""),1.358303E8)</f>
        <v>135830300</v>
      </c>
      <c r="G1095" s="5">
        <f t="shared" si="1"/>
        <v>90</v>
      </c>
    </row>
    <row r="1096">
      <c r="A1096" s="4">
        <f>IFERROR(__xludf.DUMMYFUNCTION("""COMPUTED_VALUE"""),45488.66666666667)</f>
        <v>45488.66667</v>
      </c>
      <c r="B1096" s="5">
        <f>IFERROR(__xludf.DUMMYFUNCTION("""COMPUTED_VALUE"""),3220.0)</f>
        <v>3220</v>
      </c>
      <c r="C1096" s="5">
        <f>IFERROR(__xludf.DUMMYFUNCTION("""COMPUTED_VALUE"""),3220.0)</f>
        <v>3220</v>
      </c>
      <c r="D1096" s="5">
        <f>IFERROR(__xludf.DUMMYFUNCTION("""COMPUTED_VALUE"""),3130.0)</f>
        <v>3130</v>
      </c>
      <c r="E1096" s="5">
        <f>IFERROR(__xludf.DUMMYFUNCTION("""COMPUTED_VALUE"""),3160.0)</f>
        <v>3160</v>
      </c>
      <c r="F1096" s="5">
        <f>IFERROR(__xludf.DUMMYFUNCTION("""COMPUTED_VALUE"""),1.009185E8)</f>
        <v>100918500</v>
      </c>
      <c r="G1096" s="5">
        <f t="shared" si="1"/>
        <v>90</v>
      </c>
    </row>
    <row r="1097">
      <c r="A1097" s="4">
        <f>IFERROR(__xludf.DUMMYFUNCTION("""COMPUTED_VALUE"""),45489.66666666667)</f>
        <v>45489.66667</v>
      </c>
      <c r="B1097" s="5">
        <f>IFERROR(__xludf.DUMMYFUNCTION("""COMPUTED_VALUE"""),3180.0)</f>
        <v>3180</v>
      </c>
      <c r="C1097" s="5">
        <f>IFERROR(__xludf.DUMMYFUNCTION("""COMPUTED_VALUE"""),3180.0)</f>
        <v>3180</v>
      </c>
      <c r="D1097" s="5">
        <f>IFERROR(__xludf.DUMMYFUNCTION("""COMPUTED_VALUE"""),3090.0)</f>
        <v>3090</v>
      </c>
      <c r="E1097" s="5">
        <f>IFERROR(__xludf.DUMMYFUNCTION("""COMPUTED_VALUE"""),3100.0)</f>
        <v>3100</v>
      </c>
      <c r="F1097" s="5">
        <f>IFERROR(__xludf.DUMMYFUNCTION("""COMPUTED_VALUE"""),7.87697E7)</f>
        <v>78769700</v>
      </c>
      <c r="G1097" s="5">
        <f t="shared" si="1"/>
        <v>90</v>
      </c>
    </row>
    <row r="1098">
      <c r="A1098" s="4">
        <f>IFERROR(__xludf.DUMMYFUNCTION("""COMPUTED_VALUE"""),45490.66666666667)</f>
        <v>45490.66667</v>
      </c>
      <c r="B1098" s="5">
        <f>IFERROR(__xludf.DUMMYFUNCTION("""COMPUTED_VALUE"""),3190.0)</f>
        <v>3190</v>
      </c>
      <c r="C1098" s="5">
        <f>IFERROR(__xludf.DUMMYFUNCTION("""COMPUTED_VALUE"""),3270.0)</f>
        <v>3270</v>
      </c>
      <c r="D1098" s="5">
        <f>IFERROR(__xludf.DUMMYFUNCTION("""COMPUTED_VALUE"""),3160.0)</f>
        <v>3160</v>
      </c>
      <c r="E1098" s="5">
        <f>IFERROR(__xludf.DUMMYFUNCTION("""COMPUTED_VALUE"""),3250.0)</f>
        <v>3250</v>
      </c>
      <c r="F1098" s="5">
        <f>IFERROR(__xludf.DUMMYFUNCTION("""COMPUTED_VALUE"""),1.671493E8)</f>
        <v>167149300</v>
      </c>
      <c r="G1098" s="5">
        <f t="shared" si="1"/>
        <v>170</v>
      </c>
    </row>
    <row r="1099">
      <c r="A1099" s="4">
        <f>IFERROR(__xludf.DUMMYFUNCTION("""COMPUTED_VALUE"""),45491.66666666667)</f>
        <v>45491.66667</v>
      </c>
      <c r="B1099" s="5">
        <f>IFERROR(__xludf.DUMMYFUNCTION("""COMPUTED_VALUE"""),3260.0)</f>
        <v>3260</v>
      </c>
      <c r="C1099" s="5">
        <f>IFERROR(__xludf.DUMMYFUNCTION("""COMPUTED_VALUE"""),3280.0)</f>
        <v>3280</v>
      </c>
      <c r="D1099" s="5">
        <f>IFERROR(__xludf.DUMMYFUNCTION("""COMPUTED_VALUE"""),3190.0)</f>
        <v>3190</v>
      </c>
      <c r="E1099" s="5">
        <f>IFERROR(__xludf.DUMMYFUNCTION("""COMPUTED_VALUE"""),3210.0)</f>
        <v>3210</v>
      </c>
      <c r="F1099" s="5">
        <f>IFERROR(__xludf.DUMMYFUNCTION("""COMPUTED_VALUE"""),9.89035E7)</f>
        <v>98903500</v>
      </c>
      <c r="G1099" s="5">
        <f t="shared" si="1"/>
        <v>90</v>
      </c>
    </row>
    <row r="1100">
      <c r="A1100" s="4">
        <f>IFERROR(__xludf.DUMMYFUNCTION("""COMPUTED_VALUE"""),45492.66666666667)</f>
        <v>45492.66667</v>
      </c>
      <c r="B1100" s="5">
        <f>IFERROR(__xludf.DUMMYFUNCTION("""COMPUTED_VALUE"""),3200.0)</f>
        <v>3200</v>
      </c>
      <c r="C1100" s="5">
        <f>IFERROR(__xludf.DUMMYFUNCTION("""COMPUTED_VALUE"""),3210.0)</f>
        <v>3210</v>
      </c>
      <c r="D1100" s="5">
        <f>IFERROR(__xludf.DUMMYFUNCTION("""COMPUTED_VALUE"""),3120.0)</f>
        <v>3120</v>
      </c>
      <c r="E1100" s="5">
        <f>IFERROR(__xludf.DUMMYFUNCTION("""COMPUTED_VALUE"""),3140.0)</f>
        <v>3140</v>
      </c>
      <c r="F1100" s="5">
        <f>IFERROR(__xludf.DUMMYFUNCTION("""COMPUTED_VALUE"""),1.381172E8)</f>
        <v>138117200</v>
      </c>
      <c r="G1100" s="5">
        <f t="shared" si="1"/>
        <v>90</v>
      </c>
    </row>
    <row r="1101">
      <c r="A1101" s="4">
        <f>IFERROR(__xludf.DUMMYFUNCTION("""COMPUTED_VALUE"""),45495.66666666667)</f>
        <v>45495.66667</v>
      </c>
      <c r="B1101" s="5">
        <f>IFERROR(__xludf.DUMMYFUNCTION("""COMPUTED_VALUE"""),3180.0)</f>
        <v>3180</v>
      </c>
      <c r="C1101" s="5">
        <f>IFERROR(__xludf.DUMMYFUNCTION("""COMPUTED_VALUE"""),3210.0)</f>
        <v>3210</v>
      </c>
      <c r="D1101" s="5">
        <f>IFERROR(__xludf.DUMMYFUNCTION("""COMPUTED_VALUE"""),3090.0)</f>
        <v>3090</v>
      </c>
      <c r="E1101" s="5">
        <f>IFERROR(__xludf.DUMMYFUNCTION("""COMPUTED_VALUE"""),3100.0)</f>
        <v>3100</v>
      </c>
      <c r="F1101" s="5">
        <f>IFERROR(__xludf.DUMMYFUNCTION("""COMPUTED_VALUE"""),1.39383E8)</f>
        <v>139383000</v>
      </c>
      <c r="G1101" s="5">
        <f t="shared" si="1"/>
        <v>120</v>
      </c>
    </row>
    <row r="1102">
      <c r="A1102" s="4">
        <f>IFERROR(__xludf.DUMMYFUNCTION("""COMPUTED_VALUE"""),45496.66666666667)</f>
        <v>45496.66667</v>
      </c>
      <c r="B1102" s="5">
        <f>IFERROR(__xludf.DUMMYFUNCTION("""COMPUTED_VALUE"""),3140.0)</f>
        <v>3140</v>
      </c>
      <c r="C1102" s="5">
        <f>IFERROR(__xludf.DUMMYFUNCTION("""COMPUTED_VALUE"""),3160.0)</f>
        <v>3160</v>
      </c>
      <c r="D1102" s="5">
        <f>IFERROR(__xludf.DUMMYFUNCTION("""COMPUTED_VALUE"""),3100.0)</f>
        <v>3100</v>
      </c>
      <c r="E1102" s="5">
        <f>IFERROR(__xludf.DUMMYFUNCTION("""COMPUTED_VALUE"""),3160.0)</f>
        <v>3160</v>
      </c>
      <c r="F1102" s="5">
        <f>IFERROR(__xludf.DUMMYFUNCTION("""COMPUTED_VALUE"""),7.4338E7)</f>
        <v>74338000</v>
      </c>
      <c r="G1102" s="5">
        <f t="shared" si="1"/>
        <v>60</v>
      </c>
    </row>
    <row r="1103">
      <c r="A1103" s="4">
        <f>IFERROR(__xludf.DUMMYFUNCTION("""COMPUTED_VALUE"""),45497.66666666667)</f>
        <v>45497.66667</v>
      </c>
      <c r="B1103" s="5">
        <f>IFERROR(__xludf.DUMMYFUNCTION("""COMPUTED_VALUE"""),3140.0)</f>
        <v>3140</v>
      </c>
      <c r="C1103" s="5">
        <f>IFERROR(__xludf.DUMMYFUNCTION("""COMPUTED_VALUE"""),3150.0)</f>
        <v>3150</v>
      </c>
      <c r="D1103" s="5">
        <f>IFERROR(__xludf.DUMMYFUNCTION("""COMPUTED_VALUE"""),3040.0)</f>
        <v>3040</v>
      </c>
      <c r="E1103" s="5">
        <f>IFERROR(__xludf.DUMMYFUNCTION("""COMPUTED_VALUE"""),3060.0)</f>
        <v>3060</v>
      </c>
      <c r="F1103" s="5">
        <f>IFERROR(__xludf.DUMMYFUNCTION("""COMPUTED_VALUE"""),9.87521E7)</f>
        <v>98752100</v>
      </c>
      <c r="G1103" s="5">
        <f t="shared" si="1"/>
        <v>120</v>
      </c>
    </row>
    <row r="1104">
      <c r="A1104" s="4">
        <f>IFERROR(__xludf.DUMMYFUNCTION("""COMPUTED_VALUE"""),45498.66666666667)</f>
        <v>45498.66667</v>
      </c>
      <c r="B1104" s="5">
        <f>IFERROR(__xludf.DUMMYFUNCTION("""COMPUTED_VALUE"""),3080.0)</f>
        <v>3080</v>
      </c>
      <c r="C1104" s="5">
        <f>IFERROR(__xludf.DUMMYFUNCTION("""COMPUTED_VALUE"""),3090.0)</f>
        <v>3090</v>
      </c>
      <c r="D1104" s="5">
        <f>IFERROR(__xludf.DUMMYFUNCTION("""COMPUTED_VALUE"""),3030.0)</f>
        <v>3030</v>
      </c>
      <c r="E1104" s="5">
        <f>IFERROR(__xludf.DUMMYFUNCTION("""COMPUTED_VALUE"""),3090.0)</f>
        <v>3090</v>
      </c>
      <c r="F1104" s="5">
        <f>IFERROR(__xludf.DUMMYFUNCTION("""COMPUTED_VALUE"""),6.706E7)</f>
        <v>67060000</v>
      </c>
      <c r="G1104" s="5">
        <f t="shared" si="1"/>
        <v>60</v>
      </c>
    </row>
    <row r="1105">
      <c r="A1105" s="4">
        <f>IFERROR(__xludf.DUMMYFUNCTION("""COMPUTED_VALUE"""),45499.66666666667)</f>
        <v>45499.66667</v>
      </c>
      <c r="B1105" s="5">
        <f>IFERROR(__xludf.DUMMYFUNCTION("""COMPUTED_VALUE"""),3110.0)</f>
        <v>3110</v>
      </c>
      <c r="C1105" s="5">
        <f>IFERROR(__xludf.DUMMYFUNCTION("""COMPUTED_VALUE"""),3110.0)</f>
        <v>3110</v>
      </c>
      <c r="D1105" s="5">
        <f>IFERROR(__xludf.DUMMYFUNCTION("""COMPUTED_VALUE"""),3060.0)</f>
        <v>3060</v>
      </c>
      <c r="E1105" s="5">
        <f>IFERROR(__xludf.DUMMYFUNCTION("""COMPUTED_VALUE"""),3100.0)</f>
        <v>3100</v>
      </c>
      <c r="F1105" s="5">
        <f>IFERROR(__xludf.DUMMYFUNCTION("""COMPUTED_VALUE"""),9.49003E7)</f>
        <v>94900300</v>
      </c>
      <c r="G1105" s="5">
        <f t="shared" si="1"/>
        <v>50</v>
      </c>
    </row>
    <row r="1106">
      <c r="A1106" s="4">
        <f>IFERROR(__xludf.DUMMYFUNCTION("""COMPUTED_VALUE"""),45502.66666666667)</f>
        <v>45502.66667</v>
      </c>
      <c r="B1106" s="5">
        <f>IFERROR(__xludf.DUMMYFUNCTION("""COMPUTED_VALUE"""),3090.0)</f>
        <v>3090</v>
      </c>
      <c r="C1106" s="5">
        <f>IFERROR(__xludf.DUMMYFUNCTION("""COMPUTED_VALUE"""),3120.0)</f>
        <v>3120</v>
      </c>
      <c r="D1106" s="5">
        <f>IFERROR(__xludf.DUMMYFUNCTION("""COMPUTED_VALUE"""),3040.0)</f>
        <v>3040</v>
      </c>
      <c r="E1106" s="5">
        <f>IFERROR(__xludf.DUMMYFUNCTION("""COMPUTED_VALUE"""),3050.0)</f>
        <v>3050</v>
      </c>
      <c r="F1106" s="5">
        <f>IFERROR(__xludf.DUMMYFUNCTION("""COMPUTED_VALUE"""),9.08856E7)</f>
        <v>90885600</v>
      </c>
      <c r="G1106" s="5">
        <f t="shared" si="1"/>
        <v>80</v>
      </c>
    </row>
    <row r="1107">
      <c r="A1107" s="4">
        <f>IFERROR(__xludf.DUMMYFUNCTION("""COMPUTED_VALUE"""),45503.66666666667)</f>
        <v>45503.66667</v>
      </c>
      <c r="B1107" s="5">
        <f>IFERROR(__xludf.DUMMYFUNCTION("""COMPUTED_VALUE"""),3000.0)</f>
        <v>3000</v>
      </c>
      <c r="C1107" s="5">
        <f>IFERROR(__xludf.DUMMYFUNCTION("""COMPUTED_VALUE"""),3000.0)</f>
        <v>3000</v>
      </c>
      <c r="D1107" s="5">
        <f>IFERROR(__xludf.DUMMYFUNCTION("""COMPUTED_VALUE"""),2880.0)</f>
        <v>2880</v>
      </c>
      <c r="E1107" s="5">
        <f>IFERROR(__xludf.DUMMYFUNCTION("""COMPUTED_VALUE"""),2880.0)</f>
        <v>2880</v>
      </c>
      <c r="F1107" s="5">
        <f>IFERROR(__xludf.DUMMYFUNCTION("""COMPUTED_VALUE"""),3.214728E8)</f>
        <v>321472800</v>
      </c>
      <c r="G1107" s="5">
        <f t="shared" si="1"/>
        <v>170</v>
      </c>
    </row>
    <row r="1108">
      <c r="A1108" s="4">
        <f>IFERROR(__xludf.DUMMYFUNCTION("""COMPUTED_VALUE"""),45504.66666666667)</f>
        <v>45504.66667</v>
      </c>
      <c r="B1108" s="5">
        <f>IFERROR(__xludf.DUMMYFUNCTION("""COMPUTED_VALUE"""),2880.0)</f>
        <v>2880</v>
      </c>
      <c r="C1108" s="5">
        <f>IFERROR(__xludf.DUMMYFUNCTION("""COMPUTED_VALUE"""),2920.0)</f>
        <v>2920</v>
      </c>
      <c r="D1108" s="5">
        <f>IFERROR(__xludf.DUMMYFUNCTION("""COMPUTED_VALUE"""),2840.0)</f>
        <v>2840</v>
      </c>
      <c r="E1108" s="5">
        <f>IFERROR(__xludf.DUMMYFUNCTION("""COMPUTED_VALUE"""),2880.0)</f>
        <v>2880</v>
      </c>
      <c r="F1108" s="5">
        <f>IFERROR(__xludf.DUMMYFUNCTION("""COMPUTED_VALUE"""),2.074408E8)</f>
        <v>207440800</v>
      </c>
      <c r="G1108" s="5">
        <f t="shared" si="1"/>
        <v>80</v>
      </c>
    </row>
    <row r="1109">
      <c r="A1109" s="4">
        <f>IFERROR(__xludf.DUMMYFUNCTION("""COMPUTED_VALUE"""),45505.66666666667)</f>
        <v>45505.66667</v>
      </c>
      <c r="B1109" s="5">
        <f>IFERROR(__xludf.DUMMYFUNCTION("""COMPUTED_VALUE"""),2890.0)</f>
        <v>2890</v>
      </c>
      <c r="C1109" s="5">
        <f>IFERROR(__xludf.DUMMYFUNCTION("""COMPUTED_VALUE"""),2930.0)</f>
        <v>2930</v>
      </c>
      <c r="D1109" s="5">
        <f>IFERROR(__xludf.DUMMYFUNCTION("""COMPUTED_VALUE"""),2880.0)</f>
        <v>2880</v>
      </c>
      <c r="E1109" s="5">
        <f>IFERROR(__xludf.DUMMYFUNCTION("""COMPUTED_VALUE"""),2880.0)</f>
        <v>2880</v>
      </c>
      <c r="F1109" s="5">
        <f>IFERROR(__xludf.DUMMYFUNCTION("""COMPUTED_VALUE"""),1.210218E8)</f>
        <v>121021800</v>
      </c>
      <c r="G1109" s="5">
        <f t="shared" si="1"/>
        <v>50</v>
      </c>
    </row>
    <row r="1110">
      <c r="A1110" s="4">
        <f>IFERROR(__xludf.DUMMYFUNCTION("""COMPUTED_VALUE"""),45506.66666666667)</f>
        <v>45506.66667</v>
      </c>
      <c r="B1110" s="5">
        <f>IFERROR(__xludf.DUMMYFUNCTION("""COMPUTED_VALUE"""),2880.0)</f>
        <v>2880</v>
      </c>
      <c r="C1110" s="5">
        <f>IFERROR(__xludf.DUMMYFUNCTION("""COMPUTED_VALUE"""),2880.0)</f>
        <v>2880</v>
      </c>
      <c r="D1110" s="5">
        <f>IFERROR(__xludf.DUMMYFUNCTION("""COMPUTED_VALUE"""),2820.0)</f>
        <v>2820</v>
      </c>
      <c r="E1110" s="5">
        <f>IFERROR(__xludf.DUMMYFUNCTION("""COMPUTED_VALUE"""),2850.0)</f>
        <v>2850</v>
      </c>
      <c r="F1110" s="5">
        <f>IFERROR(__xludf.DUMMYFUNCTION("""COMPUTED_VALUE"""),1.062564E8)</f>
        <v>106256400</v>
      </c>
      <c r="G1110" s="5">
        <f t="shared" si="1"/>
        <v>60</v>
      </c>
    </row>
    <row r="1111">
      <c r="A1111" s="4">
        <f>IFERROR(__xludf.DUMMYFUNCTION("""COMPUTED_VALUE"""),45509.66666666667)</f>
        <v>45509.66667</v>
      </c>
      <c r="B1111" s="5">
        <f>IFERROR(__xludf.DUMMYFUNCTION("""COMPUTED_VALUE"""),2820.0)</f>
        <v>2820</v>
      </c>
      <c r="C1111" s="5">
        <f>IFERROR(__xludf.DUMMYFUNCTION("""COMPUTED_VALUE"""),2830.0)</f>
        <v>2830</v>
      </c>
      <c r="D1111" s="5">
        <f>IFERROR(__xludf.DUMMYFUNCTION("""COMPUTED_VALUE"""),2760.0)</f>
        <v>2760</v>
      </c>
      <c r="E1111" s="5">
        <f>IFERROR(__xludf.DUMMYFUNCTION("""COMPUTED_VALUE"""),2790.0)</f>
        <v>2790</v>
      </c>
      <c r="F1111" s="5">
        <f>IFERROR(__xludf.DUMMYFUNCTION("""COMPUTED_VALUE"""),1.052464E8)</f>
        <v>105246400</v>
      </c>
      <c r="G1111" s="5">
        <f t="shared" si="1"/>
        <v>90</v>
      </c>
    </row>
    <row r="1112">
      <c r="A1112" s="4">
        <f>IFERROR(__xludf.DUMMYFUNCTION("""COMPUTED_VALUE"""),45510.66666666667)</f>
        <v>45510.66667</v>
      </c>
      <c r="B1112" s="5">
        <f>IFERROR(__xludf.DUMMYFUNCTION("""COMPUTED_VALUE"""),2800.0)</f>
        <v>2800</v>
      </c>
      <c r="C1112" s="5">
        <f>IFERROR(__xludf.DUMMYFUNCTION("""COMPUTED_VALUE"""),2840.0)</f>
        <v>2840</v>
      </c>
      <c r="D1112" s="5">
        <f>IFERROR(__xludf.DUMMYFUNCTION("""COMPUTED_VALUE"""),2790.0)</f>
        <v>2790</v>
      </c>
      <c r="E1112" s="5">
        <f>IFERROR(__xludf.DUMMYFUNCTION("""COMPUTED_VALUE"""),2790.0)</f>
        <v>2790</v>
      </c>
      <c r="F1112" s="5">
        <f>IFERROR(__xludf.DUMMYFUNCTION("""COMPUTED_VALUE"""),9.85242E7)</f>
        <v>98524200</v>
      </c>
      <c r="G1112" s="5">
        <f t="shared" si="1"/>
        <v>50</v>
      </c>
    </row>
    <row r="1113">
      <c r="A1113" s="4">
        <f>IFERROR(__xludf.DUMMYFUNCTION("""COMPUTED_VALUE"""),45511.66666666667)</f>
        <v>45511.66667</v>
      </c>
      <c r="B1113" s="5">
        <f>IFERROR(__xludf.DUMMYFUNCTION("""COMPUTED_VALUE"""),2800.0)</f>
        <v>2800</v>
      </c>
      <c r="C1113" s="5">
        <f>IFERROR(__xludf.DUMMYFUNCTION("""COMPUTED_VALUE"""),2840.0)</f>
        <v>2840</v>
      </c>
      <c r="D1113" s="5">
        <f>IFERROR(__xludf.DUMMYFUNCTION("""COMPUTED_VALUE"""),2790.0)</f>
        <v>2790</v>
      </c>
      <c r="E1113" s="5">
        <f>IFERROR(__xludf.DUMMYFUNCTION("""COMPUTED_VALUE"""),2820.0)</f>
        <v>2820</v>
      </c>
      <c r="F1113" s="5">
        <f>IFERROR(__xludf.DUMMYFUNCTION("""COMPUTED_VALUE"""),7.73202E7)</f>
        <v>77320200</v>
      </c>
      <c r="G1113" s="5">
        <f t="shared" si="1"/>
        <v>50</v>
      </c>
    </row>
    <row r="1114">
      <c r="A1114" s="4">
        <f>IFERROR(__xludf.DUMMYFUNCTION("""COMPUTED_VALUE"""),45512.66666666667)</f>
        <v>45512.66667</v>
      </c>
      <c r="B1114" s="5">
        <f>IFERROR(__xludf.DUMMYFUNCTION("""COMPUTED_VALUE"""),2800.0)</f>
        <v>2800</v>
      </c>
      <c r="C1114" s="5">
        <f>IFERROR(__xludf.DUMMYFUNCTION("""COMPUTED_VALUE"""),2880.0)</f>
        <v>2880</v>
      </c>
      <c r="D1114" s="5">
        <f>IFERROR(__xludf.DUMMYFUNCTION("""COMPUTED_VALUE"""),2800.0)</f>
        <v>2800</v>
      </c>
      <c r="E1114" s="5">
        <f>IFERROR(__xludf.DUMMYFUNCTION("""COMPUTED_VALUE"""),2850.0)</f>
        <v>2850</v>
      </c>
      <c r="F1114" s="5">
        <f>IFERROR(__xludf.DUMMYFUNCTION("""COMPUTED_VALUE"""),9.9533E7)</f>
        <v>99533000</v>
      </c>
      <c r="G1114" s="5">
        <f t="shared" si="1"/>
        <v>80</v>
      </c>
    </row>
    <row r="1115">
      <c r="A1115" s="4">
        <f>IFERROR(__xludf.DUMMYFUNCTION("""COMPUTED_VALUE"""),45513.66666666667)</f>
        <v>45513.66667</v>
      </c>
      <c r="B1115" s="5">
        <f>IFERROR(__xludf.DUMMYFUNCTION("""COMPUTED_VALUE"""),2860.0)</f>
        <v>2860</v>
      </c>
      <c r="C1115" s="5">
        <f>IFERROR(__xludf.DUMMYFUNCTION("""COMPUTED_VALUE"""),2880.0)</f>
        <v>2880</v>
      </c>
      <c r="D1115" s="5">
        <f>IFERROR(__xludf.DUMMYFUNCTION("""COMPUTED_VALUE"""),2830.0)</f>
        <v>2830</v>
      </c>
      <c r="E1115" s="5">
        <f>IFERROR(__xludf.DUMMYFUNCTION("""COMPUTED_VALUE"""),2830.0)</f>
        <v>2830</v>
      </c>
      <c r="F1115" s="5">
        <f>IFERROR(__xludf.DUMMYFUNCTION("""COMPUTED_VALUE"""),8.08003E7)</f>
        <v>80800300</v>
      </c>
      <c r="G1115" s="5">
        <f t="shared" si="1"/>
        <v>50</v>
      </c>
    </row>
    <row r="1116">
      <c r="A1116" s="4">
        <f>IFERROR(__xludf.DUMMYFUNCTION("""COMPUTED_VALUE"""),45516.66666666667)</f>
        <v>45516.66667</v>
      </c>
      <c r="B1116" s="5">
        <f>IFERROR(__xludf.DUMMYFUNCTION("""COMPUTED_VALUE"""),2850.0)</f>
        <v>2850</v>
      </c>
      <c r="C1116" s="5">
        <f>IFERROR(__xludf.DUMMYFUNCTION("""COMPUTED_VALUE"""),2910.0)</f>
        <v>2910</v>
      </c>
      <c r="D1116" s="5">
        <f>IFERROR(__xludf.DUMMYFUNCTION("""COMPUTED_VALUE"""),2840.0)</f>
        <v>2840</v>
      </c>
      <c r="E1116" s="5">
        <f>IFERROR(__xludf.DUMMYFUNCTION("""COMPUTED_VALUE"""),2870.0)</f>
        <v>2870</v>
      </c>
      <c r="F1116" s="5">
        <f>IFERROR(__xludf.DUMMYFUNCTION("""COMPUTED_VALUE"""),6.27466E7)</f>
        <v>62746600</v>
      </c>
      <c r="G1116" s="5">
        <f t="shared" si="1"/>
        <v>80</v>
      </c>
    </row>
    <row r="1117">
      <c r="A1117" s="4">
        <f>IFERROR(__xludf.DUMMYFUNCTION("""COMPUTED_VALUE"""),45517.66666666667)</f>
        <v>45517.66667</v>
      </c>
      <c r="B1117" s="5">
        <f>IFERROR(__xludf.DUMMYFUNCTION("""COMPUTED_VALUE"""),2900.0)</f>
        <v>2900</v>
      </c>
      <c r="C1117" s="5">
        <f>IFERROR(__xludf.DUMMYFUNCTION("""COMPUTED_VALUE"""),2900.0)</f>
        <v>2900</v>
      </c>
      <c r="D1117" s="5">
        <f>IFERROR(__xludf.DUMMYFUNCTION("""COMPUTED_VALUE"""),2840.0)</f>
        <v>2840</v>
      </c>
      <c r="E1117" s="5">
        <f>IFERROR(__xludf.DUMMYFUNCTION("""COMPUTED_VALUE"""),2850.0)</f>
        <v>2850</v>
      </c>
      <c r="F1117" s="5">
        <f>IFERROR(__xludf.DUMMYFUNCTION("""COMPUTED_VALUE"""),8.20636E7)</f>
        <v>82063600</v>
      </c>
      <c r="G1117" s="5">
        <f t="shared" si="1"/>
        <v>60</v>
      </c>
    </row>
    <row r="1118">
      <c r="A1118" s="4">
        <f>IFERROR(__xludf.DUMMYFUNCTION("""COMPUTED_VALUE"""),45518.66666666667)</f>
        <v>45518.66667</v>
      </c>
      <c r="B1118" s="5">
        <f>IFERROR(__xludf.DUMMYFUNCTION("""COMPUTED_VALUE"""),2850.0)</f>
        <v>2850</v>
      </c>
      <c r="C1118" s="5">
        <f>IFERROR(__xludf.DUMMYFUNCTION("""COMPUTED_VALUE"""),2890.0)</f>
        <v>2890</v>
      </c>
      <c r="D1118" s="5">
        <f>IFERROR(__xludf.DUMMYFUNCTION("""COMPUTED_VALUE"""),2850.0)</f>
        <v>2850</v>
      </c>
      <c r="E1118" s="5">
        <f>IFERROR(__xludf.DUMMYFUNCTION("""COMPUTED_VALUE"""),2860.0)</f>
        <v>2860</v>
      </c>
      <c r="F1118" s="5">
        <f>IFERROR(__xludf.DUMMYFUNCTION("""COMPUTED_VALUE"""),7.01888E7)</f>
        <v>70188800</v>
      </c>
      <c r="G1118" s="5">
        <f t="shared" si="1"/>
        <v>40</v>
      </c>
    </row>
    <row r="1119">
      <c r="A1119" s="4">
        <f>IFERROR(__xludf.DUMMYFUNCTION("""COMPUTED_VALUE"""),45519.66666666667)</f>
        <v>45519.66667</v>
      </c>
      <c r="B1119" s="5">
        <f>IFERROR(__xludf.DUMMYFUNCTION("""COMPUTED_VALUE"""),2870.0)</f>
        <v>2870</v>
      </c>
      <c r="C1119" s="5">
        <f>IFERROR(__xludf.DUMMYFUNCTION("""COMPUTED_VALUE"""),2880.0)</f>
        <v>2880</v>
      </c>
      <c r="D1119" s="5">
        <f>IFERROR(__xludf.DUMMYFUNCTION("""COMPUTED_VALUE"""),2820.0)</f>
        <v>2820</v>
      </c>
      <c r="E1119" s="5">
        <f>IFERROR(__xludf.DUMMYFUNCTION("""COMPUTED_VALUE"""),2870.0)</f>
        <v>2870</v>
      </c>
      <c r="F1119" s="5">
        <f>IFERROR(__xludf.DUMMYFUNCTION("""COMPUTED_VALUE"""),7.97241E7)</f>
        <v>79724100</v>
      </c>
      <c r="G1119" s="5">
        <f t="shared" si="1"/>
        <v>60</v>
      </c>
    </row>
    <row r="1120">
      <c r="A1120" s="4">
        <f>IFERROR(__xludf.DUMMYFUNCTION("""COMPUTED_VALUE"""),45520.66666666667)</f>
        <v>45520.66667</v>
      </c>
      <c r="B1120" s="5">
        <f>IFERROR(__xludf.DUMMYFUNCTION("""COMPUTED_VALUE"""),2910.0)</f>
        <v>2910</v>
      </c>
      <c r="C1120" s="5">
        <f>IFERROR(__xludf.DUMMYFUNCTION("""COMPUTED_VALUE"""),2990.0)</f>
        <v>2990</v>
      </c>
      <c r="D1120" s="5">
        <f>IFERROR(__xludf.DUMMYFUNCTION("""COMPUTED_VALUE"""),2900.0)</f>
        <v>2900</v>
      </c>
      <c r="E1120" s="5">
        <f>IFERROR(__xludf.DUMMYFUNCTION("""COMPUTED_VALUE"""),2960.0)</f>
        <v>2960</v>
      </c>
      <c r="F1120" s="5">
        <f>IFERROR(__xludf.DUMMYFUNCTION("""COMPUTED_VALUE"""),2.0706E8)</f>
        <v>207060000</v>
      </c>
      <c r="G1120" s="5">
        <f t="shared" si="1"/>
        <v>120</v>
      </c>
    </row>
    <row r="1121">
      <c r="A1121" s="4">
        <f>IFERROR(__xludf.DUMMYFUNCTION("""COMPUTED_VALUE"""),45523.66666666667)</f>
        <v>45523.66667</v>
      </c>
      <c r="B1121" s="5">
        <f>IFERROR(__xludf.DUMMYFUNCTION("""COMPUTED_VALUE"""),2960.0)</f>
        <v>2960</v>
      </c>
      <c r="C1121" s="5">
        <f>IFERROR(__xludf.DUMMYFUNCTION("""COMPUTED_VALUE"""),2970.0)</f>
        <v>2970</v>
      </c>
      <c r="D1121" s="5">
        <f>IFERROR(__xludf.DUMMYFUNCTION("""COMPUTED_VALUE"""),2910.0)</f>
        <v>2910</v>
      </c>
      <c r="E1121" s="5">
        <f>IFERROR(__xludf.DUMMYFUNCTION("""COMPUTED_VALUE"""),2930.0)</f>
        <v>2930</v>
      </c>
      <c r="F1121" s="5">
        <f>IFERROR(__xludf.DUMMYFUNCTION("""COMPUTED_VALUE"""),6.86927E7)</f>
        <v>68692700</v>
      </c>
      <c r="G1121" s="5">
        <f t="shared" si="1"/>
        <v>60</v>
      </c>
    </row>
    <row r="1122">
      <c r="A1122" s="4">
        <f>IFERROR(__xludf.DUMMYFUNCTION("""COMPUTED_VALUE"""),45524.66666666667)</f>
        <v>45524.66667</v>
      </c>
      <c r="B1122" s="5">
        <f>IFERROR(__xludf.DUMMYFUNCTION("""COMPUTED_VALUE"""),2990.0)</f>
        <v>2990</v>
      </c>
      <c r="C1122" s="5">
        <f>IFERROR(__xludf.DUMMYFUNCTION("""COMPUTED_VALUE"""),3000.0)</f>
        <v>3000</v>
      </c>
      <c r="D1122" s="5">
        <f>IFERROR(__xludf.DUMMYFUNCTION("""COMPUTED_VALUE"""),2960.0)</f>
        <v>2960</v>
      </c>
      <c r="E1122" s="5">
        <f>IFERROR(__xludf.DUMMYFUNCTION("""COMPUTED_VALUE"""),2980.0)</f>
        <v>2980</v>
      </c>
      <c r="F1122" s="5">
        <f>IFERROR(__xludf.DUMMYFUNCTION("""COMPUTED_VALUE"""),1.004346E8)</f>
        <v>100434600</v>
      </c>
      <c r="G1122" s="5">
        <f t="shared" si="1"/>
        <v>70</v>
      </c>
    </row>
    <row r="1123">
      <c r="A1123" s="4">
        <f>IFERROR(__xludf.DUMMYFUNCTION("""COMPUTED_VALUE"""),45525.66666666667)</f>
        <v>45525.66667</v>
      </c>
      <c r="B1123" s="5">
        <f>IFERROR(__xludf.DUMMYFUNCTION("""COMPUTED_VALUE"""),2980.0)</f>
        <v>2980</v>
      </c>
      <c r="C1123" s="5">
        <f>IFERROR(__xludf.DUMMYFUNCTION("""COMPUTED_VALUE"""),3010.0)</f>
        <v>3010</v>
      </c>
      <c r="D1123" s="5">
        <f>IFERROR(__xludf.DUMMYFUNCTION("""COMPUTED_VALUE"""),2960.0)</f>
        <v>2960</v>
      </c>
      <c r="E1123" s="5">
        <f>IFERROR(__xludf.DUMMYFUNCTION("""COMPUTED_VALUE"""),2970.0)</f>
        <v>2970</v>
      </c>
      <c r="F1123" s="5">
        <f>IFERROR(__xludf.DUMMYFUNCTION("""COMPUTED_VALUE"""),1.118422E8)</f>
        <v>111842200</v>
      </c>
      <c r="G1123" s="5">
        <f t="shared" si="1"/>
        <v>50</v>
      </c>
    </row>
    <row r="1124">
      <c r="A1124" s="4">
        <f>IFERROR(__xludf.DUMMYFUNCTION("""COMPUTED_VALUE"""),45526.66666666667)</f>
        <v>45526.66667</v>
      </c>
      <c r="B1124" s="5">
        <f>IFERROR(__xludf.DUMMYFUNCTION("""COMPUTED_VALUE"""),2940.0)</f>
        <v>2940</v>
      </c>
      <c r="C1124" s="5">
        <f>IFERROR(__xludf.DUMMYFUNCTION("""COMPUTED_VALUE"""),2970.0)</f>
        <v>2970</v>
      </c>
      <c r="D1124" s="5">
        <f>IFERROR(__xludf.DUMMYFUNCTION("""COMPUTED_VALUE"""),2920.0)</f>
        <v>2920</v>
      </c>
      <c r="E1124" s="5">
        <f>IFERROR(__xludf.DUMMYFUNCTION("""COMPUTED_VALUE"""),2920.0)</f>
        <v>2920</v>
      </c>
      <c r="F1124" s="5">
        <f>IFERROR(__xludf.DUMMYFUNCTION("""COMPUTED_VALUE"""),9.03363E7)</f>
        <v>90336300</v>
      </c>
      <c r="G1124" s="5">
        <f t="shared" si="1"/>
        <v>50</v>
      </c>
    </row>
    <row r="1125">
      <c r="A1125" s="4">
        <f>IFERROR(__xludf.DUMMYFUNCTION("""COMPUTED_VALUE"""),45527.66666666667)</f>
        <v>45527.66667</v>
      </c>
      <c r="B1125" s="5">
        <f>IFERROR(__xludf.DUMMYFUNCTION("""COMPUTED_VALUE"""),2970.0)</f>
        <v>2970</v>
      </c>
      <c r="C1125" s="5">
        <f>IFERROR(__xludf.DUMMYFUNCTION("""COMPUTED_VALUE"""),3010.0)</f>
        <v>3010</v>
      </c>
      <c r="D1125" s="5">
        <f>IFERROR(__xludf.DUMMYFUNCTION("""COMPUTED_VALUE"""),2950.0)</f>
        <v>2950</v>
      </c>
      <c r="E1125" s="5">
        <f>IFERROR(__xludf.DUMMYFUNCTION("""COMPUTED_VALUE"""),2950.0)</f>
        <v>2950</v>
      </c>
      <c r="F1125" s="5">
        <f>IFERROR(__xludf.DUMMYFUNCTION("""COMPUTED_VALUE"""),8.60925E7)</f>
        <v>86092500</v>
      </c>
      <c r="G1125" s="5">
        <f t="shared" si="1"/>
        <v>90</v>
      </c>
    </row>
    <row r="1126">
      <c r="A1126" s="4">
        <f>IFERROR(__xludf.DUMMYFUNCTION("""COMPUTED_VALUE"""),45530.66666666667)</f>
        <v>45530.66667</v>
      </c>
      <c r="B1126" s="5">
        <f>IFERROR(__xludf.DUMMYFUNCTION("""COMPUTED_VALUE"""),2940.0)</f>
        <v>2940</v>
      </c>
      <c r="C1126" s="5">
        <f>IFERROR(__xludf.DUMMYFUNCTION("""COMPUTED_VALUE"""),2990.0)</f>
        <v>2990</v>
      </c>
      <c r="D1126" s="5">
        <f>IFERROR(__xludf.DUMMYFUNCTION("""COMPUTED_VALUE"""),2930.0)</f>
        <v>2930</v>
      </c>
      <c r="E1126" s="5">
        <f>IFERROR(__xludf.DUMMYFUNCTION("""COMPUTED_VALUE"""),2980.0)</f>
        <v>2980</v>
      </c>
      <c r="F1126" s="5">
        <f>IFERROR(__xludf.DUMMYFUNCTION("""COMPUTED_VALUE"""),8.89419E7)</f>
        <v>88941900</v>
      </c>
      <c r="G1126" s="5">
        <f t="shared" si="1"/>
        <v>60</v>
      </c>
    </row>
    <row r="1127">
      <c r="A1127" s="4">
        <f>IFERROR(__xludf.DUMMYFUNCTION("""COMPUTED_VALUE"""),45531.66666666667)</f>
        <v>45531.66667</v>
      </c>
      <c r="B1127" s="5">
        <f>IFERROR(__xludf.DUMMYFUNCTION("""COMPUTED_VALUE"""),2990.0)</f>
        <v>2990</v>
      </c>
      <c r="C1127" s="5">
        <f>IFERROR(__xludf.DUMMYFUNCTION("""COMPUTED_VALUE"""),3000.0)</f>
        <v>3000</v>
      </c>
      <c r="D1127" s="5">
        <f>IFERROR(__xludf.DUMMYFUNCTION("""COMPUTED_VALUE"""),2950.0)</f>
        <v>2950</v>
      </c>
      <c r="E1127" s="5">
        <f>IFERROR(__xludf.DUMMYFUNCTION("""COMPUTED_VALUE"""),2990.0)</f>
        <v>2990</v>
      </c>
      <c r="F1127" s="5">
        <f>IFERROR(__xludf.DUMMYFUNCTION("""COMPUTED_VALUE"""),7.12238E7)</f>
        <v>71223800</v>
      </c>
      <c r="G1127" s="5">
        <f t="shared" si="1"/>
        <v>50</v>
      </c>
    </row>
    <row r="1128">
      <c r="A1128" s="4">
        <f>IFERROR(__xludf.DUMMYFUNCTION("""COMPUTED_VALUE"""),45532.66666666667)</f>
        <v>45532.66667</v>
      </c>
      <c r="B1128" s="5">
        <f>IFERROR(__xludf.DUMMYFUNCTION("""COMPUTED_VALUE"""),3000.0)</f>
        <v>3000</v>
      </c>
      <c r="C1128" s="5">
        <f>IFERROR(__xludf.DUMMYFUNCTION("""COMPUTED_VALUE"""),3000.0)</f>
        <v>3000</v>
      </c>
      <c r="D1128" s="5">
        <f>IFERROR(__xludf.DUMMYFUNCTION("""COMPUTED_VALUE"""),2960.0)</f>
        <v>2960</v>
      </c>
      <c r="E1128" s="5">
        <f>IFERROR(__xludf.DUMMYFUNCTION("""COMPUTED_VALUE"""),2980.0)</f>
        <v>2980</v>
      </c>
      <c r="F1128" s="5">
        <f>IFERROR(__xludf.DUMMYFUNCTION("""COMPUTED_VALUE"""),6.87363E7)</f>
        <v>68736300</v>
      </c>
      <c r="G1128" s="5">
        <f t="shared" si="1"/>
        <v>40</v>
      </c>
    </row>
    <row r="1129">
      <c r="A1129" s="4">
        <f>IFERROR(__xludf.DUMMYFUNCTION("""COMPUTED_VALUE"""),45533.66666666667)</f>
        <v>45533.66667</v>
      </c>
      <c r="B1129" s="5">
        <f>IFERROR(__xludf.DUMMYFUNCTION("""COMPUTED_VALUE"""),2980.0)</f>
        <v>2980</v>
      </c>
      <c r="C1129" s="5">
        <f>IFERROR(__xludf.DUMMYFUNCTION("""COMPUTED_VALUE"""),3080.0)</f>
        <v>3080</v>
      </c>
      <c r="D1129" s="5">
        <f>IFERROR(__xludf.DUMMYFUNCTION("""COMPUTED_VALUE"""),2980.0)</f>
        <v>2980</v>
      </c>
      <c r="E1129" s="5">
        <f>IFERROR(__xludf.DUMMYFUNCTION("""COMPUTED_VALUE"""),3030.0)</f>
        <v>3030</v>
      </c>
      <c r="F1129" s="5">
        <f>IFERROR(__xludf.DUMMYFUNCTION("""COMPUTED_VALUE"""),1.607148E8)</f>
        <v>160714800</v>
      </c>
      <c r="G1129" s="5">
        <f t="shared" si="1"/>
        <v>100</v>
      </c>
    </row>
    <row r="1130">
      <c r="A1130" s="4">
        <f>IFERROR(__xludf.DUMMYFUNCTION("""COMPUTED_VALUE"""),45534.66666666667)</f>
        <v>45534.66667</v>
      </c>
      <c r="B1130" s="5">
        <f>IFERROR(__xludf.DUMMYFUNCTION("""COMPUTED_VALUE"""),3030.0)</f>
        <v>3030</v>
      </c>
      <c r="C1130" s="5">
        <f>IFERROR(__xludf.DUMMYFUNCTION("""COMPUTED_VALUE"""),3070.0)</f>
        <v>3070</v>
      </c>
      <c r="D1130" s="5">
        <f>IFERROR(__xludf.DUMMYFUNCTION("""COMPUTED_VALUE"""),3010.0)</f>
        <v>3010</v>
      </c>
      <c r="E1130" s="5">
        <f>IFERROR(__xludf.DUMMYFUNCTION("""COMPUTED_VALUE"""),3060.0)</f>
        <v>3060</v>
      </c>
      <c r="F1130" s="5">
        <f>IFERROR(__xludf.DUMMYFUNCTION("""COMPUTED_VALUE"""),1.95809E8)</f>
        <v>195809000</v>
      </c>
      <c r="G1130" s="5">
        <f t="shared" si="1"/>
        <v>60</v>
      </c>
    </row>
    <row r="1131">
      <c r="A1131" s="4">
        <f>IFERROR(__xludf.DUMMYFUNCTION("""COMPUTED_VALUE"""),45537.66666666667)</f>
        <v>45537.66667</v>
      </c>
      <c r="B1131" s="5">
        <f>IFERROR(__xludf.DUMMYFUNCTION("""COMPUTED_VALUE"""),3090.0)</f>
        <v>3090</v>
      </c>
      <c r="C1131" s="5">
        <f>IFERROR(__xludf.DUMMYFUNCTION("""COMPUTED_VALUE"""),3150.0)</f>
        <v>3150</v>
      </c>
      <c r="D1131" s="5">
        <f>IFERROR(__xludf.DUMMYFUNCTION("""COMPUTED_VALUE"""),3080.0)</f>
        <v>3080</v>
      </c>
      <c r="E1131" s="5">
        <f>IFERROR(__xludf.DUMMYFUNCTION("""COMPUTED_VALUE"""),3140.0)</f>
        <v>3140</v>
      </c>
      <c r="F1131" s="5">
        <f>IFERROR(__xludf.DUMMYFUNCTION("""COMPUTED_VALUE"""),1.189285E8)</f>
        <v>118928500</v>
      </c>
      <c r="G1131" s="5">
        <f t="shared" si="1"/>
        <v>90</v>
      </c>
    </row>
    <row r="1132">
      <c r="A1132" s="4">
        <f>IFERROR(__xludf.DUMMYFUNCTION("""COMPUTED_VALUE"""),45538.66666666667)</f>
        <v>45538.66667</v>
      </c>
      <c r="B1132" s="5">
        <f>IFERROR(__xludf.DUMMYFUNCTION("""COMPUTED_VALUE"""),3140.0)</f>
        <v>3140</v>
      </c>
      <c r="C1132" s="5">
        <f>IFERROR(__xludf.DUMMYFUNCTION("""COMPUTED_VALUE"""),3150.0)</f>
        <v>3150</v>
      </c>
      <c r="D1132" s="5">
        <f>IFERROR(__xludf.DUMMYFUNCTION("""COMPUTED_VALUE"""),3080.0)</f>
        <v>3080</v>
      </c>
      <c r="E1132" s="5">
        <f>IFERROR(__xludf.DUMMYFUNCTION("""COMPUTED_VALUE"""),3080.0)</f>
        <v>3080</v>
      </c>
      <c r="F1132" s="5">
        <f>IFERROR(__xludf.DUMMYFUNCTION("""COMPUTED_VALUE"""),8.2172E7)</f>
        <v>82172000</v>
      </c>
      <c r="G1132" s="5">
        <f t="shared" si="1"/>
        <v>70</v>
      </c>
    </row>
    <row r="1133">
      <c r="A1133" s="4">
        <f>IFERROR(__xludf.DUMMYFUNCTION("""COMPUTED_VALUE"""),45539.66666666667)</f>
        <v>45539.66667</v>
      </c>
      <c r="B1133" s="5">
        <f>IFERROR(__xludf.DUMMYFUNCTION("""COMPUTED_VALUE"""),3060.0)</f>
        <v>3060</v>
      </c>
      <c r="C1133" s="5">
        <f>IFERROR(__xludf.DUMMYFUNCTION("""COMPUTED_VALUE"""),3100.0)</f>
        <v>3100</v>
      </c>
      <c r="D1133" s="5">
        <f>IFERROR(__xludf.DUMMYFUNCTION("""COMPUTED_VALUE"""),3040.0)</f>
        <v>3040</v>
      </c>
      <c r="E1133" s="5">
        <f>IFERROR(__xludf.DUMMYFUNCTION("""COMPUTED_VALUE"""),3080.0)</f>
        <v>3080</v>
      </c>
      <c r="F1133" s="5">
        <f>IFERROR(__xludf.DUMMYFUNCTION("""COMPUTED_VALUE"""),8.10417E7)</f>
        <v>81041700</v>
      </c>
      <c r="G1133" s="5">
        <f t="shared" si="1"/>
        <v>60</v>
      </c>
    </row>
    <row r="1134">
      <c r="A1134" s="4">
        <f>IFERROR(__xludf.DUMMYFUNCTION("""COMPUTED_VALUE"""),45540.66666666667)</f>
        <v>45540.66667</v>
      </c>
      <c r="B1134" s="5">
        <f>IFERROR(__xludf.DUMMYFUNCTION("""COMPUTED_VALUE"""),3080.0)</f>
        <v>3080</v>
      </c>
      <c r="C1134" s="5">
        <f>IFERROR(__xludf.DUMMYFUNCTION("""COMPUTED_VALUE"""),3090.0)</f>
        <v>3090</v>
      </c>
      <c r="D1134" s="5">
        <f>IFERROR(__xludf.DUMMYFUNCTION("""COMPUTED_VALUE"""),3020.0)</f>
        <v>3020</v>
      </c>
      <c r="E1134" s="5">
        <f>IFERROR(__xludf.DUMMYFUNCTION("""COMPUTED_VALUE"""),3020.0)</f>
        <v>3020</v>
      </c>
      <c r="F1134" s="5">
        <f>IFERROR(__xludf.DUMMYFUNCTION("""COMPUTED_VALUE"""),7.89894E7)</f>
        <v>78989400</v>
      </c>
      <c r="G1134" s="5">
        <f t="shared" si="1"/>
        <v>70</v>
      </c>
    </row>
    <row r="1135">
      <c r="A1135" s="4">
        <f>IFERROR(__xludf.DUMMYFUNCTION("""COMPUTED_VALUE"""),45541.66666666667)</f>
        <v>45541.66667</v>
      </c>
      <c r="B1135" s="5">
        <f>IFERROR(__xludf.DUMMYFUNCTION("""COMPUTED_VALUE"""),3010.0)</f>
        <v>3010</v>
      </c>
      <c r="C1135" s="5">
        <f>IFERROR(__xludf.DUMMYFUNCTION("""COMPUTED_VALUE"""),3050.0)</f>
        <v>3050</v>
      </c>
      <c r="D1135" s="5">
        <f>IFERROR(__xludf.DUMMYFUNCTION("""COMPUTED_VALUE"""),3010.0)</f>
        <v>3010</v>
      </c>
      <c r="E1135" s="5">
        <f>IFERROR(__xludf.DUMMYFUNCTION("""COMPUTED_VALUE"""),3040.0)</f>
        <v>3040</v>
      </c>
      <c r="F1135" s="5">
        <f>IFERROR(__xludf.DUMMYFUNCTION("""COMPUTED_VALUE"""),8.23912E7)</f>
        <v>82391200</v>
      </c>
      <c r="G1135" s="5">
        <f t="shared" si="1"/>
        <v>40</v>
      </c>
    </row>
    <row r="1136">
      <c r="A1136" s="4">
        <f>IFERROR(__xludf.DUMMYFUNCTION("""COMPUTED_VALUE"""),45544.66666666667)</f>
        <v>45544.66667</v>
      </c>
      <c r="B1136" s="5">
        <f>IFERROR(__xludf.DUMMYFUNCTION("""COMPUTED_VALUE"""),3050.0)</f>
        <v>3050</v>
      </c>
      <c r="C1136" s="5">
        <f>IFERROR(__xludf.DUMMYFUNCTION("""COMPUTED_VALUE"""),3080.0)</f>
        <v>3080</v>
      </c>
      <c r="D1136" s="5">
        <f>IFERROR(__xludf.DUMMYFUNCTION("""COMPUTED_VALUE"""),3000.0)</f>
        <v>3000</v>
      </c>
      <c r="E1136" s="5">
        <f>IFERROR(__xludf.DUMMYFUNCTION("""COMPUTED_VALUE"""),3030.0)</f>
        <v>3030</v>
      </c>
      <c r="F1136" s="5">
        <f>IFERROR(__xludf.DUMMYFUNCTION("""COMPUTED_VALUE"""),6.92644E7)</f>
        <v>69264400</v>
      </c>
      <c r="G1136" s="5">
        <f t="shared" si="1"/>
        <v>80</v>
      </c>
    </row>
    <row r="1137">
      <c r="A1137" s="4">
        <f>IFERROR(__xludf.DUMMYFUNCTION("""COMPUTED_VALUE"""),45545.66666666667)</f>
        <v>45545.66667</v>
      </c>
      <c r="B1137" s="5">
        <f>IFERROR(__xludf.DUMMYFUNCTION("""COMPUTED_VALUE"""),3060.0)</f>
        <v>3060</v>
      </c>
      <c r="C1137" s="5">
        <f>IFERROR(__xludf.DUMMYFUNCTION("""COMPUTED_VALUE"""),3060.0)</f>
        <v>3060</v>
      </c>
      <c r="D1137" s="5">
        <f>IFERROR(__xludf.DUMMYFUNCTION("""COMPUTED_VALUE"""),3020.0)</f>
        <v>3020</v>
      </c>
      <c r="E1137" s="5">
        <f>IFERROR(__xludf.DUMMYFUNCTION("""COMPUTED_VALUE"""),3030.0)</f>
        <v>3030</v>
      </c>
      <c r="F1137" s="5">
        <f>IFERROR(__xludf.DUMMYFUNCTION("""COMPUTED_VALUE"""),4.64361E7)</f>
        <v>46436100</v>
      </c>
      <c r="G1137" s="5">
        <f t="shared" si="1"/>
        <v>40</v>
      </c>
    </row>
    <row r="1138">
      <c r="A1138" s="4">
        <f>IFERROR(__xludf.DUMMYFUNCTION("""COMPUTED_VALUE"""),45546.66666666667)</f>
        <v>45546.66667</v>
      </c>
      <c r="B1138" s="5">
        <f>IFERROR(__xludf.DUMMYFUNCTION("""COMPUTED_VALUE"""),3030.0)</f>
        <v>3030</v>
      </c>
      <c r="C1138" s="5">
        <f>IFERROR(__xludf.DUMMYFUNCTION("""COMPUTED_VALUE"""),3050.0)</f>
        <v>3050</v>
      </c>
      <c r="D1138" s="5">
        <f>IFERROR(__xludf.DUMMYFUNCTION("""COMPUTED_VALUE"""),3020.0)</f>
        <v>3020</v>
      </c>
      <c r="E1138" s="5">
        <f>IFERROR(__xludf.DUMMYFUNCTION("""COMPUTED_VALUE"""),3040.0)</f>
        <v>3040</v>
      </c>
      <c r="F1138" s="5">
        <f>IFERROR(__xludf.DUMMYFUNCTION("""COMPUTED_VALUE"""),6.28996E7)</f>
        <v>62899600</v>
      </c>
      <c r="G1138" s="5">
        <f t="shared" si="1"/>
        <v>30</v>
      </c>
    </row>
    <row r="1139">
      <c r="A1139" s="4">
        <f>IFERROR(__xludf.DUMMYFUNCTION("""COMPUTED_VALUE"""),45547.66666666667)</f>
        <v>45547.66667</v>
      </c>
      <c r="B1139" s="5">
        <f>IFERROR(__xludf.DUMMYFUNCTION("""COMPUTED_VALUE"""),3060.0)</f>
        <v>3060</v>
      </c>
      <c r="C1139" s="5">
        <f>IFERROR(__xludf.DUMMYFUNCTION("""COMPUTED_VALUE"""),3070.0)</f>
        <v>3070</v>
      </c>
      <c r="D1139" s="5">
        <f>IFERROR(__xludf.DUMMYFUNCTION("""COMPUTED_VALUE"""),3050.0)</f>
        <v>3050</v>
      </c>
      <c r="E1139" s="5">
        <f>IFERROR(__xludf.DUMMYFUNCTION("""COMPUTED_VALUE"""),3050.0)</f>
        <v>3050</v>
      </c>
      <c r="F1139" s="5">
        <f>IFERROR(__xludf.DUMMYFUNCTION("""COMPUTED_VALUE"""),8.5785E7)</f>
        <v>85785000</v>
      </c>
      <c r="G1139" s="5">
        <f t="shared" si="1"/>
        <v>30</v>
      </c>
    </row>
    <row r="1140">
      <c r="A1140" s="4">
        <f>IFERROR(__xludf.DUMMYFUNCTION("""COMPUTED_VALUE"""),45548.66666666667)</f>
        <v>45548.66667</v>
      </c>
      <c r="B1140" s="5">
        <f>IFERROR(__xludf.DUMMYFUNCTION("""COMPUTED_VALUE"""),3080.0)</f>
        <v>3080</v>
      </c>
      <c r="C1140" s="5">
        <f>IFERROR(__xludf.DUMMYFUNCTION("""COMPUTED_VALUE"""),3120.0)</f>
        <v>3120</v>
      </c>
      <c r="D1140" s="5">
        <f>IFERROR(__xludf.DUMMYFUNCTION("""COMPUTED_VALUE"""),3070.0)</f>
        <v>3070</v>
      </c>
      <c r="E1140" s="5">
        <f>IFERROR(__xludf.DUMMYFUNCTION("""COMPUTED_VALUE"""),3110.0)</f>
        <v>3110</v>
      </c>
      <c r="F1140" s="5">
        <f>IFERROR(__xludf.DUMMYFUNCTION("""COMPUTED_VALUE"""),1.250322E8)</f>
        <v>125032200</v>
      </c>
      <c r="G1140" s="5">
        <f t="shared" si="1"/>
        <v>70</v>
      </c>
    </row>
    <row r="1141">
      <c r="A1141" s="4">
        <f>IFERROR(__xludf.DUMMYFUNCTION("""COMPUTED_VALUE"""),45552.66666666667)</f>
        <v>45552.66667</v>
      </c>
      <c r="B1141" s="5">
        <f>IFERROR(__xludf.DUMMYFUNCTION("""COMPUTED_VALUE"""),3120.0)</f>
        <v>3120</v>
      </c>
      <c r="C1141" s="5">
        <f>IFERROR(__xludf.DUMMYFUNCTION("""COMPUTED_VALUE"""),3130.0)</f>
        <v>3130</v>
      </c>
      <c r="D1141" s="5">
        <f>IFERROR(__xludf.DUMMYFUNCTION("""COMPUTED_VALUE"""),3080.0)</f>
        <v>3080</v>
      </c>
      <c r="E1141" s="5">
        <f>IFERROR(__xludf.DUMMYFUNCTION("""COMPUTED_VALUE"""),3090.0)</f>
        <v>3090</v>
      </c>
      <c r="F1141" s="5">
        <f>IFERROR(__xludf.DUMMYFUNCTION("""COMPUTED_VALUE"""),5.6181E7)</f>
        <v>56181000</v>
      </c>
      <c r="G1141" s="5">
        <f t="shared" si="1"/>
        <v>50</v>
      </c>
    </row>
    <row r="1142">
      <c r="A1142" s="4">
        <f>IFERROR(__xludf.DUMMYFUNCTION("""COMPUTED_VALUE"""),45553.66666666667)</f>
        <v>45553.66667</v>
      </c>
      <c r="B1142" s="5">
        <f>IFERROR(__xludf.DUMMYFUNCTION("""COMPUTED_VALUE"""),3120.0)</f>
        <v>3120</v>
      </c>
      <c r="C1142" s="5">
        <f>IFERROR(__xludf.DUMMYFUNCTION("""COMPUTED_VALUE"""),3130.0)</f>
        <v>3130</v>
      </c>
      <c r="D1142" s="5">
        <f>IFERROR(__xludf.DUMMYFUNCTION("""COMPUTED_VALUE"""),3100.0)</f>
        <v>3100</v>
      </c>
      <c r="E1142" s="5">
        <f>IFERROR(__xludf.DUMMYFUNCTION("""COMPUTED_VALUE"""),3120.0)</f>
        <v>3120</v>
      </c>
      <c r="F1142" s="5">
        <f>IFERROR(__xludf.DUMMYFUNCTION("""COMPUTED_VALUE"""),8.71207E7)</f>
        <v>87120700</v>
      </c>
      <c r="G1142" s="5">
        <f t="shared" si="1"/>
        <v>40</v>
      </c>
    </row>
    <row r="1143">
      <c r="A1143" s="4">
        <f>IFERROR(__xludf.DUMMYFUNCTION("""COMPUTED_VALUE"""),45554.66666666667)</f>
        <v>45554.66667</v>
      </c>
      <c r="B1143" s="5">
        <f>IFERROR(__xludf.DUMMYFUNCTION("""COMPUTED_VALUE"""),3140.0)</f>
        <v>3140</v>
      </c>
      <c r="C1143" s="5">
        <f>IFERROR(__xludf.DUMMYFUNCTION("""COMPUTED_VALUE"""),3150.0)</f>
        <v>3150</v>
      </c>
      <c r="D1143" s="5">
        <f>IFERROR(__xludf.DUMMYFUNCTION("""COMPUTED_VALUE"""),3120.0)</f>
        <v>3120</v>
      </c>
      <c r="E1143" s="5">
        <f>IFERROR(__xludf.DUMMYFUNCTION("""COMPUTED_VALUE"""),3140.0)</f>
        <v>3140</v>
      </c>
      <c r="F1143" s="5">
        <f>IFERROR(__xludf.DUMMYFUNCTION("""COMPUTED_VALUE"""),1.304183E8)</f>
        <v>130418300</v>
      </c>
      <c r="G1143" s="5">
        <f t="shared" si="1"/>
        <v>30</v>
      </c>
    </row>
    <row r="1144">
      <c r="A1144" s="4">
        <f>IFERROR(__xludf.DUMMYFUNCTION("""COMPUTED_VALUE"""),45555.66666666667)</f>
        <v>45555.66667</v>
      </c>
      <c r="B1144" s="5">
        <f>IFERROR(__xludf.DUMMYFUNCTION("""COMPUTED_VALUE"""),3150.0)</f>
        <v>3150</v>
      </c>
      <c r="C1144" s="5">
        <f>IFERROR(__xludf.DUMMYFUNCTION("""COMPUTED_VALUE"""),3170.0)</f>
        <v>3170</v>
      </c>
      <c r="D1144" s="5">
        <f>IFERROR(__xludf.DUMMYFUNCTION("""COMPUTED_VALUE"""),3120.0)</f>
        <v>3120</v>
      </c>
      <c r="E1144" s="5">
        <f>IFERROR(__xludf.DUMMYFUNCTION("""COMPUTED_VALUE"""),3150.0)</f>
        <v>3150</v>
      </c>
      <c r="F1144" s="5">
        <f>IFERROR(__xludf.DUMMYFUNCTION("""COMPUTED_VALUE"""),1.524774E8)</f>
        <v>152477400</v>
      </c>
      <c r="G1144" s="5">
        <f t="shared" si="1"/>
        <v>50</v>
      </c>
    </row>
    <row r="1145">
      <c r="A1145" s="4">
        <f>IFERROR(__xludf.DUMMYFUNCTION("""COMPUTED_VALUE"""),45558.66666666667)</f>
        <v>45558.66667</v>
      </c>
      <c r="B1145" s="5">
        <f>IFERROR(__xludf.DUMMYFUNCTION("""COMPUTED_VALUE"""),3150.0)</f>
        <v>3150</v>
      </c>
      <c r="C1145" s="5">
        <f>IFERROR(__xludf.DUMMYFUNCTION("""COMPUTED_VALUE"""),3180.0)</f>
        <v>3180</v>
      </c>
      <c r="D1145" s="5">
        <f>IFERROR(__xludf.DUMMYFUNCTION("""COMPUTED_VALUE"""),3130.0)</f>
        <v>3130</v>
      </c>
      <c r="E1145" s="5">
        <f>IFERROR(__xludf.DUMMYFUNCTION("""COMPUTED_VALUE"""),3170.0)</f>
        <v>3170</v>
      </c>
      <c r="F1145" s="5">
        <f>IFERROR(__xludf.DUMMYFUNCTION("""COMPUTED_VALUE"""),8.22744E7)</f>
        <v>82274400</v>
      </c>
      <c r="G1145" s="5">
        <f t="shared" si="1"/>
        <v>50</v>
      </c>
    </row>
    <row r="1146">
      <c r="A1146" s="4">
        <f>IFERROR(__xludf.DUMMYFUNCTION("""COMPUTED_VALUE"""),45559.66666666667)</f>
        <v>45559.66667</v>
      </c>
      <c r="B1146" s="5">
        <f>IFERROR(__xludf.DUMMYFUNCTION("""COMPUTED_VALUE"""),3180.0)</f>
        <v>3180</v>
      </c>
      <c r="C1146" s="5">
        <f>IFERROR(__xludf.DUMMYFUNCTION("""COMPUTED_VALUE"""),3180.0)</f>
        <v>3180</v>
      </c>
      <c r="D1146" s="5">
        <f>IFERROR(__xludf.DUMMYFUNCTION("""COMPUTED_VALUE"""),3150.0)</f>
        <v>3150</v>
      </c>
      <c r="E1146" s="5">
        <f>IFERROR(__xludf.DUMMYFUNCTION("""COMPUTED_VALUE"""),3160.0)</f>
        <v>3160</v>
      </c>
      <c r="F1146" s="5">
        <f>IFERROR(__xludf.DUMMYFUNCTION("""COMPUTED_VALUE"""),9.22569E7)</f>
        <v>92256900</v>
      </c>
      <c r="G1146" s="5">
        <f t="shared" si="1"/>
        <v>30</v>
      </c>
    </row>
    <row r="1147">
      <c r="A1147" s="4">
        <f>IFERROR(__xludf.DUMMYFUNCTION("""COMPUTED_VALUE"""),45560.66666666667)</f>
        <v>45560.66667</v>
      </c>
      <c r="B1147" s="5">
        <f>IFERROR(__xludf.DUMMYFUNCTION("""COMPUTED_VALUE"""),3100.0)</f>
        <v>3100</v>
      </c>
      <c r="C1147" s="5">
        <f>IFERROR(__xludf.DUMMYFUNCTION("""COMPUTED_VALUE"""),3190.0)</f>
        <v>3190</v>
      </c>
      <c r="D1147" s="5">
        <f>IFERROR(__xludf.DUMMYFUNCTION("""COMPUTED_VALUE"""),3060.0)</f>
        <v>3060</v>
      </c>
      <c r="E1147" s="5">
        <f>IFERROR(__xludf.DUMMYFUNCTION("""COMPUTED_VALUE"""),3190.0)</f>
        <v>3190</v>
      </c>
      <c r="F1147" s="5">
        <f>IFERROR(__xludf.DUMMYFUNCTION("""COMPUTED_VALUE"""),2.152417E8)</f>
        <v>215241700</v>
      </c>
      <c r="G1147" s="5">
        <f t="shared" si="1"/>
        <v>130</v>
      </c>
    </row>
    <row r="1148">
      <c r="A1148" s="4">
        <f>IFERROR(__xludf.DUMMYFUNCTION("""COMPUTED_VALUE"""),45561.66666666667)</f>
        <v>45561.66667</v>
      </c>
      <c r="B1148" s="5">
        <f>IFERROR(__xludf.DUMMYFUNCTION("""COMPUTED_VALUE"""),3170.0)</f>
        <v>3170</v>
      </c>
      <c r="C1148" s="5">
        <f>IFERROR(__xludf.DUMMYFUNCTION("""COMPUTED_VALUE"""),3180.0)</f>
        <v>3180</v>
      </c>
      <c r="D1148" s="5">
        <f>IFERROR(__xludf.DUMMYFUNCTION("""COMPUTED_VALUE"""),3120.0)</f>
        <v>3120</v>
      </c>
      <c r="E1148" s="5">
        <f>IFERROR(__xludf.DUMMYFUNCTION("""COMPUTED_VALUE"""),3170.0)</f>
        <v>3170</v>
      </c>
      <c r="F1148" s="5">
        <f>IFERROR(__xludf.DUMMYFUNCTION("""COMPUTED_VALUE"""),1.200425E8)</f>
        <v>120042500</v>
      </c>
      <c r="G1148" s="5">
        <f t="shared" si="1"/>
        <v>70</v>
      </c>
    </row>
    <row r="1149">
      <c r="A1149" s="4">
        <f>IFERROR(__xludf.DUMMYFUNCTION("""COMPUTED_VALUE"""),45562.66666666667)</f>
        <v>45562.66667</v>
      </c>
      <c r="B1149" s="5">
        <f>IFERROR(__xludf.DUMMYFUNCTION("""COMPUTED_VALUE"""),3130.0)</f>
        <v>3130</v>
      </c>
      <c r="C1149" s="5">
        <f>IFERROR(__xludf.DUMMYFUNCTION("""COMPUTED_VALUE"""),3140.0)</f>
        <v>3140</v>
      </c>
      <c r="D1149" s="5">
        <f>IFERROR(__xludf.DUMMYFUNCTION("""COMPUTED_VALUE"""),3010.0)</f>
        <v>3010</v>
      </c>
      <c r="E1149" s="5">
        <f>IFERROR(__xludf.DUMMYFUNCTION("""COMPUTED_VALUE"""),3050.0)</f>
        <v>3050</v>
      </c>
      <c r="F1149" s="5">
        <f>IFERROR(__xludf.DUMMYFUNCTION("""COMPUTED_VALUE"""),2.912173E8)</f>
        <v>291217300</v>
      </c>
      <c r="G1149" s="5">
        <f t="shared" si="1"/>
        <v>160</v>
      </c>
    </row>
    <row r="1150">
      <c r="A1150" s="4">
        <f>IFERROR(__xludf.DUMMYFUNCTION("""COMPUTED_VALUE"""),45565.66666666667)</f>
        <v>45565.66667</v>
      </c>
      <c r="B1150" s="5">
        <f>IFERROR(__xludf.DUMMYFUNCTION("""COMPUTED_VALUE"""),3030.0)</f>
        <v>3030</v>
      </c>
      <c r="C1150" s="5">
        <f>IFERROR(__xludf.DUMMYFUNCTION("""COMPUTED_VALUE"""),3030.0)</f>
        <v>3030</v>
      </c>
      <c r="D1150" s="5">
        <f>IFERROR(__xludf.DUMMYFUNCTION("""COMPUTED_VALUE"""),2990.0)</f>
        <v>2990</v>
      </c>
      <c r="E1150" s="5">
        <f>IFERROR(__xludf.DUMMYFUNCTION("""COMPUTED_VALUE"""),2990.0)</f>
        <v>2990</v>
      </c>
      <c r="F1150" s="5">
        <f>IFERROR(__xludf.DUMMYFUNCTION("""COMPUTED_VALUE"""),1.508448E8)</f>
        <v>150844800</v>
      </c>
      <c r="G1150" s="5">
        <f t="shared" si="1"/>
        <v>60</v>
      </c>
    </row>
    <row r="1151">
      <c r="A1151" s="4">
        <f>IFERROR(__xludf.DUMMYFUNCTION("""COMPUTED_VALUE"""),45566.66666666667)</f>
        <v>45566.66667</v>
      </c>
      <c r="B1151" s="5">
        <f>IFERROR(__xludf.DUMMYFUNCTION("""COMPUTED_VALUE"""),2990.0)</f>
        <v>2990</v>
      </c>
      <c r="C1151" s="5">
        <f>IFERROR(__xludf.DUMMYFUNCTION("""COMPUTED_VALUE"""),3040.0)</f>
        <v>3040</v>
      </c>
      <c r="D1151" s="5">
        <f>IFERROR(__xludf.DUMMYFUNCTION("""COMPUTED_VALUE"""),2990.0)</f>
        <v>2990</v>
      </c>
      <c r="E1151" s="5">
        <f>IFERROR(__xludf.DUMMYFUNCTION("""COMPUTED_VALUE"""),3020.0)</f>
        <v>3020</v>
      </c>
      <c r="F1151" s="5">
        <f>IFERROR(__xludf.DUMMYFUNCTION("""COMPUTED_VALUE"""),7.72085E7)</f>
        <v>77208500</v>
      </c>
      <c r="G1151" s="5">
        <f t="shared" si="1"/>
        <v>50</v>
      </c>
    </row>
    <row r="1152">
      <c r="A1152" s="4">
        <f>IFERROR(__xludf.DUMMYFUNCTION("""COMPUTED_VALUE"""),45567.66666666667)</f>
        <v>45567.66667</v>
      </c>
      <c r="B1152" s="5">
        <f>IFERROR(__xludf.DUMMYFUNCTION("""COMPUTED_VALUE"""),2950.0)</f>
        <v>2950</v>
      </c>
      <c r="C1152" s="5">
        <f>IFERROR(__xludf.DUMMYFUNCTION("""COMPUTED_VALUE"""),2980.0)</f>
        <v>2980</v>
      </c>
      <c r="D1152" s="5">
        <f>IFERROR(__xludf.DUMMYFUNCTION("""COMPUTED_VALUE"""),2920.0)</f>
        <v>2920</v>
      </c>
      <c r="E1152" s="5">
        <f>IFERROR(__xludf.DUMMYFUNCTION("""COMPUTED_VALUE"""),2920.0)</f>
        <v>2920</v>
      </c>
      <c r="F1152" s="5">
        <f>IFERROR(__xludf.DUMMYFUNCTION("""COMPUTED_VALUE"""),1.246294E8)</f>
        <v>124629400</v>
      </c>
      <c r="G1152" s="5">
        <f t="shared" si="1"/>
        <v>100</v>
      </c>
    </row>
    <row r="1153">
      <c r="A1153" s="4">
        <f>IFERROR(__xludf.DUMMYFUNCTION("""COMPUTED_VALUE"""),45568.66666666667)</f>
        <v>45568.66667</v>
      </c>
      <c r="B1153" s="5">
        <f>IFERROR(__xludf.DUMMYFUNCTION("""COMPUTED_VALUE"""),2950.0)</f>
        <v>2950</v>
      </c>
      <c r="C1153" s="5">
        <f>IFERROR(__xludf.DUMMYFUNCTION("""COMPUTED_VALUE"""),2950.0)</f>
        <v>2950</v>
      </c>
      <c r="D1153" s="5">
        <f>IFERROR(__xludf.DUMMYFUNCTION("""COMPUTED_VALUE"""),2890.0)</f>
        <v>2890</v>
      </c>
      <c r="E1153" s="5">
        <f>IFERROR(__xludf.DUMMYFUNCTION("""COMPUTED_VALUE"""),2890.0)</f>
        <v>2890</v>
      </c>
      <c r="F1153" s="5">
        <f>IFERROR(__xludf.DUMMYFUNCTION("""COMPUTED_VALUE"""),9.25109E7)</f>
        <v>92510900</v>
      </c>
      <c r="G1153" s="5">
        <f t="shared" si="1"/>
        <v>60</v>
      </c>
    </row>
    <row r="1154">
      <c r="A1154" s="4">
        <f>IFERROR(__xludf.DUMMYFUNCTION("""COMPUTED_VALUE"""),45569.66666666667)</f>
        <v>45569.66667</v>
      </c>
      <c r="B1154" s="5">
        <f>IFERROR(__xludf.DUMMYFUNCTION("""COMPUTED_VALUE"""),2900.0)</f>
        <v>2900</v>
      </c>
      <c r="C1154" s="5">
        <f>IFERROR(__xludf.DUMMYFUNCTION("""COMPUTED_VALUE"""),2930.0)</f>
        <v>2930</v>
      </c>
      <c r="D1154" s="5">
        <f>IFERROR(__xludf.DUMMYFUNCTION("""COMPUTED_VALUE"""),2860.0)</f>
        <v>2860</v>
      </c>
      <c r="E1154" s="5">
        <f>IFERROR(__xludf.DUMMYFUNCTION("""COMPUTED_VALUE"""),2880.0)</f>
        <v>2880</v>
      </c>
      <c r="F1154" s="5">
        <f>IFERROR(__xludf.DUMMYFUNCTION("""COMPUTED_VALUE"""),7.67572E7)</f>
        <v>76757200</v>
      </c>
      <c r="G1154" s="5">
        <f t="shared" si="1"/>
        <v>70</v>
      </c>
    </row>
    <row r="1155">
      <c r="A1155" s="4">
        <f>IFERROR(__xludf.DUMMYFUNCTION("""COMPUTED_VALUE"""),45572.66666666667)</f>
        <v>45572.66667</v>
      </c>
      <c r="B1155" s="5">
        <f>IFERROR(__xludf.DUMMYFUNCTION("""COMPUTED_VALUE"""),2910.0)</f>
        <v>2910</v>
      </c>
      <c r="C1155" s="5">
        <f>IFERROR(__xludf.DUMMYFUNCTION("""COMPUTED_VALUE"""),2910.0)</f>
        <v>2910</v>
      </c>
      <c r="D1155" s="5">
        <f>IFERROR(__xludf.DUMMYFUNCTION("""COMPUTED_VALUE"""),2870.0)</f>
        <v>2870</v>
      </c>
      <c r="E1155" s="5">
        <f>IFERROR(__xludf.DUMMYFUNCTION("""COMPUTED_VALUE"""),2900.0)</f>
        <v>2900</v>
      </c>
      <c r="F1155" s="5">
        <f>IFERROR(__xludf.DUMMYFUNCTION("""COMPUTED_VALUE"""),8.45071E7)</f>
        <v>84507100</v>
      </c>
      <c r="G1155" s="5">
        <f t="shared" si="1"/>
        <v>40</v>
      </c>
    </row>
    <row r="1156">
      <c r="A1156" s="4">
        <f>IFERROR(__xludf.DUMMYFUNCTION("""COMPUTED_VALUE"""),45573.66666666667)</f>
        <v>45573.66667</v>
      </c>
      <c r="B1156" s="5">
        <f>IFERROR(__xludf.DUMMYFUNCTION("""COMPUTED_VALUE"""),2890.0)</f>
        <v>2890</v>
      </c>
      <c r="C1156" s="5">
        <f>IFERROR(__xludf.DUMMYFUNCTION("""COMPUTED_VALUE"""),2990.0)</f>
        <v>2990</v>
      </c>
      <c r="D1156" s="5">
        <f>IFERROR(__xludf.DUMMYFUNCTION("""COMPUTED_VALUE"""),2870.0)</f>
        <v>2870</v>
      </c>
      <c r="E1156" s="5">
        <f>IFERROR(__xludf.DUMMYFUNCTION("""COMPUTED_VALUE"""),2990.0)</f>
        <v>2990</v>
      </c>
      <c r="F1156" s="5">
        <f>IFERROR(__xludf.DUMMYFUNCTION("""COMPUTED_VALUE"""),1.353572E8)</f>
        <v>135357200</v>
      </c>
      <c r="G1156" s="5">
        <f t="shared" si="1"/>
        <v>120</v>
      </c>
    </row>
    <row r="1157">
      <c r="A1157" s="4">
        <f>IFERROR(__xludf.DUMMYFUNCTION("""COMPUTED_VALUE"""),45574.66666666667)</f>
        <v>45574.66667</v>
      </c>
      <c r="B1157" s="5">
        <f>IFERROR(__xludf.DUMMYFUNCTION("""COMPUTED_VALUE"""),2980.0)</f>
        <v>2980</v>
      </c>
      <c r="C1157" s="5">
        <f>IFERROR(__xludf.DUMMYFUNCTION("""COMPUTED_VALUE"""),3010.0)</f>
        <v>3010</v>
      </c>
      <c r="D1157" s="5">
        <f>IFERROR(__xludf.DUMMYFUNCTION("""COMPUTED_VALUE"""),2960.0)</f>
        <v>2960</v>
      </c>
      <c r="E1157" s="5">
        <f>IFERROR(__xludf.DUMMYFUNCTION("""COMPUTED_VALUE"""),2960.0)</f>
        <v>2960</v>
      </c>
      <c r="F1157" s="5">
        <f>IFERROR(__xludf.DUMMYFUNCTION("""COMPUTED_VALUE"""),6.94359E7)</f>
        <v>69435900</v>
      </c>
      <c r="G1157" s="5">
        <f t="shared" si="1"/>
        <v>50</v>
      </c>
    </row>
    <row r="1158">
      <c r="A1158" s="4">
        <f>IFERROR(__xludf.DUMMYFUNCTION("""COMPUTED_VALUE"""),45575.66666666667)</f>
        <v>45575.66667</v>
      </c>
      <c r="B1158" s="5">
        <f>IFERROR(__xludf.DUMMYFUNCTION("""COMPUTED_VALUE"""),2960.0)</f>
        <v>2960</v>
      </c>
      <c r="C1158" s="5">
        <f>IFERROR(__xludf.DUMMYFUNCTION("""COMPUTED_VALUE"""),2980.0)</f>
        <v>2980</v>
      </c>
      <c r="D1158" s="5">
        <f>IFERROR(__xludf.DUMMYFUNCTION("""COMPUTED_VALUE"""),2940.0)</f>
        <v>2940</v>
      </c>
      <c r="E1158" s="5">
        <f>IFERROR(__xludf.DUMMYFUNCTION("""COMPUTED_VALUE"""),2950.0)</f>
        <v>2950</v>
      </c>
      <c r="F1158" s="5">
        <f>IFERROR(__xludf.DUMMYFUNCTION("""COMPUTED_VALUE"""),5.7867E7)</f>
        <v>57867000</v>
      </c>
      <c r="G1158" s="5">
        <f t="shared" si="1"/>
        <v>40</v>
      </c>
    </row>
    <row r="1159">
      <c r="A1159" s="4">
        <f>IFERROR(__xludf.DUMMYFUNCTION("""COMPUTED_VALUE"""),45576.66666666667)</f>
        <v>45576.66667</v>
      </c>
      <c r="B1159" s="5">
        <f>IFERROR(__xludf.DUMMYFUNCTION("""COMPUTED_VALUE"""),3000.0)</f>
        <v>3000</v>
      </c>
      <c r="C1159" s="5">
        <f>IFERROR(__xludf.DUMMYFUNCTION("""COMPUTED_VALUE"""),3000.0)</f>
        <v>3000</v>
      </c>
      <c r="D1159" s="5">
        <f>IFERROR(__xludf.DUMMYFUNCTION("""COMPUTED_VALUE"""),2920.0)</f>
        <v>2920</v>
      </c>
      <c r="E1159" s="5">
        <f>IFERROR(__xludf.DUMMYFUNCTION("""COMPUTED_VALUE"""),2940.0)</f>
        <v>2940</v>
      </c>
      <c r="F1159" s="5">
        <f>IFERROR(__xludf.DUMMYFUNCTION("""COMPUTED_VALUE"""),4.04543E7)</f>
        <v>40454300</v>
      </c>
      <c r="G1159" s="5">
        <f t="shared" si="1"/>
        <v>80</v>
      </c>
    </row>
    <row r="1160">
      <c r="A1160" s="4">
        <f>IFERROR(__xludf.DUMMYFUNCTION("""COMPUTED_VALUE"""),45579.66666666667)</f>
        <v>45579.66667</v>
      </c>
      <c r="B1160" s="5">
        <f>IFERROR(__xludf.DUMMYFUNCTION("""COMPUTED_VALUE"""),2930.0)</f>
        <v>2930</v>
      </c>
      <c r="C1160" s="5">
        <f>IFERROR(__xludf.DUMMYFUNCTION("""COMPUTED_VALUE"""),2970.0)</f>
        <v>2970</v>
      </c>
      <c r="D1160" s="5">
        <f>IFERROR(__xludf.DUMMYFUNCTION("""COMPUTED_VALUE"""),2900.0)</f>
        <v>2900</v>
      </c>
      <c r="E1160" s="5">
        <f>IFERROR(__xludf.DUMMYFUNCTION("""COMPUTED_VALUE"""),2900.0)</f>
        <v>2900</v>
      </c>
      <c r="F1160" s="5">
        <f>IFERROR(__xludf.DUMMYFUNCTION("""COMPUTED_VALUE"""),6.66315E7)</f>
        <v>66631500</v>
      </c>
      <c r="G1160" s="5">
        <f t="shared" si="1"/>
        <v>70</v>
      </c>
    </row>
    <row r="1161">
      <c r="A1161" s="4">
        <f>IFERROR(__xludf.DUMMYFUNCTION("""COMPUTED_VALUE"""),45580.66666666667)</f>
        <v>45580.66667</v>
      </c>
      <c r="B1161" s="5">
        <f>IFERROR(__xludf.DUMMYFUNCTION("""COMPUTED_VALUE"""),2920.0)</f>
        <v>2920</v>
      </c>
      <c r="C1161" s="5">
        <f>IFERROR(__xludf.DUMMYFUNCTION("""COMPUTED_VALUE"""),2970.0)</f>
        <v>2970</v>
      </c>
      <c r="D1161" s="5">
        <f>IFERROR(__xludf.DUMMYFUNCTION("""COMPUTED_VALUE"""),2910.0)</f>
        <v>2910</v>
      </c>
      <c r="E1161" s="5">
        <f>IFERROR(__xludf.DUMMYFUNCTION("""COMPUTED_VALUE"""),2940.0)</f>
        <v>2940</v>
      </c>
      <c r="F1161" s="5">
        <f>IFERROR(__xludf.DUMMYFUNCTION("""COMPUTED_VALUE"""),7.45296E7)</f>
        <v>74529600</v>
      </c>
      <c r="G1161" s="5">
        <f t="shared" si="1"/>
        <v>70</v>
      </c>
    </row>
    <row r="1162">
      <c r="A1162" s="4">
        <f>IFERROR(__xludf.DUMMYFUNCTION("""COMPUTED_VALUE"""),45581.66666666667)</f>
        <v>45581.66667</v>
      </c>
      <c r="B1162" s="5">
        <f>IFERROR(__xludf.DUMMYFUNCTION("""COMPUTED_VALUE"""),2970.0)</f>
        <v>2970</v>
      </c>
      <c r="C1162" s="5">
        <f>IFERROR(__xludf.DUMMYFUNCTION("""COMPUTED_VALUE"""),3000.0)</f>
        <v>3000</v>
      </c>
      <c r="D1162" s="5">
        <f>IFERROR(__xludf.DUMMYFUNCTION("""COMPUTED_VALUE"""),2930.0)</f>
        <v>2930</v>
      </c>
      <c r="E1162" s="5">
        <f>IFERROR(__xludf.DUMMYFUNCTION("""COMPUTED_VALUE"""),3000.0)</f>
        <v>3000</v>
      </c>
      <c r="F1162" s="5">
        <f>IFERROR(__xludf.DUMMYFUNCTION("""COMPUTED_VALUE"""),1.63988E8)</f>
        <v>163988000</v>
      </c>
      <c r="G1162" s="5">
        <f t="shared" si="1"/>
        <v>70</v>
      </c>
    </row>
    <row r="1163">
      <c r="A1163" s="4">
        <f>IFERROR(__xludf.DUMMYFUNCTION("""COMPUTED_VALUE"""),45582.66666666667)</f>
        <v>45582.66667</v>
      </c>
      <c r="B1163" s="5">
        <f>IFERROR(__xludf.DUMMYFUNCTION("""COMPUTED_VALUE"""),3000.0)</f>
        <v>3000</v>
      </c>
      <c r="C1163" s="5">
        <f>IFERROR(__xludf.DUMMYFUNCTION("""COMPUTED_VALUE"""),3060.0)</f>
        <v>3060</v>
      </c>
      <c r="D1163" s="5">
        <f>IFERROR(__xludf.DUMMYFUNCTION("""COMPUTED_VALUE"""),2980.0)</f>
        <v>2980</v>
      </c>
      <c r="E1163" s="5">
        <f>IFERROR(__xludf.DUMMYFUNCTION("""COMPUTED_VALUE"""),3040.0)</f>
        <v>3040</v>
      </c>
      <c r="F1163" s="5">
        <f>IFERROR(__xludf.DUMMYFUNCTION("""COMPUTED_VALUE"""),1.070401E8)</f>
        <v>107040100</v>
      </c>
      <c r="G1163" s="5">
        <f t="shared" si="1"/>
        <v>80</v>
      </c>
    </row>
    <row r="1164">
      <c r="A1164" s="4">
        <f>IFERROR(__xludf.DUMMYFUNCTION("""COMPUTED_VALUE"""),45583.66666666667)</f>
        <v>45583.66667</v>
      </c>
      <c r="B1164" s="5">
        <f>IFERROR(__xludf.DUMMYFUNCTION("""COMPUTED_VALUE"""),3050.0)</f>
        <v>3050</v>
      </c>
      <c r="C1164" s="5">
        <f>IFERROR(__xludf.DUMMYFUNCTION("""COMPUTED_VALUE"""),3130.0)</f>
        <v>3130</v>
      </c>
      <c r="D1164" s="5">
        <f>IFERROR(__xludf.DUMMYFUNCTION("""COMPUTED_VALUE"""),3040.0)</f>
        <v>3040</v>
      </c>
      <c r="E1164" s="5">
        <f>IFERROR(__xludf.DUMMYFUNCTION("""COMPUTED_VALUE"""),3100.0)</f>
        <v>3100</v>
      </c>
      <c r="F1164" s="5">
        <f>IFERROR(__xludf.DUMMYFUNCTION("""COMPUTED_VALUE"""),1.387836E8)</f>
        <v>138783600</v>
      </c>
      <c r="G1164" s="5">
        <f t="shared" si="1"/>
        <v>90</v>
      </c>
    </row>
    <row r="1165">
      <c r="A1165" s="4">
        <f>IFERROR(__xludf.DUMMYFUNCTION("""COMPUTED_VALUE"""),45586.66666666667)</f>
        <v>45586.66667</v>
      </c>
      <c r="B1165" s="5">
        <f>IFERROR(__xludf.DUMMYFUNCTION("""COMPUTED_VALUE"""),3100.0)</f>
        <v>3100</v>
      </c>
      <c r="C1165" s="5">
        <f>IFERROR(__xludf.DUMMYFUNCTION("""COMPUTED_VALUE"""),3130.0)</f>
        <v>3130</v>
      </c>
      <c r="D1165" s="5">
        <f>IFERROR(__xludf.DUMMYFUNCTION("""COMPUTED_VALUE"""),3060.0)</f>
        <v>3060</v>
      </c>
      <c r="E1165" s="5">
        <f>IFERROR(__xludf.DUMMYFUNCTION("""COMPUTED_VALUE"""),3100.0)</f>
        <v>3100</v>
      </c>
      <c r="F1165" s="5">
        <f>IFERROR(__xludf.DUMMYFUNCTION("""COMPUTED_VALUE"""),9.22403E7)</f>
        <v>92240300</v>
      </c>
      <c r="G1165" s="5">
        <f t="shared" si="1"/>
        <v>70</v>
      </c>
    </row>
    <row r="1166">
      <c r="A1166" s="4">
        <f>IFERROR(__xludf.DUMMYFUNCTION("""COMPUTED_VALUE"""),45587.66666666667)</f>
        <v>45587.66667</v>
      </c>
      <c r="B1166" s="5">
        <f>IFERROR(__xludf.DUMMYFUNCTION("""COMPUTED_VALUE"""),3060.0)</f>
        <v>3060</v>
      </c>
      <c r="C1166" s="5">
        <f>IFERROR(__xludf.DUMMYFUNCTION("""COMPUTED_VALUE"""),3070.0)</f>
        <v>3070</v>
      </c>
      <c r="D1166" s="5">
        <f>IFERROR(__xludf.DUMMYFUNCTION("""COMPUTED_VALUE"""),3010.0)</f>
        <v>3010</v>
      </c>
      <c r="E1166" s="5">
        <f>IFERROR(__xludf.DUMMYFUNCTION("""COMPUTED_VALUE"""),3010.0)</f>
        <v>3010</v>
      </c>
      <c r="F1166" s="5">
        <f>IFERROR(__xludf.DUMMYFUNCTION("""COMPUTED_VALUE"""),9.36625E7)</f>
        <v>93662500</v>
      </c>
      <c r="G1166" s="5">
        <f t="shared" si="1"/>
        <v>90</v>
      </c>
    </row>
    <row r="1167">
      <c r="A1167" s="4">
        <f>IFERROR(__xludf.DUMMYFUNCTION("""COMPUTED_VALUE"""),45588.66666666667)</f>
        <v>45588.66667</v>
      </c>
      <c r="B1167" s="5">
        <f>IFERROR(__xludf.DUMMYFUNCTION("""COMPUTED_VALUE"""),2940.0)</f>
        <v>2940</v>
      </c>
      <c r="C1167" s="5">
        <f>IFERROR(__xludf.DUMMYFUNCTION("""COMPUTED_VALUE"""),2980.0)</f>
        <v>2980</v>
      </c>
      <c r="D1167" s="5">
        <f>IFERROR(__xludf.DUMMYFUNCTION("""COMPUTED_VALUE"""),2930.0)</f>
        <v>2930</v>
      </c>
      <c r="E1167" s="5">
        <f>IFERROR(__xludf.DUMMYFUNCTION("""COMPUTED_VALUE"""),2940.0)</f>
        <v>2940</v>
      </c>
      <c r="F1167" s="5">
        <f>IFERROR(__xludf.DUMMYFUNCTION("""COMPUTED_VALUE"""),9.94237E7)</f>
        <v>99423700</v>
      </c>
      <c r="G1167" s="5">
        <f t="shared" si="1"/>
        <v>80</v>
      </c>
    </row>
    <row r="1168">
      <c r="A1168" s="4">
        <f>IFERROR(__xludf.DUMMYFUNCTION("""COMPUTED_VALUE"""),45589.66666666667)</f>
        <v>45589.66667</v>
      </c>
      <c r="B1168" s="5">
        <f>IFERROR(__xludf.DUMMYFUNCTION("""COMPUTED_VALUE"""),2940.0)</f>
        <v>2940</v>
      </c>
      <c r="C1168" s="5">
        <f>IFERROR(__xludf.DUMMYFUNCTION("""COMPUTED_VALUE"""),2960.0)</f>
        <v>2960</v>
      </c>
      <c r="D1168" s="5">
        <f>IFERROR(__xludf.DUMMYFUNCTION("""COMPUTED_VALUE"""),2900.0)</f>
        <v>2900</v>
      </c>
      <c r="E1168" s="5">
        <f>IFERROR(__xludf.DUMMYFUNCTION("""COMPUTED_VALUE"""),2900.0)</f>
        <v>2900</v>
      </c>
      <c r="F1168" s="5">
        <f>IFERROR(__xludf.DUMMYFUNCTION("""COMPUTED_VALUE"""),7.2559E7)</f>
        <v>72559000</v>
      </c>
      <c r="G1168" s="5">
        <f t="shared" si="1"/>
        <v>60</v>
      </c>
    </row>
    <row r="1169">
      <c r="A1169" s="4">
        <f>IFERROR(__xludf.DUMMYFUNCTION("""COMPUTED_VALUE"""),45590.66666666667)</f>
        <v>45590.66667</v>
      </c>
      <c r="B1169" s="5">
        <f>IFERROR(__xludf.DUMMYFUNCTION("""COMPUTED_VALUE"""),2900.0)</f>
        <v>2900</v>
      </c>
      <c r="C1169" s="5">
        <f>IFERROR(__xludf.DUMMYFUNCTION("""COMPUTED_VALUE"""),2950.0)</f>
        <v>2950</v>
      </c>
      <c r="D1169" s="5">
        <f>IFERROR(__xludf.DUMMYFUNCTION("""COMPUTED_VALUE"""),2900.0)</f>
        <v>2900</v>
      </c>
      <c r="E1169" s="5">
        <f>IFERROR(__xludf.DUMMYFUNCTION("""COMPUTED_VALUE"""),2910.0)</f>
        <v>2910</v>
      </c>
      <c r="F1169" s="5">
        <f>IFERROR(__xludf.DUMMYFUNCTION("""COMPUTED_VALUE"""),5.06942E7)</f>
        <v>50694200</v>
      </c>
      <c r="G1169" s="5">
        <f t="shared" si="1"/>
        <v>50</v>
      </c>
    </row>
    <row r="1170">
      <c r="A1170" s="4">
        <f>IFERROR(__xludf.DUMMYFUNCTION("""COMPUTED_VALUE"""),45593.66666666667)</f>
        <v>45593.66667</v>
      </c>
      <c r="B1170" s="5">
        <f>IFERROR(__xludf.DUMMYFUNCTION("""COMPUTED_VALUE"""),2920.0)</f>
        <v>2920</v>
      </c>
      <c r="C1170" s="5">
        <f>IFERROR(__xludf.DUMMYFUNCTION("""COMPUTED_VALUE"""),2940.0)</f>
        <v>2940</v>
      </c>
      <c r="D1170" s="5">
        <f>IFERROR(__xludf.DUMMYFUNCTION("""COMPUTED_VALUE"""),2900.0)</f>
        <v>2900</v>
      </c>
      <c r="E1170" s="5">
        <f>IFERROR(__xludf.DUMMYFUNCTION("""COMPUTED_VALUE"""),2920.0)</f>
        <v>2920</v>
      </c>
      <c r="F1170" s="5">
        <f>IFERROR(__xludf.DUMMYFUNCTION("""COMPUTED_VALUE"""),3.87207E7)</f>
        <v>38720700</v>
      </c>
      <c r="G1170" s="5">
        <f t="shared" si="1"/>
        <v>40</v>
      </c>
    </row>
    <row r="1171">
      <c r="A1171" s="4">
        <f>IFERROR(__xludf.DUMMYFUNCTION("""COMPUTED_VALUE"""),45594.66666666667)</f>
        <v>45594.66667</v>
      </c>
      <c r="B1171" s="5">
        <f>IFERROR(__xludf.DUMMYFUNCTION("""COMPUTED_VALUE"""),2910.0)</f>
        <v>2910</v>
      </c>
      <c r="C1171" s="5">
        <f>IFERROR(__xludf.DUMMYFUNCTION("""COMPUTED_VALUE"""),2930.0)</f>
        <v>2930</v>
      </c>
      <c r="D1171" s="5">
        <f>IFERROR(__xludf.DUMMYFUNCTION("""COMPUTED_VALUE"""),2880.0)</f>
        <v>2880</v>
      </c>
      <c r="E1171" s="5">
        <f>IFERROR(__xludf.DUMMYFUNCTION("""COMPUTED_VALUE"""),2900.0)</f>
        <v>2900</v>
      </c>
      <c r="F1171" s="5">
        <f>IFERROR(__xludf.DUMMYFUNCTION("""COMPUTED_VALUE"""),6.77275E7)</f>
        <v>67727500</v>
      </c>
      <c r="G1171" s="5">
        <f t="shared" si="1"/>
        <v>50</v>
      </c>
    </row>
    <row r="1172">
      <c r="A1172" s="4">
        <f>IFERROR(__xludf.DUMMYFUNCTION("""COMPUTED_VALUE"""),45595.66666666667)</f>
        <v>45595.66667</v>
      </c>
      <c r="B1172" s="5">
        <f>IFERROR(__xludf.DUMMYFUNCTION("""COMPUTED_VALUE"""),2880.0)</f>
        <v>2880</v>
      </c>
      <c r="C1172" s="5">
        <f>IFERROR(__xludf.DUMMYFUNCTION("""COMPUTED_VALUE"""),2900.0)</f>
        <v>2900</v>
      </c>
      <c r="D1172" s="5">
        <f>IFERROR(__xludf.DUMMYFUNCTION("""COMPUTED_VALUE"""),2850.0)</f>
        <v>2850</v>
      </c>
      <c r="E1172" s="5">
        <f>IFERROR(__xludf.DUMMYFUNCTION("""COMPUTED_VALUE"""),2900.0)</f>
        <v>2900</v>
      </c>
      <c r="F1172" s="5">
        <f>IFERROR(__xludf.DUMMYFUNCTION("""COMPUTED_VALUE"""),1.235731E8)</f>
        <v>123573100</v>
      </c>
      <c r="G1172" s="5">
        <f t="shared" si="1"/>
        <v>50</v>
      </c>
    </row>
    <row r="1173">
      <c r="A1173" s="4">
        <f>IFERROR(__xludf.DUMMYFUNCTION("""COMPUTED_VALUE"""),45596.66666666667)</f>
        <v>45596.66667</v>
      </c>
      <c r="B1173" s="5">
        <f>IFERROR(__xludf.DUMMYFUNCTION("""COMPUTED_VALUE"""),2860.0)</f>
        <v>2860</v>
      </c>
      <c r="C1173" s="5">
        <f>IFERROR(__xludf.DUMMYFUNCTION("""COMPUTED_VALUE"""),2870.0)</f>
        <v>2870</v>
      </c>
      <c r="D1173" s="5">
        <f>IFERROR(__xludf.DUMMYFUNCTION("""COMPUTED_VALUE"""),2820.0)</f>
        <v>2820</v>
      </c>
      <c r="E1173" s="5">
        <f>IFERROR(__xludf.DUMMYFUNCTION("""COMPUTED_VALUE"""),2820.0)</f>
        <v>2820</v>
      </c>
      <c r="F1173" s="5">
        <f>IFERROR(__xludf.DUMMYFUNCTION("""COMPUTED_VALUE"""),1.395903E8)</f>
        <v>139590300</v>
      </c>
      <c r="G1173" s="5">
        <f t="shared" si="1"/>
        <v>80</v>
      </c>
    </row>
    <row r="1174">
      <c r="A1174" s="4">
        <f>IFERROR(__xludf.DUMMYFUNCTION("""COMPUTED_VALUE"""),45597.66666666667)</f>
        <v>45597.66667</v>
      </c>
      <c r="B1174" s="5">
        <f>IFERROR(__xludf.DUMMYFUNCTION("""COMPUTED_VALUE"""),2820.0)</f>
        <v>2820</v>
      </c>
      <c r="C1174" s="5">
        <f>IFERROR(__xludf.DUMMYFUNCTION("""COMPUTED_VALUE"""),2840.0)</f>
        <v>2840</v>
      </c>
      <c r="D1174" s="5">
        <f>IFERROR(__xludf.DUMMYFUNCTION("""COMPUTED_VALUE"""),2760.0)</f>
        <v>2760</v>
      </c>
      <c r="E1174" s="5">
        <f>IFERROR(__xludf.DUMMYFUNCTION("""COMPUTED_VALUE"""),2780.0)</f>
        <v>2780</v>
      </c>
      <c r="F1174" s="5">
        <f>IFERROR(__xludf.DUMMYFUNCTION("""COMPUTED_VALUE"""),9.93645E7)</f>
        <v>99364500</v>
      </c>
      <c r="G1174" s="5">
        <f t="shared" si="1"/>
        <v>80</v>
      </c>
    </row>
    <row r="1175">
      <c r="A1175" s="4">
        <f>IFERROR(__xludf.DUMMYFUNCTION("""COMPUTED_VALUE"""),45600.66666666667)</f>
        <v>45600.66667</v>
      </c>
      <c r="B1175" s="5">
        <f>IFERROR(__xludf.DUMMYFUNCTION("""COMPUTED_VALUE"""),2780.0)</f>
        <v>2780</v>
      </c>
      <c r="C1175" s="5">
        <f>IFERROR(__xludf.DUMMYFUNCTION("""COMPUTED_VALUE"""),2810.0)</f>
        <v>2810</v>
      </c>
      <c r="D1175" s="5">
        <f>IFERROR(__xludf.DUMMYFUNCTION("""COMPUTED_VALUE"""),2750.0)</f>
        <v>2750</v>
      </c>
      <c r="E1175" s="5">
        <f>IFERROR(__xludf.DUMMYFUNCTION("""COMPUTED_VALUE"""),2800.0)</f>
        <v>2800</v>
      </c>
      <c r="F1175" s="5">
        <f>IFERROR(__xludf.DUMMYFUNCTION("""COMPUTED_VALUE"""),6.31123E7)</f>
        <v>63112300</v>
      </c>
      <c r="G1175" s="5">
        <f t="shared" si="1"/>
        <v>60</v>
      </c>
    </row>
    <row r="1176">
      <c r="A1176" s="4">
        <f>IFERROR(__xludf.DUMMYFUNCTION("""COMPUTED_VALUE"""),45601.66666666667)</f>
        <v>45601.66667</v>
      </c>
      <c r="B1176" s="5">
        <f>IFERROR(__xludf.DUMMYFUNCTION("""COMPUTED_VALUE"""),2800.0)</f>
        <v>2800</v>
      </c>
      <c r="C1176" s="5">
        <f>IFERROR(__xludf.DUMMYFUNCTION("""COMPUTED_VALUE"""),2810.0)</f>
        <v>2810</v>
      </c>
      <c r="D1176" s="5">
        <f>IFERROR(__xludf.DUMMYFUNCTION("""COMPUTED_VALUE"""),2730.0)</f>
        <v>2730</v>
      </c>
      <c r="E1176" s="5">
        <f>IFERROR(__xludf.DUMMYFUNCTION("""COMPUTED_VALUE"""),2770.0)</f>
        <v>2770</v>
      </c>
      <c r="F1176" s="5">
        <f>IFERROR(__xludf.DUMMYFUNCTION("""COMPUTED_VALUE"""),9.67211E7)</f>
        <v>96721100</v>
      </c>
      <c r="G1176" s="5">
        <f t="shared" si="1"/>
        <v>80</v>
      </c>
    </row>
    <row r="1177">
      <c r="A1177" s="4">
        <f>IFERROR(__xludf.DUMMYFUNCTION("""COMPUTED_VALUE"""),45602.66666666667)</f>
        <v>45602.66667</v>
      </c>
      <c r="B1177" s="5">
        <f>IFERROR(__xludf.DUMMYFUNCTION("""COMPUTED_VALUE"""),2780.0)</f>
        <v>2780</v>
      </c>
      <c r="C1177" s="5">
        <f>IFERROR(__xludf.DUMMYFUNCTION("""COMPUTED_VALUE"""),2800.0)</f>
        <v>2800</v>
      </c>
      <c r="D1177" s="5">
        <f>IFERROR(__xludf.DUMMYFUNCTION("""COMPUTED_VALUE"""),2740.0)</f>
        <v>2740</v>
      </c>
      <c r="E1177" s="5">
        <f>IFERROR(__xludf.DUMMYFUNCTION("""COMPUTED_VALUE"""),2740.0)</f>
        <v>2740</v>
      </c>
      <c r="F1177" s="5">
        <f>IFERROR(__xludf.DUMMYFUNCTION("""COMPUTED_VALUE"""),6.68089E7)</f>
        <v>66808900</v>
      </c>
      <c r="G1177" s="5">
        <f t="shared" si="1"/>
        <v>60</v>
      </c>
    </row>
    <row r="1178">
      <c r="A1178" s="4">
        <f>IFERROR(__xludf.DUMMYFUNCTION("""COMPUTED_VALUE"""),45603.66666666667)</f>
        <v>45603.66667</v>
      </c>
      <c r="B1178" s="5">
        <f>IFERROR(__xludf.DUMMYFUNCTION("""COMPUTED_VALUE"""),2760.0)</f>
        <v>2760</v>
      </c>
      <c r="C1178" s="5">
        <f>IFERROR(__xludf.DUMMYFUNCTION("""COMPUTED_VALUE"""),2790.0)</f>
        <v>2790</v>
      </c>
      <c r="D1178" s="5">
        <f>IFERROR(__xludf.DUMMYFUNCTION("""COMPUTED_VALUE"""),2740.0)</f>
        <v>2740</v>
      </c>
      <c r="E1178" s="5">
        <f>IFERROR(__xludf.DUMMYFUNCTION("""COMPUTED_VALUE"""),2760.0)</f>
        <v>2760</v>
      </c>
      <c r="F1178" s="5">
        <f>IFERROR(__xludf.DUMMYFUNCTION("""COMPUTED_VALUE"""),7.94858E7)</f>
        <v>79485800</v>
      </c>
      <c r="G1178" s="5">
        <f t="shared" si="1"/>
        <v>50</v>
      </c>
    </row>
    <row r="1179">
      <c r="A1179" s="4">
        <f>IFERROR(__xludf.DUMMYFUNCTION("""COMPUTED_VALUE"""),45604.66666666667)</f>
        <v>45604.66667</v>
      </c>
      <c r="B1179" s="5">
        <f>IFERROR(__xludf.DUMMYFUNCTION("""COMPUTED_VALUE"""),2760.0)</f>
        <v>2760</v>
      </c>
      <c r="C1179" s="5">
        <f>IFERROR(__xludf.DUMMYFUNCTION("""COMPUTED_VALUE"""),2780.0)</f>
        <v>2780</v>
      </c>
      <c r="D1179" s="5">
        <f>IFERROR(__xludf.DUMMYFUNCTION("""COMPUTED_VALUE"""),2750.0)</f>
        <v>2750</v>
      </c>
      <c r="E1179" s="5">
        <f>IFERROR(__xludf.DUMMYFUNCTION("""COMPUTED_VALUE"""),2750.0)</f>
        <v>2750</v>
      </c>
      <c r="F1179" s="5">
        <f>IFERROR(__xludf.DUMMYFUNCTION("""COMPUTED_VALUE"""),6.61309E7)</f>
        <v>66130900</v>
      </c>
      <c r="G1179" s="5">
        <f t="shared" si="1"/>
        <v>30</v>
      </c>
    </row>
    <row r="1180">
      <c r="A1180" s="4">
        <f>IFERROR(__xludf.DUMMYFUNCTION("""COMPUTED_VALUE"""),45607.66666666667)</f>
        <v>45607.66667</v>
      </c>
      <c r="B1180" s="5">
        <f>IFERROR(__xludf.DUMMYFUNCTION("""COMPUTED_VALUE"""),2720.0)</f>
        <v>2720</v>
      </c>
      <c r="C1180" s="5">
        <f>IFERROR(__xludf.DUMMYFUNCTION("""COMPUTED_VALUE"""),2730.0)</f>
        <v>2730</v>
      </c>
      <c r="D1180" s="5">
        <f>IFERROR(__xludf.DUMMYFUNCTION("""COMPUTED_VALUE"""),2650.0)</f>
        <v>2650</v>
      </c>
      <c r="E1180" s="5">
        <f>IFERROR(__xludf.DUMMYFUNCTION("""COMPUTED_VALUE"""),2690.0)</f>
        <v>2690</v>
      </c>
      <c r="F1180" s="5">
        <f>IFERROR(__xludf.DUMMYFUNCTION("""COMPUTED_VALUE"""),1.081535E8)</f>
        <v>108153500</v>
      </c>
      <c r="G1180" s="5">
        <f t="shared" si="1"/>
        <v>100</v>
      </c>
    </row>
    <row r="1181">
      <c r="A1181" s="4">
        <f>IFERROR(__xludf.DUMMYFUNCTION("""COMPUTED_VALUE"""),45608.66666666667)</f>
        <v>45608.66667</v>
      </c>
      <c r="B1181" s="5">
        <f>IFERROR(__xludf.DUMMYFUNCTION("""COMPUTED_VALUE"""),2660.0)</f>
        <v>2660</v>
      </c>
      <c r="C1181" s="5">
        <f>IFERROR(__xludf.DUMMYFUNCTION("""COMPUTED_VALUE"""),2670.0)</f>
        <v>2670</v>
      </c>
      <c r="D1181" s="5">
        <f>IFERROR(__xludf.DUMMYFUNCTION("""COMPUTED_VALUE"""),2600.0)</f>
        <v>2600</v>
      </c>
      <c r="E1181" s="5">
        <f>IFERROR(__xludf.DUMMYFUNCTION("""COMPUTED_VALUE"""),2600.0)</f>
        <v>2600</v>
      </c>
      <c r="F1181" s="5">
        <f>IFERROR(__xludf.DUMMYFUNCTION("""COMPUTED_VALUE"""),2.159106E8)</f>
        <v>215910600</v>
      </c>
      <c r="G1181" s="5">
        <f t="shared" si="1"/>
        <v>90</v>
      </c>
    </row>
    <row r="1182">
      <c r="A1182" s="4">
        <f>IFERROR(__xludf.DUMMYFUNCTION("""COMPUTED_VALUE"""),45609.66666666667)</f>
        <v>45609.66667</v>
      </c>
      <c r="B1182" s="5">
        <f>IFERROR(__xludf.DUMMYFUNCTION("""COMPUTED_VALUE"""),2610.0)</f>
        <v>2610</v>
      </c>
      <c r="C1182" s="5">
        <f>IFERROR(__xludf.DUMMYFUNCTION("""COMPUTED_VALUE"""),2630.0)</f>
        <v>2630</v>
      </c>
      <c r="D1182" s="5">
        <f>IFERROR(__xludf.DUMMYFUNCTION("""COMPUTED_VALUE"""),2570.0)</f>
        <v>2570</v>
      </c>
      <c r="E1182" s="5">
        <f>IFERROR(__xludf.DUMMYFUNCTION("""COMPUTED_VALUE"""),2580.0)</f>
        <v>2580</v>
      </c>
      <c r="F1182" s="5">
        <f>IFERROR(__xludf.DUMMYFUNCTION("""COMPUTED_VALUE"""),1.428126E8)</f>
        <v>142812600</v>
      </c>
      <c r="G1182" s="5">
        <f t="shared" si="1"/>
        <v>60</v>
      </c>
    </row>
    <row r="1183">
      <c r="A1183" s="4">
        <f>IFERROR(__xludf.DUMMYFUNCTION("""COMPUTED_VALUE"""),45610.66666666667)</f>
        <v>45610.66667</v>
      </c>
      <c r="B1183" s="5">
        <f>IFERROR(__xludf.DUMMYFUNCTION("""COMPUTED_VALUE"""),2550.0)</f>
        <v>2550</v>
      </c>
      <c r="C1183" s="5">
        <f>IFERROR(__xludf.DUMMYFUNCTION("""COMPUTED_VALUE"""),2590.0)</f>
        <v>2590</v>
      </c>
      <c r="D1183" s="5">
        <f>IFERROR(__xludf.DUMMYFUNCTION("""COMPUTED_VALUE"""),2530.0)</f>
        <v>2530</v>
      </c>
      <c r="E1183" s="5">
        <f>IFERROR(__xludf.DUMMYFUNCTION("""COMPUTED_VALUE"""),2530.0)</f>
        <v>2530</v>
      </c>
      <c r="F1183" s="5">
        <f>IFERROR(__xludf.DUMMYFUNCTION("""COMPUTED_VALUE"""),1.852695E8)</f>
        <v>185269500</v>
      </c>
      <c r="G1183" s="5">
        <f t="shared" si="1"/>
        <v>60</v>
      </c>
    </row>
    <row r="1184">
      <c r="A1184" s="4">
        <f>IFERROR(__xludf.DUMMYFUNCTION("""COMPUTED_VALUE"""),45611.66666666667)</f>
        <v>45611.66667</v>
      </c>
      <c r="B1184" s="5">
        <f>IFERROR(__xludf.DUMMYFUNCTION("""COMPUTED_VALUE"""),2500.0)</f>
        <v>2500</v>
      </c>
      <c r="C1184" s="5">
        <f>IFERROR(__xludf.DUMMYFUNCTION("""COMPUTED_VALUE"""),2580.0)</f>
        <v>2580</v>
      </c>
      <c r="D1184" s="5">
        <f>IFERROR(__xludf.DUMMYFUNCTION("""COMPUTED_VALUE"""),2500.0)</f>
        <v>2500</v>
      </c>
      <c r="E1184" s="5">
        <f>IFERROR(__xludf.DUMMYFUNCTION("""COMPUTED_VALUE"""),2540.0)</f>
        <v>2540</v>
      </c>
      <c r="F1184" s="5">
        <f>IFERROR(__xludf.DUMMYFUNCTION("""COMPUTED_VALUE"""),1.036804E8)</f>
        <v>103680400</v>
      </c>
      <c r="G1184" s="5">
        <f t="shared" si="1"/>
        <v>80</v>
      </c>
    </row>
    <row r="1185">
      <c r="A1185" s="4">
        <f>IFERROR(__xludf.DUMMYFUNCTION("""COMPUTED_VALUE"""),45614.66666666667)</f>
        <v>45614.66667</v>
      </c>
      <c r="B1185" s="5">
        <f>IFERROR(__xludf.DUMMYFUNCTION("""COMPUTED_VALUE"""),2540.0)</f>
        <v>2540</v>
      </c>
      <c r="C1185" s="5">
        <f>IFERROR(__xludf.DUMMYFUNCTION("""COMPUTED_VALUE"""),2610.0)</f>
        <v>2610</v>
      </c>
      <c r="D1185" s="5">
        <f>IFERROR(__xludf.DUMMYFUNCTION("""COMPUTED_VALUE"""),2520.0)</f>
        <v>2520</v>
      </c>
      <c r="E1185" s="5">
        <f>IFERROR(__xludf.DUMMYFUNCTION("""COMPUTED_VALUE"""),2590.0)</f>
        <v>2590</v>
      </c>
      <c r="F1185" s="5">
        <f>IFERROR(__xludf.DUMMYFUNCTION("""COMPUTED_VALUE"""),1.194813E8)</f>
        <v>119481300</v>
      </c>
      <c r="G1185" s="5">
        <f t="shared" si="1"/>
        <v>90</v>
      </c>
    </row>
    <row r="1186">
      <c r="A1186" s="4">
        <f>IFERROR(__xludf.DUMMYFUNCTION("""COMPUTED_VALUE"""),45615.66666666667)</f>
        <v>45615.66667</v>
      </c>
      <c r="B1186" s="5">
        <f>IFERROR(__xludf.DUMMYFUNCTION("""COMPUTED_VALUE"""),2610.0)</f>
        <v>2610</v>
      </c>
      <c r="C1186" s="5">
        <f>IFERROR(__xludf.DUMMYFUNCTION("""COMPUTED_VALUE"""),2850.0)</f>
        <v>2850</v>
      </c>
      <c r="D1186" s="5">
        <f>IFERROR(__xludf.DUMMYFUNCTION("""COMPUTED_VALUE"""),2590.0)</f>
        <v>2590</v>
      </c>
      <c r="E1186" s="5">
        <f>IFERROR(__xludf.DUMMYFUNCTION("""COMPUTED_VALUE"""),2780.0)</f>
        <v>2780</v>
      </c>
      <c r="F1186" s="5">
        <f>IFERROR(__xludf.DUMMYFUNCTION("""COMPUTED_VALUE"""),2.756703E8)</f>
        <v>275670300</v>
      </c>
      <c r="G1186" s="5">
        <f t="shared" si="1"/>
        <v>260</v>
      </c>
    </row>
    <row r="1187">
      <c r="A1187" s="4">
        <f>IFERROR(__xludf.DUMMYFUNCTION("""COMPUTED_VALUE"""),45616.66666666667)</f>
        <v>45616.66667</v>
      </c>
      <c r="B1187" s="5">
        <f>IFERROR(__xludf.DUMMYFUNCTION("""COMPUTED_VALUE"""),2740.0)</f>
        <v>2740</v>
      </c>
      <c r="C1187" s="5">
        <f>IFERROR(__xludf.DUMMYFUNCTION("""COMPUTED_VALUE"""),2750.0)</f>
        <v>2750</v>
      </c>
      <c r="D1187" s="5">
        <f>IFERROR(__xludf.DUMMYFUNCTION("""COMPUTED_VALUE"""),2640.0)</f>
        <v>2640</v>
      </c>
      <c r="E1187" s="5">
        <f>IFERROR(__xludf.DUMMYFUNCTION("""COMPUTED_VALUE"""),2680.0)</f>
        <v>2680</v>
      </c>
      <c r="F1187" s="5">
        <f>IFERROR(__xludf.DUMMYFUNCTION("""COMPUTED_VALUE"""),1.502429E8)</f>
        <v>150242900</v>
      </c>
      <c r="G1187" s="5">
        <f t="shared" si="1"/>
        <v>140</v>
      </c>
    </row>
    <row r="1188">
      <c r="A1188" s="4">
        <f>IFERROR(__xludf.DUMMYFUNCTION("""COMPUTED_VALUE"""),45617.66666666667)</f>
        <v>45617.66667</v>
      </c>
      <c r="B1188" s="5">
        <f>IFERROR(__xludf.DUMMYFUNCTION("""COMPUTED_VALUE"""),2680.0)</f>
        <v>2680</v>
      </c>
      <c r="C1188" s="5">
        <f>IFERROR(__xludf.DUMMYFUNCTION("""COMPUTED_VALUE"""),2810.0)</f>
        <v>2810</v>
      </c>
      <c r="D1188" s="5">
        <f>IFERROR(__xludf.DUMMYFUNCTION("""COMPUTED_VALUE"""),2680.0)</f>
        <v>2680</v>
      </c>
      <c r="E1188" s="5">
        <f>IFERROR(__xludf.DUMMYFUNCTION("""COMPUTED_VALUE"""),2770.0)</f>
        <v>2770</v>
      </c>
      <c r="F1188" s="5">
        <f>IFERROR(__xludf.DUMMYFUNCTION("""COMPUTED_VALUE"""),1.282946E8)</f>
        <v>128294600</v>
      </c>
      <c r="G1188" s="5">
        <f t="shared" si="1"/>
        <v>130</v>
      </c>
    </row>
    <row r="1189">
      <c r="A1189" s="4">
        <f>IFERROR(__xludf.DUMMYFUNCTION("""COMPUTED_VALUE"""),45618.66666666667)</f>
        <v>45618.66667</v>
      </c>
      <c r="B1189" s="5">
        <f>IFERROR(__xludf.DUMMYFUNCTION("""COMPUTED_VALUE"""),2750.0)</f>
        <v>2750</v>
      </c>
      <c r="C1189" s="5">
        <f>IFERROR(__xludf.DUMMYFUNCTION("""COMPUTED_VALUE"""),2790.0)</f>
        <v>2790</v>
      </c>
      <c r="D1189" s="5">
        <f>IFERROR(__xludf.DUMMYFUNCTION("""COMPUTED_VALUE"""),2720.0)</f>
        <v>2720</v>
      </c>
      <c r="E1189" s="5">
        <f>IFERROR(__xludf.DUMMYFUNCTION("""COMPUTED_VALUE"""),2750.0)</f>
        <v>2750</v>
      </c>
      <c r="F1189" s="5">
        <f>IFERROR(__xludf.DUMMYFUNCTION("""COMPUTED_VALUE"""),1.352653E8)</f>
        <v>135265300</v>
      </c>
      <c r="G1189" s="5">
        <f t="shared" si="1"/>
        <v>70</v>
      </c>
    </row>
    <row r="1190">
      <c r="A1190" s="4">
        <f>IFERROR(__xludf.DUMMYFUNCTION("""COMPUTED_VALUE"""),45621.66666666667)</f>
        <v>45621.66667</v>
      </c>
      <c r="B1190" s="5">
        <f>IFERROR(__xludf.DUMMYFUNCTION("""COMPUTED_VALUE"""),2740.0)</f>
        <v>2740</v>
      </c>
      <c r="C1190" s="5">
        <f>IFERROR(__xludf.DUMMYFUNCTION("""COMPUTED_VALUE"""),2780.0)</f>
        <v>2780</v>
      </c>
      <c r="D1190" s="5">
        <f>IFERROR(__xludf.DUMMYFUNCTION("""COMPUTED_VALUE"""),2720.0)</f>
        <v>2720</v>
      </c>
      <c r="E1190" s="5">
        <f>IFERROR(__xludf.DUMMYFUNCTION("""COMPUTED_VALUE"""),2740.0)</f>
        <v>2740</v>
      </c>
      <c r="F1190" s="5">
        <f>IFERROR(__xludf.DUMMYFUNCTION("""COMPUTED_VALUE"""),3.586171E8)</f>
        <v>358617100</v>
      </c>
      <c r="G1190" s="5">
        <f t="shared" si="1"/>
        <v>60</v>
      </c>
    </row>
    <row r="1191">
      <c r="A1191" s="4">
        <f>IFERROR(__xludf.DUMMYFUNCTION("""COMPUTED_VALUE"""),45622.66666666667)</f>
        <v>45622.66667</v>
      </c>
      <c r="B1191" s="5">
        <f>IFERROR(__xludf.DUMMYFUNCTION("""COMPUTED_VALUE"""),2770.0)</f>
        <v>2770</v>
      </c>
      <c r="C1191" s="5">
        <f>IFERROR(__xludf.DUMMYFUNCTION("""COMPUTED_VALUE"""),2800.0)</f>
        <v>2800</v>
      </c>
      <c r="D1191" s="5">
        <f>IFERROR(__xludf.DUMMYFUNCTION("""COMPUTED_VALUE"""),2680.0)</f>
        <v>2680</v>
      </c>
      <c r="E1191" s="5">
        <f>IFERROR(__xludf.DUMMYFUNCTION("""COMPUTED_VALUE"""),2710.0)</f>
        <v>2710</v>
      </c>
      <c r="F1191" s="5">
        <f>IFERROR(__xludf.DUMMYFUNCTION("""COMPUTED_VALUE"""),1.06721E8)</f>
        <v>106721000</v>
      </c>
      <c r="G1191" s="5">
        <f t="shared" si="1"/>
        <v>120</v>
      </c>
    </row>
    <row r="1192">
      <c r="A1192" s="4">
        <f>IFERROR(__xludf.DUMMYFUNCTION("""COMPUTED_VALUE"""),45624.66666666667)</f>
        <v>45624.66667</v>
      </c>
      <c r="B1192" s="5">
        <f>IFERROR(__xludf.DUMMYFUNCTION("""COMPUTED_VALUE"""),2680.0)</f>
        <v>2680</v>
      </c>
      <c r="C1192" s="5">
        <f>IFERROR(__xludf.DUMMYFUNCTION("""COMPUTED_VALUE"""),2750.0)</f>
        <v>2750</v>
      </c>
      <c r="D1192" s="5">
        <f>IFERROR(__xludf.DUMMYFUNCTION("""COMPUTED_VALUE"""),2680.0)</f>
        <v>2680</v>
      </c>
      <c r="E1192" s="5">
        <f>IFERROR(__xludf.DUMMYFUNCTION("""COMPUTED_VALUE"""),2720.0)</f>
        <v>2720</v>
      </c>
      <c r="F1192" s="5">
        <f>IFERROR(__xludf.DUMMYFUNCTION("""COMPUTED_VALUE"""),1.028084E8)</f>
        <v>102808400</v>
      </c>
      <c r="G1192" s="5">
        <f t="shared" si="1"/>
        <v>70</v>
      </c>
    </row>
    <row r="1193">
      <c r="A1193" s="4">
        <f>IFERROR(__xludf.DUMMYFUNCTION("""COMPUTED_VALUE"""),45625.66666666667)</f>
        <v>45625.66667</v>
      </c>
      <c r="B1193" s="5">
        <f>IFERROR(__xludf.DUMMYFUNCTION("""COMPUTED_VALUE"""),2700.0)</f>
        <v>2700</v>
      </c>
      <c r="C1193" s="5">
        <f>IFERROR(__xludf.DUMMYFUNCTION("""COMPUTED_VALUE"""),2760.0)</f>
        <v>2760</v>
      </c>
      <c r="D1193" s="5">
        <f>IFERROR(__xludf.DUMMYFUNCTION("""COMPUTED_VALUE"""),2700.0)</f>
        <v>2700</v>
      </c>
      <c r="E1193" s="5">
        <f>IFERROR(__xludf.DUMMYFUNCTION("""COMPUTED_VALUE"""),2710.0)</f>
        <v>2710</v>
      </c>
      <c r="F1193" s="5">
        <f>IFERROR(__xludf.DUMMYFUNCTION("""COMPUTED_VALUE"""),1.03162E8)</f>
        <v>103162000</v>
      </c>
      <c r="G1193" s="5">
        <f t="shared" si="1"/>
        <v>60</v>
      </c>
    </row>
    <row r="1194">
      <c r="A1194" s="4">
        <f>IFERROR(__xludf.DUMMYFUNCTION("""COMPUTED_VALUE"""),45628.66666666667)</f>
        <v>45628.66667</v>
      </c>
      <c r="B1194" s="5">
        <f>IFERROR(__xludf.DUMMYFUNCTION("""COMPUTED_VALUE"""),2720.0)</f>
        <v>2720</v>
      </c>
      <c r="C1194" s="5">
        <f>IFERROR(__xludf.DUMMYFUNCTION("""COMPUTED_VALUE"""),2730.0)</f>
        <v>2730</v>
      </c>
      <c r="D1194" s="5">
        <f>IFERROR(__xludf.DUMMYFUNCTION("""COMPUTED_VALUE"""),2680.0)</f>
        <v>2680</v>
      </c>
      <c r="E1194" s="5">
        <f>IFERROR(__xludf.DUMMYFUNCTION("""COMPUTED_VALUE"""),2680.0)</f>
        <v>2680</v>
      </c>
      <c r="F1194" s="5">
        <f>IFERROR(__xludf.DUMMYFUNCTION("""COMPUTED_VALUE"""),6.60259E7)</f>
        <v>66025900</v>
      </c>
      <c r="G1194" s="5">
        <f t="shared" si="1"/>
        <v>50</v>
      </c>
    </row>
    <row r="1195">
      <c r="A1195" s="4">
        <f>IFERROR(__xludf.DUMMYFUNCTION("""COMPUTED_VALUE"""),45629.66666666667)</f>
        <v>45629.66667</v>
      </c>
      <c r="B1195" s="5">
        <f>IFERROR(__xludf.DUMMYFUNCTION("""COMPUTED_VALUE"""),2760.0)</f>
        <v>2760</v>
      </c>
      <c r="C1195" s="5">
        <f>IFERROR(__xludf.DUMMYFUNCTION("""COMPUTED_VALUE"""),2830.0)</f>
        <v>2830</v>
      </c>
      <c r="D1195" s="5">
        <f>IFERROR(__xludf.DUMMYFUNCTION("""COMPUTED_VALUE"""),2710.0)</f>
        <v>2710</v>
      </c>
      <c r="E1195" s="5">
        <f>IFERROR(__xludf.DUMMYFUNCTION("""COMPUTED_VALUE"""),2820.0)</f>
        <v>2820</v>
      </c>
      <c r="F1195" s="5">
        <f>IFERROR(__xludf.DUMMYFUNCTION("""COMPUTED_VALUE"""),1.676039E8)</f>
        <v>167603900</v>
      </c>
      <c r="G1195" s="5">
        <f t="shared" si="1"/>
        <v>150</v>
      </c>
    </row>
    <row r="1196">
      <c r="A1196" s="4">
        <f>IFERROR(__xludf.DUMMYFUNCTION("""COMPUTED_VALUE"""),45630.66666666667)</f>
        <v>45630.66667</v>
      </c>
      <c r="B1196" s="5">
        <f>IFERROR(__xludf.DUMMYFUNCTION("""COMPUTED_VALUE"""),2820.0)</f>
        <v>2820</v>
      </c>
      <c r="C1196" s="5">
        <f>IFERROR(__xludf.DUMMYFUNCTION("""COMPUTED_VALUE"""),2850.0)</f>
        <v>2850</v>
      </c>
      <c r="D1196" s="5">
        <f>IFERROR(__xludf.DUMMYFUNCTION("""COMPUTED_VALUE"""),2800.0)</f>
        <v>2800</v>
      </c>
      <c r="E1196" s="5">
        <f>IFERROR(__xludf.DUMMYFUNCTION("""COMPUTED_VALUE"""),2840.0)</f>
        <v>2840</v>
      </c>
      <c r="F1196" s="5">
        <f>IFERROR(__xludf.DUMMYFUNCTION("""COMPUTED_VALUE"""),8.34128E7)</f>
        <v>83412800</v>
      </c>
      <c r="G1196" s="5">
        <f t="shared" si="1"/>
        <v>50</v>
      </c>
    </row>
    <row r="1197">
      <c r="A1197" s="4">
        <f>IFERROR(__xludf.DUMMYFUNCTION("""COMPUTED_VALUE"""),45631.66666666667)</f>
        <v>45631.66667</v>
      </c>
      <c r="B1197" s="5">
        <f>IFERROR(__xludf.DUMMYFUNCTION("""COMPUTED_VALUE"""),2840.0)</f>
        <v>2840</v>
      </c>
      <c r="C1197" s="5">
        <f>IFERROR(__xludf.DUMMYFUNCTION("""COMPUTED_VALUE"""),2840.0)</f>
        <v>2840</v>
      </c>
      <c r="D1197" s="5">
        <f>IFERROR(__xludf.DUMMYFUNCTION("""COMPUTED_VALUE"""),2730.0)</f>
        <v>2730</v>
      </c>
      <c r="E1197" s="5">
        <f>IFERROR(__xludf.DUMMYFUNCTION("""COMPUTED_VALUE"""),2770.0)</f>
        <v>2770</v>
      </c>
      <c r="F1197" s="5">
        <f>IFERROR(__xludf.DUMMYFUNCTION("""COMPUTED_VALUE"""),9.60254E7)</f>
        <v>96025400</v>
      </c>
      <c r="G1197" s="5">
        <f t="shared" si="1"/>
        <v>110</v>
      </c>
    </row>
    <row r="1198">
      <c r="A1198" s="4">
        <f>IFERROR(__xludf.DUMMYFUNCTION("""COMPUTED_VALUE"""),45632.66666666667)</f>
        <v>45632.66667</v>
      </c>
      <c r="B1198" s="5">
        <f>IFERROR(__xludf.DUMMYFUNCTION("""COMPUTED_VALUE"""),2740.0)</f>
        <v>2740</v>
      </c>
      <c r="C1198" s="5">
        <f>IFERROR(__xludf.DUMMYFUNCTION("""COMPUTED_VALUE"""),2780.0)</f>
        <v>2780</v>
      </c>
      <c r="D1198" s="5">
        <f>IFERROR(__xludf.DUMMYFUNCTION("""COMPUTED_VALUE"""),2740.0)</f>
        <v>2740</v>
      </c>
      <c r="E1198" s="5">
        <f>IFERROR(__xludf.DUMMYFUNCTION("""COMPUTED_VALUE"""),2760.0)</f>
        <v>2760</v>
      </c>
      <c r="F1198" s="5">
        <f>IFERROR(__xludf.DUMMYFUNCTION("""COMPUTED_VALUE"""),4.81798E7)</f>
        <v>48179800</v>
      </c>
      <c r="G1198" s="5">
        <f t="shared" si="1"/>
        <v>40</v>
      </c>
    </row>
    <row r="1199">
      <c r="A1199" s="4">
        <f>IFERROR(__xludf.DUMMYFUNCTION("""COMPUTED_VALUE"""),45635.66666666667)</f>
        <v>45635.66667</v>
      </c>
      <c r="B1199" s="5">
        <f>IFERROR(__xludf.DUMMYFUNCTION("""COMPUTED_VALUE"""),2760.0)</f>
        <v>2760</v>
      </c>
      <c r="C1199" s="5">
        <f>IFERROR(__xludf.DUMMYFUNCTION("""COMPUTED_VALUE"""),2770.0)</f>
        <v>2770</v>
      </c>
      <c r="D1199" s="5">
        <f>IFERROR(__xludf.DUMMYFUNCTION("""COMPUTED_VALUE"""),2730.0)</f>
        <v>2730</v>
      </c>
      <c r="E1199" s="5">
        <f>IFERROR(__xludf.DUMMYFUNCTION("""COMPUTED_VALUE"""),2740.0)</f>
        <v>2740</v>
      </c>
      <c r="F1199" s="5">
        <f>IFERROR(__xludf.DUMMYFUNCTION("""COMPUTED_VALUE"""),6.36719E7)</f>
        <v>63671900</v>
      </c>
      <c r="G1199" s="5">
        <f t="shared" si="1"/>
        <v>40</v>
      </c>
    </row>
    <row r="1200">
      <c r="A1200" s="4">
        <f>IFERROR(__xludf.DUMMYFUNCTION("""COMPUTED_VALUE"""),45636.66666666667)</f>
        <v>45636.66667</v>
      </c>
      <c r="B1200" s="5">
        <f>IFERROR(__xludf.DUMMYFUNCTION("""COMPUTED_VALUE"""),2770.0)</f>
        <v>2770</v>
      </c>
      <c r="C1200" s="5">
        <f>IFERROR(__xludf.DUMMYFUNCTION("""COMPUTED_VALUE"""),2830.0)</f>
        <v>2830</v>
      </c>
      <c r="D1200" s="5">
        <f>IFERROR(__xludf.DUMMYFUNCTION("""COMPUTED_VALUE"""),2750.0)</f>
        <v>2750</v>
      </c>
      <c r="E1200" s="5">
        <f>IFERROR(__xludf.DUMMYFUNCTION("""COMPUTED_VALUE"""),2770.0)</f>
        <v>2770</v>
      </c>
      <c r="F1200" s="5">
        <f>IFERROR(__xludf.DUMMYFUNCTION("""COMPUTED_VALUE"""),1.241382E8)</f>
        <v>124138200</v>
      </c>
      <c r="G1200" s="5">
        <f t="shared" si="1"/>
        <v>90</v>
      </c>
    </row>
    <row r="1201">
      <c r="A1201" s="4">
        <f>IFERROR(__xludf.DUMMYFUNCTION("""COMPUTED_VALUE"""),45637.66666666667)</f>
        <v>45637.66667</v>
      </c>
      <c r="B1201" s="5">
        <f>IFERROR(__xludf.DUMMYFUNCTION("""COMPUTED_VALUE"""),2770.0)</f>
        <v>2770</v>
      </c>
      <c r="C1201" s="5">
        <f>IFERROR(__xludf.DUMMYFUNCTION("""COMPUTED_VALUE"""),2880.0)</f>
        <v>2880</v>
      </c>
      <c r="D1201" s="5">
        <f>IFERROR(__xludf.DUMMYFUNCTION("""COMPUTED_VALUE"""),2770.0)</f>
        <v>2770</v>
      </c>
      <c r="E1201" s="5">
        <f>IFERROR(__xludf.DUMMYFUNCTION("""COMPUTED_VALUE"""),2860.0)</f>
        <v>2860</v>
      </c>
      <c r="F1201" s="5">
        <f>IFERROR(__xludf.DUMMYFUNCTION("""COMPUTED_VALUE"""),1.406114E8)</f>
        <v>140611400</v>
      </c>
      <c r="G1201" s="5">
        <f t="shared" si="1"/>
        <v>110</v>
      </c>
    </row>
    <row r="1202">
      <c r="A1202" s="4">
        <f>IFERROR(__xludf.DUMMYFUNCTION("""COMPUTED_VALUE"""),45638.66666666667)</f>
        <v>45638.66667</v>
      </c>
      <c r="B1202" s="5">
        <f>IFERROR(__xludf.DUMMYFUNCTION("""COMPUTED_VALUE"""),2830.0)</f>
        <v>2830</v>
      </c>
      <c r="C1202" s="5">
        <f>IFERROR(__xludf.DUMMYFUNCTION("""COMPUTED_VALUE"""),2850.0)</f>
        <v>2850</v>
      </c>
      <c r="D1202" s="5">
        <f>IFERROR(__xludf.DUMMYFUNCTION("""COMPUTED_VALUE"""),2780.0)</f>
        <v>2780</v>
      </c>
      <c r="E1202" s="5">
        <f>IFERROR(__xludf.DUMMYFUNCTION("""COMPUTED_VALUE"""),2820.0)</f>
        <v>2820</v>
      </c>
      <c r="F1202" s="5">
        <f>IFERROR(__xludf.DUMMYFUNCTION("""COMPUTED_VALUE"""),6.69777E7)</f>
        <v>66977700</v>
      </c>
      <c r="G1202" s="5">
        <f t="shared" si="1"/>
        <v>80</v>
      </c>
    </row>
    <row r="1203">
      <c r="A1203" s="4">
        <f>IFERROR(__xludf.DUMMYFUNCTION("""COMPUTED_VALUE"""),45639.66666666667)</f>
        <v>45639.66667</v>
      </c>
      <c r="B1203" s="5">
        <f>IFERROR(__xludf.DUMMYFUNCTION("""COMPUTED_VALUE"""),2770.0)</f>
        <v>2770</v>
      </c>
      <c r="C1203" s="5">
        <f>IFERROR(__xludf.DUMMYFUNCTION("""COMPUTED_VALUE"""),2790.0)</f>
        <v>2790</v>
      </c>
      <c r="D1203" s="5">
        <f>IFERROR(__xludf.DUMMYFUNCTION("""COMPUTED_VALUE"""),2750.0)</f>
        <v>2750</v>
      </c>
      <c r="E1203" s="5">
        <f>IFERROR(__xludf.DUMMYFUNCTION("""COMPUTED_VALUE"""),2790.0)</f>
        <v>2790</v>
      </c>
      <c r="F1203" s="5">
        <f>IFERROR(__xludf.DUMMYFUNCTION("""COMPUTED_VALUE"""),7.75401E7)</f>
        <v>77540100</v>
      </c>
      <c r="G1203" s="5">
        <f t="shared" si="1"/>
        <v>70</v>
      </c>
    </row>
    <row r="1204">
      <c r="A1204" s="4">
        <f>IFERROR(__xludf.DUMMYFUNCTION("""COMPUTED_VALUE"""),45642.66666666667)</f>
        <v>45642.66667</v>
      </c>
      <c r="B1204" s="5">
        <f>IFERROR(__xludf.DUMMYFUNCTION("""COMPUTED_VALUE"""),2760.0)</f>
        <v>2760</v>
      </c>
      <c r="C1204" s="5">
        <f>IFERROR(__xludf.DUMMYFUNCTION("""COMPUTED_VALUE"""),2760.0)</f>
        <v>2760</v>
      </c>
      <c r="D1204" s="5">
        <f>IFERROR(__xludf.DUMMYFUNCTION("""COMPUTED_VALUE"""),2650.0)</f>
        <v>2650</v>
      </c>
      <c r="E1204" s="5">
        <f>IFERROR(__xludf.DUMMYFUNCTION("""COMPUTED_VALUE"""),2660.0)</f>
        <v>2660</v>
      </c>
      <c r="F1204" s="5">
        <f>IFERROR(__xludf.DUMMYFUNCTION("""COMPUTED_VALUE"""),1.476556E8)</f>
        <v>147655600</v>
      </c>
      <c r="G1204" s="5">
        <f t="shared" si="1"/>
        <v>140</v>
      </c>
    </row>
    <row r="1205">
      <c r="A1205" s="4">
        <f>IFERROR(__xludf.DUMMYFUNCTION("""COMPUTED_VALUE"""),45643.66666666667)</f>
        <v>45643.66667</v>
      </c>
      <c r="B1205" s="5">
        <f>IFERROR(__xludf.DUMMYFUNCTION("""COMPUTED_VALUE"""),2630.0)</f>
        <v>2630</v>
      </c>
      <c r="C1205" s="5">
        <f>IFERROR(__xludf.DUMMYFUNCTION("""COMPUTED_VALUE"""),2650.0)</f>
        <v>2650</v>
      </c>
      <c r="D1205" s="5">
        <f>IFERROR(__xludf.DUMMYFUNCTION("""COMPUTED_VALUE"""),2600.0)</f>
        <v>2600</v>
      </c>
      <c r="E1205" s="5">
        <f>IFERROR(__xludf.DUMMYFUNCTION("""COMPUTED_VALUE"""),2620.0)</f>
        <v>2620</v>
      </c>
      <c r="F1205" s="5">
        <f>IFERROR(__xludf.DUMMYFUNCTION("""COMPUTED_VALUE"""),1.137855E8)</f>
        <v>113785500</v>
      </c>
      <c r="G1205" s="5">
        <f t="shared" si="1"/>
        <v>60</v>
      </c>
    </row>
    <row r="1206">
      <c r="A1206" s="4">
        <f>IFERROR(__xludf.DUMMYFUNCTION("""COMPUTED_VALUE"""),45644.66666666667)</f>
        <v>45644.66667</v>
      </c>
      <c r="B1206" s="5">
        <f>IFERROR(__xludf.DUMMYFUNCTION("""COMPUTED_VALUE"""),2620.0)</f>
        <v>2620</v>
      </c>
      <c r="C1206" s="5">
        <f>IFERROR(__xludf.DUMMYFUNCTION("""COMPUTED_VALUE"""),2660.0)</f>
        <v>2660</v>
      </c>
      <c r="D1206" s="5">
        <f>IFERROR(__xludf.DUMMYFUNCTION("""COMPUTED_VALUE"""),2570.0)</f>
        <v>2570</v>
      </c>
      <c r="E1206" s="5">
        <f>IFERROR(__xludf.DUMMYFUNCTION("""COMPUTED_VALUE"""),2570.0)</f>
        <v>2570</v>
      </c>
      <c r="F1206" s="5">
        <f>IFERROR(__xludf.DUMMYFUNCTION("""COMPUTED_VALUE"""),7.95653E7)</f>
        <v>79565300</v>
      </c>
      <c r="G1206" s="5">
        <f t="shared" si="1"/>
        <v>90</v>
      </c>
    </row>
    <row r="1207">
      <c r="A1207" s="4">
        <f>IFERROR(__xludf.DUMMYFUNCTION("""COMPUTED_VALUE"""),45645.66666666667)</f>
        <v>45645.66667</v>
      </c>
      <c r="B1207" s="5">
        <f>IFERROR(__xludf.DUMMYFUNCTION("""COMPUTED_VALUE"""),2510.0)</f>
        <v>2510</v>
      </c>
      <c r="C1207" s="5">
        <f>IFERROR(__xludf.DUMMYFUNCTION("""COMPUTED_VALUE"""),2560.0)</f>
        <v>2560</v>
      </c>
      <c r="D1207" s="5">
        <f>IFERROR(__xludf.DUMMYFUNCTION("""COMPUTED_VALUE"""),2500.0)</f>
        <v>2500</v>
      </c>
      <c r="E1207" s="5">
        <f>IFERROR(__xludf.DUMMYFUNCTION("""COMPUTED_VALUE"""),2530.0)</f>
        <v>2530</v>
      </c>
      <c r="F1207" s="5">
        <f>IFERROR(__xludf.DUMMYFUNCTION("""COMPUTED_VALUE"""),1.235042E8)</f>
        <v>123504200</v>
      </c>
      <c r="G1207" s="5">
        <f t="shared" si="1"/>
        <v>70</v>
      </c>
    </row>
    <row r="1208">
      <c r="A1208" s="4">
        <f>IFERROR(__xludf.DUMMYFUNCTION("""COMPUTED_VALUE"""),45646.66666666667)</f>
        <v>45646.66667</v>
      </c>
      <c r="B1208" s="5">
        <f>IFERROR(__xludf.DUMMYFUNCTION("""COMPUTED_VALUE"""),2530.0)</f>
        <v>2530</v>
      </c>
      <c r="C1208" s="5">
        <f>IFERROR(__xludf.DUMMYFUNCTION("""COMPUTED_VALUE"""),2570.0)</f>
        <v>2570</v>
      </c>
      <c r="D1208" s="5">
        <f>IFERROR(__xludf.DUMMYFUNCTION("""COMPUTED_VALUE"""),2520.0)</f>
        <v>2520</v>
      </c>
      <c r="E1208" s="5">
        <f>IFERROR(__xludf.DUMMYFUNCTION("""COMPUTED_VALUE"""),2550.0)</f>
        <v>2550</v>
      </c>
      <c r="F1208" s="5">
        <f>IFERROR(__xludf.DUMMYFUNCTION("""COMPUTED_VALUE"""),1.103088E8)</f>
        <v>110308800</v>
      </c>
      <c r="G1208" s="5">
        <f t="shared" si="1"/>
        <v>50</v>
      </c>
    </row>
    <row r="1209">
      <c r="A1209" s="4">
        <f>IFERROR(__xludf.DUMMYFUNCTION("""COMPUTED_VALUE"""),45649.66666666667)</f>
        <v>45649.66667</v>
      </c>
      <c r="B1209" s="5">
        <f>IFERROR(__xludf.DUMMYFUNCTION("""COMPUTED_VALUE"""),2580.0)</f>
        <v>2580</v>
      </c>
      <c r="C1209" s="5">
        <f>IFERROR(__xludf.DUMMYFUNCTION("""COMPUTED_VALUE"""),2670.0)</f>
        <v>2670</v>
      </c>
      <c r="D1209" s="5">
        <f>IFERROR(__xludf.DUMMYFUNCTION("""COMPUTED_VALUE"""),2580.0)</f>
        <v>2580</v>
      </c>
      <c r="E1209" s="5">
        <f>IFERROR(__xludf.DUMMYFUNCTION("""COMPUTED_VALUE"""),2650.0)</f>
        <v>2650</v>
      </c>
      <c r="F1209" s="5">
        <f>IFERROR(__xludf.DUMMYFUNCTION("""COMPUTED_VALUE"""),7.21137E7)</f>
        <v>72113700</v>
      </c>
      <c r="G1209" s="5">
        <f t="shared" si="1"/>
        <v>120</v>
      </c>
    </row>
    <row r="1210">
      <c r="A1210" s="4">
        <f>IFERROR(__xludf.DUMMYFUNCTION("""COMPUTED_VALUE"""),45650.66666666667)</f>
        <v>45650.66667</v>
      </c>
      <c r="B1210" s="5">
        <f>IFERROR(__xludf.DUMMYFUNCTION("""COMPUTED_VALUE"""),2680.0)</f>
        <v>2680</v>
      </c>
      <c r="C1210" s="5">
        <f>IFERROR(__xludf.DUMMYFUNCTION("""COMPUTED_VALUE"""),2750.0)</f>
        <v>2750</v>
      </c>
      <c r="D1210" s="5">
        <f>IFERROR(__xludf.DUMMYFUNCTION("""COMPUTED_VALUE"""),2620.0)</f>
        <v>2620</v>
      </c>
      <c r="E1210" s="5">
        <f>IFERROR(__xludf.DUMMYFUNCTION("""COMPUTED_VALUE"""),2740.0)</f>
        <v>2740</v>
      </c>
      <c r="F1210" s="5">
        <f>IFERROR(__xludf.DUMMYFUNCTION("""COMPUTED_VALUE"""),1.175824E8)</f>
        <v>117582400</v>
      </c>
      <c r="G1210" s="5">
        <f t="shared" si="1"/>
        <v>130</v>
      </c>
    </row>
    <row r="1211">
      <c r="A1211" s="4">
        <f>IFERROR(__xludf.DUMMYFUNCTION("""COMPUTED_VALUE"""),45653.66666666667)</f>
        <v>45653.66667</v>
      </c>
      <c r="B1211" s="5">
        <f>IFERROR(__xludf.DUMMYFUNCTION("""COMPUTED_VALUE"""),2770.0)</f>
        <v>2770</v>
      </c>
      <c r="C1211" s="5">
        <f>IFERROR(__xludf.DUMMYFUNCTION("""COMPUTED_VALUE"""),2800.0)</f>
        <v>2800</v>
      </c>
      <c r="D1211" s="5">
        <f>IFERROR(__xludf.DUMMYFUNCTION("""COMPUTED_VALUE"""),2710.0)</f>
        <v>2710</v>
      </c>
      <c r="E1211" s="5">
        <f>IFERROR(__xludf.DUMMYFUNCTION("""COMPUTED_VALUE"""),2750.0)</f>
        <v>2750</v>
      </c>
      <c r="F1211" s="5">
        <f>IFERROR(__xludf.DUMMYFUNCTION("""COMPUTED_VALUE"""),9.27276E7)</f>
        <v>92727600</v>
      </c>
      <c r="G1211" s="5">
        <f t="shared" si="1"/>
        <v>90</v>
      </c>
    </row>
    <row r="1212">
      <c r="A1212" s="4">
        <f>IFERROR(__xludf.DUMMYFUNCTION("""COMPUTED_VALUE"""),45656.66666666667)</f>
        <v>45656.66667</v>
      </c>
      <c r="B1212" s="5">
        <f>IFERROR(__xludf.DUMMYFUNCTION("""COMPUTED_VALUE"""),2720.0)</f>
        <v>2720</v>
      </c>
      <c r="C1212" s="5">
        <f>IFERROR(__xludf.DUMMYFUNCTION("""COMPUTED_VALUE"""),2760.0)</f>
        <v>2760</v>
      </c>
      <c r="D1212" s="5">
        <f>IFERROR(__xludf.DUMMYFUNCTION("""COMPUTED_VALUE"""),2700.0)</f>
        <v>2700</v>
      </c>
      <c r="E1212" s="5">
        <f>IFERROR(__xludf.DUMMYFUNCTION("""COMPUTED_VALUE"""),2710.0)</f>
        <v>2710</v>
      </c>
      <c r="F1212" s="5">
        <f>IFERROR(__xludf.DUMMYFUNCTION("""COMPUTED_VALUE"""),7.42792E7)</f>
        <v>74279200</v>
      </c>
      <c r="G1212" s="5">
        <f t="shared" si="1"/>
        <v>60</v>
      </c>
    </row>
  </sheetData>
  <drawing r:id="rId1"/>
</worksheet>
</file>